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1.xml" ContentType="application/vnd.openxmlformats-officedocument.themeOverrid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6.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7.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8.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comments5.xml" ContentType="application/vnd.openxmlformats-officedocument.spreadsheetml.comments+xml"/>
  <Override PartName="/xl/drawings/drawing11.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2.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shortcut-targets-by-id\1laBV5PcRVSTqdljE4mnzKIjxgnIwCaqt\CONINAGRO - Area tecnica\Semáforo\"/>
    </mc:Choice>
  </mc:AlternateContent>
  <xr:revisionPtr revIDLastSave="0" documentId="13_ncr:1_{1C4100D2-8608-4476-A73C-D7E5E2CB545E}" xr6:coauthVersionLast="47" xr6:coauthVersionMax="47" xr10:uidLastSave="{00000000-0000-0000-0000-000000000000}"/>
  <bookViews>
    <workbookView xWindow="11424" yWindow="0" windowWidth="11712" windowHeight="12336" tabRatio="771" firstSheet="2" activeTab="3" xr2:uid="{00000000-000D-0000-FFFF-FFFF00000000}"/>
  </bookViews>
  <sheets>
    <sheet name="Guia" sheetId="110" r:id="rId1"/>
    <sheet name="Comex" sheetId="117" r:id="rId2"/>
    <sheet name="PP" sheetId="122" r:id="rId3"/>
    <sheet name="datos" sheetId="9" r:id="rId4"/>
    <sheet name="historia" sheetId="14" r:id="rId5"/>
    <sheet name="Calendar" sheetId="140" r:id="rId6"/>
    <sheet name="Nota" sheetId="138" r:id="rId7"/>
    <sheet name="Ago26" sheetId="142" r:id="rId8"/>
    <sheet name="Jul26" sheetId="141" r:id="rId9"/>
    <sheet name="Jun26" sheetId="139" r:id="rId10"/>
    <sheet name="May26" sheetId="137" r:id="rId11"/>
    <sheet name="Abr26" sheetId="136" r:id="rId12"/>
    <sheet name="Mar26" sheetId="133" r:id="rId13"/>
    <sheet name="Feb26" sheetId="132" r:id="rId14"/>
    <sheet name="Ene26" sheetId="131" r:id="rId15"/>
    <sheet name="Dic25" sheetId="125" r:id="rId16"/>
    <sheet name="Nov25" sheetId="124" r:id="rId17"/>
    <sheet name="Oct25" sheetId="121" r:id="rId18"/>
    <sheet name="Sep25" sheetId="120" r:id="rId19"/>
    <sheet name="Ago25" sheetId="119" r:id="rId20"/>
    <sheet name="Jul25" sheetId="116" state="hidden" r:id="rId21"/>
    <sheet name="Jun25" sheetId="113" state="hidden" r:id="rId22"/>
    <sheet name="May25" sheetId="112" state="hidden" r:id="rId23"/>
    <sheet name="Abr25" sheetId="109" state="hidden" r:id="rId24"/>
    <sheet name="Mar25" sheetId="108" state="hidden" r:id="rId25"/>
    <sheet name="Feb25" sheetId="106" state="hidden" r:id="rId26"/>
    <sheet name="Ene25" sheetId="105" state="hidden" r:id="rId27"/>
    <sheet name="Dic24" sheetId="100" state="hidden" r:id="rId28"/>
    <sheet name="Nov24" sheetId="98" state="hidden" r:id="rId29"/>
    <sheet name="Oct24" sheetId="97" state="hidden" r:id="rId30"/>
    <sheet name="Sep24" sheetId="96" state="hidden" r:id="rId31"/>
    <sheet name="Ago24" sheetId="95" state="hidden" r:id="rId32"/>
    <sheet name="Jul24" sheetId="94" state="hidden" r:id="rId33"/>
    <sheet name="Jun24" sheetId="93" state="hidden" r:id="rId34"/>
    <sheet name="May24" sheetId="92" state="hidden" r:id="rId35"/>
    <sheet name="Abr24" sheetId="91" state="hidden" r:id="rId36"/>
    <sheet name="Mar24" sheetId="90" state="hidden" r:id="rId37"/>
    <sheet name="Feb24" sheetId="89" state="hidden" r:id="rId38"/>
    <sheet name="Ene24" sheetId="88" state="hidden" r:id="rId39"/>
    <sheet name="Dic23" sheetId="87" state="hidden" r:id="rId40"/>
    <sheet name="Nov23" sheetId="86" state="hidden" r:id="rId41"/>
    <sheet name="listas" sheetId="3" r:id="rId42"/>
    <sheet name="pond CM" sheetId="135" r:id="rId43"/>
    <sheet name="costos" sheetId="7" r:id="rId44"/>
    <sheet name="precio-costo" sheetId="20" r:id="rId45"/>
    <sheet name="prod-cons" sheetId="32" r:id="rId46"/>
  </sheets>
  <externalReferences>
    <externalReference r:id="rId47"/>
    <externalReference r:id="rId48"/>
  </externalReferences>
  <definedNames>
    <definedName name="_xlnm._FilterDatabase" localSheetId="4" hidden="1">historia!$DO$4:$DS$4</definedName>
    <definedName name="_xlnm._FilterDatabase" localSheetId="2" hidden="1">PP!$AX$127:$BB$127</definedName>
    <definedName name="_xlnm.Print_Area" localSheetId="35">'Abr24'!$A$2:$AN$24</definedName>
    <definedName name="_xlnm.Print_Area" localSheetId="23">'Abr25'!$A$2:$AN$24</definedName>
    <definedName name="_xlnm.Print_Area" localSheetId="11">'Abr26'!$A$2:$AN$24</definedName>
    <definedName name="_xlnm.Print_Area" localSheetId="31">'Ago24'!$A$2:$AN$24</definedName>
    <definedName name="_xlnm.Print_Area" localSheetId="19">'Ago25'!$A$2:$AN$24</definedName>
    <definedName name="_xlnm.Print_Area" localSheetId="7">'Ago26'!$A$2:$AN$24</definedName>
    <definedName name="_xlnm.Print_Area" localSheetId="39">'Dic23'!$A$2:$AN$24</definedName>
    <definedName name="_xlnm.Print_Area" localSheetId="27">'Dic24'!$A$2:$AN$24</definedName>
    <definedName name="_xlnm.Print_Area" localSheetId="15">'Dic25'!$A$2:$AN$24</definedName>
    <definedName name="_xlnm.Print_Area" localSheetId="38">'Ene24'!$A$2:$AN$24</definedName>
    <definedName name="_xlnm.Print_Area" localSheetId="26">'Ene25'!$A$2:$AN$24</definedName>
    <definedName name="_xlnm.Print_Area" localSheetId="14">'Ene26'!$A$2:$AN$24</definedName>
    <definedName name="_xlnm.Print_Area" localSheetId="37">'Feb24'!$A$2:$AN$24</definedName>
    <definedName name="_xlnm.Print_Area" localSheetId="25">'Feb25'!$A$2:$AN$24</definedName>
    <definedName name="_xlnm.Print_Area" localSheetId="13">'Feb26'!$A$2:$AN$24</definedName>
    <definedName name="_xlnm.Print_Area" localSheetId="32">'Jul24'!$A$2:$AN$24</definedName>
    <definedName name="_xlnm.Print_Area" localSheetId="20">'Jul25'!$A$2:$AN$24</definedName>
    <definedName name="_xlnm.Print_Area" localSheetId="8">'Jul26'!$A$2:$AN$24</definedName>
    <definedName name="_xlnm.Print_Area" localSheetId="33">'Jun24'!$A$2:$AN$24</definedName>
    <definedName name="_xlnm.Print_Area" localSheetId="21">'Jun25'!$A$2:$AN$24</definedName>
    <definedName name="_xlnm.Print_Area" localSheetId="9">'Jun26'!$A$2:$AN$24</definedName>
    <definedName name="_xlnm.Print_Area" localSheetId="36">'Mar24'!$A$2:$AN$24</definedName>
    <definedName name="_xlnm.Print_Area" localSheetId="24">'Mar25'!$A$2:$AN$24</definedName>
    <definedName name="_xlnm.Print_Area" localSheetId="12">'Mar26'!$A$2:$AN$24</definedName>
    <definedName name="_xlnm.Print_Area" localSheetId="34">'May24'!$A$2:$AN$24</definedName>
    <definedName name="_xlnm.Print_Area" localSheetId="22">'May25'!$A$2:$AN$24</definedName>
    <definedName name="_xlnm.Print_Area" localSheetId="10">'May26'!$A$2:$AN$24</definedName>
    <definedName name="_xlnm.Print_Area" localSheetId="28">'Nov24'!$A$2:$AN$24</definedName>
    <definedName name="_xlnm.Print_Area" localSheetId="16">'Nov25'!$A$2:$AN$24</definedName>
    <definedName name="_xlnm.Print_Area" localSheetId="29">'Oct24'!$A$2:$AN$24</definedName>
    <definedName name="_xlnm.Print_Area" localSheetId="17">'Oct25'!$A$2:$AN$24</definedName>
    <definedName name="_xlnm.Print_Area" localSheetId="45">'prod-cons'!$A$1:$Q$53</definedName>
    <definedName name="_xlnm.Print_Area" localSheetId="30">'Sep24'!$A$2:$AN$24</definedName>
    <definedName name="_xlnm.Print_Area" localSheetId="18">'Sep25'!$A$2:$AN$24</definedName>
    <definedName name="lis_act" localSheetId="6">[1]listas!$L$11:$L$30</definedName>
    <definedName name="lis_act">listas!$L$11:$L$30</definedName>
    <definedName name="lis_act2" localSheetId="6">[1]listas!$Q$11:$Q$27</definedName>
    <definedName name="lis_act2">listas!$Q$11:$Q$27</definedName>
    <definedName name="lis_dat" localSheetId="6">[1]datos!$A$10:$A$129</definedName>
    <definedName name="lis_dat">datos!$A$10:$A$129</definedName>
    <definedName name="lis_ma">listas!$B$12:$B$95</definedName>
    <definedName name="lis_rub" localSheetId="6">[1]listas!$J$11:$J$23</definedName>
    <definedName name="lis_rub">listas!$J$11:$J$23</definedName>
    <definedName name="ran">listas!$J$79</definedName>
    <definedName name="ran_act" localSheetId="6">[1]listas!$L$11:$N$30</definedName>
    <definedName name="ran_act">listas!$L$11:$N$30</definedName>
    <definedName name="ran_act2" localSheetId="6">[1]listas!$Q$11:$V$27</definedName>
    <definedName name="ran_act2">listas!$Q$11:$V$27</definedName>
    <definedName name="ran_dat" localSheetId="6">[1]datos!$A$1:$NP$300</definedName>
    <definedName name="ran_dat">datos!$A$1:$NP$300</definedName>
    <definedName name="ran_expo">#REF!</definedName>
    <definedName name="ran_idma" localSheetId="6">[1]listas!$C$12:$D$143</definedName>
    <definedName name="ran_idma">listas!$C$12:$D$143</definedName>
    <definedName name="ran_impo">#REF!</definedName>
    <definedName name="ran_ma" localSheetId="6">[1]listas!$B$12:$G$143</definedName>
    <definedName name="ran_ma">listas!$B$12:$G$143</definedName>
  </definedNam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C19" i="117" l="1"/>
  <c r="AV146" i="122"/>
  <c r="AU146" i="122"/>
  <c r="AT146" i="122"/>
  <c r="AR146" i="122"/>
  <c r="AQ146" i="122"/>
  <c r="AP146" i="122"/>
  <c r="AO146" i="122"/>
  <c r="AN146" i="122"/>
  <c r="AM146" i="122"/>
  <c r="AL146" i="122"/>
  <c r="CG14" i="117"/>
  <c r="FV138" i="9"/>
  <c r="NT147" i="9"/>
  <c r="CZ6" i="14"/>
  <c r="CZ7" i="14"/>
  <c r="CZ8" i="14"/>
  <c r="CZ9" i="14"/>
  <c r="CZ10" i="14"/>
  <c r="CZ11" i="14"/>
  <c r="CZ12" i="14"/>
  <c r="CZ13" i="14"/>
  <c r="CZ14" i="14"/>
  <c r="CZ15" i="14"/>
  <c r="CZ16" i="14"/>
  <c r="CZ17" i="14"/>
  <c r="CZ18" i="14"/>
  <c r="CZ19" i="14"/>
  <c r="CZ20" i="14"/>
  <c r="CZ21" i="14"/>
  <c r="CZ22" i="14"/>
  <c r="CZ23" i="14"/>
  <c r="CZ5" i="14"/>
  <c r="I11" i="138"/>
  <c r="I12" i="138"/>
  <c r="I13" i="138"/>
  <c r="G15" i="138"/>
  <c r="I19" i="138"/>
  <c r="I20" i="138"/>
  <c r="I22" i="138"/>
  <c r="I6" i="138"/>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7" i="9"/>
  <c r="Y25" i="142"/>
  <c r="BD24" i="142"/>
  <c r="C24" i="142"/>
  <c r="BD23" i="142"/>
  <c r="C23" i="142"/>
  <c r="BD22" i="142"/>
  <c r="Z22" i="142"/>
  <c r="C22" i="142"/>
  <c r="BD21" i="142"/>
  <c r="C21" i="142"/>
  <c r="BD20" i="142"/>
  <c r="Z20" i="142"/>
  <c r="C20" i="142"/>
  <c r="BD19" i="142"/>
  <c r="Z19" i="142"/>
  <c r="C19" i="142"/>
  <c r="BD18" i="142"/>
  <c r="C18" i="142"/>
  <c r="BD17" i="142"/>
  <c r="C17" i="142"/>
  <c r="BD16" i="142"/>
  <c r="C16" i="142"/>
  <c r="BD15" i="142"/>
  <c r="V15" i="142"/>
  <c r="BD14" i="142"/>
  <c r="C14" i="142"/>
  <c r="BD13" i="142"/>
  <c r="Z13" i="142"/>
  <c r="C13" i="142"/>
  <c r="BD12" i="142"/>
  <c r="Z12" i="142"/>
  <c r="C12" i="142"/>
  <c r="BD11" i="142"/>
  <c r="Z11" i="142"/>
  <c r="C11" i="142"/>
  <c r="BD10" i="142"/>
  <c r="C10" i="142"/>
  <c r="BD9" i="142"/>
  <c r="BD8" i="142"/>
  <c r="C8" i="142"/>
  <c r="BD7" i="142"/>
  <c r="C7" i="142"/>
  <c r="BD6" i="142"/>
  <c r="Z6" i="142"/>
  <c r="C6" i="142"/>
  <c r="BD5" i="142"/>
  <c r="BA2" i="142"/>
  <c r="AZ2" i="142"/>
  <c r="AY2" i="142"/>
  <c r="AX2" i="142"/>
  <c r="AW2" i="142"/>
  <c r="AV2" i="142"/>
  <c r="AU2" i="142"/>
  <c r="AT2" i="142"/>
  <c r="AS2" i="142"/>
  <c r="AR2" i="142"/>
  <c r="AQ2" i="142"/>
  <c r="AP2" i="142"/>
  <c r="CJ1" i="142"/>
  <c r="CF1" i="142"/>
  <c r="BP1" i="142"/>
  <c r="BL1" i="142"/>
  <c r="JB107" i="9"/>
  <c r="JB108" i="9" s="1"/>
  <c r="JB109" i="9" s="1"/>
  <c r="JB110" i="9" s="1"/>
  <c r="JB111" i="9" s="1"/>
  <c r="JB112" i="9" s="1"/>
  <c r="JB113" i="9" s="1"/>
  <c r="JB114" i="9" s="1"/>
  <c r="JB115" i="9" s="1"/>
  <c r="JB116" i="9" s="1"/>
  <c r="JB117" i="9" s="1"/>
  <c r="JB118" i="9" s="1"/>
  <c r="JB119" i="9" s="1"/>
  <c r="JB120" i="9" s="1"/>
  <c r="JB121" i="9" s="1"/>
  <c r="JB122" i="9" s="1"/>
  <c r="JB123" i="9" s="1"/>
  <c r="JB124" i="9" s="1"/>
  <c r="JB125" i="9" s="1"/>
  <c r="JB126" i="9" s="1"/>
  <c r="JB127" i="9" s="1"/>
  <c r="JB128" i="9" s="1"/>
  <c r="JB129" i="9" s="1"/>
  <c r="JB130" i="9" s="1"/>
  <c r="JB131" i="9" s="1"/>
  <c r="JB132" i="9" s="1"/>
  <c r="JB133" i="9" s="1"/>
  <c r="JB134" i="9" s="1"/>
  <c r="JB135" i="9" s="1"/>
  <c r="JB136" i="9" s="1"/>
  <c r="JB137" i="9" s="1"/>
  <c r="JB106" i="9"/>
  <c r="C3" i="117"/>
  <c r="D3" i="117"/>
  <c r="E3" i="117"/>
  <c r="F3" i="117"/>
  <c r="G3" i="117"/>
  <c r="H3" i="117"/>
  <c r="I3" i="117"/>
  <c r="J3" i="117"/>
  <c r="K3" i="117"/>
  <c r="L3" i="117"/>
  <c r="M3" i="117"/>
  <c r="N3" i="117"/>
  <c r="O3" i="117"/>
  <c r="P3" i="117"/>
  <c r="Q3" i="117"/>
  <c r="R3" i="117"/>
  <c r="S3" i="117"/>
  <c r="T3" i="117"/>
  <c r="U3" i="117"/>
  <c r="V3" i="117"/>
  <c r="W3" i="117"/>
  <c r="X3" i="117"/>
  <c r="Y3" i="117"/>
  <c r="Z3" i="117"/>
  <c r="AA3" i="117"/>
  <c r="AB3" i="117"/>
  <c r="AC3" i="117"/>
  <c r="AD3" i="117"/>
  <c r="AE3" i="117"/>
  <c r="AF3" i="117"/>
  <c r="AG3" i="117"/>
  <c r="AH3" i="117"/>
  <c r="AI3" i="117"/>
  <c r="AJ3" i="117"/>
  <c r="AK3" i="117"/>
  <c r="AL3" i="117"/>
  <c r="AM3" i="117"/>
  <c r="AN3" i="117"/>
  <c r="AO3" i="117"/>
  <c r="AP3" i="117"/>
  <c r="AQ3" i="117"/>
  <c r="AR3" i="117"/>
  <c r="AS3" i="117"/>
  <c r="AT3" i="117"/>
  <c r="AU3" i="117"/>
  <c r="AV3" i="117"/>
  <c r="AW3" i="117"/>
  <c r="AX3" i="117"/>
  <c r="AY3" i="117"/>
  <c r="AZ3" i="117"/>
  <c r="BA3" i="117"/>
  <c r="BB3" i="117"/>
  <c r="BC3" i="117"/>
  <c r="BD3" i="117"/>
  <c r="BE3" i="117"/>
  <c r="BF3" i="117"/>
  <c r="BG3" i="117"/>
  <c r="BH3" i="117"/>
  <c r="BI3" i="117"/>
  <c r="BJ3" i="117"/>
  <c r="BK3" i="117"/>
  <c r="C4" i="117"/>
  <c r="D4" i="117"/>
  <c r="E4" i="117"/>
  <c r="F4" i="117"/>
  <c r="G4" i="117"/>
  <c r="H4" i="117"/>
  <c r="I4" i="117"/>
  <c r="J4" i="117"/>
  <c r="K4" i="117"/>
  <c r="L4" i="117"/>
  <c r="M4" i="117"/>
  <c r="N4" i="117"/>
  <c r="O4" i="117"/>
  <c r="P4" i="117"/>
  <c r="Q4" i="117"/>
  <c r="R4" i="117"/>
  <c r="S4" i="117"/>
  <c r="T4" i="117"/>
  <c r="U4" i="117"/>
  <c r="V4" i="117"/>
  <c r="W4" i="117"/>
  <c r="X4" i="117"/>
  <c r="Y4" i="117"/>
  <c r="Z4" i="117"/>
  <c r="AA4" i="117"/>
  <c r="AB4" i="117"/>
  <c r="AC4" i="117"/>
  <c r="AD4" i="117"/>
  <c r="AE4" i="117"/>
  <c r="AF4" i="117"/>
  <c r="AG4" i="117"/>
  <c r="AH4" i="117"/>
  <c r="AI4" i="117"/>
  <c r="AJ4" i="117"/>
  <c r="AK4" i="117"/>
  <c r="AL4" i="117"/>
  <c r="AM4" i="117"/>
  <c r="AN4" i="117"/>
  <c r="AO4" i="117"/>
  <c r="AP4" i="117"/>
  <c r="AQ4" i="117"/>
  <c r="AR4" i="117"/>
  <c r="AS4" i="117"/>
  <c r="AT4" i="117"/>
  <c r="AU4" i="117"/>
  <c r="AV4" i="117"/>
  <c r="AW4" i="117"/>
  <c r="AX4" i="117"/>
  <c r="AY4" i="117"/>
  <c r="AZ4" i="117"/>
  <c r="BA4" i="117"/>
  <c r="BB4" i="117"/>
  <c r="BC4" i="117"/>
  <c r="BD4" i="117"/>
  <c r="BE4" i="117"/>
  <c r="BF4" i="117"/>
  <c r="BG4" i="117"/>
  <c r="BH4" i="117"/>
  <c r="BI4" i="117"/>
  <c r="BJ4" i="117"/>
  <c r="BK4" i="117"/>
  <c r="C5" i="117"/>
  <c r="D5" i="117"/>
  <c r="E5" i="117"/>
  <c r="F5" i="117"/>
  <c r="G5" i="117"/>
  <c r="H5" i="117"/>
  <c r="I5" i="117"/>
  <c r="J5" i="117"/>
  <c r="K5" i="117"/>
  <c r="L5" i="117"/>
  <c r="M5" i="117"/>
  <c r="N5" i="117"/>
  <c r="O5" i="117"/>
  <c r="P5" i="117"/>
  <c r="Q5" i="117"/>
  <c r="R5" i="117"/>
  <c r="S5" i="117"/>
  <c r="T5" i="117"/>
  <c r="U5" i="117"/>
  <c r="V5" i="117"/>
  <c r="W5" i="117"/>
  <c r="X5" i="117"/>
  <c r="Y5" i="117"/>
  <c r="Z5" i="117"/>
  <c r="AA5" i="117"/>
  <c r="AB5" i="117"/>
  <c r="AC5" i="117"/>
  <c r="AD5" i="117"/>
  <c r="AE5" i="117"/>
  <c r="AF5" i="117"/>
  <c r="AG5" i="117"/>
  <c r="AH5" i="117"/>
  <c r="AI5" i="117"/>
  <c r="AJ5" i="117"/>
  <c r="AK5" i="117"/>
  <c r="AL5" i="117"/>
  <c r="AM5" i="117"/>
  <c r="AN5" i="117"/>
  <c r="AO5" i="117"/>
  <c r="AP5" i="117"/>
  <c r="AQ5" i="117"/>
  <c r="AR5" i="117"/>
  <c r="AS5" i="117"/>
  <c r="AT5" i="117"/>
  <c r="AU5" i="117"/>
  <c r="AV5" i="117"/>
  <c r="AW5" i="117"/>
  <c r="AX5" i="117"/>
  <c r="AY5" i="117"/>
  <c r="AZ5" i="117"/>
  <c r="BA5" i="117"/>
  <c r="BB5" i="117"/>
  <c r="BC5" i="117"/>
  <c r="BD5" i="117"/>
  <c r="BE5" i="117"/>
  <c r="BF5" i="117"/>
  <c r="BG5" i="117"/>
  <c r="BH5" i="117"/>
  <c r="BI5" i="117"/>
  <c r="BJ5" i="117"/>
  <c r="BK5" i="117"/>
  <c r="C6" i="117"/>
  <c r="D6" i="117"/>
  <c r="E6" i="117"/>
  <c r="F6" i="117"/>
  <c r="G6" i="117"/>
  <c r="H6" i="117"/>
  <c r="I6" i="117"/>
  <c r="J6" i="117"/>
  <c r="K6" i="117"/>
  <c r="L6" i="117"/>
  <c r="M6" i="117"/>
  <c r="N6" i="117"/>
  <c r="O6" i="117"/>
  <c r="P6" i="117"/>
  <c r="Q6" i="117"/>
  <c r="R6" i="117"/>
  <c r="S6" i="117"/>
  <c r="T6" i="117"/>
  <c r="U6" i="117"/>
  <c r="V6" i="117"/>
  <c r="W6" i="117"/>
  <c r="X6" i="117"/>
  <c r="Y6" i="117"/>
  <c r="Z6" i="117"/>
  <c r="AA6" i="117"/>
  <c r="AB6" i="117"/>
  <c r="AC6" i="117"/>
  <c r="AD6" i="117"/>
  <c r="AE6" i="117"/>
  <c r="AF6" i="117"/>
  <c r="AG6" i="117"/>
  <c r="AH6" i="117"/>
  <c r="AI6" i="117"/>
  <c r="AJ6" i="117"/>
  <c r="AK6" i="117"/>
  <c r="AL6" i="117"/>
  <c r="AM6" i="117"/>
  <c r="AN6" i="117"/>
  <c r="AO6" i="117"/>
  <c r="AP6" i="117"/>
  <c r="AQ6" i="117"/>
  <c r="AR6" i="117"/>
  <c r="AS6" i="117"/>
  <c r="AT6" i="117"/>
  <c r="AU6" i="117"/>
  <c r="AV6" i="117"/>
  <c r="AW6" i="117"/>
  <c r="AX6" i="117"/>
  <c r="AY6" i="117"/>
  <c r="AZ6" i="117"/>
  <c r="BA6" i="117"/>
  <c r="BB6" i="117"/>
  <c r="BC6" i="117"/>
  <c r="BD6" i="117"/>
  <c r="BE6" i="117"/>
  <c r="BF6" i="117"/>
  <c r="BG6" i="117"/>
  <c r="BH6" i="117"/>
  <c r="BI6" i="117"/>
  <c r="BJ6" i="117"/>
  <c r="BK6" i="117"/>
  <c r="C7" i="117"/>
  <c r="D7" i="117"/>
  <c r="E7" i="117"/>
  <c r="F7" i="117"/>
  <c r="G7" i="117"/>
  <c r="H7" i="117"/>
  <c r="I7" i="117"/>
  <c r="J7" i="117"/>
  <c r="K7" i="117"/>
  <c r="L7" i="117"/>
  <c r="M7" i="117"/>
  <c r="N7" i="117"/>
  <c r="O7" i="117"/>
  <c r="P7" i="117"/>
  <c r="Q7" i="117"/>
  <c r="R7" i="117"/>
  <c r="S7" i="117"/>
  <c r="T7" i="117"/>
  <c r="U7" i="117"/>
  <c r="V7" i="117"/>
  <c r="W7" i="117"/>
  <c r="X7" i="117"/>
  <c r="Y7" i="117"/>
  <c r="Z7" i="117"/>
  <c r="AA7" i="117"/>
  <c r="AB7" i="117"/>
  <c r="AC7" i="117"/>
  <c r="AD7" i="117"/>
  <c r="AE7" i="117"/>
  <c r="AF7" i="117"/>
  <c r="AG7" i="117"/>
  <c r="AH7" i="117"/>
  <c r="AI7" i="117"/>
  <c r="AJ7" i="117"/>
  <c r="AK7" i="117"/>
  <c r="AL7" i="117"/>
  <c r="AM7" i="117"/>
  <c r="AN7" i="117"/>
  <c r="AO7" i="117"/>
  <c r="AP7" i="117"/>
  <c r="AQ7" i="117"/>
  <c r="AR7" i="117"/>
  <c r="AS7" i="117"/>
  <c r="AT7" i="117"/>
  <c r="AU7" i="117"/>
  <c r="AV7" i="117"/>
  <c r="AW7" i="117"/>
  <c r="AX7" i="117"/>
  <c r="AY7" i="117"/>
  <c r="AZ7" i="117"/>
  <c r="BA7" i="117"/>
  <c r="BB7" i="117"/>
  <c r="BC7" i="117"/>
  <c r="BD7" i="117"/>
  <c r="BE7" i="117"/>
  <c r="BF7" i="117"/>
  <c r="BG7" i="117"/>
  <c r="BH7" i="117"/>
  <c r="BI7" i="117"/>
  <c r="BJ7" i="117"/>
  <c r="BK7" i="117"/>
  <c r="C8" i="117"/>
  <c r="D8" i="117"/>
  <c r="E8" i="117"/>
  <c r="F8" i="117"/>
  <c r="G8" i="117"/>
  <c r="H8" i="117"/>
  <c r="I8" i="117"/>
  <c r="J8" i="117"/>
  <c r="K8" i="117"/>
  <c r="L8" i="117"/>
  <c r="M8" i="117"/>
  <c r="N8" i="117"/>
  <c r="O8" i="117"/>
  <c r="P8" i="117"/>
  <c r="Q8" i="117"/>
  <c r="R8" i="117"/>
  <c r="S8" i="117"/>
  <c r="T8" i="117"/>
  <c r="U8" i="117"/>
  <c r="V8" i="117"/>
  <c r="W8" i="117"/>
  <c r="X8" i="117"/>
  <c r="Y8" i="117"/>
  <c r="Z8" i="117"/>
  <c r="AA8" i="117"/>
  <c r="AB8" i="117"/>
  <c r="AC8" i="117"/>
  <c r="AD8" i="117"/>
  <c r="AE8" i="117"/>
  <c r="AF8" i="117"/>
  <c r="AG8" i="117"/>
  <c r="AH8" i="117"/>
  <c r="AI8" i="117"/>
  <c r="AJ8" i="117"/>
  <c r="AK8" i="117"/>
  <c r="AL8" i="117"/>
  <c r="AM8" i="117"/>
  <c r="AN8" i="117"/>
  <c r="AO8" i="117"/>
  <c r="AP8" i="117"/>
  <c r="AQ8" i="117"/>
  <c r="AR8" i="117"/>
  <c r="AS8" i="117"/>
  <c r="AT8" i="117"/>
  <c r="AU8" i="117"/>
  <c r="AV8" i="117"/>
  <c r="AW8" i="117"/>
  <c r="AX8" i="117"/>
  <c r="AY8" i="117"/>
  <c r="AZ8" i="117"/>
  <c r="BA8" i="117"/>
  <c r="BB8" i="117"/>
  <c r="BC8" i="117"/>
  <c r="BD8" i="117"/>
  <c r="BE8" i="117"/>
  <c r="BF8" i="117"/>
  <c r="BG8" i="117"/>
  <c r="BH8" i="117"/>
  <c r="BI8" i="117"/>
  <c r="BJ8" i="117"/>
  <c r="BK8" i="117"/>
  <c r="C9" i="117"/>
  <c r="D9" i="117"/>
  <c r="E9" i="117"/>
  <c r="F9" i="117"/>
  <c r="G9" i="117"/>
  <c r="H9" i="117"/>
  <c r="I9" i="117"/>
  <c r="J9" i="117"/>
  <c r="K9" i="117"/>
  <c r="L9" i="117"/>
  <c r="M9" i="117"/>
  <c r="N9" i="117"/>
  <c r="O9" i="117"/>
  <c r="P9" i="117"/>
  <c r="Q9" i="117"/>
  <c r="R9" i="117"/>
  <c r="S9" i="117"/>
  <c r="T9" i="117"/>
  <c r="U9" i="117"/>
  <c r="V9" i="117"/>
  <c r="W9" i="117"/>
  <c r="X9" i="117"/>
  <c r="Y9" i="117"/>
  <c r="Z9" i="117"/>
  <c r="AA9" i="117"/>
  <c r="AB9" i="117"/>
  <c r="AC9" i="117"/>
  <c r="AD9" i="117"/>
  <c r="AE9" i="117"/>
  <c r="AF9" i="117"/>
  <c r="AG9" i="117"/>
  <c r="AH9" i="117"/>
  <c r="AI9" i="117"/>
  <c r="AJ9" i="117"/>
  <c r="AK9" i="117"/>
  <c r="AL9" i="117"/>
  <c r="AM9" i="117"/>
  <c r="AN9" i="117"/>
  <c r="AO9" i="117"/>
  <c r="AP9" i="117"/>
  <c r="AQ9" i="117"/>
  <c r="AR9" i="117"/>
  <c r="AS9" i="117"/>
  <c r="AT9" i="117"/>
  <c r="AU9" i="117"/>
  <c r="AV9" i="117"/>
  <c r="AW9" i="117"/>
  <c r="AX9" i="117"/>
  <c r="AY9" i="117"/>
  <c r="AZ9" i="117"/>
  <c r="BA9" i="117"/>
  <c r="BB9" i="117"/>
  <c r="BC9" i="117"/>
  <c r="BD9" i="117"/>
  <c r="BE9" i="117"/>
  <c r="BF9" i="117"/>
  <c r="BG9" i="117"/>
  <c r="BH9" i="117"/>
  <c r="BI9" i="117"/>
  <c r="BJ9" i="117"/>
  <c r="BK9" i="117"/>
  <c r="C10" i="117"/>
  <c r="D10" i="117"/>
  <c r="E10" i="117"/>
  <c r="F10" i="117"/>
  <c r="G10" i="117"/>
  <c r="H10" i="117"/>
  <c r="I10" i="117"/>
  <c r="J10" i="117"/>
  <c r="K10" i="117"/>
  <c r="L10" i="117"/>
  <c r="M10" i="117"/>
  <c r="N10" i="117"/>
  <c r="O10" i="117"/>
  <c r="P10" i="117"/>
  <c r="Q10" i="117"/>
  <c r="R10" i="117"/>
  <c r="S10" i="117"/>
  <c r="T10" i="117"/>
  <c r="U10" i="117"/>
  <c r="V10" i="117"/>
  <c r="W10" i="117"/>
  <c r="X10" i="117"/>
  <c r="Y10" i="117"/>
  <c r="Z10" i="117"/>
  <c r="AA10" i="117"/>
  <c r="AB10" i="117"/>
  <c r="AC10" i="117"/>
  <c r="AD10" i="117"/>
  <c r="AE10" i="117"/>
  <c r="AF10" i="117"/>
  <c r="AG10" i="117"/>
  <c r="AH10" i="117"/>
  <c r="AI10" i="117"/>
  <c r="AJ10" i="117"/>
  <c r="AK10" i="117"/>
  <c r="AL10" i="117"/>
  <c r="AM10" i="117"/>
  <c r="AN10" i="117"/>
  <c r="AO10" i="117"/>
  <c r="AP10" i="117"/>
  <c r="AQ10" i="117"/>
  <c r="AR10" i="117"/>
  <c r="AS10" i="117"/>
  <c r="AT10" i="117"/>
  <c r="AU10" i="117"/>
  <c r="AV10" i="117"/>
  <c r="AW10" i="117"/>
  <c r="AX10" i="117"/>
  <c r="AY10" i="117"/>
  <c r="AZ10" i="117"/>
  <c r="BA10" i="117"/>
  <c r="BB10" i="117"/>
  <c r="BC10" i="117"/>
  <c r="BD10" i="117"/>
  <c r="BE10" i="117"/>
  <c r="BF10" i="117"/>
  <c r="BG10" i="117"/>
  <c r="BH10" i="117"/>
  <c r="BI10" i="117"/>
  <c r="BJ10" i="117"/>
  <c r="BK10" i="117"/>
  <c r="C11" i="117"/>
  <c r="D11" i="117"/>
  <c r="E11" i="117"/>
  <c r="F11" i="117"/>
  <c r="G11" i="117"/>
  <c r="H11" i="117"/>
  <c r="I11" i="117"/>
  <c r="J11" i="117"/>
  <c r="K11" i="117"/>
  <c r="L11" i="117"/>
  <c r="M11" i="117"/>
  <c r="N11" i="117"/>
  <c r="O11" i="117"/>
  <c r="P11" i="117"/>
  <c r="Q11" i="117"/>
  <c r="R11" i="117"/>
  <c r="S11" i="117"/>
  <c r="T11" i="117"/>
  <c r="U11" i="117"/>
  <c r="V11" i="117"/>
  <c r="W11" i="117"/>
  <c r="X11" i="117"/>
  <c r="Y11" i="117"/>
  <c r="Z11" i="117"/>
  <c r="AA11" i="117"/>
  <c r="AB11" i="117"/>
  <c r="AC11" i="117"/>
  <c r="AD11" i="117"/>
  <c r="AE11" i="117"/>
  <c r="AF11" i="117"/>
  <c r="AG11" i="117"/>
  <c r="AH11" i="117"/>
  <c r="AI11" i="117"/>
  <c r="AJ11" i="117"/>
  <c r="AK11" i="117"/>
  <c r="AL11" i="117"/>
  <c r="AM11" i="117"/>
  <c r="AN11" i="117"/>
  <c r="AO11" i="117"/>
  <c r="AP11" i="117"/>
  <c r="AQ11" i="117"/>
  <c r="AR11" i="117"/>
  <c r="AS11" i="117"/>
  <c r="AT11" i="117"/>
  <c r="AU11" i="117"/>
  <c r="AV11" i="117"/>
  <c r="AW11" i="117"/>
  <c r="AX11" i="117"/>
  <c r="AY11" i="117"/>
  <c r="AZ11" i="117"/>
  <c r="BA11" i="117"/>
  <c r="BB11" i="117"/>
  <c r="BC11" i="117"/>
  <c r="BD11" i="117"/>
  <c r="BE11" i="117"/>
  <c r="BF11" i="117"/>
  <c r="BG11" i="117"/>
  <c r="BH11" i="117"/>
  <c r="BI11" i="117"/>
  <c r="BJ11" i="117"/>
  <c r="BK11" i="117"/>
  <c r="C12" i="117"/>
  <c r="D12" i="117"/>
  <c r="E12" i="117"/>
  <c r="F12" i="117"/>
  <c r="G12" i="117"/>
  <c r="H12" i="117"/>
  <c r="I12" i="117"/>
  <c r="J12" i="117"/>
  <c r="K12" i="117"/>
  <c r="L12" i="117"/>
  <c r="M12" i="117"/>
  <c r="N12" i="117"/>
  <c r="O12" i="117"/>
  <c r="P12" i="117"/>
  <c r="Q12" i="117"/>
  <c r="R12" i="117"/>
  <c r="S12" i="117"/>
  <c r="T12" i="117"/>
  <c r="U12" i="117"/>
  <c r="V12" i="117"/>
  <c r="W12" i="117"/>
  <c r="X12" i="117"/>
  <c r="Y12" i="117"/>
  <c r="Z12" i="117"/>
  <c r="AA12" i="117"/>
  <c r="AB12" i="117"/>
  <c r="AC12" i="117"/>
  <c r="AD12" i="117"/>
  <c r="AE12" i="117"/>
  <c r="AF12" i="117"/>
  <c r="AG12" i="117"/>
  <c r="AH12" i="117"/>
  <c r="AI12" i="117"/>
  <c r="AJ12" i="117"/>
  <c r="AK12" i="117"/>
  <c r="AL12" i="117"/>
  <c r="AM12" i="117"/>
  <c r="AN12" i="117"/>
  <c r="AO12" i="117"/>
  <c r="AP12" i="117"/>
  <c r="AQ12" i="117"/>
  <c r="AR12" i="117"/>
  <c r="AS12" i="117"/>
  <c r="AT12" i="117"/>
  <c r="AU12" i="117"/>
  <c r="AV12" i="117"/>
  <c r="AW12" i="117"/>
  <c r="AX12" i="117"/>
  <c r="AY12" i="117"/>
  <c r="AZ12" i="117"/>
  <c r="BA12" i="117"/>
  <c r="BB12" i="117"/>
  <c r="BC12" i="117"/>
  <c r="BD12" i="117"/>
  <c r="BE12" i="117"/>
  <c r="BF12" i="117"/>
  <c r="BG12" i="117"/>
  <c r="BH12" i="117"/>
  <c r="BI12" i="117"/>
  <c r="BJ12" i="117"/>
  <c r="BK12" i="117"/>
  <c r="C13" i="117"/>
  <c r="D13" i="117"/>
  <c r="E13" i="117"/>
  <c r="F13" i="117"/>
  <c r="G13" i="117"/>
  <c r="H13" i="117"/>
  <c r="I13" i="117"/>
  <c r="J13" i="117"/>
  <c r="K13" i="117"/>
  <c r="L13" i="117"/>
  <c r="M13" i="117"/>
  <c r="N13" i="117"/>
  <c r="O13" i="117"/>
  <c r="P13" i="117"/>
  <c r="Q13" i="117"/>
  <c r="R13" i="117"/>
  <c r="S13" i="117"/>
  <c r="T13" i="117"/>
  <c r="U13" i="117"/>
  <c r="V13" i="117"/>
  <c r="W13" i="117"/>
  <c r="X13" i="117"/>
  <c r="Y13" i="117"/>
  <c r="Z13" i="117"/>
  <c r="AA13" i="117"/>
  <c r="AB13" i="117"/>
  <c r="AC13" i="117"/>
  <c r="AD13" i="117"/>
  <c r="AE13" i="117"/>
  <c r="AF13" i="117"/>
  <c r="AG13" i="117"/>
  <c r="AH13" i="117"/>
  <c r="AI13" i="117"/>
  <c r="AJ13" i="117"/>
  <c r="AK13" i="117"/>
  <c r="AL13" i="117"/>
  <c r="AM13" i="117"/>
  <c r="AN13" i="117"/>
  <c r="AO13" i="117"/>
  <c r="AP13" i="117"/>
  <c r="AQ13" i="117"/>
  <c r="AR13" i="117"/>
  <c r="AS13" i="117"/>
  <c r="AT13" i="117"/>
  <c r="AU13" i="117"/>
  <c r="AV13" i="117"/>
  <c r="AW13" i="117"/>
  <c r="AX13" i="117"/>
  <c r="AY13" i="117"/>
  <c r="AZ13" i="117"/>
  <c r="BA13" i="117"/>
  <c r="BB13" i="117"/>
  <c r="BC13" i="117"/>
  <c r="BD13" i="117"/>
  <c r="BE13" i="117"/>
  <c r="BF13" i="117"/>
  <c r="BG13" i="117"/>
  <c r="BH13" i="117"/>
  <c r="BI13" i="117"/>
  <c r="BJ13" i="117"/>
  <c r="BK13" i="117"/>
  <c r="B13" i="117"/>
  <c r="B12" i="117"/>
  <c r="B11" i="117"/>
  <c r="B10" i="117"/>
  <c r="B9" i="117"/>
  <c r="B8" i="117"/>
  <c r="B7" i="117"/>
  <c r="B6" i="117"/>
  <c r="B5" i="117"/>
  <c r="B4" i="117"/>
  <c r="B3" i="117"/>
  <c r="AK132" i="122"/>
  <c r="C132" i="122"/>
  <c r="D132" i="122"/>
  <c r="AM132" i="122" s="1"/>
  <c r="E132" i="122"/>
  <c r="G132" i="122"/>
  <c r="H132" i="122"/>
  <c r="AO132" i="122" s="1"/>
  <c r="I132" i="122"/>
  <c r="J132" i="122"/>
  <c r="AP132" i="122" s="1"/>
  <c r="K132" i="122"/>
  <c r="L132" i="122"/>
  <c r="M132" i="122"/>
  <c r="N132" i="122"/>
  <c r="AR132" i="122" s="1"/>
  <c r="O132" i="122"/>
  <c r="P132" i="122"/>
  <c r="Q132" i="122"/>
  <c r="R132" i="122"/>
  <c r="U132" i="122"/>
  <c r="V132" i="122"/>
  <c r="W132" i="122"/>
  <c r="X132" i="122" s="1"/>
  <c r="Z132" i="122"/>
  <c r="AA132" i="122" s="1"/>
  <c r="AC132" i="122"/>
  <c r="AI132" i="122"/>
  <c r="IQ137" i="9"/>
  <c r="LQ137" i="9"/>
  <c r="LR137" i="9"/>
  <c r="LS137" i="9"/>
  <c r="LT137" i="9"/>
  <c r="LU137" i="9"/>
  <c r="LV137" i="9"/>
  <c r="LW137" i="9"/>
  <c r="LX137" i="9"/>
  <c r="IJ137" i="9"/>
  <c r="IG137" i="9"/>
  <c r="II137" i="9" s="1"/>
  <c r="HN137" i="9"/>
  <c r="HP137" i="9"/>
  <c r="HK137" i="9"/>
  <c r="HH137" i="9"/>
  <c r="HE137" i="9"/>
  <c r="HB137" i="9"/>
  <c r="GS137" i="9"/>
  <c r="FV137" i="9"/>
  <c r="BT137" i="9"/>
  <c r="BT136" i="9"/>
  <c r="BM138" i="9"/>
  <c r="BM137" i="9"/>
  <c r="BB137" i="9"/>
  <c r="AQ132" i="122" l="1"/>
  <c r="AS132" i="122"/>
  <c r="AT132" i="122"/>
  <c r="AD132" i="122"/>
  <c r="CZ27" i="14"/>
  <c r="CZ25" i="14"/>
  <c r="CZ26" i="14"/>
  <c r="BA21" i="142"/>
  <c r="BA18" i="142"/>
  <c r="BA22" i="142"/>
  <c r="BA23" i="142"/>
  <c r="BA17" i="142"/>
  <c r="BA20" i="142"/>
  <c r="BA24" i="142"/>
  <c r="BA19" i="142"/>
  <c r="AZ18" i="142"/>
  <c r="AZ21" i="142"/>
  <c r="AZ23" i="142"/>
  <c r="AZ19" i="142"/>
  <c r="AZ17" i="142"/>
  <c r="AZ20" i="142"/>
  <c r="AZ24" i="142"/>
  <c r="AZ22" i="142"/>
  <c r="AY18" i="142"/>
  <c r="AY19" i="142"/>
  <c r="AY17" i="142"/>
  <c r="AY20" i="142"/>
  <c r="AY22" i="142"/>
  <c r="AY24" i="142"/>
  <c r="AY23" i="142"/>
  <c r="AY21" i="142"/>
  <c r="AX24" i="142"/>
  <c r="AX23" i="142"/>
  <c r="AX22" i="142"/>
  <c r="AX18" i="142"/>
  <c r="AX17" i="142"/>
  <c r="AX20" i="142"/>
  <c r="AX21" i="142"/>
  <c r="AX19" i="142"/>
  <c r="AW23" i="142"/>
  <c r="AW19" i="142"/>
  <c r="AW22" i="142"/>
  <c r="AW20" i="142"/>
  <c r="AW17" i="142"/>
  <c r="AW18" i="142"/>
  <c r="AW21" i="142"/>
  <c r="AW24" i="142"/>
  <c r="AV23" i="142"/>
  <c r="AV19" i="142"/>
  <c r="AV20" i="142"/>
  <c r="AV21" i="142"/>
  <c r="AV22" i="142"/>
  <c r="AV24" i="142"/>
  <c r="AV17" i="142"/>
  <c r="AV18" i="142"/>
  <c r="AU17" i="142"/>
  <c r="AU23" i="142"/>
  <c r="AU22" i="142"/>
  <c r="AU20" i="142"/>
  <c r="AU19" i="142"/>
  <c r="AU18" i="142"/>
  <c r="AU24" i="142"/>
  <c r="AU21" i="142"/>
  <c r="AT18" i="142"/>
  <c r="AT20" i="142"/>
  <c r="AT21" i="142"/>
  <c r="AT22" i="142"/>
  <c r="AT17" i="142"/>
  <c r="AT19" i="142"/>
  <c r="AT23" i="142"/>
  <c r="AT24" i="142"/>
  <c r="AS24" i="142"/>
  <c r="AS22" i="142"/>
  <c r="AS20" i="142"/>
  <c r="AS23" i="142"/>
  <c r="AS18" i="142"/>
  <c r="AS19" i="142"/>
  <c r="AS17" i="142"/>
  <c r="AS21" i="142"/>
  <c r="AR23" i="142"/>
  <c r="AR24" i="142"/>
  <c r="AR20" i="142"/>
  <c r="AR18" i="142"/>
  <c r="AR21" i="142"/>
  <c r="AR19" i="142"/>
  <c r="AR22" i="142"/>
  <c r="AR17" i="142"/>
  <c r="AQ22" i="142"/>
  <c r="AQ19" i="142"/>
  <c r="AQ24" i="142"/>
  <c r="AQ21" i="142"/>
  <c r="AQ17" i="142"/>
  <c r="AQ23" i="142"/>
  <c r="AQ20" i="142"/>
  <c r="AQ18" i="142"/>
  <c r="AP23" i="142"/>
  <c r="AP17" i="142"/>
  <c r="AP21" i="142"/>
  <c r="AP24" i="142"/>
  <c r="AP22" i="142"/>
  <c r="AP18" i="142"/>
  <c r="AP20" i="142"/>
  <c r="AP19" i="142"/>
  <c r="AG132" i="122"/>
  <c r="AE132" i="122"/>
  <c r="AD137" i="9"/>
  <c r="F132" i="122" s="1"/>
  <c r="AN132" i="122" s="1"/>
  <c r="AC137" i="9"/>
  <c r="AB137" i="9"/>
  <c r="AA137" i="9"/>
  <c r="T137" i="9"/>
  <c r="Z137" i="9" s="1"/>
  <c r="Y137" i="9"/>
  <c r="R137" i="9"/>
  <c r="B132" i="122" s="1"/>
  <c r="AL132" i="122" s="1"/>
  <c r="GV137" i="9"/>
  <c r="GU137" i="9"/>
  <c r="CZ28" i="14" l="1"/>
  <c r="CZ32" i="14" s="1"/>
  <c r="AE137" i="9"/>
  <c r="IQ136" i="9"/>
  <c r="DZ13" i="14" l="1"/>
  <c r="DZ14" i="14" s="1"/>
  <c r="DZ15" i="14" s="1"/>
  <c r="DZ16" i="14" s="1"/>
  <c r="DZ17" i="14" s="1"/>
  <c r="DZ18" i="14" s="1"/>
  <c r="DZ19" i="14" s="1"/>
  <c r="DZ20" i="14" s="1"/>
  <c r="DZ21" i="14" s="1"/>
  <c r="DZ22" i="14" s="1"/>
  <c r="AZ135" i="122"/>
  <c r="AK6" i="122"/>
  <c r="AK7" i="122"/>
  <c r="AK8" i="122"/>
  <c r="AK9" i="122"/>
  <c r="AK10" i="122"/>
  <c r="AK11" i="122"/>
  <c r="AK12" i="122"/>
  <c r="AK13" i="122"/>
  <c r="AK14" i="122"/>
  <c r="AK15" i="122"/>
  <c r="AK16" i="122"/>
  <c r="AK17" i="122"/>
  <c r="AK18" i="122"/>
  <c r="AK19" i="122"/>
  <c r="AK20" i="122"/>
  <c r="AK21" i="122"/>
  <c r="AK22" i="122"/>
  <c r="AK23" i="122"/>
  <c r="AK24" i="122"/>
  <c r="AK25" i="122"/>
  <c r="AK26" i="122"/>
  <c r="AK27" i="122"/>
  <c r="AK28" i="122"/>
  <c r="AK29" i="122"/>
  <c r="AK30" i="122"/>
  <c r="AK31" i="122"/>
  <c r="AK32" i="122"/>
  <c r="AK33" i="122"/>
  <c r="AK34" i="122"/>
  <c r="AK35" i="122"/>
  <c r="AK36" i="122"/>
  <c r="AK37" i="122"/>
  <c r="AK38" i="122"/>
  <c r="AK39" i="122"/>
  <c r="AK40" i="122"/>
  <c r="AK41" i="122"/>
  <c r="AK42" i="122"/>
  <c r="AK43" i="122"/>
  <c r="AK44" i="122"/>
  <c r="AK45" i="122"/>
  <c r="AK46" i="122"/>
  <c r="AK47" i="122"/>
  <c r="AK48" i="122"/>
  <c r="AK49" i="122"/>
  <c r="AK50" i="122"/>
  <c r="AK51" i="122"/>
  <c r="AK52" i="122"/>
  <c r="AK53" i="122"/>
  <c r="AK54" i="122"/>
  <c r="AK55" i="122"/>
  <c r="AK56" i="122"/>
  <c r="AK57" i="122"/>
  <c r="AK58" i="122"/>
  <c r="AK59" i="122"/>
  <c r="AK60" i="122"/>
  <c r="AK61" i="122"/>
  <c r="AK62" i="122"/>
  <c r="AK63" i="122"/>
  <c r="AK64" i="122"/>
  <c r="AK65" i="122"/>
  <c r="AK66" i="122"/>
  <c r="AK67" i="122"/>
  <c r="AK68" i="122"/>
  <c r="AK69" i="122"/>
  <c r="AK70" i="122"/>
  <c r="AK71" i="122"/>
  <c r="AK72" i="122"/>
  <c r="AK73" i="122"/>
  <c r="AK74" i="122"/>
  <c r="AK75" i="122"/>
  <c r="AK76" i="122"/>
  <c r="AK77" i="122"/>
  <c r="AK78" i="122"/>
  <c r="AK79" i="122"/>
  <c r="AK80" i="122"/>
  <c r="AK81" i="122"/>
  <c r="AK82" i="122"/>
  <c r="AK83" i="122"/>
  <c r="AK84" i="122"/>
  <c r="AK85" i="122"/>
  <c r="AK86" i="122"/>
  <c r="AK87" i="122"/>
  <c r="AK88" i="122"/>
  <c r="AK89" i="122"/>
  <c r="AK90" i="122"/>
  <c r="AK91" i="122"/>
  <c r="AK92" i="122"/>
  <c r="AK93" i="122"/>
  <c r="AK94" i="122"/>
  <c r="AK95" i="122"/>
  <c r="AK96" i="122"/>
  <c r="AK97" i="122"/>
  <c r="AK98" i="122"/>
  <c r="AK99" i="122"/>
  <c r="AK100" i="122"/>
  <c r="AK101" i="122"/>
  <c r="AK102" i="122"/>
  <c r="AK103" i="122"/>
  <c r="AK104" i="122"/>
  <c r="AK105" i="122"/>
  <c r="AK106" i="122"/>
  <c r="AK107" i="122"/>
  <c r="AK108" i="122"/>
  <c r="AK109" i="122"/>
  <c r="AK110" i="122"/>
  <c r="AK111" i="122"/>
  <c r="AK112" i="122"/>
  <c r="AK113" i="122"/>
  <c r="AK114" i="122"/>
  <c r="AK115" i="122"/>
  <c r="AK116" i="122"/>
  <c r="AK117" i="122"/>
  <c r="AK118" i="122"/>
  <c r="AK119" i="122"/>
  <c r="AK120" i="122"/>
  <c r="AK121" i="122"/>
  <c r="AK122" i="122"/>
  <c r="AK123" i="122"/>
  <c r="AK124" i="122"/>
  <c r="AK125" i="122"/>
  <c r="AK126" i="122"/>
  <c r="AK127" i="122"/>
  <c r="AK128" i="122"/>
  <c r="AK129" i="122"/>
  <c r="AK130" i="122"/>
  <c r="AK131" i="122"/>
  <c r="AK5" i="122"/>
  <c r="C131" i="122"/>
  <c r="D131" i="122"/>
  <c r="E131" i="122"/>
  <c r="G131" i="122"/>
  <c r="I131" i="122"/>
  <c r="K131" i="122"/>
  <c r="M131" i="122"/>
  <c r="O131" i="122"/>
  <c r="P131" i="122"/>
  <c r="Q131" i="122"/>
  <c r="R131" i="122"/>
  <c r="U131" i="122"/>
  <c r="V131" i="122" s="1"/>
  <c r="W131" i="122"/>
  <c r="X131" i="122" s="1"/>
  <c r="Z131" i="122"/>
  <c r="AC131" i="122"/>
  <c r="AI131" i="122"/>
  <c r="AT131" i="122" l="1"/>
  <c r="AS131" i="122"/>
  <c r="AM131" i="122"/>
  <c r="AM144" i="122" s="1"/>
  <c r="AT144" i="122"/>
  <c r="AS144" i="122"/>
  <c r="CY6" i="14" l="1"/>
  <c r="BA7" i="142" s="1"/>
  <c r="CY7" i="14"/>
  <c r="BA8" i="142" s="1"/>
  <c r="CY8" i="14"/>
  <c r="BA9" i="142" s="1"/>
  <c r="CY9" i="14"/>
  <c r="BA10" i="142" s="1"/>
  <c r="CY10" i="14"/>
  <c r="BA11" i="142" s="1"/>
  <c r="CY11" i="14"/>
  <c r="BA12" i="142" s="1"/>
  <c r="CY12" i="14"/>
  <c r="BA13" i="142" s="1"/>
  <c r="CY13" i="14"/>
  <c r="BA14" i="142" s="1"/>
  <c r="CY14" i="14"/>
  <c r="BA15" i="142" s="1"/>
  <c r="CY15" i="14"/>
  <c r="BA16" i="142" s="1"/>
  <c r="CY16" i="14"/>
  <c r="CY17" i="14"/>
  <c r="CY18" i="14"/>
  <c r="CY19" i="14"/>
  <c r="CY20" i="14"/>
  <c r="CY21" i="14"/>
  <c r="CY22" i="14"/>
  <c r="CY23" i="14"/>
  <c r="CY5" i="14"/>
  <c r="BA6" i="142" s="1"/>
  <c r="C25" i="14"/>
  <c r="D25" i="14"/>
  <c r="E25" i="14"/>
  <c r="F25" i="14"/>
  <c r="G25" i="14"/>
  <c r="H25" i="14"/>
  <c r="I25" i="14"/>
  <c r="J25" i="14"/>
  <c r="K25" i="14"/>
  <c r="L25" i="14"/>
  <c r="M25" i="14"/>
  <c r="N25" i="14"/>
  <c r="O25" i="14"/>
  <c r="P25" i="14"/>
  <c r="Q25" i="14"/>
  <c r="R25" i="14"/>
  <c r="S25" i="14"/>
  <c r="T25" i="14"/>
  <c r="U25" i="14"/>
  <c r="V25" i="14"/>
  <c r="W25" i="14"/>
  <c r="X25" i="14"/>
  <c r="Y25" i="14"/>
  <c r="Z25" i="14"/>
  <c r="AA25" i="14"/>
  <c r="AB25" i="14"/>
  <c r="AC25" i="14"/>
  <c r="AD25" i="14"/>
  <c r="AE25" i="14"/>
  <c r="AF25" i="14"/>
  <c r="AG25" i="14"/>
  <c r="AH25" i="14"/>
  <c r="AI25" i="14"/>
  <c r="AJ25" i="14"/>
  <c r="AK25" i="14"/>
  <c r="AL25" i="14"/>
  <c r="AM25" i="14"/>
  <c r="AN25" i="14"/>
  <c r="AO25" i="14"/>
  <c r="AP25" i="14"/>
  <c r="AQ25" i="14"/>
  <c r="AR25" i="14"/>
  <c r="AS25" i="14"/>
  <c r="AT25" i="14"/>
  <c r="AU25" i="14"/>
  <c r="AV25" i="14"/>
  <c r="AW25" i="14"/>
  <c r="AX25" i="14"/>
  <c r="AY25" i="14"/>
  <c r="AZ25" i="14"/>
  <c r="BA25" i="14"/>
  <c r="BB25" i="14"/>
  <c r="BC25" i="14"/>
  <c r="BD25" i="14"/>
  <c r="BE25" i="14"/>
  <c r="BF25" i="14"/>
  <c r="BG25" i="14"/>
  <c r="BH25" i="14"/>
  <c r="BI25" i="14"/>
  <c r="BJ25" i="14"/>
  <c r="BK25" i="14"/>
  <c r="BL25" i="14"/>
  <c r="BM25" i="14"/>
  <c r="BN25" i="14"/>
  <c r="BO25" i="14"/>
  <c r="BP25" i="14"/>
  <c r="BQ25" i="14"/>
  <c r="BR25" i="14"/>
  <c r="C26" i="14"/>
  <c r="D26" i="14"/>
  <c r="E26" i="14"/>
  <c r="F26" i="14"/>
  <c r="G26" i="14"/>
  <c r="H26" i="14"/>
  <c r="I26" i="14"/>
  <c r="J26" i="14"/>
  <c r="K26" i="14"/>
  <c r="L26" i="14"/>
  <c r="M26" i="14"/>
  <c r="N26" i="14"/>
  <c r="O26" i="14"/>
  <c r="P26" i="14"/>
  <c r="Q26" i="14"/>
  <c r="R26" i="14"/>
  <c r="S26" i="14"/>
  <c r="T26" i="14"/>
  <c r="U26" i="14"/>
  <c r="V26" i="14"/>
  <c r="W26" i="14"/>
  <c r="X26" i="14"/>
  <c r="Y26" i="14"/>
  <c r="Z26" i="14"/>
  <c r="AA26" i="14"/>
  <c r="AB26" i="14"/>
  <c r="AC26" i="14"/>
  <c r="AD26" i="14"/>
  <c r="AE26" i="14"/>
  <c r="AF26" i="14"/>
  <c r="AG26" i="14"/>
  <c r="AH26" i="14"/>
  <c r="AI26" i="14"/>
  <c r="AJ26" i="14"/>
  <c r="AK26" i="14"/>
  <c r="AL26" i="14"/>
  <c r="AM26" i="14"/>
  <c r="AN26" i="14"/>
  <c r="AO26" i="14"/>
  <c r="AP26" i="14"/>
  <c r="AQ26" i="14"/>
  <c r="AR26" i="14"/>
  <c r="AS26" i="14"/>
  <c r="AT26" i="14"/>
  <c r="AU26" i="14"/>
  <c r="AV26" i="14"/>
  <c r="AW26" i="14"/>
  <c r="AX26" i="14"/>
  <c r="AY26" i="14"/>
  <c r="AZ26" i="14"/>
  <c r="BA26" i="14"/>
  <c r="BB26" i="14"/>
  <c r="BC26" i="14"/>
  <c r="BD26" i="14"/>
  <c r="BE26" i="14"/>
  <c r="BF26" i="14"/>
  <c r="BG26" i="14"/>
  <c r="BH26" i="14"/>
  <c r="BI26" i="14"/>
  <c r="BJ26" i="14"/>
  <c r="BK26" i="14"/>
  <c r="BL26" i="14"/>
  <c r="BM26" i="14"/>
  <c r="BN26" i="14"/>
  <c r="BO26" i="14"/>
  <c r="BP26" i="14"/>
  <c r="BQ26" i="14"/>
  <c r="BR26" i="14"/>
  <c r="C27" i="14"/>
  <c r="D27" i="14"/>
  <c r="E27" i="14"/>
  <c r="F27" i="14"/>
  <c r="G27" i="14"/>
  <c r="H27" i="14"/>
  <c r="I27" i="14"/>
  <c r="J27" i="14"/>
  <c r="K27" i="14"/>
  <c r="L27" i="14"/>
  <c r="M27" i="14"/>
  <c r="N27" i="14"/>
  <c r="O27" i="14"/>
  <c r="P27" i="14"/>
  <c r="Q27" i="14"/>
  <c r="R27" i="14"/>
  <c r="S27" i="14"/>
  <c r="T27" i="14"/>
  <c r="U27" i="14"/>
  <c r="V27" i="14"/>
  <c r="W27" i="14"/>
  <c r="X27" i="14"/>
  <c r="Y27" i="14"/>
  <c r="Z27" i="14"/>
  <c r="AA27" i="14"/>
  <c r="AB27" i="14"/>
  <c r="AC27" i="14"/>
  <c r="AD27" i="14"/>
  <c r="AE27" i="14"/>
  <c r="AF27" i="14"/>
  <c r="AG27" i="14"/>
  <c r="AH27" i="14"/>
  <c r="AI27" i="14"/>
  <c r="AJ27" i="14"/>
  <c r="AK27" i="14"/>
  <c r="AL27" i="14"/>
  <c r="AM27" i="14"/>
  <c r="AN27" i="14"/>
  <c r="AO27" i="14"/>
  <c r="AP27" i="14"/>
  <c r="AQ27" i="14"/>
  <c r="AR27" i="14"/>
  <c r="AS27" i="14"/>
  <c r="AT27" i="14"/>
  <c r="AU27" i="14"/>
  <c r="AV27" i="14"/>
  <c r="AW27" i="14"/>
  <c r="AX27" i="14"/>
  <c r="AY27" i="14"/>
  <c r="AZ27" i="14"/>
  <c r="BA27" i="14"/>
  <c r="BB27" i="14"/>
  <c r="BC27" i="14"/>
  <c r="BD27" i="14"/>
  <c r="BE27" i="14"/>
  <c r="BF27" i="14"/>
  <c r="BG27" i="14"/>
  <c r="BH27" i="14"/>
  <c r="BI27" i="14"/>
  <c r="BJ27" i="14"/>
  <c r="BK27" i="14"/>
  <c r="BL27" i="14"/>
  <c r="BM27" i="14"/>
  <c r="BN27" i="14"/>
  <c r="BO27" i="14"/>
  <c r="BP27" i="14"/>
  <c r="BQ27" i="14"/>
  <c r="BR27" i="14"/>
  <c r="S28" i="14"/>
  <c r="B25" i="14"/>
  <c r="B26" i="14"/>
  <c r="B27" i="14"/>
  <c r="ER119" i="9"/>
  <c r="ER120" i="9"/>
  <c r="ER121" i="9"/>
  <c r="ER122" i="9"/>
  <c r="ER123" i="9"/>
  <c r="ER124" i="9"/>
  <c r="ER125" i="9"/>
  <c r="ER126" i="9"/>
  <c r="ER127" i="9"/>
  <c r="ER128" i="9"/>
  <c r="ER129" i="9"/>
  <c r="ER130" i="9" s="1"/>
  <c r="ER131" i="9" s="1"/>
  <c r="ER132" i="9" s="1"/>
  <c r="ER133" i="9" s="1"/>
  <c r="ER134" i="9" s="1"/>
  <c r="ER135" i="9" s="1"/>
  <c r="ER136" i="9" s="1"/>
  <c r="ER118" i="9"/>
  <c r="GF130" i="9"/>
  <c r="GF131" i="9" s="1"/>
  <c r="GF132" i="9" s="1"/>
  <c r="GF133" i="9" s="1"/>
  <c r="GF134" i="9" s="1"/>
  <c r="GF135" i="9" s="1"/>
  <c r="GF136" i="9" s="1"/>
  <c r="GF137" i="9" s="1"/>
  <c r="GG130" i="9"/>
  <c r="GG131" i="9" s="1"/>
  <c r="GG132" i="9" s="1"/>
  <c r="GG133" i="9" s="1"/>
  <c r="GG134" i="9" s="1"/>
  <c r="GG135" i="9" s="1"/>
  <c r="GG136" i="9" s="1"/>
  <c r="GG137" i="9" s="1"/>
  <c r="GE130" i="9"/>
  <c r="GE131" i="9" s="1"/>
  <c r="GE132" i="9" s="1"/>
  <c r="GE133" i="9" s="1"/>
  <c r="GE134" i="9" s="1"/>
  <c r="GE135" i="9" s="1"/>
  <c r="GE136" i="9" s="1"/>
  <c r="GD130" i="9"/>
  <c r="GD131" i="9" s="1"/>
  <c r="GD132" i="9" s="1"/>
  <c r="GD133" i="9" s="1"/>
  <c r="GD134" i="9" s="1"/>
  <c r="GD135" i="9" s="1"/>
  <c r="GD136" i="9" s="1"/>
  <c r="GD137" i="9" s="1"/>
  <c r="R4" i="138"/>
  <c r="Y25" i="141"/>
  <c r="BD24" i="141"/>
  <c r="C24" i="141"/>
  <c r="BD23" i="141"/>
  <c r="C23" i="141"/>
  <c r="BD22" i="141"/>
  <c r="Z22" i="141"/>
  <c r="C22" i="141"/>
  <c r="BD21" i="141"/>
  <c r="C21" i="141"/>
  <c r="BD20" i="141"/>
  <c r="Z20" i="141"/>
  <c r="C20" i="141"/>
  <c r="BD19" i="141"/>
  <c r="Z19" i="141"/>
  <c r="C19" i="141"/>
  <c r="BD18" i="141"/>
  <c r="C18" i="141"/>
  <c r="BD17" i="141"/>
  <c r="C17" i="141"/>
  <c r="BD16" i="141"/>
  <c r="C16" i="141"/>
  <c r="BD15" i="141"/>
  <c r="V15" i="141"/>
  <c r="BD14" i="141"/>
  <c r="C14" i="141"/>
  <c r="BD13" i="141"/>
  <c r="Z13" i="141"/>
  <c r="C13" i="141"/>
  <c r="BD12" i="141"/>
  <c r="Z12" i="141"/>
  <c r="C12" i="141"/>
  <c r="BD11" i="141"/>
  <c r="Z11" i="141"/>
  <c r="C11" i="141"/>
  <c r="BD10" i="141"/>
  <c r="C10" i="141"/>
  <c r="BD9" i="141"/>
  <c r="BD8" i="141"/>
  <c r="C8" i="141"/>
  <c r="BD7" i="141"/>
  <c r="C7" i="141"/>
  <c r="BD6" i="141"/>
  <c r="Z6" i="141"/>
  <c r="C6" i="141"/>
  <c r="BD5" i="141"/>
  <c r="BA2" i="141"/>
  <c r="AZ2" i="141"/>
  <c r="AY2" i="141"/>
  <c r="AX2" i="141"/>
  <c r="AW2" i="141"/>
  <c r="AV2" i="141"/>
  <c r="AU2" i="141"/>
  <c r="AT2" i="141"/>
  <c r="AS2" i="141"/>
  <c r="AR2" i="141"/>
  <c r="AQ2" i="141"/>
  <c r="AP2" i="141"/>
  <c r="CJ1" i="141"/>
  <c r="CF1" i="141"/>
  <c r="BP1" i="141"/>
  <c r="BL1" i="141"/>
  <c r="BB136" i="9"/>
  <c r="AD131" i="122" s="1"/>
  <c r="AE131" i="122" s="1"/>
  <c r="IP2" i="9"/>
  <c r="IJ136" i="9"/>
  <c r="IG136" i="9"/>
  <c r="IE136" i="9"/>
  <c r="IA136" i="9"/>
  <c r="HN136" i="9"/>
  <c r="HP136" i="9"/>
  <c r="HM137" i="9"/>
  <c r="HK136" i="9"/>
  <c r="HH136" i="9"/>
  <c r="HE136" i="9"/>
  <c r="HB136" i="9"/>
  <c r="GS136" i="9"/>
  <c r="FV136" i="9"/>
  <c r="EA136" i="9"/>
  <c r="II136" i="9" l="1"/>
  <c r="HM136" i="9"/>
  <c r="IP137" i="9"/>
  <c r="IP136" i="9"/>
  <c r="ER137" i="9"/>
  <c r="GE137" i="9"/>
  <c r="GH137" i="9" s="1"/>
  <c r="GH136" i="9"/>
  <c r="F19" i="117"/>
  <c r="BJ28" i="14"/>
  <c r="BP28" i="14"/>
  <c r="BP32" i="14" s="1"/>
  <c r="AR28" i="14"/>
  <c r="AR32" i="14" s="1"/>
  <c r="AK28" i="14"/>
  <c r="AK32" i="14" s="1"/>
  <c r="BQ28" i="14"/>
  <c r="BQ32" i="14" s="1"/>
  <c r="BO28" i="14"/>
  <c r="BO32" i="14" s="1"/>
  <c r="AT28" i="14"/>
  <c r="AT32" i="14" s="1"/>
  <c r="AD28" i="14"/>
  <c r="AD32" i="14" s="1"/>
  <c r="N28" i="14"/>
  <c r="N32" i="14" s="1"/>
  <c r="BA28" i="14"/>
  <c r="BA32" i="14" s="1"/>
  <c r="U28" i="14"/>
  <c r="U32" i="14" s="1"/>
  <c r="E28" i="14"/>
  <c r="E32" i="14" s="1"/>
  <c r="AZ28" i="14"/>
  <c r="AZ32" i="14" s="1"/>
  <c r="L28" i="14"/>
  <c r="L32" i="14" s="1"/>
  <c r="AY28" i="14"/>
  <c r="AY32" i="14" s="1"/>
  <c r="AI28" i="14"/>
  <c r="AI32" i="14" s="1"/>
  <c r="C28" i="14"/>
  <c r="C32" i="14" s="1"/>
  <c r="BH28" i="14"/>
  <c r="BH32" i="14" s="1"/>
  <c r="BI28" i="14"/>
  <c r="BI32" i="14" s="1"/>
  <c r="AS28" i="14"/>
  <c r="AS32" i="14" s="1"/>
  <c r="AC28" i="14"/>
  <c r="AC32" i="14" s="1"/>
  <c r="M28" i="14"/>
  <c r="M32" i="14" s="1"/>
  <c r="AJ28" i="14"/>
  <c r="AJ32" i="14" s="1"/>
  <c r="D28" i="14"/>
  <c r="D32" i="14" s="1"/>
  <c r="B28" i="14"/>
  <c r="B32" i="14" s="1"/>
  <c r="AB28" i="14"/>
  <c r="AB32" i="14" s="1"/>
  <c r="BG28" i="14"/>
  <c r="BG32" i="14" s="1"/>
  <c r="AQ28" i="14"/>
  <c r="AQ32" i="14" s="1"/>
  <c r="AA28" i="14"/>
  <c r="AA32" i="14" s="1"/>
  <c r="S32" i="14"/>
  <c r="K28" i="14"/>
  <c r="K32" i="14" s="1"/>
  <c r="BJ32" i="14"/>
  <c r="T28" i="14"/>
  <c r="T32" i="14" s="1"/>
  <c r="CY25" i="14"/>
  <c r="CY27" i="14"/>
  <c r="CY26" i="14"/>
  <c r="AU28" i="14"/>
  <c r="AU32" i="14" s="1"/>
  <c r="AE28" i="14"/>
  <c r="AE32" i="14" s="1"/>
  <c r="BK28" i="14"/>
  <c r="BK32" i="14" s="1"/>
  <c r="W28" i="14"/>
  <c r="W32" i="14" s="1"/>
  <c r="AM28" i="14"/>
  <c r="AM32" i="14" s="1"/>
  <c r="O28" i="14"/>
  <c r="O32" i="14" s="1"/>
  <c r="BC28" i="14"/>
  <c r="BC32" i="14" s="1"/>
  <c r="G28" i="14"/>
  <c r="G32" i="14" s="1"/>
  <c r="BR28" i="14"/>
  <c r="BR32" i="14" s="1"/>
  <c r="BB28" i="14"/>
  <c r="BB32" i="14" s="1"/>
  <c r="AL28" i="14"/>
  <c r="AL32" i="14" s="1"/>
  <c r="V28" i="14"/>
  <c r="V32" i="14" s="1"/>
  <c r="F28" i="14"/>
  <c r="F32" i="14" s="1"/>
  <c r="BN28" i="14"/>
  <c r="BN32" i="14" s="1"/>
  <c r="BF28" i="14"/>
  <c r="BF32" i="14" s="1"/>
  <c r="AX28" i="14"/>
  <c r="AX32" i="14" s="1"/>
  <c r="AP28" i="14"/>
  <c r="AP32" i="14" s="1"/>
  <c r="AH28" i="14"/>
  <c r="AH32" i="14" s="1"/>
  <c r="Z28" i="14"/>
  <c r="Z32" i="14" s="1"/>
  <c r="R28" i="14"/>
  <c r="R32" i="14" s="1"/>
  <c r="J28" i="14"/>
  <c r="J32" i="14" s="1"/>
  <c r="BM28" i="14"/>
  <c r="BM32" i="14" s="1"/>
  <c r="BE28" i="14"/>
  <c r="BE32" i="14" s="1"/>
  <c r="AW28" i="14"/>
  <c r="AW32" i="14" s="1"/>
  <c r="AO28" i="14"/>
  <c r="AO32" i="14" s="1"/>
  <c r="AG28" i="14"/>
  <c r="AG32" i="14" s="1"/>
  <c r="Y28" i="14"/>
  <c r="Y32" i="14" s="1"/>
  <c r="Q28" i="14"/>
  <c r="Q32" i="14" s="1"/>
  <c r="I28" i="14"/>
  <c r="I32" i="14" s="1"/>
  <c r="BL28" i="14"/>
  <c r="BL32" i="14" s="1"/>
  <c r="BD28" i="14"/>
  <c r="BD32" i="14" s="1"/>
  <c r="AV28" i="14"/>
  <c r="AV32" i="14" s="1"/>
  <c r="AN28" i="14"/>
  <c r="AN32" i="14" s="1"/>
  <c r="AF28" i="14"/>
  <c r="AF32" i="14" s="1"/>
  <c r="X28" i="14"/>
  <c r="X32" i="14" s="1"/>
  <c r="P28" i="14"/>
  <c r="P32" i="14" s="1"/>
  <c r="H28" i="14"/>
  <c r="H32" i="14" s="1"/>
  <c r="CY28" i="14" l="1"/>
  <c r="CY32" i="14" s="1"/>
  <c r="BO136" i="9"/>
  <c r="L131" i="122" s="1"/>
  <c r="AQ131" i="122" s="1"/>
  <c r="AQ144" i="122" s="1"/>
  <c r="BP136" i="9"/>
  <c r="BM136" i="9"/>
  <c r="AF137" i="9"/>
  <c r="AF136" i="9"/>
  <c r="Y136" i="9"/>
  <c r="AA136" i="9"/>
  <c r="AB136" i="9"/>
  <c r="AC136" i="9"/>
  <c r="AD136" i="9"/>
  <c r="T136" i="9"/>
  <c r="O136" i="9"/>
  <c r="N136" i="9"/>
  <c r="P136" i="9" s="1"/>
  <c r="O137" i="9"/>
  <c r="N137" i="9"/>
  <c r="P137" i="9" s="1"/>
  <c r="R136" i="9"/>
  <c r="B131" i="122" s="1"/>
  <c r="AL131" i="122" s="1"/>
  <c r="AL144" i="122" s="1"/>
  <c r="CD136" i="9"/>
  <c r="Z136" i="9" l="1"/>
  <c r="AE136" i="9"/>
  <c r="BY137" i="9"/>
  <c r="CC137" i="9"/>
  <c r="CD137" i="9"/>
  <c r="CF137" i="9"/>
  <c r="CH137" i="9"/>
  <c r="CL137" i="9"/>
  <c r="CN137" i="9"/>
  <c r="CP137" i="9"/>
  <c r="CT137" i="9"/>
  <c r="CV137" i="9"/>
  <c r="CY137" i="9"/>
  <c r="DD137" i="9"/>
  <c r="DH137" i="9"/>
  <c r="CA137" i="9"/>
  <c r="CI137" i="9"/>
  <c r="CK137" i="9"/>
  <c r="CM137" i="9"/>
  <c r="CQ137" i="9"/>
  <c r="CU137" i="9"/>
  <c r="CW137" i="9"/>
  <c r="DC137" i="9"/>
  <c r="DF137" i="9"/>
  <c r="BZ137" i="9"/>
  <c r="CB137" i="9"/>
  <c r="CE137" i="9"/>
  <c r="DB137" i="9"/>
  <c r="DE137" i="9"/>
  <c r="CN136" i="9"/>
  <c r="CL136" i="9"/>
  <c r="DE136" i="9"/>
  <c r="CE136" i="9"/>
  <c r="DD136" i="9"/>
  <c r="CC136" i="9"/>
  <c r="CY136" i="9"/>
  <c r="CB136" i="9"/>
  <c r="CV136" i="9"/>
  <c r="CK136" i="9"/>
  <c r="CU136" i="9"/>
  <c r="DC136" i="9"/>
  <c r="CT136" i="9"/>
  <c r="CA136" i="9"/>
  <c r="DB136" i="9"/>
  <c r="CI136" i="9"/>
  <c r="BZ136" i="9"/>
  <c r="CQ136" i="9"/>
  <c r="CH136" i="9"/>
  <c r="BY136" i="9"/>
  <c r="DH136" i="9"/>
  <c r="CP136" i="9"/>
  <c r="CF136" i="9"/>
  <c r="DF136" i="9"/>
  <c r="CW136" i="9"/>
  <c r="CM136" i="9"/>
  <c r="LQ136" i="9"/>
  <c r="LR136" i="9"/>
  <c r="LS136" i="9"/>
  <c r="LT136" i="9"/>
  <c r="LU136" i="9"/>
  <c r="LV136" i="9"/>
  <c r="LW136" i="9"/>
  <c r="LX136" i="9"/>
  <c r="GV136" i="9"/>
  <c r="GU136" i="9"/>
  <c r="DG137" i="9" l="1"/>
  <c r="CO137" i="9"/>
  <c r="DG136" i="9"/>
  <c r="CX137" i="9"/>
  <c r="CG137" i="9"/>
  <c r="CO136" i="9"/>
  <c r="CX136" i="9"/>
  <c r="CG136" i="9"/>
  <c r="CX6" i="14"/>
  <c r="AZ7" i="142" s="1"/>
  <c r="CX7" i="14"/>
  <c r="AZ8" i="142" s="1"/>
  <c r="CX8" i="14"/>
  <c r="AZ9" i="142" s="1"/>
  <c r="CX9" i="14"/>
  <c r="AZ10" i="142" s="1"/>
  <c r="CX10" i="14"/>
  <c r="AZ11" i="142" s="1"/>
  <c r="CX11" i="14"/>
  <c r="AZ12" i="142" s="1"/>
  <c r="CX12" i="14"/>
  <c r="AZ13" i="142" s="1"/>
  <c r="CX13" i="14"/>
  <c r="AZ14" i="142" s="1"/>
  <c r="CX14" i="14"/>
  <c r="AZ15" i="142" s="1"/>
  <c r="CX15" i="14"/>
  <c r="AZ16" i="142" s="1"/>
  <c r="CX16" i="14"/>
  <c r="CX17" i="14"/>
  <c r="CX18" i="14"/>
  <c r="CX19" i="14"/>
  <c r="CX20" i="14"/>
  <c r="CX21" i="14"/>
  <c r="CX22" i="14"/>
  <c r="CX23" i="14"/>
  <c r="CX5" i="14"/>
  <c r="AZ6" i="142" s="1"/>
  <c r="N5" i="7"/>
  <c r="CX26" i="14" l="1"/>
  <c r="CX25" i="14"/>
  <c r="CX27" i="14"/>
  <c r="CX28" i="14" l="1"/>
  <c r="CX32" i="14" s="1"/>
  <c r="BB132" i="9" l="1"/>
  <c r="BB133" i="9"/>
  <c r="BB134" i="9"/>
  <c r="BB135" i="9"/>
  <c r="EA135" i="9"/>
  <c r="GH126" i="9"/>
  <c r="GH127" i="9"/>
  <c r="GH128" i="9"/>
  <c r="GH129" i="9"/>
  <c r="GH130" i="9"/>
  <c r="GH131" i="9"/>
  <c r="GH132" i="9"/>
  <c r="GH133" i="9"/>
  <c r="GH134" i="9"/>
  <c r="GH135" i="9"/>
  <c r="CQ27" i="9"/>
  <c r="CQ22" i="9"/>
  <c r="CQ23" i="9"/>
  <c r="CQ24" i="9"/>
  <c r="CQ25" i="9"/>
  <c r="CQ26" i="9"/>
  <c r="CQ28" i="9"/>
  <c r="CQ29" i="9"/>
  <c r="CQ30" i="9"/>
  <c r="CQ31" i="9"/>
  <c r="CQ32" i="9"/>
  <c r="CQ33" i="9"/>
  <c r="CQ34" i="9"/>
  <c r="CQ35" i="9"/>
  <c r="CQ36" i="9"/>
  <c r="CQ37" i="9"/>
  <c r="CQ38" i="9"/>
  <c r="CQ39" i="9"/>
  <c r="CQ40" i="9"/>
  <c r="CQ41" i="9"/>
  <c r="CQ42" i="9"/>
  <c r="CQ43" i="9"/>
  <c r="CQ44" i="9"/>
  <c r="CQ47" i="9"/>
  <c r="CQ48" i="9"/>
  <c r="CQ49" i="9"/>
  <c r="CQ50" i="9"/>
  <c r="CQ51" i="9"/>
  <c r="CQ52" i="9"/>
  <c r="CQ53" i="9"/>
  <c r="CQ54" i="9"/>
  <c r="CQ55" i="9"/>
  <c r="CQ59" i="9"/>
  <c r="CQ60" i="9"/>
  <c r="CQ61" i="9"/>
  <c r="CQ62" i="9"/>
  <c r="CQ63" i="9"/>
  <c r="CQ64" i="9"/>
  <c r="CQ65" i="9"/>
  <c r="CQ66" i="9"/>
  <c r="CQ67" i="9"/>
  <c r="CQ68" i="9"/>
  <c r="CQ72" i="9"/>
  <c r="CQ73" i="9"/>
  <c r="CQ74" i="9"/>
  <c r="CQ75" i="9"/>
  <c r="CQ76" i="9"/>
  <c r="CQ77" i="9"/>
  <c r="CQ78" i="9"/>
  <c r="CQ85" i="9"/>
  <c r="CQ86" i="9"/>
  <c r="CQ87" i="9"/>
  <c r="CQ88" i="9"/>
  <c r="CQ89" i="9"/>
  <c r="CQ90" i="9"/>
  <c r="CQ91" i="9"/>
  <c r="CQ92" i="9"/>
  <c r="CQ99" i="9"/>
  <c r="CQ100" i="9"/>
  <c r="CQ103" i="9"/>
  <c r="CQ104" i="9"/>
  <c r="CQ105" i="9"/>
  <c r="CQ112" i="9"/>
  <c r="CQ113" i="9"/>
  <c r="Y25" i="139"/>
  <c r="BD24" i="139"/>
  <c r="C24" i="139"/>
  <c r="BD23" i="139"/>
  <c r="C23" i="139"/>
  <c r="BD22" i="139"/>
  <c r="Z22" i="139"/>
  <c r="C22" i="139"/>
  <c r="BD21" i="139"/>
  <c r="C21" i="139"/>
  <c r="BD20" i="139"/>
  <c r="Z20" i="139"/>
  <c r="C20" i="139"/>
  <c r="BD19" i="139"/>
  <c r="Z19" i="139"/>
  <c r="C19" i="139"/>
  <c r="BD18" i="139"/>
  <c r="C18" i="139"/>
  <c r="BD17" i="139"/>
  <c r="C17" i="139"/>
  <c r="BD16" i="139"/>
  <c r="C16" i="139"/>
  <c r="BD15" i="139"/>
  <c r="V15" i="139"/>
  <c r="BD14" i="139"/>
  <c r="C14" i="139"/>
  <c r="BD13" i="139"/>
  <c r="Z13" i="139"/>
  <c r="C13" i="139"/>
  <c r="BD12" i="139"/>
  <c r="Z12" i="139"/>
  <c r="C12" i="139"/>
  <c r="BD11" i="139"/>
  <c r="Z11" i="139"/>
  <c r="C11" i="139"/>
  <c r="BD10" i="139"/>
  <c r="C10" i="139"/>
  <c r="BD9" i="139"/>
  <c r="BD8" i="139"/>
  <c r="C8" i="139"/>
  <c r="BD7" i="139"/>
  <c r="C7" i="139"/>
  <c r="BD6" i="139"/>
  <c r="Z6" i="139"/>
  <c r="C6" i="139"/>
  <c r="BD5" i="139"/>
  <c r="BA2" i="139"/>
  <c r="AZ2" i="139"/>
  <c r="AY2" i="139"/>
  <c r="AX2" i="139"/>
  <c r="AW2" i="139"/>
  <c r="AV2" i="139"/>
  <c r="AU2" i="139"/>
  <c r="AT2" i="139"/>
  <c r="AS2" i="139"/>
  <c r="AR2" i="139"/>
  <c r="AQ2" i="139"/>
  <c r="AP2" i="139"/>
  <c r="CJ1" i="139"/>
  <c r="CF1" i="139"/>
  <c r="BP1" i="139"/>
  <c r="BL1" i="139"/>
  <c r="AD130" i="122"/>
  <c r="AE130" i="122" s="1"/>
  <c r="AI130" i="122"/>
  <c r="W130" i="122"/>
  <c r="X130" i="122" s="1"/>
  <c r="Z130" i="122"/>
  <c r="AC130" i="122"/>
  <c r="R130" i="122"/>
  <c r="U130" i="122"/>
  <c r="V130" i="122" s="1"/>
  <c r="C130" i="122"/>
  <c r="D130" i="122"/>
  <c r="E130" i="122"/>
  <c r="G130" i="122"/>
  <c r="I130" i="122"/>
  <c r="K130" i="122"/>
  <c r="M130" i="122"/>
  <c r="O130" i="122"/>
  <c r="P130" i="122"/>
  <c r="Q130" i="122"/>
  <c r="IQ135" i="9"/>
  <c r="IP130" i="9"/>
  <c r="IP131" i="9"/>
  <c r="IP132" i="9"/>
  <c r="IP133" i="9"/>
  <c r="IP134" i="9"/>
  <c r="IP135" i="9"/>
  <c r="IJ135" i="9"/>
  <c r="IG135" i="9"/>
  <c r="IE135" i="9"/>
  <c r="IA135" i="9"/>
  <c r="HN135" i="9"/>
  <c r="HP135" i="9"/>
  <c r="HK135" i="9"/>
  <c r="HH135" i="9"/>
  <c r="HE135" i="9"/>
  <c r="HB135" i="9"/>
  <c r="II135" i="9" l="1"/>
  <c r="HM135" i="9"/>
  <c r="AT130" i="122"/>
  <c r="BD16" i="117"/>
  <c r="AV16" i="117"/>
  <c r="AN16" i="117"/>
  <c r="BK16" i="117"/>
  <c r="BC16" i="117"/>
  <c r="AU16" i="117"/>
  <c r="AM16" i="117"/>
  <c r="AM130" i="122"/>
  <c r="W16" i="117"/>
  <c r="BJ16" i="117"/>
  <c r="BB16" i="117"/>
  <c r="AT16" i="117"/>
  <c r="AL16" i="117"/>
  <c r="AS130" i="122"/>
  <c r="U16" i="117"/>
  <c r="E16" i="117"/>
  <c r="BH16" i="117"/>
  <c r="AJ16" i="117"/>
  <c r="AB16" i="117"/>
  <c r="T16" i="117"/>
  <c r="L16" i="117"/>
  <c r="D16" i="117"/>
  <c r="BG16" i="117"/>
  <c r="AY16" i="117"/>
  <c r="AQ16" i="117"/>
  <c r="AI16" i="117"/>
  <c r="O16" i="117"/>
  <c r="V16" i="117"/>
  <c r="F16" i="117"/>
  <c r="BI16" i="117"/>
  <c r="AS16" i="117"/>
  <c r="AC16" i="117"/>
  <c r="M16" i="117"/>
  <c r="AR16" i="117"/>
  <c r="B16" i="117"/>
  <c r="AA16" i="117"/>
  <c r="S16" i="117"/>
  <c r="K16" i="117"/>
  <c r="C16" i="117"/>
  <c r="BF16" i="117"/>
  <c r="AX16" i="117"/>
  <c r="AP16" i="117"/>
  <c r="AH16" i="117"/>
  <c r="Y16" i="117"/>
  <c r="Q16" i="117"/>
  <c r="I16" i="117"/>
  <c r="AF16" i="117"/>
  <c r="X16" i="117"/>
  <c r="P16" i="117"/>
  <c r="H16" i="117"/>
  <c r="AE16" i="117"/>
  <c r="G16" i="117"/>
  <c r="AD16" i="117"/>
  <c r="N16" i="117"/>
  <c r="BA16" i="117"/>
  <c r="AK16" i="117"/>
  <c r="AZ16" i="117"/>
  <c r="Z16" i="117"/>
  <c r="R16" i="117"/>
  <c r="J16" i="117"/>
  <c r="BE16" i="117"/>
  <c r="AW16" i="117"/>
  <c r="AO16" i="117"/>
  <c r="AG16" i="117"/>
  <c r="GS135" i="9"/>
  <c r="FV135" i="9"/>
  <c r="LQ134" i="9"/>
  <c r="LR134" i="9"/>
  <c r="LS134" i="9"/>
  <c r="LT134" i="9"/>
  <c r="LU134" i="9"/>
  <c r="LV134" i="9"/>
  <c r="LW134" i="9"/>
  <c r="LX134" i="9"/>
  <c r="LQ135" i="9"/>
  <c r="LR135" i="9"/>
  <c r="LS135" i="9"/>
  <c r="LT135" i="9"/>
  <c r="LU135" i="9"/>
  <c r="LV135" i="9"/>
  <c r="LW135" i="9"/>
  <c r="LX135" i="9"/>
  <c r="BG136" i="9"/>
  <c r="BG137" i="9"/>
  <c r="BG138" i="9"/>
  <c r="BG139" i="9"/>
  <c r="BG140" i="9"/>
  <c r="BG141" i="9"/>
  <c r="BG135" i="9"/>
  <c r="BB10" i="9"/>
  <c r="BB11" i="9"/>
  <c r="BB12" i="9"/>
  <c r="BB13" i="9"/>
  <c r="BB14" i="9"/>
  <c r="BB15" i="9"/>
  <c r="BB16" i="9"/>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46" i="9"/>
  <c r="BB47" i="9"/>
  <c r="BB48" i="9"/>
  <c r="BB49" i="9"/>
  <c r="BB50" i="9"/>
  <c r="BB51" i="9"/>
  <c r="BB52" i="9"/>
  <c r="BB53" i="9"/>
  <c r="BB54" i="9"/>
  <c r="BB55" i="9"/>
  <c r="BB56" i="9"/>
  <c r="BB57" i="9"/>
  <c r="BB58" i="9"/>
  <c r="BB59" i="9"/>
  <c r="BB60" i="9"/>
  <c r="BB61" i="9"/>
  <c r="BB62" i="9"/>
  <c r="BB63" i="9"/>
  <c r="BB64" i="9"/>
  <c r="BB65" i="9"/>
  <c r="BB66" i="9"/>
  <c r="BB67" i="9"/>
  <c r="BB68" i="9"/>
  <c r="BB69" i="9"/>
  <c r="BB70" i="9"/>
  <c r="BB71" i="9"/>
  <c r="BB72" i="9"/>
  <c r="BB73" i="9"/>
  <c r="BB74" i="9"/>
  <c r="BB75" i="9"/>
  <c r="BB76" i="9"/>
  <c r="BB77" i="9"/>
  <c r="BB78" i="9"/>
  <c r="BB79" i="9"/>
  <c r="BB80" i="9"/>
  <c r="BB81" i="9"/>
  <c r="BB82" i="9"/>
  <c r="BB83" i="9"/>
  <c r="BB84" i="9"/>
  <c r="BB85" i="9"/>
  <c r="BB86" i="9"/>
  <c r="BB87" i="9"/>
  <c r="BB88" i="9"/>
  <c r="BB89" i="9"/>
  <c r="BB90" i="9"/>
  <c r="BB91" i="9"/>
  <c r="BB92" i="9"/>
  <c r="BB93" i="9"/>
  <c r="BB94" i="9"/>
  <c r="BB95" i="9"/>
  <c r="BB96" i="9"/>
  <c r="BB97" i="9"/>
  <c r="BB98" i="9"/>
  <c r="BB99" i="9"/>
  <c r="BB100" i="9"/>
  <c r="BB101" i="9"/>
  <c r="BB102" i="9"/>
  <c r="BB103" i="9"/>
  <c r="BB104" i="9"/>
  <c r="BB105" i="9"/>
  <c r="BB106" i="9"/>
  <c r="BB107" i="9"/>
  <c r="BB108" i="9"/>
  <c r="BB109" i="9"/>
  <c r="BB110" i="9"/>
  <c r="BB111" i="9"/>
  <c r="BB112" i="9"/>
  <c r="BB113" i="9"/>
  <c r="BB114" i="9"/>
  <c r="BB115" i="9"/>
  <c r="BB116" i="9"/>
  <c r="BB117" i="9"/>
  <c r="BB118" i="9"/>
  <c r="BB119" i="9"/>
  <c r="BB120" i="9"/>
  <c r="BB121" i="9"/>
  <c r="BB122" i="9"/>
  <c r="BB123" i="9"/>
  <c r="BB124" i="9"/>
  <c r="BB125" i="9"/>
  <c r="BB126" i="9"/>
  <c r="BB127" i="9"/>
  <c r="BB128" i="9"/>
  <c r="BB129" i="9"/>
  <c r="BB130" i="9"/>
  <c r="BB131" i="9"/>
  <c r="AW21" i="9"/>
  <c r="AW20" i="9"/>
  <c r="AW19" i="9"/>
  <c r="AW18" i="9"/>
  <c r="AW17" i="9"/>
  <c r="AW16" i="9"/>
  <c r="AW15" i="9"/>
  <c r="AW14" i="9"/>
  <c r="AW13" i="9"/>
  <c r="AW12" i="9"/>
  <c r="AW11" i="9"/>
  <c r="AW10" i="9"/>
  <c r="AT20" i="9"/>
  <c r="AT19" i="9"/>
  <c r="AT18" i="9"/>
  <c r="AT17" i="9"/>
  <c r="AT16" i="9"/>
  <c r="AT15" i="9"/>
  <c r="AT14" i="9"/>
  <c r="AT13" i="9"/>
  <c r="AT12" i="9"/>
  <c r="AT11" i="9"/>
  <c r="AT10" i="9"/>
  <c r="AO21" i="9"/>
  <c r="AO20" i="9"/>
  <c r="AO19" i="9"/>
  <c r="AO18" i="9"/>
  <c r="AO17" i="9"/>
  <c r="AO16" i="9"/>
  <c r="AO15" i="9"/>
  <c r="AO14" i="9"/>
  <c r="AO13" i="9"/>
  <c r="AO12" i="9"/>
  <c r="AO11" i="9"/>
  <c r="AO10" i="9"/>
  <c r="CJ136" i="9" l="1"/>
  <c r="CJ137" i="9"/>
  <c r="CR136" i="9"/>
  <c r="CS136" i="9" s="1"/>
  <c r="CR137" i="9"/>
  <c r="CS137" i="9" s="1"/>
  <c r="AU134" i="9"/>
  <c r="BT135" i="9" l="1"/>
  <c r="BT134" i="9"/>
  <c r="DD135" i="9" l="1"/>
  <c r="CA135" i="9"/>
  <c r="CJ135" i="9"/>
  <c r="CU135" i="9"/>
  <c r="DB135" i="9"/>
  <c r="CK135" i="9"/>
  <c r="CV135" i="9"/>
  <c r="DE135" i="9"/>
  <c r="CF135" i="9"/>
  <c r="CR135" i="9"/>
  <c r="CI135" i="9"/>
  <c r="CC135" i="9"/>
  <c r="CL135" i="9"/>
  <c r="CW135" i="9"/>
  <c r="CQ135" i="9"/>
  <c r="DC135" i="9"/>
  <c r="CD135" i="9"/>
  <c r="CM135" i="9"/>
  <c r="CY135" i="9"/>
  <c r="DH135" i="9"/>
  <c r="CP135" i="9"/>
  <c r="CE135" i="9"/>
  <c r="CN135" i="9"/>
  <c r="BZ135" i="9"/>
  <c r="CT135" i="9"/>
  <c r="BO135" i="9"/>
  <c r="BP135" i="9"/>
  <c r="BM135" i="9"/>
  <c r="AF135" i="9"/>
  <c r="AF134" i="9"/>
  <c r="AD135" i="9"/>
  <c r="AC135" i="9"/>
  <c r="AB135" i="9"/>
  <c r="AA135" i="9"/>
  <c r="T135" i="9"/>
  <c r="Z135" i="9" s="1"/>
  <c r="Y135" i="9"/>
  <c r="R135" i="9"/>
  <c r="B130" i="122" s="1"/>
  <c r="AL130" i="122" s="1"/>
  <c r="O135" i="9"/>
  <c r="N135" i="9"/>
  <c r="GV135" i="9"/>
  <c r="GU135" i="9"/>
  <c r="EA134" i="9"/>
  <c r="BY135" i="9" l="1"/>
  <c r="P135" i="9"/>
  <c r="L130" i="122"/>
  <c r="AQ130" i="122" s="1"/>
  <c r="CB135" i="9"/>
  <c r="CG135" i="9" s="1"/>
  <c r="AE135" i="9"/>
  <c r="CH135" i="9"/>
  <c r="DF135" i="9"/>
  <c r="DG135" i="9" s="1"/>
  <c r="CO135" i="9"/>
  <c r="CX135" i="9"/>
  <c r="CS135" i="9"/>
  <c r="CW6" i="14"/>
  <c r="AY7" i="142" s="1"/>
  <c r="CW7" i="14"/>
  <c r="AY8" i="142" s="1"/>
  <c r="CW8" i="14"/>
  <c r="AY9" i="142" s="1"/>
  <c r="CW9" i="14"/>
  <c r="AY10" i="142" s="1"/>
  <c r="CW10" i="14"/>
  <c r="AY11" i="142" s="1"/>
  <c r="CW11" i="14"/>
  <c r="AY12" i="142" s="1"/>
  <c r="CW12" i="14"/>
  <c r="AY13" i="142" s="1"/>
  <c r="CW13" i="14"/>
  <c r="AY14" i="142" s="1"/>
  <c r="CW14" i="14"/>
  <c r="AY15" i="142" s="1"/>
  <c r="CW15" i="14"/>
  <c r="AY16" i="142" s="1"/>
  <c r="CW16" i="14"/>
  <c r="CW17" i="14"/>
  <c r="CW18" i="14"/>
  <c r="CW19" i="14"/>
  <c r="CW20" i="14"/>
  <c r="CW21" i="14"/>
  <c r="CW22" i="14"/>
  <c r="CW23" i="14"/>
  <c r="CW5" i="14"/>
  <c r="AY6" i="142" s="1"/>
  <c r="P14" i="9"/>
  <c r="CW26" i="14" l="1"/>
  <c r="CW25" i="14"/>
  <c r="CW27" i="14"/>
  <c r="Z12" i="137"/>
  <c r="CW28" i="14" l="1"/>
  <c r="CW32" i="14" s="1"/>
  <c r="R26" i="138"/>
  <c r="R28" i="138"/>
  <c r="R27" i="138"/>
  <c r="R29" i="138" l="1"/>
  <c r="S27" i="138" s="1"/>
  <c r="S28" i="138" l="1"/>
  <c r="S26" i="138"/>
  <c r="BQ10" i="9" l="1"/>
  <c r="Y25" i="137" l="1"/>
  <c r="BD24" i="137"/>
  <c r="C24" i="137"/>
  <c r="BD23" i="137"/>
  <c r="C23" i="137"/>
  <c r="BD22" i="137"/>
  <c r="C22" i="137"/>
  <c r="BD21" i="137"/>
  <c r="C21" i="137"/>
  <c r="BD20" i="137"/>
  <c r="C20" i="137"/>
  <c r="BD19" i="137"/>
  <c r="C19" i="137"/>
  <c r="BD18" i="137"/>
  <c r="C18" i="137"/>
  <c r="BD17" i="137"/>
  <c r="C17" i="137"/>
  <c r="BD16" i="137"/>
  <c r="C16" i="137"/>
  <c r="BD15" i="137"/>
  <c r="BD14" i="137"/>
  <c r="C14" i="137"/>
  <c r="BD13" i="137"/>
  <c r="C13" i="137"/>
  <c r="BD12" i="137"/>
  <c r="C12" i="137"/>
  <c r="BD11" i="137"/>
  <c r="C11" i="137"/>
  <c r="BD10" i="137"/>
  <c r="C10" i="137"/>
  <c r="BD9" i="137"/>
  <c r="BD8" i="137"/>
  <c r="C8" i="137"/>
  <c r="BD7" i="137"/>
  <c r="C7" i="137"/>
  <c r="BD6" i="137"/>
  <c r="C6" i="137"/>
  <c r="BD5" i="137"/>
  <c r="BA2" i="137"/>
  <c r="AZ2" i="137"/>
  <c r="AY2" i="137"/>
  <c r="AX2" i="137"/>
  <c r="AW2" i="137"/>
  <c r="AV2" i="137"/>
  <c r="AU2" i="137"/>
  <c r="AT2" i="137"/>
  <c r="AS2" i="137"/>
  <c r="AR2" i="137"/>
  <c r="AQ2" i="137"/>
  <c r="AP2" i="137"/>
  <c r="CJ1" i="137"/>
  <c r="CF1" i="137"/>
  <c r="BP1" i="137"/>
  <c r="BL1" i="137"/>
  <c r="C129" i="122"/>
  <c r="D129" i="122"/>
  <c r="E129" i="122"/>
  <c r="G129" i="122"/>
  <c r="I129" i="122"/>
  <c r="K129" i="122"/>
  <c r="L129" i="122"/>
  <c r="M129" i="122"/>
  <c r="O129" i="122"/>
  <c r="P129" i="122"/>
  <c r="Q129" i="122"/>
  <c r="R129" i="122"/>
  <c r="U129" i="122"/>
  <c r="V129" i="122" s="1"/>
  <c r="W129" i="122"/>
  <c r="Z129" i="122"/>
  <c r="AC129" i="122"/>
  <c r="AI129" i="122"/>
  <c r="IQ134" i="9"/>
  <c r="IJ12" i="9"/>
  <c r="IJ13" i="9"/>
  <c r="IJ14" i="9"/>
  <c r="IJ15" i="9"/>
  <c r="IJ16" i="9"/>
  <c r="IJ17" i="9"/>
  <c r="IJ18" i="9"/>
  <c r="IJ19" i="9"/>
  <c r="IJ20" i="9"/>
  <c r="IJ21" i="9"/>
  <c r="IJ22" i="9"/>
  <c r="IJ23" i="9"/>
  <c r="IJ24" i="9"/>
  <c r="IJ25" i="9"/>
  <c r="IJ26" i="9"/>
  <c r="IJ27" i="9"/>
  <c r="IJ28" i="9"/>
  <c r="IJ29" i="9"/>
  <c r="IJ30" i="9"/>
  <c r="IJ31" i="9"/>
  <c r="IJ32" i="9"/>
  <c r="IJ33" i="9"/>
  <c r="IJ34" i="9"/>
  <c r="IJ35" i="9"/>
  <c r="IJ36" i="9"/>
  <c r="IJ37" i="9"/>
  <c r="IJ38" i="9"/>
  <c r="IJ39" i="9"/>
  <c r="IJ40" i="9"/>
  <c r="IJ41" i="9"/>
  <c r="IJ42" i="9"/>
  <c r="IJ43" i="9"/>
  <c r="IJ44" i="9"/>
  <c r="IJ45" i="9"/>
  <c r="IJ46" i="9"/>
  <c r="IJ47" i="9"/>
  <c r="IJ48" i="9"/>
  <c r="IJ49" i="9"/>
  <c r="IJ50" i="9"/>
  <c r="IJ51" i="9"/>
  <c r="IJ52" i="9"/>
  <c r="IJ53" i="9"/>
  <c r="IJ54" i="9"/>
  <c r="IJ55" i="9"/>
  <c r="IJ56" i="9"/>
  <c r="IJ57" i="9"/>
  <c r="IJ58" i="9"/>
  <c r="IJ59" i="9"/>
  <c r="IJ60" i="9"/>
  <c r="IJ61" i="9"/>
  <c r="IJ62" i="9"/>
  <c r="IJ63" i="9"/>
  <c r="IJ64" i="9"/>
  <c r="IJ65" i="9"/>
  <c r="IJ66" i="9"/>
  <c r="IJ67" i="9"/>
  <c r="IJ68" i="9"/>
  <c r="IJ69" i="9"/>
  <c r="IJ70" i="9"/>
  <c r="IJ71" i="9"/>
  <c r="IJ72" i="9"/>
  <c r="IJ73" i="9"/>
  <c r="IJ74" i="9"/>
  <c r="IJ75" i="9"/>
  <c r="IJ76" i="9"/>
  <c r="IJ77" i="9"/>
  <c r="IJ78" i="9"/>
  <c r="IJ79" i="9"/>
  <c r="IJ80" i="9"/>
  <c r="IJ81" i="9"/>
  <c r="IJ82" i="9"/>
  <c r="IJ83" i="9"/>
  <c r="IJ84" i="9"/>
  <c r="IJ85" i="9"/>
  <c r="IJ86" i="9"/>
  <c r="IJ87" i="9"/>
  <c r="IJ88" i="9"/>
  <c r="IJ89" i="9"/>
  <c r="IJ90" i="9"/>
  <c r="IJ91" i="9"/>
  <c r="IJ92" i="9"/>
  <c r="IJ93" i="9"/>
  <c r="IJ94" i="9"/>
  <c r="IJ95" i="9"/>
  <c r="IJ96" i="9"/>
  <c r="IJ97" i="9"/>
  <c r="IJ98" i="9"/>
  <c r="IJ99" i="9"/>
  <c r="IJ100" i="9"/>
  <c r="IJ101" i="9"/>
  <c r="IJ102" i="9"/>
  <c r="IJ103" i="9"/>
  <c r="IJ104" i="9"/>
  <c r="IJ105" i="9"/>
  <c r="IJ106" i="9"/>
  <c r="IJ107" i="9"/>
  <c r="IJ108" i="9"/>
  <c r="IJ109" i="9"/>
  <c r="IJ110" i="9"/>
  <c r="IJ111" i="9"/>
  <c r="IJ112" i="9"/>
  <c r="IJ113" i="9"/>
  <c r="IJ114" i="9"/>
  <c r="IJ115" i="9"/>
  <c r="IJ116" i="9"/>
  <c r="IJ117" i="9"/>
  <c r="IJ118" i="9"/>
  <c r="IJ119" i="9"/>
  <c r="IJ120" i="9"/>
  <c r="IJ121" i="9"/>
  <c r="IJ122" i="9"/>
  <c r="IJ123" i="9"/>
  <c r="IJ124" i="9"/>
  <c r="IJ125" i="9"/>
  <c r="IJ126" i="9"/>
  <c r="IJ127" i="9"/>
  <c r="IJ128" i="9"/>
  <c r="IJ129" i="9"/>
  <c r="IJ130" i="9"/>
  <c r="IJ131" i="9"/>
  <c r="IJ132" i="9"/>
  <c r="IJ133" i="9"/>
  <c r="IJ134" i="9"/>
  <c r="IG134" i="9"/>
  <c r="IE134" i="9"/>
  <c r="IA134" i="9"/>
  <c r="HP134" i="9"/>
  <c r="HN134" i="9"/>
  <c r="HK134" i="9"/>
  <c r="HM134" i="9" s="1"/>
  <c r="HH134" i="9"/>
  <c r="HE134" i="9"/>
  <c r="HB134" i="9"/>
  <c r="GS134" i="9"/>
  <c r="FV134" i="9"/>
  <c r="BO133" i="9"/>
  <c r="BP134" i="9"/>
  <c r="BM134" i="9"/>
  <c r="II134" i="9" l="1"/>
  <c r="X129" i="122"/>
  <c r="AQ129" i="122"/>
  <c r="AT129" i="122"/>
  <c r="AS129" i="122"/>
  <c r="AM129" i="122"/>
  <c r="AB17" i="117"/>
  <c r="T17" i="117"/>
  <c r="L17" i="117"/>
  <c r="D17" i="117"/>
  <c r="BK17" i="117"/>
  <c r="BC17" i="117"/>
  <c r="AU17" i="117"/>
  <c r="AM17" i="117"/>
  <c r="S17" i="117"/>
  <c r="K17" i="117"/>
  <c r="BJ17" i="117"/>
  <c r="BB17" i="117"/>
  <c r="AT17" i="117"/>
  <c r="AL17" i="117"/>
  <c r="Z17" i="117"/>
  <c r="R17" i="117"/>
  <c r="J17" i="117"/>
  <c r="BI17" i="117"/>
  <c r="BA17" i="117"/>
  <c r="AS17" i="117"/>
  <c r="AK17" i="117"/>
  <c r="Y17" i="117"/>
  <c r="Q17" i="117"/>
  <c r="I17" i="117"/>
  <c r="BH17" i="117"/>
  <c r="AZ17" i="117"/>
  <c r="AR17" i="117"/>
  <c r="AJ17" i="117"/>
  <c r="AF17" i="117"/>
  <c r="X17" i="117"/>
  <c r="P17" i="117"/>
  <c r="H17" i="117"/>
  <c r="BG17" i="117"/>
  <c r="AY17" i="117"/>
  <c r="AQ17" i="117"/>
  <c r="AI17" i="117"/>
  <c r="B17" i="117"/>
  <c r="AA17" i="117"/>
  <c r="C17" i="117"/>
  <c r="AE17" i="117"/>
  <c r="W17" i="117"/>
  <c r="O17" i="117"/>
  <c r="G17" i="117"/>
  <c r="BF17" i="117"/>
  <c r="AX17" i="117"/>
  <c r="AP17" i="117"/>
  <c r="AH17" i="117"/>
  <c r="AD17" i="117"/>
  <c r="V17" i="117"/>
  <c r="N17" i="117"/>
  <c r="F17" i="117"/>
  <c r="BE17" i="117"/>
  <c r="AW17" i="117"/>
  <c r="AO17" i="117"/>
  <c r="AG17" i="117"/>
  <c r="AC17" i="117"/>
  <c r="U17" i="117"/>
  <c r="M17" i="117"/>
  <c r="E17" i="117"/>
  <c r="BD17" i="117"/>
  <c r="AV17" i="117"/>
  <c r="AN17" i="117"/>
  <c r="AB134" i="9"/>
  <c r="AC134" i="9"/>
  <c r="AD134" i="9"/>
  <c r="AA134" i="9"/>
  <c r="T134" i="9"/>
  <c r="AE134" i="9" s="1"/>
  <c r="Y134" i="9"/>
  <c r="D20" i="117" l="1"/>
  <c r="F20" i="117"/>
  <c r="E20" i="117"/>
  <c r="J20" i="117"/>
  <c r="I20" i="117"/>
  <c r="H20" i="117"/>
  <c r="Z134" i="9"/>
  <c r="GV134" i="9"/>
  <c r="GU134" i="9"/>
  <c r="GB144" i="9" l="1"/>
  <c r="CV6" i="14"/>
  <c r="AX7" i="142" s="1"/>
  <c r="CV7" i="14"/>
  <c r="AX8" i="142" s="1"/>
  <c r="CV8" i="14"/>
  <c r="AX9" i="142" s="1"/>
  <c r="CV9" i="14"/>
  <c r="AX10" i="142" s="1"/>
  <c r="CV10" i="14"/>
  <c r="AX11" i="142" s="1"/>
  <c r="CV11" i="14"/>
  <c r="AX12" i="142" s="1"/>
  <c r="CV12" i="14"/>
  <c r="AX13" i="142" s="1"/>
  <c r="CV13" i="14"/>
  <c r="AX14" i="142" s="1"/>
  <c r="CV14" i="14"/>
  <c r="AX15" i="142" s="1"/>
  <c r="CV15" i="14"/>
  <c r="AX16" i="142" s="1"/>
  <c r="CV16" i="14"/>
  <c r="CV17" i="14"/>
  <c r="CV18" i="14"/>
  <c r="CV19" i="14"/>
  <c r="CV20" i="14"/>
  <c r="CV21" i="14"/>
  <c r="CV22" i="14"/>
  <c r="CV23" i="14"/>
  <c r="CV5" i="14"/>
  <c r="AX6" i="142" s="1"/>
  <c r="EZ82" i="9"/>
  <c r="EZ107" i="9"/>
  <c r="Y25" i="136"/>
  <c r="BD24" i="136"/>
  <c r="C24" i="136"/>
  <c r="BD23" i="136"/>
  <c r="C23" i="136"/>
  <c r="BD22" i="136"/>
  <c r="C22" i="136"/>
  <c r="BD21" i="136"/>
  <c r="C21" i="136"/>
  <c r="BD20" i="136"/>
  <c r="C20" i="136"/>
  <c r="BD19" i="136"/>
  <c r="C19" i="136"/>
  <c r="BD18" i="136"/>
  <c r="C18" i="136"/>
  <c r="BD17" i="136"/>
  <c r="C17" i="136"/>
  <c r="BD16" i="136"/>
  <c r="C16" i="136"/>
  <c r="BD15" i="136"/>
  <c r="BD14" i="136"/>
  <c r="C14" i="136"/>
  <c r="BD13" i="136"/>
  <c r="C13" i="136"/>
  <c r="BD12" i="136"/>
  <c r="C12" i="136"/>
  <c r="BD11" i="136"/>
  <c r="C11" i="136"/>
  <c r="BD10" i="136"/>
  <c r="C10" i="136"/>
  <c r="BD9" i="136"/>
  <c r="BD8" i="136"/>
  <c r="C8" i="136"/>
  <c r="BD7" i="136"/>
  <c r="C7" i="136"/>
  <c r="BD6" i="136"/>
  <c r="C6" i="136"/>
  <c r="BD5" i="136"/>
  <c r="BA2" i="136"/>
  <c r="AZ2" i="136"/>
  <c r="AY2" i="136"/>
  <c r="AX2" i="136"/>
  <c r="AW2" i="136"/>
  <c r="AV2" i="136"/>
  <c r="AU2" i="136"/>
  <c r="AT2" i="136"/>
  <c r="AS2" i="136"/>
  <c r="AR2" i="136"/>
  <c r="AQ2" i="136"/>
  <c r="AP2" i="136"/>
  <c r="CJ1" i="136"/>
  <c r="CF1" i="136"/>
  <c r="BP1" i="136"/>
  <c r="BL1" i="136"/>
  <c r="C128" i="122"/>
  <c r="D128" i="122"/>
  <c r="E128" i="122"/>
  <c r="G128" i="122"/>
  <c r="I128" i="122"/>
  <c r="K128" i="122"/>
  <c r="L128" i="122"/>
  <c r="M128" i="122"/>
  <c r="O128" i="122"/>
  <c r="P128" i="122"/>
  <c r="Q128" i="122"/>
  <c r="R128" i="122"/>
  <c r="U128" i="122"/>
  <c r="V128" i="122" s="1"/>
  <c r="W128" i="122"/>
  <c r="Z128" i="122"/>
  <c r="AC128" i="122"/>
  <c r="AI128" i="122"/>
  <c r="LQ130" i="9"/>
  <c r="LR130" i="9"/>
  <c r="LS130" i="9"/>
  <c r="LT130" i="9"/>
  <c r="LU130" i="9"/>
  <c r="LV130" i="9"/>
  <c r="LW130" i="9"/>
  <c r="LX130" i="9"/>
  <c r="LQ131" i="9"/>
  <c r="LR131" i="9"/>
  <c r="LS131" i="9"/>
  <c r="LT131" i="9"/>
  <c r="LU131" i="9"/>
  <c r="LV131" i="9"/>
  <c r="LW131" i="9"/>
  <c r="LX131" i="9"/>
  <c r="LQ132" i="9"/>
  <c r="LR132" i="9"/>
  <c r="LS132" i="9"/>
  <c r="LT132" i="9"/>
  <c r="LU132" i="9"/>
  <c r="LV132" i="9"/>
  <c r="LW132" i="9"/>
  <c r="LX132" i="9"/>
  <c r="LQ133" i="9"/>
  <c r="LR133" i="9"/>
  <c r="LS133" i="9"/>
  <c r="LT133" i="9"/>
  <c r="LU133" i="9"/>
  <c r="LV133" i="9"/>
  <c r="LW133" i="9"/>
  <c r="LX133" i="9"/>
  <c r="IQ133" i="9"/>
  <c r="IG133" i="9"/>
  <c r="IE133" i="9"/>
  <c r="IA133" i="9"/>
  <c r="IA132" i="9"/>
  <c r="HP133" i="9"/>
  <c r="HN133" i="9"/>
  <c r="HK133" i="9"/>
  <c r="HH133" i="9"/>
  <c r="HE133" i="9"/>
  <c r="HB133" i="9"/>
  <c r="GS133" i="9"/>
  <c r="FV133" i="9"/>
  <c r="R134" i="9"/>
  <c r="B129" i="122" s="1"/>
  <c r="AL129" i="122" s="1"/>
  <c r="N134" i="9"/>
  <c r="P134" i="9" s="1"/>
  <c r="O134" i="9"/>
  <c r="N133" i="9"/>
  <c r="BT133" i="9"/>
  <c r="BP133" i="9"/>
  <c r="BM133" i="9"/>
  <c r="BG134" i="9"/>
  <c r="CV26" i="14" l="1"/>
  <c r="CV25" i="14"/>
  <c r="CV27" i="14"/>
  <c r="II133" i="9"/>
  <c r="X128" i="122"/>
  <c r="HM133" i="9"/>
  <c r="AS128" i="122"/>
  <c r="AQ128" i="122"/>
  <c r="AM128" i="122"/>
  <c r="AT128" i="122"/>
  <c r="AF133" i="9"/>
  <c r="Y133" i="9"/>
  <c r="AA133" i="9"/>
  <c r="AB133" i="9"/>
  <c r="AC133" i="9"/>
  <c r="AD133" i="9"/>
  <c r="T133" i="9"/>
  <c r="Z133" i="9" s="1"/>
  <c r="R133" i="9"/>
  <c r="B128" i="122" s="1"/>
  <c r="AL128" i="122" s="1"/>
  <c r="O133" i="9"/>
  <c r="P133" i="9" s="1"/>
  <c r="CV28" i="14" l="1"/>
  <c r="CV32" i="14" s="1"/>
  <c r="AE133" i="9"/>
  <c r="GV133" i="9"/>
  <c r="GU133" i="9"/>
  <c r="GB154" i="9"/>
  <c r="FZ135" i="9"/>
  <c r="FZ136" i="9"/>
  <c r="FZ137" i="9"/>
  <c r="FZ138" i="9"/>
  <c r="FZ139" i="9"/>
  <c r="FZ140" i="9"/>
  <c r="FZ141" i="9"/>
  <c r="FZ133" i="9"/>
  <c r="FZ134" i="9"/>
  <c r="IP10" i="9"/>
  <c r="IP23" i="9"/>
  <c r="IP24" i="9"/>
  <c r="IP25" i="9"/>
  <c r="IP26" i="9"/>
  <c r="IP27" i="9"/>
  <c r="IP28" i="9"/>
  <c r="IP29" i="9"/>
  <c r="IP30" i="9"/>
  <c r="IP31" i="9"/>
  <c r="IP32" i="9"/>
  <c r="IP33" i="9"/>
  <c r="IP22" i="9"/>
  <c r="IP35" i="9"/>
  <c r="IP36" i="9"/>
  <c r="IP37" i="9"/>
  <c r="IP38" i="9"/>
  <c r="IP39" i="9"/>
  <c r="IP40" i="9"/>
  <c r="IP41" i="9"/>
  <c r="IP42" i="9"/>
  <c r="IP43" i="9"/>
  <c r="IP44" i="9"/>
  <c r="IP45" i="9"/>
  <c r="IP34" i="9"/>
  <c r="IP47" i="9"/>
  <c r="IP48" i="9"/>
  <c r="IP49" i="9"/>
  <c r="IP50" i="9"/>
  <c r="IP51" i="9"/>
  <c r="IP52" i="9"/>
  <c r="IP53" i="9"/>
  <c r="IP54" i="9"/>
  <c r="IP55" i="9"/>
  <c r="IP56" i="9"/>
  <c r="IP57" i="9"/>
  <c r="IP46" i="9"/>
  <c r="IP59" i="9"/>
  <c r="IP60" i="9"/>
  <c r="IP61" i="9"/>
  <c r="IP62" i="9"/>
  <c r="IP63" i="9"/>
  <c r="IP64" i="9"/>
  <c r="IP65" i="9"/>
  <c r="IP66" i="9"/>
  <c r="IP67" i="9"/>
  <c r="IP68" i="9"/>
  <c r="IP69" i="9"/>
  <c r="IP58" i="9"/>
  <c r="IP71" i="9"/>
  <c r="IP72" i="9"/>
  <c r="IP73" i="9"/>
  <c r="IP74" i="9"/>
  <c r="IP75" i="9"/>
  <c r="IP76" i="9"/>
  <c r="IP77" i="9"/>
  <c r="IP78" i="9"/>
  <c r="IP79" i="9"/>
  <c r="IP80" i="9"/>
  <c r="IP81" i="9"/>
  <c r="IP70" i="9"/>
  <c r="IP119" i="9"/>
  <c r="IP120" i="9"/>
  <c r="IP121" i="9"/>
  <c r="IP122" i="9"/>
  <c r="IP123" i="9"/>
  <c r="IP124" i="9"/>
  <c r="IP125" i="9"/>
  <c r="IP126" i="9"/>
  <c r="IP127" i="9"/>
  <c r="IP128" i="9"/>
  <c r="IP129" i="9"/>
  <c r="IP118" i="9"/>
  <c r="IP107" i="9"/>
  <c r="IP108" i="9"/>
  <c r="IP109" i="9"/>
  <c r="IP110" i="9"/>
  <c r="IP111" i="9"/>
  <c r="IP112" i="9"/>
  <c r="IP113" i="9"/>
  <c r="IP114" i="9"/>
  <c r="IP115" i="9"/>
  <c r="IP116" i="9"/>
  <c r="IP117" i="9"/>
  <c r="IP106" i="9"/>
  <c r="IP95" i="9"/>
  <c r="IP96" i="9"/>
  <c r="IP97" i="9"/>
  <c r="IP98" i="9"/>
  <c r="IP99" i="9"/>
  <c r="IP100" i="9"/>
  <c r="IP101" i="9"/>
  <c r="IP102" i="9"/>
  <c r="IP103" i="9"/>
  <c r="IP104" i="9"/>
  <c r="IP105" i="9"/>
  <c r="IP94" i="9"/>
  <c r="IP83" i="9"/>
  <c r="IP84" i="9"/>
  <c r="IP85" i="9"/>
  <c r="IP86" i="9"/>
  <c r="IP87" i="9"/>
  <c r="IP88" i="9"/>
  <c r="IP89" i="9"/>
  <c r="IP90" i="9"/>
  <c r="IP91" i="9"/>
  <c r="IP92" i="9"/>
  <c r="IP93" i="9"/>
  <c r="IP82" i="9"/>
  <c r="H17" i="135" l="1"/>
  <c r="H18" i="135"/>
  <c r="H19" i="135"/>
  <c r="H21" i="135"/>
  <c r="H22" i="135"/>
  <c r="H24" i="135"/>
  <c r="H26" i="135"/>
  <c r="K26" i="135" s="1"/>
  <c r="L26" i="135" s="1"/>
  <c r="H28" i="135"/>
  <c r="H30" i="135"/>
  <c r="H31" i="135"/>
  <c r="H32" i="135"/>
  <c r="H34" i="135"/>
  <c r="H35" i="135"/>
  <c r="B49" i="135"/>
  <c r="C47" i="135" s="1"/>
  <c r="C3" i="135"/>
  <c r="BO3" i="135" s="1"/>
  <c r="D3" i="135"/>
  <c r="E3" i="135"/>
  <c r="F3" i="135"/>
  <c r="G3" i="135"/>
  <c r="BQ3" i="135" s="1"/>
  <c r="H3" i="135"/>
  <c r="I3" i="135"/>
  <c r="J3" i="135"/>
  <c r="K3" i="135"/>
  <c r="BR3" i="135" s="1"/>
  <c r="L3" i="135"/>
  <c r="BS3" i="135" s="1"/>
  <c r="M3" i="135"/>
  <c r="N3" i="135"/>
  <c r="O3" i="135"/>
  <c r="P3" i="135"/>
  <c r="Q3" i="135"/>
  <c r="BU3" i="135" s="1"/>
  <c r="R3" i="135"/>
  <c r="S3" i="135"/>
  <c r="T3" i="135"/>
  <c r="U3" i="135"/>
  <c r="V3" i="135"/>
  <c r="W3" i="135"/>
  <c r="X3" i="135"/>
  <c r="BX3" i="135" s="1"/>
  <c r="Y3" i="135"/>
  <c r="BY3" i="135" s="1"/>
  <c r="Z3" i="135"/>
  <c r="BZ3" i="135" s="1"/>
  <c r="AA3" i="135"/>
  <c r="CA3" i="135" s="1"/>
  <c r="AB3" i="135"/>
  <c r="CB3" i="135" s="1"/>
  <c r="AC3" i="135"/>
  <c r="CC3" i="135" s="1"/>
  <c r="AD3" i="135"/>
  <c r="CD3" i="135" s="1"/>
  <c r="AE3" i="135"/>
  <c r="CE3" i="135" s="1"/>
  <c r="AF3" i="135"/>
  <c r="CF3" i="135" s="1"/>
  <c r="AG3" i="135"/>
  <c r="CH3" i="135" s="1"/>
  <c r="AH3" i="135"/>
  <c r="CI3" i="135" s="1"/>
  <c r="AI3" i="135"/>
  <c r="AJ3" i="135"/>
  <c r="AK3" i="135"/>
  <c r="AL3" i="135"/>
  <c r="CK3" i="135" s="1"/>
  <c r="AM3" i="135"/>
  <c r="AN3" i="135"/>
  <c r="AO3" i="135"/>
  <c r="AP3" i="135"/>
  <c r="CL3" i="135" s="1"/>
  <c r="AQ3" i="135"/>
  <c r="CM3" i="135" s="1"/>
  <c r="AR3" i="135"/>
  <c r="AS3" i="135"/>
  <c r="AT3" i="135"/>
  <c r="AU3" i="135"/>
  <c r="AV3" i="135"/>
  <c r="CO3" i="135" s="1"/>
  <c r="AW3" i="135"/>
  <c r="AX3" i="135"/>
  <c r="AY3" i="135"/>
  <c r="AZ3" i="135"/>
  <c r="BA3" i="135"/>
  <c r="BB3" i="135"/>
  <c r="BC3" i="135"/>
  <c r="CR3" i="135" s="1"/>
  <c r="BD3" i="135"/>
  <c r="CS3" i="135" s="1"/>
  <c r="BE3" i="135"/>
  <c r="CT3" i="135" s="1"/>
  <c r="BF3" i="135"/>
  <c r="CU3" i="135" s="1"/>
  <c r="BG3" i="135"/>
  <c r="CV3" i="135" s="1"/>
  <c r="BH3" i="135"/>
  <c r="CW3" i="135" s="1"/>
  <c r="BI3" i="135"/>
  <c r="CX3" i="135" s="1"/>
  <c r="BJ3" i="135"/>
  <c r="CY3" i="135" s="1"/>
  <c r="BK3" i="135"/>
  <c r="CZ3" i="135" s="1"/>
  <c r="C4" i="135"/>
  <c r="BO4" i="135" s="1"/>
  <c r="D4" i="135"/>
  <c r="E4" i="135"/>
  <c r="F4" i="135"/>
  <c r="G4" i="135"/>
  <c r="BQ4" i="135" s="1"/>
  <c r="H4" i="135"/>
  <c r="I4" i="135"/>
  <c r="J4" i="135"/>
  <c r="K4" i="135"/>
  <c r="BR4" i="135" s="1"/>
  <c r="L4" i="135"/>
  <c r="BS4" i="135" s="1"/>
  <c r="M4" i="135"/>
  <c r="N4" i="135"/>
  <c r="O4" i="135"/>
  <c r="P4" i="135"/>
  <c r="Q4" i="135"/>
  <c r="BU4" i="135" s="1"/>
  <c r="R4" i="135"/>
  <c r="S4" i="135"/>
  <c r="T4" i="135"/>
  <c r="U4" i="135"/>
  <c r="V4" i="135"/>
  <c r="W4" i="135"/>
  <c r="X4" i="135"/>
  <c r="BX4" i="135" s="1"/>
  <c r="Y4" i="135"/>
  <c r="BY4" i="135" s="1"/>
  <c r="Z4" i="135"/>
  <c r="BZ4" i="135" s="1"/>
  <c r="AA4" i="135"/>
  <c r="CA4" i="135" s="1"/>
  <c r="AB4" i="135"/>
  <c r="CB4" i="135" s="1"/>
  <c r="AC4" i="135"/>
  <c r="CC4" i="135" s="1"/>
  <c r="AD4" i="135"/>
  <c r="CD4" i="135" s="1"/>
  <c r="AE4" i="135"/>
  <c r="CE4" i="135" s="1"/>
  <c r="AF4" i="135"/>
  <c r="CF4" i="135" s="1"/>
  <c r="AG4" i="135"/>
  <c r="CH4" i="135" s="1"/>
  <c r="AH4" i="135"/>
  <c r="CI4" i="135" s="1"/>
  <c r="AI4" i="135"/>
  <c r="AJ4" i="135"/>
  <c r="AK4" i="135"/>
  <c r="AL4" i="135"/>
  <c r="CK4" i="135" s="1"/>
  <c r="AM4" i="135"/>
  <c r="AN4" i="135"/>
  <c r="AO4" i="135"/>
  <c r="AP4" i="135"/>
  <c r="CL4" i="135" s="1"/>
  <c r="AQ4" i="135"/>
  <c r="CM4" i="135" s="1"/>
  <c r="AR4" i="135"/>
  <c r="AS4" i="135"/>
  <c r="AT4" i="135"/>
  <c r="AU4" i="135"/>
  <c r="AV4" i="135"/>
  <c r="CO4" i="135" s="1"/>
  <c r="AW4" i="135"/>
  <c r="AX4" i="135"/>
  <c r="AY4" i="135"/>
  <c r="AZ4" i="135"/>
  <c r="BA4" i="135"/>
  <c r="BB4" i="135"/>
  <c r="BC4" i="135"/>
  <c r="CR4" i="135" s="1"/>
  <c r="BD4" i="135"/>
  <c r="CS4" i="135" s="1"/>
  <c r="BE4" i="135"/>
  <c r="CT4" i="135" s="1"/>
  <c r="BF4" i="135"/>
  <c r="CU4" i="135" s="1"/>
  <c r="BG4" i="135"/>
  <c r="CV4" i="135" s="1"/>
  <c r="BH4" i="135"/>
  <c r="CW4" i="135" s="1"/>
  <c r="BI4" i="135"/>
  <c r="CX4" i="135" s="1"/>
  <c r="BJ4" i="135"/>
  <c r="CY4" i="135" s="1"/>
  <c r="BK4" i="135"/>
  <c r="CZ4" i="135" s="1"/>
  <c r="C5" i="135"/>
  <c r="BO5" i="135" s="1"/>
  <c r="D5" i="135"/>
  <c r="E5" i="135"/>
  <c r="F5" i="135"/>
  <c r="G5" i="135"/>
  <c r="BQ5" i="135" s="1"/>
  <c r="H5" i="135"/>
  <c r="I5" i="135"/>
  <c r="J5" i="135"/>
  <c r="K5" i="135"/>
  <c r="BR5" i="135" s="1"/>
  <c r="L5" i="135"/>
  <c r="BS5" i="135" s="1"/>
  <c r="M5" i="135"/>
  <c r="N5" i="135"/>
  <c r="O5" i="135"/>
  <c r="P5" i="135"/>
  <c r="Q5" i="135"/>
  <c r="BU5" i="135" s="1"/>
  <c r="R5" i="135"/>
  <c r="S5" i="135"/>
  <c r="T5" i="135"/>
  <c r="U5" i="135"/>
  <c r="V5" i="135"/>
  <c r="W5" i="135"/>
  <c r="X5" i="135"/>
  <c r="BX5" i="135" s="1"/>
  <c r="Y5" i="135"/>
  <c r="BY5" i="135" s="1"/>
  <c r="Z5" i="135"/>
  <c r="BZ5" i="135" s="1"/>
  <c r="AA5" i="135"/>
  <c r="CA5" i="135" s="1"/>
  <c r="AB5" i="135"/>
  <c r="CB5" i="135" s="1"/>
  <c r="AC5" i="135"/>
  <c r="CC5" i="135" s="1"/>
  <c r="AD5" i="135"/>
  <c r="CD5" i="135" s="1"/>
  <c r="AE5" i="135"/>
  <c r="CE5" i="135" s="1"/>
  <c r="AF5" i="135"/>
  <c r="CF5" i="135" s="1"/>
  <c r="AG5" i="135"/>
  <c r="CH5" i="135" s="1"/>
  <c r="AH5" i="135"/>
  <c r="CI5" i="135" s="1"/>
  <c r="AI5" i="135"/>
  <c r="AJ5" i="135"/>
  <c r="AK5" i="135"/>
  <c r="AL5" i="135"/>
  <c r="CK5" i="135" s="1"/>
  <c r="AM5" i="135"/>
  <c r="AN5" i="135"/>
  <c r="AO5" i="135"/>
  <c r="AP5" i="135"/>
  <c r="CL5" i="135" s="1"/>
  <c r="AQ5" i="135"/>
  <c r="CM5" i="135" s="1"/>
  <c r="AR5" i="135"/>
  <c r="AS5" i="135"/>
  <c r="AT5" i="135"/>
  <c r="AU5" i="135"/>
  <c r="AV5" i="135"/>
  <c r="CO5" i="135" s="1"/>
  <c r="AW5" i="135"/>
  <c r="AX5" i="135"/>
  <c r="AY5" i="135"/>
  <c r="AZ5" i="135"/>
  <c r="BA5" i="135"/>
  <c r="BB5" i="135"/>
  <c r="BC5" i="135"/>
  <c r="CR5" i="135" s="1"/>
  <c r="BD5" i="135"/>
  <c r="CS5" i="135" s="1"/>
  <c r="BE5" i="135"/>
  <c r="CT5" i="135" s="1"/>
  <c r="BF5" i="135"/>
  <c r="CU5" i="135" s="1"/>
  <c r="BG5" i="135"/>
  <c r="CV5" i="135" s="1"/>
  <c r="BH5" i="135"/>
  <c r="CW5" i="135" s="1"/>
  <c r="BI5" i="135"/>
  <c r="CX5" i="135" s="1"/>
  <c r="BJ5" i="135"/>
  <c r="CY5" i="135" s="1"/>
  <c r="BK5" i="135"/>
  <c r="CZ5" i="135" s="1"/>
  <c r="C6" i="135"/>
  <c r="BO6" i="135" s="1"/>
  <c r="D6" i="135"/>
  <c r="E6" i="135"/>
  <c r="F6" i="135"/>
  <c r="G6" i="135"/>
  <c r="BQ6" i="135" s="1"/>
  <c r="H6" i="135"/>
  <c r="I6" i="135"/>
  <c r="J6" i="135"/>
  <c r="K6" i="135"/>
  <c r="BR6" i="135" s="1"/>
  <c r="L6" i="135"/>
  <c r="BS6" i="135" s="1"/>
  <c r="M6" i="135"/>
  <c r="N6" i="135"/>
  <c r="O6" i="135"/>
  <c r="P6" i="135"/>
  <c r="Q6" i="135"/>
  <c r="BU6" i="135" s="1"/>
  <c r="R6" i="135"/>
  <c r="S6" i="135"/>
  <c r="T6" i="135"/>
  <c r="U6" i="135"/>
  <c r="V6" i="135"/>
  <c r="W6" i="135"/>
  <c r="X6" i="135"/>
  <c r="BX6" i="135" s="1"/>
  <c r="Y6" i="135"/>
  <c r="BY6" i="135" s="1"/>
  <c r="Z6" i="135"/>
  <c r="BZ6" i="135" s="1"/>
  <c r="AA6" i="135"/>
  <c r="CA6" i="135" s="1"/>
  <c r="AB6" i="135"/>
  <c r="CB6" i="135" s="1"/>
  <c r="AC6" i="135"/>
  <c r="CC6" i="135" s="1"/>
  <c r="AD6" i="135"/>
  <c r="CD6" i="135" s="1"/>
  <c r="AE6" i="135"/>
  <c r="CE6" i="135" s="1"/>
  <c r="AF6" i="135"/>
  <c r="CF6" i="135" s="1"/>
  <c r="AG6" i="135"/>
  <c r="CH6" i="135" s="1"/>
  <c r="AH6" i="135"/>
  <c r="CI6" i="135" s="1"/>
  <c r="AI6" i="135"/>
  <c r="AJ6" i="135"/>
  <c r="AK6" i="135"/>
  <c r="AL6" i="135"/>
  <c r="CK6" i="135" s="1"/>
  <c r="AM6" i="135"/>
  <c r="AN6" i="135"/>
  <c r="AO6" i="135"/>
  <c r="AP6" i="135"/>
  <c r="CL6" i="135" s="1"/>
  <c r="AQ6" i="135"/>
  <c r="CM6" i="135" s="1"/>
  <c r="AR6" i="135"/>
  <c r="AS6" i="135"/>
  <c r="AT6" i="135"/>
  <c r="AU6" i="135"/>
  <c r="AV6" i="135"/>
  <c r="CO6" i="135" s="1"/>
  <c r="AW6" i="135"/>
  <c r="AX6" i="135"/>
  <c r="AY6" i="135"/>
  <c r="AZ6" i="135"/>
  <c r="BA6" i="135"/>
  <c r="BB6" i="135"/>
  <c r="BC6" i="135"/>
  <c r="CR6" i="135" s="1"/>
  <c r="BD6" i="135"/>
  <c r="CS6" i="135" s="1"/>
  <c r="BE6" i="135"/>
  <c r="CT6" i="135" s="1"/>
  <c r="BF6" i="135"/>
  <c r="CU6" i="135" s="1"/>
  <c r="BG6" i="135"/>
  <c r="CV6" i="135" s="1"/>
  <c r="BH6" i="135"/>
  <c r="CW6" i="135" s="1"/>
  <c r="BI6" i="135"/>
  <c r="CX6" i="135" s="1"/>
  <c r="BJ6" i="135"/>
  <c r="CY6" i="135" s="1"/>
  <c r="BK6" i="135"/>
  <c r="CZ6" i="135" s="1"/>
  <c r="C7" i="135"/>
  <c r="BO7" i="135" s="1"/>
  <c r="D7" i="135"/>
  <c r="E7" i="135"/>
  <c r="F7" i="135"/>
  <c r="G7" i="135"/>
  <c r="BQ7" i="135" s="1"/>
  <c r="H7" i="135"/>
  <c r="I7" i="135"/>
  <c r="J7" i="135"/>
  <c r="K7" i="135"/>
  <c r="BR7" i="135" s="1"/>
  <c r="L7" i="135"/>
  <c r="BS7" i="135" s="1"/>
  <c r="M7" i="135"/>
  <c r="N7" i="135"/>
  <c r="O7" i="135"/>
  <c r="P7" i="135"/>
  <c r="Q7" i="135"/>
  <c r="BU7" i="135" s="1"/>
  <c r="R7" i="135"/>
  <c r="S7" i="135"/>
  <c r="T7" i="135"/>
  <c r="U7" i="135"/>
  <c r="V7" i="135"/>
  <c r="W7" i="135"/>
  <c r="X7" i="135"/>
  <c r="BX7" i="135" s="1"/>
  <c r="Y7" i="135"/>
  <c r="BY7" i="135" s="1"/>
  <c r="Z7" i="135"/>
  <c r="BZ7" i="135" s="1"/>
  <c r="AA7" i="135"/>
  <c r="CA7" i="135" s="1"/>
  <c r="AB7" i="135"/>
  <c r="CB7" i="135" s="1"/>
  <c r="AC7" i="135"/>
  <c r="CC7" i="135" s="1"/>
  <c r="AD7" i="135"/>
  <c r="CD7" i="135" s="1"/>
  <c r="AE7" i="135"/>
  <c r="CE7" i="135" s="1"/>
  <c r="AF7" i="135"/>
  <c r="CF7" i="135" s="1"/>
  <c r="AG7" i="135"/>
  <c r="CH7" i="135" s="1"/>
  <c r="AH7" i="135"/>
  <c r="CI7" i="135" s="1"/>
  <c r="AI7" i="135"/>
  <c r="AJ7" i="135"/>
  <c r="AK7" i="135"/>
  <c r="AL7" i="135"/>
  <c r="CK7" i="135" s="1"/>
  <c r="AM7" i="135"/>
  <c r="AN7" i="135"/>
  <c r="AO7" i="135"/>
  <c r="AP7" i="135"/>
  <c r="CL7" i="135" s="1"/>
  <c r="AQ7" i="135"/>
  <c r="CM7" i="135" s="1"/>
  <c r="AR7" i="135"/>
  <c r="AS7" i="135"/>
  <c r="AT7" i="135"/>
  <c r="AU7" i="135"/>
  <c r="AV7" i="135"/>
  <c r="CO7" i="135" s="1"/>
  <c r="AW7" i="135"/>
  <c r="AX7" i="135"/>
  <c r="AY7" i="135"/>
  <c r="AZ7" i="135"/>
  <c r="BA7" i="135"/>
  <c r="BB7" i="135"/>
  <c r="BC7" i="135"/>
  <c r="CR7" i="135" s="1"/>
  <c r="BD7" i="135"/>
  <c r="CS7" i="135" s="1"/>
  <c r="BE7" i="135"/>
  <c r="CT7" i="135" s="1"/>
  <c r="BF7" i="135"/>
  <c r="CU7" i="135" s="1"/>
  <c r="BG7" i="135"/>
  <c r="CV7" i="135" s="1"/>
  <c r="BH7" i="135"/>
  <c r="CW7" i="135" s="1"/>
  <c r="BI7" i="135"/>
  <c r="CX7" i="135" s="1"/>
  <c r="BJ7" i="135"/>
  <c r="CY7" i="135" s="1"/>
  <c r="BK7" i="135"/>
  <c r="CZ7" i="135" s="1"/>
  <c r="C8" i="135"/>
  <c r="BO8" i="135" s="1"/>
  <c r="D8" i="135"/>
  <c r="E8" i="135"/>
  <c r="F8" i="135"/>
  <c r="G8" i="135"/>
  <c r="BQ8" i="135" s="1"/>
  <c r="H8" i="135"/>
  <c r="I8" i="135"/>
  <c r="J8" i="135"/>
  <c r="K8" i="135"/>
  <c r="BR8" i="135" s="1"/>
  <c r="L8" i="135"/>
  <c r="BS8" i="135" s="1"/>
  <c r="M8" i="135"/>
  <c r="N8" i="135"/>
  <c r="O8" i="135"/>
  <c r="P8" i="135"/>
  <c r="Q8" i="135"/>
  <c r="BU8" i="135" s="1"/>
  <c r="R8" i="135"/>
  <c r="S8" i="135"/>
  <c r="T8" i="135"/>
  <c r="U8" i="135"/>
  <c r="V8" i="135"/>
  <c r="W8" i="135"/>
  <c r="X8" i="135"/>
  <c r="BX8" i="135" s="1"/>
  <c r="Y8" i="135"/>
  <c r="BY8" i="135" s="1"/>
  <c r="Z8" i="135"/>
  <c r="BZ8" i="135" s="1"/>
  <c r="AA8" i="135"/>
  <c r="CA8" i="135" s="1"/>
  <c r="AB8" i="135"/>
  <c r="CB8" i="135" s="1"/>
  <c r="AC8" i="135"/>
  <c r="CC8" i="135" s="1"/>
  <c r="AD8" i="135"/>
  <c r="CD8" i="135" s="1"/>
  <c r="AE8" i="135"/>
  <c r="CE8" i="135" s="1"/>
  <c r="AF8" i="135"/>
  <c r="CF8" i="135" s="1"/>
  <c r="AG8" i="135"/>
  <c r="CH8" i="135" s="1"/>
  <c r="AH8" i="135"/>
  <c r="CI8" i="135" s="1"/>
  <c r="AI8" i="135"/>
  <c r="AJ8" i="135"/>
  <c r="AK8" i="135"/>
  <c r="AL8" i="135"/>
  <c r="CK8" i="135" s="1"/>
  <c r="AM8" i="135"/>
  <c r="AN8" i="135"/>
  <c r="AO8" i="135"/>
  <c r="AP8" i="135"/>
  <c r="CL8" i="135" s="1"/>
  <c r="AQ8" i="135"/>
  <c r="CM8" i="135" s="1"/>
  <c r="AR8" i="135"/>
  <c r="AS8" i="135"/>
  <c r="AT8" i="135"/>
  <c r="AU8" i="135"/>
  <c r="AV8" i="135"/>
  <c r="CO8" i="135" s="1"/>
  <c r="AW8" i="135"/>
  <c r="AX8" i="135"/>
  <c r="AY8" i="135"/>
  <c r="AZ8" i="135"/>
  <c r="BA8" i="135"/>
  <c r="BB8" i="135"/>
  <c r="BC8" i="135"/>
  <c r="CR8" i="135" s="1"/>
  <c r="BD8" i="135"/>
  <c r="CS8" i="135" s="1"/>
  <c r="BE8" i="135"/>
  <c r="CT8" i="135" s="1"/>
  <c r="BF8" i="135"/>
  <c r="CU8" i="135" s="1"/>
  <c r="BG8" i="135"/>
  <c r="CV8" i="135" s="1"/>
  <c r="BH8" i="135"/>
  <c r="CW8" i="135" s="1"/>
  <c r="BI8" i="135"/>
  <c r="CX8" i="135" s="1"/>
  <c r="BJ8" i="135"/>
  <c r="CY8" i="135" s="1"/>
  <c r="BK8" i="135"/>
  <c r="CZ8" i="135" s="1"/>
  <c r="C9" i="135"/>
  <c r="BO9" i="135" s="1"/>
  <c r="D9" i="135"/>
  <c r="E9" i="135"/>
  <c r="F9" i="135"/>
  <c r="G9" i="135"/>
  <c r="BQ9" i="135" s="1"/>
  <c r="H9" i="135"/>
  <c r="I9" i="135"/>
  <c r="J9" i="135"/>
  <c r="K9" i="135"/>
  <c r="BR9" i="135" s="1"/>
  <c r="L9" i="135"/>
  <c r="BS9" i="135" s="1"/>
  <c r="M9" i="135"/>
  <c r="N9" i="135"/>
  <c r="O9" i="135"/>
  <c r="P9" i="135"/>
  <c r="Q9" i="135"/>
  <c r="BU9" i="135" s="1"/>
  <c r="R9" i="135"/>
  <c r="S9" i="135"/>
  <c r="T9" i="135"/>
  <c r="U9" i="135"/>
  <c r="V9" i="135"/>
  <c r="W9" i="135"/>
  <c r="X9" i="135"/>
  <c r="BX9" i="135" s="1"/>
  <c r="Y9" i="135"/>
  <c r="BY9" i="135" s="1"/>
  <c r="Z9" i="135"/>
  <c r="BZ9" i="135" s="1"/>
  <c r="AA9" i="135"/>
  <c r="CA9" i="135" s="1"/>
  <c r="AB9" i="135"/>
  <c r="CB9" i="135" s="1"/>
  <c r="AC9" i="135"/>
  <c r="CC9" i="135" s="1"/>
  <c r="AD9" i="135"/>
  <c r="CD9" i="135" s="1"/>
  <c r="AE9" i="135"/>
  <c r="CE9" i="135" s="1"/>
  <c r="AF9" i="135"/>
  <c r="CF9" i="135" s="1"/>
  <c r="AG9" i="135"/>
  <c r="CH9" i="135" s="1"/>
  <c r="AH9" i="135"/>
  <c r="CI9" i="135" s="1"/>
  <c r="AI9" i="135"/>
  <c r="AJ9" i="135"/>
  <c r="AK9" i="135"/>
  <c r="AL9" i="135"/>
  <c r="CK9" i="135" s="1"/>
  <c r="AM9" i="135"/>
  <c r="AN9" i="135"/>
  <c r="AO9" i="135"/>
  <c r="AP9" i="135"/>
  <c r="CL9" i="135" s="1"/>
  <c r="AQ9" i="135"/>
  <c r="CM9" i="135" s="1"/>
  <c r="AR9" i="135"/>
  <c r="AS9" i="135"/>
  <c r="AT9" i="135"/>
  <c r="AU9" i="135"/>
  <c r="AV9" i="135"/>
  <c r="CO9" i="135" s="1"/>
  <c r="AW9" i="135"/>
  <c r="AX9" i="135"/>
  <c r="AY9" i="135"/>
  <c r="AZ9" i="135"/>
  <c r="BA9" i="135"/>
  <c r="BB9" i="135"/>
  <c r="BC9" i="135"/>
  <c r="CR9" i="135" s="1"/>
  <c r="BD9" i="135"/>
  <c r="CS9" i="135" s="1"/>
  <c r="BE9" i="135"/>
  <c r="CT9" i="135" s="1"/>
  <c r="BF9" i="135"/>
  <c r="CU9" i="135" s="1"/>
  <c r="BG9" i="135"/>
  <c r="CV9" i="135" s="1"/>
  <c r="BH9" i="135"/>
  <c r="CW9" i="135" s="1"/>
  <c r="BI9" i="135"/>
  <c r="CX9" i="135" s="1"/>
  <c r="BJ9" i="135"/>
  <c r="CY9" i="135" s="1"/>
  <c r="BK9" i="135"/>
  <c r="CZ9" i="135" s="1"/>
  <c r="C10" i="135"/>
  <c r="BO10" i="135" s="1"/>
  <c r="D10" i="135"/>
  <c r="E10" i="135"/>
  <c r="F10" i="135"/>
  <c r="G10" i="135"/>
  <c r="BQ10" i="135" s="1"/>
  <c r="H10" i="135"/>
  <c r="I10" i="135"/>
  <c r="J10" i="135"/>
  <c r="K10" i="135"/>
  <c r="BR10" i="135" s="1"/>
  <c r="L10" i="135"/>
  <c r="BS10" i="135" s="1"/>
  <c r="M10" i="135"/>
  <c r="N10" i="135"/>
  <c r="O10" i="135"/>
  <c r="P10" i="135"/>
  <c r="Q10" i="135"/>
  <c r="BU10" i="135" s="1"/>
  <c r="R10" i="135"/>
  <c r="S10" i="135"/>
  <c r="T10" i="135"/>
  <c r="U10" i="135"/>
  <c r="V10" i="135"/>
  <c r="W10" i="135"/>
  <c r="X10" i="135"/>
  <c r="BX10" i="135" s="1"/>
  <c r="Y10" i="135"/>
  <c r="BY10" i="135" s="1"/>
  <c r="Z10" i="135"/>
  <c r="BZ10" i="135" s="1"/>
  <c r="AA10" i="135"/>
  <c r="CA10" i="135" s="1"/>
  <c r="AB10" i="135"/>
  <c r="CB10" i="135" s="1"/>
  <c r="AC10" i="135"/>
  <c r="CC10" i="135" s="1"/>
  <c r="AD10" i="135"/>
  <c r="CD10" i="135" s="1"/>
  <c r="AE10" i="135"/>
  <c r="CE10" i="135" s="1"/>
  <c r="AF10" i="135"/>
  <c r="CF10" i="135" s="1"/>
  <c r="AG10" i="135"/>
  <c r="CH10" i="135" s="1"/>
  <c r="AH10" i="135"/>
  <c r="CI10" i="135" s="1"/>
  <c r="AI10" i="135"/>
  <c r="AJ10" i="135"/>
  <c r="AK10" i="135"/>
  <c r="AL10" i="135"/>
  <c r="CK10" i="135" s="1"/>
  <c r="AM10" i="135"/>
  <c r="AN10" i="135"/>
  <c r="AO10" i="135"/>
  <c r="AP10" i="135"/>
  <c r="CL10" i="135" s="1"/>
  <c r="AQ10" i="135"/>
  <c r="CM10" i="135" s="1"/>
  <c r="AR10" i="135"/>
  <c r="AS10" i="135"/>
  <c r="AT10" i="135"/>
  <c r="AU10" i="135"/>
  <c r="AV10" i="135"/>
  <c r="CO10" i="135" s="1"/>
  <c r="AW10" i="135"/>
  <c r="AX10" i="135"/>
  <c r="AY10" i="135"/>
  <c r="AZ10" i="135"/>
  <c r="BA10" i="135"/>
  <c r="BB10" i="135"/>
  <c r="BC10" i="135"/>
  <c r="CR10" i="135" s="1"/>
  <c r="BD10" i="135"/>
  <c r="CS10" i="135" s="1"/>
  <c r="BE10" i="135"/>
  <c r="CT10" i="135" s="1"/>
  <c r="BF10" i="135"/>
  <c r="CU10" i="135" s="1"/>
  <c r="BG10" i="135"/>
  <c r="CV10" i="135" s="1"/>
  <c r="BH10" i="135"/>
  <c r="CW10" i="135" s="1"/>
  <c r="BI10" i="135"/>
  <c r="CX10" i="135" s="1"/>
  <c r="BJ10" i="135"/>
  <c r="CY10" i="135" s="1"/>
  <c r="BK10" i="135"/>
  <c r="CZ10" i="135" s="1"/>
  <c r="C11" i="135"/>
  <c r="BO11" i="135" s="1"/>
  <c r="D11" i="135"/>
  <c r="E11" i="135"/>
  <c r="F11" i="135"/>
  <c r="G11" i="135"/>
  <c r="BQ11" i="135" s="1"/>
  <c r="H11" i="135"/>
  <c r="I11" i="135"/>
  <c r="J11" i="135"/>
  <c r="K11" i="135"/>
  <c r="BR11" i="135" s="1"/>
  <c r="L11" i="135"/>
  <c r="BS11" i="135" s="1"/>
  <c r="M11" i="135"/>
  <c r="N11" i="135"/>
  <c r="O11" i="135"/>
  <c r="P11" i="135"/>
  <c r="Q11" i="135"/>
  <c r="BU11" i="135" s="1"/>
  <c r="R11" i="135"/>
  <c r="S11" i="135"/>
  <c r="T11" i="135"/>
  <c r="U11" i="135"/>
  <c r="V11" i="135"/>
  <c r="W11" i="135"/>
  <c r="X11" i="135"/>
  <c r="BX11" i="135" s="1"/>
  <c r="Y11" i="135"/>
  <c r="BY11" i="135" s="1"/>
  <c r="Z11" i="135"/>
  <c r="BZ11" i="135" s="1"/>
  <c r="AA11" i="135"/>
  <c r="CA11" i="135" s="1"/>
  <c r="AB11" i="135"/>
  <c r="CB11" i="135" s="1"/>
  <c r="AC11" i="135"/>
  <c r="CC11" i="135" s="1"/>
  <c r="AD11" i="135"/>
  <c r="CD11" i="135" s="1"/>
  <c r="AE11" i="135"/>
  <c r="CE11" i="135" s="1"/>
  <c r="AF11" i="135"/>
  <c r="CF11" i="135" s="1"/>
  <c r="AG11" i="135"/>
  <c r="CH11" i="135" s="1"/>
  <c r="AH11" i="135"/>
  <c r="CI11" i="135" s="1"/>
  <c r="AI11" i="135"/>
  <c r="AJ11" i="135"/>
  <c r="AK11" i="135"/>
  <c r="AL11" i="135"/>
  <c r="CK11" i="135" s="1"/>
  <c r="AM11" i="135"/>
  <c r="AN11" i="135"/>
  <c r="AO11" i="135"/>
  <c r="AP11" i="135"/>
  <c r="CL11" i="135" s="1"/>
  <c r="AQ11" i="135"/>
  <c r="CM11" i="135" s="1"/>
  <c r="AR11" i="135"/>
  <c r="AS11" i="135"/>
  <c r="AT11" i="135"/>
  <c r="AU11" i="135"/>
  <c r="AV11" i="135"/>
  <c r="CO11" i="135" s="1"/>
  <c r="AW11" i="135"/>
  <c r="AX11" i="135"/>
  <c r="AY11" i="135"/>
  <c r="AZ11" i="135"/>
  <c r="BA11" i="135"/>
  <c r="BB11" i="135"/>
  <c r="BC11" i="135"/>
  <c r="CR11" i="135" s="1"/>
  <c r="BD11" i="135"/>
  <c r="CS11" i="135" s="1"/>
  <c r="BE11" i="135"/>
  <c r="CT11" i="135" s="1"/>
  <c r="BF11" i="135"/>
  <c r="CU11" i="135" s="1"/>
  <c r="BG11" i="135"/>
  <c r="CV11" i="135" s="1"/>
  <c r="BH11" i="135"/>
  <c r="CW11" i="135" s="1"/>
  <c r="BI11" i="135"/>
  <c r="CX11" i="135" s="1"/>
  <c r="BJ11" i="135"/>
  <c r="CY11" i="135" s="1"/>
  <c r="BK11" i="135"/>
  <c r="CZ11" i="135" s="1"/>
  <c r="C12" i="135"/>
  <c r="BO12" i="135" s="1"/>
  <c r="D12" i="135"/>
  <c r="E12" i="135"/>
  <c r="F12" i="135"/>
  <c r="G12" i="135"/>
  <c r="BQ12" i="135" s="1"/>
  <c r="H12" i="135"/>
  <c r="I12" i="135"/>
  <c r="J12" i="135"/>
  <c r="K12" i="135"/>
  <c r="BR12" i="135" s="1"/>
  <c r="L12" i="135"/>
  <c r="BS12" i="135" s="1"/>
  <c r="M12" i="135"/>
  <c r="N12" i="135"/>
  <c r="O12" i="135"/>
  <c r="P12" i="135"/>
  <c r="Q12" i="135"/>
  <c r="BU12" i="135" s="1"/>
  <c r="R12" i="135"/>
  <c r="S12" i="135"/>
  <c r="T12" i="135"/>
  <c r="U12" i="135"/>
  <c r="V12" i="135"/>
  <c r="W12" i="135"/>
  <c r="X12" i="135"/>
  <c r="BX12" i="135" s="1"/>
  <c r="Y12" i="135"/>
  <c r="BY12" i="135" s="1"/>
  <c r="Z12" i="135"/>
  <c r="BZ12" i="135" s="1"/>
  <c r="AA12" i="135"/>
  <c r="CA12" i="135" s="1"/>
  <c r="AB12" i="135"/>
  <c r="CB12" i="135" s="1"/>
  <c r="AC12" i="135"/>
  <c r="CC12" i="135" s="1"/>
  <c r="AD12" i="135"/>
  <c r="CD12" i="135" s="1"/>
  <c r="AE12" i="135"/>
  <c r="CE12" i="135" s="1"/>
  <c r="AF12" i="135"/>
  <c r="CF12" i="135" s="1"/>
  <c r="AG12" i="135"/>
  <c r="CH12" i="135" s="1"/>
  <c r="AH12" i="135"/>
  <c r="CI12" i="135" s="1"/>
  <c r="AI12" i="135"/>
  <c r="AJ12" i="135"/>
  <c r="AK12" i="135"/>
  <c r="AL12" i="135"/>
  <c r="CK12" i="135" s="1"/>
  <c r="AM12" i="135"/>
  <c r="AN12" i="135"/>
  <c r="AO12" i="135"/>
  <c r="AP12" i="135"/>
  <c r="CL12" i="135" s="1"/>
  <c r="AQ12" i="135"/>
  <c r="CM12" i="135" s="1"/>
  <c r="AR12" i="135"/>
  <c r="AS12" i="135"/>
  <c r="AT12" i="135"/>
  <c r="AU12" i="135"/>
  <c r="AV12" i="135"/>
  <c r="CO12" i="135" s="1"/>
  <c r="AW12" i="135"/>
  <c r="AX12" i="135"/>
  <c r="AY12" i="135"/>
  <c r="AZ12" i="135"/>
  <c r="BA12" i="135"/>
  <c r="BB12" i="135"/>
  <c r="BC12" i="135"/>
  <c r="CR12" i="135" s="1"/>
  <c r="BD12" i="135"/>
  <c r="CS12" i="135" s="1"/>
  <c r="BE12" i="135"/>
  <c r="CT12" i="135" s="1"/>
  <c r="BF12" i="135"/>
  <c r="CU12" i="135" s="1"/>
  <c r="BG12" i="135"/>
  <c r="CV12" i="135" s="1"/>
  <c r="BH12" i="135"/>
  <c r="CW12" i="135" s="1"/>
  <c r="BI12" i="135"/>
  <c r="CX12" i="135" s="1"/>
  <c r="BJ12" i="135"/>
  <c r="CY12" i="135" s="1"/>
  <c r="BK12" i="135"/>
  <c r="CZ12" i="135" s="1"/>
  <c r="B12" i="135"/>
  <c r="BN12" i="135" s="1"/>
  <c r="B11" i="135"/>
  <c r="BN11" i="135" s="1"/>
  <c r="B10" i="135"/>
  <c r="BN10" i="135" s="1"/>
  <c r="B9" i="135"/>
  <c r="BN9" i="135" s="1"/>
  <c r="B8" i="135"/>
  <c r="BN8" i="135" s="1"/>
  <c r="B7" i="135"/>
  <c r="BN7" i="135" s="1"/>
  <c r="B6" i="135"/>
  <c r="BN6" i="135" s="1"/>
  <c r="B5" i="135"/>
  <c r="BN5" i="135" s="1"/>
  <c r="B4" i="135"/>
  <c r="BN4" i="135" s="1"/>
  <c r="B3" i="135"/>
  <c r="BN3" i="135" s="1"/>
  <c r="BM1" i="135"/>
  <c r="AZ18" i="122"/>
  <c r="Z127" i="122" s="1"/>
  <c r="W5" i="122"/>
  <c r="W6" i="122"/>
  <c r="W7" i="122"/>
  <c r="W8" i="122"/>
  <c r="W9" i="122"/>
  <c r="W10" i="122"/>
  <c r="W11" i="122"/>
  <c r="W12" i="122"/>
  <c r="W13" i="122"/>
  <c r="W14" i="122"/>
  <c r="W15" i="122"/>
  <c r="W16" i="122"/>
  <c r="W17" i="122"/>
  <c r="W18" i="122"/>
  <c r="W19" i="122"/>
  <c r="W20" i="122"/>
  <c r="W21" i="122"/>
  <c r="W22" i="122"/>
  <c r="W23" i="122"/>
  <c r="W24" i="122"/>
  <c r="W25" i="122"/>
  <c r="W26" i="122"/>
  <c r="W27" i="122"/>
  <c r="W28" i="122"/>
  <c r="W29" i="122"/>
  <c r="W30" i="122"/>
  <c r="W31" i="122"/>
  <c r="W32" i="122"/>
  <c r="W33" i="122"/>
  <c r="W34" i="122"/>
  <c r="W35" i="122"/>
  <c r="W36" i="122"/>
  <c r="W37" i="122"/>
  <c r="W38" i="122"/>
  <c r="W39" i="122"/>
  <c r="W40" i="122"/>
  <c r="W41" i="122"/>
  <c r="W42" i="122"/>
  <c r="W43" i="122"/>
  <c r="W44" i="122"/>
  <c r="W45" i="122"/>
  <c r="W46" i="122"/>
  <c r="W47" i="122"/>
  <c r="W48" i="122"/>
  <c r="W49" i="122"/>
  <c r="W50" i="122"/>
  <c r="W51" i="122"/>
  <c r="W52" i="122"/>
  <c r="W53" i="122"/>
  <c r="W54" i="122"/>
  <c r="W55" i="122"/>
  <c r="W56" i="122"/>
  <c r="W57" i="122"/>
  <c r="W58" i="122"/>
  <c r="W59" i="122"/>
  <c r="W60" i="122"/>
  <c r="W61" i="122"/>
  <c r="W62" i="122"/>
  <c r="W63" i="122"/>
  <c r="W64" i="122"/>
  <c r="W65" i="122"/>
  <c r="W66" i="122"/>
  <c r="W67" i="122"/>
  <c r="W68" i="122"/>
  <c r="W69" i="122"/>
  <c r="W70" i="122"/>
  <c r="W71" i="122"/>
  <c r="W72" i="122"/>
  <c r="W73" i="122"/>
  <c r="W74" i="122"/>
  <c r="W75" i="122"/>
  <c r="W76" i="122"/>
  <c r="W77" i="122"/>
  <c r="W78" i="122"/>
  <c r="W79" i="122"/>
  <c r="W80" i="122"/>
  <c r="W81" i="122"/>
  <c r="W82" i="122"/>
  <c r="W83" i="122"/>
  <c r="W84" i="122"/>
  <c r="W85" i="122"/>
  <c r="W86" i="122"/>
  <c r="W87" i="122"/>
  <c r="W88" i="122"/>
  <c r="W89" i="122"/>
  <c r="W90" i="122"/>
  <c r="W91" i="122"/>
  <c r="W92" i="122"/>
  <c r="W93" i="122"/>
  <c r="W94" i="122"/>
  <c r="W95" i="122"/>
  <c r="W96" i="122"/>
  <c r="W97" i="122"/>
  <c r="W98" i="122"/>
  <c r="W99" i="122"/>
  <c r="W100" i="122"/>
  <c r="W101" i="122"/>
  <c r="W102" i="122"/>
  <c r="W103" i="122"/>
  <c r="W104" i="122"/>
  <c r="W105" i="122"/>
  <c r="W106" i="122"/>
  <c r="W107" i="122"/>
  <c r="W108" i="122"/>
  <c r="W109" i="122"/>
  <c r="W110" i="122"/>
  <c r="W111" i="122"/>
  <c r="W112" i="122"/>
  <c r="W113" i="122"/>
  <c r="W114" i="122"/>
  <c r="W115" i="122"/>
  <c r="W116" i="122"/>
  <c r="W117" i="122"/>
  <c r="W118" i="122"/>
  <c r="W119" i="122"/>
  <c r="W120" i="122"/>
  <c r="W124" i="122"/>
  <c r="W125" i="122"/>
  <c r="W126" i="122"/>
  <c r="W127" i="122"/>
  <c r="X127" i="122" s="1"/>
  <c r="C127" i="122"/>
  <c r="D127" i="122"/>
  <c r="E127" i="122"/>
  <c r="G127" i="122"/>
  <c r="I127" i="122"/>
  <c r="K127" i="122"/>
  <c r="L127" i="122"/>
  <c r="M127" i="122"/>
  <c r="O127" i="122"/>
  <c r="P127" i="122"/>
  <c r="Q127" i="122"/>
  <c r="R127" i="122"/>
  <c r="U127" i="122"/>
  <c r="V127" i="122" s="1"/>
  <c r="AC127" i="122"/>
  <c r="AI127" i="122"/>
  <c r="CU6" i="14"/>
  <c r="AW7" i="142" s="1"/>
  <c r="CU7" i="14"/>
  <c r="AW8" i="142" s="1"/>
  <c r="CU8" i="14"/>
  <c r="AW9" i="142" s="1"/>
  <c r="CU9" i="14"/>
  <c r="AW10" i="142" s="1"/>
  <c r="CU10" i="14"/>
  <c r="AW11" i="142" s="1"/>
  <c r="CU11" i="14"/>
  <c r="AW12" i="142" s="1"/>
  <c r="CU12" i="14"/>
  <c r="AW13" i="142" s="1"/>
  <c r="CU13" i="14"/>
  <c r="AW14" i="142" s="1"/>
  <c r="CU14" i="14"/>
  <c r="AW15" i="142" s="1"/>
  <c r="CU15" i="14"/>
  <c r="AW16" i="142" s="1"/>
  <c r="CU16" i="14"/>
  <c r="CU17" i="14"/>
  <c r="CU18" i="14"/>
  <c r="CU19" i="14"/>
  <c r="CU20" i="14"/>
  <c r="CU21" i="14"/>
  <c r="CU22" i="14"/>
  <c r="CU23" i="14"/>
  <c r="CU5" i="14"/>
  <c r="AW6" i="142" s="1"/>
  <c r="Y25" i="133"/>
  <c r="BD24" i="133"/>
  <c r="C24" i="133"/>
  <c r="BD23" i="133"/>
  <c r="C23" i="133"/>
  <c r="BD22" i="133"/>
  <c r="C22" i="133"/>
  <c r="BD21" i="133"/>
  <c r="C21" i="133"/>
  <c r="BD20" i="133"/>
  <c r="C20" i="133"/>
  <c r="BD19" i="133"/>
  <c r="C19" i="133"/>
  <c r="BD18" i="133"/>
  <c r="C18" i="133"/>
  <c r="BD17" i="133"/>
  <c r="C17" i="133"/>
  <c r="BD16" i="133"/>
  <c r="C16" i="133"/>
  <c r="BD15" i="133"/>
  <c r="BD14" i="133"/>
  <c r="C14" i="133"/>
  <c r="BD13" i="133"/>
  <c r="C13" i="133"/>
  <c r="BD12" i="133"/>
  <c r="C12" i="133"/>
  <c r="BD11" i="133"/>
  <c r="C11" i="133"/>
  <c r="BD10" i="133"/>
  <c r="C10" i="133"/>
  <c r="BD9" i="133"/>
  <c r="BD8" i="133"/>
  <c r="C8" i="133"/>
  <c r="BD7" i="133"/>
  <c r="C7" i="133"/>
  <c r="BD6" i="133"/>
  <c r="C6" i="133"/>
  <c r="BD5" i="133"/>
  <c r="BA2" i="133"/>
  <c r="AZ2" i="133"/>
  <c r="AY2" i="133"/>
  <c r="AX2" i="133"/>
  <c r="AW2" i="133"/>
  <c r="AV2" i="133"/>
  <c r="AU2" i="133"/>
  <c r="AT2" i="133"/>
  <c r="AS2" i="133"/>
  <c r="AR2" i="133"/>
  <c r="AQ2" i="133"/>
  <c r="AP2" i="133"/>
  <c r="CJ1" i="133"/>
  <c r="CF1" i="133"/>
  <c r="BP1" i="133"/>
  <c r="BL1" i="133"/>
  <c r="AD127" i="122"/>
  <c r="AD128" i="122"/>
  <c r="AD129" i="122"/>
  <c r="CT17" i="135" l="1"/>
  <c r="CU26" i="14"/>
  <c r="CU25" i="14"/>
  <c r="CU27" i="14"/>
  <c r="CR17" i="135"/>
  <c r="AE128" i="122"/>
  <c r="AE127" i="122"/>
  <c r="AE129" i="122"/>
  <c r="CZ17" i="135"/>
  <c r="CN11" i="135"/>
  <c r="BW11" i="135"/>
  <c r="DO9" i="135"/>
  <c r="EI9" i="135" s="1"/>
  <c r="DC9" i="135"/>
  <c r="DW9" i="135" s="1"/>
  <c r="BT6" i="135"/>
  <c r="BW3" i="135"/>
  <c r="CP7" i="135"/>
  <c r="DP8" i="135"/>
  <c r="EJ8" i="135" s="1"/>
  <c r="AS127" i="122"/>
  <c r="AM127" i="122"/>
  <c r="BV5" i="135"/>
  <c r="AQ127" i="122"/>
  <c r="DN8" i="135"/>
  <c r="EH8" i="135" s="1"/>
  <c r="AT127" i="122"/>
  <c r="DT6" i="135"/>
  <c r="EN6" i="135" s="1"/>
  <c r="BR14" i="135"/>
  <c r="BR15" i="135" s="1"/>
  <c r="DM11" i="135"/>
  <c r="EG11" i="135" s="1"/>
  <c r="DI11" i="135"/>
  <c r="EC11" i="135" s="1"/>
  <c r="DT8" i="135"/>
  <c r="EN8" i="135" s="1"/>
  <c r="DL8" i="135"/>
  <c r="EF8" i="135" s="1"/>
  <c r="DN6" i="135"/>
  <c r="EH6" i="135" s="1"/>
  <c r="DE5" i="135"/>
  <c r="DY5" i="135" s="1"/>
  <c r="DP4" i="135"/>
  <c r="EJ4" i="135" s="1"/>
  <c r="DG4" i="135"/>
  <c r="EA4" i="135" s="1"/>
  <c r="DE8" i="135"/>
  <c r="DY8" i="135" s="1"/>
  <c r="DP7" i="135"/>
  <c r="EJ7" i="135" s="1"/>
  <c r="DG7" i="135"/>
  <c r="EA7" i="135" s="1"/>
  <c r="DO4" i="135"/>
  <c r="EI4" i="135" s="1"/>
  <c r="DC4" i="135"/>
  <c r="DW4" i="135" s="1"/>
  <c r="DE11" i="135"/>
  <c r="DY11" i="135" s="1"/>
  <c r="DP10" i="135"/>
  <c r="EJ10" i="135" s="1"/>
  <c r="DM9" i="135"/>
  <c r="EG9" i="135" s="1"/>
  <c r="DI9" i="135"/>
  <c r="EC9" i="135" s="1"/>
  <c r="DR8" i="135"/>
  <c r="EL8" i="135" s="1"/>
  <c r="DO7" i="135"/>
  <c r="EI7" i="135" s="1"/>
  <c r="DF7" i="135"/>
  <c r="DZ7" i="135" s="1"/>
  <c r="DC7" i="135"/>
  <c r="DW7" i="135" s="1"/>
  <c r="DL6" i="135"/>
  <c r="EF6" i="135" s="1"/>
  <c r="DQ5" i="135"/>
  <c r="EK5" i="135" s="1"/>
  <c r="DN4" i="135"/>
  <c r="EH4" i="135" s="1"/>
  <c r="DM10" i="135"/>
  <c r="EG10" i="135" s="1"/>
  <c r="DC11" i="135"/>
  <c r="DW11" i="135" s="1"/>
  <c r="DC8" i="135"/>
  <c r="DW8" i="135" s="1"/>
  <c r="DL7" i="135"/>
  <c r="EF7" i="135" s="1"/>
  <c r="CH17" i="135"/>
  <c r="DQ8" i="135"/>
  <c r="EK8" i="135" s="1"/>
  <c r="CN6" i="135"/>
  <c r="BW6" i="135"/>
  <c r="DQ6" i="135"/>
  <c r="EK6" i="135" s="1"/>
  <c r="CX17" i="135"/>
  <c r="DR9" i="135"/>
  <c r="EL9" i="135" s="1"/>
  <c r="DO11" i="135"/>
  <c r="EI11" i="135" s="1"/>
  <c r="DT7" i="135"/>
  <c r="EN7" i="135" s="1"/>
  <c r="DF8" i="135"/>
  <c r="DZ8" i="135" s="1"/>
  <c r="DG11" i="135"/>
  <c r="EA11" i="135" s="1"/>
  <c r="DP11" i="135"/>
  <c r="EJ11" i="135" s="1"/>
  <c r="DI10" i="135"/>
  <c r="EC10" i="135" s="1"/>
  <c r="DO8" i="135"/>
  <c r="EI8" i="135" s="1"/>
  <c r="CP5" i="135"/>
  <c r="CW14" i="135"/>
  <c r="DS12" i="135"/>
  <c r="EM12" i="135" s="1"/>
  <c r="DE12" i="135"/>
  <c r="DY12" i="135" s="1"/>
  <c r="CB14" i="135"/>
  <c r="DB8" i="135"/>
  <c r="DV8" i="135" s="1"/>
  <c r="CH14" i="135"/>
  <c r="DM3" i="135"/>
  <c r="EG3" i="135" s="1"/>
  <c r="BY14" i="135"/>
  <c r="BY15" i="135" s="1"/>
  <c r="DI3" i="135"/>
  <c r="EC3" i="135" s="1"/>
  <c r="BU14" i="135"/>
  <c r="BU15" i="135" s="1"/>
  <c r="DE9" i="135"/>
  <c r="DY9" i="135" s="1"/>
  <c r="DO12" i="135"/>
  <c r="EI12" i="135" s="1"/>
  <c r="CO14" i="135"/>
  <c r="CF14" i="135"/>
  <c r="CF15" i="135" s="1"/>
  <c r="CU17" i="135"/>
  <c r="CI17" i="135"/>
  <c r="DS3" i="135"/>
  <c r="EM3" i="135" s="1"/>
  <c r="CE14" i="135"/>
  <c r="CC14" i="135"/>
  <c r="CC15" i="135" s="1"/>
  <c r="DL4" i="135"/>
  <c r="EF4" i="135" s="1"/>
  <c r="BN14" i="135"/>
  <c r="BN15" i="135" s="1"/>
  <c r="DB11" i="135"/>
  <c r="DV11" i="135" s="1"/>
  <c r="DM12" i="135"/>
  <c r="EG12" i="135" s="1"/>
  <c r="DI12" i="135"/>
  <c r="EC12" i="135" s="1"/>
  <c r="DC10" i="135"/>
  <c r="DW10" i="135" s="1"/>
  <c r="CY14" i="135"/>
  <c r="CK14" i="135"/>
  <c r="CD14" i="135"/>
  <c r="CM14" i="135"/>
  <c r="CS17" i="135"/>
  <c r="CP10" i="135"/>
  <c r="DN10" i="135"/>
  <c r="EH10" i="135" s="1"/>
  <c r="DG5" i="135"/>
  <c r="EA5" i="135" s="1"/>
  <c r="CX14" i="135"/>
  <c r="CW15" i="135"/>
  <c r="CW17" i="135"/>
  <c r="CT14" i="135"/>
  <c r="BS14" i="135"/>
  <c r="BS15" i="135" s="1"/>
  <c r="DB9" i="135"/>
  <c r="DV9" i="135" s="1"/>
  <c r="CS14" i="135"/>
  <c r="CL17" i="135"/>
  <c r="CZ14" i="135"/>
  <c r="DE3" i="135"/>
  <c r="DY3" i="135" s="1"/>
  <c r="BQ14" i="135"/>
  <c r="BQ15" i="135" s="1"/>
  <c r="CO17" i="135"/>
  <c r="DM7" i="135"/>
  <c r="EG7" i="135" s="1"/>
  <c r="CY17" i="135"/>
  <c r="CK17" i="135"/>
  <c r="BV8" i="135"/>
  <c r="DE7" i="135"/>
  <c r="DY7" i="135" s="1"/>
  <c r="DP12" i="135"/>
  <c r="EJ12" i="135" s="1"/>
  <c r="CV17" i="135"/>
  <c r="DC12" i="135"/>
  <c r="DW12" i="135" s="1"/>
  <c r="BX14" i="135"/>
  <c r="DO3" i="135"/>
  <c r="EI3" i="135" s="1"/>
  <c r="CA14" i="135"/>
  <c r="CR14" i="135"/>
  <c r="CV14" i="135"/>
  <c r="BO14" i="135"/>
  <c r="DO5" i="135"/>
  <c r="EI5" i="135" s="1"/>
  <c r="CU14" i="135"/>
  <c r="CL14" i="135"/>
  <c r="CI14" i="135"/>
  <c r="BZ14" i="135"/>
  <c r="DB10" i="135"/>
  <c r="DV10" i="135" s="1"/>
  <c r="C46" i="135"/>
  <c r="DN7" i="135"/>
  <c r="EH7" i="135" s="1"/>
  <c r="DP5" i="135"/>
  <c r="EJ5" i="135" s="1"/>
  <c r="DM4" i="135"/>
  <c r="EG4" i="135" s="1"/>
  <c r="DF11" i="135"/>
  <c r="DZ11" i="135" s="1"/>
  <c r="C45" i="135"/>
  <c r="DS4" i="135"/>
  <c r="EM4" i="135" s="1"/>
  <c r="DB7" i="135"/>
  <c r="DV7" i="135" s="1"/>
  <c r="DQ12" i="135"/>
  <c r="EK12" i="135" s="1"/>
  <c r="DN11" i="135"/>
  <c r="EH11" i="135" s="1"/>
  <c r="DS10" i="135"/>
  <c r="EM10" i="135" s="1"/>
  <c r="DE10" i="135"/>
  <c r="DY10" i="135" s="1"/>
  <c r="DQ9" i="135"/>
  <c r="EK9" i="135" s="1"/>
  <c r="DP9" i="135"/>
  <c r="EJ9" i="135" s="1"/>
  <c r="DG9" i="135"/>
  <c r="EA9" i="135" s="1"/>
  <c r="DM8" i="135"/>
  <c r="EG8" i="135" s="1"/>
  <c r="DI8" i="135"/>
  <c r="EC8" i="135" s="1"/>
  <c r="DR7" i="135"/>
  <c r="EL7" i="135" s="1"/>
  <c r="DP6" i="135"/>
  <c r="EJ6" i="135" s="1"/>
  <c r="DO6" i="135"/>
  <c r="EI6" i="135" s="1"/>
  <c r="DF6" i="135"/>
  <c r="DZ6" i="135" s="1"/>
  <c r="DC6" i="135"/>
  <c r="DW6" i="135" s="1"/>
  <c r="DT5" i="135"/>
  <c r="EN5" i="135" s="1"/>
  <c r="DL5" i="135"/>
  <c r="EF5" i="135" s="1"/>
  <c r="CN4" i="135"/>
  <c r="DQ4" i="135"/>
  <c r="EK4" i="135" s="1"/>
  <c r="BT4" i="135"/>
  <c r="DC3" i="135"/>
  <c r="DW3" i="135" s="1"/>
  <c r="DN3" i="135"/>
  <c r="EH3" i="135" s="1"/>
  <c r="BV3" i="135"/>
  <c r="C44" i="135"/>
  <c r="DT4" i="135"/>
  <c r="EN4" i="135" s="1"/>
  <c r="DF5" i="135"/>
  <c r="DZ5" i="135" s="1"/>
  <c r="DG6" i="135"/>
  <c r="EA6" i="135" s="1"/>
  <c r="DL9" i="135"/>
  <c r="EF9" i="135" s="1"/>
  <c r="DB3" i="135"/>
  <c r="DV3" i="135" s="1"/>
  <c r="DR11" i="135"/>
  <c r="EL11" i="135" s="1"/>
  <c r="DO10" i="135"/>
  <c r="EI10" i="135" s="1"/>
  <c r="DF10" i="135"/>
  <c r="DZ10" i="135" s="1"/>
  <c r="DS6" i="135"/>
  <c r="EM6" i="135" s="1"/>
  <c r="DI4" i="135"/>
  <c r="EC4" i="135" s="1"/>
  <c r="DR3" i="135"/>
  <c r="EL3" i="135" s="1"/>
  <c r="DE6" i="135"/>
  <c r="DY6" i="135" s="1"/>
  <c r="DG10" i="135"/>
  <c r="EA10" i="135" s="1"/>
  <c r="DF3" i="135"/>
  <c r="DZ3" i="135" s="1"/>
  <c r="DI5" i="135"/>
  <c r="EC5" i="135" s="1"/>
  <c r="DI7" i="135"/>
  <c r="EC7" i="135" s="1"/>
  <c r="DG3" i="135"/>
  <c r="EA3" i="135" s="1"/>
  <c r="DR4" i="135"/>
  <c r="EL4" i="135" s="1"/>
  <c r="DM5" i="135"/>
  <c r="EG5" i="135" s="1"/>
  <c r="DS9" i="135"/>
  <c r="EM9" i="135" s="1"/>
  <c r="DB5" i="135"/>
  <c r="DV5" i="135" s="1"/>
  <c r="DC5" i="135"/>
  <c r="DW5" i="135" s="1"/>
  <c r="DS11" i="135"/>
  <c r="EM11" i="135" s="1"/>
  <c r="DR6" i="135"/>
  <c r="EL6" i="135" s="1"/>
  <c r="DS7" i="135"/>
  <c r="EM7" i="135" s="1"/>
  <c r="DG8" i="135"/>
  <c r="EA8" i="135" s="1"/>
  <c r="DL12" i="135"/>
  <c r="EF12" i="135" s="1"/>
  <c r="DR12" i="135"/>
  <c r="EL12" i="135" s="1"/>
  <c r="DT10" i="135"/>
  <c r="EN10" i="135" s="1"/>
  <c r="DL10" i="135"/>
  <c r="EF10" i="135" s="1"/>
  <c r="DF12" i="135"/>
  <c r="DZ12" i="135" s="1"/>
  <c r="DT11" i="135"/>
  <c r="EN11" i="135" s="1"/>
  <c r="DL11" i="135"/>
  <c r="EF11" i="135" s="1"/>
  <c r="DQ10" i="135"/>
  <c r="EK10" i="135" s="1"/>
  <c r="DF9" i="135"/>
  <c r="DZ9" i="135" s="1"/>
  <c r="DN9" i="135"/>
  <c r="EH9" i="135" s="1"/>
  <c r="DS8" i="135"/>
  <c r="EM8" i="135" s="1"/>
  <c r="DM6" i="135"/>
  <c r="EG6" i="135" s="1"/>
  <c r="DI6" i="135"/>
  <c r="EC6" i="135" s="1"/>
  <c r="DR5" i="135"/>
  <c r="EL5" i="135" s="1"/>
  <c r="DF4" i="135"/>
  <c r="DZ4" i="135" s="1"/>
  <c r="DT3" i="135"/>
  <c r="EN3" i="135" s="1"/>
  <c r="DL3" i="135"/>
  <c r="EF3" i="135" s="1"/>
  <c r="DP3" i="135"/>
  <c r="EJ3" i="135" s="1"/>
  <c r="DT9" i="135"/>
  <c r="EN9" i="135" s="1"/>
  <c r="DQ7" i="135"/>
  <c r="EK7" i="135" s="1"/>
  <c r="DN5" i="135"/>
  <c r="EH5" i="135" s="1"/>
  <c r="DB4" i="135"/>
  <c r="DV4" i="135" s="1"/>
  <c r="DB12" i="135"/>
  <c r="DV12" i="135" s="1"/>
  <c r="DT12" i="135"/>
  <c r="EN12" i="135" s="1"/>
  <c r="DR10" i="135"/>
  <c r="EL10" i="135" s="1"/>
  <c r="DS5" i="135"/>
  <c r="EM5" i="135" s="1"/>
  <c r="DN12" i="135"/>
  <c r="EH12" i="135" s="1"/>
  <c r="DQ3" i="135"/>
  <c r="EK3" i="135" s="1"/>
  <c r="DQ11" i="135"/>
  <c r="EK11" i="135" s="1"/>
  <c r="DG12" i="135"/>
  <c r="EA12" i="135" s="1"/>
  <c r="DE4" i="135"/>
  <c r="DY4" i="135" s="1"/>
  <c r="DB6" i="135"/>
  <c r="DV6" i="135" s="1"/>
  <c r="CN10" i="135"/>
  <c r="CJ5" i="135"/>
  <c r="BP4" i="135"/>
  <c r="C48" i="135"/>
  <c r="BV9" i="135"/>
  <c r="CP6" i="135"/>
  <c r="BP7" i="135"/>
  <c r="BT9" i="135"/>
  <c r="CP9" i="135"/>
  <c r="CQ5" i="135"/>
  <c r="BV4" i="135"/>
  <c r="BT3" i="135"/>
  <c r="CN5" i="135"/>
  <c r="BV12" i="135"/>
  <c r="BT11" i="135"/>
  <c r="CQ11" i="135"/>
  <c r="BP12" i="135"/>
  <c r="BT7" i="135"/>
  <c r="CN12" i="135"/>
  <c r="BP11" i="135"/>
  <c r="CN7" i="135"/>
  <c r="BW7" i="135"/>
  <c r="BV6" i="135"/>
  <c r="CQ4" i="135"/>
  <c r="CJ4" i="135"/>
  <c r="BW4" i="135"/>
  <c r="BP3" i="135"/>
  <c r="BP8" i="135"/>
  <c r="CQ12" i="135"/>
  <c r="BW12" i="135"/>
  <c r="CJ3" i="135"/>
  <c r="CJ12" i="135"/>
  <c r="BP5" i="135"/>
  <c r="BT12" i="135"/>
  <c r="BV11" i="135"/>
  <c r="CN9" i="135"/>
  <c r="BT10" i="135"/>
  <c r="CJ11" i="135"/>
  <c r="BT8" i="135"/>
  <c r="BW5" i="135"/>
  <c r="BT5" i="135"/>
  <c r="CP3" i="135"/>
  <c r="CJ7" i="135"/>
  <c r="CQ7" i="135"/>
  <c r="CQ3" i="135"/>
  <c r="CP4" i="135"/>
  <c r="BP6" i="135"/>
  <c r="CJ9" i="135"/>
  <c r="CQ9" i="135"/>
  <c r="CN3" i="135"/>
  <c r="BP9" i="135"/>
  <c r="BW9" i="135"/>
  <c r="CJ8" i="135"/>
  <c r="CP12" i="135"/>
  <c r="CJ6" i="135"/>
  <c r="CQ6" i="135"/>
  <c r="CP8" i="135"/>
  <c r="CP11" i="135"/>
  <c r="CQ8" i="135"/>
  <c r="BV7" i="135"/>
  <c r="BW8" i="135"/>
  <c r="CN8" i="135"/>
  <c r="BV10" i="135"/>
  <c r="CJ10" i="135"/>
  <c r="CQ10" i="135"/>
  <c r="BP10" i="135"/>
  <c r="BW10" i="135"/>
  <c r="AU132" i="9"/>
  <c r="DK11" i="135" l="1"/>
  <c r="EE11" i="135" s="1"/>
  <c r="DJ10" i="135"/>
  <c r="ED10" i="135" s="1"/>
  <c r="DH11" i="135"/>
  <c r="EB11" i="135" s="1"/>
  <c r="CU28" i="14"/>
  <c r="CU32" i="14" s="1"/>
  <c r="DH6" i="135"/>
  <c r="EB6" i="135" s="1"/>
  <c r="DJ7" i="135"/>
  <c r="ED7" i="135" s="1"/>
  <c r="DJ5" i="135"/>
  <c r="ED5" i="135" s="1"/>
  <c r="DD10" i="135"/>
  <c r="DX10" i="135" s="1"/>
  <c r="CG6" i="135"/>
  <c r="DH10" i="135"/>
  <c r="EB10" i="135" s="1"/>
  <c r="CN17" i="135"/>
  <c r="CG5" i="135"/>
  <c r="CN14" i="135"/>
  <c r="DK7" i="135"/>
  <c r="EE7" i="135" s="1"/>
  <c r="DJ9" i="135"/>
  <c r="ED9" i="135" s="1"/>
  <c r="CG11" i="135"/>
  <c r="DJ4" i="135"/>
  <c r="ED4" i="135" s="1"/>
  <c r="DD4" i="135"/>
  <c r="DX4" i="135" s="1"/>
  <c r="CG12" i="135"/>
  <c r="CE17" i="135" s="1"/>
  <c r="BW14" i="135"/>
  <c r="BW15" i="135" s="1"/>
  <c r="DK6" i="135"/>
  <c r="EE6" i="135" s="1"/>
  <c r="CG8" i="135"/>
  <c r="CG4" i="135"/>
  <c r="DK12" i="135"/>
  <c r="EE12" i="135" s="1"/>
  <c r="CG7" i="135"/>
  <c r="BT14" i="135"/>
  <c r="BV14" i="135"/>
  <c r="BV15" i="135" s="1"/>
  <c r="BP14" i="135"/>
  <c r="BP15" i="135" s="1"/>
  <c r="CA15" i="135"/>
  <c r="CP17" i="135"/>
  <c r="DH4" i="135"/>
  <c r="EB4" i="135" s="1"/>
  <c r="CG9" i="135"/>
  <c r="CQ14" i="135"/>
  <c r="CJ17" i="135"/>
  <c r="BO15" i="135"/>
  <c r="DJ12" i="135"/>
  <c r="ED12" i="135" s="1"/>
  <c r="CQ17" i="135"/>
  <c r="CG10" i="135"/>
  <c r="CB15" i="135"/>
  <c r="CP14" i="135"/>
  <c r="CG3" i="135"/>
  <c r="CE15" i="135"/>
  <c r="CJ14" i="135"/>
  <c r="BZ15" i="135"/>
  <c r="CD15" i="135"/>
  <c r="BX15" i="135"/>
  <c r="DD3" i="135"/>
  <c r="DX3" i="135" s="1"/>
  <c r="DW14" i="135"/>
  <c r="DK4" i="135"/>
  <c r="EE4" i="135" s="1"/>
  <c r="EL14" i="135"/>
  <c r="EI14" i="135"/>
  <c r="EJ14" i="135"/>
  <c r="DV14" i="135"/>
  <c r="EF14" i="135"/>
  <c r="DK8" i="135"/>
  <c r="EE8" i="135" s="1"/>
  <c r="EK14" i="135"/>
  <c r="DZ14" i="135"/>
  <c r="EH14" i="135"/>
  <c r="EN14" i="135"/>
  <c r="DD8" i="135"/>
  <c r="DX8" i="135" s="1"/>
  <c r="DD11" i="135"/>
  <c r="DX11" i="135" s="1"/>
  <c r="DH3" i="135"/>
  <c r="EB3" i="135" s="1"/>
  <c r="EC14" i="135"/>
  <c r="DD6" i="135"/>
  <c r="DX6" i="135" s="1"/>
  <c r="DH12" i="135"/>
  <c r="EB12" i="135" s="1"/>
  <c r="DH7" i="135"/>
  <c r="EB7" i="135" s="1"/>
  <c r="DH5" i="135"/>
  <c r="EB5" i="135" s="1"/>
  <c r="DD5" i="135"/>
  <c r="DX5" i="135" s="1"/>
  <c r="DD12" i="135"/>
  <c r="DX12" i="135" s="1"/>
  <c r="DY14" i="135"/>
  <c r="DJ3" i="135"/>
  <c r="ED3" i="135" s="1"/>
  <c r="EG14" i="135"/>
  <c r="DK9" i="135"/>
  <c r="EE9" i="135" s="1"/>
  <c r="DK3" i="135"/>
  <c r="EE3" i="135" s="1"/>
  <c r="DK5" i="135"/>
  <c r="EE5" i="135" s="1"/>
  <c r="DH9" i="135"/>
  <c r="EB9" i="135" s="1"/>
  <c r="EA14" i="135"/>
  <c r="EM14" i="135"/>
  <c r="DJ11" i="135"/>
  <c r="ED11" i="135" s="1"/>
  <c r="DK10" i="135"/>
  <c r="EE10" i="135" s="1"/>
  <c r="DD9" i="135"/>
  <c r="DX9" i="135" s="1"/>
  <c r="DH8" i="135"/>
  <c r="EB8" i="135" s="1"/>
  <c r="DJ6" i="135"/>
  <c r="ED6" i="135" s="1"/>
  <c r="DD7" i="135"/>
  <c r="DX7" i="135" s="1"/>
  <c r="DJ8" i="135"/>
  <c r="ED8" i="135" s="1"/>
  <c r="IQ132" i="9"/>
  <c r="IG132" i="9"/>
  <c r="II132" i="9" s="1"/>
  <c r="IE132" i="9"/>
  <c r="HN132" i="9"/>
  <c r="HP132" i="9"/>
  <c r="HK132" i="9"/>
  <c r="HH132" i="9"/>
  <c r="HB132" i="9"/>
  <c r="HE132" i="9"/>
  <c r="HE22" i="9"/>
  <c r="HE23" i="9"/>
  <c r="HE24" i="9"/>
  <c r="HE25" i="9"/>
  <c r="HE26" i="9"/>
  <c r="HE27" i="9"/>
  <c r="HE28" i="9"/>
  <c r="HE29" i="9"/>
  <c r="HE30" i="9"/>
  <c r="HE31" i="9"/>
  <c r="HE32" i="9"/>
  <c r="HE33" i="9"/>
  <c r="HE34" i="9"/>
  <c r="HE35" i="9"/>
  <c r="HE36" i="9"/>
  <c r="HE37" i="9"/>
  <c r="HE38" i="9"/>
  <c r="HE39" i="9"/>
  <c r="HE40" i="9"/>
  <c r="HE41" i="9"/>
  <c r="HE42" i="9"/>
  <c r="HE43" i="9"/>
  <c r="HE44" i="9"/>
  <c r="HE45" i="9"/>
  <c r="HE46" i="9"/>
  <c r="HE47" i="9"/>
  <c r="HE48" i="9"/>
  <c r="HE49" i="9"/>
  <c r="HE50" i="9"/>
  <c r="HE51" i="9"/>
  <c r="HE52" i="9"/>
  <c r="HE53" i="9"/>
  <c r="HE54" i="9"/>
  <c r="HE55" i="9"/>
  <c r="HE56" i="9"/>
  <c r="HE57" i="9"/>
  <c r="HE58" i="9"/>
  <c r="HE71" i="9"/>
  <c r="HE72" i="9"/>
  <c r="HE73" i="9"/>
  <c r="HE74" i="9"/>
  <c r="HE75" i="9"/>
  <c r="HE76" i="9"/>
  <c r="HE77" i="9"/>
  <c r="HE78" i="9"/>
  <c r="HE79" i="9"/>
  <c r="HE80" i="9"/>
  <c r="HE81" i="9"/>
  <c r="HE82" i="9"/>
  <c r="HE83" i="9"/>
  <c r="HE84" i="9"/>
  <c r="HE85" i="9"/>
  <c r="HE86" i="9"/>
  <c r="HE87" i="9"/>
  <c r="HE88" i="9"/>
  <c r="HE89" i="9"/>
  <c r="HE90" i="9"/>
  <c r="HE91" i="9"/>
  <c r="HE92" i="9"/>
  <c r="HE93" i="9"/>
  <c r="HE94" i="9"/>
  <c r="HE95" i="9"/>
  <c r="HE96" i="9"/>
  <c r="HE97" i="9"/>
  <c r="HE98" i="9"/>
  <c r="HE99" i="9"/>
  <c r="HE100" i="9"/>
  <c r="HE101" i="9"/>
  <c r="HE102" i="9"/>
  <c r="HE103" i="9"/>
  <c r="HE104" i="9"/>
  <c r="HE105" i="9"/>
  <c r="HE106" i="9"/>
  <c r="HE107" i="9"/>
  <c r="HE108" i="9"/>
  <c r="HE109" i="9"/>
  <c r="HE110" i="9"/>
  <c r="HE111" i="9"/>
  <c r="HE112" i="9"/>
  <c r="HE113" i="9"/>
  <c r="HE114" i="9"/>
  <c r="HE115" i="9"/>
  <c r="HE116" i="9"/>
  <c r="HE117" i="9"/>
  <c r="HE118" i="9"/>
  <c r="HE119" i="9"/>
  <c r="HE120" i="9"/>
  <c r="HE121" i="9"/>
  <c r="HE122" i="9"/>
  <c r="HE123" i="9"/>
  <c r="HE124" i="9"/>
  <c r="HE125" i="9"/>
  <c r="HE126" i="9"/>
  <c r="HE127" i="9"/>
  <c r="HE128" i="9"/>
  <c r="HE129" i="9"/>
  <c r="HE130" i="9"/>
  <c r="HE131" i="9"/>
  <c r="GS132" i="9"/>
  <c r="GB149" i="9"/>
  <c r="GB150" i="9"/>
  <c r="GB151" i="9"/>
  <c r="GB152" i="9"/>
  <c r="GB153" i="9"/>
  <c r="GB157" i="9" s="1"/>
  <c r="FZ132" i="9"/>
  <c r="FV132" i="9"/>
  <c r="BT132" i="9"/>
  <c r="BR132" i="9"/>
  <c r="BP132" i="9"/>
  <c r="BM132" i="9"/>
  <c r="BG133" i="9"/>
  <c r="AF132" i="9"/>
  <c r="AA132" i="9"/>
  <c r="AB132" i="9"/>
  <c r="AC132" i="9"/>
  <c r="AD132" i="9"/>
  <c r="Y132" i="9"/>
  <c r="R132" i="9"/>
  <c r="B127" i="122" s="1"/>
  <c r="AL127" i="122" s="1"/>
  <c r="O132" i="9"/>
  <c r="N132" i="9"/>
  <c r="P132" i="9" s="1"/>
  <c r="BZ17" i="135" l="1"/>
  <c r="HM132" i="9"/>
  <c r="BX17" i="135"/>
  <c r="BV17" i="135"/>
  <c r="BU17" i="135"/>
  <c r="CF17" i="135"/>
  <c r="BQ17" i="135"/>
  <c r="BR17" i="135"/>
  <c r="BO17" i="135"/>
  <c r="CA17" i="135"/>
  <c r="BY17" i="135"/>
  <c r="CB17" i="135"/>
  <c r="BN17" i="135"/>
  <c r="BT17" i="135"/>
  <c r="BW17" i="135"/>
  <c r="BS17" i="135"/>
  <c r="CD17" i="135"/>
  <c r="BT15" i="135"/>
  <c r="CG14" i="135"/>
  <c r="BV18" i="135" s="1"/>
  <c r="EE14" i="135"/>
  <c r="ED14" i="135"/>
  <c r="EB14" i="135"/>
  <c r="DX14" i="135"/>
  <c r="CQ134" i="9"/>
  <c r="CC134" i="9" l="1"/>
  <c r="CL134" i="9"/>
  <c r="CU134" i="9"/>
  <c r="DD134" i="9"/>
  <c r="CD134" i="9"/>
  <c r="CM134" i="9"/>
  <c r="CV134" i="9"/>
  <c r="DE134" i="9"/>
  <c r="DC134" i="9"/>
  <c r="CE134" i="9"/>
  <c r="CN134" i="9"/>
  <c r="CW134" i="9"/>
  <c r="DF134" i="9"/>
  <c r="CF134" i="9"/>
  <c r="CP134" i="9"/>
  <c r="CY134" i="9"/>
  <c r="DH134" i="9"/>
  <c r="CH134" i="9"/>
  <c r="CT134" i="9"/>
  <c r="BY134" i="9"/>
  <c r="BZ134" i="9"/>
  <c r="CI134" i="9"/>
  <c r="DB134" i="9"/>
  <c r="CK134" i="9"/>
  <c r="CA134" i="9"/>
  <c r="CB134" i="9"/>
  <c r="BR18" i="135"/>
  <c r="CG15" i="135"/>
  <c r="BZ18" i="135"/>
  <c r="CA18" i="135"/>
  <c r="BX18" i="135"/>
  <c r="BS18" i="135"/>
  <c r="CE18" i="135"/>
  <c r="BQ18" i="135"/>
  <c r="CB18" i="135"/>
  <c r="CD18" i="135"/>
  <c r="BY18" i="135"/>
  <c r="BN18" i="135"/>
  <c r="CF18" i="135"/>
  <c r="BU18" i="135"/>
  <c r="BO18" i="135"/>
  <c r="BW18" i="135"/>
  <c r="BT18" i="135"/>
  <c r="CQ133" i="9"/>
  <c r="CQ132" i="9"/>
  <c r="GB156" i="9"/>
  <c r="GV132" i="9"/>
  <c r="GU132" i="9"/>
  <c r="BC27" i="132"/>
  <c r="BG132" i="9"/>
  <c r="BG118" i="9"/>
  <c r="BG119" i="9"/>
  <c r="BG120" i="9"/>
  <c r="BG121" i="9"/>
  <c r="BG122" i="9"/>
  <c r="BG123" i="9"/>
  <c r="BG124" i="9"/>
  <c r="BG125" i="9"/>
  <c r="BG126" i="9"/>
  <c r="BG127" i="9"/>
  <c r="BG128" i="9"/>
  <c r="BG129" i="9"/>
  <c r="BG130" i="9"/>
  <c r="BG131" i="9"/>
  <c r="BQ132" i="9"/>
  <c r="BQ133" i="9"/>
  <c r="BQ134" i="9"/>
  <c r="BQ135" i="9"/>
  <c r="BQ136" i="9"/>
  <c r="BQ137" i="9"/>
  <c r="BQ138" i="9"/>
  <c r="BQ139" i="9"/>
  <c r="BQ140" i="9"/>
  <c r="BQ141" i="9"/>
  <c r="BO13" i="117"/>
  <c r="DR13" i="117" s="1"/>
  <c r="CT6" i="14"/>
  <c r="AV7" i="142" s="1"/>
  <c r="CT7" i="14"/>
  <c r="AV8" i="142" s="1"/>
  <c r="CT8" i="14"/>
  <c r="AV9" i="142" s="1"/>
  <c r="CT9" i="14"/>
  <c r="AV10" i="142" s="1"/>
  <c r="CT10" i="14"/>
  <c r="AV11" i="142" s="1"/>
  <c r="CT11" i="14"/>
  <c r="AV12" i="142" s="1"/>
  <c r="CT12" i="14"/>
  <c r="AV13" i="142" s="1"/>
  <c r="CT13" i="14"/>
  <c r="AV14" i="142" s="1"/>
  <c r="CT14" i="14"/>
  <c r="AV15" i="142" s="1"/>
  <c r="CT15" i="14"/>
  <c r="AV16" i="142" s="1"/>
  <c r="CT16" i="14"/>
  <c r="CT17" i="14"/>
  <c r="CT18" i="14"/>
  <c r="CT19" i="14"/>
  <c r="CT20" i="14"/>
  <c r="CT21" i="14"/>
  <c r="CT22" i="14"/>
  <c r="CT23" i="14"/>
  <c r="CT5" i="14"/>
  <c r="AV6" i="142" s="1"/>
  <c r="CT25" i="14" l="1"/>
  <c r="CT27" i="14"/>
  <c r="CT26" i="14"/>
  <c r="CO134" i="9"/>
  <c r="CG134" i="9"/>
  <c r="CX134" i="9"/>
  <c r="DG134" i="9"/>
  <c r="CF133" i="9"/>
  <c r="CP133" i="9"/>
  <c r="CY133" i="9"/>
  <c r="DH133" i="9"/>
  <c r="BY133" i="9"/>
  <c r="CH133" i="9"/>
  <c r="CI133" i="9"/>
  <c r="CA133" i="9"/>
  <c r="DB133" i="9"/>
  <c r="CB133" i="9"/>
  <c r="CK133" i="9"/>
  <c r="CT133" i="9"/>
  <c r="DC133" i="9"/>
  <c r="CE133" i="9"/>
  <c r="CN133" i="9"/>
  <c r="CW133" i="9"/>
  <c r="DF133" i="9"/>
  <c r="BZ133" i="9"/>
  <c r="CC133" i="9"/>
  <c r="CL133" i="9"/>
  <c r="CU133" i="9"/>
  <c r="DD133" i="9"/>
  <c r="CD133" i="9"/>
  <c r="CM133" i="9"/>
  <c r="CV133" i="9"/>
  <c r="DE133" i="9"/>
  <c r="CP132" i="9"/>
  <c r="BZ132" i="9"/>
  <c r="CI132" i="9"/>
  <c r="CA132" i="9"/>
  <c r="DB132" i="9"/>
  <c r="DC132" i="9"/>
  <c r="CK132" i="9"/>
  <c r="CC132" i="9"/>
  <c r="CL132" i="9"/>
  <c r="CU132" i="9"/>
  <c r="DD132" i="9"/>
  <c r="CD132" i="9"/>
  <c r="CM132" i="9"/>
  <c r="CV132" i="9"/>
  <c r="DE132" i="9"/>
  <c r="CH132" i="9"/>
  <c r="DH132" i="9"/>
  <c r="CT132" i="9"/>
  <c r="CE132" i="9"/>
  <c r="CN132" i="9"/>
  <c r="CW132" i="9"/>
  <c r="DF132" i="9"/>
  <c r="BY132" i="9"/>
  <c r="CF132" i="9"/>
  <c r="CY132" i="9"/>
  <c r="T132" i="9"/>
  <c r="AE132" i="9" s="1"/>
  <c r="CT28" i="14" l="1"/>
  <c r="CT32" i="14" s="1"/>
  <c r="CB132" i="9"/>
  <c r="CG132" i="9" s="1"/>
  <c r="Z132" i="9"/>
  <c r="DG133" i="9"/>
  <c r="CX132" i="9"/>
  <c r="CO133" i="9"/>
  <c r="CG133" i="9"/>
  <c r="DG132" i="9"/>
  <c r="CO132" i="9"/>
  <c r="CX133" i="9"/>
  <c r="I33" i="132"/>
  <c r="Y25" i="132"/>
  <c r="BD24" i="132"/>
  <c r="C24" i="132"/>
  <c r="BD23" i="132"/>
  <c r="C23" i="132"/>
  <c r="BD22" i="132"/>
  <c r="C22" i="132"/>
  <c r="BD21" i="132"/>
  <c r="C21" i="132"/>
  <c r="BD20" i="132"/>
  <c r="C20" i="132"/>
  <c r="BD19" i="132"/>
  <c r="C19" i="132"/>
  <c r="BD18" i="132"/>
  <c r="C18" i="132"/>
  <c r="BD17" i="132"/>
  <c r="C17" i="132"/>
  <c r="BD16" i="132"/>
  <c r="C16" i="132"/>
  <c r="BD15" i="132"/>
  <c r="BD14" i="132"/>
  <c r="C14" i="132"/>
  <c r="BD13" i="132"/>
  <c r="C13" i="132"/>
  <c r="BD12" i="132"/>
  <c r="C12" i="132"/>
  <c r="BD11" i="132"/>
  <c r="C11" i="132"/>
  <c r="BD10" i="132"/>
  <c r="C10" i="132"/>
  <c r="BD9" i="132"/>
  <c r="BD8" i="132"/>
  <c r="C8" i="132"/>
  <c r="BD7" i="132"/>
  <c r="C7" i="132"/>
  <c r="BD6" i="132"/>
  <c r="C6" i="132"/>
  <c r="BD5" i="132"/>
  <c r="BA2" i="132"/>
  <c r="AZ2" i="132"/>
  <c r="AY2" i="132"/>
  <c r="AX2" i="132"/>
  <c r="AW2" i="132"/>
  <c r="AV2" i="132"/>
  <c r="AU2" i="132"/>
  <c r="AT2" i="132"/>
  <c r="AS2" i="132"/>
  <c r="AR2" i="132"/>
  <c r="AQ2" i="132"/>
  <c r="AP2" i="132"/>
  <c r="CJ1" i="132"/>
  <c r="CF1" i="132"/>
  <c r="BP1" i="132"/>
  <c r="BL1" i="132"/>
  <c r="U126" i="122"/>
  <c r="V126" i="122" s="1"/>
  <c r="AI126" i="122"/>
  <c r="AC126" i="122"/>
  <c r="X126" i="122"/>
  <c r="R126" i="122"/>
  <c r="G126" i="122"/>
  <c r="I126" i="122"/>
  <c r="K126" i="122"/>
  <c r="M126" i="122"/>
  <c r="O126" i="122"/>
  <c r="P126" i="122"/>
  <c r="Q126" i="122"/>
  <c r="E126" i="122"/>
  <c r="D126" i="122"/>
  <c r="C126" i="122"/>
  <c r="LR129" i="9"/>
  <c r="LS129" i="9"/>
  <c r="LT129" i="9"/>
  <c r="LU129" i="9"/>
  <c r="LV129" i="9"/>
  <c r="LW129" i="9"/>
  <c r="LX129" i="9"/>
  <c r="IQ131" i="9"/>
  <c r="IG131" i="9"/>
  <c r="IE131" i="9"/>
  <c r="IA131" i="9"/>
  <c r="II131" i="9" l="1"/>
  <c r="AT126" i="122"/>
  <c r="AS126" i="122"/>
  <c r="A30" i="132"/>
  <c r="A29" i="132"/>
  <c r="AM126" i="122"/>
  <c r="HP131" i="9"/>
  <c r="HN131" i="9"/>
  <c r="HK131" i="9"/>
  <c r="HH131" i="9"/>
  <c r="HB131" i="9"/>
  <c r="GV131" i="9"/>
  <c r="GV130" i="9"/>
  <c r="GU131" i="9"/>
  <c r="GU130" i="9"/>
  <c r="GS131" i="9"/>
  <c r="FZ131" i="9"/>
  <c r="FV131" i="9"/>
  <c r="BT131" i="9"/>
  <c r="BP131" i="9"/>
  <c r="BO131" i="9"/>
  <c r="BM131" i="9"/>
  <c r="BI131" i="9"/>
  <c r="BI132" i="9"/>
  <c r="AA131" i="9"/>
  <c r="AB131" i="9"/>
  <c r="AC131" i="9"/>
  <c r="AD131" i="9"/>
  <c r="AF131" i="9"/>
  <c r="T131" i="9"/>
  <c r="Z131" i="9" s="1"/>
  <c r="T130" i="9"/>
  <c r="Y131" i="9"/>
  <c r="R131" i="9"/>
  <c r="B126" i="122" s="1"/>
  <c r="AL126" i="122" s="1"/>
  <c r="N131" i="9"/>
  <c r="P131" i="9" s="1"/>
  <c r="O131" i="9"/>
  <c r="HM131" i="9" l="1"/>
  <c r="L126" i="122"/>
  <c r="AQ126" i="122" s="1"/>
  <c r="BQ131" i="9"/>
  <c r="AE131" i="9"/>
  <c r="AU131" i="9"/>
  <c r="CE34" i="117" l="1"/>
  <c r="CF35" i="117" s="1"/>
  <c r="CS6" i="14"/>
  <c r="AU7" i="142" s="1"/>
  <c r="CS7" i="14"/>
  <c r="AU8" i="142" s="1"/>
  <c r="CS8" i="14"/>
  <c r="AU9" i="142" s="1"/>
  <c r="CS9" i="14"/>
  <c r="CS10" i="14"/>
  <c r="CS11" i="14"/>
  <c r="CS12" i="14"/>
  <c r="CS13" i="14"/>
  <c r="AU14" i="142" s="1"/>
  <c r="CS14" i="14"/>
  <c r="AU15" i="142" s="1"/>
  <c r="CS15" i="14"/>
  <c r="AU16" i="142" s="1"/>
  <c r="CS16" i="14"/>
  <c r="CS17" i="14"/>
  <c r="CS18" i="14"/>
  <c r="CS19" i="14"/>
  <c r="CS20" i="14"/>
  <c r="CS21" i="14"/>
  <c r="CS22" i="14"/>
  <c r="CS23" i="14"/>
  <c r="CS5" i="14"/>
  <c r="AU6" i="142" s="1"/>
  <c r="CR6" i="14"/>
  <c r="AT7" i="142" s="1"/>
  <c r="CR7" i="14"/>
  <c r="CR8" i="14"/>
  <c r="CR9" i="14"/>
  <c r="CR10" i="14"/>
  <c r="CR11" i="14"/>
  <c r="CR12" i="14"/>
  <c r="CR13" i="14"/>
  <c r="CR14" i="14"/>
  <c r="CR15" i="14"/>
  <c r="CR16" i="14"/>
  <c r="CR17" i="14"/>
  <c r="CR18" i="14"/>
  <c r="CR19" i="14"/>
  <c r="CR20" i="14"/>
  <c r="CR21" i="14"/>
  <c r="CR22" i="14"/>
  <c r="CR23" i="14"/>
  <c r="CR5" i="14"/>
  <c r="BQ13" i="117"/>
  <c r="DS13" i="117" s="1"/>
  <c r="BR13" i="117"/>
  <c r="DT13" i="117" s="1"/>
  <c r="BS13" i="117"/>
  <c r="DV13" i="117" s="1"/>
  <c r="BU13" i="117"/>
  <c r="DJ13" i="117" s="1"/>
  <c r="BX13" i="117"/>
  <c r="DO13" i="117" s="1"/>
  <c r="BY13" i="117"/>
  <c r="DP13" i="117" s="1"/>
  <c r="BZ13" i="117"/>
  <c r="DK13" i="117" s="1"/>
  <c r="CA13" i="117"/>
  <c r="DQ13" i="117" s="1"/>
  <c r="CB13" i="117"/>
  <c r="DG13" i="117" s="1"/>
  <c r="CC13" i="117"/>
  <c r="DE13" i="117" s="1"/>
  <c r="CD13" i="117"/>
  <c r="DF13" i="117" s="1"/>
  <c r="CE13" i="117"/>
  <c r="DH13" i="117" s="1"/>
  <c r="CF13" i="117"/>
  <c r="DI13" i="117" s="1"/>
  <c r="CI13" i="117"/>
  <c r="EE13" i="117" s="1"/>
  <c r="CJ13" i="117"/>
  <c r="EK13" i="117" s="1"/>
  <c r="CL13" i="117"/>
  <c r="EL13" i="117" s="1"/>
  <c r="CM13" i="117"/>
  <c r="EM13" i="117" s="1"/>
  <c r="CN13" i="117"/>
  <c r="EO13" i="117" s="1"/>
  <c r="CP13" i="117"/>
  <c r="EC13" i="117" s="1"/>
  <c r="CS13" i="117"/>
  <c r="EH13" i="117" s="1"/>
  <c r="CT13" i="117"/>
  <c r="EI13" i="117" s="1"/>
  <c r="CU13" i="117"/>
  <c r="ED13" i="117" s="1"/>
  <c r="CV13" i="117"/>
  <c r="EJ13" i="117" s="1"/>
  <c r="CW13" i="117"/>
  <c r="DZ13" i="117" s="1"/>
  <c r="CX13" i="117"/>
  <c r="DX13" i="117" s="1"/>
  <c r="CY13" i="117"/>
  <c r="DY13" i="117" s="1"/>
  <c r="CZ13" i="117"/>
  <c r="EA13" i="117" s="1"/>
  <c r="DA13" i="117"/>
  <c r="EB13" i="117" s="1"/>
  <c r="BN13" i="117"/>
  <c r="DL13" i="117" s="1"/>
  <c r="BU136" i="9"/>
  <c r="BU137" i="9"/>
  <c r="I33" i="131"/>
  <c r="B131" i="9"/>
  <c r="B132" i="9" s="1"/>
  <c r="B133" i="9" s="1"/>
  <c r="B134" i="9" s="1"/>
  <c r="B135" i="9" s="1"/>
  <c r="B136" i="9" s="1"/>
  <c r="B137" i="9" s="1"/>
  <c r="B138" i="9" s="1"/>
  <c r="B139" i="9" s="1"/>
  <c r="B140" i="9" s="1"/>
  <c r="B141" i="9" s="1"/>
  <c r="CS4" i="14"/>
  <c r="CT4" i="14"/>
  <c r="CU4" i="14"/>
  <c r="CV4" i="14"/>
  <c r="CW4" i="14"/>
  <c r="CX4" i="14"/>
  <c r="CY4" i="14"/>
  <c r="CZ4" i="14"/>
  <c r="DA4" i="14"/>
  <c r="DB4" i="14"/>
  <c r="DC4" i="14"/>
  <c r="DD4" i="14"/>
  <c r="Y25" i="131"/>
  <c r="BD24" i="131"/>
  <c r="C24" i="131"/>
  <c r="BD23" i="131"/>
  <c r="C23" i="131"/>
  <c r="BD22" i="131"/>
  <c r="C22" i="131"/>
  <c r="BD21" i="131"/>
  <c r="C21" i="131"/>
  <c r="BD20" i="131"/>
  <c r="C20" i="131"/>
  <c r="BD19" i="131"/>
  <c r="C19" i="131"/>
  <c r="BD18" i="131"/>
  <c r="C18" i="131"/>
  <c r="BD17" i="131"/>
  <c r="C17" i="131"/>
  <c r="BD16" i="131"/>
  <c r="C16" i="131"/>
  <c r="BD15" i="131"/>
  <c r="BD14" i="131"/>
  <c r="C14" i="131"/>
  <c r="BD13" i="131"/>
  <c r="C13" i="131"/>
  <c r="BD12" i="131"/>
  <c r="C12" i="131"/>
  <c r="BD11" i="131"/>
  <c r="C11" i="131"/>
  <c r="BD10" i="131"/>
  <c r="C10" i="131"/>
  <c r="BD9" i="131"/>
  <c r="BD8" i="131"/>
  <c r="C8" i="131"/>
  <c r="BD7" i="131"/>
  <c r="C7" i="131"/>
  <c r="BD6" i="131"/>
  <c r="C6" i="131"/>
  <c r="BD5" i="131"/>
  <c r="BA2" i="131"/>
  <c r="AZ2" i="131"/>
  <c r="AY2" i="131"/>
  <c r="AX2" i="131"/>
  <c r="AW2" i="131"/>
  <c r="AV2" i="131"/>
  <c r="AU2" i="131"/>
  <c r="AT2" i="131"/>
  <c r="AS2" i="131"/>
  <c r="AR2" i="131"/>
  <c r="AQ2" i="131"/>
  <c r="AP2" i="131"/>
  <c r="CJ1" i="131"/>
  <c r="BP1" i="131"/>
  <c r="BL1" i="131"/>
  <c r="CF1" i="131"/>
  <c r="D132" i="3"/>
  <c r="D131" i="3"/>
  <c r="G132" i="3"/>
  <c r="D133" i="3"/>
  <c r="G133" i="3"/>
  <c r="D134" i="3"/>
  <c r="G134" i="3"/>
  <c r="D135" i="3"/>
  <c r="G135" i="3"/>
  <c r="D136" i="3"/>
  <c r="G136" i="3"/>
  <c r="D137" i="3"/>
  <c r="G137" i="3"/>
  <c r="D138" i="3"/>
  <c r="G138" i="3"/>
  <c r="D139" i="3"/>
  <c r="G139" i="3"/>
  <c r="D140" i="3"/>
  <c r="G140" i="3"/>
  <c r="D141" i="3"/>
  <c r="G141" i="3"/>
  <c r="D142" i="3"/>
  <c r="G142" i="3"/>
  <c r="D143" i="3"/>
  <c r="G143" i="3"/>
  <c r="C132" i="3"/>
  <c r="C133" i="3"/>
  <c r="C134" i="3" s="1"/>
  <c r="C135" i="3" s="1"/>
  <c r="C136" i="3" s="1"/>
  <c r="C137" i="3" s="1"/>
  <c r="C138" i="3" s="1"/>
  <c r="C139" i="3" s="1"/>
  <c r="C140" i="3" s="1"/>
  <c r="C141" i="3" s="1"/>
  <c r="C142" i="3" s="1"/>
  <c r="C143" i="3" s="1"/>
  <c r="U125" i="122"/>
  <c r="V125" i="122" s="1"/>
  <c r="Y125" i="122"/>
  <c r="AI125" i="122"/>
  <c r="AC125" i="122"/>
  <c r="R125" i="122"/>
  <c r="C125" i="122"/>
  <c r="D125" i="122"/>
  <c r="E125" i="122"/>
  <c r="G125" i="122"/>
  <c r="I125" i="122"/>
  <c r="K125" i="122"/>
  <c r="M125" i="122"/>
  <c r="O125" i="122"/>
  <c r="P125" i="122"/>
  <c r="Q125" i="122"/>
  <c r="AT15" i="142" l="1"/>
  <c r="AT16" i="142"/>
  <c r="AT14" i="142"/>
  <c r="AT13" i="142"/>
  <c r="AT12" i="142"/>
  <c r="AT11" i="142"/>
  <c r="AT8" i="142"/>
  <c r="AT10" i="142"/>
  <c r="AT9" i="142"/>
  <c r="AT6" i="142"/>
  <c r="AV10" i="141"/>
  <c r="AU10" i="142"/>
  <c r="AV11" i="141"/>
  <c r="AU11" i="142"/>
  <c r="AV12" i="141"/>
  <c r="AU12" i="142"/>
  <c r="AV13" i="141"/>
  <c r="AU13" i="142"/>
  <c r="AU16" i="141"/>
  <c r="AU7" i="141"/>
  <c r="AU10" i="141"/>
  <c r="AU9" i="141"/>
  <c r="AU14" i="141"/>
  <c r="AU8" i="141"/>
  <c r="CS25" i="14"/>
  <c r="CS26" i="14"/>
  <c r="CS27" i="14"/>
  <c r="AU6" i="141"/>
  <c r="CR25" i="14"/>
  <c r="CR27" i="14"/>
  <c r="CR26" i="14"/>
  <c r="AY17" i="141"/>
  <c r="AY23" i="141"/>
  <c r="AY24" i="141"/>
  <c r="AY20" i="141"/>
  <c r="AY22" i="141"/>
  <c r="AY21" i="141"/>
  <c r="AY19" i="141"/>
  <c r="AY18" i="141"/>
  <c r="AZ18" i="139"/>
  <c r="AZ23" i="139"/>
  <c r="AZ22" i="139"/>
  <c r="AZ21" i="139"/>
  <c r="AZ20" i="139"/>
  <c r="AZ24" i="139"/>
  <c r="AZ19" i="139"/>
  <c r="AZ17" i="139"/>
  <c r="BA19" i="137"/>
  <c r="BA18" i="137"/>
  <c r="BA21" i="137"/>
  <c r="BA17" i="137"/>
  <c r="BA20" i="137"/>
  <c r="BA24" i="137"/>
  <c r="BA23" i="137"/>
  <c r="BA22" i="137"/>
  <c r="AY16" i="141"/>
  <c r="AY14" i="141"/>
  <c r="BA14" i="137"/>
  <c r="AY6" i="141"/>
  <c r="AZ12" i="139"/>
  <c r="BA16" i="137"/>
  <c r="BA11" i="137"/>
  <c r="AZ16" i="139"/>
  <c r="AZ11" i="139"/>
  <c r="AY7" i="141"/>
  <c r="AZ10" i="139"/>
  <c r="AY15" i="141"/>
  <c r="AY13" i="141"/>
  <c r="BA9" i="137"/>
  <c r="BA15" i="137"/>
  <c r="AZ14" i="139"/>
  <c r="BA6" i="137"/>
  <c r="BA7" i="137"/>
  <c r="AY12" i="141"/>
  <c r="AZ6" i="139"/>
  <c r="AZ9" i="139"/>
  <c r="AZ15" i="139"/>
  <c r="BA12" i="137"/>
  <c r="AY11" i="141"/>
  <c r="BA13" i="137"/>
  <c r="AY9" i="141"/>
  <c r="AZ13" i="139"/>
  <c r="AZ7" i="139"/>
  <c r="BA10" i="137"/>
  <c r="AY10" i="141"/>
  <c r="BA8" i="137"/>
  <c r="AY8" i="141"/>
  <c r="AZ8" i="139"/>
  <c r="AV9" i="141"/>
  <c r="AW21" i="141"/>
  <c r="AW23" i="141"/>
  <c r="AW22" i="141"/>
  <c r="AW20" i="141"/>
  <c r="AW17" i="141"/>
  <c r="AW24" i="141"/>
  <c r="AW18" i="141"/>
  <c r="AW19" i="141"/>
  <c r="AX20" i="139"/>
  <c r="AX22" i="139"/>
  <c r="AX21" i="139"/>
  <c r="AX24" i="139"/>
  <c r="AX19" i="139"/>
  <c r="AX18" i="139"/>
  <c r="AX23" i="139"/>
  <c r="AX17" i="139"/>
  <c r="AY24" i="137"/>
  <c r="AY19" i="137"/>
  <c r="AY17" i="137"/>
  <c r="AY23" i="137"/>
  <c r="AY22" i="137"/>
  <c r="AY18" i="137"/>
  <c r="AY21" i="137"/>
  <c r="AY20" i="137"/>
  <c r="AZ23" i="136"/>
  <c r="AZ24" i="136"/>
  <c r="AZ21" i="136"/>
  <c r="AZ22" i="136"/>
  <c r="AZ20" i="136"/>
  <c r="AZ18" i="136"/>
  <c r="AZ19" i="136"/>
  <c r="AZ17" i="136"/>
  <c r="BA22" i="133"/>
  <c r="BA19" i="133"/>
  <c r="BA24" i="133"/>
  <c r="BA7" i="133"/>
  <c r="BA20" i="133"/>
  <c r="BA17" i="133"/>
  <c r="BA6" i="133"/>
  <c r="BA18" i="133"/>
  <c r="AZ6" i="136"/>
  <c r="BA23" i="133"/>
  <c r="BA21" i="133"/>
  <c r="AW9" i="141"/>
  <c r="AW11" i="141"/>
  <c r="AX12" i="139"/>
  <c r="AX15" i="139"/>
  <c r="AX13" i="139"/>
  <c r="AZ8" i="136"/>
  <c r="AZ14" i="136"/>
  <c r="AW16" i="141"/>
  <c r="AW10" i="141"/>
  <c r="AY11" i="137"/>
  <c r="AY14" i="137"/>
  <c r="BA11" i="133"/>
  <c r="BA10" i="133"/>
  <c r="BA13" i="133"/>
  <c r="AX7" i="139"/>
  <c r="AX10" i="139"/>
  <c r="AZ16" i="136"/>
  <c r="AW14" i="141"/>
  <c r="AY8" i="137"/>
  <c r="BA15" i="133"/>
  <c r="AW13" i="141"/>
  <c r="AX9" i="139"/>
  <c r="AZ9" i="136"/>
  <c r="AZ12" i="136"/>
  <c r="AY12" i="137"/>
  <c r="AY13" i="137"/>
  <c r="BA14" i="133"/>
  <c r="AW8" i="141"/>
  <c r="AX6" i="139"/>
  <c r="AX11" i="139"/>
  <c r="AX14" i="139"/>
  <c r="AZ11" i="136"/>
  <c r="AZ10" i="136"/>
  <c r="AW6" i="141"/>
  <c r="AY16" i="137"/>
  <c r="AY10" i="137"/>
  <c r="AZ7" i="136"/>
  <c r="BA16" i="133"/>
  <c r="AW15" i="141"/>
  <c r="AX16" i="139"/>
  <c r="AY7" i="137"/>
  <c r="AZ13" i="136"/>
  <c r="AW7" i="141"/>
  <c r="AY9" i="137"/>
  <c r="BA9" i="133"/>
  <c r="BA12" i="133"/>
  <c r="AX8" i="139"/>
  <c r="AY6" i="137"/>
  <c r="AZ15" i="136"/>
  <c r="AW12" i="141"/>
  <c r="AY15" i="137"/>
  <c r="BA8" i="133"/>
  <c r="AV16" i="141"/>
  <c r="AV8" i="141"/>
  <c r="BA22" i="141"/>
  <c r="BA17" i="141"/>
  <c r="BA20" i="141"/>
  <c r="BA24" i="141"/>
  <c r="BA23" i="141"/>
  <c r="BA21" i="141"/>
  <c r="BA18" i="141"/>
  <c r="BA19" i="141"/>
  <c r="BA6" i="141"/>
  <c r="BA7" i="141"/>
  <c r="BA15" i="141"/>
  <c r="BA12" i="141"/>
  <c r="BA9" i="141"/>
  <c r="BA16" i="141"/>
  <c r="BA13" i="141"/>
  <c r="BA10" i="141"/>
  <c r="BA14" i="141"/>
  <c r="BA11" i="141"/>
  <c r="BA8" i="141"/>
  <c r="AZ23" i="141"/>
  <c r="AZ17" i="141"/>
  <c r="AZ20" i="141"/>
  <c r="AZ19" i="141"/>
  <c r="AZ24" i="141"/>
  <c r="AZ22" i="141"/>
  <c r="AZ18" i="141"/>
  <c r="AZ21" i="141"/>
  <c r="BA19" i="139"/>
  <c r="BA18" i="139"/>
  <c r="BA20" i="139"/>
  <c r="BA17" i="139"/>
  <c r="BA23" i="139"/>
  <c r="BA22" i="139"/>
  <c r="BA24" i="139"/>
  <c r="BA21" i="139"/>
  <c r="BA6" i="139"/>
  <c r="BA11" i="139"/>
  <c r="AZ16" i="141"/>
  <c r="AZ12" i="141"/>
  <c r="AZ6" i="141"/>
  <c r="AZ11" i="141"/>
  <c r="BA7" i="139"/>
  <c r="AZ15" i="141"/>
  <c r="BA8" i="139"/>
  <c r="BA10" i="139"/>
  <c r="AZ7" i="141"/>
  <c r="BA9" i="139"/>
  <c r="AZ9" i="141"/>
  <c r="BA15" i="139"/>
  <c r="BA12" i="139"/>
  <c r="AZ8" i="141"/>
  <c r="AZ10" i="141"/>
  <c r="BA14" i="139"/>
  <c r="AZ14" i="141"/>
  <c r="BA13" i="139"/>
  <c r="AZ13" i="141"/>
  <c r="BA16" i="139"/>
  <c r="AX17" i="141"/>
  <c r="AX22" i="141"/>
  <c r="AX19" i="141"/>
  <c r="AX18" i="141"/>
  <c r="AX21" i="141"/>
  <c r="AX24" i="141"/>
  <c r="AX20" i="141"/>
  <c r="AX23" i="141"/>
  <c r="AY22" i="139"/>
  <c r="AY18" i="139"/>
  <c r="AY17" i="139"/>
  <c r="AY21" i="139"/>
  <c r="AY20" i="139"/>
  <c r="AY19" i="139"/>
  <c r="AY23" i="139"/>
  <c r="AY24" i="139"/>
  <c r="AZ19" i="137"/>
  <c r="AZ18" i="137"/>
  <c r="AZ22" i="137"/>
  <c r="AZ17" i="137"/>
  <c r="AZ21" i="137"/>
  <c r="AZ24" i="137"/>
  <c r="AZ23" i="137"/>
  <c r="AZ20" i="137"/>
  <c r="BA6" i="136"/>
  <c r="BA7" i="136"/>
  <c r="BA20" i="136"/>
  <c r="BA11" i="136"/>
  <c r="BA19" i="136"/>
  <c r="BA15" i="136"/>
  <c r="BA14" i="136"/>
  <c r="BA16" i="136"/>
  <c r="BA22" i="136"/>
  <c r="BA21" i="136"/>
  <c r="BA18" i="136"/>
  <c r="BA10" i="136"/>
  <c r="BA13" i="136"/>
  <c r="BA8" i="136"/>
  <c r="BA17" i="136"/>
  <c r="BA9" i="136"/>
  <c r="BA24" i="136"/>
  <c r="BA23" i="136"/>
  <c r="BA12" i="136"/>
  <c r="AX15" i="141"/>
  <c r="AX9" i="141"/>
  <c r="AZ14" i="137"/>
  <c r="AZ11" i="137"/>
  <c r="AZ13" i="137"/>
  <c r="AX8" i="141"/>
  <c r="AX14" i="141"/>
  <c r="AY14" i="139"/>
  <c r="AY11" i="139"/>
  <c r="AY13" i="139"/>
  <c r="AZ8" i="137"/>
  <c r="AX11" i="141"/>
  <c r="AY8" i="139"/>
  <c r="AZ16" i="137"/>
  <c r="AX16" i="141"/>
  <c r="AY16" i="139"/>
  <c r="AX13" i="141"/>
  <c r="AZ12" i="137"/>
  <c r="AZ6" i="137"/>
  <c r="AZ10" i="137"/>
  <c r="AX7" i="141"/>
  <c r="AX12" i="141"/>
  <c r="AY12" i="139"/>
  <c r="AY6" i="139"/>
  <c r="AY10" i="139"/>
  <c r="AZ9" i="137"/>
  <c r="AY9" i="139"/>
  <c r="AX10" i="141"/>
  <c r="AZ15" i="137"/>
  <c r="AZ7" i="137"/>
  <c r="AX6" i="141"/>
  <c r="AY15" i="139"/>
  <c r="AY7" i="139"/>
  <c r="AV22" i="141"/>
  <c r="AV23" i="141"/>
  <c r="AV17" i="141"/>
  <c r="AV18" i="141"/>
  <c r="AV24" i="141"/>
  <c r="AV19" i="141"/>
  <c r="AV21" i="141"/>
  <c r="AV20" i="141"/>
  <c r="AW23" i="139"/>
  <c r="AW18" i="139"/>
  <c r="AW20" i="139"/>
  <c r="AW19" i="139"/>
  <c r="AW22" i="139"/>
  <c r="AW21" i="139"/>
  <c r="AW17" i="139"/>
  <c r="AW24" i="139"/>
  <c r="AX20" i="137"/>
  <c r="AX22" i="137"/>
  <c r="AX18" i="137"/>
  <c r="AX24" i="137"/>
  <c r="AX23" i="137"/>
  <c r="AX21" i="137"/>
  <c r="AX17" i="137"/>
  <c r="AX19" i="137"/>
  <c r="AY24" i="136"/>
  <c r="AY22" i="136"/>
  <c r="AY17" i="136"/>
  <c r="AY21" i="136"/>
  <c r="AY19" i="136"/>
  <c r="AY18" i="136"/>
  <c r="AY23" i="136"/>
  <c r="AY20" i="136"/>
  <c r="AZ20" i="133"/>
  <c r="AZ22" i="133"/>
  <c r="AZ23" i="133"/>
  <c r="AZ19" i="133"/>
  <c r="AZ18" i="133"/>
  <c r="AZ24" i="133"/>
  <c r="AZ21" i="133"/>
  <c r="AZ17" i="133"/>
  <c r="AY6" i="136"/>
  <c r="BA19" i="132"/>
  <c r="BA23" i="132"/>
  <c r="BA18" i="132"/>
  <c r="BA21" i="132"/>
  <c r="BA6" i="132"/>
  <c r="BA20" i="132"/>
  <c r="BA24" i="132"/>
  <c r="BA22" i="132"/>
  <c r="BA17" i="132"/>
  <c r="AV15" i="141"/>
  <c r="AV7" i="141"/>
  <c r="AU21" i="141"/>
  <c r="AU20" i="141"/>
  <c r="AU22" i="141"/>
  <c r="AU23" i="141"/>
  <c r="AU18" i="141"/>
  <c r="AU17" i="141"/>
  <c r="AU24" i="141"/>
  <c r="AU19" i="141"/>
  <c r="AV21" i="139"/>
  <c r="AV19" i="139"/>
  <c r="AV17" i="139"/>
  <c r="AV20" i="139"/>
  <c r="AV18" i="139"/>
  <c r="AV23" i="139"/>
  <c r="AV22" i="139"/>
  <c r="AV24" i="139"/>
  <c r="AW20" i="137"/>
  <c r="AW22" i="137"/>
  <c r="AW18" i="137"/>
  <c r="AW17" i="137"/>
  <c r="AW19" i="137"/>
  <c r="AW24" i="137"/>
  <c r="AW23" i="137"/>
  <c r="AW21" i="137"/>
  <c r="AX20" i="136"/>
  <c r="AX18" i="136"/>
  <c r="AX21" i="136"/>
  <c r="AX24" i="136"/>
  <c r="AX23" i="136"/>
  <c r="AX19" i="136"/>
  <c r="AX22" i="136"/>
  <c r="AX17" i="136"/>
  <c r="AY23" i="133"/>
  <c r="AY18" i="133"/>
  <c r="AY22" i="133"/>
  <c r="AY19" i="133"/>
  <c r="AY24" i="133"/>
  <c r="AY21" i="133"/>
  <c r="AY20" i="133"/>
  <c r="AY17" i="133"/>
  <c r="AZ23" i="132"/>
  <c r="AZ24" i="132"/>
  <c r="AZ20" i="132"/>
  <c r="AZ21" i="132"/>
  <c r="AZ17" i="132"/>
  <c r="AZ18" i="132"/>
  <c r="AZ19" i="132"/>
  <c r="AZ22" i="132"/>
  <c r="AV14" i="141"/>
  <c r="AU15" i="141"/>
  <c r="AU12" i="141"/>
  <c r="AU11" i="141"/>
  <c r="AU13" i="141"/>
  <c r="AW6" i="139"/>
  <c r="AV6" i="141"/>
  <c r="CV33" i="117"/>
  <c r="AV16" i="139"/>
  <c r="AV8" i="139"/>
  <c r="AV15" i="139"/>
  <c r="AV7" i="139"/>
  <c r="AV6" i="139"/>
  <c r="AV9" i="139"/>
  <c r="AV10" i="139"/>
  <c r="AV11" i="139"/>
  <c r="AV14" i="139"/>
  <c r="AV13" i="139"/>
  <c r="AV12" i="139"/>
  <c r="AX8" i="137"/>
  <c r="AW8" i="139"/>
  <c r="AX7" i="137"/>
  <c r="AW7" i="139"/>
  <c r="AX13" i="137"/>
  <c r="AW13" i="139"/>
  <c r="AX12" i="137"/>
  <c r="AW12" i="139"/>
  <c r="AX14" i="137"/>
  <c r="AW14" i="139"/>
  <c r="AX11" i="137"/>
  <c r="AW11" i="139"/>
  <c r="AX16" i="137"/>
  <c r="AW16" i="139"/>
  <c r="AX10" i="137"/>
  <c r="AW10" i="139"/>
  <c r="AX15" i="137"/>
  <c r="AW15" i="139"/>
  <c r="AX9" i="137"/>
  <c r="AW9" i="139"/>
  <c r="AW12" i="137"/>
  <c r="AW13" i="137"/>
  <c r="AW14" i="137"/>
  <c r="AW10" i="137"/>
  <c r="AW11" i="137"/>
  <c r="AW15" i="137"/>
  <c r="AW7" i="137"/>
  <c r="AW6" i="137"/>
  <c r="AW9" i="137"/>
  <c r="AW16" i="137"/>
  <c r="AW8" i="137"/>
  <c r="AZ6" i="132"/>
  <c r="AX6" i="137"/>
  <c r="AX12" i="136"/>
  <c r="AX11" i="136"/>
  <c r="AX10" i="136"/>
  <c r="AX6" i="136"/>
  <c r="AX9" i="136"/>
  <c r="AX8" i="136"/>
  <c r="AX16" i="136"/>
  <c r="AX15" i="136"/>
  <c r="AX7" i="136"/>
  <c r="AX14" i="136"/>
  <c r="AX13" i="136"/>
  <c r="AZ11" i="133"/>
  <c r="AY11" i="136"/>
  <c r="AZ10" i="133"/>
  <c r="AY10" i="136"/>
  <c r="AZ13" i="133"/>
  <c r="AY13" i="136"/>
  <c r="AZ9" i="133"/>
  <c r="AY9" i="136"/>
  <c r="AZ14" i="133"/>
  <c r="AY14" i="136"/>
  <c r="AZ16" i="133"/>
  <c r="AY16" i="136"/>
  <c r="AZ8" i="133"/>
  <c r="AY8" i="136"/>
  <c r="AZ12" i="133"/>
  <c r="AY12" i="136"/>
  <c r="AZ15" i="133"/>
  <c r="AY15" i="136"/>
  <c r="AZ7" i="133"/>
  <c r="AY7" i="136"/>
  <c r="AY13" i="133"/>
  <c r="AY12" i="133"/>
  <c r="AY11" i="133"/>
  <c r="AY6" i="133"/>
  <c r="AY9" i="133"/>
  <c r="AY15" i="133"/>
  <c r="AY7" i="133"/>
  <c r="AY10" i="133"/>
  <c r="AY14" i="133"/>
  <c r="AY16" i="133"/>
  <c r="AY8" i="133"/>
  <c r="AZ6" i="133"/>
  <c r="BA10" i="132"/>
  <c r="AZ10" i="132"/>
  <c r="BA16" i="132"/>
  <c r="AZ16" i="132"/>
  <c r="BA8" i="132"/>
  <c r="AZ8" i="132"/>
  <c r="BA11" i="132"/>
  <c r="AZ11" i="132"/>
  <c r="BA9" i="132"/>
  <c r="AZ9" i="132"/>
  <c r="BA15" i="132"/>
  <c r="AZ15" i="132"/>
  <c r="BA7" i="132"/>
  <c r="AZ7" i="132"/>
  <c r="BA12" i="132"/>
  <c r="AZ12" i="132"/>
  <c r="BA14" i="132"/>
  <c r="AZ14" i="132"/>
  <c r="BA13" i="132"/>
  <c r="AZ13" i="132"/>
  <c r="AF125" i="122"/>
  <c r="Y126" i="122"/>
  <c r="CK13" i="117"/>
  <c r="CR13" i="117"/>
  <c r="EG13" i="117" s="1"/>
  <c r="CO13" i="117"/>
  <c r="EN13" i="117" s="1"/>
  <c r="BV13" i="117"/>
  <c r="DM13" i="117" s="1"/>
  <c r="BT13" i="117"/>
  <c r="DU13" i="117" s="1"/>
  <c r="CQ13" i="117"/>
  <c r="EF13" i="117" s="1"/>
  <c r="BW13" i="117"/>
  <c r="DN13" i="117" s="1"/>
  <c r="AM125" i="122"/>
  <c r="AZ137" i="122" s="1"/>
  <c r="BP13" i="117"/>
  <c r="AS125" i="122"/>
  <c r="A29" i="131"/>
  <c r="A30" i="131"/>
  <c r="AT125" i="122"/>
  <c r="CR28" i="14" l="1"/>
  <c r="CR32" i="14" s="1"/>
  <c r="CS28" i="14"/>
  <c r="CS32" i="14" s="1"/>
  <c r="AF126" i="122"/>
  <c r="Y127" i="122"/>
  <c r="DB13" i="117"/>
  <c r="DA29" i="117" s="1"/>
  <c r="CG13" i="117"/>
  <c r="AZ144" i="122"/>
  <c r="CE36" i="117"/>
  <c r="AZ143" i="122"/>
  <c r="IQ130" i="9"/>
  <c r="HP130" i="9"/>
  <c r="HN130" i="9"/>
  <c r="HK130" i="9"/>
  <c r="HH130" i="9"/>
  <c r="HB130" i="9"/>
  <c r="GV129" i="9"/>
  <c r="GU129" i="9"/>
  <c r="GS130" i="9"/>
  <c r="FZ130" i="9"/>
  <c r="FV130" i="9"/>
  <c r="BT130" i="9"/>
  <c r="BR130" i="9"/>
  <c r="BP130" i="9"/>
  <c r="BO130" i="9"/>
  <c r="BM130" i="9"/>
  <c r="BI130" i="9"/>
  <c r="AU124" i="9"/>
  <c r="AU125" i="9"/>
  <c r="AU129" i="9"/>
  <c r="AU130" i="9"/>
  <c r="AF127" i="122" l="1"/>
  <c r="Y128" i="122"/>
  <c r="BV29" i="117"/>
  <c r="CN29" i="117"/>
  <c r="DC13" i="117"/>
  <c r="CU29" i="117"/>
  <c r="CI29" i="117"/>
  <c r="CJ29" i="117"/>
  <c r="CS29" i="117"/>
  <c r="CK29" i="117"/>
  <c r="CX29" i="117"/>
  <c r="CO29" i="117"/>
  <c r="CV29" i="117"/>
  <c r="CL29" i="117"/>
  <c r="CM29" i="117"/>
  <c r="CW29" i="117"/>
  <c r="CP29" i="117"/>
  <c r="CQ29" i="117"/>
  <c r="CY29" i="117"/>
  <c r="CZ29" i="117"/>
  <c r="CT29" i="117"/>
  <c r="BT29" i="117"/>
  <c r="BP29" i="117"/>
  <c r="CC29" i="117"/>
  <c r="BY29" i="117"/>
  <c r="BQ29" i="117"/>
  <c r="BO29" i="117"/>
  <c r="BR29" i="117"/>
  <c r="CA29" i="117"/>
  <c r="BS29" i="117"/>
  <c r="BX29" i="117"/>
  <c r="BZ29" i="117"/>
  <c r="L125" i="122"/>
  <c r="AQ125" i="122" s="1"/>
  <c r="AZ141" i="122" s="1"/>
  <c r="BW29" i="117"/>
  <c r="CH13" i="117"/>
  <c r="CE29" i="117"/>
  <c r="CE37" i="117"/>
  <c r="BU29" i="117"/>
  <c r="CR29" i="117"/>
  <c r="CF29" i="117"/>
  <c r="CD29" i="117"/>
  <c r="BN29" i="117"/>
  <c r="CB29" i="117"/>
  <c r="BQ130" i="9"/>
  <c r="HM130" i="9"/>
  <c r="AF130" i="9"/>
  <c r="AA130" i="9"/>
  <c r="AB130" i="9"/>
  <c r="AC130" i="9"/>
  <c r="AD130" i="9"/>
  <c r="AE130" i="9"/>
  <c r="Y130" i="9"/>
  <c r="R130" i="9"/>
  <c r="B125" i="122" s="1"/>
  <c r="AL125" i="122" s="1"/>
  <c r="O130" i="9"/>
  <c r="N130" i="9"/>
  <c r="P130" i="9" s="1"/>
  <c r="Y129" i="122" l="1"/>
  <c r="AF129" i="122" s="1"/>
  <c r="CL15" i="117"/>
  <c r="CV15" i="117"/>
  <c r="DA15" i="117"/>
  <c r="CZ15" i="117"/>
  <c r="CS15" i="117"/>
  <c r="CP15" i="117"/>
  <c r="CW15" i="117"/>
  <c r="CI15" i="117"/>
  <c r="CJ15" i="117"/>
  <c r="CT15" i="117"/>
  <c r="CX15" i="117"/>
  <c r="CY15" i="117"/>
  <c r="CN15" i="117"/>
  <c r="CU15" i="117"/>
  <c r="CM15" i="117"/>
  <c r="CQ15" i="117"/>
  <c r="CR15" i="117"/>
  <c r="CO15" i="117"/>
  <c r="BO15" i="117"/>
  <c r="BR15" i="117"/>
  <c r="BN15" i="117"/>
  <c r="CE15" i="117"/>
  <c r="CD15" i="117"/>
  <c r="BX15" i="117"/>
  <c r="CB15" i="117"/>
  <c r="BZ15" i="117"/>
  <c r="BU15" i="117"/>
  <c r="BS15" i="117"/>
  <c r="BQ15" i="117"/>
  <c r="BY15" i="117"/>
  <c r="CF15" i="117"/>
  <c r="CA15" i="117"/>
  <c r="CC15" i="117"/>
  <c r="BW15" i="117"/>
  <c r="BT15" i="117"/>
  <c r="BV15" i="117"/>
  <c r="DC20" i="117"/>
  <c r="AF128" i="122"/>
  <c r="AZ136" i="122"/>
  <c r="Z130" i="9"/>
  <c r="AI9" i="122"/>
  <c r="AI10" i="122"/>
  <c r="AI11" i="122"/>
  <c r="AI12" i="122"/>
  <c r="AI13" i="122"/>
  <c r="AI14" i="122"/>
  <c r="AI15" i="122"/>
  <c r="AI16" i="122"/>
  <c r="AI17" i="122"/>
  <c r="AI18" i="122"/>
  <c r="AI19" i="122"/>
  <c r="AI20" i="122"/>
  <c r="AI21" i="122"/>
  <c r="AI22" i="122"/>
  <c r="AI23" i="122"/>
  <c r="AI24" i="122"/>
  <c r="AI25" i="122"/>
  <c r="AI26" i="122"/>
  <c r="AI27" i="122"/>
  <c r="AI28" i="122"/>
  <c r="AI29" i="122"/>
  <c r="AI30" i="122"/>
  <c r="AI31" i="122"/>
  <c r="AI32" i="122"/>
  <c r="AI33" i="122"/>
  <c r="AI34" i="122"/>
  <c r="AI35" i="122"/>
  <c r="AI36" i="122"/>
  <c r="AI37" i="122"/>
  <c r="AI38" i="122"/>
  <c r="AI39" i="122"/>
  <c r="AI40" i="122"/>
  <c r="AI41" i="122"/>
  <c r="AI42" i="122"/>
  <c r="AI43" i="122"/>
  <c r="AI44" i="122"/>
  <c r="AI45" i="122"/>
  <c r="AI46" i="122"/>
  <c r="AI47" i="122"/>
  <c r="AI48" i="122"/>
  <c r="AI49" i="122"/>
  <c r="AI50" i="122"/>
  <c r="AI51" i="122"/>
  <c r="AI52" i="122"/>
  <c r="AI53" i="122"/>
  <c r="AI54" i="122"/>
  <c r="AI55" i="122"/>
  <c r="AI56" i="122"/>
  <c r="AI57" i="122"/>
  <c r="AI58" i="122"/>
  <c r="AI59" i="122"/>
  <c r="AI60" i="122"/>
  <c r="AI61" i="122"/>
  <c r="AI62" i="122"/>
  <c r="AI63" i="122"/>
  <c r="AI64" i="122"/>
  <c r="AI65" i="122"/>
  <c r="AI66" i="122"/>
  <c r="AI67" i="122"/>
  <c r="AI68" i="122"/>
  <c r="AI69" i="122"/>
  <c r="AI70" i="122"/>
  <c r="AI71" i="122"/>
  <c r="AI72" i="122"/>
  <c r="AI73" i="122"/>
  <c r="AI74" i="122"/>
  <c r="AI75" i="122"/>
  <c r="AI76" i="122"/>
  <c r="AI77" i="122"/>
  <c r="AI78" i="122"/>
  <c r="AI79" i="122"/>
  <c r="AI80" i="122"/>
  <c r="AI81" i="122"/>
  <c r="AI82" i="122"/>
  <c r="AI83" i="122"/>
  <c r="AI84" i="122"/>
  <c r="AI85" i="122"/>
  <c r="AI86" i="122"/>
  <c r="AI87" i="122"/>
  <c r="AI88" i="122"/>
  <c r="AI89" i="122"/>
  <c r="AI90" i="122"/>
  <c r="AI91" i="122"/>
  <c r="AI92" i="122"/>
  <c r="AI93" i="122"/>
  <c r="AI94" i="122"/>
  <c r="AI95" i="122"/>
  <c r="AI96" i="122"/>
  <c r="AI97" i="122"/>
  <c r="AI98" i="122"/>
  <c r="AI99" i="122"/>
  <c r="AI100" i="122"/>
  <c r="AI101" i="122"/>
  <c r="AI102" i="122"/>
  <c r="AI103" i="122"/>
  <c r="AI104" i="122"/>
  <c r="AI105" i="122"/>
  <c r="AI106" i="122"/>
  <c r="AI107" i="122"/>
  <c r="AI108" i="122"/>
  <c r="AI109" i="122"/>
  <c r="AI110" i="122"/>
  <c r="AI111" i="122"/>
  <c r="AI112" i="122"/>
  <c r="AI113" i="122"/>
  <c r="AI114" i="122"/>
  <c r="AI115" i="122"/>
  <c r="AI116" i="122"/>
  <c r="AI117" i="122"/>
  <c r="AI118" i="122"/>
  <c r="AI119" i="122"/>
  <c r="AI120" i="122"/>
  <c r="AI121" i="122"/>
  <c r="AI122" i="122"/>
  <c r="AI123" i="122"/>
  <c r="AI124" i="122"/>
  <c r="AI8" i="122"/>
  <c r="AG121" i="122"/>
  <c r="AG122" i="122"/>
  <c r="AG123" i="122"/>
  <c r="AG124" i="122"/>
  <c r="AF124" i="122"/>
  <c r="AC9" i="122"/>
  <c r="AC10" i="122"/>
  <c r="AC11" i="122"/>
  <c r="AC12" i="122"/>
  <c r="AC13" i="122"/>
  <c r="AC14" i="122"/>
  <c r="AC15" i="122"/>
  <c r="AC16" i="122"/>
  <c r="AC17" i="122"/>
  <c r="AC18" i="122"/>
  <c r="AC19" i="122"/>
  <c r="AC20" i="122"/>
  <c r="AC21" i="122"/>
  <c r="AC22" i="122"/>
  <c r="AC23" i="122"/>
  <c r="AC24" i="122"/>
  <c r="AC25" i="122"/>
  <c r="AC26" i="122"/>
  <c r="AC27" i="122"/>
  <c r="AC28" i="122"/>
  <c r="AC29" i="122"/>
  <c r="AC30" i="122"/>
  <c r="AC31" i="122"/>
  <c r="AC32" i="122"/>
  <c r="AC33" i="122"/>
  <c r="AC34" i="122"/>
  <c r="AC35" i="122"/>
  <c r="AC36" i="122"/>
  <c r="AC37" i="122"/>
  <c r="AC38" i="122"/>
  <c r="AC39" i="122"/>
  <c r="AC40" i="122"/>
  <c r="AC41" i="122"/>
  <c r="AC42" i="122"/>
  <c r="AC43" i="122"/>
  <c r="AC44" i="122"/>
  <c r="AC45" i="122"/>
  <c r="AC46" i="122"/>
  <c r="AC47" i="122"/>
  <c r="AC48" i="122"/>
  <c r="AC49" i="122"/>
  <c r="AC50" i="122"/>
  <c r="AC51" i="122"/>
  <c r="AC52" i="122"/>
  <c r="AC53" i="122"/>
  <c r="AC54" i="122"/>
  <c r="AC55" i="122"/>
  <c r="AC56" i="122"/>
  <c r="AC57" i="122"/>
  <c r="AC58" i="122"/>
  <c r="AC59" i="122"/>
  <c r="AC60" i="122"/>
  <c r="AC61" i="122"/>
  <c r="AC62" i="122"/>
  <c r="AC63" i="122"/>
  <c r="AC64" i="122"/>
  <c r="AC65" i="122"/>
  <c r="AC66" i="122"/>
  <c r="AC67" i="122"/>
  <c r="AC68" i="122"/>
  <c r="AC69" i="122"/>
  <c r="AC70" i="122"/>
  <c r="AC71" i="122"/>
  <c r="AC72" i="122"/>
  <c r="AC73" i="122"/>
  <c r="AC74" i="122"/>
  <c r="AC75" i="122"/>
  <c r="AC76" i="122"/>
  <c r="AC77" i="122"/>
  <c r="AC78" i="122"/>
  <c r="AC79" i="122"/>
  <c r="AC80" i="122"/>
  <c r="AC81" i="122"/>
  <c r="AC82" i="122"/>
  <c r="AC83" i="122"/>
  <c r="AC84" i="122"/>
  <c r="AC85" i="122"/>
  <c r="AC86" i="122"/>
  <c r="AC87" i="122"/>
  <c r="AC88" i="122"/>
  <c r="AC89" i="122"/>
  <c r="AC90" i="122"/>
  <c r="AC91" i="122"/>
  <c r="AC92" i="122"/>
  <c r="AC93" i="122"/>
  <c r="AC94" i="122"/>
  <c r="AC95" i="122"/>
  <c r="AC96" i="122"/>
  <c r="AC97" i="122"/>
  <c r="AC98" i="122"/>
  <c r="AC99" i="122"/>
  <c r="AC100" i="122"/>
  <c r="AC101" i="122"/>
  <c r="AC102" i="122"/>
  <c r="AC103" i="122"/>
  <c r="AC104" i="122"/>
  <c r="AC105" i="122"/>
  <c r="AC106" i="122"/>
  <c r="AC107" i="122"/>
  <c r="AC108" i="122"/>
  <c r="AC109" i="122"/>
  <c r="AC110" i="122"/>
  <c r="AC111" i="122"/>
  <c r="AC112" i="122"/>
  <c r="AC113" i="122"/>
  <c r="AC114" i="122"/>
  <c r="AC115" i="122"/>
  <c r="AC116" i="122"/>
  <c r="AC117" i="122"/>
  <c r="AC118" i="122"/>
  <c r="AC119" i="122"/>
  <c r="AC120" i="122"/>
  <c r="AC121" i="122"/>
  <c r="AC122" i="122"/>
  <c r="AC123" i="122"/>
  <c r="AC124" i="122"/>
  <c r="AC8" i="122"/>
  <c r="AZ7" i="122"/>
  <c r="Z82" i="122" s="1"/>
  <c r="AZ8" i="122"/>
  <c r="Z87" i="122" s="1"/>
  <c r="AZ9" i="122"/>
  <c r="Z90" i="122" s="1"/>
  <c r="AZ10" i="122"/>
  <c r="Z94" i="122" s="1"/>
  <c r="AZ11" i="122"/>
  <c r="Z97" i="122" s="1"/>
  <c r="AZ12" i="122"/>
  <c r="Z101" i="122" s="1"/>
  <c r="AZ13" i="122"/>
  <c r="Z103" i="122" s="1"/>
  <c r="AZ14" i="122"/>
  <c r="Z107" i="122" s="1"/>
  <c r="AZ15" i="122"/>
  <c r="Z113" i="122" s="1"/>
  <c r="AZ16" i="122"/>
  <c r="Z121" i="122" s="1"/>
  <c r="AZ17" i="122"/>
  <c r="Z125" i="122" s="1"/>
  <c r="AA125" i="122" s="1"/>
  <c r="AZ6" i="122"/>
  <c r="Z80" i="122" s="1"/>
  <c r="Y123" i="122"/>
  <c r="Y122" i="122" s="1"/>
  <c r="Y121" i="122" s="1"/>
  <c r="Y120" i="122" s="1"/>
  <c r="Y119" i="122" s="1"/>
  <c r="Y118" i="122" s="1"/>
  <c r="Y117" i="122" s="1"/>
  <c r="Y116" i="122" s="1"/>
  <c r="Y115" i="122" s="1"/>
  <c r="Y114" i="122" s="1"/>
  <c r="Y113" i="122" s="1"/>
  <c r="Y112" i="122" s="1"/>
  <c r="Y111" i="122" s="1"/>
  <c r="Y110" i="122" s="1"/>
  <c r="Y109" i="122" s="1"/>
  <c r="Y108" i="122" s="1"/>
  <c r="Y107" i="122" s="1"/>
  <c r="Y106" i="122" s="1"/>
  <c r="Y105" i="122" s="1"/>
  <c r="Y104" i="122" s="1"/>
  <c r="Y103" i="122" s="1"/>
  <c r="Y102" i="122" s="1"/>
  <c r="Y101" i="122" s="1"/>
  <c r="Y100" i="122" s="1"/>
  <c r="Y99" i="122" s="1"/>
  <c r="Y98" i="122" s="1"/>
  <c r="Y97" i="122" s="1"/>
  <c r="Y96" i="122" s="1"/>
  <c r="Y95" i="122" s="1"/>
  <c r="Y94" i="122" s="1"/>
  <c r="Y93" i="122" s="1"/>
  <c r="Y92" i="122" s="1"/>
  <c r="Y91" i="122" s="1"/>
  <c r="Y90" i="122" s="1"/>
  <c r="Y89" i="122" s="1"/>
  <c r="Y88" i="122" s="1"/>
  <c r="Y87" i="122" s="1"/>
  <c r="Y86" i="122" s="1"/>
  <c r="Y85" i="122" s="1"/>
  <c r="Y84" i="122" s="1"/>
  <c r="Y83" i="122" s="1"/>
  <c r="Y82" i="122" s="1"/>
  <c r="Y81" i="122" s="1"/>
  <c r="Y80" i="122" s="1"/>
  <c r="Y79" i="122" s="1"/>
  <c r="Y78" i="122" s="1"/>
  <c r="Y77" i="122" s="1"/>
  <c r="Y76" i="122" s="1"/>
  <c r="Y75" i="122" s="1"/>
  <c r="Y74" i="122" s="1"/>
  <c r="Y73" i="122" s="1"/>
  <c r="Y72" i="122" s="1"/>
  <c r="Y71" i="122" s="1"/>
  <c r="Y70" i="122" s="1"/>
  <c r="Y69" i="122" s="1"/>
  <c r="Y68" i="122" s="1"/>
  <c r="Y67" i="122" s="1"/>
  <c r="Y66" i="122" s="1"/>
  <c r="Y65" i="122" s="1"/>
  <c r="Y64" i="122" s="1"/>
  <c r="Y63" i="122" s="1"/>
  <c r="Y62" i="122" s="1"/>
  <c r="Y61" i="122" s="1"/>
  <c r="Y60" i="122" s="1"/>
  <c r="Y59" i="122" s="1"/>
  <c r="Y58" i="122" s="1"/>
  <c r="Y57" i="122" s="1"/>
  <c r="Y56" i="122" s="1"/>
  <c r="Y55" i="122" s="1"/>
  <c r="Y54" i="122" s="1"/>
  <c r="Y53" i="122" s="1"/>
  <c r="Y52" i="122" s="1"/>
  <c r="Y51" i="122" s="1"/>
  <c r="Y50" i="122" s="1"/>
  <c r="Y49" i="122" s="1"/>
  <c r="Y48" i="122" s="1"/>
  <c r="Y47" i="122" s="1"/>
  <c r="Y46" i="122" s="1"/>
  <c r="Y45" i="122" s="1"/>
  <c r="Y44" i="122" s="1"/>
  <c r="Y43" i="122" s="1"/>
  <c r="Y42" i="122" s="1"/>
  <c r="Y41" i="122" s="1"/>
  <c r="Y40" i="122" s="1"/>
  <c r="Y39" i="122" s="1"/>
  <c r="Y38" i="122" s="1"/>
  <c r="Y37" i="122" s="1"/>
  <c r="Y36" i="122" s="1"/>
  <c r="Y35" i="122" s="1"/>
  <c r="Y34" i="122" s="1"/>
  <c r="Y33" i="122" s="1"/>
  <c r="Y32" i="122" s="1"/>
  <c r="Y31" i="122" s="1"/>
  <c r="Y30" i="122" s="1"/>
  <c r="Y29" i="122" s="1"/>
  <c r="Y28" i="122" s="1"/>
  <c r="Y27" i="122" s="1"/>
  <c r="Y26" i="122" s="1"/>
  <c r="Y25" i="122" s="1"/>
  <c r="Y24" i="122" s="1"/>
  <c r="Y23" i="122" s="1"/>
  <c r="Y22" i="122" s="1"/>
  <c r="Y21" i="122" s="1"/>
  <c r="Y20" i="122" s="1"/>
  <c r="Y19" i="122" s="1"/>
  <c r="Y18" i="122" s="1"/>
  <c r="Y17" i="122" s="1"/>
  <c r="Y16" i="122" s="1"/>
  <c r="Y15" i="122" s="1"/>
  <c r="Y14" i="122" s="1"/>
  <c r="Y13" i="122" s="1"/>
  <c r="Y12" i="122" s="1"/>
  <c r="Y11" i="122" s="1"/>
  <c r="Y10" i="122" s="1"/>
  <c r="Y9" i="122" s="1"/>
  <c r="Y8" i="122" s="1"/>
  <c r="Y7" i="122" s="1"/>
  <c r="Y6" i="122" s="1"/>
  <c r="Y5" i="122" s="1"/>
  <c r="AF5" i="122" s="1"/>
  <c r="X6" i="122"/>
  <c r="X7" i="122"/>
  <c r="X8" i="122"/>
  <c r="X9" i="122"/>
  <c r="X10" i="122"/>
  <c r="X11" i="122"/>
  <c r="X12" i="122"/>
  <c r="X13" i="122"/>
  <c r="X14" i="122"/>
  <c r="X15" i="122"/>
  <c r="X16" i="122"/>
  <c r="X17" i="122"/>
  <c r="X18" i="122"/>
  <c r="X19" i="122"/>
  <c r="X20" i="122"/>
  <c r="X21" i="122"/>
  <c r="X22" i="122"/>
  <c r="X23" i="122"/>
  <c r="X24" i="122"/>
  <c r="X25" i="122"/>
  <c r="X26" i="122"/>
  <c r="X27" i="122"/>
  <c r="X28" i="122"/>
  <c r="X29" i="122"/>
  <c r="X30" i="122"/>
  <c r="X31" i="122"/>
  <c r="X32" i="122"/>
  <c r="X33" i="122"/>
  <c r="X34" i="122"/>
  <c r="X35" i="122"/>
  <c r="X36" i="122"/>
  <c r="X37" i="122"/>
  <c r="X38" i="122"/>
  <c r="X39" i="122"/>
  <c r="X40" i="122"/>
  <c r="X41" i="122"/>
  <c r="X42" i="122"/>
  <c r="X43" i="122"/>
  <c r="X44" i="122"/>
  <c r="X45" i="122"/>
  <c r="X46" i="122"/>
  <c r="X47" i="122"/>
  <c r="X48" i="122"/>
  <c r="X49" i="122"/>
  <c r="X50" i="122"/>
  <c r="X51" i="122"/>
  <c r="X52" i="122"/>
  <c r="X53" i="122"/>
  <c r="X54" i="122"/>
  <c r="X55" i="122"/>
  <c r="X56" i="122"/>
  <c r="X57" i="122"/>
  <c r="X58" i="122"/>
  <c r="X59" i="122"/>
  <c r="X60" i="122"/>
  <c r="X61" i="122"/>
  <c r="X62" i="122"/>
  <c r="X63" i="122"/>
  <c r="X64" i="122"/>
  <c r="X65" i="122"/>
  <c r="X66" i="122"/>
  <c r="X67" i="122"/>
  <c r="X68" i="122"/>
  <c r="X69" i="122"/>
  <c r="X70" i="122"/>
  <c r="X71" i="122"/>
  <c r="X72" i="122"/>
  <c r="X73" i="122"/>
  <c r="X74" i="122"/>
  <c r="X75" i="122"/>
  <c r="X76" i="122"/>
  <c r="X77" i="122"/>
  <c r="X78" i="122"/>
  <c r="X79" i="122"/>
  <c r="X80" i="122"/>
  <c r="X82" i="122"/>
  <c r="X83" i="122"/>
  <c r="X84" i="122"/>
  <c r="X85" i="122"/>
  <c r="X86" i="122"/>
  <c r="X87" i="122"/>
  <c r="X88" i="122"/>
  <c r="X90" i="122"/>
  <c r="X91" i="122"/>
  <c r="X92" i="122"/>
  <c r="X93" i="122"/>
  <c r="X94" i="122"/>
  <c r="X95" i="122"/>
  <c r="X96" i="122"/>
  <c r="X97" i="122"/>
  <c r="X98" i="122"/>
  <c r="X99" i="122"/>
  <c r="X100" i="122"/>
  <c r="X101" i="122"/>
  <c r="X102" i="122"/>
  <c r="X103" i="122"/>
  <c r="X104" i="122"/>
  <c r="X105" i="122"/>
  <c r="X106" i="122"/>
  <c r="X107" i="122"/>
  <c r="X108" i="122"/>
  <c r="X109" i="122"/>
  <c r="X110" i="122"/>
  <c r="X111" i="122"/>
  <c r="X112" i="122"/>
  <c r="X113" i="122"/>
  <c r="X114" i="122"/>
  <c r="X115" i="122"/>
  <c r="X116" i="122"/>
  <c r="X117" i="122"/>
  <c r="X118" i="122"/>
  <c r="X119" i="122"/>
  <c r="X120" i="122"/>
  <c r="X124" i="122"/>
  <c r="AB124" i="122" s="1"/>
  <c r="X5" i="122"/>
  <c r="BW1" i="9"/>
  <c r="AB113" i="122" l="1"/>
  <c r="AB115" i="122"/>
  <c r="AB119" i="122"/>
  <c r="Y130" i="122"/>
  <c r="Y131" i="122" s="1"/>
  <c r="Y132" i="122" s="1"/>
  <c r="AA126" i="122"/>
  <c r="AG125" i="122"/>
  <c r="X125" i="122"/>
  <c r="AF122" i="122"/>
  <c r="AF90" i="122"/>
  <c r="AF86" i="122"/>
  <c r="AF123" i="122"/>
  <c r="AF75" i="122"/>
  <c r="AF118" i="122"/>
  <c r="AF74" i="122"/>
  <c r="AF107" i="122"/>
  <c r="AF59" i="122"/>
  <c r="AF106" i="122"/>
  <c r="AF58" i="122"/>
  <c r="AF102" i="122"/>
  <c r="AF30" i="122"/>
  <c r="AF91" i="122"/>
  <c r="AF27" i="122"/>
  <c r="AF70" i="122"/>
  <c r="AF54" i="122"/>
  <c r="AF117" i="122"/>
  <c r="AF101" i="122"/>
  <c r="AF85" i="122"/>
  <c r="AF69" i="122"/>
  <c r="AF51" i="122"/>
  <c r="AF19" i="122"/>
  <c r="AF115" i="122"/>
  <c r="AF99" i="122"/>
  <c r="AF83" i="122"/>
  <c r="AF67" i="122"/>
  <c r="AF46" i="122"/>
  <c r="AF14" i="122"/>
  <c r="AF22" i="122"/>
  <c r="AF114" i="122"/>
  <c r="AF66" i="122"/>
  <c r="AF11" i="122"/>
  <c r="AF110" i="122"/>
  <c r="AF94" i="122"/>
  <c r="AF78" i="122"/>
  <c r="AF62" i="122"/>
  <c r="AF38" i="122"/>
  <c r="AF6" i="122"/>
  <c r="AF98" i="122"/>
  <c r="AF82" i="122"/>
  <c r="AF43" i="122"/>
  <c r="AF109" i="122"/>
  <c r="AF93" i="122"/>
  <c r="AF77" i="122"/>
  <c r="AF61" i="122"/>
  <c r="AF35" i="122"/>
  <c r="AF53" i="122"/>
  <c r="AF45" i="122"/>
  <c r="AF37" i="122"/>
  <c r="AF29" i="122"/>
  <c r="AF21" i="122"/>
  <c r="AF13" i="122"/>
  <c r="AF116" i="122"/>
  <c r="AF108" i="122"/>
  <c r="AF100" i="122"/>
  <c r="AF92" i="122"/>
  <c r="AF84" i="122"/>
  <c r="AF76" i="122"/>
  <c r="AF68" i="122"/>
  <c r="AF60" i="122"/>
  <c r="AF52" i="122"/>
  <c r="AF44" i="122"/>
  <c r="AF36" i="122"/>
  <c r="AF28" i="122"/>
  <c r="AF20" i="122"/>
  <c r="AF12" i="122"/>
  <c r="AF50" i="122"/>
  <c r="AF34" i="122"/>
  <c r="AF18" i="122"/>
  <c r="AF121" i="122"/>
  <c r="AF113" i="122"/>
  <c r="AF105" i="122"/>
  <c r="AF97" i="122"/>
  <c r="AF89" i="122"/>
  <c r="AF81" i="122"/>
  <c r="AF73" i="122"/>
  <c r="AF65" i="122"/>
  <c r="AF57" i="122"/>
  <c r="AF49" i="122"/>
  <c r="AF41" i="122"/>
  <c r="AF33" i="122"/>
  <c r="AF25" i="122"/>
  <c r="AF17" i="122"/>
  <c r="AF9" i="122"/>
  <c r="AF42" i="122"/>
  <c r="AF26" i="122"/>
  <c r="AF10" i="122"/>
  <c r="AF120" i="122"/>
  <c r="AF112" i="122"/>
  <c r="AF104" i="122"/>
  <c r="AF96" i="122"/>
  <c r="AF88" i="122"/>
  <c r="AF80" i="122"/>
  <c r="AF72" i="122"/>
  <c r="AF64" i="122"/>
  <c r="AF56" i="122"/>
  <c r="AF48" i="122"/>
  <c r="AF40" i="122"/>
  <c r="AF32" i="122"/>
  <c r="AF24" i="122"/>
  <c r="AF16" i="122"/>
  <c r="AF8" i="122"/>
  <c r="AF119" i="122"/>
  <c r="AF111" i="122"/>
  <c r="AF103" i="122"/>
  <c r="AF95" i="122"/>
  <c r="AF87" i="122"/>
  <c r="AF79" i="122"/>
  <c r="AF71" i="122"/>
  <c r="AF63" i="122"/>
  <c r="AF55" i="122"/>
  <c r="AF47" i="122"/>
  <c r="AF39" i="122"/>
  <c r="AF31" i="122"/>
  <c r="AF23" i="122"/>
  <c r="AF15" i="122"/>
  <c r="AF7" i="122"/>
  <c r="AA119" i="122"/>
  <c r="AA117" i="122"/>
  <c r="AG117" i="122" s="1"/>
  <c r="AA118" i="122"/>
  <c r="AB118" i="122" s="1"/>
  <c r="AA120" i="122"/>
  <c r="AG120" i="122" s="1"/>
  <c r="AA113" i="122"/>
  <c r="AA114" i="122"/>
  <c r="AG114" i="122" s="1"/>
  <c r="AA115" i="122"/>
  <c r="AA116" i="122"/>
  <c r="AB116" i="122" s="1"/>
  <c r="X89" i="122"/>
  <c r="X81" i="122"/>
  <c r="AU124" i="122"/>
  <c r="MA8" i="9"/>
  <c r="MB8" i="9"/>
  <c r="MC8" i="9"/>
  <c r="MD8" i="9"/>
  <c r="ME8" i="9"/>
  <c r="MF8" i="9"/>
  <c r="MG8" i="9"/>
  <c r="MH8" i="9"/>
  <c r="MI8" i="9"/>
  <c r="MJ8" i="9"/>
  <c r="MK8" i="9"/>
  <c r="ML8" i="9"/>
  <c r="MM8" i="9"/>
  <c r="MN8" i="9"/>
  <c r="MO8" i="9"/>
  <c r="MP8" i="9"/>
  <c r="MQ8" i="9"/>
  <c r="MR8" i="9"/>
  <c r="MS8" i="9"/>
  <c r="MT8" i="9"/>
  <c r="MU8" i="9"/>
  <c r="MV8" i="9"/>
  <c r="MW8" i="9"/>
  <c r="MX8" i="9"/>
  <c r="MY8" i="9"/>
  <c r="MZ8" i="9"/>
  <c r="NA8" i="9"/>
  <c r="NB8" i="9"/>
  <c r="NC8" i="9"/>
  <c r="ND8" i="9"/>
  <c r="NE8" i="9"/>
  <c r="LZ8" i="9"/>
  <c r="AB132" i="122" l="1"/>
  <c r="AU132" i="122" s="1"/>
  <c r="AF132" i="122"/>
  <c r="AH132" i="122" s="1"/>
  <c r="AV132" i="122" s="1"/>
  <c r="AA127" i="122"/>
  <c r="AG127" i="122" s="1"/>
  <c r="AB126" i="122"/>
  <c r="AB120" i="122"/>
  <c r="AU120" i="122" s="1"/>
  <c r="AB114" i="122"/>
  <c r="AU114" i="122" s="1"/>
  <c r="AF131" i="122"/>
  <c r="AB117" i="122"/>
  <c r="AU117" i="122" s="1"/>
  <c r="AB125" i="122"/>
  <c r="AU125" i="122" s="1"/>
  <c r="AF130" i="122"/>
  <c r="AU126" i="122"/>
  <c r="AG126" i="122"/>
  <c r="AU115" i="122"/>
  <c r="AG115" i="122"/>
  <c r="AU116" i="122"/>
  <c r="AG116" i="122"/>
  <c r="AU118" i="122"/>
  <c r="AG118" i="122"/>
  <c r="AU119" i="122"/>
  <c r="AG119" i="122"/>
  <c r="AA107" i="122"/>
  <c r="AB107" i="122" s="1"/>
  <c r="AG113" i="122"/>
  <c r="AA111" i="122"/>
  <c r="AB111" i="122" s="1"/>
  <c r="AA108" i="122"/>
  <c r="AB108" i="122" s="1"/>
  <c r="AA109" i="122"/>
  <c r="AB109" i="122" s="1"/>
  <c r="AA110" i="122"/>
  <c r="AB110" i="122" s="1"/>
  <c r="AA112" i="122"/>
  <c r="AB112" i="122" s="1"/>
  <c r="AU113" i="122"/>
  <c r="MX1" i="9"/>
  <c r="MY1" i="9"/>
  <c r="MZ1" i="9"/>
  <c r="NA1" i="9"/>
  <c r="NB1" i="9"/>
  <c r="NC1" i="9"/>
  <c r="ND1" i="9"/>
  <c r="NE1" i="9"/>
  <c r="AU143" i="122" l="1"/>
  <c r="AH127" i="122"/>
  <c r="AV127" i="122" s="1"/>
  <c r="AA128" i="122"/>
  <c r="AB127" i="122"/>
  <c r="AU127" i="122" s="1"/>
  <c r="AA105" i="122"/>
  <c r="AB105" i="122" s="1"/>
  <c r="AG107" i="122"/>
  <c r="AU107" i="122"/>
  <c r="AU142" i="122" s="1"/>
  <c r="AU110" i="122"/>
  <c r="AG110" i="122"/>
  <c r="AA106" i="122"/>
  <c r="AB106" i="122" s="1"/>
  <c r="AA104" i="122"/>
  <c r="AB104" i="122" s="1"/>
  <c r="AU112" i="122"/>
  <c r="AG112" i="122"/>
  <c r="AU108" i="122"/>
  <c r="AG108" i="122"/>
  <c r="AU111" i="122"/>
  <c r="AG111" i="122"/>
  <c r="AU109" i="122"/>
  <c r="AG109" i="122"/>
  <c r="AA103" i="122"/>
  <c r="AG103" i="122" l="1"/>
  <c r="AB103" i="122"/>
  <c r="AU103" i="122" s="1"/>
  <c r="AG128" i="122"/>
  <c r="AH128" i="122" s="1"/>
  <c r="AV128" i="122" s="1"/>
  <c r="AA129" i="122"/>
  <c r="AB128" i="122"/>
  <c r="AU128" i="122" s="1"/>
  <c r="AU106" i="122"/>
  <c r="AG106" i="122"/>
  <c r="AU104" i="122"/>
  <c r="AG104" i="122"/>
  <c r="AA102" i="122"/>
  <c r="AB102" i="122" s="1"/>
  <c r="AA101" i="122"/>
  <c r="AU105" i="122"/>
  <c r="AG105" i="122"/>
  <c r="AG101" i="122" l="1"/>
  <c r="AB101" i="122"/>
  <c r="AU101" i="122" s="1"/>
  <c r="AG129" i="122"/>
  <c r="AH129" i="122" s="1"/>
  <c r="AV129" i="122" s="1"/>
  <c r="AA130" i="122"/>
  <c r="AB129" i="122"/>
  <c r="AU129" i="122" s="1"/>
  <c r="AA98" i="122"/>
  <c r="AB98" i="122" s="1"/>
  <c r="AU102" i="122"/>
  <c r="AG102" i="122"/>
  <c r="AA99" i="122"/>
  <c r="AB99" i="122" s="1"/>
  <c r="AA97" i="122"/>
  <c r="AA100" i="122"/>
  <c r="AB100" i="122" s="1"/>
  <c r="CQ6" i="14"/>
  <c r="AS7" i="142" s="1"/>
  <c r="CQ7" i="14"/>
  <c r="AS8" i="142" s="1"/>
  <c r="CQ8" i="14"/>
  <c r="AS9" i="142" s="1"/>
  <c r="CQ9" i="14"/>
  <c r="AS10" i="142" s="1"/>
  <c r="CQ10" i="14"/>
  <c r="AS11" i="142" s="1"/>
  <c r="CQ11" i="14"/>
  <c r="AS12" i="142" s="1"/>
  <c r="CQ12" i="14"/>
  <c r="AS13" i="142" s="1"/>
  <c r="CQ13" i="14"/>
  <c r="AS14" i="142" s="1"/>
  <c r="CQ14" i="14"/>
  <c r="AS15" i="142" s="1"/>
  <c r="CQ15" i="14"/>
  <c r="AS16" i="142" s="1"/>
  <c r="CQ16" i="14"/>
  <c r="CQ17" i="14"/>
  <c r="CQ18" i="14"/>
  <c r="CQ19" i="14"/>
  <c r="CQ20" i="14"/>
  <c r="CQ21" i="14"/>
  <c r="CQ22" i="14"/>
  <c r="CQ23" i="14"/>
  <c r="CQ5" i="14"/>
  <c r="AS6" i="142" s="1"/>
  <c r="I33" i="125"/>
  <c r="Y25" i="125"/>
  <c r="BD24" i="125"/>
  <c r="C24" i="125"/>
  <c r="BD23" i="125"/>
  <c r="C23" i="125"/>
  <c r="BD22" i="125"/>
  <c r="C22" i="125"/>
  <c r="BD21" i="125"/>
  <c r="C21" i="125"/>
  <c r="BD20" i="125"/>
  <c r="C20" i="125"/>
  <c r="BD19" i="125"/>
  <c r="C19" i="125"/>
  <c r="BD18" i="125"/>
  <c r="C18" i="125"/>
  <c r="BD17" i="125"/>
  <c r="C17" i="125"/>
  <c r="BD16" i="125"/>
  <c r="C16" i="125"/>
  <c r="BD15" i="125"/>
  <c r="BD14" i="125"/>
  <c r="C14" i="125"/>
  <c r="BD13" i="125"/>
  <c r="C13" i="125"/>
  <c r="BD12" i="125"/>
  <c r="C12" i="125"/>
  <c r="BD11" i="125"/>
  <c r="C11" i="125"/>
  <c r="BD10" i="125"/>
  <c r="C10" i="125"/>
  <c r="BD9" i="125"/>
  <c r="BD8" i="125"/>
  <c r="C8" i="125"/>
  <c r="BD7" i="125"/>
  <c r="C7" i="125"/>
  <c r="BD6" i="125"/>
  <c r="C6" i="125"/>
  <c r="BD5" i="125"/>
  <c r="BA2" i="125"/>
  <c r="AZ2" i="125"/>
  <c r="AY2" i="125"/>
  <c r="AX2" i="125"/>
  <c r="AW2" i="125"/>
  <c r="AV2" i="125"/>
  <c r="AU2" i="125"/>
  <c r="AT2" i="125"/>
  <c r="AS2" i="125"/>
  <c r="AR2" i="125"/>
  <c r="AQ2" i="125"/>
  <c r="AP2" i="125"/>
  <c r="CI1" i="125"/>
  <c r="BU1" i="125"/>
  <c r="BQ1" i="125"/>
  <c r="BL1" i="125"/>
  <c r="AA131" i="122" l="1"/>
  <c r="AG130" i="122"/>
  <c r="AH130" i="122" s="1"/>
  <c r="AV130" i="122" s="1"/>
  <c r="AB130" i="122"/>
  <c r="AU130" i="122" s="1"/>
  <c r="AG97" i="122"/>
  <c r="AB97" i="122"/>
  <c r="AU97" i="122" s="1"/>
  <c r="CQ25" i="14"/>
  <c r="CQ26" i="14"/>
  <c r="CQ27" i="14"/>
  <c r="AA96" i="122"/>
  <c r="AB96" i="122" s="1"/>
  <c r="AU100" i="122"/>
  <c r="AG100" i="122"/>
  <c r="AU96" i="122"/>
  <c r="AG96" i="122"/>
  <c r="AU99" i="122"/>
  <c r="AG99" i="122"/>
  <c r="AA95" i="122"/>
  <c r="AB95" i="122" s="1"/>
  <c r="AA94" i="122"/>
  <c r="AU98" i="122"/>
  <c r="AG98" i="122"/>
  <c r="A29" i="125"/>
  <c r="A30" i="125"/>
  <c r="IG130" i="9"/>
  <c r="IG129" i="9"/>
  <c r="IE130" i="9"/>
  <c r="IE129" i="9"/>
  <c r="IA130" i="9"/>
  <c r="IA129" i="9"/>
  <c r="LT69" i="9"/>
  <c r="CI3" i="117"/>
  <c r="EE3" i="117" s="1"/>
  <c r="CI4" i="117"/>
  <c r="EE4" i="117" s="1"/>
  <c r="CI5" i="117"/>
  <c r="EE5" i="117" s="1"/>
  <c r="CI6" i="117"/>
  <c r="EE6" i="117" s="1"/>
  <c r="CI7" i="117"/>
  <c r="EE7" i="117" s="1"/>
  <c r="CI8" i="117"/>
  <c r="EE8" i="117" s="1"/>
  <c r="CI9" i="117"/>
  <c r="EE9" i="117" s="1"/>
  <c r="CI10" i="117"/>
  <c r="EE10" i="117" s="1"/>
  <c r="CI11" i="117"/>
  <c r="EE11" i="117" s="1"/>
  <c r="CI12" i="117"/>
  <c r="EE12" i="117" s="1"/>
  <c r="BA137" i="122"/>
  <c r="BA141" i="122"/>
  <c r="BA143" i="122"/>
  <c r="BA144" i="122"/>
  <c r="BA136" i="122"/>
  <c r="U124" i="122"/>
  <c r="V124" i="122" s="1"/>
  <c r="R124" i="122"/>
  <c r="Q124" i="122"/>
  <c r="P124" i="122"/>
  <c r="AG128" i="9"/>
  <c r="BT129" i="9"/>
  <c r="BR129" i="9"/>
  <c r="BP129" i="9"/>
  <c r="BO129" i="9"/>
  <c r="AG94" i="122" l="1"/>
  <c r="AB94" i="122"/>
  <c r="AG131" i="122"/>
  <c r="AH131" i="122" s="1"/>
  <c r="AV131" i="122" s="1"/>
  <c r="AV144" i="122" s="1"/>
  <c r="AB131" i="122"/>
  <c r="AU131" i="122" s="1"/>
  <c r="AU144" i="122" s="1"/>
  <c r="AZ145" i="122" s="1"/>
  <c r="BA145" i="122" s="1"/>
  <c r="CQ28" i="14"/>
  <c r="CQ32" i="14" s="1"/>
  <c r="CI16" i="117"/>
  <c r="AA91" i="122"/>
  <c r="AB91" i="122" s="1"/>
  <c r="AU95" i="122"/>
  <c r="AU141" i="122" s="1"/>
  <c r="AG95" i="122"/>
  <c r="AU94" i="122"/>
  <c r="AA93" i="122"/>
  <c r="AB93" i="122" s="1"/>
  <c r="AA92" i="122"/>
  <c r="AB92" i="122" s="1"/>
  <c r="AA90" i="122"/>
  <c r="II129" i="9"/>
  <c r="II130" i="9"/>
  <c r="BQ129" i="9"/>
  <c r="AS124" i="122"/>
  <c r="AT124" i="122"/>
  <c r="BI113" i="9"/>
  <c r="BI129" i="9"/>
  <c r="BI127" i="9"/>
  <c r="BI128" i="9"/>
  <c r="BI126" i="9"/>
  <c r="BI125" i="9"/>
  <c r="BI114" i="9"/>
  <c r="BI115" i="9"/>
  <c r="BI116" i="9"/>
  <c r="BI117" i="9"/>
  <c r="BI118" i="9"/>
  <c r="AP129" i="9"/>
  <c r="AP130" i="9"/>
  <c r="AP131" i="9"/>
  <c r="AP132" i="9"/>
  <c r="AP133" i="9"/>
  <c r="AP134" i="9"/>
  <c r="AP135" i="9"/>
  <c r="AP136" i="9"/>
  <c r="AP137" i="9"/>
  <c r="AP138" i="9"/>
  <c r="AP139" i="9"/>
  <c r="AP140" i="9"/>
  <c r="AP141" i="9"/>
  <c r="T129" i="9"/>
  <c r="R129" i="9"/>
  <c r="O129" i="9"/>
  <c r="N129" i="9"/>
  <c r="P129" i="9" s="1"/>
  <c r="CQ130" i="9"/>
  <c r="CQ131" i="9"/>
  <c r="AG90" i="122" l="1"/>
  <c r="AB90" i="122"/>
  <c r="AU90" i="122" s="1"/>
  <c r="CA131" i="9"/>
  <c r="DB131" i="9"/>
  <c r="CB131" i="9"/>
  <c r="CK131" i="9"/>
  <c r="CT131" i="9"/>
  <c r="DC131" i="9"/>
  <c r="CL131" i="9"/>
  <c r="CD131" i="9"/>
  <c r="CM131" i="9"/>
  <c r="CV131" i="9"/>
  <c r="DE131" i="9"/>
  <c r="CE131" i="9"/>
  <c r="CN131" i="9"/>
  <c r="CW131" i="9"/>
  <c r="DF131" i="9"/>
  <c r="BZ131" i="9"/>
  <c r="CC131" i="9"/>
  <c r="CU131" i="9"/>
  <c r="DD131" i="9"/>
  <c r="CF131" i="9"/>
  <c r="CP131" i="9"/>
  <c r="CY131" i="9"/>
  <c r="DH131" i="9"/>
  <c r="BY131" i="9"/>
  <c r="CH131" i="9"/>
  <c r="CI131" i="9"/>
  <c r="CA130" i="9"/>
  <c r="DB130" i="9"/>
  <c r="CB130" i="9"/>
  <c r="CK130" i="9"/>
  <c r="CT130" i="9"/>
  <c r="DC130" i="9"/>
  <c r="CC130" i="9"/>
  <c r="CL130" i="9"/>
  <c r="CU130" i="9"/>
  <c r="DD130" i="9"/>
  <c r="CF130" i="9"/>
  <c r="CP130" i="9"/>
  <c r="CY130" i="9"/>
  <c r="DH130" i="9"/>
  <c r="BY130" i="9"/>
  <c r="CH130" i="9"/>
  <c r="CI130" i="9"/>
  <c r="CD130" i="9"/>
  <c r="CM130" i="9"/>
  <c r="CV130" i="9"/>
  <c r="DE130" i="9"/>
  <c r="CE130" i="9"/>
  <c r="CN130" i="9"/>
  <c r="CW130" i="9"/>
  <c r="DF130" i="9"/>
  <c r="BZ130" i="9"/>
  <c r="CI17" i="117"/>
  <c r="AU92" i="122"/>
  <c r="AG92" i="122"/>
  <c r="AA89" i="122"/>
  <c r="AB89" i="122" s="1"/>
  <c r="AA88" i="122"/>
  <c r="AB88" i="122" s="1"/>
  <c r="AU93" i="122"/>
  <c r="AG93" i="122"/>
  <c r="AA87" i="122"/>
  <c r="AU91" i="122"/>
  <c r="AG91" i="122"/>
  <c r="CQ129" i="9"/>
  <c r="AG87" i="122" l="1"/>
  <c r="AB87" i="122"/>
  <c r="AU87" i="122" s="1"/>
  <c r="CX131" i="9"/>
  <c r="CO131" i="9"/>
  <c r="DG131" i="9"/>
  <c r="CG131" i="9"/>
  <c r="CO130" i="9"/>
  <c r="CG130" i="9"/>
  <c r="CX130" i="9"/>
  <c r="DG130" i="9"/>
  <c r="AA85" i="122"/>
  <c r="AB85" i="122" s="1"/>
  <c r="AA84" i="122"/>
  <c r="AB84" i="122" s="1"/>
  <c r="AA82" i="122"/>
  <c r="AA83" i="122"/>
  <c r="AB83" i="122" s="1"/>
  <c r="AA86" i="122"/>
  <c r="AB86" i="122" s="1"/>
  <c r="AU88" i="122"/>
  <c r="AG88" i="122"/>
  <c r="AU89" i="122"/>
  <c r="AG89" i="122"/>
  <c r="CB129" i="9"/>
  <c r="CK129" i="9"/>
  <c r="CT129" i="9"/>
  <c r="DE129" i="9"/>
  <c r="CC129" i="9"/>
  <c r="CL129" i="9"/>
  <c r="CU129" i="9"/>
  <c r="DF129" i="9"/>
  <c r="CD129" i="9"/>
  <c r="CM129" i="9"/>
  <c r="CY129" i="9"/>
  <c r="CE129" i="9"/>
  <c r="CN129" i="9"/>
  <c r="DH129" i="9"/>
  <c r="CF129" i="9"/>
  <c r="CP129" i="9"/>
  <c r="BY129" i="9"/>
  <c r="DB129" i="9"/>
  <c r="BZ129" i="9"/>
  <c r="CI129" i="9"/>
  <c r="DC129" i="9"/>
  <c r="CA129" i="9"/>
  <c r="DD129" i="9"/>
  <c r="B124" i="122"/>
  <c r="C124" i="122"/>
  <c r="D124" i="122"/>
  <c r="E124" i="122"/>
  <c r="G124" i="122"/>
  <c r="I124" i="122"/>
  <c r="K124" i="122"/>
  <c r="L124" i="122"/>
  <c r="M124" i="122"/>
  <c r="O124" i="122"/>
  <c r="AG82" i="122" l="1"/>
  <c r="AB82" i="122"/>
  <c r="AU82" i="122" s="1"/>
  <c r="AA81" i="122"/>
  <c r="AB81" i="122" s="1"/>
  <c r="AU81" i="122" s="1"/>
  <c r="AU83" i="122"/>
  <c r="AG83" i="122"/>
  <c r="AG81" i="122"/>
  <c r="AU84" i="122"/>
  <c r="AG84" i="122"/>
  <c r="AU86" i="122"/>
  <c r="AG86" i="122"/>
  <c r="AA80" i="122"/>
  <c r="AB80" i="122" s="1"/>
  <c r="AU85" i="122"/>
  <c r="AG85" i="122"/>
  <c r="DG129" i="9"/>
  <c r="CG129" i="9"/>
  <c r="CO129" i="9"/>
  <c r="AL124" i="122"/>
  <c r="AM124" i="122"/>
  <c r="AQ124" i="122"/>
  <c r="GV128" i="9"/>
  <c r="GU128" i="9"/>
  <c r="CR4" i="14"/>
  <c r="CQ4" i="14"/>
  <c r="I33" i="124"/>
  <c r="Y25" i="124"/>
  <c r="BD24" i="124"/>
  <c r="C24" i="124"/>
  <c r="BD23" i="124"/>
  <c r="C23" i="124"/>
  <c r="BD22" i="124"/>
  <c r="C22" i="124"/>
  <c r="BD21" i="124"/>
  <c r="C21" i="124"/>
  <c r="BD20" i="124"/>
  <c r="C20" i="124"/>
  <c r="BD19" i="124"/>
  <c r="C19" i="124"/>
  <c r="BD18" i="124"/>
  <c r="C18" i="124"/>
  <c r="BD17" i="124"/>
  <c r="C17" i="124"/>
  <c r="BD16" i="124"/>
  <c r="C16" i="124"/>
  <c r="BD15" i="124"/>
  <c r="BD14" i="124"/>
  <c r="C14" i="124"/>
  <c r="BD13" i="124"/>
  <c r="C13" i="124"/>
  <c r="BD12" i="124"/>
  <c r="C12" i="124"/>
  <c r="BD11" i="124"/>
  <c r="C11" i="124"/>
  <c r="BD10" i="124"/>
  <c r="C10" i="124"/>
  <c r="BD9" i="124"/>
  <c r="BD8" i="124"/>
  <c r="C8" i="124"/>
  <c r="BD7" i="124"/>
  <c r="C7" i="124"/>
  <c r="BD6" i="124"/>
  <c r="C6" i="124"/>
  <c r="BD5" i="124"/>
  <c r="BA2" i="124"/>
  <c r="AZ2" i="124"/>
  <c r="AY2" i="124"/>
  <c r="AX2" i="124"/>
  <c r="AW2" i="124"/>
  <c r="AV2" i="124"/>
  <c r="AU2" i="124"/>
  <c r="AT2" i="124"/>
  <c r="AS2" i="124"/>
  <c r="AR2" i="124"/>
  <c r="AQ2" i="124"/>
  <c r="AP2" i="124"/>
  <c r="CI1" i="124"/>
  <c r="BU1" i="124"/>
  <c r="BQ1" i="124"/>
  <c r="BL1" i="124"/>
  <c r="IG128" i="9"/>
  <c r="IE128" i="9"/>
  <c r="IA128" i="9"/>
  <c r="W123" i="122"/>
  <c r="AU128" i="9"/>
  <c r="BP128" i="9"/>
  <c r="BO128" i="9"/>
  <c r="BT128" i="9"/>
  <c r="BR128" i="9"/>
  <c r="AD128" i="9"/>
  <c r="T128" i="9"/>
  <c r="AF129" i="9"/>
  <c r="CH129" i="9" s="1"/>
  <c r="R128" i="9"/>
  <c r="O128" i="9"/>
  <c r="N128" i="9"/>
  <c r="P128" i="9" s="1"/>
  <c r="G9" i="122"/>
  <c r="G10" i="122"/>
  <c r="G11" i="122"/>
  <c r="G12" i="122"/>
  <c r="G13" i="122"/>
  <c r="G14" i="122"/>
  <c r="G15" i="122"/>
  <c r="G16" i="122"/>
  <c r="G17" i="122"/>
  <c r="G18" i="122"/>
  <c r="G19" i="122"/>
  <c r="G20" i="122"/>
  <c r="G21" i="122"/>
  <c r="G22" i="122"/>
  <c r="G23" i="122"/>
  <c r="G24" i="122"/>
  <c r="G25" i="122"/>
  <c r="G26" i="122"/>
  <c r="G27" i="122"/>
  <c r="G28" i="122"/>
  <c r="G29" i="122"/>
  <c r="G30" i="122"/>
  <c r="G31" i="122"/>
  <c r="G32" i="122"/>
  <c r="G33" i="122"/>
  <c r="G34" i="122"/>
  <c r="G35" i="122"/>
  <c r="G36" i="122"/>
  <c r="G37" i="122"/>
  <c r="G38" i="122"/>
  <c r="G39" i="122"/>
  <c r="G40" i="122"/>
  <c r="G41" i="122"/>
  <c r="G42" i="122"/>
  <c r="G43" i="122"/>
  <c r="G44" i="122"/>
  <c r="G45" i="122"/>
  <c r="G46" i="122"/>
  <c r="G47" i="122"/>
  <c r="G48" i="122"/>
  <c r="G49" i="122"/>
  <c r="G50" i="122"/>
  <c r="G51" i="122"/>
  <c r="G52" i="122"/>
  <c r="G53" i="122"/>
  <c r="G54" i="122"/>
  <c r="G55" i="122"/>
  <c r="G56" i="122"/>
  <c r="G57" i="122"/>
  <c r="G58" i="122"/>
  <c r="G59" i="122"/>
  <c r="G60" i="122"/>
  <c r="G61" i="122"/>
  <c r="G62" i="122"/>
  <c r="G63" i="122"/>
  <c r="G64" i="122"/>
  <c r="G65" i="122"/>
  <c r="G66" i="122"/>
  <c r="G67" i="122"/>
  <c r="G68" i="122"/>
  <c r="G69" i="122"/>
  <c r="G70" i="122"/>
  <c r="G71" i="122"/>
  <c r="G72" i="122"/>
  <c r="G73" i="122"/>
  <c r="G74" i="122"/>
  <c r="G75" i="122"/>
  <c r="G76" i="122"/>
  <c r="G77" i="122"/>
  <c r="G78" i="122"/>
  <c r="G79" i="122"/>
  <c r="G80" i="122"/>
  <c r="G81" i="122"/>
  <c r="G82" i="122"/>
  <c r="G83" i="122"/>
  <c r="G84" i="122"/>
  <c r="G85" i="122"/>
  <c r="G86" i="122"/>
  <c r="G87" i="122"/>
  <c r="G88" i="122"/>
  <c r="G89" i="122"/>
  <c r="G90" i="122"/>
  <c r="G91" i="122"/>
  <c r="G92" i="122"/>
  <c r="G93" i="122"/>
  <c r="G94" i="122"/>
  <c r="G95" i="122"/>
  <c r="G96" i="122"/>
  <c r="G97" i="122"/>
  <c r="G98" i="122"/>
  <c r="G99" i="122"/>
  <c r="G100" i="122"/>
  <c r="G101" i="122"/>
  <c r="G102" i="122"/>
  <c r="G103" i="122"/>
  <c r="G104" i="122"/>
  <c r="G105" i="122"/>
  <c r="G106" i="122"/>
  <c r="G107" i="122"/>
  <c r="G108" i="122"/>
  <c r="G109" i="122"/>
  <c r="G110" i="122"/>
  <c r="G111" i="122"/>
  <c r="G112" i="122"/>
  <c r="G113" i="122"/>
  <c r="G114" i="122"/>
  <c r="G115" i="122"/>
  <c r="G116" i="122"/>
  <c r="G117" i="122"/>
  <c r="G118" i="122"/>
  <c r="G119" i="122"/>
  <c r="G120" i="122"/>
  <c r="G121" i="122"/>
  <c r="G122" i="122"/>
  <c r="G123" i="122"/>
  <c r="G8" i="122"/>
  <c r="F2" i="122"/>
  <c r="L6" i="122"/>
  <c r="L7" i="122"/>
  <c r="L8" i="122"/>
  <c r="L9" i="122"/>
  <c r="L10" i="122"/>
  <c r="L11" i="122"/>
  <c r="L12" i="122"/>
  <c r="L13" i="122"/>
  <c r="L14" i="122"/>
  <c r="L15" i="122"/>
  <c r="L16" i="122"/>
  <c r="L17" i="122"/>
  <c r="L18" i="122"/>
  <c r="L19" i="122"/>
  <c r="L20" i="122"/>
  <c r="L21" i="122"/>
  <c r="L22" i="122"/>
  <c r="L23" i="122"/>
  <c r="L24" i="122"/>
  <c r="L25" i="122"/>
  <c r="L26" i="122"/>
  <c r="L27" i="122"/>
  <c r="L28" i="122"/>
  <c r="L29" i="122"/>
  <c r="L30" i="122"/>
  <c r="L31" i="122"/>
  <c r="L32" i="122"/>
  <c r="L33" i="122"/>
  <c r="L34" i="122"/>
  <c r="L35" i="122"/>
  <c r="L36" i="122"/>
  <c r="L37" i="122"/>
  <c r="L38" i="122"/>
  <c r="L39" i="122"/>
  <c r="L40" i="122"/>
  <c r="L41" i="122"/>
  <c r="L42" i="122"/>
  <c r="L43" i="122"/>
  <c r="L44" i="122"/>
  <c r="L45" i="122"/>
  <c r="L46" i="122"/>
  <c r="L47" i="122"/>
  <c r="L48" i="122"/>
  <c r="L49" i="122"/>
  <c r="L50" i="122"/>
  <c r="L51" i="122"/>
  <c r="L52" i="122"/>
  <c r="L53" i="122"/>
  <c r="L54" i="122"/>
  <c r="L55" i="122"/>
  <c r="L56" i="122"/>
  <c r="L57" i="122"/>
  <c r="L58" i="122"/>
  <c r="L59" i="122"/>
  <c r="L60" i="122"/>
  <c r="L61" i="122"/>
  <c r="L62" i="122"/>
  <c r="L63" i="122"/>
  <c r="L64" i="122"/>
  <c r="L65" i="122"/>
  <c r="L66" i="122"/>
  <c r="L67" i="122"/>
  <c r="L68" i="122"/>
  <c r="L69" i="122"/>
  <c r="L70" i="122"/>
  <c r="L71" i="122"/>
  <c r="L72" i="122"/>
  <c r="L73" i="122"/>
  <c r="L74" i="122"/>
  <c r="L75" i="122"/>
  <c r="L76" i="122"/>
  <c r="L77" i="122"/>
  <c r="L78" i="122"/>
  <c r="L79" i="122"/>
  <c r="L80" i="122"/>
  <c r="L81" i="122"/>
  <c r="L82" i="122"/>
  <c r="L83" i="122"/>
  <c r="L84" i="122"/>
  <c r="L85" i="122"/>
  <c r="L86" i="122"/>
  <c r="L87" i="122"/>
  <c r="L88" i="122"/>
  <c r="L89" i="122"/>
  <c r="L90" i="122"/>
  <c r="L91" i="122"/>
  <c r="L92" i="122"/>
  <c r="L93" i="122"/>
  <c r="L94" i="122"/>
  <c r="L95" i="122"/>
  <c r="L96" i="122"/>
  <c r="L97" i="122"/>
  <c r="L98" i="122"/>
  <c r="L99" i="122"/>
  <c r="L100" i="122"/>
  <c r="L102" i="122"/>
  <c r="L103" i="122"/>
  <c r="L104" i="122"/>
  <c r="L105" i="122"/>
  <c r="L106" i="122"/>
  <c r="L107" i="122"/>
  <c r="L108" i="122"/>
  <c r="L109" i="122"/>
  <c r="L110" i="122"/>
  <c r="L111" i="122"/>
  <c r="L112" i="122"/>
  <c r="L113" i="122"/>
  <c r="L114" i="122"/>
  <c r="L115" i="122"/>
  <c r="L116" i="122"/>
  <c r="L117" i="122"/>
  <c r="L118" i="122"/>
  <c r="L5" i="122"/>
  <c r="N2" i="122"/>
  <c r="J2" i="122"/>
  <c r="H2" i="122"/>
  <c r="AU140" i="122" l="1"/>
  <c r="F131" i="122"/>
  <c r="AN131" i="122" s="1"/>
  <c r="AN144" i="122" s="1"/>
  <c r="F130" i="122"/>
  <c r="AN130" i="122" s="1"/>
  <c r="F129" i="122"/>
  <c r="AN129" i="122" s="1"/>
  <c r="F128" i="122"/>
  <c r="AN128" i="122" s="1"/>
  <c r="F127" i="122"/>
  <c r="AN127" i="122" s="1"/>
  <c r="N131" i="122"/>
  <c r="AR131" i="122" s="1"/>
  <c r="AR144" i="122" s="1"/>
  <c r="N130" i="122"/>
  <c r="AR130" i="122" s="1"/>
  <c r="N129" i="122"/>
  <c r="AR129" i="122" s="1"/>
  <c r="N128" i="122"/>
  <c r="AR128" i="122" s="1"/>
  <c r="N127" i="122"/>
  <c r="AR127" i="122" s="1"/>
  <c r="H131" i="122"/>
  <c r="AO131" i="122" s="1"/>
  <c r="AO144" i="122" s="1"/>
  <c r="H130" i="122"/>
  <c r="AO130" i="122" s="1"/>
  <c r="H129" i="122"/>
  <c r="AO129" i="122" s="1"/>
  <c r="H128" i="122"/>
  <c r="AO128" i="122" s="1"/>
  <c r="H127" i="122"/>
  <c r="AO127" i="122" s="1"/>
  <c r="J131" i="122"/>
  <c r="AP131" i="122" s="1"/>
  <c r="AP144" i="122" s="1"/>
  <c r="J130" i="122"/>
  <c r="AP130" i="122" s="1"/>
  <c r="J129" i="122"/>
  <c r="AP129" i="122" s="1"/>
  <c r="J128" i="122"/>
  <c r="AP128" i="122" s="1"/>
  <c r="J127" i="122"/>
  <c r="AP127" i="122" s="1"/>
  <c r="AS20" i="141"/>
  <c r="AS17" i="141"/>
  <c r="AS23" i="141"/>
  <c r="AS18" i="141"/>
  <c r="AS22" i="141"/>
  <c r="AS19" i="141"/>
  <c r="AS21" i="141"/>
  <c r="AS24" i="141"/>
  <c r="AT17" i="139"/>
  <c r="AT21" i="139"/>
  <c r="AT24" i="139"/>
  <c r="AT20" i="139"/>
  <c r="AT22" i="139"/>
  <c r="AT18" i="139"/>
  <c r="AT19" i="139"/>
  <c r="AT23" i="139"/>
  <c r="AU21" i="137"/>
  <c r="AU20" i="137"/>
  <c r="AU18" i="137"/>
  <c r="AU19" i="137"/>
  <c r="AU17" i="137"/>
  <c r="AU24" i="137"/>
  <c r="AU23" i="137"/>
  <c r="AU22" i="137"/>
  <c r="AV24" i="136"/>
  <c r="AV17" i="136"/>
  <c r="AV21" i="136"/>
  <c r="AV20" i="136"/>
  <c r="AV22" i="136"/>
  <c r="AV19" i="136"/>
  <c r="AV23" i="136"/>
  <c r="AV18" i="136"/>
  <c r="AW21" i="133"/>
  <c r="AW20" i="133"/>
  <c r="AW19" i="133"/>
  <c r="AW24" i="133"/>
  <c r="AW23" i="133"/>
  <c r="AW18" i="133"/>
  <c r="AW17" i="133"/>
  <c r="AW22" i="133"/>
  <c r="AT22" i="141"/>
  <c r="AT17" i="141"/>
  <c r="AT24" i="141"/>
  <c r="AT21" i="141"/>
  <c r="AT18" i="141"/>
  <c r="AT19" i="141"/>
  <c r="AT23" i="141"/>
  <c r="AT20" i="141"/>
  <c r="AU18" i="139"/>
  <c r="AU24" i="139"/>
  <c r="AU23" i="139"/>
  <c r="AU22" i="139"/>
  <c r="AU21" i="139"/>
  <c r="AU20" i="139"/>
  <c r="AU17" i="139"/>
  <c r="AU19" i="139"/>
  <c r="AV20" i="137"/>
  <c r="AV21" i="137"/>
  <c r="AV24" i="137"/>
  <c r="AV23" i="137"/>
  <c r="AV22" i="137"/>
  <c r="AV18" i="137"/>
  <c r="AV17" i="137"/>
  <c r="AV19" i="137"/>
  <c r="AW24" i="136"/>
  <c r="AW18" i="136"/>
  <c r="AW22" i="136"/>
  <c r="AW17" i="136"/>
  <c r="AW23" i="136"/>
  <c r="AW19" i="136"/>
  <c r="AW21" i="136"/>
  <c r="AW20" i="136"/>
  <c r="AX17" i="133"/>
  <c r="AX24" i="133"/>
  <c r="AX19" i="133"/>
  <c r="AX18" i="133"/>
  <c r="AX22" i="133"/>
  <c r="AX23" i="133"/>
  <c r="AX21" i="133"/>
  <c r="AX20" i="133"/>
  <c r="AT7" i="141"/>
  <c r="AT9" i="141"/>
  <c r="AU10" i="139"/>
  <c r="AU14" i="139"/>
  <c r="AU8" i="139"/>
  <c r="AW10" i="136"/>
  <c r="AW15" i="136"/>
  <c r="AT12" i="141"/>
  <c r="AT16" i="141"/>
  <c r="AV6" i="137"/>
  <c r="AV13" i="137"/>
  <c r="AX13" i="133"/>
  <c r="AX7" i="133"/>
  <c r="AX14" i="133"/>
  <c r="AX11" i="133"/>
  <c r="AT15" i="141"/>
  <c r="AU16" i="139"/>
  <c r="AW11" i="136"/>
  <c r="AT6" i="141"/>
  <c r="AV8" i="137"/>
  <c r="AT11" i="141"/>
  <c r="AT8" i="141"/>
  <c r="AU6" i="139"/>
  <c r="AU13" i="139"/>
  <c r="AW13" i="136"/>
  <c r="AW7" i="136"/>
  <c r="AW14" i="136"/>
  <c r="AU12" i="139"/>
  <c r="AU9" i="139"/>
  <c r="AW12" i="136"/>
  <c r="AW16" i="136"/>
  <c r="AT10" i="141"/>
  <c r="AV15" i="137"/>
  <c r="AX8" i="133"/>
  <c r="AU15" i="139"/>
  <c r="AW8" i="136"/>
  <c r="AV10" i="137"/>
  <c r="AX10" i="133"/>
  <c r="AT14" i="141"/>
  <c r="AV12" i="137"/>
  <c r="AV9" i="137"/>
  <c r="AV11" i="137"/>
  <c r="AX12" i="133"/>
  <c r="AX6" i="133"/>
  <c r="AX16" i="133"/>
  <c r="AT13" i="141"/>
  <c r="AU11" i="139"/>
  <c r="AW6" i="136"/>
  <c r="AV7" i="137"/>
  <c r="AV16" i="137"/>
  <c r="AX9" i="133"/>
  <c r="AU7" i="139"/>
  <c r="AW9" i="136"/>
  <c r="AV14" i="137"/>
  <c r="AX15" i="133"/>
  <c r="BB145" i="122"/>
  <c r="BC145" i="122" s="1"/>
  <c r="AU148" i="122"/>
  <c r="AY18" i="132"/>
  <c r="AY23" i="132"/>
  <c r="AY19" i="132"/>
  <c r="AY20" i="132"/>
  <c r="AY17" i="132"/>
  <c r="AY21" i="132"/>
  <c r="AY22" i="132"/>
  <c r="AY24" i="132"/>
  <c r="AY15" i="132"/>
  <c r="AY13" i="132"/>
  <c r="AY12" i="132"/>
  <c r="AY16" i="132"/>
  <c r="AY11" i="132"/>
  <c r="AY9" i="132"/>
  <c r="AY14" i="132"/>
  <c r="AY8" i="132"/>
  <c r="AY7" i="132"/>
  <c r="AY10" i="132"/>
  <c r="AY6" i="132"/>
  <c r="AX17" i="132"/>
  <c r="AX20" i="132"/>
  <c r="AX24" i="132"/>
  <c r="AX18" i="132"/>
  <c r="AX22" i="132"/>
  <c r="AX23" i="132"/>
  <c r="AX21" i="132"/>
  <c r="AX19" i="132"/>
  <c r="H124" i="122"/>
  <c r="AO124" i="122" s="1"/>
  <c r="H126" i="122"/>
  <c r="AO126" i="122" s="1"/>
  <c r="H125" i="122"/>
  <c r="AO125" i="122" s="1"/>
  <c r="J124" i="122"/>
  <c r="AP124" i="122" s="1"/>
  <c r="J126" i="122"/>
  <c r="AP126" i="122" s="1"/>
  <c r="J125" i="122"/>
  <c r="AP125" i="122" s="1"/>
  <c r="N126" i="122"/>
  <c r="AR126" i="122" s="1"/>
  <c r="N125" i="122"/>
  <c r="AR125" i="122" s="1"/>
  <c r="F126" i="122"/>
  <c r="AN126" i="122" s="1"/>
  <c r="F125" i="122"/>
  <c r="AN125" i="122" s="1"/>
  <c r="X123" i="122"/>
  <c r="AZ18" i="131"/>
  <c r="AZ21" i="131"/>
  <c r="AZ17" i="131"/>
  <c r="AZ23" i="131"/>
  <c r="AZ24" i="131"/>
  <c r="AZ22" i="131"/>
  <c r="AZ20" i="131"/>
  <c r="AZ19" i="131"/>
  <c r="AZ16" i="131"/>
  <c r="AZ10" i="131"/>
  <c r="AZ12" i="131"/>
  <c r="AZ15" i="131"/>
  <c r="AZ9" i="131"/>
  <c r="AZ24" i="125"/>
  <c r="AZ19" i="125"/>
  <c r="AZ13" i="131"/>
  <c r="AZ21" i="125"/>
  <c r="AZ6" i="131"/>
  <c r="AZ23" i="125"/>
  <c r="AZ8" i="131"/>
  <c r="AZ22" i="125"/>
  <c r="AZ14" i="131"/>
  <c r="AZ20" i="125"/>
  <c r="AZ11" i="131"/>
  <c r="AZ18" i="125"/>
  <c r="AZ7" i="131"/>
  <c r="AZ17" i="125"/>
  <c r="BA19" i="131"/>
  <c r="BA23" i="131"/>
  <c r="BA22" i="131"/>
  <c r="BA21" i="131"/>
  <c r="BA24" i="131"/>
  <c r="BA17" i="131"/>
  <c r="BA20" i="131"/>
  <c r="BA18" i="131"/>
  <c r="BA9" i="131"/>
  <c r="BA10" i="131"/>
  <c r="BA13" i="131"/>
  <c r="BA11" i="131"/>
  <c r="BA7" i="131"/>
  <c r="BA15" i="131"/>
  <c r="BA14" i="131"/>
  <c r="BA16" i="131"/>
  <c r="BA6" i="131"/>
  <c r="BA8" i="131"/>
  <c r="BA12" i="131"/>
  <c r="BA18" i="125"/>
  <c r="BA20" i="125"/>
  <c r="BA23" i="125"/>
  <c r="BA19" i="125"/>
  <c r="BA9" i="125"/>
  <c r="BA22" i="125"/>
  <c r="BA11" i="125"/>
  <c r="BA24" i="125"/>
  <c r="BA8" i="125"/>
  <c r="BA7" i="125"/>
  <c r="BA15" i="125"/>
  <c r="BA16" i="125"/>
  <c r="BA14" i="125"/>
  <c r="BA13" i="125"/>
  <c r="BA17" i="125"/>
  <c r="BA6" i="125"/>
  <c r="BA12" i="125"/>
  <c r="BA21" i="125"/>
  <c r="BA10" i="125"/>
  <c r="BA10" i="124"/>
  <c r="AU80" i="122"/>
  <c r="AG80" i="122"/>
  <c r="L123" i="122"/>
  <c r="II128" i="9"/>
  <c r="BQ128" i="9"/>
  <c r="N15" i="122"/>
  <c r="N124" i="122"/>
  <c r="AR124" i="122" s="1"/>
  <c r="BA8" i="124"/>
  <c r="BA12" i="124"/>
  <c r="BA9" i="124"/>
  <c r="A29" i="124"/>
  <c r="A30" i="124"/>
  <c r="BA24" i="124"/>
  <c r="BA23" i="124"/>
  <c r="BA22" i="124"/>
  <c r="BA17" i="124"/>
  <c r="BA20" i="124"/>
  <c r="BA16" i="124"/>
  <c r="BA21" i="124"/>
  <c r="BA18" i="124"/>
  <c r="BA19" i="124"/>
  <c r="BA14" i="124"/>
  <c r="BA15" i="124"/>
  <c r="BA13" i="124"/>
  <c r="BA11" i="124"/>
  <c r="BA6" i="124"/>
  <c r="BA7" i="124"/>
  <c r="F123" i="122"/>
  <c r="AN123" i="122" s="1"/>
  <c r="N95" i="122"/>
  <c r="N81" i="122"/>
  <c r="N48" i="122"/>
  <c r="N47" i="122"/>
  <c r="N33" i="122"/>
  <c r="N113" i="122"/>
  <c r="N79" i="122"/>
  <c r="N32" i="122"/>
  <c r="N112" i="122"/>
  <c r="N65" i="122"/>
  <c r="N31" i="122"/>
  <c r="N111" i="122"/>
  <c r="N63" i="122"/>
  <c r="N16" i="122"/>
  <c r="N80" i="122"/>
  <c r="N64" i="122"/>
  <c r="N17" i="122"/>
  <c r="N96" i="122"/>
  <c r="N49" i="122"/>
  <c r="N10" i="122"/>
  <c r="N18" i="122"/>
  <c r="N26" i="122"/>
  <c r="N34" i="122"/>
  <c r="N42" i="122"/>
  <c r="N50" i="122"/>
  <c r="N58" i="122"/>
  <c r="N66" i="122"/>
  <c r="N74" i="122"/>
  <c r="N82" i="122"/>
  <c r="N90" i="122"/>
  <c r="N98" i="122"/>
  <c r="N106" i="122"/>
  <c r="N114" i="122"/>
  <c r="N122" i="122"/>
  <c r="N11" i="122"/>
  <c r="N19" i="122"/>
  <c r="N27" i="122"/>
  <c r="N35" i="122"/>
  <c r="N43" i="122"/>
  <c r="N51" i="122"/>
  <c r="N59" i="122"/>
  <c r="N67" i="122"/>
  <c r="N75" i="122"/>
  <c r="N83" i="122"/>
  <c r="N99" i="122"/>
  <c r="N107" i="122"/>
  <c r="N115" i="122"/>
  <c r="N123" i="122"/>
  <c r="N12" i="122"/>
  <c r="N20" i="122"/>
  <c r="N28" i="122"/>
  <c r="N36" i="122"/>
  <c r="N44" i="122"/>
  <c r="N52" i="122"/>
  <c r="N60" i="122"/>
  <c r="N68" i="122"/>
  <c r="N76" i="122"/>
  <c r="N84" i="122"/>
  <c r="N92" i="122"/>
  <c r="N100" i="122"/>
  <c r="N108" i="122"/>
  <c r="N116" i="122"/>
  <c r="N13" i="122"/>
  <c r="N21" i="122"/>
  <c r="N29" i="122"/>
  <c r="N37" i="122"/>
  <c r="N45" i="122"/>
  <c r="N53" i="122"/>
  <c r="N61" i="122"/>
  <c r="N69" i="122"/>
  <c r="N77" i="122"/>
  <c r="N85" i="122"/>
  <c r="N93" i="122"/>
  <c r="N101" i="122"/>
  <c r="N109" i="122"/>
  <c r="N117" i="122"/>
  <c r="N5" i="122"/>
  <c r="N78" i="122"/>
  <c r="N30" i="122"/>
  <c r="N105" i="122"/>
  <c r="N73" i="122"/>
  <c r="N25" i="122"/>
  <c r="N120" i="122"/>
  <c r="N104" i="122"/>
  <c r="N88" i="122"/>
  <c r="N72" i="122"/>
  <c r="N56" i="122"/>
  <c r="N40" i="122"/>
  <c r="N24" i="122"/>
  <c r="N8" i="122"/>
  <c r="N110" i="122"/>
  <c r="N62" i="122"/>
  <c r="N14" i="122"/>
  <c r="N89" i="122"/>
  <c r="N41" i="122"/>
  <c r="N9" i="122"/>
  <c r="N119" i="122"/>
  <c r="N103" i="122"/>
  <c r="N87" i="122"/>
  <c r="N71" i="122"/>
  <c r="N55" i="122"/>
  <c r="N39" i="122"/>
  <c r="N23" i="122"/>
  <c r="N7" i="122"/>
  <c r="N46" i="122"/>
  <c r="N121" i="122"/>
  <c r="N57" i="122"/>
  <c r="N118" i="122"/>
  <c r="N102" i="122"/>
  <c r="N86" i="122"/>
  <c r="N70" i="122"/>
  <c r="N54" i="122"/>
  <c r="N38" i="122"/>
  <c r="N22" i="122"/>
  <c r="N6" i="122"/>
  <c r="AZ138" i="122" l="1"/>
  <c r="AB123" i="122"/>
  <c r="AU123" i="122" s="1"/>
  <c r="BD145" i="122"/>
  <c r="AZ139" i="122"/>
  <c r="AZ140" i="122"/>
  <c r="AZ142" i="122"/>
  <c r="O73" i="122"/>
  <c r="AR73" i="122" s="1"/>
  <c r="O74" i="122"/>
  <c r="AR74" i="122" s="1"/>
  <c r="O75" i="122"/>
  <c r="AR75" i="122" s="1"/>
  <c r="O76" i="122"/>
  <c r="AR76" i="122" s="1"/>
  <c r="O77" i="122"/>
  <c r="AR77" i="122" s="1"/>
  <c r="O78" i="122"/>
  <c r="AR78" i="122" s="1"/>
  <c r="O79" i="122"/>
  <c r="AR79" i="122" s="1"/>
  <c r="O80" i="122"/>
  <c r="AR80" i="122" s="1"/>
  <c r="O81" i="122"/>
  <c r="AR81" i="122" s="1"/>
  <c r="O82" i="122"/>
  <c r="AR82" i="122" s="1"/>
  <c r="O83" i="122"/>
  <c r="AR83" i="122" s="1"/>
  <c r="O84" i="122"/>
  <c r="AR84" i="122" s="1"/>
  <c r="O85" i="122"/>
  <c r="AR85" i="122" s="1"/>
  <c r="O86" i="122"/>
  <c r="AR86" i="122" s="1"/>
  <c r="O87" i="122"/>
  <c r="AR87" i="122" s="1"/>
  <c r="O88" i="122"/>
  <c r="AR88" i="122" s="1"/>
  <c r="O89" i="122"/>
  <c r="AR89" i="122" s="1"/>
  <c r="O90" i="122"/>
  <c r="AR90" i="122" s="1"/>
  <c r="O91" i="122"/>
  <c r="O92" i="122"/>
  <c r="AR92" i="122" s="1"/>
  <c r="O93" i="122"/>
  <c r="AR93" i="122" s="1"/>
  <c r="O94" i="122"/>
  <c r="O95" i="122"/>
  <c r="AR95" i="122" s="1"/>
  <c r="O96" i="122"/>
  <c r="AR96" i="122" s="1"/>
  <c r="O97" i="122"/>
  <c r="O98" i="122"/>
  <c r="AR98" i="122" s="1"/>
  <c r="O99" i="122"/>
  <c r="AR99" i="122" s="1"/>
  <c r="O100" i="122"/>
  <c r="AR100" i="122" s="1"/>
  <c r="O101" i="122"/>
  <c r="AR101" i="122" s="1"/>
  <c r="O102" i="122"/>
  <c r="AR102" i="122" s="1"/>
  <c r="O103" i="122"/>
  <c r="AR103" i="122" s="1"/>
  <c r="O104" i="122"/>
  <c r="AR104" i="122" s="1"/>
  <c r="O105" i="122"/>
  <c r="AR105" i="122" s="1"/>
  <c r="O106" i="122"/>
  <c r="AR106" i="122" s="1"/>
  <c r="O107" i="122"/>
  <c r="AR107" i="122" s="1"/>
  <c r="O108" i="122"/>
  <c r="AR108" i="122" s="1"/>
  <c r="O109" i="122"/>
  <c r="AR109" i="122" s="1"/>
  <c r="O110" i="122"/>
  <c r="AR110" i="122" s="1"/>
  <c r="O111" i="122"/>
  <c r="AR111" i="122" s="1"/>
  <c r="O112" i="122"/>
  <c r="AR112" i="122" s="1"/>
  <c r="O113" i="122"/>
  <c r="AR113" i="122" s="1"/>
  <c r="O114" i="122"/>
  <c r="AR114" i="122" s="1"/>
  <c r="O115" i="122"/>
  <c r="AR115" i="122" s="1"/>
  <c r="O116" i="122"/>
  <c r="AR116" i="122" s="1"/>
  <c r="O117" i="122"/>
  <c r="AR117" i="122" s="1"/>
  <c r="O118" i="122"/>
  <c r="AR118" i="122" s="1"/>
  <c r="O119" i="122"/>
  <c r="AR119" i="122" s="1"/>
  <c r="O120" i="122"/>
  <c r="AR120" i="122" s="1"/>
  <c r="O121" i="122"/>
  <c r="AR121" i="122" s="1"/>
  <c r="O122" i="122"/>
  <c r="AR122" i="122" s="1"/>
  <c r="O123" i="122"/>
  <c r="AR123" i="122" s="1"/>
  <c r="O72" i="122"/>
  <c r="AR72" i="122" s="1"/>
  <c r="AR139" i="122" s="1"/>
  <c r="U116" i="122"/>
  <c r="V116" i="122" s="1"/>
  <c r="U117" i="122"/>
  <c r="V117" i="122" s="1"/>
  <c r="U118" i="122"/>
  <c r="V118" i="122" s="1"/>
  <c r="U119" i="122"/>
  <c r="V119" i="122" s="1"/>
  <c r="U120" i="122"/>
  <c r="V120" i="122" s="1"/>
  <c r="U121" i="122"/>
  <c r="V121" i="122" s="1"/>
  <c r="U122" i="122"/>
  <c r="V122" i="122" s="1"/>
  <c r="U123" i="122"/>
  <c r="V123" i="122" s="1"/>
  <c r="U115" i="122"/>
  <c r="V115" i="122" s="1"/>
  <c r="U8" i="122"/>
  <c r="V8" i="122" s="1"/>
  <c r="U9" i="122"/>
  <c r="V9" i="122" s="1"/>
  <c r="U10" i="122"/>
  <c r="V10" i="122" s="1"/>
  <c r="U11" i="122"/>
  <c r="V11" i="122" s="1"/>
  <c r="U12" i="122"/>
  <c r="V12" i="122" s="1"/>
  <c r="U13" i="122"/>
  <c r="V13" i="122" s="1"/>
  <c r="U14" i="122"/>
  <c r="V14" i="122" s="1"/>
  <c r="U15" i="122"/>
  <c r="V15" i="122" s="1"/>
  <c r="U16" i="122"/>
  <c r="V16" i="122" s="1"/>
  <c r="U17" i="122"/>
  <c r="V17" i="122" s="1"/>
  <c r="U18" i="122"/>
  <c r="V18" i="122" s="1"/>
  <c r="U19" i="122"/>
  <c r="V19" i="122" s="1"/>
  <c r="U20" i="122"/>
  <c r="V20" i="122" s="1"/>
  <c r="U21" i="122"/>
  <c r="V21" i="122" s="1"/>
  <c r="U22" i="122"/>
  <c r="V22" i="122" s="1"/>
  <c r="U23" i="122"/>
  <c r="V23" i="122" s="1"/>
  <c r="U24" i="122"/>
  <c r="V24" i="122" s="1"/>
  <c r="U25" i="122"/>
  <c r="V25" i="122" s="1"/>
  <c r="U26" i="122"/>
  <c r="V26" i="122" s="1"/>
  <c r="U27" i="122"/>
  <c r="V27" i="122" s="1"/>
  <c r="U28" i="122"/>
  <c r="V28" i="122" s="1"/>
  <c r="U29" i="122"/>
  <c r="V29" i="122" s="1"/>
  <c r="U30" i="122"/>
  <c r="V30" i="122" s="1"/>
  <c r="U31" i="122"/>
  <c r="V31" i="122" s="1"/>
  <c r="U32" i="122"/>
  <c r="V32" i="122" s="1"/>
  <c r="U33" i="122"/>
  <c r="V33" i="122" s="1"/>
  <c r="U34" i="122"/>
  <c r="V34" i="122" s="1"/>
  <c r="U35" i="122"/>
  <c r="V35" i="122" s="1"/>
  <c r="U36" i="122"/>
  <c r="V36" i="122" s="1"/>
  <c r="U37" i="122"/>
  <c r="V37" i="122" s="1"/>
  <c r="U38" i="122"/>
  <c r="V38" i="122" s="1"/>
  <c r="U39" i="122"/>
  <c r="V39" i="122" s="1"/>
  <c r="U40" i="122"/>
  <c r="V40" i="122" s="1"/>
  <c r="U41" i="122"/>
  <c r="V41" i="122" s="1"/>
  <c r="U42" i="122"/>
  <c r="V42" i="122" s="1"/>
  <c r="U43" i="122"/>
  <c r="V43" i="122" s="1"/>
  <c r="U44" i="122"/>
  <c r="V44" i="122" s="1"/>
  <c r="U45" i="122"/>
  <c r="V45" i="122" s="1"/>
  <c r="U46" i="122"/>
  <c r="V46" i="122" s="1"/>
  <c r="U47" i="122"/>
  <c r="V47" i="122" s="1"/>
  <c r="U48" i="122"/>
  <c r="V48" i="122" s="1"/>
  <c r="U49" i="122"/>
  <c r="V49" i="122" s="1"/>
  <c r="U50" i="122"/>
  <c r="V50" i="122" s="1"/>
  <c r="U51" i="122"/>
  <c r="V51" i="122" s="1"/>
  <c r="U52" i="122"/>
  <c r="V52" i="122" s="1"/>
  <c r="U53" i="122"/>
  <c r="V53" i="122" s="1"/>
  <c r="U54" i="122"/>
  <c r="V54" i="122" s="1"/>
  <c r="U55" i="122"/>
  <c r="V55" i="122" s="1"/>
  <c r="U56" i="122"/>
  <c r="V56" i="122" s="1"/>
  <c r="U57" i="122"/>
  <c r="V57" i="122" s="1"/>
  <c r="U58" i="122"/>
  <c r="V58" i="122" s="1"/>
  <c r="U59" i="122"/>
  <c r="V59" i="122" s="1"/>
  <c r="U60" i="122"/>
  <c r="V60" i="122" s="1"/>
  <c r="U61" i="122"/>
  <c r="V61" i="122" s="1"/>
  <c r="U62" i="122"/>
  <c r="V62" i="122" s="1"/>
  <c r="U63" i="122"/>
  <c r="V63" i="122" s="1"/>
  <c r="U64" i="122"/>
  <c r="V64" i="122" s="1"/>
  <c r="U65" i="122"/>
  <c r="V65" i="122" s="1"/>
  <c r="U66" i="122"/>
  <c r="V66" i="122" s="1"/>
  <c r="U67" i="122"/>
  <c r="V67" i="122" s="1"/>
  <c r="U68" i="122"/>
  <c r="V68" i="122" s="1"/>
  <c r="U69" i="122"/>
  <c r="V69" i="122" s="1"/>
  <c r="U70" i="122"/>
  <c r="V70" i="122" s="1"/>
  <c r="U71" i="122"/>
  <c r="V71" i="122" s="1"/>
  <c r="U72" i="122"/>
  <c r="V72" i="122" s="1"/>
  <c r="U73" i="122"/>
  <c r="V73" i="122" s="1"/>
  <c r="U74" i="122"/>
  <c r="V74" i="122" s="1"/>
  <c r="U75" i="122"/>
  <c r="V75" i="122" s="1"/>
  <c r="U76" i="122"/>
  <c r="V76" i="122" s="1"/>
  <c r="U77" i="122"/>
  <c r="V77" i="122" s="1"/>
  <c r="U78" i="122"/>
  <c r="V78" i="122" s="1"/>
  <c r="U79" i="122"/>
  <c r="V79" i="122" s="1"/>
  <c r="U80" i="122"/>
  <c r="V80" i="122" s="1"/>
  <c r="U81" i="122"/>
  <c r="V81" i="122" s="1"/>
  <c r="U82" i="122"/>
  <c r="V82" i="122" s="1"/>
  <c r="U83" i="122"/>
  <c r="V83" i="122" s="1"/>
  <c r="U84" i="122"/>
  <c r="V84" i="122" s="1"/>
  <c r="U85" i="122"/>
  <c r="V85" i="122" s="1"/>
  <c r="U86" i="122"/>
  <c r="V86" i="122" s="1"/>
  <c r="U87" i="122"/>
  <c r="V87" i="122" s="1"/>
  <c r="U88" i="122"/>
  <c r="V88" i="122" s="1"/>
  <c r="U89" i="122"/>
  <c r="V89" i="122" s="1"/>
  <c r="U90" i="122"/>
  <c r="V90" i="122" s="1"/>
  <c r="U91" i="122"/>
  <c r="V91" i="122" s="1"/>
  <c r="U92" i="122"/>
  <c r="V92" i="122" s="1"/>
  <c r="U93" i="122"/>
  <c r="V93" i="122" s="1"/>
  <c r="U94" i="122"/>
  <c r="V94" i="122" s="1"/>
  <c r="U95" i="122"/>
  <c r="V95" i="122" s="1"/>
  <c r="U96" i="122"/>
  <c r="V96" i="122" s="1"/>
  <c r="U97" i="122"/>
  <c r="V97" i="122" s="1"/>
  <c r="U98" i="122"/>
  <c r="V98" i="122" s="1"/>
  <c r="U99" i="122"/>
  <c r="V99" i="122" s="1"/>
  <c r="U100" i="122"/>
  <c r="V100" i="122" s="1"/>
  <c r="U101" i="122"/>
  <c r="V101" i="122" s="1"/>
  <c r="U102" i="122"/>
  <c r="V102" i="122" s="1"/>
  <c r="U103" i="122"/>
  <c r="V103" i="122" s="1"/>
  <c r="U104" i="122"/>
  <c r="V104" i="122" s="1"/>
  <c r="U105" i="122"/>
  <c r="V105" i="122" s="1"/>
  <c r="U106" i="122"/>
  <c r="V106" i="122" s="1"/>
  <c r="U107" i="122"/>
  <c r="V107" i="122" s="1"/>
  <c r="U108" i="122"/>
  <c r="V108" i="122" s="1"/>
  <c r="U109" i="122"/>
  <c r="V109" i="122" s="1"/>
  <c r="U110" i="122"/>
  <c r="V110" i="122" s="1"/>
  <c r="U111" i="122"/>
  <c r="V111" i="122" s="1"/>
  <c r="U112" i="122"/>
  <c r="V112" i="122" s="1"/>
  <c r="U113" i="122"/>
  <c r="V113" i="122" s="1"/>
  <c r="U114" i="122"/>
  <c r="V114" i="122" s="1"/>
  <c r="R6" i="122"/>
  <c r="R7" i="122"/>
  <c r="R8" i="122"/>
  <c r="R9" i="122"/>
  <c r="R10" i="122"/>
  <c r="R11" i="122"/>
  <c r="R12" i="122"/>
  <c r="R13" i="122"/>
  <c r="R14" i="122"/>
  <c r="R15" i="122"/>
  <c r="R16" i="122"/>
  <c r="R17" i="122"/>
  <c r="R18" i="122"/>
  <c r="R19" i="122"/>
  <c r="R20" i="122"/>
  <c r="R21" i="122"/>
  <c r="R22" i="122"/>
  <c r="R23" i="122"/>
  <c r="R24" i="122"/>
  <c r="R25" i="122"/>
  <c r="R26" i="122"/>
  <c r="R27" i="122"/>
  <c r="R28" i="122"/>
  <c r="R29" i="122"/>
  <c r="R30" i="122"/>
  <c r="R31" i="122"/>
  <c r="R32" i="122"/>
  <c r="R33" i="122"/>
  <c r="R34" i="122"/>
  <c r="R35" i="122"/>
  <c r="R36" i="122"/>
  <c r="R37" i="122"/>
  <c r="R38" i="122"/>
  <c r="R39" i="122"/>
  <c r="R40" i="122"/>
  <c r="R41" i="122"/>
  <c r="R42" i="122"/>
  <c r="R43" i="122"/>
  <c r="R44" i="122"/>
  <c r="R45" i="122"/>
  <c r="R46" i="122"/>
  <c r="R47" i="122"/>
  <c r="R48" i="122"/>
  <c r="R49" i="122"/>
  <c r="R50" i="122"/>
  <c r="R51" i="122"/>
  <c r="R52" i="122"/>
  <c r="R53" i="122"/>
  <c r="R54" i="122"/>
  <c r="R55" i="122"/>
  <c r="R56" i="122"/>
  <c r="R57" i="122"/>
  <c r="R58" i="122"/>
  <c r="R59" i="122"/>
  <c r="R60" i="122"/>
  <c r="R61" i="122"/>
  <c r="R62" i="122"/>
  <c r="R63" i="122"/>
  <c r="R64" i="122"/>
  <c r="R65" i="122"/>
  <c r="R66" i="122"/>
  <c r="R67" i="122"/>
  <c r="R68" i="122"/>
  <c r="R69" i="122"/>
  <c r="R70" i="122"/>
  <c r="R71" i="122"/>
  <c r="R72" i="122"/>
  <c r="R73" i="122"/>
  <c r="R74" i="122"/>
  <c r="R75" i="122"/>
  <c r="R76" i="122"/>
  <c r="R77" i="122"/>
  <c r="R78" i="122"/>
  <c r="R79" i="122"/>
  <c r="R80" i="122"/>
  <c r="R81" i="122"/>
  <c r="R82" i="122"/>
  <c r="R83" i="122"/>
  <c r="R84" i="122"/>
  <c r="R85" i="122"/>
  <c r="R86" i="122"/>
  <c r="R87" i="122"/>
  <c r="R88" i="122"/>
  <c r="R89" i="122"/>
  <c r="R90" i="122"/>
  <c r="R91" i="122"/>
  <c r="R92" i="122"/>
  <c r="R93" i="122"/>
  <c r="R94" i="122"/>
  <c r="R95" i="122"/>
  <c r="R96" i="122"/>
  <c r="R97" i="122"/>
  <c r="R98" i="122"/>
  <c r="R99" i="122"/>
  <c r="R100" i="122"/>
  <c r="R101" i="122"/>
  <c r="R102" i="122"/>
  <c r="R103" i="122"/>
  <c r="R104" i="122"/>
  <c r="R105" i="122"/>
  <c r="R106" i="122"/>
  <c r="R107" i="122"/>
  <c r="R108" i="122"/>
  <c r="R109" i="122"/>
  <c r="R110" i="122"/>
  <c r="R111" i="122"/>
  <c r="R112" i="122"/>
  <c r="R113" i="122"/>
  <c r="R114" i="122"/>
  <c r="R115" i="122"/>
  <c r="R116" i="122"/>
  <c r="R117" i="122"/>
  <c r="R118" i="122"/>
  <c r="R119" i="122"/>
  <c r="R120" i="122"/>
  <c r="R121" i="122"/>
  <c r="R122" i="122"/>
  <c r="R123" i="122"/>
  <c r="R5" i="122"/>
  <c r="Q9" i="122"/>
  <c r="Q10" i="122"/>
  <c r="Q11" i="122"/>
  <c r="Q12" i="122"/>
  <c r="Q13" i="122"/>
  <c r="Q14" i="122"/>
  <c r="Q15" i="122"/>
  <c r="Q16" i="122"/>
  <c r="Q17" i="122"/>
  <c r="Q18" i="122"/>
  <c r="Q19" i="122"/>
  <c r="Q20" i="122"/>
  <c r="Q21" i="122"/>
  <c r="Q22" i="122"/>
  <c r="Q23" i="122"/>
  <c r="Q24" i="122"/>
  <c r="Q25" i="122"/>
  <c r="Q26" i="122"/>
  <c r="Q27" i="122"/>
  <c r="Q28" i="122"/>
  <c r="Q29" i="122"/>
  <c r="Q30" i="122"/>
  <c r="Q31" i="122"/>
  <c r="Q32" i="122"/>
  <c r="Q33" i="122"/>
  <c r="Q34" i="122"/>
  <c r="Q35" i="122"/>
  <c r="Q36" i="122"/>
  <c r="Q37" i="122"/>
  <c r="Q38" i="122"/>
  <c r="Q39" i="122"/>
  <c r="Q40" i="122"/>
  <c r="Q41" i="122"/>
  <c r="Q42" i="122"/>
  <c r="Q43" i="122"/>
  <c r="Q44" i="122"/>
  <c r="Q45" i="122"/>
  <c r="Q46" i="122"/>
  <c r="Q47" i="122"/>
  <c r="Q48" i="122"/>
  <c r="Q49" i="122"/>
  <c r="Q50" i="122"/>
  <c r="Q51" i="122"/>
  <c r="Q52" i="122"/>
  <c r="Q53" i="122"/>
  <c r="Q54" i="122"/>
  <c r="Q55" i="122"/>
  <c r="Q56" i="122"/>
  <c r="Q57" i="122"/>
  <c r="Q58" i="122"/>
  <c r="Q59" i="122"/>
  <c r="Q60" i="122"/>
  <c r="Q61" i="122"/>
  <c r="Q62" i="122"/>
  <c r="Q63" i="122"/>
  <c r="Q64" i="122"/>
  <c r="Q65" i="122"/>
  <c r="Q66" i="122"/>
  <c r="Q67" i="122"/>
  <c r="Q68" i="122"/>
  <c r="Q69" i="122"/>
  <c r="Q70" i="122"/>
  <c r="Q71" i="122"/>
  <c r="Q72" i="122"/>
  <c r="Q73" i="122"/>
  <c r="Q74" i="122"/>
  <c r="Q75" i="122"/>
  <c r="Q76" i="122"/>
  <c r="Q77" i="122"/>
  <c r="Q78" i="122"/>
  <c r="Q79" i="122"/>
  <c r="Q80" i="122"/>
  <c r="Q81" i="122"/>
  <c r="Q82" i="122"/>
  <c r="Q83" i="122"/>
  <c r="Q84" i="122"/>
  <c r="Q85" i="122"/>
  <c r="Q86" i="122"/>
  <c r="Q87" i="122"/>
  <c r="Q88" i="122"/>
  <c r="Q89" i="122"/>
  <c r="Q90" i="122"/>
  <c r="Q91" i="122"/>
  <c r="Q92" i="122"/>
  <c r="Q93" i="122"/>
  <c r="Q94" i="122"/>
  <c r="Q95" i="122"/>
  <c r="Q96" i="122"/>
  <c r="Q97" i="122"/>
  <c r="Q98" i="122"/>
  <c r="Q99" i="122"/>
  <c r="Q100" i="122"/>
  <c r="Q101" i="122"/>
  <c r="Q102" i="122"/>
  <c r="Q103" i="122"/>
  <c r="Q104" i="122"/>
  <c r="Q105" i="122"/>
  <c r="Q106" i="122"/>
  <c r="Q107" i="122"/>
  <c r="Q108" i="122"/>
  <c r="Q109" i="122"/>
  <c r="Q110" i="122"/>
  <c r="Q111" i="122"/>
  <c r="Q112" i="122"/>
  <c r="Q113" i="122"/>
  <c r="Q114" i="122"/>
  <c r="Q115" i="122"/>
  <c r="Q116" i="122"/>
  <c r="Q117" i="122"/>
  <c r="Q118" i="122"/>
  <c r="Q119" i="122"/>
  <c r="Q120" i="122"/>
  <c r="Q121" i="122"/>
  <c r="Q122" i="122"/>
  <c r="Q123" i="122"/>
  <c r="Q8" i="122"/>
  <c r="P9" i="122"/>
  <c r="P10" i="122"/>
  <c r="P11" i="122"/>
  <c r="P12" i="122"/>
  <c r="P13" i="122"/>
  <c r="P14" i="122"/>
  <c r="P15" i="122"/>
  <c r="P16" i="122"/>
  <c r="P17" i="122"/>
  <c r="P18" i="122"/>
  <c r="P19" i="122"/>
  <c r="P20" i="122"/>
  <c r="P21" i="122"/>
  <c r="P22" i="122"/>
  <c r="P23" i="122"/>
  <c r="P24" i="122"/>
  <c r="P25" i="122"/>
  <c r="P26" i="122"/>
  <c r="P27" i="122"/>
  <c r="P28" i="122"/>
  <c r="P29" i="122"/>
  <c r="P30" i="122"/>
  <c r="P31" i="122"/>
  <c r="P32" i="122"/>
  <c r="P33" i="122"/>
  <c r="P34" i="122"/>
  <c r="P35" i="122"/>
  <c r="P36" i="122"/>
  <c r="P37" i="122"/>
  <c r="P38" i="122"/>
  <c r="P39" i="122"/>
  <c r="P40" i="122"/>
  <c r="P41" i="122"/>
  <c r="P42" i="122"/>
  <c r="P43" i="122"/>
  <c r="P44" i="122"/>
  <c r="P45" i="122"/>
  <c r="P46" i="122"/>
  <c r="P47" i="122"/>
  <c r="P48" i="122"/>
  <c r="P49" i="122"/>
  <c r="P50" i="122"/>
  <c r="P51" i="122"/>
  <c r="P52" i="122"/>
  <c r="P53" i="122"/>
  <c r="P54" i="122"/>
  <c r="P55" i="122"/>
  <c r="P56" i="122"/>
  <c r="P57" i="122"/>
  <c r="P58" i="122"/>
  <c r="P59" i="122"/>
  <c r="P60" i="122"/>
  <c r="P61" i="122"/>
  <c r="P62" i="122"/>
  <c r="P63" i="122"/>
  <c r="P64" i="122"/>
  <c r="P65" i="122"/>
  <c r="P66" i="122"/>
  <c r="P67" i="122"/>
  <c r="P68" i="122"/>
  <c r="P69" i="122"/>
  <c r="P70" i="122"/>
  <c r="P71" i="122"/>
  <c r="P72" i="122"/>
  <c r="P73" i="122"/>
  <c r="P75" i="122"/>
  <c r="P76" i="122"/>
  <c r="P77" i="122"/>
  <c r="P78" i="122"/>
  <c r="P79" i="122"/>
  <c r="P80" i="122"/>
  <c r="P81" i="122"/>
  <c r="P82" i="122"/>
  <c r="P83" i="122"/>
  <c r="P84" i="122"/>
  <c r="P85" i="122"/>
  <c r="P86" i="122"/>
  <c r="P87" i="122"/>
  <c r="P88" i="122"/>
  <c r="P89" i="122"/>
  <c r="P90" i="122"/>
  <c r="P91" i="122"/>
  <c r="P92" i="122"/>
  <c r="P93" i="122"/>
  <c r="P94" i="122"/>
  <c r="P95" i="122"/>
  <c r="P96" i="122"/>
  <c r="P97" i="122"/>
  <c r="P98" i="122"/>
  <c r="P99" i="122"/>
  <c r="P100" i="122"/>
  <c r="P101" i="122"/>
  <c r="P102" i="122"/>
  <c r="P103" i="122"/>
  <c r="P104" i="122"/>
  <c r="P106" i="122"/>
  <c r="P107" i="122"/>
  <c r="P108" i="122"/>
  <c r="P109" i="122"/>
  <c r="P110" i="122"/>
  <c r="P111" i="122"/>
  <c r="P112" i="122"/>
  <c r="P113" i="122"/>
  <c r="P114" i="122"/>
  <c r="P115" i="122"/>
  <c r="P116" i="122"/>
  <c r="P120" i="122"/>
  <c r="P121" i="122"/>
  <c r="P122" i="122"/>
  <c r="P123" i="122"/>
  <c r="P6" i="122"/>
  <c r="P7" i="122"/>
  <c r="P8" i="122"/>
  <c r="P5" i="122"/>
  <c r="M6" i="122"/>
  <c r="AQ6" i="122" s="1"/>
  <c r="M7" i="122"/>
  <c r="AQ7" i="122" s="1"/>
  <c r="M8" i="122"/>
  <c r="AQ8" i="122" s="1"/>
  <c r="M9" i="122"/>
  <c r="AQ9" i="122" s="1"/>
  <c r="M10" i="122"/>
  <c r="AQ10" i="122" s="1"/>
  <c r="M11" i="122"/>
  <c r="AQ11" i="122" s="1"/>
  <c r="M12" i="122"/>
  <c r="AQ12" i="122" s="1"/>
  <c r="M13" i="122"/>
  <c r="AQ13" i="122" s="1"/>
  <c r="M14" i="122"/>
  <c r="AQ14" i="122" s="1"/>
  <c r="M15" i="122"/>
  <c r="AQ15" i="122" s="1"/>
  <c r="M16" i="122"/>
  <c r="AQ16" i="122" s="1"/>
  <c r="M17" i="122"/>
  <c r="AQ17" i="122" s="1"/>
  <c r="M18" i="122"/>
  <c r="AQ18" i="122" s="1"/>
  <c r="M19" i="122"/>
  <c r="AQ19" i="122" s="1"/>
  <c r="M20" i="122"/>
  <c r="AQ20" i="122" s="1"/>
  <c r="M21" i="122"/>
  <c r="AQ21" i="122" s="1"/>
  <c r="M22" i="122"/>
  <c r="AQ22" i="122" s="1"/>
  <c r="M23" i="122"/>
  <c r="AQ23" i="122" s="1"/>
  <c r="M24" i="122"/>
  <c r="AQ24" i="122" s="1"/>
  <c r="M25" i="122"/>
  <c r="AQ25" i="122" s="1"/>
  <c r="M26" i="122"/>
  <c r="AQ26" i="122" s="1"/>
  <c r="M27" i="122"/>
  <c r="AQ27" i="122" s="1"/>
  <c r="M28" i="122"/>
  <c r="AQ28" i="122" s="1"/>
  <c r="M29" i="122"/>
  <c r="AQ29" i="122" s="1"/>
  <c r="M30" i="122"/>
  <c r="AQ30" i="122" s="1"/>
  <c r="M31" i="122"/>
  <c r="AQ31" i="122" s="1"/>
  <c r="M32" i="122"/>
  <c r="AQ32" i="122" s="1"/>
  <c r="M33" i="122"/>
  <c r="AQ33" i="122" s="1"/>
  <c r="M34" i="122"/>
  <c r="AQ34" i="122" s="1"/>
  <c r="M35" i="122"/>
  <c r="AQ35" i="122" s="1"/>
  <c r="M36" i="122"/>
  <c r="AQ36" i="122" s="1"/>
  <c r="M37" i="122"/>
  <c r="AQ37" i="122" s="1"/>
  <c r="M38" i="122"/>
  <c r="AQ38" i="122" s="1"/>
  <c r="M39" i="122"/>
  <c r="AQ39" i="122" s="1"/>
  <c r="M40" i="122"/>
  <c r="AQ40" i="122" s="1"/>
  <c r="M41" i="122"/>
  <c r="AQ41" i="122" s="1"/>
  <c r="M42" i="122"/>
  <c r="AQ42" i="122" s="1"/>
  <c r="M43" i="122"/>
  <c r="AQ43" i="122" s="1"/>
  <c r="M44" i="122"/>
  <c r="AQ44" i="122" s="1"/>
  <c r="M45" i="122"/>
  <c r="AQ45" i="122" s="1"/>
  <c r="M46" i="122"/>
  <c r="AQ46" i="122" s="1"/>
  <c r="M47" i="122"/>
  <c r="AQ47" i="122" s="1"/>
  <c r="M48" i="122"/>
  <c r="AQ48" i="122" s="1"/>
  <c r="M49" i="122"/>
  <c r="AQ49" i="122" s="1"/>
  <c r="M50" i="122"/>
  <c r="AQ50" i="122" s="1"/>
  <c r="M51" i="122"/>
  <c r="AQ51" i="122" s="1"/>
  <c r="M52" i="122"/>
  <c r="AQ52" i="122" s="1"/>
  <c r="M53" i="122"/>
  <c r="AQ53" i="122" s="1"/>
  <c r="M54" i="122"/>
  <c r="AQ54" i="122" s="1"/>
  <c r="M55" i="122"/>
  <c r="AQ55" i="122" s="1"/>
  <c r="M56" i="122"/>
  <c r="AQ56" i="122" s="1"/>
  <c r="M57" i="122"/>
  <c r="AQ57" i="122" s="1"/>
  <c r="M58" i="122"/>
  <c r="AQ58" i="122" s="1"/>
  <c r="M59" i="122"/>
  <c r="AQ59" i="122" s="1"/>
  <c r="M60" i="122"/>
  <c r="AQ60" i="122" s="1"/>
  <c r="M61" i="122"/>
  <c r="AQ61" i="122" s="1"/>
  <c r="M62" i="122"/>
  <c r="AQ62" i="122" s="1"/>
  <c r="M63" i="122"/>
  <c r="AQ63" i="122" s="1"/>
  <c r="M64" i="122"/>
  <c r="AQ64" i="122" s="1"/>
  <c r="M65" i="122"/>
  <c r="AQ65" i="122" s="1"/>
  <c r="M66" i="122"/>
  <c r="AQ66" i="122" s="1"/>
  <c r="M67" i="122"/>
  <c r="AQ67" i="122" s="1"/>
  <c r="M68" i="122"/>
  <c r="AQ68" i="122" s="1"/>
  <c r="M69" i="122"/>
  <c r="AQ69" i="122" s="1"/>
  <c r="M70" i="122"/>
  <c r="AQ70" i="122" s="1"/>
  <c r="M71" i="122"/>
  <c r="AQ71" i="122" s="1"/>
  <c r="M72" i="122"/>
  <c r="AQ72" i="122" s="1"/>
  <c r="M73" i="122"/>
  <c r="AQ73" i="122" s="1"/>
  <c r="M74" i="122"/>
  <c r="AQ74" i="122" s="1"/>
  <c r="M75" i="122"/>
  <c r="AQ75" i="122" s="1"/>
  <c r="M76" i="122"/>
  <c r="AQ76" i="122" s="1"/>
  <c r="M77" i="122"/>
  <c r="AQ77" i="122" s="1"/>
  <c r="M78" i="122"/>
  <c r="AQ78" i="122" s="1"/>
  <c r="M79" i="122"/>
  <c r="AQ79" i="122" s="1"/>
  <c r="M80" i="122"/>
  <c r="AQ80" i="122" s="1"/>
  <c r="M81" i="122"/>
  <c r="AQ81" i="122" s="1"/>
  <c r="M82" i="122"/>
  <c r="AQ82" i="122" s="1"/>
  <c r="M83" i="122"/>
  <c r="AQ83" i="122" s="1"/>
  <c r="M84" i="122"/>
  <c r="AQ84" i="122" s="1"/>
  <c r="M85" i="122"/>
  <c r="AQ85" i="122" s="1"/>
  <c r="M86" i="122"/>
  <c r="AQ86" i="122" s="1"/>
  <c r="M87" i="122"/>
  <c r="AQ87" i="122" s="1"/>
  <c r="M88" i="122"/>
  <c r="AQ88" i="122" s="1"/>
  <c r="M89" i="122"/>
  <c r="AQ89" i="122" s="1"/>
  <c r="M90" i="122"/>
  <c r="AQ90" i="122" s="1"/>
  <c r="M91" i="122"/>
  <c r="AQ91" i="122" s="1"/>
  <c r="M92" i="122"/>
  <c r="AQ92" i="122" s="1"/>
  <c r="M93" i="122"/>
  <c r="AQ93" i="122" s="1"/>
  <c r="M94" i="122"/>
  <c r="AQ94" i="122" s="1"/>
  <c r="M95" i="122"/>
  <c r="AQ95" i="122" s="1"/>
  <c r="M96" i="122"/>
  <c r="AQ96" i="122" s="1"/>
  <c r="M97" i="122"/>
  <c r="AQ97" i="122" s="1"/>
  <c r="M98" i="122"/>
  <c r="AQ98" i="122" s="1"/>
  <c r="M99" i="122"/>
  <c r="AQ99" i="122" s="1"/>
  <c r="M100" i="122"/>
  <c r="AQ100" i="122" s="1"/>
  <c r="M101" i="122"/>
  <c r="M102" i="122"/>
  <c r="AQ102" i="122" s="1"/>
  <c r="M103" i="122"/>
  <c r="AQ103" i="122" s="1"/>
  <c r="M104" i="122"/>
  <c r="AQ104" i="122" s="1"/>
  <c r="M105" i="122"/>
  <c r="AQ105" i="122" s="1"/>
  <c r="M106" i="122"/>
  <c r="AQ106" i="122" s="1"/>
  <c r="M107" i="122"/>
  <c r="AQ107" i="122" s="1"/>
  <c r="M108" i="122"/>
  <c r="AQ108" i="122" s="1"/>
  <c r="M109" i="122"/>
  <c r="AQ109" i="122" s="1"/>
  <c r="M110" i="122"/>
  <c r="AQ110" i="122" s="1"/>
  <c r="M111" i="122"/>
  <c r="AQ111" i="122" s="1"/>
  <c r="M112" i="122"/>
  <c r="AQ112" i="122" s="1"/>
  <c r="M113" i="122"/>
  <c r="AQ113" i="122" s="1"/>
  <c r="M114" i="122"/>
  <c r="AQ114" i="122" s="1"/>
  <c r="M115" i="122"/>
  <c r="AQ115" i="122" s="1"/>
  <c r="M116" i="122"/>
  <c r="AQ116" i="122" s="1"/>
  <c r="M117" i="122"/>
  <c r="AQ117" i="122" s="1"/>
  <c r="M118" i="122"/>
  <c r="AQ118" i="122" s="1"/>
  <c r="M119" i="122"/>
  <c r="M120" i="122"/>
  <c r="M121" i="122"/>
  <c r="M122" i="122"/>
  <c r="M123" i="122"/>
  <c r="AQ123" i="122" s="1"/>
  <c r="M5" i="122"/>
  <c r="AQ5" i="122" s="1"/>
  <c r="K6" i="122"/>
  <c r="K7" i="122"/>
  <c r="K8" i="122"/>
  <c r="K9" i="122"/>
  <c r="K10" i="122"/>
  <c r="K11" i="122"/>
  <c r="K12" i="122"/>
  <c r="K13" i="122"/>
  <c r="K14" i="122"/>
  <c r="K15" i="122"/>
  <c r="K16" i="122"/>
  <c r="K17" i="122"/>
  <c r="K18" i="122"/>
  <c r="K19" i="122"/>
  <c r="K20" i="122"/>
  <c r="K21" i="122"/>
  <c r="K22" i="122"/>
  <c r="K23" i="122"/>
  <c r="K24" i="122"/>
  <c r="K25" i="122"/>
  <c r="K26" i="122"/>
  <c r="K27" i="122"/>
  <c r="K28" i="122"/>
  <c r="K29" i="122"/>
  <c r="K30" i="122"/>
  <c r="K31" i="122"/>
  <c r="K32" i="122"/>
  <c r="K33" i="122"/>
  <c r="K34" i="122"/>
  <c r="K35" i="122"/>
  <c r="K36" i="122"/>
  <c r="K37" i="122"/>
  <c r="K38" i="122"/>
  <c r="K39" i="122"/>
  <c r="K40" i="122"/>
  <c r="K41" i="122"/>
  <c r="K42" i="122"/>
  <c r="K43" i="122"/>
  <c r="K44" i="122"/>
  <c r="K45" i="122"/>
  <c r="K46" i="122"/>
  <c r="K47" i="122"/>
  <c r="K48" i="122"/>
  <c r="K49" i="122"/>
  <c r="K50" i="122"/>
  <c r="K51" i="122"/>
  <c r="K52" i="122"/>
  <c r="K53" i="122"/>
  <c r="K54" i="122"/>
  <c r="K55" i="122"/>
  <c r="K56" i="122"/>
  <c r="K57" i="122"/>
  <c r="K58" i="122"/>
  <c r="K59" i="122"/>
  <c r="K60" i="122"/>
  <c r="K61" i="122"/>
  <c r="K62" i="122"/>
  <c r="K63" i="122"/>
  <c r="K64" i="122"/>
  <c r="K65" i="122"/>
  <c r="K66" i="122"/>
  <c r="K67" i="122"/>
  <c r="K68" i="122"/>
  <c r="K69" i="122"/>
  <c r="K70" i="122"/>
  <c r="K71" i="122"/>
  <c r="K72" i="122"/>
  <c r="K73" i="122"/>
  <c r="K74" i="122"/>
  <c r="K75" i="122"/>
  <c r="K76" i="122"/>
  <c r="K77" i="122"/>
  <c r="K78" i="122"/>
  <c r="K79" i="122"/>
  <c r="K80" i="122"/>
  <c r="K81" i="122"/>
  <c r="K82" i="122"/>
  <c r="K83" i="122"/>
  <c r="K84" i="122"/>
  <c r="K85" i="122"/>
  <c r="K86" i="122"/>
  <c r="K87" i="122"/>
  <c r="K88" i="122"/>
  <c r="K89" i="122"/>
  <c r="K90" i="122"/>
  <c r="K91" i="122"/>
  <c r="K92" i="122"/>
  <c r="K93" i="122"/>
  <c r="K94" i="122"/>
  <c r="K95" i="122"/>
  <c r="K96" i="122"/>
  <c r="K97" i="122"/>
  <c r="K98" i="122"/>
  <c r="K99" i="122"/>
  <c r="K100" i="122"/>
  <c r="K101" i="122"/>
  <c r="K102" i="122"/>
  <c r="K103" i="122"/>
  <c r="K104" i="122"/>
  <c r="K105" i="122"/>
  <c r="K106" i="122"/>
  <c r="K107" i="122"/>
  <c r="K108" i="122"/>
  <c r="K109" i="122"/>
  <c r="K110" i="122"/>
  <c r="K111" i="122"/>
  <c r="K112" i="122"/>
  <c r="K113" i="122"/>
  <c r="K114" i="122"/>
  <c r="K115" i="122"/>
  <c r="K116" i="122"/>
  <c r="K117" i="122"/>
  <c r="K118" i="122"/>
  <c r="K119" i="122"/>
  <c r="K120" i="122"/>
  <c r="K121" i="122"/>
  <c r="K122" i="122"/>
  <c r="K123" i="122"/>
  <c r="K5" i="122"/>
  <c r="J6" i="122"/>
  <c r="J7" i="122"/>
  <c r="J8" i="122"/>
  <c r="J9" i="122"/>
  <c r="J10" i="122"/>
  <c r="J11" i="122"/>
  <c r="J12" i="122"/>
  <c r="J13" i="122"/>
  <c r="J14" i="122"/>
  <c r="J15" i="122"/>
  <c r="J16" i="122"/>
  <c r="J17" i="122"/>
  <c r="J18" i="122"/>
  <c r="J19" i="122"/>
  <c r="J20" i="122"/>
  <c r="J21" i="122"/>
  <c r="J22" i="122"/>
  <c r="J23" i="122"/>
  <c r="J24" i="122"/>
  <c r="J25" i="122"/>
  <c r="J26" i="122"/>
  <c r="J27" i="122"/>
  <c r="J28" i="122"/>
  <c r="J29" i="122"/>
  <c r="J30" i="122"/>
  <c r="J31" i="122"/>
  <c r="J32" i="122"/>
  <c r="J33" i="122"/>
  <c r="J34" i="122"/>
  <c r="J35" i="122"/>
  <c r="J36" i="122"/>
  <c r="J37" i="122"/>
  <c r="J38" i="122"/>
  <c r="J39" i="122"/>
  <c r="J40" i="122"/>
  <c r="J41" i="122"/>
  <c r="J42" i="122"/>
  <c r="J43" i="122"/>
  <c r="J44" i="122"/>
  <c r="J45" i="122"/>
  <c r="J46" i="122"/>
  <c r="J47" i="122"/>
  <c r="J48" i="122"/>
  <c r="J49" i="122"/>
  <c r="J50" i="122"/>
  <c r="J51" i="122"/>
  <c r="J53" i="122"/>
  <c r="J54" i="122"/>
  <c r="J56" i="122"/>
  <c r="J57" i="122"/>
  <c r="J58" i="122"/>
  <c r="J59" i="122"/>
  <c r="J60" i="122"/>
  <c r="J61" i="122"/>
  <c r="J62" i="122"/>
  <c r="J63" i="122"/>
  <c r="J64" i="122"/>
  <c r="J65" i="122"/>
  <c r="J66" i="122"/>
  <c r="J67" i="122"/>
  <c r="J68" i="122"/>
  <c r="J69" i="122"/>
  <c r="J70" i="122"/>
  <c r="J71" i="122"/>
  <c r="J72" i="122"/>
  <c r="J73" i="122"/>
  <c r="J74" i="122"/>
  <c r="J75" i="122"/>
  <c r="J76" i="122"/>
  <c r="J77" i="122"/>
  <c r="J78" i="122"/>
  <c r="J79" i="122"/>
  <c r="J80" i="122"/>
  <c r="J81" i="122"/>
  <c r="J84" i="122"/>
  <c r="J85" i="122"/>
  <c r="J87" i="122"/>
  <c r="J91" i="122"/>
  <c r="J97" i="122"/>
  <c r="J98" i="122"/>
  <c r="J100" i="122"/>
  <c r="J103" i="122"/>
  <c r="J104" i="122"/>
  <c r="J105" i="122"/>
  <c r="J106" i="122"/>
  <c r="J108" i="122"/>
  <c r="J109" i="122"/>
  <c r="J110" i="122"/>
  <c r="J111" i="122"/>
  <c r="J112" i="122"/>
  <c r="J117" i="122"/>
  <c r="J118" i="122"/>
  <c r="J122" i="122"/>
  <c r="J123" i="122"/>
  <c r="J5" i="122"/>
  <c r="I6" i="122"/>
  <c r="I7" i="122"/>
  <c r="I8" i="122"/>
  <c r="I9" i="122"/>
  <c r="I10" i="122"/>
  <c r="I11" i="122"/>
  <c r="I12" i="122"/>
  <c r="I13" i="122"/>
  <c r="I14" i="122"/>
  <c r="I15" i="122"/>
  <c r="I16" i="122"/>
  <c r="I17" i="122"/>
  <c r="I18" i="122"/>
  <c r="I19" i="122"/>
  <c r="I20" i="122"/>
  <c r="I21" i="122"/>
  <c r="I22" i="122"/>
  <c r="I23" i="122"/>
  <c r="I24" i="122"/>
  <c r="I25" i="122"/>
  <c r="I26" i="122"/>
  <c r="I27" i="122"/>
  <c r="I28" i="122"/>
  <c r="I29" i="122"/>
  <c r="I30" i="122"/>
  <c r="I31" i="122"/>
  <c r="I32" i="122"/>
  <c r="I33" i="122"/>
  <c r="I34" i="122"/>
  <c r="I35" i="122"/>
  <c r="I36" i="122"/>
  <c r="I37" i="122"/>
  <c r="I38" i="122"/>
  <c r="I39" i="122"/>
  <c r="I40" i="122"/>
  <c r="I41" i="122"/>
  <c r="I42" i="122"/>
  <c r="I43" i="122"/>
  <c r="I44" i="122"/>
  <c r="I45" i="122"/>
  <c r="I46" i="122"/>
  <c r="I47" i="122"/>
  <c r="I48" i="122"/>
  <c r="I49" i="122"/>
  <c r="I50" i="122"/>
  <c r="I51" i="122"/>
  <c r="I52" i="122"/>
  <c r="I53" i="122"/>
  <c r="I54" i="122"/>
  <c r="I55" i="122"/>
  <c r="I56" i="122"/>
  <c r="I57" i="122"/>
  <c r="I58" i="122"/>
  <c r="I59" i="122"/>
  <c r="I60" i="122"/>
  <c r="I61" i="122"/>
  <c r="I62" i="122"/>
  <c r="I63" i="122"/>
  <c r="I64" i="122"/>
  <c r="I65" i="122"/>
  <c r="I66" i="122"/>
  <c r="I67" i="122"/>
  <c r="I68" i="122"/>
  <c r="I69" i="122"/>
  <c r="I70" i="122"/>
  <c r="I71" i="122"/>
  <c r="I72" i="122"/>
  <c r="I73" i="122"/>
  <c r="I74" i="122"/>
  <c r="I75" i="122"/>
  <c r="I76" i="122"/>
  <c r="I77" i="122"/>
  <c r="I78" i="122"/>
  <c r="I79" i="122"/>
  <c r="I80" i="122"/>
  <c r="I81" i="122"/>
  <c r="I82" i="122"/>
  <c r="I83" i="122"/>
  <c r="I84" i="122"/>
  <c r="I85" i="122"/>
  <c r="I86" i="122"/>
  <c r="I87" i="122"/>
  <c r="I88" i="122"/>
  <c r="I89" i="122"/>
  <c r="I90" i="122"/>
  <c r="I91" i="122"/>
  <c r="I92" i="122"/>
  <c r="I93" i="122"/>
  <c r="I94" i="122"/>
  <c r="I95" i="122"/>
  <c r="I96" i="122"/>
  <c r="I97" i="122"/>
  <c r="I98" i="122"/>
  <c r="I99" i="122"/>
  <c r="I100" i="122"/>
  <c r="I101" i="122"/>
  <c r="I102" i="122"/>
  <c r="I103" i="122"/>
  <c r="I104" i="122"/>
  <c r="I105" i="122"/>
  <c r="I106" i="122"/>
  <c r="I107" i="122"/>
  <c r="I108" i="122"/>
  <c r="I109" i="122"/>
  <c r="I110" i="122"/>
  <c r="I111" i="122"/>
  <c r="I112" i="122"/>
  <c r="I113" i="122"/>
  <c r="I114" i="122"/>
  <c r="I115" i="122"/>
  <c r="I116" i="122"/>
  <c r="I117" i="122"/>
  <c r="I118" i="122"/>
  <c r="I119" i="122"/>
  <c r="I120" i="122"/>
  <c r="I121" i="122"/>
  <c r="I122" i="122"/>
  <c r="I123" i="122"/>
  <c r="I5" i="122"/>
  <c r="H6" i="122"/>
  <c r="H7" i="122"/>
  <c r="H8" i="122"/>
  <c r="H9" i="122"/>
  <c r="H10" i="122"/>
  <c r="H11" i="122"/>
  <c r="H12" i="122"/>
  <c r="H13" i="122"/>
  <c r="H14" i="122"/>
  <c r="H15" i="122"/>
  <c r="H16" i="122"/>
  <c r="H17" i="122"/>
  <c r="H18" i="122"/>
  <c r="H19" i="122"/>
  <c r="H20" i="122"/>
  <c r="H21" i="122"/>
  <c r="H22" i="122"/>
  <c r="H23" i="122"/>
  <c r="H24" i="122"/>
  <c r="H25" i="122"/>
  <c r="H26" i="122"/>
  <c r="H27" i="122"/>
  <c r="H28" i="122"/>
  <c r="H29" i="122"/>
  <c r="H30" i="122"/>
  <c r="H31" i="122"/>
  <c r="H32" i="122"/>
  <c r="H33" i="122"/>
  <c r="H34" i="122"/>
  <c r="H35" i="122"/>
  <c r="H36" i="122"/>
  <c r="H37" i="122"/>
  <c r="H38" i="122"/>
  <c r="H39" i="122"/>
  <c r="H40" i="122"/>
  <c r="H41" i="122"/>
  <c r="H42" i="122"/>
  <c r="H43" i="122"/>
  <c r="H44" i="122"/>
  <c r="H45" i="122"/>
  <c r="H46" i="122"/>
  <c r="H47" i="122"/>
  <c r="H48" i="122"/>
  <c r="H49" i="122"/>
  <c r="H50" i="122"/>
  <c r="H51" i="122"/>
  <c r="H52" i="122"/>
  <c r="H53" i="122"/>
  <c r="H54" i="122"/>
  <c r="H55" i="122"/>
  <c r="H56" i="122"/>
  <c r="H57" i="122"/>
  <c r="H58" i="122"/>
  <c r="H59" i="122"/>
  <c r="H60" i="122"/>
  <c r="H61" i="122"/>
  <c r="H62" i="122"/>
  <c r="H63" i="122"/>
  <c r="H64" i="122"/>
  <c r="H65" i="122"/>
  <c r="H66" i="122"/>
  <c r="H67" i="122"/>
  <c r="H68" i="122"/>
  <c r="H69" i="122"/>
  <c r="H70" i="122"/>
  <c r="H71" i="122"/>
  <c r="H72" i="122"/>
  <c r="H73" i="122"/>
  <c r="H74" i="122"/>
  <c r="H75" i="122"/>
  <c r="H76" i="122"/>
  <c r="H77" i="122"/>
  <c r="H78" i="122"/>
  <c r="H79" i="122"/>
  <c r="H80" i="122"/>
  <c r="H81" i="122"/>
  <c r="H82" i="122"/>
  <c r="H83" i="122"/>
  <c r="H84" i="122"/>
  <c r="H85" i="122"/>
  <c r="H86" i="122"/>
  <c r="H87" i="122"/>
  <c r="H88" i="122"/>
  <c r="H89" i="122"/>
  <c r="H90" i="122"/>
  <c r="H91" i="122"/>
  <c r="H92" i="122"/>
  <c r="H93" i="122"/>
  <c r="H94" i="122"/>
  <c r="H95" i="122"/>
  <c r="H96" i="122"/>
  <c r="H97" i="122"/>
  <c r="H98" i="122"/>
  <c r="H99" i="122"/>
  <c r="H100" i="122"/>
  <c r="H101" i="122"/>
  <c r="H102" i="122"/>
  <c r="H103" i="122"/>
  <c r="H104" i="122"/>
  <c r="H105" i="122"/>
  <c r="H106" i="122"/>
  <c r="H107" i="122"/>
  <c r="H108" i="122"/>
  <c r="H109" i="122"/>
  <c r="H110" i="122"/>
  <c r="H111" i="122"/>
  <c r="H112" i="122"/>
  <c r="H113" i="122"/>
  <c r="H114" i="122"/>
  <c r="H115" i="122"/>
  <c r="H116" i="122"/>
  <c r="H117" i="122"/>
  <c r="H118" i="122"/>
  <c r="H119" i="122"/>
  <c r="H120" i="122"/>
  <c r="H121" i="122"/>
  <c r="H122" i="122"/>
  <c r="H123" i="122"/>
  <c r="H5" i="122"/>
  <c r="E9" i="122"/>
  <c r="E10" i="122"/>
  <c r="E11" i="122"/>
  <c r="E12" i="122"/>
  <c r="E13" i="122"/>
  <c r="E14" i="122"/>
  <c r="E15" i="122"/>
  <c r="E16" i="122"/>
  <c r="E17" i="122"/>
  <c r="E18" i="122"/>
  <c r="E19" i="122"/>
  <c r="E20" i="122"/>
  <c r="E21" i="122"/>
  <c r="E22" i="122"/>
  <c r="E23" i="122"/>
  <c r="E24" i="122"/>
  <c r="E25" i="122"/>
  <c r="E26" i="122"/>
  <c r="E27" i="122"/>
  <c r="E28" i="122"/>
  <c r="E29" i="122"/>
  <c r="E30" i="122"/>
  <c r="E31" i="122"/>
  <c r="E32" i="122"/>
  <c r="E33" i="122"/>
  <c r="E34" i="122"/>
  <c r="E35" i="122"/>
  <c r="E36" i="122"/>
  <c r="E37" i="122"/>
  <c r="E38" i="122"/>
  <c r="E39" i="122"/>
  <c r="E40" i="122"/>
  <c r="E41" i="122"/>
  <c r="E42" i="122"/>
  <c r="E43" i="122"/>
  <c r="E44" i="122"/>
  <c r="E45" i="122"/>
  <c r="E46" i="122"/>
  <c r="E47" i="122"/>
  <c r="E48" i="122"/>
  <c r="E49" i="122"/>
  <c r="E50" i="122"/>
  <c r="E51" i="122"/>
  <c r="E52" i="122"/>
  <c r="E53" i="122"/>
  <c r="E54" i="122"/>
  <c r="E55" i="122"/>
  <c r="E56" i="122"/>
  <c r="E57" i="122"/>
  <c r="E58" i="122"/>
  <c r="E59" i="122"/>
  <c r="E60" i="122"/>
  <c r="E61" i="122"/>
  <c r="E62" i="122"/>
  <c r="E63" i="122"/>
  <c r="E64" i="122"/>
  <c r="E65" i="122"/>
  <c r="E66" i="122"/>
  <c r="E67" i="122"/>
  <c r="E68" i="122"/>
  <c r="E69" i="122"/>
  <c r="E70" i="122"/>
  <c r="E71" i="122"/>
  <c r="E72" i="122"/>
  <c r="E73" i="122"/>
  <c r="E74" i="122"/>
  <c r="E75" i="122"/>
  <c r="E76" i="122"/>
  <c r="E77" i="122"/>
  <c r="E78" i="122"/>
  <c r="E79" i="122"/>
  <c r="E80" i="122"/>
  <c r="E81" i="122"/>
  <c r="E82" i="122"/>
  <c r="E83" i="122"/>
  <c r="E84" i="122"/>
  <c r="E85" i="122"/>
  <c r="E86" i="122"/>
  <c r="E87" i="122"/>
  <c r="E88" i="122"/>
  <c r="E89" i="122"/>
  <c r="E90" i="122"/>
  <c r="E91" i="122"/>
  <c r="E92" i="122"/>
  <c r="E93" i="122"/>
  <c r="E94" i="122"/>
  <c r="E95" i="122"/>
  <c r="E96" i="122"/>
  <c r="E97" i="122"/>
  <c r="E98" i="122"/>
  <c r="E99" i="122"/>
  <c r="E100" i="122"/>
  <c r="E101" i="122"/>
  <c r="E102" i="122"/>
  <c r="E103" i="122"/>
  <c r="E104" i="122"/>
  <c r="E105" i="122"/>
  <c r="E106" i="122"/>
  <c r="E107" i="122"/>
  <c r="E108" i="122"/>
  <c r="E109" i="122"/>
  <c r="E110" i="122"/>
  <c r="E111" i="122"/>
  <c r="E112" i="122"/>
  <c r="E113" i="122"/>
  <c r="E114" i="122"/>
  <c r="E115" i="122"/>
  <c r="E116" i="122"/>
  <c r="E117" i="122"/>
  <c r="E118" i="122"/>
  <c r="E119" i="122"/>
  <c r="E120" i="122"/>
  <c r="E121" i="122"/>
  <c r="E122" i="122"/>
  <c r="E123" i="122"/>
  <c r="E8" i="122"/>
  <c r="D6" i="122"/>
  <c r="D7" i="122"/>
  <c r="D8" i="122"/>
  <c r="D9" i="122"/>
  <c r="D10" i="122"/>
  <c r="D11" i="122"/>
  <c r="D12" i="122"/>
  <c r="D13" i="122"/>
  <c r="D14" i="122"/>
  <c r="D15" i="122"/>
  <c r="D16" i="122"/>
  <c r="D17" i="122"/>
  <c r="D18" i="122"/>
  <c r="D19" i="122"/>
  <c r="D20" i="122"/>
  <c r="D21" i="122"/>
  <c r="D22" i="122"/>
  <c r="D23" i="122"/>
  <c r="D24" i="122"/>
  <c r="D25" i="122"/>
  <c r="D26" i="122"/>
  <c r="D27" i="122"/>
  <c r="D28" i="122"/>
  <c r="D29" i="122"/>
  <c r="D30" i="122"/>
  <c r="D31" i="122"/>
  <c r="D32" i="122"/>
  <c r="D33" i="122"/>
  <c r="D34" i="122"/>
  <c r="D35" i="122"/>
  <c r="D36" i="122"/>
  <c r="D37" i="122"/>
  <c r="D38" i="122"/>
  <c r="D39" i="122"/>
  <c r="D40" i="122"/>
  <c r="D41" i="122"/>
  <c r="D42" i="122"/>
  <c r="D43" i="122"/>
  <c r="D44" i="122"/>
  <c r="D45" i="122"/>
  <c r="D46" i="122"/>
  <c r="D47" i="122"/>
  <c r="D48" i="122"/>
  <c r="D49" i="122"/>
  <c r="D50" i="122"/>
  <c r="D51" i="122"/>
  <c r="D52" i="122"/>
  <c r="D53" i="122"/>
  <c r="D54" i="122"/>
  <c r="D55" i="122"/>
  <c r="D56" i="122"/>
  <c r="D57" i="122"/>
  <c r="D58" i="122"/>
  <c r="D59" i="122"/>
  <c r="D60" i="122"/>
  <c r="D61" i="122"/>
  <c r="D62" i="122"/>
  <c r="D63" i="122"/>
  <c r="D64" i="122"/>
  <c r="D65" i="122"/>
  <c r="D66" i="122"/>
  <c r="D67" i="122"/>
  <c r="D68" i="122"/>
  <c r="D69" i="122"/>
  <c r="D70" i="122"/>
  <c r="D71" i="122"/>
  <c r="D72" i="122"/>
  <c r="D73" i="122"/>
  <c r="D74" i="122"/>
  <c r="D75" i="122"/>
  <c r="D77" i="122"/>
  <c r="D78" i="122"/>
  <c r="D79" i="122"/>
  <c r="D80" i="122"/>
  <c r="D81" i="122"/>
  <c r="D82" i="122"/>
  <c r="D83" i="122"/>
  <c r="D84" i="122"/>
  <c r="D85" i="122"/>
  <c r="D86" i="122"/>
  <c r="D87" i="122"/>
  <c r="D88" i="122"/>
  <c r="D89" i="122"/>
  <c r="D90" i="122"/>
  <c r="D91" i="122"/>
  <c r="D92" i="122"/>
  <c r="D93" i="122"/>
  <c r="D94" i="122"/>
  <c r="D95" i="122"/>
  <c r="D96" i="122"/>
  <c r="D97" i="122"/>
  <c r="D98" i="122"/>
  <c r="D99" i="122"/>
  <c r="D100" i="122"/>
  <c r="D101" i="122"/>
  <c r="D102" i="122"/>
  <c r="D103" i="122"/>
  <c r="D104" i="122"/>
  <c r="D105" i="122"/>
  <c r="D106" i="122"/>
  <c r="D107" i="122"/>
  <c r="D108" i="122"/>
  <c r="D109" i="122"/>
  <c r="D110" i="122"/>
  <c r="D111" i="122"/>
  <c r="D112" i="122"/>
  <c r="D113" i="122"/>
  <c r="D114" i="122"/>
  <c r="D115" i="122"/>
  <c r="D116" i="122"/>
  <c r="D117" i="122"/>
  <c r="D118" i="122"/>
  <c r="D119" i="122"/>
  <c r="D120" i="122"/>
  <c r="D121" i="122"/>
  <c r="D122" i="122"/>
  <c r="D123" i="122"/>
  <c r="D5" i="122"/>
  <c r="B123" i="122"/>
  <c r="C9" i="122"/>
  <c r="C10" i="122"/>
  <c r="C11" i="122"/>
  <c r="C12" i="122"/>
  <c r="C13" i="122"/>
  <c r="C14" i="122"/>
  <c r="C15" i="122"/>
  <c r="C16" i="122"/>
  <c r="C17" i="122"/>
  <c r="C18" i="122"/>
  <c r="C19" i="122"/>
  <c r="C20" i="122"/>
  <c r="C21" i="122"/>
  <c r="C22" i="122"/>
  <c r="C23" i="122"/>
  <c r="C24" i="122"/>
  <c r="C25" i="122"/>
  <c r="C26" i="122"/>
  <c r="C27" i="122"/>
  <c r="C28" i="122"/>
  <c r="C29" i="122"/>
  <c r="C30" i="122"/>
  <c r="C31" i="122"/>
  <c r="C32" i="122"/>
  <c r="C33" i="122"/>
  <c r="C34" i="122"/>
  <c r="C35" i="122"/>
  <c r="C36" i="122"/>
  <c r="C37" i="122"/>
  <c r="C38" i="122"/>
  <c r="C39" i="122"/>
  <c r="C40" i="122"/>
  <c r="C41" i="122"/>
  <c r="C42" i="122"/>
  <c r="C43" i="122"/>
  <c r="C44" i="122"/>
  <c r="C45" i="122"/>
  <c r="C46" i="122"/>
  <c r="C47" i="122"/>
  <c r="C48" i="122"/>
  <c r="C49" i="122"/>
  <c r="C50" i="122"/>
  <c r="C51" i="122"/>
  <c r="C52" i="122"/>
  <c r="C53" i="122"/>
  <c r="C54" i="122"/>
  <c r="C55" i="122"/>
  <c r="C56" i="122"/>
  <c r="C57" i="122"/>
  <c r="C58" i="122"/>
  <c r="C59" i="122"/>
  <c r="C60" i="122"/>
  <c r="C61" i="122"/>
  <c r="C62" i="122"/>
  <c r="C63" i="122"/>
  <c r="C64" i="122"/>
  <c r="C65" i="122"/>
  <c r="C66" i="122"/>
  <c r="C67" i="122"/>
  <c r="C68" i="122"/>
  <c r="C69" i="122"/>
  <c r="C70" i="122"/>
  <c r="C71" i="122"/>
  <c r="C72" i="122"/>
  <c r="C73" i="122"/>
  <c r="C74" i="122"/>
  <c r="C75" i="122"/>
  <c r="C76" i="122"/>
  <c r="C77" i="122"/>
  <c r="C78" i="122"/>
  <c r="C79" i="122"/>
  <c r="C80" i="122"/>
  <c r="C81" i="122"/>
  <c r="C82" i="122"/>
  <c r="C83" i="122"/>
  <c r="C84" i="122"/>
  <c r="C85" i="122"/>
  <c r="C86" i="122"/>
  <c r="C87" i="122"/>
  <c r="C88" i="122"/>
  <c r="C89" i="122"/>
  <c r="C90" i="122"/>
  <c r="C91" i="122"/>
  <c r="C92" i="122"/>
  <c r="C93" i="122"/>
  <c r="C94" i="122"/>
  <c r="C95" i="122"/>
  <c r="C96" i="122"/>
  <c r="C97" i="122"/>
  <c r="C98" i="122"/>
  <c r="C99" i="122"/>
  <c r="C100" i="122"/>
  <c r="C101" i="122"/>
  <c r="C102" i="122"/>
  <c r="C103" i="122"/>
  <c r="C104" i="122"/>
  <c r="C105" i="122"/>
  <c r="C106" i="122"/>
  <c r="C107" i="122"/>
  <c r="C108" i="122"/>
  <c r="C109" i="122"/>
  <c r="C110" i="122"/>
  <c r="C111" i="122"/>
  <c r="C112" i="122"/>
  <c r="C113" i="122"/>
  <c r="C114" i="122"/>
  <c r="C115" i="122"/>
  <c r="C116" i="122"/>
  <c r="C117" i="122"/>
  <c r="C118" i="122"/>
  <c r="C119" i="122"/>
  <c r="C120" i="122"/>
  <c r="C121" i="122"/>
  <c r="C122" i="122"/>
  <c r="C123" i="122"/>
  <c r="C8" i="122"/>
  <c r="AR140" i="122" l="1"/>
  <c r="AR141" i="122"/>
  <c r="AR142" i="122"/>
  <c r="AR143" i="122"/>
  <c r="AQ135" i="122"/>
  <c r="AQ136" i="122"/>
  <c r="AQ137" i="122"/>
  <c r="AQ138" i="122"/>
  <c r="AQ139" i="122"/>
  <c r="AQ140" i="122"/>
  <c r="AQ141" i="122"/>
  <c r="AQ142" i="122"/>
  <c r="BB142" i="122"/>
  <c r="BA140" i="122"/>
  <c r="BA142" i="122"/>
  <c r="BA139" i="122"/>
  <c r="BA138" i="122"/>
  <c r="AT111" i="122"/>
  <c r="AT103" i="122"/>
  <c r="AT87" i="122"/>
  <c r="AT79" i="122"/>
  <c r="AM59" i="122"/>
  <c r="AM35" i="122"/>
  <c r="AM27" i="122"/>
  <c r="AO102" i="122"/>
  <c r="AO78" i="122"/>
  <c r="AO62" i="122"/>
  <c r="AO38" i="122"/>
  <c r="AO22" i="122"/>
  <c r="AO6" i="122"/>
  <c r="AP44" i="122"/>
  <c r="AP36" i="122"/>
  <c r="AP12" i="122"/>
  <c r="AM75" i="122"/>
  <c r="AM51" i="122"/>
  <c r="AM11" i="122"/>
  <c r="AO110" i="122"/>
  <c r="AO86" i="122"/>
  <c r="AO30" i="122"/>
  <c r="AP28" i="122"/>
  <c r="AM67" i="122"/>
  <c r="AM43" i="122"/>
  <c r="AM19" i="122"/>
  <c r="AO118" i="122"/>
  <c r="AO94" i="122"/>
  <c r="AO70" i="122"/>
  <c r="AO54" i="122"/>
  <c r="AO14" i="122"/>
  <c r="AP20" i="122"/>
  <c r="AM74" i="122"/>
  <c r="AM50" i="122"/>
  <c r="AM26" i="122"/>
  <c r="AO109" i="122"/>
  <c r="AO85" i="122"/>
  <c r="AO61" i="122"/>
  <c r="AO45" i="122"/>
  <c r="AO37" i="122"/>
  <c r="AO29" i="122"/>
  <c r="AO21" i="122"/>
  <c r="AO13" i="122"/>
  <c r="AP123" i="122"/>
  <c r="AP91" i="122"/>
  <c r="AP51" i="122"/>
  <c r="AP43" i="122"/>
  <c r="AP35" i="122"/>
  <c r="AP136" i="122" s="1"/>
  <c r="AP27" i="122"/>
  <c r="AP19" i="122"/>
  <c r="AP11" i="122"/>
  <c r="AS123" i="122"/>
  <c r="AM58" i="122"/>
  <c r="AM34" i="122"/>
  <c r="AM18" i="122"/>
  <c r="AO117" i="122"/>
  <c r="AO93" i="122"/>
  <c r="AO69" i="122"/>
  <c r="AM66" i="122"/>
  <c r="AM42" i="122"/>
  <c r="AM10" i="122"/>
  <c r="AO101" i="122"/>
  <c r="AO77" i="122"/>
  <c r="AO53" i="122"/>
  <c r="AM65" i="122"/>
  <c r="AM49" i="122"/>
  <c r="AM33" i="122"/>
  <c r="AM25" i="122"/>
  <c r="AM17" i="122"/>
  <c r="AO5" i="122"/>
  <c r="AO116" i="122"/>
  <c r="AO108" i="122"/>
  <c r="AO100" i="122"/>
  <c r="AO92" i="122"/>
  <c r="AO84" i="122"/>
  <c r="AO76" i="122"/>
  <c r="AO60" i="122"/>
  <c r="AO52" i="122"/>
  <c r="AO36" i="122"/>
  <c r="AO28" i="122"/>
  <c r="AO20" i="122"/>
  <c r="AO12" i="122"/>
  <c r="AP122" i="122"/>
  <c r="AP106" i="122"/>
  <c r="AP50" i="122"/>
  <c r="AP42" i="122"/>
  <c r="AP34" i="122"/>
  <c r="AP26" i="122"/>
  <c r="AP18" i="122"/>
  <c r="AP10" i="122"/>
  <c r="AM73" i="122"/>
  <c r="AM57" i="122"/>
  <c r="AM41" i="122"/>
  <c r="AM9" i="122"/>
  <c r="AM72" i="122"/>
  <c r="AM40" i="122"/>
  <c r="AO123" i="122"/>
  <c r="AO75" i="122"/>
  <c r="AO43" i="122"/>
  <c r="AO19" i="122"/>
  <c r="AP25" i="122"/>
  <c r="AM70" i="122"/>
  <c r="AM46" i="122"/>
  <c r="AM14" i="122"/>
  <c r="AO113" i="122"/>
  <c r="AO105" i="122"/>
  <c r="AO81" i="122"/>
  <c r="AO49" i="122"/>
  <c r="AO25" i="122"/>
  <c r="AP103" i="122"/>
  <c r="AP39" i="122"/>
  <c r="AP15" i="122"/>
  <c r="AM61" i="122"/>
  <c r="AM45" i="122"/>
  <c r="AM21" i="122"/>
  <c r="AM13" i="122"/>
  <c r="AO120" i="122"/>
  <c r="AO112" i="122"/>
  <c r="AO104" i="122"/>
  <c r="AO96" i="122"/>
  <c r="AO88" i="122"/>
  <c r="AO80" i="122"/>
  <c r="AO72" i="122"/>
  <c r="AO64" i="122"/>
  <c r="AO56" i="122"/>
  <c r="AO48" i="122"/>
  <c r="AO40" i="122"/>
  <c r="AO32" i="122"/>
  <c r="AO24" i="122"/>
  <c r="AO16" i="122"/>
  <c r="AO8" i="122"/>
  <c r="AP46" i="122"/>
  <c r="AP38" i="122"/>
  <c r="AP30" i="122"/>
  <c r="AP22" i="122"/>
  <c r="AP14" i="122"/>
  <c r="AP6" i="122"/>
  <c r="AM48" i="122"/>
  <c r="AM24" i="122"/>
  <c r="AO99" i="122"/>
  <c r="AO59" i="122"/>
  <c r="AO27" i="122"/>
  <c r="AP105" i="122"/>
  <c r="AP33" i="122"/>
  <c r="AS121" i="122"/>
  <c r="AM71" i="122"/>
  <c r="AM55" i="122"/>
  <c r="AM39" i="122"/>
  <c r="AM23" i="122"/>
  <c r="AM135" i="122" s="1"/>
  <c r="AO114" i="122"/>
  <c r="AO98" i="122"/>
  <c r="AO74" i="122"/>
  <c r="AO42" i="122"/>
  <c r="AO26" i="122"/>
  <c r="AP104" i="122"/>
  <c r="AP32" i="122"/>
  <c r="AP8" i="122"/>
  <c r="AS120" i="122"/>
  <c r="AT115" i="122"/>
  <c r="AM62" i="122"/>
  <c r="AM30" i="122"/>
  <c r="AO121" i="122"/>
  <c r="AO97" i="122"/>
  <c r="AO89" i="122"/>
  <c r="AO65" i="122"/>
  <c r="AO41" i="122"/>
  <c r="AO9" i="122"/>
  <c r="AP47" i="122"/>
  <c r="AP23" i="122"/>
  <c r="AM53" i="122"/>
  <c r="AM29" i="122"/>
  <c r="AM68" i="122"/>
  <c r="AM60" i="122"/>
  <c r="AM52" i="122"/>
  <c r="AM44" i="122"/>
  <c r="AM36" i="122"/>
  <c r="AM28" i="122"/>
  <c r="AM20" i="122"/>
  <c r="AM12" i="122"/>
  <c r="AO119" i="122"/>
  <c r="AO103" i="122"/>
  <c r="AO95" i="122"/>
  <c r="AO87" i="122"/>
  <c r="AO79" i="122"/>
  <c r="AO71" i="122"/>
  <c r="AO63" i="122"/>
  <c r="AO55" i="122"/>
  <c r="AO47" i="122"/>
  <c r="AO39" i="122"/>
  <c r="AO31" i="122"/>
  <c r="AO23" i="122"/>
  <c r="AO15" i="122"/>
  <c r="AO7" i="122"/>
  <c r="AP45" i="122"/>
  <c r="AP37" i="122"/>
  <c r="AP29" i="122"/>
  <c r="AP21" i="122"/>
  <c r="AP13" i="122"/>
  <c r="AM56" i="122"/>
  <c r="AM16" i="122"/>
  <c r="AO115" i="122"/>
  <c r="AO91" i="122"/>
  <c r="AO51" i="122"/>
  <c r="AO11" i="122"/>
  <c r="AP49" i="122"/>
  <c r="AP17" i="122"/>
  <c r="AM63" i="122"/>
  <c r="AM15" i="122"/>
  <c r="AO106" i="122"/>
  <c r="AO82" i="122"/>
  <c r="AO58" i="122"/>
  <c r="AO34" i="122"/>
  <c r="AO10" i="122"/>
  <c r="AP40" i="122"/>
  <c r="AP16" i="122"/>
  <c r="AM54" i="122"/>
  <c r="AM38" i="122"/>
  <c r="AO73" i="122"/>
  <c r="AO57" i="122"/>
  <c r="AO33" i="122"/>
  <c r="AO17" i="122"/>
  <c r="AP31" i="122"/>
  <c r="AP7" i="122"/>
  <c r="AM69" i="122"/>
  <c r="AM37" i="122"/>
  <c r="AM64" i="122"/>
  <c r="AM32" i="122"/>
  <c r="AO107" i="122"/>
  <c r="AO83" i="122"/>
  <c r="AO67" i="122"/>
  <c r="AO35" i="122"/>
  <c r="AP41" i="122"/>
  <c r="AP9" i="122"/>
  <c r="AM47" i="122"/>
  <c r="AM31" i="122"/>
  <c r="AO122" i="122"/>
  <c r="AO90" i="122"/>
  <c r="AO66" i="122"/>
  <c r="AO50" i="122"/>
  <c r="AO18" i="122"/>
  <c r="AP48" i="122"/>
  <c r="AP24" i="122"/>
  <c r="AT110" i="122"/>
  <c r="AT102" i="122"/>
  <c r="AT94" i="122"/>
  <c r="AT86" i="122"/>
  <c r="AT78" i="122"/>
  <c r="AT70" i="122"/>
  <c r="AO44" i="122"/>
  <c r="AM22" i="122"/>
  <c r="AP100" i="122"/>
  <c r="AO68" i="122"/>
  <c r="AO111" i="122"/>
  <c r="AS110" i="122"/>
  <c r="AT95" i="122"/>
  <c r="AP5" i="122"/>
  <c r="AM110" i="122"/>
  <c r="AM102" i="122"/>
  <c r="AM94" i="122"/>
  <c r="AM78" i="122"/>
  <c r="AP75" i="122"/>
  <c r="AP67" i="122"/>
  <c r="AP59" i="122"/>
  <c r="AT105" i="122"/>
  <c r="AT97" i="122"/>
  <c r="AT89" i="122"/>
  <c r="AT81" i="122"/>
  <c r="AT73" i="122"/>
  <c r="AT65" i="122"/>
  <c r="AS70" i="122"/>
  <c r="AS62" i="122"/>
  <c r="AS54" i="122"/>
  <c r="AS46" i="122"/>
  <c r="AS38" i="122"/>
  <c r="AS30" i="122"/>
  <c r="AS22" i="122"/>
  <c r="AS14" i="122"/>
  <c r="AT104" i="122"/>
  <c r="AT80" i="122"/>
  <c r="AM118" i="122"/>
  <c r="AM86" i="122"/>
  <c r="AS111" i="122"/>
  <c r="AS102" i="122"/>
  <c r="AS94" i="122"/>
  <c r="AS86" i="122"/>
  <c r="AS78" i="122"/>
  <c r="AT71" i="122"/>
  <c r="AM109" i="122"/>
  <c r="AM93" i="122"/>
  <c r="AT113" i="122"/>
  <c r="AM108" i="122"/>
  <c r="AM92" i="122"/>
  <c r="AP74" i="122"/>
  <c r="AP58" i="122"/>
  <c r="AT112" i="122"/>
  <c r="AT72" i="122"/>
  <c r="AM115" i="122"/>
  <c r="AM99" i="122"/>
  <c r="AM83" i="122"/>
  <c r="AP81" i="122"/>
  <c r="AP57" i="122"/>
  <c r="AM117" i="122"/>
  <c r="AM101" i="122"/>
  <c r="AM85" i="122"/>
  <c r="AM77" i="122"/>
  <c r="AM116" i="122"/>
  <c r="AM100" i="122"/>
  <c r="AM84" i="122"/>
  <c r="AP66" i="122"/>
  <c r="AM123" i="122"/>
  <c r="AM107" i="122"/>
  <c r="AM142" i="122" s="1"/>
  <c r="AM91" i="122"/>
  <c r="AP112" i="122"/>
  <c r="AP73" i="122"/>
  <c r="AP65" i="122"/>
  <c r="AS69" i="122"/>
  <c r="AS61" i="122"/>
  <c r="AS53" i="122"/>
  <c r="AS45" i="122"/>
  <c r="AS37" i="122"/>
  <c r="AS29" i="122"/>
  <c r="AS21" i="122"/>
  <c r="AS13" i="122"/>
  <c r="AT119" i="122"/>
  <c r="AO46" i="122"/>
  <c r="AP72" i="122"/>
  <c r="AP56" i="122"/>
  <c r="AS93" i="122"/>
  <c r="AS85" i="122"/>
  <c r="AS68" i="122"/>
  <c r="AS52" i="122"/>
  <c r="AS36" i="122"/>
  <c r="AS12" i="122"/>
  <c r="AP98" i="122"/>
  <c r="AS100" i="122"/>
  <c r="AS76" i="122"/>
  <c r="AS59" i="122"/>
  <c r="AS43" i="122"/>
  <c r="AS27" i="122"/>
  <c r="AS11" i="122"/>
  <c r="AP97" i="122"/>
  <c r="AS8" i="122"/>
  <c r="AS116" i="122"/>
  <c r="AS108" i="122"/>
  <c r="AS99" i="122"/>
  <c r="AS91" i="122"/>
  <c r="AS83" i="122"/>
  <c r="AS75" i="122"/>
  <c r="AP80" i="122"/>
  <c r="AP64" i="122"/>
  <c r="AS101" i="122"/>
  <c r="AS77" i="122"/>
  <c r="AS60" i="122"/>
  <c r="AS44" i="122"/>
  <c r="AS28" i="122"/>
  <c r="AS20" i="122"/>
  <c r="AM8" i="122"/>
  <c r="AS109" i="122"/>
  <c r="AS92" i="122"/>
  <c r="AS84" i="122"/>
  <c r="AS67" i="122"/>
  <c r="AS51" i="122"/>
  <c r="AS35" i="122"/>
  <c r="AS136" i="122" s="1"/>
  <c r="AS19" i="122"/>
  <c r="AS115" i="122"/>
  <c r="AS107" i="122"/>
  <c r="AS142" i="122" s="1"/>
  <c r="AM114" i="122"/>
  <c r="AM82" i="122"/>
  <c r="AM97" i="122"/>
  <c r="AP110" i="122"/>
  <c r="AP71" i="122"/>
  <c r="AP139" i="122" s="1"/>
  <c r="AT117" i="122"/>
  <c r="AT77" i="122"/>
  <c r="AM104" i="122"/>
  <c r="AP78" i="122"/>
  <c r="AS42" i="122"/>
  <c r="AS26" i="122"/>
  <c r="AT116" i="122"/>
  <c r="AT76" i="122"/>
  <c r="AM119" i="122"/>
  <c r="AM111" i="122"/>
  <c r="AM103" i="122"/>
  <c r="AM95" i="122"/>
  <c r="AM87" i="122"/>
  <c r="AM79" i="122"/>
  <c r="AP108" i="122"/>
  <c r="AP77" i="122"/>
  <c r="AP69" i="122"/>
  <c r="AP61" i="122"/>
  <c r="AS98" i="122"/>
  <c r="AS90" i="122"/>
  <c r="AS82" i="122"/>
  <c r="AS73" i="122"/>
  <c r="AS65" i="122"/>
  <c r="AS57" i="122"/>
  <c r="AS49" i="122"/>
  <c r="AS41" i="122"/>
  <c r="AS33" i="122"/>
  <c r="AS25" i="122"/>
  <c r="AS17" i="122"/>
  <c r="AS9" i="122"/>
  <c r="AT123" i="122"/>
  <c r="AT107" i="122"/>
  <c r="AT99" i="122"/>
  <c r="AT91" i="122"/>
  <c r="AT83" i="122"/>
  <c r="AT75" i="122"/>
  <c r="AT67" i="122"/>
  <c r="AS122" i="122"/>
  <c r="AM106" i="122"/>
  <c r="AT118" i="122"/>
  <c r="AM121" i="122"/>
  <c r="AM89" i="122"/>
  <c r="AP79" i="122"/>
  <c r="AT93" i="122"/>
  <c r="AM120" i="122"/>
  <c r="AM96" i="122"/>
  <c r="AP109" i="122"/>
  <c r="AP70" i="122"/>
  <c r="AS50" i="122"/>
  <c r="AS18" i="122"/>
  <c r="AT92" i="122"/>
  <c r="AL123" i="122"/>
  <c r="AP87" i="122"/>
  <c r="AP76" i="122"/>
  <c r="AP68" i="122"/>
  <c r="AP60" i="122"/>
  <c r="AS114" i="122"/>
  <c r="AS106" i="122"/>
  <c r="AS97" i="122"/>
  <c r="AS89" i="122"/>
  <c r="AS81" i="122"/>
  <c r="AS72" i="122"/>
  <c r="AS64" i="122"/>
  <c r="AS56" i="122"/>
  <c r="AS48" i="122"/>
  <c r="AS40" i="122"/>
  <c r="AS32" i="122"/>
  <c r="AS24" i="122"/>
  <c r="AS16" i="122"/>
  <c r="AT122" i="122"/>
  <c r="AT114" i="122"/>
  <c r="AT106" i="122"/>
  <c r="AT98" i="122"/>
  <c r="AT90" i="122"/>
  <c r="AT82" i="122"/>
  <c r="AT74" i="122"/>
  <c r="AT66" i="122"/>
  <c r="AM122" i="122"/>
  <c r="AM98" i="122"/>
  <c r="AM113" i="122"/>
  <c r="AP63" i="122"/>
  <c r="AT109" i="122"/>
  <c r="AT85" i="122"/>
  <c r="AM112" i="122"/>
  <c r="AP62" i="122"/>
  <c r="AS66" i="122"/>
  <c r="AS34" i="122"/>
  <c r="AT100" i="122"/>
  <c r="AT68" i="122"/>
  <c r="AP118" i="122"/>
  <c r="AP85" i="122"/>
  <c r="AS113" i="122"/>
  <c r="AS104" i="122"/>
  <c r="AS96" i="122"/>
  <c r="AS88" i="122"/>
  <c r="AS80" i="122"/>
  <c r="AS71" i="122"/>
  <c r="AS63" i="122"/>
  <c r="AS55" i="122"/>
  <c r="AS47" i="122"/>
  <c r="AS39" i="122"/>
  <c r="AS31" i="122"/>
  <c r="AS23" i="122"/>
  <c r="AS15" i="122"/>
  <c r="AT121" i="122"/>
  <c r="AM90" i="122"/>
  <c r="AP111" i="122"/>
  <c r="AM105" i="122"/>
  <c r="AM81" i="122"/>
  <c r="AP54" i="122"/>
  <c r="AT101" i="122"/>
  <c r="AT69" i="122"/>
  <c r="AM88" i="122"/>
  <c r="AM80" i="122"/>
  <c r="AP53" i="122"/>
  <c r="AS58" i="122"/>
  <c r="AS10" i="122"/>
  <c r="AT108" i="122"/>
  <c r="AT84" i="122"/>
  <c r="AP117" i="122"/>
  <c r="AP84" i="122"/>
  <c r="AS112" i="122"/>
  <c r="AS103" i="122"/>
  <c r="AS95" i="122"/>
  <c r="AS141" i="122" s="1"/>
  <c r="AS87" i="122"/>
  <c r="AS79" i="122"/>
  <c r="AT120" i="122"/>
  <c r="AT96" i="122"/>
  <c r="AT88" i="122"/>
  <c r="IQ119" i="9"/>
  <c r="IQ120" i="9" s="1"/>
  <c r="IQ121" i="9" s="1"/>
  <c r="IQ122" i="9" s="1"/>
  <c r="IQ123" i="9" s="1"/>
  <c r="IQ124" i="9" s="1"/>
  <c r="IQ125" i="9" s="1"/>
  <c r="IQ126" i="9" s="1"/>
  <c r="IQ127" i="9" s="1"/>
  <c r="IQ128" i="9" s="1"/>
  <c r="IQ129" i="9" s="1"/>
  <c r="AO137" i="122" l="1"/>
  <c r="AO135" i="122"/>
  <c r="AM137" i="122"/>
  <c r="AO139" i="122"/>
  <c r="AT141" i="122"/>
  <c r="AT143" i="122"/>
  <c r="AT142" i="122"/>
  <c r="AT140" i="122"/>
  <c r="AM138" i="122"/>
  <c r="AM136" i="122"/>
  <c r="AM140" i="122"/>
  <c r="AS138" i="122"/>
  <c r="AO138" i="122"/>
  <c r="AM139" i="122"/>
  <c r="AP137" i="122"/>
  <c r="AP135" i="122"/>
  <c r="AO143" i="122"/>
  <c r="AO141" i="122"/>
  <c r="AS140" i="122"/>
  <c r="AO142" i="122"/>
  <c r="AO140" i="122"/>
  <c r="AO136" i="122"/>
  <c r="AP138" i="122"/>
  <c r="AT139" i="122"/>
  <c r="AM143" i="122"/>
  <c r="AS139" i="122"/>
  <c r="AS137" i="122"/>
  <c r="AS135" i="122"/>
  <c r="AM141" i="122"/>
  <c r="GV127" i="9"/>
  <c r="GU127" i="9"/>
  <c r="BB137" i="122" l="1"/>
  <c r="AM148" i="122"/>
  <c r="BB144" i="122"/>
  <c r="BD144" i="122" s="1"/>
  <c r="AT148" i="122"/>
  <c r="BB139" i="122"/>
  <c r="AO148" i="122"/>
  <c r="CP6" i="14"/>
  <c r="AR7" i="142" s="1"/>
  <c r="CP7" i="14"/>
  <c r="AR8" i="142" s="1"/>
  <c r="CP8" i="14"/>
  <c r="AR9" i="142" s="1"/>
  <c r="CP9" i="14"/>
  <c r="AR10" i="142" s="1"/>
  <c r="CP10" i="14"/>
  <c r="AR11" i="142" s="1"/>
  <c r="CP11" i="14"/>
  <c r="AR12" i="142" s="1"/>
  <c r="CP12" i="14"/>
  <c r="CP13" i="14"/>
  <c r="CP14" i="14"/>
  <c r="CP15" i="14"/>
  <c r="CP16" i="14"/>
  <c r="CP17" i="14"/>
  <c r="CP18" i="14"/>
  <c r="CP19" i="14"/>
  <c r="CP20" i="14"/>
  <c r="CP21" i="14"/>
  <c r="CP22" i="14"/>
  <c r="CP23" i="14"/>
  <c r="CP5" i="14"/>
  <c r="AR6" i="142" s="1"/>
  <c r="CP4" i="14"/>
  <c r="Y25" i="121"/>
  <c r="BD24" i="121"/>
  <c r="C24" i="121"/>
  <c r="BD23" i="121"/>
  <c r="C23" i="121"/>
  <c r="BD22" i="121"/>
  <c r="C22" i="121"/>
  <c r="BD21" i="121"/>
  <c r="C21" i="121"/>
  <c r="BD20" i="121"/>
  <c r="C20" i="121"/>
  <c r="BD19" i="121"/>
  <c r="C19" i="121"/>
  <c r="BD18" i="121"/>
  <c r="C18" i="121"/>
  <c r="BD17" i="121"/>
  <c r="C17" i="121"/>
  <c r="BD16" i="121"/>
  <c r="C16" i="121"/>
  <c r="BD15" i="121"/>
  <c r="BD14" i="121"/>
  <c r="C14" i="121"/>
  <c r="BD13" i="121"/>
  <c r="C13" i="121"/>
  <c r="BD12" i="121"/>
  <c r="C12" i="121"/>
  <c r="BD11" i="121"/>
  <c r="C11" i="121"/>
  <c r="BD10" i="121"/>
  <c r="C10" i="121"/>
  <c r="BD9" i="121"/>
  <c r="BD8" i="121"/>
  <c r="C8" i="121"/>
  <c r="BD7" i="121"/>
  <c r="C7" i="121"/>
  <c r="BD6" i="121"/>
  <c r="C6" i="121"/>
  <c r="BD5" i="121"/>
  <c r="BA2" i="121"/>
  <c r="AZ2" i="121"/>
  <c r="AY2" i="121"/>
  <c r="AX2" i="121"/>
  <c r="AW2" i="121"/>
  <c r="AV2" i="121"/>
  <c r="AU2" i="121"/>
  <c r="AT2" i="121"/>
  <c r="AS2" i="121"/>
  <c r="AR2" i="121"/>
  <c r="AQ2" i="121"/>
  <c r="AP2" i="121"/>
  <c r="CI1" i="121"/>
  <c r="BU1" i="121"/>
  <c r="BQ1" i="121"/>
  <c r="BL1" i="121"/>
  <c r="IG127" i="9"/>
  <c r="IE127" i="9"/>
  <c r="IE126" i="9"/>
  <c r="IE125" i="9"/>
  <c r="IA127" i="9"/>
  <c r="AS13" i="141" l="1"/>
  <c r="AR13" i="142"/>
  <c r="AS14" i="141"/>
  <c r="AR14" i="142"/>
  <c r="AS15" i="141"/>
  <c r="AR15" i="142"/>
  <c r="AS16" i="141"/>
  <c r="AR16" i="142"/>
  <c r="AS6" i="141"/>
  <c r="CP26" i="14"/>
  <c r="CP25" i="14"/>
  <c r="CP27" i="14"/>
  <c r="AR23" i="141"/>
  <c r="AR19" i="141"/>
  <c r="AR17" i="141"/>
  <c r="AR18" i="141"/>
  <c r="AR22" i="141"/>
  <c r="AR21" i="141"/>
  <c r="AR20" i="141"/>
  <c r="AR24" i="141"/>
  <c r="AS17" i="139"/>
  <c r="AS23" i="139"/>
  <c r="AS21" i="139"/>
  <c r="AS20" i="139"/>
  <c r="AS18" i="139"/>
  <c r="AS24" i="139"/>
  <c r="AS19" i="139"/>
  <c r="AS22" i="139"/>
  <c r="AT17" i="137"/>
  <c r="AT21" i="137"/>
  <c r="AT19" i="137"/>
  <c r="AT18" i="137"/>
  <c r="AT20" i="137"/>
  <c r="AT24" i="137"/>
  <c r="AT23" i="137"/>
  <c r="AT22" i="137"/>
  <c r="AU21" i="136"/>
  <c r="AU20" i="136"/>
  <c r="AU19" i="136"/>
  <c r="AU18" i="136"/>
  <c r="AU17" i="136"/>
  <c r="AU24" i="136"/>
  <c r="AU23" i="136"/>
  <c r="AU22" i="136"/>
  <c r="AV23" i="133"/>
  <c r="AV22" i="133"/>
  <c r="AV20" i="133"/>
  <c r="AV17" i="133"/>
  <c r="AV24" i="133"/>
  <c r="AV18" i="133"/>
  <c r="AV21" i="133"/>
  <c r="AV19" i="133"/>
  <c r="AT8" i="139"/>
  <c r="AS8" i="141"/>
  <c r="AT7" i="139"/>
  <c r="AS7" i="141"/>
  <c r="AT12" i="139"/>
  <c r="AS12" i="141"/>
  <c r="AT11" i="139"/>
  <c r="AS11" i="141"/>
  <c r="AT10" i="139"/>
  <c r="AS10" i="141"/>
  <c r="AT9" i="139"/>
  <c r="AS9" i="141"/>
  <c r="AU16" i="137"/>
  <c r="AT16" i="139"/>
  <c r="AU14" i="137"/>
  <c r="AT14" i="139"/>
  <c r="AU15" i="137"/>
  <c r="AT15" i="139"/>
  <c r="AU13" i="137"/>
  <c r="AT13" i="139"/>
  <c r="AU6" i="137"/>
  <c r="AT6" i="139"/>
  <c r="AV12" i="136"/>
  <c r="AU12" i="137"/>
  <c r="AV11" i="136"/>
  <c r="AU11" i="137"/>
  <c r="AV9" i="136"/>
  <c r="AU9" i="137"/>
  <c r="AV8" i="136"/>
  <c r="AU8" i="137"/>
  <c r="AV10" i="136"/>
  <c r="AU10" i="137"/>
  <c r="AV7" i="136"/>
  <c r="AU7" i="137"/>
  <c r="AW14" i="133"/>
  <c r="AV14" i="136"/>
  <c r="AW13" i="133"/>
  <c r="AV13" i="136"/>
  <c r="AW6" i="133"/>
  <c r="AV6" i="136"/>
  <c r="AW16" i="133"/>
  <c r="AV16" i="136"/>
  <c r="AW15" i="133"/>
  <c r="AV15" i="136"/>
  <c r="BC139" i="122"/>
  <c r="BD139" i="122"/>
  <c r="BC137" i="122"/>
  <c r="BD137" i="122"/>
  <c r="AX12" i="132"/>
  <c r="AW12" i="133"/>
  <c r="AX11" i="132"/>
  <c r="AW11" i="133"/>
  <c r="AX10" i="132"/>
  <c r="AW10" i="133"/>
  <c r="AX9" i="132"/>
  <c r="AW9" i="133"/>
  <c r="AX8" i="132"/>
  <c r="AW8" i="133"/>
  <c r="AX7" i="132"/>
  <c r="AW7" i="133"/>
  <c r="BC144" i="122"/>
  <c r="AW19" i="132"/>
  <c r="AW20" i="132"/>
  <c r="AW18" i="132"/>
  <c r="AW24" i="132"/>
  <c r="AW21" i="132"/>
  <c r="AW22" i="132"/>
  <c r="AW17" i="132"/>
  <c r="AW23" i="132"/>
  <c r="AY13" i="131"/>
  <c r="AX13" i="132"/>
  <c r="AY6" i="131"/>
  <c r="AX6" i="132"/>
  <c r="AY16" i="131"/>
  <c r="AX16" i="132"/>
  <c r="AY15" i="131"/>
  <c r="AX15" i="132"/>
  <c r="AY14" i="131"/>
  <c r="AX14" i="132"/>
  <c r="AY11" i="131"/>
  <c r="AY21" i="131"/>
  <c r="AY23" i="131"/>
  <c r="AY22" i="131"/>
  <c r="AY24" i="131"/>
  <c r="AY20" i="131"/>
  <c r="AY19" i="131"/>
  <c r="AY18" i="131"/>
  <c r="AY17" i="131"/>
  <c r="AY24" i="125"/>
  <c r="AY21" i="125"/>
  <c r="AY18" i="125"/>
  <c r="AY17" i="125"/>
  <c r="AY22" i="125"/>
  <c r="AY23" i="125"/>
  <c r="AY19" i="125"/>
  <c r="AY20" i="125"/>
  <c r="AZ20" i="124"/>
  <c r="AZ21" i="124"/>
  <c r="AZ19" i="124"/>
  <c r="AZ23" i="124"/>
  <c r="AZ18" i="124"/>
  <c r="AZ17" i="124"/>
  <c r="AZ24" i="124"/>
  <c r="AZ22" i="124"/>
  <c r="AY8" i="131"/>
  <c r="AY7" i="131"/>
  <c r="AY10" i="131"/>
  <c r="AY12" i="131"/>
  <c r="AY9" i="131"/>
  <c r="AZ6" i="125"/>
  <c r="AZ16" i="125"/>
  <c r="AZ8" i="125"/>
  <c r="AZ12" i="125"/>
  <c r="AZ11" i="125"/>
  <c r="AZ15" i="125"/>
  <c r="AZ7" i="125"/>
  <c r="AZ13" i="125"/>
  <c r="AZ10" i="125"/>
  <c r="AZ9" i="125"/>
  <c r="AZ14" i="125"/>
  <c r="II127" i="9"/>
  <c r="BA6" i="121"/>
  <c r="BA7" i="121"/>
  <c r="A29" i="121"/>
  <c r="A30" i="121"/>
  <c r="BA24" i="121"/>
  <c r="BA23" i="121"/>
  <c r="BA21" i="121"/>
  <c r="BA22" i="121"/>
  <c r="BA18" i="121"/>
  <c r="BA17" i="121"/>
  <c r="BA19" i="121"/>
  <c r="BA20" i="121"/>
  <c r="CP28" i="14" l="1"/>
  <c r="CP32" i="14" s="1"/>
  <c r="I33" i="121"/>
  <c r="HN127" i="9" l="1"/>
  <c r="HN128" i="9"/>
  <c r="HN129" i="9"/>
  <c r="HH127" i="9"/>
  <c r="HB127" i="9"/>
  <c r="GV116" i="9"/>
  <c r="GV117" i="9"/>
  <c r="GU116" i="9"/>
  <c r="GU117" i="9"/>
  <c r="GN22" i="9"/>
  <c r="GN34" i="9"/>
  <c r="GN46" i="9"/>
  <c r="GN58" i="9"/>
  <c r="GN70" i="9"/>
  <c r="GN82" i="9"/>
  <c r="GN94" i="9"/>
  <c r="FZ22" i="9"/>
  <c r="FZ23" i="9"/>
  <c r="FZ24" i="9"/>
  <c r="FZ25" i="9"/>
  <c r="FZ26" i="9"/>
  <c r="FZ27" i="9"/>
  <c r="FZ28" i="9"/>
  <c r="FZ29" i="9"/>
  <c r="FZ30" i="9"/>
  <c r="FZ31" i="9"/>
  <c r="FZ32" i="9"/>
  <c r="FZ33" i="9"/>
  <c r="FZ34" i="9"/>
  <c r="FZ35" i="9"/>
  <c r="FZ36" i="9"/>
  <c r="FZ37" i="9"/>
  <c r="FZ38" i="9"/>
  <c r="FZ39" i="9"/>
  <c r="FZ40" i="9"/>
  <c r="FZ41" i="9"/>
  <c r="FZ42" i="9"/>
  <c r="FZ43" i="9"/>
  <c r="FZ44" i="9"/>
  <c r="FZ45" i="9"/>
  <c r="FZ46" i="9"/>
  <c r="FZ47" i="9"/>
  <c r="FZ48" i="9"/>
  <c r="FZ49" i="9"/>
  <c r="FZ50" i="9"/>
  <c r="FZ51" i="9"/>
  <c r="FZ52" i="9"/>
  <c r="FZ53" i="9"/>
  <c r="FZ54" i="9"/>
  <c r="FZ55" i="9"/>
  <c r="FZ56" i="9"/>
  <c r="FZ57" i="9"/>
  <c r="FZ58" i="9"/>
  <c r="FZ59" i="9"/>
  <c r="FZ60" i="9"/>
  <c r="FZ61" i="9"/>
  <c r="FZ62" i="9"/>
  <c r="FZ63" i="9"/>
  <c r="FZ64" i="9"/>
  <c r="FZ65" i="9"/>
  <c r="FZ66" i="9"/>
  <c r="FZ67" i="9"/>
  <c r="FZ68" i="9"/>
  <c r="FZ69" i="9"/>
  <c r="FZ70" i="9"/>
  <c r="FZ71" i="9"/>
  <c r="FZ72" i="9"/>
  <c r="FZ73" i="9"/>
  <c r="FZ74" i="9"/>
  <c r="FZ75" i="9"/>
  <c r="FZ76" i="9"/>
  <c r="FZ77" i="9"/>
  <c r="FZ78" i="9"/>
  <c r="FZ79" i="9"/>
  <c r="FZ80" i="9"/>
  <c r="FZ81" i="9"/>
  <c r="FZ82" i="9"/>
  <c r="FZ83" i="9"/>
  <c r="FZ84" i="9"/>
  <c r="FZ85" i="9"/>
  <c r="FZ86" i="9"/>
  <c r="FZ87" i="9"/>
  <c r="FZ88" i="9"/>
  <c r="FZ89" i="9"/>
  <c r="FZ90" i="9"/>
  <c r="FZ91" i="9"/>
  <c r="FZ92" i="9"/>
  <c r="FZ93" i="9"/>
  <c r="FZ94" i="9"/>
  <c r="FZ95" i="9"/>
  <c r="FZ96" i="9"/>
  <c r="FZ97" i="9"/>
  <c r="FZ98" i="9"/>
  <c r="FZ99" i="9"/>
  <c r="FZ100" i="9"/>
  <c r="FZ101" i="9"/>
  <c r="FZ102" i="9"/>
  <c r="FZ103" i="9"/>
  <c r="FZ104" i="9"/>
  <c r="FZ105" i="9"/>
  <c r="FZ106" i="9"/>
  <c r="FZ107" i="9"/>
  <c r="FZ108" i="9"/>
  <c r="FZ109" i="9"/>
  <c r="FZ110" i="9"/>
  <c r="FZ111" i="9"/>
  <c r="FZ112" i="9"/>
  <c r="FZ113" i="9"/>
  <c r="FZ114" i="9"/>
  <c r="FZ115" i="9"/>
  <c r="FZ116" i="9"/>
  <c r="FZ117" i="9"/>
  <c r="FZ118" i="9"/>
  <c r="FZ119" i="9"/>
  <c r="FZ120" i="9"/>
  <c r="FZ121" i="9"/>
  <c r="FZ122" i="9"/>
  <c r="FZ123" i="9"/>
  <c r="FZ124" i="9"/>
  <c r="FZ125" i="9"/>
  <c r="FZ126" i="9"/>
  <c r="FZ127" i="9"/>
  <c r="FZ128" i="9"/>
  <c r="FZ129" i="9"/>
  <c r="D10" i="9"/>
  <c r="P10" i="9"/>
  <c r="R10" i="9"/>
  <c r="B5" i="122" s="1"/>
  <c r="Y10" i="9"/>
  <c r="Z10" i="9"/>
  <c r="AA10" i="9"/>
  <c r="AB10" i="9"/>
  <c r="AC10" i="9"/>
  <c r="AD10" i="9"/>
  <c r="F5" i="122" s="1"/>
  <c r="AE10" i="9"/>
  <c r="AM10" i="9"/>
  <c r="AU10" i="9"/>
  <c r="AD5" i="122"/>
  <c r="AE5" i="122" s="1"/>
  <c r="BG10" i="9"/>
  <c r="CZ137" i="9" s="1"/>
  <c r="BJ10" i="9"/>
  <c r="BM10" i="9"/>
  <c r="BU10" i="9"/>
  <c r="CG10" i="9"/>
  <c r="CO10" i="9"/>
  <c r="CS10" i="9"/>
  <c r="CX10" i="9"/>
  <c r="DG10" i="9"/>
  <c r="EA10" i="9"/>
  <c r="EA130" i="9"/>
  <c r="EA131" i="9"/>
  <c r="EA132" i="9"/>
  <c r="EA133" i="9"/>
  <c r="EA137" i="9"/>
  <c r="EA138" i="9"/>
  <c r="EA139" i="9"/>
  <c r="EA140" i="9"/>
  <c r="EA141" i="9"/>
  <c r="DI136" i="9" l="1"/>
  <c r="DI137" i="9"/>
  <c r="CZ135" i="9"/>
  <c r="CZ136" i="9"/>
  <c r="CZ134" i="9"/>
  <c r="CZ132" i="9"/>
  <c r="CZ133" i="9"/>
  <c r="CZ131" i="9"/>
  <c r="CJ134" i="9"/>
  <c r="CJ133" i="9"/>
  <c r="CJ132" i="9"/>
  <c r="CJ131" i="9"/>
  <c r="CR134" i="9"/>
  <c r="CS134" i="9" s="1"/>
  <c r="CR132" i="9"/>
  <c r="CS132" i="9" s="1"/>
  <c r="CR133" i="9"/>
  <c r="CS133" i="9" s="1"/>
  <c r="CR131" i="9"/>
  <c r="CS131" i="9" s="1"/>
  <c r="CJ130" i="9"/>
  <c r="CZ130" i="9"/>
  <c r="CR130" i="9"/>
  <c r="CS130" i="9" s="1"/>
  <c r="CJ129" i="9"/>
  <c r="AP10" i="9"/>
  <c r="CR129" i="9"/>
  <c r="CS129" i="9" s="1"/>
  <c r="BU129" i="9"/>
  <c r="BU131" i="9"/>
  <c r="DI131" i="9" s="1"/>
  <c r="BU133" i="9"/>
  <c r="BU134" i="9"/>
  <c r="DI134" i="9" s="1"/>
  <c r="BU135" i="9"/>
  <c r="DI135" i="9" s="1"/>
  <c r="BU138" i="9"/>
  <c r="BU139" i="9"/>
  <c r="BU140" i="9"/>
  <c r="BU141" i="9"/>
  <c r="BJ129" i="9"/>
  <c r="DA129" i="9" s="1"/>
  <c r="BJ130" i="9"/>
  <c r="BJ131" i="9"/>
  <c r="DA131" i="9" s="1"/>
  <c r="BJ132" i="9"/>
  <c r="DA132" i="9" s="1"/>
  <c r="BJ133" i="9"/>
  <c r="DA133" i="9" s="1"/>
  <c r="BJ134" i="9"/>
  <c r="DA134" i="9" s="1"/>
  <c r="BJ135" i="9"/>
  <c r="DA135" i="9" s="1"/>
  <c r="BJ136" i="9"/>
  <c r="DA136" i="9" s="1"/>
  <c r="BJ137" i="9"/>
  <c r="DA137" i="9" s="1"/>
  <c r="BJ138" i="9"/>
  <c r="BJ139" i="9"/>
  <c r="BJ140" i="9"/>
  <c r="BJ141" i="9"/>
  <c r="AD123" i="122"/>
  <c r="AD124" i="122"/>
  <c r="AD14" i="122"/>
  <c r="AE14" i="122" s="1"/>
  <c r="AD15" i="122"/>
  <c r="AE15" i="122" s="1"/>
  <c r="AD16" i="122"/>
  <c r="AE16" i="122" s="1"/>
  <c r="AD17" i="122"/>
  <c r="AE17" i="122" s="1"/>
  <c r="AD18" i="122"/>
  <c r="AE18" i="122" s="1"/>
  <c r="AD19" i="122"/>
  <c r="AE19" i="122" s="1"/>
  <c r="AD20" i="122"/>
  <c r="AE20" i="122" s="1"/>
  <c r="AD21" i="122"/>
  <c r="AE21" i="122" s="1"/>
  <c r="AD22" i="122"/>
  <c r="AE22" i="122" s="1"/>
  <c r="AD23" i="122"/>
  <c r="AE23" i="122" s="1"/>
  <c r="AD24" i="122"/>
  <c r="AE24" i="122" s="1"/>
  <c r="AD25" i="122"/>
  <c r="AE25" i="122" s="1"/>
  <c r="AD26" i="122"/>
  <c r="AE26" i="122" s="1"/>
  <c r="AD27" i="122"/>
  <c r="AE27" i="122" s="1"/>
  <c r="AD28" i="122"/>
  <c r="AE28" i="122" s="1"/>
  <c r="AD29" i="122"/>
  <c r="AE29" i="122" s="1"/>
  <c r="AD30" i="122"/>
  <c r="AE30" i="122" s="1"/>
  <c r="AD31" i="122"/>
  <c r="AE31" i="122" s="1"/>
  <c r="AD32" i="122"/>
  <c r="AE32" i="122" s="1"/>
  <c r="AD33" i="122"/>
  <c r="AE33" i="122" s="1"/>
  <c r="AD34" i="122"/>
  <c r="AE34" i="122" s="1"/>
  <c r="AD35" i="122"/>
  <c r="AE35" i="122" s="1"/>
  <c r="AD36" i="122"/>
  <c r="AE36" i="122" s="1"/>
  <c r="AD37" i="122"/>
  <c r="AE37" i="122" s="1"/>
  <c r="AD38" i="122"/>
  <c r="AE38" i="122" s="1"/>
  <c r="AD39" i="122"/>
  <c r="AE39" i="122" s="1"/>
  <c r="AD40" i="122"/>
  <c r="AE40" i="122" s="1"/>
  <c r="AD41" i="122"/>
  <c r="AE41" i="122" s="1"/>
  <c r="AD42" i="122"/>
  <c r="AE42" i="122" s="1"/>
  <c r="AD43" i="122"/>
  <c r="AE43" i="122" s="1"/>
  <c r="AD44" i="122"/>
  <c r="AE44" i="122" s="1"/>
  <c r="AD45" i="122"/>
  <c r="AE45" i="122" s="1"/>
  <c r="AD46" i="122"/>
  <c r="AE46" i="122" s="1"/>
  <c r="AD47" i="122"/>
  <c r="AE47" i="122" s="1"/>
  <c r="AD48" i="122"/>
  <c r="AE48" i="122" s="1"/>
  <c r="AD49" i="122"/>
  <c r="AE49" i="122" s="1"/>
  <c r="AD50" i="122"/>
  <c r="AE50" i="122" s="1"/>
  <c r="AD51" i="122"/>
  <c r="AE51" i="122" s="1"/>
  <c r="AD52" i="122"/>
  <c r="AE52" i="122" s="1"/>
  <c r="AD53" i="122"/>
  <c r="AE53" i="122" s="1"/>
  <c r="AD54" i="122"/>
  <c r="AE54" i="122" s="1"/>
  <c r="AD55" i="122"/>
  <c r="AE55" i="122" s="1"/>
  <c r="AD56" i="122"/>
  <c r="AE56" i="122" s="1"/>
  <c r="AD57" i="122"/>
  <c r="AE57" i="122" s="1"/>
  <c r="AD58" i="122"/>
  <c r="AE58" i="122" s="1"/>
  <c r="AD59" i="122"/>
  <c r="AE59" i="122" s="1"/>
  <c r="AD60" i="122"/>
  <c r="AE60" i="122" s="1"/>
  <c r="AD61" i="122"/>
  <c r="AE61" i="122" s="1"/>
  <c r="AD62" i="122"/>
  <c r="AE62" i="122" s="1"/>
  <c r="AD63" i="122"/>
  <c r="AE63" i="122" s="1"/>
  <c r="AD64" i="122"/>
  <c r="AE64" i="122" s="1"/>
  <c r="AD65" i="122"/>
  <c r="AE65" i="122" s="1"/>
  <c r="AD66" i="122"/>
  <c r="AE66" i="122" s="1"/>
  <c r="AD67" i="122"/>
  <c r="AE67" i="122" s="1"/>
  <c r="AD68" i="122"/>
  <c r="AE68" i="122" s="1"/>
  <c r="AD69" i="122"/>
  <c r="AE69" i="122" s="1"/>
  <c r="AD70" i="122"/>
  <c r="AE70" i="122" s="1"/>
  <c r="AD71" i="122"/>
  <c r="AE71" i="122" s="1"/>
  <c r="AD72" i="122"/>
  <c r="AE72" i="122" s="1"/>
  <c r="AD73" i="122"/>
  <c r="AE73" i="122" s="1"/>
  <c r="AD74" i="122"/>
  <c r="AE74" i="122" s="1"/>
  <c r="AD75" i="122"/>
  <c r="AE75" i="122" s="1"/>
  <c r="AD76" i="122"/>
  <c r="AE76" i="122" s="1"/>
  <c r="AD77" i="122"/>
  <c r="AE77" i="122" s="1"/>
  <c r="AD78" i="122"/>
  <c r="AE78" i="122" s="1"/>
  <c r="AD79" i="122"/>
  <c r="AE79" i="122" s="1"/>
  <c r="AD80" i="122"/>
  <c r="AD81" i="122"/>
  <c r="AD82" i="122"/>
  <c r="AD83" i="122"/>
  <c r="AD84" i="122"/>
  <c r="AD85" i="122"/>
  <c r="AD86" i="122"/>
  <c r="AD87" i="122"/>
  <c r="AD88" i="122"/>
  <c r="AD89" i="122"/>
  <c r="AD90" i="122"/>
  <c r="AD91" i="122"/>
  <c r="AD92" i="122"/>
  <c r="AD93" i="122"/>
  <c r="AD94" i="122"/>
  <c r="AD95" i="122"/>
  <c r="AD96" i="122"/>
  <c r="AD97" i="122"/>
  <c r="AD98" i="122"/>
  <c r="AD99" i="122"/>
  <c r="AD100" i="122"/>
  <c r="AD101" i="122"/>
  <c r="AD102" i="122"/>
  <c r="AD103" i="122"/>
  <c r="AD104" i="122"/>
  <c r="AD105" i="122"/>
  <c r="AD106" i="122"/>
  <c r="AD107" i="122"/>
  <c r="AD108" i="122"/>
  <c r="AD109" i="122"/>
  <c r="AD110" i="122"/>
  <c r="AD111" i="122"/>
  <c r="AD112" i="122"/>
  <c r="AD113" i="122"/>
  <c r="AD115" i="122"/>
  <c r="AD116" i="122"/>
  <c r="AD117" i="122"/>
  <c r="AD118" i="122"/>
  <c r="AD119" i="122"/>
  <c r="W122" i="122"/>
  <c r="AU133" i="9"/>
  <c r="AU135" i="9"/>
  <c r="AU136" i="9"/>
  <c r="AU137" i="9"/>
  <c r="AU138" i="9"/>
  <c r="AU139" i="9"/>
  <c r="AU140" i="9"/>
  <c r="AU141" i="9"/>
  <c r="AP128" i="9"/>
  <c r="AP125" i="9"/>
  <c r="AM127" i="9"/>
  <c r="AM128" i="9"/>
  <c r="AM129" i="9"/>
  <c r="AM130" i="9"/>
  <c r="AM131" i="9"/>
  <c r="AM132" i="9"/>
  <c r="AM133" i="9"/>
  <c r="AM134" i="9"/>
  <c r="AM135" i="9"/>
  <c r="AM136" i="9"/>
  <c r="AM137" i="9"/>
  <c r="AM138" i="9"/>
  <c r="AM139" i="9"/>
  <c r="AM140" i="9"/>
  <c r="AM141" i="9"/>
  <c r="AD127" i="9"/>
  <c r="F122" i="122" s="1"/>
  <c r="AN122" i="122" s="1"/>
  <c r="BP127" i="9"/>
  <c r="BO127" i="9"/>
  <c r="L122" i="122" s="1"/>
  <c r="AQ122" i="122" s="1"/>
  <c r="BT127" i="9"/>
  <c r="AF128" i="9"/>
  <c r="T127" i="9"/>
  <c r="O127" i="9"/>
  <c r="N127" i="9"/>
  <c r="DI133" i="9" l="1"/>
  <c r="AE124" i="122"/>
  <c r="AH124" i="122" s="1"/>
  <c r="W121" i="122"/>
  <c r="DA130" i="9"/>
  <c r="AD114" i="122"/>
  <c r="AD126" i="122"/>
  <c r="AD125" i="122"/>
  <c r="AE80" i="122"/>
  <c r="AH80" i="122" s="1"/>
  <c r="AE115" i="122"/>
  <c r="AH115" i="122" s="1"/>
  <c r="AE102" i="122"/>
  <c r="AE90" i="122"/>
  <c r="AH90" i="122" s="1"/>
  <c r="AE123" i="122"/>
  <c r="AE116" i="122"/>
  <c r="AE91" i="122"/>
  <c r="AH91" i="122" s="1"/>
  <c r="AE89" i="122"/>
  <c r="AH89" i="122" s="1"/>
  <c r="AE112" i="122"/>
  <c r="AE100" i="122"/>
  <c r="AH100" i="122" s="1"/>
  <c r="AE88" i="122"/>
  <c r="AE81" i="122"/>
  <c r="AH81" i="122" s="1"/>
  <c r="AE103" i="122"/>
  <c r="AH103" i="122" s="1"/>
  <c r="AE113" i="122"/>
  <c r="AH113" i="122" s="1"/>
  <c r="AE87" i="122"/>
  <c r="AH87" i="122" s="1"/>
  <c r="AE110" i="122"/>
  <c r="AH110" i="122" s="1"/>
  <c r="AE98" i="122"/>
  <c r="AE86" i="122"/>
  <c r="AE117" i="122"/>
  <c r="AH117" i="122" s="1"/>
  <c r="AE93" i="122"/>
  <c r="AH93" i="122" s="1"/>
  <c r="AE104" i="122"/>
  <c r="AE99" i="122"/>
  <c r="AH99" i="122" s="1"/>
  <c r="AE97" i="122"/>
  <c r="AH97" i="122" s="1"/>
  <c r="AU127" i="9"/>
  <c r="AE108" i="122"/>
  <c r="AH108" i="122" s="1"/>
  <c r="AE96" i="122"/>
  <c r="AE84" i="122"/>
  <c r="AE101" i="122"/>
  <c r="AH101" i="122" s="1"/>
  <c r="AE111" i="122"/>
  <c r="AH111" i="122" s="1"/>
  <c r="AE85" i="122"/>
  <c r="AH85" i="122" s="1"/>
  <c r="AE119" i="122"/>
  <c r="AE107" i="122"/>
  <c r="AE95" i="122"/>
  <c r="AE83" i="122"/>
  <c r="AH83" i="122" s="1"/>
  <c r="AE105" i="122"/>
  <c r="AE92" i="122"/>
  <c r="AH92" i="122" s="1"/>
  <c r="X122" i="122"/>
  <c r="AE109" i="122"/>
  <c r="AH109" i="122" s="1"/>
  <c r="AE118" i="122"/>
  <c r="AH118" i="122" s="1"/>
  <c r="AE106" i="122"/>
  <c r="AH106" i="122" s="1"/>
  <c r="AE94" i="122"/>
  <c r="AE82" i="122"/>
  <c r="DI129" i="9"/>
  <c r="AP127" i="9"/>
  <c r="AD122" i="122"/>
  <c r="BQ127" i="9"/>
  <c r="P127" i="9"/>
  <c r="AV115" i="122" l="1"/>
  <c r="AV117" i="122"/>
  <c r="AV108" i="122"/>
  <c r="AE125" i="122"/>
  <c r="AH125" i="122" s="1"/>
  <c r="AV83" i="122"/>
  <c r="AV110" i="122"/>
  <c r="AH102" i="122"/>
  <c r="AV102" i="122" s="1"/>
  <c r="AV113" i="122"/>
  <c r="AH82" i="122"/>
  <c r="AV82" i="122" s="1"/>
  <c r="AH86" i="122"/>
  <c r="AV86" i="122" s="1"/>
  <c r="AH94" i="122"/>
  <c r="AV94" i="122" s="1"/>
  <c r="AV118" i="122"/>
  <c r="AV91" i="122"/>
  <c r="AV99" i="122"/>
  <c r="AE114" i="122"/>
  <c r="AH114" i="122" s="1"/>
  <c r="AV111" i="122"/>
  <c r="AV103" i="122"/>
  <c r="AH96" i="122"/>
  <c r="AV96" i="122" s="1"/>
  <c r="AH88" i="122"/>
  <c r="AV88" i="122" s="1"/>
  <c r="AH107" i="122"/>
  <c r="AV107" i="122" s="1"/>
  <c r="AV100" i="122"/>
  <c r="AH84" i="122"/>
  <c r="AV84" i="122" s="1"/>
  <c r="AV80" i="122"/>
  <c r="AV106" i="122"/>
  <c r="AV89" i="122"/>
  <c r="AH95" i="122"/>
  <c r="AV95" i="122" s="1"/>
  <c r="AV141" i="122" s="1"/>
  <c r="AV97" i="122"/>
  <c r="AV87" i="122"/>
  <c r="AV109" i="122"/>
  <c r="AV85" i="122"/>
  <c r="AH119" i="122"/>
  <c r="AV119" i="122" s="1"/>
  <c r="AV92" i="122"/>
  <c r="AV101" i="122"/>
  <c r="AV93" i="122"/>
  <c r="AV81" i="122"/>
  <c r="AV90" i="122"/>
  <c r="X121" i="122"/>
  <c r="AB121" i="122" s="1"/>
  <c r="AH105" i="122"/>
  <c r="AV105" i="122" s="1"/>
  <c r="AH112" i="122"/>
  <c r="AV112" i="122" s="1"/>
  <c r="AH104" i="122"/>
  <c r="AV104" i="122" s="1"/>
  <c r="AH98" i="122"/>
  <c r="AV98" i="122" s="1"/>
  <c r="AH116" i="122"/>
  <c r="AV116" i="122" s="1"/>
  <c r="AV124" i="122"/>
  <c r="AH123" i="122"/>
  <c r="AV123" i="122" s="1"/>
  <c r="AB122" i="122"/>
  <c r="AU122" i="122" s="1"/>
  <c r="AE126" i="122"/>
  <c r="AH126" i="122" s="1"/>
  <c r="AZ146" i="122"/>
  <c r="AE122" i="122"/>
  <c r="CV129" i="9"/>
  <c r="CW129" i="9"/>
  <c r="D141" i="9"/>
  <c r="D139" i="9"/>
  <c r="D140" i="9"/>
  <c r="D138" i="9"/>
  <c r="D135" i="9"/>
  <c r="D136" i="9"/>
  <c r="D137" i="9"/>
  <c r="D131" i="9"/>
  <c r="D132" i="9"/>
  <c r="D133" i="9"/>
  <c r="D134" i="9"/>
  <c r="D130" i="9"/>
  <c r="CO6" i="14"/>
  <c r="CO7" i="14"/>
  <c r="CO8" i="14"/>
  <c r="CO9" i="14"/>
  <c r="AQ10" i="142" s="1"/>
  <c r="CO10" i="14"/>
  <c r="AQ11" i="142" s="1"/>
  <c r="CO11" i="14"/>
  <c r="AQ12" i="142" s="1"/>
  <c r="CO12" i="14"/>
  <c r="AQ13" i="142" s="1"/>
  <c r="CO13" i="14"/>
  <c r="AQ14" i="142" s="1"/>
  <c r="CO14" i="14"/>
  <c r="AQ15" i="142" s="1"/>
  <c r="CO15" i="14"/>
  <c r="CO16" i="14"/>
  <c r="CO17" i="14"/>
  <c r="CO18" i="14"/>
  <c r="CO19" i="14"/>
  <c r="CO20" i="14"/>
  <c r="CO21" i="14"/>
  <c r="CO22" i="14"/>
  <c r="CO23" i="14"/>
  <c r="CO5" i="14"/>
  <c r="AQ6" i="142" s="1"/>
  <c r="CO4" i="14"/>
  <c r="BA2" i="119"/>
  <c r="BA2" i="116"/>
  <c r="BC28" i="120"/>
  <c r="BD28" i="120" s="1"/>
  <c r="Y25" i="120"/>
  <c r="BD24" i="120"/>
  <c r="C24" i="120"/>
  <c r="BD23" i="120"/>
  <c r="C23" i="120"/>
  <c r="BD22" i="120"/>
  <c r="C22" i="120"/>
  <c r="BD21" i="120"/>
  <c r="C21" i="120"/>
  <c r="BD20" i="120"/>
  <c r="C20" i="120"/>
  <c r="BD19" i="120"/>
  <c r="C19" i="120"/>
  <c r="BD18" i="120"/>
  <c r="C18" i="120"/>
  <c r="BD17" i="120"/>
  <c r="C17" i="120"/>
  <c r="BD16" i="120"/>
  <c r="C16" i="120"/>
  <c r="BD15" i="120"/>
  <c r="BD14" i="120"/>
  <c r="C14" i="120"/>
  <c r="BD13" i="120"/>
  <c r="C13" i="120"/>
  <c r="BD12" i="120"/>
  <c r="C12" i="120"/>
  <c r="BD11" i="120"/>
  <c r="C11" i="120"/>
  <c r="BD10" i="120"/>
  <c r="C10" i="120"/>
  <c r="BD9" i="120"/>
  <c r="BD8" i="120"/>
  <c r="C8" i="120"/>
  <c r="BD7" i="120"/>
  <c r="C7" i="120"/>
  <c r="BD6" i="120"/>
  <c r="C6" i="120"/>
  <c r="BD5" i="120"/>
  <c r="BA2" i="120"/>
  <c r="AZ2" i="120"/>
  <c r="AY2" i="120"/>
  <c r="AX2" i="120"/>
  <c r="AW2" i="120"/>
  <c r="AV2" i="120"/>
  <c r="AU2" i="120"/>
  <c r="AT2" i="120"/>
  <c r="AS2" i="120"/>
  <c r="AR2" i="120"/>
  <c r="AQ2" i="120"/>
  <c r="AP2" i="120"/>
  <c r="CI1" i="120"/>
  <c r="BU1" i="120"/>
  <c r="BQ1" i="120"/>
  <c r="BL1" i="120"/>
  <c r="AU126" i="9"/>
  <c r="HN126" i="9"/>
  <c r="IG126" i="9"/>
  <c r="IA126" i="9"/>
  <c r="BP126" i="9"/>
  <c r="BO126" i="9"/>
  <c r="L121" i="122" s="1"/>
  <c r="AQ121" i="122" s="1"/>
  <c r="BR125" i="9"/>
  <c r="J120" i="122" s="1"/>
  <c r="AP120" i="122" s="1"/>
  <c r="BR126" i="9"/>
  <c r="J121" i="122" s="1"/>
  <c r="AP121" i="122" s="1"/>
  <c r="AV142" i="122" l="1"/>
  <c r="AV140" i="122"/>
  <c r="AR7" i="141"/>
  <c r="AQ7" i="142"/>
  <c r="AR8" i="141"/>
  <c r="AQ8" i="142"/>
  <c r="AR9" i="141"/>
  <c r="AQ9" i="142"/>
  <c r="AR16" i="141"/>
  <c r="AQ16" i="142"/>
  <c r="CO26" i="14"/>
  <c r="CO25" i="14"/>
  <c r="CO27" i="14"/>
  <c r="AQ20" i="141"/>
  <c r="AQ19" i="141"/>
  <c r="AQ23" i="141"/>
  <c r="AQ21" i="141"/>
  <c r="AQ17" i="141"/>
  <c r="AQ18" i="141"/>
  <c r="AQ22" i="141"/>
  <c r="AQ24" i="141"/>
  <c r="AR18" i="139"/>
  <c r="AR22" i="139"/>
  <c r="AR23" i="139"/>
  <c r="AR19" i="139"/>
  <c r="AR21" i="139"/>
  <c r="AR24" i="139"/>
  <c r="AR20" i="139"/>
  <c r="AR17" i="139"/>
  <c r="AS19" i="137"/>
  <c r="AS18" i="137"/>
  <c r="AS20" i="137"/>
  <c r="AS24" i="137"/>
  <c r="AS23" i="137"/>
  <c r="AS22" i="137"/>
  <c r="AS17" i="137"/>
  <c r="AS21" i="137"/>
  <c r="AT19" i="136"/>
  <c r="AT18" i="136"/>
  <c r="AT21" i="136"/>
  <c r="AT20" i="136"/>
  <c r="AT17" i="136"/>
  <c r="AT24" i="136"/>
  <c r="AT23" i="136"/>
  <c r="AT22" i="136"/>
  <c r="AU24" i="133"/>
  <c r="AU23" i="133"/>
  <c r="AU19" i="133"/>
  <c r="AU20" i="133"/>
  <c r="AU22" i="133"/>
  <c r="AU17" i="133"/>
  <c r="AU18" i="133"/>
  <c r="AU21" i="133"/>
  <c r="AS15" i="139"/>
  <c r="AR15" i="141"/>
  <c r="AS14" i="139"/>
  <c r="AR14" i="141"/>
  <c r="AS13" i="139"/>
  <c r="AR13" i="141"/>
  <c r="AS12" i="139"/>
  <c r="AR12" i="141"/>
  <c r="AS11" i="139"/>
  <c r="AR11" i="141"/>
  <c r="AS10" i="139"/>
  <c r="AR10" i="141"/>
  <c r="AS6" i="139"/>
  <c r="AR6" i="141"/>
  <c r="AU121" i="122"/>
  <c r="AV114" i="122"/>
  <c r="AV125" i="122"/>
  <c r="AV126" i="122"/>
  <c r="AH122" i="122"/>
  <c r="AV122" i="122" s="1"/>
  <c r="AT9" i="137"/>
  <c r="AS9" i="139"/>
  <c r="AT16" i="137"/>
  <c r="AS16" i="139"/>
  <c r="AT8" i="137"/>
  <c r="AS8" i="139"/>
  <c r="AT7" i="137"/>
  <c r="AS7" i="139"/>
  <c r="AU11" i="136"/>
  <c r="AT11" i="137"/>
  <c r="AU10" i="136"/>
  <c r="AT10" i="137"/>
  <c r="AU6" i="136"/>
  <c r="AT6" i="137"/>
  <c r="AU12" i="136"/>
  <c r="AT12" i="137"/>
  <c r="AU15" i="136"/>
  <c r="AT15" i="137"/>
  <c r="AU14" i="136"/>
  <c r="AT14" i="137"/>
  <c r="AU13" i="136"/>
  <c r="AT13" i="137"/>
  <c r="AV9" i="133"/>
  <c r="AU9" i="136"/>
  <c r="AV16" i="133"/>
  <c r="AU16" i="136"/>
  <c r="AV8" i="133"/>
  <c r="AU8" i="136"/>
  <c r="AV7" i="133"/>
  <c r="AU7" i="136"/>
  <c r="BA146" i="122"/>
  <c r="AW15" i="132"/>
  <c r="AV15" i="133"/>
  <c r="AW14" i="132"/>
  <c r="AV14" i="133"/>
  <c r="AW13" i="132"/>
  <c r="AV13" i="133"/>
  <c r="AW12" i="132"/>
  <c r="AV12" i="133"/>
  <c r="AW11" i="132"/>
  <c r="AV11" i="133"/>
  <c r="AW10" i="132"/>
  <c r="AV10" i="133"/>
  <c r="AW6" i="132"/>
  <c r="AV6" i="133"/>
  <c r="AV21" i="132"/>
  <c r="AV22" i="132"/>
  <c r="AV20" i="132"/>
  <c r="AV17" i="132"/>
  <c r="AV18" i="132"/>
  <c r="AV24" i="132"/>
  <c r="AV19" i="132"/>
  <c r="AV23" i="132"/>
  <c r="AX9" i="131"/>
  <c r="AW9" i="132"/>
  <c r="AX16" i="131"/>
  <c r="AW16" i="132"/>
  <c r="AX8" i="131"/>
  <c r="AW8" i="132"/>
  <c r="AX7" i="131"/>
  <c r="AW7" i="132"/>
  <c r="AX15" i="131"/>
  <c r="AX22" i="131"/>
  <c r="AX18" i="131"/>
  <c r="AX23" i="131"/>
  <c r="AX24" i="131"/>
  <c r="AX20" i="131"/>
  <c r="AX21" i="131"/>
  <c r="AX19" i="131"/>
  <c r="AX17" i="131"/>
  <c r="AX18" i="125"/>
  <c r="AX17" i="125"/>
  <c r="AX23" i="125"/>
  <c r="AX21" i="125"/>
  <c r="AX24" i="125"/>
  <c r="AX22" i="125"/>
  <c r="AX20" i="125"/>
  <c r="AX19" i="125"/>
  <c r="AY23" i="124"/>
  <c r="AY19" i="124"/>
  <c r="AY17" i="124"/>
  <c r="AY24" i="124"/>
  <c r="AY21" i="124"/>
  <c r="AY20" i="124"/>
  <c r="AY18" i="124"/>
  <c r="AY22" i="124"/>
  <c r="AX14" i="131"/>
  <c r="AX6" i="131"/>
  <c r="AX13" i="131"/>
  <c r="AX12" i="131"/>
  <c r="AX11" i="131"/>
  <c r="AX10" i="131"/>
  <c r="AY10" i="125"/>
  <c r="AY15" i="125"/>
  <c r="AY7" i="125"/>
  <c r="AY8" i="125"/>
  <c r="AY14" i="125"/>
  <c r="AY11" i="125"/>
  <c r="AY9" i="125"/>
  <c r="AY13" i="125"/>
  <c r="AY16" i="125"/>
  <c r="AY12" i="125"/>
  <c r="II126" i="9"/>
  <c r="CX129" i="9"/>
  <c r="AY6" i="125"/>
  <c r="AX6" i="125"/>
  <c r="AP126" i="9"/>
  <c r="AD121" i="122"/>
  <c r="AZ10" i="124"/>
  <c r="AY10" i="124"/>
  <c r="AZ9" i="124"/>
  <c r="AY9" i="124"/>
  <c r="AZ16" i="124"/>
  <c r="AY16" i="124"/>
  <c r="AZ8" i="124"/>
  <c r="AY8" i="124"/>
  <c r="AZ15" i="124"/>
  <c r="AY15" i="124"/>
  <c r="AZ7" i="124"/>
  <c r="AY7" i="124"/>
  <c r="AZ14" i="124"/>
  <c r="AY14" i="124"/>
  <c r="AZ13" i="124"/>
  <c r="AY13" i="124"/>
  <c r="AZ12" i="124"/>
  <c r="AY12" i="124"/>
  <c r="AZ6" i="124"/>
  <c r="AY6" i="124"/>
  <c r="AZ11" i="124"/>
  <c r="AY11" i="124"/>
  <c r="BA24" i="120"/>
  <c r="BA23" i="120"/>
  <c r="AZ24" i="121"/>
  <c r="AZ20" i="121"/>
  <c r="AZ18" i="121"/>
  <c r="AZ17" i="121"/>
  <c r="AZ23" i="121"/>
  <c r="AZ21" i="121"/>
  <c r="AZ19" i="121"/>
  <c r="AZ22" i="121"/>
  <c r="BA6" i="120"/>
  <c r="BA17" i="120"/>
  <c r="BA9" i="120"/>
  <c r="BA9" i="121"/>
  <c r="BA15" i="120"/>
  <c r="BA15" i="121"/>
  <c r="BA7" i="120"/>
  <c r="BA22" i="120"/>
  <c r="BA14" i="120"/>
  <c r="BA14" i="121"/>
  <c r="BA21" i="120"/>
  <c r="BA13" i="120"/>
  <c r="BA13" i="121"/>
  <c r="BA20" i="120"/>
  <c r="BA12" i="120"/>
  <c r="BA12" i="121"/>
  <c r="BA16" i="120"/>
  <c r="BA16" i="121"/>
  <c r="BA19" i="120"/>
  <c r="BA11" i="120"/>
  <c r="BA11" i="121"/>
  <c r="BA8" i="120"/>
  <c r="BA8" i="121"/>
  <c r="BA18" i="120"/>
  <c r="BA10" i="120"/>
  <c r="BA10" i="121"/>
  <c r="A29" i="120"/>
  <c r="A28" i="120"/>
  <c r="A30" i="120"/>
  <c r="BT126" i="9"/>
  <c r="AF127" i="9"/>
  <c r="T126" i="9"/>
  <c r="AE126" i="9" s="1"/>
  <c r="CO28" i="14" l="1"/>
  <c r="CO32" i="14" s="1"/>
  <c r="AE121" i="122"/>
  <c r="O126" i="9"/>
  <c r="N126" i="9"/>
  <c r="CQ121" i="9"/>
  <c r="CQ122" i="9"/>
  <c r="CQ123" i="9"/>
  <c r="CQ124" i="9"/>
  <c r="CQ125" i="9"/>
  <c r="CQ126" i="9"/>
  <c r="CQ127" i="9"/>
  <c r="CQ128" i="9"/>
  <c r="AH121" i="122" l="1"/>
  <c r="AV121" i="122" s="1"/>
  <c r="CA128" i="9"/>
  <c r="CI128" i="9"/>
  <c r="DB128" i="9"/>
  <c r="CC128" i="9"/>
  <c r="DF128" i="9"/>
  <c r="CF128" i="9"/>
  <c r="CB128" i="9"/>
  <c r="CJ128" i="9"/>
  <c r="CR128" i="9"/>
  <c r="CS128" i="9" s="1"/>
  <c r="DC128" i="9"/>
  <c r="CT128" i="9"/>
  <c r="CV128" i="9"/>
  <c r="CW128" i="9"/>
  <c r="CM128" i="9"/>
  <c r="BY128" i="9"/>
  <c r="CY128" i="9"/>
  <c r="BZ128" i="9"/>
  <c r="CH128" i="9"/>
  <c r="CP128" i="9"/>
  <c r="CK128" i="9"/>
  <c r="DD128" i="9"/>
  <c r="CD128" i="9"/>
  <c r="CL128" i="9"/>
  <c r="CU128" i="9"/>
  <c r="DE128" i="9"/>
  <c r="CE128" i="9"/>
  <c r="CN128" i="9"/>
  <c r="DH128" i="9"/>
  <c r="CD127" i="9"/>
  <c r="CM127" i="9"/>
  <c r="CV127" i="9"/>
  <c r="DE127" i="9"/>
  <c r="CE127" i="9"/>
  <c r="CN127" i="9"/>
  <c r="CW127" i="9"/>
  <c r="DF127" i="9"/>
  <c r="CI127" i="9"/>
  <c r="CF127" i="9"/>
  <c r="CP127" i="9"/>
  <c r="CY127" i="9"/>
  <c r="CR127" i="9"/>
  <c r="CS127" i="9" s="1"/>
  <c r="BY127" i="9"/>
  <c r="CH127" i="9"/>
  <c r="DH127" i="9"/>
  <c r="BZ127" i="9"/>
  <c r="CA127" i="9"/>
  <c r="CJ127" i="9"/>
  <c r="DB127" i="9"/>
  <c r="CL127" i="9"/>
  <c r="CU127" i="9"/>
  <c r="DD127" i="9"/>
  <c r="CB127" i="9"/>
  <c r="CK127" i="9"/>
  <c r="CT127" i="9"/>
  <c r="DC127" i="9"/>
  <c r="CC127" i="9"/>
  <c r="BZ126" i="9"/>
  <c r="CI126" i="9"/>
  <c r="CT126" i="9"/>
  <c r="DC126" i="9"/>
  <c r="CB126" i="9"/>
  <c r="CK126" i="9"/>
  <c r="CV126" i="9"/>
  <c r="DE126" i="9"/>
  <c r="CP126" i="9"/>
  <c r="BY126" i="9"/>
  <c r="DB126" i="9"/>
  <c r="CA126" i="9"/>
  <c r="CU126" i="9"/>
  <c r="DD126" i="9"/>
  <c r="CC126" i="9"/>
  <c r="CL126" i="9"/>
  <c r="CW126" i="9"/>
  <c r="DF126" i="9"/>
  <c r="CM126" i="9"/>
  <c r="DH126" i="9"/>
  <c r="CE126" i="9"/>
  <c r="CN126" i="9"/>
  <c r="CD126" i="9"/>
  <c r="CY126" i="9"/>
  <c r="CF126" i="9"/>
  <c r="IU47" i="9"/>
  <c r="IU48" i="9" s="1"/>
  <c r="IU49" i="9" s="1"/>
  <c r="IU50" i="9" s="1"/>
  <c r="IU51" i="9" s="1"/>
  <c r="IU52" i="9" s="1"/>
  <c r="IU53" i="9" s="1"/>
  <c r="IU54" i="9" s="1"/>
  <c r="IU55" i="9" s="1"/>
  <c r="IU56" i="9" s="1"/>
  <c r="IU57" i="9" s="1"/>
  <c r="IT47" i="9"/>
  <c r="IT48" i="9" s="1"/>
  <c r="IT49" i="9" s="1"/>
  <c r="IT50" i="9" s="1"/>
  <c r="IT51" i="9" s="1"/>
  <c r="IT52" i="9" s="1"/>
  <c r="IT53" i="9" s="1"/>
  <c r="IT54" i="9" s="1"/>
  <c r="IT55" i="9" s="1"/>
  <c r="IT56" i="9" s="1"/>
  <c r="IT57" i="9" s="1"/>
  <c r="IS47" i="9"/>
  <c r="IS48" i="9" s="1"/>
  <c r="IS49" i="9" s="1"/>
  <c r="IS50" i="9" s="1"/>
  <c r="IS51" i="9" s="1"/>
  <c r="IS52" i="9" s="1"/>
  <c r="IS53" i="9" s="1"/>
  <c r="IS54" i="9" s="1"/>
  <c r="IS55" i="9" s="1"/>
  <c r="IS56" i="9" s="1"/>
  <c r="IS57" i="9" s="1"/>
  <c r="IR47" i="9"/>
  <c r="IR48" i="9" s="1"/>
  <c r="IR49" i="9" s="1"/>
  <c r="IR50" i="9" s="1"/>
  <c r="IR51" i="9" s="1"/>
  <c r="IR52" i="9" s="1"/>
  <c r="IR53" i="9" s="1"/>
  <c r="IR54" i="9" s="1"/>
  <c r="IR55" i="9" s="1"/>
  <c r="IR56" i="9" s="1"/>
  <c r="IR57" i="9" s="1"/>
  <c r="GF47" i="9"/>
  <c r="GF48" i="9" s="1"/>
  <c r="GF49" i="9" s="1"/>
  <c r="GF50" i="9" s="1"/>
  <c r="GF51" i="9" s="1"/>
  <c r="GF52" i="9" s="1"/>
  <c r="GF53" i="9" s="1"/>
  <c r="GF54" i="9" s="1"/>
  <c r="GF55" i="9" s="1"/>
  <c r="GF56" i="9" s="1"/>
  <c r="GF57" i="9" s="1"/>
  <c r="GF35" i="9"/>
  <c r="GF36" i="9" s="1"/>
  <c r="GF37" i="9" s="1"/>
  <c r="GF38" i="9" s="1"/>
  <c r="GF39" i="9" s="1"/>
  <c r="GF40" i="9" s="1"/>
  <c r="GF41" i="9" s="1"/>
  <c r="GF42" i="9" s="1"/>
  <c r="GF43" i="9" s="1"/>
  <c r="GF44" i="9" s="1"/>
  <c r="GF45" i="9" s="1"/>
  <c r="ER107" i="9"/>
  <c r="ER108" i="9"/>
  <c r="ER109" i="9"/>
  <c r="ER110" i="9"/>
  <c r="ER111" i="9"/>
  <c r="ER112" i="9"/>
  <c r="ER113" i="9"/>
  <c r="ER114" i="9"/>
  <c r="ER115" i="9"/>
  <c r="ER116" i="9"/>
  <c r="ER117" i="9"/>
  <c r="ER106" i="9"/>
  <c r="ER95" i="9"/>
  <c r="ER96" i="9"/>
  <c r="ER97" i="9"/>
  <c r="ER98" i="9"/>
  <c r="ER99" i="9"/>
  <c r="ER100" i="9"/>
  <c r="ER101" i="9"/>
  <c r="ER102" i="9"/>
  <c r="ER103" i="9"/>
  <c r="ER104" i="9"/>
  <c r="ER105" i="9"/>
  <c r="ER94" i="9"/>
  <c r="GV126" i="9"/>
  <c r="GU126" i="9"/>
  <c r="GW137" i="9" s="1"/>
  <c r="CN21" i="14"/>
  <c r="CN22" i="14"/>
  <c r="CN23" i="14"/>
  <c r="CN6" i="14"/>
  <c r="AP7" i="142" s="1"/>
  <c r="CN7" i="14"/>
  <c r="AP8" i="142" s="1"/>
  <c r="CN8" i="14"/>
  <c r="AP9" i="142" s="1"/>
  <c r="CN9" i="14"/>
  <c r="AP10" i="142" s="1"/>
  <c r="CN10" i="14"/>
  <c r="AP11" i="142" s="1"/>
  <c r="CN11" i="14"/>
  <c r="AP12" i="142" s="1"/>
  <c r="CN12" i="14"/>
  <c r="AP13" i="142" s="1"/>
  <c r="CN13" i="14"/>
  <c r="AP14" i="142" s="1"/>
  <c r="CN14" i="14"/>
  <c r="AP15" i="142" s="1"/>
  <c r="CN15" i="14"/>
  <c r="AP16" i="142" s="1"/>
  <c r="CN16" i="14"/>
  <c r="CN17" i="14"/>
  <c r="CN18" i="14"/>
  <c r="CN19" i="14"/>
  <c r="CN20" i="14"/>
  <c r="CN5" i="14"/>
  <c r="AP6" i="142" s="1"/>
  <c r="CN26" i="14" l="1"/>
  <c r="CN25" i="14"/>
  <c r="CN27" i="14"/>
  <c r="AR9" i="139"/>
  <c r="AQ9" i="141"/>
  <c r="AR16" i="139"/>
  <c r="AQ16" i="141"/>
  <c r="AR8" i="139"/>
  <c r="AQ8" i="141"/>
  <c r="AR14" i="139"/>
  <c r="AQ14" i="141"/>
  <c r="AR13" i="139"/>
  <c r="AQ13" i="141"/>
  <c r="AR12" i="139"/>
  <c r="AQ12" i="141"/>
  <c r="AR15" i="139"/>
  <c r="AQ15" i="141"/>
  <c r="AR7" i="139"/>
  <c r="AQ7" i="141"/>
  <c r="AR6" i="139"/>
  <c r="AQ6" i="141"/>
  <c r="AR11" i="139"/>
  <c r="AQ11" i="141"/>
  <c r="AR10" i="139"/>
  <c r="AQ10" i="141"/>
  <c r="AS14" i="137"/>
  <c r="AS7" i="137"/>
  <c r="AS13" i="137"/>
  <c r="AS12" i="137"/>
  <c r="AS6" i="137"/>
  <c r="AS11" i="137"/>
  <c r="AS10" i="137"/>
  <c r="AS9" i="137"/>
  <c r="AS15" i="137"/>
  <c r="AS16" i="137"/>
  <c r="AS8" i="137"/>
  <c r="AT13" i="136"/>
  <c r="AT7" i="136"/>
  <c r="AT14" i="136"/>
  <c r="AT11" i="136"/>
  <c r="AT6" i="136"/>
  <c r="AT10" i="136"/>
  <c r="AT9" i="136"/>
  <c r="AT15" i="136"/>
  <c r="AT12" i="136"/>
  <c r="AT16" i="136"/>
  <c r="AT8" i="136"/>
  <c r="AV15" i="132"/>
  <c r="AU15" i="133"/>
  <c r="AV7" i="132"/>
  <c r="AU7" i="133"/>
  <c r="AV13" i="132"/>
  <c r="AU13" i="133"/>
  <c r="AV6" i="132"/>
  <c r="AU6" i="133"/>
  <c r="AV12" i="132"/>
  <c r="AU12" i="133"/>
  <c r="AV14" i="132"/>
  <c r="AU14" i="133"/>
  <c r="AV11" i="132"/>
  <c r="AU11" i="133"/>
  <c r="AV10" i="132"/>
  <c r="AU10" i="133"/>
  <c r="AV9" i="132"/>
  <c r="AU9" i="133"/>
  <c r="AV16" i="132"/>
  <c r="AU16" i="133"/>
  <c r="AV8" i="132"/>
  <c r="AU8" i="133"/>
  <c r="AW6" i="131"/>
  <c r="AW10" i="131"/>
  <c r="AX7" i="125"/>
  <c r="AX12" i="125"/>
  <c r="AX11" i="125"/>
  <c r="AX15" i="125"/>
  <c r="AX10" i="125"/>
  <c r="AX13" i="125"/>
  <c r="AX9" i="125"/>
  <c r="AX14" i="125"/>
  <c r="AX16" i="125"/>
  <c r="AX8" i="125"/>
  <c r="DG128" i="9"/>
  <c r="CX128" i="9"/>
  <c r="CO128" i="9"/>
  <c r="CG128" i="9"/>
  <c r="AZ9" i="121"/>
  <c r="AZ15" i="121"/>
  <c r="AZ7" i="121"/>
  <c r="AZ14" i="121"/>
  <c r="AZ12" i="121"/>
  <c r="AZ11" i="121"/>
  <c r="AZ13" i="121"/>
  <c r="AZ10" i="121"/>
  <c r="AZ6" i="121"/>
  <c r="AZ16" i="121"/>
  <c r="AZ8" i="121"/>
  <c r="DG127" i="9"/>
  <c r="CX127" i="9"/>
  <c r="CG127" i="9"/>
  <c r="CO127" i="9"/>
  <c r="CX126" i="9"/>
  <c r="CO126" i="9"/>
  <c r="DG126" i="9"/>
  <c r="CG126" i="9"/>
  <c r="CN4" i="14"/>
  <c r="AS13" i="136" s="1"/>
  <c r="BC28" i="119"/>
  <c r="BD28" i="119" s="1"/>
  <c r="Y25" i="119"/>
  <c r="BD24" i="119"/>
  <c r="C24" i="119"/>
  <c r="BD23" i="119"/>
  <c r="C23" i="119"/>
  <c r="BD22" i="119"/>
  <c r="C22" i="119"/>
  <c r="BD21" i="119"/>
  <c r="C21" i="119"/>
  <c r="BD20" i="119"/>
  <c r="C20" i="119"/>
  <c r="BD19" i="119"/>
  <c r="C19" i="119"/>
  <c r="BD18" i="119"/>
  <c r="C18" i="119"/>
  <c r="BD17" i="119"/>
  <c r="C17" i="119"/>
  <c r="BD16" i="119"/>
  <c r="C16" i="119"/>
  <c r="BD15" i="119"/>
  <c r="BD14" i="119"/>
  <c r="C14" i="119"/>
  <c r="BD13" i="119"/>
  <c r="C13" i="119"/>
  <c r="BD12" i="119"/>
  <c r="C12" i="119"/>
  <c r="BD11" i="119"/>
  <c r="C11" i="119"/>
  <c r="BD10" i="119"/>
  <c r="C10" i="119"/>
  <c r="BD9" i="119"/>
  <c r="BD8" i="119"/>
  <c r="C8" i="119"/>
  <c r="BD7" i="119"/>
  <c r="C7" i="119"/>
  <c r="BD6" i="119"/>
  <c r="C6" i="119"/>
  <c r="BD5" i="119"/>
  <c r="AZ2" i="119"/>
  <c r="AY2" i="119"/>
  <c r="AX2" i="119"/>
  <c r="AW2" i="119"/>
  <c r="AV2" i="119"/>
  <c r="AU2" i="119"/>
  <c r="AT2" i="119"/>
  <c r="AS2" i="119"/>
  <c r="AR2" i="119"/>
  <c r="AQ2" i="119"/>
  <c r="AP2" i="119"/>
  <c r="CI1" i="119"/>
  <c r="BU1" i="119"/>
  <c r="BQ1" i="119"/>
  <c r="BL1" i="119"/>
  <c r="IG125" i="9"/>
  <c r="II125" i="9" s="1"/>
  <c r="HN125" i="9"/>
  <c r="GV125" i="9"/>
  <c r="GV124" i="9"/>
  <c r="GV123" i="9"/>
  <c r="GV122" i="9"/>
  <c r="GV120" i="9"/>
  <c r="GV119" i="9"/>
  <c r="GV121" i="9"/>
  <c r="GU125" i="9"/>
  <c r="GW136" i="9" s="1"/>
  <c r="GU124" i="9"/>
  <c r="GU123" i="9"/>
  <c r="GU122" i="9"/>
  <c r="GU121" i="9"/>
  <c r="GU120" i="9"/>
  <c r="BT125" i="9"/>
  <c r="BU125" i="9" s="1"/>
  <c r="BP125" i="9"/>
  <c r="BO125" i="9"/>
  <c r="L120" i="122" s="1"/>
  <c r="AQ120" i="122" s="1"/>
  <c r="CN28" i="14" l="1"/>
  <c r="CN32" i="14" s="1"/>
  <c r="AT7" i="133"/>
  <c r="AS14" i="136"/>
  <c r="AT13" i="133"/>
  <c r="AX7" i="124"/>
  <c r="AX9" i="124"/>
  <c r="AW14" i="125"/>
  <c r="AT15" i="133"/>
  <c r="AT11" i="133"/>
  <c r="AS8" i="136"/>
  <c r="AS10" i="136"/>
  <c r="AP22" i="141"/>
  <c r="AP21" i="141"/>
  <c r="AP19" i="141"/>
  <c r="AP24" i="141"/>
  <c r="AP17" i="141"/>
  <c r="AP18" i="141"/>
  <c r="AP20" i="141"/>
  <c r="AP23" i="141"/>
  <c r="AQ24" i="139"/>
  <c r="AQ18" i="139"/>
  <c r="AQ21" i="139"/>
  <c r="AQ23" i="139"/>
  <c r="AQ19" i="139"/>
  <c r="AQ17" i="139"/>
  <c r="AQ22" i="139"/>
  <c r="AQ20" i="139"/>
  <c r="AR19" i="137"/>
  <c r="AR18" i="137"/>
  <c r="AR22" i="137"/>
  <c r="AR24" i="137"/>
  <c r="AR23" i="137"/>
  <c r="AR21" i="137"/>
  <c r="AR17" i="137"/>
  <c r="AR20" i="137"/>
  <c r="AS24" i="136"/>
  <c r="AS19" i="136"/>
  <c r="AS22" i="136"/>
  <c r="AS23" i="136"/>
  <c r="AS21" i="136"/>
  <c r="AS17" i="136"/>
  <c r="AS20" i="136"/>
  <c r="AS18" i="136"/>
  <c r="AT22" i="133"/>
  <c r="AT20" i="133"/>
  <c r="AT21" i="133"/>
  <c r="AT17" i="133"/>
  <c r="AT18" i="133"/>
  <c r="AT19" i="133"/>
  <c r="AT24" i="133"/>
  <c r="AT23" i="133"/>
  <c r="AT16" i="133"/>
  <c r="AS15" i="136"/>
  <c r="AT12" i="133"/>
  <c r="AS12" i="136"/>
  <c r="AT10" i="133"/>
  <c r="AS6" i="136"/>
  <c r="AT6" i="133"/>
  <c r="AS9" i="136"/>
  <c r="AT8" i="133"/>
  <c r="AT9" i="133"/>
  <c r="AT14" i="133"/>
  <c r="AS16" i="136"/>
  <c r="AS11" i="136"/>
  <c r="AS7" i="136"/>
  <c r="GW135" i="9"/>
  <c r="GW134" i="9"/>
  <c r="GW132" i="9"/>
  <c r="GW133" i="9"/>
  <c r="GW131" i="9"/>
  <c r="AU14" i="132"/>
  <c r="AU22" i="132"/>
  <c r="AU9" i="132"/>
  <c r="AU18" i="132"/>
  <c r="AU20" i="132"/>
  <c r="AU7" i="132"/>
  <c r="AU15" i="132"/>
  <c r="AU23" i="132"/>
  <c r="AU17" i="132"/>
  <c r="AU12" i="132"/>
  <c r="AU13" i="132"/>
  <c r="AU8" i="132"/>
  <c r="AU16" i="132"/>
  <c r="AU24" i="132"/>
  <c r="AU6" i="132"/>
  <c r="AU10" i="132"/>
  <c r="AU21" i="132"/>
  <c r="AU11" i="132"/>
  <c r="AU19" i="132"/>
  <c r="AV6" i="131"/>
  <c r="AV10" i="131"/>
  <c r="AV11" i="131"/>
  <c r="AV21" i="131"/>
  <c r="AV23" i="131"/>
  <c r="AV22" i="131"/>
  <c r="AV20" i="131"/>
  <c r="AV19" i="131"/>
  <c r="AV18" i="131"/>
  <c r="AV17" i="131"/>
  <c r="AV24" i="131"/>
  <c r="AX13" i="124"/>
  <c r="AW9" i="125"/>
  <c r="AV7" i="131"/>
  <c r="AV14" i="131"/>
  <c r="AV8" i="131"/>
  <c r="AV12" i="131"/>
  <c r="AV16" i="131"/>
  <c r="AV13" i="131"/>
  <c r="AV9" i="131"/>
  <c r="AV15" i="131"/>
  <c r="GW130" i="9"/>
  <c r="AW23" i="131"/>
  <c r="AW24" i="131"/>
  <c r="AW21" i="131"/>
  <c r="AW19" i="131"/>
  <c r="AW18" i="131"/>
  <c r="AW22" i="131"/>
  <c r="AW20" i="131"/>
  <c r="AW17" i="131"/>
  <c r="AW21" i="125"/>
  <c r="AW24" i="125"/>
  <c r="AW23" i="125"/>
  <c r="AW20" i="125"/>
  <c r="AW17" i="125"/>
  <c r="AW19" i="125"/>
  <c r="AW18" i="125"/>
  <c r="AW22" i="125"/>
  <c r="AX24" i="124"/>
  <c r="AX23" i="124"/>
  <c r="AX18" i="124"/>
  <c r="AX22" i="124"/>
  <c r="AX21" i="124"/>
  <c r="AX20" i="124"/>
  <c r="AX19" i="124"/>
  <c r="AX17" i="124"/>
  <c r="AW6" i="125"/>
  <c r="AW11" i="131"/>
  <c r="AX6" i="124"/>
  <c r="AW7" i="125"/>
  <c r="AW9" i="131"/>
  <c r="AW15" i="125"/>
  <c r="AW12" i="131"/>
  <c r="AX15" i="124"/>
  <c r="AW10" i="125"/>
  <c r="AW16" i="131"/>
  <c r="AX10" i="124"/>
  <c r="AX16" i="124"/>
  <c r="AW11" i="125"/>
  <c r="AW7" i="131"/>
  <c r="AW14" i="131"/>
  <c r="AX8" i="124"/>
  <c r="AX11" i="124"/>
  <c r="AW12" i="125"/>
  <c r="AW13" i="131"/>
  <c r="AX14" i="124"/>
  <c r="AW8" i="125"/>
  <c r="AW15" i="131"/>
  <c r="AW13" i="125"/>
  <c r="AX12" i="124"/>
  <c r="AW16" i="125"/>
  <c r="AW8" i="131"/>
  <c r="AY24" i="121"/>
  <c r="AY16" i="121"/>
  <c r="AY8" i="121"/>
  <c r="AY23" i="121"/>
  <c r="AY15" i="121"/>
  <c r="AY7" i="121"/>
  <c r="AY22" i="121"/>
  <c r="AY14" i="121"/>
  <c r="AY21" i="121"/>
  <c r="AY13" i="121"/>
  <c r="AY18" i="121"/>
  <c r="AY20" i="121"/>
  <c r="AY12" i="121"/>
  <c r="AY6" i="121"/>
  <c r="AY19" i="121"/>
  <c r="AY11" i="121"/>
  <c r="AY10" i="121"/>
  <c r="AY17" i="121"/>
  <c r="AY9" i="121"/>
  <c r="AZ7" i="120"/>
  <c r="AZ15" i="120"/>
  <c r="AZ23" i="120"/>
  <c r="BA11" i="119"/>
  <c r="BA19" i="119"/>
  <c r="AZ16" i="120"/>
  <c r="AZ24" i="120"/>
  <c r="BA12" i="119"/>
  <c r="BA20" i="119"/>
  <c r="AZ8" i="120"/>
  <c r="AZ9" i="120"/>
  <c r="AZ17" i="120"/>
  <c r="BA13" i="119"/>
  <c r="BA21" i="119"/>
  <c r="BA23" i="119"/>
  <c r="BA8" i="119"/>
  <c r="AZ10" i="120"/>
  <c r="AZ18" i="120"/>
  <c r="AZ6" i="120"/>
  <c r="BA14" i="119"/>
  <c r="BA22" i="119"/>
  <c r="AZ20" i="120"/>
  <c r="BA24" i="119"/>
  <c r="AZ11" i="120"/>
  <c r="AZ19" i="120"/>
  <c r="BA7" i="119"/>
  <c r="BA15" i="119"/>
  <c r="BA16" i="119"/>
  <c r="AZ12" i="120"/>
  <c r="AZ13" i="120"/>
  <c r="AZ21" i="120"/>
  <c r="BA9" i="119"/>
  <c r="BA17" i="119"/>
  <c r="BA6" i="119"/>
  <c r="AZ14" i="120"/>
  <c r="AZ22" i="120"/>
  <c r="BA10" i="119"/>
  <c r="BA18" i="119"/>
  <c r="A29" i="119"/>
  <c r="A30" i="119"/>
  <c r="A28" i="119"/>
  <c r="AD120" i="122"/>
  <c r="AG124" i="9"/>
  <c r="AF126" i="9"/>
  <c r="CH126" i="9" s="1"/>
  <c r="AD124" i="9"/>
  <c r="F119" i="122" s="1"/>
  <c r="AN119" i="122" s="1"/>
  <c r="AD125" i="9"/>
  <c r="F120" i="122" s="1"/>
  <c r="AN120" i="122" s="1"/>
  <c r="T124" i="9"/>
  <c r="T125" i="9"/>
  <c r="P122" i="9"/>
  <c r="P123" i="9"/>
  <c r="P126" i="9"/>
  <c r="O125" i="9"/>
  <c r="N124" i="9"/>
  <c r="N125" i="9"/>
  <c r="BY125" i="9" s="1"/>
  <c r="BM1" i="117"/>
  <c r="BO4" i="117"/>
  <c r="DR4" i="117" s="1"/>
  <c r="BQ4" i="117"/>
  <c r="DS4" i="117" s="1"/>
  <c r="BR4" i="117"/>
  <c r="DT4" i="117" s="1"/>
  <c r="BS4" i="117"/>
  <c r="DV4" i="117" s="1"/>
  <c r="BU4" i="117"/>
  <c r="DJ4" i="117" s="1"/>
  <c r="BX4" i="117"/>
  <c r="DO4" i="117" s="1"/>
  <c r="BY4" i="117"/>
  <c r="DP4" i="117" s="1"/>
  <c r="BZ4" i="117"/>
  <c r="DK4" i="117" s="1"/>
  <c r="CA4" i="117"/>
  <c r="DQ4" i="117" s="1"/>
  <c r="CB4" i="117"/>
  <c r="DG4" i="117" s="1"/>
  <c r="CC4" i="117"/>
  <c r="DE4" i="117" s="1"/>
  <c r="CD4" i="117"/>
  <c r="DF4" i="117" s="1"/>
  <c r="CE4" i="117"/>
  <c r="DH4" i="117" s="1"/>
  <c r="CF4" i="117"/>
  <c r="DI4" i="117" s="1"/>
  <c r="CJ4" i="117"/>
  <c r="EK4" i="117" s="1"/>
  <c r="CL4" i="117"/>
  <c r="EL4" i="117" s="1"/>
  <c r="CM4" i="117"/>
  <c r="EM4" i="117" s="1"/>
  <c r="CN4" i="117"/>
  <c r="EO4" i="117" s="1"/>
  <c r="CP4" i="117"/>
  <c r="EC4" i="117" s="1"/>
  <c r="CS4" i="117"/>
  <c r="EH4" i="117" s="1"/>
  <c r="CT4" i="117"/>
  <c r="EI4" i="117" s="1"/>
  <c r="CU4" i="117"/>
  <c r="ED4" i="117" s="1"/>
  <c r="CV4" i="117"/>
  <c r="EJ4" i="117" s="1"/>
  <c r="CW4" i="117"/>
  <c r="DZ4" i="117" s="1"/>
  <c r="CX4" i="117"/>
  <c r="DX4" i="117" s="1"/>
  <c r="CY4" i="117"/>
  <c r="DY4" i="117" s="1"/>
  <c r="CZ4" i="117"/>
  <c r="EA4" i="117" s="1"/>
  <c r="DA4" i="117"/>
  <c r="EB4" i="117" s="1"/>
  <c r="BO5" i="117"/>
  <c r="DR5" i="117" s="1"/>
  <c r="BQ5" i="117"/>
  <c r="DS5" i="117" s="1"/>
  <c r="BR5" i="117"/>
  <c r="DT5" i="117" s="1"/>
  <c r="BS5" i="117"/>
  <c r="DV5" i="117" s="1"/>
  <c r="BU5" i="117"/>
  <c r="DJ5" i="117" s="1"/>
  <c r="BX5" i="117"/>
  <c r="DO5" i="117" s="1"/>
  <c r="BY5" i="117"/>
  <c r="DP5" i="117" s="1"/>
  <c r="BZ5" i="117"/>
  <c r="DK5" i="117" s="1"/>
  <c r="CA5" i="117"/>
  <c r="DQ5" i="117" s="1"/>
  <c r="CB5" i="117"/>
  <c r="DG5" i="117" s="1"/>
  <c r="CC5" i="117"/>
  <c r="DE5" i="117" s="1"/>
  <c r="CD5" i="117"/>
  <c r="DF5" i="117" s="1"/>
  <c r="CE5" i="117"/>
  <c r="DH5" i="117" s="1"/>
  <c r="CF5" i="117"/>
  <c r="DI5" i="117" s="1"/>
  <c r="CJ5" i="117"/>
  <c r="EK5" i="117" s="1"/>
  <c r="CL5" i="117"/>
  <c r="EL5" i="117" s="1"/>
  <c r="CM5" i="117"/>
  <c r="EM5" i="117" s="1"/>
  <c r="CN5" i="117"/>
  <c r="EO5" i="117" s="1"/>
  <c r="CP5" i="117"/>
  <c r="EC5" i="117" s="1"/>
  <c r="CS5" i="117"/>
  <c r="EH5" i="117" s="1"/>
  <c r="CT5" i="117"/>
  <c r="EI5" i="117" s="1"/>
  <c r="CU5" i="117"/>
  <c r="ED5" i="117" s="1"/>
  <c r="CV5" i="117"/>
  <c r="EJ5" i="117" s="1"/>
  <c r="CW5" i="117"/>
  <c r="DZ5" i="117" s="1"/>
  <c r="CX5" i="117"/>
  <c r="DX5" i="117" s="1"/>
  <c r="CY5" i="117"/>
  <c r="DY5" i="117" s="1"/>
  <c r="CZ5" i="117"/>
  <c r="EA5" i="117" s="1"/>
  <c r="DA5" i="117"/>
  <c r="EB5" i="117" s="1"/>
  <c r="BO6" i="117"/>
  <c r="DR6" i="117" s="1"/>
  <c r="BQ6" i="117"/>
  <c r="DS6" i="117" s="1"/>
  <c r="BR6" i="117"/>
  <c r="DT6" i="117" s="1"/>
  <c r="BS6" i="117"/>
  <c r="DV6" i="117" s="1"/>
  <c r="BU6" i="117"/>
  <c r="DJ6" i="117" s="1"/>
  <c r="BX6" i="117"/>
  <c r="DO6" i="117" s="1"/>
  <c r="BY6" i="117"/>
  <c r="DP6" i="117" s="1"/>
  <c r="BZ6" i="117"/>
  <c r="DK6" i="117" s="1"/>
  <c r="CA6" i="117"/>
  <c r="DQ6" i="117" s="1"/>
  <c r="CB6" i="117"/>
  <c r="DG6" i="117" s="1"/>
  <c r="CC6" i="117"/>
  <c r="DE6" i="117" s="1"/>
  <c r="CD6" i="117"/>
  <c r="DF6" i="117" s="1"/>
  <c r="CE6" i="117"/>
  <c r="DH6" i="117" s="1"/>
  <c r="CF6" i="117"/>
  <c r="DI6" i="117" s="1"/>
  <c r="CJ6" i="117"/>
  <c r="EK6" i="117" s="1"/>
  <c r="CL6" i="117"/>
  <c r="EL6" i="117" s="1"/>
  <c r="CM6" i="117"/>
  <c r="EM6" i="117" s="1"/>
  <c r="CN6" i="117"/>
  <c r="EO6" i="117" s="1"/>
  <c r="CP6" i="117"/>
  <c r="EC6" i="117" s="1"/>
  <c r="CS6" i="117"/>
  <c r="EH6" i="117" s="1"/>
  <c r="CT6" i="117"/>
  <c r="EI6" i="117" s="1"/>
  <c r="CU6" i="117"/>
  <c r="ED6" i="117" s="1"/>
  <c r="CV6" i="117"/>
  <c r="EJ6" i="117" s="1"/>
  <c r="CW6" i="117"/>
  <c r="DZ6" i="117" s="1"/>
  <c r="CX6" i="117"/>
  <c r="DX6" i="117" s="1"/>
  <c r="CY6" i="117"/>
  <c r="DY6" i="117" s="1"/>
  <c r="CZ6" i="117"/>
  <c r="EA6" i="117" s="1"/>
  <c r="DA6" i="117"/>
  <c r="EB6" i="117" s="1"/>
  <c r="BO7" i="117"/>
  <c r="DR7" i="117" s="1"/>
  <c r="BQ7" i="117"/>
  <c r="DS7" i="117" s="1"/>
  <c r="BR7" i="117"/>
  <c r="DT7" i="117" s="1"/>
  <c r="BS7" i="117"/>
  <c r="DV7" i="117" s="1"/>
  <c r="BU7" i="117"/>
  <c r="DJ7" i="117" s="1"/>
  <c r="BX7" i="117"/>
  <c r="DO7" i="117" s="1"/>
  <c r="BY7" i="117"/>
  <c r="DP7" i="117" s="1"/>
  <c r="BZ7" i="117"/>
  <c r="DK7" i="117" s="1"/>
  <c r="CA7" i="117"/>
  <c r="DQ7" i="117" s="1"/>
  <c r="CB7" i="117"/>
  <c r="DG7" i="117" s="1"/>
  <c r="CC7" i="117"/>
  <c r="DE7" i="117" s="1"/>
  <c r="CD7" i="117"/>
  <c r="DF7" i="117" s="1"/>
  <c r="CE7" i="117"/>
  <c r="DH7" i="117" s="1"/>
  <c r="CF7" i="117"/>
  <c r="DI7" i="117" s="1"/>
  <c r="CJ7" i="117"/>
  <c r="EK7" i="117" s="1"/>
  <c r="CL7" i="117"/>
  <c r="EL7" i="117" s="1"/>
  <c r="CM7" i="117"/>
  <c r="EM7" i="117" s="1"/>
  <c r="CN7" i="117"/>
  <c r="EO7" i="117" s="1"/>
  <c r="CP7" i="117"/>
  <c r="EC7" i="117" s="1"/>
  <c r="CS7" i="117"/>
  <c r="EH7" i="117" s="1"/>
  <c r="CT7" i="117"/>
  <c r="EI7" i="117" s="1"/>
  <c r="CU7" i="117"/>
  <c r="ED7" i="117" s="1"/>
  <c r="CV7" i="117"/>
  <c r="EJ7" i="117" s="1"/>
  <c r="CW7" i="117"/>
  <c r="DZ7" i="117" s="1"/>
  <c r="CX7" i="117"/>
  <c r="DX7" i="117" s="1"/>
  <c r="CY7" i="117"/>
  <c r="DY7" i="117" s="1"/>
  <c r="CZ7" i="117"/>
  <c r="EA7" i="117" s="1"/>
  <c r="DA7" i="117"/>
  <c r="EB7" i="117" s="1"/>
  <c r="BO8" i="117"/>
  <c r="DR8" i="117" s="1"/>
  <c r="BQ8" i="117"/>
  <c r="DS8" i="117" s="1"/>
  <c r="BR8" i="117"/>
  <c r="DT8" i="117" s="1"/>
  <c r="BS8" i="117"/>
  <c r="DV8" i="117" s="1"/>
  <c r="BU8" i="117"/>
  <c r="DJ8" i="117" s="1"/>
  <c r="BX8" i="117"/>
  <c r="DO8" i="117" s="1"/>
  <c r="BY8" i="117"/>
  <c r="DP8" i="117" s="1"/>
  <c r="BZ8" i="117"/>
  <c r="DK8" i="117" s="1"/>
  <c r="CA8" i="117"/>
  <c r="DQ8" i="117" s="1"/>
  <c r="CB8" i="117"/>
  <c r="DG8" i="117" s="1"/>
  <c r="CC8" i="117"/>
  <c r="DE8" i="117" s="1"/>
  <c r="CD8" i="117"/>
  <c r="DF8" i="117" s="1"/>
  <c r="CE8" i="117"/>
  <c r="DH8" i="117" s="1"/>
  <c r="CF8" i="117"/>
  <c r="DI8" i="117" s="1"/>
  <c r="CJ8" i="117"/>
  <c r="EK8" i="117" s="1"/>
  <c r="CL8" i="117"/>
  <c r="EL8" i="117" s="1"/>
  <c r="CM8" i="117"/>
  <c r="EM8" i="117" s="1"/>
  <c r="CN8" i="117"/>
  <c r="EO8" i="117" s="1"/>
  <c r="CP8" i="117"/>
  <c r="EC8" i="117" s="1"/>
  <c r="CS8" i="117"/>
  <c r="EH8" i="117" s="1"/>
  <c r="CT8" i="117"/>
  <c r="EI8" i="117" s="1"/>
  <c r="CU8" i="117"/>
  <c r="ED8" i="117" s="1"/>
  <c r="CV8" i="117"/>
  <c r="EJ8" i="117" s="1"/>
  <c r="CW8" i="117"/>
  <c r="DZ8" i="117" s="1"/>
  <c r="CX8" i="117"/>
  <c r="DX8" i="117" s="1"/>
  <c r="CY8" i="117"/>
  <c r="DY8" i="117" s="1"/>
  <c r="CZ8" i="117"/>
  <c r="EA8" i="117" s="1"/>
  <c r="DA8" i="117"/>
  <c r="EB8" i="117" s="1"/>
  <c r="BO9" i="117"/>
  <c r="DR9" i="117" s="1"/>
  <c r="BQ9" i="117"/>
  <c r="DS9" i="117" s="1"/>
  <c r="BR9" i="117"/>
  <c r="DT9" i="117" s="1"/>
  <c r="BS9" i="117"/>
  <c r="DV9" i="117" s="1"/>
  <c r="BU9" i="117"/>
  <c r="DJ9" i="117" s="1"/>
  <c r="BX9" i="117"/>
  <c r="DO9" i="117" s="1"/>
  <c r="BY9" i="117"/>
  <c r="DP9" i="117" s="1"/>
  <c r="BZ9" i="117"/>
  <c r="DK9" i="117" s="1"/>
  <c r="CA9" i="117"/>
  <c r="DQ9" i="117" s="1"/>
  <c r="CB9" i="117"/>
  <c r="DG9" i="117" s="1"/>
  <c r="CC9" i="117"/>
  <c r="DE9" i="117" s="1"/>
  <c r="CD9" i="117"/>
  <c r="DF9" i="117" s="1"/>
  <c r="CE9" i="117"/>
  <c r="DH9" i="117" s="1"/>
  <c r="CF9" i="117"/>
  <c r="DI9" i="117" s="1"/>
  <c r="CJ9" i="117"/>
  <c r="EK9" i="117" s="1"/>
  <c r="CL9" i="117"/>
  <c r="EL9" i="117" s="1"/>
  <c r="CM9" i="117"/>
  <c r="EM9" i="117" s="1"/>
  <c r="CN9" i="117"/>
  <c r="EO9" i="117" s="1"/>
  <c r="CP9" i="117"/>
  <c r="EC9" i="117" s="1"/>
  <c r="CS9" i="117"/>
  <c r="EH9" i="117" s="1"/>
  <c r="CT9" i="117"/>
  <c r="EI9" i="117" s="1"/>
  <c r="CU9" i="117"/>
  <c r="ED9" i="117" s="1"/>
  <c r="CV9" i="117"/>
  <c r="EJ9" i="117" s="1"/>
  <c r="CW9" i="117"/>
  <c r="DZ9" i="117" s="1"/>
  <c r="CX9" i="117"/>
  <c r="DX9" i="117" s="1"/>
  <c r="CY9" i="117"/>
  <c r="DY9" i="117" s="1"/>
  <c r="CZ9" i="117"/>
  <c r="EA9" i="117" s="1"/>
  <c r="DA9" i="117"/>
  <c r="EB9" i="117" s="1"/>
  <c r="BO10" i="117"/>
  <c r="DR10" i="117" s="1"/>
  <c r="BQ10" i="117"/>
  <c r="DS10" i="117" s="1"/>
  <c r="BR10" i="117"/>
  <c r="DT10" i="117" s="1"/>
  <c r="BS10" i="117"/>
  <c r="DV10" i="117" s="1"/>
  <c r="BU10" i="117"/>
  <c r="DJ10" i="117" s="1"/>
  <c r="BX10" i="117"/>
  <c r="DO10" i="117" s="1"/>
  <c r="BY10" i="117"/>
  <c r="DP10" i="117" s="1"/>
  <c r="BZ10" i="117"/>
  <c r="DK10" i="117" s="1"/>
  <c r="CA10" i="117"/>
  <c r="DQ10" i="117" s="1"/>
  <c r="CB10" i="117"/>
  <c r="DG10" i="117" s="1"/>
  <c r="CC10" i="117"/>
  <c r="DE10" i="117" s="1"/>
  <c r="CD10" i="117"/>
  <c r="DF10" i="117" s="1"/>
  <c r="CE10" i="117"/>
  <c r="DH10" i="117" s="1"/>
  <c r="CF10" i="117"/>
  <c r="DI10" i="117" s="1"/>
  <c r="CJ10" i="117"/>
  <c r="EK10" i="117" s="1"/>
  <c r="CL10" i="117"/>
  <c r="EL10" i="117" s="1"/>
  <c r="CM10" i="117"/>
  <c r="EM10" i="117" s="1"/>
  <c r="CN10" i="117"/>
  <c r="EO10" i="117" s="1"/>
  <c r="CP10" i="117"/>
  <c r="EC10" i="117" s="1"/>
  <c r="CS10" i="117"/>
  <c r="EH10" i="117" s="1"/>
  <c r="CT10" i="117"/>
  <c r="EI10" i="117" s="1"/>
  <c r="CU10" i="117"/>
  <c r="ED10" i="117" s="1"/>
  <c r="CV10" i="117"/>
  <c r="EJ10" i="117" s="1"/>
  <c r="CW10" i="117"/>
  <c r="DZ10" i="117" s="1"/>
  <c r="CX10" i="117"/>
  <c r="DX10" i="117" s="1"/>
  <c r="CY10" i="117"/>
  <c r="DY10" i="117" s="1"/>
  <c r="CZ10" i="117"/>
  <c r="EA10" i="117" s="1"/>
  <c r="DA10" i="117"/>
  <c r="EB10" i="117" s="1"/>
  <c r="BO11" i="117"/>
  <c r="DR11" i="117" s="1"/>
  <c r="BQ11" i="117"/>
  <c r="DS11" i="117" s="1"/>
  <c r="BR11" i="117"/>
  <c r="DT11" i="117" s="1"/>
  <c r="BS11" i="117"/>
  <c r="DV11" i="117" s="1"/>
  <c r="BU11" i="117"/>
  <c r="DJ11" i="117" s="1"/>
  <c r="BX11" i="117"/>
  <c r="DO11" i="117" s="1"/>
  <c r="BY11" i="117"/>
  <c r="DP11" i="117" s="1"/>
  <c r="BZ11" i="117"/>
  <c r="DK11" i="117" s="1"/>
  <c r="CA11" i="117"/>
  <c r="DQ11" i="117" s="1"/>
  <c r="CB11" i="117"/>
  <c r="DG11" i="117" s="1"/>
  <c r="CC11" i="117"/>
  <c r="DE11" i="117" s="1"/>
  <c r="CD11" i="117"/>
  <c r="DF11" i="117" s="1"/>
  <c r="CE11" i="117"/>
  <c r="DH11" i="117" s="1"/>
  <c r="CF11" i="117"/>
  <c r="DI11" i="117" s="1"/>
  <c r="CJ11" i="117"/>
  <c r="EK11" i="117" s="1"/>
  <c r="CL11" i="117"/>
  <c r="EL11" i="117" s="1"/>
  <c r="CM11" i="117"/>
  <c r="EM11" i="117" s="1"/>
  <c r="CN11" i="117"/>
  <c r="EO11" i="117" s="1"/>
  <c r="CP11" i="117"/>
  <c r="EC11" i="117" s="1"/>
  <c r="CS11" i="117"/>
  <c r="EH11" i="117" s="1"/>
  <c r="CT11" i="117"/>
  <c r="EI11" i="117" s="1"/>
  <c r="CU11" i="117"/>
  <c r="ED11" i="117" s="1"/>
  <c r="CV11" i="117"/>
  <c r="EJ11" i="117" s="1"/>
  <c r="CW11" i="117"/>
  <c r="DZ11" i="117" s="1"/>
  <c r="CX11" i="117"/>
  <c r="DX11" i="117" s="1"/>
  <c r="CY11" i="117"/>
  <c r="DY11" i="117" s="1"/>
  <c r="CZ11" i="117"/>
  <c r="EA11" i="117" s="1"/>
  <c r="DA11" i="117"/>
  <c r="EB11" i="117" s="1"/>
  <c r="BO12" i="117"/>
  <c r="DR12" i="117" s="1"/>
  <c r="BQ12" i="117"/>
  <c r="DS12" i="117" s="1"/>
  <c r="BR12" i="117"/>
  <c r="DT12" i="117" s="1"/>
  <c r="BS12" i="117"/>
  <c r="DV12" i="117" s="1"/>
  <c r="BU12" i="117"/>
  <c r="DJ12" i="117" s="1"/>
  <c r="BX12" i="117"/>
  <c r="DO12" i="117" s="1"/>
  <c r="BY12" i="117"/>
  <c r="DP12" i="117" s="1"/>
  <c r="BZ12" i="117"/>
  <c r="DK12" i="117" s="1"/>
  <c r="CA12" i="117"/>
  <c r="DQ12" i="117" s="1"/>
  <c r="CB12" i="117"/>
  <c r="DG12" i="117" s="1"/>
  <c r="CC12" i="117"/>
  <c r="DE12" i="117" s="1"/>
  <c r="CD12" i="117"/>
  <c r="DF12" i="117" s="1"/>
  <c r="CE12" i="117"/>
  <c r="DH12" i="117" s="1"/>
  <c r="CF12" i="117"/>
  <c r="DI12" i="117" s="1"/>
  <c r="CJ12" i="117"/>
  <c r="EK12" i="117" s="1"/>
  <c r="CL12" i="117"/>
  <c r="EL12" i="117" s="1"/>
  <c r="CM12" i="117"/>
  <c r="EM12" i="117" s="1"/>
  <c r="CN12" i="117"/>
  <c r="EO12" i="117" s="1"/>
  <c r="CP12" i="117"/>
  <c r="EC12" i="117" s="1"/>
  <c r="CS12" i="117"/>
  <c r="EH12" i="117" s="1"/>
  <c r="CT12" i="117"/>
  <c r="EI12" i="117" s="1"/>
  <c r="CU12" i="117"/>
  <c r="ED12" i="117" s="1"/>
  <c r="CV12" i="117"/>
  <c r="EJ12" i="117" s="1"/>
  <c r="CW12" i="117"/>
  <c r="DZ12" i="117" s="1"/>
  <c r="CX12" i="117"/>
  <c r="DX12" i="117" s="1"/>
  <c r="CY12" i="117"/>
  <c r="DY12" i="117" s="1"/>
  <c r="CZ12" i="117"/>
  <c r="EA12" i="117" s="1"/>
  <c r="DA12" i="117"/>
  <c r="EB12" i="117" s="1"/>
  <c r="BN12" i="117"/>
  <c r="DL12" i="117" s="1"/>
  <c r="BN11" i="117"/>
  <c r="DL11" i="117" s="1"/>
  <c r="BN10" i="117"/>
  <c r="DL10" i="117" s="1"/>
  <c r="BN9" i="117"/>
  <c r="DL9" i="117" s="1"/>
  <c r="BN8" i="117"/>
  <c r="DL8" i="117" s="1"/>
  <c r="BN7" i="117"/>
  <c r="DL7" i="117" s="1"/>
  <c r="BN6" i="117"/>
  <c r="DL6" i="117" s="1"/>
  <c r="BN5" i="117"/>
  <c r="DL5" i="117" s="1"/>
  <c r="BN4" i="117"/>
  <c r="DL4" i="117" s="1"/>
  <c r="BO3" i="117"/>
  <c r="DR3" i="117" s="1"/>
  <c r="BQ3" i="117"/>
  <c r="DS3" i="117" s="1"/>
  <c r="BR3" i="117"/>
  <c r="DT3" i="117" s="1"/>
  <c r="BS3" i="117"/>
  <c r="DV3" i="117" s="1"/>
  <c r="BU3" i="117"/>
  <c r="DJ3" i="117" s="1"/>
  <c r="BX3" i="117"/>
  <c r="DO3" i="117" s="1"/>
  <c r="BY3" i="117"/>
  <c r="DP3" i="117" s="1"/>
  <c r="BZ3" i="117"/>
  <c r="CA3" i="117"/>
  <c r="DQ3" i="117" s="1"/>
  <c r="CB3" i="117"/>
  <c r="DG3" i="117" s="1"/>
  <c r="CC3" i="117"/>
  <c r="DE3" i="117" s="1"/>
  <c r="CD3" i="117"/>
  <c r="DF3" i="117" s="1"/>
  <c r="CE3" i="117"/>
  <c r="DH3" i="117" s="1"/>
  <c r="CF3" i="117"/>
  <c r="DI3" i="117" s="1"/>
  <c r="CJ3" i="117"/>
  <c r="EK3" i="117" s="1"/>
  <c r="CL3" i="117"/>
  <c r="CM3" i="117"/>
  <c r="EM3" i="117" s="1"/>
  <c r="CN3" i="117"/>
  <c r="EO3" i="117" s="1"/>
  <c r="CP3" i="117"/>
  <c r="EC3" i="117" s="1"/>
  <c r="CS3" i="117"/>
  <c r="EH3" i="117" s="1"/>
  <c r="CT3" i="117"/>
  <c r="EI3" i="117" s="1"/>
  <c r="CU3" i="117"/>
  <c r="ED3" i="117" s="1"/>
  <c r="CV3" i="117"/>
  <c r="EJ3" i="117" s="1"/>
  <c r="CW3" i="117"/>
  <c r="CX3" i="117"/>
  <c r="DX3" i="117" s="1"/>
  <c r="CY3" i="117"/>
  <c r="DY3" i="117" s="1"/>
  <c r="CZ3" i="117"/>
  <c r="EA3" i="117" s="1"/>
  <c r="DA3" i="117"/>
  <c r="EB3" i="117" s="1"/>
  <c r="BN3" i="117"/>
  <c r="DL3" i="117" s="1"/>
  <c r="AN143" i="122" l="1"/>
  <c r="BZ16" i="117"/>
  <c r="BZ17" i="117" s="1"/>
  <c r="DK3" i="117"/>
  <c r="CL16" i="117"/>
  <c r="EL3" i="117"/>
  <c r="CW16" i="117"/>
  <c r="DZ3" i="117"/>
  <c r="CX16" i="117"/>
  <c r="CM16" i="117"/>
  <c r="CA16" i="117"/>
  <c r="CA17" i="117" s="1"/>
  <c r="BO16" i="117"/>
  <c r="BO17" i="117" s="1"/>
  <c r="CV16" i="117"/>
  <c r="CJ16" i="117"/>
  <c r="BY16" i="117"/>
  <c r="BY17" i="117" s="1"/>
  <c r="P119" i="122"/>
  <c r="AS119" i="122" s="1"/>
  <c r="AS143" i="122" s="1"/>
  <c r="CS16" i="117"/>
  <c r="CD16" i="117"/>
  <c r="CD17" i="117" s="1"/>
  <c r="BS16" i="117"/>
  <c r="CZ16" i="117"/>
  <c r="CP16" i="117"/>
  <c r="BR16" i="117"/>
  <c r="BR17" i="117" s="1"/>
  <c r="DA16" i="117"/>
  <c r="CC16" i="117"/>
  <c r="CC17" i="117" s="1"/>
  <c r="DA14" i="117"/>
  <c r="CU16" i="117"/>
  <c r="CF16" i="117"/>
  <c r="CF17" i="117" s="1"/>
  <c r="BX16" i="117"/>
  <c r="BX17" i="117" s="1"/>
  <c r="CT16" i="117"/>
  <c r="CE16" i="117"/>
  <c r="CE17" i="117" s="1"/>
  <c r="BN16" i="117"/>
  <c r="BN17" i="117" s="1"/>
  <c r="BU16" i="117"/>
  <c r="BU17" i="117" s="1"/>
  <c r="CY16" i="117"/>
  <c r="CN16" i="117"/>
  <c r="CB16" i="117"/>
  <c r="BQ16" i="117"/>
  <c r="CX33" i="117"/>
  <c r="CB17" i="117"/>
  <c r="BQ17" i="117"/>
  <c r="AE120" i="122"/>
  <c r="AH120" i="122" s="1"/>
  <c r="P125" i="9"/>
  <c r="CK12" i="117"/>
  <c r="BV5" i="117"/>
  <c r="DM5" i="117" s="1"/>
  <c r="CQ6" i="117"/>
  <c r="EF6" i="117" s="1"/>
  <c r="BV6" i="117"/>
  <c r="DM6" i="117" s="1"/>
  <c r="BP3" i="117"/>
  <c r="BV9" i="117"/>
  <c r="DM9" i="117" s="1"/>
  <c r="CO7" i="117"/>
  <c r="EN7" i="117" s="1"/>
  <c r="BW7" i="117"/>
  <c r="DN7" i="117" s="1"/>
  <c r="CQ9" i="117"/>
  <c r="EF9" i="117" s="1"/>
  <c r="BT5" i="117"/>
  <c r="DU5" i="117" s="1"/>
  <c r="BV10" i="117"/>
  <c r="DM10" i="117" s="1"/>
  <c r="CK8" i="117"/>
  <c r="CQ5" i="117"/>
  <c r="EF5" i="117" s="1"/>
  <c r="CK11" i="117"/>
  <c r="BV11" i="117"/>
  <c r="DM11" i="117" s="1"/>
  <c r="CQ8" i="117"/>
  <c r="EF8" i="117" s="1"/>
  <c r="BP7" i="117"/>
  <c r="CK4" i="117"/>
  <c r="CR7" i="117"/>
  <c r="EG7" i="117" s="1"/>
  <c r="BV4" i="117"/>
  <c r="DM4" i="117" s="1"/>
  <c r="CR3" i="117"/>
  <c r="EG3" i="117" s="1"/>
  <c r="CQ12" i="117"/>
  <c r="EF12" i="117" s="1"/>
  <c r="CR10" i="117"/>
  <c r="EG10" i="117" s="1"/>
  <c r="BT8" i="117"/>
  <c r="DU8" i="117" s="1"/>
  <c r="BV7" i="117"/>
  <c r="DM7" i="117" s="1"/>
  <c r="CO5" i="117"/>
  <c r="EN5" i="117" s="1"/>
  <c r="BW5" i="117"/>
  <c r="DN5" i="117" s="1"/>
  <c r="BP5" i="117"/>
  <c r="CQ4" i="117"/>
  <c r="EF4" i="117" s="1"/>
  <c r="BP4" i="117"/>
  <c r="CR4" i="117"/>
  <c r="EG4" i="117" s="1"/>
  <c r="BT11" i="117"/>
  <c r="DU11" i="117" s="1"/>
  <c r="CR11" i="117"/>
  <c r="EG11" i="117" s="1"/>
  <c r="CQ10" i="117"/>
  <c r="EF10" i="117" s="1"/>
  <c r="CK7" i="117"/>
  <c r="CR6" i="117"/>
  <c r="EG6" i="117" s="1"/>
  <c r="CO4" i="117"/>
  <c r="EN4" i="117" s="1"/>
  <c r="BW4" i="117"/>
  <c r="DN4" i="117" s="1"/>
  <c r="BP10" i="117"/>
  <c r="BV12" i="117"/>
  <c r="DM12" i="117" s="1"/>
  <c r="CO3" i="117"/>
  <c r="EN3" i="117" s="1"/>
  <c r="BT3" i="117"/>
  <c r="DU3" i="117" s="1"/>
  <c r="CO12" i="117"/>
  <c r="EN12" i="117" s="1"/>
  <c r="BW12" i="117"/>
  <c r="DN12" i="117" s="1"/>
  <c r="BT12" i="117"/>
  <c r="DU12" i="117" s="1"/>
  <c r="BP12" i="117"/>
  <c r="CQ11" i="117"/>
  <c r="EF11" i="117" s="1"/>
  <c r="BW10" i="117"/>
  <c r="DN10" i="117" s="1"/>
  <c r="CO9" i="117"/>
  <c r="EN9" i="117" s="1"/>
  <c r="BW9" i="117"/>
  <c r="DN9" i="117" s="1"/>
  <c r="BP9" i="117"/>
  <c r="BT7" i="117"/>
  <c r="DU7" i="117" s="1"/>
  <c r="CK6" i="117"/>
  <c r="BT4" i="117"/>
  <c r="DU4" i="117" s="1"/>
  <c r="CR9" i="117"/>
  <c r="EG9" i="117" s="1"/>
  <c r="CK10" i="117"/>
  <c r="BV3" i="117"/>
  <c r="DM3" i="117" s="1"/>
  <c r="CO8" i="117"/>
  <c r="EN8" i="117" s="1"/>
  <c r="BW8" i="117"/>
  <c r="DN8" i="117" s="1"/>
  <c r="BP8" i="117"/>
  <c r="CQ7" i="117"/>
  <c r="EF7" i="117" s="1"/>
  <c r="CR5" i="117"/>
  <c r="EG5" i="117" s="1"/>
  <c r="CK5" i="117"/>
  <c r="CK9" i="117"/>
  <c r="CR12" i="117"/>
  <c r="EG12" i="117" s="1"/>
  <c r="BT10" i="117"/>
  <c r="DU10" i="117" s="1"/>
  <c r="BW3" i="117"/>
  <c r="DN3" i="117" s="1"/>
  <c r="CO10" i="117"/>
  <c r="EN10" i="117" s="1"/>
  <c r="CK3" i="117"/>
  <c r="CQ3" i="117"/>
  <c r="EF3" i="117" s="1"/>
  <c r="CO11" i="117"/>
  <c r="EN11" i="117" s="1"/>
  <c r="BW11" i="117"/>
  <c r="DN11" i="117" s="1"/>
  <c r="BP11" i="117"/>
  <c r="CR8" i="117"/>
  <c r="EG8" i="117" s="1"/>
  <c r="BW6" i="117"/>
  <c r="DN6" i="117" s="1"/>
  <c r="BT6" i="117"/>
  <c r="DU6" i="117" s="1"/>
  <c r="BT9" i="117"/>
  <c r="DU9" i="117" s="1"/>
  <c r="BV8" i="117"/>
  <c r="DM8" i="117" s="1"/>
  <c r="CO6" i="117"/>
  <c r="EN6" i="117" s="1"/>
  <c r="BP6" i="117"/>
  <c r="CM6" i="14"/>
  <c r="CM7" i="14"/>
  <c r="CM8" i="14"/>
  <c r="CM9" i="14"/>
  <c r="CM10" i="14"/>
  <c r="CM11" i="14"/>
  <c r="CM12" i="14"/>
  <c r="CM13" i="14"/>
  <c r="CM14" i="14"/>
  <c r="CM15" i="14"/>
  <c r="CM16" i="14"/>
  <c r="CM17" i="14"/>
  <c r="CM18" i="14"/>
  <c r="CM19" i="14"/>
  <c r="CM20" i="14"/>
  <c r="CM21" i="14"/>
  <c r="CM22" i="14"/>
  <c r="CM23" i="14"/>
  <c r="CM5" i="14"/>
  <c r="CM4" i="14"/>
  <c r="HN124" i="9"/>
  <c r="BD28" i="116"/>
  <c r="BE28" i="116" s="1"/>
  <c r="Y25" i="116"/>
  <c r="BE24" i="116"/>
  <c r="C24" i="116"/>
  <c r="BE23" i="116"/>
  <c r="C23" i="116"/>
  <c r="BE22" i="116"/>
  <c r="C22" i="116"/>
  <c r="BE21" i="116"/>
  <c r="C21" i="116"/>
  <c r="BE20" i="116"/>
  <c r="C20" i="116"/>
  <c r="BE19" i="116"/>
  <c r="C19" i="116"/>
  <c r="BE18" i="116"/>
  <c r="C18" i="116"/>
  <c r="BE17" i="116"/>
  <c r="C17" i="116"/>
  <c r="BE16" i="116"/>
  <c r="C16" i="116"/>
  <c r="BE15" i="116"/>
  <c r="BE14" i="116"/>
  <c r="C14" i="116"/>
  <c r="BE13" i="116"/>
  <c r="C13" i="116"/>
  <c r="BE12" i="116"/>
  <c r="C12" i="116"/>
  <c r="BE11" i="116"/>
  <c r="C11" i="116"/>
  <c r="BE10" i="116"/>
  <c r="C10" i="116"/>
  <c r="BE9" i="116"/>
  <c r="BE8" i="116"/>
  <c r="C8" i="116"/>
  <c r="BE7" i="116"/>
  <c r="C7" i="116"/>
  <c r="BE6" i="116"/>
  <c r="C6" i="116"/>
  <c r="BE5" i="116"/>
  <c r="AZ2" i="116"/>
  <c r="AY2" i="116"/>
  <c r="AX2" i="116"/>
  <c r="AW2" i="116"/>
  <c r="AV2" i="116"/>
  <c r="AU2" i="116"/>
  <c r="AT2" i="116"/>
  <c r="AS2" i="116"/>
  <c r="AR2" i="116"/>
  <c r="AQ2" i="116"/>
  <c r="AP2" i="116"/>
  <c r="CJ1" i="116"/>
  <c r="BV1" i="116"/>
  <c r="BR1" i="116"/>
  <c r="BM1" i="116"/>
  <c r="AH124" i="9"/>
  <c r="IG124" i="9"/>
  <c r="IE124" i="9"/>
  <c r="IA124" i="9"/>
  <c r="CM25" i="14" l="1"/>
  <c r="CM27" i="14"/>
  <c r="CM26" i="14"/>
  <c r="AP23" i="139"/>
  <c r="AP18" i="139"/>
  <c r="AP17" i="139"/>
  <c r="AP22" i="139"/>
  <c r="AP21" i="139"/>
  <c r="AP20" i="139"/>
  <c r="AP24" i="139"/>
  <c r="AP19" i="139"/>
  <c r="AQ21" i="137"/>
  <c r="AQ19" i="137"/>
  <c r="AQ20" i="137"/>
  <c r="AQ18" i="137"/>
  <c r="AQ17" i="137"/>
  <c r="AQ22" i="137"/>
  <c r="AQ24" i="137"/>
  <c r="AQ23" i="137"/>
  <c r="AR18" i="136"/>
  <c r="AR17" i="136"/>
  <c r="AR23" i="136"/>
  <c r="AR21" i="136"/>
  <c r="AR24" i="136"/>
  <c r="AR22" i="136"/>
  <c r="AR20" i="136"/>
  <c r="AR19" i="136"/>
  <c r="AS21" i="133"/>
  <c r="AS17" i="133"/>
  <c r="AS19" i="133"/>
  <c r="AS18" i="133"/>
  <c r="AS24" i="133"/>
  <c r="AS23" i="133"/>
  <c r="AS22" i="133"/>
  <c r="AS20" i="133"/>
  <c r="AQ14" i="139"/>
  <c r="AP14" i="141"/>
  <c r="AQ11" i="139"/>
  <c r="AP11" i="141"/>
  <c r="AQ10" i="139"/>
  <c r="AP10" i="141"/>
  <c r="AQ6" i="139"/>
  <c r="AP6" i="141"/>
  <c r="AQ9" i="139"/>
  <c r="AP9" i="141"/>
  <c r="AQ15" i="139"/>
  <c r="AP15" i="141"/>
  <c r="AQ7" i="139"/>
  <c r="AP7" i="141"/>
  <c r="AQ13" i="139"/>
  <c r="AP13" i="141"/>
  <c r="AQ12" i="139"/>
  <c r="AP12" i="141"/>
  <c r="AQ16" i="139"/>
  <c r="AP16" i="141"/>
  <c r="AQ8" i="139"/>
  <c r="AP8" i="141"/>
  <c r="BW16" i="117"/>
  <c r="BW17" i="117" s="1"/>
  <c r="AV120" i="122"/>
  <c r="AV143" i="122" s="1"/>
  <c r="CQ16" i="117"/>
  <c r="CK16" i="117"/>
  <c r="CR16" i="117"/>
  <c r="BP16" i="117"/>
  <c r="BP17" i="117" s="1"/>
  <c r="BT16" i="117"/>
  <c r="BV16" i="117"/>
  <c r="CO16" i="117"/>
  <c r="AR10" i="136"/>
  <c r="AR10" i="137"/>
  <c r="AR6" i="136"/>
  <c r="AR6" i="137"/>
  <c r="AR9" i="136"/>
  <c r="AR9" i="137"/>
  <c r="AR16" i="136"/>
  <c r="AR16" i="137"/>
  <c r="AR8" i="136"/>
  <c r="AR8" i="137"/>
  <c r="AR15" i="136"/>
  <c r="AR15" i="137"/>
  <c r="AR7" i="136"/>
  <c r="AR7" i="137"/>
  <c r="AR14" i="136"/>
  <c r="AR14" i="137"/>
  <c r="AR13" i="136"/>
  <c r="AR13" i="137"/>
  <c r="AR12" i="136"/>
  <c r="AR12" i="137"/>
  <c r="AR11" i="136"/>
  <c r="AR11" i="137"/>
  <c r="CL17" i="117"/>
  <c r="CJ17" i="117"/>
  <c r="CW17" i="117"/>
  <c r="CU17" i="117"/>
  <c r="CN17" i="117"/>
  <c r="CM17" i="117"/>
  <c r="CP17" i="117"/>
  <c r="CV17" i="117"/>
  <c r="CZ17" i="117"/>
  <c r="DA17" i="117"/>
  <c r="CY17" i="117"/>
  <c r="CT17" i="117"/>
  <c r="CS17" i="117"/>
  <c r="CX17" i="117"/>
  <c r="AT17" i="132"/>
  <c r="AT18" i="132"/>
  <c r="AT20" i="132"/>
  <c r="AT19" i="132"/>
  <c r="AT23" i="132"/>
  <c r="AT22" i="132"/>
  <c r="AT21" i="132"/>
  <c r="AT24" i="132"/>
  <c r="BT17" i="117"/>
  <c r="BV17" i="117"/>
  <c r="AV17" i="125"/>
  <c r="AV20" i="125"/>
  <c r="AV18" i="125"/>
  <c r="AV22" i="125"/>
  <c r="AV21" i="125"/>
  <c r="AV24" i="125"/>
  <c r="AV19" i="125"/>
  <c r="AV23" i="125"/>
  <c r="II124" i="9"/>
  <c r="AW19" i="124"/>
  <c r="AW20" i="124"/>
  <c r="AW18" i="124"/>
  <c r="AW17" i="124"/>
  <c r="AW23" i="124"/>
  <c r="AW21" i="124"/>
  <c r="AW22" i="124"/>
  <c r="AW24" i="124"/>
  <c r="DB8" i="117"/>
  <c r="CN24" i="117" s="1"/>
  <c r="DB7" i="117"/>
  <c r="DB11" i="117"/>
  <c r="CT27" i="117" s="1"/>
  <c r="CG3" i="117"/>
  <c r="DB6" i="117"/>
  <c r="CR22" i="117" s="1"/>
  <c r="DB3" i="117"/>
  <c r="CG5" i="117"/>
  <c r="BV21" i="117" s="1"/>
  <c r="DB12" i="117"/>
  <c r="DB5" i="117"/>
  <c r="CR21" i="117" s="1"/>
  <c r="DB10" i="117"/>
  <c r="CR26" i="117" s="1"/>
  <c r="DB4" i="117"/>
  <c r="DB9" i="117"/>
  <c r="CQ25" i="117" s="1"/>
  <c r="CG4" i="117"/>
  <c r="BP20" i="117" s="1"/>
  <c r="CG6" i="117"/>
  <c r="BP22" i="117" s="1"/>
  <c r="CG11" i="117"/>
  <c r="BP27" i="117" s="1"/>
  <c r="CG8" i="117"/>
  <c r="BT24" i="117" s="1"/>
  <c r="CG12" i="117"/>
  <c r="CG9" i="117"/>
  <c r="BV25" i="117" s="1"/>
  <c r="CG7" i="117"/>
  <c r="CG10" i="117"/>
  <c r="AX24" i="121"/>
  <c r="AX22" i="121"/>
  <c r="AX17" i="121"/>
  <c r="AX23" i="121"/>
  <c r="AX20" i="121"/>
  <c r="AX19" i="121"/>
  <c r="AX18" i="121"/>
  <c r="AX21" i="121"/>
  <c r="AY19" i="120"/>
  <c r="AY17" i="120"/>
  <c r="AY24" i="120"/>
  <c r="AY21" i="120"/>
  <c r="AY20" i="120"/>
  <c r="AY18" i="120"/>
  <c r="AY22" i="120"/>
  <c r="AY23" i="120"/>
  <c r="BA17" i="116"/>
  <c r="BA18" i="116"/>
  <c r="BA19" i="116"/>
  <c r="BA20" i="116"/>
  <c r="BA21" i="116"/>
  <c r="BA23" i="116"/>
  <c r="BA22" i="116"/>
  <c r="BA24" i="116"/>
  <c r="AZ18" i="119"/>
  <c r="AZ23" i="119"/>
  <c r="AZ17" i="119"/>
  <c r="AZ24" i="119"/>
  <c r="AZ22" i="119"/>
  <c r="AZ19" i="119"/>
  <c r="AZ20" i="119"/>
  <c r="AZ21" i="119"/>
  <c r="BA10" i="116"/>
  <c r="BA16" i="116"/>
  <c r="BA15" i="116"/>
  <c r="BA7" i="116"/>
  <c r="BA9" i="116"/>
  <c r="BA8" i="116"/>
  <c r="BA13" i="116"/>
  <c r="BA14" i="116"/>
  <c r="BA12" i="116"/>
  <c r="BA11" i="116"/>
  <c r="BA6" i="116"/>
  <c r="AZ6" i="119"/>
  <c r="A28" i="116"/>
  <c r="A30" i="116"/>
  <c r="A29" i="116"/>
  <c r="GT95" i="9"/>
  <c r="GT96" i="9" s="1"/>
  <c r="GT97" i="9" s="1"/>
  <c r="GT98" i="9" s="1"/>
  <c r="GT99" i="9" s="1"/>
  <c r="GT100" i="9" s="1"/>
  <c r="GT101" i="9" s="1"/>
  <c r="GT102" i="9" s="1"/>
  <c r="GT103" i="9" s="1"/>
  <c r="GT104" i="9" s="1"/>
  <c r="GT105" i="9" s="1"/>
  <c r="GT107" i="9" s="1"/>
  <c r="GT108" i="9" s="1"/>
  <c r="GT109" i="9" s="1"/>
  <c r="GT110" i="9" s="1"/>
  <c r="GT111" i="9" s="1"/>
  <c r="GT112" i="9" s="1"/>
  <c r="GT113" i="9" s="1"/>
  <c r="GT114" i="9" s="1"/>
  <c r="GT115" i="9" s="1"/>
  <c r="GT116" i="9" s="1"/>
  <c r="GT117" i="9" s="1"/>
  <c r="GT118" i="9" s="1"/>
  <c r="GT119" i="9" s="1"/>
  <c r="GT120" i="9" s="1"/>
  <c r="GT121" i="9" s="1"/>
  <c r="GT122" i="9" s="1"/>
  <c r="GT123" i="9" s="1"/>
  <c r="GT124" i="9" s="1"/>
  <c r="GT125" i="9" s="1"/>
  <c r="GT126" i="9" s="1"/>
  <c r="GT127" i="9" s="1"/>
  <c r="GT128" i="9" s="1"/>
  <c r="GT129" i="9" s="1"/>
  <c r="GT130" i="9" s="1"/>
  <c r="GT131" i="9" s="1"/>
  <c r="GT132" i="9" s="1"/>
  <c r="GT133" i="9" s="1"/>
  <c r="GT134" i="9" s="1"/>
  <c r="GT135" i="9" s="1"/>
  <c r="GT136" i="9" s="1"/>
  <c r="GT137" i="9" s="1"/>
  <c r="GT83" i="9"/>
  <c r="GT84" i="9" s="1"/>
  <c r="GT85" i="9" s="1"/>
  <c r="GT86" i="9" s="1"/>
  <c r="GT87" i="9" s="1"/>
  <c r="GT88" i="9" s="1"/>
  <c r="GT89" i="9" s="1"/>
  <c r="GT90" i="9" s="1"/>
  <c r="GT91" i="9" s="1"/>
  <c r="GT92" i="9" s="1"/>
  <c r="GT93" i="9" s="1"/>
  <c r="GT71" i="9"/>
  <c r="GT72" i="9" s="1"/>
  <c r="GT73" i="9" s="1"/>
  <c r="GT74" i="9" s="1"/>
  <c r="GT75" i="9" s="1"/>
  <c r="GT76" i="9" s="1"/>
  <c r="GT77" i="9" s="1"/>
  <c r="GT78" i="9" s="1"/>
  <c r="GT79" i="9" s="1"/>
  <c r="GT80" i="9" s="1"/>
  <c r="GT81" i="9" s="1"/>
  <c r="GT59" i="9"/>
  <c r="GT60" i="9" s="1"/>
  <c r="GT61" i="9" s="1"/>
  <c r="GT62" i="9" s="1"/>
  <c r="GT63" i="9" s="1"/>
  <c r="GT64" i="9" s="1"/>
  <c r="GT65" i="9" s="1"/>
  <c r="GT66" i="9" s="1"/>
  <c r="GT67" i="9" s="1"/>
  <c r="GT68" i="9" s="1"/>
  <c r="GT69" i="9" s="1"/>
  <c r="EZ95" i="9"/>
  <c r="EZ96" i="9" s="1"/>
  <c r="EZ97" i="9" s="1"/>
  <c r="EZ98" i="9" s="1"/>
  <c r="EZ99" i="9" s="1"/>
  <c r="EZ100" i="9" s="1"/>
  <c r="EZ101" i="9" s="1"/>
  <c r="EZ102" i="9" s="1"/>
  <c r="EZ103" i="9" s="1"/>
  <c r="EZ104" i="9" s="1"/>
  <c r="EZ105" i="9" s="1"/>
  <c r="EZ108" i="9" s="1"/>
  <c r="EZ109" i="9" s="1"/>
  <c r="EZ110" i="9" s="1"/>
  <c r="EZ111" i="9" s="1"/>
  <c r="EZ112" i="9" s="1"/>
  <c r="EZ113" i="9" s="1"/>
  <c r="EZ114" i="9" s="1"/>
  <c r="EZ115" i="9" s="1"/>
  <c r="EZ116" i="9" s="1"/>
  <c r="EZ83" i="9"/>
  <c r="EZ84" i="9" s="1"/>
  <c r="EZ85" i="9" s="1"/>
  <c r="EZ86" i="9" s="1"/>
  <c r="EZ87" i="9" s="1"/>
  <c r="EZ88" i="9" s="1"/>
  <c r="EZ89" i="9" s="1"/>
  <c r="EZ90" i="9" s="1"/>
  <c r="EZ91" i="9" s="1"/>
  <c r="EZ92" i="9" s="1"/>
  <c r="EZ93" i="9" s="1"/>
  <c r="EZ71" i="9"/>
  <c r="EZ72" i="9" s="1"/>
  <c r="EZ73" i="9" s="1"/>
  <c r="EZ74" i="9" s="1"/>
  <c r="EZ75" i="9" s="1"/>
  <c r="EZ76" i="9" s="1"/>
  <c r="EZ77" i="9" s="1"/>
  <c r="EZ78" i="9" s="1"/>
  <c r="EZ79" i="9" s="1"/>
  <c r="EZ80" i="9" s="1"/>
  <c r="EZ81" i="9" s="1"/>
  <c r="EZ59" i="9"/>
  <c r="EZ60" i="9" s="1"/>
  <c r="EZ61" i="9" s="1"/>
  <c r="EZ62" i="9" s="1"/>
  <c r="EZ63" i="9" s="1"/>
  <c r="EZ64" i="9" s="1"/>
  <c r="EZ65" i="9" s="1"/>
  <c r="EZ66" i="9" s="1"/>
  <c r="EZ67" i="9" s="1"/>
  <c r="EZ68" i="9" s="1"/>
  <c r="EZ69" i="9" s="1"/>
  <c r="EZ47" i="9"/>
  <c r="EZ48" i="9" s="1"/>
  <c r="EZ49" i="9" s="1"/>
  <c r="EZ50" i="9" s="1"/>
  <c r="EZ51" i="9" s="1"/>
  <c r="EZ52" i="9" s="1"/>
  <c r="EZ53" i="9" s="1"/>
  <c r="EZ54" i="9" s="1"/>
  <c r="EZ55" i="9" s="1"/>
  <c r="EZ56" i="9" s="1"/>
  <c r="EZ57" i="9" s="1"/>
  <c r="EZ35" i="9"/>
  <c r="EZ36" i="9" s="1"/>
  <c r="EZ37" i="9" s="1"/>
  <c r="EZ38" i="9" s="1"/>
  <c r="EZ39" i="9" s="1"/>
  <c r="EZ40" i="9" s="1"/>
  <c r="EZ41" i="9" s="1"/>
  <c r="EZ42" i="9" s="1"/>
  <c r="EZ43" i="9" s="1"/>
  <c r="EZ44" i="9" s="1"/>
  <c r="EZ45" i="9" s="1"/>
  <c r="EZ23" i="9"/>
  <c r="EZ24" i="9" s="1"/>
  <c r="EZ25" i="9" s="1"/>
  <c r="EZ26" i="9" s="1"/>
  <c r="EZ27" i="9" s="1"/>
  <c r="EZ28" i="9" s="1"/>
  <c r="EZ29" i="9" s="1"/>
  <c r="EZ30" i="9" s="1"/>
  <c r="EZ31" i="9" s="1"/>
  <c r="EZ32" i="9" s="1"/>
  <c r="EZ33" i="9" s="1"/>
  <c r="EZ11" i="9"/>
  <c r="EZ12" i="9" s="1"/>
  <c r="EZ13" i="9" s="1"/>
  <c r="EZ14" i="9" s="1"/>
  <c r="EZ15" i="9" s="1"/>
  <c r="EZ16" i="9" s="1"/>
  <c r="EZ17" i="9" s="1"/>
  <c r="EZ18" i="9" s="1"/>
  <c r="EZ19" i="9" s="1"/>
  <c r="EZ20" i="9" s="1"/>
  <c r="EZ21" i="9" s="1"/>
  <c r="FD11" i="9"/>
  <c r="FD12" i="9" s="1"/>
  <c r="FD13" i="9" s="1"/>
  <c r="FD14" i="9" s="1"/>
  <c r="FD15" i="9" s="1"/>
  <c r="FD16" i="9" s="1"/>
  <c r="FD17" i="9" s="1"/>
  <c r="FD18" i="9" s="1"/>
  <c r="FD19" i="9" s="1"/>
  <c r="FD20" i="9" s="1"/>
  <c r="FD21" i="9" s="1"/>
  <c r="FB95" i="9"/>
  <c r="FB96" i="9" s="1"/>
  <c r="FB97" i="9" s="1"/>
  <c r="FB98" i="9" s="1"/>
  <c r="FB99" i="9" s="1"/>
  <c r="FB100" i="9" s="1"/>
  <c r="FB101" i="9" s="1"/>
  <c r="FB102" i="9" s="1"/>
  <c r="FB103" i="9" s="1"/>
  <c r="FB104" i="9" s="1"/>
  <c r="FB105" i="9" s="1"/>
  <c r="FB107" i="9" s="1"/>
  <c r="FB108" i="9" s="1"/>
  <c r="FB109" i="9" s="1"/>
  <c r="FB110" i="9" s="1"/>
  <c r="FB111" i="9" s="1"/>
  <c r="FB112" i="9" s="1"/>
  <c r="FB113" i="9" s="1"/>
  <c r="FB114" i="9" s="1"/>
  <c r="FB115" i="9" s="1"/>
  <c r="FB116" i="9" s="1"/>
  <c r="FB117" i="9" s="1"/>
  <c r="FB118" i="9" s="1"/>
  <c r="FB119" i="9" s="1"/>
  <c r="FB120" i="9" s="1"/>
  <c r="FB121" i="9" s="1"/>
  <c r="FB122" i="9" s="1"/>
  <c r="FB123" i="9" s="1"/>
  <c r="FB124" i="9" s="1"/>
  <c r="FB125" i="9" s="1"/>
  <c r="FB126" i="9" s="1"/>
  <c r="FB127" i="9" s="1"/>
  <c r="FB128" i="9" s="1"/>
  <c r="FB83" i="9"/>
  <c r="FB84" i="9" s="1"/>
  <c r="FB85" i="9" s="1"/>
  <c r="FB86" i="9" s="1"/>
  <c r="FB87" i="9" s="1"/>
  <c r="FB88" i="9" s="1"/>
  <c r="FB89" i="9" s="1"/>
  <c r="FB90" i="9" s="1"/>
  <c r="FB91" i="9" s="1"/>
  <c r="FB92" i="9" s="1"/>
  <c r="FB93" i="9" s="1"/>
  <c r="FB71" i="9"/>
  <c r="FB72" i="9" s="1"/>
  <c r="FB73" i="9" s="1"/>
  <c r="FB74" i="9" s="1"/>
  <c r="FB75" i="9" s="1"/>
  <c r="FB76" i="9" s="1"/>
  <c r="FB77" i="9" s="1"/>
  <c r="FB78" i="9" s="1"/>
  <c r="FB79" i="9" s="1"/>
  <c r="FB80" i="9" s="1"/>
  <c r="FB81" i="9" s="1"/>
  <c r="FB59" i="9"/>
  <c r="FB60" i="9" s="1"/>
  <c r="FB61" i="9" s="1"/>
  <c r="FB62" i="9" s="1"/>
  <c r="FB63" i="9" s="1"/>
  <c r="FB64" i="9" s="1"/>
  <c r="FB65" i="9" s="1"/>
  <c r="FB66" i="9" s="1"/>
  <c r="FB67" i="9" s="1"/>
  <c r="FB68" i="9" s="1"/>
  <c r="FB69" i="9" s="1"/>
  <c r="FA95" i="9"/>
  <c r="FA96" i="9" s="1"/>
  <c r="FA97" i="9" s="1"/>
  <c r="FA98" i="9" s="1"/>
  <c r="FA99" i="9" s="1"/>
  <c r="FA100" i="9" s="1"/>
  <c r="FA101" i="9" s="1"/>
  <c r="FA102" i="9" s="1"/>
  <c r="FA103" i="9" s="1"/>
  <c r="FA104" i="9" s="1"/>
  <c r="FA105" i="9" s="1"/>
  <c r="FA107" i="9" s="1"/>
  <c r="FA108" i="9" s="1"/>
  <c r="FA109" i="9" s="1"/>
  <c r="FA110" i="9" s="1"/>
  <c r="FA111" i="9" s="1"/>
  <c r="FA112" i="9" s="1"/>
  <c r="FA113" i="9" s="1"/>
  <c r="FA114" i="9" s="1"/>
  <c r="FA115" i="9" s="1"/>
  <c r="FA116" i="9" s="1"/>
  <c r="FA117" i="9" s="1"/>
  <c r="FA118" i="9" s="1"/>
  <c r="FA119" i="9" s="1"/>
  <c r="FA120" i="9" s="1"/>
  <c r="FA121" i="9" s="1"/>
  <c r="FA122" i="9" s="1"/>
  <c r="FA123" i="9" s="1"/>
  <c r="FA124" i="9" s="1"/>
  <c r="FA83" i="9"/>
  <c r="FA84" i="9" s="1"/>
  <c r="FA85" i="9" s="1"/>
  <c r="FA86" i="9" s="1"/>
  <c r="FA87" i="9" s="1"/>
  <c r="FA88" i="9" s="1"/>
  <c r="FA89" i="9" s="1"/>
  <c r="FA90" i="9" s="1"/>
  <c r="FA91" i="9" s="1"/>
  <c r="FA92" i="9" s="1"/>
  <c r="FA93" i="9" s="1"/>
  <c r="FA71" i="9"/>
  <c r="FA72" i="9" s="1"/>
  <c r="FA73" i="9" s="1"/>
  <c r="FA74" i="9" s="1"/>
  <c r="FA75" i="9" s="1"/>
  <c r="FA76" i="9" s="1"/>
  <c r="FA77" i="9" s="1"/>
  <c r="FA78" i="9" s="1"/>
  <c r="FA79" i="9" s="1"/>
  <c r="FA80" i="9" s="1"/>
  <c r="FA81" i="9" s="1"/>
  <c r="BT124" i="9"/>
  <c r="BR124" i="9"/>
  <c r="J119" i="122" s="1"/>
  <c r="AP119" i="122" s="1"/>
  <c r="AP143" i="122" s="1"/>
  <c r="BP124" i="9"/>
  <c r="BO124" i="9"/>
  <c r="L119" i="122" s="1"/>
  <c r="AQ119" i="122" s="1"/>
  <c r="AQ143" i="122" s="1"/>
  <c r="AF125" i="9"/>
  <c r="O124" i="9"/>
  <c r="P124" i="9" s="1"/>
  <c r="AV148" i="122" l="1"/>
  <c r="BB146" i="122"/>
  <c r="CM28" i="14"/>
  <c r="CM32" i="14" s="1"/>
  <c r="CG16" i="117"/>
  <c r="CU23" i="117"/>
  <c r="DB16" i="117"/>
  <c r="DB17" i="117" s="1"/>
  <c r="BP28" i="117"/>
  <c r="CH17" i="117"/>
  <c r="CR17" i="117"/>
  <c r="CK17" i="117"/>
  <c r="CO17" i="117"/>
  <c r="CQ17" i="117"/>
  <c r="CH10" i="117"/>
  <c r="BX26" i="117"/>
  <c r="BS26" i="117"/>
  <c r="CC26" i="117"/>
  <c r="CA26" i="117"/>
  <c r="BR26" i="117"/>
  <c r="BO26" i="117"/>
  <c r="BN26" i="117"/>
  <c r="CB26" i="117"/>
  <c r="CE26" i="117"/>
  <c r="BQ26" i="117"/>
  <c r="BZ26" i="117"/>
  <c r="BU26" i="117"/>
  <c r="BY26" i="117"/>
  <c r="CF26" i="117"/>
  <c r="CD26" i="117"/>
  <c r="CH3" i="117"/>
  <c r="CB19" i="117"/>
  <c r="CA19" i="117"/>
  <c r="BQ19" i="117"/>
  <c r="BO19" i="117"/>
  <c r="CD19" i="117"/>
  <c r="BY19" i="117"/>
  <c r="CF19" i="117"/>
  <c r="BS19" i="117"/>
  <c r="BX19" i="117"/>
  <c r="BN19" i="117"/>
  <c r="CE19" i="117"/>
  <c r="BZ19" i="117"/>
  <c r="BU19" i="117"/>
  <c r="CC19" i="117"/>
  <c r="BR19" i="117"/>
  <c r="BV22" i="117"/>
  <c r="BW22" i="117"/>
  <c r="BV28" i="117"/>
  <c r="CH7" i="117"/>
  <c r="CD23" i="117"/>
  <c r="CF23" i="117"/>
  <c r="BS23" i="117"/>
  <c r="CC23" i="117"/>
  <c r="CA23" i="117"/>
  <c r="BX23" i="117"/>
  <c r="BR23" i="117"/>
  <c r="BO23" i="117"/>
  <c r="BZ23" i="117"/>
  <c r="CB23" i="117"/>
  <c r="BY23" i="117"/>
  <c r="BQ23" i="117"/>
  <c r="BN23" i="117"/>
  <c r="CE23" i="117"/>
  <c r="BU23" i="117"/>
  <c r="BV20" i="117"/>
  <c r="BT21" i="117"/>
  <c r="BP19" i="117"/>
  <c r="CH9" i="117"/>
  <c r="BR25" i="117"/>
  <c r="BN25" i="117"/>
  <c r="CB25" i="117"/>
  <c r="BZ25" i="117"/>
  <c r="BQ25" i="117"/>
  <c r="BY25" i="117"/>
  <c r="CE25" i="117"/>
  <c r="BU25" i="117"/>
  <c r="CF25" i="117"/>
  <c r="CD25" i="117"/>
  <c r="CA25" i="117"/>
  <c r="BX25" i="117"/>
  <c r="BS25" i="117"/>
  <c r="CC25" i="117"/>
  <c r="BO25" i="117"/>
  <c r="BW21" i="117"/>
  <c r="BV26" i="117"/>
  <c r="BT20" i="117"/>
  <c r="CH12" i="117"/>
  <c r="CE28" i="117"/>
  <c r="BQ28" i="117"/>
  <c r="BU28" i="117"/>
  <c r="BZ28" i="117"/>
  <c r="BY28" i="117"/>
  <c r="CF28" i="117"/>
  <c r="BX28" i="117"/>
  <c r="CD28" i="117"/>
  <c r="CA28" i="117"/>
  <c r="BS28" i="117"/>
  <c r="CC28" i="117"/>
  <c r="BO28" i="117"/>
  <c r="BR28" i="117"/>
  <c r="BN28" i="117"/>
  <c r="CB28" i="117"/>
  <c r="BW26" i="117"/>
  <c r="BT19" i="117"/>
  <c r="BP23" i="117"/>
  <c r="BP26" i="117"/>
  <c r="BV19" i="117"/>
  <c r="CH8" i="117"/>
  <c r="CE24" i="117"/>
  <c r="BQ24" i="117"/>
  <c r="BY24" i="117"/>
  <c r="BU24" i="117"/>
  <c r="CD24" i="117"/>
  <c r="CF24" i="117"/>
  <c r="BS24" i="117"/>
  <c r="CC24" i="117"/>
  <c r="BN24" i="117"/>
  <c r="BX24" i="117"/>
  <c r="BR24" i="117"/>
  <c r="CA24" i="117"/>
  <c r="BO24" i="117"/>
  <c r="CB24" i="117"/>
  <c r="BZ24" i="117"/>
  <c r="BW24" i="117"/>
  <c r="BW25" i="117"/>
  <c r="BW20" i="117"/>
  <c r="BT28" i="117"/>
  <c r="CH11" i="117"/>
  <c r="CF27" i="117"/>
  <c r="BN27" i="117"/>
  <c r="CA27" i="117"/>
  <c r="BX27" i="117"/>
  <c r="CD27" i="117"/>
  <c r="BO27" i="117"/>
  <c r="BS27" i="117"/>
  <c r="CC27" i="117"/>
  <c r="BR27" i="117"/>
  <c r="CB27" i="117"/>
  <c r="BQ27" i="117"/>
  <c r="BZ27" i="117"/>
  <c r="CE27" i="117"/>
  <c r="BY27" i="117"/>
  <c r="BU27" i="117"/>
  <c r="CH5" i="117"/>
  <c r="BY21" i="117"/>
  <c r="CB21" i="117"/>
  <c r="BQ21" i="117"/>
  <c r="CE21" i="117"/>
  <c r="BN21" i="117"/>
  <c r="BU21" i="117"/>
  <c r="CD21" i="117"/>
  <c r="BS21" i="117"/>
  <c r="CC21" i="117"/>
  <c r="CF21" i="117"/>
  <c r="BR21" i="117"/>
  <c r="CA21" i="117"/>
  <c r="BX21" i="117"/>
  <c r="BO21" i="117"/>
  <c r="BZ21" i="117"/>
  <c r="BW23" i="117"/>
  <c r="BW19" i="117"/>
  <c r="BW28" i="117"/>
  <c r="BP21" i="117"/>
  <c r="BT25" i="117"/>
  <c r="CH6" i="117"/>
  <c r="BX22" i="117"/>
  <c r="CA22" i="117"/>
  <c r="BO22" i="117"/>
  <c r="BZ22" i="117"/>
  <c r="CB22" i="117"/>
  <c r="BY22" i="117"/>
  <c r="CE22" i="117"/>
  <c r="BN22" i="117"/>
  <c r="BQ22" i="117"/>
  <c r="BU22" i="117"/>
  <c r="CD22" i="117"/>
  <c r="BS22" i="117"/>
  <c r="CC22" i="117"/>
  <c r="CF22" i="117"/>
  <c r="BR22" i="117"/>
  <c r="BT26" i="117"/>
  <c r="BW27" i="117"/>
  <c r="BP25" i="117"/>
  <c r="BT23" i="117"/>
  <c r="BV23" i="117"/>
  <c r="BV27" i="117"/>
  <c r="CH4" i="117"/>
  <c r="CE20" i="117"/>
  <c r="CD20" i="117"/>
  <c r="BQ20" i="117"/>
  <c r="BU20" i="117"/>
  <c r="BS20" i="117"/>
  <c r="CC20" i="117"/>
  <c r="BR20" i="117"/>
  <c r="CF20" i="117"/>
  <c r="BX20" i="117"/>
  <c r="CA20" i="117"/>
  <c r="BO20" i="117"/>
  <c r="BZ20" i="117"/>
  <c r="BN20" i="117"/>
  <c r="BY20" i="117"/>
  <c r="CB20" i="117"/>
  <c r="BV24" i="117"/>
  <c r="BT22" i="117"/>
  <c r="BT27" i="117"/>
  <c r="BP24" i="117"/>
  <c r="CM27" i="117"/>
  <c r="FB129" i="9"/>
  <c r="FB130" i="9" s="1"/>
  <c r="FB131" i="9" s="1"/>
  <c r="CR27" i="117"/>
  <c r="CU27" i="117"/>
  <c r="CK27" i="117"/>
  <c r="CZ27" i="117"/>
  <c r="CY27" i="117"/>
  <c r="CL27" i="117"/>
  <c r="CV27" i="117"/>
  <c r="DC11" i="117"/>
  <c r="EZ117" i="9"/>
  <c r="EZ119" i="9" s="1"/>
  <c r="EZ120" i="9" s="1"/>
  <c r="EZ121" i="9" s="1"/>
  <c r="CQ27" i="117"/>
  <c r="CX27" i="117"/>
  <c r="CI27" i="117"/>
  <c r="CO27" i="117"/>
  <c r="DA27" i="117"/>
  <c r="CJ27" i="117"/>
  <c r="CS27" i="117"/>
  <c r="CP27" i="117"/>
  <c r="CN27" i="117"/>
  <c r="CW27" i="117"/>
  <c r="CR24" i="117"/>
  <c r="CK24" i="117"/>
  <c r="CQ24" i="117"/>
  <c r="CK25" i="117"/>
  <c r="CV24" i="117"/>
  <c r="CT24" i="117"/>
  <c r="CR23" i="117"/>
  <c r="CO25" i="117"/>
  <c r="CL24" i="117"/>
  <c r="CO19" i="117"/>
  <c r="CI23" i="117"/>
  <c r="DC8" i="117"/>
  <c r="CN23" i="117"/>
  <c r="CQ23" i="117"/>
  <c r="CW24" i="117"/>
  <c r="CS24" i="117"/>
  <c r="CM23" i="117"/>
  <c r="CZ23" i="117"/>
  <c r="CR25" i="117"/>
  <c r="CX24" i="117"/>
  <c r="CZ24" i="117"/>
  <c r="CW23" i="117"/>
  <c r="DA23" i="117"/>
  <c r="CJ24" i="117"/>
  <c r="DA24" i="117"/>
  <c r="CX23" i="117"/>
  <c r="DC7" i="117"/>
  <c r="CM24" i="117"/>
  <c r="CT23" i="117"/>
  <c r="CO23" i="117"/>
  <c r="CU24" i="117"/>
  <c r="CY24" i="117"/>
  <c r="CS23" i="117"/>
  <c r="CO24" i="117"/>
  <c r="CP24" i="117"/>
  <c r="CR19" i="117"/>
  <c r="CK19" i="117"/>
  <c r="CI24" i="117"/>
  <c r="CJ23" i="117"/>
  <c r="CQ22" i="117"/>
  <c r="CP23" i="117"/>
  <c r="CQ26" i="117"/>
  <c r="CQ19" i="117"/>
  <c r="CV23" i="117"/>
  <c r="CY23" i="117"/>
  <c r="CK23" i="117"/>
  <c r="CL23" i="117"/>
  <c r="DC4" i="117"/>
  <c r="CV20" i="117"/>
  <c r="CI20" i="117"/>
  <c r="CW20" i="117"/>
  <c r="CJ20" i="117"/>
  <c r="CX20" i="117"/>
  <c r="CL20" i="117"/>
  <c r="CY20" i="117"/>
  <c r="CM20" i="117"/>
  <c r="CZ20" i="117"/>
  <c r="CN20" i="117"/>
  <c r="DA20" i="117"/>
  <c r="CP20" i="117"/>
  <c r="CS20" i="117"/>
  <c r="CU20" i="117"/>
  <c r="CT20" i="117"/>
  <c r="DC12" i="117"/>
  <c r="CT28" i="117"/>
  <c r="CS28" i="117"/>
  <c r="CU28" i="117"/>
  <c r="CV28" i="117"/>
  <c r="CI28" i="117"/>
  <c r="CW28" i="117"/>
  <c r="CJ28" i="117"/>
  <c r="CX28" i="117"/>
  <c r="CL28" i="117"/>
  <c r="CY28" i="117"/>
  <c r="CM28" i="117"/>
  <c r="CZ28" i="117"/>
  <c r="CN28" i="117"/>
  <c r="DA28" i="117"/>
  <c r="CP28" i="117"/>
  <c r="CK28" i="117"/>
  <c r="DC10" i="117"/>
  <c r="CV26" i="117"/>
  <c r="CW26" i="117"/>
  <c r="CJ26" i="117"/>
  <c r="CI26" i="117"/>
  <c r="CX26" i="117"/>
  <c r="CL26" i="117"/>
  <c r="CY26" i="117"/>
  <c r="CM26" i="117"/>
  <c r="CN26" i="117"/>
  <c r="DA26" i="117"/>
  <c r="CZ26" i="117"/>
  <c r="CS26" i="117"/>
  <c r="CP26" i="117"/>
  <c r="CT26" i="117"/>
  <c r="CU26" i="117"/>
  <c r="DC5" i="117"/>
  <c r="CS21" i="117"/>
  <c r="CU21" i="117"/>
  <c r="CT21" i="117"/>
  <c r="CV21" i="117"/>
  <c r="CI21" i="117"/>
  <c r="CX21" i="117"/>
  <c r="CW21" i="117"/>
  <c r="CJ21" i="117"/>
  <c r="CM21" i="117"/>
  <c r="CL21" i="117"/>
  <c r="CY21" i="117"/>
  <c r="CZ21" i="117"/>
  <c r="CN21" i="117"/>
  <c r="DA21" i="117"/>
  <c r="CP21" i="117"/>
  <c r="CO26" i="117"/>
  <c r="CQ21" i="117"/>
  <c r="CR28" i="117"/>
  <c r="CO21" i="117"/>
  <c r="CO22" i="117"/>
  <c r="CQ28" i="117"/>
  <c r="CK26" i="117"/>
  <c r="CK21" i="117"/>
  <c r="CR20" i="117"/>
  <c r="CQ20" i="117"/>
  <c r="DC3" i="117"/>
  <c r="CZ19" i="117"/>
  <c r="CN19" i="117"/>
  <c r="DA19" i="117"/>
  <c r="CP19" i="117"/>
  <c r="CS19" i="117"/>
  <c r="CU19" i="117"/>
  <c r="CT19" i="117"/>
  <c r="CV19" i="117"/>
  <c r="CW19" i="117"/>
  <c r="CJ19" i="117"/>
  <c r="CI19" i="117"/>
  <c r="CL19" i="117"/>
  <c r="CX19" i="117"/>
  <c r="CY19" i="117"/>
  <c r="CM19" i="117"/>
  <c r="CO20" i="117"/>
  <c r="DC9" i="117"/>
  <c r="CJ25" i="117"/>
  <c r="CX25" i="117"/>
  <c r="CW25" i="117"/>
  <c r="CY25" i="117"/>
  <c r="CM25" i="117"/>
  <c r="CL25" i="117"/>
  <c r="CN25" i="117"/>
  <c r="DA25" i="117"/>
  <c r="CZ25" i="117"/>
  <c r="CS25" i="117"/>
  <c r="CP25" i="117"/>
  <c r="CT25" i="117"/>
  <c r="CU25" i="117"/>
  <c r="CV25" i="117"/>
  <c r="CI25" i="117"/>
  <c r="DC6" i="117"/>
  <c r="CS22" i="117"/>
  <c r="CP22" i="117"/>
  <c r="CU22" i="117"/>
  <c r="CT22" i="117"/>
  <c r="CI22" i="117"/>
  <c r="CV22" i="117"/>
  <c r="CX22" i="117"/>
  <c r="CW22" i="117"/>
  <c r="CJ22" i="117"/>
  <c r="CM22" i="117"/>
  <c r="CL22" i="117"/>
  <c r="CY22" i="117"/>
  <c r="DA22" i="117"/>
  <c r="CZ22" i="117"/>
  <c r="CN22" i="117"/>
  <c r="CO28" i="117"/>
  <c r="CK20" i="117"/>
  <c r="CK22" i="117"/>
  <c r="FC124" i="9"/>
  <c r="FA125" i="9"/>
  <c r="CB125" i="9"/>
  <c r="CK125" i="9"/>
  <c r="CT125" i="9"/>
  <c r="DB125" i="9"/>
  <c r="CF125" i="9"/>
  <c r="DF125" i="9"/>
  <c r="CH125" i="9"/>
  <c r="CY125" i="9"/>
  <c r="CI125" i="9"/>
  <c r="CA125" i="9"/>
  <c r="CC125" i="9"/>
  <c r="CL125" i="9"/>
  <c r="CU125" i="9"/>
  <c r="DC125" i="9"/>
  <c r="CD125" i="9"/>
  <c r="CM125" i="9"/>
  <c r="CV125" i="9"/>
  <c r="DD125" i="9"/>
  <c r="CE125" i="9"/>
  <c r="CN125" i="9"/>
  <c r="CW125" i="9"/>
  <c r="DE125" i="9"/>
  <c r="CP125" i="9"/>
  <c r="DH125" i="9"/>
  <c r="BZ125" i="9"/>
  <c r="BU124" i="9"/>
  <c r="BD146" i="122" l="1"/>
  <c r="BC146" i="122"/>
  <c r="CD31" i="117"/>
  <c r="CN31" i="117"/>
  <c r="BZ31" i="117"/>
  <c r="CU31" i="117"/>
  <c r="CI31" i="117"/>
  <c r="CM31" i="117"/>
  <c r="CE31" i="117"/>
  <c r="BX31" i="117"/>
  <c r="CW31" i="117"/>
  <c r="BP31" i="117"/>
  <c r="BO31" i="117"/>
  <c r="CZ31" i="117"/>
  <c r="CV31" i="117"/>
  <c r="BT31" i="117"/>
  <c r="BW31" i="117"/>
  <c r="BU31" i="117"/>
  <c r="BR31" i="117"/>
  <c r="CP31" i="117"/>
  <c r="DC16" i="117"/>
  <c r="DC17" i="117" s="1"/>
  <c r="CQ31" i="117"/>
  <c r="BN31" i="117"/>
  <c r="CA31" i="117"/>
  <c r="BV31" i="117"/>
  <c r="CO31" i="117"/>
  <c r="CK31" i="117"/>
  <c r="BQ31" i="117"/>
  <c r="CC31" i="117"/>
  <c r="CX31" i="117"/>
  <c r="DA31" i="117"/>
  <c r="CL31" i="117"/>
  <c r="CR31" i="117"/>
  <c r="BY31" i="117"/>
  <c r="BS31" i="117"/>
  <c r="CT31" i="117"/>
  <c r="CY31" i="117"/>
  <c r="CJ31" i="117"/>
  <c r="CS31" i="117"/>
  <c r="CB31" i="117"/>
  <c r="CF31" i="117"/>
  <c r="EZ122" i="9"/>
  <c r="EZ123" i="9" s="1"/>
  <c r="EZ124" i="9" s="1"/>
  <c r="EZ125" i="9" s="1"/>
  <c r="EZ126" i="9" s="1"/>
  <c r="EZ127" i="9" s="1"/>
  <c r="EZ128" i="9" s="1"/>
  <c r="EZ129" i="9" s="1"/>
  <c r="EZ131" i="9" s="1"/>
  <c r="EZ132" i="9" s="1"/>
  <c r="EZ133" i="9" s="1"/>
  <c r="CG17" i="117"/>
  <c r="FB132" i="9"/>
  <c r="FB133" i="9" s="1"/>
  <c r="FC125" i="9"/>
  <c r="FA126" i="9"/>
  <c r="CO125" i="9"/>
  <c r="CG125" i="9"/>
  <c r="DG125" i="9"/>
  <c r="CX125" i="9"/>
  <c r="CA124" i="9"/>
  <c r="CB124" i="9"/>
  <c r="CK124" i="9"/>
  <c r="BY124" i="9"/>
  <c r="CW124" i="9"/>
  <c r="BZ124" i="9"/>
  <c r="CP124" i="9"/>
  <c r="DF124" i="9"/>
  <c r="CY124" i="9"/>
  <c r="CC124" i="9"/>
  <c r="CD124" i="9"/>
  <c r="CL124" i="9"/>
  <c r="CT124" i="9"/>
  <c r="DB124" i="9"/>
  <c r="CN124" i="9"/>
  <c r="DD124" i="9"/>
  <c r="CI124" i="9"/>
  <c r="DH124" i="9"/>
  <c r="CE124" i="9"/>
  <c r="CM124" i="9"/>
  <c r="CU124" i="9"/>
  <c r="DC124" i="9"/>
  <c r="CF124" i="9"/>
  <c r="CV124" i="9"/>
  <c r="DE124" i="9"/>
  <c r="CG9" i="14"/>
  <c r="GW51" i="9"/>
  <c r="CL6" i="14"/>
  <c r="AP7" i="139" s="1"/>
  <c r="CL7" i="14"/>
  <c r="AP8" i="139" s="1"/>
  <c r="CL8" i="14"/>
  <c r="AP9" i="139" s="1"/>
  <c r="CL9" i="14"/>
  <c r="AP10" i="139" s="1"/>
  <c r="CL10" i="14"/>
  <c r="AP11" i="139" s="1"/>
  <c r="CL11" i="14"/>
  <c r="AP12" i="139" s="1"/>
  <c r="CL12" i="14"/>
  <c r="AP13" i="139" s="1"/>
  <c r="CL13" i="14"/>
  <c r="AP14" i="139" s="1"/>
  <c r="CL14" i="14"/>
  <c r="AP15" i="139" s="1"/>
  <c r="CL15" i="14"/>
  <c r="AP16" i="139" s="1"/>
  <c r="CL16" i="14"/>
  <c r="CL17" i="14"/>
  <c r="CL18" i="14"/>
  <c r="CL19" i="14"/>
  <c r="CL20" i="14"/>
  <c r="CL21" i="14"/>
  <c r="CL22" i="14"/>
  <c r="CL23" i="14"/>
  <c r="CL5" i="14"/>
  <c r="BD28" i="113"/>
  <c r="BE28" i="113" s="1"/>
  <c r="Y25" i="113"/>
  <c r="BE24" i="113"/>
  <c r="C24" i="113"/>
  <c r="BE23" i="113"/>
  <c r="C23" i="113"/>
  <c r="BE22" i="113"/>
  <c r="C22" i="113"/>
  <c r="BE21" i="113"/>
  <c r="C21" i="113"/>
  <c r="BE20" i="113"/>
  <c r="C20" i="113"/>
  <c r="BE19" i="113"/>
  <c r="C19" i="113"/>
  <c r="BE18" i="113"/>
  <c r="C18" i="113"/>
  <c r="BE17" i="113"/>
  <c r="C17" i="113"/>
  <c r="BE16" i="113"/>
  <c r="C16" i="113"/>
  <c r="BE15" i="113"/>
  <c r="BE14" i="113"/>
  <c r="C14" i="113"/>
  <c r="BE13" i="113"/>
  <c r="C13" i="113"/>
  <c r="BE12" i="113"/>
  <c r="C12" i="113"/>
  <c r="BE11" i="113"/>
  <c r="C11" i="113"/>
  <c r="BE10" i="113"/>
  <c r="C10" i="113"/>
  <c r="BE9" i="113"/>
  <c r="BE8" i="113"/>
  <c r="C8" i="113"/>
  <c r="BE7" i="113"/>
  <c r="C7" i="113"/>
  <c r="BE6" i="113"/>
  <c r="C6" i="113"/>
  <c r="BE5" i="113"/>
  <c r="BA2" i="113"/>
  <c r="AZ2" i="113"/>
  <c r="AY2" i="113"/>
  <c r="AX2" i="113"/>
  <c r="AW2" i="113"/>
  <c r="AV2" i="113"/>
  <c r="AU2" i="113"/>
  <c r="AT2" i="113"/>
  <c r="AS2" i="113"/>
  <c r="AR2" i="113"/>
  <c r="AQ2" i="113"/>
  <c r="AP2" i="113"/>
  <c r="CJ1" i="113"/>
  <c r="BV1" i="113"/>
  <c r="BR1" i="113"/>
  <c r="BM1" i="113"/>
  <c r="CL4" i="14"/>
  <c r="IG123" i="9"/>
  <c r="IE118" i="9"/>
  <c r="IE119" i="9"/>
  <c r="IE120" i="9"/>
  <c r="II120" i="9" s="1"/>
  <c r="IE121" i="9"/>
  <c r="II121" i="9" s="1"/>
  <c r="IE123" i="9"/>
  <c r="IA123" i="9"/>
  <c r="HN123" i="9"/>
  <c r="AP6" i="139" l="1"/>
  <c r="CL25" i="14"/>
  <c r="CL27" i="14"/>
  <c r="CL26" i="14"/>
  <c r="AP20" i="137"/>
  <c r="AP22" i="137"/>
  <c r="AP18" i="137"/>
  <c r="AP24" i="137"/>
  <c r="AP23" i="137"/>
  <c r="AP21" i="137"/>
  <c r="AP19" i="137"/>
  <c r="AP17" i="137"/>
  <c r="AQ18" i="136"/>
  <c r="AQ17" i="136"/>
  <c r="AQ23" i="136"/>
  <c r="AQ21" i="136"/>
  <c r="AQ19" i="136"/>
  <c r="AQ24" i="136"/>
  <c r="AQ22" i="136"/>
  <c r="AQ20" i="136"/>
  <c r="AR17" i="133"/>
  <c r="AR22" i="133"/>
  <c r="AR21" i="133"/>
  <c r="AR23" i="133"/>
  <c r="AR20" i="133"/>
  <c r="AR19" i="133"/>
  <c r="AR18" i="133"/>
  <c r="AR24" i="133"/>
  <c r="EZ134" i="9"/>
  <c r="EZ135" i="9" s="1"/>
  <c r="EZ136" i="9" s="1"/>
  <c r="EZ137" i="9" s="1"/>
  <c r="FB134" i="9"/>
  <c r="FB135" i="9" s="1"/>
  <c r="FB136" i="9" s="1"/>
  <c r="AQ8" i="136"/>
  <c r="AQ8" i="137"/>
  <c r="AQ15" i="136"/>
  <c r="AQ15" i="137"/>
  <c r="AQ7" i="136"/>
  <c r="AQ7" i="137"/>
  <c r="AQ14" i="136"/>
  <c r="AQ14" i="137"/>
  <c r="AQ16" i="136"/>
  <c r="AQ16" i="137"/>
  <c r="AQ13" i="136"/>
  <c r="AQ13" i="137"/>
  <c r="AQ12" i="136"/>
  <c r="AQ12" i="137"/>
  <c r="AQ11" i="136"/>
  <c r="AQ11" i="137"/>
  <c r="AQ10" i="136"/>
  <c r="AQ10" i="137"/>
  <c r="AQ6" i="136"/>
  <c r="AQ6" i="137"/>
  <c r="AQ9" i="136"/>
  <c r="AQ9" i="137"/>
  <c r="AS6" i="133"/>
  <c r="AS9" i="133"/>
  <c r="AS16" i="133"/>
  <c r="AS15" i="133"/>
  <c r="AS14" i="133"/>
  <c r="AS13" i="133"/>
  <c r="AS10" i="133"/>
  <c r="AS12" i="133"/>
  <c r="AS11" i="133"/>
  <c r="AT8" i="132"/>
  <c r="AS8" i="133"/>
  <c r="AT7" i="132"/>
  <c r="AS7" i="133"/>
  <c r="AS24" i="132"/>
  <c r="AS19" i="132"/>
  <c r="AS22" i="132"/>
  <c r="AS23" i="132"/>
  <c r="AS18" i="132"/>
  <c r="AS21" i="132"/>
  <c r="AS20" i="132"/>
  <c r="AS17" i="132"/>
  <c r="AU10" i="131"/>
  <c r="AT10" i="132"/>
  <c r="AU6" i="131"/>
  <c r="AT6" i="132"/>
  <c r="AU9" i="131"/>
  <c r="AT9" i="132"/>
  <c r="AU16" i="131"/>
  <c r="AT16" i="132"/>
  <c r="AU12" i="131"/>
  <c r="AT12" i="132"/>
  <c r="AU15" i="131"/>
  <c r="AT15" i="132"/>
  <c r="AU11" i="131"/>
  <c r="AT11" i="132"/>
  <c r="AU14" i="131"/>
  <c r="AT14" i="132"/>
  <c r="AU13" i="131"/>
  <c r="AT13" i="132"/>
  <c r="AU8" i="131"/>
  <c r="AU17" i="131"/>
  <c r="AU19" i="131"/>
  <c r="AU18" i="131"/>
  <c r="AU24" i="131"/>
  <c r="AU23" i="131"/>
  <c r="AU20" i="131"/>
  <c r="AU22" i="131"/>
  <c r="AU21" i="131"/>
  <c r="AU23" i="125"/>
  <c r="AU18" i="125"/>
  <c r="AU24" i="125"/>
  <c r="AU22" i="125"/>
  <c r="AU17" i="125"/>
  <c r="AU21" i="125"/>
  <c r="AU20" i="125"/>
  <c r="AU19" i="125"/>
  <c r="AU7" i="131"/>
  <c r="AW16" i="124"/>
  <c r="AV16" i="125"/>
  <c r="AW8" i="124"/>
  <c r="AV8" i="125"/>
  <c r="AW10" i="124"/>
  <c r="AV10" i="125"/>
  <c r="AW15" i="124"/>
  <c r="AV15" i="125"/>
  <c r="AW7" i="124"/>
  <c r="AV7" i="125"/>
  <c r="AW9" i="124"/>
  <c r="AV9" i="125"/>
  <c r="AW14" i="124"/>
  <c r="AV14" i="125"/>
  <c r="AW11" i="124"/>
  <c r="AV11" i="125"/>
  <c r="AW6" i="124"/>
  <c r="AV6" i="125"/>
  <c r="AW13" i="124"/>
  <c r="AV13" i="125"/>
  <c r="AW12" i="124"/>
  <c r="AV12" i="125"/>
  <c r="II123" i="9"/>
  <c r="AV22" i="124"/>
  <c r="AV24" i="124"/>
  <c r="AV21" i="124"/>
  <c r="AV20" i="124"/>
  <c r="AV18" i="124"/>
  <c r="AV19" i="124"/>
  <c r="AV17" i="124"/>
  <c r="AV23" i="124"/>
  <c r="AX10" i="121"/>
  <c r="AX6" i="121"/>
  <c r="AX9" i="121"/>
  <c r="AX16" i="121"/>
  <c r="AX8" i="121"/>
  <c r="AX15" i="121"/>
  <c r="AX7" i="121"/>
  <c r="AX11" i="121"/>
  <c r="AX14" i="121"/>
  <c r="AX13" i="121"/>
  <c r="AX12" i="121"/>
  <c r="AW21" i="121"/>
  <c r="AW24" i="121"/>
  <c r="AW18" i="121"/>
  <c r="AW22" i="121"/>
  <c r="AW20" i="121"/>
  <c r="AW23" i="121"/>
  <c r="AW19" i="121"/>
  <c r="AW17" i="121"/>
  <c r="FC126" i="9"/>
  <c r="FA127" i="9"/>
  <c r="AY6" i="120"/>
  <c r="AY9" i="120"/>
  <c r="AY10" i="120"/>
  <c r="AY16" i="120"/>
  <c r="AY8" i="120"/>
  <c r="AY15" i="120"/>
  <c r="AY7" i="120"/>
  <c r="AY14" i="120"/>
  <c r="AY13" i="120"/>
  <c r="AY12" i="120"/>
  <c r="AY11" i="120"/>
  <c r="AX17" i="120"/>
  <c r="AX24" i="120"/>
  <c r="AX18" i="120"/>
  <c r="AX21" i="120"/>
  <c r="AX22" i="120"/>
  <c r="AX20" i="120"/>
  <c r="AX19" i="120"/>
  <c r="AX23" i="120"/>
  <c r="AY19" i="119"/>
  <c r="AY23" i="119"/>
  <c r="AY17" i="119"/>
  <c r="AY21" i="119"/>
  <c r="AY20" i="119"/>
  <c r="AY18" i="119"/>
  <c r="AY22" i="119"/>
  <c r="AY24" i="119"/>
  <c r="AZ23" i="116"/>
  <c r="AZ24" i="116"/>
  <c r="AZ20" i="116"/>
  <c r="AZ22" i="116"/>
  <c r="AZ21" i="116"/>
  <c r="AZ19" i="116"/>
  <c r="AZ17" i="116"/>
  <c r="AZ18" i="116"/>
  <c r="AZ10" i="119"/>
  <c r="AZ13" i="119"/>
  <c r="AZ12" i="119"/>
  <c r="AZ9" i="119"/>
  <c r="AZ11" i="119"/>
  <c r="AZ14" i="119"/>
  <c r="AZ16" i="119"/>
  <c r="AZ8" i="119"/>
  <c r="AZ15" i="119"/>
  <c r="AZ7" i="119"/>
  <c r="DG124" i="9"/>
  <c r="CO124" i="9"/>
  <c r="CX124" i="9"/>
  <c r="CG124" i="9"/>
  <c r="BA24" i="113"/>
  <c r="BA23" i="113"/>
  <c r="BA22" i="113"/>
  <c r="BA21" i="113"/>
  <c r="BA19" i="113"/>
  <c r="BA18" i="113"/>
  <c r="BA20" i="113"/>
  <c r="BA17" i="113"/>
  <c r="A29" i="113"/>
  <c r="A30" i="113"/>
  <c r="A28" i="113"/>
  <c r="BT123" i="9"/>
  <c r="FB137" i="9" l="1"/>
  <c r="CL28" i="14"/>
  <c r="CL32" i="14" s="1"/>
  <c r="FC127" i="9"/>
  <c r="FA128" i="9"/>
  <c r="AF124" i="9"/>
  <c r="CH124" i="9" s="1"/>
  <c r="AF123" i="9"/>
  <c r="AD123" i="9"/>
  <c r="F118" i="122" s="1"/>
  <c r="AN118" i="122" s="1"/>
  <c r="AC119" i="9"/>
  <c r="AC120" i="9"/>
  <c r="AC121" i="9"/>
  <c r="AC122" i="9"/>
  <c r="AC123" i="9"/>
  <c r="AC124" i="9"/>
  <c r="AC125" i="9"/>
  <c r="AC126" i="9"/>
  <c r="AC127" i="9"/>
  <c r="AC128" i="9"/>
  <c r="AC129" i="9"/>
  <c r="T123" i="9"/>
  <c r="CQ119" i="9"/>
  <c r="CQ120" i="9"/>
  <c r="CQ118" i="9"/>
  <c r="FA129" i="9" l="1"/>
  <c r="FC128" i="9"/>
  <c r="CF123" i="9"/>
  <c r="CP123" i="9"/>
  <c r="DH123" i="9"/>
  <c r="BY123" i="9"/>
  <c r="CH123" i="9"/>
  <c r="BZ123" i="9"/>
  <c r="CI123" i="9"/>
  <c r="CW123" i="9"/>
  <c r="CA123" i="9"/>
  <c r="DB123" i="9"/>
  <c r="DF123" i="9"/>
  <c r="CB123" i="9"/>
  <c r="CK123" i="9"/>
  <c r="CT123" i="9"/>
  <c r="DC123" i="9"/>
  <c r="CC123" i="9"/>
  <c r="CL123" i="9"/>
  <c r="CU123" i="9"/>
  <c r="DD123" i="9"/>
  <c r="CD123" i="9"/>
  <c r="CM123" i="9"/>
  <c r="CV123" i="9"/>
  <c r="DE123" i="9"/>
  <c r="CE123" i="9"/>
  <c r="CN123" i="9"/>
  <c r="FC129" i="9" l="1"/>
  <c r="FA130" i="9"/>
  <c r="DG123" i="9"/>
  <c r="CO123" i="9"/>
  <c r="CG123" i="9"/>
  <c r="CX123" i="9"/>
  <c r="BD28" i="112"/>
  <c r="BE28" i="112" s="1"/>
  <c r="AH123" i="9"/>
  <c r="AH122" i="9"/>
  <c r="AG123" i="9"/>
  <c r="AG122" i="9"/>
  <c r="CK6" i="14"/>
  <c r="CK7" i="14"/>
  <c r="CK8" i="14"/>
  <c r="CK9" i="14"/>
  <c r="CK10" i="14"/>
  <c r="CK11" i="14"/>
  <c r="CK12" i="14"/>
  <c r="CK13" i="14"/>
  <c r="CK14" i="14"/>
  <c r="CK15" i="14"/>
  <c r="CK16" i="14"/>
  <c r="CK17" i="14"/>
  <c r="CK18" i="14"/>
  <c r="CK19" i="14"/>
  <c r="CK20" i="14"/>
  <c r="CK21" i="14"/>
  <c r="CK22" i="14"/>
  <c r="CK23" i="14"/>
  <c r="CK5" i="14"/>
  <c r="CJ5" i="14"/>
  <c r="CK4" i="14"/>
  <c r="CK25" i="14" l="1"/>
  <c r="CK27" i="14"/>
  <c r="CK26" i="14"/>
  <c r="AP20" i="136"/>
  <c r="AP17" i="136"/>
  <c r="AP24" i="136"/>
  <c r="AP22" i="136"/>
  <c r="AP23" i="136"/>
  <c r="AP21" i="136"/>
  <c r="AP18" i="136"/>
  <c r="AP19" i="136"/>
  <c r="AQ19" i="133"/>
  <c r="AQ17" i="133"/>
  <c r="AQ21" i="133"/>
  <c r="AQ24" i="133"/>
  <c r="AQ23" i="133"/>
  <c r="AQ22" i="133"/>
  <c r="AQ20" i="133"/>
  <c r="AQ18" i="133"/>
  <c r="P117" i="122"/>
  <c r="AS117" i="122" s="1"/>
  <c r="AP10" i="136"/>
  <c r="AP10" i="137"/>
  <c r="AP8" i="136"/>
  <c r="AP8" i="137"/>
  <c r="AP11" i="136"/>
  <c r="AP11" i="137"/>
  <c r="AP6" i="136"/>
  <c r="AP6" i="137"/>
  <c r="AP16" i="136"/>
  <c r="AP16" i="137"/>
  <c r="AP7" i="136"/>
  <c r="AP7" i="137"/>
  <c r="AP13" i="136"/>
  <c r="AP13" i="137"/>
  <c r="AP9" i="136"/>
  <c r="AP9" i="137"/>
  <c r="AP15" i="136"/>
  <c r="AP15" i="137"/>
  <c r="AP14" i="136"/>
  <c r="AP14" i="137"/>
  <c r="AP12" i="136"/>
  <c r="AP12" i="137"/>
  <c r="AR6" i="133"/>
  <c r="AR16" i="133"/>
  <c r="AR8" i="133"/>
  <c r="AR15" i="133"/>
  <c r="AR7" i="133"/>
  <c r="AR9" i="133"/>
  <c r="AR14" i="133"/>
  <c r="FC130" i="9"/>
  <c r="FA131" i="9"/>
  <c r="AR6" i="132"/>
  <c r="AQ6" i="133"/>
  <c r="AS10" i="132"/>
  <c r="AR10" i="133"/>
  <c r="AS11" i="132"/>
  <c r="AR11" i="133"/>
  <c r="AS13" i="132"/>
  <c r="AR13" i="133"/>
  <c r="AS12" i="132"/>
  <c r="AR12" i="133"/>
  <c r="AR23" i="132"/>
  <c r="AR17" i="132"/>
  <c r="AR20" i="132"/>
  <c r="AR21" i="132"/>
  <c r="AR19" i="132"/>
  <c r="AR22" i="132"/>
  <c r="AR18" i="132"/>
  <c r="AR24" i="132"/>
  <c r="AT6" i="131"/>
  <c r="AS6" i="132"/>
  <c r="AT9" i="131"/>
  <c r="AS9" i="132"/>
  <c r="AT16" i="131"/>
  <c r="AS16" i="132"/>
  <c r="AT15" i="131"/>
  <c r="AS15" i="132"/>
  <c r="AT7" i="131"/>
  <c r="AS7" i="132"/>
  <c r="AT8" i="131"/>
  <c r="AS8" i="132"/>
  <c r="AT14" i="131"/>
  <c r="AS14" i="132"/>
  <c r="AT11" i="131"/>
  <c r="AT23" i="131"/>
  <c r="AT22" i="131"/>
  <c r="AT21" i="131"/>
  <c r="AT19" i="131"/>
  <c r="AT18" i="131"/>
  <c r="AT17" i="131"/>
  <c r="AT20" i="131"/>
  <c r="AT24" i="131"/>
  <c r="AT22" i="125"/>
  <c r="AT24" i="125"/>
  <c r="AT23" i="125"/>
  <c r="AT20" i="125"/>
  <c r="AT18" i="125"/>
  <c r="AT17" i="125"/>
  <c r="AT19" i="125"/>
  <c r="AT21" i="125"/>
  <c r="AT13" i="131"/>
  <c r="AT12" i="131"/>
  <c r="AT10" i="131"/>
  <c r="AT6" i="125"/>
  <c r="AV12" i="124"/>
  <c r="AU12" i="125"/>
  <c r="AV13" i="124"/>
  <c r="AU13" i="125"/>
  <c r="AV10" i="124"/>
  <c r="AU10" i="125"/>
  <c r="AV16" i="124"/>
  <c r="AU16" i="125"/>
  <c r="AV8" i="124"/>
  <c r="AU8" i="125"/>
  <c r="AV11" i="124"/>
  <c r="AU11" i="125"/>
  <c r="AV6" i="124"/>
  <c r="AU6" i="125"/>
  <c r="AV15" i="124"/>
  <c r="AU15" i="125"/>
  <c r="AV7" i="124"/>
  <c r="AU7" i="125"/>
  <c r="AV9" i="124"/>
  <c r="AU9" i="125"/>
  <c r="AV14" i="124"/>
  <c r="AU14" i="125"/>
  <c r="AU6" i="124"/>
  <c r="AU18" i="124"/>
  <c r="AU24" i="124"/>
  <c r="AU22" i="124"/>
  <c r="AU21" i="124"/>
  <c r="AU19" i="124"/>
  <c r="AU20" i="124"/>
  <c r="AU23" i="124"/>
  <c r="AU17" i="124"/>
  <c r="AW8" i="121"/>
  <c r="AW6" i="121"/>
  <c r="AW16" i="121"/>
  <c r="AW13" i="121"/>
  <c r="AW9" i="121"/>
  <c r="AW7" i="121"/>
  <c r="AW12" i="121"/>
  <c r="AW15" i="121"/>
  <c r="AW14" i="121"/>
  <c r="AW11" i="121"/>
  <c r="AW10" i="121"/>
  <c r="AV6" i="121"/>
  <c r="CY123" i="9"/>
  <c r="P118" i="122"/>
  <c r="AS118" i="122" s="1"/>
  <c r="AV20" i="121"/>
  <c r="AV19" i="121"/>
  <c r="AV18" i="121"/>
  <c r="AV17" i="121"/>
  <c r="AV24" i="121"/>
  <c r="AV22" i="121"/>
  <c r="AV23" i="121"/>
  <c r="AV21" i="121"/>
  <c r="AW6" i="120"/>
  <c r="AW24" i="120"/>
  <c r="AW17" i="120"/>
  <c r="AW18" i="120"/>
  <c r="AW21" i="120"/>
  <c r="AW22" i="120"/>
  <c r="AW23" i="120"/>
  <c r="AW20" i="120"/>
  <c r="AW19" i="120"/>
  <c r="AY12" i="119"/>
  <c r="AX12" i="120"/>
  <c r="AY15" i="119"/>
  <c r="AX15" i="120"/>
  <c r="AY14" i="119"/>
  <c r="AX14" i="120"/>
  <c r="AY11" i="119"/>
  <c r="AX11" i="120"/>
  <c r="AY9" i="119"/>
  <c r="AX9" i="120"/>
  <c r="AY13" i="119"/>
  <c r="AX13" i="120"/>
  <c r="AY10" i="119"/>
  <c r="AX10" i="120"/>
  <c r="AY6" i="119"/>
  <c r="AX6" i="120"/>
  <c r="AY16" i="119"/>
  <c r="AX16" i="120"/>
  <c r="AY8" i="119"/>
  <c r="AX8" i="120"/>
  <c r="AY7" i="119"/>
  <c r="AX7" i="120"/>
  <c r="AX23" i="119"/>
  <c r="AX22" i="119"/>
  <c r="AX19" i="119"/>
  <c r="AX21" i="119"/>
  <c r="AX18" i="119"/>
  <c r="AX24" i="119"/>
  <c r="AX17" i="119"/>
  <c r="AX20" i="119"/>
  <c r="AY21" i="116"/>
  <c r="AY18" i="116"/>
  <c r="AY23" i="116"/>
  <c r="AY22" i="116"/>
  <c r="AY17" i="116"/>
  <c r="AY24" i="116"/>
  <c r="AY20" i="116"/>
  <c r="AY19" i="116"/>
  <c r="AZ22" i="113"/>
  <c r="AZ18" i="113"/>
  <c r="AZ20" i="113"/>
  <c r="AZ21" i="113"/>
  <c r="AZ24" i="113"/>
  <c r="AZ23" i="113"/>
  <c r="AZ19" i="113"/>
  <c r="AZ17" i="113"/>
  <c r="AX6" i="119"/>
  <c r="AY6" i="116"/>
  <c r="BA13" i="113"/>
  <c r="AZ13" i="116"/>
  <c r="BA14" i="113"/>
  <c r="AZ14" i="116"/>
  <c r="BA12" i="113"/>
  <c r="AZ12" i="116"/>
  <c r="BA11" i="113"/>
  <c r="AZ11" i="116"/>
  <c r="BA7" i="113"/>
  <c r="AZ7" i="116"/>
  <c r="BA10" i="113"/>
  <c r="AZ10" i="116"/>
  <c r="BA6" i="113"/>
  <c r="AZ6" i="116"/>
  <c r="BA9" i="113"/>
  <c r="AZ9" i="116"/>
  <c r="BA15" i="113"/>
  <c r="AZ15" i="116"/>
  <c r="BA16" i="113"/>
  <c r="AZ16" i="116"/>
  <c r="BA8" i="113"/>
  <c r="AZ8" i="116"/>
  <c r="AZ6" i="113"/>
  <c r="Y25" i="112"/>
  <c r="BE24" i="112"/>
  <c r="C24" i="112"/>
  <c r="BE23" i="112"/>
  <c r="C23" i="112"/>
  <c r="BE22" i="112"/>
  <c r="C22" i="112"/>
  <c r="BE21" i="112"/>
  <c r="C21" i="112"/>
  <c r="BE20" i="112"/>
  <c r="C20" i="112"/>
  <c r="BE19" i="112"/>
  <c r="C19" i="112"/>
  <c r="BE18" i="112"/>
  <c r="C18" i="112"/>
  <c r="BE17" i="112"/>
  <c r="C17" i="112"/>
  <c r="BE16" i="112"/>
  <c r="C16" i="112"/>
  <c r="BE15" i="112"/>
  <c r="BE14" i="112"/>
  <c r="C14" i="112"/>
  <c r="BE13" i="112"/>
  <c r="C13" i="112"/>
  <c r="BE12" i="112"/>
  <c r="C12" i="112"/>
  <c r="BE11" i="112"/>
  <c r="C11" i="112"/>
  <c r="BE10" i="112"/>
  <c r="C10" i="112"/>
  <c r="BE9" i="112"/>
  <c r="BE8" i="112"/>
  <c r="C8" i="112"/>
  <c r="BE7" i="112"/>
  <c r="C7" i="112"/>
  <c r="BE6" i="112"/>
  <c r="C6" i="112"/>
  <c r="BE5" i="112"/>
  <c r="BA2" i="112"/>
  <c r="AZ2" i="112"/>
  <c r="AY2" i="112"/>
  <c r="AX2" i="112"/>
  <c r="AW2" i="112"/>
  <c r="AV2" i="112"/>
  <c r="AU2" i="112"/>
  <c r="AT2" i="112"/>
  <c r="AS2" i="112"/>
  <c r="AR2" i="112"/>
  <c r="AQ2" i="112"/>
  <c r="AP2" i="112"/>
  <c r="CJ1" i="112"/>
  <c r="BV1" i="112"/>
  <c r="BR1" i="112"/>
  <c r="BM1" i="112"/>
  <c r="IG122" i="9"/>
  <c r="IE122" i="9"/>
  <c r="IA122" i="9"/>
  <c r="HN122" i="9"/>
  <c r="CK28" i="14" l="1"/>
  <c r="CK32" i="14" s="1"/>
  <c r="FA132" i="9"/>
  <c r="FC131" i="9"/>
  <c r="II122" i="9"/>
  <c r="BA24" i="112"/>
  <c r="BA23" i="112"/>
  <c r="BA22" i="112"/>
  <c r="BA19" i="112"/>
  <c r="BA18" i="112"/>
  <c r="BA21" i="112"/>
  <c r="BA20" i="112"/>
  <c r="BA17" i="112"/>
  <c r="A29" i="112"/>
  <c r="A30" i="112"/>
  <c r="A28" i="112"/>
  <c r="GS121" i="9"/>
  <c r="GS122" i="9"/>
  <c r="FC121" i="9"/>
  <c r="FC122" i="9"/>
  <c r="FC123" i="9"/>
  <c r="FC132" i="9" l="1"/>
  <c r="FA133" i="9"/>
  <c r="BY122" i="9"/>
  <c r="BZ122" i="9"/>
  <c r="CA122" i="9"/>
  <c r="CC122" i="9"/>
  <c r="CD122" i="9"/>
  <c r="CE122" i="9"/>
  <c r="CF122" i="9"/>
  <c r="CH122" i="9"/>
  <c r="CI122" i="9"/>
  <c r="CK122" i="9"/>
  <c r="CL122" i="9"/>
  <c r="CM122" i="9"/>
  <c r="CN122" i="9"/>
  <c r="CP122" i="9"/>
  <c r="CT122" i="9"/>
  <c r="CU122" i="9"/>
  <c r="CV122" i="9"/>
  <c r="CW122" i="9"/>
  <c r="CY122" i="9"/>
  <c r="DB122" i="9"/>
  <c r="DC122" i="9"/>
  <c r="DD122" i="9"/>
  <c r="DE122" i="9"/>
  <c r="DF122" i="9"/>
  <c r="DH122" i="9"/>
  <c r="BT122" i="9"/>
  <c r="FA134" i="9" l="1"/>
  <c r="FC133" i="9"/>
  <c r="CX122" i="9"/>
  <c r="DG122" i="9"/>
  <c r="CO122" i="9"/>
  <c r="T122" i="9"/>
  <c r="CB122" i="9" s="1"/>
  <c r="CG122" i="9" s="1"/>
  <c r="FC134" i="9" l="1"/>
  <c r="FA135" i="9"/>
  <c r="GH121" i="9"/>
  <c r="CJ6" i="14"/>
  <c r="CJ7" i="14"/>
  <c r="CJ8" i="14"/>
  <c r="CJ9" i="14"/>
  <c r="CJ10" i="14"/>
  <c r="CJ11" i="14"/>
  <c r="CJ12" i="14"/>
  <c r="CJ13" i="14"/>
  <c r="CJ14" i="14"/>
  <c r="CJ15" i="14"/>
  <c r="CJ16" i="14"/>
  <c r="CJ17" i="14"/>
  <c r="CJ18" i="14"/>
  <c r="CJ19" i="14"/>
  <c r="CJ20" i="14"/>
  <c r="CJ21" i="14"/>
  <c r="CJ22" i="14"/>
  <c r="CJ23" i="14"/>
  <c r="BA6" i="112"/>
  <c r="Y25" i="109"/>
  <c r="BE24" i="109"/>
  <c r="C24" i="109"/>
  <c r="BE23" i="109"/>
  <c r="C23" i="109"/>
  <c r="BE22" i="109"/>
  <c r="C22" i="109"/>
  <c r="BE21" i="109"/>
  <c r="C21" i="109"/>
  <c r="BE20" i="109"/>
  <c r="C20" i="109"/>
  <c r="BE19" i="109"/>
  <c r="C19" i="109"/>
  <c r="BE18" i="109"/>
  <c r="C18" i="109"/>
  <c r="BE17" i="109"/>
  <c r="C17" i="109"/>
  <c r="BE16" i="109"/>
  <c r="C16" i="109"/>
  <c r="BE15" i="109"/>
  <c r="BE14" i="109"/>
  <c r="C14" i="109"/>
  <c r="BE13" i="109"/>
  <c r="C13" i="109"/>
  <c r="BE12" i="109"/>
  <c r="C12" i="109"/>
  <c r="BE11" i="109"/>
  <c r="C11" i="109"/>
  <c r="BE10" i="109"/>
  <c r="C10" i="109"/>
  <c r="BE9" i="109"/>
  <c r="BE8" i="109"/>
  <c r="C8" i="109"/>
  <c r="BE7" i="109"/>
  <c r="C7" i="109"/>
  <c r="BE6" i="109"/>
  <c r="C6" i="109"/>
  <c r="BE5" i="109"/>
  <c r="BA2" i="109"/>
  <c r="CJ1" i="109"/>
  <c r="BV1" i="109"/>
  <c r="BR1" i="109"/>
  <c r="BM1" i="109"/>
  <c r="BH1" i="109"/>
  <c r="CJ4" i="14"/>
  <c r="HN121" i="9"/>
  <c r="AF121" i="9"/>
  <c r="FC135" i="9" l="1"/>
  <c r="FA136" i="9"/>
  <c r="CJ25" i="14"/>
  <c r="CJ27" i="14"/>
  <c r="CJ26" i="14"/>
  <c r="AP21" i="133"/>
  <c r="AP22" i="133"/>
  <c r="AP18" i="133"/>
  <c r="AP23" i="133"/>
  <c r="AP19" i="133"/>
  <c r="AP24" i="133"/>
  <c r="AP17" i="133"/>
  <c r="AP20" i="133"/>
  <c r="AQ11" i="133"/>
  <c r="AQ16" i="133"/>
  <c r="AQ8" i="133"/>
  <c r="AQ13" i="133"/>
  <c r="AQ12" i="133"/>
  <c r="AQ15" i="133"/>
  <c r="AQ14" i="133"/>
  <c r="AR10" i="132"/>
  <c r="AQ10" i="133"/>
  <c r="AR9" i="132"/>
  <c r="AQ9" i="133"/>
  <c r="AR7" i="132"/>
  <c r="AQ7" i="133"/>
  <c r="AQ20" i="132"/>
  <c r="AQ19" i="132"/>
  <c r="AQ21" i="132"/>
  <c r="AQ17" i="132"/>
  <c r="AQ23" i="132"/>
  <c r="AQ18" i="132"/>
  <c r="AQ22" i="132"/>
  <c r="AQ24" i="132"/>
  <c r="AS11" i="131"/>
  <c r="AR11" i="132"/>
  <c r="AS16" i="131"/>
  <c r="AR16" i="132"/>
  <c r="AS8" i="131"/>
  <c r="AR8" i="132"/>
  <c r="AS12" i="131"/>
  <c r="AR12" i="132"/>
  <c r="AS15" i="131"/>
  <c r="AR15" i="132"/>
  <c r="AS13" i="131"/>
  <c r="AR13" i="132"/>
  <c r="AS14" i="131"/>
  <c r="AR14" i="132"/>
  <c r="AS9" i="131"/>
  <c r="AS7" i="131"/>
  <c r="AS17" i="131"/>
  <c r="AS21" i="131"/>
  <c r="AS19" i="131"/>
  <c r="AS18" i="131"/>
  <c r="AS20" i="131"/>
  <c r="AS24" i="131"/>
  <c r="AS23" i="131"/>
  <c r="AS22" i="131"/>
  <c r="AS18" i="125"/>
  <c r="AS24" i="125"/>
  <c r="AS21" i="125"/>
  <c r="AS23" i="125"/>
  <c r="AS22" i="125"/>
  <c r="AS19" i="125"/>
  <c r="AS20" i="125"/>
  <c r="AS17" i="125"/>
  <c r="AS6" i="131"/>
  <c r="AS10" i="131"/>
  <c r="AU11" i="124"/>
  <c r="AT11" i="125"/>
  <c r="AU10" i="124"/>
  <c r="AT10" i="125"/>
  <c r="AU9" i="124"/>
  <c r="AT9" i="125"/>
  <c r="AU13" i="124"/>
  <c r="AT13" i="125"/>
  <c r="AU12" i="124"/>
  <c r="AT12" i="125"/>
  <c r="AU16" i="124"/>
  <c r="AT16" i="125"/>
  <c r="AU8" i="124"/>
  <c r="AT8" i="125"/>
  <c r="AU15" i="124"/>
  <c r="AT15" i="125"/>
  <c r="AU7" i="124"/>
  <c r="AT7" i="125"/>
  <c r="AU14" i="124"/>
  <c r="AT14" i="125"/>
  <c r="AT17" i="124"/>
  <c r="AT20" i="124"/>
  <c r="AT18" i="124"/>
  <c r="AT23" i="124"/>
  <c r="AT22" i="124"/>
  <c r="AT21" i="124"/>
  <c r="AT24" i="124"/>
  <c r="AT19" i="124"/>
  <c r="AV13" i="121"/>
  <c r="AV12" i="121"/>
  <c r="AV11" i="121"/>
  <c r="AV10" i="121"/>
  <c r="AV9" i="121"/>
  <c r="AV16" i="121"/>
  <c r="AV8" i="121"/>
  <c r="AV15" i="121"/>
  <c r="AV7" i="121"/>
  <c r="AV14" i="121"/>
  <c r="AU20" i="121"/>
  <c r="AU17" i="121"/>
  <c r="AU19" i="121"/>
  <c r="AU22" i="121"/>
  <c r="AU18" i="121"/>
  <c r="AU24" i="121"/>
  <c r="AU23" i="121"/>
  <c r="AU21" i="121"/>
  <c r="AW16" i="120"/>
  <c r="AW14" i="120"/>
  <c r="AW13" i="120"/>
  <c r="AW8" i="120"/>
  <c r="AW7" i="120"/>
  <c r="AW12" i="120"/>
  <c r="AW11" i="120"/>
  <c r="AW15" i="120"/>
  <c r="AW10" i="120"/>
  <c r="AW9" i="120"/>
  <c r="AV20" i="120"/>
  <c r="AV18" i="120"/>
  <c r="AV21" i="120"/>
  <c r="AV23" i="120"/>
  <c r="AV24" i="120"/>
  <c r="AV17" i="120"/>
  <c r="AV19" i="120"/>
  <c r="AV22" i="120"/>
  <c r="AW18" i="119"/>
  <c r="AW19" i="119"/>
  <c r="AW23" i="119"/>
  <c r="AW17" i="119"/>
  <c r="AW20" i="119"/>
  <c r="AW24" i="119"/>
  <c r="AW22" i="119"/>
  <c r="AW21" i="119"/>
  <c r="AX22" i="116"/>
  <c r="AX21" i="116"/>
  <c r="AX19" i="116"/>
  <c r="AX17" i="116"/>
  <c r="AX18" i="116"/>
  <c r="AX23" i="116"/>
  <c r="AX24" i="116"/>
  <c r="AX20" i="116"/>
  <c r="AY20" i="113"/>
  <c r="AY24" i="113"/>
  <c r="AY19" i="113"/>
  <c r="AY18" i="113"/>
  <c r="AY23" i="113"/>
  <c r="AY22" i="113"/>
  <c r="AY21" i="113"/>
  <c r="AY17" i="113"/>
  <c r="AY8" i="116"/>
  <c r="AX8" i="119"/>
  <c r="AY7" i="116"/>
  <c r="AX7" i="119"/>
  <c r="AY14" i="116"/>
  <c r="AX14" i="119"/>
  <c r="AY13" i="116"/>
  <c r="AX13" i="119"/>
  <c r="AY9" i="116"/>
  <c r="AX9" i="119"/>
  <c r="AY16" i="116"/>
  <c r="AX16" i="119"/>
  <c r="AY12" i="116"/>
  <c r="AX12" i="119"/>
  <c r="AY11" i="116"/>
  <c r="AX11" i="119"/>
  <c r="AY15" i="116"/>
  <c r="AX15" i="119"/>
  <c r="AY10" i="116"/>
  <c r="AX10" i="119"/>
  <c r="BA10" i="112"/>
  <c r="AZ10" i="113"/>
  <c r="BA13" i="112"/>
  <c r="AZ13" i="113"/>
  <c r="BA9" i="112"/>
  <c r="AZ9" i="113"/>
  <c r="BA14" i="112"/>
  <c r="AZ14" i="113"/>
  <c r="BA16" i="112"/>
  <c r="AZ16" i="113"/>
  <c r="BA8" i="112"/>
  <c r="AZ8" i="113"/>
  <c r="BA12" i="112"/>
  <c r="AZ12" i="113"/>
  <c r="BA11" i="112"/>
  <c r="AZ11" i="113"/>
  <c r="BA15" i="112"/>
  <c r="AZ15" i="113"/>
  <c r="BA7" i="112"/>
  <c r="AZ7" i="113"/>
  <c r="AZ22" i="112"/>
  <c r="AZ21" i="112"/>
  <c r="AZ24" i="112"/>
  <c r="AZ17" i="112"/>
  <c r="AZ23" i="112"/>
  <c r="AZ18" i="112"/>
  <c r="AZ20" i="112"/>
  <c r="AZ19" i="112"/>
  <c r="A30" i="109"/>
  <c r="A29" i="109"/>
  <c r="A28" i="109"/>
  <c r="BT121" i="9"/>
  <c r="BR121" i="9"/>
  <c r="T121" i="9"/>
  <c r="S121" i="9"/>
  <c r="N121" i="9"/>
  <c r="O121" i="9"/>
  <c r="FA137" i="9" l="1"/>
  <c r="FC137" i="9" s="1"/>
  <c r="FC136" i="9"/>
  <c r="CJ28" i="14"/>
  <c r="CJ32" i="14" s="1"/>
  <c r="DE121" i="9"/>
  <c r="J116" i="122"/>
  <c r="AP116" i="122" s="1"/>
  <c r="P121" i="9"/>
  <c r="CI5" i="14"/>
  <c r="CI6" i="14"/>
  <c r="CI7" i="14"/>
  <c r="CI8" i="14"/>
  <c r="CI9" i="14"/>
  <c r="AP10" i="133" s="1"/>
  <c r="CI10" i="14"/>
  <c r="AP11" i="133" s="1"/>
  <c r="CI4" i="14"/>
  <c r="CI12" i="14"/>
  <c r="AP13" i="133" s="1"/>
  <c r="CI13" i="14"/>
  <c r="AP14" i="133" s="1"/>
  <c r="CI14" i="14"/>
  <c r="CI15" i="14"/>
  <c r="CI16" i="14"/>
  <c r="CI17" i="14"/>
  <c r="CI18" i="14"/>
  <c r="CI19" i="14"/>
  <c r="CI20" i="14"/>
  <c r="CI21" i="14"/>
  <c r="CI22" i="14"/>
  <c r="CI23" i="14"/>
  <c r="CI11" i="14"/>
  <c r="AP12" i="133" s="1"/>
  <c r="Y25" i="108"/>
  <c r="BD24" i="108"/>
  <c r="C24" i="108"/>
  <c r="BD23" i="108"/>
  <c r="C23" i="108"/>
  <c r="BD22" i="108"/>
  <c r="C22" i="108"/>
  <c r="BD21" i="108"/>
  <c r="C21" i="108"/>
  <c r="BD20" i="108"/>
  <c r="C20" i="108"/>
  <c r="BD19" i="108"/>
  <c r="C19" i="108"/>
  <c r="BD18" i="108"/>
  <c r="C18" i="108"/>
  <c r="BD17" i="108"/>
  <c r="C17" i="108"/>
  <c r="BD16" i="108"/>
  <c r="C16" i="108"/>
  <c r="BD15" i="108"/>
  <c r="BD14" i="108"/>
  <c r="C14" i="108"/>
  <c r="BD13" i="108"/>
  <c r="C13" i="108"/>
  <c r="BD12" i="108"/>
  <c r="C12" i="108"/>
  <c r="BD11" i="108"/>
  <c r="C11" i="108"/>
  <c r="BD10" i="108"/>
  <c r="C10" i="108"/>
  <c r="BD9" i="108"/>
  <c r="BD8" i="108"/>
  <c r="C8" i="108"/>
  <c r="BD7" i="108"/>
  <c r="C7" i="108"/>
  <c r="BD6" i="108"/>
  <c r="C6" i="108"/>
  <c r="BD5" i="108"/>
  <c r="BA2" i="108"/>
  <c r="CI1" i="108"/>
  <c r="BU1" i="108"/>
  <c r="BQ1" i="108"/>
  <c r="BL1" i="108"/>
  <c r="BG1" i="108"/>
  <c r="AF120" i="9"/>
  <c r="HN120" i="9"/>
  <c r="CI26" i="14" l="1"/>
  <c r="CI25" i="14"/>
  <c r="CI27" i="14"/>
  <c r="AQ9" i="132"/>
  <c r="AP9" i="133"/>
  <c r="AQ16" i="132"/>
  <c r="AP16" i="133"/>
  <c r="AQ8" i="132"/>
  <c r="AP8" i="133"/>
  <c r="AQ15" i="132"/>
  <c r="AP15" i="133"/>
  <c r="AQ7" i="132"/>
  <c r="AP7" i="133"/>
  <c r="AQ6" i="132"/>
  <c r="AP6" i="133"/>
  <c r="AP20" i="132"/>
  <c r="AP22" i="132"/>
  <c r="AP24" i="132"/>
  <c r="AP18" i="132"/>
  <c r="AP21" i="132"/>
  <c r="AP19" i="132"/>
  <c r="AP17" i="132"/>
  <c r="AP23" i="132"/>
  <c r="AR14" i="131"/>
  <c r="AQ14" i="132"/>
  <c r="AR10" i="131"/>
  <c r="AQ10" i="132"/>
  <c r="AR12" i="131"/>
  <c r="AQ12" i="132"/>
  <c r="AR13" i="131"/>
  <c r="AQ13" i="132"/>
  <c r="AR11" i="131"/>
  <c r="AQ11" i="132"/>
  <c r="AR7" i="131"/>
  <c r="AR6" i="131"/>
  <c r="AR9" i="131"/>
  <c r="AR16" i="131"/>
  <c r="AR23" i="131"/>
  <c r="AR19" i="131"/>
  <c r="AR18" i="131"/>
  <c r="AR17" i="131"/>
  <c r="AR21" i="131"/>
  <c r="AR22" i="131"/>
  <c r="AR20" i="131"/>
  <c r="AR24" i="131"/>
  <c r="AR18" i="125"/>
  <c r="AR19" i="125"/>
  <c r="AR21" i="125"/>
  <c r="AR17" i="125"/>
  <c r="AR20" i="125"/>
  <c r="AR24" i="125"/>
  <c r="AR22" i="125"/>
  <c r="AR23" i="125"/>
  <c r="AR8" i="131"/>
  <c r="AR15" i="131"/>
  <c r="AT8" i="124"/>
  <c r="AS8" i="125"/>
  <c r="AT15" i="124"/>
  <c r="AS15" i="125"/>
  <c r="AT7" i="124"/>
  <c r="AS7" i="125"/>
  <c r="AT14" i="124"/>
  <c r="AS14" i="125"/>
  <c r="AT6" i="124"/>
  <c r="AS6" i="125"/>
  <c r="AT9" i="124"/>
  <c r="AS9" i="125"/>
  <c r="AT13" i="124"/>
  <c r="AS13" i="125"/>
  <c r="AT12" i="124"/>
  <c r="AS12" i="125"/>
  <c r="AT10" i="124"/>
  <c r="AS10" i="125"/>
  <c r="AT16" i="124"/>
  <c r="AS16" i="125"/>
  <c r="AT11" i="124"/>
  <c r="AS11" i="125"/>
  <c r="AS19" i="124"/>
  <c r="AS20" i="124"/>
  <c r="AS21" i="124"/>
  <c r="AS18" i="124"/>
  <c r="AS24" i="124"/>
  <c r="AS23" i="124"/>
  <c r="AS22" i="124"/>
  <c r="AS17" i="124"/>
  <c r="AU10" i="121"/>
  <c r="AU12" i="121"/>
  <c r="AU9" i="121"/>
  <c r="AU16" i="121"/>
  <c r="AU8" i="121"/>
  <c r="AU15" i="121"/>
  <c r="AU7" i="121"/>
  <c r="AU14" i="121"/>
  <c r="AU6" i="121"/>
  <c r="AU13" i="121"/>
  <c r="AU11" i="121"/>
  <c r="AT20" i="121"/>
  <c r="AT17" i="121"/>
  <c r="AT19" i="121"/>
  <c r="AT18" i="121"/>
  <c r="AT24" i="121"/>
  <c r="AT23" i="121"/>
  <c r="AT22" i="121"/>
  <c r="AT21" i="121"/>
  <c r="AV10" i="120"/>
  <c r="AV12" i="120"/>
  <c r="AV9" i="120"/>
  <c r="AV16" i="120"/>
  <c r="AV8" i="120"/>
  <c r="AV11" i="120"/>
  <c r="AV15" i="120"/>
  <c r="AV7" i="120"/>
  <c r="AV13" i="120"/>
  <c r="AV14" i="120"/>
  <c r="AV6" i="120"/>
  <c r="AU20" i="120"/>
  <c r="AU19" i="120"/>
  <c r="AU18" i="120"/>
  <c r="AU23" i="120"/>
  <c r="AU24" i="120"/>
  <c r="AU17" i="120"/>
  <c r="AU22" i="120"/>
  <c r="AU21" i="120"/>
  <c r="AV22" i="119"/>
  <c r="AV18" i="119"/>
  <c r="AV21" i="119"/>
  <c r="AV24" i="119"/>
  <c r="AV20" i="119"/>
  <c r="AV23" i="119"/>
  <c r="AV19" i="119"/>
  <c r="AV17" i="119"/>
  <c r="AW21" i="116"/>
  <c r="AW20" i="116"/>
  <c r="AW22" i="116"/>
  <c r="AW24" i="116"/>
  <c r="AW19" i="116"/>
  <c r="AW17" i="116"/>
  <c r="AW18" i="116"/>
  <c r="AW23" i="116"/>
  <c r="AX24" i="113"/>
  <c r="AX20" i="113"/>
  <c r="AX22" i="113"/>
  <c r="AX23" i="113"/>
  <c r="AX19" i="113"/>
  <c r="AX18" i="113"/>
  <c r="AX21" i="113"/>
  <c r="AX17" i="113"/>
  <c r="AX14" i="116"/>
  <c r="AW14" i="119"/>
  <c r="AX15" i="116"/>
  <c r="AW15" i="119"/>
  <c r="AX7" i="116"/>
  <c r="AW7" i="119"/>
  <c r="AX6" i="116"/>
  <c r="AW6" i="119"/>
  <c r="AX11" i="116"/>
  <c r="AW11" i="119"/>
  <c r="AX8" i="116"/>
  <c r="AW8" i="119"/>
  <c r="AX13" i="116"/>
  <c r="AW13" i="119"/>
  <c r="AX10" i="116"/>
  <c r="AW10" i="119"/>
  <c r="AX16" i="116"/>
  <c r="AW16" i="119"/>
  <c r="AX12" i="116"/>
  <c r="AW12" i="119"/>
  <c r="AX9" i="116"/>
  <c r="AW9" i="119"/>
  <c r="AZ16" i="112"/>
  <c r="AY16" i="113"/>
  <c r="AZ8" i="112"/>
  <c r="AY8" i="113"/>
  <c r="AZ15" i="112"/>
  <c r="AY15" i="113"/>
  <c r="AZ7" i="112"/>
  <c r="AY7" i="113"/>
  <c r="AZ14" i="112"/>
  <c r="AY14" i="113"/>
  <c r="AZ13" i="112"/>
  <c r="AY13" i="113"/>
  <c r="AZ9" i="112"/>
  <c r="AY9" i="113"/>
  <c r="AZ11" i="112"/>
  <c r="AY11" i="113"/>
  <c r="AZ12" i="112"/>
  <c r="AY12" i="113"/>
  <c r="AZ6" i="112"/>
  <c r="AY6" i="113"/>
  <c r="AZ10" i="112"/>
  <c r="AY10" i="113"/>
  <c r="AY22" i="112"/>
  <c r="AY20" i="112"/>
  <c r="AY19" i="112"/>
  <c r="AY17" i="112"/>
  <c r="AY23" i="112"/>
  <c r="AY18" i="112"/>
  <c r="AY24" i="112"/>
  <c r="AY21" i="112"/>
  <c r="BA6" i="108"/>
  <c r="BA12" i="109"/>
  <c r="BA14" i="109"/>
  <c r="BA15" i="109"/>
  <c r="BA13" i="109"/>
  <c r="BA9" i="109"/>
  <c r="BA10" i="109"/>
  <c r="BA8" i="109"/>
  <c r="BA7" i="109"/>
  <c r="BA6" i="109"/>
  <c r="BA17" i="109"/>
  <c r="BA24" i="109"/>
  <c r="BA23" i="109"/>
  <c r="BA19" i="109"/>
  <c r="BA18" i="109"/>
  <c r="BA22" i="109"/>
  <c r="BA21" i="109"/>
  <c r="BA20" i="109"/>
  <c r="BA11" i="109"/>
  <c r="BA16" i="109"/>
  <c r="BA24" i="108"/>
  <c r="BA23" i="108"/>
  <c r="BA22" i="108"/>
  <c r="BA21" i="108"/>
  <c r="BA20" i="108"/>
  <c r="BA19" i="108"/>
  <c r="BA18" i="108"/>
  <c r="BA17" i="108"/>
  <c r="A30" i="108"/>
  <c r="A29" i="108"/>
  <c r="A28" i="108"/>
  <c r="FC120" i="9"/>
  <c r="BR120" i="9"/>
  <c r="BT120" i="9"/>
  <c r="CI28" i="14" l="1"/>
  <c r="CI32" i="14" s="1"/>
  <c r="DE120" i="9"/>
  <c r="J115" i="122"/>
  <c r="AP115" i="122" s="1"/>
  <c r="T120" i="9"/>
  <c r="S120" i="9"/>
  <c r="O120" i="9"/>
  <c r="N120" i="9"/>
  <c r="CH6" i="14"/>
  <c r="CH7" i="14"/>
  <c r="CH8" i="14"/>
  <c r="CH9" i="14"/>
  <c r="CH10" i="14"/>
  <c r="CH11" i="14"/>
  <c r="CH12" i="14"/>
  <c r="AP13" i="132" s="1"/>
  <c r="CH13" i="14"/>
  <c r="AP14" i="132" s="1"/>
  <c r="CH14" i="14"/>
  <c r="AP15" i="132" s="1"/>
  <c r="CH15" i="14"/>
  <c r="AP16" i="132" s="1"/>
  <c r="CH16" i="14"/>
  <c r="CH17" i="14"/>
  <c r="CH18" i="14"/>
  <c r="CH19" i="14"/>
  <c r="CH20" i="14"/>
  <c r="CH21" i="14"/>
  <c r="CH22" i="14"/>
  <c r="CH23" i="14"/>
  <c r="CH5" i="14"/>
  <c r="CG5" i="14"/>
  <c r="CH4" i="14"/>
  <c r="Y25" i="106"/>
  <c r="BD24" i="106"/>
  <c r="C24" i="106"/>
  <c r="BD23" i="106"/>
  <c r="C23" i="106"/>
  <c r="BD22" i="106"/>
  <c r="C22" i="106"/>
  <c r="BD21" i="106"/>
  <c r="C21" i="106"/>
  <c r="BD20" i="106"/>
  <c r="C20" i="106"/>
  <c r="BD19" i="106"/>
  <c r="C19" i="106"/>
  <c r="BD18" i="106"/>
  <c r="C18" i="106"/>
  <c r="BD17" i="106"/>
  <c r="C17" i="106"/>
  <c r="BD16" i="106"/>
  <c r="C16" i="106"/>
  <c r="BD15" i="106"/>
  <c r="BD14" i="106"/>
  <c r="C14" i="106"/>
  <c r="BD13" i="106"/>
  <c r="C13" i="106"/>
  <c r="BD12" i="106"/>
  <c r="C12" i="106"/>
  <c r="BD11" i="106"/>
  <c r="C11" i="106"/>
  <c r="BD10" i="106"/>
  <c r="C10" i="106"/>
  <c r="BD9" i="106"/>
  <c r="BD8" i="106"/>
  <c r="C8" i="106"/>
  <c r="BD7" i="106"/>
  <c r="C7" i="106"/>
  <c r="BD6" i="106"/>
  <c r="C6" i="106"/>
  <c r="BD5" i="106"/>
  <c r="BA2" i="106"/>
  <c r="CI1" i="106"/>
  <c r="BU1" i="106"/>
  <c r="BQ1" i="106"/>
  <c r="BL1" i="106"/>
  <c r="BG1" i="106"/>
  <c r="IA119" i="9"/>
  <c r="II119" i="9" s="1"/>
  <c r="FC119" i="9"/>
  <c r="HN119" i="9"/>
  <c r="BT119" i="9"/>
  <c r="BR119" i="9"/>
  <c r="AF119" i="9"/>
  <c r="T119" i="9"/>
  <c r="S119" i="9"/>
  <c r="N119" i="9"/>
  <c r="P119" i="9" s="1"/>
  <c r="CG6" i="14"/>
  <c r="CG7" i="14"/>
  <c r="CG8" i="14"/>
  <c r="CG10" i="14"/>
  <c r="CG11" i="14"/>
  <c r="CG12" i="14"/>
  <c r="CG13" i="14"/>
  <c r="CG14" i="14"/>
  <c r="CG15" i="14"/>
  <c r="CG16" i="14"/>
  <c r="CG17" i="14"/>
  <c r="CG18" i="14"/>
  <c r="CG19" i="14"/>
  <c r="CG20" i="14"/>
  <c r="CG21" i="14"/>
  <c r="CG22" i="14"/>
  <c r="CG23" i="14"/>
  <c r="CF5" i="14"/>
  <c r="AZ2" i="100"/>
  <c r="AU118" i="9"/>
  <c r="BG106" i="9"/>
  <c r="BG109" i="9"/>
  <c r="BG112" i="9"/>
  <c r="BG113" i="9"/>
  <c r="BG114" i="9"/>
  <c r="BG115" i="9"/>
  <c r="BG116" i="9"/>
  <c r="BG117" i="9"/>
  <c r="CG4" i="14"/>
  <c r="CB4" i="14"/>
  <c r="CC4" i="14"/>
  <c r="CD4" i="14"/>
  <c r="CE4" i="14"/>
  <c r="CF4" i="14"/>
  <c r="CA4" i="14"/>
  <c r="CB12" i="14"/>
  <c r="CC12" i="14"/>
  <c r="CD12" i="14"/>
  <c r="CE12" i="14"/>
  <c r="CF12" i="14"/>
  <c r="CB13" i="14"/>
  <c r="CC13" i="14"/>
  <c r="CD13" i="14"/>
  <c r="CE13" i="14"/>
  <c r="CF13" i="14"/>
  <c r="CB14" i="14"/>
  <c r="CC14" i="14"/>
  <c r="CD14" i="14"/>
  <c r="CE14" i="14"/>
  <c r="CF14" i="14"/>
  <c r="CB15" i="14"/>
  <c r="CC15" i="14"/>
  <c r="CD15" i="14"/>
  <c r="CE15" i="14"/>
  <c r="CF15" i="14"/>
  <c r="CB16" i="14"/>
  <c r="CC16" i="14"/>
  <c r="CD16" i="14"/>
  <c r="CE16" i="14"/>
  <c r="CF16" i="14"/>
  <c r="CB17" i="14"/>
  <c r="CC17" i="14"/>
  <c r="CD17" i="14"/>
  <c r="CE17" i="14"/>
  <c r="CF17" i="14"/>
  <c r="CB18" i="14"/>
  <c r="CC18" i="14"/>
  <c r="CD18" i="14"/>
  <c r="CE18" i="14"/>
  <c r="CF18" i="14"/>
  <c r="CB19" i="14"/>
  <c r="CC19" i="14"/>
  <c r="CD19" i="14"/>
  <c r="CE19" i="14"/>
  <c r="CF19" i="14"/>
  <c r="CB20" i="14"/>
  <c r="CC20" i="14"/>
  <c r="CD20" i="14"/>
  <c r="CE20" i="14"/>
  <c r="CF20" i="14"/>
  <c r="CB21" i="14"/>
  <c r="CC21" i="14"/>
  <c r="CD21" i="14"/>
  <c r="CE21" i="14"/>
  <c r="CF21" i="14"/>
  <c r="CB22" i="14"/>
  <c r="CC22" i="14"/>
  <c r="CD22" i="14"/>
  <c r="CE22" i="14"/>
  <c r="CF22" i="14"/>
  <c r="CB23" i="14"/>
  <c r="CC23" i="14"/>
  <c r="CD23" i="14"/>
  <c r="CE23" i="14"/>
  <c r="CF23" i="14"/>
  <c r="CB5" i="14"/>
  <c r="CC5" i="14"/>
  <c r="CD5" i="14"/>
  <c r="CE5" i="14"/>
  <c r="CB6" i="14"/>
  <c r="CC6" i="14"/>
  <c r="CD6" i="14"/>
  <c r="CE6" i="14"/>
  <c r="CF6" i="14"/>
  <c r="CB7" i="14"/>
  <c r="CC7" i="14"/>
  <c r="CD7" i="14"/>
  <c r="CE7" i="14"/>
  <c r="CF7" i="14"/>
  <c r="CB8" i="14"/>
  <c r="CC8" i="14"/>
  <c r="CD8" i="14"/>
  <c r="CE8" i="14"/>
  <c r="CF8" i="14"/>
  <c r="CB9" i="14"/>
  <c r="CC9" i="14"/>
  <c r="CD9" i="14"/>
  <c r="CE9" i="14"/>
  <c r="CF9" i="14"/>
  <c r="CB10" i="14"/>
  <c r="CC10" i="14"/>
  <c r="CD10" i="14"/>
  <c r="CE10" i="14"/>
  <c r="CF10" i="14"/>
  <c r="CF11" i="14"/>
  <c r="CE11" i="14"/>
  <c r="CD11" i="14"/>
  <c r="CC11" i="14"/>
  <c r="CB11" i="14"/>
  <c r="G119" i="3"/>
  <c r="G120" i="3"/>
  <c r="G121" i="3"/>
  <c r="G122" i="3"/>
  <c r="G123" i="3"/>
  <c r="G124" i="3"/>
  <c r="G125" i="3"/>
  <c r="G126" i="3"/>
  <c r="G127" i="3"/>
  <c r="G128" i="3"/>
  <c r="G129" i="3"/>
  <c r="G130" i="3"/>
  <c r="G131" i="3"/>
  <c r="D120" i="3"/>
  <c r="D121" i="3"/>
  <c r="D122" i="3"/>
  <c r="D123" i="3"/>
  <c r="D124" i="3"/>
  <c r="D125" i="3"/>
  <c r="D126" i="3"/>
  <c r="D127" i="3"/>
  <c r="D128" i="3"/>
  <c r="D129" i="3"/>
  <c r="D130" i="3"/>
  <c r="BA2" i="105"/>
  <c r="Y25" i="105"/>
  <c r="BD24" i="105"/>
  <c r="C24" i="105"/>
  <c r="BD23" i="105"/>
  <c r="C23" i="105"/>
  <c r="BD22" i="105"/>
  <c r="C22" i="105"/>
  <c r="BD21" i="105"/>
  <c r="C21" i="105"/>
  <c r="BD20" i="105"/>
  <c r="C20" i="105"/>
  <c r="BD19" i="105"/>
  <c r="C19" i="105"/>
  <c r="BD18" i="105"/>
  <c r="C18" i="105"/>
  <c r="BD17" i="105"/>
  <c r="C17" i="105"/>
  <c r="BD16" i="105"/>
  <c r="C16" i="105"/>
  <c r="BD15" i="105"/>
  <c r="BD14" i="105"/>
  <c r="C14" i="105"/>
  <c r="BD13" i="105"/>
  <c r="C13" i="105"/>
  <c r="BD12" i="105"/>
  <c r="C12" i="105"/>
  <c r="BD11" i="105"/>
  <c r="C11" i="105"/>
  <c r="BD10" i="105"/>
  <c r="C10" i="105"/>
  <c r="BD9" i="105"/>
  <c r="BD8" i="105"/>
  <c r="C8" i="105"/>
  <c r="BD7" i="105"/>
  <c r="C7" i="105"/>
  <c r="BD6" i="105"/>
  <c r="C6" i="105"/>
  <c r="BD5" i="105"/>
  <c r="CI1" i="105"/>
  <c r="BU1" i="105"/>
  <c r="BQ1" i="105"/>
  <c r="BL1" i="105"/>
  <c r="BG1" i="105"/>
  <c r="LT117" i="9"/>
  <c r="LT118" i="9"/>
  <c r="LR117" i="9"/>
  <c r="LR118" i="9"/>
  <c r="LQ117" i="9"/>
  <c r="LQ118" i="9"/>
  <c r="IA118" i="9"/>
  <c r="II118" i="9" s="1"/>
  <c r="AF118" i="9"/>
  <c r="BT118" i="9"/>
  <c r="BU132" i="9" s="1"/>
  <c r="BR118" i="9"/>
  <c r="CE25" i="14" l="1"/>
  <c r="CE27" i="14"/>
  <c r="CE26" i="14"/>
  <c r="CD25" i="14"/>
  <c r="CD27" i="14"/>
  <c r="CD26" i="14"/>
  <c r="CF26" i="14"/>
  <c r="CF25" i="14"/>
  <c r="CF27" i="14"/>
  <c r="CG26" i="14"/>
  <c r="CG25" i="14"/>
  <c r="CG27" i="14"/>
  <c r="CC25" i="14"/>
  <c r="CC27" i="14"/>
  <c r="CC26" i="14"/>
  <c r="AP6" i="132"/>
  <c r="CH26" i="14"/>
  <c r="CH25" i="14"/>
  <c r="CH27" i="14"/>
  <c r="CB25" i="14"/>
  <c r="CB27" i="14"/>
  <c r="CB26" i="14"/>
  <c r="DI132" i="9"/>
  <c r="AQ8" i="131"/>
  <c r="AP8" i="132"/>
  <c r="AQ7" i="131"/>
  <c r="AP7" i="132"/>
  <c r="AQ12" i="131"/>
  <c r="AP12" i="132"/>
  <c r="AQ11" i="131"/>
  <c r="AP11" i="132"/>
  <c r="AQ10" i="131"/>
  <c r="AP10" i="132"/>
  <c r="AQ9" i="131"/>
  <c r="AP9" i="132"/>
  <c r="AP16" i="131"/>
  <c r="AP15" i="131"/>
  <c r="AP7" i="131"/>
  <c r="AP9" i="125"/>
  <c r="AP8" i="131"/>
  <c r="AP14" i="131"/>
  <c r="AP20" i="131"/>
  <c r="AP18" i="131"/>
  <c r="AP21" i="131"/>
  <c r="AP23" i="131"/>
  <c r="AP24" i="131"/>
  <c r="AP17" i="131"/>
  <c r="AP22" i="131"/>
  <c r="AP19" i="131"/>
  <c r="AP24" i="125"/>
  <c r="AP23" i="125"/>
  <c r="AP22" i="125"/>
  <c r="AP20" i="125"/>
  <c r="AP19" i="125"/>
  <c r="AP18" i="125"/>
  <c r="AP17" i="125"/>
  <c r="AP21" i="125"/>
  <c r="AP10" i="131"/>
  <c r="AP13" i="131"/>
  <c r="AQ16" i="131"/>
  <c r="AP12" i="131"/>
  <c r="AQ18" i="131"/>
  <c r="AQ17" i="131"/>
  <c r="AQ19" i="131"/>
  <c r="AQ21" i="131"/>
  <c r="AQ23" i="131"/>
  <c r="AQ24" i="131"/>
  <c r="AQ22" i="131"/>
  <c r="AQ20" i="131"/>
  <c r="AQ24" i="125"/>
  <c r="AQ22" i="125"/>
  <c r="AQ21" i="125"/>
  <c r="AQ23" i="125"/>
  <c r="AQ18" i="125"/>
  <c r="AQ19" i="125"/>
  <c r="AQ20" i="125"/>
  <c r="AQ17" i="125"/>
  <c r="AQ15" i="131"/>
  <c r="AP11" i="131"/>
  <c r="AP6" i="131"/>
  <c r="AQ14" i="131"/>
  <c r="AP9" i="131"/>
  <c r="AQ6" i="131"/>
  <c r="AQ13" i="131"/>
  <c r="AP7" i="125"/>
  <c r="AQ10" i="125"/>
  <c r="AQ6" i="125"/>
  <c r="AP8" i="125"/>
  <c r="AQ12" i="125"/>
  <c r="AQ9" i="125"/>
  <c r="AP12" i="125"/>
  <c r="AP14" i="125"/>
  <c r="AQ13" i="125"/>
  <c r="AQ11" i="125"/>
  <c r="AP15" i="125"/>
  <c r="AP6" i="125"/>
  <c r="AP11" i="125"/>
  <c r="AQ16" i="125"/>
  <c r="AP16" i="125"/>
  <c r="AQ15" i="125"/>
  <c r="AQ8" i="125"/>
  <c r="AP13" i="125"/>
  <c r="AQ7" i="125"/>
  <c r="AQ14" i="125"/>
  <c r="AS15" i="124"/>
  <c r="AR15" i="125"/>
  <c r="AS13" i="124"/>
  <c r="AR13" i="125"/>
  <c r="AS12" i="124"/>
  <c r="AR12" i="125"/>
  <c r="AS7" i="124"/>
  <c r="AR7" i="125"/>
  <c r="AS11" i="124"/>
  <c r="AR11" i="125"/>
  <c r="AS16" i="124"/>
  <c r="AR16" i="125"/>
  <c r="AS14" i="124"/>
  <c r="AR14" i="125"/>
  <c r="AQ10" i="124"/>
  <c r="AP10" i="125"/>
  <c r="AS10" i="124"/>
  <c r="AR10" i="125"/>
  <c r="AS8" i="124"/>
  <c r="AR8" i="125"/>
  <c r="AS6" i="124"/>
  <c r="AR6" i="125"/>
  <c r="AS9" i="124"/>
  <c r="AR9" i="125"/>
  <c r="P120" i="9"/>
  <c r="AQ11" i="124"/>
  <c r="AP8" i="124"/>
  <c r="AR6" i="124"/>
  <c r="AQ14" i="124"/>
  <c r="AQ16" i="124"/>
  <c r="AQ6" i="124"/>
  <c r="AQ9" i="124"/>
  <c r="AR12" i="124"/>
  <c r="AQ7" i="124"/>
  <c r="AQ13" i="124"/>
  <c r="AR11" i="124"/>
  <c r="AQ15" i="124"/>
  <c r="AR9" i="124"/>
  <c r="AP14" i="124"/>
  <c r="AP6" i="124"/>
  <c r="AQ8" i="124"/>
  <c r="AR13" i="124"/>
  <c r="AP9" i="124"/>
  <c r="AP15" i="124"/>
  <c r="AR8" i="124"/>
  <c r="AP23" i="124"/>
  <c r="AP18" i="124"/>
  <c r="AP21" i="124"/>
  <c r="AP22" i="124"/>
  <c r="AP24" i="124"/>
  <c r="AP17" i="124"/>
  <c r="AP19" i="124"/>
  <c r="AP20" i="124"/>
  <c r="AR16" i="124"/>
  <c r="AR7" i="124"/>
  <c r="AP7" i="124"/>
  <c r="AP13" i="124"/>
  <c r="AR15" i="124"/>
  <c r="AR21" i="124"/>
  <c r="AR18" i="124"/>
  <c r="AR17" i="124"/>
  <c r="AR20" i="124"/>
  <c r="AR24" i="124"/>
  <c r="AR23" i="124"/>
  <c r="AR19" i="124"/>
  <c r="AR22" i="124"/>
  <c r="AR10" i="124"/>
  <c r="AP11" i="124"/>
  <c r="AP12" i="124"/>
  <c r="AP10" i="124"/>
  <c r="AP16" i="124"/>
  <c r="AR14" i="124"/>
  <c r="AQ12" i="124"/>
  <c r="AQ20" i="124"/>
  <c r="AQ19" i="124"/>
  <c r="AQ22" i="124"/>
  <c r="AQ18" i="124"/>
  <c r="AQ23" i="124"/>
  <c r="AQ17" i="124"/>
  <c r="AQ21" i="124"/>
  <c r="AQ24" i="124"/>
  <c r="AT16" i="121"/>
  <c r="AT8" i="121"/>
  <c r="AT7" i="121"/>
  <c r="AT14" i="121"/>
  <c r="AT13" i="121"/>
  <c r="AT12" i="121"/>
  <c r="AT15" i="121"/>
  <c r="AT11" i="121"/>
  <c r="AT10" i="121"/>
  <c r="AT6" i="121"/>
  <c r="AT9" i="121"/>
  <c r="AS12" i="121"/>
  <c r="DE118" i="9"/>
  <c r="J113" i="122"/>
  <c r="AP113" i="122" s="1"/>
  <c r="AS14" i="121"/>
  <c r="DE119" i="9"/>
  <c r="J114" i="122"/>
  <c r="AP114" i="122" s="1"/>
  <c r="AR8" i="121"/>
  <c r="AS13" i="121"/>
  <c r="AR12" i="121"/>
  <c r="AS11" i="121"/>
  <c r="AQ13" i="121"/>
  <c r="AP9" i="121"/>
  <c r="AP11" i="121"/>
  <c r="AS7" i="121"/>
  <c r="AS15" i="121"/>
  <c r="AP6" i="121"/>
  <c r="AP15" i="121"/>
  <c r="AQ7" i="121"/>
  <c r="AP10" i="121"/>
  <c r="AP16" i="121"/>
  <c r="AR14" i="121"/>
  <c r="AP12" i="121"/>
  <c r="AR10" i="121"/>
  <c r="AR16" i="121"/>
  <c r="AQ12" i="121"/>
  <c r="AQ10" i="121"/>
  <c r="AP7" i="121"/>
  <c r="AQ16" i="121"/>
  <c r="AP13" i="121"/>
  <c r="AS6" i="121"/>
  <c r="AQ11" i="121"/>
  <c r="AP8" i="121"/>
  <c r="AQ6" i="121"/>
  <c r="AP14" i="121"/>
  <c r="AR24" i="121"/>
  <c r="AR23" i="121"/>
  <c r="AR17" i="121"/>
  <c r="AR20" i="121"/>
  <c r="AR22" i="121"/>
  <c r="AR21" i="121"/>
  <c r="AR18" i="121"/>
  <c r="AR19" i="121"/>
  <c r="AR11" i="121"/>
  <c r="AS9" i="121"/>
  <c r="AQ8" i="121"/>
  <c r="AR9" i="121"/>
  <c r="AR15" i="121"/>
  <c r="AQ9" i="121"/>
  <c r="AQ15" i="121"/>
  <c r="AP18" i="121"/>
  <c r="AP17" i="121"/>
  <c r="AP24" i="121"/>
  <c r="AP20" i="121"/>
  <c r="AP23" i="121"/>
  <c r="AP22" i="121"/>
  <c r="AP19" i="121"/>
  <c r="AP21" i="121"/>
  <c r="AR6" i="121"/>
  <c r="AS8" i="121"/>
  <c r="AQ14" i="121"/>
  <c r="AQ19" i="121"/>
  <c r="AQ18" i="121"/>
  <c r="AQ23" i="121"/>
  <c r="AQ22" i="121"/>
  <c r="AQ24" i="121"/>
  <c r="AQ21" i="121"/>
  <c r="AQ17" i="121"/>
  <c r="AQ20" i="121"/>
  <c r="AR7" i="121"/>
  <c r="AR13" i="121"/>
  <c r="AS16" i="121"/>
  <c r="AS24" i="121"/>
  <c r="AS23" i="121"/>
  <c r="AS22" i="121"/>
  <c r="AS21" i="121"/>
  <c r="AS20" i="121"/>
  <c r="AS17" i="121"/>
  <c r="AS18" i="121"/>
  <c r="AS19" i="121"/>
  <c r="AS10" i="121"/>
  <c r="AP9" i="120"/>
  <c r="AP15" i="120"/>
  <c r="AU12" i="120"/>
  <c r="AU13" i="120"/>
  <c r="AR12" i="120"/>
  <c r="AR10" i="120"/>
  <c r="AQ7" i="120"/>
  <c r="AR16" i="120"/>
  <c r="AQ13" i="120"/>
  <c r="AT14" i="120"/>
  <c r="AU11" i="120"/>
  <c r="AS12" i="120"/>
  <c r="AS8" i="120"/>
  <c r="AU10" i="120"/>
  <c r="AU6" i="120"/>
  <c r="AU9" i="120"/>
  <c r="AR6" i="120"/>
  <c r="AU16" i="120"/>
  <c r="AU8" i="120"/>
  <c r="AU15" i="120"/>
  <c r="AU7" i="120"/>
  <c r="AU14" i="120"/>
  <c r="AP12" i="120"/>
  <c r="AQ9" i="120"/>
  <c r="AQ15" i="120"/>
  <c r="AQ16" i="120"/>
  <c r="AT6" i="120"/>
  <c r="AS11" i="120"/>
  <c r="AR14" i="120"/>
  <c r="AQ8" i="120"/>
  <c r="AP13" i="120"/>
  <c r="AS23" i="120"/>
  <c r="AS22" i="120"/>
  <c r="AS19" i="120"/>
  <c r="AS24" i="120"/>
  <c r="AS21" i="120"/>
  <c r="AS17" i="120"/>
  <c r="AS20" i="120"/>
  <c r="AS18" i="120"/>
  <c r="AR8" i="120"/>
  <c r="AQ14" i="120"/>
  <c r="AQ11" i="120"/>
  <c r="AP8" i="120"/>
  <c r="AS15" i="120"/>
  <c r="AR17" i="120"/>
  <c r="AR20" i="120"/>
  <c r="AR24" i="120"/>
  <c r="AR23" i="120"/>
  <c r="AR21" i="120"/>
  <c r="AR18" i="120"/>
  <c r="AR19" i="120"/>
  <c r="AR22" i="120"/>
  <c r="AT9" i="120"/>
  <c r="AP11" i="120"/>
  <c r="AR9" i="120"/>
  <c r="AP6" i="120"/>
  <c r="AR15" i="120"/>
  <c r="AQ20" i="120"/>
  <c r="AQ19" i="120"/>
  <c r="AQ22" i="120"/>
  <c r="AQ24" i="120"/>
  <c r="AQ18" i="120"/>
  <c r="AQ23" i="120"/>
  <c r="AQ21" i="120"/>
  <c r="AQ17" i="120"/>
  <c r="AS6" i="120"/>
  <c r="AT8" i="120"/>
  <c r="AP7" i="120"/>
  <c r="AT13" i="120"/>
  <c r="AP10" i="120"/>
  <c r="AT12" i="120"/>
  <c r="AR11" i="120"/>
  <c r="AT11" i="120"/>
  <c r="AQ6" i="120"/>
  <c r="AS7" i="120"/>
  <c r="AS13" i="120"/>
  <c r="AP20" i="120"/>
  <c r="AP19" i="120"/>
  <c r="AP23" i="120"/>
  <c r="AP17" i="120"/>
  <c r="AP24" i="120"/>
  <c r="AP22" i="120"/>
  <c r="AP18" i="120"/>
  <c r="AP21" i="120"/>
  <c r="AT16" i="120"/>
  <c r="AT7" i="120"/>
  <c r="AT24" i="120"/>
  <c r="AT23" i="120"/>
  <c r="AT19" i="120"/>
  <c r="AT20" i="120"/>
  <c r="AT22" i="120"/>
  <c r="AT18" i="120"/>
  <c r="AT21" i="120"/>
  <c r="AT17" i="120"/>
  <c r="AT10" i="120"/>
  <c r="AQ10" i="120"/>
  <c r="AS14" i="120"/>
  <c r="AP16" i="120"/>
  <c r="AS9" i="120"/>
  <c r="AP14" i="120"/>
  <c r="AQ12" i="120"/>
  <c r="AS10" i="120"/>
  <c r="AR7" i="120"/>
  <c r="AS16" i="120"/>
  <c r="AR13" i="120"/>
  <c r="AT15" i="120"/>
  <c r="AT15" i="119"/>
  <c r="AU20" i="119"/>
  <c r="AU19" i="119"/>
  <c r="AU17" i="119"/>
  <c r="AU18" i="119"/>
  <c r="AU21" i="119"/>
  <c r="AU24" i="119"/>
  <c r="AU23" i="119"/>
  <c r="AU22" i="119"/>
  <c r="AV21" i="116"/>
  <c r="AV24" i="116"/>
  <c r="AV22" i="116"/>
  <c r="AV19" i="116"/>
  <c r="AV17" i="116"/>
  <c r="AV23" i="116"/>
  <c r="AV18" i="116"/>
  <c r="AV20" i="116"/>
  <c r="AW24" i="113"/>
  <c r="AW17" i="113"/>
  <c r="AW23" i="113"/>
  <c r="AW20" i="113"/>
  <c r="AW21" i="113"/>
  <c r="AW18" i="113"/>
  <c r="AW22" i="113"/>
  <c r="AW19" i="113"/>
  <c r="AS22" i="119"/>
  <c r="AS23" i="119"/>
  <c r="AS17" i="119"/>
  <c r="AS24" i="119"/>
  <c r="AS20" i="119"/>
  <c r="AS21" i="119"/>
  <c r="AS18" i="119"/>
  <c r="AS19" i="119"/>
  <c r="AT21" i="116"/>
  <c r="AT24" i="116"/>
  <c r="AT18" i="116"/>
  <c r="AT23" i="116"/>
  <c r="AT17" i="116"/>
  <c r="AT22" i="116"/>
  <c r="AT19" i="116"/>
  <c r="AT20" i="116"/>
  <c r="AU17" i="113"/>
  <c r="AU22" i="113"/>
  <c r="AU24" i="113"/>
  <c r="AU23" i="113"/>
  <c r="AU21" i="113"/>
  <c r="AU20" i="113"/>
  <c r="AU19" i="113"/>
  <c r="AU18" i="113"/>
  <c r="AU8" i="119"/>
  <c r="AU7" i="119"/>
  <c r="AP18" i="119"/>
  <c r="AP21" i="119"/>
  <c r="AP24" i="119"/>
  <c r="AP22" i="119"/>
  <c r="AP23" i="119"/>
  <c r="AP19" i="119"/>
  <c r="AP20" i="119"/>
  <c r="AP17" i="119"/>
  <c r="AQ22" i="116"/>
  <c r="AQ18" i="116"/>
  <c r="AQ24" i="116"/>
  <c r="AQ21" i="116"/>
  <c r="AQ17" i="116"/>
  <c r="AQ19" i="116"/>
  <c r="AQ20" i="116"/>
  <c r="AQ23" i="116"/>
  <c r="AR19" i="113"/>
  <c r="AR20" i="113"/>
  <c r="AR24" i="113"/>
  <c r="AR17" i="113"/>
  <c r="AR18" i="113"/>
  <c r="AR23" i="113"/>
  <c r="AR22" i="113"/>
  <c r="AR21" i="113"/>
  <c r="AU10" i="119"/>
  <c r="AR23" i="119"/>
  <c r="AR24" i="119"/>
  <c r="AR20" i="119"/>
  <c r="AR19" i="119"/>
  <c r="AR21" i="119"/>
  <c r="AR18" i="119"/>
  <c r="AR17" i="119"/>
  <c r="AR22" i="119"/>
  <c r="AS18" i="116"/>
  <c r="AS24" i="116"/>
  <c r="AS22" i="116"/>
  <c r="AS20" i="116"/>
  <c r="AS17" i="116"/>
  <c r="AS19" i="116"/>
  <c r="AS23" i="116"/>
  <c r="AS21" i="116"/>
  <c r="AT19" i="113"/>
  <c r="AT24" i="113"/>
  <c r="AT20" i="113"/>
  <c r="AT17" i="113"/>
  <c r="AT18" i="113"/>
  <c r="AT23" i="113"/>
  <c r="AT22" i="113"/>
  <c r="AT21" i="113"/>
  <c r="AQ20" i="119"/>
  <c r="AQ23" i="119"/>
  <c r="AQ22" i="119"/>
  <c r="AQ21" i="119"/>
  <c r="AQ18" i="119"/>
  <c r="AQ17" i="119"/>
  <c r="AQ19" i="119"/>
  <c r="AQ24" i="119"/>
  <c r="AR23" i="116"/>
  <c r="AR24" i="116"/>
  <c r="AR20" i="116"/>
  <c r="AR22" i="116"/>
  <c r="AR21" i="116"/>
  <c r="AR17" i="116"/>
  <c r="AR19" i="116"/>
  <c r="AR18" i="116"/>
  <c r="AS18" i="113"/>
  <c r="AS21" i="113"/>
  <c r="AS17" i="113"/>
  <c r="AS19" i="113"/>
  <c r="AS24" i="113"/>
  <c r="AS23" i="113"/>
  <c r="AS22" i="113"/>
  <c r="AS20" i="113"/>
  <c r="AP19" i="116"/>
  <c r="AP22" i="116"/>
  <c r="AP21" i="116"/>
  <c r="AP18" i="116"/>
  <c r="AP17" i="116"/>
  <c r="AP24" i="116"/>
  <c r="AP20" i="116"/>
  <c r="AP23" i="116"/>
  <c r="AQ23" i="113"/>
  <c r="AQ21" i="113"/>
  <c r="AQ19" i="113"/>
  <c r="AQ18" i="113"/>
  <c r="AQ22" i="113"/>
  <c r="AQ20" i="113"/>
  <c r="AQ17" i="113"/>
  <c r="AQ24" i="113"/>
  <c r="AT21" i="119"/>
  <c r="AT20" i="119"/>
  <c r="AT19" i="119"/>
  <c r="AT23" i="119"/>
  <c r="AT17" i="119"/>
  <c r="AT22" i="119"/>
  <c r="AT18" i="119"/>
  <c r="AT24" i="119"/>
  <c r="AU20" i="116"/>
  <c r="AU21" i="116"/>
  <c r="AU23" i="116"/>
  <c r="AU22" i="116"/>
  <c r="AU24" i="116"/>
  <c r="AU17" i="116"/>
  <c r="AU19" i="116"/>
  <c r="AU18" i="116"/>
  <c r="AV18" i="113"/>
  <c r="AV21" i="113"/>
  <c r="AV19" i="113"/>
  <c r="AV24" i="113"/>
  <c r="AV22" i="113"/>
  <c r="AV23" i="113"/>
  <c r="AV20" i="113"/>
  <c r="AV17" i="113"/>
  <c r="AQ10" i="119"/>
  <c r="AP7" i="119"/>
  <c r="AS14" i="119"/>
  <c r="AP13" i="119"/>
  <c r="AU12" i="119"/>
  <c r="AS8" i="119"/>
  <c r="AQ16" i="119"/>
  <c r="AS12" i="119"/>
  <c r="AR7" i="119"/>
  <c r="AP9" i="119"/>
  <c r="AS10" i="119"/>
  <c r="AT13" i="119"/>
  <c r="AP15" i="119"/>
  <c r="AS6" i="119"/>
  <c r="AU9" i="119"/>
  <c r="AQ12" i="119"/>
  <c r="AR13" i="119"/>
  <c r="AS16" i="119"/>
  <c r="AU14" i="119"/>
  <c r="AT11" i="119"/>
  <c r="AP12" i="119"/>
  <c r="AR10" i="119"/>
  <c r="AQ7" i="119"/>
  <c r="AR16" i="119"/>
  <c r="AT14" i="119"/>
  <c r="AQ13" i="119"/>
  <c r="AU13" i="119"/>
  <c r="AU6" i="119"/>
  <c r="AR12" i="119"/>
  <c r="AS11" i="119"/>
  <c r="AU11" i="119"/>
  <c r="AR11" i="119"/>
  <c r="AQ14" i="119"/>
  <c r="AQ11" i="119"/>
  <c r="AQ6" i="119"/>
  <c r="AT6" i="119"/>
  <c r="AR9" i="119"/>
  <c r="AU16" i="119"/>
  <c r="AQ9" i="119"/>
  <c r="AS7" i="119"/>
  <c r="AT16" i="119"/>
  <c r="AQ15" i="119"/>
  <c r="AS13" i="119"/>
  <c r="AU15" i="119"/>
  <c r="AP10" i="119"/>
  <c r="AP16" i="119"/>
  <c r="AQ8" i="119"/>
  <c r="AP8" i="119"/>
  <c r="AP14" i="119"/>
  <c r="AP11" i="119"/>
  <c r="AR15" i="119"/>
  <c r="AR8" i="119"/>
  <c r="AR14" i="119"/>
  <c r="AR6" i="119"/>
  <c r="AS9" i="119"/>
  <c r="AS15" i="119"/>
  <c r="AP6" i="119"/>
  <c r="AT12" i="119"/>
  <c r="AT8" i="119"/>
  <c r="AV10" i="116"/>
  <c r="AV10" i="119"/>
  <c r="AU9" i="116"/>
  <c r="AT9" i="119"/>
  <c r="AW6" i="116"/>
  <c r="AV6" i="119"/>
  <c r="AW16" i="116"/>
  <c r="AV16" i="119"/>
  <c r="AW15" i="116"/>
  <c r="AV15" i="119"/>
  <c r="AU10" i="116"/>
  <c r="AT10" i="119"/>
  <c r="AW14" i="116"/>
  <c r="AV14" i="119"/>
  <c r="AW9" i="116"/>
  <c r="AV9" i="119"/>
  <c r="AU7" i="116"/>
  <c r="AT7" i="119"/>
  <c r="AW13" i="116"/>
  <c r="AV13" i="119"/>
  <c r="AW8" i="116"/>
  <c r="AV8" i="119"/>
  <c r="AW12" i="116"/>
  <c r="AV12" i="119"/>
  <c r="AW7" i="116"/>
  <c r="AV7" i="119"/>
  <c r="AW11" i="116"/>
  <c r="AV11" i="119"/>
  <c r="AV7" i="116"/>
  <c r="AV9" i="116"/>
  <c r="AV8" i="116"/>
  <c r="AU15" i="116"/>
  <c r="AU13" i="116"/>
  <c r="AV11" i="116"/>
  <c r="AU12" i="116"/>
  <c r="AR16" i="116"/>
  <c r="AT14" i="116"/>
  <c r="AQ13" i="116"/>
  <c r="AV12" i="116"/>
  <c r="AT6" i="116"/>
  <c r="AV14" i="116"/>
  <c r="AR7" i="116"/>
  <c r="AS16" i="116"/>
  <c r="AU14" i="116"/>
  <c r="AR13" i="116"/>
  <c r="AV13" i="116"/>
  <c r="AQ7" i="116"/>
  <c r="AS9" i="116"/>
  <c r="AQ6" i="116"/>
  <c r="AS15" i="116"/>
  <c r="AV16" i="116"/>
  <c r="AQ11" i="116"/>
  <c r="AU8" i="116"/>
  <c r="AQ10" i="116"/>
  <c r="AS8" i="116"/>
  <c r="AR12" i="116"/>
  <c r="AT12" i="116"/>
  <c r="AT10" i="116"/>
  <c r="AQ9" i="116"/>
  <c r="AS7" i="116"/>
  <c r="AT16" i="116"/>
  <c r="AQ15" i="116"/>
  <c r="AS13" i="116"/>
  <c r="AS10" i="116"/>
  <c r="AQ16" i="116"/>
  <c r="AS14" i="116"/>
  <c r="AR10" i="116"/>
  <c r="AT8" i="116"/>
  <c r="AT11" i="116"/>
  <c r="AV6" i="116"/>
  <c r="AS12" i="116"/>
  <c r="AQ12" i="116"/>
  <c r="AR11" i="116"/>
  <c r="AT9" i="116"/>
  <c r="AQ8" i="116"/>
  <c r="AR6" i="116"/>
  <c r="AT15" i="116"/>
  <c r="AQ14" i="116"/>
  <c r="AU6" i="116"/>
  <c r="AS11" i="116"/>
  <c r="AR14" i="116"/>
  <c r="AR9" i="116"/>
  <c r="AT7" i="116"/>
  <c r="AU16" i="116"/>
  <c r="AR15" i="116"/>
  <c r="AT13" i="116"/>
  <c r="AV15" i="116"/>
  <c r="AR8" i="116"/>
  <c r="AS6" i="116"/>
  <c r="AU11" i="116"/>
  <c r="AW10" i="113"/>
  <c r="AW10" i="116"/>
  <c r="AU6" i="113"/>
  <c r="AV9" i="113"/>
  <c r="AS12" i="113"/>
  <c r="AV7" i="113"/>
  <c r="AW16" i="113"/>
  <c r="AW8" i="113"/>
  <c r="AV15" i="113"/>
  <c r="AU8" i="113"/>
  <c r="AS16" i="113"/>
  <c r="AU14" i="113"/>
  <c r="AS10" i="113"/>
  <c r="AR7" i="113"/>
  <c r="AW11" i="113"/>
  <c r="AU12" i="113"/>
  <c r="AW14" i="113"/>
  <c r="AR13" i="113"/>
  <c r="AW6" i="113"/>
  <c r="AW9" i="113"/>
  <c r="AV11" i="113"/>
  <c r="AR12" i="113"/>
  <c r="AW12" i="113"/>
  <c r="AV13" i="113"/>
  <c r="AT12" i="113"/>
  <c r="AW15" i="113"/>
  <c r="AW7" i="113"/>
  <c r="AV16" i="113"/>
  <c r="AT10" i="113"/>
  <c r="AS7" i="113"/>
  <c r="AT16" i="113"/>
  <c r="AV14" i="113"/>
  <c r="AS13" i="113"/>
  <c r="AU11" i="113"/>
  <c r="AT8" i="113"/>
  <c r="AR16" i="113"/>
  <c r="AT11" i="113"/>
  <c r="AS8" i="113"/>
  <c r="AT6" i="113"/>
  <c r="AS14" i="113"/>
  <c r="AS11" i="113"/>
  <c r="AU9" i="113"/>
  <c r="AS6" i="113"/>
  <c r="AR14" i="113"/>
  <c r="AV6" i="113"/>
  <c r="AU13" i="113"/>
  <c r="AU10" i="113"/>
  <c r="AR9" i="113"/>
  <c r="AT7" i="113"/>
  <c r="AU16" i="113"/>
  <c r="AR15" i="113"/>
  <c r="AT13" i="113"/>
  <c r="AR10" i="113"/>
  <c r="AT14" i="113"/>
  <c r="AR8" i="113"/>
  <c r="AU15" i="113"/>
  <c r="AR11" i="113"/>
  <c r="AT9" i="113"/>
  <c r="AR6" i="113"/>
  <c r="AT15" i="113"/>
  <c r="AV10" i="113"/>
  <c r="AS9" i="113"/>
  <c r="AU7" i="113"/>
  <c r="AS15" i="113"/>
  <c r="AV12" i="113"/>
  <c r="AV8" i="113"/>
  <c r="AW13" i="113"/>
  <c r="AY11" i="112"/>
  <c r="AX11" i="113"/>
  <c r="AY12" i="112"/>
  <c r="AX12" i="113"/>
  <c r="AY6" i="112"/>
  <c r="AX6" i="113"/>
  <c r="AY9" i="112"/>
  <c r="AX9" i="113"/>
  <c r="AY16" i="112"/>
  <c r="AX16" i="113"/>
  <c r="AY8" i="112"/>
  <c r="AX8" i="113"/>
  <c r="AY10" i="112"/>
  <c r="AX10" i="113"/>
  <c r="AY15" i="112"/>
  <c r="AX15" i="113"/>
  <c r="AY7" i="112"/>
  <c r="AX7" i="113"/>
  <c r="AY14" i="112"/>
  <c r="AX14" i="113"/>
  <c r="AY13" i="112"/>
  <c r="AX13" i="113"/>
  <c r="AW13" i="112"/>
  <c r="AU12" i="112"/>
  <c r="AX15" i="112"/>
  <c r="AX7" i="112"/>
  <c r="AX14" i="112"/>
  <c r="AW9" i="112"/>
  <c r="AW15" i="112"/>
  <c r="AX6" i="112"/>
  <c r="AU11" i="112"/>
  <c r="AT8" i="112"/>
  <c r="AU6" i="112"/>
  <c r="AT14" i="112"/>
  <c r="AX12" i="112"/>
  <c r="AX13" i="112"/>
  <c r="AW11" i="112"/>
  <c r="AS12" i="112"/>
  <c r="AX9" i="112"/>
  <c r="AX10" i="112"/>
  <c r="AW12" i="112"/>
  <c r="AT7" i="112"/>
  <c r="AW14" i="112"/>
  <c r="AT12" i="112"/>
  <c r="AW7" i="112"/>
  <c r="AT18" i="112"/>
  <c r="AT20" i="112"/>
  <c r="AT23" i="112"/>
  <c r="AT22" i="112"/>
  <c r="AT21" i="112"/>
  <c r="AT17" i="112"/>
  <c r="AT24" i="112"/>
  <c r="AT19" i="112"/>
  <c r="AX16" i="112"/>
  <c r="AX8" i="112"/>
  <c r="AS19" i="112"/>
  <c r="AS18" i="112"/>
  <c r="AS17" i="112"/>
  <c r="AS20" i="112"/>
  <c r="AS24" i="112"/>
  <c r="AS23" i="112"/>
  <c r="AS22" i="112"/>
  <c r="AS21" i="112"/>
  <c r="AR24" i="112"/>
  <c r="AR23" i="112"/>
  <c r="AR22" i="112"/>
  <c r="AR19" i="112"/>
  <c r="AR17" i="112"/>
  <c r="AR21" i="112"/>
  <c r="AR18" i="112"/>
  <c r="AR20" i="112"/>
  <c r="AU17" i="112"/>
  <c r="AU18" i="112"/>
  <c r="AU20" i="112"/>
  <c r="AU24" i="112"/>
  <c r="AU21" i="112"/>
  <c r="AU19" i="112"/>
  <c r="AU22" i="112"/>
  <c r="AU23" i="112"/>
  <c r="AU10" i="112"/>
  <c r="AU16" i="112"/>
  <c r="AT13" i="112"/>
  <c r="AW23" i="112"/>
  <c r="AW19" i="112"/>
  <c r="AW21" i="112"/>
  <c r="AW17" i="112"/>
  <c r="AW24" i="112"/>
  <c r="AW22" i="112"/>
  <c r="AW18" i="112"/>
  <c r="AW20" i="112"/>
  <c r="AV20" i="112"/>
  <c r="AV17" i="112"/>
  <c r="AV23" i="112"/>
  <c r="AV18" i="112"/>
  <c r="AV19" i="112"/>
  <c r="AV24" i="112"/>
  <c r="AV22" i="112"/>
  <c r="AV21" i="112"/>
  <c r="AS13" i="112"/>
  <c r="AX24" i="112"/>
  <c r="AX23" i="112"/>
  <c r="AX21" i="112"/>
  <c r="AX22" i="112"/>
  <c r="AX18" i="112"/>
  <c r="AX17" i="112"/>
  <c r="AX19" i="112"/>
  <c r="AX20" i="112"/>
  <c r="AV12" i="112"/>
  <c r="AT10" i="112"/>
  <c r="AV10" i="112"/>
  <c r="AS9" i="112"/>
  <c r="AV16" i="112"/>
  <c r="AS15" i="112"/>
  <c r="AU13" i="112"/>
  <c r="AV8" i="112"/>
  <c r="AS7" i="112"/>
  <c r="AT16" i="112"/>
  <c r="AV14" i="112"/>
  <c r="AV11" i="112"/>
  <c r="AS10" i="112"/>
  <c r="AU8" i="112"/>
  <c r="AT11" i="112"/>
  <c r="AS14" i="112"/>
  <c r="AU15" i="112"/>
  <c r="AW10" i="112"/>
  <c r="AT9" i="112"/>
  <c r="AV7" i="112"/>
  <c r="AW16" i="112"/>
  <c r="AT15" i="112"/>
  <c r="AV13" i="112"/>
  <c r="AS8" i="112"/>
  <c r="AU9" i="112"/>
  <c r="AS6" i="112"/>
  <c r="AU7" i="112"/>
  <c r="AV15" i="112"/>
  <c r="AW8" i="112"/>
  <c r="AT6" i="112"/>
  <c r="AV9" i="112"/>
  <c r="AW6" i="112"/>
  <c r="AS11" i="112"/>
  <c r="AV6" i="112"/>
  <c r="AS16" i="112"/>
  <c r="AU14" i="112"/>
  <c r="AX11" i="112"/>
  <c r="BA16" i="108"/>
  <c r="BA15" i="108"/>
  <c r="BA14" i="108"/>
  <c r="BA13" i="108"/>
  <c r="BA12" i="108"/>
  <c r="BA11" i="108"/>
  <c r="BA10" i="108"/>
  <c r="BA9" i="108"/>
  <c r="BA8" i="108"/>
  <c r="BA7" i="108"/>
  <c r="BA6" i="105"/>
  <c r="BA7" i="105"/>
  <c r="BA8" i="105"/>
  <c r="BA9" i="105"/>
  <c r="BA10" i="105"/>
  <c r="BA11" i="105"/>
  <c r="BA12" i="105"/>
  <c r="BA13" i="105"/>
  <c r="BA14" i="105"/>
  <c r="BA15" i="105"/>
  <c r="BA16" i="105"/>
  <c r="BA17" i="105"/>
  <c r="BA18" i="105"/>
  <c r="BA19" i="105"/>
  <c r="BA20" i="105"/>
  <c r="BA21" i="105"/>
  <c r="BA22" i="105"/>
  <c r="BA23" i="105"/>
  <c r="BA24" i="105"/>
  <c r="BA24" i="106"/>
  <c r="BA23" i="106"/>
  <c r="BA22" i="106"/>
  <c r="BA21" i="106"/>
  <c r="BA20" i="106"/>
  <c r="BA19" i="106"/>
  <c r="BA18" i="106"/>
  <c r="BA17" i="106"/>
  <c r="BA16" i="106"/>
  <c r="BA15" i="106"/>
  <c r="BA14" i="106"/>
  <c r="BA13" i="106"/>
  <c r="BA12" i="106"/>
  <c r="BA11" i="106"/>
  <c r="BA10" i="106"/>
  <c r="BA9" i="106"/>
  <c r="BA8" i="106"/>
  <c r="BA7" i="106"/>
  <c r="BA6" i="106"/>
  <c r="A30" i="106"/>
  <c r="A29" i="106"/>
  <c r="A28" i="106"/>
  <c r="A30" i="105"/>
  <c r="A29" i="105"/>
  <c r="A28" i="105"/>
  <c r="T118" i="9"/>
  <c r="S118" i="9"/>
  <c r="O118" i="9"/>
  <c r="N118" i="9"/>
  <c r="DE11" i="9"/>
  <c r="DE12" i="9"/>
  <c r="DE13" i="9"/>
  <c r="DE14" i="9"/>
  <c r="DE15" i="9"/>
  <c r="DE16" i="9"/>
  <c r="DE17" i="9"/>
  <c r="DE18" i="9"/>
  <c r="DE19" i="9"/>
  <c r="DE20" i="9"/>
  <c r="DE21" i="9"/>
  <c r="DE22" i="9"/>
  <c r="DE23" i="9"/>
  <c r="DE24" i="9"/>
  <c r="DE25" i="9"/>
  <c r="DE26" i="9"/>
  <c r="DE27" i="9"/>
  <c r="DE28" i="9"/>
  <c r="DE29" i="9"/>
  <c r="DE30" i="9"/>
  <c r="DE31" i="9"/>
  <c r="DE32" i="9"/>
  <c r="DE33" i="9"/>
  <c r="DE34" i="9"/>
  <c r="DE35" i="9"/>
  <c r="DE36" i="9"/>
  <c r="DE37" i="9"/>
  <c r="DE38" i="9"/>
  <c r="DE39" i="9"/>
  <c r="DE40" i="9"/>
  <c r="DE41" i="9"/>
  <c r="DE42" i="9"/>
  <c r="DE43" i="9"/>
  <c r="DE44" i="9"/>
  <c r="DE47" i="9"/>
  <c r="DE48" i="9"/>
  <c r="DE49" i="9"/>
  <c r="DE50" i="9"/>
  <c r="DE51" i="9"/>
  <c r="DE52" i="9"/>
  <c r="DE53" i="9"/>
  <c r="DE54" i="9"/>
  <c r="DE55" i="9"/>
  <c r="DE59" i="9"/>
  <c r="DE61" i="9"/>
  <c r="DE62" i="9"/>
  <c r="DE63" i="9"/>
  <c r="DE64" i="9"/>
  <c r="DE65" i="9"/>
  <c r="DE66" i="9"/>
  <c r="DE67" i="9"/>
  <c r="DE68" i="9"/>
  <c r="DE72" i="9"/>
  <c r="DE73" i="9"/>
  <c r="DE74" i="9"/>
  <c r="DE75" i="9"/>
  <c r="DE76" i="9"/>
  <c r="DE77" i="9"/>
  <c r="DE78" i="9"/>
  <c r="DE85" i="9"/>
  <c r="DE86" i="9"/>
  <c r="DE89" i="9"/>
  <c r="DE90" i="9"/>
  <c r="DE92" i="9"/>
  <c r="DE103" i="9"/>
  <c r="DE105" i="9"/>
  <c r="DE113" i="9"/>
  <c r="Y25" i="100"/>
  <c r="BC24" i="100"/>
  <c r="C24" i="100"/>
  <c r="BC23" i="100"/>
  <c r="C23" i="100"/>
  <c r="BC22" i="100"/>
  <c r="C22" i="100"/>
  <c r="BC21" i="100"/>
  <c r="C21" i="100"/>
  <c r="BC20" i="100"/>
  <c r="C20" i="100"/>
  <c r="BC19" i="100"/>
  <c r="C19" i="100"/>
  <c r="BC18" i="100"/>
  <c r="C18" i="100"/>
  <c r="BC17" i="100"/>
  <c r="C17" i="100"/>
  <c r="BC16" i="100"/>
  <c r="C16" i="100"/>
  <c r="BC15" i="100"/>
  <c r="BC14" i="100"/>
  <c r="C14" i="100"/>
  <c r="BC13" i="100"/>
  <c r="C13" i="100"/>
  <c r="BC12" i="100"/>
  <c r="C12" i="100"/>
  <c r="BC11" i="100"/>
  <c r="C11" i="100"/>
  <c r="BC10" i="100"/>
  <c r="C10" i="100"/>
  <c r="BC9" i="100"/>
  <c r="BC8" i="100"/>
  <c r="C8" i="100"/>
  <c r="BC7" i="100"/>
  <c r="C7" i="100"/>
  <c r="BC6" i="100"/>
  <c r="C6" i="100"/>
  <c r="BC5" i="100"/>
  <c r="CH1" i="100"/>
  <c r="BT1" i="100"/>
  <c r="BP1" i="100"/>
  <c r="BK1" i="100"/>
  <c r="BF1" i="100"/>
  <c r="LR112" i="9"/>
  <c r="LR113" i="9"/>
  <c r="LR114" i="9"/>
  <c r="LR115" i="9"/>
  <c r="LR116" i="9"/>
  <c r="LT112" i="9"/>
  <c r="LT113" i="9"/>
  <c r="LT114" i="9"/>
  <c r="LT115" i="9"/>
  <c r="LT116" i="9"/>
  <c r="LX113" i="9"/>
  <c r="LX114" i="9"/>
  <c r="LX115" i="9"/>
  <c r="LX116" i="9"/>
  <c r="LV112" i="9"/>
  <c r="LV113" i="9"/>
  <c r="LV114" i="9"/>
  <c r="LV115" i="9"/>
  <c r="LV116" i="9"/>
  <c r="LU113" i="9"/>
  <c r="LU114" i="9"/>
  <c r="LU115" i="9"/>
  <c r="LU116" i="9"/>
  <c r="LR111" i="9"/>
  <c r="LS112" i="9"/>
  <c r="LU112" i="9"/>
  <c r="LW112" i="9"/>
  <c r="LX112" i="9"/>
  <c r="LU117" i="9"/>
  <c r="LV117" i="9"/>
  <c r="LW117" i="9"/>
  <c r="LX117" i="9"/>
  <c r="LQ113" i="9"/>
  <c r="LQ114" i="9"/>
  <c r="LQ115" i="9"/>
  <c r="LQ116" i="9"/>
  <c r="CF28" i="14" l="1"/>
  <c r="CF32" i="14" s="1"/>
  <c r="CC28" i="14"/>
  <c r="CC32" i="14" s="1"/>
  <c r="CB28" i="14"/>
  <c r="CB32" i="14" s="1"/>
  <c r="CD28" i="14"/>
  <c r="CD32" i="14" s="1"/>
  <c r="CG28" i="14"/>
  <c r="CG32" i="14" s="1"/>
  <c r="CH28" i="14"/>
  <c r="CH32" i="14" s="1"/>
  <c r="CE28" i="14"/>
  <c r="CE32" i="14" s="1"/>
  <c r="P118" i="9"/>
  <c r="A30" i="100"/>
  <c r="A29" i="100"/>
  <c r="A28" i="100"/>
  <c r="IA117" i="9"/>
  <c r="Y25" i="98"/>
  <c r="BC24" i="98"/>
  <c r="C24" i="98"/>
  <c r="BC23" i="98"/>
  <c r="C23" i="98"/>
  <c r="BC22" i="98"/>
  <c r="C22" i="98"/>
  <c r="BC21" i="98"/>
  <c r="C21" i="98"/>
  <c r="BC20" i="98"/>
  <c r="C20" i="98"/>
  <c r="BC19" i="98"/>
  <c r="C19" i="98"/>
  <c r="BC18" i="98"/>
  <c r="C18" i="98"/>
  <c r="BC17" i="98"/>
  <c r="C17" i="98"/>
  <c r="BC16" i="98"/>
  <c r="C16" i="98"/>
  <c r="BC15" i="98"/>
  <c r="BC14" i="98"/>
  <c r="C14" i="98"/>
  <c r="BC13" i="98"/>
  <c r="C13" i="98"/>
  <c r="BC12" i="98"/>
  <c r="C12" i="98"/>
  <c r="BC11" i="98"/>
  <c r="C11" i="98"/>
  <c r="BC10" i="98"/>
  <c r="C10" i="98"/>
  <c r="BC9" i="98"/>
  <c r="BC8" i="98"/>
  <c r="C8" i="98"/>
  <c r="BC7" i="98"/>
  <c r="C7" i="98"/>
  <c r="BC6" i="98"/>
  <c r="C6" i="98"/>
  <c r="BC5" i="98"/>
  <c r="AZ2" i="98"/>
  <c r="CH1" i="98"/>
  <c r="BT1" i="98"/>
  <c r="BP1" i="98"/>
  <c r="BK1" i="98"/>
  <c r="BF1" i="98"/>
  <c r="A30" i="98" l="1"/>
  <c r="A29" i="98"/>
  <c r="A28" i="98"/>
  <c r="Y25" i="97"/>
  <c r="BC24" i="97"/>
  <c r="C24" i="97"/>
  <c r="BC23" i="97"/>
  <c r="C23" i="97"/>
  <c r="BC22" i="97"/>
  <c r="C22" i="97"/>
  <c r="BC21" i="97"/>
  <c r="C21" i="97"/>
  <c r="BC20" i="97"/>
  <c r="C20" i="97"/>
  <c r="BC19" i="97"/>
  <c r="C19" i="97"/>
  <c r="BC18" i="97"/>
  <c r="C18" i="97"/>
  <c r="BC17" i="97"/>
  <c r="C17" i="97"/>
  <c r="BC16" i="97"/>
  <c r="C16" i="97"/>
  <c r="BC15" i="97"/>
  <c r="BC14" i="97"/>
  <c r="C14" i="97"/>
  <c r="BC13" i="97"/>
  <c r="C13" i="97"/>
  <c r="BC12" i="97"/>
  <c r="C12" i="97"/>
  <c r="BC11" i="97"/>
  <c r="C11" i="97"/>
  <c r="BC10" i="97"/>
  <c r="C10" i="97"/>
  <c r="BC9" i="97"/>
  <c r="BC8" i="97"/>
  <c r="C8" i="97"/>
  <c r="BC7" i="97"/>
  <c r="C7" i="97"/>
  <c r="BC6" i="97"/>
  <c r="C6" i="97"/>
  <c r="BC5" i="97"/>
  <c r="AZ2" i="97"/>
  <c r="CH1" i="97"/>
  <c r="BT1" i="97"/>
  <c r="BP1" i="97"/>
  <c r="BK1" i="97"/>
  <c r="BF1" i="97"/>
  <c r="Y25" i="96"/>
  <c r="BC24" i="96"/>
  <c r="C24" i="96"/>
  <c r="BC23" i="96"/>
  <c r="C23" i="96"/>
  <c r="BC22" i="96"/>
  <c r="C22" i="96"/>
  <c r="BC21" i="96"/>
  <c r="C21" i="96"/>
  <c r="BC20" i="96"/>
  <c r="C20" i="96"/>
  <c r="BC19" i="96"/>
  <c r="C19" i="96"/>
  <c r="BC18" i="96"/>
  <c r="C18" i="96"/>
  <c r="BC17" i="96"/>
  <c r="C17" i="96"/>
  <c r="BC16" i="96"/>
  <c r="C16" i="96"/>
  <c r="BC15" i="96"/>
  <c r="BC14" i="96"/>
  <c r="C14" i="96"/>
  <c r="BC13" i="96"/>
  <c r="C13" i="96"/>
  <c r="BC12" i="96"/>
  <c r="C12" i="96"/>
  <c r="BC11" i="96"/>
  <c r="C11" i="96"/>
  <c r="BC10" i="96"/>
  <c r="C10" i="96"/>
  <c r="BC9" i="96"/>
  <c r="BC8" i="96"/>
  <c r="C8" i="96"/>
  <c r="BC7" i="96"/>
  <c r="C7" i="96"/>
  <c r="BC6" i="96"/>
  <c r="C6" i="96"/>
  <c r="BC5" i="96"/>
  <c r="AZ2" i="96"/>
  <c r="CH1" i="96"/>
  <c r="BT1" i="96"/>
  <c r="BP1" i="96"/>
  <c r="BK1" i="96"/>
  <c r="BF1" i="96"/>
  <c r="IA116" i="9"/>
  <c r="IA115" i="9"/>
  <c r="IA114" i="9"/>
  <c r="IA113" i="9"/>
  <c r="IG116" i="9"/>
  <c r="IG115" i="9"/>
  <c r="IG114" i="9"/>
  <c r="A30" i="97" l="1"/>
  <c r="A29" i="97"/>
  <c r="A28" i="97"/>
  <c r="A30" i="96"/>
  <c r="A29" i="96"/>
  <c r="A28" i="96"/>
  <c r="Y25" i="95"/>
  <c r="BC24" i="95"/>
  <c r="C24" i="95"/>
  <c r="BC23" i="95"/>
  <c r="C23" i="95"/>
  <c r="BC22" i="95"/>
  <c r="C22" i="95"/>
  <c r="BC21" i="95"/>
  <c r="C21" i="95"/>
  <c r="BC20" i="95"/>
  <c r="C20" i="95"/>
  <c r="BC19" i="95"/>
  <c r="C19" i="95"/>
  <c r="BC18" i="95"/>
  <c r="C18" i="95"/>
  <c r="BC17" i="95"/>
  <c r="C17" i="95"/>
  <c r="BC16" i="95"/>
  <c r="C16" i="95"/>
  <c r="BC15" i="95"/>
  <c r="BC14" i="95"/>
  <c r="C14" i="95"/>
  <c r="BC13" i="95"/>
  <c r="C13" i="95"/>
  <c r="BC12" i="95"/>
  <c r="C12" i="95"/>
  <c r="BC11" i="95"/>
  <c r="C11" i="95"/>
  <c r="BC10" i="95"/>
  <c r="C10" i="95"/>
  <c r="BC9" i="95"/>
  <c r="BC8" i="95"/>
  <c r="C8" i="95"/>
  <c r="BC7" i="95"/>
  <c r="C7" i="95"/>
  <c r="BC6" i="95"/>
  <c r="C6" i="95"/>
  <c r="BC5" i="95"/>
  <c r="AZ2" i="95"/>
  <c r="CH1" i="95"/>
  <c r="BT1" i="95"/>
  <c r="BP1" i="95"/>
  <c r="BK1" i="95"/>
  <c r="BF1" i="95"/>
  <c r="A30" i="95" l="1"/>
  <c r="A29" i="95"/>
  <c r="A28" i="95"/>
  <c r="HN118" i="9"/>
  <c r="IG113" i="9"/>
  <c r="AM115" i="9" l="1"/>
  <c r="HN113" i="9"/>
  <c r="HN114" i="9"/>
  <c r="HN115" i="9"/>
  <c r="HN116" i="9"/>
  <c r="HN117" i="9"/>
  <c r="GU112" i="9"/>
  <c r="GV112" i="9"/>
  <c r="FC118" i="9"/>
  <c r="FC117" i="9"/>
  <c r="FC116" i="9"/>
  <c r="FC115" i="9"/>
  <c r="FC114" i="9"/>
  <c r="FC113" i="9"/>
  <c r="BT113" i="9"/>
  <c r="S113" i="9" l="1"/>
  <c r="N116" i="9"/>
  <c r="N115" i="9"/>
  <c r="O116" i="9"/>
  <c r="O115" i="9"/>
  <c r="O114" i="9"/>
  <c r="O113" i="9"/>
  <c r="N113" i="9"/>
  <c r="F117" i="9"/>
  <c r="F116" i="9"/>
  <c r="CQ116" i="9" s="1"/>
  <c r="F115" i="9"/>
  <c r="CQ115" i="9" s="1"/>
  <c r="F114" i="9"/>
  <c r="CQ114" i="9" s="1"/>
  <c r="R113" i="9"/>
  <c r="B108" i="122" s="1"/>
  <c r="AL108" i="122" s="1"/>
  <c r="C7" i="94"/>
  <c r="CA6" i="14"/>
  <c r="AP7" i="116" s="1"/>
  <c r="CA7" i="14"/>
  <c r="AP8" i="116" s="1"/>
  <c r="CA8" i="14"/>
  <c r="AP9" i="116" s="1"/>
  <c r="CA9" i="14"/>
  <c r="AP10" i="116" s="1"/>
  <c r="CA10" i="14"/>
  <c r="AP11" i="116" s="1"/>
  <c r="CA11" i="14"/>
  <c r="AP12" i="116" s="1"/>
  <c r="CA12" i="14"/>
  <c r="AP13" i="116" s="1"/>
  <c r="CA13" i="14"/>
  <c r="AP14" i="116" s="1"/>
  <c r="CA14" i="14"/>
  <c r="AP15" i="116" s="1"/>
  <c r="CA15" i="14"/>
  <c r="AP16" i="116" s="1"/>
  <c r="CA16" i="14"/>
  <c r="CA17" i="14"/>
  <c r="CA18" i="14"/>
  <c r="CA19" i="14"/>
  <c r="CA20" i="14"/>
  <c r="CA21" i="14"/>
  <c r="CA22" i="14"/>
  <c r="CA23" i="14"/>
  <c r="CA5" i="14"/>
  <c r="Y25" i="94"/>
  <c r="BD24" i="94"/>
  <c r="C24" i="94"/>
  <c r="BD23" i="94"/>
  <c r="C23" i="94"/>
  <c r="BD22" i="94"/>
  <c r="C22" i="94"/>
  <c r="BD21" i="94"/>
  <c r="C21" i="94"/>
  <c r="BD20" i="94"/>
  <c r="C20" i="94"/>
  <c r="BD19" i="94"/>
  <c r="C19" i="94"/>
  <c r="BD18" i="94"/>
  <c r="C18" i="94"/>
  <c r="BD17" i="94"/>
  <c r="C17" i="94"/>
  <c r="BD16" i="94"/>
  <c r="C16" i="94"/>
  <c r="BD15" i="94"/>
  <c r="BD14" i="94"/>
  <c r="C14" i="94"/>
  <c r="BD13" i="94"/>
  <c r="C13" i="94"/>
  <c r="BD12" i="94"/>
  <c r="C12" i="94"/>
  <c r="BD11" i="94"/>
  <c r="C11" i="94"/>
  <c r="BD10" i="94"/>
  <c r="C10" i="94"/>
  <c r="BD9" i="94"/>
  <c r="BD8" i="94"/>
  <c r="C8" i="94"/>
  <c r="BD7" i="94"/>
  <c r="BD6" i="94"/>
  <c r="C6" i="94"/>
  <c r="BD5" i="94"/>
  <c r="BA2" i="94"/>
  <c r="CI1" i="94"/>
  <c r="BU1" i="94"/>
  <c r="BQ1" i="94"/>
  <c r="BL1" i="94"/>
  <c r="BG1" i="94"/>
  <c r="AP6" i="116" l="1"/>
  <c r="CA26" i="14"/>
  <c r="CA27" i="14"/>
  <c r="CA25" i="14"/>
  <c r="P117" i="9"/>
  <c r="CQ117" i="9"/>
  <c r="P114" i="9"/>
  <c r="AQ18" i="112"/>
  <c r="AP18" i="113"/>
  <c r="AQ23" i="112"/>
  <c r="AP23" i="113"/>
  <c r="AQ22" i="112"/>
  <c r="AP22" i="113"/>
  <c r="AQ24" i="112"/>
  <c r="AP24" i="113"/>
  <c r="AQ21" i="112"/>
  <c r="AP21" i="113"/>
  <c r="AQ17" i="112"/>
  <c r="AP17" i="113"/>
  <c r="AQ20" i="112"/>
  <c r="AP20" i="113"/>
  <c r="AQ19" i="112"/>
  <c r="AP19" i="113"/>
  <c r="P115" i="9"/>
  <c r="P116" i="9"/>
  <c r="AR11" i="112"/>
  <c r="AQ11" i="113"/>
  <c r="AR6" i="112"/>
  <c r="AQ6" i="113"/>
  <c r="AR9" i="112"/>
  <c r="AQ9" i="113"/>
  <c r="AR16" i="112"/>
  <c r="AQ16" i="113"/>
  <c r="AR8" i="112"/>
  <c r="AQ8" i="113"/>
  <c r="AR15" i="112"/>
  <c r="AQ15" i="113"/>
  <c r="AR7" i="112"/>
  <c r="AQ7" i="113"/>
  <c r="AR12" i="112"/>
  <c r="AQ12" i="113"/>
  <c r="AR14" i="112"/>
  <c r="AQ14" i="113"/>
  <c r="AR10" i="112"/>
  <c r="AQ10" i="113"/>
  <c r="AR13" i="112"/>
  <c r="AQ13" i="113"/>
  <c r="BA17" i="94"/>
  <c r="BA6" i="94"/>
  <c r="DE114" i="9"/>
  <c r="DE115" i="9"/>
  <c r="DE116" i="9"/>
  <c r="DE117" i="9"/>
  <c r="BT114" i="9"/>
  <c r="S114" i="9"/>
  <c r="BT115" i="9"/>
  <c r="BU130" i="9" s="1"/>
  <c r="S115" i="9"/>
  <c r="BT116" i="9"/>
  <c r="S116" i="9"/>
  <c r="BT117" i="9"/>
  <c r="S117" i="9"/>
  <c r="A28" i="94"/>
  <c r="BA24" i="94"/>
  <c r="BA19" i="94"/>
  <c r="BA23" i="94"/>
  <c r="BA22" i="94"/>
  <c r="BA20" i="94"/>
  <c r="BA21" i="94"/>
  <c r="BA18" i="94"/>
  <c r="A29" i="94"/>
  <c r="A30" i="94"/>
  <c r="HN112" i="9"/>
  <c r="HJ112" i="9"/>
  <c r="GV111" i="9"/>
  <c r="GU111" i="9"/>
  <c r="GQ112" i="9"/>
  <c r="BT112" i="9"/>
  <c r="BR112" i="9"/>
  <c r="BF110" i="9"/>
  <c r="BF111" i="9" s="1"/>
  <c r="AU112" i="9"/>
  <c r="AP112" i="9"/>
  <c r="CA28" i="14" l="1"/>
  <c r="CA32" i="14" s="1"/>
  <c r="HK121" i="9"/>
  <c r="DI130" i="9"/>
  <c r="DE112" i="9"/>
  <c r="J107" i="122"/>
  <c r="AP107" i="122" s="1"/>
  <c r="AP142" i="122" s="1"/>
  <c r="BZ6" i="14" l="1"/>
  <c r="BZ7" i="14"/>
  <c r="BZ8" i="14"/>
  <c r="BZ9" i="14"/>
  <c r="BZ10" i="14"/>
  <c r="BZ11" i="14"/>
  <c r="BZ12" i="14"/>
  <c r="BZ13" i="14"/>
  <c r="BZ14" i="14"/>
  <c r="BZ15" i="14"/>
  <c r="BZ16" i="14"/>
  <c r="BZ17" i="14"/>
  <c r="BZ18" i="14"/>
  <c r="BZ19" i="14"/>
  <c r="BZ20" i="14"/>
  <c r="BZ21" i="14"/>
  <c r="BZ22" i="14"/>
  <c r="BZ23" i="14"/>
  <c r="BZ5" i="14"/>
  <c r="BZ4" i="14"/>
  <c r="Y25" i="93"/>
  <c r="BD24" i="93"/>
  <c r="C24" i="93"/>
  <c r="BD23" i="93"/>
  <c r="C23" i="93"/>
  <c r="BD22" i="93"/>
  <c r="C22" i="93"/>
  <c r="BD21" i="93"/>
  <c r="C21" i="93"/>
  <c r="BD20" i="93"/>
  <c r="C20" i="93"/>
  <c r="BD19" i="93"/>
  <c r="C19" i="93"/>
  <c r="BD18" i="93"/>
  <c r="C18" i="93"/>
  <c r="BD17" i="93"/>
  <c r="C17" i="93"/>
  <c r="BD16" i="93"/>
  <c r="C16" i="93"/>
  <c r="BD15" i="93"/>
  <c r="BD14" i="93"/>
  <c r="C14" i="93"/>
  <c r="BD13" i="93"/>
  <c r="C13" i="93"/>
  <c r="BD12" i="93"/>
  <c r="C12" i="93"/>
  <c r="BD11" i="93"/>
  <c r="C11" i="93"/>
  <c r="BD10" i="93"/>
  <c r="C10" i="93"/>
  <c r="BD9" i="93"/>
  <c r="BD8" i="93"/>
  <c r="C8" i="93"/>
  <c r="BD7" i="93"/>
  <c r="C7" i="93"/>
  <c r="BD6" i="93"/>
  <c r="C6" i="93"/>
  <c r="BD5" i="93"/>
  <c r="BA2" i="93"/>
  <c r="CI1" i="93"/>
  <c r="BU1" i="93"/>
  <c r="BQ1" i="93"/>
  <c r="BL1" i="93"/>
  <c r="BG1" i="93"/>
  <c r="IG112" i="9"/>
  <c r="IA112" i="9"/>
  <c r="IG111" i="9"/>
  <c r="IA111" i="9"/>
  <c r="HN111" i="9"/>
  <c r="BZ26" i="14" l="1"/>
  <c r="BZ27" i="14"/>
  <c r="BZ25" i="14"/>
  <c r="AQ16" i="112"/>
  <c r="AP16" i="113"/>
  <c r="AQ8" i="112"/>
  <c r="AP8" i="113"/>
  <c r="AQ10" i="112"/>
  <c r="AP10" i="113"/>
  <c r="AQ6" i="112"/>
  <c r="AP6" i="113"/>
  <c r="AQ9" i="112"/>
  <c r="AP9" i="113"/>
  <c r="AQ14" i="112"/>
  <c r="AP14" i="113"/>
  <c r="AQ15" i="112"/>
  <c r="AP15" i="113"/>
  <c r="AQ7" i="112"/>
  <c r="AP7" i="113"/>
  <c r="AQ13" i="112"/>
  <c r="AP13" i="113"/>
  <c r="AQ12" i="112"/>
  <c r="AP12" i="113"/>
  <c r="AQ11" i="112"/>
  <c r="AP11" i="113"/>
  <c r="AP17" i="112"/>
  <c r="AP18" i="112"/>
  <c r="AP19" i="112"/>
  <c r="AP20" i="112"/>
  <c r="AP24" i="112"/>
  <c r="AP23" i="112"/>
  <c r="AP21" i="112"/>
  <c r="AP22" i="112"/>
  <c r="BA16" i="94"/>
  <c r="BA15" i="94"/>
  <c r="BA14" i="94"/>
  <c r="BA13" i="94"/>
  <c r="BA12" i="94"/>
  <c r="BA11" i="94"/>
  <c r="BA10" i="94"/>
  <c r="BA9" i="94"/>
  <c r="BA8" i="94"/>
  <c r="BA7" i="94"/>
  <c r="A30" i="93"/>
  <c r="A28" i="93"/>
  <c r="A29" i="93"/>
  <c r="FC112" i="9"/>
  <c r="FC111" i="9"/>
  <c r="BT111" i="9"/>
  <c r="BZ28" i="14" l="1"/>
  <c r="BZ32" i="14" s="1"/>
  <c r="BY6" i="14"/>
  <c r="AP7" i="112" s="1"/>
  <c r="BY7" i="14"/>
  <c r="AP8" i="112" s="1"/>
  <c r="BY8" i="14"/>
  <c r="AP9" i="112" s="1"/>
  <c r="BY9" i="14"/>
  <c r="AP10" i="112" s="1"/>
  <c r="BY10" i="14"/>
  <c r="AP11" i="112" s="1"/>
  <c r="BY11" i="14"/>
  <c r="AP12" i="112" s="1"/>
  <c r="BY12" i="14"/>
  <c r="AP13" i="112" s="1"/>
  <c r="BY13" i="14"/>
  <c r="AP14" i="112" s="1"/>
  <c r="BY14" i="14"/>
  <c r="AP15" i="112" s="1"/>
  <c r="BY15" i="14"/>
  <c r="AP16" i="112" s="1"/>
  <c r="BY16" i="14"/>
  <c r="BY17" i="14"/>
  <c r="BY18" i="14"/>
  <c r="BY19" i="14"/>
  <c r="BY20" i="14"/>
  <c r="BY21" i="14"/>
  <c r="BY22" i="14"/>
  <c r="BY23" i="14"/>
  <c r="BY5" i="14"/>
  <c r="BY4" i="14"/>
  <c r="Y25" i="92"/>
  <c r="BD24" i="92"/>
  <c r="C24" i="92"/>
  <c r="BD23" i="92"/>
  <c r="C23" i="92"/>
  <c r="BD22" i="92"/>
  <c r="C22" i="92"/>
  <c r="BD21" i="92"/>
  <c r="C21" i="92"/>
  <c r="BD20" i="92"/>
  <c r="C20" i="92"/>
  <c r="BD19" i="92"/>
  <c r="C19" i="92"/>
  <c r="BD18" i="92"/>
  <c r="C18" i="92"/>
  <c r="BD17" i="92"/>
  <c r="C17" i="92"/>
  <c r="BD16" i="92"/>
  <c r="C16" i="92"/>
  <c r="BD15" i="92"/>
  <c r="BD14" i="92"/>
  <c r="C14" i="92"/>
  <c r="BD13" i="92"/>
  <c r="C13" i="92"/>
  <c r="BD12" i="92"/>
  <c r="C12" i="92"/>
  <c r="BD11" i="92"/>
  <c r="C11" i="92"/>
  <c r="BD10" i="92"/>
  <c r="C10" i="92"/>
  <c r="BD9" i="92"/>
  <c r="BD8" i="92"/>
  <c r="C8" i="92"/>
  <c r="BD7" i="92"/>
  <c r="C7" i="92"/>
  <c r="BD6" i="92"/>
  <c r="C6" i="92"/>
  <c r="BD5" i="92"/>
  <c r="BA2" i="92"/>
  <c r="CI1" i="92"/>
  <c r="BU1" i="92"/>
  <c r="BQ1" i="92"/>
  <c r="BL1" i="92"/>
  <c r="BG1" i="92"/>
  <c r="AP6" i="112" l="1"/>
  <c r="BY26" i="14"/>
  <c r="BY25" i="14"/>
  <c r="BY27" i="14"/>
  <c r="BA12" i="93"/>
  <c r="BA6" i="93"/>
  <c r="BA15" i="93"/>
  <c r="BA14" i="93"/>
  <c r="BA13" i="93"/>
  <c r="BA11" i="93"/>
  <c r="BA21" i="93"/>
  <c r="BA23" i="93"/>
  <c r="BA22" i="93"/>
  <c r="BA19" i="93"/>
  <c r="BA20" i="93"/>
  <c r="BA17" i="93"/>
  <c r="BA18" i="93"/>
  <c r="BA24" i="93"/>
  <c r="BA10" i="93"/>
  <c r="BA9" i="93"/>
  <c r="BA16" i="93"/>
  <c r="BA8" i="93"/>
  <c r="BA7" i="93"/>
  <c r="BA24" i="92"/>
  <c r="BA23" i="92"/>
  <c r="BA22" i="92"/>
  <c r="BA17" i="92"/>
  <c r="BA20" i="92"/>
  <c r="BA21" i="92"/>
  <c r="BA18" i="92"/>
  <c r="BA19" i="92"/>
  <c r="A29" i="92"/>
  <c r="A30" i="92"/>
  <c r="A28" i="92"/>
  <c r="HN110" i="9"/>
  <c r="GV110" i="9"/>
  <c r="GV109" i="9"/>
  <c r="GU109" i="9"/>
  <c r="GU110" i="9"/>
  <c r="BT110" i="9"/>
  <c r="BS96" i="9"/>
  <c r="N91" i="122" s="1"/>
  <c r="AR91" i="122" s="1"/>
  <c r="BS99" i="9"/>
  <c r="N94" i="122" s="1"/>
  <c r="AR94" i="122" s="1"/>
  <c r="BS102" i="9"/>
  <c r="N97" i="122" s="1"/>
  <c r="AR97" i="122" s="1"/>
  <c r="BE110" i="9"/>
  <c r="BG110" i="9" s="1"/>
  <c r="BY28" i="14" l="1"/>
  <c r="BY32" i="14" s="1"/>
  <c r="AR148" i="122"/>
  <c r="BE111" i="9"/>
  <c r="BG111" i="9" s="1"/>
  <c r="AG110" i="9"/>
  <c r="W112" i="9"/>
  <c r="W111" i="9"/>
  <c r="W110" i="9"/>
  <c r="T112" i="9"/>
  <c r="T111" i="9"/>
  <c r="T110" i="9"/>
  <c r="S110" i="9"/>
  <c r="S111" i="9"/>
  <c r="S112" i="9"/>
  <c r="O112" i="9"/>
  <c r="N112" i="9"/>
  <c r="O111" i="9"/>
  <c r="N111" i="9"/>
  <c r="O110" i="9"/>
  <c r="N110" i="9"/>
  <c r="P105" i="122" l="1"/>
  <c r="AS105" i="122" s="1"/>
  <c r="AS146" i="122" s="1"/>
  <c r="BB143" i="122" s="1"/>
  <c r="BC142" i="122"/>
  <c r="BD142" i="122"/>
  <c r="L109" i="9"/>
  <c r="L110" i="9"/>
  <c r="L111" i="9"/>
  <c r="DE110" i="9" l="1"/>
  <c r="CQ110" i="9"/>
  <c r="AS148" i="122"/>
  <c r="DE111" i="9"/>
  <c r="CQ111" i="9"/>
  <c r="DE109" i="9"/>
  <c r="CQ109" i="9"/>
  <c r="BD143" i="122"/>
  <c r="BC143" i="122"/>
  <c r="BX23" i="14"/>
  <c r="BX22" i="14"/>
  <c r="BX21" i="14"/>
  <c r="BX20" i="14"/>
  <c r="BX19" i="14"/>
  <c r="BX18" i="14"/>
  <c r="BX17" i="14"/>
  <c r="BX16" i="14"/>
  <c r="BX15" i="14"/>
  <c r="BX14" i="14"/>
  <c r="BX13" i="14"/>
  <c r="BX12" i="14"/>
  <c r="BX11" i="14"/>
  <c r="BX10" i="14"/>
  <c r="BX9" i="14"/>
  <c r="BX8" i="14"/>
  <c r="BX7" i="14"/>
  <c r="BX6" i="14"/>
  <c r="BX5" i="14"/>
  <c r="BX4" i="14"/>
  <c r="Y25" i="91"/>
  <c r="BD24" i="91"/>
  <c r="C24" i="91"/>
  <c r="BD23" i="91"/>
  <c r="C23" i="91"/>
  <c r="BD22" i="91"/>
  <c r="C22" i="91"/>
  <c r="BD21" i="91"/>
  <c r="C21" i="91"/>
  <c r="BD20" i="91"/>
  <c r="C20" i="91"/>
  <c r="BD19" i="91"/>
  <c r="C19" i="91"/>
  <c r="BD18" i="91"/>
  <c r="C18" i="91"/>
  <c r="BD17" i="91"/>
  <c r="C17" i="91"/>
  <c r="BD16" i="91"/>
  <c r="C16" i="91"/>
  <c r="BD15" i="91"/>
  <c r="BD14" i="91"/>
  <c r="C14" i="91"/>
  <c r="BD13" i="91"/>
  <c r="C13" i="91"/>
  <c r="BD12" i="91"/>
  <c r="C12" i="91"/>
  <c r="BD11" i="91"/>
  <c r="C11" i="91"/>
  <c r="BD10" i="91"/>
  <c r="C10" i="91"/>
  <c r="BD9" i="91"/>
  <c r="BD8" i="91"/>
  <c r="C8" i="91"/>
  <c r="BD7" i="91"/>
  <c r="C7" i="91"/>
  <c r="BD6" i="91"/>
  <c r="C6" i="91"/>
  <c r="BD5" i="91"/>
  <c r="BA2" i="91"/>
  <c r="CI1" i="91"/>
  <c r="BU1" i="91"/>
  <c r="BQ1" i="91"/>
  <c r="BL1" i="91"/>
  <c r="BG1" i="91"/>
  <c r="BX26" i="14" l="1"/>
  <c r="BX25" i="14"/>
  <c r="BX27" i="14"/>
  <c r="BA11" i="92"/>
  <c r="BA10" i="92"/>
  <c r="BA6" i="92"/>
  <c r="BA14" i="92"/>
  <c r="BA12" i="92"/>
  <c r="BA13" i="92"/>
  <c r="BA7" i="92"/>
  <c r="BA15" i="92"/>
  <c r="BA8" i="92"/>
  <c r="BA16" i="92"/>
  <c r="BA9" i="92"/>
  <c r="BA23" i="91"/>
  <c r="A28" i="91"/>
  <c r="A29" i="91"/>
  <c r="BA24" i="91"/>
  <c r="BA17" i="91"/>
  <c r="BA22" i="91"/>
  <c r="BA21" i="91"/>
  <c r="BA18" i="91"/>
  <c r="BA20" i="91"/>
  <c r="BA19" i="91"/>
  <c r="A30" i="91"/>
  <c r="HN109" i="9"/>
  <c r="GS46" i="9"/>
  <c r="GS58" i="9"/>
  <c r="GS59" i="9"/>
  <c r="GS60" i="9"/>
  <c r="GS61" i="9"/>
  <c r="GS62" i="9"/>
  <c r="GS63" i="9"/>
  <c r="GS64" i="9"/>
  <c r="GS65" i="9"/>
  <c r="GS66" i="9"/>
  <c r="GS67" i="9"/>
  <c r="GS68" i="9"/>
  <c r="GS69" i="9"/>
  <c r="GS70" i="9"/>
  <c r="GS71" i="9"/>
  <c r="GS72" i="9"/>
  <c r="GS73" i="9"/>
  <c r="GS74" i="9"/>
  <c r="GS75" i="9"/>
  <c r="GS76" i="9"/>
  <c r="GS77" i="9"/>
  <c r="GS78" i="9"/>
  <c r="GS79" i="9"/>
  <c r="GS80" i="9"/>
  <c r="GS81" i="9"/>
  <c r="GS82" i="9"/>
  <c r="GS83" i="9"/>
  <c r="GS84" i="9"/>
  <c r="GS85" i="9"/>
  <c r="GS86" i="9"/>
  <c r="GS87" i="9"/>
  <c r="GS88" i="9"/>
  <c r="GS89" i="9"/>
  <c r="GS90" i="9"/>
  <c r="GS91" i="9"/>
  <c r="GS92" i="9"/>
  <c r="GS93" i="9"/>
  <c r="GS94" i="9"/>
  <c r="GS95" i="9"/>
  <c r="GS96" i="9"/>
  <c r="GS97" i="9"/>
  <c r="GS98" i="9"/>
  <c r="GS99" i="9"/>
  <c r="GS100" i="9"/>
  <c r="GS101" i="9"/>
  <c r="GS102" i="9"/>
  <c r="GS103" i="9"/>
  <c r="GS104" i="9"/>
  <c r="GS105" i="9"/>
  <c r="GS106" i="9"/>
  <c r="GS107" i="9"/>
  <c r="GS108" i="9"/>
  <c r="GS109" i="9"/>
  <c r="GS110" i="9"/>
  <c r="GS111" i="9"/>
  <c r="GS112" i="9"/>
  <c r="GS113" i="9"/>
  <c r="GS114" i="9"/>
  <c r="GS115" i="9"/>
  <c r="GS116" i="9"/>
  <c r="GS117" i="9"/>
  <c r="GS118" i="9"/>
  <c r="GS119" i="9"/>
  <c r="GS120" i="9"/>
  <c r="GS123" i="9"/>
  <c r="GS124" i="9"/>
  <c r="GS125" i="9"/>
  <c r="GS126" i="9"/>
  <c r="GS127" i="9"/>
  <c r="GS128" i="9"/>
  <c r="GS129" i="9"/>
  <c r="GS34" i="9"/>
  <c r="BX28" i="14" l="1"/>
  <c r="BX32" i="14" s="1"/>
  <c r="FC110" i="9"/>
  <c r="FC109" i="9"/>
  <c r="IA110" i="9"/>
  <c r="IA109" i="9"/>
  <c r="IG110" i="9"/>
  <c r="IG109" i="9"/>
  <c r="BQ109" i="9" l="1"/>
  <c r="AH109" i="9"/>
  <c r="AH110" i="9" s="1"/>
  <c r="AH111" i="9" s="1"/>
  <c r="AH112" i="9" s="1"/>
  <c r="AH113" i="9" s="1"/>
  <c r="AH114" i="9" s="1"/>
  <c r="AH115" i="9" s="1"/>
  <c r="W109" i="9"/>
  <c r="BW6" i="14" l="1"/>
  <c r="BW7" i="14"/>
  <c r="BW8" i="14"/>
  <c r="BW9" i="14"/>
  <c r="BW10" i="14"/>
  <c r="BW11" i="14"/>
  <c r="BW12" i="14"/>
  <c r="BW13" i="14"/>
  <c r="BW14" i="14"/>
  <c r="BW15" i="14"/>
  <c r="BW16" i="14"/>
  <c r="BW17" i="14"/>
  <c r="BW18" i="14"/>
  <c r="BW19" i="14"/>
  <c r="BW20" i="14"/>
  <c r="BW21" i="14"/>
  <c r="BW22" i="14"/>
  <c r="BW23" i="14"/>
  <c r="BW5" i="14"/>
  <c r="BW4" i="14"/>
  <c r="Y25" i="90"/>
  <c r="BD24" i="90"/>
  <c r="C24" i="90"/>
  <c r="BD23" i="90"/>
  <c r="C23" i="90"/>
  <c r="BD22" i="90"/>
  <c r="C22" i="90"/>
  <c r="BD21" i="90"/>
  <c r="C21" i="90"/>
  <c r="BD20" i="90"/>
  <c r="C20" i="90"/>
  <c r="BD19" i="90"/>
  <c r="C19" i="90"/>
  <c r="BD18" i="90"/>
  <c r="C18" i="90"/>
  <c r="BD17" i="90"/>
  <c r="C17" i="90"/>
  <c r="BD16" i="90"/>
  <c r="C16" i="90"/>
  <c r="BD15" i="90"/>
  <c r="BD14" i="90"/>
  <c r="C14" i="90"/>
  <c r="BD13" i="90"/>
  <c r="C13" i="90"/>
  <c r="BD12" i="90"/>
  <c r="C12" i="90"/>
  <c r="BD11" i="90"/>
  <c r="C11" i="90"/>
  <c r="BD10" i="90"/>
  <c r="C10" i="90"/>
  <c r="BD9" i="90"/>
  <c r="BD8" i="90"/>
  <c r="C8" i="90"/>
  <c r="BD7" i="90"/>
  <c r="C7" i="90"/>
  <c r="BD6" i="90"/>
  <c r="C6" i="90"/>
  <c r="BD5" i="90"/>
  <c r="BA2" i="90"/>
  <c r="CI1" i="90"/>
  <c r="BU1" i="90"/>
  <c r="BQ1" i="90"/>
  <c r="BL1" i="90"/>
  <c r="BG1" i="90"/>
  <c r="IL108" i="9"/>
  <c r="IL109" i="9" s="1"/>
  <c r="IG108" i="9"/>
  <c r="IA108" i="9"/>
  <c r="IA107" i="9"/>
  <c r="IG107" i="9"/>
  <c r="HN108" i="9"/>
  <c r="GV107" i="9"/>
  <c r="GV108" i="9"/>
  <c r="GU107" i="9"/>
  <c r="GU108" i="9"/>
  <c r="BT109" i="9"/>
  <c r="BT108" i="9"/>
  <c r="BQ11" i="9"/>
  <c r="BQ12" i="9"/>
  <c r="BQ13" i="9"/>
  <c r="BQ14" i="9"/>
  <c r="BQ15" i="9"/>
  <c r="BQ16" i="9"/>
  <c r="BQ17" i="9"/>
  <c r="BQ18" i="9"/>
  <c r="BQ19" i="9"/>
  <c r="BQ20" i="9"/>
  <c r="BQ21" i="9"/>
  <c r="BQ22" i="9"/>
  <c r="BQ23" i="9"/>
  <c r="BQ24" i="9"/>
  <c r="BQ25" i="9"/>
  <c r="BQ26" i="9"/>
  <c r="BQ27" i="9"/>
  <c r="BQ28" i="9"/>
  <c r="BQ29" i="9"/>
  <c r="BQ30" i="9"/>
  <c r="BQ31" i="9"/>
  <c r="BQ32" i="9"/>
  <c r="BQ33" i="9"/>
  <c r="BQ34" i="9"/>
  <c r="BQ35" i="9"/>
  <c r="BQ36" i="9"/>
  <c r="BQ37" i="9"/>
  <c r="BQ38" i="9"/>
  <c r="BQ39" i="9"/>
  <c r="BQ40" i="9"/>
  <c r="BQ41" i="9"/>
  <c r="BQ42" i="9"/>
  <c r="BQ43" i="9"/>
  <c r="BQ44" i="9"/>
  <c r="BQ45" i="9"/>
  <c r="BQ46" i="9"/>
  <c r="BQ47" i="9"/>
  <c r="BQ48" i="9"/>
  <c r="BQ49" i="9"/>
  <c r="BQ50" i="9"/>
  <c r="BQ51" i="9"/>
  <c r="BQ52" i="9"/>
  <c r="BQ53" i="9"/>
  <c r="BQ54" i="9"/>
  <c r="BQ55" i="9"/>
  <c r="BQ56" i="9"/>
  <c r="BQ57" i="9"/>
  <c r="BQ58" i="9"/>
  <c r="BQ59" i="9"/>
  <c r="BQ60" i="9"/>
  <c r="BQ61" i="9"/>
  <c r="BQ62" i="9"/>
  <c r="BQ63" i="9"/>
  <c r="BQ64" i="9"/>
  <c r="BQ65" i="9"/>
  <c r="BQ66" i="9"/>
  <c r="BQ67" i="9"/>
  <c r="BQ68" i="9"/>
  <c r="BQ69" i="9"/>
  <c r="BQ70" i="9"/>
  <c r="BQ71" i="9"/>
  <c r="BQ72" i="9"/>
  <c r="BQ73" i="9"/>
  <c r="BQ74" i="9"/>
  <c r="BQ75" i="9"/>
  <c r="BQ76" i="9"/>
  <c r="BQ77" i="9"/>
  <c r="BQ78" i="9"/>
  <c r="BQ79" i="9"/>
  <c r="BQ80" i="9"/>
  <c r="BQ81" i="9"/>
  <c r="BQ82" i="9"/>
  <c r="BQ83" i="9"/>
  <c r="BQ84" i="9"/>
  <c r="BQ85" i="9"/>
  <c r="BQ86" i="9"/>
  <c r="BQ87" i="9"/>
  <c r="BQ88" i="9"/>
  <c r="BQ89" i="9"/>
  <c r="BQ90" i="9"/>
  <c r="BQ91" i="9"/>
  <c r="BQ92" i="9"/>
  <c r="BQ93" i="9"/>
  <c r="BQ95" i="9"/>
  <c r="BQ96" i="9"/>
  <c r="BQ97" i="9"/>
  <c r="BQ98" i="9"/>
  <c r="BQ99" i="9"/>
  <c r="BQ100" i="9"/>
  <c r="BQ101" i="9"/>
  <c r="BQ102" i="9"/>
  <c r="BQ103" i="9"/>
  <c r="BQ105" i="9"/>
  <c r="BQ107" i="9"/>
  <c r="BQ108" i="9"/>
  <c r="AU108" i="9"/>
  <c r="AP108" i="9"/>
  <c r="BW26" i="14" l="1"/>
  <c r="BW25" i="14"/>
  <c r="BW27" i="14"/>
  <c r="BA16" i="91"/>
  <c r="BA12" i="91"/>
  <c r="BA8" i="91"/>
  <c r="BA15" i="91"/>
  <c r="BA11" i="91"/>
  <c r="BA7" i="91"/>
  <c r="BA14" i="91"/>
  <c r="BA10" i="91"/>
  <c r="BA6" i="91"/>
  <c r="BA13" i="91"/>
  <c r="BA9" i="91"/>
  <c r="BA20" i="90"/>
  <c r="A29" i="90"/>
  <c r="A30" i="90"/>
  <c r="A28" i="90"/>
  <c r="BA24" i="90"/>
  <c r="BA21" i="90"/>
  <c r="BA23" i="90"/>
  <c r="BA18" i="90"/>
  <c r="BA22" i="90"/>
  <c r="BA17" i="90"/>
  <c r="BA19" i="90"/>
  <c r="BA12" i="90"/>
  <c r="BA11" i="90"/>
  <c r="W108" i="9"/>
  <c r="T108" i="9"/>
  <c r="T109" i="9"/>
  <c r="S109" i="9"/>
  <c r="S108" i="9"/>
  <c r="N109" i="9"/>
  <c r="O109" i="9"/>
  <c r="N108" i="9"/>
  <c r="L108" i="9"/>
  <c r="BV6" i="14"/>
  <c r="BV7" i="14"/>
  <c r="BV8" i="14"/>
  <c r="BV9" i="14"/>
  <c r="BV10" i="14"/>
  <c r="BV11" i="14"/>
  <c r="BV12" i="14"/>
  <c r="BV13" i="14"/>
  <c r="BV14" i="14"/>
  <c r="BV15" i="14"/>
  <c r="BV16" i="14"/>
  <c r="BV17" i="14"/>
  <c r="BV18" i="14"/>
  <c r="BV19" i="14"/>
  <c r="BV20" i="14"/>
  <c r="BV21" i="14"/>
  <c r="BV22" i="14"/>
  <c r="BV23" i="14"/>
  <c r="BV5" i="14"/>
  <c r="BV4" i="14"/>
  <c r="Y25" i="89"/>
  <c r="BD24" i="89"/>
  <c r="C24" i="89"/>
  <c r="BD23" i="89"/>
  <c r="C23" i="89"/>
  <c r="BD22" i="89"/>
  <c r="C22" i="89"/>
  <c r="BD21" i="89"/>
  <c r="C21" i="89"/>
  <c r="BD20" i="89"/>
  <c r="C20" i="89"/>
  <c r="BD19" i="89"/>
  <c r="C19" i="89"/>
  <c r="BD18" i="89"/>
  <c r="C18" i="89"/>
  <c r="BD17" i="89"/>
  <c r="C17" i="89"/>
  <c r="BD16" i="89"/>
  <c r="C16" i="89"/>
  <c r="BD15" i="89"/>
  <c r="BD14" i="89"/>
  <c r="C14" i="89"/>
  <c r="BD13" i="89"/>
  <c r="C13" i="89"/>
  <c r="BD12" i="89"/>
  <c r="C12" i="89"/>
  <c r="BD11" i="89"/>
  <c r="C11" i="89"/>
  <c r="BD10" i="89"/>
  <c r="C10" i="89"/>
  <c r="BD9" i="89"/>
  <c r="BD8" i="89"/>
  <c r="C8" i="89"/>
  <c r="BD7" i="89"/>
  <c r="C7" i="89"/>
  <c r="BD6" i="89"/>
  <c r="C6" i="89"/>
  <c r="BD5" i="89"/>
  <c r="BA2" i="89"/>
  <c r="CI1" i="89"/>
  <c r="BU1" i="89"/>
  <c r="BQ1" i="89"/>
  <c r="BL1" i="89"/>
  <c r="BG1" i="89"/>
  <c r="HN107" i="9"/>
  <c r="HA106" i="9"/>
  <c r="GV106" i="9"/>
  <c r="GU106" i="9"/>
  <c r="FC108" i="9"/>
  <c r="FC107" i="9"/>
  <c r="BT107" i="9"/>
  <c r="BV25" i="14" l="1"/>
  <c r="BV27" i="14"/>
  <c r="BV26" i="14"/>
  <c r="BW28" i="14"/>
  <c r="BW32" i="14" s="1"/>
  <c r="DE108" i="9"/>
  <c r="CQ108" i="9"/>
  <c r="BA16" i="90"/>
  <c r="BA8" i="90"/>
  <c r="BA15" i="90"/>
  <c r="BA7" i="90"/>
  <c r="BA14" i="90"/>
  <c r="BA10" i="90"/>
  <c r="BA6" i="90"/>
  <c r="BA13" i="90"/>
  <c r="BA9" i="90"/>
  <c r="A30" i="89"/>
  <c r="A28" i="89"/>
  <c r="A29" i="89"/>
  <c r="BF107" i="9"/>
  <c r="BF108" i="9" s="1"/>
  <c r="BE107" i="9"/>
  <c r="BV28" i="14" l="1"/>
  <c r="BV32" i="14" s="1"/>
  <c r="BG107" i="9"/>
  <c r="BE108" i="9"/>
  <c r="BG108" i="9" s="1"/>
  <c r="G108" i="3"/>
  <c r="G109" i="3"/>
  <c r="G110" i="3"/>
  <c r="G111" i="3"/>
  <c r="G112" i="3"/>
  <c r="G113" i="3"/>
  <c r="G114" i="3"/>
  <c r="G115" i="3"/>
  <c r="G116" i="3"/>
  <c r="G117" i="3"/>
  <c r="G118" i="3"/>
  <c r="D108" i="3"/>
  <c r="D109" i="3"/>
  <c r="D110" i="3"/>
  <c r="D111" i="3"/>
  <c r="D112" i="3"/>
  <c r="D113" i="3"/>
  <c r="D114" i="3"/>
  <c r="D115" i="3"/>
  <c r="D116" i="3"/>
  <c r="D117" i="3"/>
  <c r="D118" i="3"/>
  <c r="D119" i="3"/>
  <c r="BU6" i="14"/>
  <c r="BU7" i="14"/>
  <c r="BU8" i="14"/>
  <c r="BU9" i="14"/>
  <c r="BU10" i="14"/>
  <c r="BU11" i="14"/>
  <c r="BU12" i="14"/>
  <c r="BU13" i="14"/>
  <c r="BU14" i="14"/>
  <c r="BU15" i="14"/>
  <c r="BU16" i="14"/>
  <c r="BU17" i="14"/>
  <c r="BU18" i="14"/>
  <c r="BU19" i="14"/>
  <c r="BU20" i="14"/>
  <c r="BU21" i="14"/>
  <c r="BU22" i="14"/>
  <c r="BU23" i="14"/>
  <c r="BU5" i="14"/>
  <c r="BU4" i="14"/>
  <c r="Y25" i="88"/>
  <c r="BD24" i="88"/>
  <c r="C24" i="88"/>
  <c r="BD23" i="88"/>
  <c r="C23" i="88"/>
  <c r="BD22" i="88"/>
  <c r="C22" i="88"/>
  <c r="BD21" i="88"/>
  <c r="C21" i="88"/>
  <c r="BD20" i="88"/>
  <c r="C20" i="88"/>
  <c r="BD19" i="88"/>
  <c r="C19" i="88"/>
  <c r="BD18" i="88"/>
  <c r="C18" i="88"/>
  <c r="BD17" i="88"/>
  <c r="C17" i="88"/>
  <c r="BD16" i="88"/>
  <c r="C16" i="88"/>
  <c r="BD15" i="88"/>
  <c r="C15" i="88"/>
  <c r="BD14" i="88"/>
  <c r="C14" i="88"/>
  <c r="BD13" i="88"/>
  <c r="C13" i="88"/>
  <c r="BD12" i="88"/>
  <c r="C12" i="88"/>
  <c r="BD11" i="88"/>
  <c r="C11" i="88"/>
  <c r="BD10" i="88"/>
  <c r="C10" i="88"/>
  <c r="BD9" i="88"/>
  <c r="BD8" i="88"/>
  <c r="C8" i="88"/>
  <c r="BD7" i="88"/>
  <c r="C7" i="88"/>
  <c r="BD6" i="88"/>
  <c r="C6" i="88"/>
  <c r="BD5" i="88"/>
  <c r="BA2" i="88"/>
  <c r="CI1" i="88"/>
  <c r="BU1" i="88"/>
  <c r="BQ1" i="88"/>
  <c r="BL1" i="88"/>
  <c r="BG1" i="88"/>
  <c r="HN106" i="9"/>
  <c r="GV104" i="9"/>
  <c r="GV105" i="9"/>
  <c r="GU104" i="9"/>
  <c r="GU105" i="9"/>
  <c r="FC106" i="9"/>
  <c r="BT106" i="9"/>
  <c r="BR107" i="9"/>
  <c r="J102" i="122" s="1"/>
  <c r="AP102" i="122" s="1"/>
  <c r="BR106" i="9"/>
  <c r="J101" i="122" s="1"/>
  <c r="AP101" i="122" s="1"/>
  <c r="BQ1" i="9"/>
  <c r="BE8" i="142" s="1"/>
  <c r="BF8" i="142" s="1"/>
  <c r="BQ8" i="9"/>
  <c r="BO106" i="9"/>
  <c r="L101" i="122" s="1"/>
  <c r="AQ101" i="122" s="1"/>
  <c r="BE8" i="139" l="1"/>
  <c r="BE8" i="141"/>
  <c r="BU25" i="14"/>
  <c r="BU27" i="14"/>
  <c r="BU26" i="14"/>
  <c r="BF8" i="139"/>
  <c r="BE8" i="137"/>
  <c r="BE8" i="136"/>
  <c r="BF8" i="136" s="1"/>
  <c r="BE8" i="131"/>
  <c r="BF8" i="131" s="1"/>
  <c r="BE8" i="133"/>
  <c r="BE8" i="132"/>
  <c r="AQ148" i="122"/>
  <c r="BE8" i="124"/>
  <c r="BF8" i="124" s="1"/>
  <c r="BE8" i="125"/>
  <c r="BE8" i="120"/>
  <c r="BF8" i="120" s="1"/>
  <c r="BE8" i="121"/>
  <c r="BF8" i="121" s="1"/>
  <c r="BQ106" i="9"/>
  <c r="BF8" i="116"/>
  <c r="BG8" i="116" s="1"/>
  <c r="BE8" i="119"/>
  <c r="BF8" i="119" s="1"/>
  <c r="BF8" i="113"/>
  <c r="BG8" i="113" s="1"/>
  <c r="BF8" i="112"/>
  <c r="BG8" i="112" s="1"/>
  <c r="BF8" i="109"/>
  <c r="BG8" i="109" s="1"/>
  <c r="BE8" i="108"/>
  <c r="BF8" i="108" s="1"/>
  <c r="BE8" i="105"/>
  <c r="BF8" i="105" s="1"/>
  <c r="BE8" i="106"/>
  <c r="BF8" i="106" s="1"/>
  <c r="BD8" i="100"/>
  <c r="BE8" i="100" s="1"/>
  <c r="BD8" i="98"/>
  <c r="BE8" i="98" s="1"/>
  <c r="BD8" i="97"/>
  <c r="BE8" i="97" s="1"/>
  <c r="BD8" i="96"/>
  <c r="BE8" i="96" s="1"/>
  <c r="BD8" i="95"/>
  <c r="BE8" i="95" s="1"/>
  <c r="BE8" i="92"/>
  <c r="BF8" i="92" s="1"/>
  <c r="BE8" i="94"/>
  <c r="BF8" i="94" s="1"/>
  <c r="BE8" i="93"/>
  <c r="BF8" i="93" s="1"/>
  <c r="BE8" i="89"/>
  <c r="BF8" i="89" s="1"/>
  <c r="BE8" i="91"/>
  <c r="BF8" i="91" s="1"/>
  <c r="BE8" i="90"/>
  <c r="BF8" i="90" s="1"/>
  <c r="BA13" i="89"/>
  <c r="BA6" i="89"/>
  <c r="BA9" i="89"/>
  <c r="BA16" i="89"/>
  <c r="BA8" i="89"/>
  <c r="BA15" i="89"/>
  <c r="BE8" i="88"/>
  <c r="BF8" i="88" s="1"/>
  <c r="BA7" i="89"/>
  <c r="BA14" i="89"/>
  <c r="BA12" i="89"/>
  <c r="BA11" i="89"/>
  <c r="BA17" i="89"/>
  <c r="BA19" i="89"/>
  <c r="BA22" i="89"/>
  <c r="BA20" i="89"/>
  <c r="BA21" i="89"/>
  <c r="BA24" i="89"/>
  <c r="BA18" i="89"/>
  <c r="BA23" i="89"/>
  <c r="BA10" i="89"/>
  <c r="BA21" i="88"/>
  <c r="BA20" i="88"/>
  <c r="BA23" i="88"/>
  <c r="BA18" i="88"/>
  <c r="BA24" i="88"/>
  <c r="BA19" i="88"/>
  <c r="BA17" i="88"/>
  <c r="BA14" i="88"/>
  <c r="BA22" i="88"/>
  <c r="BA6" i="88"/>
  <c r="A30" i="88"/>
  <c r="A29" i="88"/>
  <c r="A28" i="88"/>
  <c r="W107" i="9"/>
  <c r="W106" i="9"/>
  <c r="U107" i="9"/>
  <c r="U106" i="9"/>
  <c r="T107" i="9"/>
  <c r="T106" i="9"/>
  <c r="T105" i="9"/>
  <c r="N106" i="9"/>
  <c r="O106" i="9"/>
  <c r="N107" i="9"/>
  <c r="O107" i="9"/>
  <c r="Y25" i="87"/>
  <c r="BT6" i="14"/>
  <c r="BT7" i="14"/>
  <c r="BT8" i="14"/>
  <c r="BT9" i="14"/>
  <c r="BT10" i="14"/>
  <c r="BT11" i="14"/>
  <c r="BT12" i="14"/>
  <c r="BT13" i="14"/>
  <c r="BT14" i="14"/>
  <c r="BT15" i="14"/>
  <c r="BT16" i="14"/>
  <c r="BT17" i="14"/>
  <c r="BT18" i="14"/>
  <c r="BT19" i="14"/>
  <c r="BT20" i="14"/>
  <c r="BT21" i="14"/>
  <c r="BT22" i="14"/>
  <c r="BT23" i="14"/>
  <c r="BT5" i="14"/>
  <c r="BT4" i="14"/>
  <c r="C7" i="87"/>
  <c r="C8" i="87"/>
  <c r="C9" i="87"/>
  <c r="C10" i="87"/>
  <c r="C11" i="87"/>
  <c r="C12" i="87"/>
  <c r="C13" i="87"/>
  <c r="C14" i="87"/>
  <c r="C15" i="87"/>
  <c r="C16" i="87"/>
  <c r="C17" i="87"/>
  <c r="C18" i="87"/>
  <c r="C19" i="87"/>
  <c r="C20" i="87"/>
  <c r="C21" i="87"/>
  <c r="C22" i="87"/>
  <c r="C23" i="87"/>
  <c r="C24" i="87"/>
  <c r="BD24" i="87"/>
  <c r="BD23" i="87"/>
  <c r="BD22" i="87"/>
  <c r="BD21" i="87"/>
  <c r="BD20" i="87"/>
  <c r="BD19" i="87"/>
  <c r="BD18" i="87"/>
  <c r="BD17" i="87"/>
  <c r="BD16" i="87"/>
  <c r="BD15" i="87"/>
  <c r="BD14" i="87"/>
  <c r="BD13" i="87"/>
  <c r="BD12" i="87"/>
  <c r="BD11" i="87"/>
  <c r="BD10" i="87"/>
  <c r="BD9" i="87"/>
  <c r="BE8" i="87"/>
  <c r="BF8" i="87" s="1"/>
  <c r="BD8" i="87"/>
  <c r="BD7" i="87"/>
  <c r="BD6" i="87"/>
  <c r="C6" i="87"/>
  <c r="BD5" i="87"/>
  <c r="BA2" i="87"/>
  <c r="CI1" i="87"/>
  <c r="BU1" i="87"/>
  <c r="BQ1" i="87"/>
  <c r="BL1" i="87"/>
  <c r="BG1" i="87"/>
  <c r="IG106" i="9"/>
  <c r="IG105" i="9"/>
  <c r="IA106" i="9"/>
  <c r="HN105" i="9"/>
  <c r="BT105" i="9"/>
  <c r="BF8" i="141" l="1"/>
  <c r="BT25" i="14"/>
  <c r="BT27" i="14"/>
  <c r="BT26" i="14"/>
  <c r="BU28" i="14"/>
  <c r="BU32" i="14" s="1"/>
  <c r="DE106" i="9"/>
  <c r="CQ106" i="9"/>
  <c r="DE107" i="9"/>
  <c r="CQ107" i="9"/>
  <c r="BF8" i="137"/>
  <c r="BF8" i="132"/>
  <c r="BF8" i="133"/>
  <c r="BB141" i="122"/>
  <c r="BF8" i="125"/>
  <c r="BA16" i="88"/>
  <c r="BA8" i="88"/>
  <c r="BA15" i="88"/>
  <c r="BA7" i="88"/>
  <c r="BA13" i="88"/>
  <c r="BA12" i="88"/>
  <c r="BA11" i="88"/>
  <c r="BA9" i="88"/>
  <c r="BA10" i="88"/>
  <c r="BA24" i="87"/>
  <c r="BA22" i="87"/>
  <c r="BA21" i="87"/>
  <c r="BA20" i="87"/>
  <c r="BA23" i="87"/>
  <c r="BA18" i="87"/>
  <c r="BA17" i="87"/>
  <c r="BA19" i="87"/>
  <c r="A28" i="87"/>
  <c r="A29" i="87"/>
  <c r="A30" i="87"/>
  <c r="BT28" i="14" l="1"/>
  <c r="BT32" i="14" s="1"/>
  <c r="BC141" i="122"/>
  <c r="BD141" i="122"/>
  <c r="T8" i="20"/>
  <c r="BS23" i="14"/>
  <c r="BS22" i="14"/>
  <c r="BS21" i="14"/>
  <c r="BS20" i="14"/>
  <c r="BS19" i="14"/>
  <c r="BS18" i="14"/>
  <c r="BS17" i="14"/>
  <c r="BS16" i="14"/>
  <c r="BS15" i="14"/>
  <c r="BS14" i="14"/>
  <c r="BS13" i="14"/>
  <c r="BS12" i="14"/>
  <c r="BS11" i="14"/>
  <c r="BS10" i="14"/>
  <c r="BS9" i="14"/>
  <c r="BS8" i="14"/>
  <c r="BS7" i="14"/>
  <c r="BS6" i="14"/>
  <c r="BS5" i="14"/>
  <c r="BS4" i="14"/>
  <c r="BD24" i="86"/>
  <c r="C24" i="86"/>
  <c r="BD23" i="86"/>
  <c r="C23" i="86"/>
  <c r="BD22" i="86"/>
  <c r="C22" i="86"/>
  <c r="BD21" i="86"/>
  <c r="BD20" i="86"/>
  <c r="C20" i="86"/>
  <c r="BD19" i="86"/>
  <c r="BD18" i="86"/>
  <c r="C18" i="86"/>
  <c r="BD17" i="86"/>
  <c r="C17" i="86"/>
  <c r="BD16" i="86"/>
  <c r="C16" i="86"/>
  <c r="BD15" i="86"/>
  <c r="BD14" i="86"/>
  <c r="C14" i="86"/>
  <c r="BD13" i="86"/>
  <c r="BD12" i="86"/>
  <c r="C12" i="86"/>
  <c r="BD11" i="86"/>
  <c r="C11" i="86"/>
  <c r="BD10" i="86"/>
  <c r="C10" i="86"/>
  <c r="BD9" i="86"/>
  <c r="C9" i="86"/>
  <c r="BD8" i="86"/>
  <c r="C8" i="86"/>
  <c r="BD7" i="86"/>
  <c r="A7" i="86"/>
  <c r="A8" i="86" s="1"/>
  <c r="A9" i="86" s="1"/>
  <c r="A10" i="86" s="1"/>
  <c r="A11" i="86" s="1"/>
  <c r="A12" i="86" s="1"/>
  <c r="A13" i="86" s="1"/>
  <c r="A14" i="86" s="1"/>
  <c r="A15" i="86" s="1"/>
  <c r="A16" i="86" s="1"/>
  <c r="A17" i="86" s="1"/>
  <c r="A18" i="86" s="1"/>
  <c r="A19" i="86" s="1"/>
  <c r="A20" i="86" s="1"/>
  <c r="A21" i="86" s="1"/>
  <c r="A22" i="86" s="1"/>
  <c r="A23" i="86" s="1"/>
  <c r="A24" i="86" s="1"/>
  <c r="BD6" i="86"/>
  <c r="C6" i="86"/>
  <c r="BD5" i="86"/>
  <c r="AZ2" i="86"/>
  <c r="CI1" i="86"/>
  <c r="BU1" i="86"/>
  <c r="BQ1" i="86"/>
  <c r="BL1" i="86"/>
  <c r="BG1" i="86"/>
  <c r="HN104" i="9"/>
  <c r="HN103" i="9"/>
  <c r="GV102" i="9"/>
  <c r="GV103" i="9"/>
  <c r="GU102" i="9"/>
  <c r="GU103" i="9"/>
  <c r="FC105" i="9"/>
  <c r="FC104" i="9"/>
  <c r="IA82" i="9"/>
  <c r="IA81" i="9"/>
  <c r="IA80" i="9"/>
  <c r="IA79" i="9"/>
  <c r="IA78" i="9"/>
  <c r="IA77" i="9"/>
  <c r="IA76" i="9"/>
  <c r="IA75" i="9"/>
  <c r="IA74" i="9"/>
  <c r="IA73" i="9"/>
  <c r="IA72" i="9"/>
  <c r="IA71" i="9"/>
  <c r="IA83" i="9"/>
  <c r="IA94" i="9"/>
  <c r="IA93" i="9"/>
  <c r="IA92" i="9"/>
  <c r="IA91" i="9"/>
  <c r="IA90" i="9"/>
  <c r="IA89" i="9"/>
  <c r="IA88" i="9"/>
  <c r="IA87" i="9"/>
  <c r="IA86" i="9"/>
  <c r="IA85" i="9"/>
  <c r="IA84" i="9"/>
  <c r="IA95" i="9"/>
  <c r="IA102" i="9"/>
  <c r="IA101" i="9"/>
  <c r="IA100" i="9"/>
  <c r="IA99" i="9"/>
  <c r="IA98" i="9"/>
  <c r="IA97" i="9"/>
  <c r="IA96" i="9"/>
  <c r="IA105" i="9"/>
  <c r="IA104" i="9"/>
  <c r="IA103" i="9"/>
  <c r="IG81" i="9"/>
  <c r="IG80" i="9"/>
  <c r="IG79" i="9"/>
  <c r="IG78" i="9"/>
  <c r="IG77" i="9"/>
  <c r="IG76" i="9"/>
  <c r="IG75" i="9"/>
  <c r="IG74" i="9"/>
  <c r="IG73" i="9"/>
  <c r="IG72" i="9"/>
  <c r="IG71" i="9"/>
  <c r="IG70" i="9"/>
  <c r="IG103" i="9"/>
  <c r="IG102" i="9"/>
  <c r="IG101" i="9"/>
  <c r="IG100" i="9"/>
  <c r="IG99" i="9"/>
  <c r="IG98" i="9"/>
  <c r="IG97" i="9"/>
  <c r="IG96" i="9"/>
  <c r="IG95" i="9"/>
  <c r="IG94" i="9"/>
  <c r="IG93" i="9"/>
  <c r="IG92" i="9"/>
  <c r="IG91" i="9"/>
  <c r="IG90" i="9"/>
  <c r="IG89" i="9"/>
  <c r="IG88" i="9"/>
  <c r="IG87" i="9"/>
  <c r="IG86" i="9"/>
  <c r="IG85" i="9"/>
  <c r="IG84" i="9"/>
  <c r="IG83" i="9"/>
  <c r="IG82" i="9"/>
  <c r="IG104" i="9"/>
  <c r="BT104" i="9"/>
  <c r="BR104" i="9"/>
  <c r="BP104" i="9"/>
  <c r="BQ104" i="9" s="1"/>
  <c r="BI104" i="9"/>
  <c r="BI103" i="9"/>
  <c r="BI102" i="9"/>
  <c r="BI101" i="9"/>
  <c r="S104" i="9"/>
  <c r="O105" i="9"/>
  <c r="N105" i="9"/>
  <c r="O104" i="9"/>
  <c r="N104" i="9"/>
  <c r="FC103" i="9"/>
  <c r="BS27" i="14" l="1"/>
  <c r="BS26" i="14"/>
  <c r="BS25" i="14"/>
  <c r="DH17" i="14"/>
  <c r="DI17" i="14"/>
  <c r="DW17" i="14" s="1"/>
  <c r="DG17" i="14"/>
  <c r="DH22" i="14"/>
  <c r="DG22" i="14"/>
  <c r="DI22" i="14"/>
  <c r="DW22" i="14" s="1"/>
  <c r="DI16" i="14"/>
  <c r="DW16" i="14" s="1"/>
  <c r="DG16" i="14"/>
  <c r="DH16" i="14"/>
  <c r="DG18" i="14"/>
  <c r="DH18" i="14"/>
  <c r="DI18" i="14"/>
  <c r="DW18" i="14" s="1"/>
  <c r="DG21" i="14"/>
  <c r="DH21" i="14"/>
  <c r="DI21" i="14"/>
  <c r="DW21" i="14" s="1"/>
  <c r="DG19" i="14"/>
  <c r="DH19" i="14"/>
  <c r="DI19" i="14"/>
  <c r="DW19" i="14" s="1"/>
  <c r="DH23" i="14"/>
  <c r="DI23" i="14"/>
  <c r="DW23" i="14" s="1"/>
  <c r="DG23" i="14"/>
  <c r="DG20" i="14"/>
  <c r="DH20" i="14"/>
  <c r="DI20" i="14"/>
  <c r="DW20" i="14" s="1"/>
  <c r="DH5" i="14"/>
  <c r="DG5" i="14"/>
  <c r="DI5" i="14"/>
  <c r="DH11" i="14"/>
  <c r="DG11" i="14"/>
  <c r="DI11" i="14"/>
  <c r="DW11" i="14" s="1"/>
  <c r="DG7" i="14"/>
  <c r="DI7" i="14"/>
  <c r="DW7" i="14" s="1"/>
  <c r="DH7" i="14"/>
  <c r="DI15" i="14"/>
  <c r="DW15" i="14" s="1"/>
  <c r="DH15" i="14"/>
  <c r="DG15" i="14"/>
  <c r="DI12" i="14"/>
  <c r="DW12" i="14" s="1"/>
  <c r="DH12" i="14"/>
  <c r="DG12" i="14"/>
  <c r="DI14" i="14"/>
  <c r="DW14" i="14" s="1"/>
  <c r="DH14" i="14"/>
  <c r="DG14" i="14"/>
  <c r="DG8" i="14"/>
  <c r="DI8" i="14"/>
  <c r="DW8" i="14" s="1"/>
  <c r="DH8" i="14"/>
  <c r="DI13" i="14"/>
  <c r="DW13" i="14" s="1"/>
  <c r="DH13" i="14"/>
  <c r="DG13" i="14"/>
  <c r="DG6" i="14"/>
  <c r="DI6" i="14"/>
  <c r="DW6" i="14" s="1"/>
  <c r="DH6" i="14"/>
  <c r="DH9" i="14"/>
  <c r="DG9" i="14"/>
  <c r="DI9" i="14"/>
  <c r="DW9" i="14" s="1"/>
  <c r="DH10" i="14"/>
  <c r="DG10" i="14"/>
  <c r="DI10" i="14"/>
  <c r="DW10" i="14" s="1"/>
  <c r="DE104" i="9"/>
  <c r="J99" i="122"/>
  <c r="AP99" i="122" s="1"/>
  <c r="BA16" i="87"/>
  <c r="BA15" i="87"/>
  <c r="BA9" i="87"/>
  <c r="BA14" i="87"/>
  <c r="BA10" i="87"/>
  <c r="BA7" i="87"/>
  <c r="BA11" i="87"/>
  <c r="BA12" i="87"/>
  <c r="BA6" i="87"/>
  <c r="BA8" i="87"/>
  <c r="BA13" i="87"/>
  <c r="AZ6" i="86"/>
  <c r="B28" i="86"/>
  <c r="B27" i="86"/>
  <c r="B29" i="86"/>
  <c r="AZ21" i="86"/>
  <c r="AZ23" i="86"/>
  <c r="AZ22" i="86"/>
  <c r="AZ24" i="86"/>
  <c r="AZ20" i="86"/>
  <c r="AZ17" i="86"/>
  <c r="AZ16" i="86"/>
  <c r="AZ19" i="86"/>
  <c r="AZ18" i="86"/>
  <c r="AZ13" i="86"/>
  <c r="AZ15" i="86"/>
  <c r="AZ12" i="86"/>
  <c r="AZ14" i="86"/>
  <c r="AZ11" i="86"/>
  <c r="AZ10" i="86"/>
  <c r="AZ9" i="86"/>
  <c r="AZ8" i="86"/>
  <c r="AZ7" i="86"/>
  <c r="BT103" i="9"/>
  <c r="T103" i="9"/>
  <c r="T102" i="9"/>
  <c r="S103" i="9"/>
  <c r="E6" i="7"/>
  <c r="BZ121" i="9" s="1"/>
  <c r="BS28" i="14" l="1"/>
  <c r="BS32" i="14" s="1"/>
  <c r="DF8" i="14"/>
  <c r="DK8" i="14" s="1"/>
  <c r="DF21" i="14"/>
  <c r="DL21" i="14" s="1"/>
  <c r="DF18" i="14"/>
  <c r="DL18" i="14" s="1"/>
  <c r="DF23" i="14"/>
  <c r="DK23" i="14" s="1"/>
  <c r="DF6" i="14"/>
  <c r="DK6" i="14" s="1"/>
  <c r="DF11" i="14"/>
  <c r="DL11" i="14" s="1"/>
  <c r="DF9" i="14"/>
  <c r="DM9" i="14" s="1"/>
  <c r="DF13" i="14"/>
  <c r="DM13" i="14" s="1"/>
  <c r="DF20" i="14"/>
  <c r="DL20" i="14" s="1"/>
  <c r="DF10" i="14"/>
  <c r="DM10" i="14" s="1"/>
  <c r="DF15" i="14"/>
  <c r="DK15" i="14" s="1"/>
  <c r="DF22" i="14"/>
  <c r="DM22" i="14" s="1"/>
  <c r="DF16" i="14"/>
  <c r="DK16" i="14" s="1"/>
  <c r="DF19" i="14"/>
  <c r="DM19" i="14" s="1"/>
  <c r="DF17" i="14"/>
  <c r="DK17" i="14" s="1"/>
  <c r="DF14" i="14"/>
  <c r="DM14" i="14" s="1"/>
  <c r="DF12" i="14"/>
  <c r="DL12" i="14" s="1"/>
  <c r="DF7" i="14"/>
  <c r="DL7" i="14" s="1"/>
  <c r="BZ119" i="9"/>
  <c r="BZ120" i="9"/>
  <c r="BZ118" i="9"/>
  <c r="BZ117" i="9"/>
  <c r="BZ113" i="9"/>
  <c r="BZ114" i="9"/>
  <c r="BZ115" i="9"/>
  <c r="BZ116" i="9"/>
  <c r="BZ110" i="9"/>
  <c r="BZ112" i="9"/>
  <c r="BZ111" i="9"/>
  <c r="BZ106" i="9"/>
  <c r="BZ109" i="9"/>
  <c r="BZ108" i="9"/>
  <c r="BZ107" i="9"/>
  <c r="BZ75" i="9"/>
  <c r="BZ74" i="9"/>
  <c r="BZ50" i="9"/>
  <c r="BZ66" i="9"/>
  <c r="BZ43" i="9"/>
  <c r="BZ67" i="9"/>
  <c r="BZ42" i="9"/>
  <c r="BZ63" i="9"/>
  <c r="BZ87" i="9"/>
  <c r="BZ62" i="9"/>
  <c r="BZ39" i="9"/>
  <c r="BZ51" i="9"/>
  <c r="BZ90" i="9"/>
  <c r="BZ86" i="9"/>
  <c r="BZ59" i="9"/>
  <c r="BZ35" i="9"/>
  <c r="BZ47" i="9"/>
  <c r="BZ91" i="9"/>
  <c r="BZ78" i="9"/>
  <c r="BZ55" i="9"/>
  <c r="BZ34" i="9"/>
  <c r="BZ99" i="9"/>
  <c r="BZ105" i="9"/>
  <c r="BZ104" i="9"/>
  <c r="BZ31" i="9"/>
  <c r="BZ27" i="9"/>
  <c r="BZ26" i="9"/>
  <c r="BZ23" i="9"/>
  <c r="BZ15" i="9"/>
  <c r="BZ103" i="9"/>
  <c r="BZ89" i="9"/>
  <c r="BZ73" i="9"/>
  <c r="BZ65" i="9"/>
  <c r="BZ49" i="9"/>
  <c r="BZ41" i="9"/>
  <c r="BZ33" i="9"/>
  <c r="BZ25" i="9"/>
  <c r="BZ17" i="9"/>
  <c r="BZ18" i="9"/>
  <c r="BZ88" i="9"/>
  <c r="BZ72" i="9"/>
  <c r="BZ64" i="9"/>
  <c r="BZ48" i="9"/>
  <c r="BZ40" i="9"/>
  <c r="BZ32" i="9"/>
  <c r="BZ24" i="9"/>
  <c r="BZ16" i="9"/>
  <c r="BZ38" i="9"/>
  <c r="BZ14" i="9"/>
  <c r="BZ54" i="9"/>
  <c r="BZ30" i="9"/>
  <c r="BZ85" i="9"/>
  <c r="BZ77" i="9"/>
  <c r="BZ61" i="9"/>
  <c r="BZ53" i="9"/>
  <c r="BZ37" i="9"/>
  <c r="BZ29" i="9"/>
  <c r="BZ21" i="9"/>
  <c r="BZ13" i="9"/>
  <c r="BZ22" i="9"/>
  <c r="BZ92" i="9"/>
  <c r="BZ76" i="9"/>
  <c r="BZ68" i="9"/>
  <c r="BZ60" i="9"/>
  <c r="BZ52" i="9"/>
  <c r="BZ44" i="9"/>
  <c r="BZ36" i="9"/>
  <c r="BZ28" i="9"/>
  <c r="BZ20" i="9"/>
  <c r="BZ12" i="9"/>
  <c r="BZ100" i="9"/>
  <c r="BZ19" i="9"/>
  <c r="BZ11" i="9"/>
  <c r="DM20" i="14" l="1"/>
  <c r="DM18" i="14"/>
  <c r="DL23" i="14"/>
  <c r="DK22" i="14"/>
  <c r="DL8" i="14"/>
  <c r="DM8" i="14"/>
  <c r="DK11" i="14"/>
  <c r="DM12" i="14"/>
  <c r="DK13" i="14"/>
  <c r="DL15" i="14"/>
  <c r="DM15" i="14"/>
  <c r="DM17" i="14"/>
  <c r="DL17" i="14"/>
  <c r="DL22" i="14"/>
  <c r="DK14" i="14"/>
  <c r="DL14" i="14"/>
  <c r="DM16" i="14"/>
  <c r="DL16" i="14"/>
  <c r="DL13" i="14"/>
  <c r="DM11" i="14"/>
  <c r="DM23" i="14"/>
  <c r="DK7" i="14"/>
  <c r="DM21" i="14"/>
  <c r="DK21" i="14"/>
  <c r="DK19" i="14"/>
  <c r="DK10" i="14"/>
  <c r="DK9" i="14"/>
  <c r="DL6" i="14"/>
  <c r="DL19" i="14"/>
  <c r="DL10" i="14"/>
  <c r="DM7" i="14"/>
  <c r="DK20" i="14"/>
  <c r="DL9" i="14"/>
  <c r="DK12" i="14"/>
  <c r="DM6" i="14"/>
  <c r="DK18" i="14"/>
  <c r="HN102" i="9"/>
  <c r="FC102" i="9"/>
  <c r="BT102" i="9"/>
  <c r="S102" i="9" l="1"/>
  <c r="GV99" i="9"/>
  <c r="GV100" i="9"/>
  <c r="GV101" i="9"/>
  <c r="GU99" i="9"/>
  <c r="GU100" i="9"/>
  <c r="GU101" i="9"/>
  <c r="R11" i="9"/>
  <c r="B6" i="122" s="1"/>
  <c r="R12" i="9"/>
  <c r="B7" i="122" s="1"/>
  <c r="R13" i="9"/>
  <c r="B8" i="122" s="1"/>
  <c r="AL8" i="122" s="1"/>
  <c r="R14" i="9"/>
  <c r="B9" i="122" s="1"/>
  <c r="AL9" i="122" s="1"/>
  <c r="R15" i="9"/>
  <c r="B10" i="122" s="1"/>
  <c r="AL10" i="122" s="1"/>
  <c r="R16" i="9"/>
  <c r="B11" i="122" s="1"/>
  <c r="AL11" i="122" s="1"/>
  <c r="R17" i="9"/>
  <c r="B12" i="122" s="1"/>
  <c r="AL12" i="122" s="1"/>
  <c r="R18" i="9"/>
  <c r="B13" i="122" s="1"/>
  <c r="AL13" i="122" s="1"/>
  <c r="R19" i="9"/>
  <c r="B14" i="122" s="1"/>
  <c r="AL14" i="122" s="1"/>
  <c r="R20" i="9"/>
  <c r="B15" i="122" s="1"/>
  <c r="AL15" i="122" s="1"/>
  <c r="R21" i="9"/>
  <c r="B16" i="122" s="1"/>
  <c r="AL16" i="122" s="1"/>
  <c r="R22" i="9"/>
  <c r="B17" i="122" s="1"/>
  <c r="AL17" i="122" s="1"/>
  <c r="R23" i="9"/>
  <c r="B18" i="122" s="1"/>
  <c r="AL18" i="122" s="1"/>
  <c r="R24" i="9"/>
  <c r="B19" i="122" s="1"/>
  <c r="AL19" i="122" s="1"/>
  <c r="R25" i="9"/>
  <c r="B20" i="122" s="1"/>
  <c r="AL20" i="122" s="1"/>
  <c r="R26" i="9"/>
  <c r="B21" i="122" s="1"/>
  <c r="AL21" i="122" s="1"/>
  <c r="R27" i="9"/>
  <c r="B22" i="122" s="1"/>
  <c r="AL22" i="122" s="1"/>
  <c r="R28" i="9"/>
  <c r="B23" i="122" s="1"/>
  <c r="AL23" i="122" s="1"/>
  <c r="R29" i="9"/>
  <c r="B24" i="122" s="1"/>
  <c r="AL24" i="122" s="1"/>
  <c r="R30" i="9"/>
  <c r="B25" i="122" s="1"/>
  <c r="AL25" i="122" s="1"/>
  <c r="R31" i="9"/>
  <c r="B26" i="122" s="1"/>
  <c r="AL26" i="122" s="1"/>
  <c r="R32" i="9"/>
  <c r="B27" i="122" s="1"/>
  <c r="AL27" i="122" s="1"/>
  <c r="R33" i="9"/>
  <c r="B28" i="122" s="1"/>
  <c r="AL28" i="122" s="1"/>
  <c r="R34" i="9"/>
  <c r="B29" i="122" s="1"/>
  <c r="AL29" i="122" s="1"/>
  <c r="R35" i="9"/>
  <c r="B30" i="122" s="1"/>
  <c r="AL30" i="122" s="1"/>
  <c r="R36" i="9"/>
  <c r="B31" i="122" s="1"/>
  <c r="AL31" i="122" s="1"/>
  <c r="R37" i="9"/>
  <c r="B32" i="122" s="1"/>
  <c r="AL32" i="122" s="1"/>
  <c r="R38" i="9"/>
  <c r="B33" i="122" s="1"/>
  <c r="AL33" i="122" s="1"/>
  <c r="R39" i="9"/>
  <c r="B34" i="122" s="1"/>
  <c r="AL34" i="122" s="1"/>
  <c r="R40" i="9"/>
  <c r="B35" i="122" s="1"/>
  <c r="AL35" i="122" s="1"/>
  <c r="R41" i="9"/>
  <c r="B36" i="122" s="1"/>
  <c r="AL36" i="122" s="1"/>
  <c r="R42" i="9"/>
  <c r="B37" i="122" s="1"/>
  <c r="AL37" i="122" s="1"/>
  <c r="R43" i="9"/>
  <c r="B38" i="122" s="1"/>
  <c r="AL38" i="122" s="1"/>
  <c r="R44" i="9"/>
  <c r="B39" i="122" s="1"/>
  <c r="AL39" i="122" s="1"/>
  <c r="R45" i="9"/>
  <c r="B40" i="122" s="1"/>
  <c r="AL40" i="122" s="1"/>
  <c r="R46" i="9"/>
  <c r="B41" i="122" s="1"/>
  <c r="AL41" i="122" s="1"/>
  <c r="R47" i="9"/>
  <c r="B42" i="122" s="1"/>
  <c r="AL42" i="122" s="1"/>
  <c r="R48" i="9"/>
  <c r="B43" i="122" s="1"/>
  <c r="AL43" i="122" s="1"/>
  <c r="R49" i="9"/>
  <c r="B44" i="122" s="1"/>
  <c r="AL44" i="122" s="1"/>
  <c r="R50" i="9"/>
  <c r="B45" i="122" s="1"/>
  <c r="AL45" i="122" s="1"/>
  <c r="R51" i="9"/>
  <c r="B46" i="122" s="1"/>
  <c r="AL46" i="122" s="1"/>
  <c r="R52" i="9"/>
  <c r="B47" i="122" s="1"/>
  <c r="AL47" i="122" s="1"/>
  <c r="R53" i="9"/>
  <c r="B48" i="122" s="1"/>
  <c r="AL48" i="122" s="1"/>
  <c r="R54" i="9"/>
  <c r="B49" i="122" s="1"/>
  <c r="AL49" i="122" s="1"/>
  <c r="R55" i="9"/>
  <c r="B50" i="122" s="1"/>
  <c r="AL50" i="122" s="1"/>
  <c r="R56" i="9"/>
  <c r="B51" i="122" s="1"/>
  <c r="AL51" i="122" s="1"/>
  <c r="R57" i="9"/>
  <c r="B52" i="122" s="1"/>
  <c r="AL52" i="122" s="1"/>
  <c r="R58" i="9"/>
  <c r="B53" i="122" s="1"/>
  <c r="AL53" i="122" s="1"/>
  <c r="R59" i="9"/>
  <c r="B54" i="122" s="1"/>
  <c r="AL54" i="122" s="1"/>
  <c r="R60" i="9"/>
  <c r="B55" i="122" s="1"/>
  <c r="AL55" i="122" s="1"/>
  <c r="R61" i="9"/>
  <c r="B56" i="122" s="1"/>
  <c r="AL56" i="122" s="1"/>
  <c r="R62" i="9"/>
  <c r="B57" i="122" s="1"/>
  <c r="AL57" i="122" s="1"/>
  <c r="R63" i="9"/>
  <c r="B58" i="122" s="1"/>
  <c r="AL58" i="122" s="1"/>
  <c r="R64" i="9"/>
  <c r="B59" i="122" s="1"/>
  <c r="AL59" i="122" s="1"/>
  <c r="R65" i="9"/>
  <c r="B60" i="122" s="1"/>
  <c r="AL60" i="122" s="1"/>
  <c r="R66" i="9"/>
  <c r="B61" i="122" s="1"/>
  <c r="AL61" i="122" s="1"/>
  <c r="R67" i="9"/>
  <c r="B62" i="122" s="1"/>
  <c r="AL62" i="122" s="1"/>
  <c r="R68" i="9"/>
  <c r="B63" i="122" s="1"/>
  <c r="AL63" i="122" s="1"/>
  <c r="R69" i="9"/>
  <c r="B64" i="122" s="1"/>
  <c r="AL64" i="122" s="1"/>
  <c r="R70" i="9"/>
  <c r="B65" i="122" s="1"/>
  <c r="AL65" i="122" s="1"/>
  <c r="R71" i="9"/>
  <c r="B66" i="122" s="1"/>
  <c r="AL66" i="122" s="1"/>
  <c r="R72" i="9"/>
  <c r="B67" i="122" s="1"/>
  <c r="AL67" i="122" s="1"/>
  <c r="R73" i="9"/>
  <c r="B68" i="122" s="1"/>
  <c r="AL68" i="122" s="1"/>
  <c r="R74" i="9"/>
  <c r="B69" i="122" s="1"/>
  <c r="AL69" i="122" s="1"/>
  <c r="R75" i="9"/>
  <c r="B70" i="122" s="1"/>
  <c r="AL70" i="122" s="1"/>
  <c r="R76" i="9"/>
  <c r="B71" i="122" s="1"/>
  <c r="AL71" i="122" s="1"/>
  <c r="R77" i="9"/>
  <c r="B72" i="122" s="1"/>
  <c r="AL72" i="122" s="1"/>
  <c r="R78" i="9"/>
  <c r="B73" i="122" s="1"/>
  <c r="AL73" i="122" s="1"/>
  <c r="R79" i="9"/>
  <c r="B74" i="122" s="1"/>
  <c r="AL74" i="122" s="1"/>
  <c r="R80" i="9"/>
  <c r="B75" i="122" s="1"/>
  <c r="AL75" i="122" s="1"/>
  <c r="R81" i="9"/>
  <c r="B76" i="122" s="1"/>
  <c r="AL76" i="122" s="1"/>
  <c r="R82" i="9"/>
  <c r="B77" i="122" s="1"/>
  <c r="AL77" i="122" s="1"/>
  <c r="R83" i="9"/>
  <c r="B78" i="122" s="1"/>
  <c r="AL78" i="122" s="1"/>
  <c r="R84" i="9"/>
  <c r="B79" i="122" s="1"/>
  <c r="AL79" i="122" s="1"/>
  <c r="R85" i="9"/>
  <c r="B80" i="122" s="1"/>
  <c r="AL80" i="122" s="1"/>
  <c r="R86" i="9"/>
  <c r="B81" i="122" s="1"/>
  <c r="AL81" i="122" s="1"/>
  <c r="R87" i="9"/>
  <c r="B82" i="122" s="1"/>
  <c r="AL82" i="122" s="1"/>
  <c r="R88" i="9"/>
  <c r="B83" i="122" s="1"/>
  <c r="AL83" i="122" s="1"/>
  <c r="R89" i="9"/>
  <c r="B84" i="122" s="1"/>
  <c r="AL84" i="122" s="1"/>
  <c r="R90" i="9"/>
  <c r="B85" i="122" s="1"/>
  <c r="AL85" i="122" s="1"/>
  <c r="R91" i="9"/>
  <c r="B86" i="122" s="1"/>
  <c r="AL86" i="122" s="1"/>
  <c r="R92" i="9"/>
  <c r="B87" i="122" s="1"/>
  <c r="AL87" i="122" s="1"/>
  <c r="R93" i="9"/>
  <c r="B88" i="122" s="1"/>
  <c r="AL88" i="122" s="1"/>
  <c r="R94" i="9"/>
  <c r="B89" i="122" s="1"/>
  <c r="AL89" i="122" s="1"/>
  <c r="R95" i="9"/>
  <c r="B90" i="122" s="1"/>
  <c r="AL90" i="122" s="1"/>
  <c r="R96" i="9"/>
  <c r="B91" i="122" s="1"/>
  <c r="AL91" i="122" s="1"/>
  <c r="R97" i="9"/>
  <c r="B92" i="122" s="1"/>
  <c r="AL92" i="122" s="1"/>
  <c r="R98" i="9"/>
  <c r="B93" i="122" s="1"/>
  <c r="AL93" i="122" s="1"/>
  <c r="R99" i="9"/>
  <c r="B94" i="122" s="1"/>
  <c r="AL94" i="122" s="1"/>
  <c r="R100" i="9"/>
  <c r="B95" i="122" s="1"/>
  <c r="AL95" i="122" s="1"/>
  <c r="R101" i="9"/>
  <c r="B96" i="122" s="1"/>
  <c r="AL96" i="122" s="1"/>
  <c r="R102" i="9"/>
  <c r="B97" i="122" s="1"/>
  <c r="AL97" i="122" s="1"/>
  <c r="R103" i="9"/>
  <c r="B98" i="122" s="1"/>
  <c r="AL98" i="122" s="1"/>
  <c r="R104" i="9"/>
  <c r="B99" i="122" s="1"/>
  <c r="AL99" i="122" s="1"/>
  <c r="R105" i="9"/>
  <c r="B100" i="122" s="1"/>
  <c r="AL100" i="122" s="1"/>
  <c r="R106" i="9"/>
  <c r="B101" i="122" s="1"/>
  <c r="AL101" i="122" s="1"/>
  <c r="R107" i="9"/>
  <c r="B102" i="122" s="1"/>
  <c r="AL102" i="122" s="1"/>
  <c r="R108" i="9"/>
  <c r="B103" i="122" s="1"/>
  <c r="AL103" i="122" s="1"/>
  <c r="R109" i="9"/>
  <c r="B104" i="122" s="1"/>
  <c r="AL104" i="122" s="1"/>
  <c r="R110" i="9"/>
  <c r="B105" i="122" s="1"/>
  <c r="AL105" i="122" s="1"/>
  <c r="R111" i="9"/>
  <c r="B106" i="122" s="1"/>
  <c r="AL106" i="122" s="1"/>
  <c r="R112" i="9"/>
  <c r="B107" i="122" s="1"/>
  <c r="AL107" i="122" s="1"/>
  <c r="AL142" i="122" s="1"/>
  <c r="R114" i="9"/>
  <c r="B109" i="122" s="1"/>
  <c r="AL109" i="122" s="1"/>
  <c r="R115" i="9"/>
  <c r="B110" i="122" s="1"/>
  <c r="AL110" i="122" s="1"/>
  <c r="R116" i="9"/>
  <c r="B111" i="122" s="1"/>
  <c r="AL111" i="122" s="1"/>
  <c r="R117" i="9"/>
  <c r="B112" i="122" s="1"/>
  <c r="AL112" i="122" s="1"/>
  <c r="R118" i="9"/>
  <c r="B113" i="122" s="1"/>
  <c r="AL113" i="122" s="1"/>
  <c r="R119" i="9"/>
  <c r="B114" i="122" s="1"/>
  <c r="AL114" i="122" s="1"/>
  <c r="R120" i="9"/>
  <c r="B115" i="122" s="1"/>
  <c r="AL115" i="122" s="1"/>
  <c r="R121" i="9"/>
  <c r="B116" i="122" s="1"/>
  <c r="AL116" i="122" s="1"/>
  <c r="R122" i="9"/>
  <c r="B117" i="122" s="1"/>
  <c r="AL117" i="122" s="1"/>
  <c r="R123" i="9"/>
  <c r="B118" i="122" s="1"/>
  <c r="AL118" i="122" s="1"/>
  <c r="R124" i="9"/>
  <c r="B119" i="122" s="1"/>
  <c r="AL119" i="122" s="1"/>
  <c r="R125" i="9"/>
  <c r="B120" i="122" s="1"/>
  <c r="AL120" i="122" s="1"/>
  <c r="R126" i="9"/>
  <c r="B121" i="122" s="1"/>
  <c r="AL121" i="122" s="1"/>
  <c r="R127" i="9"/>
  <c r="B122" i="122" s="1"/>
  <c r="AL122" i="122" s="1"/>
  <c r="AL137" i="122" l="1"/>
  <c r="AL135" i="122"/>
  <c r="AL136" i="122"/>
  <c r="AL141" i="122"/>
  <c r="AL143" i="122"/>
  <c r="AL138" i="122"/>
  <c r="AL139" i="122"/>
  <c r="AL140" i="122"/>
  <c r="HN101" i="9"/>
  <c r="FC101" i="9"/>
  <c r="BR101" i="9"/>
  <c r="J96" i="122" s="1"/>
  <c r="AP96" i="122" s="1"/>
  <c r="CQ102" i="9"/>
  <c r="CQ101" i="9"/>
  <c r="BT101" i="9"/>
  <c r="T101" i="9"/>
  <c r="T100" i="9"/>
  <c r="S101" i="9"/>
  <c r="AM126" i="9"/>
  <c r="AM125" i="9"/>
  <c r="AM124" i="9"/>
  <c r="AM123" i="9"/>
  <c r="AM122" i="9"/>
  <c r="AM121" i="9"/>
  <c r="AM120" i="9"/>
  <c r="AM119" i="9"/>
  <c r="AM118" i="9"/>
  <c r="AM117" i="9"/>
  <c r="AM116" i="9"/>
  <c r="AM114" i="9"/>
  <c r="AM113" i="9"/>
  <c r="AM112" i="9"/>
  <c r="AM111" i="9"/>
  <c r="AM110" i="9"/>
  <c r="AM109" i="9"/>
  <c r="AM108" i="9"/>
  <c r="AM107" i="9"/>
  <c r="AM106" i="9"/>
  <c r="AM105" i="9"/>
  <c r="AM104" i="9"/>
  <c r="AM103" i="9"/>
  <c r="AM102" i="9"/>
  <c r="AM101" i="9"/>
  <c r="AM100" i="9"/>
  <c r="AM99" i="9"/>
  <c r="AM98" i="9"/>
  <c r="AM97" i="9"/>
  <c r="AM96" i="9"/>
  <c r="CQ98" i="9"/>
  <c r="HN100" i="9"/>
  <c r="BR100" i="9"/>
  <c r="FC100" i="9"/>
  <c r="BT100" i="9"/>
  <c r="HN99" i="9"/>
  <c r="DE100" i="9" l="1"/>
  <c r="J95" i="122"/>
  <c r="AP95" i="122" s="1"/>
  <c r="AP141" i="122" s="1"/>
  <c r="DE102" i="9"/>
  <c r="DE101" i="9"/>
  <c r="BZ101" i="9"/>
  <c r="BZ98" i="9"/>
  <c r="BZ102" i="9"/>
  <c r="BF99" i="9"/>
  <c r="BF100" i="9" s="1"/>
  <c r="BF101" i="9" s="1"/>
  <c r="BF102" i="9" s="1"/>
  <c r="BF103" i="9" s="1"/>
  <c r="BF104" i="9" s="1"/>
  <c r="BE99" i="9"/>
  <c r="BE100" i="9" s="1"/>
  <c r="BE101" i="9" s="1"/>
  <c r="BE102" i="9" s="1"/>
  <c r="BE103" i="9" s="1"/>
  <c r="BE104" i="9" s="1"/>
  <c r="AL148" i="122" l="1"/>
  <c r="BB136" i="122"/>
  <c r="FC99" i="9"/>
  <c r="BR99" i="9"/>
  <c r="BT99" i="9"/>
  <c r="T99" i="9"/>
  <c r="T98" i="9"/>
  <c r="AA99" i="9"/>
  <c r="GV98" i="9"/>
  <c r="GU98" i="9"/>
  <c r="HN98" i="9"/>
  <c r="BR98" i="9"/>
  <c r="FC98" i="9"/>
  <c r="BT98" i="9"/>
  <c r="BT97" i="9"/>
  <c r="S98" i="9"/>
  <c r="BC136" i="122" l="1"/>
  <c r="BD136" i="122"/>
  <c r="DE98" i="9"/>
  <c r="J93" i="122"/>
  <c r="AP93" i="122" s="1"/>
  <c r="DE99" i="9"/>
  <c r="J94" i="122"/>
  <c r="AP94" i="122" s="1"/>
  <c r="G96" i="3"/>
  <c r="BR97" i="9"/>
  <c r="J92" i="122" s="1"/>
  <c r="AP92" i="122" s="1"/>
  <c r="HN97" i="9"/>
  <c r="FC97" i="9"/>
  <c r="T97" i="9"/>
  <c r="S97" i="9"/>
  <c r="HN96" i="9"/>
  <c r="FC96" i="9"/>
  <c r="BT96" i="9"/>
  <c r="T96" i="9"/>
  <c r="D96" i="3"/>
  <c r="D97" i="3"/>
  <c r="D98" i="3"/>
  <c r="D99" i="3"/>
  <c r="D100" i="3"/>
  <c r="D101" i="3"/>
  <c r="D102" i="3"/>
  <c r="D103" i="3"/>
  <c r="D104" i="3"/>
  <c r="D105" i="3"/>
  <c r="D106" i="3"/>
  <c r="D107" i="3"/>
  <c r="AU95" i="9" l="1"/>
  <c r="AM11" i="9" l="1"/>
  <c r="AM12" i="9"/>
  <c r="AM13" i="9"/>
  <c r="AM14" i="9"/>
  <c r="AM15" i="9"/>
  <c r="AM16" i="9"/>
  <c r="AM17" i="9"/>
  <c r="AM18" i="9"/>
  <c r="AM19" i="9"/>
  <c r="AM20" i="9"/>
  <c r="AM21" i="9"/>
  <c r="AM22" i="9"/>
  <c r="AM23" i="9"/>
  <c r="AM24" i="9"/>
  <c r="AM25" i="9"/>
  <c r="AM26" i="9"/>
  <c r="AM27" i="9"/>
  <c r="AM28" i="9"/>
  <c r="AM29" i="9"/>
  <c r="AM30" i="9"/>
  <c r="AM31" i="9"/>
  <c r="AM32" i="9"/>
  <c r="AM33" i="9"/>
  <c r="AM34" i="9"/>
  <c r="AM35" i="9"/>
  <c r="AM36" i="9"/>
  <c r="AM37" i="9"/>
  <c r="AM38" i="9"/>
  <c r="AM39" i="9"/>
  <c r="AM40" i="9"/>
  <c r="AM41" i="9"/>
  <c r="AM42" i="9"/>
  <c r="AM43" i="9"/>
  <c r="AM44" i="9"/>
  <c r="AM45" i="9"/>
  <c r="AM46" i="9"/>
  <c r="AM47" i="9"/>
  <c r="AM48" i="9"/>
  <c r="AM49" i="9"/>
  <c r="AM50" i="9"/>
  <c r="AM51" i="9"/>
  <c r="AM52" i="9"/>
  <c r="AM53" i="9"/>
  <c r="AM54" i="9"/>
  <c r="AM55" i="9"/>
  <c r="AM56" i="9"/>
  <c r="AM57" i="9"/>
  <c r="AM58" i="9"/>
  <c r="AM59" i="9"/>
  <c r="AM60" i="9"/>
  <c r="AM61" i="9"/>
  <c r="AM62" i="9"/>
  <c r="AM63" i="9"/>
  <c r="AM64" i="9"/>
  <c r="AM65" i="9"/>
  <c r="AM66" i="9"/>
  <c r="AM67" i="9"/>
  <c r="AM68" i="9"/>
  <c r="AM69" i="9"/>
  <c r="AM70" i="9"/>
  <c r="AM71" i="9"/>
  <c r="AM72" i="9"/>
  <c r="AM73" i="9"/>
  <c r="AM74" i="9"/>
  <c r="AM75" i="9"/>
  <c r="AM76" i="9"/>
  <c r="AM77" i="9"/>
  <c r="AM78" i="9"/>
  <c r="AM79" i="9"/>
  <c r="AM80" i="9"/>
  <c r="AM82" i="9"/>
  <c r="AM83" i="9"/>
  <c r="AM84" i="9"/>
  <c r="AM85" i="9"/>
  <c r="AM86" i="9"/>
  <c r="AM87" i="9"/>
  <c r="AM88" i="9"/>
  <c r="AM89" i="9"/>
  <c r="AM90" i="9"/>
  <c r="AM91" i="9"/>
  <c r="AM92" i="9"/>
  <c r="AM93" i="9"/>
  <c r="AM94" i="9"/>
  <c r="AM95" i="9"/>
  <c r="HN95" i="9" l="1"/>
  <c r="GU94" i="9"/>
  <c r="GU95" i="9"/>
  <c r="BR95" i="9"/>
  <c r="J90" i="122" s="1"/>
  <c r="AP90" i="122" s="1"/>
  <c r="FC95" i="9"/>
  <c r="BT95" i="9"/>
  <c r="T95" i="9"/>
  <c r="G107" i="3"/>
  <c r="G106" i="3"/>
  <c r="G105" i="3"/>
  <c r="G104" i="3"/>
  <c r="G103" i="3"/>
  <c r="G102" i="3"/>
  <c r="G101" i="3"/>
  <c r="G100" i="3"/>
  <c r="G99" i="3"/>
  <c r="G98" i="3"/>
  <c r="G97" i="3"/>
  <c r="BP94" i="9"/>
  <c r="BQ94" i="9" s="1"/>
  <c r="HN94" i="9"/>
  <c r="FC94" i="9"/>
  <c r="BT94" i="9"/>
  <c r="BT93" i="9"/>
  <c r="BR94" i="9"/>
  <c r="J89" i="122" s="1"/>
  <c r="AP89" i="122" s="1"/>
  <c r="T94" i="9"/>
  <c r="CQ97" i="9" l="1"/>
  <c r="CQ96" i="9"/>
  <c r="CQ95" i="9"/>
  <c r="CQ94" i="9"/>
  <c r="CQ93" i="9"/>
  <c r="HN93" i="9"/>
  <c r="FC93" i="9"/>
  <c r="BR93" i="9"/>
  <c r="J88" i="122" s="1"/>
  <c r="AP88" i="122" s="1"/>
  <c r="BI93" i="9"/>
  <c r="T93" i="9"/>
  <c r="T92" i="9"/>
  <c r="ER70" i="9"/>
  <c r="ER82" i="9"/>
  <c r="ER83" i="9" s="1"/>
  <c r="ER84" i="9" s="1"/>
  <c r="ER85" i="9" s="1"/>
  <c r="ER86" i="9" s="1"/>
  <c r="ER87" i="9" s="1"/>
  <c r="ER88" i="9" s="1"/>
  <c r="ER89" i="9" s="1"/>
  <c r="ER90" i="9" s="1"/>
  <c r="BH7" i="9"/>
  <c r="BI7" i="9" s="1"/>
  <c r="BJ7" i="9" s="1"/>
  <c r="BU7" i="9"/>
  <c r="CI7" i="9"/>
  <c r="CJ7" i="9" s="1"/>
  <c r="CK7" i="9" s="1"/>
  <c r="CL7" i="9" s="1"/>
  <c r="CM7" i="9" s="1"/>
  <c r="CN7" i="9" s="1"/>
  <c r="CO7" i="9" s="1"/>
  <c r="DH7" i="9"/>
  <c r="DI7" i="9"/>
  <c r="EX7" i="9"/>
  <c r="FA7" i="9"/>
  <c r="EZ7" i="9" s="1"/>
  <c r="FC7" i="9"/>
  <c r="FD7" i="9" s="1"/>
  <c r="GK7" i="9"/>
  <c r="GL7" i="9" s="1"/>
  <c r="GM7" i="9" s="1"/>
  <c r="GN7" i="9" s="1"/>
  <c r="GP7" i="9"/>
  <c r="IX7" i="9" s="1"/>
  <c r="GS7" i="9"/>
  <c r="HS7" i="9"/>
  <c r="HU7" i="9"/>
  <c r="HW7" i="9"/>
  <c r="HY7" i="9"/>
  <c r="IA7" i="9"/>
  <c r="IC7" i="9"/>
  <c r="IE7" i="9"/>
  <c r="IG7" i="9"/>
  <c r="IW7" i="9"/>
  <c r="IY7" i="9"/>
  <c r="IZ7" i="9" s="1"/>
  <c r="JA7" i="9"/>
  <c r="JC7" i="9"/>
  <c r="JD7" i="9"/>
  <c r="F8" i="9"/>
  <c r="G8" i="9"/>
  <c r="H8" i="9"/>
  <c r="I8" i="9"/>
  <c r="J8" i="9"/>
  <c r="K8" i="9"/>
  <c r="L8" i="9"/>
  <c r="N8" i="9"/>
  <c r="O8" i="9"/>
  <c r="P8" i="9"/>
  <c r="Q8" i="9"/>
  <c r="R8" i="9"/>
  <c r="S8" i="9"/>
  <c r="T8" i="9"/>
  <c r="U8" i="9"/>
  <c r="V8" i="9"/>
  <c r="W8" i="9"/>
  <c r="X8" i="9"/>
  <c r="Y8" i="9"/>
  <c r="Z8" i="9"/>
  <c r="AA8" i="9"/>
  <c r="AB8" i="9"/>
  <c r="AC8" i="9"/>
  <c r="AD8" i="9"/>
  <c r="AE8" i="9"/>
  <c r="AF8" i="9"/>
  <c r="AG8" i="9"/>
  <c r="AH8" i="9"/>
  <c r="AI8" i="9"/>
  <c r="AJ8" i="9"/>
  <c r="AK8" i="9"/>
  <c r="AL8" i="9"/>
  <c r="AM8" i="9"/>
  <c r="AN8" i="9"/>
  <c r="AO8" i="9"/>
  <c r="AP8" i="9"/>
  <c r="AQ8" i="9"/>
  <c r="AR8" i="9"/>
  <c r="AS8" i="9"/>
  <c r="AT8" i="9"/>
  <c r="AU8" i="9"/>
  <c r="AV8" i="9"/>
  <c r="AW8" i="9"/>
  <c r="AX8" i="9"/>
  <c r="AY8" i="9"/>
  <c r="AZ8" i="9"/>
  <c r="BA8" i="9"/>
  <c r="BB8" i="9"/>
  <c r="BE8" i="9"/>
  <c r="BG8" i="9"/>
  <c r="BH8" i="9"/>
  <c r="BK8" i="9"/>
  <c r="BL8" i="9"/>
  <c r="BN8" i="9"/>
  <c r="BO8" i="9"/>
  <c r="BP8" i="9"/>
  <c r="BR8" i="9"/>
  <c r="BS8" i="9"/>
  <c r="BT8" i="9"/>
  <c r="BV8" i="9"/>
  <c r="BX8" i="9"/>
  <c r="BY8" i="9"/>
  <c r="DK8" i="9"/>
  <c r="ED8" i="9"/>
  <c r="FF8" i="9"/>
  <c r="FH8" i="9"/>
  <c r="FJ8" i="9"/>
  <c r="FL8" i="9"/>
  <c r="FN8" i="9"/>
  <c r="FP8" i="9"/>
  <c r="FR8" i="9"/>
  <c r="FT8" i="9"/>
  <c r="FV8" i="9"/>
  <c r="FW8" i="9"/>
  <c r="FY8" i="9"/>
  <c r="GB8" i="9"/>
  <c r="GH8" i="9"/>
  <c r="GI8" i="9"/>
  <c r="GN8" i="9"/>
  <c r="GO8" i="9"/>
  <c r="GP8" i="9"/>
  <c r="GQ8" i="9"/>
  <c r="GR8" i="9"/>
  <c r="GS8" i="9"/>
  <c r="GT8" i="9"/>
  <c r="GU8" i="9"/>
  <c r="GW8" i="9"/>
  <c r="GX8" i="9"/>
  <c r="GY8" i="9"/>
  <c r="GZ8" i="9"/>
  <c r="HA8" i="9"/>
  <c r="HB8" i="9"/>
  <c r="HD8" i="9"/>
  <c r="HG8" i="9"/>
  <c r="HJ8" i="9"/>
  <c r="HN8" i="9"/>
  <c r="HO8" i="9"/>
  <c r="JA8" i="9"/>
  <c r="JF8" i="9"/>
  <c r="JG8" i="9"/>
  <c r="JH8" i="9"/>
  <c r="JI8" i="9"/>
  <c r="JJ8" i="9"/>
  <c r="JK8" i="9"/>
  <c r="JL8" i="9"/>
  <c r="JM8" i="9"/>
  <c r="JN8" i="9"/>
  <c r="JO8" i="9"/>
  <c r="JP8" i="9"/>
  <c r="JQ8" i="9"/>
  <c r="JR8" i="9"/>
  <c r="JS8" i="9"/>
  <c r="JT8" i="9"/>
  <c r="JU8" i="9"/>
  <c r="JV8" i="9"/>
  <c r="JW8" i="9"/>
  <c r="JX8" i="9"/>
  <c r="JY8" i="9"/>
  <c r="JZ8" i="9"/>
  <c r="KA8" i="9"/>
  <c r="KB8" i="9"/>
  <c r="KC8" i="9"/>
  <c r="KD8" i="9"/>
  <c r="KE8" i="9"/>
  <c r="KF8" i="9"/>
  <c r="KG8" i="9"/>
  <c r="KH8" i="9"/>
  <c r="KI8" i="9"/>
  <c r="KJ8" i="9"/>
  <c r="KK8" i="9"/>
  <c r="KL8" i="9"/>
  <c r="KM8" i="9"/>
  <c r="KN8" i="9"/>
  <c r="KO8" i="9"/>
  <c r="KP8" i="9"/>
  <c r="KQ8" i="9"/>
  <c r="KR8" i="9"/>
  <c r="KS8" i="9"/>
  <c r="KT8" i="9"/>
  <c r="KU8" i="9"/>
  <c r="KV8" i="9"/>
  <c r="KW8" i="9"/>
  <c r="KX8" i="9"/>
  <c r="KY8" i="9"/>
  <c r="KZ8" i="9"/>
  <c r="LA8" i="9"/>
  <c r="LB8" i="9"/>
  <c r="LC8" i="9"/>
  <c r="LD8" i="9"/>
  <c r="LE8" i="9"/>
  <c r="LF8" i="9"/>
  <c r="LG8" i="9"/>
  <c r="LH8" i="9"/>
  <c r="LI8" i="9"/>
  <c r="LJ8" i="9"/>
  <c r="LK8" i="9"/>
  <c r="LL8" i="9"/>
  <c r="LM8" i="9"/>
  <c r="LN8" i="9"/>
  <c r="LO8" i="9"/>
  <c r="LQ8" i="9"/>
  <c r="LR8" i="9"/>
  <c r="LS8" i="9"/>
  <c r="LT8" i="9"/>
  <c r="LU8" i="9"/>
  <c r="LV8" i="9"/>
  <c r="LW8" i="9"/>
  <c r="LX8" i="9"/>
  <c r="A10" i="9"/>
  <c r="CR126" i="9"/>
  <c r="CS126" i="9" s="1"/>
  <c r="CJ126" i="9"/>
  <c r="DI124" i="9"/>
  <c r="ED11" i="9"/>
  <c r="ED12" i="9" s="1"/>
  <c r="ED13" i="9" s="1"/>
  <c r="ED14" i="9" s="1"/>
  <c r="ED15" i="9" s="1"/>
  <c r="ED16" i="9" s="1"/>
  <c r="ED17" i="9" s="1"/>
  <c r="ED18" i="9" s="1"/>
  <c r="ED19" i="9" s="1"/>
  <c r="ED20" i="9" s="1"/>
  <c r="ED21" i="9" s="1"/>
  <c r="ED22" i="9" s="1"/>
  <c r="ED23" i="9" s="1"/>
  <c r="ED24" i="9" s="1"/>
  <c r="ED25" i="9" s="1"/>
  <c r="ED26" i="9" s="1"/>
  <c r="ED27" i="9" s="1"/>
  <c r="ED28" i="9" s="1"/>
  <c r="ED29" i="9" s="1"/>
  <c r="ED30" i="9" s="1"/>
  <c r="ED31" i="9" s="1"/>
  <c r="ED32" i="9" s="1"/>
  <c r="ED33" i="9" s="1"/>
  <c r="EX10" i="9"/>
  <c r="FC10" i="9"/>
  <c r="GH10" i="9"/>
  <c r="GN10" i="9"/>
  <c r="GS10" i="9"/>
  <c r="GU10" i="9"/>
  <c r="GV10" i="9"/>
  <c r="HM10" i="9"/>
  <c r="II10" i="9"/>
  <c r="IO10" i="9"/>
  <c r="IV10" i="9"/>
  <c r="LQ10" i="9"/>
  <c r="LR10" i="9"/>
  <c r="LS10" i="9"/>
  <c r="LT10" i="9"/>
  <c r="LU10" i="9"/>
  <c r="LV10" i="9"/>
  <c r="LW10" i="9"/>
  <c r="LX10" i="9"/>
  <c r="A11" i="9"/>
  <c r="E11" i="9" s="1"/>
  <c r="D11" i="9"/>
  <c r="P11" i="9"/>
  <c r="Y11" i="9"/>
  <c r="Z11" i="9"/>
  <c r="AA11" i="9"/>
  <c r="AB11" i="9"/>
  <c r="AC11" i="9"/>
  <c r="AD11" i="9"/>
  <c r="F6" i="122" s="1"/>
  <c r="AE11" i="9"/>
  <c r="AP11" i="9"/>
  <c r="AU11" i="9"/>
  <c r="AD6" i="122"/>
  <c r="AE6" i="122" s="1"/>
  <c r="BC11" i="9"/>
  <c r="BD11" i="9"/>
  <c r="BE11" i="9"/>
  <c r="BE12" i="9" s="1"/>
  <c r="BF11" i="9"/>
  <c r="BF12" i="9" s="1"/>
  <c r="BI11" i="9"/>
  <c r="BJ11" i="9" s="1"/>
  <c r="BM11" i="9"/>
  <c r="BU11" i="9"/>
  <c r="DM11" i="9"/>
  <c r="DM12" i="9" s="1"/>
  <c r="DM13" i="9" s="1"/>
  <c r="DM14" i="9" s="1"/>
  <c r="DM15" i="9" s="1"/>
  <c r="DM16" i="9" s="1"/>
  <c r="DM17" i="9" s="1"/>
  <c r="DM18" i="9" s="1"/>
  <c r="DN11" i="9"/>
  <c r="DN12" i="9" s="1"/>
  <c r="DN13" i="9" s="1"/>
  <c r="DN14" i="9" s="1"/>
  <c r="DN15" i="9" s="1"/>
  <c r="DN16" i="9" s="1"/>
  <c r="DN17" i="9" s="1"/>
  <c r="DN18" i="9" s="1"/>
  <c r="DO11" i="9"/>
  <c r="DO12" i="9" s="1"/>
  <c r="DO13" i="9" s="1"/>
  <c r="DO14" i="9" s="1"/>
  <c r="DO15" i="9" s="1"/>
  <c r="DO16" i="9" s="1"/>
  <c r="DO17" i="9" s="1"/>
  <c r="EA17" i="9" s="1"/>
  <c r="DP11" i="9"/>
  <c r="DP12" i="9" s="1"/>
  <c r="DP13" i="9" s="1"/>
  <c r="DP14" i="9" s="1"/>
  <c r="DP15" i="9" s="1"/>
  <c r="DP16" i="9" s="1"/>
  <c r="DP17" i="9" s="1"/>
  <c r="DU11" i="9"/>
  <c r="DV11" i="9"/>
  <c r="DZ11" i="9"/>
  <c r="DZ12" i="9" s="1"/>
  <c r="DZ13" i="9" s="1"/>
  <c r="EB11" i="9"/>
  <c r="EB12" i="9" s="1"/>
  <c r="EB13" i="9" s="1"/>
  <c r="EB14" i="9" s="1"/>
  <c r="EB15" i="9" s="1"/>
  <c r="EB16" i="9" s="1"/>
  <c r="EB17" i="9" s="1"/>
  <c r="EB18" i="9" s="1"/>
  <c r="EC11" i="9"/>
  <c r="EC12" i="9" s="1"/>
  <c r="EC13" i="9" s="1"/>
  <c r="EC14" i="9" s="1"/>
  <c r="EC15" i="9" s="1"/>
  <c r="EC16" i="9" s="1"/>
  <c r="EC17" i="9" s="1"/>
  <c r="EC18" i="9" s="1"/>
  <c r="EE11" i="9"/>
  <c r="EE12" i="9" s="1"/>
  <c r="EE13" i="9" s="1"/>
  <c r="EE14" i="9" s="1"/>
  <c r="EE15" i="9" s="1"/>
  <c r="EE16" i="9" s="1"/>
  <c r="EE17" i="9" s="1"/>
  <c r="EE18" i="9" s="1"/>
  <c r="EE19" i="9" s="1"/>
  <c r="EE20" i="9" s="1"/>
  <c r="EE21" i="9" s="1"/>
  <c r="EE22" i="9" s="1"/>
  <c r="EE23" i="9" s="1"/>
  <c r="EE24" i="9" s="1"/>
  <c r="EE25" i="9" s="1"/>
  <c r="EE26" i="9" s="1"/>
  <c r="EE27" i="9" s="1"/>
  <c r="EE28" i="9" s="1"/>
  <c r="EE29" i="9" s="1"/>
  <c r="EE30" i="9" s="1"/>
  <c r="EE31" i="9" s="1"/>
  <c r="EE32" i="9" s="1"/>
  <c r="EE33" i="9" s="1"/>
  <c r="EF11" i="9"/>
  <c r="EF12" i="9" s="1"/>
  <c r="EF13" i="9" s="1"/>
  <c r="EF14" i="9" s="1"/>
  <c r="EF15" i="9" s="1"/>
  <c r="EF16" i="9" s="1"/>
  <c r="EF17" i="9" s="1"/>
  <c r="EF18" i="9" s="1"/>
  <c r="EG11" i="9"/>
  <c r="EG12" i="9" s="1"/>
  <c r="EG13" i="9" s="1"/>
  <c r="EG14" i="9" s="1"/>
  <c r="EG15" i="9" s="1"/>
  <c r="EG16" i="9" s="1"/>
  <c r="EG17" i="9" s="1"/>
  <c r="EG18" i="9" s="1"/>
  <c r="EH11" i="9"/>
  <c r="EH12" i="9" s="1"/>
  <c r="EH13" i="9" s="1"/>
  <c r="EH14" i="9" s="1"/>
  <c r="EH15" i="9" s="1"/>
  <c r="EH16" i="9" s="1"/>
  <c r="EH17" i="9" s="1"/>
  <c r="EH18" i="9" s="1"/>
  <c r="EI11" i="9"/>
  <c r="EI12" i="9" s="1"/>
  <c r="EI13" i="9" s="1"/>
  <c r="EJ11" i="9"/>
  <c r="EK11" i="9"/>
  <c r="EL11" i="9"/>
  <c r="EL12" i="9" s="1"/>
  <c r="EL13" i="9" s="1"/>
  <c r="EM11" i="9"/>
  <c r="EM12" i="9" s="1"/>
  <c r="EM13" i="9" s="1"/>
  <c r="EN11" i="9"/>
  <c r="EN12" i="9" s="1"/>
  <c r="EN13" i="9" s="1"/>
  <c r="EO11" i="9"/>
  <c r="EO12" i="9" s="1"/>
  <c r="EO13" i="9" s="1"/>
  <c r="EQ11" i="9"/>
  <c r="EQ12" i="9" s="1"/>
  <c r="EQ13" i="9" s="1"/>
  <c r="EQ14" i="9" s="1"/>
  <c r="EQ15" i="9" s="1"/>
  <c r="EQ16" i="9" s="1"/>
  <c r="EQ17" i="9" s="1"/>
  <c r="EQ18" i="9" s="1"/>
  <c r="ET11" i="9"/>
  <c r="ET12" i="9" s="1"/>
  <c r="ET13" i="9" s="1"/>
  <c r="ET14" i="9" s="1"/>
  <c r="ET15" i="9" s="1"/>
  <c r="ET16" i="9" s="1"/>
  <c r="ET17" i="9" s="1"/>
  <c r="ET18" i="9" s="1"/>
  <c r="EU11" i="9"/>
  <c r="EU12" i="9" s="1"/>
  <c r="EU13" i="9" s="1"/>
  <c r="EU14" i="9" s="1"/>
  <c r="EU15" i="9" s="1"/>
  <c r="EU16" i="9" s="1"/>
  <c r="EU17" i="9" s="1"/>
  <c r="EU18" i="9" s="1"/>
  <c r="EV11" i="9"/>
  <c r="EV12" i="9" s="1"/>
  <c r="EV13" i="9" s="1"/>
  <c r="EV14" i="9" s="1"/>
  <c r="EV15" i="9" s="1"/>
  <c r="EV16" i="9" s="1"/>
  <c r="EV17" i="9" s="1"/>
  <c r="EV18" i="9" s="1"/>
  <c r="EW11" i="9"/>
  <c r="FA11" i="9"/>
  <c r="FA12" i="9" s="1"/>
  <c r="FA13" i="9" s="1"/>
  <c r="FA14" i="9" s="1"/>
  <c r="FA15" i="9" s="1"/>
  <c r="FA16" i="9" s="1"/>
  <c r="FA17" i="9" s="1"/>
  <c r="FA18" i="9" s="1"/>
  <c r="FB11" i="9"/>
  <c r="FH11" i="9"/>
  <c r="FH12" i="9" s="1"/>
  <c r="FH13" i="9" s="1"/>
  <c r="FH14" i="9" s="1"/>
  <c r="FH15" i="9" s="1"/>
  <c r="FI11" i="9"/>
  <c r="FI12" i="9" s="1"/>
  <c r="FI13" i="9" s="1"/>
  <c r="FI14" i="9" s="1"/>
  <c r="FI15" i="9" s="1"/>
  <c r="FJ11" i="9"/>
  <c r="FJ12" i="9" s="1"/>
  <c r="FJ13" i="9" s="1"/>
  <c r="FJ14" i="9" s="1"/>
  <c r="FJ15" i="9" s="1"/>
  <c r="FJ16" i="9" s="1"/>
  <c r="FJ17" i="9" s="1"/>
  <c r="FJ18" i="9" s="1"/>
  <c r="FK11" i="9"/>
  <c r="FK12" i="9" s="1"/>
  <c r="FK13" i="9" s="1"/>
  <c r="FK14" i="9" s="1"/>
  <c r="FK15" i="9" s="1"/>
  <c r="FK16" i="9" s="1"/>
  <c r="FK17" i="9" s="1"/>
  <c r="FK18" i="9" s="1"/>
  <c r="FT11" i="9"/>
  <c r="FU11" i="9"/>
  <c r="FU12" i="9" s="1"/>
  <c r="FU13" i="9" s="1"/>
  <c r="FU14" i="9" s="1"/>
  <c r="FU15" i="9" s="1"/>
  <c r="FU16" i="9" s="1"/>
  <c r="FU17" i="9" s="1"/>
  <c r="FU18" i="9" s="1"/>
  <c r="FW11" i="9"/>
  <c r="FW12" i="9" s="1"/>
  <c r="FW13" i="9" s="1"/>
  <c r="FW14" i="9" s="1"/>
  <c r="FW15" i="9" s="1"/>
  <c r="FX11" i="9"/>
  <c r="FX12" i="9" s="1"/>
  <c r="FX13" i="9" s="1"/>
  <c r="FX14" i="9" s="1"/>
  <c r="FX15" i="9" s="1"/>
  <c r="GD11" i="9"/>
  <c r="GD12" i="9" s="1"/>
  <c r="GD13" i="9" s="1"/>
  <c r="GD14" i="9" s="1"/>
  <c r="GD15" i="9" s="1"/>
  <c r="GD16" i="9" s="1"/>
  <c r="GD17" i="9" s="1"/>
  <c r="GD18" i="9" s="1"/>
  <c r="GG11" i="9"/>
  <c r="GH11" i="9" s="1"/>
  <c r="GI11" i="9"/>
  <c r="GI12" i="9" s="1"/>
  <c r="GI13" i="9" s="1"/>
  <c r="GI14" i="9" s="1"/>
  <c r="GI15" i="9" s="1"/>
  <c r="GI16" i="9" s="1"/>
  <c r="GI17" i="9" s="1"/>
  <c r="GI18" i="9" s="1"/>
  <c r="GJ11" i="9"/>
  <c r="GK11" i="9"/>
  <c r="GK12" i="9" s="1"/>
  <c r="GK13" i="9" s="1"/>
  <c r="GK14" i="9" s="1"/>
  <c r="GK15" i="9" s="1"/>
  <c r="GK16" i="9" s="1"/>
  <c r="GK17" i="9" s="1"/>
  <c r="GK18" i="9" s="1"/>
  <c r="GL11" i="9"/>
  <c r="GL12" i="9" s="1"/>
  <c r="GL13" i="9" s="1"/>
  <c r="GL14" i="9" s="1"/>
  <c r="GL15" i="9" s="1"/>
  <c r="GL16" i="9" s="1"/>
  <c r="GL17" i="9" s="1"/>
  <c r="GL18" i="9" s="1"/>
  <c r="GM11" i="9"/>
  <c r="GO11" i="9"/>
  <c r="GO12" i="9" s="1"/>
  <c r="GO13" i="9" s="1"/>
  <c r="GO14" i="9" s="1"/>
  <c r="GO15" i="9" s="1"/>
  <c r="GO16" i="9" s="1"/>
  <c r="GO17" i="9" s="1"/>
  <c r="GO18" i="9" s="1"/>
  <c r="GP11" i="9"/>
  <c r="GP12" i="9" s="1"/>
  <c r="GP13" i="9" s="1"/>
  <c r="GP14" i="9" s="1"/>
  <c r="GP15" i="9" s="1"/>
  <c r="GP16" i="9" s="1"/>
  <c r="GP17" i="9" s="1"/>
  <c r="GP18" i="9" s="1"/>
  <c r="GS11" i="9"/>
  <c r="GT11" i="9"/>
  <c r="GT12" i="9" s="1"/>
  <c r="GT13" i="9" s="1"/>
  <c r="GT14" i="9" s="1"/>
  <c r="GT15" i="9" s="1"/>
  <c r="GT16" i="9" s="1"/>
  <c r="GT17" i="9" s="1"/>
  <c r="GT18" i="9" s="1"/>
  <c r="GU11" i="9"/>
  <c r="GV11" i="9"/>
  <c r="GZ11" i="9"/>
  <c r="GZ12" i="9" s="1"/>
  <c r="GZ13" i="9" s="1"/>
  <c r="GZ14" i="9" s="1"/>
  <c r="GZ15" i="9" s="1"/>
  <c r="GZ16" i="9" s="1"/>
  <c r="GZ17" i="9" s="1"/>
  <c r="GZ18" i="9" s="1"/>
  <c r="HM11" i="9"/>
  <c r="II11" i="9"/>
  <c r="IO11" i="9"/>
  <c r="IP11" i="9"/>
  <c r="IR11" i="9"/>
  <c r="IR12" i="9" s="1"/>
  <c r="IR13" i="9" s="1"/>
  <c r="IR14" i="9" s="1"/>
  <c r="IR15" i="9" s="1"/>
  <c r="IR16" i="9" s="1"/>
  <c r="IR17" i="9" s="1"/>
  <c r="IR18" i="9" s="1"/>
  <c r="IS11" i="9"/>
  <c r="IS12" i="9" s="1"/>
  <c r="IS13" i="9" s="1"/>
  <c r="IS14" i="9" s="1"/>
  <c r="IS15" i="9" s="1"/>
  <c r="IS16" i="9" s="1"/>
  <c r="IS17" i="9" s="1"/>
  <c r="IS18" i="9" s="1"/>
  <c r="IT11" i="9"/>
  <c r="IU11" i="9"/>
  <c r="IU12" i="9" s="1"/>
  <c r="IU13" i="9" s="1"/>
  <c r="IU14" i="9" s="1"/>
  <c r="IU15" i="9" s="1"/>
  <c r="IU16" i="9" s="1"/>
  <c r="IU17" i="9" s="1"/>
  <c r="IU18" i="9" s="1"/>
  <c r="LQ11" i="9"/>
  <c r="LR11" i="9"/>
  <c r="LS11" i="9"/>
  <c r="LT11" i="9"/>
  <c r="LU11" i="9"/>
  <c r="LV11" i="9"/>
  <c r="LW11" i="9"/>
  <c r="LX11" i="9"/>
  <c r="A12" i="9"/>
  <c r="E12" i="9" s="1"/>
  <c r="D12" i="9"/>
  <c r="P12" i="9"/>
  <c r="Y12" i="9"/>
  <c r="Z12" i="9"/>
  <c r="AA12" i="9"/>
  <c r="AB12" i="9"/>
  <c r="AC12" i="9"/>
  <c r="AD12" i="9"/>
  <c r="F7" i="122" s="1"/>
  <c r="AE12" i="9"/>
  <c r="AU12" i="9"/>
  <c r="AD7" i="122"/>
  <c r="AE7" i="122" s="1"/>
  <c r="BM12" i="9"/>
  <c r="BU12" i="9"/>
  <c r="DW12" i="9"/>
  <c r="DW13" i="9" s="1"/>
  <c r="DW14" i="9" s="1"/>
  <c r="DX12" i="9"/>
  <c r="DX13" i="9" s="1"/>
  <c r="DX14" i="9" s="1"/>
  <c r="GS12" i="9"/>
  <c r="GU12" i="9"/>
  <c r="GV12" i="9"/>
  <c r="HM12" i="9"/>
  <c r="IA12" i="9"/>
  <c r="IB12" i="9"/>
  <c r="IE12" i="9"/>
  <c r="IO12" i="9"/>
  <c r="IP12" i="9"/>
  <c r="LQ12" i="9"/>
  <c r="LR12" i="9"/>
  <c r="LS12" i="9"/>
  <c r="LT12" i="9"/>
  <c r="LU12" i="9"/>
  <c r="LV12" i="9"/>
  <c r="LW12" i="9"/>
  <c r="LX12" i="9"/>
  <c r="A13" i="9"/>
  <c r="E13" i="9" s="1"/>
  <c r="D13" i="9"/>
  <c r="P13" i="9"/>
  <c r="Y13" i="9"/>
  <c r="Z13" i="9"/>
  <c r="AA13" i="9"/>
  <c r="AB13" i="9"/>
  <c r="AC13" i="9"/>
  <c r="AD13" i="9"/>
  <c r="F8" i="122" s="1"/>
  <c r="AN8" i="122" s="1"/>
  <c r="AE13" i="9"/>
  <c r="AP13" i="9"/>
  <c r="AU13" i="9"/>
  <c r="AD8" i="122"/>
  <c r="AE8" i="122" s="1"/>
  <c r="BG13" i="9"/>
  <c r="BM13" i="9"/>
  <c r="BU13" i="9"/>
  <c r="DQ13" i="9"/>
  <c r="DQ14" i="9" s="1"/>
  <c r="DQ15" i="9" s="1"/>
  <c r="DR13" i="9"/>
  <c r="DR14" i="9" s="1"/>
  <c r="DR15" i="9" s="1"/>
  <c r="DR16" i="9" s="1"/>
  <c r="EP13" i="9"/>
  <c r="EP14" i="9" s="1"/>
  <c r="EP15" i="9" s="1"/>
  <c r="EP16" i="9" s="1"/>
  <c r="EP17" i="9" s="1"/>
  <c r="EP18" i="9" s="1"/>
  <c r="FL13" i="9"/>
  <c r="FL14" i="9" s="1"/>
  <c r="FL15" i="9" s="1"/>
  <c r="FL16" i="9" s="1"/>
  <c r="FL17" i="9" s="1"/>
  <c r="FL18" i="9" s="1"/>
  <c r="FM13" i="9"/>
  <c r="FM14" i="9" s="1"/>
  <c r="FM15" i="9" s="1"/>
  <c r="FM16" i="9" s="1"/>
  <c r="FM17" i="9" s="1"/>
  <c r="FM18" i="9" s="1"/>
  <c r="GS13" i="9"/>
  <c r="GU13" i="9"/>
  <c r="GV13" i="9"/>
  <c r="HM13" i="9"/>
  <c r="HW13" i="9"/>
  <c r="HW14" i="9" s="1"/>
  <c r="HW15" i="9" s="1"/>
  <c r="HW16" i="9" s="1"/>
  <c r="HW17" i="9" s="1"/>
  <c r="HW18" i="9" s="1"/>
  <c r="IA13" i="9"/>
  <c r="IB13" i="9"/>
  <c r="IE13" i="9"/>
  <c r="IO13" i="9"/>
  <c r="IP13" i="9"/>
  <c r="LQ13" i="9"/>
  <c r="LR13" i="9"/>
  <c r="LS13" i="9"/>
  <c r="LT13" i="9"/>
  <c r="LU13" i="9"/>
  <c r="LV13" i="9"/>
  <c r="LW13" i="9"/>
  <c r="LX13" i="9"/>
  <c r="A14" i="9"/>
  <c r="E14" i="9" s="1"/>
  <c r="D14" i="9"/>
  <c r="Y14" i="9"/>
  <c r="Z14" i="9"/>
  <c r="AA14" i="9"/>
  <c r="AB14" i="9"/>
  <c r="AC14" i="9"/>
  <c r="AD14" i="9"/>
  <c r="F9" i="122" s="1"/>
  <c r="AN9" i="122" s="1"/>
  <c r="AE14" i="9"/>
  <c r="AP14" i="9"/>
  <c r="AU14" i="9"/>
  <c r="AD9" i="122"/>
  <c r="AE9" i="122" s="1"/>
  <c r="BD14" i="9"/>
  <c r="BD15" i="9" s="1"/>
  <c r="BD16" i="9" s="1"/>
  <c r="BD17" i="9" s="1"/>
  <c r="BD18" i="9" s="1"/>
  <c r="BE14" i="9"/>
  <c r="BE15" i="9" s="1"/>
  <c r="BF14" i="9"/>
  <c r="BF15" i="9" s="1"/>
  <c r="BF16" i="9" s="1"/>
  <c r="BF17" i="9" s="1"/>
  <c r="BM14" i="9"/>
  <c r="BU14" i="9"/>
  <c r="FR14" i="9"/>
  <c r="FR13" i="9" s="1"/>
  <c r="FR12" i="9" s="1"/>
  <c r="FR11" i="9" s="1"/>
  <c r="FR10" i="9" s="1"/>
  <c r="FV10" i="9" s="1"/>
  <c r="FS14" i="9"/>
  <c r="FS13" i="9" s="1"/>
  <c r="FS12" i="9" s="1"/>
  <c r="FS11" i="9" s="1"/>
  <c r="FS10" i="9" s="1"/>
  <c r="GS14" i="9"/>
  <c r="GU14" i="9"/>
  <c r="GV14" i="9"/>
  <c r="HM14" i="9"/>
  <c r="HU14" i="9"/>
  <c r="HU15" i="9" s="1"/>
  <c r="HU16" i="9" s="1"/>
  <c r="HU17" i="9" s="1"/>
  <c r="HU18" i="9" s="1"/>
  <c r="HV14" i="9"/>
  <c r="HV15" i="9" s="1"/>
  <c r="HV16" i="9" s="1"/>
  <c r="HV17" i="9" s="1"/>
  <c r="HV18" i="9" s="1"/>
  <c r="IA14" i="9"/>
  <c r="IB14" i="9"/>
  <c r="IE14" i="9"/>
  <c r="IO14" i="9"/>
  <c r="IP14" i="9"/>
  <c r="LQ14" i="9"/>
  <c r="LR14" i="9"/>
  <c r="LS14" i="9"/>
  <c r="LT14" i="9"/>
  <c r="LU14" i="9"/>
  <c r="LV14" i="9"/>
  <c r="LW14" i="9"/>
  <c r="LX14" i="9"/>
  <c r="A15" i="9"/>
  <c r="E15" i="9" s="1"/>
  <c r="D15" i="9"/>
  <c r="P15" i="9"/>
  <c r="Y15" i="9"/>
  <c r="Z15" i="9"/>
  <c r="AA15" i="9"/>
  <c r="AB15" i="9"/>
  <c r="AC15" i="9"/>
  <c r="AD15" i="9"/>
  <c r="F10" i="122" s="1"/>
  <c r="AN10" i="122" s="1"/>
  <c r="AE15" i="9"/>
  <c r="AU15" i="9"/>
  <c r="AD10" i="122"/>
  <c r="AE10" i="122" s="1"/>
  <c r="BC15" i="9"/>
  <c r="BC16" i="9" s="1"/>
  <c r="BM15" i="9"/>
  <c r="BU15" i="9"/>
  <c r="EI15" i="9"/>
  <c r="EI16" i="9" s="1"/>
  <c r="EI17" i="9" s="1"/>
  <c r="EI18" i="9" s="1"/>
  <c r="EL15" i="9"/>
  <c r="EL16" i="9" s="1"/>
  <c r="EL17" i="9" s="1"/>
  <c r="EL18" i="9" s="1"/>
  <c r="EM15" i="9"/>
  <c r="EM16" i="9" s="1"/>
  <c r="EM17" i="9" s="1"/>
  <c r="EM18" i="9" s="1"/>
  <c r="EN15" i="9"/>
  <c r="EN16" i="9" s="1"/>
  <c r="EN17" i="9" s="1"/>
  <c r="EN18" i="9" s="1"/>
  <c r="EO15" i="9"/>
  <c r="EO16" i="9" s="1"/>
  <c r="EO17" i="9" s="1"/>
  <c r="EO18" i="9" s="1"/>
  <c r="EY15" i="9"/>
  <c r="EY16" i="9" s="1"/>
  <c r="EY17" i="9" s="1"/>
  <c r="EY18" i="9" s="1"/>
  <c r="GS15" i="9"/>
  <c r="GU15" i="9"/>
  <c r="GV15" i="9"/>
  <c r="HM15" i="9"/>
  <c r="IA15" i="9"/>
  <c r="IB15" i="9"/>
  <c r="IE15" i="9"/>
  <c r="IO15" i="9"/>
  <c r="IP15" i="9"/>
  <c r="LQ15" i="9"/>
  <c r="LR15" i="9"/>
  <c r="LS15" i="9"/>
  <c r="LT15" i="9"/>
  <c r="LU15" i="9"/>
  <c r="LV15" i="9"/>
  <c r="LW15" i="9"/>
  <c r="LX15" i="9"/>
  <c r="A16" i="9"/>
  <c r="E16" i="9" s="1"/>
  <c r="D16" i="9"/>
  <c r="P16" i="9"/>
  <c r="Y16" i="9"/>
  <c r="Z16" i="9"/>
  <c r="AA16" i="9"/>
  <c r="AB16" i="9"/>
  <c r="AC16" i="9"/>
  <c r="AD16" i="9"/>
  <c r="F11" i="122" s="1"/>
  <c r="AN11" i="122" s="1"/>
  <c r="AE16" i="9"/>
  <c r="AP16" i="9"/>
  <c r="AU16" i="9"/>
  <c r="AD11" i="122"/>
  <c r="AE11" i="122" s="1"/>
  <c r="BM16" i="9"/>
  <c r="BU16" i="9"/>
  <c r="FG16" i="9"/>
  <c r="FG15" i="9" s="1"/>
  <c r="FG14" i="9" s="1"/>
  <c r="FG13" i="9" s="1"/>
  <c r="FG12" i="9" s="1"/>
  <c r="FG11" i="9" s="1"/>
  <c r="FG10" i="9" s="1"/>
  <c r="GS16" i="9"/>
  <c r="GU16" i="9"/>
  <c r="GV16" i="9"/>
  <c r="HM16" i="9"/>
  <c r="IA16" i="9"/>
  <c r="IB16" i="9"/>
  <c r="IE16" i="9"/>
  <c r="IO16" i="9"/>
  <c r="IP16" i="9"/>
  <c r="LQ16" i="9"/>
  <c r="LR16" i="9"/>
  <c r="LS16" i="9"/>
  <c r="LT16" i="9"/>
  <c r="LU16" i="9"/>
  <c r="LV16" i="9"/>
  <c r="LW16" i="9"/>
  <c r="LX16" i="9"/>
  <c r="A17" i="9"/>
  <c r="E17" i="9" s="1"/>
  <c r="D17" i="9"/>
  <c r="P17" i="9"/>
  <c r="Y17" i="9"/>
  <c r="Z17" i="9"/>
  <c r="AA17" i="9"/>
  <c r="AB17" i="9"/>
  <c r="AC17" i="9"/>
  <c r="AD17" i="9"/>
  <c r="F12" i="122" s="1"/>
  <c r="AN12" i="122" s="1"/>
  <c r="AE17" i="9"/>
  <c r="AP17" i="9"/>
  <c r="AU17" i="9"/>
  <c r="AD12" i="122"/>
  <c r="AE12" i="122" s="1"/>
  <c r="BM17" i="9"/>
  <c r="BU17" i="9"/>
  <c r="FH17" i="9"/>
  <c r="FH18" i="9" s="1"/>
  <c r="FI17" i="9"/>
  <c r="FI18" i="9" s="1"/>
  <c r="FP17" i="9"/>
  <c r="FP18" i="9" s="1"/>
  <c r="FQ17" i="9"/>
  <c r="FQ18" i="9" s="1"/>
  <c r="FW17" i="9"/>
  <c r="FW18" i="9" s="1"/>
  <c r="FX17" i="9"/>
  <c r="FX18" i="9" s="1"/>
  <c r="GS17" i="9"/>
  <c r="GU17" i="9"/>
  <c r="GV17" i="9"/>
  <c r="HM17" i="9"/>
  <c r="IA17" i="9"/>
  <c r="IB17" i="9"/>
  <c r="IE17" i="9"/>
  <c r="IO17" i="9"/>
  <c r="IP17" i="9"/>
  <c r="LQ17" i="9"/>
  <c r="LR17" i="9"/>
  <c r="LS17" i="9"/>
  <c r="LT17" i="9"/>
  <c r="LU17" i="9"/>
  <c r="LV17" i="9"/>
  <c r="LW17" i="9"/>
  <c r="LX17" i="9"/>
  <c r="A18" i="9"/>
  <c r="E18" i="9" s="1"/>
  <c r="D18" i="9"/>
  <c r="P18" i="9"/>
  <c r="Y18" i="9"/>
  <c r="Z18" i="9"/>
  <c r="AA18" i="9"/>
  <c r="AB18" i="9"/>
  <c r="AC18" i="9"/>
  <c r="AD18" i="9"/>
  <c r="F13" i="122" s="1"/>
  <c r="AN13" i="122" s="1"/>
  <c r="AE18" i="9"/>
  <c r="AP18" i="9"/>
  <c r="AU18" i="9"/>
  <c r="AD13" i="122"/>
  <c r="AE13" i="122" s="1"/>
  <c r="BC18" i="9"/>
  <c r="BM18" i="9"/>
  <c r="BU18" i="9"/>
  <c r="DK18" i="9"/>
  <c r="DL18" i="9"/>
  <c r="DW18" i="9"/>
  <c r="EA18" i="9" s="1"/>
  <c r="DX18" i="9"/>
  <c r="FF18" i="9"/>
  <c r="FG18" i="9"/>
  <c r="FN18" i="9"/>
  <c r="FO18" i="9"/>
  <c r="FR18" i="9"/>
  <c r="FS18" i="9"/>
  <c r="GS18" i="9"/>
  <c r="GU18" i="9"/>
  <c r="GV18" i="9"/>
  <c r="HM18" i="9"/>
  <c r="IA18" i="9"/>
  <c r="IB18" i="9"/>
  <c r="IE18" i="9"/>
  <c r="IO18" i="9"/>
  <c r="IP18" i="9"/>
  <c r="LQ18" i="9"/>
  <c r="LR18" i="9"/>
  <c r="LS18" i="9"/>
  <c r="LT18" i="9"/>
  <c r="LU18" i="9"/>
  <c r="LV18" i="9"/>
  <c r="LW18" i="9"/>
  <c r="LX18" i="9"/>
  <c r="E10" i="9" l="1"/>
  <c r="GJ12" i="9"/>
  <c r="GN11" i="9"/>
  <c r="CJ124" i="9"/>
  <c r="CJ125" i="9"/>
  <c r="CR124" i="9"/>
  <c r="CS124" i="9" s="1"/>
  <c r="CR125" i="9"/>
  <c r="CS125" i="9" s="1"/>
  <c r="CR123" i="9"/>
  <c r="CS123" i="9" s="1"/>
  <c r="CR122" i="9"/>
  <c r="CS122" i="9" s="1"/>
  <c r="CJ123" i="9"/>
  <c r="CJ122" i="9"/>
  <c r="ER91" i="9"/>
  <c r="ER92" i="9" s="1"/>
  <c r="DE93" i="9"/>
  <c r="DE94" i="9"/>
  <c r="DE95" i="9"/>
  <c r="DE96" i="9"/>
  <c r="DE97" i="9"/>
  <c r="BZ96" i="9"/>
  <c r="BZ97" i="9"/>
  <c r="BZ93" i="9"/>
  <c r="BZ94" i="9"/>
  <c r="BZ95" i="9"/>
  <c r="FC11" i="9"/>
  <c r="BG12" i="9"/>
  <c r="II14" i="9"/>
  <c r="GW15" i="9"/>
  <c r="EA11" i="9"/>
  <c r="GW17" i="9"/>
  <c r="II12" i="9"/>
  <c r="GG12" i="9"/>
  <c r="GG13" i="9" s="1"/>
  <c r="GG14" i="9" s="1"/>
  <c r="GH14" i="9" s="1"/>
  <c r="GW11" i="9"/>
  <c r="GW18" i="9"/>
  <c r="BG18" i="9"/>
  <c r="FB12" i="9"/>
  <c r="FC12" i="9" s="1"/>
  <c r="GW14" i="9"/>
  <c r="II13" i="9"/>
  <c r="II17" i="9"/>
  <c r="EA15" i="9"/>
  <c r="DQ16" i="9"/>
  <c r="EA16" i="9" s="1"/>
  <c r="BG15" i="9"/>
  <c r="BE16" i="9"/>
  <c r="BE17" i="9" s="1"/>
  <c r="BG17" i="9" s="1"/>
  <c r="EA14" i="9"/>
  <c r="II16" i="9"/>
  <c r="II18" i="9"/>
  <c r="GW16" i="9"/>
  <c r="II15" i="9"/>
  <c r="BG11" i="9"/>
  <c r="GW10" i="9"/>
  <c r="GM12" i="9"/>
  <c r="GM13" i="9" s="1"/>
  <c r="GM14" i="9" s="1"/>
  <c r="GM15" i="9" s="1"/>
  <c r="GM16" i="9" s="1"/>
  <c r="GM17" i="9" s="1"/>
  <c r="GM18" i="9" s="1"/>
  <c r="AP15" i="9"/>
  <c r="GW13" i="9"/>
  <c r="EA12" i="9"/>
  <c r="EA13" i="9"/>
  <c r="IV11" i="9"/>
  <c r="IT12" i="9"/>
  <c r="GW12" i="9"/>
  <c r="FV11" i="9"/>
  <c r="FT12" i="9"/>
  <c r="EX11" i="9"/>
  <c r="EW12" i="9"/>
  <c r="EW13" i="9" s="1"/>
  <c r="EW14" i="9" s="1"/>
  <c r="BG14" i="9"/>
  <c r="AP12" i="9"/>
  <c r="BI12" i="9"/>
  <c r="ER93" i="9" l="1"/>
  <c r="GN12" i="9"/>
  <c r="GJ13" i="9"/>
  <c r="GN13" i="9" s="1"/>
  <c r="GH12" i="9"/>
  <c r="GH13" i="9"/>
  <c r="GG15" i="9"/>
  <c r="GH15" i="9" s="1"/>
  <c r="FB13" i="9"/>
  <c r="FC13" i="9" s="1"/>
  <c r="BG16" i="9"/>
  <c r="FT13" i="9"/>
  <c r="FV12" i="9"/>
  <c r="BJ12" i="9"/>
  <c r="BI13" i="9"/>
  <c r="EX14" i="9"/>
  <c r="EW15" i="9"/>
  <c r="EX12" i="9"/>
  <c r="EX13" i="9"/>
  <c r="IT13" i="9"/>
  <c r="IV12" i="9"/>
  <c r="HN92" i="9"/>
  <c r="BT92" i="9"/>
  <c r="BT91" i="9"/>
  <c r="BU91" i="9" s="1"/>
  <c r="FC92" i="9"/>
  <c r="BR91" i="9"/>
  <c r="BI92" i="9"/>
  <c r="HN91" i="9"/>
  <c r="AB90" i="9"/>
  <c r="S90" i="9"/>
  <c r="HP91" i="9"/>
  <c r="HK91" i="9"/>
  <c r="HH91" i="9"/>
  <c r="GW91" i="9"/>
  <c r="FV91" i="9"/>
  <c r="FC91" i="9"/>
  <c r="EA91" i="9"/>
  <c r="BM91" i="9"/>
  <c r="BJ91" i="9"/>
  <c r="BG91" i="9"/>
  <c r="AU91" i="9"/>
  <c r="AP91" i="9"/>
  <c r="AD91" i="9"/>
  <c r="F86" i="122" s="1"/>
  <c r="AN86" i="122" s="1"/>
  <c r="AC91" i="9"/>
  <c r="AB91" i="9"/>
  <c r="AA91" i="9"/>
  <c r="Y91" i="9"/>
  <c r="P91" i="9"/>
  <c r="HP90" i="9"/>
  <c r="HN90" i="9"/>
  <c r="HK90" i="9"/>
  <c r="HH90" i="9"/>
  <c r="GW90" i="9"/>
  <c r="FV90" i="9"/>
  <c r="FC90" i="9"/>
  <c r="EA90" i="9"/>
  <c r="BT90" i="9"/>
  <c r="BU90" i="9" s="1"/>
  <c r="BM90" i="9"/>
  <c r="BJ90" i="9"/>
  <c r="BG90" i="9"/>
  <c r="AU90" i="9"/>
  <c r="AP90" i="9"/>
  <c r="AD90" i="9"/>
  <c r="F85" i="122" s="1"/>
  <c r="AN85" i="122" s="1"/>
  <c r="AC90" i="9"/>
  <c r="AA90" i="9"/>
  <c r="P90" i="9"/>
  <c r="HP89" i="9"/>
  <c r="HN89" i="9"/>
  <c r="HK89" i="9"/>
  <c r="HH89" i="9"/>
  <c r="GW89" i="9"/>
  <c r="FV89" i="9"/>
  <c r="FC89" i="9"/>
  <c r="EA89" i="9"/>
  <c r="BT89" i="9"/>
  <c r="BU89" i="9" s="1"/>
  <c r="BM89" i="9"/>
  <c r="BJ89" i="9"/>
  <c r="BG89" i="9"/>
  <c r="AU89" i="9"/>
  <c r="AP89" i="9"/>
  <c r="AE89" i="9"/>
  <c r="AD89" i="9"/>
  <c r="F84" i="122" s="1"/>
  <c r="AN84" i="122" s="1"/>
  <c r="AC89" i="9"/>
  <c r="AB89" i="9"/>
  <c r="AA89" i="9"/>
  <c r="Z89" i="9"/>
  <c r="Y89" i="9"/>
  <c r="P89" i="9"/>
  <c r="GJ14" i="9" l="1"/>
  <c r="DE91" i="9"/>
  <c r="J86" i="122"/>
  <c r="AP86" i="122" s="1"/>
  <c r="GG16" i="9"/>
  <c r="GH16" i="9" s="1"/>
  <c r="FB14" i="9"/>
  <c r="FC14" i="9" s="1"/>
  <c r="II90" i="9"/>
  <c r="IV13" i="9"/>
  <c r="IT14" i="9"/>
  <c r="EW16" i="9"/>
  <c r="EX15" i="9"/>
  <c r="BJ13" i="9"/>
  <c r="BI14" i="9"/>
  <c r="FV13" i="9"/>
  <c r="FT14" i="9"/>
  <c r="Y90" i="9"/>
  <c r="AE90" i="9"/>
  <c r="HM91" i="9"/>
  <c r="Z90" i="9"/>
  <c r="HM90" i="9"/>
  <c r="II91" i="9"/>
  <c r="II89" i="9"/>
  <c r="HM89" i="9"/>
  <c r="GN14" i="9" l="1"/>
  <c r="GJ15" i="9"/>
  <c r="GG17" i="9"/>
  <c r="GH17" i="9" s="1"/>
  <c r="FB15" i="9"/>
  <c r="FC15" i="9" s="1"/>
  <c r="BI15" i="9"/>
  <c r="BJ14" i="9"/>
  <c r="IT15" i="9"/>
  <c r="IV14" i="9"/>
  <c r="FV14" i="9"/>
  <c r="FT15" i="9"/>
  <c r="EW17" i="9"/>
  <c r="EX16" i="9"/>
  <c r="Z91" i="9"/>
  <c r="AE91" i="9"/>
  <c r="GN15" i="9" l="1"/>
  <c r="GJ16" i="9"/>
  <c r="GN16" i="9" s="1"/>
  <c r="GG18" i="9"/>
  <c r="GH18" i="9" s="1"/>
  <c r="FB16" i="9"/>
  <c r="FB17" i="9" s="1"/>
  <c r="EW18" i="9"/>
  <c r="EX18" i="9" s="1"/>
  <c r="EX17" i="9"/>
  <c r="GJ17" i="9"/>
  <c r="GN17" i="9" s="1"/>
  <c r="IT16" i="9"/>
  <c r="IV15" i="9"/>
  <c r="FV15" i="9"/>
  <c r="FT16" i="9"/>
  <c r="BI16" i="9"/>
  <c r="BJ15" i="9"/>
  <c r="FC16" i="9" l="1"/>
  <c r="BI17" i="9"/>
  <c r="BJ16" i="9"/>
  <c r="IT17" i="9"/>
  <c r="IV16" i="9"/>
  <c r="FC17" i="9"/>
  <c r="FB18" i="9"/>
  <c r="FC18" i="9" s="1"/>
  <c r="FV16" i="9"/>
  <c r="FT17" i="9"/>
  <c r="GJ18" i="9"/>
  <c r="GN18" i="9" s="1"/>
  <c r="IV17" i="9" l="1"/>
  <c r="IT18" i="9"/>
  <c r="IV18" i="9" s="1"/>
  <c r="FV17" i="9"/>
  <c r="FT18" i="9"/>
  <c r="BJ17" i="9"/>
  <c r="BI18" i="9"/>
  <c r="BJ18" i="9" s="1"/>
  <c r="FV18" i="9" l="1"/>
  <c r="HP88" i="9"/>
  <c r="HN88" i="9"/>
  <c r="HK88" i="9"/>
  <c r="HH88" i="9"/>
  <c r="GW88" i="9"/>
  <c r="FV88" i="9"/>
  <c r="FC88" i="9"/>
  <c r="EA88" i="9"/>
  <c r="BT88" i="9"/>
  <c r="BU88" i="9" s="1"/>
  <c r="BR88" i="9"/>
  <c r="BM88" i="9"/>
  <c r="BJ88" i="9"/>
  <c r="BG88" i="9"/>
  <c r="AU88" i="9"/>
  <c r="AP88" i="9"/>
  <c r="AE88" i="9"/>
  <c r="AD88" i="9"/>
  <c r="F83" i="122" s="1"/>
  <c r="AN83" i="122" s="1"/>
  <c r="AN140" i="122" s="1"/>
  <c r="AC88" i="9"/>
  <c r="AB88" i="9"/>
  <c r="AA88" i="9"/>
  <c r="Z88" i="9"/>
  <c r="Y88" i="9"/>
  <c r="P88" i="9"/>
  <c r="HN87" i="9"/>
  <c r="HP87" i="9"/>
  <c r="FC87" i="9"/>
  <c r="BR87" i="9"/>
  <c r="BT87" i="9"/>
  <c r="HN86" i="9"/>
  <c r="DE88" i="9" l="1"/>
  <c r="J83" i="122"/>
  <c r="AP83" i="122" s="1"/>
  <c r="AP140" i="122" s="1"/>
  <c r="DE87" i="9"/>
  <c r="J82" i="122"/>
  <c r="AP82" i="122" s="1"/>
  <c r="II88" i="9"/>
  <c r="HM88" i="9"/>
  <c r="W87" i="9"/>
  <c r="W86" i="9"/>
  <c r="W85" i="9"/>
  <c r="W84" i="9"/>
  <c r="FC86" i="9"/>
  <c r="BT86" i="9"/>
  <c r="BT85" i="9"/>
  <c r="HN85" i="9"/>
  <c r="S85" i="9" l="1"/>
  <c r="FC85" i="9"/>
  <c r="BU85" i="9" l="1"/>
  <c r="BT84" i="9"/>
  <c r="HN84" i="9"/>
  <c r="AE85" i="9" l="1"/>
  <c r="HP84" i="9"/>
  <c r="HK84" i="9"/>
  <c r="GW84" i="9"/>
  <c r="FV84" i="9"/>
  <c r="FC84" i="9"/>
  <c r="EA84" i="9"/>
  <c r="BU84" i="9"/>
  <c r="BM84" i="9"/>
  <c r="BJ84" i="9"/>
  <c r="BG84" i="9"/>
  <c r="AU84" i="9"/>
  <c r="AP84" i="9"/>
  <c r="AE119" i="9"/>
  <c r="AD119" i="9"/>
  <c r="F114" i="122" s="1"/>
  <c r="AN114" i="122" s="1"/>
  <c r="AB119" i="9"/>
  <c r="AA119" i="9"/>
  <c r="Z119" i="9"/>
  <c r="Y119" i="9"/>
  <c r="AE118" i="9"/>
  <c r="AD118" i="9"/>
  <c r="F113" i="122" s="1"/>
  <c r="AN113" i="122" s="1"/>
  <c r="AC118" i="9"/>
  <c r="AB118" i="9"/>
  <c r="AA118" i="9"/>
  <c r="Z118" i="9"/>
  <c r="Y118" i="9"/>
  <c r="AE117" i="9"/>
  <c r="AD117" i="9"/>
  <c r="F112" i="122" s="1"/>
  <c r="AN112" i="122" s="1"/>
  <c r="AC117" i="9"/>
  <c r="AB117" i="9"/>
  <c r="AA117" i="9"/>
  <c r="Z117" i="9"/>
  <c r="Y117" i="9"/>
  <c r="AE116" i="9"/>
  <c r="AD116" i="9"/>
  <c r="F111" i="122" s="1"/>
  <c r="AN111" i="122" s="1"/>
  <c r="AC116" i="9"/>
  <c r="AB116" i="9"/>
  <c r="AA116" i="9"/>
  <c r="Z116" i="9"/>
  <c r="Y116" i="9"/>
  <c r="AE115" i="9"/>
  <c r="AD115" i="9"/>
  <c r="F110" i="122" s="1"/>
  <c r="AN110" i="122" s="1"/>
  <c r="AC115" i="9"/>
  <c r="AB115" i="9"/>
  <c r="AA115" i="9"/>
  <c r="Z115" i="9"/>
  <c r="Y115" i="9"/>
  <c r="AE114" i="9"/>
  <c r="AD114" i="9"/>
  <c r="F109" i="122" s="1"/>
  <c r="AN109" i="122" s="1"/>
  <c r="AC114" i="9"/>
  <c r="AB114" i="9"/>
  <c r="AA114" i="9"/>
  <c r="Z114" i="9"/>
  <c r="Y114" i="9"/>
  <c r="AE113" i="9"/>
  <c r="AD113" i="9"/>
  <c r="F108" i="122" s="1"/>
  <c r="AN108" i="122" s="1"/>
  <c r="AC113" i="9"/>
  <c r="AB113" i="9"/>
  <c r="AA113" i="9"/>
  <c r="Z113" i="9"/>
  <c r="Y113" i="9"/>
  <c r="AE112" i="9"/>
  <c r="AD112" i="9"/>
  <c r="F107" i="122" s="1"/>
  <c r="AN107" i="122" s="1"/>
  <c r="AC112" i="9"/>
  <c r="AB112" i="9"/>
  <c r="AA112" i="9"/>
  <c r="Z112" i="9"/>
  <c r="Y112" i="9"/>
  <c r="AE111" i="9"/>
  <c r="AD111" i="9"/>
  <c r="F106" i="122" s="1"/>
  <c r="AN106" i="122" s="1"/>
  <c r="AC111" i="9"/>
  <c r="AB111" i="9"/>
  <c r="AA111" i="9"/>
  <c r="Z111" i="9"/>
  <c r="Y111" i="9"/>
  <c r="AE110" i="9"/>
  <c r="AD110" i="9"/>
  <c r="F105" i="122" s="1"/>
  <c r="AN105" i="122" s="1"/>
  <c r="AC110" i="9"/>
  <c r="AB110" i="9"/>
  <c r="AA110" i="9"/>
  <c r="Z110" i="9"/>
  <c r="Y110" i="9"/>
  <c r="AE109" i="9"/>
  <c r="AD109" i="9"/>
  <c r="F104" i="122" s="1"/>
  <c r="AN104" i="122" s="1"/>
  <c r="AC109" i="9"/>
  <c r="AB109" i="9"/>
  <c r="AA109" i="9"/>
  <c r="Z109" i="9"/>
  <c r="Y109" i="9"/>
  <c r="AE108" i="9"/>
  <c r="AD108" i="9"/>
  <c r="F103" i="122" s="1"/>
  <c r="AN103" i="122" s="1"/>
  <c r="AC108" i="9"/>
  <c r="AB108" i="9"/>
  <c r="AA108" i="9"/>
  <c r="Z108" i="9"/>
  <c r="Y108" i="9"/>
  <c r="AE107" i="9"/>
  <c r="AD107" i="9"/>
  <c r="F102" i="122" s="1"/>
  <c r="AN102" i="122" s="1"/>
  <c r="AC107" i="9"/>
  <c r="AB107" i="9"/>
  <c r="AA107" i="9"/>
  <c r="Z107" i="9"/>
  <c r="Y107" i="9"/>
  <c r="AE106" i="9"/>
  <c r="AD106" i="9"/>
  <c r="F101" i="122" s="1"/>
  <c r="AN101" i="122" s="1"/>
  <c r="AC106" i="9"/>
  <c r="AB106" i="9"/>
  <c r="AA106" i="9"/>
  <c r="Z106" i="9"/>
  <c r="Y106" i="9"/>
  <c r="AE105" i="9"/>
  <c r="AD105" i="9"/>
  <c r="F100" i="122" s="1"/>
  <c r="AN100" i="122" s="1"/>
  <c r="AC105" i="9"/>
  <c r="AB105" i="9"/>
  <c r="AA105" i="9"/>
  <c r="Z105" i="9"/>
  <c r="Y105" i="9"/>
  <c r="AE104" i="9"/>
  <c r="AD104" i="9"/>
  <c r="F99" i="122" s="1"/>
  <c r="AN99" i="122" s="1"/>
  <c r="AC104" i="9"/>
  <c r="AB104" i="9"/>
  <c r="AA104" i="9"/>
  <c r="Z104" i="9"/>
  <c r="Y104" i="9"/>
  <c r="AE103" i="9"/>
  <c r="AD103" i="9"/>
  <c r="F98" i="122" s="1"/>
  <c r="AN98" i="122" s="1"/>
  <c r="AC103" i="9"/>
  <c r="AB103" i="9"/>
  <c r="AA103" i="9"/>
  <c r="Z103" i="9"/>
  <c r="Y103" i="9"/>
  <c r="AE102" i="9"/>
  <c r="AD102" i="9"/>
  <c r="F97" i="122" s="1"/>
  <c r="AN97" i="122" s="1"/>
  <c r="AC102" i="9"/>
  <c r="AB102" i="9"/>
  <c r="AA102" i="9"/>
  <c r="Z102" i="9"/>
  <c r="Y102" i="9"/>
  <c r="AE101" i="9"/>
  <c r="AD101" i="9"/>
  <c r="F96" i="122" s="1"/>
  <c r="AN96" i="122" s="1"/>
  <c r="AC101" i="9"/>
  <c r="AB101" i="9"/>
  <c r="AA101" i="9"/>
  <c r="Z101" i="9"/>
  <c r="Y101" i="9"/>
  <c r="AE100" i="9"/>
  <c r="AD100" i="9"/>
  <c r="F95" i="122" s="1"/>
  <c r="AN95" i="122" s="1"/>
  <c r="AN141" i="122" s="1"/>
  <c r="AC100" i="9"/>
  <c r="AB100" i="9"/>
  <c r="AA100" i="9"/>
  <c r="Z100" i="9"/>
  <c r="Y100" i="9"/>
  <c r="AE99" i="9"/>
  <c r="AD99" i="9"/>
  <c r="F94" i="122" s="1"/>
  <c r="AN94" i="122" s="1"/>
  <c r="AC99" i="9"/>
  <c r="AB99" i="9"/>
  <c r="Z99" i="9"/>
  <c r="Y99" i="9"/>
  <c r="AE98" i="9"/>
  <c r="AD98" i="9"/>
  <c r="F93" i="122" s="1"/>
  <c r="AN93" i="122" s="1"/>
  <c r="AC98" i="9"/>
  <c r="AB98" i="9"/>
  <c r="AA98" i="9"/>
  <c r="Z98" i="9"/>
  <c r="Y98" i="9"/>
  <c r="AE97" i="9"/>
  <c r="AD97" i="9"/>
  <c r="F92" i="122" s="1"/>
  <c r="AN92" i="122" s="1"/>
  <c r="AC97" i="9"/>
  <c r="AB97" i="9"/>
  <c r="AA97" i="9"/>
  <c r="Z97" i="9"/>
  <c r="Y97" i="9"/>
  <c r="AE96" i="9"/>
  <c r="AD96" i="9"/>
  <c r="F91" i="122" s="1"/>
  <c r="AN91" i="122" s="1"/>
  <c r="AC96" i="9"/>
  <c r="AB96" i="9"/>
  <c r="AA96" i="9"/>
  <c r="Z96" i="9"/>
  <c r="Y96" i="9"/>
  <c r="AE95" i="9"/>
  <c r="AD95" i="9"/>
  <c r="F90" i="122" s="1"/>
  <c r="AN90" i="122" s="1"/>
  <c r="AC95" i="9"/>
  <c r="AB95" i="9"/>
  <c r="AA95" i="9"/>
  <c r="Z95" i="9"/>
  <c r="Y95" i="9"/>
  <c r="AE94" i="9"/>
  <c r="AD94" i="9"/>
  <c r="F89" i="122" s="1"/>
  <c r="AN89" i="122" s="1"/>
  <c r="AC94" i="9"/>
  <c r="AB94" i="9"/>
  <c r="AA94" i="9"/>
  <c r="Z94" i="9"/>
  <c r="Y94" i="9"/>
  <c r="AE93" i="9"/>
  <c r="AD93" i="9"/>
  <c r="F88" i="122" s="1"/>
  <c r="AN88" i="122" s="1"/>
  <c r="AC93" i="9"/>
  <c r="AB93" i="9"/>
  <c r="AA93" i="9"/>
  <c r="Z93" i="9"/>
  <c r="Y93" i="9"/>
  <c r="AE92" i="9"/>
  <c r="AD92" i="9"/>
  <c r="F87" i="122" s="1"/>
  <c r="AN87" i="122" s="1"/>
  <c r="AC92" i="9"/>
  <c r="AB92" i="9"/>
  <c r="AA92" i="9"/>
  <c r="Z92" i="9"/>
  <c r="Y92" i="9"/>
  <c r="AE87" i="9"/>
  <c r="AD87" i="9"/>
  <c r="F82" i="122" s="1"/>
  <c r="AN82" i="122" s="1"/>
  <c r="AC87" i="9"/>
  <c r="AB87" i="9"/>
  <c r="AA87" i="9"/>
  <c r="Z87" i="9"/>
  <c r="Y87" i="9"/>
  <c r="AE86" i="9"/>
  <c r="AD86" i="9"/>
  <c r="F81" i="122" s="1"/>
  <c r="AN81" i="122" s="1"/>
  <c r="AC86" i="9"/>
  <c r="AB86" i="9"/>
  <c r="AA86" i="9"/>
  <c r="Z86" i="9"/>
  <c r="Y86" i="9"/>
  <c r="AD85" i="9"/>
  <c r="F80" i="122" s="1"/>
  <c r="AN80" i="122" s="1"/>
  <c r="AC85" i="9"/>
  <c r="AB85" i="9"/>
  <c r="AA85" i="9"/>
  <c r="Z85" i="9"/>
  <c r="Y120" i="9"/>
  <c r="Z120" i="9"/>
  <c r="AA120" i="9"/>
  <c r="AB120" i="9"/>
  <c r="AD120" i="9"/>
  <c r="F115" i="122" s="1"/>
  <c r="AN115" i="122" s="1"/>
  <c r="AE120" i="9"/>
  <c r="AE84" i="9"/>
  <c r="P84" i="9"/>
  <c r="AN142" i="122" l="1"/>
  <c r="Y85" i="9"/>
  <c r="II84" i="9"/>
  <c r="HN83" i="9" l="1"/>
  <c r="HA82" i="9" l="1"/>
  <c r="HB89" i="9" l="1"/>
  <c r="HB90" i="9"/>
  <c r="HB91" i="9"/>
  <c r="HB84" i="9"/>
  <c r="HB88" i="9"/>
  <c r="W83" i="9"/>
  <c r="AE83" i="9" s="1"/>
  <c r="HP83" i="9"/>
  <c r="HK83" i="9"/>
  <c r="HH83" i="9"/>
  <c r="HB83" i="9"/>
  <c r="GW83" i="9"/>
  <c r="FV83" i="9"/>
  <c r="FC83" i="9"/>
  <c r="EA83" i="9"/>
  <c r="BT83" i="9"/>
  <c r="BU83" i="9" s="1"/>
  <c r="BM83" i="9"/>
  <c r="BJ83" i="9"/>
  <c r="BG83" i="9"/>
  <c r="AU83" i="9"/>
  <c r="AP83" i="9"/>
  <c r="AD83" i="9"/>
  <c r="F78" i="122" s="1"/>
  <c r="AN78" i="122" s="1"/>
  <c r="AB83" i="9"/>
  <c r="AA83" i="9"/>
  <c r="Z83" i="9"/>
  <c r="Y83" i="9"/>
  <c r="P83" i="9"/>
  <c r="CQ83" i="9"/>
  <c r="DE83" i="9" l="1"/>
  <c r="BZ83" i="9"/>
  <c r="AC83" i="9"/>
  <c r="II83" i="9"/>
  <c r="HM83" i="9"/>
  <c r="D85" i="3" l="1"/>
  <c r="D86" i="3"/>
  <c r="D87" i="3"/>
  <c r="D88" i="3"/>
  <c r="D89" i="3"/>
  <c r="D90" i="3"/>
  <c r="D91" i="3"/>
  <c r="D92" i="3"/>
  <c r="D93" i="3"/>
  <c r="D94" i="3"/>
  <c r="D95" i="3"/>
  <c r="C85" i="3"/>
  <c r="C86" i="3" s="1"/>
  <c r="C87" i="3" s="1"/>
  <c r="C88" i="3" s="1"/>
  <c r="C89" i="3" s="1"/>
  <c r="C90" i="3" s="1"/>
  <c r="C91" i="3" s="1"/>
  <c r="C92" i="3" s="1"/>
  <c r="C93" i="3" s="1"/>
  <c r="C94" i="3" s="1"/>
  <c r="C95" i="3" s="1"/>
  <c r="C96" i="3" s="1"/>
  <c r="C97" i="3" s="1"/>
  <c r="C98" i="3" s="1"/>
  <c r="C99" i="3" s="1"/>
  <c r="C100" i="3" s="1"/>
  <c r="C101" i="3" s="1"/>
  <c r="C102" i="3" s="1"/>
  <c r="C103" i="3" s="1"/>
  <c r="C104" i="3" s="1"/>
  <c r="C105" i="3" s="1"/>
  <c r="C106" i="3" s="1"/>
  <c r="C107" i="3" s="1"/>
  <c r="C108" i="3" s="1"/>
  <c r="C109" i="3" s="1"/>
  <c r="C110" i="3" s="1"/>
  <c r="C111" i="3" s="1"/>
  <c r="C112" i="3" s="1"/>
  <c r="C113" i="3" s="1"/>
  <c r="C114" i="3" s="1"/>
  <c r="C115" i="3" s="1"/>
  <c r="C116" i="3" s="1"/>
  <c r="C117" i="3" s="1"/>
  <c r="C118" i="3" s="1"/>
  <c r="C119" i="3" s="1"/>
  <c r="C120" i="3" s="1"/>
  <c r="C121" i="3" s="1"/>
  <c r="C122" i="3" s="1"/>
  <c r="C123" i="3" s="1"/>
  <c r="C124" i="3" s="1"/>
  <c r="C125" i="3" s="1"/>
  <c r="C126" i="3" s="1"/>
  <c r="C127" i="3" s="1"/>
  <c r="C128" i="3" s="1"/>
  <c r="C129" i="3" s="1"/>
  <c r="C130" i="3" s="1"/>
  <c r="C131" i="3" s="1"/>
  <c r="G95" i="3"/>
  <c r="G94" i="3"/>
  <c r="G93" i="3"/>
  <c r="G92" i="3"/>
  <c r="G91" i="3"/>
  <c r="G90" i="3"/>
  <c r="G89" i="3"/>
  <c r="G88" i="3"/>
  <c r="G87" i="3"/>
  <c r="G86" i="3"/>
  <c r="G85" i="3"/>
  <c r="G84" i="3"/>
  <c r="D84" i="3"/>
  <c r="HN82" i="9"/>
  <c r="W82" i="9" l="1"/>
  <c r="FC82" i="9"/>
  <c r="BT82" i="9"/>
  <c r="P82" i="9"/>
  <c r="HN81" i="9"/>
  <c r="BT81" i="9"/>
  <c r="BU81" i="9" s="1"/>
  <c r="II82" i="9" l="1"/>
  <c r="AL81" i="9"/>
  <c r="AK81" i="9"/>
  <c r="AJ81" i="9"/>
  <c r="AI81" i="9"/>
  <c r="D76" i="122" s="1"/>
  <c r="AM76" i="122" s="1"/>
  <c r="AM81" i="9" l="1"/>
  <c r="HN80" i="9" l="1"/>
  <c r="HN79" i="9"/>
  <c r="FC81" i="9" l="1"/>
  <c r="FC80" i="9"/>
  <c r="BT79" i="9"/>
  <c r="BT80" i="9"/>
  <c r="AG79" i="9" l="1"/>
  <c r="W81" i="9"/>
  <c r="W80" i="9"/>
  <c r="P74" i="122" l="1"/>
  <c r="AS74" i="122" s="1"/>
  <c r="HN77" i="9"/>
  <c r="HN78" i="9"/>
  <c r="FC79" i="9" l="1"/>
  <c r="FC78" i="9"/>
  <c r="FC77" i="9"/>
  <c r="BT78" i="9"/>
  <c r="BT77" i="9"/>
  <c r="BF77" i="9"/>
  <c r="BF78" i="9" s="1"/>
  <c r="BE77" i="9"/>
  <c r="BE78" i="9" s="1"/>
  <c r="AH79" i="9" l="1"/>
  <c r="W79" i="9" l="1"/>
  <c r="W78" i="9"/>
  <c r="CQ84" i="9" l="1"/>
  <c r="CQ82" i="9"/>
  <c r="CQ81" i="9"/>
  <c r="CQ80" i="9"/>
  <c r="CQ79" i="9"/>
  <c r="DE81" i="9" l="1"/>
  <c r="DE79" i="9"/>
  <c r="DE80" i="9"/>
  <c r="DE82" i="9"/>
  <c r="DE84" i="9"/>
  <c r="BZ81" i="9"/>
  <c r="BZ79" i="9"/>
  <c r="BZ80" i="9"/>
  <c r="BZ82" i="9"/>
  <c r="BZ84" i="9"/>
  <c r="HN76" i="9"/>
  <c r="HN75" i="9"/>
  <c r="FC76" i="9" l="1"/>
  <c r="BT76" i="9" l="1"/>
  <c r="BI76" i="9"/>
  <c r="BI77" i="9" s="1"/>
  <c r="BI78" i="9" s="1"/>
  <c r="BI79" i="9" s="1"/>
  <c r="BI80" i="9" s="1"/>
  <c r="BI81" i="9" s="1"/>
  <c r="BI82" i="9" s="1"/>
  <c r="W77" i="9"/>
  <c r="W76" i="9" l="1"/>
  <c r="W75" i="9"/>
  <c r="S76" i="9"/>
  <c r="S77" i="9" s="1"/>
  <c r="S78" i="9" s="1"/>
  <c r="LV74" i="9" l="1"/>
  <c r="LU74" i="9"/>
  <c r="LX74" i="9"/>
  <c r="LS74" i="9"/>
  <c r="LR74" i="9"/>
  <c r="LQ74" i="9"/>
  <c r="LT74" i="9"/>
  <c r="LW74" i="9"/>
  <c r="LV73" i="9" l="1"/>
  <c r="LV72" i="9"/>
  <c r="LX77" i="9"/>
  <c r="LW77" i="9"/>
  <c r="LV77" i="9"/>
  <c r="LU77" i="9"/>
  <c r="LT77" i="9"/>
  <c r="LS77" i="9"/>
  <c r="LR77" i="9"/>
  <c r="LQ77" i="9"/>
  <c r="LX76" i="9"/>
  <c r="LW76" i="9"/>
  <c r="LV76" i="9"/>
  <c r="LU76" i="9"/>
  <c r="LT76" i="9"/>
  <c r="LS76" i="9"/>
  <c r="LR76" i="9"/>
  <c r="LQ76" i="9"/>
  <c r="LX75" i="9"/>
  <c r="LW75" i="9"/>
  <c r="LV75" i="9"/>
  <c r="LU75" i="9"/>
  <c r="LT75" i="9"/>
  <c r="LS75" i="9"/>
  <c r="LR75" i="9"/>
  <c r="LQ75" i="9"/>
  <c r="LX73" i="9"/>
  <c r="LW73" i="9"/>
  <c r="LU73" i="9"/>
  <c r="LT73" i="9"/>
  <c r="LS73" i="9"/>
  <c r="LR73" i="9"/>
  <c r="LQ73" i="9"/>
  <c r="LX72" i="9"/>
  <c r="LW72" i="9"/>
  <c r="LU72" i="9"/>
  <c r="LT72" i="9"/>
  <c r="LS72" i="9"/>
  <c r="LR72" i="9"/>
  <c r="LQ72" i="9"/>
  <c r="LX71" i="9"/>
  <c r="LW71" i="9"/>
  <c r="LV71" i="9"/>
  <c r="LU71" i="9"/>
  <c r="LT71" i="9"/>
  <c r="LS71" i="9"/>
  <c r="LR71" i="9"/>
  <c r="LQ71" i="9"/>
  <c r="HN74" i="9" l="1"/>
  <c r="FC75" i="9" l="1"/>
  <c r="FC74" i="9"/>
  <c r="BT74" i="9"/>
  <c r="BT75" i="9"/>
  <c r="AU74" i="9" l="1"/>
  <c r="HN73" i="9" l="1"/>
  <c r="HN72" i="9"/>
  <c r="BT73" i="9"/>
  <c r="AU73" i="9" l="1"/>
  <c r="AP73" i="9"/>
  <c r="W74" i="9" l="1"/>
  <c r="FC73" i="9" l="1"/>
  <c r="FC72" i="9"/>
  <c r="BT71" i="9"/>
  <c r="BT72" i="9"/>
  <c r="W73" i="9" l="1"/>
  <c r="W72" i="9"/>
  <c r="D73" i="3" l="1"/>
  <c r="HG70" i="9"/>
  <c r="HH84" i="9" s="1"/>
  <c r="HM84" i="9" s="1"/>
  <c r="HN71" i="9" l="1"/>
  <c r="D72" i="3" l="1"/>
  <c r="D74" i="3"/>
  <c r="D75" i="3"/>
  <c r="D76" i="3"/>
  <c r="D77" i="3"/>
  <c r="D78" i="3"/>
  <c r="D79" i="3"/>
  <c r="D80" i="3"/>
  <c r="D81" i="3"/>
  <c r="D82" i="3"/>
  <c r="D83" i="3"/>
  <c r="HN70" i="9" l="1"/>
  <c r="FC70" i="9"/>
  <c r="FC71" i="9"/>
  <c r="IA70" i="9"/>
  <c r="IA69" i="9"/>
  <c r="IG69" i="9"/>
  <c r="W70" i="9" l="1"/>
  <c r="W71" i="9"/>
  <c r="W69" i="9"/>
  <c r="CQ71" i="9"/>
  <c r="CQ70" i="9"/>
  <c r="CQ69" i="9"/>
  <c r="DE69" i="9" l="1"/>
  <c r="DE70" i="9"/>
  <c r="DE71" i="9"/>
  <c r="BZ69" i="9"/>
  <c r="BZ70" i="9"/>
  <c r="BZ71" i="9"/>
  <c r="HN69" i="9"/>
  <c r="IG68" i="9" l="1"/>
  <c r="IE68" i="9"/>
  <c r="IA68" i="9"/>
  <c r="HY68" i="9"/>
  <c r="HN68" i="9"/>
  <c r="ER65" i="9" l="1"/>
  <c r="ER66" i="9" s="1"/>
  <c r="ER68" i="9"/>
  <c r="ER69" i="9" s="1"/>
  <c r="ER71" i="9" s="1"/>
  <c r="ER72" i="9" s="1"/>
  <c r="ER73" i="9" s="1"/>
  <c r="ER74" i="9" s="1"/>
  <c r="ER75" i="9" s="1"/>
  <c r="ER76" i="9" s="1"/>
  <c r="ER77" i="9" s="1"/>
  <c r="ER78" i="9" s="1"/>
  <c r="ER79" i="9" s="1"/>
  <c r="FC69" i="9"/>
  <c r="FC68" i="9"/>
  <c r="ER80" i="9" l="1"/>
  <c r="W68" i="9"/>
  <c r="ER81" i="9" l="1"/>
  <c r="IN66" i="9"/>
  <c r="FC67" i="9"/>
  <c r="ER67" i="9"/>
  <c r="S67" i="9" l="1"/>
  <c r="W67" i="9"/>
  <c r="HN67" i="9"/>
  <c r="BT66" i="9" l="1"/>
  <c r="HN66" i="9"/>
  <c r="FC66" i="9"/>
  <c r="S66" i="9"/>
  <c r="W66" i="9"/>
  <c r="IE67" i="9"/>
  <c r="IE66" i="9"/>
  <c r="IA67" i="9"/>
  <c r="IA66" i="9"/>
  <c r="HY67" i="9"/>
  <c r="HY66" i="9"/>
  <c r="IG67" i="9"/>
  <c r="IG66" i="9"/>
  <c r="AU66" i="9" l="1"/>
  <c r="AP66" i="9"/>
  <c r="HN65" i="9" l="1"/>
  <c r="BT65" i="9" l="1"/>
  <c r="S65" i="9"/>
  <c r="W65" i="9"/>
  <c r="FC65" i="9"/>
  <c r="IE65" i="9" l="1"/>
  <c r="IE64" i="9"/>
  <c r="IA65" i="9"/>
  <c r="IA64" i="9"/>
  <c r="HY65" i="9"/>
  <c r="HY64" i="9"/>
  <c r="IG65" i="9"/>
  <c r="IG64" i="9"/>
  <c r="HN64" i="9"/>
  <c r="BT64" i="9" l="1"/>
  <c r="W64" i="9" l="1"/>
  <c r="S64" i="9"/>
  <c r="IN63" i="9" l="1"/>
  <c r="Q18" i="3" l="1"/>
  <c r="HN63" i="9"/>
  <c r="BT63" i="9"/>
  <c r="BH63" i="9"/>
  <c r="BH64" i="9" s="1"/>
  <c r="BH65" i="9" s="1"/>
  <c r="BH66" i="9" s="1"/>
  <c r="BH67" i="9" s="1"/>
  <c r="BH68" i="9" s="1"/>
  <c r="BH69" i="9" s="1"/>
  <c r="BH70" i="9" s="1"/>
  <c r="BH71" i="9" s="1"/>
  <c r="AD63" i="9"/>
  <c r="F58" i="122" s="1"/>
  <c r="AN58" i="122" s="1"/>
  <c r="AB63" i="9"/>
  <c r="AA63" i="9"/>
  <c r="Z63" i="9"/>
  <c r="S63" i="9"/>
  <c r="W63" i="9"/>
  <c r="AC63" i="9" s="1"/>
  <c r="P63" i="9"/>
  <c r="HN62" i="9" l="1"/>
  <c r="IE63" i="9"/>
  <c r="IE62" i="9"/>
  <c r="IA63" i="9"/>
  <c r="IA62" i="9"/>
  <c r="HY63" i="9"/>
  <c r="HY62" i="9"/>
  <c r="IG63" i="9"/>
  <c r="IG62" i="9"/>
  <c r="BT62" i="9"/>
  <c r="BU62" i="9" s="1"/>
  <c r="BM63" i="9"/>
  <c r="BI62" i="9"/>
  <c r="BI63" i="9" s="1"/>
  <c r="BI64" i="9" s="1"/>
  <c r="BI65" i="9" s="1"/>
  <c r="BI66" i="9" s="1"/>
  <c r="BI67" i="9" s="1"/>
  <c r="BI68" i="9" s="1"/>
  <c r="BI69" i="9" s="1"/>
  <c r="BI70" i="9" s="1"/>
  <c r="BI71" i="9" s="1"/>
  <c r="BJ71" i="9" s="1"/>
  <c r="S62" i="9"/>
  <c r="Y62" i="9" s="1"/>
  <c r="W62" i="9"/>
  <c r="AC62" i="9" s="1"/>
  <c r="HN61" i="9"/>
  <c r="HN60" i="9"/>
  <c r="BD61" i="9"/>
  <c r="BC61" i="9"/>
  <c r="W61" i="9"/>
  <c r="AC61" i="9" s="1"/>
  <c r="S61" i="9"/>
  <c r="Y61" i="9" s="1"/>
  <c r="BM62" i="9"/>
  <c r="T14" i="3"/>
  <c r="Q14" i="3"/>
  <c r="Q22" i="3"/>
  <c r="T22" i="3"/>
  <c r="Q23" i="3"/>
  <c r="T23" i="3"/>
  <c r="T16" i="3"/>
  <c r="Q16" i="3"/>
  <c r="AA10" i="32"/>
  <c r="AA11" i="32"/>
  <c r="AA12" i="32"/>
  <c r="AA13" i="32"/>
  <c r="AA14" i="32"/>
  <c r="AA15" i="32"/>
  <c r="AA16" i="32" s="1"/>
  <c r="AA17" i="32" s="1"/>
  <c r="AA18" i="32" s="1"/>
  <c r="AA19" i="32" s="1"/>
  <c r="AA20" i="32" s="1"/>
  <c r="AA21" i="32" s="1"/>
  <c r="AA22" i="32" s="1"/>
  <c r="AA23" i="32" s="1"/>
  <c r="AA24" i="32" s="1"/>
  <c r="AA25" i="32" s="1"/>
  <c r="AA26" i="32" s="1"/>
  <c r="AA27" i="32" s="1"/>
  <c r="AA28" i="32" s="1"/>
  <c r="AA29" i="32" s="1"/>
  <c r="MW1" i="9"/>
  <c r="U18" i="3" s="1"/>
  <c r="MV1" i="9"/>
  <c r="U16" i="3" s="1"/>
  <c r="HG58" i="9"/>
  <c r="HH59" i="9" s="1"/>
  <c r="HD59" i="9"/>
  <c r="IE61" i="9"/>
  <c r="IE60" i="9"/>
  <c r="IA60" i="9"/>
  <c r="IA61" i="9"/>
  <c r="IG61" i="9"/>
  <c r="IG60" i="9"/>
  <c r="BT60" i="9"/>
  <c r="BR60" i="9"/>
  <c r="BP6" i="9"/>
  <c r="BQ6" i="9" s="1"/>
  <c r="BE60" i="9"/>
  <c r="BE61" i="9" s="1"/>
  <c r="BE62" i="9" s="1"/>
  <c r="W60" i="9"/>
  <c r="AC60" i="9" s="1"/>
  <c r="S60" i="9"/>
  <c r="CA60" i="9" s="1"/>
  <c r="GW58" i="9"/>
  <c r="AE129" i="9"/>
  <c r="AD129" i="9"/>
  <c r="F124" i="122" s="1"/>
  <c r="AN124" i="122" s="1"/>
  <c r="AB129" i="9"/>
  <c r="AA129" i="9"/>
  <c r="Z129" i="9"/>
  <c r="Y129" i="9"/>
  <c r="AE128" i="9"/>
  <c r="AB128" i="9"/>
  <c r="AA128" i="9"/>
  <c r="Z128" i="9"/>
  <c r="Y128" i="9"/>
  <c r="AE127" i="9"/>
  <c r="AB127" i="9"/>
  <c r="AA127" i="9"/>
  <c r="Z127" i="9"/>
  <c r="Y127" i="9"/>
  <c r="AD126" i="9"/>
  <c r="F121" i="122" s="1"/>
  <c r="AN121" i="122" s="1"/>
  <c r="AB126" i="9"/>
  <c r="AA126" i="9"/>
  <c r="Z126" i="9"/>
  <c r="Y126" i="9"/>
  <c r="AE125" i="9"/>
  <c r="AB125" i="9"/>
  <c r="AA125" i="9"/>
  <c r="Z125" i="9"/>
  <c r="Y125" i="9"/>
  <c r="AE124" i="9"/>
  <c r="AB124" i="9"/>
  <c r="AA124" i="9"/>
  <c r="Z124" i="9"/>
  <c r="Y124" i="9"/>
  <c r="AE123" i="9"/>
  <c r="AB123" i="9"/>
  <c r="AA123" i="9"/>
  <c r="Z123" i="9"/>
  <c r="Y123" i="9"/>
  <c r="AE122" i="9"/>
  <c r="AD122" i="9"/>
  <c r="F117" i="122" s="1"/>
  <c r="AN117" i="122" s="1"/>
  <c r="AB122" i="9"/>
  <c r="AA122" i="9"/>
  <c r="Z122" i="9"/>
  <c r="Y122" i="9"/>
  <c r="AE121" i="9"/>
  <c r="AD121" i="9"/>
  <c r="F116" i="122" s="1"/>
  <c r="AN116" i="122" s="1"/>
  <c r="AB121" i="9"/>
  <c r="AA121" i="9"/>
  <c r="Z121" i="9"/>
  <c r="Y121" i="9"/>
  <c r="AD84" i="9"/>
  <c r="F79" i="122" s="1"/>
  <c r="AN79" i="122" s="1"/>
  <c r="AC84" i="9"/>
  <c r="AB84" i="9"/>
  <c r="AA84" i="9"/>
  <c r="Z84" i="9"/>
  <c r="Y84" i="9"/>
  <c r="AE82" i="9"/>
  <c r="AD82" i="9"/>
  <c r="F77" i="122" s="1"/>
  <c r="AN77" i="122" s="1"/>
  <c r="AC82" i="9"/>
  <c r="AB82" i="9"/>
  <c r="AA82" i="9"/>
  <c r="Z82" i="9"/>
  <c r="Y82" i="9"/>
  <c r="AE81" i="9"/>
  <c r="AD81" i="9"/>
  <c r="F76" i="122" s="1"/>
  <c r="AN76" i="122" s="1"/>
  <c r="AC81" i="9"/>
  <c r="AB81" i="9"/>
  <c r="AA81" i="9"/>
  <c r="Z81" i="9"/>
  <c r="Y81" i="9"/>
  <c r="AE80" i="9"/>
  <c r="AD80" i="9"/>
  <c r="F75" i="122" s="1"/>
  <c r="AN75" i="122" s="1"/>
  <c r="AC80" i="9"/>
  <c r="AB80" i="9"/>
  <c r="AA80" i="9"/>
  <c r="Z80" i="9"/>
  <c r="Y80" i="9"/>
  <c r="AE79" i="9"/>
  <c r="AD79" i="9"/>
  <c r="F74" i="122" s="1"/>
  <c r="AN74" i="122" s="1"/>
  <c r="AC79" i="9"/>
  <c r="AB79" i="9"/>
  <c r="AA79" i="9"/>
  <c r="Z79" i="9"/>
  <c r="Y79" i="9"/>
  <c r="AE78" i="9"/>
  <c r="AD78" i="9"/>
  <c r="F73" i="122" s="1"/>
  <c r="AN73" i="122" s="1"/>
  <c r="AC78" i="9"/>
  <c r="AB78" i="9"/>
  <c r="AA78" i="9"/>
  <c r="Z78" i="9"/>
  <c r="Y78" i="9"/>
  <c r="AE77" i="9"/>
  <c r="AD77" i="9"/>
  <c r="F72" i="122" s="1"/>
  <c r="AN72" i="122" s="1"/>
  <c r="AC77" i="9"/>
  <c r="AB77" i="9"/>
  <c r="AA77" i="9"/>
  <c r="Z77" i="9"/>
  <c r="Y77" i="9"/>
  <c r="AE76" i="9"/>
  <c r="AD76" i="9"/>
  <c r="F71" i="122" s="1"/>
  <c r="AN71" i="122" s="1"/>
  <c r="AN139" i="122" s="1"/>
  <c r="AC76" i="9"/>
  <c r="AB76" i="9"/>
  <c r="AA76" i="9"/>
  <c r="Z76" i="9"/>
  <c r="Y76" i="9"/>
  <c r="AE75" i="9"/>
  <c r="AD75" i="9"/>
  <c r="F70" i="122" s="1"/>
  <c r="AN70" i="122" s="1"/>
  <c r="AC75" i="9"/>
  <c r="AB75" i="9"/>
  <c r="AA75" i="9"/>
  <c r="Z75" i="9"/>
  <c r="Y75" i="9"/>
  <c r="AE74" i="9"/>
  <c r="AD74" i="9"/>
  <c r="F69" i="122" s="1"/>
  <c r="AN69" i="122" s="1"/>
  <c r="AC74" i="9"/>
  <c r="AB74" i="9"/>
  <c r="AA74" i="9"/>
  <c r="Z74" i="9"/>
  <c r="Y74" i="9"/>
  <c r="AE73" i="9"/>
  <c r="AD73" i="9"/>
  <c r="F68" i="122" s="1"/>
  <c r="AN68" i="122" s="1"/>
  <c r="AC73" i="9"/>
  <c r="AB73" i="9"/>
  <c r="AA73" i="9"/>
  <c r="Z73" i="9"/>
  <c r="Y73" i="9"/>
  <c r="AE72" i="9"/>
  <c r="AD72" i="9"/>
  <c r="F67" i="122" s="1"/>
  <c r="AN67" i="122" s="1"/>
  <c r="AC72" i="9"/>
  <c r="AB72" i="9"/>
  <c r="AA72" i="9"/>
  <c r="Z72" i="9"/>
  <c r="Y72" i="9"/>
  <c r="AE71" i="9"/>
  <c r="AD71" i="9"/>
  <c r="F66" i="122" s="1"/>
  <c r="AN66" i="122" s="1"/>
  <c r="AC71" i="9"/>
  <c r="AB71" i="9"/>
  <c r="AA71" i="9"/>
  <c r="Z71" i="9"/>
  <c r="Y71" i="9"/>
  <c r="AE70" i="9"/>
  <c r="AD70" i="9"/>
  <c r="F65" i="122" s="1"/>
  <c r="AN65" i="122" s="1"/>
  <c r="AC70" i="9"/>
  <c r="AB70" i="9"/>
  <c r="AA70" i="9"/>
  <c r="Z70" i="9"/>
  <c r="Y70" i="9"/>
  <c r="AE69" i="9"/>
  <c r="AD69" i="9"/>
  <c r="F64" i="122" s="1"/>
  <c r="AN64" i="122" s="1"/>
  <c r="AC69" i="9"/>
  <c r="AB69" i="9"/>
  <c r="AA69" i="9"/>
  <c r="Z69" i="9"/>
  <c r="Y69" i="9"/>
  <c r="AE68" i="9"/>
  <c r="AD68" i="9"/>
  <c r="F63" i="122" s="1"/>
  <c r="AN63" i="122" s="1"/>
  <c r="AC68" i="9"/>
  <c r="AB68" i="9"/>
  <c r="AA68" i="9"/>
  <c r="Z68" i="9"/>
  <c r="Y68" i="9"/>
  <c r="AE67" i="9"/>
  <c r="AD67" i="9"/>
  <c r="F62" i="122" s="1"/>
  <c r="AN62" i="122" s="1"/>
  <c r="AC67" i="9"/>
  <c r="AB67" i="9"/>
  <c r="AA67" i="9"/>
  <c r="Z67" i="9"/>
  <c r="Y67" i="9"/>
  <c r="AE66" i="9"/>
  <c r="AD66" i="9"/>
  <c r="F61" i="122" s="1"/>
  <c r="AN61" i="122" s="1"/>
  <c r="AC66" i="9"/>
  <c r="AB66" i="9"/>
  <c r="AA66" i="9"/>
  <c r="Z66" i="9"/>
  <c r="Y66" i="9"/>
  <c r="AE65" i="9"/>
  <c r="AD65" i="9"/>
  <c r="F60" i="122" s="1"/>
  <c r="AN60" i="122" s="1"/>
  <c r="AC65" i="9"/>
  <c r="AB65" i="9"/>
  <c r="AA65" i="9"/>
  <c r="Z65" i="9"/>
  <c r="Y65" i="9"/>
  <c r="AE64" i="9"/>
  <c r="AD64" i="9"/>
  <c r="F59" i="122" s="1"/>
  <c r="AN59" i="122" s="1"/>
  <c r="AN138" i="122" s="1"/>
  <c r="AC64" i="9"/>
  <c r="AB64" i="9"/>
  <c r="AA64" i="9"/>
  <c r="Z64" i="9"/>
  <c r="Y64" i="9"/>
  <c r="AE63" i="9"/>
  <c r="Y63" i="9"/>
  <c r="AD62" i="9"/>
  <c r="F57" i="122" s="1"/>
  <c r="AN57" i="122" s="1"/>
  <c r="AB62" i="9"/>
  <c r="AA62" i="9"/>
  <c r="Z62" i="9"/>
  <c r="AD61" i="9"/>
  <c r="F56" i="122" s="1"/>
  <c r="AN56" i="122" s="1"/>
  <c r="AB61" i="9"/>
  <c r="AA61" i="9"/>
  <c r="Z61" i="9"/>
  <c r="AD60" i="9"/>
  <c r="F55" i="122" s="1"/>
  <c r="AN55" i="122" s="1"/>
  <c r="AB60" i="9"/>
  <c r="AA60" i="9"/>
  <c r="Z60" i="9"/>
  <c r="AA1" i="9"/>
  <c r="AD1" i="9"/>
  <c r="R13" i="3" s="1"/>
  <c r="AC1" i="9"/>
  <c r="AB1" i="9"/>
  <c r="Z1" i="9"/>
  <c r="Y1" i="9"/>
  <c r="AD59" i="9"/>
  <c r="F54" i="122" s="1"/>
  <c r="AN54" i="122" s="1"/>
  <c r="W59" i="9"/>
  <c r="AC59" i="9" s="1"/>
  <c r="AB59" i="9"/>
  <c r="AA59" i="9"/>
  <c r="Z59" i="9"/>
  <c r="S59" i="9"/>
  <c r="Y59" i="9" s="1"/>
  <c r="AD58" i="9"/>
  <c r="F53" i="122" s="1"/>
  <c r="AN53" i="122" s="1"/>
  <c r="W58" i="9"/>
  <c r="AC58" i="9" s="1"/>
  <c r="AB58" i="9"/>
  <c r="AA58" i="9"/>
  <c r="Z58" i="9"/>
  <c r="S58" i="9"/>
  <c r="AD57" i="9"/>
  <c r="F52" i="122" s="1"/>
  <c r="AN52" i="122" s="1"/>
  <c r="AC57" i="9"/>
  <c r="AB57" i="9"/>
  <c r="AA57" i="9"/>
  <c r="Z57" i="9"/>
  <c r="Y57" i="9"/>
  <c r="AD56" i="9"/>
  <c r="F51" i="122" s="1"/>
  <c r="AN51" i="122" s="1"/>
  <c r="AC56" i="9"/>
  <c r="AB56" i="9"/>
  <c r="AA56" i="9"/>
  <c r="Z56" i="9"/>
  <c r="Y56" i="9"/>
  <c r="AD55" i="9"/>
  <c r="F50" i="122" s="1"/>
  <c r="AN50" i="122" s="1"/>
  <c r="AC55" i="9"/>
  <c r="AB55" i="9"/>
  <c r="AA55" i="9"/>
  <c r="Z55" i="9"/>
  <c r="Y55" i="9"/>
  <c r="AD54" i="9"/>
  <c r="F49" i="122" s="1"/>
  <c r="AN49" i="122" s="1"/>
  <c r="AC54" i="9"/>
  <c r="AB54" i="9"/>
  <c r="AA54" i="9"/>
  <c r="Z54" i="9"/>
  <c r="Y54" i="9"/>
  <c r="AD53" i="9"/>
  <c r="F48" i="122" s="1"/>
  <c r="AN48" i="122" s="1"/>
  <c r="AC53" i="9"/>
  <c r="AB53" i="9"/>
  <c r="AA53" i="9"/>
  <c r="Z53" i="9"/>
  <c r="Y53" i="9"/>
  <c r="AD52" i="9"/>
  <c r="F47" i="122" s="1"/>
  <c r="AN47" i="122" s="1"/>
  <c r="AN137" i="122" s="1"/>
  <c r="AC52" i="9"/>
  <c r="AB52" i="9"/>
  <c r="AA52" i="9"/>
  <c r="Z52" i="9"/>
  <c r="Y52" i="9"/>
  <c r="AD51" i="9"/>
  <c r="F46" i="122" s="1"/>
  <c r="AN46" i="122" s="1"/>
  <c r="AC51" i="9"/>
  <c r="AB51" i="9"/>
  <c r="AA51" i="9"/>
  <c r="Z51" i="9"/>
  <c r="Y51" i="9"/>
  <c r="AD50" i="9"/>
  <c r="F45" i="122" s="1"/>
  <c r="AN45" i="122" s="1"/>
  <c r="AC50" i="9"/>
  <c r="AB50" i="9"/>
  <c r="AA50" i="9"/>
  <c r="Z50" i="9"/>
  <c r="Y50" i="9"/>
  <c r="AD49" i="9"/>
  <c r="F44" i="122" s="1"/>
  <c r="AN44" i="122" s="1"/>
  <c r="AC49" i="9"/>
  <c r="AB49" i="9"/>
  <c r="AA49" i="9"/>
  <c r="Z49" i="9"/>
  <c r="Y49" i="9"/>
  <c r="AD48" i="9"/>
  <c r="F43" i="122" s="1"/>
  <c r="AN43" i="122" s="1"/>
  <c r="AC48" i="9"/>
  <c r="AB48" i="9"/>
  <c r="AA48" i="9"/>
  <c r="Z48" i="9"/>
  <c r="Y48" i="9"/>
  <c r="AD47" i="9"/>
  <c r="F42" i="122" s="1"/>
  <c r="AN42" i="122" s="1"/>
  <c r="AC47" i="9"/>
  <c r="AB47" i="9"/>
  <c r="AA47" i="9"/>
  <c r="Z47" i="9"/>
  <c r="Y47" i="9"/>
  <c r="AD46" i="9"/>
  <c r="F41" i="122" s="1"/>
  <c r="AN41" i="122" s="1"/>
  <c r="AC46" i="9"/>
  <c r="AB46" i="9"/>
  <c r="AA46" i="9"/>
  <c r="Z46" i="9"/>
  <c r="Y46" i="9"/>
  <c r="AD45" i="9"/>
  <c r="F40" i="122" s="1"/>
  <c r="AN40" i="122" s="1"/>
  <c r="AC45" i="9"/>
  <c r="AB45" i="9"/>
  <c r="AA45" i="9"/>
  <c r="Z45" i="9"/>
  <c r="Y45" i="9"/>
  <c r="AD44" i="9"/>
  <c r="F39" i="122" s="1"/>
  <c r="AN39" i="122" s="1"/>
  <c r="AC44" i="9"/>
  <c r="AB44" i="9"/>
  <c r="AA44" i="9"/>
  <c r="Z44" i="9"/>
  <c r="Y44" i="9"/>
  <c r="AD43" i="9"/>
  <c r="F38" i="122" s="1"/>
  <c r="AN38" i="122" s="1"/>
  <c r="AC43" i="9"/>
  <c r="AB43" i="9"/>
  <c r="AA43" i="9"/>
  <c r="Z43" i="9"/>
  <c r="Y43" i="9"/>
  <c r="AD42" i="9"/>
  <c r="F37" i="122" s="1"/>
  <c r="AN37" i="122" s="1"/>
  <c r="AC42" i="9"/>
  <c r="AB42" i="9"/>
  <c r="AA42" i="9"/>
  <c r="Z42" i="9"/>
  <c r="Y42" i="9"/>
  <c r="AD41" i="9"/>
  <c r="F36" i="122" s="1"/>
  <c r="AN36" i="122" s="1"/>
  <c r="AC41" i="9"/>
  <c r="AB41" i="9"/>
  <c r="AA41" i="9"/>
  <c r="Z41" i="9"/>
  <c r="Y41" i="9"/>
  <c r="AD40" i="9"/>
  <c r="F35" i="122" s="1"/>
  <c r="AN35" i="122" s="1"/>
  <c r="AN136" i="122" s="1"/>
  <c r="AC40" i="9"/>
  <c r="AB40" i="9"/>
  <c r="AA40" i="9"/>
  <c r="Z40" i="9"/>
  <c r="Y40" i="9"/>
  <c r="AD39" i="9"/>
  <c r="F34" i="122" s="1"/>
  <c r="AN34" i="122" s="1"/>
  <c r="AC39" i="9"/>
  <c r="AB39" i="9"/>
  <c r="AA39" i="9"/>
  <c r="Z39" i="9"/>
  <c r="Y39" i="9"/>
  <c r="AD38" i="9"/>
  <c r="F33" i="122" s="1"/>
  <c r="AN33" i="122" s="1"/>
  <c r="AC38" i="9"/>
  <c r="AB38" i="9"/>
  <c r="AA38" i="9"/>
  <c r="Z38" i="9"/>
  <c r="Y38" i="9"/>
  <c r="AD37" i="9"/>
  <c r="F32" i="122" s="1"/>
  <c r="AN32" i="122" s="1"/>
  <c r="AC37" i="9"/>
  <c r="AB37" i="9"/>
  <c r="AA37" i="9"/>
  <c r="Z37" i="9"/>
  <c r="Y37" i="9"/>
  <c r="AD36" i="9"/>
  <c r="F31" i="122" s="1"/>
  <c r="AN31" i="122" s="1"/>
  <c r="AC36" i="9"/>
  <c r="AB36" i="9"/>
  <c r="AA36" i="9"/>
  <c r="Z36" i="9"/>
  <c r="Y36" i="9"/>
  <c r="AD35" i="9"/>
  <c r="F30" i="122" s="1"/>
  <c r="AN30" i="122" s="1"/>
  <c r="AC35" i="9"/>
  <c r="AB35" i="9"/>
  <c r="AA35" i="9"/>
  <c r="Z35" i="9"/>
  <c r="Y35" i="9"/>
  <c r="AD34" i="9"/>
  <c r="F29" i="122" s="1"/>
  <c r="AN29" i="122" s="1"/>
  <c r="AC34" i="9"/>
  <c r="AB34" i="9"/>
  <c r="AA34" i="9"/>
  <c r="Z34" i="9"/>
  <c r="Y34" i="9"/>
  <c r="AD33" i="9"/>
  <c r="F28" i="122" s="1"/>
  <c r="AN28" i="122" s="1"/>
  <c r="AC33" i="9"/>
  <c r="AB33" i="9"/>
  <c r="AA33" i="9"/>
  <c r="Z33" i="9"/>
  <c r="Y33" i="9"/>
  <c r="AD32" i="9"/>
  <c r="F27" i="122" s="1"/>
  <c r="AN27" i="122" s="1"/>
  <c r="AC32" i="9"/>
  <c r="AB32" i="9"/>
  <c r="AA32" i="9"/>
  <c r="Z32" i="9"/>
  <c r="Y32" i="9"/>
  <c r="AD31" i="9"/>
  <c r="F26" i="122" s="1"/>
  <c r="AN26" i="122" s="1"/>
  <c r="AC31" i="9"/>
  <c r="AB31" i="9"/>
  <c r="AA31" i="9"/>
  <c r="Z31" i="9"/>
  <c r="Y31" i="9"/>
  <c r="AD30" i="9"/>
  <c r="F25" i="122" s="1"/>
  <c r="AN25" i="122" s="1"/>
  <c r="AC30" i="9"/>
  <c r="AB30" i="9"/>
  <c r="AA30" i="9"/>
  <c r="Z30" i="9"/>
  <c r="Y30" i="9"/>
  <c r="AD29" i="9"/>
  <c r="F24" i="122" s="1"/>
  <c r="AN24" i="122" s="1"/>
  <c r="AC29" i="9"/>
  <c r="AB29" i="9"/>
  <c r="AA29" i="9"/>
  <c r="Z29" i="9"/>
  <c r="Y29" i="9"/>
  <c r="AD28" i="9"/>
  <c r="F23" i="122" s="1"/>
  <c r="AN23" i="122" s="1"/>
  <c r="AN135" i="122" s="1"/>
  <c r="AC28" i="9"/>
  <c r="AB28" i="9"/>
  <c r="AA28" i="9"/>
  <c r="Z28" i="9"/>
  <c r="Y28" i="9"/>
  <c r="AD27" i="9"/>
  <c r="F22" i="122" s="1"/>
  <c r="AN22" i="122" s="1"/>
  <c r="AC27" i="9"/>
  <c r="AB27" i="9"/>
  <c r="AA27" i="9"/>
  <c r="Z27" i="9"/>
  <c r="Y27" i="9"/>
  <c r="AD26" i="9"/>
  <c r="F21" i="122" s="1"/>
  <c r="AN21" i="122" s="1"/>
  <c r="AC26" i="9"/>
  <c r="AB26" i="9"/>
  <c r="AA26" i="9"/>
  <c r="Z26" i="9"/>
  <c r="Y26" i="9"/>
  <c r="AD25" i="9"/>
  <c r="F20" i="122" s="1"/>
  <c r="AN20" i="122" s="1"/>
  <c r="AC25" i="9"/>
  <c r="AB25" i="9"/>
  <c r="AA25" i="9"/>
  <c r="Z25" i="9"/>
  <c r="Y25" i="9"/>
  <c r="AD24" i="9"/>
  <c r="F19" i="122" s="1"/>
  <c r="AN19" i="122" s="1"/>
  <c r="AC24" i="9"/>
  <c r="AB24" i="9"/>
  <c r="AA24" i="9"/>
  <c r="Z24" i="9"/>
  <c r="Y24" i="9"/>
  <c r="AD23" i="9"/>
  <c r="F18" i="122" s="1"/>
  <c r="AN18" i="122" s="1"/>
  <c r="AC23" i="9"/>
  <c r="AB23" i="9"/>
  <c r="AA23" i="9"/>
  <c r="Z23" i="9"/>
  <c r="Y23" i="9"/>
  <c r="AD22" i="9"/>
  <c r="F17" i="122" s="1"/>
  <c r="AN17" i="122" s="1"/>
  <c r="AC22" i="9"/>
  <c r="AB22" i="9"/>
  <c r="AA22" i="9"/>
  <c r="Z22" i="9"/>
  <c r="Y22" i="9"/>
  <c r="AD21" i="9"/>
  <c r="F16" i="122" s="1"/>
  <c r="AN16" i="122" s="1"/>
  <c r="AC21" i="9"/>
  <c r="AB21" i="9"/>
  <c r="AA21" i="9"/>
  <c r="Z21" i="9"/>
  <c r="Y21" i="9"/>
  <c r="AD20" i="9"/>
  <c r="F15" i="122" s="1"/>
  <c r="AN15" i="122" s="1"/>
  <c r="AC20" i="9"/>
  <c r="AB20" i="9"/>
  <c r="AA20" i="9"/>
  <c r="Z20" i="9"/>
  <c r="Y20" i="9"/>
  <c r="AD19" i="9"/>
  <c r="F14" i="122" s="1"/>
  <c r="AN14" i="122" s="1"/>
  <c r="AC19" i="9"/>
  <c r="AB19" i="9"/>
  <c r="AA19" i="9"/>
  <c r="Z19" i="9"/>
  <c r="Y19" i="9"/>
  <c r="MS1" i="9"/>
  <c r="V5" i="32"/>
  <c r="AB5" i="32" s="1"/>
  <c r="AF5" i="32" s="1"/>
  <c r="Q11" i="3"/>
  <c r="Q12" i="3"/>
  <c r="Q13" i="3"/>
  <c r="R1" i="9"/>
  <c r="BE7" i="142" s="1"/>
  <c r="BF7" i="142" s="1"/>
  <c r="T11" i="3"/>
  <c r="LZ1" i="9"/>
  <c r="U11" i="3" s="1"/>
  <c r="BN1" i="9"/>
  <c r="BE14" i="142" s="1"/>
  <c r="BF14" i="142" s="1"/>
  <c r="T12" i="3"/>
  <c r="MM1" i="9"/>
  <c r="X1" i="9"/>
  <c r="T13" i="3"/>
  <c r="MG1" i="9"/>
  <c r="U13" i="3" s="1"/>
  <c r="U1" i="9"/>
  <c r="MH1" i="9"/>
  <c r="AI1" i="9"/>
  <c r="Q15" i="3"/>
  <c r="AN1" i="9"/>
  <c r="R15" i="3" s="1"/>
  <c r="T15" i="3"/>
  <c r="MR1" i="9"/>
  <c r="U15" i="3" s="1"/>
  <c r="AO1" i="9"/>
  <c r="MQ1" i="9"/>
  <c r="Q17" i="3"/>
  <c r="AS1" i="9"/>
  <c r="R17" i="3" s="1"/>
  <c r="T17" i="3"/>
  <c r="MD1" i="9"/>
  <c r="U17" i="3" s="1"/>
  <c r="AT1" i="9"/>
  <c r="ME1" i="9"/>
  <c r="Q19" i="3"/>
  <c r="AV1" i="9"/>
  <c r="BE19" i="142" s="1"/>
  <c r="BF19" i="142" s="1"/>
  <c r="T19" i="3"/>
  <c r="MP1" i="9"/>
  <c r="U19" i="3" s="1"/>
  <c r="Q20" i="3"/>
  <c r="AX1" i="9"/>
  <c r="R20" i="3" s="1"/>
  <c r="T20" i="3"/>
  <c r="MJ1" i="9"/>
  <c r="U20" i="3" s="1"/>
  <c r="Q21" i="3"/>
  <c r="AY1" i="9"/>
  <c r="R21" i="3" s="1"/>
  <c r="T21" i="3"/>
  <c r="MI1" i="9"/>
  <c r="U21" i="3" s="1"/>
  <c r="AZ1" i="9"/>
  <c r="ML1" i="9"/>
  <c r="BA1" i="9"/>
  <c r="R22" i="3" s="1"/>
  <c r="MK1" i="9"/>
  <c r="U22" i="3" s="1"/>
  <c r="BK1" i="9"/>
  <c r="R23" i="3" s="1"/>
  <c r="MB1" i="9"/>
  <c r="U23" i="3" s="1"/>
  <c r="Q24" i="3"/>
  <c r="BO1" i="9"/>
  <c r="R24" i="3" s="1"/>
  <c r="T24" i="3"/>
  <c r="MA1" i="9"/>
  <c r="U24" i="3" s="1"/>
  <c r="J31" i="32"/>
  <c r="A11" i="20"/>
  <c r="G11" i="20" s="1"/>
  <c r="D1" i="9"/>
  <c r="E1" i="9"/>
  <c r="F1" i="9"/>
  <c r="G1" i="9"/>
  <c r="BE5" i="142" s="1"/>
  <c r="BF5" i="142" s="1"/>
  <c r="H1" i="9"/>
  <c r="I1" i="9"/>
  <c r="J1" i="9"/>
  <c r="K1" i="9"/>
  <c r="L1" i="9"/>
  <c r="N1" i="9"/>
  <c r="O1" i="9"/>
  <c r="P1" i="9"/>
  <c r="BE6" i="142" s="1"/>
  <c r="BF6" i="142" s="1"/>
  <c r="Q1" i="9"/>
  <c r="S1" i="9"/>
  <c r="T1" i="9"/>
  <c r="V1" i="9"/>
  <c r="W1" i="9"/>
  <c r="AE1" i="9"/>
  <c r="BE12" i="142" s="1"/>
  <c r="BF12" i="142" s="1"/>
  <c r="AF1" i="9"/>
  <c r="BE16" i="142" s="1"/>
  <c r="BF16" i="142" s="1"/>
  <c r="AG1" i="9"/>
  <c r="BE24" i="142" s="1"/>
  <c r="BF24" i="142" s="1"/>
  <c r="AH1" i="9"/>
  <c r="R16" i="3" s="1"/>
  <c r="AJ1" i="9"/>
  <c r="AK1" i="9"/>
  <c r="R14" i="3" s="1"/>
  <c r="AL1" i="9"/>
  <c r="AM1" i="9"/>
  <c r="BE23" i="142" s="1"/>
  <c r="BF23" i="142" s="1"/>
  <c r="AP1" i="9"/>
  <c r="BE20" i="142" s="1"/>
  <c r="BF20" i="142" s="1"/>
  <c r="AQ1" i="9"/>
  <c r="AR1" i="9"/>
  <c r="AU1" i="9"/>
  <c r="BE10" i="142" s="1"/>
  <c r="BF10" i="142" s="1"/>
  <c r="AW1" i="9"/>
  <c r="BE15" i="142" s="1"/>
  <c r="BF15" i="142" s="1"/>
  <c r="BB1" i="9"/>
  <c r="BE13" i="142" s="1"/>
  <c r="BF13" i="142" s="1"/>
  <c r="BC1" i="9"/>
  <c r="BD1" i="9"/>
  <c r="BE1" i="9"/>
  <c r="BF1" i="9"/>
  <c r="BG1" i="9"/>
  <c r="BE11" i="142" s="1"/>
  <c r="BF11" i="142" s="1"/>
  <c r="BH1" i="9"/>
  <c r="BI1" i="9"/>
  <c r="BJ1" i="9"/>
  <c r="BE22" i="142" s="1"/>
  <c r="BF22" i="142" s="1"/>
  <c r="BL1" i="9"/>
  <c r="BM1" i="9"/>
  <c r="BE9" i="142" s="1"/>
  <c r="BF9" i="142" s="1"/>
  <c r="BP1" i="9"/>
  <c r="BE8" i="86"/>
  <c r="BF8" i="86" s="1"/>
  <c r="BR1" i="9"/>
  <c r="BE21" i="142" s="1"/>
  <c r="BF21" i="142" s="1"/>
  <c r="BS1" i="9"/>
  <c r="BT1" i="9"/>
  <c r="BU1" i="9"/>
  <c r="BE18" i="142" s="1"/>
  <c r="BV1" i="9"/>
  <c r="BE17" i="142" s="1"/>
  <c r="BF17" i="142" s="1"/>
  <c r="BX1" i="9"/>
  <c r="BY1" i="9"/>
  <c r="CE6" i="142" s="1"/>
  <c r="BZ1" i="9"/>
  <c r="CE7" i="142" s="1"/>
  <c r="CA1" i="9"/>
  <c r="CB1" i="9"/>
  <c r="CC1" i="9"/>
  <c r="CD1" i="9"/>
  <c r="CE1" i="9"/>
  <c r="CF1" i="9"/>
  <c r="CG1" i="9"/>
  <c r="CE12" i="142" s="1"/>
  <c r="CH1" i="9"/>
  <c r="CE16" i="142" s="1"/>
  <c r="CI1" i="9"/>
  <c r="CE19" i="142" s="1"/>
  <c r="CJ1" i="9"/>
  <c r="CE15" i="142" s="1"/>
  <c r="CK1" i="9"/>
  <c r="CL1" i="9"/>
  <c r="CM1" i="9"/>
  <c r="CN1" i="9"/>
  <c r="CO1" i="9"/>
  <c r="CE13" i="142" s="1"/>
  <c r="CP1" i="9"/>
  <c r="CE23" i="142" s="1"/>
  <c r="CQ1" i="9"/>
  <c r="CR1" i="9"/>
  <c r="CS1" i="9"/>
  <c r="CE20" i="142" s="1"/>
  <c r="CT1" i="9"/>
  <c r="CU1" i="9"/>
  <c r="CV1" i="9"/>
  <c r="CW1" i="9"/>
  <c r="CX1" i="9"/>
  <c r="CE10" i="142" s="1"/>
  <c r="CY1" i="9"/>
  <c r="CE24" i="142" s="1"/>
  <c r="CZ1" i="9"/>
  <c r="CE11" i="142" s="1"/>
  <c r="DA1" i="9"/>
  <c r="CE22" i="142" s="1"/>
  <c r="DB1" i="9"/>
  <c r="CE9" i="142" s="1"/>
  <c r="DC1" i="9"/>
  <c r="CE14" i="142" s="1"/>
  <c r="DD1" i="9"/>
  <c r="CE21" i="142" s="1"/>
  <c r="DE1" i="9"/>
  <c r="DF1" i="9"/>
  <c r="DG1" i="9"/>
  <c r="CE8" i="142" s="1"/>
  <c r="DH1" i="9"/>
  <c r="CE17" i="142" s="1"/>
  <c r="DI1" i="9"/>
  <c r="CE18" i="142" s="1"/>
  <c r="DK1" i="9"/>
  <c r="BK6" i="142" s="1"/>
  <c r="DL1" i="9"/>
  <c r="DM1" i="9"/>
  <c r="BK7" i="142" s="1"/>
  <c r="DN1" i="9"/>
  <c r="DO1" i="9"/>
  <c r="DP1" i="9"/>
  <c r="DQ1" i="9"/>
  <c r="DR1" i="9"/>
  <c r="DS1" i="9"/>
  <c r="DT1" i="9"/>
  <c r="DU1" i="9"/>
  <c r="DV1" i="9"/>
  <c r="DW1" i="9"/>
  <c r="DX1" i="9"/>
  <c r="DY1" i="9"/>
  <c r="DZ1" i="9"/>
  <c r="EA1" i="9"/>
  <c r="BK12" i="142" s="1"/>
  <c r="EB1" i="9"/>
  <c r="BK16" i="142" s="1"/>
  <c r="EC1" i="9"/>
  <c r="ED1" i="9"/>
  <c r="BK24" i="142" s="1"/>
  <c r="EE1" i="9"/>
  <c r="EF1" i="9"/>
  <c r="BK23" i="142" s="1"/>
  <c r="EG1" i="9"/>
  <c r="EH1" i="9"/>
  <c r="BK9" i="142" s="1"/>
  <c r="EI1" i="9"/>
  <c r="EJ1" i="9"/>
  <c r="BK21" i="142" s="1"/>
  <c r="EK1" i="9"/>
  <c r="EL1" i="9"/>
  <c r="BK18" i="142" s="1"/>
  <c r="EM1" i="9"/>
  <c r="EN1" i="9"/>
  <c r="BK14" i="142" s="1"/>
  <c r="EO1" i="9"/>
  <c r="EP1" i="9"/>
  <c r="BK8" i="142" s="1"/>
  <c r="EQ1" i="9"/>
  <c r="BK17" i="142" s="1"/>
  <c r="ER1" i="9"/>
  <c r="BK10" i="142" s="1"/>
  <c r="ES1" i="9"/>
  <c r="BK11" i="142" s="1"/>
  <c r="ET1" i="9"/>
  <c r="EU1" i="9"/>
  <c r="EV1" i="9"/>
  <c r="EW1" i="9"/>
  <c r="EX1" i="9"/>
  <c r="BK13" i="142" s="1"/>
  <c r="EY1" i="9"/>
  <c r="BK15" i="142" s="1"/>
  <c r="EZ1" i="9"/>
  <c r="BK19" i="142" s="1"/>
  <c r="FA1" i="9"/>
  <c r="FB1" i="9"/>
  <c r="FC1" i="9"/>
  <c r="BK20" i="142" s="1"/>
  <c r="FD1" i="9"/>
  <c r="BK22" i="142" s="1"/>
  <c r="FF1" i="9"/>
  <c r="BO6" i="142" s="1"/>
  <c r="FG1" i="9"/>
  <c r="FH1" i="9"/>
  <c r="BO7" i="142" s="1"/>
  <c r="FI1" i="9"/>
  <c r="FJ1" i="9"/>
  <c r="FK1" i="9"/>
  <c r="FL1" i="9"/>
  <c r="FM1" i="9"/>
  <c r="FN1" i="9"/>
  <c r="FO1" i="9"/>
  <c r="FP1" i="9"/>
  <c r="FQ1" i="9"/>
  <c r="FR1" i="9"/>
  <c r="FS1" i="9"/>
  <c r="FT1" i="9"/>
  <c r="FU1" i="9"/>
  <c r="FV1" i="9"/>
  <c r="BO12" i="142" s="1"/>
  <c r="FW1" i="9"/>
  <c r="BO16" i="142" s="1"/>
  <c r="FX1" i="9"/>
  <c r="FY1" i="9"/>
  <c r="FZ1" i="9"/>
  <c r="BO24" i="142" s="1"/>
  <c r="GA1" i="9"/>
  <c r="GB1" i="9"/>
  <c r="BO23" i="142" s="1"/>
  <c r="GC1" i="9"/>
  <c r="GD1" i="9"/>
  <c r="GE1" i="9"/>
  <c r="GF1" i="9"/>
  <c r="GG1" i="9"/>
  <c r="GH1" i="9"/>
  <c r="BO10" i="142" s="1"/>
  <c r="GI1" i="9"/>
  <c r="BO11" i="142" s="1"/>
  <c r="GJ1" i="9"/>
  <c r="GK1" i="9"/>
  <c r="GL1" i="9"/>
  <c r="GM1" i="9"/>
  <c r="GN1" i="9"/>
  <c r="BO13" i="142" s="1"/>
  <c r="GO1" i="9"/>
  <c r="BO15" i="142" s="1"/>
  <c r="GP1" i="9"/>
  <c r="BO17" i="142" s="1"/>
  <c r="GQ1" i="9"/>
  <c r="GR1" i="9"/>
  <c r="GS1" i="9"/>
  <c r="BO18" i="142" s="1"/>
  <c r="GT1" i="9"/>
  <c r="BO19" i="142" s="1"/>
  <c r="GU1" i="9"/>
  <c r="GV1" i="9"/>
  <c r="GW1" i="9"/>
  <c r="BO20" i="142" s="1"/>
  <c r="GX1" i="9"/>
  <c r="BO22" i="142" s="1"/>
  <c r="GY1" i="9"/>
  <c r="GZ1" i="9"/>
  <c r="HA1" i="9"/>
  <c r="HB1" i="9"/>
  <c r="BO9" i="142" s="1"/>
  <c r="HC1" i="9"/>
  <c r="HD1" i="9"/>
  <c r="HE1" i="9"/>
  <c r="BO21" i="142" s="1"/>
  <c r="HF1" i="9"/>
  <c r="HG1" i="9"/>
  <c r="HH1" i="9"/>
  <c r="HI1" i="9"/>
  <c r="HJ1" i="9"/>
  <c r="HK1" i="9"/>
  <c r="HL1" i="9"/>
  <c r="HM1" i="9"/>
  <c r="BO8" i="142" s="1"/>
  <c r="HN1" i="9"/>
  <c r="HO1" i="9"/>
  <c r="HP1" i="9"/>
  <c r="BO14" i="142" s="1"/>
  <c r="HQ1" i="9"/>
  <c r="HS1" i="9"/>
  <c r="CA6" i="142" s="1"/>
  <c r="HT1" i="9"/>
  <c r="HU1" i="9"/>
  <c r="CA7" i="142" s="1"/>
  <c r="HV1" i="9"/>
  <c r="HW1" i="9"/>
  <c r="HX1" i="9"/>
  <c r="HY1" i="9"/>
  <c r="HZ1" i="9"/>
  <c r="IA1" i="9"/>
  <c r="IB1" i="9"/>
  <c r="IC1" i="9"/>
  <c r="ID1" i="9"/>
  <c r="IE1" i="9"/>
  <c r="IF1" i="9"/>
  <c r="IG1" i="9"/>
  <c r="IH1" i="9"/>
  <c r="II1" i="9"/>
  <c r="CA12" i="142" s="1"/>
  <c r="IJ1" i="9"/>
  <c r="CA16" i="142" s="1"/>
  <c r="IK1" i="9"/>
  <c r="IL1" i="9"/>
  <c r="CA8" i="142" s="1"/>
  <c r="IM1" i="9"/>
  <c r="CA9" i="142" s="1"/>
  <c r="IN1" i="9"/>
  <c r="CA14" i="142" s="1"/>
  <c r="IO1" i="9"/>
  <c r="CA21" i="142" s="1"/>
  <c r="IP1" i="9"/>
  <c r="CA24" i="142" s="1"/>
  <c r="IQ1" i="9"/>
  <c r="CA23" i="142" s="1"/>
  <c r="IR1" i="9"/>
  <c r="IS1" i="9"/>
  <c r="IT1" i="9"/>
  <c r="IU1" i="9"/>
  <c r="IV1" i="9"/>
  <c r="CA10" i="142" s="1"/>
  <c r="IW1" i="9"/>
  <c r="CA11" i="142" s="1"/>
  <c r="IX1" i="9"/>
  <c r="CA13" i="142" s="1"/>
  <c r="IY1" i="9"/>
  <c r="CA15" i="142" s="1"/>
  <c r="IZ1" i="9"/>
  <c r="CA17" i="142" s="1"/>
  <c r="JA1" i="9"/>
  <c r="CA18" i="142" s="1"/>
  <c r="JB1" i="9"/>
  <c r="CA19" i="142" s="1"/>
  <c r="JC1" i="9"/>
  <c r="CA20" i="142" s="1"/>
  <c r="JD1" i="9"/>
  <c r="CA22" i="142" s="1"/>
  <c r="JF1" i="9"/>
  <c r="BS6" i="142" s="1"/>
  <c r="JG1" i="9"/>
  <c r="BS7" i="142" s="1"/>
  <c r="JH1" i="9"/>
  <c r="JI1" i="9"/>
  <c r="JJ1" i="9"/>
  <c r="JK1" i="9"/>
  <c r="BS16" i="142" s="1"/>
  <c r="JL1" i="9"/>
  <c r="JM1" i="9"/>
  <c r="JN1" i="9"/>
  <c r="JO1" i="9"/>
  <c r="BS19" i="142" s="1"/>
  <c r="JP1" i="9"/>
  <c r="BS15" i="142" s="1"/>
  <c r="JQ1" i="9"/>
  <c r="JR1" i="9"/>
  <c r="JS1" i="9"/>
  <c r="JT1" i="9"/>
  <c r="JU1" i="9"/>
  <c r="BS23" i="142" s="1"/>
  <c r="JV1" i="9"/>
  <c r="JW1" i="9"/>
  <c r="JX1" i="9"/>
  <c r="JY1" i="9"/>
  <c r="JZ1" i="9"/>
  <c r="KA1" i="9"/>
  <c r="KB1" i="9"/>
  <c r="BS11" i="142" s="1"/>
  <c r="KC1" i="9"/>
  <c r="BS22" i="142" s="1"/>
  <c r="KD1" i="9"/>
  <c r="BS24" i="142" s="1"/>
  <c r="KE1" i="9"/>
  <c r="BS17" i="142" s="1"/>
  <c r="KF1" i="9"/>
  <c r="BS8" i="142" s="1"/>
  <c r="KG1" i="9"/>
  <c r="BS9" i="142" s="1"/>
  <c r="KH1" i="9"/>
  <c r="BS14" i="142" s="1"/>
  <c r="KI1" i="9"/>
  <c r="BS18" i="142" s="1"/>
  <c r="KJ1" i="9"/>
  <c r="BS21" i="142" s="1"/>
  <c r="KK1" i="9"/>
  <c r="BW6" i="142" s="1"/>
  <c r="KL1" i="9"/>
  <c r="BW7" i="142" s="1"/>
  <c r="KM1" i="9"/>
  <c r="KN1" i="9"/>
  <c r="KO1" i="9"/>
  <c r="KP1" i="9"/>
  <c r="BW16" i="142" s="1"/>
  <c r="KQ1" i="9"/>
  <c r="KR1" i="9"/>
  <c r="KS1" i="9"/>
  <c r="KT1" i="9"/>
  <c r="BW19" i="142" s="1"/>
  <c r="KU1" i="9"/>
  <c r="BW15" i="142" s="1"/>
  <c r="KV1" i="9"/>
  <c r="KW1" i="9"/>
  <c r="KX1" i="9"/>
  <c r="KY1" i="9"/>
  <c r="KZ1" i="9"/>
  <c r="BW23" i="142" s="1"/>
  <c r="LA1" i="9"/>
  <c r="LB1" i="9"/>
  <c r="LC1" i="9"/>
  <c r="LD1" i="9"/>
  <c r="LE1" i="9"/>
  <c r="LF1" i="9"/>
  <c r="LG1" i="9"/>
  <c r="BW11" i="142" s="1"/>
  <c r="LH1" i="9"/>
  <c r="BW22" i="142" s="1"/>
  <c r="LI1" i="9"/>
  <c r="BW24" i="142" s="1"/>
  <c r="LJ1" i="9"/>
  <c r="BW17" i="142" s="1"/>
  <c r="LK1" i="9"/>
  <c r="BW8" i="142" s="1"/>
  <c r="LL1" i="9"/>
  <c r="BW9" i="142" s="1"/>
  <c r="LM1" i="9"/>
  <c r="BW14" i="142" s="1"/>
  <c r="LN1" i="9"/>
  <c r="BW18" i="142" s="1"/>
  <c r="LO1" i="9"/>
  <c r="BW21" i="142" s="1"/>
  <c r="LP1" i="9"/>
  <c r="LQ1" i="9"/>
  <c r="BS12" i="142" s="1"/>
  <c r="LR1" i="9"/>
  <c r="BS13" i="142" s="1"/>
  <c r="LS1" i="9"/>
  <c r="BS20" i="142" s="1"/>
  <c r="LT1" i="9"/>
  <c r="BS10" i="142" s="1"/>
  <c r="LU1" i="9"/>
  <c r="BW12" i="142" s="1"/>
  <c r="LV1" i="9"/>
  <c r="BW13" i="142" s="1"/>
  <c r="LW1" i="9"/>
  <c r="BW20" i="142" s="1"/>
  <c r="LX1" i="9"/>
  <c r="BW10" i="142" s="1"/>
  <c r="MC1" i="9"/>
  <c r="MF1" i="9"/>
  <c r="MN1" i="9"/>
  <c r="MO1" i="9"/>
  <c r="MT1" i="9"/>
  <c r="U14" i="3" s="1"/>
  <c r="MU1" i="9"/>
  <c r="BI3" i="9"/>
  <c r="BZ3" i="9"/>
  <c r="DL3" i="9"/>
  <c r="EE3" i="9"/>
  <c r="GJ3" i="9"/>
  <c r="BC4" i="9"/>
  <c r="BC8" i="9" s="1"/>
  <c r="BD4" i="9"/>
  <c r="BD8" i="9" s="1"/>
  <c r="BJ4" i="9"/>
  <c r="DL4" i="9"/>
  <c r="DN4" i="9"/>
  <c r="DP4" i="9"/>
  <c r="DR4" i="9"/>
  <c r="DT4" i="9"/>
  <c r="DV4" i="9"/>
  <c r="DX4" i="9"/>
  <c r="DZ4" i="9"/>
  <c r="EC4" i="9"/>
  <c r="EE4" i="9"/>
  <c r="EG4" i="9"/>
  <c r="EO4" i="9"/>
  <c r="ET4" i="9"/>
  <c r="GJ4" i="9" s="1"/>
  <c r="EU4" i="9"/>
  <c r="GK4" i="9" s="1"/>
  <c r="EV4" i="9"/>
  <c r="GL4" i="9" s="1"/>
  <c r="EW4" i="9"/>
  <c r="GM4" i="9" s="1"/>
  <c r="FG4" i="9"/>
  <c r="FG8" i="9" s="1"/>
  <c r="FI4" i="9"/>
  <c r="FK4" i="9"/>
  <c r="FK8" i="9" s="1"/>
  <c r="FM4" i="9"/>
  <c r="FO4" i="9"/>
  <c r="FO8" i="9" s="1"/>
  <c r="FQ4" i="9"/>
  <c r="FQ8" i="9" s="1"/>
  <c r="FS4" i="9"/>
  <c r="FS8" i="9" s="1"/>
  <c r="FU4" i="9"/>
  <c r="FU8" i="9" s="1"/>
  <c r="FX4" i="9"/>
  <c r="FZ4" i="9"/>
  <c r="FZ8" i="9" s="1"/>
  <c r="GD4" i="9"/>
  <c r="GE4" i="9"/>
  <c r="GE8" i="9" s="1"/>
  <c r="GF4" i="9"/>
  <c r="GF8" i="9" s="1"/>
  <c r="GG4" i="9"/>
  <c r="HC4" i="9"/>
  <c r="HC8" i="9" s="1"/>
  <c r="HE4" i="9"/>
  <c r="HH4" i="9"/>
  <c r="HH8" i="9" s="1"/>
  <c r="HK4" i="9"/>
  <c r="HP4" i="9"/>
  <c r="HS4" i="9"/>
  <c r="HU4" i="9"/>
  <c r="HW4" i="9"/>
  <c r="HY4" i="9"/>
  <c r="IA4" i="9"/>
  <c r="IC4" i="9"/>
  <c r="IE4" i="9"/>
  <c r="IG4" i="9"/>
  <c r="II4" i="9"/>
  <c r="IJ4" i="9"/>
  <c r="BU5" i="9"/>
  <c r="BZ5" i="9"/>
  <c r="CA5" i="9" s="1"/>
  <c r="CB5" i="9" s="1"/>
  <c r="CC5" i="9" s="1"/>
  <c r="CH5" i="9" s="1"/>
  <c r="CD5" i="9" s="1"/>
  <c r="CE5" i="9" s="1"/>
  <c r="CF5" i="9" s="1"/>
  <c r="CG5" i="9" s="1"/>
  <c r="DB5" i="9"/>
  <c r="DC5" i="9" s="1"/>
  <c r="DD5" i="9" s="1"/>
  <c r="DE5" i="9" s="1"/>
  <c r="DF5" i="9" s="1"/>
  <c r="DG5" i="9" s="1"/>
  <c r="DH5" i="9" s="1"/>
  <c r="GV5" i="9"/>
  <c r="GV8" i="9" s="1"/>
  <c r="HS5" i="9"/>
  <c r="HT5" i="9"/>
  <c r="HU5" i="9"/>
  <c r="HV5" i="9"/>
  <c r="HW5" i="9"/>
  <c r="HX5" i="9"/>
  <c r="HY5" i="9"/>
  <c r="HZ5" i="9"/>
  <c r="IA5" i="9"/>
  <c r="IB5" i="9"/>
  <c r="IC5" i="9"/>
  <c r="ID5" i="9"/>
  <c r="IE5" i="9"/>
  <c r="IF5" i="9"/>
  <c r="IG5" i="9"/>
  <c r="IL5" i="9" s="1"/>
  <c r="IL8" i="9" s="1"/>
  <c r="IH5" i="9"/>
  <c r="II5" i="9"/>
  <c r="IJ5" i="9"/>
  <c r="IK5" i="9"/>
  <c r="IV5" i="9"/>
  <c r="IV8" i="9" s="1"/>
  <c r="IW5" i="9"/>
  <c r="IW8" i="9" s="1"/>
  <c r="IX5" i="9"/>
  <c r="IX8" i="9" s="1"/>
  <c r="IY5" i="9"/>
  <c r="IY8" i="9" s="1"/>
  <c r="IZ5" i="9"/>
  <c r="IZ8" i="9" s="1"/>
  <c r="JC5" i="9"/>
  <c r="JC8" i="9" s="1"/>
  <c r="JD5" i="9"/>
  <c r="JD8" i="9" s="1"/>
  <c r="BJ6" i="9"/>
  <c r="DT6" i="9"/>
  <c r="FO6" i="9"/>
  <c r="FZ6" i="9"/>
  <c r="GN6" i="9"/>
  <c r="GM6" i="9" s="1"/>
  <c r="GL6" i="9" s="1"/>
  <c r="GK6" i="9" s="1"/>
  <c r="GJ6" i="9" s="1"/>
  <c r="GP6" i="9"/>
  <c r="GT6" i="9"/>
  <c r="GW6" i="9"/>
  <c r="GY6" i="9"/>
  <c r="IO6" i="9"/>
  <c r="IS6" i="9"/>
  <c r="IT6" i="9" s="1"/>
  <c r="IU6" i="9" s="1"/>
  <c r="IV6" i="9" s="1"/>
  <c r="E5" i="7"/>
  <c r="J5" i="7"/>
  <c r="BY60" i="9" s="1"/>
  <c r="E7" i="7"/>
  <c r="J7" i="7"/>
  <c r="E8" i="7"/>
  <c r="CB121" i="9" s="1"/>
  <c r="J8" i="7"/>
  <c r="E9" i="7"/>
  <c r="J9" i="7"/>
  <c r="E11" i="7"/>
  <c r="CD121" i="9" s="1"/>
  <c r="J11" i="7"/>
  <c r="E12" i="7"/>
  <c r="CE121" i="9" s="1"/>
  <c r="J12" i="7"/>
  <c r="E13" i="7"/>
  <c r="J13" i="7"/>
  <c r="E10" i="7"/>
  <c r="J10" i="7"/>
  <c r="E15" i="7"/>
  <c r="CI121" i="9" s="1"/>
  <c r="J15" i="7"/>
  <c r="E16" i="7"/>
  <c r="J16" i="7"/>
  <c r="B17" i="7"/>
  <c r="CK121" i="9" s="1"/>
  <c r="E17" i="7"/>
  <c r="J17" i="7"/>
  <c r="E18" i="7"/>
  <c r="F18" i="7"/>
  <c r="I18" i="7"/>
  <c r="J18" i="7" s="1"/>
  <c r="E19" i="7"/>
  <c r="J19" i="7"/>
  <c r="E20" i="7"/>
  <c r="CN121" i="9" s="1"/>
  <c r="J20" i="7"/>
  <c r="E22" i="7"/>
  <c r="J22" i="7"/>
  <c r="E23" i="7"/>
  <c r="J23" i="7"/>
  <c r="E24" i="7"/>
  <c r="CR121" i="9" s="1"/>
  <c r="CS121" i="9" s="1"/>
  <c r="J24" i="7"/>
  <c r="E25" i="7"/>
  <c r="J25" i="7"/>
  <c r="E26" i="7"/>
  <c r="J26" i="7"/>
  <c r="E27" i="7"/>
  <c r="CV121" i="9" s="1"/>
  <c r="J27" i="7"/>
  <c r="E28" i="7"/>
  <c r="J28" i="7"/>
  <c r="E32" i="7"/>
  <c r="CY121" i="9" s="1"/>
  <c r="J32" i="7"/>
  <c r="E30" i="7"/>
  <c r="J30" i="7"/>
  <c r="E31" i="7"/>
  <c r="J31" i="7"/>
  <c r="E36" i="7"/>
  <c r="J36" i="7"/>
  <c r="E37" i="7"/>
  <c r="DC121" i="9" s="1"/>
  <c r="F37" i="7"/>
  <c r="H37" i="7"/>
  <c r="J37" i="7" s="1"/>
  <c r="B39" i="7"/>
  <c r="E39" i="7"/>
  <c r="F39" i="7"/>
  <c r="J39" i="7"/>
  <c r="E40" i="7"/>
  <c r="J40" i="7"/>
  <c r="J34" i="7"/>
  <c r="E38" i="7"/>
  <c r="J38" i="7"/>
  <c r="DM19" i="9"/>
  <c r="DM20" i="9" s="1"/>
  <c r="DM21" i="9" s="1"/>
  <c r="DN19" i="9"/>
  <c r="DN20" i="9" s="1"/>
  <c r="DN21" i="9" s="1"/>
  <c r="EB19" i="9"/>
  <c r="EB20" i="9" s="1"/>
  <c r="EB21" i="9" s="1"/>
  <c r="EC19" i="9"/>
  <c r="EC20" i="9" s="1"/>
  <c r="EC21" i="9" s="1"/>
  <c r="EF19" i="9"/>
  <c r="EF20" i="9" s="1"/>
  <c r="EF21" i="9" s="1"/>
  <c r="EG19" i="9"/>
  <c r="EG20" i="9" s="1"/>
  <c r="EG21" i="9" s="1"/>
  <c r="EH19" i="9"/>
  <c r="EH20" i="9" s="1"/>
  <c r="EH21" i="9" s="1"/>
  <c r="EQ19" i="9"/>
  <c r="EQ20" i="9" s="1"/>
  <c r="EQ21" i="9" s="1"/>
  <c r="EV19" i="9"/>
  <c r="EV20" i="9" s="1"/>
  <c r="EV21" i="9" s="1"/>
  <c r="EW19" i="9"/>
  <c r="EW20" i="9" s="1"/>
  <c r="EW21" i="9" s="1"/>
  <c r="FA19" i="9"/>
  <c r="FA20" i="9" s="1"/>
  <c r="FA21" i="9" s="1"/>
  <c r="FJ19" i="9"/>
  <c r="FK19" i="9"/>
  <c r="GD19" i="9"/>
  <c r="GD20" i="9" s="1"/>
  <c r="GD21" i="9" s="1"/>
  <c r="GI19" i="9"/>
  <c r="GI20" i="9" s="1"/>
  <c r="GI21" i="9" s="1"/>
  <c r="GI22" i="9" s="1"/>
  <c r="GI23" i="9" s="1"/>
  <c r="GI24" i="9" s="1"/>
  <c r="GI25" i="9" s="1"/>
  <c r="GI26" i="9" s="1"/>
  <c r="GI27" i="9" s="1"/>
  <c r="GI28" i="9" s="1"/>
  <c r="GI29" i="9" s="1"/>
  <c r="GI30" i="9" s="1"/>
  <c r="GI31" i="9" s="1"/>
  <c r="GI32" i="9" s="1"/>
  <c r="GI33" i="9" s="1"/>
  <c r="GI34" i="9" s="1"/>
  <c r="GI35" i="9" s="1"/>
  <c r="GI36" i="9" s="1"/>
  <c r="GI37" i="9" s="1"/>
  <c r="GI38" i="9" s="1"/>
  <c r="GI39" i="9" s="1"/>
  <c r="GI40" i="9" s="1"/>
  <c r="GI41" i="9" s="1"/>
  <c r="GI42" i="9" s="1"/>
  <c r="GI43" i="9" s="1"/>
  <c r="GI44" i="9" s="1"/>
  <c r="GI45" i="9" s="1"/>
  <c r="GI46" i="9" s="1"/>
  <c r="GI47" i="9" s="1"/>
  <c r="GI48" i="9" s="1"/>
  <c r="GI49" i="9" s="1"/>
  <c r="GI50" i="9" s="1"/>
  <c r="GI51" i="9" s="1"/>
  <c r="GI52" i="9" s="1"/>
  <c r="GI53" i="9" s="1"/>
  <c r="GI54" i="9" s="1"/>
  <c r="GI55" i="9" s="1"/>
  <c r="GI56" i="9" s="1"/>
  <c r="GI57" i="9" s="1"/>
  <c r="GI58" i="9" s="1"/>
  <c r="GI59" i="9" s="1"/>
  <c r="GI60" i="9" s="1"/>
  <c r="GI61" i="9" s="1"/>
  <c r="GI62" i="9" s="1"/>
  <c r="GI63" i="9" s="1"/>
  <c r="GI64" i="9" s="1"/>
  <c r="GI65" i="9" s="1"/>
  <c r="GI66" i="9" s="1"/>
  <c r="GI67" i="9" s="1"/>
  <c r="GI68" i="9" s="1"/>
  <c r="GI69" i="9" s="1"/>
  <c r="GI70" i="9" s="1"/>
  <c r="GI71" i="9" s="1"/>
  <c r="GI72" i="9" s="1"/>
  <c r="GI73" i="9" s="1"/>
  <c r="GI74" i="9" s="1"/>
  <c r="GI75" i="9" s="1"/>
  <c r="GI76" i="9" s="1"/>
  <c r="GI77" i="9" s="1"/>
  <c r="GI78" i="9" s="1"/>
  <c r="GI79" i="9" s="1"/>
  <c r="GJ19" i="9"/>
  <c r="GL19" i="9"/>
  <c r="GL20" i="9" s="1"/>
  <c r="GL21" i="9" s="1"/>
  <c r="GM19" i="9"/>
  <c r="GM20" i="9" s="1"/>
  <c r="GM21" i="9" s="1"/>
  <c r="GO19" i="9"/>
  <c r="GO20" i="9" s="1"/>
  <c r="GO21" i="9" s="1"/>
  <c r="GP19" i="9"/>
  <c r="GP20" i="9" s="1"/>
  <c r="GP21" i="9" s="1"/>
  <c r="GT19" i="9"/>
  <c r="GT20" i="9" s="1"/>
  <c r="GT21" i="9" s="1"/>
  <c r="GZ19" i="9"/>
  <c r="GZ20" i="9" s="1"/>
  <c r="GZ21" i="9" s="1"/>
  <c r="IR19" i="9"/>
  <c r="IR20" i="9" s="1"/>
  <c r="IR21" i="9" s="1"/>
  <c r="IT19" i="9"/>
  <c r="IT20" i="9" s="1"/>
  <c r="IT21" i="9" s="1"/>
  <c r="IU19" i="9"/>
  <c r="IU20" i="9" s="1"/>
  <c r="IU21" i="9" s="1"/>
  <c r="EP19" i="9"/>
  <c r="EP20" i="9" s="1"/>
  <c r="EP21" i="9" s="1"/>
  <c r="EP22" i="9" s="1"/>
  <c r="EP23" i="9" s="1"/>
  <c r="EP24" i="9" s="1"/>
  <c r="EP25" i="9" s="1"/>
  <c r="EP26" i="9" s="1"/>
  <c r="EP27" i="9" s="1"/>
  <c r="EP28" i="9" s="1"/>
  <c r="EP29" i="9" s="1"/>
  <c r="EP30" i="9" s="1"/>
  <c r="EP31" i="9" s="1"/>
  <c r="EP32" i="9" s="1"/>
  <c r="EP33" i="9" s="1"/>
  <c r="EP34" i="9" s="1"/>
  <c r="EP35" i="9" s="1"/>
  <c r="EP36" i="9" s="1"/>
  <c r="EP37" i="9" s="1"/>
  <c r="EP38" i="9" s="1"/>
  <c r="EP39" i="9" s="1"/>
  <c r="EP40" i="9" s="1"/>
  <c r="EP41" i="9" s="1"/>
  <c r="EP42" i="9" s="1"/>
  <c r="EP43" i="9" s="1"/>
  <c r="EP44" i="9" s="1"/>
  <c r="FL19" i="9"/>
  <c r="FM19" i="9"/>
  <c r="FM20" i="9" s="1"/>
  <c r="FM21" i="9" s="1"/>
  <c r="HW19" i="9"/>
  <c r="HW20" i="9" s="1"/>
  <c r="HU19" i="9"/>
  <c r="HU20" i="9" s="1"/>
  <c r="HU21" i="9" s="1"/>
  <c r="HU22" i="9" s="1"/>
  <c r="HU23" i="9" s="1"/>
  <c r="HV19" i="9"/>
  <c r="HV20" i="9" s="1"/>
  <c r="HV21" i="9" s="1"/>
  <c r="HV22" i="9" s="1"/>
  <c r="HV23" i="9" s="1"/>
  <c r="EI19" i="9"/>
  <c r="EI20" i="9" s="1"/>
  <c r="EI21" i="9" s="1"/>
  <c r="EJ24" i="9"/>
  <c r="EJ25" i="9" s="1"/>
  <c r="EJ26" i="9" s="1"/>
  <c r="EJ27" i="9" s="1"/>
  <c r="EJ28" i="9" s="1"/>
  <c r="EJ29" i="9" s="1"/>
  <c r="EJ30" i="9" s="1"/>
  <c r="EJ31" i="9" s="1"/>
  <c r="EJ32" i="9" s="1"/>
  <c r="EJ33" i="9" s="1"/>
  <c r="EJ34" i="9" s="1"/>
  <c r="EJ35" i="9" s="1"/>
  <c r="EL19" i="9"/>
  <c r="EL20" i="9" s="1"/>
  <c r="EL21" i="9" s="1"/>
  <c r="EL22" i="9" s="1"/>
  <c r="EL23" i="9" s="1"/>
  <c r="EL24" i="9" s="1"/>
  <c r="EL25" i="9" s="1"/>
  <c r="EM19" i="9"/>
  <c r="EM20" i="9" s="1"/>
  <c r="EM21" i="9" s="1"/>
  <c r="EM22" i="9" s="1"/>
  <c r="EM23" i="9" s="1"/>
  <c r="EM24" i="9" s="1"/>
  <c r="EM25" i="9" s="1"/>
  <c r="EN19" i="9"/>
  <c r="EN20" i="9" s="1"/>
  <c r="EN21" i="9" s="1"/>
  <c r="EN22" i="9" s="1"/>
  <c r="EN23" i="9" s="1"/>
  <c r="EN24" i="9" s="1"/>
  <c r="EN25" i="9" s="1"/>
  <c r="EO19" i="9"/>
  <c r="EO20" i="9" s="1"/>
  <c r="EO21" i="9" s="1"/>
  <c r="EO22" i="9" s="1"/>
  <c r="EO23" i="9" s="1"/>
  <c r="EO24" i="9" s="1"/>
  <c r="EO25" i="9" s="1"/>
  <c r="EY19" i="9"/>
  <c r="EY20" i="9" s="1"/>
  <c r="EY21" i="9" s="1"/>
  <c r="FH19" i="9"/>
  <c r="FH20" i="9" s="1"/>
  <c r="FH21" i="9" s="1"/>
  <c r="FH22" i="9" s="1"/>
  <c r="FH23" i="9" s="1"/>
  <c r="FH24" i="9" s="1"/>
  <c r="FH25" i="9" s="1"/>
  <c r="FH26" i="9" s="1"/>
  <c r="FH27" i="9" s="1"/>
  <c r="FI19" i="9"/>
  <c r="FI20" i="9" s="1"/>
  <c r="FI21" i="9" s="1"/>
  <c r="FI22" i="9" s="1"/>
  <c r="FI23" i="9" s="1"/>
  <c r="FI24" i="9" s="1"/>
  <c r="FI25" i="9" s="1"/>
  <c r="FI26" i="9" s="1"/>
  <c r="FI27" i="9" s="1"/>
  <c r="FP19" i="9"/>
  <c r="FP20" i="9" s="1"/>
  <c r="FP21" i="9" s="1"/>
  <c r="FQ19" i="9"/>
  <c r="FQ20" i="9" s="1"/>
  <c r="FQ21" i="9" s="1"/>
  <c r="FW19" i="9"/>
  <c r="FW20" i="9" s="1"/>
  <c r="FW21" i="9" s="1"/>
  <c r="FW22" i="9" s="1"/>
  <c r="FW23" i="9" s="1"/>
  <c r="FW24" i="9" s="1"/>
  <c r="FW25" i="9" s="1"/>
  <c r="FW26" i="9" s="1"/>
  <c r="FW27" i="9" s="1"/>
  <c r="FX19" i="9"/>
  <c r="FX20" i="9" s="1"/>
  <c r="FX21" i="9" s="1"/>
  <c r="FX22" i="9" s="1"/>
  <c r="FX23" i="9" s="1"/>
  <c r="FX24" i="9" s="1"/>
  <c r="FX25" i="9" s="1"/>
  <c r="FX26" i="9" s="1"/>
  <c r="FX27" i="9" s="1"/>
  <c r="BC19" i="9"/>
  <c r="DX19" i="9"/>
  <c r="DX20" i="9" s="1"/>
  <c r="FF19" i="9"/>
  <c r="FF20" i="9" s="1"/>
  <c r="FF21" i="9" s="1"/>
  <c r="FF22" i="9" s="1"/>
  <c r="FF23" i="9" s="1"/>
  <c r="FF24" i="9" s="1"/>
  <c r="FF25" i="9" s="1"/>
  <c r="FF26" i="9" s="1"/>
  <c r="FF27" i="9" s="1"/>
  <c r="FF28" i="9" s="1"/>
  <c r="FF29" i="9" s="1"/>
  <c r="FG19" i="9"/>
  <c r="FG20" i="9" s="1"/>
  <c r="FG21" i="9" s="1"/>
  <c r="FG22" i="9" s="1"/>
  <c r="FG23" i="9" s="1"/>
  <c r="FG24" i="9" s="1"/>
  <c r="FG25" i="9" s="1"/>
  <c r="FG26" i="9" s="1"/>
  <c r="FG27" i="9" s="1"/>
  <c r="FG28" i="9" s="1"/>
  <c r="FG29" i="9" s="1"/>
  <c r="FN19" i="9"/>
  <c r="FN20" i="9" s="1"/>
  <c r="FN21" i="9" s="1"/>
  <c r="FN22" i="9" s="1"/>
  <c r="FO19" i="9"/>
  <c r="FO20" i="9" s="1"/>
  <c r="FO21" i="9" s="1"/>
  <c r="FO22" i="9" s="1"/>
  <c r="FR19" i="9"/>
  <c r="FR20" i="9" s="1"/>
  <c r="FR21" i="9" s="1"/>
  <c r="FR22" i="9" s="1"/>
  <c r="FS19" i="9"/>
  <c r="FS20" i="9" s="1"/>
  <c r="FS21" i="9" s="1"/>
  <c r="FS22" i="9" s="1"/>
  <c r="A19" i="9"/>
  <c r="D19" i="9"/>
  <c r="P19" i="9"/>
  <c r="AE19" i="9"/>
  <c r="AP19" i="9"/>
  <c r="AU19" i="9"/>
  <c r="BE19" i="9"/>
  <c r="BE20" i="9" s="1"/>
  <c r="BE21" i="9" s="1"/>
  <c r="BE22" i="9" s="1"/>
  <c r="BE23" i="9" s="1"/>
  <c r="BF19" i="9"/>
  <c r="BF20" i="9" s="1"/>
  <c r="BF21" i="9" s="1"/>
  <c r="BF22" i="9" s="1"/>
  <c r="BF23" i="9" s="1"/>
  <c r="BM19" i="9"/>
  <c r="BU19" i="9"/>
  <c r="GU19" i="9"/>
  <c r="GV19" i="9"/>
  <c r="HM19" i="9"/>
  <c r="IA19" i="9"/>
  <c r="IB19" i="9"/>
  <c r="IE19" i="9"/>
  <c r="IO19" i="9"/>
  <c r="IP19" i="9"/>
  <c r="LQ19" i="9"/>
  <c r="LR19" i="9"/>
  <c r="LS19" i="9"/>
  <c r="LT19" i="9"/>
  <c r="LU19" i="9"/>
  <c r="LV19" i="9"/>
  <c r="LW19" i="9"/>
  <c r="LX19" i="9"/>
  <c r="A20" i="9"/>
  <c r="E20" i="9" s="1"/>
  <c r="D20" i="9"/>
  <c r="P20" i="9"/>
  <c r="AE20" i="9"/>
  <c r="AP20" i="9"/>
  <c r="AU20" i="9"/>
  <c r="BJ20" i="9"/>
  <c r="BM20" i="9"/>
  <c r="BU20" i="9"/>
  <c r="DO20" i="9"/>
  <c r="DO21" i="9" s="1"/>
  <c r="EA21" i="9" s="1"/>
  <c r="DP20" i="9"/>
  <c r="DP21" i="9" s="1"/>
  <c r="GU20" i="9"/>
  <c r="GV20" i="9"/>
  <c r="HM20" i="9"/>
  <c r="IA20" i="9"/>
  <c r="IB20" i="9"/>
  <c r="IE20" i="9"/>
  <c r="IO20" i="9"/>
  <c r="IP20" i="9"/>
  <c r="LQ20" i="9"/>
  <c r="LR20" i="9"/>
  <c r="LS20" i="9"/>
  <c r="LT20" i="9"/>
  <c r="LU20" i="9"/>
  <c r="LV20" i="9"/>
  <c r="LW20" i="9"/>
  <c r="LX20" i="9"/>
  <c r="A21" i="9"/>
  <c r="A21" i="20" s="1"/>
  <c r="D21" i="9"/>
  <c r="P21" i="9"/>
  <c r="AE21" i="9"/>
  <c r="AP21" i="9"/>
  <c r="AU21" i="9"/>
  <c r="BC21" i="9"/>
  <c r="BC22" i="9" s="1"/>
  <c r="BC23" i="9" s="1"/>
  <c r="BC24" i="9" s="1"/>
  <c r="BI21" i="9"/>
  <c r="BJ21" i="9" s="1"/>
  <c r="BM21" i="9"/>
  <c r="BU21" i="9"/>
  <c r="FJ21" i="9"/>
  <c r="FK21" i="9"/>
  <c r="FZ21" i="9"/>
  <c r="GU21" i="9"/>
  <c r="GV21" i="9"/>
  <c r="HB21" i="9"/>
  <c r="HE21" i="9"/>
  <c r="HH21" i="9"/>
  <c r="HK21" i="9"/>
  <c r="HP21" i="9"/>
  <c r="IA21" i="9"/>
  <c r="IB21" i="9"/>
  <c r="IB22" i="9" s="1"/>
  <c r="IB23" i="9" s="1"/>
  <c r="IE21" i="9"/>
  <c r="IG21" i="9"/>
  <c r="IO21" i="9"/>
  <c r="IP21" i="9"/>
  <c r="LQ21" i="9"/>
  <c r="LR21" i="9"/>
  <c r="LS21" i="9"/>
  <c r="LT21" i="9"/>
  <c r="LU21" i="9"/>
  <c r="LV21" i="9"/>
  <c r="LW21" i="9"/>
  <c r="LX21" i="9"/>
  <c r="A22" i="9"/>
  <c r="HQ22" i="9" s="1"/>
  <c r="D22" i="9"/>
  <c r="P22" i="9"/>
  <c r="AE22" i="9"/>
  <c r="AP22" i="9"/>
  <c r="AU22" i="9"/>
  <c r="BM22" i="9"/>
  <c r="BU22" i="9"/>
  <c r="DZ22" i="9"/>
  <c r="DZ23" i="9" s="1"/>
  <c r="DZ24" i="9" s="1"/>
  <c r="DZ25" i="9" s="1"/>
  <c r="EX22" i="9"/>
  <c r="FC22" i="9"/>
  <c r="GH22" i="9"/>
  <c r="GR22" i="9"/>
  <c r="GS22" i="9" s="1"/>
  <c r="HB22" i="9"/>
  <c r="HH22" i="9"/>
  <c r="HK22" i="9"/>
  <c r="HO22" i="9"/>
  <c r="IA22" i="9"/>
  <c r="IE22" i="9"/>
  <c r="IG22" i="9"/>
  <c r="IV22" i="9"/>
  <c r="LQ22" i="9"/>
  <c r="LR22" i="9"/>
  <c r="LS22" i="9"/>
  <c r="LT22" i="9"/>
  <c r="LU22" i="9"/>
  <c r="LV22" i="9"/>
  <c r="LW22" i="9"/>
  <c r="LX22" i="9"/>
  <c r="A23" i="9"/>
  <c r="GA23" i="9" s="1"/>
  <c r="D23" i="9"/>
  <c r="P23" i="9"/>
  <c r="AE23" i="9"/>
  <c r="AP23" i="9"/>
  <c r="AU23" i="9"/>
  <c r="BM23" i="9"/>
  <c r="BU23" i="9"/>
  <c r="DM23" i="9"/>
  <c r="DM24" i="9" s="1"/>
  <c r="DM25" i="9" s="1"/>
  <c r="DM26" i="9" s="1"/>
  <c r="DM27" i="9" s="1"/>
  <c r="DM28" i="9" s="1"/>
  <c r="DM29" i="9" s="1"/>
  <c r="DM30" i="9" s="1"/>
  <c r="DM31" i="9" s="1"/>
  <c r="DM32" i="9" s="1"/>
  <c r="DN23" i="9"/>
  <c r="DN24" i="9" s="1"/>
  <c r="DN25" i="9" s="1"/>
  <c r="DN26" i="9" s="1"/>
  <c r="DN27" i="9" s="1"/>
  <c r="DN28" i="9" s="1"/>
  <c r="DN29" i="9" s="1"/>
  <c r="DN30" i="9" s="1"/>
  <c r="DN31" i="9" s="1"/>
  <c r="DN32" i="9" s="1"/>
  <c r="DN33" i="9" s="1"/>
  <c r="DN34" i="9" s="1"/>
  <c r="DN35" i="9" s="1"/>
  <c r="DN36" i="9" s="1"/>
  <c r="DN37" i="9" s="1"/>
  <c r="DN38" i="9" s="1"/>
  <c r="DN39" i="9" s="1"/>
  <c r="DN40" i="9" s="1"/>
  <c r="DN41" i="9" s="1"/>
  <c r="DN42" i="9" s="1"/>
  <c r="DO23" i="9"/>
  <c r="DO24" i="9" s="1"/>
  <c r="DO25" i="9" s="1"/>
  <c r="DO26" i="9" s="1"/>
  <c r="DP23" i="9"/>
  <c r="DP24" i="9" s="1"/>
  <c r="DP25" i="9" s="1"/>
  <c r="DP26" i="9" s="1"/>
  <c r="DP27" i="9" s="1"/>
  <c r="DP28" i="9" s="1"/>
  <c r="DS23" i="9"/>
  <c r="DT23" i="9"/>
  <c r="DU23" i="9"/>
  <c r="DU24" i="9" s="1"/>
  <c r="DV23" i="9"/>
  <c r="DV24" i="9" s="1"/>
  <c r="EB23" i="9"/>
  <c r="EB24" i="9" s="1"/>
  <c r="EB25" i="9" s="1"/>
  <c r="EB26" i="9" s="1"/>
  <c r="EB27" i="9" s="1"/>
  <c r="EB28" i="9" s="1"/>
  <c r="EB29" i="9" s="1"/>
  <c r="EB30" i="9" s="1"/>
  <c r="EB31" i="9" s="1"/>
  <c r="EB32" i="9" s="1"/>
  <c r="EC23" i="9"/>
  <c r="EC24" i="9" s="1"/>
  <c r="EC25" i="9" s="1"/>
  <c r="EC26" i="9" s="1"/>
  <c r="EC27" i="9" s="1"/>
  <c r="EC28" i="9" s="1"/>
  <c r="EC29" i="9" s="1"/>
  <c r="EC30" i="9" s="1"/>
  <c r="EC31" i="9" s="1"/>
  <c r="EC32" i="9" s="1"/>
  <c r="EF23" i="9"/>
  <c r="EF24" i="9" s="1"/>
  <c r="EF25" i="9" s="1"/>
  <c r="EF26" i="9" s="1"/>
  <c r="EF27" i="9" s="1"/>
  <c r="EF28" i="9" s="1"/>
  <c r="EF29" i="9" s="1"/>
  <c r="EF30" i="9" s="1"/>
  <c r="EF31" i="9" s="1"/>
  <c r="EF32" i="9" s="1"/>
  <c r="EF33" i="9" s="1"/>
  <c r="EF35" i="9" s="1"/>
  <c r="EF36" i="9" s="1"/>
  <c r="EF37" i="9" s="1"/>
  <c r="EF38" i="9" s="1"/>
  <c r="EF39" i="9" s="1"/>
  <c r="EF40" i="9" s="1"/>
  <c r="EF41" i="9" s="1"/>
  <c r="EF42" i="9" s="1"/>
  <c r="EF43" i="9" s="1"/>
  <c r="EF44" i="9" s="1"/>
  <c r="EG23" i="9"/>
  <c r="EG24" i="9" s="1"/>
  <c r="EG25" i="9" s="1"/>
  <c r="EG26" i="9" s="1"/>
  <c r="EG27" i="9" s="1"/>
  <c r="EG28" i="9" s="1"/>
  <c r="EG29" i="9" s="1"/>
  <c r="EG30" i="9" s="1"/>
  <c r="EG31" i="9" s="1"/>
  <c r="EG32" i="9" s="1"/>
  <c r="EG33" i="9" s="1"/>
  <c r="EG35" i="9" s="1"/>
  <c r="EG36" i="9" s="1"/>
  <c r="EG37" i="9" s="1"/>
  <c r="EG38" i="9" s="1"/>
  <c r="EG39" i="9" s="1"/>
  <c r="EG40" i="9" s="1"/>
  <c r="EG41" i="9" s="1"/>
  <c r="EG42" i="9" s="1"/>
  <c r="EG43" i="9" s="1"/>
  <c r="EG44" i="9" s="1"/>
  <c r="EG45" i="9" s="1"/>
  <c r="EQ23" i="9"/>
  <c r="EQ24" i="9" s="1"/>
  <c r="EQ25" i="9" s="1"/>
  <c r="EQ26" i="9" s="1"/>
  <c r="EQ27" i="9" s="1"/>
  <c r="EQ28" i="9" s="1"/>
  <c r="EQ29" i="9" s="1"/>
  <c r="EQ30" i="9" s="1"/>
  <c r="EQ31" i="9" s="1"/>
  <c r="EQ32" i="9" s="1"/>
  <c r="EQ33" i="9" s="1"/>
  <c r="EQ34" i="9" s="1"/>
  <c r="EQ35" i="9" s="1"/>
  <c r="EQ36" i="9" s="1"/>
  <c r="EQ37" i="9" s="1"/>
  <c r="EQ38" i="9" s="1"/>
  <c r="EQ39" i="9" s="1"/>
  <c r="EQ40" i="9" s="1"/>
  <c r="EQ41" i="9" s="1"/>
  <c r="EQ42" i="9" s="1"/>
  <c r="EQ43" i="9" s="1"/>
  <c r="EQ44" i="9" s="1"/>
  <c r="EQ45" i="9" s="1"/>
  <c r="EQ47" i="9" s="1"/>
  <c r="EQ48" i="9" s="1"/>
  <c r="EQ49" i="9" s="1"/>
  <c r="EQ50" i="9" s="1"/>
  <c r="EQ51" i="9" s="1"/>
  <c r="EQ52" i="9" s="1"/>
  <c r="EQ53" i="9" s="1"/>
  <c r="EQ54" i="9" s="1"/>
  <c r="EQ55" i="9" s="1"/>
  <c r="ET23" i="9"/>
  <c r="ET24" i="9" s="1"/>
  <c r="ET25" i="9" s="1"/>
  <c r="ET26" i="9" s="1"/>
  <c r="ET27" i="9" s="1"/>
  <c r="ET28" i="9" s="1"/>
  <c r="ET29" i="9" s="1"/>
  <c r="ET30" i="9" s="1"/>
  <c r="ET31" i="9" s="1"/>
  <c r="ET32" i="9" s="1"/>
  <c r="ET33" i="9" s="1"/>
  <c r="EU23" i="9"/>
  <c r="EU24" i="9" s="1"/>
  <c r="EU25" i="9" s="1"/>
  <c r="EU26" i="9" s="1"/>
  <c r="EU27" i="9" s="1"/>
  <c r="EU28" i="9" s="1"/>
  <c r="EV23" i="9"/>
  <c r="EV24" i="9" s="1"/>
  <c r="EV25" i="9" s="1"/>
  <c r="EV26" i="9" s="1"/>
  <c r="EV27" i="9" s="1"/>
  <c r="EV28" i="9" s="1"/>
  <c r="EV29" i="9" s="1"/>
  <c r="EV30" i="9" s="1"/>
  <c r="EV31" i="9" s="1"/>
  <c r="EV32" i="9" s="1"/>
  <c r="EV33" i="9" s="1"/>
  <c r="EV35" i="9" s="1"/>
  <c r="EV36" i="9" s="1"/>
  <c r="EV37" i="9" s="1"/>
  <c r="EV38" i="9" s="1"/>
  <c r="EV39" i="9" s="1"/>
  <c r="EV40" i="9" s="1"/>
  <c r="EV41" i="9" s="1"/>
  <c r="EV42" i="9" s="1"/>
  <c r="EV43" i="9" s="1"/>
  <c r="EV44" i="9" s="1"/>
  <c r="EV45" i="9" s="1"/>
  <c r="EV47" i="9" s="1"/>
  <c r="EV48" i="9" s="1"/>
  <c r="EV49" i="9" s="1"/>
  <c r="EV50" i="9" s="1"/>
  <c r="EV51" i="9" s="1"/>
  <c r="EV52" i="9" s="1"/>
  <c r="EV53" i="9" s="1"/>
  <c r="EV54" i="9" s="1"/>
  <c r="EV55" i="9" s="1"/>
  <c r="EV56" i="9" s="1"/>
  <c r="EV57" i="9" s="1"/>
  <c r="EV59" i="9" s="1"/>
  <c r="EV60" i="9" s="1"/>
  <c r="EV61" i="9" s="1"/>
  <c r="EV62" i="9" s="1"/>
  <c r="EV63" i="9" s="1"/>
  <c r="EV64" i="9" s="1"/>
  <c r="EV65" i="9" s="1"/>
  <c r="EV66" i="9" s="1"/>
  <c r="EV67" i="9" s="1"/>
  <c r="EV68" i="9" s="1"/>
  <c r="EV69" i="9" s="1"/>
  <c r="EV71" i="9" s="1"/>
  <c r="EV72" i="9" s="1"/>
  <c r="EV73" i="9" s="1"/>
  <c r="EV74" i="9" s="1"/>
  <c r="EV75" i="9" s="1"/>
  <c r="EV76" i="9" s="1"/>
  <c r="EV77" i="9" s="1"/>
  <c r="EV78" i="9" s="1"/>
  <c r="EV79" i="9" s="1"/>
  <c r="EV80" i="9" s="1"/>
  <c r="EV81" i="9" s="1"/>
  <c r="EV83" i="9" s="1"/>
  <c r="EV84" i="9" s="1"/>
  <c r="EV85" i="9" s="1"/>
  <c r="EV86" i="9" s="1"/>
  <c r="EV87" i="9" s="1"/>
  <c r="EV88" i="9" s="1"/>
  <c r="EV89" i="9" s="1"/>
  <c r="EV90" i="9" s="1"/>
  <c r="EV91" i="9" s="1"/>
  <c r="EV92" i="9" s="1"/>
  <c r="EV93" i="9" s="1"/>
  <c r="EV95" i="9" s="1"/>
  <c r="EV96" i="9" s="1"/>
  <c r="EV97" i="9" s="1"/>
  <c r="EV98" i="9" s="1"/>
  <c r="EV99" i="9" s="1"/>
  <c r="EV100" i="9" s="1"/>
  <c r="EV101" i="9" s="1"/>
  <c r="EV102" i="9" s="1"/>
  <c r="EV103" i="9" s="1"/>
  <c r="EV104" i="9" s="1"/>
  <c r="EV105" i="9" s="1"/>
  <c r="EV107" i="9" s="1"/>
  <c r="EV108" i="9" s="1"/>
  <c r="EV109" i="9" s="1"/>
  <c r="EV110" i="9" s="1"/>
  <c r="EV111" i="9" s="1"/>
  <c r="EV112" i="9" s="1"/>
  <c r="EV113" i="9" s="1"/>
  <c r="EV114" i="9" s="1"/>
  <c r="EV115" i="9" s="1"/>
  <c r="EV116" i="9" s="1"/>
  <c r="EV117" i="9" s="1"/>
  <c r="EV118" i="9" s="1"/>
  <c r="EV119" i="9" s="1"/>
  <c r="EV120" i="9" s="1"/>
  <c r="EV121" i="9" s="1"/>
  <c r="EV122" i="9" s="1"/>
  <c r="EV123" i="9" s="1"/>
  <c r="EV124" i="9" s="1"/>
  <c r="EV125" i="9" s="1"/>
  <c r="EV126" i="9" s="1"/>
  <c r="EV127" i="9" s="1"/>
  <c r="EV128" i="9" s="1"/>
  <c r="EV129" i="9" s="1"/>
  <c r="EV130" i="9" s="1"/>
  <c r="EV131" i="9" s="1"/>
  <c r="EV132" i="9" s="1"/>
  <c r="EV133" i="9" s="1"/>
  <c r="EV134" i="9" s="1"/>
  <c r="EV135" i="9" s="1"/>
  <c r="EV136" i="9" s="1"/>
  <c r="EV137" i="9" s="1"/>
  <c r="EW23" i="9"/>
  <c r="EW24" i="9" s="1"/>
  <c r="EY23" i="9"/>
  <c r="EY24" i="9" s="1"/>
  <c r="EY25" i="9" s="1"/>
  <c r="EY26" i="9" s="1"/>
  <c r="EY27" i="9" s="1"/>
  <c r="EY28" i="9" s="1"/>
  <c r="EY29" i="9" s="1"/>
  <c r="EY30" i="9" s="1"/>
  <c r="EY31" i="9" s="1"/>
  <c r="EY32" i="9" s="1"/>
  <c r="EY33" i="9" s="1"/>
  <c r="EY35" i="9" s="1"/>
  <c r="EY36" i="9" s="1"/>
  <c r="EY37" i="9" s="1"/>
  <c r="EY38" i="9" s="1"/>
  <c r="EY39" i="9" s="1"/>
  <c r="EY40" i="9" s="1"/>
  <c r="EY41" i="9" s="1"/>
  <c r="EY42" i="9" s="1"/>
  <c r="EY43" i="9" s="1"/>
  <c r="EY44" i="9" s="1"/>
  <c r="EY45" i="9" s="1"/>
  <c r="EY47" i="9" s="1"/>
  <c r="EY48" i="9" s="1"/>
  <c r="EY49" i="9" s="1"/>
  <c r="EY50" i="9" s="1"/>
  <c r="EY51" i="9" s="1"/>
  <c r="EY52" i="9" s="1"/>
  <c r="EY53" i="9" s="1"/>
  <c r="EY54" i="9" s="1"/>
  <c r="EY55" i="9" s="1"/>
  <c r="EY56" i="9" s="1"/>
  <c r="EY57" i="9" s="1"/>
  <c r="EY59" i="9" s="1"/>
  <c r="EY60" i="9" s="1"/>
  <c r="EY61" i="9" s="1"/>
  <c r="EY62" i="9" s="1"/>
  <c r="EY63" i="9" s="1"/>
  <c r="EY64" i="9" s="1"/>
  <c r="EY65" i="9" s="1"/>
  <c r="EY66" i="9" s="1"/>
  <c r="EY67" i="9" s="1"/>
  <c r="EY68" i="9" s="1"/>
  <c r="EY69" i="9" s="1"/>
  <c r="EY71" i="9" s="1"/>
  <c r="EY72" i="9" s="1"/>
  <c r="EY73" i="9" s="1"/>
  <c r="EY74" i="9" s="1"/>
  <c r="EY75" i="9" s="1"/>
  <c r="EY76" i="9" s="1"/>
  <c r="EY77" i="9" s="1"/>
  <c r="EY78" i="9" s="1"/>
  <c r="EY79" i="9" s="1"/>
  <c r="EY80" i="9" s="1"/>
  <c r="EY81" i="9" s="1"/>
  <c r="EY83" i="9" s="1"/>
  <c r="EY84" i="9" s="1"/>
  <c r="EY85" i="9" s="1"/>
  <c r="EY86" i="9" s="1"/>
  <c r="EY87" i="9" s="1"/>
  <c r="EY88" i="9" s="1"/>
  <c r="EY89" i="9" s="1"/>
  <c r="EY90" i="9" s="1"/>
  <c r="EY91" i="9" s="1"/>
  <c r="EY92" i="9" s="1"/>
  <c r="EY93" i="9" s="1"/>
  <c r="EY95" i="9" s="1"/>
  <c r="EY96" i="9" s="1"/>
  <c r="EY97" i="9" s="1"/>
  <c r="EY98" i="9" s="1"/>
  <c r="EY99" i="9" s="1"/>
  <c r="EY100" i="9" s="1"/>
  <c r="EY101" i="9" s="1"/>
  <c r="EY102" i="9" s="1"/>
  <c r="EY103" i="9" s="1"/>
  <c r="EY104" i="9" s="1"/>
  <c r="EY105" i="9" s="1"/>
  <c r="EY107" i="9" s="1"/>
  <c r="EY108" i="9" s="1"/>
  <c r="EY109" i="9" s="1"/>
  <c r="EY110" i="9" s="1"/>
  <c r="EY111" i="9" s="1"/>
  <c r="EY112" i="9" s="1"/>
  <c r="EY113" i="9" s="1"/>
  <c r="EY114" i="9" s="1"/>
  <c r="EY115" i="9" s="1"/>
  <c r="EY116" i="9" s="1"/>
  <c r="FA23" i="9"/>
  <c r="FA24" i="9" s="1"/>
  <c r="FA25" i="9" s="1"/>
  <c r="FA26" i="9" s="1"/>
  <c r="FA27" i="9" s="1"/>
  <c r="FA28" i="9" s="1"/>
  <c r="FA29" i="9" s="1"/>
  <c r="FA30" i="9" s="1"/>
  <c r="FA31" i="9" s="1"/>
  <c r="FA32" i="9" s="1"/>
  <c r="FA33" i="9" s="1"/>
  <c r="FA35" i="9" s="1"/>
  <c r="FA36" i="9" s="1"/>
  <c r="FA37" i="9" s="1"/>
  <c r="FA38" i="9" s="1"/>
  <c r="FA39" i="9" s="1"/>
  <c r="FA40" i="9" s="1"/>
  <c r="FA41" i="9" s="1"/>
  <c r="FA42" i="9" s="1"/>
  <c r="FA43" i="9" s="1"/>
  <c r="FA44" i="9" s="1"/>
  <c r="FA45" i="9" s="1"/>
  <c r="FA47" i="9" s="1"/>
  <c r="FA48" i="9" s="1"/>
  <c r="FA49" i="9" s="1"/>
  <c r="FA50" i="9" s="1"/>
  <c r="FA51" i="9" s="1"/>
  <c r="FA52" i="9" s="1"/>
  <c r="FA53" i="9" s="1"/>
  <c r="FA54" i="9" s="1"/>
  <c r="FA55" i="9" s="1"/>
  <c r="FA56" i="9" s="1"/>
  <c r="FA57" i="9" s="1"/>
  <c r="FA59" i="9" s="1"/>
  <c r="FA60" i="9" s="1"/>
  <c r="FA61" i="9" s="1"/>
  <c r="FA62" i="9" s="1"/>
  <c r="FA63" i="9" s="1"/>
  <c r="FA64" i="9" s="1"/>
  <c r="FB23" i="9"/>
  <c r="FD23" i="9"/>
  <c r="FD24" i="9" s="1"/>
  <c r="FD25" i="9" s="1"/>
  <c r="FD26" i="9" s="1"/>
  <c r="FD27" i="9" s="1"/>
  <c r="FD28" i="9" s="1"/>
  <c r="FD29" i="9" s="1"/>
  <c r="FD30" i="9" s="1"/>
  <c r="FD31" i="9" s="1"/>
  <c r="FD32" i="9" s="1"/>
  <c r="FD33" i="9" s="1"/>
  <c r="FD35" i="9" s="1"/>
  <c r="FD36" i="9" s="1"/>
  <c r="FD37" i="9" s="1"/>
  <c r="FD38" i="9" s="1"/>
  <c r="FD39" i="9" s="1"/>
  <c r="FD40" i="9" s="1"/>
  <c r="FD41" i="9" s="1"/>
  <c r="FD42" i="9" s="1"/>
  <c r="FD43" i="9" s="1"/>
  <c r="FD44" i="9" s="1"/>
  <c r="FD45" i="9" s="1"/>
  <c r="FD47" i="9" s="1"/>
  <c r="FD48" i="9" s="1"/>
  <c r="FD49" i="9" s="1"/>
  <c r="FD50" i="9" s="1"/>
  <c r="FD51" i="9" s="1"/>
  <c r="FD52" i="9" s="1"/>
  <c r="FD53" i="9" s="1"/>
  <c r="FD54" i="9" s="1"/>
  <c r="FD55" i="9" s="1"/>
  <c r="FD56" i="9" s="1"/>
  <c r="FD57" i="9" s="1"/>
  <c r="FD59" i="9" s="1"/>
  <c r="FD60" i="9" s="1"/>
  <c r="FD61" i="9" s="1"/>
  <c r="FD62" i="9" s="1"/>
  <c r="FD63" i="9" s="1"/>
  <c r="FD64" i="9" s="1"/>
  <c r="FD65" i="9" s="1"/>
  <c r="FD66" i="9" s="1"/>
  <c r="FD67" i="9" s="1"/>
  <c r="FD68" i="9" s="1"/>
  <c r="FD69" i="9" s="1"/>
  <c r="FD71" i="9" s="1"/>
  <c r="FD72" i="9" s="1"/>
  <c r="FD73" i="9" s="1"/>
  <c r="FD74" i="9" s="1"/>
  <c r="FD75" i="9" s="1"/>
  <c r="FD76" i="9" s="1"/>
  <c r="FD77" i="9" s="1"/>
  <c r="FD78" i="9" s="1"/>
  <c r="FD79" i="9" s="1"/>
  <c r="FD80" i="9" s="1"/>
  <c r="FD81" i="9" s="1"/>
  <c r="FD84" i="9" s="1"/>
  <c r="FD85" i="9" s="1"/>
  <c r="FD86" i="9" s="1"/>
  <c r="FD87" i="9" s="1"/>
  <c r="FD88" i="9" s="1"/>
  <c r="FD89" i="9" s="1"/>
  <c r="FD90" i="9" s="1"/>
  <c r="FD91" i="9" s="1"/>
  <c r="FD92" i="9" s="1"/>
  <c r="FD93" i="9" s="1"/>
  <c r="FD95" i="9" s="1"/>
  <c r="FD96" i="9" s="1"/>
  <c r="FD97" i="9" s="1"/>
  <c r="FD98" i="9" s="1"/>
  <c r="FD99" i="9" s="1"/>
  <c r="FD100" i="9" s="1"/>
  <c r="FD101" i="9" s="1"/>
  <c r="FD102" i="9" s="1"/>
  <c r="FD103" i="9" s="1"/>
  <c r="FD104" i="9" s="1"/>
  <c r="FD105" i="9" s="1"/>
  <c r="FD106" i="9" s="1"/>
  <c r="FD107" i="9" s="1"/>
  <c r="FD108" i="9" s="1"/>
  <c r="FD109" i="9" s="1"/>
  <c r="FD110" i="9" s="1"/>
  <c r="FD111" i="9" s="1"/>
  <c r="FD113" i="9" s="1"/>
  <c r="FD114" i="9" s="1"/>
  <c r="FD115" i="9" s="1"/>
  <c r="FD116" i="9" s="1"/>
  <c r="FD117" i="9" s="1"/>
  <c r="FD118" i="9" s="1"/>
  <c r="FD119" i="9" s="1"/>
  <c r="FD120" i="9" s="1"/>
  <c r="FD121" i="9" s="1"/>
  <c r="FD122" i="9" s="1"/>
  <c r="FD123" i="9" s="1"/>
  <c r="FD124" i="9" s="1"/>
  <c r="FD125" i="9" s="1"/>
  <c r="FD126" i="9" s="1"/>
  <c r="FD127" i="9" s="1"/>
  <c r="FD128" i="9" s="1"/>
  <c r="FD129" i="9" s="1"/>
  <c r="FD130" i="9" s="1"/>
  <c r="FD131" i="9" s="1"/>
  <c r="FD132" i="9" s="1"/>
  <c r="FD133" i="9" s="1"/>
  <c r="FD134" i="9" s="1"/>
  <c r="FD135" i="9" s="1"/>
  <c r="FD136" i="9" s="1"/>
  <c r="FD137" i="9" s="1"/>
  <c r="FJ23" i="9"/>
  <c r="FJ24" i="9" s="1"/>
  <c r="FK23" i="9"/>
  <c r="FK24" i="9" s="1"/>
  <c r="FK25" i="9" s="1"/>
  <c r="FK26" i="9" s="1"/>
  <c r="FK27" i="9" s="1"/>
  <c r="FK28" i="9" s="1"/>
  <c r="FK29" i="9" s="1"/>
  <c r="FK30" i="9" s="1"/>
  <c r="FK31" i="9" s="1"/>
  <c r="FK32" i="9" s="1"/>
  <c r="FK33" i="9" s="1"/>
  <c r="FU23" i="9"/>
  <c r="FU24" i="9" s="1"/>
  <c r="FU25" i="9" s="1"/>
  <c r="FU26" i="9" s="1"/>
  <c r="FU27" i="9" s="1"/>
  <c r="FU28" i="9" s="1"/>
  <c r="FU29" i="9" s="1"/>
  <c r="FU30" i="9" s="1"/>
  <c r="FU31" i="9" s="1"/>
  <c r="GD23" i="9"/>
  <c r="GD24" i="9" s="1"/>
  <c r="GD25" i="9" s="1"/>
  <c r="GD26" i="9" s="1"/>
  <c r="GD27" i="9" s="1"/>
  <c r="GD28" i="9" s="1"/>
  <c r="GD29" i="9" s="1"/>
  <c r="GD30" i="9" s="1"/>
  <c r="GD31" i="9" s="1"/>
  <c r="GD32" i="9" s="1"/>
  <c r="GD33" i="9" s="1"/>
  <c r="GD35" i="9" s="1"/>
  <c r="GD36" i="9" s="1"/>
  <c r="GD37" i="9" s="1"/>
  <c r="GD38" i="9" s="1"/>
  <c r="GD39" i="9" s="1"/>
  <c r="GD40" i="9" s="1"/>
  <c r="GD41" i="9" s="1"/>
  <c r="GD42" i="9" s="1"/>
  <c r="GD43" i="9" s="1"/>
  <c r="GD44" i="9" s="1"/>
  <c r="GD45" i="9" s="1"/>
  <c r="GD47" i="9" s="1"/>
  <c r="GD48" i="9" s="1"/>
  <c r="GD49" i="9" s="1"/>
  <c r="GD50" i="9" s="1"/>
  <c r="GD51" i="9" s="1"/>
  <c r="GD52" i="9" s="1"/>
  <c r="GD53" i="9" s="1"/>
  <c r="GD54" i="9" s="1"/>
  <c r="GD55" i="9" s="1"/>
  <c r="GD56" i="9" s="1"/>
  <c r="GD57" i="9" s="1"/>
  <c r="GD59" i="9" s="1"/>
  <c r="GD60" i="9" s="1"/>
  <c r="GD61" i="9" s="1"/>
  <c r="GD62" i="9" s="1"/>
  <c r="GD63" i="9" s="1"/>
  <c r="GD64" i="9" s="1"/>
  <c r="GD65" i="9" s="1"/>
  <c r="GD66" i="9" s="1"/>
  <c r="GD67" i="9" s="1"/>
  <c r="GD68" i="9" s="1"/>
  <c r="GD69" i="9" s="1"/>
  <c r="GD71" i="9" s="1"/>
  <c r="GD72" i="9" s="1"/>
  <c r="GD73" i="9" s="1"/>
  <c r="GD74" i="9" s="1"/>
  <c r="GD75" i="9" s="1"/>
  <c r="GD76" i="9" s="1"/>
  <c r="GD77" i="9" s="1"/>
  <c r="GD78" i="9" s="1"/>
  <c r="GD79" i="9" s="1"/>
  <c r="GD80" i="9" s="1"/>
  <c r="GD81" i="9" s="1"/>
  <c r="GD83" i="9" s="1"/>
  <c r="GD84" i="9" s="1"/>
  <c r="GD85" i="9" s="1"/>
  <c r="GD86" i="9" s="1"/>
  <c r="GD87" i="9" s="1"/>
  <c r="GG23" i="9"/>
  <c r="GH23" i="9" s="1"/>
  <c r="GJ23" i="9"/>
  <c r="GK23" i="9"/>
  <c r="GK24" i="9" s="1"/>
  <c r="GK25" i="9" s="1"/>
  <c r="GK26" i="9" s="1"/>
  <c r="GK27" i="9" s="1"/>
  <c r="GK28" i="9" s="1"/>
  <c r="GK29" i="9" s="1"/>
  <c r="GK30" i="9" s="1"/>
  <c r="GK31" i="9" s="1"/>
  <c r="GK32" i="9" s="1"/>
  <c r="GK33" i="9" s="1"/>
  <c r="GK35" i="9" s="1"/>
  <c r="GK36" i="9" s="1"/>
  <c r="GK37" i="9" s="1"/>
  <c r="GK38" i="9" s="1"/>
  <c r="GK39" i="9" s="1"/>
  <c r="GL23" i="9"/>
  <c r="GL24" i="9" s="1"/>
  <c r="GL25" i="9" s="1"/>
  <c r="GL26" i="9" s="1"/>
  <c r="GL27" i="9" s="1"/>
  <c r="GM23" i="9"/>
  <c r="GM24" i="9" s="1"/>
  <c r="GM25" i="9" s="1"/>
  <c r="GM26" i="9" s="1"/>
  <c r="GM27" i="9" s="1"/>
  <c r="GM28" i="9" s="1"/>
  <c r="GM29" i="9" s="1"/>
  <c r="GM30" i="9" s="1"/>
  <c r="GM31" i="9" s="1"/>
  <c r="GM32" i="9" s="1"/>
  <c r="GM33" i="9" s="1"/>
  <c r="GM35" i="9" s="1"/>
  <c r="GM36" i="9" s="1"/>
  <c r="GM37" i="9" s="1"/>
  <c r="GM38" i="9" s="1"/>
  <c r="GM39" i="9" s="1"/>
  <c r="GM40" i="9" s="1"/>
  <c r="GM41" i="9" s="1"/>
  <c r="GM42" i="9" s="1"/>
  <c r="GM43" i="9" s="1"/>
  <c r="GM44" i="9" s="1"/>
  <c r="GM45" i="9" s="1"/>
  <c r="GM47" i="9" s="1"/>
  <c r="GM48" i="9" s="1"/>
  <c r="GM49" i="9" s="1"/>
  <c r="GM50" i="9" s="1"/>
  <c r="GM51" i="9" s="1"/>
  <c r="GM52" i="9" s="1"/>
  <c r="GM53" i="9" s="1"/>
  <c r="GM54" i="9" s="1"/>
  <c r="GM55" i="9" s="1"/>
  <c r="GM56" i="9" s="1"/>
  <c r="GM57" i="9" s="1"/>
  <c r="GM59" i="9" s="1"/>
  <c r="GM60" i="9" s="1"/>
  <c r="GM61" i="9" s="1"/>
  <c r="GM62" i="9" s="1"/>
  <c r="GM63" i="9" s="1"/>
  <c r="GM64" i="9" s="1"/>
  <c r="GM65" i="9" s="1"/>
  <c r="GM66" i="9" s="1"/>
  <c r="GM67" i="9" s="1"/>
  <c r="GM68" i="9" s="1"/>
  <c r="GM69" i="9" s="1"/>
  <c r="GM71" i="9" s="1"/>
  <c r="GM72" i="9" s="1"/>
  <c r="GM73" i="9" s="1"/>
  <c r="GM74" i="9" s="1"/>
  <c r="GM75" i="9" s="1"/>
  <c r="GM76" i="9" s="1"/>
  <c r="GM77" i="9" s="1"/>
  <c r="GM78" i="9" s="1"/>
  <c r="GM79" i="9" s="1"/>
  <c r="GM80" i="9" s="1"/>
  <c r="GM81" i="9" s="1"/>
  <c r="GM83" i="9" s="1"/>
  <c r="GM84" i="9" s="1"/>
  <c r="GM85" i="9" s="1"/>
  <c r="GM86" i="9" s="1"/>
  <c r="GM87" i="9" s="1"/>
  <c r="GM88" i="9" s="1"/>
  <c r="GM89" i="9" s="1"/>
  <c r="GM90" i="9" s="1"/>
  <c r="GM91" i="9" s="1"/>
  <c r="GM92" i="9" s="1"/>
  <c r="GM93" i="9" s="1"/>
  <c r="GM95" i="9" s="1"/>
  <c r="GM96" i="9" s="1"/>
  <c r="GM97" i="9" s="1"/>
  <c r="GM98" i="9" s="1"/>
  <c r="GM99" i="9" s="1"/>
  <c r="GM100" i="9" s="1"/>
  <c r="GM101" i="9" s="1"/>
  <c r="GM102" i="9" s="1"/>
  <c r="GM103" i="9" s="1"/>
  <c r="GM104" i="9" s="1"/>
  <c r="GM105" i="9" s="1"/>
  <c r="GM107" i="9" s="1"/>
  <c r="GM108" i="9" s="1"/>
  <c r="GM109" i="9" s="1"/>
  <c r="GM110" i="9" s="1"/>
  <c r="GM111" i="9" s="1"/>
  <c r="GM112" i="9" s="1"/>
  <c r="GM113" i="9" s="1"/>
  <c r="GM114" i="9" s="1"/>
  <c r="GM115" i="9" s="1"/>
  <c r="GM116" i="9" s="1"/>
  <c r="GM117" i="9" s="1"/>
  <c r="GM118" i="9" s="1"/>
  <c r="GM119" i="9" s="1"/>
  <c r="GM120" i="9" s="1"/>
  <c r="GM121" i="9" s="1"/>
  <c r="GM122" i="9" s="1"/>
  <c r="GM123" i="9" s="1"/>
  <c r="GM124" i="9" s="1"/>
  <c r="GM125" i="9" s="1"/>
  <c r="GM126" i="9" s="1"/>
  <c r="GM127" i="9" s="1"/>
  <c r="GM128" i="9" s="1"/>
  <c r="GM129" i="9" s="1"/>
  <c r="GM130" i="9" s="1"/>
  <c r="GM131" i="9" s="1"/>
  <c r="GM132" i="9" s="1"/>
  <c r="GM133" i="9" s="1"/>
  <c r="GM134" i="9" s="1"/>
  <c r="GM135" i="9" s="1"/>
  <c r="GM136" i="9" s="1"/>
  <c r="GM137" i="9" s="1"/>
  <c r="GO23" i="9"/>
  <c r="GO24" i="9" s="1"/>
  <c r="GO25" i="9" s="1"/>
  <c r="GO26" i="9" s="1"/>
  <c r="GO27" i="9" s="1"/>
  <c r="GO28" i="9" s="1"/>
  <c r="GO29" i="9" s="1"/>
  <c r="GO30" i="9" s="1"/>
  <c r="GO31" i="9" s="1"/>
  <c r="GO32" i="9" s="1"/>
  <c r="GO33" i="9" s="1"/>
  <c r="GO35" i="9" s="1"/>
  <c r="GO36" i="9" s="1"/>
  <c r="GO37" i="9" s="1"/>
  <c r="GO38" i="9" s="1"/>
  <c r="GO39" i="9" s="1"/>
  <c r="GO40" i="9" s="1"/>
  <c r="GO41" i="9" s="1"/>
  <c r="GO42" i="9" s="1"/>
  <c r="GO43" i="9" s="1"/>
  <c r="GO44" i="9" s="1"/>
  <c r="GO45" i="9" s="1"/>
  <c r="GO47" i="9" s="1"/>
  <c r="GO48" i="9" s="1"/>
  <c r="GO49" i="9" s="1"/>
  <c r="GO50" i="9" s="1"/>
  <c r="GO51" i="9" s="1"/>
  <c r="GO52" i="9" s="1"/>
  <c r="GO53" i="9" s="1"/>
  <c r="GO54" i="9" s="1"/>
  <c r="GO55" i="9" s="1"/>
  <c r="GO56" i="9" s="1"/>
  <c r="GO57" i="9" s="1"/>
  <c r="GO59" i="9" s="1"/>
  <c r="GO60" i="9" s="1"/>
  <c r="GO61" i="9" s="1"/>
  <c r="GO62" i="9" s="1"/>
  <c r="GO63" i="9" s="1"/>
  <c r="GO64" i="9" s="1"/>
  <c r="GO65" i="9" s="1"/>
  <c r="GO66" i="9" s="1"/>
  <c r="GO67" i="9" s="1"/>
  <c r="GO68" i="9" s="1"/>
  <c r="GO69" i="9" s="1"/>
  <c r="GO71" i="9" s="1"/>
  <c r="GO72" i="9" s="1"/>
  <c r="GO73" i="9" s="1"/>
  <c r="GO74" i="9" s="1"/>
  <c r="GO75" i="9" s="1"/>
  <c r="GO76" i="9" s="1"/>
  <c r="GO77" i="9" s="1"/>
  <c r="GO78" i="9" s="1"/>
  <c r="GO79" i="9" s="1"/>
  <c r="GO80" i="9" s="1"/>
  <c r="GO81" i="9" s="1"/>
  <c r="GO83" i="9" s="1"/>
  <c r="GO84" i="9" s="1"/>
  <c r="GO85" i="9" s="1"/>
  <c r="GO86" i="9" s="1"/>
  <c r="GO87" i="9" s="1"/>
  <c r="GO88" i="9" s="1"/>
  <c r="GO89" i="9" s="1"/>
  <c r="GO90" i="9" s="1"/>
  <c r="GO91" i="9" s="1"/>
  <c r="GO92" i="9" s="1"/>
  <c r="GO93" i="9" s="1"/>
  <c r="GO95" i="9" s="1"/>
  <c r="GO96" i="9" s="1"/>
  <c r="GO97" i="9" s="1"/>
  <c r="GO98" i="9" s="1"/>
  <c r="GO99" i="9" s="1"/>
  <c r="GO100" i="9" s="1"/>
  <c r="GO101" i="9" s="1"/>
  <c r="GO102" i="9" s="1"/>
  <c r="GO103" i="9" s="1"/>
  <c r="GO104" i="9" s="1"/>
  <c r="GO105" i="9" s="1"/>
  <c r="GO107" i="9" s="1"/>
  <c r="GO108" i="9" s="1"/>
  <c r="GO109" i="9" s="1"/>
  <c r="GO110" i="9" s="1"/>
  <c r="GO111" i="9" s="1"/>
  <c r="GO112" i="9" s="1"/>
  <c r="GO113" i="9" s="1"/>
  <c r="GO114" i="9" s="1"/>
  <c r="GO115" i="9" s="1"/>
  <c r="GO116" i="9" s="1"/>
  <c r="GO117" i="9" s="1"/>
  <c r="GO118" i="9" s="1"/>
  <c r="GO119" i="9" s="1"/>
  <c r="GO120" i="9" s="1"/>
  <c r="GO121" i="9" s="1"/>
  <c r="GO122" i="9" s="1"/>
  <c r="GO123" i="9" s="1"/>
  <c r="GO124" i="9" s="1"/>
  <c r="GO125" i="9" s="1"/>
  <c r="GO126" i="9" s="1"/>
  <c r="GO127" i="9" s="1"/>
  <c r="GO128" i="9" s="1"/>
  <c r="GO129" i="9" s="1"/>
  <c r="GO130" i="9" s="1"/>
  <c r="GO131" i="9" s="1"/>
  <c r="GO132" i="9" s="1"/>
  <c r="GO133" i="9" s="1"/>
  <c r="GO134" i="9" s="1"/>
  <c r="GO135" i="9" s="1"/>
  <c r="GO136" i="9" s="1"/>
  <c r="GO137" i="9" s="1"/>
  <c r="GP23" i="9"/>
  <c r="GP24" i="9" s="1"/>
  <c r="GP25" i="9" s="1"/>
  <c r="GP26" i="9" s="1"/>
  <c r="GP27" i="9" s="1"/>
  <c r="GP28" i="9" s="1"/>
  <c r="GP29" i="9" s="1"/>
  <c r="GP30" i="9" s="1"/>
  <c r="GP31" i="9" s="1"/>
  <c r="GP32" i="9" s="1"/>
  <c r="GP33" i="9" s="1"/>
  <c r="GP35" i="9" s="1"/>
  <c r="GP36" i="9" s="1"/>
  <c r="GP37" i="9" s="1"/>
  <c r="GP38" i="9" s="1"/>
  <c r="GP39" i="9" s="1"/>
  <c r="GP40" i="9" s="1"/>
  <c r="GP41" i="9" s="1"/>
  <c r="GP42" i="9" s="1"/>
  <c r="GP43" i="9" s="1"/>
  <c r="GP44" i="9" s="1"/>
  <c r="GP45" i="9" s="1"/>
  <c r="GP47" i="9" s="1"/>
  <c r="GP48" i="9" s="1"/>
  <c r="GP49" i="9" s="1"/>
  <c r="GP50" i="9" s="1"/>
  <c r="GP51" i="9" s="1"/>
  <c r="GP52" i="9" s="1"/>
  <c r="GP53" i="9" s="1"/>
  <c r="GP54" i="9" s="1"/>
  <c r="GP55" i="9" s="1"/>
  <c r="GP56" i="9" s="1"/>
  <c r="GP57" i="9" s="1"/>
  <c r="GP59" i="9" s="1"/>
  <c r="GP60" i="9" s="1"/>
  <c r="GP61" i="9" s="1"/>
  <c r="GP62" i="9" s="1"/>
  <c r="GP63" i="9" s="1"/>
  <c r="GP64" i="9" s="1"/>
  <c r="GP65" i="9" s="1"/>
  <c r="GP66" i="9" s="1"/>
  <c r="GP67" i="9" s="1"/>
  <c r="GP68" i="9" s="1"/>
  <c r="GP69" i="9" s="1"/>
  <c r="GP71" i="9" s="1"/>
  <c r="GP72" i="9" s="1"/>
  <c r="GP73" i="9" s="1"/>
  <c r="GP74" i="9" s="1"/>
  <c r="GP75" i="9" s="1"/>
  <c r="GP76" i="9" s="1"/>
  <c r="GP77" i="9" s="1"/>
  <c r="GP78" i="9" s="1"/>
  <c r="GP79" i="9" s="1"/>
  <c r="GP80" i="9" s="1"/>
  <c r="GP81" i="9" s="1"/>
  <c r="GP83" i="9" s="1"/>
  <c r="GP84" i="9" s="1"/>
  <c r="GP85" i="9" s="1"/>
  <c r="GP86" i="9" s="1"/>
  <c r="GP87" i="9" s="1"/>
  <c r="GP88" i="9" s="1"/>
  <c r="GP89" i="9" s="1"/>
  <c r="GP90" i="9" s="1"/>
  <c r="GP91" i="9" s="1"/>
  <c r="GP92" i="9" s="1"/>
  <c r="GP93" i="9" s="1"/>
  <c r="GP95" i="9" s="1"/>
  <c r="GP96" i="9" s="1"/>
  <c r="GP97" i="9" s="1"/>
  <c r="GP98" i="9" s="1"/>
  <c r="GP99" i="9" s="1"/>
  <c r="GP100" i="9" s="1"/>
  <c r="GP101" i="9" s="1"/>
  <c r="GP102" i="9" s="1"/>
  <c r="GT23" i="9"/>
  <c r="GT24" i="9" s="1"/>
  <c r="GT25" i="9" s="1"/>
  <c r="GT26" i="9" s="1"/>
  <c r="GT27" i="9" s="1"/>
  <c r="GT28" i="9" s="1"/>
  <c r="GT29" i="9" s="1"/>
  <c r="GT30" i="9" s="1"/>
  <c r="GT31" i="9" s="1"/>
  <c r="GT32" i="9" s="1"/>
  <c r="GT33" i="9" s="1"/>
  <c r="GT35" i="9" s="1"/>
  <c r="GT36" i="9" s="1"/>
  <c r="GT37" i="9" s="1"/>
  <c r="GT38" i="9" s="1"/>
  <c r="GT39" i="9" s="1"/>
  <c r="GT40" i="9" s="1"/>
  <c r="GT41" i="9" s="1"/>
  <c r="GT42" i="9" s="1"/>
  <c r="GT43" i="9" s="1"/>
  <c r="GT44" i="9" s="1"/>
  <c r="GT45" i="9" s="1"/>
  <c r="GT47" i="9" s="1"/>
  <c r="GT48" i="9" s="1"/>
  <c r="GT49" i="9" s="1"/>
  <c r="GT50" i="9" s="1"/>
  <c r="GT51" i="9" s="1"/>
  <c r="GT52" i="9" s="1"/>
  <c r="GT53" i="9" s="1"/>
  <c r="GT54" i="9" s="1"/>
  <c r="GT55" i="9" s="1"/>
  <c r="GT56" i="9" s="1"/>
  <c r="GT57" i="9" s="1"/>
  <c r="GZ23" i="9"/>
  <c r="GZ24" i="9" s="1"/>
  <c r="GZ25" i="9" s="1"/>
  <c r="GZ26" i="9" s="1"/>
  <c r="GZ27" i="9" s="1"/>
  <c r="GZ28" i="9" s="1"/>
  <c r="GZ29" i="9" s="1"/>
  <c r="GZ30" i="9" s="1"/>
  <c r="GZ31" i="9" s="1"/>
  <c r="GZ32" i="9" s="1"/>
  <c r="GZ33" i="9" s="1"/>
  <c r="HB23" i="9"/>
  <c r="HH23" i="9"/>
  <c r="HK23" i="9"/>
  <c r="HO23" i="9"/>
  <c r="HN35" i="9" s="1"/>
  <c r="IA23" i="9"/>
  <c r="IE23" i="9"/>
  <c r="IG23" i="9"/>
  <c r="IR23" i="9"/>
  <c r="IR24" i="9" s="1"/>
  <c r="IR25" i="9" s="1"/>
  <c r="IR26" i="9" s="1"/>
  <c r="IR27" i="9" s="1"/>
  <c r="IR28" i="9" s="1"/>
  <c r="IR29" i="9" s="1"/>
  <c r="IR30" i="9" s="1"/>
  <c r="IR31" i="9" s="1"/>
  <c r="IR32" i="9" s="1"/>
  <c r="IR33" i="9" s="1"/>
  <c r="IR35" i="9" s="1"/>
  <c r="IR36" i="9" s="1"/>
  <c r="IR37" i="9" s="1"/>
  <c r="IR38" i="9" s="1"/>
  <c r="IR39" i="9" s="1"/>
  <c r="IR40" i="9" s="1"/>
  <c r="IR41" i="9" s="1"/>
  <c r="IR42" i="9" s="1"/>
  <c r="IR43" i="9" s="1"/>
  <c r="IR44" i="9" s="1"/>
  <c r="IR45" i="9" s="1"/>
  <c r="IR59" i="9" s="1"/>
  <c r="IR60" i="9" s="1"/>
  <c r="IR61" i="9" s="1"/>
  <c r="IR62" i="9" s="1"/>
  <c r="IR63" i="9" s="1"/>
  <c r="IR64" i="9" s="1"/>
  <c r="IR65" i="9" s="1"/>
  <c r="IR66" i="9" s="1"/>
  <c r="IR67" i="9" s="1"/>
  <c r="IR68" i="9" s="1"/>
  <c r="IR69" i="9" s="1"/>
  <c r="IR71" i="9" s="1"/>
  <c r="IR72" i="9" s="1"/>
  <c r="IR73" i="9" s="1"/>
  <c r="IR74" i="9" s="1"/>
  <c r="IR75" i="9" s="1"/>
  <c r="IR76" i="9" s="1"/>
  <c r="IR77" i="9" s="1"/>
  <c r="IR78" i="9" s="1"/>
  <c r="IR79" i="9" s="1"/>
  <c r="IR80" i="9" s="1"/>
  <c r="IR81" i="9" s="1"/>
  <c r="IR83" i="9" s="1"/>
  <c r="IR84" i="9" s="1"/>
  <c r="IR85" i="9" s="1"/>
  <c r="IR86" i="9" s="1"/>
  <c r="IR87" i="9" s="1"/>
  <c r="IR88" i="9" s="1"/>
  <c r="IR89" i="9" s="1"/>
  <c r="IR90" i="9" s="1"/>
  <c r="IR91" i="9" s="1"/>
  <c r="IR92" i="9" s="1"/>
  <c r="IR93" i="9" s="1"/>
  <c r="IR95" i="9" s="1"/>
  <c r="IR96" i="9" s="1"/>
  <c r="IR97" i="9" s="1"/>
  <c r="IR98" i="9" s="1"/>
  <c r="IR99" i="9" s="1"/>
  <c r="IR100" i="9" s="1"/>
  <c r="IR101" i="9" s="1"/>
  <c r="IR102" i="9" s="1"/>
  <c r="IR103" i="9" s="1"/>
  <c r="IR104" i="9" s="1"/>
  <c r="IR105" i="9" s="1"/>
  <c r="IR107" i="9" s="1"/>
  <c r="IR108" i="9" s="1"/>
  <c r="IR109" i="9" s="1"/>
  <c r="IR110" i="9" s="1"/>
  <c r="IR111" i="9" s="1"/>
  <c r="IR112" i="9" s="1"/>
  <c r="IR113" i="9" s="1"/>
  <c r="IR114" i="9" s="1"/>
  <c r="IR115" i="9" s="1"/>
  <c r="IR116" i="9" s="1"/>
  <c r="IR117" i="9" s="1"/>
  <c r="IR119" i="9" s="1"/>
  <c r="IR120" i="9" s="1"/>
  <c r="IR121" i="9" s="1"/>
  <c r="IR122" i="9" s="1"/>
  <c r="IR123" i="9" s="1"/>
  <c r="IR124" i="9" s="1"/>
  <c r="IR125" i="9" s="1"/>
  <c r="IR126" i="9" s="1"/>
  <c r="IR127" i="9" s="1"/>
  <c r="IR128" i="9" s="1"/>
  <c r="IR129" i="9" s="1"/>
  <c r="IR130" i="9" s="1"/>
  <c r="IR131" i="9" s="1"/>
  <c r="IR132" i="9" s="1"/>
  <c r="IR133" i="9" s="1"/>
  <c r="IR134" i="9" s="1"/>
  <c r="IR135" i="9" s="1"/>
  <c r="IR136" i="9" s="1"/>
  <c r="IR137" i="9" s="1"/>
  <c r="IS23" i="9"/>
  <c r="IS24" i="9" s="1"/>
  <c r="IS25" i="9" s="1"/>
  <c r="IS26" i="9" s="1"/>
  <c r="IS27" i="9" s="1"/>
  <c r="IS28" i="9" s="1"/>
  <c r="IS29" i="9" s="1"/>
  <c r="IS30" i="9" s="1"/>
  <c r="IS31" i="9" s="1"/>
  <c r="IS32" i="9" s="1"/>
  <c r="IS33" i="9" s="1"/>
  <c r="IS35" i="9" s="1"/>
  <c r="IS36" i="9" s="1"/>
  <c r="IT23" i="9"/>
  <c r="IT24" i="9" s="1"/>
  <c r="IT25" i="9" s="1"/>
  <c r="IT26" i="9" s="1"/>
  <c r="IT27" i="9" s="1"/>
  <c r="IT28" i="9" s="1"/>
  <c r="IT29" i="9" s="1"/>
  <c r="IT30" i="9" s="1"/>
  <c r="IT31" i="9" s="1"/>
  <c r="IT32" i="9" s="1"/>
  <c r="IT33" i="9" s="1"/>
  <c r="IT35" i="9" s="1"/>
  <c r="IT36" i="9" s="1"/>
  <c r="IT37" i="9" s="1"/>
  <c r="IT38" i="9" s="1"/>
  <c r="IT39" i="9" s="1"/>
  <c r="IT40" i="9" s="1"/>
  <c r="IT41" i="9" s="1"/>
  <c r="IT42" i="9" s="1"/>
  <c r="IT43" i="9" s="1"/>
  <c r="IT44" i="9" s="1"/>
  <c r="IT45" i="9" s="1"/>
  <c r="IT59" i="9" s="1"/>
  <c r="IT60" i="9" s="1"/>
  <c r="IT61" i="9" s="1"/>
  <c r="IT62" i="9" s="1"/>
  <c r="IT63" i="9" s="1"/>
  <c r="IT64" i="9" s="1"/>
  <c r="IT65" i="9" s="1"/>
  <c r="IT66" i="9" s="1"/>
  <c r="IT67" i="9" s="1"/>
  <c r="IT68" i="9" s="1"/>
  <c r="IT69" i="9" s="1"/>
  <c r="IT71" i="9" s="1"/>
  <c r="IT72" i="9" s="1"/>
  <c r="IT73" i="9" s="1"/>
  <c r="IT74" i="9" s="1"/>
  <c r="IT75" i="9" s="1"/>
  <c r="IT76" i="9" s="1"/>
  <c r="IT77" i="9" s="1"/>
  <c r="IT78" i="9" s="1"/>
  <c r="IT79" i="9" s="1"/>
  <c r="IT80" i="9" s="1"/>
  <c r="IT81" i="9" s="1"/>
  <c r="IT83" i="9" s="1"/>
  <c r="IT84" i="9" s="1"/>
  <c r="IT85" i="9" s="1"/>
  <c r="IT86" i="9" s="1"/>
  <c r="IT87" i="9" s="1"/>
  <c r="IT88" i="9" s="1"/>
  <c r="IT89" i="9" s="1"/>
  <c r="IT90" i="9" s="1"/>
  <c r="IT91" i="9" s="1"/>
  <c r="IT92" i="9" s="1"/>
  <c r="IT93" i="9" s="1"/>
  <c r="IT95" i="9" s="1"/>
  <c r="IT96" i="9" s="1"/>
  <c r="IT97" i="9" s="1"/>
  <c r="IT98" i="9" s="1"/>
  <c r="IT99" i="9" s="1"/>
  <c r="IT100" i="9" s="1"/>
  <c r="IT101" i="9" s="1"/>
  <c r="IT102" i="9" s="1"/>
  <c r="IT103" i="9" s="1"/>
  <c r="IT104" i="9" s="1"/>
  <c r="IT105" i="9" s="1"/>
  <c r="IT107" i="9" s="1"/>
  <c r="IT108" i="9" s="1"/>
  <c r="IT109" i="9" s="1"/>
  <c r="IT110" i="9" s="1"/>
  <c r="IT111" i="9" s="1"/>
  <c r="IT112" i="9" s="1"/>
  <c r="IT113" i="9" s="1"/>
  <c r="IT114" i="9" s="1"/>
  <c r="IT115" i="9" s="1"/>
  <c r="IT116" i="9" s="1"/>
  <c r="IT117" i="9" s="1"/>
  <c r="IT119" i="9" s="1"/>
  <c r="IT120" i="9" s="1"/>
  <c r="IT121" i="9" s="1"/>
  <c r="IT122" i="9" s="1"/>
  <c r="IT123" i="9" s="1"/>
  <c r="IT124" i="9" s="1"/>
  <c r="IT125" i="9" s="1"/>
  <c r="IT126" i="9" s="1"/>
  <c r="IT127" i="9" s="1"/>
  <c r="IT128" i="9" s="1"/>
  <c r="IT129" i="9" s="1"/>
  <c r="IT130" i="9" s="1"/>
  <c r="IT131" i="9" s="1"/>
  <c r="IT132" i="9" s="1"/>
  <c r="IT133" i="9" s="1"/>
  <c r="IT134" i="9" s="1"/>
  <c r="IT135" i="9" s="1"/>
  <c r="IT136" i="9" s="1"/>
  <c r="IT137" i="9" s="1"/>
  <c r="IU23" i="9"/>
  <c r="IU24" i="9" s="1"/>
  <c r="IU25" i="9" s="1"/>
  <c r="LQ23" i="9"/>
  <c r="LR23" i="9"/>
  <c r="LS23" i="9"/>
  <c r="LT23" i="9"/>
  <c r="LU23" i="9"/>
  <c r="LV23" i="9"/>
  <c r="LW23" i="9"/>
  <c r="LX23" i="9"/>
  <c r="A24" i="9"/>
  <c r="E24" i="9" s="1"/>
  <c r="D24" i="9"/>
  <c r="P24" i="9"/>
  <c r="AE24" i="9"/>
  <c r="AP24" i="9"/>
  <c r="AU24" i="9"/>
  <c r="BM24" i="9"/>
  <c r="BU24" i="9"/>
  <c r="DW24" i="9"/>
  <c r="DW25" i="9" s="1"/>
  <c r="DW26" i="9" s="1"/>
  <c r="DX24" i="9"/>
  <c r="DX25" i="9" s="1"/>
  <c r="DX26" i="9" s="1"/>
  <c r="FR24" i="9"/>
  <c r="FR25" i="9" s="1"/>
  <c r="FR26" i="9" s="1"/>
  <c r="FS24" i="9"/>
  <c r="FS25" i="9" s="1"/>
  <c r="FS26" i="9" s="1"/>
  <c r="HB24" i="9"/>
  <c r="HH24" i="9"/>
  <c r="HK24" i="9"/>
  <c r="HO24" i="9"/>
  <c r="HV24" i="9"/>
  <c r="IA24" i="9"/>
  <c r="IE24" i="9"/>
  <c r="IG24" i="9"/>
  <c r="LQ24" i="9"/>
  <c r="LR24" i="9"/>
  <c r="LS24" i="9"/>
  <c r="LT24" i="9"/>
  <c r="LU24" i="9"/>
  <c r="LV24" i="9"/>
  <c r="LW24" i="9"/>
  <c r="LX24" i="9"/>
  <c r="A25" i="9"/>
  <c r="D25" i="9"/>
  <c r="P25" i="9"/>
  <c r="AE25" i="9"/>
  <c r="AP25" i="9"/>
  <c r="AU25" i="9"/>
  <c r="BE25" i="9"/>
  <c r="BF25" i="9"/>
  <c r="BF26" i="9" s="1"/>
  <c r="BF27" i="9" s="1"/>
  <c r="BM25" i="9"/>
  <c r="BU25" i="9"/>
  <c r="DQ25" i="9"/>
  <c r="DQ26" i="9" s="1"/>
  <c r="DQ27" i="9" s="1"/>
  <c r="DQ28" i="9" s="1"/>
  <c r="DR25" i="9"/>
  <c r="DR26" i="9" s="1"/>
  <c r="DR27" i="9" s="1"/>
  <c r="DR28" i="9" s="1"/>
  <c r="FL25" i="9"/>
  <c r="FL26" i="9" s="1"/>
  <c r="FL27" i="9" s="1"/>
  <c r="FL28" i="9" s="1"/>
  <c r="FL29" i="9" s="1"/>
  <c r="FL30" i="9" s="1"/>
  <c r="FL31" i="9" s="1"/>
  <c r="FL32" i="9" s="1"/>
  <c r="FL33" i="9" s="1"/>
  <c r="FM25" i="9"/>
  <c r="FM26" i="9" s="1"/>
  <c r="FM27" i="9" s="1"/>
  <c r="FM28" i="9" s="1"/>
  <c r="FM29" i="9" s="1"/>
  <c r="FM30" i="9" s="1"/>
  <c r="FM31" i="9" s="1"/>
  <c r="FM32" i="9" s="1"/>
  <c r="FM33" i="9" s="1"/>
  <c r="HB25" i="9"/>
  <c r="HH25" i="9"/>
  <c r="HK25" i="9"/>
  <c r="HO25" i="9"/>
  <c r="HN37" i="9" s="1"/>
  <c r="IA25" i="9"/>
  <c r="IE25" i="9"/>
  <c r="IG25" i="9"/>
  <c r="LQ25" i="9"/>
  <c r="LR25" i="9"/>
  <c r="LS25" i="9"/>
  <c r="LT25" i="9"/>
  <c r="LU25" i="9"/>
  <c r="LV25" i="9"/>
  <c r="LW25" i="9"/>
  <c r="LX25" i="9"/>
  <c r="A26" i="9"/>
  <c r="V10" i="32" s="1"/>
  <c r="D26" i="9"/>
  <c r="P26" i="9"/>
  <c r="AE26" i="9"/>
  <c r="AP26" i="9"/>
  <c r="AU26" i="9"/>
  <c r="BC26" i="9"/>
  <c r="BD26" i="9"/>
  <c r="BD27" i="9" s="1"/>
  <c r="BM26" i="9"/>
  <c r="BU26" i="9"/>
  <c r="HB26" i="9"/>
  <c r="HH26" i="9"/>
  <c r="HK26" i="9"/>
  <c r="HO26" i="9"/>
  <c r="HU26" i="9"/>
  <c r="HU27" i="9" s="1"/>
  <c r="HU28" i="9" s="1"/>
  <c r="HU29" i="9" s="1"/>
  <c r="HU30" i="9" s="1"/>
  <c r="HU31" i="9" s="1"/>
  <c r="HU32" i="9" s="1"/>
  <c r="HU33" i="9" s="1"/>
  <c r="HU34" i="9" s="1"/>
  <c r="HU35" i="9" s="1"/>
  <c r="HU36" i="9" s="1"/>
  <c r="HU37" i="9" s="1"/>
  <c r="HU38" i="9" s="1"/>
  <c r="HU39" i="9" s="1"/>
  <c r="HU40" i="9" s="1"/>
  <c r="HU41" i="9" s="1"/>
  <c r="HU42" i="9" s="1"/>
  <c r="HU43" i="9" s="1"/>
  <c r="HU44" i="9" s="1"/>
  <c r="HU45" i="9" s="1"/>
  <c r="HU46" i="9" s="1"/>
  <c r="HU47" i="9" s="1"/>
  <c r="HU48" i="9" s="1"/>
  <c r="HV26" i="9"/>
  <c r="HV27" i="9" s="1"/>
  <c r="HV28" i="9" s="1"/>
  <c r="HV29" i="9" s="1"/>
  <c r="HV30" i="9" s="1"/>
  <c r="HV31" i="9" s="1"/>
  <c r="HV32" i="9" s="1"/>
  <c r="HV33" i="9" s="1"/>
  <c r="HV34" i="9" s="1"/>
  <c r="HV35" i="9" s="1"/>
  <c r="IA26" i="9"/>
  <c r="IE26" i="9"/>
  <c r="IG26" i="9"/>
  <c r="LQ26" i="9"/>
  <c r="LR26" i="9"/>
  <c r="LS26" i="9"/>
  <c r="LT26" i="9"/>
  <c r="LU26" i="9"/>
  <c r="LV26" i="9"/>
  <c r="LW26" i="9"/>
  <c r="LX26" i="9"/>
  <c r="A27" i="9"/>
  <c r="GA27" i="9" s="1"/>
  <c r="D27" i="9"/>
  <c r="P27" i="9"/>
  <c r="AE27" i="9"/>
  <c r="AP27" i="9"/>
  <c r="AU27" i="9"/>
  <c r="BM27" i="9"/>
  <c r="BU27" i="9"/>
  <c r="EJ37" i="9"/>
  <c r="EJ38" i="9" s="1"/>
  <c r="EJ39" i="9" s="1"/>
  <c r="EJ40" i="9" s="1"/>
  <c r="EJ41" i="9" s="1"/>
  <c r="EJ42" i="9" s="1"/>
  <c r="EJ43" i="9" s="1"/>
  <c r="EJ44" i="9" s="1"/>
  <c r="EJ45" i="9" s="1"/>
  <c r="EJ46" i="9" s="1"/>
  <c r="EJ47" i="9" s="1"/>
  <c r="EK37" i="9"/>
  <c r="EK38" i="9" s="1"/>
  <c r="EK39" i="9" s="1"/>
  <c r="EK40" i="9" s="1"/>
  <c r="EK41" i="9" s="1"/>
  <c r="EK42" i="9" s="1"/>
  <c r="EK43" i="9" s="1"/>
  <c r="EK44" i="9" s="1"/>
  <c r="EL27" i="9"/>
  <c r="EL28" i="9" s="1"/>
  <c r="EL29" i="9" s="1"/>
  <c r="EL30" i="9" s="1"/>
  <c r="EL31" i="9" s="1"/>
  <c r="EL32" i="9" s="1"/>
  <c r="EM27" i="9"/>
  <c r="EM28" i="9" s="1"/>
  <c r="EM29" i="9" s="1"/>
  <c r="EM30" i="9" s="1"/>
  <c r="EM31" i="9" s="1"/>
  <c r="EM32" i="9" s="1"/>
  <c r="EM33" i="9" s="1"/>
  <c r="EM34" i="9" s="1"/>
  <c r="EM35" i="9" s="1"/>
  <c r="EN27" i="9"/>
  <c r="EN28" i="9" s="1"/>
  <c r="EN29" i="9" s="1"/>
  <c r="EN30" i="9" s="1"/>
  <c r="EN31" i="9" s="1"/>
  <c r="EN32" i="9" s="1"/>
  <c r="EN33" i="9" s="1"/>
  <c r="EN34" i="9" s="1"/>
  <c r="EN35" i="9" s="1"/>
  <c r="EN36" i="9" s="1"/>
  <c r="EN37" i="9" s="1"/>
  <c r="EN38" i="9" s="1"/>
  <c r="EN39" i="9" s="1"/>
  <c r="EN40" i="9" s="1"/>
  <c r="EN41" i="9" s="1"/>
  <c r="EN42" i="9" s="1"/>
  <c r="EN43" i="9" s="1"/>
  <c r="EN44" i="9" s="1"/>
  <c r="EN45" i="9" s="1"/>
  <c r="EO27" i="9"/>
  <c r="EO28" i="9" s="1"/>
  <c r="EO29" i="9" s="1"/>
  <c r="EO30" i="9" s="1"/>
  <c r="EO31" i="9" s="1"/>
  <c r="EO32" i="9" s="1"/>
  <c r="EO33" i="9" s="1"/>
  <c r="EO34" i="9" s="1"/>
  <c r="EO35" i="9" s="1"/>
  <c r="EO36" i="9" s="1"/>
  <c r="EO37" i="9" s="1"/>
  <c r="EO38" i="9" s="1"/>
  <c r="EO39" i="9" s="1"/>
  <c r="EO40" i="9" s="1"/>
  <c r="EO41" i="9" s="1"/>
  <c r="EO42" i="9" s="1"/>
  <c r="EO43" i="9" s="1"/>
  <c r="EO44" i="9" s="1"/>
  <c r="EO45" i="9" s="1"/>
  <c r="HB27" i="9"/>
  <c r="HH27" i="9"/>
  <c r="HK27" i="9"/>
  <c r="HO27" i="9"/>
  <c r="HN39" i="9" s="1"/>
  <c r="IA27" i="9"/>
  <c r="IE27" i="9"/>
  <c r="IG27" i="9"/>
  <c r="LQ27" i="9"/>
  <c r="LR27" i="9"/>
  <c r="LS27" i="9"/>
  <c r="LT27" i="9"/>
  <c r="LU27" i="9"/>
  <c r="LV27" i="9"/>
  <c r="LW27" i="9"/>
  <c r="LX27" i="9"/>
  <c r="A28" i="9"/>
  <c r="D28" i="9"/>
  <c r="P28" i="9"/>
  <c r="AE28" i="9"/>
  <c r="AP28" i="9"/>
  <c r="AU28" i="9"/>
  <c r="BM28" i="9"/>
  <c r="BU28" i="9"/>
  <c r="FP28" i="9"/>
  <c r="FP29" i="9" s="1"/>
  <c r="FP30" i="9" s="1"/>
  <c r="FP31" i="9" s="1"/>
  <c r="FP32" i="9" s="1"/>
  <c r="FQ28" i="9"/>
  <c r="FQ29" i="9" s="1"/>
  <c r="FQ30" i="9" s="1"/>
  <c r="FQ31" i="9" s="1"/>
  <c r="FQ32" i="9" s="1"/>
  <c r="FQ33" i="9" s="1"/>
  <c r="FQ34" i="9" s="1"/>
  <c r="HB28" i="9"/>
  <c r="HH28" i="9"/>
  <c r="HK28" i="9"/>
  <c r="HO28" i="9"/>
  <c r="HN40" i="9" s="1"/>
  <c r="IA28" i="9"/>
  <c r="IE28" i="9"/>
  <c r="IG28" i="9"/>
  <c r="LQ28" i="9"/>
  <c r="LR28" i="9"/>
  <c r="LS28" i="9"/>
  <c r="LT28" i="9"/>
  <c r="LU28" i="9"/>
  <c r="LV28" i="9"/>
  <c r="LW28" i="9"/>
  <c r="LX28" i="9"/>
  <c r="A29" i="9"/>
  <c r="A29" i="20" s="1"/>
  <c r="D29" i="9"/>
  <c r="P29" i="9"/>
  <c r="AE29" i="9"/>
  <c r="AP29" i="9"/>
  <c r="AU29" i="9"/>
  <c r="BE29" i="9"/>
  <c r="BE30" i="9" s="1"/>
  <c r="BF29" i="9"/>
  <c r="BF30" i="9" s="1"/>
  <c r="BF31" i="9" s="1"/>
  <c r="BM29" i="9"/>
  <c r="BU29" i="9"/>
  <c r="DW29" i="9"/>
  <c r="DX29" i="9"/>
  <c r="DX30" i="9" s="1"/>
  <c r="DX31" i="9" s="1"/>
  <c r="FH29" i="9"/>
  <c r="FH30" i="9" s="1"/>
  <c r="FH31" i="9" s="1"/>
  <c r="FH32" i="9" s="1"/>
  <c r="FH33" i="9" s="1"/>
  <c r="FI29" i="9"/>
  <c r="FI30" i="9" s="1"/>
  <c r="FI31" i="9" s="1"/>
  <c r="FI32" i="9" s="1"/>
  <c r="FI33" i="9" s="1"/>
  <c r="FI34" i="9" s="1"/>
  <c r="FI35" i="9" s="1"/>
  <c r="FR29" i="9"/>
  <c r="FR30" i="9" s="1"/>
  <c r="FR31" i="9" s="1"/>
  <c r="FR32" i="9" s="1"/>
  <c r="FR33" i="9" s="1"/>
  <c r="FS29" i="9"/>
  <c r="FS30" i="9" s="1"/>
  <c r="FS31" i="9" s="1"/>
  <c r="FS32" i="9" s="1"/>
  <c r="FS33" i="9" s="1"/>
  <c r="FS34" i="9" s="1"/>
  <c r="FW29" i="9"/>
  <c r="FW30" i="9" s="1"/>
  <c r="FW31" i="9" s="1"/>
  <c r="FW32" i="9" s="1"/>
  <c r="FX29" i="9"/>
  <c r="FX30" i="9" s="1"/>
  <c r="FX31" i="9" s="1"/>
  <c r="FX32" i="9" s="1"/>
  <c r="FX33" i="9" s="1"/>
  <c r="FX34" i="9" s="1"/>
  <c r="FX35" i="9" s="1"/>
  <c r="FX36" i="9" s="1"/>
  <c r="FS36" i="9" s="1"/>
  <c r="FS35" i="9" s="1"/>
  <c r="HB29" i="9"/>
  <c r="HH29" i="9"/>
  <c r="HK29" i="9"/>
  <c r="HO29" i="9"/>
  <c r="IA29" i="9"/>
  <c r="IE29" i="9"/>
  <c r="IG29" i="9"/>
  <c r="LQ29" i="9"/>
  <c r="LR29" i="9"/>
  <c r="LS29" i="9"/>
  <c r="LT29" i="9"/>
  <c r="LU29" i="9"/>
  <c r="LV29" i="9"/>
  <c r="LW29" i="9"/>
  <c r="LX29" i="9"/>
  <c r="A30" i="9"/>
  <c r="E30" i="9" s="1"/>
  <c r="D30" i="9"/>
  <c r="P30" i="9"/>
  <c r="AE30" i="9"/>
  <c r="AP30" i="9"/>
  <c r="AU30" i="9"/>
  <c r="BC30" i="9"/>
  <c r="BC31" i="9" s="1"/>
  <c r="BC32" i="9" s="1"/>
  <c r="BC33" i="9" s="1"/>
  <c r="BD30" i="9"/>
  <c r="BD31" i="9" s="1"/>
  <c r="BD32" i="9" s="1"/>
  <c r="BM30" i="9"/>
  <c r="BU30" i="9"/>
  <c r="FN30" i="9"/>
  <c r="FN31" i="9" s="1"/>
  <c r="FN32" i="9" s="1"/>
  <c r="FN33" i="9" s="1"/>
  <c r="FN34" i="9" s="1"/>
  <c r="FO30" i="9"/>
  <c r="FO31" i="9" s="1"/>
  <c r="FO32" i="9" s="1"/>
  <c r="FO33" i="9" s="1"/>
  <c r="FO34" i="9" s="1"/>
  <c r="HB30" i="9"/>
  <c r="HH30" i="9"/>
  <c r="HK30" i="9"/>
  <c r="HO30" i="9"/>
  <c r="HN42" i="9" s="1"/>
  <c r="IA30" i="9"/>
  <c r="IE30" i="9"/>
  <c r="IG30" i="9"/>
  <c r="LQ30" i="9"/>
  <c r="LR30" i="9"/>
  <c r="LS30" i="9"/>
  <c r="LT30" i="9"/>
  <c r="LU30" i="9"/>
  <c r="LV30" i="9"/>
  <c r="LW30" i="9"/>
  <c r="LX30" i="9"/>
  <c r="A31" i="9"/>
  <c r="V15" i="32" s="1"/>
  <c r="D31" i="9"/>
  <c r="P31" i="9"/>
  <c r="AE31" i="9"/>
  <c r="AP31" i="9"/>
  <c r="AU31" i="9"/>
  <c r="BM31" i="9"/>
  <c r="BU31" i="9"/>
  <c r="FF31" i="9"/>
  <c r="FF32" i="9" s="1"/>
  <c r="FF33" i="9" s="1"/>
  <c r="FG31" i="9"/>
  <c r="FG32" i="9" s="1"/>
  <c r="FG33" i="9" s="1"/>
  <c r="FG34" i="9" s="1"/>
  <c r="FG35" i="9" s="1"/>
  <c r="FG36" i="9" s="1"/>
  <c r="FG37" i="9" s="1"/>
  <c r="HB31" i="9"/>
  <c r="HH31" i="9"/>
  <c r="HK31" i="9"/>
  <c r="HO31" i="9"/>
  <c r="HN43" i="9" s="1"/>
  <c r="IA31" i="9"/>
  <c r="IE31" i="9"/>
  <c r="IG31" i="9"/>
  <c r="LQ31" i="9"/>
  <c r="LR31" i="9"/>
  <c r="LS31" i="9"/>
  <c r="LT31" i="9"/>
  <c r="LU31" i="9"/>
  <c r="LV31" i="9"/>
  <c r="LW31" i="9"/>
  <c r="LX31" i="9"/>
  <c r="A32" i="9"/>
  <c r="D32" i="9"/>
  <c r="P32" i="9"/>
  <c r="AE32" i="9"/>
  <c r="AP32" i="9"/>
  <c r="AU32" i="9"/>
  <c r="BM32" i="9"/>
  <c r="BU32" i="9"/>
  <c r="DO32" i="9"/>
  <c r="EA32" i="9" s="1"/>
  <c r="DP32" i="9"/>
  <c r="DP33" i="9" s="1"/>
  <c r="HB32" i="9"/>
  <c r="HH32" i="9"/>
  <c r="HK32" i="9"/>
  <c r="HO32" i="9"/>
  <c r="IA32" i="9"/>
  <c r="IE32" i="9"/>
  <c r="IG32" i="9"/>
  <c r="LQ32" i="9"/>
  <c r="LR32" i="9"/>
  <c r="LS32" i="9"/>
  <c r="LT32" i="9"/>
  <c r="LU32" i="9"/>
  <c r="LV32" i="9"/>
  <c r="LW32" i="9"/>
  <c r="LX32" i="9"/>
  <c r="A33" i="9"/>
  <c r="V17" i="32" s="1"/>
  <c r="D33" i="9"/>
  <c r="P33" i="9"/>
  <c r="AE33" i="9"/>
  <c r="AP33" i="9"/>
  <c r="AU33" i="9"/>
  <c r="BE33" i="9"/>
  <c r="BE34" i="9" s="1"/>
  <c r="BE35" i="9" s="1"/>
  <c r="BF33" i="9"/>
  <c r="BF34" i="9" s="1"/>
  <c r="BF35" i="9" s="1"/>
  <c r="BM33" i="9"/>
  <c r="BU33" i="9"/>
  <c r="GW33" i="9"/>
  <c r="HB33" i="9"/>
  <c r="HH33" i="9"/>
  <c r="HK33" i="9"/>
  <c r="HO33" i="9"/>
  <c r="HP44" i="9" s="1"/>
  <c r="IA33" i="9"/>
  <c r="IE33" i="9"/>
  <c r="IG33" i="9"/>
  <c r="LQ33" i="9"/>
  <c r="LR33" i="9"/>
  <c r="LS33" i="9"/>
  <c r="LT33" i="9"/>
  <c r="LU33" i="9"/>
  <c r="LV33" i="9"/>
  <c r="LW33" i="9"/>
  <c r="LX33" i="9"/>
  <c r="A34" i="9"/>
  <c r="V18" i="32" s="1"/>
  <c r="D34" i="9"/>
  <c r="P34" i="9"/>
  <c r="AE34" i="9"/>
  <c r="AP34" i="9"/>
  <c r="AU34" i="9"/>
  <c r="BM34" i="9"/>
  <c r="BU34" i="9"/>
  <c r="DB34" i="9"/>
  <c r="EA34" i="9"/>
  <c r="ER34" i="9"/>
  <c r="ER35" i="9" s="1"/>
  <c r="ER36" i="9" s="1"/>
  <c r="ER37" i="9" s="1"/>
  <c r="ER38" i="9" s="1"/>
  <c r="ER39" i="9" s="1"/>
  <c r="ER40" i="9" s="1"/>
  <c r="ER41" i="9" s="1"/>
  <c r="ER42" i="9" s="1"/>
  <c r="ER43" i="9" s="1"/>
  <c r="ER44" i="9" s="1"/>
  <c r="ER45" i="9" s="1"/>
  <c r="ER46" i="9" s="1"/>
  <c r="ER47" i="9" s="1"/>
  <c r="ER48" i="9" s="1"/>
  <c r="ER49" i="9" s="1"/>
  <c r="ER50" i="9" s="1"/>
  <c r="ER51" i="9" s="1"/>
  <c r="ER52" i="9" s="1"/>
  <c r="ER53" i="9" s="1"/>
  <c r="ER54" i="9" s="1"/>
  <c r="ER55" i="9" s="1"/>
  <c r="ER56" i="9" s="1"/>
  <c r="ER57" i="9" s="1"/>
  <c r="ER58" i="9" s="1"/>
  <c r="ER59" i="9" s="1"/>
  <c r="ER60" i="9" s="1"/>
  <c r="ER61" i="9" s="1"/>
  <c r="ER62" i="9" s="1"/>
  <c r="ER63" i="9" s="1"/>
  <c r="ER64" i="9" s="1"/>
  <c r="GE35" i="9"/>
  <c r="GE36" i="9" s="1"/>
  <c r="GE37" i="9" s="1"/>
  <c r="GE38" i="9" s="1"/>
  <c r="GE39" i="9" s="1"/>
  <c r="GE40" i="9" s="1"/>
  <c r="GE41" i="9" s="1"/>
  <c r="GE42" i="9" s="1"/>
  <c r="GE43" i="9" s="1"/>
  <c r="GE44" i="9" s="1"/>
  <c r="GE45" i="9" s="1"/>
  <c r="GE47" i="9" s="1"/>
  <c r="GE48" i="9" s="1"/>
  <c r="GE49" i="9" s="1"/>
  <c r="GE50" i="9" s="1"/>
  <c r="GE51" i="9" s="1"/>
  <c r="GE52" i="9" s="1"/>
  <c r="GE53" i="9" s="1"/>
  <c r="GE54" i="9" s="1"/>
  <c r="GE55" i="9" s="1"/>
  <c r="GE56" i="9" s="1"/>
  <c r="GE57" i="9" s="1"/>
  <c r="GE59" i="9" s="1"/>
  <c r="GE60" i="9" s="1"/>
  <c r="GE61" i="9" s="1"/>
  <c r="GE62" i="9" s="1"/>
  <c r="GE63" i="9" s="1"/>
  <c r="GE64" i="9" s="1"/>
  <c r="GE65" i="9" s="1"/>
  <c r="GE66" i="9" s="1"/>
  <c r="GE67" i="9" s="1"/>
  <c r="GW34" i="9"/>
  <c r="HB34" i="9"/>
  <c r="HH34" i="9"/>
  <c r="HK34" i="9"/>
  <c r="IA34" i="9"/>
  <c r="IE34" i="9"/>
  <c r="IG34" i="9"/>
  <c r="LQ34" i="9"/>
  <c r="LR34" i="9"/>
  <c r="LS34" i="9"/>
  <c r="LT34" i="9"/>
  <c r="LU34" i="9"/>
  <c r="LV34" i="9"/>
  <c r="LW34" i="9"/>
  <c r="LX34" i="9"/>
  <c r="A35" i="9"/>
  <c r="D35" i="9"/>
  <c r="P35" i="9"/>
  <c r="AE35" i="9"/>
  <c r="AP35" i="9"/>
  <c r="AU35" i="9"/>
  <c r="BJ35" i="9"/>
  <c r="BM35" i="9"/>
  <c r="BU35" i="9"/>
  <c r="DO35" i="9"/>
  <c r="DP35" i="9"/>
  <c r="DP36" i="9" s="1"/>
  <c r="DP37" i="9" s="1"/>
  <c r="DP38" i="9" s="1"/>
  <c r="DP39" i="9" s="1"/>
  <c r="DZ35" i="9"/>
  <c r="DZ36" i="9" s="1"/>
  <c r="DZ37" i="9" s="1"/>
  <c r="FJ35" i="9"/>
  <c r="FK35" i="9"/>
  <c r="FK36" i="9" s="1"/>
  <c r="FK37" i="9" s="1"/>
  <c r="FK38" i="9" s="1"/>
  <c r="FK39" i="9" s="1"/>
  <c r="FK40" i="9" s="1"/>
  <c r="FK41" i="9" s="1"/>
  <c r="FK42" i="9" s="1"/>
  <c r="FR35" i="9"/>
  <c r="FU35" i="9"/>
  <c r="FU36" i="9" s="1"/>
  <c r="FU37" i="9" s="1"/>
  <c r="FU38" i="9" s="1"/>
  <c r="FU39" i="9" s="1"/>
  <c r="FU40" i="9" s="1"/>
  <c r="FU41" i="9" s="1"/>
  <c r="FU42" i="9" s="1"/>
  <c r="GR35" i="9"/>
  <c r="GS35" i="9" s="1"/>
  <c r="GW35" i="9"/>
  <c r="HB35" i="9"/>
  <c r="HH35" i="9"/>
  <c r="HK35" i="9"/>
  <c r="IA35" i="9"/>
  <c r="IE35" i="9"/>
  <c r="IG35" i="9"/>
  <c r="LQ35" i="9"/>
  <c r="LR35" i="9"/>
  <c r="LS35" i="9"/>
  <c r="LT35" i="9"/>
  <c r="LU35" i="9"/>
  <c r="LV35" i="9"/>
  <c r="LW35" i="9"/>
  <c r="LX35" i="9"/>
  <c r="A36" i="9"/>
  <c r="D36" i="9"/>
  <c r="P36" i="9"/>
  <c r="AE36" i="9"/>
  <c r="AP36" i="9"/>
  <c r="AU36" i="9"/>
  <c r="BD36" i="9"/>
  <c r="BG36" i="9" s="1"/>
  <c r="BI36" i="9"/>
  <c r="BJ36" i="9" s="1"/>
  <c r="BM36" i="9"/>
  <c r="BU36" i="9"/>
  <c r="DL36" i="9"/>
  <c r="DL37" i="9" s="1"/>
  <c r="DL38" i="9" s="1"/>
  <c r="EA36" i="9"/>
  <c r="FI44" i="9"/>
  <c r="FI37" i="9" s="1"/>
  <c r="FV36" i="9"/>
  <c r="GW36" i="9"/>
  <c r="HB36" i="9"/>
  <c r="HH36" i="9"/>
  <c r="HK36" i="9"/>
  <c r="IA36" i="9"/>
  <c r="IE36" i="9"/>
  <c r="IG36" i="9"/>
  <c r="LQ36" i="9"/>
  <c r="LR36" i="9"/>
  <c r="LS36" i="9"/>
  <c r="LT36" i="9"/>
  <c r="LU36" i="9"/>
  <c r="LV36" i="9"/>
  <c r="LW36" i="9"/>
  <c r="LX36" i="9"/>
  <c r="B37" i="9"/>
  <c r="A37" i="9" s="1"/>
  <c r="A37" i="20" s="1"/>
  <c r="D37" i="9"/>
  <c r="P37" i="9"/>
  <c r="AE37" i="9"/>
  <c r="AP37" i="9"/>
  <c r="AU37" i="9"/>
  <c r="BC37" i="9"/>
  <c r="BC38" i="9" s="1"/>
  <c r="BC39" i="9" s="1"/>
  <c r="BC40" i="9" s="1"/>
  <c r="BC41" i="9" s="1"/>
  <c r="BE37" i="9"/>
  <c r="BE38" i="9" s="1"/>
  <c r="BE39" i="9" s="1"/>
  <c r="BE40" i="9" s="1"/>
  <c r="BF37" i="9"/>
  <c r="BF38" i="9" s="1"/>
  <c r="BF39" i="9" s="1"/>
  <c r="BF40" i="9" s="1"/>
  <c r="BM37" i="9"/>
  <c r="BU37" i="9"/>
  <c r="CA37" i="9"/>
  <c r="DB37" i="9"/>
  <c r="DR37" i="9"/>
  <c r="DR38" i="9" s="1"/>
  <c r="DR39" i="9" s="1"/>
  <c r="DR40" i="9" s="1"/>
  <c r="DT41" i="9"/>
  <c r="DT40" i="9" s="1"/>
  <c r="DT39" i="9" s="1"/>
  <c r="DT38" i="9" s="1"/>
  <c r="DT37" i="9" s="1"/>
  <c r="DX37" i="9"/>
  <c r="DX38" i="9" s="1"/>
  <c r="DX39" i="9" s="1"/>
  <c r="DX40" i="9" s="1"/>
  <c r="EA37" i="9"/>
  <c r="FM37" i="9"/>
  <c r="FM38" i="9" s="1"/>
  <c r="FM39" i="9" s="1"/>
  <c r="FM40" i="9" s="1"/>
  <c r="FM41" i="9" s="1"/>
  <c r="FM42" i="9" s="1"/>
  <c r="FN38" i="9"/>
  <c r="FN37" i="9" s="1"/>
  <c r="FV37" i="9" s="1"/>
  <c r="FO37" i="9"/>
  <c r="FO38" i="9" s="1"/>
  <c r="FO39" i="9" s="1"/>
  <c r="FS37" i="9"/>
  <c r="FS38" i="9" s="1"/>
  <c r="FS39" i="9" s="1"/>
  <c r="FS40" i="9" s="1"/>
  <c r="FS41" i="9" s="1"/>
  <c r="FS42" i="9" s="1"/>
  <c r="FS43" i="9" s="1"/>
  <c r="GW37" i="9"/>
  <c r="HB37" i="9"/>
  <c r="HH37" i="9"/>
  <c r="HK37" i="9"/>
  <c r="HV37" i="9"/>
  <c r="HV38" i="9" s="1"/>
  <c r="HV39" i="9" s="1"/>
  <c r="HV40" i="9" s="1"/>
  <c r="HV41" i="9" s="1"/>
  <c r="HV42" i="9" s="1"/>
  <c r="HV43" i="9" s="1"/>
  <c r="HV44" i="9" s="1"/>
  <c r="HV45" i="9" s="1"/>
  <c r="HV46" i="9" s="1"/>
  <c r="HV47" i="9" s="1"/>
  <c r="HV48" i="9" s="1"/>
  <c r="IA37" i="9"/>
  <c r="IE37" i="9"/>
  <c r="IG37" i="9"/>
  <c r="LQ37" i="9"/>
  <c r="LR37" i="9"/>
  <c r="LS37" i="9"/>
  <c r="LT37" i="9"/>
  <c r="LU37" i="9"/>
  <c r="LV37" i="9"/>
  <c r="LW37" i="9"/>
  <c r="LX37" i="9"/>
  <c r="D38" i="9"/>
  <c r="P38" i="9"/>
  <c r="AE38" i="9"/>
  <c r="AP38" i="9"/>
  <c r="AU38" i="9"/>
  <c r="BM38" i="9"/>
  <c r="BU38" i="9"/>
  <c r="DO38" i="9"/>
  <c r="EA38" i="9" s="1"/>
  <c r="DZ44" i="9"/>
  <c r="DZ43" i="9" s="1"/>
  <c r="DZ42" i="9" s="1"/>
  <c r="DZ41" i="9" s="1"/>
  <c r="DZ40" i="9" s="1"/>
  <c r="DZ39" i="9" s="1"/>
  <c r="DZ38" i="9" s="1"/>
  <c r="EC38" i="9"/>
  <c r="EC39" i="9" s="1"/>
  <c r="EC40" i="9" s="1"/>
  <c r="EC41" i="9" s="1"/>
  <c r="EC42" i="9" s="1"/>
  <c r="EC43" i="9" s="1"/>
  <c r="EC44" i="9" s="1"/>
  <c r="FG44" i="9"/>
  <c r="FG38" i="9" s="1"/>
  <c r="FG39" i="9" s="1"/>
  <c r="FG40" i="9" s="1"/>
  <c r="FG41" i="9" s="1"/>
  <c r="FX38" i="9"/>
  <c r="FX39" i="9" s="1"/>
  <c r="FX40" i="9" s="1"/>
  <c r="FX41" i="9" s="1"/>
  <c r="FX42" i="9" s="1"/>
  <c r="FX43" i="9" s="1"/>
  <c r="GW38" i="9"/>
  <c r="HB38" i="9"/>
  <c r="HH38" i="9"/>
  <c r="HK38" i="9"/>
  <c r="IA38" i="9"/>
  <c r="IE38" i="9"/>
  <c r="IG38" i="9"/>
  <c r="LQ38" i="9"/>
  <c r="LR38" i="9"/>
  <c r="LS38" i="9"/>
  <c r="LT38" i="9"/>
  <c r="LU38" i="9"/>
  <c r="LV38" i="9"/>
  <c r="LW38" i="9"/>
  <c r="LX38" i="9"/>
  <c r="D39" i="9"/>
  <c r="P39" i="9"/>
  <c r="AE39" i="9"/>
  <c r="AP39" i="9"/>
  <c r="AU39" i="9"/>
  <c r="BM39" i="9"/>
  <c r="BU39" i="9"/>
  <c r="EA39" i="9"/>
  <c r="FV39" i="9"/>
  <c r="GW39" i="9"/>
  <c r="HB39" i="9"/>
  <c r="HH39" i="9"/>
  <c r="HJ39" i="9"/>
  <c r="IA39" i="9"/>
  <c r="IE39" i="9"/>
  <c r="IG39" i="9"/>
  <c r="LQ39" i="9"/>
  <c r="LR39" i="9"/>
  <c r="LS39" i="9"/>
  <c r="LT39" i="9"/>
  <c r="LU39" i="9"/>
  <c r="LV39" i="9"/>
  <c r="LW39" i="9"/>
  <c r="LX39" i="9"/>
  <c r="D40" i="9"/>
  <c r="P40" i="9"/>
  <c r="AE40" i="9"/>
  <c r="AP40" i="9"/>
  <c r="AU40" i="9"/>
  <c r="BM40" i="9"/>
  <c r="BU40" i="9"/>
  <c r="CA40" i="9"/>
  <c r="DP44" i="9"/>
  <c r="DP43" i="9" s="1"/>
  <c r="DP40" i="9" s="1"/>
  <c r="DP41" i="9" s="1"/>
  <c r="DV40" i="9"/>
  <c r="DV41" i="9" s="1"/>
  <c r="DV42" i="9" s="1"/>
  <c r="EA40" i="9"/>
  <c r="FO40" i="9"/>
  <c r="FV40" i="9"/>
  <c r="GW40" i="9"/>
  <c r="HB40" i="9"/>
  <c r="HH40" i="9"/>
  <c r="HJ40" i="9"/>
  <c r="IA40" i="9"/>
  <c r="IE40" i="9"/>
  <c r="IG40" i="9"/>
  <c r="LQ40" i="9"/>
  <c r="LR40" i="9"/>
  <c r="LS40" i="9"/>
  <c r="LT40" i="9"/>
  <c r="LU40" i="9"/>
  <c r="LV40" i="9"/>
  <c r="LW40" i="9"/>
  <c r="LX40" i="9"/>
  <c r="D41" i="9"/>
  <c r="P41" i="9"/>
  <c r="AE41" i="9"/>
  <c r="AP41" i="9"/>
  <c r="AU41" i="9"/>
  <c r="BM41" i="9"/>
  <c r="BU41" i="9"/>
  <c r="DB41" i="9"/>
  <c r="DR44" i="9"/>
  <c r="DR43" i="9" s="1"/>
  <c r="DR41" i="9" s="1"/>
  <c r="DR42" i="9" s="1"/>
  <c r="DW41" i="9"/>
  <c r="EA41" i="9" s="1"/>
  <c r="DX44" i="9"/>
  <c r="DX41" i="9" s="1"/>
  <c r="DX42" i="9" s="1"/>
  <c r="DX43" i="9" s="1"/>
  <c r="EB41" i="9"/>
  <c r="FO41" i="9"/>
  <c r="FO42" i="9" s="1"/>
  <c r="FO43" i="9" s="1"/>
  <c r="FO44" i="9" s="1"/>
  <c r="FO45" i="9" s="1"/>
  <c r="FV41" i="9"/>
  <c r="GW41" i="9"/>
  <c r="HB41" i="9"/>
  <c r="HH41" i="9"/>
  <c r="HJ41" i="9"/>
  <c r="IA41" i="9"/>
  <c r="IE41" i="9"/>
  <c r="IG41" i="9"/>
  <c r="LQ41" i="9"/>
  <c r="LR41" i="9"/>
  <c r="LS41" i="9"/>
  <c r="LT41" i="9"/>
  <c r="LU41" i="9"/>
  <c r="LV41" i="9"/>
  <c r="LW41" i="9"/>
  <c r="LX41" i="9"/>
  <c r="D42" i="9"/>
  <c r="P42" i="9"/>
  <c r="AE42" i="9"/>
  <c r="AP42" i="9"/>
  <c r="AU42" i="9"/>
  <c r="BE42" i="9"/>
  <c r="BF42" i="9"/>
  <c r="BF43" i="9" s="1"/>
  <c r="BM42" i="9"/>
  <c r="BU42" i="9"/>
  <c r="CJ42" i="9"/>
  <c r="EA42" i="9"/>
  <c r="FG42" i="9"/>
  <c r="FV42" i="9"/>
  <c r="GW42" i="9"/>
  <c r="HB42" i="9"/>
  <c r="HH42" i="9"/>
  <c r="HJ42" i="9"/>
  <c r="IA42" i="9"/>
  <c r="IE42" i="9"/>
  <c r="IG42" i="9"/>
  <c r="LQ42" i="9"/>
  <c r="LR42" i="9"/>
  <c r="LS42" i="9"/>
  <c r="LT42" i="9"/>
  <c r="LU42" i="9"/>
  <c r="LV42" i="9"/>
  <c r="LW42" i="9"/>
  <c r="LX42" i="9"/>
  <c r="D43" i="9"/>
  <c r="P43" i="9"/>
  <c r="AE43" i="9"/>
  <c r="AP43" i="9"/>
  <c r="AU43" i="9"/>
  <c r="BM43" i="9"/>
  <c r="BU43" i="9"/>
  <c r="DB43" i="9"/>
  <c r="DL44" i="9"/>
  <c r="DL43" i="9" s="1"/>
  <c r="DN44" i="9"/>
  <c r="DN43" i="9" s="1"/>
  <c r="DV44" i="9"/>
  <c r="DV43" i="9" s="1"/>
  <c r="DW43" i="9"/>
  <c r="EA43" i="9" s="1"/>
  <c r="FK43" i="9"/>
  <c r="FL44" i="9"/>
  <c r="FL43" i="9" s="1"/>
  <c r="FV43" i="9" s="1"/>
  <c r="FU43" i="9"/>
  <c r="GW43" i="9"/>
  <c r="HB43" i="9"/>
  <c r="HH43" i="9"/>
  <c r="HJ43" i="9"/>
  <c r="IA43" i="9"/>
  <c r="IE43" i="9"/>
  <c r="IG43" i="9"/>
  <c r="LQ43" i="9"/>
  <c r="LR43" i="9"/>
  <c r="LS43" i="9"/>
  <c r="LT43" i="9"/>
  <c r="LU43" i="9"/>
  <c r="LV43" i="9"/>
  <c r="LW43" i="9"/>
  <c r="LX43" i="9"/>
  <c r="D44" i="9"/>
  <c r="P44" i="9"/>
  <c r="AE44" i="9"/>
  <c r="AP44" i="9"/>
  <c r="AU44" i="9"/>
  <c r="BC44" i="9"/>
  <c r="BC45" i="9" s="1"/>
  <c r="BC46" i="9" s="1"/>
  <c r="BC47" i="9" s="1"/>
  <c r="BC48" i="9" s="1"/>
  <c r="BD44" i="9"/>
  <c r="BM44" i="9"/>
  <c r="BU44" i="9"/>
  <c r="CM44" i="9"/>
  <c r="DU44" i="9"/>
  <c r="EA44" i="9" s="1"/>
  <c r="EB44" i="9"/>
  <c r="FH44" i="9"/>
  <c r="FK44" i="9"/>
  <c r="FP44" i="9"/>
  <c r="FR44" i="9"/>
  <c r="FU44" i="9"/>
  <c r="FW44" i="9"/>
  <c r="GW44" i="9"/>
  <c r="HB44" i="9"/>
  <c r="HH44" i="9"/>
  <c r="HJ44" i="9"/>
  <c r="IA44" i="9"/>
  <c r="IE44" i="9"/>
  <c r="IG44" i="9"/>
  <c r="LQ44" i="9"/>
  <c r="LR44" i="9"/>
  <c r="LS44" i="9"/>
  <c r="LT44" i="9"/>
  <c r="LU44" i="9"/>
  <c r="LV44" i="9"/>
  <c r="LW44" i="9"/>
  <c r="LX44" i="9"/>
  <c r="D45" i="9"/>
  <c r="CQ45" i="9"/>
  <c r="P45" i="9"/>
  <c r="AE45" i="9"/>
  <c r="AP45" i="9"/>
  <c r="AU45" i="9"/>
  <c r="BE45" i="9"/>
  <c r="BE46" i="9" s="1"/>
  <c r="BE47" i="9" s="1"/>
  <c r="BE48" i="9" s="1"/>
  <c r="BF45" i="9"/>
  <c r="BF46" i="9" s="1"/>
  <c r="BF47" i="9" s="1"/>
  <c r="BF48" i="9" s="1"/>
  <c r="BM45" i="9"/>
  <c r="BU45" i="9"/>
  <c r="DQ45" i="9"/>
  <c r="EA45" i="9" s="1"/>
  <c r="FV45" i="9"/>
  <c r="GW45" i="9"/>
  <c r="HB45" i="9"/>
  <c r="HG45" i="9"/>
  <c r="HH47" i="9" s="1"/>
  <c r="HP45" i="9"/>
  <c r="IA45" i="9"/>
  <c r="IE45" i="9"/>
  <c r="IG45" i="9"/>
  <c r="LQ45" i="9"/>
  <c r="LR45" i="9"/>
  <c r="LS45" i="9"/>
  <c r="LT45" i="9"/>
  <c r="LU45" i="9"/>
  <c r="LV45" i="9"/>
  <c r="LW45" i="9"/>
  <c r="LX45" i="9"/>
  <c r="A46" i="9"/>
  <c r="D46" i="9"/>
  <c r="CQ46" i="9"/>
  <c r="P46" i="9"/>
  <c r="AE46" i="9"/>
  <c r="AP46" i="9"/>
  <c r="AU46" i="9"/>
  <c r="BJ46" i="9"/>
  <c r="BL46" i="9"/>
  <c r="BM46" i="9" s="1"/>
  <c r="BT46" i="9"/>
  <c r="BU46" i="9" s="1"/>
  <c r="EA46" i="9"/>
  <c r="FR46" i="9"/>
  <c r="FV46" i="9" s="1"/>
  <c r="GW46" i="9"/>
  <c r="HB46" i="9"/>
  <c r="HN46" i="9"/>
  <c r="HP46" i="9"/>
  <c r="IA46" i="9"/>
  <c r="IE46" i="9"/>
  <c r="IG46" i="9"/>
  <c r="LQ46" i="9"/>
  <c r="LR46" i="9"/>
  <c r="LS46" i="9"/>
  <c r="LT46" i="9"/>
  <c r="LU46" i="9"/>
  <c r="LV46" i="9"/>
  <c r="LW46" i="9"/>
  <c r="LX46" i="9"/>
  <c r="B47" i="9"/>
  <c r="A47" i="9" s="1"/>
  <c r="D47" i="9"/>
  <c r="P47" i="9"/>
  <c r="AE47" i="9"/>
  <c r="AP47" i="9"/>
  <c r="AU47" i="9"/>
  <c r="BI47" i="9"/>
  <c r="BJ47" i="9" s="1"/>
  <c r="BM47" i="9"/>
  <c r="BT47" i="9"/>
  <c r="BU47" i="9" s="1"/>
  <c r="EA47" i="9"/>
  <c r="FR47" i="9"/>
  <c r="GR47" i="9"/>
  <c r="GW47" i="9"/>
  <c r="HB47" i="9"/>
  <c r="HN47" i="9"/>
  <c r="HP47" i="9"/>
  <c r="IA47" i="9"/>
  <c r="IE47" i="9"/>
  <c r="IG47" i="9"/>
  <c r="LQ47" i="9"/>
  <c r="LR47" i="9"/>
  <c r="LS47" i="9"/>
  <c r="LT47" i="9"/>
  <c r="LU47" i="9"/>
  <c r="LV47" i="9"/>
  <c r="LW47" i="9"/>
  <c r="LX47" i="9"/>
  <c r="D48" i="9"/>
  <c r="P48" i="9"/>
  <c r="AE48" i="9"/>
  <c r="AP48" i="9"/>
  <c r="AU48" i="9"/>
  <c r="BM48" i="9"/>
  <c r="BT48" i="9"/>
  <c r="BU48" i="9" s="1"/>
  <c r="DL48" i="9"/>
  <c r="DL49" i="9" s="1"/>
  <c r="DL50" i="9" s="1"/>
  <c r="DL51" i="9" s="1"/>
  <c r="EA48" i="9"/>
  <c r="GW48" i="9"/>
  <c r="HB48" i="9"/>
  <c r="HN48" i="9"/>
  <c r="HP48" i="9"/>
  <c r="IA48" i="9"/>
  <c r="IE48" i="9"/>
  <c r="IG48" i="9"/>
  <c r="LQ48" i="9"/>
  <c r="LR48" i="9"/>
  <c r="LS48" i="9"/>
  <c r="LT48" i="9"/>
  <c r="LU48" i="9"/>
  <c r="LV48" i="9"/>
  <c r="LW48" i="9"/>
  <c r="LX48" i="9"/>
  <c r="D49" i="9"/>
  <c r="P49" i="9"/>
  <c r="AE49" i="9"/>
  <c r="AP49" i="9"/>
  <c r="AU49" i="9"/>
  <c r="BG49" i="9"/>
  <c r="BM49" i="9"/>
  <c r="BT49" i="9"/>
  <c r="BU49" i="9" s="1"/>
  <c r="CR49" i="9"/>
  <c r="CS49" i="9" s="1"/>
  <c r="EA49" i="9"/>
  <c r="FS49" i="9"/>
  <c r="FS50" i="9" s="1"/>
  <c r="FS51" i="9" s="1"/>
  <c r="FV49" i="9"/>
  <c r="GW49" i="9"/>
  <c r="HB49" i="9"/>
  <c r="HN49" i="9"/>
  <c r="HP49" i="9"/>
  <c r="IA49" i="9"/>
  <c r="IE49" i="9"/>
  <c r="IG49" i="9"/>
  <c r="LQ49" i="9"/>
  <c r="LR49" i="9"/>
  <c r="LS49" i="9"/>
  <c r="LT49" i="9"/>
  <c r="LU49" i="9"/>
  <c r="LV49" i="9"/>
  <c r="LW49" i="9"/>
  <c r="LX49" i="9"/>
  <c r="D50" i="9"/>
  <c r="P50" i="9"/>
  <c r="AE50" i="9"/>
  <c r="AP50" i="9"/>
  <c r="AU50" i="9"/>
  <c r="BC50" i="9"/>
  <c r="BD50" i="9"/>
  <c r="BE50" i="9"/>
  <c r="BE51" i="9" s="1"/>
  <c r="BE52" i="9" s="1"/>
  <c r="BE53" i="9" s="1"/>
  <c r="BF50" i="9"/>
  <c r="BF51" i="9" s="1"/>
  <c r="BF52" i="9" s="1"/>
  <c r="BM50" i="9"/>
  <c r="BU50" i="9"/>
  <c r="CA50" i="9"/>
  <c r="EA50" i="9"/>
  <c r="FV50" i="9"/>
  <c r="GW50" i="9"/>
  <c r="HB50" i="9"/>
  <c r="HN50" i="9"/>
  <c r="HP50" i="9"/>
  <c r="IA50" i="9"/>
  <c r="IE50" i="9"/>
  <c r="IG50" i="9"/>
  <c r="LQ50" i="9"/>
  <c r="LR50" i="9"/>
  <c r="LS50" i="9"/>
  <c r="LT50" i="9"/>
  <c r="LU50" i="9"/>
  <c r="LV50" i="9"/>
  <c r="LW50" i="9"/>
  <c r="LX50" i="9"/>
  <c r="D51" i="9"/>
  <c r="P51" i="9"/>
  <c r="AE51" i="9"/>
  <c r="AP51" i="9"/>
  <c r="AU51" i="9"/>
  <c r="BM51" i="9"/>
  <c r="BU51" i="9"/>
  <c r="CM51" i="9"/>
  <c r="EA51" i="9"/>
  <c r="EJ52" i="9"/>
  <c r="EJ53" i="9" s="1"/>
  <c r="EJ54" i="9" s="1"/>
  <c r="EJ55" i="9" s="1"/>
  <c r="EK52" i="9"/>
  <c r="EK53" i="9" s="1"/>
  <c r="EK54" i="9" s="1"/>
  <c r="EK55" i="9" s="1"/>
  <c r="EK56" i="9" s="1"/>
  <c r="EK57" i="9" s="1"/>
  <c r="EK58" i="9" s="1"/>
  <c r="EK59" i="9" s="1"/>
  <c r="EK61" i="9" s="1"/>
  <c r="EK62" i="9" s="1"/>
  <c r="EK63" i="9" s="1"/>
  <c r="EK64" i="9" s="1"/>
  <c r="EK65" i="9" s="1"/>
  <c r="EK66" i="9" s="1"/>
  <c r="EK67" i="9" s="1"/>
  <c r="EK68" i="9" s="1"/>
  <c r="EK69" i="9" s="1"/>
  <c r="EK70" i="9" s="1"/>
  <c r="EK71" i="9" s="1"/>
  <c r="FV51" i="9"/>
  <c r="HB51" i="9"/>
  <c r="HN51" i="9"/>
  <c r="HP51" i="9"/>
  <c r="IA51" i="9"/>
  <c r="IE51" i="9"/>
  <c r="IG51" i="9"/>
  <c r="LQ51" i="9"/>
  <c r="LR51" i="9"/>
  <c r="LS51" i="9"/>
  <c r="LT51" i="9"/>
  <c r="LU51" i="9"/>
  <c r="LV51" i="9"/>
  <c r="LW51" i="9"/>
  <c r="LX51" i="9"/>
  <c r="D52" i="9"/>
  <c r="P52" i="9"/>
  <c r="AE52" i="9"/>
  <c r="AP52" i="9"/>
  <c r="AU52" i="9"/>
  <c r="BM52" i="9"/>
  <c r="BT52" i="9"/>
  <c r="BU52" i="9" s="1"/>
  <c r="EA52" i="9"/>
  <c r="FV52" i="9"/>
  <c r="GW52" i="9"/>
  <c r="HB52" i="9"/>
  <c r="HJ52" i="9"/>
  <c r="HN52" i="9"/>
  <c r="HP52" i="9"/>
  <c r="II52" i="9"/>
  <c r="LQ52" i="9"/>
  <c r="LR52" i="9"/>
  <c r="LS52" i="9"/>
  <c r="LT52" i="9"/>
  <c r="LU52" i="9"/>
  <c r="LV52" i="9"/>
  <c r="LW52" i="9"/>
  <c r="LX52" i="9"/>
  <c r="D53" i="9"/>
  <c r="P53" i="9"/>
  <c r="AE53" i="9"/>
  <c r="AP53" i="9"/>
  <c r="AU53" i="9"/>
  <c r="BM53" i="9"/>
  <c r="BT53" i="9"/>
  <c r="BU53" i="9" s="1"/>
  <c r="EA53" i="9"/>
  <c r="FV53" i="9"/>
  <c r="GW53" i="9"/>
  <c r="HB53" i="9"/>
  <c r="HN53" i="9"/>
  <c r="HP53" i="9"/>
  <c r="II53" i="9"/>
  <c r="LQ53" i="9"/>
  <c r="LR53" i="9"/>
  <c r="LS53" i="9"/>
  <c r="LT53" i="9"/>
  <c r="LU53" i="9"/>
  <c r="LV53" i="9"/>
  <c r="LW53" i="9"/>
  <c r="LX53" i="9"/>
  <c r="D54" i="9"/>
  <c r="P54" i="9"/>
  <c r="AE54" i="9"/>
  <c r="AP54" i="9"/>
  <c r="AU54" i="9"/>
  <c r="BC54" i="9"/>
  <c r="BC55" i="9" s="1"/>
  <c r="BD54" i="9"/>
  <c r="BD55" i="9" s="1"/>
  <c r="BM54" i="9"/>
  <c r="BT54" i="9"/>
  <c r="BU54" i="9" s="1"/>
  <c r="CM54" i="9"/>
  <c r="EA54" i="9"/>
  <c r="FV54" i="9"/>
  <c r="GW54" i="9"/>
  <c r="HB54" i="9"/>
  <c r="HN54" i="9"/>
  <c r="HP54" i="9"/>
  <c r="IA54" i="9"/>
  <c r="IE54" i="9"/>
  <c r="IG54" i="9"/>
  <c r="LQ54" i="9"/>
  <c r="LR54" i="9"/>
  <c r="LS54" i="9"/>
  <c r="LT54" i="9"/>
  <c r="LU54" i="9"/>
  <c r="LV54" i="9"/>
  <c r="LW54" i="9"/>
  <c r="LX54" i="9"/>
  <c r="D55" i="9"/>
  <c r="P55" i="9"/>
  <c r="AE55" i="9"/>
  <c r="AP55" i="9"/>
  <c r="AU55" i="9"/>
  <c r="BE55" i="9"/>
  <c r="BE56" i="9" s="1"/>
  <c r="BF55" i="9"/>
  <c r="BF56" i="9" s="1"/>
  <c r="BF57" i="9" s="1"/>
  <c r="BF58" i="9" s="1"/>
  <c r="BG58" i="9" s="1"/>
  <c r="BM55" i="9"/>
  <c r="BT55" i="9"/>
  <c r="BU55" i="9" s="1"/>
  <c r="EA55" i="9"/>
  <c r="FV55" i="9"/>
  <c r="GW55" i="9"/>
  <c r="HB55" i="9"/>
  <c r="HN55" i="9"/>
  <c r="HP55" i="9"/>
  <c r="IA55" i="9"/>
  <c r="IE55" i="9"/>
  <c r="IG55" i="9"/>
  <c r="LQ55" i="9"/>
  <c r="LR55" i="9"/>
  <c r="LS55" i="9"/>
  <c r="LT55" i="9"/>
  <c r="LU55" i="9"/>
  <c r="LV55" i="9"/>
  <c r="LW55" i="9"/>
  <c r="LX55" i="9"/>
  <c r="D56" i="9"/>
  <c r="P56" i="9"/>
  <c r="AE56" i="9"/>
  <c r="AP56" i="9"/>
  <c r="AU56" i="9"/>
  <c r="BM56" i="9"/>
  <c r="BT56" i="9"/>
  <c r="BU56" i="9" s="1"/>
  <c r="EA56" i="9"/>
  <c r="FV56" i="9"/>
  <c r="GW56" i="9"/>
  <c r="HB56" i="9"/>
  <c r="HN56" i="9"/>
  <c r="HP56" i="9"/>
  <c r="IA56" i="9"/>
  <c r="IE56" i="9"/>
  <c r="IG56" i="9"/>
  <c r="LQ56" i="9"/>
  <c r="LR56" i="9"/>
  <c r="LS56" i="9"/>
  <c r="LT56" i="9"/>
  <c r="LU56" i="9"/>
  <c r="LV56" i="9"/>
  <c r="LW56" i="9"/>
  <c r="LX56" i="9"/>
  <c r="D57" i="9"/>
  <c r="CQ57" i="9"/>
  <c r="P57" i="9"/>
  <c r="AE57" i="9"/>
  <c r="AP57" i="9"/>
  <c r="AU57" i="9"/>
  <c r="BC57" i="9"/>
  <c r="BM57" i="9"/>
  <c r="BR57" i="9"/>
  <c r="J52" i="122" s="1"/>
  <c r="AP52" i="122" s="1"/>
  <c r="BT57" i="9"/>
  <c r="BU57" i="9" s="1"/>
  <c r="EA57" i="9"/>
  <c r="FV57" i="9"/>
  <c r="GW57" i="9"/>
  <c r="HB57" i="9"/>
  <c r="HH57" i="9"/>
  <c r="HJ57" i="9"/>
  <c r="HN57" i="9"/>
  <c r="HP57" i="9"/>
  <c r="IA57" i="9"/>
  <c r="IE57" i="9"/>
  <c r="IG57" i="9"/>
  <c r="LQ57" i="9"/>
  <c r="LR57" i="9"/>
  <c r="LS57" i="9"/>
  <c r="LT57" i="9"/>
  <c r="LU57" i="9"/>
  <c r="LV57" i="9"/>
  <c r="LW57" i="9"/>
  <c r="LX57" i="9"/>
  <c r="C58" i="9"/>
  <c r="A58" i="9" s="1"/>
  <c r="D58" i="9"/>
  <c r="P58" i="9"/>
  <c r="AP58" i="9"/>
  <c r="AU58" i="9"/>
  <c r="BH58" i="9"/>
  <c r="BH59" i="9" s="1"/>
  <c r="BH60" i="9" s="1"/>
  <c r="BJ60" i="9" s="1"/>
  <c r="BM58" i="9"/>
  <c r="BT58" i="9"/>
  <c r="BU58" i="9" s="1"/>
  <c r="EA58" i="9"/>
  <c r="FV58" i="9"/>
  <c r="HB58" i="9"/>
  <c r="HJ58" i="9"/>
  <c r="HN58" i="9"/>
  <c r="HP58" i="9"/>
  <c r="IA58" i="9"/>
  <c r="IE58" i="9"/>
  <c r="IG58" i="9"/>
  <c r="LQ58" i="9"/>
  <c r="LR58" i="9"/>
  <c r="LS58" i="9"/>
  <c r="LT58" i="9"/>
  <c r="LU58" i="9"/>
  <c r="LV58" i="9"/>
  <c r="LW58" i="9"/>
  <c r="LX58" i="9"/>
  <c r="B59" i="9"/>
  <c r="B60" i="9" s="1"/>
  <c r="B61" i="9" s="1"/>
  <c r="B62" i="9" s="1"/>
  <c r="B63" i="9" s="1"/>
  <c r="D59" i="9"/>
  <c r="P59" i="9"/>
  <c r="AP59" i="9"/>
  <c r="AU59" i="9"/>
  <c r="BC59" i="9"/>
  <c r="BD59" i="9"/>
  <c r="BM59" i="9"/>
  <c r="BT59" i="9"/>
  <c r="BU59" i="9" s="1"/>
  <c r="CR59" i="9"/>
  <c r="CS59" i="9" s="1"/>
  <c r="CW59" i="9"/>
  <c r="EA59" i="9"/>
  <c r="FV59" i="9"/>
  <c r="GW59" i="9"/>
  <c r="HB59" i="9"/>
  <c r="HN59" i="9"/>
  <c r="HP59" i="9"/>
  <c r="IA59" i="9"/>
  <c r="IE59" i="9"/>
  <c r="IG59" i="9"/>
  <c r="LQ59" i="9"/>
  <c r="LR59" i="9"/>
  <c r="LS59" i="9"/>
  <c r="LT59" i="9"/>
  <c r="LU59" i="9"/>
  <c r="LV59" i="9"/>
  <c r="LW59" i="9"/>
  <c r="LX59" i="9"/>
  <c r="D60" i="9"/>
  <c r="P60" i="9"/>
  <c r="AP60" i="9"/>
  <c r="AU60" i="9"/>
  <c r="BM60" i="9"/>
  <c r="BU60" i="9"/>
  <c r="EA60" i="9"/>
  <c r="FV60" i="9"/>
  <c r="GW60" i="9"/>
  <c r="HB60" i="9"/>
  <c r="HP60" i="9"/>
  <c r="LQ60" i="9"/>
  <c r="LR60" i="9"/>
  <c r="LS60" i="9"/>
  <c r="LT60" i="9"/>
  <c r="LU60" i="9"/>
  <c r="LV60" i="9"/>
  <c r="LW60" i="9"/>
  <c r="LX60" i="9"/>
  <c r="D61" i="9"/>
  <c r="P61" i="9"/>
  <c r="AP61" i="9"/>
  <c r="AU61" i="9"/>
  <c r="BM61" i="9"/>
  <c r="BU61" i="9"/>
  <c r="EA61" i="9"/>
  <c r="FV61" i="9"/>
  <c r="GW61" i="9"/>
  <c r="HB61" i="9"/>
  <c r="HP61" i="9"/>
  <c r="LQ61" i="9"/>
  <c r="LR61" i="9"/>
  <c r="LS61" i="9"/>
  <c r="LT61" i="9"/>
  <c r="LU61" i="9"/>
  <c r="LV61" i="9"/>
  <c r="LW61" i="9"/>
  <c r="LX61" i="9"/>
  <c r="D62" i="9"/>
  <c r="P62" i="9"/>
  <c r="AP62" i="9"/>
  <c r="AU62" i="9"/>
  <c r="EA62" i="9"/>
  <c r="FV62" i="9"/>
  <c r="GW62" i="9"/>
  <c r="HB62" i="9"/>
  <c r="HP62" i="9"/>
  <c r="LQ62" i="9"/>
  <c r="LR62" i="9"/>
  <c r="LS62" i="9"/>
  <c r="LT62" i="9"/>
  <c r="LU62" i="9"/>
  <c r="LV62" i="9"/>
  <c r="LW62" i="9"/>
  <c r="LX62" i="9"/>
  <c r="D63" i="9"/>
  <c r="AP63" i="9"/>
  <c r="AU63" i="9"/>
  <c r="BG63" i="9"/>
  <c r="BU63" i="9"/>
  <c r="EA63" i="9"/>
  <c r="FV63" i="9"/>
  <c r="GW63" i="9"/>
  <c r="HB63" i="9"/>
  <c r="HP63" i="9"/>
  <c r="LQ63" i="9"/>
  <c r="LR63" i="9"/>
  <c r="LS63" i="9"/>
  <c r="LT63" i="9"/>
  <c r="LU63" i="9"/>
  <c r="LV63" i="9"/>
  <c r="LW63" i="9"/>
  <c r="LX63" i="9"/>
  <c r="D64" i="9"/>
  <c r="P64" i="9"/>
  <c r="AP64" i="9"/>
  <c r="AU64" i="9"/>
  <c r="BG64" i="9"/>
  <c r="BM64" i="9"/>
  <c r="BU64" i="9"/>
  <c r="EA64" i="9"/>
  <c r="FV64" i="9"/>
  <c r="GW64" i="9"/>
  <c r="HB64" i="9"/>
  <c r="HP64" i="9"/>
  <c r="II64" i="9"/>
  <c r="LQ64" i="9"/>
  <c r="LR64" i="9"/>
  <c r="LS64" i="9"/>
  <c r="LT64" i="9"/>
  <c r="LU64" i="9"/>
  <c r="LV64" i="9"/>
  <c r="LW64" i="9"/>
  <c r="LX64" i="9"/>
  <c r="D65" i="9"/>
  <c r="P65" i="9"/>
  <c r="AP65" i="9"/>
  <c r="AU65" i="9"/>
  <c r="BG65" i="9"/>
  <c r="BM65" i="9"/>
  <c r="BU65" i="9"/>
  <c r="EA65" i="9"/>
  <c r="FV65" i="9"/>
  <c r="GW65" i="9"/>
  <c r="HB65" i="9"/>
  <c r="HP65" i="9"/>
  <c r="II65" i="9"/>
  <c r="LQ65" i="9"/>
  <c r="LR65" i="9"/>
  <c r="LS65" i="9"/>
  <c r="LT65" i="9"/>
  <c r="LU65" i="9"/>
  <c r="LV65" i="9"/>
  <c r="LW65" i="9"/>
  <c r="LX65" i="9"/>
  <c r="D66" i="9"/>
  <c r="P66" i="9"/>
  <c r="BG66" i="9"/>
  <c r="BM66" i="9"/>
  <c r="BU66" i="9"/>
  <c r="EA66" i="9"/>
  <c r="FV66" i="9"/>
  <c r="GW66" i="9"/>
  <c r="HB66" i="9"/>
  <c r="HP66" i="9"/>
  <c r="II66" i="9"/>
  <c r="LQ66" i="9"/>
  <c r="LR66" i="9"/>
  <c r="LS66" i="9"/>
  <c r="LT66" i="9"/>
  <c r="LU66" i="9"/>
  <c r="LV66" i="9"/>
  <c r="LW66" i="9"/>
  <c r="LX66" i="9"/>
  <c r="D67" i="9"/>
  <c r="P67" i="9"/>
  <c r="AP67" i="9"/>
  <c r="AU67" i="9"/>
  <c r="BG67" i="9"/>
  <c r="BM67" i="9"/>
  <c r="BU67" i="9"/>
  <c r="EA67" i="9"/>
  <c r="FV67" i="9"/>
  <c r="GW67" i="9"/>
  <c r="HB67" i="9"/>
  <c r="HP67" i="9"/>
  <c r="II67" i="9"/>
  <c r="LQ67" i="9"/>
  <c r="LR67" i="9"/>
  <c r="LS67" i="9"/>
  <c r="LT67" i="9"/>
  <c r="LU67" i="9"/>
  <c r="LV67" i="9"/>
  <c r="LW67" i="9"/>
  <c r="LX67" i="9"/>
  <c r="D68" i="9"/>
  <c r="P68" i="9"/>
  <c r="AP68" i="9"/>
  <c r="AU68" i="9"/>
  <c r="BG68" i="9"/>
  <c r="BM68" i="9"/>
  <c r="BU68" i="9"/>
  <c r="EA68" i="9"/>
  <c r="FV68" i="9"/>
  <c r="GW68" i="9"/>
  <c r="HB68" i="9"/>
  <c r="HP68" i="9"/>
  <c r="II68" i="9"/>
  <c r="LQ68" i="9"/>
  <c r="LR68" i="9"/>
  <c r="LS68" i="9"/>
  <c r="LT68" i="9"/>
  <c r="LU68" i="9"/>
  <c r="LV68" i="9"/>
  <c r="LW68" i="9"/>
  <c r="LX68" i="9"/>
  <c r="D69" i="9"/>
  <c r="P69" i="9"/>
  <c r="AP69" i="9"/>
  <c r="AU69" i="9"/>
  <c r="BG69" i="9"/>
  <c r="BM69" i="9"/>
  <c r="BU69" i="9"/>
  <c r="EA69" i="9"/>
  <c r="FV69" i="9"/>
  <c r="GW69" i="9"/>
  <c r="HB69" i="9"/>
  <c r="HP69" i="9"/>
  <c r="II69" i="9"/>
  <c r="LQ69" i="9"/>
  <c r="LR69" i="9"/>
  <c r="LS69" i="9"/>
  <c r="LU69" i="9"/>
  <c r="LV69" i="9"/>
  <c r="LW69" i="9"/>
  <c r="LX69" i="9"/>
  <c r="D70" i="9"/>
  <c r="P70" i="9"/>
  <c r="AP70" i="9"/>
  <c r="AU70" i="9"/>
  <c r="BG70" i="9"/>
  <c r="BM70" i="9"/>
  <c r="BU70" i="9"/>
  <c r="EA70" i="9"/>
  <c r="FV70" i="9"/>
  <c r="GW70" i="9"/>
  <c r="HB70" i="9"/>
  <c r="HH70" i="9"/>
  <c r="HP70" i="9"/>
  <c r="II70" i="9"/>
  <c r="LQ70" i="9"/>
  <c r="LR70" i="9"/>
  <c r="LS70" i="9"/>
  <c r="LT70" i="9"/>
  <c r="LU70" i="9"/>
  <c r="LV70" i="9"/>
  <c r="LW70" i="9"/>
  <c r="LX70" i="9"/>
  <c r="B71" i="9"/>
  <c r="B72" i="9" s="1"/>
  <c r="B73" i="9" s="1"/>
  <c r="B74" i="9" s="1"/>
  <c r="B75" i="9" s="1"/>
  <c r="B76" i="9" s="1"/>
  <c r="B77" i="9" s="1"/>
  <c r="B78" i="9" s="1"/>
  <c r="B79" i="9" s="1"/>
  <c r="B80" i="9" s="1"/>
  <c r="B81" i="9" s="1"/>
  <c r="D71" i="9"/>
  <c r="P71" i="9"/>
  <c r="AP71" i="9"/>
  <c r="AU71" i="9"/>
  <c r="BG71" i="9"/>
  <c r="BM71" i="9"/>
  <c r="BU71" i="9"/>
  <c r="EA71" i="9"/>
  <c r="FV71" i="9"/>
  <c r="GW71" i="9"/>
  <c r="HB71" i="9"/>
  <c r="HH71" i="9"/>
  <c r="HP71" i="9"/>
  <c r="II71" i="9"/>
  <c r="D72" i="9"/>
  <c r="P72" i="9"/>
  <c r="AP72" i="9"/>
  <c r="AU72" i="9"/>
  <c r="BG72" i="9"/>
  <c r="BJ72" i="9"/>
  <c r="BM72" i="9"/>
  <c r="BU72" i="9"/>
  <c r="EA72" i="9"/>
  <c r="FV72" i="9"/>
  <c r="GW72" i="9"/>
  <c r="HB72" i="9"/>
  <c r="HH72" i="9"/>
  <c r="HP72" i="9"/>
  <c r="II72" i="9"/>
  <c r="D73" i="9"/>
  <c r="P73" i="9"/>
  <c r="BG73" i="9"/>
  <c r="BJ73" i="9"/>
  <c r="BM73" i="9"/>
  <c r="BU73" i="9"/>
  <c r="EA73" i="9"/>
  <c r="FV73" i="9"/>
  <c r="GW73" i="9"/>
  <c r="HB73" i="9"/>
  <c r="HH73" i="9"/>
  <c r="HP73" i="9"/>
  <c r="II73" i="9"/>
  <c r="D74" i="9"/>
  <c r="P74" i="9"/>
  <c r="AP74" i="9"/>
  <c r="BG74" i="9"/>
  <c r="BJ74" i="9"/>
  <c r="BM74" i="9"/>
  <c r="BU74" i="9"/>
  <c r="EA74" i="9"/>
  <c r="FV74" i="9"/>
  <c r="GW74" i="9"/>
  <c r="HB74" i="9"/>
  <c r="HH74" i="9"/>
  <c r="HP74" i="9"/>
  <c r="II74" i="9"/>
  <c r="D75" i="9"/>
  <c r="P75" i="9"/>
  <c r="AP75" i="9"/>
  <c r="AU75" i="9"/>
  <c r="BG75" i="9"/>
  <c r="BJ75" i="9"/>
  <c r="BM75" i="9"/>
  <c r="BU75" i="9"/>
  <c r="EA75" i="9"/>
  <c r="FV75" i="9"/>
  <c r="GW75" i="9"/>
  <c r="HB75" i="9"/>
  <c r="HH75" i="9"/>
  <c r="HP75" i="9"/>
  <c r="II75" i="9"/>
  <c r="D76" i="9"/>
  <c r="P76" i="9"/>
  <c r="AP76" i="9"/>
  <c r="AU76" i="9"/>
  <c r="BG76" i="9"/>
  <c r="BJ76" i="9"/>
  <c r="BM76" i="9"/>
  <c r="BU76" i="9"/>
  <c r="EA76" i="9"/>
  <c r="FV76" i="9"/>
  <c r="GW76" i="9"/>
  <c r="HB76" i="9"/>
  <c r="HH76" i="9"/>
  <c r="HP76" i="9"/>
  <c r="II76" i="9"/>
  <c r="D77" i="9"/>
  <c r="P77" i="9"/>
  <c r="AP77" i="9"/>
  <c r="AU77" i="9"/>
  <c r="BG77" i="9"/>
  <c r="BJ77" i="9"/>
  <c r="BM77" i="9"/>
  <c r="BU77" i="9"/>
  <c r="EA77" i="9"/>
  <c r="FV77" i="9"/>
  <c r="GW77" i="9"/>
  <c r="HB77" i="9"/>
  <c r="HH77" i="9"/>
  <c r="HK77" i="9"/>
  <c r="HP77" i="9"/>
  <c r="II77" i="9"/>
  <c r="D78" i="9"/>
  <c r="P78" i="9"/>
  <c r="AP78" i="9"/>
  <c r="AU78" i="9"/>
  <c r="BG78" i="9"/>
  <c r="BJ78" i="9"/>
  <c r="BM78" i="9"/>
  <c r="BU78" i="9"/>
  <c r="EA78" i="9"/>
  <c r="FV78" i="9"/>
  <c r="GW78" i="9"/>
  <c r="HB78" i="9"/>
  <c r="HH78" i="9"/>
  <c r="HK78" i="9"/>
  <c r="HP78" i="9"/>
  <c r="II78" i="9"/>
  <c r="LQ78" i="9"/>
  <c r="LR78" i="9"/>
  <c r="LS78" i="9"/>
  <c r="LT78" i="9"/>
  <c r="LU78" i="9"/>
  <c r="LV78" i="9"/>
  <c r="LW78" i="9"/>
  <c r="LX78" i="9"/>
  <c r="D79" i="9"/>
  <c r="P79" i="9"/>
  <c r="AP79" i="9"/>
  <c r="AU79" i="9"/>
  <c r="BG79" i="9"/>
  <c r="BJ79" i="9"/>
  <c r="BM79" i="9"/>
  <c r="BU79" i="9"/>
  <c r="EA79" i="9"/>
  <c r="FV79" i="9"/>
  <c r="GW79" i="9"/>
  <c r="HB79" i="9"/>
  <c r="HH79" i="9"/>
  <c r="HK79" i="9"/>
  <c r="HP79" i="9"/>
  <c r="II79" i="9"/>
  <c r="LQ79" i="9"/>
  <c r="LR79" i="9"/>
  <c r="LS79" i="9"/>
  <c r="LT79" i="9"/>
  <c r="LU79" i="9"/>
  <c r="LV79" i="9"/>
  <c r="LW79" i="9"/>
  <c r="LX79" i="9"/>
  <c r="D80" i="9"/>
  <c r="P80" i="9"/>
  <c r="AP80" i="9"/>
  <c r="AU80" i="9"/>
  <c r="BG80" i="9"/>
  <c r="BJ80" i="9"/>
  <c r="BM80" i="9"/>
  <c r="BU80" i="9"/>
  <c r="EA80" i="9"/>
  <c r="FV80" i="9"/>
  <c r="GW80" i="9"/>
  <c r="HB80" i="9"/>
  <c r="HH80" i="9"/>
  <c r="HK80" i="9"/>
  <c r="HP80" i="9"/>
  <c r="II80" i="9"/>
  <c r="LQ80" i="9"/>
  <c r="LR80" i="9"/>
  <c r="LS80" i="9"/>
  <c r="LT80" i="9"/>
  <c r="LU80" i="9"/>
  <c r="LV80" i="9"/>
  <c r="LW80" i="9"/>
  <c r="LX80" i="9"/>
  <c r="D81" i="9"/>
  <c r="P81" i="9"/>
  <c r="AP81" i="9"/>
  <c r="AU81" i="9"/>
  <c r="BG81" i="9"/>
  <c r="BJ81" i="9"/>
  <c r="BM81" i="9"/>
  <c r="EA81" i="9"/>
  <c r="FV81" i="9"/>
  <c r="GW81" i="9"/>
  <c r="HB81" i="9"/>
  <c r="HH81" i="9"/>
  <c r="HK81" i="9"/>
  <c r="HP81" i="9"/>
  <c r="II81" i="9"/>
  <c r="LQ81" i="9"/>
  <c r="LR81" i="9"/>
  <c r="LS81" i="9"/>
  <c r="LT81" i="9"/>
  <c r="LU81" i="9"/>
  <c r="LV81" i="9"/>
  <c r="LW81" i="9"/>
  <c r="LX81" i="9"/>
  <c r="D82" i="9"/>
  <c r="AP82" i="9"/>
  <c r="AU82" i="9"/>
  <c r="BG82" i="9"/>
  <c r="BJ82" i="9"/>
  <c r="BM82" i="9"/>
  <c r="BU82" i="9"/>
  <c r="EA82" i="9"/>
  <c r="FV82" i="9"/>
  <c r="GW82" i="9"/>
  <c r="HB82" i="9"/>
  <c r="HH82" i="9"/>
  <c r="HK82" i="9"/>
  <c r="HP82" i="9"/>
  <c r="LQ82" i="9"/>
  <c r="LR82" i="9"/>
  <c r="LS82" i="9"/>
  <c r="LT82" i="9"/>
  <c r="LU82" i="9"/>
  <c r="LV82" i="9"/>
  <c r="LW82" i="9"/>
  <c r="LX82" i="9"/>
  <c r="B83" i="9"/>
  <c r="B84" i="9" s="1"/>
  <c r="B85" i="9" s="1"/>
  <c r="B86" i="9" s="1"/>
  <c r="B87" i="9" s="1"/>
  <c r="B88" i="9" s="1"/>
  <c r="B89" i="9" s="1"/>
  <c r="B90" i="9" s="1"/>
  <c r="B91" i="9" s="1"/>
  <c r="B92" i="9" s="1"/>
  <c r="B93" i="9" s="1"/>
  <c r="D83" i="9"/>
  <c r="LQ83" i="9"/>
  <c r="LR83" i="9"/>
  <c r="LS83" i="9"/>
  <c r="LT83" i="9"/>
  <c r="LU83" i="9"/>
  <c r="LV83" i="9"/>
  <c r="LW83" i="9"/>
  <c r="LX83" i="9"/>
  <c r="D84" i="9"/>
  <c r="LQ84" i="9"/>
  <c r="LR84" i="9"/>
  <c r="LS84" i="9"/>
  <c r="LT84" i="9"/>
  <c r="LU84" i="9"/>
  <c r="LV84" i="9"/>
  <c r="LW84" i="9"/>
  <c r="LX84" i="9"/>
  <c r="D85" i="9"/>
  <c r="P85" i="9"/>
  <c r="AP85" i="9"/>
  <c r="AU85" i="9"/>
  <c r="BG85" i="9"/>
  <c r="BJ85" i="9"/>
  <c r="BM85" i="9"/>
  <c r="EA85" i="9"/>
  <c r="FV85" i="9"/>
  <c r="GW85" i="9"/>
  <c r="HB85" i="9"/>
  <c r="HH85" i="9"/>
  <c r="HK85" i="9"/>
  <c r="HP85" i="9"/>
  <c r="II85" i="9"/>
  <c r="LQ85" i="9"/>
  <c r="LR85" i="9"/>
  <c r="LS85" i="9"/>
  <c r="LT85" i="9"/>
  <c r="LU85" i="9"/>
  <c r="LV85" i="9"/>
  <c r="LW85" i="9"/>
  <c r="LX85" i="9"/>
  <c r="D86" i="9"/>
  <c r="P86" i="9"/>
  <c r="AP86" i="9"/>
  <c r="AU86" i="9"/>
  <c r="BG86" i="9"/>
  <c r="BJ86" i="9"/>
  <c r="BM86" i="9"/>
  <c r="BU86" i="9"/>
  <c r="EA86" i="9"/>
  <c r="FV86" i="9"/>
  <c r="GW86" i="9"/>
  <c r="HB86" i="9"/>
  <c r="HH86" i="9"/>
  <c r="HK86" i="9"/>
  <c r="HP86" i="9"/>
  <c r="II86" i="9"/>
  <c r="LQ86" i="9"/>
  <c r="LR86" i="9"/>
  <c r="LS86" i="9"/>
  <c r="LT86" i="9"/>
  <c r="LU86" i="9"/>
  <c r="LV86" i="9"/>
  <c r="LW86" i="9"/>
  <c r="LX86" i="9"/>
  <c r="D87" i="9"/>
  <c r="P87" i="9"/>
  <c r="AP87" i="9"/>
  <c r="AU87" i="9"/>
  <c r="BG87" i="9"/>
  <c r="BJ87" i="9"/>
  <c r="BM87" i="9"/>
  <c r="BU87" i="9"/>
  <c r="EA87" i="9"/>
  <c r="FV87" i="9"/>
  <c r="GW87" i="9"/>
  <c r="HB87" i="9"/>
  <c r="HH87" i="9"/>
  <c r="HK87" i="9"/>
  <c r="II87" i="9"/>
  <c r="LQ87" i="9"/>
  <c r="LR87" i="9"/>
  <c r="LS87" i="9"/>
  <c r="LT87" i="9"/>
  <c r="LU87" i="9"/>
  <c r="LV87" i="9"/>
  <c r="LW87" i="9"/>
  <c r="LX87" i="9"/>
  <c r="D88" i="9"/>
  <c r="LQ88" i="9"/>
  <c r="LR88" i="9"/>
  <c r="LS88" i="9"/>
  <c r="LT88" i="9"/>
  <c r="LU88" i="9"/>
  <c r="LV88" i="9"/>
  <c r="LW88" i="9"/>
  <c r="LX88" i="9"/>
  <c r="D89" i="9"/>
  <c r="LQ89" i="9"/>
  <c r="LR89" i="9"/>
  <c r="LS89" i="9"/>
  <c r="LT89" i="9"/>
  <c r="LU89" i="9"/>
  <c r="LV89" i="9"/>
  <c r="LW89" i="9"/>
  <c r="LX89" i="9"/>
  <c r="D90" i="9"/>
  <c r="LQ90" i="9"/>
  <c r="LR90" i="9"/>
  <c r="LS90" i="9"/>
  <c r="LT90" i="9"/>
  <c r="LU90" i="9"/>
  <c r="LV90" i="9"/>
  <c r="LW90" i="9"/>
  <c r="LX90" i="9"/>
  <c r="D91" i="9"/>
  <c r="LQ91" i="9"/>
  <c r="LR91" i="9"/>
  <c r="LS91" i="9"/>
  <c r="LT91" i="9"/>
  <c r="LU91" i="9"/>
  <c r="LV91" i="9"/>
  <c r="LW91" i="9"/>
  <c r="LX91" i="9"/>
  <c r="D92" i="9"/>
  <c r="P92" i="9"/>
  <c r="AP92" i="9"/>
  <c r="AU92" i="9"/>
  <c r="BG92" i="9"/>
  <c r="BJ92" i="9"/>
  <c r="BM92" i="9"/>
  <c r="BU92" i="9"/>
  <c r="EA92" i="9"/>
  <c r="FV92" i="9"/>
  <c r="GW92" i="9"/>
  <c r="HB92" i="9"/>
  <c r="HH92" i="9"/>
  <c r="HK92" i="9"/>
  <c r="HP92" i="9"/>
  <c r="II92" i="9"/>
  <c r="LQ92" i="9"/>
  <c r="LR92" i="9"/>
  <c r="LS92" i="9"/>
  <c r="LT92" i="9"/>
  <c r="LU92" i="9"/>
  <c r="LV92" i="9"/>
  <c r="LW92" i="9"/>
  <c r="LX92" i="9"/>
  <c r="D93" i="9"/>
  <c r="P93" i="9"/>
  <c r="AP93" i="9"/>
  <c r="AU93" i="9"/>
  <c r="BG93" i="9"/>
  <c r="BJ93" i="9"/>
  <c r="BM93" i="9"/>
  <c r="BU93" i="9"/>
  <c r="EA93" i="9"/>
  <c r="FV93" i="9"/>
  <c r="GW93" i="9"/>
  <c r="HB93" i="9"/>
  <c r="HH93" i="9"/>
  <c r="HK93" i="9"/>
  <c r="HP93" i="9"/>
  <c r="II93" i="9"/>
  <c r="LQ93" i="9"/>
  <c r="LR93" i="9"/>
  <c r="LS93" i="9"/>
  <c r="LT93" i="9"/>
  <c r="LU93" i="9"/>
  <c r="LV93" i="9"/>
  <c r="LW93" i="9"/>
  <c r="LX93" i="9"/>
  <c r="D94" i="9"/>
  <c r="P94" i="9"/>
  <c r="AP94" i="9"/>
  <c r="AU94" i="9"/>
  <c r="BG94" i="9"/>
  <c r="BJ94" i="9"/>
  <c r="BM94" i="9"/>
  <c r="BU94" i="9"/>
  <c r="EA94" i="9"/>
  <c r="FV94" i="9"/>
  <c r="GW94" i="9"/>
  <c r="HB94" i="9"/>
  <c r="HH94" i="9"/>
  <c r="HK94" i="9"/>
  <c r="HP94" i="9"/>
  <c r="II94" i="9"/>
  <c r="LQ94" i="9"/>
  <c r="LR94" i="9"/>
  <c r="LS94" i="9"/>
  <c r="LT94" i="9"/>
  <c r="LU94" i="9"/>
  <c r="LV94" i="9"/>
  <c r="LW94" i="9"/>
  <c r="LX94" i="9"/>
  <c r="B95" i="9"/>
  <c r="B96" i="9" s="1"/>
  <c r="B97" i="9" s="1"/>
  <c r="D95" i="9"/>
  <c r="P95" i="9"/>
  <c r="AP95" i="9"/>
  <c r="BG95" i="9"/>
  <c r="BJ95" i="9"/>
  <c r="BM95" i="9"/>
  <c r="BU95" i="9"/>
  <c r="EA95" i="9"/>
  <c r="FV95" i="9"/>
  <c r="GW95" i="9"/>
  <c r="HB95" i="9"/>
  <c r="HH95" i="9"/>
  <c r="HK95" i="9"/>
  <c r="HP95" i="9"/>
  <c r="II95" i="9"/>
  <c r="LQ95" i="9"/>
  <c r="LR95" i="9"/>
  <c r="LS95" i="9"/>
  <c r="LT95" i="9"/>
  <c r="LU95" i="9"/>
  <c r="LV95" i="9"/>
  <c r="LW95" i="9"/>
  <c r="LX95" i="9"/>
  <c r="D96" i="9"/>
  <c r="P96" i="9"/>
  <c r="AP96" i="9"/>
  <c r="AU96" i="9"/>
  <c r="BG96" i="9"/>
  <c r="BJ96" i="9"/>
  <c r="BM96" i="9"/>
  <c r="BU96" i="9"/>
  <c r="EA96" i="9"/>
  <c r="FV96" i="9"/>
  <c r="GW96" i="9"/>
  <c r="HB96" i="9"/>
  <c r="HH96" i="9"/>
  <c r="HK96" i="9"/>
  <c r="HP96" i="9"/>
  <c r="II96" i="9"/>
  <c r="LQ96" i="9"/>
  <c r="LR96" i="9"/>
  <c r="LS96" i="9"/>
  <c r="LT96" i="9"/>
  <c r="LU96" i="9"/>
  <c r="LV96" i="9"/>
  <c r="LW96" i="9"/>
  <c r="LX96" i="9"/>
  <c r="D97" i="9"/>
  <c r="P97" i="9"/>
  <c r="AP97" i="9"/>
  <c r="AU97" i="9"/>
  <c r="BG97" i="9"/>
  <c r="BJ97" i="9"/>
  <c r="BM97" i="9"/>
  <c r="BU97" i="9"/>
  <c r="EA97" i="9"/>
  <c r="FV97" i="9"/>
  <c r="GW97" i="9"/>
  <c r="HB97" i="9"/>
  <c r="HH97" i="9"/>
  <c r="HK97" i="9"/>
  <c r="HP97" i="9"/>
  <c r="II97" i="9"/>
  <c r="LQ97" i="9"/>
  <c r="LR97" i="9"/>
  <c r="LS97" i="9"/>
  <c r="LT97" i="9"/>
  <c r="LU97" i="9"/>
  <c r="LV97" i="9"/>
  <c r="LW97" i="9"/>
  <c r="LX97" i="9"/>
  <c r="D98" i="9"/>
  <c r="P98" i="9"/>
  <c r="AP98" i="9"/>
  <c r="AU98" i="9"/>
  <c r="BG98" i="9"/>
  <c r="BJ98" i="9"/>
  <c r="BM98" i="9"/>
  <c r="BU98" i="9"/>
  <c r="EA98" i="9"/>
  <c r="FV98" i="9"/>
  <c r="GW98" i="9"/>
  <c r="HB98" i="9"/>
  <c r="HH98" i="9"/>
  <c r="HK98" i="9"/>
  <c r="HP98" i="9"/>
  <c r="II98" i="9"/>
  <c r="LQ98" i="9"/>
  <c r="LR98" i="9"/>
  <c r="LS98" i="9"/>
  <c r="LT98" i="9"/>
  <c r="LU98" i="9"/>
  <c r="LV98" i="9"/>
  <c r="LW98" i="9"/>
  <c r="LX98" i="9"/>
  <c r="D99" i="9"/>
  <c r="P99" i="9"/>
  <c r="AP99" i="9"/>
  <c r="AU99" i="9"/>
  <c r="BG99" i="9"/>
  <c r="BJ99" i="9"/>
  <c r="BM99" i="9"/>
  <c r="BU99" i="9"/>
  <c r="EA99" i="9"/>
  <c r="FV99" i="9"/>
  <c r="GW99" i="9"/>
  <c r="HB99" i="9"/>
  <c r="HH99" i="9"/>
  <c r="HK99" i="9"/>
  <c r="HP99" i="9"/>
  <c r="II99" i="9"/>
  <c r="LQ99" i="9"/>
  <c r="LR99" i="9"/>
  <c r="LS99" i="9"/>
  <c r="LT99" i="9"/>
  <c r="LU99" i="9"/>
  <c r="LV99" i="9"/>
  <c r="LW99" i="9"/>
  <c r="LX99" i="9"/>
  <c r="D100" i="9"/>
  <c r="P100" i="9"/>
  <c r="AP100" i="9"/>
  <c r="AU100" i="9"/>
  <c r="BG100" i="9"/>
  <c r="BJ100" i="9"/>
  <c r="BM100" i="9"/>
  <c r="BU100" i="9"/>
  <c r="EA100" i="9"/>
  <c r="FV100" i="9"/>
  <c r="GW100" i="9"/>
  <c r="HB100" i="9"/>
  <c r="HH100" i="9"/>
  <c r="HK100" i="9"/>
  <c r="HP100" i="9"/>
  <c r="II100" i="9"/>
  <c r="LQ100" i="9"/>
  <c r="LR100" i="9"/>
  <c r="LS100" i="9"/>
  <c r="LT100" i="9"/>
  <c r="LU100" i="9"/>
  <c r="LV100" i="9"/>
  <c r="LW100" i="9"/>
  <c r="LX100" i="9"/>
  <c r="D101" i="9"/>
  <c r="P101" i="9"/>
  <c r="AP101" i="9"/>
  <c r="AU101" i="9"/>
  <c r="BG101" i="9"/>
  <c r="BJ101" i="9"/>
  <c r="BM101" i="9"/>
  <c r="BU101" i="9"/>
  <c r="EA101" i="9"/>
  <c r="FV101" i="9"/>
  <c r="GW101" i="9"/>
  <c r="HB101" i="9"/>
  <c r="HH101" i="9"/>
  <c r="HK101" i="9"/>
  <c r="HP101" i="9"/>
  <c r="II101" i="9"/>
  <c r="LQ101" i="9"/>
  <c r="LR101" i="9"/>
  <c r="LS101" i="9"/>
  <c r="LT101" i="9"/>
  <c r="LU101" i="9"/>
  <c r="LV101" i="9"/>
  <c r="LW101" i="9"/>
  <c r="LX101" i="9"/>
  <c r="D102" i="9"/>
  <c r="P102" i="9"/>
  <c r="AP102" i="9"/>
  <c r="AU102" i="9"/>
  <c r="BG102" i="9"/>
  <c r="BJ102" i="9"/>
  <c r="BM102" i="9"/>
  <c r="BU102" i="9"/>
  <c r="EA102" i="9"/>
  <c r="FV102" i="9"/>
  <c r="GW102" i="9"/>
  <c r="HB102" i="9"/>
  <c r="HH102" i="9"/>
  <c r="HK102" i="9"/>
  <c r="HP102" i="9"/>
  <c r="II102" i="9"/>
  <c r="LQ102" i="9"/>
  <c r="LR102" i="9"/>
  <c r="LS102" i="9"/>
  <c r="LT102" i="9"/>
  <c r="LU102" i="9"/>
  <c r="LV102" i="9"/>
  <c r="LW102" i="9"/>
  <c r="LX102" i="9"/>
  <c r="D103" i="9"/>
  <c r="P103" i="9"/>
  <c r="AP103" i="9"/>
  <c r="AU103" i="9"/>
  <c r="BG103" i="9"/>
  <c r="BJ103" i="9"/>
  <c r="BM103" i="9"/>
  <c r="BU103" i="9"/>
  <c r="EA103" i="9"/>
  <c r="FV103" i="9"/>
  <c r="GW103" i="9"/>
  <c r="HB103" i="9"/>
  <c r="HH103" i="9"/>
  <c r="HK103" i="9"/>
  <c r="HP103" i="9"/>
  <c r="II103" i="9"/>
  <c r="LQ103" i="9"/>
  <c r="LR103" i="9"/>
  <c r="LS103" i="9"/>
  <c r="LT103" i="9"/>
  <c r="LU103" i="9"/>
  <c r="LV103" i="9"/>
  <c r="LW103" i="9"/>
  <c r="LX103" i="9"/>
  <c r="D104" i="9"/>
  <c r="P104" i="9"/>
  <c r="AP104" i="9"/>
  <c r="AU104" i="9"/>
  <c r="BG104" i="9"/>
  <c r="BJ104" i="9"/>
  <c r="BM104" i="9"/>
  <c r="BU104" i="9"/>
  <c r="EA104" i="9"/>
  <c r="FV104" i="9"/>
  <c r="GW104" i="9"/>
  <c r="HB104" i="9"/>
  <c r="HH104" i="9"/>
  <c r="HK104" i="9"/>
  <c r="HP104" i="9"/>
  <c r="II104" i="9"/>
  <c r="LQ104" i="9"/>
  <c r="LR104" i="9"/>
  <c r="LS104" i="9"/>
  <c r="LT104" i="9"/>
  <c r="LU104" i="9"/>
  <c r="LV104" i="9"/>
  <c r="LW104" i="9"/>
  <c r="LX104" i="9"/>
  <c r="D105" i="9"/>
  <c r="P105" i="9"/>
  <c r="AP105" i="9"/>
  <c r="AU105" i="9"/>
  <c r="BG105" i="9"/>
  <c r="BJ105" i="9"/>
  <c r="BM105" i="9"/>
  <c r="BU105" i="9"/>
  <c r="EA105" i="9"/>
  <c r="FV105" i="9"/>
  <c r="GW105" i="9"/>
  <c r="HB105" i="9"/>
  <c r="HH105" i="9"/>
  <c r="HK105" i="9"/>
  <c r="HP105" i="9"/>
  <c r="II105" i="9"/>
  <c r="LQ105" i="9"/>
  <c r="LR105" i="9"/>
  <c r="LS105" i="9"/>
  <c r="LT105" i="9"/>
  <c r="LU105" i="9"/>
  <c r="LV105" i="9"/>
  <c r="LW105" i="9"/>
  <c r="LX105" i="9"/>
  <c r="D106" i="9"/>
  <c r="P106" i="9"/>
  <c r="AP106" i="9"/>
  <c r="AU106" i="9"/>
  <c r="BJ106" i="9"/>
  <c r="BM106" i="9"/>
  <c r="BU106" i="9"/>
  <c r="EA106" i="9"/>
  <c r="FV106" i="9"/>
  <c r="GW106" i="9"/>
  <c r="HB106" i="9"/>
  <c r="HH106" i="9"/>
  <c r="HK106" i="9"/>
  <c r="HP106" i="9"/>
  <c r="II106" i="9"/>
  <c r="LQ106" i="9"/>
  <c r="LR106" i="9"/>
  <c r="LS106" i="9"/>
  <c r="LT106" i="9"/>
  <c r="LU106" i="9"/>
  <c r="LV106" i="9"/>
  <c r="LW106" i="9"/>
  <c r="LX106" i="9"/>
  <c r="B107" i="9"/>
  <c r="B108" i="9" s="1"/>
  <c r="B109" i="9" s="1"/>
  <c r="B110" i="9" s="1"/>
  <c r="B111" i="9" s="1"/>
  <c r="B112" i="9" s="1"/>
  <c r="B113" i="9" s="1"/>
  <c r="B114" i="9" s="1"/>
  <c r="B115" i="9" s="1"/>
  <c r="B116" i="9" s="1"/>
  <c r="B117" i="9" s="1"/>
  <c r="D107" i="9"/>
  <c r="P107" i="9"/>
  <c r="AP107" i="9"/>
  <c r="AU107" i="9"/>
  <c r="BJ107" i="9"/>
  <c r="BM107" i="9"/>
  <c r="BU107" i="9"/>
  <c r="EA107" i="9"/>
  <c r="FV107" i="9"/>
  <c r="GW107" i="9"/>
  <c r="HB107" i="9"/>
  <c r="HH107" i="9"/>
  <c r="HK107" i="9"/>
  <c r="HP107" i="9"/>
  <c r="LQ107" i="9"/>
  <c r="LR107" i="9"/>
  <c r="LS107" i="9"/>
  <c r="LT107" i="9"/>
  <c r="LU107" i="9"/>
  <c r="LV107" i="9"/>
  <c r="LW107" i="9"/>
  <c r="LX107" i="9"/>
  <c r="D108" i="9"/>
  <c r="P108" i="9"/>
  <c r="BJ108" i="9"/>
  <c r="BM108" i="9"/>
  <c r="BU108" i="9"/>
  <c r="EA108" i="9"/>
  <c r="FV108" i="9"/>
  <c r="GW108" i="9"/>
  <c r="HB108" i="9"/>
  <c r="HH108" i="9"/>
  <c r="HK108" i="9"/>
  <c r="HP108" i="9"/>
  <c r="II108" i="9"/>
  <c r="LQ108" i="9"/>
  <c r="LR108" i="9"/>
  <c r="LS108" i="9"/>
  <c r="LT108" i="9"/>
  <c r="LU108" i="9"/>
  <c r="LV108" i="9"/>
  <c r="LW108" i="9"/>
  <c r="LX108" i="9"/>
  <c r="D109" i="9"/>
  <c r="P109" i="9"/>
  <c r="AP109" i="9"/>
  <c r="AU109" i="9"/>
  <c r="BJ109" i="9"/>
  <c r="BM109" i="9"/>
  <c r="BU109" i="9"/>
  <c r="EA109" i="9"/>
  <c r="FV109" i="9"/>
  <c r="GW109" i="9"/>
  <c r="HB109" i="9"/>
  <c r="HH109" i="9"/>
  <c r="HK109" i="9"/>
  <c r="HP109" i="9"/>
  <c r="II109" i="9"/>
  <c r="LQ109" i="9"/>
  <c r="LR109" i="9"/>
  <c r="LS109" i="9"/>
  <c r="LT109" i="9"/>
  <c r="LU109" i="9"/>
  <c r="LV109" i="9"/>
  <c r="LW109" i="9"/>
  <c r="LX109" i="9"/>
  <c r="D110" i="9"/>
  <c r="P110" i="9"/>
  <c r="AP110" i="9"/>
  <c r="AU110" i="9"/>
  <c r="BJ110" i="9"/>
  <c r="BM110" i="9"/>
  <c r="BQ110" i="9"/>
  <c r="BU110" i="9"/>
  <c r="EA110" i="9"/>
  <c r="FV110" i="9"/>
  <c r="GW110" i="9"/>
  <c r="HB110" i="9"/>
  <c r="HH110" i="9"/>
  <c r="HK110" i="9"/>
  <c r="HP110" i="9"/>
  <c r="II110" i="9"/>
  <c r="LQ110" i="9"/>
  <c r="LR110" i="9"/>
  <c r="LS110" i="9"/>
  <c r="LT110" i="9"/>
  <c r="LU110" i="9"/>
  <c r="LV110" i="9"/>
  <c r="LW110" i="9"/>
  <c r="LX110" i="9"/>
  <c r="D111" i="9"/>
  <c r="P111" i="9"/>
  <c r="AP111" i="9"/>
  <c r="AU111" i="9"/>
  <c r="CZ111" i="9"/>
  <c r="BJ111" i="9"/>
  <c r="BM111" i="9"/>
  <c r="BQ111" i="9"/>
  <c r="BU111" i="9"/>
  <c r="EA111" i="9"/>
  <c r="FV111" i="9"/>
  <c r="GW111" i="9"/>
  <c r="HB111" i="9"/>
  <c r="HH111" i="9"/>
  <c r="HK111" i="9"/>
  <c r="HP111" i="9"/>
  <c r="II111" i="9"/>
  <c r="LQ111" i="9"/>
  <c r="LS111" i="9"/>
  <c r="LT111" i="9"/>
  <c r="LU111" i="9"/>
  <c r="LV111" i="9"/>
  <c r="LW111" i="9"/>
  <c r="LX111" i="9"/>
  <c r="D112" i="9"/>
  <c r="P112" i="9"/>
  <c r="BJ112" i="9"/>
  <c r="BM112" i="9"/>
  <c r="BQ112" i="9"/>
  <c r="BU112" i="9"/>
  <c r="EA112" i="9"/>
  <c r="FV112" i="9"/>
  <c r="GW112" i="9"/>
  <c r="HB112" i="9"/>
  <c r="HH112" i="9"/>
  <c r="HK112" i="9"/>
  <c r="HP112" i="9"/>
  <c r="II112" i="9"/>
  <c r="LQ112" i="9"/>
  <c r="D113" i="9"/>
  <c r="P113" i="9"/>
  <c r="AP113" i="9"/>
  <c r="AU113" i="9"/>
  <c r="BJ113" i="9"/>
  <c r="BM113" i="9"/>
  <c r="BQ113" i="9"/>
  <c r="BU113" i="9"/>
  <c r="DI113" i="9" s="1"/>
  <c r="EA113" i="9"/>
  <c r="FV113" i="9"/>
  <c r="GW113" i="9"/>
  <c r="HB113" i="9"/>
  <c r="HH113" i="9"/>
  <c r="HK113" i="9"/>
  <c r="HP113" i="9"/>
  <c r="II113" i="9"/>
  <c r="D114" i="9"/>
  <c r="AP114" i="9"/>
  <c r="AU114" i="9"/>
  <c r="BJ114" i="9"/>
  <c r="BM114" i="9"/>
  <c r="BQ114" i="9"/>
  <c r="BU114" i="9"/>
  <c r="EA114" i="9"/>
  <c r="FV114" i="9"/>
  <c r="GW114" i="9"/>
  <c r="HB114" i="9"/>
  <c r="HH114" i="9"/>
  <c r="HK114" i="9"/>
  <c r="HP114" i="9"/>
  <c r="II114" i="9"/>
  <c r="D115" i="9"/>
  <c r="AP115" i="9"/>
  <c r="AU115" i="9"/>
  <c r="BJ115" i="9"/>
  <c r="BM115" i="9"/>
  <c r="BQ115" i="9"/>
  <c r="BU115" i="9"/>
  <c r="DI115" i="9" s="1"/>
  <c r="EA115" i="9"/>
  <c r="FV115" i="9"/>
  <c r="GW115" i="9"/>
  <c r="HB115" i="9"/>
  <c r="HH115" i="9"/>
  <c r="HK115" i="9"/>
  <c r="HP115" i="9"/>
  <c r="II115" i="9"/>
  <c r="D116" i="9"/>
  <c r="AP116" i="9"/>
  <c r="AU116" i="9"/>
  <c r="BJ116" i="9"/>
  <c r="BM116" i="9"/>
  <c r="BQ116" i="9"/>
  <c r="BU116" i="9"/>
  <c r="DI116" i="9" s="1"/>
  <c r="EA116" i="9"/>
  <c r="FV116" i="9"/>
  <c r="GW116" i="9"/>
  <c r="HB116" i="9"/>
  <c r="HH116" i="9"/>
  <c r="HK116" i="9"/>
  <c r="HP116" i="9"/>
  <c r="II116" i="9"/>
  <c r="D117" i="9"/>
  <c r="AP117" i="9"/>
  <c r="AU117" i="9"/>
  <c r="BJ117" i="9"/>
  <c r="BM117" i="9"/>
  <c r="BQ117" i="9"/>
  <c r="BU117" i="9"/>
  <c r="EA117" i="9"/>
  <c r="FV117" i="9"/>
  <c r="GW117" i="9"/>
  <c r="HB117" i="9"/>
  <c r="HH117" i="9"/>
  <c r="HK117" i="9"/>
  <c r="HP117" i="9"/>
  <c r="II117" i="9"/>
  <c r="D118" i="9"/>
  <c r="AP118" i="9"/>
  <c r="BJ118" i="9"/>
  <c r="BM118" i="9"/>
  <c r="BQ118" i="9"/>
  <c r="BU118" i="9"/>
  <c r="EA118" i="9"/>
  <c r="FV118" i="9"/>
  <c r="GW118" i="9"/>
  <c r="HB118" i="9"/>
  <c r="HH118" i="9"/>
  <c r="HK118" i="9"/>
  <c r="HP118" i="9"/>
  <c r="LU118" i="9"/>
  <c r="LV118" i="9"/>
  <c r="LW118" i="9"/>
  <c r="LX118" i="9"/>
  <c r="B119" i="9"/>
  <c r="B120" i="9" s="1"/>
  <c r="B121" i="9" s="1"/>
  <c r="B122" i="9" s="1"/>
  <c r="B123" i="9" s="1"/>
  <c r="B124" i="9" s="1"/>
  <c r="B125" i="9" s="1"/>
  <c r="B126" i="9" s="1"/>
  <c r="B127" i="9" s="1"/>
  <c r="B128" i="9" s="1"/>
  <c r="B129" i="9" s="1"/>
  <c r="D119" i="9"/>
  <c r="AP119" i="9"/>
  <c r="AU119" i="9"/>
  <c r="BJ119" i="9"/>
  <c r="BM119" i="9"/>
  <c r="BQ119" i="9"/>
  <c r="BU119" i="9"/>
  <c r="DI119" i="9" s="1"/>
  <c r="EA119" i="9"/>
  <c r="FV119" i="9"/>
  <c r="GW119" i="9"/>
  <c r="HB119" i="9"/>
  <c r="HH119" i="9"/>
  <c r="HK119" i="9"/>
  <c r="HP119" i="9"/>
  <c r="LQ119" i="9"/>
  <c r="LR119" i="9"/>
  <c r="LS119" i="9"/>
  <c r="LT119" i="9"/>
  <c r="LU119" i="9"/>
  <c r="LV119" i="9"/>
  <c r="LW119" i="9"/>
  <c r="LX119" i="9"/>
  <c r="D120" i="9"/>
  <c r="AP120" i="9"/>
  <c r="AU120" i="9"/>
  <c r="BJ120" i="9"/>
  <c r="BM120" i="9"/>
  <c r="BQ120" i="9"/>
  <c r="BU120" i="9"/>
  <c r="EA120" i="9"/>
  <c r="FV120" i="9"/>
  <c r="GH120" i="9"/>
  <c r="GW120" i="9"/>
  <c r="HB120" i="9"/>
  <c r="HH120" i="9"/>
  <c r="HK120" i="9"/>
  <c r="HP120" i="9"/>
  <c r="LQ120" i="9"/>
  <c r="LR120" i="9"/>
  <c r="LS120" i="9"/>
  <c r="LT120" i="9"/>
  <c r="LU120" i="9"/>
  <c r="LV120" i="9"/>
  <c r="LW120" i="9"/>
  <c r="LX120" i="9"/>
  <c r="D121" i="9"/>
  <c r="AP121" i="9"/>
  <c r="AU121" i="9"/>
  <c r="BJ121" i="9"/>
  <c r="BM121" i="9"/>
  <c r="BQ121" i="9"/>
  <c r="BU121" i="9"/>
  <c r="EA121" i="9"/>
  <c r="FV121" i="9"/>
  <c r="GW121" i="9"/>
  <c r="HB121" i="9"/>
  <c r="HH121" i="9"/>
  <c r="HP121" i="9"/>
  <c r="LQ121" i="9"/>
  <c r="LR121" i="9"/>
  <c r="LS121" i="9"/>
  <c r="LT121" i="9"/>
  <c r="LU121" i="9"/>
  <c r="LV121" i="9"/>
  <c r="LW121" i="9"/>
  <c r="LX121" i="9"/>
  <c r="D122" i="9"/>
  <c r="AP122" i="9"/>
  <c r="AU122" i="9"/>
  <c r="CZ122" i="9"/>
  <c r="BJ122" i="9"/>
  <c r="DA122" i="9" s="1"/>
  <c r="BM122" i="9"/>
  <c r="BQ122" i="9"/>
  <c r="BU122" i="9"/>
  <c r="DI122" i="9" s="1"/>
  <c r="EA122" i="9"/>
  <c r="FV122" i="9"/>
  <c r="GH122" i="9"/>
  <c r="GW122" i="9"/>
  <c r="HB122" i="9"/>
  <c r="HH122" i="9"/>
  <c r="HK122" i="9"/>
  <c r="HP122" i="9"/>
  <c r="LQ122" i="9"/>
  <c r="LR122" i="9"/>
  <c r="LS122" i="9"/>
  <c r="LT122" i="9"/>
  <c r="LU122" i="9"/>
  <c r="LV122" i="9"/>
  <c r="LW122" i="9"/>
  <c r="LX122" i="9"/>
  <c r="D123" i="9"/>
  <c r="AP123" i="9"/>
  <c r="AU123" i="9"/>
  <c r="CZ123" i="9"/>
  <c r="BJ123" i="9"/>
  <c r="DA123" i="9" s="1"/>
  <c r="BM123" i="9"/>
  <c r="BQ123" i="9"/>
  <c r="BU123" i="9"/>
  <c r="DI123" i="9" s="1"/>
  <c r="EA123" i="9"/>
  <c r="FV123" i="9"/>
  <c r="GH123" i="9"/>
  <c r="GW123" i="9"/>
  <c r="HB123" i="9"/>
  <c r="HH123" i="9"/>
  <c r="HK123" i="9"/>
  <c r="HP123" i="9"/>
  <c r="LQ123" i="9"/>
  <c r="LR123" i="9"/>
  <c r="LS123" i="9"/>
  <c r="LT123" i="9"/>
  <c r="LU123" i="9"/>
  <c r="LV123" i="9"/>
  <c r="LW123" i="9"/>
  <c r="LX123" i="9"/>
  <c r="D124" i="9"/>
  <c r="AP124" i="9"/>
  <c r="BJ124" i="9"/>
  <c r="BM124" i="9"/>
  <c r="BQ124" i="9"/>
  <c r="EA124" i="9"/>
  <c r="FV124" i="9"/>
  <c r="GH124" i="9"/>
  <c r="GW124" i="9"/>
  <c r="HB124" i="9"/>
  <c r="HH124" i="9"/>
  <c r="HK124" i="9"/>
  <c r="HP124" i="9"/>
  <c r="LQ124" i="9"/>
  <c r="LR124" i="9"/>
  <c r="LS124" i="9"/>
  <c r="LT124" i="9"/>
  <c r="LU124" i="9"/>
  <c r="LV124" i="9"/>
  <c r="LW124" i="9"/>
  <c r="LX124" i="9"/>
  <c r="D125" i="9"/>
  <c r="BJ125" i="9"/>
  <c r="BM125" i="9"/>
  <c r="BQ125" i="9"/>
  <c r="DI125" i="9"/>
  <c r="EA125" i="9"/>
  <c r="FV125" i="9"/>
  <c r="GH125" i="9"/>
  <c r="GW125" i="9"/>
  <c r="HB125" i="9"/>
  <c r="HH125" i="9"/>
  <c r="HK125" i="9"/>
  <c r="HP125" i="9"/>
  <c r="LQ125" i="9"/>
  <c r="LR125" i="9"/>
  <c r="LS125" i="9"/>
  <c r="LT125" i="9"/>
  <c r="LU125" i="9"/>
  <c r="LV125" i="9"/>
  <c r="LW125" i="9"/>
  <c r="LX125" i="9"/>
  <c r="D126" i="9"/>
  <c r="CZ126" i="9"/>
  <c r="BJ126" i="9"/>
  <c r="DA126" i="9" s="1"/>
  <c r="BM126" i="9"/>
  <c r="BQ126" i="9"/>
  <c r="BU126" i="9"/>
  <c r="DI126" i="9" s="1"/>
  <c r="EA126" i="9"/>
  <c r="FV126" i="9"/>
  <c r="GW126" i="9"/>
  <c r="HB126" i="9"/>
  <c r="HH126" i="9"/>
  <c r="HK126" i="9"/>
  <c r="HP126" i="9"/>
  <c r="LQ126" i="9"/>
  <c r="LR126" i="9"/>
  <c r="LS126" i="9"/>
  <c r="LT126" i="9"/>
  <c r="LU126" i="9"/>
  <c r="LV126" i="9"/>
  <c r="LW126" i="9"/>
  <c r="LX126" i="9"/>
  <c r="D127" i="9"/>
  <c r="CZ127" i="9"/>
  <c r="BJ127" i="9"/>
  <c r="BM127" i="9"/>
  <c r="BU127" i="9"/>
  <c r="DI127" i="9" s="1"/>
  <c r="EA127" i="9"/>
  <c r="FV127" i="9"/>
  <c r="GW127" i="9"/>
  <c r="HK127" i="9"/>
  <c r="HP127" i="9"/>
  <c r="LQ127" i="9"/>
  <c r="LR127" i="9"/>
  <c r="LS127" i="9"/>
  <c r="LT127" i="9"/>
  <c r="LU127" i="9"/>
  <c r="LV127" i="9"/>
  <c r="LW127" i="9"/>
  <c r="LX127" i="9"/>
  <c r="D128" i="9"/>
  <c r="BJ128" i="9"/>
  <c r="BM128" i="9"/>
  <c r="BU128" i="9"/>
  <c r="EA128" i="9"/>
  <c r="FV128" i="9"/>
  <c r="GW128" i="9"/>
  <c r="HB128" i="9"/>
  <c r="HH128" i="9"/>
  <c r="HK128" i="9"/>
  <c r="HP128" i="9"/>
  <c r="LQ128" i="9"/>
  <c r="LR128" i="9"/>
  <c r="LS128" i="9"/>
  <c r="LT128" i="9"/>
  <c r="LU128" i="9"/>
  <c r="LV128" i="9"/>
  <c r="LW128" i="9"/>
  <c r="LX128" i="9"/>
  <c r="D129" i="9"/>
  <c r="CZ129" i="9"/>
  <c r="BM129" i="9"/>
  <c r="EA129" i="9"/>
  <c r="FV129" i="9"/>
  <c r="GW129" i="9"/>
  <c r="HB129" i="9"/>
  <c r="HH129" i="9"/>
  <c r="HK129" i="9"/>
  <c r="HP129" i="9"/>
  <c r="LQ129" i="9"/>
  <c r="B12" i="3"/>
  <c r="B13" i="3"/>
  <c r="B14" i="3"/>
  <c r="G26" i="3" s="1"/>
  <c r="B15" i="3"/>
  <c r="G27" i="3" s="1"/>
  <c r="D12" i="3"/>
  <c r="D13" i="3"/>
  <c r="D14" i="3"/>
  <c r="D15" i="3"/>
  <c r="B16" i="3"/>
  <c r="G28" i="3" s="1"/>
  <c r="D16" i="3"/>
  <c r="B17" i="3"/>
  <c r="G29" i="3" s="1"/>
  <c r="D17" i="3"/>
  <c r="B18" i="3"/>
  <c r="G30" i="3" s="1"/>
  <c r="D18" i="3"/>
  <c r="B19" i="3"/>
  <c r="G31" i="3" s="1"/>
  <c r="D19" i="3"/>
  <c r="B20" i="3"/>
  <c r="G32" i="3" s="1"/>
  <c r="D20" i="3"/>
  <c r="B21" i="3"/>
  <c r="G33" i="3" s="1"/>
  <c r="D21" i="3"/>
  <c r="B22" i="3"/>
  <c r="G34" i="3" s="1"/>
  <c r="D22" i="3"/>
  <c r="B23" i="3"/>
  <c r="G35" i="3" s="1"/>
  <c r="D23" i="3"/>
  <c r="B24" i="3"/>
  <c r="G36" i="3" s="1"/>
  <c r="D24" i="3"/>
  <c r="B25" i="3"/>
  <c r="G37" i="3" s="1"/>
  <c r="D25" i="3"/>
  <c r="B26" i="3"/>
  <c r="G38" i="3" s="1"/>
  <c r="D26" i="3"/>
  <c r="B27" i="3"/>
  <c r="G39" i="3" s="1"/>
  <c r="D27" i="3"/>
  <c r="B28" i="3"/>
  <c r="G40" i="3" s="1"/>
  <c r="D28" i="3"/>
  <c r="B29" i="3"/>
  <c r="G41" i="3" s="1"/>
  <c r="D29" i="3"/>
  <c r="B30" i="3"/>
  <c r="G42" i="3" s="1"/>
  <c r="D30" i="3"/>
  <c r="B31" i="3"/>
  <c r="G43" i="3" s="1"/>
  <c r="D31" i="3"/>
  <c r="B32" i="3"/>
  <c r="G44" i="3" s="1"/>
  <c r="D32" i="3"/>
  <c r="B33" i="3"/>
  <c r="G45" i="3" s="1"/>
  <c r="D33" i="3"/>
  <c r="B34" i="3"/>
  <c r="G46" i="3" s="1"/>
  <c r="D34" i="3"/>
  <c r="B35" i="3"/>
  <c r="G47" i="3" s="1"/>
  <c r="D35" i="3"/>
  <c r="B36" i="3"/>
  <c r="G48" i="3" s="1"/>
  <c r="D36" i="3"/>
  <c r="B37" i="3"/>
  <c r="G49" i="3" s="1"/>
  <c r="D37" i="3"/>
  <c r="B38" i="3"/>
  <c r="G50" i="3" s="1"/>
  <c r="D38" i="3"/>
  <c r="B39" i="3"/>
  <c r="G51" i="3" s="1"/>
  <c r="D39" i="3"/>
  <c r="B40" i="3"/>
  <c r="G52" i="3" s="1"/>
  <c r="D40" i="3"/>
  <c r="B41" i="3"/>
  <c r="G53" i="3" s="1"/>
  <c r="D41" i="3"/>
  <c r="B42" i="3"/>
  <c r="G54" i="3" s="1"/>
  <c r="D42" i="3"/>
  <c r="B43" i="3"/>
  <c r="G55" i="3" s="1"/>
  <c r="D43" i="3"/>
  <c r="B44" i="3"/>
  <c r="G56" i="3" s="1"/>
  <c r="D44" i="3"/>
  <c r="B45" i="3"/>
  <c r="G57" i="3" s="1"/>
  <c r="D45" i="3"/>
  <c r="B46" i="3"/>
  <c r="G58" i="3" s="1"/>
  <c r="D46" i="3"/>
  <c r="B47" i="3"/>
  <c r="G59" i="3" s="1"/>
  <c r="D47" i="3"/>
  <c r="B48" i="3"/>
  <c r="G60" i="3" s="1"/>
  <c r="D48" i="3"/>
  <c r="B49" i="3"/>
  <c r="G61" i="3" s="1"/>
  <c r="D49" i="3"/>
  <c r="B50" i="3"/>
  <c r="G62" i="3" s="1"/>
  <c r="D50" i="3"/>
  <c r="B51" i="3"/>
  <c r="G63" i="3" s="1"/>
  <c r="D51" i="3"/>
  <c r="B52" i="3"/>
  <c r="G64" i="3" s="1"/>
  <c r="D52" i="3"/>
  <c r="B53" i="3"/>
  <c r="G65" i="3" s="1"/>
  <c r="D53" i="3"/>
  <c r="B54" i="3"/>
  <c r="G66" i="3" s="1"/>
  <c r="D54" i="3"/>
  <c r="B55" i="3"/>
  <c r="G67" i="3" s="1"/>
  <c r="D55" i="3"/>
  <c r="B56" i="3"/>
  <c r="G68" i="3" s="1"/>
  <c r="D56" i="3"/>
  <c r="B57" i="3"/>
  <c r="G69" i="3" s="1"/>
  <c r="D57" i="3"/>
  <c r="B58" i="3"/>
  <c r="G70" i="3" s="1"/>
  <c r="D58" i="3"/>
  <c r="B59" i="3"/>
  <c r="G71" i="3" s="1"/>
  <c r="D59" i="3"/>
  <c r="B60" i="3"/>
  <c r="G72" i="3" s="1"/>
  <c r="D60" i="3"/>
  <c r="B61" i="3"/>
  <c r="G73" i="3" s="1"/>
  <c r="D61" i="3"/>
  <c r="B62" i="3"/>
  <c r="G74" i="3" s="1"/>
  <c r="D62" i="3"/>
  <c r="B63" i="3"/>
  <c r="G75" i="3" s="1"/>
  <c r="D63" i="3"/>
  <c r="B64" i="3"/>
  <c r="G76" i="3" s="1"/>
  <c r="D64" i="3"/>
  <c r="B65" i="3"/>
  <c r="G77" i="3" s="1"/>
  <c r="D65" i="3"/>
  <c r="B66" i="3"/>
  <c r="G78" i="3" s="1"/>
  <c r="D66" i="3"/>
  <c r="B67" i="3"/>
  <c r="G79" i="3" s="1"/>
  <c r="D67" i="3"/>
  <c r="B68" i="3"/>
  <c r="G80" i="3" s="1"/>
  <c r="D68" i="3"/>
  <c r="B69" i="3"/>
  <c r="G81" i="3" s="1"/>
  <c r="D69" i="3"/>
  <c r="B70" i="3"/>
  <c r="G82" i="3" s="1"/>
  <c r="D70" i="3"/>
  <c r="B71" i="3"/>
  <c r="G83" i="3" s="1"/>
  <c r="D71" i="3"/>
  <c r="G7" i="3"/>
  <c r="V3" i="32"/>
  <c r="AB3" i="32" s="1"/>
  <c r="AF3" i="32" s="1"/>
  <c r="V4" i="32"/>
  <c r="AB4" i="32" s="1"/>
  <c r="AF4" i="32" s="1"/>
  <c r="V6" i="32"/>
  <c r="AB6" i="32" s="1"/>
  <c r="AF6" i="32" s="1"/>
  <c r="V7" i="32"/>
  <c r="AB7" i="32" s="1"/>
  <c r="AF7" i="32" s="1"/>
  <c r="V8" i="32"/>
  <c r="AB8" i="32" s="1"/>
  <c r="AF8" i="32" s="1"/>
  <c r="AA31" i="32"/>
  <c r="AA32" i="32" s="1"/>
  <c r="AA33" i="32" s="1"/>
  <c r="AA34" i="32" s="1"/>
  <c r="AA35" i="32" s="1"/>
  <c r="AA36" i="32" s="1"/>
  <c r="AA37" i="32" s="1"/>
  <c r="AA38" i="32" s="1"/>
  <c r="AA39" i="32" s="1"/>
  <c r="AA40" i="32" s="1"/>
  <c r="AA41" i="32" s="1"/>
  <c r="AA42" i="32" s="1"/>
  <c r="AA43" i="32" s="1"/>
  <c r="AA44" i="32" s="1"/>
  <c r="AA45" i="32" s="1"/>
  <c r="AA46" i="32" s="1"/>
  <c r="AA47" i="32" s="1"/>
  <c r="AA48" i="32" s="1"/>
  <c r="AA49" i="32" s="1"/>
  <c r="AA50" i="32" s="1"/>
  <c r="AA51" i="32" s="1"/>
  <c r="AA52" i="32" s="1"/>
  <c r="AA53" i="32" s="1"/>
  <c r="BG142" i="9"/>
  <c r="H30" i="7"/>
  <c r="F11" i="20"/>
  <c r="F12" i="20" s="1"/>
  <c r="F13" i="20" s="1"/>
  <c r="F14" i="20" s="1"/>
  <c r="F15" i="20" s="1"/>
  <c r="F16" i="20" s="1"/>
  <c r="F17" i="20" s="1"/>
  <c r="F18" i="20" s="1"/>
  <c r="F19" i="20" s="1"/>
  <c r="F20" i="20" s="1"/>
  <c r="F21" i="20" s="1"/>
  <c r="F22" i="20" s="1"/>
  <c r="F23" i="20" s="1"/>
  <c r="F24" i="20" s="1"/>
  <c r="F25" i="20" s="1"/>
  <c r="F26" i="20" s="1"/>
  <c r="F27" i="20" s="1"/>
  <c r="F28" i="20" s="1"/>
  <c r="F29" i="20" s="1"/>
  <c r="F30" i="20" s="1"/>
  <c r="F31" i="20" s="1"/>
  <c r="F32" i="20" s="1"/>
  <c r="F33" i="20" s="1"/>
  <c r="F34" i="20" s="1"/>
  <c r="F35" i="20" s="1"/>
  <c r="F36" i="20" s="1"/>
  <c r="F37" i="20" s="1"/>
  <c r="F38" i="20" s="1"/>
  <c r="F39" i="20" s="1"/>
  <c r="F40" i="20" s="1"/>
  <c r="F41" i="20" s="1"/>
  <c r="F42" i="20" s="1"/>
  <c r="F43" i="20" s="1"/>
  <c r="F44" i="20" s="1"/>
  <c r="F45" i="20" s="1"/>
  <c r="F46" i="20" s="1"/>
  <c r="F47" i="20" s="1"/>
  <c r="F48" i="20" s="1"/>
  <c r="F49" i="20" s="1"/>
  <c r="F50" i="20" s="1"/>
  <c r="F51" i="20" s="1"/>
  <c r="F52" i="20" s="1"/>
  <c r="F53" i="20" s="1"/>
  <c r="F54" i="20" s="1"/>
  <c r="F55" i="20" s="1"/>
  <c r="F56" i="20" s="1"/>
  <c r="F57" i="20" s="1"/>
  <c r="F58" i="20" s="1"/>
  <c r="F59" i="20" s="1"/>
  <c r="F60" i="20" s="1"/>
  <c r="F61" i="20" s="1"/>
  <c r="F62" i="20" s="1"/>
  <c r="F63" i="20" s="1"/>
  <c r="F64" i="20" s="1"/>
  <c r="F65" i="20" s="1"/>
  <c r="F66" i="20" s="1"/>
  <c r="F67" i="20" s="1"/>
  <c r="F68" i="20" s="1"/>
  <c r="F69" i="20" s="1"/>
  <c r="A3" i="20"/>
  <c r="G3" i="20" s="1"/>
  <c r="K3" i="20" s="1"/>
  <c r="A8" i="20"/>
  <c r="G8" i="20" s="1"/>
  <c r="K8" i="20" s="1"/>
  <c r="A7" i="20"/>
  <c r="G7" i="20" s="1"/>
  <c r="K7" i="20" s="1"/>
  <c r="A6" i="20"/>
  <c r="G6" i="20" s="1"/>
  <c r="K6" i="20" s="1"/>
  <c r="A5" i="20"/>
  <c r="G5" i="20" s="1"/>
  <c r="K5" i="20" s="1"/>
  <c r="A4" i="20"/>
  <c r="G4" i="20" s="1"/>
  <c r="K4" i="20" s="1"/>
  <c r="A10" i="20"/>
  <c r="G10" i="20" s="1"/>
  <c r="A14" i="20"/>
  <c r="G14" i="20" s="1"/>
  <c r="A16" i="20"/>
  <c r="A18" i="20"/>
  <c r="A13" i="20"/>
  <c r="A12" i="20"/>
  <c r="J14" i="7"/>
  <c r="J21" i="7"/>
  <c r="J29" i="7"/>
  <c r="J33" i="7"/>
  <c r="E4" i="7"/>
  <c r="E14" i="7"/>
  <c r="E21" i="7"/>
  <c r="E29" i="7"/>
  <c r="E33" i="7"/>
  <c r="I4" i="7"/>
  <c r="J4" i="7" s="1"/>
  <c r="AA45" i="3"/>
  <c r="AA44" i="3"/>
  <c r="AA41" i="3"/>
  <c r="AA37" i="3"/>
  <c r="AA36" i="3"/>
  <c r="AA26" i="3"/>
  <c r="AA25" i="3"/>
  <c r="AA24" i="3"/>
  <c r="AA23" i="3"/>
  <c r="AA22" i="3"/>
  <c r="AA21" i="3"/>
  <c r="AA34" i="3"/>
  <c r="AA33" i="3"/>
  <c r="AA32" i="3"/>
  <c r="AA31" i="3"/>
  <c r="AA30" i="3"/>
  <c r="AA29" i="3"/>
  <c r="AA40" i="3"/>
  <c r="AA43" i="3"/>
  <c r="AA28" i="3"/>
  <c r="AA38" i="3"/>
  <c r="AF42" i="3"/>
  <c r="AA42" i="3"/>
  <c r="D7" i="3"/>
  <c r="F7" i="3"/>
  <c r="E7" i="3"/>
  <c r="C7" i="3"/>
  <c r="B7" i="3"/>
  <c r="AF7" i="3"/>
  <c r="AE7" i="3"/>
  <c r="AD7" i="3"/>
  <c r="AC7" i="3"/>
  <c r="AB7" i="3"/>
  <c r="AA7" i="3"/>
  <c r="Z7" i="3"/>
  <c r="Y7" i="3"/>
  <c r="X7" i="3"/>
  <c r="AF19" i="3"/>
  <c r="AF18" i="3"/>
  <c r="AF17" i="3"/>
  <c r="AF16" i="3"/>
  <c r="AF15" i="3"/>
  <c r="AF14" i="3"/>
  <c r="AF13" i="3"/>
  <c r="AF12" i="3"/>
  <c r="AF11" i="3"/>
  <c r="AF5" i="3"/>
  <c r="AA5" i="3"/>
  <c r="AA19" i="3"/>
  <c r="AA18" i="3"/>
  <c r="AA17" i="3"/>
  <c r="AA16" i="3"/>
  <c r="AA15" i="3"/>
  <c r="AA14" i="3"/>
  <c r="AA13" i="3"/>
  <c r="AA12" i="3"/>
  <c r="AA11" i="3"/>
  <c r="BD19" i="9"/>
  <c r="CM61" i="9"/>
  <c r="CM60" i="9"/>
  <c r="CJ61" i="9"/>
  <c r="CJ60" i="9"/>
  <c r="DB61" i="9"/>
  <c r="DB60" i="9"/>
  <c r="CN60" i="9"/>
  <c r="CW60" i="9"/>
  <c r="CB60" i="9"/>
  <c r="CC60" i="9"/>
  <c r="GS19" i="9"/>
  <c r="GS20" i="9"/>
  <c r="GS21" i="9"/>
  <c r="BF18" i="142" l="1"/>
  <c r="BS12" i="139"/>
  <c r="BS12" i="141"/>
  <c r="BW24" i="139"/>
  <c r="BW24" i="141"/>
  <c r="BW6" i="139"/>
  <c r="BW6" i="141"/>
  <c r="BS22" i="139"/>
  <c r="BS22" i="141"/>
  <c r="BS23" i="139"/>
  <c r="BS23" i="141"/>
  <c r="CA22" i="139"/>
  <c r="CA22" i="141"/>
  <c r="CA10" i="139"/>
  <c r="CA10" i="141"/>
  <c r="CA14" i="139"/>
  <c r="CA14" i="141"/>
  <c r="BO11" i="139"/>
  <c r="BO11" i="141"/>
  <c r="BK18" i="139"/>
  <c r="BK18" i="141"/>
  <c r="BK24" i="139"/>
  <c r="BK24" i="141"/>
  <c r="CE13" i="139"/>
  <c r="CE13" i="141"/>
  <c r="CE12" i="139"/>
  <c r="CE12" i="141"/>
  <c r="CE6" i="139"/>
  <c r="CE6" i="141"/>
  <c r="BE20" i="139"/>
  <c r="BE20" i="141"/>
  <c r="BE12" i="139"/>
  <c r="BF12" i="139" s="1"/>
  <c r="BE12" i="141"/>
  <c r="BE19" i="139"/>
  <c r="BE19" i="141"/>
  <c r="BW10" i="139"/>
  <c r="BW10" i="141"/>
  <c r="BW22" i="139"/>
  <c r="BW22" i="141"/>
  <c r="BW23" i="139"/>
  <c r="BW23" i="141"/>
  <c r="BS21" i="139"/>
  <c r="BS21" i="141"/>
  <c r="BS11" i="139"/>
  <c r="BS11" i="141"/>
  <c r="CA20" i="139"/>
  <c r="CA20" i="141"/>
  <c r="CA9" i="139"/>
  <c r="CA9" i="141"/>
  <c r="BO22" i="139"/>
  <c r="BO22" i="141"/>
  <c r="BO17" i="139"/>
  <c r="BO17" i="141"/>
  <c r="BO10" i="139"/>
  <c r="BO10" i="141"/>
  <c r="BO24" i="139"/>
  <c r="BO24" i="141"/>
  <c r="BK11" i="139"/>
  <c r="BK11" i="141"/>
  <c r="BK7" i="139"/>
  <c r="BK7" i="141"/>
  <c r="CE21" i="139"/>
  <c r="CE21" i="141"/>
  <c r="BE9" i="139"/>
  <c r="BF9" i="139" s="1"/>
  <c r="BE9" i="141"/>
  <c r="BE23" i="139"/>
  <c r="BF23" i="139" s="1"/>
  <c r="BE23" i="141"/>
  <c r="BE7" i="139"/>
  <c r="BE7" i="141"/>
  <c r="BF7" i="141" s="1"/>
  <c r="BW20" i="139"/>
  <c r="BW20" i="141"/>
  <c r="BW21" i="139"/>
  <c r="BW21" i="141"/>
  <c r="BW11" i="139"/>
  <c r="BW11" i="141"/>
  <c r="BS18" i="139"/>
  <c r="BS18" i="141"/>
  <c r="BS16" i="139"/>
  <c r="BS16" i="141"/>
  <c r="CA19" i="139"/>
  <c r="CA19" i="141"/>
  <c r="CA8" i="139"/>
  <c r="CA8" i="141"/>
  <c r="BO8" i="139"/>
  <c r="BO8" i="141"/>
  <c r="BO21" i="139"/>
  <c r="BO21" i="141"/>
  <c r="BO20" i="139"/>
  <c r="BO20" i="141"/>
  <c r="BO15" i="139"/>
  <c r="BO15" i="141"/>
  <c r="BK19" i="139"/>
  <c r="BK19" i="141"/>
  <c r="BK10" i="139"/>
  <c r="BK10" i="141"/>
  <c r="BK21" i="139"/>
  <c r="BK21" i="141"/>
  <c r="BK16" i="139"/>
  <c r="BK16" i="141"/>
  <c r="CE14" i="139"/>
  <c r="CE14" i="141"/>
  <c r="BE17" i="139"/>
  <c r="BF17" i="139" s="1"/>
  <c r="BE17" i="141"/>
  <c r="BF17" i="141" s="1"/>
  <c r="BW13" i="139"/>
  <c r="BW13" i="141"/>
  <c r="BW18" i="139"/>
  <c r="BW18" i="141"/>
  <c r="BW16" i="139"/>
  <c r="BW16" i="141"/>
  <c r="BS14" i="139"/>
  <c r="BS14" i="141"/>
  <c r="CA18" i="139"/>
  <c r="CA18" i="141"/>
  <c r="CA7" i="139"/>
  <c r="CA7" i="141"/>
  <c r="BO13" i="139"/>
  <c r="BO13" i="141"/>
  <c r="BO7" i="139"/>
  <c r="BO7" i="141"/>
  <c r="BK15" i="139"/>
  <c r="BK15" i="141"/>
  <c r="BK17" i="139"/>
  <c r="BK17" i="141"/>
  <c r="BK12" i="139"/>
  <c r="BK12" i="141"/>
  <c r="BK6" i="139"/>
  <c r="BK6" i="141"/>
  <c r="CE9" i="139"/>
  <c r="CE9" i="141"/>
  <c r="BE18" i="139"/>
  <c r="BF18" i="139" s="1"/>
  <c r="BE18" i="141"/>
  <c r="BF18" i="141" s="1"/>
  <c r="BE22" i="139"/>
  <c r="BE22" i="141"/>
  <c r="BF22" i="141" s="1"/>
  <c r="BE13" i="139"/>
  <c r="BF13" i="139" s="1"/>
  <c r="BE13" i="141"/>
  <c r="BF13" i="141" s="1"/>
  <c r="BW12" i="139"/>
  <c r="BW12" i="141"/>
  <c r="BW14" i="139"/>
  <c r="BW14" i="141"/>
  <c r="BS9" i="139"/>
  <c r="BS9" i="141"/>
  <c r="CA17" i="139"/>
  <c r="CA17" i="141"/>
  <c r="CA16" i="139"/>
  <c r="CA16" i="141"/>
  <c r="BO16" i="139"/>
  <c r="BO16" i="141"/>
  <c r="BK13" i="139"/>
  <c r="BK13" i="141"/>
  <c r="BK8" i="139"/>
  <c r="BK8" i="141"/>
  <c r="BK9" i="139"/>
  <c r="BK9" i="141"/>
  <c r="CE18" i="139"/>
  <c r="CE18" i="141"/>
  <c r="CE22" i="139"/>
  <c r="CE22" i="141"/>
  <c r="CE20" i="139"/>
  <c r="CE20" i="141"/>
  <c r="BE15" i="139"/>
  <c r="BE15" i="141"/>
  <c r="BF15" i="141" s="1"/>
  <c r="BS10" i="139"/>
  <c r="BS10" i="141"/>
  <c r="BW9" i="139"/>
  <c r="BW9" i="141"/>
  <c r="BS8" i="139"/>
  <c r="BS8" i="141"/>
  <c r="BS15" i="139"/>
  <c r="BS15" i="141"/>
  <c r="CA15" i="139"/>
  <c r="CA15" i="141"/>
  <c r="CA23" i="139"/>
  <c r="CA23" i="141"/>
  <c r="CA12" i="139"/>
  <c r="CA12" i="141"/>
  <c r="CA6" i="139"/>
  <c r="CA6" i="141"/>
  <c r="BO9" i="139"/>
  <c r="BO9" i="141"/>
  <c r="BO19" i="139"/>
  <c r="BO19" i="141"/>
  <c r="BO12" i="139"/>
  <c r="BO12" i="141"/>
  <c r="BO6" i="139"/>
  <c r="BO6" i="141"/>
  <c r="CE17" i="139"/>
  <c r="CE17" i="141"/>
  <c r="CE11" i="139"/>
  <c r="CE11" i="141"/>
  <c r="CE15" i="139"/>
  <c r="CE15" i="141"/>
  <c r="BE10" i="139"/>
  <c r="BF10" i="139" s="1"/>
  <c r="BE10" i="141"/>
  <c r="BF10" i="141" s="1"/>
  <c r="BS20" i="139"/>
  <c r="BS20" i="141"/>
  <c r="BW8" i="139"/>
  <c r="BW8" i="141"/>
  <c r="BW15" i="139"/>
  <c r="BW15" i="141"/>
  <c r="BS17" i="139"/>
  <c r="BS17" i="141"/>
  <c r="BS19" i="139"/>
  <c r="BS19" i="141"/>
  <c r="BS7" i="139"/>
  <c r="BS7" i="141"/>
  <c r="CA13" i="139"/>
  <c r="CA13" i="141"/>
  <c r="CA24" i="139"/>
  <c r="CA24" i="141"/>
  <c r="BO18" i="139"/>
  <c r="BO18" i="141"/>
  <c r="BK22" i="139"/>
  <c r="BK22" i="141"/>
  <c r="BK14" i="139"/>
  <c r="BK14" i="141"/>
  <c r="BK23" i="139"/>
  <c r="BK23" i="141"/>
  <c r="CE8" i="139"/>
  <c r="CE8" i="141"/>
  <c r="CE24" i="139"/>
  <c r="CE24" i="141"/>
  <c r="CE19" i="139"/>
  <c r="CE19" i="141"/>
  <c r="BE21" i="139"/>
  <c r="BE21" i="141"/>
  <c r="BF21" i="141" s="1"/>
  <c r="BE11" i="139"/>
  <c r="BE11" i="141"/>
  <c r="BF11" i="141" s="1"/>
  <c r="BE24" i="139"/>
  <c r="BF24" i="139" s="1"/>
  <c r="BE24" i="141"/>
  <c r="BE6" i="139"/>
  <c r="BF6" i="139" s="1"/>
  <c r="BE6" i="141"/>
  <c r="BE5" i="139"/>
  <c r="BF5" i="139" s="1"/>
  <c r="BE5" i="141"/>
  <c r="BE14" i="139"/>
  <c r="BF14" i="139" s="1"/>
  <c r="BE14" i="141"/>
  <c r="BF14" i="141" s="1"/>
  <c r="BS13" i="139"/>
  <c r="BS13" i="141"/>
  <c r="BW17" i="139"/>
  <c r="BW17" i="141"/>
  <c r="BW19" i="139"/>
  <c r="BW19" i="141"/>
  <c r="BW7" i="139"/>
  <c r="BW7" i="141"/>
  <c r="BS24" i="139"/>
  <c r="BS24" i="141"/>
  <c r="BS6" i="139"/>
  <c r="BS6" i="141"/>
  <c r="CA11" i="139"/>
  <c r="CA11" i="141"/>
  <c r="CA21" i="139"/>
  <c r="CA21" i="141"/>
  <c r="BO14" i="139"/>
  <c r="BO14" i="141"/>
  <c r="BO23" i="139"/>
  <c r="BO23" i="141"/>
  <c r="BK20" i="139"/>
  <c r="BK20" i="141"/>
  <c r="CE10" i="139"/>
  <c r="CE10" i="141"/>
  <c r="CE23" i="139"/>
  <c r="CE23" i="141"/>
  <c r="CE16" i="139"/>
  <c r="CE16" i="141"/>
  <c r="CE7" i="139"/>
  <c r="CE7" i="141"/>
  <c r="BE16" i="139"/>
  <c r="BF16" i="139" s="1"/>
  <c r="BE16" i="141"/>
  <c r="BF16" i="141" s="1"/>
  <c r="BF20" i="139"/>
  <c r="BF19" i="139"/>
  <c r="BF7" i="139"/>
  <c r="DB56" i="9"/>
  <c r="CQ56" i="9"/>
  <c r="BF22" i="139"/>
  <c r="DB58" i="9"/>
  <c r="CQ58" i="9"/>
  <c r="BF15" i="139"/>
  <c r="BF21" i="139"/>
  <c r="BF11" i="139"/>
  <c r="BS12" i="137"/>
  <c r="BS12" i="136"/>
  <c r="BW24" i="137"/>
  <c r="BW24" i="136"/>
  <c r="BW6" i="137"/>
  <c r="BW6" i="136"/>
  <c r="BS22" i="137"/>
  <c r="BS22" i="136"/>
  <c r="BS23" i="137"/>
  <c r="BS23" i="136"/>
  <c r="CA22" i="137"/>
  <c r="CA22" i="136"/>
  <c r="CA10" i="137"/>
  <c r="CA10" i="136"/>
  <c r="CA14" i="137"/>
  <c r="CA14" i="136"/>
  <c r="BO11" i="137"/>
  <c r="BO11" i="136"/>
  <c r="BK18" i="137"/>
  <c r="BK18" i="136"/>
  <c r="BK24" i="137"/>
  <c r="BK24" i="136"/>
  <c r="CE13" i="137"/>
  <c r="CE13" i="136"/>
  <c r="CE12" i="137"/>
  <c r="CE12" i="136"/>
  <c r="CE6" i="137"/>
  <c r="CE6" i="136"/>
  <c r="BE20" i="137"/>
  <c r="BF20" i="137" s="1"/>
  <c r="BE20" i="136"/>
  <c r="BE12" i="137"/>
  <c r="BE12" i="136"/>
  <c r="BE19" i="137"/>
  <c r="BE19" i="136"/>
  <c r="BF19" i="136" s="1"/>
  <c r="BW10" i="137"/>
  <c r="BW10" i="136"/>
  <c r="BW22" i="137"/>
  <c r="BW22" i="136"/>
  <c r="BW23" i="137"/>
  <c r="BW23" i="136"/>
  <c r="BS21" i="137"/>
  <c r="BS21" i="136"/>
  <c r="BS11" i="137"/>
  <c r="BS11" i="136"/>
  <c r="CA20" i="137"/>
  <c r="CA20" i="136"/>
  <c r="CA9" i="137"/>
  <c r="CA9" i="136"/>
  <c r="BO22" i="137"/>
  <c r="BO22" i="136"/>
  <c r="BO17" i="137"/>
  <c r="BO17" i="136"/>
  <c r="BO10" i="137"/>
  <c r="BO10" i="136"/>
  <c r="BO24" i="137"/>
  <c r="BO24" i="136"/>
  <c r="BK11" i="137"/>
  <c r="BK11" i="136"/>
  <c r="BK7" i="137"/>
  <c r="BK7" i="136"/>
  <c r="CE21" i="137"/>
  <c r="CE21" i="136"/>
  <c r="BE9" i="137"/>
  <c r="BE9" i="136"/>
  <c r="BE23" i="137"/>
  <c r="BF23" i="137" s="1"/>
  <c r="BE23" i="136"/>
  <c r="BE7" i="137"/>
  <c r="BF7" i="137" s="1"/>
  <c r="BE7" i="136"/>
  <c r="BW20" i="137"/>
  <c r="BW20" i="136"/>
  <c r="BW21" i="137"/>
  <c r="BW21" i="136"/>
  <c r="BW11" i="137"/>
  <c r="BW11" i="136"/>
  <c r="BS18" i="137"/>
  <c r="BS18" i="136"/>
  <c r="BS16" i="137"/>
  <c r="BS16" i="136"/>
  <c r="CA19" i="137"/>
  <c r="CA19" i="136"/>
  <c r="CA8" i="137"/>
  <c r="CA8" i="136"/>
  <c r="BO8" i="137"/>
  <c r="BO8" i="136"/>
  <c r="BO21" i="137"/>
  <c r="BO21" i="136"/>
  <c r="BO20" i="137"/>
  <c r="BO20" i="136"/>
  <c r="BO15" i="137"/>
  <c r="BO15" i="136"/>
  <c r="BK19" i="137"/>
  <c r="BK19" i="136"/>
  <c r="BK10" i="137"/>
  <c r="BK10" i="136"/>
  <c r="BK21" i="137"/>
  <c r="BK21" i="136"/>
  <c r="BK16" i="137"/>
  <c r="BK16" i="136"/>
  <c r="CE14" i="137"/>
  <c r="CE14" i="136"/>
  <c r="BE17" i="137"/>
  <c r="BF17" i="137" s="1"/>
  <c r="BE17" i="136"/>
  <c r="BF17" i="136" s="1"/>
  <c r="BW13" i="137"/>
  <c r="BW13" i="136"/>
  <c r="BW18" i="137"/>
  <c r="BW18" i="136"/>
  <c r="BW16" i="137"/>
  <c r="BW16" i="136"/>
  <c r="BS14" i="137"/>
  <c r="BS14" i="136"/>
  <c r="CA18" i="137"/>
  <c r="CA18" i="136"/>
  <c r="CA7" i="137"/>
  <c r="CA7" i="136"/>
  <c r="BO13" i="137"/>
  <c r="BO13" i="136"/>
  <c r="BO7" i="137"/>
  <c r="BO7" i="136"/>
  <c r="BK15" i="137"/>
  <c r="BK15" i="136"/>
  <c r="BK17" i="137"/>
  <c r="BK17" i="136"/>
  <c r="BK12" i="137"/>
  <c r="BK12" i="136"/>
  <c r="BK6" i="137"/>
  <c r="BK6" i="136"/>
  <c r="CE9" i="137"/>
  <c r="CE9" i="136"/>
  <c r="BE18" i="137"/>
  <c r="BE18" i="136"/>
  <c r="BF18" i="136" s="1"/>
  <c r="BE22" i="137"/>
  <c r="BF22" i="137" s="1"/>
  <c r="BE22" i="136"/>
  <c r="BF22" i="136" s="1"/>
  <c r="BE13" i="137"/>
  <c r="BE13" i="136"/>
  <c r="BF13" i="136" s="1"/>
  <c r="BW12" i="137"/>
  <c r="BW12" i="136"/>
  <c r="BW14" i="137"/>
  <c r="BW14" i="136"/>
  <c r="BS9" i="137"/>
  <c r="BS9" i="136"/>
  <c r="CA17" i="137"/>
  <c r="CA17" i="136"/>
  <c r="CA16" i="137"/>
  <c r="CA16" i="136"/>
  <c r="BO16" i="137"/>
  <c r="BO16" i="136"/>
  <c r="BK13" i="137"/>
  <c r="BK13" i="136"/>
  <c r="BK8" i="137"/>
  <c r="BK8" i="136"/>
  <c r="BK9" i="137"/>
  <c r="BK9" i="136"/>
  <c r="CE18" i="137"/>
  <c r="CE18" i="136"/>
  <c r="CE22" i="137"/>
  <c r="CE22" i="136"/>
  <c r="CE20" i="137"/>
  <c r="CE20" i="136"/>
  <c r="BE15" i="137"/>
  <c r="BE15" i="136"/>
  <c r="BF15" i="136" s="1"/>
  <c r="BS10" i="137"/>
  <c r="BS10" i="136"/>
  <c r="BW9" i="137"/>
  <c r="BW9" i="136"/>
  <c r="BS8" i="137"/>
  <c r="BS8" i="136"/>
  <c r="BS15" i="137"/>
  <c r="BS15" i="136"/>
  <c r="CA15" i="137"/>
  <c r="CA15" i="136"/>
  <c r="CA23" i="137"/>
  <c r="CA23" i="136"/>
  <c r="CA12" i="137"/>
  <c r="CA12" i="136"/>
  <c r="CA6" i="137"/>
  <c r="CA6" i="136"/>
  <c r="BO9" i="137"/>
  <c r="BO9" i="136"/>
  <c r="BO19" i="137"/>
  <c r="BO19" i="136"/>
  <c r="BO12" i="137"/>
  <c r="BO12" i="136"/>
  <c r="BO6" i="137"/>
  <c r="BO6" i="136"/>
  <c r="CE17" i="137"/>
  <c r="CE17" i="136"/>
  <c r="CE11" i="137"/>
  <c r="CE11" i="136"/>
  <c r="CE15" i="137"/>
  <c r="CE15" i="136"/>
  <c r="BE10" i="137"/>
  <c r="BE10" i="136"/>
  <c r="BS20" i="137"/>
  <c r="BS20" i="136"/>
  <c r="BW8" i="137"/>
  <c r="BW8" i="136"/>
  <c r="BW15" i="137"/>
  <c r="BW15" i="136"/>
  <c r="BS17" i="137"/>
  <c r="BS17" i="136"/>
  <c r="BS19" i="137"/>
  <c r="BS19" i="136"/>
  <c r="BS7" i="137"/>
  <c r="BS7" i="136"/>
  <c r="CA13" i="137"/>
  <c r="CA13" i="136"/>
  <c r="CA24" i="137"/>
  <c r="CA24" i="136"/>
  <c r="BO18" i="137"/>
  <c r="BO18" i="136"/>
  <c r="BK22" i="137"/>
  <c r="BK22" i="136"/>
  <c r="BK14" i="137"/>
  <c r="BK14" i="136"/>
  <c r="BK23" i="137"/>
  <c r="BK23" i="136"/>
  <c r="CE8" i="137"/>
  <c r="CE8" i="136"/>
  <c r="CE24" i="137"/>
  <c r="CE24" i="136"/>
  <c r="CE19" i="137"/>
  <c r="CE19" i="136"/>
  <c r="BE21" i="137"/>
  <c r="BF21" i="137" s="1"/>
  <c r="BE21" i="136"/>
  <c r="BE11" i="137"/>
  <c r="BE11" i="136"/>
  <c r="BE24" i="137"/>
  <c r="BF24" i="137" s="1"/>
  <c r="BE24" i="136"/>
  <c r="BF24" i="136" s="1"/>
  <c r="BE6" i="137"/>
  <c r="BE6" i="136"/>
  <c r="BE5" i="137"/>
  <c r="BF5" i="137" s="1"/>
  <c r="BE5" i="136"/>
  <c r="BE14" i="137"/>
  <c r="BF14" i="137" s="1"/>
  <c r="BE14" i="136"/>
  <c r="BF14" i="136" s="1"/>
  <c r="BS13" i="137"/>
  <c r="BS13" i="136"/>
  <c r="BW17" i="137"/>
  <c r="BW17" i="136"/>
  <c r="BW19" i="137"/>
  <c r="BW19" i="136"/>
  <c r="BW7" i="137"/>
  <c r="BW7" i="136"/>
  <c r="BS24" i="137"/>
  <c r="BS24" i="136"/>
  <c r="BS6" i="137"/>
  <c r="BS6" i="136"/>
  <c r="CA11" i="137"/>
  <c r="CA11" i="136"/>
  <c r="CA21" i="137"/>
  <c r="CA21" i="136"/>
  <c r="BO14" i="137"/>
  <c r="BO14" i="136"/>
  <c r="BO23" i="137"/>
  <c r="BO23" i="136"/>
  <c r="BK20" i="137"/>
  <c r="BK20" i="136"/>
  <c r="CE10" i="137"/>
  <c r="CE10" i="136"/>
  <c r="CE23" i="137"/>
  <c r="CE23" i="136"/>
  <c r="CE16" i="137"/>
  <c r="CE16" i="136"/>
  <c r="CE7" i="137"/>
  <c r="CE7" i="136"/>
  <c r="BE16" i="137"/>
  <c r="BE16" i="136"/>
  <c r="CA16" i="131"/>
  <c r="CA16" i="133"/>
  <c r="CA16" i="132"/>
  <c r="BK9" i="131"/>
  <c r="BK9" i="133"/>
  <c r="BK9" i="132"/>
  <c r="CE22" i="131"/>
  <c r="CE22" i="133"/>
  <c r="CE22" i="132"/>
  <c r="BS8" i="131"/>
  <c r="BS8" i="133"/>
  <c r="BS8" i="132"/>
  <c r="CA23" i="131"/>
  <c r="CA23" i="133"/>
  <c r="CA23" i="132"/>
  <c r="BO9" i="131"/>
  <c r="BO9" i="133"/>
  <c r="BO9" i="132"/>
  <c r="BO6" i="131"/>
  <c r="BO6" i="133"/>
  <c r="BO6" i="132"/>
  <c r="CE11" i="131"/>
  <c r="CE11" i="133"/>
  <c r="CE11" i="132"/>
  <c r="BW15" i="131"/>
  <c r="BW15" i="133"/>
  <c r="BW15" i="132"/>
  <c r="BS7" i="131"/>
  <c r="BS7" i="133"/>
  <c r="BS7" i="132"/>
  <c r="CE8" i="131"/>
  <c r="CE8" i="133"/>
  <c r="CE8" i="132"/>
  <c r="BW7" i="131"/>
  <c r="BW7" i="133"/>
  <c r="BW7" i="132"/>
  <c r="BO14" i="131"/>
  <c r="BO14" i="133"/>
  <c r="BO14" i="132"/>
  <c r="BK20" i="131"/>
  <c r="BK20" i="133"/>
  <c r="BK20" i="132"/>
  <c r="CE16" i="131"/>
  <c r="CE16" i="133"/>
  <c r="CE16" i="132"/>
  <c r="BS12" i="131"/>
  <c r="BS12" i="133"/>
  <c r="BS12" i="132"/>
  <c r="BW24" i="131"/>
  <c r="BW24" i="133"/>
  <c r="BW24" i="132"/>
  <c r="BW6" i="131"/>
  <c r="BW6" i="133"/>
  <c r="BW6" i="132"/>
  <c r="BS22" i="131"/>
  <c r="BS22" i="133"/>
  <c r="BS22" i="132"/>
  <c r="BS23" i="131"/>
  <c r="BS23" i="133"/>
  <c r="BS23" i="132"/>
  <c r="CA22" i="131"/>
  <c r="CA22" i="133"/>
  <c r="CA22" i="132"/>
  <c r="CA10" i="131"/>
  <c r="CA10" i="133"/>
  <c r="CA10" i="132"/>
  <c r="CA14" i="131"/>
  <c r="CA14" i="133"/>
  <c r="CA14" i="132"/>
  <c r="BO11" i="131"/>
  <c r="BO11" i="133"/>
  <c r="BO11" i="132"/>
  <c r="BK18" i="131"/>
  <c r="BK18" i="133"/>
  <c r="BK18" i="132"/>
  <c r="BK24" i="131"/>
  <c r="BK24" i="133"/>
  <c r="BK24" i="132"/>
  <c r="CE13" i="131"/>
  <c r="CE13" i="133"/>
  <c r="CE13" i="132"/>
  <c r="CE12" i="131"/>
  <c r="CE12" i="133"/>
  <c r="CE12" i="132"/>
  <c r="CE6" i="131"/>
  <c r="CE6" i="133"/>
  <c r="CE6" i="132"/>
  <c r="BE20" i="131"/>
  <c r="BF20" i="131" s="1"/>
  <c r="BE20" i="133"/>
  <c r="BE20" i="132"/>
  <c r="BE12" i="131"/>
  <c r="BF12" i="131" s="1"/>
  <c r="BE12" i="133"/>
  <c r="BE12" i="132"/>
  <c r="BE19" i="131"/>
  <c r="BF19" i="131" s="1"/>
  <c r="BE19" i="133"/>
  <c r="BE19" i="132"/>
  <c r="CA17" i="131"/>
  <c r="CA17" i="133"/>
  <c r="CA17" i="132"/>
  <c r="BK13" i="131"/>
  <c r="BK13" i="133"/>
  <c r="BK13" i="132"/>
  <c r="CE20" i="131"/>
  <c r="CE20" i="133"/>
  <c r="CE20" i="132"/>
  <c r="BE15" i="131"/>
  <c r="BF15" i="131" s="1"/>
  <c r="BE15" i="133"/>
  <c r="BE15" i="132"/>
  <c r="CA12" i="131"/>
  <c r="CA12" i="133"/>
  <c r="CA12" i="132"/>
  <c r="BO19" i="131"/>
  <c r="BO19" i="133"/>
  <c r="BO19" i="132"/>
  <c r="CE17" i="131"/>
  <c r="CE17" i="133"/>
  <c r="CE17" i="132"/>
  <c r="BW8" i="131"/>
  <c r="BW8" i="133"/>
  <c r="BW8" i="132"/>
  <c r="CA24" i="131"/>
  <c r="CA24" i="133"/>
  <c r="CA24" i="132"/>
  <c r="BK23" i="131"/>
  <c r="BK23" i="133"/>
  <c r="BK23" i="132"/>
  <c r="CE19" i="131"/>
  <c r="CE19" i="133"/>
  <c r="CE19" i="132"/>
  <c r="BE24" i="131"/>
  <c r="BF24" i="131" s="1"/>
  <c r="BE24" i="133"/>
  <c r="BE24" i="132"/>
  <c r="BS13" i="131"/>
  <c r="BS13" i="133"/>
  <c r="BS13" i="132"/>
  <c r="BS24" i="131"/>
  <c r="BS24" i="133"/>
  <c r="BS24" i="132"/>
  <c r="CA21" i="131"/>
  <c r="CA21" i="133"/>
  <c r="CA21" i="132"/>
  <c r="CE10" i="131"/>
  <c r="CE10" i="133"/>
  <c r="CE10" i="132"/>
  <c r="BE16" i="131"/>
  <c r="BF16" i="131" s="1"/>
  <c r="BE16" i="133"/>
  <c r="BE16" i="132"/>
  <c r="BW10" i="131"/>
  <c r="BW10" i="133"/>
  <c r="BW10" i="132"/>
  <c r="BW22" i="131"/>
  <c r="BW22" i="133"/>
  <c r="BW22" i="132"/>
  <c r="BW23" i="131"/>
  <c r="BW23" i="133"/>
  <c r="BW23" i="132"/>
  <c r="BS21" i="131"/>
  <c r="BS21" i="133"/>
  <c r="BS21" i="132"/>
  <c r="BS11" i="131"/>
  <c r="BS11" i="133"/>
  <c r="BS11" i="132"/>
  <c r="CA20" i="131"/>
  <c r="CA20" i="133"/>
  <c r="CA20" i="132"/>
  <c r="CA9" i="131"/>
  <c r="CA9" i="133"/>
  <c r="CA9" i="132"/>
  <c r="BO22" i="131"/>
  <c r="BO22" i="133"/>
  <c r="BO22" i="132"/>
  <c r="BO17" i="131"/>
  <c r="BO17" i="133"/>
  <c r="BO17" i="132"/>
  <c r="BO10" i="131"/>
  <c r="BO10" i="133"/>
  <c r="BO10" i="132"/>
  <c r="BO24" i="131"/>
  <c r="BO24" i="133"/>
  <c r="BO24" i="132"/>
  <c r="BK11" i="131"/>
  <c r="BK11" i="133"/>
  <c r="BK11" i="132"/>
  <c r="BK7" i="131"/>
  <c r="BK7" i="133"/>
  <c r="BK7" i="132"/>
  <c r="CE21" i="131"/>
  <c r="CE21" i="133"/>
  <c r="CE21" i="132"/>
  <c r="BE9" i="131"/>
  <c r="BF9" i="131" s="1"/>
  <c r="BE9" i="133"/>
  <c r="BE9" i="132"/>
  <c r="BE23" i="131"/>
  <c r="BF23" i="131" s="1"/>
  <c r="BE23" i="133"/>
  <c r="BE23" i="132"/>
  <c r="BE7" i="131"/>
  <c r="BF7" i="131" s="1"/>
  <c r="BE7" i="133"/>
  <c r="BE7" i="132"/>
  <c r="BW14" i="131"/>
  <c r="BW14" i="133"/>
  <c r="BW14" i="132"/>
  <c r="BS9" i="131"/>
  <c r="BS9" i="133"/>
  <c r="BS9" i="132"/>
  <c r="BO16" i="131"/>
  <c r="BO16" i="133"/>
  <c r="BO16" i="132"/>
  <c r="BK8" i="131"/>
  <c r="BK8" i="133"/>
  <c r="BK8" i="132"/>
  <c r="CE18" i="131"/>
  <c r="CE18" i="133"/>
  <c r="CE18" i="132"/>
  <c r="BW9" i="131"/>
  <c r="BW9" i="133"/>
  <c r="BW9" i="132"/>
  <c r="CA15" i="131"/>
  <c r="CA15" i="133"/>
  <c r="CA15" i="132"/>
  <c r="BO12" i="131"/>
  <c r="BO12" i="133"/>
  <c r="BO12" i="132"/>
  <c r="BS17" i="131"/>
  <c r="BS17" i="133"/>
  <c r="BS17" i="132"/>
  <c r="BS19" i="131"/>
  <c r="BS19" i="133"/>
  <c r="BS19" i="132"/>
  <c r="BK14" i="131"/>
  <c r="BK14" i="133"/>
  <c r="BK14" i="132"/>
  <c r="BE21" i="131"/>
  <c r="BF21" i="131" s="1"/>
  <c r="BE21" i="133"/>
  <c r="BE21" i="132"/>
  <c r="BE6" i="131"/>
  <c r="BF6" i="131" s="1"/>
  <c r="BE6" i="133"/>
  <c r="BE6" i="132"/>
  <c r="BW19" i="131"/>
  <c r="BW19" i="133"/>
  <c r="BW19" i="132"/>
  <c r="BS6" i="131"/>
  <c r="BS6" i="133"/>
  <c r="BS6" i="132"/>
  <c r="BO23" i="131"/>
  <c r="BO23" i="133"/>
  <c r="BO23" i="132"/>
  <c r="BW20" i="131"/>
  <c r="BW20" i="133"/>
  <c r="BW20" i="132"/>
  <c r="BW21" i="131"/>
  <c r="BW21" i="133"/>
  <c r="BW21" i="132"/>
  <c r="BW11" i="131"/>
  <c r="BW11" i="133"/>
  <c r="BW11" i="132"/>
  <c r="BS18" i="131"/>
  <c r="BS18" i="133"/>
  <c r="BS18" i="132"/>
  <c r="BS16" i="131"/>
  <c r="BS16" i="133"/>
  <c r="BS16" i="132"/>
  <c r="CA19" i="131"/>
  <c r="CA19" i="133"/>
  <c r="CA19" i="132"/>
  <c r="CA8" i="131"/>
  <c r="CA8" i="133"/>
  <c r="CA8" i="132"/>
  <c r="BO8" i="131"/>
  <c r="BO8" i="133"/>
  <c r="BO8" i="132"/>
  <c r="BO21" i="131"/>
  <c r="BO21" i="133"/>
  <c r="BO21" i="132"/>
  <c r="BO20" i="131"/>
  <c r="BO20" i="133"/>
  <c r="BO20" i="132"/>
  <c r="BO15" i="131"/>
  <c r="BO15" i="133"/>
  <c r="BO15" i="132"/>
  <c r="BK19" i="131"/>
  <c r="BK19" i="133"/>
  <c r="BK19" i="132"/>
  <c r="BK10" i="131"/>
  <c r="BK10" i="133"/>
  <c r="BK10" i="132"/>
  <c r="BK21" i="131"/>
  <c r="BK21" i="133"/>
  <c r="BK21" i="132"/>
  <c r="BK16" i="131"/>
  <c r="BK16" i="133"/>
  <c r="BK16" i="132"/>
  <c r="CE14" i="131"/>
  <c r="CE14" i="133"/>
  <c r="CE14" i="132"/>
  <c r="BE17" i="131"/>
  <c r="BF17" i="131" s="1"/>
  <c r="BE17" i="133"/>
  <c r="BE17" i="132"/>
  <c r="BW12" i="131"/>
  <c r="BW12" i="133"/>
  <c r="BW12" i="132"/>
  <c r="BS10" i="131"/>
  <c r="BS10" i="133"/>
  <c r="BS10" i="132"/>
  <c r="BS15" i="131"/>
  <c r="BS15" i="133"/>
  <c r="BS15" i="132"/>
  <c r="CA6" i="131"/>
  <c r="CA6" i="133"/>
  <c r="CA6" i="132"/>
  <c r="CE15" i="131"/>
  <c r="CE15" i="133"/>
  <c r="CE15" i="132"/>
  <c r="BE10" i="131"/>
  <c r="BF10" i="131" s="1"/>
  <c r="BE10" i="133"/>
  <c r="BE10" i="132"/>
  <c r="BS20" i="131"/>
  <c r="BS20" i="133"/>
  <c r="BS20" i="132"/>
  <c r="CA13" i="131"/>
  <c r="CA13" i="133"/>
  <c r="CA13" i="132"/>
  <c r="BO18" i="131"/>
  <c r="BO18" i="133"/>
  <c r="BO18" i="132"/>
  <c r="BK22" i="131"/>
  <c r="BK22" i="133"/>
  <c r="BK22" i="132"/>
  <c r="CE24" i="131"/>
  <c r="CE24" i="133"/>
  <c r="CE24" i="132"/>
  <c r="BE11" i="131"/>
  <c r="BF11" i="131" s="1"/>
  <c r="BE11" i="133"/>
  <c r="BE11" i="132"/>
  <c r="BE5" i="131"/>
  <c r="BF5" i="131" s="1"/>
  <c r="BE5" i="133"/>
  <c r="BE5" i="132"/>
  <c r="BE14" i="131"/>
  <c r="BF14" i="131" s="1"/>
  <c r="BE14" i="133"/>
  <c r="BE14" i="132"/>
  <c r="BW17" i="131"/>
  <c r="BW17" i="133"/>
  <c r="BW17" i="132"/>
  <c r="CA11" i="131"/>
  <c r="CA11" i="133"/>
  <c r="CA11" i="132"/>
  <c r="CE23" i="131"/>
  <c r="CE23" i="133"/>
  <c r="CE23" i="132"/>
  <c r="CE7" i="131"/>
  <c r="CE7" i="133"/>
  <c r="CE7" i="132"/>
  <c r="BW13" i="131"/>
  <c r="BW13" i="133"/>
  <c r="BW13" i="132"/>
  <c r="BW18" i="131"/>
  <c r="BW18" i="133"/>
  <c r="BW18" i="132"/>
  <c r="BW16" i="131"/>
  <c r="BW16" i="133"/>
  <c r="BW16" i="132"/>
  <c r="BS14" i="131"/>
  <c r="BS14" i="133"/>
  <c r="BS14" i="132"/>
  <c r="CA18" i="131"/>
  <c r="CA18" i="133"/>
  <c r="CA18" i="132"/>
  <c r="CA7" i="131"/>
  <c r="CA7" i="133"/>
  <c r="CA7" i="132"/>
  <c r="BO13" i="131"/>
  <c r="BO13" i="133"/>
  <c r="BO13" i="132"/>
  <c r="BO7" i="131"/>
  <c r="BO7" i="133"/>
  <c r="BO7" i="132"/>
  <c r="BK15" i="131"/>
  <c r="BK15" i="133"/>
  <c r="BK15" i="132"/>
  <c r="BK17" i="131"/>
  <c r="BK17" i="133"/>
  <c r="BK17" i="132"/>
  <c r="BK12" i="131"/>
  <c r="BK12" i="133"/>
  <c r="BK12" i="132"/>
  <c r="BK6" i="131"/>
  <c r="BK6" i="133"/>
  <c r="BK6" i="132"/>
  <c r="CE9" i="131"/>
  <c r="CE9" i="133"/>
  <c r="CE9" i="132"/>
  <c r="BE18" i="131"/>
  <c r="BF18" i="131" s="1"/>
  <c r="BE18" i="133"/>
  <c r="BE18" i="132"/>
  <c r="BE22" i="131"/>
  <c r="BF22" i="131" s="1"/>
  <c r="BE22" i="133"/>
  <c r="BE22" i="132"/>
  <c r="BE13" i="131"/>
  <c r="BF13" i="131" s="1"/>
  <c r="BE13" i="133"/>
  <c r="BE13" i="132"/>
  <c r="HE65" i="9"/>
  <c r="HE59" i="9"/>
  <c r="HE67" i="9"/>
  <c r="HE60" i="9"/>
  <c r="HE61" i="9"/>
  <c r="HE69" i="9"/>
  <c r="HE70" i="9"/>
  <c r="HE66" i="9"/>
  <c r="HE68" i="9"/>
  <c r="HE62" i="9"/>
  <c r="HE63" i="9"/>
  <c r="HE64" i="9"/>
  <c r="HH64" i="9"/>
  <c r="HH61" i="9"/>
  <c r="IF4" i="9"/>
  <c r="IF8" i="9" s="1"/>
  <c r="HH68" i="9"/>
  <c r="M15" i="3"/>
  <c r="N20" i="3"/>
  <c r="N22" i="3"/>
  <c r="A33" i="20"/>
  <c r="G33" i="20" s="1"/>
  <c r="K33" i="20" s="1"/>
  <c r="HT4" i="9"/>
  <c r="HT8" i="9" s="1"/>
  <c r="FV23" i="9"/>
  <c r="CB24" i="124"/>
  <c r="CB24" i="125"/>
  <c r="BX23" i="124"/>
  <c r="BX23" i="125"/>
  <c r="BK13" i="124"/>
  <c r="BK13" i="125"/>
  <c r="BE20" i="124"/>
  <c r="BF20" i="124" s="1"/>
  <c r="BE20" i="125"/>
  <c r="BE19" i="124"/>
  <c r="BF19" i="124" s="1"/>
  <c r="BE19" i="125"/>
  <c r="BF19" i="125" s="1"/>
  <c r="CB23" i="124"/>
  <c r="CB23" i="125"/>
  <c r="CF9" i="124"/>
  <c r="CF9" i="125"/>
  <c r="BE9" i="124"/>
  <c r="BF9" i="124" s="1"/>
  <c r="BE9" i="125"/>
  <c r="BF9" i="125" s="1"/>
  <c r="CB20" i="124"/>
  <c r="CB20" i="125"/>
  <c r="CB21" i="124"/>
  <c r="CB21" i="125"/>
  <c r="CB11" i="124"/>
  <c r="CB11" i="125"/>
  <c r="BX18" i="124"/>
  <c r="BX18" i="125"/>
  <c r="BX16" i="124"/>
  <c r="BX16" i="125"/>
  <c r="CF19" i="124"/>
  <c r="CF19" i="125"/>
  <c r="CF8" i="124"/>
  <c r="CF8" i="125"/>
  <c r="BT8" i="124"/>
  <c r="BT8" i="125"/>
  <c r="BT21" i="124"/>
  <c r="BT21" i="125"/>
  <c r="BT20" i="124"/>
  <c r="BT20" i="125"/>
  <c r="BT15" i="124"/>
  <c r="BT15" i="125"/>
  <c r="BP19" i="124"/>
  <c r="BP19" i="125"/>
  <c r="BP10" i="124"/>
  <c r="BP10" i="125"/>
  <c r="BP21" i="124"/>
  <c r="BP21" i="125"/>
  <c r="BP16" i="124"/>
  <c r="BP16" i="125"/>
  <c r="BK14" i="124"/>
  <c r="BK14" i="125"/>
  <c r="BE17" i="124"/>
  <c r="BF17" i="124" s="1"/>
  <c r="BE17" i="125"/>
  <c r="BF17" i="125" s="1"/>
  <c r="CF10" i="124"/>
  <c r="CF10" i="125"/>
  <c r="BP18" i="124"/>
  <c r="BP18" i="125"/>
  <c r="BK12" i="124"/>
  <c r="BK12" i="125"/>
  <c r="CB22" i="124"/>
  <c r="CB22" i="125"/>
  <c r="CF20" i="124"/>
  <c r="CF20" i="125"/>
  <c r="CB13" i="124"/>
  <c r="CB13" i="125"/>
  <c r="CB18" i="124"/>
  <c r="CB18" i="125"/>
  <c r="CB16" i="124"/>
  <c r="CB16" i="125"/>
  <c r="BX14" i="124"/>
  <c r="BX14" i="125"/>
  <c r="CF18" i="124"/>
  <c r="CF18" i="125"/>
  <c r="CF7" i="124"/>
  <c r="CF7" i="125"/>
  <c r="BT13" i="124"/>
  <c r="BT13" i="125"/>
  <c r="BT7" i="124"/>
  <c r="BT7" i="125"/>
  <c r="BP15" i="124"/>
  <c r="BP15" i="125"/>
  <c r="BP17" i="124"/>
  <c r="BP17" i="125"/>
  <c r="BP12" i="124"/>
  <c r="BP12" i="125"/>
  <c r="BP6" i="124"/>
  <c r="BP6" i="125"/>
  <c r="BK9" i="124"/>
  <c r="BK9" i="125"/>
  <c r="BE18" i="124"/>
  <c r="BF18" i="124" s="1"/>
  <c r="BE18" i="125"/>
  <c r="BF18" i="125" s="1"/>
  <c r="BE22" i="124"/>
  <c r="BF22" i="124" s="1"/>
  <c r="BE22" i="125"/>
  <c r="BE13" i="124"/>
  <c r="BF13" i="124" s="1"/>
  <c r="BE13" i="125"/>
  <c r="BF13" i="125" s="1"/>
  <c r="BX22" i="124"/>
  <c r="BX22" i="125"/>
  <c r="BT10" i="124"/>
  <c r="BT10" i="125"/>
  <c r="BP11" i="124"/>
  <c r="BP11" i="125"/>
  <c r="BP7" i="124"/>
  <c r="BP7" i="125"/>
  <c r="BE23" i="124"/>
  <c r="BF23" i="124" s="1"/>
  <c r="BE23" i="125"/>
  <c r="BE7" i="124"/>
  <c r="BF7" i="124" s="1"/>
  <c r="BE7" i="125"/>
  <c r="CB12" i="124"/>
  <c r="CB12" i="125"/>
  <c r="CB14" i="124"/>
  <c r="CB14" i="125"/>
  <c r="BX9" i="124"/>
  <c r="BX9" i="125"/>
  <c r="CF17" i="124"/>
  <c r="CF17" i="125"/>
  <c r="CF16" i="124"/>
  <c r="CF16" i="125"/>
  <c r="BT16" i="124"/>
  <c r="BT16" i="125"/>
  <c r="BP13" i="124"/>
  <c r="BP13" i="125"/>
  <c r="BP8" i="124"/>
  <c r="BP8" i="125"/>
  <c r="BP9" i="124"/>
  <c r="BP9" i="125"/>
  <c r="BK18" i="124"/>
  <c r="BK18" i="125"/>
  <c r="BK22" i="124"/>
  <c r="BK22" i="125"/>
  <c r="BK20" i="124"/>
  <c r="BK20" i="125"/>
  <c r="BE15" i="124"/>
  <c r="BF15" i="124" s="1"/>
  <c r="BE15" i="125"/>
  <c r="BF15" i="125" s="1"/>
  <c r="BX12" i="124"/>
  <c r="BX12" i="125"/>
  <c r="CB6" i="124"/>
  <c r="CB6" i="125"/>
  <c r="BT11" i="124"/>
  <c r="BT11" i="125"/>
  <c r="BP24" i="124"/>
  <c r="BP24" i="125"/>
  <c r="BK6" i="124"/>
  <c r="BK6" i="125"/>
  <c r="BE12" i="124"/>
  <c r="BF12" i="124" s="1"/>
  <c r="BE12" i="125"/>
  <c r="BX11" i="124"/>
  <c r="BX11" i="125"/>
  <c r="BT24" i="124"/>
  <c r="BT24" i="125"/>
  <c r="BX10" i="124"/>
  <c r="BX10" i="125"/>
  <c r="CB9" i="124"/>
  <c r="CB9" i="125"/>
  <c r="BX8" i="124"/>
  <c r="BX8" i="125"/>
  <c r="BX15" i="124"/>
  <c r="BX15" i="125"/>
  <c r="CF15" i="124"/>
  <c r="CF15" i="125"/>
  <c r="CF23" i="124"/>
  <c r="CF23" i="125"/>
  <c r="CF12" i="124"/>
  <c r="CF12" i="125"/>
  <c r="CF6" i="124"/>
  <c r="CF6" i="125"/>
  <c r="BT9" i="124"/>
  <c r="BT9" i="125"/>
  <c r="BT19" i="124"/>
  <c r="BT19" i="125"/>
  <c r="BT12" i="124"/>
  <c r="BT12" i="125"/>
  <c r="BT6" i="124"/>
  <c r="BT6" i="125"/>
  <c r="BK17" i="124"/>
  <c r="BK17" i="125"/>
  <c r="BK11" i="124"/>
  <c r="BK11" i="125"/>
  <c r="BK15" i="124"/>
  <c r="BK15" i="125"/>
  <c r="BE10" i="124"/>
  <c r="BF10" i="124" s="1"/>
  <c r="BE10" i="125"/>
  <c r="BF10" i="125" s="1"/>
  <c r="CF14" i="124"/>
  <c r="CF14" i="125"/>
  <c r="BX21" i="124"/>
  <c r="BX21" i="125"/>
  <c r="BT22" i="124"/>
  <c r="BT22" i="125"/>
  <c r="BX20" i="124"/>
  <c r="BX20" i="125"/>
  <c r="CB8" i="124"/>
  <c r="CB8" i="125"/>
  <c r="CB15" i="124"/>
  <c r="CB15" i="125"/>
  <c r="BX17" i="124"/>
  <c r="BX17" i="125"/>
  <c r="BX19" i="124"/>
  <c r="BX19" i="125"/>
  <c r="BX7" i="124"/>
  <c r="BX7" i="125"/>
  <c r="CF13" i="124"/>
  <c r="CF13" i="125"/>
  <c r="CF24" i="124"/>
  <c r="CF24" i="125"/>
  <c r="BT18" i="124"/>
  <c r="BT18" i="125"/>
  <c r="BP22" i="124"/>
  <c r="BP22" i="125"/>
  <c r="BP14" i="124"/>
  <c r="BP14" i="125"/>
  <c r="BP23" i="124"/>
  <c r="BP23" i="125"/>
  <c r="BK8" i="124"/>
  <c r="BK8" i="125"/>
  <c r="BK24" i="124"/>
  <c r="BK24" i="125"/>
  <c r="BK19" i="124"/>
  <c r="BK19" i="125"/>
  <c r="BE21" i="124"/>
  <c r="BF21" i="124" s="1"/>
  <c r="BE21" i="125"/>
  <c r="BE11" i="124"/>
  <c r="BF11" i="124" s="1"/>
  <c r="BE11" i="125"/>
  <c r="BE24" i="124"/>
  <c r="BF24" i="124" s="1"/>
  <c r="BE24" i="125"/>
  <c r="BE6" i="124"/>
  <c r="BE6" i="125"/>
  <c r="BE5" i="124"/>
  <c r="BF5" i="124" s="1"/>
  <c r="BE5" i="125"/>
  <c r="BE14" i="124"/>
  <c r="BF14" i="124" s="1"/>
  <c r="BE14" i="125"/>
  <c r="BF14" i="125" s="1"/>
  <c r="CF22" i="124"/>
  <c r="CF22" i="125"/>
  <c r="CB10" i="124"/>
  <c r="CB10" i="125"/>
  <c r="BT17" i="124"/>
  <c r="BT17" i="125"/>
  <c r="BK21" i="124"/>
  <c r="BK21" i="125"/>
  <c r="BX13" i="124"/>
  <c r="BX13" i="125"/>
  <c r="CB17" i="124"/>
  <c r="CB17" i="125"/>
  <c r="CB19" i="124"/>
  <c r="CB19" i="125"/>
  <c r="CB7" i="124"/>
  <c r="CB7" i="125"/>
  <c r="BX24" i="124"/>
  <c r="BX24" i="125"/>
  <c r="BX6" i="124"/>
  <c r="BX6" i="125"/>
  <c r="CF11" i="124"/>
  <c r="CF11" i="125"/>
  <c r="CF21" i="124"/>
  <c r="CF21" i="125"/>
  <c r="BT14" i="124"/>
  <c r="BT14" i="125"/>
  <c r="BT23" i="124"/>
  <c r="BT23" i="125"/>
  <c r="BP20" i="124"/>
  <c r="BP20" i="125"/>
  <c r="BK10" i="124"/>
  <c r="BK10" i="125"/>
  <c r="BK23" i="124"/>
  <c r="BK23" i="125"/>
  <c r="BK16" i="124"/>
  <c r="BK16" i="125"/>
  <c r="BK7" i="124"/>
  <c r="BK7" i="125"/>
  <c r="BE16" i="124"/>
  <c r="BF16" i="124" s="1"/>
  <c r="BE16" i="125"/>
  <c r="BF16" i="125" s="1"/>
  <c r="DI128" i="9"/>
  <c r="EY117" i="9"/>
  <c r="EY118" i="9" s="1"/>
  <c r="EY119" i="9" s="1"/>
  <c r="EY120" i="9" s="1"/>
  <c r="EY121" i="9" s="1"/>
  <c r="EY122" i="9" s="1"/>
  <c r="EY123" i="9" s="1"/>
  <c r="EY124" i="9" s="1"/>
  <c r="EY125" i="9" s="1"/>
  <c r="EY126" i="9" s="1"/>
  <c r="EY127" i="9" s="1"/>
  <c r="EY128" i="9" s="1"/>
  <c r="DA128" i="9"/>
  <c r="DA127" i="9"/>
  <c r="CZ128" i="9"/>
  <c r="BX17" i="120"/>
  <c r="BX17" i="121"/>
  <c r="CF13" i="120"/>
  <c r="CF13" i="121"/>
  <c r="BP22" i="120"/>
  <c r="BP22" i="121"/>
  <c r="BP14" i="120"/>
  <c r="BP14" i="121"/>
  <c r="BE21" i="120"/>
  <c r="BF21" i="120" s="1"/>
  <c r="BE21" i="121"/>
  <c r="BE6" i="120"/>
  <c r="BF6" i="120" s="1"/>
  <c r="BE6" i="121"/>
  <c r="BF6" i="121" s="1"/>
  <c r="BX24" i="120"/>
  <c r="BX24" i="121"/>
  <c r="BX6" i="120"/>
  <c r="BX6" i="121"/>
  <c r="BT14" i="120"/>
  <c r="BT14" i="121"/>
  <c r="BT23" i="120"/>
  <c r="BT23" i="121"/>
  <c r="BK7" i="120"/>
  <c r="BK7" i="121"/>
  <c r="CB10" i="120"/>
  <c r="CB10" i="121"/>
  <c r="CB23" i="120"/>
  <c r="CB23" i="121"/>
  <c r="BX11" i="120"/>
  <c r="BX11" i="121"/>
  <c r="BT24" i="120"/>
  <c r="BT24" i="121"/>
  <c r="BK21" i="120"/>
  <c r="BK21" i="121"/>
  <c r="BE7" i="120"/>
  <c r="BF7" i="120" s="1"/>
  <c r="BE7" i="121"/>
  <c r="BF7" i="121" s="1"/>
  <c r="CB20" i="120"/>
  <c r="CB20" i="121"/>
  <c r="CB21" i="120"/>
  <c r="CB21" i="121"/>
  <c r="CB11" i="120"/>
  <c r="CB11" i="121"/>
  <c r="BX18" i="120"/>
  <c r="BX18" i="121"/>
  <c r="BX16" i="120"/>
  <c r="BX16" i="121"/>
  <c r="CF19" i="120"/>
  <c r="CF19" i="121"/>
  <c r="CF8" i="120"/>
  <c r="CF8" i="121"/>
  <c r="BT8" i="120"/>
  <c r="BT8" i="121"/>
  <c r="BT21" i="120"/>
  <c r="BT21" i="121"/>
  <c r="BT20" i="120"/>
  <c r="BT20" i="121"/>
  <c r="BT15" i="120"/>
  <c r="BT15" i="121"/>
  <c r="BP19" i="120"/>
  <c r="BP19" i="121"/>
  <c r="BP10" i="120"/>
  <c r="BP10" i="121"/>
  <c r="BP21" i="120"/>
  <c r="BP21" i="121"/>
  <c r="BP16" i="120"/>
  <c r="BP16" i="121"/>
  <c r="BK14" i="120"/>
  <c r="BK14" i="121"/>
  <c r="BE17" i="120"/>
  <c r="BF17" i="120" s="1"/>
  <c r="BE17" i="121"/>
  <c r="CB8" i="120"/>
  <c r="CB8" i="121"/>
  <c r="BX7" i="120"/>
  <c r="BX7" i="121"/>
  <c r="BK8" i="120"/>
  <c r="BK8" i="121"/>
  <c r="BE24" i="120"/>
  <c r="BF24" i="120" s="1"/>
  <c r="BE24" i="121"/>
  <c r="CB17" i="120"/>
  <c r="CB17" i="121"/>
  <c r="CB7" i="120"/>
  <c r="CB7" i="121"/>
  <c r="CF21" i="120"/>
  <c r="CF21" i="121"/>
  <c r="BP20" i="120"/>
  <c r="BP20" i="121"/>
  <c r="BK10" i="120"/>
  <c r="BK10" i="121"/>
  <c r="BX22" i="120"/>
  <c r="BX22" i="121"/>
  <c r="CF14" i="120"/>
  <c r="CF14" i="121"/>
  <c r="BE20" i="120"/>
  <c r="BF20" i="120" s="1"/>
  <c r="BE20" i="121"/>
  <c r="BF20" i="121" s="1"/>
  <c r="CF20" i="120"/>
  <c r="CF20" i="121"/>
  <c r="BT17" i="120"/>
  <c r="BT17" i="121"/>
  <c r="BP11" i="120"/>
  <c r="BP11" i="121"/>
  <c r="BE23" i="120"/>
  <c r="BF23" i="120" s="1"/>
  <c r="BE23" i="121"/>
  <c r="CB13" i="120"/>
  <c r="CB13" i="121"/>
  <c r="CB18" i="120"/>
  <c r="CB18" i="121"/>
  <c r="CB16" i="120"/>
  <c r="CB16" i="121"/>
  <c r="BX14" i="120"/>
  <c r="BX14" i="121"/>
  <c r="CF18" i="120"/>
  <c r="CF18" i="121"/>
  <c r="CF7" i="120"/>
  <c r="CF7" i="121"/>
  <c r="BT13" i="120"/>
  <c r="BT13" i="121"/>
  <c r="BT7" i="120"/>
  <c r="BT7" i="121"/>
  <c r="BP15" i="120"/>
  <c r="BP15" i="121"/>
  <c r="BP17" i="120"/>
  <c r="BP17" i="121"/>
  <c r="BP12" i="120"/>
  <c r="BP12" i="121"/>
  <c r="BP6" i="120"/>
  <c r="BP6" i="121"/>
  <c r="BK9" i="120"/>
  <c r="BK9" i="121"/>
  <c r="BE18" i="120"/>
  <c r="BF18" i="120" s="1"/>
  <c r="BE18" i="121"/>
  <c r="BF18" i="121" s="1"/>
  <c r="BE22" i="120"/>
  <c r="BF22" i="120" s="1"/>
  <c r="BE22" i="121"/>
  <c r="BE13" i="120"/>
  <c r="BF13" i="120" s="1"/>
  <c r="BE13" i="121"/>
  <c r="BF13" i="121" s="1"/>
  <c r="BX20" i="120"/>
  <c r="BX20" i="121"/>
  <c r="CF24" i="120"/>
  <c r="CF24" i="121"/>
  <c r="BK24" i="120"/>
  <c r="BK24" i="121"/>
  <c r="BE14" i="120"/>
  <c r="BF14" i="120" s="1"/>
  <c r="BE14" i="121"/>
  <c r="BF14" i="121" s="1"/>
  <c r="BE16" i="120"/>
  <c r="BF16" i="120" s="1"/>
  <c r="BE16" i="121"/>
  <c r="BF16" i="121" s="1"/>
  <c r="BX12" i="120"/>
  <c r="BX12" i="121"/>
  <c r="BX23" i="120"/>
  <c r="BX23" i="121"/>
  <c r="CF22" i="120"/>
  <c r="CF22" i="121"/>
  <c r="BT11" i="120"/>
  <c r="BT11" i="121"/>
  <c r="BP18" i="120"/>
  <c r="BP18" i="121"/>
  <c r="BK13" i="120"/>
  <c r="BK13" i="121"/>
  <c r="BK6" i="120"/>
  <c r="BK6" i="121"/>
  <c r="BE19" i="120"/>
  <c r="BF19" i="120" s="1"/>
  <c r="BE19" i="121"/>
  <c r="BF19" i="121" s="1"/>
  <c r="CB22" i="120"/>
  <c r="CB22" i="121"/>
  <c r="BX21" i="120"/>
  <c r="BX21" i="121"/>
  <c r="CF9" i="120"/>
  <c r="CF9" i="121"/>
  <c r="BT22" i="120"/>
  <c r="BT22" i="121"/>
  <c r="BT10" i="120"/>
  <c r="BT10" i="121"/>
  <c r="BP7" i="120"/>
  <c r="BP7" i="121"/>
  <c r="BE9" i="120"/>
  <c r="BF9" i="120" s="1"/>
  <c r="BE9" i="121"/>
  <c r="BF9" i="121" s="1"/>
  <c r="DE60" i="9"/>
  <c r="J55" i="122"/>
  <c r="AP55" i="122" s="1"/>
  <c r="CB12" i="120"/>
  <c r="CB12" i="121"/>
  <c r="CB14" i="120"/>
  <c r="CB14" i="121"/>
  <c r="BX9" i="120"/>
  <c r="BX9" i="121"/>
  <c r="CF17" i="120"/>
  <c r="CF17" i="121"/>
  <c r="CF16" i="120"/>
  <c r="CF16" i="121"/>
  <c r="BT16" i="120"/>
  <c r="BT16" i="121"/>
  <c r="BP13" i="120"/>
  <c r="BP13" i="121"/>
  <c r="BP8" i="120"/>
  <c r="BP8" i="121"/>
  <c r="BP9" i="120"/>
  <c r="BP9" i="121"/>
  <c r="BK18" i="120"/>
  <c r="BK18" i="121"/>
  <c r="BK22" i="120"/>
  <c r="BK22" i="121"/>
  <c r="BK20" i="120"/>
  <c r="BK20" i="121"/>
  <c r="BE15" i="120"/>
  <c r="BF15" i="120" s="1"/>
  <c r="BE15" i="121"/>
  <c r="CB15" i="120"/>
  <c r="CB15" i="121"/>
  <c r="BX19" i="120"/>
  <c r="BX19" i="121"/>
  <c r="BT18" i="120"/>
  <c r="BT18" i="121"/>
  <c r="BP23" i="120"/>
  <c r="BP23" i="121"/>
  <c r="BK19" i="120"/>
  <c r="BK19" i="121"/>
  <c r="BE11" i="120"/>
  <c r="BF11" i="120" s="1"/>
  <c r="BE11" i="121"/>
  <c r="BE5" i="120"/>
  <c r="BF5" i="120" s="1"/>
  <c r="BE5" i="121"/>
  <c r="BX13" i="120"/>
  <c r="BX13" i="121"/>
  <c r="CB19" i="120"/>
  <c r="CB19" i="121"/>
  <c r="CF11" i="120"/>
  <c r="CF11" i="121"/>
  <c r="BK23" i="120"/>
  <c r="BK23" i="121"/>
  <c r="BK16" i="120"/>
  <c r="BK16" i="121"/>
  <c r="CB24" i="120"/>
  <c r="CB24" i="121"/>
  <c r="CB6" i="120"/>
  <c r="CB6" i="121"/>
  <c r="CF10" i="120"/>
  <c r="CF10" i="121"/>
  <c r="BP24" i="120"/>
  <c r="BP24" i="121"/>
  <c r="BK12" i="120"/>
  <c r="BK12" i="121"/>
  <c r="BE12" i="120"/>
  <c r="BF12" i="120" s="1"/>
  <c r="BE12" i="121"/>
  <c r="BX10" i="120"/>
  <c r="BX10" i="121"/>
  <c r="CB9" i="120"/>
  <c r="CB9" i="121"/>
  <c r="BX8" i="120"/>
  <c r="BX8" i="121"/>
  <c r="BX15" i="120"/>
  <c r="BX15" i="121"/>
  <c r="CF15" i="120"/>
  <c r="CF15" i="121"/>
  <c r="CF23" i="120"/>
  <c r="CF23" i="121"/>
  <c r="CF12" i="120"/>
  <c r="CF12" i="121"/>
  <c r="CF6" i="120"/>
  <c r="CF6" i="121"/>
  <c r="BT9" i="120"/>
  <c r="BT9" i="121"/>
  <c r="BT19" i="120"/>
  <c r="BT19" i="121"/>
  <c r="BT12" i="120"/>
  <c r="BT12" i="121"/>
  <c r="BT6" i="120"/>
  <c r="BT6" i="121"/>
  <c r="BK17" i="120"/>
  <c r="BK17" i="121"/>
  <c r="BK11" i="120"/>
  <c r="BK11" i="121"/>
  <c r="BK15" i="120"/>
  <c r="BK15" i="121"/>
  <c r="BE10" i="120"/>
  <c r="BF10" i="120" s="1"/>
  <c r="BE10" i="121"/>
  <c r="BF10" i="121" s="1"/>
  <c r="CA61" i="9"/>
  <c r="GJ20" i="9"/>
  <c r="CR19" i="9"/>
  <c r="GJ24" i="9"/>
  <c r="GN23" i="9"/>
  <c r="HL24" i="9"/>
  <c r="A20" i="20"/>
  <c r="G20" i="20" s="1"/>
  <c r="K20" i="20" s="1"/>
  <c r="CC11" i="116"/>
  <c r="CB11" i="119"/>
  <c r="BY16" i="116"/>
  <c r="BX16" i="119"/>
  <c r="BU20" i="116"/>
  <c r="BT20" i="119"/>
  <c r="BQ19" i="116"/>
  <c r="BP19" i="119"/>
  <c r="BQ16" i="116"/>
  <c r="BP16" i="119"/>
  <c r="HQ24" i="9"/>
  <c r="GA32" i="9"/>
  <c r="CC13" i="116"/>
  <c r="CB13" i="119"/>
  <c r="CC18" i="116"/>
  <c r="CB18" i="119"/>
  <c r="CC16" i="116"/>
  <c r="CB16" i="119"/>
  <c r="BY14" i="116"/>
  <c r="BX14" i="119"/>
  <c r="CG18" i="116"/>
  <c r="CF18" i="119"/>
  <c r="CG7" i="116"/>
  <c r="CF7" i="119"/>
  <c r="BU13" i="116"/>
  <c r="BT13" i="119"/>
  <c r="BU7" i="116"/>
  <c r="BT7" i="119"/>
  <c r="BQ15" i="116"/>
  <c r="BP15" i="119"/>
  <c r="BQ17" i="116"/>
  <c r="BP17" i="119"/>
  <c r="BQ12" i="116"/>
  <c r="BP12" i="119"/>
  <c r="BQ6" i="116"/>
  <c r="BP6" i="119"/>
  <c r="BL9" i="116"/>
  <c r="BK9" i="119"/>
  <c r="BF18" i="116"/>
  <c r="BG18" i="116" s="1"/>
  <c r="BE18" i="119"/>
  <c r="BF22" i="116"/>
  <c r="BG22" i="116" s="1"/>
  <c r="BE22" i="119"/>
  <c r="BF22" i="119" s="1"/>
  <c r="BF13" i="116"/>
  <c r="BG13" i="116" s="1"/>
  <c r="BE13" i="119"/>
  <c r="BF13" i="119" s="1"/>
  <c r="Y60" i="9"/>
  <c r="CC17" i="116"/>
  <c r="CB17" i="119"/>
  <c r="CC19" i="116"/>
  <c r="CB19" i="119"/>
  <c r="BY24" i="116"/>
  <c r="BX24" i="119"/>
  <c r="CG11" i="116"/>
  <c r="CF11" i="119"/>
  <c r="BU23" i="116"/>
  <c r="BT23" i="119"/>
  <c r="BL10" i="116"/>
  <c r="BK10" i="119"/>
  <c r="BL16" i="116"/>
  <c r="BK16" i="119"/>
  <c r="BF16" i="116"/>
  <c r="BG16" i="116" s="1"/>
  <c r="BE16" i="119"/>
  <c r="BF16" i="119" s="1"/>
  <c r="BJ69" i="9"/>
  <c r="DA69" i="9" s="1"/>
  <c r="BY12" i="116"/>
  <c r="BX12" i="119"/>
  <c r="CC6" i="116"/>
  <c r="CB6" i="119"/>
  <c r="CG14" i="116"/>
  <c r="CF14" i="119"/>
  <c r="BL12" i="116"/>
  <c r="BK12" i="119"/>
  <c r="BF20" i="116"/>
  <c r="BG20" i="116" s="1"/>
  <c r="BE20" i="119"/>
  <c r="BF20" i="119" s="1"/>
  <c r="BF19" i="116"/>
  <c r="BG19" i="116" s="1"/>
  <c r="BE19" i="119"/>
  <c r="CC10" i="116"/>
  <c r="CB10" i="119"/>
  <c r="CC23" i="116"/>
  <c r="CB23" i="119"/>
  <c r="BY11" i="116"/>
  <c r="BX11" i="119"/>
  <c r="CG9" i="116"/>
  <c r="CF9" i="119"/>
  <c r="BF7" i="116"/>
  <c r="BG7" i="116" s="1"/>
  <c r="BE7" i="119"/>
  <c r="BF7" i="119" s="1"/>
  <c r="BY18" i="116"/>
  <c r="BX18" i="119"/>
  <c r="CG19" i="116"/>
  <c r="CF19" i="119"/>
  <c r="CG8" i="116"/>
  <c r="CF8" i="119"/>
  <c r="BU21" i="116"/>
  <c r="BT21" i="119"/>
  <c r="BQ10" i="116"/>
  <c r="BP10" i="119"/>
  <c r="BL14" i="116"/>
  <c r="BK14" i="119"/>
  <c r="A24" i="20"/>
  <c r="G24" i="20" s="1"/>
  <c r="K24" i="20" s="1"/>
  <c r="M24" i="3"/>
  <c r="CC12" i="116"/>
  <c r="CB12" i="119"/>
  <c r="CC14" i="116"/>
  <c r="CB14" i="119"/>
  <c r="BY9" i="116"/>
  <c r="BX9" i="119"/>
  <c r="CG17" i="116"/>
  <c r="CF17" i="119"/>
  <c r="CG16" i="116"/>
  <c r="CF16" i="119"/>
  <c r="BU16" i="116"/>
  <c r="BT16" i="119"/>
  <c r="BQ13" i="116"/>
  <c r="BP13" i="119"/>
  <c r="BQ8" i="116"/>
  <c r="BP8" i="119"/>
  <c r="BQ9" i="116"/>
  <c r="BP9" i="119"/>
  <c r="BL18" i="116"/>
  <c r="BK18" i="119"/>
  <c r="BL22" i="116"/>
  <c r="BK22" i="119"/>
  <c r="BL20" i="116"/>
  <c r="BK20" i="119"/>
  <c r="BF15" i="116"/>
  <c r="BG15" i="116" s="1"/>
  <c r="BE15" i="119"/>
  <c r="BJ64" i="9"/>
  <c r="DA64" i="9" s="1"/>
  <c r="BY13" i="116"/>
  <c r="BX13" i="119"/>
  <c r="CC7" i="116"/>
  <c r="CB7" i="119"/>
  <c r="BY6" i="116"/>
  <c r="BX6" i="119"/>
  <c r="CG21" i="116"/>
  <c r="CF21" i="119"/>
  <c r="BU14" i="116"/>
  <c r="BT14" i="119"/>
  <c r="BQ20" i="116"/>
  <c r="BP20" i="119"/>
  <c r="BL23" i="116"/>
  <c r="BK23" i="119"/>
  <c r="BL7" i="116"/>
  <c r="BK7" i="119"/>
  <c r="BJ66" i="9"/>
  <c r="DA66" i="9" s="1"/>
  <c r="BY23" i="116"/>
  <c r="BX23" i="119"/>
  <c r="CG22" i="116"/>
  <c r="CF22" i="119"/>
  <c r="BQ18" i="116"/>
  <c r="BP18" i="119"/>
  <c r="BL13" i="116"/>
  <c r="BK13" i="119"/>
  <c r="BL6" i="116"/>
  <c r="BK6" i="119"/>
  <c r="BJ68" i="9"/>
  <c r="DA68" i="9" s="1"/>
  <c r="BY21" i="116"/>
  <c r="BX21" i="119"/>
  <c r="CG20" i="116"/>
  <c r="CF20" i="119"/>
  <c r="BU17" i="116"/>
  <c r="BT17" i="119"/>
  <c r="BU24" i="116"/>
  <c r="BT24" i="119"/>
  <c r="BQ11" i="116"/>
  <c r="BP11" i="119"/>
  <c r="BQ7" i="116"/>
  <c r="BP7" i="119"/>
  <c r="BF23" i="116"/>
  <c r="BG23" i="116" s="1"/>
  <c r="BE23" i="119"/>
  <c r="CC20" i="116"/>
  <c r="CB20" i="119"/>
  <c r="BU8" i="116"/>
  <c r="BT8" i="119"/>
  <c r="HI4" i="9"/>
  <c r="HI8" i="9" s="1"/>
  <c r="BD37" i="9"/>
  <c r="BG37" i="9" s="1"/>
  <c r="CZ37" i="9" s="1"/>
  <c r="BJ63" i="9"/>
  <c r="DA63" i="9" s="1"/>
  <c r="BY10" i="116"/>
  <c r="BX10" i="119"/>
  <c r="CC9" i="116"/>
  <c r="CB9" i="119"/>
  <c r="BY8" i="116"/>
  <c r="BX8" i="119"/>
  <c r="BY15" i="116"/>
  <c r="BX15" i="119"/>
  <c r="CG15" i="116"/>
  <c r="CF15" i="119"/>
  <c r="CG23" i="116"/>
  <c r="CF23" i="119"/>
  <c r="CG12" i="116"/>
  <c r="CF12" i="119"/>
  <c r="CG6" i="116"/>
  <c r="CF6" i="119"/>
  <c r="BU9" i="116"/>
  <c r="BT9" i="119"/>
  <c r="BU19" i="116"/>
  <c r="BT19" i="119"/>
  <c r="BU12" i="116"/>
  <c r="BT12" i="119"/>
  <c r="BU6" i="116"/>
  <c r="BT6" i="119"/>
  <c r="BL17" i="116"/>
  <c r="BK17" i="119"/>
  <c r="BL11" i="116"/>
  <c r="BK11" i="119"/>
  <c r="BL15" i="116"/>
  <c r="BK15" i="119"/>
  <c r="BF10" i="116"/>
  <c r="BG10" i="116" s="1"/>
  <c r="BE10" i="119"/>
  <c r="BF10" i="119" s="1"/>
  <c r="BJ70" i="9"/>
  <c r="DA70" i="9" s="1"/>
  <c r="CC24" i="116"/>
  <c r="CB24" i="119"/>
  <c r="BY22" i="116"/>
  <c r="BX22" i="119"/>
  <c r="CG10" i="116"/>
  <c r="CF10" i="119"/>
  <c r="BU11" i="116"/>
  <c r="BT11" i="119"/>
  <c r="BQ24" i="116"/>
  <c r="BP24" i="119"/>
  <c r="BF12" i="116"/>
  <c r="BG12" i="116" s="1"/>
  <c r="BE12" i="119"/>
  <c r="BJ67" i="9"/>
  <c r="DA67" i="9" s="1"/>
  <c r="BJ62" i="9"/>
  <c r="DA62" i="9" s="1"/>
  <c r="CC22" i="116"/>
  <c r="CB22" i="119"/>
  <c r="BU22" i="116"/>
  <c r="BT22" i="119"/>
  <c r="BU10" i="116"/>
  <c r="BT10" i="119"/>
  <c r="BL21" i="116"/>
  <c r="BK21" i="119"/>
  <c r="BF9" i="116"/>
  <c r="BG9" i="116" s="1"/>
  <c r="BE9" i="119"/>
  <c r="BF9" i="119" s="1"/>
  <c r="CC21" i="116"/>
  <c r="CB21" i="119"/>
  <c r="BU15" i="116"/>
  <c r="BT15" i="119"/>
  <c r="BQ21" i="116"/>
  <c r="BP21" i="119"/>
  <c r="BF17" i="116"/>
  <c r="BG17" i="116" s="1"/>
  <c r="BE17" i="119"/>
  <c r="BF17" i="119" s="1"/>
  <c r="M22" i="3"/>
  <c r="HH65" i="9"/>
  <c r="BJ65" i="9"/>
  <c r="DA65" i="9" s="1"/>
  <c r="BY20" i="116"/>
  <c r="BX20" i="119"/>
  <c r="CC8" i="116"/>
  <c r="CB8" i="119"/>
  <c r="CC15" i="116"/>
  <c r="CB15" i="119"/>
  <c r="BY17" i="116"/>
  <c r="BX17" i="119"/>
  <c r="BY19" i="116"/>
  <c r="BX19" i="119"/>
  <c r="BY7" i="116"/>
  <c r="BX7" i="119"/>
  <c r="CG13" i="116"/>
  <c r="CF13" i="119"/>
  <c r="CG24" i="116"/>
  <c r="CF24" i="119"/>
  <c r="BU18" i="116"/>
  <c r="BT18" i="119"/>
  <c r="BQ22" i="116"/>
  <c r="BP22" i="119"/>
  <c r="BQ14" i="116"/>
  <c r="BP14" i="119"/>
  <c r="BQ23" i="116"/>
  <c r="BP23" i="119"/>
  <c r="BL8" i="116"/>
  <c r="BK8" i="119"/>
  <c r="BL24" i="116"/>
  <c r="BK24" i="119"/>
  <c r="BL19" i="116"/>
  <c r="BK19" i="119"/>
  <c r="BF21" i="116"/>
  <c r="BG21" i="116" s="1"/>
  <c r="BE21" i="119"/>
  <c r="BF11" i="116"/>
  <c r="BG11" i="116" s="1"/>
  <c r="BE11" i="119"/>
  <c r="BF11" i="119" s="1"/>
  <c r="BF24" i="116"/>
  <c r="BG24" i="116" s="1"/>
  <c r="BE24" i="119"/>
  <c r="BF24" i="119" s="1"/>
  <c r="BF6" i="116"/>
  <c r="BG6" i="116" s="1"/>
  <c r="BE6" i="119"/>
  <c r="BF5" i="116"/>
  <c r="BG5" i="116" s="1"/>
  <c r="BE5" i="119"/>
  <c r="BF14" i="116"/>
  <c r="BG14" i="116" s="1"/>
  <c r="BE14" i="119"/>
  <c r="BF14" i="119" s="1"/>
  <c r="CZ124" i="9"/>
  <c r="CZ125" i="9"/>
  <c r="DA125" i="9"/>
  <c r="DA124" i="9"/>
  <c r="GP103" i="9"/>
  <c r="GP104" i="9" s="1"/>
  <c r="GP105" i="9" s="1"/>
  <c r="GP107" i="9" s="1"/>
  <c r="CC10" i="113"/>
  <c r="CC10" i="112"/>
  <c r="CC22" i="113"/>
  <c r="CC22" i="112"/>
  <c r="CC23" i="113"/>
  <c r="CC23" i="112"/>
  <c r="BY21" i="113"/>
  <c r="BY21" i="112"/>
  <c r="BY11" i="113"/>
  <c r="BY11" i="112"/>
  <c r="CG20" i="113"/>
  <c r="CG20" i="112"/>
  <c r="CG9" i="113"/>
  <c r="CG9" i="112"/>
  <c r="BU22" i="113"/>
  <c r="BU22" i="112"/>
  <c r="BU17" i="113"/>
  <c r="BU17" i="112"/>
  <c r="BU10" i="113"/>
  <c r="BU10" i="112"/>
  <c r="BU24" i="113"/>
  <c r="BU24" i="112"/>
  <c r="BQ11" i="113"/>
  <c r="BQ11" i="112"/>
  <c r="BQ7" i="113"/>
  <c r="BQ7" i="112"/>
  <c r="BL21" i="113"/>
  <c r="BL21" i="112"/>
  <c r="BF9" i="113"/>
  <c r="BG9" i="113" s="1"/>
  <c r="BF9" i="112"/>
  <c r="BG9" i="112" s="1"/>
  <c r="BF23" i="113"/>
  <c r="BG23" i="113" s="1"/>
  <c r="BF23" i="112"/>
  <c r="BG23" i="112" s="1"/>
  <c r="BF7" i="113"/>
  <c r="BF7" i="112"/>
  <c r="BG7" i="112" s="1"/>
  <c r="CC20" i="113"/>
  <c r="CC20" i="112"/>
  <c r="CC21" i="113"/>
  <c r="CC21" i="112"/>
  <c r="CC11" i="113"/>
  <c r="CC11" i="112"/>
  <c r="BY18" i="113"/>
  <c r="BY18" i="112"/>
  <c r="BY16" i="113"/>
  <c r="BY16" i="112"/>
  <c r="CG19" i="113"/>
  <c r="CG19" i="112"/>
  <c r="CG8" i="113"/>
  <c r="CG8" i="112"/>
  <c r="BU8" i="113"/>
  <c r="BU8" i="112"/>
  <c r="BU21" i="113"/>
  <c r="BU21" i="112"/>
  <c r="BU20" i="113"/>
  <c r="BU20" i="112"/>
  <c r="BU15" i="113"/>
  <c r="BU15" i="112"/>
  <c r="BQ19" i="113"/>
  <c r="BQ19" i="112"/>
  <c r="BQ10" i="113"/>
  <c r="BQ10" i="112"/>
  <c r="BQ21" i="113"/>
  <c r="BQ21" i="112"/>
  <c r="BQ16" i="113"/>
  <c r="BQ16" i="112"/>
  <c r="BL14" i="113"/>
  <c r="BL14" i="112"/>
  <c r="BF17" i="113"/>
  <c r="BG17" i="113" s="1"/>
  <c r="BF17" i="112"/>
  <c r="BG17" i="112" s="1"/>
  <c r="CC13" i="113"/>
  <c r="CC13" i="112"/>
  <c r="CC18" i="113"/>
  <c r="CC18" i="112"/>
  <c r="CC16" i="113"/>
  <c r="CC16" i="112"/>
  <c r="BY14" i="113"/>
  <c r="BY14" i="112"/>
  <c r="CG18" i="113"/>
  <c r="CG18" i="112"/>
  <c r="CG7" i="113"/>
  <c r="CG7" i="112"/>
  <c r="BU13" i="113"/>
  <c r="BU13" i="112"/>
  <c r="BU7" i="113"/>
  <c r="BU7" i="112"/>
  <c r="BQ15" i="113"/>
  <c r="BQ15" i="112"/>
  <c r="BQ17" i="113"/>
  <c r="BQ17" i="112"/>
  <c r="BQ12" i="113"/>
  <c r="BQ12" i="112"/>
  <c r="BQ6" i="113"/>
  <c r="BQ6" i="112"/>
  <c r="BL9" i="113"/>
  <c r="BL9" i="112"/>
  <c r="BF18" i="113"/>
  <c r="BG18" i="113" s="1"/>
  <c r="BF18" i="112"/>
  <c r="BG18" i="112" s="1"/>
  <c r="BF22" i="113"/>
  <c r="BG22" i="113" s="1"/>
  <c r="BF22" i="112"/>
  <c r="BG22" i="112" s="1"/>
  <c r="BF13" i="113"/>
  <c r="BF13" i="112"/>
  <c r="BG13" i="112" s="1"/>
  <c r="CC12" i="113"/>
  <c r="CC12" i="112"/>
  <c r="CC14" i="113"/>
  <c r="CC14" i="112"/>
  <c r="BY9" i="113"/>
  <c r="BY9" i="112"/>
  <c r="CG17" i="113"/>
  <c r="CG17" i="112"/>
  <c r="CG16" i="113"/>
  <c r="CG16" i="112"/>
  <c r="BU16" i="113"/>
  <c r="BU16" i="112"/>
  <c r="BQ13" i="113"/>
  <c r="BQ13" i="112"/>
  <c r="BQ8" i="113"/>
  <c r="BQ8" i="112"/>
  <c r="BQ9" i="113"/>
  <c r="BQ9" i="112"/>
  <c r="BL18" i="113"/>
  <c r="BL18" i="112"/>
  <c r="BL22" i="113"/>
  <c r="BL22" i="112"/>
  <c r="BL20" i="113"/>
  <c r="BL20" i="112"/>
  <c r="BF15" i="113"/>
  <c r="BF15" i="112"/>
  <c r="BG15" i="112" s="1"/>
  <c r="BY10" i="113"/>
  <c r="BY10" i="112"/>
  <c r="CC9" i="113"/>
  <c r="CC9" i="112"/>
  <c r="BY8" i="113"/>
  <c r="BY8" i="112"/>
  <c r="BY15" i="113"/>
  <c r="BY15" i="112"/>
  <c r="CG15" i="113"/>
  <c r="CG15" i="112"/>
  <c r="CG23" i="113"/>
  <c r="CG23" i="112"/>
  <c r="CG12" i="113"/>
  <c r="CG12" i="112"/>
  <c r="CG6" i="113"/>
  <c r="CG6" i="112"/>
  <c r="BU9" i="113"/>
  <c r="BU9" i="112"/>
  <c r="BU19" i="113"/>
  <c r="BU19" i="112"/>
  <c r="BU12" i="113"/>
  <c r="BU12" i="112"/>
  <c r="BU6" i="113"/>
  <c r="BU6" i="112"/>
  <c r="BL17" i="113"/>
  <c r="BL17" i="112"/>
  <c r="BL11" i="113"/>
  <c r="BL11" i="112"/>
  <c r="BL15" i="113"/>
  <c r="BL15" i="112"/>
  <c r="BF10" i="113"/>
  <c r="BG10" i="113" s="1"/>
  <c r="BF10" i="112"/>
  <c r="BG10" i="112" s="1"/>
  <c r="BY20" i="113"/>
  <c r="BY20" i="112"/>
  <c r="CC8" i="113"/>
  <c r="CC8" i="112"/>
  <c r="CC15" i="113"/>
  <c r="CC15" i="112"/>
  <c r="BY17" i="113"/>
  <c r="BY17" i="112"/>
  <c r="BY19" i="113"/>
  <c r="BY19" i="112"/>
  <c r="BY7" i="113"/>
  <c r="BY7" i="112"/>
  <c r="CG13" i="113"/>
  <c r="CG13" i="112"/>
  <c r="CG24" i="113"/>
  <c r="CG24" i="112"/>
  <c r="BU18" i="113"/>
  <c r="BU18" i="112"/>
  <c r="BQ22" i="113"/>
  <c r="BQ22" i="112"/>
  <c r="BQ14" i="113"/>
  <c r="BQ14" i="112"/>
  <c r="BQ23" i="113"/>
  <c r="BQ23" i="112"/>
  <c r="BL8" i="113"/>
  <c r="BL8" i="112"/>
  <c r="BL24" i="113"/>
  <c r="BL24" i="112"/>
  <c r="BL19" i="113"/>
  <c r="BL19" i="112"/>
  <c r="BF21" i="113"/>
  <c r="BG21" i="113" s="1"/>
  <c r="BF21" i="112"/>
  <c r="BG21" i="112" s="1"/>
  <c r="BF11" i="113"/>
  <c r="BF11" i="112"/>
  <c r="BG11" i="112" s="1"/>
  <c r="BF24" i="113"/>
  <c r="BG24" i="113" s="1"/>
  <c r="BF24" i="112"/>
  <c r="BG24" i="112" s="1"/>
  <c r="BF6" i="113"/>
  <c r="BF6" i="112"/>
  <c r="BF5" i="113"/>
  <c r="BG5" i="113" s="1"/>
  <c r="BF5" i="112"/>
  <c r="BG5" i="112" s="1"/>
  <c r="BF14" i="113"/>
  <c r="BG14" i="113" s="1"/>
  <c r="BF14" i="112"/>
  <c r="BG14" i="112" s="1"/>
  <c r="BY13" i="113"/>
  <c r="BY13" i="112"/>
  <c r="CC17" i="113"/>
  <c r="CC17" i="112"/>
  <c r="CC19" i="113"/>
  <c r="CC19" i="112"/>
  <c r="CC7" i="113"/>
  <c r="CC7" i="112"/>
  <c r="BY24" i="113"/>
  <c r="BY24" i="112"/>
  <c r="BY6" i="113"/>
  <c r="BY6" i="112"/>
  <c r="CG11" i="113"/>
  <c r="CG11" i="112"/>
  <c r="CG21" i="113"/>
  <c r="CG21" i="112"/>
  <c r="BU14" i="113"/>
  <c r="BU14" i="112"/>
  <c r="BU23" i="113"/>
  <c r="BU23" i="112"/>
  <c r="BQ20" i="113"/>
  <c r="BQ20" i="112"/>
  <c r="BL10" i="113"/>
  <c r="BL10" i="112"/>
  <c r="BL23" i="113"/>
  <c r="BL23" i="112"/>
  <c r="BL16" i="113"/>
  <c r="BL16" i="112"/>
  <c r="BL7" i="113"/>
  <c r="BL7" i="112"/>
  <c r="BF16" i="113"/>
  <c r="BG16" i="113" s="1"/>
  <c r="BF16" i="112"/>
  <c r="BG16" i="112" s="1"/>
  <c r="BY12" i="113"/>
  <c r="BY12" i="112"/>
  <c r="CC24" i="113"/>
  <c r="CC24" i="112"/>
  <c r="CC6" i="113"/>
  <c r="CC6" i="112"/>
  <c r="BY22" i="113"/>
  <c r="BY22" i="112"/>
  <c r="BY23" i="113"/>
  <c r="BY23" i="112"/>
  <c r="CG22" i="113"/>
  <c r="CG22" i="112"/>
  <c r="CG10" i="113"/>
  <c r="CG10" i="112"/>
  <c r="CG14" i="113"/>
  <c r="CG14" i="112"/>
  <c r="BU11" i="113"/>
  <c r="BU11" i="112"/>
  <c r="BQ18" i="113"/>
  <c r="BQ18" i="112"/>
  <c r="BQ24" i="113"/>
  <c r="BQ24" i="112"/>
  <c r="BL13" i="113"/>
  <c r="BL13" i="112"/>
  <c r="BL12" i="113"/>
  <c r="BL12" i="112"/>
  <c r="BL6" i="113"/>
  <c r="BL6" i="112"/>
  <c r="BF20" i="113"/>
  <c r="BG20" i="113" s="1"/>
  <c r="BF20" i="112"/>
  <c r="BG20" i="112" s="1"/>
  <c r="BF12" i="113"/>
  <c r="BF12" i="112"/>
  <c r="BG12" i="112" s="1"/>
  <c r="BF19" i="113"/>
  <c r="BG19" i="113" s="1"/>
  <c r="BF19" i="112"/>
  <c r="BG19" i="112" s="1"/>
  <c r="DH120" i="9"/>
  <c r="DH121" i="9"/>
  <c r="BY13" i="109"/>
  <c r="BX13" i="108"/>
  <c r="CC19" i="109"/>
  <c r="CB19" i="108"/>
  <c r="BY14" i="109"/>
  <c r="BX14" i="108"/>
  <c r="CG11" i="109"/>
  <c r="CF11" i="108"/>
  <c r="BU13" i="109"/>
  <c r="BT13" i="108"/>
  <c r="BU23" i="109"/>
  <c r="BT23" i="108"/>
  <c r="BQ20" i="109"/>
  <c r="BP20" i="108"/>
  <c r="BQ17" i="109"/>
  <c r="BP17" i="108"/>
  <c r="BL16" i="109"/>
  <c r="BK16" i="108"/>
  <c r="BF18" i="109"/>
  <c r="BG18" i="109" s="1"/>
  <c r="BE18" i="108"/>
  <c r="BF18" i="108" s="1"/>
  <c r="DA121" i="9"/>
  <c r="CT121" i="9"/>
  <c r="CF121" i="9"/>
  <c r="BY121" i="9"/>
  <c r="BY12" i="109"/>
  <c r="BX12" i="108"/>
  <c r="BY9" i="109"/>
  <c r="BX9" i="108"/>
  <c r="BY23" i="109"/>
  <c r="BX23" i="108"/>
  <c r="CG10" i="109"/>
  <c r="CF10" i="108"/>
  <c r="CG16" i="109"/>
  <c r="CF16" i="108"/>
  <c r="BQ8" i="109"/>
  <c r="BP8" i="108"/>
  <c r="BQ24" i="109"/>
  <c r="BP24" i="108"/>
  <c r="BL20" i="109"/>
  <c r="BK20" i="108"/>
  <c r="BL12" i="109"/>
  <c r="BK12" i="108"/>
  <c r="DF121" i="9"/>
  <c r="DG121" i="9" s="1"/>
  <c r="CL121" i="9"/>
  <c r="BY8" i="109"/>
  <c r="BX8" i="108"/>
  <c r="CG12" i="109"/>
  <c r="CF12" i="108"/>
  <c r="BU22" i="109"/>
  <c r="BT22" i="108"/>
  <c r="BU24" i="109"/>
  <c r="BT24" i="108"/>
  <c r="BL21" i="109"/>
  <c r="BK21" i="108"/>
  <c r="CZ121" i="9"/>
  <c r="CC21" i="109"/>
  <c r="CB21" i="108"/>
  <c r="BY17" i="109"/>
  <c r="BX17" i="108"/>
  <c r="BY7" i="109"/>
  <c r="BX7" i="108"/>
  <c r="BU20" i="109"/>
  <c r="BT20" i="108"/>
  <c r="BQ19" i="109"/>
  <c r="BP19" i="108"/>
  <c r="BQ14" i="109"/>
  <c r="BP14" i="108"/>
  <c r="BQ16" i="109"/>
  <c r="BP16" i="108"/>
  <c r="BL14" i="109"/>
  <c r="BK14" i="108"/>
  <c r="BF21" i="109"/>
  <c r="BG21" i="109" s="1"/>
  <c r="BE21" i="108"/>
  <c r="BF21" i="108" s="1"/>
  <c r="BF24" i="109"/>
  <c r="BG24" i="109" s="1"/>
  <c r="BE24" i="108"/>
  <c r="BF24" i="108" s="1"/>
  <c r="CC18" i="109"/>
  <c r="CB18" i="108"/>
  <c r="CC16" i="109"/>
  <c r="CB16" i="108"/>
  <c r="BY24" i="109"/>
  <c r="BX24" i="108"/>
  <c r="BY6" i="109"/>
  <c r="BX6" i="108"/>
  <c r="CG7" i="109"/>
  <c r="CF7" i="108"/>
  <c r="BQ15" i="109"/>
  <c r="BP15" i="108"/>
  <c r="BQ12" i="109"/>
  <c r="BP12" i="108"/>
  <c r="BL9" i="109"/>
  <c r="BK9" i="108"/>
  <c r="BL23" i="109"/>
  <c r="BK23" i="108"/>
  <c r="BF13" i="109"/>
  <c r="BG13" i="109" s="1"/>
  <c r="BE13" i="108"/>
  <c r="BF13" i="108" s="1"/>
  <c r="BF16" i="109"/>
  <c r="BG16" i="109" s="1"/>
  <c r="BE16" i="108"/>
  <c r="BF16" i="108" s="1"/>
  <c r="DD121" i="9"/>
  <c r="CC10" i="109"/>
  <c r="CB10" i="108"/>
  <c r="CC9" i="109"/>
  <c r="CB9" i="108"/>
  <c r="CC23" i="109"/>
  <c r="CB23" i="108"/>
  <c r="BY11" i="109"/>
  <c r="BX11" i="108"/>
  <c r="BY15" i="109"/>
  <c r="BX15" i="108"/>
  <c r="CG20" i="109"/>
  <c r="CF20" i="108"/>
  <c r="CG23" i="109"/>
  <c r="CF23" i="108"/>
  <c r="CG6" i="109"/>
  <c r="CF6" i="108"/>
  <c r="BU19" i="109"/>
  <c r="BT19" i="108"/>
  <c r="BU10" i="109"/>
  <c r="BT10" i="108"/>
  <c r="BU12" i="109"/>
  <c r="BT12" i="108"/>
  <c r="BQ7" i="109"/>
  <c r="BP7" i="108"/>
  <c r="BL11" i="109"/>
  <c r="BK11" i="108"/>
  <c r="BF9" i="109"/>
  <c r="BG9" i="109" s="1"/>
  <c r="BE9" i="108"/>
  <c r="BF9" i="108" s="1"/>
  <c r="BF10" i="109"/>
  <c r="BG10" i="109" s="1"/>
  <c r="BE10" i="108"/>
  <c r="BF10" i="108" s="1"/>
  <c r="CC14" i="109"/>
  <c r="CB14" i="108"/>
  <c r="BY22" i="109"/>
  <c r="BX22" i="108"/>
  <c r="BU11" i="109"/>
  <c r="BT11" i="108"/>
  <c r="BU16" i="109"/>
  <c r="BT16" i="108"/>
  <c r="BQ13" i="109"/>
  <c r="BP13" i="108"/>
  <c r="BQ18" i="109"/>
  <c r="BP18" i="108"/>
  <c r="BL22" i="109"/>
  <c r="BK22" i="108"/>
  <c r="BL13" i="109"/>
  <c r="BK13" i="108"/>
  <c r="BF15" i="109"/>
  <c r="BG15" i="109" s="1"/>
  <c r="BE15" i="108"/>
  <c r="BF15" i="108" s="1"/>
  <c r="BF12" i="109"/>
  <c r="BG12" i="109" s="1"/>
  <c r="BE12" i="108"/>
  <c r="BF12" i="108" s="1"/>
  <c r="CW121" i="9"/>
  <c r="CP121" i="9"/>
  <c r="CJ120" i="9"/>
  <c r="CJ121" i="9"/>
  <c r="CC121" i="9"/>
  <c r="CC20" i="109"/>
  <c r="CB20" i="108"/>
  <c r="CC8" i="109"/>
  <c r="CB8" i="108"/>
  <c r="BY19" i="109"/>
  <c r="BX19" i="108"/>
  <c r="CG19" i="109"/>
  <c r="CF19" i="108"/>
  <c r="CG24" i="109"/>
  <c r="CF24" i="108"/>
  <c r="BU21" i="109"/>
  <c r="BT21" i="108"/>
  <c r="BU18" i="109"/>
  <c r="BT18" i="108"/>
  <c r="BQ21" i="109"/>
  <c r="BP21" i="108"/>
  <c r="BL24" i="109"/>
  <c r="BK24" i="108"/>
  <c r="BF5" i="109"/>
  <c r="BG5" i="109" s="1"/>
  <c r="BE5" i="108"/>
  <c r="BF5" i="108" s="1"/>
  <c r="BF14" i="109"/>
  <c r="BG14" i="109" s="1"/>
  <c r="BE14" i="108"/>
  <c r="BF14" i="108" s="1"/>
  <c r="CG22" i="109"/>
  <c r="CF22" i="108"/>
  <c r="CI60" i="9"/>
  <c r="CC13" i="109"/>
  <c r="CB13" i="108"/>
  <c r="CC17" i="109"/>
  <c r="CB17" i="108"/>
  <c r="CC7" i="109"/>
  <c r="CB7" i="108"/>
  <c r="CG18" i="109"/>
  <c r="CF18" i="108"/>
  <c r="CG21" i="109"/>
  <c r="CF21" i="108"/>
  <c r="BU14" i="109"/>
  <c r="BT14" i="108"/>
  <c r="BU7" i="109"/>
  <c r="BT7" i="108"/>
  <c r="BQ6" i="109"/>
  <c r="BP6" i="108"/>
  <c r="BL10" i="109"/>
  <c r="BK10" i="108"/>
  <c r="BL7" i="109"/>
  <c r="BK7" i="108"/>
  <c r="BF22" i="109"/>
  <c r="BG22" i="109" s="1"/>
  <c r="BE22" i="108"/>
  <c r="BF22" i="108" s="1"/>
  <c r="CC12" i="109"/>
  <c r="CB12" i="108"/>
  <c r="CC24" i="109"/>
  <c r="CB24" i="108"/>
  <c r="CC6" i="109"/>
  <c r="CB6" i="108"/>
  <c r="CG17" i="109"/>
  <c r="CF17" i="108"/>
  <c r="CG14" i="109"/>
  <c r="CF14" i="108"/>
  <c r="BQ9" i="109"/>
  <c r="BP9" i="108"/>
  <c r="BL18" i="109"/>
  <c r="BK18" i="108"/>
  <c r="BL6" i="109"/>
  <c r="BK6" i="108"/>
  <c r="BF20" i="109"/>
  <c r="BG20" i="109" s="1"/>
  <c r="BE20" i="108"/>
  <c r="BF20" i="108" s="1"/>
  <c r="BF19" i="109"/>
  <c r="BG19" i="109" s="1"/>
  <c r="BE19" i="108"/>
  <c r="BF19" i="108" s="1"/>
  <c r="BY10" i="109"/>
  <c r="BX10" i="108"/>
  <c r="CC22" i="109"/>
  <c r="CB22" i="108"/>
  <c r="BY21" i="109"/>
  <c r="BX21" i="108"/>
  <c r="CG15" i="109"/>
  <c r="CF15" i="108"/>
  <c r="CG9" i="109"/>
  <c r="CF9" i="108"/>
  <c r="BU9" i="109"/>
  <c r="BT9" i="108"/>
  <c r="BU17" i="109"/>
  <c r="BT17" i="108"/>
  <c r="BU6" i="109"/>
  <c r="BT6" i="108"/>
  <c r="BQ11" i="109"/>
  <c r="BP11" i="108"/>
  <c r="BL17" i="109"/>
  <c r="BK17" i="108"/>
  <c r="BL15" i="109"/>
  <c r="BK15" i="108"/>
  <c r="BF23" i="109"/>
  <c r="BG23" i="109" s="1"/>
  <c r="BE23" i="108"/>
  <c r="BF23" i="108" s="1"/>
  <c r="BF7" i="109"/>
  <c r="BG7" i="109" s="1"/>
  <c r="BE7" i="108"/>
  <c r="BF7" i="108" s="1"/>
  <c r="AZ2" i="109"/>
  <c r="AY2" i="109"/>
  <c r="AX2" i="109"/>
  <c r="AW2" i="109"/>
  <c r="AV2" i="109"/>
  <c r="AU2" i="109"/>
  <c r="AT2" i="109"/>
  <c r="AS2" i="109"/>
  <c r="AR2" i="109"/>
  <c r="AQ2" i="109"/>
  <c r="AP2" i="109"/>
  <c r="AQ2" i="108"/>
  <c r="AY2" i="108"/>
  <c r="AP2" i="108"/>
  <c r="AX2" i="108"/>
  <c r="AT2" i="108"/>
  <c r="AS2" i="108"/>
  <c r="AZ2" i="108"/>
  <c r="AW2" i="108"/>
  <c r="AU2" i="108"/>
  <c r="AV2" i="108"/>
  <c r="AR2" i="108"/>
  <c r="DI121" i="9"/>
  <c r="DB121" i="9"/>
  <c r="CU121" i="9"/>
  <c r="CM121" i="9"/>
  <c r="CH121" i="9"/>
  <c r="CA121" i="9"/>
  <c r="BY20" i="109"/>
  <c r="BX20" i="108"/>
  <c r="CC11" i="109"/>
  <c r="CB11" i="108"/>
  <c r="CC15" i="109"/>
  <c r="CB15" i="108"/>
  <c r="BY18" i="109"/>
  <c r="BX18" i="108"/>
  <c r="BY16" i="109"/>
  <c r="BX16" i="108"/>
  <c r="CG13" i="109"/>
  <c r="CF13" i="108"/>
  <c r="CG8" i="109"/>
  <c r="CF8" i="108"/>
  <c r="BU8" i="109"/>
  <c r="BT8" i="108"/>
  <c r="BU15" i="109"/>
  <c r="BT15" i="108"/>
  <c r="BQ22" i="109"/>
  <c r="BP22" i="108"/>
  <c r="BQ10" i="109"/>
  <c r="BP10" i="108"/>
  <c r="BQ23" i="109"/>
  <c r="BP23" i="108"/>
  <c r="BL8" i="109"/>
  <c r="BK8" i="108"/>
  <c r="BL19" i="109"/>
  <c r="BK19" i="108"/>
  <c r="BF17" i="109"/>
  <c r="BG17" i="109" s="1"/>
  <c r="BE17" i="108"/>
  <c r="BF17" i="108" s="1"/>
  <c r="BF11" i="109"/>
  <c r="BG11" i="109" s="1"/>
  <c r="BE11" i="108"/>
  <c r="BF11" i="108" s="1"/>
  <c r="BF6" i="109"/>
  <c r="BG6" i="109" s="1"/>
  <c r="BE6" i="108"/>
  <c r="BF6" i="108" s="1"/>
  <c r="DA120" i="9"/>
  <c r="CV120" i="9"/>
  <c r="CI120" i="9"/>
  <c r="CD120" i="9"/>
  <c r="BY120" i="9"/>
  <c r="DD120" i="9"/>
  <c r="CL120" i="9"/>
  <c r="DI117" i="9"/>
  <c r="DI111" i="9"/>
  <c r="DI120" i="9"/>
  <c r="CZ120" i="9"/>
  <c r="CU120" i="9"/>
  <c r="CP120" i="9"/>
  <c r="CH120" i="9"/>
  <c r="CC120" i="9"/>
  <c r="DI114" i="9"/>
  <c r="DA119" i="9"/>
  <c r="DC119" i="9"/>
  <c r="DC120" i="9"/>
  <c r="CY119" i="9"/>
  <c r="CY120" i="9"/>
  <c r="CT119" i="9"/>
  <c r="CT120" i="9"/>
  <c r="CN119" i="9"/>
  <c r="CN120" i="9"/>
  <c r="CK119" i="9"/>
  <c r="CK120" i="9"/>
  <c r="CF119" i="9"/>
  <c r="CF120" i="9"/>
  <c r="CB120" i="9"/>
  <c r="DF120" i="9"/>
  <c r="DG120" i="9" s="1"/>
  <c r="DB119" i="9"/>
  <c r="DB120" i="9"/>
  <c r="CW119" i="9"/>
  <c r="CW120" i="9"/>
  <c r="CR119" i="9"/>
  <c r="CS119" i="9" s="1"/>
  <c r="CR120" i="9"/>
  <c r="CS120" i="9" s="1"/>
  <c r="CM119" i="9"/>
  <c r="CM120" i="9"/>
  <c r="CE119" i="9"/>
  <c r="CE120" i="9"/>
  <c r="CA119" i="9"/>
  <c r="CA120" i="9"/>
  <c r="CB13" i="105"/>
  <c r="CB13" i="106"/>
  <c r="CB18" i="105"/>
  <c r="CB18" i="106"/>
  <c r="CB16" i="105"/>
  <c r="CB16" i="106"/>
  <c r="BX14" i="105"/>
  <c r="BX14" i="106"/>
  <c r="CF18" i="105"/>
  <c r="CF18" i="106"/>
  <c r="CF7" i="105"/>
  <c r="CF7" i="106"/>
  <c r="BT13" i="105"/>
  <c r="BT13" i="106"/>
  <c r="BT7" i="105"/>
  <c r="BT7" i="106"/>
  <c r="BP15" i="105"/>
  <c r="BP15" i="106"/>
  <c r="BP17" i="105"/>
  <c r="BP17" i="106"/>
  <c r="BP12" i="105"/>
  <c r="BP12" i="106"/>
  <c r="BP6" i="105"/>
  <c r="BP6" i="106"/>
  <c r="BK9" i="105"/>
  <c r="BK9" i="106"/>
  <c r="BE18" i="105"/>
  <c r="BF18" i="105" s="1"/>
  <c r="BE18" i="106"/>
  <c r="BF18" i="106" s="1"/>
  <c r="BE22" i="105"/>
  <c r="BF22" i="105" s="1"/>
  <c r="BE22" i="106"/>
  <c r="BF22" i="106" s="1"/>
  <c r="BE13" i="105"/>
  <c r="BF13" i="105" s="1"/>
  <c r="BE13" i="106"/>
  <c r="BF13" i="106" s="1"/>
  <c r="CV119" i="9"/>
  <c r="CI119" i="9"/>
  <c r="CD119" i="9"/>
  <c r="BY119" i="9"/>
  <c r="CB12" i="105"/>
  <c r="CB12" i="106"/>
  <c r="CB14" i="105"/>
  <c r="CB14" i="106"/>
  <c r="BX9" i="105"/>
  <c r="BX9" i="106"/>
  <c r="CF17" i="105"/>
  <c r="CF17" i="106"/>
  <c r="CF16" i="105"/>
  <c r="CF16" i="106"/>
  <c r="BT16" i="105"/>
  <c r="BT16" i="106"/>
  <c r="BP13" i="105"/>
  <c r="BP13" i="106"/>
  <c r="BP8" i="105"/>
  <c r="BP8" i="106"/>
  <c r="BP9" i="105"/>
  <c r="BP9" i="106"/>
  <c r="BK18" i="105"/>
  <c r="BK18" i="106"/>
  <c r="BK22" i="105"/>
  <c r="BK22" i="106"/>
  <c r="BK20" i="105"/>
  <c r="BK20" i="106"/>
  <c r="BE15" i="105"/>
  <c r="BF15" i="105" s="1"/>
  <c r="BE15" i="106"/>
  <c r="BF15" i="106" s="1"/>
  <c r="DD119" i="9"/>
  <c r="CL119" i="9"/>
  <c r="BX10" i="105"/>
  <c r="BX10" i="106"/>
  <c r="CB9" i="105"/>
  <c r="CB9" i="106"/>
  <c r="BX8" i="105"/>
  <c r="BX8" i="106"/>
  <c r="BX15" i="105"/>
  <c r="BX15" i="106"/>
  <c r="CF15" i="105"/>
  <c r="CF15" i="106"/>
  <c r="CF23" i="105"/>
  <c r="CF23" i="106"/>
  <c r="CF12" i="105"/>
  <c r="CF12" i="106"/>
  <c r="CF6" i="105"/>
  <c r="CF6" i="106"/>
  <c r="BT9" i="105"/>
  <c r="BT9" i="106"/>
  <c r="BT19" i="105"/>
  <c r="BT19" i="106"/>
  <c r="BT12" i="105"/>
  <c r="BT12" i="106"/>
  <c r="BT6" i="105"/>
  <c r="BT6" i="106"/>
  <c r="BK17" i="105"/>
  <c r="BK17" i="106"/>
  <c r="BK11" i="105"/>
  <c r="BK11" i="106"/>
  <c r="BK15" i="105"/>
  <c r="BK15" i="106"/>
  <c r="BE10" i="105"/>
  <c r="BF10" i="105" s="1"/>
  <c r="BE10" i="106"/>
  <c r="BF10" i="106" s="1"/>
  <c r="CZ119" i="9"/>
  <c r="CU119" i="9"/>
  <c r="CP119" i="9"/>
  <c r="CH119" i="9"/>
  <c r="CC119" i="9"/>
  <c r="BX20" i="105"/>
  <c r="BX20" i="106"/>
  <c r="CB8" i="105"/>
  <c r="CB8" i="106"/>
  <c r="CB15" i="105"/>
  <c r="CB15" i="106"/>
  <c r="BX17" i="105"/>
  <c r="BX17" i="106"/>
  <c r="BX19" i="105"/>
  <c r="BX19" i="106"/>
  <c r="BX7" i="105"/>
  <c r="BX7" i="106"/>
  <c r="CF13" i="105"/>
  <c r="CF13" i="106"/>
  <c r="CF24" i="105"/>
  <c r="CF24" i="106"/>
  <c r="BT18" i="105"/>
  <c r="BT18" i="106"/>
  <c r="BP22" i="105"/>
  <c r="BP22" i="106"/>
  <c r="BP14" i="105"/>
  <c r="BP14" i="106"/>
  <c r="BP23" i="105"/>
  <c r="BP23" i="106"/>
  <c r="BK8" i="105"/>
  <c r="BK8" i="106"/>
  <c r="BK24" i="105"/>
  <c r="BK24" i="106"/>
  <c r="BK19" i="105"/>
  <c r="BK19" i="106"/>
  <c r="BE21" i="105"/>
  <c r="BF21" i="105" s="1"/>
  <c r="BE21" i="106"/>
  <c r="BF21" i="106" s="1"/>
  <c r="BE11" i="105"/>
  <c r="BF11" i="105" s="1"/>
  <c r="BE11" i="106"/>
  <c r="BF11" i="106" s="1"/>
  <c r="BE24" i="105"/>
  <c r="BF24" i="105" s="1"/>
  <c r="BE24" i="106"/>
  <c r="BF24" i="106" s="1"/>
  <c r="BE6" i="105"/>
  <c r="BF6" i="105" s="1"/>
  <c r="BE6" i="106"/>
  <c r="BF6" i="106" s="1"/>
  <c r="BE5" i="105"/>
  <c r="BF5" i="105" s="1"/>
  <c r="BE5" i="106"/>
  <c r="BF5" i="106" s="1"/>
  <c r="BE14" i="105"/>
  <c r="BF14" i="105" s="1"/>
  <c r="BE14" i="106"/>
  <c r="BF14" i="106" s="1"/>
  <c r="DH118" i="9"/>
  <c r="DH119" i="9"/>
  <c r="BX13" i="105"/>
  <c r="BX13" i="106"/>
  <c r="CB17" i="105"/>
  <c r="CB17" i="106"/>
  <c r="CB19" i="105"/>
  <c r="CB19" i="106"/>
  <c r="CB7" i="105"/>
  <c r="CB7" i="106"/>
  <c r="BX24" i="105"/>
  <c r="BX24" i="106"/>
  <c r="BX6" i="105"/>
  <c r="BX6" i="106"/>
  <c r="CF11" i="105"/>
  <c r="CF11" i="106"/>
  <c r="CF21" i="105"/>
  <c r="CF21" i="106"/>
  <c r="BT14" i="105"/>
  <c r="BT14" i="106"/>
  <c r="BT23" i="105"/>
  <c r="BT23" i="106"/>
  <c r="BP20" i="105"/>
  <c r="BP20" i="106"/>
  <c r="BK10" i="105"/>
  <c r="BK10" i="106"/>
  <c r="BK23" i="105"/>
  <c r="BK23" i="106"/>
  <c r="BK16" i="105"/>
  <c r="BK16" i="106"/>
  <c r="BK7" i="105"/>
  <c r="BK7" i="106"/>
  <c r="BE16" i="105"/>
  <c r="BF16" i="105" s="1"/>
  <c r="BE16" i="106"/>
  <c r="BF16" i="106" s="1"/>
  <c r="CB119" i="9"/>
  <c r="BX12" i="105"/>
  <c r="BX12" i="106"/>
  <c r="CB24" i="105"/>
  <c r="CB24" i="106"/>
  <c r="CB6" i="105"/>
  <c r="CB6" i="106"/>
  <c r="BX22" i="105"/>
  <c r="BX22" i="106"/>
  <c r="BX23" i="105"/>
  <c r="BX23" i="106"/>
  <c r="CF22" i="105"/>
  <c r="CF22" i="106"/>
  <c r="CF10" i="105"/>
  <c r="CF10" i="106"/>
  <c r="CF14" i="105"/>
  <c r="CF14" i="106"/>
  <c r="BT11" i="105"/>
  <c r="BT11" i="106"/>
  <c r="BP18" i="105"/>
  <c r="BP18" i="106"/>
  <c r="BP24" i="105"/>
  <c r="BP24" i="106"/>
  <c r="BK13" i="105"/>
  <c r="BK13" i="106"/>
  <c r="BK12" i="105"/>
  <c r="BK12" i="106"/>
  <c r="BK6" i="105"/>
  <c r="BK6" i="106"/>
  <c r="BE20" i="105"/>
  <c r="BF20" i="105" s="1"/>
  <c r="BE20" i="106"/>
  <c r="BF20" i="106" s="1"/>
  <c r="BE12" i="105"/>
  <c r="BF12" i="105" s="1"/>
  <c r="BE12" i="106"/>
  <c r="BF12" i="106" s="1"/>
  <c r="BE19" i="105"/>
  <c r="BF19" i="105" s="1"/>
  <c r="BE19" i="106"/>
  <c r="BF19" i="106" s="1"/>
  <c r="AU2" i="106"/>
  <c r="AT2" i="106"/>
  <c r="AS2" i="106"/>
  <c r="AZ2" i="106"/>
  <c r="AR2" i="106"/>
  <c r="AY2" i="106"/>
  <c r="AQ2" i="106"/>
  <c r="AP2" i="106"/>
  <c r="AX2" i="106"/>
  <c r="AW2" i="106"/>
  <c r="AV2" i="106"/>
  <c r="DF119" i="9"/>
  <c r="DG119" i="9" s="1"/>
  <c r="CB10" i="105"/>
  <c r="CB10" i="106"/>
  <c r="CB22" i="105"/>
  <c r="CB22" i="106"/>
  <c r="CB23" i="105"/>
  <c r="CB23" i="106"/>
  <c r="BX21" i="105"/>
  <c r="BX21" i="106"/>
  <c r="BX11" i="105"/>
  <c r="BX11" i="106"/>
  <c r="CF20" i="105"/>
  <c r="CF20" i="106"/>
  <c r="CF9" i="105"/>
  <c r="CF9" i="106"/>
  <c r="BT22" i="105"/>
  <c r="BT22" i="106"/>
  <c r="BT17" i="105"/>
  <c r="BT17" i="106"/>
  <c r="BT10" i="105"/>
  <c r="BT10" i="106"/>
  <c r="BT24" i="105"/>
  <c r="BT24" i="106"/>
  <c r="BP11" i="105"/>
  <c r="BP11" i="106"/>
  <c r="BP7" i="105"/>
  <c r="BP7" i="106"/>
  <c r="BK21" i="105"/>
  <c r="BK21" i="106"/>
  <c r="BE9" i="105"/>
  <c r="BF9" i="105" s="1"/>
  <c r="BE9" i="106"/>
  <c r="BF9" i="106" s="1"/>
  <c r="BE23" i="105"/>
  <c r="BF23" i="105" s="1"/>
  <c r="BE23" i="106"/>
  <c r="BF23" i="106" s="1"/>
  <c r="BE7" i="105"/>
  <c r="BF7" i="105" s="1"/>
  <c r="BE7" i="106"/>
  <c r="BF7" i="106" s="1"/>
  <c r="CJ33" i="9"/>
  <c r="CJ119" i="9"/>
  <c r="CB20" i="105"/>
  <c r="CB20" i="106"/>
  <c r="CB21" i="105"/>
  <c r="CB21" i="106"/>
  <c r="CB11" i="105"/>
  <c r="CB11" i="106"/>
  <c r="BX18" i="105"/>
  <c r="BX18" i="106"/>
  <c r="BX16" i="105"/>
  <c r="BX16" i="106"/>
  <c r="CF19" i="105"/>
  <c r="CF19" i="106"/>
  <c r="CF8" i="105"/>
  <c r="CF8" i="106"/>
  <c r="BT8" i="105"/>
  <c r="BT8" i="106"/>
  <c r="BT21" i="105"/>
  <c r="BT21" i="106"/>
  <c r="BT20" i="105"/>
  <c r="BT20" i="106"/>
  <c r="BT15" i="105"/>
  <c r="BT15" i="106"/>
  <c r="BP19" i="105"/>
  <c r="BP19" i="106"/>
  <c r="BP10" i="105"/>
  <c r="BP10" i="106"/>
  <c r="BP21" i="105"/>
  <c r="BP21" i="106"/>
  <c r="BP16" i="105"/>
  <c r="BP16" i="106"/>
  <c r="BK14" i="105"/>
  <c r="BK14" i="106"/>
  <c r="BE17" i="105"/>
  <c r="BF17" i="105" s="1"/>
  <c r="BE17" i="106"/>
  <c r="BF17" i="106" s="1"/>
  <c r="CZ114" i="9"/>
  <c r="CP60" i="9"/>
  <c r="AO2" i="100"/>
  <c r="AP2" i="105"/>
  <c r="AV2" i="105"/>
  <c r="AZ2" i="105"/>
  <c r="AZ6" i="105" s="1"/>
  <c r="CW61" i="9"/>
  <c r="CR38" i="9"/>
  <c r="CS38" i="9" s="1"/>
  <c r="CE48" i="9"/>
  <c r="HH46" i="9"/>
  <c r="CZ115" i="9"/>
  <c r="CR118" i="9"/>
  <c r="CS118" i="9" s="1"/>
  <c r="AS2" i="105"/>
  <c r="AR2" i="105"/>
  <c r="AQ2" i="105"/>
  <c r="AW2" i="105"/>
  <c r="AT2" i="105"/>
  <c r="AY2" i="105"/>
  <c r="AU2" i="105"/>
  <c r="AX2" i="105"/>
  <c r="CW118" i="9"/>
  <c r="N16" i="3"/>
  <c r="CZ113" i="9"/>
  <c r="A27" i="20"/>
  <c r="G27" i="20" s="1"/>
  <c r="K27" i="20" s="1"/>
  <c r="M21" i="3"/>
  <c r="CE60" i="9"/>
  <c r="CZ116" i="9"/>
  <c r="DB118" i="9"/>
  <c r="DA111" i="9"/>
  <c r="DC58" i="9"/>
  <c r="DE58" i="9"/>
  <c r="DF58" i="9"/>
  <c r="DD58" i="9"/>
  <c r="DF46" i="9"/>
  <c r="DC46" i="9"/>
  <c r="DE46" i="9"/>
  <c r="DD46" i="9"/>
  <c r="DA118" i="9"/>
  <c r="CV118" i="9"/>
  <c r="CI118" i="9"/>
  <c r="CI117" i="9"/>
  <c r="CD118" i="9"/>
  <c r="CD117" i="9"/>
  <c r="BY118" i="9"/>
  <c r="CE59" i="9"/>
  <c r="DD118" i="9"/>
  <c r="DD11" i="9"/>
  <c r="DD15" i="9"/>
  <c r="DD19" i="9"/>
  <c r="DD23" i="9"/>
  <c r="DD27" i="9"/>
  <c r="DD31" i="9"/>
  <c r="DD35" i="9"/>
  <c r="DD39" i="9"/>
  <c r="DD43" i="9"/>
  <c r="DD47" i="9"/>
  <c r="DD51" i="9"/>
  <c r="DD55" i="9"/>
  <c r="DD59" i="9"/>
  <c r="DD63" i="9"/>
  <c r="DD67" i="9"/>
  <c r="DD75" i="9"/>
  <c r="DD87" i="9"/>
  <c r="DD91" i="9"/>
  <c r="DD99" i="9"/>
  <c r="DD103" i="9"/>
  <c r="DD107" i="9"/>
  <c r="DD111" i="9"/>
  <c r="DD115" i="9"/>
  <c r="DD12" i="9"/>
  <c r="DD16" i="9"/>
  <c r="DD20" i="9"/>
  <c r="DD24" i="9"/>
  <c r="DD28" i="9"/>
  <c r="DD32" i="9"/>
  <c r="DD36" i="9"/>
  <c r="DD40" i="9"/>
  <c r="DD44" i="9"/>
  <c r="DD48" i="9"/>
  <c r="DD52" i="9"/>
  <c r="DD60" i="9"/>
  <c r="DD64" i="9"/>
  <c r="DD68" i="9"/>
  <c r="DD72" i="9"/>
  <c r="DD76" i="9"/>
  <c r="DD88" i="9"/>
  <c r="DD92" i="9"/>
  <c r="DD100" i="9"/>
  <c r="DD104" i="9"/>
  <c r="DD108" i="9"/>
  <c r="DD112" i="9"/>
  <c r="DD116" i="9"/>
  <c r="DD13" i="9"/>
  <c r="DD17" i="9"/>
  <c r="DD21" i="9"/>
  <c r="DD25" i="9"/>
  <c r="DD29" i="9"/>
  <c r="DD33" i="9"/>
  <c r="DD37" i="9"/>
  <c r="DD41" i="9"/>
  <c r="DD49" i="9"/>
  <c r="DD53" i="9"/>
  <c r="DD61" i="9"/>
  <c r="DD65" i="9"/>
  <c r="DD73" i="9"/>
  <c r="DD77" i="9"/>
  <c r="DD85" i="9"/>
  <c r="DD89" i="9"/>
  <c r="DD105" i="9"/>
  <c r="DD109" i="9"/>
  <c r="DD113" i="9"/>
  <c r="DD117" i="9"/>
  <c r="DD14" i="9"/>
  <c r="DD18" i="9"/>
  <c r="DD22" i="9"/>
  <c r="DD26" i="9"/>
  <c r="DD30" i="9"/>
  <c r="DD34" i="9"/>
  <c r="DD38" i="9"/>
  <c r="DD42" i="9"/>
  <c r="DD50" i="9"/>
  <c r="DD54" i="9"/>
  <c r="DD62" i="9"/>
  <c r="DD66" i="9"/>
  <c r="DD74" i="9"/>
  <c r="DD78" i="9"/>
  <c r="DD86" i="9"/>
  <c r="DD90" i="9"/>
  <c r="DD106" i="9"/>
  <c r="DD110" i="9"/>
  <c r="DD114" i="9"/>
  <c r="DD98" i="9"/>
  <c r="DD102" i="9"/>
  <c r="DD101" i="9"/>
  <c r="DD95" i="9"/>
  <c r="DD96" i="9"/>
  <c r="DD93" i="9"/>
  <c r="DD97" i="9"/>
  <c r="DD94" i="9"/>
  <c r="DD83" i="9"/>
  <c r="DD81" i="9"/>
  <c r="DD80" i="9"/>
  <c r="DD84" i="9"/>
  <c r="DD79" i="9"/>
  <c r="DD82" i="9"/>
  <c r="DD71" i="9"/>
  <c r="DD69" i="9"/>
  <c r="DD70" i="9"/>
  <c r="CL118" i="9"/>
  <c r="CL117" i="9"/>
  <c r="DA117" i="9"/>
  <c r="DA115" i="9"/>
  <c r="DA113" i="9"/>
  <c r="DE45" i="9"/>
  <c r="DC45" i="9"/>
  <c r="DF45" i="9"/>
  <c r="DD45" i="9"/>
  <c r="DI118" i="9"/>
  <c r="CZ118" i="9"/>
  <c r="CU118" i="9"/>
  <c r="CP118" i="9"/>
  <c r="CH118" i="9"/>
  <c r="CH117" i="9"/>
  <c r="CC118" i="9"/>
  <c r="CC117" i="9"/>
  <c r="CW56" i="9"/>
  <c r="DC56" i="9"/>
  <c r="DD56" i="9"/>
  <c r="DF56" i="9"/>
  <c r="DE56" i="9"/>
  <c r="DC118" i="9"/>
  <c r="DC19" i="9"/>
  <c r="DC43" i="9"/>
  <c r="DC59" i="9"/>
  <c r="DC99" i="9"/>
  <c r="DC12" i="9"/>
  <c r="DC16" i="9"/>
  <c r="DC20" i="9"/>
  <c r="DC24" i="9"/>
  <c r="DC28" i="9"/>
  <c r="DC32" i="9"/>
  <c r="DC36" i="9"/>
  <c r="DC40" i="9"/>
  <c r="DC44" i="9"/>
  <c r="DC48" i="9"/>
  <c r="DC52" i="9"/>
  <c r="DC60" i="9"/>
  <c r="DC64" i="9"/>
  <c r="DC68" i="9"/>
  <c r="DC72" i="9"/>
  <c r="DC76" i="9"/>
  <c r="DC88" i="9"/>
  <c r="DC92" i="9"/>
  <c r="DC100" i="9"/>
  <c r="DC104" i="9"/>
  <c r="DC108" i="9"/>
  <c r="DC112" i="9"/>
  <c r="DC18" i="9"/>
  <c r="DC42" i="9"/>
  <c r="DC50" i="9"/>
  <c r="DC54" i="9"/>
  <c r="DC66" i="9"/>
  <c r="DC78" i="9"/>
  <c r="DC86" i="9"/>
  <c r="DC11" i="9"/>
  <c r="DC47" i="9"/>
  <c r="DC67" i="9"/>
  <c r="DC87" i="9"/>
  <c r="DC103" i="9"/>
  <c r="DC14" i="9"/>
  <c r="DC62" i="9"/>
  <c r="DC74" i="9"/>
  <c r="DC90" i="9"/>
  <c r="DC110" i="9"/>
  <c r="DC23" i="9"/>
  <c r="DC35" i="9"/>
  <c r="DC51" i="9"/>
  <c r="DC63" i="9"/>
  <c r="DC107" i="9"/>
  <c r="DC13" i="9"/>
  <c r="DC17" i="9"/>
  <c r="DC21" i="9"/>
  <c r="DC25" i="9"/>
  <c r="DC29" i="9"/>
  <c r="DC33" i="9"/>
  <c r="DC37" i="9"/>
  <c r="DC41" i="9"/>
  <c r="DC49" i="9"/>
  <c r="DC53" i="9"/>
  <c r="DC61" i="9"/>
  <c r="DC65" i="9"/>
  <c r="DC73" i="9"/>
  <c r="DC77" i="9"/>
  <c r="DC85" i="9"/>
  <c r="DC89" i="9"/>
  <c r="DC105" i="9"/>
  <c r="DC109" i="9"/>
  <c r="DC113" i="9"/>
  <c r="DC34" i="9"/>
  <c r="DC106" i="9"/>
  <c r="DC27" i="9"/>
  <c r="DC75" i="9"/>
  <c r="DC22" i="9"/>
  <c r="DC26" i="9"/>
  <c r="DC30" i="9"/>
  <c r="DC38" i="9"/>
  <c r="DC15" i="9"/>
  <c r="DC31" i="9"/>
  <c r="DC39" i="9"/>
  <c r="DC55" i="9"/>
  <c r="DC91" i="9"/>
  <c r="DC111" i="9"/>
  <c r="DC114" i="9"/>
  <c r="DC117" i="9"/>
  <c r="DC115" i="9"/>
  <c r="DC116" i="9"/>
  <c r="DC102" i="9"/>
  <c r="DC98" i="9"/>
  <c r="DC101" i="9"/>
  <c r="DC97" i="9"/>
  <c r="DC93" i="9"/>
  <c r="DC95" i="9"/>
  <c r="DC96" i="9"/>
  <c r="DC94" i="9"/>
  <c r="DC83" i="9"/>
  <c r="DC81" i="9"/>
  <c r="DC80" i="9"/>
  <c r="DC84" i="9"/>
  <c r="DC82" i="9"/>
  <c r="DC79" i="9"/>
  <c r="DC69" i="9"/>
  <c r="DC71" i="9"/>
  <c r="DC70" i="9"/>
  <c r="CY118" i="9"/>
  <c r="CT118" i="9"/>
  <c r="CN118" i="9"/>
  <c r="CN117" i="9"/>
  <c r="CK118" i="9"/>
  <c r="CK117" i="9"/>
  <c r="CF118" i="9"/>
  <c r="CF117" i="9"/>
  <c r="CB118" i="9"/>
  <c r="CB117" i="9"/>
  <c r="DE57" i="9"/>
  <c r="DC57" i="9"/>
  <c r="DF57" i="9"/>
  <c r="DD57" i="9"/>
  <c r="DF118" i="9"/>
  <c r="DG118" i="9" s="1"/>
  <c r="DF14" i="9"/>
  <c r="DG14" i="9" s="1"/>
  <c r="DF22" i="9"/>
  <c r="DG22" i="9" s="1"/>
  <c r="DF30" i="9"/>
  <c r="DG30" i="9" s="1"/>
  <c r="DF38" i="9"/>
  <c r="DG38" i="9" s="1"/>
  <c r="DF54" i="9"/>
  <c r="DG54" i="9" s="1"/>
  <c r="DF62" i="9"/>
  <c r="DG62" i="9" s="1"/>
  <c r="DF78" i="9"/>
  <c r="DG78" i="9" s="1"/>
  <c r="DF86" i="9"/>
  <c r="DG86" i="9" s="1"/>
  <c r="DF110" i="9"/>
  <c r="DG110" i="9" s="1"/>
  <c r="DF13" i="9"/>
  <c r="DG13" i="9" s="1"/>
  <c r="DF53" i="9"/>
  <c r="DG53" i="9" s="1"/>
  <c r="DF109" i="9"/>
  <c r="DG109" i="9" s="1"/>
  <c r="DF15" i="9"/>
  <c r="DG15" i="9" s="1"/>
  <c r="DF23" i="9"/>
  <c r="DG23" i="9" s="1"/>
  <c r="DF31" i="9"/>
  <c r="DG31" i="9" s="1"/>
  <c r="DF39" i="9"/>
  <c r="DG39" i="9" s="1"/>
  <c r="DF47" i="9"/>
  <c r="DG47" i="9" s="1"/>
  <c r="DF55" i="9"/>
  <c r="DG55" i="9" s="1"/>
  <c r="DF63" i="9"/>
  <c r="DG63" i="9" s="1"/>
  <c r="DF87" i="9"/>
  <c r="DG87" i="9" s="1"/>
  <c r="DF103" i="9"/>
  <c r="DG103" i="9" s="1"/>
  <c r="DF111" i="9"/>
  <c r="DG111" i="9" s="1"/>
  <c r="DF11" i="9"/>
  <c r="DG11" i="9" s="1"/>
  <c r="DF27" i="9"/>
  <c r="DG27" i="9" s="1"/>
  <c r="DF51" i="9"/>
  <c r="DG51" i="9" s="1"/>
  <c r="DF67" i="9"/>
  <c r="DG67" i="9" s="1"/>
  <c r="DF91" i="9"/>
  <c r="DG91" i="9" s="1"/>
  <c r="DF21" i="9"/>
  <c r="DG21" i="9" s="1"/>
  <c r="DF61" i="9"/>
  <c r="DG61" i="9" s="1"/>
  <c r="DF16" i="9"/>
  <c r="DG16" i="9" s="1"/>
  <c r="DF24" i="9"/>
  <c r="DG24" i="9" s="1"/>
  <c r="DF32" i="9"/>
  <c r="DG32" i="9" s="1"/>
  <c r="DF40" i="9"/>
  <c r="DG40" i="9" s="1"/>
  <c r="DF48" i="9"/>
  <c r="DG48" i="9" s="1"/>
  <c r="DF64" i="9"/>
  <c r="DG64" i="9" s="1"/>
  <c r="DF72" i="9"/>
  <c r="DG72" i="9" s="1"/>
  <c r="DF88" i="9"/>
  <c r="DG88" i="9" s="1"/>
  <c r="DF104" i="9"/>
  <c r="DG104" i="9" s="1"/>
  <c r="DF112" i="9"/>
  <c r="DG112" i="9" s="1"/>
  <c r="DF19" i="9"/>
  <c r="DG19" i="9" s="1"/>
  <c r="DF35" i="9"/>
  <c r="DG35" i="9" s="1"/>
  <c r="DF59" i="9"/>
  <c r="DG59" i="9" s="1"/>
  <c r="DF99" i="9"/>
  <c r="DG99" i="9" s="1"/>
  <c r="DF29" i="9"/>
  <c r="DG29" i="9" s="1"/>
  <c r="DF17" i="9"/>
  <c r="DG17" i="9" s="1"/>
  <c r="DF25" i="9"/>
  <c r="DG25" i="9" s="1"/>
  <c r="DF33" i="9"/>
  <c r="DG33" i="9" s="1"/>
  <c r="DF41" i="9"/>
  <c r="DG41" i="9" s="1"/>
  <c r="DF49" i="9"/>
  <c r="DG49" i="9" s="1"/>
  <c r="DF65" i="9"/>
  <c r="DG65" i="9" s="1"/>
  <c r="DF73" i="9"/>
  <c r="DG73" i="9" s="1"/>
  <c r="DF89" i="9"/>
  <c r="DG89" i="9" s="1"/>
  <c r="DF105" i="9"/>
  <c r="DF113" i="9"/>
  <c r="DG113" i="9" s="1"/>
  <c r="DF43" i="9"/>
  <c r="DG43" i="9" s="1"/>
  <c r="DF75" i="9"/>
  <c r="DG75" i="9" s="1"/>
  <c r="DF107" i="9"/>
  <c r="DG107" i="9" s="1"/>
  <c r="DF85" i="9"/>
  <c r="DG85" i="9" s="1"/>
  <c r="DF18" i="9"/>
  <c r="DG18" i="9" s="1"/>
  <c r="DF26" i="9"/>
  <c r="DG26" i="9" s="1"/>
  <c r="DF34" i="9"/>
  <c r="DG34" i="9" s="1"/>
  <c r="DF42" i="9"/>
  <c r="DG42" i="9" s="1"/>
  <c r="DF50" i="9"/>
  <c r="DG50" i="9" s="1"/>
  <c r="DF66" i="9"/>
  <c r="DG66" i="9" s="1"/>
  <c r="DF74" i="9"/>
  <c r="DG74" i="9" s="1"/>
  <c r="DF90" i="9"/>
  <c r="DG90" i="9" s="1"/>
  <c r="DF106" i="9"/>
  <c r="DG106" i="9" s="1"/>
  <c r="DF12" i="9"/>
  <c r="DG12" i="9" s="1"/>
  <c r="DF20" i="9"/>
  <c r="DG20" i="9" s="1"/>
  <c r="DF28" i="9"/>
  <c r="DG28" i="9" s="1"/>
  <c r="DF36" i="9"/>
  <c r="DG36" i="9" s="1"/>
  <c r="DF44" i="9"/>
  <c r="DG44" i="9" s="1"/>
  <c r="DF52" i="9"/>
  <c r="DG52" i="9" s="1"/>
  <c r="DF60" i="9"/>
  <c r="DF68" i="9"/>
  <c r="DG68" i="9" s="1"/>
  <c r="DF76" i="9"/>
  <c r="DG76" i="9" s="1"/>
  <c r="DF92" i="9"/>
  <c r="DG92" i="9" s="1"/>
  <c r="DF100" i="9"/>
  <c r="DG100" i="9" s="1"/>
  <c r="DF108" i="9"/>
  <c r="DG108" i="9" s="1"/>
  <c r="DF37" i="9"/>
  <c r="DG37" i="9" s="1"/>
  <c r="DF77" i="9"/>
  <c r="DG77" i="9" s="1"/>
  <c r="DF116" i="9"/>
  <c r="DG116" i="9" s="1"/>
  <c r="DF117" i="9"/>
  <c r="DG117" i="9" s="1"/>
  <c r="DF114" i="9"/>
  <c r="DG114" i="9" s="1"/>
  <c r="DF115" i="9"/>
  <c r="DG115" i="9" s="1"/>
  <c r="DF102" i="9"/>
  <c r="DG102" i="9" s="1"/>
  <c r="DF98" i="9"/>
  <c r="DG98" i="9" s="1"/>
  <c r="DF101" i="9"/>
  <c r="DG101" i="9" s="1"/>
  <c r="DF96" i="9"/>
  <c r="DG96" i="9" s="1"/>
  <c r="DF93" i="9"/>
  <c r="DG93" i="9" s="1"/>
  <c r="DF95" i="9"/>
  <c r="DG95" i="9" s="1"/>
  <c r="DF97" i="9"/>
  <c r="DG97" i="9" s="1"/>
  <c r="DF94" i="9"/>
  <c r="DG94" i="9" s="1"/>
  <c r="DF83" i="9"/>
  <c r="DG83" i="9" s="1"/>
  <c r="DF81" i="9"/>
  <c r="DG81" i="9" s="1"/>
  <c r="DF80" i="9"/>
  <c r="DG80" i="9" s="1"/>
  <c r="DF84" i="9"/>
  <c r="DG84" i="9" s="1"/>
  <c r="DF79" i="9"/>
  <c r="DG79" i="9" s="1"/>
  <c r="DF82" i="9"/>
  <c r="DG82" i="9" s="1"/>
  <c r="DF69" i="9"/>
  <c r="DG69" i="9" s="1"/>
  <c r="DF71" i="9"/>
  <c r="DG71" i="9" s="1"/>
  <c r="DF70" i="9"/>
  <c r="DG70" i="9" s="1"/>
  <c r="DA116" i="9"/>
  <c r="DA114" i="9"/>
  <c r="CM118" i="9"/>
  <c r="CM117" i="9"/>
  <c r="CJ118" i="9"/>
  <c r="CJ117" i="9"/>
  <c r="CE118" i="9"/>
  <c r="CE117" i="9"/>
  <c r="CA118" i="9"/>
  <c r="CA117" i="9"/>
  <c r="AY2" i="100"/>
  <c r="AX2" i="100"/>
  <c r="AW2" i="100"/>
  <c r="AV2" i="100"/>
  <c r="AU2" i="100"/>
  <c r="AT2" i="100"/>
  <c r="AS2" i="100"/>
  <c r="AR2" i="100"/>
  <c r="AQ2" i="100"/>
  <c r="AP2" i="100"/>
  <c r="AY2" i="98"/>
  <c r="AX2" i="98"/>
  <c r="AW2" i="98"/>
  <c r="AV2" i="98"/>
  <c r="AU2" i="98"/>
  <c r="AT2" i="98"/>
  <c r="AS2" i="98"/>
  <c r="AR2" i="98"/>
  <c r="AQ2" i="98"/>
  <c r="AP2" i="98"/>
  <c r="AO2" i="98"/>
  <c r="AY2" i="97"/>
  <c r="AX2" i="97"/>
  <c r="AW2" i="97"/>
  <c r="AV2" i="97"/>
  <c r="AU2" i="97"/>
  <c r="AT2" i="97"/>
  <c r="AS2" i="97"/>
  <c r="AR2" i="97"/>
  <c r="AQ2" i="97"/>
  <c r="AP2" i="97"/>
  <c r="AO2" i="97"/>
  <c r="AY2" i="96"/>
  <c r="AX2" i="96"/>
  <c r="AW2" i="96"/>
  <c r="AV2" i="96"/>
  <c r="AU2" i="96"/>
  <c r="AT2" i="96"/>
  <c r="AS2" i="96"/>
  <c r="AR2" i="96"/>
  <c r="AQ2" i="96"/>
  <c r="AP2" i="96"/>
  <c r="AO2" i="96"/>
  <c r="AY2" i="95"/>
  <c r="AX2" i="95"/>
  <c r="AW2" i="95"/>
  <c r="AV2" i="95"/>
  <c r="AU2" i="95"/>
  <c r="AT2" i="95"/>
  <c r="AS2" i="95"/>
  <c r="AR2" i="95"/>
  <c r="AQ2" i="95"/>
  <c r="AP2" i="95"/>
  <c r="AO2" i="95"/>
  <c r="DH113" i="9"/>
  <c r="DH114" i="9"/>
  <c r="DH115" i="9"/>
  <c r="DH116" i="9"/>
  <c r="DH117" i="9"/>
  <c r="DB113" i="9"/>
  <c r="DB114" i="9"/>
  <c r="DB115" i="9"/>
  <c r="DB116" i="9"/>
  <c r="DB117" i="9"/>
  <c r="CY113" i="9"/>
  <c r="CY114" i="9"/>
  <c r="CY115" i="9"/>
  <c r="CY116" i="9"/>
  <c r="CY117" i="9"/>
  <c r="CW113" i="9"/>
  <c r="CW114" i="9"/>
  <c r="CW115" i="9"/>
  <c r="CW116" i="9"/>
  <c r="CW117" i="9"/>
  <c r="CV113" i="9"/>
  <c r="CV114" i="9"/>
  <c r="CV115" i="9"/>
  <c r="CV116" i="9"/>
  <c r="CV117" i="9"/>
  <c r="CU113" i="9"/>
  <c r="CU114" i="9"/>
  <c r="CU115" i="9"/>
  <c r="CU116" i="9"/>
  <c r="CU117" i="9"/>
  <c r="CT113" i="9"/>
  <c r="CT114" i="9"/>
  <c r="CT115" i="9"/>
  <c r="CT116" i="9"/>
  <c r="CT117" i="9"/>
  <c r="CR113" i="9"/>
  <c r="CS113" i="9" s="1"/>
  <c r="CR114" i="9"/>
  <c r="CS114" i="9" s="1"/>
  <c r="CR115" i="9"/>
  <c r="CS115" i="9" s="1"/>
  <c r="CR116" i="9"/>
  <c r="CS116" i="9" s="1"/>
  <c r="CR117" i="9"/>
  <c r="CS117" i="9" s="1"/>
  <c r="CP113" i="9"/>
  <c r="CP114" i="9"/>
  <c r="CP115" i="9"/>
  <c r="CP116" i="9"/>
  <c r="CP117" i="9"/>
  <c r="CN113" i="9"/>
  <c r="CN114" i="9"/>
  <c r="CN115" i="9"/>
  <c r="CN116" i="9"/>
  <c r="CM113" i="9"/>
  <c r="CM114" i="9"/>
  <c r="CM115" i="9"/>
  <c r="CM116" i="9"/>
  <c r="CL113" i="9"/>
  <c r="CL114" i="9"/>
  <c r="CL115" i="9"/>
  <c r="CL116" i="9"/>
  <c r="CK113" i="9"/>
  <c r="CK114" i="9"/>
  <c r="CK115" i="9"/>
  <c r="CK116" i="9"/>
  <c r="CJ113" i="9"/>
  <c r="CJ114" i="9"/>
  <c r="CJ115" i="9"/>
  <c r="CJ116" i="9"/>
  <c r="CI113" i="9"/>
  <c r="CI114" i="9"/>
  <c r="CI115" i="9"/>
  <c r="CI116" i="9"/>
  <c r="CH113" i="9"/>
  <c r="CH114" i="9"/>
  <c r="CH115" i="9"/>
  <c r="CH116" i="9"/>
  <c r="CF113" i="9"/>
  <c r="CF114" i="9"/>
  <c r="CF115" i="9"/>
  <c r="CF116" i="9"/>
  <c r="CE113" i="9"/>
  <c r="CE114" i="9"/>
  <c r="CE115" i="9"/>
  <c r="CE116" i="9"/>
  <c r="CD113" i="9"/>
  <c r="CD114" i="9"/>
  <c r="CD115" i="9"/>
  <c r="CD116" i="9"/>
  <c r="CC113" i="9"/>
  <c r="CC114" i="9"/>
  <c r="CC115" i="9"/>
  <c r="CC116" i="9"/>
  <c r="CB113" i="9"/>
  <c r="CB114" i="9"/>
  <c r="CB115" i="9"/>
  <c r="CB116" i="9"/>
  <c r="CA113" i="9"/>
  <c r="CA116" i="9"/>
  <c r="CA115" i="9"/>
  <c r="CA114" i="9"/>
  <c r="BY113" i="9"/>
  <c r="BY114" i="9"/>
  <c r="BY115" i="9"/>
  <c r="BY116" i="9"/>
  <c r="BY117" i="9"/>
  <c r="CA10" i="100"/>
  <c r="CA10" i="98"/>
  <c r="CA20" i="100"/>
  <c r="CA20" i="98"/>
  <c r="CA13" i="100"/>
  <c r="CA13" i="98"/>
  <c r="CA12" i="100"/>
  <c r="CA12" i="98"/>
  <c r="BW10" i="100"/>
  <c r="BW10" i="98"/>
  <c r="BW20" i="100"/>
  <c r="BW20" i="98"/>
  <c r="BW13" i="100"/>
  <c r="BW13" i="98"/>
  <c r="BW12" i="100"/>
  <c r="BW12" i="98"/>
  <c r="CA21" i="100"/>
  <c r="CA21" i="98"/>
  <c r="CA18" i="100"/>
  <c r="CA18" i="98"/>
  <c r="CA14" i="100"/>
  <c r="CA14" i="98"/>
  <c r="CA9" i="100"/>
  <c r="CA9" i="98"/>
  <c r="CA8" i="100"/>
  <c r="CA8" i="98"/>
  <c r="CA17" i="100"/>
  <c r="CA17" i="98"/>
  <c r="CA24" i="100"/>
  <c r="CA24" i="98"/>
  <c r="CA22" i="100"/>
  <c r="CA22" i="98"/>
  <c r="CA11" i="100"/>
  <c r="CA11" i="98"/>
  <c r="CA23" i="100"/>
  <c r="CA23" i="98"/>
  <c r="CA15" i="100"/>
  <c r="CA15" i="98"/>
  <c r="CA19" i="100"/>
  <c r="CA19" i="98"/>
  <c r="CA16" i="100"/>
  <c r="CA16" i="98"/>
  <c r="CA7" i="100"/>
  <c r="CA7" i="98"/>
  <c r="CA6" i="100"/>
  <c r="CA6" i="98"/>
  <c r="BW21" i="100"/>
  <c r="BW21" i="98"/>
  <c r="BW18" i="100"/>
  <c r="BW18" i="98"/>
  <c r="BW14" i="100"/>
  <c r="BW14" i="98"/>
  <c r="BW9" i="100"/>
  <c r="BW9" i="98"/>
  <c r="BW8" i="100"/>
  <c r="BW8" i="98"/>
  <c r="BW17" i="100"/>
  <c r="BW17" i="98"/>
  <c r="BW24" i="100"/>
  <c r="BW24" i="98"/>
  <c r="BW22" i="100"/>
  <c r="BW22" i="98"/>
  <c r="BW11" i="100"/>
  <c r="BW11" i="98"/>
  <c r="BW23" i="100"/>
  <c r="BW23" i="98"/>
  <c r="BW15" i="100"/>
  <c r="BW15" i="98"/>
  <c r="BW19" i="100"/>
  <c r="BW19" i="98"/>
  <c r="BW16" i="100"/>
  <c r="BW16" i="98"/>
  <c r="BW7" i="100"/>
  <c r="BW7" i="98"/>
  <c r="BW6" i="100"/>
  <c r="BW6" i="98"/>
  <c r="CE22" i="100"/>
  <c r="CE22" i="98"/>
  <c r="CE20" i="100"/>
  <c r="CE20" i="98"/>
  <c r="CE19" i="100"/>
  <c r="CE19" i="98"/>
  <c r="CE18" i="100"/>
  <c r="CE18" i="98"/>
  <c r="CE17" i="100"/>
  <c r="CE17" i="98"/>
  <c r="CE15" i="100"/>
  <c r="CE15" i="98"/>
  <c r="CE13" i="100"/>
  <c r="CE13" i="98"/>
  <c r="CE11" i="100"/>
  <c r="CE11" i="98"/>
  <c r="CE10" i="100"/>
  <c r="CE10" i="98"/>
  <c r="CE23" i="100"/>
  <c r="CE23" i="98"/>
  <c r="CE24" i="100"/>
  <c r="CE24" i="98"/>
  <c r="CE21" i="100"/>
  <c r="CE21" i="98"/>
  <c r="CE14" i="100"/>
  <c r="CE14" i="98"/>
  <c r="CE9" i="100"/>
  <c r="CE9" i="98"/>
  <c r="CE8" i="100"/>
  <c r="CE8" i="98"/>
  <c r="CE16" i="100"/>
  <c r="CE16" i="98"/>
  <c r="CE12" i="100"/>
  <c r="CE12" i="98"/>
  <c r="CE7" i="100"/>
  <c r="CE7" i="98"/>
  <c r="CE6" i="100"/>
  <c r="CE6" i="98"/>
  <c r="BS14" i="100"/>
  <c r="BS14" i="98"/>
  <c r="BS8" i="100"/>
  <c r="BS8" i="98"/>
  <c r="BS21" i="100"/>
  <c r="BS21" i="98"/>
  <c r="BS9" i="100"/>
  <c r="BS9" i="98"/>
  <c r="BS22" i="100"/>
  <c r="BS22" i="98"/>
  <c r="BS20" i="100"/>
  <c r="BS20" i="98"/>
  <c r="BS19" i="100"/>
  <c r="BS19" i="98"/>
  <c r="BS18" i="100"/>
  <c r="BS18" i="98"/>
  <c r="BS17" i="100"/>
  <c r="BS17" i="98"/>
  <c r="BS15" i="100"/>
  <c r="BS15" i="98"/>
  <c r="BS13" i="100"/>
  <c r="BS13" i="98"/>
  <c r="BS11" i="100"/>
  <c r="BS11" i="98"/>
  <c r="BS10" i="100"/>
  <c r="BS10" i="98"/>
  <c r="BS23" i="100"/>
  <c r="BS23" i="98"/>
  <c r="BS24" i="100"/>
  <c r="BS24" i="98"/>
  <c r="BS16" i="100"/>
  <c r="BS16" i="98"/>
  <c r="BS12" i="100"/>
  <c r="BS12" i="98"/>
  <c r="BS7" i="100"/>
  <c r="BS7" i="98"/>
  <c r="BS6" i="100"/>
  <c r="BS6" i="98"/>
  <c r="BO22" i="100"/>
  <c r="BO22" i="98"/>
  <c r="BO20" i="100"/>
  <c r="BO20" i="98"/>
  <c r="BO19" i="100"/>
  <c r="BO19" i="98"/>
  <c r="BO15" i="100"/>
  <c r="BO15" i="98"/>
  <c r="BO13" i="100"/>
  <c r="BO13" i="98"/>
  <c r="BO11" i="100"/>
  <c r="BO11" i="98"/>
  <c r="BO10" i="100"/>
  <c r="BO10" i="98"/>
  <c r="BO17" i="100"/>
  <c r="BO17" i="98"/>
  <c r="BO8" i="100"/>
  <c r="BO8" i="98"/>
  <c r="BO14" i="100"/>
  <c r="BO14" i="98"/>
  <c r="BO18" i="100"/>
  <c r="BO18" i="98"/>
  <c r="BO21" i="100"/>
  <c r="BO21" i="98"/>
  <c r="BO9" i="100"/>
  <c r="BO9" i="98"/>
  <c r="BO23" i="100"/>
  <c r="BO23" i="98"/>
  <c r="BO24" i="100"/>
  <c r="BO24" i="98"/>
  <c r="BO16" i="100"/>
  <c r="BO16" i="98"/>
  <c r="BO12" i="100"/>
  <c r="BO12" i="98"/>
  <c r="BO7" i="100"/>
  <c r="BO7" i="98"/>
  <c r="BO6" i="100"/>
  <c r="BO6" i="98"/>
  <c r="BJ18" i="100"/>
  <c r="BJ18" i="98"/>
  <c r="BJ17" i="100"/>
  <c r="BJ17" i="98"/>
  <c r="BJ8" i="100"/>
  <c r="BJ8" i="98"/>
  <c r="BJ21" i="100"/>
  <c r="BJ21" i="98"/>
  <c r="BJ14" i="100"/>
  <c r="BJ14" i="98"/>
  <c r="BJ9" i="100"/>
  <c r="BJ9" i="98"/>
  <c r="BJ22" i="100"/>
  <c r="BJ22" i="98"/>
  <c r="BJ11" i="100"/>
  <c r="BJ11" i="98"/>
  <c r="BJ24" i="100"/>
  <c r="BJ24" i="98"/>
  <c r="BJ10" i="100"/>
  <c r="BJ10" i="98"/>
  <c r="BJ20" i="100"/>
  <c r="BJ20" i="98"/>
  <c r="BJ23" i="100"/>
  <c r="BJ23" i="98"/>
  <c r="BJ13" i="100"/>
  <c r="BJ13" i="98"/>
  <c r="BJ15" i="100"/>
  <c r="BJ15" i="98"/>
  <c r="BJ19" i="100"/>
  <c r="BJ19" i="98"/>
  <c r="BJ16" i="100"/>
  <c r="BJ16" i="98"/>
  <c r="BJ12" i="100"/>
  <c r="BJ12" i="98"/>
  <c r="BJ7" i="100"/>
  <c r="BJ7" i="98"/>
  <c r="BJ6" i="100"/>
  <c r="BJ6" i="98"/>
  <c r="BD17" i="100"/>
  <c r="BE17" i="100" s="1"/>
  <c r="BD17" i="98"/>
  <c r="BE17" i="98" s="1"/>
  <c r="BD18" i="100"/>
  <c r="BE18" i="100" s="1"/>
  <c r="BD18" i="98"/>
  <c r="BE18" i="98" s="1"/>
  <c r="BD21" i="100"/>
  <c r="BE21" i="100" s="1"/>
  <c r="BD21" i="98"/>
  <c r="BE21" i="98" s="1"/>
  <c r="BD9" i="100"/>
  <c r="BE9" i="100" s="1"/>
  <c r="BD9" i="98"/>
  <c r="BE9" i="98" s="1"/>
  <c r="BD22" i="100"/>
  <c r="BE22" i="100" s="1"/>
  <c r="BD22" i="98"/>
  <c r="BE22" i="98" s="1"/>
  <c r="BD11" i="100"/>
  <c r="BE11" i="100" s="1"/>
  <c r="BD11" i="98"/>
  <c r="BE11" i="98" s="1"/>
  <c r="BD13" i="100"/>
  <c r="BE13" i="100" s="1"/>
  <c r="BD13" i="98"/>
  <c r="BE13" i="98" s="1"/>
  <c r="BD15" i="100"/>
  <c r="BE15" i="100" s="1"/>
  <c r="BD15" i="98"/>
  <c r="BE15" i="98" s="1"/>
  <c r="BD10" i="100"/>
  <c r="BE10" i="100" s="1"/>
  <c r="BD10" i="98"/>
  <c r="BE10" i="98" s="1"/>
  <c r="BD20" i="100"/>
  <c r="BE20" i="100" s="1"/>
  <c r="BD20" i="98"/>
  <c r="BE20" i="98" s="1"/>
  <c r="BD23" i="100"/>
  <c r="BE23" i="100" s="1"/>
  <c r="BD23" i="98"/>
  <c r="BE23" i="98" s="1"/>
  <c r="BD24" i="100"/>
  <c r="BE24" i="100" s="1"/>
  <c r="BD24" i="98"/>
  <c r="BE24" i="98" s="1"/>
  <c r="BD16" i="100"/>
  <c r="BE16" i="100" s="1"/>
  <c r="BD16" i="98"/>
  <c r="BE16" i="98" s="1"/>
  <c r="BD12" i="100"/>
  <c r="BE12" i="100" s="1"/>
  <c r="BD12" i="98"/>
  <c r="BE12" i="98" s="1"/>
  <c r="BD6" i="100"/>
  <c r="BE6" i="100" s="1"/>
  <c r="BD6" i="98"/>
  <c r="BE6" i="98" s="1"/>
  <c r="BD5" i="100"/>
  <c r="BE5" i="100" s="1"/>
  <c r="BD5" i="98"/>
  <c r="BE5" i="98" s="1"/>
  <c r="BD19" i="100"/>
  <c r="BE19" i="100" s="1"/>
  <c r="BD19" i="98"/>
  <c r="BE19" i="98" s="1"/>
  <c r="BD14" i="100"/>
  <c r="BE14" i="100" s="1"/>
  <c r="BD14" i="98"/>
  <c r="BE14" i="98" s="1"/>
  <c r="BD7" i="100"/>
  <c r="BE7" i="100" s="1"/>
  <c r="BD7" i="98"/>
  <c r="BE7" i="98" s="1"/>
  <c r="CZ117" i="9"/>
  <c r="CA10" i="97"/>
  <c r="CA10" i="96"/>
  <c r="CA10" i="95"/>
  <c r="CA20" i="97"/>
  <c r="CA20" i="96"/>
  <c r="CA20" i="95"/>
  <c r="CA13" i="97"/>
  <c r="CA13" i="96"/>
  <c r="CA13" i="95"/>
  <c r="CA12" i="97"/>
  <c r="CA12" i="96"/>
  <c r="CA12" i="95"/>
  <c r="BW10" i="97"/>
  <c r="BW10" i="96"/>
  <c r="BW10" i="95"/>
  <c r="BW20" i="97"/>
  <c r="BW20" i="96"/>
  <c r="BW20" i="95"/>
  <c r="BW13" i="97"/>
  <c r="BW13" i="96"/>
  <c r="BW13" i="95"/>
  <c r="BW12" i="97"/>
  <c r="BW12" i="96"/>
  <c r="BW12" i="95"/>
  <c r="CA21" i="97"/>
  <c r="CA21" i="96"/>
  <c r="CA21" i="95"/>
  <c r="CA18" i="97"/>
  <c r="CA18" i="96"/>
  <c r="CA18" i="95"/>
  <c r="CA14" i="97"/>
  <c r="CA14" i="96"/>
  <c r="CA14" i="95"/>
  <c r="CA9" i="97"/>
  <c r="CA9" i="96"/>
  <c r="CA9" i="95"/>
  <c r="CA8" i="97"/>
  <c r="CA8" i="96"/>
  <c r="CA8" i="95"/>
  <c r="CA17" i="97"/>
  <c r="CA17" i="96"/>
  <c r="CA17" i="95"/>
  <c r="CA24" i="97"/>
  <c r="CA24" i="96"/>
  <c r="CA24" i="95"/>
  <c r="CA22" i="97"/>
  <c r="CA22" i="96"/>
  <c r="CA22" i="95"/>
  <c r="CA11" i="97"/>
  <c r="CA11" i="96"/>
  <c r="CA11" i="95"/>
  <c r="CA23" i="97"/>
  <c r="CA23" i="96"/>
  <c r="CA23" i="95"/>
  <c r="CA15" i="97"/>
  <c r="CA15" i="96"/>
  <c r="CA15" i="95"/>
  <c r="CA19" i="97"/>
  <c r="CA19" i="96"/>
  <c r="CA19" i="95"/>
  <c r="CA16" i="97"/>
  <c r="CA16" i="96"/>
  <c r="CA16" i="95"/>
  <c r="CA7" i="97"/>
  <c r="CA7" i="96"/>
  <c r="CA7" i="95"/>
  <c r="CA6" i="97"/>
  <c r="CA6" i="96"/>
  <c r="CA6" i="95"/>
  <c r="BW21" i="97"/>
  <c r="BW21" i="96"/>
  <c r="BW21" i="95"/>
  <c r="BW18" i="97"/>
  <c r="BW18" i="96"/>
  <c r="BW18" i="95"/>
  <c r="BW14" i="97"/>
  <c r="BW14" i="96"/>
  <c r="BW14" i="95"/>
  <c r="BW9" i="97"/>
  <c r="BW9" i="96"/>
  <c r="BW9" i="95"/>
  <c r="BW8" i="97"/>
  <c r="BW8" i="96"/>
  <c r="BW8" i="95"/>
  <c r="BW17" i="97"/>
  <c r="BW17" i="96"/>
  <c r="BW17" i="95"/>
  <c r="BW24" i="97"/>
  <c r="BW24" i="96"/>
  <c r="BW24" i="95"/>
  <c r="BW22" i="97"/>
  <c r="BW22" i="96"/>
  <c r="BW22" i="95"/>
  <c r="BW11" i="97"/>
  <c r="BW11" i="96"/>
  <c r="BW11" i="95"/>
  <c r="BW23" i="97"/>
  <c r="BW23" i="96"/>
  <c r="BW23" i="95"/>
  <c r="BW15" i="97"/>
  <c r="BW15" i="96"/>
  <c r="BW15" i="95"/>
  <c r="BW19" i="97"/>
  <c r="BW19" i="96"/>
  <c r="BW19" i="95"/>
  <c r="BW16" i="97"/>
  <c r="BW16" i="96"/>
  <c r="BW16" i="95"/>
  <c r="BW7" i="97"/>
  <c r="BW7" i="96"/>
  <c r="BW7" i="95"/>
  <c r="BW6" i="97"/>
  <c r="BW6" i="96"/>
  <c r="BW6" i="95"/>
  <c r="CE22" i="97"/>
  <c r="CE22" i="96"/>
  <c r="CE22" i="95"/>
  <c r="CE20" i="97"/>
  <c r="CE20" i="96"/>
  <c r="CE20" i="95"/>
  <c r="CE19" i="97"/>
  <c r="CE19" i="96"/>
  <c r="CE19" i="95"/>
  <c r="CE18" i="97"/>
  <c r="CE18" i="96"/>
  <c r="CE18" i="95"/>
  <c r="CE17" i="97"/>
  <c r="CE17" i="96"/>
  <c r="CE17" i="95"/>
  <c r="CE15" i="97"/>
  <c r="CE15" i="96"/>
  <c r="CE15" i="95"/>
  <c r="CE13" i="97"/>
  <c r="CE13" i="96"/>
  <c r="CE13" i="95"/>
  <c r="CE11" i="97"/>
  <c r="CE11" i="96"/>
  <c r="CE11" i="95"/>
  <c r="CE10" i="97"/>
  <c r="CE10" i="96"/>
  <c r="CE10" i="95"/>
  <c r="CE23" i="97"/>
  <c r="CE23" i="96"/>
  <c r="CE23" i="95"/>
  <c r="CE24" i="97"/>
  <c r="CE24" i="96"/>
  <c r="CE24" i="95"/>
  <c r="CE21" i="97"/>
  <c r="CE21" i="96"/>
  <c r="CE21" i="95"/>
  <c r="CE14" i="97"/>
  <c r="CE14" i="96"/>
  <c r="CE14" i="95"/>
  <c r="CE9" i="97"/>
  <c r="CE9" i="96"/>
  <c r="CE9" i="95"/>
  <c r="CE8" i="97"/>
  <c r="CE8" i="96"/>
  <c r="CE8" i="95"/>
  <c r="CE16" i="97"/>
  <c r="CE16" i="96"/>
  <c r="CE16" i="95"/>
  <c r="CE12" i="97"/>
  <c r="CE12" i="96"/>
  <c r="CE12" i="95"/>
  <c r="CE7" i="97"/>
  <c r="CE7" i="96"/>
  <c r="CE7" i="95"/>
  <c r="CE6" i="97"/>
  <c r="CE6" i="96"/>
  <c r="CE6" i="95"/>
  <c r="BS14" i="97"/>
  <c r="BS14" i="96"/>
  <c r="BS14" i="95"/>
  <c r="BS8" i="97"/>
  <c r="BS8" i="96"/>
  <c r="BS8" i="95"/>
  <c r="BS21" i="97"/>
  <c r="BS21" i="96"/>
  <c r="BS21" i="95"/>
  <c r="BS9" i="97"/>
  <c r="BS9" i="96"/>
  <c r="BS9" i="95"/>
  <c r="BS22" i="97"/>
  <c r="BS22" i="96"/>
  <c r="BS22" i="95"/>
  <c r="BS20" i="97"/>
  <c r="BS20" i="96"/>
  <c r="BS20" i="95"/>
  <c r="BS19" i="97"/>
  <c r="BS19" i="96"/>
  <c r="BS19" i="95"/>
  <c r="BS18" i="97"/>
  <c r="BS18" i="96"/>
  <c r="BS18" i="95"/>
  <c r="BS17" i="97"/>
  <c r="BS17" i="96"/>
  <c r="BS17" i="95"/>
  <c r="BS15" i="97"/>
  <c r="BS15" i="96"/>
  <c r="BS15" i="95"/>
  <c r="BS13" i="97"/>
  <c r="BS13" i="96"/>
  <c r="BS13" i="95"/>
  <c r="BS11" i="97"/>
  <c r="BS11" i="96"/>
  <c r="BS11" i="95"/>
  <c r="BS10" i="97"/>
  <c r="BS10" i="96"/>
  <c r="BS10" i="95"/>
  <c r="BS23" i="97"/>
  <c r="BS23" i="96"/>
  <c r="BS23" i="95"/>
  <c r="BS24" i="97"/>
  <c r="BS24" i="96"/>
  <c r="BS24" i="95"/>
  <c r="BS16" i="97"/>
  <c r="BS16" i="96"/>
  <c r="BS16" i="95"/>
  <c r="BS12" i="97"/>
  <c r="BS12" i="96"/>
  <c r="BS12" i="95"/>
  <c r="BS7" i="97"/>
  <c r="BS7" i="96"/>
  <c r="BS7" i="95"/>
  <c r="BS6" i="97"/>
  <c r="BS6" i="96"/>
  <c r="BS6" i="95"/>
  <c r="BO22" i="97"/>
  <c r="BO22" i="96"/>
  <c r="BO22" i="95"/>
  <c r="BO20" i="97"/>
  <c r="BO20" i="96"/>
  <c r="BO20" i="95"/>
  <c r="BO19" i="97"/>
  <c r="BO19" i="96"/>
  <c r="BO19" i="95"/>
  <c r="BO15" i="97"/>
  <c r="BO15" i="96"/>
  <c r="BO15" i="95"/>
  <c r="BO13" i="97"/>
  <c r="BO13" i="96"/>
  <c r="BO13" i="95"/>
  <c r="BO11" i="97"/>
  <c r="BO11" i="96"/>
  <c r="BO11" i="95"/>
  <c r="BO10" i="97"/>
  <c r="BO10" i="96"/>
  <c r="BO10" i="95"/>
  <c r="BO17" i="97"/>
  <c r="BO17" i="96"/>
  <c r="BO17" i="95"/>
  <c r="BO8" i="97"/>
  <c r="BO8" i="96"/>
  <c r="BO8" i="95"/>
  <c r="BO14" i="97"/>
  <c r="BO14" i="96"/>
  <c r="BO14" i="95"/>
  <c r="BO18" i="97"/>
  <c r="BO18" i="96"/>
  <c r="BO18" i="95"/>
  <c r="BO21" i="97"/>
  <c r="BO21" i="96"/>
  <c r="BO21" i="95"/>
  <c r="BO9" i="97"/>
  <c r="BO9" i="96"/>
  <c r="BO9" i="95"/>
  <c r="BO23" i="97"/>
  <c r="BO23" i="96"/>
  <c r="BO23" i="95"/>
  <c r="BO24" i="97"/>
  <c r="BO24" i="96"/>
  <c r="BO24" i="95"/>
  <c r="BO16" i="97"/>
  <c r="BO16" i="96"/>
  <c r="BO16" i="95"/>
  <c r="BO12" i="97"/>
  <c r="BO12" i="96"/>
  <c r="BO12" i="95"/>
  <c r="BO7" i="97"/>
  <c r="BO7" i="96"/>
  <c r="BO7" i="95"/>
  <c r="BO6" i="97"/>
  <c r="BO6" i="96"/>
  <c r="BO6" i="95"/>
  <c r="BJ18" i="97"/>
  <c r="BJ18" i="96"/>
  <c r="BJ18" i="95"/>
  <c r="BJ17" i="97"/>
  <c r="BJ17" i="96"/>
  <c r="BJ17" i="95"/>
  <c r="BJ8" i="97"/>
  <c r="BJ8" i="96"/>
  <c r="BJ8" i="95"/>
  <c r="BJ21" i="97"/>
  <c r="BJ21" i="96"/>
  <c r="BJ21" i="95"/>
  <c r="BJ14" i="97"/>
  <c r="BJ14" i="96"/>
  <c r="BJ14" i="95"/>
  <c r="BJ9" i="97"/>
  <c r="BJ9" i="96"/>
  <c r="BJ9" i="95"/>
  <c r="BJ22" i="97"/>
  <c r="BJ22" i="96"/>
  <c r="BJ22" i="95"/>
  <c r="BJ11" i="97"/>
  <c r="BJ11" i="96"/>
  <c r="BJ11" i="95"/>
  <c r="BJ24" i="97"/>
  <c r="BJ24" i="96"/>
  <c r="BJ24" i="95"/>
  <c r="BJ10" i="97"/>
  <c r="BJ10" i="96"/>
  <c r="BJ10" i="95"/>
  <c r="BJ20" i="97"/>
  <c r="BJ20" i="96"/>
  <c r="BJ20" i="95"/>
  <c r="BJ23" i="97"/>
  <c r="BJ23" i="96"/>
  <c r="BJ23" i="95"/>
  <c r="BJ13" i="97"/>
  <c r="BJ13" i="96"/>
  <c r="BJ13" i="95"/>
  <c r="BJ15" i="97"/>
  <c r="BJ15" i="96"/>
  <c r="BJ15" i="95"/>
  <c r="BJ19" i="97"/>
  <c r="BJ19" i="96"/>
  <c r="BJ19" i="95"/>
  <c r="BJ16" i="97"/>
  <c r="BJ16" i="96"/>
  <c r="BJ16" i="95"/>
  <c r="BJ12" i="97"/>
  <c r="BJ12" i="96"/>
  <c r="BJ12" i="95"/>
  <c r="BJ7" i="97"/>
  <c r="BJ7" i="96"/>
  <c r="BJ7" i="95"/>
  <c r="BJ6" i="97"/>
  <c r="BJ6" i="96"/>
  <c r="BJ6" i="95"/>
  <c r="BD17" i="97"/>
  <c r="BE17" i="97" s="1"/>
  <c r="BD17" i="96"/>
  <c r="BE17" i="96" s="1"/>
  <c r="BD17" i="95"/>
  <c r="BE17" i="95" s="1"/>
  <c r="BD18" i="97"/>
  <c r="BE18" i="97" s="1"/>
  <c r="BD18" i="96"/>
  <c r="BE18" i="96" s="1"/>
  <c r="BD18" i="95"/>
  <c r="BE18" i="95" s="1"/>
  <c r="BD21" i="97"/>
  <c r="BE21" i="97" s="1"/>
  <c r="BD21" i="96"/>
  <c r="BE21" i="96" s="1"/>
  <c r="BD21" i="95"/>
  <c r="BE21" i="95" s="1"/>
  <c r="BD9" i="97"/>
  <c r="BE9" i="97" s="1"/>
  <c r="BD9" i="96"/>
  <c r="BE9" i="96" s="1"/>
  <c r="BD9" i="95"/>
  <c r="BE9" i="95" s="1"/>
  <c r="BD22" i="97"/>
  <c r="BE22" i="97" s="1"/>
  <c r="BD22" i="96"/>
  <c r="BE22" i="96" s="1"/>
  <c r="BD22" i="95"/>
  <c r="BE22" i="95" s="1"/>
  <c r="BD11" i="97"/>
  <c r="BE11" i="97" s="1"/>
  <c r="BD11" i="96"/>
  <c r="BE11" i="96" s="1"/>
  <c r="BD11" i="95"/>
  <c r="BE11" i="95" s="1"/>
  <c r="BD13" i="97"/>
  <c r="BE13" i="97" s="1"/>
  <c r="BD13" i="96"/>
  <c r="BE13" i="96" s="1"/>
  <c r="BD13" i="95"/>
  <c r="BE13" i="95" s="1"/>
  <c r="BD15" i="97"/>
  <c r="BE15" i="97" s="1"/>
  <c r="BD15" i="96"/>
  <c r="BE15" i="96" s="1"/>
  <c r="BD15" i="95"/>
  <c r="BE15" i="95" s="1"/>
  <c r="BD10" i="97"/>
  <c r="BE10" i="97" s="1"/>
  <c r="BD10" i="96"/>
  <c r="BE10" i="96" s="1"/>
  <c r="BD10" i="95"/>
  <c r="BE10" i="95" s="1"/>
  <c r="BD20" i="97"/>
  <c r="BE20" i="97" s="1"/>
  <c r="BD20" i="96"/>
  <c r="BE20" i="96" s="1"/>
  <c r="BD20" i="95"/>
  <c r="BE20" i="95" s="1"/>
  <c r="BD23" i="97"/>
  <c r="BE23" i="97" s="1"/>
  <c r="BD23" i="96"/>
  <c r="BE23" i="96" s="1"/>
  <c r="BD23" i="95"/>
  <c r="BE23" i="95" s="1"/>
  <c r="BD24" i="97"/>
  <c r="BE24" i="97" s="1"/>
  <c r="BD24" i="96"/>
  <c r="BE24" i="96" s="1"/>
  <c r="BD24" i="95"/>
  <c r="BE24" i="95" s="1"/>
  <c r="BD16" i="97"/>
  <c r="BE16" i="97" s="1"/>
  <c r="BD16" i="96"/>
  <c r="BE16" i="96" s="1"/>
  <c r="BD16" i="95"/>
  <c r="BE16" i="95" s="1"/>
  <c r="BD12" i="97"/>
  <c r="BE12" i="97" s="1"/>
  <c r="BD12" i="96"/>
  <c r="BE12" i="96" s="1"/>
  <c r="BD12" i="95"/>
  <c r="BE12" i="95" s="1"/>
  <c r="BD6" i="97"/>
  <c r="BE6" i="97" s="1"/>
  <c r="BD6" i="96"/>
  <c r="BE6" i="96" s="1"/>
  <c r="BD6" i="95"/>
  <c r="BE6" i="95" s="1"/>
  <c r="BD5" i="97"/>
  <c r="BE5" i="97" s="1"/>
  <c r="BD5" i="96"/>
  <c r="BE5" i="96" s="1"/>
  <c r="BD5" i="95"/>
  <c r="BE5" i="95" s="1"/>
  <c r="BD19" i="97"/>
  <c r="BE19" i="97" s="1"/>
  <c r="BD19" i="96"/>
  <c r="BE19" i="96" s="1"/>
  <c r="BD19" i="95"/>
  <c r="BE19" i="95" s="1"/>
  <c r="BD14" i="97"/>
  <c r="BE14" i="97" s="1"/>
  <c r="BD14" i="96"/>
  <c r="BE14" i="96" s="1"/>
  <c r="BD14" i="95"/>
  <c r="BE14" i="95" s="1"/>
  <c r="BD7" i="97"/>
  <c r="BE7" i="97" s="1"/>
  <c r="BD7" i="96"/>
  <c r="BE7" i="96" s="1"/>
  <c r="BD7" i="95"/>
  <c r="BE7" i="95" s="1"/>
  <c r="AZ2" i="94"/>
  <c r="AY2" i="94"/>
  <c r="AX2" i="94"/>
  <c r="AW2" i="94"/>
  <c r="AV2" i="94"/>
  <c r="AU2" i="94"/>
  <c r="AT2" i="94"/>
  <c r="AS2" i="94"/>
  <c r="AR2" i="94"/>
  <c r="AQ2" i="94"/>
  <c r="AP2" i="94"/>
  <c r="AZ2" i="93"/>
  <c r="AY2" i="93"/>
  <c r="AX2" i="93"/>
  <c r="AW2" i="93"/>
  <c r="AV2" i="93"/>
  <c r="AU2" i="93"/>
  <c r="AT2" i="93"/>
  <c r="AS2" i="93"/>
  <c r="AR2" i="93"/>
  <c r="AQ2" i="93"/>
  <c r="AP2" i="93"/>
  <c r="DI112" i="9"/>
  <c r="DH110" i="9"/>
  <c r="DH112" i="9"/>
  <c r="DH111" i="9"/>
  <c r="DB110" i="9"/>
  <c r="DB112" i="9"/>
  <c r="DB111" i="9"/>
  <c r="DA112" i="9"/>
  <c r="CZ112" i="9"/>
  <c r="CY110" i="9"/>
  <c r="CY112" i="9"/>
  <c r="CY111" i="9"/>
  <c r="CW110" i="9"/>
  <c r="CW112" i="9"/>
  <c r="CW111" i="9"/>
  <c r="CV110" i="9"/>
  <c r="CV112" i="9"/>
  <c r="CV111" i="9"/>
  <c r="CU110" i="9"/>
  <c r="CU112" i="9"/>
  <c r="CU111" i="9"/>
  <c r="CT110" i="9"/>
  <c r="CT112" i="9"/>
  <c r="CT111" i="9"/>
  <c r="CR112" i="9"/>
  <c r="CS112" i="9" s="1"/>
  <c r="CR111" i="9"/>
  <c r="CS111" i="9" s="1"/>
  <c r="CP110" i="9"/>
  <c r="CP112" i="9"/>
  <c r="CP111" i="9"/>
  <c r="CN110" i="9"/>
  <c r="CN112" i="9"/>
  <c r="CN111" i="9"/>
  <c r="CM110" i="9"/>
  <c r="CM112" i="9"/>
  <c r="CM111" i="9"/>
  <c r="CL112" i="9"/>
  <c r="CL111" i="9"/>
  <c r="CK112" i="9"/>
  <c r="CK111" i="9"/>
  <c r="CJ110" i="9"/>
  <c r="CJ112" i="9"/>
  <c r="CJ111" i="9"/>
  <c r="CI110" i="9"/>
  <c r="CI112" i="9"/>
  <c r="CI111" i="9"/>
  <c r="CH110" i="9"/>
  <c r="CH112" i="9"/>
  <c r="CH111" i="9"/>
  <c r="CF110" i="9"/>
  <c r="CF112" i="9"/>
  <c r="CF111" i="9"/>
  <c r="CE110" i="9"/>
  <c r="CE112" i="9"/>
  <c r="CE111" i="9"/>
  <c r="CD110" i="9"/>
  <c r="CD112" i="9"/>
  <c r="CD111" i="9"/>
  <c r="CC110" i="9"/>
  <c r="CC112" i="9"/>
  <c r="CC111" i="9"/>
  <c r="CB110" i="9"/>
  <c r="CB112" i="9"/>
  <c r="CB111" i="9"/>
  <c r="CA110" i="9"/>
  <c r="CA112" i="9"/>
  <c r="CA111" i="9"/>
  <c r="BY112" i="9"/>
  <c r="BY111" i="9"/>
  <c r="CB10" i="92"/>
  <c r="CB10" i="94"/>
  <c r="CB10" i="93"/>
  <c r="CB20" i="92"/>
  <c r="CB20" i="94"/>
  <c r="CB20" i="93"/>
  <c r="CB13" i="92"/>
  <c r="CB13" i="94"/>
  <c r="CB13" i="93"/>
  <c r="CB12" i="92"/>
  <c r="CB12" i="94"/>
  <c r="CB12" i="93"/>
  <c r="BX10" i="92"/>
  <c r="BX10" i="94"/>
  <c r="BX10" i="93"/>
  <c r="BX20" i="92"/>
  <c r="BX20" i="94"/>
  <c r="BX20" i="93"/>
  <c r="BX13" i="92"/>
  <c r="BX13" i="94"/>
  <c r="BX13" i="93"/>
  <c r="BX12" i="92"/>
  <c r="BX12" i="94"/>
  <c r="BX12" i="93"/>
  <c r="CB21" i="92"/>
  <c r="CB21" i="94"/>
  <c r="CB21" i="93"/>
  <c r="CB18" i="92"/>
  <c r="CB18" i="94"/>
  <c r="CB18" i="93"/>
  <c r="CB14" i="92"/>
  <c r="CB14" i="94"/>
  <c r="CB14" i="93"/>
  <c r="CB9" i="92"/>
  <c r="CB9" i="94"/>
  <c r="CB9" i="93"/>
  <c r="CB8" i="92"/>
  <c r="CB8" i="94"/>
  <c r="CB8" i="93"/>
  <c r="CB17" i="92"/>
  <c r="CB17" i="94"/>
  <c r="CB17" i="93"/>
  <c r="CB24" i="92"/>
  <c r="CB24" i="94"/>
  <c r="CB24" i="93"/>
  <c r="CB22" i="92"/>
  <c r="CB22" i="94"/>
  <c r="CB22" i="93"/>
  <c r="CB11" i="92"/>
  <c r="CB11" i="94"/>
  <c r="CB11" i="93"/>
  <c r="CB23" i="92"/>
  <c r="CB23" i="94"/>
  <c r="CB23" i="93"/>
  <c r="CB15" i="92"/>
  <c r="CB15" i="94"/>
  <c r="CB15" i="93"/>
  <c r="CB19" i="92"/>
  <c r="CB19" i="94"/>
  <c r="CB19" i="93"/>
  <c r="CB16" i="92"/>
  <c r="CB16" i="94"/>
  <c r="CB16" i="93"/>
  <c r="CB7" i="92"/>
  <c r="CB7" i="94"/>
  <c r="CB7" i="93"/>
  <c r="CB6" i="92"/>
  <c r="CB6" i="94"/>
  <c r="CB6" i="93"/>
  <c r="BX21" i="92"/>
  <c r="BX21" i="94"/>
  <c r="BX21" i="93"/>
  <c r="BX18" i="92"/>
  <c r="BX18" i="94"/>
  <c r="BX18" i="93"/>
  <c r="BX14" i="92"/>
  <c r="BX14" i="94"/>
  <c r="BX14" i="93"/>
  <c r="BX9" i="92"/>
  <c r="BX9" i="94"/>
  <c r="BX9" i="93"/>
  <c r="BX8" i="92"/>
  <c r="BX8" i="94"/>
  <c r="BX8" i="93"/>
  <c r="BX17" i="92"/>
  <c r="BX17" i="94"/>
  <c r="BX17" i="93"/>
  <c r="BX24" i="92"/>
  <c r="BX24" i="94"/>
  <c r="BX24" i="93"/>
  <c r="BX22" i="92"/>
  <c r="BX22" i="94"/>
  <c r="BX22" i="93"/>
  <c r="BX11" i="92"/>
  <c r="BX11" i="94"/>
  <c r="BX11" i="93"/>
  <c r="BX23" i="92"/>
  <c r="BX23" i="94"/>
  <c r="BX23" i="93"/>
  <c r="BX15" i="92"/>
  <c r="BX15" i="94"/>
  <c r="BX15" i="93"/>
  <c r="BX19" i="92"/>
  <c r="BX19" i="94"/>
  <c r="BX19" i="93"/>
  <c r="BX16" i="92"/>
  <c r="BX16" i="94"/>
  <c r="BX16" i="93"/>
  <c r="BX7" i="92"/>
  <c r="BX7" i="94"/>
  <c r="BX7" i="93"/>
  <c r="BX6" i="92"/>
  <c r="BX6" i="94"/>
  <c r="BX6" i="93"/>
  <c r="CF22" i="92"/>
  <c r="CF22" i="94"/>
  <c r="CF22" i="93"/>
  <c r="CF20" i="92"/>
  <c r="CF20" i="94"/>
  <c r="CF20" i="93"/>
  <c r="CF19" i="92"/>
  <c r="CF19" i="94"/>
  <c r="CF19" i="93"/>
  <c r="CF18" i="92"/>
  <c r="CF18" i="94"/>
  <c r="CF18" i="93"/>
  <c r="CF17" i="92"/>
  <c r="CF17" i="94"/>
  <c r="CF17" i="93"/>
  <c r="CF15" i="92"/>
  <c r="CF15" i="94"/>
  <c r="CF15" i="93"/>
  <c r="CF13" i="92"/>
  <c r="CF13" i="94"/>
  <c r="CF13" i="93"/>
  <c r="CF11" i="92"/>
  <c r="CF11" i="94"/>
  <c r="CF11" i="93"/>
  <c r="CF10" i="92"/>
  <c r="CF10" i="94"/>
  <c r="CF10" i="93"/>
  <c r="CF23" i="92"/>
  <c r="CF23" i="94"/>
  <c r="CF23" i="93"/>
  <c r="CF24" i="92"/>
  <c r="CF24" i="94"/>
  <c r="CF24" i="93"/>
  <c r="CF21" i="92"/>
  <c r="CF21" i="94"/>
  <c r="CF21" i="93"/>
  <c r="CF14" i="92"/>
  <c r="CF14" i="94"/>
  <c r="CF14" i="93"/>
  <c r="CF9" i="92"/>
  <c r="CF9" i="94"/>
  <c r="CF9" i="93"/>
  <c r="CF8" i="92"/>
  <c r="CF8" i="94"/>
  <c r="CF8" i="93"/>
  <c r="CF16" i="92"/>
  <c r="CF16" i="94"/>
  <c r="CF16" i="93"/>
  <c r="CF12" i="92"/>
  <c r="CF12" i="94"/>
  <c r="CF12" i="93"/>
  <c r="CF7" i="92"/>
  <c r="CF7" i="94"/>
  <c r="CF7" i="93"/>
  <c r="CF6" i="92"/>
  <c r="CF6" i="94"/>
  <c r="CF6" i="93"/>
  <c r="BT14" i="92"/>
  <c r="BT14" i="94"/>
  <c r="BT14" i="93"/>
  <c r="BT8" i="92"/>
  <c r="BT8" i="94"/>
  <c r="BT8" i="93"/>
  <c r="BT21" i="92"/>
  <c r="BT21" i="94"/>
  <c r="BT21" i="93"/>
  <c r="BT9" i="92"/>
  <c r="BT9" i="94"/>
  <c r="BT9" i="93"/>
  <c r="BT22" i="92"/>
  <c r="BT22" i="94"/>
  <c r="BT22" i="93"/>
  <c r="BT20" i="92"/>
  <c r="BT20" i="94"/>
  <c r="BT20" i="93"/>
  <c r="BT19" i="92"/>
  <c r="BT19" i="94"/>
  <c r="BT19" i="93"/>
  <c r="BT18" i="92"/>
  <c r="BT18" i="94"/>
  <c r="BT18" i="93"/>
  <c r="BT17" i="92"/>
  <c r="BT17" i="94"/>
  <c r="BT17" i="93"/>
  <c r="BT15" i="92"/>
  <c r="BT15" i="94"/>
  <c r="BT15" i="93"/>
  <c r="BT13" i="92"/>
  <c r="BT13" i="94"/>
  <c r="BT13" i="93"/>
  <c r="BT11" i="92"/>
  <c r="BT11" i="94"/>
  <c r="BT11" i="93"/>
  <c r="BT10" i="92"/>
  <c r="BT10" i="94"/>
  <c r="BT10" i="93"/>
  <c r="BT23" i="92"/>
  <c r="BT23" i="94"/>
  <c r="BT23" i="93"/>
  <c r="BT24" i="92"/>
  <c r="BT24" i="94"/>
  <c r="BT24" i="93"/>
  <c r="BT16" i="92"/>
  <c r="BT16" i="94"/>
  <c r="BT16" i="93"/>
  <c r="BT12" i="92"/>
  <c r="BT12" i="94"/>
  <c r="BT12" i="93"/>
  <c r="BT7" i="92"/>
  <c r="BT7" i="94"/>
  <c r="BT7" i="93"/>
  <c r="BT6" i="92"/>
  <c r="BT6" i="94"/>
  <c r="BT6" i="93"/>
  <c r="BP22" i="92"/>
  <c r="BP22" i="94"/>
  <c r="BP22" i="93"/>
  <c r="BP20" i="92"/>
  <c r="BP20" i="94"/>
  <c r="BP20" i="93"/>
  <c r="BP19" i="92"/>
  <c r="BP19" i="94"/>
  <c r="BP19" i="93"/>
  <c r="BP15" i="92"/>
  <c r="BP15" i="94"/>
  <c r="BP15" i="93"/>
  <c r="BP13" i="92"/>
  <c r="BP13" i="94"/>
  <c r="BP13" i="93"/>
  <c r="BP11" i="92"/>
  <c r="BP11" i="94"/>
  <c r="BP11" i="93"/>
  <c r="BP10" i="92"/>
  <c r="BP10" i="94"/>
  <c r="BP10" i="93"/>
  <c r="BP17" i="92"/>
  <c r="BP17" i="94"/>
  <c r="BP17" i="93"/>
  <c r="BP8" i="92"/>
  <c r="BP8" i="94"/>
  <c r="BP8" i="93"/>
  <c r="BP14" i="92"/>
  <c r="BP14" i="94"/>
  <c r="BP14" i="93"/>
  <c r="BP18" i="92"/>
  <c r="BP18" i="94"/>
  <c r="BP18" i="93"/>
  <c r="BP21" i="92"/>
  <c r="BP21" i="94"/>
  <c r="BP21" i="93"/>
  <c r="BP9" i="92"/>
  <c r="BP9" i="94"/>
  <c r="BP9" i="93"/>
  <c r="BP23" i="92"/>
  <c r="BP23" i="94"/>
  <c r="BP23" i="93"/>
  <c r="BP24" i="92"/>
  <c r="BP24" i="94"/>
  <c r="BP24" i="93"/>
  <c r="BP16" i="92"/>
  <c r="BP16" i="94"/>
  <c r="BP16" i="93"/>
  <c r="BP12" i="92"/>
  <c r="BP12" i="94"/>
  <c r="BP12" i="93"/>
  <c r="BP7" i="92"/>
  <c r="BP7" i="94"/>
  <c r="BP7" i="93"/>
  <c r="BP6" i="92"/>
  <c r="BP6" i="94"/>
  <c r="BP6" i="93"/>
  <c r="BK18" i="92"/>
  <c r="BK18" i="94"/>
  <c r="BK18" i="93"/>
  <c r="BK17" i="92"/>
  <c r="BK17" i="94"/>
  <c r="BK17" i="93"/>
  <c r="BK8" i="92"/>
  <c r="BK8" i="94"/>
  <c r="BK8" i="93"/>
  <c r="BK21" i="92"/>
  <c r="BK21" i="94"/>
  <c r="BK21" i="93"/>
  <c r="BK14" i="92"/>
  <c r="BK14" i="94"/>
  <c r="BK14" i="93"/>
  <c r="BK9" i="92"/>
  <c r="BK9" i="94"/>
  <c r="BK9" i="93"/>
  <c r="BK22" i="92"/>
  <c r="BK22" i="94"/>
  <c r="BK22" i="93"/>
  <c r="BK11" i="92"/>
  <c r="BK11" i="94"/>
  <c r="BK11" i="93"/>
  <c r="BK24" i="92"/>
  <c r="BK24" i="94"/>
  <c r="BK24" i="93"/>
  <c r="BK10" i="92"/>
  <c r="BK10" i="94"/>
  <c r="BK10" i="93"/>
  <c r="BK20" i="92"/>
  <c r="BK20" i="94"/>
  <c r="BK20" i="93"/>
  <c r="BK23" i="92"/>
  <c r="BK23" i="94"/>
  <c r="BK23" i="93"/>
  <c r="BK13" i="92"/>
  <c r="BK13" i="94"/>
  <c r="BK13" i="93"/>
  <c r="BK15" i="92"/>
  <c r="BK15" i="94"/>
  <c r="BK15" i="93"/>
  <c r="BK19" i="92"/>
  <c r="BK19" i="94"/>
  <c r="BK19" i="93"/>
  <c r="BK16" i="92"/>
  <c r="BK16" i="94"/>
  <c r="BK16" i="93"/>
  <c r="BK12" i="92"/>
  <c r="BK12" i="94"/>
  <c r="BK12" i="93"/>
  <c r="BK7" i="92"/>
  <c r="BK7" i="94"/>
  <c r="BK7" i="93"/>
  <c r="BK6" i="92"/>
  <c r="BK6" i="94"/>
  <c r="BK6" i="93"/>
  <c r="BE17" i="92"/>
  <c r="BF17" i="92" s="1"/>
  <c r="BE17" i="94"/>
  <c r="BF17" i="94" s="1"/>
  <c r="BE17" i="93"/>
  <c r="BF17" i="93" s="1"/>
  <c r="BE18" i="94"/>
  <c r="BF18" i="94" s="1"/>
  <c r="BE18" i="93"/>
  <c r="BF18" i="93" s="1"/>
  <c r="BE21" i="92"/>
  <c r="BF21" i="92" s="1"/>
  <c r="BE21" i="94"/>
  <c r="BF21" i="94" s="1"/>
  <c r="BE21" i="93"/>
  <c r="BF21" i="93" s="1"/>
  <c r="BE9" i="92"/>
  <c r="BF9" i="92" s="1"/>
  <c r="BE9" i="94"/>
  <c r="BF9" i="94" s="1"/>
  <c r="BE9" i="93"/>
  <c r="BF9" i="93" s="1"/>
  <c r="BE22" i="92"/>
  <c r="BF22" i="92" s="1"/>
  <c r="BE22" i="94"/>
  <c r="BF22" i="94" s="1"/>
  <c r="BE22" i="93"/>
  <c r="BF22" i="93" s="1"/>
  <c r="BE11" i="92"/>
  <c r="BF11" i="92" s="1"/>
  <c r="BE11" i="94"/>
  <c r="BF11" i="94" s="1"/>
  <c r="BE11" i="93"/>
  <c r="BF11" i="93" s="1"/>
  <c r="BE13" i="92"/>
  <c r="BF13" i="92" s="1"/>
  <c r="BE13" i="94"/>
  <c r="BF13" i="94" s="1"/>
  <c r="BE13" i="93"/>
  <c r="BF13" i="93" s="1"/>
  <c r="BE15" i="92"/>
  <c r="BF15" i="92" s="1"/>
  <c r="BE15" i="94"/>
  <c r="BF15" i="94" s="1"/>
  <c r="BE15" i="93"/>
  <c r="BF15" i="93" s="1"/>
  <c r="BE10" i="92"/>
  <c r="BF10" i="92" s="1"/>
  <c r="BE10" i="94"/>
  <c r="BF10" i="94" s="1"/>
  <c r="BE10" i="93"/>
  <c r="BF10" i="93" s="1"/>
  <c r="BE20" i="92"/>
  <c r="BF20" i="92" s="1"/>
  <c r="BE20" i="94"/>
  <c r="BF20" i="94" s="1"/>
  <c r="BE20" i="93"/>
  <c r="BF20" i="93" s="1"/>
  <c r="BE23" i="92"/>
  <c r="BF23" i="92" s="1"/>
  <c r="BE23" i="94"/>
  <c r="BF23" i="94" s="1"/>
  <c r="BE23" i="93"/>
  <c r="BF23" i="93" s="1"/>
  <c r="BE24" i="92"/>
  <c r="BF24" i="92" s="1"/>
  <c r="BE24" i="94"/>
  <c r="BF24" i="94" s="1"/>
  <c r="BE24" i="93"/>
  <c r="BF24" i="93" s="1"/>
  <c r="BE16" i="92"/>
  <c r="BF16" i="92" s="1"/>
  <c r="BE16" i="94"/>
  <c r="BF16" i="94" s="1"/>
  <c r="BE16" i="93"/>
  <c r="BF16" i="93" s="1"/>
  <c r="BE12" i="92"/>
  <c r="BF12" i="92" s="1"/>
  <c r="BE12" i="94"/>
  <c r="BF12" i="94" s="1"/>
  <c r="BE12" i="93"/>
  <c r="BF12" i="93" s="1"/>
  <c r="BE6" i="92"/>
  <c r="BF6" i="92" s="1"/>
  <c r="BE6" i="94"/>
  <c r="BF6" i="94" s="1"/>
  <c r="BE6" i="93"/>
  <c r="BF6" i="93" s="1"/>
  <c r="BE5" i="92"/>
  <c r="BF5" i="92" s="1"/>
  <c r="BE5" i="94"/>
  <c r="BF5" i="94" s="1"/>
  <c r="BE5" i="93"/>
  <c r="BF5" i="93" s="1"/>
  <c r="BE19" i="92"/>
  <c r="BF19" i="92" s="1"/>
  <c r="BE19" i="94"/>
  <c r="BF19" i="94" s="1"/>
  <c r="BE19" i="93"/>
  <c r="BF19" i="93" s="1"/>
  <c r="BE14" i="92"/>
  <c r="BF14" i="92" s="1"/>
  <c r="BE14" i="94"/>
  <c r="BF14" i="94" s="1"/>
  <c r="BE14" i="93"/>
  <c r="BF14" i="93" s="1"/>
  <c r="BE7" i="92"/>
  <c r="BF7" i="92" s="1"/>
  <c r="BE7" i="94"/>
  <c r="BF7" i="94" s="1"/>
  <c r="BE7" i="93"/>
  <c r="BF7" i="93" s="1"/>
  <c r="BY61" i="9"/>
  <c r="M23" i="3"/>
  <c r="BE18" i="92"/>
  <c r="BF18" i="92" s="1"/>
  <c r="DA110" i="9"/>
  <c r="BY52" i="9"/>
  <c r="BY110" i="9"/>
  <c r="AZ2" i="92"/>
  <c r="AR2" i="92"/>
  <c r="AX2" i="92"/>
  <c r="AP2" i="92"/>
  <c r="AW2" i="92"/>
  <c r="AV2" i="92"/>
  <c r="AY2" i="92"/>
  <c r="AU2" i="92"/>
  <c r="AT2" i="92"/>
  <c r="AS2" i="92"/>
  <c r="AQ2" i="92"/>
  <c r="HI46" i="9"/>
  <c r="CL110" i="9"/>
  <c r="DI110" i="9"/>
  <c r="CZ110" i="9"/>
  <c r="FV22" i="9"/>
  <c r="CK110" i="9"/>
  <c r="CR31" i="9"/>
  <c r="CS31" i="9" s="1"/>
  <c r="CE61" i="9"/>
  <c r="CR60" i="9"/>
  <c r="CS60" i="9" s="1"/>
  <c r="CR110" i="9"/>
  <c r="CS110" i="9" s="1"/>
  <c r="AQ2" i="91"/>
  <c r="AP2" i="91"/>
  <c r="AZ2" i="91"/>
  <c r="AY2" i="91"/>
  <c r="AX2" i="91"/>
  <c r="AW2" i="91"/>
  <c r="AV2" i="91"/>
  <c r="AU2" i="91"/>
  <c r="AS2" i="91"/>
  <c r="AR2" i="91"/>
  <c r="AT2" i="91"/>
  <c r="AS2" i="90"/>
  <c r="AZ2" i="90"/>
  <c r="AR2" i="90"/>
  <c r="AX2" i="90"/>
  <c r="AW2" i="90"/>
  <c r="AQ2" i="90"/>
  <c r="AY2" i="90"/>
  <c r="AT2" i="90"/>
  <c r="AP2" i="90"/>
  <c r="AV2" i="90"/>
  <c r="AU2" i="90"/>
  <c r="AS2" i="89"/>
  <c r="AY2" i="89"/>
  <c r="AT2" i="89"/>
  <c r="AR2" i="89"/>
  <c r="AZ2" i="89"/>
  <c r="AV2" i="89"/>
  <c r="AU2" i="89"/>
  <c r="AQ2" i="89"/>
  <c r="AP2" i="89"/>
  <c r="AX2" i="89"/>
  <c r="AW2" i="89"/>
  <c r="DA109" i="9"/>
  <c r="DA108" i="9"/>
  <c r="BX12" i="89"/>
  <c r="BX12" i="91"/>
  <c r="BX12" i="90"/>
  <c r="CF16" i="89"/>
  <c r="CF16" i="91"/>
  <c r="CF16" i="90"/>
  <c r="BP8" i="89"/>
  <c r="BP8" i="91"/>
  <c r="BP8" i="90"/>
  <c r="CL109" i="9"/>
  <c r="CL108" i="9"/>
  <c r="CL107" i="9"/>
  <c r="CR52" i="9"/>
  <c r="CS52" i="9" s="1"/>
  <c r="GR48" i="9"/>
  <c r="GS47" i="9"/>
  <c r="CB18" i="89"/>
  <c r="CB18" i="91"/>
  <c r="CB18" i="90"/>
  <c r="CB16" i="89"/>
  <c r="CB16" i="91"/>
  <c r="CB16" i="90"/>
  <c r="BX24" i="89"/>
  <c r="BX24" i="91"/>
  <c r="BX24" i="90"/>
  <c r="BX6" i="89"/>
  <c r="BX6" i="91"/>
  <c r="BX6" i="90"/>
  <c r="CF7" i="89"/>
  <c r="CF7" i="91"/>
  <c r="CF7" i="90"/>
  <c r="BP15" i="89"/>
  <c r="BP15" i="91"/>
  <c r="BP15" i="90"/>
  <c r="BP12" i="89"/>
  <c r="BP12" i="91"/>
  <c r="BP12" i="90"/>
  <c r="BK9" i="89"/>
  <c r="BK9" i="91"/>
  <c r="BK9" i="90"/>
  <c r="BK23" i="89"/>
  <c r="BK23" i="91"/>
  <c r="BK23" i="90"/>
  <c r="BE13" i="89"/>
  <c r="BF13" i="89" s="1"/>
  <c r="BE13" i="91"/>
  <c r="BF13" i="91" s="1"/>
  <c r="BE13" i="90"/>
  <c r="BF13" i="90" s="1"/>
  <c r="BE16" i="89"/>
  <c r="BF16" i="89" s="1"/>
  <c r="BE16" i="91"/>
  <c r="BF16" i="91" s="1"/>
  <c r="BE16" i="90"/>
  <c r="BF16" i="90" s="1"/>
  <c r="CB19" i="89"/>
  <c r="CB19" i="91"/>
  <c r="CB19" i="90"/>
  <c r="BP20" i="89"/>
  <c r="BP20" i="91"/>
  <c r="BP20" i="90"/>
  <c r="BK16" i="89"/>
  <c r="BK16" i="91"/>
  <c r="BK16" i="90"/>
  <c r="BX23" i="89"/>
  <c r="BX23" i="91"/>
  <c r="BX23" i="90"/>
  <c r="CF10" i="89"/>
  <c r="CF10" i="91"/>
  <c r="CF10" i="90"/>
  <c r="BP24" i="89"/>
  <c r="BP24" i="91"/>
  <c r="BP24" i="90"/>
  <c r="BK12" i="89"/>
  <c r="BK12" i="91"/>
  <c r="BK12" i="90"/>
  <c r="A34" i="20"/>
  <c r="G34" i="20" s="1"/>
  <c r="K34" i="20" s="1"/>
  <c r="CZ109" i="9"/>
  <c r="CZ108" i="9"/>
  <c r="BX7" i="89"/>
  <c r="BX7" i="91"/>
  <c r="BX7" i="90"/>
  <c r="BT20" i="89"/>
  <c r="BT20" i="91"/>
  <c r="BT20" i="90"/>
  <c r="BP16" i="89"/>
  <c r="BP16" i="91"/>
  <c r="BP16" i="90"/>
  <c r="BE21" i="89"/>
  <c r="BF21" i="89" s="1"/>
  <c r="BE21" i="91"/>
  <c r="BF21" i="91" s="1"/>
  <c r="BE21" i="90"/>
  <c r="BF21" i="90" s="1"/>
  <c r="CR61" i="9"/>
  <c r="CS61" i="9" s="1"/>
  <c r="HI26" i="9"/>
  <c r="CY106" i="9"/>
  <c r="CY109" i="9"/>
  <c r="CY108" i="9"/>
  <c r="CY107" i="9"/>
  <c r="CK106" i="9"/>
  <c r="CK109" i="9"/>
  <c r="CK108" i="9"/>
  <c r="CK107" i="9"/>
  <c r="CD106" i="9"/>
  <c r="CD109" i="9"/>
  <c r="CD108" i="9"/>
  <c r="CD107" i="9"/>
  <c r="CB14" i="89"/>
  <c r="CB14" i="91"/>
  <c r="CB14" i="90"/>
  <c r="BX22" i="89"/>
  <c r="BX22" i="91"/>
  <c r="BX22" i="90"/>
  <c r="CF22" i="89"/>
  <c r="CF22" i="91"/>
  <c r="CF22" i="90"/>
  <c r="BT11" i="89"/>
  <c r="BT11" i="91"/>
  <c r="BT11" i="90"/>
  <c r="BT16" i="89"/>
  <c r="BT16" i="91"/>
  <c r="BT16" i="90"/>
  <c r="BP13" i="89"/>
  <c r="BP13" i="91"/>
  <c r="BP13" i="90"/>
  <c r="BP18" i="89"/>
  <c r="BP18" i="91"/>
  <c r="BP18" i="90"/>
  <c r="BK22" i="89"/>
  <c r="BK22" i="91"/>
  <c r="BK22" i="90"/>
  <c r="BK13" i="89"/>
  <c r="BK13" i="91"/>
  <c r="BK13" i="90"/>
  <c r="BE15" i="89"/>
  <c r="BF15" i="89" s="1"/>
  <c r="BE15" i="91"/>
  <c r="BF15" i="91" s="1"/>
  <c r="BE15" i="90"/>
  <c r="BF15" i="90" s="1"/>
  <c r="BE12" i="89"/>
  <c r="BF12" i="89" s="1"/>
  <c r="BE12" i="91"/>
  <c r="BF12" i="91" s="1"/>
  <c r="BE12" i="90"/>
  <c r="BF12" i="90" s="1"/>
  <c r="CZ107" i="9"/>
  <c r="DA103" i="9"/>
  <c r="DA99" i="9"/>
  <c r="CB10" i="89"/>
  <c r="CB10" i="91"/>
  <c r="CB10" i="90"/>
  <c r="CB9" i="89"/>
  <c r="CB9" i="91"/>
  <c r="CB9" i="90"/>
  <c r="CB23" i="89"/>
  <c r="CB23" i="91"/>
  <c r="CB23" i="90"/>
  <c r="BX11" i="89"/>
  <c r="BX11" i="91"/>
  <c r="BX11" i="90"/>
  <c r="BX15" i="89"/>
  <c r="BX15" i="91"/>
  <c r="BX15" i="90"/>
  <c r="CF20" i="89"/>
  <c r="CF20" i="91"/>
  <c r="CF20" i="90"/>
  <c r="CF23" i="89"/>
  <c r="CF23" i="91"/>
  <c r="CF23" i="90"/>
  <c r="CF6" i="89"/>
  <c r="CF6" i="91"/>
  <c r="CF6" i="90"/>
  <c r="BT19" i="89"/>
  <c r="BT19" i="91"/>
  <c r="BT19" i="90"/>
  <c r="BT10" i="89"/>
  <c r="BT10" i="91"/>
  <c r="BT10" i="90"/>
  <c r="BT12" i="89"/>
  <c r="BT12" i="91"/>
  <c r="BT12" i="90"/>
  <c r="BP7" i="89"/>
  <c r="BP7" i="91"/>
  <c r="BP7" i="90"/>
  <c r="BK11" i="89"/>
  <c r="BK11" i="91"/>
  <c r="BK11" i="90"/>
  <c r="BE9" i="89"/>
  <c r="BF9" i="89" s="1"/>
  <c r="BE9" i="91"/>
  <c r="BF9" i="91" s="1"/>
  <c r="BE9" i="90"/>
  <c r="BF9" i="90" s="1"/>
  <c r="BE10" i="89"/>
  <c r="BF10" i="89" s="1"/>
  <c r="BE10" i="91"/>
  <c r="BF10" i="91" s="1"/>
  <c r="BE10" i="90"/>
  <c r="BF10" i="90" s="1"/>
  <c r="BT13" i="89"/>
  <c r="BT13" i="91"/>
  <c r="BT13" i="90"/>
  <c r="BT23" i="89"/>
  <c r="BT23" i="91"/>
  <c r="BT23" i="90"/>
  <c r="BX8" i="89"/>
  <c r="BX8" i="91"/>
  <c r="BX8" i="90"/>
  <c r="CF12" i="89"/>
  <c r="CF12" i="91"/>
  <c r="CF12" i="90"/>
  <c r="BT22" i="89"/>
  <c r="BT22" i="91"/>
  <c r="BT22" i="90"/>
  <c r="BT24" i="89"/>
  <c r="BT24" i="91"/>
  <c r="BT24" i="90"/>
  <c r="BK21" i="89"/>
  <c r="BK21" i="91"/>
  <c r="BK21" i="90"/>
  <c r="A31" i="20"/>
  <c r="G31" i="20" s="1"/>
  <c r="K31" i="20" s="1"/>
  <c r="DA107" i="9"/>
  <c r="JB5" i="9"/>
  <c r="JB8" i="9" s="1"/>
  <c r="A23" i="20"/>
  <c r="G23" i="20" s="1"/>
  <c r="K23" i="20" s="1"/>
  <c r="DL40" i="9"/>
  <c r="N14" i="3"/>
  <c r="CW106" i="9"/>
  <c r="CW109" i="9"/>
  <c r="CW108" i="9"/>
  <c r="CW107" i="9"/>
  <c r="CP109" i="9"/>
  <c r="CP108" i="9"/>
  <c r="CP107" i="9"/>
  <c r="CJ106" i="9"/>
  <c r="CJ109" i="9"/>
  <c r="CJ108" i="9"/>
  <c r="CJ107" i="9"/>
  <c r="CC109" i="9"/>
  <c r="CC108" i="9"/>
  <c r="CC107" i="9"/>
  <c r="CB20" i="89"/>
  <c r="CB20" i="91"/>
  <c r="CB20" i="90"/>
  <c r="CB8" i="89"/>
  <c r="CB8" i="91"/>
  <c r="CB8" i="90"/>
  <c r="BX19" i="89"/>
  <c r="BX19" i="91"/>
  <c r="BX19" i="90"/>
  <c r="CF19" i="89"/>
  <c r="CF19" i="91"/>
  <c r="CF19" i="90"/>
  <c r="CF24" i="89"/>
  <c r="CF24" i="91"/>
  <c r="CF24" i="90"/>
  <c r="BT21" i="89"/>
  <c r="BT21" i="91"/>
  <c r="BT21" i="90"/>
  <c r="BT18" i="89"/>
  <c r="BT18" i="91"/>
  <c r="BT18" i="90"/>
  <c r="BP21" i="89"/>
  <c r="BP21" i="91"/>
  <c r="BP21" i="90"/>
  <c r="BK24" i="89"/>
  <c r="BK24" i="91"/>
  <c r="BK24" i="90"/>
  <c r="BE5" i="89"/>
  <c r="BF5" i="89" s="1"/>
  <c r="BE5" i="91"/>
  <c r="BF5" i="91" s="1"/>
  <c r="BE5" i="90"/>
  <c r="BF5" i="90" s="1"/>
  <c r="BE14" i="89"/>
  <c r="BF14" i="89" s="1"/>
  <c r="BE14" i="91"/>
  <c r="BF14" i="91" s="1"/>
  <c r="BE14" i="90"/>
  <c r="BF14" i="90" s="1"/>
  <c r="DH106" i="9"/>
  <c r="DH109" i="9"/>
  <c r="DH108" i="9"/>
  <c r="DH107" i="9"/>
  <c r="BX13" i="89"/>
  <c r="BX13" i="91"/>
  <c r="BX13" i="90"/>
  <c r="BX14" i="89"/>
  <c r="BX14" i="91"/>
  <c r="BX14" i="90"/>
  <c r="CF11" i="89"/>
  <c r="CF11" i="91"/>
  <c r="CF11" i="90"/>
  <c r="BE18" i="89"/>
  <c r="BF18" i="89" s="1"/>
  <c r="BE18" i="91"/>
  <c r="BF18" i="91" s="1"/>
  <c r="BE18" i="90"/>
  <c r="BF18" i="90" s="1"/>
  <c r="CT106" i="9"/>
  <c r="CT109" i="9"/>
  <c r="CT108" i="9"/>
  <c r="CT107" i="9"/>
  <c r="BY106" i="9"/>
  <c r="BY109" i="9"/>
  <c r="BY108" i="9"/>
  <c r="BY107" i="9"/>
  <c r="BK20" i="89"/>
  <c r="BK20" i="91"/>
  <c r="BK20" i="90"/>
  <c r="CR55" i="9"/>
  <c r="CS55" i="9" s="1"/>
  <c r="BY49" i="9"/>
  <c r="CR106" i="9"/>
  <c r="CS106" i="9" s="1"/>
  <c r="CR109" i="9"/>
  <c r="CS109" i="9" s="1"/>
  <c r="CR108" i="9"/>
  <c r="CS108" i="9" s="1"/>
  <c r="CR107" i="9"/>
  <c r="CS107" i="9" s="1"/>
  <c r="CE106" i="9"/>
  <c r="CE109" i="9"/>
  <c r="CE108" i="9"/>
  <c r="CE107" i="9"/>
  <c r="CB21" i="89"/>
  <c r="CB21" i="91"/>
  <c r="CB21" i="90"/>
  <c r="BX17" i="89"/>
  <c r="BX17" i="91"/>
  <c r="BX17" i="90"/>
  <c r="BP19" i="89"/>
  <c r="BP19" i="91"/>
  <c r="BP19" i="90"/>
  <c r="BP14" i="89"/>
  <c r="BP14" i="91"/>
  <c r="BP14" i="90"/>
  <c r="BK14" i="89"/>
  <c r="BK14" i="91"/>
  <c r="BK14" i="90"/>
  <c r="BE24" i="89"/>
  <c r="BF24" i="89" s="1"/>
  <c r="BE24" i="91"/>
  <c r="BF24" i="91" s="1"/>
  <c r="BE24" i="90"/>
  <c r="BF24" i="90" s="1"/>
  <c r="N21" i="3"/>
  <c r="CB13" i="89"/>
  <c r="CB13" i="91"/>
  <c r="CB13" i="90"/>
  <c r="CB17" i="89"/>
  <c r="CB17" i="91"/>
  <c r="CB17" i="90"/>
  <c r="CB7" i="89"/>
  <c r="CB7" i="91"/>
  <c r="CB7" i="90"/>
  <c r="CF18" i="89"/>
  <c r="CF18" i="91"/>
  <c r="CF18" i="90"/>
  <c r="CF21" i="89"/>
  <c r="CF21" i="91"/>
  <c r="CF21" i="90"/>
  <c r="BT14" i="89"/>
  <c r="BT14" i="91"/>
  <c r="BT14" i="90"/>
  <c r="BT7" i="89"/>
  <c r="BT7" i="91"/>
  <c r="BT7" i="90"/>
  <c r="BP6" i="89"/>
  <c r="BP6" i="91"/>
  <c r="BP6" i="90"/>
  <c r="BK10" i="89"/>
  <c r="BK10" i="91"/>
  <c r="BK10" i="90"/>
  <c r="BK7" i="89"/>
  <c r="BK7" i="91"/>
  <c r="BK7" i="90"/>
  <c r="BE22" i="89"/>
  <c r="BF22" i="89" s="1"/>
  <c r="BE22" i="91"/>
  <c r="BF22" i="91" s="1"/>
  <c r="BE22" i="90"/>
  <c r="BF22" i="90" s="1"/>
  <c r="DA102" i="9"/>
  <c r="CR53" i="9"/>
  <c r="CS53" i="9" s="1"/>
  <c r="CV106" i="9"/>
  <c r="CV109" i="9"/>
  <c r="CV108" i="9"/>
  <c r="CV107" i="9"/>
  <c r="CN106" i="9"/>
  <c r="CN109" i="9"/>
  <c r="CN108" i="9"/>
  <c r="CN107" i="9"/>
  <c r="CI106" i="9"/>
  <c r="CI109" i="9"/>
  <c r="CI108" i="9"/>
  <c r="CI107" i="9"/>
  <c r="CB106" i="9"/>
  <c r="CB109" i="9"/>
  <c r="CB108" i="9"/>
  <c r="CB107" i="9"/>
  <c r="CB12" i="89"/>
  <c r="CB12" i="91"/>
  <c r="CB12" i="90"/>
  <c r="CB24" i="89"/>
  <c r="CB24" i="91"/>
  <c r="CB24" i="90"/>
  <c r="CB6" i="89"/>
  <c r="CB6" i="91"/>
  <c r="CB6" i="90"/>
  <c r="CF17" i="89"/>
  <c r="CF17" i="91"/>
  <c r="CF17" i="90"/>
  <c r="CF14" i="89"/>
  <c r="CF14" i="91"/>
  <c r="CF14" i="90"/>
  <c r="BP9" i="89"/>
  <c r="BP9" i="91"/>
  <c r="BP9" i="90"/>
  <c r="BK18" i="89"/>
  <c r="BK18" i="91"/>
  <c r="BK18" i="90"/>
  <c r="BK6" i="89"/>
  <c r="BK6" i="91"/>
  <c r="BK6" i="90"/>
  <c r="BE20" i="89"/>
  <c r="BF20" i="89" s="1"/>
  <c r="BE20" i="91"/>
  <c r="BF20" i="91" s="1"/>
  <c r="BE20" i="90"/>
  <c r="BF20" i="90" s="1"/>
  <c r="BE19" i="89"/>
  <c r="BF19" i="89" s="1"/>
  <c r="BE19" i="91"/>
  <c r="BF19" i="91" s="1"/>
  <c r="BE19" i="90"/>
  <c r="BF19" i="90" s="1"/>
  <c r="AE59" i="9"/>
  <c r="CE47" i="9"/>
  <c r="CE43" i="9"/>
  <c r="BX10" i="89"/>
  <c r="BX10" i="91"/>
  <c r="BX10" i="90"/>
  <c r="CB22" i="89"/>
  <c r="CB22" i="91"/>
  <c r="CB22" i="90"/>
  <c r="BX21" i="89"/>
  <c r="BX21" i="91"/>
  <c r="BX21" i="90"/>
  <c r="CF15" i="89"/>
  <c r="CF15" i="91"/>
  <c r="CF15" i="90"/>
  <c r="CF9" i="89"/>
  <c r="CF9" i="91"/>
  <c r="CF9" i="90"/>
  <c r="BT9" i="89"/>
  <c r="BT9" i="91"/>
  <c r="BT9" i="90"/>
  <c r="BT17" i="89"/>
  <c r="BT17" i="91"/>
  <c r="BT17" i="90"/>
  <c r="BT6" i="89"/>
  <c r="BT6" i="91"/>
  <c r="BT6" i="90"/>
  <c r="BP11" i="89"/>
  <c r="BP11" i="91"/>
  <c r="BP11" i="90"/>
  <c r="BK17" i="89"/>
  <c r="BK17" i="91"/>
  <c r="BK17" i="90"/>
  <c r="BK15" i="89"/>
  <c r="BK15" i="91"/>
  <c r="BK15" i="90"/>
  <c r="BE23" i="89"/>
  <c r="BF23" i="89" s="1"/>
  <c r="BE23" i="91"/>
  <c r="BF23" i="91" s="1"/>
  <c r="BE23" i="90"/>
  <c r="BF23" i="90" s="1"/>
  <c r="BE7" i="89"/>
  <c r="BF7" i="89" s="1"/>
  <c r="BE7" i="91"/>
  <c r="BF7" i="91" s="1"/>
  <c r="BE7" i="90"/>
  <c r="BF7" i="90" s="1"/>
  <c r="BP17" i="89"/>
  <c r="BP17" i="91"/>
  <c r="BP17" i="90"/>
  <c r="CF106" i="9"/>
  <c r="CF109" i="9"/>
  <c r="CF108" i="9"/>
  <c r="CF107" i="9"/>
  <c r="BX9" i="89"/>
  <c r="BX9" i="91"/>
  <c r="BX9" i="90"/>
  <c r="HC23" i="9"/>
  <c r="HF26" i="9"/>
  <c r="T18" i="3"/>
  <c r="N19" i="3"/>
  <c r="HF24" i="9"/>
  <c r="A19" i="20"/>
  <c r="G19" i="20" s="1"/>
  <c r="K19" i="20" s="1"/>
  <c r="N28" i="3"/>
  <c r="DI109" i="9"/>
  <c r="DI108" i="9"/>
  <c r="DB106" i="9"/>
  <c r="DB109" i="9"/>
  <c r="DB108" i="9"/>
  <c r="DB107" i="9"/>
  <c r="CU109" i="9"/>
  <c r="CU108" i="9"/>
  <c r="CU107" i="9"/>
  <c r="CM106" i="9"/>
  <c r="CM109" i="9"/>
  <c r="CM108" i="9"/>
  <c r="CM107" i="9"/>
  <c r="CH109" i="9"/>
  <c r="CH108" i="9"/>
  <c r="CH107" i="9"/>
  <c r="CA106" i="9"/>
  <c r="CA109" i="9"/>
  <c r="CA108" i="9"/>
  <c r="CA107" i="9"/>
  <c r="BX20" i="89"/>
  <c r="BX20" i="91"/>
  <c r="BX20" i="90"/>
  <c r="CB11" i="89"/>
  <c r="CB11" i="91"/>
  <c r="CB11" i="90"/>
  <c r="CB15" i="89"/>
  <c r="CB15" i="91"/>
  <c r="CB15" i="90"/>
  <c r="BX18" i="89"/>
  <c r="BX18" i="91"/>
  <c r="BX18" i="90"/>
  <c r="BX16" i="89"/>
  <c r="BX16" i="91"/>
  <c r="BX16" i="90"/>
  <c r="CF13" i="89"/>
  <c r="CF13" i="91"/>
  <c r="CF13" i="90"/>
  <c r="CF8" i="89"/>
  <c r="CF8" i="91"/>
  <c r="CF8" i="90"/>
  <c r="BT8" i="89"/>
  <c r="BT8" i="91"/>
  <c r="BT8" i="90"/>
  <c r="BT15" i="89"/>
  <c r="BT15" i="91"/>
  <c r="BT15" i="90"/>
  <c r="BP22" i="89"/>
  <c r="BP22" i="91"/>
  <c r="BP22" i="90"/>
  <c r="BP10" i="89"/>
  <c r="BP10" i="91"/>
  <c r="BP10" i="90"/>
  <c r="BP23" i="89"/>
  <c r="BP23" i="91"/>
  <c r="BP23" i="90"/>
  <c r="BK8" i="89"/>
  <c r="BK8" i="91"/>
  <c r="BK8" i="90"/>
  <c r="BK19" i="89"/>
  <c r="BK19" i="91"/>
  <c r="BK19" i="90"/>
  <c r="BE17" i="89"/>
  <c r="BF17" i="89" s="1"/>
  <c r="BE17" i="91"/>
  <c r="BF17" i="91" s="1"/>
  <c r="BE17" i="90"/>
  <c r="BF17" i="90" s="1"/>
  <c r="BE11" i="89"/>
  <c r="BF11" i="89" s="1"/>
  <c r="BE11" i="91"/>
  <c r="BF11" i="91" s="1"/>
  <c r="BE11" i="90"/>
  <c r="BF11" i="90" s="1"/>
  <c r="BE6" i="89"/>
  <c r="BF6" i="89" s="1"/>
  <c r="BE6" i="91"/>
  <c r="BF6" i="91" s="1"/>
  <c r="BE6" i="90"/>
  <c r="BF6" i="90" s="1"/>
  <c r="DI107" i="9"/>
  <c r="CB13" i="86"/>
  <c r="CB13" i="88"/>
  <c r="CB13" i="87"/>
  <c r="CB18" i="86"/>
  <c r="CB18" i="88"/>
  <c r="CB18" i="87"/>
  <c r="CB16" i="86"/>
  <c r="CB16" i="88"/>
  <c r="CB16" i="87"/>
  <c r="BX14" i="86"/>
  <c r="BX14" i="88"/>
  <c r="BX14" i="87"/>
  <c r="CF18" i="86"/>
  <c r="CF18" i="88"/>
  <c r="CF18" i="87"/>
  <c r="CF7" i="86"/>
  <c r="CF7" i="88"/>
  <c r="CF7" i="87"/>
  <c r="BT13" i="86"/>
  <c r="BT13" i="88"/>
  <c r="BT13" i="87"/>
  <c r="BT7" i="86"/>
  <c r="BT7" i="88"/>
  <c r="BT7" i="87"/>
  <c r="BP15" i="86"/>
  <c r="BP15" i="88"/>
  <c r="BP15" i="87"/>
  <c r="BP17" i="86"/>
  <c r="BP17" i="88"/>
  <c r="BP17" i="87"/>
  <c r="BP12" i="86"/>
  <c r="BP12" i="88"/>
  <c r="BP12" i="87"/>
  <c r="BP6" i="86"/>
  <c r="BP6" i="88"/>
  <c r="BP6" i="87"/>
  <c r="BK9" i="86"/>
  <c r="BK9" i="88"/>
  <c r="BK9" i="87"/>
  <c r="BE18" i="86"/>
  <c r="BF18" i="86" s="1"/>
  <c r="BE18" i="88"/>
  <c r="BF18" i="88" s="1"/>
  <c r="BE18" i="87"/>
  <c r="BF18" i="87" s="1"/>
  <c r="BE22" i="86"/>
  <c r="BF22" i="86" s="1"/>
  <c r="BE22" i="88"/>
  <c r="BF22" i="88" s="1"/>
  <c r="BE22" i="87"/>
  <c r="BF22" i="87" s="1"/>
  <c r="BE13" i="86"/>
  <c r="BF13" i="86" s="1"/>
  <c r="BE13" i="88"/>
  <c r="BF13" i="88" s="1"/>
  <c r="BE13" i="87"/>
  <c r="BF13" i="87" s="1"/>
  <c r="BZ56" i="9"/>
  <c r="DA106" i="9"/>
  <c r="CB12" i="86"/>
  <c r="CB12" i="88"/>
  <c r="CB12" i="87"/>
  <c r="CB14" i="86"/>
  <c r="CB14" i="88"/>
  <c r="CB14" i="87"/>
  <c r="BX9" i="86"/>
  <c r="BX9" i="88"/>
  <c r="BX9" i="87"/>
  <c r="CF17" i="86"/>
  <c r="CF17" i="88"/>
  <c r="CF17" i="87"/>
  <c r="CF16" i="86"/>
  <c r="CF16" i="88"/>
  <c r="CF16" i="87"/>
  <c r="BT16" i="86"/>
  <c r="BT16" i="88"/>
  <c r="BT16" i="87"/>
  <c r="BP13" i="86"/>
  <c r="BP13" i="88"/>
  <c r="BP13" i="87"/>
  <c r="BP8" i="86"/>
  <c r="BP8" i="88"/>
  <c r="BP8" i="87"/>
  <c r="BP9" i="86"/>
  <c r="BP9" i="88"/>
  <c r="BP9" i="87"/>
  <c r="BK18" i="86"/>
  <c r="BK18" i="88"/>
  <c r="BK18" i="87"/>
  <c r="BK22" i="86"/>
  <c r="BK22" i="88"/>
  <c r="BK22" i="87"/>
  <c r="BK20" i="86"/>
  <c r="BK20" i="88"/>
  <c r="BK20" i="87"/>
  <c r="BE15" i="86"/>
  <c r="BF15" i="86" s="1"/>
  <c r="BE15" i="88"/>
  <c r="BF15" i="88" s="1"/>
  <c r="BE15" i="87"/>
  <c r="BF15" i="87" s="1"/>
  <c r="CL106" i="9"/>
  <c r="BX10" i="86"/>
  <c r="BX10" i="88"/>
  <c r="BX10" i="87"/>
  <c r="CB9" i="86"/>
  <c r="CB9" i="88"/>
  <c r="CB9" i="87"/>
  <c r="BX8" i="86"/>
  <c r="BX8" i="88"/>
  <c r="BX8" i="87"/>
  <c r="BX15" i="86"/>
  <c r="BX15" i="88"/>
  <c r="BX15" i="87"/>
  <c r="CF15" i="86"/>
  <c r="CF15" i="88"/>
  <c r="CF15" i="87"/>
  <c r="CF23" i="86"/>
  <c r="CF23" i="88"/>
  <c r="CF23" i="87"/>
  <c r="CF12" i="86"/>
  <c r="CF12" i="88"/>
  <c r="CF12" i="87"/>
  <c r="CF6" i="86"/>
  <c r="CF6" i="88"/>
  <c r="CF6" i="87"/>
  <c r="BT9" i="86"/>
  <c r="BT9" i="88"/>
  <c r="BT9" i="87"/>
  <c r="BT19" i="86"/>
  <c r="BT19" i="88"/>
  <c r="BT19" i="87"/>
  <c r="BT12" i="86"/>
  <c r="BT12" i="88"/>
  <c r="BT12" i="87"/>
  <c r="BT6" i="86"/>
  <c r="BT6" i="88"/>
  <c r="BT6" i="87"/>
  <c r="BK17" i="86"/>
  <c r="BK17" i="88"/>
  <c r="BK17" i="87"/>
  <c r="BK11" i="86"/>
  <c r="BK11" i="88"/>
  <c r="BK11" i="87"/>
  <c r="BK15" i="86"/>
  <c r="BK15" i="88"/>
  <c r="BK15" i="87"/>
  <c r="BE10" i="86"/>
  <c r="BF10" i="86" s="1"/>
  <c r="BE10" i="88"/>
  <c r="BF10" i="88" s="1"/>
  <c r="BE10" i="87"/>
  <c r="BF10" i="87" s="1"/>
  <c r="AX2" i="88"/>
  <c r="AP2" i="88"/>
  <c r="AU2" i="88"/>
  <c r="AW2" i="88"/>
  <c r="AV2" i="88"/>
  <c r="AT2" i="88"/>
  <c r="AS2" i="88"/>
  <c r="AZ2" i="88"/>
  <c r="AR2" i="88"/>
  <c r="AY2" i="88"/>
  <c r="AQ2" i="88"/>
  <c r="AV2" i="87"/>
  <c r="AT2" i="87"/>
  <c r="AX2" i="87"/>
  <c r="AS2" i="87"/>
  <c r="AZ2" i="87"/>
  <c r="AR2" i="87"/>
  <c r="AY2" i="87"/>
  <c r="AQ2" i="87"/>
  <c r="AW2" i="87"/>
  <c r="AU2" i="87"/>
  <c r="AP2" i="87"/>
  <c r="BZ57" i="9"/>
  <c r="BZ46" i="9"/>
  <c r="HQ36" i="9"/>
  <c r="DI106" i="9"/>
  <c r="CZ106" i="9"/>
  <c r="CU106" i="9"/>
  <c r="CP106" i="9"/>
  <c r="CH106" i="9"/>
  <c r="CC106" i="9"/>
  <c r="BX20" i="86"/>
  <c r="BX20" i="88"/>
  <c r="BX20" i="87"/>
  <c r="CB8" i="86"/>
  <c r="CB8" i="88"/>
  <c r="CB8" i="87"/>
  <c r="CB15" i="86"/>
  <c r="CB15" i="88"/>
  <c r="CB15" i="87"/>
  <c r="BX17" i="86"/>
  <c r="BX17" i="88"/>
  <c r="BX17" i="87"/>
  <c r="BX19" i="86"/>
  <c r="BX19" i="88"/>
  <c r="BX19" i="87"/>
  <c r="BX7" i="86"/>
  <c r="BX7" i="88"/>
  <c r="BX7" i="87"/>
  <c r="CF13" i="86"/>
  <c r="CF13" i="88"/>
  <c r="CF13" i="87"/>
  <c r="CF24" i="86"/>
  <c r="CF24" i="88"/>
  <c r="CF24" i="87"/>
  <c r="BT18" i="86"/>
  <c r="BT18" i="88"/>
  <c r="BT18" i="87"/>
  <c r="BP22" i="86"/>
  <c r="BP22" i="88"/>
  <c r="BP22" i="87"/>
  <c r="BP14" i="86"/>
  <c r="BP14" i="88"/>
  <c r="BP14" i="87"/>
  <c r="BP23" i="86"/>
  <c r="BP23" i="88"/>
  <c r="BP23" i="87"/>
  <c r="BK8" i="86"/>
  <c r="BK8" i="88"/>
  <c r="BK8" i="87"/>
  <c r="BK24" i="86"/>
  <c r="BK24" i="88"/>
  <c r="BK24" i="87"/>
  <c r="BK19" i="86"/>
  <c r="BK19" i="88"/>
  <c r="BK19" i="87"/>
  <c r="BE21" i="86"/>
  <c r="BF21" i="86" s="1"/>
  <c r="BE21" i="88"/>
  <c r="BF21" i="88" s="1"/>
  <c r="BE21" i="87"/>
  <c r="BF21" i="87" s="1"/>
  <c r="BE11" i="86"/>
  <c r="BF11" i="86" s="1"/>
  <c r="BE11" i="88"/>
  <c r="BF11" i="88" s="1"/>
  <c r="BE11" i="87"/>
  <c r="BF11" i="87" s="1"/>
  <c r="BE24" i="86"/>
  <c r="BF24" i="86" s="1"/>
  <c r="BE24" i="88"/>
  <c r="BF24" i="88" s="1"/>
  <c r="BE24" i="87"/>
  <c r="BF24" i="87" s="1"/>
  <c r="BE6" i="86"/>
  <c r="BF6" i="86" s="1"/>
  <c r="BE6" i="88"/>
  <c r="BF6" i="88" s="1"/>
  <c r="BE6" i="87"/>
  <c r="BF6" i="87" s="1"/>
  <c r="BE5" i="86"/>
  <c r="BF5" i="86" s="1"/>
  <c r="BE5" i="88"/>
  <c r="BF5" i="88" s="1"/>
  <c r="BE5" i="87"/>
  <c r="BF5" i="87" s="1"/>
  <c r="BE14" i="86"/>
  <c r="BF14" i="86" s="1"/>
  <c r="BE14" i="88"/>
  <c r="BF14" i="88" s="1"/>
  <c r="BE14" i="87"/>
  <c r="BF14" i="87" s="1"/>
  <c r="BX13" i="86"/>
  <c r="BX13" i="88"/>
  <c r="BX13" i="87"/>
  <c r="CB17" i="86"/>
  <c r="CB17" i="88"/>
  <c r="CB17" i="87"/>
  <c r="CB19" i="86"/>
  <c r="CB19" i="88"/>
  <c r="CB19" i="87"/>
  <c r="CB7" i="86"/>
  <c r="CB7" i="88"/>
  <c r="CB7" i="87"/>
  <c r="BX24" i="86"/>
  <c r="BX24" i="88"/>
  <c r="BX24" i="87"/>
  <c r="BX6" i="86"/>
  <c r="BX6" i="88"/>
  <c r="BX6" i="87"/>
  <c r="CF11" i="86"/>
  <c r="CF11" i="88"/>
  <c r="CF11" i="87"/>
  <c r="CF21" i="86"/>
  <c r="CF21" i="88"/>
  <c r="CF21" i="87"/>
  <c r="BT14" i="86"/>
  <c r="BT14" i="88"/>
  <c r="BT14" i="87"/>
  <c r="BT23" i="86"/>
  <c r="BT23" i="88"/>
  <c r="BT23" i="87"/>
  <c r="BP20" i="86"/>
  <c r="BP20" i="88"/>
  <c r="BP20" i="87"/>
  <c r="BK10" i="86"/>
  <c r="BK10" i="88"/>
  <c r="BK10" i="87"/>
  <c r="BK23" i="86"/>
  <c r="BK23" i="88"/>
  <c r="BK23" i="87"/>
  <c r="BK16" i="86"/>
  <c r="BK16" i="88"/>
  <c r="BK16" i="87"/>
  <c r="BK7" i="86"/>
  <c r="BK7" i="88"/>
  <c r="BK7" i="87"/>
  <c r="BE16" i="86"/>
  <c r="BF16" i="86" s="1"/>
  <c r="BE16" i="88"/>
  <c r="BF16" i="88" s="1"/>
  <c r="BE16" i="87"/>
  <c r="BF16" i="87" s="1"/>
  <c r="BX12" i="86"/>
  <c r="BX12" i="88"/>
  <c r="BX12" i="87"/>
  <c r="CB24" i="86"/>
  <c r="CB24" i="88"/>
  <c r="CB24" i="87"/>
  <c r="CB6" i="86"/>
  <c r="CB6" i="88"/>
  <c r="CB6" i="87"/>
  <c r="BX22" i="86"/>
  <c r="BX22" i="88"/>
  <c r="BX22" i="87"/>
  <c r="BX23" i="86"/>
  <c r="BX23" i="88"/>
  <c r="BX23" i="87"/>
  <c r="CF22" i="86"/>
  <c r="CF22" i="88"/>
  <c r="CF22" i="87"/>
  <c r="CF10" i="86"/>
  <c r="CF10" i="88"/>
  <c r="CF10" i="87"/>
  <c r="CF14" i="86"/>
  <c r="CF14" i="88"/>
  <c r="CF14" i="87"/>
  <c r="BT11" i="86"/>
  <c r="BT11" i="88"/>
  <c r="BT11" i="87"/>
  <c r="BP18" i="86"/>
  <c r="BP18" i="88"/>
  <c r="BP18" i="87"/>
  <c r="BP24" i="86"/>
  <c r="BP24" i="88"/>
  <c r="BP24" i="87"/>
  <c r="BK13" i="86"/>
  <c r="BK13" i="88"/>
  <c r="BK13" i="87"/>
  <c r="BK12" i="86"/>
  <c r="BK12" i="88"/>
  <c r="BK12" i="87"/>
  <c r="BK6" i="86"/>
  <c r="BK6" i="88"/>
  <c r="BK6" i="87"/>
  <c r="BE20" i="86"/>
  <c r="BF20" i="86" s="1"/>
  <c r="BE20" i="88"/>
  <c r="BF20" i="88" s="1"/>
  <c r="BE20" i="87"/>
  <c r="BF20" i="87" s="1"/>
  <c r="BE12" i="86"/>
  <c r="BF12" i="86" s="1"/>
  <c r="BE12" i="88"/>
  <c r="BF12" i="88" s="1"/>
  <c r="BE12" i="87"/>
  <c r="BF12" i="87" s="1"/>
  <c r="BE19" i="86"/>
  <c r="BF19" i="86" s="1"/>
  <c r="BE19" i="88"/>
  <c r="BF19" i="88" s="1"/>
  <c r="BE19" i="87"/>
  <c r="BF19" i="87" s="1"/>
  <c r="BZ58" i="9"/>
  <c r="CB10" i="86"/>
  <c r="CB10" i="88"/>
  <c r="CB10" i="87"/>
  <c r="CB22" i="86"/>
  <c r="CB22" i="88"/>
  <c r="CB22" i="87"/>
  <c r="CB23" i="86"/>
  <c r="CB23" i="88"/>
  <c r="CB23" i="87"/>
  <c r="BX21" i="86"/>
  <c r="BX21" i="88"/>
  <c r="BX21" i="87"/>
  <c r="BX11" i="86"/>
  <c r="BX11" i="88"/>
  <c r="BX11" i="87"/>
  <c r="CF20" i="86"/>
  <c r="CF20" i="88"/>
  <c r="CF20" i="87"/>
  <c r="CF9" i="86"/>
  <c r="CF9" i="88"/>
  <c r="CF9" i="87"/>
  <c r="BT22" i="86"/>
  <c r="BT22" i="88"/>
  <c r="BT22" i="87"/>
  <c r="BT17" i="86"/>
  <c r="BT17" i="88"/>
  <c r="BT17" i="87"/>
  <c r="BT10" i="86"/>
  <c r="BT10" i="88"/>
  <c r="BT10" i="87"/>
  <c r="BT24" i="86"/>
  <c r="BT24" i="88"/>
  <c r="BT24" i="87"/>
  <c r="BP11" i="86"/>
  <c r="BP11" i="88"/>
  <c r="BP11" i="87"/>
  <c r="BP7" i="86"/>
  <c r="BP7" i="88"/>
  <c r="BP7" i="87"/>
  <c r="BK21" i="86"/>
  <c r="BK21" i="88"/>
  <c r="BK21" i="87"/>
  <c r="BE9" i="86"/>
  <c r="BF9" i="86" s="1"/>
  <c r="BE9" i="88"/>
  <c r="BF9" i="88" s="1"/>
  <c r="BE9" i="87"/>
  <c r="BF9" i="87" s="1"/>
  <c r="BE23" i="86"/>
  <c r="BF23" i="86" s="1"/>
  <c r="BE23" i="88"/>
  <c r="BF23" i="88" s="1"/>
  <c r="BE23" i="87"/>
  <c r="BF23" i="87" s="1"/>
  <c r="BE7" i="86"/>
  <c r="BF7" i="86" s="1"/>
  <c r="BE7" i="88"/>
  <c r="BF7" i="88" s="1"/>
  <c r="BE7" i="87"/>
  <c r="BF7" i="87" s="1"/>
  <c r="CB20" i="86"/>
  <c r="CB20" i="88"/>
  <c r="CB20" i="87"/>
  <c r="CB21" i="86"/>
  <c r="CB21" i="88"/>
  <c r="CB21" i="87"/>
  <c r="CB11" i="86"/>
  <c r="CB11" i="88"/>
  <c r="CB11" i="87"/>
  <c r="BX18" i="86"/>
  <c r="BX18" i="88"/>
  <c r="BX18" i="87"/>
  <c r="BX16" i="86"/>
  <c r="BX16" i="88"/>
  <c r="BX16" i="87"/>
  <c r="CF19" i="86"/>
  <c r="CF19" i="88"/>
  <c r="CF19" i="87"/>
  <c r="CF8" i="86"/>
  <c r="CF8" i="88"/>
  <c r="CF8" i="87"/>
  <c r="BT8" i="86"/>
  <c r="BT8" i="88"/>
  <c r="BT8" i="87"/>
  <c r="BT21" i="86"/>
  <c r="BT21" i="88"/>
  <c r="BT21" i="87"/>
  <c r="BT20" i="86"/>
  <c r="BT20" i="88"/>
  <c r="BT20" i="87"/>
  <c r="BT15" i="86"/>
  <c r="BT15" i="88"/>
  <c r="BT15" i="87"/>
  <c r="BP19" i="86"/>
  <c r="BP19" i="88"/>
  <c r="BP19" i="87"/>
  <c r="BP10" i="86"/>
  <c r="BP10" i="88"/>
  <c r="BP10" i="87"/>
  <c r="BP21" i="86"/>
  <c r="BP21" i="88"/>
  <c r="BP21" i="87"/>
  <c r="BP16" i="86"/>
  <c r="BP16" i="88"/>
  <c r="BP16" i="87"/>
  <c r="BK14" i="86"/>
  <c r="BK14" i="88"/>
  <c r="BK14" i="87"/>
  <c r="BE17" i="86"/>
  <c r="BF17" i="86" s="1"/>
  <c r="BE17" i="88"/>
  <c r="BF17" i="88" s="1"/>
  <c r="BE17" i="87"/>
  <c r="BF17" i="87" s="1"/>
  <c r="AY2" i="86"/>
  <c r="AQ2" i="86"/>
  <c r="AX2" i="86"/>
  <c r="AP2" i="86"/>
  <c r="AW2" i="86"/>
  <c r="AO2" i="86"/>
  <c r="AV2" i="86"/>
  <c r="AU2" i="86"/>
  <c r="AT2" i="86"/>
  <c r="AS2" i="86"/>
  <c r="AR2" i="86"/>
  <c r="DA105" i="9"/>
  <c r="DA104" i="9"/>
  <c r="CV105" i="9"/>
  <c r="CV104" i="9"/>
  <c r="CI105" i="9"/>
  <c r="CI104" i="9"/>
  <c r="CD105" i="9"/>
  <c r="CD104" i="9"/>
  <c r="BY105" i="9"/>
  <c r="BY104" i="9"/>
  <c r="CL105" i="9"/>
  <c r="CL104" i="9"/>
  <c r="DI103" i="9"/>
  <c r="DI105" i="9"/>
  <c r="DI104" i="9"/>
  <c r="CZ103" i="9"/>
  <c r="CZ105" i="9"/>
  <c r="CZ104" i="9"/>
  <c r="CU105" i="9"/>
  <c r="CU104" i="9"/>
  <c r="CP105" i="9"/>
  <c r="CP104" i="9"/>
  <c r="CK61" i="9"/>
  <c r="CH60" i="9"/>
  <c r="CH105" i="9"/>
  <c r="CH104" i="9"/>
  <c r="CC61" i="9"/>
  <c r="CC105" i="9"/>
  <c r="CC104" i="9"/>
  <c r="DH105" i="9"/>
  <c r="DH104" i="9"/>
  <c r="CY105" i="9"/>
  <c r="CY104" i="9"/>
  <c r="CT105" i="9"/>
  <c r="CT104" i="9"/>
  <c r="CN105" i="9"/>
  <c r="CN104" i="9"/>
  <c r="CK105" i="9"/>
  <c r="CK104" i="9"/>
  <c r="CF105" i="9"/>
  <c r="CF104" i="9"/>
  <c r="CB105" i="9"/>
  <c r="CB104" i="9"/>
  <c r="DB103" i="9"/>
  <c r="DB105" i="9"/>
  <c r="DB104" i="9"/>
  <c r="CW103" i="9"/>
  <c r="CW105" i="9"/>
  <c r="CW104" i="9"/>
  <c r="CR103" i="9"/>
  <c r="CS103" i="9" s="1"/>
  <c r="CR105" i="9"/>
  <c r="CS105" i="9" s="1"/>
  <c r="CR104" i="9"/>
  <c r="CS104" i="9" s="1"/>
  <c r="CM103" i="9"/>
  <c r="CM105" i="9"/>
  <c r="CM104" i="9"/>
  <c r="CJ103" i="9"/>
  <c r="CJ105" i="9"/>
  <c r="CJ104" i="9"/>
  <c r="CE103" i="9"/>
  <c r="CE105" i="9"/>
  <c r="CE104" i="9"/>
  <c r="CA103" i="9"/>
  <c r="CA105" i="9"/>
  <c r="CA104" i="9"/>
  <c r="CU102" i="9"/>
  <c r="CU103" i="9"/>
  <c r="M29" i="3"/>
  <c r="H1" i="20" s="1"/>
  <c r="DH102" i="9"/>
  <c r="DH103" i="9"/>
  <c r="CP102" i="9"/>
  <c r="CP103" i="9"/>
  <c r="CP61" i="9"/>
  <c r="GR36" i="9"/>
  <c r="CU33" i="9"/>
  <c r="CY102" i="9"/>
  <c r="CY103" i="9"/>
  <c r="CT102" i="9"/>
  <c r="CT103" i="9"/>
  <c r="CN102" i="9"/>
  <c r="CN103" i="9"/>
  <c r="CK102" i="9"/>
  <c r="CK103" i="9"/>
  <c r="CF102" i="9"/>
  <c r="CF103" i="9"/>
  <c r="CB102" i="9"/>
  <c r="CB103" i="9"/>
  <c r="CC102" i="9"/>
  <c r="CC103" i="9"/>
  <c r="M19" i="3"/>
  <c r="CZ97" i="9"/>
  <c r="DI61" i="9"/>
  <c r="DI48" i="9"/>
  <c r="CH41" i="9"/>
  <c r="IB4" i="9"/>
  <c r="IB8" i="9" s="1"/>
  <c r="CU61" i="9"/>
  <c r="CP39" i="9"/>
  <c r="DI33" i="9"/>
  <c r="CH102" i="9"/>
  <c r="CH103" i="9"/>
  <c r="CH61" i="9"/>
  <c r="N24" i="3"/>
  <c r="N29" i="3"/>
  <c r="I1" i="20" s="1"/>
  <c r="M26" i="3"/>
  <c r="M11" i="3"/>
  <c r="GG24" i="9"/>
  <c r="GH24" i="9" s="1"/>
  <c r="M16" i="3"/>
  <c r="N13" i="3"/>
  <c r="CZ98" i="9"/>
  <c r="BZ45" i="9"/>
  <c r="CV102" i="9"/>
  <c r="CV103" i="9"/>
  <c r="CI102" i="9"/>
  <c r="CI103" i="9"/>
  <c r="CD102" i="9"/>
  <c r="CD103" i="9"/>
  <c r="BY102" i="9"/>
  <c r="BY103" i="9"/>
  <c r="CP51" i="9"/>
  <c r="CL103" i="9"/>
  <c r="DB102" i="9"/>
  <c r="CW102" i="9"/>
  <c r="CR102" i="9"/>
  <c r="CS102" i="9" s="1"/>
  <c r="CM102" i="9"/>
  <c r="CJ102" i="9"/>
  <c r="CE102" i="9"/>
  <c r="CA102" i="9"/>
  <c r="HQ37" i="9"/>
  <c r="DP42" i="9"/>
  <c r="IV23" i="9"/>
  <c r="CL102" i="9"/>
  <c r="DI102" i="9"/>
  <c r="CZ102" i="9"/>
  <c r="E37" i="9"/>
  <c r="DH100" i="9"/>
  <c r="DH101" i="9"/>
  <c r="DB100" i="9"/>
  <c r="DB101" i="9"/>
  <c r="DA101" i="9"/>
  <c r="CZ101" i="9"/>
  <c r="CY101" i="9"/>
  <c r="CW100" i="9"/>
  <c r="CW101" i="9"/>
  <c r="CV100" i="9"/>
  <c r="CV101" i="9"/>
  <c r="CU100" i="9"/>
  <c r="CU101" i="9"/>
  <c r="CT101" i="9"/>
  <c r="CR100" i="9"/>
  <c r="CS100" i="9" s="1"/>
  <c r="CR101" i="9"/>
  <c r="CS101" i="9" s="1"/>
  <c r="CP100" i="9"/>
  <c r="CP101" i="9"/>
  <c r="CN101" i="9"/>
  <c r="CM101" i="9"/>
  <c r="CL101" i="9"/>
  <c r="CK101" i="9"/>
  <c r="CJ101" i="9"/>
  <c r="CI101" i="9"/>
  <c r="CH101" i="9"/>
  <c r="CF101" i="9"/>
  <c r="CE101" i="9"/>
  <c r="CD101" i="9"/>
  <c r="CC101" i="9"/>
  <c r="CB101" i="9"/>
  <c r="CA101" i="9"/>
  <c r="BY100" i="9"/>
  <c r="BY101" i="9"/>
  <c r="DI101" i="9"/>
  <c r="DI99" i="9"/>
  <c r="CM99" i="9"/>
  <c r="CM100" i="9"/>
  <c r="CJ100" i="9"/>
  <c r="CJ99" i="9"/>
  <c r="CE100" i="9"/>
  <c r="CE99" i="9"/>
  <c r="CA99" i="9"/>
  <c r="CA100" i="9"/>
  <c r="DA100" i="9"/>
  <c r="CI99" i="9"/>
  <c r="CI100" i="9"/>
  <c r="CD99" i="9"/>
  <c r="CD100" i="9"/>
  <c r="CL99" i="9"/>
  <c r="CL100" i="9"/>
  <c r="DI100" i="9"/>
  <c r="CZ100" i="9"/>
  <c r="CH99" i="9"/>
  <c r="CH100" i="9"/>
  <c r="CC99" i="9"/>
  <c r="CC100" i="9"/>
  <c r="CY100" i="9"/>
  <c r="CT100" i="9"/>
  <c r="CN100" i="9"/>
  <c r="CN99" i="9"/>
  <c r="CK99" i="9"/>
  <c r="CK100" i="9"/>
  <c r="CF100" i="9"/>
  <c r="CF99" i="9"/>
  <c r="CB99" i="9"/>
  <c r="CB100" i="9"/>
  <c r="DH98" i="9"/>
  <c r="DH99" i="9"/>
  <c r="DB99" i="9"/>
  <c r="CY99" i="9"/>
  <c r="CW99" i="9"/>
  <c r="CV98" i="9"/>
  <c r="CV99" i="9"/>
  <c r="CU98" i="9"/>
  <c r="CU99" i="9"/>
  <c r="CT99" i="9"/>
  <c r="CR98" i="9"/>
  <c r="CS98" i="9" s="1"/>
  <c r="CR99" i="9"/>
  <c r="CS99" i="9" s="1"/>
  <c r="CP98" i="9"/>
  <c r="CP99" i="9"/>
  <c r="CL98" i="9"/>
  <c r="CJ98" i="9"/>
  <c r="CI98" i="9"/>
  <c r="CH98" i="9"/>
  <c r="CE98" i="9"/>
  <c r="CD98" i="9"/>
  <c r="CC98" i="9"/>
  <c r="CA98" i="9"/>
  <c r="BY98" i="9"/>
  <c r="BY99" i="9"/>
  <c r="CZ99" i="9"/>
  <c r="HL47" i="9"/>
  <c r="DB42" i="9"/>
  <c r="DB98" i="9"/>
  <c r="CW36" i="9"/>
  <c r="CW98" i="9"/>
  <c r="CM32" i="9"/>
  <c r="CM98" i="9"/>
  <c r="DA98" i="9"/>
  <c r="DI98" i="9"/>
  <c r="CY98" i="9"/>
  <c r="CT98" i="9"/>
  <c r="CN98" i="9"/>
  <c r="CK98" i="9"/>
  <c r="CF98" i="9"/>
  <c r="CB98" i="9"/>
  <c r="DI51" i="9"/>
  <c r="CM50" i="9"/>
  <c r="CW48" i="9"/>
  <c r="DI38" i="9"/>
  <c r="B98" i="9"/>
  <c r="B99" i="9" s="1"/>
  <c r="B100" i="9" s="1"/>
  <c r="B101" i="9" s="1"/>
  <c r="B102" i="9" s="1"/>
  <c r="B103" i="9" s="1"/>
  <c r="B104" i="9" s="1"/>
  <c r="B105" i="9" s="1"/>
  <c r="DB97" i="9"/>
  <c r="DB95" i="9"/>
  <c r="DB96" i="9"/>
  <c r="CW96" i="9"/>
  <c r="CW97" i="9"/>
  <c r="CW95" i="9"/>
  <c r="CR95" i="9"/>
  <c r="CS95" i="9" s="1"/>
  <c r="CR97" i="9"/>
  <c r="CS97" i="9" s="1"/>
  <c r="CR96" i="9"/>
  <c r="CS96" i="9" s="1"/>
  <c r="CM95" i="9"/>
  <c r="CM96" i="9"/>
  <c r="CM97" i="9"/>
  <c r="CJ96" i="9"/>
  <c r="CJ95" i="9"/>
  <c r="CJ97" i="9"/>
  <c r="CE97" i="9"/>
  <c r="CE96" i="9"/>
  <c r="CE95" i="9"/>
  <c r="CA97" i="9"/>
  <c r="CA95" i="9"/>
  <c r="CA96" i="9"/>
  <c r="CW55" i="9"/>
  <c r="CA54" i="9"/>
  <c r="CE50" i="9"/>
  <c r="CJ48" i="9"/>
  <c r="CA47" i="9"/>
  <c r="CA44" i="9"/>
  <c r="CW43" i="9"/>
  <c r="CW41" i="9"/>
  <c r="CR39" i="9"/>
  <c r="CS39" i="9" s="1"/>
  <c r="CW38" i="9"/>
  <c r="DA96" i="9"/>
  <c r="DA95" i="9"/>
  <c r="DA97" i="9"/>
  <c r="CV97" i="9"/>
  <c r="CV95" i="9"/>
  <c r="CV96" i="9"/>
  <c r="CI95" i="9"/>
  <c r="CI97" i="9"/>
  <c r="CI96" i="9"/>
  <c r="CD96" i="9"/>
  <c r="CD97" i="9"/>
  <c r="CD95" i="9"/>
  <c r="IC8" i="9"/>
  <c r="CJ55" i="9"/>
  <c r="CM53" i="9"/>
  <c r="DB51" i="9"/>
  <c r="CM49" i="9"/>
  <c r="CA43" i="9"/>
  <c r="CE41" i="9"/>
  <c r="CE39" i="9"/>
  <c r="CA38" i="9"/>
  <c r="CW37" i="9"/>
  <c r="CR36" i="9"/>
  <c r="CS36" i="9" s="1"/>
  <c r="CM34" i="9"/>
  <c r="CA31" i="9"/>
  <c r="CL97" i="9"/>
  <c r="CL95" i="9"/>
  <c r="CL96" i="9"/>
  <c r="CE55" i="9"/>
  <c r="CA53" i="9"/>
  <c r="HH52" i="9"/>
  <c r="CA49" i="9"/>
  <c r="CA39" i="9"/>
  <c r="CE37" i="9"/>
  <c r="CE34" i="9"/>
  <c r="DI97" i="9"/>
  <c r="DI96" i="9"/>
  <c r="CZ95" i="9"/>
  <c r="CZ96" i="9"/>
  <c r="CU96" i="9"/>
  <c r="CU95" i="9"/>
  <c r="CU97" i="9"/>
  <c r="CP96" i="9"/>
  <c r="CP95" i="9"/>
  <c r="CP97" i="9"/>
  <c r="CH96" i="9"/>
  <c r="CH95" i="9"/>
  <c r="CH97" i="9"/>
  <c r="CC97" i="9"/>
  <c r="CC95" i="9"/>
  <c r="CC96" i="9"/>
  <c r="BY97" i="9"/>
  <c r="BY96" i="9"/>
  <c r="DH95" i="9"/>
  <c r="DH96" i="9"/>
  <c r="DH97" i="9"/>
  <c r="CM52" i="9"/>
  <c r="CA51" i="9"/>
  <c r="CW47" i="9"/>
  <c r="DB44" i="9"/>
  <c r="CW42" i="9"/>
  <c r="CR40" i="9"/>
  <c r="CS40" i="9" s="1"/>
  <c r="CE35" i="9"/>
  <c r="II32" i="9"/>
  <c r="CY97" i="9"/>
  <c r="CY95" i="9"/>
  <c r="CY96" i="9"/>
  <c r="CT97" i="9"/>
  <c r="CT96" i="9"/>
  <c r="CT95" i="9"/>
  <c r="CN97" i="9"/>
  <c r="CN95" i="9"/>
  <c r="CN96" i="9"/>
  <c r="CK97" i="9"/>
  <c r="CK96" i="9"/>
  <c r="CK95" i="9"/>
  <c r="CF97" i="9"/>
  <c r="CF96" i="9"/>
  <c r="CF95" i="9"/>
  <c r="CB96" i="9"/>
  <c r="CB97" i="9"/>
  <c r="CB95" i="9"/>
  <c r="CJ59" i="9"/>
  <c r="CR56" i="9"/>
  <c r="CR54" i="9"/>
  <c r="CS54" i="9" s="1"/>
  <c r="CA52" i="9"/>
  <c r="CR50" i="9"/>
  <c r="CS50" i="9" s="1"/>
  <c r="DB48" i="9"/>
  <c r="CR47" i="9"/>
  <c r="CS47" i="9" s="1"/>
  <c r="CR44" i="9"/>
  <c r="CS44" i="9" s="1"/>
  <c r="CM42" i="9"/>
  <c r="CM40" i="9"/>
  <c r="CA35" i="9"/>
  <c r="CR32" i="9"/>
  <c r="CS32" i="9" s="1"/>
  <c r="DI95" i="9"/>
  <c r="DB33" i="9"/>
  <c r="CW32" i="9"/>
  <c r="CU44" i="9"/>
  <c r="CR34" i="9"/>
  <c r="CS34" i="9" s="1"/>
  <c r="CP55" i="9"/>
  <c r="CM25" i="9"/>
  <c r="CJ35" i="9"/>
  <c r="CH50" i="9"/>
  <c r="CE31" i="9"/>
  <c r="CC40" i="9"/>
  <c r="CA33" i="9"/>
  <c r="BY95" i="9"/>
  <c r="II61" i="9"/>
  <c r="CY94" i="9"/>
  <c r="CT94" i="9"/>
  <c r="CN94" i="9"/>
  <c r="CF94" i="9"/>
  <c r="CB94" i="9"/>
  <c r="BF59" i="9"/>
  <c r="BF60" i="9" s="1"/>
  <c r="BF61" i="9" s="1"/>
  <c r="E34" i="9"/>
  <c r="HI34" i="9"/>
  <c r="CL56" i="9"/>
  <c r="HH69" i="9"/>
  <c r="HH67" i="9"/>
  <c r="HH66" i="9"/>
  <c r="HH63" i="9"/>
  <c r="HH60" i="9"/>
  <c r="CP59" i="9"/>
  <c r="CA59" i="9"/>
  <c r="CA55" i="9"/>
  <c r="DB54" i="9"/>
  <c r="CJ54" i="9"/>
  <c r="DB53" i="9"/>
  <c r="CJ53" i="9"/>
  <c r="DB52" i="9"/>
  <c r="CJ52" i="9"/>
  <c r="CW51" i="9"/>
  <c r="CJ51" i="9"/>
  <c r="DB50" i="9"/>
  <c r="CJ50" i="9"/>
  <c r="DB49" i="9"/>
  <c r="CJ49" i="9"/>
  <c r="CR48" i="9"/>
  <c r="CS48" i="9" s="1"/>
  <c r="CA48" i="9"/>
  <c r="CM47" i="9"/>
  <c r="CW44" i="9"/>
  <c r="CJ44" i="9"/>
  <c r="CR43" i="9"/>
  <c r="CS43" i="9" s="1"/>
  <c r="CU42" i="9"/>
  <c r="CE42" i="9"/>
  <c r="CR41" i="9"/>
  <c r="CS41" i="9" s="1"/>
  <c r="CA41" i="9"/>
  <c r="DB40" i="9"/>
  <c r="CE40" i="9"/>
  <c r="DB39" i="9"/>
  <c r="CM39" i="9"/>
  <c r="CM38" i="9"/>
  <c r="CR37" i="9"/>
  <c r="CS37" i="9" s="1"/>
  <c r="CM36" i="9"/>
  <c r="DB35" i="9"/>
  <c r="CW34" i="9"/>
  <c r="CA34" i="9"/>
  <c r="CE33" i="9"/>
  <c r="DB32" i="9"/>
  <c r="CH32" i="9"/>
  <c r="CM31" i="9"/>
  <c r="CW29" i="9"/>
  <c r="CK94" i="9"/>
  <c r="CJ56" i="9"/>
  <c r="CN56" i="9"/>
  <c r="CH56" i="9"/>
  <c r="CZ74" i="9"/>
  <c r="CZ72" i="9"/>
  <c r="HH62" i="9"/>
  <c r="DB59" i="9"/>
  <c r="CM59" i="9"/>
  <c r="DI59" i="9"/>
  <c r="DB55" i="9"/>
  <c r="CM55" i="9"/>
  <c r="DI55" i="9"/>
  <c r="CW54" i="9"/>
  <c r="CE54" i="9"/>
  <c r="CW53" i="9"/>
  <c r="CE53" i="9"/>
  <c r="CW52" i="9"/>
  <c r="CE52" i="9"/>
  <c r="CR51" i="9"/>
  <c r="CS51" i="9" s="1"/>
  <c r="CE51" i="9"/>
  <c r="CW50" i="9"/>
  <c r="CW49" i="9"/>
  <c r="CE49" i="9"/>
  <c r="CM48" i="9"/>
  <c r="DB47" i="9"/>
  <c r="CJ47" i="9"/>
  <c r="CE44" i="9"/>
  <c r="CM43" i="9"/>
  <c r="CR42" i="9"/>
  <c r="CS42" i="9" s="1"/>
  <c r="CA42" i="9"/>
  <c r="CM41" i="9"/>
  <c r="CW40" i="9"/>
  <c r="CW39" i="9"/>
  <c r="CJ39" i="9"/>
  <c r="DB38" i="9"/>
  <c r="CE38" i="9"/>
  <c r="CM37" i="9"/>
  <c r="DB36" i="9"/>
  <c r="DI36" i="9"/>
  <c r="DI26" i="9"/>
  <c r="DB93" i="9"/>
  <c r="DB94" i="9"/>
  <c r="CW93" i="9"/>
  <c r="CW94" i="9"/>
  <c r="CR93" i="9"/>
  <c r="CS93" i="9" s="1"/>
  <c r="CR94" i="9"/>
  <c r="CS94" i="9" s="1"/>
  <c r="CM93" i="9"/>
  <c r="CM94" i="9"/>
  <c r="CJ93" i="9"/>
  <c r="CJ94" i="9"/>
  <c r="CE93" i="9"/>
  <c r="CE94" i="9"/>
  <c r="CA93" i="9"/>
  <c r="CA94" i="9"/>
  <c r="DA94" i="9"/>
  <c r="CV93" i="9"/>
  <c r="CV94" i="9"/>
  <c r="CI93" i="9"/>
  <c r="CI94" i="9"/>
  <c r="CD93" i="9"/>
  <c r="CD94" i="9"/>
  <c r="E32" i="9"/>
  <c r="II55" i="9"/>
  <c r="CL94" i="9"/>
  <c r="HI32" i="9"/>
  <c r="DI94" i="9"/>
  <c r="CZ94" i="9"/>
  <c r="CU93" i="9"/>
  <c r="CU94" i="9"/>
  <c r="CP93" i="9"/>
  <c r="CP94" i="9"/>
  <c r="CH93" i="9"/>
  <c r="CH94" i="9"/>
  <c r="CC93" i="9"/>
  <c r="CC94" i="9"/>
  <c r="BY93" i="9"/>
  <c r="BY94" i="9"/>
  <c r="HC32" i="9"/>
  <c r="BG57" i="9"/>
  <c r="CZ57" i="9" s="1"/>
  <c r="N26" i="3"/>
  <c r="GW20" i="9"/>
  <c r="DH93" i="9"/>
  <c r="DH94" i="9"/>
  <c r="V16" i="32"/>
  <c r="AB16" i="32" s="1"/>
  <c r="A32" i="20"/>
  <c r="G32" i="20" s="1"/>
  <c r="K32" i="20" s="1"/>
  <c r="DA93" i="9"/>
  <c r="M28" i="3"/>
  <c r="M14" i="3"/>
  <c r="HP24" i="9"/>
  <c r="DI93" i="9"/>
  <c r="CZ87" i="9"/>
  <c r="DI69" i="9"/>
  <c r="DI66" i="9"/>
  <c r="BY59" i="9"/>
  <c r="BY55" i="9"/>
  <c r="CP54" i="9"/>
  <c r="DI54" i="9"/>
  <c r="CH53" i="9"/>
  <c r="CU52" i="9"/>
  <c r="BY51" i="9"/>
  <c r="CU49" i="9"/>
  <c r="CP48" i="9"/>
  <c r="CP47" i="9"/>
  <c r="DI47" i="9"/>
  <c r="CC44" i="9"/>
  <c r="CH43" i="9"/>
  <c r="CC42" i="9"/>
  <c r="BY39" i="9"/>
  <c r="CU38" i="9"/>
  <c r="BY38" i="9"/>
  <c r="CC37" i="9"/>
  <c r="BY36" i="9"/>
  <c r="CH35" i="9"/>
  <c r="DI34" i="9"/>
  <c r="BY33" i="9"/>
  <c r="CH23" i="9"/>
  <c r="CL93" i="9"/>
  <c r="CZ93" i="9"/>
  <c r="DI73" i="9"/>
  <c r="DI70" i="9"/>
  <c r="CZ68" i="9"/>
  <c r="CC53" i="9"/>
  <c r="CP52" i="9"/>
  <c r="DI52" i="9"/>
  <c r="CP49" i="9"/>
  <c r="DI49" i="9"/>
  <c r="BY44" i="9"/>
  <c r="CC43" i="9"/>
  <c r="BY42" i="9"/>
  <c r="DI39" i="9"/>
  <c r="CP38" i="9"/>
  <c r="CU37" i="9"/>
  <c r="DI37" i="9"/>
  <c r="CU36" i="9"/>
  <c r="CC35" i="9"/>
  <c r="CU34" i="9"/>
  <c r="CP33" i="9"/>
  <c r="CC32" i="9"/>
  <c r="CU30" i="9"/>
  <c r="CC19" i="9"/>
  <c r="AE61" i="9"/>
  <c r="CH58" i="9"/>
  <c r="CC56" i="9"/>
  <c r="DI82" i="9"/>
  <c r="CZ66" i="9"/>
  <c r="CH54" i="9"/>
  <c r="CU53" i="9"/>
  <c r="CC50" i="9"/>
  <c r="CH48" i="9"/>
  <c r="CH47" i="9"/>
  <c r="CP44" i="9"/>
  <c r="DI44" i="9"/>
  <c r="CP42" i="9"/>
  <c r="CC41" i="9"/>
  <c r="CU40" i="9"/>
  <c r="BY40" i="9"/>
  <c r="BY32" i="9"/>
  <c r="CP30" i="9"/>
  <c r="CC28" i="9"/>
  <c r="CD21" i="9"/>
  <c r="CY93" i="9"/>
  <c r="CT93" i="9"/>
  <c r="CN93" i="9"/>
  <c r="CK93" i="9"/>
  <c r="CF93" i="9"/>
  <c r="CB93" i="9"/>
  <c r="HU8" i="9"/>
  <c r="BY56" i="9"/>
  <c r="CZ69" i="9"/>
  <c r="DI63" i="9"/>
  <c r="CH59" i="9"/>
  <c r="CU58" i="9"/>
  <c r="CH55" i="9"/>
  <c r="BY53" i="9"/>
  <c r="CH51" i="9"/>
  <c r="CU50" i="9"/>
  <c r="CZ49" i="9"/>
  <c r="CH46" i="9"/>
  <c r="CU43" i="9"/>
  <c r="BY43" i="9"/>
  <c r="DI42" i="9"/>
  <c r="CH39" i="9"/>
  <c r="CH38" i="9"/>
  <c r="CP37" i="9"/>
  <c r="CP36" i="9"/>
  <c r="CZ36" i="9"/>
  <c r="BY35" i="9"/>
  <c r="CP34" i="9"/>
  <c r="CH33" i="9"/>
  <c r="DI32" i="9"/>
  <c r="BY30" i="9"/>
  <c r="FV38" i="9"/>
  <c r="DI87" i="9"/>
  <c r="DI74" i="9"/>
  <c r="DI72" i="9"/>
  <c r="CC54" i="9"/>
  <c r="CP53" i="9"/>
  <c r="DI53" i="9"/>
  <c r="CH52" i="9"/>
  <c r="BY50" i="9"/>
  <c r="CH49" i="9"/>
  <c r="CC48" i="9"/>
  <c r="CC47" i="9"/>
  <c r="DI43" i="9"/>
  <c r="CU41" i="9"/>
  <c r="BY41" i="9"/>
  <c r="CP40" i="9"/>
  <c r="DI40" i="9"/>
  <c r="HN36" i="9"/>
  <c r="CU35" i="9"/>
  <c r="DI35" i="9"/>
  <c r="CU32" i="9"/>
  <c r="IG8" i="9"/>
  <c r="CU60" i="9"/>
  <c r="CP56" i="9"/>
  <c r="CZ73" i="9"/>
  <c r="CZ70" i="9"/>
  <c r="DI68" i="9"/>
  <c r="DI60" i="9"/>
  <c r="CC59" i="9"/>
  <c r="CC55" i="9"/>
  <c r="CU54" i="9"/>
  <c r="CC51" i="9"/>
  <c r="CP50" i="9"/>
  <c r="DI50" i="9"/>
  <c r="CU48" i="9"/>
  <c r="CU47" i="9"/>
  <c r="CH44" i="9"/>
  <c r="CP43" i="9"/>
  <c r="CH42" i="9"/>
  <c r="DI41" i="9"/>
  <c r="CC39" i="9"/>
  <c r="CC38" i="9"/>
  <c r="CH37" i="9"/>
  <c r="CH36" i="9"/>
  <c r="CP35" i="9"/>
  <c r="CC33" i="9"/>
  <c r="CL32" i="9"/>
  <c r="BG52" i="9"/>
  <c r="CZ52" i="9" s="1"/>
  <c r="DI56" i="9"/>
  <c r="CZ82" i="9"/>
  <c r="CZ71" i="9"/>
  <c r="CZ67" i="9"/>
  <c r="CU59" i="9"/>
  <c r="CU55" i="9"/>
  <c r="BY54" i="9"/>
  <c r="CC52" i="9"/>
  <c r="CU51" i="9"/>
  <c r="CC49" i="9"/>
  <c r="BY48" i="9"/>
  <c r="BY47" i="9"/>
  <c r="CP41" i="9"/>
  <c r="CH40" i="9"/>
  <c r="CU39" i="9"/>
  <c r="CC36" i="9"/>
  <c r="CP32" i="9"/>
  <c r="BY29" i="9"/>
  <c r="HF47" i="9"/>
  <c r="V31" i="32"/>
  <c r="GD88" i="9"/>
  <c r="GD89" i="9" s="1"/>
  <c r="GD90" i="9" s="1"/>
  <c r="GD91" i="9" s="1"/>
  <c r="DI11" i="9"/>
  <c r="DI12" i="9"/>
  <c r="DI17" i="9"/>
  <c r="DI14" i="9"/>
  <c r="DI15" i="9"/>
  <c r="DI16" i="9"/>
  <c r="DI13" i="9"/>
  <c r="DI18" i="9"/>
  <c r="DI92" i="9"/>
  <c r="DI89" i="9"/>
  <c r="DI90" i="9"/>
  <c r="DI91" i="9"/>
  <c r="DB11" i="9"/>
  <c r="DB13" i="9"/>
  <c r="DB16" i="9"/>
  <c r="DB12" i="9"/>
  <c r="DB14" i="9"/>
  <c r="DB18" i="9"/>
  <c r="DB15" i="9"/>
  <c r="DB17" i="9"/>
  <c r="DB92" i="9"/>
  <c r="DB88" i="9"/>
  <c r="DB90" i="9"/>
  <c r="DB89" i="9"/>
  <c r="DB91" i="9"/>
  <c r="CZ11" i="9"/>
  <c r="CZ13" i="9"/>
  <c r="CZ12" i="9"/>
  <c r="CZ18" i="9"/>
  <c r="CZ14" i="9"/>
  <c r="CZ16" i="9"/>
  <c r="CZ15" i="9"/>
  <c r="CZ17" i="9"/>
  <c r="CZ90" i="9"/>
  <c r="CZ88" i="9"/>
  <c r="CZ89" i="9"/>
  <c r="CZ91" i="9"/>
  <c r="CW11" i="9"/>
  <c r="CW12" i="9"/>
  <c r="CW14" i="9"/>
  <c r="CW13" i="9"/>
  <c r="CW15" i="9"/>
  <c r="CW17" i="9"/>
  <c r="CW16" i="9"/>
  <c r="CW18" i="9"/>
  <c r="CW89" i="9"/>
  <c r="CW88" i="9"/>
  <c r="CW91" i="9"/>
  <c r="CW90" i="9"/>
  <c r="CW92" i="9"/>
  <c r="CU11" i="9"/>
  <c r="CU16" i="9"/>
  <c r="CU18" i="9"/>
  <c r="CU14" i="9"/>
  <c r="CU17" i="9"/>
  <c r="CU12" i="9"/>
  <c r="CU13" i="9"/>
  <c r="CU15" i="9"/>
  <c r="CU89" i="9"/>
  <c r="CU91" i="9"/>
  <c r="CU88" i="9"/>
  <c r="CU90" i="9"/>
  <c r="CU92" i="9"/>
  <c r="CR11" i="9"/>
  <c r="CR14" i="9"/>
  <c r="CR13" i="9"/>
  <c r="CR17" i="9"/>
  <c r="CR18" i="9"/>
  <c r="CR16" i="9"/>
  <c r="CR12" i="9"/>
  <c r="CR15" i="9"/>
  <c r="CR89" i="9"/>
  <c r="CS89" i="9" s="1"/>
  <c r="CR88" i="9"/>
  <c r="CS88" i="9" s="1"/>
  <c r="CR91" i="9"/>
  <c r="CS91" i="9" s="1"/>
  <c r="CR90" i="9"/>
  <c r="CS90" i="9" s="1"/>
  <c r="CR92" i="9"/>
  <c r="CS92" i="9" s="1"/>
  <c r="CP12" i="9"/>
  <c r="CP11" i="9"/>
  <c r="CP13" i="9"/>
  <c r="CP16" i="9"/>
  <c r="CP14" i="9"/>
  <c r="CP15" i="9"/>
  <c r="CP17" i="9"/>
  <c r="CP18" i="9"/>
  <c r="CP89" i="9"/>
  <c r="CP91" i="9"/>
  <c r="CP88" i="9"/>
  <c r="CP90" i="9"/>
  <c r="CP92" i="9"/>
  <c r="CM11" i="9"/>
  <c r="CM14" i="9"/>
  <c r="CM12" i="9"/>
  <c r="CM15" i="9"/>
  <c r="CM17" i="9"/>
  <c r="CM18" i="9"/>
  <c r="CM13" i="9"/>
  <c r="CM16" i="9"/>
  <c r="CM92" i="9"/>
  <c r="CM88" i="9"/>
  <c r="CM90" i="9"/>
  <c r="CM89" i="9"/>
  <c r="CM91" i="9"/>
  <c r="CJ11" i="9"/>
  <c r="CJ13" i="9"/>
  <c r="CJ17" i="9"/>
  <c r="CJ18" i="9"/>
  <c r="CJ14" i="9"/>
  <c r="CJ16" i="9"/>
  <c r="CJ12" i="9"/>
  <c r="CJ15" i="9"/>
  <c r="CJ91" i="9"/>
  <c r="CJ89" i="9"/>
  <c r="CJ88" i="9"/>
  <c r="CJ92" i="9"/>
  <c r="CJ90" i="9"/>
  <c r="CH11" i="9"/>
  <c r="CH13" i="9"/>
  <c r="CH15" i="9"/>
  <c r="CH16" i="9"/>
  <c r="CH14" i="9"/>
  <c r="CH12" i="9"/>
  <c r="CH17" i="9"/>
  <c r="CH18" i="9"/>
  <c r="CH91" i="9"/>
  <c r="CH89" i="9"/>
  <c r="CH90" i="9"/>
  <c r="CH92" i="9"/>
  <c r="CH88" i="9"/>
  <c r="CE12" i="9"/>
  <c r="CE11" i="9"/>
  <c r="CE14" i="9"/>
  <c r="CE17" i="9"/>
  <c r="CE18" i="9"/>
  <c r="CE13" i="9"/>
  <c r="CE15" i="9"/>
  <c r="CE16" i="9"/>
  <c r="CE92" i="9"/>
  <c r="CE90" i="9"/>
  <c r="CE89" i="9"/>
  <c r="CE91" i="9"/>
  <c r="CE88" i="9"/>
  <c r="CC11" i="9"/>
  <c r="CC13" i="9"/>
  <c r="CC15" i="9"/>
  <c r="CC16" i="9"/>
  <c r="CC12" i="9"/>
  <c r="CC17" i="9"/>
  <c r="CC18" i="9"/>
  <c r="CC14" i="9"/>
  <c r="CC92" i="9"/>
  <c r="CC90" i="9"/>
  <c r="CC89" i="9"/>
  <c r="CC91" i="9"/>
  <c r="CC88" i="9"/>
  <c r="CA12" i="9"/>
  <c r="CA11" i="9"/>
  <c r="CA17" i="9"/>
  <c r="CA18" i="9"/>
  <c r="CA14" i="9"/>
  <c r="CA13" i="9"/>
  <c r="CA15" i="9"/>
  <c r="CA16" i="9"/>
  <c r="CA92" i="9"/>
  <c r="CA90" i="9"/>
  <c r="CA89" i="9"/>
  <c r="CA88" i="9"/>
  <c r="CA91" i="9"/>
  <c r="BY11" i="9"/>
  <c r="BY13" i="9"/>
  <c r="BY14" i="9"/>
  <c r="BY15" i="9"/>
  <c r="BY12" i="9"/>
  <c r="BY16" i="9"/>
  <c r="BY17" i="9"/>
  <c r="BY18" i="9"/>
  <c r="BY90" i="9"/>
  <c r="BY92" i="9"/>
  <c r="BY91" i="9"/>
  <c r="BY89" i="9"/>
  <c r="HY8" i="9"/>
  <c r="HQ4" i="9"/>
  <c r="HQ8" i="9" s="1"/>
  <c r="HP8" i="9"/>
  <c r="IR4" i="9"/>
  <c r="GD8" i="9"/>
  <c r="DM3" i="9"/>
  <c r="DL8" i="9"/>
  <c r="DH11" i="9"/>
  <c r="DH12" i="9"/>
  <c r="DH13" i="9"/>
  <c r="DH14" i="9"/>
  <c r="DH15" i="9"/>
  <c r="DH16" i="9"/>
  <c r="DH18" i="9"/>
  <c r="DH17" i="9"/>
  <c r="DH91" i="9"/>
  <c r="DH90" i="9"/>
  <c r="DH92" i="9"/>
  <c r="DH89" i="9"/>
  <c r="CV56" i="9"/>
  <c r="CK56" i="9"/>
  <c r="IE8" i="9"/>
  <c r="HW8" i="9"/>
  <c r="HL4" i="9"/>
  <c r="HK8" i="9"/>
  <c r="IU4" i="9"/>
  <c r="GG8" i="9"/>
  <c r="HV4" i="9"/>
  <c r="HV8" i="9" s="1"/>
  <c r="FI8" i="9"/>
  <c r="CA3" i="9"/>
  <c r="BZ8" i="9"/>
  <c r="HC34" i="9"/>
  <c r="DA11" i="9"/>
  <c r="DA92" i="9"/>
  <c r="DA90" i="9"/>
  <c r="DA89" i="9"/>
  <c r="DA88" i="9"/>
  <c r="DA91" i="9"/>
  <c r="DA12" i="9"/>
  <c r="DA13" i="9"/>
  <c r="DA14" i="9"/>
  <c r="DA15" i="9"/>
  <c r="DA16" i="9"/>
  <c r="DA18" i="9"/>
  <c r="DA17" i="9"/>
  <c r="CY11" i="9"/>
  <c r="CY12" i="9"/>
  <c r="CY14" i="9"/>
  <c r="CY18" i="9"/>
  <c r="CY13" i="9"/>
  <c r="CY15" i="9"/>
  <c r="CY17" i="9"/>
  <c r="CY16" i="9"/>
  <c r="CY89" i="9"/>
  <c r="CY91" i="9"/>
  <c r="CY90" i="9"/>
  <c r="CY92" i="9"/>
  <c r="CY88" i="9"/>
  <c r="CV11" i="9"/>
  <c r="CV12" i="9"/>
  <c r="CV13" i="9"/>
  <c r="CV15" i="9"/>
  <c r="CV17" i="9"/>
  <c r="CV16" i="9"/>
  <c r="CV18" i="9"/>
  <c r="CV14" i="9"/>
  <c r="CV89" i="9"/>
  <c r="CV91" i="9"/>
  <c r="CV90" i="9"/>
  <c r="CV92" i="9"/>
  <c r="CV88" i="9"/>
  <c r="CT11" i="9"/>
  <c r="CT14" i="9"/>
  <c r="CT12" i="9"/>
  <c r="CT13" i="9"/>
  <c r="CT15" i="9"/>
  <c r="CT17" i="9"/>
  <c r="CT18" i="9"/>
  <c r="CT16" i="9"/>
  <c r="CT89" i="9"/>
  <c r="CT91" i="9"/>
  <c r="CT88" i="9"/>
  <c r="CT90" i="9"/>
  <c r="CT92" i="9"/>
  <c r="CQ11" i="9"/>
  <c r="CQ12" i="9"/>
  <c r="CQ13" i="9"/>
  <c r="CQ14" i="9"/>
  <c r="CQ15" i="9"/>
  <c r="CQ17" i="9"/>
  <c r="CQ18" i="9"/>
  <c r="CQ16" i="9"/>
  <c r="CN11" i="9"/>
  <c r="CN12" i="9"/>
  <c r="CN15" i="9"/>
  <c r="CN17" i="9"/>
  <c r="CN18" i="9"/>
  <c r="CN14" i="9"/>
  <c r="CN13" i="9"/>
  <c r="CN16" i="9"/>
  <c r="CN92" i="9"/>
  <c r="CN90" i="9"/>
  <c r="CN89" i="9"/>
  <c r="CN91" i="9"/>
  <c r="CN88" i="9"/>
  <c r="CK12" i="9"/>
  <c r="CK11" i="9"/>
  <c r="CK14" i="9"/>
  <c r="CK16" i="9"/>
  <c r="CK13" i="9"/>
  <c r="CK15" i="9"/>
  <c r="CK17" i="9"/>
  <c r="CK18" i="9"/>
  <c r="CK92" i="9"/>
  <c r="CK90" i="9"/>
  <c r="CK88" i="9"/>
  <c r="CK89" i="9"/>
  <c r="CK91" i="9"/>
  <c r="CI11" i="9"/>
  <c r="CI14" i="9"/>
  <c r="CI12" i="9"/>
  <c r="CI17" i="9"/>
  <c r="CI18" i="9"/>
  <c r="CI15" i="9"/>
  <c r="CI16" i="9"/>
  <c r="CI13" i="9"/>
  <c r="CI90" i="9"/>
  <c r="CI88" i="9"/>
  <c r="CI92" i="9"/>
  <c r="CI91" i="9"/>
  <c r="CI89" i="9"/>
  <c r="CF12" i="9"/>
  <c r="CF11" i="9"/>
  <c r="CF16" i="9"/>
  <c r="CF14" i="9"/>
  <c r="CF17" i="9"/>
  <c r="CF18" i="9"/>
  <c r="CF13" i="9"/>
  <c r="CF15" i="9"/>
  <c r="CF92" i="9"/>
  <c r="CF90" i="9"/>
  <c r="CF88" i="9"/>
  <c r="CF89" i="9"/>
  <c r="CF91" i="9"/>
  <c r="CD11" i="9"/>
  <c r="CD14" i="9"/>
  <c r="CD12" i="9"/>
  <c r="CD13" i="9"/>
  <c r="CD15" i="9"/>
  <c r="CD16" i="9"/>
  <c r="CD17" i="9"/>
  <c r="CD18" i="9"/>
  <c r="CD92" i="9"/>
  <c r="CD88" i="9"/>
  <c r="CD90" i="9"/>
  <c r="CD91" i="9"/>
  <c r="CD89" i="9"/>
  <c r="CB12" i="9"/>
  <c r="CB11" i="9"/>
  <c r="CB16" i="9"/>
  <c r="CB17" i="9"/>
  <c r="CB18" i="9"/>
  <c r="CB14" i="9"/>
  <c r="CB13" i="9"/>
  <c r="CB15" i="9"/>
  <c r="CB92" i="9"/>
  <c r="CB90" i="9"/>
  <c r="CB88" i="9"/>
  <c r="CB89" i="9"/>
  <c r="CB91" i="9"/>
  <c r="IJ8" i="9"/>
  <c r="IK4" i="9"/>
  <c r="IK8" i="9" s="1"/>
  <c r="FX8" i="9"/>
  <c r="GK3" i="9"/>
  <c r="GK8" i="9" s="1"/>
  <c r="GJ8" i="9"/>
  <c r="BJ3" i="9"/>
  <c r="BJ8" i="9" s="1"/>
  <c r="BI8" i="9"/>
  <c r="E19" i="9"/>
  <c r="CL11" i="9"/>
  <c r="CL12" i="9"/>
  <c r="CL13" i="9"/>
  <c r="CL14" i="9"/>
  <c r="CL16" i="9"/>
  <c r="CL18" i="9"/>
  <c r="CL15" i="9"/>
  <c r="CL17" i="9"/>
  <c r="CL92" i="9"/>
  <c r="CL90" i="9"/>
  <c r="CL88" i="9"/>
  <c r="CL89" i="9"/>
  <c r="CL91" i="9"/>
  <c r="II8" i="9"/>
  <c r="IA8" i="9"/>
  <c r="HS8" i="9"/>
  <c r="HF4" i="9"/>
  <c r="HF8" i="9" s="1"/>
  <c r="HE8" i="9"/>
  <c r="HZ4" i="9"/>
  <c r="HZ8" i="9" s="1"/>
  <c r="FM8" i="9"/>
  <c r="EE8" i="9"/>
  <c r="CZ92" i="9"/>
  <c r="GI80" i="9"/>
  <c r="CT34" i="9"/>
  <c r="CT52" i="9"/>
  <c r="CT53" i="9"/>
  <c r="CT54" i="9"/>
  <c r="CN52" i="9"/>
  <c r="CN54" i="9"/>
  <c r="CI42" i="9"/>
  <c r="CI47" i="9"/>
  <c r="CI38" i="9"/>
  <c r="CI39" i="9"/>
  <c r="CD37" i="9"/>
  <c r="CD39" i="9"/>
  <c r="CD34" i="9"/>
  <c r="CD42" i="9"/>
  <c r="CD47" i="9"/>
  <c r="CD38" i="9"/>
  <c r="N18" i="3"/>
  <c r="N17" i="3"/>
  <c r="CL60" i="9"/>
  <c r="CN61" i="9"/>
  <c r="CV60" i="9"/>
  <c r="CI5" i="9"/>
  <c r="CJ5" i="9" s="1"/>
  <c r="CK5" i="9" s="1"/>
  <c r="CL5" i="9" s="1"/>
  <c r="CM5" i="9" s="1"/>
  <c r="CN5" i="9" s="1"/>
  <c r="CO5" i="9" s="1"/>
  <c r="N11" i="3"/>
  <c r="M20" i="3"/>
  <c r="N23" i="3"/>
  <c r="CN53" i="9"/>
  <c r="CI37" i="9"/>
  <c r="DH33" i="9"/>
  <c r="DH35" i="9"/>
  <c r="DH49" i="9"/>
  <c r="DH28" i="9"/>
  <c r="DH31" i="9"/>
  <c r="DH44" i="9"/>
  <c r="DH59" i="9"/>
  <c r="DH25" i="9"/>
  <c r="CV37" i="9"/>
  <c r="CV50" i="9"/>
  <c r="CV32" i="9"/>
  <c r="CV33" i="9"/>
  <c r="CV41" i="9"/>
  <c r="CV51" i="9"/>
  <c r="CV48" i="9"/>
  <c r="CV55" i="9"/>
  <c r="CV38" i="9"/>
  <c r="CL48" i="9"/>
  <c r="CL55" i="9"/>
  <c r="CL50" i="9"/>
  <c r="CL51" i="9"/>
  <c r="CF28" i="9"/>
  <c r="CF44" i="9"/>
  <c r="CF59" i="9"/>
  <c r="CF41" i="9"/>
  <c r="CF49" i="9"/>
  <c r="CF23" i="9"/>
  <c r="CF36" i="9"/>
  <c r="CB30" i="9"/>
  <c r="CB31" i="9"/>
  <c r="CB44" i="9"/>
  <c r="CB59" i="9"/>
  <c r="CB33" i="9"/>
  <c r="CB41" i="9"/>
  <c r="CB49" i="9"/>
  <c r="M12" i="3"/>
  <c r="Y58" i="9"/>
  <c r="AE58" i="9"/>
  <c r="CI61" i="9"/>
  <c r="CB61" i="9"/>
  <c r="C45" i="32"/>
  <c r="HX4" i="9"/>
  <c r="HX8" i="9" s="1"/>
  <c r="CT60" i="9"/>
  <c r="CF60" i="9"/>
  <c r="CY60" i="9"/>
  <c r="CL61" i="9"/>
  <c r="CV61" i="9"/>
  <c r="CD60" i="9"/>
  <c r="HF22" i="9"/>
  <c r="CT56" i="9"/>
  <c r="CD56" i="9"/>
  <c r="G12" i="20"/>
  <c r="K12" i="20" s="1"/>
  <c r="G13" i="20"/>
  <c r="K13" i="20" s="1"/>
  <c r="G18" i="20"/>
  <c r="K18" i="20" s="1"/>
  <c r="CL41" i="9"/>
  <c r="CY27" i="9"/>
  <c r="CY35" i="9"/>
  <c r="CY52" i="9"/>
  <c r="CY53" i="9"/>
  <c r="CY54" i="9"/>
  <c r="CK49" i="9"/>
  <c r="CK44" i="9"/>
  <c r="CK59" i="9"/>
  <c r="N27" i="3"/>
  <c r="N25" i="3"/>
  <c r="M25" i="3"/>
  <c r="M17" i="3"/>
  <c r="CT61" i="9"/>
  <c r="CF61" i="9"/>
  <c r="CY61" i="9"/>
  <c r="CK60" i="9"/>
  <c r="CD61" i="9"/>
  <c r="HL22" i="9"/>
  <c r="HI23" i="9"/>
  <c r="CF56" i="9"/>
  <c r="DA47" i="9"/>
  <c r="CY56" i="9"/>
  <c r="DA60" i="9"/>
  <c r="II28" i="9"/>
  <c r="HF25" i="9"/>
  <c r="DA36" i="9"/>
  <c r="AE60" i="9"/>
  <c r="DH60" i="9"/>
  <c r="II60" i="9"/>
  <c r="D48" i="32"/>
  <c r="II62" i="9"/>
  <c r="CL58" i="9"/>
  <c r="A25" i="20"/>
  <c r="G25" i="20" s="1"/>
  <c r="K25" i="20" s="1"/>
  <c r="A17" i="20"/>
  <c r="G17" i="20" s="1"/>
  <c r="K17" i="20" s="1"/>
  <c r="G16" i="20"/>
  <c r="K16" i="20" s="1"/>
  <c r="HF36" i="9"/>
  <c r="CP58" i="9"/>
  <c r="FR48" i="9"/>
  <c r="FV48" i="9" s="1"/>
  <c r="FV47" i="9"/>
  <c r="IS4" i="9"/>
  <c r="N15" i="3"/>
  <c r="N12" i="3"/>
  <c r="M13" i="3"/>
  <c r="M27" i="3"/>
  <c r="M18" i="3"/>
  <c r="U12" i="3"/>
  <c r="D35" i="32" s="1"/>
  <c r="O19" i="3"/>
  <c r="AE62" i="9"/>
  <c r="HL36" i="9"/>
  <c r="CD58" i="9"/>
  <c r="CT58" i="9"/>
  <c r="G21" i="20"/>
  <c r="K21" i="20" s="1"/>
  <c r="DH88" i="9"/>
  <c r="DH87" i="9"/>
  <c r="DH86" i="9"/>
  <c r="DH85" i="9"/>
  <c r="DH83" i="9"/>
  <c r="DH84" i="9"/>
  <c r="DH82" i="9"/>
  <c r="DH52" i="9"/>
  <c r="DH53" i="9"/>
  <c r="DH54" i="9"/>
  <c r="DH32" i="9"/>
  <c r="DH37" i="9"/>
  <c r="DH38" i="9"/>
  <c r="DH43" i="9"/>
  <c r="DH47" i="9"/>
  <c r="DH34" i="9"/>
  <c r="DH41" i="9"/>
  <c r="DH48" i="9"/>
  <c r="DH50" i="9"/>
  <c r="DH51" i="9"/>
  <c r="DH55" i="9"/>
  <c r="CY28" i="9"/>
  <c r="CY29" i="9"/>
  <c r="CY33" i="9"/>
  <c r="CY40" i="9"/>
  <c r="CY42" i="9"/>
  <c r="CY43" i="9"/>
  <c r="CY47" i="9"/>
  <c r="CY30" i="9"/>
  <c r="CY32" i="9"/>
  <c r="CY41" i="9"/>
  <c r="CY48" i="9"/>
  <c r="CY50" i="9"/>
  <c r="CY51" i="9"/>
  <c r="CY55" i="9"/>
  <c r="CY26" i="9"/>
  <c r="CY34" i="9"/>
  <c r="CY44" i="9"/>
  <c r="CY49" i="9"/>
  <c r="CY59" i="9"/>
  <c r="CV23" i="9"/>
  <c r="CV30" i="9"/>
  <c r="CV36" i="9"/>
  <c r="CV44" i="9"/>
  <c r="CV49" i="9"/>
  <c r="CV59" i="9"/>
  <c r="CV31" i="9"/>
  <c r="CV39" i="9"/>
  <c r="CV52" i="9"/>
  <c r="CV53" i="9"/>
  <c r="CV54" i="9"/>
  <c r="CV28" i="9"/>
  <c r="CV40" i="9"/>
  <c r="CV42" i="9"/>
  <c r="CV43" i="9"/>
  <c r="CV47" i="9"/>
  <c r="CT21" i="9"/>
  <c r="CT31" i="9"/>
  <c r="CT40" i="9"/>
  <c r="CT42" i="9"/>
  <c r="CT43" i="9"/>
  <c r="CT47" i="9"/>
  <c r="CT28" i="9"/>
  <c r="CT32" i="9"/>
  <c r="CT33" i="9"/>
  <c r="CT35" i="9"/>
  <c r="CT41" i="9"/>
  <c r="CT48" i="9"/>
  <c r="CT50" i="9"/>
  <c r="CT51" i="9"/>
  <c r="CT55" i="9"/>
  <c r="CT44" i="9"/>
  <c r="CT49" i="9"/>
  <c r="CT59" i="9"/>
  <c r="CN20" i="9"/>
  <c r="CN22" i="9"/>
  <c r="CN34" i="9"/>
  <c r="CN39" i="9"/>
  <c r="CN40" i="9"/>
  <c r="CN42" i="9"/>
  <c r="CN43" i="9"/>
  <c r="CN47" i="9"/>
  <c r="CN26" i="9"/>
  <c r="CN30" i="9"/>
  <c r="CN32" i="9"/>
  <c r="CN41" i="9"/>
  <c r="CN48" i="9"/>
  <c r="CN50" i="9"/>
  <c r="CN51" i="9"/>
  <c r="CN55" i="9"/>
  <c r="CN24" i="9"/>
  <c r="CN29" i="9"/>
  <c r="CN35" i="9"/>
  <c r="CN44" i="9"/>
  <c r="CN49" i="9"/>
  <c r="CN59" i="9"/>
  <c r="CL44" i="9"/>
  <c r="CL49" i="9"/>
  <c r="CL59" i="9"/>
  <c r="CL35" i="9"/>
  <c r="CL37" i="9"/>
  <c r="CL38" i="9"/>
  <c r="CL52" i="9"/>
  <c r="CL53" i="9"/>
  <c r="CL54" i="9"/>
  <c r="CL33" i="9"/>
  <c r="CL36" i="9"/>
  <c r="CL39" i="9"/>
  <c r="CL40" i="9"/>
  <c r="CL42" i="9"/>
  <c r="CL43" i="9"/>
  <c r="CL47" i="9"/>
  <c r="CK26" i="9"/>
  <c r="CK35" i="9"/>
  <c r="CK37" i="9"/>
  <c r="CK38" i="9"/>
  <c r="CK52" i="9"/>
  <c r="CK53" i="9"/>
  <c r="CK54" i="9"/>
  <c r="CK29" i="9"/>
  <c r="CK31" i="9"/>
  <c r="CK33" i="9"/>
  <c r="CK36" i="9"/>
  <c r="CK39" i="9"/>
  <c r="CK40" i="9"/>
  <c r="CK42" i="9"/>
  <c r="CK43" i="9"/>
  <c r="CK47" i="9"/>
  <c r="CK41" i="9"/>
  <c r="CK48" i="9"/>
  <c r="CK50" i="9"/>
  <c r="CK51" i="9"/>
  <c r="CK55" i="9"/>
  <c r="CI23" i="9"/>
  <c r="CI25" i="9"/>
  <c r="CI28" i="9"/>
  <c r="CI40" i="9"/>
  <c r="CI43" i="9"/>
  <c r="CI48" i="9"/>
  <c r="CI50" i="9"/>
  <c r="CI51" i="9"/>
  <c r="CI55" i="9"/>
  <c r="CI41" i="9"/>
  <c r="CI44" i="9"/>
  <c r="CI49" i="9"/>
  <c r="CI59" i="9"/>
  <c r="CI32" i="9"/>
  <c r="CI34" i="9"/>
  <c r="CI35" i="9"/>
  <c r="CI52" i="9"/>
  <c r="CI53" i="9"/>
  <c r="CI54" i="9"/>
  <c r="CF30" i="9"/>
  <c r="CF32" i="9"/>
  <c r="CF35" i="9"/>
  <c r="CF52" i="9"/>
  <c r="CF53" i="9"/>
  <c r="CF54" i="9"/>
  <c r="CF27" i="9"/>
  <c r="CF34" i="9"/>
  <c r="CF37" i="9"/>
  <c r="CF38" i="9"/>
  <c r="CF39" i="9"/>
  <c r="CF42" i="9"/>
  <c r="CF47" i="9"/>
  <c r="CF33" i="9"/>
  <c r="CF40" i="9"/>
  <c r="CF43" i="9"/>
  <c r="CF48" i="9"/>
  <c r="CF50" i="9"/>
  <c r="CF51" i="9"/>
  <c r="CF55" i="9"/>
  <c r="CD19" i="9"/>
  <c r="CD27" i="9"/>
  <c r="CD40" i="9"/>
  <c r="CD43" i="9"/>
  <c r="CD48" i="9"/>
  <c r="CD50" i="9"/>
  <c r="CD51" i="9"/>
  <c r="CD55" i="9"/>
  <c r="CD41" i="9"/>
  <c r="CD44" i="9"/>
  <c r="CD49" i="9"/>
  <c r="CD59" i="9"/>
  <c r="CD35" i="9"/>
  <c r="CD36" i="9"/>
  <c r="CD52" i="9"/>
  <c r="CD53" i="9"/>
  <c r="CD54" i="9"/>
  <c r="CB19" i="9"/>
  <c r="CB29" i="9"/>
  <c r="CB35" i="9"/>
  <c r="CB36" i="9"/>
  <c r="CB52" i="9"/>
  <c r="CB53" i="9"/>
  <c r="CB54" i="9"/>
  <c r="CB37" i="9"/>
  <c r="CB38" i="9"/>
  <c r="CB39" i="9"/>
  <c r="CB42" i="9"/>
  <c r="CB47" i="9"/>
  <c r="CB32" i="9"/>
  <c r="CB34" i="9"/>
  <c r="CB40" i="9"/>
  <c r="CB43" i="9"/>
  <c r="CB48" i="9"/>
  <c r="CB50" i="9"/>
  <c r="CB51" i="9"/>
  <c r="CB55" i="9"/>
  <c r="DA74" i="9"/>
  <c r="DA72" i="9"/>
  <c r="DA35" i="9"/>
  <c r="DA87" i="9"/>
  <c r="CY87" i="9"/>
  <c r="CY86" i="9"/>
  <c r="CY85" i="9"/>
  <c r="CY83" i="9"/>
  <c r="CY84" i="9"/>
  <c r="CV87" i="9"/>
  <c r="CV86" i="9"/>
  <c r="CV85" i="9"/>
  <c r="CV83" i="9"/>
  <c r="CV84" i="9"/>
  <c r="CT87" i="9"/>
  <c r="CT86" i="9"/>
  <c r="CT85" i="9"/>
  <c r="CT83" i="9"/>
  <c r="CT84" i="9"/>
  <c r="CN87" i="9"/>
  <c r="CN86" i="9"/>
  <c r="CN85" i="9"/>
  <c r="CN83" i="9"/>
  <c r="CN84" i="9"/>
  <c r="CK87" i="9"/>
  <c r="CK86" i="9"/>
  <c r="CK85" i="9"/>
  <c r="CK83" i="9"/>
  <c r="CK84" i="9"/>
  <c r="CI87" i="9"/>
  <c r="CI86" i="9"/>
  <c r="CI85" i="9"/>
  <c r="CI83" i="9"/>
  <c r="CI82" i="9"/>
  <c r="CI84" i="9"/>
  <c r="CF87" i="9"/>
  <c r="CF86" i="9"/>
  <c r="CF85" i="9"/>
  <c r="CF83" i="9"/>
  <c r="CF84" i="9"/>
  <c r="CD87" i="9"/>
  <c r="CD86" i="9"/>
  <c r="CD85" i="9"/>
  <c r="CD83" i="9"/>
  <c r="CD82" i="9"/>
  <c r="CD81" i="9"/>
  <c r="CD84" i="9"/>
  <c r="CB87" i="9"/>
  <c r="CB86" i="9"/>
  <c r="CB85" i="9"/>
  <c r="CB83" i="9"/>
  <c r="CB84" i="9"/>
  <c r="CB82" i="9"/>
  <c r="CB81" i="9"/>
  <c r="DA73" i="9"/>
  <c r="DI58" i="9"/>
  <c r="DH45" i="9"/>
  <c r="DH42" i="9"/>
  <c r="DH39" i="9"/>
  <c r="GA35" i="9"/>
  <c r="CL87" i="9"/>
  <c r="CL86" i="9"/>
  <c r="CL85" i="9"/>
  <c r="CL83" i="9"/>
  <c r="CL84" i="9"/>
  <c r="DA86" i="9"/>
  <c r="DA82" i="9"/>
  <c r="DA71" i="9"/>
  <c r="HQ32" i="9"/>
  <c r="HF32" i="9"/>
  <c r="DI88" i="9"/>
  <c r="DI86" i="9"/>
  <c r="DB82" i="9"/>
  <c r="DB87" i="9"/>
  <c r="DB86" i="9"/>
  <c r="DB85" i="9"/>
  <c r="DB83" i="9"/>
  <c r="DB84" i="9"/>
  <c r="CW82" i="9"/>
  <c r="CW87" i="9"/>
  <c r="CW86" i="9"/>
  <c r="CW85" i="9"/>
  <c r="CW83" i="9"/>
  <c r="CW84" i="9"/>
  <c r="CU87" i="9"/>
  <c r="CU86" i="9"/>
  <c r="CU85" i="9"/>
  <c r="CU83" i="9"/>
  <c r="CU82" i="9"/>
  <c r="CU84" i="9"/>
  <c r="CR87" i="9"/>
  <c r="CS87" i="9" s="1"/>
  <c r="CR86" i="9"/>
  <c r="CS86" i="9" s="1"/>
  <c r="CP87" i="9"/>
  <c r="CP86" i="9"/>
  <c r="CP85" i="9"/>
  <c r="CP83" i="9"/>
  <c r="CP82" i="9"/>
  <c r="CP84" i="9"/>
  <c r="CM82" i="9"/>
  <c r="CM87" i="9"/>
  <c r="CM86" i="9"/>
  <c r="CM85" i="9"/>
  <c r="CM83" i="9"/>
  <c r="CM84" i="9"/>
  <c r="CJ87" i="9"/>
  <c r="CJ86" i="9"/>
  <c r="CH87" i="9"/>
  <c r="CH86" i="9"/>
  <c r="CH85" i="9"/>
  <c r="CH83" i="9"/>
  <c r="CH84" i="9"/>
  <c r="CH82" i="9"/>
  <c r="CE87" i="9"/>
  <c r="CE86" i="9"/>
  <c r="CE85" i="9"/>
  <c r="CE83" i="9"/>
  <c r="CE84" i="9"/>
  <c r="CE81" i="9"/>
  <c r="CE82" i="9"/>
  <c r="CC87" i="9"/>
  <c r="CC86" i="9"/>
  <c r="CC85" i="9"/>
  <c r="CC83" i="9"/>
  <c r="CC82" i="9"/>
  <c r="CC81" i="9"/>
  <c r="CC84" i="9"/>
  <c r="CA87" i="9"/>
  <c r="CA86" i="9"/>
  <c r="CA85" i="9"/>
  <c r="CA83" i="9"/>
  <c r="CA81" i="9"/>
  <c r="CA82" i="9"/>
  <c r="CA84" i="9"/>
  <c r="BY88" i="9"/>
  <c r="BY87" i="9"/>
  <c r="BY86" i="9"/>
  <c r="BY85" i="9"/>
  <c r="BY83" i="9"/>
  <c r="BY84" i="9"/>
  <c r="BY82" i="9"/>
  <c r="CZ86" i="9"/>
  <c r="CZ85" i="9"/>
  <c r="DA85" i="9"/>
  <c r="EP45" i="9"/>
  <c r="CJ85" i="9"/>
  <c r="CJ83" i="9"/>
  <c r="CJ82" i="9"/>
  <c r="CJ84" i="9"/>
  <c r="CJ43" i="9"/>
  <c r="CJ41" i="9"/>
  <c r="CJ38" i="9"/>
  <c r="CJ34" i="9"/>
  <c r="DA83" i="9"/>
  <c r="DA84" i="9"/>
  <c r="CJ37" i="9"/>
  <c r="GW31" i="9"/>
  <c r="CZ83" i="9"/>
  <c r="CZ84" i="9"/>
  <c r="CR85" i="9"/>
  <c r="CS85" i="9" s="1"/>
  <c r="CR83" i="9"/>
  <c r="CS83" i="9" s="1"/>
  <c r="CR84" i="9"/>
  <c r="CS84" i="9" s="1"/>
  <c r="CR82" i="9"/>
  <c r="CS82" i="9" s="1"/>
  <c r="CR81" i="9"/>
  <c r="CS81" i="9" s="1"/>
  <c r="CM45" i="9"/>
  <c r="CJ40" i="9"/>
  <c r="DI85" i="9"/>
  <c r="DI83" i="9"/>
  <c r="DI84" i="9"/>
  <c r="FJ25" i="9"/>
  <c r="FJ26" i="9" s="1"/>
  <c r="FJ27" i="9" s="1"/>
  <c r="FJ28" i="9" s="1"/>
  <c r="FJ29" i="9" s="1"/>
  <c r="FJ30" i="9" s="1"/>
  <c r="FJ31" i="9" s="1"/>
  <c r="FJ32" i="9" s="1"/>
  <c r="FJ33" i="9" s="1"/>
  <c r="FV24" i="9"/>
  <c r="CB46" i="9"/>
  <c r="DH81" i="9"/>
  <c r="CK28" i="9"/>
  <c r="CR46" i="9"/>
  <c r="CS46" i="9" s="1"/>
  <c r="BY46" i="9"/>
  <c r="CY82" i="9"/>
  <c r="CV82" i="9"/>
  <c r="CT82" i="9"/>
  <c r="CN82" i="9"/>
  <c r="CK82" i="9"/>
  <c r="CF82" i="9"/>
  <c r="DA46" i="9"/>
  <c r="DH19" i="9"/>
  <c r="CL82" i="9"/>
  <c r="DH22" i="9"/>
  <c r="CK21" i="9"/>
  <c r="DI81" i="9"/>
  <c r="DB30" i="9"/>
  <c r="DB81" i="9"/>
  <c r="CZ81" i="9"/>
  <c r="CW28" i="9"/>
  <c r="CW81" i="9"/>
  <c r="CU23" i="9"/>
  <c r="CU81" i="9"/>
  <c r="CP81" i="9"/>
  <c r="CM26" i="9"/>
  <c r="CM81" i="9"/>
  <c r="CJ31" i="9"/>
  <c r="CJ81" i="9"/>
  <c r="CH27" i="9"/>
  <c r="CH81" i="9"/>
  <c r="BY81" i="9"/>
  <c r="BF53" i="9"/>
  <c r="BG53" i="9" s="1"/>
  <c r="CZ53" i="9" s="1"/>
  <c r="HL26" i="9"/>
  <c r="E26" i="9"/>
  <c r="HL30" i="9"/>
  <c r="A47" i="20"/>
  <c r="BH61" i="9"/>
  <c r="BJ61" i="9" s="1"/>
  <c r="DA61" i="9" s="1"/>
  <c r="HQ26" i="9"/>
  <c r="BG30" i="9"/>
  <c r="CZ30" i="9" s="1"/>
  <c r="HF37" i="9"/>
  <c r="GA47" i="9"/>
  <c r="A30" i="20"/>
  <c r="G30" i="20" s="1"/>
  <c r="K30" i="20" s="1"/>
  <c r="G29" i="20"/>
  <c r="K29" i="20" s="1"/>
  <c r="C59" i="9"/>
  <c r="C60" i="9" s="1"/>
  <c r="HN45" i="9"/>
  <c r="CI31" i="9"/>
  <c r="DH30" i="9"/>
  <c r="CK30" i="9"/>
  <c r="DH29" i="9"/>
  <c r="CV29" i="9"/>
  <c r="CF29" i="9"/>
  <c r="DH27" i="9"/>
  <c r="CK27" i="9"/>
  <c r="CB27" i="9"/>
  <c r="CT26" i="9"/>
  <c r="CF26" i="9"/>
  <c r="CV25" i="9"/>
  <c r="CD25" i="9"/>
  <c r="CI24" i="9"/>
  <c r="DH23" i="9"/>
  <c r="CD22" i="9"/>
  <c r="CD20" i="9"/>
  <c r="DA81" i="9"/>
  <c r="CY81" i="9"/>
  <c r="CV81" i="9"/>
  <c r="CT81" i="9"/>
  <c r="CN81" i="9"/>
  <c r="CK81" i="9"/>
  <c r="CI81" i="9"/>
  <c r="CF81" i="9"/>
  <c r="HQ47" i="9"/>
  <c r="HC26" i="9"/>
  <c r="HL37" i="9"/>
  <c r="FX37" i="9"/>
  <c r="A26" i="20"/>
  <c r="G26" i="20" s="1"/>
  <c r="K26" i="20" s="1"/>
  <c r="DH40" i="9"/>
  <c r="CY39" i="9"/>
  <c r="CT39" i="9"/>
  <c r="CY38" i="9"/>
  <c r="CT38" i="9"/>
  <c r="CN38" i="9"/>
  <c r="CY37" i="9"/>
  <c r="CT37" i="9"/>
  <c r="CN37" i="9"/>
  <c r="DH36" i="9"/>
  <c r="CY36" i="9"/>
  <c r="CT36" i="9"/>
  <c r="CN36" i="9"/>
  <c r="CI36" i="9"/>
  <c r="CV35" i="9"/>
  <c r="CV34" i="9"/>
  <c r="CK34" i="9"/>
  <c r="CN33" i="9"/>
  <c r="CI33" i="9"/>
  <c r="CD33" i="9"/>
  <c r="CK32" i="9"/>
  <c r="CD32" i="9"/>
  <c r="CY31" i="9"/>
  <c r="CN31" i="9"/>
  <c r="CF31" i="9"/>
  <c r="CI30" i="9"/>
  <c r="CD29" i="9"/>
  <c r="CB28" i="9"/>
  <c r="CI27" i="9"/>
  <c r="DH26" i="9"/>
  <c r="CD26" i="9"/>
  <c r="CN25" i="9"/>
  <c r="DH24" i="9"/>
  <c r="CF24" i="9"/>
  <c r="CL30" i="9"/>
  <c r="CL81" i="9"/>
  <c r="DH80" i="9"/>
  <c r="DH79" i="9"/>
  <c r="D39" i="32"/>
  <c r="CW31" i="9"/>
  <c r="CD31" i="9"/>
  <c r="CT30" i="9"/>
  <c r="CD30" i="9"/>
  <c r="CT29" i="9"/>
  <c r="CI29" i="9"/>
  <c r="CN28" i="9"/>
  <c r="CD28" i="9"/>
  <c r="DI28" i="9"/>
  <c r="CV27" i="9"/>
  <c r="CV26" i="9"/>
  <c r="CB26" i="9"/>
  <c r="CT25" i="9"/>
  <c r="CF25" i="9"/>
  <c r="CT24" i="9"/>
  <c r="CD24" i="9"/>
  <c r="DH21" i="9"/>
  <c r="DH20" i="9"/>
  <c r="DA80" i="9"/>
  <c r="DA79" i="9"/>
  <c r="CY80" i="9"/>
  <c r="CY79" i="9"/>
  <c r="CV79" i="9"/>
  <c r="CV80" i="9"/>
  <c r="CT80" i="9"/>
  <c r="CT79" i="9"/>
  <c r="CN79" i="9"/>
  <c r="CN80" i="9"/>
  <c r="CK79" i="9"/>
  <c r="CK80" i="9"/>
  <c r="CI80" i="9"/>
  <c r="CI79" i="9"/>
  <c r="CF80" i="9"/>
  <c r="CF79" i="9"/>
  <c r="CD80" i="9"/>
  <c r="CD79" i="9"/>
  <c r="CB79" i="9"/>
  <c r="CB80" i="9"/>
  <c r="HM106" i="9"/>
  <c r="HM102" i="9"/>
  <c r="HM98" i="9"/>
  <c r="DB31" i="9"/>
  <c r="CW26" i="9"/>
  <c r="CU19" i="9"/>
  <c r="CR33" i="9"/>
  <c r="CS33" i="9" s="1"/>
  <c r="CP31" i="9"/>
  <c r="CM23" i="9"/>
  <c r="CL29" i="9"/>
  <c r="CL80" i="9"/>
  <c r="CL79" i="9"/>
  <c r="CJ32" i="9"/>
  <c r="CH25" i="9"/>
  <c r="CE32" i="9"/>
  <c r="CC26" i="9"/>
  <c r="CA25" i="9"/>
  <c r="BY27" i="9"/>
  <c r="HK60" i="9"/>
  <c r="HP41" i="9"/>
  <c r="DI80" i="9"/>
  <c r="DI79" i="9"/>
  <c r="DB80" i="9"/>
  <c r="DB79" i="9"/>
  <c r="CZ80" i="9"/>
  <c r="CZ79" i="9"/>
  <c r="CW79" i="9"/>
  <c r="CW80" i="9"/>
  <c r="CU22" i="9"/>
  <c r="CU79" i="9"/>
  <c r="CU80" i="9"/>
  <c r="CR80" i="9"/>
  <c r="CS80" i="9" s="1"/>
  <c r="CR79" i="9"/>
  <c r="CS79" i="9" s="1"/>
  <c r="CP79" i="9"/>
  <c r="CP80" i="9"/>
  <c r="CM80" i="9"/>
  <c r="CM79" i="9"/>
  <c r="CJ80" i="9"/>
  <c r="CJ79" i="9"/>
  <c r="CH80" i="9"/>
  <c r="CH79" i="9"/>
  <c r="CE80" i="9"/>
  <c r="CE79" i="9"/>
  <c r="CC79" i="9"/>
  <c r="CC80" i="9"/>
  <c r="CA79" i="9"/>
  <c r="CA80" i="9"/>
  <c r="BY80" i="9"/>
  <c r="BY79" i="9"/>
  <c r="K10" i="20"/>
  <c r="C44" i="32"/>
  <c r="AD1" i="32"/>
  <c r="C38" i="32"/>
  <c r="EF45" i="9"/>
  <c r="CU31" i="9"/>
  <c r="DI31" i="9"/>
  <c r="CW30" i="9"/>
  <c r="CR30" i="9"/>
  <c r="CS30" i="9" s="1"/>
  <c r="CM30" i="9"/>
  <c r="CH30" i="9"/>
  <c r="CR29" i="9"/>
  <c r="CS29" i="9" s="1"/>
  <c r="CR28" i="9"/>
  <c r="CS28" i="9" s="1"/>
  <c r="BY28" i="9"/>
  <c r="CR27" i="9"/>
  <c r="CS27" i="9" s="1"/>
  <c r="CC27" i="9"/>
  <c r="CH26" i="9"/>
  <c r="CM24" i="9"/>
  <c r="CA24" i="9"/>
  <c r="HM21" i="9"/>
  <c r="DA78" i="9"/>
  <c r="DA77" i="9"/>
  <c r="DA76" i="9"/>
  <c r="DA75" i="9"/>
  <c r="CY66" i="9"/>
  <c r="CY78" i="9"/>
  <c r="CY77" i="9"/>
  <c r="CY76" i="9"/>
  <c r="CY75" i="9"/>
  <c r="CY74" i="9"/>
  <c r="CY73" i="9"/>
  <c r="CY72" i="9"/>
  <c r="CY69" i="9"/>
  <c r="CY70" i="9"/>
  <c r="CY71" i="9"/>
  <c r="CY68" i="9"/>
  <c r="CY67" i="9"/>
  <c r="CV66" i="9"/>
  <c r="CV78" i="9"/>
  <c r="CV77" i="9"/>
  <c r="CV75" i="9"/>
  <c r="CV76" i="9"/>
  <c r="CV74" i="9"/>
  <c r="CV73" i="9"/>
  <c r="CV72" i="9"/>
  <c r="CV69" i="9"/>
  <c r="CV70" i="9"/>
  <c r="CV71" i="9"/>
  <c r="CV68" i="9"/>
  <c r="CV67" i="9"/>
  <c r="CT66" i="9"/>
  <c r="CT77" i="9"/>
  <c r="CT78" i="9"/>
  <c r="CT76" i="9"/>
  <c r="CT75" i="9"/>
  <c r="CT74" i="9"/>
  <c r="CT73" i="9"/>
  <c r="CT72" i="9"/>
  <c r="CT70" i="9"/>
  <c r="CT69" i="9"/>
  <c r="CT71" i="9"/>
  <c r="CT68" i="9"/>
  <c r="CT67" i="9"/>
  <c r="CN66" i="9"/>
  <c r="CN77" i="9"/>
  <c r="CN78" i="9"/>
  <c r="CN76" i="9"/>
  <c r="CN75" i="9"/>
  <c r="CN74" i="9"/>
  <c r="CN73" i="9"/>
  <c r="CN72" i="9"/>
  <c r="CN70" i="9"/>
  <c r="CN69" i="9"/>
  <c r="CN71" i="9"/>
  <c r="CN68" i="9"/>
  <c r="CN67" i="9"/>
  <c r="CK66" i="9"/>
  <c r="CK78" i="9"/>
  <c r="CK77" i="9"/>
  <c r="CK76" i="9"/>
  <c r="CK75" i="9"/>
  <c r="CK74" i="9"/>
  <c r="CK73" i="9"/>
  <c r="CK72" i="9"/>
  <c r="CK70" i="9"/>
  <c r="CK71" i="9"/>
  <c r="CK69" i="9"/>
  <c r="CK68" i="9"/>
  <c r="CK67" i="9"/>
  <c r="CI66" i="9"/>
  <c r="CI78" i="9"/>
  <c r="CI77" i="9"/>
  <c r="CI76" i="9"/>
  <c r="CI75" i="9"/>
  <c r="CI74" i="9"/>
  <c r="CI73" i="9"/>
  <c r="CI72" i="9"/>
  <c r="CI69" i="9"/>
  <c r="CI71" i="9"/>
  <c r="CI70" i="9"/>
  <c r="CI68" i="9"/>
  <c r="CI67" i="9"/>
  <c r="CF66" i="9"/>
  <c r="CF77" i="9"/>
  <c r="CF78" i="9"/>
  <c r="CF76" i="9"/>
  <c r="CF75" i="9"/>
  <c r="CF74" i="9"/>
  <c r="CF73" i="9"/>
  <c r="CF72" i="9"/>
  <c r="CF70" i="9"/>
  <c r="CF69" i="9"/>
  <c r="CF71" i="9"/>
  <c r="CF68" i="9"/>
  <c r="CF67" i="9"/>
  <c r="CD66" i="9"/>
  <c r="CD78" i="9"/>
  <c r="CD77" i="9"/>
  <c r="CD76" i="9"/>
  <c r="CD75" i="9"/>
  <c r="CD74" i="9"/>
  <c r="CD73" i="9"/>
  <c r="CD72" i="9"/>
  <c r="CD69" i="9"/>
  <c r="CD70" i="9"/>
  <c r="CD71" i="9"/>
  <c r="CD68" i="9"/>
  <c r="CD67" i="9"/>
  <c r="CB66" i="9"/>
  <c r="CB78" i="9"/>
  <c r="CB77" i="9"/>
  <c r="CB76" i="9"/>
  <c r="CB75" i="9"/>
  <c r="CB74" i="9"/>
  <c r="CB73" i="9"/>
  <c r="CB72" i="9"/>
  <c r="CB69" i="9"/>
  <c r="CB71" i="9"/>
  <c r="CB70" i="9"/>
  <c r="CB68" i="9"/>
  <c r="CB67" i="9"/>
  <c r="HK59" i="9"/>
  <c r="HM59" i="9" s="1"/>
  <c r="CF46" i="9"/>
  <c r="CV46" i="9"/>
  <c r="CC46" i="9"/>
  <c r="DH46" i="9"/>
  <c r="CL78" i="9"/>
  <c r="CL77" i="9"/>
  <c r="CL76" i="9"/>
  <c r="CL75" i="9"/>
  <c r="CL74" i="9"/>
  <c r="CL73" i="9"/>
  <c r="CL72" i="9"/>
  <c r="CL70" i="9"/>
  <c r="CL69" i="9"/>
  <c r="CL71" i="9"/>
  <c r="CL68" i="9"/>
  <c r="CL67" i="9"/>
  <c r="CJ46" i="9"/>
  <c r="CK46" i="9"/>
  <c r="AB18" i="32"/>
  <c r="CC29" i="9"/>
  <c r="CH28" i="9"/>
  <c r="CW27" i="9"/>
  <c r="CL27" i="9"/>
  <c r="CR26" i="9"/>
  <c r="CS26" i="9" s="1"/>
  <c r="CL26" i="9"/>
  <c r="CU25" i="9"/>
  <c r="CC25" i="9"/>
  <c r="CH22" i="9"/>
  <c r="BI22" i="9"/>
  <c r="DI78" i="9"/>
  <c r="DI77" i="9"/>
  <c r="DI75" i="9"/>
  <c r="DI76" i="9"/>
  <c r="DB77" i="9"/>
  <c r="DB78" i="9"/>
  <c r="DB76" i="9"/>
  <c r="DB75" i="9"/>
  <c r="DB74" i="9"/>
  <c r="DB73" i="9"/>
  <c r="DB72" i="9"/>
  <c r="DB70" i="9"/>
  <c r="DB71" i="9"/>
  <c r="DB69" i="9"/>
  <c r="DB68" i="9"/>
  <c r="DB67" i="9"/>
  <c r="CZ78" i="9"/>
  <c r="CZ77" i="9"/>
  <c r="CZ75" i="9"/>
  <c r="CW77" i="9"/>
  <c r="CW78" i="9"/>
  <c r="CW75" i="9"/>
  <c r="CW76" i="9"/>
  <c r="CW74" i="9"/>
  <c r="CW73" i="9"/>
  <c r="CW72" i="9"/>
  <c r="CW70" i="9"/>
  <c r="CW71" i="9"/>
  <c r="CW69" i="9"/>
  <c r="CW68" i="9"/>
  <c r="CW67" i="9"/>
  <c r="CU78" i="9"/>
  <c r="CU77" i="9"/>
  <c r="CU76" i="9"/>
  <c r="CU75" i="9"/>
  <c r="CU74" i="9"/>
  <c r="CU73" i="9"/>
  <c r="CU72" i="9"/>
  <c r="CU69" i="9"/>
  <c r="CU71" i="9"/>
  <c r="CU70" i="9"/>
  <c r="CU68" i="9"/>
  <c r="CU67" i="9"/>
  <c r="CR78" i="9"/>
  <c r="CS78" i="9" s="1"/>
  <c r="CR77" i="9"/>
  <c r="CS77" i="9" s="1"/>
  <c r="CR76" i="9"/>
  <c r="CS76" i="9" s="1"/>
  <c r="CR75" i="9"/>
  <c r="CS75" i="9" s="1"/>
  <c r="CP77" i="9"/>
  <c r="CP78" i="9"/>
  <c r="CP76" i="9"/>
  <c r="CP75" i="9"/>
  <c r="CP74" i="9"/>
  <c r="CP73" i="9"/>
  <c r="CP72" i="9"/>
  <c r="CP71" i="9"/>
  <c r="CP70" i="9"/>
  <c r="CP69" i="9"/>
  <c r="CP68" i="9"/>
  <c r="CP67" i="9"/>
  <c r="CM78" i="9"/>
  <c r="CM77" i="9"/>
  <c r="CM76" i="9"/>
  <c r="CM75" i="9"/>
  <c r="CM74" i="9"/>
  <c r="CM73" i="9"/>
  <c r="CM72" i="9"/>
  <c r="CM70" i="9"/>
  <c r="CM69" i="9"/>
  <c r="CM71" i="9"/>
  <c r="CM68" i="9"/>
  <c r="CM67" i="9"/>
  <c r="CJ77" i="9"/>
  <c r="CJ78" i="9"/>
  <c r="CJ76" i="9"/>
  <c r="CJ75" i="9"/>
  <c r="CH78" i="9"/>
  <c r="CH77" i="9"/>
  <c r="CH75" i="9"/>
  <c r="CH76" i="9"/>
  <c r="CH74" i="9"/>
  <c r="CH73" i="9"/>
  <c r="CH72" i="9"/>
  <c r="CH70" i="9"/>
  <c r="CH69" i="9"/>
  <c r="CH71" i="9"/>
  <c r="CH68" i="9"/>
  <c r="CH67" i="9"/>
  <c r="CE77" i="9"/>
  <c r="CE78" i="9"/>
  <c r="CE76" i="9"/>
  <c r="CE75" i="9"/>
  <c r="CE74" i="9"/>
  <c r="CE72" i="9"/>
  <c r="CE73" i="9"/>
  <c r="CE69" i="9"/>
  <c r="CE71" i="9"/>
  <c r="CE70" i="9"/>
  <c r="CE68" i="9"/>
  <c r="CE67" i="9"/>
  <c r="CC78" i="9"/>
  <c r="CC77" i="9"/>
  <c r="CC75" i="9"/>
  <c r="CC76" i="9"/>
  <c r="CC74" i="9"/>
  <c r="CC73" i="9"/>
  <c r="CC72" i="9"/>
  <c r="CC69" i="9"/>
  <c r="CC70" i="9"/>
  <c r="CC71" i="9"/>
  <c r="CC68" i="9"/>
  <c r="CC67" i="9"/>
  <c r="CA77" i="9"/>
  <c r="CA78" i="9"/>
  <c r="CA76" i="9"/>
  <c r="CA75" i="9"/>
  <c r="CA74" i="9"/>
  <c r="CA73" i="9"/>
  <c r="CA72" i="9"/>
  <c r="CA69" i="9"/>
  <c r="CA71" i="9"/>
  <c r="CA70" i="9"/>
  <c r="CA68" i="9"/>
  <c r="CA67" i="9"/>
  <c r="BY66" i="9"/>
  <c r="BY78" i="9"/>
  <c r="BY77" i="9"/>
  <c r="BY76" i="9"/>
  <c r="BY75" i="9"/>
  <c r="BY74" i="9"/>
  <c r="BY73" i="9"/>
  <c r="BY72" i="9"/>
  <c r="BY69" i="9"/>
  <c r="BY71" i="9"/>
  <c r="BY70" i="9"/>
  <c r="BY68" i="9"/>
  <c r="BY67" i="9"/>
  <c r="HK61" i="9"/>
  <c r="GA46" i="9"/>
  <c r="HK40" i="9"/>
  <c r="HM40" i="9" s="1"/>
  <c r="CN46" i="9"/>
  <c r="CW46" i="9"/>
  <c r="HC46" i="9"/>
  <c r="A35" i="20"/>
  <c r="G35" i="20" s="1"/>
  <c r="K35" i="20" s="1"/>
  <c r="HM104" i="9"/>
  <c r="HM100" i="9"/>
  <c r="HM96" i="9"/>
  <c r="CK58" i="9"/>
  <c r="BY37" i="9"/>
  <c r="CJ36" i="9"/>
  <c r="CE36" i="9"/>
  <c r="CA36" i="9"/>
  <c r="CW35" i="9"/>
  <c r="CR35" i="9"/>
  <c r="CS35" i="9" s="1"/>
  <c r="CM35" i="9"/>
  <c r="CL34" i="9"/>
  <c r="CH34" i="9"/>
  <c r="CC34" i="9"/>
  <c r="BY34" i="9"/>
  <c r="CW33" i="9"/>
  <c r="CM33" i="9"/>
  <c r="HM32" i="9"/>
  <c r="CA32" i="9"/>
  <c r="CL31" i="9"/>
  <c r="CH31" i="9"/>
  <c r="CC31" i="9"/>
  <c r="BY31" i="9"/>
  <c r="CC30" i="9"/>
  <c r="DI30" i="9"/>
  <c r="CM29" i="9"/>
  <c r="CH29" i="9"/>
  <c r="CM28" i="9"/>
  <c r="HL21" i="9"/>
  <c r="DH78" i="9"/>
  <c r="DH77" i="9"/>
  <c r="DH75" i="9"/>
  <c r="DH76" i="9"/>
  <c r="DH74" i="9"/>
  <c r="DH73" i="9"/>
  <c r="DH72" i="9"/>
  <c r="DH71" i="9"/>
  <c r="DH69" i="9"/>
  <c r="DH70" i="9"/>
  <c r="DH68" i="9"/>
  <c r="DH67" i="9"/>
  <c r="CZ76" i="9"/>
  <c r="GE68" i="9"/>
  <c r="EW25" i="9"/>
  <c r="EX24" i="9"/>
  <c r="DM33" i="9"/>
  <c r="BG55" i="9"/>
  <c r="CZ55" i="9" s="1"/>
  <c r="CJ74" i="9"/>
  <c r="CJ73" i="9"/>
  <c r="CJ72" i="9"/>
  <c r="CJ70" i="9"/>
  <c r="CJ69" i="9"/>
  <c r="CJ71" i="9"/>
  <c r="CJ68" i="9"/>
  <c r="CJ67" i="9"/>
  <c r="D42" i="32"/>
  <c r="CT46" i="9"/>
  <c r="II36" i="9"/>
  <c r="II33" i="9"/>
  <c r="HM33" i="9"/>
  <c r="GW28" i="9"/>
  <c r="HF31" i="9"/>
  <c r="CR74" i="9"/>
  <c r="CS74" i="9" s="1"/>
  <c r="CR73" i="9"/>
  <c r="CS73" i="9" s="1"/>
  <c r="CR72" i="9"/>
  <c r="CS72" i="9" s="1"/>
  <c r="CR69" i="9"/>
  <c r="CS69" i="9" s="1"/>
  <c r="CR70" i="9"/>
  <c r="CS70" i="9" s="1"/>
  <c r="CR71" i="9"/>
  <c r="CS71" i="9" s="1"/>
  <c r="CR68" i="9"/>
  <c r="CS68" i="9" s="1"/>
  <c r="CR67" i="9"/>
  <c r="CS67" i="9" s="1"/>
  <c r="CZ58" i="9"/>
  <c r="HL31" i="9"/>
  <c r="D44" i="32"/>
  <c r="C49" i="32"/>
  <c r="C36" i="32"/>
  <c r="C37" i="32"/>
  <c r="D41" i="32"/>
  <c r="C48" i="32"/>
  <c r="C47" i="32"/>
  <c r="AC9" i="32"/>
  <c r="AG9" i="32" s="1"/>
  <c r="AJ9" i="32" s="1"/>
  <c r="C39" i="32"/>
  <c r="C40" i="32"/>
  <c r="C41" i="32"/>
  <c r="D37" i="32"/>
  <c r="AD9" i="32"/>
  <c r="AH9" i="32" s="1"/>
  <c r="AK9" i="32" s="1"/>
  <c r="DI71" i="9"/>
  <c r="EQ56" i="9"/>
  <c r="EQ57" i="9" s="1"/>
  <c r="EQ59" i="9" s="1"/>
  <c r="EQ60" i="9" s="1"/>
  <c r="EQ61" i="9" s="1"/>
  <c r="EQ62" i="9" s="1"/>
  <c r="EQ63" i="9" s="1"/>
  <c r="EJ56" i="9"/>
  <c r="EJ57" i="9" s="1"/>
  <c r="EJ58" i="9" s="1"/>
  <c r="EJ59" i="9" s="1"/>
  <c r="DI67" i="9"/>
  <c r="HF58" i="9"/>
  <c r="HL58" i="9"/>
  <c r="FL20" i="9"/>
  <c r="FL21" i="9" s="1"/>
  <c r="FV21" i="9" s="1"/>
  <c r="FV19" i="9"/>
  <c r="EK45" i="9"/>
  <c r="HM126" i="9"/>
  <c r="HM105" i="9"/>
  <c r="HM101" i="9"/>
  <c r="HM97" i="9"/>
  <c r="CH57" i="9"/>
  <c r="HM37" i="9"/>
  <c r="BG29" i="9"/>
  <c r="CZ29" i="9" s="1"/>
  <c r="HI24" i="9"/>
  <c r="CY22" i="9"/>
  <c r="CI22" i="9"/>
  <c r="GA21" i="9"/>
  <c r="CY21" i="9"/>
  <c r="CF21" i="9"/>
  <c r="CF20" i="9"/>
  <c r="DA20" i="9"/>
  <c r="CV19" i="9"/>
  <c r="CL66" i="9"/>
  <c r="B48" i="9"/>
  <c r="HM27" i="9"/>
  <c r="DA21" i="9"/>
  <c r="CY20" i="9"/>
  <c r="DB65" i="9"/>
  <c r="DB66" i="9"/>
  <c r="CW65" i="9"/>
  <c r="CW66" i="9"/>
  <c r="CU65" i="9"/>
  <c r="CU66" i="9"/>
  <c r="CR65" i="9"/>
  <c r="CS65" i="9" s="1"/>
  <c r="CR66" i="9"/>
  <c r="CS66" i="9" s="1"/>
  <c r="CP65" i="9"/>
  <c r="CP66" i="9"/>
  <c r="CM65" i="9"/>
  <c r="CM66" i="9"/>
  <c r="CJ65" i="9"/>
  <c r="CJ66" i="9"/>
  <c r="CH65" i="9"/>
  <c r="CH66" i="9"/>
  <c r="CE65" i="9"/>
  <c r="CE66" i="9"/>
  <c r="CC65" i="9"/>
  <c r="CC66" i="9"/>
  <c r="CA65" i="9"/>
  <c r="CA66" i="9"/>
  <c r="HM129" i="9"/>
  <c r="HM103" i="9"/>
  <c r="HM99" i="9"/>
  <c r="II39" i="9"/>
  <c r="HP43" i="9"/>
  <c r="HI27" i="9"/>
  <c r="CY25" i="9"/>
  <c r="CY24" i="9"/>
  <c r="CD23" i="9"/>
  <c r="CT22" i="9"/>
  <c r="CF22" i="9"/>
  <c r="CN21" i="9"/>
  <c r="CB21" i="9"/>
  <c r="CT20" i="9"/>
  <c r="CF19" i="9"/>
  <c r="DH65" i="9"/>
  <c r="DH66" i="9"/>
  <c r="B64" i="9"/>
  <c r="B65" i="9" s="1"/>
  <c r="B66" i="9" s="1"/>
  <c r="BE31" i="9"/>
  <c r="BG31" i="9" s="1"/>
  <c r="CZ31" i="9" s="1"/>
  <c r="V12" i="32"/>
  <c r="AB12" i="32" s="1"/>
  <c r="HF28" i="9"/>
  <c r="HM123" i="9"/>
  <c r="HM119" i="9"/>
  <c r="HM115" i="9"/>
  <c r="HM111" i="9"/>
  <c r="HM107" i="9"/>
  <c r="HM95" i="9"/>
  <c r="HM81" i="9"/>
  <c r="HK76" i="9"/>
  <c r="HM76" i="9" s="1"/>
  <c r="HK56" i="9"/>
  <c r="CA45" i="9"/>
  <c r="CD45" i="9"/>
  <c r="CU45" i="9"/>
  <c r="CI45" i="9"/>
  <c r="CY45" i="9"/>
  <c r="HL28" i="9"/>
  <c r="HP42" i="9"/>
  <c r="HN44" i="9"/>
  <c r="A28" i="20"/>
  <c r="V19" i="32"/>
  <c r="AB19" i="32" s="1"/>
  <c r="E35" i="9"/>
  <c r="HI35" i="9"/>
  <c r="CY65" i="9"/>
  <c r="CV65" i="9"/>
  <c r="CT65" i="9"/>
  <c r="CN65" i="9"/>
  <c r="CK65" i="9"/>
  <c r="CI65" i="9"/>
  <c r="CF65" i="9"/>
  <c r="CD65" i="9"/>
  <c r="CB65" i="9"/>
  <c r="HK58" i="9"/>
  <c r="II50" i="9"/>
  <c r="II34" i="9"/>
  <c r="II22" i="9"/>
  <c r="CL65" i="9"/>
  <c r="HM124" i="9"/>
  <c r="HM108" i="9"/>
  <c r="HM87" i="9"/>
  <c r="HM79" i="9"/>
  <c r="II59" i="9"/>
  <c r="BG42" i="9"/>
  <c r="CZ42" i="9" s="1"/>
  <c r="HM35" i="9"/>
  <c r="HI31" i="9"/>
  <c r="HC31" i="9"/>
  <c r="GA31" i="9"/>
  <c r="HQ25" i="9"/>
  <c r="II23" i="9"/>
  <c r="BY65" i="9"/>
  <c r="FC23" i="9"/>
  <c r="CR20" i="9"/>
  <c r="DI65" i="9"/>
  <c r="CZ65" i="9"/>
  <c r="DO27" i="9"/>
  <c r="DO28" i="9" s="1"/>
  <c r="EA28" i="9" s="1"/>
  <c r="EA26" i="9"/>
  <c r="GW27" i="9"/>
  <c r="DB27" i="9"/>
  <c r="DB26" i="9"/>
  <c r="DB28" i="9"/>
  <c r="DB29" i="9"/>
  <c r="CW21" i="9"/>
  <c r="CW22" i="9"/>
  <c r="CW19" i="9"/>
  <c r="CW23" i="9"/>
  <c r="CW24" i="9"/>
  <c r="CW25" i="9"/>
  <c r="CW20" i="9"/>
  <c r="CU24" i="9"/>
  <c r="CU27" i="9"/>
  <c r="CU20" i="9"/>
  <c r="CU26" i="9"/>
  <c r="CU28" i="9"/>
  <c r="CU29" i="9"/>
  <c r="CR21" i="9"/>
  <c r="CR22" i="9"/>
  <c r="CS22" i="9" s="1"/>
  <c r="CR25" i="9"/>
  <c r="CS25" i="9" s="1"/>
  <c r="CR23" i="9"/>
  <c r="CS23" i="9" s="1"/>
  <c r="CR24" i="9"/>
  <c r="CS24" i="9" s="1"/>
  <c r="CP21" i="9"/>
  <c r="CP22" i="9"/>
  <c r="CP23" i="9"/>
  <c r="CP25" i="9"/>
  <c r="CP24" i="9"/>
  <c r="CP26" i="9"/>
  <c r="CP27" i="9"/>
  <c r="CP28" i="9"/>
  <c r="CP29" i="9"/>
  <c r="CP19" i="9"/>
  <c r="CP20" i="9"/>
  <c r="CM20" i="9"/>
  <c r="CM27" i="9"/>
  <c r="CM19" i="9"/>
  <c r="CM21" i="9"/>
  <c r="CM22" i="9"/>
  <c r="CL64" i="9"/>
  <c r="CL19" i="9"/>
  <c r="CL23" i="9"/>
  <c r="CJ21" i="9"/>
  <c r="CJ26" i="9"/>
  <c r="CJ29" i="9"/>
  <c r="CJ22" i="9"/>
  <c r="CJ23" i="9"/>
  <c r="CJ25" i="9"/>
  <c r="CJ27" i="9"/>
  <c r="CJ28" i="9"/>
  <c r="CJ30" i="9"/>
  <c r="CJ24" i="9"/>
  <c r="CH24" i="9"/>
  <c r="CH20" i="9"/>
  <c r="CE20" i="9"/>
  <c r="CE29" i="9"/>
  <c r="CE19" i="9"/>
  <c r="CE21" i="9"/>
  <c r="CE22" i="9"/>
  <c r="CE23" i="9"/>
  <c r="CE25" i="9"/>
  <c r="CE26" i="9"/>
  <c r="CE27" i="9"/>
  <c r="CE28" i="9"/>
  <c r="CE30" i="9"/>
  <c r="CE24" i="9"/>
  <c r="CC24" i="9"/>
  <c r="CC20" i="9"/>
  <c r="CA29" i="9"/>
  <c r="CA19" i="9"/>
  <c r="CA20" i="9"/>
  <c r="CA21" i="9"/>
  <c r="CA26" i="9"/>
  <c r="CA27" i="9"/>
  <c r="CA28" i="9"/>
  <c r="CA30" i="9"/>
  <c r="CA22" i="9"/>
  <c r="CA23" i="9"/>
  <c r="BY19" i="9"/>
  <c r="BY20" i="9"/>
  <c r="BY21" i="9"/>
  <c r="BY22" i="9"/>
  <c r="BY23" i="9"/>
  <c r="BY25" i="9"/>
  <c r="BY26" i="9"/>
  <c r="BY24" i="9"/>
  <c r="HM116" i="9"/>
  <c r="HM112" i="9"/>
  <c r="CC58" i="9"/>
  <c r="DB57" i="9"/>
  <c r="CP57" i="9"/>
  <c r="CF57" i="9"/>
  <c r="DI57" i="9"/>
  <c r="BG56" i="9"/>
  <c r="CZ56" i="9" s="1"/>
  <c r="II51" i="9"/>
  <c r="CP46" i="9"/>
  <c r="CV45" i="9"/>
  <c r="CN45" i="9"/>
  <c r="CF45" i="9"/>
  <c r="BY45" i="9"/>
  <c r="FV44" i="9"/>
  <c r="HK41" i="9"/>
  <c r="HM41" i="9" s="1"/>
  <c r="HM36" i="9"/>
  <c r="HC35" i="9"/>
  <c r="E33" i="9"/>
  <c r="HM31" i="9"/>
  <c r="E31" i="9"/>
  <c r="HM30" i="9"/>
  <c r="DW30" i="9"/>
  <c r="EA29" i="9"/>
  <c r="E25" i="9"/>
  <c r="HL25" i="9"/>
  <c r="II24" i="9"/>
  <c r="CC23" i="9"/>
  <c r="CC22" i="9"/>
  <c r="CH19" i="9"/>
  <c r="II58" i="9"/>
  <c r="CV57" i="9"/>
  <c r="CL57" i="9"/>
  <c r="CB57" i="9"/>
  <c r="CL46" i="9"/>
  <c r="EA35" i="9"/>
  <c r="HF27" i="9"/>
  <c r="HL27" i="9"/>
  <c r="CC21" i="9"/>
  <c r="CJ20" i="9"/>
  <c r="HM125" i="9"/>
  <c r="HM122" i="9"/>
  <c r="HM110" i="9"/>
  <c r="HM92" i="9"/>
  <c r="HM80" i="9"/>
  <c r="CU57" i="9"/>
  <c r="CK57" i="9"/>
  <c r="II47" i="9"/>
  <c r="CD46" i="9"/>
  <c r="CR45" i="9"/>
  <c r="CS45" i="9" s="1"/>
  <c r="CK45" i="9"/>
  <c r="CB45" i="9"/>
  <c r="II44" i="9"/>
  <c r="BE43" i="9"/>
  <c r="BG43" i="9" s="1"/>
  <c r="CZ43" i="9" s="1"/>
  <c r="HK42" i="9"/>
  <c r="HM42" i="9" s="1"/>
  <c r="B38" i="9"/>
  <c r="II37" i="9"/>
  <c r="HL32" i="9"/>
  <c r="HC27" i="9"/>
  <c r="DI23" i="9"/>
  <c r="DI22" i="9"/>
  <c r="CU21" i="9"/>
  <c r="CH21" i="9"/>
  <c r="HM22" i="9"/>
  <c r="DI29" i="9"/>
  <c r="HF21" i="9"/>
  <c r="CJ19" i="9"/>
  <c r="DH64" i="9"/>
  <c r="HC24" i="9"/>
  <c r="FB24" i="9"/>
  <c r="FC24" i="9" s="1"/>
  <c r="II21" i="9"/>
  <c r="DB64" i="9"/>
  <c r="CW64" i="9"/>
  <c r="CU63" i="9"/>
  <c r="CU64" i="9"/>
  <c r="CR64" i="9"/>
  <c r="CS64" i="9" s="1"/>
  <c r="CP64" i="9"/>
  <c r="CM63" i="9"/>
  <c r="CM64" i="9"/>
  <c r="CJ63" i="9"/>
  <c r="CJ64" i="9"/>
  <c r="CH64" i="9"/>
  <c r="CE64" i="9"/>
  <c r="CC64" i="9"/>
  <c r="CA64" i="9"/>
  <c r="BY64" i="9"/>
  <c r="IH4" i="9"/>
  <c r="IH8" i="9" s="1"/>
  <c r="J37" i="32"/>
  <c r="D49" i="32"/>
  <c r="II63" i="9"/>
  <c r="CY64" i="9"/>
  <c r="CV64" i="9"/>
  <c r="CT64" i="9"/>
  <c r="CN64" i="9"/>
  <c r="CK64" i="9"/>
  <c r="CI64" i="9"/>
  <c r="CF64" i="9"/>
  <c r="CD64" i="9"/>
  <c r="CB64" i="9"/>
  <c r="CZ64" i="9"/>
  <c r="CZ63" i="9"/>
  <c r="DI64" i="9"/>
  <c r="EL33" i="9"/>
  <c r="HP35" i="9"/>
  <c r="HP36" i="9"/>
  <c r="HP34" i="9"/>
  <c r="HN38" i="9"/>
  <c r="HP37" i="9"/>
  <c r="IM5" i="9"/>
  <c r="IM8" i="9" s="1"/>
  <c r="BG44" i="9"/>
  <c r="CZ44" i="9" s="1"/>
  <c r="BD45" i="9"/>
  <c r="HI36" i="9"/>
  <c r="V20" i="32"/>
  <c r="AB20" i="32" s="1"/>
  <c r="GA36" i="9"/>
  <c r="A36" i="20"/>
  <c r="G24" i="3"/>
  <c r="E58" i="9"/>
  <c r="V42" i="32"/>
  <c r="A58" i="20"/>
  <c r="E46" i="9"/>
  <c r="HQ46" i="9"/>
  <c r="A46" i="20"/>
  <c r="HI37" i="9"/>
  <c r="GA37" i="9"/>
  <c r="HC37" i="9"/>
  <c r="V21" i="32"/>
  <c r="AB21" i="32" s="1"/>
  <c r="FF34" i="9"/>
  <c r="FF35" i="9" s="1"/>
  <c r="V13" i="32"/>
  <c r="AB13" i="32" s="1"/>
  <c r="GA29" i="9"/>
  <c r="HC29" i="9"/>
  <c r="HI29" i="9"/>
  <c r="HQ29" i="9"/>
  <c r="E29" i="9"/>
  <c r="HF29" i="9"/>
  <c r="HL29" i="9"/>
  <c r="GA26" i="9"/>
  <c r="A15" i="20"/>
  <c r="G15" i="20" s="1"/>
  <c r="K15" i="20" s="1"/>
  <c r="G37" i="20"/>
  <c r="K37" i="20" s="1"/>
  <c r="HM93" i="9"/>
  <c r="HM85" i="9"/>
  <c r="HC47" i="9"/>
  <c r="GA58" i="9"/>
  <c r="AB17" i="32"/>
  <c r="AB15" i="32"/>
  <c r="FW33" i="9"/>
  <c r="HP38" i="9"/>
  <c r="HP39" i="9"/>
  <c r="HN41" i="9"/>
  <c r="HP40" i="9"/>
  <c r="FH34" i="9"/>
  <c r="FH35" i="9" s="1"/>
  <c r="E23" i="9"/>
  <c r="HL23" i="9"/>
  <c r="HF23" i="9"/>
  <c r="GA34" i="9"/>
  <c r="HF34" i="9"/>
  <c r="HQ23" i="9"/>
  <c r="HQ34" i="9"/>
  <c r="HL34" i="9"/>
  <c r="HP22" i="9"/>
  <c r="HP25" i="9"/>
  <c r="HP26" i="9"/>
  <c r="HP29" i="9"/>
  <c r="HN34" i="9"/>
  <c r="HP31" i="9"/>
  <c r="HP32" i="9"/>
  <c r="HP33" i="9"/>
  <c r="E22" i="9"/>
  <c r="GA33" i="9"/>
  <c r="HC33" i="9"/>
  <c r="HI33" i="9"/>
  <c r="GA22" i="9"/>
  <c r="HF33" i="9"/>
  <c r="HL33" i="9"/>
  <c r="HQ33" i="9"/>
  <c r="A22" i="20"/>
  <c r="HM128" i="9"/>
  <c r="HM120" i="9"/>
  <c r="CA57" i="9"/>
  <c r="CE57" i="9"/>
  <c r="CC57" i="9"/>
  <c r="CI57" i="9"/>
  <c r="CM57" i="9"/>
  <c r="CR57" i="9"/>
  <c r="CS57" i="9" s="1"/>
  <c r="CW57" i="9"/>
  <c r="BY57" i="9"/>
  <c r="CD57" i="9"/>
  <c r="CJ57" i="9"/>
  <c r="CN57" i="9"/>
  <c r="CT57" i="9"/>
  <c r="CY57" i="9"/>
  <c r="FP33" i="9"/>
  <c r="FP34" i="9" s="1"/>
  <c r="EA22" i="9"/>
  <c r="HM127" i="9"/>
  <c r="HM121" i="9"/>
  <c r="HM117" i="9"/>
  <c r="HM113" i="9"/>
  <c r="HM94" i="9"/>
  <c r="HM86" i="9"/>
  <c r="HM82" i="9"/>
  <c r="HM77" i="9"/>
  <c r="HK57" i="9"/>
  <c r="HM57" i="9" s="1"/>
  <c r="BG51" i="9"/>
  <c r="CZ51" i="9" s="1"/>
  <c r="II48" i="9"/>
  <c r="V14" i="32"/>
  <c r="AB14" i="32" s="1"/>
  <c r="HC30" i="9"/>
  <c r="HI30" i="9"/>
  <c r="GA30" i="9"/>
  <c r="HQ30" i="9"/>
  <c r="HF30" i="9"/>
  <c r="BC27" i="9"/>
  <c r="BC28" i="9" s="1"/>
  <c r="BG28" i="9" s="1"/>
  <c r="CZ28" i="9" s="1"/>
  <c r="HM118" i="9"/>
  <c r="HM114" i="9"/>
  <c r="HM109" i="9"/>
  <c r="HM78" i="9"/>
  <c r="DH57" i="9"/>
  <c r="II54" i="9"/>
  <c r="HK43" i="9"/>
  <c r="HM43" i="9" s="1"/>
  <c r="FI36" i="9"/>
  <c r="FI38" i="9"/>
  <c r="FI39" i="9" s="1"/>
  <c r="FI40" i="9" s="1"/>
  <c r="FI41" i="9" s="1"/>
  <c r="FI42" i="9" s="1"/>
  <c r="FI43" i="9" s="1"/>
  <c r="BG32" i="9"/>
  <c r="CZ32" i="9" s="1"/>
  <c r="AB10" i="32"/>
  <c r="BG25" i="9"/>
  <c r="CZ25" i="9" s="1"/>
  <c r="BE26" i="9"/>
  <c r="BE27" i="9" s="1"/>
  <c r="GW22" i="9"/>
  <c r="GW25" i="9"/>
  <c r="GW32" i="9"/>
  <c r="GW26" i="9"/>
  <c r="GW29" i="9"/>
  <c r="GW30" i="9"/>
  <c r="BG54" i="9"/>
  <c r="CZ54" i="9" s="1"/>
  <c r="CY46" i="9"/>
  <c r="HK39" i="9"/>
  <c r="HM39" i="9" s="1"/>
  <c r="II38" i="9"/>
  <c r="BI37" i="9"/>
  <c r="HL35" i="9"/>
  <c r="HF35" i="9"/>
  <c r="HM34" i="9"/>
  <c r="II31" i="9"/>
  <c r="HQ31" i="9"/>
  <c r="HM28" i="9"/>
  <c r="E28" i="9"/>
  <c r="HM26" i="9"/>
  <c r="GR23" i="9"/>
  <c r="CY63" i="9"/>
  <c r="CY23" i="9"/>
  <c r="CY19" i="9"/>
  <c r="CV62" i="9"/>
  <c r="CV63" i="9"/>
  <c r="CV20" i="9"/>
  <c r="CV21" i="9"/>
  <c r="CV22" i="9"/>
  <c r="CV24" i="9"/>
  <c r="CT62" i="9"/>
  <c r="CT63" i="9"/>
  <c r="CT23" i="9"/>
  <c r="CT19" i="9"/>
  <c r="CT27" i="9"/>
  <c r="CQ19" i="9"/>
  <c r="CQ20" i="9"/>
  <c r="CQ21" i="9"/>
  <c r="CN62" i="9"/>
  <c r="CN63" i="9"/>
  <c r="CN23" i="9"/>
  <c r="CN27" i="9"/>
  <c r="CN19" i="9"/>
  <c r="CL21" i="9"/>
  <c r="CL20" i="9"/>
  <c r="CL22" i="9"/>
  <c r="CL24" i="9"/>
  <c r="CL25" i="9"/>
  <c r="CL28" i="9"/>
  <c r="CK63" i="9"/>
  <c r="CK20" i="9"/>
  <c r="CK22" i="9"/>
  <c r="CK24" i="9"/>
  <c r="CK25" i="9"/>
  <c r="CK23" i="9"/>
  <c r="CK19" i="9"/>
  <c r="CI62" i="9"/>
  <c r="CI63" i="9"/>
  <c r="CI19" i="9"/>
  <c r="CI21" i="9"/>
  <c r="CI26" i="9"/>
  <c r="CI20" i="9"/>
  <c r="CB63" i="9"/>
  <c r="CB20" i="9"/>
  <c r="CB22" i="9"/>
  <c r="CB24" i="9"/>
  <c r="CB25" i="9"/>
  <c r="CB23" i="9"/>
  <c r="HI22" i="9"/>
  <c r="HC22" i="9"/>
  <c r="BG50" i="9"/>
  <c r="CZ50" i="9" s="1"/>
  <c r="II49" i="9"/>
  <c r="II46" i="9"/>
  <c r="II41" i="9"/>
  <c r="II40" i="9"/>
  <c r="HQ35" i="9"/>
  <c r="DO33" i="9"/>
  <c r="II30" i="9"/>
  <c r="HM29" i="9"/>
  <c r="HQ28" i="9"/>
  <c r="HI28" i="9"/>
  <c r="HC28" i="9"/>
  <c r="GA28" i="9"/>
  <c r="HP27" i="9"/>
  <c r="E27" i="9"/>
  <c r="V11" i="32"/>
  <c r="AB11" i="32" s="1"/>
  <c r="HQ27" i="9"/>
  <c r="II26" i="9"/>
  <c r="IV24" i="9"/>
  <c r="DB21" i="9"/>
  <c r="DB22" i="9"/>
  <c r="DB24" i="9"/>
  <c r="DB20" i="9"/>
  <c r="DB23" i="9"/>
  <c r="DB25" i="9"/>
  <c r="DB19" i="9"/>
  <c r="D36" i="32"/>
  <c r="II45" i="9"/>
  <c r="II43" i="9"/>
  <c r="II35" i="9"/>
  <c r="HM23" i="9"/>
  <c r="GW23" i="9"/>
  <c r="GW24" i="9"/>
  <c r="DI19" i="9"/>
  <c r="DI21" i="9"/>
  <c r="DI27" i="9"/>
  <c r="DI20" i="9"/>
  <c r="GA4" i="9"/>
  <c r="GA8" i="9" s="1"/>
  <c r="II20" i="9"/>
  <c r="IT4" i="9"/>
  <c r="ID4" i="9"/>
  <c r="ID8" i="9" s="1"/>
  <c r="R19" i="3"/>
  <c r="C43" i="32" s="1"/>
  <c r="II27" i="9"/>
  <c r="II25" i="9"/>
  <c r="HM25" i="9"/>
  <c r="EX23" i="9"/>
  <c r="HQ21" i="9"/>
  <c r="HI21" i="9"/>
  <c r="HC21" i="9"/>
  <c r="II19" i="9"/>
  <c r="GW19" i="9"/>
  <c r="DW19" i="9"/>
  <c r="CW62" i="9"/>
  <c r="CW63" i="9"/>
  <c r="CR62" i="9"/>
  <c r="CS62" i="9" s="1"/>
  <c r="CR63" i="9"/>
  <c r="CS63" i="9" s="1"/>
  <c r="CP62" i="9"/>
  <c r="CP63" i="9"/>
  <c r="CH62" i="9"/>
  <c r="CH63" i="9"/>
  <c r="CE62" i="9"/>
  <c r="CE63" i="9"/>
  <c r="CC63" i="9"/>
  <c r="DI25" i="9"/>
  <c r="HM24" i="9"/>
  <c r="DI24" i="9"/>
  <c r="D46" i="32"/>
  <c r="HH58" i="9"/>
  <c r="CF63" i="9"/>
  <c r="CD62" i="9"/>
  <c r="CD63" i="9"/>
  <c r="CA62" i="9"/>
  <c r="CA63" i="9"/>
  <c r="DH61" i="9"/>
  <c r="DH63" i="9"/>
  <c r="DB62" i="9"/>
  <c r="DB63" i="9"/>
  <c r="CL63" i="9"/>
  <c r="BY63" i="9"/>
  <c r="R18" i="3"/>
  <c r="N31" i="32"/>
  <c r="O40" i="32" s="1"/>
  <c r="D40" i="32"/>
  <c r="K40" i="32"/>
  <c r="J40" i="32"/>
  <c r="K37" i="32"/>
  <c r="K11" i="20"/>
  <c r="K14" i="20"/>
  <c r="IS37" i="9"/>
  <c r="GK40" i="9"/>
  <c r="BG19" i="9"/>
  <c r="CZ19" i="9" s="1"/>
  <c r="BD20" i="9"/>
  <c r="GL28" i="9"/>
  <c r="HK62" i="9"/>
  <c r="EU29" i="9"/>
  <c r="G25" i="3"/>
  <c r="CA58" i="9"/>
  <c r="CF58" i="9"/>
  <c r="CM58" i="9"/>
  <c r="CY58" i="9"/>
  <c r="CB56" i="9"/>
  <c r="CE56" i="9"/>
  <c r="CU56" i="9"/>
  <c r="CM56" i="9"/>
  <c r="HK44" i="9"/>
  <c r="HK46" i="9"/>
  <c r="HK48" i="9"/>
  <c r="HK50" i="9"/>
  <c r="HK51" i="9"/>
  <c r="HK52" i="9"/>
  <c r="HK45" i="9"/>
  <c r="HI58" i="9"/>
  <c r="CR58" i="9"/>
  <c r="CJ58" i="9"/>
  <c r="CB58" i="9"/>
  <c r="II57" i="9"/>
  <c r="HK54" i="9"/>
  <c r="HK49" i="9"/>
  <c r="HK47" i="9"/>
  <c r="HM47" i="9" s="1"/>
  <c r="CW58" i="9"/>
  <c r="CI58" i="9"/>
  <c r="BY58" i="9"/>
  <c r="II56" i="9"/>
  <c r="CI56" i="9"/>
  <c r="HK53" i="9"/>
  <c r="HQ58" i="9"/>
  <c r="HC58" i="9"/>
  <c r="DH58" i="9"/>
  <c r="CV58" i="9"/>
  <c r="CN58" i="9"/>
  <c r="CE58" i="9"/>
  <c r="DH56" i="9"/>
  <c r="CA56" i="9"/>
  <c r="HK55" i="9"/>
  <c r="DI46" i="9"/>
  <c r="HH45" i="9"/>
  <c r="HH48" i="9"/>
  <c r="HH50" i="9"/>
  <c r="HH51" i="9"/>
  <c r="HH53" i="9"/>
  <c r="HH55" i="9"/>
  <c r="HH56" i="9"/>
  <c r="HH49" i="9"/>
  <c r="HH54" i="9"/>
  <c r="DL39" i="9"/>
  <c r="DL42" i="9" s="1"/>
  <c r="DL41" i="9"/>
  <c r="BI48" i="9"/>
  <c r="HI47" i="9"/>
  <c r="E47" i="9"/>
  <c r="HL46" i="9"/>
  <c r="DB46" i="9"/>
  <c r="CI46" i="9"/>
  <c r="CA46" i="9"/>
  <c r="V30" i="32"/>
  <c r="DB45" i="9"/>
  <c r="CJ45" i="9"/>
  <c r="CE45" i="9"/>
  <c r="BG35" i="9"/>
  <c r="CZ35" i="9" s="1"/>
  <c r="II42" i="9"/>
  <c r="FV35" i="9"/>
  <c r="HF46" i="9"/>
  <c r="CU46" i="9"/>
  <c r="CM46" i="9"/>
  <c r="CE46" i="9"/>
  <c r="DI45" i="9"/>
  <c r="CW45" i="9"/>
  <c r="CT45" i="9"/>
  <c r="CP45" i="9"/>
  <c r="CL45" i="9"/>
  <c r="CH45" i="9"/>
  <c r="CC45" i="9"/>
  <c r="HM38" i="9"/>
  <c r="HC36" i="9"/>
  <c r="E36" i="9"/>
  <c r="BD33" i="9"/>
  <c r="HP28" i="9"/>
  <c r="HP30" i="9"/>
  <c r="FR34" i="9"/>
  <c r="II29" i="9"/>
  <c r="IV25" i="9"/>
  <c r="IU26" i="9"/>
  <c r="GW21" i="9"/>
  <c r="HI25" i="9"/>
  <c r="HC25" i="9"/>
  <c r="GA25" i="9"/>
  <c r="HP23" i="9"/>
  <c r="GA24" i="9"/>
  <c r="E21" i="9"/>
  <c r="CY62" i="9"/>
  <c r="CU62" i="9"/>
  <c r="CM62" i="9"/>
  <c r="CJ62" i="9"/>
  <c r="CB62" i="9"/>
  <c r="BY62" i="9"/>
  <c r="CL62" i="9"/>
  <c r="CK62" i="9"/>
  <c r="CF62" i="9"/>
  <c r="CC62" i="9"/>
  <c r="DI62" i="9"/>
  <c r="CI3" i="9"/>
  <c r="C42" i="32"/>
  <c r="D38" i="32"/>
  <c r="D45" i="32"/>
  <c r="D34" i="32"/>
  <c r="R11" i="3"/>
  <c r="D43" i="32"/>
  <c r="DH62" i="9"/>
  <c r="D47" i="32"/>
  <c r="R12" i="3"/>
  <c r="BF23" i="141" l="1"/>
  <c r="BF19" i="141"/>
  <c r="BF5" i="141"/>
  <c r="CS56" i="9"/>
  <c r="BF9" i="141"/>
  <c r="BF12" i="141"/>
  <c r="BF6" i="141"/>
  <c r="BF20" i="141"/>
  <c r="BF24" i="141"/>
  <c r="CS58" i="9"/>
  <c r="BF6" i="136"/>
  <c r="BF16" i="136"/>
  <c r="BF6" i="137"/>
  <c r="BF9" i="136"/>
  <c r="BF19" i="137"/>
  <c r="BF16" i="137"/>
  <c r="BF13" i="137"/>
  <c r="BF9" i="137"/>
  <c r="BF12" i="136"/>
  <c r="BF12" i="137"/>
  <c r="BF11" i="136"/>
  <c r="BF20" i="136"/>
  <c r="BF11" i="137"/>
  <c r="BF7" i="136"/>
  <c r="BF5" i="136"/>
  <c r="BF21" i="136"/>
  <c r="BF10" i="136"/>
  <c r="BF18" i="137"/>
  <c r="BF10" i="137"/>
  <c r="BF15" i="137"/>
  <c r="BF23" i="136"/>
  <c r="BF11" i="132"/>
  <c r="BF6" i="132"/>
  <c r="BF7" i="133"/>
  <c r="BF12" i="132"/>
  <c r="BF16" i="132"/>
  <c r="BF22" i="132"/>
  <c r="BF11" i="133"/>
  <c r="BF6" i="133"/>
  <c r="BF24" i="132"/>
  <c r="BF15" i="132"/>
  <c r="BF12" i="133"/>
  <c r="BF15" i="133"/>
  <c r="BF14" i="133"/>
  <c r="BF10" i="133"/>
  <c r="BF21" i="132"/>
  <c r="BF23" i="133"/>
  <c r="BF16" i="133"/>
  <c r="BF20" i="132"/>
  <c r="BF10" i="132"/>
  <c r="BF18" i="132"/>
  <c r="BF17" i="132"/>
  <c r="BF21" i="133"/>
  <c r="BF20" i="133"/>
  <c r="BF18" i="133"/>
  <c r="BF5" i="132"/>
  <c r="BF17" i="133"/>
  <c r="BF9" i="132"/>
  <c r="BF19" i="132"/>
  <c r="BF13" i="132"/>
  <c r="BF5" i="133"/>
  <c r="BF9" i="133"/>
  <c r="BF19" i="133"/>
  <c r="BF22" i="133"/>
  <c r="BF14" i="132"/>
  <c r="BF23" i="132"/>
  <c r="BF24" i="133"/>
  <c r="BF13" i="133"/>
  <c r="BF7" i="132"/>
  <c r="HM61" i="9"/>
  <c r="AP148" i="122"/>
  <c r="BB140" i="122"/>
  <c r="BF6" i="124"/>
  <c r="BB138" i="122"/>
  <c r="AN148" i="122"/>
  <c r="DG60" i="9"/>
  <c r="BF24" i="125"/>
  <c r="HM62" i="9"/>
  <c r="BF11" i="125"/>
  <c r="BF22" i="125"/>
  <c r="GP108" i="9"/>
  <c r="GP109" i="9" s="1"/>
  <c r="GP110" i="9" s="1"/>
  <c r="GP111" i="9" s="1"/>
  <c r="GP112" i="9" s="1"/>
  <c r="GP113" i="9" s="1"/>
  <c r="GP114" i="9" s="1"/>
  <c r="GP115" i="9" s="1"/>
  <c r="GP116" i="9" s="1"/>
  <c r="GP117" i="9" s="1"/>
  <c r="GP119" i="9" s="1"/>
  <c r="GP120" i="9" s="1"/>
  <c r="GP121" i="9" s="1"/>
  <c r="GP122" i="9" s="1"/>
  <c r="GP123" i="9" s="1"/>
  <c r="GP124" i="9" s="1"/>
  <c r="GP125" i="9" s="1"/>
  <c r="GP126" i="9" s="1"/>
  <c r="GP127" i="9" s="1"/>
  <c r="GP128" i="9" s="1"/>
  <c r="GP129" i="9" s="1"/>
  <c r="GP130" i="9" s="1"/>
  <c r="GP131" i="9" s="1"/>
  <c r="GP132" i="9" s="1"/>
  <c r="GP133" i="9" s="1"/>
  <c r="GP134" i="9" s="1"/>
  <c r="GP135" i="9" s="1"/>
  <c r="GP136" i="9" s="1"/>
  <c r="GP137" i="9" s="1"/>
  <c r="BF5" i="125"/>
  <c r="BF21" i="125"/>
  <c r="BF7" i="125"/>
  <c r="BF6" i="125"/>
  <c r="BF12" i="125"/>
  <c r="BF23" i="125"/>
  <c r="BF20" i="125"/>
  <c r="EY129" i="9"/>
  <c r="EY130" i="9" s="1"/>
  <c r="EY131" i="9" s="1"/>
  <c r="EY132" i="9" s="1"/>
  <c r="EY133" i="9" s="1"/>
  <c r="EY134" i="9" s="1"/>
  <c r="EY135" i="9" s="1"/>
  <c r="EY136" i="9" s="1"/>
  <c r="EY137" i="9" s="1"/>
  <c r="HM52" i="9"/>
  <c r="BF15" i="121"/>
  <c r="BF21" i="121"/>
  <c r="BF23" i="121"/>
  <c r="BF12" i="121"/>
  <c r="BF24" i="121"/>
  <c r="BF11" i="121"/>
  <c r="BF17" i="121"/>
  <c r="BF5" i="121"/>
  <c r="BF22" i="121"/>
  <c r="GJ25" i="9"/>
  <c r="GN24" i="9"/>
  <c r="HM46" i="9"/>
  <c r="BD38" i="9"/>
  <c r="CS19" i="9"/>
  <c r="BG60" i="9"/>
  <c r="CZ60" i="9" s="1"/>
  <c r="CX59" i="9"/>
  <c r="GJ21" i="9"/>
  <c r="CX60" i="9"/>
  <c r="DG57" i="9"/>
  <c r="DG56" i="9"/>
  <c r="BF15" i="119"/>
  <c r="BF19" i="119"/>
  <c r="BF6" i="119"/>
  <c r="BF18" i="119"/>
  <c r="BF5" i="119"/>
  <c r="BF23" i="119"/>
  <c r="BF21" i="119"/>
  <c r="BF12" i="119"/>
  <c r="BG13" i="113"/>
  <c r="BG11" i="113"/>
  <c r="BG15" i="113"/>
  <c r="BG6" i="112"/>
  <c r="BG7" i="113"/>
  <c r="BG12" i="113"/>
  <c r="BG6" i="113"/>
  <c r="CG121" i="9"/>
  <c r="CX119" i="9"/>
  <c r="CO121" i="9"/>
  <c r="CO116" i="9"/>
  <c r="AW6" i="108"/>
  <c r="AW14" i="108"/>
  <c r="AW9" i="108"/>
  <c r="AW12" i="108"/>
  <c r="AW24" i="108"/>
  <c r="AW16" i="108"/>
  <c r="AW13" i="108"/>
  <c r="AW23" i="108"/>
  <c r="AW21" i="108"/>
  <c r="AW11" i="108"/>
  <c r="AW8" i="108"/>
  <c r="AW22" i="108"/>
  <c r="AW15" i="108"/>
  <c r="AW19" i="108"/>
  <c r="AW10" i="108"/>
  <c r="AW7" i="108"/>
  <c r="AW18" i="108"/>
  <c r="AW17" i="108"/>
  <c r="AW20" i="108"/>
  <c r="AT6" i="109"/>
  <c r="AT21" i="109"/>
  <c r="AT19" i="109"/>
  <c r="AT20" i="109"/>
  <c r="AT17" i="109"/>
  <c r="AT24" i="109"/>
  <c r="AT23" i="109"/>
  <c r="AT22" i="109"/>
  <c r="AT18" i="109"/>
  <c r="AT15" i="109"/>
  <c r="AT13" i="109"/>
  <c r="AT12" i="109"/>
  <c r="AT16" i="109"/>
  <c r="AT9" i="109"/>
  <c r="AT8" i="109"/>
  <c r="AT14" i="109"/>
  <c r="AT11" i="109"/>
  <c r="AT7" i="109"/>
  <c r="AT10" i="109"/>
  <c r="AZ20" i="108"/>
  <c r="AZ12" i="108"/>
  <c r="AZ19" i="108"/>
  <c r="AZ18" i="108"/>
  <c r="AZ11" i="108"/>
  <c r="AZ17" i="108"/>
  <c r="AZ6" i="108"/>
  <c r="AZ15" i="108"/>
  <c r="AZ9" i="108"/>
  <c r="AZ16" i="108"/>
  <c r="AZ10" i="108"/>
  <c r="AZ24" i="108"/>
  <c r="AZ14" i="108"/>
  <c r="AZ8" i="108"/>
  <c r="AZ23" i="108"/>
  <c r="AZ22" i="108"/>
  <c r="AZ21" i="108"/>
  <c r="AZ7" i="108"/>
  <c r="AZ13" i="108"/>
  <c r="AU6" i="109"/>
  <c r="AU17" i="109"/>
  <c r="AU23" i="109"/>
  <c r="AU19" i="109"/>
  <c r="AU18" i="109"/>
  <c r="AU24" i="109"/>
  <c r="AU22" i="109"/>
  <c r="AU21" i="109"/>
  <c r="AU20" i="109"/>
  <c r="AU14" i="109"/>
  <c r="AU9" i="109"/>
  <c r="AU7" i="109"/>
  <c r="AU15" i="109"/>
  <c r="AU12" i="109"/>
  <c r="AU11" i="109"/>
  <c r="AU8" i="109"/>
  <c r="AU13" i="109"/>
  <c r="AU10" i="109"/>
  <c r="AU16" i="109"/>
  <c r="AS23" i="108"/>
  <c r="AS21" i="108"/>
  <c r="AS24" i="108"/>
  <c r="AS17" i="108"/>
  <c r="AS20" i="108"/>
  <c r="AS19" i="108"/>
  <c r="AS18" i="108"/>
  <c r="AS22" i="108"/>
  <c r="AS6" i="108"/>
  <c r="AS16" i="108"/>
  <c r="AS10" i="108"/>
  <c r="AS13" i="108"/>
  <c r="AS12" i="108"/>
  <c r="AS15" i="108"/>
  <c r="AS9" i="108"/>
  <c r="AS11" i="108"/>
  <c r="AS14" i="108"/>
  <c r="AS8" i="108"/>
  <c r="AS7" i="108"/>
  <c r="AV6" i="109"/>
  <c r="AV23" i="109"/>
  <c r="AV24" i="109"/>
  <c r="AV22" i="109"/>
  <c r="AV21" i="109"/>
  <c r="AV19" i="109"/>
  <c r="AV20" i="109"/>
  <c r="AV18" i="109"/>
  <c r="AV17" i="109"/>
  <c r="AV15" i="109"/>
  <c r="AV14" i="109"/>
  <c r="AV8" i="109"/>
  <c r="AV7" i="109"/>
  <c r="AV11" i="109"/>
  <c r="AV13" i="109"/>
  <c r="AV12" i="109"/>
  <c r="AV9" i="109"/>
  <c r="AV10" i="109"/>
  <c r="AV16" i="109"/>
  <c r="AT21" i="108"/>
  <c r="AT24" i="108"/>
  <c r="AT23" i="108"/>
  <c r="AT22" i="108"/>
  <c r="AT19" i="108"/>
  <c r="AT18" i="108"/>
  <c r="AT17" i="108"/>
  <c r="AT20" i="108"/>
  <c r="AT15" i="108"/>
  <c r="AT9" i="108"/>
  <c r="AT12" i="108"/>
  <c r="AT14" i="108"/>
  <c r="AT8" i="108"/>
  <c r="AT16" i="108"/>
  <c r="AT13" i="108"/>
  <c r="AT7" i="108"/>
  <c r="AT6" i="108"/>
  <c r="AT11" i="108"/>
  <c r="AT10" i="108"/>
  <c r="AW6" i="109"/>
  <c r="AW21" i="109"/>
  <c r="AW19" i="109"/>
  <c r="AW20" i="109"/>
  <c r="AW17" i="109"/>
  <c r="AW24" i="109"/>
  <c r="AW23" i="109"/>
  <c r="AW18" i="109"/>
  <c r="AW22" i="109"/>
  <c r="AW11" i="109"/>
  <c r="AW7" i="109"/>
  <c r="AW10" i="109"/>
  <c r="AW13" i="109"/>
  <c r="AW16" i="109"/>
  <c r="AW9" i="109"/>
  <c r="AW15" i="109"/>
  <c r="AW14" i="109"/>
  <c r="AW8" i="109"/>
  <c r="AW12" i="109"/>
  <c r="AX9" i="108"/>
  <c r="AX19" i="108"/>
  <c r="AX18" i="108"/>
  <c r="AX17" i="108"/>
  <c r="AX12" i="108"/>
  <c r="AX16" i="108"/>
  <c r="AX13" i="108"/>
  <c r="AX11" i="108"/>
  <c r="AX8" i="108"/>
  <c r="AX6" i="108"/>
  <c r="AX10" i="108"/>
  <c r="AX7" i="108"/>
  <c r="AX23" i="108"/>
  <c r="AX22" i="108"/>
  <c r="AX21" i="108"/>
  <c r="AX15" i="108"/>
  <c r="AX20" i="108"/>
  <c r="AX14" i="108"/>
  <c r="AX24" i="108"/>
  <c r="AX6" i="109"/>
  <c r="AX17" i="109"/>
  <c r="AX23" i="109"/>
  <c r="AX18" i="109"/>
  <c r="AX24" i="109"/>
  <c r="AX22" i="109"/>
  <c r="AX21" i="109"/>
  <c r="AX20" i="109"/>
  <c r="AX19" i="109"/>
  <c r="AX15" i="109"/>
  <c r="AX10" i="109"/>
  <c r="AX14" i="109"/>
  <c r="AX9" i="109"/>
  <c r="AX13" i="109"/>
  <c r="AX8" i="109"/>
  <c r="AX12" i="109"/>
  <c r="AX16" i="109"/>
  <c r="AX11" i="109"/>
  <c r="AX7" i="109"/>
  <c r="AU12" i="108"/>
  <c r="AU19" i="108"/>
  <c r="AU18" i="108"/>
  <c r="AU6" i="108"/>
  <c r="AU14" i="108"/>
  <c r="AU17" i="108"/>
  <c r="AU13" i="108"/>
  <c r="AU9" i="108"/>
  <c r="AU16" i="108"/>
  <c r="AU23" i="108"/>
  <c r="AU22" i="108"/>
  <c r="AU15" i="108"/>
  <c r="AU21" i="108"/>
  <c r="AU11" i="108"/>
  <c r="AU20" i="108"/>
  <c r="AU8" i="108"/>
  <c r="AU7" i="108"/>
  <c r="AU24" i="108"/>
  <c r="AU10" i="108"/>
  <c r="AP23" i="108"/>
  <c r="AP24" i="108"/>
  <c r="AP22" i="108"/>
  <c r="AP21" i="108"/>
  <c r="AP20" i="108"/>
  <c r="AP17" i="108"/>
  <c r="AP19" i="108"/>
  <c r="AP18" i="108"/>
  <c r="AP16" i="108"/>
  <c r="AP10" i="108"/>
  <c r="AP8" i="108"/>
  <c r="AP14" i="108"/>
  <c r="AP15" i="108"/>
  <c r="AP6" i="108"/>
  <c r="AP13" i="108"/>
  <c r="AP12" i="108"/>
  <c r="AP7" i="108"/>
  <c r="AP11" i="108"/>
  <c r="AP9" i="108"/>
  <c r="AY6" i="109"/>
  <c r="AY23" i="109"/>
  <c r="AY24" i="109"/>
  <c r="AY21" i="109"/>
  <c r="AY19" i="109"/>
  <c r="AY17" i="109"/>
  <c r="AY20" i="109"/>
  <c r="AY18" i="109"/>
  <c r="AY22" i="109"/>
  <c r="AY13" i="109"/>
  <c r="AY7" i="109"/>
  <c r="AY12" i="109"/>
  <c r="AY11" i="109"/>
  <c r="AY16" i="109"/>
  <c r="AY10" i="109"/>
  <c r="AY15" i="109"/>
  <c r="AY9" i="109"/>
  <c r="AY14" i="109"/>
  <c r="AY8" i="109"/>
  <c r="AS6" i="109"/>
  <c r="AS23" i="109"/>
  <c r="AS24" i="109"/>
  <c r="AS21" i="109"/>
  <c r="AS20" i="109"/>
  <c r="AS19" i="109"/>
  <c r="AS17" i="109"/>
  <c r="AS22" i="109"/>
  <c r="AS18" i="109"/>
  <c r="AS11" i="109"/>
  <c r="AS15" i="109"/>
  <c r="AS9" i="109"/>
  <c r="AS14" i="109"/>
  <c r="AS8" i="109"/>
  <c r="AS12" i="109"/>
  <c r="AS10" i="109"/>
  <c r="AS13" i="109"/>
  <c r="AS7" i="109"/>
  <c r="AS16" i="109"/>
  <c r="CG106" i="9"/>
  <c r="DG45" i="9"/>
  <c r="CX121" i="9"/>
  <c r="AY10" i="108"/>
  <c r="AY23" i="108"/>
  <c r="AY14" i="108"/>
  <c r="AY22" i="108"/>
  <c r="AY9" i="108"/>
  <c r="AY21" i="108"/>
  <c r="AY13" i="108"/>
  <c r="AY20" i="108"/>
  <c r="AY8" i="108"/>
  <c r="AY19" i="108"/>
  <c r="AY17" i="108"/>
  <c r="AY18" i="108"/>
  <c r="AY7" i="108"/>
  <c r="AY12" i="108"/>
  <c r="AY16" i="108"/>
  <c r="AY11" i="108"/>
  <c r="AY24" i="108"/>
  <c r="AY6" i="108"/>
  <c r="AY15" i="108"/>
  <c r="AZ6" i="109"/>
  <c r="AZ21" i="109"/>
  <c r="AZ19" i="109"/>
  <c r="AZ20" i="109"/>
  <c r="AZ17" i="109"/>
  <c r="AZ24" i="109"/>
  <c r="AZ23" i="109"/>
  <c r="AZ18" i="109"/>
  <c r="AZ22" i="109"/>
  <c r="AZ11" i="109"/>
  <c r="AZ16" i="109"/>
  <c r="AZ10" i="109"/>
  <c r="AZ15" i="109"/>
  <c r="AZ9" i="109"/>
  <c r="AZ14" i="109"/>
  <c r="AZ8" i="109"/>
  <c r="AZ13" i="109"/>
  <c r="AZ7" i="109"/>
  <c r="AZ12" i="109"/>
  <c r="AQ23" i="108"/>
  <c r="AQ24" i="108"/>
  <c r="AQ22" i="108"/>
  <c r="AQ21" i="108"/>
  <c r="AQ20" i="108"/>
  <c r="AQ19" i="108"/>
  <c r="AQ17" i="108"/>
  <c r="AQ18" i="108"/>
  <c r="AQ6" i="108"/>
  <c r="AQ10" i="108"/>
  <c r="AQ7" i="108"/>
  <c r="AQ13" i="108"/>
  <c r="AQ16" i="108"/>
  <c r="AQ12" i="108"/>
  <c r="AQ8" i="108"/>
  <c r="AQ14" i="108"/>
  <c r="AQ11" i="108"/>
  <c r="AQ9" i="108"/>
  <c r="AQ15" i="108"/>
  <c r="CG119" i="9"/>
  <c r="CO119" i="9"/>
  <c r="AP6" i="109"/>
  <c r="AP23" i="109"/>
  <c r="AP24" i="109"/>
  <c r="AP21" i="109"/>
  <c r="AP19" i="109"/>
  <c r="AP22" i="109"/>
  <c r="AP20" i="109"/>
  <c r="AP18" i="109"/>
  <c r="AP17" i="109"/>
  <c r="AP12" i="109"/>
  <c r="AP11" i="109"/>
  <c r="AP9" i="109"/>
  <c r="AP7" i="109"/>
  <c r="AP13" i="109"/>
  <c r="AP16" i="109"/>
  <c r="AP8" i="109"/>
  <c r="AP14" i="109"/>
  <c r="AP15" i="109"/>
  <c r="AP10" i="109"/>
  <c r="AR23" i="108"/>
  <c r="AR22" i="108"/>
  <c r="AR21" i="108"/>
  <c r="AR17" i="108"/>
  <c r="AR20" i="108"/>
  <c r="AR19" i="108"/>
  <c r="AR18" i="108"/>
  <c r="AR24" i="108"/>
  <c r="AR6" i="108"/>
  <c r="AR16" i="108"/>
  <c r="AR10" i="108"/>
  <c r="AR13" i="108"/>
  <c r="AR15" i="108"/>
  <c r="AR9" i="108"/>
  <c r="AR7" i="108"/>
  <c r="AR12" i="108"/>
  <c r="AR14" i="108"/>
  <c r="AR8" i="108"/>
  <c r="AR11" i="108"/>
  <c r="AQ6" i="109"/>
  <c r="AQ21" i="109"/>
  <c r="AQ19" i="109"/>
  <c r="AQ20" i="109"/>
  <c r="AQ17" i="109"/>
  <c r="AQ24" i="109"/>
  <c r="AQ23" i="109"/>
  <c r="AQ18" i="109"/>
  <c r="AQ22" i="109"/>
  <c r="AQ11" i="109"/>
  <c r="AQ16" i="109"/>
  <c r="AQ10" i="109"/>
  <c r="AQ7" i="109"/>
  <c r="AQ14" i="109"/>
  <c r="AQ13" i="109"/>
  <c r="AQ12" i="109"/>
  <c r="AQ15" i="109"/>
  <c r="AQ9" i="109"/>
  <c r="AQ8" i="109"/>
  <c r="AV23" i="108"/>
  <c r="AV6" i="108"/>
  <c r="AV14" i="108"/>
  <c r="AV22" i="108"/>
  <c r="AV12" i="108"/>
  <c r="AV9" i="108"/>
  <c r="AV21" i="108"/>
  <c r="AV20" i="108"/>
  <c r="AV19" i="108"/>
  <c r="AV11" i="108"/>
  <c r="AV8" i="108"/>
  <c r="AV16" i="108"/>
  <c r="AV13" i="108"/>
  <c r="AV18" i="108"/>
  <c r="AV17" i="108"/>
  <c r="AV15" i="108"/>
  <c r="AV10" i="108"/>
  <c r="AV7" i="108"/>
  <c r="AV24" i="108"/>
  <c r="AR6" i="109"/>
  <c r="AR17" i="109"/>
  <c r="AR23" i="109"/>
  <c r="AR19" i="109"/>
  <c r="AR18" i="109"/>
  <c r="AR24" i="109"/>
  <c r="AR22" i="109"/>
  <c r="AR21" i="109"/>
  <c r="AR20" i="109"/>
  <c r="AR11" i="109"/>
  <c r="AR12" i="109"/>
  <c r="AR16" i="109"/>
  <c r="AR10" i="109"/>
  <c r="AR14" i="109"/>
  <c r="AR8" i="109"/>
  <c r="AR13" i="109"/>
  <c r="AR15" i="109"/>
  <c r="AR9" i="109"/>
  <c r="AR7" i="109"/>
  <c r="CX120" i="9"/>
  <c r="CO114" i="9"/>
  <c r="FV32" i="9"/>
  <c r="CG120" i="9"/>
  <c r="CO120" i="9"/>
  <c r="AP19" i="106"/>
  <c r="AP18" i="106"/>
  <c r="AP17" i="106"/>
  <c r="AP24" i="106"/>
  <c r="AP23" i="106"/>
  <c r="AP22" i="106"/>
  <c r="AP20" i="106"/>
  <c r="AP21" i="106"/>
  <c r="AP11" i="106"/>
  <c r="AP12" i="106"/>
  <c r="AP10" i="106"/>
  <c r="AP14" i="106"/>
  <c r="AP6" i="106"/>
  <c r="AP13" i="106"/>
  <c r="AP9" i="106"/>
  <c r="AP16" i="106"/>
  <c r="AP8" i="106"/>
  <c r="AP15" i="106"/>
  <c r="AP7" i="106"/>
  <c r="AQ19" i="106"/>
  <c r="AQ18" i="106"/>
  <c r="AQ17" i="106"/>
  <c r="AQ24" i="106"/>
  <c r="AQ23" i="106"/>
  <c r="AQ22" i="106"/>
  <c r="AQ20" i="106"/>
  <c r="AQ21" i="106"/>
  <c r="AQ15" i="106"/>
  <c r="AQ10" i="106"/>
  <c r="AQ7" i="106"/>
  <c r="AQ6" i="106"/>
  <c r="AQ11" i="106"/>
  <c r="AQ8" i="106"/>
  <c r="AQ9" i="106"/>
  <c r="AQ14" i="106"/>
  <c r="AQ16" i="106"/>
  <c r="AQ13" i="106"/>
  <c r="AQ12" i="106"/>
  <c r="AY17" i="106"/>
  <c r="AY9" i="106"/>
  <c r="AY24" i="106"/>
  <c r="AY16" i="106"/>
  <c r="AY8" i="106"/>
  <c r="AY23" i="106"/>
  <c r="AY15" i="106"/>
  <c r="AY7" i="106"/>
  <c r="AY22" i="106"/>
  <c r="AY14" i="106"/>
  <c r="AY6" i="106"/>
  <c r="AY21" i="106"/>
  <c r="AY13" i="106"/>
  <c r="AY20" i="106"/>
  <c r="AY12" i="106"/>
  <c r="AY19" i="106"/>
  <c r="AY11" i="106"/>
  <c r="AY18" i="106"/>
  <c r="AY10" i="106"/>
  <c r="AR17" i="106"/>
  <c r="AR24" i="106"/>
  <c r="AR23" i="106"/>
  <c r="AR22" i="106"/>
  <c r="AR21" i="106"/>
  <c r="AR18" i="106"/>
  <c r="AR20" i="106"/>
  <c r="AR19" i="106"/>
  <c r="AR9" i="106"/>
  <c r="AR16" i="106"/>
  <c r="AR10" i="106"/>
  <c r="AR7" i="106"/>
  <c r="AR8" i="106"/>
  <c r="AR15" i="106"/>
  <c r="AR11" i="106"/>
  <c r="AR14" i="106"/>
  <c r="AR12" i="106"/>
  <c r="AR13" i="106"/>
  <c r="AR6" i="106"/>
  <c r="AZ20" i="106"/>
  <c r="AZ12" i="106"/>
  <c r="AZ19" i="106"/>
  <c r="AZ11" i="106"/>
  <c r="AZ18" i="106"/>
  <c r="AZ10" i="106"/>
  <c r="AZ17" i="106"/>
  <c r="AZ9" i="106"/>
  <c r="AZ24" i="106"/>
  <c r="AZ16" i="106"/>
  <c r="AZ8" i="106"/>
  <c r="AZ23" i="106"/>
  <c r="AZ15" i="106"/>
  <c r="AZ7" i="106"/>
  <c r="AZ22" i="106"/>
  <c r="AZ14" i="106"/>
  <c r="AZ6" i="106"/>
  <c r="AZ21" i="106"/>
  <c r="AZ13" i="106"/>
  <c r="AV24" i="106"/>
  <c r="AV16" i="106"/>
  <c r="AV8" i="106"/>
  <c r="AV23" i="106"/>
  <c r="AV15" i="106"/>
  <c r="AV7" i="106"/>
  <c r="AV22" i="106"/>
  <c r="AV14" i="106"/>
  <c r="AV6" i="106"/>
  <c r="AV21" i="106"/>
  <c r="AV13" i="106"/>
  <c r="AV20" i="106"/>
  <c r="AV12" i="106"/>
  <c r="AV19" i="106"/>
  <c r="AV11" i="106"/>
  <c r="AV18" i="106"/>
  <c r="AV10" i="106"/>
  <c r="AV17" i="106"/>
  <c r="AV9" i="106"/>
  <c r="AS24" i="106"/>
  <c r="AS23" i="106"/>
  <c r="AS22" i="106"/>
  <c r="AS21" i="106"/>
  <c r="AS20" i="106"/>
  <c r="AS19" i="106"/>
  <c r="AS18" i="106"/>
  <c r="AS17" i="106"/>
  <c r="AS6" i="106"/>
  <c r="AS9" i="106"/>
  <c r="AS16" i="106"/>
  <c r="AS8" i="106"/>
  <c r="AS15" i="106"/>
  <c r="AS7" i="106"/>
  <c r="AS10" i="106"/>
  <c r="AS14" i="106"/>
  <c r="AS13" i="106"/>
  <c r="AS12" i="106"/>
  <c r="AS11" i="106"/>
  <c r="AW19" i="106"/>
  <c r="AW11" i="106"/>
  <c r="AW18" i="106"/>
  <c r="AW10" i="106"/>
  <c r="AW17" i="106"/>
  <c r="AW9" i="106"/>
  <c r="AW24" i="106"/>
  <c r="AW16" i="106"/>
  <c r="AW8" i="106"/>
  <c r="AW23" i="106"/>
  <c r="AW15" i="106"/>
  <c r="AW7" i="106"/>
  <c r="AW22" i="106"/>
  <c r="AW14" i="106"/>
  <c r="AW6" i="106"/>
  <c r="AW21" i="106"/>
  <c r="AW13" i="106"/>
  <c r="AW20" i="106"/>
  <c r="AW12" i="106"/>
  <c r="AT19" i="106"/>
  <c r="AT17" i="106"/>
  <c r="AT24" i="106"/>
  <c r="AT23" i="106"/>
  <c r="AT22" i="106"/>
  <c r="AT18" i="106"/>
  <c r="AT21" i="106"/>
  <c r="AT20" i="106"/>
  <c r="AT6" i="106"/>
  <c r="AT9" i="106"/>
  <c r="AT16" i="106"/>
  <c r="AT8" i="106"/>
  <c r="AT10" i="106"/>
  <c r="AT15" i="106"/>
  <c r="AT7" i="106"/>
  <c r="AT14" i="106"/>
  <c r="AT13" i="106"/>
  <c r="AT12" i="106"/>
  <c r="AT11" i="106"/>
  <c r="A59" i="9"/>
  <c r="A59" i="20" s="1"/>
  <c r="AX22" i="106"/>
  <c r="AX14" i="106"/>
  <c r="AX6" i="106"/>
  <c r="AX21" i="106"/>
  <c r="AX13" i="106"/>
  <c r="AX20" i="106"/>
  <c r="AX12" i="106"/>
  <c r="AX19" i="106"/>
  <c r="AX11" i="106"/>
  <c r="AX18" i="106"/>
  <c r="AX10" i="106"/>
  <c r="AX17" i="106"/>
  <c r="AX9" i="106"/>
  <c r="AX24" i="106"/>
  <c r="AX16" i="106"/>
  <c r="AX8" i="106"/>
  <c r="AX23" i="106"/>
  <c r="AX15" i="106"/>
  <c r="AX7" i="106"/>
  <c r="AU24" i="106"/>
  <c r="AU23" i="106"/>
  <c r="AU22" i="106"/>
  <c r="AU21" i="106"/>
  <c r="AU20" i="106"/>
  <c r="AU19" i="106"/>
  <c r="AU18" i="106"/>
  <c r="AU17" i="106"/>
  <c r="AU6" i="106"/>
  <c r="AU9" i="106"/>
  <c r="AU16" i="106"/>
  <c r="AU8" i="106"/>
  <c r="AU15" i="106"/>
  <c r="AU7" i="106"/>
  <c r="AU14" i="106"/>
  <c r="AU13" i="106"/>
  <c r="AU12" i="106"/>
  <c r="AU11" i="106"/>
  <c r="AU10" i="106"/>
  <c r="AS17" i="100"/>
  <c r="AS18" i="100"/>
  <c r="AS19" i="100"/>
  <c r="AS20" i="100"/>
  <c r="AS21" i="100"/>
  <c r="AS22" i="100"/>
  <c r="AS23" i="100"/>
  <c r="AS24" i="100"/>
  <c r="AS16" i="100"/>
  <c r="AS15" i="100"/>
  <c r="AS14" i="100"/>
  <c r="AS13" i="100"/>
  <c r="AS12" i="100"/>
  <c r="AS11" i="100"/>
  <c r="AS10" i="100"/>
  <c r="AS9" i="100"/>
  <c r="AS8" i="100"/>
  <c r="AS7" i="100"/>
  <c r="AT17" i="100"/>
  <c r="AT18" i="100"/>
  <c r="AT19" i="100"/>
  <c r="AT20" i="100"/>
  <c r="AT21" i="100"/>
  <c r="AT22" i="100"/>
  <c r="AT23" i="100"/>
  <c r="AT24" i="100"/>
  <c r="AT6" i="100"/>
  <c r="AT16" i="100"/>
  <c r="AT15" i="100"/>
  <c r="AT14" i="100"/>
  <c r="AT13" i="100"/>
  <c r="AT12" i="100"/>
  <c r="AT11" i="100"/>
  <c r="AT10" i="100"/>
  <c r="AT9" i="100"/>
  <c r="AT8" i="100"/>
  <c r="AT7" i="100"/>
  <c r="AU17" i="100"/>
  <c r="AU18" i="100"/>
  <c r="AU19" i="100"/>
  <c r="AU20" i="100"/>
  <c r="AU21" i="100"/>
  <c r="AU22" i="100"/>
  <c r="AU23" i="100"/>
  <c r="AU24" i="100"/>
  <c r="AU16" i="100"/>
  <c r="AU15" i="100"/>
  <c r="AU14" i="100"/>
  <c r="AU13" i="100"/>
  <c r="AU12" i="100"/>
  <c r="AU11" i="100"/>
  <c r="AU10" i="100"/>
  <c r="AU9" i="100"/>
  <c r="AU8" i="100"/>
  <c r="AU7" i="100"/>
  <c r="AU6" i="100"/>
  <c r="CG114" i="9"/>
  <c r="DG58" i="9"/>
  <c r="AZ17" i="105"/>
  <c r="AZ7" i="105"/>
  <c r="AZ18" i="105"/>
  <c r="AZ14" i="105"/>
  <c r="AZ19" i="105"/>
  <c r="AZ8" i="105"/>
  <c r="AZ20" i="105"/>
  <c r="AZ21" i="105"/>
  <c r="AZ10" i="105"/>
  <c r="AZ22" i="105"/>
  <c r="AZ9" i="105"/>
  <c r="AZ11" i="105"/>
  <c r="AZ23" i="105"/>
  <c r="AZ12" i="105"/>
  <c r="AZ24" i="105"/>
  <c r="AZ13" i="105"/>
  <c r="AZ16" i="105"/>
  <c r="AZ15" i="105"/>
  <c r="AV13" i="105"/>
  <c r="AV21" i="105"/>
  <c r="AV6" i="105"/>
  <c r="AV14" i="105"/>
  <c r="AV22" i="105"/>
  <c r="AV7" i="105"/>
  <c r="AV15" i="105"/>
  <c r="AV23" i="105"/>
  <c r="AV8" i="105"/>
  <c r="AV16" i="105"/>
  <c r="AV24" i="105"/>
  <c r="AV9" i="105"/>
  <c r="AV17" i="105"/>
  <c r="AV10" i="105"/>
  <c r="AV18" i="105"/>
  <c r="AV11" i="105"/>
  <c r="AV19" i="105"/>
  <c r="AV12" i="105"/>
  <c r="AV20" i="105"/>
  <c r="CX61" i="9"/>
  <c r="CX113" i="9"/>
  <c r="CX110" i="9"/>
  <c r="CO115" i="9"/>
  <c r="AX6" i="105"/>
  <c r="AX8" i="105"/>
  <c r="AX9" i="105"/>
  <c r="AX10" i="105"/>
  <c r="AX11" i="105"/>
  <c r="AX12" i="105"/>
  <c r="AX13" i="105"/>
  <c r="AX15" i="105"/>
  <c r="AX16" i="105"/>
  <c r="AX17" i="105"/>
  <c r="AX18" i="105"/>
  <c r="AX20" i="105"/>
  <c r="AX21" i="105"/>
  <c r="AX22" i="105"/>
  <c r="AX23" i="105"/>
  <c r="AX24" i="105"/>
  <c r="AX14" i="105"/>
  <c r="AX19" i="105"/>
  <c r="AX7" i="105"/>
  <c r="AY6" i="105"/>
  <c r="AY8" i="105"/>
  <c r="AY10" i="105"/>
  <c r="AY11" i="105"/>
  <c r="AY12" i="105"/>
  <c r="AY13" i="105"/>
  <c r="AY15" i="105"/>
  <c r="AY16" i="105"/>
  <c r="AY17" i="105"/>
  <c r="AY18" i="105"/>
  <c r="AY20" i="105"/>
  <c r="AY22" i="105"/>
  <c r="AY23" i="105"/>
  <c r="AY24" i="105"/>
  <c r="AY9" i="105"/>
  <c r="AY19" i="105"/>
  <c r="AY7" i="105"/>
  <c r="AY14" i="105"/>
  <c r="AY21" i="105"/>
  <c r="AW6" i="105"/>
  <c r="AW8" i="105"/>
  <c r="AW9" i="105"/>
  <c r="AW10" i="105"/>
  <c r="AW11" i="105"/>
  <c r="AW12" i="105"/>
  <c r="AW13" i="105"/>
  <c r="AW14" i="105"/>
  <c r="AW15" i="105"/>
  <c r="AW16" i="105"/>
  <c r="AW17" i="105"/>
  <c r="AW18" i="105"/>
  <c r="AW20" i="105"/>
  <c r="AW21" i="105"/>
  <c r="AW22" i="105"/>
  <c r="AW23" i="105"/>
  <c r="AW24" i="105"/>
  <c r="AW7" i="105"/>
  <c r="AW19" i="105"/>
  <c r="AU24" i="105"/>
  <c r="AU23" i="105"/>
  <c r="AU22" i="105"/>
  <c r="AU20" i="105"/>
  <c r="AU21" i="105"/>
  <c r="AU19" i="105"/>
  <c r="AU18" i="105"/>
  <c r="AU17" i="105"/>
  <c r="AU16" i="105"/>
  <c r="AU14" i="105"/>
  <c r="AU13" i="105"/>
  <c r="AU8" i="105"/>
  <c r="AU11" i="105"/>
  <c r="AU9" i="105"/>
  <c r="AU12" i="105"/>
  <c r="AU10" i="105"/>
  <c r="AU7" i="105"/>
  <c r="AU6" i="105"/>
  <c r="AU15" i="105"/>
  <c r="CG110" i="9"/>
  <c r="CO113" i="9"/>
  <c r="CX114" i="9"/>
  <c r="CX118" i="9"/>
  <c r="AT20" i="105"/>
  <c r="AT19" i="105"/>
  <c r="AT18" i="105"/>
  <c r="AT17" i="105"/>
  <c r="AT24" i="105"/>
  <c r="AT22" i="105"/>
  <c r="AT23" i="105"/>
  <c r="AT21" i="105"/>
  <c r="AT13" i="105"/>
  <c r="AT9" i="105"/>
  <c r="AT14" i="105"/>
  <c r="AT7" i="105"/>
  <c r="AT12" i="105"/>
  <c r="AT10" i="105"/>
  <c r="AT6" i="105"/>
  <c r="AT11" i="105"/>
  <c r="AT15" i="105"/>
  <c r="AT8" i="105"/>
  <c r="AT16" i="105"/>
  <c r="AP24" i="105"/>
  <c r="AP23" i="105"/>
  <c r="AP22" i="105"/>
  <c r="AP21" i="105"/>
  <c r="AP20" i="105"/>
  <c r="AP19" i="105"/>
  <c r="AP18" i="105"/>
  <c r="AP17" i="105"/>
  <c r="AP9" i="105"/>
  <c r="AP12" i="105"/>
  <c r="AP8" i="105"/>
  <c r="AP14" i="105"/>
  <c r="AP10" i="105"/>
  <c r="AP6" i="105"/>
  <c r="AP7" i="105"/>
  <c r="AP11" i="105"/>
  <c r="AP13" i="105"/>
  <c r="AP16" i="105"/>
  <c r="AP15" i="105"/>
  <c r="CO118" i="9"/>
  <c r="AQ20" i="105"/>
  <c r="AQ19" i="105"/>
  <c r="AQ18" i="105"/>
  <c r="AQ17" i="105"/>
  <c r="AQ24" i="105"/>
  <c r="AQ23" i="105"/>
  <c r="AQ22" i="105"/>
  <c r="AQ21" i="105"/>
  <c r="AQ7" i="105"/>
  <c r="AQ16" i="105"/>
  <c r="AQ8" i="105"/>
  <c r="AQ14" i="105"/>
  <c r="AQ13" i="105"/>
  <c r="AQ6" i="105"/>
  <c r="AQ12" i="105"/>
  <c r="AQ9" i="105"/>
  <c r="AQ15" i="105"/>
  <c r="AQ11" i="105"/>
  <c r="AQ10" i="105"/>
  <c r="CO111" i="9"/>
  <c r="DG46" i="9"/>
  <c r="AR24" i="105"/>
  <c r="AR23" i="105"/>
  <c r="AR22" i="105"/>
  <c r="AR20" i="105"/>
  <c r="AR21" i="105"/>
  <c r="AR19" i="105"/>
  <c r="AR18" i="105"/>
  <c r="AR17" i="105"/>
  <c r="AR16" i="105"/>
  <c r="AR14" i="105"/>
  <c r="AR6" i="105"/>
  <c r="AR8" i="105"/>
  <c r="AR10" i="105"/>
  <c r="AR15" i="105"/>
  <c r="AR12" i="105"/>
  <c r="AR11" i="105"/>
  <c r="AR13" i="105"/>
  <c r="AR9" i="105"/>
  <c r="AR7" i="105"/>
  <c r="AS24" i="105"/>
  <c r="AS23" i="105"/>
  <c r="AS22" i="105"/>
  <c r="AS21" i="105"/>
  <c r="AS20" i="105"/>
  <c r="AS19" i="105"/>
  <c r="AS18" i="105"/>
  <c r="AS17" i="105"/>
  <c r="AS16" i="105"/>
  <c r="AS6" i="105"/>
  <c r="AS7" i="105"/>
  <c r="AS8" i="105"/>
  <c r="AS15" i="105"/>
  <c r="AS10" i="105"/>
  <c r="AS9" i="105"/>
  <c r="AS12" i="105"/>
  <c r="AS13" i="105"/>
  <c r="AS11" i="105"/>
  <c r="AS14" i="105"/>
  <c r="CX39" i="9"/>
  <c r="CX107" i="9"/>
  <c r="CG37" i="9"/>
  <c r="CO112" i="9"/>
  <c r="CX117" i="9"/>
  <c r="CG115" i="9"/>
  <c r="CX116" i="9"/>
  <c r="CG117" i="9"/>
  <c r="CG107" i="9"/>
  <c r="CG116" i="9"/>
  <c r="CX115" i="9"/>
  <c r="CG118" i="9"/>
  <c r="CO117" i="9"/>
  <c r="CG113" i="9"/>
  <c r="CG111" i="9"/>
  <c r="CX111" i="9"/>
  <c r="CG112" i="9"/>
  <c r="CX112" i="9"/>
  <c r="HM60" i="9"/>
  <c r="CX108" i="9"/>
  <c r="AO24" i="95"/>
  <c r="AO23" i="95"/>
  <c r="AO22" i="95"/>
  <c r="AO21" i="95"/>
  <c r="AO20" i="95"/>
  <c r="AO19" i="95"/>
  <c r="AO18" i="95"/>
  <c r="AO17" i="95"/>
  <c r="AO16" i="95"/>
  <c r="AO15" i="95"/>
  <c r="AO14" i="95"/>
  <c r="AO13" i="95"/>
  <c r="AO12" i="95"/>
  <c r="AO11" i="95"/>
  <c r="AO10" i="95"/>
  <c r="AO9" i="95"/>
  <c r="AO8" i="95"/>
  <c r="AO7" i="95"/>
  <c r="AO6" i="95"/>
  <c r="AP24" i="95"/>
  <c r="AP23" i="95"/>
  <c r="AP22" i="95"/>
  <c r="AP21" i="95"/>
  <c r="AP20" i="95"/>
  <c r="AP19" i="95"/>
  <c r="AP18" i="95"/>
  <c r="AP17" i="95"/>
  <c r="AP16" i="95"/>
  <c r="AP15" i="95"/>
  <c r="AP14" i="95"/>
  <c r="AP13" i="95"/>
  <c r="AP12" i="95"/>
  <c r="AP11" i="95"/>
  <c r="AP10" i="95"/>
  <c r="AP9" i="95"/>
  <c r="AP8" i="95"/>
  <c r="AP7" i="95"/>
  <c r="AP6" i="95"/>
  <c r="AQ24" i="95"/>
  <c r="AQ23" i="95"/>
  <c r="AQ22" i="95"/>
  <c r="AQ21" i="95"/>
  <c r="AQ20" i="95"/>
  <c r="AQ19" i="95"/>
  <c r="AQ18" i="95"/>
  <c r="AQ17" i="95"/>
  <c r="AQ6" i="95"/>
  <c r="AQ7" i="95"/>
  <c r="AQ8" i="95"/>
  <c r="AQ9" i="95"/>
  <c r="AQ10" i="95"/>
  <c r="AQ11" i="95"/>
  <c r="AQ12" i="95"/>
  <c r="AQ13" i="95"/>
  <c r="AQ14" i="95"/>
  <c r="AQ15" i="95"/>
  <c r="AQ16" i="95"/>
  <c r="AR24" i="95"/>
  <c r="AR23" i="95"/>
  <c r="AR22" i="95"/>
  <c r="AR21" i="95"/>
  <c r="AR20" i="95"/>
  <c r="AR19" i="95"/>
  <c r="AR18" i="95"/>
  <c r="AR17" i="95"/>
  <c r="AR6" i="95"/>
  <c r="AR7" i="95"/>
  <c r="AR8" i="95"/>
  <c r="AR9" i="95"/>
  <c r="AR10" i="95"/>
  <c r="AR11" i="95"/>
  <c r="AR12" i="95"/>
  <c r="AR13" i="95"/>
  <c r="AR14" i="95"/>
  <c r="AR15" i="95"/>
  <c r="AR16" i="95"/>
  <c r="AS24" i="95"/>
  <c r="AS23" i="95"/>
  <c r="AS22" i="95"/>
  <c r="AS21" i="95"/>
  <c r="AS20" i="95"/>
  <c r="AS19" i="95"/>
  <c r="AS18" i="95"/>
  <c r="AS17" i="95"/>
  <c r="AS6" i="95"/>
  <c r="AS16" i="95"/>
  <c r="AS15" i="95"/>
  <c r="AS14" i="95"/>
  <c r="AS13" i="95"/>
  <c r="AS12" i="95"/>
  <c r="AS11" i="95"/>
  <c r="AS10" i="95"/>
  <c r="AS9" i="95"/>
  <c r="AS8" i="95"/>
  <c r="AS7" i="95"/>
  <c r="AT24" i="95"/>
  <c r="AT23" i="95"/>
  <c r="AT22" i="95"/>
  <c r="AT21" i="95"/>
  <c r="AT20" i="95"/>
  <c r="AT19" i="95"/>
  <c r="AT18" i="95"/>
  <c r="AT17" i="95"/>
  <c r="AT6" i="95"/>
  <c r="AT16" i="95"/>
  <c r="AT15" i="95"/>
  <c r="AT14" i="95"/>
  <c r="AT13" i="95"/>
  <c r="AT12" i="95"/>
  <c r="AT11" i="95"/>
  <c r="AT10" i="95"/>
  <c r="AT9" i="95"/>
  <c r="AT8" i="95"/>
  <c r="AT7" i="95"/>
  <c r="AU24" i="95"/>
  <c r="AU23" i="95"/>
  <c r="AU22" i="95"/>
  <c r="AU21" i="95"/>
  <c r="AU20" i="95"/>
  <c r="AU19" i="95"/>
  <c r="AU18" i="95"/>
  <c r="AU17" i="95"/>
  <c r="AU6" i="95"/>
  <c r="AU16" i="95"/>
  <c r="AU15" i="95"/>
  <c r="AU14" i="95"/>
  <c r="AU13" i="95"/>
  <c r="AU12" i="95"/>
  <c r="AU11" i="95"/>
  <c r="AU10" i="95"/>
  <c r="AU9" i="95"/>
  <c r="AU8" i="95"/>
  <c r="AU7" i="95"/>
  <c r="AV24" i="95"/>
  <c r="AV23" i="95"/>
  <c r="AV22" i="95"/>
  <c r="AV21" i="95"/>
  <c r="AV20" i="95"/>
  <c r="AV19" i="95"/>
  <c r="AV18" i="95"/>
  <c r="AV17" i="95"/>
  <c r="AV6" i="95"/>
  <c r="AV16" i="95"/>
  <c r="AV15" i="95"/>
  <c r="AV14" i="95"/>
  <c r="AV13" i="95"/>
  <c r="AV12" i="95"/>
  <c r="AV11" i="95"/>
  <c r="AV10" i="95"/>
  <c r="AV9" i="95"/>
  <c r="AV8" i="95"/>
  <c r="AV7" i="95"/>
  <c r="AW24" i="95"/>
  <c r="AW23" i="95"/>
  <c r="AW22" i="95"/>
  <c r="AW21" i="95"/>
  <c r="AW20" i="95"/>
  <c r="AW19" i="95"/>
  <c r="AW18" i="95"/>
  <c r="AW17" i="95"/>
  <c r="AW6" i="95"/>
  <c r="AW7" i="95"/>
  <c r="AW8" i="95"/>
  <c r="AW9" i="95"/>
  <c r="AW10" i="95"/>
  <c r="AW11" i="95"/>
  <c r="AW12" i="95"/>
  <c r="AW13" i="95"/>
  <c r="AW14" i="95"/>
  <c r="AW15" i="95"/>
  <c r="AW16" i="95"/>
  <c r="AX24" i="95"/>
  <c r="AX23" i="95"/>
  <c r="AX22" i="95"/>
  <c r="AX21" i="95"/>
  <c r="AX20" i="95"/>
  <c r="AX19" i="95"/>
  <c r="AX18" i="95"/>
  <c r="AX17" i="95"/>
  <c r="AX6" i="95"/>
  <c r="AX16" i="95"/>
  <c r="AX15" i="95"/>
  <c r="AX14" i="95"/>
  <c r="AX13" i="95"/>
  <c r="AX12" i="95"/>
  <c r="AX11" i="95"/>
  <c r="AX10" i="95"/>
  <c r="AX9" i="95"/>
  <c r="AX8" i="95"/>
  <c r="AX7" i="95"/>
  <c r="AY24" i="95"/>
  <c r="AY23" i="95"/>
  <c r="AY22" i="95"/>
  <c r="AY21" i="95"/>
  <c r="AY20" i="95"/>
  <c r="AY19" i="95"/>
  <c r="AY18" i="95"/>
  <c r="AY17" i="95"/>
  <c r="AY6" i="95"/>
  <c r="AY16" i="95"/>
  <c r="AY15" i="95"/>
  <c r="AY14" i="95"/>
  <c r="AY13" i="95"/>
  <c r="AY12" i="95"/>
  <c r="AY11" i="95"/>
  <c r="AY10" i="95"/>
  <c r="AY9" i="95"/>
  <c r="AY8" i="95"/>
  <c r="AY7" i="95"/>
  <c r="AO24" i="96"/>
  <c r="AO23" i="96"/>
  <c r="AO22" i="96"/>
  <c r="AO21" i="96"/>
  <c r="AO20" i="96"/>
  <c r="AO19" i="96"/>
  <c r="AO18" i="96"/>
  <c r="AO17" i="96"/>
  <c r="AO16" i="96"/>
  <c r="AO15" i="96"/>
  <c r="AO14" i="96"/>
  <c r="AO13" i="96"/>
  <c r="AO12" i="96"/>
  <c r="AO11" i="96"/>
  <c r="AO10" i="96"/>
  <c r="AO9" i="96"/>
  <c r="AO8" i="96"/>
  <c r="AO7" i="96"/>
  <c r="AO6" i="96"/>
  <c r="AP24" i="96"/>
  <c r="AP23" i="96"/>
  <c r="AP22" i="96"/>
  <c r="AP21" i="96"/>
  <c r="AP20" i="96"/>
  <c r="AP19" i="96"/>
  <c r="AP18" i="96"/>
  <c r="AP17" i="96"/>
  <c r="AP6" i="96"/>
  <c r="AP7" i="96"/>
  <c r="AP8" i="96"/>
  <c r="AP9" i="96"/>
  <c r="AP10" i="96"/>
  <c r="AP11" i="96"/>
  <c r="AP12" i="96"/>
  <c r="AP13" i="96"/>
  <c r="AP14" i="96"/>
  <c r="AP15" i="96"/>
  <c r="AP16" i="96"/>
  <c r="AQ24" i="96"/>
  <c r="AQ23" i="96"/>
  <c r="AQ22" i="96"/>
  <c r="AQ21" i="96"/>
  <c r="AQ20" i="96"/>
  <c r="AQ19" i="96"/>
  <c r="AQ18" i="96"/>
  <c r="AQ17" i="96"/>
  <c r="AQ6" i="96"/>
  <c r="AQ7" i="96"/>
  <c r="AQ8" i="96"/>
  <c r="AQ9" i="96"/>
  <c r="AQ10" i="96"/>
  <c r="AQ11" i="96"/>
  <c r="AQ12" i="96"/>
  <c r="AQ13" i="96"/>
  <c r="AQ14" i="96"/>
  <c r="AQ15" i="96"/>
  <c r="AQ16" i="96"/>
  <c r="AR24" i="96"/>
  <c r="AR23" i="96"/>
  <c r="AR22" i="96"/>
  <c r="AR21" i="96"/>
  <c r="AR20" i="96"/>
  <c r="AR19" i="96"/>
  <c r="AR18" i="96"/>
  <c r="AR17" i="96"/>
  <c r="AR6" i="96"/>
  <c r="AR16" i="96"/>
  <c r="AR15" i="96"/>
  <c r="AR14" i="96"/>
  <c r="AR13" i="96"/>
  <c r="AR12" i="96"/>
  <c r="AR11" i="96"/>
  <c r="AR10" i="96"/>
  <c r="AR9" i="96"/>
  <c r="AR8" i="96"/>
  <c r="AR7" i="96"/>
  <c r="AS24" i="96"/>
  <c r="AS23" i="96"/>
  <c r="AS22" i="96"/>
  <c r="AS21" i="96"/>
  <c r="AS20" i="96"/>
  <c r="AS19" i="96"/>
  <c r="AS18" i="96"/>
  <c r="AS17" i="96"/>
  <c r="AS6" i="96"/>
  <c r="AS16" i="96"/>
  <c r="AS15" i="96"/>
  <c r="AS14" i="96"/>
  <c r="AS13" i="96"/>
  <c r="AS12" i="96"/>
  <c r="AS11" i="96"/>
  <c r="AS10" i="96"/>
  <c r="AS9" i="96"/>
  <c r="AS8" i="96"/>
  <c r="AS7" i="96"/>
  <c r="AT24" i="96"/>
  <c r="AT23" i="96"/>
  <c r="AT22" i="96"/>
  <c r="AT21" i="96"/>
  <c r="AT20" i="96"/>
  <c r="AT19" i="96"/>
  <c r="AT18" i="96"/>
  <c r="AT17" i="96"/>
  <c r="AT6" i="96"/>
  <c r="AT16" i="96"/>
  <c r="AT15" i="96"/>
  <c r="AT14" i="96"/>
  <c r="AT13" i="96"/>
  <c r="AT12" i="96"/>
  <c r="AT11" i="96"/>
  <c r="AT10" i="96"/>
  <c r="AT9" i="96"/>
  <c r="AT8" i="96"/>
  <c r="AT7" i="96"/>
  <c r="AU24" i="96"/>
  <c r="AU23" i="96"/>
  <c r="AU22" i="96"/>
  <c r="AU21" i="96"/>
  <c r="AU20" i="96"/>
  <c r="AU19" i="96"/>
  <c r="AU18" i="96"/>
  <c r="AU17" i="96"/>
  <c r="AU6" i="96"/>
  <c r="AU16" i="96"/>
  <c r="AU15" i="96"/>
  <c r="AU14" i="96"/>
  <c r="AU13" i="96"/>
  <c r="AU12" i="96"/>
  <c r="AU11" i="96"/>
  <c r="AU10" i="96"/>
  <c r="AU9" i="96"/>
  <c r="AU8" i="96"/>
  <c r="AU7" i="96"/>
  <c r="AV24" i="96"/>
  <c r="AV23" i="96"/>
  <c r="AV22" i="96"/>
  <c r="AV21" i="96"/>
  <c r="AV20" i="96"/>
  <c r="AV19" i="96"/>
  <c r="AV18" i="96"/>
  <c r="AV17" i="96"/>
  <c r="AV6" i="96"/>
  <c r="AV7" i="96"/>
  <c r="AV8" i="96"/>
  <c r="AV9" i="96"/>
  <c r="AV10" i="96"/>
  <c r="AV11" i="96"/>
  <c r="AV12" i="96"/>
  <c r="AV13" i="96"/>
  <c r="AV14" i="96"/>
  <c r="AV15" i="96"/>
  <c r="AV16" i="96"/>
  <c r="AW24" i="96"/>
  <c r="AW23" i="96"/>
  <c r="AW22" i="96"/>
  <c r="AW21" i="96"/>
  <c r="AW20" i="96"/>
  <c r="AW19" i="96"/>
  <c r="AW18" i="96"/>
  <c r="AW17" i="96"/>
  <c r="AW6" i="96"/>
  <c r="AW16" i="96"/>
  <c r="AW15" i="96"/>
  <c r="AW14" i="96"/>
  <c r="AW13" i="96"/>
  <c r="AW12" i="96"/>
  <c r="AW11" i="96"/>
  <c r="AW10" i="96"/>
  <c r="AW9" i="96"/>
  <c r="AW8" i="96"/>
  <c r="AW7" i="96"/>
  <c r="AX24" i="96"/>
  <c r="AX23" i="96"/>
  <c r="AX22" i="96"/>
  <c r="AX21" i="96"/>
  <c r="AX20" i="96"/>
  <c r="AX19" i="96"/>
  <c r="AX18" i="96"/>
  <c r="AX17" i="96"/>
  <c r="AX6" i="96"/>
  <c r="AX16" i="96"/>
  <c r="AX15" i="96"/>
  <c r="AX14" i="96"/>
  <c r="AX13" i="96"/>
  <c r="AX12" i="96"/>
  <c r="AX11" i="96"/>
  <c r="AX10" i="96"/>
  <c r="AX9" i="96"/>
  <c r="AX8" i="96"/>
  <c r="AX7" i="96"/>
  <c r="AO24" i="97"/>
  <c r="AO23" i="97"/>
  <c r="AO22" i="97"/>
  <c r="AO21" i="97"/>
  <c r="AO20" i="97"/>
  <c r="AO19" i="97"/>
  <c r="AO18" i="97"/>
  <c r="AO17" i="97"/>
  <c r="AO6" i="97"/>
  <c r="AO7" i="97"/>
  <c r="AO8" i="97"/>
  <c r="AO9" i="97"/>
  <c r="AO10" i="97"/>
  <c r="AO11" i="97"/>
  <c r="AO12" i="97"/>
  <c r="AO13" i="97"/>
  <c r="AO14" i="97"/>
  <c r="AO15" i="97"/>
  <c r="AO16" i="97"/>
  <c r="AP24" i="97"/>
  <c r="AP23" i="97"/>
  <c r="AP22" i="97"/>
  <c r="AP21" i="97"/>
  <c r="AP20" i="97"/>
  <c r="AP19" i="97"/>
  <c r="AP18" i="97"/>
  <c r="AP17" i="97"/>
  <c r="AP6" i="97"/>
  <c r="AP7" i="97"/>
  <c r="AP8" i="97"/>
  <c r="AP9" i="97"/>
  <c r="AP10" i="97"/>
  <c r="AP11" i="97"/>
  <c r="AP12" i="97"/>
  <c r="AP13" i="97"/>
  <c r="AP14" i="97"/>
  <c r="AP15" i="97"/>
  <c r="AP16" i="97"/>
  <c r="AQ24" i="97"/>
  <c r="AQ23" i="97"/>
  <c r="AQ22" i="97"/>
  <c r="AQ21" i="97"/>
  <c r="AQ20" i="97"/>
  <c r="AQ19" i="97"/>
  <c r="AQ18" i="97"/>
  <c r="AQ17" i="97"/>
  <c r="AQ6" i="97"/>
  <c r="AQ16" i="97"/>
  <c r="AQ15" i="97"/>
  <c r="AQ14" i="97"/>
  <c r="AQ13" i="97"/>
  <c r="AQ12" i="97"/>
  <c r="AQ11" i="97"/>
  <c r="AQ10" i="97"/>
  <c r="AQ9" i="97"/>
  <c r="AQ8" i="97"/>
  <c r="AQ7" i="97"/>
  <c r="AR24" i="97"/>
  <c r="AR23" i="97"/>
  <c r="AR22" i="97"/>
  <c r="AR21" i="97"/>
  <c r="AR20" i="97"/>
  <c r="AR19" i="97"/>
  <c r="AR18" i="97"/>
  <c r="AR17" i="97"/>
  <c r="AR6" i="97"/>
  <c r="AR16" i="97"/>
  <c r="AR15" i="97"/>
  <c r="AR14" i="97"/>
  <c r="AR13" i="97"/>
  <c r="AR12" i="97"/>
  <c r="AR11" i="97"/>
  <c r="AR10" i="97"/>
  <c r="AR9" i="97"/>
  <c r="AR8" i="97"/>
  <c r="AR7" i="97"/>
  <c r="AS24" i="97"/>
  <c r="AS23" i="97"/>
  <c r="AS22" i="97"/>
  <c r="AS21" i="97"/>
  <c r="AS20" i="97"/>
  <c r="AS19" i="97"/>
  <c r="AS18" i="97"/>
  <c r="AS17" i="97"/>
  <c r="AS6" i="97"/>
  <c r="AS16" i="97"/>
  <c r="AS15" i="97"/>
  <c r="AS14" i="97"/>
  <c r="AS13" i="97"/>
  <c r="AS12" i="97"/>
  <c r="AS11" i="97"/>
  <c r="AS10" i="97"/>
  <c r="AS9" i="97"/>
  <c r="AS8" i="97"/>
  <c r="AS7" i="97"/>
  <c r="AT24" i="97"/>
  <c r="AT23" i="97"/>
  <c r="AT22" i="97"/>
  <c r="AT21" i="97"/>
  <c r="AT20" i="97"/>
  <c r="AT19" i="97"/>
  <c r="AT18" i="97"/>
  <c r="AT17" i="97"/>
  <c r="AT6" i="97"/>
  <c r="AT16" i="97"/>
  <c r="AT15" i="97"/>
  <c r="AT14" i="97"/>
  <c r="AT13" i="97"/>
  <c r="AT12" i="97"/>
  <c r="AT11" i="97"/>
  <c r="AT10" i="97"/>
  <c r="AT9" i="97"/>
  <c r="AT8" i="97"/>
  <c r="AT7" i="97"/>
  <c r="AU24" i="97"/>
  <c r="AU23" i="97"/>
  <c r="AU22" i="97"/>
  <c r="AU21" i="97"/>
  <c r="AU20" i="97"/>
  <c r="AU19" i="97"/>
  <c r="AU18" i="97"/>
  <c r="AU17" i="97"/>
  <c r="AU6" i="97"/>
  <c r="AU7" i="97"/>
  <c r="AU8" i="97"/>
  <c r="AU9" i="97"/>
  <c r="AU10" i="97"/>
  <c r="AU11" i="97"/>
  <c r="AU12" i="97"/>
  <c r="AU13" i="97"/>
  <c r="AU14" i="97"/>
  <c r="AU15" i="97"/>
  <c r="AU16" i="97"/>
  <c r="AV24" i="97"/>
  <c r="AV23" i="97"/>
  <c r="AV22" i="97"/>
  <c r="AV21" i="97"/>
  <c r="AV20" i="97"/>
  <c r="AV19" i="97"/>
  <c r="AV18" i="97"/>
  <c r="AV17" i="97"/>
  <c r="AV6" i="97"/>
  <c r="AV16" i="97"/>
  <c r="AV15" i="97"/>
  <c r="AV14" i="97"/>
  <c r="AV13" i="97"/>
  <c r="AV12" i="97"/>
  <c r="AV11" i="97"/>
  <c r="AV10" i="97"/>
  <c r="AV9" i="97"/>
  <c r="AV8" i="97"/>
  <c r="AV7" i="97"/>
  <c r="AW24" i="97"/>
  <c r="AW23" i="97"/>
  <c r="AW22" i="97"/>
  <c r="AW21" i="97"/>
  <c r="AW20" i="97"/>
  <c r="AW19" i="97"/>
  <c r="AW18" i="97"/>
  <c r="AW17" i="97"/>
  <c r="AW6" i="97"/>
  <c r="AW16" i="97"/>
  <c r="AW15" i="97"/>
  <c r="AW14" i="97"/>
  <c r="AW13" i="97"/>
  <c r="AW12" i="97"/>
  <c r="AW11" i="97"/>
  <c r="AW10" i="97"/>
  <c r="AW9" i="97"/>
  <c r="AW8" i="97"/>
  <c r="AW7" i="97"/>
  <c r="AO24" i="98"/>
  <c r="AO23" i="98"/>
  <c r="AO22" i="98"/>
  <c r="AO21" i="98"/>
  <c r="AO20" i="98"/>
  <c r="AO19" i="98"/>
  <c r="AO18" i="98"/>
  <c r="AO17" i="98"/>
  <c r="AO6" i="98"/>
  <c r="AO7" i="98"/>
  <c r="AO8" i="98"/>
  <c r="AO9" i="98"/>
  <c r="AO10" i="98"/>
  <c r="AO11" i="98"/>
  <c r="AO12" i="98"/>
  <c r="AO13" i="98"/>
  <c r="AO14" i="98"/>
  <c r="AO15" i="98"/>
  <c r="AO16" i="98"/>
  <c r="AP24" i="98"/>
  <c r="AP23" i="98"/>
  <c r="AP22" i="98"/>
  <c r="AP21" i="98"/>
  <c r="AP20" i="98"/>
  <c r="AP19" i="98"/>
  <c r="AP18" i="98"/>
  <c r="AP17" i="98"/>
  <c r="AP6" i="98"/>
  <c r="AP16" i="98"/>
  <c r="AP15" i="98"/>
  <c r="AP14" i="98"/>
  <c r="AP13" i="98"/>
  <c r="AP12" i="98"/>
  <c r="AP11" i="98"/>
  <c r="AP10" i="98"/>
  <c r="AP9" i="98"/>
  <c r="AP8" i="98"/>
  <c r="AP7" i="98"/>
  <c r="AQ24" i="98"/>
  <c r="AQ23" i="98"/>
  <c r="AQ22" i="98"/>
  <c r="AQ21" i="98"/>
  <c r="AQ20" i="98"/>
  <c r="AQ19" i="98"/>
  <c r="AQ18" i="98"/>
  <c r="AQ17" i="98"/>
  <c r="AQ6" i="98"/>
  <c r="AQ16" i="98"/>
  <c r="AQ15" i="98"/>
  <c r="AQ14" i="98"/>
  <c r="AQ13" i="98"/>
  <c r="AQ12" i="98"/>
  <c r="AQ11" i="98"/>
  <c r="AQ10" i="98"/>
  <c r="AQ9" i="98"/>
  <c r="AQ8" i="98"/>
  <c r="AQ7" i="98"/>
  <c r="AR24" i="98"/>
  <c r="AR23" i="98"/>
  <c r="AR22" i="98"/>
  <c r="AR21" i="98"/>
  <c r="AR20" i="98"/>
  <c r="AR19" i="98"/>
  <c r="AR18" i="98"/>
  <c r="AR17" i="98"/>
  <c r="AR6" i="98"/>
  <c r="AR16" i="98"/>
  <c r="AR15" i="98"/>
  <c r="AR14" i="98"/>
  <c r="AR13" i="98"/>
  <c r="AR12" i="98"/>
  <c r="AR11" i="98"/>
  <c r="AR10" i="98"/>
  <c r="AR9" i="98"/>
  <c r="AR8" i="98"/>
  <c r="AR7" i="98"/>
  <c r="AS24" i="98"/>
  <c r="AS23" i="98"/>
  <c r="AS22" i="98"/>
  <c r="AS21" i="98"/>
  <c r="AS20" i="98"/>
  <c r="AS19" i="98"/>
  <c r="AS18" i="98"/>
  <c r="AS17" i="98"/>
  <c r="AS6" i="98"/>
  <c r="AS16" i="98"/>
  <c r="AS15" i="98"/>
  <c r="AS14" i="98"/>
  <c r="AS13" i="98"/>
  <c r="AS12" i="98"/>
  <c r="AS11" i="98"/>
  <c r="AS10" i="98"/>
  <c r="AS9" i="98"/>
  <c r="AS8" i="98"/>
  <c r="AS7" i="98"/>
  <c r="AT24" i="98"/>
  <c r="AT23" i="98"/>
  <c r="AT22" i="98"/>
  <c r="AT21" i="98"/>
  <c r="AT20" i="98"/>
  <c r="AT19" i="98"/>
  <c r="AT18" i="98"/>
  <c r="AT17" i="98"/>
  <c r="AT6" i="98"/>
  <c r="AT7" i="98"/>
  <c r="AT8" i="98"/>
  <c r="AT9" i="98"/>
  <c r="AT10" i="98"/>
  <c r="AT11" i="98"/>
  <c r="AT12" i="98"/>
  <c r="AT13" i="98"/>
  <c r="AT14" i="98"/>
  <c r="AT15" i="98"/>
  <c r="AT16" i="98"/>
  <c r="AU24" i="98"/>
  <c r="AU23" i="98"/>
  <c r="AU22" i="98"/>
  <c r="AU21" i="98"/>
  <c r="AU20" i="98"/>
  <c r="AU19" i="98"/>
  <c r="AU18" i="98"/>
  <c r="AU17" i="98"/>
  <c r="AU6" i="98"/>
  <c r="AU16" i="98"/>
  <c r="AU15" i="98"/>
  <c r="AU14" i="98"/>
  <c r="AU13" i="98"/>
  <c r="AU12" i="98"/>
  <c r="AU11" i="98"/>
  <c r="AU10" i="98"/>
  <c r="AU9" i="98"/>
  <c r="AU8" i="98"/>
  <c r="AU7" i="98"/>
  <c r="AV24" i="98"/>
  <c r="AV23" i="98"/>
  <c r="AV22" i="98"/>
  <c r="AV21" i="98"/>
  <c r="AV20" i="98"/>
  <c r="AV19" i="98"/>
  <c r="AV18" i="98"/>
  <c r="AV17" i="98"/>
  <c r="AV6" i="98"/>
  <c r="AV16" i="98"/>
  <c r="AV15" i="98"/>
  <c r="AV14" i="98"/>
  <c r="AV13" i="98"/>
  <c r="AV12" i="98"/>
  <c r="AV11" i="98"/>
  <c r="AV10" i="98"/>
  <c r="AV9" i="98"/>
  <c r="AV8" i="98"/>
  <c r="AV7" i="98"/>
  <c r="AO24" i="100"/>
  <c r="AO23" i="100"/>
  <c r="AO22" i="100"/>
  <c r="AO21" i="100"/>
  <c r="AO20" i="100"/>
  <c r="AO19" i="100"/>
  <c r="AO18" i="100"/>
  <c r="AO17" i="100"/>
  <c r="AO6" i="100"/>
  <c r="AO16" i="100"/>
  <c r="AO15" i="100"/>
  <c r="AO14" i="100"/>
  <c r="AO13" i="100"/>
  <c r="AO12" i="100"/>
  <c r="AO11" i="100"/>
  <c r="AO10" i="100"/>
  <c r="AO9" i="100"/>
  <c r="AO8" i="100"/>
  <c r="AO7" i="100"/>
  <c r="AP24" i="100"/>
  <c r="AP23" i="100"/>
  <c r="AP22" i="100"/>
  <c r="AP21" i="100"/>
  <c r="AP20" i="100"/>
  <c r="AP19" i="100"/>
  <c r="AP18" i="100"/>
  <c r="AP17" i="100"/>
  <c r="AP6" i="100"/>
  <c r="AP16" i="100"/>
  <c r="AP15" i="100"/>
  <c r="AP14" i="100"/>
  <c r="AP13" i="100"/>
  <c r="AP12" i="100"/>
  <c r="AP11" i="100"/>
  <c r="AP10" i="100"/>
  <c r="AP9" i="100"/>
  <c r="AP8" i="100"/>
  <c r="AP7" i="100"/>
  <c r="AQ24" i="100"/>
  <c r="AQ23" i="100"/>
  <c r="AQ22" i="100"/>
  <c r="AQ21" i="100"/>
  <c r="AQ20" i="100"/>
  <c r="AQ19" i="100"/>
  <c r="AQ18" i="100"/>
  <c r="AQ17" i="100"/>
  <c r="AQ6" i="100"/>
  <c r="AQ16" i="100"/>
  <c r="AQ15" i="100"/>
  <c r="AQ14" i="100"/>
  <c r="AQ13" i="100"/>
  <c r="AQ12" i="100"/>
  <c r="AQ11" i="100"/>
  <c r="AQ10" i="100"/>
  <c r="AQ9" i="100"/>
  <c r="AQ8" i="100"/>
  <c r="AQ7" i="100"/>
  <c r="AR24" i="100"/>
  <c r="AR23" i="100"/>
  <c r="AR22" i="100"/>
  <c r="AR21" i="100"/>
  <c r="AR20" i="100"/>
  <c r="AR19" i="100"/>
  <c r="AR18" i="100"/>
  <c r="AR17" i="100"/>
  <c r="AR6" i="100"/>
  <c r="AR16" i="100"/>
  <c r="AR15" i="100"/>
  <c r="AR14" i="100"/>
  <c r="AR13" i="100"/>
  <c r="AR12" i="100"/>
  <c r="AR11" i="100"/>
  <c r="AR10" i="100"/>
  <c r="AR9" i="100"/>
  <c r="AR8" i="100"/>
  <c r="AR7" i="100"/>
  <c r="AS6" i="100"/>
  <c r="AP7" i="93"/>
  <c r="AP8" i="93"/>
  <c r="AP6" i="93"/>
  <c r="AP24" i="93"/>
  <c r="AP23" i="93"/>
  <c r="AP22" i="93"/>
  <c r="AP21" i="93"/>
  <c r="AP20" i="93"/>
  <c r="AP17" i="93"/>
  <c r="AP19" i="93"/>
  <c r="AP15" i="93"/>
  <c r="AP14" i="93"/>
  <c r="AP16" i="93"/>
  <c r="AP18" i="93"/>
  <c r="AP12" i="93"/>
  <c r="AP11" i="93"/>
  <c r="AP13" i="93"/>
  <c r="AP10" i="93"/>
  <c r="AP9" i="93"/>
  <c r="AQ20" i="93"/>
  <c r="AQ6" i="93"/>
  <c r="AQ7" i="93"/>
  <c r="AQ22" i="93"/>
  <c r="AQ21" i="93"/>
  <c r="AQ24" i="93"/>
  <c r="AQ23" i="93"/>
  <c r="AQ19" i="93"/>
  <c r="AQ15" i="93"/>
  <c r="AQ14" i="93"/>
  <c r="AQ16" i="93"/>
  <c r="AQ18" i="93"/>
  <c r="AQ12" i="93"/>
  <c r="AQ11" i="93"/>
  <c r="AQ13" i="93"/>
  <c r="AQ10" i="93"/>
  <c r="AQ9" i="93"/>
  <c r="AQ8" i="93"/>
  <c r="AQ17" i="93"/>
  <c r="AR24" i="93"/>
  <c r="AR23" i="93"/>
  <c r="AR21" i="93"/>
  <c r="AR20" i="93"/>
  <c r="AR19" i="93"/>
  <c r="AR18" i="93"/>
  <c r="AR15" i="93"/>
  <c r="AR14" i="93"/>
  <c r="AR22" i="93"/>
  <c r="AR16" i="93"/>
  <c r="AR17" i="93"/>
  <c r="AR12" i="93"/>
  <c r="AR11" i="93"/>
  <c r="AR13" i="93"/>
  <c r="AR10" i="93"/>
  <c r="AR9" i="93"/>
  <c r="AR8" i="93"/>
  <c r="AR6" i="93"/>
  <c r="AR7" i="93"/>
  <c r="AS22" i="93"/>
  <c r="AS20" i="93"/>
  <c r="AS24" i="93"/>
  <c r="AS21" i="93"/>
  <c r="AS23" i="93"/>
  <c r="AS19" i="93"/>
  <c r="AS15" i="93"/>
  <c r="AS14" i="93"/>
  <c r="AS16" i="93"/>
  <c r="AS13" i="93"/>
  <c r="AS18" i="93"/>
  <c r="AS17" i="93"/>
  <c r="AS11" i="93"/>
  <c r="AS10" i="93"/>
  <c r="AS9" i="93"/>
  <c r="AS8" i="93"/>
  <c r="AS7" i="93"/>
  <c r="AS6" i="93"/>
  <c r="AS12" i="93"/>
  <c r="AT18" i="93"/>
  <c r="AT19" i="93"/>
  <c r="AT23" i="93"/>
  <c r="AT20" i="93"/>
  <c r="AT24" i="93"/>
  <c r="AT22" i="93"/>
  <c r="AT17" i="93"/>
  <c r="AT21" i="93"/>
  <c r="AT8" i="93"/>
  <c r="AT9" i="93"/>
  <c r="AT13" i="93"/>
  <c r="AT6" i="93"/>
  <c r="AT10" i="93"/>
  <c r="AT14" i="93"/>
  <c r="AT16" i="93"/>
  <c r="AT7" i="93"/>
  <c r="AT15" i="93"/>
  <c r="AT11" i="93"/>
  <c r="AT12" i="93"/>
  <c r="AU11" i="93"/>
  <c r="AU12" i="93"/>
  <c r="AU8" i="93"/>
  <c r="AU16" i="93"/>
  <c r="AU10" i="93"/>
  <c r="AU23" i="93"/>
  <c r="AU20" i="93"/>
  <c r="AU22" i="93"/>
  <c r="AU17" i="93"/>
  <c r="AU24" i="93"/>
  <c r="AU18" i="93"/>
  <c r="AU19" i="93"/>
  <c r="AU21" i="93"/>
  <c r="AU13" i="93"/>
  <c r="AU6" i="93"/>
  <c r="AU14" i="93"/>
  <c r="AU7" i="93"/>
  <c r="AU15" i="93"/>
  <c r="AU9" i="93"/>
  <c r="AV11" i="93"/>
  <c r="AV10" i="93"/>
  <c r="AV9" i="93"/>
  <c r="AV16" i="93"/>
  <c r="AV8" i="93"/>
  <c r="AV6" i="93"/>
  <c r="AV14" i="93"/>
  <c r="AV15" i="93"/>
  <c r="AV7" i="93"/>
  <c r="AV13" i="93"/>
  <c r="AV17" i="93"/>
  <c r="AV18" i="93"/>
  <c r="AV20" i="93"/>
  <c r="AV21" i="93"/>
  <c r="AV23" i="93"/>
  <c r="AV22" i="93"/>
  <c r="AV19" i="93"/>
  <c r="AV24" i="93"/>
  <c r="AV12" i="93"/>
  <c r="AW15" i="93"/>
  <c r="AW7" i="93"/>
  <c r="AW16" i="93"/>
  <c r="AW12" i="93"/>
  <c r="AW11" i="93"/>
  <c r="AW6" i="93"/>
  <c r="AW8" i="93"/>
  <c r="AW14" i="93"/>
  <c r="AW13" i="93"/>
  <c r="AW17" i="93"/>
  <c r="AW24" i="93"/>
  <c r="AW19" i="93"/>
  <c r="AW18" i="93"/>
  <c r="AW23" i="93"/>
  <c r="AW21" i="93"/>
  <c r="AW20" i="93"/>
  <c r="AW22" i="93"/>
  <c r="AW10" i="93"/>
  <c r="AW9" i="93"/>
  <c r="AX10" i="93"/>
  <c r="AX13" i="93"/>
  <c r="AX16" i="93"/>
  <c r="AX12" i="93"/>
  <c r="AX11" i="93"/>
  <c r="AX6" i="93"/>
  <c r="AX9" i="93"/>
  <c r="AX21" i="93"/>
  <c r="AX18" i="93"/>
  <c r="AX20" i="93"/>
  <c r="AX19" i="93"/>
  <c r="AX23" i="93"/>
  <c r="AX22" i="93"/>
  <c r="AX24" i="93"/>
  <c r="AX17" i="93"/>
  <c r="AX8" i="93"/>
  <c r="AX15" i="93"/>
  <c r="AX7" i="93"/>
  <c r="AX14" i="93"/>
  <c r="AY7" i="93"/>
  <c r="AY14" i="93"/>
  <c r="AY15" i="93"/>
  <c r="AY6" i="93"/>
  <c r="AY16" i="93"/>
  <c r="AY8" i="93"/>
  <c r="AY13" i="93"/>
  <c r="AY12" i="93"/>
  <c r="AY11" i="93"/>
  <c r="AY24" i="93"/>
  <c r="AY22" i="93"/>
  <c r="AY21" i="93"/>
  <c r="AY18" i="93"/>
  <c r="AY20" i="93"/>
  <c r="AY19" i="93"/>
  <c r="AY23" i="93"/>
  <c r="AY17" i="93"/>
  <c r="AY10" i="93"/>
  <c r="AY9" i="93"/>
  <c r="AZ24" i="93"/>
  <c r="AZ23" i="93"/>
  <c r="AZ17" i="93"/>
  <c r="AZ21" i="93"/>
  <c r="AZ20" i="93"/>
  <c r="AZ22" i="93"/>
  <c r="AZ19" i="93"/>
  <c r="AZ18" i="93"/>
  <c r="AZ11" i="93"/>
  <c r="AZ10" i="93"/>
  <c r="AZ6" i="93"/>
  <c r="AZ14" i="93"/>
  <c r="AZ12" i="93"/>
  <c r="AZ13" i="93"/>
  <c r="AZ7" i="93"/>
  <c r="AZ15" i="93"/>
  <c r="AZ8" i="93"/>
  <c r="AZ16" i="93"/>
  <c r="AZ9" i="93"/>
  <c r="AP11" i="94"/>
  <c r="AP24" i="94"/>
  <c r="AP9" i="94"/>
  <c r="AP16" i="94"/>
  <c r="AP8" i="94"/>
  <c r="AP23" i="94"/>
  <c r="AP22" i="94"/>
  <c r="AP20" i="94"/>
  <c r="AP15" i="94"/>
  <c r="AP14" i="94"/>
  <c r="AP7" i="94"/>
  <c r="AP18" i="94"/>
  <c r="AP10" i="94"/>
  <c r="AP12" i="94"/>
  <c r="AP13" i="94"/>
  <c r="AP19" i="94"/>
  <c r="AP6" i="94"/>
  <c r="AP17" i="94"/>
  <c r="AP21" i="94"/>
  <c r="AQ20" i="94"/>
  <c r="AQ11" i="94"/>
  <c r="AQ10" i="94"/>
  <c r="AQ14" i="94"/>
  <c r="AQ7" i="94"/>
  <c r="AQ9" i="94"/>
  <c r="AQ12" i="94"/>
  <c r="AQ17" i="94"/>
  <c r="AQ23" i="94"/>
  <c r="AQ8" i="94"/>
  <c r="AQ19" i="94"/>
  <c r="AQ24" i="94"/>
  <c r="AQ21" i="94"/>
  <c r="AQ22" i="94"/>
  <c r="AQ18" i="94"/>
  <c r="AQ16" i="94"/>
  <c r="AQ13" i="94"/>
  <c r="AQ6" i="94"/>
  <c r="AQ15" i="94"/>
  <c r="AR20" i="94"/>
  <c r="AR19" i="94"/>
  <c r="AR17" i="94"/>
  <c r="AR12" i="94"/>
  <c r="AR23" i="94"/>
  <c r="AR18" i="94"/>
  <c r="AR13" i="94"/>
  <c r="AR11" i="94"/>
  <c r="AR24" i="94"/>
  <c r="AR22" i="94"/>
  <c r="AR14" i="94"/>
  <c r="AR6" i="94"/>
  <c r="AR10" i="94"/>
  <c r="AR21" i="94"/>
  <c r="AR8" i="94"/>
  <c r="AR15" i="94"/>
  <c r="AR16" i="94"/>
  <c r="AR7" i="94"/>
  <c r="AR9" i="94"/>
  <c r="AS6" i="94"/>
  <c r="AS7" i="94"/>
  <c r="AS8" i="94"/>
  <c r="AS9" i="94"/>
  <c r="AS10" i="94"/>
  <c r="AS13" i="94"/>
  <c r="AS14" i="94"/>
  <c r="AS15" i="94"/>
  <c r="AS16" i="94"/>
  <c r="AS18" i="94"/>
  <c r="AS11" i="94"/>
  <c r="AS19" i="94"/>
  <c r="AS23" i="94"/>
  <c r="AS12" i="94"/>
  <c r="AS20" i="94"/>
  <c r="AS24" i="94"/>
  <c r="AS22" i="94"/>
  <c r="AS17" i="94"/>
  <c r="AS21" i="94"/>
  <c r="AT24" i="94"/>
  <c r="AT23" i="94"/>
  <c r="AT22" i="94"/>
  <c r="AT21" i="94"/>
  <c r="AT20" i="94"/>
  <c r="AT19" i="94"/>
  <c r="AT18" i="94"/>
  <c r="AT17" i="94"/>
  <c r="AT11" i="94"/>
  <c r="AT12" i="94"/>
  <c r="AT8" i="94"/>
  <c r="AT9" i="94"/>
  <c r="AT13" i="94"/>
  <c r="AT6" i="94"/>
  <c r="AT10" i="94"/>
  <c r="AT14" i="94"/>
  <c r="AT16" i="94"/>
  <c r="AT7" i="94"/>
  <c r="AT15" i="94"/>
  <c r="AU24" i="94"/>
  <c r="AU23" i="94"/>
  <c r="AU22" i="94"/>
  <c r="AU21" i="94"/>
  <c r="AU20" i="94"/>
  <c r="AU19" i="94"/>
  <c r="AU18" i="94"/>
  <c r="AU17" i="94"/>
  <c r="AU6" i="94"/>
  <c r="AU16" i="94"/>
  <c r="AU15" i="94"/>
  <c r="AU14" i="94"/>
  <c r="AU13" i="94"/>
  <c r="AU12" i="94"/>
  <c r="AU10" i="94"/>
  <c r="AU9" i="94"/>
  <c r="AU8" i="94"/>
  <c r="AU7" i="94"/>
  <c r="AU11" i="94"/>
  <c r="AV24" i="94"/>
  <c r="AV23" i="94"/>
  <c r="AV22" i="94"/>
  <c r="AV21" i="94"/>
  <c r="AV20" i="94"/>
  <c r="AV19" i="94"/>
  <c r="AV18" i="94"/>
  <c r="AV17" i="94"/>
  <c r="AV14" i="94"/>
  <c r="AV13" i="94"/>
  <c r="AV10" i="94"/>
  <c r="AV9" i="94"/>
  <c r="AV8" i="94"/>
  <c r="AV15" i="94"/>
  <c r="AV7" i="94"/>
  <c r="AV16" i="94"/>
  <c r="AV12" i="94"/>
  <c r="AV11" i="94"/>
  <c r="AV6" i="94"/>
  <c r="AW24" i="94"/>
  <c r="AW23" i="94"/>
  <c r="AW22" i="94"/>
  <c r="AW21" i="94"/>
  <c r="AW20" i="94"/>
  <c r="AW19" i="94"/>
  <c r="AW18" i="94"/>
  <c r="AW17" i="94"/>
  <c r="AW6" i="94"/>
  <c r="AW16" i="94"/>
  <c r="AW15" i="94"/>
  <c r="AW14" i="94"/>
  <c r="AW13" i="94"/>
  <c r="AW12" i="94"/>
  <c r="AW11" i="94"/>
  <c r="AW10" i="94"/>
  <c r="AW9" i="94"/>
  <c r="AW8" i="94"/>
  <c r="AW7" i="94"/>
  <c r="AX17" i="94"/>
  <c r="AX18" i="94"/>
  <c r="AX19" i="94"/>
  <c r="AX20" i="94"/>
  <c r="AX21" i="94"/>
  <c r="AX22" i="94"/>
  <c r="AX23" i="94"/>
  <c r="AX24" i="94"/>
  <c r="AX6" i="94"/>
  <c r="AX16" i="94"/>
  <c r="AX13" i="94"/>
  <c r="AX12" i="94"/>
  <c r="AX11" i="94"/>
  <c r="AX10" i="94"/>
  <c r="AX9" i="94"/>
  <c r="AX8" i="94"/>
  <c r="AX7" i="94"/>
  <c r="AX14" i="94"/>
  <c r="AX15" i="94"/>
  <c r="AY24" i="94"/>
  <c r="AY23" i="94"/>
  <c r="AY22" i="94"/>
  <c r="AY21" i="94"/>
  <c r="AY20" i="94"/>
  <c r="AY19" i="94"/>
  <c r="AY18" i="94"/>
  <c r="AY17" i="94"/>
  <c r="AY6" i="94"/>
  <c r="AY7" i="94"/>
  <c r="AY8" i="94"/>
  <c r="AY9" i="94"/>
  <c r="AY10" i="94"/>
  <c r="AY11" i="94"/>
  <c r="AY12" i="94"/>
  <c r="AY13" i="94"/>
  <c r="AY14" i="94"/>
  <c r="AY15" i="94"/>
  <c r="AY16" i="94"/>
  <c r="AZ24" i="94"/>
  <c r="AZ23" i="94"/>
  <c r="AZ22" i="94"/>
  <c r="AZ21" i="94"/>
  <c r="AZ20" i="94"/>
  <c r="AZ19" i="94"/>
  <c r="AZ18" i="94"/>
  <c r="AZ17" i="94"/>
  <c r="AZ16" i="94"/>
  <c r="AZ15" i="94"/>
  <c r="AZ14" i="94"/>
  <c r="AZ13" i="94"/>
  <c r="AZ11" i="94"/>
  <c r="AZ10" i="94"/>
  <c r="AZ9" i="94"/>
  <c r="AZ8" i="94"/>
  <c r="AZ7" i="94"/>
  <c r="AZ12" i="94"/>
  <c r="AZ6" i="94"/>
  <c r="CX34" i="9"/>
  <c r="AT12" i="92"/>
  <c r="AT6" i="92"/>
  <c r="AT19" i="92"/>
  <c r="AT21" i="92"/>
  <c r="AT22" i="92"/>
  <c r="AT18" i="92"/>
  <c r="AT15" i="92"/>
  <c r="AT11" i="92"/>
  <c r="AT16" i="92"/>
  <c r="AT9" i="92"/>
  <c r="AT17" i="92"/>
  <c r="AT13" i="92"/>
  <c r="AT7" i="92"/>
  <c r="AT20" i="92"/>
  <c r="AT10" i="92"/>
  <c r="AT23" i="92"/>
  <c r="AT14" i="92"/>
  <c r="AT8" i="92"/>
  <c r="AT24" i="92"/>
  <c r="AZ19" i="92"/>
  <c r="AZ24" i="92"/>
  <c r="AZ22" i="92"/>
  <c r="AZ21" i="92"/>
  <c r="AZ23" i="92"/>
  <c r="AZ17" i="92"/>
  <c r="AZ20" i="92"/>
  <c r="AZ18" i="92"/>
  <c r="AZ15" i="92"/>
  <c r="AZ9" i="92"/>
  <c r="AZ16" i="92"/>
  <c r="AZ11" i="92"/>
  <c r="AZ12" i="92"/>
  <c r="AZ7" i="92"/>
  <c r="AZ10" i="92"/>
  <c r="AZ6" i="92"/>
  <c r="AZ8" i="92"/>
  <c r="AZ14" i="92"/>
  <c r="AZ13" i="92"/>
  <c r="AU21" i="92"/>
  <c r="AU22" i="92"/>
  <c r="AU9" i="92"/>
  <c r="AU16" i="92"/>
  <c r="AU7" i="92"/>
  <c r="AU23" i="92"/>
  <c r="AU24" i="92"/>
  <c r="AU13" i="92"/>
  <c r="AU6" i="92"/>
  <c r="AU11" i="92"/>
  <c r="AU18" i="92"/>
  <c r="AU14" i="92"/>
  <c r="AU20" i="92"/>
  <c r="AU12" i="92"/>
  <c r="AU17" i="92"/>
  <c r="AU8" i="92"/>
  <c r="AU10" i="92"/>
  <c r="AU15" i="92"/>
  <c r="AU19" i="92"/>
  <c r="AY22" i="92"/>
  <c r="AY21" i="92"/>
  <c r="AY24" i="92"/>
  <c r="AY20" i="92"/>
  <c r="AY23" i="92"/>
  <c r="AY19" i="92"/>
  <c r="AY18" i="92"/>
  <c r="AY17" i="92"/>
  <c r="AY8" i="92"/>
  <c r="AY6" i="92"/>
  <c r="AY15" i="92"/>
  <c r="AY13" i="92"/>
  <c r="AY16" i="92"/>
  <c r="AY10" i="92"/>
  <c r="AY9" i="92"/>
  <c r="AY7" i="92"/>
  <c r="AY11" i="92"/>
  <c r="AY14" i="92"/>
  <c r="AY12" i="92"/>
  <c r="CO110" i="9"/>
  <c r="AV19" i="92"/>
  <c r="AV21" i="92"/>
  <c r="AV22" i="92"/>
  <c r="AV20" i="92"/>
  <c r="AV24" i="92"/>
  <c r="AV18" i="92"/>
  <c r="AV23" i="92"/>
  <c r="AV17" i="92"/>
  <c r="AV9" i="92"/>
  <c r="AV16" i="92"/>
  <c r="AV7" i="92"/>
  <c r="AV13" i="92"/>
  <c r="AV6" i="92"/>
  <c r="AV11" i="92"/>
  <c r="AV8" i="92"/>
  <c r="AV10" i="92"/>
  <c r="AV15" i="92"/>
  <c r="AV12" i="92"/>
  <c r="AV14" i="92"/>
  <c r="AW24" i="92"/>
  <c r="AW19" i="92"/>
  <c r="AW23" i="92"/>
  <c r="AW22" i="92"/>
  <c r="AW18" i="92"/>
  <c r="AW21" i="92"/>
  <c r="AW17" i="92"/>
  <c r="AW20" i="92"/>
  <c r="AW9" i="92"/>
  <c r="AW7" i="92"/>
  <c r="AW11" i="92"/>
  <c r="AW13" i="92"/>
  <c r="AW14" i="92"/>
  <c r="AW12" i="92"/>
  <c r="AW16" i="92"/>
  <c r="AW10" i="92"/>
  <c r="AW8" i="92"/>
  <c r="AW15" i="92"/>
  <c r="AW6" i="92"/>
  <c r="AP24" i="92"/>
  <c r="AP23" i="92"/>
  <c r="AP7" i="92"/>
  <c r="AP15" i="92"/>
  <c r="AP10" i="92"/>
  <c r="AP6" i="92"/>
  <c r="AP12" i="92"/>
  <c r="AP16" i="92"/>
  <c r="AP22" i="92"/>
  <c r="AP20" i="92"/>
  <c r="AP9" i="92"/>
  <c r="AP13" i="92"/>
  <c r="AP21" i="92"/>
  <c r="AP8" i="92"/>
  <c r="AP11" i="92"/>
  <c r="AP17" i="92"/>
  <c r="AP14" i="92"/>
  <c r="AP18" i="92"/>
  <c r="AP19" i="92"/>
  <c r="AQ16" i="92"/>
  <c r="AQ21" i="92"/>
  <c r="AQ18" i="92"/>
  <c r="AQ9" i="92"/>
  <c r="AQ13" i="92"/>
  <c r="AQ11" i="92"/>
  <c r="AQ12" i="92"/>
  <c r="AQ24" i="92"/>
  <c r="AQ7" i="92"/>
  <c r="AQ15" i="92"/>
  <c r="AQ6" i="92"/>
  <c r="AQ19" i="92"/>
  <c r="AQ20" i="92"/>
  <c r="AQ23" i="92"/>
  <c r="AQ8" i="92"/>
  <c r="AQ10" i="92"/>
  <c r="AQ14" i="92"/>
  <c r="AQ17" i="92"/>
  <c r="AQ22" i="92"/>
  <c r="AX19" i="92"/>
  <c r="AX24" i="92"/>
  <c r="AX23" i="92"/>
  <c r="AX21" i="92"/>
  <c r="AX17" i="92"/>
  <c r="AX20" i="92"/>
  <c r="AX18" i="92"/>
  <c r="AX22" i="92"/>
  <c r="AX12" i="92"/>
  <c r="AX11" i="92"/>
  <c r="AX15" i="92"/>
  <c r="AX14" i="92"/>
  <c r="AX7" i="92"/>
  <c r="AX8" i="92"/>
  <c r="AX10" i="92"/>
  <c r="AX6" i="92"/>
  <c r="AX16" i="92"/>
  <c r="AX13" i="92"/>
  <c r="AX9" i="92"/>
  <c r="AS12" i="92"/>
  <c r="AS20" i="92"/>
  <c r="AS24" i="92"/>
  <c r="AS14" i="92"/>
  <c r="AS7" i="92"/>
  <c r="AS23" i="92"/>
  <c r="AS11" i="92"/>
  <c r="AS13" i="92"/>
  <c r="AS10" i="92"/>
  <c r="AS8" i="92"/>
  <c r="AS22" i="92"/>
  <c r="AS18" i="92"/>
  <c r="AS6" i="92"/>
  <c r="AS21" i="92"/>
  <c r="AS16" i="92"/>
  <c r="AS19" i="92"/>
  <c r="AS17" i="92"/>
  <c r="AS9" i="92"/>
  <c r="AS15" i="92"/>
  <c r="AR22" i="92"/>
  <c r="AR14" i="92"/>
  <c r="AR21" i="92"/>
  <c r="AR11" i="92"/>
  <c r="AR23" i="92"/>
  <c r="AR20" i="92"/>
  <c r="AR9" i="92"/>
  <c r="AR8" i="92"/>
  <c r="AR15" i="92"/>
  <c r="AR10" i="92"/>
  <c r="AR16" i="92"/>
  <c r="AR12" i="92"/>
  <c r="AR13" i="92"/>
  <c r="AR6" i="92"/>
  <c r="AR18" i="92"/>
  <c r="AR17" i="92"/>
  <c r="AR19" i="92"/>
  <c r="AR24" i="92"/>
  <c r="AR7" i="92"/>
  <c r="AU17" i="90"/>
  <c r="AU6" i="90"/>
  <c r="AU15" i="90"/>
  <c r="AU22" i="90"/>
  <c r="AU13" i="90"/>
  <c r="AU14" i="90"/>
  <c r="AU9" i="90"/>
  <c r="AU19" i="90"/>
  <c r="AU20" i="90"/>
  <c r="AU8" i="90"/>
  <c r="AU10" i="90"/>
  <c r="AU24" i="90"/>
  <c r="AU7" i="90"/>
  <c r="AU18" i="90"/>
  <c r="AU11" i="90"/>
  <c r="AU16" i="90"/>
  <c r="AU21" i="90"/>
  <c r="AU23" i="90"/>
  <c r="AU12" i="90"/>
  <c r="AR17" i="91"/>
  <c r="AR7" i="91"/>
  <c r="AR20" i="91"/>
  <c r="AR10" i="91"/>
  <c r="AR9" i="91"/>
  <c r="AR21" i="91"/>
  <c r="AR22" i="91"/>
  <c r="AR16" i="91"/>
  <c r="AR23" i="91"/>
  <c r="AR11" i="91"/>
  <c r="AR15" i="91"/>
  <c r="AR18" i="91"/>
  <c r="AR12" i="91"/>
  <c r="AR13" i="91"/>
  <c r="AR24" i="91"/>
  <c r="AR14" i="91"/>
  <c r="AR19" i="91"/>
  <c r="AR6" i="91"/>
  <c r="AR8" i="91"/>
  <c r="AT12" i="91"/>
  <c r="AT11" i="91"/>
  <c r="AT10" i="91"/>
  <c r="AT19" i="91"/>
  <c r="AT15" i="91"/>
  <c r="AT20" i="91"/>
  <c r="AT9" i="91"/>
  <c r="AT8" i="91"/>
  <c r="AT17" i="91"/>
  <c r="AT7" i="91"/>
  <c r="AT21" i="91"/>
  <c r="AT14" i="91"/>
  <c r="AT18" i="91"/>
  <c r="AT16" i="91"/>
  <c r="AT6" i="91"/>
  <c r="AT13" i="91"/>
  <c r="AT24" i="91"/>
  <c r="AT22" i="91"/>
  <c r="AT23" i="91"/>
  <c r="GR37" i="9"/>
  <c r="GS36" i="9"/>
  <c r="CX56" i="9"/>
  <c r="CO107" i="9"/>
  <c r="CG54" i="9"/>
  <c r="AS12" i="89"/>
  <c r="AS18" i="89"/>
  <c r="AS9" i="89"/>
  <c r="AS24" i="89"/>
  <c r="AS16" i="89"/>
  <c r="AS8" i="89"/>
  <c r="AS15" i="89"/>
  <c r="AS7" i="89"/>
  <c r="AS14" i="89"/>
  <c r="AS10" i="89"/>
  <c r="AS21" i="89"/>
  <c r="AS23" i="89"/>
  <c r="AS13" i="89"/>
  <c r="AS19" i="89"/>
  <c r="AS6" i="89"/>
  <c r="AS11" i="89"/>
  <c r="AS20" i="89"/>
  <c r="AS17" i="89"/>
  <c r="AS22" i="89"/>
  <c r="AS13" i="91"/>
  <c r="AS20" i="91"/>
  <c r="AS9" i="91"/>
  <c r="AS10" i="91"/>
  <c r="AS22" i="91"/>
  <c r="AS23" i="91"/>
  <c r="AS11" i="91"/>
  <c r="AS21" i="91"/>
  <c r="AS7" i="91"/>
  <c r="AS19" i="91"/>
  <c r="AS8" i="91"/>
  <c r="AS17" i="91"/>
  <c r="AS15" i="91"/>
  <c r="AS12" i="91"/>
  <c r="AS14" i="91"/>
  <c r="AS18" i="91"/>
  <c r="AS16" i="91"/>
  <c r="AS6" i="91"/>
  <c r="AS24" i="91"/>
  <c r="CG43" i="9"/>
  <c r="CX33" i="9"/>
  <c r="CX44" i="9"/>
  <c r="AP7" i="89"/>
  <c r="AP21" i="89"/>
  <c r="AP13" i="89"/>
  <c r="AP9" i="89"/>
  <c r="AP18" i="89"/>
  <c r="AP16" i="89"/>
  <c r="AP23" i="89"/>
  <c r="AP20" i="89"/>
  <c r="AP19" i="89"/>
  <c r="AP17" i="89"/>
  <c r="AP8" i="89"/>
  <c r="AP22" i="89"/>
  <c r="AP11" i="89"/>
  <c r="AP10" i="89"/>
  <c r="AP6" i="89"/>
  <c r="AP12" i="89"/>
  <c r="AP14" i="89"/>
  <c r="AP15" i="89"/>
  <c r="AP24" i="89"/>
  <c r="AX9" i="89"/>
  <c r="AX19" i="89"/>
  <c r="AX24" i="89"/>
  <c r="AX10" i="89"/>
  <c r="AX18" i="89"/>
  <c r="AX17" i="89"/>
  <c r="AX23" i="89"/>
  <c r="AX16" i="89"/>
  <c r="AX12" i="89"/>
  <c r="AX7" i="89"/>
  <c r="AX22" i="89"/>
  <c r="AX15" i="89"/>
  <c r="AX21" i="89"/>
  <c r="AX11" i="89"/>
  <c r="AX13" i="89"/>
  <c r="AX14" i="89"/>
  <c r="AX20" i="89"/>
  <c r="AX6" i="89"/>
  <c r="AX8" i="89"/>
  <c r="CX106" i="9"/>
  <c r="AU10" i="89"/>
  <c r="AU20" i="89"/>
  <c r="AU6" i="89"/>
  <c r="AU23" i="89"/>
  <c r="AU18" i="89"/>
  <c r="AU17" i="89"/>
  <c r="AU7" i="89"/>
  <c r="AU15" i="89"/>
  <c r="AU12" i="89"/>
  <c r="AU11" i="89"/>
  <c r="AU19" i="89"/>
  <c r="AU8" i="89"/>
  <c r="AU13" i="89"/>
  <c r="AU9" i="89"/>
  <c r="AU21" i="89"/>
  <c r="AU16" i="89"/>
  <c r="AU14" i="89"/>
  <c r="AU24" i="89"/>
  <c r="AU22" i="89"/>
  <c r="AV16" i="89"/>
  <c r="AV18" i="89"/>
  <c r="AV8" i="89"/>
  <c r="AV20" i="89"/>
  <c r="AV14" i="89"/>
  <c r="AV13" i="89"/>
  <c r="AV9" i="89"/>
  <c r="AV19" i="89"/>
  <c r="AV7" i="89"/>
  <c r="AV22" i="89"/>
  <c r="AV24" i="89"/>
  <c r="AV6" i="89"/>
  <c r="AV21" i="89"/>
  <c r="AV11" i="89"/>
  <c r="AV10" i="89"/>
  <c r="AV23" i="89"/>
  <c r="AV17" i="89"/>
  <c r="AV12" i="89"/>
  <c r="AV15" i="89"/>
  <c r="AW19" i="90"/>
  <c r="AW10" i="90"/>
  <c r="AW13" i="90"/>
  <c r="AW20" i="90"/>
  <c r="AW11" i="90"/>
  <c r="AW9" i="90"/>
  <c r="AW21" i="90"/>
  <c r="AW24" i="90"/>
  <c r="AW16" i="90"/>
  <c r="AW12" i="90"/>
  <c r="AW22" i="90"/>
  <c r="AW7" i="90"/>
  <c r="AW14" i="90"/>
  <c r="AW8" i="90"/>
  <c r="AW17" i="90"/>
  <c r="AW6" i="90"/>
  <c r="AW23" i="90"/>
  <c r="AW18" i="90"/>
  <c r="AW15" i="90"/>
  <c r="AY20" i="91"/>
  <c r="AY18" i="91"/>
  <c r="AY19" i="91"/>
  <c r="AY24" i="91"/>
  <c r="AY23" i="91"/>
  <c r="AY22" i="91"/>
  <c r="AY21" i="91"/>
  <c r="AY17" i="91"/>
  <c r="AY16" i="91"/>
  <c r="AY10" i="91"/>
  <c r="AY7" i="91"/>
  <c r="AY9" i="91"/>
  <c r="AY11" i="91"/>
  <c r="AY14" i="91"/>
  <c r="AY6" i="91"/>
  <c r="AY8" i="91"/>
  <c r="AY13" i="91"/>
  <c r="AY12" i="91"/>
  <c r="AY15" i="91"/>
  <c r="AV14" i="90"/>
  <c r="AV19" i="90"/>
  <c r="AV9" i="90"/>
  <c r="AV20" i="90"/>
  <c r="AV22" i="90"/>
  <c r="AV21" i="90"/>
  <c r="AV17" i="90"/>
  <c r="AV8" i="90"/>
  <c r="AV12" i="90"/>
  <c r="AV18" i="90"/>
  <c r="AV13" i="90"/>
  <c r="AV6" i="90"/>
  <c r="AV24" i="90"/>
  <c r="AV16" i="90"/>
  <c r="AV23" i="90"/>
  <c r="AV11" i="90"/>
  <c r="AV7" i="90"/>
  <c r="AV15" i="90"/>
  <c r="AV10" i="90"/>
  <c r="CG108" i="9"/>
  <c r="CO108" i="9"/>
  <c r="CO109" i="9"/>
  <c r="AQ10" i="89"/>
  <c r="AQ7" i="89"/>
  <c r="AQ22" i="89"/>
  <c r="AQ13" i="89"/>
  <c r="AQ16" i="89"/>
  <c r="AQ24" i="89"/>
  <c r="AQ12" i="89"/>
  <c r="AQ20" i="89"/>
  <c r="AQ11" i="89"/>
  <c r="AQ23" i="89"/>
  <c r="AQ21" i="89"/>
  <c r="AQ14" i="89"/>
  <c r="AQ17" i="89"/>
  <c r="AQ19" i="89"/>
  <c r="AQ8" i="89"/>
  <c r="AQ6" i="89"/>
  <c r="AQ18" i="89"/>
  <c r="AQ15" i="89"/>
  <c r="AQ9" i="89"/>
  <c r="AX20" i="91"/>
  <c r="AX17" i="91"/>
  <c r="AX21" i="91"/>
  <c r="AX19" i="91"/>
  <c r="AX24" i="91"/>
  <c r="AX22" i="91"/>
  <c r="AX23" i="91"/>
  <c r="AX18" i="91"/>
  <c r="AX14" i="91"/>
  <c r="AX11" i="91"/>
  <c r="AX15" i="91"/>
  <c r="AX10" i="91"/>
  <c r="AX6" i="91"/>
  <c r="AX8" i="91"/>
  <c r="AX13" i="91"/>
  <c r="AX16" i="91"/>
  <c r="AX7" i="91"/>
  <c r="AX9" i="91"/>
  <c r="AX12" i="91"/>
  <c r="AZ23" i="89"/>
  <c r="AZ24" i="89"/>
  <c r="AZ7" i="89"/>
  <c r="AZ16" i="89"/>
  <c r="AZ8" i="89"/>
  <c r="AZ14" i="89"/>
  <c r="AZ22" i="89"/>
  <c r="AZ20" i="89"/>
  <c r="AZ11" i="89"/>
  <c r="AZ17" i="89"/>
  <c r="AZ19" i="89"/>
  <c r="AZ13" i="89"/>
  <c r="AZ9" i="89"/>
  <c r="AZ21" i="89"/>
  <c r="AZ18" i="89"/>
  <c r="AZ15" i="89"/>
  <c r="AZ6" i="89"/>
  <c r="AZ12" i="89"/>
  <c r="AZ10" i="89"/>
  <c r="AX17" i="90"/>
  <c r="AX22" i="90"/>
  <c r="AX24" i="90"/>
  <c r="AX21" i="90"/>
  <c r="AX23" i="90"/>
  <c r="AX19" i="90"/>
  <c r="AX20" i="90"/>
  <c r="AX18" i="90"/>
  <c r="AX9" i="90"/>
  <c r="AX7" i="90"/>
  <c r="AX6" i="90"/>
  <c r="AX10" i="90"/>
  <c r="AX8" i="90"/>
  <c r="AX16" i="90"/>
  <c r="AX15" i="90"/>
  <c r="AX12" i="90"/>
  <c r="AX11" i="90"/>
  <c r="AX13" i="90"/>
  <c r="AX14" i="90"/>
  <c r="AZ23" i="91"/>
  <c r="AZ21" i="91"/>
  <c r="AZ17" i="91"/>
  <c r="AZ19" i="91"/>
  <c r="AZ18" i="91"/>
  <c r="AZ24" i="91"/>
  <c r="AZ20" i="91"/>
  <c r="AZ22" i="91"/>
  <c r="AZ8" i="91"/>
  <c r="AZ6" i="91"/>
  <c r="AZ12" i="91"/>
  <c r="AZ7" i="91"/>
  <c r="AZ10" i="91"/>
  <c r="AZ13" i="91"/>
  <c r="AZ16" i="91"/>
  <c r="AZ9" i="91"/>
  <c r="AZ15" i="91"/>
  <c r="AZ14" i="91"/>
  <c r="AZ11" i="91"/>
  <c r="CX109" i="9"/>
  <c r="CS13" i="9"/>
  <c r="AV20" i="91"/>
  <c r="AV19" i="91"/>
  <c r="AV17" i="91"/>
  <c r="AV22" i="91"/>
  <c r="AV18" i="91"/>
  <c r="AV21" i="91"/>
  <c r="AV24" i="91"/>
  <c r="AV23" i="91"/>
  <c r="AV14" i="91"/>
  <c r="AV9" i="91"/>
  <c r="AV7" i="91"/>
  <c r="AV15" i="91"/>
  <c r="AV8" i="91"/>
  <c r="AV6" i="91"/>
  <c r="AV11" i="91"/>
  <c r="AV10" i="91"/>
  <c r="AV12" i="91"/>
  <c r="AV13" i="91"/>
  <c r="AV16" i="91"/>
  <c r="AW18" i="91"/>
  <c r="AW19" i="91"/>
  <c r="AW23" i="91"/>
  <c r="AW21" i="91"/>
  <c r="AW24" i="91"/>
  <c r="AW22" i="91"/>
  <c r="AW20" i="91"/>
  <c r="AW17" i="91"/>
  <c r="AW7" i="91"/>
  <c r="AW13" i="91"/>
  <c r="AW10" i="91"/>
  <c r="AW16" i="91"/>
  <c r="AW11" i="91"/>
  <c r="AW6" i="91"/>
  <c r="AW8" i="91"/>
  <c r="AW14" i="91"/>
  <c r="AW9" i="91"/>
  <c r="AW12" i="91"/>
  <c r="AW15" i="91"/>
  <c r="AQ7" i="90"/>
  <c r="AQ19" i="90"/>
  <c r="AQ24" i="90"/>
  <c r="AQ15" i="90"/>
  <c r="AQ11" i="90"/>
  <c r="AQ6" i="90"/>
  <c r="AQ22" i="90"/>
  <c r="AQ12" i="90"/>
  <c r="AQ8" i="90"/>
  <c r="AQ17" i="90"/>
  <c r="AQ14" i="90"/>
  <c r="AQ23" i="90"/>
  <c r="AQ21" i="90"/>
  <c r="AQ10" i="90"/>
  <c r="AQ20" i="90"/>
  <c r="AQ9" i="90"/>
  <c r="AQ16" i="90"/>
  <c r="AQ13" i="90"/>
  <c r="AQ18" i="90"/>
  <c r="CI8" i="9"/>
  <c r="GR49" i="9"/>
  <c r="GS48" i="9"/>
  <c r="AR14" i="89"/>
  <c r="AR7" i="89"/>
  <c r="AR23" i="89"/>
  <c r="AR8" i="89"/>
  <c r="AR19" i="89"/>
  <c r="AR15" i="89"/>
  <c r="AR6" i="89"/>
  <c r="AR22" i="89"/>
  <c r="AR21" i="89"/>
  <c r="AR9" i="89"/>
  <c r="AR18" i="89"/>
  <c r="AR10" i="89"/>
  <c r="AR20" i="89"/>
  <c r="AR16" i="89"/>
  <c r="AR12" i="89"/>
  <c r="AR17" i="89"/>
  <c r="AR13" i="89"/>
  <c r="AR24" i="89"/>
  <c r="AR11" i="89"/>
  <c r="AR8" i="90"/>
  <c r="AR23" i="90"/>
  <c r="AR20" i="90"/>
  <c r="AR19" i="90"/>
  <c r="AR18" i="90"/>
  <c r="AR17" i="90"/>
  <c r="AR12" i="90"/>
  <c r="AR21" i="90"/>
  <c r="AR6" i="90"/>
  <c r="AR14" i="90"/>
  <c r="AR11" i="90"/>
  <c r="AR10" i="90"/>
  <c r="AR15" i="90"/>
  <c r="AR13" i="90"/>
  <c r="AR22" i="90"/>
  <c r="AR7" i="90"/>
  <c r="AR16" i="90"/>
  <c r="AR24" i="90"/>
  <c r="AR9" i="90"/>
  <c r="AP8" i="91"/>
  <c r="AP7" i="91"/>
  <c r="AP20" i="91"/>
  <c r="AP11" i="91"/>
  <c r="AP10" i="91"/>
  <c r="AP9" i="91"/>
  <c r="AP19" i="91"/>
  <c r="AP16" i="91"/>
  <c r="AP15" i="91"/>
  <c r="AP14" i="91"/>
  <c r="AP12" i="91"/>
  <c r="AP24" i="91"/>
  <c r="AP23" i="91"/>
  <c r="AP13" i="91"/>
  <c r="AP22" i="91"/>
  <c r="AP17" i="91"/>
  <c r="AP21" i="91"/>
  <c r="AP18" i="91"/>
  <c r="AP6" i="91"/>
  <c r="AW9" i="89"/>
  <c r="AW17" i="89"/>
  <c r="AW22" i="89"/>
  <c r="AW8" i="89"/>
  <c r="AW20" i="89"/>
  <c r="AW12" i="89"/>
  <c r="AW10" i="89"/>
  <c r="AW13" i="89"/>
  <c r="AW6" i="89"/>
  <c r="AW18" i="89"/>
  <c r="AW16" i="89"/>
  <c r="AW14" i="89"/>
  <c r="AW21" i="89"/>
  <c r="AW23" i="89"/>
  <c r="AW24" i="89"/>
  <c r="AW11" i="89"/>
  <c r="AW19" i="89"/>
  <c r="AW15" i="89"/>
  <c r="AW7" i="89"/>
  <c r="AU9" i="91"/>
  <c r="AU21" i="91"/>
  <c r="AU7" i="91"/>
  <c r="AU16" i="91"/>
  <c r="AU20" i="91"/>
  <c r="AU6" i="91"/>
  <c r="AU19" i="91"/>
  <c r="AU8" i="91"/>
  <c r="AU14" i="91"/>
  <c r="AU22" i="91"/>
  <c r="AU18" i="91"/>
  <c r="AU10" i="91"/>
  <c r="AU17" i="91"/>
  <c r="AU11" i="91"/>
  <c r="AU13" i="91"/>
  <c r="AU24" i="91"/>
  <c r="AU12" i="91"/>
  <c r="AU23" i="91"/>
  <c r="AU15" i="91"/>
  <c r="CG109" i="9"/>
  <c r="AT13" i="90"/>
  <c r="AT22" i="90"/>
  <c r="AT17" i="90"/>
  <c r="AT18" i="90"/>
  <c r="AT16" i="90"/>
  <c r="AT15" i="90"/>
  <c r="AT12" i="90"/>
  <c r="AT6" i="90"/>
  <c r="AT19" i="90"/>
  <c r="AT9" i="90"/>
  <c r="AT10" i="90"/>
  <c r="AT24" i="90"/>
  <c r="AT7" i="90"/>
  <c r="AT20" i="90"/>
  <c r="AT11" i="90"/>
  <c r="AT23" i="90"/>
  <c r="AT21" i="90"/>
  <c r="AT8" i="90"/>
  <c r="AT14" i="90"/>
  <c r="AY18" i="90"/>
  <c r="AY17" i="90"/>
  <c r="AY20" i="90"/>
  <c r="AY21" i="90"/>
  <c r="AY22" i="90"/>
  <c r="AY19" i="90"/>
  <c r="AY24" i="90"/>
  <c r="AY23" i="90"/>
  <c r="AY11" i="90"/>
  <c r="AY14" i="90"/>
  <c r="AY10" i="90"/>
  <c r="AY16" i="90"/>
  <c r="AY7" i="90"/>
  <c r="AY8" i="90"/>
  <c r="AY9" i="90"/>
  <c r="AY13" i="90"/>
  <c r="AY15" i="90"/>
  <c r="AY12" i="90"/>
  <c r="AY6" i="90"/>
  <c r="BG59" i="9"/>
  <c r="CZ59" i="9" s="1"/>
  <c r="AT18" i="89"/>
  <c r="AT7" i="89"/>
  <c r="AT16" i="89"/>
  <c r="AT6" i="89"/>
  <c r="AT13" i="89"/>
  <c r="AT12" i="89"/>
  <c r="AT8" i="89"/>
  <c r="AT14" i="89"/>
  <c r="AT9" i="89"/>
  <c r="AT22" i="89"/>
  <c r="AT19" i="89"/>
  <c r="AT15" i="89"/>
  <c r="AT24" i="89"/>
  <c r="AT10" i="89"/>
  <c r="AT23" i="89"/>
  <c r="AT20" i="89"/>
  <c r="AT17" i="89"/>
  <c r="AT11" i="89"/>
  <c r="AT21" i="89"/>
  <c r="AZ21" i="90"/>
  <c r="AZ17" i="90"/>
  <c r="AZ19" i="90"/>
  <c r="AZ18" i="90"/>
  <c r="AZ20" i="90"/>
  <c r="AZ24" i="90"/>
  <c r="AZ23" i="90"/>
  <c r="AZ22" i="90"/>
  <c r="AZ9" i="90"/>
  <c r="AZ14" i="90"/>
  <c r="AZ16" i="90"/>
  <c r="AZ11" i="90"/>
  <c r="AZ15" i="90"/>
  <c r="AZ10" i="90"/>
  <c r="AZ7" i="90"/>
  <c r="AZ12" i="90"/>
  <c r="AZ6" i="90"/>
  <c r="AZ8" i="90"/>
  <c r="AZ13" i="90"/>
  <c r="AQ19" i="91"/>
  <c r="AQ24" i="91"/>
  <c r="AQ23" i="91"/>
  <c r="AQ18" i="91"/>
  <c r="AQ8" i="91"/>
  <c r="AQ17" i="91"/>
  <c r="AQ13" i="91"/>
  <c r="AQ14" i="91"/>
  <c r="AQ7" i="91"/>
  <c r="AQ21" i="91"/>
  <c r="AQ6" i="91"/>
  <c r="AQ20" i="91"/>
  <c r="AQ16" i="91"/>
  <c r="AQ12" i="91"/>
  <c r="AQ9" i="91"/>
  <c r="AQ22" i="91"/>
  <c r="AQ10" i="91"/>
  <c r="AQ11" i="91"/>
  <c r="AQ15" i="91"/>
  <c r="AP9" i="90"/>
  <c r="AP15" i="90"/>
  <c r="AP20" i="90"/>
  <c r="AP11" i="90"/>
  <c r="AP19" i="90"/>
  <c r="AP17" i="90"/>
  <c r="AP7" i="90"/>
  <c r="AP24" i="90"/>
  <c r="AP16" i="90"/>
  <c r="AP12" i="90"/>
  <c r="AP6" i="90"/>
  <c r="AP22" i="90"/>
  <c r="AP10" i="90"/>
  <c r="AP14" i="90"/>
  <c r="AP13" i="90"/>
  <c r="AP23" i="90"/>
  <c r="AP21" i="90"/>
  <c r="AP18" i="90"/>
  <c r="AP8" i="90"/>
  <c r="CO106" i="9"/>
  <c r="AY9" i="89"/>
  <c r="AY18" i="89"/>
  <c r="AY17" i="89"/>
  <c r="AY7" i="89"/>
  <c r="AY23" i="89"/>
  <c r="AY10" i="89"/>
  <c r="AY12" i="89"/>
  <c r="AY19" i="89"/>
  <c r="AY21" i="89"/>
  <c r="AY14" i="89"/>
  <c r="AY11" i="89"/>
  <c r="AY16" i="89"/>
  <c r="AY20" i="89"/>
  <c r="AY22" i="89"/>
  <c r="AY6" i="89"/>
  <c r="AY24" i="89"/>
  <c r="AY15" i="89"/>
  <c r="AY13" i="89"/>
  <c r="AY8" i="89"/>
  <c r="AS15" i="90"/>
  <c r="AS6" i="90"/>
  <c r="AS23" i="90"/>
  <c r="AS24" i="90"/>
  <c r="AS10" i="90"/>
  <c r="AS19" i="90"/>
  <c r="AS22" i="90"/>
  <c r="AS21" i="90"/>
  <c r="AS20" i="90"/>
  <c r="AS9" i="90"/>
  <c r="AS7" i="90"/>
  <c r="AS11" i="90"/>
  <c r="AS17" i="90"/>
  <c r="AS13" i="90"/>
  <c r="AS12" i="90"/>
  <c r="AS16" i="90"/>
  <c r="AS18" i="90"/>
  <c r="AS14" i="90"/>
  <c r="AS8" i="90"/>
  <c r="CO41" i="9"/>
  <c r="CG60" i="9"/>
  <c r="CX48" i="9"/>
  <c r="CX42" i="9"/>
  <c r="AP13" i="87"/>
  <c r="AP20" i="87"/>
  <c r="AP11" i="87"/>
  <c r="AP16" i="87"/>
  <c r="AP6" i="87"/>
  <c r="AP24" i="87"/>
  <c r="AP23" i="87"/>
  <c r="AP15" i="87"/>
  <c r="AP12" i="87"/>
  <c r="AP22" i="87"/>
  <c r="AP17" i="87"/>
  <c r="AP9" i="87"/>
  <c r="AP19" i="87"/>
  <c r="AP8" i="87"/>
  <c r="AP10" i="87"/>
  <c r="AP21" i="87"/>
  <c r="AP14" i="87"/>
  <c r="AP7" i="87"/>
  <c r="AP18" i="87"/>
  <c r="AX14" i="87"/>
  <c r="AX21" i="87"/>
  <c r="AX10" i="87"/>
  <c r="AX6" i="87"/>
  <c r="AX13" i="87"/>
  <c r="AX22" i="87"/>
  <c r="AX18" i="87"/>
  <c r="AX9" i="87"/>
  <c r="AX16" i="87"/>
  <c r="AX15" i="87"/>
  <c r="AX23" i="87"/>
  <c r="AX8" i="87"/>
  <c r="AX7" i="87"/>
  <c r="AX17" i="87"/>
  <c r="AX20" i="87"/>
  <c r="AX19" i="87"/>
  <c r="AX12" i="87"/>
  <c r="AX24" i="87"/>
  <c r="AX11" i="87"/>
  <c r="AT6" i="88"/>
  <c r="AT22" i="88"/>
  <c r="AT10" i="88"/>
  <c r="AT7" i="88"/>
  <c r="AT19" i="88"/>
  <c r="AT9" i="88"/>
  <c r="AT11" i="88"/>
  <c r="AT23" i="88"/>
  <c r="AT20" i="88"/>
  <c r="AT17" i="88"/>
  <c r="AT8" i="88"/>
  <c r="AT21" i="88"/>
  <c r="AT16" i="88"/>
  <c r="AT12" i="88"/>
  <c r="AT15" i="88"/>
  <c r="AT18" i="88"/>
  <c r="AT14" i="88"/>
  <c r="AT24" i="88"/>
  <c r="AT13" i="88"/>
  <c r="CX47" i="9"/>
  <c r="CO102" i="9"/>
  <c r="AU9" i="87"/>
  <c r="AU22" i="87"/>
  <c r="AU11" i="87"/>
  <c r="AU20" i="87"/>
  <c r="AU13" i="87"/>
  <c r="AU19" i="87"/>
  <c r="AU18" i="87"/>
  <c r="AU10" i="87"/>
  <c r="AU14" i="87"/>
  <c r="AU6" i="87"/>
  <c r="AU23" i="87"/>
  <c r="AU17" i="87"/>
  <c r="AU7" i="87"/>
  <c r="AU21" i="87"/>
  <c r="AU16" i="87"/>
  <c r="AU8" i="87"/>
  <c r="AU24" i="87"/>
  <c r="AU15" i="87"/>
  <c r="AU12" i="87"/>
  <c r="AT12" i="87"/>
  <c r="AT20" i="87"/>
  <c r="AT17" i="87"/>
  <c r="AT18" i="87"/>
  <c r="AT10" i="87"/>
  <c r="AT21" i="87"/>
  <c r="AT9" i="87"/>
  <c r="AT19" i="87"/>
  <c r="AT13" i="87"/>
  <c r="AT6" i="87"/>
  <c r="AT24" i="87"/>
  <c r="AT8" i="87"/>
  <c r="AT16" i="87"/>
  <c r="AT7" i="87"/>
  <c r="AT11" i="87"/>
  <c r="AT14" i="87"/>
  <c r="AT22" i="87"/>
  <c r="AT23" i="87"/>
  <c r="AT15" i="87"/>
  <c r="AV13" i="88"/>
  <c r="AV17" i="88"/>
  <c r="AV20" i="88"/>
  <c r="AV23" i="88"/>
  <c r="AV19" i="88"/>
  <c r="AV9" i="88"/>
  <c r="AV22" i="88"/>
  <c r="AV21" i="88"/>
  <c r="AV10" i="88"/>
  <c r="AV24" i="88"/>
  <c r="AV14" i="88"/>
  <c r="AV8" i="88"/>
  <c r="AV15" i="88"/>
  <c r="AV12" i="88"/>
  <c r="AV6" i="88"/>
  <c r="AV7" i="88"/>
  <c r="AV18" i="88"/>
  <c r="AV11" i="88"/>
  <c r="AV16" i="88"/>
  <c r="AW9" i="87"/>
  <c r="AW21" i="87"/>
  <c r="AW12" i="87"/>
  <c r="AW17" i="87"/>
  <c r="AW10" i="87"/>
  <c r="AW6" i="87"/>
  <c r="AW20" i="87"/>
  <c r="AW19" i="87"/>
  <c r="AW22" i="87"/>
  <c r="AW16" i="87"/>
  <c r="AW24" i="87"/>
  <c r="AW15" i="87"/>
  <c r="AW8" i="87"/>
  <c r="AW23" i="87"/>
  <c r="AW14" i="87"/>
  <c r="AW7" i="87"/>
  <c r="AW11" i="87"/>
  <c r="AW18" i="87"/>
  <c r="AW13" i="87"/>
  <c r="AV18" i="87"/>
  <c r="AV6" i="87"/>
  <c r="AV21" i="87"/>
  <c r="AV14" i="87"/>
  <c r="AV11" i="87"/>
  <c r="AV15" i="87"/>
  <c r="AV23" i="87"/>
  <c r="AV24" i="87"/>
  <c r="AV8" i="87"/>
  <c r="AV9" i="87"/>
  <c r="AV20" i="87"/>
  <c r="AV12" i="87"/>
  <c r="AV7" i="87"/>
  <c r="AV22" i="87"/>
  <c r="AV19" i="87"/>
  <c r="AV17" i="87"/>
  <c r="AV13" i="87"/>
  <c r="AV16" i="87"/>
  <c r="AV10" i="87"/>
  <c r="AW8" i="88"/>
  <c r="AW20" i="88"/>
  <c r="AW13" i="88"/>
  <c r="AW9" i="88"/>
  <c r="AW7" i="88"/>
  <c r="AW21" i="88"/>
  <c r="AW12" i="88"/>
  <c r="AW18" i="88"/>
  <c r="AW11" i="88"/>
  <c r="AW6" i="88"/>
  <c r="AW16" i="88"/>
  <c r="AW10" i="88"/>
  <c r="AW17" i="88"/>
  <c r="AW24" i="88"/>
  <c r="AW19" i="88"/>
  <c r="AW23" i="88"/>
  <c r="AW14" i="88"/>
  <c r="AW22" i="88"/>
  <c r="AW15" i="88"/>
  <c r="AQ11" i="87"/>
  <c r="AQ22" i="87"/>
  <c r="AQ15" i="87"/>
  <c r="AQ14" i="87"/>
  <c r="AQ20" i="87"/>
  <c r="AQ23" i="87"/>
  <c r="AQ12" i="87"/>
  <c r="AQ18" i="87"/>
  <c r="AQ10" i="87"/>
  <c r="AQ6" i="87"/>
  <c r="AQ17" i="87"/>
  <c r="AQ9" i="87"/>
  <c r="AQ24" i="87"/>
  <c r="AQ8" i="87"/>
  <c r="AQ19" i="87"/>
  <c r="AQ16" i="87"/>
  <c r="AQ7" i="87"/>
  <c r="AQ21" i="87"/>
  <c r="AQ13" i="87"/>
  <c r="AQ17" i="88"/>
  <c r="AQ9" i="88"/>
  <c r="AQ18" i="88"/>
  <c r="AQ12" i="88"/>
  <c r="AQ21" i="88"/>
  <c r="AQ11" i="88"/>
  <c r="AQ7" i="88"/>
  <c r="AQ20" i="88"/>
  <c r="AQ8" i="88"/>
  <c r="AQ24" i="88"/>
  <c r="AQ13" i="88"/>
  <c r="AQ10" i="88"/>
  <c r="AQ19" i="88"/>
  <c r="AQ15" i="88"/>
  <c r="AQ6" i="88"/>
  <c r="AQ23" i="88"/>
  <c r="AQ16" i="88"/>
  <c r="AQ22" i="88"/>
  <c r="AQ14" i="88"/>
  <c r="AU10" i="88"/>
  <c r="AU24" i="88"/>
  <c r="AU20" i="88"/>
  <c r="AU23" i="88"/>
  <c r="AU14" i="88"/>
  <c r="AU21" i="88"/>
  <c r="AU13" i="88"/>
  <c r="AU9" i="88"/>
  <c r="AU22" i="88"/>
  <c r="AU8" i="88"/>
  <c r="AU19" i="88"/>
  <c r="AU7" i="88"/>
  <c r="AU15" i="88"/>
  <c r="AU17" i="88"/>
  <c r="AU18" i="88"/>
  <c r="AU12" i="88"/>
  <c r="AU16" i="88"/>
  <c r="AU11" i="88"/>
  <c r="AU6" i="88"/>
  <c r="AY6" i="87"/>
  <c r="AY23" i="87"/>
  <c r="AY15" i="87"/>
  <c r="AY14" i="87"/>
  <c r="AY7" i="87"/>
  <c r="AY22" i="87"/>
  <c r="AY20" i="87"/>
  <c r="AY10" i="87"/>
  <c r="AY24" i="87"/>
  <c r="AY18" i="87"/>
  <c r="AY9" i="87"/>
  <c r="AY17" i="87"/>
  <c r="AY11" i="87"/>
  <c r="AY19" i="87"/>
  <c r="AY12" i="87"/>
  <c r="AY16" i="87"/>
  <c r="AY21" i="87"/>
  <c r="AY13" i="87"/>
  <c r="AY8" i="87"/>
  <c r="AY21" i="88"/>
  <c r="AY18" i="88"/>
  <c r="AY19" i="88"/>
  <c r="AY17" i="88"/>
  <c r="AY23" i="88"/>
  <c r="AY22" i="88"/>
  <c r="AY20" i="88"/>
  <c r="AY24" i="88"/>
  <c r="AY13" i="88"/>
  <c r="AY9" i="88"/>
  <c r="AY6" i="88"/>
  <c r="AY10" i="88"/>
  <c r="AY14" i="88"/>
  <c r="AY11" i="88"/>
  <c r="AY12" i="88"/>
  <c r="AY7" i="88"/>
  <c r="AY15" i="88"/>
  <c r="AY8" i="88"/>
  <c r="AY16" i="88"/>
  <c r="AP7" i="88"/>
  <c r="AP21" i="88"/>
  <c r="AP10" i="88"/>
  <c r="AP20" i="88"/>
  <c r="AP9" i="88"/>
  <c r="AP15" i="88"/>
  <c r="AP22" i="88"/>
  <c r="AP16" i="88"/>
  <c r="AP17" i="88"/>
  <c r="AP19" i="88"/>
  <c r="AP18" i="88"/>
  <c r="AP13" i="88"/>
  <c r="AP24" i="88"/>
  <c r="AP12" i="88"/>
  <c r="AP6" i="88"/>
  <c r="AP11" i="88"/>
  <c r="AP23" i="88"/>
  <c r="AP14" i="88"/>
  <c r="AP8" i="88"/>
  <c r="GG25" i="9"/>
  <c r="GH25" i="9" s="1"/>
  <c r="AR12" i="87"/>
  <c r="AR17" i="87"/>
  <c r="AR19" i="87"/>
  <c r="AR9" i="87"/>
  <c r="AR22" i="87"/>
  <c r="AR13" i="87"/>
  <c r="AR7" i="87"/>
  <c r="AR18" i="87"/>
  <c r="AR20" i="87"/>
  <c r="AR11" i="87"/>
  <c r="AR21" i="87"/>
  <c r="AR6" i="87"/>
  <c r="AR16" i="87"/>
  <c r="AR15" i="87"/>
  <c r="AR8" i="87"/>
  <c r="AR24" i="87"/>
  <c r="AR10" i="87"/>
  <c r="AR23" i="87"/>
  <c r="AR14" i="87"/>
  <c r="AR17" i="88"/>
  <c r="AR14" i="88"/>
  <c r="AR6" i="88"/>
  <c r="AR24" i="88"/>
  <c r="AR11" i="88"/>
  <c r="AR8" i="88"/>
  <c r="AR18" i="88"/>
  <c r="AR20" i="88"/>
  <c r="AR19" i="88"/>
  <c r="AR10" i="88"/>
  <c r="AR15" i="88"/>
  <c r="AR7" i="88"/>
  <c r="AR23" i="88"/>
  <c r="AR9" i="88"/>
  <c r="AR16" i="88"/>
  <c r="AR22" i="88"/>
  <c r="AR13" i="88"/>
  <c r="AR21" i="88"/>
  <c r="AR12" i="88"/>
  <c r="AX11" i="88"/>
  <c r="AX19" i="88"/>
  <c r="AX9" i="88"/>
  <c r="AX22" i="88"/>
  <c r="AX16" i="88"/>
  <c r="AX8" i="88"/>
  <c r="AX24" i="88"/>
  <c r="AX14" i="88"/>
  <c r="AX7" i="88"/>
  <c r="AX23" i="88"/>
  <c r="AX15" i="88"/>
  <c r="AX12" i="88"/>
  <c r="AX20" i="88"/>
  <c r="AX13" i="88"/>
  <c r="AX6" i="88"/>
  <c r="AX17" i="88"/>
  <c r="AX18" i="88"/>
  <c r="AX21" i="88"/>
  <c r="AX10" i="88"/>
  <c r="CX32" i="9"/>
  <c r="AZ8" i="87"/>
  <c r="AZ18" i="87"/>
  <c r="AZ22" i="87"/>
  <c r="AZ19" i="87"/>
  <c r="AZ20" i="87"/>
  <c r="AZ11" i="87"/>
  <c r="AZ10" i="87"/>
  <c r="AZ17" i="87"/>
  <c r="AZ12" i="87"/>
  <c r="AZ9" i="87"/>
  <c r="AZ24" i="87"/>
  <c r="AZ6" i="87"/>
  <c r="AZ16" i="87"/>
  <c r="AZ14" i="87"/>
  <c r="AZ21" i="87"/>
  <c r="AZ15" i="87"/>
  <c r="AZ23" i="87"/>
  <c r="AZ13" i="87"/>
  <c r="AZ7" i="87"/>
  <c r="AZ19" i="88"/>
  <c r="AZ23" i="88"/>
  <c r="AZ20" i="88"/>
  <c r="AZ17" i="88"/>
  <c r="AZ22" i="88"/>
  <c r="AZ21" i="88"/>
  <c r="AZ24" i="88"/>
  <c r="AZ18" i="88"/>
  <c r="AZ10" i="88"/>
  <c r="AZ13" i="88"/>
  <c r="AZ9" i="88"/>
  <c r="AZ7" i="88"/>
  <c r="AZ16" i="88"/>
  <c r="AZ11" i="88"/>
  <c r="AZ6" i="88"/>
  <c r="AZ12" i="88"/>
  <c r="AZ15" i="88"/>
  <c r="AZ14" i="88"/>
  <c r="AZ8" i="88"/>
  <c r="AS7" i="87"/>
  <c r="AS22" i="87"/>
  <c r="AS15" i="87"/>
  <c r="AS6" i="87"/>
  <c r="AS21" i="87"/>
  <c r="AS14" i="87"/>
  <c r="AS10" i="87"/>
  <c r="AS20" i="87"/>
  <c r="AS12" i="87"/>
  <c r="AS24" i="87"/>
  <c r="AS16" i="87"/>
  <c r="AS18" i="87"/>
  <c r="AS9" i="87"/>
  <c r="AS17" i="87"/>
  <c r="AS8" i="87"/>
  <c r="AS23" i="87"/>
  <c r="AS11" i="87"/>
  <c r="AS13" i="87"/>
  <c r="AS19" i="87"/>
  <c r="AS7" i="88"/>
  <c r="AS23" i="88"/>
  <c r="AS14" i="88"/>
  <c r="AS18" i="88"/>
  <c r="AS12" i="88"/>
  <c r="AS19" i="88"/>
  <c r="AS11" i="88"/>
  <c r="AS24" i="88"/>
  <c r="AS10" i="88"/>
  <c r="AS6" i="88"/>
  <c r="AS22" i="88"/>
  <c r="AS9" i="88"/>
  <c r="AS16" i="88"/>
  <c r="AS8" i="88"/>
  <c r="AS21" i="88"/>
  <c r="AS17" i="88"/>
  <c r="AS13" i="88"/>
  <c r="AS20" i="88"/>
  <c r="AS15" i="88"/>
  <c r="CG104" i="9"/>
  <c r="CO59" i="9"/>
  <c r="CO52" i="9"/>
  <c r="CG105" i="9"/>
  <c r="CX104" i="9"/>
  <c r="AW22" i="86"/>
  <c r="AW10" i="86"/>
  <c r="AW21" i="86"/>
  <c r="AW11" i="86"/>
  <c r="AW9" i="86"/>
  <c r="AW17" i="86"/>
  <c r="AW12" i="86"/>
  <c r="AW19" i="86"/>
  <c r="AW13" i="86"/>
  <c r="AW6" i="86"/>
  <c r="AW18" i="86"/>
  <c r="AW14" i="86"/>
  <c r="AW23" i="86"/>
  <c r="AW7" i="86"/>
  <c r="AW15" i="86"/>
  <c r="AW20" i="86"/>
  <c r="AW8" i="86"/>
  <c r="AW16" i="86"/>
  <c r="AW24" i="86"/>
  <c r="CO48" i="9"/>
  <c r="CX105" i="9"/>
  <c r="AP10" i="86"/>
  <c r="AP6" i="86"/>
  <c r="AP13" i="86"/>
  <c r="AP15" i="86"/>
  <c r="AP14" i="86"/>
  <c r="AP7" i="86"/>
  <c r="AP9" i="86"/>
  <c r="AP11" i="86"/>
  <c r="AP16" i="86"/>
  <c r="AP23" i="86"/>
  <c r="AP8" i="86"/>
  <c r="AP17" i="86"/>
  <c r="AP21" i="86"/>
  <c r="AP12" i="86"/>
  <c r="AP19" i="86"/>
  <c r="AP18" i="86"/>
  <c r="AP20" i="86"/>
  <c r="AP22" i="86"/>
  <c r="AP24" i="86"/>
  <c r="AR11" i="86"/>
  <c r="AR19" i="86"/>
  <c r="AR7" i="86"/>
  <c r="AR20" i="86"/>
  <c r="AR6" i="86"/>
  <c r="AR14" i="86"/>
  <c r="AR21" i="86"/>
  <c r="AR9" i="86"/>
  <c r="AR18" i="86"/>
  <c r="AR23" i="86"/>
  <c r="AR15" i="86"/>
  <c r="AR22" i="86"/>
  <c r="AR16" i="86"/>
  <c r="AR13" i="86"/>
  <c r="AR24" i="86"/>
  <c r="AR8" i="86"/>
  <c r="AR10" i="86"/>
  <c r="AR17" i="86"/>
  <c r="AR12" i="86"/>
  <c r="AX23" i="86"/>
  <c r="AX7" i="86"/>
  <c r="AX15" i="86"/>
  <c r="AX6" i="86"/>
  <c r="AX18" i="86"/>
  <c r="AX13" i="86"/>
  <c r="AX14" i="86"/>
  <c r="AX20" i="86"/>
  <c r="AX8" i="86"/>
  <c r="AX16" i="86"/>
  <c r="AX21" i="86"/>
  <c r="AX17" i="86"/>
  <c r="AX9" i="86"/>
  <c r="AX19" i="86"/>
  <c r="AX10" i="86"/>
  <c r="AX11" i="86"/>
  <c r="AX22" i="86"/>
  <c r="AX12" i="86"/>
  <c r="AX24" i="86"/>
  <c r="AS13" i="86"/>
  <c r="AS14" i="86"/>
  <c r="AS15" i="86"/>
  <c r="AS16" i="86"/>
  <c r="AS23" i="86"/>
  <c r="AS11" i="86"/>
  <c r="AS7" i="86"/>
  <c r="AS22" i="86"/>
  <c r="AS8" i="86"/>
  <c r="AS20" i="86"/>
  <c r="AS19" i="86"/>
  <c r="AS12" i="86"/>
  <c r="AS18" i="86"/>
  <c r="AS10" i="86"/>
  <c r="AS24" i="86"/>
  <c r="AS9" i="86"/>
  <c r="AS21" i="86"/>
  <c r="AS6" i="86"/>
  <c r="AS17" i="86"/>
  <c r="AQ24" i="86"/>
  <c r="AQ23" i="86"/>
  <c r="AQ20" i="86"/>
  <c r="AQ17" i="86"/>
  <c r="AQ22" i="86"/>
  <c r="AQ21" i="86"/>
  <c r="AQ19" i="86"/>
  <c r="AQ18" i="86"/>
  <c r="AQ13" i="86"/>
  <c r="AQ14" i="86"/>
  <c r="AQ7" i="86"/>
  <c r="AQ15" i="86"/>
  <c r="AQ9" i="86"/>
  <c r="AQ8" i="86"/>
  <c r="AQ16" i="86"/>
  <c r="AQ6" i="86"/>
  <c r="AQ11" i="86"/>
  <c r="AQ12" i="86"/>
  <c r="AQ10" i="86"/>
  <c r="DG105" i="9"/>
  <c r="AT10" i="86"/>
  <c r="AT11" i="86"/>
  <c r="AT9" i="86"/>
  <c r="AT12" i="86"/>
  <c r="AT15" i="86"/>
  <c r="AT8" i="86"/>
  <c r="AT7" i="86"/>
  <c r="AT13" i="86"/>
  <c r="AT18" i="86"/>
  <c r="AT6" i="86"/>
  <c r="AT20" i="86"/>
  <c r="AT14" i="86"/>
  <c r="AT17" i="86"/>
  <c r="AT16" i="86"/>
  <c r="AT22" i="86"/>
  <c r="AT24" i="86"/>
  <c r="AT21" i="86"/>
  <c r="AT23" i="86"/>
  <c r="AT19" i="86"/>
  <c r="AY22" i="86"/>
  <c r="AY21" i="86"/>
  <c r="AY24" i="86"/>
  <c r="AY23" i="86"/>
  <c r="AY17" i="86"/>
  <c r="AY19" i="86"/>
  <c r="AY20" i="86"/>
  <c r="AY18" i="86"/>
  <c r="AY11" i="86"/>
  <c r="AY10" i="86"/>
  <c r="AY15" i="86"/>
  <c r="AY8" i="86"/>
  <c r="AY14" i="86"/>
  <c r="AY7" i="86"/>
  <c r="AY12" i="86"/>
  <c r="AY16" i="86"/>
  <c r="AY13" i="86"/>
  <c r="AY6" i="86"/>
  <c r="AY9" i="86"/>
  <c r="CO104" i="9"/>
  <c r="AU22" i="86"/>
  <c r="AU19" i="86"/>
  <c r="AU18" i="86"/>
  <c r="AU21" i="86"/>
  <c r="AU20" i="86"/>
  <c r="AU23" i="86"/>
  <c r="AU24" i="86"/>
  <c r="AU17" i="86"/>
  <c r="AU8" i="86"/>
  <c r="AU16" i="86"/>
  <c r="AU6" i="86"/>
  <c r="AU14" i="86"/>
  <c r="AU9" i="86"/>
  <c r="AU15" i="86"/>
  <c r="AU10" i="86"/>
  <c r="AU11" i="86"/>
  <c r="AU7" i="86"/>
  <c r="AU13" i="86"/>
  <c r="AU12" i="86"/>
  <c r="CO105" i="9"/>
  <c r="AV14" i="86"/>
  <c r="AV13" i="86"/>
  <c r="AV10" i="86"/>
  <c r="AV6" i="86"/>
  <c r="AV8" i="86"/>
  <c r="AV21" i="86"/>
  <c r="AV12" i="86"/>
  <c r="AV24" i="86"/>
  <c r="AV16" i="86"/>
  <c r="AV22" i="86"/>
  <c r="AV17" i="86"/>
  <c r="AV20" i="86"/>
  <c r="AV7" i="86"/>
  <c r="AV11" i="86"/>
  <c r="AV23" i="86"/>
  <c r="AV15" i="86"/>
  <c r="AV19" i="86"/>
  <c r="AV9" i="86"/>
  <c r="AV18" i="86"/>
  <c r="CO61" i="9"/>
  <c r="AO17" i="86"/>
  <c r="AO8" i="86"/>
  <c r="AO9" i="86"/>
  <c r="AO15" i="86"/>
  <c r="AO19" i="86"/>
  <c r="AO11" i="86"/>
  <c r="AO13" i="86"/>
  <c r="AO24" i="86"/>
  <c r="AO18" i="86"/>
  <c r="AO7" i="86"/>
  <c r="AO12" i="86"/>
  <c r="AO14" i="86"/>
  <c r="AO23" i="86"/>
  <c r="AO16" i="86"/>
  <c r="AO10" i="86"/>
  <c r="AO20" i="86"/>
  <c r="AO6" i="86"/>
  <c r="AO22" i="86"/>
  <c r="AO21" i="86"/>
  <c r="CG49" i="9"/>
  <c r="CX41" i="9"/>
  <c r="CG40" i="9"/>
  <c r="CX38" i="9"/>
  <c r="CG52" i="9"/>
  <c r="CX50" i="9"/>
  <c r="CG39" i="9"/>
  <c r="CO36" i="9"/>
  <c r="CX49" i="9"/>
  <c r="CO49" i="9"/>
  <c r="CX43" i="9"/>
  <c r="CO55" i="9"/>
  <c r="CO47" i="9"/>
  <c r="CX54" i="9"/>
  <c r="CX52" i="9"/>
  <c r="CX17" i="9"/>
  <c r="CX37" i="9"/>
  <c r="CX102" i="9"/>
  <c r="CG102" i="9"/>
  <c r="CX90" i="9"/>
  <c r="CX55" i="9"/>
  <c r="CO103" i="9"/>
  <c r="CX11" i="9"/>
  <c r="CG101" i="9"/>
  <c r="CG103" i="9"/>
  <c r="CO94" i="9"/>
  <c r="CG53" i="9"/>
  <c r="CX98" i="9"/>
  <c r="CG51" i="9"/>
  <c r="CX103" i="9"/>
  <c r="IN5" i="9"/>
  <c r="IN8" i="9" s="1"/>
  <c r="CX99" i="9"/>
  <c r="CX100" i="9"/>
  <c r="CO33" i="9"/>
  <c r="CX94" i="9"/>
  <c r="CO101" i="9"/>
  <c r="CX101" i="9"/>
  <c r="CX93" i="9"/>
  <c r="CO99" i="9"/>
  <c r="CO100" i="9"/>
  <c r="CG99" i="9"/>
  <c r="CG100" i="9"/>
  <c r="CG34" i="9"/>
  <c r="CO29" i="9"/>
  <c r="CX97" i="9"/>
  <c r="CX96" i="9"/>
  <c r="CG98" i="9"/>
  <c r="CO98" i="9"/>
  <c r="CO96" i="9"/>
  <c r="CG11" i="9"/>
  <c r="CG47" i="9"/>
  <c r="CO95" i="9"/>
  <c r="CX28" i="9"/>
  <c r="CG96" i="9"/>
  <c r="CX95" i="9"/>
  <c r="CG97" i="9"/>
  <c r="CO97" i="9"/>
  <c r="CG95" i="9"/>
  <c r="CG55" i="9"/>
  <c r="CX30" i="9"/>
  <c r="CO32" i="9"/>
  <c r="CS16" i="9"/>
  <c r="CS14" i="9"/>
  <c r="CO35" i="9"/>
  <c r="I27" i="20"/>
  <c r="U27" i="20" s="1"/>
  <c r="CG48" i="9"/>
  <c r="CG38" i="9"/>
  <c r="CG44" i="9"/>
  <c r="CO42" i="9"/>
  <c r="CO53" i="9"/>
  <c r="CO44" i="9"/>
  <c r="CG61" i="9"/>
  <c r="CG41" i="9"/>
  <c r="CO60" i="9"/>
  <c r="CG42" i="9"/>
  <c r="CG35" i="9"/>
  <c r="CO31" i="9"/>
  <c r="CO54" i="9"/>
  <c r="CO51" i="9"/>
  <c r="CX53" i="9"/>
  <c r="CX36" i="9"/>
  <c r="CX51" i="9"/>
  <c r="CG59" i="9"/>
  <c r="CG94" i="9"/>
  <c r="CO39" i="9"/>
  <c r="CG93" i="9"/>
  <c r="CG33" i="9"/>
  <c r="CO93" i="9"/>
  <c r="CO56" i="9"/>
  <c r="GL3" i="9"/>
  <c r="GL8" i="9" s="1"/>
  <c r="CS18" i="9"/>
  <c r="CX40" i="9"/>
  <c r="CS15" i="9"/>
  <c r="CO89" i="9"/>
  <c r="CO18" i="9"/>
  <c r="CO11" i="9"/>
  <c r="CG90" i="9"/>
  <c r="CG13" i="9"/>
  <c r="CS11" i="9"/>
  <c r="CX91" i="9"/>
  <c r="CX12" i="9"/>
  <c r="CX16" i="9"/>
  <c r="CG16" i="9"/>
  <c r="CO88" i="9"/>
  <c r="CO17" i="9"/>
  <c r="HL8" i="9"/>
  <c r="HM4" i="9"/>
  <c r="HM8" i="9" s="1"/>
  <c r="CG91" i="9"/>
  <c r="CG92" i="9"/>
  <c r="CG14" i="9"/>
  <c r="CG12" i="9"/>
  <c r="CG15" i="9"/>
  <c r="CO14" i="9"/>
  <c r="CS17" i="9"/>
  <c r="CX92" i="9"/>
  <c r="CX89" i="9"/>
  <c r="CO90" i="9"/>
  <c r="CO15" i="9"/>
  <c r="CG88" i="9"/>
  <c r="CG18" i="9"/>
  <c r="CS12" i="9"/>
  <c r="CX15" i="9"/>
  <c r="CX14" i="9"/>
  <c r="CO91" i="9"/>
  <c r="CO92" i="9"/>
  <c r="CO13" i="9"/>
  <c r="CO12" i="9"/>
  <c r="CA8" i="9"/>
  <c r="CB3" i="9"/>
  <c r="CP3" i="9"/>
  <c r="CP8" i="9" s="1"/>
  <c r="CJ3" i="9"/>
  <c r="DN3" i="9"/>
  <c r="DM8" i="9"/>
  <c r="CG89" i="9"/>
  <c r="CG17" i="9"/>
  <c r="CO16" i="9"/>
  <c r="CX88" i="9"/>
  <c r="CX13" i="9"/>
  <c r="CX18" i="9"/>
  <c r="CO50" i="9"/>
  <c r="CX31" i="9"/>
  <c r="CG50" i="9"/>
  <c r="CX27" i="9"/>
  <c r="CX68" i="9"/>
  <c r="CX72" i="9"/>
  <c r="CX82" i="9"/>
  <c r="GI81" i="9"/>
  <c r="GI82" i="9" s="1"/>
  <c r="GI83" i="9" s="1"/>
  <c r="GI84" i="9" s="1"/>
  <c r="GI85" i="9" s="1"/>
  <c r="GI86" i="9" s="1"/>
  <c r="GI87" i="9" s="1"/>
  <c r="GI88" i="9" s="1"/>
  <c r="GI89" i="9" s="1"/>
  <c r="GI90" i="9" s="1"/>
  <c r="GI91" i="9" s="1"/>
  <c r="CX29" i="9"/>
  <c r="CO38" i="9"/>
  <c r="CX84" i="9"/>
  <c r="H17" i="20"/>
  <c r="S17" i="20" s="1"/>
  <c r="FV26" i="9"/>
  <c r="CX83" i="9"/>
  <c r="CX87" i="9"/>
  <c r="CO37" i="9"/>
  <c r="CO40" i="9"/>
  <c r="CO30" i="9"/>
  <c r="CO84" i="9"/>
  <c r="CG83" i="9"/>
  <c r="CG87" i="9"/>
  <c r="CG86" i="9"/>
  <c r="CX86" i="9"/>
  <c r="CO83" i="9"/>
  <c r="CO85" i="9"/>
  <c r="HM58" i="9"/>
  <c r="CO43" i="9"/>
  <c r="FV27" i="9"/>
  <c r="I26" i="20"/>
  <c r="U26" i="20" s="1"/>
  <c r="CG82" i="9"/>
  <c r="FV25" i="9"/>
  <c r="CG84" i="9"/>
  <c r="CG85" i="9"/>
  <c r="CO86" i="9"/>
  <c r="CX46" i="9"/>
  <c r="CX25" i="9"/>
  <c r="CX85" i="9"/>
  <c r="CO87" i="9"/>
  <c r="FB25" i="9"/>
  <c r="FB26" i="9" s="1"/>
  <c r="CO45" i="9"/>
  <c r="HM56" i="9"/>
  <c r="CX22" i="9"/>
  <c r="CG31" i="9"/>
  <c r="CX73" i="9"/>
  <c r="CX71" i="9"/>
  <c r="CO34" i="9"/>
  <c r="CX35" i="9"/>
  <c r="CO26" i="9"/>
  <c r="EP46" i="9"/>
  <c r="EP47" i="9" s="1"/>
  <c r="EP48" i="9" s="1"/>
  <c r="EP49" i="9" s="1"/>
  <c r="EP50" i="9" s="1"/>
  <c r="EP51" i="9" s="1"/>
  <c r="EP52" i="9" s="1"/>
  <c r="EP53" i="9" s="1"/>
  <c r="EP54" i="9" s="1"/>
  <c r="EP55" i="9" s="1"/>
  <c r="EP56" i="9" s="1"/>
  <c r="EP57" i="9" s="1"/>
  <c r="EP58" i="9" s="1"/>
  <c r="EP59" i="9" s="1"/>
  <c r="EP60" i="9" s="1"/>
  <c r="EP61" i="9" s="1"/>
  <c r="EP62" i="9" s="1"/>
  <c r="EP63" i="9" s="1"/>
  <c r="EP64" i="9" s="1"/>
  <c r="EP65" i="9" s="1"/>
  <c r="EP66" i="9" s="1"/>
  <c r="EP67" i="9" s="1"/>
  <c r="EP68" i="9" s="1"/>
  <c r="EP69" i="9" s="1"/>
  <c r="EP70" i="9" s="1"/>
  <c r="EP71" i="9" s="1"/>
  <c r="EP72" i="9" s="1"/>
  <c r="EP73" i="9" s="1"/>
  <c r="EP74" i="9" s="1"/>
  <c r="EP75" i="9" s="1"/>
  <c r="EP76" i="9" s="1"/>
  <c r="EP77" i="9" s="1"/>
  <c r="EP78" i="9" s="1"/>
  <c r="EP79" i="9" s="1"/>
  <c r="AD4" i="32"/>
  <c r="AH4" i="32" s="1"/>
  <c r="AK4" i="32" s="1"/>
  <c r="AD5" i="32"/>
  <c r="AH5" i="32" s="1"/>
  <c r="AK5" i="32" s="1"/>
  <c r="AD8" i="32"/>
  <c r="AH8" i="32" s="1"/>
  <c r="AK8" i="32" s="1"/>
  <c r="CX26" i="9"/>
  <c r="CX19" i="9"/>
  <c r="CX62" i="9"/>
  <c r="C61" i="9"/>
  <c r="A60" i="9"/>
  <c r="A60" i="20" s="1"/>
  <c r="CX80" i="9"/>
  <c r="CO82" i="9"/>
  <c r="CG24" i="9"/>
  <c r="CO27" i="9"/>
  <c r="I15" i="20"/>
  <c r="U15" i="20" s="1"/>
  <c r="I22" i="20"/>
  <c r="I23" i="20"/>
  <c r="U23" i="20" s="1"/>
  <c r="CX79" i="9"/>
  <c r="CG25" i="9"/>
  <c r="CX45" i="9"/>
  <c r="CO46" i="9"/>
  <c r="CG28" i="9"/>
  <c r="CG19" i="9"/>
  <c r="CX23" i="9"/>
  <c r="CG67" i="9"/>
  <c r="CG69" i="9"/>
  <c r="CX67" i="9"/>
  <c r="CX69" i="9"/>
  <c r="AD3" i="32"/>
  <c r="AH3" i="32" s="1"/>
  <c r="AK3" i="32" s="1"/>
  <c r="AD19" i="32"/>
  <c r="AD7" i="32"/>
  <c r="AH7" i="32" s="1"/>
  <c r="AK7" i="32" s="1"/>
  <c r="AD6" i="32"/>
  <c r="AH6" i="32" s="1"/>
  <c r="AK6" i="32" s="1"/>
  <c r="CG80" i="9"/>
  <c r="CX81" i="9"/>
  <c r="CO81" i="9"/>
  <c r="CG81" i="9"/>
  <c r="EA27" i="9"/>
  <c r="CX57" i="9"/>
  <c r="CG36" i="9"/>
  <c r="CG70" i="9"/>
  <c r="CG20" i="9"/>
  <c r="CO25" i="9"/>
  <c r="I25" i="20"/>
  <c r="U25" i="20" s="1"/>
  <c r="CG26" i="9"/>
  <c r="CG79" i="9"/>
  <c r="CG75" i="9"/>
  <c r="CX75" i="9"/>
  <c r="CO80" i="9"/>
  <c r="CO74" i="9"/>
  <c r="CO78" i="9"/>
  <c r="CO79" i="9"/>
  <c r="H31" i="20"/>
  <c r="S31" i="20" s="1"/>
  <c r="H22" i="20"/>
  <c r="H4" i="20"/>
  <c r="L4" i="20" s="1"/>
  <c r="O4" i="20" s="1"/>
  <c r="I31" i="20"/>
  <c r="U31" i="20" s="1"/>
  <c r="H23" i="20"/>
  <c r="S23" i="20" s="1"/>
  <c r="I11" i="20"/>
  <c r="U11" i="20" s="1"/>
  <c r="H19" i="20"/>
  <c r="S19" i="20" s="1"/>
  <c r="H3" i="20"/>
  <c r="L3" i="20" s="1"/>
  <c r="O3" i="20" s="1"/>
  <c r="H30" i="20"/>
  <c r="S30" i="20" s="1"/>
  <c r="H26" i="20"/>
  <c r="S26" i="20" s="1"/>
  <c r="H20" i="20"/>
  <c r="S20" i="20" s="1"/>
  <c r="CO71" i="9"/>
  <c r="CG27" i="9"/>
  <c r="CX65" i="9"/>
  <c r="CX63" i="9"/>
  <c r="CO28" i="9"/>
  <c r="CX21" i="9"/>
  <c r="CG30" i="9"/>
  <c r="CO66" i="9"/>
  <c r="CG76" i="9"/>
  <c r="CG68" i="9"/>
  <c r="CG73" i="9"/>
  <c r="CX76" i="9"/>
  <c r="CO67" i="9"/>
  <c r="CO70" i="9"/>
  <c r="CO75" i="9"/>
  <c r="CO23" i="9"/>
  <c r="I16" i="20"/>
  <c r="U16" i="20" s="1"/>
  <c r="CX20" i="9"/>
  <c r="CG77" i="9"/>
  <c r="CG72" i="9"/>
  <c r="CX70" i="9"/>
  <c r="CX78" i="9"/>
  <c r="CG32" i="9"/>
  <c r="CO68" i="9"/>
  <c r="CO72" i="9"/>
  <c r="CO76" i="9"/>
  <c r="CS21" i="9"/>
  <c r="I21" i="20" s="1"/>
  <c r="U21" i="20" s="1"/>
  <c r="CG71" i="9"/>
  <c r="CG78" i="9"/>
  <c r="CG74" i="9"/>
  <c r="CX74" i="9"/>
  <c r="CX77" i="9"/>
  <c r="BI23" i="9"/>
  <c r="BJ22" i="9"/>
  <c r="DA22" i="9" s="1"/>
  <c r="CO69" i="9"/>
  <c r="CO73" i="9"/>
  <c r="CO77" i="9"/>
  <c r="AD10" i="32"/>
  <c r="AD16" i="32"/>
  <c r="AD15" i="32"/>
  <c r="AD17" i="32"/>
  <c r="AD18" i="32"/>
  <c r="H27" i="20"/>
  <c r="S27" i="20" s="1"/>
  <c r="H11" i="20"/>
  <c r="S11" i="20" s="1"/>
  <c r="H13" i="20"/>
  <c r="S13" i="20" s="1"/>
  <c r="H24" i="20"/>
  <c r="S24" i="20" s="1"/>
  <c r="H12" i="20"/>
  <c r="S12" i="20" s="1"/>
  <c r="H34" i="20"/>
  <c r="S34" i="20" s="1"/>
  <c r="H35" i="20"/>
  <c r="S35" i="20" s="1"/>
  <c r="H32" i="20"/>
  <c r="S32" i="20" s="1"/>
  <c r="H16" i="20"/>
  <c r="S16" i="20" s="1"/>
  <c r="H15" i="20"/>
  <c r="S15" i="20" s="1"/>
  <c r="H18" i="20"/>
  <c r="S18" i="20" s="1"/>
  <c r="H5" i="20"/>
  <c r="L5" i="20" s="1"/>
  <c r="O5" i="20" s="1"/>
  <c r="H25" i="20"/>
  <c r="S25" i="20" s="1"/>
  <c r="H8" i="20"/>
  <c r="L8" i="20" s="1"/>
  <c r="O8" i="20" s="1"/>
  <c r="H33" i="20"/>
  <c r="S33" i="20" s="1"/>
  <c r="H6" i="20"/>
  <c r="L6" i="20" s="1"/>
  <c r="O6" i="20" s="1"/>
  <c r="H36" i="20"/>
  <c r="H29" i="20"/>
  <c r="S29" i="20" s="1"/>
  <c r="H14" i="20"/>
  <c r="S14" i="20" s="1"/>
  <c r="H10" i="20"/>
  <c r="H37" i="20"/>
  <c r="S37" i="20" s="1"/>
  <c r="H21" i="20"/>
  <c r="S21" i="20" s="1"/>
  <c r="H7" i="20"/>
  <c r="L7" i="20" s="1"/>
  <c r="O7" i="20" s="1"/>
  <c r="N37" i="32"/>
  <c r="F37" i="32" s="1"/>
  <c r="CG66" i="9"/>
  <c r="CX66" i="9"/>
  <c r="FV20" i="9"/>
  <c r="H28" i="20"/>
  <c r="EW26" i="9"/>
  <c r="EX25" i="9"/>
  <c r="DM34" i="9"/>
  <c r="GE69" i="9"/>
  <c r="G28" i="20"/>
  <c r="K28" i="20" s="1"/>
  <c r="AD12" i="32"/>
  <c r="AD14" i="32"/>
  <c r="I4" i="20"/>
  <c r="M4" i="20" s="1"/>
  <c r="P4" i="20" s="1"/>
  <c r="I29" i="20"/>
  <c r="U29" i="20" s="1"/>
  <c r="I17" i="20"/>
  <c r="U17" i="20" s="1"/>
  <c r="EK46" i="9"/>
  <c r="EK47" i="9" s="1"/>
  <c r="CO57" i="9"/>
  <c r="CG57" i="9"/>
  <c r="CG23" i="9"/>
  <c r="CG21" i="9"/>
  <c r="A48" i="9"/>
  <c r="B49" i="9"/>
  <c r="L37" i="32"/>
  <c r="CO64" i="9"/>
  <c r="CG65" i="9"/>
  <c r="CO65" i="9"/>
  <c r="I32" i="20"/>
  <c r="U32" i="20" s="1"/>
  <c r="I10" i="20"/>
  <c r="CG22" i="9"/>
  <c r="I14" i="20"/>
  <c r="U14" i="20" s="1"/>
  <c r="CX24" i="9"/>
  <c r="I12" i="20"/>
  <c r="U12" i="20" s="1"/>
  <c r="I24" i="20"/>
  <c r="U24" i="20" s="1"/>
  <c r="I34" i="20"/>
  <c r="U34" i="20" s="1"/>
  <c r="I6" i="20"/>
  <c r="M6" i="20" s="1"/>
  <c r="P6" i="20" s="1"/>
  <c r="BG38" i="9"/>
  <c r="CZ38" i="9" s="1"/>
  <c r="BD39" i="9"/>
  <c r="FV34" i="9"/>
  <c r="I19" i="20"/>
  <c r="U19" i="20" s="1"/>
  <c r="CO21" i="9"/>
  <c r="CS20" i="9"/>
  <c r="I20" i="20" s="1"/>
  <c r="U20" i="20" s="1"/>
  <c r="I5" i="20"/>
  <c r="M5" i="20" s="1"/>
  <c r="P5" i="20" s="1"/>
  <c r="I35" i="20"/>
  <c r="U35" i="20" s="1"/>
  <c r="I7" i="20"/>
  <c r="M7" i="20" s="1"/>
  <c r="P7" i="20" s="1"/>
  <c r="I37" i="20"/>
  <c r="U37" i="20" s="1"/>
  <c r="I30" i="20"/>
  <c r="U30" i="20" s="1"/>
  <c r="CG62" i="9"/>
  <c r="CO62" i="9"/>
  <c r="CX58" i="9"/>
  <c r="I13" i="20"/>
  <c r="U13" i="20" s="1"/>
  <c r="I18" i="20"/>
  <c r="U18" i="20" s="1"/>
  <c r="CG29" i="9"/>
  <c r="I33" i="20"/>
  <c r="U33" i="20" s="1"/>
  <c r="I28" i="20"/>
  <c r="HM53" i="9"/>
  <c r="HM45" i="9"/>
  <c r="CG64" i="9"/>
  <c r="CO20" i="9"/>
  <c r="DW31" i="9"/>
  <c r="EA31" i="9" s="1"/>
  <c r="EA30" i="9"/>
  <c r="CX64" i="9"/>
  <c r="BF62" i="9"/>
  <c r="BG62" i="9" s="1"/>
  <c r="CZ62" i="9" s="1"/>
  <c r="BG61" i="9"/>
  <c r="CZ61" i="9" s="1"/>
  <c r="A38" i="9"/>
  <c r="B39" i="9"/>
  <c r="N40" i="32"/>
  <c r="P40" i="32" s="1"/>
  <c r="EL34" i="9"/>
  <c r="EL35" i="9" s="1"/>
  <c r="HK75" i="9"/>
  <c r="HM75" i="9" s="1"/>
  <c r="O37" i="32"/>
  <c r="AD20" i="32"/>
  <c r="AD21" i="32"/>
  <c r="CO63" i="9"/>
  <c r="CO24" i="9"/>
  <c r="GS23" i="9"/>
  <c r="GR24" i="9"/>
  <c r="BI38" i="9"/>
  <c r="BJ37" i="9"/>
  <c r="DA37" i="9" s="1"/>
  <c r="BG26" i="9"/>
  <c r="CZ26" i="9" s="1"/>
  <c r="EA23" i="9"/>
  <c r="EA19" i="9"/>
  <c r="DW20" i="9"/>
  <c r="EA20" i="9" s="1"/>
  <c r="AD11" i="32"/>
  <c r="AD13" i="32"/>
  <c r="CG63" i="9"/>
  <c r="BG27" i="9"/>
  <c r="CZ27" i="9" s="1"/>
  <c r="CO19" i="9"/>
  <c r="CO22" i="9"/>
  <c r="G22" i="20"/>
  <c r="K22" i="20" s="1"/>
  <c r="FW34" i="9"/>
  <c r="FW35" i="9" s="1"/>
  <c r="G36" i="20"/>
  <c r="K36" i="20" s="1"/>
  <c r="I36" i="20"/>
  <c r="BD46" i="9"/>
  <c r="BG45" i="9"/>
  <c r="CZ45" i="9" s="1"/>
  <c r="B67" i="9"/>
  <c r="CO58" i="9"/>
  <c r="C46" i="32"/>
  <c r="AC1" i="32"/>
  <c r="AC13" i="32" s="1"/>
  <c r="EA33" i="9"/>
  <c r="FV33" i="9"/>
  <c r="L40" i="32"/>
  <c r="G40" i="32"/>
  <c r="IU27" i="9"/>
  <c r="IV26" i="9"/>
  <c r="BG33" i="9"/>
  <c r="CZ33" i="9" s="1"/>
  <c r="BD34" i="9"/>
  <c r="BG34" i="9" s="1"/>
  <c r="CZ34" i="9" s="1"/>
  <c r="C35" i="32"/>
  <c r="CY3" i="9"/>
  <c r="CY8" i="9" s="1"/>
  <c r="CG46" i="9"/>
  <c r="CG56" i="9"/>
  <c r="HM51" i="9"/>
  <c r="HM44" i="9"/>
  <c r="CG58" i="9"/>
  <c r="HK73" i="9"/>
  <c r="HM73" i="9" s="1"/>
  <c r="HK65" i="9"/>
  <c r="HM65" i="9" s="1"/>
  <c r="HK70" i="9"/>
  <c r="HM70" i="9" s="1"/>
  <c r="HK66" i="9"/>
  <c r="HM66" i="9" s="1"/>
  <c r="HK68" i="9"/>
  <c r="HM68" i="9" s="1"/>
  <c r="HK64" i="9"/>
  <c r="HM64" i="9" s="1"/>
  <c r="HK69" i="9"/>
  <c r="HM69" i="9" s="1"/>
  <c r="C34" i="32"/>
  <c r="HM50" i="9"/>
  <c r="CG45" i="9"/>
  <c r="HK72" i="9"/>
  <c r="HM72" i="9" s="1"/>
  <c r="IS38" i="9"/>
  <c r="HK63" i="9"/>
  <c r="HM63" i="9" s="1"/>
  <c r="GL29" i="9"/>
  <c r="GK41" i="9"/>
  <c r="HM48" i="9"/>
  <c r="BJ48" i="9"/>
  <c r="DA48" i="9" s="1"/>
  <c r="BI49" i="9"/>
  <c r="HM55" i="9"/>
  <c r="HM49" i="9"/>
  <c r="HM54" i="9"/>
  <c r="EU30" i="9"/>
  <c r="HK67" i="9"/>
  <c r="HM67" i="9" s="1"/>
  <c r="HK71" i="9"/>
  <c r="HM71" i="9" s="1"/>
  <c r="ET35" i="9"/>
  <c r="BD21" i="9"/>
  <c r="BG20" i="9"/>
  <c r="CZ20" i="9" s="1"/>
  <c r="BC138" i="122" l="1"/>
  <c r="BD138" i="122"/>
  <c r="BC140" i="122"/>
  <c r="BD140" i="122"/>
  <c r="GG26" i="9"/>
  <c r="GG27" i="9" s="1"/>
  <c r="GN25" i="9"/>
  <c r="GJ26" i="9"/>
  <c r="V43" i="32"/>
  <c r="E59" i="9"/>
  <c r="HF59" i="9"/>
  <c r="GR50" i="9"/>
  <c r="GS49" i="9"/>
  <c r="GS37" i="9"/>
  <c r="GR38" i="9"/>
  <c r="FC25" i="9"/>
  <c r="IO5" i="9"/>
  <c r="IO8" i="9" s="1"/>
  <c r="E60" i="9"/>
  <c r="GM3" i="9"/>
  <c r="GM8" i="9" s="1"/>
  <c r="HL59" i="9"/>
  <c r="HQ59" i="9"/>
  <c r="CZ3" i="9"/>
  <c r="CZ8" i="9" s="1"/>
  <c r="CJ8" i="9"/>
  <c r="DO3" i="9"/>
  <c r="DN8" i="9"/>
  <c r="CC3" i="9"/>
  <c r="CB8" i="9"/>
  <c r="CQ3" i="9"/>
  <c r="CQ8" i="9" s="1"/>
  <c r="CK3" i="9"/>
  <c r="CK8" i="9" s="1"/>
  <c r="EP80" i="9"/>
  <c r="GI92" i="9"/>
  <c r="GI93" i="9" s="1"/>
  <c r="GI94" i="9" s="1"/>
  <c r="GI95" i="9" s="1"/>
  <c r="GI96" i="9" s="1"/>
  <c r="GI97" i="9" s="1"/>
  <c r="GI98" i="9" s="1"/>
  <c r="GI99" i="9" s="1"/>
  <c r="GI100" i="9" s="1"/>
  <c r="GI101" i="9" s="1"/>
  <c r="GI102" i="9" s="1"/>
  <c r="GI103" i="9" s="1"/>
  <c r="GI104" i="9" s="1"/>
  <c r="GI105" i="9" s="1"/>
  <c r="D6" i="32"/>
  <c r="C62" i="9"/>
  <c r="A61" i="9"/>
  <c r="V44" i="32"/>
  <c r="U28" i="20"/>
  <c r="U36" i="20"/>
  <c r="S36" i="20"/>
  <c r="U22" i="20"/>
  <c r="S28" i="20"/>
  <c r="S22" i="20"/>
  <c r="M17" i="20"/>
  <c r="P17" i="20" s="1"/>
  <c r="U10" i="20"/>
  <c r="L10" i="20"/>
  <c r="O10" i="20" s="1"/>
  <c r="S10" i="20"/>
  <c r="L31" i="20"/>
  <c r="O31" i="20" s="1"/>
  <c r="BI24" i="9"/>
  <c r="BJ23" i="9"/>
  <c r="DA23" i="9" s="1"/>
  <c r="L27" i="20"/>
  <c r="O27" i="20" s="1"/>
  <c r="L30" i="20"/>
  <c r="O30" i="20" s="1"/>
  <c r="L37" i="20"/>
  <c r="O37" i="20" s="1"/>
  <c r="L19" i="20"/>
  <c r="O19" i="20" s="1"/>
  <c r="L17" i="20"/>
  <c r="O17" i="20" s="1"/>
  <c r="L36" i="20"/>
  <c r="O36" i="20" s="1"/>
  <c r="L11" i="20"/>
  <c r="O11" i="20" s="1"/>
  <c r="L20" i="20"/>
  <c r="O20" i="20" s="1"/>
  <c r="L29" i="20"/>
  <c r="O29" i="20" s="1"/>
  <c r="L25" i="20"/>
  <c r="O25" i="20" s="1"/>
  <c r="L28" i="20"/>
  <c r="O28" i="20" s="1"/>
  <c r="L35" i="20"/>
  <c r="O35" i="20" s="1"/>
  <c r="L22" i="20"/>
  <c r="O22" i="20" s="1"/>
  <c r="L12" i="20"/>
  <c r="O12" i="20" s="1"/>
  <c r="L21" i="20"/>
  <c r="O21" i="20" s="1"/>
  <c r="L26" i="20"/>
  <c r="O26" i="20" s="1"/>
  <c r="L34" i="20"/>
  <c r="O34" i="20" s="1"/>
  <c r="L23" i="20"/>
  <c r="O23" i="20" s="1"/>
  <c r="L33" i="20"/>
  <c r="O33" i="20" s="1"/>
  <c r="L18" i="20"/>
  <c r="O18" i="20" s="1"/>
  <c r="L16" i="20"/>
  <c r="O16" i="20" s="1"/>
  <c r="L13" i="20"/>
  <c r="O13" i="20" s="1"/>
  <c r="L14" i="20"/>
  <c r="O14" i="20" s="1"/>
  <c r="L15" i="20"/>
  <c r="O15" i="20" s="1"/>
  <c r="L32" i="20"/>
  <c r="O32" i="20" s="1"/>
  <c r="L24" i="20"/>
  <c r="O24" i="20" s="1"/>
  <c r="P37" i="32"/>
  <c r="H37" i="32" s="1"/>
  <c r="EW27" i="9"/>
  <c r="EX26" i="9"/>
  <c r="V32" i="32"/>
  <c r="A48" i="20"/>
  <c r="HL48" i="9"/>
  <c r="HC48" i="9"/>
  <c r="HQ48" i="9"/>
  <c r="HI48" i="9"/>
  <c r="GA48" i="9"/>
  <c r="HF48" i="9"/>
  <c r="E48" i="9"/>
  <c r="HI59" i="9"/>
  <c r="HC59" i="9"/>
  <c r="GA59" i="9"/>
  <c r="A49" i="9"/>
  <c r="HF49" i="9" s="1"/>
  <c r="B50" i="9"/>
  <c r="M30" i="20"/>
  <c r="P30" i="20" s="1"/>
  <c r="M23" i="20"/>
  <c r="P23" i="20" s="1"/>
  <c r="M20" i="20"/>
  <c r="P20" i="20" s="1"/>
  <c r="M22" i="20"/>
  <c r="P22" i="20" s="1"/>
  <c r="M13" i="20"/>
  <c r="P13" i="20" s="1"/>
  <c r="M11" i="20"/>
  <c r="P11" i="20" s="1"/>
  <c r="M16" i="20"/>
  <c r="P16" i="20" s="1"/>
  <c r="M36" i="20"/>
  <c r="P36" i="20" s="1"/>
  <c r="M15" i="20"/>
  <c r="P15" i="20" s="1"/>
  <c r="M28" i="20"/>
  <c r="P28" i="20" s="1"/>
  <c r="M33" i="20"/>
  <c r="P33" i="20" s="1"/>
  <c r="M37" i="20"/>
  <c r="P37" i="20" s="1"/>
  <c r="M35" i="20"/>
  <c r="P35" i="20" s="1"/>
  <c r="M25" i="20"/>
  <c r="P25" i="20" s="1"/>
  <c r="M19" i="20"/>
  <c r="P19" i="20" s="1"/>
  <c r="M34" i="20"/>
  <c r="P34" i="20" s="1"/>
  <c r="M24" i="20"/>
  <c r="P24" i="20" s="1"/>
  <c r="M12" i="20"/>
  <c r="P12" i="20" s="1"/>
  <c r="M14" i="20"/>
  <c r="P14" i="20" s="1"/>
  <c r="M21" i="20"/>
  <c r="P21" i="20" s="1"/>
  <c r="M10" i="20"/>
  <c r="P10" i="20" s="1"/>
  <c r="M18" i="20"/>
  <c r="P18" i="20" s="1"/>
  <c r="M29" i="20"/>
  <c r="P29" i="20" s="1"/>
  <c r="M31" i="20"/>
  <c r="P31" i="20" s="1"/>
  <c r="M32" i="20"/>
  <c r="P32" i="20" s="1"/>
  <c r="M26" i="20"/>
  <c r="P26" i="20" s="1"/>
  <c r="BD40" i="9"/>
  <c r="BG39" i="9"/>
  <c r="CZ39" i="9" s="1"/>
  <c r="M27" i="20"/>
  <c r="P27" i="20" s="1"/>
  <c r="A39" i="9"/>
  <c r="B40" i="9"/>
  <c r="E38" i="9"/>
  <c r="HL38" i="9"/>
  <c r="V22" i="32"/>
  <c r="AC22" i="32" s="1"/>
  <c r="HQ38" i="9"/>
  <c r="GA38" i="9"/>
  <c r="HF38" i="9"/>
  <c r="HC38" i="9"/>
  <c r="A38" i="20"/>
  <c r="HI38" i="9"/>
  <c r="F40" i="32"/>
  <c r="G37" i="32"/>
  <c r="AL13" i="32"/>
  <c r="BD47" i="9"/>
  <c r="BG46" i="9"/>
  <c r="CZ46" i="9" s="1"/>
  <c r="EA25" i="9"/>
  <c r="EA24" i="9"/>
  <c r="BI39" i="9"/>
  <c r="BJ38" i="9"/>
  <c r="DA38" i="9" s="1"/>
  <c r="HK74" i="9"/>
  <c r="HM74" i="9" s="1"/>
  <c r="AC6" i="32"/>
  <c r="AG6" i="32" s="1"/>
  <c r="AJ6" i="32" s="1"/>
  <c r="AC5" i="32"/>
  <c r="AC4" i="32"/>
  <c r="AG4" i="32" s="1"/>
  <c r="AJ4" i="32" s="1"/>
  <c r="AC16" i="32"/>
  <c r="AL16" i="32" s="1"/>
  <c r="AC17" i="32"/>
  <c r="AL17" i="32" s="1"/>
  <c r="AC7" i="32"/>
  <c r="AG7" i="32" s="1"/>
  <c r="AJ7" i="32" s="1"/>
  <c r="AC3" i="32"/>
  <c r="AG3" i="32" s="1"/>
  <c r="AJ3" i="32" s="1"/>
  <c r="AC15" i="32"/>
  <c r="AL15" i="32" s="1"/>
  <c r="AC19" i="32"/>
  <c r="AL19" i="32" s="1"/>
  <c r="AC12" i="32"/>
  <c r="AL12" i="32" s="1"/>
  <c r="AC14" i="32"/>
  <c r="AL14" i="32" s="1"/>
  <c r="AC10" i="32"/>
  <c r="AL10" i="32" s="1"/>
  <c r="AC8" i="32"/>
  <c r="AG8" i="32" s="1"/>
  <c r="AJ8" i="32" s="1"/>
  <c r="AC11" i="32"/>
  <c r="AL11" i="32" s="1"/>
  <c r="AC18" i="32"/>
  <c r="AL18" i="32" s="1"/>
  <c r="B68" i="9"/>
  <c r="AC20" i="32"/>
  <c r="AL20" i="32" s="1"/>
  <c r="AC21" i="32"/>
  <c r="AL21" i="32" s="1"/>
  <c r="GR25" i="9"/>
  <c r="GS24" i="9"/>
  <c r="H40" i="32"/>
  <c r="EU31" i="9"/>
  <c r="GL30" i="9"/>
  <c r="GK42" i="9"/>
  <c r="IS39" i="9"/>
  <c r="BJ49" i="9"/>
  <c r="DA49" i="9" s="1"/>
  <c r="BI50" i="9"/>
  <c r="BG21" i="9"/>
  <c r="CZ21" i="9" s="1"/>
  <c r="BD22" i="9"/>
  <c r="ET36" i="9"/>
  <c r="IU28" i="9"/>
  <c r="IV27" i="9"/>
  <c r="FC26" i="9"/>
  <c r="FB27" i="9"/>
  <c r="GH26" i="9" l="1"/>
  <c r="GI106" i="9"/>
  <c r="GI107" i="9" s="1"/>
  <c r="GI108" i="9" s="1"/>
  <c r="GI109" i="9" s="1"/>
  <c r="GI110" i="9" s="1"/>
  <c r="GI111" i="9" s="1"/>
  <c r="GI112" i="9" s="1"/>
  <c r="GI113" i="9" s="1"/>
  <c r="GI114" i="9" s="1"/>
  <c r="GI115" i="9" s="1"/>
  <c r="GI116" i="9" s="1"/>
  <c r="GI117" i="9" s="1"/>
  <c r="GI118" i="9" s="1"/>
  <c r="GI119" i="9" s="1"/>
  <c r="GI120" i="9" s="1"/>
  <c r="GI121" i="9" s="1"/>
  <c r="GI122" i="9" s="1"/>
  <c r="GI123" i="9" s="1"/>
  <c r="GI124" i="9" s="1"/>
  <c r="GI125" i="9" s="1"/>
  <c r="GI126" i="9" s="1"/>
  <c r="GI127" i="9" s="1"/>
  <c r="GI128" i="9" s="1"/>
  <c r="GI129" i="9" s="1"/>
  <c r="GI130" i="9" s="1"/>
  <c r="GI131" i="9" s="1"/>
  <c r="GI132" i="9" s="1"/>
  <c r="GI133" i="9" s="1"/>
  <c r="GI134" i="9" s="1"/>
  <c r="GI135" i="9" s="1"/>
  <c r="GI136" i="9" s="1"/>
  <c r="GI137" i="9" s="1"/>
  <c r="GN26" i="9"/>
  <c r="GJ27" i="9"/>
  <c r="IP5" i="9"/>
  <c r="IP8" i="9" s="1"/>
  <c r="FV28" i="9"/>
  <c r="GR39" i="9"/>
  <c r="GS38" i="9"/>
  <c r="GS50" i="9"/>
  <c r="GR51" i="9"/>
  <c r="T17" i="20"/>
  <c r="V17" i="20"/>
  <c r="HC49" i="9"/>
  <c r="GA49" i="9"/>
  <c r="DO8" i="9"/>
  <c r="DP3" i="9"/>
  <c r="CL3" i="9"/>
  <c r="CL8" i="9" s="1"/>
  <c r="CC8" i="9"/>
  <c r="CR3" i="9"/>
  <c r="CR8" i="9" s="1"/>
  <c r="CH3" i="9"/>
  <c r="EP81" i="9"/>
  <c r="EP82" i="9" s="1"/>
  <c r="EP83" i="9" s="1"/>
  <c r="EP84" i="9" s="1"/>
  <c r="EP85" i="9" s="1"/>
  <c r="EP86" i="9" s="1"/>
  <c r="EP87" i="9" s="1"/>
  <c r="EP88" i="9" s="1"/>
  <c r="EP89" i="9" s="1"/>
  <c r="EP90" i="9" s="1"/>
  <c r="EP91" i="9" s="1"/>
  <c r="HQ49" i="9"/>
  <c r="HL49" i="9"/>
  <c r="A61" i="20"/>
  <c r="V45" i="32"/>
  <c r="E61" i="9"/>
  <c r="HI49" i="9"/>
  <c r="C63" i="9"/>
  <c r="A62" i="9"/>
  <c r="T37" i="20"/>
  <c r="V24" i="20"/>
  <c r="V19" i="20"/>
  <c r="T29" i="20"/>
  <c r="T13" i="20"/>
  <c r="T23" i="20"/>
  <c r="V28" i="20"/>
  <c r="T24" i="20"/>
  <c r="V16" i="20"/>
  <c r="V35" i="20"/>
  <c r="V14" i="20"/>
  <c r="V34" i="20"/>
  <c r="V22" i="20"/>
  <c r="V31" i="20"/>
  <c r="V11" i="20"/>
  <c r="V25" i="20"/>
  <c r="V20" i="20"/>
  <c r="V37" i="20"/>
  <c r="V26" i="20"/>
  <c r="V13" i="20"/>
  <c r="V36" i="20"/>
  <c r="T26" i="20"/>
  <c r="V21" i="20"/>
  <c r="V23" i="20"/>
  <c r="V12" i="20"/>
  <c r="V33" i="20"/>
  <c r="T11" i="20"/>
  <c r="T35" i="20"/>
  <c r="T21" i="20"/>
  <c r="T22" i="20"/>
  <c r="T32" i="20"/>
  <c r="V18" i="20"/>
  <c r="T28" i="20"/>
  <c r="T34" i="20"/>
  <c r="T27" i="20"/>
  <c r="T19" i="20"/>
  <c r="T16" i="20"/>
  <c r="T30" i="20"/>
  <c r="T15" i="20"/>
  <c r="V29" i="20"/>
  <c r="T12" i="20"/>
  <c r="T36" i="20"/>
  <c r="T33" i="20"/>
  <c r="T31" i="20"/>
  <c r="T20" i="20"/>
  <c r="T25" i="20"/>
  <c r="V27" i="20"/>
  <c r="V30" i="20"/>
  <c r="V15" i="20"/>
  <c r="T18" i="20"/>
  <c r="T14" i="20"/>
  <c r="V32" i="20"/>
  <c r="BI25" i="9"/>
  <c r="BJ24" i="9"/>
  <c r="DA24" i="9" s="1"/>
  <c r="GE71" i="9"/>
  <c r="EW28" i="9"/>
  <c r="EX27" i="9"/>
  <c r="A50" i="9"/>
  <c r="HF50" i="9" s="1"/>
  <c r="B51" i="9"/>
  <c r="A49" i="20"/>
  <c r="V33" i="32"/>
  <c r="E49" i="9"/>
  <c r="HI60" i="9"/>
  <c r="HL60" i="9"/>
  <c r="GA60" i="9"/>
  <c r="HF60" i="9"/>
  <c r="HQ60" i="9"/>
  <c r="HC60" i="9"/>
  <c r="BD41" i="9"/>
  <c r="BG41" i="9" s="1"/>
  <c r="CZ41" i="9" s="1"/>
  <c r="BG40" i="9"/>
  <c r="CZ40" i="9" s="1"/>
  <c r="FV29" i="9"/>
  <c r="HL39" i="9"/>
  <c r="HC39" i="9"/>
  <c r="V23" i="32"/>
  <c r="A39" i="20"/>
  <c r="HI39" i="9"/>
  <c r="HF39" i="9"/>
  <c r="HQ39" i="9"/>
  <c r="E39" i="9"/>
  <c r="GA39" i="9"/>
  <c r="G38" i="20"/>
  <c r="K38" i="20" s="1"/>
  <c r="I38" i="20"/>
  <c r="H38" i="20"/>
  <c r="AB22" i="32"/>
  <c r="AD22" i="32"/>
  <c r="AL22" i="32" s="1"/>
  <c r="A40" i="9"/>
  <c r="B41" i="9"/>
  <c r="GR26" i="9"/>
  <c r="GS25" i="9"/>
  <c r="BI40" i="9"/>
  <c r="BJ39" i="9"/>
  <c r="DA39" i="9" s="1"/>
  <c r="AG5" i="32"/>
  <c r="AJ5" i="32" s="1"/>
  <c r="C6" i="32"/>
  <c r="GH27" i="9"/>
  <c r="GG28" i="9"/>
  <c r="BD48" i="9"/>
  <c r="BG48" i="9" s="1"/>
  <c r="BG47" i="9"/>
  <c r="B69" i="9"/>
  <c r="BD23" i="9"/>
  <c r="BG22" i="9"/>
  <c r="CZ22" i="9" s="1"/>
  <c r="IS40" i="9"/>
  <c r="FC27" i="9"/>
  <c r="FB28" i="9"/>
  <c r="BJ50" i="9"/>
  <c r="BI51" i="9"/>
  <c r="GK43" i="9"/>
  <c r="IU29" i="9"/>
  <c r="IV28" i="9"/>
  <c r="ET37" i="9"/>
  <c r="GL31" i="9"/>
  <c r="EU32" i="9"/>
  <c r="GN27" i="9" l="1"/>
  <c r="GJ28" i="9"/>
  <c r="IQ5" i="9"/>
  <c r="IQ8" i="9" s="1"/>
  <c r="GR52" i="9"/>
  <c r="GS51" i="9"/>
  <c r="GS39" i="9"/>
  <c r="GR40" i="9"/>
  <c r="CH8" i="9"/>
  <c r="CT3" i="9"/>
  <c r="CT8" i="9" s="1"/>
  <c r="CD3" i="9"/>
  <c r="CM3" i="9"/>
  <c r="CM8" i="9" s="1"/>
  <c r="DP8" i="9"/>
  <c r="DQ3" i="9"/>
  <c r="EP92" i="9"/>
  <c r="EP93" i="9" s="1"/>
  <c r="HQ50" i="9"/>
  <c r="HL50" i="9"/>
  <c r="HC50" i="9"/>
  <c r="C64" i="9"/>
  <c r="A63" i="9"/>
  <c r="V46" i="32"/>
  <c r="A62" i="20"/>
  <c r="E62" i="9"/>
  <c r="L38" i="20"/>
  <c r="O38" i="20" s="1"/>
  <c r="S38" i="20"/>
  <c r="T38" i="20" s="1"/>
  <c r="M38" i="20"/>
  <c r="P38" i="20" s="1"/>
  <c r="U38" i="20"/>
  <c r="V38" i="20" s="1"/>
  <c r="BI26" i="9"/>
  <c r="BJ25" i="9"/>
  <c r="DA25" i="9" s="1"/>
  <c r="GA50" i="9"/>
  <c r="HI50" i="9"/>
  <c r="EW29" i="9"/>
  <c r="EX28" i="9"/>
  <c r="GE72" i="9"/>
  <c r="A51" i="9"/>
  <c r="HQ51" i="9" s="1"/>
  <c r="B52" i="9"/>
  <c r="E50" i="9"/>
  <c r="HQ61" i="9"/>
  <c r="V34" i="32"/>
  <c r="HI61" i="9"/>
  <c r="GA61" i="9"/>
  <c r="HF61" i="9"/>
  <c r="A50" i="20"/>
  <c r="HC61" i="9"/>
  <c r="HL61" i="9"/>
  <c r="FV30" i="9"/>
  <c r="FV31" i="9"/>
  <c r="HF40" i="9"/>
  <c r="HQ40" i="9"/>
  <c r="HI40" i="9"/>
  <c r="GA40" i="9"/>
  <c r="HL40" i="9"/>
  <c r="HC40" i="9"/>
  <c r="V24" i="32"/>
  <c r="E40" i="9"/>
  <c r="A40" i="20"/>
  <c r="I39" i="20"/>
  <c r="G39" i="20"/>
  <c r="K39" i="20" s="1"/>
  <c r="H39" i="20"/>
  <c r="A41" i="9"/>
  <c r="B42" i="9"/>
  <c r="AB23" i="32"/>
  <c r="AD23" i="32"/>
  <c r="AC23" i="32"/>
  <c r="CZ48" i="9"/>
  <c r="GR27" i="9"/>
  <c r="GS26" i="9"/>
  <c r="CZ47" i="9"/>
  <c r="GH28" i="9"/>
  <c r="GG29" i="9"/>
  <c r="BI41" i="9"/>
  <c r="BJ40" i="9"/>
  <c r="DA40" i="9" s="1"/>
  <c r="DA50" i="9"/>
  <c r="BG23" i="9"/>
  <c r="CZ23" i="9" s="1"/>
  <c r="BD24" i="9"/>
  <c r="BG24" i="9" s="1"/>
  <c r="CZ24" i="9" s="1"/>
  <c r="GK44" i="9"/>
  <c r="FB29" i="9"/>
  <c r="FC28" i="9"/>
  <c r="GL32" i="9"/>
  <c r="ET38" i="9"/>
  <c r="IS41" i="9"/>
  <c r="ET19" i="9"/>
  <c r="IU30" i="9"/>
  <c r="IV29" i="9"/>
  <c r="EU33" i="9"/>
  <c r="BJ51" i="9"/>
  <c r="BI52" i="9"/>
  <c r="IR5" i="9" l="1"/>
  <c r="IR8" i="9" s="1"/>
  <c r="GN28" i="9"/>
  <c r="GJ29" i="9"/>
  <c r="GS40" i="9"/>
  <c r="GR41" i="9"/>
  <c r="GS52" i="9"/>
  <c r="GR53" i="9"/>
  <c r="CD8" i="9"/>
  <c r="CE3" i="9"/>
  <c r="CS3" i="9"/>
  <c r="CS8" i="9" s="1"/>
  <c r="CU3" i="9"/>
  <c r="CU8" i="9" s="1"/>
  <c r="CN3" i="9"/>
  <c r="CN8" i="9" s="1"/>
  <c r="DQ8" i="9"/>
  <c r="DR3" i="9"/>
  <c r="A63" i="20"/>
  <c r="E63" i="9"/>
  <c r="V47" i="32"/>
  <c r="C65" i="9"/>
  <c r="A64" i="9"/>
  <c r="L39" i="20"/>
  <c r="O39" i="20" s="1"/>
  <c r="S39" i="20"/>
  <c r="T39" i="20" s="1"/>
  <c r="M39" i="20"/>
  <c r="P39" i="20" s="1"/>
  <c r="U39" i="20"/>
  <c r="V39" i="20" s="1"/>
  <c r="HI51" i="9"/>
  <c r="BJ26" i="9"/>
  <c r="DA26" i="9" s="1"/>
  <c r="BI27" i="9"/>
  <c r="HF51" i="9"/>
  <c r="GA51" i="9"/>
  <c r="HC51" i="9"/>
  <c r="HL51" i="9"/>
  <c r="EW30" i="9"/>
  <c r="EX29" i="9"/>
  <c r="GG19" i="9"/>
  <c r="GE73" i="9"/>
  <c r="B53" i="9"/>
  <c r="A52" i="9"/>
  <c r="HC52" i="9" s="1"/>
  <c r="E51" i="9"/>
  <c r="V35" i="32"/>
  <c r="HF62" i="9"/>
  <c r="A51" i="20"/>
  <c r="HL62" i="9"/>
  <c r="GA62" i="9"/>
  <c r="HC62" i="9"/>
  <c r="HQ62" i="9"/>
  <c r="HI62" i="9"/>
  <c r="A42" i="9"/>
  <c r="B43" i="9"/>
  <c r="V25" i="32"/>
  <c r="HL41" i="9"/>
  <c r="HI41" i="9"/>
  <c r="HF41" i="9"/>
  <c r="HQ41" i="9"/>
  <c r="A41" i="20"/>
  <c r="HC41" i="9"/>
  <c r="GA41" i="9"/>
  <c r="E41" i="9"/>
  <c r="AL23" i="32"/>
  <c r="H40" i="20"/>
  <c r="G40" i="20"/>
  <c r="K40" i="20" s="1"/>
  <c r="I40" i="20"/>
  <c r="AB24" i="32"/>
  <c r="AD24" i="32"/>
  <c r="AC24" i="32"/>
  <c r="BJ41" i="9"/>
  <c r="DA41" i="9" s="1"/>
  <c r="BI42" i="9"/>
  <c r="GH29" i="9"/>
  <c r="GG30" i="9"/>
  <c r="BI19" i="9"/>
  <c r="BJ19" i="9" s="1"/>
  <c r="DA19" i="9" s="1"/>
  <c r="GR28" i="9"/>
  <c r="GS27" i="9"/>
  <c r="IS5" i="9"/>
  <c r="IS8" i="9" s="1"/>
  <c r="BI53" i="9"/>
  <c r="BJ52" i="9"/>
  <c r="IU31" i="9"/>
  <c r="IV30" i="9"/>
  <c r="IS42" i="9"/>
  <c r="GL33" i="9"/>
  <c r="GK45" i="9"/>
  <c r="DA51" i="9"/>
  <c r="FB30" i="9"/>
  <c r="FC29" i="9"/>
  <c r="IS19" i="9"/>
  <c r="ET20" i="9"/>
  <c r="ET39" i="9"/>
  <c r="GN29" i="9" l="1"/>
  <c r="GJ30" i="9"/>
  <c r="GR54" i="9"/>
  <c r="GS53" i="9"/>
  <c r="GS41" i="9"/>
  <c r="GR42" i="9"/>
  <c r="GA52" i="9"/>
  <c r="CE8" i="9"/>
  <c r="CV3" i="9"/>
  <c r="CV8" i="9" s="1"/>
  <c r="CF3" i="9"/>
  <c r="CO3" i="9"/>
  <c r="CO8" i="9" s="1"/>
  <c r="DR8" i="9"/>
  <c r="DS3" i="9"/>
  <c r="HF52" i="9"/>
  <c r="A64" i="20"/>
  <c r="E64" i="9"/>
  <c r="V48" i="32"/>
  <c r="HQ52" i="9"/>
  <c r="C66" i="9"/>
  <c r="A65" i="9"/>
  <c r="HL52" i="9"/>
  <c r="L40" i="20"/>
  <c r="O40" i="20" s="1"/>
  <c r="S40" i="20"/>
  <c r="T40" i="20" s="1"/>
  <c r="M40" i="20"/>
  <c r="P40" i="20" s="1"/>
  <c r="U40" i="20"/>
  <c r="V40" i="20" s="1"/>
  <c r="BJ27" i="9"/>
  <c r="DA27" i="9" s="1"/>
  <c r="BI28" i="9"/>
  <c r="HI52" i="9"/>
  <c r="GE74" i="9"/>
  <c r="GE75" i="9" s="1"/>
  <c r="EW31" i="9"/>
  <c r="EX30" i="9"/>
  <c r="GG20" i="9"/>
  <c r="GH19" i="9"/>
  <c r="A52" i="20"/>
  <c r="E52" i="9"/>
  <c r="HQ63" i="9"/>
  <c r="HF63" i="9"/>
  <c r="V36" i="32"/>
  <c r="GA63" i="9"/>
  <c r="HI63" i="9"/>
  <c r="HL63" i="9"/>
  <c r="HC63" i="9"/>
  <c r="A53" i="9"/>
  <c r="HQ53" i="9" s="1"/>
  <c r="B54" i="9"/>
  <c r="I3" i="20"/>
  <c r="M3" i="20" s="1"/>
  <c r="P3" i="20" s="1"/>
  <c r="I8" i="20"/>
  <c r="M8" i="20" s="1"/>
  <c r="P8" i="20" s="1"/>
  <c r="AL24" i="32"/>
  <c r="AB25" i="32"/>
  <c r="AD25" i="32"/>
  <c r="AC25" i="32"/>
  <c r="A43" i="9"/>
  <c r="B44" i="9"/>
  <c r="GA42" i="9"/>
  <c r="E42" i="9"/>
  <c r="HQ42" i="9"/>
  <c r="HL42" i="9"/>
  <c r="HI42" i="9"/>
  <c r="V26" i="32"/>
  <c r="HF42" i="9"/>
  <c r="HC42" i="9"/>
  <c r="A42" i="20"/>
  <c r="H41" i="20"/>
  <c r="G41" i="20"/>
  <c r="K41" i="20" s="1"/>
  <c r="I41" i="20"/>
  <c r="GR29" i="9"/>
  <c r="GS28" i="9"/>
  <c r="GH30" i="9"/>
  <c r="GG31" i="9"/>
  <c r="BJ42" i="9"/>
  <c r="DA42" i="9" s="1"/>
  <c r="BI43" i="9"/>
  <c r="FB19" i="9"/>
  <c r="BJ53" i="9"/>
  <c r="BI54" i="9"/>
  <c r="ET21" i="9"/>
  <c r="FB31" i="9"/>
  <c r="FC30" i="9"/>
  <c r="IU32" i="9"/>
  <c r="IV31" i="9"/>
  <c r="IT5" i="9"/>
  <c r="IT8" i="9" s="1"/>
  <c r="ET40" i="9"/>
  <c r="EU35" i="9"/>
  <c r="EX34" i="9"/>
  <c r="IS20" i="9"/>
  <c r="IV19" i="9"/>
  <c r="IS43" i="9"/>
  <c r="DA52" i="9"/>
  <c r="GN30" i="9" l="1"/>
  <c r="GJ31" i="9"/>
  <c r="GS42" i="9"/>
  <c r="GR43" i="9"/>
  <c r="GS54" i="9"/>
  <c r="GR55" i="9"/>
  <c r="DS8" i="9"/>
  <c r="DT3" i="9"/>
  <c r="CF8" i="9"/>
  <c r="CG3" i="9"/>
  <c r="DA3" i="9"/>
  <c r="CW3" i="9"/>
  <c r="CW8" i="9" s="1"/>
  <c r="HI53" i="9"/>
  <c r="HC53" i="9"/>
  <c r="A65" i="20"/>
  <c r="E65" i="9"/>
  <c r="V49" i="32"/>
  <c r="HL53" i="9"/>
  <c r="C67" i="9"/>
  <c r="A66" i="9"/>
  <c r="M41" i="20"/>
  <c r="P41" i="20" s="1"/>
  <c r="U41" i="20"/>
  <c r="V41" i="20" s="1"/>
  <c r="L41" i="20"/>
  <c r="O41" i="20" s="1"/>
  <c r="S41" i="20"/>
  <c r="T41" i="20" s="1"/>
  <c r="GE76" i="9"/>
  <c r="BI29" i="9"/>
  <c r="BJ28" i="9"/>
  <c r="DA28" i="9" s="1"/>
  <c r="HF53" i="9"/>
  <c r="GA53" i="9"/>
  <c r="GG21" i="9"/>
  <c r="GH21" i="9" s="1"/>
  <c r="GH20" i="9"/>
  <c r="EW32" i="9"/>
  <c r="EX31" i="9"/>
  <c r="A54" i="9"/>
  <c r="HF54" i="9" s="1"/>
  <c r="B55" i="9"/>
  <c r="E53" i="9"/>
  <c r="HF64" i="9"/>
  <c r="HI64" i="9"/>
  <c r="HQ64" i="9"/>
  <c r="HL64" i="9"/>
  <c r="GA64" i="9"/>
  <c r="A53" i="20"/>
  <c r="HC64" i="9"/>
  <c r="V37" i="32"/>
  <c r="AD26" i="32"/>
  <c r="AB26" i="32"/>
  <c r="AC26" i="32"/>
  <c r="B45" i="9"/>
  <c r="A45" i="9" s="1"/>
  <c r="A44" i="9"/>
  <c r="AL25" i="32"/>
  <c r="I42" i="20"/>
  <c r="H42" i="20"/>
  <c r="G42" i="20"/>
  <c r="K42" i="20" s="1"/>
  <c r="HC43" i="9"/>
  <c r="HQ43" i="9"/>
  <c r="HL43" i="9"/>
  <c r="E43" i="9"/>
  <c r="GA43" i="9"/>
  <c r="HI43" i="9"/>
  <c r="A43" i="20"/>
  <c r="HF43" i="9"/>
  <c r="V27" i="32"/>
  <c r="FB20" i="9"/>
  <c r="FC19" i="9"/>
  <c r="GH31" i="9"/>
  <c r="GG32" i="9"/>
  <c r="BI44" i="9"/>
  <c r="BJ43" i="9"/>
  <c r="DA43" i="9" s="1"/>
  <c r="GK19" i="9"/>
  <c r="GN19" i="9" s="1"/>
  <c r="GS29" i="9"/>
  <c r="GR30" i="9"/>
  <c r="IU33" i="9"/>
  <c r="IV32" i="9"/>
  <c r="IS21" i="9"/>
  <c r="IV21" i="9" s="1"/>
  <c r="IV20" i="9"/>
  <c r="EU19" i="9"/>
  <c r="EU36" i="9"/>
  <c r="DA53" i="9"/>
  <c r="IU5" i="9"/>
  <c r="IU8" i="9" s="1"/>
  <c r="FC31" i="9"/>
  <c r="FB32" i="9"/>
  <c r="GL35" i="9"/>
  <c r="ET41" i="9"/>
  <c r="IS44" i="9"/>
  <c r="GK47" i="9"/>
  <c r="BJ54" i="9"/>
  <c r="BI55" i="9"/>
  <c r="GN31" i="9" l="1"/>
  <c r="GJ32" i="9"/>
  <c r="GS55" i="9"/>
  <c r="GR56" i="9"/>
  <c r="GS43" i="9"/>
  <c r="GR44" i="9"/>
  <c r="G51" i="20"/>
  <c r="K51" i="20" s="1"/>
  <c r="O36" i="32"/>
  <c r="H46" i="20"/>
  <c r="L46" i="20" s="1"/>
  <c r="AC31" i="32"/>
  <c r="AD30" i="32"/>
  <c r="AH25" i="32" s="1"/>
  <c r="DT8" i="9"/>
  <c r="EB3" i="9"/>
  <c r="G49" i="20"/>
  <c r="K49" i="20" s="1"/>
  <c r="AD35" i="32"/>
  <c r="O41" i="32"/>
  <c r="N44" i="32"/>
  <c r="DA8" i="9"/>
  <c r="DB3" i="9"/>
  <c r="AC34" i="32"/>
  <c r="AB32" i="32"/>
  <c r="H51" i="20"/>
  <c r="L51" i="20" s="1"/>
  <c r="N42" i="32"/>
  <c r="CG8" i="9"/>
  <c r="CX3" i="9"/>
  <c r="CX8" i="9" s="1"/>
  <c r="O39" i="32"/>
  <c r="G50" i="20"/>
  <c r="K50" i="20" s="1"/>
  <c r="O43" i="32"/>
  <c r="N46" i="32"/>
  <c r="AB33" i="32"/>
  <c r="H49" i="20"/>
  <c r="L49" i="20" s="1"/>
  <c r="I49" i="20"/>
  <c r="O34" i="32"/>
  <c r="N43" i="32"/>
  <c r="AD36" i="32"/>
  <c r="AD33" i="32"/>
  <c r="AC33" i="32"/>
  <c r="O49" i="32"/>
  <c r="AD34" i="32"/>
  <c r="I51" i="20"/>
  <c r="M51" i="20" s="1"/>
  <c r="AB35" i="32"/>
  <c r="AB31" i="32"/>
  <c r="N38" i="32"/>
  <c r="AC30" i="32"/>
  <c r="H48" i="20"/>
  <c r="L48" i="20" s="1"/>
  <c r="AD32" i="32"/>
  <c r="N39" i="32"/>
  <c r="O47" i="32"/>
  <c r="AC32" i="32"/>
  <c r="N34" i="32"/>
  <c r="N47" i="32"/>
  <c r="HC54" i="9"/>
  <c r="GA54" i="9"/>
  <c r="V50" i="32"/>
  <c r="E66" i="9"/>
  <c r="A66" i="20"/>
  <c r="HI54" i="9"/>
  <c r="HL54" i="9"/>
  <c r="C68" i="9"/>
  <c r="A67" i="9"/>
  <c r="HQ54" i="9"/>
  <c r="M42" i="20"/>
  <c r="P42" i="20" s="1"/>
  <c r="U42" i="20"/>
  <c r="V42" i="20" s="1"/>
  <c r="L42" i="20"/>
  <c r="O42" i="20" s="1"/>
  <c r="S42" i="20"/>
  <c r="T42" i="20" s="1"/>
  <c r="BJ29" i="9"/>
  <c r="DA29" i="9" s="1"/>
  <c r="BI30" i="9"/>
  <c r="GE77" i="9"/>
  <c r="N41" i="32"/>
  <c r="EW33" i="9"/>
  <c r="EX32" i="9"/>
  <c r="AC36" i="32"/>
  <c r="B56" i="9"/>
  <c r="A55" i="9"/>
  <c r="GA65" i="9"/>
  <c r="HL65" i="9"/>
  <c r="A54" i="20"/>
  <c r="HI65" i="9"/>
  <c r="E54" i="9"/>
  <c r="HF65" i="9"/>
  <c r="HC65" i="9"/>
  <c r="HQ65" i="9"/>
  <c r="V38" i="32"/>
  <c r="H52" i="20"/>
  <c r="AB36" i="32"/>
  <c r="I50" i="20"/>
  <c r="O35" i="32"/>
  <c r="AB30" i="32"/>
  <c r="AF25" i="32" s="1"/>
  <c r="G46" i="20"/>
  <c r="K46" i="20" s="1"/>
  <c r="N35" i="32"/>
  <c r="G52" i="20"/>
  <c r="K52" i="20" s="1"/>
  <c r="O45" i="32"/>
  <c r="O42" i="32"/>
  <c r="AD31" i="32"/>
  <c r="I52" i="20"/>
  <c r="AC27" i="32"/>
  <c r="AD27" i="32"/>
  <c r="AB27" i="32"/>
  <c r="E44" i="9"/>
  <c r="HL44" i="9"/>
  <c r="HQ44" i="9"/>
  <c r="HF44" i="9"/>
  <c r="HC44" i="9"/>
  <c r="HI44" i="9"/>
  <c r="GA44" i="9"/>
  <c r="V28" i="32"/>
  <c r="A44" i="20"/>
  <c r="O48" i="32"/>
  <c r="AB34" i="32"/>
  <c r="H47" i="20"/>
  <c r="N45" i="32"/>
  <c r="H53" i="20"/>
  <c r="AB37" i="32"/>
  <c r="G47" i="20"/>
  <c r="K47" i="20" s="1"/>
  <c r="I46" i="20"/>
  <c r="N48" i="32"/>
  <c r="AC35" i="32"/>
  <c r="G53" i="20"/>
  <c r="K53" i="20" s="1"/>
  <c r="O46" i="32"/>
  <c r="N36" i="32"/>
  <c r="I47" i="20"/>
  <c r="AD37" i="32"/>
  <c r="H50" i="20"/>
  <c r="O38" i="32"/>
  <c r="O44" i="32"/>
  <c r="G48" i="20"/>
  <c r="K48" i="20" s="1"/>
  <c r="AC37" i="32"/>
  <c r="N49" i="32"/>
  <c r="I53" i="20"/>
  <c r="I43" i="20"/>
  <c r="H43" i="20"/>
  <c r="G43" i="20"/>
  <c r="K43" i="20" s="1"/>
  <c r="I48" i="20"/>
  <c r="HF45" i="9"/>
  <c r="V29" i="32"/>
  <c r="HL45" i="9"/>
  <c r="GA45" i="9"/>
  <c r="HI45" i="9"/>
  <c r="E45" i="9"/>
  <c r="A45" i="20"/>
  <c r="HC45" i="9"/>
  <c r="HQ45" i="9"/>
  <c r="AL26" i="32"/>
  <c r="GH32" i="9"/>
  <c r="GG33" i="9"/>
  <c r="GK20" i="9"/>
  <c r="GN20" i="9" s="1"/>
  <c r="GS30" i="9"/>
  <c r="GR31" i="9"/>
  <c r="BI45" i="9"/>
  <c r="BJ45" i="9" s="1"/>
  <c r="DA45" i="9" s="1"/>
  <c r="BJ44" i="9"/>
  <c r="DA44" i="9" s="1"/>
  <c r="FC20" i="9"/>
  <c r="FB21" i="9"/>
  <c r="FC21" i="9" s="1"/>
  <c r="GK48" i="9"/>
  <c r="EU20" i="9"/>
  <c r="EX19" i="9"/>
  <c r="IV33" i="9"/>
  <c r="DA54" i="9"/>
  <c r="GL36" i="9"/>
  <c r="FB33" i="9"/>
  <c r="FC32" i="9"/>
  <c r="EU37" i="9"/>
  <c r="IS45" i="9"/>
  <c r="ET42" i="9"/>
  <c r="BI56" i="9"/>
  <c r="BJ55" i="9"/>
  <c r="GN32" i="9" l="1"/>
  <c r="GJ33" i="9"/>
  <c r="GN33" i="9" s="1"/>
  <c r="HL55" i="9"/>
  <c r="GS44" i="9"/>
  <c r="GR45" i="9"/>
  <c r="GS45" i="9" s="1"/>
  <c r="GS56" i="9"/>
  <c r="GR57" i="9"/>
  <c r="GS57" i="9" s="1"/>
  <c r="AK25" i="32"/>
  <c r="AH33" i="32"/>
  <c r="P39" i="32"/>
  <c r="GA55" i="9"/>
  <c r="AH36" i="32"/>
  <c r="AH17" i="32"/>
  <c r="AH18" i="32"/>
  <c r="AH14" i="32"/>
  <c r="AH13" i="32"/>
  <c r="AH30" i="32"/>
  <c r="AH19" i="32"/>
  <c r="AH23" i="32"/>
  <c r="AH16" i="32"/>
  <c r="AG32" i="32"/>
  <c r="U49" i="20"/>
  <c r="V49" i="20" s="1"/>
  <c r="AH35" i="32"/>
  <c r="P51" i="20"/>
  <c r="AH34" i="32"/>
  <c r="AH10" i="32"/>
  <c r="AH22" i="32"/>
  <c r="AH11" i="32"/>
  <c r="AH20" i="32"/>
  <c r="AH26" i="32"/>
  <c r="P36" i="32"/>
  <c r="AH24" i="32"/>
  <c r="AH21" i="32"/>
  <c r="AH15" i="32"/>
  <c r="AH12" i="32"/>
  <c r="O51" i="20"/>
  <c r="AG34" i="32"/>
  <c r="P41" i="32"/>
  <c r="AL31" i="32"/>
  <c r="S51" i="20"/>
  <c r="T51" i="20" s="1"/>
  <c r="O49" i="20"/>
  <c r="P42" i="32"/>
  <c r="P44" i="32"/>
  <c r="EB8" i="9"/>
  <c r="EC3" i="9"/>
  <c r="DB8" i="9"/>
  <c r="DC3" i="9"/>
  <c r="M49" i="20"/>
  <c r="P49" i="20" s="1"/>
  <c r="AG22" i="32"/>
  <c r="AL34" i="32"/>
  <c r="AG14" i="32"/>
  <c r="AG33" i="32"/>
  <c r="AG37" i="32"/>
  <c r="AG11" i="32"/>
  <c r="AG26" i="32"/>
  <c r="AG16" i="32"/>
  <c r="AG10" i="32"/>
  <c r="AG36" i="32"/>
  <c r="AL30" i="32"/>
  <c r="AG13" i="32"/>
  <c r="AL33" i="32"/>
  <c r="P46" i="32"/>
  <c r="AG35" i="32"/>
  <c r="AG24" i="32"/>
  <c r="AG21" i="32"/>
  <c r="P43" i="32"/>
  <c r="P38" i="32"/>
  <c r="AG23" i="32"/>
  <c r="AG12" i="32"/>
  <c r="AG19" i="32"/>
  <c r="AG15" i="32"/>
  <c r="U51" i="20"/>
  <c r="V51" i="20" s="1"/>
  <c r="AG31" i="32"/>
  <c r="AG25" i="32"/>
  <c r="AJ25" i="32" s="1"/>
  <c r="AG27" i="32"/>
  <c r="AG30" i="32"/>
  <c r="AG20" i="32"/>
  <c r="AG17" i="32"/>
  <c r="AG18" i="32"/>
  <c r="AL32" i="32"/>
  <c r="P47" i="32"/>
  <c r="P34" i="32"/>
  <c r="P49" i="32"/>
  <c r="S49" i="20"/>
  <c r="T49" i="20" s="1"/>
  <c r="AH32" i="32"/>
  <c r="O48" i="20"/>
  <c r="HC55" i="9"/>
  <c r="E67" i="9"/>
  <c r="V51" i="32"/>
  <c r="A67" i="20"/>
  <c r="HI55" i="9"/>
  <c r="HF55" i="9"/>
  <c r="C69" i="9"/>
  <c r="A68" i="9"/>
  <c r="HQ55" i="9"/>
  <c r="GJ35" i="9"/>
  <c r="GN35" i="9" s="1"/>
  <c r="O46" i="20"/>
  <c r="S46" i="20"/>
  <c r="T46" i="20" s="1"/>
  <c r="S48" i="20"/>
  <c r="T48" i="20" s="1"/>
  <c r="M48" i="20"/>
  <c r="P48" i="20" s="1"/>
  <c r="U48" i="20"/>
  <c r="V48" i="20" s="1"/>
  <c r="L53" i="20"/>
  <c r="O53" i="20" s="1"/>
  <c r="S53" i="20"/>
  <c r="T53" i="20" s="1"/>
  <c r="M53" i="20"/>
  <c r="P53" i="20" s="1"/>
  <c r="U53" i="20"/>
  <c r="V53" i="20" s="1"/>
  <c r="M46" i="20"/>
  <c r="P46" i="20" s="1"/>
  <c r="U46" i="20"/>
  <c r="V46" i="20" s="1"/>
  <c r="M47" i="20"/>
  <c r="P47" i="20" s="1"/>
  <c r="U47" i="20"/>
  <c r="V47" i="20" s="1"/>
  <c r="L47" i="20"/>
  <c r="O47" i="20" s="1"/>
  <c r="S47" i="20"/>
  <c r="T47" i="20" s="1"/>
  <c r="M50" i="20"/>
  <c r="P50" i="20" s="1"/>
  <c r="U50" i="20"/>
  <c r="V50" i="20" s="1"/>
  <c r="M43" i="20"/>
  <c r="P43" i="20" s="1"/>
  <c r="U43" i="20"/>
  <c r="V43" i="20" s="1"/>
  <c r="L43" i="20"/>
  <c r="O43" i="20" s="1"/>
  <c r="S43" i="20"/>
  <c r="T43" i="20" s="1"/>
  <c r="L50" i="20"/>
  <c r="O50" i="20" s="1"/>
  <c r="S50" i="20"/>
  <c r="T50" i="20" s="1"/>
  <c r="M52" i="20"/>
  <c r="P52" i="20" s="1"/>
  <c r="U52" i="20"/>
  <c r="V52" i="20" s="1"/>
  <c r="L52" i="20"/>
  <c r="O52" i="20" s="1"/>
  <c r="S52" i="20"/>
  <c r="T52" i="20" s="1"/>
  <c r="BJ30" i="9"/>
  <c r="DA30" i="9" s="1"/>
  <c r="BI31" i="9"/>
  <c r="GE78" i="9"/>
  <c r="AL36" i="32"/>
  <c r="EW35" i="9"/>
  <c r="EX33" i="9"/>
  <c r="HI66" i="9"/>
  <c r="E55" i="9"/>
  <c r="HF66" i="9"/>
  <c r="HQ66" i="9"/>
  <c r="V39" i="32"/>
  <c r="HL66" i="9"/>
  <c r="GA66" i="9"/>
  <c r="A55" i="20"/>
  <c r="HC66" i="9"/>
  <c r="H54" i="20"/>
  <c r="I54" i="20"/>
  <c r="G54" i="20"/>
  <c r="K54" i="20" s="1"/>
  <c r="B57" i="9"/>
  <c r="A57" i="9" s="1"/>
  <c r="A56" i="9"/>
  <c r="AC38" i="32"/>
  <c r="AG38" i="32" s="1"/>
  <c r="AB38" i="32"/>
  <c r="AF38" i="32" s="1"/>
  <c r="AD38" i="32"/>
  <c r="AF20" i="32"/>
  <c r="AF21" i="32"/>
  <c r="AF26" i="32"/>
  <c r="AF24" i="32"/>
  <c r="AF12" i="32"/>
  <c r="AH31" i="32"/>
  <c r="P45" i="32"/>
  <c r="AF36" i="32"/>
  <c r="AF15" i="32"/>
  <c r="AF22" i="32"/>
  <c r="AF30" i="32"/>
  <c r="AF16" i="32"/>
  <c r="AF13" i="32"/>
  <c r="AF14" i="32"/>
  <c r="AF31" i="32"/>
  <c r="AF23" i="32"/>
  <c r="AF10" i="32"/>
  <c r="AF19" i="32"/>
  <c r="AF18" i="32"/>
  <c r="AF11" i="32"/>
  <c r="AF17" i="32"/>
  <c r="P35" i="32"/>
  <c r="AF34" i="32"/>
  <c r="AF32" i="32"/>
  <c r="AF37" i="32"/>
  <c r="AF35" i="32"/>
  <c r="AF33" i="32"/>
  <c r="AF27" i="32"/>
  <c r="G45" i="20"/>
  <c r="K45" i="20" s="1"/>
  <c r="H45" i="20"/>
  <c r="I45" i="20"/>
  <c r="G44" i="20"/>
  <c r="K44" i="20" s="1"/>
  <c r="H44" i="20"/>
  <c r="I44" i="20"/>
  <c r="AD29" i="32"/>
  <c r="AB29" i="32"/>
  <c r="AF29" i="32" s="1"/>
  <c r="AC29" i="32"/>
  <c r="AG29" i="32" s="1"/>
  <c r="AD28" i="32"/>
  <c r="AC28" i="32"/>
  <c r="AG28" i="32" s="1"/>
  <c r="AB28" i="32"/>
  <c r="AF28" i="32" s="1"/>
  <c r="AL37" i="32"/>
  <c r="AH37" i="32"/>
  <c r="P48" i="32"/>
  <c r="AL35" i="32"/>
  <c r="AL27" i="32"/>
  <c r="AH27" i="32"/>
  <c r="GR32" i="9"/>
  <c r="GS31" i="9"/>
  <c r="GK21" i="9"/>
  <c r="GN21" i="9" s="1"/>
  <c r="GH33" i="9"/>
  <c r="DA55" i="9"/>
  <c r="FC33" i="9"/>
  <c r="EU21" i="9"/>
  <c r="EX21" i="9" s="1"/>
  <c r="EX20" i="9"/>
  <c r="BI57" i="9"/>
  <c r="BJ56" i="9"/>
  <c r="IU35" i="9"/>
  <c r="IV34" i="9"/>
  <c r="ET43" i="9"/>
  <c r="EU38" i="9"/>
  <c r="GL37" i="9"/>
  <c r="GK49" i="9"/>
  <c r="AK33" i="32" l="1"/>
  <c r="AK16" i="32"/>
  <c r="AK36" i="32"/>
  <c r="AK17" i="32"/>
  <c r="AK14" i="32"/>
  <c r="AK13" i="32"/>
  <c r="AK30" i="32"/>
  <c r="AK18" i="32"/>
  <c r="AK20" i="32"/>
  <c r="AK34" i="32"/>
  <c r="AK11" i="32"/>
  <c r="AK24" i="32"/>
  <c r="AK21" i="32"/>
  <c r="AK10" i="32"/>
  <c r="AK26" i="32"/>
  <c r="DC8" i="9"/>
  <c r="DD3" i="9"/>
  <c r="EC8" i="9"/>
  <c r="DU3" i="9"/>
  <c r="AJ22" i="32"/>
  <c r="AJ19" i="32"/>
  <c r="AJ37" i="32"/>
  <c r="AJ15" i="32"/>
  <c r="AJ27" i="32"/>
  <c r="AJ35" i="32"/>
  <c r="AJ23" i="32"/>
  <c r="AJ12" i="32"/>
  <c r="AK32" i="32"/>
  <c r="E68" i="9"/>
  <c r="A68" i="20"/>
  <c r="G68" i="20" s="1"/>
  <c r="K68" i="20" s="1"/>
  <c r="V52" i="32"/>
  <c r="AC52" i="32" s="1"/>
  <c r="GJ36" i="9"/>
  <c r="GN36" i="9" s="1"/>
  <c r="C70" i="9"/>
  <c r="A69" i="9"/>
  <c r="L44" i="20"/>
  <c r="O44" i="20" s="1"/>
  <c r="S44" i="20"/>
  <c r="T44" i="20" s="1"/>
  <c r="M45" i="20"/>
  <c r="P45" i="20" s="1"/>
  <c r="U45" i="20"/>
  <c r="V45" i="20" s="1"/>
  <c r="L45" i="20"/>
  <c r="O45" i="20" s="1"/>
  <c r="S45" i="20"/>
  <c r="T45" i="20" s="1"/>
  <c r="M54" i="20"/>
  <c r="P54" i="20" s="1"/>
  <c r="U54" i="20"/>
  <c r="V54" i="20" s="1"/>
  <c r="M44" i="20"/>
  <c r="P44" i="20" s="1"/>
  <c r="U44" i="20"/>
  <c r="V44" i="20" s="1"/>
  <c r="L54" i="20"/>
  <c r="O54" i="20" s="1"/>
  <c r="S54" i="20"/>
  <c r="T54" i="20" s="1"/>
  <c r="GE79" i="9"/>
  <c r="GE80" i="9" s="1"/>
  <c r="BI32" i="9"/>
  <c r="BJ31" i="9"/>
  <c r="DA31" i="9" s="1"/>
  <c r="G65" i="20"/>
  <c r="K65" i="20" s="1"/>
  <c r="J49" i="32"/>
  <c r="F49" i="32" s="1"/>
  <c r="J44" i="32"/>
  <c r="F44" i="32" s="1"/>
  <c r="AC46" i="32"/>
  <c r="AG46" i="32" s="1"/>
  <c r="H65" i="20"/>
  <c r="G67" i="20"/>
  <c r="K67" i="20" s="1"/>
  <c r="H60" i="20"/>
  <c r="AC45" i="32"/>
  <c r="AG45" i="32" s="1"/>
  <c r="AB46" i="32"/>
  <c r="AF46" i="32" s="1"/>
  <c r="G63" i="20"/>
  <c r="K63" i="20" s="1"/>
  <c r="EW36" i="9"/>
  <c r="EX35" i="9"/>
  <c r="AJ16" i="32"/>
  <c r="AJ38" i="32"/>
  <c r="AK31" i="32"/>
  <c r="AJ20" i="32"/>
  <c r="AL38" i="32"/>
  <c r="AH38" i="32"/>
  <c r="AK38" i="32" s="1"/>
  <c r="G62" i="20"/>
  <c r="K62" i="20" s="1"/>
  <c r="AB43" i="32"/>
  <c r="AF43" i="32" s="1"/>
  <c r="J43" i="32"/>
  <c r="F43" i="32" s="1"/>
  <c r="G66" i="20"/>
  <c r="K66" i="20" s="1"/>
  <c r="I60" i="20"/>
  <c r="AB50" i="32"/>
  <c r="AF50" i="32" s="1"/>
  <c r="I62" i="20"/>
  <c r="HF67" i="9"/>
  <c r="E56" i="9"/>
  <c r="GA67" i="9"/>
  <c r="HI67" i="9"/>
  <c r="HC67" i="9"/>
  <c r="HQ67" i="9"/>
  <c r="HL67" i="9"/>
  <c r="V40" i="32"/>
  <c r="A56" i="20"/>
  <c r="K39" i="32"/>
  <c r="I66" i="20"/>
  <c r="AD44" i="32"/>
  <c r="AD48" i="32"/>
  <c r="J39" i="32"/>
  <c r="F39" i="32" s="1"/>
  <c r="G64" i="20"/>
  <c r="K64" i="20" s="1"/>
  <c r="G59" i="20"/>
  <c r="K59" i="20" s="1"/>
  <c r="H64" i="20"/>
  <c r="K43" i="32"/>
  <c r="K42" i="32"/>
  <c r="I61" i="20"/>
  <c r="H67" i="20"/>
  <c r="HI56" i="9"/>
  <c r="AD51" i="32"/>
  <c r="AC48" i="32"/>
  <c r="AG48" i="32" s="1"/>
  <c r="AC47" i="32"/>
  <c r="AG47" i="32" s="1"/>
  <c r="K41" i="32"/>
  <c r="AB51" i="32"/>
  <c r="AF51" i="32" s="1"/>
  <c r="H58" i="20"/>
  <c r="G60" i="20"/>
  <c r="K60" i="20" s="1"/>
  <c r="AB49" i="32"/>
  <c r="AF49" i="32" s="1"/>
  <c r="AB47" i="32"/>
  <c r="AF47" i="32" s="1"/>
  <c r="K46" i="32"/>
  <c r="I58" i="20"/>
  <c r="I64" i="20"/>
  <c r="HQ56" i="9"/>
  <c r="I59" i="20"/>
  <c r="H59" i="20"/>
  <c r="K48" i="32"/>
  <c r="AB44" i="32"/>
  <c r="AF44" i="32" s="1"/>
  <c r="AC43" i="32"/>
  <c r="AG43" i="32" s="1"/>
  <c r="AD47" i="32"/>
  <c r="AD46" i="32"/>
  <c r="AD42" i="32"/>
  <c r="J34" i="32"/>
  <c r="F34" i="32" s="1"/>
  <c r="K38" i="32"/>
  <c r="G38" i="32" s="1"/>
  <c r="AC51" i="32"/>
  <c r="AD45" i="32"/>
  <c r="I65" i="20"/>
  <c r="HF56" i="9"/>
  <c r="HL56" i="9"/>
  <c r="J46" i="32"/>
  <c r="F46" i="32" s="1"/>
  <c r="G58" i="20"/>
  <c r="K58" i="20" s="1"/>
  <c r="K36" i="32"/>
  <c r="J36" i="32"/>
  <c r="F36" i="32" s="1"/>
  <c r="K35" i="32"/>
  <c r="K45" i="32"/>
  <c r="G45" i="32" s="1"/>
  <c r="AD50" i="32"/>
  <c r="H62" i="20"/>
  <c r="AC42" i="32"/>
  <c r="AG42" i="32" s="1"/>
  <c r="J42" i="32"/>
  <c r="F42" i="32" s="1"/>
  <c r="K49" i="32"/>
  <c r="I63" i="20"/>
  <c r="H66" i="20"/>
  <c r="J41" i="32"/>
  <c r="F41" i="32" s="1"/>
  <c r="AB45" i="32"/>
  <c r="AF45" i="32" s="1"/>
  <c r="K47" i="32"/>
  <c r="K34" i="32"/>
  <c r="GA56" i="9"/>
  <c r="HC56" i="9"/>
  <c r="J47" i="32"/>
  <c r="F47" i="32" s="1"/>
  <c r="H61" i="20"/>
  <c r="AC44" i="32"/>
  <c r="AG44" i="32" s="1"/>
  <c r="I67" i="20"/>
  <c r="AB48" i="32"/>
  <c r="AF48" i="32" s="1"/>
  <c r="AC39" i="32"/>
  <c r="AG39" i="32" s="1"/>
  <c r="AB39" i="32"/>
  <c r="AF39" i="32" s="1"/>
  <c r="AD39" i="32"/>
  <c r="HF57" i="9"/>
  <c r="HC68" i="9"/>
  <c r="GA68" i="9"/>
  <c r="A57" i="20"/>
  <c r="HQ68" i="9"/>
  <c r="HC57" i="9"/>
  <c r="E57" i="9"/>
  <c r="HI68" i="9"/>
  <c r="HQ57" i="9"/>
  <c r="HL68" i="9"/>
  <c r="V41" i="32"/>
  <c r="HL57" i="9"/>
  <c r="HF68" i="9"/>
  <c r="HI57" i="9"/>
  <c r="GA57" i="9"/>
  <c r="J48" i="32"/>
  <c r="F48" i="32" s="1"/>
  <c r="AD43" i="32"/>
  <c r="AC49" i="32"/>
  <c r="AG49" i="32" s="1"/>
  <c r="J35" i="32"/>
  <c r="F35" i="32" s="1"/>
  <c r="G55" i="20"/>
  <c r="K55" i="20" s="1"/>
  <c r="H55" i="20"/>
  <c r="I55" i="20"/>
  <c r="AK12" i="32"/>
  <c r="AJ26" i="32"/>
  <c r="AJ24" i="32"/>
  <c r="AJ21" i="32"/>
  <c r="AJ11" i="32"/>
  <c r="AK19" i="32"/>
  <c r="AK15" i="32"/>
  <c r="AK22" i="32"/>
  <c r="AJ14" i="32"/>
  <c r="AJ10" i="32"/>
  <c r="AJ18" i="32"/>
  <c r="AJ36" i="32"/>
  <c r="AJ13" i="32"/>
  <c r="AJ30" i="32"/>
  <c r="AJ17" i="32"/>
  <c r="AK23" i="32"/>
  <c r="AJ31" i="32"/>
  <c r="AJ32" i="32"/>
  <c r="AK27" i="32"/>
  <c r="AK35" i="32"/>
  <c r="AK37" i="32"/>
  <c r="AJ34" i="32"/>
  <c r="AJ33" i="32"/>
  <c r="AJ28" i="32"/>
  <c r="AL28" i="32"/>
  <c r="AH28" i="32"/>
  <c r="AK28" i="32" s="1"/>
  <c r="AL29" i="32"/>
  <c r="AH29" i="32"/>
  <c r="AK29" i="32" s="1"/>
  <c r="AJ29" i="32"/>
  <c r="GG35" i="9"/>
  <c r="GH34" i="9"/>
  <c r="GR33" i="9"/>
  <c r="GS33" i="9" s="1"/>
  <c r="GS32" i="9"/>
  <c r="ET44" i="9"/>
  <c r="IU36" i="9"/>
  <c r="IV35" i="9"/>
  <c r="GK50" i="9"/>
  <c r="BJ57" i="9"/>
  <c r="BI58" i="9"/>
  <c r="GL38" i="9"/>
  <c r="EU39" i="9"/>
  <c r="FB35" i="9"/>
  <c r="FC34" i="9"/>
  <c r="DA56" i="9"/>
  <c r="H68" i="20" l="1"/>
  <c r="L68" i="20" s="1"/>
  <c r="O68" i="20" s="1"/>
  <c r="I68" i="20"/>
  <c r="M68" i="20" s="1"/>
  <c r="P68" i="20" s="1"/>
  <c r="DU8" i="9"/>
  <c r="DV3" i="9"/>
  <c r="DD8" i="9"/>
  <c r="DE3" i="9"/>
  <c r="AB52" i="32"/>
  <c r="AF52" i="32" s="1"/>
  <c r="AD52" i="32"/>
  <c r="AL52" i="32" s="1"/>
  <c r="GJ37" i="9"/>
  <c r="GN37" i="9" s="1"/>
  <c r="HC69" i="9"/>
  <c r="GA69" i="9"/>
  <c r="E69" i="9"/>
  <c r="HL69" i="9"/>
  <c r="HQ69" i="9"/>
  <c r="V53" i="32"/>
  <c r="A69" i="20"/>
  <c r="HF69" i="9"/>
  <c r="HI69" i="9"/>
  <c r="C71" i="9"/>
  <c r="A70" i="9"/>
  <c r="L61" i="20"/>
  <c r="M64" i="20"/>
  <c r="P64" i="20" s="1"/>
  <c r="U64" i="20"/>
  <c r="V64" i="20" s="1"/>
  <c r="L65" i="20"/>
  <c r="O65" i="20" s="1"/>
  <c r="S65" i="20"/>
  <c r="T65" i="20" s="1"/>
  <c r="L55" i="20"/>
  <c r="O55" i="20" s="1"/>
  <c r="S55" i="20"/>
  <c r="T55" i="20" s="1"/>
  <c r="L66" i="20"/>
  <c r="O66" i="20" s="1"/>
  <c r="S66" i="20"/>
  <c r="T66" i="20" s="1"/>
  <c r="M67" i="20"/>
  <c r="P67" i="20" s="1"/>
  <c r="U67" i="20"/>
  <c r="V67" i="20" s="1"/>
  <c r="L62" i="20"/>
  <c r="O62" i="20" s="1"/>
  <c r="S62" i="20"/>
  <c r="T62" i="20" s="1"/>
  <c r="M66" i="20"/>
  <c r="P66" i="20" s="1"/>
  <c r="U66" i="20"/>
  <c r="V66" i="20" s="1"/>
  <c r="M62" i="20"/>
  <c r="P62" i="20" s="1"/>
  <c r="U62" i="20"/>
  <c r="V62" i="20" s="1"/>
  <c r="M65" i="20"/>
  <c r="P65" i="20" s="1"/>
  <c r="U65" i="20"/>
  <c r="V65" i="20" s="1"/>
  <c r="L59" i="20"/>
  <c r="O59" i="20" s="1"/>
  <c r="S59" i="20"/>
  <c r="T59" i="20" s="1"/>
  <c r="M55" i="20"/>
  <c r="P55" i="20" s="1"/>
  <c r="U55" i="20"/>
  <c r="V55" i="20" s="1"/>
  <c r="M59" i="20"/>
  <c r="P59" i="20" s="1"/>
  <c r="U59" i="20"/>
  <c r="V59" i="20" s="1"/>
  <c r="L64" i="20"/>
  <c r="O64" i="20" s="1"/>
  <c r="S64" i="20"/>
  <c r="T64" i="20" s="1"/>
  <c r="M60" i="20"/>
  <c r="P60" i="20" s="1"/>
  <c r="U60" i="20"/>
  <c r="V60" i="20" s="1"/>
  <c r="M63" i="20"/>
  <c r="P63" i="20" s="1"/>
  <c r="U63" i="20"/>
  <c r="V63" i="20" s="1"/>
  <c r="M58" i="20"/>
  <c r="P58" i="20" s="1"/>
  <c r="U58" i="20"/>
  <c r="V58" i="20" s="1"/>
  <c r="L58" i="20"/>
  <c r="O58" i="20" s="1"/>
  <c r="S58" i="20"/>
  <c r="T58" i="20" s="1"/>
  <c r="L67" i="20"/>
  <c r="O67" i="20" s="1"/>
  <c r="S67" i="20"/>
  <c r="T67" i="20" s="1"/>
  <c r="M61" i="20"/>
  <c r="L60" i="20"/>
  <c r="O60" i="20" s="1"/>
  <c r="S60" i="20"/>
  <c r="T60" i="20" s="1"/>
  <c r="AJ46" i="32"/>
  <c r="GE81" i="9"/>
  <c r="BI33" i="9"/>
  <c r="BJ32" i="9"/>
  <c r="DA32" i="9" s="1"/>
  <c r="AJ45" i="32"/>
  <c r="EW37" i="9"/>
  <c r="EX36" i="9"/>
  <c r="AJ43" i="32"/>
  <c r="AJ47" i="32"/>
  <c r="AJ48" i="32"/>
  <c r="AC41" i="32"/>
  <c r="AG41" i="32" s="1"/>
  <c r="AB41" i="32"/>
  <c r="AF41" i="32" s="1"/>
  <c r="AD41" i="32"/>
  <c r="AJ39" i="32"/>
  <c r="G36" i="32"/>
  <c r="L36" i="32"/>
  <c r="H36" i="32" s="1"/>
  <c r="AL42" i="32"/>
  <c r="AH42" i="32"/>
  <c r="L46" i="32"/>
  <c r="H46" i="32" s="1"/>
  <c r="G46" i="32"/>
  <c r="AJ49" i="32"/>
  <c r="I56" i="20"/>
  <c r="H56" i="20"/>
  <c r="G56" i="20"/>
  <c r="K56" i="20" s="1"/>
  <c r="L47" i="32"/>
  <c r="H47" i="32" s="1"/>
  <c r="G47" i="32"/>
  <c r="L35" i="32"/>
  <c r="H35" i="32" s="1"/>
  <c r="G35" i="32"/>
  <c r="AL45" i="32"/>
  <c r="AH45" i="32"/>
  <c r="AK45" i="32" s="1"/>
  <c r="AH47" i="32"/>
  <c r="AK47" i="32" s="1"/>
  <c r="AL47" i="32"/>
  <c r="AL51" i="32"/>
  <c r="L43" i="32"/>
  <c r="H43" i="32" s="1"/>
  <c r="G43" i="32"/>
  <c r="AL44" i="32"/>
  <c r="AH44" i="32"/>
  <c r="AK44" i="32" s="1"/>
  <c r="G39" i="32"/>
  <c r="L39" i="32"/>
  <c r="H39" i="32" s="1"/>
  <c r="AD40" i="32"/>
  <c r="AB40" i="32"/>
  <c r="AF40" i="32" s="1"/>
  <c r="AC40" i="32"/>
  <c r="AG40" i="32" s="1"/>
  <c r="C5" i="32"/>
  <c r="AH43" i="32"/>
  <c r="AK43" i="32" s="1"/>
  <c r="AL43" i="32"/>
  <c r="AJ44" i="32"/>
  <c r="G41" i="32"/>
  <c r="L41" i="32"/>
  <c r="H41" i="32" s="1"/>
  <c r="I57" i="20"/>
  <c r="G57" i="20"/>
  <c r="K57" i="20" s="1"/>
  <c r="H57" i="20"/>
  <c r="AL39" i="32"/>
  <c r="AH39" i="32"/>
  <c r="AK39" i="32" s="1"/>
  <c r="G34" i="32"/>
  <c r="L34" i="32"/>
  <c r="H34" i="32" s="1"/>
  <c r="L49" i="32"/>
  <c r="H49" i="32" s="1"/>
  <c r="G49" i="32"/>
  <c r="AH46" i="32"/>
  <c r="AK46" i="32" s="1"/>
  <c r="AL46" i="32"/>
  <c r="L48" i="32"/>
  <c r="H48" i="32" s="1"/>
  <c r="G48" i="32"/>
  <c r="G42" i="32"/>
  <c r="L42" i="32"/>
  <c r="H42" i="32" s="1"/>
  <c r="AH48" i="32"/>
  <c r="AK48" i="32" s="1"/>
  <c r="AL48" i="32"/>
  <c r="GG36" i="9"/>
  <c r="GH35" i="9"/>
  <c r="GL39" i="9"/>
  <c r="IU37" i="9"/>
  <c r="IV36" i="9"/>
  <c r="DA57" i="9"/>
  <c r="FC35" i="9"/>
  <c r="FB36" i="9"/>
  <c r="BI59" i="9"/>
  <c r="BJ59" i="9" s="1"/>
  <c r="BJ58" i="9"/>
  <c r="EU40" i="9"/>
  <c r="GK51" i="9"/>
  <c r="ET45" i="9"/>
  <c r="S68" i="20" l="1"/>
  <c r="T68" i="20" s="1"/>
  <c r="U68" i="20"/>
  <c r="V68" i="20" s="1"/>
  <c r="DE8" i="9"/>
  <c r="DF3" i="9"/>
  <c r="DV8" i="9"/>
  <c r="DW3" i="9"/>
  <c r="GE83" i="9"/>
  <c r="A70" i="20"/>
  <c r="HQ70" i="9"/>
  <c r="HI70" i="9"/>
  <c r="E70" i="9"/>
  <c r="HC70" i="9"/>
  <c r="GA70" i="9"/>
  <c r="HL70" i="9"/>
  <c r="HF70" i="9"/>
  <c r="C72" i="9"/>
  <c r="A71" i="9"/>
  <c r="G69" i="20"/>
  <c r="I69" i="20"/>
  <c r="M69" i="20" s="1"/>
  <c r="H69" i="20"/>
  <c r="L69" i="20" s="1"/>
  <c r="AB53" i="32"/>
  <c r="AF53" i="32" s="1"/>
  <c r="AC53" i="32"/>
  <c r="AD53" i="32"/>
  <c r="GJ38" i="9"/>
  <c r="GN38" i="9" s="1"/>
  <c r="L57" i="20"/>
  <c r="O57" i="20" s="1"/>
  <c r="S57" i="20"/>
  <c r="T57" i="20" s="1"/>
  <c r="L56" i="20"/>
  <c r="O56" i="20" s="1"/>
  <c r="S56" i="20"/>
  <c r="T56" i="20" s="1"/>
  <c r="M57" i="20"/>
  <c r="P57" i="20" s="1"/>
  <c r="U57" i="20"/>
  <c r="V57" i="20" s="1"/>
  <c r="M56" i="20"/>
  <c r="P56" i="20" s="1"/>
  <c r="U56" i="20"/>
  <c r="V56" i="20" s="1"/>
  <c r="BI34" i="9"/>
  <c r="BJ34" i="9" s="1"/>
  <c r="DA34" i="9" s="1"/>
  <c r="BJ33" i="9"/>
  <c r="DA33" i="9" s="1"/>
  <c r="EW38" i="9"/>
  <c r="EX37" i="9"/>
  <c r="AJ41" i="32"/>
  <c r="AJ40" i="32"/>
  <c r="AL40" i="32"/>
  <c r="AH40" i="32"/>
  <c r="AK40" i="32" s="1"/>
  <c r="AL41" i="32"/>
  <c r="AH41" i="32"/>
  <c r="AK41" i="32" s="1"/>
  <c r="GG37" i="9"/>
  <c r="GH36" i="9"/>
  <c r="IU38" i="9"/>
  <c r="IV37" i="9"/>
  <c r="EU41" i="9"/>
  <c r="DA58" i="9"/>
  <c r="GL40" i="9"/>
  <c r="DA59" i="9"/>
  <c r="FB37" i="9"/>
  <c r="FC36" i="9"/>
  <c r="GK52" i="9"/>
  <c r="DW8" i="9" l="1"/>
  <c r="DX3" i="9"/>
  <c r="DF8" i="9"/>
  <c r="DG3" i="9"/>
  <c r="HF71" i="9"/>
  <c r="E71" i="9"/>
  <c r="HQ71" i="9"/>
  <c r="HI71" i="9"/>
  <c r="HL71" i="9"/>
  <c r="HC71" i="9"/>
  <c r="A71" i="20"/>
  <c r="GA71" i="9"/>
  <c r="GJ39" i="9"/>
  <c r="GN39" i="9" s="1"/>
  <c r="A72" i="9"/>
  <c r="C73" i="9"/>
  <c r="K69" i="20"/>
  <c r="O69" i="20" s="1"/>
  <c r="S69" i="20"/>
  <c r="T69" i="20" s="1"/>
  <c r="U69" i="20"/>
  <c r="V69" i="20" s="1"/>
  <c r="GE84" i="9"/>
  <c r="GE85" i="9" s="1"/>
  <c r="AL53" i="32"/>
  <c r="EW39" i="9"/>
  <c r="EX38" i="9"/>
  <c r="GG38" i="9"/>
  <c r="GH37" i="9"/>
  <c r="ET47" i="9"/>
  <c r="FC37" i="9"/>
  <c r="FB38" i="9"/>
  <c r="EU42" i="9"/>
  <c r="IU39" i="9"/>
  <c r="IV38" i="9"/>
  <c r="GK53" i="9"/>
  <c r="GL41" i="9"/>
  <c r="DG8" i="9" l="1"/>
  <c r="DH3" i="9"/>
  <c r="DX8" i="9"/>
  <c r="DY3" i="9"/>
  <c r="GE86" i="9"/>
  <c r="P69" i="20"/>
  <c r="C74" i="9"/>
  <c r="A73" i="9"/>
  <c r="GJ40" i="9"/>
  <c r="GN40" i="9" s="1"/>
  <c r="A72" i="20"/>
  <c r="HQ72" i="9"/>
  <c r="E72" i="9"/>
  <c r="GA72" i="9"/>
  <c r="HF72" i="9"/>
  <c r="HL72" i="9"/>
  <c r="HI72" i="9"/>
  <c r="HC72" i="9"/>
  <c r="EW40" i="9"/>
  <c r="EX39" i="9"/>
  <c r="GG39" i="9"/>
  <c r="GH38" i="9"/>
  <c r="GL42" i="9"/>
  <c r="GK54" i="9"/>
  <c r="IU40" i="9"/>
  <c r="IV39" i="9"/>
  <c r="EU43" i="9"/>
  <c r="FC38" i="9"/>
  <c r="FB39" i="9"/>
  <c r="ET48" i="9"/>
  <c r="DY8" i="9" l="1"/>
  <c r="DZ3" i="9"/>
  <c r="DH8" i="9"/>
  <c r="DI3" i="9"/>
  <c r="DI8" i="9" s="1"/>
  <c r="GE87" i="9"/>
  <c r="A73" i="20"/>
  <c r="HC73" i="9"/>
  <c r="GA73" i="9"/>
  <c r="E73" i="9"/>
  <c r="HF73" i="9"/>
  <c r="HQ73" i="9"/>
  <c r="HL73" i="9"/>
  <c r="HI73" i="9"/>
  <c r="GJ41" i="9"/>
  <c r="GN41" i="9" s="1"/>
  <c r="C75" i="9"/>
  <c r="A74" i="9"/>
  <c r="EW41" i="9"/>
  <c r="EX40" i="9"/>
  <c r="GG40" i="9"/>
  <c r="GH39" i="9"/>
  <c r="ET49" i="9"/>
  <c r="FC39" i="9"/>
  <c r="FB40" i="9"/>
  <c r="EU44" i="9"/>
  <c r="GL43" i="9"/>
  <c r="GK55" i="9"/>
  <c r="IU41" i="9"/>
  <c r="IV40" i="9"/>
  <c r="DZ8" i="9" l="1"/>
  <c r="EF3" i="9"/>
  <c r="EA3" i="9"/>
  <c r="GE88" i="9"/>
  <c r="GE89" i="9" s="1"/>
  <c r="GJ42" i="9"/>
  <c r="GN42" i="9" s="1"/>
  <c r="A74" i="20"/>
  <c r="G74" i="20" s="1"/>
  <c r="K74" i="20" s="1"/>
  <c r="E74" i="9"/>
  <c r="HL74" i="9"/>
  <c r="HC74" i="9"/>
  <c r="GA74" i="9"/>
  <c r="HF74" i="9"/>
  <c r="HI74" i="9"/>
  <c r="HQ74" i="9"/>
  <c r="C76" i="9"/>
  <c r="A75" i="9"/>
  <c r="EW42" i="9"/>
  <c r="EX41" i="9"/>
  <c r="GG41" i="9"/>
  <c r="GH40" i="9"/>
  <c r="ET50" i="9"/>
  <c r="IU42" i="9"/>
  <c r="IV41" i="9"/>
  <c r="GL44" i="9"/>
  <c r="EU45" i="9"/>
  <c r="GK56" i="9"/>
  <c r="FB41" i="9"/>
  <c r="FC40" i="9"/>
  <c r="EF8" i="9" l="1"/>
  <c r="EG3" i="9"/>
  <c r="EG8" i="9" s="1"/>
  <c r="EH3" i="9"/>
  <c r="GE90" i="9"/>
  <c r="C77" i="9"/>
  <c r="A76" i="9"/>
  <c r="A75" i="20"/>
  <c r="HL75" i="9"/>
  <c r="GA75" i="9"/>
  <c r="E75" i="9"/>
  <c r="HQ75" i="9"/>
  <c r="HC75" i="9"/>
  <c r="HI75" i="9"/>
  <c r="HF75" i="9"/>
  <c r="GJ43" i="9"/>
  <c r="GN43" i="9" s="1"/>
  <c r="EW43" i="9"/>
  <c r="EX42" i="9"/>
  <c r="GH41" i="9"/>
  <c r="GG42" i="9"/>
  <c r="ET51" i="9"/>
  <c r="GK57" i="9"/>
  <c r="FC41" i="9"/>
  <c r="FB42" i="9"/>
  <c r="GL45" i="9"/>
  <c r="IU43" i="9"/>
  <c r="IV42" i="9"/>
  <c r="EH8" i="9" l="1"/>
  <c r="EJ3" i="9"/>
  <c r="EI3" i="9"/>
  <c r="EI8" i="9" s="1"/>
  <c r="GE91" i="9"/>
  <c r="GJ44" i="9"/>
  <c r="GN44" i="9" s="1"/>
  <c r="G75" i="20"/>
  <c r="I75" i="20"/>
  <c r="M75" i="20" s="1"/>
  <c r="A76" i="20"/>
  <c r="HC76" i="9"/>
  <c r="HF76" i="9"/>
  <c r="E76" i="9"/>
  <c r="GA76" i="9"/>
  <c r="HL76" i="9"/>
  <c r="HQ76" i="9"/>
  <c r="HI76" i="9"/>
  <c r="A77" i="9"/>
  <c r="C78" i="9"/>
  <c r="EW44" i="9"/>
  <c r="EX43" i="9"/>
  <c r="GG43" i="9"/>
  <c r="GH42" i="9"/>
  <c r="ET52" i="9"/>
  <c r="IU44" i="9"/>
  <c r="IV43" i="9"/>
  <c r="EU47" i="9"/>
  <c r="FC42" i="9"/>
  <c r="FB43" i="9"/>
  <c r="EJ8" i="9" l="1"/>
  <c r="EK3" i="9"/>
  <c r="EK8" i="9" s="1"/>
  <c r="EL3" i="9"/>
  <c r="EN3" i="9" s="1"/>
  <c r="K75" i="20"/>
  <c r="P75" i="20" s="1"/>
  <c r="U75" i="20"/>
  <c r="V75" i="20" s="1"/>
  <c r="A78" i="9"/>
  <c r="C79" i="9"/>
  <c r="A77" i="20"/>
  <c r="HF77" i="9"/>
  <c r="E77" i="9"/>
  <c r="GA77" i="9"/>
  <c r="HC77" i="9"/>
  <c r="HQ77" i="9"/>
  <c r="HL77" i="9"/>
  <c r="HI77" i="9"/>
  <c r="H76" i="20"/>
  <c r="L76" i="20" s="1"/>
  <c r="I76" i="20"/>
  <c r="M76" i="20" s="1"/>
  <c r="G76" i="20"/>
  <c r="GJ45" i="9"/>
  <c r="GN45" i="9" s="1"/>
  <c r="EW45" i="9"/>
  <c r="EX44" i="9"/>
  <c r="GH43" i="9"/>
  <c r="GG44" i="9"/>
  <c r="GL47" i="9"/>
  <c r="FB44" i="9"/>
  <c r="FC43" i="9"/>
  <c r="EU48" i="9"/>
  <c r="IU45" i="9"/>
  <c r="IV44" i="9"/>
  <c r="ET53" i="9"/>
  <c r="GK59" i="9"/>
  <c r="EL8" i="9" l="1"/>
  <c r="EM3" i="9"/>
  <c r="EM8" i="9" s="1"/>
  <c r="A78" i="20"/>
  <c r="E78" i="9"/>
  <c r="GA78" i="9"/>
  <c r="HQ78" i="9"/>
  <c r="HI78" i="9"/>
  <c r="HC78" i="9"/>
  <c r="HL78" i="9"/>
  <c r="HF78" i="9"/>
  <c r="K76" i="20"/>
  <c r="P76" i="20" s="1"/>
  <c r="S76" i="20"/>
  <c r="T76" i="20" s="1"/>
  <c r="U76" i="20"/>
  <c r="V76" i="20" s="1"/>
  <c r="I77" i="20"/>
  <c r="M77" i="20" s="1"/>
  <c r="G77" i="20"/>
  <c r="H77" i="20"/>
  <c r="L77" i="20" s="1"/>
  <c r="A79" i="9"/>
  <c r="C80" i="9"/>
  <c r="EX45" i="9"/>
  <c r="GH44" i="9"/>
  <c r="GG45" i="9"/>
  <c r="GL48" i="9"/>
  <c r="GK60" i="9"/>
  <c r="ET54" i="9"/>
  <c r="IV45" i="9"/>
  <c r="EU49" i="9"/>
  <c r="FB45" i="9"/>
  <c r="FC44" i="9"/>
  <c r="EN8" i="9" l="1"/>
  <c r="EO3" i="9"/>
  <c r="O76" i="20"/>
  <c r="A79" i="20"/>
  <c r="GA79" i="9"/>
  <c r="HQ79" i="9"/>
  <c r="HC79" i="9"/>
  <c r="HI79" i="9"/>
  <c r="HF79" i="9"/>
  <c r="HL79" i="9"/>
  <c r="E79" i="9"/>
  <c r="K77" i="20"/>
  <c r="O77" i="20" s="1"/>
  <c r="S77" i="20"/>
  <c r="T77" i="20" s="1"/>
  <c r="U77" i="20"/>
  <c r="V77" i="20" s="1"/>
  <c r="C81" i="9"/>
  <c r="A80" i="9"/>
  <c r="GJ47" i="9"/>
  <c r="GN47" i="9" s="1"/>
  <c r="G78" i="20"/>
  <c r="H78" i="20"/>
  <c r="L78" i="20" s="1"/>
  <c r="I78" i="20"/>
  <c r="M78" i="20" s="1"/>
  <c r="EW47" i="9"/>
  <c r="EX46" i="9"/>
  <c r="GH45" i="9"/>
  <c r="IV46" i="9"/>
  <c r="GL49" i="9"/>
  <c r="FC45" i="9"/>
  <c r="EU50" i="9"/>
  <c r="ET55" i="9"/>
  <c r="GK61" i="9"/>
  <c r="EO8" i="9" l="1"/>
  <c r="EP3" i="9"/>
  <c r="P77" i="20"/>
  <c r="GJ48" i="9"/>
  <c r="GN48" i="9" s="1"/>
  <c r="K78" i="20"/>
  <c r="P78" i="20" s="1"/>
  <c r="U78" i="20"/>
  <c r="V78" i="20" s="1"/>
  <c r="S78" i="20"/>
  <c r="T78" i="20" s="1"/>
  <c r="A80" i="20"/>
  <c r="E80" i="9"/>
  <c r="HF80" i="9"/>
  <c r="HI80" i="9"/>
  <c r="GA80" i="9"/>
  <c r="HC80" i="9"/>
  <c r="HL80" i="9"/>
  <c r="HQ80" i="9"/>
  <c r="G79" i="20"/>
  <c r="I79" i="20"/>
  <c r="M79" i="20" s="1"/>
  <c r="H79" i="20"/>
  <c r="L79" i="20" s="1"/>
  <c r="A81" i="9"/>
  <c r="C82" i="9"/>
  <c r="EW48" i="9"/>
  <c r="EX47" i="9"/>
  <c r="GG47" i="9"/>
  <c r="GH46" i="9"/>
  <c r="EU51" i="9"/>
  <c r="IV47" i="9"/>
  <c r="FB47" i="9"/>
  <c r="FC46" i="9"/>
  <c r="IS59" i="9"/>
  <c r="GL50" i="9"/>
  <c r="GK62" i="9"/>
  <c r="GK63" i="9" s="1"/>
  <c r="GK64" i="9" s="1"/>
  <c r="GK65" i="9" s="1"/>
  <c r="GK66" i="9" s="1"/>
  <c r="GK67" i="9" s="1"/>
  <c r="ET56" i="9"/>
  <c r="EP8" i="9" l="1"/>
  <c r="EQ3" i="9"/>
  <c r="O78" i="20"/>
  <c r="C83" i="9"/>
  <c r="A82" i="9"/>
  <c r="GJ49" i="9"/>
  <c r="GN49" i="9" s="1"/>
  <c r="K79" i="20"/>
  <c r="O79" i="20" s="1"/>
  <c r="S79" i="20"/>
  <c r="T79" i="20" s="1"/>
  <c r="U79" i="20"/>
  <c r="V79" i="20" s="1"/>
  <c r="G80" i="20"/>
  <c r="I80" i="20"/>
  <c r="M80" i="20" s="1"/>
  <c r="H80" i="20"/>
  <c r="L80" i="20" s="1"/>
  <c r="A81" i="20"/>
  <c r="E81" i="9"/>
  <c r="HQ81" i="9"/>
  <c r="HF81" i="9"/>
  <c r="GA81" i="9"/>
  <c r="HL81" i="9"/>
  <c r="HC81" i="9"/>
  <c r="HI81" i="9"/>
  <c r="GK68" i="9"/>
  <c r="EW49" i="9"/>
  <c r="EX48" i="9"/>
  <c r="GG48" i="9"/>
  <c r="GH47" i="9"/>
  <c r="EU52" i="9"/>
  <c r="GL51" i="9"/>
  <c r="IS60" i="9"/>
  <c r="IV48" i="9"/>
  <c r="ET57" i="9"/>
  <c r="FC47" i="9"/>
  <c r="FB48" i="9"/>
  <c r="G81" i="20" l="1"/>
  <c r="H81" i="20"/>
  <c r="L81" i="20" s="1"/>
  <c r="I81" i="20"/>
  <c r="M81" i="20" s="1"/>
  <c r="EQ8" i="9"/>
  <c r="ER3" i="9"/>
  <c r="A82" i="20"/>
  <c r="HQ82" i="9"/>
  <c r="GA82" i="9"/>
  <c r="HC82" i="9"/>
  <c r="HI82" i="9"/>
  <c r="HL82" i="9"/>
  <c r="HF82" i="9"/>
  <c r="E82" i="9"/>
  <c r="K80" i="20"/>
  <c r="P80" i="20" s="1"/>
  <c r="S80" i="20"/>
  <c r="T80" i="20" s="1"/>
  <c r="U80" i="20"/>
  <c r="V80" i="20" s="1"/>
  <c r="A83" i="9"/>
  <c r="C84" i="9"/>
  <c r="P79" i="20"/>
  <c r="GJ50" i="9"/>
  <c r="GN50" i="9" s="1"/>
  <c r="EW50" i="9"/>
  <c r="EX49" i="9"/>
  <c r="GK69" i="9"/>
  <c r="GG49" i="9"/>
  <c r="GH48" i="9"/>
  <c r="FC48" i="9"/>
  <c r="FB49" i="9"/>
  <c r="IS61" i="9"/>
  <c r="IS62" i="9" s="1"/>
  <c r="GL52" i="9"/>
  <c r="IV49" i="9"/>
  <c r="EU53" i="9"/>
  <c r="G82" i="20" l="1"/>
  <c r="H82" i="20"/>
  <c r="L82" i="20" s="1"/>
  <c r="I82" i="20"/>
  <c r="M82" i="20" s="1"/>
  <c r="S81" i="20"/>
  <c r="T81" i="20" s="1"/>
  <c r="U81" i="20"/>
  <c r="V81" i="20" s="1"/>
  <c r="K81" i="20"/>
  <c r="P81" i="20" s="1"/>
  <c r="ER8" i="9"/>
  <c r="ES3" i="9"/>
  <c r="O80" i="20"/>
  <c r="A84" i="9"/>
  <c r="C85" i="9"/>
  <c r="A83" i="20"/>
  <c r="HQ83" i="9"/>
  <c r="HL83" i="9"/>
  <c r="HI83" i="9"/>
  <c r="E83" i="9"/>
  <c r="HC83" i="9"/>
  <c r="GA83" i="9"/>
  <c r="HF83" i="9"/>
  <c r="GJ51" i="9"/>
  <c r="GN51" i="9" s="1"/>
  <c r="EW51" i="9"/>
  <c r="EX50" i="9"/>
  <c r="IS63" i="9"/>
  <c r="IS64" i="9" s="1"/>
  <c r="IS65" i="9" s="1"/>
  <c r="IS66" i="9" s="1"/>
  <c r="GG50" i="9"/>
  <c r="GH49" i="9"/>
  <c r="FB50" i="9"/>
  <c r="FC49" i="9"/>
  <c r="ET59" i="9"/>
  <c r="EU54" i="9"/>
  <c r="GL53" i="9"/>
  <c r="IV50" i="9"/>
  <c r="A84" i="20" l="1"/>
  <c r="G84" i="20" s="1"/>
  <c r="H83" i="20"/>
  <c r="L83" i="20" s="1"/>
  <c r="I83" i="20"/>
  <c r="M83" i="20" s="1"/>
  <c r="G83" i="20"/>
  <c r="O81" i="20"/>
  <c r="S82" i="20"/>
  <c r="T82" i="20" s="1"/>
  <c r="K82" i="20"/>
  <c r="O82" i="20" s="1"/>
  <c r="U82" i="20"/>
  <c r="V82" i="20" s="1"/>
  <c r="ES8" i="9"/>
  <c r="EX3" i="9"/>
  <c r="ET3" i="9"/>
  <c r="C86" i="9"/>
  <c r="A85" i="9"/>
  <c r="GJ52" i="9"/>
  <c r="GN52" i="9" s="1"/>
  <c r="HQ84" i="9"/>
  <c r="HL84" i="9"/>
  <c r="HF84" i="9"/>
  <c r="HC84" i="9"/>
  <c r="HI84" i="9"/>
  <c r="GA84" i="9"/>
  <c r="E84" i="9"/>
  <c r="IS67" i="9"/>
  <c r="EW52" i="9"/>
  <c r="EX51" i="9"/>
  <c r="GK71" i="9"/>
  <c r="GG51" i="9"/>
  <c r="GH50" i="9"/>
  <c r="GL54" i="9"/>
  <c r="FB51" i="9"/>
  <c r="FC50" i="9"/>
  <c r="IV51" i="9"/>
  <c r="EU55" i="9"/>
  <c r="ET60" i="9"/>
  <c r="I84" i="20" l="1"/>
  <c r="M84" i="20" s="1"/>
  <c r="H84" i="20"/>
  <c r="L84" i="20" s="1"/>
  <c r="A85" i="20"/>
  <c r="H85" i="20" s="1"/>
  <c r="L85" i="20" s="1"/>
  <c r="P82" i="20"/>
  <c r="K84" i="20"/>
  <c r="S83" i="20"/>
  <c r="T83" i="20" s="1"/>
  <c r="K83" i="20"/>
  <c r="P83" i="20" s="1"/>
  <c r="U83" i="20"/>
  <c r="V83" i="20" s="1"/>
  <c r="ET8" i="9"/>
  <c r="EU3" i="9"/>
  <c r="EX8" i="9"/>
  <c r="EY3" i="9"/>
  <c r="GJ53" i="9"/>
  <c r="GN53" i="9" s="1"/>
  <c r="E85" i="9"/>
  <c r="GA85" i="9"/>
  <c r="HF85" i="9"/>
  <c r="HQ85" i="9"/>
  <c r="HI85" i="9"/>
  <c r="HL85" i="9"/>
  <c r="HC85" i="9"/>
  <c r="A86" i="9"/>
  <c r="C87" i="9"/>
  <c r="GK72" i="9"/>
  <c r="IS68" i="9"/>
  <c r="EW53" i="9"/>
  <c r="EX52" i="9"/>
  <c r="GG52" i="9"/>
  <c r="GH51" i="9"/>
  <c r="EU56" i="9"/>
  <c r="ET61" i="9"/>
  <c r="IV52" i="9"/>
  <c r="FC51" i="9"/>
  <c r="FB52" i="9"/>
  <c r="GL55" i="9"/>
  <c r="I85" i="20" l="1"/>
  <c r="M85" i="20" s="1"/>
  <c r="G85" i="20"/>
  <c r="S84" i="20"/>
  <c r="T84" i="20" s="1"/>
  <c r="P84" i="20"/>
  <c r="U84" i="20"/>
  <c r="V84" i="20" s="1"/>
  <c r="A86" i="20"/>
  <c r="H86" i="20" s="1"/>
  <c r="L86" i="20" s="1"/>
  <c r="O83" i="20"/>
  <c r="O84" i="20"/>
  <c r="EY8" i="9"/>
  <c r="EZ3" i="9"/>
  <c r="EU8" i="9"/>
  <c r="EV3" i="9"/>
  <c r="C88" i="9"/>
  <c r="A87" i="9"/>
  <c r="E86" i="9"/>
  <c r="HL86" i="9"/>
  <c r="HF86" i="9"/>
  <c r="HI86" i="9"/>
  <c r="HQ86" i="9"/>
  <c r="HC86" i="9"/>
  <c r="GA86" i="9"/>
  <c r="GJ54" i="9"/>
  <c r="GN54" i="9" s="1"/>
  <c r="IS69" i="9"/>
  <c r="EW54" i="9"/>
  <c r="EX53" i="9"/>
  <c r="GK73" i="9"/>
  <c r="GH52" i="9"/>
  <c r="GG53" i="9"/>
  <c r="GL56" i="9"/>
  <c r="ET62" i="9"/>
  <c r="ET63" i="9" s="1"/>
  <c r="ET64" i="9" s="1"/>
  <c r="ET65" i="9" s="1"/>
  <c r="ET66" i="9" s="1"/>
  <c r="ET67" i="9" s="1"/>
  <c r="ET68" i="9" s="1"/>
  <c r="EU57" i="9"/>
  <c r="IV53" i="9"/>
  <c r="FB53" i="9"/>
  <c r="FC52" i="9"/>
  <c r="G86" i="20" l="1"/>
  <c r="K86" i="20" s="1"/>
  <c r="U85" i="20"/>
  <c r="V85" i="20" s="1"/>
  <c r="S85" i="20"/>
  <c r="T85" i="20" s="1"/>
  <c r="K85" i="20"/>
  <c r="P85" i="20" s="1"/>
  <c r="I86" i="20"/>
  <c r="M86" i="20" s="1"/>
  <c r="A87" i="20"/>
  <c r="G87" i="20" s="1"/>
  <c r="EV8" i="9"/>
  <c r="EW3" i="9"/>
  <c r="EW8" i="9" s="1"/>
  <c r="EZ8" i="9"/>
  <c r="FA3" i="9"/>
  <c r="GJ55" i="9"/>
  <c r="GN55" i="9" s="1"/>
  <c r="HQ87" i="9"/>
  <c r="HC87" i="9"/>
  <c r="HL87" i="9"/>
  <c r="HF87" i="9"/>
  <c r="HI87" i="9"/>
  <c r="E87" i="9"/>
  <c r="GA87" i="9"/>
  <c r="C89" i="9"/>
  <c r="A88" i="9"/>
  <c r="ET69" i="9"/>
  <c r="EW55" i="9"/>
  <c r="EX54" i="9"/>
  <c r="GK74" i="9"/>
  <c r="GK75" i="9" s="1"/>
  <c r="GG54" i="9"/>
  <c r="GH53" i="9"/>
  <c r="IV54" i="9"/>
  <c r="FC53" i="9"/>
  <c r="FB54" i="9"/>
  <c r="GL57" i="9"/>
  <c r="S86" i="20" l="1"/>
  <c r="T86" i="20" s="1"/>
  <c r="O85" i="20"/>
  <c r="P86" i="20"/>
  <c r="U86" i="20"/>
  <c r="V86" i="20" s="1"/>
  <c r="H87" i="20"/>
  <c r="L87" i="20" s="1"/>
  <c r="I87" i="20"/>
  <c r="M87" i="20" s="1"/>
  <c r="A88" i="20"/>
  <c r="I88" i="20" s="1"/>
  <c r="M88" i="20" s="1"/>
  <c r="O86" i="20"/>
  <c r="K87" i="20"/>
  <c r="FA8" i="9"/>
  <c r="FB3" i="9"/>
  <c r="HL88" i="9"/>
  <c r="HI88" i="9"/>
  <c r="HF88" i="9"/>
  <c r="HC88" i="9"/>
  <c r="HQ88" i="9"/>
  <c r="GA88" i="9"/>
  <c r="E88" i="9"/>
  <c r="A89" i="9"/>
  <c r="C90" i="9"/>
  <c r="GJ56" i="9"/>
  <c r="GN56" i="9" s="1"/>
  <c r="GK76" i="9"/>
  <c r="IS71" i="9"/>
  <c r="EW56" i="9"/>
  <c r="EX55" i="9"/>
  <c r="GH54" i="9"/>
  <c r="GG55" i="9"/>
  <c r="FB55" i="9"/>
  <c r="FC54" i="9"/>
  <c r="IV55" i="9"/>
  <c r="EU59" i="9"/>
  <c r="S87" i="20" l="1"/>
  <c r="T87" i="20" s="1"/>
  <c r="U87" i="20"/>
  <c r="V87" i="20" s="1"/>
  <c r="P87" i="20"/>
  <c r="H88" i="20"/>
  <c r="L88" i="20" s="1"/>
  <c r="G88" i="20"/>
  <c r="A89" i="20"/>
  <c r="I89" i="20" s="1"/>
  <c r="M89" i="20" s="1"/>
  <c r="O87" i="20"/>
  <c r="FB8" i="9"/>
  <c r="FD3" i="9"/>
  <c r="FD8" i="9" s="1"/>
  <c r="FC3" i="9"/>
  <c r="HL89" i="9"/>
  <c r="HI89" i="9"/>
  <c r="HF89" i="9"/>
  <c r="GA89" i="9"/>
  <c r="HC89" i="9"/>
  <c r="HQ89" i="9"/>
  <c r="GJ57" i="9"/>
  <c r="GN57" i="9" s="1"/>
  <c r="E89" i="9"/>
  <c r="C91" i="9"/>
  <c r="A90" i="9"/>
  <c r="GK77" i="9"/>
  <c r="EW57" i="9"/>
  <c r="EX56" i="9"/>
  <c r="ET71" i="9"/>
  <c r="IS72" i="9"/>
  <c r="GG56" i="9"/>
  <c r="GH55" i="9"/>
  <c r="EU60" i="9"/>
  <c r="IV56" i="9"/>
  <c r="FB56" i="9"/>
  <c r="FC55" i="9"/>
  <c r="GL59" i="9"/>
  <c r="S88" i="20" l="1"/>
  <c r="T88" i="20" s="1"/>
  <c r="U88" i="20"/>
  <c r="V88" i="20" s="1"/>
  <c r="K88" i="20"/>
  <c r="O88" i="20" s="1"/>
  <c r="H89" i="20"/>
  <c r="L89" i="20" s="1"/>
  <c r="G89" i="20"/>
  <c r="A90" i="20"/>
  <c r="G90" i="20" s="1"/>
  <c r="HI90" i="9"/>
  <c r="HF90" i="9"/>
  <c r="HC90" i="9"/>
  <c r="HQ90" i="9"/>
  <c r="GA90" i="9"/>
  <c r="HL90" i="9"/>
  <c r="A91" i="9"/>
  <c r="C92" i="9"/>
  <c r="E90" i="9"/>
  <c r="GK78" i="9"/>
  <c r="ET72" i="9"/>
  <c r="IS73" i="9"/>
  <c r="EX57" i="9"/>
  <c r="GH56" i="9"/>
  <c r="GG57" i="9"/>
  <c r="IV57" i="9"/>
  <c r="EU61" i="9"/>
  <c r="GL60" i="9"/>
  <c r="FC56" i="9"/>
  <c r="FB57" i="9"/>
  <c r="I90" i="20" l="1"/>
  <c r="M90" i="20" s="1"/>
  <c r="H90" i="20"/>
  <c r="L90" i="20" s="1"/>
  <c r="S89" i="20"/>
  <c r="T89" i="20" s="1"/>
  <c r="K89" i="20"/>
  <c r="P89" i="20" s="1"/>
  <c r="P88" i="20"/>
  <c r="U89" i="20"/>
  <c r="V89" i="20" s="1"/>
  <c r="A91" i="20"/>
  <c r="I91" i="20" s="1"/>
  <c r="M91" i="20" s="1"/>
  <c r="K90" i="20"/>
  <c r="HL91" i="9"/>
  <c r="HC91" i="9"/>
  <c r="HF91" i="9"/>
  <c r="GA91" i="9"/>
  <c r="HQ91" i="9"/>
  <c r="HI91" i="9"/>
  <c r="GJ59" i="9"/>
  <c r="GN59" i="9" s="1"/>
  <c r="C93" i="9"/>
  <c r="A92" i="9"/>
  <c r="E91" i="9"/>
  <c r="GK79" i="9"/>
  <c r="GK80" i="9" s="1"/>
  <c r="GK81" i="9" s="1"/>
  <c r="GK83" i="9" s="1"/>
  <c r="GK84" i="9" s="1"/>
  <c r="GK85" i="9" s="1"/>
  <c r="GK86" i="9" s="1"/>
  <c r="GK87" i="9" s="1"/>
  <c r="GK88" i="9" s="1"/>
  <c r="GK89" i="9" s="1"/>
  <c r="GK90" i="9" s="1"/>
  <c r="GK91" i="9" s="1"/>
  <c r="GK92" i="9" s="1"/>
  <c r="GK93" i="9" s="1"/>
  <c r="GK95" i="9" s="1"/>
  <c r="GK96" i="9" s="1"/>
  <c r="GK97" i="9" s="1"/>
  <c r="GK98" i="9" s="1"/>
  <c r="GK99" i="9" s="1"/>
  <c r="GK100" i="9" s="1"/>
  <c r="GK101" i="9" s="1"/>
  <c r="GK102" i="9" s="1"/>
  <c r="GK103" i="9" s="1"/>
  <c r="GK104" i="9" s="1"/>
  <c r="GK105" i="9" s="1"/>
  <c r="GK107" i="9" s="1"/>
  <c r="GK108" i="9" s="1"/>
  <c r="GK109" i="9" s="1"/>
  <c r="GK110" i="9" s="1"/>
  <c r="GK111" i="9" s="1"/>
  <c r="GK112" i="9" s="1"/>
  <c r="GK113" i="9" s="1"/>
  <c r="GK114" i="9" s="1"/>
  <c r="GK115" i="9" s="1"/>
  <c r="GK116" i="9" s="1"/>
  <c r="GK117" i="9" s="1"/>
  <c r="GK118" i="9" s="1"/>
  <c r="GK119" i="9" s="1"/>
  <c r="GK120" i="9" s="1"/>
  <c r="GK121" i="9" s="1"/>
  <c r="GK122" i="9" s="1"/>
  <c r="GK123" i="9" s="1"/>
  <c r="GK124" i="9" s="1"/>
  <c r="GK125" i="9" s="1"/>
  <c r="GK126" i="9" s="1"/>
  <c r="GK127" i="9" s="1"/>
  <c r="GK128" i="9" s="1"/>
  <c r="GK129" i="9" s="1"/>
  <c r="GK130" i="9" s="1"/>
  <c r="GK131" i="9" s="1"/>
  <c r="GK132" i="9" s="1"/>
  <c r="GK133" i="9" s="1"/>
  <c r="GK134" i="9" s="1"/>
  <c r="GK135" i="9" s="1"/>
  <c r="GK136" i="9" s="1"/>
  <c r="GK137" i="9" s="1"/>
  <c r="IS74" i="9"/>
  <c r="IS75" i="9" s="1"/>
  <c r="EW59" i="9"/>
  <c r="EX58" i="9"/>
  <c r="ET73" i="9"/>
  <c r="GH57" i="9"/>
  <c r="GL61" i="9"/>
  <c r="IU59" i="9"/>
  <c r="IV58" i="9"/>
  <c r="FC57" i="9"/>
  <c r="EU62" i="9"/>
  <c r="O89" i="20" l="1"/>
  <c r="S90" i="20"/>
  <c r="T90" i="20" s="1"/>
  <c r="G91" i="20"/>
  <c r="K91" i="20" s="1"/>
  <c r="H91" i="20"/>
  <c r="L91" i="20" s="1"/>
  <c r="U90" i="20"/>
  <c r="V90" i="20" s="1"/>
  <c r="P90" i="20"/>
  <c r="A92" i="20"/>
  <c r="H92" i="20" s="1"/>
  <c r="L92" i="20" s="1"/>
  <c r="O90" i="20"/>
  <c r="C94" i="9"/>
  <c r="A93" i="9"/>
  <c r="HL92" i="9"/>
  <c r="HI92" i="9"/>
  <c r="HF92" i="9"/>
  <c r="GA92" i="9"/>
  <c r="HQ92" i="9"/>
  <c r="E92" i="9"/>
  <c r="HC92" i="9"/>
  <c r="GJ60" i="9"/>
  <c r="GN60" i="9" s="1"/>
  <c r="IS76" i="9"/>
  <c r="EW60" i="9"/>
  <c r="EX59" i="9"/>
  <c r="ET74" i="9"/>
  <c r="EU63" i="9"/>
  <c r="GH58" i="9"/>
  <c r="GG59" i="9"/>
  <c r="FC58" i="9"/>
  <c r="IU60" i="9"/>
  <c r="IV59" i="9"/>
  <c r="GL62" i="9"/>
  <c r="G92" i="20" l="1"/>
  <c r="S92" i="20" s="1"/>
  <c r="T92" i="20" s="1"/>
  <c r="S91" i="20"/>
  <c r="T91" i="20" s="1"/>
  <c r="O91" i="20"/>
  <c r="U91" i="20"/>
  <c r="V91" i="20" s="1"/>
  <c r="I92" i="20"/>
  <c r="M92" i="20" s="1"/>
  <c r="A93" i="20"/>
  <c r="H93" i="20" s="1"/>
  <c r="L93" i="20" s="1"/>
  <c r="P91" i="20"/>
  <c r="GJ61" i="9"/>
  <c r="GN61" i="9" s="1"/>
  <c r="HF93" i="9"/>
  <c r="HI93" i="9"/>
  <c r="HL93" i="9"/>
  <c r="GA93" i="9"/>
  <c r="E93" i="9"/>
  <c r="HC93" i="9"/>
  <c r="HQ93" i="9"/>
  <c r="C95" i="9"/>
  <c r="A94" i="9"/>
  <c r="IS77" i="9"/>
  <c r="ET75" i="9"/>
  <c r="ET76" i="9" s="1"/>
  <c r="EW61" i="9"/>
  <c r="EX60" i="9"/>
  <c r="EU64" i="9"/>
  <c r="GH59" i="9"/>
  <c r="GG60" i="9"/>
  <c r="GL63" i="9"/>
  <c r="IU61" i="9"/>
  <c r="IV60" i="9"/>
  <c r="FC59" i="9"/>
  <c r="K92" i="20" l="1"/>
  <c r="P92" i="20" s="1"/>
  <c r="G93" i="20"/>
  <c r="S93" i="20" s="1"/>
  <c r="T93" i="20" s="1"/>
  <c r="U92" i="20"/>
  <c r="V92" i="20" s="1"/>
  <c r="I93" i="20"/>
  <c r="M93" i="20" s="1"/>
  <c r="A94" i="20"/>
  <c r="H94" i="20" s="1"/>
  <c r="L94" i="20" s="1"/>
  <c r="GA94" i="9"/>
  <c r="HF94" i="9"/>
  <c r="E94" i="9"/>
  <c r="HC94" i="9"/>
  <c r="HQ94" i="9"/>
  <c r="HI94" i="9"/>
  <c r="HL94" i="9"/>
  <c r="C96" i="9"/>
  <c r="A95" i="9"/>
  <c r="GJ62" i="9"/>
  <c r="GN62" i="9" s="1"/>
  <c r="ET77" i="9"/>
  <c r="IS78" i="9"/>
  <c r="IS79" i="9" s="1"/>
  <c r="EW62" i="9"/>
  <c r="EX61" i="9"/>
  <c r="EU65" i="9"/>
  <c r="GL64" i="9"/>
  <c r="GG61" i="9"/>
  <c r="GH60" i="9"/>
  <c r="IV61" i="9"/>
  <c r="IU62" i="9"/>
  <c r="FC60" i="9"/>
  <c r="O92" i="20" l="1"/>
  <c r="G94" i="20"/>
  <c r="S94" i="20" s="1"/>
  <c r="T94" i="20" s="1"/>
  <c r="K93" i="20"/>
  <c r="O93" i="20" s="1"/>
  <c r="U93" i="20"/>
  <c r="V93" i="20" s="1"/>
  <c r="I94" i="20"/>
  <c r="M94" i="20" s="1"/>
  <c r="A95" i="20"/>
  <c r="H95" i="20" s="1"/>
  <c r="L95" i="20" s="1"/>
  <c r="C97" i="9"/>
  <c r="A97" i="9" s="1"/>
  <c r="A97" i="20" s="1"/>
  <c r="A96" i="9"/>
  <c r="GJ63" i="9"/>
  <c r="GN63" i="9" s="1"/>
  <c r="HQ95" i="9"/>
  <c r="GA95" i="9"/>
  <c r="HI95" i="9"/>
  <c r="E95" i="9"/>
  <c r="HF95" i="9"/>
  <c r="HC95" i="9"/>
  <c r="HL95" i="9"/>
  <c r="IS80" i="9"/>
  <c r="IS81" i="9" s="1"/>
  <c r="ET78" i="9"/>
  <c r="EW63" i="9"/>
  <c r="EX62" i="9"/>
  <c r="EU66" i="9"/>
  <c r="GL65" i="9"/>
  <c r="IU63" i="9"/>
  <c r="IV62" i="9"/>
  <c r="GG62" i="9"/>
  <c r="GH61" i="9"/>
  <c r="FC61" i="9"/>
  <c r="K94" i="20" l="1"/>
  <c r="O94" i="20" s="1"/>
  <c r="P93" i="20"/>
  <c r="U94" i="20"/>
  <c r="V94" i="20" s="1"/>
  <c r="I95" i="20"/>
  <c r="M95" i="20" s="1"/>
  <c r="G95" i="20"/>
  <c r="S95" i="20" s="1"/>
  <c r="T95" i="20" s="1"/>
  <c r="A96" i="20"/>
  <c r="H96" i="20" s="1"/>
  <c r="L96" i="20" s="1"/>
  <c r="G97" i="20"/>
  <c r="H97" i="20"/>
  <c r="L97" i="20" s="1"/>
  <c r="I97" i="20"/>
  <c r="M97" i="20" s="1"/>
  <c r="GJ64" i="9"/>
  <c r="GN64" i="9" s="1"/>
  <c r="IS83" i="9"/>
  <c r="IS84" i="9" s="1"/>
  <c r="IS85" i="9" s="1"/>
  <c r="GA96" i="9"/>
  <c r="HQ96" i="9"/>
  <c r="E96" i="9"/>
  <c r="HC96" i="9"/>
  <c r="HL96" i="9"/>
  <c r="HF96" i="9"/>
  <c r="HI96" i="9"/>
  <c r="C98" i="9"/>
  <c r="ET79" i="9"/>
  <c r="ET80" i="9" s="1"/>
  <c r="EW64" i="9"/>
  <c r="EX63" i="9"/>
  <c r="EU67" i="9"/>
  <c r="GL66" i="9"/>
  <c r="IV63" i="9"/>
  <c r="IU64" i="9"/>
  <c r="GH62" i="9"/>
  <c r="GG63" i="9"/>
  <c r="FC62" i="9"/>
  <c r="P94" i="20" l="1"/>
  <c r="I96" i="20"/>
  <c r="M96" i="20" s="1"/>
  <c r="G96" i="20"/>
  <c r="S96" i="20" s="1"/>
  <c r="T96" i="20" s="1"/>
  <c r="K95" i="20"/>
  <c r="O95" i="20" s="1"/>
  <c r="U95" i="20"/>
  <c r="V95" i="20" s="1"/>
  <c r="U97" i="20"/>
  <c r="V97" i="20" s="1"/>
  <c r="K97" i="20"/>
  <c r="P97" i="20" s="1"/>
  <c r="S97" i="20"/>
  <c r="T97" i="20" s="1"/>
  <c r="IS86" i="9"/>
  <c r="C99" i="9"/>
  <c r="A98" i="9"/>
  <c r="E97" i="9"/>
  <c r="HI97" i="9"/>
  <c r="HF97" i="9"/>
  <c r="HL97" i="9"/>
  <c r="GA97" i="9"/>
  <c r="HC97" i="9"/>
  <c r="HQ97" i="9"/>
  <c r="GJ65" i="9"/>
  <c r="GN65" i="9" s="1"/>
  <c r="ET81" i="9"/>
  <c r="EU68" i="9"/>
  <c r="EW65" i="9"/>
  <c r="EX64" i="9"/>
  <c r="GL67" i="9"/>
  <c r="IV64" i="9"/>
  <c r="IU65" i="9"/>
  <c r="GH63" i="9"/>
  <c r="GG64" i="9"/>
  <c r="FC63" i="9"/>
  <c r="FC64" i="9"/>
  <c r="K96" i="20" l="1"/>
  <c r="O96" i="20" s="1"/>
  <c r="U96" i="20"/>
  <c r="V96" i="20" s="1"/>
  <c r="P95" i="20"/>
  <c r="A98" i="20"/>
  <c r="G98" i="20" s="1"/>
  <c r="O97" i="20"/>
  <c r="IS87" i="9"/>
  <c r="GJ66" i="9"/>
  <c r="GN66" i="9" s="1"/>
  <c r="HC98" i="9"/>
  <c r="E98" i="9"/>
  <c r="HQ98" i="9"/>
  <c r="HI98" i="9"/>
  <c r="GA98" i="9"/>
  <c r="HL98" i="9"/>
  <c r="HF98" i="9"/>
  <c r="ET83" i="9"/>
  <c r="C100" i="9"/>
  <c r="A99" i="9"/>
  <c r="IV65" i="9"/>
  <c r="IU66" i="9"/>
  <c r="GL68" i="9"/>
  <c r="EW66" i="9"/>
  <c r="EX65" i="9"/>
  <c r="EU69" i="9"/>
  <c r="GH64" i="9"/>
  <c r="GG65" i="9"/>
  <c r="I98" i="20" l="1"/>
  <c r="M98" i="20" s="1"/>
  <c r="H98" i="20"/>
  <c r="L98" i="20" s="1"/>
  <c r="P96" i="20"/>
  <c r="A99" i="20"/>
  <c r="H99" i="20" s="1"/>
  <c r="L99" i="20" s="1"/>
  <c r="K98" i="20"/>
  <c r="IS88" i="9"/>
  <c r="IS89" i="9" s="1"/>
  <c r="ET84" i="9"/>
  <c r="ET85" i="9" s="1"/>
  <c r="C101" i="9"/>
  <c r="A100" i="9"/>
  <c r="HQ99" i="9"/>
  <c r="HF99" i="9"/>
  <c r="HL99" i="9"/>
  <c r="HI99" i="9"/>
  <c r="GA99" i="9"/>
  <c r="E99" i="9"/>
  <c r="HC99" i="9"/>
  <c r="GJ67" i="9"/>
  <c r="GN67" i="9" s="1"/>
  <c r="GL69" i="9"/>
  <c r="IU67" i="9"/>
  <c r="IV66" i="9"/>
  <c r="EW67" i="9"/>
  <c r="EX66" i="9"/>
  <c r="GH65" i="9"/>
  <c r="GG66" i="9"/>
  <c r="U98" i="20" l="1"/>
  <c r="V98" i="20" s="1"/>
  <c r="S98" i="20"/>
  <c r="T98" i="20" s="1"/>
  <c r="P98" i="20"/>
  <c r="I99" i="20"/>
  <c r="M99" i="20" s="1"/>
  <c r="G99" i="20"/>
  <c r="K99" i="20" s="1"/>
  <c r="O99" i="20" s="1"/>
  <c r="A100" i="20"/>
  <c r="G100" i="20" s="1"/>
  <c r="O98" i="20"/>
  <c r="IS90" i="9"/>
  <c r="ET86" i="9"/>
  <c r="GJ68" i="9"/>
  <c r="GN68" i="9" s="1"/>
  <c r="HC100" i="9"/>
  <c r="E100" i="9"/>
  <c r="GA100" i="9"/>
  <c r="HQ100" i="9"/>
  <c r="HI100" i="9"/>
  <c r="HF100" i="9"/>
  <c r="HL100" i="9"/>
  <c r="C102" i="9"/>
  <c r="A101" i="9"/>
  <c r="EW68" i="9"/>
  <c r="EX67" i="9"/>
  <c r="GH66" i="9"/>
  <c r="GG67" i="9"/>
  <c r="IU68" i="9"/>
  <c r="IV67" i="9"/>
  <c r="EU71" i="9"/>
  <c r="H100" i="20" l="1"/>
  <c r="L100" i="20" s="1"/>
  <c r="I100" i="20"/>
  <c r="M100" i="20" s="1"/>
  <c r="S99" i="20"/>
  <c r="T99" i="20" s="1"/>
  <c r="U99" i="20"/>
  <c r="V99" i="20" s="1"/>
  <c r="A101" i="20"/>
  <c r="G101" i="20" s="1"/>
  <c r="P99" i="20"/>
  <c r="K100" i="20"/>
  <c r="IS91" i="9"/>
  <c r="IS92" i="9" s="1"/>
  <c r="IS93" i="9" s="1"/>
  <c r="IS95" i="9" s="1"/>
  <c r="IS96" i="9" s="1"/>
  <c r="IS97" i="9" s="1"/>
  <c r="IS98" i="9" s="1"/>
  <c r="IS99" i="9" s="1"/>
  <c r="IS100" i="9" s="1"/>
  <c r="IS101" i="9" s="1"/>
  <c r="IS102" i="9" s="1"/>
  <c r="IS103" i="9" s="1"/>
  <c r="IS104" i="9" s="1"/>
  <c r="ET87" i="9"/>
  <c r="GA101" i="9"/>
  <c r="HI101" i="9"/>
  <c r="E101" i="9"/>
  <c r="HL101" i="9"/>
  <c r="HF101" i="9"/>
  <c r="HC101" i="9"/>
  <c r="HQ101" i="9"/>
  <c r="C103" i="9"/>
  <c r="A102" i="9"/>
  <c r="GJ69" i="9"/>
  <c r="GN69" i="9" s="1"/>
  <c r="IU69" i="9"/>
  <c r="IV68" i="9"/>
  <c r="GL71" i="9"/>
  <c r="GG68" i="9"/>
  <c r="GH67" i="9"/>
  <c r="EU72" i="9"/>
  <c r="EW69" i="9"/>
  <c r="EX68" i="9"/>
  <c r="S100" i="20" l="1"/>
  <c r="T100" i="20" s="1"/>
  <c r="P100" i="20"/>
  <c r="U100" i="20"/>
  <c r="V100" i="20" s="1"/>
  <c r="I101" i="20"/>
  <c r="M101" i="20" s="1"/>
  <c r="H101" i="20"/>
  <c r="L101" i="20" s="1"/>
  <c r="A102" i="20"/>
  <c r="G102" i="20" s="1"/>
  <c r="O100" i="20"/>
  <c r="IS105" i="9"/>
  <c r="IS107" i="9" s="1"/>
  <c r="IS108" i="9" s="1"/>
  <c r="K101" i="20"/>
  <c r="ET88" i="9"/>
  <c r="ET89" i="9" s="1"/>
  <c r="A103" i="9"/>
  <c r="C104" i="9"/>
  <c r="HC102" i="9"/>
  <c r="HQ102" i="9"/>
  <c r="HF102" i="9"/>
  <c r="HL102" i="9"/>
  <c r="HI102" i="9"/>
  <c r="E102" i="9"/>
  <c r="GA102" i="9"/>
  <c r="EU73" i="9"/>
  <c r="GL72" i="9"/>
  <c r="EX69" i="9"/>
  <c r="GG69" i="9"/>
  <c r="GH68" i="9"/>
  <c r="IV69" i="9"/>
  <c r="P101" i="20" l="1"/>
  <c r="U101" i="20"/>
  <c r="V101" i="20" s="1"/>
  <c r="S101" i="20"/>
  <c r="T101" i="20" s="1"/>
  <c r="I102" i="20"/>
  <c r="M102" i="20" s="1"/>
  <c r="H102" i="20"/>
  <c r="L102" i="20" s="1"/>
  <c r="A103" i="20"/>
  <c r="H103" i="20" s="1"/>
  <c r="L103" i="20" s="1"/>
  <c r="IS109" i="9"/>
  <c r="IS110" i="9" s="1"/>
  <c r="IS111" i="9" s="1"/>
  <c r="O101" i="20"/>
  <c r="K102" i="20"/>
  <c r="ET90" i="9"/>
  <c r="GJ71" i="9"/>
  <c r="GN71" i="9" s="1"/>
  <c r="A104" i="9"/>
  <c r="C105" i="9"/>
  <c r="HF103" i="9"/>
  <c r="HI103" i="9"/>
  <c r="HL103" i="9"/>
  <c r="HQ103" i="9"/>
  <c r="E103" i="9"/>
  <c r="HC103" i="9"/>
  <c r="GA103" i="9"/>
  <c r="IU71" i="9"/>
  <c r="IV70" i="9"/>
  <c r="EW71" i="9"/>
  <c r="EX70" i="9"/>
  <c r="EU74" i="9"/>
  <c r="GH69" i="9"/>
  <c r="GL73" i="9"/>
  <c r="U102" i="20" l="1"/>
  <c r="V102" i="20" s="1"/>
  <c r="P102" i="20"/>
  <c r="S102" i="20"/>
  <c r="T102" i="20" s="1"/>
  <c r="I103" i="20"/>
  <c r="M103" i="20" s="1"/>
  <c r="G103" i="20"/>
  <c r="K103" i="20" s="1"/>
  <c r="A104" i="20"/>
  <c r="I104" i="20" s="1"/>
  <c r="M104" i="20" s="1"/>
  <c r="IS112" i="9"/>
  <c r="IS113" i="9" s="1"/>
  <c r="O102" i="20"/>
  <c r="ET91" i="9"/>
  <c r="ET92" i="9" s="1"/>
  <c r="ET93" i="9" s="1"/>
  <c r="ET95" i="9" s="1"/>
  <c r="ET96" i="9" s="1"/>
  <c r="HF104" i="9"/>
  <c r="HL104" i="9"/>
  <c r="HI104" i="9"/>
  <c r="HQ104" i="9"/>
  <c r="E104" i="9"/>
  <c r="GA104" i="9"/>
  <c r="HC104" i="9"/>
  <c r="A105" i="9"/>
  <c r="C106" i="9"/>
  <c r="GJ72" i="9"/>
  <c r="GN72" i="9" s="1"/>
  <c r="GL74" i="9"/>
  <c r="EU75" i="9"/>
  <c r="EU76" i="9" s="1"/>
  <c r="IU72" i="9"/>
  <c r="IV71" i="9"/>
  <c r="GH70" i="9"/>
  <c r="EW72" i="9"/>
  <c r="EX71" i="9"/>
  <c r="H104" i="20" l="1"/>
  <c r="L104" i="20" s="1"/>
  <c r="G104" i="20"/>
  <c r="K104" i="20" s="1"/>
  <c r="P103" i="20"/>
  <c r="U103" i="20"/>
  <c r="V103" i="20" s="1"/>
  <c r="S103" i="20"/>
  <c r="T103" i="20" s="1"/>
  <c r="IS114" i="9"/>
  <c r="A105" i="20"/>
  <c r="G105" i="20" s="1"/>
  <c r="O103" i="20"/>
  <c r="ET97" i="9"/>
  <c r="ET98" i="9" s="1"/>
  <c r="ET99" i="9" s="1"/>
  <c r="ET100" i="9" s="1"/>
  <c r="ET101" i="9" s="1"/>
  <c r="ET102" i="9" s="1"/>
  <c r="ET103" i="9" s="1"/>
  <c r="ET104" i="9" s="1"/>
  <c r="HQ105" i="9"/>
  <c r="GA105" i="9"/>
  <c r="HC105" i="9"/>
  <c r="HL105" i="9"/>
  <c r="E105" i="9"/>
  <c r="HF105" i="9"/>
  <c r="HI105" i="9"/>
  <c r="GJ73" i="9"/>
  <c r="GN73" i="9" s="1"/>
  <c r="A106" i="9"/>
  <c r="C107" i="9"/>
  <c r="EU77" i="9"/>
  <c r="GL75" i="9"/>
  <c r="EW73" i="9"/>
  <c r="EX72" i="9"/>
  <c r="IU73" i="9"/>
  <c r="IV72" i="9"/>
  <c r="GG72" i="9"/>
  <c r="GH71" i="9"/>
  <c r="U104" i="20" l="1"/>
  <c r="V104" i="20" s="1"/>
  <c r="O104" i="20"/>
  <c r="S104" i="20"/>
  <c r="T104" i="20" s="1"/>
  <c r="I105" i="20"/>
  <c r="M105" i="20" s="1"/>
  <c r="H105" i="20"/>
  <c r="L105" i="20" s="1"/>
  <c r="IS115" i="9"/>
  <c r="A106" i="20"/>
  <c r="G106" i="20" s="1"/>
  <c r="K105" i="20"/>
  <c r="P104" i="20"/>
  <c r="ET105" i="9"/>
  <c r="ET107" i="9" s="1"/>
  <c r="GJ74" i="9"/>
  <c r="GN74" i="9" s="1"/>
  <c r="C108" i="9"/>
  <c r="A107" i="9"/>
  <c r="GA106" i="9"/>
  <c r="HC106" i="9"/>
  <c r="E106" i="9"/>
  <c r="HI106" i="9"/>
  <c r="HQ106" i="9"/>
  <c r="HL106" i="9"/>
  <c r="HF106" i="9"/>
  <c r="GL76" i="9"/>
  <c r="EU78" i="9"/>
  <c r="IU74" i="9"/>
  <c r="IV73" i="9"/>
  <c r="GG73" i="9"/>
  <c r="GH72" i="9"/>
  <c r="EW74" i="9"/>
  <c r="EX73" i="9"/>
  <c r="I106" i="20" l="1"/>
  <c r="M106" i="20" s="1"/>
  <c r="P105" i="20"/>
  <c r="U105" i="20"/>
  <c r="V105" i="20" s="1"/>
  <c r="H106" i="20"/>
  <c r="L106" i="20" s="1"/>
  <c r="S105" i="20"/>
  <c r="T105" i="20" s="1"/>
  <c r="IS116" i="9"/>
  <c r="IS117" i="9" s="1"/>
  <c r="IS119" i="9" s="1"/>
  <c r="IS120" i="9" s="1"/>
  <c r="IS121" i="9" s="1"/>
  <c r="IS122" i="9" s="1"/>
  <c r="A107" i="20"/>
  <c r="G107" i="20" s="1"/>
  <c r="K106" i="20"/>
  <c r="ET108" i="9"/>
  <c r="ET109" i="9" s="1"/>
  <c r="O105" i="20"/>
  <c r="HC107" i="9"/>
  <c r="HI107" i="9"/>
  <c r="HQ107" i="9"/>
  <c r="GA107" i="9"/>
  <c r="HL107" i="9"/>
  <c r="E107" i="9"/>
  <c r="HF107" i="9"/>
  <c r="C109" i="9"/>
  <c r="A108" i="9"/>
  <c r="GJ75" i="9"/>
  <c r="GN75" i="9" s="1"/>
  <c r="EU79" i="9"/>
  <c r="EU80" i="9" s="1"/>
  <c r="IV74" i="9"/>
  <c r="IU75" i="9"/>
  <c r="GL77" i="9"/>
  <c r="EW75" i="9"/>
  <c r="EX74" i="9"/>
  <c r="GG74" i="9"/>
  <c r="GH73" i="9"/>
  <c r="IS123" i="9" l="1"/>
  <c r="IS124" i="9" s="1"/>
  <c r="IS125" i="9" s="1"/>
  <c r="IS126" i="9" s="1"/>
  <c r="IS127" i="9" s="1"/>
  <c r="IS128" i="9" s="1"/>
  <c r="IS129" i="9" s="1"/>
  <c r="IS130" i="9" s="1"/>
  <c r="IS131" i="9" s="1"/>
  <c r="S106" i="20"/>
  <c r="T106" i="20" s="1"/>
  <c r="H107" i="20"/>
  <c r="L107" i="20" s="1"/>
  <c r="U106" i="20"/>
  <c r="V106" i="20" s="1"/>
  <c r="I107" i="20"/>
  <c r="M107" i="20" s="1"/>
  <c r="O106" i="20"/>
  <c r="A108" i="20"/>
  <c r="H108" i="20" s="1"/>
  <c r="L108" i="20" s="1"/>
  <c r="P106" i="20"/>
  <c r="K107" i="20"/>
  <c r="ET110" i="9"/>
  <c r="ET111" i="9" s="1"/>
  <c r="A109" i="9"/>
  <c r="C110" i="9"/>
  <c r="GJ76" i="9"/>
  <c r="GN76" i="9" s="1"/>
  <c r="HF108" i="9"/>
  <c r="HQ108" i="9"/>
  <c r="E108" i="9"/>
  <c r="GA108" i="9"/>
  <c r="HI108" i="9"/>
  <c r="HL108" i="9"/>
  <c r="HC108" i="9"/>
  <c r="EU81" i="9"/>
  <c r="IU76" i="9"/>
  <c r="IV75" i="9"/>
  <c r="EX75" i="9"/>
  <c r="EW76" i="9"/>
  <c r="GH74" i="9"/>
  <c r="GG75" i="9"/>
  <c r="GL78" i="9"/>
  <c r="IS132" i="9" l="1"/>
  <c r="IS133" i="9" s="1"/>
  <c r="I108" i="20"/>
  <c r="M108" i="20" s="1"/>
  <c r="G108" i="20"/>
  <c r="K108" i="20" s="1"/>
  <c r="O108" i="20" s="1"/>
  <c r="O107" i="20"/>
  <c r="S107" i="20"/>
  <c r="T107" i="20" s="1"/>
  <c r="U107" i="20"/>
  <c r="V107" i="20" s="1"/>
  <c r="A109" i="20"/>
  <c r="H109" i="20" s="1"/>
  <c r="L109" i="20" s="1"/>
  <c r="ET112" i="9"/>
  <c r="ET113" i="9" s="1"/>
  <c r="P107" i="20"/>
  <c r="GJ77" i="9"/>
  <c r="GN77" i="9" s="1"/>
  <c r="EU83" i="9"/>
  <c r="C111" i="9"/>
  <c r="A110" i="9"/>
  <c r="HL109" i="9"/>
  <c r="HQ109" i="9"/>
  <c r="HC109" i="9"/>
  <c r="GA109" i="9"/>
  <c r="HF109" i="9"/>
  <c r="E109" i="9"/>
  <c r="HI109" i="9"/>
  <c r="EW77" i="9"/>
  <c r="EX76" i="9"/>
  <c r="GL79" i="9"/>
  <c r="GG76" i="9"/>
  <c r="GH75" i="9"/>
  <c r="IU77" i="9"/>
  <c r="IV76" i="9"/>
  <c r="IS134" i="9" l="1"/>
  <c r="IS135" i="9" s="1"/>
  <c r="IS136" i="9" s="1"/>
  <c r="IS137" i="9" s="1"/>
  <c r="I109" i="20"/>
  <c r="M109" i="20" s="1"/>
  <c r="G109" i="20"/>
  <c r="S109" i="20" s="1"/>
  <c r="T109" i="20" s="1"/>
  <c r="U108" i="20"/>
  <c r="V108" i="20" s="1"/>
  <c r="S108" i="20"/>
  <c r="T108" i="20" s="1"/>
  <c r="ET114" i="9"/>
  <c r="A110" i="20"/>
  <c r="P108" i="20"/>
  <c r="EU84" i="9"/>
  <c r="EU85" i="9" s="1"/>
  <c r="HI110" i="9"/>
  <c r="E110" i="9"/>
  <c r="HQ110" i="9"/>
  <c r="HF110" i="9"/>
  <c r="GA110" i="9"/>
  <c r="HC110" i="9"/>
  <c r="HL110" i="9"/>
  <c r="A111" i="9"/>
  <c r="C112" i="9"/>
  <c r="GJ78" i="9"/>
  <c r="GN78" i="9" s="1"/>
  <c r="GL80" i="9"/>
  <c r="IU78" i="9"/>
  <c r="IV77" i="9"/>
  <c r="GG77" i="9"/>
  <c r="GH76" i="9"/>
  <c r="EW78" i="9"/>
  <c r="EX77" i="9"/>
  <c r="G110" i="20" l="1"/>
  <c r="H110" i="20"/>
  <c r="L110" i="20" s="1"/>
  <c r="I110" i="20"/>
  <c r="M110" i="20" s="1"/>
  <c r="U109" i="20"/>
  <c r="V109" i="20" s="1"/>
  <c r="K109" i="20"/>
  <c r="P109" i="20" s="1"/>
  <c r="ET115" i="9"/>
  <c r="A111" i="20"/>
  <c r="BU2" i="93"/>
  <c r="BV2" i="93" s="1"/>
  <c r="BV1" i="93" s="1"/>
  <c r="BL12" i="93"/>
  <c r="BQ24" i="93"/>
  <c r="BG24" i="93"/>
  <c r="BG15" i="93"/>
  <c r="BG12" i="93"/>
  <c r="BU18" i="93"/>
  <c r="BQ8" i="93"/>
  <c r="BL22" i="93"/>
  <c r="BL15" i="93"/>
  <c r="BL2" i="93"/>
  <c r="BQ7" i="93"/>
  <c r="BQ18" i="93"/>
  <c r="BG23" i="93"/>
  <c r="BG16" i="93"/>
  <c r="BU20" i="93"/>
  <c r="BU11" i="93"/>
  <c r="BQ16" i="93"/>
  <c r="BL20" i="93"/>
  <c r="BL14" i="93"/>
  <c r="BQ14" i="93"/>
  <c r="BG7" i="93"/>
  <c r="CI2" i="93"/>
  <c r="CJ2" i="93" s="1"/>
  <c r="BL8" i="93"/>
  <c r="BL6" i="93"/>
  <c r="BQ21" i="93"/>
  <c r="BQ20" i="93"/>
  <c r="BQ11" i="93"/>
  <c r="BG21" i="93"/>
  <c r="BG22" i="93"/>
  <c r="BG13" i="93"/>
  <c r="BU24" i="93"/>
  <c r="BU22" i="93"/>
  <c r="BU15" i="93"/>
  <c r="BU12" i="93"/>
  <c r="BG5" i="93"/>
  <c r="BG9" i="93"/>
  <c r="BL24" i="93"/>
  <c r="BL21" i="93"/>
  <c r="BL16" i="93"/>
  <c r="BL9" i="93"/>
  <c r="BQ12" i="93"/>
  <c r="BQ9" i="93"/>
  <c r="BQ2" i="93"/>
  <c r="BR2" i="93" s="1"/>
  <c r="BR1" i="93" s="1"/>
  <c r="BU8" i="93"/>
  <c r="BG2" i="93"/>
  <c r="BQ22" i="93"/>
  <c r="BQ17" i="93"/>
  <c r="BQ6" i="93"/>
  <c r="BG20" i="93"/>
  <c r="BG17" i="93"/>
  <c r="BG14" i="93"/>
  <c r="BU23" i="93"/>
  <c r="BU19" i="93"/>
  <c r="BU14" i="93"/>
  <c r="BQ10" i="93"/>
  <c r="BL23" i="93"/>
  <c r="BL18" i="93"/>
  <c r="BL13" i="93"/>
  <c r="BG10" i="93"/>
  <c r="BG6" i="93"/>
  <c r="BU7" i="93"/>
  <c r="BQ19" i="93"/>
  <c r="BQ15" i="93"/>
  <c r="BG19" i="93"/>
  <c r="BU21" i="93"/>
  <c r="BU16" i="93"/>
  <c r="BU9" i="93"/>
  <c r="BU6" i="93"/>
  <c r="BL7" i="93"/>
  <c r="BL19" i="93"/>
  <c r="BL11" i="93"/>
  <c r="BQ23" i="93"/>
  <c r="BG18" i="93"/>
  <c r="BG11" i="93"/>
  <c r="BU17" i="93"/>
  <c r="BG8" i="93"/>
  <c r="BL17" i="93"/>
  <c r="BL10" i="93"/>
  <c r="EU86" i="9"/>
  <c r="C113" i="9"/>
  <c r="A112" i="9"/>
  <c r="HQ111" i="9"/>
  <c r="HI111" i="9"/>
  <c r="GA111" i="9"/>
  <c r="HC111" i="9"/>
  <c r="E111" i="9"/>
  <c r="HL111" i="9"/>
  <c r="HF111" i="9"/>
  <c r="GJ79" i="9"/>
  <c r="GN79" i="9" s="1"/>
  <c r="GL81" i="9"/>
  <c r="IV78" i="9"/>
  <c r="IU79" i="9"/>
  <c r="GG78" i="9"/>
  <c r="GH77" i="9"/>
  <c r="EW79" i="9"/>
  <c r="EX78" i="9"/>
  <c r="K110" i="20" l="1"/>
  <c r="P110" i="20" s="1"/>
  <c r="U110" i="20"/>
  <c r="V110" i="20" s="1"/>
  <c r="S110" i="20"/>
  <c r="T110" i="20" s="1"/>
  <c r="O109" i="20"/>
  <c r="ET116" i="9"/>
  <c r="A112" i="20"/>
  <c r="BG23" i="94"/>
  <c r="BG13" i="94"/>
  <c r="BL2" i="94"/>
  <c r="BQ17" i="94"/>
  <c r="BQ7" i="94"/>
  <c r="BQ2" i="94"/>
  <c r="BR2" i="94" s="1"/>
  <c r="BR1" i="94" s="1"/>
  <c r="BU23" i="94"/>
  <c r="CI2" i="94"/>
  <c r="CJ2" i="94" s="1"/>
  <c r="BU14" i="94"/>
  <c r="BU2" i="94"/>
  <c r="BV2" i="94" s="1"/>
  <c r="BV1" i="94" s="1"/>
  <c r="BG6" i="94"/>
  <c r="BU6" i="94"/>
  <c r="BU7" i="94"/>
  <c r="BU8" i="94"/>
  <c r="BG12" i="94"/>
  <c r="BG14" i="94"/>
  <c r="BG16" i="94"/>
  <c r="BU16" i="94"/>
  <c r="BG17" i="94"/>
  <c r="BQ18" i="94"/>
  <c r="BU9" i="94"/>
  <c r="BG2" i="94"/>
  <c r="BG18" i="94"/>
  <c r="BU19" i="94"/>
  <c r="BG21" i="94"/>
  <c r="BU21" i="94"/>
  <c r="BQ6" i="94"/>
  <c r="BG20" i="94"/>
  <c r="BL24" i="94"/>
  <c r="BL23" i="94"/>
  <c r="BL19" i="94"/>
  <c r="BL21" i="94"/>
  <c r="BL20" i="94"/>
  <c r="BL16" i="94"/>
  <c r="BL10" i="94"/>
  <c r="BL9" i="94"/>
  <c r="BL8" i="94"/>
  <c r="BL15" i="94"/>
  <c r="BG5" i="94"/>
  <c r="BL7" i="94"/>
  <c r="BL14" i="94"/>
  <c r="BL6" i="94"/>
  <c r="BL13" i="94"/>
  <c r="BL17" i="94"/>
  <c r="BQ24" i="94"/>
  <c r="BQ19" i="94"/>
  <c r="BQ23" i="94"/>
  <c r="BQ22" i="94"/>
  <c r="BQ21" i="94"/>
  <c r="BQ14" i="94"/>
  <c r="BQ10" i="94"/>
  <c r="BQ9" i="94"/>
  <c r="BQ8" i="94"/>
  <c r="BQ20" i="94"/>
  <c r="BQ16" i="94"/>
  <c r="BG11" i="94"/>
  <c r="BL11" i="94"/>
  <c r="BQ11" i="94"/>
  <c r="BL12" i="94"/>
  <c r="BQ12" i="94"/>
  <c r="BQ15" i="94"/>
  <c r="BL18" i="94"/>
  <c r="BL22" i="94"/>
  <c r="BG24" i="94"/>
  <c r="BG19" i="94"/>
  <c r="BG22" i="94"/>
  <c r="BU20" i="94"/>
  <c r="BU22" i="94"/>
  <c r="BU17" i="94"/>
  <c r="BU12" i="94"/>
  <c r="BG8" i="94"/>
  <c r="BG9" i="94"/>
  <c r="BG10" i="94"/>
  <c r="BU11" i="94"/>
  <c r="BG15" i="94"/>
  <c r="BU15" i="94"/>
  <c r="BU18" i="94"/>
  <c r="BU24" i="94"/>
  <c r="BG7" i="94"/>
  <c r="BI2" i="93"/>
  <c r="BI1" i="93" s="1"/>
  <c r="BH2" i="93"/>
  <c r="BH1" i="93" s="1"/>
  <c r="BR23" i="93"/>
  <c r="O23" i="93" s="1"/>
  <c r="P23" i="93" s="1"/>
  <c r="BR6" i="93"/>
  <c r="BR8" i="93"/>
  <c r="O8" i="93" s="1"/>
  <c r="P8" i="93" s="1"/>
  <c r="BR9" i="93"/>
  <c r="O9" i="93" s="1"/>
  <c r="P9" i="93" s="1"/>
  <c r="BR24" i="93"/>
  <c r="O24" i="93" s="1"/>
  <c r="P24" i="93" s="1"/>
  <c r="BR21" i="93"/>
  <c r="O21" i="93" s="1"/>
  <c r="P21" i="93" s="1"/>
  <c r="BR20" i="93"/>
  <c r="O20" i="93" s="1"/>
  <c r="P20" i="93" s="1"/>
  <c r="BR10" i="93"/>
  <c r="O10" i="93" s="1"/>
  <c r="P10" i="93" s="1"/>
  <c r="BR16" i="93"/>
  <c r="O16" i="93" s="1"/>
  <c r="P16" i="93" s="1"/>
  <c r="BR15" i="93"/>
  <c r="O15" i="93" s="1"/>
  <c r="P15" i="93" s="1"/>
  <c r="BR19" i="93"/>
  <c r="O19" i="93" s="1"/>
  <c r="P19" i="93" s="1"/>
  <c r="BR17" i="93"/>
  <c r="O17" i="93" s="1"/>
  <c r="P17" i="93" s="1"/>
  <c r="BR11" i="93"/>
  <c r="O11" i="93" s="1"/>
  <c r="P11" i="93" s="1"/>
  <c r="BR7" i="93"/>
  <c r="O7" i="93" s="1"/>
  <c r="P7" i="93" s="1"/>
  <c r="BR12" i="93"/>
  <c r="O12" i="93" s="1"/>
  <c r="P12" i="93" s="1"/>
  <c r="BR18" i="93"/>
  <c r="O18" i="93" s="1"/>
  <c r="P18" i="93" s="1"/>
  <c r="BR14" i="93"/>
  <c r="O14" i="93" s="1"/>
  <c r="P14" i="93" s="1"/>
  <c r="BR22" i="93"/>
  <c r="O22" i="93" s="1"/>
  <c r="P22" i="93" s="1"/>
  <c r="BV17" i="93"/>
  <c r="Q17" i="93" s="1"/>
  <c r="R17" i="93" s="1"/>
  <c r="BV14" i="93"/>
  <c r="Q14" i="93" s="1"/>
  <c r="R14" i="93" s="1"/>
  <c r="BV18" i="93"/>
  <c r="Q18" i="93" s="1"/>
  <c r="R18" i="93" s="1"/>
  <c r="BV9" i="93"/>
  <c r="Q9" i="93" s="1"/>
  <c r="R9" i="93" s="1"/>
  <c r="BV22" i="93"/>
  <c r="Q22" i="93" s="1"/>
  <c r="R22" i="93" s="1"/>
  <c r="BV24" i="93"/>
  <c r="Q24" i="93" s="1"/>
  <c r="R24" i="93" s="1"/>
  <c r="BV21" i="93"/>
  <c r="Q21" i="93" s="1"/>
  <c r="R21" i="93" s="1"/>
  <c r="BV11" i="93"/>
  <c r="Q11" i="93" s="1"/>
  <c r="R11" i="93" s="1"/>
  <c r="BV7" i="93"/>
  <c r="Q7" i="93" s="1"/>
  <c r="R7" i="93" s="1"/>
  <c r="BV20" i="93"/>
  <c r="Q20" i="93" s="1"/>
  <c r="R20" i="93" s="1"/>
  <c r="BV23" i="93"/>
  <c r="Q23" i="93" s="1"/>
  <c r="R23" i="93" s="1"/>
  <c r="BV16" i="93"/>
  <c r="Q16" i="93" s="1"/>
  <c r="R16" i="93" s="1"/>
  <c r="BV12" i="93"/>
  <c r="Q12" i="93" s="1"/>
  <c r="R12" i="93" s="1"/>
  <c r="BV6" i="93"/>
  <c r="Q6" i="93" s="1"/>
  <c r="R6" i="93" s="1"/>
  <c r="BV19" i="93"/>
  <c r="Q19" i="93" s="1"/>
  <c r="BV15" i="93"/>
  <c r="Q15" i="93" s="1"/>
  <c r="R15" i="93" s="1"/>
  <c r="BV8" i="93"/>
  <c r="Q8" i="93" s="1"/>
  <c r="R8" i="93" s="1"/>
  <c r="BU29" i="93"/>
  <c r="CJ1" i="93"/>
  <c r="CK2" i="93"/>
  <c r="BN2" i="93"/>
  <c r="BN1" i="93" s="1"/>
  <c r="BM2" i="93"/>
  <c r="BM1" i="93" s="1"/>
  <c r="EU87" i="9"/>
  <c r="GL83" i="9"/>
  <c r="GL84" i="9" s="1"/>
  <c r="GL85" i="9" s="1"/>
  <c r="GL86" i="9" s="1"/>
  <c r="GL87" i="9" s="1"/>
  <c r="GL88" i="9" s="1"/>
  <c r="GL89" i="9" s="1"/>
  <c r="GL90" i="9" s="1"/>
  <c r="GL91" i="9" s="1"/>
  <c r="GL92" i="9" s="1"/>
  <c r="GL93" i="9" s="1"/>
  <c r="GL95" i="9" s="1"/>
  <c r="GL96" i="9" s="1"/>
  <c r="GL97" i="9" s="1"/>
  <c r="GL98" i="9" s="1"/>
  <c r="GL99" i="9" s="1"/>
  <c r="GL100" i="9" s="1"/>
  <c r="GL101" i="9" s="1"/>
  <c r="GL102" i="9" s="1"/>
  <c r="GL103" i="9" s="1"/>
  <c r="GL104" i="9" s="1"/>
  <c r="GL105" i="9" s="1"/>
  <c r="GL107" i="9" s="1"/>
  <c r="GL108" i="9" s="1"/>
  <c r="GL109" i="9" s="1"/>
  <c r="GL110" i="9" s="1"/>
  <c r="GL111" i="9" s="1"/>
  <c r="GL112" i="9" s="1"/>
  <c r="GL113" i="9" s="1"/>
  <c r="GL114" i="9" s="1"/>
  <c r="GL115" i="9" s="1"/>
  <c r="GL116" i="9" s="1"/>
  <c r="GL117" i="9" s="1"/>
  <c r="GL118" i="9" s="1"/>
  <c r="GL119" i="9" s="1"/>
  <c r="GL120" i="9" s="1"/>
  <c r="GL121" i="9" s="1"/>
  <c r="GL122" i="9" s="1"/>
  <c r="GL123" i="9" s="1"/>
  <c r="GL124" i="9" s="1"/>
  <c r="GL125" i="9" s="1"/>
  <c r="GL126" i="9" s="1"/>
  <c r="GL127" i="9" s="1"/>
  <c r="GL128" i="9" s="1"/>
  <c r="GL129" i="9" s="1"/>
  <c r="GL130" i="9" s="1"/>
  <c r="GL131" i="9" s="1"/>
  <c r="GL132" i="9" s="1"/>
  <c r="GL133" i="9" s="1"/>
  <c r="GL134" i="9" s="1"/>
  <c r="GL135" i="9" s="1"/>
  <c r="GL136" i="9" s="1"/>
  <c r="GL137" i="9" s="1"/>
  <c r="GJ80" i="9"/>
  <c r="GN80" i="9" s="1"/>
  <c r="E112" i="9"/>
  <c r="HQ112" i="9"/>
  <c r="HF112" i="9"/>
  <c r="HC112" i="9"/>
  <c r="HL112" i="9"/>
  <c r="HI112" i="9"/>
  <c r="GA112" i="9"/>
  <c r="A113" i="9"/>
  <c r="C114" i="9"/>
  <c r="IU80" i="9"/>
  <c r="IV79" i="9"/>
  <c r="EX79" i="9"/>
  <c r="EW80" i="9"/>
  <c r="GG79" i="9"/>
  <c r="GH78" i="9"/>
  <c r="O110" i="20" l="1"/>
  <c r="A113" i="20"/>
  <c r="CH2" i="95"/>
  <c r="CI2" i="95" s="1"/>
  <c r="BF24" i="95"/>
  <c r="BF23" i="95"/>
  <c r="BF22" i="95"/>
  <c r="BF21" i="95"/>
  <c r="BF20" i="95"/>
  <c r="BF19" i="95"/>
  <c r="BF18" i="95"/>
  <c r="BF17" i="95"/>
  <c r="BF16" i="95"/>
  <c r="BF15" i="95"/>
  <c r="BF14" i="95"/>
  <c r="BF13" i="95"/>
  <c r="BF12" i="95"/>
  <c r="BF11" i="95"/>
  <c r="BF10" i="95"/>
  <c r="BF9" i="95"/>
  <c r="BF8" i="95"/>
  <c r="BF7" i="95"/>
  <c r="BF6" i="95"/>
  <c r="BF5" i="95"/>
  <c r="BF2" i="95"/>
  <c r="BK24" i="95"/>
  <c r="BK23" i="95"/>
  <c r="BK22" i="95"/>
  <c r="BK21" i="95"/>
  <c r="BK20" i="95"/>
  <c r="BK19" i="95"/>
  <c r="BK18" i="95"/>
  <c r="BK17" i="95"/>
  <c r="BK16" i="95"/>
  <c r="BK15" i="95"/>
  <c r="BK14" i="95"/>
  <c r="BK13" i="95"/>
  <c r="BK12" i="95"/>
  <c r="BK11" i="95"/>
  <c r="BK10" i="95"/>
  <c r="BK9" i="95"/>
  <c r="BK8" i="95"/>
  <c r="BK7" i="95"/>
  <c r="BK6" i="95"/>
  <c r="BK2" i="95"/>
  <c r="BP24" i="95"/>
  <c r="BP23" i="95"/>
  <c r="BP22" i="95"/>
  <c r="BP21" i="95"/>
  <c r="BP20" i="95"/>
  <c r="BP19" i="95"/>
  <c r="BP18" i="95"/>
  <c r="BP17" i="95"/>
  <c r="BP16" i="95"/>
  <c r="BP15" i="95"/>
  <c r="BP14" i="95"/>
  <c r="BP12" i="95"/>
  <c r="BP11" i="95"/>
  <c r="BP10" i="95"/>
  <c r="BP9" i="95"/>
  <c r="BP8" i="95"/>
  <c r="BP7" i="95"/>
  <c r="BP6" i="95"/>
  <c r="BP2" i="95"/>
  <c r="BQ2" i="95" s="1"/>
  <c r="BQ1" i="95" s="1"/>
  <c r="BT24" i="95"/>
  <c r="BT23" i="95"/>
  <c r="BT22" i="95"/>
  <c r="BT21" i="95"/>
  <c r="BT20" i="95"/>
  <c r="BT19" i="95"/>
  <c r="BT18" i="95"/>
  <c r="BT17" i="95"/>
  <c r="BT16" i="95"/>
  <c r="BT15" i="95"/>
  <c r="BT14" i="95"/>
  <c r="BT12" i="95"/>
  <c r="BT11" i="95"/>
  <c r="BT9" i="95"/>
  <c r="BT8" i="95"/>
  <c r="BT7" i="95"/>
  <c r="BT6" i="95"/>
  <c r="BT2" i="95"/>
  <c r="BU2" i="95" s="1"/>
  <c r="BU1" i="95" s="1"/>
  <c r="ET117" i="9"/>
  <c r="BU30" i="94"/>
  <c r="BH2" i="94"/>
  <c r="BH1" i="94" s="1"/>
  <c r="BI2" i="94"/>
  <c r="BI1" i="94" s="1"/>
  <c r="BV19" i="94"/>
  <c r="Q19" i="94" s="1"/>
  <c r="BV24" i="94"/>
  <c r="Q24" i="94" s="1"/>
  <c r="R24" i="94" s="1"/>
  <c r="BV23" i="94"/>
  <c r="Q23" i="94" s="1"/>
  <c r="R23" i="94" s="1"/>
  <c r="BV17" i="94"/>
  <c r="Q17" i="94" s="1"/>
  <c r="R17" i="94" s="1"/>
  <c r="BV12" i="94"/>
  <c r="Q12" i="94" s="1"/>
  <c r="R12" i="94" s="1"/>
  <c r="BV9" i="94"/>
  <c r="Q9" i="94" s="1"/>
  <c r="R9" i="94" s="1"/>
  <c r="BV8" i="94"/>
  <c r="Q8" i="94" s="1"/>
  <c r="R8" i="94" s="1"/>
  <c r="BV21" i="94"/>
  <c r="Q21" i="94" s="1"/>
  <c r="R21" i="94" s="1"/>
  <c r="BV14" i="94"/>
  <c r="Q14" i="94" s="1"/>
  <c r="R14" i="94" s="1"/>
  <c r="BV7" i="94"/>
  <c r="Q7" i="94" s="1"/>
  <c r="R7" i="94" s="1"/>
  <c r="BV22" i="94"/>
  <c r="Q22" i="94" s="1"/>
  <c r="R22" i="94" s="1"/>
  <c r="BV15" i="94"/>
  <c r="Q15" i="94" s="1"/>
  <c r="R15" i="94" s="1"/>
  <c r="BV6" i="94"/>
  <c r="Q6" i="94" s="1"/>
  <c r="R6" i="94" s="1"/>
  <c r="BV20" i="94"/>
  <c r="Q20" i="94" s="1"/>
  <c r="R20" i="94" s="1"/>
  <c r="BV18" i="94"/>
  <c r="BV11" i="94"/>
  <c r="Q11" i="94" s="1"/>
  <c r="R11" i="94" s="1"/>
  <c r="BV16" i="94"/>
  <c r="Q16" i="94" s="1"/>
  <c r="R16" i="94" s="1"/>
  <c r="CK2" i="94"/>
  <c r="CJ1" i="94"/>
  <c r="BR23" i="94"/>
  <c r="O23" i="94" s="1"/>
  <c r="P23" i="94" s="1"/>
  <c r="BR22" i="94"/>
  <c r="O22" i="94" s="1"/>
  <c r="P22" i="94" s="1"/>
  <c r="BR21" i="94"/>
  <c r="O21" i="94" s="1"/>
  <c r="P21" i="94" s="1"/>
  <c r="BR20" i="94"/>
  <c r="O20" i="94" s="1"/>
  <c r="P20" i="94" s="1"/>
  <c r="BR19" i="94"/>
  <c r="O19" i="94" s="1"/>
  <c r="P19" i="94" s="1"/>
  <c r="BR15" i="94"/>
  <c r="O15" i="94" s="1"/>
  <c r="P15" i="94" s="1"/>
  <c r="BR14" i="94"/>
  <c r="O14" i="94" s="1"/>
  <c r="P14" i="94" s="1"/>
  <c r="BR16" i="94"/>
  <c r="O16" i="94" s="1"/>
  <c r="P16" i="94" s="1"/>
  <c r="BR7" i="94"/>
  <c r="O7" i="94" s="1"/>
  <c r="P7" i="94" s="1"/>
  <c r="BR9" i="94"/>
  <c r="O9" i="94" s="1"/>
  <c r="P9" i="94" s="1"/>
  <c r="BR18" i="94"/>
  <c r="O18" i="94" s="1"/>
  <c r="P18" i="94" s="1"/>
  <c r="BR17" i="94"/>
  <c r="O17" i="94" s="1"/>
  <c r="P17" i="94" s="1"/>
  <c r="BR8" i="94"/>
  <c r="O8" i="94" s="1"/>
  <c r="P8" i="94" s="1"/>
  <c r="BR6" i="94"/>
  <c r="BR24" i="94"/>
  <c r="O24" i="94" s="1"/>
  <c r="P24" i="94" s="1"/>
  <c r="BR12" i="94"/>
  <c r="O12" i="94" s="1"/>
  <c r="P12" i="94" s="1"/>
  <c r="BR11" i="94"/>
  <c r="O11" i="94" s="1"/>
  <c r="P11" i="94" s="1"/>
  <c r="BR10" i="94"/>
  <c r="O10" i="94" s="1"/>
  <c r="P10" i="94" s="1"/>
  <c r="BN2" i="94"/>
  <c r="BN1" i="94" s="1"/>
  <c r="BM2" i="94"/>
  <c r="BM1" i="94" s="1"/>
  <c r="BM23" i="93"/>
  <c r="G23" i="93" s="1"/>
  <c r="BM17" i="93"/>
  <c r="G17" i="93" s="1"/>
  <c r="BM13" i="93"/>
  <c r="G13" i="93" s="1"/>
  <c r="BM21" i="93"/>
  <c r="G21" i="93" s="1"/>
  <c r="BM6" i="93"/>
  <c r="G6" i="93" s="1"/>
  <c r="BM10" i="93"/>
  <c r="G10" i="93" s="1"/>
  <c r="BM22" i="93"/>
  <c r="G22" i="93" s="1"/>
  <c r="BM19" i="93"/>
  <c r="G19" i="93" s="1"/>
  <c r="BM15" i="93"/>
  <c r="G15" i="93" s="1"/>
  <c r="BM12" i="93"/>
  <c r="G12" i="93" s="1"/>
  <c r="BM20" i="93"/>
  <c r="G20" i="93" s="1"/>
  <c r="BM8" i="93"/>
  <c r="G8" i="93" s="1"/>
  <c r="BM18" i="93"/>
  <c r="G18" i="93" s="1"/>
  <c r="BM14" i="93"/>
  <c r="G14" i="93" s="1"/>
  <c r="BM11" i="93"/>
  <c r="G11" i="93" s="1"/>
  <c r="BM24" i="93"/>
  <c r="G24" i="93" s="1"/>
  <c r="BM16" i="93"/>
  <c r="G16" i="93" s="1"/>
  <c r="BM9" i="93"/>
  <c r="G9" i="93" s="1"/>
  <c r="BM7" i="93"/>
  <c r="G7" i="93" s="1"/>
  <c r="BH23" i="93"/>
  <c r="E23" i="93" s="1"/>
  <c r="BH21" i="93"/>
  <c r="E21" i="93" s="1"/>
  <c r="BH16" i="93"/>
  <c r="E16" i="93" s="1"/>
  <c r="BH10" i="93"/>
  <c r="E10" i="93" s="1"/>
  <c r="BH5" i="93"/>
  <c r="E3" i="93" s="1"/>
  <c r="BH20" i="93"/>
  <c r="E20" i="93" s="1"/>
  <c r="BH15" i="93"/>
  <c r="E15" i="93" s="1"/>
  <c r="BH11" i="93"/>
  <c r="E11" i="93" s="1"/>
  <c r="BH13" i="93"/>
  <c r="E13" i="93" s="1"/>
  <c r="BH6" i="93"/>
  <c r="E6" i="93" s="1"/>
  <c r="BH22" i="93"/>
  <c r="E22" i="93" s="1"/>
  <c r="BH18" i="93"/>
  <c r="E18" i="93" s="1"/>
  <c r="BH12" i="93"/>
  <c r="E12" i="93" s="1"/>
  <c r="BH9" i="93"/>
  <c r="E9" i="93" s="1"/>
  <c r="BH7" i="93"/>
  <c r="E7" i="93" s="1"/>
  <c r="BH24" i="93"/>
  <c r="E24" i="93" s="1"/>
  <c r="BH17" i="93"/>
  <c r="E17" i="93" s="1"/>
  <c r="BH14" i="93"/>
  <c r="E14" i="93" s="1"/>
  <c r="BH19" i="93"/>
  <c r="E19" i="93" s="1"/>
  <c r="BH8" i="93"/>
  <c r="E8" i="93" s="1"/>
  <c r="BN16" i="93"/>
  <c r="K16" i="93" s="1"/>
  <c r="BN23" i="93"/>
  <c r="K23" i="93" s="1"/>
  <c r="BN11" i="93"/>
  <c r="K11" i="93" s="1"/>
  <c r="BN18" i="93"/>
  <c r="K18" i="93" s="1"/>
  <c r="BN7" i="93"/>
  <c r="K7" i="93" s="1"/>
  <c r="BN24" i="93"/>
  <c r="K24" i="93" s="1"/>
  <c r="BN8" i="93"/>
  <c r="K8" i="93" s="1"/>
  <c r="BN13" i="93"/>
  <c r="K13" i="93" s="1"/>
  <c r="BN6" i="93"/>
  <c r="K6" i="93" s="1"/>
  <c r="BN20" i="93"/>
  <c r="K20" i="93" s="1"/>
  <c r="BN22" i="93"/>
  <c r="K22" i="93" s="1"/>
  <c r="BN17" i="93"/>
  <c r="K17" i="93" s="1"/>
  <c r="BN10" i="93"/>
  <c r="K10" i="93" s="1"/>
  <c r="BN21" i="93"/>
  <c r="K21" i="93" s="1"/>
  <c r="BN15" i="93"/>
  <c r="K15" i="93" s="1"/>
  <c r="BN14" i="93"/>
  <c r="K14" i="93" s="1"/>
  <c r="BN9" i="93"/>
  <c r="K9" i="93" s="1"/>
  <c r="BN12" i="93"/>
  <c r="K12" i="93" s="1"/>
  <c r="BN19" i="93"/>
  <c r="K19" i="93" s="1"/>
  <c r="BI21" i="93"/>
  <c r="I21" i="93" s="1"/>
  <c r="BI17" i="93"/>
  <c r="I17" i="93" s="1"/>
  <c r="BI16" i="93"/>
  <c r="I16" i="93" s="1"/>
  <c r="BI10" i="93"/>
  <c r="I10" i="93" s="1"/>
  <c r="BI5" i="93"/>
  <c r="I3" i="93" s="1"/>
  <c r="BI24" i="93"/>
  <c r="I24" i="93" s="1"/>
  <c r="BI15" i="93"/>
  <c r="I15" i="93" s="1"/>
  <c r="BI12" i="93"/>
  <c r="I12" i="93" s="1"/>
  <c r="BI8" i="93"/>
  <c r="I8" i="93" s="1"/>
  <c r="BI6" i="93"/>
  <c r="I6" i="93" s="1"/>
  <c r="BI20" i="93"/>
  <c r="I20" i="93" s="1"/>
  <c r="BI18" i="93"/>
  <c r="I18" i="93" s="1"/>
  <c r="BI19" i="93"/>
  <c r="I19" i="93" s="1"/>
  <c r="BI9" i="93"/>
  <c r="I9" i="93" s="1"/>
  <c r="BI7" i="93"/>
  <c r="I7" i="93" s="1"/>
  <c r="BI22" i="93"/>
  <c r="I22" i="93" s="1"/>
  <c r="BI23" i="93"/>
  <c r="I23" i="93" s="1"/>
  <c r="BI14" i="93"/>
  <c r="I14" i="93" s="1"/>
  <c r="BI11" i="93"/>
  <c r="I11" i="93" s="1"/>
  <c r="BI13" i="93"/>
  <c r="I13" i="93" s="1"/>
  <c r="CL2" i="93"/>
  <c r="CK1" i="93"/>
  <c r="O6" i="93"/>
  <c r="CJ22" i="93"/>
  <c r="CJ15" i="93"/>
  <c r="CJ18" i="93"/>
  <c r="CJ11" i="93"/>
  <c r="EH1" i="93"/>
  <c r="CJ8" i="93"/>
  <c r="CJ21" i="93"/>
  <c r="CJ20" i="93"/>
  <c r="CJ19" i="93"/>
  <c r="CJ17" i="93"/>
  <c r="CJ13" i="93"/>
  <c r="DI1" i="93"/>
  <c r="CJ24" i="93"/>
  <c r="CJ16" i="93"/>
  <c r="CJ7" i="93"/>
  <c r="CJ10" i="93"/>
  <c r="CJ23" i="93"/>
  <c r="CJ12" i="93"/>
  <c r="CJ14" i="93"/>
  <c r="CJ6" i="93"/>
  <c r="CJ9" i="93"/>
  <c r="EU88" i="9"/>
  <c r="EU89" i="9" s="1"/>
  <c r="GJ81" i="9"/>
  <c r="GN81" i="9" s="1"/>
  <c r="HQ113" i="9"/>
  <c r="HF113" i="9"/>
  <c r="HC113" i="9"/>
  <c r="HL113" i="9"/>
  <c r="HI113" i="9"/>
  <c r="E113" i="9"/>
  <c r="GA113" i="9"/>
  <c r="C115" i="9"/>
  <c r="A114" i="9"/>
  <c r="IV80" i="9"/>
  <c r="IU81" i="9"/>
  <c r="EW81" i="9"/>
  <c r="EX80" i="9"/>
  <c r="GH79" i="9"/>
  <c r="GG80" i="9"/>
  <c r="A114" i="20" l="1"/>
  <c r="BT20" i="96"/>
  <c r="CH2" i="96"/>
  <c r="CI2" i="96" s="1"/>
  <c r="BF24" i="96"/>
  <c r="BF23" i="96"/>
  <c r="BF22" i="96"/>
  <c r="BF21" i="96"/>
  <c r="BF20" i="96"/>
  <c r="BF19" i="96"/>
  <c r="BF18" i="96"/>
  <c r="BF17" i="96"/>
  <c r="BF16" i="96"/>
  <c r="BF15" i="96"/>
  <c r="BF14" i="96"/>
  <c r="BF13" i="96"/>
  <c r="BF12" i="96"/>
  <c r="BF11" i="96"/>
  <c r="BF10" i="96"/>
  <c r="BF9" i="96"/>
  <c r="BF8" i="96"/>
  <c r="BF7" i="96"/>
  <c r="BF6" i="96"/>
  <c r="BF5" i="96"/>
  <c r="BF2" i="96"/>
  <c r="BK24" i="96"/>
  <c r="BK23" i="96"/>
  <c r="BK22" i="96"/>
  <c r="BK21" i="96"/>
  <c r="BK20" i="96"/>
  <c r="BK19" i="96"/>
  <c r="BK18" i="96"/>
  <c r="BK17" i="96"/>
  <c r="BK16" i="96"/>
  <c r="BK15" i="96"/>
  <c r="BK14" i="96"/>
  <c r="BK13" i="96"/>
  <c r="BK12" i="96"/>
  <c r="BK11" i="96"/>
  <c r="BK10" i="96"/>
  <c r="BK9" i="96"/>
  <c r="BK8" i="96"/>
  <c r="BK7" i="96"/>
  <c r="BK6" i="96"/>
  <c r="BK2" i="96"/>
  <c r="BP24" i="96"/>
  <c r="BP23" i="96"/>
  <c r="BP22" i="96"/>
  <c r="BP21" i="96"/>
  <c r="BP20" i="96"/>
  <c r="BP19" i="96"/>
  <c r="BP18" i="96"/>
  <c r="BP17" i="96"/>
  <c r="BP16" i="96"/>
  <c r="BP15" i="96"/>
  <c r="BP14" i="96"/>
  <c r="BP12" i="96"/>
  <c r="BP11" i="96"/>
  <c r="BP10" i="96"/>
  <c r="BP9" i="96"/>
  <c r="BP8" i="96"/>
  <c r="BP7" i="96"/>
  <c r="BP6" i="96"/>
  <c r="BP2" i="96"/>
  <c r="BQ2" i="96" s="1"/>
  <c r="BQ1" i="96" s="1"/>
  <c r="BT24" i="96"/>
  <c r="BT23" i="96"/>
  <c r="BT22" i="96"/>
  <c r="BT21" i="96"/>
  <c r="BT19" i="96"/>
  <c r="BT18" i="96"/>
  <c r="BT17" i="96"/>
  <c r="BT16" i="96"/>
  <c r="BT15" i="96"/>
  <c r="BT14" i="96"/>
  <c r="BT12" i="96"/>
  <c r="BT11" i="96"/>
  <c r="BT9" i="96"/>
  <c r="BT8" i="96"/>
  <c r="BT7" i="96"/>
  <c r="BT6" i="96"/>
  <c r="BT2" i="96"/>
  <c r="BU2" i="96" s="1"/>
  <c r="BU1" i="96" s="1"/>
  <c r="ET118" i="9"/>
  <c r="ET119" i="9" s="1"/>
  <c r="ET120" i="9" s="1"/>
  <c r="ET121" i="9" s="1"/>
  <c r="ET122" i="9" s="1"/>
  <c r="BU24" i="95"/>
  <c r="Q24" i="95" s="1"/>
  <c r="R24" i="95" s="1"/>
  <c r="BU23" i="95"/>
  <c r="Q23" i="95" s="1"/>
  <c r="R23" i="95" s="1"/>
  <c r="BU22" i="95"/>
  <c r="Q22" i="95" s="1"/>
  <c r="R22" i="95" s="1"/>
  <c r="BU21" i="95"/>
  <c r="Q21" i="95" s="1"/>
  <c r="R21" i="95" s="1"/>
  <c r="BU20" i="95"/>
  <c r="Q20" i="95" s="1"/>
  <c r="R20" i="95" s="1"/>
  <c r="BU19" i="95"/>
  <c r="Q19" i="95" s="1"/>
  <c r="BU18" i="95"/>
  <c r="Q18" i="95" s="1"/>
  <c r="R18" i="95" s="1"/>
  <c r="BU17" i="95"/>
  <c r="Q17" i="95" s="1"/>
  <c r="R17" i="95" s="1"/>
  <c r="BU16" i="95"/>
  <c r="Q16" i="95" s="1"/>
  <c r="R16" i="95" s="1"/>
  <c r="BU15" i="95"/>
  <c r="Q15" i="95" s="1"/>
  <c r="R15" i="95" s="1"/>
  <c r="BU14" i="95"/>
  <c r="Q14" i="95" s="1"/>
  <c r="R14" i="95" s="1"/>
  <c r="BU12" i="95"/>
  <c r="Q12" i="95" s="1"/>
  <c r="R12" i="95" s="1"/>
  <c r="BU11" i="95"/>
  <c r="Q11" i="95" s="1"/>
  <c r="R11" i="95" s="1"/>
  <c r="BU9" i="95"/>
  <c r="Q9" i="95" s="1"/>
  <c r="R9" i="95" s="1"/>
  <c r="BU8" i="95"/>
  <c r="Q8" i="95" s="1"/>
  <c r="R8" i="95" s="1"/>
  <c r="BU7" i="95"/>
  <c r="Q7" i="95" s="1"/>
  <c r="R7" i="95" s="1"/>
  <c r="BU6" i="95"/>
  <c r="Q6" i="95" s="1"/>
  <c r="R6" i="95" s="1"/>
  <c r="BT30" i="95"/>
  <c r="BQ24" i="95"/>
  <c r="O24" i="95" s="1"/>
  <c r="P24" i="95" s="1"/>
  <c r="BQ23" i="95"/>
  <c r="O23" i="95" s="1"/>
  <c r="P23" i="95" s="1"/>
  <c r="BQ22" i="95"/>
  <c r="O22" i="95" s="1"/>
  <c r="P22" i="95" s="1"/>
  <c r="BQ21" i="95"/>
  <c r="O21" i="95" s="1"/>
  <c r="P21" i="95" s="1"/>
  <c r="BQ20" i="95"/>
  <c r="O20" i="95" s="1"/>
  <c r="P20" i="95" s="1"/>
  <c r="BQ19" i="95"/>
  <c r="O19" i="95" s="1"/>
  <c r="P19" i="95" s="1"/>
  <c r="BQ18" i="95"/>
  <c r="O18" i="95" s="1"/>
  <c r="P18" i="95" s="1"/>
  <c r="BQ17" i="95"/>
  <c r="O17" i="95" s="1"/>
  <c r="P17" i="95" s="1"/>
  <c r="BQ16" i="95"/>
  <c r="O16" i="95" s="1"/>
  <c r="P16" i="95" s="1"/>
  <c r="BQ15" i="95"/>
  <c r="O15" i="95" s="1"/>
  <c r="P15" i="95" s="1"/>
  <c r="BQ14" i="95"/>
  <c r="O14" i="95" s="1"/>
  <c r="P14" i="95" s="1"/>
  <c r="BQ12" i="95"/>
  <c r="O12" i="95" s="1"/>
  <c r="P12" i="95" s="1"/>
  <c r="BQ11" i="95"/>
  <c r="O11" i="95" s="1"/>
  <c r="P11" i="95" s="1"/>
  <c r="BQ10" i="95"/>
  <c r="O10" i="95" s="1"/>
  <c r="P10" i="95" s="1"/>
  <c r="BQ9" i="95"/>
  <c r="O9" i="95" s="1"/>
  <c r="P9" i="95" s="1"/>
  <c r="BQ8" i="95"/>
  <c r="O8" i="95" s="1"/>
  <c r="P8" i="95" s="1"/>
  <c r="BQ7" i="95"/>
  <c r="O7" i="95" s="1"/>
  <c r="P7" i="95" s="1"/>
  <c r="BQ6" i="95"/>
  <c r="O6" i="95" s="1"/>
  <c r="BM2" i="95"/>
  <c r="BM1" i="95" s="1"/>
  <c r="BL2" i="95"/>
  <c r="BL1" i="95" s="1"/>
  <c r="BH2" i="95"/>
  <c r="BH1" i="95" s="1"/>
  <c r="BG2" i="95"/>
  <c r="BG1" i="95" s="1"/>
  <c r="CJ2" i="95"/>
  <c r="CI1" i="95"/>
  <c r="BM23" i="94"/>
  <c r="G23" i="94" s="1"/>
  <c r="BM22" i="94"/>
  <c r="G22" i="94" s="1"/>
  <c r="BM20" i="94"/>
  <c r="G20" i="94" s="1"/>
  <c r="BM15" i="94"/>
  <c r="G15" i="94" s="1"/>
  <c r="BM14" i="94"/>
  <c r="G14" i="94" s="1"/>
  <c r="BM7" i="94"/>
  <c r="G7" i="94" s="1"/>
  <c r="BM24" i="94"/>
  <c r="G24" i="94" s="1"/>
  <c r="BM18" i="94"/>
  <c r="G18" i="94" s="1"/>
  <c r="BM17" i="94"/>
  <c r="G17" i="94" s="1"/>
  <c r="BM13" i="94"/>
  <c r="G13" i="94" s="1"/>
  <c r="BM8" i="94"/>
  <c r="G8" i="94" s="1"/>
  <c r="BM6" i="94"/>
  <c r="G6" i="94" s="1"/>
  <c r="BM19" i="94"/>
  <c r="G19" i="94" s="1"/>
  <c r="BM10" i="94"/>
  <c r="G10" i="94" s="1"/>
  <c r="BM21" i="94"/>
  <c r="G21" i="94" s="1"/>
  <c r="BM16" i="94"/>
  <c r="G16" i="94" s="1"/>
  <c r="BM12" i="94"/>
  <c r="G12" i="94" s="1"/>
  <c r="BM11" i="94"/>
  <c r="G11" i="94" s="1"/>
  <c r="BM9" i="94"/>
  <c r="G9" i="94" s="1"/>
  <c r="BN21" i="94"/>
  <c r="K21" i="94" s="1"/>
  <c r="BN22" i="94"/>
  <c r="K22" i="94" s="1"/>
  <c r="BN18" i="94"/>
  <c r="K18" i="94" s="1"/>
  <c r="BN16" i="94"/>
  <c r="K16" i="94" s="1"/>
  <c r="BN13" i="94"/>
  <c r="K13" i="94" s="1"/>
  <c r="BN24" i="94"/>
  <c r="K24" i="94" s="1"/>
  <c r="BN23" i="94"/>
  <c r="K23" i="94" s="1"/>
  <c r="BN15" i="94"/>
  <c r="K15" i="94" s="1"/>
  <c r="BN6" i="94"/>
  <c r="K6" i="94" s="1"/>
  <c r="BN19" i="94"/>
  <c r="K19" i="94" s="1"/>
  <c r="BN17" i="94"/>
  <c r="K17" i="94" s="1"/>
  <c r="BN14" i="94"/>
  <c r="K14" i="94" s="1"/>
  <c r="BN10" i="94"/>
  <c r="K10" i="94" s="1"/>
  <c r="BN7" i="94"/>
  <c r="K7" i="94" s="1"/>
  <c r="BN20" i="94"/>
  <c r="K20" i="94" s="1"/>
  <c r="BN12" i="94"/>
  <c r="K12" i="94" s="1"/>
  <c r="BN11" i="94"/>
  <c r="K11" i="94" s="1"/>
  <c r="BN9" i="94"/>
  <c r="K9" i="94" s="1"/>
  <c r="BN8" i="94"/>
  <c r="K8" i="94" s="1"/>
  <c r="O6" i="94"/>
  <c r="CJ24" i="94"/>
  <c r="CJ21" i="94"/>
  <c r="CJ18" i="94"/>
  <c r="CJ16" i="94"/>
  <c r="CJ13" i="94"/>
  <c r="CJ22" i="94"/>
  <c r="CJ6" i="94"/>
  <c r="CJ23" i="94"/>
  <c r="CJ14" i="94"/>
  <c r="CJ11" i="94"/>
  <c r="CJ10" i="94"/>
  <c r="CJ7" i="94"/>
  <c r="CJ19" i="94"/>
  <c r="CJ15" i="94"/>
  <c r="CJ9" i="94"/>
  <c r="DI1" i="94"/>
  <c r="CJ20" i="94"/>
  <c r="CJ17" i="94"/>
  <c r="CJ8" i="94"/>
  <c r="CJ12" i="94"/>
  <c r="EH1" i="94"/>
  <c r="CL2" i="94"/>
  <c r="CK1" i="94"/>
  <c r="Q18" i="94"/>
  <c r="R18" i="94" s="1"/>
  <c r="BI24" i="94"/>
  <c r="I24" i="94" s="1"/>
  <c r="BI21" i="94"/>
  <c r="I21" i="94" s="1"/>
  <c r="BI23" i="94"/>
  <c r="I23" i="94" s="1"/>
  <c r="BI18" i="94"/>
  <c r="I18" i="94" s="1"/>
  <c r="BI16" i="94"/>
  <c r="I16" i="94" s="1"/>
  <c r="BI13" i="94"/>
  <c r="I13" i="94" s="1"/>
  <c r="BI22" i="94"/>
  <c r="I22" i="94" s="1"/>
  <c r="BI19" i="94"/>
  <c r="I19" i="94" s="1"/>
  <c r="BI6" i="94"/>
  <c r="I6" i="94" s="1"/>
  <c r="BI17" i="94"/>
  <c r="I17" i="94" s="1"/>
  <c r="BI14" i="94"/>
  <c r="I14" i="94" s="1"/>
  <c r="BI20" i="94"/>
  <c r="I20" i="94" s="1"/>
  <c r="BI10" i="94"/>
  <c r="I10" i="94" s="1"/>
  <c r="BI7" i="94"/>
  <c r="I7" i="94" s="1"/>
  <c r="BI5" i="94"/>
  <c r="I3" i="94" s="1"/>
  <c r="BI9" i="94"/>
  <c r="I9" i="94" s="1"/>
  <c r="BI12" i="94"/>
  <c r="I12" i="94" s="1"/>
  <c r="BI11" i="94"/>
  <c r="I11" i="94" s="1"/>
  <c r="BI8" i="94"/>
  <c r="I8" i="94" s="1"/>
  <c r="BI15" i="94"/>
  <c r="I15" i="94" s="1"/>
  <c r="BH22" i="94"/>
  <c r="E22" i="94" s="1"/>
  <c r="BH23" i="94"/>
  <c r="E23" i="94" s="1"/>
  <c r="BH15" i="94"/>
  <c r="E15" i="94" s="1"/>
  <c r="BH13" i="94"/>
  <c r="E13" i="94" s="1"/>
  <c r="BH10" i="94"/>
  <c r="E10" i="94" s="1"/>
  <c r="BH12" i="94"/>
  <c r="E12" i="94" s="1"/>
  <c r="BH17" i="94"/>
  <c r="E17" i="94" s="1"/>
  <c r="BH16" i="94"/>
  <c r="E16" i="94" s="1"/>
  <c r="BH18" i="94"/>
  <c r="E18" i="94" s="1"/>
  <c r="BH20" i="94"/>
  <c r="E20" i="94" s="1"/>
  <c r="BH8" i="94"/>
  <c r="E8" i="94" s="1"/>
  <c r="BH9" i="94"/>
  <c r="E9" i="94" s="1"/>
  <c r="BH19" i="94"/>
  <c r="E19" i="94" s="1"/>
  <c r="BH21" i="94"/>
  <c r="E21" i="94" s="1"/>
  <c r="BH24" i="94"/>
  <c r="E24" i="94" s="1"/>
  <c r="BH6" i="94"/>
  <c r="E6" i="94" s="1"/>
  <c r="BH11" i="94"/>
  <c r="E11" i="94" s="1"/>
  <c r="BH5" i="94"/>
  <c r="E3" i="94" s="1"/>
  <c r="BH7" i="94"/>
  <c r="E7" i="94" s="1"/>
  <c r="BH14" i="94"/>
  <c r="E14" i="94" s="1"/>
  <c r="CK22" i="93"/>
  <c r="CK18" i="93"/>
  <c r="CK12" i="93"/>
  <c r="EI1" i="93"/>
  <c r="CK9" i="93"/>
  <c r="CK24" i="93"/>
  <c r="CK19" i="93"/>
  <c r="CK20" i="93"/>
  <c r="CK10" i="93"/>
  <c r="CK8" i="93"/>
  <c r="CK21" i="93"/>
  <c r="CK15" i="93"/>
  <c r="CK7" i="93"/>
  <c r="CK23" i="93"/>
  <c r="CK17" i="93"/>
  <c r="CK13" i="93"/>
  <c r="CK14" i="93"/>
  <c r="CK6" i="93"/>
  <c r="CK16" i="93"/>
  <c r="CK11" i="93"/>
  <c r="I32" i="93"/>
  <c r="I30" i="93"/>
  <c r="I29" i="93"/>
  <c r="I28" i="93"/>
  <c r="L6" i="93"/>
  <c r="I27" i="93"/>
  <c r="E28" i="93"/>
  <c r="E29" i="93"/>
  <c r="FG6" i="93"/>
  <c r="I26" i="93"/>
  <c r="E30" i="93"/>
  <c r="J6" i="93"/>
  <c r="L17" i="93"/>
  <c r="J17" i="93"/>
  <c r="FG17" i="93"/>
  <c r="K26" i="93"/>
  <c r="K27" i="93"/>
  <c r="F17" i="93"/>
  <c r="H17" i="93"/>
  <c r="H12" i="93"/>
  <c r="F12" i="93"/>
  <c r="CL1" i="93"/>
  <c r="CM2" i="93"/>
  <c r="L19" i="93"/>
  <c r="FG19" i="93"/>
  <c r="J19" i="93"/>
  <c r="F8" i="93"/>
  <c r="H8" i="93"/>
  <c r="H18" i="93"/>
  <c r="F18" i="93"/>
  <c r="H10" i="93"/>
  <c r="F10" i="93"/>
  <c r="EH22" i="93"/>
  <c r="CG22" i="93" s="1"/>
  <c r="EH23" i="93"/>
  <c r="CG23" i="93" s="1"/>
  <c r="EH12" i="93"/>
  <c r="CG12" i="93" s="1"/>
  <c r="EH14" i="93"/>
  <c r="CG14" i="93" s="1"/>
  <c r="EH17" i="93"/>
  <c r="CG17" i="93" s="1"/>
  <c r="EH16" i="93"/>
  <c r="CG16" i="93" s="1"/>
  <c r="EH8" i="93"/>
  <c r="CG8" i="93" s="1"/>
  <c r="EH9" i="93"/>
  <c r="CG9" i="93" s="1"/>
  <c r="EH6" i="93"/>
  <c r="CG6" i="93" s="1"/>
  <c r="EH19" i="93"/>
  <c r="CG19" i="93" s="1"/>
  <c r="EH15" i="93"/>
  <c r="CG15" i="93" s="1"/>
  <c r="EH21" i="93"/>
  <c r="CG21" i="93" s="1"/>
  <c r="EH11" i="93"/>
  <c r="CG11" i="93" s="1"/>
  <c r="EH2" i="93"/>
  <c r="EI2" i="93" s="1"/>
  <c r="EJ2" i="93" s="1"/>
  <c r="EK2" i="93" s="1"/>
  <c r="EL2" i="93" s="1"/>
  <c r="EM2" i="93" s="1"/>
  <c r="EN2" i="93" s="1"/>
  <c r="EO2" i="93" s="1"/>
  <c r="EP2" i="93" s="1"/>
  <c r="EQ2" i="93" s="1"/>
  <c r="ER2" i="93" s="1"/>
  <c r="ES2" i="93" s="1"/>
  <c r="ET2" i="93" s="1"/>
  <c r="EU2" i="93" s="1"/>
  <c r="EV2" i="93" s="1"/>
  <c r="EW2" i="93" s="1"/>
  <c r="EX2" i="93" s="1"/>
  <c r="EY2" i="93" s="1"/>
  <c r="EZ2" i="93" s="1"/>
  <c r="FA2" i="93" s="1"/>
  <c r="FB2" i="93" s="1"/>
  <c r="FC2" i="93" s="1"/>
  <c r="FD2" i="93" s="1"/>
  <c r="FE2" i="93" s="1"/>
  <c r="EH18" i="93"/>
  <c r="CG18" i="93" s="1"/>
  <c r="EH24" i="93"/>
  <c r="CG24" i="93" s="1"/>
  <c r="EH20" i="93"/>
  <c r="CG20" i="93" s="1"/>
  <c r="EH13" i="93"/>
  <c r="CG13" i="93" s="1"/>
  <c r="EH7" i="93"/>
  <c r="CG7" i="93" s="1"/>
  <c r="P6" i="93"/>
  <c r="L13" i="93"/>
  <c r="J13" i="93"/>
  <c r="FG13" i="93"/>
  <c r="J22" i="93"/>
  <c r="FG22" i="93"/>
  <c r="L22" i="93"/>
  <c r="FG18" i="93"/>
  <c r="J18" i="93"/>
  <c r="L18" i="93"/>
  <c r="FG12" i="93"/>
  <c r="L12" i="93"/>
  <c r="J12" i="93"/>
  <c r="J10" i="93"/>
  <c r="L10" i="93"/>
  <c r="FG10" i="93"/>
  <c r="H19" i="93"/>
  <c r="F19" i="93"/>
  <c r="H7" i="93"/>
  <c r="F7" i="93"/>
  <c r="H22" i="93"/>
  <c r="F22" i="93"/>
  <c r="F15" i="93"/>
  <c r="H15" i="93"/>
  <c r="H16" i="93"/>
  <c r="F16" i="93"/>
  <c r="J14" i="93"/>
  <c r="L14" i="93"/>
  <c r="FG14" i="93"/>
  <c r="J9" i="93"/>
  <c r="FG9" i="93"/>
  <c r="L9" i="93"/>
  <c r="J24" i="93"/>
  <c r="L24" i="93"/>
  <c r="FG24" i="93"/>
  <c r="F13" i="93"/>
  <c r="H13" i="93"/>
  <c r="H23" i="93"/>
  <c r="F23" i="93"/>
  <c r="L23" i="93"/>
  <c r="J23" i="93"/>
  <c r="FG23" i="93"/>
  <c r="L8" i="93"/>
  <c r="J8" i="93"/>
  <c r="FG8" i="93"/>
  <c r="J21" i="93"/>
  <c r="L21" i="93"/>
  <c r="FG21" i="93"/>
  <c r="H24" i="93"/>
  <c r="F24" i="93"/>
  <c r="H11" i="93"/>
  <c r="F11" i="93"/>
  <c r="DI17" i="93"/>
  <c r="DI15" i="93"/>
  <c r="DI18" i="93"/>
  <c r="DI11" i="93"/>
  <c r="DI2" i="93"/>
  <c r="DJ2" i="93" s="1"/>
  <c r="DI21" i="93"/>
  <c r="DI12" i="93"/>
  <c r="DI14" i="93"/>
  <c r="DI9" i="93"/>
  <c r="DI24" i="93"/>
  <c r="DI13" i="93"/>
  <c r="DI23" i="93"/>
  <c r="DI16" i="93"/>
  <c r="DI19" i="93"/>
  <c r="DI10" i="93"/>
  <c r="DI7" i="93"/>
  <c r="DI8" i="93"/>
  <c r="DI22" i="93"/>
  <c r="DI20" i="93"/>
  <c r="DI6" i="93"/>
  <c r="J11" i="93"/>
  <c r="L11" i="93"/>
  <c r="FG11" i="93"/>
  <c r="FG7" i="93"/>
  <c r="J7" i="93"/>
  <c r="L7" i="93"/>
  <c r="J20" i="93"/>
  <c r="FG20" i="93"/>
  <c r="L20" i="93"/>
  <c r="L15" i="93"/>
  <c r="J15" i="93"/>
  <c r="FG15" i="93"/>
  <c r="FG16" i="93"/>
  <c r="J16" i="93"/>
  <c r="L16" i="93"/>
  <c r="H14" i="93"/>
  <c r="F14" i="93"/>
  <c r="H9" i="93"/>
  <c r="F9" i="93"/>
  <c r="F6" i="93"/>
  <c r="E26" i="93"/>
  <c r="F26" i="93" s="1"/>
  <c r="H6" i="93"/>
  <c r="F20" i="93"/>
  <c r="H20" i="93"/>
  <c r="H21" i="93"/>
  <c r="F21" i="93"/>
  <c r="G26" i="93"/>
  <c r="EU90" i="9"/>
  <c r="E114" i="9"/>
  <c r="HF114" i="9"/>
  <c r="HL114" i="9"/>
  <c r="HQ114" i="9"/>
  <c r="HC114" i="9"/>
  <c r="HI114" i="9"/>
  <c r="GA114" i="9"/>
  <c r="EX81" i="9"/>
  <c r="C116" i="9"/>
  <c r="A115" i="9"/>
  <c r="IV81" i="9"/>
  <c r="GG81" i="9"/>
  <c r="GH80" i="9"/>
  <c r="ET123" i="9" l="1"/>
  <c r="ET124" i="9" s="1"/>
  <c r="ET125" i="9" s="1"/>
  <c r="ET126" i="9" s="1"/>
  <c r="ET127" i="9" s="1"/>
  <c r="ET128" i="9" s="1"/>
  <c r="F23" i="94"/>
  <c r="F14" i="94"/>
  <c r="A115" i="20"/>
  <c r="BT20" i="97"/>
  <c r="CH2" i="97"/>
  <c r="CI2" i="97" s="1"/>
  <c r="BF24" i="97"/>
  <c r="BF23" i="97"/>
  <c r="BF22" i="97"/>
  <c r="BF21" i="97"/>
  <c r="BF20" i="97"/>
  <c r="BF19" i="97"/>
  <c r="BF18" i="97"/>
  <c r="BF17" i="97"/>
  <c r="BF16" i="97"/>
  <c r="BF15" i="97"/>
  <c r="BF14" i="97"/>
  <c r="BF13" i="97"/>
  <c r="BF12" i="97"/>
  <c r="BF11" i="97"/>
  <c r="BF10" i="97"/>
  <c r="BF9" i="97"/>
  <c r="BF8" i="97"/>
  <c r="BF7" i="97"/>
  <c r="BF6" i="97"/>
  <c r="BF5" i="97"/>
  <c r="BF2" i="97"/>
  <c r="BK24" i="97"/>
  <c r="BK23" i="97"/>
  <c r="BK22" i="97"/>
  <c r="BK21" i="97"/>
  <c r="BK20" i="97"/>
  <c r="BK19" i="97"/>
  <c r="BK18" i="97"/>
  <c r="BK17" i="97"/>
  <c r="BK16" i="97"/>
  <c r="BK15" i="97"/>
  <c r="BK14" i="97"/>
  <c r="BK13" i="97"/>
  <c r="BK12" i="97"/>
  <c r="BK11" i="97"/>
  <c r="BK10" i="97"/>
  <c r="BK9" i="97"/>
  <c r="BK8" i="97"/>
  <c r="BK7" i="97"/>
  <c r="BK6" i="97"/>
  <c r="BK2" i="97"/>
  <c r="BP24" i="97"/>
  <c r="BP23" i="97"/>
  <c r="BP22" i="97"/>
  <c r="BP21" i="97"/>
  <c r="BP20" i="97"/>
  <c r="BP19" i="97"/>
  <c r="BP18" i="97"/>
  <c r="BP17" i="97"/>
  <c r="BP16" i="97"/>
  <c r="BP15" i="97"/>
  <c r="BP14" i="97"/>
  <c r="BP12" i="97"/>
  <c r="BP11" i="97"/>
  <c r="BP10" i="97"/>
  <c r="BP9" i="97"/>
  <c r="BP8" i="97"/>
  <c r="BP7" i="97"/>
  <c r="BP6" i="97"/>
  <c r="BP2" i="97"/>
  <c r="BQ2" i="97" s="1"/>
  <c r="BQ1" i="97" s="1"/>
  <c r="BT24" i="97"/>
  <c r="BT23" i="97"/>
  <c r="BT22" i="97"/>
  <c r="BT21" i="97"/>
  <c r="BT19" i="97"/>
  <c r="BT18" i="97"/>
  <c r="BT17" i="97"/>
  <c r="BT16" i="97"/>
  <c r="BT15" i="97"/>
  <c r="BT14" i="97"/>
  <c r="BT12" i="97"/>
  <c r="BT11" i="97"/>
  <c r="BT9" i="97"/>
  <c r="BT8" i="97"/>
  <c r="BT7" i="97"/>
  <c r="BT6" i="97"/>
  <c r="BT2" i="97"/>
  <c r="BU2" i="97" s="1"/>
  <c r="BU1" i="97" s="1"/>
  <c r="CI24" i="95"/>
  <c r="CI23" i="95"/>
  <c r="CI22" i="95"/>
  <c r="CI21" i="95"/>
  <c r="CI19" i="95"/>
  <c r="CI18" i="95"/>
  <c r="CI17" i="95"/>
  <c r="CI16" i="95"/>
  <c r="CI15" i="95"/>
  <c r="CI14" i="95"/>
  <c r="CI11" i="95"/>
  <c r="CI9" i="95"/>
  <c r="CI8" i="95"/>
  <c r="CI7" i="95"/>
  <c r="CI6" i="95"/>
  <c r="EG1" i="95"/>
  <c r="DH1" i="95"/>
  <c r="CI12" i="95"/>
  <c r="CI13" i="95"/>
  <c r="CI20" i="95"/>
  <c r="CI10" i="95"/>
  <c r="CK2" i="95"/>
  <c r="CJ1" i="95"/>
  <c r="BG9" i="95"/>
  <c r="E9" i="95" s="1"/>
  <c r="BG24" i="95"/>
  <c r="E24" i="95" s="1"/>
  <c r="BG23" i="95"/>
  <c r="E23" i="95" s="1"/>
  <c r="BG22" i="95"/>
  <c r="E22" i="95" s="1"/>
  <c r="BG21" i="95"/>
  <c r="E21" i="95" s="1"/>
  <c r="BG20" i="95"/>
  <c r="E20" i="95" s="1"/>
  <c r="BG19" i="95"/>
  <c r="E19" i="95" s="1"/>
  <c r="BG18" i="95"/>
  <c r="E18" i="95" s="1"/>
  <c r="BG17" i="95"/>
  <c r="E17" i="95" s="1"/>
  <c r="BG16" i="95"/>
  <c r="E16" i="95" s="1"/>
  <c r="BG15" i="95"/>
  <c r="E15" i="95" s="1"/>
  <c r="BG14" i="95"/>
  <c r="E14" i="95" s="1"/>
  <c r="BG13" i="95"/>
  <c r="E13" i="95" s="1"/>
  <c r="BG12" i="95"/>
  <c r="E12" i="95" s="1"/>
  <c r="BG11" i="95"/>
  <c r="E11" i="95" s="1"/>
  <c r="BG10" i="95"/>
  <c r="E10" i="95" s="1"/>
  <c r="BG8" i="95"/>
  <c r="E8" i="95" s="1"/>
  <c r="BG7" i="95"/>
  <c r="E7" i="95" s="1"/>
  <c r="BG6" i="95"/>
  <c r="E6" i="95" s="1"/>
  <c r="BG5" i="95"/>
  <c r="E3" i="95" s="1"/>
  <c r="BH24" i="95"/>
  <c r="I24" i="95" s="1"/>
  <c r="BH23" i="95"/>
  <c r="I23" i="95" s="1"/>
  <c r="BH22" i="95"/>
  <c r="I22" i="95" s="1"/>
  <c r="BH21" i="95"/>
  <c r="I21" i="95" s="1"/>
  <c r="BH20" i="95"/>
  <c r="I20" i="95" s="1"/>
  <c r="BH19" i="95"/>
  <c r="I19" i="95" s="1"/>
  <c r="BH18" i="95"/>
  <c r="I18" i="95" s="1"/>
  <c r="BH17" i="95"/>
  <c r="I17" i="95" s="1"/>
  <c r="BH16" i="95"/>
  <c r="I16" i="95" s="1"/>
  <c r="BH15" i="95"/>
  <c r="I15" i="95" s="1"/>
  <c r="BH14" i="95"/>
  <c r="I14" i="95" s="1"/>
  <c r="BH13" i="95"/>
  <c r="I13" i="95" s="1"/>
  <c r="BH12" i="95"/>
  <c r="I12" i="95" s="1"/>
  <c r="BH11" i="95"/>
  <c r="I11" i="95" s="1"/>
  <c r="BH10" i="95"/>
  <c r="I10" i="95" s="1"/>
  <c r="BH9" i="95"/>
  <c r="I9" i="95" s="1"/>
  <c r="BH8" i="95"/>
  <c r="I8" i="95" s="1"/>
  <c r="BH7" i="95"/>
  <c r="I7" i="95" s="1"/>
  <c r="BH6" i="95"/>
  <c r="I6" i="95" s="1"/>
  <c r="BH5" i="95"/>
  <c r="I3" i="95" s="1"/>
  <c r="BL24" i="95"/>
  <c r="G24" i="95" s="1"/>
  <c r="BL23" i="95"/>
  <c r="G23" i="95" s="1"/>
  <c r="BL22" i="95"/>
  <c r="G22" i="95" s="1"/>
  <c r="BL21" i="95"/>
  <c r="G21" i="95" s="1"/>
  <c r="BL20" i="95"/>
  <c r="G20" i="95" s="1"/>
  <c r="BL19" i="95"/>
  <c r="G19" i="95" s="1"/>
  <c r="BL18" i="95"/>
  <c r="G18" i="95" s="1"/>
  <c r="BL17" i="95"/>
  <c r="G17" i="95" s="1"/>
  <c r="BL16" i="95"/>
  <c r="G16" i="95" s="1"/>
  <c r="BL15" i="95"/>
  <c r="G15" i="95" s="1"/>
  <c r="BL14" i="95"/>
  <c r="G14" i="95" s="1"/>
  <c r="BL13" i="95"/>
  <c r="G13" i="95" s="1"/>
  <c r="BL12" i="95"/>
  <c r="G12" i="95" s="1"/>
  <c r="BL11" i="95"/>
  <c r="G11" i="95" s="1"/>
  <c r="BL10" i="95"/>
  <c r="G10" i="95" s="1"/>
  <c r="BL9" i="95"/>
  <c r="G9" i="95" s="1"/>
  <c r="BL8" i="95"/>
  <c r="G8" i="95" s="1"/>
  <c r="BL7" i="95"/>
  <c r="G7" i="95" s="1"/>
  <c r="BL6" i="95"/>
  <c r="G6" i="95" s="1"/>
  <c r="BM24" i="95"/>
  <c r="K24" i="95" s="1"/>
  <c r="BM23" i="95"/>
  <c r="K23" i="95" s="1"/>
  <c r="BM22" i="95"/>
  <c r="K22" i="95" s="1"/>
  <c r="BM21" i="95"/>
  <c r="K21" i="95" s="1"/>
  <c r="BM20" i="95"/>
  <c r="K20" i="95" s="1"/>
  <c r="BM19" i="95"/>
  <c r="K19" i="95" s="1"/>
  <c r="BM18" i="95"/>
  <c r="K18" i="95" s="1"/>
  <c r="BM17" i="95"/>
  <c r="K17" i="95" s="1"/>
  <c r="BM16" i="95"/>
  <c r="K16" i="95" s="1"/>
  <c r="BM15" i="95"/>
  <c r="K15" i="95" s="1"/>
  <c r="BM14" i="95"/>
  <c r="K14" i="95" s="1"/>
  <c r="BM13" i="95"/>
  <c r="K13" i="95" s="1"/>
  <c r="BM12" i="95"/>
  <c r="K12" i="95" s="1"/>
  <c r="BM11" i="95"/>
  <c r="K11" i="95" s="1"/>
  <c r="BM10" i="95"/>
  <c r="K10" i="95" s="1"/>
  <c r="BM9" i="95"/>
  <c r="K9" i="95" s="1"/>
  <c r="BM8" i="95"/>
  <c r="K8" i="95" s="1"/>
  <c r="BM7" i="95"/>
  <c r="K7" i="95" s="1"/>
  <c r="BM6" i="95"/>
  <c r="K6" i="95" s="1"/>
  <c r="P6" i="95"/>
  <c r="BU24" i="96"/>
  <c r="Q24" i="96" s="1"/>
  <c r="R24" i="96" s="1"/>
  <c r="BU23" i="96"/>
  <c r="Q23" i="96" s="1"/>
  <c r="R23" i="96" s="1"/>
  <c r="BU22" i="96"/>
  <c r="Q22" i="96" s="1"/>
  <c r="R22" i="96" s="1"/>
  <c r="BU21" i="96"/>
  <c r="Q21" i="96" s="1"/>
  <c r="R21" i="96" s="1"/>
  <c r="BU20" i="96"/>
  <c r="Q20" i="96" s="1"/>
  <c r="R20" i="96" s="1"/>
  <c r="BU19" i="96"/>
  <c r="Q19" i="96" s="1"/>
  <c r="BU18" i="96"/>
  <c r="Q18" i="96" s="1"/>
  <c r="R18" i="96" s="1"/>
  <c r="BU17" i="96"/>
  <c r="Q17" i="96" s="1"/>
  <c r="R17" i="96" s="1"/>
  <c r="BU16" i="96"/>
  <c r="Q16" i="96" s="1"/>
  <c r="R16" i="96" s="1"/>
  <c r="BU15" i="96"/>
  <c r="Q15" i="96" s="1"/>
  <c r="R15" i="96" s="1"/>
  <c r="BU14" i="96"/>
  <c r="Q14" i="96" s="1"/>
  <c r="R14" i="96" s="1"/>
  <c r="BU12" i="96"/>
  <c r="Q12" i="96" s="1"/>
  <c r="R12" i="96" s="1"/>
  <c r="BU11" i="96"/>
  <c r="Q11" i="96" s="1"/>
  <c r="R11" i="96" s="1"/>
  <c r="BU9" i="96"/>
  <c r="Q9" i="96" s="1"/>
  <c r="R9" i="96" s="1"/>
  <c r="BU8" i="96"/>
  <c r="Q8" i="96" s="1"/>
  <c r="R8" i="96" s="1"/>
  <c r="BU7" i="96"/>
  <c r="Q7" i="96" s="1"/>
  <c r="R7" i="96" s="1"/>
  <c r="BU6" i="96"/>
  <c r="Q6" i="96" s="1"/>
  <c r="R6" i="96" s="1"/>
  <c r="BT30" i="96"/>
  <c r="BQ24" i="96"/>
  <c r="O24" i="96" s="1"/>
  <c r="P24" i="96" s="1"/>
  <c r="BQ23" i="96"/>
  <c r="O23" i="96" s="1"/>
  <c r="P23" i="96" s="1"/>
  <c r="BQ22" i="96"/>
  <c r="O22" i="96" s="1"/>
  <c r="P22" i="96" s="1"/>
  <c r="BQ21" i="96"/>
  <c r="O21" i="96" s="1"/>
  <c r="P21" i="96" s="1"/>
  <c r="BQ20" i="96"/>
  <c r="O20" i="96" s="1"/>
  <c r="P20" i="96" s="1"/>
  <c r="BQ19" i="96"/>
  <c r="O19" i="96" s="1"/>
  <c r="P19" i="96" s="1"/>
  <c r="BQ18" i="96"/>
  <c r="O18" i="96" s="1"/>
  <c r="P18" i="96" s="1"/>
  <c r="BQ17" i="96"/>
  <c r="O17" i="96" s="1"/>
  <c r="P17" i="96" s="1"/>
  <c r="BQ16" i="96"/>
  <c r="O16" i="96" s="1"/>
  <c r="P16" i="96" s="1"/>
  <c r="BQ15" i="96"/>
  <c r="O15" i="96" s="1"/>
  <c r="P15" i="96" s="1"/>
  <c r="BQ14" i="96"/>
  <c r="O14" i="96" s="1"/>
  <c r="P14" i="96" s="1"/>
  <c r="BQ12" i="96"/>
  <c r="O12" i="96" s="1"/>
  <c r="P12" i="96" s="1"/>
  <c r="BQ11" i="96"/>
  <c r="O11" i="96" s="1"/>
  <c r="P11" i="96" s="1"/>
  <c r="BQ10" i="96"/>
  <c r="O10" i="96" s="1"/>
  <c r="P10" i="96" s="1"/>
  <c r="BQ9" i="96"/>
  <c r="O9" i="96" s="1"/>
  <c r="P9" i="96" s="1"/>
  <c r="BQ8" i="96"/>
  <c r="O8" i="96" s="1"/>
  <c r="P8" i="96" s="1"/>
  <c r="BQ7" i="96"/>
  <c r="O7" i="96" s="1"/>
  <c r="P7" i="96" s="1"/>
  <c r="BQ6" i="96"/>
  <c r="O6" i="96" s="1"/>
  <c r="BM2" i="96"/>
  <c r="BM1" i="96" s="1"/>
  <c r="BL2" i="96"/>
  <c r="BL1" i="96" s="1"/>
  <c r="BH2" i="96"/>
  <c r="BH1" i="96" s="1"/>
  <c r="BG2" i="96"/>
  <c r="BG1" i="96" s="1"/>
  <c r="CJ2" i="96"/>
  <c r="CI1" i="96"/>
  <c r="H7" i="94"/>
  <c r="F7" i="94"/>
  <c r="F11" i="94"/>
  <c r="H11" i="94"/>
  <c r="F6" i="94"/>
  <c r="H6" i="94"/>
  <c r="E26" i="94"/>
  <c r="F26" i="94" s="1"/>
  <c r="F24" i="94"/>
  <c r="H24" i="94"/>
  <c r="F21" i="94"/>
  <c r="H19" i="94"/>
  <c r="F19" i="94"/>
  <c r="F9" i="94"/>
  <c r="H9" i="94"/>
  <c r="F8" i="94"/>
  <c r="H8" i="94"/>
  <c r="F20" i="94"/>
  <c r="F18" i="94"/>
  <c r="F16" i="94"/>
  <c r="H16" i="94"/>
  <c r="F17" i="94"/>
  <c r="F12" i="94"/>
  <c r="F10" i="94"/>
  <c r="H10" i="94"/>
  <c r="F13" i="94"/>
  <c r="H15" i="94"/>
  <c r="F15" i="94"/>
  <c r="H22" i="94"/>
  <c r="F22" i="94"/>
  <c r="FG15" i="94"/>
  <c r="L15" i="94"/>
  <c r="J15" i="94"/>
  <c r="J8" i="94"/>
  <c r="FG8" i="94"/>
  <c r="L8" i="94"/>
  <c r="FG11" i="94"/>
  <c r="J11" i="94"/>
  <c r="L11" i="94"/>
  <c r="J12" i="94"/>
  <c r="FG12" i="94"/>
  <c r="L12" i="94"/>
  <c r="J9" i="94"/>
  <c r="L9" i="94"/>
  <c r="FG9" i="94"/>
  <c r="FG7" i="94"/>
  <c r="L7" i="94"/>
  <c r="J7" i="94"/>
  <c r="L10" i="94"/>
  <c r="FG10" i="94"/>
  <c r="J10" i="94"/>
  <c r="L20" i="94"/>
  <c r="FG20" i="94"/>
  <c r="J20" i="94"/>
  <c r="J14" i="94"/>
  <c r="FG14" i="94"/>
  <c r="L14" i="94"/>
  <c r="FG17" i="94"/>
  <c r="L17" i="94"/>
  <c r="J17" i="94"/>
  <c r="FG6" i="94"/>
  <c r="L6" i="94"/>
  <c r="J6" i="94"/>
  <c r="I28" i="94"/>
  <c r="I26" i="94"/>
  <c r="E28" i="94"/>
  <c r="I27" i="94"/>
  <c r="I32" i="94"/>
  <c r="I30" i="94"/>
  <c r="E30" i="94"/>
  <c r="I29" i="94"/>
  <c r="E29" i="94"/>
  <c r="L19" i="94"/>
  <c r="J19" i="94"/>
  <c r="FG19" i="94"/>
  <c r="FG22" i="94"/>
  <c r="L22" i="94"/>
  <c r="J22" i="94"/>
  <c r="FG13" i="94"/>
  <c r="L13" i="94"/>
  <c r="J13" i="94"/>
  <c r="FG16" i="94"/>
  <c r="J16" i="94"/>
  <c r="L16" i="94"/>
  <c r="FG18" i="94"/>
  <c r="L18" i="94"/>
  <c r="J18" i="94"/>
  <c r="FG23" i="94"/>
  <c r="L23" i="94"/>
  <c r="J23" i="94"/>
  <c r="FG21" i="94"/>
  <c r="L21" i="94"/>
  <c r="J21" i="94"/>
  <c r="J24" i="94"/>
  <c r="L24" i="94"/>
  <c r="FG24" i="94"/>
  <c r="CK20" i="94"/>
  <c r="CK19" i="94"/>
  <c r="CK17" i="94"/>
  <c r="CK12" i="94"/>
  <c r="CK23" i="94"/>
  <c r="CK14" i="94"/>
  <c r="CK11" i="94"/>
  <c r="EI1" i="94"/>
  <c r="CK24" i="94"/>
  <c r="CK21" i="94"/>
  <c r="CK16" i="94"/>
  <c r="CK22" i="94"/>
  <c r="CK15" i="94"/>
  <c r="CK13" i="94"/>
  <c r="CK9" i="94"/>
  <c r="CK8" i="94"/>
  <c r="CK18" i="94"/>
  <c r="CK6" i="94"/>
  <c r="CK10" i="94"/>
  <c r="CK7" i="94"/>
  <c r="CL1" i="94"/>
  <c r="CM2" i="94"/>
  <c r="EH22" i="94"/>
  <c r="CG22" i="94" s="1"/>
  <c r="EH24" i="94"/>
  <c r="CG24" i="94" s="1"/>
  <c r="EH21" i="94"/>
  <c r="CG21" i="94" s="1"/>
  <c r="EH18" i="94"/>
  <c r="CG18" i="94" s="1"/>
  <c r="EH16" i="94"/>
  <c r="CG16" i="94" s="1"/>
  <c r="EH13" i="94"/>
  <c r="CG13" i="94" s="1"/>
  <c r="EH20" i="94"/>
  <c r="CG20" i="94" s="1"/>
  <c r="EH19" i="94"/>
  <c r="CG19" i="94" s="1"/>
  <c r="EH6" i="94"/>
  <c r="CG6" i="94" s="1"/>
  <c r="EH23" i="94"/>
  <c r="CG23" i="94" s="1"/>
  <c r="EH14" i="94"/>
  <c r="CG14" i="94" s="1"/>
  <c r="EH17" i="94"/>
  <c r="CG17" i="94" s="1"/>
  <c r="EH12" i="94"/>
  <c r="CG12" i="94" s="1"/>
  <c r="EH11" i="94"/>
  <c r="CG11" i="94" s="1"/>
  <c r="EH7" i="94"/>
  <c r="CG7" i="94" s="1"/>
  <c r="EH9" i="94"/>
  <c r="CG9" i="94" s="1"/>
  <c r="EH2" i="94"/>
  <c r="EI2" i="94" s="1"/>
  <c r="EJ2" i="94" s="1"/>
  <c r="EK2" i="94" s="1"/>
  <c r="EL2" i="94" s="1"/>
  <c r="EM2" i="94" s="1"/>
  <c r="EN2" i="94" s="1"/>
  <c r="EO2" i="94" s="1"/>
  <c r="EP2" i="94" s="1"/>
  <c r="EQ2" i="94" s="1"/>
  <c r="ER2" i="94" s="1"/>
  <c r="ES2" i="94" s="1"/>
  <c r="ET2" i="94" s="1"/>
  <c r="EU2" i="94" s="1"/>
  <c r="EV2" i="94" s="1"/>
  <c r="EW2" i="94" s="1"/>
  <c r="EX2" i="94" s="1"/>
  <c r="EY2" i="94" s="1"/>
  <c r="EZ2" i="94" s="1"/>
  <c r="FA2" i="94" s="1"/>
  <c r="FB2" i="94" s="1"/>
  <c r="FC2" i="94" s="1"/>
  <c r="FD2" i="94" s="1"/>
  <c r="FE2" i="94" s="1"/>
  <c r="EH8" i="94"/>
  <c r="CG8" i="94" s="1"/>
  <c r="EH15" i="94"/>
  <c r="CG15" i="94" s="1"/>
  <c r="DI23" i="94"/>
  <c r="DI21" i="94"/>
  <c r="DI24" i="94"/>
  <c r="DI18" i="94"/>
  <c r="DI16" i="94"/>
  <c r="DI13" i="94"/>
  <c r="DI6" i="94"/>
  <c r="DI17" i="94"/>
  <c r="DI15" i="94"/>
  <c r="DI8" i="94"/>
  <c r="DI22" i="94"/>
  <c r="DI12" i="94"/>
  <c r="DI19" i="94"/>
  <c r="DI11" i="94"/>
  <c r="DI10" i="94"/>
  <c r="DI7" i="94"/>
  <c r="DI20" i="94"/>
  <c r="DI14" i="94"/>
  <c r="DI9" i="94"/>
  <c r="DI2" i="94"/>
  <c r="DJ2" i="94" s="1"/>
  <c r="P6" i="94"/>
  <c r="K27" i="94"/>
  <c r="K26" i="94"/>
  <c r="H12" i="94"/>
  <c r="H21" i="94"/>
  <c r="G26" i="94"/>
  <c r="H13" i="94"/>
  <c r="H17" i="94"/>
  <c r="H18" i="94"/>
  <c r="H14" i="94"/>
  <c r="H20" i="94"/>
  <c r="H23" i="94"/>
  <c r="DK2" i="93"/>
  <c r="DJ1" i="93"/>
  <c r="CL21" i="93"/>
  <c r="CL20" i="93"/>
  <c r="CL12" i="93"/>
  <c r="CL9" i="93"/>
  <c r="CL7" i="93"/>
  <c r="CL18" i="93"/>
  <c r="EJ1" i="93"/>
  <c r="CL22" i="93"/>
  <c r="CL16" i="93"/>
  <c r="CL10" i="93"/>
  <c r="CL24" i="93"/>
  <c r="CL19" i="93"/>
  <c r="CL15" i="93"/>
  <c r="CL11" i="93"/>
  <c r="CL13" i="93"/>
  <c r="CL23" i="93"/>
  <c r="CL14" i="93"/>
  <c r="CL6" i="93"/>
  <c r="CL17" i="93"/>
  <c r="CL8" i="93"/>
  <c r="J26" i="93"/>
  <c r="I33" i="93"/>
  <c r="EI21" i="93"/>
  <c r="EI20" i="93"/>
  <c r="EI13" i="93"/>
  <c r="EI12" i="93"/>
  <c r="EI7" i="93"/>
  <c r="EI17" i="93"/>
  <c r="EI11" i="93"/>
  <c r="EI24" i="93"/>
  <c r="EI18" i="93"/>
  <c r="EI9" i="93"/>
  <c r="EI22" i="93"/>
  <c r="EI19" i="93"/>
  <c r="EI14" i="93"/>
  <c r="EI8" i="93"/>
  <c r="EI6" i="93"/>
  <c r="EI23" i="93"/>
  <c r="EI15" i="93"/>
  <c r="EI16" i="93"/>
  <c r="CN2" i="93"/>
  <c r="CM1" i="93"/>
  <c r="FG27" i="93"/>
  <c r="K28" i="93"/>
  <c r="K30" i="93"/>
  <c r="EU91" i="9"/>
  <c r="EU92" i="9" s="1"/>
  <c r="EU93" i="9" s="1"/>
  <c r="EU95" i="9" s="1"/>
  <c r="EU96" i="9" s="1"/>
  <c r="GH81" i="9"/>
  <c r="C117" i="9"/>
  <c r="C118" i="9" s="1"/>
  <c r="A116" i="9"/>
  <c r="HI115" i="9"/>
  <c r="HL115" i="9"/>
  <c r="GA115" i="9"/>
  <c r="E115" i="9"/>
  <c r="HQ115" i="9"/>
  <c r="HC115" i="9"/>
  <c r="HF115" i="9"/>
  <c r="GJ83" i="9"/>
  <c r="GN83" i="9" s="1"/>
  <c r="IU83" i="9"/>
  <c r="IV82" i="9"/>
  <c r="EW83" i="9"/>
  <c r="EX82" i="9"/>
  <c r="ET129" i="9" l="1"/>
  <c r="ET130" i="9" s="1"/>
  <c r="ET131" i="9" s="1"/>
  <c r="G26" i="95"/>
  <c r="A116" i="20"/>
  <c r="CH2" i="98"/>
  <c r="CI2" i="98" s="1"/>
  <c r="BF24" i="98"/>
  <c r="BF23" i="98"/>
  <c r="BF22" i="98"/>
  <c r="BF21" i="98"/>
  <c r="BF20" i="98"/>
  <c r="BF19" i="98"/>
  <c r="BF18" i="98"/>
  <c r="BF17" i="98"/>
  <c r="BF16" i="98"/>
  <c r="BF15" i="98"/>
  <c r="BF14" i="98"/>
  <c r="BF13" i="98"/>
  <c r="BF12" i="98"/>
  <c r="BF11" i="98"/>
  <c r="BF10" i="98"/>
  <c r="BF9" i="98"/>
  <c r="BF8" i="98"/>
  <c r="BF7" i="98"/>
  <c r="BF6" i="98"/>
  <c r="BF5" i="98"/>
  <c r="BF2" i="98"/>
  <c r="BK24" i="98"/>
  <c r="BK23" i="98"/>
  <c r="BK22" i="98"/>
  <c r="BK21" i="98"/>
  <c r="BK20" i="98"/>
  <c r="BK19" i="98"/>
  <c r="BK18" i="98"/>
  <c r="BK17" i="98"/>
  <c r="BK16" i="98"/>
  <c r="BK15" i="98"/>
  <c r="BK14" i="98"/>
  <c r="BK13" i="98"/>
  <c r="BK12" i="98"/>
  <c r="BK11" i="98"/>
  <c r="BK10" i="98"/>
  <c r="BK9" i="98"/>
  <c r="BK8" i="98"/>
  <c r="BK7" i="98"/>
  <c r="BK6" i="98"/>
  <c r="BK2" i="98"/>
  <c r="BP24" i="98"/>
  <c r="BP23" i="98"/>
  <c r="BP22" i="98"/>
  <c r="BP21" i="98"/>
  <c r="BP20" i="98"/>
  <c r="BP19" i="98"/>
  <c r="BP18" i="98"/>
  <c r="BP17" i="98"/>
  <c r="BP16" i="98"/>
  <c r="BP15" i="98"/>
  <c r="BP14" i="98"/>
  <c r="BP12" i="98"/>
  <c r="BP11" i="98"/>
  <c r="BP10" i="98"/>
  <c r="BP9" i="98"/>
  <c r="BP8" i="98"/>
  <c r="BP7" i="98"/>
  <c r="BP6" i="98"/>
  <c r="BP2" i="98"/>
  <c r="BQ2" i="98" s="1"/>
  <c r="BQ1" i="98" s="1"/>
  <c r="BT24" i="98"/>
  <c r="BT23" i="98"/>
  <c r="BT22" i="98"/>
  <c r="BT21" i="98"/>
  <c r="BT20" i="98"/>
  <c r="BT19" i="98"/>
  <c r="BT18" i="98"/>
  <c r="BT17" i="98"/>
  <c r="BT16" i="98"/>
  <c r="BT15" i="98"/>
  <c r="BT14" i="98"/>
  <c r="BT12" i="98"/>
  <c r="BT11" i="98"/>
  <c r="BT9" i="98"/>
  <c r="BT8" i="98"/>
  <c r="BT7" i="98"/>
  <c r="BT6" i="98"/>
  <c r="BT2" i="98"/>
  <c r="BU2" i="98" s="1"/>
  <c r="BU1" i="98" s="1"/>
  <c r="CI24" i="96"/>
  <c r="CI23" i="96"/>
  <c r="CI22" i="96"/>
  <c r="CI21" i="96"/>
  <c r="CI20" i="96"/>
  <c r="CI19" i="96"/>
  <c r="CI18" i="96"/>
  <c r="CI17" i="96"/>
  <c r="CI16" i="96"/>
  <c r="CI15" i="96"/>
  <c r="CI14" i="96"/>
  <c r="CI13" i="96"/>
  <c r="CI12" i="96"/>
  <c r="CI11" i="96"/>
  <c r="CI10" i="96"/>
  <c r="CI9" i="96"/>
  <c r="CI8" i="96"/>
  <c r="CI7" i="96"/>
  <c r="CI6" i="96"/>
  <c r="EG1" i="96"/>
  <c r="DH1" i="96"/>
  <c r="CK2" i="96"/>
  <c r="CJ1" i="96"/>
  <c r="BG24" i="96"/>
  <c r="E24" i="96" s="1"/>
  <c r="BG23" i="96"/>
  <c r="E23" i="96" s="1"/>
  <c r="BG22" i="96"/>
  <c r="E22" i="96" s="1"/>
  <c r="BG21" i="96"/>
  <c r="E21" i="96" s="1"/>
  <c r="BG20" i="96"/>
  <c r="E20" i="96" s="1"/>
  <c r="BG19" i="96"/>
  <c r="E19" i="96" s="1"/>
  <c r="BG18" i="96"/>
  <c r="E18" i="96" s="1"/>
  <c r="BG17" i="96"/>
  <c r="E17" i="96" s="1"/>
  <c r="BG16" i="96"/>
  <c r="E16" i="96" s="1"/>
  <c r="BG15" i="96"/>
  <c r="E15" i="96" s="1"/>
  <c r="BG14" i="96"/>
  <c r="E14" i="96" s="1"/>
  <c r="BG13" i="96"/>
  <c r="E13" i="96" s="1"/>
  <c r="BG12" i="96"/>
  <c r="E12" i="96" s="1"/>
  <c r="BG11" i="96"/>
  <c r="E11" i="96" s="1"/>
  <c r="BG10" i="96"/>
  <c r="E10" i="96" s="1"/>
  <c r="BG9" i="96"/>
  <c r="E9" i="96" s="1"/>
  <c r="BG8" i="96"/>
  <c r="E8" i="96" s="1"/>
  <c r="BG7" i="96"/>
  <c r="E7" i="96" s="1"/>
  <c r="BG6" i="96"/>
  <c r="E6" i="96" s="1"/>
  <c r="BG5" i="96"/>
  <c r="E3" i="96" s="1"/>
  <c r="BH24" i="96"/>
  <c r="I24" i="96" s="1"/>
  <c r="BH23" i="96"/>
  <c r="I23" i="96" s="1"/>
  <c r="BH22" i="96"/>
  <c r="I22" i="96" s="1"/>
  <c r="BH21" i="96"/>
  <c r="I21" i="96" s="1"/>
  <c r="BH20" i="96"/>
  <c r="I20" i="96" s="1"/>
  <c r="BH19" i="96"/>
  <c r="I19" i="96" s="1"/>
  <c r="BH18" i="96"/>
  <c r="I18" i="96" s="1"/>
  <c r="BH17" i="96"/>
  <c r="I17" i="96" s="1"/>
  <c r="BH16" i="96"/>
  <c r="I16" i="96" s="1"/>
  <c r="BH15" i="96"/>
  <c r="I15" i="96" s="1"/>
  <c r="BH14" i="96"/>
  <c r="I14" i="96" s="1"/>
  <c r="BH13" i="96"/>
  <c r="I13" i="96" s="1"/>
  <c r="BH12" i="96"/>
  <c r="I12" i="96" s="1"/>
  <c r="BH11" i="96"/>
  <c r="I11" i="96" s="1"/>
  <c r="BH10" i="96"/>
  <c r="I10" i="96" s="1"/>
  <c r="BH9" i="96"/>
  <c r="I9" i="96" s="1"/>
  <c r="BH8" i="96"/>
  <c r="I8" i="96" s="1"/>
  <c r="BH7" i="96"/>
  <c r="I7" i="96" s="1"/>
  <c r="BH6" i="96"/>
  <c r="I6" i="96" s="1"/>
  <c r="BH5" i="96"/>
  <c r="I3" i="96" s="1"/>
  <c r="BL24" i="96"/>
  <c r="G24" i="96" s="1"/>
  <c r="BL23" i="96"/>
  <c r="G23" i="96" s="1"/>
  <c r="BL22" i="96"/>
  <c r="G22" i="96" s="1"/>
  <c r="BL21" i="96"/>
  <c r="G21" i="96" s="1"/>
  <c r="BL20" i="96"/>
  <c r="G20" i="96" s="1"/>
  <c r="BL19" i="96"/>
  <c r="G19" i="96" s="1"/>
  <c r="BL18" i="96"/>
  <c r="G18" i="96" s="1"/>
  <c r="BL17" i="96"/>
  <c r="G17" i="96" s="1"/>
  <c r="BL16" i="96"/>
  <c r="G16" i="96" s="1"/>
  <c r="BL15" i="96"/>
  <c r="G15" i="96" s="1"/>
  <c r="BL14" i="96"/>
  <c r="G14" i="96" s="1"/>
  <c r="BL13" i="96"/>
  <c r="G13" i="96" s="1"/>
  <c r="BL12" i="96"/>
  <c r="G12" i="96" s="1"/>
  <c r="BL11" i="96"/>
  <c r="G11" i="96" s="1"/>
  <c r="BL10" i="96"/>
  <c r="G10" i="96" s="1"/>
  <c r="BL9" i="96"/>
  <c r="G9" i="96" s="1"/>
  <c r="BL8" i="96"/>
  <c r="G8" i="96" s="1"/>
  <c r="BL7" i="96"/>
  <c r="G7" i="96" s="1"/>
  <c r="BL6" i="96"/>
  <c r="G6" i="96" s="1"/>
  <c r="BM24" i="96"/>
  <c r="K24" i="96" s="1"/>
  <c r="BM23" i="96"/>
  <c r="K23" i="96" s="1"/>
  <c r="BM22" i="96"/>
  <c r="K22" i="96" s="1"/>
  <c r="BM21" i="96"/>
  <c r="K21" i="96" s="1"/>
  <c r="BM20" i="96"/>
  <c r="K20" i="96" s="1"/>
  <c r="BM19" i="96"/>
  <c r="K19" i="96" s="1"/>
  <c r="BM18" i="96"/>
  <c r="K18" i="96" s="1"/>
  <c r="BM17" i="96"/>
  <c r="K17" i="96" s="1"/>
  <c r="BM16" i="96"/>
  <c r="K16" i="96" s="1"/>
  <c r="BM15" i="96"/>
  <c r="K15" i="96" s="1"/>
  <c r="BM14" i="96"/>
  <c r="K14" i="96" s="1"/>
  <c r="BM13" i="96"/>
  <c r="K13" i="96" s="1"/>
  <c r="BM12" i="96"/>
  <c r="K12" i="96" s="1"/>
  <c r="BM11" i="96"/>
  <c r="K11" i="96" s="1"/>
  <c r="BM10" i="96"/>
  <c r="K10" i="96" s="1"/>
  <c r="BM9" i="96"/>
  <c r="K9" i="96" s="1"/>
  <c r="BM8" i="96"/>
  <c r="K8" i="96" s="1"/>
  <c r="BM7" i="96"/>
  <c r="K7" i="96" s="1"/>
  <c r="BM6" i="96"/>
  <c r="K6" i="96" s="1"/>
  <c r="P6" i="96"/>
  <c r="K27" i="95"/>
  <c r="K26" i="95"/>
  <c r="I32" i="95"/>
  <c r="I30" i="95"/>
  <c r="E30" i="95"/>
  <c r="I29" i="95"/>
  <c r="E29" i="95"/>
  <c r="I28" i="95"/>
  <c r="E28" i="95"/>
  <c r="I27" i="95"/>
  <c r="I26" i="95"/>
  <c r="FF6" i="95"/>
  <c r="L6" i="95"/>
  <c r="J6" i="95"/>
  <c r="FF7" i="95"/>
  <c r="L7" i="95"/>
  <c r="J7" i="95"/>
  <c r="FF8" i="95"/>
  <c r="L8" i="95"/>
  <c r="J8" i="95"/>
  <c r="FF9" i="95"/>
  <c r="L9" i="95"/>
  <c r="J9" i="95"/>
  <c r="FF10" i="95"/>
  <c r="L10" i="95"/>
  <c r="J10" i="95"/>
  <c r="FF11" i="95"/>
  <c r="L11" i="95"/>
  <c r="J11" i="95"/>
  <c r="FF12" i="95"/>
  <c r="L12" i="95"/>
  <c r="J12" i="95"/>
  <c r="FF13" i="95"/>
  <c r="L13" i="95"/>
  <c r="J13" i="95"/>
  <c r="FF14" i="95"/>
  <c r="L14" i="95"/>
  <c r="J14" i="95"/>
  <c r="FF15" i="95"/>
  <c r="L15" i="95"/>
  <c r="J15" i="95"/>
  <c r="FF16" i="95"/>
  <c r="L16" i="95"/>
  <c r="J16" i="95"/>
  <c r="FF17" i="95"/>
  <c r="L17" i="95"/>
  <c r="J17" i="95"/>
  <c r="FF18" i="95"/>
  <c r="L18" i="95"/>
  <c r="J18" i="95"/>
  <c r="FF19" i="95"/>
  <c r="L19" i="95"/>
  <c r="J19" i="95"/>
  <c r="FF20" i="95"/>
  <c r="L20" i="95"/>
  <c r="J20" i="95"/>
  <c r="FF21" i="95"/>
  <c r="L21" i="95"/>
  <c r="J21" i="95"/>
  <c r="FF22" i="95"/>
  <c r="L22" i="95"/>
  <c r="J22" i="95"/>
  <c r="FF23" i="95"/>
  <c r="L23" i="95"/>
  <c r="J23" i="95"/>
  <c r="FF24" i="95"/>
  <c r="L24" i="95"/>
  <c r="J24" i="95"/>
  <c r="E26" i="95"/>
  <c r="F26" i="95" s="1"/>
  <c r="H6" i="95"/>
  <c r="F6" i="95"/>
  <c r="H7" i="95"/>
  <c r="F7" i="95"/>
  <c r="H8" i="95"/>
  <c r="F8" i="95"/>
  <c r="H10" i="95"/>
  <c r="F10" i="95"/>
  <c r="H11" i="95"/>
  <c r="F11" i="95"/>
  <c r="H12" i="95"/>
  <c r="F12" i="95"/>
  <c r="H13" i="95"/>
  <c r="F13" i="95"/>
  <c r="H14" i="95"/>
  <c r="F14" i="95"/>
  <c r="H15" i="95"/>
  <c r="F15" i="95"/>
  <c r="H16" i="95"/>
  <c r="F16" i="95"/>
  <c r="H17" i="95"/>
  <c r="F17" i="95"/>
  <c r="H18" i="95"/>
  <c r="F18" i="95"/>
  <c r="H19" i="95"/>
  <c r="F19" i="95"/>
  <c r="H20" i="95"/>
  <c r="F20" i="95"/>
  <c r="H21" i="95"/>
  <c r="F21" i="95"/>
  <c r="H22" i="95"/>
  <c r="F22" i="95"/>
  <c r="H23" i="95"/>
  <c r="F23" i="95"/>
  <c r="H24" i="95"/>
  <c r="F24" i="95"/>
  <c r="H9" i="95"/>
  <c r="F9" i="95"/>
  <c r="CJ24" i="95"/>
  <c r="CJ23" i="95"/>
  <c r="CJ22" i="95"/>
  <c r="CJ21" i="95"/>
  <c r="CJ20" i="95"/>
  <c r="CJ19" i="95"/>
  <c r="CJ18" i="95"/>
  <c r="CJ17" i="95"/>
  <c r="CJ16" i="95"/>
  <c r="CJ15" i="95"/>
  <c r="CJ14" i="95"/>
  <c r="CJ13" i="95"/>
  <c r="CJ12" i="95"/>
  <c r="CJ11" i="95"/>
  <c r="CJ10" i="95"/>
  <c r="CJ9" i="95"/>
  <c r="CJ8" i="95"/>
  <c r="CJ7" i="95"/>
  <c r="CJ6" i="95"/>
  <c r="EH1" i="95"/>
  <c r="CL2" i="95"/>
  <c r="CK1" i="95"/>
  <c r="DH24" i="95"/>
  <c r="DH23" i="95"/>
  <c r="DH22" i="95"/>
  <c r="DH21" i="95"/>
  <c r="DH20" i="95"/>
  <c r="DH19" i="95"/>
  <c r="DH18" i="95"/>
  <c r="DH17" i="95"/>
  <c r="DH16" i="95"/>
  <c r="DH15" i="95"/>
  <c r="DH14" i="95"/>
  <c r="DH13" i="95"/>
  <c r="DH11" i="95"/>
  <c r="DH10" i="95"/>
  <c r="DH9" i="95"/>
  <c r="DH8" i="95"/>
  <c r="DH7" i="95"/>
  <c r="DH6" i="95"/>
  <c r="DH2" i="95"/>
  <c r="DI2" i="95" s="1"/>
  <c r="DH12" i="95"/>
  <c r="EG24" i="95"/>
  <c r="CF24" i="95" s="1"/>
  <c r="EG23" i="95"/>
  <c r="CF23" i="95" s="1"/>
  <c r="EG22" i="95"/>
  <c r="CF22" i="95" s="1"/>
  <c r="EG21" i="95"/>
  <c r="CF21" i="95" s="1"/>
  <c r="EG20" i="95"/>
  <c r="CF20" i="95" s="1"/>
  <c r="EG19" i="95"/>
  <c r="CF19" i="95" s="1"/>
  <c r="EG18" i="95"/>
  <c r="CF18" i="95" s="1"/>
  <c r="EG17" i="95"/>
  <c r="CF17" i="95" s="1"/>
  <c r="EG16" i="95"/>
  <c r="CF16" i="95" s="1"/>
  <c r="EG15" i="95"/>
  <c r="CF15" i="95" s="1"/>
  <c r="EG14" i="95"/>
  <c r="CF14" i="95" s="1"/>
  <c r="EG13" i="95"/>
  <c r="CF13" i="95" s="1"/>
  <c r="EG11" i="95"/>
  <c r="CF11" i="95" s="1"/>
  <c r="EG9" i="95"/>
  <c r="CF9" i="95" s="1"/>
  <c r="EG8" i="95"/>
  <c r="CF8" i="95" s="1"/>
  <c r="EG7" i="95"/>
  <c r="CF7" i="95" s="1"/>
  <c r="EG6" i="95"/>
  <c r="CF6" i="95" s="1"/>
  <c r="EG2" i="95"/>
  <c r="EH2" i="95" s="1"/>
  <c r="EI2" i="95" s="1"/>
  <c r="EJ2" i="95" s="1"/>
  <c r="EK2" i="95" s="1"/>
  <c r="EL2" i="95" s="1"/>
  <c r="EM2" i="95" s="1"/>
  <c r="EN2" i="95" s="1"/>
  <c r="EO2" i="95" s="1"/>
  <c r="EP2" i="95" s="1"/>
  <c r="EQ2" i="95" s="1"/>
  <c r="ER2" i="95" s="1"/>
  <c r="ES2" i="95" s="1"/>
  <c r="ET2" i="95" s="1"/>
  <c r="EU2" i="95" s="1"/>
  <c r="EV2" i="95" s="1"/>
  <c r="EW2" i="95" s="1"/>
  <c r="EX2" i="95" s="1"/>
  <c r="EY2" i="95" s="1"/>
  <c r="EZ2" i="95" s="1"/>
  <c r="FA2" i="95" s="1"/>
  <c r="FB2" i="95" s="1"/>
  <c r="FC2" i="95" s="1"/>
  <c r="FD2" i="95" s="1"/>
  <c r="EG12" i="95"/>
  <c r="CF12" i="95" s="1"/>
  <c r="BU24" i="97"/>
  <c r="Q24" i="97" s="1"/>
  <c r="R24" i="97" s="1"/>
  <c r="BU23" i="97"/>
  <c r="Q23" i="97" s="1"/>
  <c r="R23" i="97" s="1"/>
  <c r="BU22" i="97"/>
  <c r="Q22" i="97" s="1"/>
  <c r="R22" i="97" s="1"/>
  <c r="BU21" i="97"/>
  <c r="Q21" i="97" s="1"/>
  <c r="R21" i="97" s="1"/>
  <c r="BU20" i="97"/>
  <c r="Q20" i="97" s="1"/>
  <c r="R20" i="97" s="1"/>
  <c r="BU19" i="97"/>
  <c r="Q19" i="97" s="1"/>
  <c r="BU18" i="97"/>
  <c r="Q18" i="97" s="1"/>
  <c r="R18" i="97" s="1"/>
  <c r="BU17" i="97"/>
  <c r="Q17" i="97" s="1"/>
  <c r="R17" i="97" s="1"/>
  <c r="BU16" i="97"/>
  <c r="Q16" i="97" s="1"/>
  <c r="R16" i="97" s="1"/>
  <c r="BU15" i="97"/>
  <c r="Q15" i="97" s="1"/>
  <c r="R15" i="97" s="1"/>
  <c r="BU14" i="97"/>
  <c r="Q14" i="97" s="1"/>
  <c r="R14" i="97" s="1"/>
  <c r="BU12" i="97"/>
  <c r="Q12" i="97" s="1"/>
  <c r="R12" i="97" s="1"/>
  <c r="BU11" i="97"/>
  <c r="Q11" i="97" s="1"/>
  <c r="R11" i="97" s="1"/>
  <c r="BU9" i="97"/>
  <c r="Q9" i="97" s="1"/>
  <c r="R9" i="97" s="1"/>
  <c r="BU8" i="97"/>
  <c r="Q8" i="97" s="1"/>
  <c r="R8" i="97" s="1"/>
  <c r="BU7" i="97"/>
  <c r="Q7" i="97" s="1"/>
  <c r="R7" i="97" s="1"/>
  <c r="BU6" i="97"/>
  <c r="Q6" i="97" s="1"/>
  <c r="R6" i="97" s="1"/>
  <c r="BT30" i="97"/>
  <c r="BQ24" i="97"/>
  <c r="O24" i="97" s="1"/>
  <c r="P24" i="97" s="1"/>
  <c r="BQ23" i="97"/>
  <c r="O23" i="97" s="1"/>
  <c r="P23" i="97" s="1"/>
  <c r="BQ22" i="97"/>
  <c r="O22" i="97" s="1"/>
  <c r="P22" i="97" s="1"/>
  <c r="BQ21" i="97"/>
  <c r="O21" i="97" s="1"/>
  <c r="P21" i="97" s="1"/>
  <c r="BQ20" i="97"/>
  <c r="O20" i="97" s="1"/>
  <c r="P20" i="97" s="1"/>
  <c r="BQ19" i="97"/>
  <c r="O19" i="97" s="1"/>
  <c r="P19" i="97" s="1"/>
  <c r="BQ18" i="97"/>
  <c r="O18" i="97" s="1"/>
  <c r="P18" i="97" s="1"/>
  <c r="BQ17" i="97"/>
  <c r="O17" i="97" s="1"/>
  <c r="P17" i="97" s="1"/>
  <c r="BQ16" i="97"/>
  <c r="O16" i="97" s="1"/>
  <c r="P16" i="97" s="1"/>
  <c r="BQ15" i="97"/>
  <c r="O15" i="97" s="1"/>
  <c r="P15" i="97" s="1"/>
  <c r="BQ14" i="97"/>
  <c r="O14" i="97" s="1"/>
  <c r="P14" i="97" s="1"/>
  <c r="BQ12" i="97"/>
  <c r="O12" i="97" s="1"/>
  <c r="P12" i="97" s="1"/>
  <c r="BQ11" i="97"/>
  <c r="O11" i="97" s="1"/>
  <c r="P11" i="97" s="1"/>
  <c r="BQ10" i="97"/>
  <c r="O10" i="97" s="1"/>
  <c r="P10" i="97" s="1"/>
  <c r="BQ9" i="97"/>
  <c r="O9" i="97" s="1"/>
  <c r="P9" i="97" s="1"/>
  <c r="BQ8" i="97"/>
  <c r="O8" i="97" s="1"/>
  <c r="P8" i="97" s="1"/>
  <c r="BQ7" i="97"/>
  <c r="O7" i="97" s="1"/>
  <c r="P7" i="97" s="1"/>
  <c r="BQ6" i="97"/>
  <c r="O6" i="97" s="1"/>
  <c r="BM2" i="97"/>
  <c r="BM1" i="97" s="1"/>
  <c r="BL2" i="97"/>
  <c r="BL1" i="97" s="1"/>
  <c r="BH2" i="97"/>
  <c r="BH1" i="97" s="1"/>
  <c r="BG2" i="97"/>
  <c r="BG1" i="97" s="1"/>
  <c r="CJ2" i="97"/>
  <c r="CI1" i="97"/>
  <c r="DK2" i="94"/>
  <c r="DJ1" i="94"/>
  <c r="CM1" i="94"/>
  <c r="CN2" i="94"/>
  <c r="CL24" i="94"/>
  <c r="CL23" i="94"/>
  <c r="CL19" i="94"/>
  <c r="CL21" i="94"/>
  <c r="CL20" i="94"/>
  <c r="CL16" i="94"/>
  <c r="CL10" i="94"/>
  <c r="CL9" i="94"/>
  <c r="CL8" i="94"/>
  <c r="CL15" i="94"/>
  <c r="CL18" i="94"/>
  <c r="CL17" i="94"/>
  <c r="CL6" i="94"/>
  <c r="CL12" i="94"/>
  <c r="CL7" i="94"/>
  <c r="EJ1" i="94"/>
  <c r="CL22" i="94"/>
  <c r="CL14" i="94"/>
  <c r="CL13" i="94"/>
  <c r="CL11" i="94"/>
  <c r="EI22" i="94"/>
  <c r="EI20" i="94"/>
  <c r="EI19" i="94"/>
  <c r="EI17" i="94"/>
  <c r="EI12" i="94"/>
  <c r="EI23" i="94"/>
  <c r="EI14" i="94"/>
  <c r="EI11" i="94"/>
  <c r="EI24" i="94"/>
  <c r="EI16" i="94"/>
  <c r="EI21" i="94"/>
  <c r="EI18" i="94"/>
  <c r="EI9" i="94"/>
  <c r="EI8" i="94"/>
  <c r="EI15" i="94"/>
  <c r="EI13" i="94"/>
  <c r="EI6" i="94"/>
  <c r="EI7" i="94"/>
  <c r="I33" i="94"/>
  <c r="J26" i="94"/>
  <c r="K30" i="94"/>
  <c r="K28" i="94"/>
  <c r="FG27" i="94"/>
  <c r="DJ23" i="93"/>
  <c r="DJ18" i="93"/>
  <c r="DJ8" i="93"/>
  <c r="DJ14" i="93"/>
  <c r="DJ9" i="93"/>
  <c r="DJ13" i="93"/>
  <c r="DJ24" i="93"/>
  <c r="DJ22" i="93"/>
  <c r="DJ15" i="93"/>
  <c r="DJ17" i="93"/>
  <c r="DJ7" i="93"/>
  <c r="DJ20" i="93"/>
  <c r="DJ19" i="93"/>
  <c r="DJ6" i="93"/>
  <c r="DJ16" i="93"/>
  <c r="DJ11" i="93"/>
  <c r="DJ21" i="93"/>
  <c r="DJ10" i="93"/>
  <c r="DJ12" i="93"/>
  <c r="CO2" i="93"/>
  <c r="CN1" i="93"/>
  <c r="CM21" i="93"/>
  <c r="CM15" i="93"/>
  <c r="CM19" i="93"/>
  <c r="CM12" i="93"/>
  <c r="CM6" i="93"/>
  <c r="CM23" i="93"/>
  <c r="CM16" i="93"/>
  <c r="CM7" i="93"/>
  <c r="CM18" i="93"/>
  <c r="CM9" i="93"/>
  <c r="CM24" i="93"/>
  <c r="CM20" i="93"/>
  <c r="CM14" i="93"/>
  <c r="CM13" i="93"/>
  <c r="CM8" i="93"/>
  <c r="CM17" i="93"/>
  <c r="CM10" i="93"/>
  <c r="CM22" i="93"/>
  <c r="CM11" i="93"/>
  <c r="EK1" i="93"/>
  <c r="EJ23" i="93"/>
  <c r="EJ18" i="93"/>
  <c r="EJ14" i="93"/>
  <c r="EJ13" i="93"/>
  <c r="EJ8" i="93"/>
  <c r="EJ20" i="93"/>
  <c r="EJ12" i="93"/>
  <c r="EJ24" i="93"/>
  <c r="EJ15" i="93"/>
  <c r="EJ7" i="93"/>
  <c r="EJ22" i="93"/>
  <c r="EJ19" i="93"/>
  <c r="EJ16" i="93"/>
  <c r="EJ9" i="93"/>
  <c r="EJ6" i="93"/>
  <c r="EJ17" i="93"/>
  <c r="EJ21" i="93"/>
  <c r="EJ11" i="93"/>
  <c r="DK1" i="93"/>
  <c r="DL2" i="93"/>
  <c r="EU97" i="9"/>
  <c r="EU98" i="9" s="1"/>
  <c r="EU99" i="9" s="1"/>
  <c r="EU100" i="9" s="1"/>
  <c r="EU101" i="9" s="1"/>
  <c r="EU102" i="9" s="1"/>
  <c r="EU103" i="9" s="1"/>
  <c r="EU104" i="9" s="1"/>
  <c r="E116" i="9"/>
  <c r="GA116" i="9"/>
  <c r="HI116" i="9"/>
  <c r="HF116" i="9"/>
  <c r="HC116" i="9"/>
  <c r="HL116" i="9"/>
  <c r="HQ116" i="9"/>
  <c r="A117" i="9"/>
  <c r="EW84" i="9"/>
  <c r="EX83" i="9"/>
  <c r="IV83" i="9"/>
  <c r="IU84" i="9"/>
  <c r="GG83" i="9"/>
  <c r="GH82" i="9"/>
  <c r="GJ84" i="9"/>
  <c r="GN84" i="9" s="1"/>
  <c r="ET132" i="9" l="1"/>
  <c r="ET133" i="9" s="1"/>
  <c r="G26" i="96"/>
  <c r="A117" i="20"/>
  <c r="CH2" i="100"/>
  <c r="CI2" i="100" s="1"/>
  <c r="BF24" i="100"/>
  <c r="BF23" i="100"/>
  <c r="BF22" i="100"/>
  <c r="BF21" i="100"/>
  <c r="BF20" i="100"/>
  <c r="BF19" i="100"/>
  <c r="BF18" i="100"/>
  <c r="BF17" i="100"/>
  <c r="BF16" i="100"/>
  <c r="BF15" i="100"/>
  <c r="BF14" i="100"/>
  <c r="BF13" i="100"/>
  <c r="BF12" i="100"/>
  <c r="BF11" i="100"/>
  <c r="BF10" i="100"/>
  <c r="BF9" i="100"/>
  <c r="BF8" i="100"/>
  <c r="BF7" i="100"/>
  <c r="BF6" i="100"/>
  <c r="BF5" i="100"/>
  <c r="BF2" i="100"/>
  <c r="BK24" i="100"/>
  <c r="BK23" i="100"/>
  <c r="BK22" i="100"/>
  <c r="BK21" i="100"/>
  <c r="BK20" i="100"/>
  <c r="BK19" i="100"/>
  <c r="BK18" i="100"/>
  <c r="BK17" i="100"/>
  <c r="BK16" i="100"/>
  <c r="BK15" i="100"/>
  <c r="BK14" i="100"/>
  <c r="BK13" i="100"/>
  <c r="BK12" i="100"/>
  <c r="BK11" i="100"/>
  <c r="BK10" i="100"/>
  <c r="BK9" i="100"/>
  <c r="BK8" i="100"/>
  <c r="BK7" i="100"/>
  <c r="BK6" i="100"/>
  <c r="BK2" i="100"/>
  <c r="BP24" i="100"/>
  <c r="BP23" i="100"/>
  <c r="BP22" i="100"/>
  <c r="BP21" i="100"/>
  <c r="BP20" i="100"/>
  <c r="BP19" i="100"/>
  <c r="BP18" i="100"/>
  <c r="BP17" i="100"/>
  <c r="BP16" i="100"/>
  <c r="BP15" i="100"/>
  <c r="BP14" i="100"/>
  <c r="BP12" i="100"/>
  <c r="BP11" i="100"/>
  <c r="BP10" i="100"/>
  <c r="BP9" i="100"/>
  <c r="BP8" i="100"/>
  <c r="BP7" i="100"/>
  <c r="BP6" i="100"/>
  <c r="BP2" i="100"/>
  <c r="BQ2" i="100" s="1"/>
  <c r="BQ1" i="100" s="1"/>
  <c r="BT24" i="100"/>
  <c r="BT23" i="100"/>
  <c r="BT22" i="100"/>
  <c r="BT21" i="100"/>
  <c r="BT20" i="100"/>
  <c r="BT19" i="100"/>
  <c r="BT18" i="100"/>
  <c r="BT17" i="100"/>
  <c r="BT16" i="100"/>
  <c r="BT15" i="100"/>
  <c r="BT14" i="100"/>
  <c r="BT12" i="100"/>
  <c r="BT11" i="100"/>
  <c r="BT9" i="100"/>
  <c r="BT8" i="100"/>
  <c r="BT7" i="100"/>
  <c r="BT6" i="100"/>
  <c r="BT2" i="100"/>
  <c r="BU2" i="100" s="1"/>
  <c r="BU1" i="100" s="1"/>
  <c r="BU24" i="98"/>
  <c r="Q24" i="98" s="1"/>
  <c r="R24" i="98" s="1"/>
  <c r="BU23" i="98"/>
  <c r="Q23" i="98" s="1"/>
  <c r="R23" i="98" s="1"/>
  <c r="BU22" i="98"/>
  <c r="Q22" i="98" s="1"/>
  <c r="R22" i="98" s="1"/>
  <c r="BU21" i="98"/>
  <c r="Q21" i="98" s="1"/>
  <c r="R21" i="98" s="1"/>
  <c r="BU20" i="98"/>
  <c r="Q20" i="98" s="1"/>
  <c r="R20" i="98" s="1"/>
  <c r="BU19" i="98"/>
  <c r="Q19" i="98" s="1"/>
  <c r="BU18" i="98"/>
  <c r="Q18" i="98" s="1"/>
  <c r="R18" i="98" s="1"/>
  <c r="BU17" i="98"/>
  <c r="Q17" i="98" s="1"/>
  <c r="R17" i="98" s="1"/>
  <c r="BU16" i="98"/>
  <c r="Q16" i="98" s="1"/>
  <c r="R16" i="98" s="1"/>
  <c r="BU15" i="98"/>
  <c r="Q15" i="98" s="1"/>
  <c r="R15" i="98" s="1"/>
  <c r="BU14" i="98"/>
  <c r="Q14" i="98" s="1"/>
  <c r="R14" i="98" s="1"/>
  <c r="BU12" i="98"/>
  <c r="Q12" i="98" s="1"/>
  <c r="R12" i="98" s="1"/>
  <c r="BU11" i="98"/>
  <c r="Q11" i="98" s="1"/>
  <c r="R11" i="98" s="1"/>
  <c r="BU9" i="98"/>
  <c r="Q9" i="98" s="1"/>
  <c r="R9" i="98" s="1"/>
  <c r="BU8" i="98"/>
  <c r="Q8" i="98" s="1"/>
  <c r="R8" i="98" s="1"/>
  <c r="BU7" i="98"/>
  <c r="Q7" i="98" s="1"/>
  <c r="R7" i="98" s="1"/>
  <c r="BU6" i="98"/>
  <c r="Q6" i="98" s="1"/>
  <c r="R6" i="98" s="1"/>
  <c r="BT30" i="98"/>
  <c r="BQ24" i="98"/>
  <c r="O24" i="98" s="1"/>
  <c r="P24" i="98" s="1"/>
  <c r="BQ23" i="98"/>
  <c r="O23" i="98" s="1"/>
  <c r="P23" i="98" s="1"/>
  <c r="BQ22" i="98"/>
  <c r="O22" i="98" s="1"/>
  <c r="P22" i="98" s="1"/>
  <c r="BQ21" i="98"/>
  <c r="O21" i="98" s="1"/>
  <c r="P21" i="98" s="1"/>
  <c r="BQ20" i="98"/>
  <c r="O20" i="98" s="1"/>
  <c r="P20" i="98" s="1"/>
  <c r="BQ19" i="98"/>
  <c r="O19" i="98" s="1"/>
  <c r="P19" i="98" s="1"/>
  <c r="BQ18" i="98"/>
  <c r="O18" i="98" s="1"/>
  <c r="P18" i="98" s="1"/>
  <c r="BQ17" i="98"/>
  <c r="O17" i="98" s="1"/>
  <c r="P17" i="98" s="1"/>
  <c r="BQ16" i="98"/>
  <c r="O16" i="98" s="1"/>
  <c r="P16" i="98" s="1"/>
  <c r="BQ15" i="98"/>
  <c r="O15" i="98" s="1"/>
  <c r="P15" i="98" s="1"/>
  <c r="BQ14" i="98"/>
  <c r="O14" i="98" s="1"/>
  <c r="P14" i="98" s="1"/>
  <c r="BQ12" i="98"/>
  <c r="O12" i="98" s="1"/>
  <c r="P12" i="98" s="1"/>
  <c r="BQ11" i="98"/>
  <c r="O11" i="98" s="1"/>
  <c r="P11" i="98" s="1"/>
  <c r="BQ10" i="98"/>
  <c r="O10" i="98" s="1"/>
  <c r="P10" i="98" s="1"/>
  <c r="BQ9" i="98"/>
  <c r="O9" i="98" s="1"/>
  <c r="P9" i="98" s="1"/>
  <c r="BQ8" i="98"/>
  <c r="O8" i="98" s="1"/>
  <c r="P8" i="98" s="1"/>
  <c r="BQ7" i="98"/>
  <c r="O7" i="98" s="1"/>
  <c r="P7" i="98" s="1"/>
  <c r="BQ6" i="98"/>
  <c r="O6" i="98" s="1"/>
  <c r="BM2" i="98"/>
  <c r="BM1" i="98" s="1"/>
  <c r="BL2" i="98"/>
  <c r="BL1" i="98" s="1"/>
  <c r="BH2" i="98"/>
  <c r="BH1" i="98" s="1"/>
  <c r="BG2" i="98"/>
  <c r="BG1" i="98" s="1"/>
  <c r="CJ2" i="98"/>
  <c r="CI1" i="98"/>
  <c r="CI24" i="97"/>
  <c r="CI23" i="97"/>
  <c r="CI22" i="97"/>
  <c r="CI21" i="97"/>
  <c r="CI20" i="97"/>
  <c r="CI19" i="97"/>
  <c r="CI18" i="97"/>
  <c r="CI17" i="97"/>
  <c r="CI16" i="97"/>
  <c r="CI15" i="97"/>
  <c r="CI14" i="97"/>
  <c r="CI13" i="97"/>
  <c r="CI12" i="97"/>
  <c r="CI11" i="97"/>
  <c r="CI10" i="97"/>
  <c r="CI9" i="97"/>
  <c r="CI8" i="97"/>
  <c r="CI7" i="97"/>
  <c r="CI6" i="97"/>
  <c r="EG1" i="97"/>
  <c r="DH1" i="97"/>
  <c r="CK2" i="97"/>
  <c r="CJ1" i="97"/>
  <c r="BG24" i="97"/>
  <c r="E24" i="97" s="1"/>
  <c r="BG23" i="97"/>
  <c r="E23" i="97" s="1"/>
  <c r="BG22" i="97"/>
  <c r="E22" i="97" s="1"/>
  <c r="BG21" i="97"/>
  <c r="E21" i="97" s="1"/>
  <c r="BG20" i="97"/>
  <c r="E20" i="97" s="1"/>
  <c r="BG19" i="97"/>
  <c r="E19" i="97" s="1"/>
  <c r="BG18" i="97"/>
  <c r="E18" i="97" s="1"/>
  <c r="BG17" i="97"/>
  <c r="E17" i="97" s="1"/>
  <c r="BG16" i="97"/>
  <c r="E16" i="97" s="1"/>
  <c r="BG15" i="97"/>
  <c r="E15" i="97" s="1"/>
  <c r="BG14" i="97"/>
  <c r="E14" i="97" s="1"/>
  <c r="BG13" i="97"/>
  <c r="E13" i="97" s="1"/>
  <c r="BG12" i="97"/>
  <c r="E12" i="97" s="1"/>
  <c r="BG11" i="97"/>
  <c r="E11" i="97" s="1"/>
  <c r="BG10" i="97"/>
  <c r="E10" i="97" s="1"/>
  <c r="BG9" i="97"/>
  <c r="E9" i="97" s="1"/>
  <c r="BG8" i="97"/>
  <c r="E8" i="97" s="1"/>
  <c r="BG7" i="97"/>
  <c r="E7" i="97" s="1"/>
  <c r="BG6" i="97"/>
  <c r="E6" i="97" s="1"/>
  <c r="BG5" i="97"/>
  <c r="E3" i="97" s="1"/>
  <c r="BH24" i="97"/>
  <c r="I24" i="97" s="1"/>
  <c r="BH23" i="97"/>
  <c r="I23" i="97" s="1"/>
  <c r="BH22" i="97"/>
  <c r="I22" i="97" s="1"/>
  <c r="BH21" i="97"/>
  <c r="I21" i="97" s="1"/>
  <c r="BH20" i="97"/>
  <c r="I20" i="97" s="1"/>
  <c r="BH19" i="97"/>
  <c r="I19" i="97" s="1"/>
  <c r="BH18" i="97"/>
  <c r="I18" i="97" s="1"/>
  <c r="BH17" i="97"/>
  <c r="I17" i="97" s="1"/>
  <c r="BH16" i="97"/>
  <c r="I16" i="97" s="1"/>
  <c r="BH15" i="97"/>
  <c r="I15" i="97" s="1"/>
  <c r="BH14" i="97"/>
  <c r="I14" i="97" s="1"/>
  <c r="BH13" i="97"/>
  <c r="I13" i="97" s="1"/>
  <c r="BH12" i="97"/>
  <c r="I12" i="97" s="1"/>
  <c r="BH11" i="97"/>
  <c r="I11" i="97" s="1"/>
  <c r="BH10" i="97"/>
  <c r="I10" i="97" s="1"/>
  <c r="BH9" i="97"/>
  <c r="I9" i="97" s="1"/>
  <c r="BH8" i="97"/>
  <c r="I8" i="97" s="1"/>
  <c r="BH7" i="97"/>
  <c r="I7" i="97" s="1"/>
  <c r="BH6" i="97"/>
  <c r="I6" i="97" s="1"/>
  <c r="BH5" i="97"/>
  <c r="I3" i="97" s="1"/>
  <c r="BL24" i="97"/>
  <c r="G24" i="97" s="1"/>
  <c r="BL23" i="97"/>
  <c r="G23" i="97" s="1"/>
  <c r="BL22" i="97"/>
  <c r="G22" i="97" s="1"/>
  <c r="BL21" i="97"/>
  <c r="G21" i="97" s="1"/>
  <c r="BL20" i="97"/>
  <c r="G20" i="97" s="1"/>
  <c r="BL19" i="97"/>
  <c r="G19" i="97" s="1"/>
  <c r="BL18" i="97"/>
  <c r="G18" i="97" s="1"/>
  <c r="BL17" i="97"/>
  <c r="G17" i="97" s="1"/>
  <c r="BL16" i="97"/>
  <c r="G16" i="97" s="1"/>
  <c r="BL15" i="97"/>
  <c r="G15" i="97" s="1"/>
  <c r="BL14" i="97"/>
  <c r="G14" i="97" s="1"/>
  <c r="BL13" i="97"/>
  <c r="G13" i="97" s="1"/>
  <c r="BL12" i="97"/>
  <c r="G12" i="97" s="1"/>
  <c r="BL11" i="97"/>
  <c r="G11" i="97" s="1"/>
  <c r="BL10" i="97"/>
  <c r="G10" i="97" s="1"/>
  <c r="BL9" i="97"/>
  <c r="G9" i="97" s="1"/>
  <c r="BL8" i="97"/>
  <c r="G8" i="97" s="1"/>
  <c r="BL7" i="97"/>
  <c r="G7" i="97" s="1"/>
  <c r="BL6" i="97"/>
  <c r="G6" i="97" s="1"/>
  <c r="BM24" i="97"/>
  <c r="K24" i="97" s="1"/>
  <c r="BM23" i="97"/>
  <c r="K23" i="97" s="1"/>
  <c r="BM22" i="97"/>
  <c r="K22" i="97" s="1"/>
  <c r="BM21" i="97"/>
  <c r="K21" i="97" s="1"/>
  <c r="BM20" i="97"/>
  <c r="K20" i="97" s="1"/>
  <c r="BM19" i="97"/>
  <c r="K19" i="97" s="1"/>
  <c r="BM18" i="97"/>
  <c r="K18" i="97" s="1"/>
  <c r="BM17" i="97"/>
  <c r="K17" i="97" s="1"/>
  <c r="BM16" i="97"/>
  <c r="K16" i="97" s="1"/>
  <c r="BM15" i="97"/>
  <c r="K15" i="97" s="1"/>
  <c r="BM14" i="97"/>
  <c r="K14" i="97" s="1"/>
  <c r="BM13" i="97"/>
  <c r="K13" i="97" s="1"/>
  <c r="BM12" i="97"/>
  <c r="K12" i="97" s="1"/>
  <c r="BM11" i="97"/>
  <c r="K11" i="97" s="1"/>
  <c r="BM10" i="97"/>
  <c r="K10" i="97" s="1"/>
  <c r="BM9" i="97"/>
  <c r="K9" i="97" s="1"/>
  <c r="BM8" i="97"/>
  <c r="K8" i="97" s="1"/>
  <c r="BM7" i="97"/>
  <c r="K7" i="97" s="1"/>
  <c r="BM6" i="97"/>
  <c r="K6" i="97" s="1"/>
  <c r="P6" i="97"/>
  <c r="DJ2" i="95"/>
  <c r="DI1" i="95"/>
  <c r="CK24" i="95"/>
  <c r="CK23" i="95"/>
  <c r="CK22" i="95"/>
  <c r="CK21" i="95"/>
  <c r="CK20" i="95"/>
  <c r="CK19" i="95"/>
  <c r="CK18" i="95"/>
  <c r="CK17" i="95"/>
  <c r="CK16" i="95"/>
  <c r="CK15" i="95"/>
  <c r="CK14" i="95"/>
  <c r="CK13" i="95"/>
  <c r="CK12" i="95"/>
  <c r="CK11" i="95"/>
  <c r="CK10" i="95"/>
  <c r="CK9" i="95"/>
  <c r="CK8" i="95"/>
  <c r="CK7" i="95"/>
  <c r="CK6" i="95"/>
  <c r="EI1" i="95"/>
  <c r="CM2" i="95"/>
  <c r="CL1" i="95"/>
  <c r="EH24" i="95"/>
  <c r="EH23" i="95"/>
  <c r="EH22" i="95"/>
  <c r="EH21" i="95"/>
  <c r="EH20" i="95"/>
  <c r="EH19" i="95"/>
  <c r="EH18" i="95"/>
  <c r="EH17" i="95"/>
  <c r="EH16" i="95"/>
  <c r="EH15" i="95"/>
  <c r="EH14" i="95"/>
  <c r="EH13" i="95"/>
  <c r="EH12" i="95"/>
  <c r="EH11" i="95"/>
  <c r="EH9" i="95"/>
  <c r="EH8" i="95"/>
  <c r="EH7" i="95"/>
  <c r="EH6" i="95"/>
  <c r="K30" i="95"/>
  <c r="K28" i="95"/>
  <c r="FF27" i="95"/>
  <c r="I33" i="95"/>
  <c r="J26" i="95"/>
  <c r="K27" i="96"/>
  <c r="K26" i="96"/>
  <c r="I32" i="96"/>
  <c r="I30" i="96"/>
  <c r="E30" i="96"/>
  <c r="I29" i="96"/>
  <c r="E29" i="96"/>
  <c r="I28" i="96"/>
  <c r="E28" i="96"/>
  <c r="I27" i="96"/>
  <c r="I26" i="96"/>
  <c r="FF6" i="96"/>
  <c r="L6" i="96"/>
  <c r="J6" i="96"/>
  <c r="FF7" i="96"/>
  <c r="L7" i="96"/>
  <c r="J7" i="96"/>
  <c r="FF8" i="96"/>
  <c r="L8" i="96"/>
  <c r="J8" i="96"/>
  <c r="FF9" i="96"/>
  <c r="L9" i="96"/>
  <c r="J9" i="96"/>
  <c r="FF10" i="96"/>
  <c r="L10" i="96"/>
  <c r="J10" i="96"/>
  <c r="FF11" i="96"/>
  <c r="L11" i="96"/>
  <c r="J11" i="96"/>
  <c r="FF12" i="96"/>
  <c r="L12" i="96"/>
  <c r="J12" i="96"/>
  <c r="FF13" i="96"/>
  <c r="L13" i="96"/>
  <c r="J13" i="96"/>
  <c r="FF14" i="96"/>
  <c r="L14" i="96"/>
  <c r="J14" i="96"/>
  <c r="FF15" i="96"/>
  <c r="L15" i="96"/>
  <c r="J15" i="96"/>
  <c r="FF16" i="96"/>
  <c r="L16" i="96"/>
  <c r="J16" i="96"/>
  <c r="FF17" i="96"/>
  <c r="L17" i="96"/>
  <c r="J17" i="96"/>
  <c r="FF18" i="96"/>
  <c r="L18" i="96"/>
  <c r="J18" i="96"/>
  <c r="FF19" i="96"/>
  <c r="L19" i="96"/>
  <c r="J19" i="96"/>
  <c r="FF20" i="96"/>
  <c r="L20" i="96"/>
  <c r="J20" i="96"/>
  <c r="FF21" i="96"/>
  <c r="L21" i="96"/>
  <c r="J21" i="96"/>
  <c r="FF22" i="96"/>
  <c r="L22" i="96"/>
  <c r="J22" i="96"/>
  <c r="FF23" i="96"/>
  <c r="L23" i="96"/>
  <c r="J23" i="96"/>
  <c r="FF24" i="96"/>
  <c r="L24" i="96"/>
  <c r="J24" i="96"/>
  <c r="E26" i="96"/>
  <c r="F26" i="96" s="1"/>
  <c r="H6" i="96"/>
  <c r="F6" i="96"/>
  <c r="H7" i="96"/>
  <c r="F7" i="96"/>
  <c r="H8" i="96"/>
  <c r="F8" i="96"/>
  <c r="H9" i="96"/>
  <c r="F9" i="96"/>
  <c r="H10" i="96"/>
  <c r="F10" i="96"/>
  <c r="H11" i="96"/>
  <c r="F11" i="96"/>
  <c r="H12" i="96"/>
  <c r="F12" i="96"/>
  <c r="H13" i="96"/>
  <c r="F13" i="96"/>
  <c r="H14" i="96"/>
  <c r="F14" i="96"/>
  <c r="H15" i="96"/>
  <c r="F15" i="96"/>
  <c r="H16" i="96"/>
  <c r="F16" i="96"/>
  <c r="H17" i="96"/>
  <c r="F17" i="96"/>
  <c r="H18" i="96"/>
  <c r="F18" i="96"/>
  <c r="H19" i="96"/>
  <c r="F19" i="96"/>
  <c r="H20" i="96"/>
  <c r="F20" i="96"/>
  <c r="H21" i="96"/>
  <c r="F21" i="96"/>
  <c r="H22" i="96"/>
  <c r="F22" i="96"/>
  <c r="H23" i="96"/>
  <c r="F23" i="96"/>
  <c r="H24" i="96"/>
  <c r="F24" i="96"/>
  <c r="CJ24" i="96"/>
  <c r="CJ23" i="96"/>
  <c r="CJ22" i="96"/>
  <c r="CJ21" i="96"/>
  <c r="CJ20" i="96"/>
  <c r="CJ19" i="96"/>
  <c r="CJ18" i="96"/>
  <c r="CJ17" i="96"/>
  <c r="CJ16" i="96"/>
  <c r="CJ15" i="96"/>
  <c r="CJ14" i="96"/>
  <c r="CJ13" i="96"/>
  <c r="CJ12" i="96"/>
  <c r="CJ11" i="96"/>
  <c r="CJ10" i="96"/>
  <c r="CJ9" i="96"/>
  <c r="CJ8" i="96"/>
  <c r="CJ7" i="96"/>
  <c r="CJ6" i="96"/>
  <c r="EH1" i="96"/>
  <c r="CL2" i="96"/>
  <c r="CK1" i="96"/>
  <c r="DH24" i="96"/>
  <c r="DH23" i="96"/>
  <c r="DH22" i="96"/>
  <c r="DH21" i="96"/>
  <c r="DH20" i="96"/>
  <c r="DH19" i="96"/>
  <c r="DH18" i="96"/>
  <c r="DH17" i="96"/>
  <c r="DH16" i="96"/>
  <c r="DH15" i="96"/>
  <c r="DH14" i="96"/>
  <c r="DH13" i="96"/>
  <c r="DH12" i="96"/>
  <c r="DH11" i="96"/>
  <c r="DH10" i="96"/>
  <c r="DH9" i="96"/>
  <c r="DH8" i="96"/>
  <c r="DH7" i="96"/>
  <c r="DH6" i="96"/>
  <c r="DH2" i="96"/>
  <c r="DI2" i="96" s="1"/>
  <c r="EG24" i="96"/>
  <c r="CF24" i="96" s="1"/>
  <c r="EG23" i="96"/>
  <c r="CF23" i="96" s="1"/>
  <c r="EG22" i="96"/>
  <c r="CF22" i="96" s="1"/>
  <c r="EG21" i="96"/>
  <c r="CF21" i="96" s="1"/>
  <c r="EG20" i="96"/>
  <c r="CF20" i="96" s="1"/>
  <c r="EG19" i="96"/>
  <c r="CF19" i="96" s="1"/>
  <c r="EG18" i="96"/>
  <c r="CF18" i="96" s="1"/>
  <c r="EG17" i="96"/>
  <c r="CF17" i="96" s="1"/>
  <c r="EG16" i="96"/>
  <c r="CF16" i="96" s="1"/>
  <c r="EG15" i="96"/>
  <c r="CF15" i="96" s="1"/>
  <c r="EG14" i="96"/>
  <c r="CF14" i="96" s="1"/>
  <c r="EG13" i="96"/>
  <c r="CF13" i="96" s="1"/>
  <c r="EG12" i="96"/>
  <c r="CF12" i="96" s="1"/>
  <c r="EG11" i="96"/>
  <c r="CF11" i="96" s="1"/>
  <c r="EG9" i="96"/>
  <c r="CF9" i="96" s="1"/>
  <c r="EG8" i="96"/>
  <c r="CF8" i="96" s="1"/>
  <c r="EG7" i="96"/>
  <c r="CF7" i="96" s="1"/>
  <c r="EG6" i="96"/>
  <c r="CF6" i="96" s="1"/>
  <c r="EG2" i="96"/>
  <c r="EH2" i="96" s="1"/>
  <c r="EI2" i="96" s="1"/>
  <c r="EJ2" i="96" s="1"/>
  <c r="EK2" i="96" s="1"/>
  <c r="EL2" i="96" s="1"/>
  <c r="EM2" i="96" s="1"/>
  <c r="EN2" i="96" s="1"/>
  <c r="EO2" i="96" s="1"/>
  <c r="EP2" i="96" s="1"/>
  <c r="EQ2" i="96" s="1"/>
  <c r="ER2" i="96" s="1"/>
  <c r="ES2" i="96" s="1"/>
  <c r="ET2" i="96" s="1"/>
  <c r="EU2" i="96" s="1"/>
  <c r="EV2" i="96" s="1"/>
  <c r="EW2" i="96" s="1"/>
  <c r="EX2" i="96" s="1"/>
  <c r="EY2" i="96" s="1"/>
  <c r="EZ2" i="96" s="1"/>
  <c r="FA2" i="96" s="1"/>
  <c r="FB2" i="96" s="1"/>
  <c r="FC2" i="96" s="1"/>
  <c r="FD2" i="96" s="1"/>
  <c r="EJ24" i="94"/>
  <c r="EJ23" i="94"/>
  <c r="EJ19" i="94"/>
  <c r="EJ21" i="94"/>
  <c r="EJ20" i="94"/>
  <c r="EJ16" i="94"/>
  <c r="EJ9" i="94"/>
  <c r="EJ8" i="94"/>
  <c r="EJ15" i="94"/>
  <c r="EJ22" i="94"/>
  <c r="EJ14" i="94"/>
  <c r="EJ13" i="94"/>
  <c r="EJ6" i="94"/>
  <c r="EJ7" i="94"/>
  <c r="EJ18" i="94"/>
  <c r="EJ17" i="94"/>
  <c r="EJ12" i="94"/>
  <c r="EJ11" i="94"/>
  <c r="CN1" i="94"/>
  <c r="CO2" i="94"/>
  <c r="CM23" i="94"/>
  <c r="CM22" i="94"/>
  <c r="CM24" i="94"/>
  <c r="CM15" i="94"/>
  <c r="CM14" i="94"/>
  <c r="CM21" i="94"/>
  <c r="CM7" i="94"/>
  <c r="CM18" i="94"/>
  <c r="CM17" i="94"/>
  <c r="CM19" i="94"/>
  <c r="CM8" i="94"/>
  <c r="CM6" i="94"/>
  <c r="CM20" i="94"/>
  <c r="CM16" i="94"/>
  <c r="CM12" i="94"/>
  <c r="EK1" i="94"/>
  <c r="CM13" i="94"/>
  <c r="CM11" i="94"/>
  <c r="CM10" i="94"/>
  <c r="CM9" i="94"/>
  <c r="DJ20" i="94"/>
  <c r="DJ23" i="94"/>
  <c r="DJ22" i="94"/>
  <c r="DJ17" i="94"/>
  <c r="DJ12" i="94"/>
  <c r="DJ21" i="94"/>
  <c r="DJ15" i="94"/>
  <c r="DJ11" i="94"/>
  <c r="DJ19" i="94"/>
  <c r="DJ18" i="94"/>
  <c r="DJ13" i="94"/>
  <c r="DJ6" i="94"/>
  <c r="DJ16" i="94"/>
  <c r="DJ10" i="94"/>
  <c r="DJ7" i="94"/>
  <c r="DJ14" i="94"/>
  <c r="DJ9" i="94"/>
  <c r="DJ24" i="94"/>
  <c r="DJ8" i="94"/>
  <c r="DK1" i="94"/>
  <c r="DL2" i="94"/>
  <c r="DL1" i="93"/>
  <c r="DM2" i="93"/>
  <c r="CP2" i="93"/>
  <c r="CO1" i="93"/>
  <c r="DK23" i="93"/>
  <c r="DK18" i="93"/>
  <c r="DK14" i="93"/>
  <c r="DK10" i="93"/>
  <c r="DK8" i="93"/>
  <c r="DK20" i="93"/>
  <c r="DK9" i="93"/>
  <c r="DK24" i="93"/>
  <c r="DK15" i="93"/>
  <c r="DK16" i="93"/>
  <c r="DK21" i="93"/>
  <c r="DK17" i="93"/>
  <c r="DK11" i="93"/>
  <c r="DK7" i="93"/>
  <c r="DK6" i="93"/>
  <c r="DK22" i="93"/>
  <c r="DK13" i="93"/>
  <c r="DK19" i="93"/>
  <c r="DK12" i="93"/>
  <c r="EK22" i="93"/>
  <c r="EK17" i="93"/>
  <c r="EK16" i="93"/>
  <c r="EK9" i="93"/>
  <c r="EK6" i="93"/>
  <c r="EK24" i="93"/>
  <c r="EK15" i="93"/>
  <c r="EK13" i="93"/>
  <c r="EK20" i="93"/>
  <c r="EK18" i="93"/>
  <c r="EK12" i="93"/>
  <c r="EK8" i="93"/>
  <c r="EK21" i="93"/>
  <c r="EK11" i="93"/>
  <c r="EK23" i="93"/>
  <c r="EK19" i="93"/>
  <c r="EK14" i="93"/>
  <c r="EK7" i="93"/>
  <c r="CN21" i="93"/>
  <c r="CN17" i="93"/>
  <c r="CN16" i="93"/>
  <c r="CN10" i="93"/>
  <c r="CN7" i="93"/>
  <c r="CN24" i="93"/>
  <c r="CN19" i="93"/>
  <c r="EL1" i="93"/>
  <c r="CN18" i="93"/>
  <c r="CN11" i="93"/>
  <c r="CN23" i="93"/>
  <c r="CN20" i="93"/>
  <c r="CN13" i="93"/>
  <c r="CN9" i="93"/>
  <c r="CN6" i="93"/>
  <c r="CN15" i="93"/>
  <c r="CN8" i="93"/>
  <c r="CN22" i="93"/>
  <c r="CN14" i="93"/>
  <c r="CN12" i="93"/>
  <c r="EU105" i="9"/>
  <c r="EU107" i="9" s="1"/>
  <c r="EX84" i="9"/>
  <c r="EW85" i="9"/>
  <c r="GJ85" i="9"/>
  <c r="GN85" i="9" s="1"/>
  <c r="IV84" i="9"/>
  <c r="IU85" i="9"/>
  <c r="E117" i="9"/>
  <c r="HF117" i="9"/>
  <c r="HI117" i="9"/>
  <c r="GA117" i="9"/>
  <c r="HC117" i="9"/>
  <c r="HQ117" i="9"/>
  <c r="HL117" i="9"/>
  <c r="GG84" i="9"/>
  <c r="GH83" i="9"/>
  <c r="C119" i="9"/>
  <c r="A118" i="9"/>
  <c r="A118" i="20" s="1"/>
  <c r="ET134" i="9" l="1"/>
  <c r="ET135" i="9" s="1"/>
  <c r="ET136" i="9" s="1"/>
  <c r="G26" i="97"/>
  <c r="CI24" i="98"/>
  <c r="CI23" i="98"/>
  <c r="CI22" i="98"/>
  <c r="CI21" i="98"/>
  <c r="CI20" i="98"/>
  <c r="CI19" i="98"/>
  <c r="CI18" i="98"/>
  <c r="CI17" i="98"/>
  <c r="CI16" i="98"/>
  <c r="CI15" i="98"/>
  <c r="CI14" i="98"/>
  <c r="CI13" i="98"/>
  <c r="CI12" i="98"/>
  <c r="CI11" i="98"/>
  <c r="CI10" i="98"/>
  <c r="CI9" i="98"/>
  <c r="CI8" i="98"/>
  <c r="CI7" i="98"/>
  <c r="CI6" i="98"/>
  <c r="EG1" i="98"/>
  <c r="DH1" i="98"/>
  <c r="CK2" i="98"/>
  <c r="CJ1" i="98"/>
  <c r="BG24" i="98"/>
  <c r="E24" i="98" s="1"/>
  <c r="BG23" i="98"/>
  <c r="E23" i="98" s="1"/>
  <c r="BG22" i="98"/>
  <c r="E22" i="98" s="1"/>
  <c r="BG21" i="98"/>
  <c r="E21" i="98" s="1"/>
  <c r="BG20" i="98"/>
  <c r="E20" i="98" s="1"/>
  <c r="BG19" i="98"/>
  <c r="E19" i="98" s="1"/>
  <c r="BG18" i="98"/>
  <c r="E18" i="98" s="1"/>
  <c r="BG17" i="98"/>
  <c r="E17" i="98" s="1"/>
  <c r="BG16" i="98"/>
  <c r="E16" i="98" s="1"/>
  <c r="BG15" i="98"/>
  <c r="E15" i="98" s="1"/>
  <c r="BG14" i="98"/>
  <c r="E14" i="98" s="1"/>
  <c r="BG13" i="98"/>
  <c r="E13" i="98" s="1"/>
  <c r="BG12" i="98"/>
  <c r="E12" i="98" s="1"/>
  <c r="BG11" i="98"/>
  <c r="E11" i="98" s="1"/>
  <c r="BG10" i="98"/>
  <c r="E10" i="98" s="1"/>
  <c r="BG9" i="98"/>
  <c r="E9" i="98" s="1"/>
  <c r="BG8" i="98"/>
  <c r="E8" i="98" s="1"/>
  <c r="BG7" i="98"/>
  <c r="E7" i="98" s="1"/>
  <c r="BG6" i="98"/>
  <c r="E6" i="98" s="1"/>
  <c r="BG5" i="98"/>
  <c r="E3" i="98" s="1"/>
  <c r="BH24" i="98"/>
  <c r="I24" i="98" s="1"/>
  <c r="BH23" i="98"/>
  <c r="I23" i="98" s="1"/>
  <c r="BH22" i="98"/>
  <c r="I22" i="98" s="1"/>
  <c r="BH21" i="98"/>
  <c r="I21" i="98" s="1"/>
  <c r="BH20" i="98"/>
  <c r="I20" i="98" s="1"/>
  <c r="BH19" i="98"/>
  <c r="I19" i="98" s="1"/>
  <c r="BH18" i="98"/>
  <c r="I18" i="98" s="1"/>
  <c r="BH17" i="98"/>
  <c r="I17" i="98" s="1"/>
  <c r="BH16" i="98"/>
  <c r="I16" i="98" s="1"/>
  <c r="BH15" i="98"/>
  <c r="I15" i="98" s="1"/>
  <c r="BH14" i="98"/>
  <c r="I14" i="98" s="1"/>
  <c r="BH13" i="98"/>
  <c r="I13" i="98" s="1"/>
  <c r="BH12" i="98"/>
  <c r="I12" i="98" s="1"/>
  <c r="BH11" i="98"/>
  <c r="I11" i="98" s="1"/>
  <c r="BH10" i="98"/>
  <c r="I10" i="98" s="1"/>
  <c r="BH9" i="98"/>
  <c r="I9" i="98" s="1"/>
  <c r="BH8" i="98"/>
  <c r="I8" i="98" s="1"/>
  <c r="BH7" i="98"/>
  <c r="I7" i="98" s="1"/>
  <c r="BH6" i="98"/>
  <c r="I6" i="98" s="1"/>
  <c r="BH5" i="98"/>
  <c r="I3" i="98" s="1"/>
  <c r="BL24" i="98"/>
  <c r="G24" i="98" s="1"/>
  <c r="BL23" i="98"/>
  <c r="G23" i="98" s="1"/>
  <c r="BL22" i="98"/>
  <c r="G22" i="98" s="1"/>
  <c r="BL21" i="98"/>
  <c r="G21" i="98" s="1"/>
  <c r="BL20" i="98"/>
  <c r="G20" i="98" s="1"/>
  <c r="BL19" i="98"/>
  <c r="G19" i="98" s="1"/>
  <c r="BL18" i="98"/>
  <c r="G18" i="98" s="1"/>
  <c r="BL17" i="98"/>
  <c r="G17" i="98" s="1"/>
  <c r="BL16" i="98"/>
  <c r="G16" i="98" s="1"/>
  <c r="BL15" i="98"/>
  <c r="G15" i="98" s="1"/>
  <c r="BL14" i="98"/>
  <c r="G14" i="98" s="1"/>
  <c r="BL13" i="98"/>
  <c r="G13" i="98" s="1"/>
  <c r="BL12" i="98"/>
  <c r="G12" i="98" s="1"/>
  <c r="BL11" i="98"/>
  <c r="G11" i="98" s="1"/>
  <c r="BL10" i="98"/>
  <c r="G10" i="98" s="1"/>
  <c r="BL9" i="98"/>
  <c r="G9" i="98" s="1"/>
  <c r="BL8" i="98"/>
  <c r="G8" i="98" s="1"/>
  <c r="BL7" i="98"/>
  <c r="G7" i="98" s="1"/>
  <c r="BL6" i="98"/>
  <c r="G6" i="98" s="1"/>
  <c r="BM24" i="98"/>
  <c r="K24" i="98" s="1"/>
  <c r="BM23" i="98"/>
  <c r="K23" i="98" s="1"/>
  <c r="BM22" i="98"/>
  <c r="K22" i="98" s="1"/>
  <c r="BM21" i="98"/>
  <c r="K21" i="98" s="1"/>
  <c r="BM20" i="98"/>
  <c r="K20" i="98" s="1"/>
  <c r="BM19" i="98"/>
  <c r="K19" i="98" s="1"/>
  <c r="BM18" i="98"/>
  <c r="K18" i="98" s="1"/>
  <c r="BM17" i="98"/>
  <c r="K17" i="98" s="1"/>
  <c r="BM16" i="98"/>
  <c r="K16" i="98" s="1"/>
  <c r="BM15" i="98"/>
  <c r="K15" i="98" s="1"/>
  <c r="BM14" i="98"/>
  <c r="K14" i="98" s="1"/>
  <c r="BM13" i="98"/>
  <c r="K13" i="98" s="1"/>
  <c r="BM12" i="98"/>
  <c r="K12" i="98" s="1"/>
  <c r="BM11" i="98"/>
  <c r="K11" i="98" s="1"/>
  <c r="BM10" i="98"/>
  <c r="K10" i="98" s="1"/>
  <c r="BM9" i="98"/>
  <c r="K9" i="98" s="1"/>
  <c r="BM8" i="98"/>
  <c r="K8" i="98" s="1"/>
  <c r="BM7" i="98"/>
  <c r="K7" i="98" s="1"/>
  <c r="BM6" i="98"/>
  <c r="K6" i="98" s="1"/>
  <c r="P6" i="98"/>
  <c r="BU24" i="100"/>
  <c r="Q24" i="100" s="1"/>
  <c r="R24" i="100" s="1"/>
  <c r="BU23" i="100"/>
  <c r="Q23" i="100" s="1"/>
  <c r="R23" i="100" s="1"/>
  <c r="BU22" i="100"/>
  <c r="Q22" i="100" s="1"/>
  <c r="R22" i="100" s="1"/>
  <c r="BU21" i="100"/>
  <c r="Q21" i="100" s="1"/>
  <c r="R21" i="100" s="1"/>
  <c r="BU20" i="100"/>
  <c r="Q20" i="100" s="1"/>
  <c r="R20" i="100" s="1"/>
  <c r="BU19" i="100"/>
  <c r="Q19" i="100" s="1"/>
  <c r="BU18" i="100"/>
  <c r="Q18" i="100" s="1"/>
  <c r="R18" i="100" s="1"/>
  <c r="BU17" i="100"/>
  <c r="Q17" i="100" s="1"/>
  <c r="R17" i="100" s="1"/>
  <c r="BU16" i="100"/>
  <c r="Q16" i="100" s="1"/>
  <c r="R16" i="100" s="1"/>
  <c r="BU15" i="100"/>
  <c r="Q15" i="100" s="1"/>
  <c r="R15" i="100" s="1"/>
  <c r="BU14" i="100"/>
  <c r="Q14" i="100" s="1"/>
  <c r="R14" i="100" s="1"/>
  <c r="BU12" i="100"/>
  <c r="Q12" i="100" s="1"/>
  <c r="R12" i="100" s="1"/>
  <c r="BU11" i="100"/>
  <c r="Q11" i="100" s="1"/>
  <c r="R11" i="100" s="1"/>
  <c r="BU9" i="100"/>
  <c r="Q9" i="100" s="1"/>
  <c r="R9" i="100" s="1"/>
  <c r="BU8" i="100"/>
  <c r="Q8" i="100" s="1"/>
  <c r="R8" i="100" s="1"/>
  <c r="BU7" i="100"/>
  <c r="Q7" i="100" s="1"/>
  <c r="R7" i="100" s="1"/>
  <c r="BU6" i="100"/>
  <c r="Q6" i="100" s="1"/>
  <c r="R6" i="100" s="1"/>
  <c r="BT30" i="100"/>
  <c r="BQ24" i="100"/>
  <c r="O24" i="100" s="1"/>
  <c r="P24" i="100" s="1"/>
  <c r="BQ23" i="100"/>
  <c r="O23" i="100" s="1"/>
  <c r="P23" i="100" s="1"/>
  <c r="BQ22" i="100"/>
  <c r="O22" i="100" s="1"/>
  <c r="P22" i="100" s="1"/>
  <c r="BQ21" i="100"/>
  <c r="O21" i="100" s="1"/>
  <c r="P21" i="100" s="1"/>
  <c r="BQ20" i="100"/>
  <c r="O20" i="100" s="1"/>
  <c r="P20" i="100" s="1"/>
  <c r="BQ19" i="100"/>
  <c r="O19" i="100" s="1"/>
  <c r="P19" i="100" s="1"/>
  <c r="BQ18" i="100"/>
  <c r="O18" i="100" s="1"/>
  <c r="P18" i="100" s="1"/>
  <c r="BQ17" i="100"/>
  <c r="O17" i="100" s="1"/>
  <c r="P17" i="100" s="1"/>
  <c r="BQ16" i="100"/>
  <c r="O16" i="100" s="1"/>
  <c r="P16" i="100" s="1"/>
  <c r="BQ15" i="100"/>
  <c r="O15" i="100" s="1"/>
  <c r="P15" i="100" s="1"/>
  <c r="BQ14" i="100"/>
  <c r="O14" i="100" s="1"/>
  <c r="P14" i="100" s="1"/>
  <c r="BQ12" i="100"/>
  <c r="O12" i="100" s="1"/>
  <c r="P12" i="100" s="1"/>
  <c r="BQ11" i="100"/>
  <c r="O11" i="100" s="1"/>
  <c r="P11" i="100" s="1"/>
  <c r="BQ10" i="100"/>
  <c r="O10" i="100" s="1"/>
  <c r="P10" i="100" s="1"/>
  <c r="BQ9" i="100"/>
  <c r="O9" i="100" s="1"/>
  <c r="P9" i="100" s="1"/>
  <c r="BQ8" i="100"/>
  <c r="O8" i="100" s="1"/>
  <c r="P8" i="100" s="1"/>
  <c r="BQ7" i="100"/>
  <c r="O7" i="100" s="1"/>
  <c r="P7" i="100" s="1"/>
  <c r="BQ6" i="100"/>
  <c r="O6" i="100" s="1"/>
  <c r="BM2" i="100"/>
  <c r="BM1" i="100" s="1"/>
  <c r="BL2" i="100"/>
  <c r="BL1" i="100" s="1"/>
  <c r="BH2" i="100"/>
  <c r="BH1" i="100" s="1"/>
  <c r="BG2" i="100"/>
  <c r="BG1" i="100" s="1"/>
  <c r="CJ2" i="100"/>
  <c r="CI1" i="100"/>
  <c r="DJ2" i="96"/>
  <c r="DI1" i="96"/>
  <c r="CK24" i="96"/>
  <c r="CK23" i="96"/>
  <c r="CK22" i="96"/>
  <c r="CK21" i="96"/>
  <c r="CK20" i="96"/>
  <c r="CK19" i="96"/>
  <c r="CK18" i="96"/>
  <c r="CK17" i="96"/>
  <c r="CK16" i="96"/>
  <c r="CK15" i="96"/>
  <c r="CK14" i="96"/>
  <c r="CK13" i="96"/>
  <c r="CK12" i="96"/>
  <c r="CK11" i="96"/>
  <c r="CK10" i="96"/>
  <c r="CK9" i="96"/>
  <c r="CK8" i="96"/>
  <c r="CK7" i="96"/>
  <c r="CK6" i="96"/>
  <c r="EI1" i="96"/>
  <c r="CM2" i="96"/>
  <c r="CL1" i="96"/>
  <c r="EH24" i="96"/>
  <c r="EH23" i="96"/>
  <c r="EH22" i="96"/>
  <c r="EH21" i="96"/>
  <c r="EH20" i="96"/>
  <c r="EH19" i="96"/>
  <c r="EH18" i="96"/>
  <c r="EH17" i="96"/>
  <c r="EH16" i="96"/>
  <c r="EH15" i="96"/>
  <c r="EH14" i="96"/>
  <c r="EH13" i="96"/>
  <c r="EH12" i="96"/>
  <c r="EH11" i="96"/>
  <c r="EH9" i="96"/>
  <c r="EH8" i="96"/>
  <c r="EH7" i="96"/>
  <c r="EH6" i="96"/>
  <c r="K30" i="96"/>
  <c r="K28" i="96"/>
  <c r="FF27" i="96"/>
  <c r="I33" i="96"/>
  <c r="J26" i="96"/>
  <c r="CL24" i="95"/>
  <c r="CL23" i="95"/>
  <c r="CL22" i="95"/>
  <c r="CL21" i="95"/>
  <c r="CL20" i="95"/>
  <c r="CL19" i="95"/>
  <c r="CL18" i="95"/>
  <c r="CL17" i="95"/>
  <c r="CL16" i="95"/>
  <c r="CL15" i="95"/>
  <c r="CL14" i="95"/>
  <c r="CL13" i="95"/>
  <c r="CL12" i="95"/>
  <c r="CL11" i="95"/>
  <c r="CL10" i="95"/>
  <c r="CL9" i="95"/>
  <c r="CL8" i="95"/>
  <c r="CL7" i="95"/>
  <c r="CL6" i="95"/>
  <c r="EJ1" i="95"/>
  <c r="CN2" i="95"/>
  <c r="CM1" i="95"/>
  <c r="EI24" i="95"/>
  <c r="EI23" i="95"/>
  <c r="EI22" i="95"/>
  <c r="EI21" i="95"/>
  <c r="EI20" i="95"/>
  <c r="EI19" i="95"/>
  <c r="EI18" i="95"/>
  <c r="EI17" i="95"/>
  <c r="EI16" i="95"/>
  <c r="EI15" i="95"/>
  <c r="EI14" i="95"/>
  <c r="EI13" i="95"/>
  <c r="EI12" i="95"/>
  <c r="EI11" i="95"/>
  <c r="EI9" i="95"/>
  <c r="EI8" i="95"/>
  <c r="EI7" i="95"/>
  <c r="EI6" i="95"/>
  <c r="DI24" i="95"/>
  <c r="DI23" i="95"/>
  <c r="DI22" i="95"/>
  <c r="DI21" i="95"/>
  <c r="DI20" i="95"/>
  <c r="DI19" i="95"/>
  <c r="DI18" i="95"/>
  <c r="DI17" i="95"/>
  <c r="DI16" i="95"/>
  <c r="DI15" i="95"/>
  <c r="DI14" i="95"/>
  <c r="DI13" i="95"/>
  <c r="DI12" i="95"/>
  <c r="DI11" i="95"/>
  <c r="DI10" i="95"/>
  <c r="DI9" i="95"/>
  <c r="DI8" i="95"/>
  <c r="DI7" i="95"/>
  <c r="DI6" i="95"/>
  <c r="DK2" i="95"/>
  <c r="DJ1" i="95"/>
  <c r="K27" i="97"/>
  <c r="K26" i="97"/>
  <c r="I32" i="97"/>
  <c r="I30" i="97"/>
  <c r="E30" i="97"/>
  <c r="I29" i="97"/>
  <c r="E29" i="97"/>
  <c r="I28" i="97"/>
  <c r="E28" i="97"/>
  <c r="I27" i="97"/>
  <c r="I26" i="97"/>
  <c r="FF6" i="97"/>
  <c r="L6" i="97"/>
  <c r="J6" i="97"/>
  <c r="FF7" i="97"/>
  <c r="L7" i="97"/>
  <c r="J7" i="97"/>
  <c r="FF8" i="97"/>
  <c r="L8" i="97"/>
  <c r="J8" i="97"/>
  <c r="FF9" i="97"/>
  <c r="L9" i="97"/>
  <c r="J9" i="97"/>
  <c r="FF10" i="97"/>
  <c r="L10" i="97"/>
  <c r="J10" i="97"/>
  <c r="FF11" i="97"/>
  <c r="L11" i="97"/>
  <c r="J11" i="97"/>
  <c r="FF12" i="97"/>
  <c r="L12" i="97"/>
  <c r="J12" i="97"/>
  <c r="FF13" i="97"/>
  <c r="L13" i="97"/>
  <c r="J13" i="97"/>
  <c r="FF14" i="97"/>
  <c r="L14" i="97"/>
  <c r="J14" i="97"/>
  <c r="FF15" i="97"/>
  <c r="L15" i="97"/>
  <c r="J15" i="97"/>
  <c r="FF16" i="97"/>
  <c r="L16" i="97"/>
  <c r="J16" i="97"/>
  <c r="FF17" i="97"/>
  <c r="L17" i="97"/>
  <c r="J17" i="97"/>
  <c r="FF18" i="97"/>
  <c r="L18" i="97"/>
  <c r="J18" i="97"/>
  <c r="FF19" i="97"/>
  <c r="L19" i="97"/>
  <c r="J19" i="97"/>
  <c r="FF20" i="97"/>
  <c r="L20" i="97"/>
  <c r="J20" i="97"/>
  <c r="FF21" i="97"/>
  <c r="L21" i="97"/>
  <c r="J21" i="97"/>
  <c r="FF22" i="97"/>
  <c r="L22" i="97"/>
  <c r="J22" i="97"/>
  <c r="FF23" i="97"/>
  <c r="L23" i="97"/>
  <c r="J23" i="97"/>
  <c r="FF24" i="97"/>
  <c r="L24" i="97"/>
  <c r="J24" i="97"/>
  <c r="E26" i="97"/>
  <c r="F26" i="97" s="1"/>
  <c r="H6" i="97"/>
  <c r="F6" i="97"/>
  <c r="H7" i="97"/>
  <c r="F7" i="97"/>
  <c r="H8" i="97"/>
  <c r="F8" i="97"/>
  <c r="H9" i="97"/>
  <c r="F9" i="97"/>
  <c r="H10" i="97"/>
  <c r="F10" i="97"/>
  <c r="H11" i="97"/>
  <c r="F11" i="97"/>
  <c r="H12" i="97"/>
  <c r="F12" i="97"/>
  <c r="H13" i="97"/>
  <c r="F13" i="97"/>
  <c r="H14" i="97"/>
  <c r="F14" i="97"/>
  <c r="H15" i="97"/>
  <c r="F15" i="97"/>
  <c r="H16" i="97"/>
  <c r="F16" i="97"/>
  <c r="H17" i="97"/>
  <c r="F17" i="97"/>
  <c r="H18" i="97"/>
  <c r="F18" i="97"/>
  <c r="H19" i="97"/>
  <c r="F19" i="97"/>
  <c r="H20" i="97"/>
  <c r="F20" i="97"/>
  <c r="H21" i="97"/>
  <c r="F21" i="97"/>
  <c r="H22" i="97"/>
  <c r="F22" i="97"/>
  <c r="H23" i="97"/>
  <c r="F23" i="97"/>
  <c r="H24" i="97"/>
  <c r="F24" i="97"/>
  <c r="CJ24" i="97"/>
  <c r="CJ23" i="97"/>
  <c r="CJ22" i="97"/>
  <c r="CJ21" i="97"/>
  <c r="CJ20" i="97"/>
  <c r="CJ19" i="97"/>
  <c r="CJ18" i="97"/>
  <c r="CJ17" i="97"/>
  <c r="CJ16" i="97"/>
  <c r="CJ15" i="97"/>
  <c r="CJ14" i="97"/>
  <c r="CJ13" i="97"/>
  <c r="CJ12" i="97"/>
  <c r="CJ11" i="97"/>
  <c r="CJ10" i="97"/>
  <c r="CJ9" i="97"/>
  <c r="CJ8" i="97"/>
  <c r="CJ7" i="97"/>
  <c r="CJ6" i="97"/>
  <c r="EH1" i="97"/>
  <c r="CL2" i="97"/>
  <c r="CK1" i="97"/>
  <c r="DH24" i="97"/>
  <c r="DH23" i="97"/>
  <c r="DH22" i="97"/>
  <c r="DH21" i="97"/>
  <c r="DH20" i="97"/>
  <c r="DH19" i="97"/>
  <c r="DH18" i="97"/>
  <c r="DH17" i="97"/>
  <c r="DH16" i="97"/>
  <c r="DH15" i="97"/>
  <c r="DH14" i="97"/>
  <c r="DH13" i="97"/>
  <c r="DH12" i="97"/>
  <c r="DH11" i="97"/>
  <c r="DH10" i="97"/>
  <c r="DH9" i="97"/>
  <c r="DH8" i="97"/>
  <c r="DH7" i="97"/>
  <c r="DH6" i="97"/>
  <c r="DH2" i="97"/>
  <c r="DI2" i="97" s="1"/>
  <c r="EG24" i="97"/>
  <c r="CF24" i="97" s="1"/>
  <c r="EG23" i="97"/>
  <c r="CF23" i="97" s="1"/>
  <c r="EG22" i="97"/>
  <c r="CF22" i="97" s="1"/>
  <c r="EG21" i="97"/>
  <c r="CF21" i="97" s="1"/>
  <c r="EG20" i="97"/>
  <c r="CF20" i="97" s="1"/>
  <c r="EG19" i="97"/>
  <c r="CF19" i="97" s="1"/>
  <c r="EG18" i="97"/>
  <c r="CF18" i="97" s="1"/>
  <c r="EG17" i="97"/>
  <c r="CF17" i="97" s="1"/>
  <c r="EG16" i="97"/>
  <c r="CF16" i="97" s="1"/>
  <c r="EG15" i="97"/>
  <c r="CF15" i="97" s="1"/>
  <c r="EG14" i="97"/>
  <c r="CF14" i="97" s="1"/>
  <c r="EG13" i="97"/>
  <c r="CF13" i="97" s="1"/>
  <c r="EG12" i="97"/>
  <c r="CF12" i="97" s="1"/>
  <c r="EG11" i="97"/>
  <c r="CF11" i="97" s="1"/>
  <c r="EG9" i="97"/>
  <c r="CF9" i="97" s="1"/>
  <c r="EG8" i="97"/>
  <c r="CF8" i="97" s="1"/>
  <c r="EG7" i="97"/>
  <c r="CF7" i="97" s="1"/>
  <c r="EG6" i="97"/>
  <c r="CF6" i="97" s="1"/>
  <c r="EG2" i="97"/>
  <c r="EH2" i="97" s="1"/>
  <c r="EI2" i="97" s="1"/>
  <c r="EJ2" i="97" s="1"/>
  <c r="EK2" i="97" s="1"/>
  <c r="EL2" i="97" s="1"/>
  <c r="EM2" i="97" s="1"/>
  <c r="EN2" i="97" s="1"/>
  <c r="EO2" i="97" s="1"/>
  <c r="EP2" i="97" s="1"/>
  <c r="EQ2" i="97" s="1"/>
  <c r="ER2" i="97" s="1"/>
  <c r="ES2" i="97" s="1"/>
  <c r="ET2" i="97" s="1"/>
  <c r="EU2" i="97" s="1"/>
  <c r="EV2" i="97" s="1"/>
  <c r="EW2" i="97" s="1"/>
  <c r="EX2" i="97" s="1"/>
  <c r="EY2" i="97" s="1"/>
  <c r="EZ2" i="97" s="1"/>
  <c r="FA2" i="97" s="1"/>
  <c r="FB2" i="97" s="1"/>
  <c r="FC2" i="97" s="1"/>
  <c r="FD2" i="97" s="1"/>
  <c r="DM2" i="94"/>
  <c r="DL1" i="94"/>
  <c r="DK24" i="94"/>
  <c r="DK19" i="94"/>
  <c r="DK18" i="94"/>
  <c r="DK17" i="94"/>
  <c r="DK13" i="94"/>
  <c r="DK12" i="94"/>
  <c r="DK10" i="94"/>
  <c r="DK9" i="94"/>
  <c r="DK8" i="94"/>
  <c r="DK22" i="94"/>
  <c r="DK20" i="94"/>
  <c r="DK14" i="94"/>
  <c r="DK23" i="94"/>
  <c r="DK16" i="94"/>
  <c r="DK7" i="94"/>
  <c r="DK11" i="94"/>
  <c r="DK21" i="94"/>
  <c r="DK15" i="94"/>
  <c r="DK6" i="94"/>
  <c r="EK23" i="94"/>
  <c r="EK15" i="94"/>
  <c r="EK14" i="94"/>
  <c r="EK24" i="94"/>
  <c r="EK7" i="94"/>
  <c r="EK21" i="94"/>
  <c r="EK18" i="94"/>
  <c r="EK17" i="94"/>
  <c r="EK13" i="94"/>
  <c r="EK20" i="94"/>
  <c r="EK8" i="94"/>
  <c r="EK6" i="94"/>
  <c r="EK12" i="94"/>
  <c r="EK11" i="94"/>
  <c r="EK22" i="94"/>
  <c r="EK19" i="94"/>
  <c r="EK16" i="94"/>
  <c r="EK9" i="94"/>
  <c r="CP2" i="94"/>
  <c r="CO1" i="94"/>
  <c r="CN21" i="94"/>
  <c r="CN23" i="94"/>
  <c r="CN22" i="94"/>
  <c r="CN18" i="94"/>
  <c r="CN16" i="94"/>
  <c r="CN13" i="94"/>
  <c r="CN24" i="94"/>
  <c r="CN17" i="94"/>
  <c r="CN15" i="94"/>
  <c r="CN12" i="94"/>
  <c r="CN6" i="94"/>
  <c r="CN20" i="94"/>
  <c r="CN19" i="94"/>
  <c r="EL1" i="94"/>
  <c r="CN11" i="94"/>
  <c r="CN10" i="94"/>
  <c r="CN7" i="94"/>
  <c r="CN14" i="94"/>
  <c r="CN9" i="94"/>
  <c r="CN8" i="94"/>
  <c r="CP1" i="93"/>
  <c r="CQ2" i="93"/>
  <c r="EL20" i="93"/>
  <c r="EL18" i="93"/>
  <c r="EL13" i="93"/>
  <c r="EL6" i="93"/>
  <c r="EL22" i="93"/>
  <c r="EL23" i="93"/>
  <c r="EL14" i="93"/>
  <c r="EL8" i="93"/>
  <c r="EL21" i="93"/>
  <c r="EL17" i="93"/>
  <c r="EL16" i="93"/>
  <c r="EL11" i="93"/>
  <c r="EL7" i="93"/>
  <c r="EL24" i="93"/>
  <c r="EL15" i="93"/>
  <c r="EL19" i="93"/>
  <c r="EL9" i="93"/>
  <c r="DM1" i="93"/>
  <c r="DN2" i="93"/>
  <c r="CO21" i="93"/>
  <c r="CO18" i="93"/>
  <c r="CO17" i="93"/>
  <c r="CO13" i="93"/>
  <c r="CO6" i="93"/>
  <c r="CO23" i="93"/>
  <c r="CO19" i="93"/>
  <c r="CO16" i="93"/>
  <c r="CO9" i="93"/>
  <c r="CO8" i="93"/>
  <c r="CO20" i="93"/>
  <c r="CO15" i="93"/>
  <c r="CO11" i="93"/>
  <c r="CO7" i="93"/>
  <c r="EM1" i="93"/>
  <c r="CO24" i="93"/>
  <c r="CO22" i="93"/>
  <c r="CO14" i="93"/>
  <c r="CO10" i="93"/>
  <c r="CO12" i="93"/>
  <c r="DL21" i="93"/>
  <c r="DL19" i="93"/>
  <c r="DL11" i="93"/>
  <c r="DL12" i="93"/>
  <c r="DL23" i="93"/>
  <c r="DL14" i="93"/>
  <c r="DL9" i="93"/>
  <c r="DL18" i="93"/>
  <c r="DL16" i="93"/>
  <c r="DL6" i="93"/>
  <c r="DL24" i="93"/>
  <c r="DL17" i="93"/>
  <c r="DL15" i="93"/>
  <c r="DL10" i="93"/>
  <c r="DL7" i="93"/>
  <c r="DL20" i="93"/>
  <c r="DL8" i="93"/>
  <c r="DL22" i="93"/>
  <c r="DL13" i="93"/>
  <c r="EU108" i="9"/>
  <c r="EU109" i="9" s="1"/>
  <c r="GJ86" i="9"/>
  <c r="GN86" i="9" s="1"/>
  <c r="GH84" i="9"/>
  <c r="GG85" i="9"/>
  <c r="IU86" i="9"/>
  <c r="IV85" i="9"/>
  <c r="EW86" i="9"/>
  <c r="EX85" i="9"/>
  <c r="HL118" i="9"/>
  <c r="GA118" i="9"/>
  <c r="HF118" i="9"/>
  <c r="HQ118" i="9"/>
  <c r="HI118" i="9"/>
  <c r="E118" i="9"/>
  <c r="HC118" i="9"/>
  <c r="C120" i="9"/>
  <c r="A119" i="9"/>
  <c r="H71" i="20"/>
  <c r="G70" i="20"/>
  <c r="K70" i="20" s="1"/>
  <c r="I70" i="20"/>
  <c r="H70" i="20"/>
  <c r="I72" i="20"/>
  <c r="H72" i="20"/>
  <c r="I71" i="20"/>
  <c r="G72" i="20"/>
  <c r="K72" i="20" s="1"/>
  <c r="H73" i="20"/>
  <c r="I73" i="20"/>
  <c r="G71" i="20"/>
  <c r="K71" i="20" s="1"/>
  <c r="H74" i="20"/>
  <c r="G73" i="20"/>
  <c r="K73" i="20" s="1"/>
  <c r="H75" i="20"/>
  <c r="I74" i="20"/>
  <c r="G61" i="20"/>
  <c r="H63" i="20"/>
  <c r="AD49" i="32"/>
  <c r="K44" i="32"/>
  <c r="J45" i="32"/>
  <c r="AB42" i="32"/>
  <c r="AF42" i="32" s="1"/>
  <c r="J38" i="32"/>
  <c r="AC50" i="32"/>
  <c r="AL50" i="32" s="1"/>
  <c r="ET137" i="9" l="1"/>
  <c r="A119" i="20"/>
  <c r="G26" i="98"/>
  <c r="CI24" i="100"/>
  <c r="CI23" i="100"/>
  <c r="CI22" i="100"/>
  <c r="CI21" i="100"/>
  <c r="CI20" i="100"/>
  <c r="CI19" i="100"/>
  <c r="CI18" i="100"/>
  <c r="CI17" i="100"/>
  <c r="CI16" i="100"/>
  <c r="CI15" i="100"/>
  <c r="CI14" i="100"/>
  <c r="CI13" i="100"/>
  <c r="CI12" i="100"/>
  <c r="CI11" i="100"/>
  <c r="CI10" i="100"/>
  <c r="CI9" i="100"/>
  <c r="CI8" i="100"/>
  <c r="CI7" i="100"/>
  <c r="CI6" i="100"/>
  <c r="EG1" i="100"/>
  <c r="DH1" i="100"/>
  <c r="CK2" i="100"/>
  <c r="CJ1" i="100"/>
  <c r="BG24" i="100"/>
  <c r="E24" i="100" s="1"/>
  <c r="BG23" i="100"/>
  <c r="E23" i="100" s="1"/>
  <c r="BG22" i="100"/>
  <c r="E22" i="100" s="1"/>
  <c r="BG21" i="100"/>
  <c r="E21" i="100" s="1"/>
  <c r="BG20" i="100"/>
  <c r="E20" i="100" s="1"/>
  <c r="BG19" i="100"/>
  <c r="E19" i="100" s="1"/>
  <c r="BG18" i="100"/>
  <c r="E18" i="100" s="1"/>
  <c r="BG17" i="100"/>
  <c r="E17" i="100" s="1"/>
  <c r="BG16" i="100"/>
  <c r="E16" i="100" s="1"/>
  <c r="BG15" i="100"/>
  <c r="E15" i="100" s="1"/>
  <c r="BG14" i="100"/>
  <c r="E14" i="100" s="1"/>
  <c r="BG13" i="100"/>
  <c r="E13" i="100" s="1"/>
  <c r="BG12" i="100"/>
  <c r="E12" i="100" s="1"/>
  <c r="BG11" i="100"/>
  <c r="E11" i="100" s="1"/>
  <c r="BG10" i="100"/>
  <c r="E10" i="100" s="1"/>
  <c r="BG9" i="100"/>
  <c r="E9" i="100" s="1"/>
  <c r="BG8" i="100"/>
  <c r="E8" i="100" s="1"/>
  <c r="BG7" i="100"/>
  <c r="E7" i="100" s="1"/>
  <c r="BG6" i="100"/>
  <c r="E6" i="100" s="1"/>
  <c r="BG5" i="100"/>
  <c r="E3" i="100" s="1"/>
  <c r="BH24" i="100"/>
  <c r="I24" i="100" s="1"/>
  <c r="BH23" i="100"/>
  <c r="I23" i="100" s="1"/>
  <c r="BH22" i="100"/>
  <c r="I22" i="100" s="1"/>
  <c r="BH21" i="100"/>
  <c r="I21" i="100" s="1"/>
  <c r="BH20" i="100"/>
  <c r="I20" i="100" s="1"/>
  <c r="BH19" i="100"/>
  <c r="I19" i="100" s="1"/>
  <c r="BH18" i="100"/>
  <c r="I18" i="100" s="1"/>
  <c r="BH17" i="100"/>
  <c r="I17" i="100" s="1"/>
  <c r="BH16" i="100"/>
  <c r="I16" i="100" s="1"/>
  <c r="BH15" i="100"/>
  <c r="I15" i="100" s="1"/>
  <c r="BH14" i="100"/>
  <c r="I14" i="100" s="1"/>
  <c r="BH13" i="100"/>
  <c r="I13" i="100" s="1"/>
  <c r="BH12" i="100"/>
  <c r="I12" i="100" s="1"/>
  <c r="BH11" i="100"/>
  <c r="I11" i="100" s="1"/>
  <c r="BH10" i="100"/>
  <c r="I10" i="100" s="1"/>
  <c r="BH9" i="100"/>
  <c r="I9" i="100" s="1"/>
  <c r="BH8" i="100"/>
  <c r="I8" i="100" s="1"/>
  <c r="BH7" i="100"/>
  <c r="I7" i="100" s="1"/>
  <c r="BH6" i="100"/>
  <c r="I6" i="100" s="1"/>
  <c r="BH5" i="100"/>
  <c r="I3" i="100" s="1"/>
  <c r="BL24" i="100"/>
  <c r="G24" i="100" s="1"/>
  <c r="BL23" i="100"/>
  <c r="G23" i="100" s="1"/>
  <c r="BL22" i="100"/>
  <c r="G22" i="100" s="1"/>
  <c r="BL21" i="100"/>
  <c r="G21" i="100" s="1"/>
  <c r="BL20" i="100"/>
  <c r="G20" i="100" s="1"/>
  <c r="BL19" i="100"/>
  <c r="G19" i="100" s="1"/>
  <c r="BL18" i="100"/>
  <c r="G18" i="100" s="1"/>
  <c r="BL17" i="100"/>
  <c r="G17" i="100" s="1"/>
  <c r="BL16" i="100"/>
  <c r="G16" i="100" s="1"/>
  <c r="BL15" i="100"/>
  <c r="G15" i="100" s="1"/>
  <c r="BL14" i="100"/>
  <c r="G14" i="100" s="1"/>
  <c r="BL13" i="100"/>
  <c r="G13" i="100" s="1"/>
  <c r="BL12" i="100"/>
  <c r="G12" i="100" s="1"/>
  <c r="BL11" i="100"/>
  <c r="G11" i="100" s="1"/>
  <c r="BL10" i="100"/>
  <c r="G10" i="100" s="1"/>
  <c r="BL9" i="100"/>
  <c r="G9" i="100" s="1"/>
  <c r="BL8" i="100"/>
  <c r="G8" i="100" s="1"/>
  <c r="BL7" i="100"/>
  <c r="G7" i="100" s="1"/>
  <c r="BL6" i="100"/>
  <c r="G6" i="100" s="1"/>
  <c r="BM24" i="100"/>
  <c r="K24" i="100" s="1"/>
  <c r="BM23" i="100"/>
  <c r="K23" i="100" s="1"/>
  <c r="BM22" i="100"/>
  <c r="K22" i="100" s="1"/>
  <c r="BM21" i="100"/>
  <c r="K21" i="100" s="1"/>
  <c r="BM20" i="100"/>
  <c r="K20" i="100" s="1"/>
  <c r="BM19" i="100"/>
  <c r="K19" i="100" s="1"/>
  <c r="BM18" i="100"/>
  <c r="K18" i="100" s="1"/>
  <c r="BM17" i="100"/>
  <c r="K17" i="100" s="1"/>
  <c r="BM16" i="100"/>
  <c r="K16" i="100" s="1"/>
  <c r="BM15" i="100"/>
  <c r="K15" i="100" s="1"/>
  <c r="BM14" i="100"/>
  <c r="K14" i="100" s="1"/>
  <c r="BM13" i="100"/>
  <c r="K13" i="100" s="1"/>
  <c r="BM12" i="100"/>
  <c r="K12" i="100" s="1"/>
  <c r="BM11" i="100"/>
  <c r="K11" i="100" s="1"/>
  <c r="BM10" i="100"/>
  <c r="K10" i="100" s="1"/>
  <c r="BM9" i="100"/>
  <c r="K9" i="100" s="1"/>
  <c r="BM8" i="100"/>
  <c r="K8" i="100" s="1"/>
  <c r="BM7" i="100"/>
  <c r="K7" i="100" s="1"/>
  <c r="BM6" i="100"/>
  <c r="K6" i="100" s="1"/>
  <c r="P6" i="100"/>
  <c r="K27" i="98"/>
  <c r="K26" i="98"/>
  <c r="I32" i="98"/>
  <c r="I30" i="98"/>
  <c r="E30" i="98"/>
  <c r="I29" i="98"/>
  <c r="E29" i="98"/>
  <c r="I28" i="98"/>
  <c r="E28" i="98"/>
  <c r="I27" i="98"/>
  <c r="I26" i="98"/>
  <c r="FF6" i="98"/>
  <c r="L6" i="98"/>
  <c r="J6" i="98"/>
  <c r="FF7" i="98"/>
  <c r="L7" i="98"/>
  <c r="J7" i="98"/>
  <c r="FF8" i="98"/>
  <c r="L8" i="98"/>
  <c r="J8" i="98"/>
  <c r="FF9" i="98"/>
  <c r="L9" i="98"/>
  <c r="J9" i="98"/>
  <c r="FF10" i="98"/>
  <c r="L10" i="98"/>
  <c r="J10" i="98"/>
  <c r="FF11" i="98"/>
  <c r="L11" i="98"/>
  <c r="J11" i="98"/>
  <c r="FF12" i="98"/>
  <c r="L12" i="98"/>
  <c r="J12" i="98"/>
  <c r="FF13" i="98"/>
  <c r="L13" i="98"/>
  <c r="J13" i="98"/>
  <c r="FF14" i="98"/>
  <c r="L14" i="98"/>
  <c r="J14" i="98"/>
  <c r="FF15" i="98"/>
  <c r="L15" i="98"/>
  <c r="J15" i="98"/>
  <c r="FF16" i="98"/>
  <c r="L16" i="98"/>
  <c r="J16" i="98"/>
  <c r="FF17" i="98"/>
  <c r="L17" i="98"/>
  <c r="J17" i="98"/>
  <c r="FF18" i="98"/>
  <c r="L18" i="98"/>
  <c r="J18" i="98"/>
  <c r="FF19" i="98"/>
  <c r="L19" i="98"/>
  <c r="J19" i="98"/>
  <c r="FF20" i="98"/>
  <c r="L20" i="98"/>
  <c r="J20" i="98"/>
  <c r="FF21" i="98"/>
  <c r="L21" i="98"/>
  <c r="J21" i="98"/>
  <c r="FF22" i="98"/>
  <c r="L22" i="98"/>
  <c r="J22" i="98"/>
  <c r="FF23" i="98"/>
  <c r="L23" i="98"/>
  <c r="J23" i="98"/>
  <c r="FF24" i="98"/>
  <c r="L24" i="98"/>
  <c r="J24" i="98"/>
  <c r="E26" i="98"/>
  <c r="F26" i="98" s="1"/>
  <c r="H6" i="98"/>
  <c r="F6" i="98"/>
  <c r="H7" i="98"/>
  <c r="F7" i="98"/>
  <c r="H8" i="98"/>
  <c r="F8" i="98"/>
  <c r="H9" i="98"/>
  <c r="F9" i="98"/>
  <c r="H10" i="98"/>
  <c r="F10" i="98"/>
  <c r="H11" i="98"/>
  <c r="F11" i="98"/>
  <c r="H12" i="98"/>
  <c r="F12" i="98"/>
  <c r="H13" i="98"/>
  <c r="F13" i="98"/>
  <c r="H14" i="98"/>
  <c r="F14" i="98"/>
  <c r="H15" i="98"/>
  <c r="F15" i="98"/>
  <c r="H16" i="98"/>
  <c r="F16" i="98"/>
  <c r="H17" i="98"/>
  <c r="F17" i="98"/>
  <c r="H18" i="98"/>
  <c r="F18" i="98"/>
  <c r="H19" i="98"/>
  <c r="F19" i="98"/>
  <c r="H20" i="98"/>
  <c r="F20" i="98"/>
  <c r="H21" i="98"/>
  <c r="F21" i="98"/>
  <c r="H22" i="98"/>
  <c r="F22" i="98"/>
  <c r="H23" i="98"/>
  <c r="F23" i="98"/>
  <c r="H24" i="98"/>
  <c r="F24" i="98"/>
  <c r="CJ24" i="98"/>
  <c r="CJ23" i="98"/>
  <c r="CJ22" i="98"/>
  <c r="CJ21" i="98"/>
  <c r="CJ20" i="98"/>
  <c r="CJ19" i="98"/>
  <c r="CJ18" i="98"/>
  <c r="CJ17" i="98"/>
  <c r="CJ16" i="98"/>
  <c r="CJ15" i="98"/>
  <c r="CJ14" i="98"/>
  <c r="CJ13" i="98"/>
  <c r="CJ12" i="98"/>
  <c r="CJ11" i="98"/>
  <c r="CJ10" i="98"/>
  <c r="CJ9" i="98"/>
  <c r="CJ8" i="98"/>
  <c r="CJ7" i="98"/>
  <c r="CJ6" i="98"/>
  <c r="EH1" i="98"/>
  <c r="CL2" i="98"/>
  <c r="CK1" i="98"/>
  <c r="DH24" i="98"/>
  <c r="DH23" i="98"/>
  <c r="DH22" i="98"/>
  <c r="DH21" i="98"/>
  <c r="DH20" i="98"/>
  <c r="DH19" i="98"/>
  <c r="DH18" i="98"/>
  <c r="DH17" i="98"/>
  <c r="DH16" i="98"/>
  <c r="DH15" i="98"/>
  <c r="DH14" i="98"/>
  <c r="DH13" i="98"/>
  <c r="DH12" i="98"/>
  <c r="DH11" i="98"/>
  <c r="DH10" i="98"/>
  <c r="DH9" i="98"/>
  <c r="DH8" i="98"/>
  <c r="DH7" i="98"/>
  <c r="DH6" i="98"/>
  <c r="DH2" i="98"/>
  <c r="DI2" i="98" s="1"/>
  <c r="EG24" i="98"/>
  <c r="CF24" i="98" s="1"/>
  <c r="EG23" i="98"/>
  <c r="CF23" i="98" s="1"/>
  <c r="EG22" i="98"/>
  <c r="CF22" i="98" s="1"/>
  <c r="EG21" i="98"/>
  <c r="CF21" i="98" s="1"/>
  <c r="EG20" i="98"/>
  <c r="CF20" i="98" s="1"/>
  <c r="EG19" i="98"/>
  <c r="CF19" i="98" s="1"/>
  <c r="EG18" i="98"/>
  <c r="CF18" i="98" s="1"/>
  <c r="EG17" i="98"/>
  <c r="CF17" i="98" s="1"/>
  <c r="EG16" i="98"/>
  <c r="CF16" i="98" s="1"/>
  <c r="EG15" i="98"/>
  <c r="CF15" i="98" s="1"/>
  <c r="EG14" i="98"/>
  <c r="CF14" i="98" s="1"/>
  <c r="EG13" i="98"/>
  <c r="CF13" i="98" s="1"/>
  <c r="EG12" i="98"/>
  <c r="CF12" i="98" s="1"/>
  <c r="EG11" i="98"/>
  <c r="CF11" i="98" s="1"/>
  <c r="EG9" i="98"/>
  <c r="CF9" i="98" s="1"/>
  <c r="EG8" i="98"/>
  <c r="CF8" i="98" s="1"/>
  <c r="EG7" i="98"/>
  <c r="CF7" i="98" s="1"/>
  <c r="EG6" i="98"/>
  <c r="CF6" i="98" s="1"/>
  <c r="EG2" i="98"/>
  <c r="EH2" i="98" s="1"/>
  <c r="EI2" i="98" s="1"/>
  <c r="EJ2" i="98" s="1"/>
  <c r="EK2" i="98" s="1"/>
  <c r="EL2" i="98" s="1"/>
  <c r="EM2" i="98" s="1"/>
  <c r="EN2" i="98" s="1"/>
  <c r="EO2" i="98" s="1"/>
  <c r="EP2" i="98" s="1"/>
  <c r="EQ2" i="98" s="1"/>
  <c r="ER2" i="98" s="1"/>
  <c r="ES2" i="98" s="1"/>
  <c r="ET2" i="98" s="1"/>
  <c r="EU2" i="98" s="1"/>
  <c r="EV2" i="98" s="1"/>
  <c r="EW2" i="98" s="1"/>
  <c r="EX2" i="98" s="1"/>
  <c r="EY2" i="98" s="1"/>
  <c r="EZ2" i="98" s="1"/>
  <c r="FA2" i="98" s="1"/>
  <c r="FB2" i="98" s="1"/>
  <c r="FC2" i="98" s="1"/>
  <c r="FD2" i="98" s="1"/>
  <c r="DJ2" i="97"/>
  <c r="DI1" i="97"/>
  <c r="CK24" i="97"/>
  <c r="CK23" i="97"/>
  <c r="CK22" i="97"/>
  <c r="CK21" i="97"/>
  <c r="CK20" i="97"/>
  <c r="CK19" i="97"/>
  <c r="CK18" i="97"/>
  <c r="CK17" i="97"/>
  <c r="CK16" i="97"/>
  <c r="CK15" i="97"/>
  <c r="CK14" i="97"/>
  <c r="CK13" i="97"/>
  <c r="CK12" i="97"/>
  <c r="CK11" i="97"/>
  <c r="CK10" i="97"/>
  <c r="CK9" i="97"/>
  <c r="CK8" i="97"/>
  <c r="CK7" i="97"/>
  <c r="CK6" i="97"/>
  <c r="EI1" i="97"/>
  <c r="CM2" i="97"/>
  <c r="CL1" i="97"/>
  <c r="EH24" i="97"/>
  <c r="EH23" i="97"/>
  <c r="EH22" i="97"/>
  <c r="EH21" i="97"/>
  <c r="EH20" i="97"/>
  <c r="EH19" i="97"/>
  <c r="EH18" i="97"/>
  <c r="EH17" i="97"/>
  <c r="EH16" i="97"/>
  <c r="EH15" i="97"/>
  <c r="EH14" i="97"/>
  <c r="EH13" i="97"/>
  <c r="EH12" i="97"/>
  <c r="EH11" i="97"/>
  <c r="EH9" i="97"/>
  <c r="EH8" i="97"/>
  <c r="EH7" i="97"/>
  <c r="EH6" i="97"/>
  <c r="K30" i="97"/>
  <c r="K28" i="97"/>
  <c r="FF27" i="97"/>
  <c r="I33" i="97"/>
  <c r="J26" i="97"/>
  <c r="DJ24" i="95"/>
  <c r="DJ23" i="95"/>
  <c r="DJ22" i="95"/>
  <c r="DJ21" i="95"/>
  <c r="DJ20" i="95"/>
  <c r="DJ19" i="95"/>
  <c r="DJ18" i="95"/>
  <c r="DJ17" i="95"/>
  <c r="DJ16" i="95"/>
  <c r="DJ15" i="95"/>
  <c r="DJ14" i="95"/>
  <c r="DJ13" i="95"/>
  <c r="DJ12" i="95"/>
  <c r="DJ11" i="95"/>
  <c r="DJ10" i="95"/>
  <c r="DJ9" i="95"/>
  <c r="DJ8" i="95"/>
  <c r="DJ7" i="95"/>
  <c r="DJ6" i="95"/>
  <c r="DL2" i="95"/>
  <c r="DK1" i="95"/>
  <c r="CM24" i="95"/>
  <c r="CM23" i="95"/>
  <c r="CM22" i="95"/>
  <c r="CM21" i="95"/>
  <c r="CM20" i="95"/>
  <c r="CM19" i="95"/>
  <c r="CM18" i="95"/>
  <c r="CM17" i="95"/>
  <c r="CM16" i="95"/>
  <c r="CM15" i="95"/>
  <c r="CM14" i="95"/>
  <c r="CM13" i="95"/>
  <c r="CM12" i="95"/>
  <c r="CM11" i="95"/>
  <c r="CM10" i="95"/>
  <c r="CM9" i="95"/>
  <c r="CM8" i="95"/>
  <c r="CM7" i="95"/>
  <c r="CM6" i="95"/>
  <c r="EK1" i="95"/>
  <c r="CO2" i="95"/>
  <c r="CN1" i="95"/>
  <c r="EJ24" i="95"/>
  <c r="EJ23" i="95"/>
  <c r="EJ22" i="95"/>
  <c r="EJ21" i="95"/>
  <c r="EJ20" i="95"/>
  <c r="EJ19" i="95"/>
  <c r="EJ18" i="95"/>
  <c r="EJ17" i="95"/>
  <c r="EJ16" i="95"/>
  <c r="EJ15" i="95"/>
  <c r="EJ14" i="95"/>
  <c r="EJ13" i="95"/>
  <c r="EJ12" i="95"/>
  <c r="EJ11" i="95"/>
  <c r="EJ9" i="95"/>
  <c r="EJ8" i="95"/>
  <c r="EJ7" i="95"/>
  <c r="EJ6" i="95"/>
  <c r="CL24" i="96"/>
  <c r="CL23" i="96"/>
  <c r="CL22" i="96"/>
  <c r="CL21" i="96"/>
  <c r="CL20" i="96"/>
  <c r="CL19" i="96"/>
  <c r="CL18" i="96"/>
  <c r="CL17" i="96"/>
  <c r="CL16" i="96"/>
  <c r="CL15" i="96"/>
  <c r="CL14" i="96"/>
  <c r="CL13" i="96"/>
  <c r="CL12" i="96"/>
  <c r="CL11" i="96"/>
  <c r="CL10" i="96"/>
  <c r="CL9" i="96"/>
  <c r="CL8" i="96"/>
  <c r="CL7" i="96"/>
  <c r="CL6" i="96"/>
  <c r="EJ1" i="96"/>
  <c r="CN2" i="96"/>
  <c r="CM1" i="96"/>
  <c r="EI24" i="96"/>
  <c r="EI23" i="96"/>
  <c r="EI22" i="96"/>
  <c r="EI21" i="96"/>
  <c r="EI20" i="96"/>
  <c r="EI19" i="96"/>
  <c r="EI18" i="96"/>
  <c r="EI17" i="96"/>
  <c r="EI16" i="96"/>
  <c r="EI15" i="96"/>
  <c r="EI14" i="96"/>
  <c r="EI13" i="96"/>
  <c r="EI12" i="96"/>
  <c r="EI11" i="96"/>
  <c r="EI9" i="96"/>
  <c r="EI8" i="96"/>
  <c r="EI7" i="96"/>
  <c r="EI6" i="96"/>
  <c r="DI24" i="96"/>
  <c r="DI23" i="96"/>
  <c r="DI22" i="96"/>
  <c r="DI21" i="96"/>
  <c r="DI20" i="96"/>
  <c r="DI19" i="96"/>
  <c r="DI18" i="96"/>
  <c r="DI17" i="96"/>
  <c r="DI16" i="96"/>
  <c r="DI15" i="96"/>
  <c r="DI14" i="96"/>
  <c r="DI13" i="96"/>
  <c r="DI12" i="96"/>
  <c r="DI11" i="96"/>
  <c r="DI10" i="96"/>
  <c r="DI9" i="96"/>
  <c r="DI8" i="96"/>
  <c r="DI7" i="96"/>
  <c r="DI6" i="96"/>
  <c r="DK2" i="96"/>
  <c r="DJ1" i="96"/>
  <c r="EL22" i="94"/>
  <c r="EL21" i="94"/>
  <c r="EL24" i="94"/>
  <c r="EL18" i="94"/>
  <c r="EL16" i="94"/>
  <c r="EL13" i="94"/>
  <c r="EL17" i="94"/>
  <c r="EL15" i="94"/>
  <c r="EL12" i="94"/>
  <c r="EL6" i="94"/>
  <c r="EL14" i="94"/>
  <c r="EL11" i="94"/>
  <c r="EL7" i="94"/>
  <c r="EL19" i="94"/>
  <c r="EL9" i="94"/>
  <c r="EL23" i="94"/>
  <c r="EL20" i="94"/>
  <c r="EL8" i="94"/>
  <c r="CO24" i="94"/>
  <c r="CO20" i="94"/>
  <c r="CO17" i="94"/>
  <c r="CO12" i="94"/>
  <c r="CO19" i="94"/>
  <c r="CO18" i="94"/>
  <c r="CO13" i="94"/>
  <c r="CO11" i="94"/>
  <c r="EM1" i="94"/>
  <c r="CO22" i="94"/>
  <c r="CO14" i="94"/>
  <c r="CO16" i="94"/>
  <c r="CO10" i="94"/>
  <c r="CO7" i="94"/>
  <c r="CO23" i="94"/>
  <c r="CO21" i="94"/>
  <c r="CO9" i="94"/>
  <c r="CO8" i="94"/>
  <c r="CO15" i="94"/>
  <c r="CO6" i="94"/>
  <c r="CQ2" i="94"/>
  <c r="CP1" i="94"/>
  <c r="DL23" i="94"/>
  <c r="DL24" i="94"/>
  <c r="DL22" i="94"/>
  <c r="DL15" i="94"/>
  <c r="DL14" i="94"/>
  <c r="DL20" i="94"/>
  <c r="DL19" i="94"/>
  <c r="DL7" i="94"/>
  <c r="DL16" i="94"/>
  <c r="DL18" i="94"/>
  <c r="DL17" i="94"/>
  <c r="DL12" i="94"/>
  <c r="DL11" i="94"/>
  <c r="DL10" i="94"/>
  <c r="DL9" i="94"/>
  <c r="DL21" i="94"/>
  <c r="DL13" i="94"/>
  <c r="DL8" i="94"/>
  <c r="DL6" i="94"/>
  <c r="DM1" i="94"/>
  <c r="DN2" i="94"/>
  <c r="EM23" i="93"/>
  <c r="EM18" i="93"/>
  <c r="EM19" i="93"/>
  <c r="EM9" i="93"/>
  <c r="EM6" i="93"/>
  <c r="EM15" i="93"/>
  <c r="EM8" i="93"/>
  <c r="EM20" i="93"/>
  <c r="EM11" i="93"/>
  <c r="EM22" i="93"/>
  <c r="EM21" i="93"/>
  <c r="EM12" i="93"/>
  <c r="EM13" i="93"/>
  <c r="EM14" i="93"/>
  <c r="EM7" i="93"/>
  <c r="EM24" i="93"/>
  <c r="EM16" i="93"/>
  <c r="EM17" i="93"/>
  <c r="DM22" i="93"/>
  <c r="DM18" i="93"/>
  <c r="DM16" i="93"/>
  <c r="DM9" i="93"/>
  <c r="DM17" i="93"/>
  <c r="DM15" i="93"/>
  <c r="DM7" i="93"/>
  <c r="DM14" i="93"/>
  <c r="DM21" i="93"/>
  <c r="DM19" i="93"/>
  <c r="DM13" i="93"/>
  <c r="DM8" i="93"/>
  <c r="DM6" i="93"/>
  <c r="DM20" i="93"/>
  <c r="DM11" i="93"/>
  <c r="DM23" i="93"/>
  <c r="DM24" i="93"/>
  <c r="DM10" i="93"/>
  <c r="DM12" i="93"/>
  <c r="CQ1" i="93"/>
  <c r="CR2" i="93"/>
  <c r="DO2" i="93"/>
  <c r="DN1" i="93"/>
  <c r="CP22" i="93"/>
  <c r="CP17" i="93"/>
  <c r="CP16" i="93"/>
  <c r="CP10" i="93"/>
  <c r="CP8" i="93"/>
  <c r="CP19" i="93"/>
  <c r="CP21" i="93"/>
  <c r="EN1" i="93"/>
  <c r="CP20" i="93"/>
  <c r="CP24" i="93"/>
  <c r="CP13" i="93"/>
  <c r="CP9" i="93"/>
  <c r="CP6" i="93"/>
  <c r="CP15" i="93"/>
  <c r="CP12" i="93"/>
  <c r="CP23" i="93"/>
  <c r="CP14" i="93"/>
  <c r="CP11" i="93"/>
  <c r="CP18" i="93"/>
  <c r="CP7" i="93"/>
  <c r="EU110" i="9"/>
  <c r="EU111" i="9" s="1"/>
  <c r="GG86" i="9"/>
  <c r="GH85" i="9"/>
  <c r="EW87" i="9"/>
  <c r="EX86" i="9"/>
  <c r="IU87" i="9"/>
  <c r="IV86" i="9"/>
  <c r="GJ87" i="9"/>
  <c r="GN87" i="9" s="1"/>
  <c r="HI119" i="9"/>
  <c r="HF119" i="9"/>
  <c r="GA119" i="9"/>
  <c r="HL119" i="9"/>
  <c r="HQ119" i="9"/>
  <c r="HC119" i="9"/>
  <c r="E119" i="9"/>
  <c r="C121" i="9"/>
  <c r="A120" i="9"/>
  <c r="A120" i="20" s="1"/>
  <c r="U74" i="20"/>
  <c r="V74" i="20" s="1"/>
  <c r="M74" i="20"/>
  <c r="P74" i="20" s="1"/>
  <c r="U71" i="20"/>
  <c r="V71" i="20" s="1"/>
  <c r="M71" i="20"/>
  <c r="P71" i="20" s="1"/>
  <c r="K61" i="20"/>
  <c r="O61" i="20" s="1"/>
  <c r="S61" i="20"/>
  <c r="T61" i="20" s="1"/>
  <c r="U61" i="20"/>
  <c r="V61" i="20" s="1"/>
  <c r="S75" i="20"/>
  <c r="T75" i="20" s="1"/>
  <c r="L75" i="20"/>
  <c r="O75" i="20" s="1"/>
  <c r="U73" i="20"/>
  <c r="V73" i="20" s="1"/>
  <c r="M73" i="20"/>
  <c r="P73" i="20" s="1"/>
  <c r="S72" i="20"/>
  <c r="T72" i="20" s="1"/>
  <c r="L72" i="20"/>
  <c r="O72" i="20" s="1"/>
  <c r="S71" i="20"/>
  <c r="T71" i="20" s="1"/>
  <c r="L71" i="20"/>
  <c r="O71" i="20" s="1"/>
  <c r="S73" i="20"/>
  <c r="T73" i="20" s="1"/>
  <c r="L73" i="20"/>
  <c r="O73" i="20" s="1"/>
  <c r="U72" i="20"/>
  <c r="V72" i="20" s="1"/>
  <c r="M72" i="20"/>
  <c r="P72" i="20" s="1"/>
  <c r="S74" i="20"/>
  <c r="T74" i="20" s="1"/>
  <c r="L74" i="20"/>
  <c r="O74" i="20" s="1"/>
  <c r="S70" i="20"/>
  <c r="T70" i="20" s="1"/>
  <c r="L70" i="20"/>
  <c r="O70" i="20" s="1"/>
  <c r="U70" i="20"/>
  <c r="V70" i="20" s="1"/>
  <c r="M70" i="20"/>
  <c r="P70" i="20" s="1"/>
  <c r="L63" i="20"/>
  <c r="O63" i="20" s="1"/>
  <c r="S63" i="20"/>
  <c r="T63" i="20" s="1"/>
  <c r="AL49" i="32"/>
  <c r="B5" i="32" s="1"/>
  <c r="AH49" i="32"/>
  <c r="AK49" i="32" s="1"/>
  <c r="D5" i="32"/>
  <c r="F38" i="32"/>
  <c r="L38" i="32"/>
  <c r="H38" i="32" s="1"/>
  <c r="AJ42" i="32"/>
  <c r="AK42" i="32"/>
  <c r="F45" i="32"/>
  <c r="L45" i="32"/>
  <c r="H45" i="32" s="1"/>
  <c r="G44" i="32"/>
  <c r="G50" i="32" s="1"/>
  <c r="L44" i="32"/>
  <c r="H44" i="32" s="1"/>
  <c r="G26" i="100" l="1"/>
  <c r="DJ2" i="98"/>
  <c r="DI1" i="98"/>
  <c r="CK24" i="98"/>
  <c r="CK23" i="98"/>
  <c r="CK22" i="98"/>
  <c r="CK21" i="98"/>
  <c r="CK20" i="98"/>
  <c r="CK19" i="98"/>
  <c r="CK18" i="98"/>
  <c r="CK17" i="98"/>
  <c r="CK16" i="98"/>
  <c r="CK15" i="98"/>
  <c r="CK14" i="98"/>
  <c r="CK13" i="98"/>
  <c r="CK12" i="98"/>
  <c r="CK11" i="98"/>
  <c r="CK10" i="98"/>
  <c r="CK9" i="98"/>
  <c r="CK8" i="98"/>
  <c r="CK7" i="98"/>
  <c r="CK6" i="98"/>
  <c r="EI1" i="98"/>
  <c r="CM2" i="98"/>
  <c r="CL1" i="98"/>
  <c r="EH24" i="98"/>
  <c r="EH23" i="98"/>
  <c r="EH22" i="98"/>
  <c r="EH21" i="98"/>
  <c r="EH20" i="98"/>
  <c r="EH19" i="98"/>
  <c r="EH18" i="98"/>
  <c r="EH17" i="98"/>
  <c r="EH16" i="98"/>
  <c r="EH15" i="98"/>
  <c r="EH14" i="98"/>
  <c r="EH13" i="98"/>
  <c r="EH12" i="98"/>
  <c r="EH11" i="98"/>
  <c r="EH9" i="98"/>
  <c r="EH8" i="98"/>
  <c r="EH7" i="98"/>
  <c r="EH6" i="98"/>
  <c r="K30" i="98"/>
  <c r="K28" i="98"/>
  <c r="FF27" i="98"/>
  <c r="I33" i="98"/>
  <c r="J26" i="98"/>
  <c r="K27" i="100"/>
  <c r="K26" i="100"/>
  <c r="I32" i="100"/>
  <c r="I30" i="100"/>
  <c r="E30" i="100"/>
  <c r="I29" i="100"/>
  <c r="E29" i="100"/>
  <c r="I28" i="100"/>
  <c r="E28" i="100"/>
  <c r="I27" i="100"/>
  <c r="I26" i="100"/>
  <c r="FF6" i="100"/>
  <c r="L6" i="100"/>
  <c r="J6" i="100"/>
  <c r="FF7" i="100"/>
  <c r="L7" i="100"/>
  <c r="J7" i="100"/>
  <c r="FF8" i="100"/>
  <c r="L8" i="100"/>
  <c r="J8" i="100"/>
  <c r="FF9" i="100"/>
  <c r="L9" i="100"/>
  <c r="J9" i="100"/>
  <c r="FF10" i="100"/>
  <c r="L10" i="100"/>
  <c r="J10" i="100"/>
  <c r="FF11" i="100"/>
  <c r="L11" i="100"/>
  <c r="J11" i="100"/>
  <c r="FF12" i="100"/>
  <c r="L12" i="100"/>
  <c r="J12" i="100"/>
  <c r="FF13" i="100"/>
  <c r="L13" i="100"/>
  <c r="J13" i="100"/>
  <c r="FF14" i="100"/>
  <c r="L14" i="100"/>
  <c r="J14" i="100"/>
  <c r="FF15" i="100"/>
  <c r="L15" i="100"/>
  <c r="J15" i="100"/>
  <c r="FF16" i="100"/>
  <c r="L16" i="100"/>
  <c r="J16" i="100"/>
  <c r="FF17" i="100"/>
  <c r="L17" i="100"/>
  <c r="J17" i="100"/>
  <c r="FF18" i="100"/>
  <c r="L18" i="100"/>
  <c r="J18" i="100"/>
  <c r="FF19" i="100"/>
  <c r="L19" i="100"/>
  <c r="J19" i="100"/>
  <c r="FF20" i="100"/>
  <c r="L20" i="100"/>
  <c r="J20" i="100"/>
  <c r="FF21" i="100"/>
  <c r="L21" i="100"/>
  <c r="J21" i="100"/>
  <c r="FF22" i="100"/>
  <c r="L22" i="100"/>
  <c r="J22" i="100"/>
  <c r="FF23" i="100"/>
  <c r="L23" i="100"/>
  <c r="J23" i="100"/>
  <c r="FF24" i="100"/>
  <c r="L24" i="100"/>
  <c r="J24" i="100"/>
  <c r="E26" i="100"/>
  <c r="F26" i="100" s="1"/>
  <c r="H6" i="100"/>
  <c r="F6" i="100"/>
  <c r="H7" i="100"/>
  <c r="F7" i="100"/>
  <c r="H8" i="100"/>
  <c r="F8" i="100"/>
  <c r="H9" i="100"/>
  <c r="F9" i="100"/>
  <c r="H10" i="100"/>
  <c r="F10" i="100"/>
  <c r="H11" i="100"/>
  <c r="F11" i="100"/>
  <c r="H12" i="100"/>
  <c r="F12" i="100"/>
  <c r="H13" i="100"/>
  <c r="F13" i="100"/>
  <c r="H14" i="100"/>
  <c r="F14" i="100"/>
  <c r="H15" i="100"/>
  <c r="F15" i="100"/>
  <c r="H16" i="100"/>
  <c r="F16" i="100"/>
  <c r="H17" i="100"/>
  <c r="F17" i="100"/>
  <c r="H18" i="100"/>
  <c r="F18" i="100"/>
  <c r="H19" i="100"/>
  <c r="F19" i="100"/>
  <c r="H20" i="100"/>
  <c r="F20" i="100"/>
  <c r="H21" i="100"/>
  <c r="F21" i="100"/>
  <c r="H22" i="100"/>
  <c r="F22" i="100"/>
  <c r="H23" i="100"/>
  <c r="F23" i="100"/>
  <c r="H24" i="100"/>
  <c r="F24" i="100"/>
  <c r="CJ24" i="100"/>
  <c r="CJ23" i="100"/>
  <c r="CJ22" i="100"/>
  <c r="CJ21" i="100"/>
  <c r="CJ20" i="100"/>
  <c r="CJ19" i="100"/>
  <c r="CJ18" i="100"/>
  <c r="CJ17" i="100"/>
  <c r="CJ16" i="100"/>
  <c r="CJ15" i="100"/>
  <c r="CJ14" i="100"/>
  <c r="CJ13" i="100"/>
  <c r="CJ12" i="100"/>
  <c r="CJ11" i="100"/>
  <c r="CJ10" i="100"/>
  <c r="CJ9" i="100"/>
  <c r="CJ8" i="100"/>
  <c r="CJ7" i="100"/>
  <c r="CJ6" i="100"/>
  <c r="EH1" i="100"/>
  <c r="CL2" i="100"/>
  <c r="CK1" i="100"/>
  <c r="DH24" i="100"/>
  <c r="DH23" i="100"/>
  <c r="DH22" i="100"/>
  <c r="DH21" i="100"/>
  <c r="DH20" i="100"/>
  <c r="DH19" i="100"/>
  <c r="DH18" i="100"/>
  <c r="DH17" i="100"/>
  <c r="DH16" i="100"/>
  <c r="DH15" i="100"/>
  <c r="DH14" i="100"/>
  <c r="DH13" i="100"/>
  <c r="DH12" i="100"/>
  <c r="DH11" i="100"/>
  <c r="DH10" i="100"/>
  <c r="DH9" i="100"/>
  <c r="DH8" i="100"/>
  <c r="DH7" i="100"/>
  <c r="DH6" i="100"/>
  <c r="DH2" i="100"/>
  <c r="DI2" i="100" s="1"/>
  <c r="EG24" i="100"/>
  <c r="CF24" i="100" s="1"/>
  <c r="EG23" i="100"/>
  <c r="CF23" i="100" s="1"/>
  <c r="EG22" i="100"/>
  <c r="CF22" i="100" s="1"/>
  <c r="EG21" i="100"/>
  <c r="CF21" i="100" s="1"/>
  <c r="EG20" i="100"/>
  <c r="CF20" i="100" s="1"/>
  <c r="EG19" i="100"/>
  <c r="CF19" i="100" s="1"/>
  <c r="EG18" i="100"/>
  <c r="CF18" i="100" s="1"/>
  <c r="EG17" i="100"/>
  <c r="CF17" i="100" s="1"/>
  <c r="EG16" i="100"/>
  <c r="CF16" i="100" s="1"/>
  <c r="EG15" i="100"/>
  <c r="CF15" i="100" s="1"/>
  <c r="EG14" i="100"/>
  <c r="CF14" i="100" s="1"/>
  <c r="EG13" i="100"/>
  <c r="CF13" i="100" s="1"/>
  <c r="EG12" i="100"/>
  <c r="CF12" i="100" s="1"/>
  <c r="EG11" i="100"/>
  <c r="CF11" i="100" s="1"/>
  <c r="EG9" i="100"/>
  <c r="CF9" i="100" s="1"/>
  <c r="EG8" i="100"/>
  <c r="CF8" i="100" s="1"/>
  <c r="EG7" i="100"/>
  <c r="CF7" i="100" s="1"/>
  <c r="EG6" i="100"/>
  <c r="CF6" i="100" s="1"/>
  <c r="EG2" i="100"/>
  <c r="EH2" i="100" s="1"/>
  <c r="EI2" i="100" s="1"/>
  <c r="EJ2" i="100" s="1"/>
  <c r="EK2" i="100" s="1"/>
  <c r="EL2" i="100" s="1"/>
  <c r="EM2" i="100" s="1"/>
  <c r="EN2" i="100" s="1"/>
  <c r="EO2" i="100" s="1"/>
  <c r="EP2" i="100" s="1"/>
  <c r="EQ2" i="100" s="1"/>
  <c r="ER2" i="100" s="1"/>
  <c r="ES2" i="100" s="1"/>
  <c r="ET2" i="100" s="1"/>
  <c r="EU2" i="100" s="1"/>
  <c r="EV2" i="100" s="1"/>
  <c r="EW2" i="100" s="1"/>
  <c r="EX2" i="100" s="1"/>
  <c r="EY2" i="100" s="1"/>
  <c r="EZ2" i="100" s="1"/>
  <c r="FA2" i="100" s="1"/>
  <c r="FB2" i="100" s="1"/>
  <c r="FC2" i="100" s="1"/>
  <c r="FD2" i="100" s="1"/>
  <c r="DJ24" i="96"/>
  <c r="DJ23" i="96"/>
  <c r="DJ22" i="96"/>
  <c r="DJ21" i="96"/>
  <c r="DJ20" i="96"/>
  <c r="DJ19" i="96"/>
  <c r="DJ18" i="96"/>
  <c r="DJ17" i="96"/>
  <c r="DJ16" i="96"/>
  <c r="DJ15" i="96"/>
  <c r="DJ14" i="96"/>
  <c r="DJ13" i="96"/>
  <c r="DJ12" i="96"/>
  <c r="DJ11" i="96"/>
  <c r="DJ10" i="96"/>
  <c r="DJ9" i="96"/>
  <c r="DJ8" i="96"/>
  <c r="DJ7" i="96"/>
  <c r="DJ6" i="96"/>
  <c r="DL2" i="96"/>
  <c r="DK1" i="96"/>
  <c r="CM24" i="96"/>
  <c r="CM23" i="96"/>
  <c r="CM22" i="96"/>
  <c r="CM21" i="96"/>
  <c r="CM20" i="96"/>
  <c r="CM19" i="96"/>
  <c r="CM18" i="96"/>
  <c r="CM17" i="96"/>
  <c r="CM16" i="96"/>
  <c r="CM15" i="96"/>
  <c r="CM14" i="96"/>
  <c r="CM13" i="96"/>
  <c r="CM12" i="96"/>
  <c r="CM11" i="96"/>
  <c r="CM10" i="96"/>
  <c r="CM9" i="96"/>
  <c r="CM8" i="96"/>
  <c r="CM7" i="96"/>
  <c r="CM6" i="96"/>
  <c r="EK1" i="96"/>
  <c r="CO2" i="96"/>
  <c r="CN1" i="96"/>
  <c r="EJ24" i="96"/>
  <c r="EJ23" i="96"/>
  <c r="EJ22" i="96"/>
  <c r="EJ21" i="96"/>
  <c r="EJ20" i="96"/>
  <c r="EJ19" i="96"/>
  <c r="EJ18" i="96"/>
  <c r="EJ17" i="96"/>
  <c r="EJ16" i="96"/>
  <c r="EJ15" i="96"/>
  <c r="EJ14" i="96"/>
  <c r="EJ13" i="96"/>
  <c r="EJ12" i="96"/>
  <c r="EJ11" i="96"/>
  <c r="EJ9" i="96"/>
  <c r="EJ8" i="96"/>
  <c r="EJ7" i="96"/>
  <c r="EJ6" i="96"/>
  <c r="CN24" i="95"/>
  <c r="CN23" i="95"/>
  <c r="CN22" i="95"/>
  <c r="CN21" i="95"/>
  <c r="CN20" i="95"/>
  <c r="CN19" i="95"/>
  <c r="CN18" i="95"/>
  <c r="CN17" i="95"/>
  <c r="CN16" i="95"/>
  <c r="CN15" i="95"/>
  <c r="CN14" i="95"/>
  <c r="CN13" i="95"/>
  <c r="CN12" i="95"/>
  <c r="CN11" i="95"/>
  <c r="CN10" i="95"/>
  <c r="CN9" i="95"/>
  <c r="CN8" i="95"/>
  <c r="CN7" i="95"/>
  <c r="CN6" i="95"/>
  <c r="EL1" i="95"/>
  <c r="CP2" i="95"/>
  <c r="CO1" i="95"/>
  <c r="EK24" i="95"/>
  <c r="EK23" i="95"/>
  <c r="EK22" i="95"/>
  <c r="EK21" i="95"/>
  <c r="EK20" i="95"/>
  <c r="EK19" i="95"/>
  <c r="EK18" i="95"/>
  <c r="EK17" i="95"/>
  <c r="EK16" i="95"/>
  <c r="EK15" i="95"/>
  <c r="EK14" i="95"/>
  <c r="EK13" i="95"/>
  <c r="EK12" i="95"/>
  <c r="EK11" i="95"/>
  <c r="EK9" i="95"/>
  <c r="EK8" i="95"/>
  <c r="EK7" i="95"/>
  <c r="EK6" i="95"/>
  <c r="DK24" i="95"/>
  <c r="DK23" i="95"/>
  <c r="DK22" i="95"/>
  <c r="DK21" i="95"/>
  <c r="DK20" i="95"/>
  <c r="DK19" i="95"/>
  <c r="DK18" i="95"/>
  <c r="DK17" i="95"/>
  <c r="DK16" i="95"/>
  <c r="DK15" i="95"/>
  <c r="DK14" i="95"/>
  <c r="DK13" i="95"/>
  <c r="DK12" i="95"/>
  <c r="DK11" i="95"/>
  <c r="DK10" i="95"/>
  <c r="DK9" i="95"/>
  <c r="DK8" i="95"/>
  <c r="DK7" i="95"/>
  <c r="DK6" i="95"/>
  <c r="DM2" i="95"/>
  <c r="DL1" i="95"/>
  <c r="CL24" i="97"/>
  <c r="CL23" i="97"/>
  <c r="CL22" i="97"/>
  <c r="CL21" i="97"/>
  <c r="CL20" i="97"/>
  <c r="CL19" i="97"/>
  <c r="CL18" i="97"/>
  <c r="CL17" i="97"/>
  <c r="CL16" i="97"/>
  <c r="CL15" i="97"/>
  <c r="CL14" i="97"/>
  <c r="CL13" i="97"/>
  <c r="CL12" i="97"/>
  <c r="CL11" i="97"/>
  <c r="CL10" i="97"/>
  <c r="CL9" i="97"/>
  <c r="CL8" i="97"/>
  <c r="CL7" i="97"/>
  <c r="CL6" i="97"/>
  <c r="EJ1" i="97"/>
  <c r="CN2" i="97"/>
  <c r="CM1" i="97"/>
  <c r="EI24" i="97"/>
  <c r="EI23" i="97"/>
  <c r="EI22" i="97"/>
  <c r="EI21" i="97"/>
  <c r="EI20" i="97"/>
  <c r="EI19" i="97"/>
  <c r="EI18" i="97"/>
  <c r="EI17" i="97"/>
  <c r="EI16" i="97"/>
  <c r="EI15" i="97"/>
  <c r="EI14" i="97"/>
  <c r="EI13" i="97"/>
  <c r="EI12" i="97"/>
  <c r="EI11" i="97"/>
  <c r="EI9" i="97"/>
  <c r="EI8" i="97"/>
  <c r="EI7" i="97"/>
  <c r="EI6" i="97"/>
  <c r="DI24" i="97"/>
  <c r="DI23" i="97"/>
  <c r="DI22" i="97"/>
  <c r="DI21" i="97"/>
  <c r="DI20" i="97"/>
  <c r="DI19" i="97"/>
  <c r="DI18" i="97"/>
  <c r="DI17" i="97"/>
  <c r="DI16" i="97"/>
  <c r="DI15" i="97"/>
  <c r="DI14" i="97"/>
  <c r="DI13" i="97"/>
  <c r="DI12" i="97"/>
  <c r="DI11" i="97"/>
  <c r="DI10" i="97"/>
  <c r="DI9" i="97"/>
  <c r="DI8" i="97"/>
  <c r="DI7" i="97"/>
  <c r="DI6" i="97"/>
  <c r="DK2" i="97"/>
  <c r="DJ1" i="97"/>
  <c r="EU112" i="9"/>
  <c r="EU113" i="9" s="1"/>
  <c r="DO2" i="94"/>
  <c r="DN1" i="94"/>
  <c r="DM22" i="94"/>
  <c r="DM21" i="94"/>
  <c r="DM20" i="94"/>
  <c r="DM19" i="94"/>
  <c r="DM18" i="94"/>
  <c r="DM16" i="94"/>
  <c r="DM13" i="94"/>
  <c r="DM14" i="94"/>
  <c r="DM6" i="94"/>
  <c r="DM23" i="94"/>
  <c r="DM9" i="94"/>
  <c r="DM8" i="94"/>
  <c r="DM24" i="94"/>
  <c r="DM15" i="94"/>
  <c r="DM17" i="94"/>
  <c r="DM12" i="94"/>
  <c r="DM11" i="94"/>
  <c r="DM10" i="94"/>
  <c r="DM7" i="94"/>
  <c r="CP24" i="94"/>
  <c r="CP19" i="94"/>
  <c r="CP22" i="94"/>
  <c r="CP20" i="94"/>
  <c r="CP14" i="94"/>
  <c r="CP10" i="94"/>
  <c r="CP9" i="94"/>
  <c r="CP8" i="94"/>
  <c r="CP16" i="94"/>
  <c r="CP23" i="94"/>
  <c r="CP21" i="94"/>
  <c r="CP18" i="94"/>
  <c r="CP17" i="94"/>
  <c r="CP12" i="94"/>
  <c r="CP11" i="94"/>
  <c r="CP13" i="94"/>
  <c r="CP15" i="94"/>
  <c r="CP6" i="94"/>
  <c r="CP7" i="94"/>
  <c r="EN1" i="94"/>
  <c r="CQ1" i="94"/>
  <c r="CR2" i="94"/>
  <c r="EM24" i="94"/>
  <c r="EM20" i="94"/>
  <c r="EM23" i="94"/>
  <c r="EM22" i="94"/>
  <c r="EM17" i="94"/>
  <c r="EM21" i="94"/>
  <c r="EM18" i="94"/>
  <c r="EM13" i="94"/>
  <c r="EM11" i="94"/>
  <c r="EM19" i="94"/>
  <c r="EM14" i="94"/>
  <c r="EM7" i="94"/>
  <c r="EM15" i="94"/>
  <c r="EM9" i="94"/>
  <c r="EM16" i="94"/>
  <c r="EM8" i="94"/>
  <c r="EM6" i="94"/>
  <c r="CQ21" i="93"/>
  <c r="CQ18" i="93"/>
  <c r="CQ14" i="93"/>
  <c r="CQ17" i="93"/>
  <c r="CQ7" i="93"/>
  <c r="CQ22" i="93"/>
  <c r="CQ10" i="93"/>
  <c r="CQ9" i="93"/>
  <c r="CQ19" i="93"/>
  <c r="CQ12" i="93"/>
  <c r="CQ11" i="93"/>
  <c r="CQ24" i="93"/>
  <c r="CQ16" i="93"/>
  <c r="CQ6" i="93"/>
  <c r="CQ23" i="93"/>
  <c r="CQ20" i="93"/>
  <c r="CQ13" i="93"/>
  <c r="EO1" i="93"/>
  <c r="CQ15" i="93"/>
  <c r="CQ8" i="93"/>
  <c r="EN20" i="93"/>
  <c r="EN17" i="93"/>
  <c r="EN16" i="93"/>
  <c r="EN11" i="93"/>
  <c r="EN6" i="93"/>
  <c r="EN13" i="93"/>
  <c r="EN8" i="93"/>
  <c r="EN24" i="93"/>
  <c r="EN21" i="93"/>
  <c r="EN22" i="93"/>
  <c r="EN14" i="93"/>
  <c r="EN7" i="93"/>
  <c r="EN19" i="93"/>
  <c r="EN18" i="93"/>
  <c r="EN15" i="93"/>
  <c r="EN9" i="93"/>
  <c r="EN23" i="93"/>
  <c r="EN12" i="93"/>
  <c r="DN24" i="93"/>
  <c r="DN19" i="93"/>
  <c r="DN14" i="93"/>
  <c r="DN10" i="93"/>
  <c r="DN7" i="93"/>
  <c r="DN22" i="93"/>
  <c r="DN8" i="93"/>
  <c r="DN15" i="93"/>
  <c r="DN11" i="93"/>
  <c r="DN23" i="93"/>
  <c r="DN18" i="93"/>
  <c r="DN16" i="93"/>
  <c r="DN9" i="93"/>
  <c r="DN13" i="93"/>
  <c r="DN21" i="93"/>
  <c r="DN17" i="93"/>
  <c r="DN6" i="93"/>
  <c r="DN20" i="93"/>
  <c r="DN12" i="93"/>
  <c r="CS2" i="93"/>
  <c r="CR1" i="93"/>
  <c r="DO1" i="93"/>
  <c r="DP2" i="93"/>
  <c r="GJ88" i="9"/>
  <c r="GN88" i="9" s="1"/>
  <c r="EW88" i="9"/>
  <c r="EW89" i="9" s="1"/>
  <c r="EX87" i="9"/>
  <c r="IU88" i="9"/>
  <c r="IV87" i="9"/>
  <c r="GG87" i="9"/>
  <c r="GH86" i="9"/>
  <c r="C122" i="9"/>
  <c r="A121" i="9"/>
  <c r="A121" i="20" s="1"/>
  <c r="HL120" i="9"/>
  <c r="HF120" i="9"/>
  <c r="E120" i="9"/>
  <c r="HQ120" i="9"/>
  <c r="HC120" i="9"/>
  <c r="HI120" i="9"/>
  <c r="GA120" i="9"/>
  <c r="P61" i="20"/>
  <c r="H50" i="32"/>
  <c r="F50" i="32"/>
  <c r="DJ2" i="100" l="1"/>
  <c r="DI1" i="100"/>
  <c r="CK24" i="100"/>
  <c r="CK23" i="100"/>
  <c r="CK22" i="100"/>
  <c r="CK21" i="100"/>
  <c r="CK20" i="100"/>
  <c r="CK19" i="100"/>
  <c r="CK18" i="100"/>
  <c r="CK17" i="100"/>
  <c r="CK16" i="100"/>
  <c r="CK15" i="100"/>
  <c r="CK14" i="100"/>
  <c r="CK13" i="100"/>
  <c r="CK12" i="100"/>
  <c r="CK11" i="100"/>
  <c r="CK10" i="100"/>
  <c r="CK9" i="100"/>
  <c r="CK8" i="100"/>
  <c r="CK7" i="100"/>
  <c r="CK6" i="100"/>
  <c r="EI1" i="100"/>
  <c r="CM2" i="100"/>
  <c r="CL1" i="100"/>
  <c r="EH24" i="100"/>
  <c r="EH23" i="100"/>
  <c r="EH22" i="100"/>
  <c r="EH21" i="100"/>
  <c r="EH20" i="100"/>
  <c r="EH19" i="100"/>
  <c r="EH18" i="100"/>
  <c r="EH17" i="100"/>
  <c r="EH16" i="100"/>
  <c r="EH15" i="100"/>
  <c r="EH14" i="100"/>
  <c r="EH13" i="100"/>
  <c r="EH12" i="100"/>
  <c r="EH11" i="100"/>
  <c r="EH9" i="100"/>
  <c r="EH8" i="100"/>
  <c r="EH7" i="100"/>
  <c r="EH6" i="100"/>
  <c r="K30" i="100"/>
  <c r="K28" i="100"/>
  <c r="FF27" i="100"/>
  <c r="I33" i="100"/>
  <c r="J26" i="100"/>
  <c r="CL24" i="98"/>
  <c r="CL23" i="98"/>
  <c r="CL22" i="98"/>
  <c r="CL21" i="98"/>
  <c r="CL20" i="98"/>
  <c r="CL19" i="98"/>
  <c r="CL18" i="98"/>
  <c r="CL17" i="98"/>
  <c r="CL16" i="98"/>
  <c r="CL15" i="98"/>
  <c r="CL14" i="98"/>
  <c r="CL13" i="98"/>
  <c r="CL12" i="98"/>
  <c r="CL11" i="98"/>
  <c r="CL10" i="98"/>
  <c r="CL9" i="98"/>
  <c r="CL8" i="98"/>
  <c r="CL7" i="98"/>
  <c r="CL6" i="98"/>
  <c r="EJ1" i="98"/>
  <c r="CN2" i="98"/>
  <c r="CM1" i="98"/>
  <c r="EI24" i="98"/>
  <c r="EI23" i="98"/>
  <c r="EI22" i="98"/>
  <c r="EI21" i="98"/>
  <c r="EI20" i="98"/>
  <c r="EI19" i="98"/>
  <c r="EI18" i="98"/>
  <c r="EI17" i="98"/>
  <c r="EI16" i="98"/>
  <c r="EI15" i="98"/>
  <c r="EI14" i="98"/>
  <c r="EI13" i="98"/>
  <c r="EI12" i="98"/>
  <c r="EI11" i="98"/>
  <c r="EI9" i="98"/>
  <c r="EI8" i="98"/>
  <c r="EI7" i="98"/>
  <c r="EI6" i="98"/>
  <c r="DI24" i="98"/>
  <c r="DI23" i="98"/>
  <c r="DI22" i="98"/>
  <c r="DI21" i="98"/>
  <c r="DI20" i="98"/>
  <c r="DI19" i="98"/>
  <c r="DI18" i="98"/>
  <c r="DI17" i="98"/>
  <c r="DI16" i="98"/>
  <c r="DI15" i="98"/>
  <c r="DI14" i="98"/>
  <c r="DI13" i="98"/>
  <c r="DI12" i="98"/>
  <c r="DI11" i="98"/>
  <c r="DI10" i="98"/>
  <c r="DI9" i="98"/>
  <c r="DI8" i="98"/>
  <c r="DI7" i="98"/>
  <c r="DI6" i="98"/>
  <c r="DK2" i="98"/>
  <c r="DJ1" i="98"/>
  <c r="EU114" i="9"/>
  <c r="DJ24" i="97"/>
  <c r="DJ23" i="97"/>
  <c r="DJ22" i="97"/>
  <c r="DJ21" i="97"/>
  <c r="DJ20" i="97"/>
  <c r="DJ19" i="97"/>
  <c r="DJ18" i="97"/>
  <c r="DJ17" i="97"/>
  <c r="DJ16" i="97"/>
  <c r="DJ15" i="97"/>
  <c r="DJ14" i="97"/>
  <c r="DJ13" i="97"/>
  <c r="DJ12" i="97"/>
  <c r="DJ11" i="97"/>
  <c r="DJ10" i="97"/>
  <c r="DJ9" i="97"/>
  <c r="DJ8" i="97"/>
  <c r="DJ7" i="97"/>
  <c r="DJ6" i="97"/>
  <c r="DL2" i="97"/>
  <c r="DK1" i="97"/>
  <c r="CM24" i="97"/>
  <c r="CM23" i="97"/>
  <c r="CM22" i="97"/>
  <c r="CM21" i="97"/>
  <c r="CM20" i="97"/>
  <c r="CM19" i="97"/>
  <c r="CM18" i="97"/>
  <c r="CM17" i="97"/>
  <c r="CM16" i="97"/>
  <c r="CM15" i="97"/>
  <c r="CM14" i="97"/>
  <c r="CM13" i="97"/>
  <c r="CM12" i="97"/>
  <c r="CM11" i="97"/>
  <c r="CM10" i="97"/>
  <c r="CM9" i="97"/>
  <c r="CM8" i="97"/>
  <c r="CM7" i="97"/>
  <c r="CM6" i="97"/>
  <c r="EK1" i="97"/>
  <c r="CO2" i="97"/>
  <c r="CN1" i="97"/>
  <c r="EJ24" i="97"/>
  <c r="EJ23" i="97"/>
  <c r="EJ22" i="97"/>
  <c r="EJ21" i="97"/>
  <c r="EJ20" i="97"/>
  <c r="EJ19" i="97"/>
  <c r="EJ18" i="97"/>
  <c r="EJ17" i="97"/>
  <c r="EJ16" i="97"/>
  <c r="EJ15" i="97"/>
  <c r="EJ14" i="97"/>
  <c r="EJ13" i="97"/>
  <c r="EJ12" i="97"/>
  <c r="EJ11" i="97"/>
  <c r="EJ9" i="97"/>
  <c r="EJ8" i="97"/>
  <c r="EJ7" i="97"/>
  <c r="EJ6" i="97"/>
  <c r="DL24" i="95"/>
  <c r="DL23" i="95"/>
  <c r="DL22" i="95"/>
  <c r="DL21" i="95"/>
  <c r="DL20" i="95"/>
  <c r="DL19" i="95"/>
  <c r="DL18" i="95"/>
  <c r="DL17" i="95"/>
  <c r="DL16" i="95"/>
  <c r="DL15" i="95"/>
  <c r="DL14" i="95"/>
  <c r="DL13" i="95"/>
  <c r="DL12" i="95"/>
  <c r="DL11" i="95"/>
  <c r="DL10" i="95"/>
  <c r="DL9" i="95"/>
  <c r="DL8" i="95"/>
  <c r="DL7" i="95"/>
  <c r="DL6" i="95"/>
  <c r="DN2" i="95"/>
  <c r="DM1" i="95"/>
  <c r="CO24" i="95"/>
  <c r="CO23" i="95"/>
  <c r="CO22" i="95"/>
  <c r="CO21" i="95"/>
  <c r="CO20" i="95"/>
  <c r="CO19" i="95"/>
  <c r="CO18" i="95"/>
  <c r="CO17" i="95"/>
  <c r="CO16" i="95"/>
  <c r="CO15" i="95"/>
  <c r="CO14" i="95"/>
  <c r="CO13" i="95"/>
  <c r="CO12" i="95"/>
  <c r="CO11" i="95"/>
  <c r="CO10" i="95"/>
  <c r="CO9" i="95"/>
  <c r="CO8" i="95"/>
  <c r="CO7" i="95"/>
  <c r="CO6" i="95"/>
  <c r="EM1" i="95"/>
  <c r="CQ2" i="95"/>
  <c r="CP1" i="95"/>
  <c r="EL24" i="95"/>
  <c r="EL23" i="95"/>
  <c r="EL22" i="95"/>
  <c r="EL21" i="95"/>
  <c r="EL20" i="95"/>
  <c r="EL19" i="95"/>
  <c r="EL18" i="95"/>
  <c r="EL17" i="95"/>
  <c r="EL16" i="95"/>
  <c r="EL15" i="95"/>
  <c r="EL14" i="95"/>
  <c r="EL13" i="95"/>
  <c r="EL12" i="95"/>
  <c r="EL11" i="95"/>
  <c r="EL9" i="95"/>
  <c r="EL8" i="95"/>
  <c r="EL7" i="95"/>
  <c r="EL6" i="95"/>
  <c r="CN24" i="96"/>
  <c r="CN23" i="96"/>
  <c r="CN22" i="96"/>
  <c r="CN21" i="96"/>
  <c r="CN20" i="96"/>
  <c r="CN19" i="96"/>
  <c r="CN18" i="96"/>
  <c r="CN17" i="96"/>
  <c r="CN16" i="96"/>
  <c r="CN15" i="96"/>
  <c r="CN14" i="96"/>
  <c r="CN13" i="96"/>
  <c r="CN12" i="96"/>
  <c r="CN11" i="96"/>
  <c r="CN10" i="96"/>
  <c r="CN9" i="96"/>
  <c r="CN8" i="96"/>
  <c r="CN7" i="96"/>
  <c r="CN6" i="96"/>
  <c r="EL1" i="96"/>
  <c r="CP2" i="96"/>
  <c r="CO1" i="96"/>
  <c r="EK24" i="96"/>
  <c r="EK23" i="96"/>
  <c r="EK22" i="96"/>
  <c r="EK21" i="96"/>
  <c r="EK20" i="96"/>
  <c r="EK19" i="96"/>
  <c r="EK18" i="96"/>
  <c r="EK17" i="96"/>
  <c r="EK16" i="96"/>
  <c r="EK15" i="96"/>
  <c r="EK14" i="96"/>
  <c r="EK13" i="96"/>
  <c r="EK12" i="96"/>
  <c r="EK11" i="96"/>
  <c r="EK9" i="96"/>
  <c r="EK8" i="96"/>
  <c r="EK7" i="96"/>
  <c r="EK6" i="96"/>
  <c r="DK24" i="96"/>
  <c r="DK23" i="96"/>
  <c r="DK22" i="96"/>
  <c r="DK21" i="96"/>
  <c r="DK20" i="96"/>
  <c r="DK19" i="96"/>
  <c r="DK18" i="96"/>
  <c r="DK17" i="96"/>
  <c r="DK16" i="96"/>
  <c r="DK15" i="96"/>
  <c r="DK14" i="96"/>
  <c r="DK13" i="96"/>
  <c r="DK12" i="96"/>
  <c r="DK11" i="96"/>
  <c r="DK10" i="96"/>
  <c r="DK9" i="96"/>
  <c r="DK8" i="96"/>
  <c r="DK7" i="96"/>
  <c r="DK6" i="96"/>
  <c r="DM2" i="96"/>
  <c r="DL1" i="96"/>
  <c r="CR1" i="94"/>
  <c r="CS2" i="94"/>
  <c r="CQ23" i="94"/>
  <c r="CQ22" i="94"/>
  <c r="CQ21" i="94"/>
  <c r="CQ20" i="94"/>
  <c r="CQ19" i="94"/>
  <c r="CQ15" i="94"/>
  <c r="CQ14" i="94"/>
  <c r="CQ16" i="94"/>
  <c r="CQ7" i="94"/>
  <c r="CQ13" i="94"/>
  <c r="CQ9" i="94"/>
  <c r="CQ8" i="94"/>
  <c r="CQ6" i="94"/>
  <c r="EO1" i="94"/>
  <c r="CQ24" i="94"/>
  <c r="CQ18" i="94"/>
  <c r="CQ17" i="94"/>
  <c r="CQ12" i="94"/>
  <c r="CQ11" i="94"/>
  <c r="CQ10" i="94"/>
  <c r="EN24" i="94"/>
  <c r="EN22" i="94"/>
  <c r="EN19" i="94"/>
  <c r="EN14" i="94"/>
  <c r="EN9" i="94"/>
  <c r="EN8" i="94"/>
  <c r="EN20" i="94"/>
  <c r="EN16" i="94"/>
  <c r="EN15" i="94"/>
  <c r="EN13" i="94"/>
  <c r="EN11" i="94"/>
  <c r="EN12" i="94"/>
  <c r="EN23" i="94"/>
  <c r="EN18" i="94"/>
  <c r="EN17" i="94"/>
  <c r="EN6" i="94"/>
  <c r="EN21" i="94"/>
  <c r="EN7" i="94"/>
  <c r="DN23" i="94"/>
  <c r="DN20" i="94"/>
  <c r="DN21" i="94"/>
  <c r="DN17" i="94"/>
  <c r="DN12" i="94"/>
  <c r="DN22" i="94"/>
  <c r="DN16" i="94"/>
  <c r="DN11" i="94"/>
  <c r="DN24" i="94"/>
  <c r="DN15" i="94"/>
  <c r="DN8" i="94"/>
  <c r="DN19" i="94"/>
  <c r="DN14" i="94"/>
  <c r="DN13" i="94"/>
  <c r="DN6" i="94"/>
  <c r="DN10" i="94"/>
  <c r="DN7" i="94"/>
  <c r="DN18" i="94"/>
  <c r="DN9" i="94"/>
  <c r="DO1" i="94"/>
  <c r="DP2" i="94"/>
  <c r="CR21" i="93"/>
  <c r="CR12" i="93"/>
  <c r="CR13" i="93"/>
  <c r="CR6" i="93"/>
  <c r="CR8" i="93"/>
  <c r="CR15" i="93"/>
  <c r="CR11" i="93"/>
  <c r="CR24" i="93"/>
  <c r="CR18" i="93"/>
  <c r="CR10" i="93"/>
  <c r="CR22" i="93"/>
  <c r="CR20" i="93"/>
  <c r="CR19" i="93"/>
  <c r="CR14" i="93"/>
  <c r="EP1" i="93"/>
  <c r="CR23" i="93"/>
  <c r="CR17" i="93"/>
  <c r="CR9" i="93"/>
  <c r="CR16" i="93"/>
  <c r="CR7" i="93"/>
  <c r="CT2" i="93"/>
  <c r="CS1" i="93"/>
  <c r="DQ2" i="93"/>
  <c r="DP1" i="93"/>
  <c r="EO18" i="93"/>
  <c r="EO14" i="93"/>
  <c r="EO12" i="93"/>
  <c r="EO7" i="93"/>
  <c r="EO24" i="93"/>
  <c r="EO16" i="93"/>
  <c r="EO11" i="93"/>
  <c r="EO15" i="93"/>
  <c r="EO9" i="93"/>
  <c r="EO21" i="93"/>
  <c r="EO19" i="93"/>
  <c r="EO22" i="93"/>
  <c r="EO17" i="93"/>
  <c r="EO6" i="93"/>
  <c r="EO20" i="93"/>
  <c r="EO23" i="93"/>
  <c r="EO13" i="93"/>
  <c r="EO8" i="93"/>
  <c r="DO19" i="93"/>
  <c r="DO21" i="93"/>
  <c r="DO13" i="93"/>
  <c r="DO9" i="93"/>
  <c r="DO7" i="93"/>
  <c r="DO17" i="93"/>
  <c r="DO14" i="93"/>
  <c r="DO6" i="93"/>
  <c r="DO20" i="93"/>
  <c r="DO10" i="93"/>
  <c r="DO24" i="93"/>
  <c r="DO15" i="93"/>
  <c r="DO23" i="93"/>
  <c r="DO12" i="93"/>
  <c r="DO22" i="93"/>
  <c r="DO11" i="93"/>
  <c r="DO18" i="93"/>
  <c r="DO16" i="93"/>
  <c r="DO8" i="93"/>
  <c r="EW90" i="9"/>
  <c r="EX89" i="9"/>
  <c r="GJ89" i="9"/>
  <c r="GN89" i="9" s="1"/>
  <c r="IV88" i="9"/>
  <c r="IU89" i="9"/>
  <c r="GG88" i="9"/>
  <c r="GH87" i="9"/>
  <c r="EX88" i="9"/>
  <c r="HI121" i="9"/>
  <c r="E121" i="9"/>
  <c r="GA121" i="9"/>
  <c r="HQ121" i="9"/>
  <c r="HC121" i="9"/>
  <c r="HL121" i="9"/>
  <c r="HF121" i="9"/>
  <c r="C123" i="9"/>
  <c r="A122" i="9"/>
  <c r="A122" i="20" s="1"/>
  <c r="DJ24" i="98" l="1"/>
  <c r="DJ23" i="98"/>
  <c r="DJ22" i="98"/>
  <c r="DJ21" i="98"/>
  <c r="DJ20" i="98"/>
  <c r="DJ19" i="98"/>
  <c r="DJ18" i="98"/>
  <c r="DJ17" i="98"/>
  <c r="DJ16" i="98"/>
  <c r="DJ15" i="98"/>
  <c r="DJ14" i="98"/>
  <c r="DJ13" i="98"/>
  <c r="DJ12" i="98"/>
  <c r="DJ11" i="98"/>
  <c r="DJ10" i="98"/>
  <c r="DJ9" i="98"/>
  <c r="DJ8" i="98"/>
  <c r="DJ7" i="98"/>
  <c r="DJ6" i="98"/>
  <c r="DL2" i="98"/>
  <c r="DK1" i="98"/>
  <c r="CM24" i="98"/>
  <c r="CM23" i="98"/>
  <c r="CM22" i="98"/>
  <c r="CM21" i="98"/>
  <c r="CM20" i="98"/>
  <c r="CM19" i="98"/>
  <c r="CM18" i="98"/>
  <c r="CM17" i="98"/>
  <c r="CM16" i="98"/>
  <c r="CM15" i="98"/>
  <c r="CM14" i="98"/>
  <c r="CM13" i="98"/>
  <c r="CM12" i="98"/>
  <c r="CM11" i="98"/>
  <c r="CM10" i="98"/>
  <c r="CM9" i="98"/>
  <c r="CM8" i="98"/>
  <c r="CM7" i="98"/>
  <c r="CM6" i="98"/>
  <c r="EK1" i="98"/>
  <c r="CO2" i="98"/>
  <c r="CN1" i="98"/>
  <c r="EJ24" i="98"/>
  <c r="EJ23" i="98"/>
  <c r="EJ22" i="98"/>
  <c r="EJ21" i="98"/>
  <c r="EJ20" i="98"/>
  <c r="EJ19" i="98"/>
  <c r="EJ18" i="98"/>
  <c r="EJ17" i="98"/>
  <c r="EJ16" i="98"/>
  <c r="EJ15" i="98"/>
  <c r="EJ14" i="98"/>
  <c r="EJ13" i="98"/>
  <c r="EJ12" i="98"/>
  <c r="EJ11" i="98"/>
  <c r="EJ9" i="98"/>
  <c r="EJ8" i="98"/>
  <c r="EJ7" i="98"/>
  <c r="EJ6" i="98"/>
  <c r="CL24" i="100"/>
  <c r="CL23" i="100"/>
  <c r="CL22" i="100"/>
  <c r="CL21" i="100"/>
  <c r="CL20" i="100"/>
  <c r="CL19" i="100"/>
  <c r="CL18" i="100"/>
  <c r="CL17" i="100"/>
  <c r="CL16" i="100"/>
  <c r="CL15" i="100"/>
  <c r="CL14" i="100"/>
  <c r="CL13" i="100"/>
  <c r="CL12" i="100"/>
  <c r="CL11" i="100"/>
  <c r="CL10" i="100"/>
  <c r="CL9" i="100"/>
  <c r="CL8" i="100"/>
  <c r="CL7" i="100"/>
  <c r="CL6" i="100"/>
  <c r="EJ1" i="100"/>
  <c r="CN2" i="100"/>
  <c r="CM1" i="100"/>
  <c r="EI24" i="100"/>
  <c r="EI23" i="100"/>
  <c r="EI22" i="100"/>
  <c r="EI21" i="100"/>
  <c r="EI20" i="100"/>
  <c r="EI19" i="100"/>
  <c r="EI18" i="100"/>
  <c r="EI17" i="100"/>
  <c r="EI16" i="100"/>
  <c r="EI15" i="100"/>
  <c r="EI14" i="100"/>
  <c r="EI13" i="100"/>
  <c r="EI12" i="100"/>
  <c r="EI11" i="100"/>
  <c r="EI9" i="100"/>
  <c r="EI8" i="100"/>
  <c r="EI7" i="100"/>
  <c r="EI6" i="100"/>
  <c r="DI24" i="100"/>
  <c r="DI23" i="100"/>
  <c r="DI22" i="100"/>
  <c r="DI21" i="100"/>
  <c r="DI20" i="100"/>
  <c r="DI19" i="100"/>
  <c r="DI18" i="100"/>
  <c r="DI17" i="100"/>
  <c r="DI16" i="100"/>
  <c r="DI15" i="100"/>
  <c r="DI14" i="100"/>
  <c r="DI13" i="100"/>
  <c r="DI12" i="100"/>
  <c r="DI11" i="100"/>
  <c r="DI10" i="100"/>
  <c r="DI9" i="100"/>
  <c r="DI8" i="100"/>
  <c r="DI7" i="100"/>
  <c r="DI6" i="100"/>
  <c r="DK2" i="100"/>
  <c r="DJ1" i="100"/>
  <c r="DL24" i="96"/>
  <c r="DL23" i="96"/>
  <c r="DL22" i="96"/>
  <c r="DL21" i="96"/>
  <c r="DL20" i="96"/>
  <c r="DL19" i="96"/>
  <c r="DL18" i="96"/>
  <c r="DL17" i="96"/>
  <c r="DL16" i="96"/>
  <c r="DL15" i="96"/>
  <c r="DL14" i="96"/>
  <c r="DL13" i="96"/>
  <c r="DL12" i="96"/>
  <c r="DL11" i="96"/>
  <c r="DL10" i="96"/>
  <c r="DL9" i="96"/>
  <c r="DL8" i="96"/>
  <c r="DL7" i="96"/>
  <c r="DL6" i="96"/>
  <c r="DN2" i="96"/>
  <c r="DM1" i="96"/>
  <c r="CO24" i="96"/>
  <c r="CO23" i="96"/>
  <c r="CO22" i="96"/>
  <c r="CO21" i="96"/>
  <c r="CO20" i="96"/>
  <c r="CO19" i="96"/>
  <c r="CO18" i="96"/>
  <c r="CO17" i="96"/>
  <c r="CO16" i="96"/>
  <c r="CO15" i="96"/>
  <c r="CO14" i="96"/>
  <c r="CO13" i="96"/>
  <c r="CO12" i="96"/>
  <c r="CO11" i="96"/>
  <c r="CO10" i="96"/>
  <c r="CO9" i="96"/>
  <c r="CO8" i="96"/>
  <c r="CO7" i="96"/>
  <c r="CO6" i="96"/>
  <c r="EM1" i="96"/>
  <c r="CQ2" i="96"/>
  <c r="CP1" i="96"/>
  <c r="EL24" i="96"/>
  <c r="EL23" i="96"/>
  <c r="EL22" i="96"/>
  <c r="EL21" i="96"/>
  <c r="EL20" i="96"/>
  <c r="EL19" i="96"/>
  <c r="EL18" i="96"/>
  <c r="EL17" i="96"/>
  <c r="EL16" i="96"/>
  <c r="EL15" i="96"/>
  <c r="EL14" i="96"/>
  <c r="EL13" i="96"/>
  <c r="EL12" i="96"/>
  <c r="EL11" i="96"/>
  <c r="EL9" i="96"/>
  <c r="EL8" i="96"/>
  <c r="EL7" i="96"/>
  <c r="EL6" i="96"/>
  <c r="CP24" i="95"/>
  <c r="CP23" i="95"/>
  <c r="CP22" i="95"/>
  <c r="CP21" i="95"/>
  <c r="CP20" i="95"/>
  <c r="CP19" i="95"/>
  <c r="CP18" i="95"/>
  <c r="CP17" i="95"/>
  <c r="CP16" i="95"/>
  <c r="CP15" i="95"/>
  <c r="CP14" i="95"/>
  <c r="CP13" i="95"/>
  <c r="CP12" i="95"/>
  <c r="CP11" i="95"/>
  <c r="CP10" i="95"/>
  <c r="CP9" i="95"/>
  <c r="CP8" i="95"/>
  <c r="CP7" i="95"/>
  <c r="CP6" i="95"/>
  <c r="EN1" i="95"/>
  <c r="CR2" i="95"/>
  <c r="CQ1" i="95"/>
  <c r="EM24" i="95"/>
  <c r="EM23" i="95"/>
  <c r="EM22" i="95"/>
  <c r="EM21" i="95"/>
  <c r="EM20" i="95"/>
  <c r="EM19" i="95"/>
  <c r="EM18" i="95"/>
  <c r="EM17" i="95"/>
  <c r="EM16" i="95"/>
  <c r="EM15" i="95"/>
  <c r="EM14" i="95"/>
  <c r="EM13" i="95"/>
  <c r="EM11" i="95"/>
  <c r="EM9" i="95"/>
  <c r="EM8" i="95"/>
  <c r="EM7" i="95"/>
  <c r="EM6" i="95"/>
  <c r="DM24" i="95"/>
  <c r="DM23" i="95"/>
  <c r="DM22" i="95"/>
  <c r="DM21" i="95"/>
  <c r="DM20" i="95"/>
  <c r="DM19" i="95"/>
  <c r="DM18" i="95"/>
  <c r="DM17" i="95"/>
  <c r="DM16" i="95"/>
  <c r="DM15" i="95"/>
  <c r="DM14" i="95"/>
  <c r="DM13" i="95"/>
  <c r="DM12" i="95"/>
  <c r="DM11" i="95"/>
  <c r="DM10" i="95"/>
  <c r="DM9" i="95"/>
  <c r="DM8" i="95"/>
  <c r="DM7" i="95"/>
  <c r="DM6" i="95"/>
  <c r="DO2" i="95"/>
  <c r="DN1" i="95"/>
  <c r="CN24" i="97"/>
  <c r="CN23" i="97"/>
  <c r="CN22" i="97"/>
  <c r="CN21" i="97"/>
  <c r="CN20" i="97"/>
  <c r="CN19" i="97"/>
  <c r="CN18" i="97"/>
  <c r="CN17" i="97"/>
  <c r="CN16" i="97"/>
  <c r="CN15" i="97"/>
  <c r="CN14" i="97"/>
  <c r="CN13" i="97"/>
  <c r="CN12" i="97"/>
  <c r="CN11" i="97"/>
  <c r="CN10" i="97"/>
  <c r="CN9" i="97"/>
  <c r="CN8" i="97"/>
  <c r="CN7" i="97"/>
  <c r="CN6" i="97"/>
  <c r="EL1" i="97"/>
  <c r="CP2" i="97"/>
  <c r="CO1" i="97"/>
  <c r="EK24" i="97"/>
  <c r="EK23" i="97"/>
  <c r="EK22" i="97"/>
  <c r="EK21" i="97"/>
  <c r="EK20" i="97"/>
  <c r="EK19" i="97"/>
  <c r="EK18" i="97"/>
  <c r="EK17" i="97"/>
  <c r="EK16" i="97"/>
  <c r="EK15" i="97"/>
  <c r="EK14" i="97"/>
  <c r="EK13" i="97"/>
  <c r="EK12" i="97"/>
  <c r="EK11" i="97"/>
  <c r="EK9" i="97"/>
  <c r="EK8" i="97"/>
  <c r="EK7" i="97"/>
  <c r="EK6" i="97"/>
  <c r="DK24" i="97"/>
  <c r="DK23" i="97"/>
  <c r="DK22" i="97"/>
  <c r="DK21" i="97"/>
  <c r="DK20" i="97"/>
  <c r="DK19" i="97"/>
  <c r="DK18" i="97"/>
  <c r="DK17" i="97"/>
  <c r="DK16" i="97"/>
  <c r="DK15" i="97"/>
  <c r="DK14" i="97"/>
  <c r="DK13" i="97"/>
  <c r="DK12" i="97"/>
  <c r="DK11" i="97"/>
  <c r="DK10" i="97"/>
  <c r="DK9" i="97"/>
  <c r="DK8" i="97"/>
  <c r="DK7" i="97"/>
  <c r="DK6" i="97"/>
  <c r="DM2" i="97"/>
  <c r="DL1" i="97"/>
  <c r="EU115" i="9"/>
  <c r="DP1" i="94"/>
  <c r="DQ2" i="94"/>
  <c r="DO24" i="94"/>
  <c r="DO19" i="94"/>
  <c r="DO23" i="94"/>
  <c r="DO15" i="94"/>
  <c r="DO10" i="94"/>
  <c r="DO9" i="94"/>
  <c r="DO8" i="94"/>
  <c r="DO21" i="94"/>
  <c r="DO18" i="94"/>
  <c r="DO17" i="94"/>
  <c r="DO13" i="94"/>
  <c r="DO22" i="94"/>
  <c r="DO14" i="94"/>
  <c r="DO6" i="94"/>
  <c r="DO7" i="94"/>
  <c r="DO20" i="94"/>
  <c r="DO12" i="94"/>
  <c r="DO11" i="94"/>
  <c r="DO16" i="94"/>
  <c r="EO23" i="94"/>
  <c r="EO21" i="94"/>
  <c r="EO20" i="94"/>
  <c r="EO19" i="94"/>
  <c r="EO15" i="94"/>
  <c r="EO14" i="94"/>
  <c r="EO16" i="94"/>
  <c r="EO7" i="94"/>
  <c r="EO22" i="94"/>
  <c r="EO12" i="94"/>
  <c r="EO9" i="94"/>
  <c r="EO24" i="94"/>
  <c r="EO18" i="94"/>
  <c r="EO17" i="94"/>
  <c r="EO8" i="94"/>
  <c r="EO6" i="94"/>
  <c r="EO13" i="94"/>
  <c r="EO11" i="94"/>
  <c r="CT2" i="94"/>
  <c r="CS1" i="94"/>
  <c r="CR23" i="94"/>
  <c r="CR21" i="94"/>
  <c r="CR18" i="94"/>
  <c r="CR16" i="94"/>
  <c r="CR13" i="94"/>
  <c r="CR6" i="94"/>
  <c r="CR17" i="94"/>
  <c r="CR15" i="94"/>
  <c r="CR20" i="94"/>
  <c r="CR8" i="94"/>
  <c r="CR14" i="94"/>
  <c r="EP1" i="94"/>
  <c r="CR24" i="94"/>
  <c r="CR22" i="94"/>
  <c r="CR12" i="94"/>
  <c r="CR11" i="94"/>
  <c r="CR10" i="94"/>
  <c r="CR7" i="94"/>
  <c r="CR19" i="94"/>
  <c r="CR9" i="94"/>
  <c r="DP23" i="93"/>
  <c r="DP22" i="93"/>
  <c r="DP13" i="93"/>
  <c r="DP9" i="93"/>
  <c r="DP7" i="93"/>
  <c r="DP18" i="93"/>
  <c r="DP14" i="93"/>
  <c r="DP6" i="93"/>
  <c r="DP24" i="93"/>
  <c r="DP20" i="93"/>
  <c r="DP10" i="93"/>
  <c r="DP19" i="93"/>
  <c r="DP15" i="93"/>
  <c r="DP12" i="93"/>
  <c r="DP11" i="93"/>
  <c r="DP21" i="93"/>
  <c r="DP17" i="93"/>
  <c r="DP16" i="93"/>
  <c r="DP8" i="93"/>
  <c r="CS23" i="93"/>
  <c r="CS17" i="93"/>
  <c r="CS12" i="93"/>
  <c r="CS9" i="93"/>
  <c r="CS11" i="93"/>
  <c r="CS24" i="93"/>
  <c r="CS16" i="93"/>
  <c r="CS13" i="93"/>
  <c r="CS6" i="93"/>
  <c r="CS7" i="93"/>
  <c r="CS21" i="93"/>
  <c r="CS19" i="93"/>
  <c r="CS14" i="93"/>
  <c r="EQ1" i="93"/>
  <c r="CS20" i="93"/>
  <c r="CS18" i="93"/>
  <c r="CS10" i="93"/>
  <c r="CS22" i="93"/>
  <c r="CS8" i="93"/>
  <c r="CS15" i="93"/>
  <c r="DR2" i="93"/>
  <c r="DQ1" i="93"/>
  <c r="EP23" i="93"/>
  <c r="EP15" i="93"/>
  <c r="EP20" i="93"/>
  <c r="EP6" i="93"/>
  <c r="EP21" i="93"/>
  <c r="EP11" i="93"/>
  <c r="EP17" i="93"/>
  <c r="EP12" i="93"/>
  <c r="EP7" i="93"/>
  <c r="EP22" i="93"/>
  <c r="EP19" i="93"/>
  <c r="EP14" i="93"/>
  <c r="EP13" i="93"/>
  <c r="EP9" i="93"/>
  <c r="EP24" i="93"/>
  <c r="EP16" i="93"/>
  <c r="EP8" i="93"/>
  <c r="EP18" i="93"/>
  <c r="CT1" i="93"/>
  <c r="CU2" i="93"/>
  <c r="GJ90" i="9"/>
  <c r="GN90" i="9" s="1"/>
  <c r="IU90" i="9"/>
  <c r="IV89" i="9"/>
  <c r="GH88" i="9"/>
  <c r="GG89" i="9"/>
  <c r="EW91" i="9"/>
  <c r="EX90" i="9"/>
  <c r="C124" i="9"/>
  <c r="A123" i="9"/>
  <c r="A123" i="20" s="1"/>
  <c r="HF122" i="9"/>
  <c r="GA122" i="9"/>
  <c r="E122" i="9"/>
  <c r="HQ122" i="9"/>
  <c r="HL122" i="9"/>
  <c r="HC122" i="9"/>
  <c r="HI122" i="9"/>
  <c r="DJ24" i="100" l="1"/>
  <c r="DJ23" i="100"/>
  <c r="DJ22" i="100"/>
  <c r="DJ21" i="100"/>
  <c r="DJ20" i="100"/>
  <c r="DJ19" i="100"/>
  <c r="DJ18" i="100"/>
  <c r="DJ17" i="100"/>
  <c r="DJ16" i="100"/>
  <c r="DJ15" i="100"/>
  <c r="DJ14" i="100"/>
  <c r="DJ13" i="100"/>
  <c r="DJ12" i="100"/>
  <c r="DJ11" i="100"/>
  <c r="DJ10" i="100"/>
  <c r="DJ9" i="100"/>
  <c r="DJ8" i="100"/>
  <c r="DJ7" i="100"/>
  <c r="DJ6" i="100"/>
  <c r="DL2" i="100"/>
  <c r="DK1" i="100"/>
  <c r="CM24" i="100"/>
  <c r="CM23" i="100"/>
  <c r="CM22" i="100"/>
  <c r="CM21" i="100"/>
  <c r="CM20" i="100"/>
  <c r="CM19" i="100"/>
  <c r="CM18" i="100"/>
  <c r="CM17" i="100"/>
  <c r="CM16" i="100"/>
  <c r="CM15" i="100"/>
  <c r="CM14" i="100"/>
  <c r="CM13" i="100"/>
  <c r="CM12" i="100"/>
  <c r="CM11" i="100"/>
  <c r="CM10" i="100"/>
  <c r="CM9" i="100"/>
  <c r="CM8" i="100"/>
  <c r="CM7" i="100"/>
  <c r="CM6" i="100"/>
  <c r="EK1" i="100"/>
  <c r="CO2" i="100"/>
  <c r="CN1" i="100"/>
  <c r="EJ24" i="100"/>
  <c r="EJ23" i="100"/>
  <c r="EJ22" i="100"/>
  <c r="EJ21" i="100"/>
  <c r="EJ20" i="100"/>
  <c r="EJ19" i="100"/>
  <c r="EJ18" i="100"/>
  <c r="EJ17" i="100"/>
  <c r="EJ16" i="100"/>
  <c r="EJ15" i="100"/>
  <c r="EJ14" i="100"/>
  <c r="EJ13" i="100"/>
  <c r="EJ12" i="100"/>
  <c r="EJ11" i="100"/>
  <c r="EJ9" i="100"/>
  <c r="EJ8" i="100"/>
  <c r="EJ7" i="100"/>
  <c r="EJ6" i="100"/>
  <c r="CN24" i="98"/>
  <c r="CN23" i="98"/>
  <c r="CN22" i="98"/>
  <c r="CN21" i="98"/>
  <c r="CN20" i="98"/>
  <c r="CN19" i="98"/>
  <c r="CN18" i="98"/>
  <c r="CN17" i="98"/>
  <c r="CN16" i="98"/>
  <c r="CN15" i="98"/>
  <c r="CN14" i="98"/>
  <c r="CN13" i="98"/>
  <c r="CN12" i="98"/>
  <c r="CN11" i="98"/>
  <c r="CN10" i="98"/>
  <c r="CN9" i="98"/>
  <c r="CN8" i="98"/>
  <c r="CN7" i="98"/>
  <c r="CN6" i="98"/>
  <c r="EL1" i="98"/>
  <c r="CP2" i="98"/>
  <c r="CO1" i="98"/>
  <c r="EK24" i="98"/>
  <c r="EK23" i="98"/>
  <c r="EK22" i="98"/>
  <c r="EK21" i="98"/>
  <c r="EK20" i="98"/>
  <c r="EK19" i="98"/>
  <c r="EK18" i="98"/>
  <c r="EK17" i="98"/>
  <c r="EK16" i="98"/>
  <c r="EK15" i="98"/>
  <c r="EK14" i="98"/>
  <c r="EK13" i="98"/>
  <c r="EK12" i="98"/>
  <c r="EK11" i="98"/>
  <c r="EK9" i="98"/>
  <c r="EK8" i="98"/>
  <c r="EK7" i="98"/>
  <c r="EK6" i="98"/>
  <c r="DK24" i="98"/>
  <c r="DK23" i="98"/>
  <c r="DK22" i="98"/>
  <c r="DK21" i="98"/>
  <c r="DK20" i="98"/>
  <c r="DK19" i="98"/>
  <c r="DK18" i="98"/>
  <c r="DK17" i="98"/>
  <c r="DK16" i="98"/>
  <c r="DK15" i="98"/>
  <c r="DK14" i="98"/>
  <c r="DK13" i="98"/>
  <c r="DK12" i="98"/>
  <c r="DK11" i="98"/>
  <c r="DK10" i="98"/>
  <c r="DK9" i="98"/>
  <c r="DK8" i="98"/>
  <c r="DK7" i="98"/>
  <c r="DK6" i="98"/>
  <c r="DM2" i="98"/>
  <c r="DL1" i="98"/>
  <c r="EU116" i="9"/>
  <c r="DL24" i="97"/>
  <c r="DL23" i="97"/>
  <c r="DL22" i="97"/>
  <c r="DL21" i="97"/>
  <c r="DL20" i="97"/>
  <c r="DL19" i="97"/>
  <c r="DL18" i="97"/>
  <c r="DL17" i="97"/>
  <c r="DL16" i="97"/>
  <c r="DL15" i="97"/>
  <c r="DL14" i="97"/>
  <c r="DL13" i="97"/>
  <c r="DL12" i="97"/>
  <c r="DL11" i="97"/>
  <c r="DL10" i="97"/>
  <c r="DL9" i="97"/>
  <c r="DL8" i="97"/>
  <c r="DL7" i="97"/>
  <c r="DL6" i="97"/>
  <c r="DN2" i="97"/>
  <c r="DM1" i="97"/>
  <c r="CO24" i="97"/>
  <c r="CO23" i="97"/>
  <c r="CO22" i="97"/>
  <c r="CO21" i="97"/>
  <c r="CO20" i="97"/>
  <c r="CO19" i="97"/>
  <c r="CO18" i="97"/>
  <c r="CO17" i="97"/>
  <c r="CO16" i="97"/>
  <c r="CO15" i="97"/>
  <c r="CO14" i="97"/>
  <c r="CO13" i="97"/>
  <c r="CO12" i="97"/>
  <c r="CO11" i="97"/>
  <c r="CO10" i="97"/>
  <c r="CO9" i="97"/>
  <c r="CO8" i="97"/>
  <c r="CO7" i="97"/>
  <c r="CO6" i="97"/>
  <c r="EM1" i="97"/>
  <c r="CQ2" i="97"/>
  <c r="CP1" i="97"/>
  <c r="EL24" i="97"/>
  <c r="EL23" i="97"/>
  <c r="EL22" i="97"/>
  <c r="EL21" i="97"/>
  <c r="EL20" i="97"/>
  <c r="EL19" i="97"/>
  <c r="EL18" i="97"/>
  <c r="EL17" i="97"/>
  <c r="EL16" i="97"/>
  <c r="EL15" i="97"/>
  <c r="EL14" i="97"/>
  <c r="EL13" i="97"/>
  <c r="EL12" i="97"/>
  <c r="EL11" i="97"/>
  <c r="EL9" i="97"/>
  <c r="EL8" i="97"/>
  <c r="EL7" i="97"/>
  <c r="EL6" i="97"/>
  <c r="DN24" i="95"/>
  <c r="DN23" i="95"/>
  <c r="DN22" i="95"/>
  <c r="DN21" i="95"/>
  <c r="DN20" i="95"/>
  <c r="DN19" i="95"/>
  <c r="DN18" i="95"/>
  <c r="DN17" i="95"/>
  <c r="DN16" i="95"/>
  <c r="DN15" i="95"/>
  <c r="DN14" i="95"/>
  <c r="DN13" i="95"/>
  <c r="DN12" i="95"/>
  <c r="DN11" i="95"/>
  <c r="DN10" i="95"/>
  <c r="DN9" i="95"/>
  <c r="DN8" i="95"/>
  <c r="DN7" i="95"/>
  <c r="DN6" i="95"/>
  <c r="DP2" i="95"/>
  <c r="DO1" i="95"/>
  <c r="CQ24" i="95"/>
  <c r="CQ23" i="95"/>
  <c r="CQ22" i="95"/>
  <c r="CQ21" i="95"/>
  <c r="CQ20" i="95"/>
  <c r="CQ19" i="95"/>
  <c r="CQ18" i="95"/>
  <c r="CQ17" i="95"/>
  <c r="CQ16" i="95"/>
  <c r="CQ15" i="95"/>
  <c r="CQ14" i="95"/>
  <c r="CQ13" i="95"/>
  <c r="CQ12" i="95"/>
  <c r="CQ11" i="95"/>
  <c r="CQ10" i="95"/>
  <c r="CQ9" i="95"/>
  <c r="CQ8" i="95"/>
  <c r="CQ7" i="95"/>
  <c r="CQ6" i="95"/>
  <c r="EO1" i="95"/>
  <c r="CS2" i="95"/>
  <c r="CR1" i="95"/>
  <c r="EN24" i="95"/>
  <c r="EN23" i="95"/>
  <c r="EN22" i="95"/>
  <c r="EN21" i="95"/>
  <c r="EN20" i="95"/>
  <c r="EN19" i="95"/>
  <c r="EN18" i="95"/>
  <c r="EN17" i="95"/>
  <c r="EN16" i="95"/>
  <c r="EN15" i="95"/>
  <c r="EN14" i="95"/>
  <c r="EN13" i="95"/>
  <c r="EN12" i="95"/>
  <c r="EN11" i="95"/>
  <c r="EN9" i="95"/>
  <c r="EN8" i="95"/>
  <c r="EN7" i="95"/>
  <c r="EN6" i="95"/>
  <c r="CP24" i="96"/>
  <c r="CP23" i="96"/>
  <c r="CP22" i="96"/>
  <c r="CP21" i="96"/>
  <c r="CP20" i="96"/>
  <c r="CP19" i="96"/>
  <c r="CP18" i="96"/>
  <c r="CP17" i="96"/>
  <c r="CP16" i="96"/>
  <c r="CP15" i="96"/>
  <c r="CP14" i="96"/>
  <c r="CP13" i="96"/>
  <c r="CP12" i="96"/>
  <c r="CP11" i="96"/>
  <c r="CP10" i="96"/>
  <c r="CP9" i="96"/>
  <c r="CP8" i="96"/>
  <c r="CP7" i="96"/>
  <c r="CP6" i="96"/>
  <c r="EN1" i="96"/>
  <c r="CR2" i="96"/>
  <c r="CQ1" i="96"/>
  <c r="EM24" i="96"/>
  <c r="EM23" i="96"/>
  <c r="EM22" i="96"/>
  <c r="EM21" i="96"/>
  <c r="EM20" i="96"/>
  <c r="EM19" i="96"/>
  <c r="EM18" i="96"/>
  <c r="EM17" i="96"/>
  <c r="EM16" i="96"/>
  <c r="EM15" i="96"/>
  <c r="EM14" i="96"/>
  <c r="EM13" i="96"/>
  <c r="EM12" i="96"/>
  <c r="EM11" i="96"/>
  <c r="EM9" i="96"/>
  <c r="EM8" i="96"/>
  <c r="EM7" i="96"/>
  <c r="EM6" i="96"/>
  <c r="DM24" i="96"/>
  <c r="DM23" i="96"/>
  <c r="DM22" i="96"/>
  <c r="DM21" i="96"/>
  <c r="DM20" i="96"/>
  <c r="DM19" i="96"/>
  <c r="DM18" i="96"/>
  <c r="DM17" i="96"/>
  <c r="DM16" i="96"/>
  <c r="DM15" i="96"/>
  <c r="DM14" i="96"/>
  <c r="DM13" i="96"/>
  <c r="DM12" i="96"/>
  <c r="DM11" i="96"/>
  <c r="DM10" i="96"/>
  <c r="DM9" i="96"/>
  <c r="DM8" i="96"/>
  <c r="DM7" i="96"/>
  <c r="DM6" i="96"/>
  <c r="DO2" i="96"/>
  <c r="DN1" i="96"/>
  <c r="EP22" i="94"/>
  <c r="EP23" i="94"/>
  <c r="EP21" i="94"/>
  <c r="EP18" i="94"/>
  <c r="EP16" i="94"/>
  <c r="EP13" i="94"/>
  <c r="EP20" i="94"/>
  <c r="EP19" i="94"/>
  <c r="EP6" i="94"/>
  <c r="EP17" i="94"/>
  <c r="EP15" i="94"/>
  <c r="EP24" i="94"/>
  <c r="EP8" i="94"/>
  <c r="EP11" i="94"/>
  <c r="EP7" i="94"/>
  <c r="EP14" i="94"/>
  <c r="EP12" i="94"/>
  <c r="EP9" i="94"/>
  <c r="CS20" i="94"/>
  <c r="CS24" i="94"/>
  <c r="CS22" i="94"/>
  <c r="CS17" i="94"/>
  <c r="CS12" i="94"/>
  <c r="CS15" i="94"/>
  <c r="CS11" i="94"/>
  <c r="EQ1" i="94"/>
  <c r="CS23" i="94"/>
  <c r="CS21" i="94"/>
  <c r="CS18" i="94"/>
  <c r="CS14" i="94"/>
  <c r="CS6" i="94"/>
  <c r="CS10" i="94"/>
  <c r="CS7" i="94"/>
  <c r="CS19" i="94"/>
  <c r="CS9" i="94"/>
  <c r="CS16" i="94"/>
  <c r="CS13" i="94"/>
  <c r="CS8" i="94"/>
  <c r="CT1" i="94"/>
  <c r="CU2" i="94"/>
  <c r="DR2" i="94"/>
  <c r="DQ1" i="94"/>
  <c r="DP23" i="94"/>
  <c r="DP24" i="94"/>
  <c r="DP22" i="94"/>
  <c r="DP15" i="94"/>
  <c r="DP14" i="94"/>
  <c r="DP21" i="94"/>
  <c r="DP18" i="94"/>
  <c r="DP17" i="94"/>
  <c r="DP13" i="94"/>
  <c r="DP12" i="94"/>
  <c r="DP7" i="94"/>
  <c r="DP19" i="94"/>
  <c r="DP20" i="94"/>
  <c r="DP11" i="94"/>
  <c r="DP10" i="94"/>
  <c r="DP16" i="94"/>
  <c r="DP9" i="94"/>
  <c r="DP8" i="94"/>
  <c r="DP6" i="94"/>
  <c r="DS2" i="93"/>
  <c r="DR1" i="93"/>
  <c r="CV2" i="93"/>
  <c r="CU1" i="93"/>
  <c r="CT21" i="93"/>
  <c r="CT17" i="93"/>
  <c r="CT12" i="93"/>
  <c r="ER1" i="93"/>
  <c r="CT6" i="93"/>
  <c r="CT24" i="93"/>
  <c r="CT22" i="93"/>
  <c r="CT15" i="93"/>
  <c r="CT11" i="93"/>
  <c r="CT10" i="93"/>
  <c r="CT23" i="93"/>
  <c r="CT19" i="93"/>
  <c r="CT14" i="93"/>
  <c r="CT16" i="93"/>
  <c r="CT8" i="93"/>
  <c r="CT20" i="93"/>
  <c r="CT18" i="93"/>
  <c r="CT13" i="93"/>
  <c r="CT9" i="93"/>
  <c r="CT7" i="93"/>
  <c r="DQ20" i="93"/>
  <c r="DQ21" i="93"/>
  <c r="DQ12" i="93"/>
  <c r="DQ6" i="93"/>
  <c r="DQ18" i="93"/>
  <c r="DQ17" i="93"/>
  <c r="DQ15" i="93"/>
  <c r="DQ13" i="93"/>
  <c r="DQ9" i="93"/>
  <c r="DQ10" i="93"/>
  <c r="DQ24" i="93"/>
  <c r="DQ19" i="93"/>
  <c r="DQ14" i="93"/>
  <c r="DQ8" i="93"/>
  <c r="DQ22" i="93"/>
  <c r="DQ23" i="93"/>
  <c r="DQ16" i="93"/>
  <c r="DQ11" i="93"/>
  <c r="DQ7" i="93"/>
  <c r="EQ24" i="93"/>
  <c r="EQ20" i="93"/>
  <c r="EQ14" i="93"/>
  <c r="EQ8" i="93"/>
  <c r="EQ21" i="93"/>
  <c r="EQ16" i="93"/>
  <c r="EQ15" i="93"/>
  <c r="EQ6" i="93"/>
  <c r="EQ12" i="93"/>
  <c r="EQ23" i="93"/>
  <c r="EQ22" i="93"/>
  <c r="EQ18" i="93"/>
  <c r="EQ9" i="93"/>
  <c r="EQ7" i="93"/>
  <c r="EQ19" i="93"/>
  <c r="EQ17" i="93"/>
  <c r="EQ13" i="93"/>
  <c r="EQ11" i="93"/>
  <c r="EX91" i="9"/>
  <c r="EW92" i="9"/>
  <c r="IU91" i="9"/>
  <c r="IV90" i="9"/>
  <c r="GG90" i="9"/>
  <c r="GH89" i="9"/>
  <c r="GJ91" i="9"/>
  <c r="GN91" i="9" s="1"/>
  <c r="HC123" i="9"/>
  <c r="HL123" i="9"/>
  <c r="HF123" i="9"/>
  <c r="E123" i="9"/>
  <c r="GA123" i="9"/>
  <c r="HI123" i="9"/>
  <c r="HQ123" i="9"/>
  <c r="C125" i="9"/>
  <c r="A124" i="9"/>
  <c r="A124" i="20" s="1"/>
  <c r="DL24" i="98" l="1"/>
  <c r="DL23" i="98"/>
  <c r="DL22" i="98"/>
  <c r="DL21" i="98"/>
  <c r="DL20" i="98"/>
  <c r="DL19" i="98"/>
  <c r="DL18" i="98"/>
  <c r="DL17" i="98"/>
  <c r="DL16" i="98"/>
  <c r="DL15" i="98"/>
  <c r="DL14" i="98"/>
  <c r="DL13" i="98"/>
  <c r="DL12" i="98"/>
  <c r="DL11" i="98"/>
  <c r="DL10" i="98"/>
  <c r="DL9" i="98"/>
  <c r="DL8" i="98"/>
  <c r="DL7" i="98"/>
  <c r="DL6" i="98"/>
  <c r="DN2" i="98"/>
  <c r="DM1" i="98"/>
  <c r="CO24" i="98"/>
  <c r="CO23" i="98"/>
  <c r="CO22" i="98"/>
  <c r="CO21" i="98"/>
  <c r="CO20" i="98"/>
  <c r="CO19" i="98"/>
  <c r="CO18" i="98"/>
  <c r="CO17" i="98"/>
  <c r="CO16" i="98"/>
  <c r="CO15" i="98"/>
  <c r="CO14" i="98"/>
  <c r="CO13" i="98"/>
  <c r="CO12" i="98"/>
  <c r="CO11" i="98"/>
  <c r="CO10" i="98"/>
  <c r="CO9" i="98"/>
  <c r="CO8" i="98"/>
  <c r="CO7" i="98"/>
  <c r="CO6" i="98"/>
  <c r="EM1" i="98"/>
  <c r="CQ2" i="98"/>
  <c r="CP1" i="98"/>
  <c r="EL24" i="98"/>
  <c r="EL23" i="98"/>
  <c r="EL22" i="98"/>
  <c r="EL21" i="98"/>
  <c r="EL20" i="98"/>
  <c r="EL19" i="98"/>
  <c r="EL18" i="98"/>
  <c r="EL17" i="98"/>
  <c r="EL16" i="98"/>
  <c r="EL15" i="98"/>
  <c r="EL14" i="98"/>
  <c r="EL13" i="98"/>
  <c r="EL12" i="98"/>
  <c r="EL11" i="98"/>
  <c r="EL9" i="98"/>
  <c r="EL8" i="98"/>
  <c r="EL7" i="98"/>
  <c r="EL6" i="98"/>
  <c r="CN24" i="100"/>
  <c r="CN23" i="100"/>
  <c r="CN22" i="100"/>
  <c r="CN21" i="100"/>
  <c r="CN20" i="100"/>
  <c r="CN19" i="100"/>
  <c r="CN18" i="100"/>
  <c r="CN17" i="100"/>
  <c r="CN16" i="100"/>
  <c r="CN15" i="100"/>
  <c r="CN14" i="100"/>
  <c r="CN13" i="100"/>
  <c r="CN12" i="100"/>
  <c r="CN11" i="100"/>
  <c r="CN10" i="100"/>
  <c r="CN9" i="100"/>
  <c r="CN8" i="100"/>
  <c r="CN7" i="100"/>
  <c r="CN6" i="100"/>
  <c r="EL1" i="100"/>
  <c r="CP2" i="100"/>
  <c r="CO1" i="100"/>
  <c r="EK24" i="100"/>
  <c r="EK23" i="100"/>
  <c r="EK22" i="100"/>
  <c r="EK21" i="100"/>
  <c r="EK20" i="100"/>
  <c r="EK19" i="100"/>
  <c r="EK18" i="100"/>
  <c r="EK17" i="100"/>
  <c r="EK16" i="100"/>
  <c r="EK15" i="100"/>
  <c r="EK14" i="100"/>
  <c r="EK13" i="100"/>
  <c r="EK12" i="100"/>
  <c r="EK11" i="100"/>
  <c r="EK9" i="100"/>
  <c r="EK8" i="100"/>
  <c r="EK7" i="100"/>
  <c r="EK6" i="100"/>
  <c r="DK24" i="100"/>
  <c r="DK23" i="100"/>
  <c r="DK22" i="100"/>
  <c r="DK21" i="100"/>
  <c r="DK20" i="100"/>
  <c r="DK19" i="100"/>
  <c r="DK18" i="100"/>
  <c r="DK17" i="100"/>
  <c r="DK16" i="100"/>
  <c r="DK15" i="100"/>
  <c r="DK14" i="100"/>
  <c r="DK13" i="100"/>
  <c r="DK12" i="100"/>
  <c r="DK11" i="100"/>
  <c r="DK10" i="100"/>
  <c r="DK9" i="100"/>
  <c r="DK8" i="100"/>
  <c r="DK7" i="100"/>
  <c r="DK6" i="100"/>
  <c r="DM2" i="100"/>
  <c r="DL1" i="100"/>
  <c r="DN24" i="96"/>
  <c r="DN23" i="96"/>
  <c r="DN22" i="96"/>
  <c r="DN21" i="96"/>
  <c r="DN20" i="96"/>
  <c r="DN19" i="96"/>
  <c r="DN18" i="96"/>
  <c r="DN17" i="96"/>
  <c r="DN16" i="96"/>
  <c r="DN15" i="96"/>
  <c r="DN14" i="96"/>
  <c r="DN13" i="96"/>
  <c r="DN12" i="96"/>
  <c r="DN11" i="96"/>
  <c r="DN10" i="96"/>
  <c r="DN9" i="96"/>
  <c r="DN8" i="96"/>
  <c r="DN7" i="96"/>
  <c r="DN6" i="96"/>
  <c r="DP2" i="96"/>
  <c r="DO1" i="96"/>
  <c r="CQ24" i="96"/>
  <c r="CQ23" i="96"/>
  <c r="CQ22" i="96"/>
  <c r="CQ21" i="96"/>
  <c r="CQ20" i="96"/>
  <c r="CQ19" i="96"/>
  <c r="CQ18" i="96"/>
  <c r="CQ17" i="96"/>
  <c r="CQ16" i="96"/>
  <c r="CQ15" i="96"/>
  <c r="CQ14" i="96"/>
  <c r="CQ13" i="96"/>
  <c r="CQ12" i="96"/>
  <c r="CQ11" i="96"/>
  <c r="CQ10" i="96"/>
  <c r="CQ9" i="96"/>
  <c r="CQ8" i="96"/>
  <c r="CQ7" i="96"/>
  <c r="CQ6" i="96"/>
  <c r="EO1" i="96"/>
  <c r="CS2" i="96"/>
  <c r="CR1" i="96"/>
  <c r="EN24" i="96"/>
  <c r="EN23" i="96"/>
  <c r="EN22" i="96"/>
  <c r="EN21" i="96"/>
  <c r="EN20" i="96"/>
  <c r="EN19" i="96"/>
  <c r="EN18" i="96"/>
  <c r="EN17" i="96"/>
  <c r="EN16" i="96"/>
  <c r="EN15" i="96"/>
  <c r="EN14" i="96"/>
  <c r="EN13" i="96"/>
  <c r="EN11" i="96"/>
  <c r="EN9" i="96"/>
  <c r="EN8" i="96"/>
  <c r="EN7" i="96"/>
  <c r="EN6" i="96"/>
  <c r="CR24" i="95"/>
  <c r="CR23" i="95"/>
  <c r="CR22" i="95"/>
  <c r="CR21" i="95"/>
  <c r="CR20" i="95"/>
  <c r="CR19" i="95"/>
  <c r="CR18" i="95"/>
  <c r="CR17" i="95"/>
  <c r="CR16" i="95"/>
  <c r="CR15" i="95"/>
  <c r="CR14" i="95"/>
  <c r="CR13" i="95"/>
  <c r="CR12" i="95"/>
  <c r="CR11" i="95"/>
  <c r="CR10" i="95"/>
  <c r="CR9" i="95"/>
  <c r="CR8" i="95"/>
  <c r="CR7" i="95"/>
  <c r="CR6" i="95"/>
  <c r="EP1" i="95"/>
  <c r="CT2" i="95"/>
  <c r="CS1" i="95"/>
  <c r="EO24" i="95"/>
  <c r="EO23" i="95"/>
  <c r="EO22" i="95"/>
  <c r="EO21" i="95"/>
  <c r="EO20" i="95"/>
  <c r="EO19" i="95"/>
  <c r="EO18" i="95"/>
  <c r="EO17" i="95"/>
  <c r="EO16" i="95"/>
  <c r="EO15" i="95"/>
  <c r="EO14" i="95"/>
  <c r="EO13" i="95"/>
  <c r="EO12" i="95"/>
  <c r="EO11" i="95"/>
  <c r="EO9" i="95"/>
  <c r="EO8" i="95"/>
  <c r="EO7" i="95"/>
  <c r="EO6" i="95"/>
  <c r="DO24" i="95"/>
  <c r="DO23" i="95"/>
  <c r="DO22" i="95"/>
  <c r="DO21" i="95"/>
  <c r="DO20" i="95"/>
  <c r="DO19" i="95"/>
  <c r="DO18" i="95"/>
  <c r="DO17" i="95"/>
  <c r="DO16" i="95"/>
  <c r="DO15" i="95"/>
  <c r="DO14" i="95"/>
  <c r="DO13" i="95"/>
  <c r="DO12" i="95"/>
  <c r="DO11" i="95"/>
  <c r="DO10" i="95"/>
  <c r="DO9" i="95"/>
  <c r="DO8" i="95"/>
  <c r="DO7" i="95"/>
  <c r="DO6" i="95"/>
  <c r="DQ2" i="95"/>
  <c r="DP1" i="95"/>
  <c r="CP24" i="97"/>
  <c r="CP23" i="97"/>
  <c r="CP22" i="97"/>
  <c r="CP21" i="97"/>
  <c r="CP20" i="97"/>
  <c r="CP19" i="97"/>
  <c r="CP18" i="97"/>
  <c r="CP17" i="97"/>
  <c r="CP16" i="97"/>
  <c r="CP15" i="97"/>
  <c r="CP14" i="97"/>
  <c r="CP13" i="97"/>
  <c r="CP12" i="97"/>
  <c r="CP11" i="97"/>
  <c r="CP10" i="97"/>
  <c r="CP9" i="97"/>
  <c r="CP8" i="97"/>
  <c r="CP7" i="97"/>
  <c r="CP6" i="97"/>
  <c r="EN1" i="97"/>
  <c r="CR2" i="97"/>
  <c r="CQ1" i="97"/>
  <c r="EM24" i="97"/>
  <c r="EM23" i="97"/>
  <c r="EM22" i="97"/>
  <c r="EM21" i="97"/>
  <c r="EM20" i="97"/>
  <c r="EM19" i="97"/>
  <c r="EM18" i="97"/>
  <c r="EM17" i="97"/>
  <c r="EM16" i="97"/>
  <c r="EM15" i="97"/>
  <c r="EM14" i="97"/>
  <c r="EM13" i="97"/>
  <c r="EM12" i="97"/>
  <c r="EM11" i="97"/>
  <c r="EM9" i="97"/>
  <c r="EM8" i="97"/>
  <c r="EM7" i="97"/>
  <c r="EM6" i="97"/>
  <c r="DM24" i="97"/>
  <c r="DM23" i="97"/>
  <c r="DM22" i="97"/>
  <c r="DM21" i="97"/>
  <c r="DM20" i="97"/>
  <c r="DM19" i="97"/>
  <c r="DM18" i="97"/>
  <c r="DM17" i="97"/>
  <c r="DM16" i="97"/>
  <c r="DM15" i="97"/>
  <c r="DM14" i="97"/>
  <c r="DM13" i="97"/>
  <c r="DM12" i="97"/>
  <c r="DM11" i="97"/>
  <c r="DM10" i="97"/>
  <c r="DM9" i="97"/>
  <c r="DM8" i="97"/>
  <c r="DM7" i="97"/>
  <c r="DM6" i="97"/>
  <c r="DO2" i="97"/>
  <c r="DN1" i="97"/>
  <c r="EU117" i="9"/>
  <c r="DQ22" i="94"/>
  <c r="DQ24" i="94"/>
  <c r="DQ21" i="94"/>
  <c r="DQ23" i="94"/>
  <c r="DQ18" i="94"/>
  <c r="DQ16" i="94"/>
  <c r="DQ13" i="94"/>
  <c r="DQ6" i="94"/>
  <c r="DQ20" i="94"/>
  <c r="DQ19" i="94"/>
  <c r="DQ14" i="94"/>
  <c r="DQ11" i="94"/>
  <c r="DQ10" i="94"/>
  <c r="DQ7" i="94"/>
  <c r="DQ15" i="94"/>
  <c r="DQ12" i="94"/>
  <c r="DQ9" i="94"/>
  <c r="DQ17" i="94"/>
  <c r="DQ8" i="94"/>
  <c r="DS2" i="94"/>
  <c r="DR1" i="94"/>
  <c r="CV2" i="94"/>
  <c r="CU1" i="94"/>
  <c r="CT24" i="94"/>
  <c r="CT19" i="94"/>
  <c r="CT23" i="94"/>
  <c r="CT21" i="94"/>
  <c r="CT18" i="94"/>
  <c r="CT17" i="94"/>
  <c r="CT13" i="94"/>
  <c r="CT12" i="94"/>
  <c r="CT10" i="94"/>
  <c r="CT9" i="94"/>
  <c r="CT8" i="94"/>
  <c r="CT14" i="94"/>
  <c r="CT7" i="94"/>
  <c r="ER1" i="94"/>
  <c r="CT22" i="94"/>
  <c r="CT15" i="94"/>
  <c r="CT11" i="94"/>
  <c r="CT16" i="94"/>
  <c r="CT20" i="94"/>
  <c r="CT6" i="94"/>
  <c r="EQ20" i="94"/>
  <c r="EQ17" i="94"/>
  <c r="EQ12" i="94"/>
  <c r="EQ22" i="94"/>
  <c r="EQ15" i="94"/>
  <c r="EQ11" i="94"/>
  <c r="EQ24" i="94"/>
  <c r="EQ23" i="94"/>
  <c r="EQ18" i="94"/>
  <c r="EQ13" i="94"/>
  <c r="EQ6" i="94"/>
  <c r="EQ19" i="94"/>
  <c r="EQ16" i="94"/>
  <c r="EQ7" i="94"/>
  <c r="EQ21" i="94"/>
  <c r="EQ14" i="94"/>
  <c r="EQ9" i="94"/>
  <c r="EQ8" i="94"/>
  <c r="CU22" i="93"/>
  <c r="BY22" i="93" s="1"/>
  <c r="CU19" i="93"/>
  <c r="BY19" i="93" s="1"/>
  <c r="CU16" i="93"/>
  <c r="BY16" i="93" s="1"/>
  <c r="CU9" i="93"/>
  <c r="BY9" i="93" s="1"/>
  <c r="CU7" i="93"/>
  <c r="BY7" i="93" s="1"/>
  <c r="CU15" i="93"/>
  <c r="BY15" i="93" s="1"/>
  <c r="CU20" i="93"/>
  <c r="BY20" i="93" s="1"/>
  <c r="CU10" i="93"/>
  <c r="BY10" i="93" s="1"/>
  <c r="CU21" i="93"/>
  <c r="BY21" i="93" s="1"/>
  <c r="CU18" i="93"/>
  <c r="BY18" i="93" s="1"/>
  <c r="CU12" i="93"/>
  <c r="BY12" i="93" s="1"/>
  <c r="CU8" i="93"/>
  <c r="BY8" i="93" s="1"/>
  <c r="CU6" i="93"/>
  <c r="BY6" i="93" s="1"/>
  <c r="CU24" i="93"/>
  <c r="BY24" i="93" s="1"/>
  <c r="CU17" i="93"/>
  <c r="BY17" i="93" s="1"/>
  <c r="CU11" i="93"/>
  <c r="BY11" i="93" s="1"/>
  <c r="ES1" i="93"/>
  <c r="CU23" i="93"/>
  <c r="BY23" i="93" s="1"/>
  <c r="CU14" i="93"/>
  <c r="BY14" i="93" s="1"/>
  <c r="CU13" i="93"/>
  <c r="BY13" i="93" s="1"/>
  <c r="CW2" i="93"/>
  <c r="CV1" i="93"/>
  <c r="DR21" i="93"/>
  <c r="DR19" i="93"/>
  <c r="DR12" i="93"/>
  <c r="DR11" i="93"/>
  <c r="DR7" i="93"/>
  <c r="DR23" i="93"/>
  <c r="DR24" i="93"/>
  <c r="DR18" i="93"/>
  <c r="DR8" i="93"/>
  <c r="DR22" i="93"/>
  <c r="DR16" i="93"/>
  <c r="DR13" i="93"/>
  <c r="DR14" i="93"/>
  <c r="DR6" i="93"/>
  <c r="DR17" i="93"/>
  <c r="DR15" i="93"/>
  <c r="DR9" i="93"/>
  <c r="DR20" i="93"/>
  <c r="DR10" i="93"/>
  <c r="ER21" i="93"/>
  <c r="ER19" i="93"/>
  <c r="ER16" i="93"/>
  <c r="ER6" i="93"/>
  <c r="ER17" i="93"/>
  <c r="ER12" i="93"/>
  <c r="ER22" i="93"/>
  <c r="ER20" i="93"/>
  <c r="ER13" i="93"/>
  <c r="ER9" i="93"/>
  <c r="ER24" i="93"/>
  <c r="ER18" i="93"/>
  <c r="ER15" i="93"/>
  <c r="ER11" i="93"/>
  <c r="ER8" i="93"/>
  <c r="ER23" i="93"/>
  <c r="ER14" i="93"/>
  <c r="ER7" i="93"/>
  <c r="DT2" i="93"/>
  <c r="DS1" i="93"/>
  <c r="EX92" i="9"/>
  <c r="EW93" i="9"/>
  <c r="GJ92" i="9"/>
  <c r="GN92" i="9" s="1"/>
  <c r="IV91" i="9"/>
  <c r="IU92" i="9"/>
  <c r="GG91" i="9"/>
  <c r="GH90" i="9"/>
  <c r="A125" i="9"/>
  <c r="C126" i="9"/>
  <c r="HL124" i="9"/>
  <c r="GA124" i="9"/>
  <c r="HC124" i="9"/>
  <c r="HF124" i="9"/>
  <c r="HQ124" i="9"/>
  <c r="E124" i="9"/>
  <c r="HI124" i="9"/>
  <c r="DL24" i="100" l="1"/>
  <c r="DL23" i="100"/>
  <c r="DL22" i="100"/>
  <c r="DL21" i="100"/>
  <c r="DL20" i="100"/>
  <c r="DL19" i="100"/>
  <c r="DL18" i="100"/>
  <c r="DL17" i="100"/>
  <c r="DL16" i="100"/>
  <c r="DL15" i="100"/>
  <c r="DL14" i="100"/>
  <c r="DL13" i="100"/>
  <c r="DL12" i="100"/>
  <c r="DL11" i="100"/>
  <c r="DL10" i="100"/>
  <c r="DL9" i="100"/>
  <c r="DL8" i="100"/>
  <c r="DL7" i="100"/>
  <c r="DL6" i="100"/>
  <c r="DN2" i="100"/>
  <c r="DM1" i="100"/>
  <c r="CO24" i="100"/>
  <c r="CO23" i="100"/>
  <c r="CO22" i="100"/>
  <c r="CO21" i="100"/>
  <c r="CO20" i="100"/>
  <c r="CO19" i="100"/>
  <c r="CO18" i="100"/>
  <c r="CO17" i="100"/>
  <c r="CO16" i="100"/>
  <c r="CO15" i="100"/>
  <c r="CO14" i="100"/>
  <c r="CO13" i="100"/>
  <c r="CO12" i="100"/>
  <c r="CO11" i="100"/>
  <c r="CO10" i="100"/>
  <c r="CO9" i="100"/>
  <c r="CO8" i="100"/>
  <c r="CO7" i="100"/>
  <c r="CO6" i="100"/>
  <c r="EM1" i="100"/>
  <c r="CQ2" i="100"/>
  <c r="CP1" i="100"/>
  <c r="EL24" i="100"/>
  <c r="EL23" i="100"/>
  <c r="EL22" i="100"/>
  <c r="EL21" i="100"/>
  <c r="EL20" i="100"/>
  <c r="EL19" i="100"/>
  <c r="EL18" i="100"/>
  <c r="EL17" i="100"/>
  <c r="EL16" i="100"/>
  <c r="EL15" i="100"/>
  <c r="EL14" i="100"/>
  <c r="EL13" i="100"/>
  <c r="EL12" i="100"/>
  <c r="EL11" i="100"/>
  <c r="EL9" i="100"/>
  <c r="EL8" i="100"/>
  <c r="EL7" i="100"/>
  <c r="EL6" i="100"/>
  <c r="CP24" i="98"/>
  <c r="CP23" i="98"/>
  <c r="CP22" i="98"/>
  <c r="CP21" i="98"/>
  <c r="CP20" i="98"/>
  <c r="CP19" i="98"/>
  <c r="CP18" i="98"/>
  <c r="CP17" i="98"/>
  <c r="CP16" i="98"/>
  <c r="CP15" i="98"/>
  <c r="CP14" i="98"/>
  <c r="CP13" i="98"/>
  <c r="CP12" i="98"/>
  <c r="CP11" i="98"/>
  <c r="CP10" i="98"/>
  <c r="CP9" i="98"/>
  <c r="CP8" i="98"/>
  <c r="CP7" i="98"/>
  <c r="CP6" i="98"/>
  <c r="EN1" i="98"/>
  <c r="CR2" i="98"/>
  <c r="CQ1" i="98"/>
  <c r="EM24" i="98"/>
  <c r="EM23" i="98"/>
  <c r="EM22" i="98"/>
  <c r="EM21" i="98"/>
  <c r="EM20" i="98"/>
  <c r="EM19" i="98"/>
  <c r="EM18" i="98"/>
  <c r="EM17" i="98"/>
  <c r="EM16" i="98"/>
  <c r="EM15" i="98"/>
  <c r="EM14" i="98"/>
  <c r="EM13" i="98"/>
  <c r="EM12" i="98"/>
  <c r="EM11" i="98"/>
  <c r="EM9" i="98"/>
  <c r="EM8" i="98"/>
  <c r="EM7" i="98"/>
  <c r="EM6" i="98"/>
  <c r="DM24" i="98"/>
  <c r="DM23" i="98"/>
  <c r="DM22" i="98"/>
  <c r="DM21" i="98"/>
  <c r="DM20" i="98"/>
  <c r="DM19" i="98"/>
  <c r="DM18" i="98"/>
  <c r="DM17" i="98"/>
  <c r="DM16" i="98"/>
  <c r="DM15" i="98"/>
  <c r="DM14" i="98"/>
  <c r="DM13" i="98"/>
  <c r="DM12" i="98"/>
  <c r="DM11" i="98"/>
  <c r="DM10" i="98"/>
  <c r="DM9" i="98"/>
  <c r="DM8" i="98"/>
  <c r="DM7" i="98"/>
  <c r="DM6" i="98"/>
  <c r="DO2" i="98"/>
  <c r="DN1" i="98"/>
  <c r="EU118" i="9"/>
  <c r="EU119" i="9" s="1"/>
  <c r="EU120" i="9" s="1"/>
  <c r="EU121" i="9" s="1"/>
  <c r="EU122" i="9" s="1"/>
  <c r="DN24" i="97"/>
  <c r="DN23" i="97"/>
  <c r="DN22" i="97"/>
  <c r="DN21" i="97"/>
  <c r="DN20" i="97"/>
  <c r="DN19" i="97"/>
  <c r="DN18" i="97"/>
  <c r="DN17" i="97"/>
  <c r="DN16" i="97"/>
  <c r="DN15" i="97"/>
  <c r="DN14" i="97"/>
  <c r="DN13" i="97"/>
  <c r="DN12" i="97"/>
  <c r="DN11" i="97"/>
  <c r="DN10" i="97"/>
  <c r="DN9" i="97"/>
  <c r="DN8" i="97"/>
  <c r="DN7" i="97"/>
  <c r="DN6" i="97"/>
  <c r="DP2" i="97"/>
  <c r="DO1" i="97"/>
  <c r="CQ24" i="97"/>
  <c r="CQ23" i="97"/>
  <c r="CQ22" i="97"/>
  <c r="CQ21" i="97"/>
  <c r="CQ20" i="97"/>
  <c r="CQ19" i="97"/>
  <c r="CQ18" i="97"/>
  <c r="CQ17" i="97"/>
  <c r="CQ16" i="97"/>
  <c r="CQ15" i="97"/>
  <c r="CQ14" i="97"/>
  <c r="CQ13" i="97"/>
  <c r="CQ12" i="97"/>
  <c r="CQ11" i="97"/>
  <c r="CQ10" i="97"/>
  <c r="CQ9" i="97"/>
  <c r="CQ8" i="97"/>
  <c r="CQ7" i="97"/>
  <c r="CQ6" i="97"/>
  <c r="EO1" i="97"/>
  <c r="CS2" i="97"/>
  <c r="CR1" i="97"/>
  <c r="EN24" i="97"/>
  <c r="EN23" i="97"/>
  <c r="EN22" i="97"/>
  <c r="EN21" i="97"/>
  <c r="EN20" i="97"/>
  <c r="EN19" i="97"/>
  <c r="EN18" i="97"/>
  <c r="EN17" i="97"/>
  <c r="EN16" i="97"/>
  <c r="EN15" i="97"/>
  <c r="EN14" i="97"/>
  <c r="EN13" i="97"/>
  <c r="EN12" i="97"/>
  <c r="EN11" i="97"/>
  <c r="EN9" i="97"/>
  <c r="EN8" i="97"/>
  <c r="EN7" i="97"/>
  <c r="EN6" i="97"/>
  <c r="DP24" i="95"/>
  <c r="DP23" i="95"/>
  <c r="DP22" i="95"/>
  <c r="DP21" i="95"/>
  <c r="DP20" i="95"/>
  <c r="DP19" i="95"/>
  <c r="DP18" i="95"/>
  <c r="DP17" i="95"/>
  <c r="DP16" i="95"/>
  <c r="DP15" i="95"/>
  <c r="DP14" i="95"/>
  <c r="DP13" i="95"/>
  <c r="DP12" i="95"/>
  <c r="DP11" i="95"/>
  <c r="DP10" i="95"/>
  <c r="DP9" i="95"/>
  <c r="DP8" i="95"/>
  <c r="DP7" i="95"/>
  <c r="DP6" i="95"/>
  <c r="DR2" i="95"/>
  <c r="DQ1" i="95"/>
  <c r="CS24" i="95"/>
  <c r="CS23" i="95"/>
  <c r="CS22" i="95"/>
  <c r="CS21" i="95"/>
  <c r="CS20" i="95"/>
  <c r="CS19" i="95"/>
  <c r="CS18" i="95"/>
  <c r="CS17" i="95"/>
  <c r="CS16" i="95"/>
  <c r="CS15" i="95"/>
  <c r="CS14" i="95"/>
  <c r="CS13" i="95"/>
  <c r="CS12" i="95"/>
  <c r="CS11" i="95"/>
  <c r="CS10" i="95"/>
  <c r="CS9" i="95"/>
  <c r="CS8" i="95"/>
  <c r="CS7" i="95"/>
  <c r="CS6" i="95"/>
  <c r="EQ1" i="95"/>
  <c r="CU2" i="95"/>
  <c r="CT1" i="95"/>
  <c r="EP24" i="95"/>
  <c r="EP23" i="95"/>
  <c r="EP22" i="95"/>
  <c r="EP21" i="95"/>
  <c r="EP20" i="95"/>
  <c r="EP19" i="95"/>
  <c r="EP18" i="95"/>
  <c r="EP17" i="95"/>
  <c r="EP16" i="95"/>
  <c r="EP15" i="95"/>
  <c r="EP14" i="95"/>
  <c r="EP13" i="95"/>
  <c r="EP12" i="95"/>
  <c r="EP11" i="95"/>
  <c r="EP9" i="95"/>
  <c r="EP8" i="95"/>
  <c r="EP7" i="95"/>
  <c r="EP6" i="95"/>
  <c r="CR24" i="96"/>
  <c r="CR23" i="96"/>
  <c r="CR22" i="96"/>
  <c r="CR21" i="96"/>
  <c r="CR20" i="96"/>
  <c r="CR19" i="96"/>
  <c r="CR18" i="96"/>
  <c r="CR17" i="96"/>
  <c r="CR16" i="96"/>
  <c r="CR15" i="96"/>
  <c r="CR14" i="96"/>
  <c r="CR13" i="96"/>
  <c r="CR12" i="96"/>
  <c r="CR11" i="96"/>
  <c r="CR10" i="96"/>
  <c r="CR9" i="96"/>
  <c r="CR8" i="96"/>
  <c r="CR7" i="96"/>
  <c r="CR6" i="96"/>
  <c r="EP1" i="96"/>
  <c r="CT2" i="96"/>
  <c r="CS1" i="96"/>
  <c r="EO24" i="96"/>
  <c r="EO23" i="96"/>
  <c r="EO22" i="96"/>
  <c r="EO21" i="96"/>
  <c r="EO20" i="96"/>
  <c r="EO19" i="96"/>
  <c r="EO18" i="96"/>
  <c r="EO17" i="96"/>
  <c r="EO16" i="96"/>
  <c r="EO15" i="96"/>
  <c r="EO14" i="96"/>
  <c r="EO13" i="96"/>
  <c r="EO12" i="96"/>
  <c r="EO11" i="96"/>
  <c r="EO9" i="96"/>
  <c r="EO8" i="96"/>
  <c r="EO7" i="96"/>
  <c r="EO6" i="96"/>
  <c r="DO24" i="96"/>
  <c r="DO23" i="96"/>
  <c r="DO22" i="96"/>
  <c r="DO21" i="96"/>
  <c r="DO20" i="96"/>
  <c r="DO19" i="96"/>
  <c r="DO18" i="96"/>
  <c r="DO17" i="96"/>
  <c r="DO16" i="96"/>
  <c r="DO15" i="96"/>
  <c r="DO14" i="96"/>
  <c r="DO13" i="96"/>
  <c r="DO12" i="96"/>
  <c r="DO11" i="96"/>
  <c r="DO10" i="96"/>
  <c r="DO9" i="96"/>
  <c r="DO8" i="96"/>
  <c r="DO7" i="96"/>
  <c r="DO6" i="96"/>
  <c r="DQ2" i="96"/>
  <c r="DP1" i="96"/>
  <c r="ER24" i="94"/>
  <c r="ER19" i="94"/>
  <c r="ER11" i="94"/>
  <c r="ER23" i="94"/>
  <c r="ER18" i="94"/>
  <c r="ER17" i="94"/>
  <c r="ER13" i="94"/>
  <c r="ER12" i="94"/>
  <c r="ER9" i="94"/>
  <c r="ER8" i="94"/>
  <c r="ER21" i="94"/>
  <c r="ER14" i="94"/>
  <c r="ER16" i="94"/>
  <c r="ER7" i="94"/>
  <c r="ER22" i="94"/>
  <c r="ER20" i="94"/>
  <c r="ER15" i="94"/>
  <c r="ER6" i="94"/>
  <c r="CU23" i="94"/>
  <c r="BY23" i="94" s="1"/>
  <c r="CU24" i="94"/>
  <c r="BY24" i="94" s="1"/>
  <c r="CU22" i="94"/>
  <c r="BY22" i="94" s="1"/>
  <c r="CU15" i="94"/>
  <c r="BY15" i="94" s="1"/>
  <c r="CU14" i="94"/>
  <c r="BY14" i="94" s="1"/>
  <c r="CU7" i="94"/>
  <c r="BY7" i="94" s="1"/>
  <c r="CU20" i="94"/>
  <c r="BY20" i="94" s="1"/>
  <c r="CU19" i="94"/>
  <c r="BY19" i="94" s="1"/>
  <c r="CU16" i="94"/>
  <c r="BY16" i="94" s="1"/>
  <c r="CU11" i="94"/>
  <c r="BY11" i="94" s="1"/>
  <c r="CU10" i="94"/>
  <c r="BY10" i="94" s="1"/>
  <c r="CU12" i="94"/>
  <c r="BY12" i="94" s="1"/>
  <c r="CU9" i="94"/>
  <c r="BY9" i="94" s="1"/>
  <c r="CU18" i="94"/>
  <c r="BY18" i="94" s="1"/>
  <c r="CU17" i="94"/>
  <c r="BY17" i="94" s="1"/>
  <c r="CU13" i="94"/>
  <c r="BY13" i="94" s="1"/>
  <c r="CU8" i="94"/>
  <c r="BY8" i="94" s="1"/>
  <c r="CU6" i="94"/>
  <c r="BY6" i="94" s="1"/>
  <c r="CU21" i="94"/>
  <c r="BY21" i="94" s="1"/>
  <c r="ES1" i="94"/>
  <c r="CV1" i="94"/>
  <c r="CW2" i="94"/>
  <c r="DR22" i="94"/>
  <c r="DR20" i="94"/>
  <c r="DR19" i="94"/>
  <c r="DR17" i="94"/>
  <c r="DR12" i="94"/>
  <c r="DR24" i="94"/>
  <c r="DR14" i="94"/>
  <c r="DR11" i="94"/>
  <c r="DR16" i="94"/>
  <c r="DR15" i="94"/>
  <c r="DR13" i="94"/>
  <c r="DR9" i="94"/>
  <c r="DR21" i="94"/>
  <c r="DR8" i="94"/>
  <c r="DR18" i="94"/>
  <c r="DR6" i="94"/>
  <c r="DR23" i="94"/>
  <c r="DR10" i="94"/>
  <c r="DR7" i="94"/>
  <c r="DS1" i="94"/>
  <c r="DT2" i="94"/>
  <c r="DS24" i="93"/>
  <c r="DS19" i="93"/>
  <c r="DS14" i="93"/>
  <c r="DS16" i="93"/>
  <c r="DS7" i="93"/>
  <c r="DS18" i="93"/>
  <c r="DS11" i="93"/>
  <c r="DS22" i="93"/>
  <c r="DS17" i="93"/>
  <c r="DS13" i="93"/>
  <c r="DS9" i="93"/>
  <c r="DS10" i="93"/>
  <c r="DS21" i="93"/>
  <c r="DS15" i="93"/>
  <c r="DS20" i="93"/>
  <c r="DS8" i="93"/>
  <c r="DS23" i="93"/>
  <c r="DS12" i="93"/>
  <c r="DS6" i="93"/>
  <c r="CV24" i="93"/>
  <c r="CV18" i="93"/>
  <c r="CV13" i="93"/>
  <c r="CV10" i="93"/>
  <c r="CV6" i="93"/>
  <c r="CV12" i="93"/>
  <c r="CV22" i="93"/>
  <c r="CV19" i="93"/>
  <c r="CV14" i="93"/>
  <c r="CV11" i="93"/>
  <c r="CV8" i="93"/>
  <c r="CV21" i="93"/>
  <c r="CV17" i="93"/>
  <c r="CV16" i="93"/>
  <c r="CV20" i="93"/>
  <c r="CV7" i="93"/>
  <c r="CV23" i="93"/>
  <c r="CV15" i="93"/>
  <c r="CV9" i="93"/>
  <c r="ET1" i="93"/>
  <c r="Y3" i="93"/>
  <c r="DT1" i="93"/>
  <c r="DU2" i="93"/>
  <c r="CX2" i="93"/>
  <c r="CW1" i="93"/>
  <c r="ES23" i="93"/>
  <c r="ES19" i="93"/>
  <c r="ES18" i="93"/>
  <c r="ES12" i="93"/>
  <c r="ES22" i="93"/>
  <c r="ES16" i="93"/>
  <c r="ES6" i="93"/>
  <c r="ES21" i="93"/>
  <c r="ES15" i="93"/>
  <c r="ES13" i="93"/>
  <c r="ES8" i="93"/>
  <c r="ES24" i="93"/>
  <c r="ES17" i="93"/>
  <c r="ES14" i="93"/>
  <c r="ES11" i="93"/>
  <c r="ES7" i="93"/>
  <c r="ES20" i="93"/>
  <c r="ES9" i="93"/>
  <c r="BY27" i="93"/>
  <c r="EX93" i="9"/>
  <c r="IV92" i="9"/>
  <c r="IU93" i="9"/>
  <c r="GJ93" i="9"/>
  <c r="GN93" i="9" s="1"/>
  <c r="GH91" i="9"/>
  <c r="GG92" i="9"/>
  <c r="A126" i="9"/>
  <c r="C127" i="9"/>
  <c r="GA125" i="9"/>
  <c r="HC125" i="9"/>
  <c r="HF125" i="9"/>
  <c r="E125" i="9"/>
  <c r="HL125" i="9"/>
  <c r="HI125" i="9"/>
  <c r="HQ125" i="9"/>
  <c r="EU123" i="9" l="1"/>
  <c r="EU124" i="9" s="1"/>
  <c r="EU125" i="9" s="1"/>
  <c r="EU126" i="9" s="1"/>
  <c r="EU127" i="9" s="1"/>
  <c r="EU128" i="9" s="1"/>
  <c r="DN24" i="98"/>
  <c r="DN23" i="98"/>
  <c r="DN22" i="98"/>
  <c r="DN21" i="98"/>
  <c r="DN20" i="98"/>
  <c r="DN19" i="98"/>
  <c r="DN18" i="98"/>
  <c r="DN17" i="98"/>
  <c r="DN16" i="98"/>
  <c r="DN15" i="98"/>
  <c r="DN14" i="98"/>
  <c r="DN13" i="98"/>
  <c r="DN12" i="98"/>
  <c r="DN11" i="98"/>
  <c r="DN10" i="98"/>
  <c r="DN9" i="98"/>
  <c r="DN8" i="98"/>
  <c r="DN7" i="98"/>
  <c r="DN6" i="98"/>
  <c r="DP2" i="98"/>
  <c r="DO1" i="98"/>
  <c r="CQ24" i="98"/>
  <c r="CQ23" i="98"/>
  <c r="CQ22" i="98"/>
  <c r="CQ21" i="98"/>
  <c r="CQ20" i="98"/>
  <c r="CQ19" i="98"/>
  <c r="CQ18" i="98"/>
  <c r="CQ17" i="98"/>
  <c r="CQ16" i="98"/>
  <c r="CQ15" i="98"/>
  <c r="CQ14" i="98"/>
  <c r="CQ13" i="98"/>
  <c r="CQ12" i="98"/>
  <c r="CQ11" i="98"/>
  <c r="CQ10" i="98"/>
  <c r="CQ9" i="98"/>
  <c r="CQ8" i="98"/>
  <c r="CQ7" i="98"/>
  <c r="CQ6" i="98"/>
  <c r="EO1" i="98"/>
  <c r="CS2" i="98"/>
  <c r="CR1" i="98"/>
  <c r="EN24" i="98"/>
  <c r="EN23" i="98"/>
  <c r="EN22" i="98"/>
  <c r="EN21" i="98"/>
  <c r="EN20" i="98"/>
  <c r="EN19" i="98"/>
  <c r="EN18" i="98"/>
  <c r="EN17" i="98"/>
  <c r="EN16" i="98"/>
  <c r="EN15" i="98"/>
  <c r="EN14" i="98"/>
  <c r="EN13" i="98"/>
  <c r="EN12" i="98"/>
  <c r="EN11" i="98"/>
  <c r="EN9" i="98"/>
  <c r="EN8" i="98"/>
  <c r="EN7" i="98"/>
  <c r="EN6" i="98"/>
  <c r="CP24" i="100"/>
  <c r="CP23" i="100"/>
  <c r="CP22" i="100"/>
  <c r="CP21" i="100"/>
  <c r="CP20" i="100"/>
  <c r="CP19" i="100"/>
  <c r="CP18" i="100"/>
  <c r="CP17" i="100"/>
  <c r="CP16" i="100"/>
  <c r="CP15" i="100"/>
  <c r="CP14" i="100"/>
  <c r="CP13" i="100"/>
  <c r="CP12" i="100"/>
  <c r="CP11" i="100"/>
  <c r="CP10" i="100"/>
  <c r="CP9" i="100"/>
  <c r="CP8" i="100"/>
  <c r="CP7" i="100"/>
  <c r="CP6" i="100"/>
  <c r="EN1" i="100"/>
  <c r="CR2" i="100"/>
  <c r="CQ1" i="100"/>
  <c r="EM24" i="100"/>
  <c r="EM23" i="100"/>
  <c r="EM22" i="100"/>
  <c r="EM21" i="100"/>
  <c r="EM20" i="100"/>
  <c r="EM19" i="100"/>
  <c r="EM18" i="100"/>
  <c r="EM17" i="100"/>
  <c r="EM16" i="100"/>
  <c r="EM15" i="100"/>
  <c r="EM14" i="100"/>
  <c r="EM13" i="100"/>
  <c r="EM12" i="100"/>
  <c r="EM11" i="100"/>
  <c r="EM9" i="100"/>
  <c r="EM8" i="100"/>
  <c r="EM7" i="100"/>
  <c r="EM6" i="100"/>
  <c r="DM24" i="100"/>
  <c r="DM23" i="100"/>
  <c r="DM22" i="100"/>
  <c r="DM21" i="100"/>
  <c r="DM20" i="100"/>
  <c r="DM19" i="100"/>
  <c r="DM18" i="100"/>
  <c r="DM17" i="100"/>
  <c r="DM16" i="100"/>
  <c r="DM15" i="100"/>
  <c r="DM14" i="100"/>
  <c r="DM13" i="100"/>
  <c r="DM12" i="100"/>
  <c r="DM11" i="100"/>
  <c r="DM10" i="100"/>
  <c r="DM9" i="100"/>
  <c r="DM8" i="100"/>
  <c r="DM7" i="100"/>
  <c r="DM6" i="100"/>
  <c r="DO2" i="100"/>
  <c r="DN1" i="100"/>
  <c r="DP24" i="96"/>
  <c r="DP23" i="96"/>
  <c r="DP22" i="96"/>
  <c r="DP21" i="96"/>
  <c r="DP20" i="96"/>
  <c r="DP19" i="96"/>
  <c r="DP18" i="96"/>
  <c r="DP17" i="96"/>
  <c r="DP16" i="96"/>
  <c r="DP15" i="96"/>
  <c r="DP14" i="96"/>
  <c r="DP13" i="96"/>
  <c r="DP12" i="96"/>
  <c r="DP11" i="96"/>
  <c r="DP10" i="96"/>
  <c r="DP9" i="96"/>
  <c r="DP8" i="96"/>
  <c r="DP7" i="96"/>
  <c r="DP6" i="96"/>
  <c r="DR2" i="96"/>
  <c r="DQ1" i="96"/>
  <c r="CS24" i="96"/>
  <c r="CS23" i="96"/>
  <c r="CS22" i="96"/>
  <c r="CS21" i="96"/>
  <c r="CS20" i="96"/>
  <c r="CS19" i="96"/>
  <c r="CS18" i="96"/>
  <c r="CS17" i="96"/>
  <c r="CS16" i="96"/>
  <c r="CS15" i="96"/>
  <c r="CS14" i="96"/>
  <c r="CS13" i="96"/>
  <c r="CS12" i="96"/>
  <c r="CS11" i="96"/>
  <c r="CS10" i="96"/>
  <c r="CS9" i="96"/>
  <c r="CS8" i="96"/>
  <c r="CS7" i="96"/>
  <c r="CS6" i="96"/>
  <c r="EQ1" i="96"/>
  <c r="CU2" i="96"/>
  <c r="CT1" i="96"/>
  <c r="EP24" i="96"/>
  <c r="EP23" i="96"/>
  <c r="EP22" i="96"/>
  <c r="EP21" i="96"/>
  <c r="EP20" i="96"/>
  <c r="EP19" i="96"/>
  <c r="EP18" i="96"/>
  <c r="EP17" i="96"/>
  <c r="EP16" i="96"/>
  <c r="EP15" i="96"/>
  <c r="EP14" i="96"/>
  <c r="EP13" i="96"/>
  <c r="EP12" i="96"/>
  <c r="EP11" i="96"/>
  <c r="EP9" i="96"/>
  <c r="EP8" i="96"/>
  <c r="EP7" i="96"/>
  <c r="EP6" i="96"/>
  <c r="CT24" i="95"/>
  <c r="BX24" i="95" s="1"/>
  <c r="CT23" i="95"/>
  <c r="BX23" i="95" s="1"/>
  <c r="CT22" i="95"/>
  <c r="BX22" i="95" s="1"/>
  <c r="CT21" i="95"/>
  <c r="BX21" i="95" s="1"/>
  <c r="CT20" i="95"/>
  <c r="BX20" i="95" s="1"/>
  <c r="CT19" i="95"/>
  <c r="BX19" i="95" s="1"/>
  <c r="CT18" i="95"/>
  <c r="BX18" i="95" s="1"/>
  <c r="CT17" i="95"/>
  <c r="BX17" i="95" s="1"/>
  <c r="CT16" i="95"/>
  <c r="BX16" i="95" s="1"/>
  <c r="CT15" i="95"/>
  <c r="BX15" i="95" s="1"/>
  <c r="CT14" i="95"/>
  <c r="BX14" i="95" s="1"/>
  <c r="CT13" i="95"/>
  <c r="BX13" i="95" s="1"/>
  <c r="CT12" i="95"/>
  <c r="BX12" i="95" s="1"/>
  <c r="CT11" i="95"/>
  <c r="BX11" i="95" s="1"/>
  <c r="CT10" i="95"/>
  <c r="BX10" i="95" s="1"/>
  <c r="CT9" i="95"/>
  <c r="BX9" i="95" s="1"/>
  <c r="CT8" i="95"/>
  <c r="BX8" i="95" s="1"/>
  <c r="CT7" i="95"/>
  <c r="BX7" i="95" s="1"/>
  <c r="CT6" i="95"/>
  <c r="BX6" i="95" s="1"/>
  <c r="ER1" i="95"/>
  <c r="CV2" i="95"/>
  <c r="CU1" i="95"/>
  <c r="EQ24" i="95"/>
  <c r="EQ23" i="95"/>
  <c r="EQ22" i="95"/>
  <c r="EQ21" i="95"/>
  <c r="EQ20" i="95"/>
  <c r="EQ19" i="95"/>
  <c r="EQ18" i="95"/>
  <c r="EQ17" i="95"/>
  <c r="EQ16" i="95"/>
  <c r="EQ15" i="95"/>
  <c r="EQ14" i="95"/>
  <c r="EQ13" i="95"/>
  <c r="EQ12" i="95"/>
  <c r="EQ11" i="95"/>
  <c r="EQ9" i="95"/>
  <c r="EQ8" i="95"/>
  <c r="EQ7" i="95"/>
  <c r="EQ6" i="95"/>
  <c r="DQ24" i="95"/>
  <c r="DQ23" i="95"/>
  <c r="DQ22" i="95"/>
  <c r="DQ21" i="95"/>
  <c r="DQ20" i="95"/>
  <c r="DQ19" i="95"/>
  <c r="DQ18" i="95"/>
  <c r="DQ17" i="95"/>
  <c r="DQ16" i="95"/>
  <c r="DQ15" i="95"/>
  <c r="DQ14" i="95"/>
  <c r="DQ13" i="95"/>
  <c r="DQ12" i="95"/>
  <c r="DQ11" i="95"/>
  <c r="DQ10" i="95"/>
  <c r="DQ9" i="95"/>
  <c r="DQ8" i="95"/>
  <c r="DQ7" i="95"/>
  <c r="DQ6" i="95"/>
  <c r="DS2" i="95"/>
  <c r="DR1" i="95"/>
  <c r="CR24" i="97"/>
  <c r="CR23" i="97"/>
  <c r="CR22" i="97"/>
  <c r="CR21" i="97"/>
  <c r="CR20" i="97"/>
  <c r="CR19" i="97"/>
  <c r="CR18" i="97"/>
  <c r="CR17" i="97"/>
  <c r="CR16" i="97"/>
  <c r="CR15" i="97"/>
  <c r="CR14" i="97"/>
  <c r="CR13" i="97"/>
  <c r="CR12" i="97"/>
  <c r="CR11" i="97"/>
  <c r="CR10" i="97"/>
  <c r="CR9" i="97"/>
  <c r="CR8" i="97"/>
  <c r="CR7" i="97"/>
  <c r="CR6" i="97"/>
  <c r="EP1" i="97"/>
  <c r="CT2" i="97"/>
  <c r="CS1" i="97"/>
  <c r="EO24" i="97"/>
  <c r="EO23" i="97"/>
  <c r="EO22" i="97"/>
  <c r="EO21" i="97"/>
  <c r="EO20" i="97"/>
  <c r="EO19" i="97"/>
  <c r="EO18" i="97"/>
  <c r="EO17" i="97"/>
  <c r="EO16" i="97"/>
  <c r="EO15" i="97"/>
  <c r="EO14" i="97"/>
  <c r="EO13" i="97"/>
  <c r="EO11" i="97"/>
  <c r="EO9" i="97"/>
  <c r="EO8" i="97"/>
  <c r="EO7" i="97"/>
  <c r="EO6" i="97"/>
  <c r="DO24" i="97"/>
  <c r="DO23" i="97"/>
  <c r="DO22" i="97"/>
  <c r="DO21" i="97"/>
  <c r="DO20" i="97"/>
  <c r="DO19" i="97"/>
  <c r="DO18" i="97"/>
  <c r="DO17" i="97"/>
  <c r="DO16" i="97"/>
  <c r="DO15" i="97"/>
  <c r="DO14" i="97"/>
  <c r="DO13" i="97"/>
  <c r="DO12" i="97"/>
  <c r="DO11" i="97"/>
  <c r="DO10" i="97"/>
  <c r="DO9" i="97"/>
  <c r="DO8" i="97"/>
  <c r="DO7" i="97"/>
  <c r="DO6" i="97"/>
  <c r="DQ2" i="97"/>
  <c r="DP1" i="97"/>
  <c r="DT1" i="94"/>
  <c r="DU2" i="94"/>
  <c r="DS24" i="94"/>
  <c r="DS23" i="94"/>
  <c r="DS19" i="94"/>
  <c r="DS21" i="94"/>
  <c r="DS20" i="94"/>
  <c r="DS16" i="94"/>
  <c r="DS10" i="94"/>
  <c r="DS9" i="94"/>
  <c r="DS8" i="94"/>
  <c r="DS15" i="94"/>
  <c r="DS12" i="94"/>
  <c r="DS18" i="94"/>
  <c r="DS17" i="94"/>
  <c r="DS6" i="94"/>
  <c r="DS7" i="94"/>
  <c r="DS22" i="94"/>
  <c r="DS14" i="94"/>
  <c r="DS13" i="94"/>
  <c r="DS11" i="94"/>
  <c r="CX2" i="94"/>
  <c r="CW1" i="94"/>
  <c r="CV21" i="94"/>
  <c r="CV20" i="94"/>
  <c r="CV19" i="94"/>
  <c r="CV18" i="94"/>
  <c r="CV16" i="94"/>
  <c r="CV13" i="94"/>
  <c r="CV23" i="94"/>
  <c r="CV14" i="94"/>
  <c r="CV6" i="94"/>
  <c r="CV24" i="94"/>
  <c r="CV22" i="94"/>
  <c r="CV15" i="94"/>
  <c r="CV12" i="94"/>
  <c r="CV9" i="94"/>
  <c r="CV17" i="94"/>
  <c r="CV8" i="94"/>
  <c r="ET1" i="94"/>
  <c r="CV11" i="94"/>
  <c r="CV10" i="94"/>
  <c r="CV7" i="94"/>
  <c r="Y3" i="94"/>
  <c r="ES23" i="94"/>
  <c r="ES24" i="94"/>
  <c r="ES22" i="94"/>
  <c r="ES15" i="94"/>
  <c r="ES14" i="94"/>
  <c r="ES21" i="94"/>
  <c r="ES7" i="94"/>
  <c r="ES16" i="94"/>
  <c r="ES19" i="94"/>
  <c r="ES18" i="94"/>
  <c r="ES17" i="94"/>
  <c r="ES20" i="94"/>
  <c r="ES11" i="94"/>
  <c r="ES9" i="94"/>
  <c r="ES13" i="94"/>
  <c r="ES12" i="94"/>
  <c r="ES8" i="94"/>
  <c r="ES6" i="94"/>
  <c r="BY27" i="94"/>
  <c r="CX1" i="93"/>
  <c r="CY2" i="93"/>
  <c r="ET19" i="93"/>
  <c r="CH19" i="93" s="1"/>
  <c r="Y19" i="93" s="1"/>
  <c r="Z19" i="93" s="1"/>
  <c r="ET14" i="93"/>
  <c r="CH14" i="93" s="1"/>
  <c r="Y14" i="93" s="1"/>
  <c r="Z14" i="93" s="1"/>
  <c r="ET24" i="93"/>
  <c r="CH24" i="93" s="1"/>
  <c r="Y24" i="93" s="1"/>
  <c r="Z24" i="93" s="1"/>
  <c r="ET8" i="93"/>
  <c r="CH8" i="93" s="1"/>
  <c r="Y8" i="93" s="1"/>
  <c r="Z8" i="93" s="1"/>
  <c r="ET21" i="93"/>
  <c r="CH21" i="93" s="1"/>
  <c r="Y21" i="93" s="1"/>
  <c r="Z21" i="93" s="1"/>
  <c r="ET17" i="93"/>
  <c r="CH17" i="93" s="1"/>
  <c r="Y17" i="93" s="1"/>
  <c r="Z17" i="93" s="1"/>
  <c r="ET22" i="93"/>
  <c r="CH22" i="93" s="1"/>
  <c r="Y22" i="93" s="1"/>
  <c r="Z22" i="93" s="1"/>
  <c r="ET23" i="93"/>
  <c r="CH23" i="93" s="1"/>
  <c r="Y23" i="93" s="1"/>
  <c r="Z23" i="93" s="1"/>
  <c r="ET18" i="93"/>
  <c r="CH18" i="93" s="1"/>
  <c r="Y18" i="93" s="1"/>
  <c r="Z18" i="93" s="1"/>
  <c r="ET11" i="93"/>
  <c r="CH11" i="93" s="1"/>
  <c r="Y11" i="93" s="1"/>
  <c r="Z11" i="93" s="1"/>
  <c r="ET12" i="93"/>
  <c r="CH12" i="93" s="1"/>
  <c r="Y12" i="93" s="1"/>
  <c r="Z12" i="93" s="1"/>
  <c r="ET16" i="93"/>
  <c r="CH16" i="93" s="1"/>
  <c r="Y16" i="93" s="1"/>
  <c r="Z16" i="93" s="1"/>
  <c r="ET7" i="93"/>
  <c r="CH7" i="93" s="1"/>
  <c r="Y7" i="93" s="1"/>
  <c r="Z7" i="93" s="1"/>
  <c r="ET20" i="93"/>
  <c r="CH20" i="93" s="1"/>
  <c r="Y20" i="93" s="1"/>
  <c r="Z20" i="93" s="1"/>
  <c r="ET15" i="93"/>
  <c r="CH15" i="93" s="1"/>
  <c r="Y15" i="93" s="1"/>
  <c r="Z15" i="93" s="1"/>
  <c r="ET13" i="93"/>
  <c r="CH13" i="93" s="1"/>
  <c r="Y13" i="93" s="1"/>
  <c r="Z13" i="93" s="1"/>
  <c r="ET9" i="93"/>
  <c r="CH9" i="93" s="1"/>
  <c r="Y9" i="93" s="1"/>
  <c r="Z9" i="93" s="1"/>
  <c r="ET6" i="93"/>
  <c r="CH6" i="93" s="1"/>
  <c r="Y6" i="93" s="1"/>
  <c r="Z6" i="93" s="1"/>
  <c r="DU1" i="93"/>
  <c r="DV2" i="93"/>
  <c r="CW20" i="93"/>
  <c r="CW17" i="93"/>
  <c r="CW11" i="93"/>
  <c r="CW13" i="93"/>
  <c r="CW12" i="93"/>
  <c r="CW23" i="93"/>
  <c r="CW18" i="93"/>
  <c r="CW14" i="93"/>
  <c r="CW9" i="93"/>
  <c r="CW24" i="93"/>
  <c r="CW19" i="93"/>
  <c r="CW15" i="93"/>
  <c r="CW10" i="93"/>
  <c r="CW8" i="93"/>
  <c r="CW6" i="93"/>
  <c r="CW21" i="93"/>
  <c r="CW22" i="93"/>
  <c r="CW16" i="93"/>
  <c r="CW7" i="93"/>
  <c r="EU1" i="93"/>
  <c r="DT24" i="93"/>
  <c r="CC24" i="93" s="1"/>
  <c r="DT20" i="93"/>
  <c r="CC20" i="93" s="1"/>
  <c r="DT14" i="93"/>
  <c r="CC14" i="93" s="1"/>
  <c r="DT11" i="93"/>
  <c r="CC11" i="93" s="1"/>
  <c r="DT7" i="93"/>
  <c r="CC7" i="93" s="1"/>
  <c r="DT22" i="93"/>
  <c r="CC22" i="93" s="1"/>
  <c r="DT18" i="93"/>
  <c r="CC18" i="93" s="1"/>
  <c r="DT13" i="93"/>
  <c r="CC13" i="93" s="1"/>
  <c r="DT9" i="93"/>
  <c r="CC9" i="93" s="1"/>
  <c r="DT6" i="93"/>
  <c r="CC6" i="93" s="1"/>
  <c r="DT23" i="93"/>
  <c r="CC23" i="93" s="1"/>
  <c r="DT17" i="93"/>
  <c r="CC17" i="93" s="1"/>
  <c r="DT16" i="93"/>
  <c r="CC16" i="93" s="1"/>
  <c r="DT10" i="93"/>
  <c r="CC10" i="93" s="1"/>
  <c r="DT12" i="93"/>
  <c r="CC12" i="93" s="1"/>
  <c r="DT21" i="93"/>
  <c r="CC21" i="93" s="1"/>
  <c r="DT15" i="93"/>
  <c r="CC15" i="93" s="1"/>
  <c r="DT19" i="93"/>
  <c r="CC19" i="93" s="1"/>
  <c r="DT8" i="93"/>
  <c r="CC8" i="93" s="1"/>
  <c r="EX94" i="9"/>
  <c r="EW95" i="9"/>
  <c r="IV93" i="9"/>
  <c r="GH92" i="9"/>
  <c r="GG93" i="9"/>
  <c r="A127" i="9"/>
  <c r="C128" i="9"/>
  <c r="C129" i="9" s="1"/>
  <c r="HQ126" i="9"/>
  <c r="HC126" i="9"/>
  <c r="E126" i="9"/>
  <c r="HL126" i="9"/>
  <c r="HF126" i="9"/>
  <c r="GA126" i="9"/>
  <c r="HI126" i="9"/>
  <c r="EU129" i="9" l="1"/>
  <c r="EU130" i="9" s="1"/>
  <c r="EU131" i="9" s="1"/>
  <c r="DN24" i="100"/>
  <c r="DN23" i="100"/>
  <c r="DN22" i="100"/>
  <c r="DN21" i="100"/>
  <c r="DN20" i="100"/>
  <c r="DN19" i="100"/>
  <c r="DN18" i="100"/>
  <c r="DN17" i="100"/>
  <c r="DN16" i="100"/>
  <c r="DN15" i="100"/>
  <c r="DN14" i="100"/>
  <c r="DN13" i="100"/>
  <c r="DN12" i="100"/>
  <c r="DN11" i="100"/>
  <c r="DN10" i="100"/>
  <c r="DN9" i="100"/>
  <c r="DN8" i="100"/>
  <c r="DN7" i="100"/>
  <c r="DN6" i="100"/>
  <c r="DP2" i="100"/>
  <c r="DO1" i="100"/>
  <c r="CQ24" i="100"/>
  <c r="CQ23" i="100"/>
  <c r="CQ22" i="100"/>
  <c r="CQ21" i="100"/>
  <c r="CQ20" i="100"/>
  <c r="CQ19" i="100"/>
  <c r="CQ18" i="100"/>
  <c r="CQ17" i="100"/>
  <c r="CQ16" i="100"/>
  <c r="CQ15" i="100"/>
  <c r="CQ14" i="100"/>
  <c r="CQ13" i="100"/>
  <c r="CQ12" i="100"/>
  <c r="CQ11" i="100"/>
  <c r="CQ10" i="100"/>
  <c r="CQ9" i="100"/>
  <c r="CQ8" i="100"/>
  <c r="CQ7" i="100"/>
  <c r="CQ6" i="100"/>
  <c r="EO1" i="100"/>
  <c r="CS2" i="100"/>
  <c r="CR1" i="100"/>
  <c r="EN24" i="100"/>
  <c r="EN23" i="100"/>
  <c r="EN22" i="100"/>
  <c r="EN21" i="100"/>
  <c r="EN20" i="100"/>
  <c r="EN19" i="100"/>
  <c r="EN18" i="100"/>
  <c r="EN17" i="100"/>
  <c r="EN16" i="100"/>
  <c r="EN15" i="100"/>
  <c r="EN14" i="100"/>
  <c r="EN13" i="100"/>
  <c r="EN12" i="100"/>
  <c r="EN11" i="100"/>
  <c r="EN9" i="100"/>
  <c r="EN8" i="100"/>
  <c r="EN7" i="100"/>
  <c r="EN6" i="100"/>
  <c r="CR24" i="98"/>
  <c r="CR23" i="98"/>
  <c r="CR22" i="98"/>
  <c r="CR21" i="98"/>
  <c r="CR20" i="98"/>
  <c r="CR19" i="98"/>
  <c r="CR18" i="98"/>
  <c r="CR17" i="98"/>
  <c r="CR16" i="98"/>
  <c r="CR15" i="98"/>
  <c r="CR14" i="98"/>
  <c r="CR13" i="98"/>
  <c r="CR12" i="98"/>
  <c r="CR11" i="98"/>
  <c r="CR10" i="98"/>
  <c r="CR9" i="98"/>
  <c r="CR8" i="98"/>
  <c r="CR7" i="98"/>
  <c r="CR6" i="98"/>
  <c r="EP1" i="98"/>
  <c r="CT2" i="98"/>
  <c r="CS1" i="98"/>
  <c r="EO24" i="98"/>
  <c r="EO23" i="98"/>
  <c r="EO22" i="98"/>
  <c r="EO21" i="98"/>
  <c r="EO20" i="98"/>
  <c r="EO19" i="98"/>
  <c r="EO18" i="98"/>
  <c r="EO17" i="98"/>
  <c r="EO16" i="98"/>
  <c r="EO15" i="98"/>
  <c r="EO14" i="98"/>
  <c r="EO13" i="98"/>
  <c r="EO12" i="98"/>
  <c r="EO11" i="98"/>
  <c r="EO9" i="98"/>
  <c r="EO8" i="98"/>
  <c r="EO7" i="98"/>
  <c r="EO6" i="98"/>
  <c r="DO24" i="98"/>
  <c r="DO23" i="98"/>
  <c r="DO22" i="98"/>
  <c r="DO21" i="98"/>
  <c r="DO20" i="98"/>
  <c r="DO19" i="98"/>
  <c r="DO18" i="98"/>
  <c r="DO17" i="98"/>
  <c r="DO16" i="98"/>
  <c r="DO15" i="98"/>
  <c r="DO14" i="98"/>
  <c r="DO13" i="98"/>
  <c r="DO12" i="98"/>
  <c r="DO11" i="98"/>
  <c r="DO10" i="98"/>
  <c r="DO9" i="98"/>
  <c r="DO8" i="98"/>
  <c r="DO7" i="98"/>
  <c r="DO6" i="98"/>
  <c r="DQ2" i="98"/>
  <c r="DP1" i="98"/>
  <c r="DP24" i="97"/>
  <c r="DP23" i="97"/>
  <c r="DP22" i="97"/>
  <c r="DP21" i="97"/>
  <c r="DP20" i="97"/>
  <c r="DP19" i="97"/>
  <c r="DP18" i="97"/>
  <c r="DP17" i="97"/>
  <c r="DP16" i="97"/>
  <c r="DP15" i="97"/>
  <c r="DP14" i="97"/>
  <c r="DP13" i="97"/>
  <c r="DP12" i="97"/>
  <c r="DP11" i="97"/>
  <c r="DP10" i="97"/>
  <c r="DP9" i="97"/>
  <c r="DP8" i="97"/>
  <c r="DP7" i="97"/>
  <c r="DP6" i="97"/>
  <c r="DR2" i="97"/>
  <c r="DQ1" i="97"/>
  <c r="CS24" i="97"/>
  <c r="CS23" i="97"/>
  <c r="CS22" i="97"/>
  <c r="CS21" i="97"/>
  <c r="CS20" i="97"/>
  <c r="CS19" i="97"/>
  <c r="CS18" i="97"/>
  <c r="CS17" i="97"/>
  <c r="CS16" i="97"/>
  <c r="CS15" i="97"/>
  <c r="CS14" i="97"/>
  <c r="CS13" i="97"/>
  <c r="CS12" i="97"/>
  <c r="CS11" i="97"/>
  <c r="CS10" i="97"/>
  <c r="CS9" i="97"/>
  <c r="CS8" i="97"/>
  <c r="CS7" i="97"/>
  <c r="CS6" i="97"/>
  <c r="EQ1" i="97"/>
  <c r="CU2" i="97"/>
  <c r="CT1" i="97"/>
  <c r="EP24" i="97"/>
  <c r="EP23" i="97"/>
  <c r="EP22" i="97"/>
  <c r="EP21" i="97"/>
  <c r="EP20" i="97"/>
  <c r="EP19" i="97"/>
  <c r="EP18" i="97"/>
  <c r="EP17" i="97"/>
  <c r="EP16" i="97"/>
  <c r="EP15" i="97"/>
  <c r="EP14" i="97"/>
  <c r="EP13" i="97"/>
  <c r="EP12" i="97"/>
  <c r="EP11" i="97"/>
  <c r="EP9" i="97"/>
  <c r="EP8" i="97"/>
  <c r="EP7" i="97"/>
  <c r="EP6" i="97"/>
  <c r="DR24" i="95"/>
  <c r="DR23" i="95"/>
  <c r="DR22" i="95"/>
  <c r="DR21" i="95"/>
  <c r="DR20" i="95"/>
  <c r="DR19" i="95"/>
  <c r="DR18" i="95"/>
  <c r="DR17" i="95"/>
  <c r="DR16" i="95"/>
  <c r="DR15" i="95"/>
  <c r="DR14" i="95"/>
  <c r="DR13" i="95"/>
  <c r="DR12" i="95"/>
  <c r="DR11" i="95"/>
  <c r="DR10" i="95"/>
  <c r="DR9" i="95"/>
  <c r="DR8" i="95"/>
  <c r="DR7" i="95"/>
  <c r="DR6" i="95"/>
  <c r="DT2" i="95"/>
  <c r="DS1" i="95"/>
  <c r="BX27" i="95"/>
  <c r="CU24" i="95"/>
  <c r="CU23" i="95"/>
  <c r="CU22" i="95"/>
  <c r="CU21" i="95"/>
  <c r="CU20" i="95"/>
  <c r="CU19" i="95"/>
  <c r="CU18" i="95"/>
  <c r="CU17" i="95"/>
  <c r="CU16" i="95"/>
  <c r="CU15" i="95"/>
  <c r="CU14" i="95"/>
  <c r="CU13" i="95"/>
  <c r="CU12" i="95"/>
  <c r="CU11" i="95"/>
  <c r="CU10" i="95"/>
  <c r="CU9" i="95"/>
  <c r="CU8" i="95"/>
  <c r="CU7" i="95"/>
  <c r="CU6" i="95"/>
  <c r="ES1" i="95"/>
  <c r="Y3" i="95"/>
  <c r="CW2" i="95"/>
  <c r="CV1" i="95"/>
  <c r="ER24" i="95"/>
  <c r="ER23" i="95"/>
  <c r="ER22" i="95"/>
  <c r="ER21" i="95"/>
  <c r="ER20" i="95"/>
  <c r="ER19" i="95"/>
  <c r="ER18" i="95"/>
  <c r="ER17" i="95"/>
  <c r="ER16" i="95"/>
  <c r="ER15" i="95"/>
  <c r="ER14" i="95"/>
  <c r="ER13" i="95"/>
  <c r="ER12" i="95"/>
  <c r="ER11" i="95"/>
  <c r="ER9" i="95"/>
  <c r="ER8" i="95"/>
  <c r="ER7" i="95"/>
  <c r="ER6" i="95"/>
  <c r="CT24" i="96"/>
  <c r="BX24" i="96" s="1"/>
  <c r="CT23" i="96"/>
  <c r="BX23" i="96" s="1"/>
  <c r="CT22" i="96"/>
  <c r="BX22" i="96" s="1"/>
  <c r="CT21" i="96"/>
  <c r="BX21" i="96" s="1"/>
  <c r="CT20" i="96"/>
  <c r="BX20" i="96" s="1"/>
  <c r="CT19" i="96"/>
  <c r="BX19" i="96" s="1"/>
  <c r="CT18" i="96"/>
  <c r="BX18" i="96" s="1"/>
  <c r="CT17" i="96"/>
  <c r="BX17" i="96" s="1"/>
  <c r="CT16" i="96"/>
  <c r="BX16" i="96" s="1"/>
  <c r="CT15" i="96"/>
  <c r="BX15" i="96" s="1"/>
  <c r="CT14" i="96"/>
  <c r="BX14" i="96" s="1"/>
  <c r="CT13" i="96"/>
  <c r="BX13" i="96" s="1"/>
  <c r="CT12" i="96"/>
  <c r="BX12" i="96" s="1"/>
  <c r="CT11" i="96"/>
  <c r="BX11" i="96" s="1"/>
  <c r="CT10" i="96"/>
  <c r="BX10" i="96" s="1"/>
  <c r="CT9" i="96"/>
  <c r="BX9" i="96" s="1"/>
  <c r="CT8" i="96"/>
  <c r="BX8" i="96" s="1"/>
  <c r="CT7" i="96"/>
  <c r="BX7" i="96" s="1"/>
  <c r="CT6" i="96"/>
  <c r="BX6" i="96" s="1"/>
  <c r="ER1" i="96"/>
  <c r="CV2" i="96"/>
  <c r="CU1" i="96"/>
  <c r="EQ24" i="96"/>
  <c r="EQ23" i="96"/>
  <c r="EQ22" i="96"/>
  <c r="EQ21" i="96"/>
  <c r="EQ20" i="96"/>
  <c r="EQ19" i="96"/>
  <c r="EQ18" i="96"/>
  <c r="EQ17" i="96"/>
  <c r="EQ16" i="96"/>
  <c r="EQ15" i="96"/>
  <c r="EQ14" i="96"/>
  <c r="EQ13" i="96"/>
  <c r="EQ12" i="96"/>
  <c r="EQ11" i="96"/>
  <c r="EQ9" i="96"/>
  <c r="EQ8" i="96"/>
  <c r="EQ7" i="96"/>
  <c r="EQ6" i="96"/>
  <c r="DQ24" i="96"/>
  <c r="DQ23" i="96"/>
  <c r="DQ22" i="96"/>
  <c r="DQ21" i="96"/>
  <c r="DQ20" i="96"/>
  <c r="DQ19" i="96"/>
  <c r="DQ18" i="96"/>
  <c r="DQ17" i="96"/>
  <c r="DQ16" i="96"/>
  <c r="DQ15" i="96"/>
  <c r="DQ14" i="96"/>
  <c r="DQ13" i="96"/>
  <c r="DQ12" i="96"/>
  <c r="DQ11" i="96"/>
  <c r="DQ10" i="96"/>
  <c r="DQ9" i="96"/>
  <c r="DQ8" i="96"/>
  <c r="DQ7" i="96"/>
  <c r="DQ6" i="96"/>
  <c r="DS2" i="96"/>
  <c r="DR1" i="96"/>
  <c r="ET22" i="94"/>
  <c r="CH22" i="94" s="1"/>
  <c r="Y22" i="94" s="1"/>
  <c r="Z22" i="94" s="1"/>
  <c r="ET21" i="94"/>
  <c r="CH21" i="94" s="1"/>
  <c r="Y21" i="94" s="1"/>
  <c r="Z21" i="94" s="1"/>
  <c r="ET24" i="94"/>
  <c r="CH24" i="94" s="1"/>
  <c r="Y24" i="94" s="1"/>
  <c r="Z24" i="94" s="1"/>
  <c r="ET23" i="94"/>
  <c r="CH23" i="94" s="1"/>
  <c r="Y23" i="94" s="1"/>
  <c r="Z23" i="94" s="1"/>
  <c r="ET20" i="94"/>
  <c r="CH20" i="94" s="1"/>
  <c r="Y20" i="94" s="1"/>
  <c r="Z20" i="94" s="1"/>
  <c r="ET19" i="94"/>
  <c r="CH19" i="94" s="1"/>
  <c r="Y19" i="94" s="1"/>
  <c r="Z19" i="94" s="1"/>
  <c r="ET18" i="94"/>
  <c r="CH18" i="94" s="1"/>
  <c r="Y18" i="94" s="1"/>
  <c r="Z18" i="94" s="1"/>
  <c r="ET16" i="94"/>
  <c r="CH16" i="94" s="1"/>
  <c r="Y16" i="94" s="1"/>
  <c r="Z16" i="94" s="1"/>
  <c r="ET13" i="94"/>
  <c r="CH13" i="94" s="1"/>
  <c r="Y13" i="94" s="1"/>
  <c r="Z13" i="94" s="1"/>
  <c r="ET14" i="94"/>
  <c r="CH14" i="94" s="1"/>
  <c r="Y14" i="94" s="1"/>
  <c r="Z14" i="94" s="1"/>
  <c r="ET6" i="94"/>
  <c r="CH6" i="94" s="1"/>
  <c r="Y6" i="94" s="1"/>
  <c r="Z6" i="94" s="1"/>
  <c r="ET11" i="94"/>
  <c r="CH11" i="94" s="1"/>
  <c r="Y11" i="94" s="1"/>
  <c r="Z11" i="94" s="1"/>
  <c r="ET9" i="94"/>
  <c r="CH9" i="94" s="1"/>
  <c r="Y9" i="94" s="1"/>
  <c r="Z9" i="94" s="1"/>
  <c r="ET12" i="94"/>
  <c r="CH12" i="94" s="1"/>
  <c r="Y12" i="94" s="1"/>
  <c r="Z12" i="94" s="1"/>
  <c r="ET8" i="94"/>
  <c r="CH8" i="94" s="1"/>
  <c r="Y8" i="94" s="1"/>
  <c r="Z8" i="94" s="1"/>
  <c r="ET15" i="94"/>
  <c r="CH15" i="94" s="1"/>
  <c r="Y15" i="94" s="1"/>
  <c r="Z15" i="94" s="1"/>
  <c r="ET17" i="94"/>
  <c r="CH17" i="94" s="1"/>
  <c r="Y17" i="94" s="1"/>
  <c r="Z17" i="94" s="1"/>
  <c r="ET7" i="94"/>
  <c r="CH7" i="94" s="1"/>
  <c r="Y7" i="94" s="1"/>
  <c r="Z7" i="94" s="1"/>
  <c r="CW23" i="94"/>
  <c r="CW20" i="94"/>
  <c r="CW21" i="94"/>
  <c r="CW17" i="94"/>
  <c r="CW12" i="94"/>
  <c r="CW24" i="94"/>
  <c r="CW22" i="94"/>
  <c r="CW19" i="94"/>
  <c r="CW16" i="94"/>
  <c r="CW11" i="94"/>
  <c r="EU1" i="94"/>
  <c r="CW15" i="94"/>
  <c r="CW8" i="94"/>
  <c r="CW18" i="94"/>
  <c r="CW13" i="94"/>
  <c r="CW6" i="94"/>
  <c r="CW10" i="94"/>
  <c r="CW7" i="94"/>
  <c r="CW14" i="94"/>
  <c r="CW9" i="94"/>
  <c r="CX1" i="94"/>
  <c r="CY2" i="94"/>
  <c r="DU1" i="94"/>
  <c r="DV2" i="94"/>
  <c r="DT23" i="94"/>
  <c r="CC23" i="94" s="1"/>
  <c r="DT15" i="94"/>
  <c r="CC15" i="94" s="1"/>
  <c r="DT14" i="94"/>
  <c r="CC14" i="94" s="1"/>
  <c r="DT20" i="94"/>
  <c r="CC20" i="94" s="1"/>
  <c r="DT19" i="94"/>
  <c r="CC19" i="94" s="1"/>
  <c r="DT7" i="94"/>
  <c r="CC7" i="94" s="1"/>
  <c r="DT22" i="94"/>
  <c r="CC22" i="94" s="1"/>
  <c r="DT18" i="94"/>
  <c r="CC18" i="94" s="1"/>
  <c r="DT17" i="94"/>
  <c r="CC17" i="94" s="1"/>
  <c r="DT13" i="94"/>
  <c r="CC13" i="94" s="1"/>
  <c r="DT21" i="94"/>
  <c r="CC21" i="94" s="1"/>
  <c r="DT8" i="94"/>
  <c r="CC8" i="94" s="1"/>
  <c r="DT6" i="94"/>
  <c r="CC6" i="94" s="1"/>
  <c r="DT24" i="94"/>
  <c r="CC24" i="94" s="1"/>
  <c r="DT16" i="94"/>
  <c r="CC16" i="94" s="1"/>
  <c r="DT11" i="94"/>
  <c r="CC11" i="94" s="1"/>
  <c r="DT10" i="94"/>
  <c r="CC10" i="94" s="1"/>
  <c r="DT12" i="94"/>
  <c r="CC12" i="94" s="1"/>
  <c r="DT9" i="94"/>
  <c r="CC9" i="94" s="1"/>
  <c r="EU21" i="93"/>
  <c r="EU17" i="93"/>
  <c r="EU16" i="93"/>
  <c r="EU9" i="93"/>
  <c r="EU6" i="93"/>
  <c r="EU18" i="93"/>
  <c r="EU15" i="93"/>
  <c r="EU12" i="93"/>
  <c r="EU20" i="93"/>
  <c r="EU19" i="93"/>
  <c r="EU13" i="93"/>
  <c r="EU8" i="93"/>
  <c r="EU24" i="93"/>
  <c r="EU11" i="93"/>
  <c r="EU23" i="93"/>
  <c r="EU22" i="93"/>
  <c r="EU14" i="93"/>
  <c r="EU7" i="93"/>
  <c r="DW2" i="93"/>
  <c r="DV1" i="93"/>
  <c r="CX20" i="93"/>
  <c r="CX23" i="93"/>
  <c r="CX16" i="93"/>
  <c r="CX10" i="93"/>
  <c r="EV1" i="93"/>
  <c r="CX15" i="93"/>
  <c r="CX12" i="93"/>
  <c r="CX22" i="93"/>
  <c r="CX14" i="93"/>
  <c r="CX8" i="93"/>
  <c r="CX24" i="93"/>
  <c r="CX18" i="93"/>
  <c r="CX13" i="93"/>
  <c r="CX9" i="93"/>
  <c r="CX6" i="93"/>
  <c r="CX19" i="93"/>
  <c r="CX21" i="93"/>
  <c r="CX7" i="93"/>
  <c r="CX17" i="93"/>
  <c r="CX11" i="93"/>
  <c r="DU23" i="93"/>
  <c r="DU14" i="93"/>
  <c r="DU19" i="93"/>
  <c r="DU8" i="93"/>
  <c r="DU18" i="93"/>
  <c r="DU10" i="93"/>
  <c r="DU9" i="93"/>
  <c r="DU22" i="93"/>
  <c r="DU17" i="93"/>
  <c r="DU16" i="93"/>
  <c r="DU11" i="93"/>
  <c r="DU12" i="93"/>
  <c r="DU21" i="93"/>
  <c r="DU13" i="93"/>
  <c r="DU7" i="93"/>
  <c r="DU24" i="93"/>
  <c r="DU15" i="93"/>
  <c r="DU20" i="93"/>
  <c r="DU6" i="93"/>
  <c r="CY1" i="93"/>
  <c r="CZ2" i="93"/>
  <c r="CC27" i="93"/>
  <c r="EX95" i="9"/>
  <c r="EW96" i="9"/>
  <c r="GJ95" i="9"/>
  <c r="GN95" i="9" s="1"/>
  <c r="IV94" i="9"/>
  <c r="IU95" i="9"/>
  <c r="GH93" i="9"/>
  <c r="A128" i="9"/>
  <c r="HQ127" i="9"/>
  <c r="GA127" i="9"/>
  <c r="HF127" i="9"/>
  <c r="E127" i="9"/>
  <c r="HI127" i="9"/>
  <c r="HC127" i="9"/>
  <c r="HL127" i="9"/>
  <c r="EU132" i="9" l="1"/>
  <c r="EU133" i="9" s="1"/>
  <c r="C130" i="9"/>
  <c r="A129" i="9"/>
  <c r="HF129" i="9" s="1"/>
  <c r="DP24" i="98"/>
  <c r="DP23" i="98"/>
  <c r="DP22" i="98"/>
  <c r="DP21" i="98"/>
  <c r="DP20" i="98"/>
  <c r="DP19" i="98"/>
  <c r="DP18" i="98"/>
  <c r="DP17" i="98"/>
  <c r="DP16" i="98"/>
  <c r="DP15" i="98"/>
  <c r="DP14" i="98"/>
  <c r="DP13" i="98"/>
  <c r="DP12" i="98"/>
  <c r="DP11" i="98"/>
  <c r="DP10" i="98"/>
  <c r="DP9" i="98"/>
  <c r="DP8" i="98"/>
  <c r="DP7" i="98"/>
  <c r="DP6" i="98"/>
  <c r="DR2" i="98"/>
  <c r="DQ1" i="98"/>
  <c r="CS24" i="98"/>
  <c r="CS23" i="98"/>
  <c r="CS22" i="98"/>
  <c r="CS21" i="98"/>
  <c r="CS20" i="98"/>
  <c r="CS19" i="98"/>
  <c r="CS18" i="98"/>
  <c r="CS17" i="98"/>
  <c r="CS16" i="98"/>
  <c r="CS15" i="98"/>
  <c r="CS14" i="98"/>
  <c r="CS13" i="98"/>
  <c r="CS12" i="98"/>
  <c r="CS11" i="98"/>
  <c r="CS10" i="98"/>
  <c r="CS9" i="98"/>
  <c r="CS8" i="98"/>
  <c r="CS7" i="98"/>
  <c r="CS6" i="98"/>
  <c r="EQ1" i="98"/>
  <c r="CU2" i="98"/>
  <c r="CT1" i="98"/>
  <c r="EP24" i="98"/>
  <c r="EP23" i="98"/>
  <c r="EP22" i="98"/>
  <c r="EP21" i="98"/>
  <c r="EP20" i="98"/>
  <c r="EP19" i="98"/>
  <c r="EP18" i="98"/>
  <c r="EP17" i="98"/>
  <c r="EP16" i="98"/>
  <c r="EP15" i="98"/>
  <c r="EP14" i="98"/>
  <c r="EP13" i="98"/>
  <c r="EP11" i="98"/>
  <c r="EP9" i="98"/>
  <c r="EP8" i="98"/>
  <c r="EP7" i="98"/>
  <c r="EP6" i="98"/>
  <c r="CR24" i="100"/>
  <c r="CR23" i="100"/>
  <c r="CR22" i="100"/>
  <c r="CR21" i="100"/>
  <c r="CR20" i="100"/>
  <c r="CR19" i="100"/>
  <c r="CR18" i="100"/>
  <c r="CR17" i="100"/>
  <c r="CR16" i="100"/>
  <c r="CR15" i="100"/>
  <c r="CR14" i="100"/>
  <c r="CR13" i="100"/>
  <c r="CR12" i="100"/>
  <c r="CR11" i="100"/>
  <c r="CR10" i="100"/>
  <c r="CR9" i="100"/>
  <c r="CR8" i="100"/>
  <c r="CR7" i="100"/>
  <c r="CR6" i="100"/>
  <c r="EP1" i="100"/>
  <c r="CT2" i="100"/>
  <c r="CS1" i="100"/>
  <c r="EO24" i="100"/>
  <c r="EO23" i="100"/>
  <c r="EO22" i="100"/>
  <c r="EO21" i="100"/>
  <c r="EO20" i="100"/>
  <c r="EO19" i="100"/>
  <c r="EO18" i="100"/>
  <c r="EO17" i="100"/>
  <c r="EO16" i="100"/>
  <c r="EO15" i="100"/>
  <c r="EO14" i="100"/>
  <c r="EO13" i="100"/>
  <c r="EO12" i="100"/>
  <c r="EO11" i="100"/>
  <c r="EO9" i="100"/>
  <c r="EO8" i="100"/>
  <c r="EO7" i="100"/>
  <c r="EO6" i="100"/>
  <c r="DO24" i="100"/>
  <c r="DO23" i="100"/>
  <c r="DO22" i="100"/>
  <c r="DO21" i="100"/>
  <c r="DO20" i="100"/>
  <c r="DO19" i="100"/>
  <c r="DO18" i="100"/>
  <c r="DO17" i="100"/>
  <c r="DO16" i="100"/>
  <c r="DO15" i="100"/>
  <c r="DO14" i="100"/>
  <c r="DO13" i="100"/>
  <c r="DO12" i="100"/>
  <c r="DO11" i="100"/>
  <c r="DO10" i="100"/>
  <c r="DO9" i="100"/>
  <c r="DO8" i="100"/>
  <c r="DO7" i="100"/>
  <c r="DO6" i="100"/>
  <c r="DQ2" i="100"/>
  <c r="DP1" i="100"/>
  <c r="DR24" i="96"/>
  <c r="DR23" i="96"/>
  <c r="DR22" i="96"/>
  <c r="DR21" i="96"/>
  <c r="DR20" i="96"/>
  <c r="DR19" i="96"/>
  <c r="DR18" i="96"/>
  <c r="DR17" i="96"/>
  <c r="DR16" i="96"/>
  <c r="DR15" i="96"/>
  <c r="DR14" i="96"/>
  <c r="DR13" i="96"/>
  <c r="DR12" i="96"/>
  <c r="DR11" i="96"/>
  <c r="DR10" i="96"/>
  <c r="DR9" i="96"/>
  <c r="DR8" i="96"/>
  <c r="DR7" i="96"/>
  <c r="DR6" i="96"/>
  <c r="DT2" i="96"/>
  <c r="DS1" i="96"/>
  <c r="BX27" i="96"/>
  <c r="CU24" i="96"/>
  <c r="CU23" i="96"/>
  <c r="CU22" i="96"/>
  <c r="CU21" i="96"/>
  <c r="CU20" i="96"/>
  <c r="CU19" i="96"/>
  <c r="CU18" i="96"/>
  <c r="CU17" i="96"/>
  <c r="CU16" i="96"/>
  <c r="CU15" i="96"/>
  <c r="CU14" i="96"/>
  <c r="CU13" i="96"/>
  <c r="CU12" i="96"/>
  <c r="CU11" i="96"/>
  <c r="CU10" i="96"/>
  <c r="CU9" i="96"/>
  <c r="CU8" i="96"/>
  <c r="CU7" i="96"/>
  <c r="CU6" i="96"/>
  <c r="ES1" i="96"/>
  <c r="Y3" i="96"/>
  <c r="CW2" i="96"/>
  <c r="CV1" i="96"/>
  <c r="ER24" i="96"/>
  <c r="ER23" i="96"/>
  <c r="ER22" i="96"/>
  <c r="ER21" i="96"/>
  <c r="ER20" i="96"/>
  <c r="ER19" i="96"/>
  <c r="ER18" i="96"/>
  <c r="ER17" i="96"/>
  <c r="ER16" i="96"/>
  <c r="ER15" i="96"/>
  <c r="ER14" i="96"/>
  <c r="ER13" i="96"/>
  <c r="ER12" i="96"/>
  <c r="ER11" i="96"/>
  <c r="ER9" i="96"/>
  <c r="ER8" i="96"/>
  <c r="ER7" i="96"/>
  <c r="ER6" i="96"/>
  <c r="CV24" i="95"/>
  <c r="CV23" i="95"/>
  <c r="CV22" i="95"/>
  <c r="CV21" i="95"/>
  <c r="CV20" i="95"/>
  <c r="CV19" i="95"/>
  <c r="CV18" i="95"/>
  <c r="CV17" i="95"/>
  <c r="CV16" i="95"/>
  <c r="CV15" i="95"/>
  <c r="CV14" i="95"/>
  <c r="CV13" i="95"/>
  <c r="CV12" i="95"/>
  <c r="CV11" i="95"/>
  <c r="CV10" i="95"/>
  <c r="CV9" i="95"/>
  <c r="CV8" i="95"/>
  <c r="CV7" i="95"/>
  <c r="CV6" i="95"/>
  <c r="ET1" i="95"/>
  <c r="CX2" i="95"/>
  <c r="CW1" i="95"/>
  <c r="ES24" i="95"/>
  <c r="CG24" i="95" s="1"/>
  <c r="Y24" i="95" s="1"/>
  <c r="Z24" i="95" s="1"/>
  <c r="ES23" i="95"/>
  <c r="CG23" i="95" s="1"/>
  <c r="Y23" i="95" s="1"/>
  <c r="Z23" i="95" s="1"/>
  <c r="ES22" i="95"/>
  <c r="CG22" i="95" s="1"/>
  <c r="Y22" i="95" s="1"/>
  <c r="Z22" i="95" s="1"/>
  <c r="ES21" i="95"/>
  <c r="CG21" i="95" s="1"/>
  <c r="Y21" i="95" s="1"/>
  <c r="Z21" i="95" s="1"/>
  <c r="ES20" i="95"/>
  <c r="CG20" i="95" s="1"/>
  <c r="Y20" i="95" s="1"/>
  <c r="Z20" i="95" s="1"/>
  <c r="ES19" i="95"/>
  <c r="CG19" i="95" s="1"/>
  <c r="Y19" i="95" s="1"/>
  <c r="Z19" i="95" s="1"/>
  <c r="ES18" i="95"/>
  <c r="CG18" i="95" s="1"/>
  <c r="Y18" i="95" s="1"/>
  <c r="Z18" i="95" s="1"/>
  <c r="ES17" i="95"/>
  <c r="CG17" i="95" s="1"/>
  <c r="Y17" i="95" s="1"/>
  <c r="Z17" i="95" s="1"/>
  <c r="ES16" i="95"/>
  <c r="CG16" i="95" s="1"/>
  <c r="Y16" i="95" s="1"/>
  <c r="Z16" i="95" s="1"/>
  <c r="ES15" i="95"/>
  <c r="CG15" i="95" s="1"/>
  <c r="Y15" i="95" s="1"/>
  <c r="Z15" i="95" s="1"/>
  <c r="ES14" i="95"/>
  <c r="CG14" i="95" s="1"/>
  <c r="Y14" i="95" s="1"/>
  <c r="Z14" i="95" s="1"/>
  <c r="ES13" i="95"/>
  <c r="CG13" i="95" s="1"/>
  <c r="Y13" i="95" s="1"/>
  <c r="Z13" i="95" s="1"/>
  <c r="ES12" i="95"/>
  <c r="CG12" i="95" s="1"/>
  <c r="Y12" i="95" s="1"/>
  <c r="Z12" i="95" s="1"/>
  <c r="ES11" i="95"/>
  <c r="CG11" i="95" s="1"/>
  <c r="Y11" i="95" s="1"/>
  <c r="Z11" i="95" s="1"/>
  <c r="ES9" i="95"/>
  <c r="CG9" i="95" s="1"/>
  <c r="Y9" i="95" s="1"/>
  <c r="Z9" i="95" s="1"/>
  <c r="ES8" i="95"/>
  <c r="CG8" i="95" s="1"/>
  <c r="Y8" i="95" s="1"/>
  <c r="Z8" i="95" s="1"/>
  <c r="ES7" i="95"/>
  <c r="CG7" i="95" s="1"/>
  <c r="Y7" i="95" s="1"/>
  <c r="Z7" i="95" s="1"/>
  <c r="ES6" i="95"/>
  <c r="CG6" i="95" s="1"/>
  <c r="Y6" i="95" s="1"/>
  <c r="Z6" i="95" s="1"/>
  <c r="DS24" i="95"/>
  <c r="CB24" i="95" s="1"/>
  <c r="DS23" i="95"/>
  <c r="CB23" i="95" s="1"/>
  <c r="DS22" i="95"/>
  <c r="CB22" i="95" s="1"/>
  <c r="DS21" i="95"/>
  <c r="CB21" i="95" s="1"/>
  <c r="DS20" i="95"/>
  <c r="CB20" i="95" s="1"/>
  <c r="DS19" i="95"/>
  <c r="CB19" i="95" s="1"/>
  <c r="DS18" i="95"/>
  <c r="CB18" i="95" s="1"/>
  <c r="DS17" i="95"/>
  <c r="CB17" i="95" s="1"/>
  <c r="DS16" i="95"/>
  <c r="CB16" i="95" s="1"/>
  <c r="DS15" i="95"/>
  <c r="CB15" i="95" s="1"/>
  <c r="DS14" i="95"/>
  <c r="CB14" i="95" s="1"/>
  <c r="DS13" i="95"/>
  <c r="CB13" i="95" s="1"/>
  <c r="DS12" i="95"/>
  <c r="CB12" i="95" s="1"/>
  <c r="DS11" i="95"/>
  <c r="CB11" i="95" s="1"/>
  <c r="DS10" i="95"/>
  <c r="CB10" i="95" s="1"/>
  <c r="DS9" i="95"/>
  <c r="CB9" i="95" s="1"/>
  <c r="DS8" i="95"/>
  <c r="CB8" i="95" s="1"/>
  <c r="DS7" i="95"/>
  <c r="CB7" i="95" s="1"/>
  <c r="DS6" i="95"/>
  <c r="CB6" i="95" s="1"/>
  <c r="DU2" i="95"/>
  <c r="DT1" i="95"/>
  <c r="CT24" i="97"/>
  <c r="BX24" i="97" s="1"/>
  <c r="CT23" i="97"/>
  <c r="BX23" i="97" s="1"/>
  <c r="CT22" i="97"/>
  <c r="BX22" i="97" s="1"/>
  <c r="CT21" i="97"/>
  <c r="BX21" i="97" s="1"/>
  <c r="CT20" i="97"/>
  <c r="BX20" i="97" s="1"/>
  <c r="CT19" i="97"/>
  <c r="BX19" i="97" s="1"/>
  <c r="CT18" i="97"/>
  <c r="BX18" i="97" s="1"/>
  <c r="CT17" i="97"/>
  <c r="BX17" i="97" s="1"/>
  <c r="CT16" i="97"/>
  <c r="BX16" i="97" s="1"/>
  <c r="CT15" i="97"/>
  <c r="BX15" i="97" s="1"/>
  <c r="CT14" i="97"/>
  <c r="BX14" i="97" s="1"/>
  <c r="CT13" i="97"/>
  <c r="BX13" i="97" s="1"/>
  <c r="CT12" i="97"/>
  <c r="BX12" i="97" s="1"/>
  <c r="CT11" i="97"/>
  <c r="BX11" i="97" s="1"/>
  <c r="CT10" i="97"/>
  <c r="BX10" i="97" s="1"/>
  <c r="CT9" i="97"/>
  <c r="BX9" i="97" s="1"/>
  <c r="CT8" i="97"/>
  <c r="BX8" i="97" s="1"/>
  <c r="CT7" i="97"/>
  <c r="BX7" i="97" s="1"/>
  <c r="CT6" i="97"/>
  <c r="BX6" i="97" s="1"/>
  <c r="ER1" i="97"/>
  <c r="CV2" i="97"/>
  <c r="CU1" i="97"/>
  <c r="EQ24" i="97"/>
  <c r="EQ23" i="97"/>
  <c r="EQ22" i="97"/>
  <c r="EQ21" i="97"/>
  <c r="EQ20" i="97"/>
  <c r="EQ19" i="97"/>
  <c r="EQ18" i="97"/>
  <c r="EQ17" i="97"/>
  <c r="EQ16" i="97"/>
  <c r="EQ15" i="97"/>
  <c r="EQ14" i="97"/>
  <c r="EQ13" i="97"/>
  <c r="EQ12" i="97"/>
  <c r="EQ11" i="97"/>
  <c r="EQ9" i="97"/>
  <c r="EQ8" i="97"/>
  <c r="EQ7" i="97"/>
  <c r="EQ6" i="97"/>
  <c r="DQ24" i="97"/>
  <c r="DQ23" i="97"/>
  <c r="DQ22" i="97"/>
  <c r="DQ21" i="97"/>
  <c r="DQ20" i="97"/>
  <c r="DQ19" i="97"/>
  <c r="DQ18" i="97"/>
  <c r="DQ17" i="97"/>
  <c r="DQ16" i="97"/>
  <c r="DQ15" i="97"/>
  <c r="DQ14" i="97"/>
  <c r="DQ13" i="97"/>
  <c r="DQ12" i="97"/>
  <c r="DQ11" i="97"/>
  <c r="DQ10" i="97"/>
  <c r="DQ9" i="97"/>
  <c r="DQ8" i="97"/>
  <c r="DQ7" i="97"/>
  <c r="DQ6" i="97"/>
  <c r="DS2" i="97"/>
  <c r="DR1" i="97"/>
  <c r="CC27" i="94"/>
  <c r="DW2" i="94"/>
  <c r="DV1" i="94"/>
  <c r="DU22" i="94"/>
  <c r="DU21" i="94"/>
  <c r="DU18" i="94"/>
  <c r="DU16" i="94"/>
  <c r="DU13" i="94"/>
  <c r="DU17" i="94"/>
  <c r="DU15" i="94"/>
  <c r="DU12" i="94"/>
  <c r="DU6" i="94"/>
  <c r="DU24" i="94"/>
  <c r="DU20" i="94"/>
  <c r="DU11" i="94"/>
  <c r="DU10" i="94"/>
  <c r="DU7" i="94"/>
  <c r="DU23" i="94"/>
  <c r="DU14" i="94"/>
  <c r="DU9" i="94"/>
  <c r="DU19" i="94"/>
  <c r="DU8" i="94"/>
  <c r="CY1" i="94"/>
  <c r="CZ2" i="94"/>
  <c r="CX24" i="94"/>
  <c r="CX19" i="94"/>
  <c r="CX22" i="94"/>
  <c r="CX20" i="94"/>
  <c r="CX15" i="94"/>
  <c r="CX10" i="94"/>
  <c r="CX9" i="94"/>
  <c r="CX8" i="94"/>
  <c r="CX18" i="94"/>
  <c r="CX17" i="94"/>
  <c r="CX13" i="94"/>
  <c r="CX6" i="94"/>
  <c r="CX16" i="94"/>
  <c r="CX7" i="94"/>
  <c r="EV1" i="94"/>
  <c r="CX21" i="94"/>
  <c r="CX14" i="94"/>
  <c r="CX11" i="94"/>
  <c r="CX23" i="94"/>
  <c r="CX12" i="94"/>
  <c r="EU23" i="94"/>
  <c r="EU20" i="94"/>
  <c r="EU22" i="94"/>
  <c r="EU21" i="94"/>
  <c r="EU17" i="94"/>
  <c r="EU12" i="94"/>
  <c r="EU24" i="94"/>
  <c r="EU16" i="94"/>
  <c r="EU19" i="94"/>
  <c r="EU15" i="94"/>
  <c r="EU8" i="94"/>
  <c r="EU14" i="94"/>
  <c r="EU13" i="94"/>
  <c r="EU6" i="94"/>
  <c r="EU7" i="94"/>
  <c r="EU18" i="94"/>
  <c r="EU11" i="94"/>
  <c r="EU9" i="94"/>
  <c r="CZ1" i="93"/>
  <c r="DA2" i="93"/>
  <c r="DW1" i="93"/>
  <c r="DX2" i="93"/>
  <c r="EV17" i="93"/>
  <c r="EV21" i="93"/>
  <c r="EV24" i="93"/>
  <c r="EV12" i="93"/>
  <c r="EV20" i="93"/>
  <c r="EV15" i="93"/>
  <c r="EV13" i="93"/>
  <c r="EV7" i="93"/>
  <c r="EV19" i="93"/>
  <c r="EV14" i="93"/>
  <c r="EV18" i="93"/>
  <c r="EV9" i="93"/>
  <c r="EV6" i="93"/>
  <c r="EV22" i="93"/>
  <c r="EV23" i="93"/>
  <c r="EV16" i="93"/>
  <c r="EV11" i="93"/>
  <c r="EV8" i="93"/>
  <c r="CY19" i="93"/>
  <c r="CY17" i="93"/>
  <c r="CY13" i="93"/>
  <c r="CY8" i="93"/>
  <c r="CY11" i="93"/>
  <c r="CY24" i="93"/>
  <c r="CY22" i="93"/>
  <c r="CY14" i="93"/>
  <c r="CY10" i="93"/>
  <c r="EW1" i="93"/>
  <c r="CY23" i="93"/>
  <c r="CY20" i="93"/>
  <c r="CY16" i="93"/>
  <c r="CY9" i="93"/>
  <c r="CY7" i="93"/>
  <c r="CY21" i="93"/>
  <c r="CY18" i="93"/>
  <c r="CY15" i="93"/>
  <c r="CY12" i="93"/>
  <c r="CY6" i="93"/>
  <c r="DV24" i="93"/>
  <c r="DV22" i="93"/>
  <c r="DV15" i="93"/>
  <c r="DV10" i="93"/>
  <c r="DV13" i="93"/>
  <c r="DV21" i="93"/>
  <c r="DV18" i="93"/>
  <c r="DV16" i="93"/>
  <c r="DV8" i="93"/>
  <c r="DV6" i="93"/>
  <c r="DV20" i="93"/>
  <c r="DV17" i="93"/>
  <c r="DV11" i="93"/>
  <c r="DV7" i="93"/>
  <c r="DV23" i="93"/>
  <c r="DV19" i="93"/>
  <c r="DV14" i="93"/>
  <c r="DV9" i="93"/>
  <c r="DV12" i="93"/>
  <c r="IV95" i="9"/>
  <c r="IU96" i="9"/>
  <c r="GJ96" i="9"/>
  <c r="GN96" i="9" s="1"/>
  <c r="EW97" i="9"/>
  <c r="EX96" i="9"/>
  <c r="GH94" i="9"/>
  <c r="HI128" i="9"/>
  <c r="HF128" i="9"/>
  <c r="HQ128" i="9"/>
  <c r="HL128" i="9"/>
  <c r="GA128" i="9"/>
  <c r="E128" i="9"/>
  <c r="HC128" i="9"/>
  <c r="HQ129" i="9"/>
  <c r="HC129" i="9"/>
  <c r="EU134" i="9" l="1"/>
  <c r="EU135" i="9" s="1"/>
  <c r="EU136" i="9" s="1"/>
  <c r="HI129" i="9"/>
  <c r="GA129" i="9"/>
  <c r="HL129" i="9"/>
  <c r="E129" i="9"/>
  <c r="BL16" i="124"/>
  <c r="BQ12" i="124"/>
  <c r="BL24" i="124"/>
  <c r="BL17" i="124"/>
  <c r="BL8" i="124"/>
  <c r="BL19" i="124"/>
  <c r="BL7" i="124"/>
  <c r="BL10" i="124"/>
  <c r="BL20" i="124"/>
  <c r="BU9" i="124"/>
  <c r="BL14" i="124"/>
  <c r="BU24" i="124"/>
  <c r="BL6" i="124"/>
  <c r="BL15" i="124"/>
  <c r="CI2" i="124"/>
  <c r="CJ2" i="124" s="1"/>
  <c r="BL21" i="124"/>
  <c r="BL9" i="124"/>
  <c r="BL12" i="124"/>
  <c r="BL23" i="124"/>
  <c r="BL13" i="124"/>
  <c r="BU20" i="124"/>
  <c r="BH6" i="124"/>
  <c r="BG2" i="124"/>
  <c r="BG17" i="124"/>
  <c r="BU11" i="124"/>
  <c r="BQ6" i="124"/>
  <c r="BU22" i="124"/>
  <c r="BU12" i="124"/>
  <c r="BU18" i="124"/>
  <c r="BH19" i="124"/>
  <c r="BG13" i="124"/>
  <c r="BU15" i="124"/>
  <c r="BQ16" i="124"/>
  <c r="BG20" i="124"/>
  <c r="BH23" i="124"/>
  <c r="BQ21" i="124"/>
  <c r="BG12" i="124"/>
  <c r="BG24" i="124"/>
  <c r="BU21" i="124"/>
  <c r="BG18" i="124"/>
  <c r="BU14" i="124"/>
  <c r="BU7" i="124"/>
  <c r="BU23" i="124"/>
  <c r="BH8" i="124"/>
  <c r="BH7" i="124"/>
  <c r="BQ7" i="124"/>
  <c r="BQ10" i="124"/>
  <c r="BQ17" i="124"/>
  <c r="BQ2" i="124"/>
  <c r="BR2" i="124" s="1"/>
  <c r="BR1" i="124" s="1"/>
  <c r="BU6" i="124"/>
  <c r="BQ18" i="124"/>
  <c r="BH20" i="124"/>
  <c r="BG21" i="124"/>
  <c r="BH24" i="124"/>
  <c r="BQ9" i="124"/>
  <c r="BQ8" i="124"/>
  <c r="BH10" i="124"/>
  <c r="BG10" i="124"/>
  <c r="BQ20" i="124"/>
  <c r="BG23" i="124"/>
  <c r="BU19" i="124"/>
  <c r="BQ23" i="124"/>
  <c r="BU16" i="124"/>
  <c r="BU8" i="124"/>
  <c r="BU10" i="124"/>
  <c r="BU2" i="124"/>
  <c r="BV2" i="124" s="1"/>
  <c r="BV1" i="124" s="1"/>
  <c r="BQ19" i="124"/>
  <c r="BQ22" i="124"/>
  <c r="BH12" i="124"/>
  <c r="BQ14" i="124"/>
  <c r="BH16" i="124"/>
  <c r="BQ24" i="124"/>
  <c r="BH15" i="124"/>
  <c r="BH14" i="124"/>
  <c r="BL2" i="124"/>
  <c r="BQ11" i="124"/>
  <c r="BG5" i="124"/>
  <c r="BG8" i="124"/>
  <c r="BH21" i="124"/>
  <c r="BU17" i="124"/>
  <c r="BH11" i="124"/>
  <c r="BH13" i="124"/>
  <c r="BH9" i="124"/>
  <c r="BG9" i="124"/>
  <c r="BL22" i="124"/>
  <c r="BL18" i="124"/>
  <c r="BL11" i="124"/>
  <c r="BH22" i="124"/>
  <c r="BG19" i="124"/>
  <c r="BG6" i="124"/>
  <c r="BG11" i="124"/>
  <c r="BG7" i="124"/>
  <c r="BQ15" i="124"/>
  <c r="BG22" i="124"/>
  <c r="BH5" i="124"/>
  <c r="BG16" i="124"/>
  <c r="BH18" i="124"/>
  <c r="BG15" i="124"/>
  <c r="BG14" i="124"/>
  <c r="BH17" i="124"/>
  <c r="BG17" i="121"/>
  <c r="BL16" i="121"/>
  <c r="CI2" i="121"/>
  <c r="CJ2" i="121" s="1"/>
  <c r="BU2" i="121"/>
  <c r="BV2" i="121" s="1"/>
  <c r="BV1" i="121" s="1"/>
  <c r="BL17" i="121"/>
  <c r="BL7" i="121"/>
  <c r="BL12" i="121"/>
  <c r="BL2" i="121"/>
  <c r="BL14" i="121"/>
  <c r="BL23" i="121"/>
  <c r="BL8" i="121"/>
  <c r="BL21" i="121"/>
  <c r="BL20" i="121"/>
  <c r="BL6" i="121"/>
  <c r="BL10" i="121"/>
  <c r="BH20" i="121"/>
  <c r="BQ2" i="121"/>
  <c r="BR2" i="121" s="1"/>
  <c r="BR1" i="121" s="1"/>
  <c r="BG12" i="121"/>
  <c r="BL19" i="121"/>
  <c r="BU6" i="121"/>
  <c r="BL24" i="121"/>
  <c r="BG16" i="121"/>
  <c r="BG19" i="121"/>
  <c r="BG11" i="121"/>
  <c r="BG2" i="121"/>
  <c r="BL9" i="121"/>
  <c r="BQ11" i="121"/>
  <c r="BU7" i="121"/>
  <c r="BL13" i="121"/>
  <c r="BG9" i="121"/>
  <c r="BQ18" i="121"/>
  <c r="BU10" i="121"/>
  <c r="BQ22" i="121"/>
  <c r="BL15" i="121"/>
  <c r="BU9" i="121"/>
  <c r="BU16" i="121"/>
  <c r="BQ7" i="121"/>
  <c r="BU11" i="121"/>
  <c r="BG10" i="121"/>
  <c r="BQ14" i="121"/>
  <c r="BQ16" i="121"/>
  <c r="BQ23" i="121"/>
  <c r="BQ6" i="121"/>
  <c r="BU8" i="121"/>
  <c r="BG6" i="121"/>
  <c r="BU12" i="121"/>
  <c r="BQ9" i="121"/>
  <c r="BQ8" i="121"/>
  <c r="BQ19" i="121"/>
  <c r="BU18" i="121"/>
  <c r="BG13" i="121"/>
  <c r="BH6" i="121"/>
  <c r="BQ20" i="121"/>
  <c r="BH22" i="121"/>
  <c r="BG21" i="121"/>
  <c r="BH8" i="121"/>
  <c r="BU19" i="121"/>
  <c r="BH24" i="121"/>
  <c r="BH9" i="121"/>
  <c r="BH14" i="121"/>
  <c r="BU21" i="121"/>
  <c r="BU15" i="121"/>
  <c r="BH15" i="121"/>
  <c r="BG8" i="121"/>
  <c r="BG7" i="121"/>
  <c r="BG5" i="121"/>
  <c r="BG23" i="121"/>
  <c r="BH7" i="121"/>
  <c r="BQ12" i="121"/>
  <c r="BU24" i="121"/>
  <c r="BQ24" i="121"/>
  <c r="BG14" i="121"/>
  <c r="BH16" i="121"/>
  <c r="BG22" i="121"/>
  <c r="BG18" i="121"/>
  <c r="BQ21" i="121"/>
  <c r="BU23" i="121"/>
  <c r="BG15" i="121"/>
  <c r="BQ10" i="121"/>
  <c r="BH13" i="121"/>
  <c r="BH10" i="121"/>
  <c r="BH18" i="121"/>
  <c r="BQ17" i="121"/>
  <c r="BH19" i="121"/>
  <c r="BU22" i="121"/>
  <c r="BU14" i="121"/>
  <c r="BU17" i="121"/>
  <c r="BG20" i="121"/>
  <c r="BQ15" i="121"/>
  <c r="BH11" i="121"/>
  <c r="BL11" i="121"/>
  <c r="BL18" i="121"/>
  <c r="BH5" i="121"/>
  <c r="BH21" i="121"/>
  <c r="BL22" i="121"/>
  <c r="BG24" i="121"/>
  <c r="BU20" i="121"/>
  <c r="BH17" i="121"/>
  <c r="BH23" i="121"/>
  <c r="BH12" i="121"/>
  <c r="BG20" i="120"/>
  <c r="BL6" i="120"/>
  <c r="BL21" i="120"/>
  <c r="BL14" i="120"/>
  <c r="BL12" i="120"/>
  <c r="BL7" i="120"/>
  <c r="BL17" i="120"/>
  <c r="BU2" i="120"/>
  <c r="BV2" i="120" s="1"/>
  <c r="BV1" i="120" s="1"/>
  <c r="BL19" i="120"/>
  <c r="CI2" i="120"/>
  <c r="CJ2" i="120" s="1"/>
  <c r="BL10" i="120"/>
  <c r="BL23" i="120"/>
  <c r="BL24" i="120"/>
  <c r="BG7" i="120"/>
  <c r="BL8" i="120"/>
  <c r="BQ2" i="120"/>
  <c r="BR2" i="120" s="1"/>
  <c r="BR1" i="120" s="1"/>
  <c r="BL13" i="120"/>
  <c r="BL9" i="120"/>
  <c r="BU22" i="120"/>
  <c r="BG21" i="120"/>
  <c r="BQ18" i="120"/>
  <c r="BG23" i="120"/>
  <c r="BQ10" i="120"/>
  <c r="BU10" i="120"/>
  <c r="BH7" i="120"/>
  <c r="BL16" i="120"/>
  <c r="BH23" i="120"/>
  <c r="BG12" i="120"/>
  <c r="BQ20" i="120"/>
  <c r="BQ21" i="120"/>
  <c r="BQ9" i="120"/>
  <c r="BG16" i="120"/>
  <c r="BQ14" i="120"/>
  <c r="BH13" i="120"/>
  <c r="BG5" i="120"/>
  <c r="BU16" i="120"/>
  <c r="BU11" i="120"/>
  <c r="BU14" i="120"/>
  <c r="BG13" i="120"/>
  <c r="BH20" i="120"/>
  <c r="BG6" i="120"/>
  <c r="BU18" i="120"/>
  <c r="BQ23" i="120"/>
  <c r="BG10" i="120"/>
  <c r="BQ24" i="120"/>
  <c r="BQ6" i="120"/>
  <c r="BG14" i="120"/>
  <c r="BQ15" i="120"/>
  <c r="BG15" i="120"/>
  <c r="BL2" i="120"/>
  <c r="BU21" i="120"/>
  <c r="BU23" i="120"/>
  <c r="BG17" i="120"/>
  <c r="BH10" i="120"/>
  <c r="BG8" i="120"/>
  <c r="BG22" i="120"/>
  <c r="BQ19" i="120"/>
  <c r="BU19" i="120"/>
  <c r="BH14" i="120"/>
  <c r="BU6" i="120"/>
  <c r="BG2" i="120"/>
  <c r="BU24" i="120"/>
  <c r="BU15" i="120"/>
  <c r="BU9" i="120"/>
  <c r="BH24" i="120"/>
  <c r="BH9" i="120"/>
  <c r="BU7" i="120"/>
  <c r="BH8" i="120"/>
  <c r="BG19" i="120"/>
  <c r="BQ7" i="120"/>
  <c r="BU20" i="120"/>
  <c r="BG18" i="120"/>
  <c r="BL11" i="120"/>
  <c r="BQ12" i="120"/>
  <c r="BQ8" i="120"/>
  <c r="BH15" i="120"/>
  <c r="BH17" i="120"/>
  <c r="BG11" i="120"/>
  <c r="BL20" i="120"/>
  <c r="BU17" i="120"/>
  <c r="BQ11" i="120"/>
  <c r="BG24" i="120"/>
  <c r="BL22" i="120"/>
  <c r="BU8" i="120"/>
  <c r="BQ22" i="120"/>
  <c r="BL15" i="120"/>
  <c r="BQ16" i="120"/>
  <c r="BU12" i="120"/>
  <c r="BQ17" i="120"/>
  <c r="BL18" i="120"/>
  <c r="BH22" i="120"/>
  <c r="BH19" i="120"/>
  <c r="BG9" i="120"/>
  <c r="BH6" i="120"/>
  <c r="BH16" i="120"/>
  <c r="BH5" i="120"/>
  <c r="BH12" i="120"/>
  <c r="BH11" i="120"/>
  <c r="BH18" i="120"/>
  <c r="BH21" i="120"/>
  <c r="A130" i="9"/>
  <c r="E130" i="9" s="1"/>
  <c r="C131" i="9"/>
  <c r="BH14" i="119"/>
  <c r="BH7" i="119"/>
  <c r="BL8" i="119"/>
  <c r="CI2" i="119"/>
  <c r="CJ2" i="119" s="1"/>
  <c r="BL16" i="119"/>
  <c r="BL14" i="119"/>
  <c r="BL6" i="119"/>
  <c r="BL21" i="119"/>
  <c r="BL13" i="119"/>
  <c r="BL2" i="119"/>
  <c r="BL10" i="119"/>
  <c r="BL24" i="119"/>
  <c r="BL17" i="119"/>
  <c r="BQ6" i="119"/>
  <c r="BH16" i="119"/>
  <c r="BG23" i="119"/>
  <c r="BG2" i="119"/>
  <c r="BU2" i="119"/>
  <c r="BV2" i="119" s="1"/>
  <c r="BV1" i="119" s="1"/>
  <c r="BU9" i="119"/>
  <c r="BU7" i="119"/>
  <c r="BG9" i="119"/>
  <c r="BQ22" i="119"/>
  <c r="BU22" i="119"/>
  <c r="BQ9" i="119"/>
  <c r="BL23" i="119"/>
  <c r="BG13" i="119"/>
  <c r="BQ21" i="119"/>
  <c r="BQ10" i="119"/>
  <c r="BG14" i="119"/>
  <c r="BQ17" i="119"/>
  <c r="BL15" i="119"/>
  <c r="BH13" i="119"/>
  <c r="BU17" i="119"/>
  <c r="BG17" i="119"/>
  <c r="BH6" i="119"/>
  <c r="BQ24" i="119"/>
  <c r="BU19" i="119"/>
  <c r="BQ18" i="119"/>
  <c r="BH19" i="119"/>
  <c r="BL9" i="119"/>
  <c r="BQ23" i="119"/>
  <c r="BU11" i="119"/>
  <c r="BU18" i="119"/>
  <c r="BQ15" i="119"/>
  <c r="BQ20" i="119"/>
  <c r="BL19" i="119"/>
  <c r="BH24" i="119"/>
  <c r="BH20" i="119"/>
  <c r="BQ2" i="119"/>
  <c r="BR2" i="119" s="1"/>
  <c r="BR1" i="119" s="1"/>
  <c r="BU6" i="119"/>
  <c r="BH17" i="119"/>
  <c r="BG18" i="119"/>
  <c r="BL7" i="119"/>
  <c r="BL12" i="119"/>
  <c r="BL20" i="119"/>
  <c r="BU12" i="119"/>
  <c r="BL18" i="119"/>
  <c r="BG10" i="119"/>
  <c r="BG7" i="119"/>
  <c r="BU20" i="119"/>
  <c r="BQ14" i="119"/>
  <c r="BG20" i="119"/>
  <c r="BH10" i="119"/>
  <c r="BG8" i="119"/>
  <c r="BQ12" i="119"/>
  <c r="BG16" i="119"/>
  <c r="BL22" i="119"/>
  <c r="BH5" i="119"/>
  <c r="BH9" i="119"/>
  <c r="BU8" i="119"/>
  <c r="BQ11" i="119"/>
  <c r="BG15" i="119"/>
  <c r="BU14" i="119"/>
  <c r="BG24" i="119"/>
  <c r="BU23" i="119"/>
  <c r="BU10" i="119"/>
  <c r="BU21" i="119"/>
  <c r="BU15" i="119"/>
  <c r="BU16" i="119"/>
  <c r="BH8" i="119"/>
  <c r="BQ7" i="119"/>
  <c r="BQ19" i="119"/>
  <c r="BQ16" i="119"/>
  <c r="BQ8" i="119"/>
  <c r="BH21" i="119"/>
  <c r="BH22" i="119"/>
  <c r="BH15" i="119"/>
  <c r="BH11" i="119"/>
  <c r="BG21" i="119"/>
  <c r="BG12" i="119"/>
  <c r="BL11" i="119"/>
  <c r="BG19" i="119"/>
  <c r="BU24" i="119"/>
  <c r="BG11" i="119"/>
  <c r="BG5" i="119"/>
  <c r="BH23" i="119"/>
  <c r="BH12" i="119"/>
  <c r="BG22" i="119"/>
  <c r="BH18" i="119"/>
  <c r="BG6" i="119"/>
  <c r="BH23" i="116"/>
  <c r="BH7" i="116"/>
  <c r="BM12" i="116"/>
  <c r="BM21" i="116"/>
  <c r="BR6" i="116"/>
  <c r="BI7" i="116"/>
  <c r="BM14" i="116"/>
  <c r="BM7" i="116"/>
  <c r="BM9" i="116"/>
  <c r="BM16" i="116"/>
  <c r="BH6" i="116"/>
  <c r="BM19" i="116"/>
  <c r="BM17" i="116"/>
  <c r="BM10" i="116"/>
  <c r="BM8" i="116"/>
  <c r="BV2" i="116"/>
  <c r="BW2" i="116" s="1"/>
  <c r="BW1" i="116" s="1"/>
  <c r="BM13" i="116"/>
  <c r="BM24" i="116"/>
  <c r="CJ2" i="116"/>
  <c r="CK2" i="116" s="1"/>
  <c r="BM23" i="116"/>
  <c r="BM6" i="116"/>
  <c r="BR10" i="116"/>
  <c r="BV9" i="116"/>
  <c r="BI12" i="116"/>
  <c r="BH16" i="116"/>
  <c r="BR7" i="116"/>
  <c r="BH20" i="116"/>
  <c r="BH17" i="116"/>
  <c r="BH8" i="116"/>
  <c r="BV22" i="116"/>
  <c r="BH19" i="116"/>
  <c r="BH22" i="116"/>
  <c r="BR19" i="116"/>
  <c r="BV20" i="116"/>
  <c r="BI11" i="116"/>
  <c r="BR15" i="116"/>
  <c r="BI21" i="116"/>
  <c r="BI13" i="116"/>
  <c r="BR17" i="116"/>
  <c r="BV18" i="116"/>
  <c r="BI9" i="116"/>
  <c r="BV10" i="116"/>
  <c r="BV7" i="116"/>
  <c r="BI23" i="116"/>
  <c r="BM15" i="116"/>
  <c r="BR16" i="116"/>
  <c r="BH14" i="116"/>
  <c r="BI14" i="116"/>
  <c r="BV24" i="116"/>
  <c r="BI8" i="116"/>
  <c r="BV16" i="116"/>
  <c r="BI18" i="116"/>
  <c r="BR23" i="116"/>
  <c r="BM18" i="116"/>
  <c r="BV23" i="116"/>
  <c r="BR22" i="116"/>
  <c r="BR14" i="116"/>
  <c r="BI10" i="116"/>
  <c r="BR2" i="116"/>
  <c r="BS2" i="116" s="1"/>
  <c r="BS1" i="116" s="1"/>
  <c r="BI22" i="116"/>
  <c r="BV15" i="116"/>
  <c r="BH21" i="116"/>
  <c r="BH13" i="116"/>
  <c r="BH5" i="116"/>
  <c r="BV14" i="116"/>
  <c r="BI20" i="116"/>
  <c r="BR21" i="116"/>
  <c r="BH18" i="116"/>
  <c r="BI24" i="116"/>
  <c r="BV19" i="116"/>
  <c r="BH2" i="116"/>
  <c r="BI19" i="116"/>
  <c r="BI15" i="116"/>
  <c r="BR20" i="116"/>
  <c r="BV8" i="116"/>
  <c r="BR12" i="116"/>
  <c r="BR8" i="116"/>
  <c r="BR18" i="116"/>
  <c r="BH9" i="116"/>
  <c r="BV12" i="116"/>
  <c r="BV11" i="116"/>
  <c r="BH15" i="116"/>
  <c r="BR11" i="116"/>
  <c r="BH24" i="116"/>
  <c r="BV21" i="116"/>
  <c r="BM2" i="116"/>
  <c r="BR24" i="116"/>
  <c r="BV6" i="116"/>
  <c r="BM20" i="116"/>
  <c r="BR9" i="116"/>
  <c r="BH12" i="116"/>
  <c r="BH10" i="116"/>
  <c r="BV17" i="116"/>
  <c r="BM22" i="116"/>
  <c r="BM11" i="116"/>
  <c r="BI6" i="116"/>
  <c r="BH11" i="116"/>
  <c r="BI16" i="116"/>
  <c r="BI17" i="116"/>
  <c r="BI5" i="116"/>
  <c r="BM16" i="113"/>
  <c r="BM8" i="113"/>
  <c r="CJ2" i="113"/>
  <c r="CK2" i="113" s="1"/>
  <c r="BR6" i="113"/>
  <c r="BM21" i="113"/>
  <c r="BM17" i="113"/>
  <c r="BM19" i="113"/>
  <c r="BM10" i="113"/>
  <c r="BM12" i="113"/>
  <c r="BM13" i="113"/>
  <c r="BM23" i="113"/>
  <c r="CJ2" i="112"/>
  <c r="CK2" i="112" s="1"/>
  <c r="BV6" i="112"/>
  <c r="BM9" i="113"/>
  <c r="BV18" i="112"/>
  <c r="BM7" i="113"/>
  <c r="BM6" i="113"/>
  <c r="BH19" i="112"/>
  <c r="BM20" i="112"/>
  <c r="BV22" i="112"/>
  <c r="BR23" i="113"/>
  <c r="BI7" i="112"/>
  <c r="BH12" i="113"/>
  <c r="BR18" i="112"/>
  <c r="BI10" i="113"/>
  <c r="BM24" i="113"/>
  <c r="BR19" i="113"/>
  <c r="BI8" i="113"/>
  <c r="BR16" i="112"/>
  <c r="BR14" i="113"/>
  <c r="BV11" i="113"/>
  <c r="BR2" i="112"/>
  <c r="BS2" i="112" s="1"/>
  <c r="BS1" i="112" s="1"/>
  <c r="BH20" i="112"/>
  <c r="BH13" i="112"/>
  <c r="BV8" i="113"/>
  <c r="BH11" i="112"/>
  <c r="BI21" i="113"/>
  <c r="BR7" i="113"/>
  <c r="BH22" i="112"/>
  <c r="BM21" i="112"/>
  <c r="BV18" i="113"/>
  <c r="BR20" i="113"/>
  <c r="BM9" i="112"/>
  <c r="BM22" i="112"/>
  <c r="BI6" i="112"/>
  <c r="BH23" i="113"/>
  <c r="BV20" i="113"/>
  <c r="BM8" i="112"/>
  <c r="BH17" i="113"/>
  <c r="BH9" i="113"/>
  <c r="BV11" i="112"/>
  <c r="BH9" i="112"/>
  <c r="BR7" i="112"/>
  <c r="BR24" i="112"/>
  <c r="BM12" i="112"/>
  <c r="BH15" i="113"/>
  <c r="BH8" i="112"/>
  <c r="BI8" i="112"/>
  <c r="BI17" i="112"/>
  <c r="BH10" i="112"/>
  <c r="BI9" i="112"/>
  <c r="BV15" i="112"/>
  <c r="BR12" i="113"/>
  <c r="BV20" i="112"/>
  <c r="BR20" i="112"/>
  <c r="BH8" i="113"/>
  <c r="BI14" i="112"/>
  <c r="BI24" i="112"/>
  <c r="BI5" i="113"/>
  <c r="BV15" i="113"/>
  <c r="BH14" i="112"/>
  <c r="BI16" i="113"/>
  <c r="BV12" i="113"/>
  <c r="BM16" i="112"/>
  <c r="BR11" i="113"/>
  <c r="BI23" i="112"/>
  <c r="BV10" i="112"/>
  <c r="BR10" i="113"/>
  <c r="BR9" i="113"/>
  <c r="BR17" i="113"/>
  <c r="BM18" i="112"/>
  <c r="BI20" i="112"/>
  <c r="BH17" i="112"/>
  <c r="BH6" i="113"/>
  <c r="BH5" i="112"/>
  <c r="BI23" i="113"/>
  <c r="BR8" i="113"/>
  <c r="BV19" i="112"/>
  <c r="BR9" i="112"/>
  <c r="BM19" i="112"/>
  <c r="BR21" i="113"/>
  <c r="BM14" i="113"/>
  <c r="BH20" i="113"/>
  <c r="BH21" i="112"/>
  <c r="BM2" i="113"/>
  <c r="BI22" i="112"/>
  <c r="BH7" i="112"/>
  <c r="BI11" i="113"/>
  <c r="BR19" i="112"/>
  <c r="BM10" i="112"/>
  <c r="BM6" i="112"/>
  <c r="BI11" i="112"/>
  <c r="BV2" i="113"/>
  <c r="BW2" i="113" s="1"/>
  <c r="BW1" i="113" s="1"/>
  <c r="BI14" i="113"/>
  <c r="BV2" i="112"/>
  <c r="BW2" i="112" s="1"/>
  <c r="BW1" i="112" s="1"/>
  <c r="BI21" i="112"/>
  <c r="BV17" i="112"/>
  <c r="BR11" i="112"/>
  <c r="BM14" i="112"/>
  <c r="BV16" i="113"/>
  <c r="BH18" i="112"/>
  <c r="BR18" i="113"/>
  <c r="BV7" i="113"/>
  <c r="BI15" i="112"/>
  <c r="BR8" i="112"/>
  <c r="BV14" i="112"/>
  <c r="BV9" i="112"/>
  <c r="BM15" i="112"/>
  <c r="BV14" i="113"/>
  <c r="BV24" i="113"/>
  <c r="BR24" i="113"/>
  <c r="BH2" i="113"/>
  <c r="BM2" i="112"/>
  <c r="BI12" i="113"/>
  <c r="BI19" i="113"/>
  <c r="BI18" i="112"/>
  <c r="BI18" i="113"/>
  <c r="BH23" i="112"/>
  <c r="BH22" i="113"/>
  <c r="BV19" i="113"/>
  <c r="BH7" i="113"/>
  <c r="BV17" i="113"/>
  <c r="BM20" i="113"/>
  <c r="BI24" i="113"/>
  <c r="BM23" i="112"/>
  <c r="BR22" i="113"/>
  <c r="BR23" i="112"/>
  <c r="BV16" i="112"/>
  <c r="BI16" i="112"/>
  <c r="BR2" i="113"/>
  <c r="BS2" i="113" s="1"/>
  <c r="BS1" i="113" s="1"/>
  <c r="BR14" i="112"/>
  <c r="BI17" i="113"/>
  <c r="BR15" i="113"/>
  <c r="BI19" i="112"/>
  <c r="BH14" i="113"/>
  <c r="BM15" i="113"/>
  <c r="BV23" i="112"/>
  <c r="BI22" i="113"/>
  <c r="BM18" i="113"/>
  <c r="BH21" i="113"/>
  <c r="BH18" i="113"/>
  <c r="BH10" i="113"/>
  <c r="BI9" i="113"/>
  <c r="BR16" i="113"/>
  <c r="BR15" i="112"/>
  <c r="BI12" i="112"/>
  <c r="BI5" i="112"/>
  <c r="BV24" i="112"/>
  <c r="BM7" i="112"/>
  <c r="BR12" i="112"/>
  <c r="BH13" i="113"/>
  <c r="BI20" i="113"/>
  <c r="BR6" i="112"/>
  <c r="BV10" i="113"/>
  <c r="BH19" i="113"/>
  <c r="BV21" i="113"/>
  <c r="BM11" i="113"/>
  <c r="BV8" i="112"/>
  <c r="BV22" i="113"/>
  <c r="BH24" i="113"/>
  <c r="BI10" i="112"/>
  <c r="BM11" i="112"/>
  <c r="BM22" i="113"/>
  <c r="BV23" i="113"/>
  <c r="BM17" i="112"/>
  <c r="BH16" i="112"/>
  <c r="BM13" i="112"/>
  <c r="BV6" i="113"/>
  <c r="BH15" i="112"/>
  <c r="BR22" i="112"/>
  <c r="BH24" i="112"/>
  <c r="BH5" i="113"/>
  <c r="BV7" i="112"/>
  <c r="BV9" i="113"/>
  <c r="BR21" i="112"/>
  <c r="BI13" i="112"/>
  <c r="BH16" i="113"/>
  <c r="BR10" i="112"/>
  <c r="BM24" i="112"/>
  <c r="BR17" i="112"/>
  <c r="BH2" i="112"/>
  <c r="BV21" i="112"/>
  <c r="BI13" i="113"/>
  <c r="BV12" i="112"/>
  <c r="BH11" i="113"/>
  <c r="BI15" i="113"/>
  <c r="BH12" i="112"/>
  <c r="BI6" i="113"/>
  <c r="BH6" i="112"/>
  <c r="BI7" i="113"/>
  <c r="BU8" i="108"/>
  <c r="CI2" i="108"/>
  <c r="CJ2" i="108" s="1"/>
  <c r="CJ2" i="109"/>
  <c r="CK2" i="109" s="1"/>
  <c r="BM22" i="109"/>
  <c r="BR7" i="109"/>
  <c r="BR10" i="109"/>
  <c r="BQ17" i="108"/>
  <c r="BL11" i="108"/>
  <c r="BH17" i="109"/>
  <c r="BU6" i="108"/>
  <c r="BR23" i="109"/>
  <c r="BQ19" i="108"/>
  <c r="BH20" i="109"/>
  <c r="BQ8" i="108"/>
  <c r="BG2" i="108"/>
  <c r="BL10" i="108"/>
  <c r="BR6" i="109"/>
  <c r="BQ15" i="108"/>
  <c r="BH8" i="109"/>
  <c r="BU2" i="108"/>
  <c r="BV2" i="108" s="1"/>
  <c r="BV1" i="108" s="1"/>
  <c r="BQ24" i="108"/>
  <c r="BR24" i="109"/>
  <c r="BQ6" i="108"/>
  <c r="BR22" i="109"/>
  <c r="BH9" i="109"/>
  <c r="BG13" i="108"/>
  <c r="BU7" i="108"/>
  <c r="BQ2" i="108"/>
  <c r="BR2" i="108" s="1"/>
  <c r="BR1" i="108" s="1"/>
  <c r="BQ9" i="108"/>
  <c r="BR9" i="109"/>
  <c r="BG11" i="108"/>
  <c r="BV23" i="109"/>
  <c r="BL20" i="108"/>
  <c r="BV14" i="109"/>
  <c r="BG6" i="108"/>
  <c r="BU12" i="108"/>
  <c r="BL8" i="108"/>
  <c r="BV11" i="109"/>
  <c r="BG23" i="108"/>
  <c r="BU11" i="108"/>
  <c r="BQ7" i="108"/>
  <c r="BG12" i="108"/>
  <c r="BG22" i="108"/>
  <c r="BV21" i="109"/>
  <c r="BV8" i="109"/>
  <c r="BH10" i="109"/>
  <c r="BG8" i="108"/>
  <c r="BR19" i="109"/>
  <c r="BV18" i="109"/>
  <c r="BG17" i="108"/>
  <c r="BV19" i="109"/>
  <c r="BM14" i="109"/>
  <c r="BM7" i="109"/>
  <c r="BM6" i="109"/>
  <c r="BL13" i="108"/>
  <c r="BG10" i="108"/>
  <c r="BL22" i="108"/>
  <c r="BL12" i="108"/>
  <c r="BL15" i="108"/>
  <c r="BQ11" i="108"/>
  <c r="BR11" i="109"/>
  <c r="BR14" i="109"/>
  <c r="BU18" i="108"/>
  <c r="BU23" i="108"/>
  <c r="BV24" i="109"/>
  <c r="BQ20" i="108"/>
  <c r="BH2" i="109"/>
  <c r="BM20" i="109"/>
  <c r="BG18" i="108"/>
  <c r="BM12" i="109"/>
  <c r="BH13" i="109"/>
  <c r="BV22" i="109"/>
  <c r="BV7" i="109"/>
  <c r="BR18" i="109"/>
  <c r="BH5" i="109"/>
  <c r="BU19" i="108"/>
  <c r="BV17" i="109"/>
  <c r="BQ18" i="108"/>
  <c r="BM15" i="109"/>
  <c r="BL23" i="108"/>
  <c r="BQ14" i="108"/>
  <c r="BR20" i="109"/>
  <c r="BU9" i="108"/>
  <c r="BL17" i="108"/>
  <c r="BL2" i="108"/>
  <c r="BH18" i="109"/>
  <c r="BM9" i="109"/>
  <c r="BU20" i="108"/>
  <c r="BG5" i="108"/>
  <c r="BR12" i="109"/>
  <c r="BL9" i="108"/>
  <c r="BM18" i="109"/>
  <c r="BM19" i="109"/>
  <c r="BR21" i="109"/>
  <c r="BL19" i="108"/>
  <c r="BH11" i="109"/>
  <c r="BM2" i="109"/>
  <c r="BU24" i="108"/>
  <c r="BG15" i="108"/>
  <c r="BH7" i="109"/>
  <c r="BL21" i="108"/>
  <c r="BQ21" i="108"/>
  <c r="BH24" i="109"/>
  <c r="BU15" i="108"/>
  <c r="BH19" i="109"/>
  <c r="BV6" i="109"/>
  <c r="BV16" i="109"/>
  <c r="BG14" i="108"/>
  <c r="BR2" i="109"/>
  <c r="BS2" i="109" s="1"/>
  <c r="BS1" i="109" s="1"/>
  <c r="BM23" i="109"/>
  <c r="BL14" i="108"/>
  <c r="BR16" i="109"/>
  <c r="BV10" i="109"/>
  <c r="BM21" i="109"/>
  <c r="BV2" i="109"/>
  <c r="BW2" i="109" s="1"/>
  <c r="BW1" i="109" s="1"/>
  <c r="BU10" i="108"/>
  <c r="BM13" i="109"/>
  <c r="BH16" i="109"/>
  <c r="BL24" i="108"/>
  <c r="BM24" i="109"/>
  <c r="BM10" i="109"/>
  <c r="BU21" i="108"/>
  <c r="BG24" i="108"/>
  <c r="BQ16" i="108"/>
  <c r="BG16" i="108"/>
  <c r="BU22" i="108"/>
  <c r="BL6" i="108"/>
  <c r="BU16" i="108"/>
  <c r="BG19" i="108"/>
  <c r="BM11" i="109"/>
  <c r="BG21" i="108"/>
  <c r="BR17" i="109"/>
  <c r="BH12" i="109"/>
  <c r="BR8" i="109"/>
  <c r="BL18" i="108"/>
  <c r="BV9" i="109"/>
  <c r="BV15" i="109"/>
  <c r="BH15" i="109"/>
  <c r="BV20" i="109"/>
  <c r="BQ23" i="108"/>
  <c r="BG7" i="108"/>
  <c r="BV12" i="109"/>
  <c r="BG9" i="108"/>
  <c r="BH22" i="109"/>
  <c r="BH21" i="109"/>
  <c r="BH23" i="109"/>
  <c r="BR15" i="109"/>
  <c r="BL7" i="108"/>
  <c r="BM8" i="109"/>
  <c r="BQ10" i="108"/>
  <c r="BM16" i="109"/>
  <c r="BM17" i="109"/>
  <c r="BH14" i="109"/>
  <c r="BL16" i="108"/>
  <c r="BG20" i="108"/>
  <c r="BU17" i="108"/>
  <c r="BU14" i="108"/>
  <c r="BQ12" i="108"/>
  <c r="BH6" i="109"/>
  <c r="BQ22" i="108"/>
  <c r="BU18" i="106"/>
  <c r="BQ8" i="106"/>
  <c r="BG20" i="106"/>
  <c r="BU21" i="106"/>
  <c r="BL12" i="106"/>
  <c r="BU2" i="106"/>
  <c r="BV2" i="106" s="1"/>
  <c r="BV1" i="106" s="1"/>
  <c r="BL14" i="106"/>
  <c r="BQ19" i="106"/>
  <c r="BQ11" i="106"/>
  <c r="BG13" i="106"/>
  <c r="BL15" i="106"/>
  <c r="BG23" i="106"/>
  <c r="BL17" i="106"/>
  <c r="BL9" i="106"/>
  <c r="BG7" i="106"/>
  <c r="BQ17" i="106"/>
  <c r="BU22" i="106"/>
  <c r="BG14" i="106"/>
  <c r="BG6" i="106"/>
  <c r="BG22" i="106"/>
  <c r="BQ22" i="106"/>
  <c r="BL22" i="106"/>
  <c r="BG5" i="106"/>
  <c r="BL11" i="106"/>
  <c r="BG17" i="106"/>
  <c r="BG18" i="106"/>
  <c r="BG16" i="106"/>
  <c r="BU9" i="106"/>
  <c r="BQ7" i="106"/>
  <c r="BU7" i="106"/>
  <c r="BQ21" i="106"/>
  <c r="BL10" i="106"/>
  <c r="BU19" i="106"/>
  <c r="BQ10" i="106"/>
  <c r="BU15" i="106"/>
  <c r="BL23" i="106"/>
  <c r="BL16" i="106"/>
  <c r="BQ2" i="106"/>
  <c r="BR2" i="106" s="1"/>
  <c r="BR1" i="106" s="1"/>
  <c r="BG8" i="106"/>
  <c r="BU11" i="106"/>
  <c r="BQ6" i="106"/>
  <c r="BQ24" i="106"/>
  <c r="BL7" i="106"/>
  <c r="BQ16" i="106"/>
  <c r="BL18" i="106"/>
  <c r="BU20" i="106"/>
  <c r="BQ20" i="106"/>
  <c r="BQ15" i="106"/>
  <c r="BG19" i="106"/>
  <c r="BG12" i="106"/>
  <c r="BL2" i="106"/>
  <c r="BL24" i="106"/>
  <c r="BU12" i="106"/>
  <c r="BQ23" i="106"/>
  <c r="BG15" i="106"/>
  <c r="BQ9" i="106"/>
  <c r="BU16" i="106"/>
  <c r="BL13" i="106"/>
  <c r="BU6" i="106"/>
  <c r="BG9" i="106"/>
  <c r="BU24" i="106"/>
  <c r="BL19" i="106"/>
  <c r="BQ14" i="106"/>
  <c r="BQ12" i="106"/>
  <c r="BU8" i="106"/>
  <c r="BQ18" i="106"/>
  <c r="BL8" i="106"/>
  <c r="BU14" i="106"/>
  <c r="BU23" i="106"/>
  <c r="CI2" i="106"/>
  <c r="CJ2" i="106" s="1"/>
  <c r="BL20" i="106"/>
  <c r="BG24" i="106"/>
  <c r="BG11" i="106"/>
  <c r="BL21" i="106"/>
  <c r="BG2" i="106"/>
  <c r="BU17" i="106"/>
  <c r="BG21" i="106"/>
  <c r="BL6" i="106"/>
  <c r="BG10" i="106"/>
  <c r="CI2" i="105"/>
  <c r="CJ2" i="105" s="1"/>
  <c r="BG15" i="105"/>
  <c r="BQ17" i="105"/>
  <c r="BL7" i="105"/>
  <c r="BG10" i="105"/>
  <c r="BU20" i="105"/>
  <c r="BQ12" i="105"/>
  <c r="BQ2" i="105"/>
  <c r="BR2" i="105" s="1"/>
  <c r="BR1" i="105" s="1"/>
  <c r="BG8" i="105"/>
  <c r="BG2" i="105"/>
  <c r="BQ10" i="105"/>
  <c r="BQ24" i="105"/>
  <c r="BU17" i="105"/>
  <c r="BU18" i="105"/>
  <c r="BU23" i="105"/>
  <c r="BG19" i="105"/>
  <c r="BL2" i="105"/>
  <c r="BL20" i="105"/>
  <c r="BU16" i="105"/>
  <c r="BQ6" i="105"/>
  <c r="BG13" i="105"/>
  <c r="BU6" i="105"/>
  <c r="BL24" i="105"/>
  <c r="BG16" i="105"/>
  <c r="BQ19" i="105"/>
  <c r="BG14" i="105"/>
  <c r="BL19" i="105"/>
  <c r="BL8" i="105"/>
  <c r="BU19" i="105"/>
  <c r="BU2" i="105"/>
  <c r="BV2" i="105" s="1"/>
  <c r="BV1" i="105" s="1"/>
  <c r="BL23" i="105"/>
  <c r="BL22" i="105"/>
  <c r="BG6" i="105"/>
  <c r="BL18" i="105"/>
  <c r="BL11" i="105"/>
  <c r="BG18" i="105"/>
  <c r="BG17" i="105"/>
  <c r="BQ8" i="105"/>
  <c r="BQ15" i="105"/>
  <c r="BG23" i="105"/>
  <c r="BQ18" i="105"/>
  <c r="BU22" i="105"/>
  <c r="BQ7" i="105"/>
  <c r="BU11" i="105"/>
  <c r="BG12" i="105"/>
  <c r="BQ23" i="105"/>
  <c r="BU24" i="105"/>
  <c r="BG9" i="105"/>
  <c r="BU9" i="105"/>
  <c r="BG22" i="105"/>
  <c r="BQ11" i="105"/>
  <c r="BL6" i="105"/>
  <c r="BU8" i="105"/>
  <c r="BG5" i="105"/>
  <c r="BL10" i="105"/>
  <c r="BQ20" i="105"/>
  <c r="BQ14" i="105"/>
  <c r="BG11" i="105"/>
  <c r="BL15" i="105"/>
  <c r="BL14" i="105"/>
  <c r="BU14" i="105"/>
  <c r="BQ21" i="105"/>
  <c r="BG20" i="105"/>
  <c r="BL13" i="105"/>
  <c r="BU7" i="105"/>
  <c r="BU21" i="105"/>
  <c r="BL9" i="105"/>
  <c r="BU12" i="105"/>
  <c r="BG24" i="105"/>
  <c r="BQ22" i="105"/>
  <c r="BG7" i="105"/>
  <c r="BU15" i="105"/>
  <c r="BQ9" i="105"/>
  <c r="BL12" i="105"/>
  <c r="BL17" i="105"/>
  <c r="BQ16" i="105"/>
  <c r="BG21" i="105"/>
  <c r="BL21" i="105"/>
  <c r="BL16" i="105"/>
  <c r="DP24" i="100"/>
  <c r="DP23" i="100"/>
  <c r="DP22" i="100"/>
  <c r="DP21" i="100"/>
  <c r="DP20" i="100"/>
  <c r="DP19" i="100"/>
  <c r="DP18" i="100"/>
  <c r="DP17" i="100"/>
  <c r="DP16" i="100"/>
  <c r="DP15" i="100"/>
  <c r="DP14" i="100"/>
  <c r="DP13" i="100"/>
  <c r="DP12" i="100"/>
  <c r="DP11" i="100"/>
  <c r="DP10" i="100"/>
  <c r="DP9" i="100"/>
  <c r="DP8" i="100"/>
  <c r="DP7" i="100"/>
  <c r="DP6" i="100"/>
  <c r="DR2" i="100"/>
  <c r="DQ1" i="100"/>
  <c r="CS24" i="100"/>
  <c r="CS23" i="100"/>
  <c r="CS22" i="100"/>
  <c r="CS21" i="100"/>
  <c r="CS20" i="100"/>
  <c r="CS19" i="100"/>
  <c r="CS18" i="100"/>
  <c r="CS17" i="100"/>
  <c r="CS16" i="100"/>
  <c r="CS15" i="100"/>
  <c r="CS14" i="100"/>
  <c r="CS13" i="100"/>
  <c r="CS12" i="100"/>
  <c r="CS11" i="100"/>
  <c r="CS10" i="100"/>
  <c r="CS9" i="100"/>
  <c r="CS8" i="100"/>
  <c r="CS7" i="100"/>
  <c r="CS6" i="100"/>
  <c r="EQ1" i="100"/>
  <c r="CU2" i="100"/>
  <c r="CT1" i="100"/>
  <c r="EP24" i="100"/>
  <c r="EP23" i="100"/>
  <c r="EP22" i="100"/>
  <c r="EP21" i="100"/>
  <c r="EP20" i="100"/>
  <c r="EP19" i="100"/>
  <c r="EP18" i="100"/>
  <c r="EP17" i="100"/>
  <c r="EP16" i="100"/>
  <c r="EP15" i="100"/>
  <c r="EP14" i="100"/>
  <c r="EP13" i="100"/>
  <c r="EP12" i="100"/>
  <c r="EP11" i="100"/>
  <c r="EP9" i="100"/>
  <c r="EP8" i="100"/>
  <c r="EP7" i="100"/>
  <c r="EP6" i="100"/>
  <c r="CT24" i="98"/>
  <c r="BX24" i="98" s="1"/>
  <c r="CT23" i="98"/>
  <c r="BX23" i="98" s="1"/>
  <c r="CT22" i="98"/>
  <c r="BX22" i="98" s="1"/>
  <c r="CT21" i="98"/>
  <c r="BX21" i="98" s="1"/>
  <c r="CT20" i="98"/>
  <c r="BX20" i="98" s="1"/>
  <c r="CT19" i="98"/>
  <c r="BX19" i="98" s="1"/>
  <c r="CT18" i="98"/>
  <c r="BX18" i="98" s="1"/>
  <c r="CT17" i="98"/>
  <c r="BX17" i="98" s="1"/>
  <c r="CT16" i="98"/>
  <c r="BX16" i="98" s="1"/>
  <c r="CT15" i="98"/>
  <c r="BX15" i="98" s="1"/>
  <c r="CT14" i="98"/>
  <c r="BX14" i="98" s="1"/>
  <c r="CT13" i="98"/>
  <c r="BX13" i="98" s="1"/>
  <c r="CT12" i="98"/>
  <c r="BX12" i="98" s="1"/>
  <c r="CT11" i="98"/>
  <c r="BX11" i="98" s="1"/>
  <c r="CT10" i="98"/>
  <c r="BX10" i="98" s="1"/>
  <c r="CT9" i="98"/>
  <c r="BX9" i="98" s="1"/>
  <c r="CT8" i="98"/>
  <c r="BX8" i="98" s="1"/>
  <c r="CT7" i="98"/>
  <c r="BX7" i="98" s="1"/>
  <c r="CT6" i="98"/>
  <c r="BX6" i="98" s="1"/>
  <c r="ER1" i="98"/>
  <c r="CV2" i="98"/>
  <c r="CU1" i="98"/>
  <c r="EQ24" i="98"/>
  <c r="EQ23" i="98"/>
  <c r="EQ22" i="98"/>
  <c r="EQ21" i="98"/>
  <c r="EQ20" i="98"/>
  <c r="EQ19" i="98"/>
  <c r="EQ18" i="98"/>
  <c r="EQ17" i="98"/>
  <c r="EQ16" i="98"/>
  <c r="EQ15" i="98"/>
  <c r="EQ14" i="98"/>
  <c r="EQ13" i="98"/>
  <c r="EQ12" i="98"/>
  <c r="EQ11" i="98"/>
  <c r="EQ9" i="98"/>
  <c r="EQ8" i="98"/>
  <c r="EQ7" i="98"/>
  <c r="EQ6" i="98"/>
  <c r="DQ24" i="98"/>
  <c r="DQ23" i="98"/>
  <c r="DQ22" i="98"/>
  <c r="DQ21" i="98"/>
  <c r="DQ20" i="98"/>
  <c r="DQ19" i="98"/>
  <c r="DQ18" i="98"/>
  <c r="DQ17" i="98"/>
  <c r="DQ16" i="98"/>
  <c r="DQ15" i="98"/>
  <c r="DQ14" i="98"/>
  <c r="DQ13" i="98"/>
  <c r="DQ12" i="98"/>
  <c r="DQ11" i="98"/>
  <c r="DQ10" i="98"/>
  <c r="DQ9" i="98"/>
  <c r="DQ8" i="98"/>
  <c r="DQ7" i="98"/>
  <c r="DQ6" i="98"/>
  <c r="DS2" i="98"/>
  <c r="DR1" i="98"/>
  <c r="DR24" i="97"/>
  <c r="DR23" i="97"/>
  <c r="DR22" i="97"/>
  <c r="DR21" i="97"/>
  <c r="DR20" i="97"/>
  <c r="DR19" i="97"/>
  <c r="DR18" i="97"/>
  <c r="DR17" i="97"/>
  <c r="DR16" i="97"/>
  <c r="DR15" i="97"/>
  <c r="DR14" i="97"/>
  <c r="DR13" i="97"/>
  <c r="DR12" i="97"/>
  <c r="DR11" i="97"/>
  <c r="DR10" i="97"/>
  <c r="DR9" i="97"/>
  <c r="DR8" i="97"/>
  <c r="DR7" i="97"/>
  <c r="DR6" i="97"/>
  <c r="DT2" i="97"/>
  <c r="DS1" i="97"/>
  <c r="BX27" i="97"/>
  <c r="CU24" i="97"/>
  <c r="CU23" i="97"/>
  <c r="CU22" i="97"/>
  <c r="CU21" i="97"/>
  <c r="CU20" i="97"/>
  <c r="CU19" i="97"/>
  <c r="CU18" i="97"/>
  <c r="CU17" i="97"/>
  <c r="CU16" i="97"/>
  <c r="CU15" i="97"/>
  <c r="CU14" i="97"/>
  <c r="CU13" i="97"/>
  <c r="CU12" i="97"/>
  <c r="CU11" i="97"/>
  <c r="CU10" i="97"/>
  <c r="CU9" i="97"/>
  <c r="CU8" i="97"/>
  <c r="CU7" i="97"/>
  <c r="CU6" i="97"/>
  <c r="ES1" i="97"/>
  <c r="Y3" i="97"/>
  <c r="CW2" i="97"/>
  <c r="CV1" i="97"/>
  <c r="ER24" i="97"/>
  <c r="ER23" i="97"/>
  <c r="ER22" i="97"/>
  <c r="ER21" i="97"/>
  <c r="ER20" i="97"/>
  <c r="ER19" i="97"/>
  <c r="ER18" i="97"/>
  <c r="ER17" i="97"/>
  <c r="ER16" i="97"/>
  <c r="ER15" i="97"/>
  <c r="ER14" i="97"/>
  <c r="ER13" i="97"/>
  <c r="ER12" i="97"/>
  <c r="ER11" i="97"/>
  <c r="ER9" i="97"/>
  <c r="ER8" i="97"/>
  <c r="ER7" i="97"/>
  <c r="ER6" i="97"/>
  <c r="DT24" i="95"/>
  <c r="DT23" i="95"/>
  <c r="DT22" i="95"/>
  <c r="DT21" i="95"/>
  <c r="DT20" i="95"/>
  <c r="DT19" i="95"/>
  <c r="DT18" i="95"/>
  <c r="DT17" i="95"/>
  <c r="DT16" i="95"/>
  <c r="DT15" i="95"/>
  <c r="DT14" i="95"/>
  <c r="DT13" i="95"/>
  <c r="DT12" i="95"/>
  <c r="DT11" i="95"/>
  <c r="DT10" i="95"/>
  <c r="DT9" i="95"/>
  <c r="DT8" i="95"/>
  <c r="DT7" i="95"/>
  <c r="DT6" i="95"/>
  <c r="DV2" i="95"/>
  <c r="DU1" i="95"/>
  <c r="CB27" i="95"/>
  <c r="CW24" i="95"/>
  <c r="CW23" i="95"/>
  <c r="CW22" i="95"/>
  <c r="CW21" i="95"/>
  <c r="CW20" i="95"/>
  <c r="CW19" i="95"/>
  <c r="CW18" i="95"/>
  <c r="CW17" i="95"/>
  <c r="CW16" i="95"/>
  <c r="CW15" i="95"/>
  <c r="CW14" i="95"/>
  <c r="CW13" i="95"/>
  <c r="CW12" i="95"/>
  <c r="CW11" i="95"/>
  <c r="CW10" i="95"/>
  <c r="CW9" i="95"/>
  <c r="CW8" i="95"/>
  <c r="CW7" i="95"/>
  <c r="CW6" i="95"/>
  <c r="EU1" i="95"/>
  <c r="CY2" i="95"/>
  <c r="CX1" i="95"/>
  <c r="ET24" i="95"/>
  <c r="ET23" i="95"/>
  <c r="ET22" i="95"/>
  <c r="ET21" i="95"/>
  <c r="ET20" i="95"/>
  <c r="ET19" i="95"/>
  <c r="ET18" i="95"/>
  <c r="ET17" i="95"/>
  <c r="ET16" i="95"/>
  <c r="ET15" i="95"/>
  <c r="ET14" i="95"/>
  <c r="ET13" i="95"/>
  <c r="ET12" i="95"/>
  <c r="ET11" i="95"/>
  <c r="ET9" i="95"/>
  <c r="ET8" i="95"/>
  <c r="ET7" i="95"/>
  <c r="ET6" i="95"/>
  <c r="CV24" i="96"/>
  <c r="CV23" i="96"/>
  <c r="CV22" i="96"/>
  <c r="CV21" i="96"/>
  <c r="CV20" i="96"/>
  <c r="CV19" i="96"/>
  <c r="CV18" i="96"/>
  <c r="CV17" i="96"/>
  <c r="CV16" i="96"/>
  <c r="CV15" i="96"/>
  <c r="CV14" i="96"/>
  <c r="CV13" i="96"/>
  <c r="CV12" i="96"/>
  <c r="CV11" i="96"/>
  <c r="CV10" i="96"/>
  <c r="CV9" i="96"/>
  <c r="CV8" i="96"/>
  <c r="CV7" i="96"/>
  <c r="CV6" i="96"/>
  <c r="ET1" i="96"/>
  <c r="CX2" i="96"/>
  <c r="CW1" i="96"/>
  <c r="ES24" i="96"/>
  <c r="CG24" i="96" s="1"/>
  <c r="Y24" i="96" s="1"/>
  <c r="Z24" i="96" s="1"/>
  <c r="ES23" i="96"/>
  <c r="CG23" i="96" s="1"/>
  <c r="Y23" i="96" s="1"/>
  <c r="Z23" i="96" s="1"/>
  <c r="ES22" i="96"/>
  <c r="CG22" i="96" s="1"/>
  <c r="Y22" i="96" s="1"/>
  <c r="Z22" i="96" s="1"/>
  <c r="ES21" i="96"/>
  <c r="CG21" i="96" s="1"/>
  <c r="Y21" i="96" s="1"/>
  <c r="Z21" i="96" s="1"/>
  <c r="ES20" i="96"/>
  <c r="CG20" i="96" s="1"/>
  <c r="Y20" i="96" s="1"/>
  <c r="Z20" i="96" s="1"/>
  <c r="ES19" i="96"/>
  <c r="CG19" i="96" s="1"/>
  <c r="Y19" i="96" s="1"/>
  <c r="Z19" i="96" s="1"/>
  <c r="ES18" i="96"/>
  <c r="CG18" i="96" s="1"/>
  <c r="Y18" i="96" s="1"/>
  <c r="Z18" i="96" s="1"/>
  <c r="ES17" i="96"/>
  <c r="CG17" i="96" s="1"/>
  <c r="Y17" i="96" s="1"/>
  <c r="Z17" i="96" s="1"/>
  <c r="ES16" i="96"/>
  <c r="CG16" i="96" s="1"/>
  <c r="Y16" i="96" s="1"/>
  <c r="Z16" i="96" s="1"/>
  <c r="ES15" i="96"/>
  <c r="CG15" i="96" s="1"/>
  <c r="Y15" i="96" s="1"/>
  <c r="Z15" i="96" s="1"/>
  <c r="ES14" i="96"/>
  <c r="CG14" i="96" s="1"/>
  <c r="Y14" i="96" s="1"/>
  <c r="Z14" i="96" s="1"/>
  <c r="ES13" i="96"/>
  <c r="CG13" i="96" s="1"/>
  <c r="Y13" i="96" s="1"/>
  <c r="Z13" i="96" s="1"/>
  <c r="ES12" i="96"/>
  <c r="CG12" i="96" s="1"/>
  <c r="Y12" i="96" s="1"/>
  <c r="Z12" i="96" s="1"/>
  <c r="ES11" i="96"/>
  <c r="CG11" i="96" s="1"/>
  <c r="Y11" i="96" s="1"/>
  <c r="Z11" i="96" s="1"/>
  <c r="ES9" i="96"/>
  <c r="CG9" i="96" s="1"/>
  <c r="Y9" i="96" s="1"/>
  <c r="Z9" i="96" s="1"/>
  <c r="ES8" i="96"/>
  <c r="CG8" i="96" s="1"/>
  <c r="Y8" i="96" s="1"/>
  <c r="Z8" i="96" s="1"/>
  <c r="ES7" i="96"/>
  <c r="CG7" i="96" s="1"/>
  <c r="Y7" i="96" s="1"/>
  <c r="Z7" i="96" s="1"/>
  <c r="ES6" i="96"/>
  <c r="CG6" i="96" s="1"/>
  <c r="Y6" i="96" s="1"/>
  <c r="Z6" i="96" s="1"/>
  <c r="DS24" i="96"/>
  <c r="CB24" i="96" s="1"/>
  <c r="DS23" i="96"/>
  <c r="CB23" i="96" s="1"/>
  <c r="DS22" i="96"/>
  <c r="CB22" i="96" s="1"/>
  <c r="DS21" i="96"/>
  <c r="CB21" i="96" s="1"/>
  <c r="DS20" i="96"/>
  <c r="CB20" i="96" s="1"/>
  <c r="DS19" i="96"/>
  <c r="CB19" i="96" s="1"/>
  <c r="DS18" i="96"/>
  <c r="CB18" i="96" s="1"/>
  <c r="DS17" i="96"/>
  <c r="CB17" i="96" s="1"/>
  <c r="DS16" i="96"/>
  <c r="CB16" i="96" s="1"/>
  <c r="DS15" i="96"/>
  <c r="CB15" i="96" s="1"/>
  <c r="DS14" i="96"/>
  <c r="CB14" i="96" s="1"/>
  <c r="DS13" i="96"/>
  <c r="CB13" i="96" s="1"/>
  <c r="DS12" i="96"/>
  <c r="CB12" i="96" s="1"/>
  <c r="DS11" i="96"/>
  <c r="CB11" i="96" s="1"/>
  <c r="DS10" i="96"/>
  <c r="CB10" i="96" s="1"/>
  <c r="DS9" i="96"/>
  <c r="CB9" i="96" s="1"/>
  <c r="DS8" i="96"/>
  <c r="CB8" i="96" s="1"/>
  <c r="DS7" i="96"/>
  <c r="CB7" i="96" s="1"/>
  <c r="DS6" i="96"/>
  <c r="CB6" i="96" s="1"/>
  <c r="DU2" i="96"/>
  <c r="DT1" i="96"/>
  <c r="EV24" i="94"/>
  <c r="EV19" i="94"/>
  <c r="EV11" i="94"/>
  <c r="EV15" i="94"/>
  <c r="EV9" i="94"/>
  <c r="EV8" i="94"/>
  <c r="EV20" i="94"/>
  <c r="EV18" i="94"/>
  <c r="EV17" i="94"/>
  <c r="EV13" i="94"/>
  <c r="EV14" i="94"/>
  <c r="EV12" i="94"/>
  <c r="EV6" i="94"/>
  <c r="EV23" i="94"/>
  <c r="EV22" i="94"/>
  <c r="EV21" i="94"/>
  <c r="EV7" i="94"/>
  <c r="EV16" i="94"/>
  <c r="DA2" i="94"/>
  <c r="CZ1" i="94"/>
  <c r="CY23" i="94"/>
  <c r="CY22" i="94"/>
  <c r="CY15" i="94"/>
  <c r="CY14" i="94"/>
  <c r="CY18" i="94"/>
  <c r="CY17" i="94"/>
  <c r="CY13" i="94"/>
  <c r="CY12" i="94"/>
  <c r="CY7" i="94"/>
  <c r="CY21" i="94"/>
  <c r="CY16" i="94"/>
  <c r="EW1" i="94"/>
  <c r="CY24" i="94"/>
  <c r="CY19" i="94"/>
  <c r="CY11" i="94"/>
  <c r="CY10" i="94"/>
  <c r="CY20" i="94"/>
  <c r="CY9" i="94"/>
  <c r="CY8" i="94"/>
  <c r="CY6" i="94"/>
  <c r="DV24" i="94"/>
  <c r="DV20" i="94"/>
  <c r="DV17" i="94"/>
  <c r="DV12" i="94"/>
  <c r="DV22" i="94"/>
  <c r="DV18" i="94"/>
  <c r="DV13" i="94"/>
  <c r="DV11" i="94"/>
  <c r="DV23" i="94"/>
  <c r="DV21" i="94"/>
  <c r="DV14" i="94"/>
  <c r="DV16" i="94"/>
  <c r="DV10" i="94"/>
  <c r="DV7" i="94"/>
  <c r="DV9" i="94"/>
  <c r="DV19" i="94"/>
  <c r="DV8" i="94"/>
  <c r="DV15" i="94"/>
  <c r="DV6" i="94"/>
  <c r="DX2" i="94"/>
  <c r="DW1" i="94"/>
  <c r="EW21" i="93"/>
  <c r="EW18" i="93"/>
  <c r="EW15" i="93"/>
  <c r="EW12" i="93"/>
  <c r="EW11" i="93"/>
  <c r="EW19" i="93"/>
  <c r="EW20" i="93"/>
  <c r="EW14" i="93"/>
  <c r="EW7" i="93"/>
  <c r="EW24" i="93"/>
  <c r="EW22" i="93"/>
  <c r="EW16" i="93"/>
  <c r="EW9" i="93"/>
  <c r="EW6" i="93"/>
  <c r="EW23" i="93"/>
  <c r="EW17" i="93"/>
  <c r="EW13" i="93"/>
  <c r="EW8" i="93"/>
  <c r="DY2" i="93"/>
  <c r="DX1" i="93"/>
  <c r="DB2" i="93"/>
  <c r="DA1" i="93"/>
  <c r="DW20" i="93"/>
  <c r="DW24" i="93"/>
  <c r="DW16" i="93"/>
  <c r="DW9" i="93"/>
  <c r="DW6" i="93"/>
  <c r="DW19" i="93"/>
  <c r="DW15" i="93"/>
  <c r="DW13" i="93"/>
  <c r="DW21" i="93"/>
  <c r="DW7" i="93"/>
  <c r="DW23" i="93"/>
  <c r="DW14" i="93"/>
  <c r="DW11" i="93"/>
  <c r="DW12" i="93"/>
  <c r="DW22" i="93"/>
  <c r="DW17" i="93"/>
  <c r="DW18" i="93"/>
  <c r="DW10" i="93"/>
  <c r="DW8" i="93"/>
  <c r="CZ22" i="93"/>
  <c r="CZ18" i="93"/>
  <c r="CZ21" i="93"/>
  <c r="CZ11" i="93"/>
  <c r="CZ10" i="93"/>
  <c r="CZ23" i="93"/>
  <c r="CZ16" i="93"/>
  <c r="CZ20" i="93"/>
  <c r="CZ8" i="93"/>
  <c r="CZ7" i="93"/>
  <c r="CZ15" i="93"/>
  <c r="CZ24" i="93"/>
  <c r="CZ17" i="93"/>
  <c r="CZ9" i="93"/>
  <c r="EX1" i="93"/>
  <c r="CZ19" i="93"/>
  <c r="CZ12" i="93"/>
  <c r="CZ14" i="93"/>
  <c r="CZ6" i="93"/>
  <c r="CZ13" i="93"/>
  <c r="BL19" i="92"/>
  <c r="BG20" i="92"/>
  <c r="BQ7" i="92"/>
  <c r="BG21" i="92"/>
  <c r="BL6" i="92"/>
  <c r="BL10" i="92"/>
  <c r="CI2" i="92"/>
  <c r="CJ2" i="92" s="1"/>
  <c r="BG14" i="92"/>
  <c r="BL9" i="92"/>
  <c r="BG11" i="92"/>
  <c r="BU6" i="92"/>
  <c r="BU16" i="92"/>
  <c r="BQ17" i="92"/>
  <c r="BL20" i="92"/>
  <c r="BG2" i="92"/>
  <c r="BL16" i="92"/>
  <c r="BG18" i="92"/>
  <c r="BU2" i="92"/>
  <c r="BV2" i="92" s="1"/>
  <c r="BV1" i="92" s="1"/>
  <c r="BQ2" i="92"/>
  <c r="BR2" i="92" s="1"/>
  <c r="BR1" i="92" s="1"/>
  <c r="BU12" i="92"/>
  <c r="BQ16" i="92"/>
  <c r="BQ19" i="92"/>
  <c r="BL21" i="92"/>
  <c r="BG19" i="92"/>
  <c r="BU21" i="92"/>
  <c r="BQ24" i="92"/>
  <c r="BL17" i="92"/>
  <c r="BL15" i="92"/>
  <c r="BU14" i="92"/>
  <c r="BU23" i="92"/>
  <c r="BQ20" i="92"/>
  <c r="BQ9" i="92"/>
  <c r="BU20" i="92"/>
  <c r="BL12" i="92"/>
  <c r="BL2" i="92"/>
  <c r="BG17" i="92"/>
  <c r="BQ22" i="92"/>
  <c r="BQ8" i="92"/>
  <c r="BU18" i="92"/>
  <c r="BG15" i="92"/>
  <c r="BU24" i="92"/>
  <c r="BU11" i="92"/>
  <c r="BG22" i="92"/>
  <c r="BG10" i="92"/>
  <c r="BG7" i="92"/>
  <c r="BG23" i="92"/>
  <c r="BG24" i="92"/>
  <c r="BG16" i="92"/>
  <c r="BQ10" i="92"/>
  <c r="BL14" i="92"/>
  <c r="BQ18" i="92"/>
  <c r="BL7" i="92"/>
  <c r="BG8" i="92"/>
  <c r="BG6" i="92"/>
  <c r="BG9" i="92"/>
  <c r="BL11" i="92"/>
  <c r="BQ23" i="92"/>
  <c r="BU8" i="92"/>
  <c r="BL23" i="92"/>
  <c r="BG13" i="92"/>
  <c r="BQ12" i="92"/>
  <c r="BQ11" i="92"/>
  <c r="BU15" i="92"/>
  <c r="BU9" i="92"/>
  <c r="BQ15" i="92"/>
  <c r="BG5" i="92"/>
  <c r="BQ6" i="92"/>
  <c r="BL22" i="92"/>
  <c r="BL13" i="92"/>
  <c r="BL8" i="92"/>
  <c r="BG12" i="92"/>
  <c r="BU17" i="92"/>
  <c r="BU7" i="92"/>
  <c r="BU22" i="92"/>
  <c r="BU19" i="92"/>
  <c r="BL18" i="92"/>
  <c r="BQ14" i="92"/>
  <c r="BQ21" i="92"/>
  <c r="BL24" i="92"/>
  <c r="BG13" i="91"/>
  <c r="BL7" i="91"/>
  <c r="CI2" i="90"/>
  <c r="CJ2" i="90" s="1"/>
  <c r="BG10" i="90"/>
  <c r="BQ11" i="91"/>
  <c r="BL20" i="91"/>
  <c r="BG7" i="91"/>
  <c r="BL10" i="90"/>
  <c r="BU12" i="91"/>
  <c r="BL21" i="91"/>
  <c r="CI2" i="91"/>
  <c r="CJ2" i="91" s="1"/>
  <c r="BU14" i="91"/>
  <c r="BL11" i="90"/>
  <c r="BQ9" i="91"/>
  <c r="BG2" i="90"/>
  <c r="BL8" i="90"/>
  <c r="BQ21" i="90"/>
  <c r="BL15" i="90"/>
  <c r="BU18" i="91"/>
  <c r="BU7" i="91"/>
  <c r="BL10" i="91"/>
  <c r="BU17" i="91"/>
  <c r="BL8" i="91"/>
  <c r="BG2" i="91"/>
  <c r="BL23" i="91"/>
  <c r="BL2" i="90"/>
  <c r="BL12" i="90"/>
  <c r="BQ12" i="90"/>
  <c r="BL19" i="91"/>
  <c r="BQ19" i="91"/>
  <c r="BG9" i="90"/>
  <c r="BG12" i="90"/>
  <c r="BL20" i="90"/>
  <c r="BL14" i="91"/>
  <c r="BL24" i="91"/>
  <c r="BU20" i="90"/>
  <c r="BQ17" i="90"/>
  <c r="BG22" i="91"/>
  <c r="BQ16" i="91"/>
  <c r="BG5" i="90"/>
  <c r="BU8" i="90"/>
  <c r="BU11" i="91"/>
  <c r="BG15" i="90"/>
  <c r="BU24" i="90"/>
  <c r="BG12" i="91"/>
  <c r="BU14" i="90"/>
  <c r="BU12" i="90"/>
  <c r="BG17" i="90"/>
  <c r="BL19" i="90"/>
  <c r="BG8" i="90"/>
  <c r="BG14" i="91"/>
  <c r="BG16" i="90"/>
  <c r="BU15" i="90"/>
  <c r="BQ15" i="91"/>
  <c r="BL16" i="90"/>
  <c r="BQ6" i="90"/>
  <c r="BQ9" i="90"/>
  <c r="BG10" i="91"/>
  <c r="BQ18" i="91"/>
  <c r="BG15" i="91"/>
  <c r="BG24" i="90"/>
  <c r="BQ7" i="90"/>
  <c r="BU19" i="90"/>
  <c r="BQ18" i="90"/>
  <c r="BQ2" i="91"/>
  <c r="BR2" i="91" s="1"/>
  <c r="BR1" i="91" s="1"/>
  <c r="BL18" i="90"/>
  <c r="BL9" i="91"/>
  <c r="BU22" i="91"/>
  <c r="BG8" i="91"/>
  <c r="BG21" i="91"/>
  <c r="BU15" i="91"/>
  <c r="BG18" i="91"/>
  <c r="BL17" i="91"/>
  <c r="BU16" i="90"/>
  <c r="BG17" i="91"/>
  <c r="BU6" i="90"/>
  <c r="BU23" i="91"/>
  <c r="BG21" i="90"/>
  <c r="BQ20" i="91"/>
  <c r="BL15" i="91"/>
  <c r="BL6" i="90"/>
  <c r="BQ14" i="91"/>
  <c r="BQ8" i="90"/>
  <c r="BG20" i="91"/>
  <c r="BQ22" i="91"/>
  <c r="BU9" i="90"/>
  <c r="BG6" i="90"/>
  <c r="BQ16" i="90"/>
  <c r="BU22" i="90"/>
  <c r="BU17" i="90"/>
  <c r="BU16" i="91"/>
  <c r="BQ7" i="91"/>
  <c r="BG11" i="91"/>
  <c r="BQ23" i="90"/>
  <c r="BL14" i="90"/>
  <c r="BU9" i="91"/>
  <c r="BL23" i="90"/>
  <c r="BG20" i="90"/>
  <c r="BG16" i="91"/>
  <c r="BG22" i="90"/>
  <c r="BG6" i="91"/>
  <c r="BL17" i="90"/>
  <c r="BU11" i="90"/>
  <c r="BG19" i="91"/>
  <c r="BU2" i="90"/>
  <c r="BV2" i="90" s="1"/>
  <c r="BV1" i="90" s="1"/>
  <c r="BG9" i="91"/>
  <c r="BG23" i="91"/>
  <c r="BQ22" i="90"/>
  <c r="BG13" i="90"/>
  <c r="BL24" i="90"/>
  <c r="BU21" i="90"/>
  <c r="BQ10" i="90"/>
  <c r="BQ19" i="90"/>
  <c r="BL13" i="90"/>
  <c r="BG18" i="90"/>
  <c r="BQ15" i="90"/>
  <c r="BQ23" i="91"/>
  <c r="BG5" i="91"/>
  <c r="BL2" i="91"/>
  <c r="BL11" i="91"/>
  <c r="BU21" i="91"/>
  <c r="BU20" i="91"/>
  <c r="BL9" i="90"/>
  <c r="BQ10" i="91"/>
  <c r="BG11" i="90"/>
  <c r="BL16" i="91"/>
  <c r="BU7" i="90"/>
  <c r="BL21" i="90"/>
  <c r="BG7" i="90"/>
  <c r="BQ6" i="91"/>
  <c r="BQ20" i="90"/>
  <c r="BG24" i="91"/>
  <c r="BL7" i="90"/>
  <c r="BL12" i="91"/>
  <c r="BQ11" i="90"/>
  <c r="BU2" i="91"/>
  <c r="BV2" i="91" s="1"/>
  <c r="BV1" i="91" s="1"/>
  <c r="BL13" i="91"/>
  <c r="BU8" i="91"/>
  <c r="BQ2" i="90"/>
  <c r="BR2" i="90" s="1"/>
  <c r="BR1" i="90" s="1"/>
  <c r="BG23" i="90"/>
  <c r="BQ12" i="91"/>
  <c r="BU19" i="91"/>
  <c r="BL22" i="91"/>
  <c r="BL18" i="91"/>
  <c r="BU6" i="91"/>
  <c r="BQ21" i="91"/>
  <c r="BQ24" i="91"/>
  <c r="BU23" i="90"/>
  <c r="BL6" i="91"/>
  <c r="BQ24" i="90"/>
  <c r="BQ14" i="90"/>
  <c r="BQ17" i="91"/>
  <c r="BL22" i="90"/>
  <c r="BQ8" i="91"/>
  <c r="BG14" i="90"/>
  <c r="BG19" i="90"/>
  <c r="BU18" i="90"/>
  <c r="BU24" i="91"/>
  <c r="BL18" i="89"/>
  <c r="BL13" i="89"/>
  <c r="BU6" i="89"/>
  <c r="BG5" i="89"/>
  <c r="CI2" i="89"/>
  <c r="CJ2" i="89" s="1"/>
  <c r="BL2" i="89"/>
  <c r="BL9" i="89"/>
  <c r="BL24" i="89"/>
  <c r="BQ8" i="89"/>
  <c r="BU19" i="89"/>
  <c r="BL6" i="89"/>
  <c r="BU2" i="89"/>
  <c r="BV2" i="89" s="1"/>
  <c r="BV1" i="89" s="1"/>
  <c r="BQ22" i="89"/>
  <c r="BL22" i="89"/>
  <c r="BL16" i="89"/>
  <c r="BU22" i="89"/>
  <c r="BQ7" i="89"/>
  <c r="BQ2" i="89"/>
  <c r="BR2" i="89" s="1"/>
  <c r="BR1" i="89" s="1"/>
  <c r="BQ18" i="89"/>
  <c r="BG8" i="89"/>
  <c r="BU15" i="89"/>
  <c r="BL15" i="89"/>
  <c r="BL17" i="89"/>
  <c r="BL12" i="89"/>
  <c r="BQ10" i="89"/>
  <c r="BG11" i="89"/>
  <c r="BQ14" i="89"/>
  <c r="BU7" i="89"/>
  <c r="BQ20" i="89"/>
  <c r="BL20" i="89"/>
  <c r="BL23" i="89"/>
  <c r="BL21" i="89"/>
  <c r="BQ11" i="89"/>
  <c r="BQ9" i="89"/>
  <c r="BG24" i="89"/>
  <c r="BG23" i="89"/>
  <c r="BG14" i="89"/>
  <c r="BG22" i="89"/>
  <c r="BL14" i="89"/>
  <c r="BG10" i="89"/>
  <c r="BQ19" i="89"/>
  <c r="BL7" i="89"/>
  <c r="BU14" i="89"/>
  <c r="BU24" i="89"/>
  <c r="BG20" i="89"/>
  <c r="BL10" i="89"/>
  <c r="BL11" i="89"/>
  <c r="BU11" i="89"/>
  <c r="BQ17" i="89"/>
  <c r="BU16" i="89"/>
  <c r="BU12" i="89"/>
  <c r="BG13" i="89"/>
  <c r="BG15" i="89"/>
  <c r="BU8" i="89"/>
  <c r="BG6" i="89"/>
  <c r="BU23" i="89"/>
  <c r="BQ12" i="89"/>
  <c r="BL19" i="89"/>
  <c r="BG21" i="89"/>
  <c r="BU20" i="89"/>
  <c r="BU17" i="89"/>
  <c r="BL8" i="89"/>
  <c r="BG17" i="89"/>
  <c r="BQ16" i="89"/>
  <c r="BG16" i="89"/>
  <c r="BQ23" i="89"/>
  <c r="BU21" i="89"/>
  <c r="BQ6" i="89"/>
  <c r="BU9" i="89"/>
  <c r="BQ15" i="89"/>
  <c r="BG7" i="89"/>
  <c r="BG2" i="89"/>
  <c r="BG12" i="89"/>
  <c r="BG19" i="89"/>
  <c r="BQ24" i="89"/>
  <c r="BG9" i="89"/>
  <c r="BU18" i="89"/>
  <c r="BQ21" i="89"/>
  <c r="BG18" i="89"/>
  <c r="BG6" i="88"/>
  <c r="BL6" i="87"/>
  <c r="CI2" i="88"/>
  <c r="CJ2" i="88" s="1"/>
  <c r="BU2" i="88"/>
  <c r="BV2" i="88" s="1"/>
  <c r="BV1" i="88" s="1"/>
  <c r="CI2" i="87"/>
  <c r="CJ2" i="87" s="1"/>
  <c r="BL2" i="88"/>
  <c r="BQ14" i="88"/>
  <c r="BU16" i="87"/>
  <c r="BU17" i="88"/>
  <c r="BG21" i="87"/>
  <c r="BG23" i="87"/>
  <c r="BU8" i="88"/>
  <c r="BQ7" i="88"/>
  <c r="BG22" i="88"/>
  <c r="BQ2" i="88"/>
  <c r="BR2" i="88" s="1"/>
  <c r="BR1" i="88" s="1"/>
  <c r="BL16" i="88"/>
  <c r="BG9" i="88"/>
  <c r="BL22" i="87"/>
  <c r="BQ21" i="87"/>
  <c r="BU23" i="88"/>
  <c r="BG21" i="88"/>
  <c r="BU15" i="88"/>
  <c r="BQ24" i="88"/>
  <c r="BU21" i="88"/>
  <c r="BG2" i="87"/>
  <c r="BL19" i="87"/>
  <c r="BG18" i="88"/>
  <c r="BL13" i="88"/>
  <c r="BU14" i="88"/>
  <c r="BG5" i="88"/>
  <c r="BL17" i="87"/>
  <c r="BG14" i="88"/>
  <c r="BQ19" i="87"/>
  <c r="BU15" i="87"/>
  <c r="BU24" i="87"/>
  <c r="BQ19" i="88"/>
  <c r="BU2" i="87"/>
  <c r="BV2" i="87" s="1"/>
  <c r="BV1" i="87" s="1"/>
  <c r="BQ12" i="87"/>
  <c r="BU18" i="88"/>
  <c r="BU18" i="87"/>
  <c r="BU6" i="87"/>
  <c r="BL23" i="87"/>
  <c r="BL10" i="87"/>
  <c r="BL12" i="88"/>
  <c r="BQ20" i="88"/>
  <c r="BQ24" i="87"/>
  <c r="BG17" i="88"/>
  <c r="BG14" i="87"/>
  <c r="BG8" i="88"/>
  <c r="BL2" i="87"/>
  <c r="BQ15" i="87"/>
  <c r="BL19" i="88"/>
  <c r="BQ8" i="87"/>
  <c r="BQ17" i="87"/>
  <c r="BQ22" i="88"/>
  <c r="BU19" i="87"/>
  <c r="BL9" i="87"/>
  <c r="BL16" i="87"/>
  <c r="BL21" i="88"/>
  <c r="BG24" i="87"/>
  <c r="BG20" i="87"/>
  <c r="BU14" i="87"/>
  <c r="BL20" i="87"/>
  <c r="BU19" i="88"/>
  <c r="BL18" i="87"/>
  <c r="BU21" i="87"/>
  <c r="BQ15" i="88"/>
  <c r="BG2" i="88"/>
  <c r="BG19" i="88"/>
  <c r="BU9" i="88"/>
  <c r="BU12" i="88"/>
  <c r="BU17" i="87"/>
  <c r="BG13" i="87"/>
  <c r="BQ22" i="87"/>
  <c r="BG5" i="87"/>
  <c r="BL22" i="88"/>
  <c r="BL7" i="88"/>
  <c r="BU16" i="88"/>
  <c r="BG16" i="87"/>
  <c r="BL15" i="87"/>
  <c r="BQ7" i="87"/>
  <c r="BU6" i="88"/>
  <c r="BQ9" i="88"/>
  <c r="BG9" i="87"/>
  <c r="BQ16" i="88"/>
  <c r="BG10" i="88"/>
  <c r="BG11" i="87"/>
  <c r="BG16" i="88"/>
  <c r="BU22" i="87"/>
  <c r="BL24" i="87"/>
  <c r="BL10" i="88"/>
  <c r="BQ8" i="88"/>
  <c r="BG24" i="88"/>
  <c r="BL24" i="88"/>
  <c r="BQ14" i="87"/>
  <c r="BQ18" i="87"/>
  <c r="BQ23" i="87"/>
  <c r="BU11" i="88"/>
  <c r="BQ17" i="88"/>
  <c r="BG17" i="87"/>
  <c r="BU7" i="88"/>
  <c r="BL14" i="87"/>
  <c r="BQ12" i="88"/>
  <c r="BG23" i="88"/>
  <c r="BG15" i="87"/>
  <c r="BG7" i="87"/>
  <c r="BL18" i="88"/>
  <c r="BQ6" i="88"/>
  <c r="BL9" i="88"/>
  <c r="BL13" i="87"/>
  <c r="BL23" i="88"/>
  <c r="BQ11" i="87"/>
  <c r="BU22" i="88"/>
  <c r="BU23" i="87"/>
  <c r="BG13" i="88"/>
  <c r="BU7" i="87"/>
  <c r="BQ16" i="87"/>
  <c r="BQ9" i="87"/>
  <c r="BG20" i="88"/>
  <c r="BL17" i="88"/>
  <c r="BQ10" i="88"/>
  <c r="BQ2" i="87"/>
  <c r="BR2" i="87" s="1"/>
  <c r="BR1" i="87" s="1"/>
  <c r="BU20" i="88"/>
  <c r="BL11" i="88"/>
  <c r="BG12" i="88"/>
  <c r="BG11" i="88"/>
  <c r="BG6" i="87"/>
  <c r="BQ18" i="88"/>
  <c r="BQ20" i="87"/>
  <c r="BG22" i="87"/>
  <c r="BG19" i="87"/>
  <c r="BQ23" i="88"/>
  <c r="BL6" i="88"/>
  <c r="BG18" i="87"/>
  <c r="BU11" i="87"/>
  <c r="BG12" i="87"/>
  <c r="BL15" i="88"/>
  <c r="BG7" i="88"/>
  <c r="BU9" i="87"/>
  <c r="BL7" i="87"/>
  <c r="BG10" i="87"/>
  <c r="BG15" i="88"/>
  <c r="BL8" i="88"/>
  <c r="BU8" i="87"/>
  <c r="BQ10" i="87"/>
  <c r="BL11" i="87"/>
  <c r="BL14" i="88"/>
  <c r="BL20" i="88"/>
  <c r="BU20" i="87"/>
  <c r="BL21" i="87"/>
  <c r="BQ21" i="88"/>
  <c r="BL8" i="87"/>
  <c r="BQ11" i="88"/>
  <c r="BQ6" i="87"/>
  <c r="BU12" i="87"/>
  <c r="BU24" i="88"/>
  <c r="BG8" i="87"/>
  <c r="BL12" i="87"/>
  <c r="BU8" i="86"/>
  <c r="BG5" i="86"/>
  <c r="BG2" i="86"/>
  <c r="BL6" i="86"/>
  <c r="BQ2" i="86"/>
  <c r="BR2" i="86" s="1"/>
  <c r="BR1" i="86" s="1"/>
  <c r="CI2" i="86"/>
  <c r="CJ2" i="86" s="1"/>
  <c r="BG14" i="86"/>
  <c r="BU14" i="86"/>
  <c r="BU12" i="86"/>
  <c r="BG12" i="86"/>
  <c r="BQ11" i="86"/>
  <c r="BG23" i="86"/>
  <c r="BL18" i="86"/>
  <c r="BL19" i="86"/>
  <c r="BQ12" i="86"/>
  <c r="BG24" i="86"/>
  <c r="BQ14" i="86"/>
  <c r="BQ17" i="86"/>
  <c r="BL24" i="86"/>
  <c r="BG16" i="86"/>
  <c r="BL2" i="86"/>
  <c r="BG21" i="86"/>
  <c r="BU17" i="86"/>
  <c r="BQ21" i="86"/>
  <c r="BU9" i="86"/>
  <c r="BL13" i="86"/>
  <c r="BL16" i="86"/>
  <c r="BL9" i="86"/>
  <c r="BQ10" i="86"/>
  <c r="BQ8" i="86"/>
  <c r="BG11" i="86"/>
  <c r="BG10" i="86"/>
  <c r="BU7" i="86"/>
  <c r="BG18" i="86"/>
  <c r="BQ23" i="86"/>
  <c r="BG7" i="86"/>
  <c r="BQ24" i="86"/>
  <c r="BU11" i="86"/>
  <c r="BU16" i="86"/>
  <c r="BL22" i="86"/>
  <c r="BU22" i="86"/>
  <c r="BG13" i="86"/>
  <c r="BL15" i="86"/>
  <c r="BL8" i="86"/>
  <c r="BG8" i="86"/>
  <c r="BQ16" i="86"/>
  <c r="BG6" i="86"/>
  <c r="BL20" i="86"/>
  <c r="BG22" i="86"/>
  <c r="BQ15" i="86"/>
  <c r="BQ22" i="86"/>
  <c r="BU20" i="86"/>
  <c r="BL7" i="86"/>
  <c r="BL10" i="86"/>
  <c r="BU2" i="86"/>
  <c r="BV2" i="86" s="1"/>
  <c r="BV1" i="86" s="1"/>
  <c r="BL17" i="86"/>
  <c r="BL21" i="86"/>
  <c r="BU15" i="86"/>
  <c r="BQ20" i="86"/>
  <c r="BU21" i="86"/>
  <c r="BQ9" i="86"/>
  <c r="BL23" i="86"/>
  <c r="BL12" i="86"/>
  <c r="BG17" i="86"/>
  <c r="BG15" i="86"/>
  <c r="BL11" i="86"/>
  <c r="BQ7" i="86"/>
  <c r="BQ6" i="86"/>
  <c r="BG9" i="86"/>
  <c r="BQ18" i="86"/>
  <c r="BL14" i="86"/>
  <c r="BG19" i="86"/>
  <c r="BG20" i="86"/>
  <c r="BU23" i="86"/>
  <c r="BU18" i="86"/>
  <c r="BU6" i="86"/>
  <c r="BU19" i="86"/>
  <c r="BU24" i="86"/>
  <c r="BQ19" i="86"/>
  <c r="EX97" i="9"/>
  <c r="EW98" i="9"/>
  <c r="IV96" i="9"/>
  <c r="EW10" i="93" s="1"/>
  <c r="IU97" i="9"/>
  <c r="GH95" i="9"/>
  <c r="GJ97" i="9"/>
  <c r="GN97" i="9" s="1"/>
  <c r="EU137" i="9" l="1"/>
  <c r="GA130" i="9"/>
  <c r="HL130" i="9"/>
  <c r="HC130" i="9"/>
  <c r="HQ130" i="9"/>
  <c r="HF130" i="9"/>
  <c r="HI130" i="9"/>
  <c r="E13" i="112"/>
  <c r="BU29" i="124"/>
  <c r="BU30" i="124"/>
  <c r="E19" i="124"/>
  <c r="E14" i="124"/>
  <c r="E8" i="124"/>
  <c r="E16" i="124"/>
  <c r="E15" i="124"/>
  <c r="E21" i="124"/>
  <c r="E18" i="124"/>
  <c r="E17" i="124"/>
  <c r="E22" i="124"/>
  <c r="BI2" i="124"/>
  <c r="BI1" i="124" s="1"/>
  <c r="BH2" i="124"/>
  <c r="CK2" i="124"/>
  <c r="CJ1" i="124"/>
  <c r="E3" i="124"/>
  <c r="E24" i="124"/>
  <c r="E6" i="124"/>
  <c r="E9" i="124"/>
  <c r="E23" i="124"/>
  <c r="E7" i="124"/>
  <c r="E12" i="124"/>
  <c r="E11" i="124"/>
  <c r="BM2" i="124"/>
  <c r="BM1" i="124" s="1"/>
  <c r="BN2" i="124"/>
  <c r="BN1" i="124" s="1"/>
  <c r="E13" i="124"/>
  <c r="BV24" i="124"/>
  <c r="Q24" i="124" s="1"/>
  <c r="R24" i="124" s="1"/>
  <c r="BV16" i="124"/>
  <c r="Q16" i="124" s="1"/>
  <c r="R16" i="124" s="1"/>
  <c r="BV11" i="124"/>
  <c r="Q11" i="124" s="1"/>
  <c r="R11" i="124" s="1"/>
  <c r="BV8" i="124"/>
  <c r="Q8" i="124" s="1"/>
  <c r="R8" i="124" s="1"/>
  <c r="BV14" i="124"/>
  <c r="Q14" i="124" s="1"/>
  <c r="R14" i="124" s="1"/>
  <c r="BV22" i="124"/>
  <c r="Q22" i="124" s="1"/>
  <c r="R22" i="124" s="1"/>
  <c r="BV15" i="124"/>
  <c r="Q15" i="124" s="1"/>
  <c r="R15" i="124" s="1"/>
  <c r="BV17" i="124"/>
  <c r="Q17" i="124" s="1"/>
  <c r="R17" i="124" s="1"/>
  <c r="BV23" i="124"/>
  <c r="Q23" i="124" s="1"/>
  <c r="R23" i="124" s="1"/>
  <c r="BV12" i="124"/>
  <c r="Q12" i="124" s="1"/>
  <c r="R12" i="124" s="1"/>
  <c r="BV20" i="124"/>
  <c r="BU26" i="124" s="1"/>
  <c r="BV7" i="124"/>
  <c r="Q7" i="124" s="1"/>
  <c r="R7" i="124" s="1"/>
  <c r="BV18" i="124"/>
  <c r="Q18" i="124" s="1"/>
  <c r="R18" i="124" s="1"/>
  <c r="BV6" i="124"/>
  <c r="BV21" i="124"/>
  <c r="Q21" i="124" s="1"/>
  <c r="R21" i="124" s="1"/>
  <c r="BV9" i="124"/>
  <c r="Q9" i="124" s="1"/>
  <c r="R9" i="124" s="1"/>
  <c r="BV19" i="124"/>
  <c r="Q19" i="124" s="1"/>
  <c r="E10" i="124"/>
  <c r="E20" i="124"/>
  <c r="BR7" i="124"/>
  <c r="O7" i="124" s="1"/>
  <c r="P7" i="124" s="1"/>
  <c r="BR23" i="124"/>
  <c r="O23" i="124" s="1"/>
  <c r="P23" i="124" s="1"/>
  <c r="BR24" i="124"/>
  <c r="O24" i="124" s="1"/>
  <c r="P24" i="124" s="1"/>
  <c r="BR10" i="124"/>
  <c r="O10" i="124" s="1"/>
  <c r="P10" i="124" s="1"/>
  <c r="BR12" i="124"/>
  <c r="O12" i="124" s="1"/>
  <c r="P12" i="124" s="1"/>
  <c r="BR8" i="124"/>
  <c r="O8" i="124" s="1"/>
  <c r="P8" i="124" s="1"/>
  <c r="BR14" i="124"/>
  <c r="O14" i="124" s="1"/>
  <c r="P14" i="124" s="1"/>
  <c r="BR6" i="124"/>
  <c r="O6" i="124" s="1"/>
  <c r="P6" i="124" s="1"/>
  <c r="BR21" i="124"/>
  <c r="O21" i="124" s="1"/>
  <c r="P21" i="124" s="1"/>
  <c r="BR18" i="124"/>
  <c r="O18" i="124" s="1"/>
  <c r="P18" i="124" s="1"/>
  <c r="BR17" i="124"/>
  <c r="O17" i="124" s="1"/>
  <c r="P17" i="124" s="1"/>
  <c r="BR22" i="124"/>
  <c r="O22" i="124" s="1"/>
  <c r="P22" i="124" s="1"/>
  <c r="BR9" i="124"/>
  <c r="O9" i="124" s="1"/>
  <c r="P9" i="124" s="1"/>
  <c r="BR16" i="124"/>
  <c r="O16" i="124" s="1"/>
  <c r="P16" i="124" s="1"/>
  <c r="BR11" i="124"/>
  <c r="O11" i="124" s="1"/>
  <c r="P11" i="124" s="1"/>
  <c r="BR19" i="124"/>
  <c r="O19" i="124" s="1"/>
  <c r="P19" i="124" s="1"/>
  <c r="BR20" i="124"/>
  <c r="O20" i="124" s="1"/>
  <c r="P20" i="124" s="1"/>
  <c r="BR15" i="124"/>
  <c r="O15" i="124" s="1"/>
  <c r="P15" i="124" s="1"/>
  <c r="E24" i="121"/>
  <c r="E14" i="121"/>
  <c r="E6" i="121"/>
  <c r="E22" i="121"/>
  <c r="E15" i="121"/>
  <c r="E21" i="121"/>
  <c r="E10" i="121"/>
  <c r="E11" i="121"/>
  <c r="BM2" i="121"/>
  <c r="BM1" i="121" s="1"/>
  <c r="BN2" i="121"/>
  <c r="BN1" i="121" s="1"/>
  <c r="E9" i="121"/>
  <c r="E19" i="121"/>
  <c r="E18" i="121"/>
  <c r="BU30" i="121"/>
  <c r="E23" i="121"/>
  <c r="E13" i="121"/>
  <c r="BV17" i="121"/>
  <c r="Q17" i="121" s="1"/>
  <c r="R17" i="121" s="1"/>
  <c r="BV21" i="121"/>
  <c r="Q21" i="121" s="1"/>
  <c r="R21" i="121" s="1"/>
  <c r="BV18" i="121"/>
  <c r="Q18" i="121" s="1"/>
  <c r="R18" i="121" s="1"/>
  <c r="BV24" i="121"/>
  <c r="Q24" i="121" s="1"/>
  <c r="R24" i="121" s="1"/>
  <c r="BV16" i="121"/>
  <c r="Q16" i="121" s="1"/>
  <c r="R16" i="121" s="1"/>
  <c r="BV7" i="121"/>
  <c r="Q7" i="121" s="1"/>
  <c r="R7" i="121" s="1"/>
  <c r="BV15" i="121"/>
  <c r="Q15" i="121" s="1"/>
  <c r="R15" i="121" s="1"/>
  <c r="BV23" i="121"/>
  <c r="Q23" i="121" s="1"/>
  <c r="R23" i="121" s="1"/>
  <c r="BV12" i="121"/>
  <c r="Q12" i="121" s="1"/>
  <c r="R12" i="121" s="1"/>
  <c r="BV6" i="121"/>
  <c r="Q6" i="121" s="1"/>
  <c r="R6" i="121" s="1"/>
  <c r="BV20" i="121"/>
  <c r="BU26" i="121" s="1"/>
  <c r="BV14" i="121"/>
  <c r="Q14" i="121" s="1"/>
  <c r="R14" i="121" s="1"/>
  <c r="BV11" i="121"/>
  <c r="Q11" i="121" s="1"/>
  <c r="R11" i="121" s="1"/>
  <c r="BV9" i="121"/>
  <c r="Q9" i="121" s="1"/>
  <c r="R9" i="121" s="1"/>
  <c r="BV8" i="121"/>
  <c r="Q8" i="121" s="1"/>
  <c r="R8" i="121" s="1"/>
  <c r="BV22" i="121"/>
  <c r="Q22" i="121" s="1"/>
  <c r="R22" i="121" s="1"/>
  <c r="BV19" i="121"/>
  <c r="Q19" i="121" s="1"/>
  <c r="E16" i="121"/>
  <c r="E3" i="121"/>
  <c r="CK2" i="121"/>
  <c r="CJ1" i="121"/>
  <c r="E20" i="121"/>
  <c r="E7" i="121"/>
  <c r="E12" i="121"/>
  <c r="E8" i="121"/>
  <c r="BU29" i="121"/>
  <c r="BI2" i="121"/>
  <c r="BI1" i="121" s="1"/>
  <c r="BH2" i="121"/>
  <c r="BR19" i="121"/>
  <c r="O19" i="121" s="1"/>
  <c r="P19" i="121" s="1"/>
  <c r="BR11" i="121"/>
  <c r="O11" i="121" s="1"/>
  <c r="P11" i="121" s="1"/>
  <c r="BR6" i="121"/>
  <c r="BR22" i="121"/>
  <c r="O22" i="121" s="1"/>
  <c r="P22" i="121" s="1"/>
  <c r="BR10" i="121"/>
  <c r="O10" i="121" s="1"/>
  <c r="P10" i="121" s="1"/>
  <c r="BR24" i="121"/>
  <c r="O24" i="121" s="1"/>
  <c r="P24" i="121" s="1"/>
  <c r="BR21" i="121"/>
  <c r="O21" i="121" s="1"/>
  <c r="P21" i="121" s="1"/>
  <c r="BR17" i="121"/>
  <c r="O17" i="121" s="1"/>
  <c r="P17" i="121" s="1"/>
  <c r="BR7" i="121"/>
  <c r="O7" i="121" s="1"/>
  <c r="P7" i="121" s="1"/>
  <c r="BR23" i="121"/>
  <c r="O23" i="121" s="1"/>
  <c r="P23" i="121" s="1"/>
  <c r="BR14" i="121"/>
  <c r="O14" i="121" s="1"/>
  <c r="P14" i="121" s="1"/>
  <c r="BR20" i="121"/>
  <c r="O20" i="121" s="1"/>
  <c r="P20" i="121" s="1"/>
  <c r="BR9" i="121"/>
  <c r="O9" i="121" s="1"/>
  <c r="P9" i="121" s="1"/>
  <c r="BR18" i="121"/>
  <c r="O18" i="121" s="1"/>
  <c r="P18" i="121" s="1"/>
  <c r="BR15" i="121"/>
  <c r="O15" i="121" s="1"/>
  <c r="P15" i="121" s="1"/>
  <c r="BR12" i="121"/>
  <c r="O12" i="121" s="1"/>
  <c r="P12" i="121" s="1"/>
  <c r="BR16" i="121"/>
  <c r="O16" i="121" s="1"/>
  <c r="P16" i="121" s="1"/>
  <c r="BR8" i="121"/>
  <c r="O8" i="121" s="1"/>
  <c r="P8" i="121" s="1"/>
  <c r="E17" i="121"/>
  <c r="C132" i="9"/>
  <c r="A131" i="9"/>
  <c r="E131" i="9" s="1"/>
  <c r="E8" i="120"/>
  <c r="E14" i="120"/>
  <c r="E13" i="120"/>
  <c r="BR21" i="120"/>
  <c r="O21" i="120" s="1"/>
  <c r="P21" i="120" s="1"/>
  <c r="BR18" i="120"/>
  <c r="O18" i="120" s="1"/>
  <c r="P18" i="120" s="1"/>
  <c r="BR8" i="120"/>
  <c r="O8" i="120" s="1"/>
  <c r="P8" i="120" s="1"/>
  <c r="BR20" i="120"/>
  <c r="O20" i="120" s="1"/>
  <c r="P20" i="120" s="1"/>
  <c r="BR11" i="120"/>
  <c r="O11" i="120" s="1"/>
  <c r="P11" i="120" s="1"/>
  <c r="BR16" i="120"/>
  <c r="O16" i="120" s="1"/>
  <c r="P16" i="120" s="1"/>
  <c r="BR10" i="120"/>
  <c r="O10" i="120" s="1"/>
  <c r="P10" i="120" s="1"/>
  <c r="BR15" i="120"/>
  <c r="O15" i="120" s="1"/>
  <c r="P15" i="120" s="1"/>
  <c r="BR9" i="120"/>
  <c r="O9" i="120" s="1"/>
  <c r="P9" i="120" s="1"/>
  <c r="BR22" i="120"/>
  <c r="O22" i="120" s="1"/>
  <c r="P22" i="120" s="1"/>
  <c r="BR7" i="120"/>
  <c r="O7" i="120" s="1"/>
  <c r="P7" i="120" s="1"/>
  <c r="BR23" i="120"/>
  <c r="O23" i="120" s="1"/>
  <c r="P23" i="120" s="1"/>
  <c r="BR17" i="120"/>
  <c r="O17" i="120" s="1"/>
  <c r="P17" i="120" s="1"/>
  <c r="BR6" i="120"/>
  <c r="O6" i="120" s="1"/>
  <c r="BR19" i="120"/>
  <c r="O19" i="120" s="1"/>
  <c r="P19" i="120" s="1"/>
  <c r="BR24" i="120"/>
  <c r="O24" i="120" s="1"/>
  <c r="P24" i="120" s="1"/>
  <c r="BR14" i="120"/>
  <c r="O14" i="120" s="1"/>
  <c r="P14" i="120" s="1"/>
  <c r="BR12" i="120"/>
  <c r="O12" i="120" s="1"/>
  <c r="P12" i="120" s="1"/>
  <c r="BV18" i="120"/>
  <c r="Q18" i="120" s="1"/>
  <c r="R18" i="120" s="1"/>
  <c r="BV17" i="120"/>
  <c r="Q17" i="120" s="1"/>
  <c r="R17" i="120" s="1"/>
  <c r="BV9" i="120"/>
  <c r="Q9" i="120" s="1"/>
  <c r="R9" i="120" s="1"/>
  <c r="BV19" i="120"/>
  <c r="Q19" i="120" s="1"/>
  <c r="BV24" i="120"/>
  <c r="Q24" i="120" s="1"/>
  <c r="R24" i="120" s="1"/>
  <c r="BV14" i="120"/>
  <c r="Q14" i="120" s="1"/>
  <c r="R14" i="120" s="1"/>
  <c r="BV8" i="120"/>
  <c r="Q8" i="120" s="1"/>
  <c r="R8" i="120" s="1"/>
  <c r="BV23" i="120"/>
  <c r="Q23" i="120" s="1"/>
  <c r="R23" i="120" s="1"/>
  <c r="BV12" i="120"/>
  <c r="Q12" i="120" s="1"/>
  <c r="R12" i="120" s="1"/>
  <c r="BV7" i="120"/>
  <c r="Q7" i="120" s="1"/>
  <c r="R7" i="120" s="1"/>
  <c r="BV11" i="120"/>
  <c r="Q11" i="120" s="1"/>
  <c r="R11" i="120" s="1"/>
  <c r="BV21" i="120"/>
  <c r="Q21" i="120" s="1"/>
  <c r="R21" i="120" s="1"/>
  <c r="BV16" i="120"/>
  <c r="Q16" i="120" s="1"/>
  <c r="R16" i="120" s="1"/>
  <c r="BV6" i="120"/>
  <c r="Q6" i="120" s="1"/>
  <c r="R6" i="120" s="1"/>
  <c r="BV20" i="120"/>
  <c r="BU26" i="120" s="1"/>
  <c r="BV15" i="120"/>
  <c r="Q15" i="120" s="1"/>
  <c r="R15" i="120" s="1"/>
  <c r="BV22" i="120"/>
  <c r="Q22" i="120" s="1"/>
  <c r="R22" i="120" s="1"/>
  <c r="E11" i="120"/>
  <c r="E19" i="120"/>
  <c r="BI2" i="120"/>
  <c r="BI1" i="120" s="1"/>
  <c r="BH2" i="120"/>
  <c r="E17" i="120"/>
  <c r="E23" i="120"/>
  <c r="E7" i="120"/>
  <c r="E10" i="120"/>
  <c r="E12" i="120"/>
  <c r="E3" i="120"/>
  <c r="E21" i="120"/>
  <c r="E24" i="120"/>
  <c r="E9" i="120"/>
  <c r="BM2" i="120"/>
  <c r="BM1" i="120" s="1"/>
  <c r="BN2" i="120"/>
  <c r="BN1" i="120" s="1"/>
  <c r="E15" i="120"/>
  <c r="E6" i="120"/>
  <c r="CK2" i="120"/>
  <c r="CJ1" i="120"/>
  <c r="E18" i="120"/>
  <c r="BU30" i="120"/>
  <c r="E22" i="120"/>
  <c r="E16" i="120"/>
  <c r="BU29" i="120"/>
  <c r="E20" i="120"/>
  <c r="E19" i="113"/>
  <c r="E19" i="119"/>
  <c r="E11" i="119"/>
  <c r="E8" i="119"/>
  <c r="E23" i="119"/>
  <c r="E21" i="119"/>
  <c r="E20" i="119"/>
  <c r="BU29" i="119"/>
  <c r="E3" i="119"/>
  <c r="E14" i="119"/>
  <c r="E9" i="119"/>
  <c r="E22" i="119"/>
  <c r="E12" i="119"/>
  <c r="E18" i="119"/>
  <c r="CK2" i="119"/>
  <c r="CJ1" i="119"/>
  <c r="E24" i="119"/>
  <c r="E16" i="119"/>
  <c r="BU30" i="119"/>
  <c r="E6" i="119"/>
  <c r="E10" i="119"/>
  <c r="E17" i="119"/>
  <c r="E13" i="119"/>
  <c r="BV16" i="119"/>
  <c r="Q16" i="119" s="1"/>
  <c r="R16" i="119" s="1"/>
  <c r="BV9" i="119"/>
  <c r="Q9" i="119" s="1"/>
  <c r="R9" i="119" s="1"/>
  <c r="BV20" i="119"/>
  <c r="BU26" i="119" s="1"/>
  <c r="BV22" i="119"/>
  <c r="Q22" i="119" s="1"/>
  <c r="R22" i="119" s="1"/>
  <c r="BV15" i="119"/>
  <c r="Q15" i="119" s="1"/>
  <c r="R15" i="119" s="1"/>
  <c r="BV12" i="119"/>
  <c r="Q12" i="119" s="1"/>
  <c r="R12" i="119" s="1"/>
  <c r="BV8" i="119"/>
  <c r="Q8" i="119" s="1"/>
  <c r="R8" i="119" s="1"/>
  <c r="BV23" i="119"/>
  <c r="Q23" i="119" s="1"/>
  <c r="R23" i="119" s="1"/>
  <c r="BV11" i="119"/>
  <c r="Q11" i="119" s="1"/>
  <c r="R11" i="119" s="1"/>
  <c r="BV14" i="119"/>
  <c r="Q14" i="119" s="1"/>
  <c r="R14" i="119" s="1"/>
  <c r="BV17" i="119"/>
  <c r="Q17" i="119" s="1"/>
  <c r="R17" i="119" s="1"/>
  <c r="BV19" i="119"/>
  <c r="Q19" i="119" s="1"/>
  <c r="BV6" i="119"/>
  <c r="Q6" i="119" s="1"/>
  <c r="R6" i="119" s="1"/>
  <c r="BV7" i="119"/>
  <c r="Q7" i="119" s="1"/>
  <c r="R7" i="119" s="1"/>
  <c r="BV24" i="119"/>
  <c r="Q24" i="119" s="1"/>
  <c r="R24" i="119" s="1"/>
  <c r="BV21" i="119"/>
  <c r="Q21" i="119" s="1"/>
  <c r="R21" i="119" s="1"/>
  <c r="BV18" i="119"/>
  <c r="Q18" i="119" s="1"/>
  <c r="R18" i="119" s="1"/>
  <c r="BN2" i="119"/>
  <c r="BN1" i="119" s="1"/>
  <c r="BM2" i="119"/>
  <c r="BM1" i="119" s="1"/>
  <c r="E7" i="119"/>
  <c r="E15" i="119"/>
  <c r="BR15" i="119"/>
  <c r="O15" i="119" s="1"/>
  <c r="P15" i="119" s="1"/>
  <c r="BR12" i="119"/>
  <c r="O12" i="119" s="1"/>
  <c r="P12" i="119" s="1"/>
  <c r="BR16" i="119"/>
  <c r="O16" i="119" s="1"/>
  <c r="P16" i="119" s="1"/>
  <c r="BR22" i="119"/>
  <c r="O22" i="119" s="1"/>
  <c r="P22" i="119" s="1"/>
  <c r="BR9" i="119"/>
  <c r="O9" i="119" s="1"/>
  <c r="P9" i="119" s="1"/>
  <c r="BR20" i="119"/>
  <c r="O20" i="119" s="1"/>
  <c r="P20" i="119" s="1"/>
  <c r="BR10" i="119"/>
  <c r="O10" i="119" s="1"/>
  <c r="P10" i="119" s="1"/>
  <c r="BR18" i="119"/>
  <c r="O18" i="119" s="1"/>
  <c r="P18" i="119" s="1"/>
  <c r="BR8" i="119"/>
  <c r="O8" i="119" s="1"/>
  <c r="P8" i="119" s="1"/>
  <c r="BR14" i="119"/>
  <c r="O14" i="119" s="1"/>
  <c r="P14" i="119" s="1"/>
  <c r="BR23" i="119"/>
  <c r="O23" i="119" s="1"/>
  <c r="P23" i="119" s="1"/>
  <c r="BR6" i="119"/>
  <c r="BR21" i="119"/>
  <c r="O21" i="119" s="1"/>
  <c r="P21" i="119" s="1"/>
  <c r="BR7" i="119"/>
  <c r="O7" i="119" s="1"/>
  <c r="P7" i="119" s="1"/>
  <c r="BR24" i="119"/>
  <c r="O24" i="119" s="1"/>
  <c r="P24" i="119" s="1"/>
  <c r="BR19" i="119"/>
  <c r="O19" i="119" s="1"/>
  <c r="P19" i="119" s="1"/>
  <c r="BR17" i="119"/>
  <c r="O17" i="119" s="1"/>
  <c r="P17" i="119" s="1"/>
  <c r="BR11" i="119"/>
  <c r="O11" i="119" s="1"/>
  <c r="P11" i="119" s="1"/>
  <c r="BI2" i="119"/>
  <c r="BI1" i="119" s="1"/>
  <c r="BH2" i="119"/>
  <c r="E9" i="116"/>
  <c r="E13" i="116"/>
  <c r="E15" i="116"/>
  <c r="E21" i="116"/>
  <c r="E10" i="113"/>
  <c r="E11" i="116"/>
  <c r="E10" i="116"/>
  <c r="E22" i="116"/>
  <c r="E12" i="116"/>
  <c r="E14" i="116"/>
  <c r="BW19" i="116"/>
  <c r="Q19" i="116" s="1"/>
  <c r="BW24" i="116"/>
  <c r="Q24" i="116" s="1"/>
  <c r="R24" i="116" s="1"/>
  <c r="BW12" i="116"/>
  <c r="Q12" i="116" s="1"/>
  <c r="R12" i="116" s="1"/>
  <c r="BW23" i="116"/>
  <c r="Q23" i="116" s="1"/>
  <c r="R23" i="116" s="1"/>
  <c r="BW11" i="116"/>
  <c r="Q11" i="116" s="1"/>
  <c r="R11" i="116" s="1"/>
  <c r="BW7" i="116"/>
  <c r="Q7" i="116" s="1"/>
  <c r="R7" i="116" s="1"/>
  <c r="BW18" i="116"/>
  <c r="Q18" i="116" s="1"/>
  <c r="R18" i="116" s="1"/>
  <c r="BW9" i="116"/>
  <c r="Q9" i="116" s="1"/>
  <c r="R9" i="116" s="1"/>
  <c r="BW16" i="116"/>
  <c r="Q16" i="116" s="1"/>
  <c r="R16" i="116" s="1"/>
  <c r="BW6" i="116"/>
  <c r="Q6" i="116" s="1"/>
  <c r="R6" i="116" s="1"/>
  <c r="BW17" i="116"/>
  <c r="Q17" i="116" s="1"/>
  <c r="R17" i="116" s="1"/>
  <c r="BW22" i="116"/>
  <c r="Q22" i="116" s="1"/>
  <c r="R22" i="116" s="1"/>
  <c r="BW14" i="116"/>
  <c r="Q14" i="116" s="1"/>
  <c r="R14" i="116" s="1"/>
  <c r="BW8" i="116"/>
  <c r="Q8" i="116" s="1"/>
  <c r="R8" i="116" s="1"/>
  <c r="BW20" i="116"/>
  <c r="Q20" i="116" s="1"/>
  <c r="R20" i="116" s="1"/>
  <c r="BW15" i="116"/>
  <c r="Q15" i="116" s="1"/>
  <c r="R15" i="116" s="1"/>
  <c r="BW21" i="116"/>
  <c r="Q21" i="116" s="1"/>
  <c r="R21" i="116" s="1"/>
  <c r="E19" i="116"/>
  <c r="E24" i="116"/>
  <c r="E18" i="116"/>
  <c r="E8" i="116"/>
  <c r="BS19" i="116"/>
  <c r="O19" i="116" s="1"/>
  <c r="P19" i="116" s="1"/>
  <c r="BS10" i="116"/>
  <c r="O10" i="116" s="1"/>
  <c r="P10" i="116" s="1"/>
  <c r="BS17" i="116"/>
  <c r="O17" i="116" s="1"/>
  <c r="P17" i="116" s="1"/>
  <c r="BS23" i="116"/>
  <c r="O23" i="116" s="1"/>
  <c r="P23" i="116" s="1"/>
  <c r="BS14" i="116"/>
  <c r="O14" i="116" s="1"/>
  <c r="P14" i="116" s="1"/>
  <c r="BS22" i="116"/>
  <c r="O22" i="116" s="1"/>
  <c r="P22" i="116" s="1"/>
  <c r="BS24" i="116"/>
  <c r="O24" i="116" s="1"/>
  <c r="P24" i="116" s="1"/>
  <c r="BS8" i="116"/>
  <c r="O8" i="116" s="1"/>
  <c r="P8" i="116" s="1"/>
  <c r="BS12" i="116"/>
  <c r="O12" i="116" s="1"/>
  <c r="P12" i="116" s="1"/>
  <c r="BS9" i="116"/>
  <c r="O9" i="116" s="1"/>
  <c r="P9" i="116" s="1"/>
  <c r="BS18" i="116"/>
  <c r="O18" i="116" s="1"/>
  <c r="P18" i="116" s="1"/>
  <c r="BS7" i="116"/>
  <c r="O7" i="116" s="1"/>
  <c r="P7" i="116" s="1"/>
  <c r="BS21" i="116"/>
  <c r="O21" i="116" s="1"/>
  <c r="P21" i="116" s="1"/>
  <c r="BS16" i="116"/>
  <c r="O16" i="116" s="1"/>
  <c r="P16" i="116" s="1"/>
  <c r="BS15" i="116"/>
  <c r="O15" i="116" s="1"/>
  <c r="P15" i="116" s="1"/>
  <c r="BS20" i="116"/>
  <c r="O20" i="116" s="1"/>
  <c r="P20" i="116" s="1"/>
  <c r="BS11" i="116"/>
  <c r="O11" i="116" s="1"/>
  <c r="P11" i="116" s="1"/>
  <c r="BS6" i="116"/>
  <c r="O6" i="116" s="1"/>
  <c r="E17" i="116"/>
  <c r="BJ2" i="116"/>
  <c r="BJ1" i="116" s="1"/>
  <c r="BI2" i="116"/>
  <c r="E20" i="116"/>
  <c r="CL2" i="116"/>
  <c r="CK1" i="116"/>
  <c r="E6" i="116"/>
  <c r="BO2" i="116"/>
  <c r="BO1" i="116" s="1"/>
  <c r="BN2" i="116"/>
  <c r="BN1" i="116" s="1"/>
  <c r="BV29" i="116"/>
  <c r="E7" i="116"/>
  <c r="E3" i="116"/>
  <c r="BV30" i="116"/>
  <c r="E16" i="116"/>
  <c r="E23" i="116"/>
  <c r="E19" i="112"/>
  <c r="E9" i="112"/>
  <c r="E3" i="112"/>
  <c r="E20" i="112"/>
  <c r="E8" i="112"/>
  <c r="E18" i="113"/>
  <c r="E24" i="113"/>
  <c r="E21" i="112"/>
  <c r="E22" i="112"/>
  <c r="E18" i="112"/>
  <c r="BV28" i="112"/>
  <c r="E3" i="113"/>
  <c r="E21" i="113"/>
  <c r="E11" i="112"/>
  <c r="E16" i="113"/>
  <c r="E10" i="112"/>
  <c r="E8" i="113"/>
  <c r="BV30" i="112"/>
  <c r="E20" i="113"/>
  <c r="E14" i="113"/>
  <c r="BS22" i="112"/>
  <c r="O22" i="112" s="1"/>
  <c r="P22" i="112" s="1"/>
  <c r="BS12" i="112"/>
  <c r="O12" i="112" s="1"/>
  <c r="P12" i="112" s="1"/>
  <c r="BS11" i="112"/>
  <c r="O11" i="112" s="1"/>
  <c r="P11" i="112" s="1"/>
  <c r="BS16" i="112"/>
  <c r="O16" i="112" s="1"/>
  <c r="P16" i="112" s="1"/>
  <c r="BS10" i="112"/>
  <c r="O10" i="112" s="1"/>
  <c r="P10" i="112" s="1"/>
  <c r="BS8" i="112"/>
  <c r="O8" i="112" s="1"/>
  <c r="P8" i="112" s="1"/>
  <c r="BS17" i="112"/>
  <c r="O17" i="112" s="1"/>
  <c r="P17" i="112" s="1"/>
  <c r="BS9" i="112"/>
  <c r="O9" i="112" s="1"/>
  <c r="P9" i="112" s="1"/>
  <c r="BS23" i="112"/>
  <c r="O23" i="112" s="1"/>
  <c r="P23" i="112" s="1"/>
  <c r="BS6" i="112"/>
  <c r="BS19" i="112"/>
  <c r="O19" i="112" s="1"/>
  <c r="P19" i="112" s="1"/>
  <c r="BS20" i="112"/>
  <c r="O20" i="112" s="1"/>
  <c r="P20" i="112" s="1"/>
  <c r="BS14" i="112"/>
  <c r="O14" i="112" s="1"/>
  <c r="P14" i="112" s="1"/>
  <c r="BS18" i="112"/>
  <c r="O18" i="112" s="1"/>
  <c r="P18" i="112" s="1"/>
  <c r="BS7" i="112"/>
  <c r="O7" i="112" s="1"/>
  <c r="P7" i="112" s="1"/>
  <c r="BS24" i="112"/>
  <c r="O24" i="112" s="1"/>
  <c r="P24" i="112" s="1"/>
  <c r="BS21" i="112"/>
  <c r="O21" i="112" s="1"/>
  <c r="P21" i="112" s="1"/>
  <c r="BS15" i="112"/>
  <c r="O15" i="112" s="1"/>
  <c r="P15" i="112" s="1"/>
  <c r="BS16" i="113"/>
  <c r="O16" i="113" s="1"/>
  <c r="P16" i="113" s="1"/>
  <c r="BS14" i="113"/>
  <c r="O14" i="113" s="1"/>
  <c r="P14" i="113" s="1"/>
  <c r="BS15" i="113"/>
  <c r="O15" i="113" s="1"/>
  <c r="P15" i="113" s="1"/>
  <c r="BS23" i="113"/>
  <c r="O23" i="113" s="1"/>
  <c r="P23" i="113" s="1"/>
  <c r="BS9" i="113"/>
  <c r="O9" i="113" s="1"/>
  <c r="P9" i="113" s="1"/>
  <c r="BS20" i="113"/>
  <c r="O20" i="113" s="1"/>
  <c r="P20" i="113" s="1"/>
  <c r="BS7" i="113"/>
  <c r="O7" i="113" s="1"/>
  <c r="P7" i="113" s="1"/>
  <c r="BS24" i="113"/>
  <c r="O24" i="113" s="1"/>
  <c r="P24" i="113" s="1"/>
  <c r="BS18" i="113"/>
  <c r="O18" i="113" s="1"/>
  <c r="P18" i="113" s="1"/>
  <c r="BS8" i="113"/>
  <c r="O8" i="113" s="1"/>
  <c r="P8" i="113" s="1"/>
  <c r="BS22" i="113"/>
  <c r="O22" i="113" s="1"/>
  <c r="P22" i="113" s="1"/>
  <c r="BS12" i="113"/>
  <c r="O12" i="113" s="1"/>
  <c r="P12" i="113" s="1"/>
  <c r="BS10" i="113"/>
  <c r="O10" i="113" s="1"/>
  <c r="P10" i="113" s="1"/>
  <c r="BS21" i="113"/>
  <c r="O21" i="113" s="1"/>
  <c r="P21" i="113" s="1"/>
  <c r="BS19" i="113"/>
  <c r="O19" i="113" s="1"/>
  <c r="P19" i="113" s="1"/>
  <c r="BS6" i="113"/>
  <c r="O6" i="113" s="1"/>
  <c r="BS17" i="113"/>
  <c r="O17" i="113" s="1"/>
  <c r="P17" i="113" s="1"/>
  <c r="BS11" i="113"/>
  <c r="O11" i="113" s="1"/>
  <c r="P11" i="113" s="1"/>
  <c r="E12" i="113"/>
  <c r="E16" i="112"/>
  <c r="E7" i="113"/>
  <c r="BO2" i="112"/>
  <c r="BO1" i="112" s="1"/>
  <c r="BN2" i="112"/>
  <c r="BN1" i="112" s="1"/>
  <c r="E6" i="113"/>
  <c r="E23" i="112"/>
  <c r="E23" i="113"/>
  <c r="E7" i="112"/>
  <c r="BV29" i="113"/>
  <c r="BJ2" i="113"/>
  <c r="BJ1" i="113" s="1"/>
  <c r="BI2" i="113"/>
  <c r="E15" i="112"/>
  <c r="E11" i="113"/>
  <c r="E24" i="112"/>
  <c r="E6" i="112"/>
  <c r="E13" i="113"/>
  <c r="E22" i="113"/>
  <c r="BW21" i="112"/>
  <c r="Q21" i="112" s="1"/>
  <c r="R21" i="112" s="1"/>
  <c r="BW17" i="112"/>
  <c r="Q17" i="112" s="1"/>
  <c r="R17" i="112" s="1"/>
  <c r="BW7" i="112"/>
  <c r="Q7" i="112" s="1"/>
  <c r="R7" i="112" s="1"/>
  <c r="BW24" i="112"/>
  <c r="Q24" i="112" s="1"/>
  <c r="R24" i="112" s="1"/>
  <c r="BW9" i="112"/>
  <c r="Q9" i="112" s="1"/>
  <c r="R9" i="112" s="1"/>
  <c r="BW12" i="112"/>
  <c r="Q12" i="112" s="1"/>
  <c r="R12" i="112" s="1"/>
  <c r="BW23" i="112"/>
  <c r="Q23" i="112" s="1"/>
  <c r="R23" i="112" s="1"/>
  <c r="BW8" i="112"/>
  <c r="Q8" i="112" s="1"/>
  <c r="R8" i="112" s="1"/>
  <c r="BW11" i="112"/>
  <c r="Q11" i="112" s="1"/>
  <c r="R11" i="112" s="1"/>
  <c r="BW22" i="112"/>
  <c r="Q22" i="112" s="1"/>
  <c r="R22" i="112" s="1"/>
  <c r="BW16" i="112"/>
  <c r="Q16" i="112" s="1"/>
  <c r="R16" i="112" s="1"/>
  <c r="BW6" i="112"/>
  <c r="Q6" i="112" s="1"/>
  <c r="R6" i="112" s="1"/>
  <c r="BW20" i="112"/>
  <c r="Q20" i="112" s="1"/>
  <c r="R20" i="112" s="1"/>
  <c r="BW15" i="112"/>
  <c r="Q15" i="112" s="1"/>
  <c r="R15" i="112" s="1"/>
  <c r="BW19" i="112"/>
  <c r="Q19" i="112" s="1"/>
  <c r="BW18" i="112"/>
  <c r="Q18" i="112" s="1"/>
  <c r="R18" i="112" s="1"/>
  <c r="BW14" i="112"/>
  <c r="Q14" i="112" s="1"/>
  <c r="R14" i="112" s="1"/>
  <c r="E14" i="112"/>
  <c r="E17" i="112"/>
  <c r="CL2" i="112"/>
  <c r="CK1" i="112"/>
  <c r="BJ2" i="112"/>
  <c r="BJ1" i="112" s="1"/>
  <c r="BI2" i="112"/>
  <c r="CL2" i="113"/>
  <c r="CK1" i="113"/>
  <c r="BW20" i="113"/>
  <c r="Q20" i="113" s="1"/>
  <c r="R20" i="113" s="1"/>
  <c r="BW8" i="113"/>
  <c r="Q8" i="113" s="1"/>
  <c r="R8" i="113" s="1"/>
  <c r="BW19" i="113"/>
  <c r="Q19" i="113" s="1"/>
  <c r="BW23" i="113"/>
  <c r="Q23" i="113" s="1"/>
  <c r="R23" i="113" s="1"/>
  <c r="BW14" i="113"/>
  <c r="Q14" i="113" s="1"/>
  <c r="R14" i="113" s="1"/>
  <c r="BW21" i="113"/>
  <c r="Q21" i="113" s="1"/>
  <c r="R21" i="113" s="1"/>
  <c r="BW16" i="113"/>
  <c r="Q16" i="113" s="1"/>
  <c r="R16" i="113" s="1"/>
  <c r="BW17" i="113"/>
  <c r="Q17" i="113" s="1"/>
  <c r="R17" i="113" s="1"/>
  <c r="BW22" i="113"/>
  <c r="Q22" i="113" s="1"/>
  <c r="R22" i="113" s="1"/>
  <c r="BW6" i="113"/>
  <c r="BW18" i="113"/>
  <c r="Q18" i="113" s="1"/>
  <c r="R18" i="113" s="1"/>
  <c r="BW7" i="113"/>
  <c r="Q7" i="113" s="1"/>
  <c r="R7" i="113" s="1"/>
  <c r="BW11" i="113"/>
  <c r="Q11" i="113" s="1"/>
  <c r="R11" i="113" s="1"/>
  <c r="BW12" i="113"/>
  <c r="Q12" i="113" s="1"/>
  <c r="R12" i="113" s="1"/>
  <c r="BW9" i="113"/>
  <c r="Q9" i="113" s="1"/>
  <c r="R9" i="113" s="1"/>
  <c r="BW15" i="113"/>
  <c r="Q15" i="113" s="1"/>
  <c r="R15" i="113" s="1"/>
  <c r="BW24" i="113"/>
  <c r="Q24" i="113" s="1"/>
  <c r="R24" i="113" s="1"/>
  <c r="BO2" i="113"/>
  <c r="BO1" i="113" s="1"/>
  <c r="BN2" i="113"/>
  <c r="BN1" i="113" s="1"/>
  <c r="E9" i="113"/>
  <c r="E12" i="112"/>
  <c r="E15" i="113"/>
  <c r="E17" i="113"/>
  <c r="BV30" i="113"/>
  <c r="BW23" i="109"/>
  <c r="Q23" i="109" s="1"/>
  <c r="R23" i="109" s="1"/>
  <c r="BW11" i="109"/>
  <c r="Q11" i="109" s="1"/>
  <c r="R11" i="109" s="1"/>
  <c r="BW14" i="109"/>
  <c r="Q14" i="109" s="1"/>
  <c r="R14" i="109" s="1"/>
  <c r="BW22" i="109"/>
  <c r="Q22" i="109" s="1"/>
  <c r="R22" i="109" s="1"/>
  <c r="BW18" i="109"/>
  <c r="Q18" i="109" s="1"/>
  <c r="R18" i="109" s="1"/>
  <c r="BW12" i="109"/>
  <c r="Q12" i="109" s="1"/>
  <c r="R12" i="109" s="1"/>
  <c r="BW21" i="109"/>
  <c r="Q21" i="109" s="1"/>
  <c r="R21" i="109" s="1"/>
  <c r="BW9" i="109"/>
  <c r="Q9" i="109" s="1"/>
  <c r="R9" i="109" s="1"/>
  <c r="BW20" i="109"/>
  <c r="Q20" i="109" s="1"/>
  <c r="R20" i="109" s="1"/>
  <c r="BW8" i="109"/>
  <c r="Q8" i="109" s="1"/>
  <c r="R8" i="109" s="1"/>
  <c r="BW6" i="109"/>
  <c r="Q6" i="109" s="1"/>
  <c r="R6" i="109" s="1"/>
  <c r="BW19" i="109"/>
  <c r="Q19" i="109" s="1"/>
  <c r="BW7" i="109"/>
  <c r="Q7" i="109" s="1"/>
  <c r="R7" i="109" s="1"/>
  <c r="BW17" i="109"/>
  <c r="Q17" i="109" s="1"/>
  <c r="R17" i="109" s="1"/>
  <c r="BW16" i="109"/>
  <c r="Q16" i="109" s="1"/>
  <c r="R16" i="109" s="1"/>
  <c r="BW24" i="109"/>
  <c r="Q24" i="109" s="1"/>
  <c r="R24" i="109" s="1"/>
  <c r="BW15" i="109"/>
  <c r="Q15" i="109" s="1"/>
  <c r="R15" i="109" s="1"/>
  <c r="BU28" i="108"/>
  <c r="BJ2" i="109"/>
  <c r="BJ1" i="109" s="1"/>
  <c r="BI2" i="109"/>
  <c r="BI1" i="109" s="1"/>
  <c r="BV20" i="108"/>
  <c r="Q20" i="108" s="1"/>
  <c r="R20" i="108" s="1"/>
  <c r="BV8" i="108"/>
  <c r="Q8" i="108" s="1"/>
  <c r="R8" i="108" s="1"/>
  <c r="BV19" i="108"/>
  <c r="Q19" i="108" s="1"/>
  <c r="BV7" i="108"/>
  <c r="Q7" i="108" s="1"/>
  <c r="R7" i="108" s="1"/>
  <c r="BV18" i="108"/>
  <c r="Q18" i="108" s="1"/>
  <c r="R18" i="108" s="1"/>
  <c r="BV6" i="108"/>
  <c r="BV17" i="108"/>
  <c r="Q17" i="108" s="1"/>
  <c r="R17" i="108" s="1"/>
  <c r="BV16" i="108"/>
  <c r="Q16" i="108" s="1"/>
  <c r="R16" i="108" s="1"/>
  <c r="BV15" i="108"/>
  <c r="Q15" i="108" s="1"/>
  <c r="R15" i="108" s="1"/>
  <c r="BV14" i="108"/>
  <c r="Q14" i="108" s="1"/>
  <c r="R14" i="108" s="1"/>
  <c r="BV24" i="108"/>
  <c r="Q24" i="108" s="1"/>
  <c r="R24" i="108" s="1"/>
  <c r="BV12" i="108"/>
  <c r="Q12" i="108" s="1"/>
  <c r="R12" i="108" s="1"/>
  <c r="BV23" i="108"/>
  <c r="Q23" i="108" s="1"/>
  <c r="R23" i="108" s="1"/>
  <c r="BV11" i="108"/>
  <c r="Q11" i="108" s="1"/>
  <c r="R11" i="108" s="1"/>
  <c r="BV22" i="108"/>
  <c r="Q22" i="108" s="1"/>
  <c r="R22" i="108" s="1"/>
  <c r="BV21" i="108"/>
  <c r="Q21" i="108" s="1"/>
  <c r="R21" i="108" s="1"/>
  <c r="BV9" i="108"/>
  <c r="Q9" i="108" s="1"/>
  <c r="R9" i="108" s="1"/>
  <c r="BV30" i="109"/>
  <c r="BS17" i="109"/>
  <c r="O17" i="109" s="1"/>
  <c r="P17" i="109" s="1"/>
  <c r="BS8" i="109"/>
  <c r="O8" i="109" s="1"/>
  <c r="P8" i="109" s="1"/>
  <c r="BS19" i="109"/>
  <c r="O19" i="109" s="1"/>
  <c r="P19" i="109" s="1"/>
  <c r="BS7" i="109"/>
  <c r="O7" i="109" s="1"/>
  <c r="P7" i="109" s="1"/>
  <c r="BS16" i="109"/>
  <c r="O16" i="109" s="1"/>
  <c r="P16" i="109" s="1"/>
  <c r="BS23" i="109"/>
  <c r="O23" i="109" s="1"/>
  <c r="P23" i="109" s="1"/>
  <c r="BS22" i="109"/>
  <c r="O22" i="109" s="1"/>
  <c r="P22" i="109" s="1"/>
  <c r="BS18" i="109"/>
  <c r="O18" i="109" s="1"/>
  <c r="P18" i="109" s="1"/>
  <c r="BS6" i="109"/>
  <c r="BS15" i="109"/>
  <c r="O15" i="109" s="1"/>
  <c r="P15" i="109" s="1"/>
  <c r="BS14" i="109"/>
  <c r="O14" i="109" s="1"/>
  <c r="P14" i="109" s="1"/>
  <c r="BS24" i="109"/>
  <c r="O24" i="109" s="1"/>
  <c r="P24" i="109" s="1"/>
  <c r="BS12" i="109"/>
  <c r="O12" i="109" s="1"/>
  <c r="P12" i="109" s="1"/>
  <c r="BS10" i="109"/>
  <c r="O10" i="109" s="1"/>
  <c r="P10" i="109" s="1"/>
  <c r="BS20" i="109"/>
  <c r="O20" i="109" s="1"/>
  <c r="P20" i="109" s="1"/>
  <c r="BS11" i="109"/>
  <c r="O11" i="109" s="1"/>
  <c r="P11" i="109" s="1"/>
  <c r="BS21" i="109"/>
  <c r="O21" i="109" s="1"/>
  <c r="P21" i="109" s="1"/>
  <c r="BS9" i="109"/>
  <c r="O9" i="109" s="1"/>
  <c r="P9" i="109" s="1"/>
  <c r="BN2" i="109"/>
  <c r="BN1" i="109" s="1"/>
  <c r="BO2" i="109"/>
  <c r="BO1" i="109" s="1"/>
  <c r="BR22" i="108"/>
  <c r="O22" i="108" s="1"/>
  <c r="P22" i="108" s="1"/>
  <c r="BR10" i="108"/>
  <c r="O10" i="108" s="1"/>
  <c r="P10" i="108" s="1"/>
  <c r="BR21" i="108"/>
  <c r="O21" i="108" s="1"/>
  <c r="P21" i="108" s="1"/>
  <c r="BR9" i="108"/>
  <c r="O9" i="108" s="1"/>
  <c r="P9" i="108" s="1"/>
  <c r="BR20" i="108"/>
  <c r="O20" i="108" s="1"/>
  <c r="P20" i="108" s="1"/>
  <c r="BR8" i="108"/>
  <c r="O8" i="108" s="1"/>
  <c r="P8" i="108" s="1"/>
  <c r="BR19" i="108"/>
  <c r="O19" i="108" s="1"/>
  <c r="P19" i="108" s="1"/>
  <c r="BR7" i="108"/>
  <c r="O7" i="108" s="1"/>
  <c r="P7" i="108" s="1"/>
  <c r="BR18" i="108"/>
  <c r="O18" i="108" s="1"/>
  <c r="P18" i="108" s="1"/>
  <c r="BR6" i="108"/>
  <c r="BR17" i="108"/>
  <c r="O17" i="108" s="1"/>
  <c r="P17" i="108" s="1"/>
  <c r="BR16" i="108"/>
  <c r="O16" i="108" s="1"/>
  <c r="P16" i="108" s="1"/>
  <c r="BR15" i="108"/>
  <c r="O15" i="108" s="1"/>
  <c r="P15" i="108" s="1"/>
  <c r="BR14" i="108"/>
  <c r="O14" i="108" s="1"/>
  <c r="P14" i="108" s="1"/>
  <c r="BR24" i="108"/>
  <c r="O24" i="108" s="1"/>
  <c r="P24" i="108" s="1"/>
  <c r="BR12" i="108"/>
  <c r="O12" i="108" s="1"/>
  <c r="P12" i="108" s="1"/>
  <c r="BR23" i="108"/>
  <c r="O23" i="108" s="1"/>
  <c r="P23" i="108" s="1"/>
  <c r="BR11" i="108"/>
  <c r="O11" i="108" s="1"/>
  <c r="P11" i="108" s="1"/>
  <c r="BN2" i="108"/>
  <c r="BN1" i="108" s="1"/>
  <c r="BM2" i="108"/>
  <c r="BM1" i="108" s="1"/>
  <c r="BI2" i="108"/>
  <c r="BI1" i="108" s="1"/>
  <c r="BH2" i="108"/>
  <c r="BH1" i="108" s="1"/>
  <c r="CK1" i="109"/>
  <c r="CL2" i="109"/>
  <c r="CK2" i="108"/>
  <c r="CJ1" i="108"/>
  <c r="BV28" i="109"/>
  <c r="BU30" i="108"/>
  <c r="BR17" i="106"/>
  <c r="O17" i="106" s="1"/>
  <c r="P17" i="106" s="1"/>
  <c r="BR9" i="106"/>
  <c r="O9" i="106" s="1"/>
  <c r="P9" i="106" s="1"/>
  <c r="BR24" i="106"/>
  <c r="O24" i="106" s="1"/>
  <c r="P24" i="106" s="1"/>
  <c r="BR16" i="106"/>
  <c r="O16" i="106" s="1"/>
  <c r="P16" i="106" s="1"/>
  <c r="BR8" i="106"/>
  <c r="O8" i="106" s="1"/>
  <c r="P8" i="106" s="1"/>
  <c r="BR23" i="106"/>
  <c r="O23" i="106" s="1"/>
  <c r="P23" i="106" s="1"/>
  <c r="BR15" i="106"/>
  <c r="O15" i="106" s="1"/>
  <c r="P15" i="106" s="1"/>
  <c r="BR7" i="106"/>
  <c r="O7" i="106" s="1"/>
  <c r="P7" i="106" s="1"/>
  <c r="BR22" i="106"/>
  <c r="O22" i="106" s="1"/>
  <c r="P22" i="106" s="1"/>
  <c r="BR14" i="106"/>
  <c r="O14" i="106" s="1"/>
  <c r="P14" i="106" s="1"/>
  <c r="BR6" i="106"/>
  <c r="O6" i="106" s="1"/>
  <c r="BR21" i="106"/>
  <c r="O21" i="106" s="1"/>
  <c r="P21" i="106" s="1"/>
  <c r="BR18" i="106"/>
  <c r="O18" i="106" s="1"/>
  <c r="P18" i="106" s="1"/>
  <c r="BR10" i="106"/>
  <c r="O10" i="106" s="1"/>
  <c r="P10" i="106" s="1"/>
  <c r="BR20" i="106"/>
  <c r="O20" i="106" s="1"/>
  <c r="P20" i="106" s="1"/>
  <c r="BR12" i="106"/>
  <c r="O12" i="106" s="1"/>
  <c r="P12" i="106" s="1"/>
  <c r="BR19" i="106"/>
  <c r="O19" i="106" s="1"/>
  <c r="P19" i="106" s="1"/>
  <c r="BR11" i="106"/>
  <c r="O11" i="106" s="1"/>
  <c r="P11" i="106" s="1"/>
  <c r="BV23" i="106"/>
  <c r="Q23" i="106" s="1"/>
  <c r="R23" i="106" s="1"/>
  <c r="BV15" i="106"/>
  <c r="Q15" i="106" s="1"/>
  <c r="R15" i="106" s="1"/>
  <c r="BV7" i="106"/>
  <c r="Q7" i="106" s="1"/>
  <c r="R7" i="106" s="1"/>
  <c r="BV22" i="106"/>
  <c r="Q22" i="106" s="1"/>
  <c r="R22" i="106" s="1"/>
  <c r="BV14" i="106"/>
  <c r="Q14" i="106" s="1"/>
  <c r="R14" i="106" s="1"/>
  <c r="BV6" i="106"/>
  <c r="Q6" i="106" s="1"/>
  <c r="R6" i="106" s="1"/>
  <c r="BV21" i="106"/>
  <c r="Q21" i="106" s="1"/>
  <c r="R21" i="106" s="1"/>
  <c r="BV8" i="106"/>
  <c r="Q8" i="106" s="1"/>
  <c r="R8" i="106" s="1"/>
  <c r="BV20" i="106"/>
  <c r="Q20" i="106" s="1"/>
  <c r="R20" i="106" s="1"/>
  <c r="BV12" i="106"/>
  <c r="Q12" i="106" s="1"/>
  <c r="R12" i="106" s="1"/>
  <c r="BV24" i="106"/>
  <c r="Q24" i="106" s="1"/>
  <c r="R24" i="106" s="1"/>
  <c r="BV19" i="106"/>
  <c r="Q19" i="106" s="1"/>
  <c r="BV11" i="106"/>
  <c r="Q11" i="106" s="1"/>
  <c r="R11" i="106" s="1"/>
  <c r="BV16" i="106"/>
  <c r="Q16" i="106" s="1"/>
  <c r="R16" i="106" s="1"/>
  <c r="BV18" i="106"/>
  <c r="Q18" i="106" s="1"/>
  <c r="R18" i="106" s="1"/>
  <c r="BV17" i="106"/>
  <c r="Q17" i="106" s="1"/>
  <c r="R17" i="106" s="1"/>
  <c r="BV9" i="106"/>
  <c r="Q9" i="106" s="1"/>
  <c r="R9" i="106" s="1"/>
  <c r="BI2" i="106"/>
  <c r="BI1" i="106" s="1"/>
  <c r="BH2" i="106"/>
  <c r="BH1" i="106" s="1"/>
  <c r="BN2" i="106"/>
  <c r="BN1" i="106" s="1"/>
  <c r="BM2" i="106"/>
  <c r="BM1" i="106" s="1"/>
  <c r="BU29" i="106"/>
  <c r="BU30" i="106"/>
  <c r="CK2" i="106"/>
  <c r="CJ1" i="106"/>
  <c r="BU30" i="105"/>
  <c r="BR16" i="105"/>
  <c r="O16" i="105" s="1"/>
  <c r="P16" i="105" s="1"/>
  <c r="BR23" i="105"/>
  <c r="O23" i="105" s="1"/>
  <c r="P23" i="105" s="1"/>
  <c r="BR10" i="105"/>
  <c r="O10" i="105" s="1"/>
  <c r="P10" i="105" s="1"/>
  <c r="BR20" i="105"/>
  <c r="O20" i="105" s="1"/>
  <c r="P20" i="105" s="1"/>
  <c r="BR7" i="105"/>
  <c r="O7" i="105" s="1"/>
  <c r="P7" i="105" s="1"/>
  <c r="BR18" i="105"/>
  <c r="O18" i="105" s="1"/>
  <c r="P18" i="105" s="1"/>
  <c r="BR17" i="105"/>
  <c r="O17" i="105" s="1"/>
  <c r="P17" i="105" s="1"/>
  <c r="BR15" i="105"/>
  <c r="O15" i="105" s="1"/>
  <c r="P15" i="105" s="1"/>
  <c r="BR11" i="105"/>
  <c r="O11" i="105" s="1"/>
  <c r="P11" i="105" s="1"/>
  <c r="BR22" i="105"/>
  <c r="O22" i="105" s="1"/>
  <c r="P22" i="105" s="1"/>
  <c r="BR8" i="105"/>
  <c r="O8" i="105" s="1"/>
  <c r="P8" i="105" s="1"/>
  <c r="BR19" i="105"/>
  <c r="O19" i="105" s="1"/>
  <c r="P19" i="105" s="1"/>
  <c r="BR14" i="105"/>
  <c r="O14" i="105" s="1"/>
  <c r="P14" i="105" s="1"/>
  <c r="BR24" i="105"/>
  <c r="O24" i="105" s="1"/>
  <c r="P24" i="105" s="1"/>
  <c r="BR12" i="105"/>
  <c r="O12" i="105" s="1"/>
  <c r="P12" i="105" s="1"/>
  <c r="BR6" i="105"/>
  <c r="BR21" i="105"/>
  <c r="O21" i="105" s="1"/>
  <c r="P21" i="105" s="1"/>
  <c r="BR9" i="105"/>
  <c r="O9" i="105" s="1"/>
  <c r="P9" i="105" s="1"/>
  <c r="BM2" i="105"/>
  <c r="BM1" i="105" s="1"/>
  <c r="BN2" i="105"/>
  <c r="BN1" i="105" s="1"/>
  <c r="BV22" i="105"/>
  <c r="Q22" i="105" s="1"/>
  <c r="R22" i="105" s="1"/>
  <c r="BV16" i="105"/>
  <c r="Q16" i="105" s="1"/>
  <c r="R16" i="105" s="1"/>
  <c r="BV14" i="105"/>
  <c r="Q14" i="105" s="1"/>
  <c r="R14" i="105" s="1"/>
  <c r="BV21" i="105"/>
  <c r="Q21" i="105" s="1"/>
  <c r="R21" i="105" s="1"/>
  <c r="BV9" i="105"/>
  <c r="Q9" i="105" s="1"/>
  <c r="R9" i="105" s="1"/>
  <c r="BV18" i="105"/>
  <c r="Q18" i="105" s="1"/>
  <c r="R18" i="105" s="1"/>
  <c r="BV6" i="105"/>
  <c r="Q6" i="105" s="1"/>
  <c r="R6" i="105" s="1"/>
  <c r="BV24" i="105"/>
  <c r="Q24" i="105" s="1"/>
  <c r="R24" i="105" s="1"/>
  <c r="BV23" i="105"/>
  <c r="Q23" i="105" s="1"/>
  <c r="R23" i="105" s="1"/>
  <c r="BV11" i="105"/>
  <c r="Q11" i="105" s="1"/>
  <c r="R11" i="105" s="1"/>
  <c r="BV20" i="105"/>
  <c r="Q20" i="105" s="1"/>
  <c r="R20" i="105" s="1"/>
  <c r="BV8" i="105"/>
  <c r="Q8" i="105" s="1"/>
  <c r="R8" i="105" s="1"/>
  <c r="BV17" i="105"/>
  <c r="Q17" i="105" s="1"/>
  <c r="R17" i="105" s="1"/>
  <c r="BV12" i="105"/>
  <c r="Q12" i="105" s="1"/>
  <c r="R12" i="105" s="1"/>
  <c r="BV19" i="105"/>
  <c r="Q19" i="105" s="1"/>
  <c r="BV7" i="105"/>
  <c r="Q7" i="105" s="1"/>
  <c r="R7" i="105" s="1"/>
  <c r="BV15" i="105"/>
  <c r="Q15" i="105" s="1"/>
  <c r="R15" i="105" s="1"/>
  <c r="BI2" i="105"/>
  <c r="BI1" i="105" s="1"/>
  <c r="BH2" i="105"/>
  <c r="BH1" i="105" s="1"/>
  <c r="CK2" i="105"/>
  <c r="CJ1" i="105"/>
  <c r="DR24" i="98"/>
  <c r="DR23" i="98"/>
  <c r="DR22" i="98"/>
  <c r="DR21" i="98"/>
  <c r="DR20" i="98"/>
  <c r="DR19" i="98"/>
  <c r="DR18" i="98"/>
  <c r="DR17" i="98"/>
  <c r="DR16" i="98"/>
  <c r="DR15" i="98"/>
  <c r="DR14" i="98"/>
  <c r="DR13" i="98"/>
  <c r="DR12" i="98"/>
  <c r="DR11" i="98"/>
  <c r="DR10" i="98"/>
  <c r="DR9" i="98"/>
  <c r="DR8" i="98"/>
  <c r="DR7" i="98"/>
  <c r="DR6" i="98"/>
  <c r="DT2" i="98"/>
  <c r="DS1" i="98"/>
  <c r="BX27" i="98"/>
  <c r="CU24" i="98"/>
  <c r="CU23" i="98"/>
  <c r="CU22" i="98"/>
  <c r="CU21" i="98"/>
  <c r="CU20" i="98"/>
  <c r="CU19" i="98"/>
  <c r="CU18" i="98"/>
  <c r="CU17" i="98"/>
  <c r="CU16" i="98"/>
  <c r="CU15" i="98"/>
  <c r="CU14" i="98"/>
  <c r="CU13" i="98"/>
  <c r="CU12" i="98"/>
  <c r="CU11" i="98"/>
  <c r="CU10" i="98"/>
  <c r="CU9" i="98"/>
  <c r="CU8" i="98"/>
  <c r="CU7" i="98"/>
  <c r="CU6" i="98"/>
  <c r="ES1" i="98"/>
  <c r="Y3" i="98"/>
  <c r="CW2" i="98"/>
  <c r="CV1" i="98"/>
  <c r="ER24" i="98"/>
  <c r="ER23" i="98"/>
  <c r="ER22" i="98"/>
  <c r="ER21" i="98"/>
  <c r="ER20" i="98"/>
  <c r="ER19" i="98"/>
  <c r="ER18" i="98"/>
  <c r="ER17" i="98"/>
  <c r="ER16" i="98"/>
  <c r="ER15" i="98"/>
  <c r="ER14" i="98"/>
  <c r="ER13" i="98"/>
  <c r="ER12" i="98"/>
  <c r="ER11" i="98"/>
  <c r="ER9" i="98"/>
  <c r="ER8" i="98"/>
  <c r="ER7" i="98"/>
  <c r="ER6" i="98"/>
  <c r="CT24" i="100"/>
  <c r="BX24" i="100" s="1"/>
  <c r="CT23" i="100"/>
  <c r="BX23" i="100" s="1"/>
  <c r="CT22" i="100"/>
  <c r="BX22" i="100" s="1"/>
  <c r="CT21" i="100"/>
  <c r="BX21" i="100" s="1"/>
  <c r="CT20" i="100"/>
  <c r="BX20" i="100" s="1"/>
  <c r="CT19" i="100"/>
  <c r="BX19" i="100" s="1"/>
  <c r="CT18" i="100"/>
  <c r="BX18" i="100" s="1"/>
  <c r="CT17" i="100"/>
  <c r="BX17" i="100" s="1"/>
  <c r="CT16" i="100"/>
  <c r="BX16" i="100" s="1"/>
  <c r="CT15" i="100"/>
  <c r="BX15" i="100" s="1"/>
  <c r="CT14" i="100"/>
  <c r="BX14" i="100" s="1"/>
  <c r="CT13" i="100"/>
  <c r="BX13" i="100" s="1"/>
  <c r="CT12" i="100"/>
  <c r="BX12" i="100" s="1"/>
  <c r="CT11" i="100"/>
  <c r="BX11" i="100" s="1"/>
  <c r="CT10" i="100"/>
  <c r="BX10" i="100" s="1"/>
  <c r="CT9" i="100"/>
  <c r="BX9" i="100" s="1"/>
  <c r="CT8" i="100"/>
  <c r="BX8" i="100" s="1"/>
  <c r="CT7" i="100"/>
  <c r="BX7" i="100" s="1"/>
  <c r="CT6" i="100"/>
  <c r="BX6" i="100" s="1"/>
  <c r="ER1" i="100"/>
  <c r="CV2" i="100"/>
  <c r="CU1" i="100"/>
  <c r="EQ24" i="100"/>
  <c r="EQ23" i="100"/>
  <c r="EQ22" i="100"/>
  <c r="EQ21" i="100"/>
  <c r="EQ20" i="100"/>
  <c r="EQ19" i="100"/>
  <c r="EQ18" i="100"/>
  <c r="EQ17" i="100"/>
  <c r="EQ16" i="100"/>
  <c r="EQ15" i="100"/>
  <c r="EQ14" i="100"/>
  <c r="EQ13" i="100"/>
  <c r="EQ11" i="100"/>
  <c r="EQ9" i="100"/>
  <c r="EQ8" i="100"/>
  <c r="EQ7" i="100"/>
  <c r="EQ6" i="100"/>
  <c r="DQ24" i="100"/>
  <c r="DQ23" i="100"/>
  <c r="DQ22" i="100"/>
  <c r="DQ21" i="100"/>
  <c r="DQ20" i="100"/>
  <c r="DQ19" i="100"/>
  <c r="DQ18" i="100"/>
  <c r="DQ17" i="100"/>
  <c r="DQ16" i="100"/>
  <c r="DQ15" i="100"/>
  <c r="DQ14" i="100"/>
  <c r="DQ13" i="100"/>
  <c r="DQ12" i="100"/>
  <c r="DQ11" i="100"/>
  <c r="DQ10" i="100"/>
  <c r="DQ9" i="100"/>
  <c r="DQ8" i="100"/>
  <c r="DQ7" i="100"/>
  <c r="DQ6" i="100"/>
  <c r="DS2" i="100"/>
  <c r="DR1" i="100"/>
  <c r="DT24" i="96"/>
  <c r="DT23" i="96"/>
  <c r="DT22" i="96"/>
  <c r="DT21" i="96"/>
  <c r="DT20" i="96"/>
  <c r="DT19" i="96"/>
  <c r="DT18" i="96"/>
  <c r="DT17" i="96"/>
  <c r="DT16" i="96"/>
  <c r="DT15" i="96"/>
  <c r="DT14" i="96"/>
  <c r="DT13" i="96"/>
  <c r="DT12" i="96"/>
  <c r="DT11" i="96"/>
  <c r="DT10" i="96"/>
  <c r="DT9" i="96"/>
  <c r="DT8" i="96"/>
  <c r="DT7" i="96"/>
  <c r="DT6" i="96"/>
  <c r="DV2" i="96"/>
  <c r="DU1" i="96"/>
  <c r="CB27" i="96"/>
  <c r="CW24" i="96"/>
  <c r="CW23" i="96"/>
  <c r="CW22" i="96"/>
  <c r="CW21" i="96"/>
  <c r="CW20" i="96"/>
  <c r="CW19" i="96"/>
  <c r="CW18" i="96"/>
  <c r="CW17" i="96"/>
  <c r="CW16" i="96"/>
  <c r="CW15" i="96"/>
  <c r="CW14" i="96"/>
  <c r="CW13" i="96"/>
  <c r="CW12" i="96"/>
  <c r="CW11" i="96"/>
  <c r="CW10" i="96"/>
  <c r="CW9" i="96"/>
  <c r="CW8" i="96"/>
  <c r="CW7" i="96"/>
  <c r="CW6" i="96"/>
  <c r="EU1" i="96"/>
  <c r="CY2" i="96"/>
  <c r="CX1" i="96"/>
  <c r="ET24" i="96"/>
  <c r="ET23" i="96"/>
  <c r="ET22" i="96"/>
  <c r="ET21" i="96"/>
  <c r="ET20" i="96"/>
  <c r="ET19" i="96"/>
  <c r="ET18" i="96"/>
  <c r="ET17" i="96"/>
  <c r="ET16" i="96"/>
  <c r="ET15" i="96"/>
  <c r="ET14" i="96"/>
  <c r="ET13" i="96"/>
  <c r="ET12" i="96"/>
  <c r="ET11" i="96"/>
  <c r="ET9" i="96"/>
  <c r="ET8" i="96"/>
  <c r="ET7" i="96"/>
  <c r="ET6" i="96"/>
  <c r="CX24" i="95"/>
  <c r="CX23" i="95"/>
  <c r="CX22" i="95"/>
  <c r="CX21" i="95"/>
  <c r="CX20" i="95"/>
  <c r="CX19" i="95"/>
  <c r="CX18" i="95"/>
  <c r="CX17" i="95"/>
  <c r="CX16" i="95"/>
  <c r="CX15" i="95"/>
  <c r="CX14" i="95"/>
  <c r="CX13" i="95"/>
  <c r="CX12" i="95"/>
  <c r="CX11" i="95"/>
  <c r="CX10" i="95"/>
  <c r="CX9" i="95"/>
  <c r="CX8" i="95"/>
  <c r="CX7" i="95"/>
  <c r="CX6" i="95"/>
  <c r="EV1" i="95"/>
  <c r="CZ2" i="95"/>
  <c r="CY1" i="95"/>
  <c r="EU24" i="95"/>
  <c r="EU23" i="95"/>
  <c r="EU22" i="95"/>
  <c r="EU21" i="95"/>
  <c r="EU20" i="95"/>
  <c r="EU19" i="95"/>
  <c r="EU18" i="95"/>
  <c r="EU17" i="95"/>
  <c r="EU16" i="95"/>
  <c r="EU15" i="95"/>
  <c r="EU14" i="95"/>
  <c r="EU13" i="95"/>
  <c r="EU12" i="95"/>
  <c r="EU11" i="95"/>
  <c r="EU9" i="95"/>
  <c r="EU8" i="95"/>
  <c r="EU7" i="95"/>
  <c r="EU6" i="95"/>
  <c r="DU24" i="95"/>
  <c r="DU23" i="95"/>
  <c r="DU22" i="95"/>
  <c r="DU21" i="95"/>
  <c r="DU20" i="95"/>
  <c r="DU19" i="95"/>
  <c r="DU18" i="95"/>
  <c r="DU17" i="95"/>
  <c r="DU16" i="95"/>
  <c r="DU15" i="95"/>
  <c r="DU14" i="95"/>
  <c r="DU13" i="95"/>
  <c r="DU12" i="95"/>
  <c r="DU11" i="95"/>
  <c r="DU10" i="95"/>
  <c r="DU9" i="95"/>
  <c r="DU8" i="95"/>
  <c r="DU7" i="95"/>
  <c r="DU6" i="95"/>
  <c r="DW2" i="95"/>
  <c r="DV1" i="95"/>
  <c r="CV24" i="97"/>
  <c r="CV23" i="97"/>
  <c r="CV22" i="97"/>
  <c r="CV21" i="97"/>
  <c r="CV20" i="97"/>
  <c r="CV19" i="97"/>
  <c r="CV18" i="97"/>
  <c r="CV17" i="97"/>
  <c r="CV16" i="97"/>
  <c r="CV15" i="97"/>
  <c r="CV14" i="97"/>
  <c r="CV13" i="97"/>
  <c r="CV12" i="97"/>
  <c r="CV11" i="97"/>
  <c r="CV10" i="97"/>
  <c r="CV9" i="97"/>
  <c r="CV8" i="97"/>
  <c r="CV7" i="97"/>
  <c r="CV6" i="97"/>
  <c r="ET1" i="97"/>
  <c r="CX2" i="97"/>
  <c r="CW1" i="97"/>
  <c r="ES24" i="97"/>
  <c r="CG24" i="97" s="1"/>
  <c r="Y24" i="97" s="1"/>
  <c r="Z24" i="97" s="1"/>
  <c r="ES23" i="97"/>
  <c r="CG23" i="97" s="1"/>
  <c r="Y23" i="97" s="1"/>
  <c r="Z23" i="97" s="1"/>
  <c r="ES22" i="97"/>
  <c r="CG22" i="97" s="1"/>
  <c r="Y22" i="97" s="1"/>
  <c r="Z22" i="97" s="1"/>
  <c r="ES21" i="97"/>
  <c r="CG21" i="97" s="1"/>
  <c r="Y21" i="97" s="1"/>
  <c r="Z21" i="97" s="1"/>
  <c r="ES20" i="97"/>
  <c r="CG20" i="97" s="1"/>
  <c r="Y20" i="97" s="1"/>
  <c r="Z20" i="97" s="1"/>
  <c r="ES19" i="97"/>
  <c r="CG19" i="97" s="1"/>
  <c r="Y19" i="97" s="1"/>
  <c r="Z19" i="97" s="1"/>
  <c r="ES18" i="97"/>
  <c r="CG18" i="97" s="1"/>
  <c r="Y18" i="97" s="1"/>
  <c r="Z18" i="97" s="1"/>
  <c r="ES17" i="97"/>
  <c r="CG17" i="97" s="1"/>
  <c r="Y17" i="97" s="1"/>
  <c r="Z17" i="97" s="1"/>
  <c r="ES16" i="97"/>
  <c r="CG16" i="97" s="1"/>
  <c r="Y16" i="97" s="1"/>
  <c r="Z16" i="97" s="1"/>
  <c r="ES15" i="97"/>
  <c r="CG15" i="97" s="1"/>
  <c r="Y15" i="97" s="1"/>
  <c r="Z15" i="97" s="1"/>
  <c r="ES14" i="97"/>
  <c r="CG14" i="97" s="1"/>
  <c r="Y14" i="97" s="1"/>
  <c r="Z14" i="97" s="1"/>
  <c r="ES13" i="97"/>
  <c r="CG13" i="97" s="1"/>
  <c r="Y13" i="97" s="1"/>
  <c r="Z13" i="97" s="1"/>
  <c r="ES12" i="97"/>
  <c r="CG12" i="97" s="1"/>
  <c r="Y12" i="97" s="1"/>
  <c r="Z12" i="97" s="1"/>
  <c r="ES11" i="97"/>
  <c r="CG11" i="97" s="1"/>
  <c r="Y11" i="97" s="1"/>
  <c r="Z11" i="97" s="1"/>
  <c r="ES9" i="97"/>
  <c r="CG9" i="97" s="1"/>
  <c r="Y9" i="97" s="1"/>
  <c r="Z9" i="97" s="1"/>
  <c r="ES8" i="97"/>
  <c r="CG8" i="97" s="1"/>
  <c r="Y8" i="97" s="1"/>
  <c r="Z8" i="97" s="1"/>
  <c r="ES7" i="97"/>
  <c r="CG7" i="97" s="1"/>
  <c r="Y7" i="97" s="1"/>
  <c r="Z7" i="97" s="1"/>
  <c r="ES6" i="97"/>
  <c r="CG6" i="97" s="1"/>
  <c r="Y6" i="97" s="1"/>
  <c r="Z6" i="97" s="1"/>
  <c r="DS24" i="97"/>
  <c r="CB24" i="97" s="1"/>
  <c r="DS23" i="97"/>
  <c r="CB23" i="97" s="1"/>
  <c r="DS22" i="97"/>
  <c r="CB22" i="97" s="1"/>
  <c r="DS21" i="97"/>
  <c r="CB21" i="97" s="1"/>
  <c r="DS20" i="97"/>
  <c r="CB20" i="97" s="1"/>
  <c r="DS19" i="97"/>
  <c r="CB19" i="97" s="1"/>
  <c r="DS18" i="97"/>
  <c r="CB18" i="97" s="1"/>
  <c r="DS17" i="97"/>
  <c r="CB17" i="97" s="1"/>
  <c r="DS16" i="97"/>
  <c r="CB16" i="97" s="1"/>
  <c r="DS15" i="97"/>
  <c r="CB15" i="97" s="1"/>
  <c r="DS14" i="97"/>
  <c r="CB14" i="97" s="1"/>
  <c r="DS13" i="97"/>
  <c r="CB13" i="97" s="1"/>
  <c r="DS12" i="97"/>
  <c r="CB12" i="97" s="1"/>
  <c r="DS11" i="97"/>
  <c r="CB11" i="97" s="1"/>
  <c r="DS10" i="97"/>
  <c r="CB10" i="97" s="1"/>
  <c r="DS9" i="97"/>
  <c r="CB9" i="97" s="1"/>
  <c r="DS8" i="97"/>
  <c r="CB8" i="97" s="1"/>
  <c r="DS7" i="97"/>
  <c r="CB7" i="97" s="1"/>
  <c r="DS6" i="97"/>
  <c r="CB6" i="97" s="1"/>
  <c r="DU2" i="97"/>
  <c r="DT1" i="97"/>
  <c r="DW24" i="94"/>
  <c r="DW22" i="94"/>
  <c r="DW19" i="94"/>
  <c r="DW23" i="94"/>
  <c r="DW21" i="94"/>
  <c r="DW14" i="94"/>
  <c r="DW10" i="94"/>
  <c r="DW9" i="94"/>
  <c r="DW8" i="94"/>
  <c r="DW16" i="94"/>
  <c r="DW18" i="94"/>
  <c r="DW17" i="94"/>
  <c r="DW11" i="94"/>
  <c r="DW15" i="94"/>
  <c r="DW13" i="94"/>
  <c r="DW12" i="94"/>
  <c r="DW6" i="94"/>
  <c r="DW20" i="94"/>
  <c r="DW7" i="94"/>
  <c r="DX1" i="94"/>
  <c r="DY2" i="94"/>
  <c r="EW23" i="94"/>
  <c r="EW15" i="94"/>
  <c r="EW14" i="94"/>
  <c r="EW20" i="94"/>
  <c r="EW19" i="94"/>
  <c r="EW18" i="94"/>
  <c r="EW17" i="94"/>
  <c r="EW13" i="94"/>
  <c r="EW12" i="94"/>
  <c r="EW11" i="94"/>
  <c r="EW7" i="94"/>
  <c r="EW22" i="94"/>
  <c r="EW21" i="94"/>
  <c r="EW16" i="94"/>
  <c r="EW9" i="94"/>
  <c r="EW24" i="94"/>
  <c r="EW8" i="94"/>
  <c r="EW6" i="94"/>
  <c r="CZ24" i="94"/>
  <c r="CZ21" i="94"/>
  <c r="CZ18" i="94"/>
  <c r="CZ16" i="94"/>
  <c r="CZ13" i="94"/>
  <c r="CZ6" i="94"/>
  <c r="CZ14" i="94"/>
  <c r="CZ22" i="94"/>
  <c r="CZ19" i="94"/>
  <c r="CZ17" i="94"/>
  <c r="CZ11" i="94"/>
  <c r="CZ10" i="94"/>
  <c r="CZ7" i="94"/>
  <c r="CZ20" i="94"/>
  <c r="CZ9" i="94"/>
  <c r="CZ23" i="94"/>
  <c r="CZ12" i="94"/>
  <c r="CZ8" i="94"/>
  <c r="CZ15" i="94"/>
  <c r="EX1" i="94"/>
  <c r="DB2" i="94"/>
  <c r="DA1" i="94"/>
  <c r="EX17" i="93"/>
  <c r="EX14" i="93"/>
  <c r="EX12" i="93"/>
  <c r="EX7" i="93"/>
  <c r="EX8" i="93"/>
  <c r="EX18" i="93"/>
  <c r="EX22" i="93"/>
  <c r="EX21" i="93"/>
  <c r="EX10" i="93"/>
  <c r="EX15" i="93"/>
  <c r="EX11" i="93"/>
  <c r="EX24" i="93"/>
  <c r="EX16" i="93"/>
  <c r="EX6" i="93"/>
  <c r="EX23" i="93"/>
  <c r="EX13" i="93"/>
  <c r="EX20" i="93"/>
  <c r="EX19" i="93"/>
  <c r="EX9" i="93"/>
  <c r="DA24" i="93"/>
  <c r="DA19" i="93"/>
  <c r="DA17" i="93"/>
  <c r="DA10" i="93"/>
  <c r="DA11" i="93"/>
  <c r="DA16" i="93"/>
  <c r="DA7" i="93"/>
  <c r="DA23" i="93"/>
  <c r="DA15" i="93"/>
  <c r="DA6" i="93"/>
  <c r="DA21" i="93"/>
  <c r="DA18" i="93"/>
  <c r="DA14" i="93"/>
  <c r="DA9" i="93"/>
  <c r="DA12" i="93"/>
  <c r="DA22" i="93"/>
  <c r="DA13" i="93"/>
  <c r="DA8" i="93"/>
  <c r="DA20" i="93"/>
  <c r="EY1" i="93"/>
  <c r="DX19" i="93"/>
  <c r="DX14" i="93"/>
  <c r="DX22" i="93"/>
  <c r="DX6" i="93"/>
  <c r="DX18" i="93"/>
  <c r="DX20" i="93"/>
  <c r="DX17" i="93"/>
  <c r="DX10" i="93"/>
  <c r="DX23" i="93"/>
  <c r="DX12" i="93"/>
  <c r="DX8" i="93"/>
  <c r="DX21" i="93"/>
  <c r="DX16" i="93"/>
  <c r="DX11" i="93"/>
  <c r="DX24" i="93"/>
  <c r="DX13" i="93"/>
  <c r="DX7" i="93"/>
  <c r="DX15" i="93"/>
  <c r="DX9" i="93"/>
  <c r="DZ2" i="93"/>
  <c r="DY1" i="93"/>
  <c r="DC2" i="93"/>
  <c r="DB1" i="93"/>
  <c r="BI2" i="92"/>
  <c r="BI1" i="92" s="1"/>
  <c r="BH2" i="92"/>
  <c r="BH1" i="92" s="1"/>
  <c r="CJ1" i="92"/>
  <c r="CK2" i="92"/>
  <c r="BM2" i="92"/>
  <c r="BM1" i="92" s="1"/>
  <c r="BN2" i="92"/>
  <c r="BN1" i="92" s="1"/>
  <c r="BR8" i="92"/>
  <c r="O8" i="92" s="1"/>
  <c r="P8" i="92" s="1"/>
  <c r="BR12" i="92"/>
  <c r="O12" i="92" s="1"/>
  <c r="P12" i="92" s="1"/>
  <c r="BR20" i="92"/>
  <c r="O20" i="92" s="1"/>
  <c r="P20" i="92" s="1"/>
  <c r="BR11" i="92"/>
  <c r="O11" i="92" s="1"/>
  <c r="P11" i="92" s="1"/>
  <c r="BR15" i="92"/>
  <c r="O15" i="92" s="1"/>
  <c r="P15" i="92" s="1"/>
  <c r="BR7" i="92"/>
  <c r="O7" i="92" s="1"/>
  <c r="P7" i="92" s="1"/>
  <c r="BR23" i="92"/>
  <c r="O23" i="92" s="1"/>
  <c r="P23" i="92" s="1"/>
  <c r="BR19" i="92"/>
  <c r="O19" i="92" s="1"/>
  <c r="P19" i="92" s="1"/>
  <c r="BR6" i="92"/>
  <c r="BR21" i="92"/>
  <c r="O21" i="92" s="1"/>
  <c r="P21" i="92" s="1"/>
  <c r="BR17" i="92"/>
  <c r="O17" i="92" s="1"/>
  <c r="P17" i="92" s="1"/>
  <c r="BR22" i="92"/>
  <c r="O22" i="92" s="1"/>
  <c r="P22" i="92" s="1"/>
  <c r="BR18" i="92"/>
  <c r="O18" i="92" s="1"/>
  <c r="P18" i="92" s="1"/>
  <c r="BR24" i="92"/>
  <c r="O24" i="92" s="1"/>
  <c r="P24" i="92" s="1"/>
  <c r="BR16" i="92"/>
  <c r="O16" i="92" s="1"/>
  <c r="P16" i="92" s="1"/>
  <c r="BR9" i="92"/>
  <c r="O9" i="92" s="1"/>
  <c r="P9" i="92" s="1"/>
  <c r="BR10" i="92"/>
  <c r="O10" i="92" s="1"/>
  <c r="P10" i="92" s="1"/>
  <c r="BR14" i="92"/>
  <c r="O14" i="92" s="1"/>
  <c r="P14" i="92" s="1"/>
  <c r="BU29" i="92"/>
  <c r="BV19" i="92"/>
  <c r="Q19" i="92" s="1"/>
  <c r="BV17" i="92"/>
  <c r="Q17" i="92" s="1"/>
  <c r="R17" i="92" s="1"/>
  <c r="BV6" i="92"/>
  <c r="BV12" i="92"/>
  <c r="Q12" i="92" s="1"/>
  <c r="R12" i="92" s="1"/>
  <c r="BV14" i="92"/>
  <c r="Q14" i="92" s="1"/>
  <c r="R14" i="92" s="1"/>
  <c r="BV8" i="92"/>
  <c r="Q8" i="92" s="1"/>
  <c r="R8" i="92" s="1"/>
  <c r="BV11" i="92"/>
  <c r="Q11" i="92" s="1"/>
  <c r="R11" i="92" s="1"/>
  <c r="BV20" i="92"/>
  <c r="Q20" i="92" s="1"/>
  <c r="R20" i="92" s="1"/>
  <c r="BV24" i="92"/>
  <c r="Q24" i="92" s="1"/>
  <c r="R24" i="92" s="1"/>
  <c r="BV16" i="92"/>
  <c r="Q16" i="92" s="1"/>
  <c r="R16" i="92" s="1"/>
  <c r="BV18" i="92"/>
  <c r="Q18" i="92" s="1"/>
  <c r="R18" i="92" s="1"/>
  <c r="BV22" i="92"/>
  <c r="Q22" i="92" s="1"/>
  <c r="R22" i="92" s="1"/>
  <c r="BV15" i="92"/>
  <c r="Q15" i="92" s="1"/>
  <c r="R15" i="92" s="1"/>
  <c r="BV7" i="92"/>
  <c r="Q7" i="92" s="1"/>
  <c r="R7" i="92" s="1"/>
  <c r="BV23" i="92"/>
  <c r="Q23" i="92" s="1"/>
  <c r="R23" i="92" s="1"/>
  <c r="BV21" i="92"/>
  <c r="Q21" i="92" s="1"/>
  <c r="R21" i="92" s="1"/>
  <c r="BV9" i="92"/>
  <c r="Q9" i="92" s="1"/>
  <c r="R9" i="92" s="1"/>
  <c r="CJ1" i="91"/>
  <c r="CK2" i="91"/>
  <c r="BU30" i="91"/>
  <c r="BR21" i="91"/>
  <c r="O21" i="91" s="1"/>
  <c r="P21" i="91" s="1"/>
  <c r="BR22" i="91"/>
  <c r="O22" i="91" s="1"/>
  <c r="P22" i="91" s="1"/>
  <c r="BR19" i="91"/>
  <c r="O19" i="91" s="1"/>
  <c r="P19" i="91" s="1"/>
  <c r="BR7" i="91"/>
  <c r="O7" i="91" s="1"/>
  <c r="P7" i="91" s="1"/>
  <c r="BR17" i="91"/>
  <c r="O17" i="91" s="1"/>
  <c r="P17" i="91" s="1"/>
  <c r="BR10" i="91"/>
  <c r="O10" i="91" s="1"/>
  <c r="P10" i="91" s="1"/>
  <c r="BR12" i="91"/>
  <c r="O12" i="91" s="1"/>
  <c r="P12" i="91" s="1"/>
  <c r="BR13" i="91"/>
  <c r="BR8" i="91"/>
  <c r="O8" i="91" s="1"/>
  <c r="P8" i="91" s="1"/>
  <c r="BR15" i="91"/>
  <c r="O15" i="91" s="1"/>
  <c r="P15" i="91" s="1"/>
  <c r="BR20" i="91"/>
  <c r="O20" i="91" s="1"/>
  <c r="P20" i="91" s="1"/>
  <c r="BR18" i="91"/>
  <c r="O18" i="91" s="1"/>
  <c r="P18" i="91" s="1"/>
  <c r="BR14" i="91"/>
  <c r="O14" i="91" s="1"/>
  <c r="P14" i="91" s="1"/>
  <c r="BR23" i="91"/>
  <c r="O23" i="91" s="1"/>
  <c r="P23" i="91" s="1"/>
  <c r="BR6" i="91"/>
  <c r="BR9" i="91"/>
  <c r="O9" i="91" s="1"/>
  <c r="P9" i="91" s="1"/>
  <c r="BR11" i="91"/>
  <c r="O11" i="91" s="1"/>
  <c r="P11" i="91" s="1"/>
  <c r="BR16" i="91"/>
  <c r="O16" i="91" s="1"/>
  <c r="P16" i="91" s="1"/>
  <c r="BR24" i="91"/>
  <c r="O24" i="91" s="1"/>
  <c r="P24" i="91" s="1"/>
  <c r="BU30" i="90"/>
  <c r="BV15" i="91"/>
  <c r="Q15" i="91" s="1"/>
  <c r="R15" i="91" s="1"/>
  <c r="BV11" i="91"/>
  <c r="Q11" i="91" s="1"/>
  <c r="R11" i="91" s="1"/>
  <c r="BV7" i="91"/>
  <c r="Q7" i="91" s="1"/>
  <c r="R7" i="91" s="1"/>
  <c r="BV12" i="91"/>
  <c r="Q12" i="91" s="1"/>
  <c r="R12" i="91" s="1"/>
  <c r="BV17" i="91"/>
  <c r="Q17" i="91" s="1"/>
  <c r="R17" i="91" s="1"/>
  <c r="BV9" i="91"/>
  <c r="Q9" i="91" s="1"/>
  <c r="R9" i="91" s="1"/>
  <c r="BV20" i="91"/>
  <c r="Q20" i="91" s="1"/>
  <c r="R20" i="91" s="1"/>
  <c r="BV24" i="91"/>
  <c r="Q24" i="91" s="1"/>
  <c r="R24" i="91" s="1"/>
  <c r="BV22" i="91"/>
  <c r="Q22" i="91" s="1"/>
  <c r="R22" i="91" s="1"/>
  <c r="BV19" i="91"/>
  <c r="Q19" i="91" s="1"/>
  <c r="BV16" i="91"/>
  <c r="Q16" i="91" s="1"/>
  <c r="R16" i="91" s="1"/>
  <c r="BV18" i="91"/>
  <c r="Q18" i="91" s="1"/>
  <c r="R18" i="91" s="1"/>
  <c r="BV6" i="91"/>
  <c r="BV23" i="91"/>
  <c r="Q23" i="91" s="1"/>
  <c r="R23" i="91" s="1"/>
  <c r="BV8" i="91"/>
  <c r="Q8" i="91" s="1"/>
  <c r="R8" i="91" s="1"/>
  <c r="BV14" i="91"/>
  <c r="Q14" i="91" s="1"/>
  <c r="R14" i="91" s="1"/>
  <c r="BV21" i="91"/>
  <c r="Q21" i="91" s="1"/>
  <c r="R21" i="91" s="1"/>
  <c r="BM2" i="91"/>
  <c r="BM1" i="91" s="1"/>
  <c r="BN2" i="91"/>
  <c r="BN1" i="91" s="1"/>
  <c r="BN2" i="90"/>
  <c r="BN1" i="90" s="1"/>
  <c r="BM2" i="90"/>
  <c r="BM1" i="90" s="1"/>
  <c r="BI2" i="90"/>
  <c r="BI1" i="90" s="1"/>
  <c r="BH2" i="90"/>
  <c r="BH1" i="90" s="1"/>
  <c r="CK2" i="90"/>
  <c r="CJ1" i="90"/>
  <c r="BR13" i="90"/>
  <c r="BR12" i="90"/>
  <c r="O12" i="90" s="1"/>
  <c r="P12" i="90" s="1"/>
  <c r="BR18" i="90"/>
  <c r="O18" i="90" s="1"/>
  <c r="P18" i="90" s="1"/>
  <c r="BR7" i="90"/>
  <c r="O7" i="90" s="1"/>
  <c r="P7" i="90" s="1"/>
  <c r="BR9" i="90"/>
  <c r="O9" i="90" s="1"/>
  <c r="P9" i="90" s="1"/>
  <c r="BR21" i="90"/>
  <c r="O21" i="90" s="1"/>
  <c r="P21" i="90" s="1"/>
  <c r="BR16" i="90"/>
  <c r="O16" i="90" s="1"/>
  <c r="P16" i="90" s="1"/>
  <c r="BR19" i="90"/>
  <c r="O19" i="90" s="1"/>
  <c r="P19" i="90" s="1"/>
  <c r="BR10" i="90"/>
  <c r="O10" i="90" s="1"/>
  <c r="P10" i="90" s="1"/>
  <c r="BR8" i="90"/>
  <c r="O8" i="90" s="1"/>
  <c r="P8" i="90" s="1"/>
  <c r="BR23" i="90"/>
  <c r="O23" i="90" s="1"/>
  <c r="P23" i="90" s="1"/>
  <c r="BR6" i="90"/>
  <c r="BR17" i="90"/>
  <c r="O17" i="90" s="1"/>
  <c r="P17" i="90" s="1"/>
  <c r="BR11" i="90"/>
  <c r="O11" i="90" s="1"/>
  <c r="P11" i="90" s="1"/>
  <c r="BR24" i="90"/>
  <c r="O24" i="90" s="1"/>
  <c r="P24" i="90" s="1"/>
  <c r="BR22" i="90"/>
  <c r="O22" i="90" s="1"/>
  <c r="P22" i="90" s="1"/>
  <c r="BR14" i="90"/>
  <c r="O14" i="90" s="1"/>
  <c r="P14" i="90" s="1"/>
  <c r="BR20" i="90"/>
  <c r="O20" i="90" s="1"/>
  <c r="P20" i="90" s="1"/>
  <c r="BR15" i="90"/>
  <c r="O15" i="90" s="1"/>
  <c r="P15" i="90" s="1"/>
  <c r="BV12" i="90"/>
  <c r="Q12" i="90" s="1"/>
  <c r="R12" i="90" s="1"/>
  <c r="BV14" i="90"/>
  <c r="Q14" i="90" s="1"/>
  <c r="R14" i="90" s="1"/>
  <c r="BV23" i="90"/>
  <c r="Q23" i="90" s="1"/>
  <c r="R23" i="90" s="1"/>
  <c r="BV9" i="90"/>
  <c r="Q9" i="90" s="1"/>
  <c r="R9" i="90" s="1"/>
  <c r="BV16" i="90"/>
  <c r="BV15" i="90"/>
  <c r="Q15" i="90" s="1"/>
  <c r="R15" i="90" s="1"/>
  <c r="BV11" i="90"/>
  <c r="Q11" i="90" s="1"/>
  <c r="R11" i="90" s="1"/>
  <c r="BV13" i="90"/>
  <c r="BV24" i="90"/>
  <c r="Q24" i="90" s="1"/>
  <c r="R24" i="90" s="1"/>
  <c r="BV8" i="90"/>
  <c r="Q8" i="90" s="1"/>
  <c r="R8" i="90" s="1"/>
  <c r="BV6" i="90"/>
  <c r="Q6" i="90" s="1"/>
  <c r="R6" i="90" s="1"/>
  <c r="BV17" i="90"/>
  <c r="Q17" i="90" s="1"/>
  <c r="R17" i="90" s="1"/>
  <c r="BV19" i="90"/>
  <c r="Q19" i="90" s="1"/>
  <c r="BV21" i="90"/>
  <c r="Q21" i="90" s="1"/>
  <c r="R21" i="90" s="1"/>
  <c r="BV7" i="90"/>
  <c r="Q7" i="90" s="1"/>
  <c r="R7" i="90" s="1"/>
  <c r="BV22" i="90"/>
  <c r="Q22" i="90" s="1"/>
  <c r="R22" i="90" s="1"/>
  <c r="BV20" i="90"/>
  <c r="Q20" i="90" s="1"/>
  <c r="R20" i="90" s="1"/>
  <c r="BV18" i="90"/>
  <c r="BI2" i="91"/>
  <c r="BI1" i="91" s="1"/>
  <c r="BH2" i="91"/>
  <c r="BH1" i="91" s="1"/>
  <c r="BU30" i="89"/>
  <c r="BN2" i="89"/>
  <c r="BN1" i="89" s="1"/>
  <c r="BM2" i="89"/>
  <c r="BM1" i="89" s="1"/>
  <c r="BU28" i="89"/>
  <c r="BV20" i="89"/>
  <c r="Q20" i="89" s="1"/>
  <c r="R20" i="89" s="1"/>
  <c r="BV16" i="89"/>
  <c r="BV13" i="89"/>
  <c r="BV24" i="89"/>
  <c r="Q24" i="89" s="1"/>
  <c r="R24" i="89" s="1"/>
  <c r="BV15" i="89"/>
  <c r="Q15" i="89" s="1"/>
  <c r="R15" i="89" s="1"/>
  <c r="BV6" i="89"/>
  <c r="Q6" i="89" s="1"/>
  <c r="R6" i="89" s="1"/>
  <c r="BV22" i="89"/>
  <c r="Q22" i="89" s="1"/>
  <c r="R22" i="89" s="1"/>
  <c r="BV11" i="89"/>
  <c r="Q11" i="89" s="1"/>
  <c r="R11" i="89" s="1"/>
  <c r="BV9" i="89"/>
  <c r="Q9" i="89" s="1"/>
  <c r="R9" i="89" s="1"/>
  <c r="BV23" i="89"/>
  <c r="Q23" i="89" s="1"/>
  <c r="R23" i="89" s="1"/>
  <c r="BV14" i="89"/>
  <c r="Q14" i="89" s="1"/>
  <c r="R14" i="89" s="1"/>
  <c r="BV21" i="89"/>
  <c r="Q21" i="89" s="1"/>
  <c r="R21" i="89" s="1"/>
  <c r="BV10" i="89"/>
  <c r="BV18" i="89"/>
  <c r="Q18" i="89" s="1"/>
  <c r="R18" i="89" s="1"/>
  <c r="BV8" i="89"/>
  <c r="Q8" i="89" s="1"/>
  <c r="R8" i="89" s="1"/>
  <c r="BV19" i="89"/>
  <c r="Q19" i="89" s="1"/>
  <c r="BV7" i="89"/>
  <c r="Q7" i="89" s="1"/>
  <c r="R7" i="89" s="1"/>
  <c r="BV17" i="89"/>
  <c r="Q17" i="89" s="1"/>
  <c r="R17" i="89" s="1"/>
  <c r="BV12" i="89"/>
  <c r="Q12" i="89" s="1"/>
  <c r="R12" i="89" s="1"/>
  <c r="CK2" i="89"/>
  <c r="CJ1" i="89"/>
  <c r="BH2" i="89"/>
  <c r="BH1" i="89" s="1"/>
  <c r="BI2" i="89"/>
  <c r="BI1" i="89" s="1"/>
  <c r="BR21" i="89"/>
  <c r="O21" i="89" s="1"/>
  <c r="P21" i="89" s="1"/>
  <c r="BR12" i="89"/>
  <c r="O12" i="89" s="1"/>
  <c r="P12" i="89" s="1"/>
  <c r="BR19" i="89"/>
  <c r="O19" i="89" s="1"/>
  <c r="P19" i="89" s="1"/>
  <c r="BR11" i="89"/>
  <c r="O11" i="89" s="1"/>
  <c r="P11" i="89" s="1"/>
  <c r="BR18" i="89"/>
  <c r="O18" i="89" s="1"/>
  <c r="P18" i="89" s="1"/>
  <c r="BR10" i="89"/>
  <c r="O10" i="89" s="1"/>
  <c r="P10" i="89" s="1"/>
  <c r="BR23" i="89"/>
  <c r="O23" i="89" s="1"/>
  <c r="P23" i="89" s="1"/>
  <c r="BR14" i="89"/>
  <c r="O14" i="89" s="1"/>
  <c r="P14" i="89" s="1"/>
  <c r="BR13" i="89"/>
  <c r="BR15" i="89"/>
  <c r="O15" i="89" s="1"/>
  <c r="P15" i="89" s="1"/>
  <c r="BR16" i="89"/>
  <c r="O16" i="89" s="1"/>
  <c r="P16" i="89" s="1"/>
  <c r="BR8" i="89"/>
  <c r="O8" i="89" s="1"/>
  <c r="P8" i="89" s="1"/>
  <c r="BR7" i="89"/>
  <c r="O7" i="89" s="1"/>
  <c r="P7" i="89" s="1"/>
  <c r="BR22" i="89"/>
  <c r="O22" i="89" s="1"/>
  <c r="P22" i="89" s="1"/>
  <c r="BR6" i="89"/>
  <c r="BR24" i="89"/>
  <c r="O24" i="89" s="1"/>
  <c r="P24" i="89" s="1"/>
  <c r="BR17" i="89"/>
  <c r="O17" i="89" s="1"/>
  <c r="P17" i="89" s="1"/>
  <c r="BR9" i="89"/>
  <c r="O9" i="89" s="1"/>
  <c r="P9" i="89" s="1"/>
  <c r="BR20" i="89"/>
  <c r="O20" i="89" s="1"/>
  <c r="P20" i="89" s="1"/>
  <c r="BR21" i="87"/>
  <c r="O21" i="87" s="1"/>
  <c r="P21" i="87" s="1"/>
  <c r="BR10" i="87"/>
  <c r="O10" i="87" s="1"/>
  <c r="P10" i="87" s="1"/>
  <c r="BR18" i="87"/>
  <c r="O18" i="87" s="1"/>
  <c r="P18" i="87" s="1"/>
  <c r="BR8" i="87"/>
  <c r="O8" i="87" s="1"/>
  <c r="P8" i="87" s="1"/>
  <c r="BR17" i="87"/>
  <c r="O17" i="87" s="1"/>
  <c r="P17" i="87" s="1"/>
  <c r="BR14" i="87"/>
  <c r="O14" i="87" s="1"/>
  <c r="P14" i="87" s="1"/>
  <c r="BR20" i="87"/>
  <c r="O20" i="87" s="1"/>
  <c r="P20" i="87" s="1"/>
  <c r="BR16" i="87"/>
  <c r="O16" i="87" s="1"/>
  <c r="P16" i="87" s="1"/>
  <c r="BR7" i="87"/>
  <c r="O7" i="87" s="1"/>
  <c r="P7" i="87" s="1"/>
  <c r="BR22" i="87"/>
  <c r="O22" i="87" s="1"/>
  <c r="P22" i="87" s="1"/>
  <c r="BR24" i="87"/>
  <c r="O24" i="87" s="1"/>
  <c r="P24" i="87" s="1"/>
  <c r="BR15" i="87"/>
  <c r="O15" i="87" s="1"/>
  <c r="P15" i="87" s="1"/>
  <c r="BR9" i="87"/>
  <c r="O9" i="87" s="1"/>
  <c r="P9" i="87" s="1"/>
  <c r="BR13" i="87"/>
  <c r="BR19" i="87"/>
  <c r="O19" i="87" s="1"/>
  <c r="P19" i="87" s="1"/>
  <c r="BR11" i="87"/>
  <c r="O11" i="87" s="1"/>
  <c r="P11" i="87" s="1"/>
  <c r="BR6" i="87"/>
  <c r="BR23" i="87"/>
  <c r="O23" i="87" s="1"/>
  <c r="P23" i="87" s="1"/>
  <c r="BR12" i="87"/>
  <c r="O12" i="87" s="1"/>
  <c r="P12" i="87" s="1"/>
  <c r="BR24" i="88"/>
  <c r="O24" i="88" s="1"/>
  <c r="P24" i="88" s="1"/>
  <c r="BR16" i="88"/>
  <c r="O16" i="88" s="1"/>
  <c r="P16" i="88" s="1"/>
  <c r="BR14" i="88"/>
  <c r="O14" i="88" s="1"/>
  <c r="P14" i="88" s="1"/>
  <c r="BR21" i="88"/>
  <c r="O21" i="88" s="1"/>
  <c r="P21" i="88" s="1"/>
  <c r="BR23" i="88"/>
  <c r="O23" i="88" s="1"/>
  <c r="P23" i="88" s="1"/>
  <c r="BR15" i="88"/>
  <c r="O15" i="88" s="1"/>
  <c r="P15" i="88" s="1"/>
  <c r="BR11" i="88"/>
  <c r="O11" i="88" s="1"/>
  <c r="P11" i="88" s="1"/>
  <c r="BR17" i="88"/>
  <c r="O17" i="88" s="1"/>
  <c r="P17" i="88" s="1"/>
  <c r="BR13" i="88"/>
  <c r="BR6" i="88"/>
  <c r="BR22" i="88"/>
  <c r="O22" i="88" s="1"/>
  <c r="P22" i="88" s="1"/>
  <c r="BR10" i="88"/>
  <c r="O10" i="88" s="1"/>
  <c r="P10" i="88" s="1"/>
  <c r="BR20" i="88"/>
  <c r="O20" i="88" s="1"/>
  <c r="P20" i="88" s="1"/>
  <c r="BR9" i="88"/>
  <c r="O9" i="88" s="1"/>
  <c r="P9" i="88" s="1"/>
  <c r="BR19" i="88"/>
  <c r="O19" i="88" s="1"/>
  <c r="P19" i="88" s="1"/>
  <c r="BR12" i="88"/>
  <c r="O12" i="88" s="1"/>
  <c r="P12" i="88" s="1"/>
  <c r="BR8" i="88"/>
  <c r="O8" i="88" s="1"/>
  <c r="P8" i="88" s="1"/>
  <c r="BR18" i="88"/>
  <c r="O18" i="88" s="1"/>
  <c r="P18" i="88" s="1"/>
  <c r="BR7" i="88"/>
  <c r="O7" i="88" s="1"/>
  <c r="P7" i="88" s="1"/>
  <c r="BN2" i="88"/>
  <c r="BN1" i="88" s="1"/>
  <c r="BM2" i="88"/>
  <c r="BM1" i="88" s="1"/>
  <c r="BV24" i="87"/>
  <c r="Q24" i="87" s="1"/>
  <c r="R24" i="87" s="1"/>
  <c r="BV16" i="87"/>
  <c r="Q16" i="87" s="1"/>
  <c r="R16" i="87" s="1"/>
  <c r="BV11" i="87"/>
  <c r="Q11" i="87" s="1"/>
  <c r="R11" i="87" s="1"/>
  <c r="BV22" i="87"/>
  <c r="Q22" i="87" s="1"/>
  <c r="R22" i="87" s="1"/>
  <c r="BV15" i="87"/>
  <c r="Q15" i="87" s="1"/>
  <c r="R15" i="87" s="1"/>
  <c r="BV7" i="87"/>
  <c r="Q7" i="87" s="1"/>
  <c r="R7" i="87" s="1"/>
  <c r="BV21" i="87"/>
  <c r="Q21" i="87" s="1"/>
  <c r="R21" i="87" s="1"/>
  <c r="BV14" i="87"/>
  <c r="Q14" i="87" s="1"/>
  <c r="R14" i="87" s="1"/>
  <c r="BV6" i="87"/>
  <c r="BV12" i="87"/>
  <c r="Q12" i="87" s="1"/>
  <c r="R12" i="87" s="1"/>
  <c r="BV23" i="87"/>
  <c r="Q23" i="87" s="1"/>
  <c r="R23" i="87" s="1"/>
  <c r="BV19" i="87"/>
  <c r="BV18" i="87"/>
  <c r="Q18" i="87" s="1"/>
  <c r="R18" i="87" s="1"/>
  <c r="BV10" i="87"/>
  <c r="BV13" i="87"/>
  <c r="BV17" i="87"/>
  <c r="Q17" i="87" s="1"/>
  <c r="R17" i="87" s="1"/>
  <c r="BV8" i="87"/>
  <c r="Q8" i="87" s="1"/>
  <c r="R8" i="87" s="1"/>
  <c r="BV20" i="87"/>
  <c r="Q20" i="87" s="1"/>
  <c r="R20" i="87" s="1"/>
  <c r="BV9" i="87"/>
  <c r="Q9" i="87" s="1"/>
  <c r="R9" i="87" s="1"/>
  <c r="CK2" i="87"/>
  <c r="CJ1" i="87"/>
  <c r="BI2" i="88"/>
  <c r="BI1" i="88" s="1"/>
  <c r="BH2" i="88"/>
  <c r="BH1" i="88" s="1"/>
  <c r="BV19" i="88"/>
  <c r="BV10" i="88"/>
  <c r="BV22" i="88"/>
  <c r="Q22" i="88" s="1"/>
  <c r="R22" i="88" s="1"/>
  <c r="BV9" i="88"/>
  <c r="Q9" i="88" s="1"/>
  <c r="R9" i="88" s="1"/>
  <c r="BV16" i="88"/>
  <c r="BV13" i="88"/>
  <c r="BV21" i="88"/>
  <c r="Q21" i="88" s="1"/>
  <c r="R21" i="88" s="1"/>
  <c r="BV15" i="88"/>
  <c r="Q15" i="88" s="1"/>
  <c r="R15" i="88" s="1"/>
  <c r="BV8" i="88"/>
  <c r="Q8" i="88" s="1"/>
  <c r="R8" i="88" s="1"/>
  <c r="BV20" i="88"/>
  <c r="Q20" i="88" s="1"/>
  <c r="R20" i="88" s="1"/>
  <c r="BV14" i="88"/>
  <c r="Q14" i="88" s="1"/>
  <c r="R14" i="88" s="1"/>
  <c r="BV6" i="88"/>
  <c r="Q6" i="88" s="1"/>
  <c r="R6" i="88" s="1"/>
  <c r="BV23" i="88"/>
  <c r="Q23" i="88" s="1"/>
  <c r="R23" i="88" s="1"/>
  <c r="BV17" i="88"/>
  <c r="Q17" i="88" s="1"/>
  <c r="R17" i="88" s="1"/>
  <c r="BV7" i="88"/>
  <c r="Q7" i="88" s="1"/>
  <c r="R7" i="88" s="1"/>
  <c r="BV24" i="88"/>
  <c r="Q24" i="88" s="1"/>
  <c r="R24" i="88" s="1"/>
  <c r="BV12" i="88"/>
  <c r="Q12" i="88" s="1"/>
  <c r="R12" i="88" s="1"/>
  <c r="BV18" i="88"/>
  <c r="Q18" i="88" s="1"/>
  <c r="R18" i="88" s="1"/>
  <c r="BV11" i="88"/>
  <c r="Q11" i="88" s="1"/>
  <c r="R11" i="88" s="1"/>
  <c r="CK2" i="88"/>
  <c r="CJ1" i="88"/>
  <c r="BN2" i="87"/>
  <c r="BN1" i="87" s="1"/>
  <c r="BM2" i="87"/>
  <c r="BM1" i="87" s="1"/>
  <c r="BI2" i="87"/>
  <c r="BI1" i="87" s="1"/>
  <c r="BH2" i="87"/>
  <c r="BH1" i="87" s="1"/>
  <c r="CK2" i="86"/>
  <c r="CJ1" i="86"/>
  <c r="BN2" i="86"/>
  <c r="BN1" i="86" s="1"/>
  <c r="BM2" i="86"/>
  <c r="BM1" i="86" s="1"/>
  <c r="BR21" i="86"/>
  <c r="O21" i="86" s="1"/>
  <c r="P21" i="86" s="1"/>
  <c r="BR12" i="86"/>
  <c r="O12" i="86" s="1"/>
  <c r="P12" i="86" s="1"/>
  <c r="BR24" i="86"/>
  <c r="O24" i="86" s="1"/>
  <c r="P24" i="86" s="1"/>
  <c r="BR11" i="86"/>
  <c r="O11" i="86" s="1"/>
  <c r="P11" i="86" s="1"/>
  <c r="BR17" i="86"/>
  <c r="O17" i="86" s="1"/>
  <c r="P17" i="86" s="1"/>
  <c r="BR6" i="86"/>
  <c r="BR16" i="86"/>
  <c r="O16" i="86" s="1"/>
  <c r="P16" i="86" s="1"/>
  <c r="BR14" i="86"/>
  <c r="O14" i="86" s="1"/>
  <c r="P14" i="86" s="1"/>
  <c r="BR19" i="86"/>
  <c r="O19" i="86" s="1"/>
  <c r="P19" i="86" s="1"/>
  <c r="BR10" i="86"/>
  <c r="O10" i="86" s="1"/>
  <c r="P10" i="86" s="1"/>
  <c r="BR23" i="86"/>
  <c r="O23" i="86" s="1"/>
  <c r="P23" i="86" s="1"/>
  <c r="BR18" i="86"/>
  <c r="O18" i="86" s="1"/>
  <c r="P18" i="86" s="1"/>
  <c r="BR9" i="86"/>
  <c r="O9" i="86" s="1"/>
  <c r="P9" i="86" s="1"/>
  <c r="BR20" i="86"/>
  <c r="O20" i="86" s="1"/>
  <c r="P20" i="86" s="1"/>
  <c r="BR13" i="86"/>
  <c r="BR8" i="86"/>
  <c r="O8" i="86" s="1"/>
  <c r="P8" i="86" s="1"/>
  <c r="BR22" i="86"/>
  <c r="O22" i="86" s="1"/>
  <c r="P22" i="86" s="1"/>
  <c r="BR15" i="86"/>
  <c r="O15" i="86" s="1"/>
  <c r="P15" i="86" s="1"/>
  <c r="BR7" i="86"/>
  <c r="O7" i="86" s="1"/>
  <c r="P7" i="86" s="1"/>
  <c r="BH2" i="86"/>
  <c r="BH1" i="86" s="1"/>
  <c r="BI2" i="86"/>
  <c r="BI1" i="86" s="1"/>
  <c r="BV19" i="86"/>
  <c r="BV10" i="86"/>
  <c r="BV18" i="86"/>
  <c r="Q18" i="86" s="1"/>
  <c r="R18" i="86" s="1"/>
  <c r="BV9" i="86"/>
  <c r="Q9" i="86" s="1"/>
  <c r="R9" i="86" s="1"/>
  <c r="BV21" i="86"/>
  <c r="Q21" i="86" s="1"/>
  <c r="R21" i="86" s="1"/>
  <c r="BV13" i="86"/>
  <c r="BV8" i="86"/>
  <c r="Q8" i="86" s="1"/>
  <c r="R8" i="86" s="1"/>
  <c r="BV23" i="86"/>
  <c r="Q23" i="86" s="1"/>
  <c r="R23" i="86" s="1"/>
  <c r="BV15" i="86"/>
  <c r="Q15" i="86" s="1"/>
  <c r="R15" i="86" s="1"/>
  <c r="BV7" i="86"/>
  <c r="Q7" i="86" s="1"/>
  <c r="R7" i="86" s="1"/>
  <c r="BV22" i="86"/>
  <c r="Q22" i="86" s="1"/>
  <c r="R22" i="86" s="1"/>
  <c r="BV12" i="86"/>
  <c r="Q12" i="86" s="1"/>
  <c r="R12" i="86" s="1"/>
  <c r="BV6" i="86"/>
  <c r="BV24" i="86"/>
  <c r="Q24" i="86" s="1"/>
  <c r="R24" i="86" s="1"/>
  <c r="BV14" i="86"/>
  <c r="Q14" i="86" s="1"/>
  <c r="R14" i="86" s="1"/>
  <c r="BV17" i="86"/>
  <c r="Q17" i="86" s="1"/>
  <c r="R17" i="86" s="1"/>
  <c r="BV20" i="86"/>
  <c r="Q20" i="86" s="1"/>
  <c r="R20" i="86" s="1"/>
  <c r="BV16" i="86"/>
  <c r="Q16" i="86" s="1"/>
  <c r="R16" i="86" s="1"/>
  <c r="BV11" i="86"/>
  <c r="Q11" i="86" s="1"/>
  <c r="R11" i="86" s="1"/>
  <c r="EX98" i="9"/>
  <c r="BR13" i="92" s="1"/>
  <c r="EW99" i="9"/>
  <c r="BV13" i="91"/>
  <c r="GJ98" i="9"/>
  <c r="GN98" i="9" s="1"/>
  <c r="IV97" i="9"/>
  <c r="IU98" i="9"/>
  <c r="GH96" i="9"/>
  <c r="BV10" i="90" s="1"/>
  <c r="GA131" i="9" l="1"/>
  <c r="HQ131" i="9"/>
  <c r="HL131" i="9"/>
  <c r="HI131" i="9"/>
  <c r="HC131" i="9"/>
  <c r="HF131" i="9"/>
  <c r="F6" i="121"/>
  <c r="F19" i="124"/>
  <c r="F10" i="124"/>
  <c r="F23" i="124"/>
  <c r="F13" i="124"/>
  <c r="F15" i="124"/>
  <c r="F6" i="124"/>
  <c r="F24" i="124"/>
  <c r="F16" i="124"/>
  <c r="F20" i="124"/>
  <c r="CJ16" i="124"/>
  <c r="CJ9" i="124"/>
  <c r="CJ23" i="124"/>
  <c r="CJ7" i="124"/>
  <c r="CJ18" i="124"/>
  <c r="EH1" i="124"/>
  <c r="CJ19" i="124"/>
  <c r="CJ15" i="124"/>
  <c r="CJ8" i="124"/>
  <c r="CJ17" i="124"/>
  <c r="DI1" i="124"/>
  <c r="CJ21" i="124"/>
  <c r="CJ14" i="124"/>
  <c r="CJ6" i="124"/>
  <c r="CJ24" i="124"/>
  <c r="CJ22" i="124"/>
  <c r="CJ11" i="124"/>
  <c r="CJ10" i="124"/>
  <c r="CJ13" i="124"/>
  <c r="CJ12" i="124"/>
  <c r="CJ20" i="124"/>
  <c r="BN18" i="124"/>
  <c r="K18" i="124" s="1"/>
  <c r="BN10" i="124"/>
  <c r="K10" i="124" s="1"/>
  <c r="BN16" i="124"/>
  <c r="K16" i="124" s="1"/>
  <c r="BN13" i="124"/>
  <c r="K13" i="124" s="1"/>
  <c r="BN17" i="124"/>
  <c r="K17" i="124" s="1"/>
  <c r="BN9" i="124"/>
  <c r="K9" i="124" s="1"/>
  <c r="BN15" i="124"/>
  <c r="K15" i="124" s="1"/>
  <c r="BN6" i="124"/>
  <c r="BN24" i="124"/>
  <c r="K24" i="124" s="1"/>
  <c r="BN14" i="124"/>
  <c r="K14" i="124" s="1"/>
  <c r="BN7" i="124"/>
  <c r="K7" i="124" s="1"/>
  <c r="BN21" i="124"/>
  <c r="K21" i="124" s="1"/>
  <c r="BN11" i="124"/>
  <c r="K11" i="124" s="1"/>
  <c r="BN8" i="124"/>
  <c r="K8" i="124" s="1"/>
  <c r="BN20" i="124"/>
  <c r="K20" i="124" s="1"/>
  <c r="BN19" i="124"/>
  <c r="K19" i="124" s="1"/>
  <c r="BN23" i="124"/>
  <c r="K23" i="124" s="1"/>
  <c r="BN12" i="124"/>
  <c r="K12" i="124" s="1"/>
  <c r="BN22" i="124"/>
  <c r="K22" i="124" s="1"/>
  <c r="CL2" i="124"/>
  <c r="CK1" i="124"/>
  <c r="BM7" i="124"/>
  <c r="G7" i="124" s="1"/>
  <c r="H7" i="124" s="1"/>
  <c r="BM15" i="124"/>
  <c r="G15" i="124" s="1"/>
  <c r="H15" i="124" s="1"/>
  <c r="BM6" i="124"/>
  <c r="BM24" i="124"/>
  <c r="G24" i="124" s="1"/>
  <c r="H24" i="124" s="1"/>
  <c r="BM17" i="124"/>
  <c r="G17" i="124" s="1"/>
  <c r="H17" i="124" s="1"/>
  <c r="BM19" i="124"/>
  <c r="G19" i="124" s="1"/>
  <c r="H19" i="124" s="1"/>
  <c r="BM23" i="124"/>
  <c r="G23" i="124" s="1"/>
  <c r="H23" i="124" s="1"/>
  <c r="BM9" i="124"/>
  <c r="G9" i="124" s="1"/>
  <c r="H9" i="124" s="1"/>
  <c r="BM21" i="124"/>
  <c r="G21" i="124" s="1"/>
  <c r="H21" i="124" s="1"/>
  <c r="BM16" i="124"/>
  <c r="G16" i="124" s="1"/>
  <c r="H16" i="124" s="1"/>
  <c r="BM14" i="124"/>
  <c r="G14" i="124" s="1"/>
  <c r="H14" i="124" s="1"/>
  <c r="BM8" i="124"/>
  <c r="G8" i="124" s="1"/>
  <c r="H8" i="124" s="1"/>
  <c r="BM10" i="124"/>
  <c r="G10" i="124" s="1"/>
  <c r="H10" i="124" s="1"/>
  <c r="BM20" i="124"/>
  <c r="G20" i="124" s="1"/>
  <c r="H20" i="124" s="1"/>
  <c r="BM13" i="124"/>
  <c r="G13" i="124" s="1"/>
  <c r="H13" i="124" s="1"/>
  <c r="BM12" i="124"/>
  <c r="G12" i="124" s="1"/>
  <c r="H12" i="124" s="1"/>
  <c r="BM18" i="124"/>
  <c r="G18" i="124" s="1"/>
  <c r="H18" i="124" s="1"/>
  <c r="BM11" i="124"/>
  <c r="G11" i="124" s="1"/>
  <c r="H11" i="124" s="1"/>
  <c r="BM22" i="124"/>
  <c r="G22" i="124" s="1"/>
  <c r="H22" i="124" s="1"/>
  <c r="Q20" i="124"/>
  <c r="R20" i="124" s="1"/>
  <c r="F9" i="124"/>
  <c r="F11" i="124"/>
  <c r="BI19" i="124"/>
  <c r="I19" i="124" s="1"/>
  <c r="BI10" i="124"/>
  <c r="I10" i="124" s="1"/>
  <c r="BI18" i="124"/>
  <c r="I18" i="124" s="1"/>
  <c r="BI13" i="124"/>
  <c r="I13" i="124" s="1"/>
  <c r="BI23" i="124"/>
  <c r="I23" i="124" s="1"/>
  <c r="BI6" i="124"/>
  <c r="BI17" i="124"/>
  <c r="I17" i="124" s="1"/>
  <c r="BI15" i="124"/>
  <c r="I15" i="124" s="1"/>
  <c r="BI21" i="124"/>
  <c r="I21" i="124" s="1"/>
  <c r="BI11" i="124"/>
  <c r="I11" i="124" s="1"/>
  <c r="BI16" i="124"/>
  <c r="I16" i="124" s="1"/>
  <c r="BI8" i="124"/>
  <c r="I8" i="124" s="1"/>
  <c r="BI20" i="124"/>
  <c r="I20" i="124" s="1"/>
  <c r="BI12" i="124"/>
  <c r="I12" i="124" s="1"/>
  <c r="BI5" i="124"/>
  <c r="I3" i="124" s="1"/>
  <c r="BI24" i="124"/>
  <c r="I24" i="124" s="1"/>
  <c r="BI14" i="124"/>
  <c r="I14" i="124" s="1"/>
  <c r="BI7" i="124"/>
  <c r="I7" i="124" s="1"/>
  <c r="BI22" i="124"/>
  <c r="I22" i="124" s="1"/>
  <c r="BI9" i="124"/>
  <c r="I9" i="124" s="1"/>
  <c r="F17" i="124"/>
  <c r="F12" i="124"/>
  <c r="F8" i="124"/>
  <c r="F18" i="124"/>
  <c r="F14" i="124"/>
  <c r="F7" i="124"/>
  <c r="F22" i="124"/>
  <c r="Q6" i="124"/>
  <c r="R6" i="124" s="1"/>
  <c r="F21" i="124"/>
  <c r="F12" i="121"/>
  <c r="F18" i="121"/>
  <c r="F23" i="121"/>
  <c r="F17" i="121"/>
  <c r="F19" i="121"/>
  <c r="F7" i="121"/>
  <c r="Q20" i="121"/>
  <c r="R20" i="121" s="1"/>
  <c r="F20" i="121"/>
  <c r="F16" i="121"/>
  <c r="F13" i="121"/>
  <c r="F14" i="121"/>
  <c r="CL2" i="121"/>
  <c r="CK1" i="121"/>
  <c r="F22" i="121"/>
  <c r="BN7" i="121"/>
  <c r="K7" i="121" s="1"/>
  <c r="BN18" i="121"/>
  <c r="K18" i="121" s="1"/>
  <c r="BN11" i="121"/>
  <c r="K11" i="121" s="1"/>
  <c r="BN14" i="121"/>
  <c r="K14" i="121" s="1"/>
  <c r="BN15" i="121"/>
  <c r="K15" i="121" s="1"/>
  <c r="BN16" i="121"/>
  <c r="K16" i="121" s="1"/>
  <c r="BN24" i="121"/>
  <c r="K24" i="121" s="1"/>
  <c r="BN6" i="121"/>
  <c r="K6" i="121" s="1"/>
  <c r="BN8" i="121"/>
  <c r="K8" i="121" s="1"/>
  <c r="BN22" i="121"/>
  <c r="K22" i="121" s="1"/>
  <c r="BN19" i="121"/>
  <c r="K19" i="121" s="1"/>
  <c r="BN21" i="121"/>
  <c r="K21" i="121" s="1"/>
  <c r="BN17" i="121"/>
  <c r="K17" i="121" s="1"/>
  <c r="BN23" i="121"/>
  <c r="K23" i="121" s="1"/>
  <c r="BN9" i="121"/>
  <c r="K9" i="121" s="1"/>
  <c r="BN12" i="121"/>
  <c r="K12" i="121" s="1"/>
  <c r="BN13" i="121"/>
  <c r="K13" i="121" s="1"/>
  <c r="BN10" i="121"/>
  <c r="K10" i="121" s="1"/>
  <c r="BN20" i="121"/>
  <c r="K20" i="121" s="1"/>
  <c r="F21" i="121"/>
  <c r="F8" i="121"/>
  <c r="F9" i="121"/>
  <c r="BM24" i="121"/>
  <c r="G24" i="121" s="1"/>
  <c r="H24" i="121" s="1"/>
  <c r="BM17" i="121"/>
  <c r="G17" i="121" s="1"/>
  <c r="H17" i="121" s="1"/>
  <c r="BM21" i="121"/>
  <c r="G21" i="121" s="1"/>
  <c r="H21" i="121" s="1"/>
  <c r="BM14" i="121"/>
  <c r="G14" i="121" s="1"/>
  <c r="H14" i="121" s="1"/>
  <c r="BM6" i="121"/>
  <c r="G6" i="121" s="1"/>
  <c r="H6" i="121" s="1"/>
  <c r="BM23" i="121"/>
  <c r="G23" i="121" s="1"/>
  <c r="H23" i="121" s="1"/>
  <c r="BM9" i="121"/>
  <c r="G9" i="121" s="1"/>
  <c r="H9" i="121" s="1"/>
  <c r="BM7" i="121"/>
  <c r="G7" i="121" s="1"/>
  <c r="H7" i="121" s="1"/>
  <c r="BM19" i="121"/>
  <c r="G19" i="121" s="1"/>
  <c r="H19" i="121" s="1"/>
  <c r="BM8" i="121"/>
  <c r="G8" i="121" s="1"/>
  <c r="H8" i="121" s="1"/>
  <c r="BM12" i="121"/>
  <c r="G12" i="121" s="1"/>
  <c r="H12" i="121" s="1"/>
  <c r="BM10" i="121"/>
  <c r="G10" i="121" s="1"/>
  <c r="H10" i="121" s="1"/>
  <c r="BM13" i="121"/>
  <c r="G13" i="121" s="1"/>
  <c r="H13" i="121" s="1"/>
  <c r="BM16" i="121"/>
  <c r="G16" i="121" s="1"/>
  <c r="H16" i="121" s="1"/>
  <c r="BM20" i="121"/>
  <c r="G20" i="121" s="1"/>
  <c r="H20" i="121" s="1"/>
  <c r="BM15" i="121"/>
  <c r="G15" i="121" s="1"/>
  <c r="H15" i="121" s="1"/>
  <c r="BM22" i="121"/>
  <c r="G22" i="121" s="1"/>
  <c r="H22" i="121" s="1"/>
  <c r="BM11" i="121"/>
  <c r="G11" i="121" s="1"/>
  <c r="H11" i="121" s="1"/>
  <c r="BM18" i="121"/>
  <c r="G18" i="121" s="1"/>
  <c r="H18" i="121" s="1"/>
  <c r="F15" i="121"/>
  <c r="F24" i="121"/>
  <c r="CJ23" i="121"/>
  <c r="CJ19" i="121"/>
  <c r="CJ8" i="121"/>
  <c r="CJ9" i="121"/>
  <c r="CJ12" i="121"/>
  <c r="CJ22" i="121"/>
  <c r="CJ14" i="121"/>
  <c r="EH1" i="121"/>
  <c r="CJ6" i="121"/>
  <c r="CJ18" i="121"/>
  <c r="CJ11" i="121"/>
  <c r="CJ10" i="121"/>
  <c r="CJ24" i="121"/>
  <c r="CJ15" i="121"/>
  <c r="CJ7" i="121"/>
  <c r="CJ21" i="121"/>
  <c r="CJ13" i="121"/>
  <c r="DI1" i="121"/>
  <c r="CJ20" i="121"/>
  <c r="CJ17" i="121"/>
  <c r="CJ16" i="121"/>
  <c r="BI24" i="121"/>
  <c r="I24" i="121" s="1"/>
  <c r="BI14" i="121"/>
  <c r="I14" i="121" s="1"/>
  <c r="BI8" i="121"/>
  <c r="I8" i="121" s="1"/>
  <c r="BI18" i="121"/>
  <c r="I18" i="121" s="1"/>
  <c r="BI13" i="121"/>
  <c r="I13" i="121" s="1"/>
  <c r="BI23" i="121"/>
  <c r="I23" i="121" s="1"/>
  <c r="BI16" i="121"/>
  <c r="I16" i="121" s="1"/>
  <c r="BI15" i="121"/>
  <c r="I15" i="121" s="1"/>
  <c r="BI9" i="121"/>
  <c r="I9" i="121" s="1"/>
  <c r="BI17" i="121"/>
  <c r="I17" i="121" s="1"/>
  <c r="BI22" i="121"/>
  <c r="I22" i="121" s="1"/>
  <c r="BI11" i="121"/>
  <c r="I11" i="121" s="1"/>
  <c r="BI7" i="121"/>
  <c r="I7" i="121" s="1"/>
  <c r="BI19" i="121"/>
  <c r="I19" i="121" s="1"/>
  <c r="BI10" i="121"/>
  <c r="I10" i="121" s="1"/>
  <c r="BI6" i="121"/>
  <c r="I6" i="121" s="1"/>
  <c r="BI5" i="121"/>
  <c r="I3" i="121" s="1"/>
  <c r="BI20" i="121"/>
  <c r="I20" i="121" s="1"/>
  <c r="BI21" i="121"/>
  <c r="I21" i="121" s="1"/>
  <c r="BI12" i="121"/>
  <c r="I12" i="121" s="1"/>
  <c r="F10" i="121"/>
  <c r="O6" i="121"/>
  <c r="P6" i="121" s="1"/>
  <c r="F11" i="121"/>
  <c r="F19" i="113"/>
  <c r="F16" i="120"/>
  <c r="F22" i="120"/>
  <c r="F15" i="120"/>
  <c r="F23" i="120"/>
  <c r="F9" i="120"/>
  <c r="F18" i="120"/>
  <c r="F24" i="120"/>
  <c r="F12" i="120"/>
  <c r="F21" i="120"/>
  <c r="F19" i="120"/>
  <c r="F17" i="120"/>
  <c r="F6" i="120"/>
  <c r="E26" i="120"/>
  <c r="F20" i="120"/>
  <c r="F11" i="120"/>
  <c r="Q20" i="120"/>
  <c r="R20" i="120" s="1"/>
  <c r="CJ21" i="120"/>
  <c r="CJ24" i="120"/>
  <c r="CJ7" i="120"/>
  <c r="CJ19" i="120"/>
  <c r="CJ15" i="120"/>
  <c r="EH1" i="120"/>
  <c r="CJ18" i="120"/>
  <c r="CJ11" i="120"/>
  <c r="DI1" i="120"/>
  <c r="CJ16" i="120"/>
  <c r="CJ10" i="120"/>
  <c r="CJ17" i="120"/>
  <c r="CJ12" i="120"/>
  <c r="CJ20" i="120"/>
  <c r="CJ8" i="120"/>
  <c r="CJ23" i="120"/>
  <c r="CJ14" i="120"/>
  <c r="CJ9" i="120"/>
  <c r="CJ22" i="120"/>
  <c r="CJ13" i="120"/>
  <c r="CJ6" i="120"/>
  <c r="BN21" i="120"/>
  <c r="K21" i="120" s="1"/>
  <c r="BN15" i="120"/>
  <c r="K15" i="120" s="1"/>
  <c r="BN11" i="120"/>
  <c r="K11" i="120" s="1"/>
  <c r="BN24" i="120"/>
  <c r="K24" i="120" s="1"/>
  <c r="BN10" i="120"/>
  <c r="K10" i="120" s="1"/>
  <c r="BN23" i="120"/>
  <c r="K23" i="120" s="1"/>
  <c r="BN19" i="120"/>
  <c r="K19" i="120" s="1"/>
  <c r="BN12" i="120"/>
  <c r="K12" i="120" s="1"/>
  <c r="BN18" i="120"/>
  <c r="K18" i="120" s="1"/>
  <c r="BN20" i="120"/>
  <c r="K20" i="120" s="1"/>
  <c r="BN16" i="120"/>
  <c r="K16" i="120" s="1"/>
  <c r="BN8" i="120"/>
  <c r="K8" i="120" s="1"/>
  <c r="BN6" i="120"/>
  <c r="K6" i="120" s="1"/>
  <c r="BN17" i="120"/>
  <c r="K17" i="120" s="1"/>
  <c r="BN9" i="120"/>
  <c r="K9" i="120" s="1"/>
  <c r="BN14" i="120"/>
  <c r="K14" i="120" s="1"/>
  <c r="BN22" i="120"/>
  <c r="K22" i="120" s="1"/>
  <c r="BN13" i="120"/>
  <c r="K13" i="120" s="1"/>
  <c r="BN7" i="120"/>
  <c r="K7" i="120" s="1"/>
  <c r="F7" i="120"/>
  <c r="F13" i="120"/>
  <c r="CL2" i="120"/>
  <c r="CK1" i="120"/>
  <c r="BM6" i="120"/>
  <c r="G6" i="120" s="1"/>
  <c r="BM7" i="120"/>
  <c r="G7" i="120" s="1"/>
  <c r="H7" i="120" s="1"/>
  <c r="BM17" i="120"/>
  <c r="G17" i="120" s="1"/>
  <c r="H17" i="120" s="1"/>
  <c r="BM14" i="120"/>
  <c r="G14" i="120" s="1"/>
  <c r="H14" i="120" s="1"/>
  <c r="BM24" i="120"/>
  <c r="G24" i="120" s="1"/>
  <c r="H24" i="120" s="1"/>
  <c r="BM23" i="120"/>
  <c r="G23" i="120" s="1"/>
  <c r="H23" i="120" s="1"/>
  <c r="BM16" i="120"/>
  <c r="G16" i="120" s="1"/>
  <c r="H16" i="120" s="1"/>
  <c r="BM9" i="120"/>
  <c r="G9" i="120" s="1"/>
  <c r="H9" i="120" s="1"/>
  <c r="BM21" i="120"/>
  <c r="G21" i="120" s="1"/>
  <c r="H21" i="120" s="1"/>
  <c r="BM19" i="120"/>
  <c r="G19" i="120" s="1"/>
  <c r="H19" i="120" s="1"/>
  <c r="BM10" i="120"/>
  <c r="G10" i="120" s="1"/>
  <c r="H10" i="120" s="1"/>
  <c r="BM8" i="120"/>
  <c r="G8" i="120" s="1"/>
  <c r="H8" i="120" s="1"/>
  <c r="BM12" i="120"/>
  <c r="G12" i="120" s="1"/>
  <c r="H12" i="120" s="1"/>
  <c r="BM13" i="120"/>
  <c r="G13" i="120" s="1"/>
  <c r="H13" i="120" s="1"/>
  <c r="BM20" i="120"/>
  <c r="G20" i="120" s="1"/>
  <c r="H20" i="120" s="1"/>
  <c r="BM15" i="120"/>
  <c r="G15" i="120" s="1"/>
  <c r="H15" i="120" s="1"/>
  <c r="BM18" i="120"/>
  <c r="G18" i="120" s="1"/>
  <c r="H18" i="120" s="1"/>
  <c r="BM22" i="120"/>
  <c r="G22" i="120" s="1"/>
  <c r="H22" i="120" s="1"/>
  <c r="BM11" i="120"/>
  <c r="G11" i="120" s="1"/>
  <c r="H11" i="120" s="1"/>
  <c r="BI16" i="120"/>
  <c r="I16" i="120" s="1"/>
  <c r="BI5" i="120"/>
  <c r="I3" i="120" s="1"/>
  <c r="BI19" i="120"/>
  <c r="I19" i="120" s="1"/>
  <c r="BI17" i="120"/>
  <c r="I17" i="120" s="1"/>
  <c r="BI7" i="120"/>
  <c r="I7" i="120" s="1"/>
  <c r="BI21" i="120"/>
  <c r="I21" i="120" s="1"/>
  <c r="BI15" i="120"/>
  <c r="I15" i="120" s="1"/>
  <c r="BI6" i="120"/>
  <c r="I6" i="120" s="1"/>
  <c r="BI10" i="120"/>
  <c r="I10" i="120" s="1"/>
  <c r="BI24" i="120"/>
  <c r="I24" i="120" s="1"/>
  <c r="BI14" i="120"/>
  <c r="I14" i="120" s="1"/>
  <c r="BI8" i="120"/>
  <c r="I8" i="120" s="1"/>
  <c r="BI18" i="120"/>
  <c r="I18" i="120" s="1"/>
  <c r="BI20" i="120"/>
  <c r="I20" i="120" s="1"/>
  <c r="BI13" i="120"/>
  <c r="I13" i="120" s="1"/>
  <c r="BI9" i="120"/>
  <c r="I9" i="120" s="1"/>
  <c r="BI22" i="120"/>
  <c r="I22" i="120" s="1"/>
  <c r="BI11" i="120"/>
  <c r="I11" i="120" s="1"/>
  <c r="BI23" i="120"/>
  <c r="I23" i="120" s="1"/>
  <c r="BI12" i="120"/>
  <c r="I12" i="120" s="1"/>
  <c r="F14" i="120"/>
  <c r="P6" i="120"/>
  <c r="F10" i="120"/>
  <c r="F8" i="120"/>
  <c r="A132" i="9"/>
  <c r="E132" i="9" s="1"/>
  <c r="C133" i="9"/>
  <c r="F19" i="119"/>
  <c r="F17" i="119"/>
  <c r="F18" i="119"/>
  <c r="F20" i="119"/>
  <c r="F10" i="119"/>
  <c r="Q20" i="119"/>
  <c r="R20" i="119" s="1"/>
  <c r="F21" i="119"/>
  <c r="F13" i="119"/>
  <c r="F15" i="119"/>
  <c r="F23" i="119"/>
  <c r="F16" i="119"/>
  <c r="F9" i="119"/>
  <c r="F24" i="119"/>
  <c r="F14" i="119"/>
  <c r="F7" i="119"/>
  <c r="BM6" i="119"/>
  <c r="G6" i="119" s="1"/>
  <c r="H6" i="119" s="1"/>
  <c r="BM23" i="119"/>
  <c r="G23" i="119" s="1"/>
  <c r="H23" i="119" s="1"/>
  <c r="BM14" i="119"/>
  <c r="G14" i="119" s="1"/>
  <c r="H14" i="119" s="1"/>
  <c r="BM24" i="119"/>
  <c r="G24" i="119" s="1"/>
  <c r="H24" i="119" s="1"/>
  <c r="BM7" i="119"/>
  <c r="G7" i="119" s="1"/>
  <c r="H7" i="119" s="1"/>
  <c r="BM17" i="119"/>
  <c r="G17" i="119" s="1"/>
  <c r="H17" i="119" s="1"/>
  <c r="BM9" i="119"/>
  <c r="G9" i="119" s="1"/>
  <c r="H9" i="119" s="1"/>
  <c r="BM21" i="119"/>
  <c r="G21" i="119" s="1"/>
  <c r="H21" i="119" s="1"/>
  <c r="BM19" i="119"/>
  <c r="G19" i="119" s="1"/>
  <c r="H19" i="119" s="1"/>
  <c r="BM13" i="119"/>
  <c r="G13" i="119" s="1"/>
  <c r="H13" i="119" s="1"/>
  <c r="BM8" i="119"/>
  <c r="G8" i="119" s="1"/>
  <c r="H8" i="119" s="1"/>
  <c r="BM12" i="119"/>
  <c r="G12" i="119" s="1"/>
  <c r="H12" i="119" s="1"/>
  <c r="BM10" i="119"/>
  <c r="G10" i="119" s="1"/>
  <c r="H10" i="119" s="1"/>
  <c r="BM16" i="119"/>
  <c r="G16" i="119" s="1"/>
  <c r="H16" i="119" s="1"/>
  <c r="BM18" i="119"/>
  <c r="G18" i="119" s="1"/>
  <c r="H18" i="119" s="1"/>
  <c r="BM20" i="119"/>
  <c r="G20" i="119" s="1"/>
  <c r="H20" i="119" s="1"/>
  <c r="BM15" i="119"/>
  <c r="G15" i="119" s="1"/>
  <c r="H15" i="119" s="1"/>
  <c r="BM11" i="119"/>
  <c r="G11" i="119" s="1"/>
  <c r="H11" i="119" s="1"/>
  <c r="BM22" i="119"/>
  <c r="G22" i="119" s="1"/>
  <c r="H22" i="119" s="1"/>
  <c r="BN23" i="119"/>
  <c r="K23" i="119" s="1"/>
  <c r="BN13" i="119"/>
  <c r="K13" i="119" s="1"/>
  <c r="BN6" i="119"/>
  <c r="K6" i="119" s="1"/>
  <c r="BN21" i="119"/>
  <c r="K21" i="119" s="1"/>
  <c r="BN22" i="119"/>
  <c r="K22" i="119" s="1"/>
  <c r="BN15" i="119"/>
  <c r="K15" i="119" s="1"/>
  <c r="BN24" i="119"/>
  <c r="K24" i="119" s="1"/>
  <c r="BN20" i="119"/>
  <c r="K20" i="119" s="1"/>
  <c r="BN12" i="119"/>
  <c r="K12" i="119" s="1"/>
  <c r="BN19" i="119"/>
  <c r="K19" i="119" s="1"/>
  <c r="BN18" i="119"/>
  <c r="K18" i="119" s="1"/>
  <c r="BN14" i="119"/>
  <c r="K14" i="119" s="1"/>
  <c r="BN10" i="119"/>
  <c r="K10" i="119" s="1"/>
  <c r="BN17" i="119"/>
  <c r="K17" i="119" s="1"/>
  <c r="BN9" i="119"/>
  <c r="K9" i="119" s="1"/>
  <c r="BN16" i="119"/>
  <c r="K16" i="119" s="1"/>
  <c r="BN7" i="119"/>
  <c r="K7" i="119" s="1"/>
  <c r="BN11" i="119"/>
  <c r="K11" i="119" s="1"/>
  <c r="BN8" i="119"/>
  <c r="K8" i="119" s="1"/>
  <c r="CJ24" i="119"/>
  <c r="CJ11" i="119"/>
  <c r="CJ19" i="119"/>
  <c r="CJ16" i="119"/>
  <c r="CJ8" i="119"/>
  <c r="CJ22" i="119"/>
  <c r="CJ14" i="119"/>
  <c r="CJ6" i="119"/>
  <c r="CJ23" i="119"/>
  <c r="CJ13" i="119"/>
  <c r="CJ7" i="119"/>
  <c r="CJ9" i="119"/>
  <c r="CJ20" i="119"/>
  <c r="CJ15" i="119"/>
  <c r="CJ21" i="119"/>
  <c r="CJ12" i="119"/>
  <c r="EH1" i="119"/>
  <c r="CJ17" i="119"/>
  <c r="DI1" i="119"/>
  <c r="CJ18" i="119"/>
  <c r="CJ10" i="119"/>
  <c r="F12" i="119"/>
  <c r="F8" i="119"/>
  <c r="CL2" i="119"/>
  <c r="CK1" i="119"/>
  <c r="BI13" i="119"/>
  <c r="I13" i="119" s="1"/>
  <c r="BI14" i="119"/>
  <c r="I14" i="119" s="1"/>
  <c r="BI5" i="119"/>
  <c r="I3" i="119" s="1"/>
  <c r="BI24" i="119"/>
  <c r="I24" i="119" s="1"/>
  <c r="BI20" i="119"/>
  <c r="I20" i="119" s="1"/>
  <c r="BI21" i="119"/>
  <c r="I21" i="119" s="1"/>
  <c r="BI9" i="119"/>
  <c r="I9" i="119" s="1"/>
  <c r="BI23" i="119"/>
  <c r="I23" i="119" s="1"/>
  <c r="BI17" i="119"/>
  <c r="I17" i="119" s="1"/>
  <c r="BI6" i="119"/>
  <c r="I6" i="119" s="1"/>
  <c r="BI22" i="119"/>
  <c r="I22" i="119" s="1"/>
  <c r="BI18" i="119"/>
  <c r="I18" i="119" s="1"/>
  <c r="BI16" i="119"/>
  <c r="I16" i="119" s="1"/>
  <c r="BI19" i="119"/>
  <c r="I19" i="119" s="1"/>
  <c r="BI12" i="119"/>
  <c r="I12" i="119" s="1"/>
  <c r="BI10" i="119"/>
  <c r="I10" i="119" s="1"/>
  <c r="BI15" i="119"/>
  <c r="I15" i="119" s="1"/>
  <c r="BI11" i="119"/>
  <c r="I11" i="119" s="1"/>
  <c r="BI7" i="119"/>
  <c r="I7" i="119" s="1"/>
  <c r="BI8" i="119"/>
  <c r="I8" i="119" s="1"/>
  <c r="O6" i="119"/>
  <c r="F6" i="119"/>
  <c r="E26" i="119"/>
  <c r="F22" i="119"/>
  <c r="F11" i="119"/>
  <c r="F12" i="116"/>
  <c r="BV26" i="116"/>
  <c r="F16" i="116"/>
  <c r="F23" i="116"/>
  <c r="F21" i="116"/>
  <c r="F9" i="116"/>
  <c r="F14" i="116"/>
  <c r="F11" i="116"/>
  <c r="P6" i="116"/>
  <c r="F7" i="116"/>
  <c r="F10" i="116"/>
  <c r="F6" i="116"/>
  <c r="E26" i="116"/>
  <c r="CK23" i="116"/>
  <c r="CK13" i="116"/>
  <c r="CK6" i="116"/>
  <c r="CK24" i="116"/>
  <c r="CK19" i="116"/>
  <c r="EI1" i="116"/>
  <c r="CK22" i="116"/>
  <c r="CK16" i="116"/>
  <c r="CK21" i="116"/>
  <c r="CK11" i="116"/>
  <c r="DJ1" i="116"/>
  <c r="CK10" i="116"/>
  <c r="CK18" i="116"/>
  <c r="CK14" i="116"/>
  <c r="CK9" i="116"/>
  <c r="CK17" i="116"/>
  <c r="CK8" i="116"/>
  <c r="CK20" i="116"/>
  <c r="CK15" i="116"/>
  <c r="CK7" i="116"/>
  <c r="CK12" i="116"/>
  <c r="CM2" i="116"/>
  <c r="CL1" i="116"/>
  <c r="BJ22" i="116"/>
  <c r="I22" i="116" s="1"/>
  <c r="BJ12" i="116"/>
  <c r="I12" i="116" s="1"/>
  <c r="BJ18" i="116"/>
  <c r="I18" i="116" s="1"/>
  <c r="BJ14" i="116"/>
  <c r="I14" i="116" s="1"/>
  <c r="BJ17" i="116"/>
  <c r="I17" i="116" s="1"/>
  <c r="BJ11" i="116"/>
  <c r="I11" i="116" s="1"/>
  <c r="BJ24" i="116"/>
  <c r="I24" i="116" s="1"/>
  <c r="BJ16" i="116"/>
  <c r="I16" i="116" s="1"/>
  <c r="BJ6" i="116"/>
  <c r="I6" i="116" s="1"/>
  <c r="BJ20" i="116"/>
  <c r="I20" i="116" s="1"/>
  <c r="BJ15" i="116"/>
  <c r="I15" i="116" s="1"/>
  <c r="BJ13" i="116"/>
  <c r="I13" i="116" s="1"/>
  <c r="BJ19" i="116"/>
  <c r="I19" i="116" s="1"/>
  <c r="BJ10" i="116"/>
  <c r="I10" i="116" s="1"/>
  <c r="BJ23" i="116"/>
  <c r="I23" i="116" s="1"/>
  <c r="BJ9" i="116"/>
  <c r="I9" i="116" s="1"/>
  <c r="BJ5" i="116"/>
  <c r="I3" i="116" s="1"/>
  <c r="BJ21" i="116"/>
  <c r="I21" i="116" s="1"/>
  <c r="BJ8" i="116"/>
  <c r="I8" i="116" s="1"/>
  <c r="BJ7" i="116"/>
  <c r="I7" i="116" s="1"/>
  <c r="F22" i="116"/>
  <c r="F20" i="116"/>
  <c r="F8" i="116"/>
  <c r="BN21" i="116"/>
  <c r="G21" i="116" s="1"/>
  <c r="H21" i="116" s="1"/>
  <c r="BN7" i="116"/>
  <c r="G7" i="116" s="1"/>
  <c r="H7" i="116" s="1"/>
  <c r="BN6" i="116"/>
  <c r="G6" i="116" s="1"/>
  <c r="H6" i="116" s="1"/>
  <c r="BN16" i="116"/>
  <c r="G16" i="116" s="1"/>
  <c r="H16" i="116" s="1"/>
  <c r="BN9" i="116"/>
  <c r="G9" i="116" s="1"/>
  <c r="H9" i="116" s="1"/>
  <c r="BN17" i="116"/>
  <c r="G17" i="116" s="1"/>
  <c r="H17" i="116" s="1"/>
  <c r="BN23" i="116"/>
  <c r="G23" i="116" s="1"/>
  <c r="H23" i="116" s="1"/>
  <c r="BN14" i="116"/>
  <c r="G14" i="116" s="1"/>
  <c r="H14" i="116" s="1"/>
  <c r="BN19" i="116"/>
  <c r="G19" i="116" s="1"/>
  <c r="H19" i="116" s="1"/>
  <c r="BN10" i="116"/>
  <c r="G10" i="116" s="1"/>
  <c r="H10" i="116" s="1"/>
  <c r="BN13" i="116"/>
  <c r="G13" i="116" s="1"/>
  <c r="H13" i="116" s="1"/>
  <c r="BN12" i="116"/>
  <c r="G12" i="116" s="1"/>
  <c r="H12" i="116" s="1"/>
  <c r="BN8" i="116"/>
  <c r="G8" i="116" s="1"/>
  <c r="H8" i="116" s="1"/>
  <c r="BN24" i="116"/>
  <c r="G24" i="116" s="1"/>
  <c r="H24" i="116" s="1"/>
  <c r="BN15" i="116"/>
  <c r="G15" i="116" s="1"/>
  <c r="H15" i="116" s="1"/>
  <c r="BN20" i="116"/>
  <c r="G20" i="116" s="1"/>
  <c r="H20" i="116" s="1"/>
  <c r="BN11" i="116"/>
  <c r="G11" i="116" s="1"/>
  <c r="H11" i="116" s="1"/>
  <c r="BN22" i="116"/>
  <c r="G22" i="116" s="1"/>
  <c r="H22" i="116" s="1"/>
  <c r="BN18" i="116"/>
  <c r="G18" i="116" s="1"/>
  <c r="H18" i="116" s="1"/>
  <c r="F18" i="116"/>
  <c r="F13" i="116"/>
  <c r="BO16" i="116"/>
  <c r="K16" i="116" s="1"/>
  <c r="BO10" i="116"/>
  <c r="K10" i="116" s="1"/>
  <c r="BO15" i="116"/>
  <c r="K15" i="116" s="1"/>
  <c r="BO9" i="116"/>
  <c r="K9" i="116" s="1"/>
  <c r="BO20" i="116"/>
  <c r="K20" i="116" s="1"/>
  <c r="BO14" i="116"/>
  <c r="K14" i="116" s="1"/>
  <c r="BO8" i="116"/>
  <c r="K8" i="116" s="1"/>
  <c r="BO24" i="116"/>
  <c r="K24" i="116" s="1"/>
  <c r="BO19" i="116"/>
  <c r="K19" i="116" s="1"/>
  <c r="BO7" i="116"/>
  <c r="K7" i="116" s="1"/>
  <c r="BO23" i="116"/>
  <c r="K23" i="116" s="1"/>
  <c r="BO13" i="116"/>
  <c r="K13" i="116" s="1"/>
  <c r="BO6" i="116"/>
  <c r="K6" i="116" s="1"/>
  <c r="BO22" i="116"/>
  <c r="K22" i="116" s="1"/>
  <c r="BO11" i="116"/>
  <c r="K11" i="116" s="1"/>
  <c r="BO17" i="116"/>
  <c r="K17" i="116" s="1"/>
  <c r="BO18" i="116"/>
  <c r="K18" i="116" s="1"/>
  <c r="BO21" i="116"/>
  <c r="K21" i="116" s="1"/>
  <c r="BO12" i="116"/>
  <c r="K12" i="116" s="1"/>
  <c r="F15" i="116"/>
  <c r="F19" i="116"/>
  <c r="F17" i="116"/>
  <c r="F24" i="116"/>
  <c r="F19" i="112"/>
  <c r="F24" i="112"/>
  <c r="F9" i="112"/>
  <c r="F13" i="112"/>
  <c r="F10" i="112"/>
  <c r="F17" i="112"/>
  <c r="F15" i="112"/>
  <c r="F23" i="112"/>
  <c r="F21" i="112"/>
  <c r="F14" i="112"/>
  <c r="F8" i="112"/>
  <c r="F12" i="112"/>
  <c r="F7" i="112"/>
  <c r="F16" i="112"/>
  <c r="F20" i="112"/>
  <c r="F18" i="112"/>
  <c r="F22" i="112"/>
  <c r="F11" i="112"/>
  <c r="F14" i="113"/>
  <c r="F15" i="113"/>
  <c r="F17" i="113"/>
  <c r="F18" i="113"/>
  <c r="F13" i="113"/>
  <c r="F24" i="113"/>
  <c r="F21" i="113"/>
  <c r="F9" i="113"/>
  <c r="F23" i="113"/>
  <c r="F12" i="113"/>
  <c r="F7" i="113"/>
  <c r="F20" i="113"/>
  <c r="F11" i="113"/>
  <c r="F22" i="113"/>
  <c r="F16" i="113"/>
  <c r="F10" i="113"/>
  <c r="F8" i="113"/>
  <c r="BN15" i="113"/>
  <c r="G15" i="113" s="1"/>
  <c r="H15" i="113" s="1"/>
  <c r="BN19" i="113"/>
  <c r="G19" i="113" s="1"/>
  <c r="H19" i="113" s="1"/>
  <c r="BN6" i="113"/>
  <c r="G6" i="113" s="1"/>
  <c r="H6" i="113" s="1"/>
  <c r="BN17" i="113"/>
  <c r="G17" i="113" s="1"/>
  <c r="H17" i="113" s="1"/>
  <c r="BN21" i="113"/>
  <c r="G21" i="113" s="1"/>
  <c r="H21" i="113" s="1"/>
  <c r="BN7" i="113"/>
  <c r="G7" i="113" s="1"/>
  <c r="H7" i="113" s="1"/>
  <c r="BN23" i="113"/>
  <c r="G23" i="113" s="1"/>
  <c r="H23" i="113" s="1"/>
  <c r="BN24" i="113"/>
  <c r="G24" i="113" s="1"/>
  <c r="H24" i="113" s="1"/>
  <c r="BN14" i="113"/>
  <c r="G14" i="113" s="1"/>
  <c r="H14" i="113" s="1"/>
  <c r="BN22" i="113"/>
  <c r="G22" i="113" s="1"/>
  <c r="H22" i="113" s="1"/>
  <c r="BN18" i="113"/>
  <c r="G18" i="113" s="1"/>
  <c r="H18" i="113" s="1"/>
  <c r="BN9" i="113"/>
  <c r="G9" i="113" s="1"/>
  <c r="H9" i="113" s="1"/>
  <c r="BN16" i="113"/>
  <c r="G16" i="113" s="1"/>
  <c r="H16" i="113" s="1"/>
  <c r="BN11" i="113"/>
  <c r="G11" i="113" s="1"/>
  <c r="H11" i="113" s="1"/>
  <c r="BN8" i="113"/>
  <c r="G8" i="113" s="1"/>
  <c r="H8" i="113" s="1"/>
  <c r="BN20" i="113"/>
  <c r="G20" i="113" s="1"/>
  <c r="H20" i="113" s="1"/>
  <c r="BN10" i="113"/>
  <c r="G10" i="113" s="1"/>
  <c r="H10" i="113" s="1"/>
  <c r="BN12" i="113"/>
  <c r="G12" i="113" s="1"/>
  <c r="H12" i="113" s="1"/>
  <c r="BN13" i="113"/>
  <c r="G13" i="113" s="1"/>
  <c r="H13" i="113" s="1"/>
  <c r="BJ16" i="112"/>
  <c r="I16" i="112" s="1"/>
  <c r="BJ6" i="112"/>
  <c r="I6" i="112" s="1"/>
  <c r="BJ24" i="112"/>
  <c r="I24" i="112" s="1"/>
  <c r="BJ11" i="112"/>
  <c r="I11" i="112" s="1"/>
  <c r="BJ13" i="112"/>
  <c r="I13" i="112" s="1"/>
  <c r="BJ7" i="112"/>
  <c r="I7" i="112" s="1"/>
  <c r="BJ12" i="112"/>
  <c r="I12" i="112" s="1"/>
  <c r="BJ20" i="112"/>
  <c r="I20" i="112" s="1"/>
  <c r="BJ23" i="112"/>
  <c r="I23" i="112" s="1"/>
  <c r="BJ15" i="112"/>
  <c r="I15" i="112" s="1"/>
  <c r="BJ21" i="112"/>
  <c r="I21" i="112" s="1"/>
  <c r="BJ9" i="112"/>
  <c r="I9" i="112" s="1"/>
  <c r="BJ18" i="112"/>
  <c r="I18" i="112" s="1"/>
  <c r="BJ14" i="112"/>
  <c r="I14" i="112" s="1"/>
  <c r="BJ19" i="112"/>
  <c r="I19" i="112" s="1"/>
  <c r="BJ17" i="112"/>
  <c r="I17" i="112" s="1"/>
  <c r="BJ5" i="112"/>
  <c r="I3" i="112" s="1"/>
  <c r="BJ10" i="112"/>
  <c r="I10" i="112" s="1"/>
  <c r="BJ22" i="112"/>
  <c r="I22" i="112" s="1"/>
  <c r="BJ8" i="112"/>
  <c r="I8" i="112" s="1"/>
  <c r="BO20" i="113"/>
  <c r="K20" i="113" s="1"/>
  <c r="BO9" i="113"/>
  <c r="K9" i="113" s="1"/>
  <c r="BO12" i="113"/>
  <c r="K12" i="113" s="1"/>
  <c r="BO19" i="113"/>
  <c r="K19" i="113" s="1"/>
  <c r="BO17" i="113"/>
  <c r="K17" i="113" s="1"/>
  <c r="BO21" i="113"/>
  <c r="K21" i="113" s="1"/>
  <c r="BO18" i="113"/>
  <c r="K18" i="113" s="1"/>
  <c r="BO11" i="113"/>
  <c r="K11" i="113" s="1"/>
  <c r="BO7" i="113"/>
  <c r="K7" i="113" s="1"/>
  <c r="BO6" i="113"/>
  <c r="K6" i="113" s="1"/>
  <c r="BO16" i="113"/>
  <c r="K16" i="113" s="1"/>
  <c r="BO10" i="113"/>
  <c r="K10" i="113" s="1"/>
  <c r="BO23" i="113"/>
  <c r="K23" i="113" s="1"/>
  <c r="BO15" i="113"/>
  <c r="K15" i="113" s="1"/>
  <c r="BO24" i="113"/>
  <c r="K24" i="113" s="1"/>
  <c r="BO14" i="113"/>
  <c r="K14" i="113" s="1"/>
  <c r="BO13" i="113"/>
  <c r="K13" i="113" s="1"/>
  <c r="BO22" i="113"/>
  <c r="K22" i="113" s="1"/>
  <c r="BO8" i="113"/>
  <c r="K8" i="113" s="1"/>
  <c r="P6" i="113"/>
  <c r="Q6" i="113"/>
  <c r="R6" i="113" s="1"/>
  <c r="CK24" i="113"/>
  <c r="CK14" i="113"/>
  <c r="CK15" i="113"/>
  <c r="CK23" i="113"/>
  <c r="CK13" i="113"/>
  <c r="CK11" i="113"/>
  <c r="CK22" i="113"/>
  <c r="CK12" i="113"/>
  <c r="CK7" i="113"/>
  <c r="CK21" i="113"/>
  <c r="CK6" i="113"/>
  <c r="CK10" i="113"/>
  <c r="CK20" i="113"/>
  <c r="CK8" i="113"/>
  <c r="CK9" i="113"/>
  <c r="CK19" i="113"/>
  <c r="EI1" i="113"/>
  <c r="CK18" i="113"/>
  <c r="DJ1" i="113"/>
  <c r="CK16" i="113"/>
  <c r="CK17" i="113"/>
  <c r="CK18" i="112"/>
  <c r="CK6" i="112"/>
  <c r="CK23" i="112"/>
  <c r="CK11" i="112"/>
  <c r="CK16" i="112"/>
  <c r="CK8" i="112"/>
  <c r="CK22" i="112"/>
  <c r="CK15" i="112"/>
  <c r="EI1" i="112"/>
  <c r="CK21" i="112"/>
  <c r="CK14" i="112"/>
  <c r="DJ1" i="112"/>
  <c r="CK24" i="112"/>
  <c r="CK20" i="112"/>
  <c r="CK12" i="112"/>
  <c r="CK13" i="112"/>
  <c r="CK9" i="112"/>
  <c r="CK17" i="112"/>
  <c r="CK19" i="112"/>
  <c r="CK7" i="112"/>
  <c r="CK10" i="112"/>
  <c r="F6" i="113"/>
  <c r="E26" i="113"/>
  <c r="CM2" i="113"/>
  <c r="CL1" i="113"/>
  <c r="CL1" i="112"/>
  <c r="CM2" i="112"/>
  <c r="BN7" i="112"/>
  <c r="G7" i="112" s="1"/>
  <c r="H7" i="112" s="1"/>
  <c r="BN14" i="112"/>
  <c r="G14" i="112" s="1"/>
  <c r="H14" i="112" s="1"/>
  <c r="BN24" i="112"/>
  <c r="G24" i="112" s="1"/>
  <c r="H24" i="112" s="1"/>
  <c r="BN20" i="112"/>
  <c r="G20" i="112" s="1"/>
  <c r="H20" i="112" s="1"/>
  <c r="BN19" i="112"/>
  <c r="G19" i="112" s="1"/>
  <c r="H19" i="112" s="1"/>
  <c r="BN15" i="112"/>
  <c r="G15" i="112" s="1"/>
  <c r="H15" i="112" s="1"/>
  <c r="BN18" i="112"/>
  <c r="G18" i="112" s="1"/>
  <c r="H18" i="112" s="1"/>
  <c r="BN6" i="112"/>
  <c r="G6" i="112" s="1"/>
  <c r="BN22" i="112"/>
  <c r="G22" i="112" s="1"/>
  <c r="H22" i="112" s="1"/>
  <c r="BN17" i="112"/>
  <c r="G17" i="112" s="1"/>
  <c r="H17" i="112" s="1"/>
  <c r="BN16" i="112"/>
  <c r="G16" i="112" s="1"/>
  <c r="H16" i="112" s="1"/>
  <c r="BN11" i="112"/>
  <c r="G11" i="112" s="1"/>
  <c r="H11" i="112" s="1"/>
  <c r="BN9" i="112"/>
  <c r="G9" i="112" s="1"/>
  <c r="H9" i="112" s="1"/>
  <c r="BN8" i="112"/>
  <c r="G8" i="112" s="1"/>
  <c r="H8" i="112" s="1"/>
  <c r="BN23" i="112"/>
  <c r="G23" i="112" s="1"/>
  <c r="H23" i="112" s="1"/>
  <c r="BN21" i="112"/>
  <c r="G21" i="112" s="1"/>
  <c r="H21" i="112" s="1"/>
  <c r="BN12" i="112"/>
  <c r="G12" i="112" s="1"/>
  <c r="H12" i="112" s="1"/>
  <c r="BN10" i="112"/>
  <c r="G10" i="112" s="1"/>
  <c r="H10" i="112" s="1"/>
  <c r="BN13" i="112"/>
  <c r="G13" i="112" s="1"/>
  <c r="H13" i="112" s="1"/>
  <c r="BJ20" i="113"/>
  <c r="I20" i="113" s="1"/>
  <c r="BJ11" i="113"/>
  <c r="I11" i="113" s="1"/>
  <c r="BJ7" i="113"/>
  <c r="I7" i="113" s="1"/>
  <c r="BJ19" i="113"/>
  <c r="I19" i="113" s="1"/>
  <c r="BJ13" i="113"/>
  <c r="I13" i="113" s="1"/>
  <c r="BJ9" i="113"/>
  <c r="I9" i="113" s="1"/>
  <c r="BJ18" i="113"/>
  <c r="I18" i="113" s="1"/>
  <c r="BJ15" i="113"/>
  <c r="I15" i="113" s="1"/>
  <c r="BJ10" i="113"/>
  <c r="I10" i="113" s="1"/>
  <c r="BJ22" i="113"/>
  <c r="I22" i="113" s="1"/>
  <c r="BJ14" i="113"/>
  <c r="I14" i="113" s="1"/>
  <c r="BJ17" i="113"/>
  <c r="I17" i="113" s="1"/>
  <c r="BJ8" i="113"/>
  <c r="I8" i="113" s="1"/>
  <c r="BJ23" i="113"/>
  <c r="I23" i="113" s="1"/>
  <c r="BJ5" i="113"/>
  <c r="I3" i="113" s="1"/>
  <c r="BJ21" i="113"/>
  <c r="I21" i="113" s="1"/>
  <c r="BJ6" i="113"/>
  <c r="I6" i="113" s="1"/>
  <c r="BJ24" i="113"/>
  <c r="I24" i="113" s="1"/>
  <c r="BJ12" i="113"/>
  <c r="I12" i="113" s="1"/>
  <c r="BJ16" i="113"/>
  <c r="I16" i="113" s="1"/>
  <c r="BO22" i="112"/>
  <c r="K22" i="112" s="1"/>
  <c r="BO19" i="112"/>
  <c r="K19" i="112" s="1"/>
  <c r="BO8" i="112"/>
  <c r="K8" i="112" s="1"/>
  <c r="BO21" i="112"/>
  <c r="K21" i="112" s="1"/>
  <c r="BO17" i="112"/>
  <c r="K17" i="112" s="1"/>
  <c r="BO16" i="112"/>
  <c r="K16" i="112" s="1"/>
  <c r="BO20" i="112"/>
  <c r="K20" i="112" s="1"/>
  <c r="BO11" i="112"/>
  <c r="K11" i="112" s="1"/>
  <c r="BO13" i="112"/>
  <c r="K13" i="112" s="1"/>
  <c r="BO23" i="112"/>
  <c r="K23" i="112" s="1"/>
  <c r="BO7" i="112"/>
  <c r="K7" i="112" s="1"/>
  <c r="BO18" i="112"/>
  <c r="K18" i="112" s="1"/>
  <c r="BO6" i="112"/>
  <c r="K6" i="112" s="1"/>
  <c r="BO24" i="112"/>
  <c r="K24" i="112" s="1"/>
  <c r="BO12" i="112"/>
  <c r="K12" i="112" s="1"/>
  <c r="BO15" i="112"/>
  <c r="K15" i="112" s="1"/>
  <c r="BO14" i="112"/>
  <c r="K14" i="112" s="1"/>
  <c r="BO9" i="112"/>
  <c r="K9" i="112" s="1"/>
  <c r="BO10" i="112"/>
  <c r="K10" i="112" s="1"/>
  <c r="O6" i="112"/>
  <c r="F6" i="112"/>
  <c r="E26" i="112"/>
  <c r="BO15" i="109"/>
  <c r="K15" i="109" s="1"/>
  <c r="BO14" i="109"/>
  <c r="K14" i="109" s="1"/>
  <c r="BO13" i="109"/>
  <c r="K13" i="109" s="1"/>
  <c r="BO24" i="109"/>
  <c r="K24" i="109" s="1"/>
  <c r="BO12" i="109"/>
  <c r="K12" i="109" s="1"/>
  <c r="BO23" i="109"/>
  <c r="K23" i="109" s="1"/>
  <c r="BO11" i="109"/>
  <c r="K11" i="109" s="1"/>
  <c r="BO22" i="109"/>
  <c r="K22" i="109" s="1"/>
  <c r="BO10" i="109"/>
  <c r="K10" i="109" s="1"/>
  <c r="BO21" i="109"/>
  <c r="K21" i="109" s="1"/>
  <c r="BO9" i="109"/>
  <c r="K9" i="109" s="1"/>
  <c r="BO18" i="109"/>
  <c r="K18" i="109" s="1"/>
  <c r="BO6" i="109"/>
  <c r="K6" i="109" s="1"/>
  <c r="BO17" i="109"/>
  <c r="K17" i="109" s="1"/>
  <c r="BO16" i="109"/>
  <c r="K16" i="109" s="1"/>
  <c r="BO8" i="109"/>
  <c r="K8" i="109" s="1"/>
  <c r="BO7" i="109"/>
  <c r="K7" i="109" s="1"/>
  <c r="BO19" i="109"/>
  <c r="K19" i="109" s="1"/>
  <c r="BO20" i="109"/>
  <c r="K20" i="109" s="1"/>
  <c r="BN16" i="108"/>
  <c r="K16" i="108" s="1"/>
  <c r="BN10" i="108"/>
  <c r="K10" i="108" s="1"/>
  <c r="BN15" i="108"/>
  <c r="K15" i="108" s="1"/>
  <c r="BN14" i="108"/>
  <c r="K14" i="108" s="1"/>
  <c r="BN13" i="108"/>
  <c r="K13" i="108" s="1"/>
  <c r="BN24" i="108"/>
  <c r="K24" i="108" s="1"/>
  <c r="BN12" i="108"/>
  <c r="K12" i="108" s="1"/>
  <c r="BN22" i="108"/>
  <c r="K22" i="108" s="1"/>
  <c r="BN23" i="108"/>
  <c r="K23" i="108" s="1"/>
  <c r="BN11" i="108"/>
  <c r="K11" i="108" s="1"/>
  <c r="BN20" i="108"/>
  <c r="K20" i="108" s="1"/>
  <c r="BN8" i="108"/>
  <c r="K8" i="108" s="1"/>
  <c r="BN19" i="108"/>
  <c r="K19" i="108" s="1"/>
  <c r="BN7" i="108"/>
  <c r="K7" i="108" s="1"/>
  <c r="BN18" i="108"/>
  <c r="K18" i="108" s="1"/>
  <c r="BN6" i="108"/>
  <c r="K6" i="108" s="1"/>
  <c r="BN9" i="108"/>
  <c r="K9" i="108" s="1"/>
  <c r="BN21" i="108"/>
  <c r="K21" i="108" s="1"/>
  <c r="BN17" i="108"/>
  <c r="K17" i="108" s="1"/>
  <c r="BN20" i="109"/>
  <c r="G20" i="109" s="1"/>
  <c r="BN8" i="109"/>
  <c r="G8" i="109" s="1"/>
  <c r="BN19" i="109"/>
  <c r="G19" i="109" s="1"/>
  <c r="BN7" i="109"/>
  <c r="G7" i="109" s="1"/>
  <c r="BN18" i="109"/>
  <c r="G18" i="109" s="1"/>
  <c r="BN6" i="109"/>
  <c r="G6" i="109" s="1"/>
  <c r="BN17" i="109"/>
  <c r="G17" i="109" s="1"/>
  <c r="BN16" i="109"/>
  <c r="G16" i="109" s="1"/>
  <c r="BN15" i="109"/>
  <c r="G15" i="109" s="1"/>
  <c r="BN14" i="109"/>
  <c r="G14" i="109" s="1"/>
  <c r="BN23" i="109"/>
  <c r="G23" i="109" s="1"/>
  <c r="BN11" i="109"/>
  <c r="G11" i="109" s="1"/>
  <c r="BN22" i="109"/>
  <c r="G22" i="109" s="1"/>
  <c r="BN10" i="109"/>
  <c r="G10" i="109" s="1"/>
  <c r="BN13" i="109"/>
  <c r="G13" i="109" s="1"/>
  <c r="BN24" i="109"/>
  <c r="G24" i="109" s="1"/>
  <c r="BN12" i="109"/>
  <c r="G12" i="109" s="1"/>
  <c r="BN9" i="109"/>
  <c r="G9" i="109" s="1"/>
  <c r="BN21" i="109"/>
  <c r="G21" i="109" s="1"/>
  <c r="O6" i="108"/>
  <c r="CK24" i="109"/>
  <c r="CK12" i="109"/>
  <c r="CK7" i="109"/>
  <c r="CK14" i="109"/>
  <c r="CK23" i="109"/>
  <c r="CK11" i="109"/>
  <c r="CK6" i="109"/>
  <c r="EI1" i="109"/>
  <c r="CK13" i="109"/>
  <c r="CK22" i="109"/>
  <c r="CK10" i="109"/>
  <c r="CK21" i="109"/>
  <c r="CK9" i="109"/>
  <c r="CK19" i="109"/>
  <c r="CK18" i="109"/>
  <c r="CK17" i="109"/>
  <c r="CK15" i="109"/>
  <c r="CK20" i="109"/>
  <c r="CK8" i="109"/>
  <c r="CK16" i="109"/>
  <c r="DJ1" i="109"/>
  <c r="BJ24" i="109"/>
  <c r="I24" i="109" s="1"/>
  <c r="BJ12" i="109"/>
  <c r="I12" i="109" s="1"/>
  <c r="BJ23" i="109"/>
  <c r="I23" i="109" s="1"/>
  <c r="BJ11" i="109"/>
  <c r="I11" i="109" s="1"/>
  <c r="BJ22" i="109"/>
  <c r="I22" i="109" s="1"/>
  <c r="BJ10" i="109"/>
  <c r="I10" i="109" s="1"/>
  <c r="BJ21" i="109"/>
  <c r="I21" i="109" s="1"/>
  <c r="BJ9" i="109"/>
  <c r="I9" i="109" s="1"/>
  <c r="BJ20" i="109"/>
  <c r="I20" i="109" s="1"/>
  <c r="BJ8" i="109"/>
  <c r="I8" i="109" s="1"/>
  <c r="BJ19" i="109"/>
  <c r="I19" i="109" s="1"/>
  <c r="BJ7" i="109"/>
  <c r="I7" i="109" s="1"/>
  <c r="BJ18" i="109"/>
  <c r="I18" i="109" s="1"/>
  <c r="BJ6" i="109"/>
  <c r="I6" i="109" s="1"/>
  <c r="BJ15" i="109"/>
  <c r="I15" i="109" s="1"/>
  <c r="BJ14" i="109"/>
  <c r="I14" i="109" s="1"/>
  <c r="BJ5" i="109"/>
  <c r="I3" i="109" s="1"/>
  <c r="BJ13" i="109"/>
  <c r="I13" i="109" s="1"/>
  <c r="BJ17" i="109"/>
  <c r="I17" i="109" s="1"/>
  <c r="BJ16" i="109"/>
  <c r="I16" i="109" s="1"/>
  <c r="BH17" i="108"/>
  <c r="E17" i="108" s="1"/>
  <c r="BH5" i="108"/>
  <c r="E3" i="108" s="1"/>
  <c r="BH16" i="108"/>
  <c r="E16" i="108" s="1"/>
  <c r="BH23" i="108"/>
  <c r="E23" i="108" s="1"/>
  <c r="BH15" i="108"/>
  <c r="E15" i="108" s="1"/>
  <c r="BH14" i="108"/>
  <c r="E14" i="108" s="1"/>
  <c r="BH13" i="108"/>
  <c r="E13" i="108" s="1"/>
  <c r="BH11" i="108"/>
  <c r="E11" i="108" s="1"/>
  <c r="BH24" i="108"/>
  <c r="E24" i="108" s="1"/>
  <c r="BH12" i="108"/>
  <c r="E12" i="108" s="1"/>
  <c r="BH21" i="108"/>
  <c r="E21" i="108" s="1"/>
  <c r="BH9" i="108"/>
  <c r="E9" i="108" s="1"/>
  <c r="BH20" i="108"/>
  <c r="E20" i="108" s="1"/>
  <c r="BH8" i="108"/>
  <c r="E8" i="108" s="1"/>
  <c r="BH19" i="108"/>
  <c r="E19" i="108" s="1"/>
  <c r="BH7" i="108"/>
  <c r="E7" i="108" s="1"/>
  <c r="BH22" i="108"/>
  <c r="E22" i="108" s="1"/>
  <c r="BH6" i="108"/>
  <c r="E6" i="108" s="1"/>
  <c r="BH18" i="108"/>
  <c r="E18" i="108" s="1"/>
  <c r="BH10" i="108"/>
  <c r="E10" i="108" s="1"/>
  <c r="BM21" i="108"/>
  <c r="G21" i="108" s="1"/>
  <c r="BM9" i="108"/>
  <c r="G9" i="108" s="1"/>
  <c r="BM20" i="108"/>
  <c r="G20" i="108" s="1"/>
  <c r="BM8" i="108"/>
  <c r="G8" i="108" s="1"/>
  <c r="BM19" i="108"/>
  <c r="G19" i="108" s="1"/>
  <c r="BM7" i="108"/>
  <c r="G7" i="108" s="1"/>
  <c r="BM18" i="108"/>
  <c r="G18" i="108" s="1"/>
  <c r="BM6" i="108"/>
  <c r="G6" i="108" s="1"/>
  <c r="BM17" i="108"/>
  <c r="G17" i="108" s="1"/>
  <c r="BM16" i="108"/>
  <c r="G16" i="108" s="1"/>
  <c r="BM15" i="108"/>
  <c r="G15" i="108" s="1"/>
  <c r="BM13" i="108"/>
  <c r="G13" i="108" s="1"/>
  <c r="BM24" i="108"/>
  <c r="G24" i="108" s="1"/>
  <c r="BM12" i="108"/>
  <c r="G12" i="108" s="1"/>
  <c r="BM23" i="108"/>
  <c r="G23" i="108" s="1"/>
  <c r="BM11" i="108"/>
  <c r="G11" i="108" s="1"/>
  <c r="BM22" i="108"/>
  <c r="G22" i="108" s="1"/>
  <c r="BM14" i="108"/>
  <c r="G14" i="108" s="1"/>
  <c r="BM10" i="108"/>
  <c r="G10" i="108" s="1"/>
  <c r="BI13" i="108"/>
  <c r="I13" i="108" s="1"/>
  <c r="BI24" i="108"/>
  <c r="I24" i="108" s="1"/>
  <c r="BI12" i="108"/>
  <c r="I12" i="108" s="1"/>
  <c r="BI23" i="108"/>
  <c r="I23" i="108" s="1"/>
  <c r="BI11" i="108"/>
  <c r="I11" i="108" s="1"/>
  <c r="BI7" i="108"/>
  <c r="I7" i="108" s="1"/>
  <c r="BI22" i="108"/>
  <c r="I22" i="108" s="1"/>
  <c r="BI10" i="108"/>
  <c r="I10" i="108" s="1"/>
  <c r="BI21" i="108"/>
  <c r="I21" i="108" s="1"/>
  <c r="BI9" i="108"/>
  <c r="I9" i="108" s="1"/>
  <c r="BI19" i="108"/>
  <c r="I19" i="108" s="1"/>
  <c r="BI20" i="108"/>
  <c r="I20" i="108" s="1"/>
  <c r="BI8" i="108"/>
  <c r="I8" i="108" s="1"/>
  <c r="BI17" i="108"/>
  <c r="I17" i="108" s="1"/>
  <c r="BI5" i="108"/>
  <c r="I3" i="108" s="1"/>
  <c r="BI16" i="108"/>
  <c r="I16" i="108" s="1"/>
  <c r="BI15" i="108"/>
  <c r="I15" i="108" s="1"/>
  <c r="BI18" i="108"/>
  <c r="I18" i="108" s="1"/>
  <c r="BI14" i="108"/>
  <c r="I14" i="108" s="1"/>
  <c r="BI6" i="108"/>
  <c r="I6" i="108" s="1"/>
  <c r="CM2" i="109"/>
  <c r="CL1" i="109"/>
  <c r="CJ21" i="108"/>
  <c r="CJ9" i="108"/>
  <c r="CJ20" i="108"/>
  <c r="CJ8" i="108"/>
  <c r="CJ19" i="108"/>
  <c r="CJ7" i="108"/>
  <c r="CJ18" i="108"/>
  <c r="CJ6" i="108"/>
  <c r="CJ17" i="108"/>
  <c r="EH1" i="108"/>
  <c r="CJ16" i="108"/>
  <c r="DI1" i="108"/>
  <c r="CJ15" i="108"/>
  <c r="CJ14" i="108"/>
  <c r="CJ13" i="108"/>
  <c r="CJ24" i="108"/>
  <c r="CJ12" i="108"/>
  <c r="CJ23" i="108"/>
  <c r="CJ11" i="108"/>
  <c r="CJ22" i="108"/>
  <c r="CJ10" i="108"/>
  <c r="BI16" i="109"/>
  <c r="E16" i="109" s="1"/>
  <c r="BI15" i="109"/>
  <c r="E15" i="109" s="1"/>
  <c r="BI14" i="109"/>
  <c r="E14" i="109" s="1"/>
  <c r="BI13" i="109"/>
  <c r="E13" i="109" s="1"/>
  <c r="BI24" i="109"/>
  <c r="E24" i="109" s="1"/>
  <c r="BI12" i="109"/>
  <c r="E12" i="109" s="1"/>
  <c r="BI23" i="109"/>
  <c r="E23" i="109" s="1"/>
  <c r="BI11" i="109"/>
  <c r="E11" i="109" s="1"/>
  <c r="BI22" i="109"/>
  <c r="E22" i="109" s="1"/>
  <c r="BI10" i="109"/>
  <c r="E10" i="109" s="1"/>
  <c r="BI19" i="109"/>
  <c r="E19" i="109" s="1"/>
  <c r="BI7" i="109"/>
  <c r="E7" i="109" s="1"/>
  <c r="BI18" i="109"/>
  <c r="E18" i="109" s="1"/>
  <c r="BI6" i="109"/>
  <c r="E6" i="109" s="1"/>
  <c r="BI20" i="109"/>
  <c r="E20" i="109" s="1"/>
  <c r="BI21" i="109"/>
  <c r="E21" i="109" s="1"/>
  <c r="BI9" i="109"/>
  <c r="E9" i="109" s="1"/>
  <c r="BI8" i="109"/>
  <c r="E8" i="109" s="1"/>
  <c r="BI5" i="109"/>
  <c r="E3" i="109" s="1"/>
  <c r="BI17" i="109"/>
  <c r="E17" i="109" s="1"/>
  <c r="CL2" i="108"/>
  <c r="CK1" i="108"/>
  <c r="O6" i="109"/>
  <c r="Q6" i="108"/>
  <c r="R6" i="108" s="1"/>
  <c r="BH24" i="106"/>
  <c r="E24" i="106" s="1"/>
  <c r="BH16" i="106"/>
  <c r="E16" i="106" s="1"/>
  <c r="BH8" i="106"/>
  <c r="E8" i="106" s="1"/>
  <c r="BH23" i="106"/>
  <c r="E23" i="106" s="1"/>
  <c r="BH15" i="106"/>
  <c r="E15" i="106" s="1"/>
  <c r="BH7" i="106"/>
  <c r="E7" i="106" s="1"/>
  <c r="BH22" i="106"/>
  <c r="E22" i="106" s="1"/>
  <c r="BH14" i="106"/>
  <c r="E14" i="106" s="1"/>
  <c r="BH6" i="106"/>
  <c r="E6" i="106" s="1"/>
  <c r="BH21" i="106"/>
  <c r="E21" i="106" s="1"/>
  <c r="BH13" i="106"/>
  <c r="E13" i="106" s="1"/>
  <c r="BH5" i="106"/>
  <c r="E3" i="106" s="1"/>
  <c r="BH17" i="106"/>
  <c r="E17" i="106" s="1"/>
  <c r="BH20" i="106"/>
  <c r="E20" i="106" s="1"/>
  <c r="BH12" i="106"/>
  <c r="E12" i="106" s="1"/>
  <c r="BH9" i="106"/>
  <c r="E9" i="106" s="1"/>
  <c r="BH19" i="106"/>
  <c r="E19" i="106" s="1"/>
  <c r="BH11" i="106"/>
  <c r="E11" i="106" s="1"/>
  <c r="BH18" i="106"/>
  <c r="E18" i="106" s="1"/>
  <c r="BH10" i="106"/>
  <c r="E10" i="106" s="1"/>
  <c r="CJ24" i="106"/>
  <c r="CJ16" i="106"/>
  <c r="CJ8" i="106"/>
  <c r="CJ9" i="106"/>
  <c r="CJ23" i="106"/>
  <c r="CJ15" i="106"/>
  <c r="CJ7" i="106"/>
  <c r="CJ22" i="106"/>
  <c r="CJ14" i="106"/>
  <c r="CJ6" i="106"/>
  <c r="CJ21" i="106"/>
  <c r="CJ13" i="106"/>
  <c r="EH1" i="106"/>
  <c r="CJ20" i="106"/>
  <c r="CJ12" i="106"/>
  <c r="DI1" i="106"/>
  <c r="CJ19" i="106"/>
  <c r="CJ11" i="106"/>
  <c r="CJ18" i="106"/>
  <c r="CJ10" i="106"/>
  <c r="CJ17" i="106"/>
  <c r="BI20" i="106"/>
  <c r="I20" i="106" s="1"/>
  <c r="BI12" i="106"/>
  <c r="I12" i="106" s="1"/>
  <c r="BI5" i="106"/>
  <c r="I3" i="106" s="1"/>
  <c r="BI19" i="106"/>
  <c r="I19" i="106" s="1"/>
  <c r="BI11" i="106"/>
  <c r="I11" i="106" s="1"/>
  <c r="BI18" i="106"/>
  <c r="I18" i="106" s="1"/>
  <c r="BI10" i="106"/>
  <c r="I10" i="106" s="1"/>
  <c r="BI13" i="106"/>
  <c r="I13" i="106" s="1"/>
  <c r="BI17" i="106"/>
  <c r="I17" i="106" s="1"/>
  <c r="BI9" i="106"/>
  <c r="I9" i="106" s="1"/>
  <c r="BI24" i="106"/>
  <c r="I24" i="106" s="1"/>
  <c r="BI16" i="106"/>
  <c r="I16" i="106" s="1"/>
  <c r="BI8" i="106"/>
  <c r="I8" i="106" s="1"/>
  <c r="BI23" i="106"/>
  <c r="I23" i="106" s="1"/>
  <c r="BI15" i="106"/>
  <c r="I15" i="106" s="1"/>
  <c r="BI7" i="106"/>
  <c r="I7" i="106" s="1"/>
  <c r="BI22" i="106"/>
  <c r="I22" i="106" s="1"/>
  <c r="BI14" i="106"/>
  <c r="I14" i="106" s="1"/>
  <c r="BI6" i="106"/>
  <c r="I6" i="106" s="1"/>
  <c r="BI21" i="106"/>
  <c r="I21" i="106" s="1"/>
  <c r="CL2" i="106"/>
  <c r="CK1" i="106"/>
  <c r="P6" i="106"/>
  <c r="BM24" i="106"/>
  <c r="G24" i="106" s="1"/>
  <c r="BM16" i="106"/>
  <c r="G16" i="106" s="1"/>
  <c r="BM8" i="106"/>
  <c r="G8" i="106" s="1"/>
  <c r="BM23" i="106"/>
  <c r="G23" i="106" s="1"/>
  <c r="BM15" i="106"/>
  <c r="G15" i="106" s="1"/>
  <c r="BM7" i="106"/>
  <c r="G7" i="106" s="1"/>
  <c r="BM9" i="106"/>
  <c r="G9" i="106" s="1"/>
  <c r="BM22" i="106"/>
  <c r="G22" i="106" s="1"/>
  <c r="BM14" i="106"/>
  <c r="G14" i="106" s="1"/>
  <c r="BM6" i="106"/>
  <c r="G6" i="106" s="1"/>
  <c r="BM21" i="106"/>
  <c r="G21" i="106" s="1"/>
  <c r="BM13" i="106"/>
  <c r="G13" i="106" s="1"/>
  <c r="BM20" i="106"/>
  <c r="G20" i="106" s="1"/>
  <c r="BM12" i="106"/>
  <c r="G12" i="106" s="1"/>
  <c r="BM19" i="106"/>
  <c r="G19" i="106" s="1"/>
  <c r="BM11" i="106"/>
  <c r="G11" i="106" s="1"/>
  <c r="BM17" i="106"/>
  <c r="G17" i="106" s="1"/>
  <c r="BM18" i="106"/>
  <c r="G18" i="106" s="1"/>
  <c r="BM10" i="106"/>
  <c r="G10" i="106" s="1"/>
  <c r="BN19" i="106"/>
  <c r="K19" i="106" s="1"/>
  <c r="BN11" i="106"/>
  <c r="K11" i="106" s="1"/>
  <c r="BN18" i="106"/>
  <c r="K18" i="106" s="1"/>
  <c r="BN10" i="106"/>
  <c r="K10" i="106" s="1"/>
  <c r="BN17" i="106"/>
  <c r="K17" i="106" s="1"/>
  <c r="BN9" i="106"/>
  <c r="K9" i="106" s="1"/>
  <c r="BN24" i="106"/>
  <c r="K24" i="106" s="1"/>
  <c r="BN16" i="106"/>
  <c r="K16" i="106" s="1"/>
  <c r="BN8" i="106"/>
  <c r="K8" i="106" s="1"/>
  <c r="BN12" i="106"/>
  <c r="K12" i="106" s="1"/>
  <c r="BN23" i="106"/>
  <c r="K23" i="106" s="1"/>
  <c r="BN15" i="106"/>
  <c r="K15" i="106" s="1"/>
  <c r="BN7" i="106"/>
  <c r="K7" i="106" s="1"/>
  <c r="BN20" i="106"/>
  <c r="K20" i="106" s="1"/>
  <c r="BN22" i="106"/>
  <c r="K22" i="106" s="1"/>
  <c r="BN14" i="106"/>
  <c r="K14" i="106" s="1"/>
  <c r="BN6" i="106"/>
  <c r="K6" i="106" s="1"/>
  <c r="BN21" i="106"/>
  <c r="K21" i="106" s="1"/>
  <c r="BN13" i="106"/>
  <c r="K13" i="106" s="1"/>
  <c r="BH24" i="105"/>
  <c r="E24" i="105" s="1"/>
  <c r="BH12" i="105"/>
  <c r="E12" i="105" s="1"/>
  <c r="BH20" i="105"/>
  <c r="E20" i="105" s="1"/>
  <c r="BH6" i="105"/>
  <c r="E6" i="105" s="1"/>
  <c r="BH15" i="105"/>
  <c r="E15" i="105" s="1"/>
  <c r="BH13" i="105"/>
  <c r="E13" i="105" s="1"/>
  <c r="BH23" i="105"/>
  <c r="E23" i="105" s="1"/>
  <c r="BH11" i="105"/>
  <c r="E11" i="105" s="1"/>
  <c r="BH8" i="105"/>
  <c r="E8" i="105" s="1"/>
  <c r="BH7" i="105"/>
  <c r="E7" i="105" s="1"/>
  <c r="BH22" i="105"/>
  <c r="E22" i="105" s="1"/>
  <c r="BH10" i="105"/>
  <c r="E10" i="105" s="1"/>
  <c r="BH19" i="105"/>
  <c r="E19" i="105" s="1"/>
  <c r="BH18" i="105"/>
  <c r="E18" i="105" s="1"/>
  <c r="BH14" i="105"/>
  <c r="E14" i="105" s="1"/>
  <c r="BH21" i="105"/>
  <c r="E21" i="105" s="1"/>
  <c r="BH9" i="105"/>
  <c r="E9" i="105" s="1"/>
  <c r="BH17" i="105"/>
  <c r="E17" i="105" s="1"/>
  <c r="BH5" i="105"/>
  <c r="E3" i="105" s="1"/>
  <c r="BH16" i="105"/>
  <c r="E16" i="105" s="1"/>
  <c r="BI20" i="105"/>
  <c r="I20" i="105" s="1"/>
  <c r="BI8" i="105"/>
  <c r="I8" i="105" s="1"/>
  <c r="BI15" i="105"/>
  <c r="I15" i="105" s="1"/>
  <c r="BI22" i="105"/>
  <c r="I22" i="105" s="1"/>
  <c r="BI19" i="105"/>
  <c r="I19" i="105" s="1"/>
  <c r="BI7" i="105"/>
  <c r="I7" i="105" s="1"/>
  <c r="BI14" i="105"/>
  <c r="I14" i="105" s="1"/>
  <c r="BI23" i="105"/>
  <c r="I23" i="105" s="1"/>
  <c r="BI10" i="105"/>
  <c r="I10" i="105" s="1"/>
  <c r="BI21" i="105"/>
  <c r="I21" i="105" s="1"/>
  <c r="BI18" i="105"/>
  <c r="I18" i="105" s="1"/>
  <c r="BI6" i="105"/>
  <c r="I6" i="105" s="1"/>
  <c r="BI16" i="105"/>
  <c r="I16" i="105" s="1"/>
  <c r="BI11" i="105"/>
  <c r="I11" i="105" s="1"/>
  <c r="BI9" i="105"/>
  <c r="I9" i="105" s="1"/>
  <c r="BI17" i="105"/>
  <c r="I17" i="105" s="1"/>
  <c r="BI5" i="105"/>
  <c r="I3" i="105" s="1"/>
  <c r="BI13" i="105"/>
  <c r="I13" i="105" s="1"/>
  <c r="BI24" i="105"/>
  <c r="I24" i="105" s="1"/>
  <c r="BI12" i="105"/>
  <c r="I12" i="105" s="1"/>
  <c r="CJ23" i="105"/>
  <c r="CJ11" i="105"/>
  <c r="CJ6" i="105"/>
  <c r="EH1" i="105"/>
  <c r="CJ13" i="105"/>
  <c r="CJ12" i="105"/>
  <c r="CJ22" i="105"/>
  <c r="CJ10" i="105"/>
  <c r="CJ19" i="105"/>
  <c r="CJ17" i="105"/>
  <c r="CJ14" i="105"/>
  <c r="CJ21" i="105"/>
  <c r="CJ9" i="105"/>
  <c r="CJ7" i="105"/>
  <c r="CJ18" i="105"/>
  <c r="CJ15" i="105"/>
  <c r="CJ24" i="105"/>
  <c r="CJ20" i="105"/>
  <c r="CJ8" i="105"/>
  <c r="CJ16" i="105"/>
  <c r="DI1" i="105"/>
  <c r="CK1" i="105"/>
  <c r="CL2" i="105"/>
  <c r="O6" i="105"/>
  <c r="BM16" i="105"/>
  <c r="G16" i="105" s="1"/>
  <c r="BM24" i="105"/>
  <c r="G24" i="105" s="1"/>
  <c r="BM12" i="105"/>
  <c r="G12" i="105" s="1"/>
  <c r="BM17" i="105"/>
  <c r="G17" i="105" s="1"/>
  <c r="BM15" i="105"/>
  <c r="G15" i="105" s="1"/>
  <c r="BM22" i="105"/>
  <c r="G22" i="105" s="1"/>
  <c r="BM7" i="105"/>
  <c r="G7" i="105" s="1"/>
  <c r="BM18" i="105"/>
  <c r="G18" i="105" s="1"/>
  <c r="BM14" i="105"/>
  <c r="G14" i="105" s="1"/>
  <c r="BM23" i="105"/>
  <c r="G23" i="105" s="1"/>
  <c r="BM11" i="105"/>
  <c r="G11" i="105" s="1"/>
  <c r="BM10" i="105"/>
  <c r="G10" i="105" s="1"/>
  <c r="BM19" i="105"/>
  <c r="G19" i="105" s="1"/>
  <c r="BM6" i="105"/>
  <c r="G6" i="105" s="1"/>
  <c r="BM13" i="105"/>
  <c r="G13" i="105" s="1"/>
  <c r="BM21" i="105"/>
  <c r="G21" i="105" s="1"/>
  <c r="BM9" i="105"/>
  <c r="G9" i="105" s="1"/>
  <c r="BM20" i="105"/>
  <c r="G20" i="105" s="1"/>
  <c r="BM8" i="105"/>
  <c r="G8" i="105" s="1"/>
  <c r="BN23" i="105"/>
  <c r="K23" i="105" s="1"/>
  <c r="BN11" i="105"/>
  <c r="K11" i="105" s="1"/>
  <c r="BN19" i="105"/>
  <c r="K19" i="105" s="1"/>
  <c r="BN7" i="105"/>
  <c r="K7" i="105" s="1"/>
  <c r="BN22" i="105"/>
  <c r="K22" i="105" s="1"/>
  <c r="BN10" i="105"/>
  <c r="K10" i="105" s="1"/>
  <c r="BN18" i="105"/>
  <c r="K18" i="105" s="1"/>
  <c r="BN17" i="105"/>
  <c r="K17" i="105" s="1"/>
  <c r="BN13" i="105"/>
  <c r="K13" i="105" s="1"/>
  <c r="BN12" i="105"/>
  <c r="K12" i="105" s="1"/>
  <c r="BN21" i="105"/>
  <c r="K21" i="105" s="1"/>
  <c r="BN9" i="105"/>
  <c r="K9" i="105" s="1"/>
  <c r="BN6" i="105"/>
  <c r="K6" i="105" s="1"/>
  <c r="BN14" i="105"/>
  <c r="K14" i="105" s="1"/>
  <c r="BN24" i="105"/>
  <c r="K24" i="105" s="1"/>
  <c r="BN20" i="105"/>
  <c r="K20" i="105" s="1"/>
  <c r="BN8" i="105"/>
  <c r="K8" i="105" s="1"/>
  <c r="BN16" i="105"/>
  <c r="K16" i="105" s="1"/>
  <c r="BN15" i="105"/>
  <c r="K15" i="105" s="1"/>
  <c r="DR24" i="100"/>
  <c r="DR23" i="100"/>
  <c r="DR22" i="100"/>
  <c r="DR21" i="100"/>
  <c r="DR20" i="100"/>
  <c r="DR19" i="100"/>
  <c r="DR18" i="100"/>
  <c r="DR17" i="100"/>
  <c r="DR16" i="100"/>
  <c r="DR15" i="100"/>
  <c r="DR14" i="100"/>
  <c r="DR13" i="100"/>
  <c r="DR12" i="100"/>
  <c r="DR11" i="100"/>
  <c r="DR10" i="100"/>
  <c r="DR9" i="100"/>
  <c r="DR8" i="100"/>
  <c r="DR7" i="100"/>
  <c r="DR6" i="100"/>
  <c r="DT2" i="100"/>
  <c r="DS1" i="100"/>
  <c r="BX27" i="100"/>
  <c r="CU24" i="100"/>
  <c r="CU23" i="100"/>
  <c r="CU22" i="100"/>
  <c r="CU21" i="100"/>
  <c r="CU20" i="100"/>
  <c r="CU19" i="100"/>
  <c r="CU18" i="100"/>
  <c r="CU17" i="100"/>
  <c r="CU16" i="100"/>
  <c r="CU15" i="100"/>
  <c r="CU14" i="100"/>
  <c r="CU13" i="100"/>
  <c r="CU12" i="100"/>
  <c r="CU11" i="100"/>
  <c r="CU10" i="100"/>
  <c r="CU9" i="100"/>
  <c r="CU8" i="100"/>
  <c r="CU7" i="100"/>
  <c r="CU6" i="100"/>
  <c r="ES1" i="100"/>
  <c r="Y3" i="100"/>
  <c r="CW2" i="100"/>
  <c r="CV1" i="100"/>
  <c r="ER24" i="100"/>
  <c r="ER23" i="100"/>
  <c r="ER22" i="100"/>
  <c r="ER21" i="100"/>
  <c r="ER20" i="100"/>
  <c r="ER19" i="100"/>
  <c r="ER18" i="100"/>
  <c r="ER17" i="100"/>
  <c r="ER16" i="100"/>
  <c r="ER15" i="100"/>
  <c r="ER14" i="100"/>
  <c r="ER13" i="100"/>
  <c r="ER12" i="100"/>
  <c r="ER11" i="100"/>
  <c r="ER9" i="100"/>
  <c r="ER8" i="100"/>
  <c r="ER7" i="100"/>
  <c r="ER6" i="100"/>
  <c r="CV24" i="98"/>
  <c r="CV23" i="98"/>
  <c r="CV22" i="98"/>
  <c r="CV21" i="98"/>
  <c r="CV20" i="98"/>
  <c r="CV19" i="98"/>
  <c r="CV18" i="98"/>
  <c r="CV17" i="98"/>
  <c r="CV16" i="98"/>
  <c r="CV15" i="98"/>
  <c r="CV14" i="98"/>
  <c r="CV13" i="98"/>
  <c r="CV12" i="98"/>
  <c r="CV11" i="98"/>
  <c r="CV10" i="98"/>
  <c r="CV9" i="98"/>
  <c r="CV8" i="98"/>
  <c r="CV7" i="98"/>
  <c r="CV6" i="98"/>
  <c r="ET1" i="98"/>
  <c r="CX2" i="98"/>
  <c r="CW1" i="98"/>
  <c r="ES24" i="98"/>
  <c r="CG24" i="98" s="1"/>
  <c r="Y24" i="98" s="1"/>
  <c r="Z24" i="98" s="1"/>
  <c r="ES23" i="98"/>
  <c r="CG23" i="98" s="1"/>
  <c r="Y23" i="98" s="1"/>
  <c r="Z23" i="98" s="1"/>
  <c r="ES22" i="98"/>
  <c r="CG22" i="98" s="1"/>
  <c r="Y22" i="98" s="1"/>
  <c r="Z22" i="98" s="1"/>
  <c r="ES21" i="98"/>
  <c r="CG21" i="98" s="1"/>
  <c r="Y21" i="98" s="1"/>
  <c r="Z21" i="98" s="1"/>
  <c r="ES20" i="98"/>
  <c r="CG20" i="98" s="1"/>
  <c r="Y20" i="98" s="1"/>
  <c r="Z20" i="98" s="1"/>
  <c r="ES19" i="98"/>
  <c r="CG19" i="98" s="1"/>
  <c r="Y19" i="98" s="1"/>
  <c r="Z19" i="98" s="1"/>
  <c r="ES18" i="98"/>
  <c r="CG18" i="98" s="1"/>
  <c r="Y18" i="98" s="1"/>
  <c r="Z18" i="98" s="1"/>
  <c r="ES17" i="98"/>
  <c r="CG17" i="98" s="1"/>
  <c r="Y17" i="98" s="1"/>
  <c r="Z17" i="98" s="1"/>
  <c r="ES16" i="98"/>
  <c r="CG16" i="98" s="1"/>
  <c r="Y16" i="98" s="1"/>
  <c r="Z16" i="98" s="1"/>
  <c r="ES15" i="98"/>
  <c r="CG15" i="98" s="1"/>
  <c r="Y15" i="98" s="1"/>
  <c r="Z15" i="98" s="1"/>
  <c r="ES14" i="98"/>
  <c r="CG14" i="98" s="1"/>
  <c r="Y14" i="98" s="1"/>
  <c r="Z14" i="98" s="1"/>
  <c r="ES13" i="98"/>
  <c r="CG13" i="98" s="1"/>
  <c r="Y13" i="98" s="1"/>
  <c r="Z13" i="98" s="1"/>
  <c r="ES12" i="98"/>
  <c r="CG12" i="98" s="1"/>
  <c r="Y12" i="98" s="1"/>
  <c r="Z12" i="98" s="1"/>
  <c r="ES11" i="98"/>
  <c r="CG11" i="98" s="1"/>
  <c r="Y11" i="98" s="1"/>
  <c r="Z11" i="98" s="1"/>
  <c r="ES9" i="98"/>
  <c r="CG9" i="98" s="1"/>
  <c r="Y9" i="98" s="1"/>
  <c r="Z9" i="98" s="1"/>
  <c r="ES8" i="98"/>
  <c r="CG8" i="98" s="1"/>
  <c r="Y8" i="98" s="1"/>
  <c r="Z8" i="98" s="1"/>
  <c r="ES7" i="98"/>
  <c r="CG7" i="98" s="1"/>
  <c r="Y7" i="98" s="1"/>
  <c r="Z7" i="98" s="1"/>
  <c r="ES6" i="98"/>
  <c r="CG6" i="98" s="1"/>
  <c r="Y6" i="98" s="1"/>
  <c r="Z6" i="98" s="1"/>
  <c r="DS24" i="98"/>
  <c r="CB24" i="98" s="1"/>
  <c r="DS23" i="98"/>
  <c r="CB23" i="98" s="1"/>
  <c r="DS22" i="98"/>
  <c r="CB22" i="98" s="1"/>
  <c r="DS21" i="98"/>
  <c r="CB21" i="98" s="1"/>
  <c r="DS20" i="98"/>
  <c r="CB20" i="98" s="1"/>
  <c r="DS19" i="98"/>
  <c r="CB19" i="98" s="1"/>
  <c r="DS18" i="98"/>
  <c r="CB18" i="98" s="1"/>
  <c r="DS17" i="98"/>
  <c r="CB17" i="98" s="1"/>
  <c r="DS16" i="98"/>
  <c r="CB16" i="98" s="1"/>
  <c r="DS15" i="98"/>
  <c r="CB15" i="98" s="1"/>
  <c r="DS14" i="98"/>
  <c r="CB14" i="98" s="1"/>
  <c r="DS13" i="98"/>
  <c r="CB13" i="98" s="1"/>
  <c r="DS12" i="98"/>
  <c r="CB12" i="98" s="1"/>
  <c r="DS11" i="98"/>
  <c r="CB11" i="98" s="1"/>
  <c r="DS10" i="98"/>
  <c r="CB10" i="98" s="1"/>
  <c r="DS9" i="98"/>
  <c r="CB9" i="98" s="1"/>
  <c r="DS8" i="98"/>
  <c r="CB8" i="98" s="1"/>
  <c r="DS7" i="98"/>
  <c r="CB7" i="98" s="1"/>
  <c r="DS6" i="98"/>
  <c r="CB6" i="98" s="1"/>
  <c r="DU2" i="98"/>
  <c r="DT1" i="98"/>
  <c r="DT24" i="97"/>
  <c r="DT23" i="97"/>
  <c r="DT22" i="97"/>
  <c r="DT21" i="97"/>
  <c r="DT20" i="97"/>
  <c r="DT19" i="97"/>
  <c r="DT18" i="97"/>
  <c r="DT17" i="97"/>
  <c r="DT16" i="97"/>
  <c r="DT15" i="97"/>
  <c r="DT14" i="97"/>
  <c r="DT13" i="97"/>
  <c r="DT12" i="97"/>
  <c r="DT11" i="97"/>
  <c r="DT10" i="97"/>
  <c r="DT9" i="97"/>
  <c r="DT8" i="97"/>
  <c r="DT7" i="97"/>
  <c r="DT6" i="97"/>
  <c r="DV2" i="97"/>
  <c r="DU1" i="97"/>
  <c r="CB27" i="97"/>
  <c r="CW24" i="97"/>
  <c r="CW23" i="97"/>
  <c r="CW22" i="97"/>
  <c r="CW21" i="97"/>
  <c r="CW20" i="97"/>
  <c r="CW19" i="97"/>
  <c r="CW18" i="97"/>
  <c r="CW17" i="97"/>
  <c r="CW16" i="97"/>
  <c r="CW15" i="97"/>
  <c r="CW14" i="97"/>
  <c r="CW13" i="97"/>
  <c r="CW12" i="97"/>
  <c r="CW11" i="97"/>
  <c r="CW10" i="97"/>
  <c r="CW9" i="97"/>
  <c r="CW8" i="97"/>
  <c r="CW7" i="97"/>
  <c r="CW6" i="97"/>
  <c r="EU1" i="97"/>
  <c r="CY2" i="97"/>
  <c r="CX1" i="97"/>
  <c r="ET24" i="97"/>
  <c r="ET23" i="97"/>
  <c r="ET22" i="97"/>
  <c r="ET21" i="97"/>
  <c r="ET20" i="97"/>
  <c r="ET19" i="97"/>
  <c r="ET18" i="97"/>
  <c r="ET17" i="97"/>
  <c r="ET16" i="97"/>
  <c r="ET15" i="97"/>
  <c r="ET14" i="97"/>
  <c r="ET13" i="97"/>
  <c r="ET12" i="97"/>
  <c r="ET11" i="97"/>
  <c r="ET9" i="97"/>
  <c r="ET8" i="97"/>
  <c r="ET7" i="97"/>
  <c r="ET6" i="97"/>
  <c r="DV24" i="95"/>
  <c r="DV23" i="95"/>
  <c r="DV22" i="95"/>
  <c r="DV21" i="95"/>
  <c r="DV20" i="95"/>
  <c r="DV19" i="95"/>
  <c r="DV18" i="95"/>
  <c r="DV17" i="95"/>
  <c r="DV16" i="95"/>
  <c r="DV15" i="95"/>
  <c r="DV14" i="95"/>
  <c r="DV13" i="95"/>
  <c r="DV12" i="95"/>
  <c r="DV11" i="95"/>
  <c r="DV10" i="95"/>
  <c r="DV9" i="95"/>
  <c r="DV8" i="95"/>
  <c r="DV7" i="95"/>
  <c r="DV6" i="95"/>
  <c r="DX2" i="95"/>
  <c r="DW1" i="95"/>
  <c r="CY24" i="95"/>
  <c r="CY23" i="95"/>
  <c r="CY22" i="95"/>
  <c r="CY21" i="95"/>
  <c r="CY20" i="95"/>
  <c r="CY19" i="95"/>
  <c r="CY18" i="95"/>
  <c r="CY17" i="95"/>
  <c r="CY16" i="95"/>
  <c r="CY15" i="95"/>
  <c r="CY14" i="95"/>
  <c r="CY13" i="95"/>
  <c r="CY12" i="95"/>
  <c r="CY11" i="95"/>
  <c r="CY10" i="95"/>
  <c r="CY9" i="95"/>
  <c r="CY8" i="95"/>
  <c r="CY7" i="95"/>
  <c r="CY6" i="95"/>
  <c r="EW1" i="95"/>
  <c r="DA2" i="95"/>
  <c r="CZ1" i="95"/>
  <c r="EV24" i="95"/>
  <c r="EV23" i="95"/>
  <c r="EV22" i="95"/>
  <c r="EV21" i="95"/>
  <c r="EV20" i="95"/>
  <c r="EV19" i="95"/>
  <c r="EV18" i="95"/>
  <c r="EV17" i="95"/>
  <c r="EV16" i="95"/>
  <c r="EV15" i="95"/>
  <c r="EV14" i="95"/>
  <c r="EV13" i="95"/>
  <c r="EV12" i="95"/>
  <c r="EV11" i="95"/>
  <c r="EV9" i="95"/>
  <c r="EV8" i="95"/>
  <c r="EV7" i="95"/>
  <c r="EV6" i="95"/>
  <c r="CX24" i="96"/>
  <c r="CX23" i="96"/>
  <c r="CX22" i="96"/>
  <c r="CX21" i="96"/>
  <c r="CX20" i="96"/>
  <c r="CX19" i="96"/>
  <c r="CX18" i="96"/>
  <c r="CX17" i="96"/>
  <c r="CX16" i="96"/>
  <c r="CX15" i="96"/>
  <c r="CX14" i="96"/>
  <c r="CX13" i="96"/>
  <c r="CX12" i="96"/>
  <c r="CX11" i="96"/>
  <c r="CX10" i="96"/>
  <c r="CX9" i="96"/>
  <c r="CX8" i="96"/>
  <c r="CX7" i="96"/>
  <c r="CX6" i="96"/>
  <c r="EV1" i="96"/>
  <c r="CZ2" i="96"/>
  <c r="CY1" i="96"/>
  <c r="EU24" i="96"/>
  <c r="EU23" i="96"/>
  <c r="EU22" i="96"/>
  <c r="EU21" i="96"/>
  <c r="EU20" i="96"/>
  <c r="EU19" i="96"/>
  <c r="EU18" i="96"/>
  <c r="EU17" i="96"/>
  <c r="EU16" i="96"/>
  <c r="EU15" i="96"/>
  <c r="EU14" i="96"/>
  <c r="EU13" i="96"/>
  <c r="EU12" i="96"/>
  <c r="EU11" i="96"/>
  <c r="EU9" i="96"/>
  <c r="EU8" i="96"/>
  <c r="EU7" i="96"/>
  <c r="EU6" i="96"/>
  <c r="DU24" i="96"/>
  <c r="DU23" i="96"/>
  <c r="DU22" i="96"/>
  <c r="DU21" i="96"/>
  <c r="DU20" i="96"/>
  <c r="DU19" i="96"/>
  <c r="DU18" i="96"/>
  <c r="DU17" i="96"/>
  <c r="DU16" i="96"/>
  <c r="DU15" i="96"/>
  <c r="DU14" i="96"/>
  <c r="DU13" i="96"/>
  <c r="DU12" i="96"/>
  <c r="DU11" i="96"/>
  <c r="DU10" i="96"/>
  <c r="DU9" i="96"/>
  <c r="DU8" i="96"/>
  <c r="DU7" i="96"/>
  <c r="DU6" i="96"/>
  <c r="DW2" i="96"/>
  <c r="DV1" i="96"/>
  <c r="EV10" i="93"/>
  <c r="EW10" i="94"/>
  <c r="DA20" i="94"/>
  <c r="DA24" i="94"/>
  <c r="DA23" i="94"/>
  <c r="DA19" i="94"/>
  <c r="DA17" i="94"/>
  <c r="DA12" i="94"/>
  <c r="DA21" i="94"/>
  <c r="DA14" i="94"/>
  <c r="DA11" i="94"/>
  <c r="EY1" i="94"/>
  <c r="DA16" i="94"/>
  <c r="DA18" i="94"/>
  <c r="DA9" i="94"/>
  <c r="DA8" i="94"/>
  <c r="DA15" i="94"/>
  <c r="DA6" i="94"/>
  <c r="DA22" i="94"/>
  <c r="DA13" i="94"/>
  <c r="DA10" i="94"/>
  <c r="DA7" i="94"/>
  <c r="DB1" i="94"/>
  <c r="DC2" i="94"/>
  <c r="EX22" i="94"/>
  <c r="EX24" i="94"/>
  <c r="EX21" i="94"/>
  <c r="EX18" i="94"/>
  <c r="EX16" i="94"/>
  <c r="EX13" i="94"/>
  <c r="EX6" i="94"/>
  <c r="EX14" i="94"/>
  <c r="EX23" i="94"/>
  <c r="EX20" i="94"/>
  <c r="EX10" i="94"/>
  <c r="EX7" i="94"/>
  <c r="EX15" i="94"/>
  <c r="EX9" i="94"/>
  <c r="EX17" i="94"/>
  <c r="EX11" i="94"/>
  <c r="EX8" i="94"/>
  <c r="EX19" i="94"/>
  <c r="EX12" i="94"/>
  <c r="DY1" i="94"/>
  <c r="DZ2" i="94"/>
  <c r="DX23" i="94"/>
  <c r="DX24" i="94"/>
  <c r="DX22" i="94"/>
  <c r="DX21" i="94"/>
  <c r="DX20" i="94"/>
  <c r="DX19" i="94"/>
  <c r="DX15" i="94"/>
  <c r="DX14" i="94"/>
  <c r="DX16" i="94"/>
  <c r="DX7" i="94"/>
  <c r="DX9" i="94"/>
  <c r="DX13" i="94"/>
  <c r="DX12" i="94"/>
  <c r="DX8" i="94"/>
  <c r="DX6" i="94"/>
  <c r="DX18" i="94"/>
  <c r="DX17" i="94"/>
  <c r="DX11" i="94"/>
  <c r="DX10" i="94"/>
  <c r="DY23" i="93"/>
  <c r="DY16" i="93"/>
  <c r="DY24" i="93"/>
  <c r="DY9" i="93"/>
  <c r="DY8" i="93"/>
  <c r="DY22" i="93"/>
  <c r="DY20" i="93"/>
  <c r="DY12" i="93"/>
  <c r="DY13" i="93"/>
  <c r="DY10" i="93"/>
  <c r="DY15" i="93"/>
  <c r="DY19" i="93"/>
  <c r="DY7" i="93"/>
  <c r="DY21" i="93"/>
  <c r="DY18" i="93"/>
  <c r="DY14" i="93"/>
  <c r="DY6" i="93"/>
  <c r="DY17" i="93"/>
  <c r="DY11" i="93"/>
  <c r="DD2" i="93"/>
  <c r="DC1" i="93"/>
  <c r="DB24" i="93"/>
  <c r="DB21" i="93"/>
  <c r="DB15" i="93"/>
  <c r="DB11" i="93"/>
  <c r="DB10" i="93"/>
  <c r="DB22" i="93"/>
  <c r="DB18" i="93"/>
  <c r="DB13" i="93"/>
  <c r="DB7" i="93"/>
  <c r="DB8" i="93"/>
  <c r="DB20" i="93"/>
  <c r="DB12" i="93"/>
  <c r="DB9" i="93"/>
  <c r="DB23" i="93"/>
  <c r="DB19" i="93"/>
  <c r="DB14" i="93"/>
  <c r="DB16" i="93"/>
  <c r="DB6" i="93"/>
  <c r="DB17" i="93"/>
  <c r="EZ1" i="93"/>
  <c r="EA2" i="93"/>
  <c r="DZ1" i="93"/>
  <c r="EY19" i="93"/>
  <c r="EY18" i="93"/>
  <c r="EY10" i="93"/>
  <c r="EY7" i="93"/>
  <c r="EY21" i="93"/>
  <c r="EY17" i="93"/>
  <c r="EY15" i="93"/>
  <c r="EY6" i="93"/>
  <c r="EY9" i="93"/>
  <c r="EY16" i="93"/>
  <c r="EY14" i="93"/>
  <c r="EY24" i="93"/>
  <c r="EY23" i="93"/>
  <c r="EY20" i="93"/>
  <c r="EY11" i="93"/>
  <c r="EY13" i="93"/>
  <c r="EY22" i="93"/>
  <c r="EY12" i="93"/>
  <c r="EY8" i="93"/>
  <c r="CL2" i="92"/>
  <c r="CK1" i="92"/>
  <c r="Q6" i="92"/>
  <c r="R6" i="92" s="1"/>
  <c r="CJ13" i="92"/>
  <c r="CJ10" i="92"/>
  <c r="CJ12" i="92"/>
  <c r="CJ8" i="92"/>
  <c r="CJ7" i="92"/>
  <c r="CJ19" i="92"/>
  <c r="CJ24" i="92"/>
  <c r="CJ23" i="92"/>
  <c r="DI1" i="92"/>
  <c r="CJ20" i="92"/>
  <c r="CJ22" i="92"/>
  <c r="CJ21" i="92"/>
  <c r="CJ15" i="92"/>
  <c r="CJ17" i="92"/>
  <c r="CJ11" i="92"/>
  <c r="CJ14" i="92"/>
  <c r="EH1" i="92"/>
  <c r="CJ9" i="92"/>
  <c r="CJ16" i="92"/>
  <c r="CJ18" i="92"/>
  <c r="CJ6" i="92"/>
  <c r="BH23" i="92"/>
  <c r="E23" i="92" s="1"/>
  <c r="BH7" i="92"/>
  <c r="E7" i="92" s="1"/>
  <c r="BH17" i="92"/>
  <c r="E17" i="92" s="1"/>
  <c r="BH16" i="92"/>
  <c r="E16" i="92" s="1"/>
  <c r="BH10" i="92"/>
  <c r="E10" i="92" s="1"/>
  <c r="BH19" i="92"/>
  <c r="E19" i="92" s="1"/>
  <c r="BH18" i="92"/>
  <c r="E18" i="92" s="1"/>
  <c r="BH21" i="92"/>
  <c r="E21" i="92" s="1"/>
  <c r="BH9" i="92"/>
  <c r="E9" i="92" s="1"/>
  <c r="BH15" i="92"/>
  <c r="E15" i="92" s="1"/>
  <c r="BH13" i="92"/>
  <c r="E13" i="92" s="1"/>
  <c r="BH24" i="92"/>
  <c r="E24" i="92" s="1"/>
  <c r="BH8" i="92"/>
  <c r="E8" i="92" s="1"/>
  <c r="BH6" i="92"/>
  <c r="E6" i="92" s="1"/>
  <c r="BH22" i="92"/>
  <c r="E22" i="92" s="1"/>
  <c r="BH14" i="92"/>
  <c r="E14" i="92" s="1"/>
  <c r="BH5" i="92"/>
  <c r="E3" i="92" s="1"/>
  <c r="BH11" i="92"/>
  <c r="E11" i="92" s="1"/>
  <c r="BH20" i="92"/>
  <c r="E20" i="92" s="1"/>
  <c r="BH12" i="92"/>
  <c r="E12" i="92" s="1"/>
  <c r="BI14" i="92"/>
  <c r="I14" i="92" s="1"/>
  <c r="BI15" i="92"/>
  <c r="I15" i="92" s="1"/>
  <c r="BI21" i="92"/>
  <c r="I21" i="92" s="1"/>
  <c r="BI23" i="92"/>
  <c r="I23" i="92" s="1"/>
  <c r="BI19" i="92"/>
  <c r="I19" i="92" s="1"/>
  <c r="BI13" i="92"/>
  <c r="I13" i="92" s="1"/>
  <c r="BI6" i="92"/>
  <c r="I6" i="92" s="1"/>
  <c r="BI5" i="92"/>
  <c r="I3" i="92" s="1"/>
  <c r="BI17" i="92"/>
  <c r="I17" i="92" s="1"/>
  <c r="BI16" i="92"/>
  <c r="I16" i="92" s="1"/>
  <c r="BI11" i="92"/>
  <c r="I11" i="92" s="1"/>
  <c r="BI22" i="92"/>
  <c r="I22" i="92" s="1"/>
  <c r="BI12" i="92"/>
  <c r="I12" i="92" s="1"/>
  <c r="BI10" i="92"/>
  <c r="I10" i="92" s="1"/>
  <c r="BI7" i="92"/>
  <c r="I7" i="92" s="1"/>
  <c r="BI24" i="92"/>
  <c r="I24" i="92" s="1"/>
  <c r="BI20" i="92"/>
  <c r="I20" i="92" s="1"/>
  <c r="BI8" i="92"/>
  <c r="I8" i="92" s="1"/>
  <c r="BI18" i="92"/>
  <c r="I18" i="92" s="1"/>
  <c r="BI9" i="92"/>
  <c r="I9" i="92" s="1"/>
  <c r="BR27" i="92"/>
  <c r="O6" i="92"/>
  <c r="BM18" i="92"/>
  <c r="G18" i="92" s="1"/>
  <c r="BM17" i="92"/>
  <c r="G17" i="92" s="1"/>
  <c r="BM19" i="92"/>
  <c r="G19" i="92" s="1"/>
  <c r="BM9" i="92"/>
  <c r="G9" i="92" s="1"/>
  <c r="BM22" i="92"/>
  <c r="G22" i="92" s="1"/>
  <c r="BM14" i="92"/>
  <c r="G14" i="92" s="1"/>
  <c r="BM20" i="92"/>
  <c r="G20" i="92" s="1"/>
  <c r="BM12" i="92"/>
  <c r="G12" i="92" s="1"/>
  <c r="BM16" i="92"/>
  <c r="G16" i="92" s="1"/>
  <c r="BM23" i="92"/>
  <c r="G23" i="92" s="1"/>
  <c r="BM13" i="92"/>
  <c r="G13" i="92" s="1"/>
  <c r="BM8" i="92"/>
  <c r="G8" i="92" s="1"/>
  <c r="BM6" i="92"/>
  <c r="G6" i="92" s="1"/>
  <c r="BM15" i="92"/>
  <c r="G15" i="92" s="1"/>
  <c r="BM10" i="92"/>
  <c r="G10" i="92" s="1"/>
  <c r="BM11" i="92"/>
  <c r="G11" i="92" s="1"/>
  <c r="BM7" i="92"/>
  <c r="G7" i="92" s="1"/>
  <c r="BM21" i="92"/>
  <c r="G21" i="92" s="1"/>
  <c r="BM24" i="92"/>
  <c r="G24" i="92" s="1"/>
  <c r="BN20" i="92"/>
  <c r="K20" i="92" s="1"/>
  <c r="BN21" i="92"/>
  <c r="K21" i="92" s="1"/>
  <c r="BN10" i="92"/>
  <c r="K10" i="92" s="1"/>
  <c r="BN16" i="92"/>
  <c r="K16" i="92" s="1"/>
  <c r="BN19" i="92"/>
  <c r="K19" i="92" s="1"/>
  <c r="BN22" i="92"/>
  <c r="K22" i="92" s="1"/>
  <c r="BN13" i="92"/>
  <c r="K13" i="92" s="1"/>
  <c r="BN8" i="92"/>
  <c r="K8" i="92" s="1"/>
  <c r="BN7" i="92"/>
  <c r="K7" i="92" s="1"/>
  <c r="BN23" i="92"/>
  <c r="K23" i="92" s="1"/>
  <c r="BN15" i="92"/>
  <c r="K15" i="92" s="1"/>
  <c r="BN12" i="92"/>
  <c r="K12" i="92" s="1"/>
  <c r="BN18" i="92"/>
  <c r="K18" i="92" s="1"/>
  <c r="BN9" i="92"/>
  <c r="K9" i="92" s="1"/>
  <c r="BN14" i="92"/>
  <c r="K14" i="92" s="1"/>
  <c r="BN11" i="92"/>
  <c r="K11" i="92" s="1"/>
  <c r="BN24" i="92"/>
  <c r="K24" i="92" s="1"/>
  <c r="BN17" i="92"/>
  <c r="K17" i="92" s="1"/>
  <c r="BN6" i="92"/>
  <c r="K6" i="92" s="1"/>
  <c r="CL2" i="90"/>
  <c r="CK1" i="90"/>
  <c r="CJ21" i="90"/>
  <c r="EH1" i="90"/>
  <c r="CJ19" i="90"/>
  <c r="CJ11" i="90"/>
  <c r="CJ23" i="90"/>
  <c r="DI1" i="90"/>
  <c r="CJ9" i="90"/>
  <c r="CJ16" i="90"/>
  <c r="CJ18" i="90"/>
  <c r="CJ8" i="90"/>
  <c r="CJ14" i="90"/>
  <c r="CJ22" i="90"/>
  <c r="CJ17" i="90"/>
  <c r="CJ15" i="90"/>
  <c r="CJ7" i="90"/>
  <c r="CJ6" i="90"/>
  <c r="CJ24" i="90"/>
  <c r="CJ20" i="90"/>
  <c r="CJ13" i="90"/>
  <c r="CJ12" i="90"/>
  <c r="CJ10" i="90"/>
  <c r="BH17" i="90"/>
  <c r="E17" i="90" s="1"/>
  <c r="BH15" i="90"/>
  <c r="E15" i="90" s="1"/>
  <c r="BH24" i="90"/>
  <c r="E24" i="90" s="1"/>
  <c r="BH10" i="90"/>
  <c r="E10" i="90" s="1"/>
  <c r="BH20" i="90"/>
  <c r="E20" i="90" s="1"/>
  <c r="BH18" i="90"/>
  <c r="E18" i="90" s="1"/>
  <c r="BH14" i="90"/>
  <c r="E14" i="90" s="1"/>
  <c r="BH6" i="90"/>
  <c r="E6" i="90" s="1"/>
  <c r="BH19" i="90"/>
  <c r="E19" i="90" s="1"/>
  <c r="BH23" i="90"/>
  <c r="E23" i="90" s="1"/>
  <c r="BH11" i="90"/>
  <c r="E11" i="90" s="1"/>
  <c r="BH16" i="90"/>
  <c r="E16" i="90" s="1"/>
  <c r="BH8" i="90"/>
  <c r="E8" i="90" s="1"/>
  <c r="BH5" i="90"/>
  <c r="E3" i="90" s="1"/>
  <c r="BH7" i="90"/>
  <c r="E7" i="90" s="1"/>
  <c r="BH21" i="90"/>
  <c r="E21" i="90" s="1"/>
  <c r="BH9" i="90"/>
  <c r="E9" i="90" s="1"/>
  <c r="BH22" i="90"/>
  <c r="E22" i="90" s="1"/>
  <c r="BH12" i="90"/>
  <c r="E12" i="90" s="1"/>
  <c r="BH13" i="90"/>
  <c r="E13" i="90" s="1"/>
  <c r="BH14" i="91"/>
  <c r="E14" i="91" s="1"/>
  <c r="BH20" i="91"/>
  <c r="E20" i="91" s="1"/>
  <c r="BH7" i="91"/>
  <c r="E7" i="91" s="1"/>
  <c r="BH24" i="91"/>
  <c r="E24" i="91" s="1"/>
  <c r="BH23" i="91"/>
  <c r="E23" i="91" s="1"/>
  <c r="BH13" i="91"/>
  <c r="E13" i="91" s="1"/>
  <c r="BH17" i="91"/>
  <c r="E17" i="91" s="1"/>
  <c r="BH19" i="91"/>
  <c r="E19" i="91" s="1"/>
  <c r="BH22" i="91"/>
  <c r="E22" i="91" s="1"/>
  <c r="BH15" i="91"/>
  <c r="E15" i="91" s="1"/>
  <c r="BH5" i="91"/>
  <c r="E3" i="91" s="1"/>
  <c r="BH16" i="91"/>
  <c r="E16" i="91" s="1"/>
  <c r="BH12" i="91"/>
  <c r="E12" i="91" s="1"/>
  <c r="BH18" i="91"/>
  <c r="E18" i="91" s="1"/>
  <c r="BH21" i="91"/>
  <c r="E21" i="91" s="1"/>
  <c r="BH8" i="91"/>
  <c r="E8" i="91" s="1"/>
  <c r="BH11" i="91"/>
  <c r="E11" i="91" s="1"/>
  <c r="BH10" i="91"/>
  <c r="E10" i="91" s="1"/>
  <c r="BH9" i="91"/>
  <c r="E9" i="91" s="1"/>
  <c r="BH6" i="91"/>
  <c r="E6" i="91" s="1"/>
  <c r="BI18" i="90"/>
  <c r="BI19" i="90"/>
  <c r="I19" i="90" s="1"/>
  <c r="BI5" i="90"/>
  <c r="I3" i="90" s="1"/>
  <c r="BI14" i="90"/>
  <c r="I14" i="90" s="1"/>
  <c r="BI10" i="90"/>
  <c r="I10" i="90" s="1"/>
  <c r="BI15" i="90"/>
  <c r="I15" i="90" s="1"/>
  <c r="BI20" i="90"/>
  <c r="I20" i="90" s="1"/>
  <c r="BI21" i="90"/>
  <c r="I21" i="90" s="1"/>
  <c r="BI17" i="90"/>
  <c r="I17" i="90" s="1"/>
  <c r="BI9" i="90"/>
  <c r="I9" i="90" s="1"/>
  <c r="BI6" i="90"/>
  <c r="I6" i="90" s="1"/>
  <c r="BI24" i="90"/>
  <c r="I24" i="90" s="1"/>
  <c r="BI23" i="90"/>
  <c r="I23" i="90" s="1"/>
  <c r="BI22" i="90"/>
  <c r="I22" i="90" s="1"/>
  <c r="BI11" i="90"/>
  <c r="I11" i="90" s="1"/>
  <c r="BI8" i="90"/>
  <c r="I8" i="90" s="1"/>
  <c r="BI12" i="90"/>
  <c r="I12" i="90" s="1"/>
  <c r="BI13" i="90"/>
  <c r="I13" i="90" s="1"/>
  <c r="BI16" i="90"/>
  <c r="I16" i="90" s="1"/>
  <c r="BI7" i="90"/>
  <c r="I7" i="90" s="1"/>
  <c r="BI12" i="91"/>
  <c r="I12" i="91" s="1"/>
  <c r="BI6" i="91"/>
  <c r="I6" i="91" s="1"/>
  <c r="BI7" i="91"/>
  <c r="I7" i="91" s="1"/>
  <c r="BI18" i="91"/>
  <c r="BI20" i="91"/>
  <c r="I20" i="91" s="1"/>
  <c r="BI23" i="91"/>
  <c r="I23" i="91" s="1"/>
  <c r="BI16" i="91"/>
  <c r="I16" i="91" s="1"/>
  <c r="BI14" i="91"/>
  <c r="I14" i="91" s="1"/>
  <c r="BI21" i="91"/>
  <c r="I21" i="91" s="1"/>
  <c r="BI24" i="91"/>
  <c r="I24" i="91" s="1"/>
  <c r="BI19" i="91"/>
  <c r="I19" i="91" s="1"/>
  <c r="BI10" i="91"/>
  <c r="I10" i="91" s="1"/>
  <c r="BI11" i="91"/>
  <c r="I11" i="91" s="1"/>
  <c r="BI22" i="91"/>
  <c r="I22" i="91" s="1"/>
  <c r="BI17" i="91"/>
  <c r="I17" i="91" s="1"/>
  <c r="BI13" i="91"/>
  <c r="I13" i="91" s="1"/>
  <c r="BI9" i="91"/>
  <c r="I9" i="91" s="1"/>
  <c r="BI5" i="91"/>
  <c r="I3" i="91" s="1"/>
  <c r="BI15" i="91"/>
  <c r="I15" i="91" s="1"/>
  <c r="BI8" i="91"/>
  <c r="I8" i="91" s="1"/>
  <c r="O6" i="91"/>
  <c r="BR27" i="91"/>
  <c r="BM18" i="90"/>
  <c r="G18" i="90" s="1"/>
  <c r="BM9" i="90"/>
  <c r="G9" i="90" s="1"/>
  <c r="BM22" i="90"/>
  <c r="G22" i="90" s="1"/>
  <c r="BM6" i="90"/>
  <c r="G6" i="90" s="1"/>
  <c r="BM16" i="90"/>
  <c r="G16" i="90" s="1"/>
  <c r="BM11" i="90"/>
  <c r="G11" i="90" s="1"/>
  <c r="BM19" i="90"/>
  <c r="G19" i="90" s="1"/>
  <c r="BM8" i="90"/>
  <c r="G8" i="90" s="1"/>
  <c r="BM15" i="90"/>
  <c r="G15" i="90" s="1"/>
  <c r="BM21" i="90"/>
  <c r="G21" i="90" s="1"/>
  <c r="BM13" i="90"/>
  <c r="G13" i="90" s="1"/>
  <c r="BM17" i="90"/>
  <c r="G17" i="90" s="1"/>
  <c r="BM14" i="90"/>
  <c r="G14" i="90" s="1"/>
  <c r="BM20" i="90"/>
  <c r="G20" i="90" s="1"/>
  <c r="BM12" i="90"/>
  <c r="G12" i="90" s="1"/>
  <c r="BM23" i="90"/>
  <c r="G23" i="90" s="1"/>
  <c r="BM10" i="90"/>
  <c r="G10" i="90" s="1"/>
  <c r="BM24" i="90"/>
  <c r="G24" i="90" s="1"/>
  <c r="BM7" i="90"/>
  <c r="G7" i="90" s="1"/>
  <c r="BN12" i="90"/>
  <c r="K12" i="90" s="1"/>
  <c r="BN21" i="90"/>
  <c r="K21" i="90" s="1"/>
  <c r="BN16" i="90"/>
  <c r="K16" i="90" s="1"/>
  <c r="BN20" i="90"/>
  <c r="K20" i="90" s="1"/>
  <c r="BN7" i="90"/>
  <c r="K7" i="90" s="1"/>
  <c r="BN24" i="90"/>
  <c r="K24" i="90" s="1"/>
  <c r="BN13" i="90"/>
  <c r="K13" i="90" s="1"/>
  <c r="BN19" i="90"/>
  <c r="K19" i="90" s="1"/>
  <c r="BN8" i="90"/>
  <c r="K8" i="90" s="1"/>
  <c r="BN10" i="90"/>
  <c r="K10" i="90" s="1"/>
  <c r="BN22" i="90"/>
  <c r="K22" i="90" s="1"/>
  <c r="BN6" i="90"/>
  <c r="K6" i="90" s="1"/>
  <c r="BN17" i="90"/>
  <c r="K17" i="90" s="1"/>
  <c r="BN14" i="90"/>
  <c r="K14" i="90" s="1"/>
  <c r="BN23" i="90"/>
  <c r="K23" i="90" s="1"/>
  <c r="BN18" i="90"/>
  <c r="K18" i="90" s="1"/>
  <c r="BN11" i="90"/>
  <c r="K11" i="90" s="1"/>
  <c r="BN15" i="90"/>
  <c r="K15" i="90" s="1"/>
  <c r="BN9" i="90"/>
  <c r="K9" i="90" s="1"/>
  <c r="BV27" i="90"/>
  <c r="BN23" i="91"/>
  <c r="K23" i="91" s="1"/>
  <c r="BN16" i="91"/>
  <c r="K16" i="91" s="1"/>
  <c r="BN6" i="91"/>
  <c r="K6" i="91" s="1"/>
  <c r="BN11" i="91"/>
  <c r="K11" i="91" s="1"/>
  <c r="BN20" i="91"/>
  <c r="K20" i="91" s="1"/>
  <c r="BN22" i="91"/>
  <c r="K22" i="91" s="1"/>
  <c r="BN7" i="91"/>
  <c r="K7" i="91" s="1"/>
  <c r="BN24" i="91"/>
  <c r="K24" i="91" s="1"/>
  <c r="BN10" i="91"/>
  <c r="K10" i="91" s="1"/>
  <c r="BN19" i="91"/>
  <c r="K19" i="91" s="1"/>
  <c r="BN17" i="91"/>
  <c r="K17" i="91" s="1"/>
  <c r="BN9" i="91"/>
  <c r="K9" i="91" s="1"/>
  <c r="BN8" i="91"/>
  <c r="K8" i="91" s="1"/>
  <c r="BN15" i="91"/>
  <c r="K15" i="91" s="1"/>
  <c r="BN13" i="91"/>
  <c r="K13" i="91" s="1"/>
  <c r="BN14" i="91"/>
  <c r="K14" i="91" s="1"/>
  <c r="BN21" i="91"/>
  <c r="K21" i="91" s="1"/>
  <c r="BN18" i="91"/>
  <c r="K18" i="91" s="1"/>
  <c r="BN12" i="91"/>
  <c r="K12" i="91" s="1"/>
  <c r="CL2" i="91"/>
  <c r="CK1" i="91"/>
  <c r="BM13" i="91"/>
  <c r="G13" i="91" s="1"/>
  <c r="BM8" i="91"/>
  <c r="G8" i="91" s="1"/>
  <c r="BM24" i="91"/>
  <c r="G24" i="91" s="1"/>
  <c r="BM19" i="91"/>
  <c r="G19" i="91" s="1"/>
  <c r="BM20" i="91"/>
  <c r="G20" i="91" s="1"/>
  <c r="BM9" i="91"/>
  <c r="G9" i="91" s="1"/>
  <c r="BM12" i="91"/>
  <c r="G12" i="91" s="1"/>
  <c r="BM11" i="91"/>
  <c r="G11" i="91" s="1"/>
  <c r="BM18" i="91"/>
  <c r="G18" i="91" s="1"/>
  <c r="BM22" i="91"/>
  <c r="G22" i="91" s="1"/>
  <c r="BM21" i="91"/>
  <c r="G21" i="91" s="1"/>
  <c r="BM15" i="91"/>
  <c r="G15" i="91" s="1"/>
  <c r="BM10" i="91"/>
  <c r="G10" i="91" s="1"/>
  <c r="BM14" i="91"/>
  <c r="G14" i="91" s="1"/>
  <c r="BM7" i="91"/>
  <c r="G7" i="91" s="1"/>
  <c r="BM16" i="91"/>
  <c r="G16" i="91" s="1"/>
  <c r="BM17" i="91"/>
  <c r="G17" i="91" s="1"/>
  <c r="BM23" i="91"/>
  <c r="G23" i="91" s="1"/>
  <c r="BM6" i="91"/>
  <c r="G6" i="91" s="1"/>
  <c r="Q6" i="91"/>
  <c r="R6" i="91" s="1"/>
  <c r="CJ24" i="91"/>
  <c r="CJ15" i="91"/>
  <c r="CJ18" i="91"/>
  <c r="CJ8" i="91"/>
  <c r="CJ23" i="91"/>
  <c r="CJ14" i="91"/>
  <c r="CJ16" i="91"/>
  <c r="CJ7" i="91"/>
  <c r="CJ20" i="91"/>
  <c r="CJ10" i="91"/>
  <c r="CJ6" i="91"/>
  <c r="CJ13" i="91"/>
  <c r="DI1" i="91"/>
  <c r="CJ19" i="91"/>
  <c r="CJ22" i="91"/>
  <c r="CJ9" i="91"/>
  <c r="EH1" i="91"/>
  <c r="CJ12" i="91"/>
  <c r="CJ17" i="91"/>
  <c r="CJ11" i="91"/>
  <c r="CJ21" i="91"/>
  <c r="O6" i="90"/>
  <c r="BR27" i="90"/>
  <c r="Q18" i="90"/>
  <c r="R18" i="90" s="1"/>
  <c r="BI24" i="89"/>
  <c r="I24" i="89" s="1"/>
  <c r="BI17" i="89"/>
  <c r="I17" i="89" s="1"/>
  <c r="BI7" i="89"/>
  <c r="I7" i="89" s="1"/>
  <c r="BI22" i="89"/>
  <c r="I22" i="89" s="1"/>
  <c r="BI21" i="89"/>
  <c r="I21" i="89" s="1"/>
  <c r="BI13" i="89"/>
  <c r="I13" i="89" s="1"/>
  <c r="BI20" i="89"/>
  <c r="I20" i="89" s="1"/>
  <c r="BI14" i="89"/>
  <c r="I14" i="89" s="1"/>
  <c r="BI16" i="89"/>
  <c r="I16" i="89" s="1"/>
  <c r="BI12" i="89"/>
  <c r="I12" i="89" s="1"/>
  <c r="BI15" i="89"/>
  <c r="I15" i="89" s="1"/>
  <c r="BI5" i="89"/>
  <c r="I3" i="89" s="1"/>
  <c r="BI11" i="89"/>
  <c r="I11" i="89" s="1"/>
  <c r="BI6" i="89"/>
  <c r="I6" i="89" s="1"/>
  <c r="BI23" i="89"/>
  <c r="I23" i="89" s="1"/>
  <c r="BI8" i="89"/>
  <c r="I8" i="89" s="1"/>
  <c r="BI10" i="89"/>
  <c r="I10" i="89" s="1"/>
  <c r="BI9" i="89"/>
  <c r="I9" i="89" s="1"/>
  <c r="BI19" i="89"/>
  <c r="I19" i="89" s="1"/>
  <c r="BI18" i="89"/>
  <c r="O6" i="89"/>
  <c r="BR27" i="89"/>
  <c r="BH23" i="89"/>
  <c r="E23" i="89" s="1"/>
  <c r="BH15" i="89"/>
  <c r="E15" i="89" s="1"/>
  <c r="BH5" i="89"/>
  <c r="E3" i="89" s="1"/>
  <c r="BH22" i="89"/>
  <c r="E22" i="89" s="1"/>
  <c r="BH11" i="89"/>
  <c r="E11" i="89" s="1"/>
  <c r="BH24" i="89"/>
  <c r="E24" i="89" s="1"/>
  <c r="BH21" i="89"/>
  <c r="E21" i="89" s="1"/>
  <c r="BH10" i="89"/>
  <c r="E10" i="89" s="1"/>
  <c r="BH9" i="89"/>
  <c r="E9" i="89" s="1"/>
  <c r="BH19" i="89"/>
  <c r="E19" i="89" s="1"/>
  <c r="BH13" i="89"/>
  <c r="E13" i="89" s="1"/>
  <c r="BH14" i="89"/>
  <c r="E14" i="89" s="1"/>
  <c r="BH8" i="89"/>
  <c r="E8" i="89" s="1"/>
  <c r="BH20" i="89"/>
  <c r="E20" i="89" s="1"/>
  <c r="BH7" i="89"/>
  <c r="E7" i="89" s="1"/>
  <c r="BH17" i="89"/>
  <c r="E17" i="89" s="1"/>
  <c r="BH16" i="89"/>
  <c r="E16" i="89" s="1"/>
  <c r="BH6" i="89"/>
  <c r="E6" i="89" s="1"/>
  <c r="BH12" i="89"/>
  <c r="E12" i="89" s="1"/>
  <c r="BH18" i="89"/>
  <c r="E18" i="89" s="1"/>
  <c r="BM23" i="89"/>
  <c r="G23" i="89" s="1"/>
  <c r="BM9" i="89"/>
  <c r="G9" i="89" s="1"/>
  <c r="BM22" i="89"/>
  <c r="G22" i="89" s="1"/>
  <c r="BM7" i="89"/>
  <c r="G7" i="89" s="1"/>
  <c r="BM15" i="89"/>
  <c r="G15" i="89" s="1"/>
  <c r="BM6" i="89"/>
  <c r="G6" i="89" s="1"/>
  <c r="BM14" i="89"/>
  <c r="G14" i="89" s="1"/>
  <c r="BM11" i="89"/>
  <c r="G11" i="89" s="1"/>
  <c r="BM24" i="89"/>
  <c r="G24" i="89" s="1"/>
  <c r="BM16" i="89"/>
  <c r="G16" i="89" s="1"/>
  <c r="BM8" i="89"/>
  <c r="G8" i="89" s="1"/>
  <c r="BM20" i="89"/>
  <c r="G20" i="89" s="1"/>
  <c r="BM21" i="89"/>
  <c r="G21" i="89" s="1"/>
  <c r="BM13" i="89"/>
  <c r="G13" i="89" s="1"/>
  <c r="BM17" i="89"/>
  <c r="G17" i="89" s="1"/>
  <c r="BM10" i="89"/>
  <c r="G10" i="89" s="1"/>
  <c r="BM19" i="89"/>
  <c r="G19" i="89" s="1"/>
  <c r="BM18" i="89"/>
  <c r="G18" i="89" s="1"/>
  <c r="BM12" i="89"/>
  <c r="G12" i="89" s="1"/>
  <c r="BV27" i="89"/>
  <c r="BN15" i="89"/>
  <c r="K15" i="89" s="1"/>
  <c r="BN10" i="89"/>
  <c r="K10" i="89" s="1"/>
  <c r="BN17" i="89"/>
  <c r="K17" i="89" s="1"/>
  <c r="BN23" i="89"/>
  <c r="K23" i="89" s="1"/>
  <c r="BN16" i="89"/>
  <c r="K16" i="89" s="1"/>
  <c r="BN6" i="89"/>
  <c r="K6" i="89" s="1"/>
  <c r="BN20" i="89"/>
  <c r="K20" i="89" s="1"/>
  <c r="BN13" i="89"/>
  <c r="K13" i="89" s="1"/>
  <c r="BN8" i="89"/>
  <c r="K8" i="89" s="1"/>
  <c r="BN24" i="89"/>
  <c r="K24" i="89" s="1"/>
  <c r="BN14" i="89"/>
  <c r="K14" i="89" s="1"/>
  <c r="BN22" i="89"/>
  <c r="K22" i="89" s="1"/>
  <c r="BN12" i="89"/>
  <c r="K12" i="89" s="1"/>
  <c r="BN9" i="89"/>
  <c r="K9" i="89" s="1"/>
  <c r="BN21" i="89"/>
  <c r="K21" i="89" s="1"/>
  <c r="BN11" i="89"/>
  <c r="K11" i="89" s="1"/>
  <c r="BN19" i="89"/>
  <c r="K19" i="89" s="1"/>
  <c r="BN7" i="89"/>
  <c r="K7" i="89" s="1"/>
  <c r="BN18" i="89"/>
  <c r="K18" i="89" s="1"/>
  <c r="CJ17" i="89"/>
  <c r="CJ7" i="89"/>
  <c r="CJ23" i="89"/>
  <c r="CJ15" i="89"/>
  <c r="CJ6" i="89"/>
  <c r="CJ22" i="89"/>
  <c r="CJ16" i="89"/>
  <c r="CJ9" i="89"/>
  <c r="CJ19" i="89"/>
  <c r="CJ21" i="89"/>
  <c r="CJ13" i="89"/>
  <c r="CJ8" i="89"/>
  <c r="CJ20" i="89"/>
  <c r="CJ18" i="89"/>
  <c r="CJ12" i="89"/>
  <c r="EH1" i="89"/>
  <c r="CJ10" i="89"/>
  <c r="CJ24" i="89"/>
  <c r="CJ14" i="89"/>
  <c r="DI1" i="89"/>
  <c r="CJ11" i="89"/>
  <c r="CL2" i="89"/>
  <c r="CK1" i="89"/>
  <c r="CJ15" i="88"/>
  <c r="CJ17" i="88"/>
  <c r="CJ16" i="88"/>
  <c r="CJ12" i="88"/>
  <c r="CJ20" i="88"/>
  <c r="CJ9" i="88"/>
  <c r="CJ24" i="88"/>
  <c r="CJ14" i="88"/>
  <c r="CJ6" i="88"/>
  <c r="CJ23" i="88"/>
  <c r="CJ18" i="88"/>
  <c r="CJ10" i="88"/>
  <c r="CJ7" i="88"/>
  <c r="CJ21" i="88"/>
  <c r="CJ13" i="88"/>
  <c r="EH1" i="88"/>
  <c r="CJ22" i="88"/>
  <c r="CJ11" i="88"/>
  <c r="CJ19" i="88"/>
  <c r="CJ8" i="88"/>
  <c r="DI1" i="88"/>
  <c r="Q6" i="87"/>
  <c r="R6" i="87" s="1"/>
  <c r="BV27" i="87"/>
  <c r="BM18" i="88"/>
  <c r="G18" i="88" s="1"/>
  <c r="BM8" i="88"/>
  <c r="G8" i="88" s="1"/>
  <c r="BM15" i="88"/>
  <c r="G15" i="88" s="1"/>
  <c r="BM7" i="88"/>
  <c r="G7" i="88" s="1"/>
  <c r="BM20" i="88"/>
  <c r="G20" i="88" s="1"/>
  <c r="BM17" i="88"/>
  <c r="G17" i="88" s="1"/>
  <c r="BM16" i="88"/>
  <c r="G16" i="88" s="1"/>
  <c r="BM24" i="88"/>
  <c r="G24" i="88" s="1"/>
  <c r="BM14" i="88"/>
  <c r="G14" i="88" s="1"/>
  <c r="BM6" i="88"/>
  <c r="G6" i="88" s="1"/>
  <c r="BM22" i="88"/>
  <c r="G22" i="88" s="1"/>
  <c r="BM13" i="88"/>
  <c r="G13" i="88" s="1"/>
  <c r="BM11" i="88"/>
  <c r="G11" i="88" s="1"/>
  <c r="BM12" i="88"/>
  <c r="G12" i="88" s="1"/>
  <c r="BM19" i="88"/>
  <c r="G19" i="88" s="1"/>
  <c r="BM10" i="88"/>
  <c r="G10" i="88" s="1"/>
  <c r="H10" i="88" s="1"/>
  <c r="BM21" i="88"/>
  <c r="G21" i="88" s="1"/>
  <c r="BM23" i="88"/>
  <c r="G23" i="88" s="1"/>
  <c r="BM9" i="88"/>
  <c r="G9" i="88" s="1"/>
  <c r="BM20" i="87"/>
  <c r="G20" i="87" s="1"/>
  <c r="BM13" i="87"/>
  <c r="G13" i="87" s="1"/>
  <c r="BM14" i="87"/>
  <c r="G14" i="87" s="1"/>
  <c r="BM24" i="87"/>
  <c r="G24" i="87" s="1"/>
  <c r="BM10" i="87"/>
  <c r="G10" i="87" s="1"/>
  <c r="BM18" i="87"/>
  <c r="G18" i="87" s="1"/>
  <c r="BM9" i="87"/>
  <c r="G9" i="87" s="1"/>
  <c r="BM17" i="87"/>
  <c r="G17" i="87" s="1"/>
  <c r="BM7" i="87"/>
  <c r="G7" i="87" s="1"/>
  <c r="BM22" i="87"/>
  <c r="G22" i="87" s="1"/>
  <c r="BM19" i="87"/>
  <c r="G19" i="87" s="1"/>
  <c r="BM11" i="87"/>
  <c r="G11" i="87" s="1"/>
  <c r="BM16" i="87"/>
  <c r="G16" i="87" s="1"/>
  <c r="BM23" i="87"/>
  <c r="G23" i="87" s="1"/>
  <c r="BM15" i="87"/>
  <c r="G15" i="87" s="1"/>
  <c r="BM21" i="87"/>
  <c r="G21" i="87" s="1"/>
  <c r="BM8" i="87"/>
  <c r="G8" i="87" s="1"/>
  <c r="BM6" i="87"/>
  <c r="G6" i="87" s="1"/>
  <c r="BM12" i="87"/>
  <c r="G12" i="87" s="1"/>
  <c r="CK1" i="88"/>
  <c r="CL2" i="88"/>
  <c r="BV27" i="88"/>
  <c r="BN23" i="88"/>
  <c r="K23" i="88" s="1"/>
  <c r="BN14" i="88"/>
  <c r="K14" i="88" s="1"/>
  <c r="BN10" i="88"/>
  <c r="K10" i="88" s="1"/>
  <c r="BN21" i="88"/>
  <c r="K21" i="88" s="1"/>
  <c r="BN20" i="88"/>
  <c r="K20" i="88" s="1"/>
  <c r="BN11" i="88"/>
  <c r="K11" i="88" s="1"/>
  <c r="BN22" i="88"/>
  <c r="K22" i="88" s="1"/>
  <c r="BN13" i="88"/>
  <c r="K13" i="88" s="1"/>
  <c r="BN15" i="88"/>
  <c r="K15" i="88" s="1"/>
  <c r="BN12" i="88"/>
  <c r="K12" i="88" s="1"/>
  <c r="BN16" i="88"/>
  <c r="K16" i="88" s="1"/>
  <c r="BN8" i="88"/>
  <c r="K8" i="88" s="1"/>
  <c r="BN19" i="88"/>
  <c r="K19" i="88" s="1"/>
  <c r="BN7" i="88"/>
  <c r="K7" i="88" s="1"/>
  <c r="BN17" i="88"/>
  <c r="K17" i="88" s="1"/>
  <c r="BN9" i="88"/>
  <c r="K9" i="88" s="1"/>
  <c r="BN24" i="88"/>
  <c r="K24" i="88" s="1"/>
  <c r="BN18" i="88"/>
  <c r="K18" i="88" s="1"/>
  <c r="BN6" i="88"/>
  <c r="K6" i="88" s="1"/>
  <c r="BH22" i="87"/>
  <c r="E22" i="87" s="1"/>
  <c r="BH16" i="87"/>
  <c r="E16" i="87" s="1"/>
  <c r="BH23" i="87"/>
  <c r="E23" i="87" s="1"/>
  <c r="BH19" i="87"/>
  <c r="E19" i="87" s="1"/>
  <c r="BH15" i="87"/>
  <c r="E15" i="87" s="1"/>
  <c r="BH21" i="87"/>
  <c r="E21" i="87" s="1"/>
  <c r="BH8" i="87"/>
  <c r="E8" i="87" s="1"/>
  <c r="BH18" i="87"/>
  <c r="E18" i="87" s="1"/>
  <c r="BH10" i="87"/>
  <c r="E10" i="87" s="1"/>
  <c r="BH17" i="87"/>
  <c r="E17" i="87" s="1"/>
  <c r="BH7" i="87"/>
  <c r="E7" i="87" s="1"/>
  <c r="BH13" i="87"/>
  <c r="E13" i="87" s="1"/>
  <c r="BH20" i="87"/>
  <c r="E20" i="87" s="1"/>
  <c r="BH11" i="87"/>
  <c r="E11" i="87" s="1"/>
  <c r="BH5" i="87"/>
  <c r="E3" i="87" s="1"/>
  <c r="BH24" i="87"/>
  <c r="E24" i="87" s="1"/>
  <c r="BH14" i="87"/>
  <c r="E14" i="87" s="1"/>
  <c r="BH9" i="87"/>
  <c r="E9" i="87" s="1"/>
  <c r="BH12" i="87"/>
  <c r="E12" i="87" s="1"/>
  <c r="BH6" i="87"/>
  <c r="E6" i="87" s="1"/>
  <c r="BN14" i="87"/>
  <c r="K14" i="87" s="1"/>
  <c r="BN10" i="87"/>
  <c r="K10" i="87" s="1"/>
  <c r="BN9" i="87"/>
  <c r="K9" i="87" s="1"/>
  <c r="BN23" i="87"/>
  <c r="K23" i="87" s="1"/>
  <c r="BN18" i="87"/>
  <c r="K18" i="87" s="1"/>
  <c r="BN7" i="87"/>
  <c r="K7" i="87" s="1"/>
  <c r="BN21" i="87"/>
  <c r="K21" i="87" s="1"/>
  <c r="BN16" i="87"/>
  <c r="K16" i="87" s="1"/>
  <c r="BN24" i="87"/>
  <c r="K24" i="87" s="1"/>
  <c r="BN15" i="87"/>
  <c r="K15" i="87" s="1"/>
  <c r="BN20" i="87"/>
  <c r="K20" i="87" s="1"/>
  <c r="BN11" i="87"/>
  <c r="K11" i="87" s="1"/>
  <c r="BN19" i="87"/>
  <c r="K19" i="87" s="1"/>
  <c r="BN6" i="87"/>
  <c r="K6" i="87" s="1"/>
  <c r="BN22" i="87"/>
  <c r="K22" i="87" s="1"/>
  <c r="BN13" i="87"/>
  <c r="K13" i="87" s="1"/>
  <c r="BN17" i="87"/>
  <c r="K17" i="87" s="1"/>
  <c r="BN8" i="87"/>
  <c r="K8" i="87" s="1"/>
  <c r="BN12" i="87"/>
  <c r="K12" i="87" s="1"/>
  <c r="BH22" i="88"/>
  <c r="E22" i="88" s="1"/>
  <c r="BH21" i="88"/>
  <c r="E21" i="88" s="1"/>
  <c r="BH19" i="88"/>
  <c r="E19" i="88" s="1"/>
  <c r="BH18" i="88"/>
  <c r="E18" i="88" s="1"/>
  <c r="BH5" i="88"/>
  <c r="E3" i="88" s="1"/>
  <c r="BH15" i="88"/>
  <c r="E15" i="88" s="1"/>
  <c r="BH10" i="88"/>
  <c r="BH12" i="88"/>
  <c r="E12" i="88" s="1"/>
  <c r="BH20" i="88"/>
  <c r="E20" i="88" s="1"/>
  <c r="BH14" i="88"/>
  <c r="E14" i="88" s="1"/>
  <c r="BH16" i="88"/>
  <c r="E16" i="88" s="1"/>
  <c r="BH17" i="88"/>
  <c r="E17" i="88" s="1"/>
  <c r="BH13" i="88"/>
  <c r="E13" i="88" s="1"/>
  <c r="BH8" i="88"/>
  <c r="E8" i="88" s="1"/>
  <c r="BH24" i="88"/>
  <c r="E24" i="88" s="1"/>
  <c r="BH7" i="88"/>
  <c r="E7" i="88" s="1"/>
  <c r="BH11" i="88"/>
  <c r="E11" i="88" s="1"/>
  <c r="BH23" i="88"/>
  <c r="E23" i="88" s="1"/>
  <c r="BH6" i="88"/>
  <c r="E6" i="88" s="1"/>
  <c r="BH9" i="88"/>
  <c r="E9" i="88" s="1"/>
  <c r="CJ21" i="87"/>
  <c r="CJ16" i="87"/>
  <c r="CJ8" i="87"/>
  <c r="CJ24" i="87"/>
  <c r="CJ15" i="87"/>
  <c r="CJ7" i="87"/>
  <c r="CJ19" i="87"/>
  <c r="CJ13" i="87"/>
  <c r="EH1" i="87"/>
  <c r="CJ9" i="87"/>
  <c r="CJ22" i="87"/>
  <c r="CJ12" i="87"/>
  <c r="DI1" i="87"/>
  <c r="CJ20" i="87"/>
  <c r="CJ11" i="87"/>
  <c r="CJ23" i="87"/>
  <c r="CJ17" i="87"/>
  <c r="CJ18" i="87"/>
  <c r="CJ6" i="87"/>
  <c r="CJ14" i="87"/>
  <c r="CJ10" i="87"/>
  <c r="BI18" i="87"/>
  <c r="BI9" i="87"/>
  <c r="I9" i="87" s="1"/>
  <c r="BI10" i="87"/>
  <c r="I10" i="87" s="1"/>
  <c r="BI17" i="87"/>
  <c r="I17" i="87" s="1"/>
  <c r="BI8" i="87"/>
  <c r="I8" i="87" s="1"/>
  <c r="BI19" i="87"/>
  <c r="I19" i="87" s="1"/>
  <c r="BI7" i="87"/>
  <c r="I7" i="87" s="1"/>
  <c r="BI21" i="87"/>
  <c r="I21" i="87" s="1"/>
  <c r="BI13" i="87"/>
  <c r="I13" i="87" s="1"/>
  <c r="BI11" i="87"/>
  <c r="I11" i="87" s="1"/>
  <c r="BI20" i="87"/>
  <c r="I20" i="87" s="1"/>
  <c r="BI24" i="87"/>
  <c r="I24" i="87" s="1"/>
  <c r="BI16" i="87"/>
  <c r="I16" i="87" s="1"/>
  <c r="BI5" i="87"/>
  <c r="I3" i="87" s="1"/>
  <c r="BI23" i="87"/>
  <c r="I23" i="87" s="1"/>
  <c r="BI15" i="87"/>
  <c r="I15" i="87" s="1"/>
  <c r="BI6" i="87"/>
  <c r="I6" i="87" s="1"/>
  <c r="BI22" i="87"/>
  <c r="I22" i="87" s="1"/>
  <c r="BI14" i="87"/>
  <c r="I14" i="87" s="1"/>
  <c r="BI12" i="87"/>
  <c r="I12" i="87" s="1"/>
  <c r="BI22" i="88"/>
  <c r="I22" i="88" s="1"/>
  <c r="BI9" i="88"/>
  <c r="I9" i="88" s="1"/>
  <c r="BI24" i="88"/>
  <c r="I24" i="88" s="1"/>
  <c r="BI8" i="88"/>
  <c r="I8" i="88" s="1"/>
  <c r="BI13" i="88"/>
  <c r="I13" i="88" s="1"/>
  <c r="BI19" i="88"/>
  <c r="I19" i="88" s="1"/>
  <c r="BI18" i="88"/>
  <c r="BI5" i="88"/>
  <c r="I3" i="88" s="1"/>
  <c r="BI16" i="88"/>
  <c r="I16" i="88" s="1"/>
  <c r="BI23" i="88"/>
  <c r="I23" i="88" s="1"/>
  <c r="BI21" i="88"/>
  <c r="I21" i="88" s="1"/>
  <c r="BI7" i="88"/>
  <c r="I7" i="88" s="1"/>
  <c r="BI10" i="88"/>
  <c r="I10" i="88" s="1"/>
  <c r="BI11" i="88"/>
  <c r="I11" i="88" s="1"/>
  <c r="BI6" i="88"/>
  <c r="I6" i="88" s="1"/>
  <c r="BI12" i="88"/>
  <c r="I12" i="88" s="1"/>
  <c r="BI20" i="88"/>
  <c r="I20" i="88" s="1"/>
  <c r="BI14" i="88"/>
  <c r="I14" i="88" s="1"/>
  <c r="BI15" i="88"/>
  <c r="I15" i="88" s="1"/>
  <c r="BI17" i="88"/>
  <c r="I17" i="88" s="1"/>
  <c r="CK1" i="87"/>
  <c r="CL2" i="87"/>
  <c r="O6" i="88"/>
  <c r="BR27" i="88"/>
  <c r="BR27" i="87"/>
  <c r="O6" i="87"/>
  <c r="CJ19" i="86"/>
  <c r="CJ9" i="86"/>
  <c r="CJ18" i="86"/>
  <c r="CJ8" i="86"/>
  <c r="CJ22" i="86"/>
  <c r="CJ23" i="86"/>
  <c r="CJ7" i="86"/>
  <c r="CJ14" i="86"/>
  <c r="CJ6" i="86"/>
  <c r="CJ17" i="86"/>
  <c r="CJ16" i="86"/>
  <c r="CJ15" i="86"/>
  <c r="EH1" i="86"/>
  <c r="CJ24" i="86"/>
  <c r="CJ11" i="86"/>
  <c r="DI1" i="86"/>
  <c r="CJ21" i="86"/>
  <c r="CJ13" i="86"/>
  <c r="CJ10" i="86"/>
  <c r="CJ20" i="86"/>
  <c r="CJ12" i="86"/>
  <c r="BM23" i="86"/>
  <c r="G23" i="86" s="1"/>
  <c r="BM17" i="86"/>
  <c r="G17" i="86" s="1"/>
  <c r="BM13" i="86"/>
  <c r="G13" i="86" s="1"/>
  <c r="BM20" i="86"/>
  <c r="G20" i="86" s="1"/>
  <c r="BM11" i="86"/>
  <c r="G11" i="86" s="1"/>
  <c r="BM22" i="86"/>
  <c r="G22" i="86" s="1"/>
  <c r="BM16" i="86"/>
  <c r="G16" i="86" s="1"/>
  <c r="BM24" i="86"/>
  <c r="G24" i="86" s="1"/>
  <c r="BM14" i="86"/>
  <c r="BM6" i="86"/>
  <c r="G6" i="86" s="1"/>
  <c r="BM19" i="86"/>
  <c r="G19" i="86" s="1"/>
  <c r="BM10" i="86"/>
  <c r="G10" i="86" s="1"/>
  <c r="BM15" i="86"/>
  <c r="G15" i="86" s="1"/>
  <c r="BM8" i="86"/>
  <c r="G8" i="86" s="1"/>
  <c r="BM21" i="86"/>
  <c r="G21" i="86" s="1"/>
  <c r="BM12" i="86"/>
  <c r="G12" i="86" s="1"/>
  <c r="BM18" i="86"/>
  <c r="G18" i="86" s="1"/>
  <c r="BM9" i="86"/>
  <c r="G9" i="86" s="1"/>
  <c r="BM7" i="86"/>
  <c r="G7" i="86" s="1"/>
  <c r="CK1" i="86"/>
  <c r="CL2" i="86"/>
  <c r="BN18" i="86"/>
  <c r="K18" i="86" s="1"/>
  <c r="BN10" i="86"/>
  <c r="K10" i="86" s="1"/>
  <c r="BN20" i="86"/>
  <c r="K20" i="86" s="1"/>
  <c r="BN9" i="86"/>
  <c r="K9" i="86" s="1"/>
  <c r="BN23" i="86"/>
  <c r="K23" i="86" s="1"/>
  <c r="BN15" i="86"/>
  <c r="K15" i="86" s="1"/>
  <c r="BN19" i="86"/>
  <c r="K19" i="86" s="1"/>
  <c r="BN13" i="86"/>
  <c r="K13" i="86" s="1"/>
  <c r="BN14" i="86"/>
  <c r="BN8" i="86"/>
  <c r="BN11" i="86"/>
  <c r="K11" i="86" s="1"/>
  <c r="BN12" i="86"/>
  <c r="K12" i="86" s="1"/>
  <c r="BN21" i="86"/>
  <c r="BN6" i="86"/>
  <c r="K6" i="86" s="1"/>
  <c r="BN24" i="86"/>
  <c r="K24" i="86" s="1"/>
  <c r="BN17" i="86"/>
  <c r="K17" i="86" s="1"/>
  <c r="BN7" i="86"/>
  <c r="K7" i="86" s="1"/>
  <c r="BN22" i="86"/>
  <c r="K22" i="86" s="1"/>
  <c r="BN16" i="86"/>
  <c r="K16" i="86" s="1"/>
  <c r="Q6" i="86"/>
  <c r="R6" i="86" s="1"/>
  <c r="BV26" i="86"/>
  <c r="BR26" i="86"/>
  <c r="O6" i="86"/>
  <c r="P6" i="86" s="1"/>
  <c r="BH17" i="86"/>
  <c r="E17" i="86" s="1"/>
  <c r="BH14" i="86"/>
  <c r="E14" i="86" s="1"/>
  <c r="BH11" i="86"/>
  <c r="E11" i="86" s="1"/>
  <c r="BH16" i="86"/>
  <c r="E16" i="86" s="1"/>
  <c r="BH9" i="86"/>
  <c r="E9" i="86" s="1"/>
  <c r="BH19" i="86"/>
  <c r="E19" i="86" s="1"/>
  <c r="BH7" i="86"/>
  <c r="E7" i="86" s="1"/>
  <c r="BH24" i="86"/>
  <c r="E24" i="86" s="1"/>
  <c r="BH23" i="86"/>
  <c r="E23" i="86" s="1"/>
  <c r="BH18" i="86"/>
  <c r="E18" i="86" s="1"/>
  <c r="BH6" i="86"/>
  <c r="E6" i="86" s="1"/>
  <c r="BH12" i="86"/>
  <c r="E12" i="86" s="1"/>
  <c r="BH5" i="86"/>
  <c r="E3" i="86" s="1"/>
  <c r="BH20" i="86"/>
  <c r="E20" i="86" s="1"/>
  <c r="BH13" i="86"/>
  <c r="E13" i="86" s="1"/>
  <c r="BH10" i="86"/>
  <c r="E10" i="86" s="1"/>
  <c r="BH22" i="86"/>
  <c r="E22" i="86" s="1"/>
  <c r="BH15" i="86"/>
  <c r="E15" i="86" s="1"/>
  <c r="BH8" i="86"/>
  <c r="E8" i="86" s="1"/>
  <c r="BH21" i="86"/>
  <c r="E21" i="86" s="1"/>
  <c r="BI17" i="86"/>
  <c r="I17" i="86" s="1"/>
  <c r="BI12" i="86"/>
  <c r="I12" i="86" s="1"/>
  <c r="BI5" i="86"/>
  <c r="I3" i="86" s="1"/>
  <c r="BI23" i="86"/>
  <c r="I23" i="86" s="1"/>
  <c r="BI6" i="86"/>
  <c r="I6" i="86" s="1"/>
  <c r="BI16" i="86"/>
  <c r="I16" i="86" s="1"/>
  <c r="BI14" i="86"/>
  <c r="I14" i="86" s="1"/>
  <c r="BI20" i="86"/>
  <c r="I20" i="86" s="1"/>
  <c r="BI11" i="86"/>
  <c r="I11" i="86" s="1"/>
  <c r="BI15" i="86"/>
  <c r="I15" i="86" s="1"/>
  <c r="BI19" i="86"/>
  <c r="I19" i="86" s="1"/>
  <c r="BI10" i="86"/>
  <c r="I10" i="86" s="1"/>
  <c r="BI13" i="86"/>
  <c r="I13" i="86" s="1"/>
  <c r="BI7" i="86"/>
  <c r="I7" i="86" s="1"/>
  <c r="BI18" i="86"/>
  <c r="BI9" i="86"/>
  <c r="I9" i="86" s="1"/>
  <c r="BI24" i="86"/>
  <c r="I24" i="86" s="1"/>
  <c r="BI22" i="86"/>
  <c r="I22" i="86" s="1"/>
  <c r="BI21" i="86"/>
  <c r="I21" i="86" s="1"/>
  <c r="BI8" i="86"/>
  <c r="I8" i="86" s="1"/>
  <c r="EX99" i="9"/>
  <c r="BR13" i="93" s="1"/>
  <c r="EW100" i="9"/>
  <c r="IV98" i="9"/>
  <c r="EV10" i="95" s="1"/>
  <c r="IU99" i="9"/>
  <c r="BV13" i="92"/>
  <c r="GJ99" i="9"/>
  <c r="GN99" i="9" s="1"/>
  <c r="GH97" i="9"/>
  <c r="BV10" i="91" s="1"/>
  <c r="I6" i="124" l="1"/>
  <c r="I29" i="124" s="1"/>
  <c r="G6" i="124"/>
  <c r="H6" i="124" s="1"/>
  <c r="K6" i="124"/>
  <c r="GA132" i="9"/>
  <c r="HL132" i="9"/>
  <c r="HC132" i="9"/>
  <c r="HF132" i="9"/>
  <c r="HQ132" i="9"/>
  <c r="HI132" i="9"/>
  <c r="L10" i="124"/>
  <c r="J9" i="124"/>
  <c r="FG9" i="124"/>
  <c r="L9" i="124"/>
  <c r="J8" i="124"/>
  <c r="FG8" i="124"/>
  <c r="J13" i="124"/>
  <c r="FG13" i="124"/>
  <c r="L13" i="124"/>
  <c r="J22" i="124"/>
  <c r="FG22" i="124"/>
  <c r="L22" i="124"/>
  <c r="J16" i="124"/>
  <c r="FG16" i="124"/>
  <c r="L16" i="124"/>
  <c r="J18" i="124"/>
  <c r="FG18" i="124"/>
  <c r="L18" i="124"/>
  <c r="J7" i="124"/>
  <c r="FG7" i="124"/>
  <c r="L7" i="124"/>
  <c r="FG11" i="124"/>
  <c r="J11" i="124"/>
  <c r="L11" i="124"/>
  <c r="EH19" i="124"/>
  <c r="CG19" i="124" s="1"/>
  <c r="EH16" i="124"/>
  <c r="CG16" i="124" s="1"/>
  <c r="EH15" i="124"/>
  <c r="CG15" i="124" s="1"/>
  <c r="EH23" i="124"/>
  <c r="CG23" i="124" s="1"/>
  <c r="EH12" i="124"/>
  <c r="CG12" i="124" s="1"/>
  <c r="EH18" i="124"/>
  <c r="CG18" i="124" s="1"/>
  <c r="EH2" i="124"/>
  <c r="EI2" i="124" s="1"/>
  <c r="EJ2" i="124" s="1"/>
  <c r="EK2" i="124" s="1"/>
  <c r="EL2" i="124" s="1"/>
  <c r="EM2" i="124" s="1"/>
  <c r="EN2" i="124" s="1"/>
  <c r="EO2" i="124" s="1"/>
  <c r="EP2" i="124" s="1"/>
  <c r="EQ2" i="124" s="1"/>
  <c r="ER2" i="124" s="1"/>
  <c r="ES2" i="124" s="1"/>
  <c r="ET2" i="124" s="1"/>
  <c r="EU2" i="124" s="1"/>
  <c r="EV2" i="124" s="1"/>
  <c r="EW2" i="124" s="1"/>
  <c r="EX2" i="124" s="1"/>
  <c r="EY2" i="124" s="1"/>
  <c r="EZ2" i="124" s="1"/>
  <c r="FA2" i="124" s="1"/>
  <c r="FB2" i="124" s="1"/>
  <c r="FC2" i="124" s="1"/>
  <c r="FD2" i="124" s="1"/>
  <c r="FE2" i="124" s="1"/>
  <c r="EH24" i="124"/>
  <c r="CG24" i="124" s="1"/>
  <c r="EH17" i="124"/>
  <c r="CG17" i="124" s="1"/>
  <c r="EH9" i="124"/>
  <c r="CG9" i="124" s="1"/>
  <c r="EH22" i="124"/>
  <c r="CG22" i="124" s="1"/>
  <c r="EH14" i="124"/>
  <c r="CG14" i="124" s="1"/>
  <c r="EH8" i="124"/>
  <c r="CG8" i="124" s="1"/>
  <c r="EH21" i="124"/>
  <c r="CG21" i="124" s="1"/>
  <c r="EH11" i="124"/>
  <c r="CG11" i="124" s="1"/>
  <c r="EH7" i="124"/>
  <c r="CG7" i="124" s="1"/>
  <c r="EH20" i="124"/>
  <c r="CG20" i="124" s="1"/>
  <c r="EH13" i="124"/>
  <c r="CG13" i="124" s="1"/>
  <c r="EH6" i="124"/>
  <c r="CG6" i="124" s="1"/>
  <c r="J14" i="124"/>
  <c r="L14" i="124"/>
  <c r="FG14" i="124"/>
  <c r="J21" i="124"/>
  <c r="FG21" i="124"/>
  <c r="L21" i="124"/>
  <c r="J19" i="124"/>
  <c r="L19" i="124"/>
  <c r="FG19" i="124"/>
  <c r="L8" i="124"/>
  <c r="J24" i="124"/>
  <c r="FG24" i="124"/>
  <c r="L24" i="124"/>
  <c r="J15" i="124"/>
  <c r="L15" i="124"/>
  <c r="FG15" i="124"/>
  <c r="CK21" i="124"/>
  <c r="CK16" i="124"/>
  <c r="CK24" i="124"/>
  <c r="CK9" i="124"/>
  <c r="CK22" i="124"/>
  <c r="CK8" i="124"/>
  <c r="CK17" i="124"/>
  <c r="CK11" i="124"/>
  <c r="CK15" i="124"/>
  <c r="CK7" i="124"/>
  <c r="CK14" i="124"/>
  <c r="CK6" i="124"/>
  <c r="CK18" i="124"/>
  <c r="EI1" i="124"/>
  <c r="CK23" i="124"/>
  <c r="CK19" i="124"/>
  <c r="CK13" i="124"/>
  <c r="CK12" i="124"/>
  <c r="CK20" i="124"/>
  <c r="CK10" i="124"/>
  <c r="J10" i="124"/>
  <c r="J17" i="124"/>
  <c r="L17" i="124"/>
  <c r="FG17" i="124"/>
  <c r="CL1" i="124"/>
  <c r="CM2" i="124"/>
  <c r="DI14" i="124"/>
  <c r="DI7" i="124"/>
  <c r="DI24" i="124"/>
  <c r="DI11" i="124"/>
  <c r="DI22" i="124"/>
  <c r="DI19" i="124"/>
  <c r="DI21" i="124"/>
  <c r="DI15" i="124"/>
  <c r="DI23" i="124"/>
  <c r="DI2" i="124"/>
  <c r="DJ2" i="124" s="1"/>
  <c r="DI18" i="124"/>
  <c r="DI8" i="124"/>
  <c r="DI16" i="124"/>
  <c r="DI6" i="124"/>
  <c r="DI17" i="124"/>
  <c r="DI9" i="124"/>
  <c r="DI20" i="124"/>
  <c r="DI10" i="124"/>
  <c r="DI12" i="124"/>
  <c r="DI13" i="124"/>
  <c r="J12" i="124"/>
  <c r="FG12" i="124"/>
  <c r="L12" i="124"/>
  <c r="J20" i="124"/>
  <c r="FG20" i="124"/>
  <c r="L20" i="124"/>
  <c r="J23" i="124"/>
  <c r="FG23" i="124"/>
  <c r="L23" i="124"/>
  <c r="FG10" i="124"/>
  <c r="FH23" i="116"/>
  <c r="J7" i="121"/>
  <c r="J12" i="121"/>
  <c r="L12" i="121"/>
  <c r="FG12" i="121"/>
  <c r="J11" i="121"/>
  <c r="FG11" i="121"/>
  <c r="L11" i="121"/>
  <c r="J18" i="121"/>
  <c r="L18" i="121"/>
  <c r="FG18" i="121"/>
  <c r="DI20" i="121"/>
  <c r="DI6" i="121"/>
  <c r="DI7" i="121"/>
  <c r="DI19" i="121"/>
  <c r="DI14" i="121"/>
  <c r="DI22" i="121"/>
  <c r="DI16" i="121"/>
  <c r="DI11" i="121"/>
  <c r="DI15" i="121"/>
  <c r="DI8" i="121"/>
  <c r="DI17" i="121"/>
  <c r="DI21" i="121"/>
  <c r="DI13" i="121"/>
  <c r="DI9" i="121"/>
  <c r="DI18" i="121"/>
  <c r="DI10" i="121"/>
  <c r="DI24" i="121"/>
  <c r="DI23" i="121"/>
  <c r="DI2" i="121"/>
  <c r="DJ2" i="121" s="1"/>
  <c r="DI12" i="121"/>
  <c r="CL1" i="121"/>
  <c r="CM2" i="121"/>
  <c r="J21" i="121"/>
  <c r="FG21" i="121"/>
  <c r="L21" i="121"/>
  <c r="J22" i="121"/>
  <c r="FG22" i="121"/>
  <c r="L22" i="121"/>
  <c r="J8" i="121"/>
  <c r="FG8" i="121"/>
  <c r="L8" i="121"/>
  <c r="J20" i="121"/>
  <c r="FG20" i="121"/>
  <c r="L20" i="121"/>
  <c r="J9" i="121"/>
  <c r="L9" i="121"/>
  <c r="FG9" i="121"/>
  <c r="J24" i="121"/>
  <c r="L24" i="121"/>
  <c r="FG24" i="121"/>
  <c r="J17" i="121"/>
  <c r="FG17" i="121"/>
  <c r="L17" i="121"/>
  <c r="I32" i="121"/>
  <c r="I29" i="121"/>
  <c r="J6" i="121"/>
  <c r="I28" i="121"/>
  <c r="I30" i="121"/>
  <c r="E30" i="121"/>
  <c r="E29" i="121"/>
  <c r="E28" i="121"/>
  <c r="I27" i="121"/>
  <c r="L6" i="121"/>
  <c r="FG6" i="121"/>
  <c r="J15" i="121"/>
  <c r="L15" i="121"/>
  <c r="FG15" i="121"/>
  <c r="J10" i="121"/>
  <c r="L10" i="121"/>
  <c r="FG10" i="121"/>
  <c r="J16" i="121"/>
  <c r="L16" i="121"/>
  <c r="FG16" i="121"/>
  <c r="EH16" i="121"/>
  <c r="CG16" i="121" s="1"/>
  <c r="EH14" i="121"/>
  <c r="CG14" i="121" s="1"/>
  <c r="EH8" i="121"/>
  <c r="CG8" i="121" s="1"/>
  <c r="EH22" i="121"/>
  <c r="CG22" i="121" s="1"/>
  <c r="EH6" i="121"/>
  <c r="CG6" i="121" s="1"/>
  <c r="EH17" i="121"/>
  <c r="CG17" i="121" s="1"/>
  <c r="EH15" i="121"/>
  <c r="CG15" i="121" s="1"/>
  <c r="EH9" i="121"/>
  <c r="CG9" i="121" s="1"/>
  <c r="EH23" i="121"/>
  <c r="CG23" i="121" s="1"/>
  <c r="EH7" i="121"/>
  <c r="CG7" i="121" s="1"/>
  <c r="EH18" i="121"/>
  <c r="CG18" i="121" s="1"/>
  <c r="EH12" i="121"/>
  <c r="CG12" i="121" s="1"/>
  <c r="EH19" i="121"/>
  <c r="CG19" i="121" s="1"/>
  <c r="EH24" i="121"/>
  <c r="CG24" i="121" s="1"/>
  <c r="EH13" i="121"/>
  <c r="CG13" i="121" s="1"/>
  <c r="EH2" i="121"/>
  <c r="EI2" i="121" s="1"/>
  <c r="EJ2" i="121" s="1"/>
  <c r="EK2" i="121" s="1"/>
  <c r="EL2" i="121" s="1"/>
  <c r="EM2" i="121" s="1"/>
  <c r="EN2" i="121" s="1"/>
  <c r="EO2" i="121" s="1"/>
  <c r="EP2" i="121" s="1"/>
  <c r="EQ2" i="121" s="1"/>
  <c r="ER2" i="121" s="1"/>
  <c r="ES2" i="121" s="1"/>
  <c r="ET2" i="121" s="1"/>
  <c r="EU2" i="121" s="1"/>
  <c r="EV2" i="121" s="1"/>
  <c r="EW2" i="121" s="1"/>
  <c r="EX2" i="121" s="1"/>
  <c r="EY2" i="121" s="1"/>
  <c r="EZ2" i="121" s="1"/>
  <c r="FA2" i="121" s="1"/>
  <c r="FB2" i="121" s="1"/>
  <c r="FC2" i="121" s="1"/>
  <c r="FD2" i="121" s="1"/>
  <c r="FE2" i="121" s="1"/>
  <c r="EH20" i="121"/>
  <c r="CG20" i="121" s="1"/>
  <c r="EH11" i="121"/>
  <c r="CG11" i="121" s="1"/>
  <c r="EH21" i="121"/>
  <c r="CG21" i="121" s="1"/>
  <c r="J19" i="121"/>
  <c r="L19" i="121"/>
  <c r="FG19" i="121"/>
  <c r="J23" i="121"/>
  <c r="FG23" i="121"/>
  <c r="L23" i="121"/>
  <c r="K27" i="121"/>
  <c r="J14" i="121"/>
  <c r="FG14" i="121"/>
  <c r="L14" i="121"/>
  <c r="L7" i="121"/>
  <c r="FG7" i="121"/>
  <c r="J13" i="121"/>
  <c r="L13" i="121"/>
  <c r="FG13" i="121"/>
  <c r="CK17" i="121"/>
  <c r="CK11" i="121"/>
  <c r="CK8" i="121"/>
  <c r="CK23" i="121"/>
  <c r="CK22" i="121"/>
  <c r="EI1" i="121"/>
  <c r="CK21" i="121"/>
  <c r="CK16" i="121"/>
  <c r="CK10" i="121"/>
  <c r="CK19" i="121"/>
  <c r="CK7" i="121"/>
  <c r="CK13" i="121"/>
  <c r="CK18" i="121"/>
  <c r="CK20" i="121"/>
  <c r="CK12" i="121"/>
  <c r="CK15" i="121"/>
  <c r="CK9" i="121"/>
  <c r="CK24" i="121"/>
  <c r="CK14" i="121"/>
  <c r="CK6" i="121"/>
  <c r="FH9" i="116"/>
  <c r="C134" i="9"/>
  <c r="A133" i="9"/>
  <c r="E133" i="9" s="1"/>
  <c r="J23" i="120"/>
  <c r="L23" i="120"/>
  <c r="J14" i="120"/>
  <c r="FG14" i="120"/>
  <c r="J19" i="120"/>
  <c r="FG19" i="120"/>
  <c r="L19" i="120"/>
  <c r="J11" i="120"/>
  <c r="L11" i="120"/>
  <c r="J24" i="120"/>
  <c r="L24" i="120"/>
  <c r="L17" i="120"/>
  <c r="FG23" i="120"/>
  <c r="J22" i="120"/>
  <c r="L22" i="120"/>
  <c r="J10" i="120"/>
  <c r="L10" i="120"/>
  <c r="FG10" i="120"/>
  <c r="J16" i="120"/>
  <c r="L16" i="120"/>
  <c r="FG6" i="120"/>
  <c r="K26" i="120"/>
  <c r="K27" i="120"/>
  <c r="J9" i="120"/>
  <c r="L9" i="120"/>
  <c r="FG9" i="120"/>
  <c r="J6" i="120"/>
  <c r="L6" i="120"/>
  <c r="I27" i="120"/>
  <c r="I28" i="120"/>
  <c r="E30" i="120"/>
  <c r="I29" i="120"/>
  <c r="E28" i="120"/>
  <c r="I26" i="120"/>
  <c r="E29" i="120"/>
  <c r="I30" i="120"/>
  <c r="I32" i="120"/>
  <c r="L8" i="120"/>
  <c r="FG24" i="120"/>
  <c r="J13" i="120"/>
  <c r="L13" i="120"/>
  <c r="FG13" i="120"/>
  <c r="J15" i="120"/>
  <c r="FG15" i="120"/>
  <c r="FG16" i="120"/>
  <c r="FG11" i="120"/>
  <c r="DI23" i="120"/>
  <c r="DI24" i="120"/>
  <c r="DI7" i="120"/>
  <c r="DI22" i="120"/>
  <c r="DI15" i="120"/>
  <c r="DI11" i="120"/>
  <c r="DI21" i="120"/>
  <c r="DI14" i="120"/>
  <c r="DI8" i="120"/>
  <c r="DI20" i="120"/>
  <c r="DI13" i="120"/>
  <c r="DI9" i="120"/>
  <c r="DI19" i="120"/>
  <c r="DI10" i="120"/>
  <c r="DI2" i="120"/>
  <c r="DJ2" i="120" s="1"/>
  <c r="DI18" i="120"/>
  <c r="DI12" i="120"/>
  <c r="DI16" i="120"/>
  <c r="DI17" i="120"/>
  <c r="DI6" i="120"/>
  <c r="FG20" i="120"/>
  <c r="J20" i="120"/>
  <c r="L20" i="120"/>
  <c r="J21" i="120"/>
  <c r="L21" i="120"/>
  <c r="H6" i="120"/>
  <c r="G26" i="120"/>
  <c r="L15" i="120"/>
  <c r="J18" i="120"/>
  <c r="L18" i="120"/>
  <c r="J7" i="120"/>
  <c r="L7" i="120"/>
  <c r="FG7" i="120"/>
  <c r="CK15" i="120"/>
  <c r="CK14" i="120"/>
  <c r="CK19" i="120"/>
  <c r="CK10" i="120"/>
  <c r="CK23" i="120"/>
  <c r="CK18" i="120"/>
  <c r="CK8" i="120"/>
  <c r="CK22" i="120"/>
  <c r="CK24" i="120"/>
  <c r="CK7" i="120"/>
  <c r="CK21" i="120"/>
  <c r="CK13" i="120"/>
  <c r="CK6" i="120"/>
  <c r="CK12" i="120"/>
  <c r="EI1" i="120"/>
  <c r="CK20" i="120"/>
  <c r="CK11" i="120"/>
  <c r="CK9" i="120"/>
  <c r="CK17" i="120"/>
  <c r="CK16" i="120"/>
  <c r="FG22" i="120"/>
  <c r="FG18" i="120"/>
  <c r="FG21" i="120"/>
  <c r="F26" i="120"/>
  <c r="J12" i="120"/>
  <c r="L12" i="120"/>
  <c r="FG12" i="120"/>
  <c r="J8" i="120"/>
  <c r="FG8" i="120"/>
  <c r="J17" i="120"/>
  <c r="FG17" i="120"/>
  <c r="CM2" i="120"/>
  <c r="CL1" i="120"/>
  <c r="L14" i="120"/>
  <c r="EH22" i="120"/>
  <c r="CG22" i="120" s="1"/>
  <c r="EH12" i="120"/>
  <c r="CG12" i="120" s="1"/>
  <c r="EH11" i="120"/>
  <c r="CG11" i="120" s="1"/>
  <c r="EH21" i="120"/>
  <c r="CG21" i="120" s="1"/>
  <c r="EH15" i="120"/>
  <c r="CG15" i="120" s="1"/>
  <c r="EH19" i="120"/>
  <c r="CG19" i="120" s="1"/>
  <c r="EH9" i="120"/>
  <c r="CG9" i="120" s="1"/>
  <c r="EH20" i="120"/>
  <c r="CG20" i="120" s="1"/>
  <c r="EH14" i="120"/>
  <c r="CG14" i="120" s="1"/>
  <c r="EH7" i="120"/>
  <c r="CG7" i="120" s="1"/>
  <c r="EH18" i="120"/>
  <c r="CG18" i="120" s="1"/>
  <c r="EH24" i="120"/>
  <c r="CG24" i="120" s="1"/>
  <c r="EH8" i="120"/>
  <c r="CG8" i="120" s="1"/>
  <c r="EH17" i="120"/>
  <c r="CG17" i="120" s="1"/>
  <c r="EH16" i="120"/>
  <c r="CG16" i="120" s="1"/>
  <c r="EH2" i="120"/>
  <c r="EI2" i="120" s="1"/>
  <c r="EJ2" i="120" s="1"/>
  <c r="EK2" i="120" s="1"/>
  <c r="EL2" i="120" s="1"/>
  <c r="EM2" i="120" s="1"/>
  <c r="EN2" i="120" s="1"/>
  <c r="EO2" i="120" s="1"/>
  <c r="EP2" i="120" s="1"/>
  <c r="EQ2" i="120" s="1"/>
  <c r="ER2" i="120" s="1"/>
  <c r="ES2" i="120" s="1"/>
  <c r="ET2" i="120" s="1"/>
  <c r="EU2" i="120" s="1"/>
  <c r="EV2" i="120" s="1"/>
  <c r="EW2" i="120" s="1"/>
  <c r="EX2" i="120" s="1"/>
  <c r="EY2" i="120" s="1"/>
  <c r="EZ2" i="120" s="1"/>
  <c r="FA2" i="120" s="1"/>
  <c r="FB2" i="120" s="1"/>
  <c r="FC2" i="120" s="1"/>
  <c r="FD2" i="120" s="1"/>
  <c r="FE2" i="120" s="1"/>
  <c r="EH23" i="120"/>
  <c r="CG23" i="120" s="1"/>
  <c r="EH13" i="120"/>
  <c r="CG13" i="120" s="1"/>
  <c r="EH6" i="120"/>
  <c r="CG6" i="120" s="1"/>
  <c r="F26" i="119"/>
  <c r="J8" i="119"/>
  <c r="FG8" i="119"/>
  <c r="L8" i="119"/>
  <c r="J18" i="119"/>
  <c r="L18" i="119"/>
  <c r="FG18" i="119"/>
  <c r="J24" i="119"/>
  <c r="FG24" i="119"/>
  <c r="L24" i="119"/>
  <c r="K26" i="119"/>
  <c r="K27" i="119"/>
  <c r="L7" i="119"/>
  <c r="J7" i="119"/>
  <c r="FG7" i="119"/>
  <c r="I27" i="119"/>
  <c r="L22" i="119"/>
  <c r="J22" i="119"/>
  <c r="FG22" i="119"/>
  <c r="J15" i="119"/>
  <c r="L15" i="119"/>
  <c r="FG15" i="119"/>
  <c r="J17" i="119"/>
  <c r="FG17" i="119"/>
  <c r="L17" i="119"/>
  <c r="J13" i="119"/>
  <c r="FG13" i="119"/>
  <c r="L13" i="119"/>
  <c r="G26" i="119"/>
  <c r="J14" i="119"/>
  <c r="L14" i="119"/>
  <c r="FG14" i="119"/>
  <c r="J10" i="119"/>
  <c r="L10" i="119"/>
  <c r="FG10" i="119"/>
  <c r="J23" i="119"/>
  <c r="FG23" i="119"/>
  <c r="L23" i="119"/>
  <c r="CK18" i="119"/>
  <c r="CK7" i="119"/>
  <c r="CK21" i="119"/>
  <c r="CK13" i="119"/>
  <c r="CK17" i="119"/>
  <c r="CK23" i="119"/>
  <c r="CK9" i="119"/>
  <c r="CK24" i="119"/>
  <c r="CK16" i="119"/>
  <c r="CK8" i="119"/>
  <c r="CK10" i="119"/>
  <c r="CK22" i="119"/>
  <c r="CK14" i="119"/>
  <c r="CK6" i="119"/>
  <c r="CK15" i="119"/>
  <c r="CK19" i="119"/>
  <c r="CK12" i="119"/>
  <c r="EI1" i="119"/>
  <c r="CK20" i="119"/>
  <c r="CK11" i="119"/>
  <c r="FG12" i="119"/>
  <c r="L12" i="119"/>
  <c r="J12" i="119"/>
  <c r="J9" i="119"/>
  <c r="L9" i="119"/>
  <c r="FG9" i="119"/>
  <c r="CL1" i="119"/>
  <c r="CM2" i="119"/>
  <c r="DI18" i="119"/>
  <c r="DI8" i="119"/>
  <c r="DI20" i="119"/>
  <c r="DI19" i="119"/>
  <c r="DI11" i="119"/>
  <c r="DI24" i="119"/>
  <c r="DI10" i="119"/>
  <c r="DI14" i="119"/>
  <c r="DI7" i="119"/>
  <c r="DI15" i="119"/>
  <c r="DI16" i="119"/>
  <c r="DI23" i="119"/>
  <c r="DI17" i="119"/>
  <c r="DI9" i="119"/>
  <c r="DI22" i="119"/>
  <c r="DI13" i="119"/>
  <c r="DI6" i="119"/>
  <c r="DI21" i="119"/>
  <c r="DI12" i="119"/>
  <c r="DI2" i="119"/>
  <c r="DJ2" i="119" s="1"/>
  <c r="J6" i="119"/>
  <c r="FG6" i="119"/>
  <c r="L6" i="119"/>
  <c r="E30" i="119"/>
  <c r="I28" i="119"/>
  <c r="I29" i="119"/>
  <c r="I30" i="119"/>
  <c r="E28" i="119"/>
  <c r="E29" i="119"/>
  <c r="I26" i="119"/>
  <c r="I32" i="119"/>
  <c r="J19" i="119"/>
  <c r="FG19" i="119"/>
  <c r="L19" i="119"/>
  <c r="J21" i="119"/>
  <c r="L21" i="119"/>
  <c r="FG21" i="119"/>
  <c r="FG11" i="119"/>
  <c r="L11" i="119"/>
  <c r="J11" i="119"/>
  <c r="P6" i="119"/>
  <c r="J16" i="119"/>
  <c r="L16" i="119"/>
  <c r="FG16" i="119"/>
  <c r="J20" i="119"/>
  <c r="FG20" i="119"/>
  <c r="L20" i="119"/>
  <c r="EH20" i="119"/>
  <c r="CG20" i="119" s="1"/>
  <c r="EH15" i="119"/>
  <c r="CG15" i="119" s="1"/>
  <c r="EH2" i="119"/>
  <c r="EI2" i="119" s="1"/>
  <c r="EJ2" i="119" s="1"/>
  <c r="EK2" i="119" s="1"/>
  <c r="EL2" i="119" s="1"/>
  <c r="EM2" i="119" s="1"/>
  <c r="EN2" i="119" s="1"/>
  <c r="EO2" i="119" s="1"/>
  <c r="EP2" i="119" s="1"/>
  <c r="EQ2" i="119" s="1"/>
  <c r="ER2" i="119" s="1"/>
  <c r="ES2" i="119" s="1"/>
  <c r="ET2" i="119" s="1"/>
  <c r="EU2" i="119" s="1"/>
  <c r="EV2" i="119" s="1"/>
  <c r="EW2" i="119" s="1"/>
  <c r="EX2" i="119" s="1"/>
  <c r="EY2" i="119" s="1"/>
  <c r="EZ2" i="119" s="1"/>
  <c r="FA2" i="119" s="1"/>
  <c r="FB2" i="119" s="1"/>
  <c r="FC2" i="119" s="1"/>
  <c r="FD2" i="119" s="1"/>
  <c r="FE2" i="119" s="1"/>
  <c r="EH9" i="119"/>
  <c r="CG9" i="119" s="1"/>
  <c r="EH22" i="119"/>
  <c r="CG22" i="119" s="1"/>
  <c r="EH13" i="119"/>
  <c r="CG13" i="119" s="1"/>
  <c r="EH7" i="119"/>
  <c r="CG7" i="119" s="1"/>
  <c r="EH18" i="119"/>
  <c r="CG18" i="119" s="1"/>
  <c r="EH14" i="119"/>
  <c r="CG14" i="119" s="1"/>
  <c r="EH21" i="119"/>
  <c r="CG21" i="119" s="1"/>
  <c r="EH17" i="119"/>
  <c r="CG17" i="119" s="1"/>
  <c r="EH8" i="119"/>
  <c r="CG8" i="119" s="1"/>
  <c r="EH6" i="119"/>
  <c r="CG6" i="119" s="1"/>
  <c r="EH24" i="119"/>
  <c r="CG24" i="119" s="1"/>
  <c r="EH12" i="119"/>
  <c r="CG12" i="119" s="1"/>
  <c r="EH19" i="119"/>
  <c r="CG19" i="119" s="1"/>
  <c r="EH11" i="119"/>
  <c r="CG11" i="119" s="1"/>
  <c r="EH23" i="119"/>
  <c r="CG23" i="119" s="1"/>
  <c r="EH16" i="119"/>
  <c r="CG16" i="119" s="1"/>
  <c r="FH24" i="116"/>
  <c r="L22" i="116"/>
  <c r="FH16" i="116"/>
  <c r="FH18" i="116"/>
  <c r="L19" i="116"/>
  <c r="FH21" i="116"/>
  <c r="FH17" i="116"/>
  <c r="FH14" i="116"/>
  <c r="L15" i="116"/>
  <c r="L11" i="116"/>
  <c r="J19" i="116"/>
  <c r="FH19" i="116"/>
  <c r="J17" i="116"/>
  <c r="L17" i="116"/>
  <c r="F26" i="116"/>
  <c r="J7" i="116"/>
  <c r="FH7" i="116"/>
  <c r="L7" i="116"/>
  <c r="J13" i="116"/>
  <c r="FH13" i="116"/>
  <c r="L13" i="116"/>
  <c r="J14" i="116"/>
  <c r="L14" i="116"/>
  <c r="K27" i="116"/>
  <c r="K26" i="116"/>
  <c r="G26" i="116"/>
  <c r="J8" i="116"/>
  <c r="L8" i="116"/>
  <c r="FH8" i="116"/>
  <c r="J15" i="116"/>
  <c r="FH15" i="116"/>
  <c r="J18" i="116"/>
  <c r="L18" i="116"/>
  <c r="EI22" i="116"/>
  <c r="CH22" i="116" s="1"/>
  <c r="EI14" i="116"/>
  <c r="CH14" i="116" s="1"/>
  <c r="EI7" i="116"/>
  <c r="CH7" i="116" s="1"/>
  <c r="EI21" i="116"/>
  <c r="CH21" i="116" s="1"/>
  <c r="EI13" i="116"/>
  <c r="CH13" i="116" s="1"/>
  <c r="EI6" i="116"/>
  <c r="CH6" i="116" s="1"/>
  <c r="EI24" i="116"/>
  <c r="CH24" i="116" s="1"/>
  <c r="EI12" i="116"/>
  <c r="CH12" i="116" s="1"/>
  <c r="EI23" i="116"/>
  <c r="CH23" i="116" s="1"/>
  <c r="EI11" i="116"/>
  <c r="CH11" i="116" s="1"/>
  <c r="EI18" i="116"/>
  <c r="CH18" i="116" s="1"/>
  <c r="EI17" i="116"/>
  <c r="CH17" i="116" s="1"/>
  <c r="EI9" i="116"/>
  <c r="CH9" i="116" s="1"/>
  <c r="EI16" i="116"/>
  <c r="CH16" i="116" s="1"/>
  <c r="EI2" i="116"/>
  <c r="EJ2" i="116" s="1"/>
  <c r="EK2" i="116" s="1"/>
  <c r="EL2" i="116" s="1"/>
  <c r="EM2" i="116" s="1"/>
  <c r="EN2" i="116" s="1"/>
  <c r="EO2" i="116" s="1"/>
  <c r="EP2" i="116" s="1"/>
  <c r="EQ2" i="116" s="1"/>
  <c r="ER2" i="116" s="1"/>
  <c r="ES2" i="116" s="1"/>
  <c r="ET2" i="116" s="1"/>
  <c r="EU2" i="116" s="1"/>
  <c r="EV2" i="116" s="1"/>
  <c r="EW2" i="116" s="1"/>
  <c r="EX2" i="116" s="1"/>
  <c r="EY2" i="116" s="1"/>
  <c r="EZ2" i="116" s="1"/>
  <c r="FA2" i="116" s="1"/>
  <c r="FB2" i="116" s="1"/>
  <c r="FC2" i="116" s="1"/>
  <c r="FD2" i="116" s="1"/>
  <c r="FE2" i="116" s="1"/>
  <c r="FF2" i="116" s="1"/>
  <c r="EI20" i="116"/>
  <c r="CH20" i="116" s="1"/>
  <c r="EI15" i="116"/>
  <c r="CH15" i="116" s="1"/>
  <c r="EI8" i="116"/>
  <c r="CH8" i="116" s="1"/>
  <c r="EI19" i="116"/>
  <c r="CH19" i="116" s="1"/>
  <c r="L21" i="116"/>
  <c r="J20" i="116"/>
  <c r="FH20" i="116"/>
  <c r="L20" i="116"/>
  <c r="J12" i="116"/>
  <c r="L12" i="116"/>
  <c r="FH12" i="116"/>
  <c r="J21" i="116"/>
  <c r="L6" i="116"/>
  <c r="J6" i="116"/>
  <c r="FH6" i="116"/>
  <c r="I29" i="116"/>
  <c r="I32" i="116"/>
  <c r="E29" i="116"/>
  <c r="E28" i="116"/>
  <c r="E30" i="116"/>
  <c r="I26" i="116"/>
  <c r="I28" i="116"/>
  <c r="I27" i="116"/>
  <c r="I30" i="116"/>
  <c r="J22" i="116"/>
  <c r="FH22" i="116"/>
  <c r="J9" i="116"/>
  <c r="L9" i="116"/>
  <c r="J16" i="116"/>
  <c r="L16" i="116"/>
  <c r="CL19" i="116"/>
  <c r="CL12" i="116"/>
  <c r="CL21" i="116"/>
  <c r="CL10" i="116"/>
  <c r="CL18" i="116"/>
  <c r="CL9" i="116"/>
  <c r="CL14" i="116"/>
  <c r="CL11" i="116"/>
  <c r="CL17" i="116"/>
  <c r="CL6" i="116"/>
  <c r="EJ1" i="116"/>
  <c r="CL24" i="116"/>
  <c r="CL22" i="116"/>
  <c r="CL23" i="116"/>
  <c r="CL15" i="116"/>
  <c r="CL8" i="116"/>
  <c r="CL13" i="116"/>
  <c r="CL20" i="116"/>
  <c r="CL16" i="116"/>
  <c r="CL7" i="116"/>
  <c r="DJ14" i="116"/>
  <c r="DJ8" i="116"/>
  <c r="DJ13" i="116"/>
  <c r="DJ16" i="116"/>
  <c r="DJ20" i="116"/>
  <c r="DJ11" i="116"/>
  <c r="DJ2" i="116"/>
  <c r="DK2" i="116" s="1"/>
  <c r="DJ21" i="116"/>
  <c r="DJ19" i="116"/>
  <c r="DJ12" i="116"/>
  <c r="DJ24" i="116"/>
  <c r="DJ17" i="116"/>
  <c r="DJ7" i="116"/>
  <c r="DJ23" i="116"/>
  <c r="DJ15" i="116"/>
  <c r="DJ6" i="116"/>
  <c r="DJ18" i="116"/>
  <c r="DJ9" i="116"/>
  <c r="DJ22" i="116"/>
  <c r="DJ10" i="116"/>
  <c r="J23" i="116"/>
  <c r="L23" i="116"/>
  <c r="J24" i="116"/>
  <c r="L24" i="116"/>
  <c r="CN2" i="116"/>
  <c r="CM1" i="116"/>
  <c r="J10" i="116"/>
  <c r="L10" i="116"/>
  <c r="FH10" i="116"/>
  <c r="J11" i="116"/>
  <c r="FH11" i="116"/>
  <c r="L20" i="112"/>
  <c r="L8" i="112"/>
  <c r="FH13" i="112"/>
  <c r="F26" i="112"/>
  <c r="P6" i="112"/>
  <c r="J21" i="113"/>
  <c r="L21" i="113"/>
  <c r="J15" i="113"/>
  <c r="L15" i="113"/>
  <c r="CL23" i="113"/>
  <c r="CL13" i="113"/>
  <c r="CL15" i="113"/>
  <c r="CL22" i="113"/>
  <c r="CL19" i="113"/>
  <c r="CL9" i="113"/>
  <c r="CL10" i="113"/>
  <c r="CL14" i="113"/>
  <c r="CL21" i="113"/>
  <c r="CL11" i="113"/>
  <c r="CL6" i="113"/>
  <c r="CL12" i="113"/>
  <c r="CL20" i="113"/>
  <c r="CL8" i="113"/>
  <c r="CL7" i="113"/>
  <c r="CL17" i="113"/>
  <c r="CL24" i="113"/>
  <c r="EJ1" i="113"/>
  <c r="CL16" i="113"/>
  <c r="CL18" i="113"/>
  <c r="EI22" i="113"/>
  <c r="CH22" i="113" s="1"/>
  <c r="EI16" i="113"/>
  <c r="CH16" i="113" s="1"/>
  <c r="EI11" i="113"/>
  <c r="CH11" i="113" s="1"/>
  <c r="EI15" i="113"/>
  <c r="CH15" i="113" s="1"/>
  <c r="EI21" i="113"/>
  <c r="CH21" i="113" s="1"/>
  <c r="EI13" i="113"/>
  <c r="CH13" i="113" s="1"/>
  <c r="EI8" i="113"/>
  <c r="CH8" i="113" s="1"/>
  <c r="EI20" i="113"/>
  <c r="CH20" i="113" s="1"/>
  <c r="EI12" i="113"/>
  <c r="CH12" i="113" s="1"/>
  <c r="EI9" i="113"/>
  <c r="CH9" i="113" s="1"/>
  <c r="EI18" i="113"/>
  <c r="CH18" i="113" s="1"/>
  <c r="EI7" i="113"/>
  <c r="CH7" i="113" s="1"/>
  <c r="EI17" i="113"/>
  <c r="CH17" i="113" s="1"/>
  <c r="EI6" i="113"/>
  <c r="CH6" i="113" s="1"/>
  <c r="EI14" i="113"/>
  <c r="CH14" i="113" s="1"/>
  <c r="EI24" i="113"/>
  <c r="CH24" i="113" s="1"/>
  <c r="EI2" i="113"/>
  <c r="EJ2" i="113" s="1"/>
  <c r="EK2" i="113" s="1"/>
  <c r="EL2" i="113" s="1"/>
  <c r="EM2" i="113" s="1"/>
  <c r="EN2" i="113" s="1"/>
  <c r="EO2" i="113" s="1"/>
  <c r="EP2" i="113" s="1"/>
  <c r="EQ2" i="113" s="1"/>
  <c r="ER2" i="113" s="1"/>
  <c r="ES2" i="113" s="1"/>
  <c r="ET2" i="113" s="1"/>
  <c r="EU2" i="113" s="1"/>
  <c r="EV2" i="113" s="1"/>
  <c r="EW2" i="113" s="1"/>
  <c r="EX2" i="113" s="1"/>
  <c r="EY2" i="113" s="1"/>
  <c r="EZ2" i="113" s="1"/>
  <c r="FA2" i="113" s="1"/>
  <c r="FB2" i="113" s="1"/>
  <c r="FC2" i="113" s="1"/>
  <c r="FD2" i="113" s="1"/>
  <c r="FE2" i="113" s="1"/>
  <c r="FF2" i="113" s="1"/>
  <c r="EI23" i="113"/>
  <c r="CH23" i="113" s="1"/>
  <c r="EI19" i="113"/>
  <c r="CH19" i="113" s="1"/>
  <c r="L7" i="113"/>
  <c r="J18" i="112"/>
  <c r="FH18" i="112"/>
  <c r="L18" i="112"/>
  <c r="J13" i="112"/>
  <c r="L13" i="112"/>
  <c r="J18" i="113"/>
  <c r="L18" i="113"/>
  <c r="CN2" i="113"/>
  <c r="CM1" i="113"/>
  <c r="FH14" i="113"/>
  <c r="L11" i="113"/>
  <c r="J8" i="112"/>
  <c r="FH8" i="112"/>
  <c r="J9" i="112"/>
  <c r="FH9" i="112"/>
  <c r="L9" i="112"/>
  <c r="L11" i="112"/>
  <c r="J11" i="112"/>
  <c r="FH11" i="112"/>
  <c r="J23" i="113"/>
  <c r="L23" i="113"/>
  <c r="J9" i="113"/>
  <c r="L9" i="113"/>
  <c r="EI19" i="112"/>
  <c r="CH19" i="112" s="1"/>
  <c r="EI7" i="112"/>
  <c r="CH7" i="112" s="1"/>
  <c r="EI2" i="112"/>
  <c r="EJ2" i="112" s="1"/>
  <c r="EK2" i="112" s="1"/>
  <c r="EL2" i="112" s="1"/>
  <c r="EM2" i="112" s="1"/>
  <c r="EN2" i="112" s="1"/>
  <c r="EO2" i="112" s="1"/>
  <c r="EP2" i="112" s="1"/>
  <c r="EQ2" i="112" s="1"/>
  <c r="ER2" i="112" s="1"/>
  <c r="ES2" i="112" s="1"/>
  <c r="ET2" i="112" s="1"/>
  <c r="EU2" i="112" s="1"/>
  <c r="EV2" i="112" s="1"/>
  <c r="EW2" i="112" s="1"/>
  <c r="EX2" i="112" s="1"/>
  <c r="EY2" i="112" s="1"/>
  <c r="EZ2" i="112" s="1"/>
  <c r="FA2" i="112" s="1"/>
  <c r="FB2" i="112" s="1"/>
  <c r="FC2" i="112" s="1"/>
  <c r="FD2" i="112" s="1"/>
  <c r="FE2" i="112" s="1"/>
  <c r="FF2" i="112" s="1"/>
  <c r="EI24" i="112"/>
  <c r="CH24" i="112" s="1"/>
  <c r="EI6" i="112"/>
  <c r="CH6" i="112" s="1"/>
  <c r="EI23" i="112"/>
  <c r="CH23" i="112" s="1"/>
  <c r="EI13" i="112"/>
  <c r="CH13" i="112" s="1"/>
  <c r="EI12" i="112"/>
  <c r="CH12" i="112" s="1"/>
  <c r="EI9" i="112"/>
  <c r="CH9" i="112" s="1"/>
  <c r="EI17" i="112"/>
  <c r="CH17" i="112" s="1"/>
  <c r="EI18" i="112"/>
  <c r="CH18" i="112" s="1"/>
  <c r="EI21" i="112"/>
  <c r="CH21" i="112" s="1"/>
  <c r="EI22" i="112"/>
  <c r="CH22" i="112" s="1"/>
  <c r="EI15" i="112"/>
  <c r="CH15" i="112" s="1"/>
  <c r="EI11" i="112"/>
  <c r="CH11" i="112" s="1"/>
  <c r="EI14" i="112"/>
  <c r="CH14" i="112" s="1"/>
  <c r="EI20" i="112"/>
  <c r="CH20" i="112" s="1"/>
  <c r="EI16" i="112"/>
  <c r="CH16" i="112" s="1"/>
  <c r="EI8" i="112"/>
  <c r="CH8" i="112" s="1"/>
  <c r="FH24" i="113"/>
  <c r="FH18" i="113"/>
  <c r="FH22" i="112"/>
  <c r="J22" i="112"/>
  <c r="L22" i="112"/>
  <c r="L21" i="112"/>
  <c r="FH21" i="112"/>
  <c r="J21" i="112"/>
  <c r="J24" i="112"/>
  <c r="L24" i="112"/>
  <c r="FH24" i="112"/>
  <c r="J8" i="113"/>
  <c r="L8" i="113"/>
  <c r="J13" i="113"/>
  <c r="FH13" i="113"/>
  <c r="L13" i="113"/>
  <c r="F26" i="113"/>
  <c r="FH15" i="113"/>
  <c r="FH21" i="113"/>
  <c r="FH10" i="112"/>
  <c r="L10" i="112"/>
  <c r="J10" i="112"/>
  <c r="FH15" i="112"/>
  <c r="L15" i="112"/>
  <c r="J15" i="112"/>
  <c r="L6" i="112"/>
  <c r="FH6" i="112"/>
  <c r="J6" i="112"/>
  <c r="I28" i="112"/>
  <c r="I27" i="112"/>
  <c r="I32" i="112"/>
  <c r="E28" i="112"/>
  <c r="E29" i="112"/>
  <c r="I26" i="112"/>
  <c r="E30" i="112"/>
  <c r="I30" i="112"/>
  <c r="I29" i="112"/>
  <c r="J16" i="113"/>
  <c r="L16" i="113"/>
  <c r="J17" i="113"/>
  <c r="FH17" i="113"/>
  <c r="J19" i="113"/>
  <c r="FH19" i="113"/>
  <c r="FH23" i="113"/>
  <c r="L17" i="113"/>
  <c r="J23" i="112"/>
  <c r="FH23" i="112"/>
  <c r="L23" i="112"/>
  <c r="L16" i="112"/>
  <c r="J16" i="112"/>
  <c r="FH16" i="112"/>
  <c r="J12" i="113"/>
  <c r="FH12" i="113"/>
  <c r="L12" i="113"/>
  <c r="J14" i="113"/>
  <c r="L14" i="113"/>
  <c r="J7" i="113"/>
  <c r="FH7" i="113"/>
  <c r="L19" i="113"/>
  <c r="J17" i="112"/>
  <c r="L17" i="112"/>
  <c r="FH17" i="112"/>
  <c r="J20" i="112"/>
  <c r="FH20" i="112"/>
  <c r="G26" i="113"/>
  <c r="J24" i="113"/>
  <c r="L24" i="113"/>
  <c r="J22" i="113"/>
  <c r="L22" i="113"/>
  <c r="J11" i="113"/>
  <c r="FH11" i="113"/>
  <c r="H6" i="112"/>
  <c r="G26" i="112"/>
  <c r="CM1" i="112"/>
  <c r="CN2" i="112"/>
  <c r="DJ20" i="113"/>
  <c r="DJ6" i="113"/>
  <c r="DJ9" i="113"/>
  <c r="DJ19" i="113"/>
  <c r="DJ13" i="113"/>
  <c r="DJ12" i="113"/>
  <c r="DJ18" i="113"/>
  <c r="DJ7" i="113"/>
  <c r="DJ16" i="113"/>
  <c r="DJ2" i="113"/>
  <c r="DK2" i="113" s="1"/>
  <c r="DJ8" i="113"/>
  <c r="DJ24" i="113"/>
  <c r="DJ15" i="113"/>
  <c r="DJ11" i="113"/>
  <c r="DJ14" i="113"/>
  <c r="DJ23" i="113"/>
  <c r="DJ17" i="113"/>
  <c r="DJ10" i="113"/>
  <c r="DJ22" i="113"/>
  <c r="DJ21" i="113"/>
  <c r="FH8" i="113"/>
  <c r="FH16" i="113"/>
  <c r="J19" i="112"/>
  <c r="L19" i="112"/>
  <c r="FH19" i="112"/>
  <c r="L12" i="112"/>
  <c r="J12" i="112"/>
  <c r="FH12" i="112"/>
  <c r="K27" i="112"/>
  <c r="K26" i="112"/>
  <c r="E28" i="113"/>
  <c r="I27" i="113"/>
  <c r="I32" i="113"/>
  <c r="I26" i="113"/>
  <c r="I29" i="113"/>
  <c r="I30" i="113"/>
  <c r="E29" i="113"/>
  <c r="J6" i="113"/>
  <c r="E30" i="113"/>
  <c r="I28" i="113"/>
  <c r="FH6" i="113"/>
  <c r="J10" i="113"/>
  <c r="FH10" i="113"/>
  <c r="L10" i="113"/>
  <c r="J20" i="113"/>
  <c r="L20" i="113"/>
  <c r="FH20" i="113"/>
  <c r="CL22" i="112"/>
  <c r="CL11" i="112"/>
  <c r="CL12" i="112"/>
  <c r="CL18" i="112"/>
  <c r="CL8" i="112"/>
  <c r="CL23" i="112"/>
  <c r="EJ1" i="112"/>
  <c r="CL20" i="112"/>
  <c r="CL14" i="112"/>
  <c r="CL16" i="112"/>
  <c r="CL9" i="112"/>
  <c r="CL13" i="112"/>
  <c r="CL17" i="112"/>
  <c r="CL19" i="112"/>
  <c r="CL21" i="112"/>
  <c r="CL15" i="112"/>
  <c r="CL7" i="112"/>
  <c r="CL24" i="112"/>
  <c r="CL6" i="112"/>
  <c r="CL10" i="112"/>
  <c r="DJ16" i="112"/>
  <c r="DJ12" i="112"/>
  <c r="DJ22" i="112"/>
  <c r="DJ15" i="112"/>
  <c r="DJ19" i="112"/>
  <c r="DJ13" i="112"/>
  <c r="DJ6" i="112"/>
  <c r="DJ21" i="112"/>
  <c r="DJ14" i="112"/>
  <c r="DJ9" i="112"/>
  <c r="DJ23" i="112"/>
  <c r="DJ20" i="112"/>
  <c r="DJ11" i="112"/>
  <c r="DJ10" i="112"/>
  <c r="DJ24" i="112"/>
  <c r="DJ8" i="112"/>
  <c r="DJ18" i="112"/>
  <c r="DJ7" i="112"/>
  <c r="DJ17" i="112"/>
  <c r="DJ2" i="112"/>
  <c r="DK2" i="112" s="1"/>
  <c r="FH22" i="113"/>
  <c r="L6" i="113"/>
  <c r="K27" i="113"/>
  <c r="K26" i="113"/>
  <c r="FH9" i="113"/>
  <c r="FH14" i="112"/>
  <c r="J14" i="112"/>
  <c r="L14" i="112"/>
  <c r="L7" i="112"/>
  <c r="FH7" i="112"/>
  <c r="J7" i="112"/>
  <c r="H11" i="92"/>
  <c r="E26" i="109"/>
  <c r="F26" i="109" s="1"/>
  <c r="H6" i="109"/>
  <c r="F6" i="109"/>
  <c r="H15" i="109"/>
  <c r="F15" i="109"/>
  <c r="DI23" i="108"/>
  <c r="DI11" i="108"/>
  <c r="DI22" i="108"/>
  <c r="DI10" i="108"/>
  <c r="DI21" i="108"/>
  <c r="DI9" i="108"/>
  <c r="DI20" i="108"/>
  <c r="DI8" i="108"/>
  <c r="DI19" i="108"/>
  <c r="DI7" i="108"/>
  <c r="DI17" i="108"/>
  <c r="DI2" i="108"/>
  <c r="DJ2" i="108" s="1"/>
  <c r="DI18" i="108"/>
  <c r="DI6" i="108"/>
  <c r="DI15" i="108"/>
  <c r="DI14" i="108"/>
  <c r="DI13" i="108"/>
  <c r="DI16" i="108"/>
  <c r="DI24" i="108"/>
  <c r="DI12" i="108"/>
  <c r="L19" i="108"/>
  <c r="FG19" i="108"/>
  <c r="J19" i="108"/>
  <c r="H8" i="108"/>
  <c r="F8" i="108"/>
  <c r="FH8" i="109"/>
  <c r="L8" i="109"/>
  <c r="J8" i="109"/>
  <c r="EI21" i="109"/>
  <c r="CH21" i="109" s="1"/>
  <c r="EI9" i="109"/>
  <c r="CH9" i="109" s="1"/>
  <c r="EI20" i="109"/>
  <c r="CH20" i="109" s="1"/>
  <c r="EI8" i="109"/>
  <c r="CH8" i="109" s="1"/>
  <c r="EI19" i="109"/>
  <c r="CH19" i="109" s="1"/>
  <c r="EI7" i="109"/>
  <c r="CH7" i="109" s="1"/>
  <c r="EI18" i="109"/>
  <c r="CH18" i="109" s="1"/>
  <c r="EI6" i="109"/>
  <c r="CH6" i="109" s="1"/>
  <c r="EI17" i="109"/>
  <c r="CH17" i="109" s="1"/>
  <c r="EI16" i="109"/>
  <c r="CH16" i="109" s="1"/>
  <c r="EI15" i="109"/>
  <c r="CH15" i="109" s="1"/>
  <c r="EI24" i="109"/>
  <c r="CH24" i="109" s="1"/>
  <c r="EI12" i="109"/>
  <c r="CH12" i="109" s="1"/>
  <c r="EI22" i="109"/>
  <c r="CH22" i="109" s="1"/>
  <c r="EI14" i="109"/>
  <c r="CH14" i="109" s="1"/>
  <c r="EI13" i="109"/>
  <c r="CH13" i="109" s="1"/>
  <c r="EI11" i="109"/>
  <c r="CH11" i="109" s="1"/>
  <c r="EI23" i="109"/>
  <c r="CH23" i="109" s="1"/>
  <c r="EI2" i="109"/>
  <c r="EJ2" i="109" s="1"/>
  <c r="EK2" i="109" s="1"/>
  <c r="EL2" i="109" s="1"/>
  <c r="EM2" i="109" s="1"/>
  <c r="EN2" i="109" s="1"/>
  <c r="EO2" i="109" s="1"/>
  <c r="EP2" i="109" s="1"/>
  <c r="EQ2" i="109" s="1"/>
  <c r="ER2" i="109" s="1"/>
  <c r="ES2" i="109" s="1"/>
  <c r="ET2" i="109" s="1"/>
  <c r="EU2" i="109" s="1"/>
  <c r="EV2" i="109" s="1"/>
  <c r="EW2" i="109" s="1"/>
  <c r="EX2" i="109" s="1"/>
  <c r="EY2" i="109" s="1"/>
  <c r="EZ2" i="109" s="1"/>
  <c r="FA2" i="109" s="1"/>
  <c r="FB2" i="109" s="1"/>
  <c r="FC2" i="109" s="1"/>
  <c r="FD2" i="109" s="1"/>
  <c r="FE2" i="109" s="1"/>
  <c r="FF2" i="109" s="1"/>
  <c r="H18" i="109"/>
  <c r="F18" i="109"/>
  <c r="H16" i="109"/>
  <c r="F16" i="109"/>
  <c r="CL15" i="109"/>
  <c r="CL14" i="109"/>
  <c r="CL13" i="109"/>
  <c r="CL24" i="109"/>
  <c r="CL12" i="109"/>
  <c r="CL23" i="109"/>
  <c r="CL11" i="109"/>
  <c r="CL22" i="109"/>
  <c r="CL10" i="109"/>
  <c r="CL21" i="109"/>
  <c r="CL9" i="109"/>
  <c r="CL18" i="109"/>
  <c r="CL6" i="109"/>
  <c r="CL20" i="109"/>
  <c r="CL16" i="109"/>
  <c r="CL19" i="109"/>
  <c r="CL8" i="109"/>
  <c r="CL7" i="109"/>
  <c r="CL17" i="109"/>
  <c r="EJ1" i="109"/>
  <c r="L9" i="108"/>
  <c r="J9" i="108"/>
  <c r="FG9" i="108"/>
  <c r="H20" i="108"/>
  <c r="F20" i="108"/>
  <c r="H17" i="108"/>
  <c r="F17" i="108"/>
  <c r="FH20" i="109"/>
  <c r="L20" i="109"/>
  <c r="J20" i="109"/>
  <c r="K27" i="108"/>
  <c r="K26" i="108"/>
  <c r="H7" i="109"/>
  <c r="F7" i="109"/>
  <c r="EH19" i="108"/>
  <c r="CG19" i="108" s="1"/>
  <c r="EH7" i="108"/>
  <c r="CG7" i="108" s="1"/>
  <c r="EH18" i="108"/>
  <c r="CG18" i="108" s="1"/>
  <c r="EH6" i="108"/>
  <c r="CG6" i="108" s="1"/>
  <c r="EH17" i="108"/>
  <c r="CG17" i="108" s="1"/>
  <c r="EH2" i="108"/>
  <c r="EI2" i="108" s="1"/>
  <c r="EJ2" i="108" s="1"/>
  <c r="EK2" i="108" s="1"/>
  <c r="EL2" i="108" s="1"/>
  <c r="EM2" i="108" s="1"/>
  <c r="EN2" i="108" s="1"/>
  <c r="EO2" i="108" s="1"/>
  <c r="EP2" i="108" s="1"/>
  <c r="EQ2" i="108" s="1"/>
  <c r="ER2" i="108" s="1"/>
  <c r="ES2" i="108" s="1"/>
  <c r="ET2" i="108" s="1"/>
  <c r="EU2" i="108" s="1"/>
  <c r="EV2" i="108" s="1"/>
  <c r="EW2" i="108" s="1"/>
  <c r="EX2" i="108" s="1"/>
  <c r="EY2" i="108" s="1"/>
  <c r="EZ2" i="108" s="1"/>
  <c r="FA2" i="108" s="1"/>
  <c r="FB2" i="108" s="1"/>
  <c r="FC2" i="108" s="1"/>
  <c r="FD2" i="108" s="1"/>
  <c r="FE2" i="108" s="1"/>
  <c r="EH16" i="108"/>
  <c r="CG16" i="108" s="1"/>
  <c r="EH15" i="108"/>
  <c r="CG15" i="108" s="1"/>
  <c r="EH14" i="108"/>
  <c r="CG14" i="108" s="1"/>
  <c r="EH13" i="108"/>
  <c r="CG13" i="108" s="1"/>
  <c r="EH23" i="108"/>
  <c r="CG23" i="108" s="1"/>
  <c r="EH11" i="108"/>
  <c r="CG11" i="108" s="1"/>
  <c r="EH22" i="108"/>
  <c r="CG22" i="108" s="1"/>
  <c r="EH21" i="108"/>
  <c r="CG21" i="108" s="1"/>
  <c r="EH9" i="108"/>
  <c r="CG9" i="108" s="1"/>
  <c r="EH12" i="108"/>
  <c r="CG12" i="108" s="1"/>
  <c r="EH8" i="108"/>
  <c r="CG8" i="108" s="1"/>
  <c r="EH24" i="108"/>
  <c r="CG24" i="108" s="1"/>
  <c r="EH20" i="108"/>
  <c r="CG20" i="108" s="1"/>
  <c r="CM1" i="109"/>
  <c r="CN2" i="109"/>
  <c r="FG21" i="108"/>
  <c r="L21" i="108"/>
  <c r="J21" i="108"/>
  <c r="H9" i="108"/>
  <c r="F9" i="108"/>
  <c r="FH16" i="109"/>
  <c r="L16" i="109"/>
  <c r="J16" i="109"/>
  <c r="FH9" i="109"/>
  <c r="L9" i="109"/>
  <c r="J9" i="109"/>
  <c r="P6" i="109"/>
  <c r="H19" i="109"/>
  <c r="F19" i="109"/>
  <c r="FG6" i="108"/>
  <c r="I29" i="108"/>
  <c r="L6" i="108"/>
  <c r="J6" i="108"/>
  <c r="I27" i="108"/>
  <c r="I32" i="108"/>
  <c r="I30" i="108"/>
  <c r="E29" i="108"/>
  <c r="E30" i="108"/>
  <c r="I26" i="108"/>
  <c r="I28" i="108"/>
  <c r="E28" i="108"/>
  <c r="FG10" i="108"/>
  <c r="L10" i="108"/>
  <c r="J10" i="108"/>
  <c r="H21" i="108"/>
  <c r="F21" i="108"/>
  <c r="FH17" i="109"/>
  <c r="L17" i="109"/>
  <c r="J17" i="109"/>
  <c r="FH21" i="109"/>
  <c r="L21" i="109"/>
  <c r="J21" i="109"/>
  <c r="CK13" i="108"/>
  <c r="CK24" i="108"/>
  <c r="CK12" i="108"/>
  <c r="CK7" i="108"/>
  <c r="CK23" i="108"/>
  <c r="CK11" i="108"/>
  <c r="CK22" i="108"/>
  <c r="CK10" i="108"/>
  <c r="CK21" i="108"/>
  <c r="CK9" i="108"/>
  <c r="CK19" i="108"/>
  <c r="CK20" i="108"/>
  <c r="CK8" i="108"/>
  <c r="CK17" i="108"/>
  <c r="EI1" i="108"/>
  <c r="CK16" i="108"/>
  <c r="CK15" i="108"/>
  <c r="CK18" i="108"/>
  <c r="CK14" i="108"/>
  <c r="CK6" i="108"/>
  <c r="H10" i="109"/>
  <c r="F10" i="109"/>
  <c r="FG14" i="108"/>
  <c r="L14" i="108"/>
  <c r="J14" i="108"/>
  <c r="FG22" i="108"/>
  <c r="L22" i="108"/>
  <c r="J22" i="108"/>
  <c r="F12" i="108"/>
  <c r="H12" i="108"/>
  <c r="FH13" i="109"/>
  <c r="L13" i="109"/>
  <c r="J13" i="109"/>
  <c r="FH10" i="109"/>
  <c r="L10" i="109"/>
  <c r="J10" i="109"/>
  <c r="G26" i="109"/>
  <c r="CM2" i="108"/>
  <c r="CL1" i="108"/>
  <c r="H17" i="109"/>
  <c r="F17" i="109"/>
  <c r="H11" i="109"/>
  <c r="F11" i="109"/>
  <c r="L15" i="108"/>
  <c r="FG15" i="108"/>
  <c r="J15" i="108"/>
  <c r="L11" i="108"/>
  <c r="FG11" i="108"/>
  <c r="J11" i="108"/>
  <c r="H10" i="108"/>
  <c r="F10" i="108"/>
  <c r="H11" i="108"/>
  <c r="F11" i="108"/>
  <c r="FH14" i="109"/>
  <c r="L14" i="109"/>
  <c r="J14" i="109"/>
  <c r="FH11" i="109"/>
  <c r="L11" i="109"/>
  <c r="J11" i="109"/>
  <c r="FH22" i="109"/>
  <c r="L22" i="109"/>
  <c r="J22" i="109"/>
  <c r="H23" i="109"/>
  <c r="F23" i="109"/>
  <c r="FG16" i="108"/>
  <c r="L16" i="108"/>
  <c r="J16" i="108"/>
  <c r="FG23" i="108"/>
  <c r="L23" i="108"/>
  <c r="J23" i="108"/>
  <c r="F18" i="108"/>
  <c r="H18" i="108"/>
  <c r="H13" i="108"/>
  <c r="F13" i="108"/>
  <c r="FH15" i="109"/>
  <c r="L15" i="109"/>
  <c r="J15" i="109"/>
  <c r="FH23" i="109"/>
  <c r="L23" i="109"/>
  <c r="J23" i="109"/>
  <c r="FG18" i="108"/>
  <c r="L18" i="108"/>
  <c r="J18" i="108"/>
  <c r="F8" i="109"/>
  <c r="H8" i="109"/>
  <c r="H12" i="109"/>
  <c r="F12" i="109"/>
  <c r="L12" i="108"/>
  <c r="FG12" i="108"/>
  <c r="J12" i="108"/>
  <c r="F6" i="108"/>
  <c r="H6" i="108"/>
  <c r="E26" i="108"/>
  <c r="F26" i="108" s="1"/>
  <c r="H14" i="108"/>
  <c r="F14" i="108"/>
  <c r="I32" i="109"/>
  <c r="I30" i="109"/>
  <c r="E30" i="109"/>
  <c r="I29" i="109"/>
  <c r="E29" i="109"/>
  <c r="I28" i="109"/>
  <c r="E28" i="109"/>
  <c r="I27" i="109"/>
  <c r="I26" i="109"/>
  <c r="FH6" i="109"/>
  <c r="L6" i="109"/>
  <c r="J6" i="109"/>
  <c r="FH12" i="109"/>
  <c r="L12" i="109"/>
  <c r="J12" i="109"/>
  <c r="L7" i="108"/>
  <c r="FG7" i="108"/>
  <c r="J7" i="108"/>
  <c r="H9" i="109"/>
  <c r="F9" i="109"/>
  <c r="H24" i="109"/>
  <c r="F24" i="109"/>
  <c r="L17" i="108"/>
  <c r="J17" i="108"/>
  <c r="FG17" i="108"/>
  <c r="FG24" i="108"/>
  <c r="L24" i="108"/>
  <c r="J24" i="108"/>
  <c r="F22" i="108"/>
  <c r="H22" i="108"/>
  <c r="H15" i="108"/>
  <c r="F15" i="108"/>
  <c r="FH18" i="109"/>
  <c r="L18" i="109"/>
  <c r="J18" i="109"/>
  <c r="FH24" i="109"/>
  <c r="L24" i="109"/>
  <c r="J24" i="109"/>
  <c r="F24" i="108"/>
  <c r="H24" i="108"/>
  <c r="H21" i="109"/>
  <c r="F21" i="109"/>
  <c r="H13" i="109"/>
  <c r="F13" i="109"/>
  <c r="FG8" i="108"/>
  <c r="L8" i="108"/>
  <c r="J8" i="108"/>
  <c r="J13" i="108"/>
  <c r="FG13" i="108"/>
  <c r="L13" i="108"/>
  <c r="G26" i="108"/>
  <c r="H7" i="108"/>
  <c r="F7" i="108"/>
  <c r="H23" i="108"/>
  <c r="F23" i="108"/>
  <c r="FH7" i="109"/>
  <c r="L7" i="109"/>
  <c r="J7" i="109"/>
  <c r="H22" i="109"/>
  <c r="F22" i="109"/>
  <c r="F20" i="109"/>
  <c r="H20" i="109"/>
  <c r="F14" i="109"/>
  <c r="H14" i="109"/>
  <c r="FG20" i="108"/>
  <c r="L20" i="108"/>
  <c r="J20" i="108"/>
  <c r="H19" i="108"/>
  <c r="F19" i="108"/>
  <c r="F16" i="108"/>
  <c r="H16" i="108"/>
  <c r="FH19" i="109"/>
  <c r="L19" i="109"/>
  <c r="J19" i="109"/>
  <c r="DJ13" i="109"/>
  <c r="DJ24" i="109"/>
  <c r="DJ12" i="109"/>
  <c r="DJ23" i="109"/>
  <c r="DJ11" i="109"/>
  <c r="DJ10" i="109"/>
  <c r="DJ21" i="109"/>
  <c r="DJ9" i="109"/>
  <c r="DJ22" i="109"/>
  <c r="DJ20" i="109"/>
  <c r="DJ8" i="109"/>
  <c r="DJ19" i="109"/>
  <c r="DJ7" i="109"/>
  <c r="DJ16" i="109"/>
  <c r="DJ6" i="109"/>
  <c r="DJ2" i="109"/>
  <c r="DK2" i="109" s="1"/>
  <c r="DJ18" i="109"/>
  <c r="DJ17" i="109"/>
  <c r="DJ15" i="109"/>
  <c r="DJ14" i="109"/>
  <c r="P6" i="108"/>
  <c r="K27" i="109"/>
  <c r="K26" i="109"/>
  <c r="CK19" i="106"/>
  <c r="CK11" i="106"/>
  <c r="CK18" i="106"/>
  <c r="CK10" i="106"/>
  <c r="CK17" i="106"/>
  <c r="CK9" i="106"/>
  <c r="CK24" i="106"/>
  <c r="CK16" i="106"/>
  <c r="CK8" i="106"/>
  <c r="CK12" i="106"/>
  <c r="CK23" i="106"/>
  <c r="CK15" i="106"/>
  <c r="CK7" i="106"/>
  <c r="CK22" i="106"/>
  <c r="CK14" i="106"/>
  <c r="CK6" i="106"/>
  <c r="CK20" i="106"/>
  <c r="CK21" i="106"/>
  <c r="CK13" i="106"/>
  <c r="EI1" i="106"/>
  <c r="FG23" i="106"/>
  <c r="L23" i="106"/>
  <c r="J23" i="106"/>
  <c r="FG18" i="106"/>
  <c r="L18" i="106"/>
  <c r="J18" i="106"/>
  <c r="H9" i="106"/>
  <c r="F9" i="106"/>
  <c r="H14" i="106"/>
  <c r="F14" i="106"/>
  <c r="K26" i="106"/>
  <c r="K27" i="106"/>
  <c r="CL1" i="106"/>
  <c r="CM2" i="106"/>
  <c r="L8" i="106"/>
  <c r="J8" i="106"/>
  <c r="FG8" i="106"/>
  <c r="FG11" i="106"/>
  <c r="L11" i="106"/>
  <c r="J11" i="106"/>
  <c r="F12" i="106"/>
  <c r="H12" i="106"/>
  <c r="H22" i="106"/>
  <c r="F22" i="106"/>
  <c r="J21" i="106"/>
  <c r="FG21" i="106"/>
  <c r="L21" i="106"/>
  <c r="L16" i="106"/>
  <c r="J16" i="106"/>
  <c r="FG16" i="106"/>
  <c r="FG19" i="106"/>
  <c r="L19" i="106"/>
  <c r="J19" i="106"/>
  <c r="F20" i="106"/>
  <c r="H20" i="106"/>
  <c r="H7" i="106"/>
  <c r="F7" i="106"/>
  <c r="G26" i="106"/>
  <c r="I32" i="106"/>
  <c r="I26" i="106"/>
  <c r="I30" i="106"/>
  <c r="FG6" i="106"/>
  <c r="I27" i="106"/>
  <c r="E30" i="106"/>
  <c r="L6" i="106"/>
  <c r="I29" i="106"/>
  <c r="J6" i="106"/>
  <c r="E29" i="106"/>
  <c r="I28" i="106"/>
  <c r="E28" i="106"/>
  <c r="L24" i="106"/>
  <c r="J24" i="106"/>
  <c r="FG24" i="106"/>
  <c r="H17" i="106"/>
  <c r="F17" i="106"/>
  <c r="H15" i="106"/>
  <c r="F15" i="106"/>
  <c r="FG14" i="106"/>
  <c r="L14" i="106"/>
  <c r="J14" i="106"/>
  <c r="FG9" i="106"/>
  <c r="L9" i="106"/>
  <c r="J9" i="106"/>
  <c r="FG12" i="106"/>
  <c r="L12" i="106"/>
  <c r="J12" i="106"/>
  <c r="DI17" i="106"/>
  <c r="DI9" i="106"/>
  <c r="DI24" i="106"/>
  <c r="DI16" i="106"/>
  <c r="DI8" i="106"/>
  <c r="DI18" i="106"/>
  <c r="DI23" i="106"/>
  <c r="DI15" i="106"/>
  <c r="DI7" i="106"/>
  <c r="DI22" i="106"/>
  <c r="DI14" i="106"/>
  <c r="DI6" i="106"/>
  <c r="DI21" i="106"/>
  <c r="DI13" i="106"/>
  <c r="DI2" i="106"/>
  <c r="DJ2" i="106" s="1"/>
  <c r="DI10" i="106"/>
  <c r="DI20" i="106"/>
  <c r="DI12" i="106"/>
  <c r="DI19" i="106"/>
  <c r="DI11" i="106"/>
  <c r="H10" i="106"/>
  <c r="F10" i="106"/>
  <c r="H23" i="106"/>
  <c r="F23" i="106"/>
  <c r="FG22" i="106"/>
  <c r="L22" i="106"/>
  <c r="J22" i="106"/>
  <c r="FG17" i="106"/>
  <c r="L17" i="106"/>
  <c r="J17" i="106"/>
  <c r="FG20" i="106"/>
  <c r="L20" i="106"/>
  <c r="J20" i="106"/>
  <c r="H18" i="106"/>
  <c r="F18" i="106"/>
  <c r="H13" i="106"/>
  <c r="F13" i="106"/>
  <c r="F8" i="106"/>
  <c r="H8" i="106"/>
  <c r="FG7" i="106"/>
  <c r="L7" i="106"/>
  <c r="J7" i="106"/>
  <c r="J13" i="106"/>
  <c r="FG13" i="106"/>
  <c r="L13" i="106"/>
  <c r="H11" i="106"/>
  <c r="F11" i="106"/>
  <c r="H21" i="106"/>
  <c r="F21" i="106"/>
  <c r="F16" i="106"/>
  <c r="H16" i="106"/>
  <c r="FG15" i="106"/>
  <c r="L15" i="106"/>
  <c r="J15" i="106"/>
  <c r="J10" i="106"/>
  <c r="FG10" i="106"/>
  <c r="L10" i="106"/>
  <c r="EH21" i="106"/>
  <c r="CG21" i="106" s="1"/>
  <c r="EH13" i="106"/>
  <c r="CG13" i="106" s="1"/>
  <c r="EH2" i="106"/>
  <c r="EI2" i="106" s="1"/>
  <c r="EJ2" i="106" s="1"/>
  <c r="EK2" i="106" s="1"/>
  <c r="EL2" i="106" s="1"/>
  <c r="EM2" i="106" s="1"/>
  <c r="EN2" i="106" s="1"/>
  <c r="EO2" i="106" s="1"/>
  <c r="EP2" i="106" s="1"/>
  <c r="EQ2" i="106" s="1"/>
  <c r="ER2" i="106" s="1"/>
  <c r="ES2" i="106" s="1"/>
  <c r="ET2" i="106" s="1"/>
  <c r="EU2" i="106" s="1"/>
  <c r="EV2" i="106" s="1"/>
  <c r="EW2" i="106" s="1"/>
  <c r="EX2" i="106" s="1"/>
  <c r="EY2" i="106" s="1"/>
  <c r="EZ2" i="106" s="1"/>
  <c r="FA2" i="106" s="1"/>
  <c r="FB2" i="106" s="1"/>
  <c r="FC2" i="106" s="1"/>
  <c r="FD2" i="106" s="1"/>
  <c r="FE2" i="106" s="1"/>
  <c r="EH20" i="106"/>
  <c r="CG20" i="106" s="1"/>
  <c r="EH12" i="106"/>
  <c r="CG12" i="106" s="1"/>
  <c r="EH19" i="106"/>
  <c r="CG19" i="106" s="1"/>
  <c r="EH11" i="106"/>
  <c r="CG11" i="106" s="1"/>
  <c r="EH18" i="106"/>
  <c r="CG18" i="106" s="1"/>
  <c r="EH22" i="106"/>
  <c r="CG22" i="106" s="1"/>
  <c r="EH17" i="106"/>
  <c r="CG17" i="106" s="1"/>
  <c r="EH9" i="106"/>
  <c r="CG9" i="106" s="1"/>
  <c r="EH24" i="106"/>
  <c r="CG24" i="106" s="1"/>
  <c r="EH16" i="106"/>
  <c r="CG16" i="106" s="1"/>
  <c r="EH8" i="106"/>
  <c r="CG8" i="106" s="1"/>
  <c r="EH6" i="106"/>
  <c r="CG6" i="106" s="1"/>
  <c r="EH23" i="106"/>
  <c r="CG23" i="106" s="1"/>
  <c r="EH15" i="106"/>
  <c r="CG15" i="106" s="1"/>
  <c r="EH7" i="106"/>
  <c r="CG7" i="106" s="1"/>
  <c r="EH14" i="106"/>
  <c r="CG14" i="106" s="1"/>
  <c r="H19" i="106"/>
  <c r="F19" i="106"/>
  <c r="E26" i="106"/>
  <c r="F26" i="106" s="1"/>
  <c r="H6" i="106"/>
  <c r="F6" i="106"/>
  <c r="F24" i="106"/>
  <c r="H24" i="106"/>
  <c r="G26" i="105"/>
  <c r="FG9" i="105"/>
  <c r="L9" i="105"/>
  <c r="J9" i="105"/>
  <c r="H22" i="105"/>
  <c r="F22" i="105"/>
  <c r="P6" i="105"/>
  <c r="I32" i="105"/>
  <c r="FG6" i="105"/>
  <c r="I30" i="105"/>
  <c r="I29" i="105"/>
  <c r="I28" i="105"/>
  <c r="E28" i="105"/>
  <c r="I26" i="105"/>
  <c r="L6" i="105"/>
  <c r="J6" i="105"/>
  <c r="E30" i="105"/>
  <c r="I27" i="105"/>
  <c r="E29" i="105"/>
  <c r="FG18" i="105"/>
  <c r="L18" i="105"/>
  <c r="J18" i="105"/>
  <c r="H23" i="105"/>
  <c r="F23" i="105"/>
  <c r="K27" i="105"/>
  <c r="K26" i="105"/>
  <c r="FG10" i="105"/>
  <c r="L10" i="105"/>
  <c r="J10" i="105"/>
  <c r="H17" i="105"/>
  <c r="F17" i="105"/>
  <c r="H13" i="105"/>
  <c r="F13" i="105"/>
  <c r="H10" i="105"/>
  <c r="F10" i="105"/>
  <c r="FG11" i="105"/>
  <c r="L11" i="105"/>
  <c r="J11" i="105"/>
  <c r="H11" i="105"/>
  <c r="F11" i="105"/>
  <c r="FG21" i="105"/>
  <c r="L21" i="105"/>
  <c r="J21" i="105"/>
  <c r="DI21" i="105"/>
  <c r="DI9" i="105"/>
  <c r="DI17" i="105"/>
  <c r="DI24" i="105"/>
  <c r="DI11" i="105"/>
  <c r="DI20" i="105"/>
  <c r="DI8" i="105"/>
  <c r="DI15" i="105"/>
  <c r="DI22" i="105"/>
  <c r="DI19" i="105"/>
  <c r="DI7" i="105"/>
  <c r="DI2" i="105"/>
  <c r="DJ2" i="105" s="1"/>
  <c r="DI16" i="105"/>
  <c r="DI14" i="105"/>
  <c r="DI12" i="105"/>
  <c r="DI23" i="105"/>
  <c r="DI10" i="105"/>
  <c r="DI18" i="105"/>
  <c r="DI6" i="105"/>
  <c r="DI13" i="105"/>
  <c r="J12" i="105"/>
  <c r="L12" i="105"/>
  <c r="FG12" i="105"/>
  <c r="FG23" i="105"/>
  <c r="L23" i="105"/>
  <c r="J23" i="105"/>
  <c r="H9" i="105"/>
  <c r="F9" i="105"/>
  <c r="H15" i="105"/>
  <c r="F15" i="105"/>
  <c r="FG15" i="105"/>
  <c r="L15" i="105"/>
  <c r="J15" i="105"/>
  <c r="H7" i="105"/>
  <c r="F7" i="105"/>
  <c r="CK23" i="105"/>
  <c r="CK11" i="105"/>
  <c r="CK19" i="105"/>
  <c r="CK7" i="105"/>
  <c r="CK12" i="105"/>
  <c r="CK22" i="105"/>
  <c r="CK10" i="105"/>
  <c r="CK18" i="105"/>
  <c r="CK17" i="105"/>
  <c r="CK21" i="105"/>
  <c r="CK9" i="105"/>
  <c r="CK6" i="105"/>
  <c r="EI1" i="105"/>
  <c r="CK16" i="105"/>
  <c r="CK14" i="105"/>
  <c r="CK13" i="105"/>
  <c r="CK24" i="105"/>
  <c r="CK20" i="105"/>
  <c r="CK8" i="105"/>
  <c r="CK15" i="105"/>
  <c r="J24" i="105"/>
  <c r="FG24" i="105"/>
  <c r="L24" i="105"/>
  <c r="FG14" i="105"/>
  <c r="J14" i="105"/>
  <c r="L14" i="105"/>
  <c r="H21" i="105"/>
  <c r="F21" i="105"/>
  <c r="E26" i="105"/>
  <c r="F26" i="105" s="1"/>
  <c r="H6" i="105"/>
  <c r="F6" i="105"/>
  <c r="L12" i="92"/>
  <c r="FG13" i="105"/>
  <c r="L13" i="105"/>
  <c r="J13" i="105"/>
  <c r="FG7" i="105"/>
  <c r="L7" i="105"/>
  <c r="J7" i="105"/>
  <c r="F14" i="105"/>
  <c r="H14" i="105"/>
  <c r="F20" i="105"/>
  <c r="H20" i="105"/>
  <c r="EH17" i="105"/>
  <c r="CG17" i="105" s="1"/>
  <c r="EH2" i="105"/>
  <c r="EI2" i="105" s="1"/>
  <c r="EJ2" i="105" s="1"/>
  <c r="EK2" i="105" s="1"/>
  <c r="EL2" i="105" s="1"/>
  <c r="EM2" i="105" s="1"/>
  <c r="EN2" i="105" s="1"/>
  <c r="EO2" i="105" s="1"/>
  <c r="EP2" i="105" s="1"/>
  <c r="EQ2" i="105" s="1"/>
  <c r="ER2" i="105" s="1"/>
  <c r="ES2" i="105" s="1"/>
  <c r="ET2" i="105" s="1"/>
  <c r="EU2" i="105" s="1"/>
  <c r="EV2" i="105" s="1"/>
  <c r="EW2" i="105" s="1"/>
  <c r="EX2" i="105" s="1"/>
  <c r="EY2" i="105" s="1"/>
  <c r="EZ2" i="105" s="1"/>
  <c r="FA2" i="105" s="1"/>
  <c r="FB2" i="105" s="1"/>
  <c r="FC2" i="105" s="1"/>
  <c r="FD2" i="105" s="1"/>
  <c r="FE2" i="105" s="1"/>
  <c r="EH13" i="105"/>
  <c r="CG13" i="105" s="1"/>
  <c r="EH21" i="105"/>
  <c r="CG21" i="105" s="1"/>
  <c r="EH16" i="105"/>
  <c r="CG16" i="105" s="1"/>
  <c r="EH24" i="105"/>
  <c r="CG24" i="105" s="1"/>
  <c r="EH23" i="105"/>
  <c r="CG23" i="105" s="1"/>
  <c r="EH11" i="105"/>
  <c r="CG11" i="105" s="1"/>
  <c r="EH22" i="105"/>
  <c r="CG22" i="105" s="1"/>
  <c r="EH9" i="105"/>
  <c r="CG9" i="105" s="1"/>
  <c r="EH18" i="105"/>
  <c r="CG18" i="105" s="1"/>
  <c r="EH15" i="105"/>
  <c r="CG15" i="105" s="1"/>
  <c r="EH12" i="105"/>
  <c r="CG12" i="105" s="1"/>
  <c r="EH20" i="105"/>
  <c r="CG20" i="105" s="1"/>
  <c r="EH8" i="105"/>
  <c r="CG8" i="105" s="1"/>
  <c r="EH19" i="105"/>
  <c r="CG19" i="105" s="1"/>
  <c r="EH7" i="105"/>
  <c r="CG7" i="105" s="1"/>
  <c r="EH6" i="105"/>
  <c r="CG6" i="105" s="1"/>
  <c r="EH14" i="105"/>
  <c r="CG14" i="105" s="1"/>
  <c r="L20" i="105"/>
  <c r="J20" i="105"/>
  <c r="FG20" i="105"/>
  <c r="H16" i="105"/>
  <c r="F16" i="105"/>
  <c r="FG19" i="105"/>
  <c r="L19" i="105"/>
  <c r="J19" i="105"/>
  <c r="H18" i="105"/>
  <c r="F18" i="105"/>
  <c r="H12" i="105"/>
  <c r="F12" i="105"/>
  <c r="L8" i="105"/>
  <c r="J8" i="105"/>
  <c r="FG8" i="105"/>
  <c r="FG16" i="105"/>
  <c r="L16" i="105"/>
  <c r="J16" i="105"/>
  <c r="F8" i="105"/>
  <c r="H8" i="105"/>
  <c r="CM2" i="105"/>
  <c r="CL1" i="105"/>
  <c r="L17" i="105"/>
  <c r="J17" i="105"/>
  <c r="FG17" i="105"/>
  <c r="FG22" i="105"/>
  <c r="J22" i="105"/>
  <c r="L22" i="105"/>
  <c r="H19" i="105"/>
  <c r="F19" i="105"/>
  <c r="H24" i="105"/>
  <c r="F24" i="105"/>
  <c r="DT24" i="98"/>
  <c r="DT23" i="98"/>
  <c r="DT22" i="98"/>
  <c r="DT21" i="98"/>
  <c r="DT20" i="98"/>
  <c r="DT19" i="98"/>
  <c r="DT18" i="98"/>
  <c r="DT17" i="98"/>
  <c r="DT16" i="98"/>
  <c r="DT15" i="98"/>
  <c r="DT14" i="98"/>
  <c r="DT13" i="98"/>
  <c r="DT12" i="98"/>
  <c r="DT11" i="98"/>
  <c r="DT10" i="98"/>
  <c r="DT9" i="98"/>
  <c r="DT8" i="98"/>
  <c r="DT7" i="98"/>
  <c r="DT6" i="98"/>
  <c r="DV2" i="98"/>
  <c r="DU1" i="98"/>
  <c r="CB27" i="98"/>
  <c r="CW24" i="98"/>
  <c r="CW23" i="98"/>
  <c r="CW22" i="98"/>
  <c r="CW21" i="98"/>
  <c r="CW20" i="98"/>
  <c r="CW19" i="98"/>
  <c r="CW18" i="98"/>
  <c r="CW17" i="98"/>
  <c r="CW16" i="98"/>
  <c r="CW15" i="98"/>
  <c r="CW14" i="98"/>
  <c r="CW13" i="98"/>
  <c r="CW12" i="98"/>
  <c r="CW11" i="98"/>
  <c r="CW10" i="98"/>
  <c r="CW9" i="98"/>
  <c r="CW8" i="98"/>
  <c r="CW7" i="98"/>
  <c r="CW6" i="98"/>
  <c r="EU1" i="98"/>
  <c r="CY2" i="98"/>
  <c r="CX1" i="98"/>
  <c r="ET24" i="98"/>
  <c r="ET23" i="98"/>
  <c r="ET22" i="98"/>
  <c r="ET21" i="98"/>
  <c r="ET20" i="98"/>
  <c r="ET19" i="98"/>
  <c r="ET18" i="98"/>
  <c r="ET17" i="98"/>
  <c r="ET16" i="98"/>
  <c r="ET15" i="98"/>
  <c r="ET14" i="98"/>
  <c r="ET13" i="98"/>
  <c r="ET12" i="98"/>
  <c r="ET11" i="98"/>
  <c r="ET9" i="98"/>
  <c r="ET8" i="98"/>
  <c r="ET7" i="98"/>
  <c r="ET6" i="98"/>
  <c r="CV24" i="100"/>
  <c r="CV23" i="100"/>
  <c r="CV22" i="100"/>
  <c r="CV21" i="100"/>
  <c r="CV20" i="100"/>
  <c r="CV19" i="100"/>
  <c r="CV18" i="100"/>
  <c r="CV17" i="100"/>
  <c r="CV16" i="100"/>
  <c r="CV15" i="100"/>
  <c r="CV14" i="100"/>
  <c r="CV13" i="100"/>
  <c r="CV12" i="100"/>
  <c r="CV11" i="100"/>
  <c r="CV10" i="100"/>
  <c r="CV9" i="100"/>
  <c r="CV8" i="100"/>
  <c r="CV7" i="100"/>
  <c r="CV6" i="100"/>
  <c r="ET1" i="100"/>
  <c r="CX2" i="100"/>
  <c r="CW1" i="100"/>
  <c r="ES24" i="100"/>
  <c r="CG24" i="100" s="1"/>
  <c r="Y24" i="100" s="1"/>
  <c r="Z24" i="100" s="1"/>
  <c r="ES23" i="100"/>
  <c r="CG23" i="100" s="1"/>
  <c r="Y23" i="100" s="1"/>
  <c r="Z23" i="100" s="1"/>
  <c r="ES22" i="100"/>
  <c r="CG22" i="100" s="1"/>
  <c r="Y22" i="100" s="1"/>
  <c r="Z22" i="100" s="1"/>
  <c r="ES21" i="100"/>
  <c r="CG21" i="100" s="1"/>
  <c r="Y21" i="100" s="1"/>
  <c r="Z21" i="100" s="1"/>
  <c r="ES20" i="100"/>
  <c r="CG20" i="100" s="1"/>
  <c r="Y20" i="100" s="1"/>
  <c r="Z20" i="100" s="1"/>
  <c r="ES19" i="100"/>
  <c r="CG19" i="100" s="1"/>
  <c r="Y19" i="100" s="1"/>
  <c r="Z19" i="100" s="1"/>
  <c r="ES18" i="100"/>
  <c r="CG18" i="100" s="1"/>
  <c r="Y18" i="100" s="1"/>
  <c r="Z18" i="100" s="1"/>
  <c r="ES17" i="100"/>
  <c r="CG17" i="100" s="1"/>
  <c r="Y17" i="100" s="1"/>
  <c r="Z17" i="100" s="1"/>
  <c r="ES16" i="100"/>
  <c r="CG16" i="100" s="1"/>
  <c r="Y16" i="100" s="1"/>
  <c r="Z16" i="100" s="1"/>
  <c r="ES15" i="100"/>
  <c r="CG15" i="100" s="1"/>
  <c r="Y15" i="100" s="1"/>
  <c r="Z15" i="100" s="1"/>
  <c r="ES14" i="100"/>
  <c r="CG14" i="100" s="1"/>
  <c r="Y14" i="100" s="1"/>
  <c r="Z14" i="100" s="1"/>
  <c r="ES13" i="100"/>
  <c r="CG13" i="100" s="1"/>
  <c r="Y13" i="100" s="1"/>
  <c r="Z13" i="100" s="1"/>
  <c r="ES12" i="100"/>
  <c r="CG12" i="100" s="1"/>
  <c r="Y12" i="100" s="1"/>
  <c r="Z12" i="100" s="1"/>
  <c r="ES11" i="100"/>
  <c r="CG11" i="100" s="1"/>
  <c r="Y11" i="100" s="1"/>
  <c r="Z11" i="100" s="1"/>
  <c r="ES9" i="100"/>
  <c r="CG9" i="100" s="1"/>
  <c r="Y9" i="100" s="1"/>
  <c r="Z9" i="100" s="1"/>
  <c r="ES8" i="100"/>
  <c r="CG8" i="100" s="1"/>
  <c r="Y8" i="100" s="1"/>
  <c r="Z8" i="100" s="1"/>
  <c r="ES7" i="100"/>
  <c r="CG7" i="100" s="1"/>
  <c r="Y7" i="100" s="1"/>
  <c r="Z7" i="100" s="1"/>
  <c r="ES6" i="100"/>
  <c r="CG6" i="100" s="1"/>
  <c r="Y6" i="100" s="1"/>
  <c r="Z6" i="100" s="1"/>
  <c r="DS24" i="100"/>
  <c r="CB24" i="100" s="1"/>
  <c r="DS23" i="100"/>
  <c r="CB23" i="100" s="1"/>
  <c r="DS22" i="100"/>
  <c r="CB22" i="100" s="1"/>
  <c r="DS21" i="100"/>
  <c r="CB21" i="100" s="1"/>
  <c r="DS20" i="100"/>
  <c r="CB20" i="100" s="1"/>
  <c r="DS19" i="100"/>
  <c r="CB19" i="100" s="1"/>
  <c r="DS18" i="100"/>
  <c r="CB18" i="100" s="1"/>
  <c r="DS17" i="100"/>
  <c r="CB17" i="100" s="1"/>
  <c r="DS16" i="100"/>
  <c r="CB16" i="100" s="1"/>
  <c r="DS15" i="100"/>
  <c r="CB15" i="100" s="1"/>
  <c r="DS14" i="100"/>
  <c r="CB14" i="100" s="1"/>
  <c r="DS13" i="100"/>
  <c r="CB13" i="100" s="1"/>
  <c r="DS12" i="100"/>
  <c r="CB12" i="100" s="1"/>
  <c r="DS11" i="100"/>
  <c r="CB11" i="100" s="1"/>
  <c r="DS10" i="100"/>
  <c r="CB10" i="100" s="1"/>
  <c r="DS9" i="100"/>
  <c r="CB9" i="100" s="1"/>
  <c r="DS8" i="100"/>
  <c r="CB8" i="100" s="1"/>
  <c r="DS7" i="100"/>
  <c r="CB7" i="100" s="1"/>
  <c r="DS6" i="100"/>
  <c r="CB6" i="100" s="1"/>
  <c r="DU2" i="100"/>
  <c r="DT1" i="100"/>
  <c r="DV24" i="96"/>
  <c r="DV23" i="96"/>
  <c r="DV22" i="96"/>
  <c r="DV21" i="96"/>
  <c r="DV20" i="96"/>
  <c r="DV19" i="96"/>
  <c r="DV18" i="96"/>
  <c r="DV17" i="96"/>
  <c r="DV16" i="96"/>
  <c r="DV15" i="96"/>
  <c r="DV14" i="96"/>
  <c r="DV13" i="96"/>
  <c r="DV12" i="96"/>
  <c r="DV11" i="96"/>
  <c r="DV10" i="96"/>
  <c r="DV9" i="96"/>
  <c r="DV8" i="96"/>
  <c r="DV7" i="96"/>
  <c r="DV6" i="96"/>
  <c r="DX2" i="96"/>
  <c r="DW1" i="96"/>
  <c r="CY24" i="96"/>
  <c r="CY23" i="96"/>
  <c r="CY22" i="96"/>
  <c r="CY21" i="96"/>
  <c r="CY20" i="96"/>
  <c r="CY19" i="96"/>
  <c r="CY18" i="96"/>
  <c r="CY17" i="96"/>
  <c r="CY16" i="96"/>
  <c r="CY15" i="96"/>
  <c r="CY14" i="96"/>
  <c r="CY13" i="96"/>
  <c r="CY12" i="96"/>
  <c r="CY11" i="96"/>
  <c r="CY10" i="96"/>
  <c r="CY9" i="96"/>
  <c r="CY8" i="96"/>
  <c r="CY7" i="96"/>
  <c r="CY6" i="96"/>
  <c r="EW1" i="96"/>
  <c r="DA2" i="96"/>
  <c r="CZ1" i="96"/>
  <c r="EV24" i="96"/>
  <c r="EV23" i="96"/>
  <c r="EV22" i="96"/>
  <c r="EV21" i="96"/>
  <c r="EV20" i="96"/>
  <c r="EV19" i="96"/>
  <c r="EV18" i="96"/>
  <c r="EV17" i="96"/>
  <c r="EV16" i="96"/>
  <c r="EV15" i="96"/>
  <c r="EV14" i="96"/>
  <c r="EV13" i="96"/>
  <c r="EV12" i="96"/>
  <c r="EV11" i="96"/>
  <c r="EV9" i="96"/>
  <c r="EV8" i="96"/>
  <c r="EV7" i="96"/>
  <c r="EV6" i="96"/>
  <c r="CZ24" i="95"/>
  <c r="CZ23" i="95"/>
  <c r="CZ22" i="95"/>
  <c r="CZ21" i="95"/>
  <c r="CZ20" i="95"/>
  <c r="CZ19" i="95"/>
  <c r="CZ18" i="95"/>
  <c r="CZ17" i="95"/>
  <c r="CZ16" i="95"/>
  <c r="CZ15" i="95"/>
  <c r="CZ14" i="95"/>
  <c r="CZ13" i="95"/>
  <c r="CZ12" i="95"/>
  <c r="CZ11" i="95"/>
  <c r="CZ10" i="95"/>
  <c r="CZ9" i="95"/>
  <c r="CZ8" i="95"/>
  <c r="CZ7" i="95"/>
  <c r="CZ6" i="95"/>
  <c r="EX1" i="95"/>
  <c r="DB2" i="95"/>
  <c r="DA1" i="95"/>
  <c r="EW24" i="95"/>
  <c r="EW23" i="95"/>
  <c r="EW22" i="95"/>
  <c r="EW21" i="95"/>
  <c r="EW20" i="95"/>
  <c r="EW19" i="95"/>
  <c r="EW18" i="95"/>
  <c r="EW17" i="95"/>
  <c r="EW16" i="95"/>
  <c r="EW15" i="95"/>
  <c r="EW14" i="95"/>
  <c r="EW13" i="95"/>
  <c r="EW12" i="95"/>
  <c r="EW11" i="95"/>
  <c r="EW10" i="95"/>
  <c r="EW9" i="95"/>
  <c r="EW8" i="95"/>
  <c r="EW7" i="95"/>
  <c r="EW6" i="95"/>
  <c r="DW24" i="95"/>
  <c r="DW23" i="95"/>
  <c r="DW22" i="95"/>
  <c r="DW21" i="95"/>
  <c r="DW20" i="95"/>
  <c r="DW19" i="95"/>
  <c r="DW18" i="95"/>
  <c r="DW17" i="95"/>
  <c r="DW16" i="95"/>
  <c r="DW15" i="95"/>
  <c r="DW14" i="95"/>
  <c r="DW13" i="95"/>
  <c r="DW12" i="95"/>
  <c r="DW11" i="95"/>
  <c r="DW10" i="95"/>
  <c r="DW9" i="95"/>
  <c r="DW8" i="95"/>
  <c r="DW7" i="95"/>
  <c r="DW6" i="95"/>
  <c r="DY2" i="95"/>
  <c r="DX1" i="95"/>
  <c r="CX24" i="97"/>
  <c r="CX23" i="97"/>
  <c r="CX22" i="97"/>
  <c r="CX21" i="97"/>
  <c r="CX20" i="97"/>
  <c r="CX19" i="97"/>
  <c r="CX18" i="97"/>
  <c r="CX17" i="97"/>
  <c r="CX16" i="97"/>
  <c r="CX15" i="97"/>
  <c r="CX14" i="97"/>
  <c r="CX13" i="97"/>
  <c r="CX12" i="97"/>
  <c r="CX11" i="97"/>
  <c r="CX10" i="97"/>
  <c r="CX9" i="97"/>
  <c r="CX8" i="97"/>
  <c r="CX7" i="97"/>
  <c r="CX6" i="97"/>
  <c r="EV1" i="97"/>
  <c r="CZ2" i="97"/>
  <c r="CY1" i="97"/>
  <c r="EU24" i="97"/>
  <c r="EU23" i="97"/>
  <c r="EU22" i="97"/>
  <c r="EU21" i="97"/>
  <c r="EU20" i="97"/>
  <c r="EU19" i="97"/>
  <c r="EU18" i="97"/>
  <c r="EU17" i="97"/>
  <c r="EU16" i="97"/>
  <c r="EU15" i="97"/>
  <c r="EU14" i="97"/>
  <c r="EU13" i="97"/>
  <c r="EU12" i="97"/>
  <c r="EU11" i="97"/>
  <c r="EU9" i="97"/>
  <c r="EU8" i="97"/>
  <c r="EU7" i="97"/>
  <c r="EU6" i="97"/>
  <c r="DU24" i="97"/>
  <c r="DU23" i="97"/>
  <c r="DU22" i="97"/>
  <c r="DU21" i="97"/>
  <c r="DU20" i="97"/>
  <c r="DU19" i="97"/>
  <c r="DU18" i="97"/>
  <c r="DU17" i="97"/>
  <c r="DU16" i="97"/>
  <c r="DU15" i="97"/>
  <c r="DU14" i="97"/>
  <c r="DU13" i="97"/>
  <c r="DU12" i="97"/>
  <c r="DU11" i="97"/>
  <c r="DU10" i="97"/>
  <c r="DU9" i="97"/>
  <c r="DU8" i="97"/>
  <c r="DU7" i="97"/>
  <c r="DU6" i="97"/>
  <c r="DW2" i="97"/>
  <c r="DV1" i="97"/>
  <c r="EU10" i="93"/>
  <c r="EV10" i="94"/>
  <c r="BR27" i="93"/>
  <c r="EA2" i="94"/>
  <c r="DZ1" i="94"/>
  <c r="DY22" i="94"/>
  <c r="DY23" i="94"/>
  <c r="DY21" i="94"/>
  <c r="DY18" i="94"/>
  <c r="DY16" i="94"/>
  <c r="DY13" i="94"/>
  <c r="DY6" i="94"/>
  <c r="DY24" i="94"/>
  <c r="DY20" i="94"/>
  <c r="DY19" i="94"/>
  <c r="DY17" i="94"/>
  <c r="DY15" i="94"/>
  <c r="DY12" i="94"/>
  <c r="DY8" i="94"/>
  <c r="DY14" i="94"/>
  <c r="DY11" i="94"/>
  <c r="DY10" i="94"/>
  <c r="DY7" i="94"/>
  <c r="DY9" i="94"/>
  <c r="DC1" i="94"/>
  <c r="DD2" i="94"/>
  <c r="DB24" i="94"/>
  <c r="DB23" i="94"/>
  <c r="DB19" i="94"/>
  <c r="DB21" i="94"/>
  <c r="DB20" i="94"/>
  <c r="DB16" i="94"/>
  <c r="DB10" i="94"/>
  <c r="DB9" i="94"/>
  <c r="DB8" i="94"/>
  <c r="DB22" i="94"/>
  <c r="DB15" i="94"/>
  <c r="DB14" i="94"/>
  <c r="DB12" i="94"/>
  <c r="DB6" i="94"/>
  <c r="DB13" i="94"/>
  <c r="DB7" i="94"/>
  <c r="EZ1" i="94"/>
  <c r="DB18" i="94"/>
  <c r="DB17" i="94"/>
  <c r="DB11" i="94"/>
  <c r="EY22" i="94"/>
  <c r="EY20" i="94"/>
  <c r="EY19" i="94"/>
  <c r="EY17" i="94"/>
  <c r="EY12" i="94"/>
  <c r="EY14" i="94"/>
  <c r="EY23" i="94"/>
  <c r="EY21" i="94"/>
  <c r="EY16" i="94"/>
  <c r="EY15" i="94"/>
  <c r="EY13" i="94"/>
  <c r="EY9" i="94"/>
  <c r="EY11" i="94"/>
  <c r="EY8" i="94"/>
  <c r="EY24" i="94"/>
  <c r="EY18" i="94"/>
  <c r="EY6" i="94"/>
  <c r="EY10" i="94"/>
  <c r="EY7" i="94"/>
  <c r="FG19" i="92"/>
  <c r="H9" i="92"/>
  <c r="H23" i="92"/>
  <c r="DZ21" i="93"/>
  <c r="DZ18" i="93"/>
  <c r="DZ14" i="93"/>
  <c r="DZ6" i="93"/>
  <c r="DZ9" i="93"/>
  <c r="DZ20" i="93"/>
  <c r="DZ17" i="93"/>
  <c r="DZ24" i="93"/>
  <c r="DZ15" i="93"/>
  <c r="DZ8" i="93"/>
  <c r="DZ23" i="93"/>
  <c r="DZ22" i="93"/>
  <c r="DZ12" i="93"/>
  <c r="DZ13" i="93"/>
  <c r="DZ11" i="93"/>
  <c r="DZ19" i="93"/>
  <c r="DZ7" i="93"/>
  <c r="DZ16" i="93"/>
  <c r="DZ10" i="93"/>
  <c r="DE2" i="93"/>
  <c r="DD1" i="93"/>
  <c r="H16" i="92"/>
  <c r="L24" i="92"/>
  <c r="H12" i="92"/>
  <c r="EZ24" i="93"/>
  <c r="EZ21" i="93"/>
  <c r="EZ14" i="93"/>
  <c r="EZ11" i="93"/>
  <c r="EZ6" i="93"/>
  <c r="EZ20" i="93"/>
  <c r="EZ9" i="93"/>
  <c r="EZ19" i="93"/>
  <c r="EZ17" i="93"/>
  <c r="EZ23" i="93"/>
  <c r="EZ18" i="93"/>
  <c r="EZ16" i="93"/>
  <c r="EZ13" i="93"/>
  <c r="EZ10" i="93"/>
  <c r="EZ22" i="93"/>
  <c r="EZ12" i="93"/>
  <c r="EZ7" i="93"/>
  <c r="EZ15" i="93"/>
  <c r="EZ8" i="93"/>
  <c r="EB2" i="93"/>
  <c r="EA1" i="93"/>
  <c r="H24" i="92"/>
  <c r="DC22" i="93"/>
  <c r="DC15" i="93"/>
  <c r="DC19" i="93"/>
  <c r="DC9" i="93"/>
  <c r="FA1" i="93"/>
  <c r="DC24" i="93"/>
  <c r="DC16" i="93"/>
  <c r="DC8" i="93"/>
  <c r="DC17" i="93"/>
  <c r="DC10" i="93"/>
  <c r="DC20" i="93"/>
  <c r="DC14" i="93"/>
  <c r="DC12" i="93"/>
  <c r="DC18" i="93"/>
  <c r="DC6" i="93"/>
  <c r="DC21" i="93"/>
  <c r="DC11" i="93"/>
  <c r="DC23" i="93"/>
  <c r="DC13" i="93"/>
  <c r="DC7" i="93"/>
  <c r="H13" i="92"/>
  <c r="H17" i="92"/>
  <c r="H20" i="92"/>
  <c r="H22" i="92"/>
  <c r="L17" i="92"/>
  <c r="H14" i="92"/>
  <c r="L23" i="92"/>
  <c r="L11" i="92"/>
  <c r="H21" i="92"/>
  <c r="FG9" i="92"/>
  <c r="F11" i="92"/>
  <c r="L15" i="90"/>
  <c r="H8" i="92"/>
  <c r="H15" i="92"/>
  <c r="F8" i="92"/>
  <c r="FG13" i="92"/>
  <c r="F12" i="92"/>
  <c r="F19" i="92"/>
  <c r="J21" i="92"/>
  <c r="F24" i="92"/>
  <c r="J8" i="92"/>
  <c r="FG8" i="92"/>
  <c r="L8" i="92"/>
  <c r="FG16" i="92"/>
  <c r="L16" i="92"/>
  <c r="J16" i="92"/>
  <c r="J15" i="92"/>
  <c r="L15" i="92"/>
  <c r="F6" i="92"/>
  <c r="H6" i="92"/>
  <c r="E26" i="92"/>
  <c r="F26" i="92" s="1"/>
  <c r="H19" i="92"/>
  <c r="J20" i="92"/>
  <c r="L20" i="92"/>
  <c r="FG20" i="92"/>
  <c r="FG17" i="92"/>
  <c r="J17" i="92"/>
  <c r="J14" i="92"/>
  <c r="FG14" i="92"/>
  <c r="L14" i="92"/>
  <c r="F10" i="92"/>
  <c r="H10" i="92"/>
  <c r="J24" i="92"/>
  <c r="FG24" i="92"/>
  <c r="F16" i="92"/>
  <c r="J7" i="92"/>
  <c r="L7" i="92"/>
  <c r="FG7" i="92"/>
  <c r="I32" i="92"/>
  <c r="I27" i="92"/>
  <c r="I29" i="92"/>
  <c r="J6" i="92"/>
  <c r="E29" i="92"/>
  <c r="I26" i="92"/>
  <c r="I30" i="92"/>
  <c r="E30" i="92"/>
  <c r="E28" i="92"/>
  <c r="I28" i="92"/>
  <c r="L6" i="92"/>
  <c r="FG6" i="92"/>
  <c r="F20" i="92"/>
  <c r="F13" i="92"/>
  <c r="F17" i="92"/>
  <c r="EH13" i="92"/>
  <c r="CG13" i="92" s="1"/>
  <c r="EH11" i="92"/>
  <c r="CG11" i="92" s="1"/>
  <c r="EH24" i="92"/>
  <c r="CG24" i="92" s="1"/>
  <c r="EH12" i="92"/>
  <c r="CG12" i="92" s="1"/>
  <c r="EH2" i="92"/>
  <c r="EI2" i="92" s="1"/>
  <c r="EJ2" i="92" s="1"/>
  <c r="EK2" i="92" s="1"/>
  <c r="EL2" i="92" s="1"/>
  <c r="EM2" i="92" s="1"/>
  <c r="EN2" i="92" s="1"/>
  <c r="EO2" i="92" s="1"/>
  <c r="EP2" i="92" s="1"/>
  <c r="EQ2" i="92" s="1"/>
  <c r="ER2" i="92" s="1"/>
  <c r="ES2" i="92" s="1"/>
  <c r="ET2" i="92" s="1"/>
  <c r="EU2" i="92" s="1"/>
  <c r="EV2" i="92" s="1"/>
  <c r="EW2" i="92" s="1"/>
  <c r="EX2" i="92" s="1"/>
  <c r="EY2" i="92" s="1"/>
  <c r="EZ2" i="92" s="1"/>
  <c r="FA2" i="92" s="1"/>
  <c r="FB2" i="92" s="1"/>
  <c r="FC2" i="92" s="1"/>
  <c r="FD2" i="92" s="1"/>
  <c r="FE2" i="92" s="1"/>
  <c r="EH20" i="92"/>
  <c r="CG20" i="92" s="1"/>
  <c r="EH7" i="92"/>
  <c r="CG7" i="92" s="1"/>
  <c r="EH18" i="92"/>
  <c r="CG18" i="92" s="1"/>
  <c r="EH16" i="92"/>
  <c r="CG16" i="92" s="1"/>
  <c r="EH17" i="92"/>
  <c r="CG17" i="92" s="1"/>
  <c r="EH15" i="92"/>
  <c r="CG15" i="92" s="1"/>
  <c r="EH23" i="92"/>
  <c r="CG23" i="92" s="1"/>
  <c r="EH9" i="92"/>
  <c r="CG9" i="92" s="1"/>
  <c r="EH21" i="92"/>
  <c r="CG21" i="92" s="1"/>
  <c r="EH14" i="92"/>
  <c r="CG14" i="92" s="1"/>
  <c r="EH22" i="92"/>
  <c r="CG22" i="92" s="1"/>
  <c r="EH6" i="92"/>
  <c r="CG6" i="92" s="1"/>
  <c r="EH8" i="92"/>
  <c r="CG8" i="92" s="1"/>
  <c r="EH19" i="92"/>
  <c r="CG19" i="92" s="1"/>
  <c r="DI7" i="92"/>
  <c r="DI6" i="92"/>
  <c r="DI19" i="92"/>
  <c r="DI16" i="92"/>
  <c r="DI20" i="92"/>
  <c r="DI17" i="92"/>
  <c r="DI13" i="92"/>
  <c r="DI18" i="92"/>
  <c r="DI9" i="92"/>
  <c r="DI24" i="92"/>
  <c r="DI21" i="92"/>
  <c r="DI12" i="92"/>
  <c r="DI22" i="92"/>
  <c r="DI23" i="92"/>
  <c r="DI2" i="92"/>
  <c r="DJ2" i="92" s="1"/>
  <c r="DI10" i="92"/>
  <c r="DI15" i="92"/>
  <c r="DI8" i="92"/>
  <c r="DI11" i="92"/>
  <c r="DI14" i="92"/>
  <c r="P6" i="92"/>
  <c r="J10" i="92"/>
  <c r="FG10" i="92"/>
  <c r="L10" i="92"/>
  <c r="J13" i="92"/>
  <c r="L13" i="92"/>
  <c r="F15" i="92"/>
  <c r="H7" i="92"/>
  <c r="F7" i="92"/>
  <c r="J12" i="92"/>
  <c r="FG12" i="92"/>
  <c r="L19" i="92"/>
  <c r="J19" i="92"/>
  <c r="F9" i="92"/>
  <c r="F23" i="92"/>
  <c r="K27" i="92"/>
  <c r="K26" i="92"/>
  <c r="FG15" i="92"/>
  <c r="L9" i="92"/>
  <c r="J9" i="92"/>
  <c r="L22" i="92"/>
  <c r="FG22" i="92"/>
  <c r="J22" i="92"/>
  <c r="J23" i="92"/>
  <c r="FG23" i="92"/>
  <c r="F14" i="92"/>
  <c r="F21" i="92"/>
  <c r="CK22" i="92"/>
  <c r="CK8" i="92"/>
  <c r="CK21" i="92"/>
  <c r="CK7" i="92"/>
  <c r="CK20" i="92"/>
  <c r="CK15" i="92"/>
  <c r="CK19" i="92"/>
  <c r="CK24" i="92"/>
  <c r="CK12" i="92"/>
  <c r="CK14" i="92"/>
  <c r="CK11" i="92"/>
  <c r="CK13" i="92"/>
  <c r="CK23" i="92"/>
  <c r="CK6" i="92"/>
  <c r="CK9" i="92"/>
  <c r="CK17" i="92"/>
  <c r="CK18" i="92"/>
  <c r="CK16" i="92"/>
  <c r="EI1" i="92"/>
  <c r="CK10" i="92"/>
  <c r="G26" i="92"/>
  <c r="J18" i="92"/>
  <c r="FG18" i="92"/>
  <c r="L18" i="92"/>
  <c r="J11" i="92"/>
  <c r="FG11" i="92"/>
  <c r="FG21" i="92"/>
  <c r="L21" i="92"/>
  <c r="F22" i="92"/>
  <c r="F18" i="92"/>
  <c r="H18" i="92"/>
  <c r="CM2" i="92"/>
  <c r="CL1" i="92"/>
  <c r="L9" i="90"/>
  <c r="FG22" i="90"/>
  <c r="FG13" i="90"/>
  <c r="L16" i="90"/>
  <c r="L14" i="90"/>
  <c r="FG24" i="90"/>
  <c r="L20" i="90"/>
  <c r="L21" i="90"/>
  <c r="L8" i="90"/>
  <c r="H17" i="90"/>
  <c r="F17" i="90"/>
  <c r="L17" i="90"/>
  <c r="G26" i="91"/>
  <c r="H12" i="90"/>
  <c r="F12" i="90"/>
  <c r="J22" i="90"/>
  <c r="L22" i="90"/>
  <c r="J23" i="90"/>
  <c r="L23" i="90"/>
  <c r="F9" i="90"/>
  <c r="H9" i="90"/>
  <c r="DI9" i="90"/>
  <c r="DI8" i="90"/>
  <c r="DI6" i="90"/>
  <c r="DI16" i="90"/>
  <c r="DI18" i="90"/>
  <c r="DI24" i="90"/>
  <c r="DI7" i="90"/>
  <c r="DI21" i="90"/>
  <c r="DI11" i="90"/>
  <c r="DI22" i="90"/>
  <c r="DI2" i="90"/>
  <c r="DJ2" i="90" s="1"/>
  <c r="DI19" i="90"/>
  <c r="DI15" i="90"/>
  <c r="DI17" i="90"/>
  <c r="DI23" i="90"/>
  <c r="DI14" i="90"/>
  <c r="DI12" i="90"/>
  <c r="DI13" i="90"/>
  <c r="DI10" i="90"/>
  <c r="DI20" i="90"/>
  <c r="G26" i="90"/>
  <c r="J17" i="91"/>
  <c r="L17" i="91"/>
  <c r="FG17" i="91"/>
  <c r="FG7" i="91"/>
  <c r="L7" i="91"/>
  <c r="J7" i="91"/>
  <c r="J24" i="90"/>
  <c r="L24" i="90"/>
  <c r="H6" i="91"/>
  <c r="F6" i="91"/>
  <c r="E26" i="91"/>
  <c r="F26" i="91" s="1"/>
  <c r="H19" i="91"/>
  <c r="F19" i="91"/>
  <c r="F21" i="90"/>
  <c r="H21" i="90"/>
  <c r="H10" i="90"/>
  <c r="F10" i="90"/>
  <c r="J11" i="90"/>
  <c r="FG11" i="90"/>
  <c r="H15" i="91"/>
  <c r="F15" i="91"/>
  <c r="FG19" i="90"/>
  <c r="FG22" i="91"/>
  <c r="L22" i="91"/>
  <c r="J22" i="91"/>
  <c r="J6" i="91"/>
  <c r="L6" i="91"/>
  <c r="FG6" i="91"/>
  <c r="I30" i="91"/>
  <c r="E30" i="91"/>
  <c r="I27" i="91"/>
  <c r="E28" i="91"/>
  <c r="I32" i="91"/>
  <c r="I29" i="91"/>
  <c r="I28" i="91"/>
  <c r="I26" i="91"/>
  <c r="E29" i="91"/>
  <c r="I28" i="90"/>
  <c r="I32" i="90"/>
  <c r="E28" i="90"/>
  <c r="I26" i="90"/>
  <c r="I29" i="90"/>
  <c r="I30" i="90"/>
  <c r="E29" i="90"/>
  <c r="I27" i="90"/>
  <c r="J6" i="90"/>
  <c r="E30" i="90"/>
  <c r="L6" i="90"/>
  <c r="H9" i="91"/>
  <c r="F9" i="91"/>
  <c r="F17" i="91"/>
  <c r="H17" i="91"/>
  <c r="F7" i="90"/>
  <c r="H7" i="90"/>
  <c r="F24" i="90"/>
  <c r="H24" i="90"/>
  <c r="FG20" i="91"/>
  <c r="L20" i="91"/>
  <c r="J20" i="91"/>
  <c r="F20" i="90"/>
  <c r="H20" i="90"/>
  <c r="FG11" i="91"/>
  <c r="J11" i="91"/>
  <c r="L11" i="91"/>
  <c r="FG12" i="91"/>
  <c r="L12" i="91"/>
  <c r="J12" i="91"/>
  <c r="J9" i="90"/>
  <c r="FG9" i="90"/>
  <c r="F10" i="91"/>
  <c r="H10" i="91"/>
  <c r="F13" i="91"/>
  <c r="H13" i="91"/>
  <c r="F15" i="90"/>
  <c r="H15" i="90"/>
  <c r="FG6" i="90"/>
  <c r="K26" i="90"/>
  <c r="K27" i="90"/>
  <c r="F14" i="90"/>
  <c r="H14" i="90"/>
  <c r="J9" i="91"/>
  <c r="FG9" i="91"/>
  <c r="L9" i="91"/>
  <c r="J19" i="90"/>
  <c r="L19" i="90"/>
  <c r="J13" i="91"/>
  <c r="FG13" i="91"/>
  <c r="L13" i="91"/>
  <c r="F22" i="91"/>
  <c r="H22" i="91"/>
  <c r="EH12" i="91"/>
  <c r="CG12" i="91" s="1"/>
  <c r="EH17" i="91"/>
  <c r="CG17" i="91" s="1"/>
  <c r="EH14" i="91"/>
  <c r="CG14" i="91" s="1"/>
  <c r="EH16" i="91"/>
  <c r="CG16" i="91" s="1"/>
  <c r="EH8" i="91"/>
  <c r="CG8" i="91" s="1"/>
  <c r="EH22" i="91"/>
  <c r="CG22" i="91" s="1"/>
  <c r="EH6" i="91"/>
  <c r="CG6" i="91" s="1"/>
  <c r="EH20" i="91"/>
  <c r="CG20" i="91" s="1"/>
  <c r="EH13" i="91"/>
  <c r="CG13" i="91" s="1"/>
  <c r="EH7" i="91"/>
  <c r="CG7" i="91" s="1"/>
  <c r="EH18" i="91"/>
  <c r="CG18" i="91" s="1"/>
  <c r="EH2" i="91"/>
  <c r="EI2" i="91" s="1"/>
  <c r="EJ2" i="91" s="1"/>
  <c r="EK2" i="91" s="1"/>
  <c r="EL2" i="91" s="1"/>
  <c r="EM2" i="91" s="1"/>
  <c r="EN2" i="91" s="1"/>
  <c r="EO2" i="91" s="1"/>
  <c r="EP2" i="91" s="1"/>
  <c r="EQ2" i="91" s="1"/>
  <c r="ER2" i="91" s="1"/>
  <c r="ES2" i="91" s="1"/>
  <c r="ET2" i="91" s="1"/>
  <c r="EU2" i="91" s="1"/>
  <c r="EV2" i="91" s="1"/>
  <c r="EW2" i="91" s="1"/>
  <c r="EX2" i="91" s="1"/>
  <c r="EY2" i="91" s="1"/>
  <c r="EZ2" i="91" s="1"/>
  <c r="FA2" i="91" s="1"/>
  <c r="FB2" i="91" s="1"/>
  <c r="FC2" i="91" s="1"/>
  <c r="FD2" i="91" s="1"/>
  <c r="FE2" i="91" s="1"/>
  <c r="EH15" i="91"/>
  <c r="CG15" i="91" s="1"/>
  <c r="EH11" i="91"/>
  <c r="CG11" i="91" s="1"/>
  <c r="EH9" i="91"/>
  <c r="CG9" i="91" s="1"/>
  <c r="EH24" i="91"/>
  <c r="CG24" i="91" s="1"/>
  <c r="EH21" i="91"/>
  <c r="CG21" i="91" s="1"/>
  <c r="EH23" i="91"/>
  <c r="CG23" i="91" s="1"/>
  <c r="EH19" i="91"/>
  <c r="CG19" i="91" s="1"/>
  <c r="L10" i="91"/>
  <c r="J10" i="91"/>
  <c r="FG10" i="91"/>
  <c r="BV27" i="91"/>
  <c r="J17" i="90"/>
  <c r="FG17" i="90"/>
  <c r="F11" i="91"/>
  <c r="H11" i="91"/>
  <c r="F23" i="91"/>
  <c r="H23" i="91"/>
  <c r="F8" i="90"/>
  <c r="H8" i="90"/>
  <c r="EH13" i="90"/>
  <c r="CG13" i="90" s="1"/>
  <c r="EH24" i="90"/>
  <c r="CG24" i="90" s="1"/>
  <c r="EH14" i="90"/>
  <c r="CG14" i="90" s="1"/>
  <c r="EH22" i="90"/>
  <c r="CG22" i="90" s="1"/>
  <c r="EH11" i="90"/>
  <c r="CG11" i="90" s="1"/>
  <c r="EH23" i="90"/>
  <c r="CG23" i="90" s="1"/>
  <c r="EH6" i="90"/>
  <c r="CG6" i="90" s="1"/>
  <c r="EH20" i="90"/>
  <c r="CG20" i="90" s="1"/>
  <c r="EH9" i="90"/>
  <c r="CG9" i="90" s="1"/>
  <c r="EH19" i="90"/>
  <c r="CG19" i="90" s="1"/>
  <c r="EH2" i="90"/>
  <c r="EI2" i="90" s="1"/>
  <c r="EJ2" i="90" s="1"/>
  <c r="EK2" i="90" s="1"/>
  <c r="EL2" i="90" s="1"/>
  <c r="EM2" i="90" s="1"/>
  <c r="EN2" i="90" s="1"/>
  <c r="EO2" i="90" s="1"/>
  <c r="EP2" i="90" s="1"/>
  <c r="EQ2" i="90" s="1"/>
  <c r="ER2" i="90" s="1"/>
  <c r="ES2" i="90" s="1"/>
  <c r="ET2" i="90" s="1"/>
  <c r="EU2" i="90" s="1"/>
  <c r="EV2" i="90" s="1"/>
  <c r="EW2" i="90" s="1"/>
  <c r="EX2" i="90" s="1"/>
  <c r="EY2" i="90" s="1"/>
  <c r="EZ2" i="90" s="1"/>
  <c r="FA2" i="90" s="1"/>
  <c r="FB2" i="90" s="1"/>
  <c r="FC2" i="90" s="1"/>
  <c r="FD2" i="90" s="1"/>
  <c r="FE2" i="90" s="1"/>
  <c r="EH16" i="90"/>
  <c r="CG16" i="90" s="1"/>
  <c r="EH21" i="90"/>
  <c r="CG21" i="90" s="1"/>
  <c r="EH8" i="90"/>
  <c r="CG8" i="90" s="1"/>
  <c r="EH17" i="90"/>
  <c r="CG17" i="90" s="1"/>
  <c r="EH7" i="90"/>
  <c r="CG7" i="90" s="1"/>
  <c r="EH18" i="90"/>
  <c r="CG18" i="90" s="1"/>
  <c r="EH15" i="90"/>
  <c r="CG15" i="90" s="1"/>
  <c r="EH12" i="90"/>
  <c r="CG12" i="90" s="1"/>
  <c r="K27" i="91"/>
  <c r="K26" i="91"/>
  <c r="H18" i="90"/>
  <c r="F18" i="90"/>
  <c r="CK16" i="91"/>
  <c r="CK7" i="91"/>
  <c r="CK8" i="91"/>
  <c r="EI1" i="91"/>
  <c r="CK11" i="91"/>
  <c r="CK12" i="91"/>
  <c r="CK24" i="91"/>
  <c r="CK15" i="91"/>
  <c r="CK9" i="91"/>
  <c r="CK14" i="91"/>
  <c r="CK22" i="91"/>
  <c r="CK20" i="91"/>
  <c r="CK18" i="91"/>
  <c r="CK13" i="91"/>
  <c r="CK10" i="91"/>
  <c r="CK23" i="91"/>
  <c r="CK17" i="91"/>
  <c r="CK6" i="91"/>
  <c r="CK19" i="91"/>
  <c r="CK21" i="91"/>
  <c r="L11" i="90"/>
  <c r="J19" i="91"/>
  <c r="L19" i="91"/>
  <c r="FG19" i="91"/>
  <c r="J7" i="90"/>
  <c r="L7" i="90"/>
  <c r="FG7" i="90"/>
  <c r="J21" i="90"/>
  <c r="FG21" i="90"/>
  <c r="F8" i="91"/>
  <c r="H8" i="91"/>
  <c r="F24" i="91"/>
  <c r="H24" i="91"/>
  <c r="H16" i="90"/>
  <c r="F16" i="90"/>
  <c r="L23" i="91"/>
  <c r="FG23" i="91"/>
  <c r="J23" i="91"/>
  <c r="H22" i="90"/>
  <c r="F22" i="90"/>
  <c r="CL1" i="91"/>
  <c r="CM2" i="91"/>
  <c r="L18" i="90"/>
  <c r="FG18" i="90"/>
  <c r="FG24" i="91"/>
  <c r="L24" i="91"/>
  <c r="J24" i="91"/>
  <c r="J16" i="90"/>
  <c r="FG16" i="90"/>
  <c r="J20" i="90"/>
  <c r="FG20" i="90"/>
  <c r="F21" i="91"/>
  <c r="H21" i="91"/>
  <c r="F7" i="91"/>
  <c r="H7" i="91"/>
  <c r="H11" i="90"/>
  <c r="F11" i="90"/>
  <c r="CK18" i="90"/>
  <c r="CK11" i="90"/>
  <c r="CK19" i="90"/>
  <c r="CK7" i="90"/>
  <c r="CK6" i="90"/>
  <c r="CK23" i="90"/>
  <c r="EI1" i="90"/>
  <c r="CK24" i="90"/>
  <c r="CK15" i="90"/>
  <c r="CK21" i="90"/>
  <c r="CK8" i="90"/>
  <c r="CK22" i="90"/>
  <c r="CK9" i="90"/>
  <c r="CK16" i="90"/>
  <c r="CK17" i="90"/>
  <c r="CK14" i="90"/>
  <c r="CK13" i="90"/>
  <c r="CK20" i="90"/>
  <c r="CK10" i="90"/>
  <c r="CK12" i="90"/>
  <c r="FG23" i="90"/>
  <c r="P6" i="91"/>
  <c r="J21" i="91"/>
  <c r="L21" i="91"/>
  <c r="FG21" i="91"/>
  <c r="J13" i="90"/>
  <c r="L13" i="90"/>
  <c r="J15" i="90"/>
  <c r="FG15" i="90"/>
  <c r="H18" i="91"/>
  <c r="F18" i="91"/>
  <c r="F20" i="91"/>
  <c r="H20" i="91"/>
  <c r="F23" i="90"/>
  <c r="H23" i="90"/>
  <c r="CM2" i="90"/>
  <c r="CL1" i="90"/>
  <c r="P6" i="90"/>
  <c r="DI21" i="91"/>
  <c r="DI10" i="91"/>
  <c r="DI16" i="91"/>
  <c r="DI12" i="91"/>
  <c r="DI14" i="91"/>
  <c r="DI9" i="91"/>
  <c r="DI23" i="91"/>
  <c r="DI20" i="91"/>
  <c r="DI11" i="91"/>
  <c r="DI18" i="91"/>
  <c r="DI8" i="91"/>
  <c r="DI7" i="91"/>
  <c r="DI2" i="91"/>
  <c r="DJ2" i="91" s="1"/>
  <c r="DI15" i="91"/>
  <c r="DI17" i="91"/>
  <c r="DI6" i="91"/>
  <c r="DI19" i="91"/>
  <c r="DI13" i="91"/>
  <c r="DI24" i="91"/>
  <c r="DI22" i="91"/>
  <c r="L18" i="91"/>
  <c r="FG18" i="91"/>
  <c r="J8" i="91"/>
  <c r="L8" i="91"/>
  <c r="FG8" i="91"/>
  <c r="L14" i="91"/>
  <c r="J14" i="91"/>
  <c r="FG14" i="91"/>
  <c r="J12" i="90"/>
  <c r="FG12" i="90"/>
  <c r="J10" i="90"/>
  <c r="L10" i="90"/>
  <c r="FG10" i="90"/>
  <c r="H12" i="91"/>
  <c r="F12" i="91"/>
  <c r="H14" i="91"/>
  <c r="F14" i="91"/>
  <c r="H19" i="90"/>
  <c r="F19" i="90"/>
  <c r="L12" i="90"/>
  <c r="J15" i="91"/>
  <c r="L15" i="91"/>
  <c r="FG15" i="91"/>
  <c r="J16" i="91"/>
  <c r="FG16" i="91"/>
  <c r="L16" i="91"/>
  <c r="J8" i="90"/>
  <c r="FG8" i="90"/>
  <c r="J14" i="90"/>
  <c r="FG14" i="90"/>
  <c r="F16" i="91"/>
  <c r="H16" i="91"/>
  <c r="F13" i="90"/>
  <c r="H13" i="90"/>
  <c r="E26" i="90"/>
  <c r="F26" i="90" s="1"/>
  <c r="H6" i="90"/>
  <c r="F6" i="90"/>
  <c r="H17" i="89"/>
  <c r="F17" i="89"/>
  <c r="H10" i="89"/>
  <c r="F10" i="89"/>
  <c r="FG6" i="89"/>
  <c r="L6" i="89"/>
  <c r="J6" i="89"/>
  <c r="E28" i="89"/>
  <c r="I27" i="89"/>
  <c r="I26" i="89"/>
  <c r="I29" i="89"/>
  <c r="I30" i="89"/>
  <c r="I32" i="89"/>
  <c r="E29" i="89"/>
  <c r="I28" i="89"/>
  <c r="E30" i="89"/>
  <c r="L13" i="89"/>
  <c r="FG13" i="89"/>
  <c r="J13" i="89"/>
  <c r="CK24" i="89"/>
  <c r="CK16" i="89"/>
  <c r="EI1" i="89"/>
  <c r="CK20" i="89"/>
  <c r="CK12" i="89"/>
  <c r="CK23" i="89"/>
  <c r="CK11" i="89"/>
  <c r="CK8" i="89"/>
  <c r="CK21" i="89"/>
  <c r="CK10" i="89"/>
  <c r="CK17" i="89"/>
  <c r="CK7" i="89"/>
  <c r="CK22" i="89"/>
  <c r="CK15" i="89"/>
  <c r="CK6" i="89"/>
  <c r="CK19" i="89"/>
  <c r="CK13" i="89"/>
  <c r="CK18" i="89"/>
  <c r="CK14" i="89"/>
  <c r="CK9" i="89"/>
  <c r="H7" i="89"/>
  <c r="F7" i="89"/>
  <c r="F21" i="89"/>
  <c r="H21" i="89"/>
  <c r="P6" i="89"/>
  <c r="FG11" i="89"/>
  <c r="L11" i="89"/>
  <c r="J11" i="89"/>
  <c r="J21" i="89"/>
  <c r="L21" i="89"/>
  <c r="FG21" i="89"/>
  <c r="CM2" i="89"/>
  <c r="CL1" i="89"/>
  <c r="EH17" i="89"/>
  <c r="CG17" i="89" s="1"/>
  <c r="EH6" i="89"/>
  <c r="CG6" i="89" s="1"/>
  <c r="EH23" i="89"/>
  <c r="CG23" i="89" s="1"/>
  <c r="EH15" i="89"/>
  <c r="CG15" i="89" s="1"/>
  <c r="EH9" i="89"/>
  <c r="CG9" i="89" s="1"/>
  <c r="EH24" i="89"/>
  <c r="CG24" i="89" s="1"/>
  <c r="EH16" i="89"/>
  <c r="CG16" i="89" s="1"/>
  <c r="EH13" i="89"/>
  <c r="CG13" i="89" s="1"/>
  <c r="EH20" i="89"/>
  <c r="CG20" i="89" s="1"/>
  <c r="EH14" i="89"/>
  <c r="CG14" i="89" s="1"/>
  <c r="EH11" i="89"/>
  <c r="CG11" i="89" s="1"/>
  <c r="EH18" i="89"/>
  <c r="CG18" i="89" s="1"/>
  <c r="EH2" i="89"/>
  <c r="EI2" i="89" s="1"/>
  <c r="EJ2" i="89" s="1"/>
  <c r="EK2" i="89" s="1"/>
  <c r="EL2" i="89" s="1"/>
  <c r="EM2" i="89" s="1"/>
  <c r="EN2" i="89" s="1"/>
  <c r="EO2" i="89" s="1"/>
  <c r="EP2" i="89" s="1"/>
  <c r="EQ2" i="89" s="1"/>
  <c r="ER2" i="89" s="1"/>
  <c r="ES2" i="89" s="1"/>
  <c r="ET2" i="89" s="1"/>
  <c r="EU2" i="89" s="1"/>
  <c r="EV2" i="89" s="1"/>
  <c r="EW2" i="89" s="1"/>
  <c r="EX2" i="89" s="1"/>
  <c r="EY2" i="89" s="1"/>
  <c r="EZ2" i="89" s="1"/>
  <c r="FA2" i="89" s="1"/>
  <c r="FB2" i="89" s="1"/>
  <c r="FC2" i="89" s="1"/>
  <c r="FD2" i="89" s="1"/>
  <c r="FE2" i="89" s="1"/>
  <c r="EH19" i="89"/>
  <c r="CG19" i="89" s="1"/>
  <c r="EH21" i="89"/>
  <c r="CG21" i="89" s="1"/>
  <c r="EH22" i="89"/>
  <c r="CG22" i="89" s="1"/>
  <c r="EH8" i="89"/>
  <c r="CG8" i="89" s="1"/>
  <c r="L18" i="89"/>
  <c r="FG18" i="89"/>
  <c r="F20" i="89"/>
  <c r="H20" i="89"/>
  <c r="F24" i="89"/>
  <c r="H24" i="89"/>
  <c r="L22" i="89"/>
  <c r="FG22" i="89"/>
  <c r="J22" i="89"/>
  <c r="H8" i="89"/>
  <c r="F8" i="89"/>
  <c r="H11" i="89"/>
  <c r="F11" i="89"/>
  <c r="L19" i="89"/>
  <c r="J19" i="89"/>
  <c r="FG19" i="89"/>
  <c r="FG15" i="89"/>
  <c r="L15" i="89"/>
  <c r="J15" i="89"/>
  <c r="L7" i="89"/>
  <c r="J7" i="89"/>
  <c r="FG7" i="89"/>
  <c r="H18" i="89"/>
  <c r="F18" i="89"/>
  <c r="H14" i="89"/>
  <c r="F14" i="89"/>
  <c r="F22" i="89"/>
  <c r="H22" i="89"/>
  <c r="L9" i="89"/>
  <c r="FG9" i="89"/>
  <c r="J9" i="89"/>
  <c r="FG12" i="89"/>
  <c r="J12" i="89"/>
  <c r="L12" i="89"/>
  <c r="FG17" i="89"/>
  <c r="J17" i="89"/>
  <c r="L17" i="89"/>
  <c r="F12" i="89"/>
  <c r="H12" i="89"/>
  <c r="F13" i="89"/>
  <c r="H13" i="89"/>
  <c r="L10" i="89"/>
  <c r="FG10" i="89"/>
  <c r="J10" i="89"/>
  <c r="L16" i="89"/>
  <c r="J16" i="89"/>
  <c r="FG16" i="89"/>
  <c r="J24" i="89"/>
  <c r="FG24" i="89"/>
  <c r="L24" i="89"/>
  <c r="DI22" i="89"/>
  <c r="DI10" i="89"/>
  <c r="DI15" i="89"/>
  <c r="DI7" i="89"/>
  <c r="DI2" i="89"/>
  <c r="DJ2" i="89" s="1"/>
  <c r="DI20" i="89"/>
  <c r="DI9" i="89"/>
  <c r="DI23" i="89"/>
  <c r="DI17" i="89"/>
  <c r="DI6" i="89"/>
  <c r="DI18" i="89"/>
  <c r="DI16" i="89"/>
  <c r="DI11" i="89"/>
  <c r="DI24" i="89"/>
  <c r="DI14" i="89"/>
  <c r="DI8" i="89"/>
  <c r="DI21" i="89"/>
  <c r="DI12" i="89"/>
  <c r="DI19" i="89"/>
  <c r="DI13" i="89"/>
  <c r="G26" i="89"/>
  <c r="H6" i="89"/>
  <c r="F6" i="89"/>
  <c r="E26" i="89"/>
  <c r="F26" i="89" s="1"/>
  <c r="H19" i="89"/>
  <c r="F19" i="89"/>
  <c r="F15" i="89"/>
  <c r="H15" i="89"/>
  <c r="FG8" i="89"/>
  <c r="J8" i="89"/>
  <c r="L8" i="89"/>
  <c r="J14" i="89"/>
  <c r="L14" i="89"/>
  <c r="FG14" i="89"/>
  <c r="K26" i="89"/>
  <c r="K27" i="89"/>
  <c r="F16" i="89"/>
  <c r="H16" i="89"/>
  <c r="H9" i="89"/>
  <c r="F9" i="89"/>
  <c r="H23" i="89"/>
  <c r="F23" i="89"/>
  <c r="FG23" i="89"/>
  <c r="L23" i="89"/>
  <c r="J23" i="89"/>
  <c r="J20" i="89"/>
  <c r="FG20" i="89"/>
  <c r="L20" i="89"/>
  <c r="H22" i="88"/>
  <c r="F12" i="87"/>
  <c r="J9" i="88"/>
  <c r="FG9" i="88"/>
  <c r="J14" i="88"/>
  <c r="L14" i="88"/>
  <c r="FG14" i="88"/>
  <c r="FG23" i="88"/>
  <c r="L23" i="88"/>
  <c r="J23" i="88"/>
  <c r="J6" i="87"/>
  <c r="E30" i="87"/>
  <c r="I28" i="87"/>
  <c r="I26" i="87"/>
  <c r="E29" i="87"/>
  <c r="I30" i="87"/>
  <c r="I32" i="87"/>
  <c r="L6" i="87"/>
  <c r="E28" i="87"/>
  <c r="I27" i="87"/>
  <c r="J13" i="87"/>
  <c r="L13" i="87"/>
  <c r="FG13" i="87"/>
  <c r="H9" i="88"/>
  <c r="F9" i="88"/>
  <c r="H17" i="88"/>
  <c r="F17" i="88"/>
  <c r="H18" i="88"/>
  <c r="F18" i="88"/>
  <c r="H7" i="87"/>
  <c r="F7" i="87"/>
  <c r="H23" i="87"/>
  <c r="F23" i="87"/>
  <c r="CK16" i="88"/>
  <c r="CK11" i="88"/>
  <c r="CK18" i="88"/>
  <c r="CK6" i="88"/>
  <c r="CK17" i="88"/>
  <c r="CK14" i="88"/>
  <c r="CK15" i="88"/>
  <c r="CK12" i="88"/>
  <c r="CK23" i="88"/>
  <c r="CK13" i="88"/>
  <c r="CK10" i="88"/>
  <c r="CK22" i="88"/>
  <c r="CK19" i="88"/>
  <c r="EI1" i="88"/>
  <c r="CK20" i="88"/>
  <c r="CK21" i="88"/>
  <c r="CK8" i="88"/>
  <c r="CK24" i="88"/>
  <c r="CK7" i="88"/>
  <c r="CK9" i="88"/>
  <c r="EH17" i="88"/>
  <c r="CG17" i="88" s="1"/>
  <c r="EH11" i="88"/>
  <c r="CG11" i="88" s="1"/>
  <c r="EH16" i="88"/>
  <c r="CG16" i="88" s="1"/>
  <c r="EH7" i="88"/>
  <c r="CG7" i="88" s="1"/>
  <c r="EH22" i="88"/>
  <c r="CG22" i="88" s="1"/>
  <c r="EH20" i="88"/>
  <c r="CG20" i="88" s="1"/>
  <c r="EH8" i="88"/>
  <c r="CG8" i="88" s="1"/>
  <c r="EH24" i="88"/>
  <c r="CG24" i="88" s="1"/>
  <c r="EH18" i="88"/>
  <c r="CG18" i="88" s="1"/>
  <c r="EH23" i="88"/>
  <c r="CG23" i="88" s="1"/>
  <c r="EH14" i="88"/>
  <c r="CG14" i="88" s="1"/>
  <c r="EH2" i="88"/>
  <c r="EI2" i="88" s="1"/>
  <c r="EJ2" i="88" s="1"/>
  <c r="EK2" i="88" s="1"/>
  <c r="EL2" i="88" s="1"/>
  <c r="EM2" i="88" s="1"/>
  <c r="EN2" i="88" s="1"/>
  <c r="EO2" i="88" s="1"/>
  <c r="EP2" i="88" s="1"/>
  <c r="EQ2" i="88" s="1"/>
  <c r="ER2" i="88" s="1"/>
  <c r="ES2" i="88" s="1"/>
  <c r="ET2" i="88" s="1"/>
  <c r="EU2" i="88" s="1"/>
  <c r="EV2" i="88" s="1"/>
  <c r="EW2" i="88" s="1"/>
  <c r="EX2" i="88" s="1"/>
  <c r="EY2" i="88" s="1"/>
  <c r="EZ2" i="88" s="1"/>
  <c r="FA2" i="88" s="1"/>
  <c r="FB2" i="88" s="1"/>
  <c r="FC2" i="88" s="1"/>
  <c r="FD2" i="88" s="1"/>
  <c r="FE2" i="88" s="1"/>
  <c r="EH21" i="88"/>
  <c r="CG21" i="88" s="1"/>
  <c r="EH13" i="88"/>
  <c r="CG13" i="88" s="1"/>
  <c r="EH6" i="88"/>
  <c r="CG6" i="88" s="1"/>
  <c r="EH19" i="88"/>
  <c r="CG19" i="88" s="1"/>
  <c r="EH15" i="88"/>
  <c r="CG15" i="88" s="1"/>
  <c r="EH12" i="88"/>
  <c r="CG12" i="88" s="1"/>
  <c r="EH9" i="88"/>
  <c r="CG9" i="88" s="1"/>
  <c r="J20" i="88"/>
  <c r="L20" i="88"/>
  <c r="FG20" i="88"/>
  <c r="L16" i="88"/>
  <c r="FG16" i="88"/>
  <c r="J16" i="88"/>
  <c r="L22" i="88"/>
  <c r="FG22" i="88"/>
  <c r="J22" i="88"/>
  <c r="J15" i="87"/>
  <c r="FG15" i="87"/>
  <c r="L15" i="87"/>
  <c r="J21" i="87"/>
  <c r="L21" i="87"/>
  <c r="FG21" i="87"/>
  <c r="H6" i="88"/>
  <c r="E26" i="88"/>
  <c r="F26" i="88" s="1"/>
  <c r="F6" i="88"/>
  <c r="H16" i="88"/>
  <c r="F16" i="88"/>
  <c r="H19" i="88"/>
  <c r="F19" i="88"/>
  <c r="FG6" i="87"/>
  <c r="K26" i="87"/>
  <c r="K27" i="87"/>
  <c r="F9" i="87"/>
  <c r="H9" i="87"/>
  <c r="H17" i="87"/>
  <c r="F17" i="87"/>
  <c r="H16" i="87"/>
  <c r="F16" i="87"/>
  <c r="H12" i="87"/>
  <c r="P6" i="88"/>
  <c r="J12" i="88"/>
  <c r="L12" i="88"/>
  <c r="FG12" i="88"/>
  <c r="J23" i="87"/>
  <c r="L23" i="87"/>
  <c r="FG23" i="87"/>
  <c r="L7" i="87"/>
  <c r="FG7" i="87"/>
  <c r="J7" i="87"/>
  <c r="H23" i="88"/>
  <c r="F23" i="88"/>
  <c r="H14" i="88"/>
  <c r="F14" i="88"/>
  <c r="H21" i="88"/>
  <c r="F21" i="88"/>
  <c r="FG18" i="87"/>
  <c r="L18" i="87"/>
  <c r="F14" i="87"/>
  <c r="H14" i="87"/>
  <c r="F10" i="87"/>
  <c r="H10" i="87"/>
  <c r="F22" i="87"/>
  <c r="H22" i="87"/>
  <c r="H6" i="87"/>
  <c r="G26" i="87"/>
  <c r="FG6" i="88"/>
  <c r="I29" i="88"/>
  <c r="I27" i="88"/>
  <c r="I32" i="88"/>
  <c r="I30" i="88"/>
  <c r="I28" i="88"/>
  <c r="L6" i="88"/>
  <c r="J6" i="88"/>
  <c r="E30" i="88"/>
  <c r="I26" i="88"/>
  <c r="E28" i="88"/>
  <c r="E29" i="88"/>
  <c r="J19" i="87"/>
  <c r="FG19" i="87"/>
  <c r="L19" i="87"/>
  <c r="DI24" i="87"/>
  <c r="DI15" i="87"/>
  <c r="DI10" i="87"/>
  <c r="DI21" i="87"/>
  <c r="DI8" i="87"/>
  <c r="DI20" i="87"/>
  <c r="DI12" i="87"/>
  <c r="DI7" i="87"/>
  <c r="DI22" i="87"/>
  <c r="DI11" i="87"/>
  <c r="DI19" i="87"/>
  <c r="DI6" i="87"/>
  <c r="DI16" i="87"/>
  <c r="DI14" i="87"/>
  <c r="DI13" i="87"/>
  <c r="DI17" i="87"/>
  <c r="DI9" i="87"/>
  <c r="DI23" i="87"/>
  <c r="DI18" i="87"/>
  <c r="DI2" i="87"/>
  <c r="DJ2" i="87" s="1"/>
  <c r="H11" i="88"/>
  <c r="F11" i="88"/>
  <c r="H20" i="88"/>
  <c r="F20" i="88"/>
  <c r="F24" i="87"/>
  <c r="H24" i="87"/>
  <c r="H18" i="87"/>
  <c r="F18" i="87"/>
  <c r="K27" i="88"/>
  <c r="K26" i="88"/>
  <c r="H8" i="87"/>
  <c r="DI19" i="88"/>
  <c r="DI8" i="88"/>
  <c r="DI15" i="88"/>
  <c r="DI7" i="88"/>
  <c r="DI16" i="88"/>
  <c r="DI12" i="88"/>
  <c r="DI20" i="88"/>
  <c r="DI13" i="88"/>
  <c r="DI22" i="88"/>
  <c r="DI10" i="88"/>
  <c r="DI24" i="88"/>
  <c r="DI18" i="88"/>
  <c r="DI6" i="88"/>
  <c r="DI9" i="88"/>
  <c r="DI23" i="88"/>
  <c r="DI17" i="88"/>
  <c r="DI2" i="88"/>
  <c r="DJ2" i="88" s="1"/>
  <c r="DI21" i="88"/>
  <c r="DI14" i="88"/>
  <c r="DI11" i="88"/>
  <c r="CL1" i="87"/>
  <c r="CM2" i="87"/>
  <c r="L11" i="88"/>
  <c r="FG11" i="88"/>
  <c r="J11" i="88"/>
  <c r="L19" i="88"/>
  <c r="J19" i="88"/>
  <c r="FG19" i="88"/>
  <c r="FG16" i="87"/>
  <c r="L16" i="87"/>
  <c r="J16" i="87"/>
  <c r="I29" i="87"/>
  <c r="J8" i="87"/>
  <c r="FG8" i="87"/>
  <c r="L8" i="87"/>
  <c r="H7" i="88"/>
  <c r="F7" i="88"/>
  <c r="H12" i="88"/>
  <c r="F12" i="88"/>
  <c r="F8" i="87"/>
  <c r="FG18" i="88"/>
  <c r="L18" i="88"/>
  <c r="H21" i="87"/>
  <c r="CK15" i="87"/>
  <c r="EI1" i="87"/>
  <c r="CK22" i="87"/>
  <c r="CK18" i="87"/>
  <c r="CK12" i="87"/>
  <c r="CK21" i="87"/>
  <c r="CK14" i="87"/>
  <c r="CK11" i="87"/>
  <c r="CK24" i="87"/>
  <c r="CK17" i="87"/>
  <c r="CK6" i="87"/>
  <c r="CK16" i="87"/>
  <c r="CK7" i="87"/>
  <c r="CK19" i="87"/>
  <c r="CK10" i="87"/>
  <c r="CK8" i="87"/>
  <c r="CK23" i="87"/>
  <c r="CK13" i="87"/>
  <c r="CK20" i="87"/>
  <c r="CK9" i="87"/>
  <c r="J10" i="88"/>
  <c r="L10" i="88"/>
  <c r="FG10" i="88"/>
  <c r="FG13" i="88"/>
  <c r="L13" i="88"/>
  <c r="J13" i="88"/>
  <c r="J12" i="87"/>
  <c r="FG12" i="87"/>
  <c r="L12" i="87"/>
  <c r="J24" i="87"/>
  <c r="FG24" i="87"/>
  <c r="L24" i="87"/>
  <c r="FG17" i="87"/>
  <c r="J17" i="87"/>
  <c r="L17" i="87"/>
  <c r="H24" i="88"/>
  <c r="F24" i="88"/>
  <c r="F11" i="87"/>
  <c r="H11" i="87"/>
  <c r="F21" i="87"/>
  <c r="L17" i="88"/>
  <c r="J17" i="88"/>
  <c r="FG17" i="88"/>
  <c r="FG7" i="88"/>
  <c r="L7" i="88"/>
  <c r="J7" i="88"/>
  <c r="FG8" i="88"/>
  <c r="L8" i="88"/>
  <c r="J8" i="88"/>
  <c r="FG14" i="87"/>
  <c r="J14" i="87"/>
  <c r="L14" i="87"/>
  <c r="J20" i="87"/>
  <c r="FG20" i="87"/>
  <c r="L20" i="87"/>
  <c r="J10" i="87"/>
  <c r="FG10" i="87"/>
  <c r="L10" i="87"/>
  <c r="H8" i="88"/>
  <c r="F8" i="88"/>
  <c r="H15" i="88"/>
  <c r="F15" i="88"/>
  <c r="H20" i="87"/>
  <c r="F20" i="87"/>
  <c r="H15" i="87"/>
  <c r="F15" i="87"/>
  <c r="L9" i="88"/>
  <c r="G26" i="88"/>
  <c r="P6" i="87"/>
  <c r="J15" i="88"/>
  <c r="FG15" i="88"/>
  <c r="L15" i="88"/>
  <c r="J21" i="88"/>
  <c r="FG21" i="88"/>
  <c r="L21" i="88"/>
  <c r="FG24" i="88"/>
  <c r="L24" i="88"/>
  <c r="J24" i="88"/>
  <c r="L22" i="87"/>
  <c r="FG22" i="87"/>
  <c r="J22" i="87"/>
  <c r="L11" i="87"/>
  <c r="J11" i="87"/>
  <c r="FG11" i="87"/>
  <c r="L9" i="87"/>
  <c r="J9" i="87"/>
  <c r="FG9" i="87"/>
  <c r="EH20" i="87"/>
  <c r="CG20" i="87" s="1"/>
  <c r="EH11" i="87"/>
  <c r="CG11" i="87" s="1"/>
  <c r="EH13" i="87"/>
  <c r="CG13" i="87" s="1"/>
  <c r="EH22" i="87"/>
  <c r="CG22" i="87" s="1"/>
  <c r="EH9" i="87"/>
  <c r="CG9" i="87" s="1"/>
  <c r="EH2" i="87"/>
  <c r="EI2" i="87" s="1"/>
  <c r="EJ2" i="87" s="1"/>
  <c r="EK2" i="87" s="1"/>
  <c r="EL2" i="87" s="1"/>
  <c r="EM2" i="87" s="1"/>
  <c r="EN2" i="87" s="1"/>
  <c r="EO2" i="87" s="1"/>
  <c r="EP2" i="87" s="1"/>
  <c r="EQ2" i="87" s="1"/>
  <c r="ER2" i="87" s="1"/>
  <c r="ES2" i="87" s="1"/>
  <c r="ET2" i="87" s="1"/>
  <c r="EU2" i="87" s="1"/>
  <c r="EV2" i="87" s="1"/>
  <c r="EW2" i="87" s="1"/>
  <c r="EX2" i="87" s="1"/>
  <c r="EY2" i="87" s="1"/>
  <c r="EZ2" i="87" s="1"/>
  <c r="FA2" i="87" s="1"/>
  <c r="FB2" i="87" s="1"/>
  <c r="FC2" i="87" s="1"/>
  <c r="FD2" i="87" s="1"/>
  <c r="FE2" i="87" s="1"/>
  <c r="EH14" i="87"/>
  <c r="CG14" i="87" s="1"/>
  <c r="EH6" i="87"/>
  <c r="CG6" i="87" s="1"/>
  <c r="EH19" i="87"/>
  <c r="CG19" i="87" s="1"/>
  <c r="EH8" i="87"/>
  <c r="CG8" i="87" s="1"/>
  <c r="EH15" i="87"/>
  <c r="CG15" i="87" s="1"/>
  <c r="EH16" i="87"/>
  <c r="CG16" i="87" s="1"/>
  <c r="EH23" i="87"/>
  <c r="CG23" i="87" s="1"/>
  <c r="EH18" i="87"/>
  <c r="CG18" i="87" s="1"/>
  <c r="EH7" i="87"/>
  <c r="CG7" i="87" s="1"/>
  <c r="EH24" i="87"/>
  <c r="CG24" i="87" s="1"/>
  <c r="EH21" i="87"/>
  <c r="CG21" i="87" s="1"/>
  <c r="EH17" i="87"/>
  <c r="CG17" i="87" s="1"/>
  <c r="EH12" i="87"/>
  <c r="CG12" i="87" s="1"/>
  <c r="H13" i="88"/>
  <c r="F13" i="88"/>
  <c r="F22" i="88"/>
  <c r="F10" i="88"/>
  <c r="E26" i="87"/>
  <c r="F26" i="87" s="1"/>
  <c r="F6" i="87"/>
  <c r="H13" i="87"/>
  <c r="F13" i="87"/>
  <c r="F19" i="87"/>
  <c r="H19" i="87"/>
  <c r="CM2" i="88"/>
  <c r="CL1" i="88"/>
  <c r="F20" i="86"/>
  <c r="F21" i="86"/>
  <c r="F8" i="86"/>
  <c r="F15" i="86"/>
  <c r="F22" i="86"/>
  <c r="F19" i="86"/>
  <c r="FG23" i="86"/>
  <c r="H9" i="86"/>
  <c r="H6" i="86"/>
  <c r="H17" i="86"/>
  <c r="F12" i="86"/>
  <c r="F16" i="86"/>
  <c r="F18" i="86"/>
  <c r="DI23" i="86"/>
  <c r="DI7" i="86"/>
  <c r="DI14" i="86"/>
  <c r="DI6" i="86"/>
  <c r="DI11" i="86"/>
  <c r="DI2" i="86"/>
  <c r="DJ2" i="86" s="1"/>
  <c r="DI8" i="86"/>
  <c r="DI24" i="86"/>
  <c r="DI16" i="86"/>
  <c r="DI15" i="86"/>
  <c r="DI9" i="86"/>
  <c r="DI22" i="86"/>
  <c r="DI17" i="86"/>
  <c r="DI21" i="86"/>
  <c r="DI18" i="86"/>
  <c r="DI19" i="86"/>
  <c r="DI13" i="86"/>
  <c r="DI20" i="86"/>
  <c r="DI12" i="86"/>
  <c r="DI10" i="86"/>
  <c r="J24" i="86"/>
  <c r="L24" i="86"/>
  <c r="J11" i="86"/>
  <c r="FG11" i="86"/>
  <c r="J17" i="86"/>
  <c r="FG17" i="86"/>
  <c r="F9" i="86"/>
  <c r="FG12" i="86"/>
  <c r="FG9" i="86"/>
  <c r="H18" i="86"/>
  <c r="H23" i="86"/>
  <c r="J15" i="86"/>
  <c r="L15" i="86"/>
  <c r="FG16" i="86"/>
  <c r="L11" i="86"/>
  <c r="FG20" i="86"/>
  <c r="H12" i="86"/>
  <c r="H24" i="86"/>
  <c r="J9" i="86"/>
  <c r="L9" i="86"/>
  <c r="FG14" i="86"/>
  <c r="J14" i="86"/>
  <c r="F6" i="86"/>
  <c r="F11" i="86"/>
  <c r="FG22" i="86"/>
  <c r="L10" i="86"/>
  <c r="H21" i="86"/>
  <c r="H16" i="86"/>
  <c r="EH23" i="86"/>
  <c r="CG23" i="86" s="1"/>
  <c r="EH15" i="86"/>
  <c r="CG15" i="86" s="1"/>
  <c r="EH2" i="86"/>
  <c r="EI2" i="86" s="1"/>
  <c r="EJ2" i="86" s="1"/>
  <c r="EK2" i="86" s="1"/>
  <c r="EL2" i="86" s="1"/>
  <c r="EM2" i="86" s="1"/>
  <c r="EN2" i="86" s="1"/>
  <c r="EO2" i="86" s="1"/>
  <c r="EP2" i="86" s="1"/>
  <c r="EQ2" i="86" s="1"/>
  <c r="ER2" i="86" s="1"/>
  <c r="ES2" i="86" s="1"/>
  <c r="ET2" i="86" s="1"/>
  <c r="EU2" i="86" s="1"/>
  <c r="EV2" i="86" s="1"/>
  <c r="EW2" i="86" s="1"/>
  <c r="EX2" i="86" s="1"/>
  <c r="EY2" i="86" s="1"/>
  <c r="EZ2" i="86" s="1"/>
  <c r="FA2" i="86" s="1"/>
  <c r="FB2" i="86" s="1"/>
  <c r="FC2" i="86" s="1"/>
  <c r="FD2" i="86" s="1"/>
  <c r="FE2" i="86" s="1"/>
  <c r="EH18" i="86"/>
  <c r="CG18" i="86" s="1"/>
  <c r="EH19" i="86"/>
  <c r="CG19" i="86" s="1"/>
  <c r="EH21" i="86"/>
  <c r="CG21" i="86" s="1"/>
  <c r="EH6" i="86"/>
  <c r="CG6" i="86" s="1"/>
  <c r="EH14" i="86"/>
  <c r="CG14" i="86" s="1"/>
  <c r="EH9" i="86"/>
  <c r="CG9" i="86" s="1"/>
  <c r="EH16" i="86"/>
  <c r="CG16" i="86" s="1"/>
  <c r="EH20" i="86"/>
  <c r="CG20" i="86" s="1"/>
  <c r="EH11" i="86"/>
  <c r="CG11" i="86" s="1"/>
  <c r="EH12" i="86"/>
  <c r="CG12" i="86" s="1"/>
  <c r="EH24" i="86"/>
  <c r="CG24" i="86" s="1"/>
  <c r="EH8" i="86"/>
  <c r="CG8" i="86" s="1"/>
  <c r="EH22" i="86"/>
  <c r="CG22" i="86" s="1"/>
  <c r="EH7" i="86"/>
  <c r="CG7" i="86" s="1"/>
  <c r="EH17" i="86"/>
  <c r="CG17" i="86" s="1"/>
  <c r="EH13" i="86"/>
  <c r="CG13" i="86" s="1"/>
  <c r="J7" i="86"/>
  <c r="L7" i="86"/>
  <c r="J16" i="86"/>
  <c r="L16" i="86"/>
  <c r="F14" i="86"/>
  <c r="FG7" i="86"/>
  <c r="FG18" i="86"/>
  <c r="L18" i="86"/>
  <c r="H8" i="86"/>
  <c r="H22" i="86"/>
  <c r="J20" i="86"/>
  <c r="L20" i="86"/>
  <c r="J13" i="86"/>
  <c r="L13" i="86"/>
  <c r="I25" i="86"/>
  <c r="J25" i="86" s="1"/>
  <c r="I26" i="86"/>
  <c r="J6" i="86"/>
  <c r="I28" i="86"/>
  <c r="I29" i="86"/>
  <c r="I27" i="86"/>
  <c r="L6" i="86"/>
  <c r="F23" i="86"/>
  <c r="F17" i="86"/>
  <c r="L17" i="86"/>
  <c r="FG13" i="86"/>
  <c r="CL1" i="86"/>
  <c r="CM2" i="86"/>
  <c r="H15" i="86"/>
  <c r="H11" i="86"/>
  <c r="J22" i="86"/>
  <c r="L22" i="86"/>
  <c r="FG8" i="86"/>
  <c r="J8" i="86"/>
  <c r="J10" i="86"/>
  <c r="FG10" i="86"/>
  <c r="J23" i="86"/>
  <c r="L23" i="86"/>
  <c r="F10" i="86"/>
  <c r="F24" i="86"/>
  <c r="FG24" i="86"/>
  <c r="FG19" i="86"/>
  <c r="CK19" i="86"/>
  <c r="CK7" i="86"/>
  <c r="CK18" i="86"/>
  <c r="CK6" i="86"/>
  <c r="CK17" i="86"/>
  <c r="EI1" i="86"/>
  <c r="CK21" i="86"/>
  <c r="CK15" i="86"/>
  <c r="CK9" i="86"/>
  <c r="CK16" i="86"/>
  <c r="CK22" i="86"/>
  <c r="CK8" i="86"/>
  <c r="CK24" i="86"/>
  <c r="CK11" i="86"/>
  <c r="CK23" i="86"/>
  <c r="CK14" i="86"/>
  <c r="CK12" i="86"/>
  <c r="CK20" i="86"/>
  <c r="CK10" i="86"/>
  <c r="CK13" i="86"/>
  <c r="H10" i="86"/>
  <c r="H20" i="86"/>
  <c r="J12" i="86"/>
  <c r="L12" i="86"/>
  <c r="FG21" i="86"/>
  <c r="J21" i="86"/>
  <c r="J19" i="86"/>
  <c r="L19" i="86"/>
  <c r="F13" i="86"/>
  <c r="F7" i="86"/>
  <c r="FG6" i="86"/>
  <c r="K26" i="86"/>
  <c r="K25" i="86"/>
  <c r="FG15" i="86"/>
  <c r="H7" i="86"/>
  <c r="H19" i="86"/>
  <c r="H13" i="86"/>
  <c r="EX100" i="9"/>
  <c r="BR13" i="94" s="1"/>
  <c r="EW101" i="9"/>
  <c r="BV13" i="93"/>
  <c r="GJ100" i="9"/>
  <c r="GN100" i="9" s="1"/>
  <c r="IV99" i="9"/>
  <c r="IU100" i="9"/>
  <c r="GH98" i="9"/>
  <c r="BV10" i="92" s="1"/>
  <c r="J6" i="124" l="1"/>
  <c r="E30" i="124"/>
  <c r="I28" i="124"/>
  <c r="E29" i="124"/>
  <c r="E28" i="124"/>
  <c r="I32" i="124"/>
  <c r="I27" i="124"/>
  <c r="I30" i="124"/>
  <c r="L6" i="124"/>
  <c r="K28" i="124" s="1"/>
  <c r="FG6" i="124"/>
  <c r="FG27" i="124" s="1"/>
  <c r="K27" i="124"/>
  <c r="DW5" i="14"/>
  <c r="HF133" i="9"/>
  <c r="GA133" i="9"/>
  <c r="HL133" i="9"/>
  <c r="HQ133" i="9"/>
  <c r="HC133" i="9"/>
  <c r="HI133" i="9"/>
  <c r="CL24" i="124"/>
  <c r="CL23" i="124"/>
  <c r="CL18" i="124"/>
  <c r="CL6" i="124"/>
  <c r="CL16" i="124"/>
  <c r="CL8" i="124"/>
  <c r="CL21" i="124"/>
  <c r="CL7" i="124"/>
  <c r="CL15" i="124"/>
  <c r="CL14" i="124"/>
  <c r="CL19" i="124"/>
  <c r="EJ1" i="124"/>
  <c r="CL17" i="124"/>
  <c r="CL22" i="124"/>
  <c r="CL9" i="124"/>
  <c r="CL11" i="124"/>
  <c r="CL13" i="124"/>
  <c r="CL12" i="124"/>
  <c r="CL20" i="124"/>
  <c r="CL10" i="124"/>
  <c r="DK2" i="124"/>
  <c r="DJ1" i="124"/>
  <c r="EI18" i="124"/>
  <c r="EI8" i="124"/>
  <c r="EI16" i="124"/>
  <c r="EI14" i="124"/>
  <c r="EI17" i="124"/>
  <c r="EI12" i="124"/>
  <c r="EI23" i="124"/>
  <c r="EI7" i="124"/>
  <c r="EI11" i="124"/>
  <c r="EI21" i="124"/>
  <c r="EI20" i="124"/>
  <c r="EI24" i="124"/>
  <c r="EI6" i="124"/>
  <c r="EI9" i="124"/>
  <c r="EI19" i="124"/>
  <c r="EI13" i="124"/>
  <c r="EI22" i="124"/>
  <c r="EI15" i="124"/>
  <c r="CM1" i="124"/>
  <c r="CN2" i="124"/>
  <c r="FG27" i="121"/>
  <c r="CN2" i="121"/>
  <c r="CM1" i="121"/>
  <c r="CL20" i="121"/>
  <c r="CL12" i="121"/>
  <c r="CL19" i="121"/>
  <c r="CL16" i="121"/>
  <c r="CL9" i="121"/>
  <c r="CL24" i="121"/>
  <c r="CL14" i="121"/>
  <c r="CL22" i="121"/>
  <c r="CL21" i="121"/>
  <c r="CL6" i="121"/>
  <c r="CL11" i="121"/>
  <c r="CL10" i="121"/>
  <c r="CL8" i="121"/>
  <c r="CL7" i="121"/>
  <c r="EJ1" i="121"/>
  <c r="CL17" i="121"/>
  <c r="CL15" i="121"/>
  <c r="CL23" i="121"/>
  <c r="CL13" i="121"/>
  <c r="CL18" i="121"/>
  <c r="EI16" i="121"/>
  <c r="EI9" i="121"/>
  <c r="EI8" i="121"/>
  <c r="EI24" i="121"/>
  <c r="EI11" i="121"/>
  <c r="EI18" i="121"/>
  <c r="EI22" i="121"/>
  <c r="EI21" i="121"/>
  <c r="EI20" i="121"/>
  <c r="EI15" i="121"/>
  <c r="EI7" i="121"/>
  <c r="EI13" i="121"/>
  <c r="EI23" i="121"/>
  <c r="EI6" i="121"/>
  <c r="EI14" i="121"/>
  <c r="EI12" i="121"/>
  <c r="EI17" i="121"/>
  <c r="EI19" i="121"/>
  <c r="DK2" i="121"/>
  <c r="DJ1" i="121"/>
  <c r="K30" i="121"/>
  <c r="K28" i="121"/>
  <c r="FG27" i="120"/>
  <c r="DK2" i="120"/>
  <c r="DJ1" i="120"/>
  <c r="K30" i="120"/>
  <c r="K28" i="120"/>
  <c r="CL22" i="120"/>
  <c r="CL14" i="120"/>
  <c r="CL21" i="120"/>
  <c r="CL9" i="120"/>
  <c r="CL19" i="120"/>
  <c r="EJ1" i="120"/>
  <c r="CL18" i="120"/>
  <c r="CL10" i="120"/>
  <c r="CL20" i="120"/>
  <c r="CL8" i="120"/>
  <c r="CL16" i="120"/>
  <c r="CL23" i="120"/>
  <c r="CL13" i="120"/>
  <c r="CL12" i="120"/>
  <c r="CL11" i="120"/>
  <c r="CL15" i="120"/>
  <c r="CL6" i="120"/>
  <c r="CL24" i="120"/>
  <c r="CL17" i="120"/>
  <c r="CL7" i="120"/>
  <c r="CM1" i="120"/>
  <c r="CN2" i="120"/>
  <c r="I33" i="120"/>
  <c r="J26" i="120"/>
  <c r="EI20" i="120"/>
  <c r="EI13" i="120"/>
  <c r="EI7" i="120"/>
  <c r="EI15" i="120"/>
  <c r="EI22" i="120"/>
  <c r="EI14" i="120"/>
  <c r="EI23" i="120"/>
  <c r="EI11" i="120"/>
  <c r="EI9" i="120"/>
  <c r="EI24" i="120"/>
  <c r="EI12" i="120"/>
  <c r="EI21" i="120"/>
  <c r="EI17" i="120"/>
  <c r="EI16" i="120"/>
  <c r="EI6" i="120"/>
  <c r="EI18" i="120"/>
  <c r="EI8" i="120"/>
  <c r="EI19" i="120"/>
  <c r="A134" i="9"/>
  <c r="E134" i="9" s="1"/>
  <c r="C135" i="9"/>
  <c r="K28" i="119"/>
  <c r="CL21" i="119"/>
  <c r="CL15" i="119"/>
  <c r="CL8" i="119"/>
  <c r="CL9" i="119"/>
  <c r="CL24" i="119"/>
  <c r="CL7" i="119"/>
  <c r="CL6" i="119"/>
  <c r="CL20" i="119"/>
  <c r="CL12" i="119"/>
  <c r="EJ1" i="119"/>
  <c r="CL18" i="119"/>
  <c r="CL16" i="119"/>
  <c r="CL11" i="119"/>
  <c r="CL14" i="119"/>
  <c r="CL23" i="119"/>
  <c r="CL13" i="119"/>
  <c r="CL19" i="119"/>
  <c r="CL17" i="119"/>
  <c r="CL10" i="119"/>
  <c r="CL22" i="119"/>
  <c r="K30" i="119"/>
  <c r="I33" i="119"/>
  <c r="J26" i="119"/>
  <c r="EI23" i="119"/>
  <c r="EI7" i="119"/>
  <c r="EI13" i="119"/>
  <c r="EI18" i="119"/>
  <c r="EI24" i="119"/>
  <c r="EI16" i="119"/>
  <c r="EI12" i="119"/>
  <c r="EI19" i="119"/>
  <c r="EI9" i="119"/>
  <c r="EI20" i="119"/>
  <c r="EI8" i="119"/>
  <c r="EI22" i="119"/>
  <c r="EI14" i="119"/>
  <c r="EI6" i="119"/>
  <c r="EI21" i="119"/>
  <c r="EI15" i="119"/>
  <c r="EI17" i="119"/>
  <c r="EI11" i="119"/>
  <c r="DJ1" i="119"/>
  <c r="DK2" i="119"/>
  <c r="FG27" i="119"/>
  <c r="CM1" i="119"/>
  <c r="CN2" i="119"/>
  <c r="DL2" i="116"/>
  <c r="DK1" i="116"/>
  <c r="EJ16" i="116"/>
  <c r="EJ9" i="116"/>
  <c r="EJ19" i="116"/>
  <c r="EJ14" i="116"/>
  <c r="EJ8" i="116"/>
  <c r="EJ24" i="116"/>
  <c r="EJ13" i="116"/>
  <c r="EJ6" i="116"/>
  <c r="EJ22" i="116"/>
  <c r="EJ12" i="116"/>
  <c r="EJ7" i="116"/>
  <c r="EJ21" i="116"/>
  <c r="EJ17" i="116"/>
  <c r="EJ23" i="116"/>
  <c r="EJ15" i="116"/>
  <c r="EJ18" i="116"/>
  <c r="EJ20" i="116"/>
  <c r="EJ11" i="116"/>
  <c r="FH27" i="116"/>
  <c r="I33" i="116"/>
  <c r="J26" i="116"/>
  <c r="K30" i="116"/>
  <c r="K28" i="116"/>
  <c r="CM24" i="116"/>
  <c r="CM15" i="116"/>
  <c r="CM7" i="116"/>
  <c r="CM22" i="116"/>
  <c r="CM13" i="116"/>
  <c r="CM8" i="116"/>
  <c r="CM21" i="116"/>
  <c r="CM16" i="116"/>
  <c r="EK1" i="116"/>
  <c r="CM23" i="116"/>
  <c r="CM11" i="116"/>
  <c r="CM6" i="116"/>
  <c r="CM19" i="116"/>
  <c r="CM14" i="116"/>
  <c r="CM20" i="116"/>
  <c r="CM10" i="116"/>
  <c r="CM17" i="116"/>
  <c r="CM12" i="116"/>
  <c r="CM18" i="116"/>
  <c r="CM9" i="116"/>
  <c r="CO2" i="116"/>
  <c r="CN1" i="116"/>
  <c r="K28" i="113"/>
  <c r="EJ22" i="112"/>
  <c r="EJ11" i="112"/>
  <c r="EJ16" i="112"/>
  <c r="EJ9" i="112"/>
  <c r="EJ20" i="112"/>
  <c r="EJ17" i="112"/>
  <c r="EJ8" i="112"/>
  <c r="EJ21" i="112"/>
  <c r="EJ18" i="112"/>
  <c r="EJ7" i="112"/>
  <c r="EJ15" i="112"/>
  <c r="EJ19" i="112"/>
  <c r="EJ14" i="112"/>
  <c r="EJ23" i="112"/>
  <c r="EJ24" i="112"/>
  <c r="EJ6" i="112"/>
  <c r="EJ13" i="112"/>
  <c r="EJ12" i="112"/>
  <c r="CM24" i="113"/>
  <c r="CM15" i="113"/>
  <c r="CM9" i="113"/>
  <c r="CM22" i="113"/>
  <c r="CM23" i="113"/>
  <c r="CM8" i="113"/>
  <c r="CM21" i="113"/>
  <c r="CM17" i="113"/>
  <c r="CM7" i="113"/>
  <c r="CM18" i="113"/>
  <c r="CM12" i="113"/>
  <c r="EK1" i="113"/>
  <c r="CM16" i="113"/>
  <c r="CM6" i="113"/>
  <c r="CM19" i="113"/>
  <c r="CM14" i="113"/>
  <c r="CM20" i="113"/>
  <c r="CM10" i="113"/>
  <c r="CM13" i="113"/>
  <c r="CM11" i="113"/>
  <c r="EJ17" i="113"/>
  <c r="EJ9" i="113"/>
  <c r="EJ14" i="113"/>
  <c r="EJ8" i="113"/>
  <c r="EJ23" i="113"/>
  <c r="EJ13" i="113"/>
  <c r="EJ7" i="113"/>
  <c r="EJ24" i="113"/>
  <c r="EJ22" i="113"/>
  <c r="EJ15" i="113"/>
  <c r="EJ6" i="113"/>
  <c r="EJ12" i="113"/>
  <c r="EJ21" i="113"/>
  <c r="EJ11" i="113"/>
  <c r="EJ16" i="113"/>
  <c r="EJ20" i="113"/>
  <c r="EJ19" i="113"/>
  <c r="EJ18" i="113"/>
  <c r="CN1" i="113"/>
  <c r="CO2" i="113"/>
  <c r="K30" i="113"/>
  <c r="FH27" i="112"/>
  <c r="I33" i="112"/>
  <c r="J26" i="112"/>
  <c r="K30" i="112"/>
  <c r="K28" i="112"/>
  <c r="FH27" i="113"/>
  <c r="J26" i="113"/>
  <c r="I33" i="113"/>
  <c r="DK1" i="113"/>
  <c r="DL2" i="113"/>
  <c r="CO2" i="112"/>
  <c r="CN1" i="112"/>
  <c r="DL2" i="112"/>
  <c r="DK1" i="112"/>
  <c r="CM20" i="112"/>
  <c r="CM24" i="112"/>
  <c r="CM12" i="112"/>
  <c r="EK1" i="112"/>
  <c r="CM18" i="112"/>
  <c r="CM21" i="112"/>
  <c r="CM6" i="112"/>
  <c r="CM23" i="112"/>
  <c r="CM11" i="112"/>
  <c r="CM9" i="112"/>
  <c r="CM16" i="112"/>
  <c r="CM8" i="112"/>
  <c r="CM17" i="112"/>
  <c r="CM15" i="112"/>
  <c r="CM19" i="112"/>
  <c r="CM22" i="112"/>
  <c r="CM10" i="112"/>
  <c r="CM14" i="112"/>
  <c r="CM7" i="112"/>
  <c r="CM13" i="112"/>
  <c r="EI15" i="108"/>
  <c r="EI14" i="108"/>
  <c r="EI13" i="108"/>
  <c r="EI11" i="108"/>
  <c r="EI8" i="108"/>
  <c r="EI24" i="108"/>
  <c r="EI12" i="108"/>
  <c r="EI23" i="108"/>
  <c r="EI21" i="108"/>
  <c r="EI20" i="108"/>
  <c r="EI16" i="108"/>
  <c r="EI22" i="108"/>
  <c r="EI9" i="108"/>
  <c r="EI19" i="108"/>
  <c r="EI7" i="108"/>
  <c r="EI18" i="108"/>
  <c r="EI6" i="108"/>
  <c r="EI17" i="108"/>
  <c r="CM14" i="109"/>
  <c r="CM13" i="109"/>
  <c r="CM24" i="109"/>
  <c r="CM12" i="109"/>
  <c r="CM23" i="109"/>
  <c r="CM11" i="109"/>
  <c r="CM22" i="109"/>
  <c r="CM10" i="109"/>
  <c r="CM21" i="109"/>
  <c r="CM9" i="109"/>
  <c r="CM20" i="109"/>
  <c r="CM8" i="109"/>
  <c r="CM19" i="109"/>
  <c r="CM7" i="109"/>
  <c r="CM18" i="109"/>
  <c r="CM6" i="109"/>
  <c r="CM17" i="109"/>
  <c r="EK1" i="109"/>
  <c r="CM16" i="109"/>
  <c r="CM15" i="109"/>
  <c r="K30" i="109"/>
  <c r="K28" i="109"/>
  <c r="K30" i="108"/>
  <c r="K28" i="108"/>
  <c r="FH27" i="109"/>
  <c r="I33" i="109"/>
  <c r="J26" i="109"/>
  <c r="FG27" i="108"/>
  <c r="EJ24" i="109"/>
  <c r="EJ12" i="109"/>
  <c r="EJ23" i="109"/>
  <c r="EJ11" i="109"/>
  <c r="EJ22" i="109"/>
  <c r="EJ21" i="109"/>
  <c r="EJ9" i="109"/>
  <c r="EJ20" i="109"/>
  <c r="EJ8" i="109"/>
  <c r="EJ19" i="109"/>
  <c r="EJ7" i="109"/>
  <c r="EJ18" i="109"/>
  <c r="EJ6" i="109"/>
  <c r="EJ17" i="109"/>
  <c r="EJ16" i="109"/>
  <c r="EJ15" i="109"/>
  <c r="EJ14" i="109"/>
  <c r="EJ13" i="109"/>
  <c r="I33" i="108"/>
  <c r="J26" i="108"/>
  <c r="DK2" i="108"/>
  <c r="DJ1" i="108"/>
  <c r="DL2" i="109"/>
  <c r="DK1" i="109"/>
  <c r="CL17" i="108"/>
  <c r="EJ1" i="108"/>
  <c r="CL16" i="108"/>
  <c r="CL13" i="108"/>
  <c r="CL15" i="108"/>
  <c r="CL14" i="108"/>
  <c r="CL22" i="108"/>
  <c r="CL7" i="108"/>
  <c r="CL6" i="108"/>
  <c r="CL24" i="108"/>
  <c r="CL12" i="108"/>
  <c r="CL23" i="108"/>
  <c r="CL11" i="108"/>
  <c r="CL10" i="108"/>
  <c r="CL19" i="108"/>
  <c r="CL21" i="108"/>
  <c r="CL9" i="108"/>
  <c r="CL18" i="108"/>
  <c r="CL20" i="108"/>
  <c r="CL8" i="108"/>
  <c r="CO2" i="109"/>
  <c r="CN1" i="109"/>
  <c r="CN2" i="108"/>
  <c r="CM1" i="108"/>
  <c r="FG27" i="106"/>
  <c r="I33" i="106"/>
  <c r="J26" i="106"/>
  <c r="CM1" i="106"/>
  <c r="CN2" i="106"/>
  <c r="CL18" i="106"/>
  <c r="CL10" i="106"/>
  <c r="CL17" i="106"/>
  <c r="CL9" i="106"/>
  <c r="CL24" i="106"/>
  <c r="CL16" i="106"/>
  <c r="CL8" i="106"/>
  <c r="CL23" i="106"/>
  <c r="CL15" i="106"/>
  <c r="CL7" i="106"/>
  <c r="CL22" i="106"/>
  <c r="CL14" i="106"/>
  <c r="CL6" i="106"/>
  <c r="CL21" i="106"/>
  <c r="CL13" i="106"/>
  <c r="EJ1" i="106"/>
  <c r="CL11" i="106"/>
  <c r="CL20" i="106"/>
  <c r="CL12" i="106"/>
  <c r="CL19" i="106"/>
  <c r="EI24" i="106"/>
  <c r="EI16" i="106"/>
  <c r="EI8" i="106"/>
  <c r="EI9" i="106"/>
  <c r="EI23" i="106"/>
  <c r="EI15" i="106"/>
  <c r="EI7" i="106"/>
  <c r="EI22" i="106"/>
  <c r="EI14" i="106"/>
  <c r="EI6" i="106"/>
  <c r="EI21" i="106"/>
  <c r="EI13" i="106"/>
  <c r="EI17" i="106"/>
  <c r="EI20" i="106"/>
  <c r="EI12" i="106"/>
  <c r="EI19" i="106"/>
  <c r="EI11" i="106"/>
  <c r="EI18" i="106"/>
  <c r="K30" i="106"/>
  <c r="K28" i="106"/>
  <c r="DK2" i="106"/>
  <c r="DJ1" i="106"/>
  <c r="CN2" i="105"/>
  <c r="CM1" i="105"/>
  <c r="K30" i="105"/>
  <c r="K28" i="105"/>
  <c r="DK2" i="105"/>
  <c r="DJ1" i="105"/>
  <c r="CL14" i="105"/>
  <c r="CL8" i="105"/>
  <c r="CL7" i="105"/>
  <c r="CL18" i="105"/>
  <c r="CL17" i="105"/>
  <c r="CL13" i="105"/>
  <c r="CL23" i="105"/>
  <c r="CL11" i="105"/>
  <c r="CL21" i="105"/>
  <c r="CL20" i="105"/>
  <c r="CL19" i="105"/>
  <c r="CL6" i="105"/>
  <c r="EJ1" i="105"/>
  <c r="CL16" i="105"/>
  <c r="CL15" i="105"/>
  <c r="CL24" i="105"/>
  <c r="CL12" i="105"/>
  <c r="CL9" i="105"/>
  <c r="CL22" i="105"/>
  <c r="CL10" i="105"/>
  <c r="FG27" i="105"/>
  <c r="I33" i="105"/>
  <c r="J26" i="105"/>
  <c r="EI24" i="105"/>
  <c r="EI12" i="105"/>
  <c r="EI19" i="105"/>
  <c r="EI6" i="105"/>
  <c r="EI17" i="105"/>
  <c r="EI16" i="105"/>
  <c r="EI15" i="105"/>
  <c r="EI13" i="105"/>
  <c r="EI23" i="105"/>
  <c r="EI11" i="105"/>
  <c r="EI21" i="105"/>
  <c r="EI9" i="105"/>
  <c r="EI7" i="105"/>
  <c r="EI14" i="105"/>
  <c r="EI22" i="105"/>
  <c r="EI18" i="105"/>
  <c r="EI20" i="105"/>
  <c r="EI8" i="105"/>
  <c r="DT24" i="100"/>
  <c r="DT23" i="100"/>
  <c r="DT22" i="100"/>
  <c r="DT21" i="100"/>
  <c r="DT20" i="100"/>
  <c r="DT19" i="100"/>
  <c r="DT18" i="100"/>
  <c r="DT17" i="100"/>
  <c r="DT16" i="100"/>
  <c r="DT15" i="100"/>
  <c r="DT14" i="100"/>
  <c r="DT13" i="100"/>
  <c r="DT12" i="100"/>
  <c r="DT11" i="100"/>
  <c r="DT10" i="100"/>
  <c r="DT9" i="100"/>
  <c r="DT8" i="100"/>
  <c r="DT7" i="100"/>
  <c r="DT6" i="100"/>
  <c r="DV2" i="100"/>
  <c r="DU1" i="100"/>
  <c r="CB27" i="100"/>
  <c r="CW24" i="100"/>
  <c r="CW23" i="100"/>
  <c r="CW22" i="100"/>
  <c r="CW21" i="100"/>
  <c r="CW20" i="100"/>
  <c r="CW19" i="100"/>
  <c r="CW18" i="100"/>
  <c r="CW17" i="100"/>
  <c r="CW16" i="100"/>
  <c r="CW15" i="100"/>
  <c r="CW14" i="100"/>
  <c r="CW13" i="100"/>
  <c r="CW12" i="100"/>
  <c r="CW11" i="100"/>
  <c r="CW10" i="100"/>
  <c r="CW9" i="100"/>
  <c r="CW8" i="100"/>
  <c r="CW7" i="100"/>
  <c r="CW6" i="100"/>
  <c r="EU1" i="100"/>
  <c r="CY2" i="100"/>
  <c r="CX1" i="100"/>
  <c r="ET24" i="100"/>
  <c r="ET23" i="100"/>
  <c r="ET22" i="100"/>
  <c r="ET21" i="100"/>
  <c r="ET20" i="100"/>
  <c r="ET19" i="100"/>
  <c r="ET18" i="100"/>
  <c r="ET17" i="100"/>
  <c r="ET16" i="100"/>
  <c r="ET15" i="100"/>
  <c r="ET14" i="100"/>
  <c r="ET13" i="100"/>
  <c r="ET12" i="100"/>
  <c r="ET11" i="100"/>
  <c r="ET9" i="100"/>
  <c r="ET8" i="100"/>
  <c r="ET7" i="100"/>
  <c r="ET6" i="100"/>
  <c r="CX24" i="98"/>
  <c r="CX23" i="98"/>
  <c r="CX22" i="98"/>
  <c r="CX21" i="98"/>
  <c r="CX20" i="98"/>
  <c r="CX19" i="98"/>
  <c r="CX18" i="98"/>
  <c r="CX17" i="98"/>
  <c r="CX16" i="98"/>
  <c r="CX15" i="98"/>
  <c r="CX14" i="98"/>
  <c r="CX13" i="98"/>
  <c r="CX12" i="98"/>
  <c r="CX11" i="98"/>
  <c r="CX10" i="98"/>
  <c r="CX9" i="98"/>
  <c r="CX8" i="98"/>
  <c r="CX7" i="98"/>
  <c r="CX6" i="98"/>
  <c r="EV1" i="98"/>
  <c r="CZ2" i="98"/>
  <c r="CY1" i="98"/>
  <c r="EU24" i="98"/>
  <c r="EU23" i="98"/>
  <c r="EU22" i="98"/>
  <c r="EU21" i="98"/>
  <c r="EU20" i="98"/>
  <c r="EU19" i="98"/>
  <c r="EU18" i="98"/>
  <c r="EU17" i="98"/>
  <c r="EU16" i="98"/>
  <c r="EU15" i="98"/>
  <c r="EU14" i="98"/>
  <c r="EU13" i="98"/>
  <c r="EU12" i="98"/>
  <c r="EU11" i="98"/>
  <c r="EU9" i="98"/>
  <c r="EU8" i="98"/>
  <c r="EU7" i="98"/>
  <c r="EU6" i="98"/>
  <c r="DU24" i="98"/>
  <c r="DU23" i="98"/>
  <c r="DU22" i="98"/>
  <c r="DU21" i="98"/>
  <c r="DU20" i="98"/>
  <c r="DU19" i="98"/>
  <c r="DU18" i="98"/>
  <c r="DU17" i="98"/>
  <c r="DU16" i="98"/>
  <c r="DU15" i="98"/>
  <c r="DU14" i="98"/>
  <c r="DU13" i="98"/>
  <c r="DU12" i="98"/>
  <c r="DU11" i="98"/>
  <c r="DU10" i="98"/>
  <c r="DU9" i="98"/>
  <c r="DU8" i="98"/>
  <c r="DU7" i="98"/>
  <c r="DU6" i="98"/>
  <c r="DW2" i="98"/>
  <c r="DV1" i="98"/>
  <c r="EU10" i="95"/>
  <c r="EV10" i="96"/>
  <c r="DV24" i="97"/>
  <c r="DV23" i="97"/>
  <c r="DV22" i="97"/>
  <c r="DV21" i="97"/>
  <c r="DV20" i="97"/>
  <c r="DV19" i="97"/>
  <c r="DV18" i="97"/>
  <c r="DV17" i="97"/>
  <c r="DV16" i="97"/>
  <c r="DV15" i="97"/>
  <c r="DV14" i="97"/>
  <c r="DV13" i="97"/>
  <c r="DV12" i="97"/>
  <c r="DV11" i="97"/>
  <c r="DV10" i="97"/>
  <c r="DV9" i="97"/>
  <c r="DV8" i="97"/>
  <c r="DV7" i="97"/>
  <c r="DV6" i="97"/>
  <c r="DX2" i="97"/>
  <c r="DW1" i="97"/>
  <c r="CY24" i="97"/>
  <c r="CY23" i="97"/>
  <c r="CY22" i="97"/>
  <c r="CY21" i="97"/>
  <c r="CY20" i="97"/>
  <c r="CY19" i="97"/>
  <c r="CY18" i="97"/>
  <c r="CY17" i="97"/>
  <c r="CY16" i="97"/>
  <c r="CY15" i="97"/>
  <c r="CY14" i="97"/>
  <c r="CY13" i="97"/>
  <c r="CY12" i="97"/>
  <c r="CY11" i="97"/>
  <c r="CY10" i="97"/>
  <c r="CY9" i="97"/>
  <c r="CY8" i="97"/>
  <c r="CY7" i="97"/>
  <c r="CY6" i="97"/>
  <c r="EW1" i="97"/>
  <c r="DA2" i="97"/>
  <c r="CZ1" i="97"/>
  <c r="EV24" i="97"/>
  <c r="EV23" i="97"/>
  <c r="EV22" i="97"/>
  <c r="EV21" i="97"/>
  <c r="EV20" i="97"/>
  <c r="EV19" i="97"/>
  <c r="EV18" i="97"/>
  <c r="EV17" i="97"/>
  <c r="EV16" i="97"/>
  <c r="EV15" i="97"/>
  <c r="EV14" i="97"/>
  <c r="EV13" i="97"/>
  <c r="EV12" i="97"/>
  <c r="EV11" i="97"/>
  <c r="EV9" i="97"/>
  <c r="EV8" i="97"/>
  <c r="EV7" i="97"/>
  <c r="EV6" i="97"/>
  <c r="DX24" i="95"/>
  <c r="DX23" i="95"/>
  <c r="DX22" i="95"/>
  <c r="DX21" i="95"/>
  <c r="DX20" i="95"/>
  <c r="DX19" i="95"/>
  <c r="DX18" i="95"/>
  <c r="DX17" i="95"/>
  <c r="DX16" i="95"/>
  <c r="DX15" i="95"/>
  <c r="DX14" i="95"/>
  <c r="DX13" i="95"/>
  <c r="DX12" i="95"/>
  <c r="DX11" i="95"/>
  <c r="DX10" i="95"/>
  <c r="DX9" i="95"/>
  <c r="DX8" i="95"/>
  <c r="DX7" i="95"/>
  <c r="DX6" i="95"/>
  <c r="DZ2" i="95"/>
  <c r="DY1" i="95"/>
  <c r="DA24" i="95"/>
  <c r="DA23" i="95"/>
  <c r="DA22" i="95"/>
  <c r="DA21" i="95"/>
  <c r="DA20" i="95"/>
  <c r="DA19" i="95"/>
  <c r="DA18" i="95"/>
  <c r="DA17" i="95"/>
  <c r="DA16" i="95"/>
  <c r="DA15" i="95"/>
  <c r="DA14" i="95"/>
  <c r="DA13" i="95"/>
  <c r="DA12" i="95"/>
  <c r="DA11" i="95"/>
  <c r="DA10" i="95"/>
  <c r="DA9" i="95"/>
  <c r="DA8" i="95"/>
  <c r="DA7" i="95"/>
  <c r="DA6" i="95"/>
  <c r="EY1" i="95"/>
  <c r="DC2" i="95"/>
  <c r="DB1" i="95"/>
  <c r="EX24" i="95"/>
  <c r="EX23" i="95"/>
  <c r="EX22" i="95"/>
  <c r="EX21" i="95"/>
  <c r="EX20" i="95"/>
  <c r="EX19" i="95"/>
  <c r="EX18" i="95"/>
  <c r="EX17" i="95"/>
  <c r="EX16" i="95"/>
  <c r="EX15" i="95"/>
  <c r="EX14" i="95"/>
  <c r="EX13" i="95"/>
  <c r="EX12" i="95"/>
  <c r="EX11" i="95"/>
  <c r="EX10" i="95"/>
  <c r="EX9" i="95"/>
  <c r="EX8" i="95"/>
  <c r="EX7" i="95"/>
  <c r="EX6" i="95"/>
  <c r="CZ24" i="96"/>
  <c r="CZ23" i="96"/>
  <c r="CZ22" i="96"/>
  <c r="CZ21" i="96"/>
  <c r="CZ20" i="96"/>
  <c r="CZ19" i="96"/>
  <c r="CZ18" i="96"/>
  <c r="CZ17" i="96"/>
  <c r="CZ16" i="96"/>
  <c r="CZ15" i="96"/>
  <c r="CZ14" i="96"/>
  <c r="CZ13" i="96"/>
  <c r="CZ12" i="96"/>
  <c r="CZ11" i="96"/>
  <c r="CZ10" i="96"/>
  <c r="CZ9" i="96"/>
  <c r="CZ8" i="96"/>
  <c r="CZ7" i="96"/>
  <c r="CZ6" i="96"/>
  <c r="EX1" i="96"/>
  <c r="DB2" i="96"/>
  <c r="DA1" i="96"/>
  <c r="EW24" i="96"/>
  <c r="EW23" i="96"/>
  <c r="EW22" i="96"/>
  <c r="EW21" i="96"/>
  <c r="EW20" i="96"/>
  <c r="EW19" i="96"/>
  <c r="EW18" i="96"/>
  <c r="EW17" i="96"/>
  <c r="EW16" i="96"/>
  <c r="EW15" i="96"/>
  <c r="EW14" i="96"/>
  <c r="EW13" i="96"/>
  <c r="EW12" i="96"/>
  <c r="EW11" i="96"/>
  <c r="EW10" i="96"/>
  <c r="EW9" i="96"/>
  <c r="EW8" i="96"/>
  <c r="EW7" i="96"/>
  <c r="EW6" i="96"/>
  <c r="DW24" i="96"/>
  <c r="DW23" i="96"/>
  <c r="DW22" i="96"/>
  <c r="DW21" i="96"/>
  <c r="DW20" i="96"/>
  <c r="DW19" i="96"/>
  <c r="DW18" i="96"/>
  <c r="DW17" i="96"/>
  <c r="DW16" i="96"/>
  <c r="DW15" i="96"/>
  <c r="DW14" i="96"/>
  <c r="DW13" i="96"/>
  <c r="DW12" i="96"/>
  <c r="DW11" i="96"/>
  <c r="DW10" i="96"/>
  <c r="DW9" i="96"/>
  <c r="DW8" i="96"/>
  <c r="DW7" i="96"/>
  <c r="DW6" i="96"/>
  <c r="DY2" i="96"/>
  <c r="DX1" i="96"/>
  <c r="ET10" i="93"/>
  <c r="CH10" i="93" s="1"/>
  <c r="EU10" i="94"/>
  <c r="BR27" i="94"/>
  <c r="EZ24" i="94"/>
  <c r="EZ23" i="94"/>
  <c r="EZ19" i="94"/>
  <c r="EZ21" i="94"/>
  <c r="EZ20" i="94"/>
  <c r="EZ11" i="94"/>
  <c r="EZ22" i="94"/>
  <c r="EZ16" i="94"/>
  <c r="EZ10" i="94"/>
  <c r="EZ9" i="94"/>
  <c r="EZ8" i="94"/>
  <c r="EZ15" i="94"/>
  <c r="EZ18" i="94"/>
  <c r="EZ17" i="94"/>
  <c r="EZ6" i="94"/>
  <c r="EZ12" i="94"/>
  <c r="EZ7" i="94"/>
  <c r="EZ14" i="94"/>
  <c r="EZ13" i="94"/>
  <c r="DD1" i="94"/>
  <c r="DE2" i="94"/>
  <c r="DC23" i="94"/>
  <c r="DC22" i="94"/>
  <c r="DC15" i="94"/>
  <c r="DC14" i="94"/>
  <c r="DC7" i="94"/>
  <c r="DC20" i="94"/>
  <c r="DC19" i="94"/>
  <c r="DC18" i="94"/>
  <c r="DC17" i="94"/>
  <c r="DC24" i="94"/>
  <c r="DC12" i="94"/>
  <c r="DC8" i="94"/>
  <c r="DC6" i="94"/>
  <c r="DC21" i="94"/>
  <c r="DC13" i="94"/>
  <c r="FA1" i="94"/>
  <c r="DC11" i="94"/>
  <c r="DC10" i="94"/>
  <c r="DC16" i="94"/>
  <c r="DC9" i="94"/>
  <c r="DZ20" i="94"/>
  <c r="DZ17" i="94"/>
  <c r="DZ12" i="94"/>
  <c r="DZ24" i="94"/>
  <c r="DZ23" i="94"/>
  <c r="DZ19" i="94"/>
  <c r="DZ15" i="94"/>
  <c r="DZ11" i="94"/>
  <c r="DZ18" i="94"/>
  <c r="DZ13" i="94"/>
  <c r="DZ14" i="94"/>
  <c r="DZ6" i="94"/>
  <c r="DZ10" i="94"/>
  <c r="DZ7" i="94"/>
  <c r="DZ22" i="94"/>
  <c r="DZ9" i="94"/>
  <c r="DZ21" i="94"/>
  <c r="DZ16" i="94"/>
  <c r="DZ8" i="94"/>
  <c r="EA1" i="94"/>
  <c r="EB2" i="94"/>
  <c r="EA24" i="93"/>
  <c r="EA22" i="93"/>
  <c r="EA15" i="93"/>
  <c r="EA13" i="93"/>
  <c r="EA8" i="93"/>
  <c r="EA6" i="93"/>
  <c r="EA20" i="93"/>
  <c r="EA12" i="93"/>
  <c r="EA9" i="93"/>
  <c r="EA17" i="93"/>
  <c r="EA10" i="93"/>
  <c r="EA23" i="93"/>
  <c r="EA19" i="93"/>
  <c r="EA14" i="93"/>
  <c r="EA11" i="93"/>
  <c r="EA18" i="93"/>
  <c r="EA7" i="93"/>
  <c r="EA21" i="93"/>
  <c r="EA16" i="93"/>
  <c r="DF2" i="93"/>
  <c r="DE1" i="93"/>
  <c r="FA23" i="93"/>
  <c r="FA20" i="93"/>
  <c r="FA14" i="93"/>
  <c r="FA9" i="93"/>
  <c r="FA7" i="93"/>
  <c r="FA17" i="93"/>
  <c r="FA8" i="93"/>
  <c r="FA18" i="93"/>
  <c r="FA13" i="93"/>
  <c r="FA21" i="93"/>
  <c r="FA10" i="93"/>
  <c r="FA22" i="93"/>
  <c r="FA16" i="93"/>
  <c r="FA6" i="93"/>
  <c r="FA19" i="93"/>
  <c r="FA11" i="93"/>
  <c r="FA24" i="93"/>
  <c r="FA15" i="93"/>
  <c r="FA12" i="93"/>
  <c r="EC2" i="93"/>
  <c r="EB1" i="93"/>
  <c r="DD22" i="93"/>
  <c r="DD24" i="93"/>
  <c r="DD16" i="93"/>
  <c r="DD12" i="93"/>
  <c r="DD8" i="93"/>
  <c r="DD20" i="93"/>
  <c r="DD19" i="93"/>
  <c r="DD7" i="93"/>
  <c r="DD14" i="93"/>
  <c r="DD9" i="93"/>
  <c r="DD21" i="93"/>
  <c r="DD17" i="93"/>
  <c r="DD13" i="93"/>
  <c r="DD11" i="93"/>
  <c r="DD6" i="93"/>
  <c r="DD15" i="93"/>
  <c r="DD10" i="93"/>
  <c r="DD23" i="93"/>
  <c r="DD18" i="93"/>
  <c r="FB1" i="93"/>
  <c r="FG27" i="92"/>
  <c r="K28" i="92"/>
  <c r="K30" i="92"/>
  <c r="EI21" i="92"/>
  <c r="EI18" i="92"/>
  <c r="EI7" i="92"/>
  <c r="EI20" i="92"/>
  <c r="EI16" i="92"/>
  <c r="EI15" i="92"/>
  <c r="EI22" i="92"/>
  <c r="EI19" i="92"/>
  <c r="EI13" i="92"/>
  <c r="EI8" i="92"/>
  <c r="EI14" i="92"/>
  <c r="EI17" i="92"/>
  <c r="EI23" i="92"/>
  <c r="EI11" i="92"/>
  <c r="EI9" i="92"/>
  <c r="EI6" i="92"/>
  <c r="EI12" i="92"/>
  <c r="EI24" i="92"/>
  <c r="DJ1" i="92"/>
  <c r="DK2" i="92"/>
  <c r="CL12" i="92"/>
  <c r="CL19" i="92"/>
  <c r="EJ1" i="92"/>
  <c r="CL7" i="92"/>
  <c r="CL18" i="92"/>
  <c r="CL9" i="92"/>
  <c r="CL20" i="92"/>
  <c r="CL11" i="92"/>
  <c r="CL21" i="92"/>
  <c r="CL17" i="92"/>
  <c r="CL24" i="92"/>
  <c r="CL15" i="92"/>
  <c r="CL6" i="92"/>
  <c r="CL22" i="92"/>
  <c r="CL13" i="92"/>
  <c r="CL10" i="92"/>
  <c r="CL8" i="92"/>
  <c r="CL23" i="92"/>
  <c r="CL16" i="92"/>
  <c r="CL14" i="92"/>
  <c r="BV27" i="92"/>
  <c r="CM1" i="92"/>
  <c r="CN2" i="92"/>
  <c r="J26" i="92"/>
  <c r="I33" i="92"/>
  <c r="I33" i="90"/>
  <c r="J26" i="90"/>
  <c r="FG27" i="91"/>
  <c r="FG27" i="90"/>
  <c r="CL6" i="90"/>
  <c r="CL22" i="90"/>
  <c r="CL11" i="90"/>
  <c r="CL21" i="90"/>
  <c r="CL17" i="90"/>
  <c r="CL23" i="90"/>
  <c r="CL9" i="90"/>
  <c r="CL15" i="90"/>
  <c r="CL24" i="90"/>
  <c r="CL8" i="90"/>
  <c r="CL19" i="90"/>
  <c r="EJ1" i="90"/>
  <c r="CL16" i="90"/>
  <c r="CL14" i="90"/>
  <c r="CL18" i="90"/>
  <c r="CL7" i="90"/>
  <c r="CL20" i="90"/>
  <c r="CL10" i="90"/>
  <c r="CL13" i="90"/>
  <c r="CL12" i="90"/>
  <c r="K28" i="91"/>
  <c r="K30" i="91"/>
  <c r="DK2" i="91"/>
  <c r="DJ1" i="91"/>
  <c r="CN2" i="90"/>
  <c r="CM1" i="90"/>
  <c r="DK2" i="90"/>
  <c r="DJ1" i="90"/>
  <c r="K30" i="90"/>
  <c r="K28" i="90"/>
  <c r="J26" i="91"/>
  <c r="I33" i="91"/>
  <c r="CN2" i="91"/>
  <c r="CM1" i="91"/>
  <c r="CL19" i="91"/>
  <c r="CL9" i="91"/>
  <c r="CL17" i="91"/>
  <c r="CL8" i="91"/>
  <c r="CL21" i="91"/>
  <c r="CL7" i="91"/>
  <c r="CL6" i="91"/>
  <c r="CL20" i="91"/>
  <c r="CL12" i="91"/>
  <c r="CL23" i="91"/>
  <c r="CL24" i="91"/>
  <c r="CL18" i="91"/>
  <c r="CL15" i="91"/>
  <c r="CL11" i="91"/>
  <c r="CL22" i="91"/>
  <c r="EJ1" i="91"/>
  <c r="CL13" i="91"/>
  <c r="CL16" i="91"/>
  <c r="CL14" i="91"/>
  <c r="CL10" i="91"/>
  <c r="EI17" i="90"/>
  <c r="EI7" i="90"/>
  <c r="EI24" i="90"/>
  <c r="EI11" i="90"/>
  <c r="EI6" i="90"/>
  <c r="EI20" i="90"/>
  <c r="EI19" i="90"/>
  <c r="EI9" i="90"/>
  <c r="EI16" i="90"/>
  <c r="EI8" i="90"/>
  <c r="EI23" i="90"/>
  <c r="EI15" i="90"/>
  <c r="EI18" i="90"/>
  <c r="EI14" i="90"/>
  <c r="EI22" i="90"/>
  <c r="EI13" i="90"/>
  <c r="EI21" i="90"/>
  <c r="EI9" i="91"/>
  <c r="EI15" i="91"/>
  <c r="EI8" i="91"/>
  <c r="EI12" i="91"/>
  <c r="EI17" i="91"/>
  <c r="EI11" i="91"/>
  <c r="EI23" i="91"/>
  <c r="EI14" i="91"/>
  <c r="EI6" i="91"/>
  <c r="EI24" i="91"/>
  <c r="EI20" i="91"/>
  <c r="EI18" i="91"/>
  <c r="EI21" i="91"/>
  <c r="EI7" i="91"/>
  <c r="EI22" i="91"/>
  <c r="EI19" i="91"/>
  <c r="EI13" i="91"/>
  <c r="EI16" i="91"/>
  <c r="DK2" i="89"/>
  <c r="DJ1" i="89"/>
  <c r="EI22" i="89"/>
  <c r="EI15" i="89"/>
  <c r="EI6" i="89"/>
  <c r="EI24" i="89"/>
  <c r="EI14" i="89"/>
  <c r="EI20" i="89"/>
  <c r="EI12" i="89"/>
  <c r="EI9" i="89"/>
  <c r="EI8" i="89"/>
  <c r="EI18" i="89"/>
  <c r="EI13" i="89"/>
  <c r="EI19" i="89"/>
  <c r="EI11" i="89"/>
  <c r="EI21" i="89"/>
  <c r="EI23" i="89"/>
  <c r="EI16" i="89"/>
  <c r="EI17" i="89"/>
  <c r="EI7" i="89"/>
  <c r="K28" i="89"/>
  <c r="K30" i="89"/>
  <c r="CL20" i="89"/>
  <c r="CL13" i="89"/>
  <c r="CL8" i="89"/>
  <c r="CL23" i="89"/>
  <c r="CL12" i="89"/>
  <c r="EJ1" i="89"/>
  <c r="CL21" i="89"/>
  <c r="CL11" i="89"/>
  <c r="CL22" i="89"/>
  <c r="CL10" i="89"/>
  <c r="CL18" i="89"/>
  <c r="CL14" i="89"/>
  <c r="CL17" i="89"/>
  <c r="CL6" i="89"/>
  <c r="CL19" i="89"/>
  <c r="CL16" i="89"/>
  <c r="CL7" i="89"/>
  <c r="CL24" i="89"/>
  <c r="CL15" i="89"/>
  <c r="CL9" i="89"/>
  <c r="CM1" i="89"/>
  <c r="CN2" i="89"/>
  <c r="FG27" i="89"/>
  <c r="J26" i="89"/>
  <c r="I33" i="89"/>
  <c r="CM1" i="87"/>
  <c r="CN2" i="87"/>
  <c r="EI21" i="87"/>
  <c r="EI18" i="87"/>
  <c r="EI11" i="87"/>
  <c r="EI20" i="87"/>
  <c r="EI12" i="87"/>
  <c r="EI7" i="87"/>
  <c r="EI23" i="87"/>
  <c r="EI8" i="87"/>
  <c r="EI24" i="87"/>
  <c r="EI13" i="87"/>
  <c r="EI19" i="87"/>
  <c r="EI17" i="87"/>
  <c r="EI16" i="87"/>
  <c r="EI14" i="87"/>
  <c r="EI9" i="87"/>
  <c r="EI15" i="87"/>
  <c r="EI6" i="87"/>
  <c r="EI22" i="87"/>
  <c r="CL19" i="87"/>
  <c r="CL10" i="87"/>
  <c r="CL21" i="87"/>
  <c r="CL17" i="87"/>
  <c r="CL20" i="87"/>
  <c r="CL8" i="87"/>
  <c r="CL11" i="87"/>
  <c r="CL16" i="87"/>
  <c r="EJ1" i="87"/>
  <c r="CL18" i="87"/>
  <c r="CL22" i="87"/>
  <c r="CL15" i="87"/>
  <c r="CL9" i="87"/>
  <c r="CL24" i="87"/>
  <c r="CL13" i="87"/>
  <c r="CL14" i="87"/>
  <c r="CL7" i="87"/>
  <c r="CL23" i="87"/>
  <c r="CL12" i="87"/>
  <c r="CL6" i="87"/>
  <c r="DJ1" i="87"/>
  <c r="DK2" i="87"/>
  <c r="K30" i="87"/>
  <c r="K28" i="87"/>
  <c r="J26" i="88"/>
  <c r="I33" i="88"/>
  <c r="CL20" i="88"/>
  <c r="CL14" i="88"/>
  <c r="CL6" i="88"/>
  <c r="CL16" i="88"/>
  <c r="CL10" i="88"/>
  <c r="CL18" i="88"/>
  <c r="CL9" i="88"/>
  <c r="CL22" i="88"/>
  <c r="CL11" i="88"/>
  <c r="CL19" i="88"/>
  <c r="CL17" i="88"/>
  <c r="EJ1" i="88"/>
  <c r="CL15" i="88"/>
  <c r="CL8" i="88"/>
  <c r="CL24" i="88"/>
  <c r="CL21" i="88"/>
  <c r="CL13" i="88"/>
  <c r="CL23" i="88"/>
  <c r="CL12" i="88"/>
  <c r="CL7" i="88"/>
  <c r="FG27" i="88"/>
  <c r="FG27" i="87"/>
  <c r="CN2" i="88"/>
  <c r="CM1" i="88"/>
  <c r="EI16" i="88"/>
  <c r="EI8" i="88"/>
  <c r="EI23" i="88"/>
  <c r="EI18" i="88"/>
  <c r="EI12" i="88"/>
  <c r="EI22" i="88"/>
  <c r="EI13" i="88"/>
  <c r="EI9" i="88"/>
  <c r="EI17" i="88"/>
  <c r="EI20" i="88"/>
  <c r="EI11" i="88"/>
  <c r="EI14" i="88"/>
  <c r="EI21" i="88"/>
  <c r="EI7" i="88"/>
  <c r="EI15" i="88"/>
  <c r="EI24" i="88"/>
  <c r="EI19" i="88"/>
  <c r="EI6" i="88"/>
  <c r="DK2" i="88"/>
  <c r="DJ1" i="88"/>
  <c r="K30" i="88"/>
  <c r="K28" i="88"/>
  <c r="J26" i="87"/>
  <c r="I33" i="87"/>
  <c r="K29" i="86"/>
  <c r="K27" i="86"/>
  <c r="DK2" i="86"/>
  <c r="DJ1" i="86"/>
  <c r="EI19" i="86"/>
  <c r="EI8" i="86"/>
  <c r="EI22" i="86"/>
  <c r="EI9" i="86"/>
  <c r="EI21" i="86"/>
  <c r="EI7" i="86"/>
  <c r="EI14" i="86"/>
  <c r="EI18" i="86"/>
  <c r="EI6" i="86"/>
  <c r="EI17" i="86"/>
  <c r="EI20" i="86"/>
  <c r="EI13" i="86"/>
  <c r="EI12" i="86"/>
  <c r="EI24" i="86"/>
  <c r="EI16" i="86"/>
  <c r="EI15" i="86"/>
  <c r="EI23" i="86"/>
  <c r="EI11" i="86"/>
  <c r="CN2" i="86"/>
  <c r="CM1" i="86"/>
  <c r="CL23" i="86"/>
  <c r="CL18" i="86"/>
  <c r="CL19" i="86"/>
  <c r="CL21" i="86"/>
  <c r="CL14" i="86"/>
  <c r="CL17" i="86"/>
  <c r="CL24" i="86"/>
  <c r="CL8" i="86"/>
  <c r="CL11" i="86"/>
  <c r="CL22" i="86"/>
  <c r="CL7" i="86"/>
  <c r="EJ1" i="86"/>
  <c r="CL16" i="86"/>
  <c r="CL9" i="86"/>
  <c r="CL15" i="86"/>
  <c r="CL6" i="86"/>
  <c r="CL20" i="86"/>
  <c r="CL10" i="86"/>
  <c r="CL13" i="86"/>
  <c r="CL12" i="86"/>
  <c r="FG26" i="86"/>
  <c r="EX101" i="9"/>
  <c r="BQ13" i="95" s="1"/>
  <c r="BQ27" i="95" s="1"/>
  <c r="EW102" i="9"/>
  <c r="IV100" i="9"/>
  <c r="IU101" i="9"/>
  <c r="BV13" i="94"/>
  <c r="GJ101" i="9"/>
  <c r="GN101" i="9" s="1"/>
  <c r="GH99" i="9"/>
  <c r="BV10" i="93" s="1"/>
  <c r="K30" i="124" l="1"/>
  <c r="DF5" i="14"/>
  <c r="HI134" i="9"/>
  <c r="HC134" i="9"/>
  <c r="HF134" i="9"/>
  <c r="GA134" i="9"/>
  <c r="HL134" i="9"/>
  <c r="HQ134" i="9"/>
  <c r="EJ21" i="124"/>
  <c r="EJ19" i="124"/>
  <c r="EJ20" i="124"/>
  <c r="EJ13" i="124"/>
  <c r="EJ18" i="124"/>
  <c r="EJ9" i="124"/>
  <c r="EJ17" i="124"/>
  <c r="EJ11" i="124"/>
  <c r="EJ16" i="124"/>
  <c r="EJ6" i="124"/>
  <c r="EJ22" i="124"/>
  <c r="EJ8" i="124"/>
  <c r="EJ23" i="124"/>
  <c r="EJ15" i="124"/>
  <c r="EJ24" i="124"/>
  <c r="EJ12" i="124"/>
  <c r="EJ7" i="124"/>
  <c r="EJ14" i="124"/>
  <c r="CO2" i="124"/>
  <c r="CN1" i="124"/>
  <c r="DJ23" i="124"/>
  <c r="DJ16" i="124"/>
  <c r="DJ21" i="124"/>
  <c r="DJ22" i="124"/>
  <c r="DJ19" i="124"/>
  <c r="DJ9" i="124"/>
  <c r="DJ24" i="124"/>
  <c r="DJ8" i="124"/>
  <c r="DJ15" i="124"/>
  <c r="DJ17" i="124"/>
  <c r="DJ6" i="124"/>
  <c r="DJ14" i="124"/>
  <c r="DJ18" i="124"/>
  <c r="DJ7" i="124"/>
  <c r="DJ11" i="124"/>
  <c r="DJ13" i="124"/>
  <c r="DJ20" i="124"/>
  <c r="DJ12" i="124"/>
  <c r="DJ10" i="124"/>
  <c r="CM18" i="124"/>
  <c r="CM6" i="124"/>
  <c r="CM16" i="124"/>
  <c r="EK1" i="124"/>
  <c r="CM17" i="124"/>
  <c r="CM9" i="124"/>
  <c r="CM24" i="124"/>
  <c r="CM11" i="124"/>
  <c r="CM22" i="124"/>
  <c r="CM15" i="124"/>
  <c r="CM23" i="124"/>
  <c r="CM19" i="124"/>
  <c r="CM8" i="124"/>
  <c r="CM7" i="124"/>
  <c r="CM21" i="124"/>
  <c r="CM14" i="124"/>
  <c r="CM20" i="124"/>
  <c r="CM13" i="124"/>
  <c r="CM10" i="124"/>
  <c r="CM12" i="124"/>
  <c r="DL2" i="124"/>
  <c r="DK1" i="124"/>
  <c r="DJ18" i="121"/>
  <c r="DJ12" i="121"/>
  <c r="DJ23" i="121"/>
  <c r="DJ14" i="121"/>
  <c r="DJ21" i="121"/>
  <c r="DJ20" i="121"/>
  <c r="DJ15" i="121"/>
  <c r="DJ9" i="121"/>
  <c r="DJ8" i="121"/>
  <c r="DJ17" i="121"/>
  <c r="DJ6" i="121"/>
  <c r="DJ7" i="121"/>
  <c r="DJ13" i="121"/>
  <c r="DJ10" i="121"/>
  <c r="DJ24" i="121"/>
  <c r="DJ19" i="121"/>
  <c r="DJ22" i="121"/>
  <c r="DJ11" i="121"/>
  <c r="DJ16" i="121"/>
  <c r="DL2" i="121"/>
  <c r="DK1" i="121"/>
  <c r="CM19" i="121"/>
  <c r="CM11" i="121"/>
  <c r="CM7" i="121"/>
  <c r="CM21" i="121"/>
  <c r="CM10" i="121"/>
  <c r="CM16" i="121"/>
  <c r="CM15" i="121"/>
  <c r="CM17" i="121"/>
  <c r="CM20" i="121"/>
  <c r="CM23" i="121"/>
  <c r="CM14" i="121"/>
  <c r="CM9" i="121"/>
  <c r="CM13" i="121"/>
  <c r="EK1" i="121"/>
  <c r="CM22" i="121"/>
  <c r="CM6" i="121"/>
  <c r="CM24" i="121"/>
  <c r="CM18" i="121"/>
  <c r="CM8" i="121"/>
  <c r="CM12" i="121"/>
  <c r="EJ19" i="121"/>
  <c r="EJ9" i="121"/>
  <c r="EJ8" i="121"/>
  <c r="EJ12" i="121"/>
  <c r="EJ24" i="121"/>
  <c r="EJ11" i="121"/>
  <c r="EJ22" i="121"/>
  <c r="EJ17" i="121"/>
  <c r="EJ20" i="121"/>
  <c r="EJ16" i="121"/>
  <c r="EJ14" i="121"/>
  <c r="EJ18" i="121"/>
  <c r="EJ6" i="121"/>
  <c r="EJ21" i="121"/>
  <c r="EJ15" i="121"/>
  <c r="EJ7" i="121"/>
  <c r="EJ23" i="121"/>
  <c r="EJ13" i="121"/>
  <c r="CO2" i="121"/>
  <c r="CN1" i="121"/>
  <c r="CN1" i="120"/>
  <c r="CO2" i="120"/>
  <c r="EJ12" i="120"/>
  <c r="EJ9" i="120"/>
  <c r="EJ18" i="120"/>
  <c r="EJ7" i="120"/>
  <c r="EJ24" i="120"/>
  <c r="EJ16" i="120"/>
  <c r="EJ8" i="120"/>
  <c r="EJ20" i="120"/>
  <c r="EJ15" i="120"/>
  <c r="EJ21" i="120"/>
  <c r="EJ13" i="120"/>
  <c r="EJ19" i="120"/>
  <c r="EJ14" i="120"/>
  <c r="EJ6" i="120"/>
  <c r="EJ23" i="120"/>
  <c r="EJ17" i="120"/>
  <c r="EJ22" i="120"/>
  <c r="EJ11" i="120"/>
  <c r="DJ21" i="120"/>
  <c r="DJ13" i="120"/>
  <c r="DJ7" i="120"/>
  <c r="DJ20" i="120"/>
  <c r="DJ11" i="120"/>
  <c r="DJ8" i="120"/>
  <c r="DJ23" i="120"/>
  <c r="DJ12" i="120"/>
  <c r="DJ24" i="120"/>
  <c r="DJ19" i="120"/>
  <c r="DJ14" i="120"/>
  <c r="DJ9" i="120"/>
  <c r="DJ17" i="120"/>
  <c r="DJ16" i="120"/>
  <c r="DJ15" i="120"/>
  <c r="DJ10" i="120"/>
  <c r="DJ22" i="120"/>
  <c r="DJ18" i="120"/>
  <c r="DJ6" i="120"/>
  <c r="A135" i="9"/>
  <c r="E135" i="9" s="1"/>
  <c r="C136" i="9"/>
  <c r="CM21" i="120"/>
  <c r="CM11" i="120"/>
  <c r="CM17" i="120"/>
  <c r="CM7" i="120"/>
  <c r="CM23" i="120"/>
  <c r="CM16" i="120"/>
  <c r="CM9" i="120"/>
  <c r="CM24" i="120"/>
  <c r="CM15" i="120"/>
  <c r="CM6" i="120"/>
  <c r="CM20" i="120"/>
  <c r="CM12" i="120"/>
  <c r="CM19" i="120"/>
  <c r="CM14" i="120"/>
  <c r="CM10" i="120"/>
  <c r="CM22" i="120"/>
  <c r="CM13" i="120"/>
  <c r="EK1" i="120"/>
  <c r="CM18" i="120"/>
  <c r="CM8" i="120"/>
  <c r="DL2" i="120"/>
  <c r="DK1" i="120"/>
  <c r="DK1" i="119"/>
  <c r="DL2" i="119"/>
  <c r="DJ22" i="119"/>
  <c r="DJ14" i="119"/>
  <c r="DJ8" i="119"/>
  <c r="DJ12" i="119"/>
  <c r="DJ17" i="119"/>
  <c r="DJ23" i="119"/>
  <c r="DJ9" i="119"/>
  <c r="DJ6" i="119"/>
  <c r="DJ21" i="119"/>
  <c r="DJ16" i="119"/>
  <c r="DJ10" i="119"/>
  <c r="DJ24" i="119"/>
  <c r="DJ19" i="119"/>
  <c r="DJ13" i="119"/>
  <c r="DJ20" i="119"/>
  <c r="DJ11" i="119"/>
  <c r="DJ7" i="119"/>
  <c r="DJ18" i="119"/>
  <c r="DJ15" i="119"/>
  <c r="EJ20" i="119"/>
  <c r="EJ15" i="119"/>
  <c r="EJ6" i="119"/>
  <c r="EJ23" i="119"/>
  <c r="EJ8" i="119"/>
  <c r="EJ21" i="119"/>
  <c r="EJ18" i="119"/>
  <c r="EJ9" i="119"/>
  <c r="EJ17" i="119"/>
  <c r="EJ14" i="119"/>
  <c r="EJ19" i="119"/>
  <c r="EJ11" i="119"/>
  <c r="EJ22" i="119"/>
  <c r="EJ12" i="119"/>
  <c r="EJ24" i="119"/>
  <c r="EJ16" i="119"/>
  <c r="EJ7" i="119"/>
  <c r="EJ13" i="119"/>
  <c r="CN1" i="119"/>
  <c r="CO2" i="119"/>
  <c r="CM20" i="119"/>
  <c r="CM11" i="119"/>
  <c r="CM6" i="119"/>
  <c r="CM18" i="119"/>
  <c r="EK1" i="119"/>
  <c r="CM23" i="119"/>
  <c r="CM7" i="119"/>
  <c r="CM17" i="119"/>
  <c r="CM19" i="119"/>
  <c r="CM8" i="119"/>
  <c r="CM10" i="119"/>
  <c r="CM15" i="119"/>
  <c r="CM13" i="119"/>
  <c r="CM16" i="119"/>
  <c r="CM9" i="119"/>
  <c r="CM24" i="119"/>
  <c r="CM14" i="119"/>
  <c r="CM21" i="119"/>
  <c r="CM22" i="119"/>
  <c r="CM12" i="119"/>
  <c r="CN21" i="116"/>
  <c r="CN15" i="116"/>
  <c r="CN8" i="116"/>
  <c r="CN19" i="116"/>
  <c r="CN10" i="116"/>
  <c r="EL1" i="116"/>
  <c r="CN20" i="116"/>
  <c r="CN13" i="116"/>
  <c r="CN23" i="116"/>
  <c r="CN14" i="116"/>
  <c r="CN18" i="116"/>
  <c r="CN11" i="116"/>
  <c r="CN22" i="116"/>
  <c r="CN7" i="116"/>
  <c r="CN16" i="116"/>
  <c r="CN9" i="116"/>
  <c r="CN12" i="116"/>
  <c r="CN24" i="116"/>
  <c r="CN17" i="116"/>
  <c r="CN6" i="116"/>
  <c r="CP2" i="116"/>
  <c r="CO1" i="116"/>
  <c r="EK13" i="116"/>
  <c r="EK18" i="116"/>
  <c r="EK24" i="116"/>
  <c r="EK11" i="116"/>
  <c r="EK15" i="116"/>
  <c r="EK22" i="116"/>
  <c r="EK16" i="116"/>
  <c r="EK7" i="116"/>
  <c r="EK21" i="116"/>
  <c r="EK12" i="116"/>
  <c r="EK6" i="116"/>
  <c r="EK23" i="116"/>
  <c r="EK19" i="116"/>
  <c r="EK20" i="116"/>
  <c r="EK9" i="116"/>
  <c r="EK8" i="116"/>
  <c r="EK14" i="116"/>
  <c r="EK17" i="116"/>
  <c r="DK23" i="116"/>
  <c r="DK19" i="116"/>
  <c r="DK8" i="116"/>
  <c r="DK11" i="116"/>
  <c r="DK21" i="116"/>
  <c r="DK18" i="116"/>
  <c r="DK22" i="116"/>
  <c r="DK14" i="116"/>
  <c r="DK10" i="116"/>
  <c r="DK13" i="116"/>
  <c r="DK9" i="116"/>
  <c r="DK24" i="116"/>
  <c r="DK17" i="116"/>
  <c r="DK12" i="116"/>
  <c r="DK16" i="116"/>
  <c r="DK6" i="116"/>
  <c r="DK20" i="116"/>
  <c r="DK15" i="116"/>
  <c r="DK7" i="116"/>
  <c r="DM2" i="116"/>
  <c r="DL1" i="116"/>
  <c r="CP2" i="112"/>
  <c r="CO1" i="112"/>
  <c r="EK16" i="112"/>
  <c r="EK9" i="112"/>
  <c r="EK17" i="112"/>
  <c r="EK8" i="112"/>
  <c r="EK14" i="112"/>
  <c r="EK18" i="112"/>
  <c r="EK6" i="112"/>
  <c r="EK22" i="112"/>
  <c r="EK19" i="112"/>
  <c r="EK15" i="112"/>
  <c r="EK7" i="112"/>
  <c r="EK20" i="112"/>
  <c r="EK21" i="112"/>
  <c r="EK11" i="112"/>
  <c r="EK24" i="112"/>
  <c r="EK13" i="112"/>
  <c r="EK23" i="112"/>
  <c r="EK12" i="112"/>
  <c r="DM2" i="113"/>
  <c r="DL1" i="113"/>
  <c r="EK24" i="113"/>
  <c r="EK19" i="113"/>
  <c r="EK6" i="113"/>
  <c r="EK8" i="113"/>
  <c r="EK16" i="113"/>
  <c r="EK22" i="113"/>
  <c r="EK12" i="113"/>
  <c r="EK20" i="113"/>
  <c r="EK17" i="113"/>
  <c r="EK21" i="113"/>
  <c r="EK7" i="113"/>
  <c r="EK13" i="113"/>
  <c r="EK9" i="113"/>
  <c r="EK18" i="113"/>
  <c r="EK15" i="113"/>
  <c r="EK23" i="113"/>
  <c r="EK14" i="113"/>
  <c r="EK11" i="113"/>
  <c r="DK22" i="113"/>
  <c r="DK15" i="113"/>
  <c r="DK12" i="113"/>
  <c r="DK14" i="113"/>
  <c r="DK21" i="113"/>
  <c r="DK11" i="113"/>
  <c r="DK8" i="113"/>
  <c r="DK20" i="113"/>
  <c r="DK9" i="113"/>
  <c r="DK24" i="113"/>
  <c r="DK7" i="113"/>
  <c r="DK19" i="113"/>
  <c r="DK17" i="113"/>
  <c r="DK16" i="113"/>
  <c r="DK10" i="113"/>
  <c r="DK23" i="113"/>
  <c r="DK13" i="113"/>
  <c r="DK6" i="113"/>
  <c r="DK18" i="113"/>
  <c r="CO1" i="113"/>
  <c r="CP2" i="113"/>
  <c r="DK20" i="112"/>
  <c r="DK6" i="112"/>
  <c r="DK9" i="112"/>
  <c r="DK24" i="112"/>
  <c r="DK19" i="112"/>
  <c r="DK17" i="112"/>
  <c r="DK16" i="112"/>
  <c r="DK22" i="112"/>
  <c r="DK12" i="112"/>
  <c r="DK14" i="112"/>
  <c r="DK10" i="112"/>
  <c r="DK23" i="112"/>
  <c r="DK7" i="112"/>
  <c r="DK8" i="112"/>
  <c r="DK21" i="112"/>
  <c r="DK18" i="112"/>
  <c r="DK11" i="112"/>
  <c r="DK15" i="112"/>
  <c r="DK13" i="112"/>
  <c r="CN16" i="113"/>
  <c r="CN23" i="113"/>
  <c r="CN15" i="113"/>
  <c r="CN14" i="113"/>
  <c r="CN18" i="113"/>
  <c r="CN17" i="113"/>
  <c r="CN10" i="113"/>
  <c r="CN11" i="113"/>
  <c r="CN24" i="113"/>
  <c r="CN13" i="113"/>
  <c r="CN7" i="113"/>
  <c r="CN20" i="113"/>
  <c r="CN22" i="113"/>
  <c r="CN12" i="113"/>
  <c r="CN8" i="113"/>
  <c r="CN21" i="113"/>
  <c r="CN6" i="113"/>
  <c r="EL1" i="113"/>
  <c r="CN19" i="113"/>
  <c r="CN9" i="113"/>
  <c r="DM2" i="112"/>
  <c r="DL1" i="112"/>
  <c r="CN21" i="112"/>
  <c r="CN11" i="112"/>
  <c r="CN12" i="112"/>
  <c r="EL1" i="112"/>
  <c r="CN16" i="112"/>
  <c r="CN15" i="112"/>
  <c r="CN23" i="112"/>
  <c r="CN22" i="112"/>
  <c r="CN18" i="112"/>
  <c r="CN7" i="112"/>
  <c r="CN20" i="112"/>
  <c r="CN19" i="112"/>
  <c r="CN6" i="112"/>
  <c r="CN24" i="112"/>
  <c r="CN10" i="112"/>
  <c r="CN8" i="112"/>
  <c r="CN13" i="112"/>
  <c r="CN17" i="112"/>
  <c r="CN14" i="112"/>
  <c r="CN9" i="112"/>
  <c r="CP2" i="109"/>
  <c r="CO1" i="109"/>
  <c r="DK19" i="109"/>
  <c r="DK7" i="109"/>
  <c r="DK18" i="109"/>
  <c r="DK6" i="109"/>
  <c r="DK13" i="109"/>
  <c r="DK17" i="109"/>
  <c r="DK16" i="109"/>
  <c r="DK15" i="109"/>
  <c r="DK14" i="109"/>
  <c r="DK23" i="109"/>
  <c r="DK11" i="109"/>
  <c r="DK22" i="109"/>
  <c r="DK10" i="109"/>
  <c r="DK21" i="109"/>
  <c r="DK9" i="109"/>
  <c r="DK20" i="109"/>
  <c r="DK12" i="109"/>
  <c r="DK8" i="109"/>
  <c r="DK24" i="109"/>
  <c r="DM2" i="109"/>
  <c r="DL1" i="109"/>
  <c r="DJ24" i="108"/>
  <c r="DJ12" i="108"/>
  <c r="DJ20" i="108"/>
  <c r="DJ23" i="108"/>
  <c r="DJ11" i="108"/>
  <c r="DJ22" i="108"/>
  <c r="DJ10" i="108"/>
  <c r="DJ17" i="108"/>
  <c r="DJ21" i="108"/>
  <c r="DJ9" i="108"/>
  <c r="DJ8" i="108"/>
  <c r="DJ14" i="108"/>
  <c r="DJ13" i="108"/>
  <c r="DJ19" i="108"/>
  <c r="DJ7" i="108"/>
  <c r="DJ18" i="108"/>
  <c r="DJ6" i="108"/>
  <c r="DJ16" i="108"/>
  <c r="DJ15" i="108"/>
  <c r="EK24" i="109"/>
  <c r="EK12" i="109"/>
  <c r="EK18" i="109"/>
  <c r="EK23" i="109"/>
  <c r="EK11" i="109"/>
  <c r="EK22" i="109"/>
  <c r="EK21" i="109"/>
  <c r="EK9" i="109"/>
  <c r="EK20" i="109"/>
  <c r="EK8" i="109"/>
  <c r="EK6" i="109"/>
  <c r="EK19" i="109"/>
  <c r="EK7" i="109"/>
  <c r="EK16" i="109"/>
  <c r="EK15" i="109"/>
  <c r="EK14" i="109"/>
  <c r="EK17" i="109"/>
  <c r="EK13" i="109"/>
  <c r="DL2" i="108"/>
  <c r="DK1" i="108"/>
  <c r="CM19" i="108"/>
  <c r="CM7" i="108"/>
  <c r="CM15" i="108"/>
  <c r="CM8" i="108"/>
  <c r="CM18" i="108"/>
  <c r="CM6" i="108"/>
  <c r="CM17" i="108"/>
  <c r="EK1" i="108"/>
  <c r="CM16" i="108"/>
  <c r="CM24" i="108"/>
  <c r="CM21" i="108"/>
  <c r="CM9" i="108"/>
  <c r="CM20" i="108"/>
  <c r="CM14" i="108"/>
  <c r="CM13" i="108"/>
  <c r="CM12" i="108"/>
  <c r="CM23" i="108"/>
  <c r="CM11" i="108"/>
  <c r="CM22" i="108"/>
  <c r="CM10" i="108"/>
  <c r="CN14" i="109"/>
  <c r="CN13" i="109"/>
  <c r="CN24" i="109"/>
  <c r="CN12" i="109"/>
  <c r="CN8" i="109"/>
  <c r="CN23" i="109"/>
  <c r="CN11" i="109"/>
  <c r="CN22" i="109"/>
  <c r="CN10" i="109"/>
  <c r="CN20" i="109"/>
  <c r="CN21" i="109"/>
  <c r="CN9" i="109"/>
  <c r="CN18" i="109"/>
  <c r="CN6" i="109"/>
  <c r="CN17" i="109"/>
  <c r="EL1" i="109"/>
  <c r="CN16" i="109"/>
  <c r="CN7" i="109"/>
  <c r="CN15" i="109"/>
  <c r="CN19" i="109"/>
  <c r="CN1" i="108"/>
  <c r="CO2" i="108"/>
  <c r="EJ17" i="108"/>
  <c r="EJ16" i="108"/>
  <c r="EJ13" i="108"/>
  <c r="EJ15" i="108"/>
  <c r="EJ18" i="108"/>
  <c r="EJ14" i="108"/>
  <c r="EJ22" i="108"/>
  <c r="EJ19" i="108"/>
  <c r="EJ7" i="108"/>
  <c r="EJ24" i="108"/>
  <c r="EJ12" i="108"/>
  <c r="EJ23" i="108"/>
  <c r="EJ11" i="108"/>
  <c r="EJ6" i="108"/>
  <c r="EJ21" i="108"/>
  <c r="EJ9" i="108"/>
  <c r="EJ20" i="108"/>
  <c r="EJ8" i="108"/>
  <c r="EJ19" i="106"/>
  <c r="EJ11" i="106"/>
  <c r="EJ8" i="106"/>
  <c r="EJ18" i="106"/>
  <c r="EJ16" i="106"/>
  <c r="EJ20" i="106"/>
  <c r="EJ12" i="106"/>
  <c r="EJ17" i="106"/>
  <c r="EJ9" i="106"/>
  <c r="EJ22" i="106"/>
  <c r="EJ24" i="106"/>
  <c r="EJ6" i="106"/>
  <c r="EJ23" i="106"/>
  <c r="EJ15" i="106"/>
  <c r="EJ7" i="106"/>
  <c r="EJ14" i="106"/>
  <c r="EJ21" i="106"/>
  <c r="EJ13" i="106"/>
  <c r="CO2" i="106"/>
  <c r="CN1" i="106"/>
  <c r="CM21" i="106"/>
  <c r="CM13" i="106"/>
  <c r="EK1" i="106"/>
  <c r="CM19" i="106"/>
  <c r="CM20" i="106"/>
  <c r="CM12" i="106"/>
  <c r="CM22" i="106"/>
  <c r="CM14" i="106"/>
  <c r="CM6" i="106"/>
  <c r="CM11" i="106"/>
  <c r="CM18" i="106"/>
  <c r="CM10" i="106"/>
  <c r="CM17" i="106"/>
  <c r="CM9" i="106"/>
  <c r="CM24" i="106"/>
  <c r="CM16" i="106"/>
  <c r="CM8" i="106"/>
  <c r="CM23" i="106"/>
  <c r="CM15" i="106"/>
  <c r="CM7" i="106"/>
  <c r="DL2" i="106"/>
  <c r="DK1" i="106"/>
  <c r="DJ22" i="106"/>
  <c r="DJ14" i="106"/>
  <c r="DJ6" i="106"/>
  <c r="DJ12" i="106"/>
  <c r="DJ11" i="106"/>
  <c r="DJ21" i="106"/>
  <c r="DJ13" i="106"/>
  <c r="DJ17" i="106"/>
  <c r="DJ15" i="106"/>
  <c r="DJ7" i="106"/>
  <c r="DJ20" i="106"/>
  <c r="DJ23" i="106"/>
  <c r="DJ19" i="106"/>
  <c r="DJ9" i="106"/>
  <c r="DJ18" i="106"/>
  <c r="DJ10" i="106"/>
  <c r="DJ24" i="106"/>
  <c r="DJ16" i="106"/>
  <c r="DJ8" i="106"/>
  <c r="CO2" i="105"/>
  <c r="CN1" i="105"/>
  <c r="DJ19" i="105"/>
  <c r="DJ7" i="105"/>
  <c r="DJ18" i="105"/>
  <c r="DJ6" i="105"/>
  <c r="DJ17" i="105"/>
  <c r="DJ16" i="105"/>
  <c r="DJ15" i="105"/>
  <c r="DJ14" i="105"/>
  <c r="DJ13" i="105"/>
  <c r="DJ24" i="105"/>
  <c r="DJ12" i="105"/>
  <c r="DJ23" i="105"/>
  <c r="DJ11" i="105"/>
  <c r="DJ22" i="105"/>
  <c r="DJ10" i="105"/>
  <c r="DJ21" i="105"/>
  <c r="DJ9" i="105"/>
  <c r="DJ20" i="105"/>
  <c r="DJ8" i="105"/>
  <c r="CM14" i="105"/>
  <c r="CM13" i="105"/>
  <c r="CM24" i="105"/>
  <c r="CM12" i="105"/>
  <c r="CM23" i="105"/>
  <c r="CM11" i="105"/>
  <c r="CM22" i="105"/>
  <c r="CM10" i="105"/>
  <c r="CM21" i="105"/>
  <c r="CM9" i="105"/>
  <c r="CM20" i="105"/>
  <c r="CM8" i="105"/>
  <c r="CM19" i="105"/>
  <c r="CM7" i="105"/>
  <c r="CM6" i="105"/>
  <c r="CM17" i="105"/>
  <c r="CM16" i="105"/>
  <c r="CM15" i="105"/>
  <c r="CM18" i="105"/>
  <c r="EK1" i="105"/>
  <c r="DL2" i="105"/>
  <c r="DK1" i="105"/>
  <c r="EJ24" i="105"/>
  <c r="EJ12" i="105"/>
  <c r="EJ23" i="105"/>
  <c r="EJ11" i="105"/>
  <c r="EJ22" i="105"/>
  <c r="EJ21" i="105"/>
  <c r="EJ9" i="105"/>
  <c r="EJ20" i="105"/>
  <c r="EJ8" i="105"/>
  <c r="EJ19" i="105"/>
  <c r="EJ7" i="105"/>
  <c r="EJ18" i="105"/>
  <c r="EJ6" i="105"/>
  <c r="EJ17" i="105"/>
  <c r="EJ16" i="105"/>
  <c r="EJ15" i="105"/>
  <c r="EJ14" i="105"/>
  <c r="EJ13" i="105"/>
  <c r="DV24" i="98"/>
  <c r="DV23" i="98"/>
  <c r="DV22" i="98"/>
  <c r="DV21" i="98"/>
  <c r="DV20" i="98"/>
  <c r="DV19" i="98"/>
  <c r="DV18" i="98"/>
  <c r="DV17" i="98"/>
  <c r="DV16" i="98"/>
  <c r="DV15" i="98"/>
  <c r="DV14" i="98"/>
  <c r="DV13" i="98"/>
  <c r="DV12" i="98"/>
  <c r="DV11" i="98"/>
  <c r="DV10" i="98"/>
  <c r="DV9" i="98"/>
  <c r="DV8" i="98"/>
  <c r="DV7" i="98"/>
  <c r="DV6" i="98"/>
  <c r="DX2" i="98"/>
  <c r="DW1" i="98"/>
  <c r="CY24" i="98"/>
  <c r="CY23" i="98"/>
  <c r="CY22" i="98"/>
  <c r="CY21" i="98"/>
  <c r="CY20" i="98"/>
  <c r="CY19" i="98"/>
  <c r="CY18" i="98"/>
  <c r="CY17" i="98"/>
  <c r="CY16" i="98"/>
  <c r="CY15" i="98"/>
  <c r="CY14" i="98"/>
  <c r="CY13" i="98"/>
  <c r="CY12" i="98"/>
  <c r="CY11" i="98"/>
  <c r="CY10" i="98"/>
  <c r="CY9" i="98"/>
  <c r="CY8" i="98"/>
  <c r="CY7" i="98"/>
  <c r="CY6" i="98"/>
  <c r="EW1" i="98"/>
  <c r="DA2" i="98"/>
  <c r="CZ1" i="98"/>
  <c r="EV24" i="98"/>
  <c r="EV23" i="98"/>
  <c r="EV22" i="98"/>
  <c r="EV21" i="98"/>
  <c r="EV20" i="98"/>
  <c r="EV19" i="98"/>
  <c r="EV18" i="98"/>
  <c r="EV17" i="98"/>
  <c r="EV16" i="98"/>
  <c r="EV15" i="98"/>
  <c r="EV14" i="98"/>
  <c r="EV13" i="98"/>
  <c r="EV12" i="98"/>
  <c r="EV11" i="98"/>
  <c r="EV9" i="98"/>
  <c r="EV8" i="98"/>
  <c r="EV7" i="98"/>
  <c r="EV6" i="98"/>
  <c r="CX24" i="100"/>
  <c r="CX23" i="100"/>
  <c r="CX22" i="100"/>
  <c r="CX21" i="100"/>
  <c r="CX20" i="100"/>
  <c r="CX19" i="100"/>
  <c r="CX18" i="100"/>
  <c r="CX17" i="100"/>
  <c r="CX16" i="100"/>
  <c r="CX15" i="100"/>
  <c r="CX14" i="100"/>
  <c r="CX13" i="100"/>
  <c r="CX12" i="100"/>
  <c r="CX11" i="100"/>
  <c r="CX10" i="100"/>
  <c r="CX9" i="100"/>
  <c r="CX8" i="100"/>
  <c r="CX7" i="100"/>
  <c r="CX6" i="100"/>
  <c r="EV1" i="100"/>
  <c r="CZ2" i="100"/>
  <c r="CY1" i="100"/>
  <c r="EU24" i="100"/>
  <c r="EU23" i="100"/>
  <c r="EU22" i="100"/>
  <c r="EU21" i="100"/>
  <c r="EU20" i="100"/>
  <c r="EU19" i="100"/>
  <c r="EU18" i="100"/>
  <c r="EU17" i="100"/>
  <c r="EU16" i="100"/>
  <c r="EU15" i="100"/>
  <c r="EU14" i="100"/>
  <c r="EU13" i="100"/>
  <c r="EU12" i="100"/>
  <c r="EU11" i="100"/>
  <c r="EU9" i="100"/>
  <c r="EU8" i="100"/>
  <c r="EU7" i="100"/>
  <c r="EU6" i="100"/>
  <c r="DU24" i="100"/>
  <c r="DU23" i="100"/>
  <c r="DU22" i="100"/>
  <c r="DU21" i="100"/>
  <c r="DU20" i="100"/>
  <c r="DU19" i="100"/>
  <c r="DU18" i="100"/>
  <c r="DU17" i="100"/>
  <c r="DU16" i="100"/>
  <c r="DU15" i="100"/>
  <c r="DU14" i="100"/>
  <c r="DU13" i="100"/>
  <c r="DU12" i="100"/>
  <c r="DU11" i="100"/>
  <c r="DU10" i="100"/>
  <c r="DU9" i="100"/>
  <c r="DU8" i="100"/>
  <c r="DU7" i="100"/>
  <c r="DU6" i="100"/>
  <c r="DW2" i="100"/>
  <c r="DV1" i="100"/>
  <c r="ET10" i="95"/>
  <c r="EU10" i="96"/>
  <c r="EV10" i="97"/>
  <c r="DX24" i="96"/>
  <c r="DX23" i="96"/>
  <c r="DX22" i="96"/>
  <c r="DX21" i="96"/>
  <c r="DX20" i="96"/>
  <c r="DX19" i="96"/>
  <c r="DX18" i="96"/>
  <c r="DX17" i="96"/>
  <c r="DX16" i="96"/>
  <c r="DX15" i="96"/>
  <c r="DX14" i="96"/>
  <c r="DX13" i="96"/>
  <c r="DX12" i="96"/>
  <c r="DX11" i="96"/>
  <c r="DX10" i="96"/>
  <c r="DX9" i="96"/>
  <c r="DX8" i="96"/>
  <c r="DX7" i="96"/>
  <c r="DX6" i="96"/>
  <c r="DZ2" i="96"/>
  <c r="DY1" i="96"/>
  <c r="DA24" i="96"/>
  <c r="DA23" i="96"/>
  <c r="DA22" i="96"/>
  <c r="DA21" i="96"/>
  <c r="DA20" i="96"/>
  <c r="DA19" i="96"/>
  <c r="DA18" i="96"/>
  <c r="DA17" i="96"/>
  <c r="DA16" i="96"/>
  <c r="DA15" i="96"/>
  <c r="DA14" i="96"/>
  <c r="DA13" i="96"/>
  <c r="DA12" i="96"/>
  <c r="DA11" i="96"/>
  <c r="DA10" i="96"/>
  <c r="DA9" i="96"/>
  <c r="DA8" i="96"/>
  <c r="DA7" i="96"/>
  <c r="DA6" i="96"/>
  <c r="EY1" i="96"/>
  <c r="DC2" i="96"/>
  <c r="DB1" i="96"/>
  <c r="EX24" i="96"/>
  <c r="EX23" i="96"/>
  <c r="EX22" i="96"/>
  <c r="EX21" i="96"/>
  <c r="EX20" i="96"/>
  <c r="EX19" i="96"/>
  <c r="EX18" i="96"/>
  <c r="EX17" i="96"/>
  <c r="EX16" i="96"/>
  <c r="EX15" i="96"/>
  <c r="EX14" i="96"/>
  <c r="EX13" i="96"/>
  <c r="EX12" i="96"/>
  <c r="EX11" i="96"/>
  <c r="EX10" i="96"/>
  <c r="EX9" i="96"/>
  <c r="EX8" i="96"/>
  <c r="EX7" i="96"/>
  <c r="EX6" i="96"/>
  <c r="DB24" i="95"/>
  <c r="DB23" i="95"/>
  <c r="DB22" i="95"/>
  <c r="DB21" i="95"/>
  <c r="DB20" i="95"/>
  <c r="DB19" i="95"/>
  <c r="DB18" i="95"/>
  <c r="DB17" i="95"/>
  <c r="DB16" i="95"/>
  <c r="DB15" i="95"/>
  <c r="DB14" i="95"/>
  <c r="DB13" i="95"/>
  <c r="DB12" i="95"/>
  <c r="DB11" i="95"/>
  <c r="DB10" i="95"/>
  <c r="DB9" i="95"/>
  <c r="DB8" i="95"/>
  <c r="DB7" i="95"/>
  <c r="DB6" i="95"/>
  <c r="EZ1" i="95"/>
  <c r="DD2" i="95"/>
  <c r="DC1" i="95"/>
  <c r="EY24" i="95"/>
  <c r="EY23" i="95"/>
  <c r="EY22" i="95"/>
  <c r="EY21" i="95"/>
  <c r="EY20" i="95"/>
  <c r="EY19" i="95"/>
  <c r="EY18" i="95"/>
  <c r="EY17" i="95"/>
  <c r="EY16" i="95"/>
  <c r="EY15" i="95"/>
  <c r="EY14" i="95"/>
  <c r="EY13" i="95"/>
  <c r="EY12" i="95"/>
  <c r="EY11" i="95"/>
  <c r="EY10" i="95"/>
  <c r="EY9" i="95"/>
  <c r="EY8" i="95"/>
  <c r="EY7" i="95"/>
  <c r="EY6" i="95"/>
  <c r="DY24" i="95"/>
  <c r="DY23" i="95"/>
  <c r="DY22" i="95"/>
  <c r="DY21" i="95"/>
  <c r="DY20" i="95"/>
  <c r="DY19" i="95"/>
  <c r="DY18" i="95"/>
  <c r="DY17" i="95"/>
  <c r="DY16" i="95"/>
  <c r="DY15" i="95"/>
  <c r="DY14" i="95"/>
  <c r="DY13" i="95"/>
  <c r="DY12" i="95"/>
  <c r="DY11" i="95"/>
  <c r="DY10" i="95"/>
  <c r="DY9" i="95"/>
  <c r="DY8" i="95"/>
  <c r="DY7" i="95"/>
  <c r="DY6" i="95"/>
  <c r="EA2" i="95"/>
  <c r="DZ1" i="95"/>
  <c r="CZ24" i="97"/>
  <c r="CZ23" i="97"/>
  <c r="CZ22" i="97"/>
  <c r="CZ21" i="97"/>
  <c r="CZ20" i="97"/>
  <c r="CZ19" i="97"/>
  <c r="CZ18" i="97"/>
  <c r="CZ17" i="97"/>
  <c r="CZ16" i="97"/>
  <c r="CZ15" i="97"/>
  <c r="CZ14" i="97"/>
  <c r="CZ13" i="97"/>
  <c r="CZ12" i="97"/>
  <c r="CZ11" i="97"/>
  <c r="CZ10" i="97"/>
  <c r="CZ9" i="97"/>
  <c r="CZ8" i="97"/>
  <c r="CZ7" i="97"/>
  <c r="CZ6" i="97"/>
  <c r="EX1" i="97"/>
  <c r="DB2" i="97"/>
  <c r="DA1" i="97"/>
  <c r="EW24" i="97"/>
  <c r="EW23" i="97"/>
  <c r="EW22" i="97"/>
  <c r="EW21" i="97"/>
  <c r="EW20" i="97"/>
  <c r="EW19" i="97"/>
  <c r="EW18" i="97"/>
  <c r="EW17" i="97"/>
  <c r="EW16" i="97"/>
  <c r="EW15" i="97"/>
  <c r="EW14" i="97"/>
  <c r="EW13" i="97"/>
  <c r="EW12" i="97"/>
  <c r="EW11" i="97"/>
  <c r="EW10" i="97"/>
  <c r="EW9" i="97"/>
  <c r="EW8" i="97"/>
  <c r="EW7" i="97"/>
  <c r="EW6" i="97"/>
  <c r="DW24" i="97"/>
  <c r="DW23" i="97"/>
  <c r="DW22" i="97"/>
  <c r="DW21" i="97"/>
  <c r="DW20" i="97"/>
  <c r="DW19" i="97"/>
  <c r="DW18" i="97"/>
  <c r="DW17" i="97"/>
  <c r="DW16" i="97"/>
  <c r="DW15" i="97"/>
  <c r="DW14" i="97"/>
  <c r="DW13" i="97"/>
  <c r="DW12" i="97"/>
  <c r="DW11" i="97"/>
  <c r="DW10" i="97"/>
  <c r="DW9" i="97"/>
  <c r="DW8" i="97"/>
  <c r="DW7" i="97"/>
  <c r="DW6" i="97"/>
  <c r="DY2" i="97"/>
  <c r="DX1" i="97"/>
  <c r="BV27" i="93"/>
  <c r="ES10" i="93"/>
  <c r="ET10" i="94"/>
  <c r="CH10" i="94" s="1"/>
  <c r="EC2" i="94"/>
  <c r="EB1" i="94"/>
  <c r="EA24" i="94"/>
  <c r="EA19" i="94"/>
  <c r="EA20" i="94"/>
  <c r="EA18" i="94"/>
  <c r="EA17" i="94"/>
  <c r="EA13" i="94"/>
  <c r="EA12" i="94"/>
  <c r="EA10" i="94"/>
  <c r="EA9" i="94"/>
  <c r="EA8" i="94"/>
  <c r="EA14" i="94"/>
  <c r="EA7" i="94"/>
  <c r="EA23" i="94"/>
  <c r="EA22" i="94"/>
  <c r="EA15" i="94"/>
  <c r="EA11" i="94"/>
  <c r="EA21" i="94"/>
  <c r="EA16" i="94"/>
  <c r="EA6" i="94"/>
  <c r="FA23" i="94"/>
  <c r="FA24" i="94"/>
  <c r="FA22" i="94"/>
  <c r="FA15" i="94"/>
  <c r="FA14" i="94"/>
  <c r="FA21" i="94"/>
  <c r="FA7" i="94"/>
  <c r="FA18" i="94"/>
  <c r="FA17" i="94"/>
  <c r="FA13" i="94"/>
  <c r="FA11" i="94"/>
  <c r="FA8" i="94"/>
  <c r="FA6" i="94"/>
  <c r="FA16" i="94"/>
  <c r="FA12" i="94"/>
  <c r="FA19" i="94"/>
  <c r="FA10" i="94"/>
  <c r="FA20" i="94"/>
  <c r="FA9" i="94"/>
  <c r="DF2" i="94"/>
  <c r="DE1" i="94"/>
  <c r="DD21" i="94"/>
  <c r="DD22" i="94"/>
  <c r="DD18" i="94"/>
  <c r="DD16" i="94"/>
  <c r="DD13" i="94"/>
  <c r="DD20" i="94"/>
  <c r="DD19" i="94"/>
  <c r="DD17" i="94"/>
  <c r="DD15" i="94"/>
  <c r="DD12" i="94"/>
  <c r="DD6" i="94"/>
  <c r="DD24" i="94"/>
  <c r="DD23" i="94"/>
  <c r="DD14" i="94"/>
  <c r="FB1" i="94"/>
  <c r="DD11" i="94"/>
  <c r="DD10" i="94"/>
  <c r="DD7" i="94"/>
  <c r="DD9" i="94"/>
  <c r="DD8" i="94"/>
  <c r="EB22" i="93"/>
  <c r="EB19" i="93"/>
  <c r="EB16" i="93"/>
  <c r="EB10" i="93"/>
  <c r="EB6" i="93"/>
  <c r="EB17" i="93"/>
  <c r="EB13" i="93"/>
  <c r="EB18" i="93"/>
  <c r="EB11" i="93"/>
  <c r="EB21" i="93"/>
  <c r="EB20" i="93"/>
  <c r="EB12" i="93"/>
  <c r="EB9" i="93"/>
  <c r="EB24" i="93"/>
  <c r="EB15" i="93"/>
  <c r="EB8" i="93"/>
  <c r="EB23" i="93"/>
  <c r="EB14" i="93"/>
  <c r="EB7" i="93"/>
  <c r="ED2" i="93"/>
  <c r="EC1" i="93"/>
  <c r="DE21" i="93"/>
  <c r="DE18" i="93"/>
  <c r="DE16" i="93"/>
  <c r="DE10" i="93"/>
  <c r="DE6" i="93"/>
  <c r="DE13" i="93"/>
  <c r="FC1" i="93"/>
  <c r="DE22" i="93"/>
  <c r="DE12" i="93"/>
  <c r="DE19" i="93"/>
  <c r="DE11" i="93"/>
  <c r="DE20" i="93"/>
  <c r="DE17" i="93"/>
  <c r="DE9" i="93"/>
  <c r="DE24" i="93"/>
  <c r="DE15" i="93"/>
  <c r="DE7" i="93"/>
  <c r="DE23" i="93"/>
  <c r="DE14" i="93"/>
  <c r="DE8" i="93"/>
  <c r="DG2" i="93"/>
  <c r="DG1" i="93" s="1"/>
  <c r="DF1" i="93"/>
  <c r="FB21" i="93"/>
  <c r="FB19" i="93"/>
  <c r="FB16" i="93"/>
  <c r="FB10" i="93"/>
  <c r="FB7" i="93"/>
  <c r="FB15" i="93"/>
  <c r="FB8" i="93"/>
  <c r="FB22" i="93"/>
  <c r="FB14" i="93"/>
  <c r="FB12" i="93"/>
  <c r="FB23" i="93"/>
  <c r="FB20" i="93"/>
  <c r="FB13" i="93"/>
  <c r="FB9" i="93"/>
  <c r="FB6" i="93"/>
  <c r="FB24" i="93"/>
  <c r="FB17" i="93"/>
  <c r="FB18" i="93"/>
  <c r="FB11" i="93"/>
  <c r="EJ20" i="92"/>
  <c r="EJ16" i="92"/>
  <c r="EJ12" i="92"/>
  <c r="EJ18" i="92"/>
  <c r="EJ13" i="92"/>
  <c r="EJ11" i="92"/>
  <c r="EJ7" i="92"/>
  <c r="EJ15" i="92"/>
  <c r="EJ6" i="92"/>
  <c r="EJ14" i="92"/>
  <c r="EJ9" i="92"/>
  <c r="EJ24" i="92"/>
  <c r="EJ19" i="92"/>
  <c r="EJ22" i="92"/>
  <c r="EJ17" i="92"/>
  <c r="EJ8" i="92"/>
  <c r="EJ23" i="92"/>
  <c r="EJ21" i="92"/>
  <c r="CN1" i="92"/>
  <c r="CO2" i="92"/>
  <c r="DL2" i="92"/>
  <c r="DK1" i="92"/>
  <c r="CM23" i="92"/>
  <c r="CM20" i="92"/>
  <c r="CM13" i="92"/>
  <c r="CM18" i="92"/>
  <c r="CM11" i="92"/>
  <c r="CM12" i="92"/>
  <c r="CM15" i="92"/>
  <c r="CM7" i="92"/>
  <c r="CM10" i="92"/>
  <c r="CM6" i="92"/>
  <c r="CM21" i="92"/>
  <c r="CM22" i="92"/>
  <c r="CM9" i="92"/>
  <c r="CM14" i="92"/>
  <c r="CM19" i="92"/>
  <c r="CM8" i="92"/>
  <c r="EK1" i="92"/>
  <c r="CM24" i="92"/>
  <c r="CM17" i="92"/>
  <c r="CM16" i="92"/>
  <c r="DJ13" i="92"/>
  <c r="DJ7" i="92"/>
  <c r="DJ6" i="92"/>
  <c r="DJ17" i="92"/>
  <c r="DJ23" i="92"/>
  <c r="DJ14" i="92"/>
  <c r="DJ24" i="92"/>
  <c r="DJ15" i="92"/>
  <c r="DJ20" i="92"/>
  <c r="DJ16" i="92"/>
  <c r="DJ21" i="92"/>
  <c r="DJ12" i="92"/>
  <c r="DJ22" i="92"/>
  <c r="DJ11" i="92"/>
  <c r="DJ8" i="92"/>
  <c r="DJ9" i="92"/>
  <c r="DJ19" i="92"/>
  <c r="DJ18" i="92"/>
  <c r="DJ10" i="92"/>
  <c r="CO2" i="90"/>
  <c r="CN1" i="90"/>
  <c r="CM13" i="91"/>
  <c r="CM19" i="91"/>
  <c r="CM6" i="91"/>
  <c r="CM18" i="91"/>
  <c r="CM21" i="91"/>
  <c r="CM20" i="91"/>
  <c r="CM15" i="91"/>
  <c r="CM11" i="91"/>
  <c r="CM17" i="91"/>
  <c r="CM14" i="91"/>
  <c r="CM10" i="91"/>
  <c r="EK1" i="91"/>
  <c r="CM23" i="91"/>
  <c r="CM7" i="91"/>
  <c r="CM12" i="91"/>
  <c r="CM9" i="91"/>
  <c r="CM22" i="91"/>
  <c r="CM16" i="91"/>
  <c r="CM24" i="91"/>
  <c r="CM8" i="91"/>
  <c r="CO2" i="91"/>
  <c r="CN1" i="91"/>
  <c r="DJ22" i="90"/>
  <c r="DJ9" i="90"/>
  <c r="DJ15" i="90"/>
  <c r="DJ8" i="90"/>
  <c r="DJ18" i="90"/>
  <c r="DJ24" i="90"/>
  <c r="DJ23" i="90"/>
  <c r="DJ6" i="90"/>
  <c r="DJ16" i="90"/>
  <c r="DJ14" i="90"/>
  <c r="DJ11" i="90"/>
  <c r="DJ21" i="90"/>
  <c r="DJ7" i="90"/>
  <c r="DJ17" i="90"/>
  <c r="DJ19" i="90"/>
  <c r="DJ13" i="90"/>
  <c r="DJ10" i="90"/>
  <c r="DJ12" i="90"/>
  <c r="DJ20" i="90"/>
  <c r="DK1" i="90"/>
  <c r="DL2" i="90"/>
  <c r="DK1" i="91"/>
  <c r="DL2" i="91"/>
  <c r="EJ16" i="91"/>
  <c r="EJ13" i="91"/>
  <c r="EJ18" i="91"/>
  <c r="EJ23" i="91"/>
  <c r="EJ15" i="91"/>
  <c r="EJ14" i="91"/>
  <c r="EJ6" i="91"/>
  <c r="EJ22" i="91"/>
  <c r="EJ8" i="91"/>
  <c r="EJ17" i="91"/>
  <c r="EJ11" i="91"/>
  <c r="EJ9" i="91"/>
  <c r="EJ7" i="91"/>
  <c r="EJ24" i="91"/>
  <c r="EJ20" i="91"/>
  <c r="EJ21" i="91"/>
  <c r="EJ19" i="91"/>
  <c r="CM19" i="90"/>
  <c r="CM18" i="90"/>
  <c r="CM8" i="90"/>
  <c r="CM16" i="90"/>
  <c r="CM9" i="90"/>
  <c r="CM7" i="90"/>
  <c r="CM17" i="90"/>
  <c r="CM11" i="90"/>
  <c r="CM24" i="90"/>
  <c r="CM21" i="90"/>
  <c r="CM14" i="90"/>
  <c r="CM22" i="90"/>
  <c r="CM23" i="90"/>
  <c r="EK1" i="90"/>
  <c r="CM15" i="90"/>
  <c r="CM6" i="90"/>
  <c r="CM10" i="90"/>
  <c r="CM20" i="90"/>
  <c r="CM13" i="90"/>
  <c r="CM12" i="90"/>
  <c r="DJ20" i="91"/>
  <c r="DJ22" i="91"/>
  <c r="DJ17" i="91"/>
  <c r="DJ23" i="91"/>
  <c r="DJ8" i="91"/>
  <c r="DJ24" i="91"/>
  <c r="DJ13" i="91"/>
  <c r="DJ19" i="91"/>
  <c r="DJ7" i="91"/>
  <c r="DJ12" i="91"/>
  <c r="DJ9" i="91"/>
  <c r="DJ21" i="91"/>
  <c r="DJ11" i="91"/>
  <c r="DJ14" i="91"/>
  <c r="DJ10" i="91"/>
  <c r="DJ18" i="91"/>
  <c r="DJ15" i="91"/>
  <c r="DJ16" i="91"/>
  <c r="DJ6" i="91"/>
  <c r="EJ23" i="90"/>
  <c r="EJ6" i="90"/>
  <c r="EJ24" i="90"/>
  <c r="EJ11" i="90"/>
  <c r="EJ16" i="90"/>
  <c r="EJ19" i="90"/>
  <c r="EJ9" i="90"/>
  <c r="EJ15" i="90"/>
  <c r="EJ14" i="90"/>
  <c r="EJ12" i="90"/>
  <c r="EJ18" i="90"/>
  <c r="EJ8" i="90"/>
  <c r="EJ22" i="90"/>
  <c r="EJ20" i="90"/>
  <c r="EJ21" i="90"/>
  <c r="EJ17" i="90"/>
  <c r="EJ7" i="90"/>
  <c r="EJ13" i="90"/>
  <c r="CN1" i="89"/>
  <c r="CO2" i="89"/>
  <c r="EJ23" i="89"/>
  <c r="EJ14" i="89"/>
  <c r="EJ7" i="89"/>
  <c r="EJ22" i="89"/>
  <c r="EJ12" i="89"/>
  <c r="EJ17" i="89"/>
  <c r="EJ21" i="89"/>
  <c r="EJ13" i="89"/>
  <c r="EJ19" i="89"/>
  <c r="EJ20" i="89"/>
  <c r="EJ11" i="89"/>
  <c r="EJ18" i="89"/>
  <c r="EJ9" i="89"/>
  <c r="EJ15" i="89"/>
  <c r="EJ24" i="89"/>
  <c r="EJ16" i="89"/>
  <c r="EJ8" i="89"/>
  <c r="EJ6" i="89"/>
  <c r="CM14" i="89"/>
  <c r="CM10" i="89"/>
  <c r="CM16" i="89"/>
  <c r="CM13" i="89"/>
  <c r="CM18" i="89"/>
  <c r="CM9" i="89"/>
  <c r="CM24" i="89"/>
  <c r="CM21" i="89"/>
  <c r="CM8" i="89"/>
  <c r="CM23" i="89"/>
  <c r="CM17" i="89"/>
  <c r="CM7" i="89"/>
  <c r="CM11" i="89"/>
  <c r="CM20" i="89"/>
  <c r="CM15" i="89"/>
  <c r="CM6" i="89"/>
  <c r="CM19" i="89"/>
  <c r="CM22" i="89"/>
  <c r="CM12" i="89"/>
  <c r="EK1" i="89"/>
  <c r="DJ14" i="89"/>
  <c r="DJ7" i="89"/>
  <c r="DJ22" i="89"/>
  <c r="DJ20" i="89"/>
  <c r="DJ9" i="89"/>
  <c r="DJ18" i="89"/>
  <c r="DJ17" i="89"/>
  <c r="DJ6" i="89"/>
  <c r="DJ24" i="89"/>
  <c r="DJ13" i="89"/>
  <c r="DJ8" i="89"/>
  <c r="DJ15" i="89"/>
  <c r="DJ19" i="89"/>
  <c r="DJ12" i="89"/>
  <c r="DJ21" i="89"/>
  <c r="DJ11" i="89"/>
  <c r="DJ23" i="89"/>
  <c r="DJ16" i="89"/>
  <c r="DJ10" i="89"/>
  <c r="DL2" i="89"/>
  <c r="DK1" i="89"/>
  <c r="CO2" i="87"/>
  <c r="CN1" i="87"/>
  <c r="EJ20" i="88"/>
  <c r="EJ14" i="88"/>
  <c r="EJ13" i="88"/>
  <c r="EJ21" i="88"/>
  <c r="EJ19" i="88"/>
  <c r="EJ9" i="88"/>
  <c r="EJ17" i="88"/>
  <c r="EJ12" i="88"/>
  <c r="EJ16" i="88"/>
  <c r="EJ8" i="88"/>
  <c r="EJ23" i="88"/>
  <c r="EJ11" i="88"/>
  <c r="EJ22" i="88"/>
  <c r="EJ18" i="88"/>
  <c r="EJ7" i="88"/>
  <c r="EJ24" i="88"/>
  <c r="EJ15" i="88"/>
  <c r="EJ6" i="88"/>
  <c r="EJ21" i="87"/>
  <c r="EJ8" i="87"/>
  <c r="EJ20" i="87"/>
  <c r="EJ7" i="87"/>
  <c r="EJ15" i="87"/>
  <c r="EJ17" i="87"/>
  <c r="EJ14" i="87"/>
  <c r="EJ9" i="87"/>
  <c r="EJ22" i="87"/>
  <c r="EJ16" i="87"/>
  <c r="EJ23" i="87"/>
  <c r="EJ6" i="87"/>
  <c r="EJ19" i="87"/>
  <c r="EJ24" i="87"/>
  <c r="EJ13" i="87"/>
  <c r="EJ12" i="87"/>
  <c r="EJ18" i="87"/>
  <c r="EJ11" i="87"/>
  <c r="CM24" i="87"/>
  <c r="CM12" i="87"/>
  <c r="CM6" i="87"/>
  <c r="CM19" i="87"/>
  <c r="CM11" i="87"/>
  <c r="CM10" i="87"/>
  <c r="CM8" i="87"/>
  <c r="CM13" i="87"/>
  <c r="CM23" i="87"/>
  <c r="CM16" i="87"/>
  <c r="EK1" i="87"/>
  <c r="CM22" i="87"/>
  <c r="CM20" i="87"/>
  <c r="CM9" i="87"/>
  <c r="CM17" i="87"/>
  <c r="CM14" i="87"/>
  <c r="CM18" i="87"/>
  <c r="CM15" i="87"/>
  <c r="CM21" i="87"/>
  <c r="CM7" i="87"/>
  <c r="DL2" i="87"/>
  <c r="DK1" i="87"/>
  <c r="DJ19" i="88"/>
  <c r="DJ12" i="88"/>
  <c r="DJ15" i="88"/>
  <c r="DJ11" i="88"/>
  <c r="DJ14" i="88"/>
  <c r="DJ16" i="88"/>
  <c r="DJ10" i="88"/>
  <c r="DJ23" i="88"/>
  <c r="DJ17" i="88"/>
  <c r="DJ18" i="88"/>
  <c r="DJ22" i="88"/>
  <c r="DJ13" i="88"/>
  <c r="DJ9" i="88"/>
  <c r="DJ20" i="88"/>
  <c r="DJ7" i="88"/>
  <c r="DJ8" i="88"/>
  <c r="DJ21" i="88"/>
  <c r="DJ24" i="88"/>
  <c r="DJ6" i="88"/>
  <c r="CM23" i="88"/>
  <c r="CM16" i="88"/>
  <c r="EK1" i="88"/>
  <c r="CM22" i="88"/>
  <c r="CM13" i="88"/>
  <c r="CM7" i="88"/>
  <c r="CM20" i="88"/>
  <c r="CM14" i="88"/>
  <c r="CM6" i="88"/>
  <c r="CM17" i="88"/>
  <c r="CM10" i="88"/>
  <c r="CM21" i="88"/>
  <c r="CM9" i="88"/>
  <c r="CM15" i="88"/>
  <c r="CM18" i="88"/>
  <c r="CM8" i="88"/>
  <c r="CM24" i="88"/>
  <c r="CM19" i="88"/>
  <c r="CM12" i="88"/>
  <c r="CM11" i="88"/>
  <c r="DJ17" i="87"/>
  <c r="DJ10" i="87"/>
  <c r="DJ8" i="87"/>
  <c r="DJ18" i="87"/>
  <c r="DJ9" i="87"/>
  <c r="DJ22" i="87"/>
  <c r="DJ16" i="87"/>
  <c r="DJ7" i="87"/>
  <c r="DJ15" i="87"/>
  <c r="DJ6" i="87"/>
  <c r="DJ21" i="87"/>
  <c r="DJ13" i="87"/>
  <c r="DJ24" i="87"/>
  <c r="DJ14" i="87"/>
  <c r="DJ11" i="87"/>
  <c r="DJ23" i="87"/>
  <c r="DJ19" i="87"/>
  <c r="DJ12" i="87"/>
  <c r="DJ20" i="87"/>
  <c r="DL2" i="88"/>
  <c r="DK1" i="88"/>
  <c r="CO2" i="88"/>
  <c r="CN1" i="88"/>
  <c r="EJ17" i="86"/>
  <c r="EJ8" i="86"/>
  <c r="EJ16" i="86"/>
  <c r="EJ7" i="86"/>
  <c r="EJ15" i="86"/>
  <c r="EJ23" i="86"/>
  <c r="EJ18" i="86"/>
  <c r="EJ9" i="86"/>
  <c r="EJ12" i="86"/>
  <c r="EJ20" i="86"/>
  <c r="EJ13" i="86"/>
  <c r="EJ6" i="86"/>
  <c r="EJ21" i="86"/>
  <c r="EJ22" i="86"/>
  <c r="EJ11" i="86"/>
  <c r="EJ19" i="86"/>
  <c r="EJ24" i="86"/>
  <c r="EJ14" i="86"/>
  <c r="DJ22" i="86"/>
  <c r="DJ8" i="86"/>
  <c r="DJ19" i="86"/>
  <c r="DJ7" i="86"/>
  <c r="DJ21" i="86"/>
  <c r="DJ14" i="86"/>
  <c r="DJ18" i="86"/>
  <c r="DJ6" i="86"/>
  <c r="DJ17" i="86"/>
  <c r="DJ9" i="86"/>
  <c r="DJ23" i="86"/>
  <c r="DJ11" i="86"/>
  <c r="DJ15" i="86"/>
  <c r="DJ24" i="86"/>
  <c r="DJ16" i="86"/>
  <c r="DJ20" i="86"/>
  <c r="DJ12" i="86"/>
  <c r="DJ10" i="86"/>
  <c r="DJ13" i="86"/>
  <c r="DL2" i="86"/>
  <c r="DK1" i="86"/>
  <c r="CM22" i="86"/>
  <c r="CM11" i="86"/>
  <c r="CM21" i="86"/>
  <c r="CM6" i="86"/>
  <c r="CM24" i="86"/>
  <c r="CM14" i="86"/>
  <c r="CM17" i="86"/>
  <c r="EK1" i="86"/>
  <c r="CM16" i="86"/>
  <c r="CM9" i="86"/>
  <c r="CM15" i="86"/>
  <c r="CM8" i="86"/>
  <c r="CM23" i="86"/>
  <c r="CM18" i="86"/>
  <c r="CM19" i="86"/>
  <c r="CM7" i="86"/>
  <c r="CM13" i="86"/>
  <c r="CM10" i="86"/>
  <c r="CM20" i="86"/>
  <c r="CM12" i="86"/>
  <c r="CN1" i="86"/>
  <c r="CO2" i="86"/>
  <c r="EX102" i="9"/>
  <c r="BQ13" i="96" s="1"/>
  <c r="BQ27" i="96" s="1"/>
  <c r="EW103" i="9"/>
  <c r="IV101" i="9"/>
  <c r="EV10" i="98" s="1"/>
  <c r="IU102" i="9"/>
  <c r="BU13" i="95"/>
  <c r="GJ102" i="9"/>
  <c r="GN102" i="9" s="1"/>
  <c r="GH100" i="9"/>
  <c r="BV10" i="94" s="1"/>
  <c r="DM5" i="14" l="1"/>
  <c r="DK5" i="14"/>
  <c r="DL5" i="14"/>
  <c r="HI135" i="9"/>
  <c r="HC135" i="9"/>
  <c r="HF135" i="9"/>
  <c r="GA135" i="9"/>
  <c r="HQ135" i="9"/>
  <c r="HL135" i="9"/>
  <c r="EK23" i="124"/>
  <c r="EK16" i="124"/>
  <c r="EK14" i="124"/>
  <c r="EK21" i="124"/>
  <c r="EK12" i="124"/>
  <c r="EK20" i="124"/>
  <c r="EK11" i="124"/>
  <c r="EK18" i="124"/>
  <c r="EK19" i="124"/>
  <c r="EK8" i="124"/>
  <c r="EK17" i="124"/>
  <c r="EK7" i="124"/>
  <c r="EK24" i="124"/>
  <c r="EK13" i="124"/>
  <c r="EK6" i="124"/>
  <c r="EK22" i="124"/>
  <c r="EK15" i="124"/>
  <c r="EK9" i="124"/>
  <c r="CO1" i="124"/>
  <c r="CP2" i="124"/>
  <c r="DK14" i="124"/>
  <c r="DK6" i="124"/>
  <c r="DK18" i="124"/>
  <c r="DK7" i="124"/>
  <c r="DK21" i="124"/>
  <c r="DK22" i="124"/>
  <c r="DK16" i="124"/>
  <c r="DK24" i="124"/>
  <c r="DK9" i="124"/>
  <c r="DK23" i="124"/>
  <c r="DK11" i="124"/>
  <c r="DK17" i="124"/>
  <c r="DK8" i="124"/>
  <c r="DK19" i="124"/>
  <c r="DK15" i="124"/>
  <c r="DK12" i="124"/>
  <c r="DK20" i="124"/>
  <c r="DK13" i="124"/>
  <c r="DK10" i="124"/>
  <c r="DM2" i="124"/>
  <c r="DL1" i="124"/>
  <c r="CN14" i="124"/>
  <c r="CN9" i="124"/>
  <c r="CN24" i="124"/>
  <c r="CN15" i="124"/>
  <c r="CN22" i="124"/>
  <c r="CN21" i="124"/>
  <c r="CN19" i="124"/>
  <c r="CN6" i="124"/>
  <c r="CN18" i="124"/>
  <c r="CN8" i="124"/>
  <c r="CN23" i="124"/>
  <c r="EL1" i="124"/>
  <c r="CN16" i="124"/>
  <c r="CN11" i="124"/>
  <c r="CN17" i="124"/>
  <c r="CN7" i="124"/>
  <c r="CN13" i="124"/>
  <c r="CN10" i="124"/>
  <c r="CN20" i="124"/>
  <c r="CN12" i="124"/>
  <c r="CP2" i="121"/>
  <c r="CO1" i="121"/>
  <c r="DK22" i="121"/>
  <c r="DK14" i="121"/>
  <c r="DK7" i="121"/>
  <c r="DK19" i="121"/>
  <c r="DK18" i="121"/>
  <c r="DK15" i="121"/>
  <c r="DK23" i="121"/>
  <c r="DK21" i="121"/>
  <c r="DK13" i="121"/>
  <c r="DK20" i="121"/>
  <c r="DK10" i="121"/>
  <c r="DK12" i="121"/>
  <c r="DK8" i="121"/>
  <c r="DK17" i="121"/>
  <c r="DK11" i="121"/>
  <c r="DK16" i="121"/>
  <c r="DK9" i="121"/>
  <c r="DK24" i="121"/>
  <c r="DK6" i="121"/>
  <c r="DM2" i="121"/>
  <c r="DL1" i="121"/>
  <c r="EK15" i="121"/>
  <c r="EK8" i="121"/>
  <c r="EK11" i="121"/>
  <c r="EK14" i="121"/>
  <c r="EK22" i="121"/>
  <c r="EK21" i="121"/>
  <c r="EK16" i="121"/>
  <c r="EK13" i="121"/>
  <c r="EK17" i="121"/>
  <c r="EK12" i="121"/>
  <c r="EK7" i="121"/>
  <c r="EK19" i="121"/>
  <c r="EK23" i="121"/>
  <c r="EK9" i="121"/>
  <c r="EK24" i="121"/>
  <c r="EK20" i="121"/>
  <c r="EK6" i="121"/>
  <c r="EK18" i="121"/>
  <c r="CN14" i="121"/>
  <c r="CN22" i="121"/>
  <c r="CN6" i="121"/>
  <c r="CN15" i="121"/>
  <c r="CN11" i="121"/>
  <c r="CN23" i="121"/>
  <c r="CN9" i="121"/>
  <c r="CN16" i="121"/>
  <c r="CN13" i="121"/>
  <c r="CN19" i="121"/>
  <c r="CN7" i="121"/>
  <c r="EL1" i="121"/>
  <c r="CN21" i="121"/>
  <c r="CN20" i="121"/>
  <c r="CN24" i="121"/>
  <c r="CN17" i="121"/>
  <c r="CN12" i="121"/>
  <c r="CN18" i="121"/>
  <c r="CN10" i="121"/>
  <c r="CN8" i="121"/>
  <c r="DK21" i="120"/>
  <c r="DK11" i="120"/>
  <c r="DK18" i="120"/>
  <c r="DK8" i="120"/>
  <c r="DK14" i="120"/>
  <c r="DK7" i="120"/>
  <c r="DK24" i="120"/>
  <c r="DK12" i="120"/>
  <c r="DK15" i="120"/>
  <c r="DK20" i="120"/>
  <c r="DK16" i="120"/>
  <c r="DK10" i="120"/>
  <c r="DK22" i="120"/>
  <c r="DK19" i="120"/>
  <c r="DK13" i="120"/>
  <c r="DK6" i="120"/>
  <c r="DK23" i="120"/>
  <c r="DK17" i="120"/>
  <c r="DK9" i="120"/>
  <c r="DL1" i="120"/>
  <c r="DM2" i="120"/>
  <c r="EK20" i="120"/>
  <c r="EK14" i="120"/>
  <c r="EK13" i="120"/>
  <c r="EK21" i="120"/>
  <c r="EK12" i="120"/>
  <c r="EK15" i="120"/>
  <c r="EK22" i="120"/>
  <c r="EK11" i="120"/>
  <c r="EK17" i="120"/>
  <c r="EK9" i="120"/>
  <c r="EK24" i="120"/>
  <c r="EK19" i="120"/>
  <c r="EK7" i="120"/>
  <c r="EK18" i="120"/>
  <c r="EK6" i="120"/>
  <c r="EK23" i="120"/>
  <c r="EK16" i="120"/>
  <c r="EK8" i="120"/>
  <c r="C137" i="9"/>
  <c r="A136" i="9"/>
  <c r="E136" i="9" s="1"/>
  <c r="CO1" i="120"/>
  <c r="CP2" i="120"/>
  <c r="CN19" i="120"/>
  <c r="CN15" i="120"/>
  <c r="CN6" i="120"/>
  <c r="CN17" i="120"/>
  <c r="CN22" i="120"/>
  <c r="CN14" i="120"/>
  <c r="CN8" i="120"/>
  <c r="CN23" i="120"/>
  <c r="CN20" i="120"/>
  <c r="CN13" i="120"/>
  <c r="EL1" i="120"/>
  <c r="CN24" i="120"/>
  <c r="CN12" i="120"/>
  <c r="CN21" i="120"/>
  <c r="CN10" i="120"/>
  <c r="CN16" i="120"/>
  <c r="CN11" i="120"/>
  <c r="CN9" i="120"/>
  <c r="CN18" i="120"/>
  <c r="CN7" i="120"/>
  <c r="CN13" i="119"/>
  <c r="CN21" i="119"/>
  <c r="CN15" i="119"/>
  <c r="CN8" i="119"/>
  <c r="CN17" i="119"/>
  <c r="CN18" i="119"/>
  <c r="CN16" i="119"/>
  <c r="CN12" i="119"/>
  <c r="CN24" i="119"/>
  <c r="CN23" i="119"/>
  <c r="CN6" i="119"/>
  <c r="CN20" i="119"/>
  <c r="CN14" i="119"/>
  <c r="EL1" i="119"/>
  <c r="CN11" i="119"/>
  <c r="CN10" i="119"/>
  <c r="CN22" i="119"/>
  <c r="CN19" i="119"/>
  <c r="CN7" i="119"/>
  <c r="CN9" i="119"/>
  <c r="EK18" i="119"/>
  <c r="EK11" i="119"/>
  <c r="EK17" i="119"/>
  <c r="EK12" i="119"/>
  <c r="EK16" i="119"/>
  <c r="EK21" i="119"/>
  <c r="EK14" i="119"/>
  <c r="EK23" i="119"/>
  <c r="EK22" i="119"/>
  <c r="EK9" i="119"/>
  <c r="EK24" i="119"/>
  <c r="EK15" i="119"/>
  <c r="EK7" i="119"/>
  <c r="EK19" i="119"/>
  <c r="EK13" i="119"/>
  <c r="EK20" i="119"/>
  <c r="EK8" i="119"/>
  <c r="EK6" i="119"/>
  <c r="DM2" i="119"/>
  <c r="DL1" i="119"/>
  <c r="CP2" i="119"/>
  <c r="CO1" i="119"/>
  <c r="DK17" i="119"/>
  <c r="DK15" i="119"/>
  <c r="DK8" i="119"/>
  <c r="DK11" i="119"/>
  <c r="DK16" i="119"/>
  <c r="DK6" i="119"/>
  <c r="DK23" i="119"/>
  <c r="DK14" i="119"/>
  <c r="DK20" i="119"/>
  <c r="DK18" i="119"/>
  <c r="DK10" i="119"/>
  <c r="DK24" i="119"/>
  <c r="DK22" i="119"/>
  <c r="DK7" i="119"/>
  <c r="DK21" i="119"/>
  <c r="DK13" i="119"/>
  <c r="DK9" i="119"/>
  <c r="DK12" i="119"/>
  <c r="DK19" i="119"/>
  <c r="DL23" i="116"/>
  <c r="DL16" i="116"/>
  <c r="DL6" i="116"/>
  <c r="DL22" i="116"/>
  <c r="DL14" i="116"/>
  <c r="DL21" i="116"/>
  <c r="DL18" i="116"/>
  <c r="DL19" i="116"/>
  <c r="DL10" i="116"/>
  <c r="DL13" i="116"/>
  <c r="DL9" i="116"/>
  <c r="DL24" i="116"/>
  <c r="DL17" i="116"/>
  <c r="DL7" i="116"/>
  <c r="DL11" i="116"/>
  <c r="DL12" i="116"/>
  <c r="DL20" i="116"/>
  <c r="DL15" i="116"/>
  <c r="DL8" i="116"/>
  <c r="CO16" i="116"/>
  <c r="CO15" i="116"/>
  <c r="CO9" i="116"/>
  <c r="CO7" i="116"/>
  <c r="CO24" i="116"/>
  <c r="CO10" i="116"/>
  <c r="CO17" i="116"/>
  <c r="CO22" i="116"/>
  <c r="CO21" i="116"/>
  <c r="CO8" i="116"/>
  <c r="CO6" i="116"/>
  <c r="CO19" i="116"/>
  <c r="CO13" i="116"/>
  <c r="EM1" i="116"/>
  <c r="CO20" i="116"/>
  <c r="CO23" i="116"/>
  <c r="CO14" i="116"/>
  <c r="CO12" i="116"/>
  <c r="CO18" i="116"/>
  <c r="CO11" i="116"/>
  <c r="EL18" i="116"/>
  <c r="EL17" i="116"/>
  <c r="EL19" i="116"/>
  <c r="EL8" i="116"/>
  <c r="EL12" i="116"/>
  <c r="EL15" i="116"/>
  <c r="EL21" i="116"/>
  <c r="EL14" i="116"/>
  <c r="EL7" i="116"/>
  <c r="EL20" i="116"/>
  <c r="EL11" i="116"/>
  <c r="EL6" i="116"/>
  <c r="EL23" i="116"/>
  <c r="EL24" i="116"/>
  <c r="EL16" i="116"/>
  <c r="EL9" i="116"/>
  <c r="EL13" i="116"/>
  <c r="EL22" i="116"/>
  <c r="DM1" i="116"/>
  <c r="DN2" i="116"/>
  <c r="CQ2" i="116"/>
  <c r="CP1" i="116"/>
  <c r="DL15" i="112"/>
  <c r="DL20" i="112"/>
  <c r="DL14" i="112"/>
  <c r="DL9" i="112"/>
  <c r="DL13" i="112"/>
  <c r="DL18" i="112"/>
  <c r="DL24" i="112"/>
  <c r="DL19" i="112"/>
  <c r="DL11" i="112"/>
  <c r="DL22" i="112"/>
  <c r="DL21" i="112"/>
  <c r="DL8" i="112"/>
  <c r="DL17" i="112"/>
  <c r="DL23" i="112"/>
  <c r="DL10" i="112"/>
  <c r="DL6" i="112"/>
  <c r="DL16" i="112"/>
  <c r="DL12" i="112"/>
  <c r="DL7" i="112"/>
  <c r="DN2" i="112"/>
  <c r="DM1" i="112"/>
  <c r="CP1" i="113"/>
  <c r="CQ2" i="113"/>
  <c r="DL22" i="113"/>
  <c r="DL12" i="113"/>
  <c r="DL8" i="113"/>
  <c r="DL21" i="113"/>
  <c r="DL7" i="113"/>
  <c r="DL6" i="113"/>
  <c r="DL19" i="113"/>
  <c r="DL20" i="113"/>
  <c r="DL15" i="113"/>
  <c r="DL24" i="113"/>
  <c r="DL23" i="113"/>
  <c r="DL10" i="113"/>
  <c r="DL14" i="113"/>
  <c r="DL17" i="113"/>
  <c r="DL11" i="113"/>
  <c r="DL18" i="113"/>
  <c r="DL9" i="113"/>
  <c r="DL13" i="113"/>
  <c r="DL16" i="113"/>
  <c r="CO20" i="113"/>
  <c r="CO14" i="113"/>
  <c r="EM1" i="113"/>
  <c r="CO22" i="113"/>
  <c r="CO10" i="113"/>
  <c r="CO18" i="113"/>
  <c r="CO16" i="113"/>
  <c r="CO23" i="113"/>
  <c r="CO11" i="113"/>
  <c r="CO15" i="113"/>
  <c r="CO6" i="113"/>
  <c r="CO12" i="113"/>
  <c r="CO21" i="113"/>
  <c r="CO17" i="113"/>
  <c r="CO9" i="113"/>
  <c r="CO8" i="113"/>
  <c r="CO24" i="113"/>
  <c r="CO13" i="113"/>
  <c r="CO7" i="113"/>
  <c r="CO19" i="113"/>
  <c r="DM1" i="113"/>
  <c r="DN2" i="113"/>
  <c r="EL19" i="112"/>
  <c r="EL8" i="112"/>
  <c r="EL15" i="112"/>
  <c r="EL24" i="112"/>
  <c r="EL22" i="112"/>
  <c r="EL9" i="112"/>
  <c r="EL6" i="112"/>
  <c r="EL20" i="112"/>
  <c r="EL18" i="112"/>
  <c r="EL16" i="112"/>
  <c r="EL14" i="112"/>
  <c r="EL13" i="112"/>
  <c r="EL17" i="112"/>
  <c r="EL7" i="112"/>
  <c r="EL21" i="112"/>
  <c r="EL11" i="112"/>
  <c r="EL23" i="112"/>
  <c r="EL12" i="112"/>
  <c r="EL16" i="113"/>
  <c r="EL18" i="113"/>
  <c r="EL15" i="113"/>
  <c r="EL14" i="113"/>
  <c r="EL19" i="113"/>
  <c r="EL24" i="113"/>
  <c r="EL20" i="113"/>
  <c r="EL6" i="113"/>
  <c r="EL13" i="113"/>
  <c r="EL22" i="113"/>
  <c r="EL12" i="113"/>
  <c r="EL8" i="113"/>
  <c r="EL23" i="113"/>
  <c r="EL11" i="113"/>
  <c r="EL7" i="113"/>
  <c r="EL21" i="113"/>
  <c r="EL9" i="113"/>
  <c r="EL17" i="113"/>
  <c r="CO17" i="112"/>
  <c r="CO14" i="112"/>
  <c r="CO8" i="112"/>
  <c r="CO22" i="112"/>
  <c r="CO10" i="112"/>
  <c r="CO7" i="112"/>
  <c r="CO21" i="112"/>
  <c r="EM1" i="112"/>
  <c r="CO15" i="112"/>
  <c r="CO16" i="112"/>
  <c r="CO13" i="112"/>
  <c r="CO12" i="112"/>
  <c r="CO6" i="112"/>
  <c r="CO23" i="112"/>
  <c r="CO11" i="112"/>
  <c r="CO18" i="112"/>
  <c r="CO24" i="112"/>
  <c r="CO19" i="112"/>
  <c r="CO9" i="112"/>
  <c r="CO20" i="112"/>
  <c r="CP1" i="112"/>
  <c r="CQ2" i="112"/>
  <c r="DL13" i="109"/>
  <c r="DL21" i="109"/>
  <c r="DL24" i="109"/>
  <c r="DL12" i="109"/>
  <c r="DL9" i="109"/>
  <c r="DL23" i="109"/>
  <c r="DL11" i="109"/>
  <c r="DL18" i="109"/>
  <c r="DL22" i="109"/>
  <c r="DL10" i="109"/>
  <c r="DL7" i="109"/>
  <c r="DL14" i="109"/>
  <c r="DL20" i="109"/>
  <c r="DL8" i="109"/>
  <c r="DL19" i="109"/>
  <c r="DL6" i="109"/>
  <c r="DL17" i="109"/>
  <c r="DL16" i="109"/>
  <c r="DL15" i="109"/>
  <c r="CO22" i="109"/>
  <c r="CO10" i="109"/>
  <c r="CO16" i="109"/>
  <c r="CO21" i="109"/>
  <c r="CO9" i="109"/>
  <c r="CO11" i="109"/>
  <c r="CO20" i="109"/>
  <c r="CO8" i="109"/>
  <c r="CO18" i="109"/>
  <c r="CO19" i="109"/>
  <c r="CO7" i="109"/>
  <c r="CO6" i="109"/>
  <c r="CO15" i="109"/>
  <c r="CO17" i="109"/>
  <c r="EM1" i="109"/>
  <c r="CO23" i="109"/>
  <c r="CO14" i="109"/>
  <c r="CO24" i="109"/>
  <c r="CO13" i="109"/>
  <c r="CO12" i="109"/>
  <c r="DN2" i="109"/>
  <c r="DM1" i="109"/>
  <c r="CP1" i="109"/>
  <c r="CQ2" i="109"/>
  <c r="CP2" i="108"/>
  <c r="CO1" i="108"/>
  <c r="EK21" i="108"/>
  <c r="EK9" i="108"/>
  <c r="EK20" i="108"/>
  <c r="EK8" i="108"/>
  <c r="EK11" i="108"/>
  <c r="EK22" i="108"/>
  <c r="EK19" i="108"/>
  <c r="EK7" i="108"/>
  <c r="EK14" i="108"/>
  <c r="EK12" i="108"/>
  <c r="EK18" i="108"/>
  <c r="EK6" i="108"/>
  <c r="EK17" i="108"/>
  <c r="EK15" i="108"/>
  <c r="EK23" i="108"/>
  <c r="EK16" i="108"/>
  <c r="EK24" i="108"/>
  <c r="EK13" i="108"/>
  <c r="CN23" i="108"/>
  <c r="CN11" i="108"/>
  <c r="CN16" i="108"/>
  <c r="CN22" i="108"/>
  <c r="CN10" i="108"/>
  <c r="CN14" i="108"/>
  <c r="CN21" i="108"/>
  <c r="CN9" i="108"/>
  <c r="CN7" i="108"/>
  <c r="CN20" i="108"/>
  <c r="CN8" i="108"/>
  <c r="CN19" i="108"/>
  <c r="CN17" i="108"/>
  <c r="CN13" i="108"/>
  <c r="CN24" i="108"/>
  <c r="CN18" i="108"/>
  <c r="CN6" i="108"/>
  <c r="EL1" i="108"/>
  <c r="CN15" i="108"/>
  <c r="CN12" i="108"/>
  <c r="DK14" i="108"/>
  <c r="DK13" i="108"/>
  <c r="DK24" i="108"/>
  <c r="DK12" i="108"/>
  <c r="DK8" i="108"/>
  <c r="DK7" i="108"/>
  <c r="DK17" i="108"/>
  <c r="DK15" i="108"/>
  <c r="DK23" i="108"/>
  <c r="DK11" i="108"/>
  <c r="DK22" i="108"/>
  <c r="DK10" i="108"/>
  <c r="DK20" i="108"/>
  <c r="DK16" i="108"/>
  <c r="DK21" i="108"/>
  <c r="DK9" i="108"/>
  <c r="DK19" i="108"/>
  <c r="DK18" i="108"/>
  <c r="DK6" i="108"/>
  <c r="DL1" i="108"/>
  <c r="DM2" i="108"/>
  <c r="EL20" i="109"/>
  <c r="EL8" i="109"/>
  <c r="EL9" i="109"/>
  <c r="EL19" i="109"/>
  <c r="EL7" i="109"/>
  <c r="EL18" i="109"/>
  <c r="EL6" i="109"/>
  <c r="EL17" i="109"/>
  <c r="EL16" i="109"/>
  <c r="EL15" i="109"/>
  <c r="EL14" i="109"/>
  <c r="EL13" i="109"/>
  <c r="EL24" i="109"/>
  <c r="EL12" i="109"/>
  <c r="EL23" i="109"/>
  <c r="EL11" i="109"/>
  <c r="EL22" i="109"/>
  <c r="EL21" i="109"/>
  <c r="EK19" i="106"/>
  <c r="EK11" i="106"/>
  <c r="EK24" i="106"/>
  <c r="EK16" i="106"/>
  <c r="EK8" i="106"/>
  <c r="EK20" i="106"/>
  <c r="EK18" i="106"/>
  <c r="EK7" i="106"/>
  <c r="EK6" i="106"/>
  <c r="EK17" i="106"/>
  <c r="EK9" i="106"/>
  <c r="EK22" i="106"/>
  <c r="EK23" i="106"/>
  <c r="EK15" i="106"/>
  <c r="EK14" i="106"/>
  <c r="EK12" i="106"/>
  <c r="EK21" i="106"/>
  <c r="EK13" i="106"/>
  <c r="DK24" i="106"/>
  <c r="DK16" i="106"/>
  <c r="DK8" i="106"/>
  <c r="DK13" i="106"/>
  <c r="DK11" i="106"/>
  <c r="DK17" i="106"/>
  <c r="DK23" i="106"/>
  <c r="DK15" i="106"/>
  <c r="DK7" i="106"/>
  <c r="DK9" i="106"/>
  <c r="DK22" i="106"/>
  <c r="DK14" i="106"/>
  <c r="DK6" i="106"/>
  <c r="DK21" i="106"/>
  <c r="DK20" i="106"/>
  <c r="DK12" i="106"/>
  <c r="DK19" i="106"/>
  <c r="DK18" i="106"/>
  <c r="DK10" i="106"/>
  <c r="CN21" i="106"/>
  <c r="CN13" i="106"/>
  <c r="EL1" i="106"/>
  <c r="CN10" i="106"/>
  <c r="CN22" i="106"/>
  <c r="CN14" i="106"/>
  <c r="CN6" i="106"/>
  <c r="CN20" i="106"/>
  <c r="CN12" i="106"/>
  <c r="CN19" i="106"/>
  <c r="CN11" i="106"/>
  <c r="CN18" i="106"/>
  <c r="CN8" i="106"/>
  <c r="CN16" i="106"/>
  <c r="CN17" i="106"/>
  <c r="CN9" i="106"/>
  <c r="CN24" i="106"/>
  <c r="CN23" i="106"/>
  <c r="CN15" i="106"/>
  <c r="CN7" i="106"/>
  <c r="DM2" i="106"/>
  <c r="DL1" i="106"/>
  <c r="CP2" i="106"/>
  <c r="CO1" i="106"/>
  <c r="DM2" i="105"/>
  <c r="DL1" i="105"/>
  <c r="CN18" i="105"/>
  <c r="CN6" i="105"/>
  <c r="CN17" i="105"/>
  <c r="EL1" i="105"/>
  <c r="CN16" i="105"/>
  <c r="CN15" i="105"/>
  <c r="CN14" i="105"/>
  <c r="CN12" i="105"/>
  <c r="CN11" i="105"/>
  <c r="CN22" i="105"/>
  <c r="CN21" i="105"/>
  <c r="CN9" i="105"/>
  <c r="CN19" i="105"/>
  <c r="CN13" i="105"/>
  <c r="CN24" i="105"/>
  <c r="CN23" i="105"/>
  <c r="CN10" i="105"/>
  <c r="CN20" i="105"/>
  <c r="CN8" i="105"/>
  <c r="CN7" i="105"/>
  <c r="EK16" i="105"/>
  <c r="EK15" i="105"/>
  <c r="EK14" i="105"/>
  <c r="EK13" i="105"/>
  <c r="EK24" i="105"/>
  <c r="EK12" i="105"/>
  <c r="EK22" i="105"/>
  <c r="EK9" i="105"/>
  <c r="EK20" i="105"/>
  <c r="EK19" i="105"/>
  <c r="EK18" i="105"/>
  <c r="EK17" i="105"/>
  <c r="EK23" i="105"/>
  <c r="EK11" i="105"/>
  <c r="EK21" i="105"/>
  <c r="EK8" i="105"/>
  <c r="EK7" i="105"/>
  <c r="EK6" i="105"/>
  <c r="CP2" i="105"/>
  <c r="CO1" i="105"/>
  <c r="DK21" i="105"/>
  <c r="DK9" i="105"/>
  <c r="DK20" i="105"/>
  <c r="DK8" i="105"/>
  <c r="DK19" i="105"/>
  <c r="DK7" i="105"/>
  <c r="DK18" i="105"/>
  <c r="DK6" i="105"/>
  <c r="DK17" i="105"/>
  <c r="DK15" i="105"/>
  <c r="DK14" i="105"/>
  <c r="DK13" i="105"/>
  <c r="DK12" i="105"/>
  <c r="DK23" i="105"/>
  <c r="DK10" i="105"/>
  <c r="DK16" i="105"/>
  <c r="DK24" i="105"/>
  <c r="DK11" i="105"/>
  <c r="DK22" i="105"/>
  <c r="DV24" i="100"/>
  <c r="DV23" i="100"/>
  <c r="DV22" i="100"/>
  <c r="DV21" i="100"/>
  <c r="DV20" i="100"/>
  <c r="DV19" i="100"/>
  <c r="DV18" i="100"/>
  <c r="DV17" i="100"/>
  <c r="DV16" i="100"/>
  <c r="DV15" i="100"/>
  <c r="DV14" i="100"/>
  <c r="DV13" i="100"/>
  <c r="DV12" i="100"/>
  <c r="DV11" i="100"/>
  <c r="DV10" i="100"/>
  <c r="DV9" i="100"/>
  <c r="DV8" i="100"/>
  <c r="DV7" i="100"/>
  <c r="DV6" i="100"/>
  <c r="DX2" i="100"/>
  <c r="DW1" i="100"/>
  <c r="CY24" i="100"/>
  <c r="CY23" i="100"/>
  <c r="CY22" i="100"/>
  <c r="CY21" i="100"/>
  <c r="CY20" i="100"/>
  <c r="CY19" i="100"/>
  <c r="CY18" i="100"/>
  <c r="CY17" i="100"/>
  <c r="CY16" i="100"/>
  <c r="CY15" i="100"/>
  <c r="CY14" i="100"/>
  <c r="CY13" i="100"/>
  <c r="CY12" i="100"/>
  <c r="CY11" i="100"/>
  <c r="CY10" i="100"/>
  <c r="CY9" i="100"/>
  <c r="CY8" i="100"/>
  <c r="CY7" i="100"/>
  <c r="CY6" i="100"/>
  <c r="EW1" i="100"/>
  <c r="DA2" i="100"/>
  <c r="CZ1" i="100"/>
  <c r="EV24" i="100"/>
  <c r="EV23" i="100"/>
  <c r="EV22" i="100"/>
  <c r="EV21" i="100"/>
  <c r="EV20" i="100"/>
  <c r="EV19" i="100"/>
  <c r="EV18" i="100"/>
  <c r="EV17" i="100"/>
  <c r="EV16" i="100"/>
  <c r="EV15" i="100"/>
  <c r="EV14" i="100"/>
  <c r="EV13" i="100"/>
  <c r="EV12" i="100"/>
  <c r="EV11" i="100"/>
  <c r="EV9" i="100"/>
  <c r="EV8" i="100"/>
  <c r="EV7" i="100"/>
  <c r="EV6" i="100"/>
  <c r="CZ24" i="98"/>
  <c r="CZ23" i="98"/>
  <c r="CZ22" i="98"/>
  <c r="CZ21" i="98"/>
  <c r="CZ20" i="98"/>
  <c r="CZ19" i="98"/>
  <c r="CZ18" i="98"/>
  <c r="CZ17" i="98"/>
  <c r="CZ16" i="98"/>
  <c r="CZ15" i="98"/>
  <c r="CZ14" i="98"/>
  <c r="CZ13" i="98"/>
  <c r="CZ12" i="98"/>
  <c r="CZ11" i="98"/>
  <c r="CZ10" i="98"/>
  <c r="CZ9" i="98"/>
  <c r="CZ8" i="98"/>
  <c r="CZ7" i="98"/>
  <c r="CZ6" i="98"/>
  <c r="EX1" i="98"/>
  <c r="DB2" i="98"/>
  <c r="DA1" i="98"/>
  <c r="EW24" i="98"/>
  <c r="EW23" i="98"/>
  <c r="EW22" i="98"/>
  <c r="EW21" i="98"/>
  <c r="EW20" i="98"/>
  <c r="EW19" i="98"/>
  <c r="EW18" i="98"/>
  <c r="EW17" i="98"/>
  <c r="EW16" i="98"/>
  <c r="EW15" i="98"/>
  <c r="EW14" i="98"/>
  <c r="EW13" i="98"/>
  <c r="EW12" i="98"/>
  <c r="EW11" i="98"/>
  <c r="EW10" i="98"/>
  <c r="EW9" i="98"/>
  <c r="EW8" i="98"/>
  <c r="EW7" i="98"/>
  <c r="EW6" i="98"/>
  <c r="DW24" i="98"/>
  <c r="DW23" i="98"/>
  <c r="DW22" i="98"/>
  <c r="DW21" i="98"/>
  <c r="DW20" i="98"/>
  <c r="DW19" i="98"/>
  <c r="DW18" i="98"/>
  <c r="DW17" i="98"/>
  <c r="DW16" i="98"/>
  <c r="DW15" i="98"/>
  <c r="DW14" i="98"/>
  <c r="DW13" i="98"/>
  <c r="DW12" i="98"/>
  <c r="DW11" i="98"/>
  <c r="DW10" i="98"/>
  <c r="DW9" i="98"/>
  <c r="DW8" i="98"/>
  <c r="DW7" i="98"/>
  <c r="DW6" i="98"/>
  <c r="DY2" i="98"/>
  <c r="DX1" i="98"/>
  <c r="ES10" i="95"/>
  <c r="CG10" i="95" s="1"/>
  <c r="ET10" i="96"/>
  <c r="EU10" i="97"/>
  <c r="DX24" i="97"/>
  <c r="DX23" i="97"/>
  <c r="DX22" i="97"/>
  <c r="DX21" i="97"/>
  <c r="DX20" i="97"/>
  <c r="DX19" i="97"/>
  <c r="DX18" i="97"/>
  <c r="DX17" i="97"/>
  <c r="DX16" i="97"/>
  <c r="DX15" i="97"/>
  <c r="DX14" i="97"/>
  <c r="DX13" i="97"/>
  <c r="DX12" i="97"/>
  <c r="DX11" i="97"/>
  <c r="DX10" i="97"/>
  <c r="DX9" i="97"/>
  <c r="DX8" i="97"/>
  <c r="DX7" i="97"/>
  <c r="DX6" i="97"/>
  <c r="DZ2" i="97"/>
  <c r="DY1" i="97"/>
  <c r="DA24" i="97"/>
  <c r="DA23" i="97"/>
  <c r="DA22" i="97"/>
  <c r="DA21" i="97"/>
  <c r="DA20" i="97"/>
  <c r="DA19" i="97"/>
  <c r="DA18" i="97"/>
  <c r="DA17" i="97"/>
  <c r="DA16" i="97"/>
  <c r="DA15" i="97"/>
  <c r="DA14" i="97"/>
  <c r="DA13" i="97"/>
  <c r="DA12" i="97"/>
  <c r="DA11" i="97"/>
  <c r="DA10" i="97"/>
  <c r="DA9" i="97"/>
  <c r="DA8" i="97"/>
  <c r="DA7" i="97"/>
  <c r="DA6" i="97"/>
  <c r="EY1" i="97"/>
  <c r="DC2" i="97"/>
  <c r="DB1" i="97"/>
  <c r="EX24" i="97"/>
  <c r="EX23" i="97"/>
  <c r="EX22" i="97"/>
  <c r="EX21" i="97"/>
  <c r="EX20" i="97"/>
  <c r="EX19" i="97"/>
  <c r="EX18" i="97"/>
  <c r="EX17" i="97"/>
  <c r="EX16" i="97"/>
  <c r="EX15" i="97"/>
  <c r="EX14" i="97"/>
  <c r="EX13" i="97"/>
  <c r="EX12" i="97"/>
  <c r="EX11" i="97"/>
  <c r="EX10" i="97"/>
  <c r="EX9" i="97"/>
  <c r="EX8" i="97"/>
  <c r="EX7" i="97"/>
  <c r="EX6" i="97"/>
  <c r="DZ24" i="95"/>
  <c r="DZ23" i="95"/>
  <c r="DZ22" i="95"/>
  <c r="DZ21" i="95"/>
  <c r="DZ20" i="95"/>
  <c r="DZ19" i="95"/>
  <c r="DZ18" i="95"/>
  <c r="DZ17" i="95"/>
  <c r="DZ16" i="95"/>
  <c r="DZ15" i="95"/>
  <c r="DZ14" i="95"/>
  <c r="DZ13" i="95"/>
  <c r="DZ12" i="95"/>
  <c r="DZ11" i="95"/>
  <c r="DZ10" i="95"/>
  <c r="DZ9" i="95"/>
  <c r="DZ8" i="95"/>
  <c r="DZ7" i="95"/>
  <c r="DZ6" i="95"/>
  <c r="EB2" i="95"/>
  <c r="EA1" i="95"/>
  <c r="DC24" i="95"/>
  <c r="DC23" i="95"/>
  <c r="DC22" i="95"/>
  <c r="DC21" i="95"/>
  <c r="DC20" i="95"/>
  <c r="DC19" i="95"/>
  <c r="DC18" i="95"/>
  <c r="DC17" i="95"/>
  <c r="DC16" i="95"/>
  <c r="DC15" i="95"/>
  <c r="DC14" i="95"/>
  <c r="DC13" i="95"/>
  <c r="DC12" i="95"/>
  <c r="DC11" i="95"/>
  <c r="DC10" i="95"/>
  <c r="DC9" i="95"/>
  <c r="DC8" i="95"/>
  <c r="DC7" i="95"/>
  <c r="DC6" i="95"/>
  <c r="FA1" i="95"/>
  <c r="DE2" i="95"/>
  <c r="DD1" i="95"/>
  <c r="EZ24" i="95"/>
  <c r="EZ23" i="95"/>
  <c r="EZ22" i="95"/>
  <c r="EZ21" i="95"/>
  <c r="EZ20" i="95"/>
  <c r="EZ19" i="95"/>
  <c r="EZ18" i="95"/>
  <c r="EZ17" i="95"/>
  <c r="EZ16" i="95"/>
  <c r="EZ15" i="95"/>
  <c r="EZ14" i="95"/>
  <c r="EZ13" i="95"/>
  <c r="EZ12" i="95"/>
  <c r="EZ11" i="95"/>
  <c r="EZ10" i="95"/>
  <c r="EZ9" i="95"/>
  <c r="EZ8" i="95"/>
  <c r="EZ7" i="95"/>
  <c r="EZ6" i="95"/>
  <c r="DB24" i="96"/>
  <c r="DB23" i="96"/>
  <c r="DB22" i="96"/>
  <c r="DB21" i="96"/>
  <c r="DB20" i="96"/>
  <c r="DB19" i="96"/>
  <c r="DB18" i="96"/>
  <c r="DB17" i="96"/>
  <c r="DB16" i="96"/>
  <c r="DB15" i="96"/>
  <c r="DB14" i="96"/>
  <c r="DB13" i="96"/>
  <c r="DB12" i="96"/>
  <c r="DB11" i="96"/>
  <c r="DB10" i="96"/>
  <c r="DB9" i="96"/>
  <c r="DB8" i="96"/>
  <c r="DB7" i="96"/>
  <c r="DB6" i="96"/>
  <c r="EZ1" i="96"/>
  <c r="DD2" i="96"/>
  <c r="DC1" i="96"/>
  <c r="EY24" i="96"/>
  <c r="EY23" i="96"/>
  <c r="EY22" i="96"/>
  <c r="EY21" i="96"/>
  <c r="EY20" i="96"/>
  <c r="EY19" i="96"/>
  <c r="EY18" i="96"/>
  <c r="EY17" i="96"/>
  <c r="EY16" i="96"/>
  <c r="EY15" i="96"/>
  <c r="EY14" i="96"/>
  <c r="EY13" i="96"/>
  <c r="EY12" i="96"/>
  <c r="EY11" i="96"/>
  <c r="EY10" i="96"/>
  <c r="EY9" i="96"/>
  <c r="EY8" i="96"/>
  <c r="EY7" i="96"/>
  <c r="EY6" i="96"/>
  <c r="DY24" i="96"/>
  <c r="DY23" i="96"/>
  <c r="DY22" i="96"/>
  <c r="DY21" i="96"/>
  <c r="DY20" i="96"/>
  <c r="DY19" i="96"/>
  <c r="DY18" i="96"/>
  <c r="DY17" i="96"/>
  <c r="DY16" i="96"/>
  <c r="DY15" i="96"/>
  <c r="DY14" i="96"/>
  <c r="DY13" i="96"/>
  <c r="DY12" i="96"/>
  <c r="DY11" i="96"/>
  <c r="DY10" i="96"/>
  <c r="DY9" i="96"/>
  <c r="DY8" i="96"/>
  <c r="DY7" i="96"/>
  <c r="DY6" i="96"/>
  <c r="EA2" i="96"/>
  <c r="DZ1" i="96"/>
  <c r="BV27" i="94"/>
  <c r="ER10" i="93"/>
  <c r="ES10" i="94"/>
  <c r="FB22" i="94"/>
  <c r="FB21" i="94"/>
  <c r="FB23" i="94"/>
  <c r="FB18" i="94"/>
  <c r="FB16" i="94"/>
  <c r="FB13" i="94"/>
  <c r="FB17" i="94"/>
  <c r="FB15" i="94"/>
  <c r="FB12" i="94"/>
  <c r="FB11" i="94"/>
  <c r="FB6" i="94"/>
  <c r="FB24" i="94"/>
  <c r="FB20" i="94"/>
  <c r="FB19" i="94"/>
  <c r="FB10" i="94"/>
  <c r="FB7" i="94"/>
  <c r="FB14" i="94"/>
  <c r="FB9" i="94"/>
  <c r="FB8" i="94"/>
  <c r="DE24" i="94"/>
  <c r="DE20" i="94"/>
  <c r="DE17" i="94"/>
  <c r="DE12" i="94"/>
  <c r="DE23" i="94"/>
  <c r="DE22" i="94"/>
  <c r="DE18" i="94"/>
  <c r="DE13" i="94"/>
  <c r="DE11" i="94"/>
  <c r="FC1" i="94"/>
  <c r="DE14" i="94"/>
  <c r="DE21" i="94"/>
  <c r="DE10" i="94"/>
  <c r="DE7" i="94"/>
  <c r="DE15" i="94"/>
  <c r="DE9" i="94"/>
  <c r="DE16" i="94"/>
  <c r="DE8" i="94"/>
  <c r="DE19" i="94"/>
  <c r="DE6" i="94"/>
  <c r="DG2" i="94"/>
  <c r="DG1" i="94" s="1"/>
  <c r="DF1" i="94"/>
  <c r="EB23" i="94"/>
  <c r="EB24" i="94"/>
  <c r="EB22" i="94"/>
  <c r="EB15" i="94"/>
  <c r="EB14" i="94"/>
  <c r="EB7" i="94"/>
  <c r="EB21" i="94"/>
  <c r="EB16" i="94"/>
  <c r="EB13" i="94"/>
  <c r="EB11" i="94"/>
  <c r="EB10" i="94"/>
  <c r="EB19" i="94"/>
  <c r="EB9" i="94"/>
  <c r="EB20" i="94"/>
  <c r="EB18" i="94"/>
  <c r="EB17" i="94"/>
  <c r="EB8" i="94"/>
  <c r="EB6" i="94"/>
  <c r="EB12" i="94"/>
  <c r="EC1" i="94"/>
  <c r="ED2" i="94"/>
  <c r="DG21" i="93"/>
  <c r="DG18" i="93"/>
  <c r="DG16" i="93"/>
  <c r="DG22" i="93"/>
  <c r="DG8" i="93"/>
  <c r="DG14" i="93"/>
  <c r="DG9" i="93"/>
  <c r="DG17" i="93"/>
  <c r="DG11" i="93"/>
  <c r="DG24" i="93"/>
  <c r="DG15" i="93"/>
  <c r="DG13" i="93"/>
  <c r="DG10" i="93"/>
  <c r="DG6" i="93"/>
  <c r="DG23" i="93"/>
  <c r="DG12" i="93"/>
  <c r="FE1" i="93"/>
  <c r="DG19" i="93"/>
  <c r="DG20" i="93"/>
  <c r="DG7" i="93"/>
  <c r="U3" i="93"/>
  <c r="FC20" i="93"/>
  <c r="FC15" i="93"/>
  <c r="FC17" i="93"/>
  <c r="FC8" i="93"/>
  <c r="FC23" i="93"/>
  <c r="FC16" i="93"/>
  <c r="FC12" i="93"/>
  <c r="FC21" i="93"/>
  <c r="FC13" i="93"/>
  <c r="FC6" i="93"/>
  <c r="FC24" i="93"/>
  <c r="FC22" i="93"/>
  <c r="FC14" i="93"/>
  <c r="FC11" i="93"/>
  <c r="FC7" i="93"/>
  <c r="FC18" i="93"/>
  <c r="FC10" i="93"/>
  <c r="FC19" i="93"/>
  <c r="FC9" i="93"/>
  <c r="ED1" i="93"/>
  <c r="EE2" i="93"/>
  <c r="DF22" i="93"/>
  <c r="DF17" i="93"/>
  <c r="DF14" i="93"/>
  <c r="DF12" i="93"/>
  <c r="DF6" i="93"/>
  <c r="DF21" i="93"/>
  <c r="DF10" i="93"/>
  <c r="DF15" i="93"/>
  <c r="DF9" i="93"/>
  <c r="DF20" i="93"/>
  <c r="DF24" i="93"/>
  <c r="DF16" i="93"/>
  <c r="DF11" i="93"/>
  <c r="DF8" i="93"/>
  <c r="DF19" i="93"/>
  <c r="DF13" i="93"/>
  <c r="FD1" i="93"/>
  <c r="DF23" i="93"/>
  <c r="DF18" i="93"/>
  <c r="DF7" i="93"/>
  <c r="EC22" i="93"/>
  <c r="EC20" i="93"/>
  <c r="EC17" i="93"/>
  <c r="EC11" i="93"/>
  <c r="EC18" i="93"/>
  <c r="EC24" i="93"/>
  <c r="EC13" i="93"/>
  <c r="EC6" i="93"/>
  <c r="EC19" i="93"/>
  <c r="EC12" i="93"/>
  <c r="EC21" i="93"/>
  <c r="EC15" i="93"/>
  <c r="EC16" i="93"/>
  <c r="EC10" i="93"/>
  <c r="EC7" i="93"/>
  <c r="EC14" i="93"/>
  <c r="EC9" i="93"/>
  <c r="EC23" i="93"/>
  <c r="EC8" i="93"/>
  <c r="DK21" i="92"/>
  <c r="DK10" i="92"/>
  <c r="DK24" i="92"/>
  <c r="DK11" i="92"/>
  <c r="DK8" i="92"/>
  <c r="DK23" i="92"/>
  <c r="DK16" i="92"/>
  <c r="DK18" i="92"/>
  <c r="DK6" i="92"/>
  <c r="DK22" i="92"/>
  <c r="DK14" i="92"/>
  <c r="DK9" i="92"/>
  <c r="DK17" i="92"/>
  <c r="DK20" i="92"/>
  <c r="DK13" i="92"/>
  <c r="DK15" i="92"/>
  <c r="DK19" i="92"/>
  <c r="DK7" i="92"/>
  <c r="DK12" i="92"/>
  <c r="DL1" i="92"/>
  <c r="DM2" i="92"/>
  <c r="CP2" i="92"/>
  <c r="CO1" i="92"/>
  <c r="EK15" i="92"/>
  <c r="EK13" i="92"/>
  <c r="EK21" i="92"/>
  <c r="EK16" i="92"/>
  <c r="EK7" i="92"/>
  <c r="EK8" i="92"/>
  <c r="EK20" i="92"/>
  <c r="EK14" i="92"/>
  <c r="EK22" i="92"/>
  <c r="EK9" i="92"/>
  <c r="EK6" i="92"/>
  <c r="EK24" i="92"/>
  <c r="EK23" i="92"/>
  <c r="EK18" i="92"/>
  <c r="EK17" i="92"/>
  <c r="EK19" i="92"/>
  <c r="EK11" i="92"/>
  <c r="CN24" i="92"/>
  <c r="CN9" i="92"/>
  <c r="CN23" i="92"/>
  <c r="CN6" i="92"/>
  <c r="CN20" i="92"/>
  <c r="CN7" i="92"/>
  <c r="CN13" i="92"/>
  <c r="CN8" i="92"/>
  <c r="CN17" i="92"/>
  <c r="EL1" i="92"/>
  <c r="CN10" i="92"/>
  <c r="CN15" i="92"/>
  <c r="CN14" i="92"/>
  <c r="CN11" i="92"/>
  <c r="CN22" i="92"/>
  <c r="CN21" i="92"/>
  <c r="CN12" i="92"/>
  <c r="CN19" i="92"/>
  <c r="CN16" i="92"/>
  <c r="CN18" i="92"/>
  <c r="DM2" i="90"/>
  <c r="DL1" i="90"/>
  <c r="EK15" i="90"/>
  <c r="EK13" i="90"/>
  <c r="EK9" i="90"/>
  <c r="EK16" i="90"/>
  <c r="EK20" i="90"/>
  <c r="EK14" i="90"/>
  <c r="EK6" i="90"/>
  <c r="EK24" i="90"/>
  <c r="EK8" i="90"/>
  <c r="EK21" i="90"/>
  <c r="EK18" i="90"/>
  <c r="EK22" i="90"/>
  <c r="EK12" i="90"/>
  <c r="EK11" i="90"/>
  <c r="EK23" i="90"/>
  <c r="EK7" i="90"/>
  <c r="EK19" i="90"/>
  <c r="EK17" i="90"/>
  <c r="DK16" i="90"/>
  <c r="DK8" i="90"/>
  <c r="DK15" i="90"/>
  <c r="DK6" i="90"/>
  <c r="DK22" i="90"/>
  <c r="DK18" i="90"/>
  <c r="DK7" i="90"/>
  <c r="DK9" i="90"/>
  <c r="DK19" i="90"/>
  <c r="DK23" i="90"/>
  <c r="DK11" i="90"/>
  <c r="DK24" i="90"/>
  <c r="DK14" i="90"/>
  <c r="DK21" i="90"/>
  <c r="DK17" i="90"/>
  <c r="DK10" i="90"/>
  <c r="DK13" i="90"/>
  <c r="DK20" i="90"/>
  <c r="DK12" i="90"/>
  <c r="EK24" i="91"/>
  <c r="EK8" i="91"/>
  <c r="EK21" i="91"/>
  <c r="EK19" i="91"/>
  <c r="EK7" i="91"/>
  <c r="EK13" i="91"/>
  <c r="EK14" i="91"/>
  <c r="EK6" i="91"/>
  <c r="EK20" i="91"/>
  <c r="EK22" i="91"/>
  <c r="EK18" i="91"/>
  <c r="EK15" i="91"/>
  <c r="EK12" i="91"/>
  <c r="EK9" i="91"/>
  <c r="EK17" i="91"/>
  <c r="EK11" i="91"/>
  <c r="EK16" i="91"/>
  <c r="EK23" i="91"/>
  <c r="CN24" i="90"/>
  <c r="CN6" i="90"/>
  <c r="CN7" i="90"/>
  <c r="CN15" i="90"/>
  <c r="EL1" i="90"/>
  <c r="CN19" i="90"/>
  <c r="CN11" i="90"/>
  <c r="CN18" i="90"/>
  <c r="CN14" i="90"/>
  <c r="CN23" i="90"/>
  <c r="CN21" i="90"/>
  <c r="CN22" i="90"/>
  <c r="CN8" i="90"/>
  <c r="CN16" i="90"/>
  <c r="CN17" i="90"/>
  <c r="CN9" i="90"/>
  <c r="CN12" i="90"/>
  <c r="CN20" i="90"/>
  <c r="CN13" i="90"/>
  <c r="CN10" i="90"/>
  <c r="CO1" i="90"/>
  <c r="CP2" i="90"/>
  <c r="CN13" i="91"/>
  <c r="CN19" i="91"/>
  <c r="CN22" i="91"/>
  <c r="CN10" i="91"/>
  <c r="CN8" i="91"/>
  <c r="CN20" i="91"/>
  <c r="CN9" i="91"/>
  <c r="CN21" i="91"/>
  <c r="CN6" i="91"/>
  <c r="CN24" i="91"/>
  <c r="CN7" i="91"/>
  <c r="CN11" i="91"/>
  <c r="CN12" i="91"/>
  <c r="CN17" i="91"/>
  <c r="EL1" i="91"/>
  <c r="CN16" i="91"/>
  <c r="CN23" i="91"/>
  <c r="CN15" i="91"/>
  <c r="CN18" i="91"/>
  <c r="CN14" i="91"/>
  <c r="DM2" i="91"/>
  <c r="DL1" i="91"/>
  <c r="CO1" i="91"/>
  <c r="CP2" i="91"/>
  <c r="DK13" i="91"/>
  <c r="DK6" i="91"/>
  <c r="DK17" i="91"/>
  <c r="DK21" i="91"/>
  <c r="DK7" i="91"/>
  <c r="DK10" i="91"/>
  <c r="DK18" i="91"/>
  <c r="DK15" i="91"/>
  <c r="DK14" i="91"/>
  <c r="DK16" i="91"/>
  <c r="DK12" i="91"/>
  <c r="DK22" i="91"/>
  <c r="DK8" i="91"/>
  <c r="DK9" i="91"/>
  <c r="DK23" i="91"/>
  <c r="DK11" i="91"/>
  <c r="DK20" i="91"/>
  <c r="DK19" i="91"/>
  <c r="DK24" i="91"/>
  <c r="DK21" i="89"/>
  <c r="DK13" i="89"/>
  <c r="DK7" i="89"/>
  <c r="DK20" i="89"/>
  <c r="DK12" i="89"/>
  <c r="DK16" i="89"/>
  <c r="DK8" i="89"/>
  <c r="DK23" i="89"/>
  <c r="DK11" i="89"/>
  <c r="DK18" i="89"/>
  <c r="DK10" i="89"/>
  <c r="DK22" i="89"/>
  <c r="DK14" i="89"/>
  <c r="DK15" i="89"/>
  <c r="DK9" i="89"/>
  <c r="DK19" i="89"/>
  <c r="DK24" i="89"/>
  <c r="DK17" i="89"/>
  <c r="DK6" i="89"/>
  <c r="DM2" i="89"/>
  <c r="DL1" i="89"/>
  <c r="CO1" i="89"/>
  <c r="CP2" i="89"/>
  <c r="EK16" i="89"/>
  <c r="EK9" i="89"/>
  <c r="EK24" i="89"/>
  <c r="EK17" i="89"/>
  <c r="EK7" i="89"/>
  <c r="EK18" i="89"/>
  <c r="EK23" i="89"/>
  <c r="EK20" i="89"/>
  <c r="EK8" i="89"/>
  <c r="EK22" i="89"/>
  <c r="EK15" i="89"/>
  <c r="EK6" i="89"/>
  <c r="EK21" i="89"/>
  <c r="EK12" i="89"/>
  <c r="EK19" i="89"/>
  <c r="EK13" i="89"/>
  <c r="EK14" i="89"/>
  <c r="EK11" i="89"/>
  <c r="CN16" i="89"/>
  <c r="CN12" i="89"/>
  <c r="CN17" i="89"/>
  <c r="CN14" i="89"/>
  <c r="CN19" i="89"/>
  <c r="CN23" i="89"/>
  <c r="CN15" i="89"/>
  <c r="CN6" i="89"/>
  <c r="CN22" i="89"/>
  <c r="CN11" i="89"/>
  <c r="CN10" i="89"/>
  <c r="CN24" i="89"/>
  <c r="CN9" i="89"/>
  <c r="EL1" i="89"/>
  <c r="CN13" i="89"/>
  <c r="CN21" i="89"/>
  <c r="CN8" i="89"/>
  <c r="CN7" i="89"/>
  <c r="CN20" i="89"/>
  <c r="CN18" i="89"/>
  <c r="DK23" i="87"/>
  <c r="DK15" i="87"/>
  <c r="DK7" i="87"/>
  <c r="DK18" i="87"/>
  <c r="DK9" i="87"/>
  <c r="DK24" i="87"/>
  <c r="DK8" i="87"/>
  <c r="DK19" i="87"/>
  <c r="DK14" i="87"/>
  <c r="DK21" i="87"/>
  <c r="DK13" i="87"/>
  <c r="DK20" i="87"/>
  <c r="DK12" i="87"/>
  <c r="DK17" i="87"/>
  <c r="DK6" i="87"/>
  <c r="DK10" i="87"/>
  <c r="DK22" i="87"/>
  <c r="DK11" i="87"/>
  <c r="DK16" i="87"/>
  <c r="DM2" i="87"/>
  <c r="DL1" i="87"/>
  <c r="CN21" i="88"/>
  <c r="CN12" i="88"/>
  <c r="CN16" i="88"/>
  <c r="CN15" i="88"/>
  <c r="CN7" i="88"/>
  <c r="CN23" i="88"/>
  <c r="CN14" i="88"/>
  <c r="CN9" i="88"/>
  <c r="CN22" i="88"/>
  <c r="CN17" i="88"/>
  <c r="CN24" i="88"/>
  <c r="CN13" i="88"/>
  <c r="CN6" i="88"/>
  <c r="CN20" i="88"/>
  <c r="CN11" i="88"/>
  <c r="EL1" i="88"/>
  <c r="CN18" i="88"/>
  <c r="CN8" i="88"/>
  <c r="CN19" i="88"/>
  <c r="CN10" i="88"/>
  <c r="EK23" i="88"/>
  <c r="EK14" i="88"/>
  <c r="EK16" i="88"/>
  <c r="EK22" i="88"/>
  <c r="EK7" i="88"/>
  <c r="EK17" i="88"/>
  <c r="EK9" i="88"/>
  <c r="EK21" i="88"/>
  <c r="EK18" i="88"/>
  <c r="EK12" i="88"/>
  <c r="EK24" i="88"/>
  <c r="EK20" i="88"/>
  <c r="EK8" i="88"/>
  <c r="EK19" i="88"/>
  <c r="EK11" i="88"/>
  <c r="EK15" i="88"/>
  <c r="EK6" i="88"/>
  <c r="EK13" i="88"/>
  <c r="CP2" i="88"/>
  <c r="CO1" i="88"/>
  <c r="EK13" i="87"/>
  <c r="EK14" i="87"/>
  <c r="EK20" i="87"/>
  <c r="EK16" i="87"/>
  <c r="EK8" i="87"/>
  <c r="EK6" i="87"/>
  <c r="EK24" i="87"/>
  <c r="EK21" i="87"/>
  <c r="EK9" i="87"/>
  <c r="EK23" i="87"/>
  <c r="EK11" i="87"/>
  <c r="EK7" i="87"/>
  <c r="EK22" i="87"/>
  <c r="EK15" i="87"/>
  <c r="EK19" i="87"/>
  <c r="EK17" i="87"/>
  <c r="EK18" i="87"/>
  <c r="EK12" i="87"/>
  <c r="DK24" i="88"/>
  <c r="DK19" i="88"/>
  <c r="DK12" i="88"/>
  <c r="DK16" i="88"/>
  <c r="DK14" i="88"/>
  <c r="DK7" i="88"/>
  <c r="DK13" i="88"/>
  <c r="DK18" i="88"/>
  <c r="DK11" i="88"/>
  <c r="DK8" i="88"/>
  <c r="DK17" i="88"/>
  <c r="DK15" i="88"/>
  <c r="DK20" i="88"/>
  <c r="DK10" i="88"/>
  <c r="DK22" i="88"/>
  <c r="DK9" i="88"/>
  <c r="DK21" i="88"/>
  <c r="DK6" i="88"/>
  <c r="DK23" i="88"/>
  <c r="CN20" i="87"/>
  <c r="CN9" i="87"/>
  <c r="CN18" i="87"/>
  <c r="CN14" i="87"/>
  <c r="CN11" i="87"/>
  <c r="CN17" i="87"/>
  <c r="CN8" i="87"/>
  <c r="CN19" i="87"/>
  <c r="CN7" i="87"/>
  <c r="CN21" i="87"/>
  <c r="CN13" i="87"/>
  <c r="EL1" i="87"/>
  <c r="CN24" i="87"/>
  <c r="CN16" i="87"/>
  <c r="CN12" i="87"/>
  <c r="CN10" i="87"/>
  <c r="CN23" i="87"/>
  <c r="CN15" i="87"/>
  <c r="CN6" i="87"/>
  <c r="CN22" i="87"/>
  <c r="DM2" i="88"/>
  <c r="DL1" i="88"/>
  <c r="CP2" i="87"/>
  <c r="CO1" i="87"/>
  <c r="EX103" i="9"/>
  <c r="BQ13" i="97" s="1"/>
  <c r="BQ27" i="97" s="1"/>
  <c r="EW104" i="9"/>
  <c r="EK17" i="86"/>
  <c r="EK14" i="86"/>
  <c r="EK10" i="86"/>
  <c r="EK16" i="86"/>
  <c r="EK6" i="86"/>
  <c r="EK23" i="86"/>
  <c r="EK15" i="86"/>
  <c r="EK9" i="86"/>
  <c r="EK20" i="86"/>
  <c r="EK18" i="86"/>
  <c r="EK8" i="86"/>
  <c r="EK13" i="86"/>
  <c r="EK7" i="86"/>
  <c r="EK22" i="86"/>
  <c r="EK12" i="86"/>
  <c r="EK19" i="86"/>
  <c r="EK21" i="86"/>
  <c r="EK24" i="86"/>
  <c r="EK11" i="86"/>
  <c r="DK15" i="86"/>
  <c r="DK11" i="86"/>
  <c r="DK23" i="86"/>
  <c r="DK18" i="86"/>
  <c r="DK16" i="86"/>
  <c r="DK21" i="86"/>
  <c r="DK14" i="86"/>
  <c r="DK24" i="86"/>
  <c r="DK8" i="86"/>
  <c r="DK7" i="86"/>
  <c r="DK9" i="86"/>
  <c r="DK19" i="86"/>
  <c r="DK22" i="86"/>
  <c r="DK17" i="86"/>
  <c r="DK6" i="86"/>
  <c r="DK20" i="86"/>
  <c r="DK13" i="86"/>
  <c r="DK10" i="86"/>
  <c r="DK12" i="86"/>
  <c r="CN18" i="86"/>
  <c r="CN6" i="86"/>
  <c r="CN21" i="86"/>
  <c r="EL1" i="86"/>
  <c r="CN22" i="86"/>
  <c r="CN14" i="86"/>
  <c r="CN24" i="86"/>
  <c r="CN11" i="86"/>
  <c r="CN9" i="86"/>
  <c r="CN19" i="86"/>
  <c r="CN15" i="86"/>
  <c r="CN23" i="86"/>
  <c r="CN17" i="86"/>
  <c r="CN7" i="86"/>
  <c r="CN16" i="86"/>
  <c r="CN8" i="86"/>
  <c r="CN10" i="86"/>
  <c r="CN20" i="86"/>
  <c r="CN12" i="86"/>
  <c r="CN13" i="86"/>
  <c r="DM2" i="86"/>
  <c r="DL1" i="86"/>
  <c r="CO1" i="86"/>
  <c r="CP2" i="86"/>
  <c r="IV102" i="9"/>
  <c r="IU103" i="9"/>
  <c r="BU13" i="96"/>
  <c r="GJ103" i="9"/>
  <c r="GN103" i="9" s="1"/>
  <c r="GH101" i="9"/>
  <c r="BU10" i="95" s="1"/>
  <c r="BU27" i="95" s="1"/>
  <c r="HL136" i="9" l="1"/>
  <c r="HI136" i="9"/>
  <c r="HC136" i="9"/>
  <c r="HF136" i="9"/>
  <c r="HQ136" i="9"/>
  <c r="GA136" i="9"/>
  <c r="DL19" i="124"/>
  <c r="DL11" i="124"/>
  <c r="DL21" i="124"/>
  <c r="DL7" i="124"/>
  <c r="DL16" i="124"/>
  <c r="DL18" i="124"/>
  <c r="DL8" i="124"/>
  <c r="DL9" i="124"/>
  <c r="DL17" i="124"/>
  <c r="DL6" i="124"/>
  <c r="DL24" i="124"/>
  <c r="DL23" i="124"/>
  <c r="DL14" i="124"/>
  <c r="DL22" i="124"/>
  <c r="DL15" i="124"/>
  <c r="DL10" i="124"/>
  <c r="DL20" i="124"/>
  <c r="DL12" i="124"/>
  <c r="DL13" i="124"/>
  <c r="CQ2" i="124"/>
  <c r="CP1" i="124"/>
  <c r="DN2" i="124"/>
  <c r="DM1" i="124"/>
  <c r="CO18" i="124"/>
  <c r="CO9" i="124"/>
  <c r="CO16" i="124"/>
  <c r="EM1" i="124"/>
  <c r="CO14" i="124"/>
  <c r="CO11" i="124"/>
  <c r="CO17" i="124"/>
  <c r="CO6" i="124"/>
  <c r="CO24" i="124"/>
  <c r="CO21" i="124"/>
  <c r="CO22" i="124"/>
  <c r="CO8" i="124"/>
  <c r="CO19" i="124"/>
  <c r="CO23" i="124"/>
  <c r="CO7" i="124"/>
  <c r="CO15" i="124"/>
  <c r="CO13" i="124"/>
  <c r="CO10" i="124"/>
  <c r="CO20" i="124"/>
  <c r="CO12" i="124"/>
  <c r="EL17" i="124"/>
  <c r="EL13" i="124"/>
  <c r="EL22" i="124"/>
  <c r="EL15" i="124"/>
  <c r="EL18" i="124"/>
  <c r="EL16" i="124"/>
  <c r="EL8" i="124"/>
  <c r="EL24" i="124"/>
  <c r="EL12" i="124"/>
  <c r="EL11" i="124"/>
  <c r="EL7" i="124"/>
  <c r="EL23" i="124"/>
  <c r="EL14" i="124"/>
  <c r="EL20" i="124"/>
  <c r="EL9" i="124"/>
  <c r="EL19" i="124"/>
  <c r="EL6" i="124"/>
  <c r="EL21" i="124"/>
  <c r="DL18" i="121"/>
  <c r="DL12" i="121"/>
  <c r="DL16" i="121"/>
  <c r="DL14" i="121"/>
  <c r="DL6" i="121"/>
  <c r="DL23" i="121"/>
  <c r="DL15" i="121"/>
  <c r="DL22" i="121"/>
  <c r="DL17" i="121"/>
  <c r="DL9" i="121"/>
  <c r="DL21" i="121"/>
  <c r="DL13" i="121"/>
  <c r="DL10" i="121"/>
  <c r="DL24" i="121"/>
  <c r="DL8" i="121"/>
  <c r="DL7" i="121"/>
  <c r="DL19" i="121"/>
  <c r="DL11" i="121"/>
  <c r="DL20" i="121"/>
  <c r="EL22" i="121"/>
  <c r="EL19" i="121"/>
  <c r="EL12" i="121"/>
  <c r="EL15" i="121"/>
  <c r="EL21" i="121"/>
  <c r="EL7" i="121"/>
  <c r="EL23" i="121"/>
  <c r="EL8" i="121"/>
  <c r="EL11" i="121"/>
  <c r="EL17" i="121"/>
  <c r="EL13" i="121"/>
  <c r="EL6" i="121"/>
  <c r="EL20" i="121"/>
  <c r="EL14" i="121"/>
  <c r="EL16" i="121"/>
  <c r="EL24" i="121"/>
  <c r="EL9" i="121"/>
  <c r="EL18" i="121"/>
  <c r="DN2" i="121"/>
  <c r="DM1" i="121"/>
  <c r="CO22" i="121"/>
  <c r="CO13" i="121"/>
  <c r="CO12" i="121"/>
  <c r="CO10" i="121"/>
  <c r="CO9" i="121"/>
  <c r="CO6" i="121"/>
  <c r="CO24" i="121"/>
  <c r="CO11" i="121"/>
  <c r="CO17" i="121"/>
  <c r="CO15" i="121"/>
  <c r="CO7" i="121"/>
  <c r="CO23" i="121"/>
  <c r="EM1" i="121"/>
  <c r="CO21" i="121"/>
  <c r="CO20" i="121"/>
  <c r="CO8" i="121"/>
  <c r="CO14" i="121"/>
  <c r="CO19" i="121"/>
  <c r="CO18" i="121"/>
  <c r="CO16" i="121"/>
  <c r="CQ2" i="121"/>
  <c r="CP1" i="121"/>
  <c r="EL21" i="120"/>
  <c r="EL14" i="120"/>
  <c r="EL9" i="120"/>
  <c r="EL24" i="120"/>
  <c r="EL13" i="120"/>
  <c r="EL8" i="120"/>
  <c r="EL15" i="120"/>
  <c r="EL19" i="120"/>
  <c r="EL11" i="120"/>
  <c r="EL23" i="120"/>
  <c r="EL6" i="120"/>
  <c r="EL22" i="120"/>
  <c r="EL18" i="120"/>
  <c r="EL17" i="120"/>
  <c r="EL20" i="120"/>
  <c r="EL12" i="120"/>
  <c r="EL16" i="120"/>
  <c r="EL7" i="120"/>
  <c r="DM1" i="120"/>
  <c r="DN2" i="120"/>
  <c r="CP1" i="120"/>
  <c r="CQ2" i="120"/>
  <c r="DL24" i="120"/>
  <c r="DL12" i="120"/>
  <c r="DL10" i="120"/>
  <c r="DL20" i="120"/>
  <c r="DL17" i="120"/>
  <c r="DL15" i="120"/>
  <c r="DL19" i="120"/>
  <c r="DL14" i="120"/>
  <c r="DL13" i="120"/>
  <c r="DL22" i="120"/>
  <c r="DL11" i="120"/>
  <c r="DL6" i="120"/>
  <c r="DL21" i="120"/>
  <c r="DL9" i="120"/>
  <c r="DL23" i="120"/>
  <c r="DL18" i="120"/>
  <c r="DL8" i="120"/>
  <c r="DL16" i="120"/>
  <c r="DL7" i="120"/>
  <c r="CO23" i="120"/>
  <c r="CO13" i="120"/>
  <c r="EM1" i="120"/>
  <c r="CO22" i="120"/>
  <c r="CO11" i="120"/>
  <c r="CO8" i="120"/>
  <c r="CO21" i="120"/>
  <c r="CO12" i="120"/>
  <c r="CO18" i="120"/>
  <c r="CO16" i="120"/>
  <c r="CO6" i="120"/>
  <c r="CO19" i="120"/>
  <c r="CO14" i="120"/>
  <c r="CO20" i="120"/>
  <c r="CO10" i="120"/>
  <c r="CO24" i="120"/>
  <c r="CO17" i="120"/>
  <c r="CO7" i="120"/>
  <c r="CO15" i="120"/>
  <c r="CO9" i="120"/>
  <c r="A137" i="9"/>
  <c r="E137" i="9" s="1"/>
  <c r="C138" i="9"/>
  <c r="DL15" i="119"/>
  <c r="DL10" i="119"/>
  <c r="DL9" i="119"/>
  <c r="DL23" i="119"/>
  <c r="DL11" i="119"/>
  <c r="DL16" i="119"/>
  <c r="DL18" i="119"/>
  <c r="DL22" i="119"/>
  <c r="DL13" i="119"/>
  <c r="DL6" i="119"/>
  <c r="DL24" i="119"/>
  <c r="DL12" i="119"/>
  <c r="DL21" i="119"/>
  <c r="DL14" i="119"/>
  <c r="DL7" i="119"/>
  <c r="DL20" i="119"/>
  <c r="DL19" i="119"/>
  <c r="DL17" i="119"/>
  <c r="DL8" i="119"/>
  <c r="DN2" i="119"/>
  <c r="DM1" i="119"/>
  <c r="EL20" i="119"/>
  <c r="EL12" i="119"/>
  <c r="EL7" i="119"/>
  <c r="EL19" i="119"/>
  <c r="EL23" i="119"/>
  <c r="EL15" i="119"/>
  <c r="EL14" i="119"/>
  <c r="EL17" i="119"/>
  <c r="EL24" i="119"/>
  <c r="EL13" i="119"/>
  <c r="EL6" i="119"/>
  <c r="EL21" i="119"/>
  <c r="EL22" i="119"/>
  <c r="EL9" i="119"/>
  <c r="EL18" i="119"/>
  <c r="EL8" i="119"/>
  <c r="EL16" i="119"/>
  <c r="EL11" i="119"/>
  <c r="CO24" i="119"/>
  <c r="CO10" i="119"/>
  <c r="EM1" i="119"/>
  <c r="CO15" i="119"/>
  <c r="CO20" i="119"/>
  <c r="CO6" i="119"/>
  <c r="CO19" i="119"/>
  <c r="CO9" i="119"/>
  <c r="CO11" i="119"/>
  <c r="CO18" i="119"/>
  <c r="CO14" i="119"/>
  <c r="CO23" i="119"/>
  <c r="CO12" i="119"/>
  <c r="CO16" i="119"/>
  <c r="CO13" i="119"/>
  <c r="CO17" i="119"/>
  <c r="CO8" i="119"/>
  <c r="CO22" i="119"/>
  <c r="CO7" i="119"/>
  <c r="CO21" i="119"/>
  <c r="CQ2" i="119"/>
  <c r="CP1" i="119"/>
  <c r="CP24" i="116"/>
  <c r="CP12" i="116"/>
  <c r="EN1" i="116"/>
  <c r="CP19" i="116"/>
  <c r="CP11" i="116"/>
  <c r="CP17" i="116"/>
  <c r="CP20" i="116"/>
  <c r="CP16" i="116"/>
  <c r="CP22" i="116"/>
  <c r="CP10" i="116"/>
  <c r="CP15" i="116"/>
  <c r="CP9" i="116"/>
  <c r="CP23" i="116"/>
  <c r="CP14" i="116"/>
  <c r="CP7" i="116"/>
  <c r="CP18" i="116"/>
  <c r="CP8" i="116"/>
  <c r="CP21" i="116"/>
  <c r="CP13" i="116"/>
  <c r="CP6" i="116"/>
  <c r="CR2" i="116"/>
  <c r="CQ1" i="116"/>
  <c r="DO2" i="116"/>
  <c r="DN1" i="116"/>
  <c r="DM18" i="116"/>
  <c r="DM9" i="116"/>
  <c r="DM17" i="116"/>
  <c r="DM6" i="116"/>
  <c r="DM12" i="116"/>
  <c r="DM7" i="116"/>
  <c r="DM20" i="116"/>
  <c r="DM23" i="116"/>
  <c r="DM15" i="116"/>
  <c r="DM8" i="116"/>
  <c r="DM24" i="116"/>
  <c r="DM16" i="116"/>
  <c r="DM14" i="116"/>
  <c r="DM19" i="116"/>
  <c r="DM10" i="116"/>
  <c r="DM22" i="116"/>
  <c r="DM13" i="116"/>
  <c r="DM21" i="116"/>
  <c r="DM11" i="116"/>
  <c r="EM22" i="116"/>
  <c r="EM9" i="116"/>
  <c r="EM19" i="116"/>
  <c r="EM8" i="116"/>
  <c r="EM17" i="116"/>
  <c r="EM12" i="116"/>
  <c r="EM24" i="116"/>
  <c r="EM15" i="116"/>
  <c r="EM11" i="116"/>
  <c r="EM20" i="116"/>
  <c r="EM16" i="116"/>
  <c r="EM7" i="116"/>
  <c r="EM23" i="116"/>
  <c r="EM13" i="116"/>
  <c r="EM18" i="116"/>
  <c r="EM14" i="116"/>
  <c r="EM6" i="116"/>
  <c r="EM21" i="116"/>
  <c r="DO2" i="113"/>
  <c r="DN1" i="113"/>
  <c r="EM20" i="112"/>
  <c r="EM15" i="112"/>
  <c r="EM11" i="112"/>
  <c r="EM17" i="112"/>
  <c r="EM13" i="112"/>
  <c r="EM6" i="112"/>
  <c r="EM21" i="112"/>
  <c r="EM9" i="112"/>
  <c r="EM16" i="112"/>
  <c r="EM18" i="112"/>
  <c r="EM14" i="112"/>
  <c r="EM19" i="112"/>
  <c r="EM8" i="112"/>
  <c r="EM24" i="112"/>
  <c r="EM22" i="112"/>
  <c r="EM23" i="112"/>
  <c r="EM7" i="112"/>
  <c r="EM12" i="112"/>
  <c r="CP16" i="113"/>
  <c r="CP8" i="113"/>
  <c r="CP15" i="113"/>
  <c r="CP14" i="113"/>
  <c r="CP22" i="113"/>
  <c r="CP13" i="113"/>
  <c r="CP21" i="113"/>
  <c r="CP24" i="113"/>
  <c r="CP18" i="113"/>
  <c r="CP12" i="113"/>
  <c r="CP23" i="113"/>
  <c r="CP11" i="113"/>
  <c r="CP7" i="113"/>
  <c r="CP19" i="113"/>
  <c r="CP20" i="113"/>
  <c r="CP6" i="113"/>
  <c r="CP10" i="113"/>
  <c r="EN1" i="113"/>
  <c r="CP17" i="113"/>
  <c r="CP9" i="113"/>
  <c r="EM24" i="113"/>
  <c r="EM15" i="113"/>
  <c r="EM23" i="113"/>
  <c r="EM12" i="113"/>
  <c r="EM9" i="113"/>
  <c r="EM21" i="113"/>
  <c r="EM20" i="113"/>
  <c r="EM11" i="113"/>
  <c r="EM17" i="113"/>
  <c r="EM18" i="113"/>
  <c r="EM13" i="113"/>
  <c r="EM16" i="113"/>
  <c r="EM8" i="113"/>
  <c r="EM22" i="113"/>
  <c r="EM14" i="113"/>
  <c r="EM7" i="113"/>
  <c r="EM19" i="113"/>
  <c r="EM6" i="113"/>
  <c r="DM22" i="112"/>
  <c r="DM21" i="112"/>
  <c r="DM9" i="112"/>
  <c r="DM15" i="112"/>
  <c r="DM16" i="112"/>
  <c r="DM18" i="112"/>
  <c r="DM8" i="112"/>
  <c r="DM17" i="112"/>
  <c r="DM20" i="112"/>
  <c r="DM6" i="112"/>
  <c r="DM12" i="112"/>
  <c r="DM23" i="112"/>
  <c r="DM24" i="112"/>
  <c r="DM10" i="112"/>
  <c r="DM13" i="112"/>
  <c r="DM14" i="112"/>
  <c r="DM11" i="112"/>
  <c r="DM19" i="112"/>
  <c r="DM7" i="112"/>
  <c r="CQ1" i="112"/>
  <c r="CR2" i="112"/>
  <c r="DO2" i="112"/>
  <c r="DN1" i="112"/>
  <c r="CR2" i="113"/>
  <c r="CQ1" i="113"/>
  <c r="CP21" i="112"/>
  <c r="CP13" i="112"/>
  <c r="CP23" i="112"/>
  <c r="CP8" i="112"/>
  <c r="CP16" i="112"/>
  <c r="CP22" i="112"/>
  <c r="CP6" i="112"/>
  <c r="CP11" i="112"/>
  <c r="EN1" i="112"/>
  <c r="CP17" i="112"/>
  <c r="CP12" i="112"/>
  <c r="CP10" i="112"/>
  <c r="CP20" i="112"/>
  <c r="CP19" i="112"/>
  <c r="CP24" i="112"/>
  <c r="CP9" i="112"/>
  <c r="CP14" i="112"/>
  <c r="CP18" i="112"/>
  <c r="CP15" i="112"/>
  <c r="CP7" i="112"/>
  <c r="DM17" i="113"/>
  <c r="DM10" i="113"/>
  <c r="DM18" i="113"/>
  <c r="DM14" i="113"/>
  <c r="DM21" i="113"/>
  <c r="DM9" i="113"/>
  <c r="DM24" i="113"/>
  <c r="DM12" i="113"/>
  <c r="DM8" i="113"/>
  <c r="DM20" i="113"/>
  <c r="DM23" i="113"/>
  <c r="DM15" i="113"/>
  <c r="DM7" i="113"/>
  <c r="DM22" i="113"/>
  <c r="DM13" i="113"/>
  <c r="DM6" i="113"/>
  <c r="DM19" i="113"/>
  <c r="DM16" i="113"/>
  <c r="DM11" i="113"/>
  <c r="DM17" i="109"/>
  <c r="DM16" i="109"/>
  <c r="DM13" i="109"/>
  <c r="DM10" i="109"/>
  <c r="DM7" i="109"/>
  <c r="DM15" i="109"/>
  <c r="DM6" i="109"/>
  <c r="DM14" i="109"/>
  <c r="DM24" i="109"/>
  <c r="DM12" i="109"/>
  <c r="DM23" i="109"/>
  <c r="DM11" i="109"/>
  <c r="DM22" i="109"/>
  <c r="DM19" i="109"/>
  <c r="DM21" i="109"/>
  <c r="DM9" i="109"/>
  <c r="DM20" i="109"/>
  <c r="DM8" i="109"/>
  <c r="DM18" i="109"/>
  <c r="DO2" i="109"/>
  <c r="DN1" i="109"/>
  <c r="EL24" i="108"/>
  <c r="EL12" i="108"/>
  <c r="EL23" i="108"/>
  <c r="EL11" i="108"/>
  <c r="EL22" i="108"/>
  <c r="EL21" i="108"/>
  <c r="EL9" i="108"/>
  <c r="EL20" i="108"/>
  <c r="EL18" i="108"/>
  <c r="EL6" i="108"/>
  <c r="EL17" i="108"/>
  <c r="EL15" i="108"/>
  <c r="EL13" i="108"/>
  <c r="EL8" i="108"/>
  <c r="EL7" i="108"/>
  <c r="EL19" i="108"/>
  <c r="EL16" i="108"/>
  <c r="EL14" i="108"/>
  <c r="EM22" i="109"/>
  <c r="EM6" i="109"/>
  <c r="EM24" i="109"/>
  <c r="EM21" i="109"/>
  <c r="EM9" i="109"/>
  <c r="EM11" i="109"/>
  <c r="EM20" i="109"/>
  <c r="EM8" i="109"/>
  <c r="EM18" i="109"/>
  <c r="EM15" i="109"/>
  <c r="EM12" i="109"/>
  <c r="EM19" i="109"/>
  <c r="EM7" i="109"/>
  <c r="EM17" i="109"/>
  <c r="EM16" i="109"/>
  <c r="EM23" i="109"/>
  <c r="EM14" i="109"/>
  <c r="EM13" i="109"/>
  <c r="DN2" i="108"/>
  <c r="DM1" i="108"/>
  <c r="CO14" i="108"/>
  <c r="CO24" i="108"/>
  <c r="CO12" i="108"/>
  <c r="CO23" i="108"/>
  <c r="CO11" i="108"/>
  <c r="CO22" i="108"/>
  <c r="CO10" i="108"/>
  <c r="CO8" i="108"/>
  <c r="CO19" i="108"/>
  <c r="CO7" i="108"/>
  <c r="CO18" i="108"/>
  <c r="CO6" i="108"/>
  <c r="CO16" i="108"/>
  <c r="CO13" i="108"/>
  <c r="CO21" i="108"/>
  <c r="CO9" i="108"/>
  <c r="CO20" i="108"/>
  <c r="CO17" i="108"/>
  <c r="CO15" i="108"/>
  <c r="EM1" i="108"/>
  <c r="CP24" i="109"/>
  <c r="CP12" i="109"/>
  <c r="EN1" i="109"/>
  <c r="CP13" i="109"/>
  <c r="CP23" i="109"/>
  <c r="CP11" i="109"/>
  <c r="CP8" i="109"/>
  <c r="CP22" i="109"/>
  <c r="CP10" i="109"/>
  <c r="CP21" i="109"/>
  <c r="CP9" i="109"/>
  <c r="CP20" i="109"/>
  <c r="CP17" i="109"/>
  <c r="CP14" i="109"/>
  <c r="CP19" i="109"/>
  <c r="CP7" i="109"/>
  <c r="CP18" i="109"/>
  <c r="CP6" i="109"/>
  <c r="CP16" i="109"/>
  <c r="CP15" i="109"/>
  <c r="DL19" i="108"/>
  <c r="DL7" i="108"/>
  <c r="DL18" i="108"/>
  <c r="DL6" i="108"/>
  <c r="DL17" i="108"/>
  <c r="DL16" i="108"/>
  <c r="DL15" i="108"/>
  <c r="DL13" i="108"/>
  <c r="DL24" i="108"/>
  <c r="DL12" i="108"/>
  <c r="DL23" i="108"/>
  <c r="DL11" i="108"/>
  <c r="DL22" i="108"/>
  <c r="DL10" i="108"/>
  <c r="DL21" i="108"/>
  <c r="DL8" i="108"/>
  <c r="DL14" i="108"/>
  <c r="DL9" i="108"/>
  <c r="DL20" i="108"/>
  <c r="CQ2" i="108"/>
  <c r="CP1" i="108"/>
  <c r="CR2" i="109"/>
  <c r="CQ1" i="109"/>
  <c r="CO24" i="106"/>
  <c r="CO16" i="106"/>
  <c r="CO8" i="106"/>
  <c r="CO23" i="106"/>
  <c r="CO15" i="106"/>
  <c r="CO7" i="106"/>
  <c r="CO22" i="106"/>
  <c r="CO14" i="106"/>
  <c r="CO6" i="106"/>
  <c r="CO21" i="106"/>
  <c r="CO13" i="106"/>
  <c r="EM1" i="106"/>
  <c r="CO20" i="106"/>
  <c r="CO12" i="106"/>
  <c r="CO19" i="106"/>
  <c r="CO11" i="106"/>
  <c r="CO17" i="106"/>
  <c r="CO18" i="106"/>
  <c r="CO10" i="106"/>
  <c r="CO9" i="106"/>
  <c r="CQ2" i="106"/>
  <c r="CP1" i="106"/>
  <c r="DL17" i="106"/>
  <c r="DL9" i="106"/>
  <c r="DL24" i="106"/>
  <c r="DL16" i="106"/>
  <c r="DL8" i="106"/>
  <c r="DL23" i="106"/>
  <c r="DL15" i="106"/>
  <c r="DL7" i="106"/>
  <c r="DL22" i="106"/>
  <c r="DL14" i="106"/>
  <c r="DL6" i="106"/>
  <c r="DL18" i="106"/>
  <c r="DL21" i="106"/>
  <c r="DL13" i="106"/>
  <c r="DL20" i="106"/>
  <c r="DL12" i="106"/>
  <c r="DL19" i="106"/>
  <c r="DL11" i="106"/>
  <c r="DL10" i="106"/>
  <c r="DN2" i="106"/>
  <c r="DM1" i="106"/>
  <c r="EL22" i="106"/>
  <c r="EL14" i="106"/>
  <c r="EL6" i="106"/>
  <c r="EL15" i="106"/>
  <c r="EL21" i="106"/>
  <c r="EL13" i="106"/>
  <c r="EL7" i="106"/>
  <c r="EL20" i="106"/>
  <c r="EL12" i="106"/>
  <c r="EL23" i="106"/>
  <c r="EL19" i="106"/>
  <c r="EL11" i="106"/>
  <c r="EL18" i="106"/>
  <c r="EL17" i="106"/>
  <c r="EL9" i="106"/>
  <c r="EL24" i="106"/>
  <c r="EL16" i="106"/>
  <c r="EL8" i="106"/>
  <c r="CP1" i="105"/>
  <c r="CQ2" i="105"/>
  <c r="EL22" i="105"/>
  <c r="EL21" i="105"/>
  <c r="EL9" i="105"/>
  <c r="EL20" i="105"/>
  <c r="EL8" i="105"/>
  <c r="EL17" i="105"/>
  <c r="EL24" i="105"/>
  <c r="EL11" i="105"/>
  <c r="EL19" i="105"/>
  <c r="EL7" i="105"/>
  <c r="EL16" i="105"/>
  <c r="EL15" i="105"/>
  <c r="EL13" i="105"/>
  <c r="EL12" i="105"/>
  <c r="EL23" i="105"/>
  <c r="EL18" i="105"/>
  <c r="EL6" i="105"/>
  <c r="EL14" i="105"/>
  <c r="DL17" i="105"/>
  <c r="DL16" i="105"/>
  <c r="DL15" i="105"/>
  <c r="DL24" i="105"/>
  <c r="DL11" i="105"/>
  <c r="DL22" i="105"/>
  <c r="DL9" i="105"/>
  <c r="DL8" i="105"/>
  <c r="DL7" i="105"/>
  <c r="DL6" i="105"/>
  <c r="DL14" i="105"/>
  <c r="DL13" i="105"/>
  <c r="DL12" i="105"/>
  <c r="DL23" i="105"/>
  <c r="DL10" i="105"/>
  <c r="DL21" i="105"/>
  <c r="DL20" i="105"/>
  <c r="DL19" i="105"/>
  <c r="DL18" i="105"/>
  <c r="DN2" i="105"/>
  <c r="DM1" i="105"/>
  <c r="CO24" i="105"/>
  <c r="CO12" i="105"/>
  <c r="CO23" i="105"/>
  <c r="CO11" i="105"/>
  <c r="CO22" i="105"/>
  <c r="CO10" i="105"/>
  <c r="CO18" i="105"/>
  <c r="CO17" i="105"/>
  <c r="CO16" i="105"/>
  <c r="CO13" i="105"/>
  <c r="CO21" i="105"/>
  <c r="CO9" i="105"/>
  <c r="CO7" i="105"/>
  <c r="CO20" i="105"/>
  <c r="CO8" i="105"/>
  <c r="CO19" i="105"/>
  <c r="CO6" i="105"/>
  <c r="EM1" i="105"/>
  <c r="CO15" i="105"/>
  <c r="CO14" i="105"/>
  <c r="EU10" i="98"/>
  <c r="EV10" i="100"/>
  <c r="DX24" i="98"/>
  <c r="DX23" i="98"/>
  <c r="DX22" i="98"/>
  <c r="DX21" i="98"/>
  <c r="DX20" i="98"/>
  <c r="DX19" i="98"/>
  <c r="DX18" i="98"/>
  <c r="DX17" i="98"/>
  <c r="DX16" i="98"/>
  <c r="DX15" i="98"/>
  <c r="DX14" i="98"/>
  <c r="DX13" i="98"/>
  <c r="DX12" i="98"/>
  <c r="DX11" i="98"/>
  <c r="DX10" i="98"/>
  <c r="DX9" i="98"/>
  <c r="DX8" i="98"/>
  <c r="DX7" i="98"/>
  <c r="DX6" i="98"/>
  <c r="DZ2" i="98"/>
  <c r="DY1" i="98"/>
  <c r="DA24" i="98"/>
  <c r="DA23" i="98"/>
  <c r="DA22" i="98"/>
  <c r="DA21" i="98"/>
  <c r="DA20" i="98"/>
  <c r="DA19" i="98"/>
  <c r="DA18" i="98"/>
  <c r="DA17" i="98"/>
  <c r="DA16" i="98"/>
  <c r="DA15" i="98"/>
  <c r="DA14" i="98"/>
  <c r="DA13" i="98"/>
  <c r="DA12" i="98"/>
  <c r="DA11" i="98"/>
  <c r="DA10" i="98"/>
  <c r="DA9" i="98"/>
  <c r="DA8" i="98"/>
  <c r="DA7" i="98"/>
  <c r="DA6" i="98"/>
  <c r="EY1" i="98"/>
  <c r="DC2" i="98"/>
  <c r="DB1" i="98"/>
  <c r="EX24" i="98"/>
  <c r="EX23" i="98"/>
  <c r="EX22" i="98"/>
  <c r="EX21" i="98"/>
  <c r="EX20" i="98"/>
  <c r="EX19" i="98"/>
  <c r="EX18" i="98"/>
  <c r="EX17" i="98"/>
  <c r="EX16" i="98"/>
  <c r="EX15" i="98"/>
  <c r="EX14" i="98"/>
  <c r="EX13" i="98"/>
  <c r="EX12" i="98"/>
  <c r="EX11" i="98"/>
  <c r="EX10" i="98"/>
  <c r="EX9" i="98"/>
  <c r="EX8" i="98"/>
  <c r="EX7" i="98"/>
  <c r="EX6" i="98"/>
  <c r="CZ24" i="100"/>
  <c r="CZ23" i="100"/>
  <c r="CZ22" i="100"/>
  <c r="CZ21" i="100"/>
  <c r="CZ20" i="100"/>
  <c r="CZ19" i="100"/>
  <c r="CZ18" i="100"/>
  <c r="CZ17" i="100"/>
  <c r="CZ16" i="100"/>
  <c r="CZ15" i="100"/>
  <c r="CZ14" i="100"/>
  <c r="CZ13" i="100"/>
  <c r="CZ12" i="100"/>
  <c r="CZ11" i="100"/>
  <c r="CZ10" i="100"/>
  <c r="CZ9" i="100"/>
  <c r="CZ8" i="100"/>
  <c r="CZ7" i="100"/>
  <c r="CZ6" i="100"/>
  <c r="EX1" i="100"/>
  <c r="DB2" i="100"/>
  <c r="DA1" i="100"/>
  <c r="EW24" i="100"/>
  <c r="EW23" i="100"/>
  <c r="EW22" i="100"/>
  <c r="EW21" i="100"/>
  <c r="EW20" i="100"/>
  <c r="EW19" i="100"/>
  <c r="EW18" i="100"/>
  <c r="EW17" i="100"/>
  <c r="EW16" i="100"/>
  <c r="EW15" i="100"/>
  <c r="EW14" i="100"/>
  <c r="EW13" i="100"/>
  <c r="EW12" i="100"/>
  <c r="EW11" i="100"/>
  <c r="EW10" i="100"/>
  <c r="EW9" i="100"/>
  <c r="EW8" i="100"/>
  <c r="EW7" i="100"/>
  <c r="EW6" i="100"/>
  <c r="DW24" i="100"/>
  <c r="DW23" i="100"/>
  <c r="DW22" i="100"/>
  <c r="DW21" i="100"/>
  <c r="DW20" i="100"/>
  <c r="DW19" i="100"/>
  <c r="DW18" i="100"/>
  <c r="DW17" i="100"/>
  <c r="DW16" i="100"/>
  <c r="DW15" i="100"/>
  <c r="DW14" i="100"/>
  <c r="DW13" i="100"/>
  <c r="DW12" i="100"/>
  <c r="DW11" i="100"/>
  <c r="DW10" i="100"/>
  <c r="DW9" i="100"/>
  <c r="DW8" i="100"/>
  <c r="DW7" i="100"/>
  <c r="DW6" i="100"/>
  <c r="DY2" i="100"/>
  <c r="DX1" i="100"/>
  <c r="ER10" i="95"/>
  <c r="ES10" i="96"/>
  <c r="CG10" i="96" s="1"/>
  <c r="ET10" i="97"/>
  <c r="DZ24" i="96"/>
  <c r="DZ23" i="96"/>
  <c r="DZ22" i="96"/>
  <c r="DZ21" i="96"/>
  <c r="DZ20" i="96"/>
  <c r="DZ19" i="96"/>
  <c r="DZ18" i="96"/>
  <c r="DZ17" i="96"/>
  <c r="DZ16" i="96"/>
  <c r="DZ15" i="96"/>
  <c r="DZ14" i="96"/>
  <c r="DZ13" i="96"/>
  <c r="DZ12" i="96"/>
  <c r="DZ11" i="96"/>
  <c r="DZ10" i="96"/>
  <c r="DZ9" i="96"/>
  <c r="DZ8" i="96"/>
  <c r="DZ7" i="96"/>
  <c r="DZ6" i="96"/>
  <c r="EB2" i="96"/>
  <c r="EA1" i="96"/>
  <c r="DC24" i="96"/>
  <c r="DC23" i="96"/>
  <c r="DC22" i="96"/>
  <c r="DC21" i="96"/>
  <c r="DC20" i="96"/>
  <c r="DC19" i="96"/>
  <c r="DC18" i="96"/>
  <c r="DC17" i="96"/>
  <c r="DC16" i="96"/>
  <c r="DC15" i="96"/>
  <c r="DC14" i="96"/>
  <c r="DC13" i="96"/>
  <c r="DC12" i="96"/>
  <c r="DC11" i="96"/>
  <c r="DC10" i="96"/>
  <c r="DC9" i="96"/>
  <c r="DC8" i="96"/>
  <c r="DC7" i="96"/>
  <c r="DC6" i="96"/>
  <c r="FA1" i="96"/>
  <c r="DE2" i="96"/>
  <c r="DD1" i="96"/>
  <c r="EZ24" i="96"/>
  <c r="EZ23" i="96"/>
  <c r="EZ22" i="96"/>
  <c r="EZ21" i="96"/>
  <c r="EZ20" i="96"/>
  <c r="EZ19" i="96"/>
  <c r="EZ18" i="96"/>
  <c r="EZ17" i="96"/>
  <c r="EZ16" i="96"/>
  <c r="EZ15" i="96"/>
  <c r="EZ14" i="96"/>
  <c r="EZ13" i="96"/>
  <c r="EZ12" i="96"/>
  <c r="EZ11" i="96"/>
  <c r="EZ10" i="96"/>
  <c r="EZ9" i="96"/>
  <c r="EZ8" i="96"/>
  <c r="EZ7" i="96"/>
  <c r="EZ6" i="96"/>
  <c r="DD24" i="95"/>
  <c r="DD23" i="95"/>
  <c r="DD22" i="95"/>
  <c r="DD21" i="95"/>
  <c r="DD20" i="95"/>
  <c r="DD19" i="95"/>
  <c r="DD18" i="95"/>
  <c r="DD17" i="95"/>
  <c r="DD16" i="95"/>
  <c r="DD15" i="95"/>
  <c r="DD14" i="95"/>
  <c r="DD13" i="95"/>
  <c r="DD12" i="95"/>
  <c r="DD11" i="95"/>
  <c r="DD10" i="95"/>
  <c r="DD9" i="95"/>
  <c r="DD8" i="95"/>
  <c r="DD7" i="95"/>
  <c r="DD6" i="95"/>
  <c r="FB1" i="95"/>
  <c r="DF2" i="95"/>
  <c r="DF1" i="95" s="1"/>
  <c r="DE1" i="95"/>
  <c r="FA24" i="95"/>
  <c r="FA23" i="95"/>
  <c r="FA22" i="95"/>
  <c r="FA21" i="95"/>
  <c r="FA20" i="95"/>
  <c r="FA19" i="95"/>
  <c r="FA18" i="95"/>
  <c r="FA17" i="95"/>
  <c r="FA16" i="95"/>
  <c r="FA15" i="95"/>
  <c r="FA14" i="95"/>
  <c r="FA13" i="95"/>
  <c r="FA12" i="95"/>
  <c r="FA11" i="95"/>
  <c r="FA10" i="95"/>
  <c r="FA9" i="95"/>
  <c r="FA8" i="95"/>
  <c r="FA7" i="95"/>
  <c r="FA6" i="95"/>
  <c r="EA24" i="95"/>
  <c r="EA23" i="95"/>
  <c r="EA22" i="95"/>
  <c r="EA21" i="95"/>
  <c r="EA20" i="95"/>
  <c r="EA19" i="95"/>
  <c r="EA18" i="95"/>
  <c r="EA17" i="95"/>
  <c r="EA16" i="95"/>
  <c r="EA15" i="95"/>
  <c r="EA14" i="95"/>
  <c r="EA13" i="95"/>
  <c r="EA12" i="95"/>
  <c r="EA11" i="95"/>
  <c r="EA10" i="95"/>
  <c r="EA9" i="95"/>
  <c r="EA8" i="95"/>
  <c r="EA7" i="95"/>
  <c r="EA6" i="95"/>
  <c r="EC2" i="95"/>
  <c r="EB1" i="95"/>
  <c r="DB24" i="97"/>
  <c r="DB23" i="97"/>
  <c r="DB22" i="97"/>
  <c r="DB21" i="97"/>
  <c r="DB20" i="97"/>
  <c r="DB19" i="97"/>
  <c r="DB18" i="97"/>
  <c r="DB17" i="97"/>
  <c r="DB16" i="97"/>
  <c r="DB15" i="97"/>
  <c r="DB14" i="97"/>
  <c r="DB13" i="97"/>
  <c r="DB12" i="97"/>
  <c r="DB11" i="97"/>
  <c r="DB10" i="97"/>
  <c r="DB9" i="97"/>
  <c r="DB8" i="97"/>
  <c r="DB7" i="97"/>
  <c r="DB6" i="97"/>
  <c r="EZ1" i="97"/>
  <c r="DD2" i="97"/>
  <c r="DC1" i="97"/>
  <c r="EY24" i="97"/>
  <c r="EY23" i="97"/>
  <c r="EY22" i="97"/>
  <c r="EY21" i="97"/>
  <c r="EY20" i="97"/>
  <c r="EY19" i="97"/>
  <c r="EY18" i="97"/>
  <c r="EY17" i="97"/>
  <c r="EY16" i="97"/>
  <c r="EY15" i="97"/>
  <c r="EY14" i="97"/>
  <c r="EY13" i="97"/>
  <c r="EY12" i="97"/>
  <c r="EY11" i="97"/>
  <c r="EY10" i="97"/>
  <c r="EY9" i="97"/>
  <c r="EY8" i="97"/>
  <c r="EY7" i="97"/>
  <c r="EY6" i="97"/>
  <c r="DY24" i="97"/>
  <c r="DY23" i="97"/>
  <c r="DY22" i="97"/>
  <c r="DY21" i="97"/>
  <c r="DY20" i="97"/>
  <c r="DY19" i="97"/>
  <c r="DY18" i="97"/>
  <c r="DY17" i="97"/>
  <c r="DY16" i="97"/>
  <c r="DY15" i="97"/>
  <c r="DY14" i="97"/>
  <c r="DY13" i="97"/>
  <c r="DY12" i="97"/>
  <c r="DY11" i="97"/>
  <c r="DY10" i="97"/>
  <c r="DY9" i="97"/>
  <c r="DY8" i="97"/>
  <c r="DY7" i="97"/>
  <c r="DY6" i="97"/>
  <c r="EA2" i="97"/>
  <c r="DZ1" i="97"/>
  <c r="EJ10" i="86"/>
  <c r="EQ10" i="93"/>
  <c r="ER10" i="94"/>
  <c r="EE2" i="94"/>
  <c r="ED1" i="94"/>
  <c r="EC22" i="94"/>
  <c r="EC21" i="94"/>
  <c r="EC20" i="94"/>
  <c r="EC19" i="94"/>
  <c r="EC18" i="94"/>
  <c r="EC16" i="94"/>
  <c r="EC13" i="94"/>
  <c r="EC14" i="94"/>
  <c r="EC6" i="94"/>
  <c r="EC23" i="94"/>
  <c r="EC15" i="94"/>
  <c r="EC9" i="94"/>
  <c r="EC17" i="94"/>
  <c r="EC8" i="94"/>
  <c r="EC12" i="94"/>
  <c r="EC24" i="94"/>
  <c r="EC11" i="94"/>
  <c r="EC10" i="94"/>
  <c r="EC7" i="94"/>
  <c r="DF24" i="94"/>
  <c r="DF19" i="94"/>
  <c r="DF14" i="94"/>
  <c r="DF10" i="94"/>
  <c r="DF9" i="94"/>
  <c r="DF8" i="94"/>
  <c r="DF21" i="94"/>
  <c r="DF16" i="94"/>
  <c r="DF20" i="94"/>
  <c r="DF15" i="94"/>
  <c r="DF13" i="94"/>
  <c r="DF11" i="94"/>
  <c r="DF23" i="94"/>
  <c r="DF22" i="94"/>
  <c r="DF18" i="94"/>
  <c r="DF17" i="94"/>
  <c r="DF6" i="94"/>
  <c r="DF12" i="94"/>
  <c r="DF7" i="94"/>
  <c r="FD1" i="94"/>
  <c r="DG23" i="94"/>
  <c r="DG22" i="94"/>
  <c r="DG21" i="94"/>
  <c r="DG20" i="94"/>
  <c r="DG19" i="94"/>
  <c r="DG15" i="94"/>
  <c r="DG14" i="94"/>
  <c r="DG24" i="94"/>
  <c r="DG16" i="94"/>
  <c r="DG7" i="94"/>
  <c r="DG9" i="94"/>
  <c r="DG18" i="94"/>
  <c r="DG17" i="94"/>
  <c r="DG8" i="94"/>
  <c r="DG6" i="94"/>
  <c r="DG12" i="94"/>
  <c r="FE1" i="94"/>
  <c r="DG13" i="94"/>
  <c r="DG11" i="94"/>
  <c r="DG10" i="94"/>
  <c r="U3" i="94"/>
  <c r="FC24" i="94"/>
  <c r="FC20" i="94"/>
  <c r="FC17" i="94"/>
  <c r="FC12" i="94"/>
  <c r="FC23" i="94"/>
  <c r="FC19" i="94"/>
  <c r="FC18" i="94"/>
  <c r="FC13" i="94"/>
  <c r="FC14" i="94"/>
  <c r="FC22" i="94"/>
  <c r="FC16" i="94"/>
  <c r="FC10" i="94"/>
  <c r="FC7" i="94"/>
  <c r="FC9" i="94"/>
  <c r="FC8" i="94"/>
  <c r="FC21" i="94"/>
  <c r="FC15" i="94"/>
  <c r="FC11" i="94"/>
  <c r="FC6" i="94"/>
  <c r="BZ7" i="93"/>
  <c r="U7" i="93" s="1"/>
  <c r="V7" i="93" s="1"/>
  <c r="BZ12" i="93"/>
  <c r="U12" i="93" s="1"/>
  <c r="V12" i="93" s="1"/>
  <c r="BZ13" i="93"/>
  <c r="U13" i="93" s="1"/>
  <c r="V13" i="93" s="1"/>
  <c r="BZ22" i="93"/>
  <c r="U22" i="93" s="1"/>
  <c r="V22" i="93" s="1"/>
  <c r="BZ15" i="93"/>
  <c r="U15" i="93" s="1"/>
  <c r="V15" i="93" s="1"/>
  <c r="BZ16" i="93"/>
  <c r="U16" i="93" s="1"/>
  <c r="V16" i="93" s="1"/>
  <c r="FD20" i="93"/>
  <c r="FD24" i="93"/>
  <c r="FD16" i="93"/>
  <c r="FD9" i="93"/>
  <c r="FD6" i="93"/>
  <c r="FD15" i="93"/>
  <c r="FD18" i="93"/>
  <c r="FD22" i="93"/>
  <c r="FD14" i="93"/>
  <c r="FD12" i="93"/>
  <c r="FD19" i="93"/>
  <c r="FD21" i="93"/>
  <c r="FD13" i="93"/>
  <c r="FD8" i="93"/>
  <c r="FD7" i="93"/>
  <c r="FD23" i="93"/>
  <c r="FD11" i="93"/>
  <c r="FD17" i="93"/>
  <c r="FD10" i="93"/>
  <c r="BZ20" i="93"/>
  <c r="U20" i="93" s="1"/>
  <c r="V20" i="93" s="1"/>
  <c r="BZ23" i="93"/>
  <c r="U23" i="93" s="1"/>
  <c r="V23" i="93" s="1"/>
  <c r="BZ9" i="93"/>
  <c r="U9" i="93" s="1"/>
  <c r="V9" i="93" s="1"/>
  <c r="EE1" i="93"/>
  <c r="EF2" i="93"/>
  <c r="EF1" i="93" s="1"/>
  <c r="BZ19" i="93"/>
  <c r="U19" i="93" s="1"/>
  <c r="V19" i="93" s="1"/>
  <c r="BZ6" i="93"/>
  <c r="BZ24" i="93"/>
  <c r="U24" i="93" s="1"/>
  <c r="V24" i="93" s="1"/>
  <c r="BZ14" i="93"/>
  <c r="U14" i="93" s="1"/>
  <c r="V14" i="93" s="1"/>
  <c r="BZ18" i="93"/>
  <c r="U18" i="93" s="1"/>
  <c r="V18" i="93" s="1"/>
  <c r="BZ17" i="93"/>
  <c r="U17" i="93" s="1"/>
  <c r="V17" i="93" s="1"/>
  <c r="ED24" i="93"/>
  <c r="ED19" i="93"/>
  <c r="ED14" i="93"/>
  <c r="ED13" i="93"/>
  <c r="ED7" i="93"/>
  <c r="ED18" i="93"/>
  <c r="ED12" i="93"/>
  <c r="ED22" i="93"/>
  <c r="ED9" i="93"/>
  <c r="ED15" i="93"/>
  <c r="ED8" i="93"/>
  <c r="ED23" i="93"/>
  <c r="ED17" i="93"/>
  <c r="ED10" i="93"/>
  <c r="ED21" i="93"/>
  <c r="ED16" i="93"/>
  <c r="ED6" i="93"/>
  <c r="ED20" i="93"/>
  <c r="ED11" i="93"/>
  <c r="FE24" i="93"/>
  <c r="FE20" i="93"/>
  <c r="FE13" i="93"/>
  <c r="FE9" i="93"/>
  <c r="FE11" i="93"/>
  <c r="FE18" i="93"/>
  <c r="FE17" i="93"/>
  <c r="FE22" i="93"/>
  <c r="FE10" i="93"/>
  <c r="FE23" i="93"/>
  <c r="FE15" i="93"/>
  <c r="FE12" i="93"/>
  <c r="FE7" i="93"/>
  <c r="FE21" i="93"/>
  <c r="FE14" i="93"/>
  <c r="FE6" i="93"/>
  <c r="FE19" i="93"/>
  <c r="FE16" i="93"/>
  <c r="FE8" i="93"/>
  <c r="BZ10" i="93"/>
  <c r="U10" i="93" s="1"/>
  <c r="V10" i="93" s="1"/>
  <c r="BZ11" i="93"/>
  <c r="U11" i="93" s="1"/>
  <c r="V11" i="93" s="1"/>
  <c r="BZ8" i="93"/>
  <c r="U8" i="93" s="1"/>
  <c r="V8" i="93" s="1"/>
  <c r="BZ21" i="93"/>
  <c r="U21" i="93" s="1"/>
  <c r="V21" i="93" s="1"/>
  <c r="CO19" i="92"/>
  <c r="CO7" i="92"/>
  <c r="CO18" i="92"/>
  <c r="CO23" i="92"/>
  <c r="CO22" i="92"/>
  <c r="CO14" i="92"/>
  <c r="CO20" i="92"/>
  <c r="EM1" i="92"/>
  <c r="CO11" i="92"/>
  <c r="CO6" i="92"/>
  <c r="CO16" i="92"/>
  <c r="CO15" i="92"/>
  <c r="CO9" i="92"/>
  <c r="CO10" i="92"/>
  <c r="CO21" i="92"/>
  <c r="CO8" i="92"/>
  <c r="CO24" i="92"/>
  <c r="CO13" i="92"/>
  <c r="CO12" i="92"/>
  <c r="CO17" i="92"/>
  <c r="CQ2" i="92"/>
  <c r="CP1" i="92"/>
  <c r="DN2" i="92"/>
  <c r="DM1" i="92"/>
  <c r="EL22" i="92"/>
  <c r="EL7" i="92"/>
  <c r="EL14" i="92"/>
  <c r="EL18" i="92"/>
  <c r="EL20" i="92"/>
  <c r="EL16" i="92"/>
  <c r="EL8" i="92"/>
  <c r="EL9" i="92"/>
  <c r="EL24" i="92"/>
  <c r="EL13" i="92"/>
  <c r="EL12" i="92"/>
  <c r="EL19" i="92"/>
  <c r="EL11" i="92"/>
  <c r="EL23" i="92"/>
  <c r="EL21" i="92"/>
  <c r="EL6" i="92"/>
  <c r="EL17" i="92"/>
  <c r="EL15" i="92"/>
  <c r="DL21" i="92"/>
  <c r="DL9" i="92"/>
  <c r="DL7" i="92"/>
  <c r="DL13" i="92"/>
  <c r="DL18" i="92"/>
  <c r="DL8" i="92"/>
  <c r="DL6" i="92"/>
  <c r="DL16" i="92"/>
  <c r="DL22" i="92"/>
  <c r="DL17" i="92"/>
  <c r="DL24" i="92"/>
  <c r="DL19" i="92"/>
  <c r="DL20" i="92"/>
  <c r="DL12" i="92"/>
  <c r="DL10" i="92"/>
  <c r="DL11" i="92"/>
  <c r="DL14" i="92"/>
  <c r="DL15" i="92"/>
  <c r="DL23" i="92"/>
  <c r="CQ2" i="90"/>
  <c r="CP1" i="90"/>
  <c r="CO15" i="91"/>
  <c r="CO16" i="91"/>
  <c r="EM1" i="91"/>
  <c r="CO13" i="91"/>
  <c r="CO21" i="91"/>
  <c r="CO11" i="91"/>
  <c r="CO22" i="91"/>
  <c r="CO17" i="91"/>
  <c r="CO8" i="91"/>
  <c r="CO23" i="91"/>
  <c r="CO6" i="91"/>
  <c r="CO20" i="91"/>
  <c r="CO19" i="91"/>
  <c r="CO24" i="91"/>
  <c r="CO12" i="91"/>
  <c r="CO18" i="91"/>
  <c r="CO14" i="91"/>
  <c r="CO10" i="91"/>
  <c r="CO7" i="91"/>
  <c r="CO9" i="91"/>
  <c r="DL23" i="91"/>
  <c r="DL20" i="91"/>
  <c r="DL7" i="91"/>
  <c r="DL15" i="91"/>
  <c r="DL12" i="91"/>
  <c r="DL22" i="91"/>
  <c r="DL14" i="91"/>
  <c r="DL6" i="91"/>
  <c r="DL9" i="91"/>
  <c r="DL21" i="91"/>
  <c r="DL19" i="91"/>
  <c r="DL18" i="91"/>
  <c r="DL13" i="91"/>
  <c r="DL17" i="91"/>
  <c r="DL11" i="91"/>
  <c r="DL16" i="91"/>
  <c r="DL8" i="91"/>
  <c r="DL24" i="91"/>
  <c r="DL10" i="91"/>
  <c r="EL19" i="90"/>
  <c r="EL7" i="90"/>
  <c r="EL18" i="90"/>
  <c r="EL6" i="90"/>
  <c r="EL21" i="90"/>
  <c r="EL15" i="90"/>
  <c r="EL9" i="90"/>
  <c r="EL23" i="90"/>
  <c r="EL20" i="90"/>
  <c r="EL11" i="90"/>
  <c r="EL14" i="90"/>
  <c r="EL8" i="90"/>
  <c r="EL17" i="90"/>
  <c r="EL16" i="90"/>
  <c r="EL12" i="90"/>
  <c r="EL13" i="90"/>
  <c r="EL22" i="90"/>
  <c r="EL24" i="90"/>
  <c r="CO24" i="90"/>
  <c r="CO17" i="90"/>
  <c r="CO22" i="90"/>
  <c r="CO6" i="90"/>
  <c r="CO15" i="90"/>
  <c r="CO19" i="90"/>
  <c r="CO11" i="90"/>
  <c r="CO7" i="90"/>
  <c r="CO14" i="90"/>
  <c r="CO21" i="90"/>
  <c r="CO9" i="90"/>
  <c r="CO18" i="90"/>
  <c r="EM1" i="90"/>
  <c r="CO23" i="90"/>
  <c r="CO16" i="90"/>
  <c r="CO8" i="90"/>
  <c r="CO13" i="90"/>
  <c r="CO12" i="90"/>
  <c r="CO20" i="90"/>
  <c r="CO10" i="90"/>
  <c r="DL7" i="90"/>
  <c r="DL17" i="90"/>
  <c r="DL24" i="90"/>
  <c r="DL9" i="90"/>
  <c r="DL15" i="90"/>
  <c r="DL16" i="90"/>
  <c r="DL11" i="90"/>
  <c r="DL22" i="90"/>
  <c r="DL6" i="90"/>
  <c r="DL21" i="90"/>
  <c r="DL18" i="90"/>
  <c r="DL19" i="90"/>
  <c r="DL8" i="90"/>
  <c r="DL14" i="90"/>
  <c r="DL23" i="90"/>
  <c r="DL13" i="90"/>
  <c r="DL20" i="90"/>
  <c r="DL12" i="90"/>
  <c r="DL10" i="90"/>
  <c r="EL16" i="91"/>
  <c r="EL22" i="91"/>
  <c r="EL19" i="91"/>
  <c r="EL18" i="91"/>
  <c r="EL13" i="91"/>
  <c r="EL11" i="91"/>
  <c r="EL8" i="91"/>
  <c r="EL9" i="91"/>
  <c r="EL17" i="91"/>
  <c r="EL23" i="91"/>
  <c r="EL24" i="91"/>
  <c r="EL7" i="91"/>
  <c r="EL6" i="91"/>
  <c r="EL20" i="91"/>
  <c r="EL14" i="91"/>
  <c r="EL12" i="91"/>
  <c r="EL21" i="91"/>
  <c r="EL15" i="91"/>
  <c r="DM1" i="90"/>
  <c r="DN2" i="90"/>
  <c r="DN2" i="91"/>
  <c r="DM1" i="91"/>
  <c r="CP1" i="91"/>
  <c r="CQ2" i="91"/>
  <c r="EL18" i="89"/>
  <c r="EL8" i="89"/>
  <c r="EL16" i="89"/>
  <c r="EL19" i="89"/>
  <c r="EL14" i="89"/>
  <c r="EL23" i="89"/>
  <c r="EL17" i="89"/>
  <c r="EL12" i="89"/>
  <c r="EL9" i="89"/>
  <c r="EL22" i="89"/>
  <c r="EL20" i="89"/>
  <c r="EL6" i="89"/>
  <c r="EL24" i="89"/>
  <c r="EL15" i="89"/>
  <c r="EL7" i="89"/>
  <c r="EL21" i="89"/>
  <c r="EL11" i="89"/>
  <c r="EL13" i="89"/>
  <c r="CQ2" i="89"/>
  <c r="CP1" i="89"/>
  <c r="CO16" i="89"/>
  <c r="CO12" i="89"/>
  <c r="CO7" i="89"/>
  <c r="CO20" i="89"/>
  <c r="CO11" i="89"/>
  <c r="CO22" i="89"/>
  <c r="CO9" i="89"/>
  <c r="CO18" i="89"/>
  <c r="CO8" i="89"/>
  <c r="CO10" i="89"/>
  <c r="CO17" i="89"/>
  <c r="CO13" i="89"/>
  <c r="CO24" i="89"/>
  <c r="CO21" i="89"/>
  <c r="CO14" i="89"/>
  <c r="CO15" i="89"/>
  <c r="CO6" i="89"/>
  <c r="CO23" i="89"/>
  <c r="CO19" i="89"/>
  <c r="EM1" i="89"/>
  <c r="DL24" i="89"/>
  <c r="DL16" i="89"/>
  <c r="DL7" i="89"/>
  <c r="DL17" i="89"/>
  <c r="DL23" i="89"/>
  <c r="DL18" i="89"/>
  <c r="DL9" i="89"/>
  <c r="DL21" i="89"/>
  <c r="DL15" i="89"/>
  <c r="DL6" i="89"/>
  <c r="DL20" i="89"/>
  <c r="DL12" i="89"/>
  <c r="DL22" i="89"/>
  <c r="DL11" i="89"/>
  <c r="DL19" i="89"/>
  <c r="DL10" i="89"/>
  <c r="DL14" i="89"/>
  <c r="DL13" i="89"/>
  <c r="DL8" i="89"/>
  <c r="DN2" i="89"/>
  <c r="DM1" i="89"/>
  <c r="EL19" i="87"/>
  <c r="EL9" i="87"/>
  <c r="EL20" i="87"/>
  <c r="EL14" i="87"/>
  <c r="EL18" i="87"/>
  <c r="EL12" i="87"/>
  <c r="EL16" i="87"/>
  <c r="EL17" i="87"/>
  <c r="EL8" i="87"/>
  <c r="EL21" i="87"/>
  <c r="EL7" i="87"/>
  <c r="EL24" i="87"/>
  <c r="EL13" i="87"/>
  <c r="EL11" i="87"/>
  <c r="EL23" i="87"/>
  <c r="EL15" i="87"/>
  <c r="EL6" i="87"/>
  <c r="EL22" i="87"/>
  <c r="EL10" i="87"/>
  <c r="EK10" i="87"/>
  <c r="CO22" i="88"/>
  <c r="CO16" i="88"/>
  <c r="CO8" i="88"/>
  <c r="CO15" i="88"/>
  <c r="CO21" i="88"/>
  <c r="CO23" i="88"/>
  <c r="CO6" i="88"/>
  <c r="CO12" i="88"/>
  <c r="CO24" i="88"/>
  <c r="CO13" i="88"/>
  <c r="CO14" i="88"/>
  <c r="CO17" i="88"/>
  <c r="CO11" i="88"/>
  <c r="EM1" i="88"/>
  <c r="CO18" i="88"/>
  <c r="CO10" i="88"/>
  <c r="CO19" i="88"/>
  <c r="CO9" i="88"/>
  <c r="CO20" i="88"/>
  <c r="CO7" i="88"/>
  <c r="CQ2" i="88"/>
  <c r="CP1" i="88"/>
  <c r="EL23" i="88"/>
  <c r="EL12" i="88"/>
  <c r="EL16" i="88"/>
  <c r="EL22" i="88"/>
  <c r="EL8" i="88"/>
  <c r="EL7" i="88"/>
  <c r="EL20" i="88"/>
  <c r="EL21" i="88"/>
  <c r="EL10" i="88"/>
  <c r="EL18" i="88"/>
  <c r="EL11" i="88"/>
  <c r="EL24" i="88"/>
  <c r="EL15" i="88"/>
  <c r="EL13" i="88"/>
  <c r="EL17" i="88"/>
  <c r="EL19" i="88"/>
  <c r="EL9" i="88"/>
  <c r="EL14" i="88"/>
  <c r="EL6" i="88"/>
  <c r="DL24" i="87"/>
  <c r="DL12" i="87"/>
  <c r="DL8" i="87"/>
  <c r="DL19" i="87"/>
  <c r="DL11" i="87"/>
  <c r="DL7" i="87"/>
  <c r="DL23" i="87"/>
  <c r="DL16" i="87"/>
  <c r="DL21" i="87"/>
  <c r="DL15" i="87"/>
  <c r="DL22" i="87"/>
  <c r="DL14" i="87"/>
  <c r="DL18" i="87"/>
  <c r="DL10" i="87"/>
  <c r="DL17" i="87"/>
  <c r="DL6" i="87"/>
  <c r="DL20" i="87"/>
  <c r="DL13" i="87"/>
  <c r="DL9" i="87"/>
  <c r="CO20" i="87"/>
  <c r="CO14" i="87"/>
  <c r="EM1" i="87"/>
  <c r="CO22" i="87"/>
  <c r="CO18" i="87"/>
  <c r="CO7" i="87"/>
  <c r="CO13" i="87"/>
  <c r="CO21" i="87"/>
  <c r="CO11" i="87"/>
  <c r="CO19" i="87"/>
  <c r="CO9" i="87"/>
  <c r="CO16" i="87"/>
  <c r="CO15" i="87"/>
  <c r="CO6" i="87"/>
  <c r="CO24" i="87"/>
  <c r="CO12" i="87"/>
  <c r="CO10" i="87"/>
  <c r="CO23" i="87"/>
  <c r="CO17" i="87"/>
  <c r="CO8" i="87"/>
  <c r="DN2" i="87"/>
  <c r="DM1" i="87"/>
  <c r="CQ2" i="87"/>
  <c r="CP1" i="87"/>
  <c r="DL22" i="88"/>
  <c r="DL9" i="88"/>
  <c r="DL16" i="88"/>
  <c r="DL13" i="88"/>
  <c r="DL21" i="88"/>
  <c r="DL11" i="88"/>
  <c r="DL18" i="88"/>
  <c r="DL24" i="88"/>
  <c r="DL15" i="88"/>
  <c r="DL7" i="88"/>
  <c r="DL23" i="88"/>
  <c r="DL19" i="88"/>
  <c r="DL8" i="88"/>
  <c r="DL20" i="88"/>
  <c r="DL14" i="88"/>
  <c r="DL6" i="88"/>
  <c r="DL10" i="88"/>
  <c r="DL17" i="88"/>
  <c r="DL12" i="88"/>
  <c r="DM1" i="88"/>
  <c r="DN2" i="88"/>
  <c r="EL19" i="86"/>
  <c r="EL18" i="86"/>
  <c r="EL7" i="86"/>
  <c r="EL24" i="86"/>
  <c r="EL13" i="86"/>
  <c r="EL6" i="86"/>
  <c r="EL22" i="86"/>
  <c r="EL23" i="86"/>
  <c r="EL12" i="86"/>
  <c r="EL20" i="86"/>
  <c r="EL8" i="86"/>
  <c r="EL21" i="86"/>
  <c r="EL14" i="86"/>
  <c r="EL17" i="86"/>
  <c r="EL10" i="86"/>
  <c r="EL16" i="86"/>
  <c r="EL9" i="86"/>
  <c r="EL15" i="86"/>
  <c r="EL11" i="86"/>
  <c r="EW105" i="9"/>
  <c r="EX104" i="9"/>
  <c r="CP1" i="86"/>
  <c r="CQ2" i="86"/>
  <c r="CO24" i="86"/>
  <c r="CO11" i="86"/>
  <c r="CO23" i="86"/>
  <c r="CO9" i="86"/>
  <c r="CO17" i="86"/>
  <c r="EM1" i="86"/>
  <c r="CO21" i="86"/>
  <c r="CO14" i="86"/>
  <c r="CO16" i="86"/>
  <c r="CO8" i="86"/>
  <c r="CO15" i="86"/>
  <c r="CO7" i="86"/>
  <c r="CO19" i="86"/>
  <c r="CO6" i="86"/>
  <c r="CO22" i="86"/>
  <c r="CO18" i="86"/>
  <c r="CO12" i="86"/>
  <c r="CO10" i="86"/>
  <c r="CO13" i="86"/>
  <c r="CO20" i="86"/>
  <c r="DL23" i="86"/>
  <c r="DL18" i="86"/>
  <c r="DL22" i="86"/>
  <c r="DL11" i="86"/>
  <c r="DL21" i="86"/>
  <c r="DL14" i="86"/>
  <c r="DL15" i="86"/>
  <c r="DL24" i="86"/>
  <c r="DL6" i="86"/>
  <c r="DL19" i="86"/>
  <c r="DL8" i="86"/>
  <c r="DL17" i="86"/>
  <c r="DL7" i="86"/>
  <c r="DL16" i="86"/>
  <c r="DL9" i="86"/>
  <c r="DL20" i="86"/>
  <c r="DL13" i="86"/>
  <c r="DL10" i="86"/>
  <c r="DL12" i="86"/>
  <c r="IV103" i="9"/>
  <c r="IU104" i="9"/>
  <c r="BU13" i="97"/>
  <c r="GJ104" i="9"/>
  <c r="GN104" i="9" s="1"/>
  <c r="DN2" i="86"/>
  <c r="DM1" i="86"/>
  <c r="GH102" i="9"/>
  <c r="BU10" i="96" s="1"/>
  <c r="BU27" i="96" s="1"/>
  <c r="HL137" i="9" l="1"/>
  <c r="HI137" i="9"/>
  <c r="HC137" i="9"/>
  <c r="HF137" i="9"/>
  <c r="GA137" i="9"/>
  <c r="HQ137" i="9"/>
  <c r="DN1" i="124"/>
  <c r="DO2" i="124"/>
  <c r="CP16" i="124"/>
  <c r="CP8" i="124"/>
  <c r="CP18" i="124"/>
  <c r="CP9" i="124"/>
  <c r="CP22" i="124"/>
  <c r="CP7" i="124"/>
  <c r="CP19" i="124"/>
  <c r="EN1" i="124"/>
  <c r="CP24" i="124"/>
  <c r="CP14" i="124"/>
  <c r="CP23" i="124"/>
  <c r="CP15" i="124"/>
  <c r="CP17" i="124"/>
  <c r="CP6" i="124"/>
  <c r="CP21" i="124"/>
  <c r="CP11" i="124"/>
  <c r="CP13" i="124"/>
  <c r="CP10" i="124"/>
  <c r="CP12" i="124"/>
  <c r="CP20" i="124"/>
  <c r="CQ1" i="124"/>
  <c r="CR2" i="124"/>
  <c r="EM18" i="124"/>
  <c r="EM14" i="124"/>
  <c r="EM21" i="124"/>
  <c r="EM13" i="124"/>
  <c r="EM24" i="124"/>
  <c r="EM15" i="124"/>
  <c r="EM11" i="124"/>
  <c r="EM9" i="124"/>
  <c r="EM19" i="124"/>
  <c r="EM8" i="124"/>
  <c r="EM17" i="124"/>
  <c r="EM7" i="124"/>
  <c r="EM23" i="124"/>
  <c r="EM12" i="124"/>
  <c r="EM6" i="124"/>
  <c r="EM20" i="124"/>
  <c r="EM22" i="124"/>
  <c r="EM16" i="124"/>
  <c r="DM24" i="124"/>
  <c r="DM23" i="124"/>
  <c r="DM14" i="124"/>
  <c r="DM22" i="124"/>
  <c r="DM11" i="124"/>
  <c r="DM21" i="124"/>
  <c r="DM9" i="124"/>
  <c r="DM17" i="124"/>
  <c r="DM6" i="124"/>
  <c r="DM19" i="124"/>
  <c r="DM7" i="124"/>
  <c r="DM16" i="124"/>
  <c r="DM8" i="124"/>
  <c r="DM18" i="124"/>
  <c r="DM15" i="124"/>
  <c r="DM13" i="124"/>
  <c r="DM20" i="124"/>
  <c r="DM12" i="124"/>
  <c r="DM10" i="124"/>
  <c r="DM22" i="121"/>
  <c r="DM10" i="121"/>
  <c r="DM21" i="121"/>
  <c r="DM17" i="121"/>
  <c r="DM9" i="121"/>
  <c r="DM14" i="121"/>
  <c r="DM13" i="121"/>
  <c r="DM12" i="121"/>
  <c r="DM8" i="121"/>
  <c r="DM23" i="121"/>
  <c r="DM7" i="121"/>
  <c r="DM15" i="121"/>
  <c r="DM24" i="121"/>
  <c r="DM16" i="121"/>
  <c r="DM18" i="121"/>
  <c r="DM20" i="121"/>
  <c r="DM19" i="121"/>
  <c r="DM6" i="121"/>
  <c r="DM11" i="121"/>
  <c r="DO2" i="121"/>
  <c r="DN1" i="121"/>
  <c r="CQ1" i="121"/>
  <c r="CR2" i="121"/>
  <c r="EM18" i="121"/>
  <c r="EM8" i="121"/>
  <c r="EM12" i="121"/>
  <c r="EM11" i="121"/>
  <c r="EM14" i="121"/>
  <c r="EM23" i="121"/>
  <c r="EM17" i="121"/>
  <c r="EM21" i="121"/>
  <c r="EM13" i="121"/>
  <c r="EM24" i="121"/>
  <c r="EM7" i="121"/>
  <c r="EM19" i="121"/>
  <c r="EM20" i="121"/>
  <c r="EM15" i="121"/>
  <c r="EM16" i="121"/>
  <c r="EM22" i="121"/>
  <c r="EM6" i="121"/>
  <c r="EM9" i="121"/>
  <c r="CP24" i="121"/>
  <c r="CP17" i="121"/>
  <c r="CP11" i="121"/>
  <c r="CP14" i="121"/>
  <c r="CP9" i="121"/>
  <c r="CP8" i="121"/>
  <c r="CP22" i="121"/>
  <c r="CP13" i="121"/>
  <c r="CP23" i="121"/>
  <c r="CP15" i="121"/>
  <c r="CP10" i="121"/>
  <c r="CP19" i="121"/>
  <c r="CP6" i="121"/>
  <c r="CP18" i="121"/>
  <c r="CP7" i="121"/>
  <c r="CP21" i="121"/>
  <c r="CP20" i="121"/>
  <c r="EN1" i="121"/>
  <c r="CP16" i="121"/>
  <c r="CP12" i="121"/>
  <c r="A138" i="9"/>
  <c r="E138" i="9" s="1"/>
  <c r="C139" i="9"/>
  <c r="CR2" i="120"/>
  <c r="CQ1" i="120"/>
  <c r="CP20" i="120"/>
  <c r="CP13" i="120"/>
  <c r="EN1" i="120"/>
  <c r="CP21" i="120"/>
  <c r="CP10" i="120"/>
  <c r="CP19" i="120"/>
  <c r="CP9" i="120"/>
  <c r="CP12" i="120"/>
  <c r="CP17" i="120"/>
  <c r="CP8" i="120"/>
  <c r="CP15" i="120"/>
  <c r="CP11" i="120"/>
  <c r="CP18" i="120"/>
  <c r="CP24" i="120"/>
  <c r="CP16" i="120"/>
  <c r="CP7" i="120"/>
  <c r="CP23" i="120"/>
  <c r="CP14" i="120"/>
  <c r="CP6" i="120"/>
  <c r="CP22" i="120"/>
  <c r="EM24" i="120"/>
  <c r="EM14" i="120"/>
  <c r="EM6" i="120"/>
  <c r="EM23" i="120"/>
  <c r="EM17" i="120"/>
  <c r="EM8" i="120"/>
  <c r="EM21" i="120"/>
  <c r="EM13" i="120"/>
  <c r="EM9" i="120"/>
  <c r="EM22" i="120"/>
  <c r="EM11" i="120"/>
  <c r="EM20" i="120"/>
  <c r="EM12" i="120"/>
  <c r="EM19" i="120"/>
  <c r="EM15" i="120"/>
  <c r="EM7" i="120"/>
  <c r="EM18" i="120"/>
  <c r="EM16" i="120"/>
  <c r="DO2" i="120"/>
  <c r="DN1" i="120"/>
  <c r="DM21" i="120"/>
  <c r="DM11" i="120"/>
  <c r="DM18" i="120"/>
  <c r="DM10" i="120"/>
  <c r="DM16" i="120"/>
  <c r="DM9" i="120"/>
  <c r="DM23" i="120"/>
  <c r="DM17" i="120"/>
  <c r="DM8" i="120"/>
  <c r="DM20" i="120"/>
  <c r="DM15" i="120"/>
  <c r="DM7" i="120"/>
  <c r="DM19" i="120"/>
  <c r="DM13" i="120"/>
  <c r="DM6" i="120"/>
  <c r="DM22" i="120"/>
  <c r="DM14" i="120"/>
  <c r="DM24" i="120"/>
  <c r="DM12" i="120"/>
  <c r="CP20" i="119"/>
  <c r="CP13" i="119"/>
  <c r="CP8" i="119"/>
  <c r="CP19" i="119"/>
  <c r="CP10" i="119"/>
  <c r="CP6" i="119"/>
  <c r="CP16" i="119"/>
  <c r="CP14" i="119"/>
  <c r="CP15" i="119"/>
  <c r="CP11" i="119"/>
  <c r="CP9" i="119"/>
  <c r="CP12" i="119"/>
  <c r="CP24" i="119"/>
  <c r="EN1" i="119"/>
  <c r="CP17" i="119"/>
  <c r="CP18" i="119"/>
  <c r="CP23" i="119"/>
  <c r="CP21" i="119"/>
  <c r="CP22" i="119"/>
  <c r="CP7" i="119"/>
  <c r="DM19" i="119"/>
  <c r="DM9" i="119"/>
  <c r="DM24" i="119"/>
  <c r="DM17" i="119"/>
  <c r="DM7" i="119"/>
  <c r="DM21" i="119"/>
  <c r="DM16" i="119"/>
  <c r="DM8" i="119"/>
  <c r="DM20" i="119"/>
  <c r="DM12" i="119"/>
  <c r="DM6" i="119"/>
  <c r="DM11" i="119"/>
  <c r="DM10" i="119"/>
  <c r="DM23" i="119"/>
  <c r="DM22" i="119"/>
  <c r="DM18" i="119"/>
  <c r="DM15" i="119"/>
  <c r="DM14" i="119"/>
  <c r="DM13" i="119"/>
  <c r="CR2" i="119"/>
  <c r="CQ1" i="119"/>
  <c r="DO2" i="119"/>
  <c r="DN1" i="119"/>
  <c r="EM17" i="119"/>
  <c r="EM14" i="119"/>
  <c r="EM16" i="119"/>
  <c r="EM7" i="119"/>
  <c r="EM23" i="119"/>
  <c r="EM12" i="119"/>
  <c r="EM6" i="119"/>
  <c r="EM21" i="119"/>
  <c r="EM15" i="119"/>
  <c r="EM8" i="119"/>
  <c r="EM19" i="119"/>
  <c r="EM24" i="119"/>
  <c r="EM9" i="119"/>
  <c r="EM22" i="119"/>
  <c r="EM13" i="119"/>
  <c r="EM20" i="119"/>
  <c r="EM11" i="119"/>
  <c r="EM18" i="119"/>
  <c r="DN23" i="116"/>
  <c r="DN21" i="116"/>
  <c r="DN6" i="116"/>
  <c r="DN19" i="116"/>
  <c r="DN14" i="116"/>
  <c r="DN10" i="116"/>
  <c r="DN18" i="116"/>
  <c r="DN9" i="116"/>
  <c r="DN22" i="116"/>
  <c r="DN8" i="116"/>
  <c r="DN15" i="116"/>
  <c r="DN20" i="116"/>
  <c r="DN13" i="116"/>
  <c r="DN17" i="116"/>
  <c r="DN11" i="116"/>
  <c r="DN12" i="116"/>
  <c r="DN24" i="116"/>
  <c r="DN16" i="116"/>
  <c r="DN7" i="116"/>
  <c r="DP2" i="116"/>
  <c r="DO1" i="116"/>
  <c r="CQ20" i="116"/>
  <c r="CQ12" i="116"/>
  <c r="CQ10" i="116"/>
  <c r="CQ21" i="116"/>
  <c r="CQ9" i="116"/>
  <c r="CQ23" i="116"/>
  <c r="CQ11" i="116"/>
  <c r="CQ17" i="116"/>
  <c r="CQ18" i="116"/>
  <c r="CQ6" i="116"/>
  <c r="CQ16" i="116"/>
  <c r="EO1" i="116"/>
  <c r="CQ22" i="116"/>
  <c r="CQ14" i="116"/>
  <c r="CQ8" i="116"/>
  <c r="CQ24" i="116"/>
  <c r="CQ15" i="116"/>
  <c r="CQ19" i="116"/>
  <c r="CQ13" i="116"/>
  <c r="CQ7" i="116"/>
  <c r="CS2" i="116"/>
  <c r="CR1" i="116"/>
  <c r="EN21" i="116"/>
  <c r="EN8" i="116"/>
  <c r="EN20" i="116"/>
  <c r="EN17" i="116"/>
  <c r="EN11" i="116"/>
  <c r="EN23" i="116"/>
  <c r="EN22" i="116"/>
  <c r="EN6" i="116"/>
  <c r="EN19" i="116"/>
  <c r="EN24" i="116"/>
  <c r="EN16" i="116"/>
  <c r="EN12" i="116"/>
  <c r="EN15" i="116"/>
  <c r="EN7" i="116"/>
  <c r="EN14" i="116"/>
  <c r="EN13" i="116"/>
  <c r="EN18" i="116"/>
  <c r="EN9" i="116"/>
  <c r="CQ24" i="112"/>
  <c r="CQ8" i="112"/>
  <c r="CQ6" i="112"/>
  <c r="CQ23" i="112"/>
  <c r="CQ17" i="112"/>
  <c r="CQ14" i="112"/>
  <c r="CQ22" i="112"/>
  <c r="CQ16" i="112"/>
  <c r="CQ11" i="112"/>
  <c r="CQ19" i="112"/>
  <c r="CQ13" i="112"/>
  <c r="CQ15" i="112"/>
  <c r="CQ18" i="112"/>
  <c r="CQ7" i="112"/>
  <c r="CQ21" i="112"/>
  <c r="EO1" i="112"/>
  <c r="CQ10" i="112"/>
  <c r="CQ20" i="112"/>
  <c r="CQ9" i="112"/>
  <c r="CQ12" i="112"/>
  <c r="EN24" i="112"/>
  <c r="EN22" i="112"/>
  <c r="EN23" i="112"/>
  <c r="EN9" i="112"/>
  <c r="EN15" i="112"/>
  <c r="EN20" i="112"/>
  <c r="EN8" i="112"/>
  <c r="EN17" i="112"/>
  <c r="EN18" i="112"/>
  <c r="EN14" i="112"/>
  <c r="EN21" i="112"/>
  <c r="EN12" i="112"/>
  <c r="EN19" i="112"/>
  <c r="EN7" i="112"/>
  <c r="EN11" i="112"/>
  <c r="EN13" i="112"/>
  <c r="EN16" i="112"/>
  <c r="EN6" i="112"/>
  <c r="CQ19" i="113"/>
  <c r="CQ15" i="113"/>
  <c r="CQ20" i="113"/>
  <c r="CQ12" i="113"/>
  <c r="CQ17" i="113"/>
  <c r="CQ16" i="113"/>
  <c r="CQ18" i="113"/>
  <c r="CQ7" i="113"/>
  <c r="CQ22" i="113"/>
  <c r="CQ24" i="113"/>
  <c r="CQ14" i="113"/>
  <c r="CQ11" i="113"/>
  <c r="CQ9" i="113"/>
  <c r="CQ23" i="113"/>
  <c r="CQ10" i="113"/>
  <c r="CQ6" i="113"/>
  <c r="EO1" i="113"/>
  <c r="CQ21" i="113"/>
  <c r="CQ8" i="113"/>
  <c r="CQ13" i="113"/>
  <c r="CS2" i="113"/>
  <c r="CR1" i="113"/>
  <c r="EN23" i="113"/>
  <c r="EN11" i="113"/>
  <c r="EN7" i="113"/>
  <c r="EN20" i="113"/>
  <c r="EN13" i="113"/>
  <c r="EN6" i="113"/>
  <c r="EN17" i="113"/>
  <c r="EN22" i="113"/>
  <c r="EN9" i="113"/>
  <c r="EN16" i="113"/>
  <c r="EN21" i="113"/>
  <c r="EN8" i="113"/>
  <c r="EN14" i="113"/>
  <c r="EN19" i="113"/>
  <c r="EN15" i="113"/>
  <c r="EN24" i="113"/>
  <c r="EN18" i="113"/>
  <c r="EN12" i="113"/>
  <c r="DN19" i="112"/>
  <c r="DN13" i="112"/>
  <c r="DN14" i="112"/>
  <c r="DN12" i="112"/>
  <c r="DN9" i="112"/>
  <c r="DN16" i="112"/>
  <c r="DN15" i="112"/>
  <c r="DN24" i="112"/>
  <c r="DN11" i="112"/>
  <c r="DN7" i="112"/>
  <c r="DN23" i="112"/>
  <c r="DN18" i="112"/>
  <c r="DN8" i="112"/>
  <c r="DN17" i="112"/>
  <c r="DN10" i="112"/>
  <c r="DN6" i="112"/>
  <c r="DN22" i="112"/>
  <c r="DN21" i="112"/>
  <c r="DN20" i="112"/>
  <c r="DP2" i="112"/>
  <c r="DO1" i="112"/>
  <c r="DN24" i="113"/>
  <c r="DN21" i="113"/>
  <c r="DN8" i="113"/>
  <c r="DN9" i="113"/>
  <c r="DN23" i="113"/>
  <c r="DN12" i="113"/>
  <c r="DN10" i="113"/>
  <c r="DN19" i="113"/>
  <c r="DN15" i="113"/>
  <c r="DN7" i="113"/>
  <c r="DN18" i="113"/>
  <c r="DN13" i="113"/>
  <c r="DN16" i="113"/>
  <c r="DN11" i="113"/>
  <c r="DN20" i="113"/>
  <c r="DN22" i="113"/>
  <c r="DN14" i="113"/>
  <c r="DN17" i="113"/>
  <c r="DN6" i="113"/>
  <c r="CS2" i="112"/>
  <c r="CR1" i="112"/>
  <c r="DO1" i="113"/>
  <c r="DP2" i="113"/>
  <c r="DN24" i="109"/>
  <c r="DN12" i="109"/>
  <c r="DN20" i="109"/>
  <c r="DN17" i="109"/>
  <c r="DN13" i="109"/>
  <c r="DN23" i="109"/>
  <c r="DN11" i="109"/>
  <c r="DN8" i="109"/>
  <c r="DN14" i="109"/>
  <c r="DN22" i="109"/>
  <c r="DN10" i="109"/>
  <c r="DN21" i="109"/>
  <c r="DN9" i="109"/>
  <c r="DN6" i="109"/>
  <c r="DN19" i="109"/>
  <c r="DN7" i="109"/>
  <c r="DN18" i="109"/>
  <c r="DN16" i="109"/>
  <c r="DN15" i="109"/>
  <c r="EN19" i="109"/>
  <c r="EN7" i="109"/>
  <c r="EN24" i="109"/>
  <c r="EN18" i="109"/>
  <c r="EN6" i="109"/>
  <c r="EN12" i="109"/>
  <c r="EN9" i="109"/>
  <c r="EN8" i="109"/>
  <c r="EN17" i="109"/>
  <c r="EN16" i="109"/>
  <c r="EN15" i="109"/>
  <c r="EN14" i="109"/>
  <c r="EN13" i="109"/>
  <c r="EN22" i="109"/>
  <c r="EN23" i="109"/>
  <c r="EN11" i="109"/>
  <c r="EN21" i="109"/>
  <c r="EN20" i="109"/>
  <c r="DP2" i="109"/>
  <c r="DO1" i="109"/>
  <c r="DM14" i="108"/>
  <c r="DM8" i="108"/>
  <c r="DM19" i="108"/>
  <c r="DM13" i="108"/>
  <c r="DM20" i="108"/>
  <c r="DM24" i="108"/>
  <c r="DM12" i="108"/>
  <c r="DM7" i="108"/>
  <c r="DM6" i="108"/>
  <c r="DM23" i="108"/>
  <c r="DM11" i="108"/>
  <c r="DM22" i="108"/>
  <c r="DM10" i="108"/>
  <c r="DM16" i="108"/>
  <c r="DM15" i="108"/>
  <c r="DM21" i="108"/>
  <c r="DM9" i="108"/>
  <c r="DM18" i="108"/>
  <c r="DM17" i="108"/>
  <c r="DN1" i="108"/>
  <c r="DO2" i="108"/>
  <c r="EM21" i="108"/>
  <c r="EM9" i="108"/>
  <c r="EM24" i="108"/>
  <c r="EM20" i="108"/>
  <c r="EM8" i="108"/>
  <c r="EM17" i="108"/>
  <c r="EM14" i="108"/>
  <c r="EM13" i="108"/>
  <c r="EM12" i="108"/>
  <c r="EM23" i="108"/>
  <c r="EM19" i="108"/>
  <c r="EM7" i="108"/>
  <c r="EM11" i="108"/>
  <c r="EM22" i="108"/>
  <c r="EM18" i="108"/>
  <c r="EM6" i="108"/>
  <c r="EM16" i="108"/>
  <c r="EM15" i="108"/>
  <c r="CQ21" i="109"/>
  <c r="CQ9" i="109"/>
  <c r="CQ15" i="109"/>
  <c r="CQ20" i="109"/>
  <c r="CQ8" i="109"/>
  <c r="CQ12" i="109"/>
  <c r="CQ22" i="109"/>
  <c r="CQ19" i="109"/>
  <c r="CQ7" i="109"/>
  <c r="CQ17" i="109"/>
  <c r="CQ18" i="109"/>
  <c r="CQ6" i="109"/>
  <c r="EO1" i="109"/>
  <c r="CQ24" i="109"/>
  <c r="CQ23" i="109"/>
  <c r="CQ10" i="109"/>
  <c r="CQ16" i="109"/>
  <c r="CQ14" i="109"/>
  <c r="CQ11" i="109"/>
  <c r="CQ13" i="109"/>
  <c r="CR1" i="109"/>
  <c r="CS2" i="109"/>
  <c r="CP23" i="108"/>
  <c r="CP11" i="108"/>
  <c r="CP7" i="108"/>
  <c r="CP24" i="108"/>
  <c r="CP22" i="108"/>
  <c r="CP10" i="108"/>
  <c r="CP12" i="108"/>
  <c r="CP21" i="108"/>
  <c r="CP9" i="108"/>
  <c r="CP19" i="108"/>
  <c r="EN1" i="108"/>
  <c r="CP20" i="108"/>
  <c r="CP8" i="108"/>
  <c r="CP6" i="108"/>
  <c r="CP17" i="108"/>
  <c r="CP16" i="108"/>
  <c r="CP15" i="108"/>
  <c r="CP14" i="108"/>
  <c r="CP18" i="108"/>
  <c r="CP13" i="108"/>
  <c r="CQ1" i="108"/>
  <c r="CR2" i="108"/>
  <c r="CR2" i="106"/>
  <c r="CQ1" i="106"/>
  <c r="EM22" i="106"/>
  <c r="EM14" i="106"/>
  <c r="EM6" i="106"/>
  <c r="EM23" i="106"/>
  <c r="EM21" i="106"/>
  <c r="EM13" i="106"/>
  <c r="EM20" i="106"/>
  <c r="EM12" i="106"/>
  <c r="EM19" i="106"/>
  <c r="EM11" i="106"/>
  <c r="EM18" i="106"/>
  <c r="EM17" i="106"/>
  <c r="EM9" i="106"/>
  <c r="EM24" i="106"/>
  <c r="EM16" i="106"/>
  <c r="EM8" i="106"/>
  <c r="EM15" i="106"/>
  <c r="EM7" i="106"/>
  <c r="DM19" i="106"/>
  <c r="DM11" i="106"/>
  <c r="DM18" i="106"/>
  <c r="DM10" i="106"/>
  <c r="DM20" i="106"/>
  <c r="DM17" i="106"/>
  <c r="DM9" i="106"/>
  <c r="DM12" i="106"/>
  <c r="DM24" i="106"/>
  <c r="DM16" i="106"/>
  <c r="DM8" i="106"/>
  <c r="DM23" i="106"/>
  <c r="DM15" i="106"/>
  <c r="DM7" i="106"/>
  <c r="DM22" i="106"/>
  <c r="DM14" i="106"/>
  <c r="DM6" i="106"/>
  <c r="DM21" i="106"/>
  <c r="DM13" i="106"/>
  <c r="DO2" i="106"/>
  <c r="DN1" i="106"/>
  <c r="CP24" i="106"/>
  <c r="CP16" i="106"/>
  <c r="CP8" i="106"/>
  <c r="CP23" i="106"/>
  <c r="CP15" i="106"/>
  <c r="CP7" i="106"/>
  <c r="CP22" i="106"/>
  <c r="CP14" i="106"/>
  <c r="CP6" i="106"/>
  <c r="CP21" i="106"/>
  <c r="CP13" i="106"/>
  <c r="EN1" i="106"/>
  <c r="CP20" i="106"/>
  <c r="CP12" i="106"/>
  <c r="CP19" i="106"/>
  <c r="CP11" i="106"/>
  <c r="CP18" i="106"/>
  <c r="CP10" i="106"/>
  <c r="CP17" i="106"/>
  <c r="CP9" i="106"/>
  <c r="BZ22" i="94"/>
  <c r="U22" i="94" s="1"/>
  <c r="V22" i="94" s="1"/>
  <c r="DM23" i="105"/>
  <c r="DM11" i="105"/>
  <c r="DM22" i="105"/>
  <c r="DM10" i="105"/>
  <c r="DM21" i="105"/>
  <c r="DM9" i="105"/>
  <c r="DM20" i="105"/>
  <c r="DM8" i="105"/>
  <c r="DM19" i="105"/>
  <c r="DM7" i="105"/>
  <c r="DM18" i="105"/>
  <c r="DM6" i="105"/>
  <c r="DM17" i="105"/>
  <c r="DM16" i="105"/>
  <c r="DM15" i="105"/>
  <c r="DM14" i="105"/>
  <c r="DM13" i="105"/>
  <c r="DM24" i="105"/>
  <c r="DM12" i="105"/>
  <c r="EM18" i="105"/>
  <c r="EM6" i="105"/>
  <c r="EM17" i="105"/>
  <c r="EM16" i="105"/>
  <c r="EM15" i="105"/>
  <c r="EM14" i="105"/>
  <c r="EM13" i="105"/>
  <c r="EM24" i="105"/>
  <c r="EM12" i="105"/>
  <c r="EM23" i="105"/>
  <c r="EM11" i="105"/>
  <c r="EM22" i="105"/>
  <c r="EM21" i="105"/>
  <c r="EM9" i="105"/>
  <c r="EM20" i="105"/>
  <c r="EM8" i="105"/>
  <c r="EM19" i="105"/>
  <c r="EM7" i="105"/>
  <c r="DO2" i="105"/>
  <c r="DN1" i="105"/>
  <c r="CR2" i="105"/>
  <c r="CQ1" i="105"/>
  <c r="CP20" i="105"/>
  <c r="CP8" i="105"/>
  <c r="CP19" i="105"/>
  <c r="CP7" i="105"/>
  <c r="CP18" i="105"/>
  <c r="CP6" i="105"/>
  <c r="CP13" i="105"/>
  <c r="CP17" i="105"/>
  <c r="EN1" i="105"/>
  <c r="CP16" i="105"/>
  <c r="CP15" i="105"/>
  <c r="CP14" i="105"/>
  <c r="CP24" i="105"/>
  <c r="CP12" i="105"/>
  <c r="CP23" i="105"/>
  <c r="CP11" i="105"/>
  <c r="CP22" i="105"/>
  <c r="CP10" i="105"/>
  <c r="CP21" i="105"/>
  <c r="CP9" i="105"/>
  <c r="BZ8" i="94"/>
  <c r="U8" i="94" s="1"/>
  <c r="V8" i="94" s="1"/>
  <c r="BZ20" i="94"/>
  <c r="U20" i="94" s="1"/>
  <c r="V20" i="94" s="1"/>
  <c r="BZ24" i="94"/>
  <c r="U24" i="94" s="1"/>
  <c r="V24" i="94" s="1"/>
  <c r="BZ13" i="94"/>
  <c r="U13" i="94" s="1"/>
  <c r="V13" i="94" s="1"/>
  <c r="BZ9" i="94"/>
  <c r="U9" i="94" s="1"/>
  <c r="V9" i="94" s="1"/>
  <c r="BZ15" i="94"/>
  <c r="U15" i="94" s="1"/>
  <c r="V15" i="94" s="1"/>
  <c r="BZ11" i="94"/>
  <c r="U11" i="94" s="1"/>
  <c r="V11" i="94" s="1"/>
  <c r="BZ12" i="94"/>
  <c r="U12" i="94" s="1"/>
  <c r="V12" i="94" s="1"/>
  <c r="BZ7" i="94"/>
  <c r="U7" i="94" s="1"/>
  <c r="V7" i="94" s="1"/>
  <c r="BZ14" i="94"/>
  <c r="U14" i="94" s="1"/>
  <c r="V14" i="94" s="1"/>
  <c r="BZ16" i="94"/>
  <c r="U16" i="94" s="1"/>
  <c r="V16" i="94" s="1"/>
  <c r="BZ23" i="94"/>
  <c r="U23" i="94" s="1"/>
  <c r="V23" i="94" s="1"/>
  <c r="BZ17" i="94"/>
  <c r="U17" i="94" s="1"/>
  <c r="V17" i="94" s="1"/>
  <c r="BZ19" i="94"/>
  <c r="U19" i="94" s="1"/>
  <c r="V19" i="94" s="1"/>
  <c r="BZ6" i="94"/>
  <c r="U6" i="94" s="1"/>
  <c r="BZ21" i="94"/>
  <c r="U21" i="94" s="1"/>
  <c r="V21" i="94" s="1"/>
  <c r="BZ10" i="94"/>
  <c r="U10" i="94" s="1"/>
  <c r="V10" i="94" s="1"/>
  <c r="BZ18" i="94"/>
  <c r="U18" i="94" s="1"/>
  <c r="V18" i="94" s="1"/>
  <c r="ET10" i="98"/>
  <c r="EU10" i="100"/>
  <c r="BQ13" i="86"/>
  <c r="O13" i="86" s="1"/>
  <c r="P13" i="86" s="1"/>
  <c r="BQ13" i="98"/>
  <c r="BQ27" i="98" s="1"/>
  <c r="DX24" i="100"/>
  <c r="DX23" i="100"/>
  <c r="DX22" i="100"/>
  <c r="DX21" i="100"/>
  <c r="DX20" i="100"/>
  <c r="DX19" i="100"/>
  <c r="DX18" i="100"/>
  <c r="DX17" i="100"/>
  <c r="DX16" i="100"/>
  <c r="DX15" i="100"/>
  <c r="DX14" i="100"/>
  <c r="DX13" i="100"/>
  <c r="DX12" i="100"/>
  <c r="DX11" i="100"/>
  <c r="DX10" i="100"/>
  <c r="DX9" i="100"/>
  <c r="DX8" i="100"/>
  <c r="DX7" i="100"/>
  <c r="DX6" i="100"/>
  <c r="DZ2" i="100"/>
  <c r="DY1" i="100"/>
  <c r="DA24" i="100"/>
  <c r="DA23" i="100"/>
  <c r="DA22" i="100"/>
  <c r="DA21" i="100"/>
  <c r="DA20" i="100"/>
  <c r="DA19" i="100"/>
  <c r="DA18" i="100"/>
  <c r="DA17" i="100"/>
  <c r="DA16" i="100"/>
  <c r="DA15" i="100"/>
  <c r="DA14" i="100"/>
  <c r="DA13" i="100"/>
  <c r="DA12" i="100"/>
  <c r="DA11" i="100"/>
  <c r="DA10" i="100"/>
  <c r="DA9" i="100"/>
  <c r="DA8" i="100"/>
  <c r="DA7" i="100"/>
  <c r="DA6" i="100"/>
  <c r="EY1" i="100"/>
  <c r="DC2" i="100"/>
  <c r="DB1" i="100"/>
  <c r="EX24" i="100"/>
  <c r="EX23" i="100"/>
  <c r="EX22" i="100"/>
  <c r="EX21" i="100"/>
  <c r="EX20" i="100"/>
  <c r="EX19" i="100"/>
  <c r="EX18" i="100"/>
  <c r="EX17" i="100"/>
  <c r="EX16" i="100"/>
  <c r="EX15" i="100"/>
  <c r="EX14" i="100"/>
  <c r="EX13" i="100"/>
  <c r="EX12" i="100"/>
  <c r="EX11" i="100"/>
  <c r="EX10" i="100"/>
  <c r="EX9" i="100"/>
  <c r="EX8" i="100"/>
  <c r="EX7" i="100"/>
  <c r="EX6" i="100"/>
  <c r="DB24" i="98"/>
  <c r="DB23" i="98"/>
  <c r="DB22" i="98"/>
  <c r="DB21" i="98"/>
  <c r="DB20" i="98"/>
  <c r="DB19" i="98"/>
  <c r="DB18" i="98"/>
  <c r="DB17" i="98"/>
  <c r="DB16" i="98"/>
  <c r="DB15" i="98"/>
  <c r="DB14" i="98"/>
  <c r="DB13" i="98"/>
  <c r="DB12" i="98"/>
  <c r="DB11" i="98"/>
  <c r="DB10" i="98"/>
  <c r="DB9" i="98"/>
  <c r="DB8" i="98"/>
  <c r="DB7" i="98"/>
  <c r="DB6" i="98"/>
  <c r="EZ1" i="98"/>
  <c r="DD2" i="98"/>
  <c r="DC1" i="98"/>
  <c r="EY24" i="98"/>
  <c r="EY23" i="98"/>
  <c r="EY22" i="98"/>
  <c r="EY21" i="98"/>
  <c r="EY20" i="98"/>
  <c r="EY19" i="98"/>
  <c r="EY18" i="98"/>
  <c r="EY17" i="98"/>
  <c r="EY16" i="98"/>
  <c r="EY15" i="98"/>
  <c r="EY14" i="98"/>
  <c r="EY13" i="98"/>
  <c r="EY12" i="98"/>
  <c r="EY11" i="98"/>
  <c r="EY10" i="98"/>
  <c r="EY9" i="98"/>
  <c r="EY8" i="98"/>
  <c r="EY7" i="98"/>
  <c r="EY6" i="98"/>
  <c r="DY24" i="98"/>
  <c r="DY23" i="98"/>
  <c r="DY22" i="98"/>
  <c r="DY21" i="98"/>
  <c r="DY20" i="98"/>
  <c r="DY19" i="98"/>
  <c r="DY18" i="98"/>
  <c r="DY17" i="98"/>
  <c r="DY16" i="98"/>
  <c r="DY15" i="98"/>
  <c r="DY14" i="98"/>
  <c r="DY13" i="98"/>
  <c r="DY12" i="98"/>
  <c r="DY11" i="98"/>
  <c r="DY10" i="98"/>
  <c r="DY9" i="98"/>
  <c r="DY8" i="98"/>
  <c r="DY7" i="98"/>
  <c r="DY6" i="98"/>
  <c r="EA2" i="98"/>
  <c r="DZ1" i="98"/>
  <c r="EQ10" i="95"/>
  <c r="ER10" i="96"/>
  <c r="ES10" i="97"/>
  <c r="CG10" i="97" s="1"/>
  <c r="DZ24" i="97"/>
  <c r="DZ23" i="97"/>
  <c r="DZ22" i="97"/>
  <c r="DZ21" i="97"/>
  <c r="DZ20" i="97"/>
  <c r="DZ19" i="97"/>
  <c r="DZ18" i="97"/>
  <c r="DZ17" i="97"/>
  <c r="DZ16" i="97"/>
  <c r="DZ15" i="97"/>
  <c r="DZ14" i="97"/>
  <c r="DZ13" i="97"/>
  <c r="DZ12" i="97"/>
  <c r="DZ11" i="97"/>
  <c r="DZ10" i="97"/>
  <c r="DZ9" i="97"/>
  <c r="DZ8" i="97"/>
  <c r="DZ7" i="97"/>
  <c r="DZ6" i="97"/>
  <c r="EB2" i="97"/>
  <c r="EA1" i="97"/>
  <c r="DC24" i="97"/>
  <c r="DC23" i="97"/>
  <c r="DC22" i="97"/>
  <c r="DC21" i="97"/>
  <c r="DC20" i="97"/>
  <c r="DC19" i="97"/>
  <c r="DC18" i="97"/>
  <c r="DC17" i="97"/>
  <c r="DC16" i="97"/>
  <c r="DC15" i="97"/>
  <c r="DC14" i="97"/>
  <c r="DC13" i="97"/>
  <c r="DC12" i="97"/>
  <c r="DC11" i="97"/>
  <c r="DC10" i="97"/>
  <c r="DC9" i="97"/>
  <c r="DC8" i="97"/>
  <c r="DC7" i="97"/>
  <c r="DC6" i="97"/>
  <c r="FA1" i="97"/>
  <c r="DE2" i="97"/>
  <c r="DD1" i="97"/>
  <c r="EZ24" i="97"/>
  <c r="EZ23" i="97"/>
  <c r="EZ22" i="97"/>
  <c r="EZ21" i="97"/>
  <c r="EZ20" i="97"/>
  <c r="EZ19" i="97"/>
  <c r="EZ18" i="97"/>
  <c r="EZ17" i="97"/>
  <c r="EZ16" i="97"/>
  <c r="EZ15" i="97"/>
  <c r="EZ14" i="97"/>
  <c r="EZ13" i="97"/>
  <c r="EZ12" i="97"/>
  <c r="EZ11" i="97"/>
  <c r="EZ10" i="97"/>
  <c r="EZ9" i="97"/>
  <c r="EZ8" i="97"/>
  <c r="EZ7" i="97"/>
  <c r="EZ6" i="97"/>
  <c r="EB24" i="95"/>
  <c r="EB23" i="95"/>
  <c r="EB22" i="95"/>
  <c r="EB21" i="95"/>
  <c r="EB20" i="95"/>
  <c r="EB19" i="95"/>
  <c r="EB18" i="95"/>
  <c r="EB17" i="95"/>
  <c r="EB16" i="95"/>
  <c r="EB15" i="95"/>
  <c r="EB14" i="95"/>
  <c r="EB13" i="95"/>
  <c r="EB12" i="95"/>
  <c r="EB11" i="95"/>
  <c r="EB10" i="95"/>
  <c r="EB9" i="95"/>
  <c r="EB8" i="95"/>
  <c r="EB7" i="95"/>
  <c r="EB6" i="95"/>
  <c r="ED2" i="95"/>
  <c r="EC1" i="95"/>
  <c r="DE24" i="95"/>
  <c r="DE23" i="95"/>
  <c r="DE22" i="95"/>
  <c r="DE21" i="95"/>
  <c r="DE20" i="95"/>
  <c r="DE19" i="95"/>
  <c r="DE18" i="95"/>
  <c r="DE17" i="95"/>
  <c r="DE16" i="95"/>
  <c r="DE15" i="95"/>
  <c r="DE14" i="95"/>
  <c r="DE13" i="95"/>
  <c r="DE12" i="95"/>
  <c r="DE11" i="95"/>
  <c r="DE10" i="95"/>
  <c r="DE9" i="95"/>
  <c r="DE8" i="95"/>
  <c r="DE7" i="95"/>
  <c r="DE6" i="95"/>
  <c r="FC1" i="95"/>
  <c r="DF24" i="95"/>
  <c r="DF23" i="95"/>
  <c r="DF22" i="95"/>
  <c r="DF21" i="95"/>
  <c r="DF20" i="95"/>
  <c r="DF19" i="95"/>
  <c r="DF18" i="95"/>
  <c r="DF17" i="95"/>
  <c r="DF16" i="95"/>
  <c r="DF15" i="95"/>
  <c r="DF14" i="95"/>
  <c r="DF13" i="95"/>
  <c r="DF12" i="95"/>
  <c r="DF11" i="95"/>
  <c r="DF10" i="95"/>
  <c r="DF9" i="95"/>
  <c r="DF8" i="95"/>
  <c r="DF7" i="95"/>
  <c r="DF6" i="95"/>
  <c r="FD1" i="95"/>
  <c r="U3" i="95"/>
  <c r="FB24" i="95"/>
  <c r="FB23" i="95"/>
  <c r="FB22" i="95"/>
  <c r="FB21" i="95"/>
  <c r="FB20" i="95"/>
  <c r="FB19" i="95"/>
  <c r="FB18" i="95"/>
  <c r="FB17" i="95"/>
  <c r="FB16" i="95"/>
  <c r="FB15" i="95"/>
  <c r="FB14" i="95"/>
  <c r="FB13" i="95"/>
  <c r="FB12" i="95"/>
  <c r="FB11" i="95"/>
  <c r="FB10" i="95"/>
  <c r="FB9" i="95"/>
  <c r="FB8" i="95"/>
  <c r="FB7" i="95"/>
  <c r="FB6" i="95"/>
  <c r="DD24" i="96"/>
  <c r="DD23" i="96"/>
  <c r="DD22" i="96"/>
  <c r="DD21" i="96"/>
  <c r="DD20" i="96"/>
  <c r="DD19" i="96"/>
  <c r="DD18" i="96"/>
  <c r="DD17" i="96"/>
  <c r="DD16" i="96"/>
  <c r="DD15" i="96"/>
  <c r="DD14" i="96"/>
  <c r="DD13" i="96"/>
  <c r="DD12" i="96"/>
  <c r="DD11" i="96"/>
  <c r="DD10" i="96"/>
  <c r="DD9" i="96"/>
  <c r="DD8" i="96"/>
  <c r="DD7" i="96"/>
  <c r="DD6" i="96"/>
  <c r="FB1" i="96"/>
  <c r="DF2" i="96"/>
  <c r="DF1" i="96" s="1"/>
  <c r="DE1" i="96"/>
  <c r="FA24" i="96"/>
  <c r="FA23" i="96"/>
  <c r="FA22" i="96"/>
  <c r="FA21" i="96"/>
  <c r="FA20" i="96"/>
  <c r="FA19" i="96"/>
  <c r="FA18" i="96"/>
  <c r="FA17" i="96"/>
  <c r="FA16" i="96"/>
  <c r="FA15" i="96"/>
  <c r="FA14" i="96"/>
  <c r="FA13" i="96"/>
  <c r="FA12" i="96"/>
  <c r="FA11" i="96"/>
  <c r="FA10" i="96"/>
  <c r="FA9" i="96"/>
  <c r="FA8" i="96"/>
  <c r="FA7" i="96"/>
  <c r="FA6" i="96"/>
  <c r="EA24" i="96"/>
  <c r="EA23" i="96"/>
  <c r="EA22" i="96"/>
  <c r="EA21" i="96"/>
  <c r="EA20" i="96"/>
  <c r="EA19" i="96"/>
  <c r="EA18" i="96"/>
  <c r="EA17" i="96"/>
  <c r="EA16" i="96"/>
  <c r="EA15" i="96"/>
  <c r="EA14" i="96"/>
  <c r="EA13" i="96"/>
  <c r="EA12" i="96"/>
  <c r="EA11" i="96"/>
  <c r="EA10" i="96"/>
  <c r="EA9" i="96"/>
  <c r="EA8" i="96"/>
  <c r="EA7" i="96"/>
  <c r="EA6" i="96"/>
  <c r="EC2" i="96"/>
  <c r="EB1" i="96"/>
  <c r="EL10" i="89"/>
  <c r="EP10" i="93"/>
  <c r="EQ10" i="94"/>
  <c r="FE23" i="94"/>
  <c r="FE21" i="94"/>
  <c r="FE20" i="94"/>
  <c r="FE19" i="94"/>
  <c r="FE15" i="94"/>
  <c r="FE14" i="94"/>
  <c r="FE24" i="94"/>
  <c r="FE16" i="94"/>
  <c r="FE7" i="94"/>
  <c r="FE9" i="94"/>
  <c r="FE13" i="94"/>
  <c r="FE8" i="94"/>
  <c r="FE6" i="94"/>
  <c r="FE11" i="94"/>
  <c r="FE22" i="94"/>
  <c r="FE18" i="94"/>
  <c r="FE17" i="94"/>
  <c r="FE12" i="94"/>
  <c r="FE10" i="94"/>
  <c r="FD24" i="94"/>
  <c r="FD22" i="94"/>
  <c r="FD19" i="94"/>
  <c r="FD11" i="94"/>
  <c r="FD20" i="94"/>
  <c r="FD14" i="94"/>
  <c r="FD10" i="94"/>
  <c r="FD9" i="94"/>
  <c r="FD8" i="94"/>
  <c r="FD16" i="94"/>
  <c r="FD18" i="94"/>
  <c r="FD17" i="94"/>
  <c r="FD12" i="94"/>
  <c r="FD21" i="94"/>
  <c r="FD15" i="94"/>
  <c r="FD13" i="94"/>
  <c r="FD6" i="94"/>
  <c r="FD23" i="94"/>
  <c r="FD7" i="94"/>
  <c r="ED23" i="94"/>
  <c r="ED20" i="94"/>
  <c r="ED24" i="94"/>
  <c r="ED21" i="94"/>
  <c r="ED17" i="94"/>
  <c r="ED12" i="94"/>
  <c r="ED16" i="94"/>
  <c r="ED11" i="94"/>
  <c r="ED22" i="94"/>
  <c r="ED15" i="94"/>
  <c r="ED19" i="94"/>
  <c r="ED8" i="94"/>
  <c r="ED18" i="94"/>
  <c r="ED6" i="94"/>
  <c r="ED10" i="94"/>
  <c r="ED7" i="94"/>
  <c r="ED14" i="94"/>
  <c r="ED13" i="94"/>
  <c r="ED9" i="94"/>
  <c r="EE1" i="94"/>
  <c r="EF2" i="94"/>
  <c r="EF1" i="94" s="1"/>
  <c r="EF21" i="93"/>
  <c r="EF19" i="93"/>
  <c r="EF14" i="93"/>
  <c r="EF12" i="93"/>
  <c r="EF6" i="93"/>
  <c r="EF20" i="93"/>
  <c r="EF9" i="93"/>
  <c r="EF15" i="93"/>
  <c r="EF8" i="93"/>
  <c r="EF24" i="93"/>
  <c r="EF22" i="93"/>
  <c r="EF16" i="93"/>
  <c r="EF10" i="93"/>
  <c r="EF11" i="93"/>
  <c r="EF23" i="93"/>
  <c r="EF13" i="93"/>
  <c r="EF7" i="93"/>
  <c r="EF18" i="93"/>
  <c r="EF17" i="93"/>
  <c r="BZ27" i="93"/>
  <c r="BY28" i="93" s="1"/>
  <c r="U6" i="93"/>
  <c r="EE20" i="93"/>
  <c r="EE15" i="93"/>
  <c r="EE23" i="93"/>
  <c r="EE10" i="93"/>
  <c r="EE6" i="93"/>
  <c r="EE17" i="93"/>
  <c r="EE18" i="93"/>
  <c r="EE24" i="93"/>
  <c r="EE11" i="93"/>
  <c r="EE19" i="93"/>
  <c r="EE14" i="93"/>
  <c r="EE21" i="93"/>
  <c r="EE9" i="93"/>
  <c r="EE7" i="93"/>
  <c r="EE16" i="93"/>
  <c r="EE12" i="93"/>
  <c r="EE22" i="93"/>
  <c r="EE13" i="93"/>
  <c r="EE8" i="93"/>
  <c r="DO2" i="92"/>
  <c r="DN1" i="92"/>
  <c r="CP19" i="92"/>
  <c r="CP15" i="92"/>
  <c r="CP17" i="92"/>
  <c r="CP16" i="92"/>
  <c r="CP10" i="92"/>
  <c r="CP12" i="92"/>
  <c r="CP24" i="92"/>
  <c r="CP14" i="92"/>
  <c r="CP8" i="92"/>
  <c r="CP20" i="92"/>
  <c r="CP23" i="92"/>
  <c r="CP13" i="92"/>
  <c r="CP9" i="92"/>
  <c r="CP22" i="92"/>
  <c r="CP11" i="92"/>
  <c r="CP7" i="92"/>
  <c r="CP21" i="92"/>
  <c r="EN1" i="92"/>
  <c r="CP6" i="92"/>
  <c r="CP18" i="92"/>
  <c r="CR2" i="92"/>
  <c r="CQ1" i="92"/>
  <c r="EM6" i="92"/>
  <c r="EM8" i="92"/>
  <c r="EM13" i="92"/>
  <c r="EM18" i="92"/>
  <c r="EM12" i="92"/>
  <c r="EM24" i="92"/>
  <c r="EM21" i="92"/>
  <c r="EM15" i="92"/>
  <c r="EM19" i="92"/>
  <c r="EM14" i="92"/>
  <c r="EM11" i="92"/>
  <c r="EM22" i="92"/>
  <c r="EM23" i="92"/>
  <c r="EM9" i="92"/>
  <c r="EM20" i="92"/>
  <c r="EM17" i="92"/>
  <c r="EM16" i="92"/>
  <c r="EM7" i="92"/>
  <c r="DM7" i="92"/>
  <c r="DM19" i="92"/>
  <c r="DM22" i="92"/>
  <c r="DM16" i="92"/>
  <c r="DM9" i="92"/>
  <c r="DM6" i="92"/>
  <c r="DM18" i="92"/>
  <c r="DM13" i="92"/>
  <c r="DM23" i="92"/>
  <c r="DM11" i="92"/>
  <c r="DM8" i="92"/>
  <c r="DM17" i="92"/>
  <c r="DM12" i="92"/>
  <c r="DM14" i="92"/>
  <c r="DM10" i="92"/>
  <c r="DM20" i="92"/>
  <c r="DM21" i="92"/>
  <c r="DM15" i="92"/>
  <c r="DM24" i="92"/>
  <c r="DM19" i="90"/>
  <c r="DM6" i="90"/>
  <c r="DM8" i="90"/>
  <c r="DM17" i="90"/>
  <c r="DM22" i="90"/>
  <c r="DM9" i="90"/>
  <c r="DM18" i="90"/>
  <c r="DM11" i="90"/>
  <c r="DM15" i="90"/>
  <c r="DM24" i="90"/>
  <c r="DM14" i="90"/>
  <c r="DM21" i="90"/>
  <c r="DM16" i="90"/>
  <c r="DM23" i="90"/>
  <c r="DM7" i="90"/>
  <c r="DM12" i="90"/>
  <c r="DM10" i="90"/>
  <c r="DM20" i="90"/>
  <c r="DM13" i="90"/>
  <c r="EM18" i="91"/>
  <c r="EM17" i="91"/>
  <c r="EM20" i="91"/>
  <c r="EM6" i="91"/>
  <c r="EM16" i="91"/>
  <c r="EM7" i="91"/>
  <c r="EM11" i="91"/>
  <c r="EM13" i="91"/>
  <c r="EM8" i="91"/>
  <c r="EM9" i="91"/>
  <c r="EM23" i="91"/>
  <c r="EM15" i="91"/>
  <c r="EM22" i="91"/>
  <c r="EM21" i="91"/>
  <c r="EM24" i="91"/>
  <c r="EM14" i="91"/>
  <c r="EM19" i="91"/>
  <c r="EM12" i="91"/>
  <c r="CP24" i="91"/>
  <c r="CP11" i="91"/>
  <c r="CP23" i="91"/>
  <c r="CP10" i="91"/>
  <c r="CP22" i="91"/>
  <c r="CP9" i="91"/>
  <c r="CP21" i="91"/>
  <c r="CP6" i="91"/>
  <c r="CP17" i="91"/>
  <c r="CP19" i="91"/>
  <c r="CP15" i="91"/>
  <c r="CP12" i="91"/>
  <c r="CP16" i="91"/>
  <c r="CP8" i="91"/>
  <c r="CP14" i="91"/>
  <c r="EN1" i="91"/>
  <c r="CP7" i="91"/>
  <c r="CP18" i="91"/>
  <c r="CP20" i="91"/>
  <c r="CP13" i="91"/>
  <c r="DM13" i="91"/>
  <c r="DM24" i="91"/>
  <c r="DM6" i="91"/>
  <c r="DM20" i="91"/>
  <c r="DM17" i="91"/>
  <c r="DM23" i="91"/>
  <c r="DM8" i="91"/>
  <c r="DM21" i="91"/>
  <c r="DM7" i="91"/>
  <c r="DM12" i="91"/>
  <c r="DM11" i="91"/>
  <c r="DM15" i="91"/>
  <c r="DM18" i="91"/>
  <c r="DM10" i="91"/>
  <c r="DM9" i="91"/>
  <c r="DM19" i="91"/>
  <c r="DM14" i="91"/>
  <c r="DM22" i="91"/>
  <c r="DM16" i="91"/>
  <c r="CQ1" i="91"/>
  <c r="CR2" i="91"/>
  <c r="DN1" i="91"/>
  <c r="DO2" i="91"/>
  <c r="CP23" i="90"/>
  <c r="EN1" i="90"/>
  <c r="CP17" i="90"/>
  <c r="CP15" i="90"/>
  <c r="CP16" i="90"/>
  <c r="CP8" i="90"/>
  <c r="CP18" i="90"/>
  <c r="CP14" i="90"/>
  <c r="CP11" i="90"/>
  <c r="CP24" i="90"/>
  <c r="CP9" i="90"/>
  <c r="CP19" i="90"/>
  <c r="CP21" i="90"/>
  <c r="CP7" i="90"/>
  <c r="CP22" i="90"/>
  <c r="CP6" i="90"/>
  <c r="CP10" i="90"/>
  <c r="CP12" i="90"/>
  <c r="CP20" i="90"/>
  <c r="CP13" i="90"/>
  <c r="DN1" i="90"/>
  <c r="DO2" i="90"/>
  <c r="EM14" i="90"/>
  <c r="EM24" i="90"/>
  <c r="EM12" i="90"/>
  <c r="EM18" i="90"/>
  <c r="EM15" i="90"/>
  <c r="EM22" i="90"/>
  <c r="EM9" i="90"/>
  <c r="EM21" i="90"/>
  <c r="EM6" i="90"/>
  <c r="EM17" i="90"/>
  <c r="EM20" i="90"/>
  <c r="EM8" i="90"/>
  <c r="EM10" i="90"/>
  <c r="EM19" i="90"/>
  <c r="EM13" i="90"/>
  <c r="EM11" i="90"/>
  <c r="EM16" i="90"/>
  <c r="EM7" i="90"/>
  <c r="EM23" i="90"/>
  <c r="CR2" i="90"/>
  <c r="CQ1" i="90"/>
  <c r="DM21" i="89"/>
  <c r="DM8" i="89"/>
  <c r="DM23" i="89"/>
  <c r="DM19" i="89"/>
  <c r="DM10" i="89"/>
  <c r="DM11" i="89"/>
  <c r="DM17" i="89"/>
  <c r="DM14" i="89"/>
  <c r="DM16" i="89"/>
  <c r="DM13" i="89"/>
  <c r="DM7" i="89"/>
  <c r="DM18" i="89"/>
  <c r="DM12" i="89"/>
  <c r="DM22" i="89"/>
  <c r="DM15" i="89"/>
  <c r="DM6" i="89"/>
  <c r="DM24" i="89"/>
  <c r="DM20" i="89"/>
  <c r="DM9" i="89"/>
  <c r="DO2" i="89"/>
  <c r="DN1" i="89"/>
  <c r="CP20" i="89"/>
  <c r="CP17" i="89"/>
  <c r="CP13" i="89"/>
  <c r="CP8" i="89"/>
  <c r="CP24" i="89"/>
  <c r="CP11" i="89"/>
  <c r="CP9" i="89"/>
  <c r="CP23" i="89"/>
  <c r="CP10" i="89"/>
  <c r="EN1" i="89"/>
  <c r="CP21" i="89"/>
  <c r="CP15" i="89"/>
  <c r="CP6" i="89"/>
  <c r="CP22" i="89"/>
  <c r="CP12" i="89"/>
  <c r="CP19" i="89"/>
  <c r="CP14" i="89"/>
  <c r="CP18" i="89"/>
  <c r="CP16" i="89"/>
  <c r="CP7" i="89"/>
  <c r="CQ1" i="89"/>
  <c r="CR2" i="89"/>
  <c r="EM18" i="89"/>
  <c r="EM11" i="89"/>
  <c r="EM22" i="89"/>
  <c r="EM7" i="89"/>
  <c r="EM20" i="89"/>
  <c r="EM16" i="89"/>
  <c r="EM9" i="89"/>
  <c r="EM19" i="89"/>
  <c r="EM8" i="89"/>
  <c r="EM21" i="89"/>
  <c r="EM15" i="89"/>
  <c r="EM6" i="89"/>
  <c r="EM23" i="89"/>
  <c r="EM14" i="89"/>
  <c r="EM17" i="89"/>
  <c r="EM13" i="89"/>
  <c r="EM24" i="89"/>
  <c r="EM12" i="89"/>
  <c r="EM10" i="89"/>
  <c r="CP22" i="87"/>
  <c r="CP21" i="87"/>
  <c r="CP14" i="87"/>
  <c r="CP10" i="87"/>
  <c r="CP8" i="87"/>
  <c r="CP23" i="87"/>
  <c r="CP19" i="87"/>
  <c r="EN1" i="87"/>
  <c r="CP20" i="87"/>
  <c r="CP12" i="87"/>
  <c r="CP18" i="87"/>
  <c r="CP17" i="87"/>
  <c r="CP11" i="87"/>
  <c r="CP15" i="87"/>
  <c r="CP7" i="87"/>
  <c r="CP13" i="87"/>
  <c r="CP6" i="87"/>
  <c r="CP24" i="87"/>
  <c r="CP16" i="87"/>
  <c r="CP9" i="87"/>
  <c r="CQ1" i="87"/>
  <c r="CR2" i="87"/>
  <c r="DM19" i="87"/>
  <c r="DM11" i="87"/>
  <c r="DM24" i="87"/>
  <c r="DM15" i="87"/>
  <c r="DM13" i="87"/>
  <c r="DM7" i="87"/>
  <c r="DM21" i="87"/>
  <c r="DM16" i="87"/>
  <c r="DM8" i="87"/>
  <c r="DM6" i="87"/>
  <c r="DM23" i="87"/>
  <c r="DM20" i="87"/>
  <c r="DM12" i="87"/>
  <c r="DM17" i="87"/>
  <c r="DM14" i="87"/>
  <c r="DM22" i="87"/>
  <c r="DM10" i="87"/>
  <c r="DM18" i="87"/>
  <c r="DM9" i="87"/>
  <c r="DO2" i="88"/>
  <c r="DN1" i="88"/>
  <c r="DO2" i="87"/>
  <c r="DN1" i="87"/>
  <c r="EI10" i="86"/>
  <c r="EJ10" i="87"/>
  <c r="EK10" i="88"/>
  <c r="DM17" i="88"/>
  <c r="DM13" i="88"/>
  <c r="DM19" i="88"/>
  <c r="DM7" i="88"/>
  <c r="DM14" i="88"/>
  <c r="DM9" i="88"/>
  <c r="DM23" i="88"/>
  <c r="DM12" i="88"/>
  <c r="DM6" i="88"/>
  <c r="DM22" i="88"/>
  <c r="DM24" i="88"/>
  <c r="DM16" i="88"/>
  <c r="DM20" i="88"/>
  <c r="DM11" i="88"/>
  <c r="DM10" i="88"/>
  <c r="DM18" i="88"/>
  <c r="DM15" i="88"/>
  <c r="DM21" i="88"/>
  <c r="DM8" i="88"/>
  <c r="EM21" i="87"/>
  <c r="EM18" i="87"/>
  <c r="EM6" i="87"/>
  <c r="EM13" i="87"/>
  <c r="EM8" i="87"/>
  <c r="EM15" i="87"/>
  <c r="EM16" i="87"/>
  <c r="EM12" i="87"/>
  <c r="EM19" i="87"/>
  <c r="EM24" i="87"/>
  <c r="EM17" i="87"/>
  <c r="EM9" i="87"/>
  <c r="EM22" i="87"/>
  <c r="EM23" i="87"/>
  <c r="EM14" i="87"/>
  <c r="EM7" i="87"/>
  <c r="EM20" i="87"/>
  <c r="EM11" i="87"/>
  <c r="EM10" i="87"/>
  <c r="CP18" i="88"/>
  <c r="CP10" i="88"/>
  <c r="CP19" i="88"/>
  <c r="CP9" i="88"/>
  <c r="CP17" i="88"/>
  <c r="CP15" i="88"/>
  <c r="CP16" i="88"/>
  <c r="CP8" i="88"/>
  <c r="CP21" i="88"/>
  <c r="CP14" i="88"/>
  <c r="CP6" i="88"/>
  <c r="CP20" i="88"/>
  <c r="CP12" i="88"/>
  <c r="CP24" i="88"/>
  <c r="CP23" i="88"/>
  <c r="CP13" i="88"/>
  <c r="CP7" i="88"/>
  <c r="CP22" i="88"/>
  <c r="CP11" i="88"/>
  <c r="EN1" i="88"/>
  <c r="EM22" i="88"/>
  <c r="EM15" i="88"/>
  <c r="EM12" i="88"/>
  <c r="EM21" i="88"/>
  <c r="EM16" i="88"/>
  <c r="EM8" i="88"/>
  <c r="EM24" i="88"/>
  <c r="EM13" i="88"/>
  <c r="EM14" i="88"/>
  <c r="EM17" i="88"/>
  <c r="EM10" i="88"/>
  <c r="EM20" i="88"/>
  <c r="EM9" i="88"/>
  <c r="EM18" i="88"/>
  <c r="EM11" i="88"/>
  <c r="EM19" i="88"/>
  <c r="EM7" i="88"/>
  <c r="EM23" i="88"/>
  <c r="EM6" i="88"/>
  <c r="EX105" i="9"/>
  <c r="CQ1" i="88"/>
  <c r="CR2" i="88"/>
  <c r="EM20" i="86"/>
  <c r="EM11" i="86"/>
  <c r="EM17" i="86"/>
  <c r="EM10" i="86"/>
  <c r="EM16" i="86"/>
  <c r="EM9" i="86"/>
  <c r="EM22" i="86"/>
  <c r="EM15" i="86"/>
  <c r="EM6" i="86"/>
  <c r="EM19" i="86"/>
  <c r="EM18" i="86"/>
  <c r="EM8" i="86"/>
  <c r="EM21" i="86"/>
  <c r="EM13" i="86"/>
  <c r="EM7" i="86"/>
  <c r="EM24" i="86"/>
  <c r="EM12" i="86"/>
  <c r="EM23" i="86"/>
  <c r="EM14" i="86"/>
  <c r="DM21" i="86"/>
  <c r="DM8" i="86"/>
  <c r="DM17" i="86"/>
  <c r="DM7" i="86"/>
  <c r="DM16" i="86"/>
  <c r="DM6" i="86"/>
  <c r="DM15" i="86"/>
  <c r="DM22" i="86"/>
  <c r="DM18" i="86"/>
  <c r="DM19" i="86"/>
  <c r="DM14" i="86"/>
  <c r="DM24" i="86"/>
  <c r="DM11" i="86"/>
  <c r="DM23" i="86"/>
  <c r="DM9" i="86"/>
  <c r="DM20" i="86"/>
  <c r="DM12" i="86"/>
  <c r="DM10" i="86"/>
  <c r="DM13" i="86"/>
  <c r="DO2" i="86"/>
  <c r="DN1" i="86"/>
  <c r="GJ105" i="9"/>
  <c r="GN105" i="9" s="1"/>
  <c r="IU105" i="9"/>
  <c r="IV104" i="9"/>
  <c r="CR2" i="86"/>
  <c r="CQ1" i="86"/>
  <c r="GH103" i="9"/>
  <c r="BU10" i="97" s="1"/>
  <c r="BU27" i="97" s="1"/>
  <c r="CP24" i="86"/>
  <c r="EN1" i="86"/>
  <c r="CP19" i="86"/>
  <c r="CP6" i="86"/>
  <c r="CP21" i="86"/>
  <c r="CP18" i="86"/>
  <c r="CP23" i="86"/>
  <c r="CP14" i="86"/>
  <c r="CP22" i="86"/>
  <c r="CP11" i="86"/>
  <c r="CP17" i="86"/>
  <c r="CP9" i="86"/>
  <c r="CP16" i="86"/>
  <c r="CP8" i="86"/>
  <c r="CP15" i="86"/>
  <c r="CP7" i="86"/>
  <c r="CP12" i="86"/>
  <c r="CP20" i="86"/>
  <c r="CP13" i="86"/>
  <c r="CP10" i="86"/>
  <c r="HQ138" i="9" l="1"/>
  <c r="HL138" i="9"/>
  <c r="HI138" i="9"/>
  <c r="HC138" i="9"/>
  <c r="HF138" i="9"/>
  <c r="GA138" i="9"/>
  <c r="CR1" i="124"/>
  <c r="CS2" i="124"/>
  <c r="EN24" i="124"/>
  <c r="EN14" i="124"/>
  <c r="EN23" i="124"/>
  <c r="EN15" i="124"/>
  <c r="EN12" i="124"/>
  <c r="EN21" i="124"/>
  <c r="EN9" i="124"/>
  <c r="EN20" i="124"/>
  <c r="EN13" i="124"/>
  <c r="EN17" i="124"/>
  <c r="EN8" i="124"/>
  <c r="EN7" i="124"/>
  <c r="EN6" i="124"/>
  <c r="EN16" i="124"/>
  <c r="EN22" i="124"/>
  <c r="EN19" i="124"/>
  <c r="EN18" i="124"/>
  <c r="EN11" i="124"/>
  <c r="DO1" i="124"/>
  <c r="DP2" i="124"/>
  <c r="CQ24" i="124"/>
  <c r="CQ6" i="124"/>
  <c r="CQ19" i="124"/>
  <c r="CQ8" i="124"/>
  <c r="CQ17" i="124"/>
  <c r="CQ9" i="124"/>
  <c r="CQ18" i="124"/>
  <c r="EO1" i="124"/>
  <c r="CQ16" i="124"/>
  <c r="CQ22" i="124"/>
  <c r="CQ21" i="124"/>
  <c r="CQ7" i="124"/>
  <c r="CQ23" i="124"/>
  <c r="CQ15" i="124"/>
  <c r="CQ14" i="124"/>
  <c r="CQ11" i="124"/>
  <c r="CQ20" i="124"/>
  <c r="CQ10" i="124"/>
  <c r="CQ13" i="124"/>
  <c r="CQ12" i="124"/>
  <c r="DN19" i="124"/>
  <c r="DN11" i="124"/>
  <c r="DN21" i="124"/>
  <c r="DN9" i="124"/>
  <c r="DN17" i="124"/>
  <c r="DN6" i="124"/>
  <c r="DN15" i="124"/>
  <c r="DN8" i="124"/>
  <c r="DN16" i="124"/>
  <c r="DN23" i="124"/>
  <c r="DN18" i="124"/>
  <c r="DN24" i="124"/>
  <c r="DN22" i="124"/>
  <c r="DN14" i="124"/>
  <c r="DN7" i="124"/>
  <c r="DN10" i="124"/>
  <c r="DN20" i="124"/>
  <c r="DN13" i="124"/>
  <c r="DN12" i="124"/>
  <c r="CS2" i="121"/>
  <c r="CR1" i="121"/>
  <c r="DN23" i="121"/>
  <c r="DN18" i="121"/>
  <c r="DN7" i="121"/>
  <c r="DN19" i="121"/>
  <c r="DN15" i="121"/>
  <c r="DN6" i="121"/>
  <c r="DN17" i="121"/>
  <c r="DN10" i="121"/>
  <c r="DN22" i="121"/>
  <c r="DN16" i="121"/>
  <c r="DN21" i="121"/>
  <c r="DN12" i="121"/>
  <c r="DN20" i="121"/>
  <c r="DN9" i="121"/>
  <c r="DN13" i="121"/>
  <c r="DN8" i="121"/>
  <c r="DN24" i="121"/>
  <c r="DN11" i="121"/>
  <c r="DN14" i="121"/>
  <c r="EN24" i="121"/>
  <c r="EN14" i="121"/>
  <c r="EN6" i="121"/>
  <c r="EN20" i="121"/>
  <c r="EN22" i="121"/>
  <c r="EN19" i="121"/>
  <c r="EN15" i="121"/>
  <c r="EN21" i="121"/>
  <c r="EN13" i="121"/>
  <c r="EN18" i="121"/>
  <c r="EN9" i="121"/>
  <c r="EN17" i="121"/>
  <c r="EN8" i="121"/>
  <c r="EN16" i="121"/>
  <c r="EN7" i="121"/>
  <c r="EN12" i="121"/>
  <c r="EN11" i="121"/>
  <c r="EN23" i="121"/>
  <c r="DP2" i="121"/>
  <c r="DO1" i="121"/>
  <c r="CQ19" i="121"/>
  <c r="CQ13" i="121"/>
  <c r="CQ18" i="121"/>
  <c r="CQ6" i="121"/>
  <c r="CQ16" i="121"/>
  <c r="CQ12" i="121"/>
  <c r="CQ17" i="121"/>
  <c r="CQ11" i="121"/>
  <c r="CQ24" i="121"/>
  <c r="CQ15" i="121"/>
  <c r="CQ8" i="121"/>
  <c r="CQ23" i="121"/>
  <c r="CQ20" i="121"/>
  <c r="CQ10" i="121"/>
  <c r="CQ22" i="121"/>
  <c r="CQ14" i="121"/>
  <c r="CQ9" i="121"/>
  <c r="CQ21" i="121"/>
  <c r="CQ7" i="121"/>
  <c r="EO1" i="121"/>
  <c r="EN22" i="120"/>
  <c r="EN8" i="120"/>
  <c r="EN19" i="120"/>
  <c r="EN20" i="120"/>
  <c r="EN14" i="120"/>
  <c r="EN18" i="120"/>
  <c r="EN7" i="120"/>
  <c r="EN17" i="120"/>
  <c r="EN6" i="120"/>
  <c r="EN24" i="120"/>
  <c r="EN12" i="120"/>
  <c r="EN15" i="120"/>
  <c r="EN23" i="120"/>
  <c r="EN11" i="120"/>
  <c r="EN16" i="120"/>
  <c r="EN21" i="120"/>
  <c r="EN13" i="120"/>
  <c r="EN9" i="120"/>
  <c r="DN20" i="120"/>
  <c r="DN15" i="120"/>
  <c r="DN7" i="120"/>
  <c r="DN19" i="120"/>
  <c r="DN13" i="120"/>
  <c r="DN6" i="120"/>
  <c r="DN23" i="120"/>
  <c r="DN11" i="120"/>
  <c r="DN8" i="120"/>
  <c r="DN22" i="120"/>
  <c r="DN14" i="120"/>
  <c r="DN21" i="120"/>
  <c r="DN12" i="120"/>
  <c r="DN24" i="120"/>
  <c r="DN18" i="120"/>
  <c r="DN10" i="120"/>
  <c r="DN16" i="120"/>
  <c r="DN17" i="120"/>
  <c r="DN9" i="120"/>
  <c r="DO1" i="120"/>
  <c r="DP2" i="120"/>
  <c r="CQ21" i="120"/>
  <c r="CQ15" i="120"/>
  <c r="CQ18" i="120"/>
  <c r="CQ12" i="120"/>
  <c r="CQ20" i="120"/>
  <c r="CQ17" i="120"/>
  <c r="CQ11" i="120"/>
  <c r="CQ16" i="120"/>
  <c r="CQ19" i="120"/>
  <c r="CQ24" i="120"/>
  <c r="CQ14" i="120"/>
  <c r="CQ6" i="120"/>
  <c r="EO1" i="120"/>
  <c r="CQ23" i="120"/>
  <c r="CQ13" i="120"/>
  <c r="CQ7" i="120"/>
  <c r="CQ22" i="120"/>
  <c r="CQ10" i="120"/>
  <c r="CQ8" i="120"/>
  <c r="CQ9" i="120"/>
  <c r="CS2" i="120"/>
  <c r="CR1" i="120"/>
  <c r="A139" i="9"/>
  <c r="E139" i="9" s="1"/>
  <c r="C140" i="9"/>
  <c r="CS2" i="119"/>
  <c r="CR1" i="119"/>
  <c r="EN16" i="119"/>
  <c r="EN14" i="119"/>
  <c r="EN15" i="119"/>
  <c r="EN21" i="119"/>
  <c r="EN19" i="119"/>
  <c r="EN7" i="119"/>
  <c r="EN20" i="119"/>
  <c r="EN9" i="119"/>
  <c r="EN24" i="119"/>
  <c r="EN13" i="119"/>
  <c r="EN8" i="119"/>
  <c r="EN22" i="119"/>
  <c r="EN18" i="119"/>
  <c r="EN6" i="119"/>
  <c r="EN23" i="119"/>
  <c r="EN11" i="119"/>
  <c r="EN17" i="119"/>
  <c r="EN12" i="119"/>
  <c r="DN21" i="119"/>
  <c r="DN13" i="119"/>
  <c r="DN17" i="119"/>
  <c r="DN7" i="119"/>
  <c r="DN23" i="119"/>
  <c r="DN11" i="119"/>
  <c r="DN8" i="119"/>
  <c r="DN24" i="119"/>
  <c r="DN18" i="119"/>
  <c r="DN6" i="119"/>
  <c r="DN22" i="119"/>
  <c r="DN10" i="119"/>
  <c r="DN15" i="119"/>
  <c r="DN16" i="119"/>
  <c r="DN9" i="119"/>
  <c r="DN19" i="119"/>
  <c r="DN14" i="119"/>
  <c r="DN12" i="119"/>
  <c r="DN20" i="119"/>
  <c r="DP2" i="119"/>
  <c r="DO1" i="119"/>
  <c r="CQ21" i="119"/>
  <c r="CQ16" i="119"/>
  <c r="CQ10" i="119"/>
  <c r="CQ22" i="119"/>
  <c r="CQ13" i="119"/>
  <c r="EO1" i="119"/>
  <c r="CQ19" i="119"/>
  <c r="CQ12" i="119"/>
  <c r="CQ18" i="119"/>
  <c r="CQ11" i="119"/>
  <c r="CQ15" i="119"/>
  <c r="CQ9" i="119"/>
  <c r="CQ17" i="119"/>
  <c r="CQ8" i="119"/>
  <c r="CQ24" i="119"/>
  <c r="CQ20" i="119"/>
  <c r="CQ7" i="119"/>
  <c r="CQ23" i="119"/>
  <c r="CQ14" i="119"/>
  <c r="CQ6" i="119"/>
  <c r="DO20" i="116"/>
  <c r="DO10" i="116"/>
  <c r="DO18" i="116"/>
  <c r="DO9" i="116"/>
  <c r="DO23" i="116"/>
  <c r="DO17" i="116"/>
  <c r="DO8" i="116"/>
  <c r="DO19" i="116"/>
  <c r="DO16" i="116"/>
  <c r="DO7" i="116"/>
  <c r="DO24" i="116"/>
  <c r="DO14" i="116"/>
  <c r="DO6" i="116"/>
  <c r="DO22" i="116"/>
  <c r="DO13" i="116"/>
  <c r="DO21" i="116"/>
  <c r="DO11" i="116"/>
  <c r="DO15" i="116"/>
  <c r="DO12" i="116"/>
  <c r="DQ2" i="116"/>
  <c r="DP1" i="116"/>
  <c r="CR14" i="116"/>
  <c r="EP1" i="116"/>
  <c r="CR13" i="116"/>
  <c r="CR8" i="116"/>
  <c r="CR21" i="116"/>
  <c r="CR22" i="116"/>
  <c r="CR10" i="116"/>
  <c r="CR20" i="116"/>
  <c r="CR15" i="116"/>
  <c r="CR7" i="116"/>
  <c r="CR23" i="116"/>
  <c r="CR12" i="116"/>
  <c r="CR6" i="116"/>
  <c r="CR24" i="116"/>
  <c r="CR11" i="116"/>
  <c r="CR9" i="116"/>
  <c r="CR19" i="116"/>
  <c r="CR16" i="116"/>
  <c r="CR17" i="116"/>
  <c r="CR18" i="116"/>
  <c r="CS1" i="116"/>
  <c r="CT2" i="116"/>
  <c r="EO18" i="116"/>
  <c r="EO21" i="116"/>
  <c r="EO12" i="116"/>
  <c r="EO24" i="116"/>
  <c r="EO14" i="116"/>
  <c r="EO23" i="116"/>
  <c r="EO19" i="116"/>
  <c r="EO8" i="116"/>
  <c r="EO16" i="116"/>
  <c r="EO7" i="116"/>
  <c r="EO17" i="116"/>
  <c r="EO6" i="116"/>
  <c r="EO22" i="116"/>
  <c r="EO15" i="116"/>
  <c r="EO11" i="116"/>
  <c r="EO20" i="116"/>
  <c r="EO13" i="116"/>
  <c r="EO9" i="116"/>
  <c r="EO20" i="113"/>
  <c r="EO8" i="113"/>
  <c r="EO21" i="113"/>
  <c r="EO7" i="113"/>
  <c r="EO19" i="113"/>
  <c r="EO12" i="113"/>
  <c r="EO16" i="113"/>
  <c r="EO17" i="113"/>
  <c r="EO24" i="113"/>
  <c r="EO14" i="113"/>
  <c r="EO11" i="113"/>
  <c r="EO23" i="113"/>
  <c r="EO13" i="113"/>
  <c r="EO6" i="113"/>
  <c r="EO18" i="113"/>
  <c r="EO22" i="113"/>
  <c r="EO15" i="113"/>
  <c r="EO9" i="113"/>
  <c r="EO18" i="112"/>
  <c r="EO11" i="112"/>
  <c r="EO19" i="112"/>
  <c r="EO7" i="112"/>
  <c r="EO13" i="112"/>
  <c r="EO16" i="112"/>
  <c r="EO15" i="112"/>
  <c r="EO17" i="112"/>
  <c r="EO24" i="112"/>
  <c r="EO9" i="112"/>
  <c r="EO6" i="112"/>
  <c r="EO23" i="112"/>
  <c r="EO8" i="112"/>
  <c r="EO21" i="112"/>
  <c r="EO22" i="112"/>
  <c r="EO14" i="112"/>
  <c r="EO20" i="112"/>
  <c r="EO12" i="112"/>
  <c r="DO21" i="112"/>
  <c r="DO13" i="112"/>
  <c r="DO20" i="112"/>
  <c r="DO17" i="112"/>
  <c r="DO18" i="112"/>
  <c r="DO16" i="112"/>
  <c r="DO12" i="112"/>
  <c r="DO24" i="112"/>
  <c r="DO11" i="112"/>
  <c r="DO6" i="112"/>
  <c r="DO23" i="112"/>
  <c r="DO10" i="112"/>
  <c r="DO7" i="112"/>
  <c r="DO19" i="112"/>
  <c r="DO9" i="112"/>
  <c r="DO15" i="112"/>
  <c r="DO8" i="112"/>
  <c r="DO22" i="112"/>
  <c r="DO14" i="112"/>
  <c r="CR24" i="113"/>
  <c r="CR13" i="113"/>
  <c r="EP1" i="113"/>
  <c r="CR23" i="113"/>
  <c r="CR7" i="113"/>
  <c r="CR8" i="113"/>
  <c r="CR22" i="113"/>
  <c r="CR19" i="113"/>
  <c r="CR11" i="113"/>
  <c r="CR21" i="113"/>
  <c r="CR14" i="113"/>
  <c r="CR12" i="113"/>
  <c r="CR15" i="113"/>
  <c r="CR16" i="113"/>
  <c r="CR20" i="113"/>
  <c r="CR10" i="113"/>
  <c r="CR17" i="113"/>
  <c r="CR6" i="113"/>
  <c r="CR18" i="113"/>
  <c r="CR9" i="113"/>
  <c r="DQ2" i="113"/>
  <c r="DP1" i="113"/>
  <c r="DP1" i="112"/>
  <c r="DQ2" i="112"/>
  <c r="CS1" i="113"/>
  <c r="CT2" i="113"/>
  <c r="DO20" i="113"/>
  <c r="DO14" i="113"/>
  <c r="DO15" i="113"/>
  <c r="DO12" i="113"/>
  <c r="DO6" i="113"/>
  <c r="DO13" i="113"/>
  <c r="DO22" i="113"/>
  <c r="DO10" i="113"/>
  <c r="DO24" i="113"/>
  <c r="DO11" i="113"/>
  <c r="DO16" i="113"/>
  <c r="DO23" i="113"/>
  <c r="DO19" i="113"/>
  <c r="DO9" i="113"/>
  <c r="DO7" i="113"/>
  <c r="DO21" i="113"/>
  <c r="DO17" i="113"/>
  <c r="DO8" i="113"/>
  <c r="DO18" i="113"/>
  <c r="CR22" i="112"/>
  <c r="CR10" i="112"/>
  <c r="CR14" i="112"/>
  <c r="CR21" i="112"/>
  <c r="CR7" i="112"/>
  <c r="CR12" i="112"/>
  <c r="CR24" i="112"/>
  <c r="CR6" i="112"/>
  <c r="CR19" i="112"/>
  <c r="CR20" i="112"/>
  <c r="EP1" i="112"/>
  <c r="CR17" i="112"/>
  <c r="CR18" i="112"/>
  <c r="CR15" i="112"/>
  <c r="CR11" i="112"/>
  <c r="CR16" i="112"/>
  <c r="CR9" i="112"/>
  <c r="CR23" i="112"/>
  <c r="CR13" i="112"/>
  <c r="CR8" i="112"/>
  <c r="CT2" i="112"/>
  <c r="CS1" i="112"/>
  <c r="EO22" i="109"/>
  <c r="EO21" i="109"/>
  <c r="EO9" i="109"/>
  <c r="EO20" i="109"/>
  <c r="EO8" i="109"/>
  <c r="EO19" i="109"/>
  <c r="EO7" i="109"/>
  <c r="EO18" i="109"/>
  <c r="EO6" i="109"/>
  <c r="EO16" i="109"/>
  <c r="EO15" i="109"/>
  <c r="EO23" i="109"/>
  <c r="EO17" i="109"/>
  <c r="EO12" i="109"/>
  <c r="EO14" i="109"/>
  <c r="EO13" i="109"/>
  <c r="EO24" i="109"/>
  <c r="EO11" i="109"/>
  <c r="DN19" i="108"/>
  <c r="DN7" i="108"/>
  <c r="DN24" i="108"/>
  <c r="DN21" i="108"/>
  <c r="DN18" i="108"/>
  <c r="DN6" i="108"/>
  <c r="DN15" i="108"/>
  <c r="DN9" i="108"/>
  <c r="DN8" i="108"/>
  <c r="DN17" i="108"/>
  <c r="DN16" i="108"/>
  <c r="DN13" i="108"/>
  <c r="DN12" i="108"/>
  <c r="DN10" i="108"/>
  <c r="DN20" i="108"/>
  <c r="DN14" i="108"/>
  <c r="DN23" i="108"/>
  <c r="DN11" i="108"/>
  <c r="DN22" i="108"/>
  <c r="CT2" i="109"/>
  <c r="CS1" i="109"/>
  <c r="EN24" i="108"/>
  <c r="EN12" i="108"/>
  <c r="EN18" i="108"/>
  <c r="EN6" i="108"/>
  <c r="EN15" i="108"/>
  <c r="EN13" i="108"/>
  <c r="EN23" i="108"/>
  <c r="EN11" i="108"/>
  <c r="EN9" i="108"/>
  <c r="EN22" i="108"/>
  <c r="EN21" i="108"/>
  <c r="EN20" i="108"/>
  <c r="EN8" i="108"/>
  <c r="EN19" i="108"/>
  <c r="EN7" i="108"/>
  <c r="EN17" i="108"/>
  <c r="EN14" i="108"/>
  <c r="EN16" i="108"/>
  <c r="CR24" i="109"/>
  <c r="CR12" i="109"/>
  <c r="CR23" i="109"/>
  <c r="CR11" i="109"/>
  <c r="CR22" i="109"/>
  <c r="CR10" i="109"/>
  <c r="CR21" i="109"/>
  <c r="CR9" i="109"/>
  <c r="CR20" i="109"/>
  <c r="CR8" i="109"/>
  <c r="CR6" i="109"/>
  <c r="CR17" i="109"/>
  <c r="EP1" i="109"/>
  <c r="CR15" i="109"/>
  <c r="CR14" i="109"/>
  <c r="CR7" i="109"/>
  <c r="CR18" i="109"/>
  <c r="CR19" i="109"/>
  <c r="CR16" i="109"/>
  <c r="CR13" i="109"/>
  <c r="CS2" i="108"/>
  <c r="CR1" i="108"/>
  <c r="DO17" i="109"/>
  <c r="DO16" i="109"/>
  <c r="DO15" i="109"/>
  <c r="DO14" i="109"/>
  <c r="DO13" i="109"/>
  <c r="DO23" i="109"/>
  <c r="DO11" i="109"/>
  <c r="DO22" i="109"/>
  <c r="DO10" i="109"/>
  <c r="DO21" i="109"/>
  <c r="DO8" i="109"/>
  <c r="DO19" i="109"/>
  <c r="DO7" i="109"/>
  <c r="DO6" i="109"/>
  <c r="DO24" i="109"/>
  <c r="DO20" i="109"/>
  <c r="DO18" i="109"/>
  <c r="DO12" i="109"/>
  <c r="DO9" i="109"/>
  <c r="CQ14" i="108"/>
  <c r="CQ20" i="108"/>
  <c r="CQ8" i="108"/>
  <c r="CQ16" i="108"/>
  <c r="CQ15" i="108"/>
  <c r="CQ13" i="108"/>
  <c r="CQ11" i="108"/>
  <c r="CQ10" i="108"/>
  <c r="CQ7" i="108"/>
  <c r="CQ17" i="108"/>
  <c r="CQ24" i="108"/>
  <c r="CQ12" i="108"/>
  <c r="CQ23" i="108"/>
  <c r="CQ22" i="108"/>
  <c r="CQ19" i="108"/>
  <c r="CQ21" i="108"/>
  <c r="CQ9" i="108"/>
  <c r="CQ18" i="108"/>
  <c r="CQ6" i="108"/>
  <c r="EO1" i="108"/>
  <c r="DQ2" i="109"/>
  <c r="DP1" i="109"/>
  <c r="DO1" i="108"/>
  <c r="DP2" i="108"/>
  <c r="EN22" i="106"/>
  <c r="EN14" i="106"/>
  <c r="EN6" i="106"/>
  <c r="EN21" i="106"/>
  <c r="EN13" i="106"/>
  <c r="EN20" i="106"/>
  <c r="EN12" i="106"/>
  <c r="EN19" i="106"/>
  <c r="EN18" i="106"/>
  <c r="EN17" i="106"/>
  <c r="EN9" i="106"/>
  <c r="EN24" i="106"/>
  <c r="EN15" i="106"/>
  <c r="EN11" i="106"/>
  <c r="EN8" i="106"/>
  <c r="EN16" i="106"/>
  <c r="EN23" i="106"/>
  <c r="EN7" i="106"/>
  <c r="DN17" i="106"/>
  <c r="DN9" i="106"/>
  <c r="DN24" i="106"/>
  <c r="DN16" i="106"/>
  <c r="DN8" i="106"/>
  <c r="DN23" i="106"/>
  <c r="DN15" i="106"/>
  <c r="DN7" i="106"/>
  <c r="DN22" i="106"/>
  <c r="DN14" i="106"/>
  <c r="DN6" i="106"/>
  <c r="DN21" i="106"/>
  <c r="DN12" i="106"/>
  <c r="DN11" i="106"/>
  <c r="DN10" i="106"/>
  <c r="DN13" i="106"/>
  <c r="DN20" i="106"/>
  <c r="DN19" i="106"/>
  <c r="DN18" i="106"/>
  <c r="CQ24" i="106"/>
  <c r="CQ16" i="106"/>
  <c r="CQ8" i="106"/>
  <c r="CQ23" i="106"/>
  <c r="CQ15" i="106"/>
  <c r="CQ7" i="106"/>
  <c r="CQ22" i="106"/>
  <c r="CQ14" i="106"/>
  <c r="CQ6" i="106"/>
  <c r="CQ21" i="106"/>
  <c r="CQ13" i="106"/>
  <c r="EO1" i="106"/>
  <c r="CQ20" i="106"/>
  <c r="CQ9" i="106"/>
  <c r="CQ19" i="106"/>
  <c r="CQ10" i="106"/>
  <c r="CQ12" i="106"/>
  <c r="CQ11" i="106"/>
  <c r="CQ18" i="106"/>
  <c r="CQ17" i="106"/>
  <c r="DP2" i="106"/>
  <c r="DO1" i="106"/>
  <c r="CS2" i="106"/>
  <c r="CR1" i="106"/>
  <c r="CQ22" i="105"/>
  <c r="CQ10" i="105"/>
  <c r="CQ23" i="105"/>
  <c r="CQ21" i="105"/>
  <c r="CQ9" i="105"/>
  <c r="CQ20" i="105"/>
  <c r="CQ8" i="105"/>
  <c r="CQ19" i="105"/>
  <c r="CQ7" i="105"/>
  <c r="CQ18" i="105"/>
  <c r="CQ6" i="105"/>
  <c r="CQ17" i="105"/>
  <c r="EO1" i="105"/>
  <c r="CQ15" i="105"/>
  <c r="CQ14" i="105"/>
  <c r="CQ24" i="105"/>
  <c r="CQ16" i="105"/>
  <c r="CQ13" i="105"/>
  <c r="CQ12" i="105"/>
  <c r="CQ11" i="105"/>
  <c r="CS2" i="105"/>
  <c r="CR1" i="105"/>
  <c r="DN15" i="105"/>
  <c r="DN17" i="105"/>
  <c r="DN16" i="105"/>
  <c r="DN14" i="105"/>
  <c r="DN13" i="105"/>
  <c r="DN24" i="105"/>
  <c r="DN12" i="105"/>
  <c r="DN23" i="105"/>
  <c r="DN11" i="105"/>
  <c r="DN22" i="105"/>
  <c r="DN10" i="105"/>
  <c r="DN9" i="105"/>
  <c r="DN20" i="105"/>
  <c r="DN7" i="105"/>
  <c r="DN6" i="105"/>
  <c r="DN21" i="105"/>
  <c r="DN8" i="105"/>
  <c r="DN19" i="105"/>
  <c r="DN18" i="105"/>
  <c r="EN20" i="105"/>
  <c r="EN8" i="105"/>
  <c r="EN11" i="105"/>
  <c r="EN22" i="105"/>
  <c r="EN19" i="105"/>
  <c r="EN7" i="105"/>
  <c r="EN18" i="105"/>
  <c r="EN6" i="105"/>
  <c r="EN17" i="105"/>
  <c r="EN16" i="105"/>
  <c r="EN15" i="105"/>
  <c r="EN14" i="105"/>
  <c r="EN13" i="105"/>
  <c r="EN12" i="105"/>
  <c r="EN23" i="105"/>
  <c r="EN9" i="105"/>
  <c r="EN24" i="105"/>
  <c r="EN21" i="105"/>
  <c r="DP2" i="105"/>
  <c r="DO1" i="105"/>
  <c r="BQ26" i="86"/>
  <c r="BZ27" i="94"/>
  <c r="BY28" i="94" s="1"/>
  <c r="ES10" i="98"/>
  <c r="CG10" i="98" s="1"/>
  <c r="ET10" i="100"/>
  <c r="BU13" i="86"/>
  <c r="Q13" i="86" s="1"/>
  <c r="R13" i="86" s="1"/>
  <c r="BU13" i="98"/>
  <c r="BQ13" i="87"/>
  <c r="BQ27" i="87" s="1"/>
  <c r="BQ13" i="100"/>
  <c r="BQ27" i="100" s="1"/>
  <c r="DZ24" i="98"/>
  <c r="DZ23" i="98"/>
  <c r="DZ22" i="98"/>
  <c r="DZ21" i="98"/>
  <c r="DZ20" i="98"/>
  <c r="DZ19" i="98"/>
  <c r="DZ18" i="98"/>
  <c r="DZ17" i="98"/>
  <c r="DZ16" i="98"/>
  <c r="DZ15" i="98"/>
  <c r="DZ14" i="98"/>
  <c r="DZ13" i="98"/>
  <c r="DZ12" i="98"/>
  <c r="DZ11" i="98"/>
  <c r="DZ10" i="98"/>
  <c r="DZ9" i="98"/>
  <c r="DZ8" i="98"/>
  <c r="DZ7" i="98"/>
  <c r="DZ6" i="98"/>
  <c r="EB2" i="98"/>
  <c r="EA1" i="98"/>
  <c r="DC24" i="98"/>
  <c r="DC23" i="98"/>
  <c r="DC22" i="98"/>
  <c r="DC21" i="98"/>
  <c r="DC20" i="98"/>
  <c r="DC19" i="98"/>
  <c r="DC18" i="98"/>
  <c r="DC17" i="98"/>
  <c r="DC16" i="98"/>
  <c r="DC15" i="98"/>
  <c r="DC14" i="98"/>
  <c r="DC13" i="98"/>
  <c r="DC12" i="98"/>
  <c r="DC11" i="98"/>
  <c r="DC10" i="98"/>
  <c r="DC9" i="98"/>
  <c r="DC8" i="98"/>
  <c r="DC7" i="98"/>
  <c r="DC6" i="98"/>
  <c r="FA1" i="98"/>
  <c r="DE2" i="98"/>
  <c r="DD1" i="98"/>
  <c r="EZ24" i="98"/>
  <c r="EZ23" i="98"/>
  <c r="EZ22" i="98"/>
  <c r="EZ21" i="98"/>
  <c r="EZ20" i="98"/>
  <c r="EZ19" i="98"/>
  <c r="EZ18" i="98"/>
  <c r="EZ17" i="98"/>
  <c r="EZ16" i="98"/>
  <c r="EZ15" i="98"/>
  <c r="EZ14" i="98"/>
  <c r="EZ13" i="98"/>
  <c r="EZ12" i="98"/>
  <c r="EZ11" i="98"/>
  <c r="EZ10" i="98"/>
  <c r="EZ9" i="98"/>
  <c r="EZ8" i="98"/>
  <c r="EZ7" i="98"/>
  <c r="EZ6" i="98"/>
  <c r="DB24" i="100"/>
  <c r="DB23" i="100"/>
  <c r="DB22" i="100"/>
  <c r="DB21" i="100"/>
  <c r="DB20" i="100"/>
  <c r="DB19" i="100"/>
  <c r="DB18" i="100"/>
  <c r="DB17" i="100"/>
  <c r="DB16" i="100"/>
  <c r="DB15" i="100"/>
  <c r="DB14" i="100"/>
  <c r="DB13" i="100"/>
  <c r="DB12" i="100"/>
  <c r="DB11" i="100"/>
  <c r="DB10" i="100"/>
  <c r="DB9" i="100"/>
  <c r="DB8" i="100"/>
  <c r="DB7" i="100"/>
  <c r="DB6" i="100"/>
  <c r="EZ1" i="100"/>
  <c r="DD2" i="100"/>
  <c r="DC1" i="100"/>
  <c r="EY24" i="100"/>
  <c r="EY23" i="100"/>
  <c r="EY22" i="100"/>
  <c r="EY21" i="100"/>
  <c r="EY20" i="100"/>
  <c r="EY19" i="100"/>
  <c r="EY18" i="100"/>
  <c r="EY17" i="100"/>
  <c r="EY16" i="100"/>
  <c r="EY15" i="100"/>
  <c r="EY14" i="100"/>
  <c r="EY13" i="100"/>
  <c r="EY12" i="100"/>
  <c r="EY11" i="100"/>
  <c r="EY10" i="100"/>
  <c r="EY9" i="100"/>
  <c r="EY8" i="100"/>
  <c r="EY7" i="100"/>
  <c r="EY6" i="100"/>
  <c r="DY24" i="100"/>
  <c r="DY23" i="100"/>
  <c r="DY22" i="100"/>
  <c r="DY21" i="100"/>
  <c r="DY20" i="100"/>
  <c r="DY19" i="100"/>
  <c r="DY18" i="100"/>
  <c r="DY17" i="100"/>
  <c r="DY16" i="100"/>
  <c r="DY15" i="100"/>
  <c r="DY14" i="100"/>
  <c r="DY13" i="100"/>
  <c r="DY12" i="100"/>
  <c r="DY11" i="100"/>
  <c r="DY10" i="100"/>
  <c r="DY9" i="100"/>
  <c r="DY8" i="100"/>
  <c r="DY7" i="100"/>
  <c r="DY6" i="100"/>
  <c r="EA2" i="100"/>
  <c r="DZ1" i="100"/>
  <c r="EP10" i="95"/>
  <c r="EQ10" i="96"/>
  <c r="ER10" i="97"/>
  <c r="EB24" i="96"/>
  <c r="EB23" i="96"/>
  <c r="EB22" i="96"/>
  <c r="EB21" i="96"/>
  <c r="EB20" i="96"/>
  <c r="EB19" i="96"/>
  <c r="EB18" i="96"/>
  <c r="EB17" i="96"/>
  <c r="EB16" i="96"/>
  <c r="EB15" i="96"/>
  <c r="EB14" i="96"/>
  <c r="EB13" i="96"/>
  <c r="EB12" i="96"/>
  <c r="EB11" i="96"/>
  <c r="EB10" i="96"/>
  <c r="EB9" i="96"/>
  <c r="EB8" i="96"/>
  <c r="EB7" i="96"/>
  <c r="EB6" i="96"/>
  <c r="ED2" i="96"/>
  <c r="EC1" i="96"/>
  <c r="DE24" i="96"/>
  <c r="DE23" i="96"/>
  <c r="DE22" i="96"/>
  <c r="DE21" i="96"/>
  <c r="DE20" i="96"/>
  <c r="DE19" i="96"/>
  <c r="DE18" i="96"/>
  <c r="DE17" i="96"/>
  <c r="DE16" i="96"/>
  <c r="DE15" i="96"/>
  <c r="DE14" i="96"/>
  <c r="DE13" i="96"/>
  <c r="DE12" i="96"/>
  <c r="DE11" i="96"/>
  <c r="DE10" i="96"/>
  <c r="DE9" i="96"/>
  <c r="DE8" i="96"/>
  <c r="DE7" i="96"/>
  <c r="DE6" i="96"/>
  <c r="FC1" i="96"/>
  <c r="DF24" i="96"/>
  <c r="DF23" i="96"/>
  <c r="DF22" i="96"/>
  <c r="DF21" i="96"/>
  <c r="DF20" i="96"/>
  <c r="DF19" i="96"/>
  <c r="DF18" i="96"/>
  <c r="DF17" i="96"/>
  <c r="DF16" i="96"/>
  <c r="DF15" i="96"/>
  <c r="DF14" i="96"/>
  <c r="DF13" i="96"/>
  <c r="DF12" i="96"/>
  <c r="DF11" i="96"/>
  <c r="DF10" i="96"/>
  <c r="DF9" i="96"/>
  <c r="DF8" i="96"/>
  <c r="DF7" i="96"/>
  <c r="DF6" i="96"/>
  <c r="FD1" i="96"/>
  <c r="U3" i="96"/>
  <c r="FB24" i="96"/>
  <c r="FB23" i="96"/>
  <c r="FB22" i="96"/>
  <c r="FB21" i="96"/>
  <c r="FB20" i="96"/>
  <c r="FB19" i="96"/>
  <c r="FB18" i="96"/>
  <c r="FB17" i="96"/>
  <c r="FB16" i="96"/>
  <c r="FB15" i="96"/>
  <c r="FB14" i="96"/>
  <c r="FB13" i="96"/>
  <c r="FB12" i="96"/>
  <c r="FB11" i="96"/>
  <c r="FB10" i="96"/>
  <c r="FB9" i="96"/>
  <c r="FB8" i="96"/>
  <c r="FB7" i="96"/>
  <c r="FB6" i="96"/>
  <c r="FD24" i="95"/>
  <c r="FD23" i="95"/>
  <c r="FD22" i="95"/>
  <c r="FD21" i="95"/>
  <c r="FD20" i="95"/>
  <c r="FD19" i="95"/>
  <c r="FD18" i="95"/>
  <c r="FD17" i="95"/>
  <c r="FD16" i="95"/>
  <c r="FD15" i="95"/>
  <c r="FD14" i="95"/>
  <c r="FD13" i="95"/>
  <c r="FD12" i="95"/>
  <c r="FD11" i="95"/>
  <c r="FD10" i="95"/>
  <c r="FD9" i="95"/>
  <c r="FD8" i="95"/>
  <c r="FD7" i="95"/>
  <c r="FD6" i="95"/>
  <c r="FC24" i="95"/>
  <c r="FC23" i="95"/>
  <c r="FC22" i="95"/>
  <c r="FC21" i="95"/>
  <c r="FC20" i="95"/>
  <c r="FC19" i="95"/>
  <c r="FC18" i="95"/>
  <c r="FC17" i="95"/>
  <c r="FC16" i="95"/>
  <c r="FC15" i="95"/>
  <c r="FC14" i="95"/>
  <c r="FC13" i="95"/>
  <c r="FC12" i="95"/>
  <c r="FC11" i="95"/>
  <c r="FC10" i="95"/>
  <c r="FC9" i="95"/>
  <c r="FC8" i="95"/>
  <c r="FC7" i="95"/>
  <c r="FC6" i="95"/>
  <c r="BY6" i="95"/>
  <c r="BY7" i="95"/>
  <c r="U7" i="95" s="1"/>
  <c r="V7" i="95" s="1"/>
  <c r="BY8" i="95"/>
  <c r="U8" i="95" s="1"/>
  <c r="V8" i="95" s="1"/>
  <c r="BY9" i="95"/>
  <c r="U9" i="95" s="1"/>
  <c r="V9" i="95" s="1"/>
  <c r="BY10" i="95"/>
  <c r="U10" i="95" s="1"/>
  <c r="V10" i="95" s="1"/>
  <c r="BY11" i="95"/>
  <c r="U11" i="95" s="1"/>
  <c r="V11" i="95" s="1"/>
  <c r="BY12" i="95"/>
  <c r="U12" i="95" s="1"/>
  <c r="V12" i="95" s="1"/>
  <c r="BY13" i="95"/>
  <c r="U13" i="95" s="1"/>
  <c r="V13" i="95" s="1"/>
  <c r="BY14" i="95"/>
  <c r="U14" i="95" s="1"/>
  <c r="V14" i="95" s="1"/>
  <c r="BY15" i="95"/>
  <c r="U15" i="95" s="1"/>
  <c r="V15" i="95" s="1"/>
  <c r="BY16" i="95"/>
  <c r="U16" i="95" s="1"/>
  <c r="V16" i="95" s="1"/>
  <c r="BY17" i="95"/>
  <c r="U17" i="95" s="1"/>
  <c r="V17" i="95" s="1"/>
  <c r="BY18" i="95"/>
  <c r="U18" i="95" s="1"/>
  <c r="V18" i="95" s="1"/>
  <c r="BY19" i="95"/>
  <c r="U19" i="95" s="1"/>
  <c r="V19" i="95" s="1"/>
  <c r="BY20" i="95"/>
  <c r="U20" i="95" s="1"/>
  <c r="V20" i="95" s="1"/>
  <c r="BY21" i="95"/>
  <c r="U21" i="95" s="1"/>
  <c r="V21" i="95" s="1"/>
  <c r="BY22" i="95"/>
  <c r="U22" i="95" s="1"/>
  <c r="V22" i="95" s="1"/>
  <c r="BY23" i="95"/>
  <c r="U23" i="95" s="1"/>
  <c r="V23" i="95" s="1"/>
  <c r="BY24" i="95"/>
  <c r="U24" i="95" s="1"/>
  <c r="V24" i="95" s="1"/>
  <c r="EC24" i="95"/>
  <c r="EC23" i="95"/>
  <c r="EC22" i="95"/>
  <c r="EC21" i="95"/>
  <c r="EC20" i="95"/>
  <c r="EC19" i="95"/>
  <c r="EC18" i="95"/>
  <c r="EC17" i="95"/>
  <c r="EC16" i="95"/>
  <c r="EC15" i="95"/>
  <c r="EC14" i="95"/>
  <c r="EC13" i="95"/>
  <c r="EC12" i="95"/>
  <c r="EC11" i="95"/>
  <c r="EC10" i="95"/>
  <c r="EC9" i="95"/>
  <c r="EC8" i="95"/>
  <c r="EC7" i="95"/>
  <c r="EC6" i="95"/>
  <c r="EE2" i="95"/>
  <c r="EE1" i="95" s="1"/>
  <c r="ED1" i="95"/>
  <c r="DD24" i="97"/>
  <c r="DD23" i="97"/>
  <c r="DD22" i="97"/>
  <c r="DD21" i="97"/>
  <c r="DD20" i="97"/>
  <c r="DD19" i="97"/>
  <c r="DD18" i="97"/>
  <c r="DD17" i="97"/>
  <c r="DD16" i="97"/>
  <c r="DD15" i="97"/>
  <c r="DD14" i="97"/>
  <c r="DD13" i="97"/>
  <c r="DD12" i="97"/>
  <c r="DD11" i="97"/>
  <c r="DD10" i="97"/>
  <c r="DD9" i="97"/>
  <c r="DD8" i="97"/>
  <c r="DD7" i="97"/>
  <c r="DD6" i="97"/>
  <c r="FB1" i="97"/>
  <c r="DF2" i="97"/>
  <c r="DF1" i="97" s="1"/>
  <c r="DE1" i="97"/>
  <c r="FA24" i="97"/>
  <c r="FA23" i="97"/>
  <c r="FA22" i="97"/>
  <c r="FA21" i="97"/>
  <c r="FA20" i="97"/>
  <c r="FA19" i="97"/>
  <c r="FA18" i="97"/>
  <c r="FA17" i="97"/>
  <c r="FA16" i="97"/>
  <c r="FA15" i="97"/>
  <c r="FA14" i="97"/>
  <c r="FA13" i="97"/>
  <c r="FA12" i="97"/>
  <c r="FA11" i="97"/>
  <c r="FA10" i="97"/>
  <c r="FA9" i="97"/>
  <c r="FA8" i="97"/>
  <c r="FA7" i="97"/>
  <c r="FA6" i="97"/>
  <c r="EA24" i="97"/>
  <c r="EA23" i="97"/>
  <c r="EA22" i="97"/>
  <c r="EA21" i="97"/>
  <c r="EA20" i="97"/>
  <c r="EA19" i="97"/>
  <c r="EA18" i="97"/>
  <c r="EA17" i="97"/>
  <c r="EA16" i="97"/>
  <c r="EA15" i="97"/>
  <c r="EA14" i="97"/>
  <c r="EA13" i="97"/>
  <c r="EA12" i="97"/>
  <c r="EA11" i="97"/>
  <c r="EA10" i="97"/>
  <c r="EA9" i="97"/>
  <c r="EA8" i="97"/>
  <c r="EA7" i="97"/>
  <c r="EA6" i="97"/>
  <c r="EC2" i="97"/>
  <c r="EB1" i="97"/>
  <c r="EM10" i="91"/>
  <c r="EO10" i="93"/>
  <c r="EP10" i="94"/>
  <c r="EF23" i="94"/>
  <c r="EF15" i="94"/>
  <c r="EF14" i="94"/>
  <c r="EF22" i="94"/>
  <c r="EF18" i="94"/>
  <c r="EF17" i="94"/>
  <c r="EF13" i="94"/>
  <c r="EF12" i="94"/>
  <c r="EF7" i="94"/>
  <c r="EF20" i="94"/>
  <c r="EF19" i="94"/>
  <c r="EF16" i="94"/>
  <c r="EF21" i="94"/>
  <c r="EF11" i="94"/>
  <c r="EF10" i="94"/>
  <c r="EF24" i="94"/>
  <c r="EF9" i="94"/>
  <c r="EF8" i="94"/>
  <c r="EF6" i="94"/>
  <c r="EE24" i="94"/>
  <c r="EE19" i="94"/>
  <c r="EE23" i="94"/>
  <c r="EE22" i="94"/>
  <c r="EE21" i="94"/>
  <c r="EE15" i="94"/>
  <c r="EE10" i="94"/>
  <c r="EE9" i="94"/>
  <c r="EE8" i="94"/>
  <c r="EE18" i="94"/>
  <c r="EE17" i="94"/>
  <c r="EE13" i="94"/>
  <c r="EE6" i="94"/>
  <c r="EE20" i="94"/>
  <c r="EE16" i="94"/>
  <c r="EE12" i="94"/>
  <c r="EE7" i="94"/>
  <c r="EE14" i="94"/>
  <c r="EE11" i="94"/>
  <c r="T28" i="94"/>
  <c r="T29" i="94"/>
  <c r="T30" i="94"/>
  <c r="V6" i="94"/>
  <c r="CD13" i="93"/>
  <c r="W13" i="93" s="1"/>
  <c r="X13" i="93" s="1"/>
  <c r="CD15" i="93"/>
  <c r="W15" i="93" s="1"/>
  <c r="X15" i="93" s="1"/>
  <c r="CD12" i="93"/>
  <c r="W12" i="93" s="1"/>
  <c r="X12" i="93" s="1"/>
  <c r="CD22" i="93"/>
  <c r="W22" i="93" s="1"/>
  <c r="X22" i="93" s="1"/>
  <c r="CD9" i="93"/>
  <c r="W9" i="93" s="1"/>
  <c r="X9" i="93" s="1"/>
  <c r="CD16" i="93"/>
  <c r="CD17" i="93"/>
  <c r="CD14" i="93"/>
  <c r="W14" i="93" s="1"/>
  <c r="X14" i="93" s="1"/>
  <c r="CD18" i="93"/>
  <c r="W18" i="93" s="1"/>
  <c r="X18" i="93" s="1"/>
  <c r="CD11" i="93"/>
  <c r="W11" i="93" s="1"/>
  <c r="X11" i="93" s="1"/>
  <c r="CD24" i="93"/>
  <c r="W24" i="93" s="1"/>
  <c r="X24" i="93" s="1"/>
  <c r="CD20" i="93"/>
  <c r="W20" i="93" s="1"/>
  <c r="X20" i="93" s="1"/>
  <c r="CD19" i="93"/>
  <c r="W19" i="93" s="1"/>
  <c r="X19" i="93" s="1"/>
  <c r="CD23" i="93"/>
  <c r="W23" i="93" s="1"/>
  <c r="X23" i="93" s="1"/>
  <c r="T30" i="93"/>
  <c r="T29" i="93"/>
  <c r="T28" i="93"/>
  <c r="V6" i="93"/>
  <c r="CD7" i="93"/>
  <c r="W7" i="93" s="1"/>
  <c r="X7" i="93" s="1"/>
  <c r="CD10" i="93"/>
  <c r="W10" i="93" s="1"/>
  <c r="X10" i="93" s="1"/>
  <c r="CD8" i="93"/>
  <c r="W8" i="93" s="1"/>
  <c r="X8" i="93" s="1"/>
  <c r="CD6" i="93"/>
  <c r="CD21" i="93"/>
  <c r="W21" i="93" s="1"/>
  <c r="X21" i="93" s="1"/>
  <c r="CQ23" i="92"/>
  <c r="CQ15" i="92"/>
  <c r="CQ7" i="92"/>
  <c r="CQ21" i="92"/>
  <c r="CQ19" i="92"/>
  <c r="CQ6" i="92"/>
  <c r="CQ22" i="92"/>
  <c r="CQ18" i="92"/>
  <c r="CQ17" i="92"/>
  <c r="CQ24" i="92"/>
  <c r="CQ20" i="92"/>
  <c r="CQ14" i="92"/>
  <c r="EO1" i="92"/>
  <c r="CQ8" i="92"/>
  <c r="CQ10" i="92"/>
  <c r="CQ13" i="92"/>
  <c r="CQ9" i="92"/>
  <c r="CQ12" i="92"/>
  <c r="CQ16" i="92"/>
  <c r="CQ11" i="92"/>
  <c r="CR1" i="92"/>
  <c r="CS2" i="92"/>
  <c r="EN12" i="92"/>
  <c r="EN22" i="92"/>
  <c r="EN8" i="92"/>
  <c r="EN16" i="92"/>
  <c r="EN20" i="92"/>
  <c r="EN13" i="92"/>
  <c r="EN14" i="92"/>
  <c r="EN15" i="92"/>
  <c r="EN11" i="92"/>
  <c r="EN24" i="92"/>
  <c r="EN19" i="92"/>
  <c r="EN9" i="92"/>
  <c r="EN23" i="92"/>
  <c r="EN18" i="92"/>
  <c r="EN7" i="92"/>
  <c r="EN21" i="92"/>
  <c r="EN10" i="92"/>
  <c r="EN6" i="92"/>
  <c r="EN17" i="92"/>
  <c r="DN13" i="92"/>
  <c r="DN15" i="92"/>
  <c r="DN8" i="92"/>
  <c r="DN16" i="92"/>
  <c r="DN22" i="92"/>
  <c r="DN12" i="92"/>
  <c r="DN19" i="92"/>
  <c r="DN20" i="92"/>
  <c r="DN14" i="92"/>
  <c r="DN17" i="92"/>
  <c r="DN18" i="92"/>
  <c r="DN11" i="92"/>
  <c r="DN23" i="92"/>
  <c r="DN6" i="92"/>
  <c r="DN9" i="92"/>
  <c r="DN21" i="92"/>
  <c r="DN10" i="92"/>
  <c r="DN24" i="92"/>
  <c r="DN7" i="92"/>
  <c r="DP2" i="92"/>
  <c r="DO1" i="92"/>
  <c r="DP2" i="91"/>
  <c r="DO1" i="91"/>
  <c r="EN20" i="91"/>
  <c r="EN24" i="91"/>
  <c r="EN16" i="91"/>
  <c r="EN6" i="91"/>
  <c r="EN23" i="91"/>
  <c r="EN8" i="91"/>
  <c r="EN7" i="91"/>
  <c r="EN13" i="91"/>
  <c r="EN17" i="91"/>
  <c r="EN12" i="91"/>
  <c r="EN19" i="91"/>
  <c r="EN15" i="91"/>
  <c r="EN10" i="91"/>
  <c r="EN18" i="91"/>
  <c r="EN14" i="91"/>
  <c r="EN22" i="91"/>
  <c r="EN9" i="91"/>
  <c r="EN11" i="91"/>
  <c r="EN21" i="91"/>
  <c r="CR1" i="90"/>
  <c r="CS2" i="90"/>
  <c r="DN23" i="91"/>
  <c r="DN15" i="91"/>
  <c r="DN12" i="91"/>
  <c r="DN19" i="91"/>
  <c r="DN20" i="91"/>
  <c r="DN8" i="91"/>
  <c r="DN18" i="91"/>
  <c r="DN7" i="91"/>
  <c r="DN10" i="91"/>
  <c r="DN9" i="91"/>
  <c r="DN21" i="91"/>
  <c r="DN16" i="91"/>
  <c r="DN24" i="91"/>
  <c r="DN11" i="91"/>
  <c r="DN22" i="91"/>
  <c r="DN6" i="91"/>
  <c r="DN14" i="91"/>
  <c r="DN13" i="91"/>
  <c r="DN17" i="91"/>
  <c r="DN11" i="90"/>
  <c r="DN18" i="90"/>
  <c r="DN23" i="90"/>
  <c r="DN14" i="90"/>
  <c r="DN7" i="90"/>
  <c r="DN8" i="90"/>
  <c r="DN21" i="90"/>
  <c r="DN24" i="90"/>
  <c r="DN9" i="90"/>
  <c r="DN22" i="90"/>
  <c r="DN6" i="90"/>
  <c r="DN19" i="90"/>
  <c r="DN15" i="90"/>
  <c r="DN16" i="90"/>
  <c r="DN17" i="90"/>
  <c r="DN10" i="90"/>
  <c r="DN13" i="90"/>
  <c r="DN20" i="90"/>
  <c r="DN12" i="90"/>
  <c r="CS2" i="91"/>
  <c r="CR1" i="91"/>
  <c r="CQ15" i="90"/>
  <c r="CQ14" i="90"/>
  <c r="CQ11" i="90"/>
  <c r="CQ9" i="90"/>
  <c r="CQ6" i="90"/>
  <c r="CQ18" i="90"/>
  <c r="CQ8" i="90"/>
  <c r="CQ23" i="90"/>
  <c r="CQ17" i="90"/>
  <c r="CQ19" i="90"/>
  <c r="CQ16" i="90"/>
  <c r="CQ7" i="90"/>
  <c r="CQ22" i="90"/>
  <c r="CQ21" i="90"/>
  <c r="EO1" i="90"/>
  <c r="CQ24" i="90"/>
  <c r="CQ13" i="90"/>
  <c r="CQ10" i="90"/>
  <c r="CQ20" i="90"/>
  <c r="CQ12" i="90"/>
  <c r="DP2" i="90"/>
  <c r="DO1" i="90"/>
  <c r="EO1" i="91"/>
  <c r="CQ6" i="91"/>
  <c r="CQ22" i="91"/>
  <c r="CQ24" i="91"/>
  <c r="CQ11" i="91"/>
  <c r="CQ10" i="91"/>
  <c r="CQ21" i="91"/>
  <c r="CQ17" i="91"/>
  <c r="CQ14" i="91"/>
  <c r="CQ13" i="91"/>
  <c r="CQ8" i="91"/>
  <c r="CQ15" i="91"/>
  <c r="CQ9" i="91"/>
  <c r="CQ16" i="91"/>
  <c r="CQ23" i="91"/>
  <c r="CQ7" i="91"/>
  <c r="CQ18" i="91"/>
  <c r="CQ12" i="91"/>
  <c r="CQ20" i="91"/>
  <c r="CQ19" i="91"/>
  <c r="EK10" i="89"/>
  <c r="EL10" i="90"/>
  <c r="EN16" i="90"/>
  <c r="EN23" i="90"/>
  <c r="EN17" i="90"/>
  <c r="EN14" i="90"/>
  <c r="EN8" i="90"/>
  <c r="EN20" i="90"/>
  <c r="EN12" i="90"/>
  <c r="EN11" i="90"/>
  <c r="EN19" i="90"/>
  <c r="EN10" i="90"/>
  <c r="EN18" i="90"/>
  <c r="EN15" i="90"/>
  <c r="EN6" i="90"/>
  <c r="EN13" i="90"/>
  <c r="EN24" i="90"/>
  <c r="EN21" i="90"/>
  <c r="EN22" i="90"/>
  <c r="EN7" i="90"/>
  <c r="EN9" i="90"/>
  <c r="EN19" i="89"/>
  <c r="EN10" i="89"/>
  <c r="EN17" i="89"/>
  <c r="EN7" i="89"/>
  <c r="EN20" i="89"/>
  <c r="EN16" i="89"/>
  <c r="EN8" i="89"/>
  <c r="EN24" i="89"/>
  <c r="EN15" i="89"/>
  <c r="EN12" i="89"/>
  <c r="EN22" i="89"/>
  <c r="EN14" i="89"/>
  <c r="EN6" i="89"/>
  <c r="EN23" i="89"/>
  <c r="EN11" i="89"/>
  <c r="EN21" i="89"/>
  <c r="EN9" i="89"/>
  <c r="EN18" i="89"/>
  <c r="EN13" i="89"/>
  <c r="EX106" i="9"/>
  <c r="EW107" i="9"/>
  <c r="DN16" i="89"/>
  <c r="DN18" i="89"/>
  <c r="DN21" i="89"/>
  <c r="DN14" i="89"/>
  <c r="DN13" i="89"/>
  <c r="DN23" i="89"/>
  <c r="DN10" i="89"/>
  <c r="DN6" i="89"/>
  <c r="DN24" i="89"/>
  <c r="DN12" i="89"/>
  <c r="DN7" i="89"/>
  <c r="DN20" i="89"/>
  <c r="DN15" i="89"/>
  <c r="DN22" i="89"/>
  <c r="DN11" i="89"/>
  <c r="DN19" i="89"/>
  <c r="DN9" i="89"/>
  <c r="DN17" i="89"/>
  <c r="DN8" i="89"/>
  <c r="DO1" i="89"/>
  <c r="DP2" i="89"/>
  <c r="CS2" i="89"/>
  <c r="CR1" i="89"/>
  <c r="CQ21" i="89"/>
  <c r="CQ13" i="89"/>
  <c r="EO1" i="89"/>
  <c r="CQ22" i="89"/>
  <c r="CQ10" i="89"/>
  <c r="CQ19" i="89"/>
  <c r="CQ11" i="89"/>
  <c r="CQ20" i="89"/>
  <c r="CQ8" i="89"/>
  <c r="CQ18" i="89"/>
  <c r="CQ7" i="89"/>
  <c r="CQ24" i="89"/>
  <c r="CQ15" i="89"/>
  <c r="CQ6" i="89"/>
  <c r="CQ23" i="89"/>
  <c r="CQ16" i="89"/>
  <c r="CQ9" i="89"/>
  <c r="CQ17" i="89"/>
  <c r="CQ14" i="89"/>
  <c r="CQ12" i="89"/>
  <c r="CQ22" i="88"/>
  <c r="CQ11" i="88"/>
  <c r="CQ19" i="88"/>
  <c r="CQ10" i="88"/>
  <c r="CQ6" i="88"/>
  <c r="CQ21" i="88"/>
  <c r="CQ9" i="88"/>
  <c r="CQ17" i="88"/>
  <c r="CQ8" i="88"/>
  <c r="CQ23" i="88"/>
  <c r="CQ7" i="88"/>
  <c r="CQ15" i="88"/>
  <c r="CQ12" i="88"/>
  <c r="CQ20" i="88"/>
  <c r="CQ18" i="88"/>
  <c r="EO1" i="88"/>
  <c r="CQ24" i="88"/>
  <c r="CQ14" i="88"/>
  <c r="CQ16" i="88"/>
  <c r="CQ13" i="88"/>
  <c r="EN13" i="87"/>
  <c r="EN9" i="87"/>
  <c r="EN24" i="87"/>
  <c r="EN15" i="87"/>
  <c r="EN11" i="87"/>
  <c r="EN22" i="87"/>
  <c r="EN14" i="87"/>
  <c r="EN6" i="87"/>
  <c r="EN21" i="87"/>
  <c r="EN20" i="87"/>
  <c r="EN10" i="87"/>
  <c r="EN19" i="87"/>
  <c r="EN8" i="87"/>
  <c r="EN18" i="87"/>
  <c r="EN16" i="87"/>
  <c r="EN17" i="87"/>
  <c r="EN7" i="87"/>
  <c r="EN23" i="87"/>
  <c r="EN12" i="87"/>
  <c r="EH10" i="86"/>
  <c r="CG10" i="86" s="1"/>
  <c r="EI10" i="87"/>
  <c r="EJ10" i="88"/>
  <c r="IV105" i="9"/>
  <c r="CR1" i="87"/>
  <c r="CS2" i="87"/>
  <c r="DN20" i="87"/>
  <c r="DN17" i="87"/>
  <c r="DN10" i="87"/>
  <c r="DN21" i="87"/>
  <c r="DN11" i="87"/>
  <c r="DN22" i="87"/>
  <c r="DN18" i="87"/>
  <c r="DN19" i="87"/>
  <c r="DN13" i="87"/>
  <c r="DN8" i="87"/>
  <c r="DN16" i="87"/>
  <c r="DN15" i="87"/>
  <c r="DN6" i="87"/>
  <c r="DN24" i="87"/>
  <c r="DN12" i="87"/>
  <c r="DN9" i="87"/>
  <c r="DN23" i="87"/>
  <c r="DN14" i="87"/>
  <c r="DN7" i="87"/>
  <c r="CQ17" i="87"/>
  <c r="CQ10" i="87"/>
  <c r="CQ19" i="87"/>
  <c r="CQ9" i="87"/>
  <c r="CQ15" i="87"/>
  <c r="CQ24" i="87"/>
  <c r="CQ8" i="87"/>
  <c r="CQ23" i="87"/>
  <c r="CQ16" i="87"/>
  <c r="CQ7" i="87"/>
  <c r="CQ11" i="87"/>
  <c r="CQ20" i="87"/>
  <c r="CQ12" i="87"/>
  <c r="EO1" i="87"/>
  <c r="CQ22" i="87"/>
  <c r="CQ21" i="87"/>
  <c r="CQ14" i="87"/>
  <c r="CQ6" i="87"/>
  <c r="CQ18" i="87"/>
  <c r="CQ13" i="87"/>
  <c r="GN106" i="9"/>
  <c r="DO1" i="87"/>
  <c r="DP2" i="87"/>
  <c r="DN18" i="88"/>
  <c r="DN19" i="88"/>
  <c r="DN9" i="88"/>
  <c r="DN15" i="88"/>
  <c r="DN7" i="88"/>
  <c r="DN22" i="88"/>
  <c r="DN16" i="88"/>
  <c r="DN8" i="88"/>
  <c r="DN21" i="88"/>
  <c r="DN13" i="88"/>
  <c r="DN14" i="88"/>
  <c r="DN24" i="88"/>
  <c r="DN23" i="88"/>
  <c r="DN6" i="88"/>
  <c r="DN20" i="88"/>
  <c r="DN12" i="88"/>
  <c r="DN17" i="88"/>
  <c r="DN11" i="88"/>
  <c r="DN10" i="88"/>
  <c r="EN21" i="88"/>
  <c r="EN20" i="88"/>
  <c r="EN14" i="88"/>
  <c r="EN7" i="88"/>
  <c r="EN23" i="88"/>
  <c r="EN12" i="88"/>
  <c r="EN6" i="88"/>
  <c r="EN22" i="88"/>
  <c r="EN13" i="88"/>
  <c r="EN18" i="88"/>
  <c r="EN10" i="88"/>
  <c r="EN19" i="88"/>
  <c r="EN9" i="88"/>
  <c r="EN24" i="88"/>
  <c r="EN8" i="88"/>
  <c r="EN15" i="88"/>
  <c r="EN16" i="88"/>
  <c r="EN11" i="88"/>
  <c r="EN17" i="88"/>
  <c r="DP2" i="88"/>
  <c r="DO1" i="88"/>
  <c r="CS2" i="88"/>
  <c r="CR1" i="88"/>
  <c r="EN21" i="86"/>
  <c r="EN20" i="86"/>
  <c r="EN8" i="86"/>
  <c r="EN13" i="86"/>
  <c r="EN23" i="86"/>
  <c r="EN24" i="86"/>
  <c r="EN7" i="86"/>
  <c r="EN22" i="86"/>
  <c r="EN6" i="86"/>
  <c r="EN17" i="86"/>
  <c r="EN12" i="86"/>
  <c r="EN14" i="86"/>
  <c r="EN16" i="86"/>
  <c r="EN15" i="86"/>
  <c r="EN11" i="86"/>
  <c r="EN9" i="86"/>
  <c r="EN19" i="86"/>
  <c r="EN10" i="86"/>
  <c r="EN18" i="86"/>
  <c r="O28" i="86"/>
  <c r="O27" i="86"/>
  <c r="O29" i="86"/>
  <c r="CR1" i="86"/>
  <c r="CS2" i="86"/>
  <c r="GH104" i="9"/>
  <c r="DN16" i="86"/>
  <c r="DN8" i="86"/>
  <c r="DN18" i="86"/>
  <c r="DN6" i="86"/>
  <c r="DN15" i="86"/>
  <c r="DN7" i="86"/>
  <c r="DN17" i="86"/>
  <c r="DN22" i="86"/>
  <c r="DN14" i="86"/>
  <c r="DN11" i="86"/>
  <c r="DN21" i="86"/>
  <c r="DN24" i="86"/>
  <c r="DN19" i="86"/>
  <c r="DN9" i="86"/>
  <c r="DN23" i="86"/>
  <c r="DN10" i="86"/>
  <c r="DN13" i="86"/>
  <c r="DN12" i="86"/>
  <c r="DN20" i="86"/>
  <c r="CQ18" i="86"/>
  <c r="CQ6" i="86"/>
  <c r="CQ16" i="86"/>
  <c r="EO1" i="86"/>
  <c r="CQ21" i="86"/>
  <c r="CQ14" i="86"/>
  <c r="CQ24" i="86"/>
  <c r="CQ11" i="86"/>
  <c r="CQ23" i="86"/>
  <c r="CQ15" i="86"/>
  <c r="CQ9" i="86"/>
  <c r="CQ8" i="86"/>
  <c r="CQ7" i="86"/>
  <c r="CQ22" i="86"/>
  <c r="CQ17" i="86"/>
  <c r="CQ19" i="86"/>
  <c r="CQ13" i="86"/>
  <c r="CQ12" i="86"/>
  <c r="CQ20" i="86"/>
  <c r="CQ10" i="86"/>
  <c r="DO1" i="86"/>
  <c r="DP2" i="86"/>
  <c r="HQ139" i="9" l="1"/>
  <c r="HL139" i="9"/>
  <c r="HI139" i="9"/>
  <c r="HF139" i="9"/>
  <c r="GA139" i="9"/>
  <c r="HC139" i="9"/>
  <c r="EO19" i="124"/>
  <c r="EO12" i="124"/>
  <c r="EO15" i="124"/>
  <c r="EO6" i="124"/>
  <c r="EO24" i="124"/>
  <c r="EO9" i="124"/>
  <c r="EO14" i="124"/>
  <c r="EO13" i="124"/>
  <c r="EO23" i="124"/>
  <c r="EO18" i="124"/>
  <c r="EO22" i="124"/>
  <c r="EO17" i="124"/>
  <c r="EO7" i="124"/>
  <c r="EO21" i="124"/>
  <c r="EO16" i="124"/>
  <c r="EO8" i="124"/>
  <c r="EO20" i="124"/>
  <c r="EO11" i="124"/>
  <c r="DO23" i="124"/>
  <c r="DO14" i="124"/>
  <c r="DO22" i="124"/>
  <c r="DO7" i="124"/>
  <c r="DO19" i="124"/>
  <c r="DO11" i="124"/>
  <c r="DO17" i="124"/>
  <c r="DO6" i="124"/>
  <c r="DO21" i="124"/>
  <c r="DO8" i="124"/>
  <c r="DO16" i="124"/>
  <c r="DO9" i="124"/>
  <c r="DO18" i="124"/>
  <c r="DO24" i="124"/>
  <c r="DO15" i="124"/>
  <c r="DO10" i="124"/>
  <c r="DO13" i="124"/>
  <c r="DO12" i="124"/>
  <c r="DO20" i="124"/>
  <c r="DQ2" i="124"/>
  <c r="DP1" i="124"/>
  <c r="CS1" i="124"/>
  <c r="CT2" i="124"/>
  <c r="CR24" i="124"/>
  <c r="CR15" i="124"/>
  <c r="CR22" i="124"/>
  <c r="CR14" i="124"/>
  <c r="CR21" i="124"/>
  <c r="CR11" i="124"/>
  <c r="CR23" i="124"/>
  <c r="CR8" i="124"/>
  <c r="CR16" i="124"/>
  <c r="CR6" i="124"/>
  <c r="CR19" i="124"/>
  <c r="CR9" i="124"/>
  <c r="CR17" i="124"/>
  <c r="CR7" i="124"/>
  <c r="CR18" i="124"/>
  <c r="EP1" i="124"/>
  <c r="CR10" i="124"/>
  <c r="CR13" i="124"/>
  <c r="CR20" i="124"/>
  <c r="CR12" i="124"/>
  <c r="CD13" i="94"/>
  <c r="W13" i="94" s="1"/>
  <c r="X13" i="94" s="1"/>
  <c r="EO18" i="121"/>
  <c r="EO12" i="121"/>
  <c r="EO17" i="121"/>
  <c r="EO9" i="121"/>
  <c r="EO13" i="121"/>
  <c r="EO8" i="121"/>
  <c r="EO15" i="121"/>
  <c r="EO20" i="121"/>
  <c r="EO11" i="121"/>
  <c r="EO24" i="121"/>
  <c r="EO7" i="121"/>
  <c r="EO19" i="121"/>
  <c r="EO21" i="121"/>
  <c r="EO16" i="121"/>
  <c r="EO14" i="121"/>
  <c r="EO22" i="121"/>
  <c r="EO6" i="121"/>
  <c r="EO23" i="121"/>
  <c r="DO24" i="121"/>
  <c r="DO12" i="121"/>
  <c r="DO14" i="121"/>
  <c r="DO6" i="121"/>
  <c r="DO21" i="121"/>
  <c r="DO19" i="121"/>
  <c r="DO16" i="121"/>
  <c r="DO23" i="121"/>
  <c r="DO18" i="121"/>
  <c r="DO10" i="121"/>
  <c r="DO20" i="121"/>
  <c r="DO8" i="121"/>
  <c r="DO22" i="121"/>
  <c r="DO15" i="121"/>
  <c r="DO11" i="121"/>
  <c r="DO9" i="121"/>
  <c r="DO17" i="121"/>
  <c r="DO13" i="121"/>
  <c r="DO7" i="121"/>
  <c r="CR21" i="121"/>
  <c r="CR13" i="121"/>
  <c r="CR7" i="121"/>
  <c r="CR6" i="121"/>
  <c r="CR12" i="121"/>
  <c r="CR11" i="121"/>
  <c r="CR24" i="121"/>
  <c r="CR9" i="121"/>
  <c r="CR14" i="121"/>
  <c r="CR20" i="121"/>
  <c r="CR10" i="121"/>
  <c r="CR15" i="121"/>
  <c r="CR23" i="121"/>
  <c r="CR22" i="121"/>
  <c r="CR18" i="121"/>
  <c r="CR16" i="121"/>
  <c r="CR17" i="121"/>
  <c r="CR8" i="121"/>
  <c r="CR19" i="121"/>
  <c r="EP1" i="121"/>
  <c r="DP1" i="121"/>
  <c r="DQ2" i="121"/>
  <c r="CT2" i="121"/>
  <c r="CS1" i="121"/>
  <c r="A140" i="9"/>
  <c r="E140" i="9" s="1"/>
  <c r="C141" i="9"/>
  <c r="A141" i="9" s="1"/>
  <c r="E141" i="9" s="1"/>
  <c r="DQ2" i="120"/>
  <c r="DP1" i="120"/>
  <c r="DO15" i="120"/>
  <c r="DO8" i="120"/>
  <c r="DO11" i="120"/>
  <c r="DO24" i="120"/>
  <c r="DO14" i="120"/>
  <c r="DO7" i="120"/>
  <c r="DO23" i="120"/>
  <c r="DO12" i="120"/>
  <c r="DO13" i="120"/>
  <c r="DO17" i="120"/>
  <c r="DO22" i="120"/>
  <c r="DO20" i="120"/>
  <c r="DO6" i="120"/>
  <c r="DO21" i="120"/>
  <c r="DO16" i="120"/>
  <c r="DO19" i="120"/>
  <c r="DO9" i="120"/>
  <c r="DO18" i="120"/>
  <c r="DO10" i="120"/>
  <c r="CR20" i="120"/>
  <c r="CR10" i="120"/>
  <c r="EP1" i="120"/>
  <c r="CR23" i="120"/>
  <c r="CR17" i="120"/>
  <c r="CR8" i="120"/>
  <c r="CR24" i="120"/>
  <c r="CR15" i="120"/>
  <c r="CR19" i="120"/>
  <c r="CR12" i="120"/>
  <c r="CR14" i="120"/>
  <c r="CR6" i="120"/>
  <c r="CR18" i="120"/>
  <c r="CR11" i="120"/>
  <c r="CR22" i="120"/>
  <c r="CR16" i="120"/>
  <c r="CR9" i="120"/>
  <c r="CR21" i="120"/>
  <c r="CR13" i="120"/>
  <c r="CR7" i="120"/>
  <c r="CS1" i="120"/>
  <c r="CT2" i="120"/>
  <c r="EO24" i="120"/>
  <c r="EO17" i="120"/>
  <c r="EO6" i="120"/>
  <c r="EO16" i="120"/>
  <c r="EO23" i="120"/>
  <c r="EO13" i="120"/>
  <c r="EO8" i="120"/>
  <c r="EO22" i="120"/>
  <c r="EO15" i="120"/>
  <c r="EO7" i="120"/>
  <c r="EO18" i="120"/>
  <c r="EO14" i="120"/>
  <c r="EO19" i="120"/>
  <c r="EO11" i="120"/>
  <c r="EO20" i="120"/>
  <c r="EO21" i="120"/>
  <c r="EO12" i="120"/>
  <c r="EO9" i="120"/>
  <c r="EO15" i="119"/>
  <c r="EO8" i="119"/>
  <c r="EO24" i="119"/>
  <c r="EO14" i="119"/>
  <c r="EO11" i="119"/>
  <c r="EO23" i="119"/>
  <c r="EO13" i="119"/>
  <c r="EO16" i="119"/>
  <c r="EO17" i="119"/>
  <c r="EO19" i="119"/>
  <c r="EO6" i="119"/>
  <c r="EO22" i="119"/>
  <c r="EO21" i="119"/>
  <c r="EO12" i="119"/>
  <c r="EO18" i="119"/>
  <c r="EO9" i="119"/>
  <c r="EO20" i="119"/>
  <c r="EO7" i="119"/>
  <c r="DQ2" i="119"/>
  <c r="DP1" i="119"/>
  <c r="CR21" i="119"/>
  <c r="CR11" i="119"/>
  <c r="CR22" i="119"/>
  <c r="CR13" i="119"/>
  <c r="CR6" i="119"/>
  <c r="CR16" i="119"/>
  <c r="EP1" i="119"/>
  <c r="CR12" i="119"/>
  <c r="CR9" i="119"/>
  <c r="CR10" i="119"/>
  <c r="CR23" i="119"/>
  <c r="CR15" i="119"/>
  <c r="CR7" i="119"/>
  <c r="CR20" i="119"/>
  <c r="CR24" i="119"/>
  <c r="CR17" i="119"/>
  <c r="CR14" i="119"/>
  <c r="CR19" i="119"/>
  <c r="CR18" i="119"/>
  <c r="CR8" i="119"/>
  <c r="DO22" i="119"/>
  <c r="DO17" i="119"/>
  <c r="DO7" i="119"/>
  <c r="DO16" i="119"/>
  <c r="DO14" i="119"/>
  <c r="DO20" i="119"/>
  <c r="DO13" i="119"/>
  <c r="DO10" i="119"/>
  <c r="DO19" i="119"/>
  <c r="DO23" i="119"/>
  <c r="DO12" i="119"/>
  <c r="DO6" i="119"/>
  <c r="DO15" i="119"/>
  <c r="DO24" i="119"/>
  <c r="DO21" i="119"/>
  <c r="DO11" i="119"/>
  <c r="DO9" i="119"/>
  <c r="DO18" i="119"/>
  <c r="DO8" i="119"/>
  <c r="CT2" i="119"/>
  <c r="CS1" i="119"/>
  <c r="EP17" i="116"/>
  <c r="EP21" i="116"/>
  <c r="EP15" i="116"/>
  <c r="EP7" i="116"/>
  <c r="EP24" i="116"/>
  <c r="EP16" i="116"/>
  <c r="EP8" i="116"/>
  <c r="EP23" i="116"/>
  <c r="EP13" i="116"/>
  <c r="EP6" i="116"/>
  <c r="EP19" i="116"/>
  <c r="EP14" i="116"/>
  <c r="EP22" i="116"/>
  <c r="EP12" i="116"/>
  <c r="EP20" i="116"/>
  <c r="EP11" i="116"/>
  <c r="EP18" i="116"/>
  <c r="EP9" i="116"/>
  <c r="DP24" i="116"/>
  <c r="DP13" i="116"/>
  <c r="DP7" i="116"/>
  <c r="DP21" i="116"/>
  <c r="DP17" i="116"/>
  <c r="DP23" i="116"/>
  <c r="DP12" i="116"/>
  <c r="DP20" i="116"/>
  <c r="DP11" i="116"/>
  <c r="DP16" i="116"/>
  <c r="DP6" i="116"/>
  <c r="DP15" i="116"/>
  <c r="DP10" i="116"/>
  <c r="DP22" i="116"/>
  <c r="DP14" i="116"/>
  <c r="DP8" i="116"/>
  <c r="DP19" i="116"/>
  <c r="DP18" i="116"/>
  <c r="DP9" i="116"/>
  <c r="DR2" i="116"/>
  <c r="DQ1" i="116"/>
  <c r="CU2" i="116"/>
  <c r="CT1" i="116"/>
  <c r="CS22" i="116"/>
  <c r="CS11" i="116"/>
  <c r="EQ1" i="116"/>
  <c r="CS21" i="116"/>
  <c r="CS12" i="116"/>
  <c r="CS18" i="116"/>
  <c r="CS14" i="116"/>
  <c r="CS19" i="116"/>
  <c r="CS10" i="116"/>
  <c r="CS13" i="116"/>
  <c r="CS9" i="116"/>
  <c r="CS20" i="116"/>
  <c r="CS17" i="116"/>
  <c r="CS8" i="116"/>
  <c r="CS23" i="116"/>
  <c r="CS15" i="116"/>
  <c r="CS7" i="116"/>
  <c r="CS24" i="116"/>
  <c r="CS16" i="116"/>
  <c r="CS6" i="116"/>
  <c r="DP20" i="112"/>
  <c r="DP7" i="112"/>
  <c r="DP17" i="112"/>
  <c r="DP10" i="112"/>
  <c r="DP16" i="112"/>
  <c r="DP24" i="112"/>
  <c r="DP9" i="112"/>
  <c r="DP11" i="112"/>
  <c r="DP23" i="112"/>
  <c r="DP8" i="112"/>
  <c r="DP6" i="112"/>
  <c r="DP19" i="112"/>
  <c r="DP18" i="112"/>
  <c r="DP22" i="112"/>
  <c r="DP13" i="112"/>
  <c r="DP14" i="112"/>
  <c r="DP15" i="112"/>
  <c r="DP21" i="112"/>
  <c r="DP12" i="112"/>
  <c r="DP21" i="113"/>
  <c r="DP9" i="113"/>
  <c r="DP20" i="113"/>
  <c r="DP8" i="113"/>
  <c r="DP23" i="113"/>
  <c r="DP17" i="113"/>
  <c r="DP7" i="113"/>
  <c r="DP19" i="113"/>
  <c r="DP13" i="113"/>
  <c r="DP15" i="113"/>
  <c r="DP11" i="113"/>
  <c r="DP12" i="113"/>
  <c r="DP24" i="113"/>
  <c r="DP16" i="113"/>
  <c r="DP6" i="113"/>
  <c r="DP14" i="113"/>
  <c r="DP22" i="113"/>
  <c r="DP10" i="113"/>
  <c r="DP18" i="113"/>
  <c r="DQ1" i="113"/>
  <c r="DR2" i="113"/>
  <c r="CS17" i="112"/>
  <c r="CS18" i="112"/>
  <c r="CS23" i="112"/>
  <c r="CS15" i="112"/>
  <c r="CS12" i="112"/>
  <c r="CS7" i="112"/>
  <c r="CS22" i="112"/>
  <c r="CS14" i="112"/>
  <c r="CS9" i="112"/>
  <c r="CS21" i="112"/>
  <c r="CS16" i="112"/>
  <c r="EQ1" i="112"/>
  <c r="CS10" i="112"/>
  <c r="CS20" i="112"/>
  <c r="CS13" i="112"/>
  <c r="CS8" i="112"/>
  <c r="CS24" i="112"/>
  <c r="CS19" i="112"/>
  <c r="CS6" i="112"/>
  <c r="CS11" i="112"/>
  <c r="EP24" i="113"/>
  <c r="EP17" i="113"/>
  <c r="EP11" i="113"/>
  <c r="EP23" i="113"/>
  <c r="EP13" i="113"/>
  <c r="EP9" i="113"/>
  <c r="EP22" i="113"/>
  <c r="EP7" i="113"/>
  <c r="EP12" i="113"/>
  <c r="EP6" i="113"/>
  <c r="EP21" i="113"/>
  <c r="EP20" i="113"/>
  <c r="EP18" i="113"/>
  <c r="EP19" i="113"/>
  <c r="EP14" i="113"/>
  <c r="EP15" i="113"/>
  <c r="EP8" i="113"/>
  <c r="EP16" i="113"/>
  <c r="CT1" i="112"/>
  <c r="CU2" i="112"/>
  <c r="CU2" i="113"/>
  <c r="CT1" i="113"/>
  <c r="CS17" i="113"/>
  <c r="CS15" i="113"/>
  <c r="CS24" i="113"/>
  <c r="CS16" i="113"/>
  <c r="CS11" i="113"/>
  <c r="CS9" i="113"/>
  <c r="CS23" i="113"/>
  <c r="CS14" i="113"/>
  <c r="CS8" i="113"/>
  <c r="CS22" i="113"/>
  <c r="CS12" i="113"/>
  <c r="CS13" i="113"/>
  <c r="CS21" i="113"/>
  <c r="CS7" i="113"/>
  <c r="CS10" i="113"/>
  <c r="CS20" i="113"/>
  <c r="CS6" i="113"/>
  <c r="CS19" i="113"/>
  <c r="CS18" i="113"/>
  <c r="EQ1" i="113"/>
  <c r="EP22" i="112"/>
  <c r="EP8" i="112"/>
  <c r="EP12" i="112"/>
  <c r="EP20" i="112"/>
  <c r="EP21" i="112"/>
  <c r="EP7" i="112"/>
  <c r="EP9" i="112"/>
  <c r="EP24" i="112"/>
  <c r="EP17" i="112"/>
  <c r="EP19" i="112"/>
  <c r="EP6" i="112"/>
  <c r="EP15" i="112"/>
  <c r="EP13" i="112"/>
  <c r="EP18" i="112"/>
  <c r="EP16" i="112"/>
  <c r="EP23" i="112"/>
  <c r="EP11" i="112"/>
  <c r="EP14" i="112"/>
  <c r="DQ1" i="112"/>
  <c r="DR2" i="112"/>
  <c r="CD11" i="94"/>
  <c r="W11" i="94" s="1"/>
  <c r="X11" i="94" s="1"/>
  <c r="CD17" i="94"/>
  <c r="CR17" i="108"/>
  <c r="EP1" i="108"/>
  <c r="CR23" i="108"/>
  <c r="CR16" i="108"/>
  <c r="CR20" i="108"/>
  <c r="CR15" i="108"/>
  <c r="CR14" i="108"/>
  <c r="CR13" i="108"/>
  <c r="CR11" i="108"/>
  <c r="CR22" i="108"/>
  <c r="CR10" i="108"/>
  <c r="CR8" i="108"/>
  <c r="CR19" i="108"/>
  <c r="CR18" i="108"/>
  <c r="CR6" i="108"/>
  <c r="CR24" i="108"/>
  <c r="CR12" i="108"/>
  <c r="CR7" i="108"/>
  <c r="CR21" i="108"/>
  <c r="CR9" i="108"/>
  <c r="EO15" i="108"/>
  <c r="EO14" i="108"/>
  <c r="EO8" i="108"/>
  <c r="EO13" i="108"/>
  <c r="EO6" i="108"/>
  <c r="EO24" i="108"/>
  <c r="EO12" i="108"/>
  <c r="EO23" i="108"/>
  <c r="EO11" i="108"/>
  <c r="EO9" i="108"/>
  <c r="EO20" i="108"/>
  <c r="EO17" i="108"/>
  <c r="EO22" i="108"/>
  <c r="EO21" i="108"/>
  <c r="EO18" i="108"/>
  <c r="EO16" i="108"/>
  <c r="EO19" i="108"/>
  <c r="EO7" i="108"/>
  <c r="CT2" i="108"/>
  <c r="CS1" i="108"/>
  <c r="EP19" i="109"/>
  <c r="EP7" i="109"/>
  <c r="EP20" i="109"/>
  <c r="EP18" i="109"/>
  <c r="EP6" i="109"/>
  <c r="EP12" i="109"/>
  <c r="EP21" i="109"/>
  <c r="EP8" i="109"/>
  <c r="EP17" i="109"/>
  <c r="EP9" i="109"/>
  <c r="EP16" i="109"/>
  <c r="EP15" i="109"/>
  <c r="EP24" i="109"/>
  <c r="EP11" i="109"/>
  <c r="EP22" i="109"/>
  <c r="EP14" i="109"/>
  <c r="EP13" i="109"/>
  <c r="EP23" i="109"/>
  <c r="CD22" i="94"/>
  <c r="W22" i="94" s="1"/>
  <c r="X22" i="94" s="1"/>
  <c r="DQ2" i="108"/>
  <c r="DP1" i="108"/>
  <c r="CS21" i="109"/>
  <c r="CS9" i="109"/>
  <c r="CS15" i="109"/>
  <c r="CS23" i="109"/>
  <c r="CS20" i="109"/>
  <c r="CS8" i="109"/>
  <c r="CS12" i="109"/>
  <c r="CS19" i="109"/>
  <c r="CS7" i="109"/>
  <c r="CS17" i="109"/>
  <c r="CS14" i="109"/>
  <c r="CS24" i="109"/>
  <c r="CS11" i="109"/>
  <c r="CS10" i="109"/>
  <c r="CS18" i="109"/>
  <c r="CS6" i="109"/>
  <c r="EQ1" i="109"/>
  <c r="CS13" i="109"/>
  <c r="CS22" i="109"/>
  <c r="CS16" i="109"/>
  <c r="DO20" i="108"/>
  <c r="DO8" i="108"/>
  <c r="DO19" i="108"/>
  <c r="DO7" i="108"/>
  <c r="DO18" i="108"/>
  <c r="DO6" i="108"/>
  <c r="DO10" i="108"/>
  <c r="DO17" i="108"/>
  <c r="DO16" i="108"/>
  <c r="DO13" i="108"/>
  <c r="DO23" i="108"/>
  <c r="DO22" i="108"/>
  <c r="DO21" i="108"/>
  <c r="DO9" i="108"/>
  <c r="DO15" i="108"/>
  <c r="DO14" i="108"/>
  <c r="DO24" i="108"/>
  <c r="DO12" i="108"/>
  <c r="DO11" i="108"/>
  <c r="CT1" i="109"/>
  <c r="CU2" i="109"/>
  <c r="DP24" i="109"/>
  <c r="DP12" i="109"/>
  <c r="DP20" i="109"/>
  <c r="DP17" i="109"/>
  <c r="DP15" i="109"/>
  <c r="DP23" i="109"/>
  <c r="DP11" i="109"/>
  <c r="DP8" i="109"/>
  <c r="DP18" i="109"/>
  <c r="DP22" i="109"/>
  <c r="DP10" i="109"/>
  <c r="DP6" i="109"/>
  <c r="DP16" i="109"/>
  <c r="DP21" i="109"/>
  <c r="DP9" i="109"/>
  <c r="DP14" i="109"/>
  <c r="DP19" i="109"/>
  <c r="DP7" i="109"/>
  <c r="DP13" i="109"/>
  <c r="DQ1" i="109"/>
  <c r="DR2" i="109"/>
  <c r="CR21" i="106"/>
  <c r="CR13" i="106"/>
  <c r="EP1" i="106"/>
  <c r="CR20" i="106"/>
  <c r="CR12" i="106"/>
  <c r="CR14" i="106"/>
  <c r="CR19" i="106"/>
  <c r="CR11" i="106"/>
  <c r="CR18" i="106"/>
  <c r="CR10" i="106"/>
  <c r="CR6" i="106"/>
  <c r="CR17" i="106"/>
  <c r="CR9" i="106"/>
  <c r="CR24" i="106"/>
  <c r="CR16" i="106"/>
  <c r="CR8" i="106"/>
  <c r="CR23" i="106"/>
  <c r="CR15" i="106"/>
  <c r="CR7" i="106"/>
  <c r="CR22" i="106"/>
  <c r="CT2" i="106"/>
  <c r="CS1" i="106"/>
  <c r="DO24" i="106"/>
  <c r="DO16" i="106"/>
  <c r="DO8" i="106"/>
  <c r="DO9" i="106"/>
  <c r="DO23" i="106"/>
  <c r="DO15" i="106"/>
  <c r="DO7" i="106"/>
  <c r="DO22" i="106"/>
  <c r="DO14" i="106"/>
  <c r="DO6" i="106"/>
  <c r="DO21" i="106"/>
  <c r="DO13" i="106"/>
  <c r="DO20" i="106"/>
  <c r="DO12" i="106"/>
  <c r="DO17" i="106"/>
  <c r="DO19" i="106"/>
  <c r="DO11" i="106"/>
  <c r="DO18" i="106"/>
  <c r="DO10" i="106"/>
  <c r="DQ2" i="106"/>
  <c r="DP1" i="106"/>
  <c r="EO19" i="106"/>
  <c r="EO11" i="106"/>
  <c r="EO18" i="106"/>
  <c r="EO17" i="106"/>
  <c r="EO9" i="106"/>
  <c r="EO20" i="106"/>
  <c r="EO24" i="106"/>
  <c r="EO16" i="106"/>
  <c r="EO8" i="106"/>
  <c r="EO23" i="106"/>
  <c r="EO15" i="106"/>
  <c r="EO7" i="106"/>
  <c r="EO22" i="106"/>
  <c r="EO14" i="106"/>
  <c r="EO6" i="106"/>
  <c r="EO12" i="106"/>
  <c r="EO21" i="106"/>
  <c r="EO13" i="106"/>
  <c r="CT2" i="105"/>
  <c r="CS1" i="105"/>
  <c r="BQ13" i="88"/>
  <c r="BQ27" i="88" s="1"/>
  <c r="BR13" i="105"/>
  <c r="BR27" i="105" s="1"/>
  <c r="DO24" i="105"/>
  <c r="DO12" i="105"/>
  <c r="DO22" i="105"/>
  <c r="DO10" i="105"/>
  <c r="DO14" i="105"/>
  <c r="DO13" i="105"/>
  <c r="DO21" i="105"/>
  <c r="DO9" i="105"/>
  <c r="DO19" i="105"/>
  <c r="DO6" i="105"/>
  <c r="DO17" i="105"/>
  <c r="DO11" i="105"/>
  <c r="DO20" i="105"/>
  <c r="DO8" i="105"/>
  <c r="DO7" i="105"/>
  <c r="DO18" i="105"/>
  <c r="DO16" i="105"/>
  <c r="DO15" i="105"/>
  <c r="DO23" i="105"/>
  <c r="CR21" i="105"/>
  <c r="CR9" i="105"/>
  <c r="CR19" i="105"/>
  <c r="CR7" i="105"/>
  <c r="CR15" i="105"/>
  <c r="CR14" i="105"/>
  <c r="CR24" i="105"/>
  <c r="CR10" i="105"/>
  <c r="CR20" i="105"/>
  <c r="CR18" i="105"/>
  <c r="CR6" i="105"/>
  <c r="CR13" i="105"/>
  <c r="CR12" i="105"/>
  <c r="CR11" i="105"/>
  <c r="CR17" i="105"/>
  <c r="EP1" i="105"/>
  <c r="CR16" i="105"/>
  <c r="CR23" i="105"/>
  <c r="CR22" i="105"/>
  <c r="CR8" i="105"/>
  <c r="DP1" i="105"/>
  <c r="DQ2" i="105"/>
  <c r="EO19" i="105"/>
  <c r="EO7" i="105"/>
  <c r="EO17" i="105"/>
  <c r="EO12" i="105"/>
  <c r="EO11" i="105"/>
  <c r="EO8" i="105"/>
  <c r="EO18" i="105"/>
  <c r="EO16" i="105"/>
  <c r="EO13" i="105"/>
  <c r="EO24" i="105"/>
  <c r="EO22" i="105"/>
  <c r="EO21" i="105"/>
  <c r="EO15" i="105"/>
  <c r="EO14" i="105"/>
  <c r="EO23" i="105"/>
  <c r="EO9" i="105"/>
  <c r="EO20" i="105"/>
  <c r="EO6" i="105"/>
  <c r="O13" i="87"/>
  <c r="O26" i="87" s="1"/>
  <c r="CD12" i="94"/>
  <c r="W12" i="94" s="1"/>
  <c r="X12" i="94" s="1"/>
  <c r="CD10" i="94"/>
  <c r="W10" i="94" s="1"/>
  <c r="X10" i="94" s="1"/>
  <c r="BU10" i="86"/>
  <c r="Q10" i="86" s="1"/>
  <c r="R10" i="86" s="1"/>
  <c r="BU10" i="98"/>
  <c r="BU27" i="98" s="1"/>
  <c r="BU13" i="87"/>
  <c r="Q13" i="87" s="1"/>
  <c r="R13" i="87" s="1"/>
  <c r="BU13" i="100"/>
  <c r="ER10" i="98"/>
  <c r="ES10" i="100"/>
  <c r="CG10" i="100" s="1"/>
  <c r="DZ24" i="100"/>
  <c r="DZ23" i="100"/>
  <c r="DZ22" i="100"/>
  <c r="DZ21" i="100"/>
  <c r="DZ20" i="100"/>
  <c r="DZ19" i="100"/>
  <c r="DZ18" i="100"/>
  <c r="DZ17" i="100"/>
  <c r="DZ16" i="100"/>
  <c r="DZ15" i="100"/>
  <c r="DZ14" i="100"/>
  <c r="DZ13" i="100"/>
  <c r="DZ12" i="100"/>
  <c r="DZ11" i="100"/>
  <c r="DZ10" i="100"/>
  <c r="DZ9" i="100"/>
  <c r="DZ8" i="100"/>
  <c r="DZ7" i="100"/>
  <c r="DZ6" i="100"/>
  <c r="EB2" i="100"/>
  <c r="EA1" i="100"/>
  <c r="DC24" i="100"/>
  <c r="DC23" i="100"/>
  <c r="DC22" i="100"/>
  <c r="DC21" i="100"/>
  <c r="DC20" i="100"/>
  <c r="DC19" i="100"/>
  <c r="DC18" i="100"/>
  <c r="DC17" i="100"/>
  <c r="DC16" i="100"/>
  <c r="DC15" i="100"/>
  <c r="DC14" i="100"/>
  <c r="DC13" i="100"/>
  <c r="DC12" i="100"/>
  <c r="DC11" i="100"/>
  <c r="DC10" i="100"/>
  <c r="DC9" i="100"/>
  <c r="DC8" i="100"/>
  <c r="DC7" i="100"/>
  <c r="DC6" i="100"/>
  <c r="FA1" i="100"/>
  <c r="DE2" i="100"/>
  <c r="DD1" i="100"/>
  <c r="EZ24" i="100"/>
  <c r="EZ23" i="100"/>
  <c r="EZ22" i="100"/>
  <c r="EZ21" i="100"/>
  <c r="EZ20" i="100"/>
  <c r="EZ19" i="100"/>
  <c r="EZ18" i="100"/>
  <c r="EZ17" i="100"/>
  <c r="EZ16" i="100"/>
  <c r="EZ15" i="100"/>
  <c r="EZ14" i="100"/>
  <c r="EZ13" i="100"/>
  <c r="EZ12" i="100"/>
  <c r="EZ11" i="100"/>
  <c r="EZ10" i="100"/>
  <c r="EZ9" i="100"/>
  <c r="EZ8" i="100"/>
  <c r="EZ7" i="100"/>
  <c r="EZ6" i="100"/>
  <c r="DD24" i="98"/>
  <c r="DD23" i="98"/>
  <c r="DD22" i="98"/>
  <c r="DD21" i="98"/>
  <c r="DD20" i="98"/>
  <c r="DD19" i="98"/>
  <c r="DD18" i="98"/>
  <c r="DD17" i="98"/>
  <c r="DD16" i="98"/>
  <c r="DD15" i="98"/>
  <c r="DD14" i="98"/>
  <c r="DD13" i="98"/>
  <c r="DD12" i="98"/>
  <c r="DD11" i="98"/>
  <c r="DD10" i="98"/>
  <c r="DD9" i="98"/>
  <c r="DD8" i="98"/>
  <c r="DD7" i="98"/>
  <c r="DD6" i="98"/>
  <c r="FB1" i="98"/>
  <c r="DF2" i="98"/>
  <c r="DF1" i="98" s="1"/>
  <c r="DE1" i="98"/>
  <c r="FA24" i="98"/>
  <c r="FA23" i="98"/>
  <c r="FA22" i="98"/>
  <c r="FA21" i="98"/>
  <c r="FA20" i="98"/>
  <c r="FA19" i="98"/>
  <c r="FA18" i="98"/>
  <c r="FA17" i="98"/>
  <c r="FA16" i="98"/>
  <c r="FA15" i="98"/>
  <c r="FA14" i="98"/>
  <c r="FA13" i="98"/>
  <c r="FA12" i="98"/>
  <c r="FA11" i="98"/>
  <c r="FA10" i="98"/>
  <c r="FA9" i="98"/>
  <c r="FA8" i="98"/>
  <c r="FA7" i="98"/>
  <c r="FA6" i="98"/>
  <c r="EA24" i="98"/>
  <c r="EA23" i="98"/>
  <c r="EA22" i="98"/>
  <c r="EA21" i="98"/>
  <c r="EA20" i="98"/>
  <c r="EA19" i="98"/>
  <c r="EA18" i="98"/>
  <c r="EA17" i="98"/>
  <c r="EA16" i="98"/>
  <c r="EA15" i="98"/>
  <c r="EA14" i="98"/>
  <c r="EA13" i="98"/>
  <c r="EA12" i="98"/>
  <c r="EA11" i="98"/>
  <c r="EA10" i="98"/>
  <c r="EA9" i="98"/>
  <c r="EA8" i="98"/>
  <c r="EA7" i="98"/>
  <c r="EA6" i="98"/>
  <c r="EC2" i="98"/>
  <c r="EB1" i="98"/>
  <c r="EO10" i="95"/>
  <c r="EP10" i="96"/>
  <c r="EQ10" i="97"/>
  <c r="EB24" i="97"/>
  <c r="EB23" i="97"/>
  <c r="EB22" i="97"/>
  <c r="EB21" i="97"/>
  <c r="EB20" i="97"/>
  <c r="EB19" i="97"/>
  <c r="EB18" i="97"/>
  <c r="EB17" i="97"/>
  <c r="EB16" i="97"/>
  <c r="EB15" i="97"/>
  <c r="EB14" i="97"/>
  <c r="EB13" i="97"/>
  <c r="EB12" i="97"/>
  <c r="EB11" i="97"/>
  <c r="EB10" i="97"/>
  <c r="EB9" i="97"/>
  <c r="EB8" i="97"/>
  <c r="EB7" i="97"/>
  <c r="EB6" i="97"/>
  <c r="ED2" i="97"/>
  <c r="EC1" i="97"/>
  <c r="DE24" i="97"/>
  <c r="DE23" i="97"/>
  <c r="DE22" i="97"/>
  <c r="DE21" i="97"/>
  <c r="DE20" i="97"/>
  <c r="DE19" i="97"/>
  <c r="DE18" i="97"/>
  <c r="DE17" i="97"/>
  <c r="DE16" i="97"/>
  <c r="DE15" i="97"/>
  <c r="DE14" i="97"/>
  <c r="DE13" i="97"/>
  <c r="DE12" i="97"/>
  <c r="DE11" i="97"/>
  <c r="DE10" i="97"/>
  <c r="DE9" i="97"/>
  <c r="DE8" i="97"/>
  <c r="DE7" i="97"/>
  <c r="DE6" i="97"/>
  <c r="FC1" i="97"/>
  <c r="DF24" i="97"/>
  <c r="DF23" i="97"/>
  <c r="DF22" i="97"/>
  <c r="DF21" i="97"/>
  <c r="DF20" i="97"/>
  <c r="DF19" i="97"/>
  <c r="DF18" i="97"/>
  <c r="DF17" i="97"/>
  <c r="DF16" i="97"/>
  <c r="DF15" i="97"/>
  <c r="DF14" i="97"/>
  <c r="DF13" i="97"/>
  <c r="DF12" i="97"/>
  <c r="DF11" i="97"/>
  <c r="DF10" i="97"/>
  <c r="DF9" i="97"/>
  <c r="DF8" i="97"/>
  <c r="DF7" i="97"/>
  <c r="DF6" i="97"/>
  <c r="FD1" i="97"/>
  <c r="U3" i="97"/>
  <c r="FB24" i="97"/>
  <c r="FB23" i="97"/>
  <c r="FB22" i="97"/>
  <c r="FB21" i="97"/>
  <c r="FB20" i="97"/>
  <c r="FB19" i="97"/>
  <c r="FB18" i="97"/>
  <c r="FB17" i="97"/>
  <c r="FB16" i="97"/>
  <c r="FB15" i="97"/>
  <c r="FB14" i="97"/>
  <c r="FB13" i="97"/>
  <c r="FB12" i="97"/>
  <c r="FB11" i="97"/>
  <c r="FB10" i="97"/>
  <c r="FB9" i="97"/>
  <c r="FB8" i="97"/>
  <c r="FB7" i="97"/>
  <c r="FB6" i="97"/>
  <c r="ED24" i="95"/>
  <c r="ED23" i="95"/>
  <c r="ED22" i="95"/>
  <c r="ED21" i="95"/>
  <c r="ED20" i="95"/>
  <c r="ED19" i="95"/>
  <c r="ED18" i="95"/>
  <c r="ED17" i="95"/>
  <c r="ED16" i="95"/>
  <c r="ED15" i="95"/>
  <c r="ED14" i="95"/>
  <c r="ED13" i="95"/>
  <c r="ED12" i="95"/>
  <c r="ED11" i="95"/>
  <c r="ED10" i="95"/>
  <c r="ED9" i="95"/>
  <c r="ED8" i="95"/>
  <c r="ED7" i="95"/>
  <c r="ED6" i="95"/>
  <c r="EE24" i="95"/>
  <c r="EE23" i="95"/>
  <c r="EE22" i="95"/>
  <c r="EE21" i="95"/>
  <c r="EE20" i="95"/>
  <c r="EE19" i="95"/>
  <c r="EE18" i="95"/>
  <c r="EE17" i="95"/>
  <c r="EE16" i="95"/>
  <c r="EE15" i="95"/>
  <c r="EE14" i="95"/>
  <c r="EE13" i="95"/>
  <c r="EE12" i="95"/>
  <c r="EE11" i="95"/>
  <c r="EE10" i="95"/>
  <c r="EE9" i="95"/>
  <c r="EE8" i="95"/>
  <c r="EE7" i="95"/>
  <c r="EE6" i="95"/>
  <c r="U6" i="95"/>
  <c r="BY27" i="95"/>
  <c r="BX28" i="95" s="1"/>
  <c r="FD24" i="96"/>
  <c r="FD23" i="96"/>
  <c r="FD22" i="96"/>
  <c r="FD21" i="96"/>
  <c r="FD20" i="96"/>
  <c r="FD19" i="96"/>
  <c r="FD18" i="96"/>
  <c r="FD17" i="96"/>
  <c r="FD16" i="96"/>
  <c r="FD15" i="96"/>
  <c r="FD14" i="96"/>
  <c r="FD13" i="96"/>
  <c r="FD12" i="96"/>
  <c r="FD11" i="96"/>
  <c r="FD10" i="96"/>
  <c r="FD9" i="96"/>
  <c r="FD8" i="96"/>
  <c r="FD7" i="96"/>
  <c r="FD6" i="96"/>
  <c r="FC24" i="96"/>
  <c r="FC23" i="96"/>
  <c r="FC22" i="96"/>
  <c r="FC21" i="96"/>
  <c r="FC20" i="96"/>
  <c r="FC19" i="96"/>
  <c r="FC18" i="96"/>
  <c r="FC17" i="96"/>
  <c r="FC16" i="96"/>
  <c r="FC15" i="96"/>
  <c r="FC14" i="96"/>
  <c r="FC13" i="96"/>
  <c r="FC12" i="96"/>
  <c r="FC11" i="96"/>
  <c r="FC10" i="96"/>
  <c r="FC9" i="96"/>
  <c r="FC8" i="96"/>
  <c r="FC7" i="96"/>
  <c r="FC6" i="96"/>
  <c r="BY6" i="96"/>
  <c r="BY7" i="96"/>
  <c r="U7" i="96" s="1"/>
  <c r="V7" i="96" s="1"/>
  <c r="BY8" i="96"/>
  <c r="U8" i="96" s="1"/>
  <c r="V8" i="96" s="1"/>
  <c r="BY9" i="96"/>
  <c r="U9" i="96" s="1"/>
  <c r="V9" i="96" s="1"/>
  <c r="BY10" i="96"/>
  <c r="U10" i="96" s="1"/>
  <c r="V10" i="96" s="1"/>
  <c r="BY11" i="96"/>
  <c r="U11" i="96" s="1"/>
  <c r="V11" i="96" s="1"/>
  <c r="BY12" i="96"/>
  <c r="U12" i="96" s="1"/>
  <c r="V12" i="96" s="1"/>
  <c r="BY13" i="96"/>
  <c r="U13" i="96" s="1"/>
  <c r="V13" i="96" s="1"/>
  <c r="BY14" i="96"/>
  <c r="U14" i="96" s="1"/>
  <c r="V14" i="96" s="1"/>
  <c r="BY15" i="96"/>
  <c r="U15" i="96" s="1"/>
  <c r="V15" i="96" s="1"/>
  <c r="BY16" i="96"/>
  <c r="U16" i="96" s="1"/>
  <c r="V16" i="96" s="1"/>
  <c r="BY17" i="96"/>
  <c r="U17" i="96" s="1"/>
  <c r="V17" i="96" s="1"/>
  <c r="BY18" i="96"/>
  <c r="U18" i="96" s="1"/>
  <c r="V18" i="96" s="1"/>
  <c r="BY19" i="96"/>
  <c r="U19" i="96" s="1"/>
  <c r="V19" i="96" s="1"/>
  <c r="BY20" i="96"/>
  <c r="U20" i="96" s="1"/>
  <c r="V20" i="96" s="1"/>
  <c r="BY21" i="96"/>
  <c r="U21" i="96" s="1"/>
  <c r="V21" i="96" s="1"/>
  <c r="BY22" i="96"/>
  <c r="U22" i="96" s="1"/>
  <c r="V22" i="96" s="1"/>
  <c r="BY23" i="96"/>
  <c r="U23" i="96" s="1"/>
  <c r="V23" i="96" s="1"/>
  <c r="BY24" i="96"/>
  <c r="U24" i="96" s="1"/>
  <c r="V24" i="96" s="1"/>
  <c r="EC24" i="96"/>
  <c r="EC23" i="96"/>
  <c r="EC22" i="96"/>
  <c r="EC21" i="96"/>
  <c r="EC20" i="96"/>
  <c r="EC19" i="96"/>
  <c r="EC18" i="96"/>
  <c r="EC17" i="96"/>
  <c r="EC16" i="96"/>
  <c r="EC15" i="96"/>
  <c r="EC14" i="96"/>
  <c r="EC13" i="96"/>
  <c r="EC12" i="96"/>
  <c r="EC11" i="96"/>
  <c r="EC10" i="96"/>
  <c r="EC9" i="96"/>
  <c r="EC8" i="96"/>
  <c r="EC7" i="96"/>
  <c r="EC6" i="96"/>
  <c r="EE2" i="96"/>
  <c r="EE1" i="96" s="1"/>
  <c r="ED1" i="96"/>
  <c r="EM10" i="92"/>
  <c r="EN10" i="93"/>
  <c r="EO10" i="94"/>
  <c r="CD6" i="94"/>
  <c r="CD8" i="94"/>
  <c r="W8" i="94" s="1"/>
  <c r="X8" i="94" s="1"/>
  <c r="CD9" i="94"/>
  <c r="W9" i="94" s="1"/>
  <c r="X9" i="94" s="1"/>
  <c r="CD24" i="94"/>
  <c r="W24" i="94" s="1"/>
  <c r="X24" i="94" s="1"/>
  <c r="CD21" i="94"/>
  <c r="W21" i="94" s="1"/>
  <c r="X21" i="94" s="1"/>
  <c r="CD16" i="94"/>
  <c r="CD19" i="94"/>
  <c r="W19" i="94" s="1"/>
  <c r="X19" i="94" s="1"/>
  <c r="CD20" i="94"/>
  <c r="W20" i="94" s="1"/>
  <c r="X20" i="94" s="1"/>
  <c r="CD7" i="94"/>
  <c r="W7" i="94" s="1"/>
  <c r="X7" i="94" s="1"/>
  <c r="CD18" i="94"/>
  <c r="W18" i="94" s="1"/>
  <c r="X18" i="94" s="1"/>
  <c r="CD14" i="94"/>
  <c r="W14" i="94" s="1"/>
  <c r="X14" i="94" s="1"/>
  <c r="CD15" i="94"/>
  <c r="W15" i="94" s="1"/>
  <c r="X15" i="94" s="1"/>
  <c r="CD23" i="94"/>
  <c r="W23" i="94" s="1"/>
  <c r="X23" i="94" s="1"/>
  <c r="CD27" i="93"/>
  <c r="CC28" i="93" s="1"/>
  <c r="W6" i="93"/>
  <c r="X6" i="93" s="1"/>
  <c r="DO23" i="92"/>
  <c r="DO20" i="92"/>
  <c r="DO10" i="92"/>
  <c r="DO9" i="92"/>
  <c r="DO22" i="92"/>
  <c r="DO19" i="92"/>
  <c r="DO8" i="92"/>
  <c r="DO13" i="92"/>
  <c r="DO17" i="92"/>
  <c r="DO16" i="92"/>
  <c r="DO12" i="92"/>
  <c r="DO15" i="92"/>
  <c r="DO7" i="92"/>
  <c r="DO11" i="92"/>
  <c r="DO6" i="92"/>
  <c r="DO14" i="92"/>
  <c r="DO21" i="92"/>
  <c r="DO24" i="92"/>
  <c r="DO18" i="92"/>
  <c r="CS1" i="92"/>
  <c r="CT2" i="92"/>
  <c r="DP1" i="92"/>
  <c r="DQ2" i="92"/>
  <c r="CR22" i="92"/>
  <c r="CR16" i="92"/>
  <c r="CR8" i="92"/>
  <c r="CR21" i="92"/>
  <c r="CR18" i="92"/>
  <c r="CR11" i="92"/>
  <c r="CR7" i="92"/>
  <c r="CR9" i="92"/>
  <c r="CR17" i="92"/>
  <c r="CR6" i="92"/>
  <c r="CR10" i="92"/>
  <c r="CR13" i="92"/>
  <c r="CR24" i="92"/>
  <c r="CR19" i="92"/>
  <c r="CR14" i="92"/>
  <c r="CR20" i="92"/>
  <c r="CR12" i="92"/>
  <c r="EP1" i="92"/>
  <c r="CR15" i="92"/>
  <c r="CR23" i="92"/>
  <c r="EO18" i="92"/>
  <c r="EO16" i="92"/>
  <c r="EO11" i="92"/>
  <c r="EO13" i="92"/>
  <c r="EO20" i="92"/>
  <c r="EO19" i="92"/>
  <c r="EO24" i="92"/>
  <c r="EO21" i="92"/>
  <c r="EO15" i="92"/>
  <c r="EO14" i="92"/>
  <c r="EO10" i="92"/>
  <c r="EO12" i="92"/>
  <c r="EO17" i="92"/>
  <c r="EO9" i="92"/>
  <c r="EO7" i="92"/>
  <c r="EO23" i="92"/>
  <c r="EO22" i="92"/>
  <c r="EO8" i="92"/>
  <c r="EO6" i="92"/>
  <c r="CS1" i="90"/>
  <c r="CT2" i="90"/>
  <c r="CR7" i="90"/>
  <c r="CR6" i="90"/>
  <c r="CR24" i="90"/>
  <c r="CR14" i="90"/>
  <c r="CR22" i="90"/>
  <c r="EP1" i="90"/>
  <c r="CR23" i="90"/>
  <c r="CR17" i="90"/>
  <c r="CR19" i="90"/>
  <c r="CR21" i="90"/>
  <c r="CR11" i="90"/>
  <c r="CR9" i="90"/>
  <c r="CR18" i="90"/>
  <c r="CR15" i="90"/>
  <c r="CR16" i="90"/>
  <c r="CR8" i="90"/>
  <c r="CR20" i="90"/>
  <c r="CR13" i="90"/>
  <c r="CR10" i="90"/>
  <c r="CR12" i="90"/>
  <c r="EO12" i="90"/>
  <c r="EO11" i="90"/>
  <c r="EO10" i="90"/>
  <c r="EO20" i="90"/>
  <c r="EO24" i="90"/>
  <c r="EO19" i="90"/>
  <c r="EO6" i="90"/>
  <c r="EO17" i="90"/>
  <c r="EO13" i="90"/>
  <c r="EO9" i="90"/>
  <c r="EO22" i="90"/>
  <c r="EO16" i="90"/>
  <c r="EO7" i="90"/>
  <c r="EO23" i="90"/>
  <c r="EO21" i="90"/>
  <c r="EO18" i="90"/>
  <c r="EO8" i="90"/>
  <c r="EO14" i="90"/>
  <c r="EO15" i="90"/>
  <c r="EJ10" i="89"/>
  <c r="EK10" i="90"/>
  <c r="EL10" i="91"/>
  <c r="CR14" i="91"/>
  <c r="CR13" i="91"/>
  <c r="CR11" i="91"/>
  <c r="CR6" i="91"/>
  <c r="CR24" i="91"/>
  <c r="CR7" i="91"/>
  <c r="EP1" i="91"/>
  <c r="CR15" i="91"/>
  <c r="CR20" i="91"/>
  <c r="CR22" i="91"/>
  <c r="CR10" i="91"/>
  <c r="CR19" i="91"/>
  <c r="CR16" i="91"/>
  <c r="CR21" i="91"/>
  <c r="CR17" i="91"/>
  <c r="CR23" i="91"/>
  <c r="CR18" i="91"/>
  <c r="CR8" i="91"/>
  <c r="CR12" i="91"/>
  <c r="CR9" i="91"/>
  <c r="EO22" i="91"/>
  <c r="EO16" i="91"/>
  <c r="EO21" i="91"/>
  <c r="EO8" i="91"/>
  <c r="EO17" i="91"/>
  <c r="EO20" i="91"/>
  <c r="EO13" i="91"/>
  <c r="EO7" i="91"/>
  <c r="EO23" i="91"/>
  <c r="EO15" i="91"/>
  <c r="EO19" i="91"/>
  <c r="EO11" i="91"/>
  <c r="EO24" i="91"/>
  <c r="EO6" i="91"/>
  <c r="EO10" i="91"/>
  <c r="EO14" i="91"/>
  <c r="EO18" i="91"/>
  <c r="EO9" i="91"/>
  <c r="EO12" i="91"/>
  <c r="CT2" i="91"/>
  <c r="CS1" i="91"/>
  <c r="DO11" i="91"/>
  <c r="DO7" i="91"/>
  <c r="DO15" i="91"/>
  <c r="DO14" i="91"/>
  <c r="DO21" i="91"/>
  <c r="DO23" i="91"/>
  <c r="DO17" i="91"/>
  <c r="DO18" i="91"/>
  <c r="DO6" i="91"/>
  <c r="DO12" i="91"/>
  <c r="DO20" i="91"/>
  <c r="DO10" i="91"/>
  <c r="DO16" i="91"/>
  <c r="DO22" i="91"/>
  <c r="DO13" i="91"/>
  <c r="DO24" i="91"/>
  <c r="DO8" i="91"/>
  <c r="DO9" i="91"/>
  <c r="DO19" i="91"/>
  <c r="DQ2" i="90"/>
  <c r="DP1" i="90"/>
  <c r="DO6" i="90"/>
  <c r="DO15" i="90"/>
  <c r="DO16" i="90"/>
  <c r="DO24" i="90"/>
  <c r="DO14" i="90"/>
  <c r="DO21" i="90"/>
  <c r="DO8" i="90"/>
  <c r="DO17" i="90"/>
  <c r="DO19" i="90"/>
  <c r="DO22" i="90"/>
  <c r="DO7" i="90"/>
  <c r="DO18" i="90"/>
  <c r="DO11" i="90"/>
  <c r="DO9" i="90"/>
  <c r="DO23" i="90"/>
  <c r="DO12" i="90"/>
  <c r="DO13" i="90"/>
  <c r="DO10" i="90"/>
  <c r="DO20" i="90"/>
  <c r="DP1" i="91"/>
  <c r="DQ2" i="91"/>
  <c r="EO19" i="89"/>
  <c r="EO16" i="89"/>
  <c r="EO6" i="89"/>
  <c r="EO24" i="89"/>
  <c r="EO18" i="89"/>
  <c r="EO11" i="89"/>
  <c r="EO23" i="89"/>
  <c r="EO13" i="89"/>
  <c r="EO8" i="89"/>
  <c r="EO21" i="89"/>
  <c r="EO10" i="89"/>
  <c r="EO17" i="89"/>
  <c r="EO9" i="89"/>
  <c r="EO20" i="89"/>
  <c r="EO7" i="89"/>
  <c r="EO22" i="89"/>
  <c r="EO14" i="89"/>
  <c r="EO15" i="89"/>
  <c r="EO12" i="89"/>
  <c r="IV106" i="9"/>
  <c r="IU107" i="9"/>
  <c r="EW108" i="9"/>
  <c r="EX107" i="9"/>
  <c r="CR23" i="89"/>
  <c r="CR16" i="89"/>
  <c r="CR10" i="89"/>
  <c r="CR24" i="89"/>
  <c r="CR19" i="89"/>
  <c r="CR11" i="89"/>
  <c r="CR21" i="89"/>
  <c r="CR14" i="89"/>
  <c r="CR9" i="89"/>
  <c r="CR18" i="89"/>
  <c r="CR13" i="89"/>
  <c r="EP1" i="89"/>
  <c r="CR22" i="89"/>
  <c r="CR12" i="89"/>
  <c r="CR20" i="89"/>
  <c r="CR8" i="89"/>
  <c r="CR15" i="89"/>
  <c r="CR7" i="89"/>
  <c r="CR17" i="89"/>
  <c r="CR6" i="89"/>
  <c r="GJ107" i="9"/>
  <c r="GN107" i="9" s="1"/>
  <c r="CT2" i="89"/>
  <c r="CS1" i="89"/>
  <c r="DQ2" i="89"/>
  <c r="DP1" i="89"/>
  <c r="DO21" i="89"/>
  <c r="DO13" i="89"/>
  <c r="DO17" i="89"/>
  <c r="DO12" i="89"/>
  <c r="DO16" i="89"/>
  <c r="DO23" i="89"/>
  <c r="DO20" i="89"/>
  <c r="DO15" i="89"/>
  <c r="DO7" i="89"/>
  <c r="DO24" i="89"/>
  <c r="DO11" i="89"/>
  <c r="DO14" i="89"/>
  <c r="DO22" i="89"/>
  <c r="DO9" i="89"/>
  <c r="DO6" i="89"/>
  <c r="DO18" i="89"/>
  <c r="DO10" i="89"/>
  <c r="DO19" i="89"/>
  <c r="DO8" i="89"/>
  <c r="GH105" i="9"/>
  <c r="EO15" i="88"/>
  <c r="EO12" i="88"/>
  <c r="EO20" i="88"/>
  <c r="EO17" i="88"/>
  <c r="EO7" i="88"/>
  <c r="EO19" i="88"/>
  <c r="EO14" i="88"/>
  <c r="EO16" i="88"/>
  <c r="EO24" i="88"/>
  <c r="EO13" i="88"/>
  <c r="EO6" i="88"/>
  <c r="EO22" i="88"/>
  <c r="EO11" i="88"/>
  <c r="EO23" i="88"/>
  <c r="EO10" i="88"/>
  <c r="EO21" i="88"/>
  <c r="EO9" i="88"/>
  <c r="EO18" i="88"/>
  <c r="EO8" i="88"/>
  <c r="CR22" i="88"/>
  <c r="CR8" i="88"/>
  <c r="CR9" i="88"/>
  <c r="CR17" i="88"/>
  <c r="CR7" i="88"/>
  <c r="CR15" i="88"/>
  <c r="CR18" i="88"/>
  <c r="CR16" i="88"/>
  <c r="CR12" i="88"/>
  <c r="CR14" i="88"/>
  <c r="CR11" i="88"/>
  <c r="CR24" i="88"/>
  <c r="CR13" i="88"/>
  <c r="CR6" i="88"/>
  <c r="CR23" i="88"/>
  <c r="CR20" i="88"/>
  <c r="EP1" i="88"/>
  <c r="CR21" i="88"/>
  <c r="CR19" i="88"/>
  <c r="CR10" i="88"/>
  <c r="CT2" i="88"/>
  <c r="CS1" i="88"/>
  <c r="DO21" i="88"/>
  <c r="DO15" i="88"/>
  <c r="DO13" i="88"/>
  <c r="DO20" i="88"/>
  <c r="DO14" i="88"/>
  <c r="DO7" i="88"/>
  <c r="DO23" i="88"/>
  <c r="DO24" i="88"/>
  <c r="DO6" i="88"/>
  <c r="DO18" i="88"/>
  <c r="DO12" i="88"/>
  <c r="DO19" i="88"/>
  <c r="DO11" i="88"/>
  <c r="DO22" i="88"/>
  <c r="DO10" i="88"/>
  <c r="DO17" i="88"/>
  <c r="DO9" i="88"/>
  <c r="DO16" i="88"/>
  <c r="DO8" i="88"/>
  <c r="DQ2" i="87"/>
  <c r="DP1" i="87"/>
  <c r="EH10" i="87"/>
  <c r="CG10" i="87" s="1"/>
  <c r="EI10" i="88"/>
  <c r="DP1" i="88"/>
  <c r="DQ2" i="88"/>
  <c r="DO18" i="87"/>
  <c r="DO7" i="87"/>
  <c r="DO17" i="87"/>
  <c r="DO12" i="87"/>
  <c r="DO13" i="87"/>
  <c r="DO6" i="87"/>
  <c r="DO24" i="87"/>
  <c r="DO16" i="87"/>
  <c r="DO8" i="87"/>
  <c r="DO22" i="87"/>
  <c r="DO15" i="87"/>
  <c r="DO10" i="87"/>
  <c r="DO21" i="87"/>
  <c r="DO14" i="87"/>
  <c r="DO9" i="87"/>
  <c r="DO23" i="87"/>
  <c r="DO19" i="87"/>
  <c r="DO20" i="87"/>
  <c r="DO11" i="87"/>
  <c r="EO20" i="87"/>
  <c r="EO14" i="87"/>
  <c r="EO6" i="87"/>
  <c r="EO19" i="87"/>
  <c r="EO16" i="87"/>
  <c r="EO24" i="87"/>
  <c r="EO13" i="87"/>
  <c r="EO21" i="87"/>
  <c r="EO10" i="87"/>
  <c r="EO18" i="87"/>
  <c r="EO9" i="87"/>
  <c r="EO17" i="87"/>
  <c r="EO7" i="87"/>
  <c r="EO23" i="87"/>
  <c r="EO15" i="87"/>
  <c r="EO11" i="87"/>
  <c r="EO22" i="87"/>
  <c r="EO12" i="87"/>
  <c r="EO8" i="87"/>
  <c r="CS1" i="87"/>
  <c r="CT2" i="87"/>
  <c r="CR24" i="87"/>
  <c r="CR13" i="87"/>
  <c r="CR7" i="87"/>
  <c r="CR22" i="87"/>
  <c r="CR11" i="87"/>
  <c r="CR8" i="87"/>
  <c r="CR20" i="87"/>
  <c r="CR6" i="87"/>
  <c r="CR19" i="87"/>
  <c r="CR18" i="87"/>
  <c r="CR14" i="87"/>
  <c r="CR10" i="87"/>
  <c r="CR17" i="87"/>
  <c r="CR12" i="87"/>
  <c r="CR23" i="87"/>
  <c r="CR16" i="87"/>
  <c r="CR9" i="87"/>
  <c r="CR21" i="87"/>
  <c r="CR15" i="87"/>
  <c r="EP1" i="87"/>
  <c r="CR21" i="86"/>
  <c r="CR9" i="86"/>
  <c r="CR11" i="86"/>
  <c r="CR19" i="86"/>
  <c r="CR15" i="86"/>
  <c r="CR22" i="86"/>
  <c r="CR18" i="86"/>
  <c r="CR8" i="86"/>
  <c r="CR23" i="86"/>
  <c r="CR7" i="86"/>
  <c r="CR16" i="86"/>
  <c r="CR6" i="86"/>
  <c r="CR14" i="86"/>
  <c r="EP1" i="86"/>
  <c r="CR24" i="86"/>
  <c r="CR17" i="86"/>
  <c r="CR12" i="86"/>
  <c r="CR13" i="86"/>
  <c r="CR10" i="86"/>
  <c r="CR20" i="86"/>
  <c r="CT2" i="86"/>
  <c r="CS1" i="86"/>
  <c r="DQ2" i="86"/>
  <c r="DP1" i="86"/>
  <c r="DO15" i="86"/>
  <c r="DO6" i="86"/>
  <c r="DO18" i="86"/>
  <c r="DO21" i="86"/>
  <c r="DO19" i="86"/>
  <c r="DO23" i="86"/>
  <c r="DO14" i="86"/>
  <c r="DO16" i="86"/>
  <c r="DO22" i="86"/>
  <c r="DO11" i="86"/>
  <c r="DO24" i="86"/>
  <c r="DO9" i="86"/>
  <c r="DO17" i="86"/>
  <c r="DO8" i="86"/>
  <c r="DO7" i="86"/>
  <c r="DO13" i="86"/>
  <c r="DO12" i="86"/>
  <c r="DO20" i="86"/>
  <c r="DO10" i="86"/>
  <c r="EO19" i="86"/>
  <c r="EO10" i="86"/>
  <c r="EO17" i="86"/>
  <c r="EO9" i="86"/>
  <c r="EO18" i="86"/>
  <c r="EO13" i="86"/>
  <c r="EO21" i="86"/>
  <c r="EO12" i="86"/>
  <c r="EO8" i="86"/>
  <c r="EO24" i="86"/>
  <c r="EO14" i="86"/>
  <c r="EO7" i="86"/>
  <c r="EO22" i="86"/>
  <c r="EO23" i="86"/>
  <c r="EO16" i="86"/>
  <c r="EO6" i="86"/>
  <c r="EO15" i="86"/>
  <c r="EO20" i="86"/>
  <c r="EO11" i="86"/>
  <c r="GA141" i="9" l="1"/>
  <c r="HQ141" i="9"/>
  <c r="HL141" i="9"/>
  <c r="HI141" i="9"/>
  <c r="HC141" i="9"/>
  <c r="HF141" i="9"/>
  <c r="HQ140" i="9"/>
  <c r="HL140" i="9"/>
  <c r="HI140" i="9"/>
  <c r="GA140" i="9"/>
  <c r="HC140" i="9"/>
  <c r="HF140" i="9"/>
  <c r="DR2" i="124"/>
  <c r="DQ1" i="124"/>
  <c r="DP15" i="124"/>
  <c r="DP7" i="124"/>
  <c r="DP18" i="124"/>
  <c r="DP8" i="124"/>
  <c r="DP17" i="124"/>
  <c r="DP23" i="124"/>
  <c r="DP14" i="124"/>
  <c r="DP22" i="124"/>
  <c r="DP16" i="124"/>
  <c r="DP21" i="124"/>
  <c r="DP11" i="124"/>
  <c r="DP24" i="124"/>
  <c r="DP6" i="124"/>
  <c r="DP19" i="124"/>
  <c r="DP9" i="124"/>
  <c r="DP13" i="124"/>
  <c r="DP10" i="124"/>
  <c r="DP20" i="124"/>
  <c r="DP12" i="124"/>
  <c r="EP18" i="124"/>
  <c r="EP12" i="124"/>
  <c r="EP17" i="124"/>
  <c r="EP9" i="124"/>
  <c r="EP24" i="124"/>
  <c r="EP16" i="124"/>
  <c r="EP6" i="124"/>
  <c r="EP22" i="124"/>
  <c r="EP14" i="124"/>
  <c r="EP8" i="124"/>
  <c r="EP21" i="124"/>
  <c r="EP11" i="124"/>
  <c r="EP7" i="124"/>
  <c r="EP20" i="124"/>
  <c r="EP15" i="124"/>
  <c r="EP23" i="124"/>
  <c r="EP19" i="124"/>
  <c r="EP13" i="124"/>
  <c r="CT1" i="124"/>
  <c r="CU2" i="124"/>
  <c r="CS22" i="124"/>
  <c r="CS11" i="124"/>
  <c r="CS18" i="124"/>
  <c r="EQ1" i="124"/>
  <c r="CS14" i="124"/>
  <c r="CS6" i="124"/>
  <c r="CS23" i="124"/>
  <c r="CS17" i="124"/>
  <c r="CS21" i="124"/>
  <c r="CS16" i="124"/>
  <c r="CS24" i="124"/>
  <c r="CS9" i="124"/>
  <c r="CS19" i="124"/>
  <c r="CS8" i="124"/>
  <c r="CS15" i="124"/>
  <c r="CS7" i="124"/>
  <c r="CS12" i="124"/>
  <c r="CS20" i="124"/>
  <c r="CS10" i="124"/>
  <c r="CS13" i="124"/>
  <c r="CU2" i="121"/>
  <c r="CT1" i="121"/>
  <c r="DQ1" i="121"/>
  <c r="DR2" i="121"/>
  <c r="DP16" i="121"/>
  <c r="DP6" i="121"/>
  <c r="DP18" i="121"/>
  <c r="DP8" i="121"/>
  <c r="DP11" i="121"/>
  <c r="DP10" i="121"/>
  <c r="DP22" i="121"/>
  <c r="DP13" i="121"/>
  <c r="DP20" i="121"/>
  <c r="DP7" i="121"/>
  <c r="DP23" i="121"/>
  <c r="DP17" i="121"/>
  <c r="DP9" i="121"/>
  <c r="DP21" i="121"/>
  <c r="DP19" i="121"/>
  <c r="DP24" i="121"/>
  <c r="DP15" i="121"/>
  <c r="DP14" i="121"/>
  <c r="DP12" i="121"/>
  <c r="CS23" i="121"/>
  <c r="CS14" i="121"/>
  <c r="EQ1" i="121"/>
  <c r="CS13" i="121"/>
  <c r="CS7" i="121"/>
  <c r="CS18" i="121"/>
  <c r="CS10" i="121"/>
  <c r="CS17" i="121"/>
  <c r="CS8" i="121"/>
  <c r="CS22" i="121"/>
  <c r="CS21" i="121"/>
  <c r="CS6" i="121"/>
  <c r="CS12" i="121"/>
  <c r="CS16" i="121"/>
  <c r="CS15" i="121"/>
  <c r="CS19" i="121"/>
  <c r="CS20" i="121"/>
  <c r="CS11" i="121"/>
  <c r="CS9" i="121"/>
  <c r="CS24" i="121"/>
  <c r="EP24" i="121"/>
  <c r="EP18" i="121"/>
  <c r="EP8" i="121"/>
  <c r="EP6" i="121"/>
  <c r="EP11" i="121"/>
  <c r="EP16" i="121"/>
  <c r="EP20" i="121"/>
  <c r="EP22" i="121"/>
  <c r="EP13" i="121"/>
  <c r="EP9" i="121"/>
  <c r="EP12" i="121"/>
  <c r="EP15" i="121"/>
  <c r="EP21" i="121"/>
  <c r="EP19" i="121"/>
  <c r="EP17" i="121"/>
  <c r="EP14" i="121"/>
  <c r="EP7" i="121"/>
  <c r="EP23" i="121"/>
  <c r="CU2" i="120"/>
  <c r="CT1" i="120"/>
  <c r="CS22" i="120"/>
  <c r="CS13" i="120"/>
  <c r="CS6" i="120"/>
  <c r="CS14" i="120"/>
  <c r="CS7" i="120"/>
  <c r="CS15" i="120"/>
  <c r="CS21" i="120"/>
  <c r="CS11" i="120"/>
  <c r="CS10" i="120"/>
  <c r="CS19" i="120"/>
  <c r="CS20" i="120"/>
  <c r="CS12" i="120"/>
  <c r="EQ1" i="120"/>
  <c r="CS8" i="120"/>
  <c r="CS23" i="120"/>
  <c r="CS24" i="120"/>
  <c r="CS9" i="120"/>
  <c r="CS18" i="120"/>
  <c r="CS17" i="120"/>
  <c r="CS16" i="120"/>
  <c r="DP22" i="120"/>
  <c r="DP14" i="120"/>
  <c r="DP7" i="120"/>
  <c r="DP19" i="120"/>
  <c r="DP9" i="120"/>
  <c r="DP24" i="120"/>
  <c r="DP17" i="120"/>
  <c r="DP18" i="120"/>
  <c r="DP23" i="120"/>
  <c r="DP12" i="120"/>
  <c r="DP21" i="120"/>
  <c r="DP11" i="120"/>
  <c r="DP16" i="120"/>
  <c r="DP20" i="120"/>
  <c r="DP10" i="120"/>
  <c r="DP15" i="120"/>
  <c r="DP8" i="120"/>
  <c r="DP13" i="120"/>
  <c r="DP6" i="120"/>
  <c r="DR2" i="120"/>
  <c r="DQ1" i="120"/>
  <c r="EP20" i="120"/>
  <c r="EP11" i="120"/>
  <c r="EP23" i="120"/>
  <c r="EP17" i="120"/>
  <c r="EP6" i="120"/>
  <c r="EP19" i="120"/>
  <c r="EP15" i="120"/>
  <c r="EP18" i="120"/>
  <c r="EP24" i="120"/>
  <c r="EP16" i="120"/>
  <c r="EP8" i="120"/>
  <c r="EP14" i="120"/>
  <c r="EP22" i="120"/>
  <c r="EP13" i="120"/>
  <c r="EP9" i="120"/>
  <c r="EP21" i="120"/>
  <c r="EP12" i="120"/>
  <c r="EP7" i="120"/>
  <c r="CS23" i="119"/>
  <c r="CS10" i="119"/>
  <c r="CS15" i="119"/>
  <c r="CS24" i="119"/>
  <c r="CS14" i="119"/>
  <c r="CS8" i="119"/>
  <c r="CS16" i="119"/>
  <c r="CS21" i="119"/>
  <c r="CS13" i="119"/>
  <c r="CS11" i="119"/>
  <c r="CS19" i="119"/>
  <c r="CS12" i="119"/>
  <c r="CS9" i="119"/>
  <c r="CS20" i="119"/>
  <c r="CS7" i="119"/>
  <c r="CS6" i="119"/>
  <c r="CS22" i="119"/>
  <c r="EQ1" i="119"/>
  <c r="CS17" i="119"/>
  <c r="CS18" i="119"/>
  <c r="CU2" i="119"/>
  <c r="CT1" i="119"/>
  <c r="DP24" i="119"/>
  <c r="DP17" i="119"/>
  <c r="DP10" i="119"/>
  <c r="DP14" i="119"/>
  <c r="DP22" i="119"/>
  <c r="DP9" i="119"/>
  <c r="DP18" i="119"/>
  <c r="DP11" i="119"/>
  <c r="DP20" i="119"/>
  <c r="DP13" i="119"/>
  <c r="DP23" i="119"/>
  <c r="DP16" i="119"/>
  <c r="DP12" i="119"/>
  <c r="DP21" i="119"/>
  <c r="DP7" i="119"/>
  <c r="DP19" i="119"/>
  <c r="DP8" i="119"/>
  <c r="DP15" i="119"/>
  <c r="DP6" i="119"/>
  <c r="EP13" i="119"/>
  <c r="EP7" i="119"/>
  <c r="EP22" i="119"/>
  <c r="EP12" i="119"/>
  <c r="EP11" i="119"/>
  <c r="EP20" i="119"/>
  <c r="EP14" i="119"/>
  <c r="EP18" i="119"/>
  <c r="EP9" i="119"/>
  <c r="EP19" i="119"/>
  <c r="EP8" i="119"/>
  <c r="EP23" i="119"/>
  <c r="EP17" i="119"/>
  <c r="EP6" i="119"/>
  <c r="EP24" i="119"/>
  <c r="EP21" i="119"/>
  <c r="EP15" i="119"/>
  <c r="EP16" i="119"/>
  <c r="DQ1" i="119"/>
  <c r="DR2" i="119"/>
  <c r="DQ23" i="116"/>
  <c r="DQ8" i="116"/>
  <c r="DQ19" i="116"/>
  <c r="DQ11" i="116"/>
  <c r="DQ16" i="116"/>
  <c r="DQ9" i="116"/>
  <c r="DQ24" i="116"/>
  <c r="DQ14" i="116"/>
  <c r="DQ22" i="116"/>
  <c r="DQ20" i="116"/>
  <c r="DQ18" i="116"/>
  <c r="DQ10" i="116"/>
  <c r="DQ21" i="116"/>
  <c r="DQ7" i="116"/>
  <c r="DQ6" i="116"/>
  <c r="DQ13" i="116"/>
  <c r="DQ12" i="116"/>
  <c r="DQ17" i="116"/>
  <c r="DQ15" i="116"/>
  <c r="DR1" i="116"/>
  <c r="DS2" i="116"/>
  <c r="EQ15" i="116"/>
  <c r="EQ8" i="116"/>
  <c r="EQ20" i="116"/>
  <c r="EQ16" i="116"/>
  <c r="EQ18" i="116"/>
  <c r="EQ24" i="116"/>
  <c r="EQ13" i="116"/>
  <c r="EQ7" i="116"/>
  <c r="EQ23" i="116"/>
  <c r="EQ14" i="116"/>
  <c r="EQ6" i="116"/>
  <c r="EQ19" i="116"/>
  <c r="EQ12" i="116"/>
  <c r="EQ22" i="116"/>
  <c r="EQ11" i="116"/>
  <c r="EQ21" i="116"/>
  <c r="EQ17" i="116"/>
  <c r="EQ9" i="116"/>
  <c r="CT24" i="116"/>
  <c r="CT13" i="116"/>
  <c r="CT8" i="116"/>
  <c r="CT20" i="116"/>
  <c r="CT17" i="116"/>
  <c r="CT6" i="116"/>
  <c r="CT23" i="116"/>
  <c r="CT15" i="116"/>
  <c r="ER1" i="116"/>
  <c r="CT22" i="116"/>
  <c r="CT12" i="116"/>
  <c r="CT7" i="116"/>
  <c r="CT21" i="116"/>
  <c r="CT16" i="116"/>
  <c r="CT18" i="116"/>
  <c r="CT10" i="116"/>
  <c r="CT14" i="116"/>
  <c r="CT9" i="116"/>
  <c r="CT19" i="116"/>
  <c r="CT11" i="116"/>
  <c r="CV2" i="116"/>
  <c r="CU1" i="116"/>
  <c r="CT17" i="112"/>
  <c r="CT10" i="112"/>
  <c r="CT21" i="112"/>
  <c r="CT15" i="112"/>
  <c r="CT11" i="112"/>
  <c r="CT20" i="112"/>
  <c r="CT14" i="112"/>
  <c r="CT7" i="112"/>
  <c r="CT19" i="112"/>
  <c r="CT24" i="112"/>
  <c r="CT18" i="112"/>
  <c r="CT8" i="112"/>
  <c r="CT9" i="112"/>
  <c r="CT23" i="112"/>
  <c r="CT6" i="112"/>
  <c r="CT13" i="112"/>
  <c r="CT22" i="112"/>
  <c r="CT12" i="112"/>
  <c r="CT16" i="112"/>
  <c r="ER1" i="112"/>
  <c r="DS2" i="113"/>
  <c r="DR1" i="113"/>
  <c r="EQ20" i="113"/>
  <c r="EQ6" i="113"/>
  <c r="EQ19" i="113"/>
  <c r="EQ15" i="113"/>
  <c r="EQ18" i="113"/>
  <c r="EQ7" i="113"/>
  <c r="EQ14" i="113"/>
  <c r="EQ11" i="113"/>
  <c r="EQ24" i="113"/>
  <c r="EQ17" i="113"/>
  <c r="EQ23" i="113"/>
  <c r="EQ16" i="113"/>
  <c r="EQ9" i="113"/>
  <c r="EQ22" i="113"/>
  <c r="EQ12" i="113"/>
  <c r="EQ8" i="113"/>
  <c r="EQ21" i="113"/>
  <c r="EQ13" i="113"/>
  <c r="DQ16" i="113"/>
  <c r="DQ6" i="113"/>
  <c r="DQ24" i="113"/>
  <c r="DQ13" i="113"/>
  <c r="DQ8" i="113"/>
  <c r="DQ23" i="113"/>
  <c r="DQ7" i="113"/>
  <c r="DQ12" i="113"/>
  <c r="DQ22" i="113"/>
  <c r="DQ18" i="113"/>
  <c r="DQ10" i="113"/>
  <c r="DQ21" i="113"/>
  <c r="DQ17" i="113"/>
  <c r="DQ20" i="113"/>
  <c r="DQ14" i="113"/>
  <c r="DQ19" i="113"/>
  <c r="DQ11" i="113"/>
  <c r="DQ15" i="113"/>
  <c r="DQ9" i="113"/>
  <c r="DS2" i="112"/>
  <c r="DR1" i="112"/>
  <c r="EQ21" i="112"/>
  <c r="EQ8" i="112"/>
  <c r="EQ12" i="112"/>
  <c r="EQ20" i="112"/>
  <c r="EQ7" i="112"/>
  <c r="EQ9" i="112"/>
  <c r="EQ19" i="112"/>
  <c r="EQ17" i="112"/>
  <c r="EQ24" i="112"/>
  <c r="EQ23" i="112"/>
  <c r="EQ6" i="112"/>
  <c r="EQ18" i="112"/>
  <c r="EQ16" i="112"/>
  <c r="EQ15" i="112"/>
  <c r="EQ13" i="112"/>
  <c r="EQ14" i="112"/>
  <c r="EQ22" i="112"/>
  <c r="EQ11" i="112"/>
  <c r="DQ24" i="112"/>
  <c r="DQ16" i="112"/>
  <c r="DQ19" i="112"/>
  <c r="DQ6" i="112"/>
  <c r="DQ11" i="112"/>
  <c r="DQ18" i="112"/>
  <c r="DQ10" i="112"/>
  <c r="DQ15" i="112"/>
  <c r="DQ8" i="112"/>
  <c r="DQ21" i="112"/>
  <c r="DQ23" i="112"/>
  <c r="DQ17" i="112"/>
  <c r="DQ14" i="112"/>
  <c r="DQ9" i="112"/>
  <c r="DQ22" i="112"/>
  <c r="DQ12" i="112"/>
  <c r="DQ13" i="112"/>
  <c r="DQ20" i="112"/>
  <c r="DQ7" i="112"/>
  <c r="CT21" i="113"/>
  <c r="CT15" i="113"/>
  <c r="CT7" i="113"/>
  <c r="CT20" i="113"/>
  <c r="CT16" i="113"/>
  <c r="CT12" i="113"/>
  <c r="CT24" i="113"/>
  <c r="CT11" i="113"/>
  <c r="CT17" i="113"/>
  <c r="CT9" i="113"/>
  <c r="CT18" i="113"/>
  <c r="ER1" i="113"/>
  <c r="CT14" i="113"/>
  <c r="CT8" i="113"/>
  <c r="CT23" i="113"/>
  <c r="CT13" i="113"/>
  <c r="CT10" i="113"/>
  <c r="CT22" i="113"/>
  <c r="CT19" i="113"/>
  <c r="CT6" i="113"/>
  <c r="CV2" i="113"/>
  <c r="CU1" i="113"/>
  <c r="CU1" i="112"/>
  <c r="CV2" i="112"/>
  <c r="P13" i="87"/>
  <c r="O30" i="87" s="1"/>
  <c r="CU1" i="109"/>
  <c r="CV2" i="109"/>
  <c r="EQ22" i="109"/>
  <c r="EQ24" i="109"/>
  <c r="EQ21" i="109"/>
  <c r="EQ9" i="109"/>
  <c r="EQ19" i="109"/>
  <c r="EQ15" i="109"/>
  <c r="EQ11" i="109"/>
  <c r="EQ20" i="109"/>
  <c r="EQ8" i="109"/>
  <c r="EQ7" i="109"/>
  <c r="EQ18" i="109"/>
  <c r="EQ6" i="109"/>
  <c r="EQ16" i="109"/>
  <c r="EQ13" i="109"/>
  <c r="EQ12" i="109"/>
  <c r="EQ23" i="109"/>
  <c r="EQ17" i="109"/>
  <c r="EQ14" i="109"/>
  <c r="CT24" i="109"/>
  <c r="CT12" i="109"/>
  <c r="CT20" i="109"/>
  <c r="CT18" i="109"/>
  <c r="CT17" i="109"/>
  <c r="CT13" i="109"/>
  <c r="CT23" i="109"/>
  <c r="CT11" i="109"/>
  <c r="CT21" i="109"/>
  <c r="CT8" i="109"/>
  <c r="CT22" i="109"/>
  <c r="CT10" i="109"/>
  <c r="CT9" i="109"/>
  <c r="CT19" i="109"/>
  <c r="CT7" i="109"/>
  <c r="CT6" i="109"/>
  <c r="ER1" i="109"/>
  <c r="CT14" i="109"/>
  <c r="CT16" i="109"/>
  <c r="CT15" i="109"/>
  <c r="DS2" i="109"/>
  <c r="DR1" i="109"/>
  <c r="CS21" i="108"/>
  <c r="CS9" i="108"/>
  <c r="CS20" i="108"/>
  <c r="CS8" i="108"/>
  <c r="CS19" i="108"/>
  <c r="CS7" i="108"/>
  <c r="CS18" i="108"/>
  <c r="CS6" i="108"/>
  <c r="EQ1" i="108"/>
  <c r="CS16" i="108"/>
  <c r="CS14" i="108"/>
  <c r="CS23" i="108"/>
  <c r="CS11" i="108"/>
  <c r="CS22" i="108"/>
  <c r="CS10" i="108"/>
  <c r="CS17" i="108"/>
  <c r="CS15" i="108"/>
  <c r="CS13" i="108"/>
  <c r="CS12" i="108"/>
  <c r="CS24" i="108"/>
  <c r="DQ17" i="109"/>
  <c r="DQ23" i="109"/>
  <c r="DQ10" i="109"/>
  <c r="DQ6" i="109"/>
  <c r="DQ16" i="109"/>
  <c r="DQ14" i="109"/>
  <c r="DQ13" i="109"/>
  <c r="DQ11" i="109"/>
  <c r="DQ19" i="109"/>
  <c r="DQ15" i="109"/>
  <c r="DQ22" i="109"/>
  <c r="DQ24" i="109"/>
  <c r="DQ12" i="109"/>
  <c r="DQ20" i="109"/>
  <c r="DQ18" i="109"/>
  <c r="DQ21" i="109"/>
  <c r="DQ9" i="109"/>
  <c r="DQ8" i="109"/>
  <c r="DQ7" i="109"/>
  <c r="CT1" i="108"/>
  <c r="CU2" i="108"/>
  <c r="DP14" i="108"/>
  <c r="DP13" i="108"/>
  <c r="DP24" i="108"/>
  <c r="DP11" i="108"/>
  <c r="DP10" i="108"/>
  <c r="DP21" i="108"/>
  <c r="DP20" i="108"/>
  <c r="DP17" i="108"/>
  <c r="DP16" i="108"/>
  <c r="DP9" i="108"/>
  <c r="DP8" i="108"/>
  <c r="DP12" i="108"/>
  <c r="DP22" i="108"/>
  <c r="DP19" i="108"/>
  <c r="DP6" i="108"/>
  <c r="DP23" i="108"/>
  <c r="DP7" i="108"/>
  <c r="DP18" i="108"/>
  <c r="DP15" i="108"/>
  <c r="DQ1" i="108"/>
  <c r="DR2" i="108"/>
  <c r="EP19" i="108"/>
  <c r="EP7" i="108"/>
  <c r="EP18" i="108"/>
  <c r="EP6" i="108"/>
  <c r="EP17" i="108"/>
  <c r="EP16" i="108"/>
  <c r="EP12" i="108"/>
  <c r="EP23" i="108"/>
  <c r="EP11" i="108"/>
  <c r="EP22" i="108"/>
  <c r="EP8" i="108"/>
  <c r="EP24" i="108"/>
  <c r="EP9" i="108"/>
  <c r="EP14" i="108"/>
  <c r="EP15" i="108"/>
  <c r="EP13" i="108"/>
  <c r="EP21" i="108"/>
  <c r="EP20" i="108"/>
  <c r="BU26" i="86"/>
  <c r="O13" i="88"/>
  <c r="O26" i="88" s="1"/>
  <c r="CS19" i="106"/>
  <c r="CS11" i="106"/>
  <c r="CS12" i="106"/>
  <c r="CS18" i="106"/>
  <c r="CS10" i="106"/>
  <c r="CS17" i="106"/>
  <c r="CS9" i="106"/>
  <c r="CS24" i="106"/>
  <c r="CS16" i="106"/>
  <c r="CS8" i="106"/>
  <c r="CS20" i="106"/>
  <c r="CS23" i="106"/>
  <c r="CS15" i="106"/>
  <c r="CS7" i="106"/>
  <c r="CS22" i="106"/>
  <c r="CS14" i="106"/>
  <c r="CS6" i="106"/>
  <c r="CS21" i="106"/>
  <c r="CS13" i="106"/>
  <c r="EQ1" i="106"/>
  <c r="CT1" i="106"/>
  <c r="CU2" i="106"/>
  <c r="BQ13" i="89"/>
  <c r="O13" i="89" s="1"/>
  <c r="BR13" i="106"/>
  <c r="BR27" i="106" s="1"/>
  <c r="DP20" i="106"/>
  <c r="DP12" i="106"/>
  <c r="DP19" i="106"/>
  <c r="DP11" i="106"/>
  <c r="DP18" i="106"/>
  <c r="DP10" i="106"/>
  <c r="DP21" i="106"/>
  <c r="DP17" i="106"/>
  <c r="DP9" i="106"/>
  <c r="DP13" i="106"/>
  <c r="DP24" i="106"/>
  <c r="DP16" i="106"/>
  <c r="DP8" i="106"/>
  <c r="DP23" i="106"/>
  <c r="DP15" i="106"/>
  <c r="DP7" i="106"/>
  <c r="DP22" i="106"/>
  <c r="DP14" i="106"/>
  <c r="DP6" i="106"/>
  <c r="EP17" i="106"/>
  <c r="EP9" i="106"/>
  <c r="EP24" i="106"/>
  <c r="EP16" i="106"/>
  <c r="EP8" i="106"/>
  <c r="EP23" i="106"/>
  <c r="EP15" i="106"/>
  <c r="EP7" i="106"/>
  <c r="EP22" i="106"/>
  <c r="EP14" i="106"/>
  <c r="EP6" i="106"/>
  <c r="EP21" i="106"/>
  <c r="EP13" i="106"/>
  <c r="EP20" i="106"/>
  <c r="EP12" i="106"/>
  <c r="EP19" i="106"/>
  <c r="EP11" i="106"/>
  <c r="EP18" i="106"/>
  <c r="DQ1" i="106"/>
  <c r="DR2" i="106"/>
  <c r="DQ1" i="105"/>
  <c r="DR2" i="105"/>
  <c r="DP16" i="105"/>
  <c r="DP14" i="105"/>
  <c r="DP20" i="105"/>
  <c r="DP13" i="105"/>
  <c r="DP23" i="105"/>
  <c r="DP11" i="105"/>
  <c r="DP22" i="105"/>
  <c r="DP8" i="105"/>
  <c r="DP19" i="105"/>
  <c r="DP7" i="105"/>
  <c r="DP18" i="105"/>
  <c r="DP6" i="105"/>
  <c r="DP15" i="105"/>
  <c r="DP24" i="105"/>
  <c r="DP12" i="105"/>
  <c r="DP10" i="105"/>
  <c r="DP21" i="105"/>
  <c r="DP9" i="105"/>
  <c r="DP17" i="105"/>
  <c r="BU13" i="88"/>
  <c r="Q13" i="88" s="1"/>
  <c r="R13" i="88" s="1"/>
  <c r="BV13" i="105"/>
  <c r="EP21" i="105"/>
  <c r="EP9" i="105"/>
  <c r="EP20" i="105"/>
  <c r="EP19" i="105"/>
  <c r="EP7" i="105"/>
  <c r="EP13" i="105"/>
  <c r="EP8" i="105"/>
  <c r="EP18" i="105"/>
  <c r="EP6" i="105"/>
  <c r="EP16" i="105"/>
  <c r="EP15" i="105"/>
  <c r="EP24" i="105"/>
  <c r="EP12" i="105"/>
  <c r="EP23" i="105"/>
  <c r="EP11" i="105"/>
  <c r="EP17" i="105"/>
  <c r="EP14" i="105"/>
  <c r="EP22" i="105"/>
  <c r="CS23" i="105"/>
  <c r="CS11" i="105"/>
  <c r="CS21" i="105"/>
  <c r="CS9" i="105"/>
  <c r="CS10" i="105"/>
  <c r="CS20" i="105"/>
  <c r="CS8" i="105"/>
  <c r="CS18" i="105"/>
  <c r="CS6" i="105"/>
  <c r="CS17" i="105"/>
  <c r="CS15" i="105"/>
  <c r="CS14" i="105"/>
  <c r="CS13" i="105"/>
  <c r="CS22" i="105"/>
  <c r="CS19" i="105"/>
  <c r="CS7" i="105"/>
  <c r="EQ1" i="105"/>
  <c r="CS16" i="105"/>
  <c r="CS24" i="105"/>
  <c r="CS12" i="105"/>
  <c r="CT1" i="105"/>
  <c r="CU2" i="105"/>
  <c r="BU10" i="87"/>
  <c r="BU27" i="87" s="1"/>
  <c r="BU10" i="100"/>
  <c r="BU27" i="100" s="1"/>
  <c r="EQ10" i="98"/>
  <c r="ER10" i="100"/>
  <c r="EB24" i="98"/>
  <c r="EB23" i="98"/>
  <c r="EB22" i="98"/>
  <c r="EB21" i="98"/>
  <c r="EB20" i="98"/>
  <c r="EB19" i="98"/>
  <c r="EB18" i="98"/>
  <c r="EB17" i="98"/>
  <c r="EB16" i="98"/>
  <c r="EB15" i="98"/>
  <c r="EB14" i="98"/>
  <c r="EB13" i="98"/>
  <c r="EB12" i="98"/>
  <c r="EB11" i="98"/>
  <c r="EB10" i="98"/>
  <c r="EB9" i="98"/>
  <c r="EB8" i="98"/>
  <c r="EB7" i="98"/>
  <c r="EB6" i="98"/>
  <c r="ED2" i="98"/>
  <c r="EC1" i="98"/>
  <c r="DE24" i="98"/>
  <c r="DE23" i="98"/>
  <c r="DE22" i="98"/>
  <c r="DE21" i="98"/>
  <c r="DE20" i="98"/>
  <c r="DE19" i="98"/>
  <c r="DE18" i="98"/>
  <c r="DE17" i="98"/>
  <c r="DE16" i="98"/>
  <c r="DE15" i="98"/>
  <c r="DE14" i="98"/>
  <c r="DE13" i="98"/>
  <c r="DE12" i="98"/>
  <c r="DE11" i="98"/>
  <c r="DE10" i="98"/>
  <c r="DE9" i="98"/>
  <c r="DE8" i="98"/>
  <c r="DE7" i="98"/>
  <c r="DE6" i="98"/>
  <c r="FC1" i="98"/>
  <c r="DF24" i="98"/>
  <c r="DF23" i="98"/>
  <c r="DF22" i="98"/>
  <c r="DF21" i="98"/>
  <c r="DF20" i="98"/>
  <c r="DF19" i="98"/>
  <c r="DF18" i="98"/>
  <c r="DF17" i="98"/>
  <c r="DF16" i="98"/>
  <c r="DF15" i="98"/>
  <c r="DF14" i="98"/>
  <c r="DF13" i="98"/>
  <c r="DF12" i="98"/>
  <c r="DF11" i="98"/>
  <c r="DF10" i="98"/>
  <c r="DF9" i="98"/>
  <c r="DF8" i="98"/>
  <c r="DF7" i="98"/>
  <c r="DF6" i="98"/>
  <c r="FD1" i="98"/>
  <c r="U3" i="98"/>
  <c r="FB24" i="98"/>
  <c r="FB23" i="98"/>
  <c r="FB22" i="98"/>
  <c r="FB21" i="98"/>
  <c r="FB20" i="98"/>
  <c r="FB19" i="98"/>
  <c r="FB18" i="98"/>
  <c r="FB17" i="98"/>
  <c r="FB16" i="98"/>
  <c r="FB15" i="98"/>
  <c r="FB14" i="98"/>
  <c r="FB13" i="98"/>
  <c r="FB12" i="98"/>
  <c r="FB11" i="98"/>
  <c r="FB10" i="98"/>
  <c r="FB9" i="98"/>
  <c r="FB8" i="98"/>
  <c r="FB7" i="98"/>
  <c r="FB6" i="98"/>
  <c r="DD24" i="100"/>
  <c r="DD23" i="100"/>
  <c r="DD22" i="100"/>
  <c r="DD21" i="100"/>
  <c r="DD20" i="100"/>
  <c r="DD19" i="100"/>
  <c r="DD18" i="100"/>
  <c r="DD17" i="100"/>
  <c r="DD16" i="100"/>
  <c r="DD15" i="100"/>
  <c r="DD14" i="100"/>
  <c r="DD13" i="100"/>
  <c r="DD12" i="100"/>
  <c r="DD11" i="100"/>
  <c r="DD10" i="100"/>
  <c r="DD9" i="100"/>
  <c r="DD8" i="100"/>
  <c r="DD7" i="100"/>
  <c r="DD6" i="100"/>
  <c r="FB1" i="100"/>
  <c r="DF2" i="100"/>
  <c r="DF1" i="100" s="1"/>
  <c r="DE1" i="100"/>
  <c r="FA24" i="100"/>
  <c r="FA23" i="100"/>
  <c r="FA22" i="100"/>
  <c r="FA21" i="100"/>
  <c r="FA20" i="100"/>
  <c r="FA19" i="100"/>
  <c r="FA18" i="100"/>
  <c r="FA17" i="100"/>
  <c r="FA16" i="100"/>
  <c r="FA15" i="100"/>
  <c r="FA14" i="100"/>
  <c r="FA13" i="100"/>
  <c r="FA12" i="100"/>
  <c r="FA11" i="100"/>
  <c r="FA10" i="100"/>
  <c r="FA9" i="100"/>
  <c r="FA8" i="100"/>
  <c r="FA7" i="100"/>
  <c r="FA6" i="100"/>
  <c r="EA24" i="100"/>
  <c r="EA23" i="100"/>
  <c r="EA22" i="100"/>
  <c r="EA21" i="100"/>
  <c r="EA20" i="100"/>
  <c r="EA19" i="100"/>
  <c r="EA18" i="100"/>
  <c r="EA17" i="100"/>
  <c r="EA16" i="100"/>
  <c r="EA15" i="100"/>
  <c r="EA14" i="100"/>
  <c r="EA13" i="100"/>
  <c r="EA12" i="100"/>
  <c r="EA11" i="100"/>
  <c r="EA10" i="100"/>
  <c r="EA9" i="100"/>
  <c r="EA8" i="100"/>
  <c r="EA7" i="100"/>
  <c r="EA6" i="100"/>
  <c r="EC2" i="100"/>
  <c r="EB1" i="100"/>
  <c r="EN10" i="95"/>
  <c r="EO10" i="96"/>
  <c r="EP10" i="97"/>
  <c r="ED24" i="96"/>
  <c r="ED23" i="96"/>
  <c r="ED22" i="96"/>
  <c r="ED21" i="96"/>
  <c r="ED20" i="96"/>
  <c r="ED19" i="96"/>
  <c r="ED18" i="96"/>
  <c r="ED17" i="96"/>
  <c r="ED16" i="96"/>
  <c r="ED15" i="96"/>
  <c r="ED14" i="96"/>
  <c r="ED13" i="96"/>
  <c r="ED12" i="96"/>
  <c r="ED11" i="96"/>
  <c r="ED10" i="96"/>
  <c r="ED9" i="96"/>
  <c r="ED8" i="96"/>
  <c r="ED7" i="96"/>
  <c r="ED6" i="96"/>
  <c r="EE24" i="96"/>
  <c r="EE23" i="96"/>
  <c r="EE22" i="96"/>
  <c r="EE21" i="96"/>
  <c r="EE20" i="96"/>
  <c r="EE19" i="96"/>
  <c r="EE18" i="96"/>
  <c r="EE17" i="96"/>
  <c r="EE16" i="96"/>
  <c r="EE15" i="96"/>
  <c r="EE14" i="96"/>
  <c r="EE13" i="96"/>
  <c r="EE12" i="96"/>
  <c r="EE11" i="96"/>
  <c r="EE10" i="96"/>
  <c r="EE9" i="96"/>
  <c r="EE8" i="96"/>
  <c r="EE7" i="96"/>
  <c r="EE6" i="96"/>
  <c r="BY27" i="96"/>
  <c r="BX28" i="96" s="1"/>
  <c r="U6" i="96"/>
  <c r="V6" i="95"/>
  <c r="T30" i="95"/>
  <c r="T29" i="95"/>
  <c r="T28" i="95"/>
  <c r="CC6" i="95"/>
  <c r="CC7" i="95"/>
  <c r="W7" i="95" s="1"/>
  <c r="X7" i="95" s="1"/>
  <c r="CC8" i="95"/>
  <c r="W8" i="95" s="1"/>
  <c r="X8" i="95" s="1"/>
  <c r="CC9" i="95"/>
  <c r="W9" i="95" s="1"/>
  <c r="X9" i="95" s="1"/>
  <c r="CC10" i="95"/>
  <c r="W10" i="95" s="1"/>
  <c r="X10" i="95" s="1"/>
  <c r="CC11" i="95"/>
  <c r="W11" i="95" s="1"/>
  <c r="X11" i="95" s="1"/>
  <c r="CC12" i="95"/>
  <c r="W12" i="95" s="1"/>
  <c r="X12" i="95" s="1"/>
  <c r="CC13" i="95"/>
  <c r="W13" i="95" s="1"/>
  <c r="X13" i="95" s="1"/>
  <c r="CC14" i="95"/>
  <c r="W14" i="95" s="1"/>
  <c r="X14" i="95" s="1"/>
  <c r="CC15" i="95"/>
  <c r="W15" i="95" s="1"/>
  <c r="X15" i="95" s="1"/>
  <c r="CC16" i="95"/>
  <c r="CC17" i="95"/>
  <c r="CC18" i="95"/>
  <c r="W18" i="95" s="1"/>
  <c r="X18" i="95" s="1"/>
  <c r="CC19" i="95"/>
  <c r="W19" i="95" s="1"/>
  <c r="X19" i="95" s="1"/>
  <c r="CC20" i="95"/>
  <c r="W20" i="95" s="1"/>
  <c r="X20" i="95" s="1"/>
  <c r="CC21" i="95"/>
  <c r="W21" i="95" s="1"/>
  <c r="X21" i="95" s="1"/>
  <c r="CC22" i="95"/>
  <c r="W22" i="95" s="1"/>
  <c r="X22" i="95" s="1"/>
  <c r="CC23" i="95"/>
  <c r="W23" i="95" s="1"/>
  <c r="X23" i="95" s="1"/>
  <c r="CC24" i="95"/>
  <c r="W24" i="95" s="1"/>
  <c r="X24" i="95" s="1"/>
  <c r="FD24" i="97"/>
  <c r="FD23" i="97"/>
  <c r="FD22" i="97"/>
  <c r="FD21" i="97"/>
  <c r="FD20" i="97"/>
  <c r="FD19" i="97"/>
  <c r="FD18" i="97"/>
  <c r="FD17" i="97"/>
  <c r="FD16" i="97"/>
  <c r="FD15" i="97"/>
  <c r="FD14" i="97"/>
  <c r="FD13" i="97"/>
  <c r="FD12" i="97"/>
  <c r="FD11" i="97"/>
  <c r="FD10" i="97"/>
  <c r="FD9" i="97"/>
  <c r="FD8" i="97"/>
  <c r="FD7" i="97"/>
  <c r="FD6" i="97"/>
  <c r="FC24" i="97"/>
  <c r="FC23" i="97"/>
  <c r="FC22" i="97"/>
  <c r="FC21" i="97"/>
  <c r="FC20" i="97"/>
  <c r="FC19" i="97"/>
  <c r="FC18" i="97"/>
  <c r="FC17" i="97"/>
  <c r="FC16" i="97"/>
  <c r="FC15" i="97"/>
  <c r="FC14" i="97"/>
  <c r="FC13" i="97"/>
  <c r="FC12" i="97"/>
  <c r="FC11" i="97"/>
  <c r="FC10" i="97"/>
  <c r="FC9" i="97"/>
  <c r="FC8" i="97"/>
  <c r="FC7" i="97"/>
  <c r="FC6" i="97"/>
  <c r="BY6" i="97"/>
  <c r="BY7" i="97"/>
  <c r="U7" i="97" s="1"/>
  <c r="V7" i="97" s="1"/>
  <c r="BY8" i="97"/>
  <c r="U8" i="97" s="1"/>
  <c r="V8" i="97" s="1"/>
  <c r="BY9" i="97"/>
  <c r="U9" i="97" s="1"/>
  <c r="V9" i="97" s="1"/>
  <c r="BY10" i="97"/>
  <c r="U10" i="97" s="1"/>
  <c r="V10" i="97" s="1"/>
  <c r="BY11" i="97"/>
  <c r="U11" i="97" s="1"/>
  <c r="V11" i="97" s="1"/>
  <c r="BY12" i="97"/>
  <c r="U12" i="97" s="1"/>
  <c r="V12" i="97" s="1"/>
  <c r="BY13" i="97"/>
  <c r="U13" i="97" s="1"/>
  <c r="V13" i="97" s="1"/>
  <c r="BY14" i="97"/>
  <c r="U14" i="97" s="1"/>
  <c r="V14" i="97" s="1"/>
  <c r="BY15" i="97"/>
  <c r="U15" i="97" s="1"/>
  <c r="V15" i="97" s="1"/>
  <c r="BY16" i="97"/>
  <c r="U16" i="97" s="1"/>
  <c r="V16" i="97" s="1"/>
  <c r="BY17" i="97"/>
  <c r="U17" i="97" s="1"/>
  <c r="V17" i="97" s="1"/>
  <c r="BY18" i="97"/>
  <c r="U18" i="97" s="1"/>
  <c r="V18" i="97" s="1"/>
  <c r="BY19" i="97"/>
  <c r="U19" i="97" s="1"/>
  <c r="V19" i="97" s="1"/>
  <c r="BY20" i="97"/>
  <c r="U20" i="97" s="1"/>
  <c r="V20" i="97" s="1"/>
  <c r="BY21" i="97"/>
  <c r="U21" i="97" s="1"/>
  <c r="V21" i="97" s="1"/>
  <c r="BY22" i="97"/>
  <c r="U22" i="97" s="1"/>
  <c r="V22" i="97" s="1"/>
  <c r="BY23" i="97"/>
  <c r="U23" i="97" s="1"/>
  <c r="V23" i="97" s="1"/>
  <c r="BY24" i="97"/>
  <c r="U24" i="97" s="1"/>
  <c r="V24" i="97" s="1"/>
  <c r="EC24" i="97"/>
  <c r="EC23" i="97"/>
  <c r="EC22" i="97"/>
  <c r="EC21" i="97"/>
  <c r="EC20" i="97"/>
  <c r="EC19" i="97"/>
  <c r="EC18" i="97"/>
  <c r="EC17" i="97"/>
  <c r="EC16" i="97"/>
  <c r="EC15" i="97"/>
  <c r="EC14" i="97"/>
  <c r="EC13" i="97"/>
  <c r="EC12" i="97"/>
  <c r="EC11" i="97"/>
  <c r="EC10" i="97"/>
  <c r="EC9" i="97"/>
  <c r="EC8" i="97"/>
  <c r="EC7" i="97"/>
  <c r="EC6" i="97"/>
  <c r="EE2" i="97"/>
  <c r="EE1" i="97" s="1"/>
  <c r="ED1" i="97"/>
  <c r="EL10" i="92"/>
  <c r="EM10" i="93"/>
  <c r="EN10" i="94"/>
  <c r="CD27" i="94"/>
  <c r="CC28" i="94" s="1"/>
  <c r="W6" i="94"/>
  <c r="X6" i="94" s="1"/>
  <c r="DQ1" i="92"/>
  <c r="DR2" i="92"/>
  <c r="DP22" i="92"/>
  <c r="DP10" i="92"/>
  <c r="DP6" i="92"/>
  <c r="DP21" i="92"/>
  <c r="DP9" i="92"/>
  <c r="DP15" i="92"/>
  <c r="DP24" i="92"/>
  <c r="DP8" i="92"/>
  <c r="DP12" i="92"/>
  <c r="DP7" i="92"/>
  <c r="DP23" i="92"/>
  <c r="DP16" i="92"/>
  <c r="DP17" i="92"/>
  <c r="DP20" i="92"/>
  <c r="DP14" i="92"/>
  <c r="DP19" i="92"/>
  <c r="DP13" i="92"/>
  <c r="DP18" i="92"/>
  <c r="DP11" i="92"/>
  <c r="CU2" i="92"/>
  <c r="CT1" i="92"/>
  <c r="CS24" i="92"/>
  <c r="CS21" i="92"/>
  <c r="CS8" i="92"/>
  <c r="CS23" i="92"/>
  <c r="CS14" i="92"/>
  <c r="CS20" i="92"/>
  <c r="CS22" i="92"/>
  <c r="CS11" i="92"/>
  <c r="CS12" i="92"/>
  <c r="CS16" i="92"/>
  <c r="CS9" i="92"/>
  <c r="CS13" i="92"/>
  <c r="CS7" i="92"/>
  <c r="CS17" i="92"/>
  <c r="EQ1" i="92"/>
  <c r="CS15" i="92"/>
  <c r="CS18" i="92"/>
  <c r="CS19" i="92"/>
  <c r="CS6" i="92"/>
  <c r="CS10" i="92"/>
  <c r="EP20" i="92"/>
  <c r="EP17" i="92"/>
  <c r="EP13" i="92"/>
  <c r="EP15" i="92"/>
  <c r="EP24" i="92"/>
  <c r="EP10" i="92"/>
  <c r="EP14" i="92"/>
  <c r="EP12" i="92"/>
  <c r="EP8" i="92"/>
  <c r="EP21" i="92"/>
  <c r="EP9" i="92"/>
  <c r="EP18" i="92"/>
  <c r="EP6" i="92"/>
  <c r="EP11" i="92"/>
  <c r="EP19" i="92"/>
  <c r="EP7" i="92"/>
  <c r="EP23" i="92"/>
  <c r="EP22" i="92"/>
  <c r="EP16" i="92"/>
  <c r="CT1" i="91"/>
  <c r="CU2" i="91"/>
  <c r="DQ1" i="90"/>
  <c r="DR2" i="90"/>
  <c r="EX108" i="9"/>
  <c r="EW109" i="9"/>
  <c r="DP12" i="91"/>
  <c r="DP24" i="91"/>
  <c r="DP8" i="91"/>
  <c r="DP11" i="91"/>
  <c r="DP15" i="91"/>
  <c r="DP16" i="91"/>
  <c r="DP21" i="91"/>
  <c r="DP7" i="91"/>
  <c r="DP20" i="91"/>
  <c r="DP14" i="91"/>
  <c r="DP13" i="91"/>
  <c r="DP19" i="91"/>
  <c r="DP10" i="91"/>
  <c r="DP18" i="91"/>
  <c r="DP9" i="91"/>
  <c r="DP23" i="91"/>
  <c r="DP17" i="91"/>
  <c r="DP6" i="91"/>
  <c r="DP22" i="91"/>
  <c r="IV107" i="9"/>
  <c r="IU108" i="9"/>
  <c r="EJ10" i="90"/>
  <c r="EK10" i="91"/>
  <c r="EP21" i="90"/>
  <c r="EP23" i="90"/>
  <c r="EP8" i="90"/>
  <c r="EP7" i="90"/>
  <c r="EP24" i="90"/>
  <c r="EP16" i="90"/>
  <c r="EP13" i="90"/>
  <c r="EP14" i="90"/>
  <c r="EP22" i="90"/>
  <c r="EP10" i="90"/>
  <c r="EP17" i="90"/>
  <c r="EP11" i="90"/>
  <c r="EP6" i="90"/>
  <c r="EP9" i="90"/>
  <c r="EP19" i="90"/>
  <c r="EP15" i="90"/>
  <c r="EP20" i="90"/>
  <c r="EP18" i="90"/>
  <c r="EP12" i="90"/>
  <c r="DQ1" i="91"/>
  <c r="DR2" i="91"/>
  <c r="EP18" i="91"/>
  <c r="EP22" i="91"/>
  <c r="EP12" i="91"/>
  <c r="EP14" i="91"/>
  <c r="EP21" i="91"/>
  <c r="EP7" i="91"/>
  <c r="EP23" i="91"/>
  <c r="EP11" i="91"/>
  <c r="EP6" i="91"/>
  <c r="EP8" i="91"/>
  <c r="EP19" i="91"/>
  <c r="EP20" i="91"/>
  <c r="EP17" i="91"/>
  <c r="EP24" i="91"/>
  <c r="EP15" i="91"/>
  <c r="EP10" i="91"/>
  <c r="EP16" i="91"/>
  <c r="EP13" i="91"/>
  <c r="EP9" i="91"/>
  <c r="CU2" i="90"/>
  <c r="CT1" i="90"/>
  <c r="DP18" i="90"/>
  <c r="DP9" i="90"/>
  <c r="DP23" i="90"/>
  <c r="DP24" i="90"/>
  <c r="DP21" i="90"/>
  <c r="DP17" i="90"/>
  <c r="DP7" i="90"/>
  <c r="DP16" i="90"/>
  <c r="DP15" i="90"/>
  <c r="DP11" i="90"/>
  <c r="DP22" i="90"/>
  <c r="DP14" i="90"/>
  <c r="DP19" i="90"/>
  <c r="DP8" i="90"/>
  <c r="DP6" i="90"/>
  <c r="DP20" i="90"/>
  <c r="DP10" i="90"/>
  <c r="DP13" i="90"/>
  <c r="DP12" i="90"/>
  <c r="CS24" i="91"/>
  <c r="CS23" i="91"/>
  <c r="CS22" i="91"/>
  <c r="CS19" i="91"/>
  <c r="CS20" i="91"/>
  <c r="CS6" i="91"/>
  <c r="CS12" i="91"/>
  <c r="CS10" i="91"/>
  <c r="CS9" i="91"/>
  <c r="CS8" i="91"/>
  <c r="CS18" i="91"/>
  <c r="CS13" i="91"/>
  <c r="CS15" i="91"/>
  <c r="EQ1" i="91"/>
  <c r="CS16" i="91"/>
  <c r="CS7" i="91"/>
  <c r="CS17" i="91"/>
  <c r="CS11" i="91"/>
  <c r="CS14" i="91"/>
  <c r="CS21" i="91"/>
  <c r="CS18" i="90"/>
  <c r="CS16" i="90"/>
  <c r="CS14" i="90"/>
  <c r="EQ1" i="90"/>
  <c r="CS15" i="90"/>
  <c r="CS7" i="90"/>
  <c r="CS22" i="90"/>
  <c r="CS17" i="90"/>
  <c r="CS6" i="90"/>
  <c r="CS23" i="90"/>
  <c r="CS11" i="90"/>
  <c r="CS21" i="90"/>
  <c r="CS19" i="90"/>
  <c r="CS9" i="90"/>
  <c r="CS24" i="90"/>
  <c r="CS8" i="90"/>
  <c r="CS13" i="90"/>
  <c r="CS20" i="90"/>
  <c r="CS10" i="90"/>
  <c r="CS12" i="90"/>
  <c r="DR2" i="89"/>
  <c r="DQ1" i="89"/>
  <c r="CS23" i="89"/>
  <c r="CS7" i="89"/>
  <c r="CS15" i="89"/>
  <c r="CS6" i="89"/>
  <c r="CS22" i="89"/>
  <c r="CS17" i="89"/>
  <c r="CS8" i="89"/>
  <c r="CS21" i="89"/>
  <c r="CS14" i="89"/>
  <c r="CS10" i="89"/>
  <c r="CS18" i="89"/>
  <c r="CS16" i="89"/>
  <c r="EQ1" i="89"/>
  <c r="CS19" i="89"/>
  <c r="CS13" i="89"/>
  <c r="CS9" i="89"/>
  <c r="CS12" i="89"/>
  <c r="CS24" i="89"/>
  <c r="CS11" i="89"/>
  <c r="CS20" i="89"/>
  <c r="GH106" i="9"/>
  <c r="CU2" i="89"/>
  <c r="CT1" i="89"/>
  <c r="GJ108" i="9"/>
  <c r="GN108" i="9" s="1"/>
  <c r="EH10" i="88"/>
  <c r="CG10" i="88" s="1"/>
  <c r="EI10" i="89"/>
  <c r="EP24" i="89"/>
  <c r="EP7" i="89"/>
  <c r="EP22" i="89"/>
  <c r="EP14" i="89"/>
  <c r="EP21" i="89"/>
  <c r="EP6" i="89"/>
  <c r="EP17" i="89"/>
  <c r="EP11" i="89"/>
  <c r="EP23" i="89"/>
  <c r="EP15" i="89"/>
  <c r="EP9" i="89"/>
  <c r="EP18" i="89"/>
  <c r="EP16" i="89"/>
  <c r="EP13" i="89"/>
  <c r="EP10" i="89"/>
  <c r="EP20" i="89"/>
  <c r="EP12" i="89"/>
  <c r="EP8" i="89"/>
  <c r="EP19" i="89"/>
  <c r="DP20" i="89"/>
  <c r="DP16" i="89"/>
  <c r="DP9" i="89"/>
  <c r="DP22" i="89"/>
  <c r="DP13" i="89"/>
  <c r="DP8" i="89"/>
  <c r="DP17" i="89"/>
  <c r="DP10" i="89"/>
  <c r="DP19" i="89"/>
  <c r="DP12" i="89"/>
  <c r="DP23" i="89"/>
  <c r="DP11" i="89"/>
  <c r="DP21" i="89"/>
  <c r="DP7" i="89"/>
  <c r="DP24" i="89"/>
  <c r="DP15" i="89"/>
  <c r="DP14" i="89"/>
  <c r="DP18" i="89"/>
  <c r="DP6" i="89"/>
  <c r="CU2" i="87"/>
  <c r="CT1" i="87"/>
  <c r="EP24" i="88"/>
  <c r="EP22" i="88"/>
  <c r="EP9" i="88"/>
  <c r="EP23" i="88"/>
  <c r="EP17" i="88"/>
  <c r="EP10" i="88"/>
  <c r="EP21" i="88"/>
  <c r="EP14" i="88"/>
  <c r="EP6" i="88"/>
  <c r="EP20" i="88"/>
  <c r="EP13" i="88"/>
  <c r="EP19" i="88"/>
  <c r="EP8" i="88"/>
  <c r="EP18" i="88"/>
  <c r="EP12" i="88"/>
  <c r="EP15" i="88"/>
  <c r="EP7" i="88"/>
  <c r="EP16" i="88"/>
  <c r="EP11" i="88"/>
  <c r="CS17" i="87"/>
  <c r="CS6" i="87"/>
  <c r="CS16" i="87"/>
  <c r="EQ1" i="87"/>
  <c r="CS20" i="87"/>
  <c r="CS22" i="87"/>
  <c r="CS15" i="87"/>
  <c r="CS11" i="87"/>
  <c r="CS21" i="87"/>
  <c r="CS14" i="87"/>
  <c r="CS7" i="87"/>
  <c r="CS18" i="87"/>
  <c r="CS8" i="87"/>
  <c r="CS9" i="87"/>
  <c r="CS24" i="87"/>
  <c r="CS23" i="87"/>
  <c r="CS13" i="87"/>
  <c r="CS12" i="87"/>
  <c r="CS19" i="87"/>
  <c r="CS10" i="87"/>
  <c r="DR2" i="88"/>
  <c r="DQ1" i="88"/>
  <c r="DP24" i="88"/>
  <c r="DP13" i="88"/>
  <c r="DP12" i="88"/>
  <c r="DP22" i="88"/>
  <c r="DP11" i="88"/>
  <c r="DP17" i="88"/>
  <c r="DP19" i="88"/>
  <c r="DP10" i="88"/>
  <c r="DP18" i="88"/>
  <c r="DP9" i="88"/>
  <c r="DP15" i="88"/>
  <c r="DP8" i="88"/>
  <c r="DP23" i="88"/>
  <c r="DP16" i="88"/>
  <c r="DP21" i="88"/>
  <c r="DP7" i="88"/>
  <c r="DP20" i="88"/>
  <c r="DP14" i="88"/>
  <c r="DP6" i="88"/>
  <c r="CS24" i="88"/>
  <c r="CS11" i="88"/>
  <c r="CS19" i="88"/>
  <c r="CS6" i="88"/>
  <c r="CS23" i="88"/>
  <c r="CS18" i="88"/>
  <c r="EQ1" i="88"/>
  <c r="CS22" i="88"/>
  <c r="CS13" i="88"/>
  <c r="CS9" i="88"/>
  <c r="CS20" i="88"/>
  <c r="CS17" i="88"/>
  <c r="CS8" i="88"/>
  <c r="CS21" i="88"/>
  <c r="CS7" i="88"/>
  <c r="CS10" i="88"/>
  <c r="CS15" i="88"/>
  <c r="CS14" i="88"/>
  <c r="CS16" i="88"/>
  <c r="CS12" i="88"/>
  <c r="EP17" i="87"/>
  <c r="EP9" i="87"/>
  <c r="EP23" i="87"/>
  <c r="EP16" i="87"/>
  <c r="EP13" i="87"/>
  <c r="EP12" i="87"/>
  <c r="EP19" i="87"/>
  <c r="EP21" i="87"/>
  <c r="EP18" i="87"/>
  <c r="EP7" i="87"/>
  <c r="EP24" i="87"/>
  <c r="EP15" i="87"/>
  <c r="EP8" i="87"/>
  <c r="EP20" i="87"/>
  <c r="EP22" i="87"/>
  <c r="EP6" i="87"/>
  <c r="EP11" i="87"/>
  <c r="EP10" i="87"/>
  <c r="EP14" i="87"/>
  <c r="CU2" i="88"/>
  <c r="CT1" i="88"/>
  <c r="DP20" i="87"/>
  <c r="DP12" i="87"/>
  <c r="DP6" i="87"/>
  <c r="DP8" i="87"/>
  <c r="DP22" i="87"/>
  <c r="DP24" i="87"/>
  <c r="DP14" i="87"/>
  <c r="DP7" i="87"/>
  <c r="DP15" i="87"/>
  <c r="DP18" i="87"/>
  <c r="DP13" i="87"/>
  <c r="DP9" i="87"/>
  <c r="DP17" i="87"/>
  <c r="DP10" i="87"/>
  <c r="DP19" i="87"/>
  <c r="DP21" i="87"/>
  <c r="DP23" i="87"/>
  <c r="DP11" i="87"/>
  <c r="DP16" i="87"/>
  <c r="DR2" i="87"/>
  <c r="DQ1" i="87"/>
  <c r="DR2" i="86"/>
  <c r="DQ1" i="86"/>
  <c r="DP22" i="86"/>
  <c r="DP8" i="86"/>
  <c r="DP19" i="86"/>
  <c r="DP7" i="86"/>
  <c r="DP17" i="86"/>
  <c r="DP6" i="86"/>
  <c r="DP16" i="86"/>
  <c r="DP21" i="86"/>
  <c r="DP14" i="86"/>
  <c r="DP18" i="86"/>
  <c r="DP15" i="86"/>
  <c r="DP24" i="86"/>
  <c r="DP11" i="86"/>
  <c r="DP23" i="86"/>
  <c r="DP9" i="86"/>
  <c r="DP10" i="86"/>
  <c r="DP12" i="86"/>
  <c r="DP20" i="86"/>
  <c r="DP13" i="86"/>
  <c r="CS21" i="86"/>
  <c r="CS16" i="86"/>
  <c r="CS19" i="86"/>
  <c r="CS14" i="86"/>
  <c r="CS18" i="86"/>
  <c r="CS9" i="86"/>
  <c r="CS11" i="86"/>
  <c r="EQ1" i="86"/>
  <c r="CS24" i="86"/>
  <c r="CS15" i="86"/>
  <c r="CS17" i="86"/>
  <c r="CS6" i="86"/>
  <c r="CS23" i="86"/>
  <c r="CS8" i="86"/>
  <c r="CS22" i="86"/>
  <c r="CS7" i="86"/>
  <c r="CS13" i="86"/>
  <c r="CS10" i="86"/>
  <c r="CS20" i="86"/>
  <c r="CS12" i="86"/>
  <c r="EP24" i="86"/>
  <c r="EP11" i="86"/>
  <c r="EP7" i="86"/>
  <c r="EP22" i="86"/>
  <c r="EP23" i="86"/>
  <c r="EP6" i="86"/>
  <c r="EP21" i="86"/>
  <c r="EP17" i="86"/>
  <c r="EP12" i="86"/>
  <c r="EP18" i="86"/>
  <c r="EP13" i="86"/>
  <c r="EP20" i="86"/>
  <c r="EP19" i="86"/>
  <c r="EP15" i="86"/>
  <c r="EP10" i="86"/>
  <c r="EP14" i="86"/>
  <c r="EP9" i="86"/>
  <c r="EP16" i="86"/>
  <c r="EP8" i="86"/>
  <c r="CT1" i="86"/>
  <c r="CU2" i="86"/>
  <c r="Q29" i="86"/>
  <c r="Q28" i="86"/>
  <c r="Q27" i="86"/>
  <c r="BG22" i="142" l="1"/>
  <c r="BG19" i="142"/>
  <c r="BH16" i="142"/>
  <c r="CF19" i="142"/>
  <c r="BL19" i="142"/>
  <c r="CF14" i="142"/>
  <c r="CF9" i="142"/>
  <c r="CF7" i="142"/>
  <c r="CF23" i="142"/>
  <c r="CF13" i="142"/>
  <c r="CF10" i="142"/>
  <c r="BG6" i="142"/>
  <c r="BP17" i="142"/>
  <c r="BL2" i="142"/>
  <c r="BM2" i="142" s="1"/>
  <c r="BM1" i="142" s="1"/>
  <c r="BP19" i="142"/>
  <c r="CF16" i="142"/>
  <c r="BL24" i="142"/>
  <c r="BL9" i="142"/>
  <c r="BL7" i="142"/>
  <c r="BP14" i="142"/>
  <c r="BH15" i="142"/>
  <c r="CF24" i="142"/>
  <c r="BL17" i="142"/>
  <c r="BL11" i="142"/>
  <c r="BL15" i="142"/>
  <c r="BP15" i="142"/>
  <c r="BL20" i="142"/>
  <c r="BH12" i="142"/>
  <c r="CF21" i="142"/>
  <c r="BL22" i="142"/>
  <c r="BL23" i="142"/>
  <c r="BG24" i="142"/>
  <c r="BL14" i="142"/>
  <c r="BH11" i="142"/>
  <c r="CF6" i="142"/>
  <c r="BP21" i="142"/>
  <c r="BL6" i="142"/>
  <c r="BL16" i="142"/>
  <c r="BL10" i="142"/>
  <c r="BP2" i="142"/>
  <c r="BQ2" i="142" s="1"/>
  <c r="BQ1" i="142" s="1"/>
  <c r="BH14" i="142"/>
  <c r="BG7" i="142"/>
  <c r="BH24" i="142"/>
  <c r="BH23" i="142"/>
  <c r="BG21" i="142"/>
  <c r="BH20" i="142"/>
  <c r="BH17" i="142"/>
  <c r="BG15" i="142"/>
  <c r="E15" i="142" s="1"/>
  <c r="BH18" i="142"/>
  <c r="BP7" i="142"/>
  <c r="BH21" i="142"/>
  <c r="BP24" i="142"/>
  <c r="BL18" i="142"/>
  <c r="BL8" i="142"/>
  <c r="BH13" i="142"/>
  <c r="BG12" i="142"/>
  <c r="E12" i="142" s="1"/>
  <c r="BH10" i="142"/>
  <c r="BH9" i="142"/>
  <c r="BH8" i="142"/>
  <c r="BP9" i="142"/>
  <c r="BG23" i="142"/>
  <c r="E23" i="142" s="1"/>
  <c r="BP22" i="142"/>
  <c r="BP11" i="142"/>
  <c r="BG10" i="142"/>
  <c r="E10" i="142" s="1"/>
  <c r="BG9" i="142"/>
  <c r="E9" i="142" s="1"/>
  <c r="BG8" i="142"/>
  <c r="E8" i="142" s="1"/>
  <c r="BH5" i="142"/>
  <c r="CF2" i="142"/>
  <c r="BP8" i="142"/>
  <c r="BP20" i="142"/>
  <c r="BP23" i="142"/>
  <c r="BP6" i="142"/>
  <c r="BP12" i="142"/>
  <c r="BL12" i="142"/>
  <c r="CF8" i="142"/>
  <c r="CF12" i="142"/>
  <c r="CF20" i="142"/>
  <c r="CF15" i="142"/>
  <c r="CF11" i="142"/>
  <c r="CF22" i="142"/>
  <c r="CF18" i="142"/>
  <c r="BG2" i="142"/>
  <c r="BG17" i="142"/>
  <c r="E17" i="142" s="1"/>
  <c r="BG5" i="142"/>
  <c r="E3" i="142" s="1"/>
  <c r="BG14" i="142"/>
  <c r="E14" i="142" s="1"/>
  <c r="F14" i="142" s="1"/>
  <c r="CJ2" i="142"/>
  <c r="CK2" i="142" s="1"/>
  <c r="BP16" i="142"/>
  <c r="BH7" i="142"/>
  <c r="BP10" i="142"/>
  <c r="CF17" i="142"/>
  <c r="BH22" i="142"/>
  <c r="BG20" i="142"/>
  <c r="E20" i="142" s="1"/>
  <c r="F20" i="142" s="1"/>
  <c r="BH19" i="142"/>
  <c r="BG16" i="142"/>
  <c r="E16" i="142" s="1"/>
  <c r="F16" i="142" s="1"/>
  <c r="BG13" i="142"/>
  <c r="E13" i="142" s="1"/>
  <c r="F13" i="142" s="1"/>
  <c r="BH6" i="142"/>
  <c r="BP18" i="142"/>
  <c r="BG11" i="142"/>
  <c r="E11" i="142" s="1"/>
  <c r="F11" i="142" s="1"/>
  <c r="BL21" i="142"/>
  <c r="BG18" i="142"/>
  <c r="BH15" i="139"/>
  <c r="CF10" i="139"/>
  <c r="CF11" i="139"/>
  <c r="CF22" i="139"/>
  <c r="BH6" i="139"/>
  <c r="CF15" i="139"/>
  <c r="CF13" i="139"/>
  <c r="CF12" i="139"/>
  <c r="BP9" i="139"/>
  <c r="CF21" i="139"/>
  <c r="CF20" i="139"/>
  <c r="CF14" i="139"/>
  <c r="BG6" i="139"/>
  <c r="CF9" i="139"/>
  <c r="CF8" i="139"/>
  <c r="CF16" i="139"/>
  <c r="CF2" i="139"/>
  <c r="CF24" i="139"/>
  <c r="CF19" i="139"/>
  <c r="CF7" i="139"/>
  <c r="CF17" i="139"/>
  <c r="BP6" i="139"/>
  <c r="BL15" i="139"/>
  <c r="BL20" i="139"/>
  <c r="BH10" i="139"/>
  <c r="BG7" i="139"/>
  <c r="BG18" i="139"/>
  <c r="BH12" i="139"/>
  <c r="BP21" i="139"/>
  <c r="BP24" i="139"/>
  <c r="BH23" i="139"/>
  <c r="BH18" i="139"/>
  <c r="BG2" i="139"/>
  <c r="BH14" i="139"/>
  <c r="BL16" i="139"/>
  <c r="BG12" i="139"/>
  <c r="BP2" i="139"/>
  <c r="BQ2" i="139" s="1"/>
  <c r="BQ1" i="139" s="1"/>
  <c r="CF6" i="139"/>
  <c r="BP8" i="139"/>
  <c r="BP22" i="139"/>
  <c r="BL21" i="139"/>
  <c r="BG23" i="139"/>
  <c r="BL9" i="139"/>
  <c r="BP19" i="139"/>
  <c r="BH16" i="139"/>
  <c r="CJ2" i="139"/>
  <c r="CK2" i="139" s="1"/>
  <c r="BP11" i="139"/>
  <c r="BH17" i="139"/>
  <c r="BL23" i="139"/>
  <c r="BH24" i="139"/>
  <c r="BG8" i="139"/>
  <c r="BP14" i="139"/>
  <c r="BG9" i="139"/>
  <c r="BP17" i="139"/>
  <c r="BP18" i="139"/>
  <c r="BL18" i="139"/>
  <c r="BH21" i="139"/>
  <c r="BL2" i="139"/>
  <c r="BM2" i="139" s="1"/>
  <c r="BM1" i="139" s="1"/>
  <c r="BG24" i="139"/>
  <c r="BG13" i="139"/>
  <c r="BL7" i="139"/>
  <c r="CF23" i="139"/>
  <c r="BH20" i="139"/>
  <c r="CF18" i="139"/>
  <c r="BH8" i="139"/>
  <c r="BP23" i="139"/>
  <c r="BG10" i="139"/>
  <c r="BG5" i="139"/>
  <c r="BP16" i="139"/>
  <c r="BL11" i="139"/>
  <c r="BG22" i="139"/>
  <c r="BP20" i="139"/>
  <c r="BP12" i="139"/>
  <c r="BL12" i="139"/>
  <c r="BP7" i="139"/>
  <c r="BL6" i="139"/>
  <c r="BL10" i="139"/>
  <c r="BP15" i="139"/>
  <c r="BH13" i="139"/>
  <c r="BL22" i="139"/>
  <c r="BG19" i="139"/>
  <c r="BP10" i="139"/>
  <c r="BL8" i="139"/>
  <c r="BL24" i="139"/>
  <c r="BL19" i="139"/>
  <c r="BH9" i="139"/>
  <c r="BG14" i="139"/>
  <c r="BL17" i="139"/>
  <c r="BL14" i="139"/>
  <c r="BH22" i="139"/>
  <c r="BG16" i="139"/>
  <c r="BH5" i="139"/>
  <c r="BG11" i="139"/>
  <c r="BH7" i="139"/>
  <c r="BG17" i="139"/>
  <c r="BH11" i="139"/>
  <c r="BG21" i="139"/>
  <c r="BH19" i="139"/>
  <c r="BG20" i="139"/>
  <c r="BG15" i="139"/>
  <c r="BL6" i="132"/>
  <c r="BG9" i="137"/>
  <c r="CF22" i="137"/>
  <c r="CF12" i="137"/>
  <c r="CF8" i="137"/>
  <c r="BG8" i="137"/>
  <c r="CF24" i="137"/>
  <c r="CF19" i="137"/>
  <c r="BG8" i="136"/>
  <c r="CF23" i="137"/>
  <c r="CJ2" i="136"/>
  <c r="CK2" i="136" s="1"/>
  <c r="CF6" i="137"/>
  <c r="CF20" i="137"/>
  <c r="CF11" i="137"/>
  <c r="CF21" i="137"/>
  <c r="CF9" i="137"/>
  <c r="CF14" i="137"/>
  <c r="CF15" i="137"/>
  <c r="CF18" i="137"/>
  <c r="CJ2" i="137"/>
  <c r="CK2" i="137" s="1"/>
  <c r="CF17" i="137"/>
  <c r="BL12" i="136"/>
  <c r="CF7" i="137"/>
  <c r="BL2" i="137"/>
  <c r="BM2" i="137" s="1"/>
  <c r="BM1" i="137" s="1"/>
  <c r="CF16" i="137"/>
  <c r="CF10" i="137"/>
  <c r="CF13" i="137"/>
  <c r="BP6" i="137"/>
  <c r="CF2" i="137"/>
  <c r="BP24" i="136"/>
  <c r="BP11" i="137"/>
  <c r="BG20" i="137"/>
  <c r="BL14" i="136"/>
  <c r="BP2" i="137"/>
  <c r="BQ2" i="137" s="1"/>
  <c r="BQ1" i="137" s="1"/>
  <c r="BG5" i="136"/>
  <c r="BH11" i="136"/>
  <c r="BP18" i="136"/>
  <c r="BG16" i="137"/>
  <c r="BH13" i="136"/>
  <c r="BL18" i="137"/>
  <c r="BG2" i="136"/>
  <c r="BG10" i="137"/>
  <c r="BL15" i="136"/>
  <c r="BH8" i="137"/>
  <c r="BL10" i="136"/>
  <c r="BH19" i="136"/>
  <c r="BL24" i="136"/>
  <c r="BH15" i="136"/>
  <c r="BL21" i="137"/>
  <c r="CF17" i="136"/>
  <c r="BP16" i="137"/>
  <c r="BL21" i="136"/>
  <c r="BL12" i="137"/>
  <c r="BP21" i="136"/>
  <c r="BL20" i="136"/>
  <c r="BL17" i="136"/>
  <c r="BH6" i="137"/>
  <c r="BH20" i="136"/>
  <c r="BL7" i="136"/>
  <c r="BG9" i="136"/>
  <c r="CF6" i="136"/>
  <c r="BP10" i="137"/>
  <c r="BP7" i="136"/>
  <c r="BL8" i="137"/>
  <c r="BH24" i="136"/>
  <c r="BG13" i="137"/>
  <c r="BH8" i="136"/>
  <c r="BP8" i="137"/>
  <c r="BH21" i="137"/>
  <c r="CF16" i="136"/>
  <c r="BL11" i="136"/>
  <c r="BH20" i="137"/>
  <c r="BG5" i="137"/>
  <c r="BH14" i="136"/>
  <c r="BH19" i="137"/>
  <c r="BH7" i="137"/>
  <c r="BG13" i="136"/>
  <c r="BH22" i="137"/>
  <c r="BH8" i="132"/>
  <c r="BP19" i="137"/>
  <c r="BP12" i="136"/>
  <c r="CF15" i="136"/>
  <c r="CF24" i="136"/>
  <c r="BG12" i="137"/>
  <c r="BL16" i="136"/>
  <c r="BG10" i="136"/>
  <c r="BP17" i="137"/>
  <c r="BP12" i="137"/>
  <c r="BL9" i="136"/>
  <c r="CF7" i="136"/>
  <c r="BP11" i="136"/>
  <c r="CF21" i="136"/>
  <c r="BH23" i="137"/>
  <c r="BH22" i="136"/>
  <c r="BG17" i="137"/>
  <c r="BP16" i="136"/>
  <c r="BH18" i="136"/>
  <c r="BH24" i="137"/>
  <c r="BL2" i="136"/>
  <c r="BM2" i="136" s="1"/>
  <c r="BM1" i="136" s="1"/>
  <c r="BP9" i="137"/>
  <c r="BG21" i="136"/>
  <c r="BG8" i="132"/>
  <c r="BP20" i="136"/>
  <c r="BG23" i="137"/>
  <c r="BP19" i="136"/>
  <c r="BG17" i="136"/>
  <c r="BG24" i="136"/>
  <c r="BL7" i="137"/>
  <c r="BP20" i="137"/>
  <c r="BL6" i="137"/>
  <c r="BG12" i="136"/>
  <c r="CF9" i="136"/>
  <c r="BP14" i="137"/>
  <c r="BL14" i="137"/>
  <c r="BH8" i="133"/>
  <c r="BG2" i="137"/>
  <c r="BL16" i="137"/>
  <c r="CF18" i="136"/>
  <c r="CF12" i="136"/>
  <c r="BP7" i="137"/>
  <c r="BL19" i="136"/>
  <c r="BG22" i="137"/>
  <c r="BG22" i="136"/>
  <c r="BH17" i="137"/>
  <c r="CF8" i="136"/>
  <c r="BH7" i="136"/>
  <c r="BP14" i="136"/>
  <c r="BL19" i="137"/>
  <c r="BG18" i="136"/>
  <c r="BL23" i="136"/>
  <c r="BG16" i="136"/>
  <c r="BG11" i="137"/>
  <c r="BP24" i="137"/>
  <c r="BG19" i="136"/>
  <c r="BL22" i="137"/>
  <c r="CF19" i="136"/>
  <c r="CF22" i="136"/>
  <c r="BP8" i="136"/>
  <c r="BP9" i="136"/>
  <c r="BP18" i="137"/>
  <c r="BG24" i="137"/>
  <c r="BP22" i="137"/>
  <c r="BG7" i="137"/>
  <c r="BL8" i="136"/>
  <c r="BL17" i="137"/>
  <c r="BG14" i="132"/>
  <c r="CF10" i="132"/>
  <c r="BL18" i="132"/>
  <c r="BP12" i="133"/>
  <c r="CF13" i="136"/>
  <c r="BP10" i="136"/>
  <c r="BP23" i="136"/>
  <c r="BH23" i="136"/>
  <c r="BP18" i="133"/>
  <c r="CF12" i="132"/>
  <c r="BP21" i="133"/>
  <c r="BL10" i="137"/>
  <c r="BH17" i="136"/>
  <c r="CF19" i="132"/>
  <c r="BP12" i="132"/>
  <c r="BL11" i="133"/>
  <c r="CF18" i="133"/>
  <c r="CF9" i="133"/>
  <c r="BL9" i="132"/>
  <c r="BL17" i="132"/>
  <c r="BL24" i="132"/>
  <c r="BP19" i="133"/>
  <c r="CF11" i="136"/>
  <c r="BL6" i="136"/>
  <c r="BP6" i="136"/>
  <c r="CF2" i="136"/>
  <c r="CF21" i="132"/>
  <c r="BP14" i="133"/>
  <c r="BL7" i="132"/>
  <c r="BH14" i="137"/>
  <c r="BL24" i="137"/>
  <c r="BL20" i="137"/>
  <c r="BL11" i="137"/>
  <c r="BH15" i="137"/>
  <c r="BL21" i="133"/>
  <c r="CF20" i="132"/>
  <c r="BL24" i="133"/>
  <c r="BP22" i="132"/>
  <c r="CF17" i="133"/>
  <c r="CF8" i="132"/>
  <c r="CF22" i="132"/>
  <c r="CF8" i="133"/>
  <c r="CF12" i="133"/>
  <c r="BP22" i="133"/>
  <c r="BL20" i="133"/>
  <c r="BP20" i="132"/>
  <c r="BL23" i="137"/>
  <c r="CF14" i="136"/>
  <c r="BP6" i="133"/>
  <c r="BP23" i="132"/>
  <c r="BP7" i="132"/>
  <c r="BL7" i="133"/>
  <c r="BP24" i="133"/>
  <c r="BP17" i="132"/>
  <c r="BP16" i="132"/>
  <c r="BL18" i="133"/>
  <c r="CF6" i="133"/>
  <c r="BG18" i="137"/>
  <c r="BG14" i="136"/>
  <c r="BP2" i="136"/>
  <c r="BQ2" i="136" s="1"/>
  <c r="BQ1" i="136" s="1"/>
  <c r="BG15" i="136"/>
  <c r="BL15" i="137"/>
  <c r="CF10" i="133"/>
  <c r="CF6" i="132"/>
  <c r="BP11" i="133"/>
  <c r="CF16" i="132"/>
  <c r="CF24" i="132"/>
  <c r="BL8" i="133"/>
  <c r="BP21" i="132"/>
  <c r="BL10" i="133"/>
  <c r="CF14" i="133"/>
  <c r="BL17" i="133"/>
  <c r="BH5" i="137"/>
  <c r="BG8" i="133"/>
  <c r="BP23" i="137"/>
  <c r="CF10" i="136"/>
  <c r="BP8" i="132"/>
  <c r="CF20" i="136"/>
  <c r="BP16" i="133"/>
  <c r="CF17" i="132"/>
  <c r="BL21" i="132"/>
  <c r="BP10" i="132"/>
  <c r="BL15" i="133"/>
  <c r="CF22" i="133"/>
  <c r="BP15" i="133"/>
  <c r="BP22" i="136"/>
  <c r="BP15" i="137"/>
  <c r="BL18" i="136"/>
  <c r="BP21" i="137"/>
  <c r="BP17" i="136"/>
  <c r="BG14" i="137"/>
  <c r="BL9" i="137"/>
  <c r="BP23" i="133"/>
  <c r="CF15" i="133"/>
  <c r="CF14" i="132"/>
  <c r="CF16" i="133"/>
  <c r="BP20" i="133"/>
  <c r="BP15" i="132"/>
  <c r="CF23" i="133"/>
  <c r="BG21" i="137"/>
  <c r="CF23" i="136"/>
  <c r="BG6" i="136"/>
  <c r="BL22" i="136"/>
  <c r="BP15" i="136"/>
  <c r="CF11" i="133"/>
  <c r="BL14" i="132"/>
  <c r="BL22" i="133"/>
  <c r="BH13" i="132"/>
  <c r="BH16" i="136"/>
  <c r="BP11" i="132"/>
  <c r="BG10" i="133"/>
  <c r="BH13" i="133"/>
  <c r="BG15" i="133"/>
  <c r="BH7" i="133"/>
  <c r="BH11" i="132"/>
  <c r="BH23" i="133"/>
  <c r="BP14" i="132"/>
  <c r="BH17" i="132"/>
  <c r="CF15" i="132"/>
  <c r="BG5" i="133"/>
  <c r="BH10" i="137"/>
  <c r="BH6" i="136"/>
  <c r="BP18" i="132"/>
  <c r="BP6" i="132"/>
  <c r="BG7" i="133"/>
  <c r="BG7" i="132"/>
  <c r="BG14" i="133"/>
  <c r="BL10" i="132"/>
  <c r="BP9" i="132"/>
  <c r="BG18" i="132"/>
  <c r="BL14" i="133"/>
  <c r="BG19" i="132"/>
  <c r="BH6" i="133"/>
  <c r="BL8" i="132"/>
  <c r="BH19" i="133"/>
  <c r="BG11" i="136"/>
  <c r="CF7" i="133"/>
  <c r="CF20" i="133"/>
  <c r="CF24" i="133"/>
  <c r="BG5" i="132"/>
  <c r="BG9" i="132"/>
  <c r="BH6" i="132"/>
  <c r="BG19" i="137"/>
  <c r="BL20" i="132"/>
  <c r="BG11" i="133"/>
  <c r="BP9" i="133"/>
  <c r="BH10" i="133"/>
  <c r="BG21" i="132"/>
  <c r="BP19" i="132"/>
  <c r="BP17" i="133"/>
  <c r="BG12" i="133"/>
  <c r="BL22" i="132"/>
  <c r="BG6" i="133"/>
  <c r="BL12" i="133"/>
  <c r="CF11" i="132"/>
  <c r="BG23" i="133"/>
  <c r="CF9" i="132"/>
  <c r="BH20" i="133"/>
  <c r="BL6" i="133"/>
  <c r="BH11" i="133"/>
  <c r="BL12" i="132"/>
  <c r="BL19" i="132"/>
  <c r="BP10" i="133"/>
  <c r="BH9" i="137"/>
  <c r="BH12" i="137"/>
  <c r="BH9" i="136"/>
  <c r="BP7" i="133"/>
  <c r="BG6" i="132"/>
  <c r="CF18" i="132"/>
  <c r="BG13" i="132"/>
  <c r="BL11" i="132"/>
  <c r="BG9" i="133"/>
  <c r="CF13" i="132"/>
  <c r="BH13" i="137"/>
  <c r="CF19" i="133"/>
  <c r="BP24" i="132"/>
  <c r="CF21" i="133"/>
  <c r="CF23" i="132"/>
  <c r="BH20" i="132"/>
  <c r="BH5" i="132"/>
  <c r="BH16" i="132"/>
  <c r="BL23" i="133"/>
  <c r="BH9" i="133"/>
  <c r="BL15" i="132"/>
  <c r="BL16" i="133"/>
  <c r="BG19" i="133"/>
  <c r="BH7" i="132"/>
  <c r="BG15" i="137"/>
  <c r="CF13" i="133"/>
  <c r="BH18" i="137"/>
  <c r="BG20" i="136"/>
  <c r="BH16" i="137"/>
  <c r="BL23" i="132"/>
  <c r="CF7" i="132"/>
  <c r="BL16" i="132"/>
  <c r="BL9" i="133"/>
  <c r="BL19" i="133"/>
  <c r="BG10" i="132"/>
  <c r="BP8" i="133"/>
  <c r="BH5" i="133"/>
  <c r="BG21" i="133"/>
  <c r="BH22" i="132"/>
  <c r="BH21" i="133"/>
  <c r="BG7" i="136"/>
  <c r="BH18" i="133"/>
  <c r="BH14" i="133"/>
  <c r="BH21" i="136"/>
  <c r="BH14" i="132"/>
  <c r="BH22" i="133"/>
  <c r="BH24" i="133"/>
  <c r="BH16" i="133"/>
  <c r="BG6" i="137"/>
  <c r="BG16" i="133"/>
  <c r="BG12" i="132"/>
  <c r="BH21" i="132"/>
  <c r="BG18" i="133"/>
  <c r="BG20" i="132"/>
  <c r="BG23" i="132"/>
  <c r="BG24" i="132"/>
  <c r="BH12" i="132"/>
  <c r="BG24" i="133"/>
  <c r="BH9" i="132"/>
  <c r="BH12" i="136"/>
  <c r="BG23" i="136"/>
  <c r="BG22" i="132"/>
  <c r="BH15" i="133"/>
  <c r="BH17" i="133"/>
  <c r="BH15" i="132"/>
  <c r="BG20" i="133"/>
  <c r="BH23" i="132"/>
  <c r="BG13" i="133"/>
  <c r="BH18" i="132"/>
  <c r="BH10" i="136"/>
  <c r="BG17" i="132"/>
  <c r="BG22" i="133"/>
  <c r="BG16" i="132"/>
  <c r="BH19" i="132"/>
  <c r="BH5" i="136"/>
  <c r="BH24" i="132"/>
  <c r="BH12" i="133"/>
  <c r="BH11" i="137"/>
  <c r="BG11" i="132"/>
  <c r="BH10" i="132"/>
  <c r="BG15" i="132"/>
  <c r="BG17" i="133"/>
  <c r="BG2" i="132"/>
  <c r="CJ2" i="133"/>
  <c r="CK2" i="133" s="1"/>
  <c r="CF2" i="132"/>
  <c r="BG2" i="133"/>
  <c r="CF2" i="133"/>
  <c r="BP2" i="133"/>
  <c r="BQ2" i="133" s="1"/>
  <c r="BQ1" i="133" s="1"/>
  <c r="BL2" i="132"/>
  <c r="BM2" i="132" s="1"/>
  <c r="BM1" i="132" s="1"/>
  <c r="CJ2" i="132"/>
  <c r="CK2" i="132" s="1"/>
  <c r="BP2" i="132"/>
  <c r="BQ2" i="132" s="1"/>
  <c r="BQ1" i="132" s="1"/>
  <c r="BL2" i="133"/>
  <c r="BM2" i="133" s="1"/>
  <c r="BM1" i="133" s="1"/>
  <c r="BG5" i="131"/>
  <c r="BP6" i="131"/>
  <c r="EQ24" i="124"/>
  <c r="EQ8" i="124"/>
  <c r="EQ9" i="124"/>
  <c r="EQ15" i="124"/>
  <c r="EQ17" i="124"/>
  <c r="EQ14" i="124"/>
  <c r="EQ7" i="124"/>
  <c r="EQ23" i="124"/>
  <c r="EQ13" i="124"/>
  <c r="EQ11" i="124"/>
  <c r="EQ21" i="124"/>
  <c r="EQ22" i="124"/>
  <c r="EQ18" i="124"/>
  <c r="EQ6" i="124"/>
  <c r="EQ20" i="124"/>
  <c r="EQ12" i="124"/>
  <c r="EQ19" i="124"/>
  <c r="EQ16" i="124"/>
  <c r="CU1" i="124"/>
  <c r="CV2" i="124"/>
  <c r="DQ18" i="124"/>
  <c r="DQ7" i="124"/>
  <c r="DQ17" i="124"/>
  <c r="DQ6" i="124"/>
  <c r="DQ14" i="124"/>
  <c r="DQ23" i="124"/>
  <c r="DQ21" i="124"/>
  <c r="DQ9" i="124"/>
  <c r="DQ15" i="124"/>
  <c r="DQ22" i="124"/>
  <c r="DQ11" i="124"/>
  <c r="DQ19" i="124"/>
  <c r="DQ24" i="124"/>
  <c r="DQ8" i="124"/>
  <c r="DQ16" i="124"/>
  <c r="DQ12" i="124"/>
  <c r="DQ20" i="124"/>
  <c r="DQ13" i="124"/>
  <c r="DQ10" i="124"/>
  <c r="CT14" i="124"/>
  <c r="CT7" i="124"/>
  <c r="CT22" i="124"/>
  <c r="CT15" i="124"/>
  <c r="CT8" i="124"/>
  <c r="CT23" i="124"/>
  <c r="CT9" i="124"/>
  <c r="CT21" i="124"/>
  <c r="CT16" i="124"/>
  <c r="CT17" i="124"/>
  <c r="CT6" i="124"/>
  <c r="ER1" i="124"/>
  <c r="CT24" i="124"/>
  <c r="CT19" i="124"/>
  <c r="CT18" i="124"/>
  <c r="CT11" i="124"/>
  <c r="CT20" i="124"/>
  <c r="CT12" i="124"/>
  <c r="CT13" i="124"/>
  <c r="CT10" i="124"/>
  <c r="DS2" i="124"/>
  <c r="DR1" i="124"/>
  <c r="DS2" i="121"/>
  <c r="DR1" i="121"/>
  <c r="DQ22" i="121"/>
  <c r="DQ14" i="121"/>
  <c r="DQ12" i="121"/>
  <c r="DQ6" i="121"/>
  <c r="DQ16" i="121"/>
  <c r="DQ7" i="121"/>
  <c r="DQ11" i="121"/>
  <c r="DQ17" i="121"/>
  <c r="DQ21" i="121"/>
  <c r="DQ13" i="121"/>
  <c r="DQ19" i="121"/>
  <c r="DQ8" i="121"/>
  <c r="DQ18" i="121"/>
  <c r="DQ23" i="121"/>
  <c r="DQ20" i="121"/>
  <c r="DQ10" i="121"/>
  <c r="DQ15" i="121"/>
  <c r="DQ24" i="121"/>
  <c r="DQ9" i="121"/>
  <c r="EQ16" i="121"/>
  <c r="EQ9" i="121"/>
  <c r="EQ8" i="121"/>
  <c r="EQ18" i="121"/>
  <c r="EQ13" i="121"/>
  <c r="EQ14" i="121"/>
  <c r="EQ15" i="121"/>
  <c r="EQ19" i="121"/>
  <c r="EQ24" i="121"/>
  <c r="EQ7" i="121"/>
  <c r="EQ21" i="121"/>
  <c r="EQ12" i="121"/>
  <c r="EQ17" i="121"/>
  <c r="EQ6" i="121"/>
  <c r="EQ22" i="121"/>
  <c r="EQ11" i="121"/>
  <c r="EQ20" i="121"/>
  <c r="EQ23" i="121"/>
  <c r="CT24" i="121"/>
  <c r="CT15" i="121"/>
  <c r="CT8" i="121"/>
  <c r="CT6" i="121"/>
  <c r="CT12" i="121"/>
  <c r="CT11" i="121"/>
  <c r="CT16" i="121"/>
  <c r="CT9" i="121"/>
  <c r="CT23" i="121"/>
  <c r="CT14" i="121"/>
  <c r="ER1" i="121"/>
  <c r="CT21" i="121"/>
  <c r="CT20" i="121"/>
  <c r="CT10" i="121"/>
  <c r="CT22" i="121"/>
  <c r="CT18" i="121"/>
  <c r="CT7" i="121"/>
  <c r="CT13" i="121"/>
  <c r="CT19" i="121"/>
  <c r="CT17" i="121"/>
  <c r="CU1" i="121"/>
  <c r="CV2" i="121"/>
  <c r="EQ17" i="120"/>
  <c r="EQ12" i="120"/>
  <c r="EQ24" i="120"/>
  <c r="EQ15" i="120"/>
  <c r="EQ16" i="120"/>
  <c r="EQ14" i="120"/>
  <c r="EQ8" i="120"/>
  <c r="EQ19" i="120"/>
  <c r="EQ22" i="120"/>
  <c r="EQ18" i="120"/>
  <c r="EQ9" i="120"/>
  <c r="EQ11" i="120"/>
  <c r="EQ21" i="120"/>
  <c r="EQ23" i="120"/>
  <c r="EQ6" i="120"/>
  <c r="EQ20" i="120"/>
  <c r="EQ13" i="120"/>
  <c r="EQ7" i="120"/>
  <c r="DQ20" i="120"/>
  <c r="DQ11" i="120"/>
  <c r="DQ16" i="120"/>
  <c r="DQ10" i="120"/>
  <c r="DQ17" i="120"/>
  <c r="DQ9" i="120"/>
  <c r="DQ18" i="120"/>
  <c r="DQ23" i="120"/>
  <c r="DQ19" i="120"/>
  <c r="DQ8" i="120"/>
  <c r="DQ22" i="120"/>
  <c r="DQ15" i="120"/>
  <c r="DQ6" i="120"/>
  <c r="DQ21" i="120"/>
  <c r="DQ13" i="120"/>
  <c r="DQ7" i="120"/>
  <c r="DQ12" i="120"/>
  <c r="DQ24" i="120"/>
  <c r="DQ14" i="120"/>
  <c r="DR1" i="120"/>
  <c r="DS2" i="120"/>
  <c r="CT24" i="120"/>
  <c r="CT15" i="120"/>
  <c r="CT17" i="120"/>
  <c r="CT23" i="120"/>
  <c r="CT14" i="120"/>
  <c r="CT10" i="120"/>
  <c r="CT22" i="120"/>
  <c r="CT11" i="120"/>
  <c r="ER1" i="120"/>
  <c r="CT21" i="120"/>
  <c r="CT16" i="120"/>
  <c r="CT6" i="120"/>
  <c r="CT19" i="120"/>
  <c r="CT8" i="120"/>
  <c r="CT12" i="120"/>
  <c r="CT20" i="120"/>
  <c r="CT13" i="120"/>
  <c r="CT9" i="120"/>
  <c r="CT18" i="120"/>
  <c r="CT7" i="120"/>
  <c r="CV2" i="120"/>
  <c r="CU1" i="120"/>
  <c r="DS2" i="119"/>
  <c r="DR1" i="119"/>
  <c r="CV2" i="119"/>
  <c r="CU1" i="119"/>
  <c r="DQ17" i="119"/>
  <c r="DQ11" i="119"/>
  <c r="DQ23" i="119"/>
  <c r="DQ16" i="119"/>
  <c r="DQ10" i="119"/>
  <c r="DQ22" i="119"/>
  <c r="DQ13" i="119"/>
  <c r="DQ7" i="119"/>
  <c r="DQ20" i="119"/>
  <c r="DQ14" i="119"/>
  <c r="DQ12" i="119"/>
  <c r="DQ24" i="119"/>
  <c r="DQ19" i="119"/>
  <c r="DQ9" i="119"/>
  <c r="DQ18" i="119"/>
  <c r="DQ8" i="119"/>
  <c r="DQ21" i="119"/>
  <c r="DQ6" i="119"/>
  <c r="DQ15" i="119"/>
  <c r="CT16" i="119"/>
  <c r="CT11" i="119"/>
  <c r="CT24" i="119"/>
  <c r="CT14" i="119"/>
  <c r="CT6" i="119"/>
  <c r="CT23" i="119"/>
  <c r="CT13" i="119"/>
  <c r="CT8" i="119"/>
  <c r="CT21" i="119"/>
  <c r="CT17" i="119"/>
  <c r="CT7" i="119"/>
  <c r="CT15" i="119"/>
  <c r="CT19" i="119"/>
  <c r="CT12" i="119"/>
  <c r="CT18" i="119"/>
  <c r="CT10" i="119"/>
  <c r="CT22" i="119"/>
  <c r="CT9" i="119"/>
  <c r="CT20" i="119"/>
  <c r="ER1" i="119"/>
  <c r="EQ21" i="119"/>
  <c r="EQ16" i="119"/>
  <c r="EQ20" i="119"/>
  <c r="EQ12" i="119"/>
  <c r="EQ17" i="119"/>
  <c r="EQ9" i="119"/>
  <c r="EQ23" i="119"/>
  <c r="EQ8" i="119"/>
  <c r="EQ18" i="119"/>
  <c r="EQ24" i="119"/>
  <c r="EQ15" i="119"/>
  <c r="EQ11" i="119"/>
  <c r="EQ22" i="119"/>
  <c r="EQ14" i="119"/>
  <c r="EQ6" i="119"/>
  <c r="EQ19" i="119"/>
  <c r="EQ13" i="119"/>
  <c r="EQ7" i="119"/>
  <c r="CU24" i="116"/>
  <c r="CU17" i="116"/>
  <c r="CU8" i="116"/>
  <c r="CU22" i="116"/>
  <c r="CU16" i="116"/>
  <c r="ES1" i="116"/>
  <c r="CU6" i="116"/>
  <c r="CU19" i="116"/>
  <c r="CU23" i="116"/>
  <c r="CU15" i="116"/>
  <c r="CU7" i="116"/>
  <c r="CU20" i="116"/>
  <c r="CU11" i="116"/>
  <c r="CU10" i="116"/>
  <c r="CU21" i="116"/>
  <c r="CU14" i="116"/>
  <c r="CU9" i="116"/>
  <c r="CU18" i="116"/>
  <c r="CU13" i="116"/>
  <c r="CU12" i="116"/>
  <c r="CW2" i="116"/>
  <c r="CV1" i="116"/>
  <c r="DT2" i="116"/>
  <c r="DS1" i="116"/>
  <c r="DR20" i="116"/>
  <c r="DR11" i="116"/>
  <c r="DR8" i="116"/>
  <c r="DR22" i="116"/>
  <c r="DR16" i="116"/>
  <c r="DR7" i="116"/>
  <c r="DR21" i="116"/>
  <c r="DR19" i="116"/>
  <c r="DR6" i="116"/>
  <c r="DR23" i="116"/>
  <c r="DR17" i="116"/>
  <c r="DR24" i="116"/>
  <c r="DR15" i="116"/>
  <c r="DR18" i="116"/>
  <c r="DR12" i="116"/>
  <c r="DR14" i="116"/>
  <c r="DR10" i="116"/>
  <c r="DR13" i="116"/>
  <c r="DR9" i="116"/>
  <c r="ER19" i="116"/>
  <c r="ER16" i="116"/>
  <c r="ER7" i="116"/>
  <c r="ER22" i="116"/>
  <c r="ER14" i="116"/>
  <c r="ER12" i="116"/>
  <c r="ER23" i="116"/>
  <c r="ER24" i="116"/>
  <c r="ER13" i="116"/>
  <c r="ER6" i="116"/>
  <c r="ER8" i="116"/>
  <c r="ER21" i="116"/>
  <c r="ER11" i="116"/>
  <c r="ER18" i="116"/>
  <c r="ER20" i="116"/>
  <c r="ER17" i="116"/>
  <c r="ER15" i="116"/>
  <c r="ER9" i="116"/>
  <c r="O28" i="87"/>
  <c r="O29" i="87"/>
  <c r="ER23" i="113"/>
  <c r="ER14" i="113"/>
  <c r="ER12" i="113"/>
  <c r="ER22" i="113"/>
  <c r="ER13" i="113"/>
  <c r="ER6" i="113"/>
  <c r="ER21" i="113"/>
  <c r="ER15" i="113"/>
  <c r="ER8" i="113"/>
  <c r="ER20" i="113"/>
  <c r="ER16" i="113"/>
  <c r="ER7" i="113"/>
  <c r="ER19" i="113"/>
  <c r="ER11" i="113"/>
  <c r="ER18" i="113"/>
  <c r="ER9" i="113"/>
  <c r="ER24" i="113"/>
  <c r="ER17" i="113"/>
  <c r="DR18" i="112"/>
  <c r="DR6" i="112"/>
  <c r="DR12" i="112"/>
  <c r="DR15" i="112"/>
  <c r="DR11" i="112"/>
  <c r="DR22" i="112"/>
  <c r="DR14" i="112"/>
  <c r="DR8" i="112"/>
  <c r="DR20" i="112"/>
  <c r="DR21" i="112"/>
  <c r="DR17" i="112"/>
  <c r="DR10" i="112"/>
  <c r="DR13" i="112"/>
  <c r="DR23" i="112"/>
  <c r="DR9" i="112"/>
  <c r="DR19" i="112"/>
  <c r="DR16" i="112"/>
  <c r="DR24" i="112"/>
  <c r="DR7" i="112"/>
  <c r="DR19" i="113"/>
  <c r="DR8" i="113"/>
  <c r="DR9" i="113"/>
  <c r="DR18" i="113"/>
  <c r="DR7" i="113"/>
  <c r="DR16" i="113"/>
  <c r="DR11" i="113"/>
  <c r="DR17" i="113"/>
  <c r="DR24" i="113"/>
  <c r="DR15" i="113"/>
  <c r="DR10" i="113"/>
  <c r="DR22" i="113"/>
  <c r="DR21" i="113"/>
  <c r="DR12" i="113"/>
  <c r="DR23" i="113"/>
  <c r="DR14" i="113"/>
  <c r="DR13" i="113"/>
  <c r="DR20" i="113"/>
  <c r="DR6" i="113"/>
  <c r="DT2" i="112"/>
  <c r="DS1" i="112"/>
  <c r="DT2" i="113"/>
  <c r="DS1" i="113"/>
  <c r="CW2" i="112"/>
  <c r="CV1" i="112"/>
  <c r="ER20" i="112"/>
  <c r="ER6" i="112"/>
  <c r="ER7" i="112"/>
  <c r="ER15" i="112"/>
  <c r="ER19" i="112"/>
  <c r="ER18" i="112"/>
  <c r="ER8" i="112"/>
  <c r="ER23" i="112"/>
  <c r="ER12" i="112"/>
  <c r="ER16" i="112"/>
  <c r="ER24" i="112"/>
  <c r="ER14" i="112"/>
  <c r="ER11" i="112"/>
  <c r="ER21" i="112"/>
  <c r="ER17" i="112"/>
  <c r="ER13" i="112"/>
  <c r="ER22" i="112"/>
  <c r="ER9" i="112"/>
  <c r="CU20" i="112"/>
  <c r="CU12" i="112"/>
  <c r="CU7" i="112"/>
  <c r="CU17" i="112"/>
  <c r="CU19" i="112"/>
  <c r="CU9" i="112"/>
  <c r="CU6" i="112"/>
  <c r="CU16" i="112"/>
  <c r="ES1" i="112"/>
  <c r="CU18" i="112"/>
  <c r="CU23" i="112"/>
  <c r="CU22" i="112"/>
  <c r="CU15" i="112"/>
  <c r="CU11" i="112"/>
  <c r="CU24" i="112"/>
  <c r="CU10" i="112"/>
  <c r="CU21" i="112"/>
  <c r="CU14" i="112"/>
  <c r="CU8" i="112"/>
  <c r="CU13" i="112"/>
  <c r="CU23" i="113"/>
  <c r="CU14" i="113"/>
  <c r="CU10" i="113"/>
  <c r="CU9" i="113"/>
  <c r="CU20" i="113"/>
  <c r="CU21" i="113"/>
  <c r="CU7" i="113"/>
  <c r="CU22" i="113"/>
  <c r="CU12" i="113"/>
  <c r="CU16" i="113"/>
  <c r="CU18" i="113"/>
  <c r="CU13" i="113"/>
  <c r="CU8" i="113"/>
  <c r="CU19" i="113"/>
  <c r="CU6" i="113"/>
  <c r="CU17" i="113"/>
  <c r="CU11" i="113"/>
  <c r="CU24" i="113"/>
  <c r="CU15" i="113"/>
  <c r="ES1" i="113"/>
  <c r="CV1" i="113"/>
  <c r="CW2" i="113"/>
  <c r="BQ27" i="89"/>
  <c r="P13" i="88"/>
  <c r="O29" i="88" s="1"/>
  <c r="CV2" i="108"/>
  <c r="CU1" i="108"/>
  <c r="CT13" i="108"/>
  <c r="CT18" i="108"/>
  <c r="ER1" i="108"/>
  <c r="CT14" i="108"/>
  <c r="CT24" i="108"/>
  <c r="CT12" i="108"/>
  <c r="CT16" i="108"/>
  <c r="CT23" i="108"/>
  <c r="CT11" i="108"/>
  <c r="CT22" i="108"/>
  <c r="CT10" i="108"/>
  <c r="CT21" i="108"/>
  <c r="CT9" i="108"/>
  <c r="CT19" i="108"/>
  <c r="CT6" i="108"/>
  <c r="CT17" i="108"/>
  <c r="CT20" i="108"/>
  <c r="CT8" i="108"/>
  <c r="CT7" i="108"/>
  <c r="CT15" i="108"/>
  <c r="DQ16" i="108"/>
  <c r="DQ20" i="108"/>
  <c r="DQ7" i="108"/>
  <c r="DQ6" i="108"/>
  <c r="DQ15" i="108"/>
  <c r="DQ8" i="108"/>
  <c r="DQ14" i="108"/>
  <c r="DQ19" i="108"/>
  <c r="DQ18" i="108"/>
  <c r="DQ13" i="108"/>
  <c r="DQ10" i="108"/>
  <c r="DQ24" i="108"/>
  <c r="DQ12" i="108"/>
  <c r="DQ21" i="108"/>
  <c r="DQ9" i="108"/>
  <c r="DQ17" i="108"/>
  <c r="DQ23" i="108"/>
  <c r="DQ11" i="108"/>
  <c r="DQ22" i="108"/>
  <c r="DR1" i="108"/>
  <c r="DS2" i="108"/>
  <c r="DR18" i="109"/>
  <c r="DR6" i="109"/>
  <c r="DR17" i="109"/>
  <c r="DR23" i="109"/>
  <c r="DR9" i="109"/>
  <c r="DR16" i="109"/>
  <c r="DR15" i="109"/>
  <c r="DR14" i="109"/>
  <c r="DR24" i="109"/>
  <c r="DR11" i="109"/>
  <c r="DR21" i="109"/>
  <c r="DR20" i="109"/>
  <c r="DR19" i="109"/>
  <c r="DR7" i="109"/>
  <c r="DR13" i="109"/>
  <c r="DR12" i="109"/>
  <c r="DR8" i="109"/>
  <c r="DR22" i="109"/>
  <c r="DR10" i="109"/>
  <c r="DT2" i="109"/>
  <c r="DS1" i="109"/>
  <c r="BQ13" i="90"/>
  <c r="O13" i="90" s="1"/>
  <c r="BR13" i="108"/>
  <c r="BR27" i="108" s="1"/>
  <c r="EQ23" i="108"/>
  <c r="EQ11" i="108"/>
  <c r="EQ13" i="108"/>
  <c r="EQ22" i="108"/>
  <c r="EQ17" i="108"/>
  <c r="EQ16" i="108"/>
  <c r="EQ21" i="108"/>
  <c r="EQ9" i="108"/>
  <c r="EQ20" i="108"/>
  <c r="EQ8" i="108"/>
  <c r="EQ15" i="108"/>
  <c r="EQ12" i="108"/>
  <c r="EQ19" i="108"/>
  <c r="EQ7" i="108"/>
  <c r="EQ24" i="108"/>
  <c r="EQ18" i="108"/>
  <c r="EQ6" i="108"/>
  <c r="EQ14" i="108"/>
  <c r="ER13" i="109"/>
  <c r="ER24" i="109"/>
  <c r="ER12" i="109"/>
  <c r="ER16" i="109"/>
  <c r="ER23" i="109"/>
  <c r="ER11" i="109"/>
  <c r="ER22" i="109"/>
  <c r="ER21" i="109"/>
  <c r="ER9" i="109"/>
  <c r="ER7" i="109"/>
  <c r="ER18" i="109"/>
  <c r="ER6" i="109"/>
  <c r="ER14" i="109"/>
  <c r="ER20" i="109"/>
  <c r="ER8" i="109"/>
  <c r="ER19" i="109"/>
  <c r="ER15" i="109"/>
  <c r="ER17" i="109"/>
  <c r="CV1" i="109"/>
  <c r="CW2" i="109"/>
  <c r="CU15" i="109"/>
  <c r="CU14" i="109"/>
  <c r="CU21" i="109"/>
  <c r="CU13" i="109"/>
  <c r="CU18" i="109"/>
  <c r="CU24" i="109"/>
  <c r="CU12" i="109"/>
  <c r="CU23" i="109"/>
  <c r="CU11" i="109"/>
  <c r="CU8" i="109"/>
  <c r="CU6" i="109"/>
  <c r="CU17" i="109"/>
  <c r="ES1" i="109"/>
  <c r="CU16" i="109"/>
  <c r="CU22" i="109"/>
  <c r="CU10" i="109"/>
  <c r="CU9" i="109"/>
  <c r="CU20" i="109"/>
  <c r="CU19" i="109"/>
  <c r="CU7" i="109"/>
  <c r="DS2" i="106"/>
  <c r="DR1" i="106"/>
  <c r="DQ24" i="106"/>
  <c r="DQ16" i="106"/>
  <c r="DQ8" i="106"/>
  <c r="DQ23" i="106"/>
  <c r="DQ15" i="106"/>
  <c r="DQ7" i="106"/>
  <c r="DQ22" i="106"/>
  <c r="DQ14" i="106"/>
  <c r="DQ6" i="106"/>
  <c r="DQ17" i="106"/>
  <c r="DQ21" i="106"/>
  <c r="DQ13" i="106"/>
  <c r="DQ20" i="106"/>
  <c r="DQ12" i="106"/>
  <c r="DQ9" i="106"/>
  <c r="DQ19" i="106"/>
  <c r="DQ11" i="106"/>
  <c r="DQ18" i="106"/>
  <c r="DQ10" i="106"/>
  <c r="Q10" i="87"/>
  <c r="R10" i="87" s="1"/>
  <c r="Q30" i="87" s="1"/>
  <c r="CV2" i="106"/>
  <c r="CU1" i="106"/>
  <c r="BU13" i="89"/>
  <c r="Q13" i="89" s="1"/>
  <c r="R13" i="89" s="1"/>
  <c r="BV13" i="106"/>
  <c r="CT21" i="106"/>
  <c r="CT13" i="106"/>
  <c r="ER1" i="106"/>
  <c r="CT14" i="106"/>
  <c r="CT20" i="106"/>
  <c r="CT12" i="106"/>
  <c r="CT22" i="106"/>
  <c r="CT19" i="106"/>
  <c r="CT11" i="106"/>
  <c r="CT18" i="106"/>
  <c r="CT10" i="106"/>
  <c r="CT6" i="106"/>
  <c r="CT17" i="106"/>
  <c r="CT9" i="106"/>
  <c r="CT24" i="106"/>
  <c r="CT16" i="106"/>
  <c r="CT8" i="106"/>
  <c r="CT23" i="106"/>
  <c r="CT15" i="106"/>
  <c r="CT7" i="106"/>
  <c r="EQ19" i="106"/>
  <c r="EQ11" i="106"/>
  <c r="EQ18" i="106"/>
  <c r="EQ17" i="106"/>
  <c r="EQ9" i="106"/>
  <c r="EQ24" i="106"/>
  <c r="EQ16" i="106"/>
  <c r="EQ8" i="106"/>
  <c r="EQ23" i="106"/>
  <c r="EQ15" i="106"/>
  <c r="EQ7" i="106"/>
  <c r="EQ22" i="106"/>
  <c r="EQ14" i="106"/>
  <c r="EQ6" i="106"/>
  <c r="EQ12" i="106"/>
  <c r="EQ21" i="106"/>
  <c r="EQ13" i="106"/>
  <c r="EQ20" i="106"/>
  <c r="CV2" i="105"/>
  <c r="CU1" i="105"/>
  <c r="EQ19" i="105"/>
  <c r="EQ7" i="105"/>
  <c r="EQ18" i="105"/>
  <c r="EQ6" i="105"/>
  <c r="EQ17" i="105"/>
  <c r="EQ13" i="105"/>
  <c r="EQ9" i="105"/>
  <c r="EQ16" i="105"/>
  <c r="EQ24" i="105"/>
  <c r="EQ23" i="105"/>
  <c r="EQ8" i="105"/>
  <c r="EQ15" i="105"/>
  <c r="EQ14" i="105"/>
  <c r="EQ12" i="105"/>
  <c r="EQ11" i="105"/>
  <c r="EQ22" i="105"/>
  <c r="EQ21" i="105"/>
  <c r="EQ20" i="105"/>
  <c r="CT21" i="105"/>
  <c r="CT9" i="105"/>
  <c r="CT20" i="105"/>
  <c r="CT8" i="105"/>
  <c r="CT19" i="105"/>
  <c r="CT7" i="105"/>
  <c r="CT16" i="105"/>
  <c r="CT15" i="105"/>
  <c r="CT13" i="105"/>
  <c r="CT24" i="105"/>
  <c r="CT22" i="105"/>
  <c r="CT18" i="105"/>
  <c r="CT6" i="105"/>
  <c r="CT14" i="105"/>
  <c r="CT12" i="105"/>
  <c r="CT11" i="105"/>
  <c r="CT17" i="105"/>
  <c r="ER1" i="105"/>
  <c r="CT23" i="105"/>
  <c r="CT10" i="105"/>
  <c r="BU10" i="88"/>
  <c r="Q10" i="88" s="1"/>
  <c r="R10" i="88" s="1"/>
  <c r="Q30" i="88" s="1"/>
  <c r="BV10" i="105"/>
  <c r="BV27" i="105" s="1"/>
  <c r="DS2" i="105"/>
  <c r="DR1" i="105"/>
  <c r="DQ24" i="105"/>
  <c r="DQ12" i="105"/>
  <c r="DQ23" i="105"/>
  <c r="DQ11" i="105"/>
  <c r="DQ22" i="105"/>
  <c r="DQ10" i="105"/>
  <c r="DQ17" i="105"/>
  <c r="DQ14" i="105"/>
  <c r="DQ21" i="105"/>
  <c r="DQ9" i="105"/>
  <c r="DQ7" i="105"/>
  <c r="DQ18" i="105"/>
  <c r="DQ16" i="105"/>
  <c r="DQ13" i="105"/>
  <c r="DQ20" i="105"/>
  <c r="DQ8" i="105"/>
  <c r="DQ19" i="105"/>
  <c r="DQ6" i="105"/>
  <c r="DQ15" i="105"/>
  <c r="EP10" i="98"/>
  <c r="EQ10" i="100"/>
  <c r="EB24" i="100"/>
  <c r="EB23" i="100"/>
  <c r="EB22" i="100"/>
  <c r="EB21" i="100"/>
  <c r="EB20" i="100"/>
  <c r="EB19" i="100"/>
  <c r="EB18" i="100"/>
  <c r="EB17" i="100"/>
  <c r="EB16" i="100"/>
  <c r="EB15" i="100"/>
  <c r="EB14" i="100"/>
  <c r="EB13" i="100"/>
  <c r="EB12" i="100"/>
  <c r="EB11" i="100"/>
  <c r="EB10" i="100"/>
  <c r="EB9" i="100"/>
  <c r="EB8" i="100"/>
  <c r="EB7" i="100"/>
  <c r="EB6" i="100"/>
  <c r="ED2" i="100"/>
  <c r="EC1" i="100"/>
  <c r="DE24" i="100"/>
  <c r="DE23" i="100"/>
  <c r="DE22" i="100"/>
  <c r="DE21" i="100"/>
  <c r="DE20" i="100"/>
  <c r="DE19" i="100"/>
  <c r="DE18" i="100"/>
  <c r="DE17" i="100"/>
  <c r="DE16" i="100"/>
  <c r="DE15" i="100"/>
  <c r="DE14" i="100"/>
  <c r="DE13" i="100"/>
  <c r="DE12" i="100"/>
  <c r="DE11" i="100"/>
  <c r="DE10" i="100"/>
  <c r="DE9" i="100"/>
  <c r="DE8" i="100"/>
  <c r="DE7" i="100"/>
  <c r="DE6" i="100"/>
  <c r="FC1" i="100"/>
  <c r="DF24" i="100"/>
  <c r="DF23" i="100"/>
  <c r="DF22" i="100"/>
  <c r="DF21" i="100"/>
  <c r="DF20" i="100"/>
  <c r="DF19" i="100"/>
  <c r="DF18" i="100"/>
  <c r="DF17" i="100"/>
  <c r="DF16" i="100"/>
  <c r="DF15" i="100"/>
  <c r="DF14" i="100"/>
  <c r="DF13" i="100"/>
  <c r="DF12" i="100"/>
  <c r="DF11" i="100"/>
  <c r="DF10" i="100"/>
  <c r="DF9" i="100"/>
  <c r="DF8" i="100"/>
  <c r="DF7" i="100"/>
  <c r="DF6" i="100"/>
  <c r="FD1" i="100"/>
  <c r="U3" i="100"/>
  <c r="FB24" i="100"/>
  <c r="FB23" i="100"/>
  <c r="FB22" i="100"/>
  <c r="FB21" i="100"/>
  <c r="FB20" i="100"/>
  <c r="FB19" i="100"/>
  <c r="FB18" i="100"/>
  <c r="FB17" i="100"/>
  <c r="FB16" i="100"/>
  <c r="FB15" i="100"/>
  <c r="FB14" i="100"/>
  <c r="FB13" i="100"/>
  <c r="FB12" i="100"/>
  <c r="FB11" i="100"/>
  <c r="FB10" i="100"/>
  <c r="FB9" i="100"/>
  <c r="FB8" i="100"/>
  <c r="FB7" i="100"/>
  <c r="FB6" i="100"/>
  <c r="FD24" i="98"/>
  <c r="FD23" i="98"/>
  <c r="FD22" i="98"/>
  <c r="FD21" i="98"/>
  <c r="FD20" i="98"/>
  <c r="FD19" i="98"/>
  <c r="FD18" i="98"/>
  <c r="FD17" i="98"/>
  <c r="FD16" i="98"/>
  <c r="FD15" i="98"/>
  <c r="FD14" i="98"/>
  <c r="FD13" i="98"/>
  <c r="FD12" i="98"/>
  <c r="FD11" i="98"/>
  <c r="FD10" i="98"/>
  <c r="FD9" i="98"/>
  <c r="FD8" i="98"/>
  <c r="FD7" i="98"/>
  <c r="FD6" i="98"/>
  <c r="FC24" i="98"/>
  <c r="FC23" i="98"/>
  <c r="FC22" i="98"/>
  <c r="FC21" i="98"/>
  <c r="FC20" i="98"/>
  <c r="FC19" i="98"/>
  <c r="FC18" i="98"/>
  <c r="FC17" i="98"/>
  <c r="FC16" i="98"/>
  <c r="FC15" i="98"/>
  <c r="FC14" i="98"/>
  <c r="FC13" i="98"/>
  <c r="FC12" i="98"/>
  <c r="FC11" i="98"/>
  <c r="FC10" i="98"/>
  <c r="FC9" i="98"/>
  <c r="FC8" i="98"/>
  <c r="FC7" i="98"/>
  <c r="FC6" i="98"/>
  <c r="BY6" i="98"/>
  <c r="BY7" i="98"/>
  <c r="U7" i="98" s="1"/>
  <c r="V7" i="98" s="1"/>
  <c r="BY8" i="98"/>
  <c r="U8" i="98" s="1"/>
  <c r="V8" i="98" s="1"/>
  <c r="BY9" i="98"/>
  <c r="U9" i="98" s="1"/>
  <c r="V9" i="98" s="1"/>
  <c r="BY10" i="98"/>
  <c r="U10" i="98" s="1"/>
  <c r="V10" i="98" s="1"/>
  <c r="BY11" i="98"/>
  <c r="U11" i="98" s="1"/>
  <c r="V11" i="98" s="1"/>
  <c r="BY12" i="98"/>
  <c r="U12" i="98" s="1"/>
  <c r="V12" i="98" s="1"/>
  <c r="BY13" i="98"/>
  <c r="U13" i="98" s="1"/>
  <c r="V13" i="98" s="1"/>
  <c r="BY14" i="98"/>
  <c r="U14" i="98" s="1"/>
  <c r="V14" i="98" s="1"/>
  <c r="BY15" i="98"/>
  <c r="U15" i="98" s="1"/>
  <c r="V15" i="98" s="1"/>
  <c r="BY16" i="98"/>
  <c r="U16" i="98" s="1"/>
  <c r="V16" i="98" s="1"/>
  <c r="BY17" i="98"/>
  <c r="U17" i="98" s="1"/>
  <c r="V17" i="98" s="1"/>
  <c r="BY18" i="98"/>
  <c r="U18" i="98" s="1"/>
  <c r="V18" i="98" s="1"/>
  <c r="BY19" i="98"/>
  <c r="U19" i="98" s="1"/>
  <c r="V19" i="98" s="1"/>
  <c r="BY20" i="98"/>
  <c r="U20" i="98" s="1"/>
  <c r="V20" i="98" s="1"/>
  <c r="BY21" i="98"/>
  <c r="U21" i="98" s="1"/>
  <c r="V21" i="98" s="1"/>
  <c r="BY22" i="98"/>
  <c r="U22" i="98" s="1"/>
  <c r="V22" i="98" s="1"/>
  <c r="BY23" i="98"/>
  <c r="U23" i="98" s="1"/>
  <c r="V23" i="98" s="1"/>
  <c r="BY24" i="98"/>
  <c r="U24" i="98" s="1"/>
  <c r="V24" i="98" s="1"/>
  <c r="EC24" i="98"/>
  <c r="EC23" i="98"/>
  <c r="EC22" i="98"/>
  <c r="EC21" i="98"/>
  <c r="EC20" i="98"/>
  <c r="EC19" i="98"/>
  <c r="EC18" i="98"/>
  <c r="EC17" i="98"/>
  <c r="EC16" i="98"/>
  <c r="EC15" i="98"/>
  <c r="EC14" i="98"/>
  <c r="EC13" i="98"/>
  <c r="EC12" i="98"/>
  <c r="EC11" i="98"/>
  <c r="EC10" i="98"/>
  <c r="EC9" i="98"/>
  <c r="EC8" i="98"/>
  <c r="EC7" i="98"/>
  <c r="EC6" i="98"/>
  <c r="EE2" i="98"/>
  <c r="EE1" i="98" s="1"/>
  <c r="ED1" i="98"/>
  <c r="EM10" i="95"/>
  <c r="EN10" i="96"/>
  <c r="EO10" i="97"/>
  <c r="ED24" i="97"/>
  <c r="ED23" i="97"/>
  <c r="ED22" i="97"/>
  <c r="ED21" i="97"/>
  <c r="ED20" i="97"/>
  <c r="ED19" i="97"/>
  <c r="ED18" i="97"/>
  <c r="ED17" i="97"/>
  <c r="ED16" i="97"/>
  <c r="ED15" i="97"/>
  <c r="ED14" i="97"/>
  <c r="ED13" i="97"/>
  <c r="ED12" i="97"/>
  <c r="ED11" i="97"/>
  <c r="ED10" i="97"/>
  <c r="ED9" i="97"/>
  <c r="ED8" i="97"/>
  <c r="ED7" i="97"/>
  <c r="ED6" i="97"/>
  <c r="EE24" i="97"/>
  <c r="EE23" i="97"/>
  <c r="EE22" i="97"/>
  <c r="EE21" i="97"/>
  <c r="EE20" i="97"/>
  <c r="EE19" i="97"/>
  <c r="EE18" i="97"/>
  <c r="EE17" i="97"/>
  <c r="EE16" i="97"/>
  <c r="EE15" i="97"/>
  <c r="EE14" i="97"/>
  <c r="EE13" i="97"/>
  <c r="EE12" i="97"/>
  <c r="EE11" i="97"/>
  <c r="EE10" i="97"/>
  <c r="EE9" i="97"/>
  <c r="EE8" i="97"/>
  <c r="EE7" i="97"/>
  <c r="EE6" i="97"/>
  <c r="BY27" i="97"/>
  <c r="BX28" i="97" s="1"/>
  <c r="U6" i="97"/>
  <c r="CC27" i="95"/>
  <c r="CB28" i="95" s="1"/>
  <c r="W6" i="95"/>
  <c r="X6" i="95" s="1"/>
  <c r="T30" i="96"/>
  <c r="T29" i="96"/>
  <c r="T28" i="96"/>
  <c r="V6" i="96"/>
  <c r="CC6" i="96"/>
  <c r="CC7" i="96"/>
  <c r="W7" i="96" s="1"/>
  <c r="X7" i="96" s="1"/>
  <c r="CC8" i="96"/>
  <c r="W8" i="96" s="1"/>
  <c r="X8" i="96" s="1"/>
  <c r="CC9" i="96"/>
  <c r="W9" i="96" s="1"/>
  <c r="X9" i="96" s="1"/>
  <c r="CC10" i="96"/>
  <c r="W10" i="96" s="1"/>
  <c r="X10" i="96" s="1"/>
  <c r="CC11" i="96"/>
  <c r="W11" i="96" s="1"/>
  <c r="X11" i="96" s="1"/>
  <c r="CC12" i="96"/>
  <c r="W12" i="96" s="1"/>
  <c r="X12" i="96" s="1"/>
  <c r="CC13" i="96"/>
  <c r="W13" i="96" s="1"/>
  <c r="X13" i="96" s="1"/>
  <c r="CC14" i="96"/>
  <c r="W14" i="96" s="1"/>
  <c r="X14" i="96" s="1"/>
  <c r="CC15" i="96"/>
  <c r="W15" i="96" s="1"/>
  <c r="X15" i="96" s="1"/>
  <c r="CC16" i="96"/>
  <c r="CC17" i="96"/>
  <c r="CC18" i="96"/>
  <c r="W18" i="96" s="1"/>
  <c r="X18" i="96" s="1"/>
  <c r="CC19" i="96"/>
  <c r="W19" i="96" s="1"/>
  <c r="X19" i="96" s="1"/>
  <c r="CC20" i="96"/>
  <c r="W20" i="96" s="1"/>
  <c r="X20" i="96" s="1"/>
  <c r="CC21" i="96"/>
  <c r="W21" i="96" s="1"/>
  <c r="X21" i="96" s="1"/>
  <c r="CC22" i="96"/>
  <c r="W22" i="96" s="1"/>
  <c r="X22" i="96" s="1"/>
  <c r="CC23" i="96"/>
  <c r="W23" i="96" s="1"/>
  <c r="X23" i="96" s="1"/>
  <c r="CC24" i="96"/>
  <c r="W24" i="96" s="1"/>
  <c r="X24" i="96" s="1"/>
  <c r="EK10" i="92"/>
  <c r="EL10" i="93"/>
  <c r="EM10" i="94"/>
  <c r="EQ22" i="92"/>
  <c r="EQ24" i="92"/>
  <c r="EQ10" i="92"/>
  <c r="EQ19" i="92"/>
  <c r="EQ23" i="92"/>
  <c r="EQ8" i="92"/>
  <c r="EQ16" i="92"/>
  <c r="EQ18" i="92"/>
  <c r="EQ21" i="92"/>
  <c r="EQ13" i="92"/>
  <c r="EQ12" i="92"/>
  <c r="EQ20" i="92"/>
  <c r="EQ9" i="92"/>
  <c r="EQ6" i="92"/>
  <c r="EQ14" i="92"/>
  <c r="EQ17" i="92"/>
  <c r="EQ11" i="92"/>
  <c r="EQ15" i="92"/>
  <c r="EQ7" i="92"/>
  <c r="CT20" i="92"/>
  <c r="CT14" i="92"/>
  <c r="CT9" i="92"/>
  <c r="CT19" i="92"/>
  <c r="CT7" i="92"/>
  <c r="CT17" i="92"/>
  <c r="CT6" i="92"/>
  <c r="CT13" i="92"/>
  <c r="CT12" i="92"/>
  <c r="CT18" i="92"/>
  <c r="CT11" i="92"/>
  <c r="CT10" i="92"/>
  <c r="CT22" i="92"/>
  <c r="CT16" i="92"/>
  <c r="CT24" i="92"/>
  <c r="ER1" i="92"/>
  <c r="CT8" i="92"/>
  <c r="CT23" i="92"/>
  <c r="CT21" i="92"/>
  <c r="CT15" i="92"/>
  <c r="CU1" i="92"/>
  <c r="CV2" i="92"/>
  <c r="DS2" i="92"/>
  <c r="DR1" i="92"/>
  <c r="DQ23" i="92"/>
  <c r="DQ18" i="92"/>
  <c r="DQ16" i="92"/>
  <c r="DQ10" i="92"/>
  <c r="DQ13" i="92"/>
  <c r="DQ8" i="92"/>
  <c r="DQ24" i="92"/>
  <c r="DQ12" i="92"/>
  <c r="DQ11" i="92"/>
  <c r="DQ20" i="92"/>
  <c r="DQ7" i="92"/>
  <c r="DQ9" i="92"/>
  <c r="DQ22" i="92"/>
  <c r="DQ21" i="92"/>
  <c r="DQ6" i="92"/>
  <c r="DQ15" i="92"/>
  <c r="DQ19" i="92"/>
  <c r="DQ14" i="92"/>
  <c r="DQ17" i="92"/>
  <c r="CV2" i="90"/>
  <c r="CU1" i="90"/>
  <c r="EQ12" i="91"/>
  <c r="EQ14" i="91"/>
  <c r="EQ10" i="91"/>
  <c r="EQ9" i="91"/>
  <c r="EQ23" i="91"/>
  <c r="EQ24" i="91"/>
  <c r="EQ16" i="91"/>
  <c r="EQ20" i="91"/>
  <c r="EQ8" i="91"/>
  <c r="EQ19" i="91"/>
  <c r="EQ7" i="91"/>
  <c r="EQ18" i="91"/>
  <c r="EQ17" i="91"/>
  <c r="EQ22" i="91"/>
  <c r="EQ11" i="91"/>
  <c r="EQ15" i="91"/>
  <c r="EQ21" i="91"/>
  <c r="EQ13" i="91"/>
  <c r="EQ6" i="91"/>
  <c r="EQ21" i="90"/>
  <c r="EQ6" i="90"/>
  <c r="EQ22" i="90"/>
  <c r="EQ12" i="90"/>
  <c r="EQ24" i="90"/>
  <c r="EQ9" i="90"/>
  <c r="EQ20" i="90"/>
  <c r="EQ17" i="90"/>
  <c r="EQ8" i="90"/>
  <c r="EQ7" i="90"/>
  <c r="EQ19" i="90"/>
  <c r="EQ11" i="90"/>
  <c r="EQ15" i="90"/>
  <c r="EQ10" i="90"/>
  <c r="EQ16" i="90"/>
  <c r="EQ18" i="90"/>
  <c r="EQ13" i="90"/>
  <c r="EQ14" i="90"/>
  <c r="EQ23" i="90"/>
  <c r="EW110" i="9"/>
  <c r="EX109" i="9"/>
  <c r="BQ13" i="91" s="1"/>
  <c r="CT14" i="90"/>
  <c r="CT16" i="90"/>
  <c r="CT9" i="90"/>
  <c r="CT18" i="90"/>
  <c r="CT17" i="90"/>
  <c r="CT21" i="90"/>
  <c r="CT22" i="90"/>
  <c r="CT11" i="90"/>
  <c r="ER1" i="90"/>
  <c r="CT15" i="90"/>
  <c r="CT7" i="90"/>
  <c r="CT8" i="90"/>
  <c r="CT6" i="90"/>
  <c r="CT23" i="90"/>
  <c r="CT24" i="90"/>
  <c r="CT19" i="90"/>
  <c r="CT20" i="90"/>
  <c r="CT10" i="90"/>
  <c r="CT12" i="90"/>
  <c r="CT13" i="90"/>
  <c r="DS2" i="90"/>
  <c r="DR1" i="90"/>
  <c r="GJ109" i="9"/>
  <c r="GN109" i="9" s="1"/>
  <c r="IU109" i="9"/>
  <c r="IV108" i="9"/>
  <c r="DQ15" i="90"/>
  <c r="DQ17" i="90"/>
  <c r="DQ16" i="90"/>
  <c r="DQ14" i="90"/>
  <c r="DQ6" i="90"/>
  <c r="DQ24" i="90"/>
  <c r="DQ23" i="90"/>
  <c r="DQ18" i="90"/>
  <c r="DQ21" i="90"/>
  <c r="DQ11" i="90"/>
  <c r="DQ9" i="90"/>
  <c r="DQ22" i="90"/>
  <c r="DQ8" i="90"/>
  <c r="DQ19" i="90"/>
  <c r="DQ7" i="90"/>
  <c r="DQ13" i="90"/>
  <c r="DQ12" i="90"/>
  <c r="DQ20" i="90"/>
  <c r="DQ10" i="90"/>
  <c r="DR1" i="91"/>
  <c r="DS2" i="91"/>
  <c r="EH10" i="89"/>
  <c r="CG10" i="89" s="1"/>
  <c r="EI10" i="90"/>
  <c r="EJ10" i="91"/>
  <c r="CV2" i="91"/>
  <c r="CU1" i="91"/>
  <c r="DQ23" i="91"/>
  <c r="DQ11" i="91"/>
  <c r="DQ22" i="91"/>
  <c r="DQ6" i="91"/>
  <c r="DQ20" i="91"/>
  <c r="DQ21" i="91"/>
  <c r="DQ15" i="91"/>
  <c r="DQ9" i="91"/>
  <c r="DQ12" i="91"/>
  <c r="DQ19" i="91"/>
  <c r="DQ14" i="91"/>
  <c r="DQ24" i="91"/>
  <c r="DQ17" i="91"/>
  <c r="DQ16" i="91"/>
  <c r="DQ8" i="91"/>
  <c r="DQ18" i="91"/>
  <c r="DQ13" i="91"/>
  <c r="DQ7" i="91"/>
  <c r="DQ10" i="91"/>
  <c r="CT7" i="91"/>
  <c r="CT16" i="91"/>
  <c r="CT15" i="91"/>
  <c r="CT23" i="91"/>
  <c r="CT21" i="91"/>
  <c r="CT6" i="91"/>
  <c r="CT14" i="91"/>
  <c r="ER1" i="91"/>
  <c r="CT22" i="91"/>
  <c r="CT24" i="91"/>
  <c r="CT12" i="91"/>
  <c r="CT9" i="91"/>
  <c r="CT17" i="91"/>
  <c r="CT13" i="91"/>
  <c r="CT20" i="91"/>
  <c r="CT8" i="91"/>
  <c r="CT18" i="91"/>
  <c r="CT11" i="91"/>
  <c r="CT19" i="91"/>
  <c r="CT10" i="91"/>
  <c r="P13" i="89"/>
  <c r="O26" i="89"/>
  <c r="EQ20" i="89"/>
  <c r="EQ12" i="89"/>
  <c r="EQ9" i="89"/>
  <c r="EQ19" i="89"/>
  <c r="EQ16" i="89"/>
  <c r="EQ21" i="89"/>
  <c r="EQ11" i="89"/>
  <c r="EQ23" i="89"/>
  <c r="EQ10" i="89"/>
  <c r="EQ17" i="89"/>
  <c r="EQ7" i="89"/>
  <c r="EQ15" i="89"/>
  <c r="EQ6" i="89"/>
  <c r="EQ22" i="89"/>
  <c r="EQ14" i="89"/>
  <c r="EQ13" i="89"/>
  <c r="EQ18" i="89"/>
  <c r="EQ24" i="89"/>
  <c r="EQ8" i="89"/>
  <c r="CT24" i="89"/>
  <c r="CT17" i="89"/>
  <c r="CT9" i="89"/>
  <c r="CT19" i="89"/>
  <c r="CT16" i="89"/>
  <c r="CT8" i="89"/>
  <c r="CT22" i="89"/>
  <c r="CT13" i="89"/>
  <c r="CT7" i="89"/>
  <c r="CT20" i="89"/>
  <c r="CT14" i="89"/>
  <c r="ER1" i="89"/>
  <c r="CT23" i="89"/>
  <c r="CT12" i="89"/>
  <c r="CT21" i="89"/>
  <c r="CT11" i="89"/>
  <c r="CT18" i="89"/>
  <c r="CT10" i="89"/>
  <c r="CT15" i="89"/>
  <c r="CT6" i="89"/>
  <c r="CV2" i="89"/>
  <c r="CU1" i="89"/>
  <c r="GH107" i="9"/>
  <c r="DQ15" i="89"/>
  <c r="DQ6" i="89"/>
  <c r="DQ23" i="89"/>
  <c r="DQ16" i="89"/>
  <c r="DQ8" i="89"/>
  <c r="DQ22" i="89"/>
  <c r="DQ17" i="89"/>
  <c r="DQ10" i="89"/>
  <c r="DQ18" i="89"/>
  <c r="DQ13" i="89"/>
  <c r="DQ9" i="89"/>
  <c r="DQ19" i="89"/>
  <c r="DQ14" i="89"/>
  <c r="DQ21" i="89"/>
  <c r="DQ12" i="89"/>
  <c r="DQ24" i="89"/>
  <c r="DQ11" i="89"/>
  <c r="DQ20" i="89"/>
  <c r="DQ7" i="89"/>
  <c r="DS2" i="89"/>
  <c r="DR1" i="89"/>
  <c r="CT23" i="88"/>
  <c r="CT11" i="88"/>
  <c r="CT8" i="88"/>
  <c r="CT19" i="88"/>
  <c r="CT10" i="88"/>
  <c r="CT20" i="88"/>
  <c r="CT9" i="88"/>
  <c r="CT18" i="88"/>
  <c r="ER1" i="88"/>
  <c r="CT17" i="88"/>
  <c r="CT6" i="88"/>
  <c r="CT24" i="88"/>
  <c r="CT15" i="88"/>
  <c r="CT22" i="88"/>
  <c r="CT21" i="88"/>
  <c r="CT14" i="88"/>
  <c r="CT7" i="88"/>
  <c r="CT16" i="88"/>
  <c r="CT12" i="88"/>
  <c r="CT13" i="88"/>
  <c r="CV2" i="88"/>
  <c r="CU1" i="88"/>
  <c r="EQ16" i="88"/>
  <c r="EQ6" i="88"/>
  <c r="EQ21" i="88"/>
  <c r="EQ17" i="88"/>
  <c r="EQ19" i="88"/>
  <c r="EQ14" i="88"/>
  <c r="EQ23" i="88"/>
  <c r="EQ13" i="88"/>
  <c r="EQ9" i="88"/>
  <c r="EQ22" i="88"/>
  <c r="EQ18" i="88"/>
  <c r="EQ10" i="88"/>
  <c r="EQ20" i="88"/>
  <c r="EQ12" i="88"/>
  <c r="EQ8" i="88"/>
  <c r="EQ24" i="88"/>
  <c r="EQ7" i="88"/>
  <c r="EQ15" i="88"/>
  <c r="EQ11" i="88"/>
  <c r="DQ21" i="87"/>
  <c r="DQ15" i="87"/>
  <c r="DQ10" i="87"/>
  <c r="DQ24" i="87"/>
  <c r="DQ13" i="87"/>
  <c r="DQ7" i="87"/>
  <c r="DQ22" i="87"/>
  <c r="DQ12" i="87"/>
  <c r="DQ20" i="87"/>
  <c r="DQ11" i="87"/>
  <c r="DQ19" i="87"/>
  <c r="DQ8" i="87"/>
  <c r="DQ14" i="87"/>
  <c r="DQ6" i="87"/>
  <c r="DQ17" i="87"/>
  <c r="DQ18" i="87"/>
  <c r="DQ23" i="87"/>
  <c r="DQ16" i="87"/>
  <c r="DQ9" i="87"/>
  <c r="DR1" i="87"/>
  <c r="DS2" i="87"/>
  <c r="DQ24" i="88"/>
  <c r="DQ14" i="88"/>
  <c r="DQ9" i="88"/>
  <c r="DQ23" i="88"/>
  <c r="DQ13" i="88"/>
  <c r="DQ6" i="88"/>
  <c r="DQ21" i="88"/>
  <c r="DQ18" i="88"/>
  <c r="DQ10" i="88"/>
  <c r="DQ22" i="88"/>
  <c r="DQ8" i="88"/>
  <c r="DQ15" i="88"/>
  <c r="DQ7" i="88"/>
  <c r="DQ16" i="88"/>
  <c r="DQ17" i="88"/>
  <c r="DQ20" i="88"/>
  <c r="DQ12" i="88"/>
  <c r="DQ19" i="88"/>
  <c r="DQ11" i="88"/>
  <c r="DS2" i="88"/>
  <c r="DR1" i="88"/>
  <c r="CT17" i="87"/>
  <c r="ER1" i="87"/>
  <c r="CT22" i="87"/>
  <c r="CT16" i="87"/>
  <c r="CT14" i="87"/>
  <c r="CT24" i="87"/>
  <c r="CT15" i="87"/>
  <c r="CT7" i="87"/>
  <c r="CT23" i="87"/>
  <c r="CT11" i="87"/>
  <c r="CT8" i="87"/>
  <c r="CT20" i="87"/>
  <c r="CT12" i="87"/>
  <c r="CT6" i="87"/>
  <c r="CT18" i="87"/>
  <c r="CT10" i="87"/>
  <c r="CT19" i="87"/>
  <c r="CT9" i="87"/>
  <c r="CT21" i="87"/>
  <c r="CT13" i="87"/>
  <c r="EQ24" i="87"/>
  <c r="EQ14" i="87"/>
  <c r="EQ11" i="87"/>
  <c r="EQ20" i="87"/>
  <c r="EQ13" i="87"/>
  <c r="EQ23" i="87"/>
  <c r="EQ8" i="87"/>
  <c r="EQ19" i="87"/>
  <c r="EQ12" i="87"/>
  <c r="EQ17" i="87"/>
  <c r="EQ10" i="87"/>
  <c r="EQ16" i="87"/>
  <c r="EQ9" i="87"/>
  <c r="EQ22" i="87"/>
  <c r="EQ18" i="87"/>
  <c r="EQ7" i="87"/>
  <c r="EQ21" i="87"/>
  <c r="EQ15" i="87"/>
  <c r="EQ6" i="87"/>
  <c r="CU1" i="87"/>
  <c r="CV2" i="87"/>
  <c r="CV2" i="86"/>
  <c r="CU1" i="86"/>
  <c r="CT22" i="86"/>
  <c r="CT7" i="86"/>
  <c r="CT17" i="86"/>
  <c r="CT11" i="86"/>
  <c r="CT16" i="86"/>
  <c r="CT9" i="86"/>
  <c r="CT15" i="86"/>
  <c r="CT6" i="86"/>
  <c r="CT19" i="86"/>
  <c r="ER1" i="86"/>
  <c r="CT23" i="86"/>
  <c r="CT18" i="86"/>
  <c r="CT21" i="86"/>
  <c r="CT14" i="86"/>
  <c r="CT24" i="86"/>
  <c r="CT8" i="86"/>
  <c r="CT13" i="86"/>
  <c r="CT20" i="86"/>
  <c r="CT12" i="86"/>
  <c r="CT10" i="86"/>
  <c r="EQ22" i="86"/>
  <c r="EQ15" i="86"/>
  <c r="EQ9" i="86"/>
  <c r="EQ19" i="86"/>
  <c r="EQ12" i="86"/>
  <c r="EQ21" i="86"/>
  <c r="EQ13" i="86"/>
  <c r="EQ18" i="86"/>
  <c r="EQ8" i="86"/>
  <c r="EQ20" i="86"/>
  <c r="EQ7" i="86"/>
  <c r="EQ17" i="86"/>
  <c r="EQ14" i="86"/>
  <c r="EQ24" i="86"/>
  <c r="EQ16" i="86"/>
  <c r="EQ6" i="86"/>
  <c r="EQ23" i="86"/>
  <c r="EQ11" i="86"/>
  <c r="EQ10" i="86"/>
  <c r="DQ22" i="86"/>
  <c r="DQ17" i="86"/>
  <c r="DQ21" i="86"/>
  <c r="DQ9" i="86"/>
  <c r="DQ18" i="86"/>
  <c r="DQ8" i="86"/>
  <c r="DQ23" i="86"/>
  <c r="DQ7" i="86"/>
  <c r="DQ19" i="86"/>
  <c r="DQ16" i="86"/>
  <c r="DQ14" i="86"/>
  <c r="DQ6" i="86"/>
  <c r="DQ11" i="86"/>
  <c r="DQ24" i="86"/>
  <c r="DQ15" i="86"/>
  <c r="DQ12" i="86"/>
  <c r="DQ20" i="86"/>
  <c r="DQ13" i="86"/>
  <c r="DQ10" i="86"/>
  <c r="DS2" i="86"/>
  <c r="DR1" i="86"/>
  <c r="E23" i="133" l="1"/>
  <c r="BM24" i="142"/>
  <c r="O24" i="142" s="1"/>
  <c r="P24" i="142" s="1"/>
  <c r="BM10" i="142"/>
  <c r="O10" i="142" s="1"/>
  <c r="P10" i="142" s="1"/>
  <c r="BM9" i="142"/>
  <c r="O9" i="142" s="1"/>
  <c r="P9" i="142" s="1"/>
  <c r="BM8" i="142"/>
  <c r="O8" i="142" s="1"/>
  <c r="P8" i="142" s="1"/>
  <c r="BM6" i="142"/>
  <c r="O6" i="142" s="1"/>
  <c r="P6" i="142" s="1"/>
  <c r="BM23" i="142"/>
  <c r="O23" i="142" s="1"/>
  <c r="P23" i="142" s="1"/>
  <c r="BM22" i="142"/>
  <c r="O22" i="142" s="1"/>
  <c r="P22" i="142" s="1"/>
  <c r="BM18" i="142"/>
  <c r="O18" i="142" s="1"/>
  <c r="P18" i="142" s="1"/>
  <c r="BM7" i="142"/>
  <c r="O7" i="142" s="1"/>
  <c r="P7" i="142" s="1"/>
  <c r="BM21" i="142"/>
  <c r="O21" i="142" s="1"/>
  <c r="P21" i="142" s="1"/>
  <c r="BM20" i="142"/>
  <c r="O20" i="142" s="1"/>
  <c r="P20" i="142" s="1"/>
  <c r="BM19" i="142"/>
  <c r="O19" i="142" s="1"/>
  <c r="P19" i="142" s="1"/>
  <c r="BM14" i="142"/>
  <c r="O14" i="142" s="1"/>
  <c r="P14" i="142" s="1"/>
  <c r="BM17" i="142"/>
  <c r="O17" i="142" s="1"/>
  <c r="P17" i="142" s="1"/>
  <c r="BM16" i="142"/>
  <c r="O16" i="142" s="1"/>
  <c r="P16" i="142" s="1"/>
  <c r="BM15" i="142"/>
  <c r="O15" i="142" s="1"/>
  <c r="P15" i="142" s="1"/>
  <c r="BM12" i="142"/>
  <c r="O12" i="142" s="1"/>
  <c r="P12" i="142" s="1"/>
  <c r="BM11" i="142"/>
  <c r="O11" i="142" s="1"/>
  <c r="P11" i="142" s="1"/>
  <c r="BQ17" i="142"/>
  <c r="Q17" i="142" s="1"/>
  <c r="R17" i="142" s="1"/>
  <c r="BQ16" i="142"/>
  <c r="Q16" i="142" s="1"/>
  <c r="R16" i="142" s="1"/>
  <c r="BQ15" i="142"/>
  <c r="Q15" i="142" s="1"/>
  <c r="R15" i="142" s="1"/>
  <c r="BQ12" i="142"/>
  <c r="Q12" i="142" s="1"/>
  <c r="R12" i="142" s="1"/>
  <c r="BQ11" i="142"/>
  <c r="Q11" i="142" s="1"/>
  <c r="R11" i="142" s="1"/>
  <c r="BQ10" i="142"/>
  <c r="Q10" i="142" s="1"/>
  <c r="R10" i="142" s="1"/>
  <c r="BQ9" i="142"/>
  <c r="Q9" i="142" s="1"/>
  <c r="R9" i="142" s="1"/>
  <c r="BQ8" i="142"/>
  <c r="Q8" i="142" s="1"/>
  <c r="R8" i="142" s="1"/>
  <c r="BQ6" i="142"/>
  <c r="Q6" i="142" s="1"/>
  <c r="R6" i="142" s="1"/>
  <c r="BQ24" i="142"/>
  <c r="Q24" i="142" s="1"/>
  <c r="R24" i="142" s="1"/>
  <c r="BQ22" i="142"/>
  <c r="Q22" i="142" s="1"/>
  <c r="R22" i="142" s="1"/>
  <c r="BQ19" i="142"/>
  <c r="Q19" i="142" s="1"/>
  <c r="BQ23" i="142"/>
  <c r="Q23" i="142" s="1"/>
  <c r="R23" i="142" s="1"/>
  <c r="BQ21" i="142"/>
  <c r="Q21" i="142" s="1"/>
  <c r="R21" i="142" s="1"/>
  <c r="BQ14" i="142"/>
  <c r="Q14" i="142" s="1"/>
  <c r="R14" i="142" s="1"/>
  <c r="BQ7" i="142"/>
  <c r="Q7" i="142" s="1"/>
  <c r="R7" i="142" s="1"/>
  <c r="BQ18" i="142"/>
  <c r="Q18" i="142" s="1"/>
  <c r="R18" i="142" s="1"/>
  <c r="BQ20" i="142"/>
  <c r="Q20" i="142" s="1"/>
  <c r="R20" i="142" s="1"/>
  <c r="CG2" i="142"/>
  <c r="CG1" i="142" s="1"/>
  <c r="CH2" i="142"/>
  <c r="CH1" i="142" s="1"/>
  <c r="BH2" i="142"/>
  <c r="BI2" i="142"/>
  <c r="BI1" i="142" s="1"/>
  <c r="CK1" i="142"/>
  <c r="CL2" i="142"/>
  <c r="E22" i="142"/>
  <c r="F22" i="142" s="1"/>
  <c r="E19" i="142"/>
  <c r="F19" i="142" s="1"/>
  <c r="E6" i="142"/>
  <c r="F6" i="142" s="1"/>
  <c r="E24" i="142"/>
  <c r="F24" i="142" s="1"/>
  <c r="E7" i="142"/>
  <c r="F7" i="142" s="1"/>
  <c r="E21" i="142"/>
  <c r="F21" i="142" s="1"/>
  <c r="F15" i="142"/>
  <c r="E18" i="142"/>
  <c r="F18" i="142" s="1"/>
  <c r="F12" i="142"/>
  <c r="F23" i="142"/>
  <c r="F10" i="142"/>
  <c r="F9" i="142"/>
  <c r="F8" i="142"/>
  <c r="F17" i="142"/>
  <c r="E21" i="139"/>
  <c r="E8" i="133"/>
  <c r="E21" i="137"/>
  <c r="E15" i="132"/>
  <c r="E8" i="139"/>
  <c r="E15" i="139"/>
  <c r="E16" i="139"/>
  <c r="E14" i="139"/>
  <c r="E22" i="139"/>
  <c r="E20" i="139"/>
  <c r="CL2" i="139"/>
  <c r="CK1" i="139"/>
  <c r="E9" i="139"/>
  <c r="BQ17" i="139"/>
  <c r="Q17" i="139" s="1"/>
  <c r="R17" i="139" s="1"/>
  <c r="BQ9" i="139"/>
  <c r="Q9" i="139" s="1"/>
  <c r="R9" i="139" s="1"/>
  <c r="BQ14" i="139"/>
  <c r="Q14" i="139" s="1"/>
  <c r="R14" i="139" s="1"/>
  <c r="BQ22" i="139"/>
  <c r="Q22" i="139" s="1"/>
  <c r="R22" i="139" s="1"/>
  <c r="BQ6" i="139"/>
  <c r="Q6" i="139" s="1"/>
  <c r="R6" i="139" s="1"/>
  <c r="BQ15" i="139"/>
  <c r="Q15" i="139" s="1"/>
  <c r="R15" i="139" s="1"/>
  <c r="BQ20" i="139"/>
  <c r="Q20" i="139" s="1"/>
  <c r="R20" i="139" s="1"/>
  <c r="BQ10" i="139"/>
  <c r="Q10" i="139" s="1"/>
  <c r="R10" i="139" s="1"/>
  <c r="BQ24" i="139"/>
  <c r="Q24" i="139" s="1"/>
  <c r="R24" i="139" s="1"/>
  <c r="BQ8" i="139"/>
  <c r="Q8" i="139" s="1"/>
  <c r="R8" i="139" s="1"/>
  <c r="BQ18" i="139"/>
  <c r="Q18" i="139" s="1"/>
  <c r="R18" i="139" s="1"/>
  <c r="BQ23" i="139"/>
  <c r="Q23" i="139" s="1"/>
  <c r="R23" i="139" s="1"/>
  <c r="BQ16" i="139"/>
  <c r="Q16" i="139" s="1"/>
  <c r="R16" i="139" s="1"/>
  <c r="BQ21" i="139"/>
  <c r="Q21" i="139" s="1"/>
  <c r="R21" i="139" s="1"/>
  <c r="BQ19" i="139"/>
  <c r="Q19" i="139" s="1"/>
  <c r="BQ12" i="139"/>
  <c r="Q12" i="139" s="1"/>
  <c r="R12" i="139" s="1"/>
  <c r="BQ7" i="139"/>
  <c r="Q7" i="139" s="1"/>
  <c r="R7" i="139" s="1"/>
  <c r="BQ11" i="139"/>
  <c r="Q11" i="139" s="1"/>
  <c r="R11" i="139" s="1"/>
  <c r="E3" i="139"/>
  <c r="F21" i="139" s="1"/>
  <c r="E13" i="139"/>
  <c r="E12" i="139"/>
  <c r="E6" i="139"/>
  <c r="E10" i="139"/>
  <c r="E24" i="139"/>
  <c r="E18" i="139"/>
  <c r="BM17" i="139"/>
  <c r="O17" i="139" s="1"/>
  <c r="P17" i="139" s="1"/>
  <c r="BM7" i="139"/>
  <c r="O7" i="139" s="1"/>
  <c r="P7" i="139" s="1"/>
  <c r="BM9" i="139"/>
  <c r="O9" i="139" s="1"/>
  <c r="P9" i="139" s="1"/>
  <c r="BM20" i="139"/>
  <c r="O20" i="139" s="1"/>
  <c r="P20" i="139" s="1"/>
  <c r="BM14" i="139"/>
  <c r="O14" i="139" s="1"/>
  <c r="P14" i="139" s="1"/>
  <c r="BM11" i="139"/>
  <c r="O11" i="139" s="1"/>
  <c r="P11" i="139" s="1"/>
  <c r="BM8" i="139"/>
  <c r="O8" i="139" s="1"/>
  <c r="P8" i="139" s="1"/>
  <c r="BM16" i="139"/>
  <c r="O16" i="139" s="1"/>
  <c r="P16" i="139" s="1"/>
  <c r="BM6" i="139"/>
  <c r="O6" i="139" s="1"/>
  <c r="P6" i="139" s="1"/>
  <c r="BM22" i="139"/>
  <c r="O22" i="139" s="1"/>
  <c r="P22" i="139" s="1"/>
  <c r="BM21" i="139"/>
  <c r="O21" i="139" s="1"/>
  <c r="P21" i="139" s="1"/>
  <c r="BM23" i="139"/>
  <c r="O23" i="139" s="1"/>
  <c r="P23" i="139" s="1"/>
  <c r="BM19" i="139"/>
  <c r="O19" i="139" s="1"/>
  <c r="P19" i="139" s="1"/>
  <c r="BM18" i="139"/>
  <c r="O18" i="139" s="1"/>
  <c r="P18" i="139" s="1"/>
  <c r="BM15" i="139"/>
  <c r="O15" i="139" s="1"/>
  <c r="P15" i="139" s="1"/>
  <c r="BM24" i="139"/>
  <c r="O24" i="139" s="1"/>
  <c r="P24" i="139" s="1"/>
  <c r="BM10" i="139"/>
  <c r="O10" i="139" s="1"/>
  <c r="P10" i="139" s="1"/>
  <c r="BM12" i="139"/>
  <c r="O12" i="139" s="1"/>
  <c r="P12" i="139" s="1"/>
  <c r="E23" i="139"/>
  <c r="E7" i="139"/>
  <c r="E11" i="139"/>
  <c r="E19" i="139"/>
  <c r="BI2" i="139"/>
  <c r="BI1" i="139" s="1"/>
  <c r="BH2" i="139"/>
  <c r="E17" i="139"/>
  <c r="CG2" i="139"/>
  <c r="CG1" i="139" s="1"/>
  <c r="CH2" i="139"/>
  <c r="CH1" i="139" s="1"/>
  <c r="E19" i="137"/>
  <c r="E7" i="137"/>
  <c r="E11" i="132"/>
  <c r="E20" i="132"/>
  <c r="E13" i="133"/>
  <c r="E6" i="137"/>
  <c r="E13" i="132"/>
  <c r="E22" i="132"/>
  <c r="E6" i="133"/>
  <c r="E22" i="137"/>
  <c r="E16" i="132"/>
  <c r="E24" i="133"/>
  <c r="E23" i="137"/>
  <c r="E17" i="133"/>
  <c r="E24" i="137"/>
  <c r="E22" i="133"/>
  <c r="E18" i="133"/>
  <c r="E20" i="133"/>
  <c r="E14" i="137"/>
  <c r="E17" i="132"/>
  <c r="E8" i="132"/>
  <c r="E17" i="137"/>
  <c r="E6" i="132"/>
  <c r="E7" i="133"/>
  <c r="E19" i="133"/>
  <c r="E12" i="132"/>
  <c r="E9" i="133"/>
  <c r="E15" i="133"/>
  <c r="E18" i="137"/>
  <c r="E19" i="136"/>
  <c r="E7" i="136"/>
  <c r="E20" i="137"/>
  <c r="BM22" i="137"/>
  <c r="O22" i="137" s="1"/>
  <c r="P22" i="137" s="1"/>
  <c r="BM18" i="137"/>
  <c r="O18" i="137" s="1"/>
  <c r="P18" i="137" s="1"/>
  <c r="BM19" i="137"/>
  <c r="O19" i="137" s="1"/>
  <c r="P19" i="137" s="1"/>
  <c r="BM17" i="137"/>
  <c r="O17" i="137" s="1"/>
  <c r="P17" i="137" s="1"/>
  <c r="BM11" i="137"/>
  <c r="O11" i="137" s="1"/>
  <c r="P11" i="137" s="1"/>
  <c r="BM21" i="137"/>
  <c r="O21" i="137" s="1"/>
  <c r="P21" i="137" s="1"/>
  <c r="BM7" i="137"/>
  <c r="O7" i="137" s="1"/>
  <c r="P7" i="137" s="1"/>
  <c r="BM20" i="137"/>
  <c r="O20" i="137" s="1"/>
  <c r="P20" i="137" s="1"/>
  <c r="BM6" i="137"/>
  <c r="O6" i="137" s="1"/>
  <c r="P6" i="137" s="1"/>
  <c r="BM16" i="137"/>
  <c r="O16" i="137" s="1"/>
  <c r="P16" i="137" s="1"/>
  <c r="BM10" i="137"/>
  <c r="O10" i="137" s="1"/>
  <c r="P10" i="137" s="1"/>
  <c r="BM24" i="137"/>
  <c r="O24" i="137" s="1"/>
  <c r="P24" i="137" s="1"/>
  <c r="BM15" i="137"/>
  <c r="O15" i="137" s="1"/>
  <c r="P15" i="137" s="1"/>
  <c r="BM8" i="137"/>
  <c r="O8" i="137" s="1"/>
  <c r="P8" i="137" s="1"/>
  <c r="BM23" i="137"/>
  <c r="O23" i="137" s="1"/>
  <c r="P23" i="137" s="1"/>
  <c r="BM14" i="137"/>
  <c r="O14" i="137" s="1"/>
  <c r="P14" i="137" s="1"/>
  <c r="BM9" i="137"/>
  <c r="O9" i="137" s="1"/>
  <c r="P9" i="137" s="1"/>
  <c r="BM12" i="137"/>
  <c r="O12" i="137" s="1"/>
  <c r="P12" i="137" s="1"/>
  <c r="E10" i="132"/>
  <c r="E12" i="133"/>
  <c r="E14" i="133"/>
  <c r="E3" i="133"/>
  <c r="E15" i="137"/>
  <c r="CG2" i="136"/>
  <c r="CG1" i="136" s="1"/>
  <c r="CH2" i="136"/>
  <c r="CH1" i="136" s="1"/>
  <c r="E12" i="136"/>
  <c r="E16" i="133"/>
  <c r="E10" i="133"/>
  <c r="E11" i="137"/>
  <c r="E22" i="136"/>
  <c r="E10" i="136"/>
  <c r="E16" i="137"/>
  <c r="E8" i="137"/>
  <c r="E9" i="132"/>
  <c r="E7" i="132"/>
  <c r="E6" i="136"/>
  <c r="E14" i="132"/>
  <c r="E16" i="136"/>
  <c r="BH2" i="137"/>
  <c r="BI2" i="137"/>
  <c r="BI1" i="137" s="1"/>
  <c r="E21" i="136"/>
  <c r="E13" i="136"/>
  <c r="CH2" i="137"/>
  <c r="CH1" i="137" s="1"/>
  <c r="CG2" i="137"/>
  <c r="CG1" i="137" s="1"/>
  <c r="E24" i="132"/>
  <c r="E21" i="132"/>
  <c r="E3" i="132"/>
  <c r="E19" i="132"/>
  <c r="E23" i="136"/>
  <c r="E12" i="137"/>
  <c r="E9" i="136"/>
  <c r="E11" i="136"/>
  <c r="CK1" i="137"/>
  <c r="CL2" i="137"/>
  <c r="E23" i="132"/>
  <c r="E15" i="136"/>
  <c r="E18" i="136"/>
  <c r="E24" i="136"/>
  <c r="BM17" i="136"/>
  <c r="O17" i="136" s="1"/>
  <c r="P17" i="136" s="1"/>
  <c r="BM7" i="136"/>
  <c r="O7" i="136" s="1"/>
  <c r="P7" i="136" s="1"/>
  <c r="BM18" i="136"/>
  <c r="O18" i="136" s="1"/>
  <c r="P18" i="136" s="1"/>
  <c r="BM8" i="136"/>
  <c r="O8" i="136" s="1"/>
  <c r="P8" i="136" s="1"/>
  <c r="BM15" i="136"/>
  <c r="O15" i="136" s="1"/>
  <c r="P15" i="136" s="1"/>
  <c r="BM6" i="136"/>
  <c r="O6" i="136" s="1"/>
  <c r="P6" i="136" s="1"/>
  <c r="BM24" i="136"/>
  <c r="O24" i="136" s="1"/>
  <c r="P24" i="136" s="1"/>
  <c r="BM11" i="136"/>
  <c r="O11" i="136" s="1"/>
  <c r="P11" i="136" s="1"/>
  <c r="BM16" i="136"/>
  <c r="O16" i="136" s="1"/>
  <c r="P16" i="136" s="1"/>
  <c r="BM23" i="136"/>
  <c r="O23" i="136" s="1"/>
  <c r="P23" i="136" s="1"/>
  <c r="BM10" i="136"/>
  <c r="O10" i="136" s="1"/>
  <c r="P10" i="136" s="1"/>
  <c r="BM22" i="136"/>
  <c r="O22" i="136" s="1"/>
  <c r="P22" i="136" s="1"/>
  <c r="BM14" i="136"/>
  <c r="O14" i="136" s="1"/>
  <c r="P14" i="136" s="1"/>
  <c r="BM21" i="136"/>
  <c r="O21" i="136" s="1"/>
  <c r="P21" i="136" s="1"/>
  <c r="BM9" i="136"/>
  <c r="O9" i="136" s="1"/>
  <c r="P9" i="136" s="1"/>
  <c r="BM20" i="136"/>
  <c r="O20" i="136" s="1"/>
  <c r="P20" i="136" s="1"/>
  <c r="BM19" i="136"/>
  <c r="O19" i="136" s="1"/>
  <c r="P19" i="136" s="1"/>
  <c r="BM12" i="136"/>
  <c r="O12" i="136" s="1"/>
  <c r="P12" i="136" s="1"/>
  <c r="E3" i="136"/>
  <c r="CL2" i="136"/>
  <c r="CK1" i="136"/>
  <c r="E21" i="133"/>
  <c r="E18" i="132"/>
  <c r="BQ19" i="136"/>
  <c r="Q19" i="136" s="1"/>
  <c r="BQ7" i="136"/>
  <c r="Q7" i="136" s="1"/>
  <c r="R7" i="136" s="1"/>
  <c r="BQ16" i="136"/>
  <c r="Q16" i="136" s="1"/>
  <c r="R16" i="136" s="1"/>
  <c r="BQ6" i="136"/>
  <c r="Q6" i="136" s="1"/>
  <c r="R6" i="136" s="1"/>
  <c r="BQ18" i="136"/>
  <c r="Q18" i="136" s="1"/>
  <c r="R18" i="136" s="1"/>
  <c r="BQ9" i="136"/>
  <c r="Q9" i="136" s="1"/>
  <c r="R9" i="136" s="1"/>
  <c r="BQ22" i="136"/>
  <c r="Q22" i="136" s="1"/>
  <c r="R22" i="136" s="1"/>
  <c r="BQ15" i="136"/>
  <c r="Q15" i="136" s="1"/>
  <c r="R15" i="136" s="1"/>
  <c r="BQ11" i="136"/>
  <c r="Q11" i="136" s="1"/>
  <c r="R11" i="136" s="1"/>
  <c r="BQ21" i="136"/>
  <c r="Q21" i="136" s="1"/>
  <c r="R21" i="136" s="1"/>
  <c r="BQ20" i="136"/>
  <c r="Q20" i="136" s="1"/>
  <c r="R20" i="136" s="1"/>
  <c r="BQ8" i="136"/>
  <c r="Q8" i="136" s="1"/>
  <c r="R8" i="136" s="1"/>
  <c r="BQ23" i="136"/>
  <c r="Q23" i="136" s="1"/>
  <c r="R23" i="136" s="1"/>
  <c r="BQ17" i="136"/>
  <c r="Q17" i="136" s="1"/>
  <c r="R17" i="136" s="1"/>
  <c r="BQ24" i="136"/>
  <c r="Q24" i="136" s="1"/>
  <c r="R24" i="136" s="1"/>
  <c r="BQ10" i="136"/>
  <c r="Q10" i="136" s="1"/>
  <c r="R10" i="136" s="1"/>
  <c r="BQ14" i="136"/>
  <c r="Q14" i="136" s="1"/>
  <c r="R14" i="136" s="1"/>
  <c r="BQ12" i="136"/>
  <c r="Q12" i="136" s="1"/>
  <c r="R12" i="136" s="1"/>
  <c r="E17" i="136"/>
  <c r="E13" i="137"/>
  <c r="E20" i="136"/>
  <c r="E10" i="137"/>
  <c r="BQ6" i="137"/>
  <c r="Q6" i="137" s="1"/>
  <c r="R6" i="137" s="1"/>
  <c r="BQ22" i="137"/>
  <c r="Q22" i="137" s="1"/>
  <c r="R22" i="137" s="1"/>
  <c r="BQ20" i="137"/>
  <c r="Q20" i="137" s="1"/>
  <c r="R20" i="137" s="1"/>
  <c r="BQ9" i="137"/>
  <c r="Q9" i="137" s="1"/>
  <c r="R9" i="137" s="1"/>
  <c r="BQ24" i="137"/>
  <c r="Q24" i="137" s="1"/>
  <c r="R24" i="137" s="1"/>
  <c r="BQ14" i="137"/>
  <c r="Q14" i="137" s="1"/>
  <c r="R14" i="137" s="1"/>
  <c r="BQ17" i="137"/>
  <c r="Q17" i="137" s="1"/>
  <c r="R17" i="137" s="1"/>
  <c r="BQ15" i="137"/>
  <c r="Q15" i="137" s="1"/>
  <c r="R15" i="137" s="1"/>
  <c r="BQ21" i="137"/>
  <c r="Q21" i="137" s="1"/>
  <c r="R21" i="137" s="1"/>
  <c r="BQ16" i="137"/>
  <c r="Q16" i="137" s="1"/>
  <c r="R16" i="137" s="1"/>
  <c r="BQ19" i="137"/>
  <c r="Q19" i="137" s="1"/>
  <c r="BQ18" i="137"/>
  <c r="Q18" i="137" s="1"/>
  <c r="R18" i="137" s="1"/>
  <c r="BQ23" i="137"/>
  <c r="Q23" i="137" s="1"/>
  <c r="R23" i="137" s="1"/>
  <c r="BQ11" i="137"/>
  <c r="Q11" i="137" s="1"/>
  <c r="R11" i="137" s="1"/>
  <c r="BQ7" i="137"/>
  <c r="Q7" i="137" s="1"/>
  <c r="R7" i="137" s="1"/>
  <c r="BQ10" i="137"/>
  <c r="Q10" i="137" s="1"/>
  <c r="R10" i="137" s="1"/>
  <c r="BQ8" i="137"/>
  <c r="Q8" i="137" s="1"/>
  <c r="R8" i="137" s="1"/>
  <c r="BQ12" i="137"/>
  <c r="Q12" i="137" s="1"/>
  <c r="R12" i="137" s="1"/>
  <c r="E9" i="137"/>
  <c r="E11" i="133"/>
  <c r="E14" i="136"/>
  <c r="E3" i="137"/>
  <c r="BI2" i="136"/>
  <c r="BI1" i="136" s="1"/>
  <c r="BH2" i="136"/>
  <c r="E8" i="136"/>
  <c r="BQ7" i="133"/>
  <c r="Q7" i="133" s="1"/>
  <c r="R7" i="133" s="1"/>
  <c r="BQ18" i="133"/>
  <c r="Q18" i="133" s="1"/>
  <c r="R18" i="133" s="1"/>
  <c r="BQ16" i="133"/>
  <c r="Q16" i="133" s="1"/>
  <c r="R16" i="133" s="1"/>
  <c r="BQ12" i="133"/>
  <c r="Q12" i="133" s="1"/>
  <c r="R12" i="133" s="1"/>
  <c r="BQ10" i="133"/>
  <c r="Q10" i="133" s="1"/>
  <c r="R10" i="133" s="1"/>
  <c r="BQ6" i="133"/>
  <c r="Q6" i="133" s="1"/>
  <c r="R6" i="133" s="1"/>
  <c r="BQ17" i="133"/>
  <c r="Q17" i="133" s="1"/>
  <c r="R17" i="133" s="1"/>
  <c r="BQ14" i="133"/>
  <c r="Q14" i="133" s="1"/>
  <c r="R14" i="133" s="1"/>
  <c r="BQ23" i="133"/>
  <c r="Q23" i="133" s="1"/>
  <c r="R23" i="133" s="1"/>
  <c r="BQ21" i="133"/>
  <c r="Q21" i="133" s="1"/>
  <c r="R21" i="133" s="1"/>
  <c r="BQ9" i="133"/>
  <c r="Q9" i="133" s="1"/>
  <c r="R9" i="133" s="1"/>
  <c r="BQ15" i="133"/>
  <c r="Q15" i="133" s="1"/>
  <c r="R15" i="133" s="1"/>
  <c r="BQ8" i="133"/>
  <c r="Q8" i="133" s="1"/>
  <c r="R8" i="133" s="1"/>
  <c r="BQ19" i="133"/>
  <c r="Q19" i="133" s="1"/>
  <c r="BQ20" i="133"/>
  <c r="Q20" i="133" s="1"/>
  <c r="R20" i="133" s="1"/>
  <c r="BQ11" i="133"/>
  <c r="Q11" i="133" s="1"/>
  <c r="R11" i="133" s="1"/>
  <c r="BQ24" i="133"/>
  <c r="Q24" i="133" s="1"/>
  <c r="R24" i="133" s="1"/>
  <c r="BQ22" i="133"/>
  <c r="Q22" i="133" s="1"/>
  <c r="R22" i="133" s="1"/>
  <c r="BM22" i="132"/>
  <c r="O22" i="132" s="1"/>
  <c r="P22" i="132" s="1"/>
  <c r="BM12" i="132"/>
  <c r="O12" i="132" s="1"/>
  <c r="P12" i="132" s="1"/>
  <c r="BM17" i="132"/>
  <c r="O17" i="132" s="1"/>
  <c r="P17" i="132" s="1"/>
  <c r="BM10" i="132"/>
  <c r="O10" i="132" s="1"/>
  <c r="P10" i="132" s="1"/>
  <c r="BM24" i="132"/>
  <c r="O24" i="132" s="1"/>
  <c r="P24" i="132" s="1"/>
  <c r="BM18" i="132"/>
  <c r="O18" i="132" s="1"/>
  <c r="P18" i="132" s="1"/>
  <c r="BM9" i="132"/>
  <c r="O9" i="132" s="1"/>
  <c r="P9" i="132" s="1"/>
  <c r="BM19" i="132"/>
  <c r="O19" i="132" s="1"/>
  <c r="P19" i="132" s="1"/>
  <c r="BM21" i="132"/>
  <c r="O21" i="132" s="1"/>
  <c r="P21" i="132" s="1"/>
  <c r="BM15" i="132"/>
  <c r="O15" i="132" s="1"/>
  <c r="P15" i="132" s="1"/>
  <c r="BM11" i="132"/>
  <c r="O11" i="132" s="1"/>
  <c r="P11" i="132" s="1"/>
  <c r="BM8" i="132"/>
  <c r="O8" i="132" s="1"/>
  <c r="P8" i="132" s="1"/>
  <c r="BM20" i="132"/>
  <c r="O20" i="132" s="1"/>
  <c r="P20" i="132" s="1"/>
  <c r="BM14" i="132"/>
  <c r="O14" i="132" s="1"/>
  <c r="P14" i="132" s="1"/>
  <c r="BM7" i="132"/>
  <c r="O7" i="132" s="1"/>
  <c r="P7" i="132" s="1"/>
  <c r="BM23" i="132"/>
  <c r="O23" i="132" s="1"/>
  <c r="P23" i="132" s="1"/>
  <c r="BM6" i="132"/>
  <c r="O6" i="132" s="1"/>
  <c r="P6" i="132" s="1"/>
  <c r="BM16" i="132"/>
  <c r="BM21" i="133"/>
  <c r="O21" i="133" s="1"/>
  <c r="P21" i="133" s="1"/>
  <c r="BM17" i="133"/>
  <c r="O17" i="133" s="1"/>
  <c r="P17" i="133" s="1"/>
  <c r="BM6" i="133"/>
  <c r="O6" i="133" s="1"/>
  <c r="P6" i="133" s="1"/>
  <c r="BM14" i="133"/>
  <c r="O14" i="133" s="1"/>
  <c r="P14" i="133" s="1"/>
  <c r="BM11" i="133"/>
  <c r="O11" i="133" s="1"/>
  <c r="P11" i="133" s="1"/>
  <c r="BM23" i="133"/>
  <c r="O23" i="133" s="1"/>
  <c r="P23" i="133" s="1"/>
  <c r="BM9" i="133"/>
  <c r="O9" i="133" s="1"/>
  <c r="P9" i="133" s="1"/>
  <c r="BM16" i="133"/>
  <c r="O16" i="133" s="1"/>
  <c r="P16" i="133" s="1"/>
  <c r="BM19" i="133"/>
  <c r="O19" i="133" s="1"/>
  <c r="P19" i="133" s="1"/>
  <c r="BM18" i="133"/>
  <c r="O18" i="133" s="1"/>
  <c r="P18" i="133" s="1"/>
  <c r="BM12" i="133"/>
  <c r="O12" i="133" s="1"/>
  <c r="P12" i="133" s="1"/>
  <c r="BM8" i="133"/>
  <c r="O8" i="133" s="1"/>
  <c r="P8" i="133" s="1"/>
  <c r="BM20" i="133"/>
  <c r="O20" i="133" s="1"/>
  <c r="P20" i="133" s="1"/>
  <c r="BM15" i="133"/>
  <c r="O15" i="133" s="1"/>
  <c r="P15" i="133" s="1"/>
  <c r="BM22" i="133"/>
  <c r="O22" i="133" s="1"/>
  <c r="P22" i="133" s="1"/>
  <c r="BM24" i="133"/>
  <c r="O24" i="133" s="1"/>
  <c r="P24" i="133" s="1"/>
  <c r="BM10" i="133"/>
  <c r="O10" i="133" s="1"/>
  <c r="P10" i="133" s="1"/>
  <c r="BM7" i="133"/>
  <c r="O7" i="133" s="1"/>
  <c r="P7" i="133" s="1"/>
  <c r="CK1" i="133"/>
  <c r="EI1" i="133" s="1"/>
  <c r="CL2" i="133"/>
  <c r="BQ18" i="132"/>
  <c r="Q18" i="132" s="1"/>
  <c r="R18" i="132" s="1"/>
  <c r="BQ19" i="132"/>
  <c r="Q19" i="132" s="1"/>
  <c r="BQ21" i="132"/>
  <c r="Q21" i="132" s="1"/>
  <c r="R21" i="132" s="1"/>
  <c r="BQ22" i="132"/>
  <c r="Q22" i="132" s="1"/>
  <c r="R22" i="132" s="1"/>
  <c r="BQ8" i="132"/>
  <c r="Q8" i="132" s="1"/>
  <c r="R8" i="132" s="1"/>
  <c r="BQ15" i="132"/>
  <c r="Q15" i="132" s="1"/>
  <c r="R15" i="132" s="1"/>
  <c r="BQ12" i="132"/>
  <c r="Q12" i="132" s="1"/>
  <c r="R12" i="132" s="1"/>
  <c r="BQ16" i="132"/>
  <c r="BQ24" i="132"/>
  <c r="Q24" i="132" s="1"/>
  <c r="R24" i="132" s="1"/>
  <c r="BQ7" i="132"/>
  <c r="Q7" i="132" s="1"/>
  <c r="R7" i="132" s="1"/>
  <c r="BQ20" i="132"/>
  <c r="Q20" i="132" s="1"/>
  <c r="R20" i="132" s="1"/>
  <c r="BQ9" i="132"/>
  <c r="Q9" i="132" s="1"/>
  <c r="R9" i="132" s="1"/>
  <c r="BQ17" i="132"/>
  <c r="Q17" i="132" s="1"/>
  <c r="R17" i="132" s="1"/>
  <c r="BQ14" i="132"/>
  <c r="Q14" i="132" s="1"/>
  <c r="R14" i="132" s="1"/>
  <c r="BQ23" i="132"/>
  <c r="Q23" i="132" s="1"/>
  <c r="R23" i="132" s="1"/>
  <c r="BQ6" i="132"/>
  <c r="Q6" i="132" s="1"/>
  <c r="R6" i="132" s="1"/>
  <c r="BQ11" i="132"/>
  <c r="Q11" i="132" s="1"/>
  <c r="R11" i="132" s="1"/>
  <c r="CG2" i="133"/>
  <c r="CG1" i="133" s="1"/>
  <c r="CH2" i="133"/>
  <c r="CH1" i="133" s="1"/>
  <c r="BH2" i="133"/>
  <c r="BI2" i="133"/>
  <c r="BI1" i="133" s="1"/>
  <c r="CH2" i="132"/>
  <c r="CH1" i="132" s="1"/>
  <c r="CG2" i="132"/>
  <c r="CG1" i="132" s="1"/>
  <c r="CL2" i="132"/>
  <c r="CK1" i="132"/>
  <c r="BI2" i="132"/>
  <c r="BI1" i="132" s="1"/>
  <c r="BH2" i="132"/>
  <c r="DR17" i="124"/>
  <c r="DR6" i="124"/>
  <c r="DR14" i="124"/>
  <c r="DR23" i="124"/>
  <c r="DR18" i="124"/>
  <c r="DR21" i="124"/>
  <c r="DR9" i="124"/>
  <c r="DR19" i="124"/>
  <c r="DR8" i="124"/>
  <c r="DR24" i="124"/>
  <c r="DR11" i="124"/>
  <c r="DR22" i="124"/>
  <c r="DR16" i="124"/>
  <c r="DR15" i="124"/>
  <c r="DR7" i="124"/>
  <c r="DR12" i="124"/>
  <c r="DR13" i="124"/>
  <c r="DR10" i="124"/>
  <c r="DR20" i="124"/>
  <c r="DS1" i="124"/>
  <c r="DT2" i="124"/>
  <c r="CV1" i="124"/>
  <c r="CW2" i="124"/>
  <c r="ER12" i="124"/>
  <c r="ER8" i="124"/>
  <c r="ER22" i="124"/>
  <c r="ER21" i="124"/>
  <c r="ER6" i="124"/>
  <c r="ER24" i="124"/>
  <c r="ER15" i="124"/>
  <c r="ER18" i="124"/>
  <c r="ER23" i="124"/>
  <c r="ER9" i="124"/>
  <c r="ER7" i="124"/>
  <c r="ER19" i="124"/>
  <c r="ER17" i="124"/>
  <c r="ER20" i="124"/>
  <c r="ER13" i="124"/>
  <c r="ER14" i="124"/>
  <c r="ER11" i="124"/>
  <c r="ER16" i="124"/>
  <c r="CU20" i="124"/>
  <c r="BY20" i="124" s="1"/>
  <c r="CU16" i="124"/>
  <c r="BY16" i="124" s="1"/>
  <c r="CU22" i="124"/>
  <c r="BY22" i="124" s="1"/>
  <c r="CU11" i="124"/>
  <c r="BY11" i="124" s="1"/>
  <c r="CU15" i="124"/>
  <c r="BY15" i="124" s="1"/>
  <c r="CU9" i="124"/>
  <c r="BY9" i="124" s="1"/>
  <c r="CU19" i="124"/>
  <c r="BY19" i="124" s="1"/>
  <c r="CU7" i="124"/>
  <c r="BY7" i="124" s="1"/>
  <c r="CU17" i="124"/>
  <c r="BY17" i="124" s="1"/>
  <c r="ES1" i="124"/>
  <c r="CU21" i="124"/>
  <c r="BY21" i="124" s="1"/>
  <c r="CU8" i="124"/>
  <c r="BY8" i="124" s="1"/>
  <c r="CU24" i="124"/>
  <c r="BY24" i="124" s="1"/>
  <c r="CU18" i="124"/>
  <c r="BY18" i="124" s="1"/>
  <c r="CU6" i="124"/>
  <c r="BY6" i="124" s="1"/>
  <c r="CU23" i="124"/>
  <c r="BY23" i="124" s="1"/>
  <c r="CU14" i="124"/>
  <c r="BY14" i="124" s="1"/>
  <c r="CU12" i="124"/>
  <c r="BY12" i="124" s="1"/>
  <c r="CU13" i="124"/>
  <c r="BY13" i="124" s="1"/>
  <c r="CU10" i="124"/>
  <c r="BY10" i="124" s="1"/>
  <c r="CW2" i="121"/>
  <c r="CV1" i="121"/>
  <c r="CU17" i="121"/>
  <c r="BY17" i="121" s="1"/>
  <c r="CU16" i="121"/>
  <c r="BY16" i="121" s="1"/>
  <c r="CU15" i="121"/>
  <c r="BY15" i="121" s="1"/>
  <c r="CU14" i="121"/>
  <c r="BY14" i="121" s="1"/>
  <c r="CU13" i="121"/>
  <c r="BY13" i="121" s="1"/>
  <c r="CU19" i="121"/>
  <c r="BY19" i="121" s="1"/>
  <c r="CU20" i="121"/>
  <c r="BY20" i="121" s="1"/>
  <c r="CU9" i="121"/>
  <c r="BY9" i="121" s="1"/>
  <c r="CU23" i="121"/>
  <c r="BY23" i="121" s="1"/>
  <c r="ES1" i="121"/>
  <c r="CU21" i="121"/>
  <c r="BY21" i="121" s="1"/>
  <c r="CU6" i="121"/>
  <c r="BY6" i="121" s="1"/>
  <c r="CU22" i="121"/>
  <c r="BY22" i="121" s="1"/>
  <c r="CU24" i="121"/>
  <c r="BY24" i="121" s="1"/>
  <c r="CU8" i="121"/>
  <c r="BY8" i="121" s="1"/>
  <c r="CU18" i="121"/>
  <c r="BY18" i="121" s="1"/>
  <c r="CU7" i="121"/>
  <c r="BY7" i="121" s="1"/>
  <c r="CU12" i="121"/>
  <c r="BY12" i="121" s="1"/>
  <c r="CU11" i="121"/>
  <c r="BY11" i="121" s="1"/>
  <c r="CU10" i="121"/>
  <c r="BY10" i="121" s="1"/>
  <c r="ER16" i="121"/>
  <c r="ER9" i="121"/>
  <c r="ER15" i="121"/>
  <c r="ER8" i="121"/>
  <c r="ER18" i="121"/>
  <c r="ER17" i="121"/>
  <c r="ER12" i="121"/>
  <c r="ER14" i="121"/>
  <c r="ER24" i="121"/>
  <c r="ER7" i="121"/>
  <c r="ER21" i="121"/>
  <c r="ER19" i="121"/>
  <c r="ER6" i="121"/>
  <c r="ER11" i="121"/>
  <c r="ER22" i="121"/>
  <c r="ER13" i="121"/>
  <c r="ER20" i="121"/>
  <c r="ER23" i="121"/>
  <c r="DR22" i="121"/>
  <c r="DR14" i="121"/>
  <c r="DR12" i="121"/>
  <c r="DR21" i="121"/>
  <c r="DR13" i="121"/>
  <c r="DR20" i="121"/>
  <c r="DR19" i="121"/>
  <c r="DR16" i="121"/>
  <c r="DR8" i="121"/>
  <c r="DR18" i="121"/>
  <c r="DR23" i="121"/>
  <c r="DR6" i="121"/>
  <c r="DR9" i="121"/>
  <c r="DR24" i="121"/>
  <c r="DR7" i="121"/>
  <c r="DR10" i="121"/>
  <c r="DR11" i="121"/>
  <c r="DR15" i="121"/>
  <c r="DR17" i="121"/>
  <c r="DS1" i="121"/>
  <c r="DT2" i="121"/>
  <c r="DS1" i="120"/>
  <c r="DT2" i="120"/>
  <c r="DR19" i="120"/>
  <c r="DR18" i="120"/>
  <c r="DR20" i="120"/>
  <c r="DR17" i="120"/>
  <c r="DR10" i="120"/>
  <c r="DR15" i="120"/>
  <c r="DR7" i="120"/>
  <c r="DR21" i="120"/>
  <c r="DR22" i="120"/>
  <c r="DR14" i="120"/>
  <c r="DR9" i="120"/>
  <c r="DR13" i="120"/>
  <c r="DR8" i="120"/>
  <c r="DR11" i="120"/>
  <c r="DR6" i="120"/>
  <c r="DR12" i="120"/>
  <c r="DR23" i="120"/>
  <c r="DR24" i="120"/>
  <c r="DR16" i="120"/>
  <c r="CU15" i="120"/>
  <c r="BY15" i="120" s="1"/>
  <c r="CU7" i="120"/>
  <c r="BY7" i="120" s="1"/>
  <c r="CU22" i="120"/>
  <c r="BY22" i="120" s="1"/>
  <c r="CU17" i="120"/>
  <c r="BY17" i="120" s="1"/>
  <c r="ES1" i="120"/>
  <c r="CU23" i="120"/>
  <c r="BY23" i="120" s="1"/>
  <c r="CU16" i="120"/>
  <c r="BY16" i="120" s="1"/>
  <c r="CU10" i="120"/>
  <c r="BY10" i="120" s="1"/>
  <c r="CU20" i="120"/>
  <c r="BY20" i="120" s="1"/>
  <c r="CU8" i="120"/>
  <c r="BY8" i="120" s="1"/>
  <c r="CU24" i="120"/>
  <c r="BY24" i="120" s="1"/>
  <c r="CU14" i="120"/>
  <c r="BY14" i="120" s="1"/>
  <c r="CU6" i="120"/>
  <c r="BY6" i="120" s="1"/>
  <c r="CU12" i="120"/>
  <c r="BY12" i="120" s="1"/>
  <c r="CU21" i="120"/>
  <c r="BY21" i="120" s="1"/>
  <c r="CU11" i="120"/>
  <c r="BY11" i="120" s="1"/>
  <c r="CU9" i="120"/>
  <c r="BY9" i="120" s="1"/>
  <c r="CU19" i="120"/>
  <c r="BY19" i="120" s="1"/>
  <c r="CU18" i="120"/>
  <c r="BY18" i="120" s="1"/>
  <c r="CU13" i="120"/>
  <c r="BY13" i="120" s="1"/>
  <c r="CW2" i="120"/>
  <c r="CV1" i="120"/>
  <c r="ER19" i="120"/>
  <c r="ER16" i="120"/>
  <c r="ER11" i="120"/>
  <c r="ER9" i="120"/>
  <c r="ER7" i="120"/>
  <c r="ER22" i="120"/>
  <c r="ER21" i="120"/>
  <c r="ER18" i="120"/>
  <c r="ER8" i="120"/>
  <c r="ER13" i="120"/>
  <c r="ER24" i="120"/>
  <c r="ER15" i="120"/>
  <c r="ER17" i="120"/>
  <c r="ER23" i="120"/>
  <c r="ER12" i="120"/>
  <c r="ER20" i="120"/>
  <c r="ER14" i="120"/>
  <c r="ER6" i="120"/>
  <c r="CU24" i="119"/>
  <c r="BY24" i="119" s="1"/>
  <c r="CU14" i="119"/>
  <c r="BY14" i="119" s="1"/>
  <c r="CU9" i="119"/>
  <c r="BY9" i="119" s="1"/>
  <c r="CU23" i="119"/>
  <c r="BY23" i="119" s="1"/>
  <c r="CU13" i="119"/>
  <c r="BY13" i="119" s="1"/>
  <c r="CU7" i="119"/>
  <c r="BY7" i="119" s="1"/>
  <c r="CU21" i="119"/>
  <c r="BY21" i="119" s="1"/>
  <c r="CU17" i="119"/>
  <c r="BY17" i="119" s="1"/>
  <c r="ES1" i="119"/>
  <c r="CU20" i="119"/>
  <c r="BY20" i="119" s="1"/>
  <c r="CU12" i="119"/>
  <c r="BY12" i="119" s="1"/>
  <c r="CU6" i="119"/>
  <c r="BY6" i="119" s="1"/>
  <c r="CU18" i="119"/>
  <c r="BY18" i="119" s="1"/>
  <c r="CU19" i="119"/>
  <c r="BY19" i="119" s="1"/>
  <c r="CU16" i="119"/>
  <c r="BY16" i="119" s="1"/>
  <c r="CU11" i="119"/>
  <c r="BY11" i="119" s="1"/>
  <c r="CU22" i="119"/>
  <c r="BY22" i="119" s="1"/>
  <c r="CU10" i="119"/>
  <c r="BY10" i="119" s="1"/>
  <c r="CU15" i="119"/>
  <c r="BY15" i="119" s="1"/>
  <c r="CU8" i="119"/>
  <c r="BY8" i="119" s="1"/>
  <c r="ER18" i="119"/>
  <c r="ER9" i="119"/>
  <c r="ER22" i="119"/>
  <c r="ER15" i="119"/>
  <c r="ER19" i="119"/>
  <c r="ER6" i="119"/>
  <c r="ER16" i="119"/>
  <c r="ER8" i="119"/>
  <c r="ER24" i="119"/>
  <c r="ER14" i="119"/>
  <c r="ER11" i="119"/>
  <c r="ER23" i="119"/>
  <c r="ER13" i="119"/>
  <c r="ER7" i="119"/>
  <c r="ER21" i="119"/>
  <c r="ER17" i="119"/>
  <c r="ER20" i="119"/>
  <c r="ER12" i="119"/>
  <c r="CW2" i="119"/>
  <c r="CV1" i="119"/>
  <c r="DR24" i="119"/>
  <c r="DR20" i="119"/>
  <c r="DR6" i="119"/>
  <c r="DR22" i="119"/>
  <c r="DR15" i="119"/>
  <c r="DR13" i="119"/>
  <c r="DR21" i="119"/>
  <c r="DR23" i="119"/>
  <c r="DR9" i="119"/>
  <c r="DR19" i="119"/>
  <c r="DR8" i="119"/>
  <c r="DR17" i="119"/>
  <c r="DR7" i="119"/>
  <c r="DR18" i="119"/>
  <c r="DR12" i="119"/>
  <c r="DR16" i="119"/>
  <c r="DR10" i="119"/>
  <c r="DR14" i="119"/>
  <c r="DR11" i="119"/>
  <c r="DT2" i="119"/>
  <c r="DS1" i="119"/>
  <c r="DS22" i="116"/>
  <c r="DS17" i="116"/>
  <c r="DS18" i="116"/>
  <c r="DS16" i="116"/>
  <c r="DS14" i="116"/>
  <c r="DS8" i="116"/>
  <c r="DS19" i="116"/>
  <c r="DS13" i="116"/>
  <c r="DS11" i="116"/>
  <c r="DS24" i="116"/>
  <c r="DS12" i="116"/>
  <c r="DS6" i="116"/>
  <c r="DS21" i="116"/>
  <c r="DS15" i="116"/>
  <c r="DS7" i="116"/>
  <c r="DS20" i="116"/>
  <c r="DS10" i="116"/>
  <c r="DS23" i="116"/>
  <c r="DS9" i="116"/>
  <c r="DU2" i="116"/>
  <c r="DT1" i="116"/>
  <c r="CV17" i="116"/>
  <c r="BZ17" i="116" s="1"/>
  <c r="CV11" i="116"/>
  <c r="BZ11" i="116" s="1"/>
  <c r="CV15" i="116"/>
  <c r="BZ15" i="116" s="1"/>
  <c r="CV7" i="116"/>
  <c r="BZ7" i="116" s="1"/>
  <c r="CV22" i="116"/>
  <c r="BZ22" i="116" s="1"/>
  <c r="CV12" i="116"/>
  <c r="BZ12" i="116" s="1"/>
  <c r="CV6" i="116"/>
  <c r="BZ6" i="116" s="1"/>
  <c r="CV21" i="116"/>
  <c r="BZ21" i="116" s="1"/>
  <c r="CV16" i="116"/>
  <c r="BZ16" i="116" s="1"/>
  <c r="CV9" i="116"/>
  <c r="BZ9" i="116" s="1"/>
  <c r="CV19" i="116"/>
  <c r="BZ19" i="116" s="1"/>
  <c r="CV18" i="116"/>
  <c r="BZ18" i="116" s="1"/>
  <c r="ET1" i="116"/>
  <c r="CV24" i="116"/>
  <c r="BZ24" i="116" s="1"/>
  <c r="CV13" i="116"/>
  <c r="BZ13" i="116" s="1"/>
  <c r="CV8" i="116"/>
  <c r="BZ8" i="116" s="1"/>
  <c r="CV23" i="116"/>
  <c r="BZ23" i="116" s="1"/>
  <c r="CV10" i="116"/>
  <c r="BZ10" i="116" s="1"/>
  <c r="CV20" i="116"/>
  <c r="BZ20" i="116" s="1"/>
  <c r="CV14" i="116"/>
  <c r="BZ14" i="116" s="1"/>
  <c r="ES19" i="116"/>
  <c r="ES14" i="116"/>
  <c r="ES7" i="116"/>
  <c r="ES22" i="116"/>
  <c r="ES11" i="116"/>
  <c r="ES6" i="116"/>
  <c r="ES21" i="116"/>
  <c r="ES17" i="116"/>
  <c r="ES23" i="116"/>
  <c r="ES15" i="116"/>
  <c r="ES20" i="116"/>
  <c r="ES18" i="116"/>
  <c r="ES9" i="116"/>
  <c r="ES16" i="116"/>
  <c r="ES8" i="116"/>
  <c r="ES24" i="116"/>
  <c r="ES13" i="116"/>
  <c r="ES12" i="116"/>
  <c r="CX2" i="116"/>
  <c r="CW1" i="116"/>
  <c r="CV17" i="112"/>
  <c r="BZ17" i="112" s="1"/>
  <c r="CV6" i="112"/>
  <c r="BZ6" i="112" s="1"/>
  <c r="CV9" i="112"/>
  <c r="BZ9" i="112" s="1"/>
  <c r="CV12" i="112"/>
  <c r="BZ12" i="112" s="1"/>
  <c r="CV10" i="112"/>
  <c r="BZ10" i="112" s="1"/>
  <c r="CV19" i="112"/>
  <c r="BZ19" i="112" s="1"/>
  <c r="CV21" i="112"/>
  <c r="BZ21" i="112" s="1"/>
  <c r="ET1" i="112"/>
  <c r="CV13" i="112"/>
  <c r="BZ13" i="112" s="1"/>
  <c r="CV22" i="112"/>
  <c r="BZ22" i="112" s="1"/>
  <c r="CV7" i="112"/>
  <c r="BZ7" i="112" s="1"/>
  <c r="CV8" i="112"/>
  <c r="BZ8" i="112" s="1"/>
  <c r="CV24" i="112"/>
  <c r="BZ24" i="112" s="1"/>
  <c r="CV16" i="112"/>
  <c r="BZ16" i="112" s="1"/>
  <c r="CV20" i="112"/>
  <c r="BZ20" i="112" s="1"/>
  <c r="CV14" i="112"/>
  <c r="BZ14" i="112" s="1"/>
  <c r="CV11" i="112"/>
  <c r="BZ11" i="112" s="1"/>
  <c r="CV15" i="112"/>
  <c r="BZ15" i="112" s="1"/>
  <c r="CV18" i="112"/>
  <c r="BZ18" i="112" s="1"/>
  <c r="CV23" i="112"/>
  <c r="BZ23" i="112" s="1"/>
  <c r="CW1" i="112"/>
  <c r="CX2" i="112"/>
  <c r="DS17" i="113"/>
  <c r="DS10" i="113"/>
  <c r="DS11" i="113"/>
  <c r="DS16" i="113"/>
  <c r="DS12" i="113"/>
  <c r="DS23" i="113"/>
  <c r="DS18" i="113"/>
  <c r="DS7" i="113"/>
  <c r="DS22" i="113"/>
  <c r="DS15" i="113"/>
  <c r="DS6" i="113"/>
  <c r="DS21" i="113"/>
  <c r="DS14" i="113"/>
  <c r="DS9" i="113"/>
  <c r="DS20" i="113"/>
  <c r="DS13" i="113"/>
  <c r="DS19" i="113"/>
  <c r="DS24" i="113"/>
  <c r="DS8" i="113"/>
  <c r="CW1" i="113"/>
  <c r="CX2" i="113"/>
  <c r="DU2" i="113"/>
  <c r="DT1" i="113"/>
  <c r="CV24" i="113"/>
  <c r="BZ24" i="113" s="1"/>
  <c r="CV15" i="113"/>
  <c r="BZ15" i="113" s="1"/>
  <c r="CV6" i="113"/>
  <c r="BZ6" i="113" s="1"/>
  <c r="CV23" i="113"/>
  <c r="BZ23" i="113" s="1"/>
  <c r="CV14" i="113"/>
  <c r="BZ14" i="113" s="1"/>
  <c r="CV9" i="113"/>
  <c r="BZ9" i="113" s="1"/>
  <c r="CV20" i="113"/>
  <c r="BZ20" i="113" s="1"/>
  <c r="CV21" i="113"/>
  <c r="BZ21" i="113" s="1"/>
  <c r="CV7" i="113"/>
  <c r="BZ7" i="113" s="1"/>
  <c r="CV18" i="113"/>
  <c r="BZ18" i="113" s="1"/>
  <c r="CV12" i="113"/>
  <c r="BZ12" i="113" s="1"/>
  <c r="ET1" i="113"/>
  <c r="CV22" i="113"/>
  <c r="BZ22" i="113" s="1"/>
  <c r="CV11" i="113"/>
  <c r="BZ11" i="113" s="1"/>
  <c r="CV19" i="113"/>
  <c r="BZ19" i="113" s="1"/>
  <c r="CV17" i="113"/>
  <c r="BZ17" i="113" s="1"/>
  <c r="CV13" i="113"/>
  <c r="BZ13" i="113" s="1"/>
  <c r="CV8" i="113"/>
  <c r="BZ8" i="113" s="1"/>
  <c r="CV16" i="113"/>
  <c r="BZ16" i="113" s="1"/>
  <c r="CV10" i="113"/>
  <c r="BZ10" i="113" s="1"/>
  <c r="ES21" i="112"/>
  <c r="ES7" i="112"/>
  <c r="ES17" i="112"/>
  <c r="ES9" i="112"/>
  <c r="ES16" i="112"/>
  <c r="ES12" i="112"/>
  <c r="ES22" i="112"/>
  <c r="ES6" i="112"/>
  <c r="ES8" i="112"/>
  <c r="ES23" i="112"/>
  <c r="ES15" i="112"/>
  <c r="ES13" i="112"/>
  <c r="ES14" i="112"/>
  <c r="ES24" i="112"/>
  <c r="ES20" i="112"/>
  <c r="ES19" i="112"/>
  <c r="ES18" i="112"/>
  <c r="ES11" i="112"/>
  <c r="DS15" i="112"/>
  <c r="DS13" i="112"/>
  <c r="DS21" i="112"/>
  <c r="DS9" i="112"/>
  <c r="DS17" i="112"/>
  <c r="DS19" i="112"/>
  <c r="DS24" i="112"/>
  <c r="DS10" i="112"/>
  <c r="DS23" i="112"/>
  <c r="DS6" i="112"/>
  <c r="DS14" i="112"/>
  <c r="DS7" i="112"/>
  <c r="DS11" i="112"/>
  <c r="DS20" i="112"/>
  <c r="DS18" i="112"/>
  <c r="DS8" i="112"/>
  <c r="DS22" i="112"/>
  <c r="DS12" i="112"/>
  <c r="DS16" i="112"/>
  <c r="ES20" i="113"/>
  <c r="ES12" i="113"/>
  <c r="ES23" i="113"/>
  <c r="ES14" i="113"/>
  <c r="ES21" i="113"/>
  <c r="ES19" i="113"/>
  <c r="ES7" i="113"/>
  <c r="ES15" i="113"/>
  <c r="ES13" i="113"/>
  <c r="ES17" i="113"/>
  <c r="ES11" i="113"/>
  <c r="ES24" i="113"/>
  <c r="ES18" i="113"/>
  <c r="ES9" i="113"/>
  <c r="ES8" i="113"/>
  <c r="ES22" i="113"/>
  <c r="ES16" i="113"/>
  <c r="ES6" i="113"/>
  <c r="DU2" i="112"/>
  <c r="DT1" i="112"/>
  <c r="O30" i="88"/>
  <c r="O28" i="88"/>
  <c r="Q28" i="87"/>
  <c r="Q29" i="87"/>
  <c r="BQ27" i="90"/>
  <c r="Q29" i="88"/>
  <c r="Q28" i="88"/>
  <c r="BS13" i="109"/>
  <c r="BS27" i="109" s="1"/>
  <c r="BU27" i="88"/>
  <c r="CX2" i="109"/>
  <c r="CW1" i="109"/>
  <c r="CV24" i="109"/>
  <c r="BZ24" i="109" s="1"/>
  <c r="CV12" i="109"/>
  <c r="BZ12" i="109" s="1"/>
  <c r="CV20" i="109"/>
  <c r="BZ20" i="109" s="1"/>
  <c r="CV8" i="109"/>
  <c r="BZ8" i="109" s="1"/>
  <c r="CV18" i="109"/>
  <c r="BZ18" i="109" s="1"/>
  <c r="CV17" i="109"/>
  <c r="BZ17" i="109" s="1"/>
  <c r="CV16" i="109"/>
  <c r="BZ16" i="109" s="1"/>
  <c r="CV15" i="109"/>
  <c r="BZ15" i="109" s="1"/>
  <c r="CV14" i="109"/>
  <c r="BZ14" i="109" s="1"/>
  <c r="CV13" i="109"/>
  <c r="BZ13" i="109" s="1"/>
  <c r="CV23" i="109"/>
  <c r="BZ23" i="109" s="1"/>
  <c r="CV11" i="109"/>
  <c r="BZ11" i="109" s="1"/>
  <c r="CV22" i="109"/>
  <c r="BZ22" i="109" s="1"/>
  <c r="CV10" i="109"/>
  <c r="BZ10" i="109" s="1"/>
  <c r="CV19" i="109"/>
  <c r="BZ19" i="109" s="1"/>
  <c r="CV21" i="109"/>
  <c r="BZ21" i="109" s="1"/>
  <c r="CV9" i="109"/>
  <c r="BZ9" i="109" s="1"/>
  <c r="CV7" i="109"/>
  <c r="BZ7" i="109" s="1"/>
  <c r="CV6" i="109"/>
  <c r="BZ6" i="109" s="1"/>
  <c r="ET1" i="109"/>
  <c r="DT2" i="108"/>
  <c r="DS1" i="108"/>
  <c r="BU13" i="90"/>
  <c r="Q13" i="90" s="1"/>
  <c r="R13" i="90" s="1"/>
  <c r="BV13" i="108"/>
  <c r="DR19" i="108"/>
  <c r="DR18" i="108"/>
  <c r="DR6" i="108"/>
  <c r="DR10" i="108"/>
  <c r="DR17" i="108"/>
  <c r="DR13" i="108"/>
  <c r="DR11" i="108"/>
  <c r="DR16" i="108"/>
  <c r="DR12" i="108"/>
  <c r="DR23" i="108"/>
  <c r="DR9" i="108"/>
  <c r="DR8" i="108"/>
  <c r="DR7" i="108"/>
  <c r="DR15" i="108"/>
  <c r="DR24" i="108"/>
  <c r="DR22" i="108"/>
  <c r="DR20" i="108"/>
  <c r="DR14" i="108"/>
  <c r="DR21" i="108"/>
  <c r="ER17" i="108"/>
  <c r="ER16" i="108"/>
  <c r="ER20" i="108"/>
  <c r="ER15" i="108"/>
  <c r="ER9" i="108"/>
  <c r="ER14" i="108"/>
  <c r="ER11" i="108"/>
  <c r="ER21" i="108"/>
  <c r="ER19" i="108"/>
  <c r="ER6" i="108"/>
  <c r="ER13" i="108"/>
  <c r="ER23" i="108"/>
  <c r="ER8" i="108"/>
  <c r="ER7" i="108"/>
  <c r="ER18" i="108"/>
  <c r="ER24" i="108"/>
  <c r="ER12" i="108"/>
  <c r="ER22" i="108"/>
  <c r="DS24" i="109"/>
  <c r="DS12" i="109"/>
  <c r="DS23" i="109"/>
  <c r="DS11" i="109"/>
  <c r="DS10" i="109"/>
  <c r="DS21" i="109"/>
  <c r="DS9" i="109"/>
  <c r="DS20" i="109"/>
  <c r="DS8" i="109"/>
  <c r="DS19" i="109"/>
  <c r="DS6" i="109"/>
  <c r="DS16" i="109"/>
  <c r="DS14" i="109"/>
  <c r="DS7" i="109"/>
  <c r="DS17" i="109"/>
  <c r="DS22" i="109"/>
  <c r="DS18" i="109"/>
  <c r="DS13" i="109"/>
  <c r="DS15" i="109"/>
  <c r="DU2" i="109"/>
  <c r="DT1" i="109"/>
  <c r="ES22" i="109"/>
  <c r="ES9" i="109"/>
  <c r="ES20" i="109"/>
  <c r="ES18" i="109"/>
  <c r="ES6" i="109"/>
  <c r="ES17" i="109"/>
  <c r="ES11" i="109"/>
  <c r="ES21" i="109"/>
  <c r="ES16" i="109"/>
  <c r="ES15" i="109"/>
  <c r="ES24" i="109"/>
  <c r="ES8" i="109"/>
  <c r="ES19" i="109"/>
  <c r="ES7" i="109"/>
  <c r="ES14" i="109"/>
  <c r="ES13" i="109"/>
  <c r="ES12" i="109"/>
  <c r="ES23" i="109"/>
  <c r="CU19" i="108"/>
  <c r="BY19" i="108" s="1"/>
  <c r="CU7" i="108"/>
  <c r="BY7" i="108" s="1"/>
  <c r="CU18" i="108"/>
  <c r="BY18" i="108" s="1"/>
  <c r="CU6" i="108"/>
  <c r="BY6" i="108" s="1"/>
  <c r="CU22" i="108"/>
  <c r="BY22" i="108" s="1"/>
  <c r="CU9" i="108"/>
  <c r="BY9" i="108" s="1"/>
  <c r="CU17" i="108"/>
  <c r="BY17" i="108" s="1"/>
  <c r="ES1" i="108"/>
  <c r="CU24" i="108"/>
  <c r="BY24" i="108" s="1"/>
  <c r="CU23" i="108"/>
  <c r="BY23" i="108" s="1"/>
  <c r="CU16" i="108"/>
  <c r="BY16" i="108" s="1"/>
  <c r="CU13" i="108"/>
  <c r="BY13" i="108" s="1"/>
  <c r="CU12" i="108"/>
  <c r="BY12" i="108" s="1"/>
  <c r="CU21" i="108"/>
  <c r="BY21" i="108" s="1"/>
  <c r="CU20" i="108"/>
  <c r="BY20" i="108" s="1"/>
  <c r="CU15" i="108"/>
  <c r="BY15" i="108" s="1"/>
  <c r="CU10" i="108"/>
  <c r="BY10" i="108" s="1"/>
  <c r="CU14" i="108"/>
  <c r="BY14" i="108" s="1"/>
  <c r="CU11" i="108"/>
  <c r="BY11" i="108" s="1"/>
  <c r="CU8" i="108"/>
  <c r="BY8" i="108" s="1"/>
  <c r="CW2" i="108"/>
  <c r="CV1" i="108"/>
  <c r="CV1" i="106"/>
  <c r="CW2" i="106"/>
  <c r="CU19" i="106"/>
  <c r="BY19" i="106" s="1"/>
  <c r="CU11" i="106"/>
  <c r="BY11" i="106" s="1"/>
  <c r="CU18" i="106"/>
  <c r="BY18" i="106" s="1"/>
  <c r="CU10" i="106"/>
  <c r="BY10" i="106" s="1"/>
  <c r="CU20" i="106"/>
  <c r="BY20" i="106" s="1"/>
  <c r="CU17" i="106"/>
  <c r="BY17" i="106" s="1"/>
  <c r="CU9" i="106"/>
  <c r="BY9" i="106" s="1"/>
  <c r="CU24" i="106"/>
  <c r="BY24" i="106" s="1"/>
  <c r="CU16" i="106"/>
  <c r="BY16" i="106" s="1"/>
  <c r="CU8" i="106"/>
  <c r="BY8" i="106" s="1"/>
  <c r="CU23" i="106"/>
  <c r="BY23" i="106" s="1"/>
  <c r="CU15" i="106"/>
  <c r="BY15" i="106" s="1"/>
  <c r="CU7" i="106"/>
  <c r="BY7" i="106" s="1"/>
  <c r="CU22" i="106"/>
  <c r="BY22" i="106" s="1"/>
  <c r="CU14" i="106"/>
  <c r="BY14" i="106" s="1"/>
  <c r="CU6" i="106"/>
  <c r="BY6" i="106" s="1"/>
  <c r="CU12" i="106"/>
  <c r="BY12" i="106" s="1"/>
  <c r="CU21" i="106"/>
  <c r="BY21" i="106" s="1"/>
  <c r="CU13" i="106"/>
  <c r="BY13" i="106" s="1"/>
  <c r="ES1" i="106"/>
  <c r="ER17" i="106"/>
  <c r="ER9" i="106"/>
  <c r="ER24" i="106"/>
  <c r="ER16" i="106"/>
  <c r="ER8" i="106"/>
  <c r="ER23" i="106"/>
  <c r="ER15" i="106"/>
  <c r="ER7" i="106"/>
  <c r="ER22" i="106"/>
  <c r="ER14" i="106"/>
  <c r="ER6" i="106"/>
  <c r="ER21" i="106"/>
  <c r="ER13" i="106"/>
  <c r="ER18" i="106"/>
  <c r="ER20" i="106"/>
  <c r="ER12" i="106"/>
  <c r="ER19" i="106"/>
  <c r="ER11" i="106"/>
  <c r="BU10" i="89"/>
  <c r="BU29" i="89" s="1"/>
  <c r="BV10" i="106"/>
  <c r="BV27" i="106" s="1"/>
  <c r="DR23" i="106"/>
  <c r="DR15" i="106"/>
  <c r="DR7" i="106"/>
  <c r="DR22" i="106"/>
  <c r="DR14" i="106"/>
  <c r="DR6" i="106"/>
  <c r="DR16" i="106"/>
  <c r="DR21" i="106"/>
  <c r="DR13" i="106"/>
  <c r="DR20" i="106"/>
  <c r="DR12" i="106"/>
  <c r="DR19" i="106"/>
  <c r="DR11" i="106"/>
  <c r="DR18" i="106"/>
  <c r="DR10" i="106"/>
  <c r="DR24" i="106"/>
  <c r="DR17" i="106"/>
  <c r="DR9" i="106"/>
  <c r="DR8" i="106"/>
  <c r="DT2" i="106"/>
  <c r="DS1" i="106"/>
  <c r="DR23" i="105"/>
  <c r="DR11" i="105"/>
  <c r="DR22" i="105"/>
  <c r="DR10" i="105"/>
  <c r="DR18" i="105"/>
  <c r="DR12" i="105"/>
  <c r="DR21" i="105"/>
  <c r="DR9" i="105"/>
  <c r="DR19" i="105"/>
  <c r="DR7" i="105"/>
  <c r="DR6" i="105"/>
  <c r="DR16" i="105"/>
  <c r="DR20" i="105"/>
  <c r="DR8" i="105"/>
  <c r="DR13" i="105"/>
  <c r="DR17" i="105"/>
  <c r="DR24" i="105"/>
  <c r="DR15" i="105"/>
  <c r="DR14" i="105"/>
  <c r="DT2" i="105"/>
  <c r="DS1" i="105"/>
  <c r="ER21" i="105"/>
  <c r="ER9" i="105"/>
  <c r="ER20" i="105"/>
  <c r="ER8" i="105"/>
  <c r="ER17" i="105"/>
  <c r="ER16" i="105"/>
  <c r="ER15" i="105"/>
  <c r="ER23" i="105"/>
  <c r="ER19" i="105"/>
  <c r="ER7" i="105"/>
  <c r="ER14" i="105"/>
  <c r="ER22" i="105"/>
  <c r="ER18" i="105"/>
  <c r="ER6" i="105"/>
  <c r="ER10" i="105"/>
  <c r="ER13" i="105"/>
  <c r="ER24" i="105"/>
  <c r="ER12" i="105"/>
  <c r="ER11" i="105"/>
  <c r="CU23" i="105"/>
  <c r="BY23" i="105" s="1"/>
  <c r="CU11" i="105"/>
  <c r="BY11" i="105" s="1"/>
  <c r="CU22" i="105"/>
  <c r="BY22" i="105" s="1"/>
  <c r="CU10" i="105"/>
  <c r="BY10" i="105" s="1"/>
  <c r="CU21" i="105"/>
  <c r="BY21" i="105" s="1"/>
  <c r="CU9" i="105"/>
  <c r="BY9" i="105" s="1"/>
  <c r="CU7" i="105"/>
  <c r="BY7" i="105" s="1"/>
  <c r="CU6" i="105"/>
  <c r="BY6" i="105" s="1"/>
  <c r="CU16" i="105"/>
  <c r="BY16" i="105" s="1"/>
  <c r="CU20" i="105"/>
  <c r="BY20" i="105" s="1"/>
  <c r="CU8" i="105"/>
  <c r="BY8" i="105" s="1"/>
  <c r="CU19" i="105"/>
  <c r="BY19" i="105" s="1"/>
  <c r="CU18" i="105"/>
  <c r="BY18" i="105" s="1"/>
  <c r="CU17" i="105"/>
  <c r="BY17" i="105" s="1"/>
  <c r="CU13" i="105"/>
  <c r="BY13" i="105" s="1"/>
  <c r="ES1" i="105"/>
  <c r="CU24" i="105"/>
  <c r="BY24" i="105" s="1"/>
  <c r="CU12" i="105"/>
  <c r="BY12" i="105" s="1"/>
  <c r="CU15" i="105"/>
  <c r="BY15" i="105" s="1"/>
  <c r="CU14" i="105"/>
  <c r="BY14" i="105" s="1"/>
  <c r="CW2" i="105"/>
  <c r="CV1" i="105"/>
  <c r="EO10" i="98"/>
  <c r="EP10" i="100"/>
  <c r="ED24" i="98"/>
  <c r="ED23" i="98"/>
  <c r="ED22" i="98"/>
  <c r="ED21" i="98"/>
  <c r="ED20" i="98"/>
  <c r="ED19" i="98"/>
  <c r="ED18" i="98"/>
  <c r="ED17" i="98"/>
  <c r="ED16" i="98"/>
  <c r="ED15" i="98"/>
  <c r="ED14" i="98"/>
  <c r="ED13" i="98"/>
  <c r="ED12" i="98"/>
  <c r="ED11" i="98"/>
  <c r="ED10" i="98"/>
  <c r="ED9" i="98"/>
  <c r="ED8" i="98"/>
  <c r="ED7" i="98"/>
  <c r="ED6" i="98"/>
  <c r="EE24" i="98"/>
  <c r="EE23" i="98"/>
  <c r="EE22" i="98"/>
  <c r="EE21" i="98"/>
  <c r="EE20" i="98"/>
  <c r="EE19" i="98"/>
  <c r="EE18" i="98"/>
  <c r="EE17" i="98"/>
  <c r="EE16" i="98"/>
  <c r="EE15" i="98"/>
  <c r="EE14" i="98"/>
  <c r="EE13" i="98"/>
  <c r="EE12" i="98"/>
  <c r="EE11" i="98"/>
  <c r="EE10" i="98"/>
  <c r="EE9" i="98"/>
  <c r="EE8" i="98"/>
  <c r="EE7" i="98"/>
  <c r="EE6" i="98"/>
  <c r="BY27" i="98"/>
  <c r="BX28" i="98" s="1"/>
  <c r="U6" i="98"/>
  <c r="FD24" i="100"/>
  <c r="FD23" i="100"/>
  <c r="FD22" i="100"/>
  <c r="FD21" i="100"/>
  <c r="FD20" i="100"/>
  <c r="FD19" i="100"/>
  <c r="FD18" i="100"/>
  <c r="FD17" i="100"/>
  <c r="FD16" i="100"/>
  <c r="FD15" i="100"/>
  <c r="FD14" i="100"/>
  <c r="FD13" i="100"/>
  <c r="FD12" i="100"/>
  <c r="FD11" i="100"/>
  <c r="FD10" i="100"/>
  <c r="FD9" i="100"/>
  <c r="FD8" i="100"/>
  <c r="FD7" i="100"/>
  <c r="FD6" i="100"/>
  <c r="FC24" i="100"/>
  <c r="FC23" i="100"/>
  <c r="FC22" i="100"/>
  <c r="FC21" i="100"/>
  <c r="FC20" i="100"/>
  <c r="FC19" i="100"/>
  <c r="FC18" i="100"/>
  <c r="FC17" i="100"/>
  <c r="FC16" i="100"/>
  <c r="FC15" i="100"/>
  <c r="FC14" i="100"/>
  <c r="FC13" i="100"/>
  <c r="FC12" i="100"/>
  <c r="FC11" i="100"/>
  <c r="FC10" i="100"/>
  <c r="FC9" i="100"/>
  <c r="FC8" i="100"/>
  <c r="FC7" i="100"/>
  <c r="FC6" i="100"/>
  <c r="BY6" i="100"/>
  <c r="BY7" i="100"/>
  <c r="U7" i="100" s="1"/>
  <c r="V7" i="100" s="1"/>
  <c r="BY8" i="100"/>
  <c r="U8" i="100" s="1"/>
  <c r="V8" i="100" s="1"/>
  <c r="BY9" i="100"/>
  <c r="U9" i="100" s="1"/>
  <c r="V9" i="100" s="1"/>
  <c r="BY10" i="100"/>
  <c r="U10" i="100" s="1"/>
  <c r="V10" i="100" s="1"/>
  <c r="BY11" i="100"/>
  <c r="U11" i="100" s="1"/>
  <c r="V11" i="100" s="1"/>
  <c r="BY12" i="100"/>
  <c r="U12" i="100" s="1"/>
  <c r="V12" i="100" s="1"/>
  <c r="BY13" i="100"/>
  <c r="U13" i="100" s="1"/>
  <c r="V13" i="100" s="1"/>
  <c r="BY14" i="100"/>
  <c r="U14" i="100" s="1"/>
  <c r="V14" i="100" s="1"/>
  <c r="BY15" i="100"/>
  <c r="U15" i="100" s="1"/>
  <c r="V15" i="100" s="1"/>
  <c r="BY16" i="100"/>
  <c r="U16" i="100" s="1"/>
  <c r="V16" i="100" s="1"/>
  <c r="BY17" i="100"/>
  <c r="U17" i="100" s="1"/>
  <c r="V17" i="100" s="1"/>
  <c r="BY18" i="100"/>
  <c r="U18" i="100" s="1"/>
  <c r="V18" i="100" s="1"/>
  <c r="BY19" i="100"/>
  <c r="U19" i="100" s="1"/>
  <c r="V19" i="100" s="1"/>
  <c r="BY20" i="100"/>
  <c r="U20" i="100" s="1"/>
  <c r="V20" i="100" s="1"/>
  <c r="BY21" i="100"/>
  <c r="U21" i="100" s="1"/>
  <c r="V21" i="100" s="1"/>
  <c r="BY22" i="100"/>
  <c r="U22" i="100" s="1"/>
  <c r="V22" i="100" s="1"/>
  <c r="BY23" i="100"/>
  <c r="U23" i="100" s="1"/>
  <c r="V23" i="100" s="1"/>
  <c r="BY24" i="100"/>
  <c r="U24" i="100" s="1"/>
  <c r="V24" i="100" s="1"/>
  <c r="EC24" i="100"/>
  <c r="EC23" i="100"/>
  <c r="EC22" i="100"/>
  <c r="EC21" i="100"/>
  <c r="EC20" i="100"/>
  <c r="EC19" i="100"/>
  <c r="EC18" i="100"/>
  <c r="EC17" i="100"/>
  <c r="EC16" i="100"/>
  <c r="EC15" i="100"/>
  <c r="EC14" i="100"/>
  <c r="EC13" i="100"/>
  <c r="EC12" i="100"/>
  <c r="EC11" i="100"/>
  <c r="EC10" i="100"/>
  <c r="EC9" i="100"/>
  <c r="EC8" i="100"/>
  <c r="EC7" i="100"/>
  <c r="EC6" i="100"/>
  <c r="EE2" i="100"/>
  <c r="EE1" i="100" s="1"/>
  <c r="ED1" i="100"/>
  <c r="EL10" i="95"/>
  <c r="EM10" i="96"/>
  <c r="EN10" i="97"/>
  <c r="CC27" i="96"/>
  <c r="CB28" i="96" s="1"/>
  <c r="W6" i="96"/>
  <c r="X6" i="96" s="1"/>
  <c r="T30" i="97"/>
  <c r="T29" i="97"/>
  <c r="T28" i="97"/>
  <c r="V6" i="97"/>
  <c r="CC6" i="97"/>
  <c r="CC7" i="97"/>
  <c r="W7" i="97" s="1"/>
  <c r="X7" i="97" s="1"/>
  <c r="CC8" i="97"/>
  <c r="W8" i="97" s="1"/>
  <c r="X8" i="97" s="1"/>
  <c r="CC9" i="97"/>
  <c r="W9" i="97" s="1"/>
  <c r="X9" i="97" s="1"/>
  <c r="CC10" i="97"/>
  <c r="W10" i="97" s="1"/>
  <c r="X10" i="97" s="1"/>
  <c r="CC11" i="97"/>
  <c r="W11" i="97" s="1"/>
  <c r="X11" i="97" s="1"/>
  <c r="CC12" i="97"/>
  <c r="W12" i="97" s="1"/>
  <c r="X12" i="97" s="1"/>
  <c r="CC13" i="97"/>
  <c r="W13" i="97" s="1"/>
  <c r="X13" i="97" s="1"/>
  <c r="CC14" i="97"/>
  <c r="W14" i="97" s="1"/>
  <c r="X14" i="97" s="1"/>
  <c r="CC15" i="97"/>
  <c r="W15" i="97" s="1"/>
  <c r="X15" i="97" s="1"/>
  <c r="CC16" i="97"/>
  <c r="CC17" i="97"/>
  <c r="CC18" i="97"/>
  <c r="W18" i="97" s="1"/>
  <c r="X18" i="97" s="1"/>
  <c r="CC19" i="97"/>
  <c r="W19" i="97" s="1"/>
  <c r="X19" i="97" s="1"/>
  <c r="CC20" i="97"/>
  <c r="W20" i="97" s="1"/>
  <c r="X20" i="97" s="1"/>
  <c r="CC21" i="97"/>
  <c r="W21" i="97" s="1"/>
  <c r="X21" i="97" s="1"/>
  <c r="CC22" i="97"/>
  <c r="W22" i="97" s="1"/>
  <c r="X22" i="97" s="1"/>
  <c r="CC23" i="97"/>
  <c r="W23" i="97" s="1"/>
  <c r="X23" i="97" s="1"/>
  <c r="CC24" i="97"/>
  <c r="W24" i="97" s="1"/>
  <c r="X24" i="97" s="1"/>
  <c r="EJ10" i="92"/>
  <c r="EK10" i="93"/>
  <c r="EL10" i="94"/>
  <c r="EX110" i="9"/>
  <c r="EW111" i="9"/>
  <c r="CU16" i="92"/>
  <c r="BY16" i="92" s="1"/>
  <c r="CU19" i="92"/>
  <c r="BY19" i="92" s="1"/>
  <c r="CU6" i="92"/>
  <c r="BY6" i="92" s="1"/>
  <c r="CU14" i="92"/>
  <c r="BY14" i="92" s="1"/>
  <c r="CU17" i="92"/>
  <c r="BY17" i="92" s="1"/>
  <c r="CU7" i="92"/>
  <c r="BY7" i="92" s="1"/>
  <c r="CU13" i="92"/>
  <c r="BY13" i="92" s="1"/>
  <c r="ES1" i="92"/>
  <c r="CU12" i="92"/>
  <c r="BY12" i="92" s="1"/>
  <c r="CU22" i="92"/>
  <c r="BY22" i="92" s="1"/>
  <c r="CU10" i="92"/>
  <c r="BY10" i="92" s="1"/>
  <c r="CU20" i="92"/>
  <c r="BY20" i="92" s="1"/>
  <c r="CU24" i="92"/>
  <c r="BY24" i="92" s="1"/>
  <c r="CU9" i="92"/>
  <c r="BY9" i="92" s="1"/>
  <c r="CU15" i="92"/>
  <c r="BY15" i="92" s="1"/>
  <c r="CU21" i="92"/>
  <c r="BY21" i="92" s="1"/>
  <c r="CU8" i="92"/>
  <c r="BY8" i="92" s="1"/>
  <c r="CU11" i="92"/>
  <c r="BY11" i="92" s="1"/>
  <c r="CU18" i="92"/>
  <c r="BY18" i="92" s="1"/>
  <c r="CU23" i="92"/>
  <c r="BY23" i="92" s="1"/>
  <c r="IV109" i="9"/>
  <c r="IU110" i="9"/>
  <c r="BU13" i="91"/>
  <c r="BU29" i="91" s="1"/>
  <c r="GJ110" i="9"/>
  <c r="GN110" i="9" s="1"/>
  <c r="DR16" i="92"/>
  <c r="DR8" i="92"/>
  <c r="DR13" i="92"/>
  <c r="DR15" i="92"/>
  <c r="DR24" i="92"/>
  <c r="DR12" i="92"/>
  <c r="DR7" i="92"/>
  <c r="DR14" i="92"/>
  <c r="DR11" i="92"/>
  <c r="DR10" i="92"/>
  <c r="DR6" i="92"/>
  <c r="DR9" i="92"/>
  <c r="DR23" i="92"/>
  <c r="DR18" i="92"/>
  <c r="DR22" i="92"/>
  <c r="DR21" i="92"/>
  <c r="DR19" i="92"/>
  <c r="DR20" i="92"/>
  <c r="DR17" i="92"/>
  <c r="ER12" i="92"/>
  <c r="ER15" i="92"/>
  <c r="ER22" i="92"/>
  <c r="ER10" i="92"/>
  <c r="ER17" i="92"/>
  <c r="ER16" i="92"/>
  <c r="ER8" i="92"/>
  <c r="ER24" i="92"/>
  <c r="ER14" i="92"/>
  <c r="ER21" i="92"/>
  <c r="ER23" i="92"/>
  <c r="ER13" i="92"/>
  <c r="ER18" i="92"/>
  <c r="ER20" i="92"/>
  <c r="ER11" i="92"/>
  <c r="ER9" i="92"/>
  <c r="ER19" i="92"/>
  <c r="ER7" i="92"/>
  <c r="ER6" i="92"/>
  <c r="DT2" i="92"/>
  <c r="DS1" i="92"/>
  <c r="CW2" i="92"/>
  <c r="CV1" i="92"/>
  <c r="GH108" i="9"/>
  <c r="DS1" i="91"/>
  <c r="DT2" i="91"/>
  <c r="CW2" i="91"/>
  <c r="CV1" i="91"/>
  <c r="DR20" i="91"/>
  <c r="DR15" i="91"/>
  <c r="DR24" i="91"/>
  <c r="DR14" i="91"/>
  <c r="DR18" i="91"/>
  <c r="DR10" i="91"/>
  <c r="DR22" i="91"/>
  <c r="DR17" i="91"/>
  <c r="DR19" i="91"/>
  <c r="DR6" i="91"/>
  <c r="DR9" i="91"/>
  <c r="DR13" i="91"/>
  <c r="DR23" i="91"/>
  <c r="DR8" i="91"/>
  <c r="DR11" i="91"/>
  <c r="DR21" i="91"/>
  <c r="DR7" i="91"/>
  <c r="DR16" i="91"/>
  <c r="DR12" i="91"/>
  <c r="DR11" i="90"/>
  <c r="DR22" i="90"/>
  <c r="DR14" i="90"/>
  <c r="DR6" i="90"/>
  <c r="DR18" i="90"/>
  <c r="DR21" i="90"/>
  <c r="DR7" i="90"/>
  <c r="DR15" i="90"/>
  <c r="DR23" i="90"/>
  <c r="DR17" i="90"/>
  <c r="DR16" i="90"/>
  <c r="DR24" i="90"/>
  <c r="DR19" i="90"/>
  <c r="DR9" i="90"/>
  <c r="DR8" i="90"/>
  <c r="DR20" i="90"/>
  <c r="DR12" i="90"/>
  <c r="DR13" i="90"/>
  <c r="DR10" i="90"/>
  <c r="O13" i="91"/>
  <c r="BQ27" i="91"/>
  <c r="EH10" i="90"/>
  <c r="CG10" i="90" s="1"/>
  <c r="EI10" i="91"/>
  <c r="DS1" i="90"/>
  <c r="DT2" i="90"/>
  <c r="ER24" i="91"/>
  <c r="ER8" i="91"/>
  <c r="ER22" i="91"/>
  <c r="ER20" i="91"/>
  <c r="ER10" i="91"/>
  <c r="ER11" i="91"/>
  <c r="ER19" i="91"/>
  <c r="ER9" i="91"/>
  <c r="ER14" i="91"/>
  <c r="ER23" i="91"/>
  <c r="ER18" i="91"/>
  <c r="ER6" i="91"/>
  <c r="ER15" i="91"/>
  <c r="ER17" i="91"/>
  <c r="ER12" i="91"/>
  <c r="ER21" i="91"/>
  <c r="ER13" i="91"/>
  <c r="ER7" i="91"/>
  <c r="ER16" i="91"/>
  <c r="P13" i="90"/>
  <c r="O26" i="90"/>
  <c r="ER22" i="90"/>
  <c r="ER8" i="90"/>
  <c r="ER24" i="90"/>
  <c r="ER18" i="90"/>
  <c r="ER21" i="90"/>
  <c r="ER20" i="90"/>
  <c r="ER19" i="90"/>
  <c r="ER12" i="90"/>
  <c r="ER11" i="90"/>
  <c r="ER15" i="90"/>
  <c r="ER16" i="90"/>
  <c r="ER6" i="90"/>
  <c r="ER14" i="90"/>
  <c r="ER17" i="90"/>
  <c r="ER13" i="90"/>
  <c r="ER10" i="90"/>
  <c r="ER23" i="90"/>
  <c r="ER7" i="90"/>
  <c r="ER9" i="90"/>
  <c r="CU11" i="90"/>
  <c r="BY11" i="90" s="1"/>
  <c r="CU16" i="90"/>
  <c r="BY16" i="90" s="1"/>
  <c r="CU24" i="90"/>
  <c r="BY24" i="90" s="1"/>
  <c r="CU22" i="90"/>
  <c r="BY22" i="90" s="1"/>
  <c r="CU15" i="90"/>
  <c r="BY15" i="90" s="1"/>
  <c r="CU19" i="90"/>
  <c r="BY19" i="90" s="1"/>
  <c r="ES1" i="90"/>
  <c r="CU9" i="90"/>
  <c r="BY9" i="90" s="1"/>
  <c r="CU8" i="90"/>
  <c r="BY8" i="90" s="1"/>
  <c r="CU7" i="90"/>
  <c r="BY7" i="90" s="1"/>
  <c r="CU17" i="90"/>
  <c r="BY17" i="90" s="1"/>
  <c r="CU23" i="90"/>
  <c r="BY23" i="90" s="1"/>
  <c r="CU18" i="90"/>
  <c r="BY18" i="90" s="1"/>
  <c r="CU21" i="90"/>
  <c r="BY21" i="90" s="1"/>
  <c r="CU14" i="90"/>
  <c r="BY14" i="90" s="1"/>
  <c r="CU6" i="90"/>
  <c r="BY6" i="90" s="1"/>
  <c r="CU20" i="90"/>
  <c r="BY20" i="90" s="1"/>
  <c r="CU12" i="90"/>
  <c r="BY12" i="90" s="1"/>
  <c r="CU10" i="90"/>
  <c r="BY10" i="90" s="1"/>
  <c r="CU13" i="90"/>
  <c r="BY13" i="90" s="1"/>
  <c r="CU13" i="91"/>
  <c r="BY13" i="91" s="1"/>
  <c r="CU18" i="91"/>
  <c r="BY18" i="91" s="1"/>
  <c r="CU20" i="91"/>
  <c r="BY20" i="91" s="1"/>
  <c r="CU12" i="91"/>
  <c r="BY12" i="91" s="1"/>
  <c r="CU24" i="91"/>
  <c r="BY24" i="91" s="1"/>
  <c r="CU16" i="91"/>
  <c r="BY16" i="91" s="1"/>
  <c r="CU8" i="91"/>
  <c r="BY8" i="91" s="1"/>
  <c r="CU14" i="91"/>
  <c r="BY14" i="91" s="1"/>
  <c r="CU10" i="91"/>
  <c r="BY10" i="91" s="1"/>
  <c r="CU9" i="91"/>
  <c r="BY9" i="91" s="1"/>
  <c r="ES1" i="91"/>
  <c r="CU6" i="91"/>
  <c r="BY6" i="91" s="1"/>
  <c r="CU7" i="91"/>
  <c r="BY7" i="91" s="1"/>
  <c r="CU19" i="91"/>
  <c r="BY19" i="91" s="1"/>
  <c r="CU15" i="91"/>
  <c r="BY15" i="91" s="1"/>
  <c r="CU23" i="91"/>
  <c r="BY23" i="91" s="1"/>
  <c r="CU17" i="91"/>
  <c r="BY17" i="91" s="1"/>
  <c r="CU22" i="91"/>
  <c r="BY22" i="91" s="1"/>
  <c r="CU11" i="91"/>
  <c r="BY11" i="91" s="1"/>
  <c r="CU21" i="91"/>
  <c r="BY21" i="91" s="1"/>
  <c r="CW2" i="90"/>
  <c r="CV1" i="90"/>
  <c r="CU19" i="89"/>
  <c r="BY19" i="89" s="1"/>
  <c r="CU10" i="89"/>
  <c r="BY10" i="89" s="1"/>
  <c r="CU17" i="89"/>
  <c r="BY17" i="89" s="1"/>
  <c r="CU9" i="89"/>
  <c r="BY9" i="89" s="1"/>
  <c r="CU18" i="89"/>
  <c r="BY18" i="89" s="1"/>
  <c r="CU13" i="89"/>
  <c r="BY13" i="89" s="1"/>
  <c r="CU24" i="89"/>
  <c r="BY24" i="89" s="1"/>
  <c r="CU14" i="89"/>
  <c r="BY14" i="89" s="1"/>
  <c r="CU7" i="89"/>
  <c r="BY7" i="89" s="1"/>
  <c r="CU15" i="89"/>
  <c r="BY15" i="89" s="1"/>
  <c r="CU23" i="89"/>
  <c r="BY23" i="89" s="1"/>
  <c r="CU16" i="89"/>
  <c r="BY16" i="89" s="1"/>
  <c r="CU6" i="89"/>
  <c r="BY6" i="89" s="1"/>
  <c r="CU22" i="89"/>
  <c r="BY22" i="89" s="1"/>
  <c r="ES1" i="89"/>
  <c r="CU20" i="89"/>
  <c r="BY20" i="89" s="1"/>
  <c r="CU12" i="89"/>
  <c r="BY12" i="89" s="1"/>
  <c r="CU8" i="89"/>
  <c r="BY8" i="89" s="1"/>
  <c r="CU21" i="89"/>
  <c r="BY21" i="89" s="1"/>
  <c r="CU11" i="89"/>
  <c r="BY11" i="89" s="1"/>
  <c r="DR22" i="89"/>
  <c r="DR20" i="89"/>
  <c r="DR10" i="89"/>
  <c r="DR13" i="89"/>
  <c r="DR8" i="89"/>
  <c r="DR18" i="89"/>
  <c r="DR17" i="89"/>
  <c r="DR9" i="89"/>
  <c r="DR19" i="89"/>
  <c r="DR23" i="89"/>
  <c r="DR12" i="89"/>
  <c r="DR21" i="89"/>
  <c r="DR11" i="89"/>
  <c r="DR24" i="89"/>
  <c r="DR16" i="89"/>
  <c r="DR15" i="89"/>
  <c r="DR7" i="89"/>
  <c r="DR14" i="89"/>
  <c r="DR6" i="89"/>
  <c r="CV1" i="89"/>
  <c r="CW2" i="89"/>
  <c r="DS1" i="89"/>
  <c r="DT2" i="89"/>
  <c r="ER21" i="89"/>
  <c r="ER14" i="89"/>
  <c r="ER17" i="89"/>
  <c r="ER10" i="89"/>
  <c r="ER15" i="89"/>
  <c r="ER13" i="89"/>
  <c r="ER24" i="89"/>
  <c r="ER16" i="89"/>
  <c r="ER6" i="89"/>
  <c r="ER20" i="89"/>
  <c r="ER22" i="89"/>
  <c r="ER8" i="89"/>
  <c r="ER12" i="89"/>
  <c r="ER19" i="89"/>
  <c r="ER7" i="89"/>
  <c r="ER23" i="89"/>
  <c r="ER11" i="89"/>
  <c r="ER18" i="89"/>
  <c r="ER9" i="89"/>
  <c r="O30" i="89"/>
  <c r="O29" i="89"/>
  <c r="O28" i="89"/>
  <c r="ER23" i="87"/>
  <c r="ER11" i="87"/>
  <c r="ER6" i="87"/>
  <c r="ER18" i="87"/>
  <c r="ER10" i="87"/>
  <c r="ER21" i="87"/>
  <c r="ER9" i="87"/>
  <c r="ER14" i="87"/>
  <c r="ER7" i="87"/>
  <c r="ER20" i="87"/>
  <c r="ER12" i="87"/>
  <c r="ER24" i="87"/>
  <c r="ER19" i="87"/>
  <c r="ER15" i="87"/>
  <c r="ER17" i="87"/>
  <c r="ER13" i="87"/>
  <c r="ER22" i="87"/>
  <c r="ER16" i="87"/>
  <c r="ER8" i="87"/>
  <c r="DR16" i="87"/>
  <c r="DR10" i="87"/>
  <c r="DR22" i="87"/>
  <c r="DR15" i="87"/>
  <c r="DR7" i="87"/>
  <c r="DR21" i="87"/>
  <c r="DR14" i="87"/>
  <c r="DR11" i="87"/>
  <c r="DR18" i="87"/>
  <c r="DR24" i="87"/>
  <c r="DR8" i="87"/>
  <c r="DR6" i="87"/>
  <c r="DR20" i="87"/>
  <c r="DR17" i="87"/>
  <c r="DR19" i="87"/>
  <c r="DR13" i="87"/>
  <c r="DR9" i="87"/>
  <c r="DR23" i="87"/>
  <c r="DR12" i="87"/>
  <c r="CW2" i="88"/>
  <c r="CV1" i="88"/>
  <c r="DR23" i="88"/>
  <c r="DR13" i="88"/>
  <c r="DR9" i="88"/>
  <c r="DR22" i="88"/>
  <c r="DR18" i="88"/>
  <c r="DR8" i="88"/>
  <c r="DR20" i="88"/>
  <c r="DR19" i="88"/>
  <c r="DR10" i="88"/>
  <c r="DR21" i="88"/>
  <c r="DR7" i="88"/>
  <c r="DR15" i="88"/>
  <c r="DR6" i="88"/>
  <c r="DR16" i="88"/>
  <c r="DR12" i="88"/>
  <c r="DR24" i="88"/>
  <c r="DR11" i="88"/>
  <c r="DR17" i="88"/>
  <c r="DR14" i="88"/>
  <c r="DT2" i="88"/>
  <c r="DS1" i="88"/>
  <c r="CW2" i="87"/>
  <c r="CV1" i="87"/>
  <c r="CU20" i="87"/>
  <c r="BY20" i="87" s="1"/>
  <c r="CU11" i="87"/>
  <c r="BY11" i="87" s="1"/>
  <c r="CU7" i="87"/>
  <c r="BY7" i="87" s="1"/>
  <c r="CU24" i="87"/>
  <c r="BY24" i="87" s="1"/>
  <c r="CU14" i="87"/>
  <c r="BY14" i="87" s="1"/>
  <c r="CU10" i="87"/>
  <c r="BY10" i="87" s="1"/>
  <c r="CU22" i="87"/>
  <c r="BY22" i="87" s="1"/>
  <c r="CU13" i="87"/>
  <c r="BY13" i="87" s="1"/>
  <c r="ES1" i="87"/>
  <c r="CU17" i="87"/>
  <c r="BY17" i="87" s="1"/>
  <c r="CU19" i="87"/>
  <c r="BY19" i="87" s="1"/>
  <c r="CU16" i="87"/>
  <c r="BY16" i="87" s="1"/>
  <c r="CU6" i="87"/>
  <c r="BY6" i="87" s="1"/>
  <c r="CU21" i="87"/>
  <c r="BY21" i="87" s="1"/>
  <c r="CU15" i="87"/>
  <c r="BY15" i="87" s="1"/>
  <c r="CU23" i="87"/>
  <c r="BY23" i="87" s="1"/>
  <c r="CU12" i="87"/>
  <c r="BY12" i="87" s="1"/>
  <c r="CU8" i="87"/>
  <c r="BY8" i="87" s="1"/>
  <c r="CU18" i="87"/>
  <c r="BY18" i="87" s="1"/>
  <c r="CU9" i="87"/>
  <c r="BY9" i="87" s="1"/>
  <c r="DT2" i="87"/>
  <c r="DS1" i="87"/>
  <c r="CU24" i="88"/>
  <c r="BY24" i="88" s="1"/>
  <c r="CU14" i="88"/>
  <c r="BY14" i="88" s="1"/>
  <c r="CU8" i="88"/>
  <c r="BY8" i="88" s="1"/>
  <c r="CU23" i="88"/>
  <c r="BY23" i="88" s="1"/>
  <c r="CU12" i="88"/>
  <c r="BY12" i="88" s="1"/>
  <c r="CU6" i="88"/>
  <c r="BY6" i="88" s="1"/>
  <c r="CU17" i="88"/>
  <c r="BY17" i="88" s="1"/>
  <c r="CU18" i="88"/>
  <c r="BY18" i="88" s="1"/>
  <c r="ES1" i="88"/>
  <c r="CU20" i="88"/>
  <c r="BY20" i="88" s="1"/>
  <c r="CU10" i="88"/>
  <c r="BY10" i="88" s="1"/>
  <c r="CU13" i="88"/>
  <c r="BY13" i="88" s="1"/>
  <c r="CU19" i="88"/>
  <c r="BY19" i="88" s="1"/>
  <c r="CU9" i="88"/>
  <c r="BY9" i="88" s="1"/>
  <c r="CU21" i="88"/>
  <c r="BY21" i="88" s="1"/>
  <c r="CU16" i="88"/>
  <c r="BY16" i="88" s="1"/>
  <c r="CU22" i="88"/>
  <c r="BY22" i="88" s="1"/>
  <c r="CU11" i="88"/>
  <c r="BY11" i="88" s="1"/>
  <c r="CU15" i="88"/>
  <c r="BY15" i="88" s="1"/>
  <c r="CU7" i="88"/>
  <c r="BY7" i="88" s="1"/>
  <c r="ER20" i="88"/>
  <c r="ER18" i="88"/>
  <c r="ER19" i="88"/>
  <c r="ER12" i="88"/>
  <c r="ER11" i="88"/>
  <c r="ER7" i="88"/>
  <c r="ER24" i="88"/>
  <c r="ER14" i="88"/>
  <c r="ER6" i="88"/>
  <c r="ER21" i="88"/>
  <c r="ER22" i="88"/>
  <c r="ER13" i="88"/>
  <c r="ER23" i="88"/>
  <c r="ER15" i="88"/>
  <c r="ER8" i="88"/>
  <c r="ER16" i="88"/>
  <c r="ER10" i="88"/>
  <c r="ER17" i="88"/>
  <c r="ER9" i="88"/>
  <c r="ER21" i="86"/>
  <c r="ER13" i="86"/>
  <c r="ER6" i="86"/>
  <c r="ER20" i="86"/>
  <c r="ER24" i="86"/>
  <c r="ER14" i="86"/>
  <c r="ER19" i="86"/>
  <c r="ER8" i="86"/>
  <c r="ER11" i="86"/>
  <c r="ER17" i="86"/>
  <c r="ER7" i="86"/>
  <c r="ER18" i="86"/>
  <c r="ER16" i="86"/>
  <c r="ER12" i="86"/>
  <c r="ER22" i="86"/>
  <c r="ER15" i="86"/>
  <c r="ER10" i="86"/>
  <c r="ER23" i="86"/>
  <c r="ER9" i="86"/>
  <c r="DR23" i="86"/>
  <c r="DR15" i="86"/>
  <c r="DR8" i="86"/>
  <c r="DR22" i="86"/>
  <c r="DR14" i="86"/>
  <c r="DR19" i="86"/>
  <c r="DR21" i="86"/>
  <c r="DR7" i="86"/>
  <c r="DR24" i="86"/>
  <c r="DR18" i="86"/>
  <c r="DR6" i="86"/>
  <c r="DR11" i="86"/>
  <c r="DR17" i="86"/>
  <c r="DR9" i="86"/>
  <c r="DR16" i="86"/>
  <c r="DR10" i="86"/>
  <c r="DR13" i="86"/>
  <c r="DR20" i="86"/>
  <c r="DR12" i="86"/>
  <c r="DT2" i="86"/>
  <c r="DS1" i="86"/>
  <c r="CU15" i="86"/>
  <c r="BY15" i="86" s="1"/>
  <c r="CU10" i="86"/>
  <c r="BY10" i="86" s="1"/>
  <c r="CU6" i="86"/>
  <c r="BY6" i="86" s="1"/>
  <c r="CU23" i="86"/>
  <c r="BY23" i="86" s="1"/>
  <c r="CU19" i="86"/>
  <c r="BY19" i="86" s="1"/>
  <c r="CU9" i="86"/>
  <c r="BY9" i="86" s="1"/>
  <c r="CU20" i="86"/>
  <c r="BY20" i="86" s="1"/>
  <c r="CU18" i="86"/>
  <c r="BY18" i="86" s="1"/>
  <c r="ES1" i="86"/>
  <c r="CU22" i="86"/>
  <c r="BY22" i="86" s="1"/>
  <c r="CU13" i="86"/>
  <c r="BY13" i="86" s="1"/>
  <c r="CU8" i="86"/>
  <c r="BY8" i="86" s="1"/>
  <c r="CU16" i="86"/>
  <c r="BY16" i="86" s="1"/>
  <c r="CU21" i="86"/>
  <c r="BY21" i="86" s="1"/>
  <c r="CU12" i="86"/>
  <c r="BY12" i="86" s="1"/>
  <c r="CU7" i="86"/>
  <c r="BY7" i="86" s="1"/>
  <c r="CU24" i="86"/>
  <c r="BY24" i="86" s="1"/>
  <c r="CU11" i="86"/>
  <c r="BY11" i="86" s="1"/>
  <c r="CU17" i="86"/>
  <c r="BY17" i="86" s="1"/>
  <c r="CU14" i="86"/>
  <c r="BY14" i="86" s="1"/>
  <c r="CW2" i="86"/>
  <c r="CV1" i="86"/>
  <c r="CG11" i="142" l="1"/>
  <c r="G11" i="142" s="1"/>
  <c r="H11" i="142" s="1"/>
  <c r="CG22" i="142"/>
  <c r="G22" i="142" s="1"/>
  <c r="H22" i="142" s="1"/>
  <c r="CG18" i="142"/>
  <c r="G18" i="142" s="1"/>
  <c r="H18" i="142" s="1"/>
  <c r="CG20" i="142"/>
  <c r="G20" i="142" s="1"/>
  <c r="H20" i="142" s="1"/>
  <c r="CG15" i="142"/>
  <c r="G15" i="142" s="1"/>
  <c r="H15" i="142" s="1"/>
  <c r="CG10" i="142"/>
  <c r="G10" i="142" s="1"/>
  <c r="H10" i="142" s="1"/>
  <c r="CG8" i="142"/>
  <c r="G8" i="142" s="1"/>
  <c r="H8" i="142" s="1"/>
  <c r="CG13" i="142"/>
  <c r="G13" i="142" s="1"/>
  <c r="H13" i="142" s="1"/>
  <c r="CG12" i="142"/>
  <c r="G12" i="142" s="1"/>
  <c r="H12" i="142" s="1"/>
  <c r="CG17" i="142"/>
  <c r="G17" i="142" s="1"/>
  <c r="H17" i="142" s="1"/>
  <c r="CG7" i="142"/>
  <c r="G7" i="142" s="1"/>
  <c r="H7" i="142" s="1"/>
  <c r="CG6" i="142"/>
  <c r="G6" i="142" s="1"/>
  <c r="H6" i="142" s="1"/>
  <c r="CG19" i="142"/>
  <c r="G19" i="142" s="1"/>
  <c r="H19" i="142" s="1"/>
  <c r="CG24" i="142"/>
  <c r="G24" i="142" s="1"/>
  <c r="H24" i="142" s="1"/>
  <c r="CG21" i="142"/>
  <c r="G21" i="142" s="1"/>
  <c r="H21" i="142" s="1"/>
  <c r="CG23" i="142"/>
  <c r="G23" i="142" s="1"/>
  <c r="H23" i="142" s="1"/>
  <c r="CG16" i="142"/>
  <c r="G16" i="142" s="1"/>
  <c r="H16" i="142" s="1"/>
  <c r="CG9" i="142"/>
  <c r="G9" i="142" s="1"/>
  <c r="H9" i="142" s="1"/>
  <c r="CG14" i="142"/>
  <c r="G14" i="142" s="1"/>
  <c r="H14" i="142" s="1"/>
  <c r="CH22" i="142"/>
  <c r="K22" i="142" s="1"/>
  <c r="CH11" i="142"/>
  <c r="K11" i="142" s="1"/>
  <c r="CH18" i="142"/>
  <c r="K18" i="142" s="1"/>
  <c r="CH20" i="142"/>
  <c r="K20" i="142" s="1"/>
  <c r="CH15" i="142"/>
  <c r="K15" i="142" s="1"/>
  <c r="CH13" i="142"/>
  <c r="K13" i="142" s="1"/>
  <c r="CH12" i="142"/>
  <c r="K12" i="142" s="1"/>
  <c r="CH10" i="142"/>
  <c r="K10" i="142" s="1"/>
  <c r="CH8" i="142"/>
  <c r="K8" i="142" s="1"/>
  <c r="CH7" i="142"/>
  <c r="K7" i="142" s="1"/>
  <c r="CH14" i="142"/>
  <c r="K14" i="142" s="1"/>
  <c r="CH24" i="142"/>
  <c r="K24" i="142" s="1"/>
  <c r="CH23" i="142"/>
  <c r="K23" i="142" s="1"/>
  <c r="CH19" i="142"/>
  <c r="K19" i="142" s="1"/>
  <c r="CH17" i="142"/>
  <c r="K17" i="142" s="1"/>
  <c r="CH16" i="142"/>
  <c r="K16" i="142" s="1"/>
  <c r="CH9" i="142"/>
  <c r="K9" i="142" s="1"/>
  <c r="CH21" i="142"/>
  <c r="K21" i="142" s="1"/>
  <c r="CH6" i="142"/>
  <c r="K6" i="142" s="1"/>
  <c r="BI11" i="142"/>
  <c r="I11" i="142" s="1"/>
  <c r="BI9" i="142"/>
  <c r="I9" i="142" s="1"/>
  <c r="BI10" i="142"/>
  <c r="I10" i="142" s="1"/>
  <c r="BI8" i="142"/>
  <c r="I8" i="142" s="1"/>
  <c r="BI6" i="142"/>
  <c r="I6" i="142" s="1"/>
  <c r="BI5" i="142"/>
  <c r="I3" i="142" s="1"/>
  <c r="BI19" i="142"/>
  <c r="I19" i="142" s="1"/>
  <c r="BI24" i="142"/>
  <c r="I24" i="142" s="1"/>
  <c r="BI23" i="142"/>
  <c r="I23" i="142" s="1"/>
  <c r="BI22" i="142"/>
  <c r="I22" i="142" s="1"/>
  <c r="BI21" i="142"/>
  <c r="I21" i="142" s="1"/>
  <c r="BI20" i="142"/>
  <c r="I20" i="142" s="1"/>
  <c r="BI18" i="142"/>
  <c r="I18" i="142" s="1"/>
  <c r="BI14" i="142"/>
  <c r="I14" i="142" s="1"/>
  <c r="BI7" i="142"/>
  <c r="I7" i="142" s="1"/>
  <c r="BI17" i="142"/>
  <c r="I17" i="142" s="1"/>
  <c r="BI16" i="142"/>
  <c r="I16" i="142" s="1"/>
  <c r="BI15" i="142"/>
  <c r="I15" i="142" s="1"/>
  <c r="BI13" i="142"/>
  <c r="I13" i="142" s="1"/>
  <c r="BI12" i="142"/>
  <c r="I12" i="142" s="1"/>
  <c r="CK6" i="142"/>
  <c r="CK13" i="142"/>
  <c r="CK12" i="142"/>
  <c r="CK11" i="142"/>
  <c r="CK10" i="142"/>
  <c r="CK9" i="142"/>
  <c r="CK8" i="142"/>
  <c r="CK24" i="142"/>
  <c r="CK21" i="142"/>
  <c r="CK19" i="142"/>
  <c r="DJ1" i="142"/>
  <c r="CK23" i="142"/>
  <c r="CK22" i="142"/>
  <c r="CK18" i="142"/>
  <c r="CK14" i="142"/>
  <c r="EI1" i="142"/>
  <c r="CK20" i="142"/>
  <c r="CK7" i="142"/>
  <c r="CK17" i="142"/>
  <c r="CK16" i="142"/>
  <c r="CK15" i="142"/>
  <c r="CL1" i="142"/>
  <c r="CM2" i="142"/>
  <c r="F8" i="133"/>
  <c r="F8" i="139"/>
  <c r="F19" i="139"/>
  <c r="F10" i="139"/>
  <c r="F24" i="139"/>
  <c r="F9" i="139"/>
  <c r="F7" i="139"/>
  <c r="F6" i="139"/>
  <c r="F23" i="139"/>
  <c r="F12" i="139"/>
  <c r="F17" i="139"/>
  <c r="F13" i="139"/>
  <c r="BI6" i="139"/>
  <c r="I6" i="139" s="1"/>
  <c r="BI18" i="139"/>
  <c r="I18" i="139" s="1"/>
  <c r="BI9" i="139"/>
  <c r="I9" i="139" s="1"/>
  <c r="BI10" i="139"/>
  <c r="I10" i="139" s="1"/>
  <c r="BI19" i="139"/>
  <c r="I19" i="139" s="1"/>
  <c r="BI22" i="139"/>
  <c r="I22" i="139" s="1"/>
  <c r="BI5" i="139"/>
  <c r="I3" i="139" s="1"/>
  <c r="BI21" i="139"/>
  <c r="I21" i="139" s="1"/>
  <c r="BI20" i="139"/>
  <c r="I20" i="139" s="1"/>
  <c r="BI17" i="139"/>
  <c r="I17" i="139" s="1"/>
  <c r="BI14" i="139"/>
  <c r="I14" i="139" s="1"/>
  <c r="BI15" i="139"/>
  <c r="I15" i="139" s="1"/>
  <c r="BI13" i="139"/>
  <c r="I13" i="139" s="1"/>
  <c r="BI16" i="139"/>
  <c r="I16" i="139" s="1"/>
  <c r="BI24" i="139"/>
  <c r="I24" i="139" s="1"/>
  <c r="BI12" i="139"/>
  <c r="I12" i="139" s="1"/>
  <c r="BI8" i="139"/>
  <c r="I8" i="139" s="1"/>
  <c r="BI23" i="139"/>
  <c r="I23" i="139" s="1"/>
  <c r="BI11" i="139"/>
  <c r="I11" i="139" s="1"/>
  <c r="BI7" i="139"/>
  <c r="I7" i="139" s="1"/>
  <c r="F11" i="139"/>
  <c r="F15" i="139"/>
  <c r="CK15" i="139"/>
  <c r="CK11" i="139"/>
  <c r="CK22" i="139"/>
  <c r="CK13" i="139"/>
  <c r="CK7" i="139"/>
  <c r="CK14" i="139"/>
  <c r="CK17" i="139"/>
  <c r="CK6" i="139"/>
  <c r="DJ1" i="139"/>
  <c r="CK9" i="139"/>
  <c r="CK8" i="139"/>
  <c r="CK24" i="139"/>
  <c r="CK23" i="139"/>
  <c r="EI1" i="139"/>
  <c r="CK12" i="139"/>
  <c r="CK20" i="139"/>
  <c r="CK16" i="139"/>
  <c r="CK19" i="139"/>
  <c r="CK21" i="139"/>
  <c r="CK10" i="139"/>
  <c r="CK18" i="139"/>
  <c r="CM2" i="139"/>
  <c r="CL1" i="139"/>
  <c r="CH6" i="139"/>
  <c r="K6" i="139" s="1"/>
  <c r="CH19" i="139"/>
  <c r="K19" i="139" s="1"/>
  <c r="CH21" i="139"/>
  <c r="K21" i="139" s="1"/>
  <c r="CH17" i="139"/>
  <c r="K17" i="139" s="1"/>
  <c r="CH7" i="139"/>
  <c r="K7" i="139" s="1"/>
  <c r="CH23" i="139"/>
  <c r="K23" i="139" s="1"/>
  <c r="CH16" i="139"/>
  <c r="K16" i="139" s="1"/>
  <c r="CH9" i="139"/>
  <c r="K9" i="139" s="1"/>
  <c r="CH14" i="139"/>
  <c r="K14" i="139" s="1"/>
  <c r="CH8" i="139"/>
  <c r="K8" i="139" s="1"/>
  <c r="CH12" i="139"/>
  <c r="K12" i="139" s="1"/>
  <c r="CH13" i="139"/>
  <c r="K13" i="139" s="1"/>
  <c r="CH10" i="139"/>
  <c r="K10" i="139" s="1"/>
  <c r="CH24" i="139"/>
  <c r="K24" i="139" s="1"/>
  <c r="CH15" i="139"/>
  <c r="K15" i="139" s="1"/>
  <c r="CH20" i="139"/>
  <c r="K20" i="139" s="1"/>
  <c r="CH22" i="139"/>
  <c r="K22" i="139" s="1"/>
  <c r="CH18" i="139"/>
  <c r="K18" i="139" s="1"/>
  <c r="CH11" i="139"/>
  <c r="K11" i="139" s="1"/>
  <c r="F20" i="139"/>
  <c r="CG17" i="139"/>
  <c r="G17" i="139" s="1"/>
  <c r="H17" i="139" s="1"/>
  <c r="CG7" i="139"/>
  <c r="G7" i="139" s="1"/>
  <c r="H7" i="139" s="1"/>
  <c r="CG24" i="139"/>
  <c r="G24" i="139" s="1"/>
  <c r="H24" i="139" s="1"/>
  <c r="CG14" i="139"/>
  <c r="G14" i="139" s="1"/>
  <c r="H14" i="139" s="1"/>
  <c r="CG9" i="139"/>
  <c r="G9" i="139" s="1"/>
  <c r="H9" i="139" s="1"/>
  <c r="CG6" i="139"/>
  <c r="G6" i="139" s="1"/>
  <c r="H6" i="139" s="1"/>
  <c r="CG23" i="139"/>
  <c r="G23" i="139" s="1"/>
  <c r="H23" i="139" s="1"/>
  <c r="CG21" i="139"/>
  <c r="G21" i="139" s="1"/>
  <c r="H21" i="139" s="1"/>
  <c r="CG19" i="139"/>
  <c r="G19" i="139" s="1"/>
  <c r="H19" i="139" s="1"/>
  <c r="CG16" i="139"/>
  <c r="G16" i="139" s="1"/>
  <c r="H16" i="139" s="1"/>
  <c r="CG13" i="139"/>
  <c r="G13" i="139" s="1"/>
  <c r="H13" i="139" s="1"/>
  <c r="CG8" i="139"/>
  <c r="G8" i="139" s="1"/>
  <c r="H8" i="139" s="1"/>
  <c r="CG10" i="139"/>
  <c r="G10" i="139" s="1"/>
  <c r="H10" i="139" s="1"/>
  <c r="CG12" i="139"/>
  <c r="G12" i="139" s="1"/>
  <c r="H12" i="139" s="1"/>
  <c r="CG20" i="139"/>
  <c r="G20" i="139" s="1"/>
  <c r="H20" i="139" s="1"/>
  <c r="CG11" i="139"/>
  <c r="G11" i="139" s="1"/>
  <c r="H11" i="139" s="1"/>
  <c r="CG22" i="139"/>
  <c r="G22" i="139" s="1"/>
  <c r="H22" i="139" s="1"/>
  <c r="CG15" i="139"/>
  <c r="G15" i="139" s="1"/>
  <c r="H15" i="139" s="1"/>
  <c r="CG18" i="139"/>
  <c r="G18" i="139" s="1"/>
  <c r="H18" i="139" s="1"/>
  <c r="F22" i="139"/>
  <c r="F16" i="139"/>
  <c r="F18" i="139"/>
  <c r="F14" i="139"/>
  <c r="F11" i="133"/>
  <c r="F21" i="133"/>
  <c r="F15" i="137"/>
  <c r="F8" i="132"/>
  <c r="F18" i="133"/>
  <c r="F8" i="136"/>
  <c r="F6" i="133"/>
  <c r="F13" i="132"/>
  <c r="F14" i="136"/>
  <c r="F19" i="133"/>
  <c r="F7" i="133"/>
  <c r="F20" i="136"/>
  <c r="F20" i="132"/>
  <c r="F22" i="132"/>
  <c r="F18" i="132"/>
  <c r="F17" i="136"/>
  <c r="F23" i="133"/>
  <c r="F9" i="133"/>
  <c r="F11" i="132"/>
  <c r="F16" i="132"/>
  <c r="F16" i="133"/>
  <c r="F17" i="132"/>
  <c r="F14" i="133"/>
  <c r="F24" i="136"/>
  <c r="F22" i="133"/>
  <c r="F24" i="133"/>
  <c r="F17" i="133"/>
  <c r="F15" i="133"/>
  <c r="F11" i="136"/>
  <c r="F6" i="136"/>
  <c r="F12" i="132"/>
  <c r="F13" i="137"/>
  <c r="F18" i="136"/>
  <c r="F23" i="132"/>
  <c r="F12" i="137"/>
  <c r="BI17" i="137"/>
  <c r="I17" i="137" s="1"/>
  <c r="BI16" i="137"/>
  <c r="I16" i="137" s="1"/>
  <c r="BI20" i="137"/>
  <c r="I20" i="137" s="1"/>
  <c r="BI15" i="137"/>
  <c r="I15" i="137" s="1"/>
  <c r="BI22" i="137"/>
  <c r="I22" i="137" s="1"/>
  <c r="BI5" i="137"/>
  <c r="I3" i="137" s="1"/>
  <c r="BI19" i="137"/>
  <c r="I19" i="137" s="1"/>
  <c r="BI7" i="137"/>
  <c r="I7" i="137" s="1"/>
  <c r="BI24" i="137"/>
  <c r="I24" i="137" s="1"/>
  <c r="BI13" i="137"/>
  <c r="I13" i="137" s="1"/>
  <c r="BI23" i="137"/>
  <c r="I23" i="137" s="1"/>
  <c r="BI11" i="137"/>
  <c r="I11" i="137" s="1"/>
  <c r="BI21" i="137"/>
  <c r="I21" i="137" s="1"/>
  <c r="BI14" i="137"/>
  <c r="I14" i="137" s="1"/>
  <c r="BI8" i="137"/>
  <c r="I8" i="137" s="1"/>
  <c r="BI18" i="137"/>
  <c r="I18" i="137" s="1"/>
  <c r="BI10" i="137"/>
  <c r="I10" i="137" s="1"/>
  <c r="BI9" i="137"/>
  <c r="I9" i="137" s="1"/>
  <c r="BI6" i="137"/>
  <c r="I6" i="137" s="1"/>
  <c r="BI12" i="137"/>
  <c r="I12" i="137" s="1"/>
  <c r="F8" i="137"/>
  <c r="F19" i="136"/>
  <c r="F9" i="137"/>
  <c r="F7" i="137"/>
  <c r="CG14" i="137"/>
  <c r="G14" i="137" s="1"/>
  <c r="H14" i="137" s="1"/>
  <c r="CG17" i="137"/>
  <c r="G17" i="137" s="1"/>
  <c r="H17" i="137" s="1"/>
  <c r="CG6" i="137"/>
  <c r="G6" i="137" s="1"/>
  <c r="H6" i="137" s="1"/>
  <c r="CG7" i="137"/>
  <c r="G7" i="137" s="1"/>
  <c r="H7" i="137" s="1"/>
  <c r="CG18" i="137"/>
  <c r="G18" i="137" s="1"/>
  <c r="H18" i="137" s="1"/>
  <c r="CG23" i="137"/>
  <c r="G23" i="137" s="1"/>
  <c r="H23" i="137" s="1"/>
  <c r="CG15" i="137"/>
  <c r="G15" i="137" s="1"/>
  <c r="H15" i="137" s="1"/>
  <c r="CG8" i="137"/>
  <c r="G8" i="137" s="1"/>
  <c r="H8" i="137" s="1"/>
  <c r="CG16" i="137"/>
  <c r="G16" i="137" s="1"/>
  <c r="H16" i="137" s="1"/>
  <c r="CG22" i="137"/>
  <c r="G22" i="137" s="1"/>
  <c r="H22" i="137" s="1"/>
  <c r="CG21" i="137"/>
  <c r="G21" i="137" s="1"/>
  <c r="H21" i="137" s="1"/>
  <c r="CG24" i="137"/>
  <c r="G24" i="137" s="1"/>
  <c r="H24" i="137" s="1"/>
  <c r="CG9" i="137"/>
  <c r="G9" i="137" s="1"/>
  <c r="H9" i="137" s="1"/>
  <c r="CG11" i="137"/>
  <c r="G11" i="137" s="1"/>
  <c r="H11" i="137" s="1"/>
  <c r="CG19" i="137"/>
  <c r="G19" i="137" s="1"/>
  <c r="H19" i="137" s="1"/>
  <c r="CG20" i="137"/>
  <c r="G20" i="137" s="1"/>
  <c r="H20" i="137" s="1"/>
  <c r="CG13" i="137"/>
  <c r="G13" i="137" s="1"/>
  <c r="H13" i="137" s="1"/>
  <c r="CG10" i="137"/>
  <c r="G10" i="137" s="1"/>
  <c r="H10" i="137" s="1"/>
  <c r="CG12" i="137"/>
  <c r="G12" i="137" s="1"/>
  <c r="H12" i="137" s="1"/>
  <c r="F17" i="137"/>
  <c r="F20" i="137"/>
  <c r="F19" i="132"/>
  <c r="CH14" i="137"/>
  <c r="K14" i="137" s="1"/>
  <c r="CH17" i="137"/>
  <c r="K17" i="137" s="1"/>
  <c r="CH23" i="137"/>
  <c r="K23" i="137" s="1"/>
  <c r="CH16" i="137"/>
  <c r="K16" i="137" s="1"/>
  <c r="CH21" i="137"/>
  <c r="K21" i="137" s="1"/>
  <c r="CH7" i="137"/>
  <c r="K7" i="137" s="1"/>
  <c r="CH19" i="137"/>
  <c r="K19" i="137" s="1"/>
  <c r="CH6" i="137"/>
  <c r="K6" i="137" s="1"/>
  <c r="CH9" i="137"/>
  <c r="K9" i="137" s="1"/>
  <c r="CH24" i="137"/>
  <c r="K24" i="137" s="1"/>
  <c r="CH12" i="137"/>
  <c r="K12" i="137" s="1"/>
  <c r="CH13" i="137"/>
  <c r="K13" i="137" s="1"/>
  <c r="CH8" i="137"/>
  <c r="K8" i="137" s="1"/>
  <c r="CH10" i="137"/>
  <c r="K10" i="137" s="1"/>
  <c r="CH15" i="137"/>
  <c r="K15" i="137" s="1"/>
  <c r="CH20" i="137"/>
  <c r="K20" i="137" s="1"/>
  <c r="CH22" i="137"/>
  <c r="K22" i="137" s="1"/>
  <c r="CH11" i="137"/>
  <c r="K11" i="137" s="1"/>
  <c r="CH18" i="137"/>
  <c r="K18" i="137" s="1"/>
  <c r="F7" i="132"/>
  <c r="F16" i="137"/>
  <c r="F11" i="137"/>
  <c r="F12" i="136"/>
  <c r="F19" i="137"/>
  <c r="F24" i="137"/>
  <c r="CM2" i="137"/>
  <c r="CL1" i="137"/>
  <c r="F16" i="136"/>
  <c r="F9" i="132"/>
  <c r="F12" i="133"/>
  <c r="CK19" i="136"/>
  <c r="CK9" i="136"/>
  <c r="DJ1" i="136"/>
  <c r="CK16" i="136"/>
  <c r="CK8" i="136"/>
  <c r="CK18" i="136"/>
  <c r="CK12" i="136"/>
  <c r="CK17" i="136"/>
  <c r="CK7" i="136"/>
  <c r="CK24" i="136"/>
  <c r="CK11" i="136"/>
  <c r="CK20" i="136"/>
  <c r="CK23" i="136"/>
  <c r="CK15" i="136"/>
  <c r="CK6" i="136"/>
  <c r="CK22" i="136"/>
  <c r="CK13" i="136"/>
  <c r="EI1" i="136"/>
  <c r="CK21" i="136"/>
  <c r="CK10" i="136"/>
  <c r="CK14" i="136"/>
  <c r="F15" i="136"/>
  <c r="CK19" i="137"/>
  <c r="CK11" i="137"/>
  <c r="CK7" i="137"/>
  <c r="CK6" i="137"/>
  <c r="CK24" i="137"/>
  <c r="CK9" i="137"/>
  <c r="CK16" i="137"/>
  <c r="CK12" i="137"/>
  <c r="CK13" i="137"/>
  <c r="CK18" i="137"/>
  <c r="CK14" i="137"/>
  <c r="CK15" i="137"/>
  <c r="CK20" i="137"/>
  <c r="CK10" i="137"/>
  <c r="EI1" i="137"/>
  <c r="CK21" i="137"/>
  <c r="CK17" i="137"/>
  <c r="CK8" i="137"/>
  <c r="CK22" i="137"/>
  <c r="DJ1" i="137"/>
  <c r="CK23" i="137"/>
  <c r="F23" i="136"/>
  <c r="F21" i="132"/>
  <c r="F13" i="136"/>
  <c r="F14" i="132"/>
  <c r="F6" i="137"/>
  <c r="F10" i="136"/>
  <c r="F10" i="133"/>
  <c r="F10" i="132"/>
  <c r="F23" i="137"/>
  <c r="F18" i="137"/>
  <c r="F10" i="137"/>
  <c r="CM2" i="136"/>
  <c r="CL1" i="136"/>
  <c r="CH7" i="136"/>
  <c r="K7" i="136" s="1"/>
  <c r="CH14" i="136"/>
  <c r="K14" i="136" s="1"/>
  <c r="CH24" i="136"/>
  <c r="K24" i="136" s="1"/>
  <c r="CH19" i="136"/>
  <c r="K19" i="136" s="1"/>
  <c r="CH18" i="136"/>
  <c r="K18" i="136" s="1"/>
  <c r="CH6" i="136"/>
  <c r="K6" i="136" s="1"/>
  <c r="CH22" i="136"/>
  <c r="K22" i="136" s="1"/>
  <c r="CH17" i="136"/>
  <c r="K17" i="136" s="1"/>
  <c r="CH11" i="136"/>
  <c r="K11" i="136" s="1"/>
  <c r="CH8" i="136"/>
  <c r="K8" i="136" s="1"/>
  <c r="CH21" i="136"/>
  <c r="K21" i="136" s="1"/>
  <c r="CH16" i="136"/>
  <c r="K16" i="136" s="1"/>
  <c r="CH9" i="136"/>
  <c r="K9" i="136" s="1"/>
  <c r="CH23" i="136"/>
  <c r="K23" i="136" s="1"/>
  <c r="CH20" i="136"/>
  <c r="K20" i="136" s="1"/>
  <c r="CH15" i="136"/>
  <c r="K15" i="136" s="1"/>
  <c r="CH13" i="136"/>
  <c r="K13" i="136" s="1"/>
  <c r="CH12" i="136"/>
  <c r="K12" i="136" s="1"/>
  <c r="CH10" i="136"/>
  <c r="K10" i="136" s="1"/>
  <c r="F14" i="137"/>
  <c r="F22" i="137"/>
  <c r="F21" i="137"/>
  <c r="F15" i="132"/>
  <c r="F22" i="136"/>
  <c r="CG9" i="136"/>
  <c r="G9" i="136" s="1"/>
  <c r="H9" i="136" s="1"/>
  <c r="CG23" i="136"/>
  <c r="G23" i="136" s="1"/>
  <c r="H23" i="136" s="1"/>
  <c r="CG16" i="136"/>
  <c r="G16" i="136" s="1"/>
  <c r="H16" i="136" s="1"/>
  <c r="CG24" i="136"/>
  <c r="G24" i="136" s="1"/>
  <c r="H24" i="136" s="1"/>
  <c r="CG21" i="136"/>
  <c r="G21" i="136" s="1"/>
  <c r="H21" i="136" s="1"/>
  <c r="CG19" i="136"/>
  <c r="G19" i="136" s="1"/>
  <c r="H19" i="136" s="1"/>
  <c r="CG17" i="136"/>
  <c r="G17" i="136" s="1"/>
  <c r="H17" i="136" s="1"/>
  <c r="CG14" i="136"/>
  <c r="G14" i="136" s="1"/>
  <c r="H14" i="136" s="1"/>
  <c r="CG6" i="136"/>
  <c r="G6" i="136" s="1"/>
  <c r="H6" i="136" s="1"/>
  <c r="CG7" i="136"/>
  <c r="G7" i="136" s="1"/>
  <c r="H7" i="136" s="1"/>
  <c r="CG12" i="136"/>
  <c r="G12" i="136" s="1"/>
  <c r="H12" i="136" s="1"/>
  <c r="CG10" i="136"/>
  <c r="G10" i="136" s="1"/>
  <c r="H10" i="136" s="1"/>
  <c r="CG13" i="136"/>
  <c r="G13" i="136" s="1"/>
  <c r="H13" i="136" s="1"/>
  <c r="CG8" i="136"/>
  <c r="G8" i="136" s="1"/>
  <c r="H8" i="136" s="1"/>
  <c r="CG22" i="136"/>
  <c r="G22" i="136" s="1"/>
  <c r="H22" i="136" s="1"/>
  <c r="CG15" i="136"/>
  <c r="G15" i="136" s="1"/>
  <c r="H15" i="136" s="1"/>
  <c r="CG20" i="136"/>
  <c r="G20" i="136" s="1"/>
  <c r="H20" i="136" s="1"/>
  <c r="CG11" i="136"/>
  <c r="G11" i="136" s="1"/>
  <c r="H11" i="136" s="1"/>
  <c r="CG18" i="136"/>
  <c r="G18" i="136" s="1"/>
  <c r="H18" i="136" s="1"/>
  <c r="F6" i="132"/>
  <c r="BI19" i="136"/>
  <c r="I19" i="136" s="1"/>
  <c r="BI12" i="136"/>
  <c r="I12" i="136" s="1"/>
  <c r="BI6" i="136"/>
  <c r="I6" i="136" s="1"/>
  <c r="BI18" i="136"/>
  <c r="I18" i="136" s="1"/>
  <c r="BI16" i="136"/>
  <c r="I16" i="136" s="1"/>
  <c r="BI7" i="136"/>
  <c r="I7" i="136" s="1"/>
  <c r="BI22" i="136"/>
  <c r="I22" i="136" s="1"/>
  <c r="BI11" i="136"/>
  <c r="I11" i="136" s="1"/>
  <c r="BI10" i="136"/>
  <c r="I10" i="136" s="1"/>
  <c r="BI21" i="136"/>
  <c r="I21" i="136" s="1"/>
  <c r="BI14" i="136"/>
  <c r="I14" i="136" s="1"/>
  <c r="BI15" i="136"/>
  <c r="I15" i="136" s="1"/>
  <c r="BI17" i="136"/>
  <c r="I17" i="136" s="1"/>
  <c r="BI8" i="136"/>
  <c r="I8" i="136" s="1"/>
  <c r="BI24" i="136"/>
  <c r="I24" i="136" s="1"/>
  <c r="BI9" i="136"/>
  <c r="I9" i="136" s="1"/>
  <c r="BI20" i="136"/>
  <c r="I20" i="136" s="1"/>
  <c r="BI23" i="136"/>
  <c r="I23" i="136" s="1"/>
  <c r="BI13" i="136"/>
  <c r="I13" i="136" s="1"/>
  <c r="BI5" i="136"/>
  <c r="I3" i="136" s="1"/>
  <c r="F9" i="136"/>
  <c r="F24" i="132"/>
  <c r="F21" i="136"/>
  <c r="F20" i="133"/>
  <c r="F7" i="136"/>
  <c r="F13" i="133"/>
  <c r="DJ1" i="133"/>
  <c r="DJ2" i="133" s="1"/>
  <c r="DK2" i="133" s="1"/>
  <c r="CG16" i="133"/>
  <c r="G16" i="133" s="1"/>
  <c r="H16" i="133" s="1"/>
  <c r="CG9" i="133"/>
  <c r="G9" i="133" s="1"/>
  <c r="H9" i="133" s="1"/>
  <c r="CG15" i="133"/>
  <c r="G15" i="133" s="1"/>
  <c r="H15" i="133" s="1"/>
  <c r="CG14" i="133"/>
  <c r="G14" i="133" s="1"/>
  <c r="H14" i="133" s="1"/>
  <c r="CG6" i="133"/>
  <c r="G6" i="133" s="1"/>
  <c r="H6" i="133" s="1"/>
  <c r="CG21" i="133"/>
  <c r="G21" i="133" s="1"/>
  <c r="H21" i="133" s="1"/>
  <c r="CG7" i="133"/>
  <c r="G7" i="133" s="1"/>
  <c r="H7" i="133" s="1"/>
  <c r="CG19" i="133"/>
  <c r="G19" i="133" s="1"/>
  <c r="H19" i="133" s="1"/>
  <c r="CG24" i="133"/>
  <c r="G24" i="133" s="1"/>
  <c r="H24" i="133" s="1"/>
  <c r="CG17" i="133"/>
  <c r="G17" i="133" s="1"/>
  <c r="H17" i="133" s="1"/>
  <c r="CG23" i="133"/>
  <c r="G23" i="133" s="1"/>
  <c r="H23" i="133" s="1"/>
  <c r="CG12" i="133"/>
  <c r="G12" i="133" s="1"/>
  <c r="H12" i="133" s="1"/>
  <c r="CG8" i="133"/>
  <c r="G8" i="133" s="1"/>
  <c r="H8" i="133" s="1"/>
  <c r="CG13" i="133"/>
  <c r="G13" i="133" s="1"/>
  <c r="H13" i="133" s="1"/>
  <c r="CG20" i="133"/>
  <c r="G20" i="133" s="1"/>
  <c r="H20" i="133" s="1"/>
  <c r="CG10" i="133"/>
  <c r="G10" i="133" s="1"/>
  <c r="H10" i="133" s="1"/>
  <c r="CG11" i="133"/>
  <c r="G11" i="133" s="1"/>
  <c r="H11" i="133" s="1"/>
  <c r="CG22" i="133"/>
  <c r="G22" i="133" s="1"/>
  <c r="H22" i="133" s="1"/>
  <c r="CG18" i="133"/>
  <c r="G18" i="133" s="1"/>
  <c r="H18" i="133" s="1"/>
  <c r="CK21" i="132"/>
  <c r="CK18" i="132"/>
  <c r="CK15" i="132"/>
  <c r="CK10" i="132"/>
  <c r="CK20" i="132"/>
  <c r="CK14" i="132"/>
  <c r="CK24" i="132"/>
  <c r="CK22" i="132"/>
  <c r="CK12" i="132"/>
  <c r="CK8" i="132"/>
  <c r="CK9" i="132"/>
  <c r="CK23" i="132"/>
  <c r="CK17" i="132"/>
  <c r="CK6" i="132"/>
  <c r="CK16" i="132"/>
  <c r="CK7" i="132"/>
  <c r="CK19" i="132"/>
  <c r="CK13" i="132"/>
  <c r="CK11" i="132"/>
  <c r="BL27" i="132"/>
  <c r="O16" i="132"/>
  <c r="P16" i="132" s="1"/>
  <c r="CM2" i="132"/>
  <c r="CL1" i="132"/>
  <c r="BP27" i="132"/>
  <c r="Q16" i="132"/>
  <c r="R16" i="132" s="1"/>
  <c r="CH7" i="133"/>
  <c r="K7" i="133" s="1"/>
  <c r="CH8" i="133"/>
  <c r="K8" i="133" s="1"/>
  <c r="CH21" i="133"/>
  <c r="K21" i="133" s="1"/>
  <c r="CH14" i="133"/>
  <c r="K14" i="133" s="1"/>
  <c r="CH9" i="133"/>
  <c r="K9" i="133" s="1"/>
  <c r="CH11" i="133"/>
  <c r="K11" i="133" s="1"/>
  <c r="CH24" i="133"/>
  <c r="K24" i="133" s="1"/>
  <c r="CH19" i="133"/>
  <c r="K19" i="133" s="1"/>
  <c r="CH18" i="133"/>
  <c r="K18" i="133" s="1"/>
  <c r="CH23" i="133"/>
  <c r="K23" i="133" s="1"/>
  <c r="CH16" i="133"/>
  <c r="K16" i="133" s="1"/>
  <c r="CH15" i="133"/>
  <c r="K15" i="133" s="1"/>
  <c r="CH22" i="133"/>
  <c r="K22" i="133" s="1"/>
  <c r="CH6" i="133"/>
  <c r="K6" i="133" s="1"/>
  <c r="CH17" i="133"/>
  <c r="K17" i="133" s="1"/>
  <c r="CH13" i="133"/>
  <c r="K13" i="133" s="1"/>
  <c r="CH10" i="133"/>
  <c r="K10" i="133" s="1"/>
  <c r="CH20" i="133"/>
  <c r="K20" i="133" s="1"/>
  <c r="CH12" i="133"/>
  <c r="K12" i="133" s="1"/>
  <c r="CG9" i="132"/>
  <c r="G9" i="132" s="1"/>
  <c r="H9" i="132" s="1"/>
  <c r="CG23" i="132"/>
  <c r="G23" i="132" s="1"/>
  <c r="H23" i="132" s="1"/>
  <c r="CG19" i="132"/>
  <c r="G19" i="132" s="1"/>
  <c r="H19" i="132" s="1"/>
  <c r="CG17" i="132"/>
  <c r="G17" i="132" s="1"/>
  <c r="H17" i="132" s="1"/>
  <c r="CG21" i="132"/>
  <c r="G21" i="132" s="1"/>
  <c r="H21" i="132" s="1"/>
  <c r="CG14" i="132"/>
  <c r="G14" i="132" s="1"/>
  <c r="H14" i="132" s="1"/>
  <c r="CG16" i="132"/>
  <c r="G16" i="132" s="1"/>
  <c r="H16" i="132" s="1"/>
  <c r="CG24" i="132"/>
  <c r="G24" i="132" s="1"/>
  <c r="H24" i="132" s="1"/>
  <c r="CG6" i="132"/>
  <c r="G6" i="132" s="1"/>
  <c r="H6" i="132" s="1"/>
  <c r="CG7" i="132"/>
  <c r="G7" i="132" s="1"/>
  <c r="H7" i="132" s="1"/>
  <c r="CG8" i="132"/>
  <c r="G8" i="132" s="1"/>
  <c r="H8" i="132" s="1"/>
  <c r="CG12" i="132"/>
  <c r="G12" i="132" s="1"/>
  <c r="H12" i="132" s="1"/>
  <c r="CG13" i="132"/>
  <c r="G13" i="132" s="1"/>
  <c r="H13" i="132" s="1"/>
  <c r="CG10" i="132"/>
  <c r="G10" i="132" s="1"/>
  <c r="H10" i="132" s="1"/>
  <c r="CG20" i="132"/>
  <c r="G20" i="132" s="1"/>
  <c r="H20" i="132" s="1"/>
  <c r="CG15" i="132"/>
  <c r="G15" i="132" s="1"/>
  <c r="H15" i="132" s="1"/>
  <c r="CG11" i="132"/>
  <c r="G11" i="132" s="1"/>
  <c r="H11" i="132" s="1"/>
  <c r="CG22" i="132"/>
  <c r="G22" i="132" s="1"/>
  <c r="H22" i="132" s="1"/>
  <c r="CG18" i="132"/>
  <c r="G18" i="132" s="1"/>
  <c r="H18" i="132" s="1"/>
  <c r="EI9" i="133"/>
  <c r="CB9" i="133" s="1"/>
  <c r="EI22" i="133"/>
  <c r="CB22" i="133" s="1"/>
  <c r="EI17" i="133"/>
  <c r="CB17" i="133" s="1"/>
  <c r="EI12" i="133"/>
  <c r="CB12" i="133" s="1"/>
  <c r="EI24" i="133"/>
  <c r="CB24" i="133" s="1"/>
  <c r="EI8" i="133"/>
  <c r="CB8" i="133" s="1"/>
  <c r="EI11" i="133"/>
  <c r="CB11" i="133" s="1"/>
  <c r="EI23" i="133"/>
  <c r="CB23" i="133" s="1"/>
  <c r="EI19" i="133"/>
  <c r="CB19" i="133" s="1"/>
  <c r="EI15" i="133"/>
  <c r="CB15" i="133" s="1"/>
  <c r="EI18" i="133"/>
  <c r="CB18" i="133" s="1"/>
  <c r="EI20" i="133"/>
  <c r="CB20" i="133" s="1"/>
  <c r="EI16" i="133"/>
  <c r="CB16" i="133" s="1"/>
  <c r="EI14" i="133"/>
  <c r="CB14" i="133" s="1"/>
  <c r="EI21" i="133"/>
  <c r="CB21" i="133" s="1"/>
  <c r="EI13" i="133"/>
  <c r="CB13" i="133" s="1"/>
  <c r="EI7" i="133"/>
  <c r="CB7" i="133" s="1"/>
  <c r="CH7" i="132"/>
  <c r="K7" i="132" s="1"/>
  <c r="CH18" i="132"/>
  <c r="K18" i="132" s="1"/>
  <c r="CH22" i="132"/>
  <c r="K22" i="132" s="1"/>
  <c r="CH8" i="132"/>
  <c r="K8" i="132" s="1"/>
  <c r="CH21" i="132"/>
  <c r="K21" i="132" s="1"/>
  <c r="CH17" i="132"/>
  <c r="K17" i="132" s="1"/>
  <c r="CH24" i="132"/>
  <c r="K24" i="132" s="1"/>
  <c r="CH11" i="132"/>
  <c r="K11" i="132" s="1"/>
  <c r="CH19" i="132"/>
  <c r="K19" i="132" s="1"/>
  <c r="CH23" i="132"/>
  <c r="K23" i="132" s="1"/>
  <c r="CH14" i="132"/>
  <c r="K14" i="132" s="1"/>
  <c r="CH15" i="132"/>
  <c r="K15" i="132" s="1"/>
  <c r="CH9" i="132"/>
  <c r="K9" i="132" s="1"/>
  <c r="CH16" i="132"/>
  <c r="K16" i="132" s="1"/>
  <c r="CH6" i="132"/>
  <c r="K6" i="132" s="1"/>
  <c r="CH13" i="132"/>
  <c r="K13" i="132" s="1"/>
  <c r="CH12" i="132"/>
  <c r="K12" i="132" s="1"/>
  <c r="CH20" i="132"/>
  <c r="K20" i="132" s="1"/>
  <c r="CH10" i="132"/>
  <c r="K10" i="132" s="1"/>
  <c r="CM2" i="133"/>
  <c r="CL1" i="133"/>
  <c r="BI15" i="133"/>
  <c r="I15" i="133" s="1"/>
  <c r="BI20" i="133"/>
  <c r="I20" i="133" s="1"/>
  <c r="BI12" i="133"/>
  <c r="I12" i="133" s="1"/>
  <c r="BI18" i="133"/>
  <c r="I18" i="133" s="1"/>
  <c r="BI21" i="133"/>
  <c r="I21" i="133" s="1"/>
  <c r="BI7" i="133"/>
  <c r="I7" i="133" s="1"/>
  <c r="BI6" i="133"/>
  <c r="I6" i="133" s="1"/>
  <c r="BI16" i="133"/>
  <c r="I16" i="133" s="1"/>
  <c r="BI14" i="133"/>
  <c r="I14" i="133" s="1"/>
  <c r="BI22" i="133"/>
  <c r="I22" i="133" s="1"/>
  <c r="BI9" i="133"/>
  <c r="I9" i="133" s="1"/>
  <c r="BI17" i="133"/>
  <c r="I17" i="133" s="1"/>
  <c r="BI5" i="133"/>
  <c r="I3" i="133" s="1"/>
  <c r="BI19" i="133"/>
  <c r="I19" i="133" s="1"/>
  <c r="BI24" i="133"/>
  <c r="I24" i="133" s="1"/>
  <c r="BI8" i="133"/>
  <c r="I8" i="133" s="1"/>
  <c r="BI13" i="133"/>
  <c r="I13" i="133" s="1"/>
  <c r="BI11" i="133"/>
  <c r="I11" i="133" s="1"/>
  <c r="BI23" i="133"/>
  <c r="I23" i="133" s="1"/>
  <c r="BI10" i="133"/>
  <c r="I10" i="133" s="1"/>
  <c r="CK10" i="133"/>
  <c r="CK7" i="133"/>
  <c r="CK21" i="133"/>
  <c r="CK24" i="133"/>
  <c r="CK16" i="133"/>
  <c r="CK11" i="133"/>
  <c r="CK14" i="133"/>
  <c r="CK19" i="133"/>
  <c r="CK22" i="133"/>
  <c r="CK13" i="133"/>
  <c r="CK17" i="133"/>
  <c r="CK18" i="133"/>
  <c r="CK9" i="133"/>
  <c r="CK6" i="133"/>
  <c r="CK23" i="133"/>
  <c r="CK15" i="133"/>
  <c r="CK20" i="133"/>
  <c r="CK8" i="133"/>
  <c r="CK12" i="133"/>
  <c r="BI21" i="132"/>
  <c r="I21" i="132" s="1"/>
  <c r="BI5" i="132"/>
  <c r="I3" i="132" s="1"/>
  <c r="BI18" i="132"/>
  <c r="I18" i="132" s="1"/>
  <c r="BI19" i="132"/>
  <c r="I19" i="132" s="1"/>
  <c r="BI17" i="132"/>
  <c r="I17" i="132" s="1"/>
  <c r="BI16" i="132"/>
  <c r="I16" i="132" s="1"/>
  <c r="BI8" i="132"/>
  <c r="I8" i="132" s="1"/>
  <c r="BI15" i="132"/>
  <c r="I15" i="132" s="1"/>
  <c r="BI24" i="132"/>
  <c r="I24" i="132" s="1"/>
  <c r="BI7" i="132"/>
  <c r="I7" i="132" s="1"/>
  <c r="BI9" i="132"/>
  <c r="I9" i="132" s="1"/>
  <c r="BI23" i="132"/>
  <c r="I23" i="132" s="1"/>
  <c r="BI12" i="132"/>
  <c r="I12" i="132" s="1"/>
  <c r="BI11" i="132"/>
  <c r="I11" i="132" s="1"/>
  <c r="BI6" i="132"/>
  <c r="I6" i="132" s="1"/>
  <c r="BI22" i="132"/>
  <c r="I22" i="132" s="1"/>
  <c r="BI14" i="132"/>
  <c r="I14" i="132" s="1"/>
  <c r="BI13" i="132"/>
  <c r="I13" i="132" s="1"/>
  <c r="BI10" i="132"/>
  <c r="I10" i="132" s="1"/>
  <c r="BI20" i="132"/>
  <c r="I20" i="132" s="1"/>
  <c r="DJ1" i="132"/>
  <c r="EI1" i="132"/>
  <c r="EI6" i="133"/>
  <c r="CB6" i="133" s="1"/>
  <c r="EI2" i="133"/>
  <c r="EJ2" i="133" s="1"/>
  <c r="EK2" i="133" s="1"/>
  <c r="EL2" i="133" s="1"/>
  <c r="EM2" i="133" s="1"/>
  <c r="EN2" i="133" s="1"/>
  <c r="EO2" i="133" s="1"/>
  <c r="EP2" i="133" s="1"/>
  <c r="EQ2" i="133" s="1"/>
  <c r="ER2" i="133" s="1"/>
  <c r="ES2" i="133" s="1"/>
  <c r="ET2" i="133" s="1"/>
  <c r="EU2" i="133" s="1"/>
  <c r="EV2" i="133" s="1"/>
  <c r="EW2" i="133" s="1"/>
  <c r="EX2" i="133" s="1"/>
  <c r="EY2" i="133" s="1"/>
  <c r="EZ2" i="133" s="1"/>
  <c r="FA2" i="133" s="1"/>
  <c r="FB2" i="133" s="1"/>
  <c r="FC2" i="133" s="1"/>
  <c r="FD2" i="133" s="1"/>
  <c r="FE2" i="133" s="1"/>
  <c r="FF2" i="133" s="1"/>
  <c r="CW1" i="124"/>
  <c r="CX2" i="124"/>
  <c r="CV17" i="124"/>
  <c r="CV7" i="124"/>
  <c r="CV24" i="124"/>
  <c r="CV15" i="124"/>
  <c r="ET1" i="124"/>
  <c r="CV20" i="124"/>
  <c r="CV9" i="124"/>
  <c r="CV19" i="124"/>
  <c r="CV11" i="124"/>
  <c r="CV18" i="124"/>
  <c r="CV6" i="124"/>
  <c r="CV22" i="124"/>
  <c r="CV14" i="124"/>
  <c r="CV23" i="124"/>
  <c r="CV16" i="124"/>
  <c r="CV21" i="124"/>
  <c r="CV8" i="124"/>
  <c r="CV10" i="124"/>
  <c r="CV12" i="124"/>
  <c r="CV13" i="124"/>
  <c r="Y3" i="124"/>
  <c r="DT1" i="124"/>
  <c r="DU2" i="124"/>
  <c r="ES13" i="124"/>
  <c r="ES16" i="124"/>
  <c r="ES7" i="124"/>
  <c r="ES18" i="124"/>
  <c r="ES12" i="124"/>
  <c r="ES17" i="124"/>
  <c r="ES15" i="124"/>
  <c r="ES24" i="124"/>
  <c r="ES20" i="124"/>
  <c r="ES9" i="124"/>
  <c r="ES23" i="124"/>
  <c r="ES19" i="124"/>
  <c r="ES8" i="124"/>
  <c r="ES21" i="124"/>
  <c r="ES14" i="124"/>
  <c r="ES6" i="124"/>
  <c r="ES22" i="124"/>
  <c r="ES11" i="124"/>
  <c r="DS17" i="124"/>
  <c r="DS7" i="124"/>
  <c r="DS14" i="124"/>
  <c r="DS8" i="124"/>
  <c r="DS19" i="124"/>
  <c r="DS22" i="124"/>
  <c r="DS9" i="124"/>
  <c r="DS24" i="124"/>
  <c r="DS15" i="124"/>
  <c r="DS21" i="124"/>
  <c r="DS16" i="124"/>
  <c r="DS23" i="124"/>
  <c r="DS11" i="124"/>
  <c r="DS18" i="124"/>
  <c r="DS6" i="124"/>
  <c r="DS20" i="124"/>
  <c r="DS12" i="124"/>
  <c r="DS13" i="124"/>
  <c r="DS10" i="124"/>
  <c r="BY27" i="124"/>
  <c r="DU2" i="121"/>
  <c r="DT1" i="121"/>
  <c r="BY27" i="121"/>
  <c r="ES18" i="121"/>
  <c r="ES8" i="121"/>
  <c r="ES17" i="121"/>
  <c r="ES13" i="121"/>
  <c r="ES15" i="121"/>
  <c r="ES21" i="121"/>
  <c r="ES22" i="121"/>
  <c r="ES19" i="121"/>
  <c r="ES9" i="121"/>
  <c r="ES12" i="121"/>
  <c r="ES6" i="121"/>
  <c r="ES24" i="121"/>
  <c r="ES16" i="121"/>
  <c r="ES14" i="121"/>
  <c r="ES11" i="121"/>
  <c r="ES7" i="121"/>
  <c r="ES20" i="121"/>
  <c r="ES23" i="121"/>
  <c r="DS24" i="121"/>
  <c r="DS14" i="121"/>
  <c r="DS12" i="121"/>
  <c r="DS17" i="121"/>
  <c r="DS13" i="121"/>
  <c r="DS10" i="121"/>
  <c r="DS19" i="121"/>
  <c r="DS15" i="121"/>
  <c r="DS23" i="121"/>
  <c r="DS18" i="121"/>
  <c r="DS7" i="121"/>
  <c r="DS20" i="121"/>
  <c r="DS11" i="121"/>
  <c r="DS9" i="121"/>
  <c r="DS8" i="121"/>
  <c r="DS22" i="121"/>
  <c r="DS6" i="121"/>
  <c r="DS21" i="121"/>
  <c r="DS16" i="121"/>
  <c r="CV19" i="121"/>
  <c r="CV17" i="121"/>
  <c r="CV7" i="121"/>
  <c r="CV18" i="121"/>
  <c r="CV13" i="121"/>
  <c r="CV6" i="121"/>
  <c r="CV12" i="121"/>
  <c r="CV11" i="121"/>
  <c r="CV24" i="121"/>
  <c r="CV15" i="121"/>
  <c r="CV9" i="121"/>
  <c r="CV14" i="121"/>
  <c r="ET1" i="121"/>
  <c r="CV22" i="121"/>
  <c r="CV10" i="121"/>
  <c r="CV21" i="121"/>
  <c r="CV16" i="121"/>
  <c r="CV23" i="121"/>
  <c r="CV20" i="121"/>
  <c r="CV8" i="121"/>
  <c r="Y3" i="121"/>
  <c r="CX2" i="121"/>
  <c r="CW1" i="121"/>
  <c r="CV20" i="120"/>
  <c r="CV12" i="120"/>
  <c r="CV18" i="120"/>
  <c r="CV10" i="120"/>
  <c r="CV16" i="120"/>
  <c r="CV8" i="120"/>
  <c r="CV24" i="120"/>
  <c r="CV15" i="120"/>
  <c r="CV11" i="120"/>
  <c r="CV9" i="120"/>
  <c r="CV23" i="120"/>
  <c r="CV22" i="120"/>
  <c r="CV7" i="120"/>
  <c r="CV21" i="120"/>
  <c r="CV14" i="120"/>
  <c r="CV6" i="120"/>
  <c r="CV19" i="120"/>
  <c r="CV17" i="120"/>
  <c r="ET1" i="120"/>
  <c r="CV13" i="120"/>
  <c r="Y3" i="120"/>
  <c r="CW1" i="120"/>
  <c r="CX2" i="120"/>
  <c r="BY27" i="120"/>
  <c r="ES15" i="120"/>
  <c r="ES11" i="120"/>
  <c r="ES23" i="120"/>
  <c r="ES14" i="120"/>
  <c r="ES6" i="120"/>
  <c r="ES24" i="120"/>
  <c r="ES16" i="120"/>
  <c r="ES12" i="120"/>
  <c r="ES22" i="120"/>
  <c r="ES18" i="120"/>
  <c r="ES8" i="120"/>
  <c r="ES20" i="120"/>
  <c r="ES13" i="120"/>
  <c r="ES17" i="120"/>
  <c r="ES21" i="120"/>
  <c r="ES7" i="120"/>
  <c r="ES19" i="120"/>
  <c r="ES9" i="120"/>
  <c r="DU2" i="120"/>
  <c r="DT1" i="120"/>
  <c r="DS22" i="120"/>
  <c r="DS13" i="120"/>
  <c r="DS17" i="120"/>
  <c r="DS11" i="120"/>
  <c r="DS15" i="120"/>
  <c r="DS10" i="120"/>
  <c r="DS18" i="120"/>
  <c r="DS12" i="120"/>
  <c r="DS7" i="120"/>
  <c r="DS21" i="120"/>
  <c r="DS24" i="120"/>
  <c r="DS14" i="120"/>
  <c r="DS6" i="120"/>
  <c r="DS20" i="120"/>
  <c r="DS23" i="120"/>
  <c r="DS9" i="120"/>
  <c r="DS19" i="120"/>
  <c r="DS16" i="120"/>
  <c r="DS8" i="120"/>
  <c r="DS24" i="119"/>
  <c r="DS17" i="119"/>
  <c r="DS9" i="119"/>
  <c r="DS13" i="119"/>
  <c r="DS22" i="119"/>
  <c r="DS11" i="119"/>
  <c r="DS18" i="119"/>
  <c r="DS16" i="119"/>
  <c r="DS23" i="119"/>
  <c r="DS14" i="119"/>
  <c r="DS10" i="119"/>
  <c r="DS21" i="119"/>
  <c r="DS7" i="119"/>
  <c r="DS20" i="119"/>
  <c r="DS15" i="119"/>
  <c r="DS8" i="119"/>
  <c r="DS19" i="119"/>
  <c r="DS6" i="119"/>
  <c r="DS12" i="119"/>
  <c r="DT1" i="119"/>
  <c r="DU2" i="119"/>
  <c r="BY27" i="119"/>
  <c r="CV24" i="119"/>
  <c r="CV17" i="119"/>
  <c r="CV10" i="119"/>
  <c r="CV21" i="119"/>
  <c r="CV6" i="119"/>
  <c r="CV22" i="119"/>
  <c r="CV14" i="119"/>
  <c r="CV9" i="119"/>
  <c r="CV13" i="119"/>
  <c r="CV23" i="119"/>
  <c r="CV16" i="119"/>
  <c r="ET1" i="119"/>
  <c r="CV19" i="119"/>
  <c r="CV18" i="119"/>
  <c r="CV11" i="119"/>
  <c r="CV7" i="119"/>
  <c r="CV15" i="119"/>
  <c r="CV12" i="119"/>
  <c r="CV20" i="119"/>
  <c r="CV8" i="119"/>
  <c r="Y3" i="119"/>
  <c r="ES23" i="119"/>
  <c r="ES14" i="119"/>
  <c r="ES24" i="119"/>
  <c r="ES22" i="119"/>
  <c r="ES20" i="119"/>
  <c r="ES15" i="119"/>
  <c r="ES19" i="119"/>
  <c r="ES13" i="119"/>
  <c r="ES18" i="119"/>
  <c r="ES11" i="119"/>
  <c r="ES16" i="119"/>
  <c r="ES9" i="119"/>
  <c r="ES8" i="119"/>
  <c r="ES21" i="119"/>
  <c r="ES12" i="119"/>
  <c r="ES17" i="119"/>
  <c r="ES6" i="119"/>
  <c r="ES7" i="119"/>
  <c r="CW1" i="119"/>
  <c r="CX2" i="119"/>
  <c r="EQ10" i="105"/>
  <c r="CW24" i="116"/>
  <c r="CW17" i="116"/>
  <c r="CW7" i="116"/>
  <c r="CW22" i="116"/>
  <c r="CW15" i="116"/>
  <c r="CW6" i="116"/>
  <c r="CW21" i="116"/>
  <c r="CW10" i="116"/>
  <c r="CW12" i="116"/>
  <c r="CW19" i="116"/>
  <c r="CW9" i="116"/>
  <c r="EU1" i="116"/>
  <c r="CW18" i="116"/>
  <c r="CW8" i="116"/>
  <c r="CW23" i="116"/>
  <c r="CW14" i="116"/>
  <c r="CW16" i="116"/>
  <c r="CW13" i="116"/>
  <c r="CW20" i="116"/>
  <c r="CW11" i="116"/>
  <c r="Y3" i="116"/>
  <c r="CY2" i="116"/>
  <c r="CX1" i="116"/>
  <c r="DT13" i="116"/>
  <c r="DT10" i="116"/>
  <c r="DT22" i="116"/>
  <c r="DT9" i="116"/>
  <c r="DT11" i="116"/>
  <c r="DT8" i="116"/>
  <c r="DT24" i="116"/>
  <c r="DT18" i="116"/>
  <c r="DT16" i="116"/>
  <c r="DT20" i="116"/>
  <c r="DT17" i="116"/>
  <c r="DT7" i="116"/>
  <c r="DT23" i="116"/>
  <c r="DT15" i="116"/>
  <c r="DT6" i="116"/>
  <c r="DT21" i="116"/>
  <c r="DT14" i="116"/>
  <c r="DT19" i="116"/>
  <c r="DT12" i="116"/>
  <c r="BZ27" i="116"/>
  <c r="DU1" i="116"/>
  <c r="DV2" i="116"/>
  <c r="ET22" i="116"/>
  <c r="ET16" i="116"/>
  <c r="ET6" i="116"/>
  <c r="ET21" i="116"/>
  <c r="ET20" i="116"/>
  <c r="ET8" i="116"/>
  <c r="ET23" i="116"/>
  <c r="ET9" i="116"/>
  <c r="ET24" i="116"/>
  <c r="ET17" i="116"/>
  <c r="ET19" i="116"/>
  <c r="ET11" i="116"/>
  <c r="ET18" i="116"/>
  <c r="ET15" i="116"/>
  <c r="ET14" i="116"/>
  <c r="ET13" i="116"/>
  <c r="ET12" i="116"/>
  <c r="ET7" i="116"/>
  <c r="ET17" i="112"/>
  <c r="ET9" i="112"/>
  <c r="ET15" i="112"/>
  <c r="ET13" i="112"/>
  <c r="ET20" i="112"/>
  <c r="ET22" i="112"/>
  <c r="ET19" i="112"/>
  <c r="ET11" i="112"/>
  <c r="ET12" i="112"/>
  <c r="ET6" i="112"/>
  <c r="ET23" i="112"/>
  <c r="ET7" i="112"/>
  <c r="ET24" i="112"/>
  <c r="ET8" i="112"/>
  <c r="ET16" i="112"/>
  <c r="ET14" i="112"/>
  <c r="ET18" i="112"/>
  <c r="ET21" i="112"/>
  <c r="CX1" i="112"/>
  <c r="CY2" i="112"/>
  <c r="DT22" i="112"/>
  <c r="DT8" i="112"/>
  <c r="DT15" i="112"/>
  <c r="DT9" i="112"/>
  <c r="DT21" i="112"/>
  <c r="DT18" i="112"/>
  <c r="DT12" i="112"/>
  <c r="DT24" i="112"/>
  <c r="DT14" i="112"/>
  <c r="DT6" i="112"/>
  <c r="DT13" i="112"/>
  <c r="DT20" i="112"/>
  <c r="DT23" i="112"/>
  <c r="DT7" i="112"/>
  <c r="DT10" i="112"/>
  <c r="DT19" i="112"/>
  <c r="DT16" i="112"/>
  <c r="DT17" i="112"/>
  <c r="DT11" i="112"/>
  <c r="DT13" i="113"/>
  <c r="DT9" i="113"/>
  <c r="DT19" i="113"/>
  <c r="DT8" i="113"/>
  <c r="DT18" i="113"/>
  <c r="DT24" i="113"/>
  <c r="DT15" i="113"/>
  <c r="DT17" i="113"/>
  <c r="DT23" i="113"/>
  <c r="DT14" i="113"/>
  <c r="DT6" i="113"/>
  <c r="DT7" i="113"/>
  <c r="DT21" i="113"/>
  <c r="DT12" i="113"/>
  <c r="DT11" i="113"/>
  <c r="DT22" i="113"/>
  <c r="DT20" i="113"/>
  <c r="DT16" i="113"/>
  <c r="DT10" i="113"/>
  <c r="CW11" i="112"/>
  <c r="CW15" i="112"/>
  <c r="CW10" i="112"/>
  <c r="CW24" i="112"/>
  <c r="CW19" i="112"/>
  <c r="CW9" i="112"/>
  <c r="CW17" i="112"/>
  <c r="CW21" i="112"/>
  <c r="CW20" i="112"/>
  <c r="CW16" i="112"/>
  <c r="CW13" i="112"/>
  <c r="EU1" i="112"/>
  <c r="CW7" i="112"/>
  <c r="CW22" i="112"/>
  <c r="CW8" i="112"/>
  <c r="CW6" i="112"/>
  <c r="CW18" i="112"/>
  <c r="CW23" i="112"/>
  <c r="CW12" i="112"/>
  <c r="CW14" i="112"/>
  <c r="Y3" i="112"/>
  <c r="DV2" i="112"/>
  <c r="DU1" i="112"/>
  <c r="DU1" i="113"/>
  <c r="DV2" i="113"/>
  <c r="CX1" i="113"/>
  <c r="CY2" i="113"/>
  <c r="CW23" i="113"/>
  <c r="CW6" i="113"/>
  <c r="CW24" i="113"/>
  <c r="CW12" i="113"/>
  <c r="CW9" i="113"/>
  <c r="CW13" i="113"/>
  <c r="CW19" i="113"/>
  <c r="CW17" i="113"/>
  <c r="CW8" i="113"/>
  <c r="CW18" i="113"/>
  <c r="CW11" i="113"/>
  <c r="EU1" i="113"/>
  <c r="CW21" i="113"/>
  <c r="CW22" i="113"/>
  <c r="CW14" i="113"/>
  <c r="CW16" i="113"/>
  <c r="CW20" i="113"/>
  <c r="CW7" i="113"/>
  <c r="CW15" i="113"/>
  <c r="CW10" i="113"/>
  <c r="Y3" i="113"/>
  <c r="BQ13" i="92"/>
  <c r="O13" i="92" s="1"/>
  <c r="P13" i="92" s="1"/>
  <c r="BS13" i="112"/>
  <c r="ET17" i="113"/>
  <c r="ET9" i="113"/>
  <c r="ET19" i="113"/>
  <c r="ET18" i="113"/>
  <c r="ET8" i="113"/>
  <c r="ET15" i="113"/>
  <c r="ET16" i="113"/>
  <c r="ET24" i="113"/>
  <c r="ET12" i="113"/>
  <c r="ET13" i="113"/>
  <c r="ET21" i="113"/>
  <c r="ET14" i="113"/>
  <c r="ET7" i="113"/>
  <c r="ET23" i="113"/>
  <c r="ET11" i="113"/>
  <c r="ET6" i="113"/>
  <c r="ET20" i="113"/>
  <c r="ET22" i="113"/>
  <c r="BZ27" i="112"/>
  <c r="BZ27" i="113"/>
  <c r="BU29" i="90"/>
  <c r="BW13" i="109"/>
  <c r="Q10" i="89"/>
  <c r="R10" i="89" s="1"/>
  <c r="Q29" i="89" s="1"/>
  <c r="BU27" i="89"/>
  <c r="ET21" i="109"/>
  <c r="ET9" i="109"/>
  <c r="ET11" i="109"/>
  <c r="ET20" i="109"/>
  <c r="ET8" i="109"/>
  <c r="ET14" i="109"/>
  <c r="ET24" i="109"/>
  <c r="ET23" i="109"/>
  <c r="ET19" i="109"/>
  <c r="ET7" i="109"/>
  <c r="ET22" i="109"/>
  <c r="ET18" i="109"/>
  <c r="ET6" i="109"/>
  <c r="ET15" i="109"/>
  <c r="ET13" i="109"/>
  <c r="ET12" i="109"/>
  <c r="ET17" i="109"/>
  <c r="ET16" i="109"/>
  <c r="DU2" i="108"/>
  <c r="DT1" i="108"/>
  <c r="CV13" i="108"/>
  <c r="ET1" i="108"/>
  <c r="CV16" i="108"/>
  <c r="CV14" i="108"/>
  <c r="CV24" i="108"/>
  <c r="CV12" i="108"/>
  <c r="CV19" i="108"/>
  <c r="CV23" i="108"/>
  <c r="CV11" i="108"/>
  <c r="CV22" i="108"/>
  <c r="CV10" i="108"/>
  <c r="CV6" i="108"/>
  <c r="CV21" i="108"/>
  <c r="CV9" i="108"/>
  <c r="CV18" i="108"/>
  <c r="CV17" i="108"/>
  <c r="CV15" i="108"/>
  <c r="CV20" i="108"/>
  <c r="CV8" i="108"/>
  <c r="CV7" i="108"/>
  <c r="Y3" i="108"/>
  <c r="BZ27" i="109"/>
  <c r="CX2" i="108"/>
  <c r="CW1" i="108"/>
  <c r="BU10" i="90"/>
  <c r="BU27" i="90" s="1"/>
  <c r="BV10" i="108"/>
  <c r="ES24" i="108"/>
  <c r="ES12" i="108"/>
  <c r="ES6" i="108"/>
  <c r="ES14" i="108"/>
  <c r="ES23" i="108"/>
  <c r="ES11" i="108"/>
  <c r="ES22" i="108"/>
  <c r="ES10" i="108"/>
  <c r="ES16" i="108"/>
  <c r="ES21" i="108"/>
  <c r="ES9" i="108"/>
  <c r="ES18" i="108"/>
  <c r="ES20" i="108"/>
  <c r="ES8" i="108"/>
  <c r="ES17" i="108"/>
  <c r="ES13" i="108"/>
  <c r="ES19" i="108"/>
  <c r="ES7" i="108"/>
  <c r="ES15" i="108"/>
  <c r="DT24" i="109"/>
  <c r="DT12" i="109"/>
  <c r="DT6" i="109"/>
  <c r="DT16" i="109"/>
  <c r="DT14" i="109"/>
  <c r="DT23" i="109"/>
  <c r="DT11" i="109"/>
  <c r="DT22" i="109"/>
  <c r="DT10" i="109"/>
  <c r="DT21" i="109"/>
  <c r="DT9" i="109"/>
  <c r="DT20" i="109"/>
  <c r="DT8" i="109"/>
  <c r="DT18" i="109"/>
  <c r="DT17" i="109"/>
  <c r="DT13" i="109"/>
  <c r="DT19" i="109"/>
  <c r="DT7" i="109"/>
  <c r="DT15" i="109"/>
  <c r="BY27" i="108"/>
  <c r="DV2" i="109"/>
  <c r="DU1" i="109"/>
  <c r="CW22" i="109"/>
  <c r="CW10" i="109"/>
  <c r="CW13" i="109"/>
  <c r="CW23" i="109"/>
  <c r="CW21" i="109"/>
  <c r="CW9" i="109"/>
  <c r="CW16" i="109"/>
  <c r="CW20" i="109"/>
  <c r="CW8" i="109"/>
  <c r="CW14" i="109"/>
  <c r="CW19" i="109"/>
  <c r="CW7" i="109"/>
  <c r="CW15" i="109"/>
  <c r="CW24" i="109"/>
  <c r="CW11" i="109"/>
  <c r="CW18" i="109"/>
  <c r="CW6" i="109"/>
  <c r="CW17" i="109"/>
  <c r="EU1" i="109"/>
  <c r="CW12" i="109"/>
  <c r="Y3" i="109"/>
  <c r="DS15" i="108"/>
  <c r="DS19" i="108"/>
  <c r="DS14" i="108"/>
  <c r="DS7" i="108"/>
  <c r="DS18" i="108"/>
  <c r="DS13" i="108"/>
  <c r="DS20" i="108"/>
  <c r="DS17" i="108"/>
  <c r="DS24" i="108"/>
  <c r="DS12" i="108"/>
  <c r="DS21" i="108"/>
  <c r="DS23" i="108"/>
  <c r="DS11" i="108"/>
  <c r="DS9" i="108"/>
  <c r="DS8" i="108"/>
  <c r="DS6" i="108"/>
  <c r="DS22" i="108"/>
  <c r="DS10" i="108"/>
  <c r="DS16" i="108"/>
  <c r="CX1" i="109"/>
  <c r="CY2" i="109"/>
  <c r="ER10" i="106"/>
  <c r="ES21" i="106"/>
  <c r="ES13" i="106"/>
  <c r="ES20" i="106"/>
  <c r="ES12" i="106"/>
  <c r="ES14" i="106"/>
  <c r="ES19" i="106"/>
  <c r="ES11" i="106"/>
  <c r="ES18" i="106"/>
  <c r="ES10" i="106"/>
  <c r="ES17" i="106"/>
  <c r="ES9" i="106"/>
  <c r="ES6" i="106"/>
  <c r="ES24" i="106"/>
  <c r="ES16" i="106"/>
  <c r="ES8" i="106"/>
  <c r="ES22" i="106"/>
  <c r="ES23" i="106"/>
  <c r="ES15" i="106"/>
  <c r="ES7" i="106"/>
  <c r="DU2" i="106"/>
  <c r="DT1" i="106"/>
  <c r="BY27" i="106"/>
  <c r="CX2" i="106"/>
  <c r="CW1" i="106"/>
  <c r="DS24" i="106"/>
  <c r="DS16" i="106"/>
  <c r="DS8" i="106"/>
  <c r="DS11" i="106"/>
  <c r="DS23" i="106"/>
  <c r="DS15" i="106"/>
  <c r="DS7" i="106"/>
  <c r="DS22" i="106"/>
  <c r="DS14" i="106"/>
  <c r="DS6" i="106"/>
  <c r="DS13" i="106"/>
  <c r="DS17" i="106"/>
  <c r="DS21" i="106"/>
  <c r="DS20" i="106"/>
  <c r="DS12" i="106"/>
  <c r="DS9" i="106"/>
  <c r="DS19" i="106"/>
  <c r="DS18" i="106"/>
  <c r="DS10" i="106"/>
  <c r="CV22" i="106"/>
  <c r="CV14" i="106"/>
  <c r="CV6" i="106"/>
  <c r="CV21" i="106"/>
  <c r="CV13" i="106"/>
  <c r="ET1" i="106"/>
  <c r="CV19" i="106"/>
  <c r="CV15" i="106"/>
  <c r="CV20" i="106"/>
  <c r="CV12" i="106"/>
  <c r="CV17" i="106"/>
  <c r="CV23" i="106"/>
  <c r="CV7" i="106"/>
  <c r="CV11" i="106"/>
  <c r="CV9" i="106"/>
  <c r="CV18" i="106"/>
  <c r="CV10" i="106"/>
  <c r="CV24" i="106"/>
  <c r="CV16" i="106"/>
  <c r="CV8" i="106"/>
  <c r="Y3" i="106"/>
  <c r="DS24" i="105"/>
  <c r="DS12" i="105"/>
  <c r="DS13" i="105"/>
  <c r="DS23" i="105"/>
  <c r="DS11" i="105"/>
  <c r="DS22" i="105"/>
  <c r="DS10" i="105"/>
  <c r="DS21" i="105"/>
  <c r="DS20" i="105"/>
  <c r="DS19" i="105"/>
  <c r="DS7" i="105"/>
  <c r="DS6" i="105"/>
  <c r="DS14" i="105"/>
  <c r="DS9" i="105"/>
  <c r="DS8" i="105"/>
  <c r="DS18" i="105"/>
  <c r="DS17" i="105"/>
  <c r="DS16" i="105"/>
  <c r="DS15" i="105"/>
  <c r="ES21" i="105"/>
  <c r="ES9" i="105"/>
  <c r="ES22" i="105"/>
  <c r="ES10" i="105"/>
  <c r="ES20" i="105"/>
  <c r="ES8" i="105"/>
  <c r="ES19" i="105"/>
  <c r="ES7" i="105"/>
  <c r="ES18" i="105"/>
  <c r="ES6" i="105"/>
  <c r="ES17" i="105"/>
  <c r="ES15" i="105"/>
  <c r="ES23" i="105"/>
  <c r="ES11" i="105"/>
  <c r="ES16" i="105"/>
  <c r="ES14" i="105"/>
  <c r="ES13" i="105"/>
  <c r="ES24" i="105"/>
  <c r="CV22" i="105"/>
  <c r="CV10" i="105"/>
  <c r="CV12" i="105"/>
  <c r="CV23" i="105"/>
  <c r="CV11" i="105"/>
  <c r="CV21" i="105"/>
  <c r="CV9" i="105"/>
  <c r="CV20" i="105"/>
  <c r="CV8" i="105"/>
  <c r="CV19" i="105"/>
  <c r="CV7" i="105"/>
  <c r="CV18" i="105"/>
  <c r="CV17" i="105"/>
  <c r="ET1" i="105"/>
  <c r="CV24" i="105"/>
  <c r="CV6" i="105"/>
  <c r="CV16" i="105"/>
  <c r="CV15" i="105"/>
  <c r="CV14" i="105"/>
  <c r="CV13" i="105"/>
  <c r="Y3" i="105"/>
  <c r="DT1" i="105"/>
  <c r="DU2" i="105"/>
  <c r="CX2" i="105"/>
  <c r="CW1" i="105"/>
  <c r="BY27" i="105"/>
  <c r="EN10" i="98"/>
  <c r="EO10" i="100"/>
  <c r="ED24" i="100"/>
  <c r="ED23" i="100"/>
  <c r="ED22" i="100"/>
  <c r="ED21" i="100"/>
  <c r="ED20" i="100"/>
  <c r="ED19" i="100"/>
  <c r="ED18" i="100"/>
  <c r="ED17" i="100"/>
  <c r="ED16" i="100"/>
  <c r="ED15" i="100"/>
  <c r="ED14" i="100"/>
  <c r="ED13" i="100"/>
  <c r="ED12" i="100"/>
  <c r="ED11" i="100"/>
  <c r="ED10" i="100"/>
  <c r="ED9" i="100"/>
  <c r="ED8" i="100"/>
  <c r="ED7" i="100"/>
  <c r="ED6" i="100"/>
  <c r="EE24" i="100"/>
  <c r="EE23" i="100"/>
  <c r="EE22" i="100"/>
  <c r="EE21" i="100"/>
  <c r="EE20" i="100"/>
  <c r="EE19" i="100"/>
  <c r="EE18" i="100"/>
  <c r="EE17" i="100"/>
  <c r="EE16" i="100"/>
  <c r="EE15" i="100"/>
  <c r="EE14" i="100"/>
  <c r="EE13" i="100"/>
  <c r="EE12" i="100"/>
  <c r="EE11" i="100"/>
  <c r="EE10" i="100"/>
  <c r="EE9" i="100"/>
  <c r="EE8" i="100"/>
  <c r="EE7" i="100"/>
  <c r="EE6" i="100"/>
  <c r="BY27" i="100"/>
  <c r="BX28" i="100" s="1"/>
  <c r="U6" i="100"/>
  <c r="T30" i="98"/>
  <c r="T29" i="98"/>
  <c r="T28" i="98"/>
  <c r="V6" i="98"/>
  <c r="CC6" i="98"/>
  <c r="CC7" i="98"/>
  <c r="W7" i="98" s="1"/>
  <c r="X7" i="98" s="1"/>
  <c r="CC8" i="98"/>
  <c r="W8" i="98" s="1"/>
  <c r="X8" i="98" s="1"/>
  <c r="CC9" i="98"/>
  <c r="W9" i="98" s="1"/>
  <c r="X9" i="98" s="1"/>
  <c r="CC10" i="98"/>
  <c r="W10" i="98" s="1"/>
  <c r="X10" i="98" s="1"/>
  <c r="CC11" i="98"/>
  <c r="W11" i="98" s="1"/>
  <c r="X11" i="98" s="1"/>
  <c r="CC12" i="98"/>
  <c r="W12" i="98" s="1"/>
  <c r="X12" i="98" s="1"/>
  <c r="CC13" i="98"/>
  <c r="W13" i="98" s="1"/>
  <c r="X13" i="98" s="1"/>
  <c r="CC14" i="98"/>
  <c r="W14" i="98" s="1"/>
  <c r="X14" i="98" s="1"/>
  <c r="CC15" i="98"/>
  <c r="W15" i="98" s="1"/>
  <c r="X15" i="98" s="1"/>
  <c r="CC16" i="98"/>
  <c r="CC17" i="98"/>
  <c r="CC18" i="98"/>
  <c r="W18" i="98" s="1"/>
  <c r="X18" i="98" s="1"/>
  <c r="CC19" i="98"/>
  <c r="W19" i="98" s="1"/>
  <c r="X19" i="98" s="1"/>
  <c r="CC20" i="98"/>
  <c r="W20" i="98" s="1"/>
  <c r="X20" i="98" s="1"/>
  <c r="CC21" i="98"/>
  <c r="W21" i="98" s="1"/>
  <c r="X21" i="98" s="1"/>
  <c r="CC22" i="98"/>
  <c r="W22" i="98" s="1"/>
  <c r="X22" i="98" s="1"/>
  <c r="CC23" i="98"/>
  <c r="W23" i="98" s="1"/>
  <c r="X23" i="98" s="1"/>
  <c r="CC24" i="98"/>
  <c r="W24" i="98" s="1"/>
  <c r="X24" i="98" s="1"/>
  <c r="EK10" i="95"/>
  <c r="EL10" i="96"/>
  <c r="EM10" i="97"/>
  <c r="CC27" i="97"/>
  <c r="CB28" i="97" s="1"/>
  <c r="W6" i="97"/>
  <c r="X6" i="97" s="1"/>
  <c r="GJ111" i="9"/>
  <c r="GN111" i="9" s="1"/>
  <c r="IV110" i="9"/>
  <c r="IU111" i="9"/>
  <c r="EJ10" i="93"/>
  <c r="EK10" i="94"/>
  <c r="EW112" i="9"/>
  <c r="EX111" i="9"/>
  <c r="Q13" i="91"/>
  <c r="R13" i="91" s="1"/>
  <c r="EH10" i="91"/>
  <c r="CG10" i="91" s="1"/>
  <c r="EI10" i="92"/>
  <c r="GH109" i="9"/>
  <c r="BU10" i="91" s="1"/>
  <c r="BU27" i="91" s="1"/>
  <c r="CV19" i="92"/>
  <c r="CV13" i="92"/>
  <c r="CV8" i="92"/>
  <c r="CV7" i="92"/>
  <c r="CV12" i="92"/>
  <c r="CV24" i="92"/>
  <c r="CV11" i="92"/>
  <c r="CV23" i="92"/>
  <c r="CV18" i="92"/>
  <c r="CV9" i="92"/>
  <c r="CV20" i="92"/>
  <c r="CV22" i="92"/>
  <c r="CV6" i="92"/>
  <c r="CV21" i="92"/>
  <c r="CV16" i="92"/>
  <c r="CV17" i="92"/>
  <c r="CV14" i="92"/>
  <c r="CV15" i="92"/>
  <c r="CV10" i="92"/>
  <c r="ET1" i="92"/>
  <c r="Y3" i="92"/>
  <c r="BY27" i="92"/>
  <c r="CW1" i="92"/>
  <c r="CX2" i="92"/>
  <c r="DS17" i="92"/>
  <c r="DS16" i="92"/>
  <c r="DS8" i="92"/>
  <c r="DS12" i="92"/>
  <c r="DS13" i="92"/>
  <c r="DS10" i="92"/>
  <c r="DS21" i="92"/>
  <c r="DS9" i="92"/>
  <c r="DS15" i="92"/>
  <c r="DS19" i="92"/>
  <c r="DS22" i="92"/>
  <c r="DS18" i="92"/>
  <c r="DS7" i="92"/>
  <c r="DS11" i="92"/>
  <c r="DS6" i="92"/>
  <c r="DS24" i="92"/>
  <c r="DS20" i="92"/>
  <c r="DS14" i="92"/>
  <c r="DS23" i="92"/>
  <c r="DT1" i="92"/>
  <c r="DU2" i="92"/>
  <c r="ES22" i="92"/>
  <c r="ES13" i="92"/>
  <c r="ES17" i="92"/>
  <c r="ES24" i="92"/>
  <c r="ES12" i="92"/>
  <c r="ES7" i="92"/>
  <c r="ES19" i="92"/>
  <c r="ES21" i="92"/>
  <c r="ES10" i="92"/>
  <c r="ES6" i="92"/>
  <c r="ES23" i="92"/>
  <c r="ES9" i="92"/>
  <c r="ES18" i="92"/>
  <c r="ES8" i="92"/>
  <c r="ES11" i="92"/>
  <c r="ES15" i="92"/>
  <c r="ES16" i="92"/>
  <c r="ES20" i="92"/>
  <c r="ES14" i="92"/>
  <c r="CV11" i="91"/>
  <c r="CV19" i="91"/>
  <c r="CV24" i="91"/>
  <c r="CV6" i="91"/>
  <c r="CV20" i="91"/>
  <c r="CV9" i="91"/>
  <c r="CV23" i="91"/>
  <c r="CV16" i="91"/>
  <c r="CV8" i="91"/>
  <c r="CV7" i="91"/>
  <c r="CV12" i="91"/>
  <c r="ET1" i="91"/>
  <c r="CV14" i="91"/>
  <c r="CV17" i="91"/>
  <c r="CV22" i="91"/>
  <c r="CV13" i="91"/>
  <c r="CV21" i="91"/>
  <c r="CV15" i="91"/>
  <c r="CV10" i="91"/>
  <c r="CV18" i="91"/>
  <c r="Y3" i="91"/>
  <c r="CW1" i="91"/>
  <c r="CX2" i="91"/>
  <c r="BY27" i="91"/>
  <c r="CV9" i="90"/>
  <c r="CV8" i="90"/>
  <c r="CV15" i="90"/>
  <c r="CV14" i="90"/>
  <c r="CV24" i="90"/>
  <c r="CV16" i="90"/>
  <c r="CV18" i="90"/>
  <c r="CV11" i="90"/>
  <c r="CV22" i="90"/>
  <c r="ET1" i="90"/>
  <c r="CV6" i="90"/>
  <c r="CV23" i="90"/>
  <c r="CV7" i="90"/>
  <c r="CV21" i="90"/>
  <c r="CV19" i="90"/>
  <c r="CV17" i="90"/>
  <c r="CV12" i="90"/>
  <c r="CV20" i="90"/>
  <c r="CV10" i="90"/>
  <c r="CV13" i="90"/>
  <c r="Y3" i="90"/>
  <c r="ES22" i="91"/>
  <c r="ES14" i="91"/>
  <c r="ES6" i="91"/>
  <c r="ES9" i="91"/>
  <c r="ES12" i="91"/>
  <c r="ES21" i="91"/>
  <c r="ES11" i="91"/>
  <c r="ES16" i="91"/>
  <c r="ES18" i="91"/>
  <c r="ES13" i="91"/>
  <c r="ES17" i="91"/>
  <c r="ES15" i="91"/>
  <c r="ES19" i="91"/>
  <c r="ES8" i="91"/>
  <c r="ES20" i="91"/>
  <c r="ES10" i="91"/>
  <c r="ES24" i="91"/>
  <c r="ES7" i="91"/>
  <c r="ES23" i="91"/>
  <c r="DU2" i="90"/>
  <c r="DT1" i="90"/>
  <c r="DU2" i="91"/>
  <c r="DT1" i="91"/>
  <c r="CX2" i="90"/>
  <c r="CW1" i="90"/>
  <c r="ES20" i="90"/>
  <c r="ES8" i="90"/>
  <c r="ES19" i="90"/>
  <c r="ES7" i="90"/>
  <c r="ES16" i="90"/>
  <c r="ES14" i="90"/>
  <c r="ES12" i="90"/>
  <c r="ES23" i="90"/>
  <c r="ES6" i="90"/>
  <c r="ES11" i="90"/>
  <c r="ES9" i="90"/>
  <c r="ES17" i="90"/>
  <c r="ES10" i="90"/>
  <c r="ES15" i="90"/>
  <c r="ES21" i="90"/>
  <c r="ES18" i="90"/>
  <c r="ES22" i="90"/>
  <c r="ES24" i="90"/>
  <c r="ES13" i="90"/>
  <c r="DS16" i="90"/>
  <c r="DS18" i="90"/>
  <c r="DS22" i="90"/>
  <c r="DS15" i="90"/>
  <c r="DS11" i="90"/>
  <c r="DS7" i="90"/>
  <c r="DS17" i="90"/>
  <c r="DS21" i="90"/>
  <c r="DS14" i="90"/>
  <c r="DS6" i="90"/>
  <c r="DS23" i="90"/>
  <c r="DS8" i="90"/>
  <c r="DS24" i="90"/>
  <c r="DS9" i="90"/>
  <c r="DS19" i="90"/>
  <c r="DS13" i="90"/>
  <c r="DS10" i="90"/>
  <c r="DS12" i="90"/>
  <c r="DS20" i="90"/>
  <c r="DS17" i="91"/>
  <c r="DS16" i="91"/>
  <c r="DS6" i="91"/>
  <c r="DS24" i="91"/>
  <c r="DS15" i="91"/>
  <c r="DS8" i="91"/>
  <c r="DS14" i="91"/>
  <c r="DS10" i="91"/>
  <c r="DS9" i="91"/>
  <c r="DS18" i="91"/>
  <c r="DS20" i="91"/>
  <c r="DS11" i="91"/>
  <c r="DS21" i="91"/>
  <c r="DS22" i="91"/>
  <c r="DS12" i="91"/>
  <c r="DS13" i="91"/>
  <c r="DS7" i="91"/>
  <c r="DS23" i="91"/>
  <c r="DS19" i="91"/>
  <c r="BY27" i="90"/>
  <c r="O30" i="90"/>
  <c r="O28" i="90"/>
  <c r="O29" i="90"/>
  <c r="P13" i="91"/>
  <c r="O26" i="91"/>
  <c r="BY27" i="89"/>
  <c r="DT1" i="89"/>
  <c r="DU2" i="89"/>
  <c r="DS18" i="89"/>
  <c r="DS10" i="89"/>
  <c r="DS15" i="89"/>
  <c r="DS17" i="89"/>
  <c r="DS16" i="89"/>
  <c r="DS13" i="89"/>
  <c r="DS12" i="89"/>
  <c r="DS20" i="89"/>
  <c r="DS6" i="89"/>
  <c r="DS24" i="89"/>
  <c r="DS9" i="89"/>
  <c r="DS7" i="89"/>
  <c r="DS14" i="89"/>
  <c r="DS11" i="89"/>
  <c r="DS19" i="89"/>
  <c r="DS8" i="89"/>
  <c r="DS23" i="89"/>
  <c r="DS21" i="89"/>
  <c r="DS22" i="89"/>
  <c r="CX2" i="89"/>
  <c r="CW1" i="89"/>
  <c r="CV21" i="89"/>
  <c r="CV8" i="89"/>
  <c r="CV19" i="89"/>
  <c r="CV13" i="89"/>
  <c r="CV15" i="89"/>
  <c r="CV12" i="89"/>
  <c r="ET1" i="89"/>
  <c r="CV14" i="89"/>
  <c r="CV20" i="89"/>
  <c r="CV23" i="89"/>
  <c r="CV18" i="89"/>
  <c r="CV6" i="89"/>
  <c r="CV10" i="89"/>
  <c r="CV7" i="89"/>
  <c r="CV22" i="89"/>
  <c r="CV17" i="89"/>
  <c r="CV11" i="89"/>
  <c r="CV24" i="89"/>
  <c r="CV16" i="89"/>
  <c r="CV9" i="89"/>
  <c r="Y3" i="89"/>
  <c r="ES24" i="89"/>
  <c r="ES16" i="89"/>
  <c r="ES7" i="89"/>
  <c r="ES23" i="89"/>
  <c r="ES18" i="89"/>
  <c r="ES6" i="89"/>
  <c r="ES10" i="89"/>
  <c r="ES19" i="89"/>
  <c r="ES15" i="89"/>
  <c r="ES9" i="89"/>
  <c r="ES22" i="89"/>
  <c r="ES12" i="89"/>
  <c r="ES21" i="89"/>
  <c r="ES11" i="89"/>
  <c r="ES20" i="89"/>
  <c r="ES13" i="89"/>
  <c r="ES17" i="89"/>
  <c r="ES14" i="89"/>
  <c r="ES8" i="89"/>
  <c r="ES18" i="87"/>
  <c r="ES8" i="87"/>
  <c r="ES17" i="87"/>
  <c r="ES14" i="87"/>
  <c r="ES13" i="87"/>
  <c r="ES7" i="87"/>
  <c r="ES20" i="87"/>
  <c r="ES23" i="87"/>
  <c r="ES6" i="87"/>
  <c r="ES24" i="87"/>
  <c r="ES16" i="87"/>
  <c r="ES10" i="87"/>
  <c r="ES21" i="87"/>
  <c r="ES12" i="87"/>
  <c r="ES9" i="87"/>
  <c r="ES19" i="87"/>
  <c r="ES11" i="87"/>
  <c r="ES22" i="87"/>
  <c r="ES15" i="87"/>
  <c r="CV20" i="88"/>
  <c r="CV13" i="88"/>
  <c r="CV17" i="88"/>
  <c r="CV12" i="88"/>
  <c r="CV19" i="88"/>
  <c r="ET1" i="88"/>
  <c r="CV24" i="88"/>
  <c r="CV14" i="88"/>
  <c r="CV7" i="88"/>
  <c r="CV6" i="88"/>
  <c r="CV23" i="88"/>
  <c r="CV15" i="88"/>
  <c r="CV9" i="88"/>
  <c r="CV16" i="88"/>
  <c r="CV22" i="88"/>
  <c r="CV11" i="88"/>
  <c r="CV21" i="88"/>
  <c r="CV18" i="88"/>
  <c r="CV8" i="88"/>
  <c r="CV10" i="88"/>
  <c r="Y3" i="88"/>
  <c r="ES16" i="88"/>
  <c r="ES6" i="88"/>
  <c r="ES24" i="88"/>
  <c r="ES15" i="88"/>
  <c r="ES7" i="88"/>
  <c r="ES20" i="88"/>
  <c r="ES23" i="88"/>
  <c r="ES14" i="88"/>
  <c r="ES13" i="88"/>
  <c r="ES21" i="88"/>
  <c r="ES10" i="88"/>
  <c r="ES8" i="88"/>
  <c r="ES17" i="88"/>
  <c r="ES9" i="88"/>
  <c r="ES22" i="88"/>
  <c r="ES19" i="88"/>
  <c r="ES11" i="88"/>
  <c r="ES18" i="88"/>
  <c r="ES12" i="88"/>
  <c r="CV17" i="87"/>
  <c r="CV10" i="87"/>
  <c r="CV20" i="87"/>
  <c r="CV9" i="87"/>
  <c r="CV19" i="87"/>
  <c r="CV11" i="87"/>
  <c r="CV21" i="87"/>
  <c r="CV13" i="87"/>
  <c r="CV8" i="87"/>
  <c r="CV24" i="87"/>
  <c r="CV16" i="87"/>
  <c r="CV7" i="87"/>
  <c r="CV23" i="87"/>
  <c r="CV15" i="87"/>
  <c r="ET1" i="87"/>
  <c r="CV22" i="87"/>
  <c r="CV14" i="87"/>
  <c r="CV6" i="87"/>
  <c r="CV18" i="87"/>
  <c r="CV12" i="87"/>
  <c r="Y3" i="87"/>
  <c r="CX2" i="88"/>
  <c r="CW1" i="88"/>
  <c r="DS22" i="87"/>
  <c r="DS16" i="87"/>
  <c r="DS8" i="87"/>
  <c r="DS24" i="87"/>
  <c r="DS15" i="87"/>
  <c r="DS7" i="87"/>
  <c r="DS23" i="87"/>
  <c r="DS14" i="87"/>
  <c r="DS6" i="87"/>
  <c r="DS18" i="87"/>
  <c r="DS12" i="87"/>
  <c r="DS20" i="87"/>
  <c r="DS11" i="87"/>
  <c r="DS19" i="87"/>
  <c r="DS17" i="87"/>
  <c r="DS21" i="87"/>
  <c r="DS10" i="87"/>
  <c r="DS13" i="87"/>
  <c r="DS9" i="87"/>
  <c r="CW1" i="87"/>
  <c r="CX2" i="87"/>
  <c r="DT1" i="87"/>
  <c r="DU2" i="87"/>
  <c r="DS23" i="88"/>
  <c r="DS11" i="88"/>
  <c r="DS22" i="88"/>
  <c r="DS16" i="88"/>
  <c r="DS10" i="88"/>
  <c r="DS19" i="88"/>
  <c r="DS9" i="88"/>
  <c r="DS14" i="88"/>
  <c r="DS17" i="88"/>
  <c r="DS20" i="88"/>
  <c r="DS18" i="88"/>
  <c r="DS13" i="88"/>
  <c r="DS24" i="88"/>
  <c r="DS15" i="88"/>
  <c r="DS8" i="88"/>
  <c r="DS7" i="88"/>
  <c r="DS21" i="88"/>
  <c r="DS12" i="88"/>
  <c r="DS6" i="88"/>
  <c r="BY27" i="88"/>
  <c r="BY27" i="87"/>
  <c r="DU2" i="88"/>
  <c r="DT1" i="88"/>
  <c r="CV24" i="86"/>
  <c r="CV18" i="86"/>
  <c r="CV7" i="86"/>
  <c r="CV23" i="86"/>
  <c r="CV13" i="86"/>
  <c r="CV6" i="86"/>
  <c r="CV20" i="86"/>
  <c r="CV12" i="86"/>
  <c r="ET1" i="86"/>
  <c r="CV8" i="86"/>
  <c r="CV17" i="86"/>
  <c r="CV14" i="86"/>
  <c r="CV16" i="86"/>
  <c r="CV11" i="86"/>
  <c r="CV15" i="86"/>
  <c r="CV10" i="86"/>
  <c r="CV22" i="86"/>
  <c r="CV21" i="86"/>
  <c r="CV9" i="86"/>
  <c r="CV19" i="86"/>
  <c r="Y3" i="86"/>
  <c r="DU2" i="86"/>
  <c r="DT1" i="86"/>
  <c r="CX2" i="86"/>
  <c r="CW1" i="86"/>
  <c r="BY26" i="86"/>
  <c r="DS23" i="86"/>
  <c r="DS18" i="86"/>
  <c r="DS21" i="86"/>
  <c r="DS14" i="86"/>
  <c r="DS24" i="86"/>
  <c r="DS8" i="86"/>
  <c r="DS22" i="86"/>
  <c r="DS7" i="86"/>
  <c r="DS19" i="86"/>
  <c r="DS11" i="86"/>
  <c r="DS15" i="86"/>
  <c r="DS17" i="86"/>
  <c r="DS9" i="86"/>
  <c r="DS16" i="86"/>
  <c r="DS6" i="86"/>
  <c r="DS13" i="86"/>
  <c r="DS12" i="86"/>
  <c r="DS20" i="86"/>
  <c r="DS10" i="86"/>
  <c r="ES22" i="86"/>
  <c r="ES19" i="86"/>
  <c r="ES9" i="86"/>
  <c r="ES10" i="86"/>
  <c r="ES21" i="86"/>
  <c r="ES12" i="86"/>
  <c r="ES20" i="86"/>
  <c r="ES24" i="86"/>
  <c r="ES11" i="86"/>
  <c r="ES17" i="86"/>
  <c r="ES6" i="86"/>
  <c r="ES13" i="86"/>
  <c r="ES16" i="86"/>
  <c r="ES14" i="86"/>
  <c r="ES15" i="86"/>
  <c r="ES8" i="86"/>
  <c r="ES23" i="86"/>
  <c r="ES18" i="86"/>
  <c r="ES7" i="86"/>
  <c r="L11" i="142" l="1"/>
  <c r="FH11" i="142"/>
  <c r="J11" i="142"/>
  <c r="FH9" i="142"/>
  <c r="L9" i="142"/>
  <c r="J9" i="142"/>
  <c r="FH10" i="142"/>
  <c r="L10" i="142"/>
  <c r="J10" i="142"/>
  <c r="FH8" i="142"/>
  <c r="L8" i="142"/>
  <c r="J8" i="142"/>
  <c r="L6" i="142"/>
  <c r="FH6" i="142"/>
  <c r="J6" i="142"/>
  <c r="L19" i="142"/>
  <c r="FH19" i="142"/>
  <c r="J19" i="142"/>
  <c r="L24" i="142"/>
  <c r="FH24" i="142"/>
  <c r="J24" i="142"/>
  <c r="FH23" i="142"/>
  <c r="L23" i="142"/>
  <c r="J23" i="142"/>
  <c r="FH22" i="142"/>
  <c r="L22" i="142"/>
  <c r="J22" i="142"/>
  <c r="FH21" i="142"/>
  <c r="L21" i="142"/>
  <c r="J21" i="142"/>
  <c r="L20" i="142"/>
  <c r="FH20" i="142"/>
  <c r="J20" i="142"/>
  <c r="L18" i="142"/>
  <c r="FH18" i="142"/>
  <c r="J18" i="142"/>
  <c r="L14" i="142"/>
  <c r="FH14" i="142"/>
  <c r="J14" i="142"/>
  <c r="L7" i="142"/>
  <c r="FH7" i="142"/>
  <c r="J7" i="142"/>
  <c r="FH17" i="142"/>
  <c r="L17" i="142"/>
  <c r="J17" i="142"/>
  <c r="L16" i="142"/>
  <c r="FH16" i="142"/>
  <c r="J16" i="142"/>
  <c r="L15" i="142"/>
  <c r="FH15" i="142"/>
  <c r="J15" i="142"/>
  <c r="L13" i="142"/>
  <c r="FH13" i="142"/>
  <c r="J13" i="142"/>
  <c r="L12" i="142"/>
  <c r="FH12" i="142"/>
  <c r="J12" i="142"/>
  <c r="DJ24" i="142"/>
  <c r="DJ19" i="142"/>
  <c r="DJ18" i="142"/>
  <c r="DJ20" i="142"/>
  <c r="DJ15" i="142"/>
  <c r="DJ13" i="142"/>
  <c r="DJ11" i="142"/>
  <c r="DJ8" i="142"/>
  <c r="DJ2" i="142"/>
  <c r="DK2" i="142" s="1"/>
  <c r="DJ23" i="142"/>
  <c r="DJ22" i="142"/>
  <c r="DJ21" i="142"/>
  <c r="DJ17" i="142"/>
  <c r="DJ14" i="142"/>
  <c r="DJ9" i="142"/>
  <c r="DJ6" i="142"/>
  <c r="DJ16" i="142"/>
  <c r="DJ10" i="142"/>
  <c r="DJ12" i="142"/>
  <c r="DJ7" i="142"/>
  <c r="EI20" i="142"/>
  <c r="CB20" i="142" s="1"/>
  <c r="EI16" i="142"/>
  <c r="CB16" i="142" s="1"/>
  <c r="EI15" i="142"/>
  <c r="CB15" i="142" s="1"/>
  <c r="EI14" i="142"/>
  <c r="CB14" i="142" s="1"/>
  <c r="EI13" i="142"/>
  <c r="CB13" i="142" s="1"/>
  <c r="EI12" i="142"/>
  <c r="CB12" i="142" s="1"/>
  <c r="EI11" i="142"/>
  <c r="CB11" i="142" s="1"/>
  <c r="EI9" i="142"/>
  <c r="CB9" i="142" s="1"/>
  <c r="EI8" i="142"/>
  <c r="CB8" i="142" s="1"/>
  <c r="EI7" i="142"/>
  <c r="CB7" i="142" s="1"/>
  <c r="EI6" i="142"/>
  <c r="CB6" i="142" s="1"/>
  <c r="EI23" i="142"/>
  <c r="CB23" i="142" s="1"/>
  <c r="EI21" i="142"/>
  <c r="CB21" i="142" s="1"/>
  <c r="EI18" i="142"/>
  <c r="CB18" i="142" s="1"/>
  <c r="EI24" i="142"/>
  <c r="CB24" i="142" s="1"/>
  <c r="EI19" i="142"/>
  <c r="CB19" i="142" s="1"/>
  <c r="EI17" i="142"/>
  <c r="CB17" i="142" s="1"/>
  <c r="EI2" i="142"/>
  <c r="EJ2" i="142" s="1"/>
  <c r="EK2" i="142" s="1"/>
  <c r="EL2" i="142" s="1"/>
  <c r="EM2" i="142" s="1"/>
  <c r="EN2" i="142" s="1"/>
  <c r="EO2" i="142" s="1"/>
  <c r="EP2" i="142" s="1"/>
  <c r="EQ2" i="142" s="1"/>
  <c r="ER2" i="142" s="1"/>
  <c r="ES2" i="142" s="1"/>
  <c r="ET2" i="142" s="1"/>
  <c r="EU2" i="142" s="1"/>
  <c r="EV2" i="142" s="1"/>
  <c r="EW2" i="142" s="1"/>
  <c r="EX2" i="142" s="1"/>
  <c r="EY2" i="142" s="1"/>
  <c r="EZ2" i="142" s="1"/>
  <c r="FA2" i="142" s="1"/>
  <c r="FB2" i="142" s="1"/>
  <c r="FC2" i="142" s="1"/>
  <c r="FD2" i="142" s="1"/>
  <c r="FE2" i="142" s="1"/>
  <c r="FF2" i="142" s="1"/>
  <c r="EI22" i="142"/>
  <c r="CB22" i="142" s="1"/>
  <c r="CL17" i="142"/>
  <c r="CL16" i="142"/>
  <c r="CL15" i="142"/>
  <c r="CL13" i="142"/>
  <c r="CL12" i="142"/>
  <c r="CL11" i="142"/>
  <c r="CL10" i="142"/>
  <c r="CL9" i="142"/>
  <c r="CL8" i="142"/>
  <c r="CL6" i="142"/>
  <c r="CL23" i="142"/>
  <c r="CL22" i="142"/>
  <c r="CL21" i="142"/>
  <c r="CL18" i="142"/>
  <c r="CL14" i="142"/>
  <c r="CL24" i="142"/>
  <c r="CL7" i="142"/>
  <c r="EJ1" i="142"/>
  <c r="CL20" i="142"/>
  <c r="CL19" i="142"/>
  <c r="CM1" i="142"/>
  <c r="CN2" i="142"/>
  <c r="J21" i="139"/>
  <c r="FH21" i="139"/>
  <c r="L21" i="139"/>
  <c r="DJ20" i="139"/>
  <c r="DJ14" i="139"/>
  <c r="DJ16" i="139"/>
  <c r="DJ19" i="139"/>
  <c r="DJ7" i="139"/>
  <c r="DJ21" i="139"/>
  <c r="DJ9" i="139"/>
  <c r="DJ24" i="139"/>
  <c r="DJ22" i="139"/>
  <c r="DJ12" i="139"/>
  <c r="DJ8" i="139"/>
  <c r="DJ2" i="139"/>
  <c r="DK2" i="139" s="1"/>
  <c r="DJ23" i="139"/>
  <c r="DJ11" i="139"/>
  <c r="DJ6" i="139"/>
  <c r="DJ15" i="139"/>
  <c r="DJ17" i="139"/>
  <c r="DJ13" i="139"/>
  <c r="DJ10" i="139"/>
  <c r="DJ18" i="139"/>
  <c r="L24" i="139"/>
  <c r="FH24" i="139"/>
  <c r="J24" i="139"/>
  <c r="J12" i="139"/>
  <c r="L12" i="139"/>
  <c r="FH12" i="139"/>
  <c r="CL24" i="139"/>
  <c r="CL16" i="139"/>
  <c r="CL11" i="139"/>
  <c r="CL23" i="139"/>
  <c r="CL12" i="139"/>
  <c r="CL22" i="139"/>
  <c r="CL14" i="139"/>
  <c r="CL20" i="139"/>
  <c r="CL15" i="139"/>
  <c r="CL8" i="139"/>
  <c r="CL18" i="139"/>
  <c r="CL13" i="139"/>
  <c r="CL7" i="139"/>
  <c r="CL9" i="139"/>
  <c r="CL21" i="139"/>
  <c r="CL6" i="139"/>
  <c r="CL10" i="139"/>
  <c r="CL19" i="139"/>
  <c r="EJ1" i="139"/>
  <c r="CL17" i="139"/>
  <c r="J16" i="139"/>
  <c r="L16" i="139"/>
  <c r="FH16" i="139"/>
  <c r="J22" i="139"/>
  <c r="FH22" i="139"/>
  <c r="L22" i="139"/>
  <c r="CN2" i="139"/>
  <c r="CM1" i="139"/>
  <c r="J13" i="139"/>
  <c r="L13" i="139"/>
  <c r="FH13" i="139"/>
  <c r="J19" i="139"/>
  <c r="L19" i="139"/>
  <c r="FH19" i="139"/>
  <c r="EI17" i="139"/>
  <c r="CB17" i="139" s="1"/>
  <c r="EI7" i="139"/>
  <c r="CB7" i="139" s="1"/>
  <c r="EI15" i="139"/>
  <c r="CB15" i="139" s="1"/>
  <c r="EI6" i="139"/>
  <c r="CB6" i="139" s="1"/>
  <c r="EI9" i="139"/>
  <c r="CB9" i="139" s="1"/>
  <c r="EI13" i="139"/>
  <c r="CB13" i="139" s="1"/>
  <c r="EI11" i="139"/>
  <c r="CB11" i="139" s="1"/>
  <c r="EI19" i="139"/>
  <c r="CB19" i="139" s="1"/>
  <c r="EI22" i="139"/>
  <c r="CB22" i="139" s="1"/>
  <c r="EI2" i="139"/>
  <c r="EJ2" i="139" s="1"/>
  <c r="EK2" i="139" s="1"/>
  <c r="EL2" i="139" s="1"/>
  <c r="EM2" i="139" s="1"/>
  <c r="EN2" i="139" s="1"/>
  <c r="EO2" i="139" s="1"/>
  <c r="EP2" i="139" s="1"/>
  <c r="EQ2" i="139" s="1"/>
  <c r="ER2" i="139" s="1"/>
  <c r="ES2" i="139" s="1"/>
  <c r="ET2" i="139" s="1"/>
  <c r="EU2" i="139" s="1"/>
  <c r="EV2" i="139" s="1"/>
  <c r="EW2" i="139" s="1"/>
  <c r="EX2" i="139" s="1"/>
  <c r="EY2" i="139" s="1"/>
  <c r="EZ2" i="139" s="1"/>
  <c r="FA2" i="139" s="1"/>
  <c r="FB2" i="139" s="1"/>
  <c r="FC2" i="139" s="1"/>
  <c r="FD2" i="139" s="1"/>
  <c r="FE2" i="139" s="1"/>
  <c r="FF2" i="139" s="1"/>
  <c r="EI16" i="139"/>
  <c r="CB16" i="139" s="1"/>
  <c r="EI18" i="139"/>
  <c r="CB18" i="139" s="1"/>
  <c r="EI24" i="139"/>
  <c r="CB24" i="139" s="1"/>
  <c r="EI14" i="139"/>
  <c r="CB14" i="139" s="1"/>
  <c r="EI21" i="139"/>
  <c r="CB21" i="139" s="1"/>
  <c r="EI20" i="139"/>
  <c r="CB20" i="139" s="1"/>
  <c r="EI23" i="139"/>
  <c r="CB23" i="139" s="1"/>
  <c r="EI8" i="139"/>
  <c r="CB8" i="139" s="1"/>
  <c r="EI12" i="139"/>
  <c r="CB12" i="139" s="1"/>
  <c r="J7" i="139"/>
  <c r="L7" i="139"/>
  <c r="FH7" i="139"/>
  <c r="J15" i="139"/>
  <c r="L15" i="139"/>
  <c r="FH15" i="139"/>
  <c r="J10" i="139"/>
  <c r="FH10" i="139"/>
  <c r="L10" i="139"/>
  <c r="J11" i="139"/>
  <c r="L11" i="139"/>
  <c r="FH11" i="139"/>
  <c r="J14" i="139"/>
  <c r="FH14" i="139"/>
  <c r="L14" i="139"/>
  <c r="J9" i="139"/>
  <c r="L9" i="139"/>
  <c r="FH9" i="139"/>
  <c r="J23" i="139"/>
  <c r="FH23" i="139"/>
  <c r="L23" i="139"/>
  <c r="J17" i="139"/>
  <c r="FH17" i="139"/>
  <c r="L17" i="139"/>
  <c r="J18" i="139"/>
  <c r="L18" i="139"/>
  <c r="FH18" i="139"/>
  <c r="J8" i="139"/>
  <c r="L8" i="139"/>
  <c r="FH8" i="139"/>
  <c r="J20" i="139"/>
  <c r="FH20" i="139"/>
  <c r="L20" i="139"/>
  <c r="J6" i="139"/>
  <c r="L6" i="139"/>
  <c r="FH6" i="139"/>
  <c r="J23" i="136"/>
  <c r="L23" i="136"/>
  <c r="FH23" i="136"/>
  <c r="J21" i="136"/>
  <c r="L21" i="136"/>
  <c r="FH21" i="136"/>
  <c r="J12" i="136"/>
  <c r="L12" i="136"/>
  <c r="FH12" i="136"/>
  <c r="J12" i="137"/>
  <c r="FH12" i="137"/>
  <c r="L12" i="137"/>
  <c r="J11" i="137"/>
  <c r="L11" i="137"/>
  <c r="FH11" i="137"/>
  <c r="J15" i="137"/>
  <c r="FH15" i="137"/>
  <c r="L15" i="137"/>
  <c r="J20" i="136"/>
  <c r="L20" i="136"/>
  <c r="FH20" i="136"/>
  <c r="J10" i="136"/>
  <c r="FH10" i="136"/>
  <c r="L10" i="136"/>
  <c r="J19" i="136"/>
  <c r="FH19" i="136"/>
  <c r="L19" i="136"/>
  <c r="J6" i="137"/>
  <c r="L6" i="137"/>
  <c r="FH6" i="137"/>
  <c r="J23" i="137"/>
  <c r="L23" i="137"/>
  <c r="FH23" i="137"/>
  <c r="J20" i="137"/>
  <c r="FH20" i="137"/>
  <c r="L20" i="137"/>
  <c r="J9" i="136"/>
  <c r="FH9" i="136"/>
  <c r="L9" i="136"/>
  <c r="L11" i="136"/>
  <c r="FH11" i="136"/>
  <c r="EI16" i="137"/>
  <c r="CB16" i="137" s="1"/>
  <c r="EI12" i="137"/>
  <c r="CB12" i="137" s="1"/>
  <c r="EI19" i="137"/>
  <c r="CB19" i="137" s="1"/>
  <c r="EI17" i="137"/>
  <c r="CB17" i="137" s="1"/>
  <c r="EI14" i="137"/>
  <c r="CB14" i="137" s="1"/>
  <c r="EI15" i="137"/>
  <c r="CB15" i="137" s="1"/>
  <c r="EI6" i="137"/>
  <c r="CB6" i="137" s="1"/>
  <c r="EI24" i="137"/>
  <c r="CB24" i="137" s="1"/>
  <c r="EI13" i="137"/>
  <c r="CB13" i="137" s="1"/>
  <c r="EI8" i="137"/>
  <c r="CB8" i="137" s="1"/>
  <c r="EI23" i="137"/>
  <c r="CB23" i="137" s="1"/>
  <c r="EI20" i="137"/>
  <c r="CB20" i="137" s="1"/>
  <c r="EI2" i="137"/>
  <c r="EJ2" i="137" s="1"/>
  <c r="EK2" i="137" s="1"/>
  <c r="EL2" i="137" s="1"/>
  <c r="EM2" i="137" s="1"/>
  <c r="EN2" i="137" s="1"/>
  <c r="EO2" i="137" s="1"/>
  <c r="EP2" i="137" s="1"/>
  <c r="EQ2" i="137" s="1"/>
  <c r="ER2" i="137" s="1"/>
  <c r="ES2" i="137" s="1"/>
  <c r="ET2" i="137" s="1"/>
  <c r="EU2" i="137" s="1"/>
  <c r="EV2" i="137" s="1"/>
  <c r="EW2" i="137" s="1"/>
  <c r="EX2" i="137" s="1"/>
  <c r="EY2" i="137" s="1"/>
  <c r="EZ2" i="137" s="1"/>
  <c r="FA2" i="137" s="1"/>
  <c r="FB2" i="137" s="1"/>
  <c r="FC2" i="137" s="1"/>
  <c r="FD2" i="137" s="1"/>
  <c r="FE2" i="137" s="1"/>
  <c r="FF2" i="137" s="1"/>
  <c r="EI22" i="137"/>
  <c r="CB22" i="137" s="1"/>
  <c r="EI18" i="137"/>
  <c r="CB18" i="137" s="1"/>
  <c r="EI7" i="137"/>
  <c r="CB7" i="137" s="1"/>
  <c r="EI21" i="137"/>
  <c r="CB21" i="137" s="1"/>
  <c r="EI11" i="137"/>
  <c r="CB11" i="137" s="1"/>
  <c r="EI9" i="137"/>
  <c r="CB9" i="137" s="1"/>
  <c r="J9" i="137"/>
  <c r="L9" i="137"/>
  <c r="FH9" i="137"/>
  <c r="J13" i="137"/>
  <c r="FH13" i="137"/>
  <c r="L13" i="137"/>
  <c r="J16" i="137"/>
  <c r="FH16" i="137"/>
  <c r="L16" i="137"/>
  <c r="J24" i="136"/>
  <c r="FH24" i="136"/>
  <c r="L24" i="136"/>
  <c r="J22" i="136"/>
  <c r="FH22" i="136"/>
  <c r="L22" i="136"/>
  <c r="CL18" i="137"/>
  <c r="CL10" i="137"/>
  <c r="CL16" i="137"/>
  <c r="CL17" i="137"/>
  <c r="CL19" i="137"/>
  <c r="CL9" i="137"/>
  <c r="CL24" i="137"/>
  <c r="CL15" i="137"/>
  <c r="CL8" i="137"/>
  <c r="CL23" i="137"/>
  <c r="CL14" i="137"/>
  <c r="CL7" i="137"/>
  <c r="CL22" i="137"/>
  <c r="CL13" i="137"/>
  <c r="CL6" i="137"/>
  <c r="CL21" i="137"/>
  <c r="CL11" i="137"/>
  <c r="EJ1" i="137"/>
  <c r="CL20" i="137"/>
  <c r="CL12" i="137"/>
  <c r="J10" i="137"/>
  <c r="L10" i="137"/>
  <c r="FH10" i="137"/>
  <c r="J24" i="137"/>
  <c r="L24" i="137"/>
  <c r="FH24" i="137"/>
  <c r="FH17" i="137"/>
  <c r="L17" i="137"/>
  <c r="J8" i="136"/>
  <c r="L8" i="136"/>
  <c r="FH8" i="136"/>
  <c r="J7" i="136"/>
  <c r="L7" i="136"/>
  <c r="FH7" i="136"/>
  <c r="CM1" i="137"/>
  <c r="CN2" i="137"/>
  <c r="J18" i="137"/>
  <c r="FH18" i="137"/>
  <c r="L18" i="137"/>
  <c r="J7" i="137"/>
  <c r="L7" i="137"/>
  <c r="FH7" i="137"/>
  <c r="J17" i="136"/>
  <c r="FH17" i="136"/>
  <c r="L17" i="136"/>
  <c r="J16" i="136"/>
  <c r="FH16" i="136"/>
  <c r="L16" i="136"/>
  <c r="DJ24" i="137"/>
  <c r="DJ18" i="137"/>
  <c r="DJ14" i="137"/>
  <c r="DJ23" i="137"/>
  <c r="DJ15" i="137"/>
  <c r="DJ8" i="137"/>
  <c r="DJ22" i="137"/>
  <c r="DJ11" i="137"/>
  <c r="DJ7" i="137"/>
  <c r="DJ21" i="137"/>
  <c r="DJ17" i="137"/>
  <c r="DJ2" i="137"/>
  <c r="DK2" i="137" s="1"/>
  <c r="DJ16" i="137"/>
  <c r="DJ12" i="137"/>
  <c r="DJ19" i="137"/>
  <c r="DJ10" i="137"/>
  <c r="DJ20" i="137"/>
  <c r="DJ6" i="137"/>
  <c r="DJ13" i="137"/>
  <c r="DJ9" i="137"/>
  <c r="DJ24" i="136"/>
  <c r="DJ16" i="136"/>
  <c r="DJ14" i="136"/>
  <c r="DJ23" i="136"/>
  <c r="DJ10" i="136"/>
  <c r="DJ7" i="136"/>
  <c r="DJ22" i="136"/>
  <c r="DJ13" i="136"/>
  <c r="DJ6" i="136"/>
  <c r="DJ21" i="136"/>
  <c r="DJ12" i="136"/>
  <c r="DJ2" i="136"/>
  <c r="DK2" i="136" s="1"/>
  <c r="DJ20" i="136"/>
  <c r="DJ9" i="136"/>
  <c r="DJ17" i="136"/>
  <c r="DJ8" i="136"/>
  <c r="DJ19" i="136"/>
  <c r="DJ18" i="136"/>
  <c r="DJ15" i="136"/>
  <c r="DJ11" i="136"/>
  <c r="J8" i="137"/>
  <c r="FH8" i="137"/>
  <c r="L8" i="137"/>
  <c r="J19" i="137"/>
  <c r="FH19" i="137"/>
  <c r="L19" i="137"/>
  <c r="J11" i="136"/>
  <c r="J15" i="136"/>
  <c r="FH15" i="136"/>
  <c r="L15" i="136"/>
  <c r="J18" i="136"/>
  <c r="L18" i="136"/>
  <c r="FH18" i="136"/>
  <c r="CL23" i="136"/>
  <c r="CL14" i="136"/>
  <c r="EJ1" i="136"/>
  <c r="CL22" i="136"/>
  <c r="CL13" i="136"/>
  <c r="CL11" i="136"/>
  <c r="CL21" i="136"/>
  <c r="CL9" i="136"/>
  <c r="CL10" i="136"/>
  <c r="CL20" i="136"/>
  <c r="CL8" i="136"/>
  <c r="CL16" i="136"/>
  <c r="CL12" i="136"/>
  <c r="CL18" i="136"/>
  <c r="CL19" i="136"/>
  <c r="CL17" i="136"/>
  <c r="CL7" i="136"/>
  <c r="CL24" i="136"/>
  <c r="CL15" i="136"/>
  <c r="CL6" i="136"/>
  <c r="EI18" i="136"/>
  <c r="CB18" i="136" s="1"/>
  <c r="EI13" i="136"/>
  <c r="CB13" i="136" s="1"/>
  <c r="EI17" i="136"/>
  <c r="CB17" i="136" s="1"/>
  <c r="EI15" i="136"/>
  <c r="CB15" i="136" s="1"/>
  <c r="EI24" i="136"/>
  <c r="CB24" i="136" s="1"/>
  <c r="EI14" i="136"/>
  <c r="CB14" i="136" s="1"/>
  <c r="EI16" i="136"/>
  <c r="CB16" i="136" s="1"/>
  <c r="EI23" i="136"/>
  <c r="CB23" i="136" s="1"/>
  <c r="EI12" i="136"/>
  <c r="CB12" i="136" s="1"/>
  <c r="EI7" i="136"/>
  <c r="CB7" i="136" s="1"/>
  <c r="EI22" i="136"/>
  <c r="CB22" i="136" s="1"/>
  <c r="EI11" i="136"/>
  <c r="CB11" i="136" s="1"/>
  <c r="EI6" i="136"/>
  <c r="CB6" i="136" s="1"/>
  <c r="EI21" i="136"/>
  <c r="CB21" i="136" s="1"/>
  <c r="EI2" i="136"/>
  <c r="EJ2" i="136" s="1"/>
  <c r="EK2" i="136" s="1"/>
  <c r="EL2" i="136" s="1"/>
  <c r="EM2" i="136" s="1"/>
  <c r="EN2" i="136" s="1"/>
  <c r="EO2" i="136" s="1"/>
  <c r="EP2" i="136" s="1"/>
  <c r="EQ2" i="136" s="1"/>
  <c r="ER2" i="136" s="1"/>
  <c r="ES2" i="136" s="1"/>
  <c r="ET2" i="136" s="1"/>
  <c r="EU2" i="136" s="1"/>
  <c r="EV2" i="136" s="1"/>
  <c r="EW2" i="136" s="1"/>
  <c r="EX2" i="136" s="1"/>
  <c r="EY2" i="136" s="1"/>
  <c r="EZ2" i="136" s="1"/>
  <c r="FA2" i="136" s="1"/>
  <c r="FB2" i="136" s="1"/>
  <c r="FC2" i="136" s="1"/>
  <c r="FD2" i="136" s="1"/>
  <c r="FE2" i="136" s="1"/>
  <c r="FF2" i="136" s="1"/>
  <c r="EI20" i="136"/>
  <c r="CB20" i="136" s="1"/>
  <c r="EI9" i="136"/>
  <c r="CB9" i="136" s="1"/>
  <c r="EI19" i="136"/>
  <c r="CB19" i="136" s="1"/>
  <c r="EI8" i="136"/>
  <c r="CB8" i="136" s="1"/>
  <c r="J14" i="137"/>
  <c r="FH14" i="137"/>
  <c r="L14" i="137"/>
  <c r="J17" i="137"/>
  <c r="J13" i="136"/>
  <c r="FH13" i="136"/>
  <c r="L13" i="136"/>
  <c r="J14" i="136"/>
  <c r="L14" i="136"/>
  <c r="FH14" i="136"/>
  <c r="J6" i="136"/>
  <c r="FH6" i="136"/>
  <c r="L6" i="136"/>
  <c r="CM1" i="136"/>
  <c r="CN2" i="136"/>
  <c r="J21" i="137"/>
  <c r="FH21" i="137"/>
  <c r="L21" i="137"/>
  <c r="J22" i="137"/>
  <c r="L22" i="137"/>
  <c r="FH22" i="137"/>
  <c r="DJ20" i="133"/>
  <c r="DJ15" i="133"/>
  <c r="DJ18" i="133"/>
  <c r="DJ10" i="133"/>
  <c r="DJ9" i="133"/>
  <c r="DJ12" i="133"/>
  <c r="DJ23" i="133"/>
  <c r="DJ6" i="133"/>
  <c r="DJ21" i="133"/>
  <c r="DJ24" i="133"/>
  <c r="DJ11" i="133"/>
  <c r="DJ13" i="133"/>
  <c r="DJ16" i="133"/>
  <c r="DJ14" i="133"/>
  <c r="DJ8" i="133"/>
  <c r="DJ19" i="133"/>
  <c r="DJ22" i="133"/>
  <c r="DJ17" i="133"/>
  <c r="DJ7" i="133"/>
  <c r="EI2" i="132"/>
  <c r="EJ2" i="132" s="1"/>
  <c r="EK2" i="132" s="1"/>
  <c r="EL2" i="132" s="1"/>
  <c r="EM2" i="132" s="1"/>
  <c r="EN2" i="132" s="1"/>
  <c r="EO2" i="132" s="1"/>
  <c r="EP2" i="132" s="1"/>
  <c r="EQ2" i="132" s="1"/>
  <c r="ER2" i="132" s="1"/>
  <c r="ES2" i="132" s="1"/>
  <c r="ET2" i="132" s="1"/>
  <c r="EU2" i="132" s="1"/>
  <c r="EV2" i="132" s="1"/>
  <c r="EW2" i="132" s="1"/>
  <c r="EX2" i="132" s="1"/>
  <c r="EY2" i="132" s="1"/>
  <c r="EZ2" i="132" s="1"/>
  <c r="FA2" i="132" s="1"/>
  <c r="FB2" i="132" s="1"/>
  <c r="FC2" i="132" s="1"/>
  <c r="FD2" i="132" s="1"/>
  <c r="FE2" i="132" s="1"/>
  <c r="FF2" i="132" s="1"/>
  <c r="EI20" i="132"/>
  <c r="CB20" i="132" s="1"/>
  <c r="EI11" i="132"/>
  <c r="CB11" i="132" s="1"/>
  <c r="EI7" i="132"/>
  <c r="CB7" i="132" s="1"/>
  <c r="EI16" i="132"/>
  <c r="CB16" i="132" s="1"/>
  <c r="EI23" i="132"/>
  <c r="CB23" i="132" s="1"/>
  <c r="EI19" i="132"/>
  <c r="CB19" i="132" s="1"/>
  <c r="EI12" i="132"/>
  <c r="CB12" i="132" s="1"/>
  <c r="EI9" i="132"/>
  <c r="CB9" i="132" s="1"/>
  <c r="EI13" i="132"/>
  <c r="CB13" i="132" s="1"/>
  <c r="EI22" i="132"/>
  <c r="CB22" i="132" s="1"/>
  <c r="EI21" i="132"/>
  <c r="CB21" i="132" s="1"/>
  <c r="EI8" i="132"/>
  <c r="CB8" i="132" s="1"/>
  <c r="EI24" i="132"/>
  <c r="CB24" i="132" s="1"/>
  <c r="EI6" i="132"/>
  <c r="CB6" i="132" s="1"/>
  <c r="EI18" i="132"/>
  <c r="CB18" i="132" s="1"/>
  <c r="EI14" i="132"/>
  <c r="CB14" i="132" s="1"/>
  <c r="EI15" i="132"/>
  <c r="CB15" i="132" s="1"/>
  <c r="EI17" i="132"/>
  <c r="CB17" i="132" s="1"/>
  <c r="J20" i="132"/>
  <c r="FH20" i="132"/>
  <c r="L20" i="132"/>
  <c r="J23" i="132"/>
  <c r="L23" i="132"/>
  <c r="FH23" i="132"/>
  <c r="J19" i="132"/>
  <c r="FH19" i="132"/>
  <c r="L19" i="132"/>
  <c r="J10" i="133"/>
  <c r="FH10" i="133"/>
  <c r="L10" i="133"/>
  <c r="J17" i="133"/>
  <c r="L17" i="133"/>
  <c r="FH17" i="133"/>
  <c r="J18" i="133"/>
  <c r="FH18" i="133"/>
  <c r="L18" i="133"/>
  <c r="CN2" i="132"/>
  <c r="CM1" i="132"/>
  <c r="J11" i="132"/>
  <c r="FH11" i="132"/>
  <c r="L11" i="132"/>
  <c r="J7" i="133"/>
  <c r="FH7" i="133"/>
  <c r="L7" i="133"/>
  <c r="J17" i="132"/>
  <c r="FH17" i="132"/>
  <c r="L17" i="132"/>
  <c r="J21" i="133"/>
  <c r="FH21" i="133"/>
  <c r="L21" i="133"/>
  <c r="J10" i="132"/>
  <c r="FH10" i="132"/>
  <c r="L10" i="132"/>
  <c r="J9" i="132"/>
  <c r="L9" i="132"/>
  <c r="FH9" i="132"/>
  <c r="J18" i="132"/>
  <c r="L18" i="132"/>
  <c r="FH18" i="132"/>
  <c r="J23" i="133"/>
  <c r="FH23" i="133"/>
  <c r="L23" i="133"/>
  <c r="J9" i="133"/>
  <c r="L9" i="133"/>
  <c r="FH9" i="133"/>
  <c r="J12" i="133"/>
  <c r="FH12" i="133"/>
  <c r="L12" i="133"/>
  <c r="J16" i="132"/>
  <c r="FH16" i="132"/>
  <c r="L16" i="132"/>
  <c r="J12" i="132"/>
  <c r="L12" i="132"/>
  <c r="FH12" i="132"/>
  <c r="J13" i="132"/>
  <c r="FH13" i="132"/>
  <c r="L13" i="132"/>
  <c r="J7" i="132"/>
  <c r="FH7" i="132"/>
  <c r="L7" i="132"/>
  <c r="J11" i="133"/>
  <c r="FH11" i="133"/>
  <c r="L11" i="133"/>
  <c r="J22" i="133"/>
  <c r="L22" i="133"/>
  <c r="FH22" i="133"/>
  <c r="J20" i="133"/>
  <c r="FH20" i="133"/>
  <c r="L20" i="133"/>
  <c r="K27" i="132"/>
  <c r="CL21" i="132"/>
  <c r="CL16" i="132"/>
  <c r="CL7" i="132"/>
  <c r="CL12" i="132"/>
  <c r="CL24" i="132"/>
  <c r="CL18" i="132"/>
  <c r="CL20" i="132"/>
  <c r="CL14" i="132"/>
  <c r="CL11" i="132"/>
  <c r="EJ1" i="132"/>
  <c r="CL15" i="132"/>
  <c r="CL8" i="132"/>
  <c r="CL13" i="132"/>
  <c r="CL17" i="132"/>
  <c r="CL9" i="132"/>
  <c r="CL19" i="132"/>
  <c r="CL10" i="132"/>
  <c r="CL6" i="132"/>
  <c r="CL23" i="132"/>
  <c r="CL22" i="132"/>
  <c r="J14" i="132"/>
  <c r="L14" i="132"/>
  <c r="FH14" i="132"/>
  <c r="J24" i="132"/>
  <c r="L24" i="132"/>
  <c r="FH24" i="132"/>
  <c r="J21" i="132"/>
  <c r="L21" i="132"/>
  <c r="FH21" i="132"/>
  <c r="J13" i="133"/>
  <c r="FH13" i="133"/>
  <c r="L13" i="133"/>
  <c r="J14" i="133"/>
  <c r="FH14" i="133"/>
  <c r="L14" i="133"/>
  <c r="J15" i="133"/>
  <c r="FH15" i="133"/>
  <c r="L15" i="133"/>
  <c r="DJ2" i="132"/>
  <c r="DK2" i="132" s="1"/>
  <c r="DJ22" i="132"/>
  <c r="DJ11" i="132"/>
  <c r="DJ6" i="132"/>
  <c r="DJ15" i="132"/>
  <c r="DJ7" i="132"/>
  <c r="DJ23" i="132"/>
  <c r="DJ19" i="132"/>
  <c r="DJ14" i="132"/>
  <c r="DJ10" i="132"/>
  <c r="DJ17" i="132"/>
  <c r="DJ20" i="132"/>
  <c r="DJ21" i="132"/>
  <c r="DJ18" i="132"/>
  <c r="DJ8" i="132"/>
  <c r="DJ16" i="132"/>
  <c r="DJ12" i="132"/>
  <c r="DJ9" i="132"/>
  <c r="DJ24" i="132"/>
  <c r="DJ13" i="132"/>
  <c r="J22" i="132"/>
  <c r="FH22" i="132"/>
  <c r="L22" i="132"/>
  <c r="J15" i="132"/>
  <c r="L15" i="132"/>
  <c r="FH15" i="132"/>
  <c r="J8" i="133"/>
  <c r="FH8" i="133"/>
  <c r="L8" i="133"/>
  <c r="J16" i="133"/>
  <c r="L16" i="133"/>
  <c r="FH16" i="133"/>
  <c r="CL22" i="133"/>
  <c r="CL15" i="133"/>
  <c r="CL8" i="133"/>
  <c r="CL7" i="133"/>
  <c r="CL11" i="133"/>
  <c r="CL20" i="133"/>
  <c r="CL13" i="133"/>
  <c r="CL14" i="133"/>
  <c r="CL21" i="133"/>
  <c r="CL9" i="133"/>
  <c r="CL6" i="133"/>
  <c r="CL12" i="133"/>
  <c r="CL16" i="133"/>
  <c r="CL17" i="133"/>
  <c r="CL23" i="133"/>
  <c r="EJ1" i="133"/>
  <c r="CL19" i="133"/>
  <c r="CL10" i="133"/>
  <c r="CL24" i="133"/>
  <c r="CL18" i="133"/>
  <c r="J19" i="133"/>
  <c r="FH19" i="133"/>
  <c r="L19" i="133"/>
  <c r="J6" i="132"/>
  <c r="E28" i="132"/>
  <c r="I32" i="132"/>
  <c r="E30" i="132"/>
  <c r="I29" i="132"/>
  <c r="I30" i="132"/>
  <c r="I28" i="132"/>
  <c r="I27" i="132"/>
  <c r="E29" i="132"/>
  <c r="L6" i="132"/>
  <c r="FH6" i="132"/>
  <c r="J8" i="132"/>
  <c r="FH8" i="132"/>
  <c r="L8" i="132"/>
  <c r="J24" i="133"/>
  <c r="FH24" i="133"/>
  <c r="L24" i="133"/>
  <c r="J6" i="133"/>
  <c r="FH6" i="133"/>
  <c r="L6" i="133"/>
  <c r="CN2" i="133"/>
  <c r="CM1" i="133"/>
  <c r="DL2" i="133"/>
  <c r="DK1" i="133"/>
  <c r="DU1" i="124"/>
  <c r="DV2" i="124"/>
  <c r="DT19" i="124"/>
  <c r="CC19" i="124" s="1"/>
  <c r="DT18" i="124"/>
  <c r="CC18" i="124" s="1"/>
  <c r="DT8" i="124"/>
  <c r="CC8" i="124" s="1"/>
  <c r="DT23" i="124"/>
  <c r="CC23" i="124" s="1"/>
  <c r="DT16" i="124"/>
  <c r="CC16" i="124" s="1"/>
  <c r="DT6" i="124"/>
  <c r="CC6" i="124" s="1"/>
  <c r="DT11" i="124"/>
  <c r="CC11" i="124" s="1"/>
  <c r="DT14" i="124"/>
  <c r="CC14" i="124" s="1"/>
  <c r="DT15" i="124"/>
  <c r="CC15" i="124" s="1"/>
  <c r="DT24" i="124"/>
  <c r="CC24" i="124" s="1"/>
  <c r="DT21" i="124"/>
  <c r="CC21" i="124" s="1"/>
  <c r="DT22" i="124"/>
  <c r="CC22" i="124" s="1"/>
  <c r="DT9" i="124"/>
  <c r="CC9" i="124" s="1"/>
  <c r="DT7" i="124"/>
  <c r="CC7" i="124" s="1"/>
  <c r="DT17" i="124"/>
  <c r="CC17" i="124" s="1"/>
  <c r="DT13" i="124"/>
  <c r="CC13" i="124" s="1"/>
  <c r="DT20" i="124"/>
  <c r="CC20" i="124" s="1"/>
  <c r="DT12" i="124"/>
  <c r="CC12" i="124" s="1"/>
  <c r="DT10" i="124"/>
  <c r="CC10" i="124" s="1"/>
  <c r="CX1" i="124"/>
  <c r="CY2" i="124"/>
  <c r="CW19" i="124"/>
  <c r="CW14" i="124"/>
  <c r="EU1" i="124"/>
  <c r="CW16" i="124"/>
  <c r="CW23" i="124"/>
  <c r="CW18" i="124"/>
  <c r="CW7" i="124"/>
  <c r="CW21" i="124"/>
  <c r="CW22" i="124"/>
  <c r="CW11" i="124"/>
  <c r="CW20" i="124"/>
  <c r="CW9" i="124"/>
  <c r="CW24" i="124"/>
  <c r="CW6" i="124"/>
  <c r="CW8" i="124"/>
  <c r="CW17" i="124"/>
  <c r="CW15" i="124"/>
  <c r="CW13" i="124"/>
  <c r="CW10" i="124"/>
  <c r="CW12" i="124"/>
  <c r="ET24" i="124"/>
  <c r="CH24" i="124" s="1"/>
  <c r="Y24" i="124" s="1"/>
  <c r="Z24" i="124" s="1"/>
  <c r="ET15" i="124"/>
  <c r="CH15" i="124" s="1"/>
  <c r="Y15" i="124" s="1"/>
  <c r="Z15" i="124" s="1"/>
  <c r="ET9" i="124"/>
  <c r="CH9" i="124" s="1"/>
  <c r="Y9" i="124" s="1"/>
  <c r="Z9" i="124" s="1"/>
  <c r="ET20" i="124"/>
  <c r="CH20" i="124" s="1"/>
  <c r="Y20" i="124" s="1"/>
  <c r="Z20" i="124" s="1"/>
  <c r="ET21" i="124"/>
  <c r="CH21" i="124" s="1"/>
  <c r="Y21" i="124" s="1"/>
  <c r="Z21" i="124" s="1"/>
  <c r="ET13" i="124"/>
  <c r="CH13" i="124" s="1"/>
  <c r="Y13" i="124" s="1"/>
  <c r="Z13" i="124" s="1"/>
  <c r="ET7" i="124"/>
  <c r="CH7" i="124" s="1"/>
  <c r="Y7" i="124" s="1"/>
  <c r="Z7" i="124" s="1"/>
  <c r="ET19" i="124"/>
  <c r="CH19" i="124" s="1"/>
  <c r="Y19" i="124" s="1"/>
  <c r="Z19" i="124" s="1"/>
  <c r="ET16" i="124"/>
  <c r="CH16" i="124" s="1"/>
  <c r="Y16" i="124" s="1"/>
  <c r="Z16" i="124" s="1"/>
  <c r="ET18" i="124"/>
  <c r="CH18" i="124" s="1"/>
  <c r="Y18" i="124" s="1"/>
  <c r="Z18" i="124" s="1"/>
  <c r="ET14" i="124"/>
  <c r="CH14" i="124" s="1"/>
  <c r="Y14" i="124" s="1"/>
  <c r="Z14" i="124" s="1"/>
  <c r="ET22" i="124"/>
  <c r="CH22" i="124" s="1"/>
  <c r="Y22" i="124" s="1"/>
  <c r="Z22" i="124" s="1"/>
  <c r="ET11" i="124"/>
  <c r="CH11" i="124" s="1"/>
  <c r="Y11" i="124" s="1"/>
  <c r="Z11" i="124" s="1"/>
  <c r="ET23" i="124"/>
  <c r="CH23" i="124" s="1"/>
  <c r="Y23" i="124" s="1"/>
  <c r="Z23" i="124" s="1"/>
  <c r="ET17" i="124"/>
  <c r="CH17" i="124" s="1"/>
  <c r="Y17" i="124" s="1"/>
  <c r="Z17" i="124" s="1"/>
  <c r="ET6" i="124"/>
  <c r="CH6" i="124" s="1"/>
  <c r="Y6" i="124" s="1"/>
  <c r="Z6" i="124" s="1"/>
  <c r="ET8" i="124"/>
  <c r="CH8" i="124" s="1"/>
  <c r="Y8" i="124" s="1"/>
  <c r="Z8" i="124" s="1"/>
  <c r="ET12" i="124"/>
  <c r="CH12" i="124" s="1"/>
  <c r="ET24" i="121"/>
  <c r="CH24" i="121" s="1"/>
  <c r="Y24" i="121" s="1"/>
  <c r="Z24" i="121" s="1"/>
  <c r="ET15" i="121"/>
  <c r="CH15" i="121" s="1"/>
  <c r="Y15" i="121" s="1"/>
  <c r="Z15" i="121" s="1"/>
  <c r="ET12" i="121"/>
  <c r="CH12" i="121" s="1"/>
  <c r="ET21" i="121"/>
  <c r="CH21" i="121" s="1"/>
  <c r="Y21" i="121" s="1"/>
  <c r="Z21" i="121" s="1"/>
  <c r="ET8" i="121"/>
  <c r="CH8" i="121" s="1"/>
  <c r="Y8" i="121" s="1"/>
  <c r="Z8" i="121" s="1"/>
  <c r="ET11" i="121"/>
  <c r="CH11" i="121" s="1"/>
  <c r="Y11" i="121" s="1"/>
  <c r="Z11" i="121" s="1"/>
  <c r="ET20" i="121"/>
  <c r="CH20" i="121" s="1"/>
  <c r="Y20" i="121" s="1"/>
  <c r="Z20" i="121" s="1"/>
  <c r="ET18" i="121"/>
  <c r="CH18" i="121" s="1"/>
  <c r="Y18" i="121" s="1"/>
  <c r="Z18" i="121" s="1"/>
  <c r="ET14" i="121"/>
  <c r="CH14" i="121" s="1"/>
  <c r="Y14" i="121" s="1"/>
  <c r="Z14" i="121" s="1"/>
  <c r="ET6" i="121"/>
  <c r="CH6" i="121" s="1"/>
  <c r="Y6" i="121" s="1"/>
  <c r="Z6" i="121" s="1"/>
  <c r="ET9" i="121"/>
  <c r="CH9" i="121" s="1"/>
  <c r="Y9" i="121" s="1"/>
  <c r="Z9" i="121" s="1"/>
  <c r="ET22" i="121"/>
  <c r="CH22" i="121" s="1"/>
  <c r="Y22" i="121" s="1"/>
  <c r="Z22" i="121" s="1"/>
  <c r="ET19" i="121"/>
  <c r="CH19" i="121" s="1"/>
  <c r="Y19" i="121" s="1"/>
  <c r="Z19" i="121" s="1"/>
  <c r="ET7" i="121"/>
  <c r="CH7" i="121" s="1"/>
  <c r="Y7" i="121" s="1"/>
  <c r="Z7" i="121" s="1"/>
  <c r="ET16" i="121"/>
  <c r="CH16" i="121" s="1"/>
  <c r="Y16" i="121" s="1"/>
  <c r="Z16" i="121" s="1"/>
  <c r="ET13" i="121"/>
  <c r="CH13" i="121" s="1"/>
  <c r="Y13" i="121" s="1"/>
  <c r="Z13" i="121" s="1"/>
  <c r="ET17" i="121"/>
  <c r="CH17" i="121" s="1"/>
  <c r="Y17" i="121" s="1"/>
  <c r="Z17" i="121" s="1"/>
  <c r="ET23" i="121"/>
  <c r="CH23" i="121" s="1"/>
  <c r="Y23" i="121" s="1"/>
  <c r="Z23" i="121" s="1"/>
  <c r="CW23" i="121"/>
  <c r="CW10" i="121"/>
  <c r="CW19" i="121"/>
  <c r="CW9" i="121"/>
  <c r="CW20" i="121"/>
  <c r="CW15" i="121"/>
  <c r="CW11" i="121"/>
  <c r="CW6" i="121"/>
  <c r="CW16" i="121"/>
  <c r="CW21" i="121"/>
  <c r="EU1" i="121"/>
  <c r="CW7" i="121"/>
  <c r="CW17" i="121"/>
  <c r="CW12" i="121"/>
  <c r="CW18" i="121"/>
  <c r="CW24" i="121"/>
  <c r="CW8" i="121"/>
  <c r="CW22" i="121"/>
  <c r="CW13" i="121"/>
  <c r="CW14" i="121"/>
  <c r="CY2" i="121"/>
  <c r="CX1" i="121"/>
  <c r="DT21" i="121"/>
  <c r="CC21" i="121" s="1"/>
  <c r="DT10" i="121"/>
  <c r="CC10" i="121" s="1"/>
  <c r="DT8" i="121"/>
  <c r="CC8" i="121" s="1"/>
  <c r="DT15" i="121"/>
  <c r="CC15" i="121" s="1"/>
  <c r="DT6" i="121"/>
  <c r="CC6" i="121" s="1"/>
  <c r="DT7" i="121"/>
  <c r="CC7" i="121" s="1"/>
  <c r="DT20" i="121"/>
  <c r="CC20" i="121" s="1"/>
  <c r="DT18" i="121"/>
  <c r="CC18" i="121" s="1"/>
  <c r="DT11" i="121"/>
  <c r="CC11" i="121" s="1"/>
  <c r="DT9" i="121"/>
  <c r="CC9" i="121" s="1"/>
  <c r="DT19" i="121"/>
  <c r="CC19" i="121" s="1"/>
  <c r="DT12" i="121"/>
  <c r="CC12" i="121" s="1"/>
  <c r="DT14" i="121"/>
  <c r="CC14" i="121" s="1"/>
  <c r="DT22" i="121"/>
  <c r="CC22" i="121" s="1"/>
  <c r="DT17" i="121"/>
  <c r="CC17" i="121" s="1"/>
  <c r="DT24" i="121"/>
  <c r="CC24" i="121" s="1"/>
  <c r="DT23" i="121"/>
  <c r="CC23" i="121" s="1"/>
  <c r="DT13" i="121"/>
  <c r="CC13" i="121" s="1"/>
  <c r="DT16" i="121"/>
  <c r="CC16" i="121" s="1"/>
  <c r="DV2" i="121"/>
  <c r="DU1" i="121"/>
  <c r="DT14" i="120"/>
  <c r="CC14" i="120" s="1"/>
  <c r="DT9" i="120"/>
  <c r="CC9" i="120" s="1"/>
  <c r="DT23" i="120"/>
  <c r="CC23" i="120" s="1"/>
  <c r="DT17" i="120"/>
  <c r="CC17" i="120" s="1"/>
  <c r="DT8" i="120"/>
  <c r="CC8" i="120" s="1"/>
  <c r="DT24" i="120"/>
  <c r="CC24" i="120" s="1"/>
  <c r="DT16" i="120"/>
  <c r="CC16" i="120" s="1"/>
  <c r="DT6" i="120"/>
  <c r="CC6" i="120" s="1"/>
  <c r="DT11" i="120"/>
  <c r="CC11" i="120" s="1"/>
  <c r="DT7" i="120"/>
  <c r="CC7" i="120" s="1"/>
  <c r="DT22" i="120"/>
  <c r="CC22" i="120" s="1"/>
  <c r="DT15" i="120"/>
  <c r="CC15" i="120" s="1"/>
  <c r="DT13" i="120"/>
  <c r="CC13" i="120" s="1"/>
  <c r="DT20" i="120"/>
  <c r="CC20" i="120" s="1"/>
  <c r="DT18" i="120"/>
  <c r="CC18" i="120" s="1"/>
  <c r="DT19" i="120"/>
  <c r="CC19" i="120" s="1"/>
  <c r="DT12" i="120"/>
  <c r="CC12" i="120" s="1"/>
  <c r="DT21" i="120"/>
  <c r="CC21" i="120" s="1"/>
  <c r="DT10" i="120"/>
  <c r="CC10" i="120" s="1"/>
  <c r="CW23" i="120"/>
  <c r="CW18" i="120"/>
  <c r="EU1" i="120"/>
  <c r="CW17" i="120"/>
  <c r="CW12" i="120"/>
  <c r="CW15" i="120"/>
  <c r="CW10" i="120"/>
  <c r="CW22" i="120"/>
  <c r="CW19" i="120"/>
  <c r="CW8" i="120"/>
  <c r="CW21" i="120"/>
  <c r="CW14" i="120"/>
  <c r="CW16" i="120"/>
  <c r="CW7" i="120"/>
  <c r="CW24" i="120"/>
  <c r="CW13" i="120"/>
  <c r="CW6" i="120"/>
  <c r="CW20" i="120"/>
  <c r="CW11" i="120"/>
  <c r="CW9" i="120"/>
  <c r="DU1" i="120"/>
  <c r="DV2" i="120"/>
  <c r="ET23" i="120"/>
  <c r="CH23" i="120" s="1"/>
  <c r="Y23" i="120" s="1"/>
  <c r="Z23" i="120" s="1"/>
  <c r="ET14" i="120"/>
  <c r="CH14" i="120" s="1"/>
  <c r="Y14" i="120" s="1"/>
  <c r="Z14" i="120" s="1"/>
  <c r="ET7" i="120"/>
  <c r="CH7" i="120" s="1"/>
  <c r="Y7" i="120" s="1"/>
  <c r="Z7" i="120" s="1"/>
  <c r="ET24" i="120"/>
  <c r="CH24" i="120" s="1"/>
  <c r="Y24" i="120" s="1"/>
  <c r="Z24" i="120" s="1"/>
  <c r="ET18" i="120"/>
  <c r="CH18" i="120" s="1"/>
  <c r="Y18" i="120" s="1"/>
  <c r="Z18" i="120" s="1"/>
  <c r="ET6" i="120"/>
  <c r="CH6" i="120" s="1"/>
  <c r="Y6" i="120" s="1"/>
  <c r="Z6" i="120" s="1"/>
  <c r="ET22" i="120"/>
  <c r="CH22" i="120" s="1"/>
  <c r="Y22" i="120" s="1"/>
  <c r="Z22" i="120" s="1"/>
  <c r="ET13" i="120"/>
  <c r="CH13" i="120" s="1"/>
  <c r="Y13" i="120" s="1"/>
  <c r="Z13" i="120" s="1"/>
  <c r="ET8" i="120"/>
  <c r="CH8" i="120" s="1"/>
  <c r="Y8" i="120" s="1"/>
  <c r="Z8" i="120" s="1"/>
  <c r="ET15" i="120"/>
  <c r="CH15" i="120" s="1"/>
  <c r="Y15" i="120" s="1"/>
  <c r="Z15" i="120" s="1"/>
  <c r="ET9" i="120"/>
  <c r="CH9" i="120" s="1"/>
  <c r="Y9" i="120" s="1"/>
  <c r="Z9" i="120" s="1"/>
  <c r="ET20" i="120"/>
  <c r="CH20" i="120" s="1"/>
  <c r="Y20" i="120" s="1"/>
  <c r="Z20" i="120" s="1"/>
  <c r="ET11" i="120"/>
  <c r="CH11" i="120" s="1"/>
  <c r="Y11" i="120" s="1"/>
  <c r="Z11" i="120" s="1"/>
  <c r="ET21" i="120"/>
  <c r="CH21" i="120" s="1"/>
  <c r="Y21" i="120" s="1"/>
  <c r="Z21" i="120" s="1"/>
  <c r="ET19" i="120"/>
  <c r="CH19" i="120" s="1"/>
  <c r="Y19" i="120" s="1"/>
  <c r="Z19" i="120" s="1"/>
  <c r="ET17" i="120"/>
  <c r="CH17" i="120" s="1"/>
  <c r="Y17" i="120" s="1"/>
  <c r="Z17" i="120" s="1"/>
  <c r="ET12" i="120"/>
  <c r="CH12" i="120" s="1"/>
  <c r="ET16" i="120"/>
  <c r="CH16" i="120" s="1"/>
  <c r="Y16" i="120" s="1"/>
  <c r="Z16" i="120" s="1"/>
  <c r="CX1" i="120"/>
  <c r="CY2" i="120"/>
  <c r="CW20" i="119"/>
  <c r="CW9" i="119"/>
  <c r="EU1" i="119"/>
  <c r="CW12" i="119"/>
  <c r="CW15" i="119"/>
  <c r="CW21" i="119"/>
  <c r="CW10" i="119"/>
  <c r="CW16" i="119"/>
  <c r="CW14" i="119"/>
  <c r="CW22" i="119"/>
  <c r="CW11" i="119"/>
  <c r="CW17" i="119"/>
  <c r="CW13" i="119"/>
  <c r="CW23" i="119"/>
  <c r="CW19" i="119"/>
  <c r="CW6" i="119"/>
  <c r="CW24" i="119"/>
  <c r="CW18" i="119"/>
  <c r="CW8" i="119"/>
  <c r="CW7" i="119"/>
  <c r="DV2" i="119"/>
  <c r="DU1" i="119"/>
  <c r="ET13" i="119"/>
  <c r="CH13" i="119" s="1"/>
  <c r="Y13" i="119" s="1"/>
  <c r="Z13" i="119" s="1"/>
  <c r="ET7" i="119"/>
  <c r="CH7" i="119" s="1"/>
  <c r="Y7" i="119" s="1"/>
  <c r="Z7" i="119" s="1"/>
  <c r="ET19" i="119"/>
  <c r="CH19" i="119" s="1"/>
  <c r="Y19" i="119" s="1"/>
  <c r="Z19" i="119" s="1"/>
  <c r="ET14" i="119"/>
  <c r="CH14" i="119" s="1"/>
  <c r="Y14" i="119" s="1"/>
  <c r="Z14" i="119" s="1"/>
  <c r="ET15" i="119"/>
  <c r="CH15" i="119" s="1"/>
  <c r="Y15" i="119" s="1"/>
  <c r="Z15" i="119" s="1"/>
  <c r="ET9" i="119"/>
  <c r="CH9" i="119" s="1"/>
  <c r="Y9" i="119" s="1"/>
  <c r="Z9" i="119" s="1"/>
  <c r="ET24" i="119"/>
  <c r="CH24" i="119" s="1"/>
  <c r="Y24" i="119" s="1"/>
  <c r="Z24" i="119" s="1"/>
  <c r="ET22" i="119"/>
  <c r="CH22" i="119" s="1"/>
  <c r="Y22" i="119" s="1"/>
  <c r="Z22" i="119" s="1"/>
  <c r="ET18" i="119"/>
  <c r="CH18" i="119" s="1"/>
  <c r="Y18" i="119" s="1"/>
  <c r="Z18" i="119" s="1"/>
  <c r="ET20" i="119"/>
  <c r="CH20" i="119" s="1"/>
  <c r="Y20" i="119" s="1"/>
  <c r="Z20" i="119" s="1"/>
  <c r="ET16" i="119"/>
  <c r="CH16" i="119" s="1"/>
  <c r="Y16" i="119" s="1"/>
  <c r="Z16" i="119" s="1"/>
  <c r="ET6" i="119"/>
  <c r="CH6" i="119" s="1"/>
  <c r="Y6" i="119" s="1"/>
  <c r="Z6" i="119" s="1"/>
  <c r="ET23" i="119"/>
  <c r="CH23" i="119" s="1"/>
  <c r="Y23" i="119" s="1"/>
  <c r="Z23" i="119" s="1"/>
  <c r="ET11" i="119"/>
  <c r="CH11" i="119" s="1"/>
  <c r="Y11" i="119" s="1"/>
  <c r="Z11" i="119" s="1"/>
  <c r="ET21" i="119"/>
  <c r="CH21" i="119" s="1"/>
  <c r="Y21" i="119" s="1"/>
  <c r="Z21" i="119" s="1"/>
  <c r="ET12" i="119"/>
  <c r="CH12" i="119" s="1"/>
  <c r="ET17" i="119"/>
  <c r="CH17" i="119" s="1"/>
  <c r="Y17" i="119" s="1"/>
  <c r="Z17" i="119" s="1"/>
  <c r="ET8" i="119"/>
  <c r="CH8" i="119" s="1"/>
  <c r="Y8" i="119" s="1"/>
  <c r="Z8" i="119" s="1"/>
  <c r="DT24" i="119"/>
  <c r="CC24" i="119" s="1"/>
  <c r="DT13" i="119"/>
  <c r="CC13" i="119" s="1"/>
  <c r="DT9" i="119"/>
  <c r="CC9" i="119" s="1"/>
  <c r="DT17" i="119"/>
  <c r="CC17" i="119" s="1"/>
  <c r="DT11" i="119"/>
  <c r="CC11" i="119" s="1"/>
  <c r="DT14" i="119"/>
  <c r="CC14" i="119" s="1"/>
  <c r="DT22" i="119"/>
  <c r="CC22" i="119" s="1"/>
  <c r="DT19" i="119"/>
  <c r="CC19" i="119" s="1"/>
  <c r="DT23" i="119"/>
  <c r="CC23" i="119" s="1"/>
  <c r="DT7" i="119"/>
  <c r="CC7" i="119" s="1"/>
  <c r="DT20" i="119"/>
  <c r="CC20" i="119" s="1"/>
  <c r="DT18" i="119"/>
  <c r="CC18" i="119" s="1"/>
  <c r="DT6" i="119"/>
  <c r="CC6" i="119" s="1"/>
  <c r="DT21" i="119"/>
  <c r="CC21" i="119" s="1"/>
  <c r="DT8" i="119"/>
  <c r="CC8" i="119" s="1"/>
  <c r="DT16" i="119"/>
  <c r="CC16" i="119" s="1"/>
  <c r="DT12" i="119"/>
  <c r="CC12" i="119" s="1"/>
  <c r="DT15" i="119"/>
  <c r="CC15" i="119" s="1"/>
  <c r="DT10" i="119"/>
  <c r="CC10" i="119" s="1"/>
  <c r="CX1" i="119"/>
  <c r="CY2" i="119"/>
  <c r="ET10" i="109"/>
  <c r="DW2" i="116"/>
  <c r="DV1" i="116"/>
  <c r="CZ2" i="116"/>
  <c r="CY1" i="116"/>
  <c r="DU24" i="116"/>
  <c r="CD24" i="116" s="1"/>
  <c r="DU11" i="116"/>
  <c r="CD11" i="116" s="1"/>
  <c r="DU12" i="116"/>
  <c r="CD12" i="116" s="1"/>
  <c r="DU13" i="116"/>
  <c r="CD13" i="116" s="1"/>
  <c r="DU18" i="116"/>
  <c r="CD18" i="116" s="1"/>
  <c r="DU8" i="116"/>
  <c r="CD8" i="116" s="1"/>
  <c r="DU20" i="116"/>
  <c r="CD20" i="116" s="1"/>
  <c r="DU17" i="116"/>
  <c r="CD17" i="116" s="1"/>
  <c r="DU7" i="116"/>
  <c r="CD7" i="116" s="1"/>
  <c r="DU23" i="116"/>
  <c r="CD23" i="116" s="1"/>
  <c r="DU15" i="116"/>
  <c r="CD15" i="116" s="1"/>
  <c r="DU6" i="116"/>
  <c r="CD6" i="116" s="1"/>
  <c r="DU19" i="116"/>
  <c r="CD19" i="116" s="1"/>
  <c r="DU16" i="116"/>
  <c r="CD16" i="116" s="1"/>
  <c r="DU9" i="116"/>
  <c r="CD9" i="116" s="1"/>
  <c r="DU22" i="116"/>
  <c r="CD22" i="116" s="1"/>
  <c r="DU10" i="116"/>
  <c r="CD10" i="116" s="1"/>
  <c r="DU21" i="116"/>
  <c r="CD21" i="116" s="1"/>
  <c r="DU14" i="116"/>
  <c r="CD14" i="116" s="1"/>
  <c r="EU23" i="116"/>
  <c r="CI23" i="116" s="1"/>
  <c r="Y23" i="116" s="1"/>
  <c r="Z23" i="116" s="1"/>
  <c r="EU11" i="116"/>
  <c r="CI11" i="116" s="1"/>
  <c r="Y11" i="116" s="1"/>
  <c r="Z11" i="116" s="1"/>
  <c r="EU22" i="116"/>
  <c r="CI22" i="116" s="1"/>
  <c r="Y22" i="116" s="1"/>
  <c r="Z22" i="116" s="1"/>
  <c r="EU15" i="116"/>
  <c r="CI15" i="116" s="1"/>
  <c r="Y15" i="116" s="1"/>
  <c r="Z15" i="116" s="1"/>
  <c r="EU19" i="116"/>
  <c r="CI19" i="116" s="1"/>
  <c r="Y19" i="116" s="1"/>
  <c r="Z19" i="116" s="1"/>
  <c r="EU12" i="116"/>
  <c r="CI12" i="116" s="1"/>
  <c r="Y12" i="116" s="1"/>
  <c r="Z12" i="116" s="1"/>
  <c r="EU14" i="116"/>
  <c r="CI14" i="116" s="1"/>
  <c r="Y14" i="116" s="1"/>
  <c r="Z14" i="116" s="1"/>
  <c r="EU16" i="116"/>
  <c r="CI16" i="116" s="1"/>
  <c r="Y16" i="116" s="1"/>
  <c r="Z16" i="116" s="1"/>
  <c r="EU24" i="116"/>
  <c r="CI24" i="116" s="1"/>
  <c r="Y24" i="116" s="1"/>
  <c r="Z24" i="116" s="1"/>
  <c r="EU13" i="116"/>
  <c r="CI13" i="116" s="1"/>
  <c r="Y13" i="116" s="1"/>
  <c r="Z13" i="116" s="1"/>
  <c r="EU21" i="116"/>
  <c r="CI21" i="116" s="1"/>
  <c r="Y21" i="116" s="1"/>
  <c r="Z21" i="116" s="1"/>
  <c r="EU9" i="116"/>
  <c r="CI9" i="116" s="1"/>
  <c r="Y9" i="116" s="1"/>
  <c r="Z9" i="116" s="1"/>
  <c r="EU7" i="116"/>
  <c r="CI7" i="116" s="1"/>
  <c r="Y7" i="116" s="1"/>
  <c r="Z7" i="116" s="1"/>
  <c r="EU18" i="116"/>
  <c r="CI18" i="116" s="1"/>
  <c r="Y18" i="116" s="1"/>
  <c r="Z18" i="116" s="1"/>
  <c r="EU8" i="116"/>
  <c r="CI8" i="116" s="1"/>
  <c r="Y8" i="116" s="1"/>
  <c r="Z8" i="116" s="1"/>
  <c r="EU6" i="116"/>
  <c r="CI6" i="116" s="1"/>
  <c r="Y6" i="116" s="1"/>
  <c r="Z6" i="116" s="1"/>
  <c r="EU20" i="116"/>
  <c r="CI20" i="116" s="1"/>
  <c r="Y20" i="116" s="1"/>
  <c r="Z20" i="116" s="1"/>
  <c r="EU17" i="116"/>
  <c r="CI17" i="116" s="1"/>
  <c r="Y17" i="116" s="1"/>
  <c r="Z17" i="116" s="1"/>
  <c r="CX22" i="116"/>
  <c r="CX16" i="116"/>
  <c r="CX12" i="116"/>
  <c r="CX21" i="116"/>
  <c r="CX17" i="116"/>
  <c r="EV1" i="116"/>
  <c r="CX19" i="116"/>
  <c r="CX11" i="116"/>
  <c r="CX13" i="116"/>
  <c r="CX24" i="116"/>
  <c r="CX10" i="116"/>
  <c r="CX15" i="116"/>
  <c r="CX9" i="116"/>
  <c r="CX20" i="116"/>
  <c r="CX8" i="116"/>
  <c r="CX18" i="116"/>
  <c r="CX7" i="116"/>
  <c r="CX23" i="116"/>
  <c r="CX14" i="116"/>
  <c r="CX6" i="116"/>
  <c r="BQ27" i="92"/>
  <c r="O26" i="92"/>
  <c r="BU13" i="92"/>
  <c r="Q13" i="92" s="1"/>
  <c r="R13" i="92" s="1"/>
  <c r="BW13" i="112"/>
  <c r="BQ13" i="93"/>
  <c r="BQ27" i="93" s="1"/>
  <c r="BS13" i="113"/>
  <c r="EU18" i="112"/>
  <c r="CI18" i="112" s="1"/>
  <c r="Y18" i="112" s="1"/>
  <c r="Z18" i="112" s="1"/>
  <c r="EU6" i="112"/>
  <c r="CI6" i="112" s="1"/>
  <c r="Y6" i="112" s="1"/>
  <c r="Z6" i="112" s="1"/>
  <c r="EU24" i="112"/>
  <c r="CI24" i="112" s="1"/>
  <c r="Y24" i="112" s="1"/>
  <c r="Z24" i="112" s="1"/>
  <c r="EU10" i="112"/>
  <c r="CI10" i="112" s="1"/>
  <c r="EU15" i="112"/>
  <c r="CI15" i="112" s="1"/>
  <c r="Y15" i="112" s="1"/>
  <c r="Z15" i="112" s="1"/>
  <c r="EU21" i="112"/>
  <c r="CI21" i="112" s="1"/>
  <c r="Y21" i="112" s="1"/>
  <c r="Z21" i="112" s="1"/>
  <c r="EU16" i="112"/>
  <c r="CI16" i="112" s="1"/>
  <c r="Y16" i="112" s="1"/>
  <c r="Z16" i="112" s="1"/>
  <c r="EU8" i="112"/>
  <c r="CI8" i="112" s="1"/>
  <c r="Y8" i="112" s="1"/>
  <c r="Z8" i="112" s="1"/>
  <c r="EU17" i="112"/>
  <c r="CI17" i="112" s="1"/>
  <c r="Y17" i="112" s="1"/>
  <c r="Z17" i="112" s="1"/>
  <c r="EU13" i="112"/>
  <c r="CI13" i="112" s="1"/>
  <c r="Y13" i="112" s="1"/>
  <c r="Z13" i="112" s="1"/>
  <c r="EU14" i="112"/>
  <c r="CI14" i="112" s="1"/>
  <c r="Y14" i="112" s="1"/>
  <c r="Z14" i="112" s="1"/>
  <c r="EU22" i="112"/>
  <c r="CI22" i="112" s="1"/>
  <c r="Y22" i="112" s="1"/>
  <c r="Z22" i="112" s="1"/>
  <c r="EU9" i="112"/>
  <c r="CI9" i="112" s="1"/>
  <c r="Y9" i="112" s="1"/>
  <c r="Z9" i="112" s="1"/>
  <c r="EU12" i="112"/>
  <c r="CI12" i="112" s="1"/>
  <c r="Y12" i="112" s="1"/>
  <c r="Z12" i="112" s="1"/>
  <c r="EU20" i="112"/>
  <c r="CI20" i="112" s="1"/>
  <c r="Y20" i="112" s="1"/>
  <c r="Z20" i="112" s="1"/>
  <c r="EU23" i="112"/>
  <c r="CI23" i="112" s="1"/>
  <c r="Y23" i="112" s="1"/>
  <c r="Z23" i="112" s="1"/>
  <c r="EU11" i="112"/>
  <c r="CI11" i="112" s="1"/>
  <c r="Y11" i="112" s="1"/>
  <c r="Z11" i="112" s="1"/>
  <c r="EU7" i="112"/>
  <c r="CI7" i="112" s="1"/>
  <c r="Y7" i="112" s="1"/>
  <c r="Z7" i="112" s="1"/>
  <c r="EU19" i="112"/>
  <c r="CI19" i="112" s="1"/>
  <c r="Y19" i="112" s="1"/>
  <c r="Z19" i="112" s="1"/>
  <c r="CZ2" i="113"/>
  <c r="CY1" i="113"/>
  <c r="BS27" i="112"/>
  <c r="CX16" i="113"/>
  <c r="CX8" i="113"/>
  <c r="CX15" i="113"/>
  <c r="CX13" i="113"/>
  <c r="CX14" i="113"/>
  <c r="CX21" i="113"/>
  <c r="CX12" i="113"/>
  <c r="CX10" i="113"/>
  <c r="CX24" i="113"/>
  <c r="CX20" i="113"/>
  <c r="CX7" i="113"/>
  <c r="CX19" i="113"/>
  <c r="CX22" i="113"/>
  <c r="EV1" i="113"/>
  <c r="CX17" i="113"/>
  <c r="CX23" i="113"/>
  <c r="CX11" i="113"/>
  <c r="CX6" i="113"/>
  <c r="CX18" i="113"/>
  <c r="CX9" i="113"/>
  <c r="CZ2" i="112"/>
  <c r="CY1" i="112"/>
  <c r="DW2" i="113"/>
  <c r="DV1" i="113"/>
  <c r="CX19" i="112"/>
  <c r="CX20" i="112"/>
  <c r="EV1" i="112"/>
  <c r="CX9" i="112"/>
  <c r="CX18" i="112"/>
  <c r="CX16" i="112"/>
  <c r="CX21" i="112"/>
  <c r="CX14" i="112"/>
  <c r="CX17" i="112"/>
  <c r="CX12" i="112"/>
  <c r="CX11" i="112"/>
  <c r="CX7" i="112"/>
  <c r="CX24" i="112"/>
  <c r="CX10" i="112"/>
  <c r="CX13" i="112"/>
  <c r="CX22" i="112"/>
  <c r="CX8" i="112"/>
  <c r="CX6" i="112"/>
  <c r="CX23" i="112"/>
  <c r="CX15" i="112"/>
  <c r="DU14" i="113"/>
  <c r="CD14" i="113" s="1"/>
  <c r="DU21" i="113"/>
  <c r="CD21" i="113" s="1"/>
  <c r="DU20" i="113"/>
  <c r="CD20" i="113" s="1"/>
  <c r="DU15" i="113"/>
  <c r="CD15" i="113" s="1"/>
  <c r="DU12" i="113"/>
  <c r="CD12" i="113" s="1"/>
  <c r="DU10" i="113"/>
  <c r="CD10" i="113" s="1"/>
  <c r="DU8" i="113"/>
  <c r="CD8" i="113" s="1"/>
  <c r="DU17" i="113"/>
  <c r="CD17" i="113" s="1"/>
  <c r="DU9" i="113"/>
  <c r="CD9" i="113" s="1"/>
  <c r="DU18" i="113"/>
  <c r="CD18" i="113" s="1"/>
  <c r="DU24" i="113"/>
  <c r="CD24" i="113" s="1"/>
  <c r="DU16" i="113"/>
  <c r="CD16" i="113" s="1"/>
  <c r="DU13" i="113"/>
  <c r="CD13" i="113" s="1"/>
  <c r="DU23" i="113"/>
  <c r="CD23" i="113" s="1"/>
  <c r="DU22" i="113"/>
  <c r="CD22" i="113" s="1"/>
  <c r="DU11" i="113"/>
  <c r="CD11" i="113" s="1"/>
  <c r="DU6" i="113"/>
  <c r="CD6" i="113" s="1"/>
  <c r="DU19" i="113"/>
  <c r="CD19" i="113" s="1"/>
  <c r="DU7" i="113"/>
  <c r="CD7" i="113" s="1"/>
  <c r="EU16" i="113"/>
  <c r="CI16" i="113" s="1"/>
  <c r="Y16" i="113" s="1"/>
  <c r="Z16" i="113" s="1"/>
  <c r="EU14" i="113"/>
  <c r="CI14" i="113" s="1"/>
  <c r="Y14" i="113" s="1"/>
  <c r="Z14" i="113" s="1"/>
  <c r="EU23" i="113"/>
  <c r="CI23" i="113" s="1"/>
  <c r="Y23" i="113" s="1"/>
  <c r="Z23" i="113" s="1"/>
  <c r="EU11" i="113"/>
  <c r="CI11" i="113" s="1"/>
  <c r="Y11" i="113" s="1"/>
  <c r="Z11" i="113" s="1"/>
  <c r="EU7" i="113"/>
  <c r="CI7" i="113" s="1"/>
  <c r="Y7" i="113" s="1"/>
  <c r="Z7" i="113" s="1"/>
  <c r="EU19" i="113"/>
  <c r="CI19" i="113" s="1"/>
  <c r="Y19" i="113" s="1"/>
  <c r="Z19" i="113" s="1"/>
  <c r="EU22" i="113"/>
  <c r="CI22" i="113" s="1"/>
  <c r="Y22" i="113" s="1"/>
  <c r="Z22" i="113" s="1"/>
  <c r="EU20" i="113"/>
  <c r="CI20" i="113" s="1"/>
  <c r="Y20" i="113" s="1"/>
  <c r="Z20" i="113" s="1"/>
  <c r="EU9" i="113"/>
  <c r="CI9" i="113" s="1"/>
  <c r="Y9" i="113" s="1"/>
  <c r="Z9" i="113" s="1"/>
  <c r="EU17" i="113"/>
  <c r="CI17" i="113" s="1"/>
  <c r="Y17" i="113" s="1"/>
  <c r="Z17" i="113" s="1"/>
  <c r="EU8" i="113"/>
  <c r="CI8" i="113" s="1"/>
  <c r="Y8" i="113" s="1"/>
  <c r="Z8" i="113" s="1"/>
  <c r="EU21" i="113"/>
  <c r="CI21" i="113" s="1"/>
  <c r="Y21" i="113" s="1"/>
  <c r="Z21" i="113" s="1"/>
  <c r="EU15" i="113"/>
  <c r="CI15" i="113" s="1"/>
  <c r="Y15" i="113" s="1"/>
  <c r="Z15" i="113" s="1"/>
  <c r="EU18" i="113"/>
  <c r="CI18" i="113" s="1"/>
  <c r="Y18" i="113" s="1"/>
  <c r="Z18" i="113" s="1"/>
  <c r="EU12" i="113"/>
  <c r="CI12" i="113" s="1"/>
  <c r="Y12" i="113" s="1"/>
  <c r="Z12" i="113" s="1"/>
  <c r="EU13" i="113"/>
  <c r="CI13" i="113" s="1"/>
  <c r="Y13" i="113" s="1"/>
  <c r="Z13" i="113" s="1"/>
  <c r="EU6" i="113"/>
  <c r="CI6" i="113" s="1"/>
  <c r="Y6" i="113" s="1"/>
  <c r="Z6" i="113" s="1"/>
  <c r="EU24" i="113"/>
  <c r="CI24" i="113" s="1"/>
  <c r="Y24" i="113" s="1"/>
  <c r="Z24" i="113" s="1"/>
  <c r="DU16" i="112"/>
  <c r="CD16" i="112" s="1"/>
  <c r="DU15" i="112"/>
  <c r="CD15" i="112" s="1"/>
  <c r="DU9" i="112"/>
  <c r="CD9" i="112" s="1"/>
  <c r="DU20" i="112"/>
  <c r="CD20" i="112" s="1"/>
  <c r="DU8" i="112"/>
  <c r="CD8" i="112" s="1"/>
  <c r="DU17" i="112"/>
  <c r="CD17" i="112" s="1"/>
  <c r="DU22" i="112"/>
  <c r="CD22" i="112" s="1"/>
  <c r="DU23" i="112"/>
  <c r="CD23" i="112" s="1"/>
  <c r="DU7" i="112"/>
  <c r="CD7" i="112" s="1"/>
  <c r="DU13" i="112"/>
  <c r="CD13" i="112" s="1"/>
  <c r="DU19" i="112"/>
  <c r="CD19" i="112" s="1"/>
  <c r="DU14" i="112"/>
  <c r="CD14" i="112" s="1"/>
  <c r="DU18" i="112"/>
  <c r="CD18" i="112" s="1"/>
  <c r="DU6" i="112"/>
  <c r="CD6" i="112" s="1"/>
  <c r="DU24" i="112"/>
  <c r="CD24" i="112" s="1"/>
  <c r="DU12" i="112"/>
  <c r="CD12" i="112" s="1"/>
  <c r="DU11" i="112"/>
  <c r="CD11" i="112" s="1"/>
  <c r="DU21" i="112"/>
  <c r="CD21" i="112" s="1"/>
  <c r="DU10" i="112"/>
  <c r="CD10" i="112" s="1"/>
  <c r="DW2" i="112"/>
  <c r="DV1" i="112"/>
  <c r="Q30" i="89"/>
  <c r="Q28" i="89"/>
  <c r="BU28" i="90"/>
  <c r="BW10" i="109"/>
  <c r="BW27" i="109" s="1"/>
  <c r="Q10" i="90"/>
  <c r="R10" i="90" s="1"/>
  <c r="Q28" i="90" s="1"/>
  <c r="CX21" i="109"/>
  <c r="CX9" i="109"/>
  <c r="CX20" i="109"/>
  <c r="CX8" i="109"/>
  <c r="CX24" i="109"/>
  <c r="CX11" i="109"/>
  <c r="CX19" i="109"/>
  <c r="CX7" i="109"/>
  <c r="CX13" i="109"/>
  <c r="CX18" i="109"/>
  <c r="CX6" i="109"/>
  <c r="CX15" i="109"/>
  <c r="CX14" i="109"/>
  <c r="CX23" i="109"/>
  <c r="CX17" i="109"/>
  <c r="EV1" i="109"/>
  <c r="CX12" i="109"/>
  <c r="CX16" i="109"/>
  <c r="CX22" i="109"/>
  <c r="CX10" i="109"/>
  <c r="ER10" i="108"/>
  <c r="ET17" i="108"/>
  <c r="CH17" i="108" s="1"/>
  <c r="Y17" i="108" s="1"/>
  <c r="Z17" i="108" s="1"/>
  <c r="ET23" i="108"/>
  <c r="CH23" i="108" s="1"/>
  <c r="Y23" i="108" s="1"/>
  <c r="Z23" i="108" s="1"/>
  <c r="ET21" i="108"/>
  <c r="CH21" i="108" s="1"/>
  <c r="Y21" i="108" s="1"/>
  <c r="Z21" i="108" s="1"/>
  <c r="ET16" i="108"/>
  <c r="CH16" i="108" s="1"/>
  <c r="Y16" i="108" s="1"/>
  <c r="Z16" i="108" s="1"/>
  <c r="ET15" i="108"/>
  <c r="CH15" i="108" s="1"/>
  <c r="Y15" i="108" s="1"/>
  <c r="Z15" i="108" s="1"/>
  <c r="ET22" i="108"/>
  <c r="CH22" i="108" s="1"/>
  <c r="Y22" i="108" s="1"/>
  <c r="Z22" i="108" s="1"/>
  <c r="ET9" i="108"/>
  <c r="CH9" i="108" s="1"/>
  <c r="Y9" i="108" s="1"/>
  <c r="Z9" i="108" s="1"/>
  <c r="ET18" i="108"/>
  <c r="CH18" i="108" s="1"/>
  <c r="Y18" i="108" s="1"/>
  <c r="Z18" i="108" s="1"/>
  <c r="ET14" i="108"/>
  <c r="CH14" i="108" s="1"/>
  <c r="Y14" i="108" s="1"/>
  <c r="Z14" i="108" s="1"/>
  <c r="ET11" i="108"/>
  <c r="CH11" i="108" s="1"/>
  <c r="Y11" i="108" s="1"/>
  <c r="Z11" i="108" s="1"/>
  <c r="ET8" i="108"/>
  <c r="CH8" i="108" s="1"/>
  <c r="Y8" i="108" s="1"/>
  <c r="Z8" i="108" s="1"/>
  <c r="ET19" i="108"/>
  <c r="CH19" i="108" s="1"/>
  <c r="Y19" i="108" s="1"/>
  <c r="Z19" i="108" s="1"/>
  <c r="ET7" i="108"/>
  <c r="CH7" i="108" s="1"/>
  <c r="Y7" i="108" s="1"/>
  <c r="Z7" i="108" s="1"/>
  <c r="ET13" i="108"/>
  <c r="CH13" i="108" s="1"/>
  <c r="Y13" i="108" s="1"/>
  <c r="Z13" i="108" s="1"/>
  <c r="ET20" i="108"/>
  <c r="CH20" i="108" s="1"/>
  <c r="Y20" i="108" s="1"/>
  <c r="Z20" i="108" s="1"/>
  <c r="ET6" i="108"/>
  <c r="CH6" i="108" s="1"/>
  <c r="Y6" i="108" s="1"/>
  <c r="Z6" i="108" s="1"/>
  <c r="ET24" i="108"/>
  <c r="CH24" i="108" s="1"/>
  <c r="Y24" i="108" s="1"/>
  <c r="Z24" i="108" s="1"/>
  <c r="ET12" i="108"/>
  <c r="CH12" i="108" s="1"/>
  <c r="Y12" i="108" s="1"/>
  <c r="Z12" i="108" s="1"/>
  <c r="ET10" i="108"/>
  <c r="CH10" i="108" s="1"/>
  <c r="CW19" i="108"/>
  <c r="CW7" i="108"/>
  <c r="CW10" i="108"/>
  <c r="CW8" i="108"/>
  <c r="CW18" i="108"/>
  <c r="CW6" i="108"/>
  <c r="CW13" i="108"/>
  <c r="CW21" i="108"/>
  <c r="CW17" i="108"/>
  <c r="EU1" i="108"/>
  <c r="CW16" i="108"/>
  <c r="CW11" i="108"/>
  <c r="CW15" i="108"/>
  <c r="CW24" i="108"/>
  <c r="CW12" i="108"/>
  <c r="CW23" i="108"/>
  <c r="CW22" i="108"/>
  <c r="CW9" i="108"/>
  <c r="CW20" i="108"/>
  <c r="CW14" i="108"/>
  <c r="CY2" i="108"/>
  <c r="CX1" i="108"/>
  <c r="DT24" i="108"/>
  <c r="CC24" i="108" s="1"/>
  <c r="DT12" i="108"/>
  <c r="CC12" i="108" s="1"/>
  <c r="DT17" i="108"/>
  <c r="CC17" i="108" s="1"/>
  <c r="DT16" i="108"/>
  <c r="CC16" i="108" s="1"/>
  <c r="DT13" i="108"/>
  <c r="CC13" i="108" s="1"/>
  <c r="DT23" i="108"/>
  <c r="CC23" i="108" s="1"/>
  <c r="DT11" i="108"/>
  <c r="CC11" i="108" s="1"/>
  <c r="DT22" i="108"/>
  <c r="CC22" i="108" s="1"/>
  <c r="DT10" i="108"/>
  <c r="CC10" i="108" s="1"/>
  <c r="DT21" i="108"/>
  <c r="CC21" i="108" s="1"/>
  <c r="DT9" i="108"/>
  <c r="CC9" i="108" s="1"/>
  <c r="DT20" i="108"/>
  <c r="CC20" i="108" s="1"/>
  <c r="DT8" i="108"/>
  <c r="CC8" i="108" s="1"/>
  <c r="DT6" i="108"/>
  <c r="CC6" i="108" s="1"/>
  <c r="DT15" i="108"/>
  <c r="CC15" i="108" s="1"/>
  <c r="DT14" i="108"/>
  <c r="CC14" i="108" s="1"/>
  <c r="DT19" i="108"/>
  <c r="CC19" i="108" s="1"/>
  <c r="DT7" i="108"/>
  <c r="CC7" i="108" s="1"/>
  <c r="DT18" i="108"/>
  <c r="CC18" i="108" s="1"/>
  <c r="DV2" i="108"/>
  <c r="DU1" i="108"/>
  <c r="DU14" i="109"/>
  <c r="CD14" i="109" s="1"/>
  <c r="DU13" i="109"/>
  <c r="CD13" i="109" s="1"/>
  <c r="DU20" i="109"/>
  <c r="CD20" i="109" s="1"/>
  <c r="DU17" i="109"/>
  <c r="CD17" i="109" s="1"/>
  <c r="DU24" i="109"/>
  <c r="CD24" i="109" s="1"/>
  <c r="DU12" i="109"/>
  <c r="CD12" i="109" s="1"/>
  <c r="DU18" i="109"/>
  <c r="CD18" i="109" s="1"/>
  <c r="DU23" i="109"/>
  <c r="CD23" i="109" s="1"/>
  <c r="DU11" i="109"/>
  <c r="CD11" i="109" s="1"/>
  <c r="DU8" i="109"/>
  <c r="CD8" i="109" s="1"/>
  <c r="DU19" i="109"/>
  <c r="CD19" i="109" s="1"/>
  <c r="DU7" i="109"/>
  <c r="CD7" i="109" s="1"/>
  <c r="DU16" i="109"/>
  <c r="CD16" i="109" s="1"/>
  <c r="DU22" i="109"/>
  <c r="CD22" i="109" s="1"/>
  <c r="DU10" i="109"/>
  <c r="CD10" i="109" s="1"/>
  <c r="DU21" i="109"/>
  <c r="CD21" i="109" s="1"/>
  <c r="DU9" i="109"/>
  <c r="CD9" i="109" s="1"/>
  <c r="DU6" i="109"/>
  <c r="CD6" i="109" s="1"/>
  <c r="DU15" i="109"/>
  <c r="CD15" i="109" s="1"/>
  <c r="DV1" i="109"/>
  <c r="DW2" i="109"/>
  <c r="EU19" i="109"/>
  <c r="CI19" i="109" s="1"/>
  <c r="Y19" i="109" s="1"/>
  <c r="Z19" i="109" s="1"/>
  <c r="EU7" i="109"/>
  <c r="CI7" i="109" s="1"/>
  <c r="Y7" i="109" s="1"/>
  <c r="Z7" i="109" s="1"/>
  <c r="EU18" i="109"/>
  <c r="CI18" i="109" s="1"/>
  <c r="Y18" i="109" s="1"/>
  <c r="Z18" i="109" s="1"/>
  <c r="EU6" i="109"/>
  <c r="CI6" i="109" s="1"/>
  <c r="Y6" i="109" s="1"/>
  <c r="Z6" i="109" s="1"/>
  <c r="EU22" i="109"/>
  <c r="CI22" i="109" s="1"/>
  <c r="Y22" i="109" s="1"/>
  <c r="Z22" i="109" s="1"/>
  <c r="EU10" i="109"/>
  <c r="CI10" i="109" s="1"/>
  <c r="EU17" i="109"/>
  <c r="CI17" i="109" s="1"/>
  <c r="Y17" i="109" s="1"/>
  <c r="Z17" i="109" s="1"/>
  <c r="EU12" i="109"/>
  <c r="CI12" i="109" s="1"/>
  <c r="Y12" i="109" s="1"/>
  <c r="Z12" i="109" s="1"/>
  <c r="EU16" i="109"/>
  <c r="CI16" i="109" s="1"/>
  <c r="Y16" i="109" s="1"/>
  <c r="Z16" i="109" s="1"/>
  <c r="EU13" i="109"/>
  <c r="CI13" i="109" s="1"/>
  <c r="Y13" i="109" s="1"/>
  <c r="Z13" i="109" s="1"/>
  <c r="EU24" i="109"/>
  <c r="CI24" i="109" s="1"/>
  <c r="Y24" i="109" s="1"/>
  <c r="Z24" i="109" s="1"/>
  <c r="EU11" i="109"/>
  <c r="CI11" i="109" s="1"/>
  <c r="Y11" i="109" s="1"/>
  <c r="Z11" i="109" s="1"/>
  <c r="EU8" i="109"/>
  <c r="CI8" i="109" s="1"/>
  <c r="Y8" i="109" s="1"/>
  <c r="Z8" i="109" s="1"/>
  <c r="EU15" i="109"/>
  <c r="CI15" i="109" s="1"/>
  <c r="Y15" i="109" s="1"/>
  <c r="Z15" i="109" s="1"/>
  <c r="EU9" i="109"/>
  <c r="CI9" i="109" s="1"/>
  <c r="Y9" i="109" s="1"/>
  <c r="Z9" i="109" s="1"/>
  <c r="EU20" i="109"/>
  <c r="CI20" i="109" s="1"/>
  <c r="Y20" i="109" s="1"/>
  <c r="Z20" i="109" s="1"/>
  <c r="EU14" i="109"/>
  <c r="CI14" i="109" s="1"/>
  <c r="Y14" i="109" s="1"/>
  <c r="Z14" i="109" s="1"/>
  <c r="EU23" i="109"/>
  <c r="CI23" i="109" s="1"/>
  <c r="Y23" i="109" s="1"/>
  <c r="Z23" i="109" s="1"/>
  <c r="EU21" i="109"/>
  <c r="CI21" i="109" s="1"/>
  <c r="Y21" i="109" s="1"/>
  <c r="Z21" i="109" s="1"/>
  <c r="CY1" i="109"/>
  <c r="CZ2" i="109"/>
  <c r="Q10" i="108"/>
  <c r="R10" i="108" s="1"/>
  <c r="BV27" i="108"/>
  <c r="DT17" i="106"/>
  <c r="CC17" i="106" s="1"/>
  <c r="DT9" i="106"/>
  <c r="CC9" i="106" s="1"/>
  <c r="DT10" i="106"/>
  <c r="CC10" i="106" s="1"/>
  <c r="DT24" i="106"/>
  <c r="CC24" i="106" s="1"/>
  <c r="DT16" i="106"/>
  <c r="CC16" i="106" s="1"/>
  <c r="DT8" i="106"/>
  <c r="CC8" i="106" s="1"/>
  <c r="DT7" i="106"/>
  <c r="CC7" i="106" s="1"/>
  <c r="DT22" i="106"/>
  <c r="CC22" i="106" s="1"/>
  <c r="DT6" i="106"/>
  <c r="CC6" i="106" s="1"/>
  <c r="DT13" i="106"/>
  <c r="CC13" i="106" s="1"/>
  <c r="DT11" i="106"/>
  <c r="CC11" i="106" s="1"/>
  <c r="DT23" i="106"/>
  <c r="CC23" i="106" s="1"/>
  <c r="DT15" i="106"/>
  <c r="CC15" i="106" s="1"/>
  <c r="DT14" i="106"/>
  <c r="CC14" i="106" s="1"/>
  <c r="DT21" i="106"/>
  <c r="CC21" i="106" s="1"/>
  <c r="DT20" i="106"/>
  <c r="CC20" i="106" s="1"/>
  <c r="DT19" i="106"/>
  <c r="CC19" i="106" s="1"/>
  <c r="DT18" i="106"/>
  <c r="CC18" i="106" s="1"/>
  <c r="DT12" i="106"/>
  <c r="CC12" i="106" s="1"/>
  <c r="DU1" i="106"/>
  <c r="DV2" i="106"/>
  <c r="EP10" i="105"/>
  <c r="EQ10" i="106"/>
  <c r="ET22" i="106"/>
  <c r="CH22" i="106" s="1"/>
  <c r="Y22" i="106" s="1"/>
  <c r="Z22" i="106" s="1"/>
  <c r="ET14" i="106"/>
  <c r="CH14" i="106" s="1"/>
  <c r="Y14" i="106" s="1"/>
  <c r="Z14" i="106" s="1"/>
  <c r="ET6" i="106"/>
  <c r="CH6" i="106" s="1"/>
  <c r="Y6" i="106" s="1"/>
  <c r="Z6" i="106" s="1"/>
  <c r="ET23" i="106"/>
  <c r="CH23" i="106" s="1"/>
  <c r="Y23" i="106" s="1"/>
  <c r="Z23" i="106" s="1"/>
  <c r="ET21" i="106"/>
  <c r="CH21" i="106" s="1"/>
  <c r="Y21" i="106" s="1"/>
  <c r="Z21" i="106" s="1"/>
  <c r="ET13" i="106"/>
  <c r="CH13" i="106" s="1"/>
  <c r="Y13" i="106" s="1"/>
  <c r="Z13" i="106" s="1"/>
  <c r="ET10" i="106"/>
  <c r="CH10" i="106" s="1"/>
  <c r="ET9" i="106"/>
  <c r="CH9" i="106" s="1"/>
  <c r="Y9" i="106" s="1"/>
  <c r="Z9" i="106" s="1"/>
  <c r="ET16" i="106"/>
  <c r="CH16" i="106" s="1"/>
  <c r="Y16" i="106" s="1"/>
  <c r="Z16" i="106" s="1"/>
  <c r="ET15" i="106"/>
  <c r="CH15" i="106" s="1"/>
  <c r="Y15" i="106" s="1"/>
  <c r="Z15" i="106" s="1"/>
  <c r="ET20" i="106"/>
  <c r="CH20" i="106" s="1"/>
  <c r="Y20" i="106" s="1"/>
  <c r="Z20" i="106" s="1"/>
  <c r="ET19" i="106"/>
  <c r="CH19" i="106" s="1"/>
  <c r="Y19" i="106" s="1"/>
  <c r="Z19" i="106" s="1"/>
  <c r="ET11" i="106"/>
  <c r="CH11" i="106" s="1"/>
  <c r="Y11" i="106" s="1"/>
  <c r="Z11" i="106" s="1"/>
  <c r="ET18" i="106"/>
  <c r="CH18" i="106" s="1"/>
  <c r="Y18" i="106" s="1"/>
  <c r="Z18" i="106" s="1"/>
  <c r="ET17" i="106"/>
  <c r="CH17" i="106" s="1"/>
  <c r="Y17" i="106" s="1"/>
  <c r="Z17" i="106" s="1"/>
  <c r="ET24" i="106"/>
  <c r="CH24" i="106" s="1"/>
  <c r="Y24" i="106" s="1"/>
  <c r="Z24" i="106" s="1"/>
  <c r="ET7" i="106"/>
  <c r="CH7" i="106" s="1"/>
  <c r="Y7" i="106" s="1"/>
  <c r="Z7" i="106" s="1"/>
  <c r="ET8" i="106"/>
  <c r="CH8" i="106" s="1"/>
  <c r="Y8" i="106" s="1"/>
  <c r="Z8" i="106" s="1"/>
  <c r="CW24" i="106"/>
  <c r="CW16" i="106"/>
  <c r="CW8" i="106"/>
  <c r="CW23" i="106"/>
  <c r="CW15" i="106"/>
  <c r="CW7" i="106"/>
  <c r="CW21" i="106"/>
  <c r="EU1" i="106"/>
  <c r="CW19" i="106"/>
  <c r="CW9" i="106"/>
  <c r="CW22" i="106"/>
  <c r="CW14" i="106"/>
  <c r="CW6" i="106"/>
  <c r="CW13" i="106"/>
  <c r="CW12" i="106"/>
  <c r="CW11" i="106"/>
  <c r="CW17" i="106"/>
  <c r="CW10" i="106"/>
  <c r="CW20" i="106"/>
  <c r="CW18" i="106"/>
  <c r="CX1" i="106"/>
  <c r="CY2" i="106"/>
  <c r="ET19" i="105"/>
  <c r="CH19" i="105" s="1"/>
  <c r="Y19" i="105" s="1"/>
  <c r="Z19" i="105" s="1"/>
  <c r="ET7" i="105"/>
  <c r="CH7" i="105" s="1"/>
  <c r="Y7" i="105" s="1"/>
  <c r="Z7" i="105" s="1"/>
  <c r="ET18" i="105"/>
  <c r="CH18" i="105" s="1"/>
  <c r="Y18" i="105" s="1"/>
  <c r="Z18" i="105" s="1"/>
  <c r="ET6" i="105"/>
  <c r="CH6" i="105" s="1"/>
  <c r="Y6" i="105" s="1"/>
  <c r="Z6" i="105" s="1"/>
  <c r="ET24" i="105"/>
  <c r="CH24" i="105" s="1"/>
  <c r="Y24" i="105" s="1"/>
  <c r="Z24" i="105" s="1"/>
  <c r="ET22" i="105"/>
  <c r="CH22" i="105" s="1"/>
  <c r="Y22" i="105" s="1"/>
  <c r="Z22" i="105" s="1"/>
  <c r="ET9" i="105"/>
  <c r="CH9" i="105" s="1"/>
  <c r="Y9" i="105" s="1"/>
  <c r="Z9" i="105" s="1"/>
  <c r="ET17" i="105"/>
  <c r="CH17" i="105" s="1"/>
  <c r="Y17" i="105" s="1"/>
  <c r="Z17" i="105" s="1"/>
  <c r="ET16" i="105"/>
  <c r="CH16" i="105" s="1"/>
  <c r="Y16" i="105" s="1"/>
  <c r="Z16" i="105" s="1"/>
  <c r="ET15" i="105"/>
  <c r="CH15" i="105" s="1"/>
  <c r="Y15" i="105" s="1"/>
  <c r="Z15" i="105" s="1"/>
  <c r="ET14" i="105"/>
  <c r="CH14" i="105" s="1"/>
  <c r="Y14" i="105" s="1"/>
  <c r="Z14" i="105" s="1"/>
  <c r="ET13" i="105"/>
  <c r="CH13" i="105" s="1"/>
  <c r="Y13" i="105" s="1"/>
  <c r="Z13" i="105" s="1"/>
  <c r="ET12" i="105"/>
  <c r="CH12" i="105" s="1"/>
  <c r="Y12" i="105" s="1"/>
  <c r="Z12" i="105" s="1"/>
  <c r="ET23" i="105"/>
  <c r="CH23" i="105" s="1"/>
  <c r="Y23" i="105" s="1"/>
  <c r="Z23" i="105" s="1"/>
  <c r="ET11" i="105"/>
  <c r="CH11" i="105" s="1"/>
  <c r="Y11" i="105" s="1"/>
  <c r="Z11" i="105" s="1"/>
  <c r="ET10" i="105"/>
  <c r="CH10" i="105" s="1"/>
  <c r="ET21" i="105"/>
  <c r="CH21" i="105" s="1"/>
  <c r="Y21" i="105" s="1"/>
  <c r="Z21" i="105" s="1"/>
  <c r="ET20" i="105"/>
  <c r="CH20" i="105" s="1"/>
  <c r="Y20" i="105" s="1"/>
  <c r="Z20" i="105" s="1"/>
  <c r="ET8" i="105"/>
  <c r="CH8" i="105" s="1"/>
  <c r="Y8" i="105" s="1"/>
  <c r="Z8" i="105" s="1"/>
  <c r="DT14" i="105"/>
  <c r="CC14" i="105" s="1"/>
  <c r="DT13" i="105"/>
  <c r="CC13" i="105" s="1"/>
  <c r="DT19" i="105"/>
  <c r="CC19" i="105" s="1"/>
  <c r="DT18" i="105"/>
  <c r="CC18" i="105" s="1"/>
  <c r="DT15" i="105"/>
  <c r="CC15" i="105" s="1"/>
  <c r="DT24" i="105"/>
  <c r="CC24" i="105" s="1"/>
  <c r="DT12" i="105"/>
  <c r="CC12" i="105" s="1"/>
  <c r="DT23" i="105"/>
  <c r="CC23" i="105" s="1"/>
  <c r="DT11" i="105"/>
  <c r="CC11" i="105" s="1"/>
  <c r="DT22" i="105"/>
  <c r="CC22" i="105" s="1"/>
  <c r="DT10" i="105"/>
  <c r="CC10" i="105" s="1"/>
  <c r="DT21" i="105"/>
  <c r="CC21" i="105" s="1"/>
  <c r="DT9" i="105"/>
  <c r="CC9" i="105" s="1"/>
  <c r="DT20" i="105"/>
  <c r="CC20" i="105" s="1"/>
  <c r="DT8" i="105"/>
  <c r="CC8" i="105" s="1"/>
  <c r="DT7" i="105"/>
  <c r="CC7" i="105" s="1"/>
  <c r="DT6" i="105"/>
  <c r="CC6" i="105" s="1"/>
  <c r="DT17" i="105"/>
  <c r="CC17" i="105" s="1"/>
  <c r="DT16" i="105"/>
  <c r="CC16" i="105" s="1"/>
  <c r="CW21" i="105"/>
  <c r="CW9" i="105"/>
  <c r="CW20" i="105"/>
  <c r="CW8" i="105"/>
  <c r="CW13" i="105"/>
  <c r="CW24" i="105"/>
  <c r="CW11" i="105"/>
  <c r="CW10" i="105"/>
  <c r="CW19" i="105"/>
  <c r="CW7" i="105"/>
  <c r="CW18" i="105"/>
  <c r="CW6" i="105"/>
  <c r="CW17" i="105"/>
  <c r="EU1" i="105"/>
  <c r="CW16" i="105"/>
  <c r="CW15" i="105"/>
  <c r="CW14" i="105"/>
  <c r="CW12" i="105"/>
  <c r="CW23" i="105"/>
  <c r="CW22" i="105"/>
  <c r="CY2" i="105"/>
  <c r="CX1" i="105"/>
  <c r="DV2" i="105"/>
  <c r="DU1" i="105"/>
  <c r="EM10" i="98"/>
  <c r="EN10" i="100"/>
  <c r="CC27" i="98"/>
  <c r="CB28" i="98" s="1"/>
  <c r="W6" i="98"/>
  <c r="X6" i="98" s="1"/>
  <c r="T30" i="100"/>
  <c r="T29" i="100"/>
  <c r="T28" i="100"/>
  <c r="V6" i="100"/>
  <c r="CC6" i="100"/>
  <c r="CC7" i="100"/>
  <c r="W7" i="100" s="1"/>
  <c r="X7" i="100" s="1"/>
  <c r="CC8" i="100"/>
  <c r="W8" i="100" s="1"/>
  <c r="X8" i="100" s="1"/>
  <c r="CC9" i="100"/>
  <c r="W9" i="100" s="1"/>
  <c r="X9" i="100" s="1"/>
  <c r="CC10" i="100"/>
  <c r="W10" i="100" s="1"/>
  <c r="X10" i="100" s="1"/>
  <c r="CC11" i="100"/>
  <c r="W11" i="100" s="1"/>
  <c r="X11" i="100" s="1"/>
  <c r="CC12" i="100"/>
  <c r="W12" i="100" s="1"/>
  <c r="X12" i="100" s="1"/>
  <c r="CC13" i="100"/>
  <c r="W13" i="100" s="1"/>
  <c r="X13" i="100" s="1"/>
  <c r="CC14" i="100"/>
  <c r="W14" i="100" s="1"/>
  <c r="X14" i="100" s="1"/>
  <c r="CC15" i="100"/>
  <c r="W15" i="100" s="1"/>
  <c r="X15" i="100" s="1"/>
  <c r="CC16" i="100"/>
  <c r="CC17" i="100"/>
  <c r="CC18" i="100"/>
  <c r="W18" i="100" s="1"/>
  <c r="X18" i="100" s="1"/>
  <c r="CC19" i="100"/>
  <c r="W19" i="100" s="1"/>
  <c r="X19" i="100" s="1"/>
  <c r="CC20" i="100"/>
  <c r="W20" i="100" s="1"/>
  <c r="X20" i="100" s="1"/>
  <c r="CC21" i="100"/>
  <c r="W21" i="100" s="1"/>
  <c r="X21" i="100" s="1"/>
  <c r="CC22" i="100"/>
  <c r="W22" i="100" s="1"/>
  <c r="X22" i="100" s="1"/>
  <c r="CC23" i="100"/>
  <c r="W23" i="100" s="1"/>
  <c r="X23" i="100" s="1"/>
  <c r="CC24" i="100"/>
  <c r="W24" i="100" s="1"/>
  <c r="X24" i="100" s="1"/>
  <c r="EX112" i="9"/>
  <c r="EW113" i="9"/>
  <c r="EJ10" i="95"/>
  <c r="EK10" i="96"/>
  <c r="EL10" i="97"/>
  <c r="GH110" i="9"/>
  <c r="IU112" i="9"/>
  <c r="IV111" i="9"/>
  <c r="EH10" i="92"/>
  <c r="CG10" i="92" s="1"/>
  <c r="EI10" i="93"/>
  <c r="EJ10" i="94"/>
  <c r="GJ112" i="9"/>
  <c r="GN112" i="9" s="1"/>
  <c r="Q10" i="91"/>
  <c r="R10" i="91" s="1"/>
  <c r="Q30" i="91" s="1"/>
  <c r="BU28" i="91"/>
  <c r="O30" i="92"/>
  <c r="O28" i="92"/>
  <c r="O29" i="92"/>
  <c r="ET14" i="92"/>
  <c r="CH14" i="92" s="1"/>
  <c r="Y14" i="92" s="1"/>
  <c r="Z14" i="92" s="1"/>
  <c r="ET13" i="92"/>
  <c r="CH13" i="92" s="1"/>
  <c r="Y13" i="92" s="1"/>
  <c r="Z13" i="92" s="1"/>
  <c r="ET7" i="92"/>
  <c r="CH7" i="92" s="1"/>
  <c r="Y7" i="92" s="1"/>
  <c r="Z7" i="92" s="1"/>
  <c r="ET9" i="92"/>
  <c r="CH9" i="92" s="1"/>
  <c r="Y9" i="92" s="1"/>
  <c r="Z9" i="92" s="1"/>
  <c r="ET23" i="92"/>
  <c r="CH23" i="92" s="1"/>
  <c r="Y23" i="92" s="1"/>
  <c r="Z23" i="92" s="1"/>
  <c r="ET19" i="92"/>
  <c r="CH19" i="92" s="1"/>
  <c r="Y19" i="92" s="1"/>
  <c r="Z19" i="92" s="1"/>
  <c r="ET6" i="92"/>
  <c r="CH6" i="92" s="1"/>
  <c r="Y6" i="92" s="1"/>
  <c r="Z6" i="92" s="1"/>
  <c r="ET20" i="92"/>
  <c r="CH20" i="92" s="1"/>
  <c r="Y20" i="92" s="1"/>
  <c r="Z20" i="92" s="1"/>
  <c r="ET18" i="92"/>
  <c r="CH18" i="92" s="1"/>
  <c r="Y18" i="92" s="1"/>
  <c r="Z18" i="92" s="1"/>
  <c r="ET12" i="92"/>
  <c r="CH12" i="92" s="1"/>
  <c r="Y12" i="92" s="1"/>
  <c r="Z12" i="92" s="1"/>
  <c r="ET21" i="92"/>
  <c r="CH21" i="92" s="1"/>
  <c r="Y21" i="92" s="1"/>
  <c r="Z21" i="92" s="1"/>
  <c r="ET15" i="92"/>
  <c r="CH15" i="92" s="1"/>
  <c r="Y15" i="92" s="1"/>
  <c r="Z15" i="92" s="1"/>
  <c r="ET24" i="92"/>
  <c r="CH24" i="92" s="1"/>
  <c r="Y24" i="92" s="1"/>
  <c r="Z24" i="92" s="1"/>
  <c r="ET10" i="92"/>
  <c r="CH10" i="92" s="1"/>
  <c r="ET11" i="92"/>
  <c r="CH11" i="92" s="1"/>
  <c r="Y11" i="92" s="1"/>
  <c r="Z11" i="92" s="1"/>
  <c r="ET22" i="92"/>
  <c r="CH22" i="92" s="1"/>
  <c r="Y22" i="92" s="1"/>
  <c r="Z22" i="92" s="1"/>
  <c r="ET8" i="92"/>
  <c r="CH8" i="92" s="1"/>
  <c r="Y8" i="92" s="1"/>
  <c r="Z8" i="92" s="1"/>
  <c r="ET17" i="92"/>
  <c r="CH17" i="92" s="1"/>
  <c r="Y17" i="92" s="1"/>
  <c r="Z17" i="92" s="1"/>
  <c r="ET16" i="92"/>
  <c r="CH16" i="92" s="1"/>
  <c r="Y16" i="92" s="1"/>
  <c r="Z16" i="92" s="1"/>
  <c r="CX1" i="92"/>
  <c r="CY2" i="92"/>
  <c r="DU1" i="92"/>
  <c r="DV2" i="92"/>
  <c r="CW21" i="92"/>
  <c r="CW11" i="92"/>
  <c r="CW18" i="92"/>
  <c r="CW9" i="92"/>
  <c r="CW6" i="92"/>
  <c r="CW7" i="92"/>
  <c r="CW19" i="92"/>
  <c r="CW22" i="92"/>
  <c r="EU1" i="92"/>
  <c r="CW16" i="92"/>
  <c r="CW20" i="92"/>
  <c r="CW14" i="92"/>
  <c r="CW8" i="92"/>
  <c r="CW13" i="92"/>
  <c r="CW17" i="92"/>
  <c r="CW10" i="92"/>
  <c r="CW24" i="92"/>
  <c r="CW15" i="92"/>
  <c r="CW23" i="92"/>
  <c r="CW12" i="92"/>
  <c r="DT11" i="92"/>
  <c r="CC11" i="92" s="1"/>
  <c r="DT19" i="92"/>
  <c r="CC19" i="92" s="1"/>
  <c r="DT20" i="92"/>
  <c r="CC20" i="92" s="1"/>
  <c r="DT24" i="92"/>
  <c r="CC24" i="92" s="1"/>
  <c r="DT15" i="92"/>
  <c r="CC15" i="92" s="1"/>
  <c r="DT12" i="92"/>
  <c r="CC12" i="92" s="1"/>
  <c r="DT23" i="92"/>
  <c r="CC23" i="92" s="1"/>
  <c r="DT13" i="92"/>
  <c r="CC13" i="92" s="1"/>
  <c r="DT10" i="92"/>
  <c r="CC10" i="92" s="1"/>
  <c r="DT7" i="92"/>
  <c r="CC7" i="92" s="1"/>
  <c r="DT18" i="92"/>
  <c r="CC18" i="92" s="1"/>
  <c r="DT9" i="92"/>
  <c r="CC9" i="92" s="1"/>
  <c r="DT6" i="92"/>
  <c r="CC6" i="92" s="1"/>
  <c r="DT22" i="92"/>
  <c r="CC22" i="92" s="1"/>
  <c r="DT8" i="92"/>
  <c r="CC8" i="92" s="1"/>
  <c r="DT14" i="92"/>
  <c r="CC14" i="92" s="1"/>
  <c r="DT21" i="92"/>
  <c r="CC21" i="92" s="1"/>
  <c r="DT17" i="92"/>
  <c r="CC17" i="92" s="1"/>
  <c r="DT16" i="92"/>
  <c r="CC16" i="92" s="1"/>
  <c r="ET9" i="90"/>
  <c r="CH9" i="90" s="1"/>
  <c r="Y9" i="90" s="1"/>
  <c r="Z9" i="90" s="1"/>
  <c r="ET8" i="90"/>
  <c r="CH8" i="90" s="1"/>
  <c r="Y8" i="90" s="1"/>
  <c r="Z8" i="90" s="1"/>
  <c r="ET7" i="90"/>
  <c r="CH7" i="90" s="1"/>
  <c r="Y7" i="90" s="1"/>
  <c r="Z7" i="90" s="1"/>
  <c r="ET14" i="90"/>
  <c r="CH14" i="90" s="1"/>
  <c r="Y14" i="90" s="1"/>
  <c r="Z14" i="90" s="1"/>
  <c r="ET23" i="90"/>
  <c r="CH23" i="90" s="1"/>
  <c r="Y23" i="90" s="1"/>
  <c r="Z23" i="90" s="1"/>
  <c r="ET13" i="90"/>
  <c r="CH13" i="90" s="1"/>
  <c r="Y13" i="90" s="1"/>
  <c r="Z13" i="90" s="1"/>
  <c r="ET20" i="90"/>
  <c r="CH20" i="90" s="1"/>
  <c r="Y20" i="90" s="1"/>
  <c r="Z20" i="90" s="1"/>
  <c r="ET12" i="90"/>
  <c r="CH12" i="90" s="1"/>
  <c r="Y12" i="90" s="1"/>
  <c r="Z12" i="90" s="1"/>
  <c r="ET22" i="90"/>
  <c r="CH22" i="90" s="1"/>
  <c r="Y22" i="90" s="1"/>
  <c r="Z22" i="90" s="1"/>
  <c r="ET24" i="90"/>
  <c r="CH24" i="90" s="1"/>
  <c r="Y24" i="90" s="1"/>
  <c r="Z24" i="90" s="1"/>
  <c r="ET17" i="90"/>
  <c r="CH17" i="90" s="1"/>
  <c r="Y17" i="90" s="1"/>
  <c r="Z17" i="90" s="1"/>
  <c r="ET21" i="90"/>
  <c r="CH21" i="90" s="1"/>
  <c r="Y21" i="90" s="1"/>
  <c r="Z21" i="90" s="1"/>
  <c r="ET11" i="90"/>
  <c r="CH11" i="90" s="1"/>
  <c r="Y11" i="90" s="1"/>
  <c r="Z11" i="90" s="1"/>
  <c r="ET15" i="90"/>
  <c r="CH15" i="90" s="1"/>
  <c r="Y15" i="90" s="1"/>
  <c r="Z15" i="90" s="1"/>
  <c r="ET16" i="90"/>
  <c r="CH16" i="90" s="1"/>
  <c r="Y16" i="90" s="1"/>
  <c r="Z16" i="90" s="1"/>
  <c r="ET18" i="90"/>
  <c r="CH18" i="90" s="1"/>
  <c r="Y18" i="90" s="1"/>
  <c r="Z18" i="90" s="1"/>
  <c r="ET19" i="90"/>
  <c r="CH19" i="90" s="1"/>
  <c r="Y19" i="90" s="1"/>
  <c r="Z19" i="90" s="1"/>
  <c r="ET6" i="90"/>
  <c r="CH6" i="90" s="1"/>
  <c r="Y6" i="90" s="1"/>
  <c r="Z6" i="90" s="1"/>
  <c r="ET10" i="90"/>
  <c r="CH10" i="90" s="1"/>
  <c r="Y10" i="90" s="1"/>
  <c r="DT12" i="91"/>
  <c r="CC12" i="91" s="1"/>
  <c r="DT23" i="91"/>
  <c r="CC23" i="91" s="1"/>
  <c r="DT11" i="91"/>
  <c r="CC11" i="91" s="1"/>
  <c r="DT20" i="91"/>
  <c r="CC20" i="91" s="1"/>
  <c r="DT6" i="91"/>
  <c r="CC6" i="91" s="1"/>
  <c r="DT17" i="91"/>
  <c r="CC17" i="91" s="1"/>
  <c r="DT8" i="91"/>
  <c r="CC8" i="91" s="1"/>
  <c r="DT7" i="91"/>
  <c r="CC7" i="91" s="1"/>
  <c r="DT13" i="91"/>
  <c r="CC13" i="91" s="1"/>
  <c r="DT24" i="91"/>
  <c r="CC24" i="91" s="1"/>
  <c r="DT16" i="91"/>
  <c r="CC16" i="91" s="1"/>
  <c r="DT22" i="91"/>
  <c r="CC22" i="91" s="1"/>
  <c r="DT19" i="91"/>
  <c r="CC19" i="91" s="1"/>
  <c r="DT21" i="91"/>
  <c r="CC21" i="91" s="1"/>
  <c r="DT15" i="91"/>
  <c r="CC15" i="91" s="1"/>
  <c r="DT18" i="91"/>
  <c r="CC18" i="91" s="1"/>
  <c r="DT10" i="91"/>
  <c r="CC10" i="91" s="1"/>
  <c r="DT14" i="91"/>
  <c r="CC14" i="91" s="1"/>
  <c r="DT9" i="91"/>
  <c r="CC9" i="91" s="1"/>
  <c r="O28" i="91"/>
  <c r="O30" i="91"/>
  <c r="O29" i="91"/>
  <c r="DT21" i="90"/>
  <c r="CC21" i="90" s="1"/>
  <c r="DT19" i="90"/>
  <c r="CC19" i="90" s="1"/>
  <c r="DT14" i="90"/>
  <c r="CC14" i="90" s="1"/>
  <c r="DT18" i="90"/>
  <c r="CC18" i="90" s="1"/>
  <c r="DT22" i="90"/>
  <c r="CC22" i="90" s="1"/>
  <c r="DT23" i="90"/>
  <c r="CC23" i="90" s="1"/>
  <c r="DT17" i="90"/>
  <c r="CC17" i="90" s="1"/>
  <c r="DT8" i="90"/>
  <c r="CC8" i="90" s="1"/>
  <c r="DT11" i="90"/>
  <c r="CC11" i="90" s="1"/>
  <c r="DT15" i="90"/>
  <c r="CC15" i="90" s="1"/>
  <c r="DT16" i="90"/>
  <c r="CC16" i="90" s="1"/>
  <c r="DT6" i="90"/>
  <c r="CC6" i="90" s="1"/>
  <c r="DT7" i="90"/>
  <c r="CC7" i="90" s="1"/>
  <c r="DT9" i="90"/>
  <c r="CC9" i="90" s="1"/>
  <c r="DT24" i="90"/>
  <c r="CC24" i="90" s="1"/>
  <c r="DT12" i="90"/>
  <c r="CC12" i="90" s="1"/>
  <c r="DT20" i="90"/>
  <c r="CC20" i="90" s="1"/>
  <c r="DT10" i="90"/>
  <c r="CC10" i="90" s="1"/>
  <c r="DT13" i="90"/>
  <c r="CC13" i="90" s="1"/>
  <c r="DV2" i="90"/>
  <c r="DU1" i="90"/>
  <c r="ET24" i="91"/>
  <c r="CH24" i="91" s="1"/>
  <c r="Y24" i="91" s="1"/>
  <c r="Z24" i="91" s="1"/>
  <c r="ET19" i="91"/>
  <c r="CH19" i="91" s="1"/>
  <c r="Y19" i="91" s="1"/>
  <c r="Z19" i="91" s="1"/>
  <c r="ET20" i="91"/>
  <c r="CH20" i="91" s="1"/>
  <c r="Y20" i="91" s="1"/>
  <c r="Z20" i="91" s="1"/>
  <c r="ET17" i="91"/>
  <c r="CH17" i="91" s="1"/>
  <c r="Y17" i="91" s="1"/>
  <c r="Z17" i="91" s="1"/>
  <c r="ET16" i="91"/>
  <c r="CH16" i="91" s="1"/>
  <c r="Y16" i="91" s="1"/>
  <c r="Z16" i="91" s="1"/>
  <c r="ET21" i="91"/>
  <c r="CH21" i="91" s="1"/>
  <c r="Y21" i="91" s="1"/>
  <c r="Z21" i="91" s="1"/>
  <c r="ET8" i="91"/>
  <c r="CH8" i="91" s="1"/>
  <c r="Y8" i="91" s="1"/>
  <c r="Z8" i="91" s="1"/>
  <c r="ET9" i="91"/>
  <c r="CH9" i="91" s="1"/>
  <c r="Y9" i="91" s="1"/>
  <c r="Z9" i="91" s="1"/>
  <c r="ET12" i="91"/>
  <c r="CH12" i="91" s="1"/>
  <c r="Y12" i="91" s="1"/>
  <c r="Z12" i="91" s="1"/>
  <c r="ET7" i="91"/>
  <c r="CH7" i="91" s="1"/>
  <c r="Y7" i="91" s="1"/>
  <c r="Z7" i="91" s="1"/>
  <c r="ET10" i="91"/>
  <c r="CH10" i="91" s="1"/>
  <c r="Y10" i="91" s="1"/>
  <c r="ET6" i="91"/>
  <c r="CH6" i="91" s="1"/>
  <c r="Y6" i="91" s="1"/>
  <c r="Z6" i="91" s="1"/>
  <c r="ET22" i="91"/>
  <c r="CH22" i="91" s="1"/>
  <c r="Y22" i="91" s="1"/>
  <c r="Z22" i="91" s="1"/>
  <c r="ET23" i="91"/>
  <c r="CH23" i="91" s="1"/>
  <c r="Y23" i="91" s="1"/>
  <c r="Z23" i="91" s="1"/>
  <c r="ET15" i="91"/>
  <c r="CH15" i="91" s="1"/>
  <c r="Y15" i="91" s="1"/>
  <c r="Z15" i="91" s="1"/>
  <c r="ET14" i="91"/>
  <c r="CH14" i="91" s="1"/>
  <c r="Y14" i="91" s="1"/>
  <c r="Z14" i="91" s="1"/>
  <c r="ET13" i="91"/>
  <c r="CH13" i="91" s="1"/>
  <c r="Y13" i="91" s="1"/>
  <c r="Z13" i="91" s="1"/>
  <c r="ET18" i="91"/>
  <c r="CH18" i="91" s="1"/>
  <c r="Y18" i="91" s="1"/>
  <c r="Z18" i="91" s="1"/>
  <c r="ET11" i="91"/>
  <c r="CH11" i="91" s="1"/>
  <c r="Y11" i="91" s="1"/>
  <c r="Z11" i="91" s="1"/>
  <c r="CY2" i="91"/>
  <c r="CX1" i="91"/>
  <c r="DU1" i="91"/>
  <c r="DV2" i="91"/>
  <c r="CY2" i="90"/>
  <c r="CX1" i="90"/>
  <c r="CW14" i="91"/>
  <c r="CW21" i="91"/>
  <c r="CW10" i="91"/>
  <c r="CW6" i="91"/>
  <c r="CW18" i="91"/>
  <c r="CW7" i="91"/>
  <c r="CW24" i="91"/>
  <c r="CW9" i="91"/>
  <c r="CW13" i="91"/>
  <c r="CW8" i="91"/>
  <c r="CW12" i="91"/>
  <c r="CW23" i="91"/>
  <c r="CW19" i="91"/>
  <c r="CW17" i="91"/>
  <c r="EU1" i="91"/>
  <c r="CW22" i="91"/>
  <c r="CW16" i="91"/>
  <c r="CW20" i="91"/>
  <c r="CW11" i="91"/>
  <c r="CW15" i="91"/>
  <c r="CW24" i="90"/>
  <c r="CW9" i="90"/>
  <c r="CW22" i="90"/>
  <c r="CW8" i="90"/>
  <c r="CW14" i="90"/>
  <c r="CW17" i="90"/>
  <c r="CW21" i="90"/>
  <c r="CW6" i="90"/>
  <c r="CW19" i="90"/>
  <c r="EU1" i="90"/>
  <c r="CW18" i="90"/>
  <c r="CW23" i="90"/>
  <c r="CW11" i="90"/>
  <c r="CW7" i="90"/>
  <c r="CW16" i="90"/>
  <c r="CW15" i="90"/>
  <c r="CW10" i="90"/>
  <c r="CW13" i="90"/>
  <c r="CW20" i="90"/>
  <c r="CW12" i="90"/>
  <c r="CW18" i="89"/>
  <c r="CW8" i="89"/>
  <c r="CW17" i="89"/>
  <c r="CW13" i="89"/>
  <c r="CW21" i="89"/>
  <c r="CW14" i="89"/>
  <c r="EU1" i="89"/>
  <c r="CW23" i="89"/>
  <c r="CW10" i="89"/>
  <c r="CW6" i="89"/>
  <c r="CW24" i="89"/>
  <c r="CW15" i="89"/>
  <c r="CW19" i="89"/>
  <c r="CW22" i="89"/>
  <c r="CW12" i="89"/>
  <c r="CW7" i="89"/>
  <c r="CW20" i="89"/>
  <c r="CW11" i="89"/>
  <c r="CW16" i="89"/>
  <c r="CW9" i="89"/>
  <c r="ET13" i="89"/>
  <c r="CH13" i="89" s="1"/>
  <c r="Y13" i="89" s="1"/>
  <c r="Z13" i="89" s="1"/>
  <c r="ET8" i="89"/>
  <c r="CH8" i="89" s="1"/>
  <c r="Y8" i="89" s="1"/>
  <c r="Z8" i="89" s="1"/>
  <c r="ET16" i="89"/>
  <c r="CH16" i="89" s="1"/>
  <c r="Y16" i="89" s="1"/>
  <c r="Z16" i="89" s="1"/>
  <c r="ET10" i="89"/>
  <c r="CH10" i="89" s="1"/>
  <c r="Y10" i="89" s="1"/>
  <c r="ET20" i="89"/>
  <c r="CH20" i="89" s="1"/>
  <c r="Y20" i="89" s="1"/>
  <c r="Z20" i="89" s="1"/>
  <c r="ET14" i="89"/>
  <c r="CH14" i="89" s="1"/>
  <c r="Y14" i="89" s="1"/>
  <c r="Z14" i="89" s="1"/>
  <c r="ET23" i="89"/>
  <c r="CH23" i="89" s="1"/>
  <c r="Y23" i="89" s="1"/>
  <c r="Z23" i="89" s="1"/>
  <c r="ET18" i="89"/>
  <c r="CH18" i="89" s="1"/>
  <c r="Y18" i="89" s="1"/>
  <c r="Z18" i="89" s="1"/>
  <c r="ET12" i="89"/>
  <c r="CH12" i="89" s="1"/>
  <c r="ET22" i="89"/>
  <c r="CH22" i="89" s="1"/>
  <c r="Y22" i="89" s="1"/>
  <c r="Z22" i="89" s="1"/>
  <c r="ET15" i="89"/>
  <c r="CH15" i="89" s="1"/>
  <c r="Y15" i="89" s="1"/>
  <c r="Z15" i="89" s="1"/>
  <c r="ET6" i="89"/>
  <c r="CH6" i="89" s="1"/>
  <c r="Y6" i="89" s="1"/>
  <c r="Z6" i="89" s="1"/>
  <c r="ET24" i="89"/>
  <c r="CH24" i="89" s="1"/>
  <c r="ET17" i="89"/>
  <c r="CH17" i="89" s="1"/>
  <c r="Y17" i="89" s="1"/>
  <c r="Z17" i="89" s="1"/>
  <c r="ET7" i="89"/>
  <c r="CH7" i="89" s="1"/>
  <c r="ET21" i="89"/>
  <c r="CH21" i="89" s="1"/>
  <c r="Y21" i="89" s="1"/>
  <c r="Z21" i="89" s="1"/>
  <c r="ET11" i="89"/>
  <c r="CH11" i="89" s="1"/>
  <c r="Y11" i="89" s="1"/>
  <c r="Z11" i="89" s="1"/>
  <c r="ET19" i="89"/>
  <c r="CH19" i="89" s="1"/>
  <c r="Y19" i="89" s="1"/>
  <c r="Z19" i="89" s="1"/>
  <c r="ET9" i="89"/>
  <c r="CH9" i="89" s="1"/>
  <c r="Y9" i="89" s="1"/>
  <c r="Z9" i="89" s="1"/>
  <c r="CX1" i="89"/>
  <c r="CY2" i="89"/>
  <c r="DV2" i="89"/>
  <c r="DU1" i="89"/>
  <c r="DT24" i="89"/>
  <c r="CC24" i="89" s="1"/>
  <c r="DT16" i="89"/>
  <c r="CC16" i="89" s="1"/>
  <c r="DT8" i="89"/>
  <c r="CC8" i="89" s="1"/>
  <c r="DT23" i="89"/>
  <c r="CC23" i="89" s="1"/>
  <c r="DT17" i="89"/>
  <c r="CC17" i="89" s="1"/>
  <c r="DT7" i="89"/>
  <c r="CC7" i="89" s="1"/>
  <c r="DT21" i="89"/>
  <c r="CC21" i="89" s="1"/>
  <c r="DT15" i="89"/>
  <c r="CC15" i="89" s="1"/>
  <c r="DT6" i="89"/>
  <c r="CC6" i="89" s="1"/>
  <c r="DT20" i="89"/>
  <c r="CC20" i="89" s="1"/>
  <c r="DT12" i="89"/>
  <c r="CC12" i="89" s="1"/>
  <c r="DT22" i="89"/>
  <c r="CC22" i="89" s="1"/>
  <c r="DT11" i="89"/>
  <c r="CC11" i="89" s="1"/>
  <c r="DT19" i="89"/>
  <c r="CC19" i="89" s="1"/>
  <c r="DT10" i="89"/>
  <c r="CC10" i="89" s="1"/>
  <c r="DT14" i="89"/>
  <c r="CC14" i="89" s="1"/>
  <c r="DT13" i="89"/>
  <c r="CC13" i="89" s="1"/>
  <c r="DT18" i="89"/>
  <c r="CC18" i="89" s="1"/>
  <c r="DT9" i="89"/>
  <c r="CC9" i="89" s="1"/>
  <c r="CX1" i="87"/>
  <c r="CY2" i="87"/>
  <c r="CW16" i="87"/>
  <c r="CW6" i="87"/>
  <c r="CW15" i="87"/>
  <c r="CW9" i="87"/>
  <c r="CW24" i="87"/>
  <c r="CW12" i="87"/>
  <c r="CW13" i="87"/>
  <c r="CW23" i="87"/>
  <c r="CW8" i="87"/>
  <c r="CW20" i="87"/>
  <c r="CW14" i="87"/>
  <c r="EU1" i="87"/>
  <c r="CW21" i="87"/>
  <c r="CW17" i="87"/>
  <c r="CW7" i="87"/>
  <c r="CW19" i="87"/>
  <c r="CW11" i="87"/>
  <c r="CW22" i="87"/>
  <c r="CW10" i="87"/>
  <c r="CW18" i="87"/>
  <c r="DT20" i="87"/>
  <c r="CC20" i="87" s="1"/>
  <c r="DT21" i="87"/>
  <c r="CC21" i="87" s="1"/>
  <c r="DT15" i="87"/>
  <c r="CC15" i="87" s="1"/>
  <c r="DT23" i="87"/>
  <c r="CC23" i="87" s="1"/>
  <c r="DT24" i="87"/>
  <c r="CC24" i="87" s="1"/>
  <c r="DT14" i="87"/>
  <c r="CC14" i="87" s="1"/>
  <c r="DT7" i="87"/>
  <c r="CC7" i="87" s="1"/>
  <c r="DT19" i="87"/>
  <c r="CC19" i="87" s="1"/>
  <c r="DT12" i="87"/>
  <c r="CC12" i="87" s="1"/>
  <c r="DT8" i="87"/>
  <c r="CC8" i="87" s="1"/>
  <c r="DT11" i="87"/>
  <c r="CC11" i="87" s="1"/>
  <c r="DT22" i="87"/>
  <c r="CC22" i="87" s="1"/>
  <c r="DT9" i="87"/>
  <c r="CC9" i="87" s="1"/>
  <c r="DT18" i="87"/>
  <c r="CC18" i="87" s="1"/>
  <c r="DT10" i="87"/>
  <c r="CC10" i="87" s="1"/>
  <c r="DT17" i="87"/>
  <c r="CC17" i="87" s="1"/>
  <c r="DT16" i="87"/>
  <c r="CC16" i="87" s="1"/>
  <c r="DT13" i="87"/>
  <c r="CC13" i="87" s="1"/>
  <c r="DT6" i="87"/>
  <c r="CC6" i="87" s="1"/>
  <c r="CW22" i="88"/>
  <c r="CW15" i="88"/>
  <c r="CW6" i="88"/>
  <c r="CW21" i="88"/>
  <c r="CW16" i="88"/>
  <c r="CW12" i="88"/>
  <c r="CW24" i="88"/>
  <c r="CW13" i="88"/>
  <c r="CW14" i="88"/>
  <c r="CW17" i="88"/>
  <c r="CW11" i="88"/>
  <c r="EU1" i="88"/>
  <c r="CW18" i="88"/>
  <c r="CW10" i="88"/>
  <c r="CW20" i="88"/>
  <c r="CW9" i="88"/>
  <c r="CW19" i="88"/>
  <c r="CW7" i="88"/>
  <c r="CW23" i="88"/>
  <c r="CW8" i="88"/>
  <c r="ET24" i="87"/>
  <c r="CH24" i="87" s="1"/>
  <c r="Y24" i="87" s="1"/>
  <c r="Z24" i="87" s="1"/>
  <c r="ET7" i="87"/>
  <c r="CH7" i="87" s="1"/>
  <c r="Y7" i="87" s="1"/>
  <c r="Z7" i="87" s="1"/>
  <c r="ET23" i="87"/>
  <c r="CH23" i="87" s="1"/>
  <c r="Y23" i="87" s="1"/>
  <c r="Z23" i="87" s="1"/>
  <c r="ET15" i="87"/>
  <c r="CH15" i="87" s="1"/>
  <c r="Y15" i="87" s="1"/>
  <c r="Z15" i="87" s="1"/>
  <c r="ET6" i="87"/>
  <c r="CH6" i="87" s="1"/>
  <c r="Y6" i="87" s="1"/>
  <c r="Z6" i="87" s="1"/>
  <c r="ET22" i="87"/>
  <c r="CH22" i="87" s="1"/>
  <c r="Y22" i="87" s="1"/>
  <c r="Z22" i="87" s="1"/>
  <c r="ET14" i="87"/>
  <c r="CH14" i="87" s="1"/>
  <c r="Y14" i="87" s="1"/>
  <c r="Z14" i="87" s="1"/>
  <c r="ET20" i="87"/>
  <c r="CH20" i="87" s="1"/>
  <c r="Y20" i="87" s="1"/>
  <c r="Z20" i="87" s="1"/>
  <c r="ET10" i="87"/>
  <c r="CH10" i="87" s="1"/>
  <c r="Y10" i="87" s="1"/>
  <c r="ET19" i="87"/>
  <c r="CH19" i="87" s="1"/>
  <c r="Y19" i="87" s="1"/>
  <c r="Z19" i="87" s="1"/>
  <c r="ET9" i="87"/>
  <c r="CH9" i="87" s="1"/>
  <c r="Y9" i="87" s="1"/>
  <c r="Z9" i="87" s="1"/>
  <c r="ET18" i="87"/>
  <c r="CH18" i="87" s="1"/>
  <c r="Y18" i="87" s="1"/>
  <c r="Z18" i="87" s="1"/>
  <c r="ET12" i="87"/>
  <c r="CH12" i="87" s="1"/>
  <c r="Y12" i="87" s="1"/>
  <c r="Z12" i="87" s="1"/>
  <c r="ET17" i="87"/>
  <c r="CH17" i="87" s="1"/>
  <c r="Y17" i="87" s="1"/>
  <c r="Z17" i="87" s="1"/>
  <c r="ET11" i="87"/>
  <c r="CH11" i="87" s="1"/>
  <c r="Y11" i="87" s="1"/>
  <c r="Z11" i="87" s="1"/>
  <c r="ET21" i="87"/>
  <c r="CH21" i="87" s="1"/>
  <c r="Y21" i="87" s="1"/>
  <c r="Z21" i="87" s="1"/>
  <c r="ET16" i="87"/>
  <c r="CH16" i="87" s="1"/>
  <c r="Y16" i="87" s="1"/>
  <c r="Z16" i="87" s="1"/>
  <c r="ET8" i="87"/>
  <c r="CH8" i="87" s="1"/>
  <c r="Y8" i="87" s="1"/>
  <c r="Z8" i="87" s="1"/>
  <c r="ET13" i="87"/>
  <c r="CH13" i="87" s="1"/>
  <c r="Y13" i="87" s="1"/>
  <c r="Z13" i="87" s="1"/>
  <c r="DV2" i="88"/>
  <c r="DU1" i="88"/>
  <c r="DT21" i="88"/>
  <c r="CC21" i="88" s="1"/>
  <c r="DT13" i="88"/>
  <c r="CC13" i="88" s="1"/>
  <c r="DT7" i="88"/>
  <c r="CC7" i="88" s="1"/>
  <c r="DT22" i="88"/>
  <c r="CC22" i="88" s="1"/>
  <c r="DT14" i="88"/>
  <c r="CC14" i="88" s="1"/>
  <c r="DT17" i="88"/>
  <c r="CC17" i="88" s="1"/>
  <c r="DT11" i="88"/>
  <c r="CC11" i="88" s="1"/>
  <c r="DT19" i="88"/>
  <c r="CC19" i="88" s="1"/>
  <c r="DT10" i="88"/>
  <c r="CC10" i="88" s="1"/>
  <c r="DT20" i="88"/>
  <c r="CC20" i="88" s="1"/>
  <c r="DT9" i="88"/>
  <c r="CC9" i="88" s="1"/>
  <c r="DT18" i="88"/>
  <c r="CC18" i="88" s="1"/>
  <c r="DT12" i="88"/>
  <c r="CC12" i="88" s="1"/>
  <c r="DT24" i="88"/>
  <c r="CC24" i="88" s="1"/>
  <c r="DT15" i="88"/>
  <c r="CC15" i="88" s="1"/>
  <c r="DT8" i="88"/>
  <c r="CC8" i="88" s="1"/>
  <c r="DT23" i="88"/>
  <c r="CC23" i="88" s="1"/>
  <c r="DT16" i="88"/>
  <c r="CC16" i="88" s="1"/>
  <c r="DT6" i="88"/>
  <c r="CC6" i="88" s="1"/>
  <c r="DV2" i="87"/>
  <c r="DU1" i="87"/>
  <c r="CY2" i="88"/>
  <c r="CX1" i="88"/>
  <c r="ET17" i="88"/>
  <c r="CH17" i="88" s="1"/>
  <c r="Y17" i="88" s="1"/>
  <c r="Z17" i="88" s="1"/>
  <c r="ET12" i="88"/>
  <c r="CH12" i="88" s="1"/>
  <c r="Y12" i="88" s="1"/>
  <c r="Z12" i="88" s="1"/>
  <c r="ET20" i="88"/>
  <c r="CH20" i="88" s="1"/>
  <c r="Y20" i="88" s="1"/>
  <c r="Z20" i="88" s="1"/>
  <c r="ET9" i="88"/>
  <c r="CH9" i="88" s="1"/>
  <c r="Y9" i="88" s="1"/>
  <c r="Z9" i="88" s="1"/>
  <c r="ET19" i="88"/>
  <c r="CH19" i="88" s="1"/>
  <c r="Y19" i="88" s="1"/>
  <c r="Z19" i="88" s="1"/>
  <c r="ET7" i="88"/>
  <c r="CH7" i="88" s="1"/>
  <c r="Y7" i="88" s="1"/>
  <c r="Z7" i="88" s="1"/>
  <c r="ET23" i="88"/>
  <c r="CH23" i="88" s="1"/>
  <c r="Y23" i="88" s="1"/>
  <c r="Z23" i="88" s="1"/>
  <c r="ET14" i="88"/>
  <c r="CH14" i="88" s="1"/>
  <c r="Y14" i="88" s="1"/>
  <c r="Z14" i="88" s="1"/>
  <c r="ET6" i="88"/>
  <c r="CH6" i="88" s="1"/>
  <c r="Y6" i="88" s="1"/>
  <c r="Z6" i="88" s="1"/>
  <c r="ET22" i="88"/>
  <c r="CH22" i="88" s="1"/>
  <c r="Y22" i="88" s="1"/>
  <c r="Z22" i="88" s="1"/>
  <c r="ET16" i="88"/>
  <c r="CH16" i="88" s="1"/>
  <c r="Y16" i="88" s="1"/>
  <c r="Z16" i="88" s="1"/>
  <c r="ET10" i="88"/>
  <c r="CH10" i="88" s="1"/>
  <c r="Y10" i="88" s="1"/>
  <c r="ET21" i="88"/>
  <c r="CH21" i="88" s="1"/>
  <c r="Y21" i="88" s="1"/>
  <c r="Z21" i="88" s="1"/>
  <c r="ET15" i="88"/>
  <c r="CH15" i="88" s="1"/>
  <c r="Y15" i="88" s="1"/>
  <c r="Z15" i="88" s="1"/>
  <c r="ET11" i="88"/>
  <c r="CH11" i="88" s="1"/>
  <c r="Y11" i="88" s="1"/>
  <c r="Z11" i="88" s="1"/>
  <c r="ET18" i="88"/>
  <c r="CH18" i="88" s="1"/>
  <c r="Y18" i="88" s="1"/>
  <c r="Z18" i="88" s="1"/>
  <c r="ET8" i="88"/>
  <c r="CH8" i="88" s="1"/>
  <c r="Y8" i="88" s="1"/>
  <c r="Z8" i="88" s="1"/>
  <c r="ET24" i="88"/>
  <c r="CH24" i="88" s="1"/>
  <c r="Y24" i="88" s="1"/>
  <c r="Z24" i="88" s="1"/>
  <c r="ET13" i="88"/>
  <c r="CH13" i="88" s="1"/>
  <c r="Y13" i="88" s="1"/>
  <c r="Z13" i="88" s="1"/>
  <c r="DV2" i="86"/>
  <c r="DU1" i="86"/>
  <c r="CW22" i="86"/>
  <c r="CW19" i="86"/>
  <c r="EU1" i="86"/>
  <c r="CW21" i="86"/>
  <c r="CW18" i="86"/>
  <c r="CW8" i="86"/>
  <c r="CW24" i="86"/>
  <c r="CW13" i="86"/>
  <c r="CW7" i="86"/>
  <c r="CW20" i="86"/>
  <c r="CW9" i="86"/>
  <c r="CW23" i="86"/>
  <c r="CW12" i="86"/>
  <c r="CW6" i="86"/>
  <c r="CW14" i="86"/>
  <c r="CW17" i="86"/>
  <c r="CW11" i="86"/>
  <c r="CW16" i="86"/>
  <c r="CW10" i="86"/>
  <c r="CW15" i="86"/>
  <c r="CX1" i="86"/>
  <c r="CY2" i="86"/>
  <c r="DT23" i="86"/>
  <c r="CC23" i="86" s="1"/>
  <c r="DT15" i="86"/>
  <c r="CC15" i="86" s="1"/>
  <c r="DT9" i="86"/>
  <c r="CC9" i="86" s="1"/>
  <c r="DT10" i="86"/>
  <c r="CC10" i="86" s="1"/>
  <c r="DT20" i="86"/>
  <c r="CC20" i="86" s="1"/>
  <c r="DT18" i="86"/>
  <c r="CC18" i="86" s="1"/>
  <c r="DT8" i="86"/>
  <c r="CC8" i="86" s="1"/>
  <c r="DT11" i="86"/>
  <c r="CC11" i="86" s="1"/>
  <c r="DT22" i="86"/>
  <c r="CC22" i="86" s="1"/>
  <c r="DT13" i="86"/>
  <c r="CC13" i="86" s="1"/>
  <c r="DT7" i="86"/>
  <c r="CC7" i="86" s="1"/>
  <c r="DT21" i="86"/>
  <c r="CC21" i="86" s="1"/>
  <c r="DT12" i="86"/>
  <c r="CC12" i="86" s="1"/>
  <c r="DT24" i="86"/>
  <c r="CC24" i="86" s="1"/>
  <c r="DT19" i="86"/>
  <c r="CC19" i="86" s="1"/>
  <c r="DT14" i="86"/>
  <c r="CC14" i="86" s="1"/>
  <c r="DT17" i="86"/>
  <c r="CC17" i="86" s="1"/>
  <c r="DT6" i="86"/>
  <c r="CC6" i="86" s="1"/>
  <c r="DT16" i="86"/>
  <c r="CC16" i="86" s="1"/>
  <c r="ET23" i="86"/>
  <c r="CH23" i="86" s="1"/>
  <c r="Y23" i="86" s="1"/>
  <c r="Z23" i="86" s="1"/>
  <c r="ET12" i="86"/>
  <c r="CH12" i="86" s="1"/>
  <c r="Y12" i="86" s="1"/>
  <c r="Z12" i="86" s="1"/>
  <c r="ET9" i="86"/>
  <c r="CH9" i="86" s="1"/>
  <c r="Y9" i="86" s="1"/>
  <c r="Z9" i="86" s="1"/>
  <c r="ET20" i="86"/>
  <c r="CH20" i="86" s="1"/>
  <c r="Y20" i="86" s="1"/>
  <c r="Z20" i="86" s="1"/>
  <c r="ET14" i="86"/>
  <c r="CH14" i="86" s="1"/>
  <c r="Y14" i="86" s="1"/>
  <c r="Z14" i="86" s="1"/>
  <c r="ET17" i="86"/>
  <c r="CH17" i="86" s="1"/>
  <c r="Y17" i="86" s="1"/>
  <c r="Z17" i="86" s="1"/>
  <c r="ET11" i="86"/>
  <c r="CH11" i="86" s="1"/>
  <c r="Y11" i="86" s="1"/>
  <c r="Z11" i="86" s="1"/>
  <c r="ET24" i="86"/>
  <c r="CH24" i="86" s="1"/>
  <c r="Y24" i="86" s="1"/>
  <c r="Z24" i="86" s="1"/>
  <c r="ET16" i="86"/>
  <c r="CH16" i="86" s="1"/>
  <c r="Y16" i="86" s="1"/>
  <c r="Z16" i="86" s="1"/>
  <c r="ET10" i="86"/>
  <c r="CH10" i="86" s="1"/>
  <c r="ET15" i="86"/>
  <c r="CH15" i="86" s="1"/>
  <c r="Y15" i="86" s="1"/>
  <c r="Z15" i="86" s="1"/>
  <c r="ET22" i="86"/>
  <c r="CH22" i="86" s="1"/>
  <c r="Y22" i="86" s="1"/>
  <c r="Z22" i="86" s="1"/>
  <c r="ET18" i="86"/>
  <c r="CH18" i="86" s="1"/>
  <c r="Y18" i="86" s="1"/>
  <c r="Z18" i="86" s="1"/>
  <c r="ET8" i="86"/>
  <c r="CH8" i="86" s="1"/>
  <c r="Y8" i="86" s="1"/>
  <c r="Z8" i="86" s="1"/>
  <c r="ET13" i="86"/>
  <c r="CH13" i="86" s="1"/>
  <c r="Y13" i="86" s="1"/>
  <c r="Z13" i="86" s="1"/>
  <c r="ET19" i="86"/>
  <c r="CH19" i="86" s="1"/>
  <c r="Y19" i="86" s="1"/>
  <c r="Z19" i="86" s="1"/>
  <c r="ET21" i="86"/>
  <c r="CH21" i="86" s="1"/>
  <c r="Y21" i="86" s="1"/>
  <c r="Z21" i="86" s="1"/>
  <c r="ET7" i="86"/>
  <c r="CH7" i="86" s="1"/>
  <c r="Y7" i="86" s="1"/>
  <c r="Z7" i="86" s="1"/>
  <c r="ET6" i="86"/>
  <c r="CH6" i="86" s="1"/>
  <c r="Y6" i="86" s="1"/>
  <c r="Z6" i="86" s="1"/>
  <c r="DK1" i="142" l="1"/>
  <c r="DL2" i="142"/>
  <c r="EJ20" i="142"/>
  <c r="EJ19" i="142"/>
  <c r="EJ17" i="142"/>
  <c r="EJ16" i="142"/>
  <c r="EJ15" i="142"/>
  <c r="EJ14" i="142"/>
  <c r="EJ13" i="142"/>
  <c r="EJ12" i="142"/>
  <c r="EJ11" i="142"/>
  <c r="EJ9" i="142"/>
  <c r="EJ8" i="142"/>
  <c r="EJ7" i="142"/>
  <c r="EJ6" i="142"/>
  <c r="EJ24" i="142"/>
  <c r="EJ23" i="142"/>
  <c r="EJ22" i="142"/>
  <c r="EJ21" i="142"/>
  <c r="EJ18" i="142"/>
  <c r="CM20" i="142"/>
  <c r="CM18" i="142"/>
  <c r="CM14" i="142"/>
  <c r="CM17" i="142"/>
  <c r="CM16" i="142"/>
  <c r="CM15" i="142"/>
  <c r="CM7" i="142"/>
  <c r="CM13" i="142"/>
  <c r="CM12" i="142"/>
  <c r="CM11" i="142"/>
  <c r="CM10" i="142"/>
  <c r="CM9" i="142"/>
  <c r="CM8" i="142"/>
  <c r="CM6" i="142"/>
  <c r="CM24" i="142"/>
  <c r="CM23" i="142"/>
  <c r="CM21" i="142"/>
  <c r="EK1" i="142"/>
  <c r="CM22" i="142"/>
  <c r="CM19" i="142"/>
  <c r="CN1" i="142"/>
  <c r="CO2" i="142"/>
  <c r="FH27" i="142"/>
  <c r="CO2" i="139"/>
  <c r="CN1" i="139"/>
  <c r="EJ24" i="139"/>
  <c r="EJ17" i="139"/>
  <c r="EJ9" i="139"/>
  <c r="EJ22" i="139"/>
  <c r="EJ19" i="139"/>
  <c r="EJ21" i="139"/>
  <c r="EJ14" i="139"/>
  <c r="EJ23" i="139"/>
  <c r="EJ12" i="139"/>
  <c r="EJ8" i="139"/>
  <c r="EJ6" i="139"/>
  <c r="EJ11" i="139"/>
  <c r="EJ13" i="139"/>
  <c r="EJ20" i="139"/>
  <c r="EJ16" i="139"/>
  <c r="EJ7" i="139"/>
  <c r="EJ15" i="139"/>
  <c r="EJ18" i="139"/>
  <c r="FH27" i="139"/>
  <c r="DL2" i="139"/>
  <c r="DK1" i="139"/>
  <c r="CM23" i="139"/>
  <c r="CM12" i="139"/>
  <c r="CM11" i="139"/>
  <c r="CM10" i="139"/>
  <c r="CM18" i="139"/>
  <c r="CM8" i="139"/>
  <c r="CM22" i="139"/>
  <c r="CM14" i="139"/>
  <c r="CM7" i="139"/>
  <c r="CM15" i="139"/>
  <c r="CM13" i="139"/>
  <c r="CM20" i="139"/>
  <c r="CM16" i="139"/>
  <c r="CM6" i="139"/>
  <c r="CM19" i="139"/>
  <c r="EK1" i="139"/>
  <c r="CM24" i="139"/>
  <c r="CM21" i="139"/>
  <c r="CM17" i="139"/>
  <c r="CM9" i="139"/>
  <c r="FH27" i="136"/>
  <c r="CM24" i="137"/>
  <c r="CM17" i="137"/>
  <c r="CM14" i="137"/>
  <c r="CM23" i="137"/>
  <c r="CM13" i="137"/>
  <c r="CM6" i="137"/>
  <c r="CM22" i="137"/>
  <c r="CM11" i="137"/>
  <c r="EK1" i="137"/>
  <c r="CM21" i="137"/>
  <c r="CM15" i="137"/>
  <c r="CM7" i="137"/>
  <c r="CM20" i="137"/>
  <c r="CM12" i="137"/>
  <c r="CM19" i="137"/>
  <c r="CM10" i="137"/>
  <c r="CM18" i="137"/>
  <c r="CM9" i="137"/>
  <c r="CM16" i="137"/>
  <c r="CM8" i="137"/>
  <c r="EJ18" i="137"/>
  <c r="EJ12" i="137"/>
  <c r="EJ16" i="137"/>
  <c r="EJ19" i="137"/>
  <c r="EJ8" i="137"/>
  <c r="EJ24" i="137"/>
  <c r="EJ14" i="137"/>
  <c r="EJ9" i="137"/>
  <c r="EJ23" i="137"/>
  <c r="EJ17" i="137"/>
  <c r="EJ7" i="137"/>
  <c r="EJ22" i="137"/>
  <c r="EJ15" i="137"/>
  <c r="EJ6" i="137"/>
  <c r="EJ21" i="137"/>
  <c r="EJ13" i="137"/>
  <c r="EJ20" i="137"/>
  <c r="EJ11" i="137"/>
  <c r="FH27" i="137"/>
  <c r="EJ18" i="136"/>
  <c r="EJ13" i="136"/>
  <c r="EJ16" i="136"/>
  <c r="EJ20" i="136"/>
  <c r="EJ17" i="136"/>
  <c r="EJ15" i="136"/>
  <c r="EJ24" i="136"/>
  <c r="EJ14" i="136"/>
  <c r="EJ7" i="136"/>
  <c r="EJ23" i="136"/>
  <c r="EJ11" i="136"/>
  <c r="EJ6" i="136"/>
  <c r="EJ22" i="136"/>
  <c r="EJ12" i="136"/>
  <c r="EJ21" i="136"/>
  <c r="EJ9" i="136"/>
  <c r="EJ19" i="136"/>
  <c r="EJ8" i="136"/>
  <c r="DL2" i="136"/>
  <c r="DK1" i="136"/>
  <c r="CO2" i="136"/>
  <c r="CN1" i="136"/>
  <c r="CM19" i="136"/>
  <c r="CM12" i="136"/>
  <c r="CM16" i="136"/>
  <c r="CM8" i="136"/>
  <c r="CM15" i="136"/>
  <c r="CM7" i="136"/>
  <c r="CM23" i="136"/>
  <c r="CM6" i="136"/>
  <c r="CM22" i="136"/>
  <c r="CM17" i="136"/>
  <c r="CM9" i="136"/>
  <c r="CM20" i="136"/>
  <c r="CM18" i="136"/>
  <c r="CM10" i="136"/>
  <c r="CM24" i="136"/>
  <c r="CM14" i="136"/>
  <c r="EK1" i="136"/>
  <c r="CM21" i="136"/>
  <c r="CM13" i="136"/>
  <c r="CM11" i="136"/>
  <c r="DL2" i="137"/>
  <c r="DK1" i="137"/>
  <c r="CN1" i="137"/>
  <c r="CO2" i="137"/>
  <c r="DM2" i="133"/>
  <c r="DL1" i="133"/>
  <c r="EJ17" i="132"/>
  <c r="EJ16" i="132"/>
  <c r="EJ15" i="132"/>
  <c r="EJ24" i="132"/>
  <c r="EJ12" i="132"/>
  <c r="EJ7" i="132"/>
  <c r="EJ19" i="132"/>
  <c r="EJ18" i="132"/>
  <c r="EJ23" i="132"/>
  <c r="EJ21" i="132"/>
  <c r="EJ8" i="132"/>
  <c r="EJ14" i="132"/>
  <c r="EJ11" i="132"/>
  <c r="EJ22" i="132"/>
  <c r="EJ13" i="132"/>
  <c r="EJ6" i="132"/>
  <c r="EJ20" i="132"/>
  <c r="EJ9" i="132"/>
  <c r="CO2" i="132"/>
  <c r="CN1" i="132"/>
  <c r="DL2" i="132"/>
  <c r="DK1" i="132"/>
  <c r="CM24" i="133"/>
  <c r="CM6" i="133"/>
  <c r="CM8" i="133"/>
  <c r="CM19" i="133"/>
  <c r="CM13" i="133"/>
  <c r="CM9" i="133"/>
  <c r="CM20" i="133"/>
  <c r="CM12" i="133"/>
  <c r="CM23" i="133"/>
  <c r="CM14" i="133"/>
  <c r="CM21" i="133"/>
  <c r="CM7" i="133"/>
  <c r="CM17" i="133"/>
  <c r="CM11" i="133"/>
  <c r="CM22" i="133"/>
  <c r="CM10" i="133"/>
  <c r="CM16" i="133"/>
  <c r="EK1" i="133"/>
  <c r="CM15" i="133"/>
  <c r="CM18" i="133"/>
  <c r="EJ20" i="133"/>
  <c r="EJ13" i="133"/>
  <c r="EJ22" i="133"/>
  <c r="EJ11" i="133"/>
  <c r="EJ12" i="133"/>
  <c r="EJ9" i="133"/>
  <c r="EJ8" i="133"/>
  <c r="EJ19" i="133"/>
  <c r="EJ14" i="133"/>
  <c r="EJ18" i="133"/>
  <c r="EJ17" i="133"/>
  <c r="EJ24" i="133"/>
  <c r="EJ16" i="133"/>
  <c r="EJ7" i="133"/>
  <c r="EJ23" i="133"/>
  <c r="EJ15" i="133"/>
  <c r="EJ6" i="133"/>
  <c r="EJ21" i="133"/>
  <c r="DK24" i="133"/>
  <c r="DK9" i="133"/>
  <c r="DK8" i="133"/>
  <c r="DK20" i="133"/>
  <c r="DK15" i="133"/>
  <c r="DK6" i="133"/>
  <c r="DK23" i="133"/>
  <c r="DK14" i="133"/>
  <c r="DK16" i="133"/>
  <c r="DK21" i="133"/>
  <c r="DK18" i="133"/>
  <c r="DK7" i="133"/>
  <c r="DK22" i="133"/>
  <c r="DK12" i="133"/>
  <c r="DK10" i="133"/>
  <c r="DK17" i="133"/>
  <c r="DK19" i="133"/>
  <c r="DK11" i="133"/>
  <c r="DK13" i="133"/>
  <c r="CO2" i="133"/>
  <c r="CN1" i="133"/>
  <c r="CM17" i="132"/>
  <c r="CM15" i="132"/>
  <c r="CM20" i="132"/>
  <c r="CM6" i="132"/>
  <c r="CM18" i="132"/>
  <c r="CM24" i="132"/>
  <c r="CM16" i="132"/>
  <c r="EK1" i="132"/>
  <c r="CM19" i="132"/>
  <c r="CM23" i="132"/>
  <c r="CM14" i="132"/>
  <c r="CM7" i="132"/>
  <c r="CM12" i="132"/>
  <c r="CM22" i="132"/>
  <c r="CM8" i="132"/>
  <c r="CM21" i="132"/>
  <c r="CM10" i="132"/>
  <c r="CM13" i="132"/>
  <c r="CM11" i="132"/>
  <c r="CM9" i="132"/>
  <c r="K30" i="132"/>
  <c r="K28" i="132"/>
  <c r="FH27" i="133"/>
  <c r="FH27" i="132"/>
  <c r="CZ2" i="124"/>
  <c r="CY1" i="124"/>
  <c r="CX21" i="124"/>
  <c r="CX6" i="124"/>
  <c r="CX16" i="124"/>
  <c r="CX8" i="124"/>
  <c r="CX19" i="124"/>
  <c r="CX9" i="124"/>
  <c r="CX24" i="124"/>
  <c r="CX20" i="124"/>
  <c r="EV1" i="124"/>
  <c r="CX23" i="124"/>
  <c r="CX15" i="124"/>
  <c r="CX22" i="124"/>
  <c r="CX14" i="124"/>
  <c r="CX17" i="124"/>
  <c r="CX7" i="124"/>
  <c r="CX18" i="124"/>
  <c r="CX11" i="124"/>
  <c r="CX12" i="124"/>
  <c r="CX10" i="124"/>
  <c r="CX13" i="124"/>
  <c r="CC27" i="124"/>
  <c r="DV1" i="124"/>
  <c r="DW2" i="124"/>
  <c r="DU21" i="124"/>
  <c r="DU6" i="124"/>
  <c r="DU20" i="124"/>
  <c r="DU9" i="124"/>
  <c r="DU19" i="124"/>
  <c r="DU11" i="124"/>
  <c r="DU16" i="124"/>
  <c r="DU7" i="124"/>
  <c r="DU24" i="124"/>
  <c r="DU17" i="124"/>
  <c r="DU22" i="124"/>
  <c r="DU15" i="124"/>
  <c r="DU18" i="124"/>
  <c r="DU14" i="124"/>
  <c r="DU23" i="124"/>
  <c r="DU8" i="124"/>
  <c r="DU10" i="124"/>
  <c r="DU12" i="124"/>
  <c r="DU13" i="124"/>
  <c r="EU24" i="124"/>
  <c r="EU19" i="124"/>
  <c r="EU8" i="124"/>
  <c r="EU23" i="124"/>
  <c r="EU16" i="124"/>
  <c r="EU6" i="124"/>
  <c r="EU21" i="124"/>
  <c r="EU13" i="124"/>
  <c r="EU18" i="124"/>
  <c r="EU12" i="124"/>
  <c r="EU22" i="124"/>
  <c r="EU9" i="124"/>
  <c r="EU17" i="124"/>
  <c r="EU14" i="124"/>
  <c r="EU20" i="124"/>
  <c r="EU7" i="124"/>
  <c r="EU15" i="124"/>
  <c r="EU11" i="124"/>
  <c r="CX24" i="121"/>
  <c r="CX17" i="121"/>
  <c r="CX6" i="121"/>
  <c r="EV1" i="121"/>
  <c r="CX8" i="121"/>
  <c r="CX11" i="121"/>
  <c r="CX7" i="121"/>
  <c r="CX16" i="121"/>
  <c r="CX10" i="121"/>
  <c r="CX23" i="121"/>
  <c r="CX20" i="121"/>
  <c r="CX14" i="121"/>
  <c r="CX21" i="121"/>
  <c r="CX18" i="121"/>
  <c r="CX13" i="121"/>
  <c r="CX12" i="121"/>
  <c r="CX22" i="121"/>
  <c r="CX9" i="121"/>
  <c r="CX19" i="121"/>
  <c r="CX15" i="121"/>
  <c r="CC27" i="121"/>
  <c r="CY1" i="121"/>
  <c r="CZ2" i="121"/>
  <c r="DW2" i="121"/>
  <c r="DV1" i="121"/>
  <c r="DU15" i="121"/>
  <c r="DU12" i="121"/>
  <c r="DU23" i="121"/>
  <c r="DU6" i="121"/>
  <c r="DU21" i="121"/>
  <c r="DU7" i="121"/>
  <c r="DU18" i="121"/>
  <c r="DU19" i="121"/>
  <c r="DU9" i="121"/>
  <c r="DU17" i="121"/>
  <c r="DU14" i="121"/>
  <c r="DU16" i="121"/>
  <c r="DU13" i="121"/>
  <c r="DU24" i="121"/>
  <c r="DU11" i="121"/>
  <c r="DU22" i="121"/>
  <c r="DU8" i="121"/>
  <c r="DU20" i="121"/>
  <c r="DU10" i="121"/>
  <c r="EU19" i="121"/>
  <c r="EU20" i="121"/>
  <c r="EU7" i="121"/>
  <c r="EU21" i="121"/>
  <c r="EU14" i="121"/>
  <c r="EU16" i="121"/>
  <c r="EU9" i="121"/>
  <c r="EU18" i="121"/>
  <c r="EU12" i="121"/>
  <c r="EU24" i="121"/>
  <c r="EU15" i="121"/>
  <c r="EU17" i="121"/>
  <c r="EU22" i="121"/>
  <c r="EU8" i="121"/>
  <c r="EU13" i="121"/>
  <c r="EU11" i="121"/>
  <c r="EU6" i="121"/>
  <c r="EU23" i="121"/>
  <c r="CC27" i="120"/>
  <c r="CZ2" i="120"/>
  <c r="CY1" i="120"/>
  <c r="CX19" i="120"/>
  <c r="CX9" i="120"/>
  <c r="CX15" i="120"/>
  <c r="CX8" i="120"/>
  <c r="CX21" i="120"/>
  <c r="CX11" i="120"/>
  <c r="CX24" i="120"/>
  <c r="CX14" i="120"/>
  <c r="CX7" i="120"/>
  <c r="CX23" i="120"/>
  <c r="CX16" i="120"/>
  <c r="CX6" i="120"/>
  <c r="CX22" i="120"/>
  <c r="CX18" i="120"/>
  <c r="CX13" i="120"/>
  <c r="CX10" i="120"/>
  <c r="CX20" i="120"/>
  <c r="CX12" i="120"/>
  <c r="EV1" i="120"/>
  <c r="CX17" i="120"/>
  <c r="EU21" i="120"/>
  <c r="EU18" i="120"/>
  <c r="EU8" i="120"/>
  <c r="EU19" i="120"/>
  <c r="EU13" i="120"/>
  <c r="EU16" i="120"/>
  <c r="EU6" i="120"/>
  <c r="EU23" i="120"/>
  <c r="EU11" i="120"/>
  <c r="EU17" i="120"/>
  <c r="EU12" i="120"/>
  <c r="EU15" i="120"/>
  <c r="EU14" i="120"/>
  <c r="EU9" i="120"/>
  <c r="EU24" i="120"/>
  <c r="EU22" i="120"/>
  <c r="EU7" i="120"/>
  <c r="EU20" i="120"/>
  <c r="DW2" i="120"/>
  <c r="DV1" i="120"/>
  <c r="DU22" i="120"/>
  <c r="DU11" i="120"/>
  <c r="DU18" i="120"/>
  <c r="DU12" i="120"/>
  <c r="DU21" i="120"/>
  <c r="DU16" i="120"/>
  <c r="DU7" i="120"/>
  <c r="DU23" i="120"/>
  <c r="DU17" i="120"/>
  <c r="DU9" i="120"/>
  <c r="DU24" i="120"/>
  <c r="DU13" i="120"/>
  <c r="DU8" i="120"/>
  <c r="DU19" i="120"/>
  <c r="DU14" i="120"/>
  <c r="DU6" i="120"/>
  <c r="DU10" i="120"/>
  <c r="DU20" i="120"/>
  <c r="DU15" i="120"/>
  <c r="CC27" i="119"/>
  <c r="CZ2" i="119"/>
  <c r="CY1" i="119"/>
  <c r="DU19" i="119"/>
  <c r="DU14" i="119"/>
  <c r="DU24" i="119"/>
  <c r="DU7" i="119"/>
  <c r="DU20" i="119"/>
  <c r="DU6" i="119"/>
  <c r="DU21" i="119"/>
  <c r="DU18" i="119"/>
  <c r="DU16" i="119"/>
  <c r="DU15" i="119"/>
  <c r="DU10" i="119"/>
  <c r="DU22" i="119"/>
  <c r="DU9" i="119"/>
  <c r="DU13" i="119"/>
  <c r="DU23" i="119"/>
  <c r="DU11" i="119"/>
  <c r="DU8" i="119"/>
  <c r="DU17" i="119"/>
  <c r="DU12" i="119"/>
  <c r="CX16" i="119"/>
  <c r="CX11" i="119"/>
  <c r="CX19" i="119"/>
  <c r="CX18" i="119"/>
  <c r="CX20" i="119"/>
  <c r="CX9" i="119"/>
  <c r="CX15" i="119"/>
  <c r="CX10" i="119"/>
  <c r="CX17" i="119"/>
  <c r="CX7" i="119"/>
  <c r="CX24" i="119"/>
  <c r="EV1" i="119"/>
  <c r="CX22" i="119"/>
  <c r="CX8" i="119"/>
  <c r="CX23" i="119"/>
  <c r="CX14" i="119"/>
  <c r="CX6" i="119"/>
  <c r="CX21" i="119"/>
  <c r="CX12" i="119"/>
  <c r="CX13" i="119"/>
  <c r="DW2" i="119"/>
  <c r="DV1" i="119"/>
  <c r="EU23" i="119"/>
  <c r="EU12" i="119"/>
  <c r="EU8" i="119"/>
  <c r="EU11" i="119"/>
  <c r="EU9" i="119"/>
  <c r="EU16" i="119"/>
  <c r="EU13" i="119"/>
  <c r="EU15" i="119"/>
  <c r="EU20" i="119"/>
  <c r="EU6" i="119"/>
  <c r="EU19" i="119"/>
  <c r="EU17" i="119"/>
  <c r="EU7" i="119"/>
  <c r="EU21" i="119"/>
  <c r="EU18" i="119"/>
  <c r="EU14" i="119"/>
  <c r="EU24" i="119"/>
  <c r="EU22" i="119"/>
  <c r="EV23" i="116"/>
  <c r="EV18" i="116"/>
  <c r="EV8" i="116"/>
  <c r="EV20" i="116"/>
  <c r="EV17" i="116"/>
  <c r="EV16" i="116"/>
  <c r="EV21" i="116"/>
  <c r="EV11" i="116"/>
  <c r="EV6" i="116"/>
  <c r="EV15" i="116"/>
  <c r="EV7" i="116"/>
  <c r="EV14" i="116"/>
  <c r="EV12" i="116"/>
  <c r="EV22" i="116"/>
  <c r="EV13" i="116"/>
  <c r="EV19" i="116"/>
  <c r="EV10" i="116"/>
  <c r="EV24" i="116"/>
  <c r="EV9" i="116"/>
  <c r="BQ13" i="94"/>
  <c r="BQ27" i="94" s="1"/>
  <c r="BS13" i="116"/>
  <c r="CY22" i="116"/>
  <c r="CY14" i="116"/>
  <c r="CY15" i="116"/>
  <c r="CY21" i="116"/>
  <c r="CY13" i="116"/>
  <c r="CY9" i="116"/>
  <c r="CY19" i="116"/>
  <c r="CY17" i="116"/>
  <c r="CY8" i="116"/>
  <c r="CY24" i="116"/>
  <c r="CY11" i="116"/>
  <c r="CY7" i="116"/>
  <c r="CY20" i="116"/>
  <c r="CY12" i="116"/>
  <c r="CY23" i="116"/>
  <c r="CY6" i="116"/>
  <c r="CY16" i="116"/>
  <c r="EW1" i="116"/>
  <c r="CY18" i="116"/>
  <c r="CY10" i="116"/>
  <c r="DA2" i="116"/>
  <c r="CZ1" i="116"/>
  <c r="CD27" i="116"/>
  <c r="DV18" i="116"/>
  <c r="DV9" i="116"/>
  <c r="DV19" i="116"/>
  <c r="DV8" i="116"/>
  <c r="DV22" i="116"/>
  <c r="DV14" i="116"/>
  <c r="DV21" i="116"/>
  <c r="DV11" i="116"/>
  <c r="DV17" i="116"/>
  <c r="DV12" i="116"/>
  <c r="DV24" i="116"/>
  <c r="DV15" i="116"/>
  <c r="DV7" i="116"/>
  <c r="DV20" i="116"/>
  <c r="DV16" i="116"/>
  <c r="DV6" i="116"/>
  <c r="DV23" i="116"/>
  <c r="DV10" i="116"/>
  <c r="DV13" i="116"/>
  <c r="DX2" i="116"/>
  <c r="DW1" i="116"/>
  <c r="BU30" i="92"/>
  <c r="O13" i="93"/>
  <c r="P13" i="93" s="1"/>
  <c r="DX2" i="112"/>
  <c r="DW1" i="112"/>
  <c r="CD27" i="112"/>
  <c r="DV19" i="113"/>
  <c r="DV10" i="113"/>
  <c r="DV22" i="113"/>
  <c r="DV9" i="113"/>
  <c r="DV17" i="113"/>
  <c r="DV21" i="113"/>
  <c r="DV20" i="113"/>
  <c r="DV24" i="113"/>
  <c r="DV14" i="113"/>
  <c r="DV6" i="113"/>
  <c r="DV18" i="113"/>
  <c r="DV12" i="113"/>
  <c r="DV8" i="113"/>
  <c r="DV16" i="113"/>
  <c r="DV11" i="113"/>
  <c r="DV15" i="113"/>
  <c r="DV13" i="113"/>
  <c r="DV23" i="113"/>
  <c r="DV7" i="113"/>
  <c r="BS27" i="113"/>
  <c r="BU10" i="92"/>
  <c r="BU28" i="92" s="1"/>
  <c r="BW10" i="112"/>
  <c r="DW1" i="113"/>
  <c r="DX2" i="113"/>
  <c r="EV8" i="112"/>
  <c r="EV7" i="112"/>
  <c r="EV24" i="112"/>
  <c r="EV17" i="112"/>
  <c r="EV15" i="112"/>
  <c r="EV23" i="112"/>
  <c r="EV20" i="112"/>
  <c r="EV14" i="112"/>
  <c r="EV18" i="112"/>
  <c r="EV16" i="112"/>
  <c r="EV19" i="112"/>
  <c r="EV22" i="112"/>
  <c r="EV13" i="112"/>
  <c r="EV11" i="112"/>
  <c r="EV6" i="112"/>
  <c r="EV10" i="112"/>
  <c r="EV12" i="112"/>
  <c r="EV9" i="112"/>
  <c r="EV21" i="112"/>
  <c r="CY22" i="113"/>
  <c r="CY17" i="113"/>
  <c r="EW1" i="113"/>
  <c r="CY20" i="113"/>
  <c r="CY10" i="113"/>
  <c r="CY12" i="113"/>
  <c r="CY7" i="113"/>
  <c r="CY18" i="113"/>
  <c r="CY9" i="113"/>
  <c r="CY19" i="113"/>
  <c r="CY8" i="113"/>
  <c r="CY21" i="113"/>
  <c r="CY16" i="113"/>
  <c r="CY13" i="113"/>
  <c r="CY24" i="113"/>
  <c r="CY15" i="113"/>
  <c r="CY11" i="113"/>
  <c r="CY23" i="113"/>
  <c r="CY14" i="113"/>
  <c r="CY6" i="113"/>
  <c r="CY19" i="112"/>
  <c r="CY11" i="112"/>
  <c r="CY6" i="112"/>
  <c r="CY18" i="112"/>
  <c r="CY14" i="112"/>
  <c r="CY20" i="112"/>
  <c r="CY15" i="112"/>
  <c r="EW1" i="112"/>
  <c r="CY10" i="112"/>
  <c r="CY7" i="112"/>
  <c r="CY9" i="112"/>
  <c r="CY21" i="112"/>
  <c r="CY24" i="112"/>
  <c r="CY8" i="112"/>
  <c r="CY12" i="112"/>
  <c r="CY23" i="112"/>
  <c r="CY16" i="112"/>
  <c r="CY22" i="112"/>
  <c r="CY17" i="112"/>
  <c r="CY13" i="112"/>
  <c r="DA2" i="113"/>
  <c r="CZ1" i="113"/>
  <c r="DA2" i="112"/>
  <c r="CZ1" i="112"/>
  <c r="BU13" i="93"/>
  <c r="Q13" i="93" s="1"/>
  <c r="R13" i="93" s="1"/>
  <c r="BW13" i="113"/>
  <c r="ES10" i="109"/>
  <c r="ET10" i="112"/>
  <c r="DV16" i="112"/>
  <c r="DV7" i="112"/>
  <c r="DV24" i="112"/>
  <c r="DV15" i="112"/>
  <c r="DV13" i="112"/>
  <c r="DV22" i="112"/>
  <c r="DV19" i="112"/>
  <c r="DV9" i="112"/>
  <c r="DV21" i="112"/>
  <c r="DV10" i="112"/>
  <c r="DV8" i="112"/>
  <c r="DV23" i="112"/>
  <c r="DV20" i="112"/>
  <c r="DV14" i="112"/>
  <c r="DV17" i="112"/>
  <c r="DV6" i="112"/>
  <c r="DV12" i="112"/>
  <c r="DV11" i="112"/>
  <c r="DV18" i="112"/>
  <c r="EU10" i="113"/>
  <c r="CI10" i="113" s="1"/>
  <c r="CD27" i="113"/>
  <c r="EV24" i="113"/>
  <c r="EV14" i="113"/>
  <c r="EV12" i="113"/>
  <c r="EV15" i="113"/>
  <c r="EV23" i="113"/>
  <c r="EV11" i="113"/>
  <c r="EV6" i="113"/>
  <c r="EV21" i="113"/>
  <c r="EV17" i="113"/>
  <c r="EV10" i="113"/>
  <c r="EV7" i="113"/>
  <c r="EV20" i="113"/>
  <c r="EV9" i="113"/>
  <c r="EV19" i="113"/>
  <c r="EV8" i="113"/>
  <c r="EV16" i="113"/>
  <c r="EV22" i="113"/>
  <c r="EV18" i="113"/>
  <c r="EV13" i="113"/>
  <c r="Q30" i="90"/>
  <c r="Q10" i="109"/>
  <c r="R10" i="109" s="1"/>
  <c r="Q29" i="90"/>
  <c r="Q28" i="91"/>
  <c r="Q29" i="91"/>
  <c r="CD27" i="109"/>
  <c r="EU22" i="108"/>
  <c r="EU10" i="108"/>
  <c r="EU21" i="108"/>
  <c r="EU9" i="108"/>
  <c r="EU20" i="108"/>
  <c r="EU8" i="108"/>
  <c r="EU19" i="108"/>
  <c r="EU7" i="108"/>
  <c r="EU6" i="108"/>
  <c r="EU17" i="108"/>
  <c r="EU16" i="108"/>
  <c r="EU15" i="108"/>
  <c r="EU18" i="108"/>
  <c r="EU11" i="108"/>
  <c r="EU14" i="108"/>
  <c r="EU23" i="108"/>
  <c r="EU13" i="108"/>
  <c r="EU24" i="108"/>
  <c r="EQ10" i="108"/>
  <c r="DA2" i="109"/>
  <c r="CZ1" i="109"/>
  <c r="CY22" i="109"/>
  <c r="CY10" i="109"/>
  <c r="CY23" i="109"/>
  <c r="CY21" i="109"/>
  <c r="CY9" i="109"/>
  <c r="CY16" i="109"/>
  <c r="CY12" i="109"/>
  <c r="CY11" i="109"/>
  <c r="CY20" i="109"/>
  <c r="CY8" i="109"/>
  <c r="CY19" i="109"/>
  <c r="CY7" i="109"/>
  <c r="CY14" i="109"/>
  <c r="CY18" i="109"/>
  <c r="CY6" i="109"/>
  <c r="CY13" i="109"/>
  <c r="CY24" i="109"/>
  <c r="CY17" i="109"/>
  <c r="EW1" i="109"/>
  <c r="CY15" i="109"/>
  <c r="DW1" i="109"/>
  <c r="DX2" i="109"/>
  <c r="CC27" i="108"/>
  <c r="DV24" i="109"/>
  <c r="DV12" i="109"/>
  <c r="DV17" i="109"/>
  <c r="DV15" i="109"/>
  <c r="DV14" i="109"/>
  <c r="DV23" i="109"/>
  <c r="DV11" i="109"/>
  <c r="DV22" i="109"/>
  <c r="DV10" i="109"/>
  <c r="DV6" i="109"/>
  <c r="DV21" i="109"/>
  <c r="DV9" i="109"/>
  <c r="DV20" i="109"/>
  <c r="DV8" i="109"/>
  <c r="DV18" i="109"/>
  <c r="DV16" i="109"/>
  <c r="DV13" i="109"/>
  <c r="DV19" i="109"/>
  <c r="DV7" i="109"/>
  <c r="DU14" i="108"/>
  <c r="DU12" i="108"/>
  <c r="DU11" i="108"/>
  <c r="DU10" i="108"/>
  <c r="DU9" i="108"/>
  <c r="DU8" i="108"/>
  <c r="DU18" i="108"/>
  <c r="DU13" i="108"/>
  <c r="DU21" i="108"/>
  <c r="DU19" i="108"/>
  <c r="DU15" i="108"/>
  <c r="DU24" i="108"/>
  <c r="DU6" i="108"/>
  <c r="DU16" i="108"/>
  <c r="DU23" i="108"/>
  <c r="DU22" i="108"/>
  <c r="DU20" i="108"/>
  <c r="DU7" i="108"/>
  <c r="DU17" i="108"/>
  <c r="EV20" i="109"/>
  <c r="EV8" i="109"/>
  <c r="EV14" i="109"/>
  <c r="EV24" i="109"/>
  <c r="EV19" i="109"/>
  <c r="EV7" i="109"/>
  <c r="EV13" i="109"/>
  <c r="EV18" i="109"/>
  <c r="EV6" i="109"/>
  <c r="EV9" i="109"/>
  <c r="EV17" i="109"/>
  <c r="EV23" i="109"/>
  <c r="EV22" i="109"/>
  <c r="EV21" i="109"/>
  <c r="EV16" i="109"/>
  <c r="EV15" i="109"/>
  <c r="EV11" i="109"/>
  <c r="EV10" i="109"/>
  <c r="DW2" i="108"/>
  <c r="DV1" i="108"/>
  <c r="CX24" i="108"/>
  <c r="CX12" i="108"/>
  <c r="CX23" i="108"/>
  <c r="CX11" i="108"/>
  <c r="CX10" i="108"/>
  <c r="CX9" i="108"/>
  <c r="CX19" i="108"/>
  <c r="CX16" i="108"/>
  <c r="CX13" i="108"/>
  <c r="CX22" i="108"/>
  <c r="CX8" i="108"/>
  <c r="CX21" i="108"/>
  <c r="CX20" i="108"/>
  <c r="CX7" i="108"/>
  <c r="CX18" i="108"/>
  <c r="CX17" i="108"/>
  <c r="CX15" i="108"/>
  <c r="CX6" i="108"/>
  <c r="CX14" i="108"/>
  <c r="EV1" i="108"/>
  <c r="CY1" i="108"/>
  <c r="CZ2" i="108"/>
  <c r="DU24" i="106"/>
  <c r="DU16" i="106"/>
  <c r="DU8" i="106"/>
  <c r="DU23" i="106"/>
  <c r="DU15" i="106"/>
  <c r="DU7" i="106"/>
  <c r="DU22" i="106"/>
  <c r="DU14" i="106"/>
  <c r="DU6" i="106"/>
  <c r="DU9" i="106"/>
  <c r="DU21" i="106"/>
  <c r="DU13" i="106"/>
  <c r="DU20" i="106"/>
  <c r="DU12" i="106"/>
  <c r="DU17" i="106"/>
  <c r="DU19" i="106"/>
  <c r="DU11" i="106"/>
  <c r="DU18" i="106"/>
  <c r="DU10" i="106"/>
  <c r="DW2" i="106"/>
  <c r="DV1" i="106"/>
  <c r="EO10" i="105"/>
  <c r="EP10" i="106"/>
  <c r="CZ2" i="106"/>
  <c r="CY1" i="106"/>
  <c r="CX22" i="106"/>
  <c r="CX14" i="106"/>
  <c r="CX6" i="106"/>
  <c r="CX23" i="106"/>
  <c r="CX21" i="106"/>
  <c r="CX13" i="106"/>
  <c r="EV1" i="106"/>
  <c r="CX15" i="106"/>
  <c r="CX20" i="106"/>
  <c r="CX12" i="106"/>
  <c r="CX19" i="106"/>
  <c r="CX11" i="106"/>
  <c r="CX18" i="106"/>
  <c r="CX10" i="106"/>
  <c r="CX17" i="106"/>
  <c r="CX9" i="106"/>
  <c r="CX24" i="106"/>
  <c r="CX16" i="106"/>
  <c r="CX8" i="106"/>
  <c r="CX7" i="106"/>
  <c r="EU20" i="106"/>
  <c r="EU12" i="106"/>
  <c r="EU19" i="106"/>
  <c r="EU11" i="106"/>
  <c r="EU18" i="106"/>
  <c r="EU10" i="106"/>
  <c r="EU17" i="106"/>
  <c r="EU9" i="106"/>
  <c r="EU13" i="106"/>
  <c r="EU24" i="106"/>
  <c r="EU16" i="106"/>
  <c r="EU8" i="106"/>
  <c r="EU23" i="106"/>
  <c r="EU15" i="106"/>
  <c r="EU7" i="106"/>
  <c r="EU21" i="106"/>
  <c r="EU22" i="106"/>
  <c r="EU14" i="106"/>
  <c r="EU6" i="106"/>
  <c r="CC27" i="106"/>
  <c r="DV1" i="105"/>
  <c r="DW2" i="105"/>
  <c r="CX22" i="105"/>
  <c r="CX10" i="105"/>
  <c r="CX21" i="105"/>
  <c r="CX9" i="105"/>
  <c r="CX19" i="105"/>
  <c r="CX7" i="105"/>
  <c r="CX16" i="105"/>
  <c r="CX14" i="105"/>
  <c r="CX13" i="105"/>
  <c r="CX12" i="105"/>
  <c r="CX18" i="105"/>
  <c r="CX6" i="105"/>
  <c r="CX15" i="105"/>
  <c r="CX11" i="105"/>
  <c r="CX20" i="105"/>
  <c r="CX17" i="105"/>
  <c r="EV1" i="105"/>
  <c r="CX24" i="105"/>
  <c r="CX23" i="105"/>
  <c r="CX8" i="105"/>
  <c r="CC27" i="105"/>
  <c r="CY1" i="105"/>
  <c r="CZ2" i="105"/>
  <c r="EU20" i="105"/>
  <c r="EU8" i="105"/>
  <c r="EU19" i="105"/>
  <c r="EU7" i="105"/>
  <c r="EU17" i="105"/>
  <c r="EU14" i="105"/>
  <c r="EU12" i="105"/>
  <c r="EU11" i="105"/>
  <c r="EU10" i="105"/>
  <c r="EU21" i="105"/>
  <c r="EU16" i="105"/>
  <c r="EU22" i="105"/>
  <c r="EU18" i="105"/>
  <c r="EU15" i="105"/>
  <c r="EU13" i="105"/>
  <c r="EU24" i="105"/>
  <c r="EU23" i="105"/>
  <c r="EU9" i="105"/>
  <c r="EU6" i="105"/>
  <c r="DU24" i="105"/>
  <c r="DU12" i="105"/>
  <c r="DU23" i="105"/>
  <c r="DU11" i="105"/>
  <c r="DU21" i="105"/>
  <c r="DU9" i="105"/>
  <c r="DU17" i="105"/>
  <c r="DU15" i="105"/>
  <c r="DU14" i="105"/>
  <c r="DU13" i="105"/>
  <c r="DU20" i="105"/>
  <c r="DU8" i="105"/>
  <c r="DU18" i="105"/>
  <c r="DU22" i="105"/>
  <c r="DU19" i="105"/>
  <c r="DU7" i="105"/>
  <c r="DU6" i="105"/>
  <c r="DU16" i="105"/>
  <c r="DU10" i="105"/>
  <c r="Y10" i="92"/>
  <c r="EL10" i="98"/>
  <c r="EM10" i="100"/>
  <c r="CC27" i="100"/>
  <c r="CB28" i="100" s="1"/>
  <c r="W6" i="100"/>
  <c r="X6" i="100" s="1"/>
  <c r="GJ113" i="9"/>
  <c r="GN113" i="9" s="1"/>
  <c r="EI10" i="95"/>
  <c r="EJ10" i="96"/>
  <c r="EK10" i="97"/>
  <c r="IV112" i="9"/>
  <c r="IU113" i="9"/>
  <c r="EW114" i="9"/>
  <c r="EX113" i="9"/>
  <c r="EH10" i="93"/>
  <c r="CG10" i="93" s="1"/>
  <c r="Y10" i="93" s="1"/>
  <c r="EI10" i="94"/>
  <c r="GH111" i="9"/>
  <c r="DV1" i="92"/>
  <c r="DW2" i="92"/>
  <c r="CC27" i="92"/>
  <c r="DU20" i="92"/>
  <c r="DU24" i="92"/>
  <c r="DU8" i="92"/>
  <c r="DU19" i="92"/>
  <c r="DU18" i="92"/>
  <c r="DU23" i="92"/>
  <c r="DU15" i="92"/>
  <c r="DU12" i="92"/>
  <c r="DU14" i="92"/>
  <c r="DU9" i="92"/>
  <c r="DU17" i="92"/>
  <c r="DU6" i="92"/>
  <c r="DU7" i="92"/>
  <c r="DU21" i="92"/>
  <c r="DU16" i="92"/>
  <c r="DU11" i="92"/>
  <c r="DU22" i="92"/>
  <c r="DU13" i="92"/>
  <c r="DU10" i="92"/>
  <c r="CY1" i="92"/>
  <c r="CZ2" i="92"/>
  <c r="CX22" i="92"/>
  <c r="CX9" i="92"/>
  <c r="CX21" i="92"/>
  <c r="CX17" i="92"/>
  <c r="CX13" i="92"/>
  <c r="CX16" i="92"/>
  <c r="CX12" i="92"/>
  <c r="CX7" i="92"/>
  <c r="CX20" i="92"/>
  <c r="CX6" i="92"/>
  <c r="CX24" i="92"/>
  <c r="CX23" i="92"/>
  <c r="CX15" i="92"/>
  <c r="CX19" i="92"/>
  <c r="CX10" i="92"/>
  <c r="CX11" i="92"/>
  <c r="CX14" i="92"/>
  <c r="EV1" i="92"/>
  <c r="CX8" i="92"/>
  <c r="CX18" i="92"/>
  <c r="EU23" i="92"/>
  <c r="EU22" i="92"/>
  <c r="EU18" i="92"/>
  <c r="EU14" i="92"/>
  <c r="EU11" i="92"/>
  <c r="EU9" i="92"/>
  <c r="EU6" i="92"/>
  <c r="EU12" i="92"/>
  <c r="EU19" i="92"/>
  <c r="EU21" i="92"/>
  <c r="EU7" i="92"/>
  <c r="EU24" i="92"/>
  <c r="EU16" i="92"/>
  <c r="EU17" i="92"/>
  <c r="EU10" i="92"/>
  <c r="EU13" i="92"/>
  <c r="EU15" i="92"/>
  <c r="EU8" i="92"/>
  <c r="EU20" i="92"/>
  <c r="CX23" i="90"/>
  <c r="CX9" i="90"/>
  <c r="CX24" i="90"/>
  <c r="CX8" i="90"/>
  <c r="CX18" i="90"/>
  <c r="CX17" i="90"/>
  <c r="CX15" i="90"/>
  <c r="CX14" i="90"/>
  <c r="CX11" i="90"/>
  <c r="CX21" i="90"/>
  <c r="CX6" i="90"/>
  <c r="CX22" i="90"/>
  <c r="CX7" i="90"/>
  <c r="CX19" i="90"/>
  <c r="EV1" i="90"/>
  <c r="CX16" i="90"/>
  <c r="CX13" i="90"/>
  <c r="CX20" i="90"/>
  <c r="CX12" i="90"/>
  <c r="CX10" i="90"/>
  <c r="CZ2" i="90"/>
  <c r="CY1" i="90"/>
  <c r="CX15" i="91"/>
  <c r="CX8" i="91"/>
  <c r="CX13" i="91"/>
  <c r="CX14" i="91"/>
  <c r="CX23" i="91"/>
  <c r="CX21" i="91"/>
  <c r="CX24" i="91"/>
  <c r="CX10" i="91"/>
  <c r="CX7" i="91"/>
  <c r="CX19" i="91"/>
  <c r="CX18" i="91"/>
  <c r="CX9" i="91"/>
  <c r="CX11" i="91"/>
  <c r="CX12" i="91"/>
  <c r="CX6" i="91"/>
  <c r="EV1" i="91"/>
  <c r="CX22" i="91"/>
  <c r="CX20" i="91"/>
  <c r="CX17" i="91"/>
  <c r="CX16" i="91"/>
  <c r="CY1" i="91"/>
  <c r="CZ2" i="91"/>
  <c r="DU17" i="90"/>
  <c r="DU8" i="90"/>
  <c r="DU19" i="90"/>
  <c r="DU18" i="90"/>
  <c r="DU23" i="90"/>
  <c r="DU11" i="90"/>
  <c r="DU9" i="90"/>
  <c r="DU21" i="90"/>
  <c r="DU7" i="90"/>
  <c r="DU15" i="90"/>
  <c r="DU24" i="90"/>
  <c r="DU6" i="90"/>
  <c r="DU22" i="90"/>
  <c r="DU14" i="90"/>
  <c r="DU16" i="90"/>
  <c r="DU20" i="90"/>
  <c r="DU10" i="90"/>
  <c r="DU13" i="90"/>
  <c r="DU12" i="90"/>
  <c r="DV1" i="90"/>
  <c r="DW2" i="90"/>
  <c r="CC27" i="91"/>
  <c r="EU19" i="90"/>
  <c r="EU14" i="90"/>
  <c r="EU21" i="90"/>
  <c r="EU6" i="90"/>
  <c r="EU12" i="90"/>
  <c r="EU7" i="90"/>
  <c r="EU16" i="90"/>
  <c r="EU22" i="90"/>
  <c r="EU8" i="90"/>
  <c r="EU23" i="90"/>
  <c r="EU13" i="90"/>
  <c r="EU24" i="90"/>
  <c r="EU9" i="90"/>
  <c r="EU20" i="90"/>
  <c r="EU18" i="90"/>
  <c r="EU10" i="90"/>
  <c r="EU17" i="90"/>
  <c r="EU11" i="90"/>
  <c r="EU15" i="90"/>
  <c r="DV1" i="91"/>
  <c r="DW2" i="91"/>
  <c r="CC27" i="90"/>
  <c r="DU16" i="91"/>
  <c r="DU9" i="91"/>
  <c r="DU6" i="91"/>
  <c r="DU13" i="91"/>
  <c r="DU22" i="91"/>
  <c r="DU8" i="91"/>
  <c r="DU18" i="91"/>
  <c r="DU11" i="91"/>
  <c r="DU24" i="91"/>
  <c r="DU7" i="91"/>
  <c r="DU23" i="91"/>
  <c r="DU19" i="91"/>
  <c r="DU20" i="91"/>
  <c r="DU15" i="91"/>
  <c r="DU10" i="91"/>
  <c r="DU14" i="91"/>
  <c r="DU17" i="91"/>
  <c r="DU21" i="91"/>
  <c r="DU12" i="91"/>
  <c r="EU10" i="91"/>
  <c r="EU13" i="91"/>
  <c r="EU9" i="91"/>
  <c r="EU16" i="91"/>
  <c r="EU8" i="91"/>
  <c r="EU22" i="91"/>
  <c r="EU19" i="91"/>
  <c r="EU23" i="91"/>
  <c r="EU17" i="91"/>
  <c r="EU18" i="91"/>
  <c r="EU6" i="91"/>
  <c r="EU24" i="91"/>
  <c r="EU12" i="91"/>
  <c r="EU15" i="91"/>
  <c r="EU7" i="91"/>
  <c r="EU21" i="91"/>
  <c r="EU20" i="91"/>
  <c r="EU14" i="91"/>
  <c r="EU11" i="91"/>
  <c r="DU13" i="89"/>
  <c r="DU8" i="89"/>
  <c r="DU18" i="89"/>
  <c r="DU14" i="89"/>
  <c r="DU16" i="89"/>
  <c r="DU10" i="89"/>
  <c r="DU24" i="89"/>
  <c r="DU23" i="89"/>
  <c r="DU17" i="89"/>
  <c r="DU12" i="89"/>
  <c r="DU22" i="89"/>
  <c r="DU15" i="89"/>
  <c r="DU6" i="89"/>
  <c r="DU19" i="89"/>
  <c r="DU7" i="89"/>
  <c r="DU21" i="89"/>
  <c r="DU11" i="89"/>
  <c r="DU20" i="89"/>
  <c r="DU9" i="89"/>
  <c r="EU21" i="89"/>
  <c r="EU14" i="89"/>
  <c r="EU8" i="89"/>
  <c r="EU23" i="89"/>
  <c r="EU10" i="89"/>
  <c r="EU6" i="89"/>
  <c r="EU22" i="89"/>
  <c r="EU13" i="89"/>
  <c r="EU7" i="89"/>
  <c r="EU24" i="89"/>
  <c r="EU18" i="89"/>
  <c r="EU16" i="89"/>
  <c r="EU12" i="89"/>
  <c r="EU19" i="89"/>
  <c r="EU20" i="89"/>
  <c r="EU15" i="89"/>
  <c r="EU11" i="89"/>
  <c r="EU17" i="89"/>
  <c r="EU9" i="89"/>
  <c r="DV1" i="89"/>
  <c r="DW2" i="89"/>
  <c r="CC27" i="89"/>
  <c r="CZ2" i="89"/>
  <c r="CY1" i="89"/>
  <c r="CX23" i="89"/>
  <c r="CX9" i="89"/>
  <c r="CX13" i="89"/>
  <c r="CX18" i="89"/>
  <c r="CX7" i="89"/>
  <c r="CX11" i="89"/>
  <c r="CX17" i="89"/>
  <c r="CX12" i="89"/>
  <c r="CX20" i="89"/>
  <c r="CX16" i="89"/>
  <c r="CX6" i="89"/>
  <c r="CX24" i="89"/>
  <c r="CX15" i="89"/>
  <c r="EV1" i="89"/>
  <c r="CX8" i="89"/>
  <c r="CX21" i="89"/>
  <c r="CX19" i="89"/>
  <c r="CX14" i="89"/>
  <c r="CX22" i="89"/>
  <c r="CX10" i="89"/>
  <c r="DU23" i="87"/>
  <c r="DU15" i="87"/>
  <c r="DU11" i="87"/>
  <c r="DU22" i="87"/>
  <c r="DU10" i="87"/>
  <c r="DU20" i="87"/>
  <c r="DU9" i="87"/>
  <c r="DU18" i="87"/>
  <c r="DU14" i="87"/>
  <c r="DU17" i="87"/>
  <c r="DU12" i="87"/>
  <c r="DU16" i="87"/>
  <c r="DU7" i="87"/>
  <c r="DU21" i="87"/>
  <c r="DU19" i="87"/>
  <c r="DU8" i="87"/>
  <c r="DU24" i="87"/>
  <c r="DU13" i="87"/>
  <c r="DU6" i="87"/>
  <c r="CC27" i="87"/>
  <c r="DW2" i="87"/>
  <c r="DV1" i="87"/>
  <c r="CC27" i="88"/>
  <c r="EU21" i="88"/>
  <c r="EU16" i="88"/>
  <c r="EU6" i="88"/>
  <c r="EU24" i="88"/>
  <c r="EU13" i="88"/>
  <c r="EU14" i="88"/>
  <c r="EU17" i="88"/>
  <c r="EU10" i="88"/>
  <c r="EU18" i="88"/>
  <c r="EU9" i="88"/>
  <c r="EU23" i="88"/>
  <c r="EU12" i="88"/>
  <c r="EU20" i="88"/>
  <c r="EU7" i="88"/>
  <c r="EU19" i="88"/>
  <c r="EU11" i="88"/>
  <c r="EU22" i="88"/>
  <c r="EU15" i="88"/>
  <c r="EU8" i="88"/>
  <c r="DU18" i="88"/>
  <c r="DU12" i="88"/>
  <c r="DU7" i="88"/>
  <c r="DU24" i="88"/>
  <c r="DU17" i="88"/>
  <c r="DU20" i="88"/>
  <c r="DU8" i="88"/>
  <c r="DU19" i="88"/>
  <c r="DU6" i="88"/>
  <c r="DU21" i="88"/>
  <c r="DU15" i="88"/>
  <c r="DU16" i="88"/>
  <c r="DU9" i="88"/>
  <c r="DU23" i="88"/>
  <c r="DU14" i="88"/>
  <c r="DU10" i="88"/>
  <c r="DU22" i="88"/>
  <c r="DU13" i="88"/>
  <c r="DU11" i="88"/>
  <c r="EU15" i="87"/>
  <c r="EU6" i="87"/>
  <c r="EU19" i="87"/>
  <c r="EU12" i="87"/>
  <c r="EU9" i="87"/>
  <c r="EU24" i="87"/>
  <c r="EU14" i="87"/>
  <c r="EU8" i="87"/>
  <c r="EU23" i="87"/>
  <c r="EU22" i="87"/>
  <c r="EU7" i="87"/>
  <c r="EU20" i="87"/>
  <c r="EU16" i="87"/>
  <c r="EU21" i="87"/>
  <c r="EU17" i="87"/>
  <c r="EU18" i="87"/>
  <c r="EU11" i="87"/>
  <c r="EU13" i="87"/>
  <c r="EU10" i="87"/>
  <c r="CZ2" i="87"/>
  <c r="CY1" i="87"/>
  <c r="CX24" i="88"/>
  <c r="CX22" i="88"/>
  <c r="CX9" i="88"/>
  <c r="CX17" i="88"/>
  <c r="CX8" i="88"/>
  <c r="CX21" i="88"/>
  <c r="CX16" i="88"/>
  <c r="CX13" i="88"/>
  <c r="CX20" i="88"/>
  <c r="CX15" i="88"/>
  <c r="CX7" i="88"/>
  <c r="CX23" i="88"/>
  <c r="CX14" i="88"/>
  <c r="CX6" i="88"/>
  <c r="CX18" i="88"/>
  <c r="CX12" i="88"/>
  <c r="EV1" i="88"/>
  <c r="CX19" i="88"/>
  <c r="CX11" i="88"/>
  <c r="CX10" i="88"/>
  <c r="DW2" i="88"/>
  <c r="DV1" i="88"/>
  <c r="CX13" i="87"/>
  <c r="CX8" i="87"/>
  <c r="CX24" i="87"/>
  <c r="CX16" i="87"/>
  <c r="CX19" i="87"/>
  <c r="CX22" i="87"/>
  <c r="CX15" i="87"/>
  <c r="CX7" i="87"/>
  <c r="CX21" i="87"/>
  <c r="CX14" i="87"/>
  <c r="CX6" i="87"/>
  <c r="CX18" i="87"/>
  <c r="CX12" i="87"/>
  <c r="EV1" i="87"/>
  <c r="CX17" i="87"/>
  <c r="CX11" i="87"/>
  <c r="CX23" i="87"/>
  <c r="CX10" i="87"/>
  <c r="CX20" i="87"/>
  <c r="CX9" i="87"/>
  <c r="CY1" i="88"/>
  <c r="CZ2" i="88"/>
  <c r="EU24" i="86"/>
  <c r="EU12" i="86"/>
  <c r="EU23" i="86"/>
  <c r="EU14" i="86"/>
  <c r="EU20" i="86"/>
  <c r="EU11" i="86"/>
  <c r="EU13" i="86"/>
  <c r="EU17" i="86"/>
  <c r="EU10" i="86"/>
  <c r="EU21" i="86"/>
  <c r="EU16" i="86"/>
  <c r="EU9" i="86"/>
  <c r="EU7" i="86"/>
  <c r="EU22" i="86"/>
  <c r="EU15" i="86"/>
  <c r="EU6" i="86"/>
  <c r="EU19" i="86"/>
  <c r="EU18" i="86"/>
  <c r="EU8" i="86"/>
  <c r="CZ2" i="86"/>
  <c r="CY1" i="86"/>
  <c r="DU22" i="86"/>
  <c r="DU20" i="86"/>
  <c r="DU8" i="86"/>
  <c r="DU15" i="86"/>
  <c r="DU19" i="86"/>
  <c r="DU18" i="86"/>
  <c r="DU7" i="86"/>
  <c r="DU9" i="86"/>
  <c r="DU24" i="86"/>
  <c r="DU13" i="86"/>
  <c r="DU6" i="86"/>
  <c r="DU23" i="86"/>
  <c r="DU12" i="86"/>
  <c r="DU21" i="86"/>
  <c r="DU14" i="86"/>
  <c r="DU17" i="86"/>
  <c r="DU11" i="86"/>
  <c r="DU16" i="86"/>
  <c r="DU10" i="86"/>
  <c r="CX21" i="86"/>
  <c r="CX19" i="86"/>
  <c r="CX8" i="86"/>
  <c r="CX24" i="86"/>
  <c r="CX23" i="86"/>
  <c r="CX18" i="86"/>
  <c r="CX7" i="86"/>
  <c r="CX22" i="86"/>
  <c r="CX13" i="86"/>
  <c r="EV1" i="86"/>
  <c r="CX20" i="86"/>
  <c r="CX12" i="86"/>
  <c r="CX6" i="86"/>
  <c r="CX17" i="86"/>
  <c r="CX14" i="86"/>
  <c r="CX16" i="86"/>
  <c r="CX11" i="86"/>
  <c r="CX9" i="86"/>
  <c r="CX15" i="86"/>
  <c r="CX10" i="86"/>
  <c r="DW2" i="86"/>
  <c r="DV1" i="86"/>
  <c r="DK20" i="142" l="1"/>
  <c r="DK17" i="142"/>
  <c r="DK16" i="142"/>
  <c r="DK15" i="142"/>
  <c r="DK14" i="142"/>
  <c r="DK13" i="142"/>
  <c r="DK12" i="142"/>
  <c r="DK11" i="142"/>
  <c r="DK9" i="142"/>
  <c r="DK8" i="142"/>
  <c r="DK7" i="142"/>
  <c r="DK6" i="142"/>
  <c r="DK19" i="142"/>
  <c r="DK18" i="142"/>
  <c r="DK24" i="142"/>
  <c r="DK23" i="142"/>
  <c r="DK22" i="142"/>
  <c r="DK21" i="142"/>
  <c r="DK10" i="142"/>
  <c r="DL1" i="142"/>
  <c r="DM2" i="142"/>
  <c r="EK24" i="142"/>
  <c r="EK17" i="142"/>
  <c r="EK20" i="142"/>
  <c r="EK18" i="142"/>
  <c r="EK16" i="142"/>
  <c r="EK15" i="142"/>
  <c r="EK14" i="142"/>
  <c r="EK13" i="142"/>
  <c r="EK12" i="142"/>
  <c r="EK11" i="142"/>
  <c r="EK9" i="142"/>
  <c r="EK8" i="142"/>
  <c r="EK7" i="142"/>
  <c r="EK6" i="142"/>
  <c r="EK23" i="142"/>
  <c r="EK22" i="142"/>
  <c r="EK21" i="142"/>
  <c r="EK19" i="142"/>
  <c r="CN23" i="142"/>
  <c r="CN18" i="142"/>
  <c r="CN14" i="142"/>
  <c r="EL1" i="142"/>
  <c r="CN20" i="142"/>
  <c r="CN17" i="142"/>
  <c r="CN16" i="142"/>
  <c r="CN15" i="142"/>
  <c r="CN13" i="142"/>
  <c r="CN12" i="142"/>
  <c r="CN11" i="142"/>
  <c r="CN10" i="142"/>
  <c r="CN9" i="142"/>
  <c r="CN8" i="142"/>
  <c r="CN6" i="142"/>
  <c r="CN24" i="142"/>
  <c r="CN22" i="142"/>
  <c r="CN21" i="142"/>
  <c r="CN19" i="142"/>
  <c r="CN7" i="142"/>
  <c r="CO1" i="142"/>
  <c r="CP2" i="142"/>
  <c r="EK22" i="139"/>
  <c r="EK13" i="139"/>
  <c r="EK6" i="139"/>
  <c r="EK24" i="139"/>
  <c r="EK19" i="139"/>
  <c r="EK11" i="139"/>
  <c r="EK21" i="139"/>
  <c r="EK9" i="139"/>
  <c r="EK7" i="139"/>
  <c r="EK16" i="139"/>
  <c r="EK12" i="139"/>
  <c r="EK18" i="139"/>
  <c r="EK23" i="139"/>
  <c r="EK17" i="139"/>
  <c r="EK15" i="139"/>
  <c r="EK14" i="139"/>
  <c r="EK8" i="139"/>
  <c r="EK20" i="139"/>
  <c r="DL1" i="139"/>
  <c r="DM2" i="139"/>
  <c r="DK22" i="139"/>
  <c r="DK15" i="139"/>
  <c r="DK13" i="139"/>
  <c r="DK21" i="139"/>
  <c r="DK11" i="139"/>
  <c r="DK18" i="139"/>
  <c r="DK6" i="139"/>
  <c r="DK20" i="139"/>
  <c r="DK8" i="139"/>
  <c r="DK17" i="139"/>
  <c r="DK14" i="139"/>
  <c r="DK19" i="139"/>
  <c r="DK10" i="139"/>
  <c r="DK23" i="139"/>
  <c r="DK24" i="139"/>
  <c r="DK12" i="139"/>
  <c r="DK9" i="139"/>
  <c r="DK16" i="139"/>
  <c r="DK7" i="139"/>
  <c r="CN14" i="139"/>
  <c r="CN7" i="139"/>
  <c r="CN17" i="139"/>
  <c r="CN23" i="139"/>
  <c r="CN11" i="139"/>
  <c r="CN21" i="139"/>
  <c r="CN10" i="139"/>
  <c r="CN6" i="139"/>
  <c r="CN8" i="139"/>
  <c r="CN12" i="139"/>
  <c r="CN24" i="139"/>
  <c r="CN20" i="139"/>
  <c r="EL1" i="139"/>
  <c r="CN15" i="139"/>
  <c r="CN19" i="139"/>
  <c r="CN22" i="139"/>
  <c r="CN13" i="139"/>
  <c r="CN9" i="139"/>
  <c r="CN16" i="139"/>
  <c r="CN18" i="139"/>
  <c r="CP2" i="139"/>
  <c r="CO1" i="139"/>
  <c r="DK17" i="136"/>
  <c r="DK9" i="136"/>
  <c r="DK16" i="136"/>
  <c r="DK8" i="136"/>
  <c r="DK19" i="136"/>
  <c r="DK18" i="136"/>
  <c r="DK24" i="136"/>
  <c r="DK15" i="136"/>
  <c r="DK11" i="136"/>
  <c r="DK23" i="136"/>
  <c r="DK14" i="136"/>
  <c r="DK7" i="136"/>
  <c r="DK22" i="136"/>
  <c r="DK10" i="136"/>
  <c r="DK6" i="136"/>
  <c r="DK21" i="136"/>
  <c r="DK13" i="136"/>
  <c r="DK20" i="136"/>
  <c r="DK12" i="136"/>
  <c r="DM2" i="136"/>
  <c r="DL1" i="136"/>
  <c r="EK16" i="136"/>
  <c r="EK6" i="136"/>
  <c r="EK15" i="136"/>
  <c r="EK19" i="136"/>
  <c r="EK8" i="136"/>
  <c r="EK22" i="136"/>
  <c r="EK17" i="136"/>
  <c r="EK9" i="136"/>
  <c r="EK20" i="136"/>
  <c r="EK14" i="136"/>
  <c r="EK11" i="136"/>
  <c r="EK24" i="136"/>
  <c r="EK21" i="136"/>
  <c r="EK12" i="136"/>
  <c r="EK23" i="136"/>
  <c r="EK13" i="136"/>
  <c r="EK18" i="136"/>
  <c r="EK7" i="136"/>
  <c r="CO1" i="137"/>
  <c r="CP2" i="137"/>
  <c r="CN20" i="137"/>
  <c r="CN10" i="137"/>
  <c r="EL1" i="137"/>
  <c r="CN21" i="137"/>
  <c r="CN16" i="137"/>
  <c r="CN17" i="137"/>
  <c r="CN19" i="137"/>
  <c r="CN15" i="137"/>
  <c r="CN9" i="137"/>
  <c r="CN14" i="137"/>
  <c r="CN8" i="137"/>
  <c r="CN24" i="137"/>
  <c r="CN18" i="137"/>
  <c r="CN7" i="137"/>
  <c r="CN23" i="137"/>
  <c r="CN11" i="137"/>
  <c r="CN13" i="137"/>
  <c r="CN22" i="137"/>
  <c r="CN12" i="137"/>
  <c r="CN6" i="137"/>
  <c r="EK17" i="137"/>
  <c r="EK14" i="137"/>
  <c r="EK24" i="137"/>
  <c r="EK15" i="137"/>
  <c r="EK8" i="137"/>
  <c r="EK23" i="137"/>
  <c r="EK13" i="137"/>
  <c r="EK7" i="137"/>
  <c r="EK22" i="137"/>
  <c r="EK19" i="137"/>
  <c r="EK6" i="137"/>
  <c r="EK21" i="137"/>
  <c r="EK11" i="137"/>
  <c r="EK20" i="137"/>
  <c r="EK12" i="137"/>
  <c r="EK18" i="137"/>
  <c r="EK16" i="137"/>
  <c r="EK9" i="137"/>
  <c r="DK20" i="137"/>
  <c r="DK11" i="137"/>
  <c r="DK19" i="137"/>
  <c r="DK12" i="137"/>
  <c r="DK18" i="137"/>
  <c r="DK10" i="137"/>
  <c r="DK16" i="137"/>
  <c r="DK9" i="137"/>
  <c r="DK24" i="137"/>
  <c r="DK17" i="137"/>
  <c r="DK8" i="137"/>
  <c r="DK23" i="137"/>
  <c r="DK15" i="137"/>
  <c r="DK7" i="137"/>
  <c r="DK22" i="137"/>
  <c r="DK14" i="137"/>
  <c r="DK6" i="137"/>
  <c r="DK21" i="137"/>
  <c r="DK13" i="137"/>
  <c r="CN24" i="136"/>
  <c r="CN14" i="136"/>
  <c r="CN8" i="136"/>
  <c r="CN19" i="136"/>
  <c r="CN13" i="136"/>
  <c r="CN7" i="136"/>
  <c r="CN15" i="136"/>
  <c r="CN12" i="136"/>
  <c r="CN18" i="136"/>
  <c r="CN6" i="136"/>
  <c r="CN23" i="136"/>
  <c r="EL1" i="136"/>
  <c r="CN22" i="136"/>
  <c r="CN9" i="136"/>
  <c r="CN21" i="136"/>
  <c r="CN17" i="136"/>
  <c r="CN11" i="136"/>
  <c r="CN20" i="136"/>
  <c r="CN16" i="136"/>
  <c r="CN10" i="136"/>
  <c r="DL1" i="137"/>
  <c r="DM2" i="137"/>
  <c r="CP2" i="136"/>
  <c r="CO1" i="136"/>
  <c r="DM2" i="132"/>
  <c r="DL1" i="132"/>
  <c r="CN21" i="133"/>
  <c r="CN11" i="133"/>
  <c r="CN7" i="133"/>
  <c r="EL1" i="133"/>
  <c r="CN18" i="133"/>
  <c r="CN8" i="133"/>
  <c r="CN22" i="133"/>
  <c r="CN15" i="133"/>
  <c r="CN6" i="133"/>
  <c r="CN23" i="133"/>
  <c r="CN16" i="133"/>
  <c r="CN24" i="133"/>
  <c r="CN13" i="133"/>
  <c r="CN14" i="133"/>
  <c r="CN19" i="133"/>
  <c r="CN9" i="133"/>
  <c r="CN20" i="133"/>
  <c r="CN12" i="133"/>
  <c r="CN10" i="133"/>
  <c r="CN17" i="133"/>
  <c r="CN16" i="132"/>
  <c r="CN6" i="132"/>
  <c r="CN13" i="132"/>
  <c r="CN9" i="132"/>
  <c r="CN23" i="132"/>
  <c r="CN15" i="132"/>
  <c r="EL1" i="132"/>
  <c r="CN8" i="132"/>
  <c r="CN11" i="132"/>
  <c r="CN20" i="132"/>
  <c r="CN10" i="132"/>
  <c r="CN14" i="132"/>
  <c r="CN21" i="132"/>
  <c r="CN18" i="132"/>
  <c r="CN22" i="132"/>
  <c r="CN24" i="132"/>
  <c r="CN17" i="132"/>
  <c r="CN12" i="132"/>
  <c r="CN19" i="132"/>
  <c r="CN7" i="132"/>
  <c r="CP2" i="133"/>
  <c r="CO1" i="133"/>
  <c r="CP2" i="132"/>
  <c r="CO1" i="132"/>
  <c r="EK19" i="133"/>
  <c r="EK11" i="133"/>
  <c r="EK21" i="133"/>
  <c r="EK24" i="133"/>
  <c r="EK8" i="133"/>
  <c r="EK18" i="133"/>
  <c r="EK17" i="133"/>
  <c r="EK15" i="133"/>
  <c r="EK23" i="133"/>
  <c r="EK14" i="133"/>
  <c r="EK20" i="133"/>
  <c r="EK6" i="133"/>
  <c r="EK7" i="133"/>
  <c r="EK22" i="133"/>
  <c r="EK12" i="133"/>
  <c r="EK16" i="133"/>
  <c r="EK9" i="133"/>
  <c r="EK13" i="133"/>
  <c r="EK17" i="132"/>
  <c r="EK20" i="132"/>
  <c r="EK16" i="132"/>
  <c r="EK21" i="132"/>
  <c r="EK15" i="132"/>
  <c r="EK12" i="132"/>
  <c r="EK8" i="132"/>
  <c r="EK23" i="132"/>
  <c r="EK9" i="132"/>
  <c r="EK11" i="132"/>
  <c r="EK22" i="132"/>
  <c r="EK18" i="132"/>
  <c r="EK6" i="132"/>
  <c r="EK7" i="132"/>
  <c r="EK24" i="132"/>
  <c r="EK14" i="132"/>
  <c r="EK13" i="132"/>
  <c r="EK19" i="132"/>
  <c r="DL21" i="133"/>
  <c r="DL6" i="133"/>
  <c r="DL15" i="133"/>
  <c r="DL11" i="133"/>
  <c r="DL12" i="133"/>
  <c r="DL9" i="133"/>
  <c r="DL20" i="133"/>
  <c r="DL8" i="133"/>
  <c r="DL24" i="133"/>
  <c r="DL22" i="133"/>
  <c r="DL17" i="133"/>
  <c r="DL14" i="133"/>
  <c r="DL19" i="133"/>
  <c r="DL18" i="133"/>
  <c r="DL16" i="133"/>
  <c r="DL10" i="133"/>
  <c r="DL13" i="133"/>
  <c r="DL23" i="133"/>
  <c r="DL7" i="133"/>
  <c r="DK24" i="132"/>
  <c r="DK12" i="132"/>
  <c r="DK8" i="132"/>
  <c r="DK21" i="132"/>
  <c r="DK7" i="132"/>
  <c r="DK23" i="132"/>
  <c r="DK14" i="132"/>
  <c r="DK6" i="132"/>
  <c r="DK16" i="132"/>
  <c r="DK22" i="132"/>
  <c r="DK13" i="132"/>
  <c r="DK9" i="132"/>
  <c r="DK17" i="132"/>
  <c r="DK15" i="132"/>
  <c r="DK10" i="132"/>
  <c r="DK19" i="132"/>
  <c r="DK20" i="132"/>
  <c r="DK11" i="132"/>
  <c r="DK18" i="132"/>
  <c r="DN2" i="133"/>
  <c r="DM1" i="133"/>
  <c r="EV16" i="124"/>
  <c r="EV7" i="124"/>
  <c r="EV20" i="124"/>
  <c r="EV11" i="124"/>
  <c r="EV19" i="124"/>
  <c r="EV18" i="124"/>
  <c r="EV8" i="124"/>
  <c r="EV24" i="124"/>
  <c r="EV15" i="124"/>
  <c r="EV6" i="124"/>
  <c r="EV23" i="124"/>
  <c r="EV21" i="124"/>
  <c r="EV13" i="124"/>
  <c r="EV22" i="124"/>
  <c r="EV12" i="124"/>
  <c r="EV9" i="124"/>
  <c r="EV17" i="124"/>
  <c r="EV14" i="124"/>
  <c r="CY20" i="124"/>
  <c r="CY7" i="124"/>
  <c r="CY23" i="124"/>
  <c r="CY16" i="124"/>
  <c r="CY8" i="124"/>
  <c r="CY22" i="124"/>
  <c r="CY14" i="124"/>
  <c r="CY21" i="124"/>
  <c r="CY18" i="124"/>
  <c r="CY24" i="124"/>
  <c r="CY11" i="124"/>
  <c r="CY15" i="124"/>
  <c r="CY6" i="124"/>
  <c r="CY19" i="124"/>
  <c r="CY9" i="124"/>
  <c r="CY17" i="124"/>
  <c r="EW1" i="124"/>
  <c r="CY13" i="124"/>
  <c r="CY10" i="124"/>
  <c r="CY12" i="124"/>
  <c r="DX2" i="124"/>
  <c r="DW1" i="124"/>
  <c r="CZ1" i="124"/>
  <c r="DA2" i="124"/>
  <c r="DV20" i="124"/>
  <c r="DV8" i="124"/>
  <c r="DV19" i="124"/>
  <c r="DV11" i="124"/>
  <c r="DV24" i="124"/>
  <c r="DV16" i="124"/>
  <c r="DV23" i="124"/>
  <c r="DV14" i="124"/>
  <c r="DV22" i="124"/>
  <c r="DV15" i="124"/>
  <c r="DV18" i="124"/>
  <c r="DV7" i="124"/>
  <c r="DV21" i="124"/>
  <c r="DV9" i="124"/>
  <c r="DV17" i="124"/>
  <c r="DV6" i="124"/>
  <c r="DV13" i="124"/>
  <c r="DV10" i="124"/>
  <c r="DV12" i="124"/>
  <c r="DV24" i="121"/>
  <c r="DV15" i="121"/>
  <c r="DV12" i="121"/>
  <c r="DV11" i="121"/>
  <c r="DV16" i="121"/>
  <c r="DV23" i="121"/>
  <c r="DV20" i="121"/>
  <c r="DV21" i="121"/>
  <c r="DV22" i="121"/>
  <c r="DV14" i="121"/>
  <c r="DV6" i="121"/>
  <c r="DV19" i="121"/>
  <c r="DV10" i="121"/>
  <c r="DV9" i="121"/>
  <c r="DV8" i="121"/>
  <c r="DV17" i="121"/>
  <c r="DV13" i="121"/>
  <c r="DV7" i="121"/>
  <c r="DV18" i="121"/>
  <c r="DX2" i="121"/>
  <c r="DW1" i="121"/>
  <c r="CZ1" i="121"/>
  <c r="DA2" i="121"/>
  <c r="CY20" i="121"/>
  <c r="CY10" i="121"/>
  <c r="CY17" i="121"/>
  <c r="CY12" i="121"/>
  <c r="CY23" i="121"/>
  <c r="CY15" i="121"/>
  <c r="CY22" i="121"/>
  <c r="CY7" i="121"/>
  <c r="CY24" i="121"/>
  <c r="CY14" i="121"/>
  <c r="CY8" i="121"/>
  <c r="CY19" i="121"/>
  <c r="CY9" i="121"/>
  <c r="EW1" i="121"/>
  <c r="CY21" i="121"/>
  <c r="CY6" i="121"/>
  <c r="CY18" i="121"/>
  <c r="CY11" i="121"/>
  <c r="CY16" i="121"/>
  <c r="CY13" i="121"/>
  <c r="EV19" i="121"/>
  <c r="EV9" i="121"/>
  <c r="EV15" i="121"/>
  <c r="EV14" i="121"/>
  <c r="EV18" i="121"/>
  <c r="EV8" i="121"/>
  <c r="EV7" i="121"/>
  <c r="EV17" i="121"/>
  <c r="EV13" i="121"/>
  <c r="EV12" i="121"/>
  <c r="EV6" i="121"/>
  <c r="EV16" i="121"/>
  <c r="EV21" i="121"/>
  <c r="EV11" i="121"/>
  <c r="EV24" i="121"/>
  <c r="EV22" i="121"/>
  <c r="EV20" i="121"/>
  <c r="EV23" i="121"/>
  <c r="EV21" i="120"/>
  <c r="EV17" i="120"/>
  <c r="EV15" i="120"/>
  <c r="EV14" i="120"/>
  <c r="EV13" i="120"/>
  <c r="EV20" i="120"/>
  <c r="EV6" i="120"/>
  <c r="EV18" i="120"/>
  <c r="EV10" i="120"/>
  <c r="EV9" i="120"/>
  <c r="EV7" i="120"/>
  <c r="EV12" i="120"/>
  <c r="EV19" i="120"/>
  <c r="EV22" i="120"/>
  <c r="EV8" i="120"/>
  <c r="EV16" i="120"/>
  <c r="EV24" i="120"/>
  <c r="EV23" i="120"/>
  <c r="EV11" i="120"/>
  <c r="DV18" i="120"/>
  <c r="DV10" i="120"/>
  <c r="DV7" i="120"/>
  <c r="DV9" i="120"/>
  <c r="DV16" i="120"/>
  <c r="DV6" i="120"/>
  <c r="DV14" i="120"/>
  <c r="DV23" i="120"/>
  <c r="DV17" i="120"/>
  <c r="DV19" i="120"/>
  <c r="DV15" i="120"/>
  <c r="DV12" i="120"/>
  <c r="DV24" i="120"/>
  <c r="DV8" i="120"/>
  <c r="DV13" i="120"/>
  <c r="DV20" i="120"/>
  <c r="DV21" i="120"/>
  <c r="DV22" i="120"/>
  <c r="DV11" i="120"/>
  <c r="DX2" i="120"/>
  <c r="DW1" i="120"/>
  <c r="CY15" i="120"/>
  <c r="CY6" i="120"/>
  <c r="CY16" i="120"/>
  <c r="CY22" i="120"/>
  <c r="EW1" i="120"/>
  <c r="CY10" i="120"/>
  <c r="CY14" i="120"/>
  <c r="CY12" i="120"/>
  <c r="CY24" i="120"/>
  <c r="CY11" i="120"/>
  <c r="CY18" i="120"/>
  <c r="CY17" i="120"/>
  <c r="CY21" i="120"/>
  <c r="CY9" i="120"/>
  <c r="CY23" i="120"/>
  <c r="CY13" i="120"/>
  <c r="CY7" i="120"/>
  <c r="CY8" i="120"/>
  <c r="CY20" i="120"/>
  <c r="CY19" i="120"/>
  <c r="CZ1" i="120"/>
  <c r="DA2" i="120"/>
  <c r="DV21" i="119"/>
  <c r="DV11" i="119"/>
  <c r="DV8" i="119"/>
  <c r="DV22" i="119"/>
  <c r="DV7" i="119"/>
  <c r="DV20" i="119"/>
  <c r="DV14" i="119"/>
  <c r="DV24" i="119"/>
  <c r="DV10" i="119"/>
  <c r="DV18" i="119"/>
  <c r="DV13" i="119"/>
  <c r="DV23" i="119"/>
  <c r="DV15" i="119"/>
  <c r="DV6" i="119"/>
  <c r="DV19" i="119"/>
  <c r="DV9" i="119"/>
  <c r="DV16" i="119"/>
  <c r="DV12" i="119"/>
  <c r="DV17" i="119"/>
  <c r="DX2" i="119"/>
  <c r="DW1" i="119"/>
  <c r="CY24" i="119"/>
  <c r="CY17" i="119"/>
  <c r="CY9" i="119"/>
  <c r="CY14" i="119"/>
  <c r="CY22" i="119"/>
  <c r="CY13" i="119"/>
  <c r="CY19" i="119"/>
  <c r="CY10" i="119"/>
  <c r="CY18" i="119"/>
  <c r="CY12" i="119"/>
  <c r="CY23" i="119"/>
  <c r="CY16" i="119"/>
  <c r="CY8" i="119"/>
  <c r="CY20" i="119"/>
  <c r="CY11" i="119"/>
  <c r="EW1" i="119"/>
  <c r="CY21" i="119"/>
  <c r="CY7" i="119"/>
  <c r="CY15" i="119"/>
  <c r="CY6" i="119"/>
  <c r="BP13" i="95"/>
  <c r="BR13" i="119"/>
  <c r="EV18" i="119"/>
  <c r="EV12" i="119"/>
  <c r="EV7" i="119"/>
  <c r="EV22" i="119"/>
  <c r="EV14" i="119"/>
  <c r="EV8" i="119"/>
  <c r="EV21" i="119"/>
  <c r="EV11" i="119"/>
  <c r="EV16" i="119"/>
  <c r="EV9" i="119"/>
  <c r="EV24" i="119"/>
  <c r="EV15" i="119"/>
  <c r="EV23" i="119"/>
  <c r="EV19" i="119"/>
  <c r="EV13" i="119"/>
  <c r="EV17" i="119"/>
  <c r="EV6" i="119"/>
  <c r="EV20" i="119"/>
  <c r="DA2" i="119"/>
  <c r="CZ1" i="119"/>
  <c r="EV10" i="119"/>
  <c r="EU10" i="116"/>
  <c r="CI10" i="116" s="1"/>
  <c r="EU10" i="119"/>
  <c r="O13" i="94"/>
  <c r="BU13" i="94"/>
  <c r="Q13" i="94" s="1"/>
  <c r="R13" i="94" s="1"/>
  <c r="BW13" i="116"/>
  <c r="CZ19" i="116"/>
  <c r="CZ10" i="116"/>
  <c r="CZ21" i="116"/>
  <c r="CZ14" i="116"/>
  <c r="CZ8" i="116"/>
  <c r="CZ24" i="116"/>
  <c r="CZ13" i="116"/>
  <c r="CZ7" i="116"/>
  <c r="CZ20" i="116"/>
  <c r="CZ12" i="116"/>
  <c r="CZ6" i="116"/>
  <c r="CZ23" i="116"/>
  <c r="CZ16" i="116"/>
  <c r="CZ9" i="116"/>
  <c r="CZ22" i="116"/>
  <c r="CZ11" i="116"/>
  <c r="CZ18" i="116"/>
  <c r="CZ15" i="116"/>
  <c r="CZ17" i="116"/>
  <c r="EX1" i="116"/>
  <c r="DW21" i="116"/>
  <c r="DW9" i="116"/>
  <c r="DW15" i="116"/>
  <c r="DW8" i="116"/>
  <c r="DW18" i="116"/>
  <c r="DW7" i="116"/>
  <c r="DW23" i="116"/>
  <c r="DW17" i="116"/>
  <c r="DW6" i="116"/>
  <c r="DW19" i="116"/>
  <c r="DW16" i="116"/>
  <c r="DW13" i="116"/>
  <c r="DW22" i="116"/>
  <c r="DW14" i="116"/>
  <c r="DW12" i="116"/>
  <c r="DW24" i="116"/>
  <c r="DW11" i="116"/>
  <c r="DW20" i="116"/>
  <c r="DW10" i="116"/>
  <c r="DA1" i="116"/>
  <c r="DB2" i="116"/>
  <c r="DY2" i="116"/>
  <c r="DX1" i="116"/>
  <c r="EW21" i="116"/>
  <c r="EW6" i="116"/>
  <c r="EW19" i="116"/>
  <c r="EW9" i="116"/>
  <c r="EW22" i="116"/>
  <c r="EW17" i="116"/>
  <c r="EW14" i="116"/>
  <c r="EW18" i="116"/>
  <c r="EW15" i="116"/>
  <c r="EW10" i="116"/>
  <c r="EW20" i="116"/>
  <c r="EW13" i="116"/>
  <c r="EW8" i="116"/>
  <c r="EW23" i="116"/>
  <c r="EW12" i="116"/>
  <c r="EW24" i="116"/>
  <c r="EW11" i="116"/>
  <c r="EW16" i="116"/>
  <c r="EW7" i="116"/>
  <c r="BS27" i="116"/>
  <c r="O26" i="93"/>
  <c r="BU30" i="93"/>
  <c r="BU27" i="92"/>
  <c r="Q10" i="92"/>
  <c r="R10" i="92" s="1"/>
  <c r="Q30" i="92" s="1"/>
  <c r="DB2" i="112"/>
  <c r="DA1" i="112"/>
  <c r="EW10" i="112"/>
  <c r="EW15" i="112"/>
  <c r="EW24" i="112"/>
  <c r="EW11" i="112"/>
  <c r="EW19" i="112"/>
  <c r="EW9" i="112"/>
  <c r="EW12" i="112"/>
  <c r="EW17" i="112"/>
  <c r="EW8" i="112"/>
  <c r="EW7" i="112"/>
  <c r="EW23" i="112"/>
  <c r="EW21" i="112"/>
  <c r="EW14" i="112"/>
  <c r="EW18" i="112"/>
  <c r="EW13" i="112"/>
  <c r="EW22" i="112"/>
  <c r="EW16" i="112"/>
  <c r="EW6" i="112"/>
  <c r="EW20" i="112"/>
  <c r="DW22" i="113"/>
  <c r="DW12" i="113"/>
  <c r="DW23" i="113"/>
  <c r="DW11" i="113"/>
  <c r="DW13" i="113"/>
  <c r="DW18" i="113"/>
  <c r="DW6" i="113"/>
  <c r="DW7" i="113"/>
  <c r="DW24" i="113"/>
  <c r="DW16" i="113"/>
  <c r="DW14" i="113"/>
  <c r="DW10" i="113"/>
  <c r="DW19" i="113"/>
  <c r="DW9" i="113"/>
  <c r="DW15" i="113"/>
  <c r="DW20" i="113"/>
  <c r="DW17" i="113"/>
  <c r="DW8" i="113"/>
  <c r="DW21" i="113"/>
  <c r="Q10" i="112"/>
  <c r="R10" i="112" s="1"/>
  <c r="BW27" i="112"/>
  <c r="CZ13" i="113"/>
  <c r="CZ17" i="113"/>
  <c r="CZ7" i="113"/>
  <c r="CZ10" i="113"/>
  <c r="CZ22" i="113"/>
  <c r="CZ24" i="113"/>
  <c r="CZ16" i="113"/>
  <c r="EX1" i="113"/>
  <c r="CZ18" i="113"/>
  <c r="CZ23" i="113"/>
  <c r="CZ11" i="113"/>
  <c r="CZ9" i="113"/>
  <c r="CZ12" i="113"/>
  <c r="CZ21" i="113"/>
  <c r="CZ6" i="113"/>
  <c r="CZ8" i="113"/>
  <c r="CZ20" i="113"/>
  <c r="CZ15" i="113"/>
  <c r="CZ14" i="113"/>
  <c r="CZ19" i="113"/>
  <c r="DW22" i="112"/>
  <c r="DW16" i="112"/>
  <c r="DW6" i="112"/>
  <c r="DW15" i="112"/>
  <c r="DW23" i="112"/>
  <c r="DW18" i="112"/>
  <c r="DW20" i="112"/>
  <c r="DW7" i="112"/>
  <c r="DW11" i="112"/>
  <c r="DW19" i="112"/>
  <c r="DW17" i="112"/>
  <c r="DW14" i="112"/>
  <c r="DW10" i="112"/>
  <c r="DW13" i="112"/>
  <c r="DW24" i="112"/>
  <c r="DW21" i="112"/>
  <c r="DW9" i="112"/>
  <c r="DW12" i="112"/>
  <c r="DW8" i="112"/>
  <c r="ER10" i="109"/>
  <c r="ES10" i="112"/>
  <c r="ET10" i="113"/>
  <c r="EW22" i="113"/>
  <c r="EW9" i="113"/>
  <c r="EW12" i="113"/>
  <c r="EW19" i="113"/>
  <c r="EW20" i="113"/>
  <c r="EW8" i="113"/>
  <c r="EW21" i="113"/>
  <c r="EW7" i="113"/>
  <c r="EW17" i="113"/>
  <c r="EW18" i="113"/>
  <c r="EW15" i="113"/>
  <c r="EW16" i="113"/>
  <c r="EW11" i="113"/>
  <c r="EW23" i="113"/>
  <c r="EW10" i="113"/>
  <c r="EW13" i="113"/>
  <c r="EW24" i="113"/>
  <c r="EW14" i="113"/>
  <c r="EW6" i="113"/>
  <c r="DB2" i="113"/>
  <c r="DA1" i="113"/>
  <c r="DX1" i="112"/>
  <c r="DY2" i="112"/>
  <c r="BU10" i="93"/>
  <c r="BU28" i="93" s="1"/>
  <c r="BW10" i="113"/>
  <c r="CZ21" i="112"/>
  <c r="CZ7" i="112"/>
  <c r="CZ17" i="112"/>
  <c r="CZ8" i="112"/>
  <c r="CZ24" i="112"/>
  <c r="CZ6" i="112"/>
  <c r="CZ10" i="112"/>
  <c r="CZ20" i="112"/>
  <c r="CZ11" i="112"/>
  <c r="CZ9" i="112"/>
  <c r="CZ22" i="112"/>
  <c r="CZ12" i="112"/>
  <c r="CZ16" i="112"/>
  <c r="CZ14" i="112"/>
  <c r="CZ19" i="112"/>
  <c r="CZ13" i="112"/>
  <c r="CZ23" i="112"/>
  <c r="CZ15" i="112"/>
  <c r="CZ18" i="112"/>
  <c r="EX1" i="112"/>
  <c r="DY2" i="113"/>
  <c r="DX1" i="113"/>
  <c r="CZ21" i="109"/>
  <c r="CZ9" i="109"/>
  <c r="CZ15" i="109"/>
  <c r="CZ13" i="109"/>
  <c r="CZ10" i="109"/>
  <c r="CZ20" i="109"/>
  <c r="CZ8" i="109"/>
  <c r="CZ19" i="109"/>
  <c r="CZ7" i="109"/>
  <c r="CZ18" i="109"/>
  <c r="CZ6" i="109"/>
  <c r="CZ24" i="109"/>
  <c r="CZ23" i="109"/>
  <c r="CZ11" i="109"/>
  <c r="CZ17" i="109"/>
  <c r="EX1" i="109"/>
  <c r="CZ12" i="109"/>
  <c r="CZ22" i="109"/>
  <c r="CZ16" i="109"/>
  <c r="CZ14" i="109"/>
  <c r="DV19" i="108"/>
  <c r="DV7" i="108"/>
  <c r="DV18" i="108"/>
  <c r="DV6" i="108"/>
  <c r="DV16" i="108"/>
  <c r="DV9" i="108"/>
  <c r="DV10" i="108"/>
  <c r="DV17" i="108"/>
  <c r="DV22" i="108"/>
  <c r="DV21" i="108"/>
  <c r="DV8" i="108"/>
  <c r="DV15" i="108"/>
  <c r="DV24" i="108"/>
  <c r="DV14" i="108"/>
  <c r="DV13" i="108"/>
  <c r="DV12" i="108"/>
  <c r="DV11" i="108"/>
  <c r="DV23" i="108"/>
  <c r="DV20" i="108"/>
  <c r="DB2" i="109"/>
  <c r="DA1" i="109"/>
  <c r="DX2" i="108"/>
  <c r="DW1" i="108"/>
  <c r="DY2" i="109"/>
  <c r="DX1" i="109"/>
  <c r="CZ1" i="108"/>
  <c r="DA2" i="108"/>
  <c r="DW14" i="109"/>
  <c r="DW6" i="109"/>
  <c r="DW13" i="109"/>
  <c r="DW24" i="109"/>
  <c r="DW12" i="109"/>
  <c r="DW18" i="109"/>
  <c r="DW23" i="109"/>
  <c r="DW11" i="109"/>
  <c r="DW20" i="109"/>
  <c r="DW16" i="109"/>
  <c r="DW22" i="109"/>
  <c r="DW10" i="109"/>
  <c r="DW19" i="109"/>
  <c r="DW17" i="109"/>
  <c r="DW21" i="109"/>
  <c r="DW9" i="109"/>
  <c r="DW8" i="109"/>
  <c r="DW7" i="109"/>
  <c r="DW15" i="109"/>
  <c r="CY14" i="108"/>
  <c r="CY13" i="108"/>
  <c r="CY24" i="108"/>
  <c r="CY12" i="108"/>
  <c r="CY23" i="108"/>
  <c r="CY11" i="108"/>
  <c r="CY8" i="108"/>
  <c r="EW1" i="108"/>
  <c r="CY9" i="108"/>
  <c r="CY22" i="108"/>
  <c r="CY21" i="108"/>
  <c r="CY19" i="108"/>
  <c r="CY16" i="108"/>
  <c r="CY10" i="108"/>
  <c r="CY20" i="108"/>
  <c r="CY6" i="108"/>
  <c r="CY17" i="108"/>
  <c r="CY15" i="108"/>
  <c r="CY7" i="108"/>
  <c r="CY18" i="108"/>
  <c r="EP10" i="108"/>
  <c r="EV24" i="108"/>
  <c r="EV12" i="108"/>
  <c r="EV23" i="108"/>
  <c r="EV11" i="108"/>
  <c r="EV22" i="108"/>
  <c r="EV10" i="108"/>
  <c r="EV8" i="108"/>
  <c r="EV13" i="108"/>
  <c r="EV21" i="108"/>
  <c r="EV20" i="108"/>
  <c r="EV7" i="108"/>
  <c r="EV6" i="108"/>
  <c r="EV16" i="108"/>
  <c r="EV9" i="108"/>
  <c r="EV19" i="108"/>
  <c r="EV18" i="108"/>
  <c r="EV15" i="108"/>
  <c r="EV14" i="108"/>
  <c r="EV17" i="108"/>
  <c r="EW19" i="109"/>
  <c r="EW7" i="109"/>
  <c r="EW11" i="109"/>
  <c r="EW18" i="109"/>
  <c r="EW6" i="109"/>
  <c r="EW17" i="109"/>
  <c r="EW13" i="109"/>
  <c r="EW23" i="109"/>
  <c r="EW22" i="109"/>
  <c r="EW20" i="109"/>
  <c r="EW16" i="109"/>
  <c r="EW21" i="109"/>
  <c r="EW9" i="109"/>
  <c r="EW15" i="109"/>
  <c r="EW24" i="109"/>
  <c r="EW10" i="109"/>
  <c r="EW8" i="109"/>
  <c r="EW14" i="109"/>
  <c r="EN10" i="105"/>
  <c r="EO10" i="106"/>
  <c r="DV20" i="106"/>
  <c r="DV12" i="106"/>
  <c r="DV21" i="106"/>
  <c r="DV13" i="106"/>
  <c r="DV19" i="106"/>
  <c r="DV11" i="106"/>
  <c r="DV18" i="106"/>
  <c r="DV10" i="106"/>
  <c r="DV17" i="106"/>
  <c r="DV9" i="106"/>
  <c r="DV24" i="106"/>
  <c r="DV16" i="106"/>
  <c r="DV8" i="106"/>
  <c r="DV23" i="106"/>
  <c r="DV15" i="106"/>
  <c r="DV7" i="106"/>
  <c r="DV22" i="106"/>
  <c r="DV14" i="106"/>
  <c r="DV6" i="106"/>
  <c r="EV17" i="106"/>
  <c r="EV9" i="106"/>
  <c r="EV24" i="106"/>
  <c r="EV16" i="106"/>
  <c r="EV8" i="106"/>
  <c r="EV23" i="106"/>
  <c r="EV15" i="106"/>
  <c r="EV7" i="106"/>
  <c r="EV18" i="106"/>
  <c r="EV22" i="106"/>
  <c r="EV14" i="106"/>
  <c r="EV6" i="106"/>
  <c r="EV21" i="106"/>
  <c r="EV13" i="106"/>
  <c r="EV20" i="106"/>
  <c r="EV12" i="106"/>
  <c r="EV10" i="106"/>
  <c r="EV19" i="106"/>
  <c r="EV11" i="106"/>
  <c r="DW1" i="106"/>
  <c r="DX2" i="106"/>
  <c r="CZ1" i="106"/>
  <c r="DA2" i="106"/>
  <c r="CY19" i="106"/>
  <c r="CY11" i="106"/>
  <c r="CY18" i="106"/>
  <c r="CY10" i="106"/>
  <c r="CY17" i="106"/>
  <c r="CY9" i="106"/>
  <c r="CY24" i="106"/>
  <c r="CY16" i="106"/>
  <c r="CY8" i="106"/>
  <c r="CY23" i="106"/>
  <c r="CY15" i="106"/>
  <c r="CY7" i="106"/>
  <c r="CY20" i="106"/>
  <c r="CY22" i="106"/>
  <c r="CY14" i="106"/>
  <c r="CY6" i="106"/>
  <c r="CY21" i="106"/>
  <c r="CY13" i="106"/>
  <c r="EW1" i="106"/>
  <c r="CY12" i="106"/>
  <c r="EV21" i="105"/>
  <c r="EV9" i="105"/>
  <c r="EV20" i="105"/>
  <c r="EV8" i="105"/>
  <c r="EV19" i="105"/>
  <c r="EV7" i="105"/>
  <c r="EV13" i="105"/>
  <c r="EV24" i="105"/>
  <c r="EV11" i="105"/>
  <c r="EV18" i="105"/>
  <c r="EV6" i="105"/>
  <c r="EV16" i="105"/>
  <c r="EV12" i="105"/>
  <c r="EV23" i="105"/>
  <c r="EV17" i="105"/>
  <c r="EV15" i="105"/>
  <c r="EV14" i="105"/>
  <c r="EV22" i="105"/>
  <c r="EV10" i="105"/>
  <c r="DA2" i="105"/>
  <c r="CZ1" i="105"/>
  <c r="DW1" i="105"/>
  <c r="DX2" i="105"/>
  <c r="DV16" i="105"/>
  <c r="DV15" i="105"/>
  <c r="DV14" i="105"/>
  <c r="DV21" i="105"/>
  <c r="DV8" i="105"/>
  <c r="DV19" i="105"/>
  <c r="DV7" i="105"/>
  <c r="DV6" i="105"/>
  <c r="DV13" i="105"/>
  <c r="DV23" i="105"/>
  <c r="DV11" i="105"/>
  <c r="DV20" i="105"/>
  <c r="DV24" i="105"/>
  <c r="DV12" i="105"/>
  <c r="DV22" i="105"/>
  <c r="DV10" i="105"/>
  <c r="DV9" i="105"/>
  <c r="DV18" i="105"/>
  <c r="DV17" i="105"/>
  <c r="CY23" i="105"/>
  <c r="CY11" i="105"/>
  <c r="CY22" i="105"/>
  <c r="CY10" i="105"/>
  <c r="CY21" i="105"/>
  <c r="CY9" i="105"/>
  <c r="CY17" i="105"/>
  <c r="CY15" i="105"/>
  <c r="CY14" i="105"/>
  <c r="CY13" i="105"/>
  <c r="CY20" i="105"/>
  <c r="CY8" i="105"/>
  <c r="CY18" i="105"/>
  <c r="CY6" i="105"/>
  <c r="EW1" i="105"/>
  <c r="CY12" i="105"/>
  <c r="CY19" i="105"/>
  <c r="CY7" i="105"/>
  <c r="CY16" i="105"/>
  <c r="CY24" i="105"/>
  <c r="EK10" i="98"/>
  <c r="EL10" i="100"/>
  <c r="GH112" i="9"/>
  <c r="EW115" i="9"/>
  <c r="EX114" i="9"/>
  <c r="IU114" i="9"/>
  <c r="IV113" i="9"/>
  <c r="EU10" i="120" s="1"/>
  <c r="EH10" i="94"/>
  <c r="CG10" i="94" s="1"/>
  <c r="Y10" i="94" s="1"/>
  <c r="EH10" i="95"/>
  <c r="EI10" i="96"/>
  <c r="EJ10" i="97"/>
  <c r="GJ114" i="9"/>
  <c r="GN114" i="9" s="1"/>
  <c r="O30" i="93"/>
  <c r="O28" i="93"/>
  <c r="O29" i="93"/>
  <c r="DX2" i="92"/>
  <c r="DW1" i="92"/>
  <c r="DA2" i="92"/>
  <c r="CZ1" i="92"/>
  <c r="DV13" i="92"/>
  <c r="DV15" i="92"/>
  <c r="DV7" i="92"/>
  <c r="DV12" i="92"/>
  <c r="DV10" i="92"/>
  <c r="DV6" i="92"/>
  <c r="DV8" i="92"/>
  <c r="DV11" i="92"/>
  <c r="DV24" i="92"/>
  <c r="DV22" i="92"/>
  <c r="DV17" i="92"/>
  <c r="DV19" i="92"/>
  <c r="DV14" i="92"/>
  <c r="DV18" i="92"/>
  <c r="DV23" i="92"/>
  <c r="DV21" i="92"/>
  <c r="DV9" i="92"/>
  <c r="DV20" i="92"/>
  <c r="DV16" i="92"/>
  <c r="CY21" i="92"/>
  <c r="CY8" i="92"/>
  <c r="CY6" i="92"/>
  <c r="CY12" i="92"/>
  <c r="CY7" i="92"/>
  <c r="CY22" i="92"/>
  <c r="CY16" i="92"/>
  <c r="CY24" i="92"/>
  <c r="CY23" i="92"/>
  <c r="EW1" i="92"/>
  <c r="CY20" i="92"/>
  <c r="CY14" i="92"/>
  <c r="CY15" i="92"/>
  <c r="CY13" i="92"/>
  <c r="CY19" i="92"/>
  <c r="CY18" i="92"/>
  <c r="CY17" i="92"/>
  <c r="CY10" i="92"/>
  <c r="CY11" i="92"/>
  <c r="CY9" i="92"/>
  <c r="EV12" i="92"/>
  <c r="EV13" i="92"/>
  <c r="EV20" i="92"/>
  <c r="EV10" i="92"/>
  <c r="EV21" i="92"/>
  <c r="EV7" i="92"/>
  <c r="EV18" i="92"/>
  <c r="EV24" i="92"/>
  <c r="EV11" i="92"/>
  <c r="EV19" i="92"/>
  <c r="EV6" i="92"/>
  <c r="EV23" i="92"/>
  <c r="EV17" i="92"/>
  <c r="EV15" i="92"/>
  <c r="EV14" i="92"/>
  <c r="EV16" i="92"/>
  <c r="EV22" i="92"/>
  <c r="EV9" i="92"/>
  <c r="EV8" i="92"/>
  <c r="EV11" i="90"/>
  <c r="EV8" i="90"/>
  <c r="EV18" i="90"/>
  <c r="EV14" i="90"/>
  <c r="EV23" i="90"/>
  <c r="EV6" i="90"/>
  <c r="EV9" i="90"/>
  <c r="EV24" i="90"/>
  <c r="EV21" i="90"/>
  <c r="EV19" i="90"/>
  <c r="EV13" i="90"/>
  <c r="EV7" i="90"/>
  <c r="EV17" i="90"/>
  <c r="EV12" i="90"/>
  <c r="EV20" i="90"/>
  <c r="EV15" i="90"/>
  <c r="EV10" i="90"/>
  <c r="EV16" i="90"/>
  <c r="EV22" i="90"/>
  <c r="EV18" i="91"/>
  <c r="EV13" i="91"/>
  <c r="EV16" i="91"/>
  <c r="EV7" i="91"/>
  <c r="EV24" i="91"/>
  <c r="EV20" i="91"/>
  <c r="EV17" i="91"/>
  <c r="EV22" i="91"/>
  <c r="EV21" i="91"/>
  <c r="EV19" i="91"/>
  <c r="EV15" i="91"/>
  <c r="EV14" i="91"/>
  <c r="EV23" i="91"/>
  <c r="EV8" i="91"/>
  <c r="EV10" i="91"/>
  <c r="EV9" i="91"/>
  <c r="EV12" i="91"/>
  <c r="EV6" i="91"/>
  <c r="EV11" i="91"/>
  <c r="CY23" i="90"/>
  <c r="CY8" i="90"/>
  <c r="CY21" i="90"/>
  <c r="CY16" i="90"/>
  <c r="CY22" i="90"/>
  <c r="CY19" i="90"/>
  <c r="CY11" i="90"/>
  <c r="CY24" i="90"/>
  <c r="CY6" i="90"/>
  <c r="CY7" i="90"/>
  <c r="EW1" i="90"/>
  <c r="CY15" i="90"/>
  <c r="CY14" i="90"/>
  <c r="CY17" i="90"/>
  <c r="CY18" i="90"/>
  <c r="CY9" i="90"/>
  <c r="CY20" i="90"/>
  <c r="CY10" i="90"/>
  <c r="CY13" i="90"/>
  <c r="CY12" i="90"/>
  <c r="DA2" i="91"/>
  <c r="CZ1" i="91"/>
  <c r="CZ1" i="90"/>
  <c r="DA2" i="90"/>
  <c r="CY19" i="91"/>
  <c r="CY9" i="91"/>
  <c r="CY18" i="91"/>
  <c r="CY12" i="91"/>
  <c r="CY13" i="91"/>
  <c r="EW1" i="91"/>
  <c r="CY22" i="91"/>
  <c r="CY17" i="91"/>
  <c r="CY14" i="91"/>
  <c r="CY6" i="91"/>
  <c r="CY11" i="91"/>
  <c r="CY16" i="91"/>
  <c r="CY24" i="91"/>
  <c r="CY21" i="91"/>
  <c r="CY10" i="91"/>
  <c r="CY23" i="91"/>
  <c r="CY8" i="91"/>
  <c r="CY7" i="91"/>
  <c r="CY15" i="91"/>
  <c r="CY20" i="91"/>
  <c r="DX2" i="90"/>
  <c r="DW1" i="90"/>
  <c r="DW1" i="91"/>
  <c r="DX2" i="91"/>
  <c r="DV18" i="90"/>
  <c r="DV23" i="90"/>
  <c r="DV16" i="90"/>
  <c r="DV7" i="90"/>
  <c r="DV14" i="90"/>
  <c r="DV24" i="90"/>
  <c r="DV22" i="90"/>
  <c r="DV8" i="90"/>
  <c r="DV11" i="90"/>
  <c r="DV21" i="90"/>
  <c r="DV17" i="90"/>
  <c r="DV9" i="90"/>
  <c r="DV15" i="90"/>
  <c r="DV6" i="90"/>
  <c r="DV19" i="90"/>
  <c r="DV12" i="90"/>
  <c r="DV13" i="90"/>
  <c r="DV10" i="90"/>
  <c r="DV20" i="90"/>
  <c r="DV19" i="91"/>
  <c r="DV6" i="91"/>
  <c r="DV18" i="91"/>
  <c r="DV14" i="91"/>
  <c r="DV20" i="91"/>
  <c r="DV12" i="91"/>
  <c r="DV8" i="91"/>
  <c r="DV16" i="91"/>
  <c r="DV17" i="91"/>
  <c r="DV7" i="91"/>
  <c r="DV21" i="91"/>
  <c r="DV13" i="91"/>
  <c r="DV22" i="91"/>
  <c r="DV11" i="91"/>
  <c r="DV24" i="91"/>
  <c r="DV10" i="91"/>
  <c r="DV9" i="91"/>
  <c r="DV23" i="91"/>
  <c r="DV15" i="91"/>
  <c r="DV19" i="89"/>
  <c r="DV9" i="89"/>
  <c r="DV21" i="89"/>
  <c r="DV14" i="89"/>
  <c r="DV8" i="89"/>
  <c r="DV23" i="89"/>
  <c r="DV22" i="89"/>
  <c r="DV7" i="89"/>
  <c r="DV20" i="89"/>
  <c r="DV10" i="89"/>
  <c r="DV6" i="89"/>
  <c r="DV18" i="89"/>
  <c r="DV24" i="89"/>
  <c r="DV16" i="89"/>
  <c r="DV13" i="89"/>
  <c r="DV17" i="89"/>
  <c r="DV12" i="89"/>
  <c r="DV15" i="89"/>
  <c r="DV11" i="89"/>
  <c r="CY22" i="89"/>
  <c r="CY18" i="89"/>
  <c r="CY15" i="89"/>
  <c r="CY7" i="89"/>
  <c r="CY16" i="89"/>
  <c r="CY8" i="89"/>
  <c r="CY24" i="89"/>
  <c r="CY20" i="89"/>
  <c r="CY6" i="89"/>
  <c r="CY17" i="89"/>
  <c r="CY13" i="89"/>
  <c r="CY11" i="89"/>
  <c r="CY21" i="89"/>
  <c r="CY14" i="89"/>
  <c r="CY12" i="89"/>
  <c r="CY19" i="89"/>
  <c r="CY10" i="89"/>
  <c r="EW1" i="89"/>
  <c r="CY23" i="89"/>
  <c r="CY9" i="89"/>
  <c r="CZ1" i="89"/>
  <c r="DA2" i="89"/>
  <c r="EV20" i="89"/>
  <c r="EV16" i="89"/>
  <c r="EV8" i="89"/>
  <c r="EV24" i="89"/>
  <c r="EV13" i="89"/>
  <c r="EV12" i="89"/>
  <c r="EV22" i="89"/>
  <c r="EV14" i="89"/>
  <c r="EV6" i="89"/>
  <c r="EV21" i="89"/>
  <c r="EV15" i="89"/>
  <c r="EV18" i="89"/>
  <c r="EV11" i="89"/>
  <c r="EV19" i="89"/>
  <c r="EV9" i="89"/>
  <c r="EV23" i="89"/>
  <c r="EV10" i="89"/>
  <c r="EV17" i="89"/>
  <c r="EV7" i="89"/>
  <c r="DX2" i="89"/>
  <c r="DW1" i="89"/>
  <c r="DA2" i="87"/>
  <c r="CZ1" i="87"/>
  <c r="DV23" i="88"/>
  <c r="DV7" i="88"/>
  <c r="DV22" i="88"/>
  <c r="DV15" i="88"/>
  <c r="DV14" i="88"/>
  <c r="DV21" i="88"/>
  <c r="DV16" i="88"/>
  <c r="DV8" i="88"/>
  <c r="DV24" i="88"/>
  <c r="DV13" i="88"/>
  <c r="DV6" i="88"/>
  <c r="DV17" i="88"/>
  <c r="DV12" i="88"/>
  <c r="DV18" i="88"/>
  <c r="DV11" i="88"/>
  <c r="DV19" i="88"/>
  <c r="DV10" i="88"/>
  <c r="DV20" i="88"/>
  <c r="DV9" i="88"/>
  <c r="DX2" i="88"/>
  <c r="DW1" i="88"/>
  <c r="DA2" i="88"/>
  <c r="CZ1" i="88"/>
  <c r="EV17" i="87"/>
  <c r="EV16" i="87"/>
  <c r="EV22" i="87"/>
  <c r="EV15" i="87"/>
  <c r="EV10" i="87"/>
  <c r="EV21" i="87"/>
  <c r="EV14" i="87"/>
  <c r="EV9" i="87"/>
  <c r="EV12" i="87"/>
  <c r="EV20" i="87"/>
  <c r="EV8" i="87"/>
  <c r="EV19" i="87"/>
  <c r="EV13" i="87"/>
  <c r="EV23" i="87"/>
  <c r="EV11" i="87"/>
  <c r="EV6" i="87"/>
  <c r="EV18" i="87"/>
  <c r="EV7" i="87"/>
  <c r="EV24" i="87"/>
  <c r="CY18" i="88"/>
  <c r="CY7" i="88"/>
  <c r="CY15" i="88"/>
  <c r="CY12" i="88"/>
  <c r="CY20" i="88"/>
  <c r="CY14" i="88"/>
  <c r="CY17" i="88"/>
  <c r="CY24" i="88"/>
  <c r="CY13" i="88"/>
  <c r="EW1" i="88"/>
  <c r="CY22" i="88"/>
  <c r="CY16" i="88"/>
  <c r="CY6" i="88"/>
  <c r="CY19" i="88"/>
  <c r="CY10" i="88"/>
  <c r="CY11" i="88"/>
  <c r="CY23" i="88"/>
  <c r="CY9" i="88"/>
  <c r="CY21" i="88"/>
  <c r="CY8" i="88"/>
  <c r="DV20" i="87"/>
  <c r="DV17" i="87"/>
  <c r="DV7" i="87"/>
  <c r="DV16" i="87"/>
  <c r="DV21" i="87"/>
  <c r="DV22" i="87"/>
  <c r="DV14" i="87"/>
  <c r="DV19" i="87"/>
  <c r="DV11" i="87"/>
  <c r="DV9" i="87"/>
  <c r="DV13" i="87"/>
  <c r="DV10" i="87"/>
  <c r="DV18" i="87"/>
  <c r="DV24" i="87"/>
  <c r="DV15" i="87"/>
  <c r="DV6" i="87"/>
  <c r="DV23" i="87"/>
  <c r="DV12" i="87"/>
  <c r="DV8" i="87"/>
  <c r="DW1" i="87"/>
  <c r="DX2" i="87"/>
  <c r="EV23" i="88"/>
  <c r="EV14" i="88"/>
  <c r="EV6" i="88"/>
  <c r="EV18" i="88"/>
  <c r="EV12" i="88"/>
  <c r="EV24" i="88"/>
  <c r="EV10" i="88"/>
  <c r="EV19" i="88"/>
  <c r="EV9" i="88"/>
  <c r="EV22" i="88"/>
  <c r="EV8" i="88"/>
  <c r="EV17" i="88"/>
  <c r="EV13" i="88"/>
  <c r="EV21" i="88"/>
  <c r="EV16" i="88"/>
  <c r="EV11" i="88"/>
  <c r="EV20" i="88"/>
  <c r="EV15" i="88"/>
  <c r="EV7" i="88"/>
  <c r="CY17" i="87"/>
  <c r="CY13" i="87"/>
  <c r="CY21" i="87"/>
  <c r="CY9" i="87"/>
  <c r="CY22" i="87"/>
  <c r="CY16" i="87"/>
  <c r="CY8" i="87"/>
  <c r="CY12" i="87"/>
  <c r="CY11" i="87"/>
  <c r="CY23" i="87"/>
  <c r="CY15" i="87"/>
  <c r="CY7" i="87"/>
  <c r="CY20" i="87"/>
  <c r="CY14" i="87"/>
  <c r="CY6" i="87"/>
  <c r="CY19" i="87"/>
  <c r="CY10" i="87"/>
  <c r="CY18" i="87"/>
  <c r="CY24" i="87"/>
  <c r="EW1" i="87"/>
  <c r="EV15" i="86"/>
  <c r="EV10" i="86"/>
  <c r="EV11" i="86"/>
  <c r="EV18" i="86"/>
  <c r="EV9" i="86"/>
  <c r="EV21" i="86"/>
  <c r="EV24" i="86"/>
  <c r="EV8" i="86"/>
  <c r="EV17" i="86"/>
  <c r="EV14" i="86"/>
  <c r="EV23" i="86"/>
  <c r="EV19" i="86"/>
  <c r="EV7" i="86"/>
  <c r="EV22" i="86"/>
  <c r="EV13" i="86"/>
  <c r="EV6" i="86"/>
  <c r="EV20" i="86"/>
  <c r="EV12" i="86"/>
  <c r="EV16" i="86"/>
  <c r="CZ1" i="86"/>
  <c r="DA2" i="86"/>
  <c r="DX2" i="86"/>
  <c r="DW1" i="86"/>
  <c r="DV19" i="86"/>
  <c r="DV18" i="86"/>
  <c r="DV8" i="86"/>
  <c r="DV16" i="86"/>
  <c r="DV22" i="86"/>
  <c r="DV21" i="86"/>
  <c r="DV13" i="86"/>
  <c r="DV7" i="86"/>
  <c r="DV24" i="86"/>
  <c r="DV12" i="86"/>
  <c r="DV6" i="86"/>
  <c r="DV23" i="86"/>
  <c r="DV14" i="86"/>
  <c r="DV20" i="86"/>
  <c r="DV11" i="86"/>
  <c r="DV17" i="86"/>
  <c r="DV10" i="86"/>
  <c r="DV9" i="86"/>
  <c r="DV15" i="86"/>
  <c r="CY18" i="86"/>
  <c r="CY8" i="86"/>
  <c r="CY21" i="86"/>
  <c r="CY12" i="86"/>
  <c r="CY7" i="86"/>
  <c r="CY17" i="86"/>
  <c r="CY24" i="86"/>
  <c r="CY14" i="86"/>
  <c r="CY13" i="86"/>
  <c r="CY10" i="86"/>
  <c r="CY23" i="86"/>
  <c r="CY11" i="86"/>
  <c r="CY6" i="86"/>
  <c r="CY9" i="86"/>
  <c r="CY20" i="86"/>
  <c r="CY15" i="86"/>
  <c r="EW1" i="86"/>
  <c r="CY22" i="86"/>
  <c r="CY16" i="86"/>
  <c r="CY19" i="86"/>
  <c r="DL6" i="142" l="1"/>
  <c r="DL21" i="142"/>
  <c r="DL20" i="142"/>
  <c r="DL18" i="142"/>
  <c r="DL15" i="142"/>
  <c r="DL10" i="142"/>
  <c r="DL8" i="142"/>
  <c r="DL23" i="142"/>
  <c r="DL19" i="142"/>
  <c r="DL14" i="142"/>
  <c r="DL12" i="142"/>
  <c r="DL7" i="142"/>
  <c r="DL22" i="142"/>
  <c r="DL16" i="142"/>
  <c r="DL13" i="142"/>
  <c r="DL9" i="142"/>
  <c r="DL24" i="142"/>
  <c r="DL17" i="142"/>
  <c r="DL11" i="142"/>
  <c r="DN2" i="142"/>
  <c r="DM1" i="142"/>
  <c r="EL17" i="142"/>
  <c r="EL13" i="142"/>
  <c r="EL9" i="142"/>
  <c r="EL6" i="142"/>
  <c r="EL23" i="142"/>
  <c r="EL20" i="142"/>
  <c r="EL15" i="142"/>
  <c r="EL12" i="142"/>
  <c r="EL8" i="142"/>
  <c r="EL24" i="142"/>
  <c r="EL22" i="142"/>
  <c r="EL14" i="142"/>
  <c r="EL11" i="142"/>
  <c r="EL21" i="142"/>
  <c r="EL19" i="142"/>
  <c r="EL16" i="142"/>
  <c r="EL7" i="142"/>
  <c r="EL18" i="142"/>
  <c r="CO21" i="142"/>
  <c r="CO24" i="142"/>
  <c r="CO19" i="142"/>
  <c r="CO17" i="142"/>
  <c r="CO15" i="142"/>
  <c r="CO11" i="142"/>
  <c r="CO23" i="142"/>
  <c r="CO18" i="142"/>
  <c r="CO22" i="142"/>
  <c r="CO20" i="142"/>
  <c r="CO16" i="142"/>
  <c r="CO14" i="142"/>
  <c r="CO13" i="142"/>
  <c r="CO10" i="142"/>
  <c r="CO9" i="142"/>
  <c r="CO8" i="142"/>
  <c r="CO6" i="142"/>
  <c r="CO7" i="142"/>
  <c r="EM1" i="142"/>
  <c r="CO12" i="142"/>
  <c r="CP1" i="142"/>
  <c r="CQ2" i="142"/>
  <c r="BP27" i="95"/>
  <c r="O13" i="95"/>
  <c r="P13" i="94"/>
  <c r="O26" i="94"/>
  <c r="CO17" i="139"/>
  <c r="CO8" i="139"/>
  <c r="CO12" i="139"/>
  <c r="CO19" i="139"/>
  <c r="CO11" i="139"/>
  <c r="CO9" i="139"/>
  <c r="CO18" i="139"/>
  <c r="CO22" i="139"/>
  <c r="CO24" i="139"/>
  <c r="CO6" i="139"/>
  <c r="CO7" i="139"/>
  <c r="CO14" i="139"/>
  <c r="CO23" i="139"/>
  <c r="CO21" i="139"/>
  <c r="CO16" i="139"/>
  <c r="CO13" i="139"/>
  <c r="CO15" i="139"/>
  <c r="CO20" i="139"/>
  <c r="CO10" i="139"/>
  <c r="EM1" i="139"/>
  <c r="CP1" i="139"/>
  <c r="CQ2" i="139"/>
  <c r="EL17" i="139"/>
  <c r="EL12" i="139"/>
  <c r="EL16" i="139"/>
  <c r="EL7" i="139"/>
  <c r="EL20" i="139"/>
  <c r="EL15" i="139"/>
  <c r="EL13" i="139"/>
  <c r="EL21" i="139"/>
  <c r="EL8" i="139"/>
  <c r="EL22" i="139"/>
  <c r="EL14" i="139"/>
  <c r="EL24" i="139"/>
  <c r="EL6" i="139"/>
  <c r="EL11" i="139"/>
  <c r="EL19" i="139"/>
  <c r="EL23" i="139"/>
  <c r="EL18" i="139"/>
  <c r="EL9" i="139"/>
  <c r="DN2" i="139"/>
  <c r="DM1" i="139"/>
  <c r="DL21" i="139"/>
  <c r="DL19" i="139"/>
  <c r="DL7" i="139"/>
  <c r="DL22" i="139"/>
  <c r="DL13" i="139"/>
  <c r="DL15" i="139"/>
  <c r="DL10" i="139"/>
  <c r="DL8" i="139"/>
  <c r="DL6" i="139"/>
  <c r="DL17" i="139"/>
  <c r="DL9" i="139"/>
  <c r="DL23" i="139"/>
  <c r="DL18" i="139"/>
  <c r="DL16" i="139"/>
  <c r="DL20" i="139"/>
  <c r="DL12" i="139"/>
  <c r="DL14" i="139"/>
  <c r="DL24" i="139"/>
  <c r="DL11" i="139"/>
  <c r="EL19" i="136"/>
  <c r="EL11" i="136"/>
  <c r="EL7" i="136"/>
  <c r="EL24" i="136"/>
  <c r="EL16" i="136"/>
  <c r="EL15" i="136"/>
  <c r="EL6" i="136"/>
  <c r="EL22" i="136"/>
  <c r="EL17" i="136"/>
  <c r="EL8" i="136"/>
  <c r="EL18" i="136"/>
  <c r="EL12" i="136"/>
  <c r="EL21" i="136"/>
  <c r="EL14" i="136"/>
  <c r="EL23" i="136"/>
  <c r="EL20" i="136"/>
  <c r="EL13" i="136"/>
  <c r="EL9" i="136"/>
  <c r="EL20" i="137"/>
  <c r="EL12" i="137"/>
  <c r="EL19" i="137"/>
  <c r="EL18" i="137"/>
  <c r="EL21" i="137"/>
  <c r="EL16" i="137"/>
  <c r="EL8" i="137"/>
  <c r="EL14" i="137"/>
  <c r="EL7" i="137"/>
  <c r="EL24" i="137"/>
  <c r="EL15" i="137"/>
  <c r="EL17" i="137"/>
  <c r="EL23" i="137"/>
  <c r="EL11" i="137"/>
  <c r="EL9" i="137"/>
  <c r="EL22" i="137"/>
  <c r="EL13" i="137"/>
  <c r="EL6" i="137"/>
  <c r="DL19" i="136"/>
  <c r="DL7" i="136"/>
  <c r="DL15" i="136"/>
  <c r="DL8" i="136"/>
  <c r="DL22" i="136"/>
  <c r="DL17" i="136"/>
  <c r="DL6" i="136"/>
  <c r="DL20" i="136"/>
  <c r="DL14" i="136"/>
  <c r="DL10" i="136"/>
  <c r="DL12" i="136"/>
  <c r="DL21" i="136"/>
  <c r="DL18" i="136"/>
  <c r="DL24" i="136"/>
  <c r="DL13" i="136"/>
  <c r="DL9" i="136"/>
  <c r="DL23" i="136"/>
  <c r="DL16" i="136"/>
  <c r="DL11" i="136"/>
  <c r="CO13" i="136"/>
  <c r="CO14" i="136"/>
  <c r="CO15" i="136"/>
  <c r="EM1" i="136"/>
  <c r="CO24" i="136"/>
  <c r="CO12" i="136"/>
  <c r="CO8" i="136"/>
  <c r="CO21" i="136"/>
  <c r="CO16" i="136"/>
  <c r="CO6" i="136"/>
  <c r="CO19" i="136"/>
  <c r="CO22" i="136"/>
  <c r="CO7" i="136"/>
  <c r="CO18" i="136"/>
  <c r="CO17" i="136"/>
  <c r="CO10" i="136"/>
  <c r="CO20" i="136"/>
  <c r="CO11" i="136"/>
  <c r="CO23" i="136"/>
  <c r="CO9" i="136"/>
  <c r="DN2" i="136"/>
  <c r="DM1" i="136"/>
  <c r="CP1" i="136"/>
  <c r="CQ2" i="136"/>
  <c r="DN2" i="137"/>
  <c r="DM1" i="137"/>
  <c r="CP1" i="137"/>
  <c r="CQ2" i="137"/>
  <c r="DL18" i="137"/>
  <c r="DL9" i="137"/>
  <c r="DL16" i="137"/>
  <c r="DL14" i="137"/>
  <c r="DL24" i="137"/>
  <c r="DL13" i="137"/>
  <c r="DL8" i="137"/>
  <c r="DL23" i="137"/>
  <c r="DL15" i="137"/>
  <c r="DL7" i="137"/>
  <c r="DL22" i="137"/>
  <c r="DL11" i="137"/>
  <c r="DL6" i="137"/>
  <c r="DL21" i="137"/>
  <c r="DL12" i="137"/>
  <c r="DL19" i="137"/>
  <c r="DL10" i="137"/>
  <c r="DL20" i="137"/>
  <c r="DL17" i="137"/>
  <c r="CO17" i="137"/>
  <c r="CO8" i="137"/>
  <c r="CO23" i="137"/>
  <c r="CO15" i="137"/>
  <c r="CO11" i="137"/>
  <c r="CO22" i="137"/>
  <c r="CO14" i="137"/>
  <c r="CO7" i="137"/>
  <c r="CO20" i="137"/>
  <c r="CO16" i="137"/>
  <c r="CO6" i="137"/>
  <c r="CO19" i="137"/>
  <c r="CO12" i="137"/>
  <c r="EM1" i="137"/>
  <c r="CO24" i="137"/>
  <c r="CO10" i="137"/>
  <c r="CO18" i="137"/>
  <c r="CO13" i="137"/>
  <c r="CO21" i="137"/>
  <c r="CO9" i="137"/>
  <c r="CO18" i="132"/>
  <c r="CO10" i="132"/>
  <c r="CO9" i="132"/>
  <c r="CO17" i="132"/>
  <c r="CO21" i="132"/>
  <c r="CO11" i="132"/>
  <c r="CO6" i="132"/>
  <c r="CO22" i="132"/>
  <c r="CO15" i="132"/>
  <c r="CO8" i="132"/>
  <c r="CO19" i="132"/>
  <c r="CO7" i="132"/>
  <c r="CO23" i="132"/>
  <c r="CO13" i="132"/>
  <c r="CO16" i="132"/>
  <c r="CO24" i="132"/>
  <c r="CO14" i="132"/>
  <c r="EM1" i="132"/>
  <c r="CO20" i="132"/>
  <c r="CO12" i="132"/>
  <c r="EL22" i="133"/>
  <c r="EL6" i="133"/>
  <c r="EL21" i="133"/>
  <c r="EL8" i="133"/>
  <c r="EL9" i="133"/>
  <c r="EL20" i="133"/>
  <c r="EL16" i="133"/>
  <c r="EL15" i="133"/>
  <c r="EL24" i="133"/>
  <c r="EL11" i="133"/>
  <c r="EL14" i="133"/>
  <c r="EL23" i="133"/>
  <c r="EL13" i="133"/>
  <c r="EL12" i="133"/>
  <c r="EL18" i="133"/>
  <c r="EL19" i="133"/>
  <c r="EL17" i="133"/>
  <c r="EL7" i="133"/>
  <c r="CQ2" i="132"/>
  <c r="CP1" i="132"/>
  <c r="DM20" i="133"/>
  <c r="DM8" i="133"/>
  <c r="DM9" i="133"/>
  <c r="DM16" i="133"/>
  <c r="DM7" i="133"/>
  <c r="DM19" i="133"/>
  <c r="DM10" i="133"/>
  <c r="DM22" i="133"/>
  <c r="DM12" i="133"/>
  <c r="DM21" i="133"/>
  <c r="DM18" i="133"/>
  <c r="DM15" i="133"/>
  <c r="DM23" i="133"/>
  <c r="DM13" i="133"/>
  <c r="DM14" i="133"/>
  <c r="DM17" i="133"/>
  <c r="DM11" i="133"/>
  <c r="DM24" i="133"/>
  <c r="DM6" i="133"/>
  <c r="CO20" i="133"/>
  <c r="CO13" i="133"/>
  <c r="CO7" i="133"/>
  <c r="CO21" i="133"/>
  <c r="CO24" i="133"/>
  <c r="CO12" i="133"/>
  <c r="CO22" i="133"/>
  <c r="CO23" i="133"/>
  <c r="CO14" i="133"/>
  <c r="CO6" i="133"/>
  <c r="EM1" i="133"/>
  <c r="CO15" i="133"/>
  <c r="CO19" i="133"/>
  <c r="CO11" i="133"/>
  <c r="CO8" i="133"/>
  <c r="CO17" i="133"/>
  <c r="CO9" i="133"/>
  <c r="CO16" i="133"/>
  <c r="CO18" i="133"/>
  <c r="CO10" i="133"/>
  <c r="DO2" i="133"/>
  <c r="DN1" i="133"/>
  <c r="CQ2" i="133"/>
  <c r="CP1" i="133"/>
  <c r="EL18" i="132"/>
  <c r="EL9" i="132"/>
  <c r="EL23" i="132"/>
  <c r="EL7" i="132"/>
  <c r="EL15" i="132"/>
  <c r="EL24" i="132"/>
  <c r="EL16" i="132"/>
  <c r="EL12" i="132"/>
  <c r="EL14" i="132"/>
  <c r="EL8" i="132"/>
  <c r="EL21" i="132"/>
  <c r="EL13" i="132"/>
  <c r="EL20" i="132"/>
  <c r="EL19" i="132"/>
  <c r="EL17" i="132"/>
  <c r="EL11" i="132"/>
  <c r="EL6" i="132"/>
  <c r="EL22" i="132"/>
  <c r="DL21" i="132"/>
  <c r="DL19" i="132"/>
  <c r="DL9" i="132"/>
  <c r="DL12" i="132"/>
  <c r="DL17" i="132"/>
  <c r="DL6" i="132"/>
  <c r="DL18" i="132"/>
  <c r="DL16" i="132"/>
  <c r="DL20" i="132"/>
  <c r="DL13" i="132"/>
  <c r="DL11" i="132"/>
  <c r="DL23" i="132"/>
  <c r="DL10" i="132"/>
  <c r="DL14" i="132"/>
  <c r="DL15" i="132"/>
  <c r="DL24" i="132"/>
  <c r="DL7" i="132"/>
  <c r="DL8" i="132"/>
  <c r="DL22" i="132"/>
  <c r="DN2" i="132"/>
  <c r="DM1" i="132"/>
  <c r="DB2" i="124"/>
  <c r="DA1" i="124"/>
  <c r="CZ16" i="124"/>
  <c r="CZ7" i="124"/>
  <c r="CZ19" i="124"/>
  <c r="CZ9" i="124"/>
  <c r="CZ17" i="124"/>
  <c r="CZ6" i="124"/>
  <c r="CZ14" i="124"/>
  <c r="EX1" i="124"/>
  <c r="CZ24" i="124"/>
  <c r="CZ18" i="124"/>
  <c r="CZ22" i="124"/>
  <c r="CZ11" i="124"/>
  <c r="CZ21" i="124"/>
  <c r="CZ8" i="124"/>
  <c r="CZ23" i="124"/>
  <c r="CZ15" i="124"/>
  <c r="CZ20" i="124"/>
  <c r="CZ10" i="124"/>
  <c r="CZ13" i="124"/>
  <c r="CZ12" i="124"/>
  <c r="EW22" i="124"/>
  <c r="EW14" i="124"/>
  <c r="EW7" i="124"/>
  <c r="EW21" i="124"/>
  <c r="EW12" i="124"/>
  <c r="EW9" i="124"/>
  <c r="EW20" i="124"/>
  <c r="EW11" i="124"/>
  <c r="EW24" i="124"/>
  <c r="EW13" i="124"/>
  <c r="EW17" i="124"/>
  <c r="EW10" i="124"/>
  <c r="EW15" i="124"/>
  <c r="EW8" i="124"/>
  <c r="EW19" i="124"/>
  <c r="EW6" i="124"/>
  <c r="EW23" i="124"/>
  <c r="EW18" i="124"/>
  <c r="EW16" i="124"/>
  <c r="DW23" i="124"/>
  <c r="DW14" i="124"/>
  <c r="DW22" i="124"/>
  <c r="DW18" i="124"/>
  <c r="DW17" i="124"/>
  <c r="DW7" i="124"/>
  <c r="DW19" i="124"/>
  <c r="DW6" i="124"/>
  <c r="DW20" i="124"/>
  <c r="DW11" i="124"/>
  <c r="DW16" i="124"/>
  <c r="DW8" i="124"/>
  <c r="DW21" i="124"/>
  <c r="DW9" i="124"/>
  <c r="DW24" i="124"/>
  <c r="DW15" i="124"/>
  <c r="DW10" i="124"/>
  <c r="DW13" i="124"/>
  <c r="DW12" i="124"/>
  <c r="DY2" i="124"/>
  <c r="DX1" i="124"/>
  <c r="EW16" i="121"/>
  <c r="EW8" i="121"/>
  <c r="EW24" i="121"/>
  <c r="EW14" i="121"/>
  <c r="EW7" i="121"/>
  <c r="EW15" i="121"/>
  <c r="EW13" i="121"/>
  <c r="EW17" i="121"/>
  <c r="EW10" i="121"/>
  <c r="EW22" i="121"/>
  <c r="EW9" i="121"/>
  <c r="EW6" i="121"/>
  <c r="EW11" i="121"/>
  <c r="EW21" i="121"/>
  <c r="EW20" i="121"/>
  <c r="EW19" i="121"/>
  <c r="EW18" i="121"/>
  <c r="EW12" i="121"/>
  <c r="EW23" i="121"/>
  <c r="DX1" i="121"/>
  <c r="DY2" i="121"/>
  <c r="DB2" i="121"/>
  <c r="DA1" i="121"/>
  <c r="EV10" i="121"/>
  <c r="CZ18" i="121"/>
  <c r="CZ11" i="121"/>
  <c r="CZ16" i="121"/>
  <c r="CZ20" i="121"/>
  <c r="CZ9" i="121"/>
  <c r="CZ23" i="121"/>
  <c r="EX1" i="121"/>
  <c r="CZ22" i="121"/>
  <c r="CZ21" i="121"/>
  <c r="CZ7" i="121"/>
  <c r="CZ19" i="121"/>
  <c r="CZ12" i="121"/>
  <c r="CZ24" i="121"/>
  <c r="CZ17" i="121"/>
  <c r="CZ8" i="121"/>
  <c r="CZ13" i="121"/>
  <c r="CZ10" i="121"/>
  <c r="CZ15" i="121"/>
  <c r="CZ14" i="121"/>
  <c r="CZ6" i="121"/>
  <c r="DW24" i="121"/>
  <c r="DW12" i="121"/>
  <c r="DW10" i="121"/>
  <c r="DW19" i="121"/>
  <c r="DW23" i="121"/>
  <c r="DW18" i="121"/>
  <c r="DW13" i="121"/>
  <c r="DW9" i="121"/>
  <c r="DW8" i="121"/>
  <c r="DW14" i="121"/>
  <c r="DW20" i="121"/>
  <c r="DW7" i="121"/>
  <c r="DW21" i="121"/>
  <c r="DW15" i="121"/>
  <c r="DW6" i="121"/>
  <c r="DW22" i="121"/>
  <c r="DW17" i="121"/>
  <c r="DW11" i="121"/>
  <c r="DW16" i="121"/>
  <c r="DB2" i="120"/>
  <c r="DA1" i="120"/>
  <c r="CZ24" i="120"/>
  <c r="CZ15" i="120"/>
  <c r="CZ8" i="120"/>
  <c r="CZ20" i="120"/>
  <c r="CZ10" i="120"/>
  <c r="CZ19" i="120"/>
  <c r="CZ11" i="120"/>
  <c r="CZ18" i="120"/>
  <c r="CZ9" i="120"/>
  <c r="CZ16" i="120"/>
  <c r="CZ6" i="120"/>
  <c r="CZ23" i="120"/>
  <c r="CZ17" i="120"/>
  <c r="EX1" i="120"/>
  <c r="CZ22" i="120"/>
  <c r="CZ14" i="120"/>
  <c r="CZ12" i="120"/>
  <c r="CZ21" i="120"/>
  <c r="CZ13" i="120"/>
  <c r="CZ7" i="120"/>
  <c r="BP13" i="96"/>
  <c r="BP27" i="96" s="1"/>
  <c r="BR13" i="120"/>
  <c r="BR27" i="120" s="1"/>
  <c r="DW18" i="120"/>
  <c r="DW8" i="120"/>
  <c r="DW17" i="120"/>
  <c r="DW13" i="120"/>
  <c r="DW24" i="120"/>
  <c r="DW16" i="120"/>
  <c r="DW11" i="120"/>
  <c r="DW23" i="120"/>
  <c r="DW15" i="120"/>
  <c r="DW7" i="120"/>
  <c r="DW19" i="120"/>
  <c r="DW12" i="120"/>
  <c r="DW6" i="120"/>
  <c r="DW20" i="120"/>
  <c r="DW14" i="120"/>
  <c r="DW21" i="120"/>
  <c r="DW10" i="120"/>
  <c r="DW22" i="120"/>
  <c r="DW9" i="120"/>
  <c r="EW13" i="120"/>
  <c r="EW17" i="120"/>
  <c r="EW24" i="120"/>
  <c r="EW20" i="120"/>
  <c r="EW15" i="120"/>
  <c r="EW23" i="120"/>
  <c r="EW14" i="120"/>
  <c r="EW8" i="120"/>
  <c r="EW22" i="120"/>
  <c r="EW10" i="120"/>
  <c r="EW7" i="120"/>
  <c r="EW21" i="120"/>
  <c r="EW9" i="120"/>
  <c r="EW19" i="120"/>
  <c r="EW12" i="120"/>
  <c r="EW16" i="120"/>
  <c r="EW11" i="120"/>
  <c r="EW18" i="120"/>
  <c r="EW6" i="120"/>
  <c r="DY2" i="120"/>
  <c r="DX1" i="120"/>
  <c r="BR27" i="119"/>
  <c r="DW24" i="119"/>
  <c r="DW18" i="119"/>
  <c r="DW8" i="119"/>
  <c r="DW10" i="119"/>
  <c r="DW19" i="119"/>
  <c r="DW23" i="119"/>
  <c r="DW22" i="119"/>
  <c r="DW12" i="119"/>
  <c r="DW14" i="119"/>
  <c r="DW21" i="119"/>
  <c r="DW11" i="119"/>
  <c r="DW17" i="119"/>
  <c r="DW9" i="119"/>
  <c r="DW7" i="119"/>
  <c r="DW20" i="119"/>
  <c r="DW13" i="119"/>
  <c r="DW6" i="119"/>
  <c r="DW16" i="119"/>
  <c r="DW15" i="119"/>
  <c r="BT13" i="95"/>
  <c r="BT29" i="95" s="1"/>
  <c r="BV13" i="119"/>
  <c r="CZ22" i="119"/>
  <c r="CZ13" i="119"/>
  <c r="CZ9" i="119"/>
  <c r="CZ21" i="119"/>
  <c r="CZ23" i="119"/>
  <c r="CZ11" i="119"/>
  <c r="CZ20" i="119"/>
  <c r="CZ14" i="119"/>
  <c r="EX1" i="119"/>
  <c r="CZ18" i="119"/>
  <c r="CZ12" i="119"/>
  <c r="CZ17" i="119"/>
  <c r="CZ6" i="119"/>
  <c r="CZ7" i="119"/>
  <c r="CZ16" i="119"/>
  <c r="CZ19" i="119"/>
  <c r="CZ8" i="119"/>
  <c r="CZ15" i="119"/>
  <c r="CZ10" i="119"/>
  <c r="CZ24" i="119"/>
  <c r="DY2" i="119"/>
  <c r="DX1" i="119"/>
  <c r="DB2" i="119"/>
  <c r="DA1" i="119"/>
  <c r="EW18" i="119"/>
  <c r="EW11" i="119"/>
  <c r="EW19" i="119"/>
  <c r="EW23" i="119"/>
  <c r="EW14" i="119"/>
  <c r="EW17" i="119"/>
  <c r="EW13" i="119"/>
  <c r="EW22" i="119"/>
  <c r="EW6" i="119"/>
  <c r="EW20" i="119"/>
  <c r="EW12" i="119"/>
  <c r="EW9" i="119"/>
  <c r="EW15" i="119"/>
  <c r="EW7" i="119"/>
  <c r="EW8" i="119"/>
  <c r="EW24" i="119"/>
  <c r="EW16" i="119"/>
  <c r="EW21" i="119"/>
  <c r="EW10" i="119"/>
  <c r="ET10" i="116"/>
  <c r="ET10" i="119"/>
  <c r="CH10" i="119" s="1"/>
  <c r="BU29" i="94"/>
  <c r="EX21" i="116"/>
  <c r="EX15" i="116"/>
  <c r="EX10" i="116"/>
  <c r="EX20" i="116"/>
  <c r="EX13" i="116"/>
  <c r="EX6" i="116"/>
  <c r="EX23" i="116"/>
  <c r="EX16" i="116"/>
  <c r="EX14" i="116"/>
  <c r="EX19" i="116"/>
  <c r="EX12" i="116"/>
  <c r="EX24" i="116"/>
  <c r="EX11" i="116"/>
  <c r="EX17" i="116"/>
  <c r="EX7" i="116"/>
  <c r="EX18" i="116"/>
  <c r="EX9" i="116"/>
  <c r="EX22" i="116"/>
  <c r="EX8" i="116"/>
  <c r="BU10" i="94"/>
  <c r="BU27" i="94" s="1"/>
  <c r="BW10" i="116"/>
  <c r="DC2" i="116"/>
  <c r="DB1" i="116"/>
  <c r="DA24" i="116"/>
  <c r="DA17" i="116"/>
  <c r="DA7" i="116"/>
  <c r="DA23" i="116"/>
  <c r="DA15" i="116"/>
  <c r="DA6" i="116"/>
  <c r="DA21" i="116"/>
  <c r="DA11" i="116"/>
  <c r="EY1" i="116"/>
  <c r="DA22" i="116"/>
  <c r="DA16" i="116"/>
  <c r="DA19" i="116"/>
  <c r="DA12" i="116"/>
  <c r="DA14" i="116"/>
  <c r="DA10" i="116"/>
  <c r="DA18" i="116"/>
  <c r="DA9" i="116"/>
  <c r="DA20" i="116"/>
  <c r="DA13" i="116"/>
  <c r="DA8" i="116"/>
  <c r="DX22" i="116"/>
  <c r="DX17" i="116"/>
  <c r="DX7" i="116"/>
  <c r="DX23" i="116"/>
  <c r="DX15" i="116"/>
  <c r="DX9" i="116"/>
  <c r="DX18" i="116"/>
  <c r="DX14" i="116"/>
  <c r="DX10" i="116"/>
  <c r="DX19" i="116"/>
  <c r="DX13" i="116"/>
  <c r="DX21" i="116"/>
  <c r="DX11" i="116"/>
  <c r="DX24" i="116"/>
  <c r="DX8" i="116"/>
  <c r="DX16" i="116"/>
  <c r="DX6" i="116"/>
  <c r="DX20" i="116"/>
  <c r="DX12" i="116"/>
  <c r="DY1" i="116"/>
  <c r="DZ2" i="116"/>
  <c r="Q28" i="92"/>
  <c r="Q29" i="92"/>
  <c r="Q10" i="113"/>
  <c r="R10" i="113" s="1"/>
  <c r="BW27" i="113"/>
  <c r="DA18" i="112"/>
  <c r="EY1" i="112"/>
  <c r="DA11" i="112"/>
  <c r="DA15" i="112"/>
  <c r="DA9" i="112"/>
  <c r="DA14" i="112"/>
  <c r="DA16" i="112"/>
  <c r="DA22" i="112"/>
  <c r="DA23" i="112"/>
  <c r="DA17" i="112"/>
  <c r="DA6" i="112"/>
  <c r="DA12" i="112"/>
  <c r="DA21" i="112"/>
  <c r="DA7" i="112"/>
  <c r="DA8" i="112"/>
  <c r="DA20" i="112"/>
  <c r="DA19" i="112"/>
  <c r="DA10" i="112"/>
  <c r="DA24" i="112"/>
  <c r="DA13" i="112"/>
  <c r="EX15" i="113"/>
  <c r="EX6" i="113"/>
  <c r="EX8" i="113"/>
  <c r="EX17" i="113"/>
  <c r="EX18" i="113"/>
  <c r="EX22" i="113"/>
  <c r="EX7" i="113"/>
  <c r="EX16" i="113"/>
  <c r="EX21" i="113"/>
  <c r="EX24" i="113"/>
  <c r="EX13" i="113"/>
  <c r="EX12" i="113"/>
  <c r="EX14" i="113"/>
  <c r="EX23" i="113"/>
  <c r="EX19" i="113"/>
  <c r="EX10" i="113"/>
  <c r="EX11" i="113"/>
  <c r="EX20" i="113"/>
  <c r="EX9" i="113"/>
  <c r="DB1" i="112"/>
  <c r="DC2" i="112"/>
  <c r="DZ2" i="112"/>
  <c r="DY1" i="112"/>
  <c r="Q10" i="93"/>
  <c r="R10" i="93" s="1"/>
  <c r="Q29" i="93" s="1"/>
  <c r="DX22" i="112"/>
  <c r="DX16" i="112"/>
  <c r="DX6" i="112"/>
  <c r="DX9" i="112"/>
  <c r="DX18" i="112"/>
  <c r="DX20" i="112"/>
  <c r="DX19" i="112"/>
  <c r="DX14" i="112"/>
  <c r="DX8" i="112"/>
  <c r="DX17" i="112"/>
  <c r="DX13" i="112"/>
  <c r="DX15" i="112"/>
  <c r="DX10" i="112"/>
  <c r="DX7" i="112"/>
  <c r="DX23" i="112"/>
  <c r="DX21" i="112"/>
  <c r="DX12" i="112"/>
  <c r="DX11" i="112"/>
  <c r="DX24" i="112"/>
  <c r="BU27" i="93"/>
  <c r="EQ10" i="109"/>
  <c r="ER10" i="112"/>
  <c r="ES10" i="113"/>
  <c r="DX24" i="113"/>
  <c r="DX14" i="113"/>
  <c r="DX11" i="113"/>
  <c r="DX23" i="113"/>
  <c r="DX16" i="113"/>
  <c r="DX6" i="113"/>
  <c r="DX18" i="113"/>
  <c r="DX22" i="113"/>
  <c r="DX10" i="113"/>
  <c r="DX20" i="113"/>
  <c r="DX17" i="113"/>
  <c r="DX19" i="113"/>
  <c r="DX9" i="113"/>
  <c r="DX7" i="113"/>
  <c r="DX21" i="113"/>
  <c r="DX8" i="113"/>
  <c r="DX13" i="113"/>
  <c r="DX15" i="113"/>
  <c r="DX12" i="113"/>
  <c r="DZ2" i="113"/>
  <c r="DY1" i="113"/>
  <c r="EX16" i="112"/>
  <c r="EX11" i="112"/>
  <c r="EX23" i="112"/>
  <c r="EX19" i="112"/>
  <c r="EX10" i="112"/>
  <c r="EX7" i="112"/>
  <c r="EX22" i="112"/>
  <c r="EX15" i="112"/>
  <c r="EX8" i="112"/>
  <c r="EX21" i="112"/>
  <c r="EX13" i="112"/>
  <c r="EX20" i="112"/>
  <c r="EX9" i="112"/>
  <c r="EX18" i="112"/>
  <c r="EX6" i="112"/>
  <c r="EX24" i="112"/>
  <c r="EX17" i="112"/>
  <c r="EX14" i="112"/>
  <c r="DA22" i="113"/>
  <c r="DA15" i="113"/>
  <c r="DA8" i="113"/>
  <c r="DA21" i="113"/>
  <c r="DA13" i="113"/>
  <c r="DA11" i="113"/>
  <c r="DA19" i="113"/>
  <c r="DA16" i="113"/>
  <c r="DA24" i="113"/>
  <c r="DA20" i="113"/>
  <c r="DA12" i="113"/>
  <c r="DA17" i="113"/>
  <c r="DA6" i="113"/>
  <c r="DA18" i="113"/>
  <c r="DA10" i="113"/>
  <c r="DA7" i="113"/>
  <c r="EY1" i="113"/>
  <c r="DA23" i="113"/>
  <c r="DA14" i="113"/>
  <c r="DA9" i="113"/>
  <c r="DB1" i="113"/>
  <c r="DC2" i="113"/>
  <c r="EW21" i="108"/>
  <c r="EW9" i="108"/>
  <c r="EW13" i="108"/>
  <c r="EW24" i="108"/>
  <c r="EW23" i="108"/>
  <c r="EW10" i="108"/>
  <c r="EW20" i="108"/>
  <c r="EW8" i="108"/>
  <c r="EW19" i="108"/>
  <c r="EW7" i="108"/>
  <c r="EW18" i="108"/>
  <c r="EW6" i="108"/>
  <c r="EW16" i="108"/>
  <c r="EW22" i="108"/>
  <c r="EW17" i="108"/>
  <c r="EW15" i="108"/>
  <c r="EW14" i="108"/>
  <c r="EW12" i="108"/>
  <c r="EW11" i="108"/>
  <c r="DY1" i="109"/>
  <c r="DZ2" i="109"/>
  <c r="EX19" i="109"/>
  <c r="EX7" i="109"/>
  <c r="EX14" i="109"/>
  <c r="EX13" i="109"/>
  <c r="EX12" i="109"/>
  <c r="EX8" i="109"/>
  <c r="EX18" i="109"/>
  <c r="EX6" i="109"/>
  <c r="EX11" i="109"/>
  <c r="EX21" i="109"/>
  <c r="EX17" i="109"/>
  <c r="EX10" i="109"/>
  <c r="EX16" i="109"/>
  <c r="EX22" i="109"/>
  <c r="EX15" i="109"/>
  <c r="EX24" i="109"/>
  <c r="EX9" i="109"/>
  <c r="EX23" i="109"/>
  <c r="EX20" i="109"/>
  <c r="DW14" i="108"/>
  <c r="DW20" i="108"/>
  <c r="DW18" i="108"/>
  <c r="DW16" i="108"/>
  <c r="DW15" i="108"/>
  <c r="DW13" i="108"/>
  <c r="DW17" i="108"/>
  <c r="DW24" i="108"/>
  <c r="DW12" i="108"/>
  <c r="DW23" i="108"/>
  <c r="DW11" i="108"/>
  <c r="DW22" i="108"/>
  <c r="DW10" i="108"/>
  <c r="DW19" i="108"/>
  <c r="DW7" i="108"/>
  <c r="DW6" i="108"/>
  <c r="DW21" i="108"/>
  <c r="DW9" i="108"/>
  <c r="DW8" i="108"/>
  <c r="DY2" i="108"/>
  <c r="DX1" i="108"/>
  <c r="DX24" i="109"/>
  <c r="DX12" i="109"/>
  <c r="DX7" i="109"/>
  <c r="DX18" i="109"/>
  <c r="DX17" i="109"/>
  <c r="DX16" i="109"/>
  <c r="DX14" i="109"/>
  <c r="DX23" i="109"/>
  <c r="DX11" i="109"/>
  <c r="DX8" i="109"/>
  <c r="DX22" i="109"/>
  <c r="DX10" i="109"/>
  <c r="DX21" i="109"/>
  <c r="DX9" i="109"/>
  <c r="DX20" i="109"/>
  <c r="DX6" i="109"/>
  <c r="DX15" i="109"/>
  <c r="DX13" i="109"/>
  <c r="DX19" i="109"/>
  <c r="DB2" i="108"/>
  <c r="DA1" i="108"/>
  <c r="DA21" i="109"/>
  <c r="DA9" i="109"/>
  <c r="DA17" i="109"/>
  <c r="DA12" i="109"/>
  <c r="DA22" i="109"/>
  <c r="DA20" i="109"/>
  <c r="DA8" i="109"/>
  <c r="DA24" i="109"/>
  <c r="DA19" i="109"/>
  <c r="DA7" i="109"/>
  <c r="EY1" i="109"/>
  <c r="DA16" i="109"/>
  <c r="DA10" i="109"/>
  <c r="DA18" i="109"/>
  <c r="DA6" i="109"/>
  <c r="DA15" i="109"/>
  <c r="DA14" i="109"/>
  <c r="DA13" i="109"/>
  <c r="DA11" i="109"/>
  <c r="DA23" i="109"/>
  <c r="EO10" i="108"/>
  <c r="CZ23" i="108"/>
  <c r="CZ11" i="108"/>
  <c r="CZ6" i="108"/>
  <c r="EX1" i="108"/>
  <c r="CZ16" i="108"/>
  <c r="CZ15" i="108"/>
  <c r="CZ12" i="108"/>
  <c r="CZ22" i="108"/>
  <c r="CZ10" i="108"/>
  <c r="CZ21" i="108"/>
  <c r="CZ9" i="108"/>
  <c r="CZ20" i="108"/>
  <c r="CZ8" i="108"/>
  <c r="CZ17" i="108"/>
  <c r="CZ19" i="108"/>
  <c r="CZ7" i="108"/>
  <c r="CZ14" i="108"/>
  <c r="CZ24" i="108"/>
  <c r="CZ18" i="108"/>
  <c r="CZ13" i="108"/>
  <c r="DB1" i="109"/>
  <c r="DC2" i="109"/>
  <c r="EM10" i="105"/>
  <c r="EN10" i="106"/>
  <c r="DB2" i="106"/>
  <c r="DA1" i="106"/>
  <c r="DY2" i="106"/>
  <c r="DX1" i="106"/>
  <c r="CZ21" i="106"/>
  <c r="CZ13" i="106"/>
  <c r="EX1" i="106"/>
  <c r="CZ20" i="106"/>
  <c r="CZ17" i="106"/>
  <c r="CZ8" i="106"/>
  <c r="CZ23" i="106"/>
  <c r="CZ15" i="106"/>
  <c r="CZ7" i="106"/>
  <c r="CZ12" i="106"/>
  <c r="CZ9" i="106"/>
  <c r="CZ16" i="106"/>
  <c r="CZ19" i="106"/>
  <c r="CZ11" i="106"/>
  <c r="CZ6" i="106"/>
  <c r="CZ18" i="106"/>
  <c r="CZ10" i="106"/>
  <c r="CZ14" i="106"/>
  <c r="CZ22" i="106"/>
  <c r="CZ24" i="106"/>
  <c r="DW24" i="106"/>
  <c r="DW16" i="106"/>
  <c r="DW8" i="106"/>
  <c r="DW15" i="106"/>
  <c r="DW23" i="106"/>
  <c r="DW7" i="106"/>
  <c r="DW12" i="106"/>
  <c r="DW19" i="106"/>
  <c r="DW11" i="106"/>
  <c r="DW17" i="106"/>
  <c r="DW22" i="106"/>
  <c r="DW14" i="106"/>
  <c r="DW6" i="106"/>
  <c r="DW21" i="106"/>
  <c r="DW13" i="106"/>
  <c r="DW10" i="106"/>
  <c r="DW9" i="106"/>
  <c r="DW20" i="106"/>
  <c r="DW18" i="106"/>
  <c r="EW19" i="106"/>
  <c r="EW11" i="106"/>
  <c r="EW18" i="106"/>
  <c r="EW6" i="106"/>
  <c r="EW13" i="106"/>
  <c r="EW10" i="106"/>
  <c r="EW8" i="106"/>
  <c r="EW23" i="106"/>
  <c r="EW7" i="106"/>
  <c r="EW22" i="106"/>
  <c r="EW14" i="106"/>
  <c r="EW17" i="106"/>
  <c r="EW9" i="106"/>
  <c r="EW15" i="106"/>
  <c r="EW24" i="106"/>
  <c r="EW16" i="106"/>
  <c r="EW21" i="106"/>
  <c r="EW20" i="106"/>
  <c r="EW12" i="106"/>
  <c r="EW17" i="105"/>
  <c r="EW7" i="105"/>
  <c r="EW16" i="105"/>
  <c r="EW15" i="105"/>
  <c r="EW14" i="105"/>
  <c r="EW13" i="105"/>
  <c r="EW24" i="105"/>
  <c r="EW11" i="105"/>
  <c r="EW22" i="105"/>
  <c r="EW10" i="105"/>
  <c r="EW9" i="105"/>
  <c r="EW20" i="105"/>
  <c r="EW18" i="105"/>
  <c r="EW12" i="105"/>
  <c r="EW23" i="105"/>
  <c r="EW21" i="105"/>
  <c r="EW8" i="105"/>
  <c r="EW19" i="105"/>
  <c r="EW6" i="105"/>
  <c r="DX1" i="105"/>
  <c r="DY2" i="105"/>
  <c r="DW22" i="105"/>
  <c r="DW10" i="105"/>
  <c r="DW23" i="105"/>
  <c r="DW21" i="105"/>
  <c r="DW9" i="105"/>
  <c r="DW20" i="105"/>
  <c r="DW8" i="105"/>
  <c r="DW19" i="105"/>
  <c r="DW7" i="105"/>
  <c r="DW18" i="105"/>
  <c r="DW17" i="105"/>
  <c r="DW15" i="105"/>
  <c r="DW14" i="105"/>
  <c r="DW24" i="105"/>
  <c r="DW11" i="105"/>
  <c r="DW6" i="105"/>
  <c r="DW16" i="105"/>
  <c r="DW13" i="105"/>
  <c r="DW12" i="105"/>
  <c r="CZ19" i="105"/>
  <c r="CZ7" i="105"/>
  <c r="CZ22" i="105"/>
  <c r="CZ18" i="105"/>
  <c r="CZ6" i="105"/>
  <c r="CZ17" i="105"/>
  <c r="EX1" i="105"/>
  <c r="CZ15" i="105"/>
  <c r="CZ14" i="105"/>
  <c r="CZ12" i="105"/>
  <c r="CZ11" i="105"/>
  <c r="CZ9" i="105"/>
  <c r="CZ16" i="105"/>
  <c r="CZ13" i="105"/>
  <c r="CZ24" i="105"/>
  <c r="CZ23" i="105"/>
  <c r="CZ10" i="105"/>
  <c r="CZ21" i="105"/>
  <c r="CZ20" i="105"/>
  <c r="CZ8" i="105"/>
  <c r="DB2" i="105"/>
  <c r="DA1" i="105"/>
  <c r="EJ10" i="98"/>
  <c r="EK10" i="100"/>
  <c r="GJ115" i="9"/>
  <c r="GN115" i="9" s="1"/>
  <c r="BV13" i="121" s="1"/>
  <c r="EG10" i="95"/>
  <c r="CF10" i="95" s="1"/>
  <c r="Y10" i="95" s="1"/>
  <c r="EH10" i="96"/>
  <c r="EI10" i="97"/>
  <c r="IU115" i="9"/>
  <c r="IV114" i="9"/>
  <c r="EV10" i="124" s="1"/>
  <c r="EW116" i="9"/>
  <c r="EX115" i="9"/>
  <c r="GH113" i="9"/>
  <c r="DY2" i="92"/>
  <c r="DX1" i="92"/>
  <c r="DW23" i="92"/>
  <c r="DW18" i="92"/>
  <c r="DW7" i="92"/>
  <c r="DW13" i="92"/>
  <c r="DW22" i="92"/>
  <c r="DW15" i="92"/>
  <c r="DW6" i="92"/>
  <c r="DW17" i="92"/>
  <c r="DW8" i="92"/>
  <c r="DW9" i="92"/>
  <c r="DW20" i="92"/>
  <c r="DW21" i="92"/>
  <c r="DW10" i="92"/>
  <c r="DW16" i="92"/>
  <c r="DW11" i="92"/>
  <c r="DW24" i="92"/>
  <c r="DW12" i="92"/>
  <c r="DW14" i="92"/>
  <c r="DW19" i="92"/>
  <c r="CZ16" i="92"/>
  <c r="CZ21" i="92"/>
  <c r="CZ13" i="92"/>
  <c r="CZ17" i="92"/>
  <c r="CZ24" i="92"/>
  <c r="CZ12" i="92"/>
  <c r="CZ18" i="92"/>
  <c r="CZ20" i="92"/>
  <c r="CZ7" i="92"/>
  <c r="CZ11" i="92"/>
  <c r="CZ23" i="92"/>
  <c r="EX1" i="92"/>
  <c r="CZ9" i="92"/>
  <c r="CZ15" i="92"/>
  <c r="CZ19" i="92"/>
  <c r="CZ6" i="92"/>
  <c r="CZ22" i="92"/>
  <c r="CZ8" i="92"/>
  <c r="CZ14" i="92"/>
  <c r="CZ10" i="92"/>
  <c r="DB2" i="92"/>
  <c r="DA1" i="92"/>
  <c r="EW21" i="92"/>
  <c r="EW8" i="92"/>
  <c r="EW24" i="92"/>
  <c r="EW20" i="92"/>
  <c r="EW16" i="92"/>
  <c r="EW15" i="92"/>
  <c r="EW23" i="92"/>
  <c r="EW19" i="92"/>
  <c r="EW14" i="92"/>
  <c r="EW22" i="92"/>
  <c r="EW18" i="92"/>
  <c r="EW13" i="92"/>
  <c r="EW9" i="92"/>
  <c r="EW11" i="92"/>
  <c r="EW7" i="92"/>
  <c r="EW17" i="92"/>
  <c r="EW6" i="92"/>
  <c r="EW10" i="92"/>
  <c r="EW12" i="92"/>
  <c r="DY2" i="90"/>
  <c r="DX1" i="90"/>
  <c r="DA1" i="90"/>
  <c r="DB2" i="90"/>
  <c r="DW17" i="90"/>
  <c r="DW19" i="90"/>
  <c r="DW14" i="90"/>
  <c r="DW8" i="90"/>
  <c r="DW24" i="90"/>
  <c r="DW6" i="90"/>
  <c r="DW23" i="90"/>
  <c r="DW22" i="90"/>
  <c r="DW18" i="90"/>
  <c r="DW11" i="90"/>
  <c r="DW7" i="90"/>
  <c r="DW16" i="90"/>
  <c r="DW15" i="90"/>
  <c r="DW21" i="90"/>
  <c r="DW9" i="90"/>
  <c r="DW10" i="90"/>
  <c r="DW13" i="90"/>
  <c r="DW20" i="90"/>
  <c r="DW12" i="90"/>
  <c r="CZ24" i="90"/>
  <c r="CZ6" i="90"/>
  <c r="CZ22" i="90"/>
  <c r="CZ7" i="90"/>
  <c r="CZ23" i="90"/>
  <c r="EX1" i="90"/>
  <c r="CZ18" i="90"/>
  <c r="CZ8" i="90"/>
  <c r="CZ19" i="90"/>
  <c r="CZ21" i="90"/>
  <c r="CZ9" i="90"/>
  <c r="CZ11" i="90"/>
  <c r="CZ17" i="90"/>
  <c r="CZ15" i="90"/>
  <c r="CZ16" i="90"/>
  <c r="CZ14" i="90"/>
  <c r="CZ20" i="90"/>
  <c r="CZ10" i="90"/>
  <c r="CZ13" i="90"/>
  <c r="CZ12" i="90"/>
  <c r="EW19" i="91"/>
  <c r="EW10" i="91"/>
  <c r="EW16" i="91"/>
  <c r="EW22" i="91"/>
  <c r="EW20" i="91"/>
  <c r="EW18" i="91"/>
  <c r="EW9" i="91"/>
  <c r="EW13" i="91"/>
  <c r="EW24" i="91"/>
  <c r="EW15" i="91"/>
  <c r="EW6" i="91"/>
  <c r="EW12" i="91"/>
  <c r="EW8" i="91"/>
  <c r="EW7" i="91"/>
  <c r="EW14" i="91"/>
  <c r="EW23" i="91"/>
  <c r="EW21" i="91"/>
  <c r="EW17" i="91"/>
  <c r="EW11" i="91"/>
  <c r="DY2" i="91"/>
  <c r="DX1" i="91"/>
  <c r="CZ10" i="91"/>
  <c r="CZ12" i="91"/>
  <c r="CZ11" i="91"/>
  <c r="CZ24" i="91"/>
  <c r="CZ9" i="91"/>
  <c r="CZ22" i="91"/>
  <c r="CZ18" i="91"/>
  <c r="CZ16" i="91"/>
  <c r="CZ23" i="91"/>
  <c r="CZ6" i="91"/>
  <c r="CZ21" i="91"/>
  <c r="CZ19" i="91"/>
  <c r="CZ7" i="91"/>
  <c r="EX1" i="91"/>
  <c r="CZ15" i="91"/>
  <c r="CZ20" i="91"/>
  <c r="CZ14" i="91"/>
  <c r="CZ17" i="91"/>
  <c r="CZ8" i="91"/>
  <c r="CZ13" i="91"/>
  <c r="DW14" i="91"/>
  <c r="DW8" i="91"/>
  <c r="DW7" i="91"/>
  <c r="DW18" i="91"/>
  <c r="DW13" i="91"/>
  <c r="DW10" i="91"/>
  <c r="DW9" i="91"/>
  <c r="DW19" i="91"/>
  <c r="DW16" i="91"/>
  <c r="DW22" i="91"/>
  <c r="DW24" i="91"/>
  <c r="DW6" i="91"/>
  <c r="DW17" i="91"/>
  <c r="DW15" i="91"/>
  <c r="DW23" i="91"/>
  <c r="DW21" i="91"/>
  <c r="DW20" i="91"/>
  <c r="DW12" i="91"/>
  <c r="DW11" i="91"/>
  <c r="DB2" i="91"/>
  <c r="DA1" i="91"/>
  <c r="EW15" i="90"/>
  <c r="EW12" i="90"/>
  <c r="EW20" i="90"/>
  <c r="EW11" i="90"/>
  <c r="EW16" i="90"/>
  <c r="EW7" i="90"/>
  <c r="EW6" i="90"/>
  <c r="EW13" i="90"/>
  <c r="EW23" i="90"/>
  <c r="EW14" i="90"/>
  <c r="EW21" i="90"/>
  <c r="EW19" i="90"/>
  <c r="EW10" i="90"/>
  <c r="EW24" i="90"/>
  <c r="EW18" i="90"/>
  <c r="EW9" i="90"/>
  <c r="EW22" i="90"/>
  <c r="EW8" i="90"/>
  <c r="EW17" i="90"/>
  <c r="DW21" i="89"/>
  <c r="DW12" i="89"/>
  <c r="DW17" i="89"/>
  <c r="DW8" i="89"/>
  <c r="DW20" i="89"/>
  <c r="DW16" i="89"/>
  <c r="DW7" i="89"/>
  <c r="DW24" i="89"/>
  <c r="DW14" i="89"/>
  <c r="DW15" i="89"/>
  <c r="DW23" i="89"/>
  <c r="DW11" i="89"/>
  <c r="DW6" i="89"/>
  <c r="DW18" i="89"/>
  <c r="DW9" i="89"/>
  <c r="DW22" i="89"/>
  <c r="DW10" i="89"/>
  <c r="DW19" i="89"/>
  <c r="DW13" i="89"/>
  <c r="DB2" i="89"/>
  <c r="DA1" i="89"/>
  <c r="EW21" i="89"/>
  <c r="EW10" i="89"/>
  <c r="EW17" i="89"/>
  <c r="EW13" i="89"/>
  <c r="EW23" i="89"/>
  <c r="EW12" i="89"/>
  <c r="EW20" i="89"/>
  <c r="EW11" i="89"/>
  <c r="EW18" i="89"/>
  <c r="EW7" i="89"/>
  <c r="EW19" i="89"/>
  <c r="EW15" i="89"/>
  <c r="EW6" i="89"/>
  <c r="EW24" i="89"/>
  <c r="EW16" i="89"/>
  <c r="EW8" i="89"/>
  <c r="EW22" i="89"/>
  <c r="EW14" i="89"/>
  <c r="EW9" i="89"/>
  <c r="DY2" i="89"/>
  <c r="DX1" i="89"/>
  <c r="CZ16" i="89"/>
  <c r="CZ6" i="89"/>
  <c r="CZ23" i="89"/>
  <c r="CZ20" i="89"/>
  <c r="CZ10" i="89"/>
  <c r="CZ18" i="89"/>
  <c r="CZ17" i="89"/>
  <c r="CZ9" i="89"/>
  <c r="CZ21" i="89"/>
  <c r="CZ13" i="89"/>
  <c r="CZ11" i="89"/>
  <c r="CZ19" i="89"/>
  <c r="CZ12" i="89"/>
  <c r="EX1" i="89"/>
  <c r="CZ22" i="89"/>
  <c r="CZ14" i="89"/>
  <c r="CZ15" i="89"/>
  <c r="CZ7" i="89"/>
  <c r="CZ24" i="89"/>
  <c r="CZ8" i="89"/>
  <c r="EW20" i="87"/>
  <c r="EW14" i="87"/>
  <c r="EW6" i="87"/>
  <c r="EW19" i="87"/>
  <c r="EW13" i="87"/>
  <c r="EW24" i="87"/>
  <c r="EW10" i="87"/>
  <c r="EW18" i="87"/>
  <c r="EW9" i="87"/>
  <c r="EW17" i="87"/>
  <c r="EW16" i="87"/>
  <c r="EW21" i="87"/>
  <c r="EW7" i="87"/>
  <c r="EW23" i="87"/>
  <c r="EW15" i="87"/>
  <c r="EW8" i="87"/>
  <c r="EW22" i="87"/>
  <c r="EW12" i="87"/>
  <c r="EW11" i="87"/>
  <c r="EW20" i="88"/>
  <c r="EW14" i="88"/>
  <c r="EW7" i="88"/>
  <c r="EW19" i="88"/>
  <c r="EW16" i="88"/>
  <c r="EW12" i="88"/>
  <c r="EW24" i="88"/>
  <c r="EW13" i="88"/>
  <c r="EW6" i="88"/>
  <c r="EW22" i="88"/>
  <c r="EW11" i="88"/>
  <c r="EW23" i="88"/>
  <c r="EW10" i="88"/>
  <c r="EW15" i="88"/>
  <c r="EW9" i="88"/>
  <c r="EW21" i="88"/>
  <c r="EW17" i="88"/>
  <c r="EW18" i="88"/>
  <c r="EW8" i="88"/>
  <c r="CZ15" i="88"/>
  <c r="CZ7" i="88"/>
  <c r="CZ17" i="88"/>
  <c r="CZ12" i="88"/>
  <c r="CZ16" i="88"/>
  <c r="CZ9" i="88"/>
  <c r="CZ24" i="88"/>
  <c r="CZ22" i="88"/>
  <c r="CZ6" i="88"/>
  <c r="CZ23" i="88"/>
  <c r="CZ19" i="88"/>
  <c r="EX1" i="88"/>
  <c r="CZ21" i="88"/>
  <c r="CZ14" i="88"/>
  <c r="CZ10" i="88"/>
  <c r="CZ20" i="88"/>
  <c r="CZ13" i="88"/>
  <c r="CZ11" i="88"/>
  <c r="CZ18" i="88"/>
  <c r="CZ8" i="88"/>
  <c r="DY2" i="87"/>
  <c r="DX1" i="87"/>
  <c r="DA1" i="88"/>
  <c r="DB2" i="88"/>
  <c r="DW22" i="87"/>
  <c r="DW19" i="87"/>
  <c r="DW10" i="87"/>
  <c r="DW21" i="87"/>
  <c r="DW16" i="87"/>
  <c r="DW9" i="87"/>
  <c r="DW18" i="87"/>
  <c r="DW14" i="87"/>
  <c r="DW17" i="87"/>
  <c r="DW12" i="87"/>
  <c r="DW20" i="87"/>
  <c r="DW8" i="87"/>
  <c r="DW23" i="87"/>
  <c r="DW7" i="87"/>
  <c r="DW13" i="87"/>
  <c r="DW11" i="87"/>
  <c r="DW24" i="87"/>
  <c r="DW15" i="87"/>
  <c r="DW6" i="87"/>
  <c r="CZ18" i="87"/>
  <c r="CZ12" i="87"/>
  <c r="CZ23" i="87"/>
  <c r="CZ17" i="87"/>
  <c r="CZ10" i="87"/>
  <c r="CZ21" i="87"/>
  <c r="CZ16" i="87"/>
  <c r="CZ8" i="87"/>
  <c r="CZ24" i="87"/>
  <c r="CZ15" i="87"/>
  <c r="EX1" i="87"/>
  <c r="CZ19" i="87"/>
  <c r="CZ13" i="87"/>
  <c r="CZ7" i="87"/>
  <c r="CZ22" i="87"/>
  <c r="CZ11" i="87"/>
  <c r="CZ20" i="87"/>
  <c r="CZ9" i="87"/>
  <c r="CZ14" i="87"/>
  <c r="CZ6" i="87"/>
  <c r="DW24" i="88"/>
  <c r="DW15" i="88"/>
  <c r="DW21" i="88"/>
  <c r="DW16" i="88"/>
  <c r="DW8" i="88"/>
  <c r="DW20" i="88"/>
  <c r="DW14" i="88"/>
  <c r="DW7" i="88"/>
  <c r="DW23" i="88"/>
  <c r="DW12" i="88"/>
  <c r="DW6" i="88"/>
  <c r="DW22" i="88"/>
  <c r="DW13" i="88"/>
  <c r="DW18" i="88"/>
  <c r="DW11" i="88"/>
  <c r="DW19" i="88"/>
  <c r="DW10" i="88"/>
  <c r="DW17" i="88"/>
  <c r="DW9" i="88"/>
  <c r="DA1" i="87"/>
  <c r="DB2" i="87"/>
  <c r="DX1" i="88"/>
  <c r="DY2" i="88"/>
  <c r="DW16" i="86"/>
  <c r="DW14" i="86"/>
  <c r="DW15" i="86"/>
  <c r="DW11" i="86"/>
  <c r="DW10" i="86"/>
  <c r="DW19" i="86"/>
  <c r="DW18" i="86"/>
  <c r="DW9" i="86"/>
  <c r="DW21" i="86"/>
  <c r="DW23" i="86"/>
  <c r="DW7" i="86"/>
  <c r="DW17" i="86"/>
  <c r="DW20" i="86"/>
  <c r="DW8" i="86"/>
  <c r="DW24" i="86"/>
  <c r="DW22" i="86"/>
  <c r="DW13" i="86"/>
  <c r="DW6" i="86"/>
  <c r="DW12" i="86"/>
  <c r="DB2" i="86"/>
  <c r="DA1" i="86"/>
  <c r="EW20" i="86"/>
  <c r="EW14" i="86"/>
  <c r="EW22" i="86"/>
  <c r="EW11" i="86"/>
  <c r="EW23" i="86"/>
  <c r="EW6" i="86"/>
  <c r="EW19" i="86"/>
  <c r="EW10" i="86"/>
  <c r="EW17" i="86"/>
  <c r="EW13" i="86"/>
  <c r="EW15" i="86"/>
  <c r="EW18" i="86"/>
  <c r="EW9" i="86"/>
  <c r="EW21" i="86"/>
  <c r="EW16" i="86"/>
  <c r="EW8" i="86"/>
  <c r="EW24" i="86"/>
  <c r="EW12" i="86"/>
  <c r="EW7" i="86"/>
  <c r="DY2" i="86"/>
  <c r="DX1" i="86"/>
  <c r="CZ24" i="86"/>
  <c r="CZ11" i="86"/>
  <c r="CZ8" i="86"/>
  <c r="CZ22" i="86"/>
  <c r="CZ15" i="86"/>
  <c r="CZ7" i="86"/>
  <c r="CZ12" i="86"/>
  <c r="CZ21" i="86"/>
  <c r="CZ16" i="86"/>
  <c r="CZ6" i="86"/>
  <c r="CZ23" i="86"/>
  <c r="CZ19" i="86"/>
  <c r="CZ20" i="86"/>
  <c r="EX1" i="86"/>
  <c r="CZ14" i="86"/>
  <c r="CZ18" i="86"/>
  <c r="CZ13" i="86"/>
  <c r="CZ10" i="86"/>
  <c r="CZ17" i="86"/>
  <c r="CZ9" i="86"/>
  <c r="DN1" i="142" l="1"/>
  <c r="DO2" i="142"/>
  <c r="DM7" i="142"/>
  <c r="DM21" i="142"/>
  <c r="DM24" i="142"/>
  <c r="DM22" i="142"/>
  <c r="DM8" i="142"/>
  <c r="DM6" i="142"/>
  <c r="DM23" i="142"/>
  <c r="DM9" i="142"/>
  <c r="DM19" i="142"/>
  <c r="DM18" i="142"/>
  <c r="DM10" i="142"/>
  <c r="DM20" i="142"/>
  <c r="DM17" i="142"/>
  <c r="DM16" i="142"/>
  <c r="DM15" i="142"/>
  <c r="DM14" i="142"/>
  <c r="DM13" i="142"/>
  <c r="DM12" i="142"/>
  <c r="DM11" i="142"/>
  <c r="EM18" i="142"/>
  <c r="EM14" i="142"/>
  <c r="EM8" i="142"/>
  <c r="EM16" i="142"/>
  <c r="EM12" i="142"/>
  <c r="EM7" i="142"/>
  <c r="EM23" i="142"/>
  <c r="EM19" i="142"/>
  <c r="EM15" i="142"/>
  <c r="EM13" i="142"/>
  <c r="EM11" i="142"/>
  <c r="EM9" i="142"/>
  <c r="EM6" i="142"/>
  <c r="EM24" i="142"/>
  <c r="EM22" i="142"/>
  <c r="EM21" i="142"/>
  <c r="EM17" i="142"/>
  <c r="EM20" i="142"/>
  <c r="CP18" i="142"/>
  <c r="CP6" i="142"/>
  <c r="CP22" i="142"/>
  <c r="CP19" i="142"/>
  <c r="CP23" i="142"/>
  <c r="EN1" i="142"/>
  <c r="CP20" i="142"/>
  <c r="CP14" i="142"/>
  <c r="CP17" i="142"/>
  <c r="CP16" i="142"/>
  <c r="CP15" i="142"/>
  <c r="CP13" i="142"/>
  <c r="CP12" i="142"/>
  <c r="CP11" i="142"/>
  <c r="CP10" i="142"/>
  <c r="CP9" i="142"/>
  <c r="CP8" i="142"/>
  <c r="CP7" i="142"/>
  <c r="CP24" i="142"/>
  <c r="CP21" i="142"/>
  <c r="CR2" i="142"/>
  <c r="CQ1" i="142"/>
  <c r="O28" i="94"/>
  <c r="O30" i="94"/>
  <c r="O29" i="94"/>
  <c r="P13" i="95"/>
  <c r="O26" i="95"/>
  <c r="CQ1" i="139"/>
  <c r="CR2" i="139"/>
  <c r="CP20" i="139"/>
  <c r="CP16" i="139"/>
  <c r="CP18" i="139"/>
  <c r="CP22" i="139"/>
  <c r="CP8" i="139"/>
  <c r="CP12" i="139"/>
  <c r="CP21" i="139"/>
  <c r="CP13" i="139"/>
  <c r="CP14" i="139"/>
  <c r="CP23" i="139"/>
  <c r="EN1" i="139"/>
  <c r="CP17" i="139"/>
  <c r="CP7" i="139"/>
  <c r="CP15" i="139"/>
  <c r="CP9" i="139"/>
  <c r="CP11" i="139"/>
  <c r="CP19" i="139"/>
  <c r="CP24" i="139"/>
  <c r="CP6" i="139"/>
  <c r="CP10" i="139"/>
  <c r="EM17" i="139"/>
  <c r="EM8" i="139"/>
  <c r="EM24" i="139"/>
  <c r="EM15" i="139"/>
  <c r="EM6" i="139"/>
  <c r="EM23" i="139"/>
  <c r="EM14" i="139"/>
  <c r="EM13" i="139"/>
  <c r="EM19" i="139"/>
  <c r="EM20" i="139"/>
  <c r="EM7" i="139"/>
  <c r="EM21" i="139"/>
  <c r="EM16" i="139"/>
  <c r="EM12" i="139"/>
  <c r="EM9" i="139"/>
  <c r="EM22" i="139"/>
  <c r="EM18" i="139"/>
  <c r="EM11" i="139"/>
  <c r="DM23" i="139"/>
  <c r="DM16" i="139"/>
  <c r="DM11" i="139"/>
  <c r="DM18" i="139"/>
  <c r="DM22" i="139"/>
  <c r="DM6" i="139"/>
  <c r="DM13" i="139"/>
  <c r="DM7" i="139"/>
  <c r="DM10" i="139"/>
  <c r="DM14" i="139"/>
  <c r="DM21" i="139"/>
  <c r="DM19" i="139"/>
  <c r="DM8" i="139"/>
  <c r="DM12" i="139"/>
  <c r="DM24" i="139"/>
  <c r="DM15" i="139"/>
  <c r="DM20" i="139"/>
  <c r="DM17" i="139"/>
  <c r="DM9" i="139"/>
  <c r="DO2" i="139"/>
  <c r="DN1" i="139"/>
  <c r="CP22" i="136"/>
  <c r="CP9" i="136"/>
  <c r="CP21" i="136"/>
  <c r="CP15" i="136"/>
  <c r="CP13" i="136"/>
  <c r="CP6" i="136"/>
  <c r="CP24" i="136"/>
  <c r="CP12" i="136"/>
  <c r="CP8" i="136"/>
  <c r="CP7" i="136"/>
  <c r="CP16" i="136"/>
  <c r="CP23" i="136"/>
  <c r="CP14" i="136"/>
  <c r="CP20" i="136"/>
  <c r="CP11" i="136"/>
  <c r="EN1" i="136"/>
  <c r="CP17" i="136"/>
  <c r="CP19" i="136"/>
  <c r="CP18" i="136"/>
  <c r="CP10" i="136"/>
  <c r="DM19" i="136"/>
  <c r="DM11" i="136"/>
  <c r="DM7" i="136"/>
  <c r="DM24" i="136"/>
  <c r="DM18" i="136"/>
  <c r="DM23" i="136"/>
  <c r="DM8" i="136"/>
  <c r="DM22" i="136"/>
  <c r="DM6" i="136"/>
  <c r="DM15" i="136"/>
  <c r="DM10" i="136"/>
  <c r="DM17" i="136"/>
  <c r="DM12" i="136"/>
  <c r="DM21" i="136"/>
  <c r="DM14" i="136"/>
  <c r="DM9" i="136"/>
  <c r="DM20" i="136"/>
  <c r="DM13" i="136"/>
  <c r="DM16" i="136"/>
  <c r="EM22" i="137"/>
  <c r="EM17" i="137"/>
  <c r="EM6" i="137"/>
  <c r="EM20" i="137"/>
  <c r="EM15" i="137"/>
  <c r="EM11" i="137"/>
  <c r="EM19" i="137"/>
  <c r="EM13" i="137"/>
  <c r="EM24" i="137"/>
  <c r="EM12" i="137"/>
  <c r="EM18" i="137"/>
  <c r="EM21" i="137"/>
  <c r="EM8" i="137"/>
  <c r="EM16" i="137"/>
  <c r="EM7" i="137"/>
  <c r="EM23" i="137"/>
  <c r="EM14" i="137"/>
  <c r="EM9" i="137"/>
  <c r="DO2" i="136"/>
  <c r="DN1" i="136"/>
  <c r="CR2" i="137"/>
  <c r="CQ1" i="137"/>
  <c r="EM21" i="136"/>
  <c r="EM20" i="136"/>
  <c r="EM7" i="136"/>
  <c r="EM22" i="136"/>
  <c r="EM19" i="136"/>
  <c r="EM6" i="136"/>
  <c r="EM16" i="136"/>
  <c r="EM17" i="136"/>
  <c r="EM15" i="136"/>
  <c r="EM8" i="136"/>
  <c r="EM24" i="136"/>
  <c r="EM14" i="136"/>
  <c r="EM13" i="136"/>
  <c r="EM11" i="136"/>
  <c r="EM12" i="136"/>
  <c r="EM18" i="136"/>
  <c r="EM23" i="136"/>
  <c r="EM9" i="136"/>
  <c r="CP22" i="137"/>
  <c r="CP10" i="137"/>
  <c r="CP15" i="137"/>
  <c r="CP7" i="137"/>
  <c r="CP24" i="137"/>
  <c r="CP14" i="137"/>
  <c r="CP6" i="137"/>
  <c r="CP23" i="137"/>
  <c r="CP13" i="137"/>
  <c r="CP12" i="137"/>
  <c r="CP20" i="137"/>
  <c r="CP19" i="137"/>
  <c r="EN1" i="137"/>
  <c r="CP18" i="137"/>
  <c r="CP9" i="137"/>
  <c r="CP8" i="137"/>
  <c r="CP17" i="137"/>
  <c r="CP16" i="137"/>
  <c r="CP21" i="137"/>
  <c r="CP11" i="137"/>
  <c r="DM18" i="137"/>
  <c r="DM10" i="137"/>
  <c r="DM16" i="137"/>
  <c r="DM8" i="137"/>
  <c r="DM24" i="137"/>
  <c r="DM17" i="137"/>
  <c r="DM7" i="137"/>
  <c r="DM23" i="137"/>
  <c r="DM15" i="137"/>
  <c r="DM9" i="137"/>
  <c r="DM22" i="137"/>
  <c r="DM14" i="137"/>
  <c r="DM6" i="137"/>
  <c r="DM20" i="137"/>
  <c r="DM13" i="137"/>
  <c r="DM19" i="137"/>
  <c r="DM11" i="137"/>
  <c r="DM21" i="137"/>
  <c r="DM12" i="137"/>
  <c r="DO2" i="137"/>
  <c r="DN1" i="137"/>
  <c r="CR2" i="136"/>
  <c r="CQ1" i="136"/>
  <c r="EM22" i="133"/>
  <c r="EM7" i="133"/>
  <c r="EM13" i="133"/>
  <c r="EM19" i="133"/>
  <c r="EM9" i="133"/>
  <c r="EM15" i="133"/>
  <c r="EM18" i="133"/>
  <c r="EM20" i="133"/>
  <c r="EM11" i="133"/>
  <c r="EM21" i="133"/>
  <c r="EM12" i="133"/>
  <c r="EM17" i="133"/>
  <c r="EM16" i="133"/>
  <c r="EM23" i="133"/>
  <c r="EM24" i="133"/>
  <c r="EM14" i="133"/>
  <c r="EM8" i="133"/>
  <c r="EM6" i="133"/>
  <c r="CR2" i="132"/>
  <c r="CQ1" i="132"/>
  <c r="DM15" i="132"/>
  <c r="DM11" i="132"/>
  <c r="DM7" i="132"/>
  <c r="DM23" i="132"/>
  <c r="DM17" i="132"/>
  <c r="DM8" i="132"/>
  <c r="DM22" i="132"/>
  <c r="DM19" i="132"/>
  <c r="DM12" i="132"/>
  <c r="DM10" i="132"/>
  <c r="DM21" i="132"/>
  <c r="DM14" i="132"/>
  <c r="DM20" i="132"/>
  <c r="DM16" i="132"/>
  <c r="DM6" i="132"/>
  <c r="DM24" i="132"/>
  <c r="DM9" i="132"/>
  <c r="DM18" i="132"/>
  <c r="DM13" i="132"/>
  <c r="CP18" i="133"/>
  <c r="CP13" i="133"/>
  <c r="CP7" i="133"/>
  <c r="CP24" i="133"/>
  <c r="CP20" i="133"/>
  <c r="CP14" i="133"/>
  <c r="CP16" i="133"/>
  <c r="CP11" i="133"/>
  <c r="CP6" i="133"/>
  <c r="CP17" i="133"/>
  <c r="CP8" i="133"/>
  <c r="CP22" i="133"/>
  <c r="CP9" i="133"/>
  <c r="CP19" i="133"/>
  <c r="CP10" i="133"/>
  <c r="CP21" i="133"/>
  <c r="CP12" i="133"/>
  <c r="CP23" i="133"/>
  <c r="CP15" i="133"/>
  <c r="EN1" i="133"/>
  <c r="DO2" i="132"/>
  <c r="DN1" i="132"/>
  <c r="CR2" i="133"/>
  <c r="CQ1" i="133"/>
  <c r="DN20" i="133"/>
  <c r="DN13" i="133"/>
  <c r="DN8" i="133"/>
  <c r="DN23" i="133"/>
  <c r="DN22" i="133"/>
  <c r="DN10" i="133"/>
  <c r="DN7" i="133"/>
  <c r="DN16" i="133"/>
  <c r="DN14" i="133"/>
  <c r="DN19" i="133"/>
  <c r="DN15" i="133"/>
  <c r="DN17" i="133"/>
  <c r="DN24" i="133"/>
  <c r="DN11" i="133"/>
  <c r="DN9" i="133"/>
  <c r="DN18" i="133"/>
  <c r="DN12" i="133"/>
  <c r="DN6" i="133"/>
  <c r="DN21" i="133"/>
  <c r="EM17" i="132"/>
  <c r="EM11" i="132"/>
  <c r="EM21" i="132"/>
  <c r="EM7" i="132"/>
  <c r="EM23" i="132"/>
  <c r="EM9" i="132"/>
  <c r="EM18" i="132"/>
  <c r="EM12" i="132"/>
  <c r="EM8" i="132"/>
  <c r="EM15" i="132"/>
  <c r="EM13" i="132"/>
  <c r="EM24" i="132"/>
  <c r="EM14" i="132"/>
  <c r="EM20" i="132"/>
  <c r="EM22" i="132"/>
  <c r="EM19" i="132"/>
  <c r="EM6" i="132"/>
  <c r="EM16" i="132"/>
  <c r="DP2" i="133"/>
  <c r="DO1" i="133"/>
  <c r="CP24" i="132"/>
  <c r="CP12" i="132"/>
  <c r="CP8" i="132"/>
  <c r="CP18" i="132"/>
  <c r="CP7" i="132"/>
  <c r="CP9" i="132"/>
  <c r="CP19" i="132"/>
  <c r="CP16" i="132"/>
  <c r="CP6" i="132"/>
  <c r="CP13" i="132"/>
  <c r="CP22" i="132"/>
  <c r="CP15" i="132"/>
  <c r="CP10" i="132"/>
  <c r="CP23" i="132"/>
  <c r="CP11" i="132"/>
  <c r="CP20" i="132"/>
  <c r="CP14" i="132"/>
  <c r="EN1" i="132"/>
  <c r="CP17" i="132"/>
  <c r="CP21" i="132"/>
  <c r="EX24" i="124"/>
  <c r="EX15" i="124"/>
  <c r="EX7" i="124"/>
  <c r="EX22" i="124"/>
  <c r="EX14" i="124"/>
  <c r="EX8" i="124"/>
  <c r="EX21" i="124"/>
  <c r="EX17" i="124"/>
  <c r="EX6" i="124"/>
  <c r="EX20" i="124"/>
  <c r="EX11" i="124"/>
  <c r="EX16" i="124"/>
  <c r="EX10" i="124"/>
  <c r="EX23" i="124"/>
  <c r="EX13" i="124"/>
  <c r="EX19" i="124"/>
  <c r="EX9" i="124"/>
  <c r="EX18" i="124"/>
  <c r="EX12" i="124"/>
  <c r="DA23" i="124"/>
  <c r="DA24" i="124"/>
  <c r="DA21" i="124"/>
  <c r="DA18" i="124"/>
  <c r="DA22" i="124"/>
  <c r="DA9" i="124"/>
  <c r="DA15" i="124"/>
  <c r="DA8" i="124"/>
  <c r="DA19" i="124"/>
  <c r="DA11" i="124"/>
  <c r="DA17" i="124"/>
  <c r="DA7" i="124"/>
  <c r="DA16" i="124"/>
  <c r="DA6" i="124"/>
  <c r="DA14" i="124"/>
  <c r="EY1" i="124"/>
  <c r="DA13" i="124"/>
  <c r="DA20" i="124"/>
  <c r="DA10" i="124"/>
  <c r="DA12" i="124"/>
  <c r="DB1" i="124"/>
  <c r="DC2" i="124"/>
  <c r="DX23" i="124"/>
  <c r="DX14" i="124"/>
  <c r="DX22" i="124"/>
  <c r="DX18" i="124"/>
  <c r="DX21" i="124"/>
  <c r="DX11" i="124"/>
  <c r="DX19" i="124"/>
  <c r="DX17" i="124"/>
  <c r="DX24" i="124"/>
  <c r="DX6" i="124"/>
  <c r="DX20" i="124"/>
  <c r="DX9" i="124"/>
  <c r="DX15" i="124"/>
  <c r="DX8" i="124"/>
  <c r="DX16" i="124"/>
  <c r="DX7" i="124"/>
  <c r="DX10" i="124"/>
  <c r="DX13" i="124"/>
  <c r="DX12" i="124"/>
  <c r="DZ2" i="124"/>
  <c r="DY1" i="124"/>
  <c r="Q13" i="95"/>
  <c r="R13" i="95" s="1"/>
  <c r="BP13" i="97"/>
  <c r="BP27" i="97" s="1"/>
  <c r="BR13" i="121"/>
  <c r="BR27" i="121" s="1"/>
  <c r="EX18" i="121"/>
  <c r="EX12" i="121"/>
  <c r="EX10" i="121"/>
  <c r="EX16" i="121"/>
  <c r="EX7" i="121"/>
  <c r="EX14" i="121"/>
  <c r="EX20" i="121"/>
  <c r="EX19" i="121"/>
  <c r="EX17" i="121"/>
  <c r="EX8" i="121"/>
  <c r="EX15" i="121"/>
  <c r="EX9" i="121"/>
  <c r="EX13" i="121"/>
  <c r="EX24" i="121"/>
  <c r="EX22" i="121"/>
  <c r="EX21" i="121"/>
  <c r="EX6" i="121"/>
  <c r="EX11" i="121"/>
  <c r="EX23" i="121"/>
  <c r="DA21" i="121"/>
  <c r="DA13" i="121"/>
  <c r="DA7" i="121"/>
  <c r="DA19" i="121"/>
  <c r="DA10" i="121"/>
  <c r="DA16" i="121"/>
  <c r="DA23" i="121"/>
  <c r="DA14" i="121"/>
  <c r="DA20" i="121"/>
  <c r="DA11" i="121"/>
  <c r="DA12" i="121"/>
  <c r="DA18" i="121"/>
  <c r="DA9" i="121"/>
  <c r="DA24" i="121"/>
  <c r="DA8" i="121"/>
  <c r="DA6" i="121"/>
  <c r="EY1" i="121"/>
  <c r="DA15" i="121"/>
  <c r="DA17" i="121"/>
  <c r="DA22" i="121"/>
  <c r="DC2" i="121"/>
  <c r="DB1" i="121"/>
  <c r="ET10" i="120"/>
  <c r="CH10" i="120" s="1"/>
  <c r="EU10" i="121"/>
  <c r="DZ2" i="121"/>
  <c r="DY1" i="121"/>
  <c r="DX19" i="121"/>
  <c r="DX13" i="121"/>
  <c r="DX11" i="121"/>
  <c r="DX10" i="121"/>
  <c r="DX9" i="121"/>
  <c r="DX21" i="121"/>
  <c r="DX16" i="121"/>
  <c r="DX18" i="121"/>
  <c r="DX15" i="121"/>
  <c r="DX23" i="121"/>
  <c r="DX7" i="121"/>
  <c r="DX12" i="121"/>
  <c r="DX6" i="121"/>
  <c r="DX24" i="121"/>
  <c r="DX14" i="121"/>
  <c r="DX8" i="121"/>
  <c r="DX22" i="121"/>
  <c r="DX17" i="121"/>
  <c r="DX20" i="121"/>
  <c r="O13" i="96"/>
  <c r="P13" i="96" s="1"/>
  <c r="BT13" i="96"/>
  <c r="Q13" i="96" s="1"/>
  <c r="R13" i="96" s="1"/>
  <c r="BV13" i="120"/>
  <c r="DA23" i="120"/>
  <c r="DA16" i="120"/>
  <c r="DA17" i="120"/>
  <c r="DA12" i="120"/>
  <c r="DA15" i="120"/>
  <c r="DA9" i="120"/>
  <c r="DA14" i="120"/>
  <c r="DA10" i="120"/>
  <c r="DA22" i="120"/>
  <c r="DA19" i="120"/>
  <c r="DA8" i="120"/>
  <c r="DA21" i="120"/>
  <c r="DA18" i="120"/>
  <c r="DA6" i="120"/>
  <c r="DA20" i="120"/>
  <c r="DA13" i="120"/>
  <c r="EY1" i="120"/>
  <c r="DA24" i="120"/>
  <c r="DA11" i="120"/>
  <c r="DA7" i="120"/>
  <c r="DB1" i="120"/>
  <c r="DC2" i="120"/>
  <c r="DX20" i="120"/>
  <c r="DX14" i="120"/>
  <c r="DX21" i="120"/>
  <c r="DX10" i="120"/>
  <c r="DX18" i="120"/>
  <c r="DX9" i="120"/>
  <c r="DX19" i="120"/>
  <c r="DX11" i="120"/>
  <c r="DX16" i="120"/>
  <c r="DX12" i="120"/>
  <c r="DX24" i="120"/>
  <c r="DX17" i="120"/>
  <c r="DX6" i="120"/>
  <c r="DX23" i="120"/>
  <c r="DX13" i="120"/>
  <c r="DX8" i="120"/>
  <c r="DX22" i="120"/>
  <c r="DX15" i="120"/>
  <c r="DX7" i="120"/>
  <c r="EX23" i="120"/>
  <c r="EX12" i="120"/>
  <c r="EX9" i="120"/>
  <c r="EX22" i="120"/>
  <c r="EX24" i="120"/>
  <c r="EX6" i="120"/>
  <c r="EX21" i="120"/>
  <c r="EX17" i="120"/>
  <c r="EX7" i="120"/>
  <c r="EX19" i="120"/>
  <c r="EX15" i="120"/>
  <c r="EX18" i="120"/>
  <c r="EX14" i="120"/>
  <c r="EX20" i="120"/>
  <c r="EX10" i="120"/>
  <c r="EX16" i="120"/>
  <c r="EX11" i="120"/>
  <c r="EX13" i="120"/>
  <c r="EX8" i="120"/>
  <c r="DZ2" i="120"/>
  <c r="DY1" i="120"/>
  <c r="EX18" i="119"/>
  <c r="EX15" i="119"/>
  <c r="EX23" i="119"/>
  <c r="EX17" i="119"/>
  <c r="EX22" i="119"/>
  <c r="EX13" i="119"/>
  <c r="EX20" i="119"/>
  <c r="EX14" i="119"/>
  <c r="EX21" i="119"/>
  <c r="EX24" i="119"/>
  <c r="EX11" i="119"/>
  <c r="EX9" i="119"/>
  <c r="EX19" i="119"/>
  <c r="EX8" i="119"/>
  <c r="EX6" i="119"/>
  <c r="EX12" i="119"/>
  <c r="EX16" i="119"/>
  <c r="EX7" i="119"/>
  <c r="EX10" i="119"/>
  <c r="DA24" i="119"/>
  <c r="DA18" i="119"/>
  <c r="DA9" i="119"/>
  <c r="DA10" i="119"/>
  <c r="DA7" i="119"/>
  <c r="DA23" i="119"/>
  <c r="DA6" i="119"/>
  <c r="DA22" i="119"/>
  <c r="DA14" i="119"/>
  <c r="DA11" i="119"/>
  <c r="DA19" i="119"/>
  <c r="DA12" i="119"/>
  <c r="DA21" i="119"/>
  <c r="DA15" i="119"/>
  <c r="DA8" i="119"/>
  <c r="DA17" i="119"/>
  <c r="DA16" i="119"/>
  <c r="DA20" i="119"/>
  <c r="DA13" i="119"/>
  <c r="EY1" i="119"/>
  <c r="DC2" i="119"/>
  <c r="DB1" i="119"/>
  <c r="DX22" i="119"/>
  <c r="DX11" i="119"/>
  <c r="DX17" i="119"/>
  <c r="DX15" i="119"/>
  <c r="DX10" i="119"/>
  <c r="DX20" i="119"/>
  <c r="DX9" i="119"/>
  <c r="DX13" i="119"/>
  <c r="DX7" i="119"/>
  <c r="DX18" i="119"/>
  <c r="DX24" i="119"/>
  <c r="DX14" i="119"/>
  <c r="DX6" i="119"/>
  <c r="DX21" i="119"/>
  <c r="DX16" i="119"/>
  <c r="DX19" i="119"/>
  <c r="DX23" i="119"/>
  <c r="DX12" i="119"/>
  <c r="DX8" i="119"/>
  <c r="DZ2" i="119"/>
  <c r="DY1" i="119"/>
  <c r="ES10" i="116"/>
  <c r="ES10" i="119"/>
  <c r="Q10" i="94"/>
  <c r="R10" i="94" s="1"/>
  <c r="Q28" i="94" s="1"/>
  <c r="BT10" i="95"/>
  <c r="Q10" i="95" s="1"/>
  <c r="R10" i="95" s="1"/>
  <c r="BV10" i="119"/>
  <c r="BU28" i="94"/>
  <c r="EA2" i="116"/>
  <c r="DZ1" i="116"/>
  <c r="EY17" i="116"/>
  <c r="EY9" i="116"/>
  <c r="EY20" i="116"/>
  <c r="EY15" i="116"/>
  <c r="EY8" i="116"/>
  <c r="EY23" i="116"/>
  <c r="EY13" i="116"/>
  <c r="EY7" i="116"/>
  <c r="EY19" i="116"/>
  <c r="EY16" i="116"/>
  <c r="EY6" i="116"/>
  <c r="EY24" i="116"/>
  <c r="EY12" i="116"/>
  <c r="EY22" i="116"/>
  <c r="EY14" i="116"/>
  <c r="EY21" i="116"/>
  <c r="EY11" i="116"/>
  <c r="EY18" i="116"/>
  <c r="EY10" i="116"/>
  <c r="DY19" i="116"/>
  <c r="DY16" i="116"/>
  <c r="DY8" i="116"/>
  <c r="DY22" i="116"/>
  <c r="DY14" i="116"/>
  <c r="DY6" i="116"/>
  <c r="DY24" i="116"/>
  <c r="DY13" i="116"/>
  <c r="DY23" i="116"/>
  <c r="DY12" i="116"/>
  <c r="DY17" i="116"/>
  <c r="DY11" i="116"/>
  <c r="DY18" i="116"/>
  <c r="DY10" i="116"/>
  <c r="DY20" i="116"/>
  <c r="DY9" i="116"/>
  <c r="DY21" i="116"/>
  <c r="DY15" i="116"/>
  <c r="DY7" i="116"/>
  <c r="DB19" i="116"/>
  <c r="DB11" i="116"/>
  <c r="DB14" i="116"/>
  <c r="DB10" i="116"/>
  <c r="DB18" i="116"/>
  <c r="DB9" i="116"/>
  <c r="DB24" i="116"/>
  <c r="DB13" i="116"/>
  <c r="DB6" i="116"/>
  <c r="DB20" i="116"/>
  <c r="DB12" i="116"/>
  <c r="EZ1" i="116"/>
  <c r="DB23" i="116"/>
  <c r="DB17" i="116"/>
  <c r="DB8" i="116"/>
  <c r="DB22" i="116"/>
  <c r="DB15" i="116"/>
  <c r="DB7" i="116"/>
  <c r="DB21" i="116"/>
  <c r="DB16" i="116"/>
  <c r="DD2" i="116"/>
  <c r="DC1" i="116"/>
  <c r="Q10" i="116"/>
  <c r="R10" i="116" s="1"/>
  <c r="BW27" i="116"/>
  <c r="Q30" i="93"/>
  <c r="Q28" i="93"/>
  <c r="EP10" i="109"/>
  <c r="EQ10" i="112"/>
  <c r="ER10" i="113"/>
  <c r="DB22" i="113"/>
  <c r="DB16" i="113"/>
  <c r="DB12" i="113"/>
  <c r="DB21" i="113"/>
  <c r="DB11" i="113"/>
  <c r="DB9" i="113"/>
  <c r="DB14" i="113"/>
  <c r="DB20" i="113"/>
  <c r="DB18" i="113"/>
  <c r="DB6" i="113"/>
  <c r="DB19" i="113"/>
  <c r="DB24" i="113"/>
  <c r="DB10" i="113"/>
  <c r="DB17" i="113"/>
  <c r="DB7" i="113"/>
  <c r="EZ1" i="113"/>
  <c r="DB8" i="113"/>
  <c r="DB23" i="113"/>
  <c r="DB13" i="113"/>
  <c r="DB15" i="113"/>
  <c r="DD2" i="113"/>
  <c r="DC1" i="113"/>
  <c r="DY22" i="112"/>
  <c r="DY14" i="112"/>
  <c r="DY9" i="112"/>
  <c r="DY21" i="112"/>
  <c r="DY13" i="112"/>
  <c r="DY8" i="112"/>
  <c r="DY19" i="112"/>
  <c r="DY10" i="112"/>
  <c r="DY24" i="112"/>
  <c r="DY7" i="112"/>
  <c r="DY16" i="112"/>
  <c r="DY6" i="112"/>
  <c r="DY12" i="112"/>
  <c r="DY20" i="112"/>
  <c r="DY18" i="112"/>
  <c r="DY15" i="112"/>
  <c r="DY23" i="112"/>
  <c r="DY17" i="112"/>
  <c r="DY11" i="112"/>
  <c r="EA2" i="112"/>
  <c r="DZ1" i="112"/>
  <c r="EY18" i="112"/>
  <c r="EY6" i="112"/>
  <c r="EY16" i="112"/>
  <c r="EY11" i="112"/>
  <c r="EY22" i="112"/>
  <c r="EY15" i="112"/>
  <c r="EY8" i="112"/>
  <c r="EY21" i="112"/>
  <c r="EY14" i="112"/>
  <c r="EY10" i="112"/>
  <c r="EY23" i="112"/>
  <c r="EY20" i="112"/>
  <c r="EY17" i="112"/>
  <c r="EY13" i="112"/>
  <c r="EY9" i="112"/>
  <c r="EY24" i="112"/>
  <c r="EY12" i="112"/>
  <c r="EY19" i="112"/>
  <c r="EY7" i="112"/>
  <c r="DY20" i="113"/>
  <c r="DY16" i="113"/>
  <c r="DY10" i="113"/>
  <c r="DY18" i="113"/>
  <c r="DY9" i="113"/>
  <c r="DY24" i="113"/>
  <c r="DY13" i="113"/>
  <c r="DY8" i="113"/>
  <c r="DY6" i="113"/>
  <c r="DY23" i="113"/>
  <c r="DY7" i="113"/>
  <c r="DY14" i="113"/>
  <c r="DY21" i="113"/>
  <c r="DY22" i="113"/>
  <c r="DY19" i="113"/>
  <c r="DY12" i="113"/>
  <c r="DY17" i="113"/>
  <c r="DY11" i="113"/>
  <c r="DY15" i="113"/>
  <c r="DD2" i="112"/>
  <c r="DC1" i="112"/>
  <c r="EY19" i="113"/>
  <c r="EY8" i="113"/>
  <c r="EY21" i="113"/>
  <c r="EY18" i="113"/>
  <c r="EY17" i="113"/>
  <c r="EY22" i="113"/>
  <c r="EY13" i="113"/>
  <c r="EY16" i="113"/>
  <c r="EY7" i="113"/>
  <c r="EY24" i="113"/>
  <c r="EY14" i="113"/>
  <c r="EY10" i="113"/>
  <c r="EY9" i="113"/>
  <c r="EY23" i="113"/>
  <c r="EY15" i="113"/>
  <c r="EY11" i="113"/>
  <c r="EY20" i="113"/>
  <c r="EY6" i="113"/>
  <c r="EA2" i="113"/>
  <c r="DZ1" i="113"/>
  <c r="DB14" i="112"/>
  <c r="DB7" i="112"/>
  <c r="DB6" i="112"/>
  <c r="DB24" i="112"/>
  <c r="DB21" i="112"/>
  <c r="DB22" i="112"/>
  <c r="DB19" i="112"/>
  <c r="DB18" i="112"/>
  <c r="DB20" i="112"/>
  <c r="DB13" i="112"/>
  <c r="DB12" i="112"/>
  <c r="DB23" i="112"/>
  <c r="DB10" i="112"/>
  <c r="DB9" i="112"/>
  <c r="DB17" i="112"/>
  <c r="DB16" i="112"/>
  <c r="EZ1" i="112"/>
  <c r="DB11" i="112"/>
  <c r="DB15" i="112"/>
  <c r="DB8" i="112"/>
  <c r="DX24" i="108"/>
  <c r="DX12" i="108"/>
  <c r="DX16" i="108"/>
  <c r="DX23" i="108"/>
  <c r="DX11" i="108"/>
  <c r="DX18" i="108"/>
  <c r="DX22" i="108"/>
  <c r="DX10" i="108"/>
  <c r="DX21" i="108"/>
  <c r="DX9" i="108"/>
  <c r="DX6" i="108"/>
  <c r="DX13" i="108"/>
  <c r="DX20" i="108"/>
  <c r="DX8" i="108"/>
  <c r="DX15" i="108"/>
  <c r="DX14" i="108"/>
  <c r="DX19" i="108"/>
  <c r="DX7" i="108"/>
  <c r="DX17" i="108"/>
  <c r="EN10" i="108"/>
  <c r="EX17" i="108"/>
  <c r="EX21" i="108"/>
  <c r="EX9" i="108"/>
  <c r="EX8" i="108"/>
  <c r="EX19" i="108"/>
  <c r="EX7" i="108"/>
  <c r="EX6" i="108"/>
  <c r="EX16" i="108"/>
  <c r="EX15" i="108"/>
  <c r="EX22" i="108"/>
  <c r="EX20" i="108"/>
  <c r="EX14" i="108"/>
  <c r="EX23" i="108"/>
  <c r="EX13" i="108"/>
  <c r="EX11" i="108"/>
  <c r="EX10" i="108"/>
  <c r="EX18" i="108"/>
  <c r="EX24" i="108"/>
  <c r="EX12" i="108"/>
  <c r="DZ2" i="108"/>
  <c r="DY1" i="108"/>
  <c r="DA19" i="108"/>
  <c r="DA7" i="108"/>
  <c r="DA23" i="108"/>
  <c r="DA11" i="108"/>
  <c r="DA21" i="108"/>
  <c r="DA8" i="108"/>
  <c r="DA18" i="108"/>
  <c r="DA6" i="108"/>
  <c r="DA12" i="108"/>
  <c r="DA17" i="108"/>
  <c r="EY1" i="108"/>
  <c r="DA16" i="108"/>
  <c r="DA15" i="108"/>
  <c r="DA13" i="108"/>
  <c r="DA22" i="108"/>
  <c r="DA10" i="108"/>
  <c r="DA9" i="108"/>
  <c r="DA20" i="108"/>
  <c r="DA14" i="108"/>
  <c r="DA24" i="108"/>
  <c r="EY22" i="109"/>
  <c r="EY10" i="109"/>
  <c r="EY20" i="109"/>
  <c r="EY7" i="109"/>
  <c r="EY6" i="109"/>
  <c r="EY21" i="109"/>
  <c r="EY9" i="109"/>
  <c r="EY12" i="109"/>
  <c r="EY8" i="109"/>
  <c r="EY17" i="109"/>
  <c r="EY16" i="109"/>
  <c r="EY15" i="109"/>
  <c r="EY14" i="109"/>
  <c r="EY23" i="109"/>
  <c r="EY19" i="109"/>
  <c r="EY18" i="109"/>
  <c r="EY24" i="109"/>
  <c r="EY13" i="109"/>
  <c r="EY11" i="109"/>
  <c r="DC2" i="108"/>
  <c r="DB1" i="108"/>
  <c r="EA2" i="109"/>
  <c r="DZ1" i="109"/>
  <c r="DY17" i="109"/>
  <c r="DY16" i="109"/>
  <c r="DY15" i="109"/>
  <c r="DY13" i="109"/>
  <c r="DY6" i="109"/>
  <c r="DY24" i="109"/>
  <c r="DY11" i="109"/>
  <c r="DY20" i="109"/>
  <c r="DY14" i="109"/>
  <c r="DY12" i="109"/>
  <c r="DY23" i="109"/>
  <c r="DY10" i="109"/>
  <c r="DY21" i="109"/>
  <c r="DY8" i="109"/>
  <c r="DY19" i="109"/>
  <c r="DY18" i="109"/>
  <c r="DY22" i="109"/>
  <c r="DY9" i="109"/>
  <c r="DY7" i="109"/>
  <c r="DD2" i="109"/>
  <c r="DC1" i="109"/>
  <c r="DB24" i="109"/>
  <c r="DB12" i="109"/>
  <c r="DB20" i="109"/>
  <c r="DB14" i="109"/>
  <c r="DB23" i="109"/>
  <c r="DB11" i="109"/>
  <c r="DB8" i="109"/>
  <c r="DB7" i="109"/>
  <c r="DB22" i="109"/>
  <c r="DB10" i="109"/>
  <c r="DB21" i="109"/>
  <c r="DB9" i="109"/>
  <c r="DB19" i="109"/>
  <c r="DB6" i="109"/>
  <c r="EZ1" i="109"/>
  <c r="DB18" i="109"/>
  <c r="DB17" i="109"/>
  <c r="DB16" i="109"/>
  <c r="DB15" i="109"/>
  <c r="DB13" i="109"/>
  <c r="DX17" i="106"/>
  <c r="DX9" i="106"/>
  <c r="DX24" i="106"/>
  <c r="DX8" i="106"/>
  <c r="DX7" i="106"/>
  <c r="DX22" i="106"/>
  <c r="DX16" i="106"/>
  <c r="DX23" i="106"/>
  <c r="DX15" i="106"/>
  <c r="DX14" i="106"/>
  <c r="DX6" i="106"/>
  <c r="DX21" i="106"/>
  <c r="DX20" i="106"/>
  <c r="DX10" i="106"/>
  <c r="DX13" i="106"/>
  <c r="DX19" i="106"/>
  <c r="DX18" i="106"/>
  <c r="DX12" i="106"/>
  <c r="DX11" i="106"/>
  <c r="DY1" i="106"/>
  <c r="DZ2" i="106"/>
  <c r="EX22" i="106"/>
  <c r="EX14" i="106"/>
  <c r="EX6" i="106"/>
  <c r="EX20" i="106"/>
  <c r="EX12" i="106"/>
  <c r="EX24" i="106"/>
  <c r="EX21" i="106"/>
  <c r="EX13" i="106"/>
  <c r="EX19" i="106"/>
  <c r="EX18" i="106"/>
  <c r="EX17" i="106"/>
  <c r="EX8" i="106"/>
  <c r="EX23" i="106"/>
  <c r="EX7" i="106"/>
  <c r="EX10" i="106"/>
  <c r="EX9" i="106"/>
  <c r="EX11" i="106"/>
  <c r="EX16" i="106"/>
  <c r="EX15" i="106"/>
  <c r="DA24" i="106"/>
  <c r="DA16" i="106"/>
  <c r="DA8" i="106"/>
  <c r="DA7" i="106"/>
  <c r="DA14" i="106"/>
  <c r="DA20" i="106"/>
  <c r="DA23" i="106"/>
  <c r="DA15" i="106"/>
  <c r="DA6" i="106"/>
  <c r="DA12" i="106"/>
  <c r="DA18" i="106"/>
  <c r="DA22" i="106"/>
  <c r="DA19" i="106"/>
  <c r="DA10" i="106"/>
  <c r="DA9" i="106"/>
  <c r="DA21" i="106"/>
  <c r="DA13" i="106"/>
  <c r="EY1" i="106"/>
  <c r="DA11" i="106"/>
  <c r="DA17" i="106"/>
  <c r="EL10" i="105"/>
  <c r="EM10" i="106"/>
  <c r="DB1" i="106"/>
  <c r="DC2" i="106"/>
  <c r="DC2" i="105"/>
  <c r="DB1" i="105"/>
  <c r="DY1" i="105"/>
  <c r="DZ2" i="105"/>
  <c r="DA23" i="105"/>
  <c r="DA11" i="105"/>
  <c r="DA22" i="105"/>
  <c r="DA10" i="105"/>
  <c r="DA21" i="105"/>
  <c r="DA9" i="105"/>
  <c r="DA20" i="105"/>
  <c r="DA8" i="105"/>
  <c r="DA19" i="105"/>
  <c r="DA7" i="105"/>
  <c r="DA18" i="105"/>
  <c r="DA6" i="105"/>
  <c r="DA17" i="105"/>
  <c r="EY1" i="105"/>
  <c r="DA16" i="105"/>
  <c r="DA15" i="105"/>
  <c r="DA14" i="105"/>
  <c r="DA13" i="105"/>
  <c r="DA24" i="105"/>
  <c r="DA12" i="105"/>
  <c r="DX16" i="105"/>
  <c r="DX15" i="105"/>
  <c r="DX14" i="105"/>
  <c r="DX13" i="105"/>
  <c r="DX24" i="105"/>
  <c r="DX12" i="105"/>
  <c r="DX23" i="105"/>
  <c r="DX11" i="105"/>
  <c r="DX22" i="105"/>
  <c r="DX10" i="105"/>
  <c r="DX21" i="105"/>
  <c r="DX9" i="105"/>
  <c r="DX20" i="105"/>
  <c r="DX8" i="105"/>
  <c r="DX19" i="105"/>
  <c r="DX7" i="105"/>
  <c r="DX18" i="105"/>
  <c r="DX6" i="105"/>
  <c r="DX17" i="105"/>
  <c r="EX21" i="105"/>
  <c r="EX9" i="105"/>
  <c r="EX20" i="105"/>
  <c r="EX8" i="105"/>
  <c r="EX19" i="105"/>
  <c r="EX7" i="105"/>
  <c r="EX18" i="105"/>
  <c r="EX6" i="105"/>
  <c r="EX17" i="105"/>
  <c r="EX16" i="105"/>
  <c r="EX15" i="105"/>
  <c r="EX14" i="105"/>
  <c r="EX13" i="105"/>
  <c r="EX24" i="105"/>
  <c r="EX12" i="105"/>
  <c r="EX23" i="105"/>
  <c r="EX11" i="105"/>
  <c r="EX22" i="105"/>
  <c r="EX10" i="105"/>
  <c r="EI10" i="98"/>
  <c r="EJ10" i="100"/>
  <c r="GH114" i="9"/>
  <c r="EW117" i="9"/>
  <c r="EX116" i="9"/>
  <c r="EG10" i="96"/>
  <c r="CF10" i="96" s="1"/>
  <c r="Y10" i="96" s="1"/>
  <c r="EH10" i="97"/>
  <c r="IU116" i="9"/>
  <c r="IV115" i="9"/>
  <c r="EU10" i="124" s="1"/>
  <c r="GJ116" i="9"/>
  <c r="GN116" i="9" s="1"/>
  <c r="BV13" i="124" s="1"/>
  <c r="BT13" i="97"/>
  <c r="DA13" i="92"/>
  <c r="DA17" i="92"/>
  <c r="DA14" i="92"/>
  <c r="DA11" i="92"/>
  <c r="DA6" i="92"/>
  <c r="DA9" i="92"/>
  <c r="DA23" i="92"/>
  <c r="DA18" i="92"/>
  <c r="DA22" i="92"/>
  <c r="DA19" i="92"/>
  <c r="DA15" i="92"/>
  <c r="DA12" i="92"/>
  <c r="DA24" i="92"/>
  <c r="DA10" i="92"/>
  <c r="DA7" i="92"/>
  <c r="DA16" i="92"/>
  <c r="DA21" i="92"/>
  <c r="DA8" i="92"/>
  <c r="EY1" i="92"/>
  <c r="DA20" i="92"/>
  <c r="DB1" i="92"/>
  <c r="DC2" i="92"/>
  <c r="DX22" i="92"/>
  <c r="DX8" i="92"/>
  <c r="DX7" i="92"/>
  <c r="DX13" i="92"/>
  <c r="DX23" i="92"/>
  <c r="DX19" i="92"/>
  <c r="DX6" i="92"/>
  <c r="DX21" i="92"/>
  <c r="DX15" i="92"/>
  <c r="DX12" i="92"/>
  <c r="DX24" i="92"/>
  <c r="DX17" i="92"/>
  <c r="DX18" i="92"/>
  <c r="DX14" i="92"/>
  <c r="DX11" i="92"/>
  <c r="DX20" i="92"/>
  <c r="DX10" i="92"/>
  <c r="DX16" i="92"/>
  <c r="DX9" i="92"/>
  <c r="EX24" i="92"/>
  <c r="EX22" i="92"/>
  <c r="EX8" i="92"/>
  <c r="EX10" i="92"/>
  <c r="EX20" i="92"/>
  <c r="EX19" i="92"/>
  <c r="EX9" i="92"/>
  <c r="EX15" i="92"/>
  <c r="EX17" i="92"/>
  <c r="EX6" i="92"/>
  <c r="EX14" i="92"/>
  <c r="EX23" i="92"/>
  <c r="EX16" i="92"/>
  <c r="EX21" i="92"/>
  <c r="EX7" i="92"/>
  <c r="EX13" i="92"/>
  <c r="EX18" i="92"/>
  <c r="EX12" i="92"/>
  <c r="EX11" i="92"/>
  <c r="DY1" i="92"/>
  <c r="DZ2" i="92"/>
  <c r="DY1" i="90"/>
  <c r="DZ2" i="90"/>
  <c r="DA18" i="91"/>
  <c r="DA22" i="91"/>
  <c r="DA19" i="91"/>
  <c r="DA21" i="91"/>
  <c r="DA12" i="91"/>
  <c r="DA8" i="91"/>
  <c r="DA13" i="91"/>
  <c r="DA16" i="91"/>
  <c r="EY1" i="91"/>
  <c r="DA24" i="91"/>
  <c r="DA11" i="91"/>
  <c r="DA17" i="91"/>
  <c r="DA10" i="91"/>
  <c r="DA9" i="91"/>
  <c r="DA20" i="91"/>
  <c r="DA15" i="91"/>
  <c r="DA7" i="91"/>
  <c r="DA6" i="91"/>
  <c r="DA23" i="91"/>
  <c r="DA14" i="91"/>
  <c r="DB1" i="91"/>
  <c r="DC2" i="91"/>
  <c r="DX24" i="90"/>
  <c r="DX6" i="90"/>
  <c r="DX8" i="90"/>
  <c r="DX18" i="90"/>
  <c r="DX15" i="90"/>
  <c r="DX23" i="90"/>
  <c r="DX16" i="90"/>
  <c r="DX17" i="90"/>
  <c r="DX11" i="90"/>
  <c r="DX22" i="90"/>
  <c r="DX21" i="90"/>
  <c r="DX7" i="90"/>
  <c r="DX19" i="90"/>
  <c r="DX14" i="90"/>
  <c r="DX9" i="90"/>
  <c r="DX12" i="90"/>
  <c r="DX10" i="90"/>
  <c r="DX13" i="90"/>
  <c r="DX20" i="90"/>
  <c r="EX15" i="91"/>
  <c r="EX12" i="91"/>
  <c r="EX14" i="91"/>
  <c r="EX21" i="91"/>
  <c r="EX18" i="91"/>
  <c r="EX13" i="91"/>
  <c r="EX24" i="91"/>
  <c r="EX10" i="91"/>
  <c r="EX7" i="91"/>
  <c r="EX19" i="91"/>
  <c r="EX23" i="91"/>
  <c r="EX9" i="91"/>
  <c r="EX20" i="91"/>
  <c r="EX11" i="91"/>
  <c r="EX8" i="91"/>
  <c r="EX22" i="91"/>
  <c r="EX17" i="91"/>
  <c r="EX6" i="91"/>
  <c r="EX16" i="91"/>
  <c r="DX6" i="91"/>
  <c r="DX10" i="91"/>
  <c r="DX20" i="91"/>
  <c r="DX18" i="91"/>
  <c r="DX14" i="91"/>
  <c r="DX9" i="91"/>
  <c r="DX11" i="91"/>
  <c r="DX24" i="91"/>
  <c r="DX7" i="91"/>
  <c r="DX12" i="91"/>
  <c r="DX21" i="91"/>
  <c r="DX17" i="91"/>
  <c r="DX15" i="91"/>
  <c r="DX19" i="91"/>
  <c r="DX23" i="91"/>
  <c r="DX22" i="91"/>
  <c r="DX16" i="91"/>
  <c r="DX13" i="91"/>
  <c r="DX8" i="91"/>
  <c r="EX9" i="90"/>
  <c r="EX13" i="90"/>
  <c r="EX10" i="90"/>
  <c r="EX24" i="90"/>
  <c r="EX7" i="90"/>
  <c r="EX6" i="90"/>
  <c r="EX8" i="90"/>
  <c r="EX12" i="90"/>
  <c r="EX22" i="90"/>
  <c r="EX19" i="90"/>
  <c r="EX21" i="90"/>
  <c r="EX17" i="90"/>
  <c r="EX15" i="90"/>
  <c r="EX16" i="90"/>
  <c r="EX14" i="90"/>
  <c r="EX20" i="90"/>
  <c r="EX11" i="90"/>
  <c r="EX23" i="90"/>
  <c r="EX18" i="90"/>
  <c r="DY1" i="91"/>
  <c r="DZ2" i="91"/>
  <c r="DC2" i="90"/>
  <c r="DB1" i="90"/>
  <c r="DA14" i="90"/>
  <c r="DA8" i="90"/>
  <c r="DA7" i="90"/>
  <c r="EY1" i="90"/>
  <c r="DA11" i="90"/>
  <c r="DA21" i="90"/>
  <c r="DA17" i="90"/>
  <c r="DA15" i="90"/>
  <c r="DA24" i="90"/>
  <c r="DA22" i="90"/>
  <c r="DA19" i="90"/>
  <c r="DA16" i="90"/>
  <c r="DA18" i="90"/>
  <c r="DA23" i="90"/>
  <c r="DA6" i="90"/>
  <c r="DA9" i="90"/>
  <c r="DA12" i="90"/>
  <c r="DA10" i="90"/>
  <c r="DA13" i="90"/>
  <c r="DA20" i="90"/>
  <c r="DA22" i="89"/>
  <c r="DA14" i="89"/>
  <c r="DA6" i="89"/>
  <c r="DA18" i="89"/>
  <c r="DA17" i="89"/>
  <c r="DA10" i="89"/>
  <c r="DA21" i="89"/>
  <c r="DA16" i="89"/>
  <c r="DA9" i="89"/>
  <c r="DA19" i="89"/>
  <c r="DA13" i="89"/>
  <c r="EY1" i="89"/>
  <c r="DA23" i="89"/>
  <c r="DA12" i="89"/>
  <c r="DA24" i="89"/>
  <c r="DA11" i="89"/>
  <c r="DA20" i="89"/>
  <c r="DA7" i="89"/>
  <c r="DA15" i="89"/>
  <c r="DA8" i="89"/>
  <c r="DC2" i="89"/>
  <c r="DB1" i="89"/>
  <c r="DX21" i="89"/>
  <c r="DX8" i="89"/>
  <c r="DX15" i="89"/>
  <c r="DX7" i="89"/>
  <c r="DX24" i="89"/>
  <c r="DX16" i="89"/>
  <c r="DX6" i="89"/>
  <c r="DX23" i="89"/>
  <c r="DX18" i="89"/>
  <c r="DX13" i="89"/>
  <c r="DX20" i="89"/>
  <c r="DX10" i="89"/>
  <c r="DX12" i="89"/>
  <c r="DX17" i="89"/>
  <c r="DX14" i="89"/>
  <c r="DX22" i="89"/>
  <c r="DX11" i="89"/>
  <c r="DX19" i="89"/>
  <c r="DX9" i="89"/>
  <c r="DZ2" i="89"/>
  <c r="DY1" i="89"/>
  <c r="EX18" i="89"/>
  <c r="EX14" i="89"/>
  <c r="EX24" i="89"/>
  <c r="EX11" i="89"/>
  <c r="EX20" i="89"/>
  <c r="EX7" i="89"/>
  <c r="EX19" i="89"/>
  <c r="EX6" i="89"/>
  <c r="EX15" i="89"/>
  <c r="EX9" i="89"/>
  <c r="EX23" i="89"/>
  <c r="EX16" i="89"/>
  <c r="EX8" i="89"/>
  <c r="EX22" i="89"/>
  <c r="EX12" i="89"/>
  <c r="EX10" i="89"/>
  <c r="EX21" i="89"/>
  <c r="EX13" i="89"/>
  <c r="EX17" i="89"/>
  <c r="DC2" i="88"/>
  <c r="DB1" i="88"/>
  <c r="DA18" i="88"/>
  <c r="DA9" i="88"/>
  <c r="DA15" i="88"/>
  <c r="DA6" i="88"/>
  <c r="DA17" i="88"/>
  <c r="EY1" i="88"/>
  <c r="DA23" i="88"/>
  <c r="DA16" i="88"/>
  <c r="DA8" i="88"/>
  <c r="DA22" i="88"/>
  <c r="DA19" i="88"/>
  <c r="DA10" i="88"/>
  <c r="DA20" i="88"/>
  <c r="DA13" i="88"/>
  <c r="DA14" i="88"/>
  <c r="DA21" i="88"/>
  <c r="DA7" i="88"/>
  <c r="DA12" i="88"/>
  <c r="DA24" i="88"/>
  <c r="DA11" i="88"/>
  <c r="DZ2" i="88"/>
  <c r="DY1" i="88"/>
  <c r="EX14" i="87"/>
  <c r="EX13" i="87"/>
  <c r="EX10" i="87"/>
  <c r="EX23" i="87"/>
  <c r="EX16" i="87"/>
  <c r="EX9" i="87"/>
  <c r="EX20" i="87"/>
  <c r="EX8" i="87"/>
  <c r="EX21" i="87"/>
  <c r="EX17" i="87"/>
  <c r="EX7" i="87"/>
  <c r="EX24" i="87"/>
  <c r="EX15" i="87"/>
  <c r="EX19" i="87"/>
  <c r="EX12" i="87"/>
  <c r="EX22" i="87"/>
  <c r="EX11" i="87"/>
  <c r="EX18" i="87"/>
  <c r="EX6" i="87"/>
  <c r="DX20" i="87"/>
  <c r="DX16" i="87"/>
  <c r="DX6" i="87"/>
  <c r="DX21" i="87"/>
  <c r="DX14" i="87"/>
  <c r="DX23" i="87"/>
  <c r="DX18" i="87"/>
  <c r="DX13" i="87"/>
  <c r="DX17" i="87"/>
  <c r="DX10" i="87"/>
  <c r="DX19" i="87"/>
  <c r="DX9" i="87"/>
  <c r="DX24" i="87"/>
  <c r="DX7" i="87"/>
  <c r="DX11" i="87"/>
  <c r="DX15" i="87"/>
  <c r="DX22" i="87"/>
  <c r="DX12" i="87"/>
  <c r="DX8" i="87"/>
  <c r="DX24" i="88"/>
  <c r="DX14" i="88"/>
  <c r="DX7" i="88"/>
  <c r="DX22" i="88"/>
  <c r="DX13" i="88"/>
  <c r="DX6" i="88"/>
  <c r="DX19" i="88"/>
  <c r="DX11" i="88"/>
  <c r="DX23" i="88"/>
  <c r="DX16" i="88"/>
  <c r="DX17" i="88"/>
  <c r="DX12" i="88"/>
  <c r="DX15" i="88"/>
  <c r="DX10" i="88"/>
  <c r="DX21" i="88"/>
  <c r="DX9" i="88"/>
  <c r="DX20" i="88"/>
  <c r="DX18" i="88"/>
  <c r="DX8" i="88"/>
  <c r="DZ2" i="87"/>
  <c r="DY1" i="87"/>
  <c r="DB1" i="87"/>
  <c r="DC2" i="87"/>
  <c r="EX24" i="88"/>
  <c r="EX14" i="88"/>
  <c r="EX6" i="88"/>
  <c r="EX23" i="88"/>
  <c r="EX13" i="88"/>
  <c r="EX11" i="88"/>
  <c r="EX21" i="88"/>
  <c r="EX18" i="88"/>
  <c r="EX9" i="88"/>
  <c r="EX19" i="88"/>
  <c r="EX17" i="88"/>
  <c r="EX22" i="88"/>
  <c r="EX8" i="88"/>
  <c r="EX20" i="88"/>
  <c r="EX7" i="88"/>
  <c r="EX15" i="88"/>
  <c r="EX12" i="88"/>
  <c r="EX16" i="88"/>
  <c r="EX10" i="88"/>
  <c r="DA23" i="87"/>
  <c r="DA6" i="87"/>
  <c r="DA18" i="87"/>
  <c r="EY1" i="87"/>
  <c r="DA24" i="87"/>
  <c r="DA12" i="87"/>
  <c r="DA9" i="87"/>
  <c r="DA16" i="87"/>
  <c r="DA7" i="87"/>
  <c r="DA22" i="87"/>
  <c r="DA15" i="87"/>
  <c r="DA8" i="87"/>
  <c r="DA21" i="87"/>
  <c r="DA14" i="87"/>
  <c r="DA11" i="87"/>
  <c r="DA19" i="87"/>
  <c r="DA17" i="87"/>
  <c r="DA10" i="87"/>
  <c r="DA20" i="87"/>
  <c r="DA13" i="87"/>
  <c r="DA24" i="86"/>
  <c r="DA11" i="86"/>
  <c r="DA10" i="86"/>
  <c r="DA23" i="86"/>
  <c r="DA15" i="86"/>
  <c r="DA9" i="86"/>
  <c r="DA8" i="86"/>
  <c r="DA17" i="86"/>
  <c r="DA22" i="86"/>
  <c r="DA16" i="86"/>
  <c r="DA6" i="86"/>
  <c r="DA7" i="86"/>
  <c r="DA21" i="86"/>
  <c r="DA12" i="86"/>
  <c r="EY1" i="86"/>
  <c r="DA19" i="86"/>
  <c r="DA14" i="86"/>
  <c r="DA18" i="86"/>
  <c r="DA20" i="86"/>
  <c r="DA13" i="86"/>
  <c r="DX18" i="86"/>
  <c r="DX8" i="86"/>
  <c r="DX17" i="86"/>
  <c r="DX21" i="86"/>
  <c r="DX12" i="86"/>
  <c r="DX7" i="86"/>
  <c r="DX16" i="86"/>
  <c r="DX9" i="86"/>
  <c r="DX24" i="86"/>
  <c r="DX14" i="86"/>
  <c r="DX13" i="86"/>
  <c r="DX23" i="86"/>
  <c r="DX15" i="86"/>
  <c r="DX6" i="86"/>
  <c r="DX20" i="86"/>
  <c r="DX11" i="86"/>
  <c r="DX22" i="86"/>
  <c r="DX19" i="86"/>
  <c r="DX10" i="86"/>
  <c r="DZ2" i="86"/>
  <c r="DY1" i="86"/>
  <c r="EX19" i="86"/>
  <c r="EX13" i="86"/>
  <c r="EX23" i="86"/>
  <c r="EX9" i="86"/>
  <c r="EX6" i="86"/>
  <c r="EX10" i="86"/>
  <c r="EX15" i="86"/>
  <c r="EX8" i="86"/>
  <c r="EX14" i="86"/>
  <c r="EX7" i="86"/>
  <c r="EX22" i="86"/>
  <c r="EX24" i="86"/>
  <c r="EX11" i="86"/>
  <c r="EX16" i="86"/>
  <c r="EX17" i="86"/>
  <c r="EX21" i="86"/>
  <c r="EX20" i="86"/>
  <c r="EX12" i="86"/>
  <c r="EX18" i="86"/>
  <c r="DB1" i="86"/>
  <c r="DC2" i="86"/>
  <c r="DN24" i="142" l="1"/>
  <c r="DN22" i="142"/>
  <c r="DN21" i="142"/>
  <c r="DN20" i="142"/>
  <c r="DN19" i="142"/>
  <c r="DN17" i="142"/>
  <c r="DN16" i="142"/>
  <c r="DN15" i="142"/>
  <c r="DN14" i="142"/>
  <c r="DN13" i="142"/>
  <c r="DN12" i="142"/>
  <c r="DN11" i="142"/>
  <c r="DN9" i="142"/>
  <c r="DN8" i="142"/>
  <c r="DN7" i="142"/>
  <c r="DN6" i="142"/>
  <c r="DN23" i="142"/>
  <c r="DN18" i="142"/>
  <c r="DN10" i="142"/>
  <c r="DO1" i="142"/>
  <c r="DP2" i="142"/>
  <c r="EN20" i="142"/>
  <c r="EN17" i="142"/>
  <c r="EN16" i="142"/>
  <c r="EN15" i="142"/>
  <c r="EN14" i="142"/>
  <c r="EN13" i="142"/>
  <c r="EN12" i="142"/>
  <c r="EN11" i="142"/>
  <c r="EN9" i="142"/>
  <c r="EN8" i="142"/>
  <c r="EN7" i="142"/>
  <c r="EN6" i="142"/>
  <c r="EN24" i="142"/>
  <c r="EN22" i="142"/>
  <c r="EN21" i="142"/>
  <c r="EN19" i="142"/>
  <c r="EN23" i="142"/>
  <c r="EN18" i="142"/>
  <c r="CR1" i="142"/>
  <c r="CS2" i="142"/>
  <c r="CQ13" i="142"/>
  <c r="CQ12" i="142"/>
  <c r="CQ11" i="142"/>
  <c r="CQ9" i="142"/>
  <c r="CQ8" i="142"/>
  <c r="CQ6" i="142"/>
  <c r="CQ23" i="142"/>
  <c r="CQ22" i="142"/>
  <c r="CQ21" i="142"/>
  <c r="CQ10" i="142"/>
  <c r="EO1" i="142"/>
  <c r="CQ24" i="142"/>
  <c r="CQ18" i="142"/>
  <c r="CQ7" i="142"/>
  <c r="CQ20" i="142"/>
  <c r="CQ19" i="142"/>
  <c r="CQ17" i="142"/>
  <c r="CQ16" i="142"/>
  <c r="CQ15" i="142"/>
  <c r="CQ14" i="142"/>
  <c r="O30" i="95"/>
  <c r="O29" i="95"/>
  <c r="O28" i="95"/>
  <c r="DN23" i="139"/>
  <c r="DN13" i="139"/>
  <c r="DN6" i="139"/>
  <c r="DN21" i="139"/>
  <c r="DN19" i="139"/>
  <c r="DN10" i="139"/>
  <c r="DN17" i="139"/>
  <c r="DN7" i="139"/>
  <c r="DN15" i="139"/>
  <c r="DN16" i="139"/>
  <c r="DN14" i="139"/>
  <c r="DN24" i="139"/>
  <c r="DN11" i="139"/>
  <c r="DN9" i="139"/>
  <c r="DN8" i="139"/>
  <c r="DN12" i="139"/>
  <c r="DN18" i="139"/>
  <c r="DN20" i="139"/>
  <c r="DN22" i="139"/>
  <c r="DP2" i="139"/>
  <c r="DO1" i="139"/>
  <c r="EN19" i="139"/>
  <c r="EN8" i="139"/>
  <c r="EN24" i="139"/>
  <c r="EN16" i="139"/>
  <c r="EN7" i="139"/>
  <c r="EN6" i="139"/>
  <c r="EN21" i="139"/>
  <c r="EN20" i="139"/>
  <c r="EN23" i="139"/>
  <c r="EN9" i="139"/>
  <c r="EN22" i="139"/>
  <c r="EN11" i="139"/>
  <c r="EN18" i="139"/>
  <c r="EN12" i="139"/>
  <c r="EN14" i="139"/>
  <c r="EN15" i="139"/>
  <c r="EN13" i="139"/>
  <c r="EN17" i="139"/>
  <c r="CS2" i="139"/>
  <c r="CR1" i="139"/>
  <c r="CQ19" i="139"/>
  <c r="CQ6" i="139"/>
  <c r="EO1" i="139"/>
  <c r="CQ22" i="139"/>
  <c r="CQ13" i="139"/>
  <c r="CQ8" i="139"/>
  <c r="CQ20" i="139"/>
  <c r="CQ18" i="139"/>
  <c r="CQ14" i="139"/>
  <c r="CQ11" i="139"/>
  <c r="CQ7" i="139"/>
  <c r="CQ23" i="139"/>
  <c r="CQ16" i="139"/>
  <c r="CQ15" i="139"/>
  <c r="CQ9" i="139"/>
  <c r="CQ21" i="139"/>
  <c r="CQ10" i="139"/>
  <c r="CQ12" i="139"/>
  <c r="CQ17" i="139"/>
  <c r="CQ24" i="139"/>
  <c r="EN20" i="136"/>
  <c r="EN7" i="136"/>
  <c r="EN24" i="136"/>
  <c r="EN16" i="136"/>
  <c r="EN6" i="136"/>
  <c r="EN17" i="136"/>
  <c r="EN15" i="136"/>
  <c r="EN18" i="136"/>
  <c r="EN21" i="136"/>
  <c r="EN13" i="136"/>
  <c r="EN8" i="136"/>
  <c r="EN22" i="136"/>
  <c r="EN19" i="136"/>
  <c r="EN14" i="136"/>
  <c r="EN12" i="136"/>
  <c r="EN9" i="136"/>
  <c r="EN23" i="136"/>
  <c r="EN11" i="136"/>
  <c r="EN21" i="137"/>
  <c r="EN14" i="137"/>
  <c r="EN6" i="137"/>
  <c r="EN24" i="137"/>
  <c r="EN15" i="137"/>
  <c r="EN8" i="137"/>
  <c r="EN23" i="137"/>
  <c r="EN13" i="137"/>
  <c r="EN18" i="137"/>
  <c r="EN9" i="137"/>
  <c r="EN19" i="137"/>
  <c r="EN16" i="137"/>
  <c r="EN17" i="137"/>
  <c r="EN11" i="137"/>
  <c r="EN20" i="137"/>
  <c r="EN12" i="137"/>
  <c r="EN22" i="137"/>
  <c r="EN7" i="137"/>
  <c r="CQ20" i="137"/>
  <c r="CQ12" i="137"/>
  <c r="EO1" i="137"/>
  <c r="CQ18" i="137"/>
  <c r="CQ10" i="137"/>
  <c r="CQ17" i="137"/>
  <c r="CQ7" i="137"/>
  <c r="CQ21" i="137"/>
  <c r="CQ11" i="137"/>
  <c r="CQ16" i="137"/>
  <c r="CQ6" i="137"/>
  <c r="CQ24" i="137"/>
  <c r="CQ19" i="137"/>
  <c r="CQ8" i="137"/>
  <c r="CQ23" i="137"/>
  <c r="CQ15" i="137"/>
  <c r="CQ13" i="137"/>
  <c r="CQ22" i="137"/>
  <c r="CQ14" i="137"/>
  <c r="CQ9" i="137"/>
  <c r="CS2" i="137"/>
  <c r="CR1" i="137"/>
  <c r="CQ20" i="136"/>
  <c r="CQ12" i="136"/>
  <c r="CQ9" i="136"/>
  <c r="CQ22" i="136"/>
  <c r="CQ11" i="136"/>
  <c r="CQ7" i="136"/>
  <c r="CQ17" i="136"/>
  <c r="CQ14" i="136"/>
  <c r="CQ21" i="136"/>
  <c r="CQ10" i="136"/>
  <c r="CQ18" i="136"/>
  <c r="CQ13" i="136"/>
  <c r="CQ19" i="136"/>
  <c r="CQ6" i="136"/>
  <c r="CQ24" i="136"/>
  <c r="CQ16" i="136"/>
  <c r="CQ8" i="136"/>
  <c r="CQ23" i="136"/>
  <c r="CQ15" i="136"/>
  <c r="EO1" i="136"/>
  <c r="DN19" i="136"/>
  <c r="DN9" i="136"/>
  <c r="DN6" i="136"/>
  <c r="DN22" i="136"/>
  <c r="DN17" i="136"/>
  <c r="DN8" i="136"/>
  <c r="DN24" i="136"/>
  <c r="DN20" i="136"/>
  <c r="DN11" i="136"/>
  <c r="DN16" i="136"/>
  <c r="DN7" i="136"/>
  <c r="DN14" i="136"/>
  <c r="DN21" i="136"/>
  <c r="DN13" i="136"/>
  <c r="DN12" i="136"/>
  <c r="DN10" i="136"/>
  <c r="DN23" i="136"/>
  <c r="DN18" i="136"/>
  <c r="DN15" i="136"/>
  <c r="CS2" i="136"/>
  <c r="CR1" i="136"/>
  <c r="DO1" i="136"/>
  <c r="DP2" i="136"/>
  <c r="DN21" i="137"/>
  <c r="DN13" i="137"/>
  <c r="DN18" i="137"/>
  <c r="DN7" i="137"/>
  <c r="DN17" i="137"/>
  <c r="DN6" i="137"/>
  <c r="DN23" i="137"/>
  <c r="DN15" i="137"/>
  <c r="DN16" i="137"/>
  <c r="DN22" i="137"/>
  <c r="DN14" i="137"/>
  <c r="DN9" i="137"/>
  <c r="DN20" i="137"/>
  <c r="DN12" i="137"/>
  <c r="DN11" i="137"/>
  <c r="DN19" i="137"/>
  <c r="DN10" i="137"/>
  <c r="DN24" i="137"/>
  <c r="DN8" i="137"/>
  <c r="DP2" i="137"/>
  <c r="DO1" i="137"/>
  <c r="DN21" i="132"/>
  <c r="DN10" i="132"/>
  <c r="DN18" i="132"/>
  <c r="DN14" i="132"/>
  <c r="DN7" i="132"/>
  <c r="DN20" i="132"/>
  <c r="DN11" i="132"/>
  <c r="DN22" i="132"/>
  <c r="DN23" i="132"/>
  <c r="DN8" i="132"/>
  <c r="DN15" i="132"/>
  <c r="DN19" i="132"/>
  <c r="DN16" i="132"/>
  <c r="DN13" i="132"/>
  <c r="DN6" i="132"/>
  <c r="DN9" i="132"/>
  <c r="DN12" i="132"/>
  <c r="DN17" i="132"/>
  <c r="DN24" i="132"/>
  <c r="DQ2" i="133"/>
  <c r="DP1" i="133"/>
  <c r="DP2" i="132"/>
  <c r="DO1" i="132"/>
  <c r="CQ18" i="132"/>
  <c r="CQ23" i="132"/>
  <c r="CQ12" i="132"/>
  <c r="CQ9" i="132"/>
  <c r="CQ8" i="132"/>
  <c r="CQ20" i="132"/>
  <c r="CQ19" i="132"/>
  <c r="CQ21" i="132"/>
  <c r="CQ22" i="132"/>
  <c r="CQ11" i="132"/>
  <c r="CQ10" i="132"/>
  <c r="CQ6" i="132"/>
  <c r="CQ14" i="132"/>
  <c r="CQ13" i="132"/>
  <c r="CQ17" i="132"/>
  <c r="CQ16" i="132"/>
  <c r="CQ15" i="132"/>
  <c r="CQ7" i="132"/>
  <c r="CQ24" i="132"/>
  <c r="EO1" i="132"/>
  <c r="DO18" i="133"/>
  <c r="DO10" i="133"/>
  <c r="DO11" i="133"/>
  <c r="DO20" i="133"/>
  <c r="DO7" i="133"/>
  <c r="DO21" i="133"/>
  <c r="DO9" i="133"/>
  <c r="DO8" i="133"/>
  <c r="DO24" i="133"/>
  <c r="DO17" i="133"/>
  <c r="DO19" i="133"/>
  <c r="DO14" i="133"/>
  <c r="DO23" i="133"/>
  <c r="DO15" i="133"/>
  <c r="DO16" i="133"/>
  <c r="DO6" i="133"/>
  <c r="DO13" i="133"/>
  <c r="DO22" i="133"/>
  <c r="DO12" i="133"/>
  <c r="CQ18" i="133"/>
  <c r="CQ20" i="133"/>
  <c r="CQ6" i="133"/>
  <c r="CQ9" i="133"/>
  <c r="CQ13" i="133"/>
  <c r="CQ19" i="133"/>
  <c r="CQ23" i="133"/>
  <c r="CQ16" i="133"/>
  <c r="CQ17" i="133"/>
  <c r="CQ7" i="133"/>
  <c r="CQ21" i="133"/>
  <c r="CQ12" i="133"/>
  <c r="CQ8" i="133"/>
  <c r="CQ24" i="133"/>
  <c r="EO1" i="133"/>
  <c r="CQ15" i="133"/>
  <c r="CQ10" i="133"/>
  <c r="CQ14" i="133"/>
  <c r="CQ22" i="133"/>
  <c r="CQ11" i="133"/>
  <c r="CS2" i="133"/>
  <c r="CR1" i="133"/>
  <c r="EN16" i="133"/>
  <c r="EN22" i="133"/>
  <c r="EN6" i="133"/>
  <c r="EN21" i="133"/>
  <c r="EN12" i="133"/>
  <c r="EN18" i="133"/>
  <c r="EN20" i="133"/>
  <c r="EN14" i="133"/>
  <c r="EN8" i="133"/>
  <c r="EN11" i="133"/>
  <c r="EN19" i="133"/>
  <c r="EN17" i="133"/>
  <c r="EN9" i="133"/>
  <c r="EN23" i="133"/>
  <c r="EN13" i="133"/>
  <c r="EN7" i="133"/>
  <c r="EN15" i="133"/>
  <c r="EN24" i="133"/>
  <c r="CS2" i="132"/>
  <c r="CR1" i="132"/>
  <c r="EN15" i="132"/>
  <c r="EN8" i="132"/>
  <c r="EN7" i="132"/>
  <c r="EN21" i="132"/>
  <c r="EN20" i="132"/>
  <c r="EN9" i="132"/>
  <c r="EN13" i="132"/>
  <c r="EN12" i="132"/>
  <c r="EN18" i="132"/>
  <c r="EN6" i="132"/>
  <c r="EN11" i="132"/>
  <c r="EN24" i="132"/>
  <c r="EN16" i="132"/>
  <c r="EN14" i="132"/>
  <c r="EN22" i="132"/>
  <c r="EN23" i="132"/>
  <c r="EN19" i="132"/>
  <c r="EN17" i="132"/>
  <c r="O13" i="97"/>
  <c r="P13" i="97" s="1"/>
  <c r="DY24" i="124"/>
  <c r="DY14" i="124"/>
  <c r="DY22" i="124"/>
  <c r="DY11" i="124"/>
  <c r="DY21" i="124"/>
  <c r="DY17" i="124"/>
  <c r="DY23" i="124"/>
  <c r="DY6" i="124"/>
  <c r="DY16" i="124"/>
  <c r="DY8" i="124"/>
  <c r="DY19" i="124"/>
  <c r="DY9" i="124"/>
  <c r="DY18" i="124"/>
  <c r="DY7" i="124"/>
  <c r="DY15" i="124"/>
  <c r="DY12" i="124"/>
  <c r="DY20" i="124"/>
  <c r="DY13" i="124"/>
  <c r="DY10" i="124"/>
  <c r="EA2" i="124"/>
  <c r="DZ1" i="124"/>
  <c r="EY15" i="124"/>
  <c r="EY12" i="124"/>
  <c r="EY23" i="124"/>
  <c r="EY14" i="124"/>
  <c r="EY11" i="124"/>
  <c r="EY21" i="124"/>
  <c r="EY13" i="124"/>
  <c r="EY7" i="124"/>
  <c r="EY20" i="124"/>
  <c r="EY18" i="124"/>
  <c r="EY6" i="124"/>
  <c r="EY19" i="124"/>
  <c r="EY10" i="124"/>
  <c r="EY24" i="124"/>
  <c r="EY9" i="124"/>
  <c r="EY22" i="124"/>
  <c r="EY8" i="124"/>
  <c r="EY17" i="124"/>
  <c r="EY16" i="124"/>
  <c r="DD2" i="124"/>
  <c r="DC1" i="124"/>
  <c r="DB14" i="124"/>
  <c r="DB7" i="124"/>
  <c r="DB22" i="124"/>
  <c r="DB15" i="124"/>
  <c r="DB24" i="124"/>
  <c r="DB17" i="124"/>
  <c r="DB23" i="124"/>
  <c r="DB9" i="124"/>
  <c r="DB21" i="124"/>
  <c r="DB11" i="124"/>
  <c r="DB19" i="124"/>
  <c r="DB8" i="124"/>
  <c r="DB18" i="124"/>
  <c r="DB6" i="124"/>
  <c r="DB16" i="124"/>
  <c r="EZ1" i="124"/>
  <c r="DB20" i="124"/>
  <c r="DB12" i="124"/>
  <c r="DB10" i="124"/>
  <c r="DB13" i="124"/>
  <c r="BP13" i="98"/>
  <c r="O13" i="98" s="1"/>
  <c r="BR13" i="124"/>
  <c r="ES10" i="120"/>
  <c r="ET10" i="121"/>
  <c r="CH10" i="121" s="1"/>
  <c r="BT29" i="96"/>
  <c r="EY17" i="121"/>
  <c r="EY10" i="121"/>
  <c r="EY9" i="121"/>
  <c r="EY24" i="121"/>
  <c r="EY7" i="121"/>
  <c r="EY22" i="121"/>
  <c r="EY6" i="121"/>
  <c r="EY21" i="121"/>
  <c r="EY20" i="121"/>
  <c r="EY14" i="121"/>
  <c r="EY16" i="121"/>
  <c r="EY15" i="121"/>
  <c r="EY18" i="121"/>
  <c r="EY13" i="121"/>
  <c r="EY11" i="121"/>
  <c r="EY8" i="121"/>
  <c r="EY12" i="121"/>
  <c r="EY19" i="121"/>
  <c r="EY23" i="121"/>
  <c r="O26" i="96"/>
  <c r="DY24" i="121"/>
  <c r="DY18" i="121"/>
  <c r="DY11" i="121"/>
  <c r="DY14" i="121"/>
  <c r="DY21" i="121"/>
  <c r="DY16" i="121"/>
  <c r="DY10" i="121"/>
  <c r="DY8" i="121"/>
  <c r="DY23" i="121"/>
  <c r="DY17" i="121"/>
  <c r="DY9" i="121"/>
  <c r="DY7" i="121"/>
  <c r="DY13" i="121"/>
  <c r="DY12" i="121"/>
  <c r="DY6" i="121"/>
  <c r="DY19" i="121"/>
  <c r="DY22" i="121"/>
  <c r="DY20" i="121"/>
  <c r="DY15" i="121"/>
  <c r="DB21" i="121"/>
  <c r="DB13" i="121"/>
  <c r="DB6" i="121"/>
  <c r="DB19" i="121"/>
  <c r="DB18" i="121"/>
  <c r="DB14" i="121"/>
  <c r="DB20" i="121"/>
  <c r="DB11" i="121"/>
  <c r="DB12" i="121"/>
  <c r="DB10" i="121"/>
  <c r="DB16" i="121"/>
  <c r="DB15" i="121"/>
  <c r="DB23" i="121"/>
  <c r="EZ1" i="121"/>
  <c r="DB7" i="121"/>
  <c r="DB9" i="121"/>
  <c r="DB24" i="121"/>
  <c r="DB8" i="121"/>
  <c r="DB17" i="121"/>
  <c r="DB22" i="121"/>
  <c r="DZ1" i="121"/>
  <c r="EA2" i="121"/>
  <c r="DC1" i="121"/>
  <c r="DD2" i="121"/>
  <c r="DC1" i="120"/>
  <c r="DD2" i="120"/>
  <c r="BT10" i="96"/>
  <c r="BT27" i="96" s="1"/>
  <c r="BV10" i="120"/>
  <c r="DB22" i="120"/>
  <c r="DB13" i="120"/>
  <c r="EZ1" i="120"/>
  <c r="DB21" i="120"/>
  <c r="DB15" i="120"/>
  <c r="DB23" i="120"/>
  <c r="DB14" i="120"/>
  <c r="DB18" i="120"/>
  <c r="DB9" i="120"/>
  <c r="DB16" i="120"/>
  <c r="DB10" i="120"/>
  <c r="DB24" i="120"/>
  <c r="DB12" i="120"/>
  <c r="DB8" i="120"/>
  <c r="DB20" i="120"/>
  <c r="DB17" i="120"/>
  <c r="DB7" i="120"/>
  <c r="DB19" i="120"/>
  <c r="DB11" i="120"/>
  <c r="DB6" i="120"/>
  <c r="DY20" i="120"/>
  <c r="DY9" i="120"/>
  <c r="DY23" i="120"/>
  <c r="DY17" i="120"/>
  <c r="DY6" i="120"/>
  <c r="DY22" i="120"/>
  <c r="DY13" i="120"/>
  <c r="DY7" i="120"/>
  <c r="DY21" i="120"/>
  <c r="DY15" i="120"/>
  <c r="DY14" i="120"/>
  <c r="DY24" i="120"/>
  <c r="DY12" i="120"/>
  <c r="DY18" i="120"/>
  <c r="DY10" i="120"/>
  <c r="DY19" i="120"/>
  <c r="DY11" i="120"/>
  <c r="DY16" i="120"/>
  <c r="DY8" i="120"/>
  <c r="EY22" i="120"/>
  <c r="EY18" i="120"/>
  <c r="EY7" i="120"/>
  <c r="EY21" i="120"/>
  <c r="EY13" i="120"/>
  <c r="EY9" i="120"/>
  <c r="EY20" i="120"/>
  <c r="EY11" i="120"/>
  <c r="EY6" i="120"/>
  <c r="EY19" i="120"/>
  <c r="EY16" i="120"/>
  <c r="EY23" i="120"/>
  <c r="EY12" i="120"/>
  <c r="EY17" i="120"/>
  <c r="EY24" i="120"/>
  <c r="EY15" i="120"/>
  <c r="EY10" i="120"/>
  <c r="EY14" i="120"/>
  <c r="EY8" i="120"/>
  <c r="EA2" i="120"/>
  <c r="DZ1" i="120"/>
  <c r="Q30" i="94"/>
  <c r="BT27" i="95"/>
  <c r="DB23" i="119"/>
  <c r="DB14" i="119"/>
  <c r="DB7" i="119"/>
  <c r="EZ1" i="119"/>
  <c r="DB22" i="119"/>
  <c r="DB6" i="119"/>
  <c r="DB16" i="119"/>
  <c r="DB21" i="119"/>
  <c r="DB13" i="119"/>
  <c r="DB8" i="119"/>
  <c r="DB20" i="119"/>
  <c r="DB15" i="119"/>
  <c r="DB19" i="119"/>
  <c r="DB12" i="119"/>
  <c r="DB18" i="119"/>
  <c r="DB10" i="119"/>
  <c r="DB11" i="119"/>
  <c r="DB17" i="119"/>
  <c r="DB24" i="119"/>
  <c r="DB9" i="119"/>
  <c r="DY17" i="119"/>
  <c r="DY8" i="119"/>
  <c r="DY13" i="119"/>
  <c r="DY22" i="119"/>
  <c r="DY9" i="119"/>
  <c r="DY18" i="119"/>
  <c r="DY19" i="119"/>
  <c r="DY15" i="119"/>
  <c r="DY14" i="119"/>
  <c r="DY23" i="119"/>
  <c r="DY6" i="119"/>
  <c r="DY16" i="119"/>
  <c r="DY10" i="119"/>
  <c r="DY20" i="119"/>
  <c r="DY11" i="119"/>
  <c r="DY7" i="119"/>
  <c r="DY21" i="119"/>
  <c r="DY24" i="119"/>
  <c r="DY12" i="119"/>
  <c r="DD2" i="119"/>
  <c r="DC1" i="119"/>
  <c r="EA2" i="119"/>
  <c r="DZ1" i="119"/>
  <c r="EY19" i="119"/>
  <c r="EY12" i="119"/>
  <c r="EY8" i="119"/>
  <c r="EY18" i="119"/>
  <c r="EY21" i="119"/>
  <c r="EY15" i="119"/>
  <c r="EY17" i="119"/>
  <c r="EY11" i="119"/>
  <c r="EY20" i="119"/>
  <c r="EY16" i="119"/>
  <c r="EY9" i="119"/>
  <c r="EY23" i="119"/>
  <c r="EY7" i="119"/>
  <c r="EY24" i="119"/>
  <c r="EY14" i="119"/>
  <c r="EY6" i="119"/>
  <c r="EY22" i="119"/>
  <c r="EY13" i="119"/>
  <c r="EY10" i="119"/>
  <c r="BT28" i="95"/>
  <c r="Q29" i="94"/>
  <c r="ER10" i="116"/>
  <c r="ER10" i="119"/>
  <c r="Q10" i="119"/>
  <c r="R10" i="119" s="1"/>
  <c r="BV27" i="119"/>
  <c r="DC24" i="116"/>
  <c r="DC15" i="116"/>
  <c r="DC8" i="116"/>
  <c r="DC20" i="116"/>
  <c r="DC11" i="116"/>
  <c r="DC7" i="116"/>
  <c r="DC23" i="116"/>
  <c r="DC22" i="116"/>
  <c r="FA1" i="116"/>
  <c r="DC21" i="116"/>
  <c r="DC16" i="116"/>
  <c r="DC6" i="116"/>
  <c r="DC19" i="116"/>
  <c r="DC14" i="116"/>
  <c r="DC18" i="116"/>
  <c r="DC12" i="116"/>
  <c r="DC13" i="116"/>
  <c r="DC10" i="116"/>
  <c r="DC17" i="116"/>
  <c r="DC9" i="116"/>
  <c r="DZ20" i="116"/>
  <c r="DZ14" i="116"/>
  <c r="DZ8" i="116"/>
  <c r="DZ22" i="116"/>
  <c r="DZ13" i="116"/>
  <c r="DZ7" i="116"/>
  <c r="DZ9" i="116"/>
  <c r="DZ24" i="116"/>
  <c r="DZ12" i="116"/>
  <c r="DZ6" i="116"/>
  <c r="DZ21" i="116"/>
  <c r="DZ11" i="116"/>
  <c r="DZ19" i="116"/>
  <c r="DZ17" i="116"/>
  <c r="DZ18" i="116"/>
  <c r="DZ23" i="116"/>
  <c r="DZ15" i="116"/>
  <c r="DZ16" i="116"/>
  <c r="DZ10" i="116"/>
  <c r="DE2" i="116"/>
  <c r="DD1" i="116"/>
  <c r="EB2" i="116"/>
  <c r="EA1" i="116"/>
  <c r="EZ20" i="116"/>
  <c r="EZ14" i="116"/>
  <c r="EZ21" i="116"/>
  <c r="EZ10" i="116"/>
  <c r="EZ18" i="116"/>
  <c r="EZ9" i="116"/>
  <c r="EZ17" i="116"/>
  <c r="EZ8" i="116"/>
  <c r="EZ19" i="116"/>
  <c r="EZ15" i="116"/>
  <c r="EZ6" i="116"/>
  <c r="EZ24" i="116"/>
  <c r="EZ13" i="116"/>
  <c r="EZ11" i="116"/>
  <c r="EZ23" i="116"/>
  <c r="EZ16" i="116"/>
  <c r="EZ7" i="116"/>
  <c r="EZ22" i="116"/>
  <c r="DC16" i="112"/>
  <c r="FA1" i="112"/>
  <c r="DC8" i="112"/>
  <c r="DC19" i="112"/>
  <c r="DC21" i="112"/>
  <c r="DC7" i="112"/>
  <c r="DC22" i="112"/>
  <c r="DC17" i="112"/>
  <c r="DC24" i="112"/>
  <c r="DC23" i="112"/>
  <c r="DC20" i="112"/>
  <c r="DC10" i="112"/>
  <c r="DC15" i="112"/>
  <c r="DC18" i="112"/>
  <c r="DC6" i="112"/>
  <c r="DC11" i="112"/>
  <c r="DC14" i="112"/>
  <c r="DC12" i="112"/>
  <c r="DC13" i="112"/>
  <c r="DC9" i="112"/>
  <c r="EO10" i="109"/>
  <c r="EP10" i="112"/>
  <c r="EQ10" i="113"/>
  <c r="EZ23" i="112"/>
  <c r="EZ8" i="112"/>
  <c r="EZ18" i="112"/>
  <c r="EZ17" i="112"/>
  <c r="EZ16" i="112"/>
  <c r="EZ10" i="112"/>
  <c r="EZ22" i="112"/>
  <c r="EZ21" i="112"/>
  <c r="EZ15" i="112"/>
  <c r="EZ7" i="112"/>
  <c r="EZ6" i="112"/>
  <c r="EZ20" i="112"/>
  <c r="EZ14" i="112"/>
  <c r="EZ12" i="112"/>
  <c r="EZ24" i="112"/>
  <c r="EZ11" i="112"/>
  <c r="EZ19" i="112"/>
  <c r="EZ13" i="112"/>
  <c r="EZ9" i="112"/>
  <c r="DE2" i="113"/>
  <c r="DD1" i="113"/>
  <c r="DZ21" i="113"/>
  <c r="DZ12" i="113"/>
  <c r="DZ20" i="113"/>
  <c r="DZ6" i="113"/>
  <c r="DZ10" i="113"/>
  <c r="DZ18" i="113"/>
  <c r="DZ9" i="113"/>
  <c r="DZ16" i="113"/>
  <c r="DZ17" i="113"/>
  <c r="DZ11" i="113"/>
  <c r="DZ14" i="113"/>
  <c r="DZ8" i="113"/>
  <c r="DZ23" i="113"/>
  <c r="DZ24" i="113"/>
  <c r="DZ15" i="113"/>
  <c r="DZ19" i="113"/>
  <c r="DZ22" i="113"/>
  <c r="DZ13" i="113"/>
  <c r="DZ7" i="113"/>
  <c r="DE2" i="112"/>
  <c r="DD1" i="112"/>
  <c r="EB2" i="113"/>
  <c r="EA1" i="113"/>
  <c r="DZ16" i="112"/>
  <c r="DZ12" i="112"/>
  <c r="DZ18" i="112"/>
  <c r="DZ15" i="112"/>
  <c r="DZ9" i="112"/>
  <c r="DZ7" i="112"/>
  <c r="DZ14" i="112"/>
  <c r="DZ23" i="112"/>
  <c r="DZ24" i="112"/>
  <c r="DZ19" i="112"/>
  <c r="DZ8" i="112"/>
  <c r="DZ20" i="112"/>
  <c r="DZ6" i="112"/>
  <c r="DZ22" i="112"/>
  <c r="DZ13" i="112"/>
  <c r="DZ11" i="112"/>
  <c r="DZ21" i="112"/>
  <c r="DZ10" i="112"/>
  <c r="DZ17" i="112"/>
  <c r="EB2" i="112"/>
  <c r="EA1" i="112"/>
  <c r="DC24" i="113"/>
  <c r="DC16" i="113"/>
  <c r="FA1" i="113"/>
  <c r="DC23" i="113"/>
  <c r="DC22" i="113"/>
  <c r="DC12" i="113"/>
  <c r="DC6" i="113"/>
  <c r="DC19" i="113"/>
  <c r="DC14" i="113"/>
  <c r="DC11" i="113"/>
  <c r="DC17" i="113"/>
  <c r="DC9" i="113"/>
  <c r="DC18" i="113"/>
  <c r="DC21" i="113"/>
  <c r="DC15" i="113"/>
  <c r="DC13" i="113"/>
  <c r="DC8" i="113"/>
  <c r="DC20" i="113"/>
  <c r="DC7" i="113"/>
  <c r="DC10" i="113"/>
  <c r="EZ17" i="113"/>
  <c r="EZ10" i="113"/>
  <c r="EZ18" i="113"/>
  <c r="EZ12" i="113"/>
  <c r="EZ23" i="113"/>
  <c r="EZ16" i="113"/>
  <c r="EZ7" i="113"/>
  <c r="EZ22" i="113"/>
  <c r="EZ14" i="113"/>
  <c r="EZ9" i="113"/>
  <c r="EZ19" i="113"/>
  <c r="EZ21" i="113"/>
  <c r="EZ13" i="113"/>
  <c r="EZ6" i="113"/>
  <c r="EZ20" i="113"/>
  <c r="EZ15" i="113"/>
  <c r="EZ11" i="113"/>
  <c r="EZ24" i="113"/>
  <c r="EZ8" i="113"/>
  <c r="EZ19" i="109"/>
  <c r="EZ7" i="109"/>
  <c r="EZ13" i="109"/>
  <c r="EZ23" i="109"/>
  <c r="EZ18" i="109"/>
  <c r="EZ6" i="109"/>
  <c r="EZ11" i="109"/>
  <c r="EZ21" i="109"/>
  <c r="EZ8" i="109"/>
  <c r="EZ17" i="109"/>
  <c r="EZ12" i="109"/>
  <c r="EZ16" i="109"/>
  <c r="EZ24" i="109"/>
  <c r="EZ15" i="109"/>
  <c r="EZ10" i="109"/>
  <c r="EZ9" i="109"/>
  <c r="EZ14" i="109"/>
  <c r="EZ22" i="109"/>
  <c r="EZ20" i="109"/>
  <c r="DB23" i="108"/>
  <c r="DB11" i="108"/>
  <c r="DB22" i="108"/>
  <c r="DB10" i="108"/>
  <c r="DB21" i="108"/>
  <c r="DB9" i="108"/>
  <c r="DB20" i="108"/>
  <c r="DB8" i="108"/>
  <c r="DB19" i="108"/>
  <c r="DB18" i="108"/>
  <c r="DB6" i="108"/>
  <c r="DB12" i="108"/>
  <c r="DB7" i="108"/>
  <c r="DB13" i="108"/>
  <c r="EZ1" i="108"/>
  <c r="DB16" i="108"/>
  <c r="DB15" i="108"/>
  <c r="DB17" i="108"/>
  <c r="DB24" i="108"/>
  <c r="DB14" i="108"/>
  <c r="EM10" i="108"/>
  <c r="DC1" i="108"/>
  <c r="DD2" i="108"/>
  <c r="DY14" i="108"/>
  <c r="DY12" i="108"/>
  <c r="DY23" i="108"/>
  <c r="DY8" i="108"/>
  <c r="DY7" i="108"/>
  <c r="DY18" i="108"/>
  <c r="DY15" i="108"/>
  <c r="DY13" i="108"/>
  <c r="DY22" i="108"/>
  <c r="DY20" i="108"/>
  <c r="DY24" i="108"/>
  <c r="DY9" i="108"/>
  <c r="DY11" i="108"/>
  <c r="DY10" i="108"/>
  <c r="DY21" i="108"/>
  <c r="DY19" i="108"/>
  <c r="DY6" i="108"/>
  <c r="DY17" i="108"/>
  <c r="DY16" i="108"/>
  <c r="DC21" i="109"/>
  <c r="DC9" i="109"/>
  <c r="DC20" i="109"/>
  <c r="DC8" i="109"/>
  <c r="DC14" i="109"/>
  <c r="DC19" i="109"/>
  <c r="DC7" i="109"/>
  <c r="DC18" i="109"/>
  <c r="DC6" i="109"/>
  <c r="DC12" i="109"/>
  <c r="DC11" i="109"/>
  <c r="DC10" i="109"/>
  <c r="DC17" i="109"/>
  <c r="FA1" i="109"/>
  <c r="DC15" i="109"/>
  <c r="DC24" i="109"/>
  <c r="DC23" i="109"/>
  <c r="DC22" i="109"/>
  <c r="DC16" i="109"/>
  <c r="DC13" i="109"/>
  <c r="EA2" i="108"/>
  <c r="DZ1" i="108"/>
  <c r="DD1" i="109"/>
  <c r="DE2" i="109"/>
  <c r="DZ24" i="109"/>
  <c r="DZ12" i="109"/>
  <c r="DZ17" i="109"/>
  <c r="DZ15" i="109"/>
  <c r="DZ14" i="109"/>
  <c r="DZ13" i="109"/>
  <c r="DZ23" i="109"/>
  <c r="DZ11" i="109"/>
  <c r="DZ6" i="109"/>
  <c r="DZ22" i="109"/>
  <c r="DZ10" i="109"/>
  <c r="DZ18" i="109"/>
  <c r="DZ21" i="109"/>
  <c r="DZ9" i="109"/>
  <c r="DZ16" i="109"/>
  <c r="DZ20" i="109"/>
  <c r="DZ8" i="109"/>
  <c r="DZ19" i="109"/>
  <c r="DZ7" i="109"/>
  <c r="EB2" i="109"/>
  <c r="EA1" i="109"/>
  <c r="EY21" i="108"/>
  <c r="EY9" i="108"/>
  <c r="EY20" i="108"/>
  <c r="EY8" i="108"/>
  <c r="EY19" i="108"/>
  <c r="EY7" i="108"/>
  <c r="EY18" i="108"/>
  <c r="EY6" i="108"/>
  <c r="EY15" i="108"/>
  <c r="EY13" i="108"/>
  <c r="EY14" i="108"/>
  <c r="EY12" i="108"/>
  <c r="EY22" i="108"/>
  <c r="EY16" i="108"/>
  <c r="EY10" i="108"/>
  <c r="EY17" i="108"/>
  <c r="EY24" i="108"/>
  <c r="EY11" i="108"/>
  <c r="EY23" i="108"/>
  <c r="DB21" i="106"/>
  <c r="DB13" i="106"/>
  <c r="EZ1" i="106"/>
  <c r="DB22" i="106"/>
  <c r="DB20" i="106"/>
  <c r="DB12" i="106"/>
  <c r="DB19" i="106"/>
  <c r="DB11" i="106"/>
  <c r="DB14" i="106"/>
  <c r="DB18" i="106"/>
  <c r="DB10" i="106"/>
  <c r="DB17" i="106"/>
  <c r="DB9" i="106"/>
  <c r="DB6" i="106"/>
  <c r="DB24" i="106"/>
  <c r="DB16" i="106"/>
  <c r="DB8" i="106"/>
  <c r="DB23" i="106"/>
  <c r="DB15" i="106"/>
  <c r="DB7" i="106"/>
  <c r="DD2" i="106"/>
  <c r="DC1" i="106"/>
  <c r="EK10" i="105"/>
  <c r="EL10" i="106"/>
  <c r="EA2" i="106"/>
  <c r="DZ1" i="106"/>
  <c r="EY19" i="106"/>
  <c r="EY11" i="106"/>
  <c r="EY18" i="106"/>
  <c r="EY10" i="106"/>
  <c r="EY17" i="106"/>
  <c r="EY9" i="106"/>
  <c r="EY24" i="106"/>
  <c r="EY16" i="106"/>
  <c r="EY8" i="106"/>
  <c r="EY23" i="106"/>
  <c r="EY15" i="106"/>
  <c r="EY7" i="106"/>
  <c r="EY22" i="106"/>
  <c r="EY14" i="106"/>
  <c r="EY6" i="106"/>
  <c r="EY12" i="106"/>
  <c r="EY21" i="106"/>
  <c r="EY13" i="106"/>
  <c r="EY20" i="106"/>
  <c r="DY24" i="106"/>
  <c r="DY16" i="106"/>
  <c r="DY8" i="106"/>
  <c r="DY23" i="106"/>
  <c r="DY15" i="106"/>
  <c r="DY7" i="106"/>
  <c r="DY17" i="106"/>
  <c r="DY22" i="106"/>
  <c r="DY14" i="106"/>
  <c r="DY6" i="106"/>
  <c r="DY21" i="106"/>
  <c r="DY13" i="106"/>
  <c r="DY9" i="106"/>
  <c r="DY20" i="106"/>
  <c r="DY12" i="106"/>
  <c r="DY19" i="106"/>
  <c r="DY11" i="106"/>
  <c r="DY18" i="106"/>
  <c r="DY10" i="106"/>
  <c r="DY24" i="105"/>
  <c r="DY12" i="105"/>
  <c r="DY23" i="105"/>
  <c r="DY11" i="105"/>
  <c r="DY22" i="105"/>
  <c r="DY10" i="105"/>
  <c r="DY21" i="105"/>
  <c r="DY9" i="105"/>
  <c r="DY16" i="105"/>
  <c r="DY15" i="105"/>
  <c r="DY20" i="105"/>
  <c r="DY8" i="105"/>
  <c r="DY6" i="105"/>
  <c r="DY17" i="105"/>
  <c r="DY19" i="105"/>
  <c r="DY7" i="105"/>
  <c r="DY18" i="105"/>
  <c r="DY14" i="105"/>
  <c r="DY13" i="105"/>
  <c r="EY19" i="105"/>
  <c r="EY7" i="105"/>
  <c r="EY18" i="105"/>
  <c r="EY6" i="105"/>
  <c r="EY17" i="105"/>
  <c r="EY16" i="105"/>
  <c r="EY23" i="105"/>
  <c r="EY10" i="105"/>
  <c r="EY9" i="105"/>
  <c r="EY8" i="105"/>
  <c r="EY15" i="105"/>
  <c r="EY24" i="105"/>
  <c r="EY12" i="105"/>
  <c r="EY14" i="105"/>
  <c r="EY13" i="105"/>
  <c r="EY11" i="105"/>
  <c r="EY22" i="105"/>
  <c r="EY21" i="105"/>
  <c r="EY20" i="105"/>
  <c r="DB21" i="105"/>
  <c r="DB9" i="105"/>
  <c r="DB20" i="105"/>
  <c r="DB8" i="105"/>
  <c r="DB10" i="105"/>
  <c r="DB19" i="105"/>
  <c r="DB7" i="105"/>
  <c r="DB18" i="105"/>
  <c r="DB6" i="105"/>
  <c r="DB15" i="105"/>
  <c r="DB23" i="105"/>
  <c r="DB11" i="105"/>
  <c r="DB17" i="105"/>
  <c r="EZ1" i="105"/>
  <c r="DB13" i="105"/>
  <c r="DB12" i="105"/>
  <c r="DB22" i="105"/>
  <c r="DB16" i="105"/>
  <c r="DB14" i="105"/>
  <c r="DB24" i="105"/>
  <c r="EA2" i="105"/>
  <c r="DZ1" i="105"/>
  <c r="DC1" i="105"/>
  <c r="DD2" i="105"/>
  <c r="EG10" i="97"/>
  <c r="CF10" i="97" s="1"/>
  <c r="Y10" i="97" s="1"/>
  <c r="EH10" i="98"/>
  <c r="EI10" i="100"/>
  <c r="IV116" i="9"/>
  <c r="ET10" i="124" s="1"/>
  <c r="CH10" i="124" s="1"/>
  <c r="IU117" i="9"/>
  <c r="Q13" i="97"/>
  <c r="R13" i="97" s="1"/>
  <c r="BT29" i="97"/>
  <c r="GJ117" i="9"/>
  <c r="GN117" i="9" s="1"/>
  <c r="BT13" i="98"/>
  <c r="O30" i="96"/>
  <c r="O29" i="96"/>
  <c r="O28" i="96"/>
  <c r="EW118" i="9"/>
  <c r="EX117" i="9"/>
  <c r="BP13" i="100" s="1"/>
  <c r="GH115" i="9"/>
  <c r="Q30" i="95"/>
  <c r="Q29" i="95"/>
  <c r="Q28" i="95"/>
  <c r="EY16" i="92"/>
  <c r="EY10" i="92"/>
  <c r="EY13" i="92"/>
  <c r="EY8" i="92"/>
  <c r="EY20" i="92"/>
  <c r="EY24" i="92"/>
  <c r="EY14" i="92"/>
  <c r="EY15" i="92"/>
  <c r="EY23" i="92"/>
  <c r="EY6" i="92"/>
  <c r="EY9" i="92"/>
  <c r="EY19" i="92"/>
  <c r="EY22" i="92"/>
  <c r="EY17" i="92"/>
  <c r="EY21" i="92"/>
  <c r="EY11" i="92"/>
  <c r="EY18" i="92"/>
  <c r="EY12" i="92"/>
  <c r="EY7" i="92"/>
  <c r="DZ1" i="92"/>
  <c r="EA2" i="92"/>
  <c r="DY18" i="92"/>
  <c r="DY13" i="92"/>
  <c r="DY11" i="92"/>
  <c r="DY9" i="92"/>
  <c r="DY19" i="92"/>
  <c r="DY7" i="92"/>
  <c r="DY6" i="92"/>
  <c r="DY20" i="92"/>
  <c r="DY24" i="92"/>
  <c r="DY12" i="92"/>
  <c r="DY16" i="92"/>
  <c r="DY15" i="92"/>
  <c r="DY23" i="92"/>
  <c r="DY10" i="92"/>
  <c r="DY14" i="92"/>
  <c r="DY21" i="92"/>
  <c r="DY8" i="92"/>
  <c r="DY22" i="92"/>
  <c r="DY17" i="92"/>
  <c r="DC1" i="92"/>
  <c r="DD2" i="92"/>
  <c r="DB11" i="92"/>
  <c r="DB16" i="92"/>
  <c r="EZ1" i="92"/>
  <c r="DB7" i="92"/>
  <c r="DB18" i="92"/>
  <c r="DB24" i="92"/>
  <c r="DB21" i="92"/>
  <c r="DB6" i="92"/>
  <c r="DB23" i="92"/>
  <c r="DB19" i="92"/>
  <c r="DB13" i="92"/>
  <c r="DB22" i="92"/>
  <c r="DB15" i="92"/>
  <c r="DB10" i="92"/>
  <c r="DB17" i="92"/>
  <c r="DB20" i="92"/>
  <c r="DB8" i="92"/>
  <c r="DB9" i="92"/>
  <c r="DB12" i="92"/>
  <c r="DB14" i="92"/>
  <c r="EA2" i="91"/>
  <c r="DZ1" i="91"/>
  <c r="DY14" i="91"/>
  <c r="DY13" i="91"/>
  <c r="DY6" i="91"/>
  <c r="DY23" i="91"/>
  <c r="DY12" i="91"/>
  <c r="DY11" i="91"/>
  <c r="DY7" i="91"/>
  <c r="DY9" i="91"/>
  <c r="DY18" i="91"/>
  <c r="DY21" i="91"/>
  <c r="DY24" i="91"/>
  <c r="DY10" i="91"/>
  <c r="DY17" i="91"/>
  <c r="DY8" i="91"/>
  <c r="DY19" i="91"/>
  <c r="DY22" i="91"/>
  <c r="DY16" i="91"/>
  <c r="DY15" i="91"/>
  <c r="DY20" i="91"/>
  <c r="DB7" i="90"/>
  <c r="DB17" i="90"/>
  <c r="DB16" i="90"/>
  <c r="DB23" i="90"/>
  <c r="DB11" i="90"/>
  <c r="DB24" i="90"/>
  <c r="DB9" i="90"/>
  <c r="DB22" i="90"/>
  <c r="DB8" i="90"/>
  <c r="DB18" i="90"/>
  <c r="DB14" i="90"/>
  <c r="DB6" i="90"/>
  <c r="DB19" i="90"/>
  <c r="EZ1" i="90"/>
  <c r="DB21" i="90"/>
  <c r="DB15" i="90"/>
  <c r="DB10" i="90"/>
  <c r="DB13" i="90"/>
  <c r="DB12" i="90"/>
  <c r="DB20" i="90"/>
  <c r="EY21" i="91"/>
  <c r="EY14" i="91"/>
  <c r="EY18" i="91"/>
  <c r="EY9" i="91"/>
  <c r="EY12" i="91"/>
  <c r="EY23" i="91"/>
  <c r="EY17" i="91"/>
  <c r="EY7" i="91"/>
  <c r="EY24" i="91"/>
  <c r="EY6" i="91"/>
  <c r="EY13" i="91"/>
  <c r="EY20" i="91"/>
  <c r="EY8" i="91"/>
  <c r="EY19" i="91"/>
  <c r="EY22" i="91"/>
  <c r="EY16" i="91"/>
  <c r="EY15" i="91"/>
  <c r="EY11" i="91"/>
  <c r="EY10" i="91"/>
  <c r="DD2" i="90"/>
  <c r="DC1" i="90"/>
  <c r="EY23" i="90"/>
  <c r="EY7" i="90"/>
  <c r="EY16" i="90"/>
  <c r="EY18" i="90"/>
  <c r="EY21" i="90"/>
  <c r="EY6" i="90"/>
  <c r="EY9" i="90"/>
  <c r="EY24" i="90"/>
  <c r="EY15" i="90"/>
  <c r="EY22" i="90"/>
  <c r="EY10" i="90"/>
  <c r="EY19" i="90"/>
  <c r="EY12" i="90"/>
  <c r="EY17" i="90"/>
  <c r="EY8" i="90"/>
  <c r="EY14" i="90"/>
  <c r="EY13" i="90"/>
  <c r="EY20" i="90"/>
  <c r="EY11" i="90"/>
  <c r="DC1" i="91"/>
  <c r="DD2" i="91"/>
  <c r="EA2" i="90"/>
  <c r="DZ1" i="90"/>
  <c r="DB24" i="91"/>
  <c r="DB21" i="91"/>
  <c r="DB23" i="91"/>
  <c r="DB19" i="91"/>
  <c r="DB7" i="91"/>
  <c r="DB12" i="91"/>
  <c r="EZ1" i="91"/>
  <c r="DB6" i="91"/>
  <c r="DB22" i="91"/>
  <c r="DB17" i="91"/>
  <c r="DB8" i="91"/>
  <c r="DB20" i="91"/>
  <c r="DB9" i="91"/>
  <c r="DB16" i="91"/>
  <c r="DB11" i="91"/>
  <c r="DB15" i="91"/>
  <c r="DB13" i="91"/>
  <c r="DB14" i="91"/>
  <c r="DB10" i="91"/>
  <c r="DB18" i="91"/>
  <c r="DY18" i="90"/>
  <c r="DY9" i="90"/>
  <c r="DY19" i="90"/>
  <c r="DY14" i="90"/>
  <c r="DY24" i="90"/>
  <c r="DY17" i="90"/>
  <c r="DY6" i="90"/>
  <c r="DY7" i="90"/>
  <c r="DY22" i="90"/>
  <c r="DY11" i="90"/>
  <c r="DY23" i="90"/>
  <c r="DY16" i="90"/>
  <c r="DY8" i="90"/>
  <c r="DY21" i="90"/>
  <c r="DY15" i="90"/>
  <c r="DY13" i="90"/>
  <c r="DY20" i="90"/>
  <c r="DY12" i="90"/>
  <c r="DY10" i="90"/>
  <c r="DD2" i="89"/>
  <c r="DC1" i="89"/>
  <c r="DB24" i="89"/>
  <c r="DB17" i="89"/>
  <c r="DB6" i="89"/>
  <c r="DB21" i="89"/>
  <c r="DB16" i="89"/>
  <c r="DB7" i="89"/>
  <c r="DB19" i="89"/>
  <c r="DB13" i="89"/>
  <c r="EZ1" i="89"/>
  <c r="DB10" i="89"/>
  <c r="DB23" i="89"/>
  <c r="DB12" i="89"/>
  <c r="DB9" i="89"/>
  <c r="DB22" i="89"/>
  <c r="DB11" i="89"/>
  <c r="DB20" i="89"/>
  <c r="DB18" i="89"/>
  <c r="DB14" i="89"/>
  <c r="DB15" i="89"/>
  <c r="DB8" i="89"/>
  <c r="DY24" i="89"/>
  <c r="DY9" i="89"/>
  <c r="DY21" i="89"/>
  <c r="DY8" i="89"/>
  <c r="DY15" i="89"/>
  <c r="DY7" i="89"/>
  <c r="DY23" i="89"/>
  <c r="DY16" i="89"/>
  <c r="DY6" i="89"/>
  <c r="DY13" i="89"/>
  <c r="DY20" i="89"/>
  <c r="DY17" i="89"/>
  <c r="DY11" i="89"/>
  <c r="DY18" i="89"/>
  <c r="DY10" i="89"/>
  <c r="DY22" i="89"/>
  <c r="DY12" i="89"/>
  <c r="DY19" i="89"/>
  <c r="DY14" i="89"/>
  <c r="EA2" i="89"/>
  <c r="DZ1" i="89"/>
  <c r="EY22" i="89"/>
  <c r="EY15" i="89"/>
  <c r="EY9" i="89"/>
  <c r="EY18" i="89"/>
  <c r="EY14" i="89"/>
  <c r="EY10" i="89"/>
  <c r="EY24" i="89"/>
  <c r="EY16" i="89"/>
  <c r="EY8" i="89"/>
  <c r="EY20" i="89"/>
  <c r="EY12" i="89"/>
  <c r="EY23" i="89"/>
  <c r="EY11" i="89"/>
  <c r="EY19" i="89"/>
  <c r="EY7" i="89"/>
  <c r="EY21" i="89"/>
  <c r="EY6" i="89"/>
  <c r="EY17" i="89"/>
  <c r="EY13" i="89"/>
  <c r="EY16" i="87"/>
  <c r="EY10" i="87"/>
  <c r="EY15" i="87"/>
  <c r="EY12" i="87"/>
  <c r="EY22" i="87"/>
  <c r="EY18" i="87"/>
  <c r="EY6" i="87"/>
  <c r="EY21" i="87"/>
  <c r="EY14" i="87"/>
  <c r="EY11" i="87"/>
  <c r="EY17" i="87"/>
  <c r="EY24" i="87"/>
  <c r="EY8" i="87"/>
  <c r="EY7" i="87"/>
  <c r="EY23" i="87"/>
  <c r="EY13" i="87"/>
  <c r="EY19" i="87"/>
  <c r="EY20" i="87"/>
  <c r="EY9" i="87"/>
  <c r="DD2" i="87"/>
  <c r="DC1" i="87"/>
  <c r="DY15" i="88"/>
  <c r="DY9" i="88"/>
  <c r="DY18" i="88"/>
  <c r="DY6" i="88"/>
  <c r="DY24" i="88"/>
  <c r="DY16" i="88"/>
  <c r="DY10" i="88"/>
  <c r="DY23" i="88"/>
  <c r="DY14" i="88"/>
  <c r="DY12" i="88"/>
  <c r="DY8" i="88"/>
  <c r="DY21" i="88"/>
  <c r="DY13" i="88"/>
  <c r="DY19" i="88"/>
  <c r="DY20" i="88"/>
  <c r="DY11" i="88"/>
  <c r="DY22" i="88"/>
  <c r="DY17" i="88"/>
  <c r="DY7" i="88"/>
  <c r="EY15" i="88"/>
  <c r="EY11" i="88"/>
  <c r="EY16" i="88"/>
  <c r="EY21" i="88"/>
  <c r="EY18" i="88"/>
  <c r="EY14" i="88"/>
  <c r="EY19" i="88"/>
  <c r="EY23" i="88"/>
  <c r="EY17" i="88"/>
  <c r="EY10" i="88"/>
  <c r="EY22" i="88"/>
  <c r="EY13" i="88"/>
  <c r="EY8" i="88"/>
  <c r="EY20" i="88"/>
  <c r="EY7" i="88"/>
  <c r="EY9" i="88"/>
  <c r="EY12" i="88"/>
  <c r="EY24" i="88"/>
  <c r="EY6" i="88"/>
  <c r="DB22" i="88"/>
  <c r="DB11" i="88"/>
  <c r="DB13" i="88"/>
  <c r="DB17" i="88"/>
  <c r="DB14" i="88"/>
  <c r="DB20" i="88"/>
  <c r="DB16" i="88"/>
  <c r="DB10" i="88"/>
  <c r="DB21" i="88"/>
  <c r="DB9" i="88"/>
  <c r="DB19" i="88"/>
  <c r="EZ1" i="88"/>
  <c r="DB18" i="88"/>
  <c r="DB24" i="88"/>
  <c r="DB15" i="88"/>
  <c r="DB6" i="88"/>
  <c r="DB8" i="88"/>
  <c r="DB23" i="88"/>
  <c r="DB12" i="88"/>
  <c r="DB7" i="88"/>
  <c r="DB23" i="87"/>
  <c r="DB12" i="87"/>
  <c r="DB9" i="87"/>
  <c r="DB17" i="87"/>
  <c r="DB18" i="87"/>
  <c r="DB19" i="87"/>
  <c r="DB14" i="87"/>
  <c r="DB20" i="87"/>
  <c r="DB13" i="87"/>
  <c r="DB21" i="87"/>
  <c r="DB8" i="87"/>
  <c r="DB10" i="87"/>
  <c r="DB11" i="87"/>
  <c r="EZ1" i="87"/>
  <c r="DB16" i="87"/>
  <c r="DB22" i="87"/>
  <c r="DB24" i="87"/>
  <c r="DB15" i="87"/>
  <c r="DB7" i="87"/>
  <c r="DB6" i="87"/>
  <c r="EA2" i="88"/>
  <c r="DZ1" i="88"/>
  <c r="DD2" i="88"/>
  <c r="DC1" i="88"/>
  <c r="DY21" i="87"/>
  <c r="DY22" i="87"/>
  <c r="DY8" i="87"/>
  <c r="DY24" i="87"/>
  <c r="DY15" i="87"/>
  <c r="DY7" i="87"/>
  <c r="DY19" i="87"/>
  <c r="DY11" i="87"/>
  <c r="DY20" i="87"/>
  <c r="DY13" i="87"/>
  <c r="DY16" i="87"/>
  <c r="DY6" i="87"/>
  <c r="DY18" i="87"/>
  <c r="DY10" i="87"/>
  <c r="DY14" i="87"/>
  <c r="DY12" i="87"/>
  <c r="DY23" i="87"/>
  <c r="DY17" i="87"/>
  <c r="DY9" i="87"/>
  <c r="DZ1" i="87"/>
  <c r="EA2" i="87"/>
  <c r="DY24" i="86"/>
  <c r="DY15" i="86"/>
  <c r="DY7" i="86"/>
  <c r="DY8" i="86"/>
  <c r="DY22" i="86"/>
  <c r="DY11" i="86"/>
  <c r="DY12" i="86"/>
  <c r="DY21" i="86"/>
  <c r="DY17" i="86"/>
  <c r="DY6" i="86"/>
  <c r="DY23" i="86"/>
  <c r="DY16" i="86"/>
  <c r="DY19" i="86"/>
  <c r="DY13" i="86"/>
  <c r="DY18" i="86"/>
  <c r="DY10" i="86"/>
  <c r="DY14" i="86"/>
  <c r="DY20" i="86"/>
  <c r="DY9" i="86"/>
  <c r="DD2" i="86"/>
  <c r="DC1" i="86"/>
  <c r="EA2" i="86"/>
  <c r="DZ1" i="86"/>
  <c r="DB21" i="86"/>
  <c r="DB19" i="86"/>
  <c r="EZ1" i="86"/>
  <c r="DB24" i="86"/>
  <c r="DB12" i="86"/>
  <c r="DB11" i="86"/>
  <c r="DB14" i="86"/>
  <c r="DB22" i="86"/>
  <c r="DB8" i="86"/>
  <c r="DB17" i="86"/>
  <c r="DB7" i="86"/>
  <c r="DB20" i="86"/>
  <c r="DB16" i="86"/>
  <c r="DB18" i="86"/>
  <c r="DB15" i="86"/>
  <c r="DB10" i="86"/>
  <c r="DB23" i="86"/>
  <c r="DB13" i="86"/>
  <c r="DB9" i="86"/>
  <c r="DB6" i="86"/>
  <c r="EY18" i="86"/>
  <c r="EY8" i="86"/>
  <c r="EY20" i="86"/>
  <c r="EY7" i="86"/>
  <c r="EY17" i="86"/>
  <c r="EY6" i="86"/>
  <c r="EY21" i="86"/>
  <c r="EY24" i="86"/>
  <c r="EY16" i="86"/>
  <c r="EY15" i="86"/>
  <c r="EY23" i="86"/>
  <c r="EY11" i="86"/>
  <c r="EY9" i="86"/>
  <c r="EY14" i="86"/>
  <c r="EY22" i="86"/>
  <c r="EY10" i="86"/>
  <c r="EY13" i="86"/>
  <c r="EY19" i="86"/>
  <c r="EY12" i="86"/>
  <c r="DO12" i="142" l="1"/>
  <c r="DO8" i="142"/>
  <c r="DO6" i="142"/>
  <c r="DO21" i="142"/>
  <c r="DO20" i="142"/>
  <c r="DO16" i="142"/>
  <c r="DO11" i="142"/>
  <c r="DO7" i="142"/>
  <c r="DO22" i="142"/>
  <c r="DO17" i="142"/>
  <c r="DO14" i="142"/>
  <c r="DO9" i="142"/>
  <c r="DO24" i="142"/>
  <c r="DO19" i="142"/>
  <c r="DO10" i="142"/>
  <c r="DO15" i="142"/>
  <c r="DO13" i="142"/>
  <c r="DO23" i="142"/>
  <c r="DO18" i="142"/>
  <c r="DP1" i="142"/>
  <c r="DQ2" i="142"/>
  <c r="CR20" i="142"/>
  <c r="CR7" i="142"/>
  <c r="CR16" i="142"/>
  <c r="CR10" i="142"/>
  <c r="CR12" i="142"/>
  <c r="CR8" i="142"/>
  <c r="CR23" i="142"/>
  <c r="CR22" i="142"/>
  <c r="CR9" i="142"/>
  <c r="CR6" i="142"/>
  <c r="CR18" i="142"/>
  <c r="EP1" i="142"/>
  <c r="CR17" i="142"/>
  <c r="CR24" i="142"/>
  <c r="CR21" i="142"/>
  <c r="CR19" i="142"/>
  <c r="CR14" i="142"/>
  <c r="CR15" i="142"/>
  <c r="CR13" i="142"/>
  <c r="CR11" i="142"/>
  <c r="CS1" i="142"/>
  <c r="CT2" i="142"/>
  <c r="EO22" i="142"/>
  <c r="EO20" i="142"/>
  <c r="EO16" i="142"/>
  <c r="EO12" i="142"/>
  <c r="EO9" i="142"/>
  <c r="EO23" i="142"/>
  <c r="EO17" i="142"/>
  <c r="EO15" i="142"/>
  <c r="EO13" i="142"/>
  <c r="EO6" i="142"/>
  <c r="EO24" i="142"/>
  <c r="EO19" i="142"/>
  <c r="EO14" i="142"/>
  <c r="EO11" i="142"/>
  <c r="EO8" i="142"/>
  <c r="EO21" i="142"/>
  <c r="EO18" i="142"/>
  <c r="EO7" i="142"/>
  <c r="EO18" i="139"/>
  <c r="EO12" i="139"/>
  <c r="EO23" i="139"/>
  <c r="EO22" i="139"/>
  <c r="EO21" i="139"/>
  <c r="EO17" i="139"/>
  <c r="EO6" i="139"/>
  <c r="EO15" i="139"/>
  <c r="EO19" i="139"/>
  <c r="EO8" i="139"/>
  <c r="EO20" i="139"/>
  <c r="EO11" i="139"/>
  <c r="EO16" i="139"/>
  <c r="EO7" i="139"/>
  <c r="EO9" i="139"/>
  <c r="EO14" i="139"/>
  <c r="EO13" i="139"/>
  <c r="EO24" i="139"/>
  <c r="DO20" i="139"/>
  <c r="DO11" i="139"/>
  <c r="DO13" i="139"/>
  <c r="DO8" i="139"/>
  <c r="DO7" i="139"/>
  <c r="DO6" i="139"/>
  <c r="DO9" i="139"/>
  <c r="DO12" i="139"/>
  <c r="DO17" i="139"/>
  <c r="DO10" i="139"/>
  <c r="DO14" i="139"/>
  <c r="DO15" i="139"/>
  <c r="DO22" i="139"/>
  <c r="DO24" i="139"/>
  <c r="DO19" i="139"/>
  <c r="DO16" i="139"/>
  <c r="DO18" i="139"/>
  <c r="DO21" i="139"/>
  <c r="DO23" i="139"/>
  <c r="DQ2" i="139"/>
  <c r="DP1" i="139"/>
  <c r="CR21" i="139"/>
  <c r="CR23" i="139"/>
  <c r="CR9" i="139"/>
  <c r="CR15" i="139"/>
  <c r="CR10" i="139"/>
  <c r="CR8" i="139"/>
  <c r="CR6" i="139"/>
  <c r="EP1" i="139"/>
  <c r="CR18" i="139"/>
  <c r="CR13" i="139"/>
  <c r="CR17" i="139"/>
  <c r="CR19" i="139"/>
  <c r="CR22" i="139"/>
  <c r="CR20" i="139"/>
  <c r="CR12" i="139"/>
  <c r="CR11" i="139"/>
  <c r="CR14" i="139"/>
  <c r="CR7" i="139"/>
  <c r="CR16" i="139"/>
  <c r="CR24" i="139"/>
  <c r="CT2" i="139"/>
  <c r="CS1" i="139"/>
  <c r="EO23" i="136"/>
  <c r="EO13" i="136"/>
  <c r="EO8" i="136"/>
  <c r="EO21" i="136"/>
  <c r="EO7" i="136"/>
  <c r="EO17" i="136"/>
  <c r="EO11" i="136"/>
  <c r="EO22" i="136"/>
  <c r="EO18" i="136"/>
  <c r="EO9" i="136"/>
  <c r="EO15" i="136"/>
  <c r="EO19" i="136"/>
  <c r="EO12" i="136"/>
  <c r="EO20" i="136"/>
  <c r="EO14" i="136"/>
  <c r="EO16" i="136"/>
  <c r="EO6" i="136"/>
  <c r="EO24" i="136"/>
  <c r="DQ2" i="136"/>
  <c r="DP1" i="136"/>
  <c r="DO18" i="136"/>
  <c r="DO16" i="136"/>
  <c r="DO20" i="136"/>
  <c r="DO7" i="136"/>
  <c r="DO10" i="136"/>
  <c r="DO24" i="136"/>
  <c r="DO12" i="136"/>
  <c r="DO14" i="136"/>
  <c r="DO23" i="136"/>
  <c r="DO13" i="136"/>
  <c r="DO8" i="136"/>
  <c r="DO22" i="136"/>
  <c r="DO11" i="136"/>
  <c r="DO6" i="136"/>
  <c r="DO21" i="136"/>
  <c r="DO17" i="136"/>
  <c r="DO15" i="136"/>
  <c r="DO19" i="136"/>
  <c r="DO9" i="136"/>
  <c r="CR23" i="136"/>
  <c r="CR10" i="136"/>
  <c r="CR15" i="136"/>
  <c r="CR22" i="136"/>
  <c r="CR9" i="136"/>
  <c r="EP1" i="136"/>
  <c r="CR17" i="136"/>
  <c r="CR8" i="136"/>
  <c r="CR6" i="136"/>
  <c r="CR21" i="136"/>
  <c r="CR16" i="136"/>
  <c r="CR18" i="136"/>
  <c r="CR13" i="136"/>
  <c r="CR19" i="136"/>
  <c r="CR12" i="136"/>
  <c r="CR11" i="136"/>
  <c r="CR20" i="136"/>
  <c r="CR24" i="136"/>
  <c r="CR14" i="136"/>
  <c r="CR7" i="136"/>
  <c r="DO22" i="137"/>
  <c r="DO9" i="137"/>
  <c r="DO21" i="137"/>
  <c r="DO18" i="137"/>
  <c r="DO19" i="137"/>
  <c r="DO20" i="137"/>
  <c r="DO11" i="137"/>
  <c r="DO17" i="137"/>
  <c r="DO10" i="137"/>
  <c r="DO15" i="137"/>
  <c r="DO7" i="137"/>
  <c r="DO14" i="137"/>
  <c r="DO6" i="137"/>
  <c r="DO24" i="137"/>
  <c r="DO13" i="137"/>
  <c r="DO12" i="137"/>
  <c r="DO23" i="137"/>
  <c r="DO16" i="137"/>
  <c r="DO8" i="137"/>
  <c r="CT2" i="136"/>
  <c r="CS1" i="136"/>
  <c r="CR24" i="137"/>
  <c r="CR15" i="137"/>
  <c r="CR9" i="137"/>
  <c r="CR23" i="137"/>
  <c r="CR14" i="137"/>
  <c r="CR8" i="137"/>
  <c r="CR22" i="137"/>
  <c r="CR18" i="137"/>
  <c r="CR10" i="137"/>
  <c r="CR21" i="137"/>
  <c r="CR13" i="137"/>
  <c r="EP1" i="137"/>
  <c r="CR17" i="137"/>
  <c r="CR11" i="137"/>
  <c r="CR16" i="137"/>
  <c r="CR7" i="137"/>
  <c r="CR19" i="137"/>
  <c r="CR6" i="137"/>
  <c r="CR20" i="137"/>
  <c r="CR12" i="137"/>
  <c r="DQ2" i="137"/>
  <c r="DP1" i="137"/>
  <c r="CT2" i="137"/>
  <c r="CS1" i="137"/>
  <c r="EO16" i="137"/>
  <c r="EO13" i="137"/>
  <c r="EO24" i="137"/>
  <c r="EO15" i="137"/>
  <c r="EO11" i="137"/>
  <c r="EO23" i="137"/>
  <c r="EO21" i="137"/>
  <c r="EO22" i="137"/>
  <c r="EO14" i="137"/>
  <c r="EO8" i="137"/>
  <c r="EO7" i="137"/>
  <c r="EO18" i="137"/>
  <c r="EO12" i="137"/>
  <c r="EO19" i="137"/>
  <c r="EO17" i="137"/>
  <c r="EO6" i="137"/>
  <c r="EO20" i="137"/>
  <c r="EO9" i="137"/>
  <c r="O26" i="97"/>
  <c r="DQ2" i="132"/>
  <c r="DP1" i="132"/>
  <c r="EO14" i="133"/>
  <c r="EO7" i="133"/>
  <c r="EO20" i="133"/>
  <c r="EO19" i="133"/>
  <c r="EO8" i="133"/>
  <c r="EO22" i="133"/>
  <c r="EO13" i="133"/>
  <c r="EO23" i="133"/>
  <c r="EO17" i="133"/>
  <c r="EO18" i="133"/>
  <c r="EO11" i="133"/>
  <c r="EO6" i="133"/>
  <c r="EO16" i="133"/>
  <c r="EO15" i="133"/>
  <c r="EO21" i="133"/>
  <c r="EO12" i="133"/>
  <c r="EO9" i="133"/>
  <c r="EO24" i="133"/>
  <c r="DP16" i="133"/>
  <c r="DP19" i="133"/>
  <c r="DP18" i="133"/>
  <c r="DP15" i="133"/>
  <c r="DP20" i="133"/>
  <c r="DP17" i="133"/>
  <c r="DP12" i="133"/>
  <c r="DP24" i="133"/>
  <c r="DP13" i="133"/>
  <c r="DP7" i="133"/>
  <c r="DP8" i="133"/>
  <c r="DP23" i="133"/>
  <c r="DP9" i="133"/>
  <c r="DP21" i="133"/>
  <c r="DP22" i="133"/>
  <c r="DP11" i="133"/>
  <c r="DP6" i="133"/>
  <c r="DP10" i="133"/>
  <c r="DP14" i="133"/>
  <c r="CT2" i="132"/>
  <c r="CS1" i="132"/>
  <c r="DO24" i="132"/>
  <c r="DO10" i="132"/>
  <c r="DO15" i="132"/>
  <c r="DO9" i="132"/>
  <c r="DO20" i="132"/>
  <c r="DO22" i="132"/>
  <c r="DO18" i="132"/>
  <c r="DO17" i="132"/>
  <c r="DO8" i="132"/>
  <c r="DO21" i="132"/>
  <c r="DO19" i="132"/>
  <c r="DO6" i="132"/>
  <c r="DO7" i="132"/>
  <c r="DO16" i="132"/>
  <c r="DO14" i="132"/>
  <c r="DO12" i="132"/>
  <c r="DO23" i="132"/>
  <c r="DO11" i="132"/>
  <c r="DO13" i="132"/>
  <c r="CR24" i="133"/>
  <c r="CR11" i="133"/>
  <c r="CR7" i="133"/>
  <c r="CR12" i="133"/>
  <c r="CR15" i="133"/>
  <c r="CR8" i="133"/>
  <c r="CR21" i="133"/>
  <c r="CR20" i="133"/>
  <c r="CR6" i="133"/>
  <c r="CR18" i="133"/>
  <c r="CR19" i="133"/>
  <c r="CR16" i="133"/>
  <c r="CR17" i="133"/>
  <c r="CR10" i="133"/>
  <c r="CR13" i="133"/>
  <c r="CR22" i="133"/>
  <c r="CR14" i="133"/>
  <c r="EP1" i="133"/>
  <c r="CR23" i="133"/>
  <c r="CR9" i="133"/>
  <c r="DR2" i="133"/>
  <c r="DQ1" i="133"/>
  <c r="CT2" i="133"/>
  <c r="CS1" i="133"/>
  <c r="EO17" i="132"/>
  <c r="EO20" i="132"/>
  <c r="EO7" i="132"/>
  <c r="EO18" i="132"/>
  <c r="EO19" i="132"/>
  <c r="EO23" i="132"/>
  <c r="EO9" i="132"/>
  <c r="EO13" i="132"/>
  <c r="EO6" i="132"/>
  <c r="EO11" i="132"/>
  <c r="EO16" i="132"/>
  <c r="EO8" i="132"/>
  <c r="EO12" i="132"/>
  <c r="EO24" i="132"/>
  <c r="EO22" i="132"/>
  <c r="EO14" i="132"/>
  <c r="EO15" i="132"/>
  <c r="EO21" i="132"/>
  <c r="CR18" i="132"/>
  <c r="CR19" i="132"/>
  <c r="EP1" i="132"/>
  <c r="CR14" i="132"/>
  <c r="CR10" i="132"/>
  <c r="CR13" i="132"/>
  <c r="CR17" i="132"/>
  <c r="CR7" i="132"/>
  <c r="CR8" i="132"/>
  <c r="CR9" i="132"/>
  <c r="CR21" i="132"/>
  <c r="CR16" i="132"/>
  <c r="CR12" i="132"/>
  <c r="CR15" i="132"/>
  <c r="CR20" i="132"/>
  <c r="CR23" i="132"/>
  <c r="CR6" i="132"/>
  <c r="CR11" i="132"/>
  <c r="CR24" i="132"/>
  <c r="CR22" i="132"/>
  <c r="BP27" i="98"/>
  <c r="DZ18" i="124"/>
  <c r="DZ11" i="124"/>
  <c r="DZ22" i="124"/>
  <c r="DZ6" i="124"/>
  <c r="DZ14" i="124"/>
  <c r="DZ23" i="124"/>
  <c r="DZ17" i="124"/>
  <c r="DZ21" i="124"/>
  <c r="DZ16" i="124"/>
  <c r="DZ19" i="124"/>
  <c r="DZ9" i="124"/>
  <c r="DZ24" i="124"/>
  <c r="DZ8" i="124"/>
  <c r="DZ15" i="124"/>
  <c r="DZ7" i="124"/>
  <c r="DZ12" i="124"/>
  <c r="DZ13" i="124"/>
  <c r="DZ20" i="124"/>
  <c r="DZ10" i="124"/>
  <c r="EB2" i="124"/>
  <c r="EA1" i="124"/>
  <c r="EZ23" i="124"/>
  <c r="EZ15" i="124"/>
  <c r="EZ18" i="124"/>
  <c r="EZ11" i="124"/>
  <c r="EZ21" i="124"/>
  <c r="EZ13" i="124"/>
  <c r="EZ14" i="124"/>
  <c r="EZ6" i="124"/>
  <c r="EZ22" i="124"/>
  <c r="EZ17" i="124"/>
  <c r="EZ10" i="124"/>
  <c r="EZ24" i="124"/>
  <c r="EZ12" i="124"/>
  <c r="EZ8" i="124"/>
  <c r="EZ20" i="124"/>
  <c r="EZ9" i="124"/>
  <c r="EZ7" i="124"/>
  <c r="EZ19" i="124"/>
  <c r="EZ16" i="124"/>
  <c r="DC18" i="124"/>
  <c r="DC8" i="124"/>
  <c r="DC15" i="124"/>
  <c r="FA1" i="124"/>
  <c r="DC24" i="124"/>
  <c r="DC16" i="124"/>
  <c r="DC22" i="124"/>
  <c r="DC11" i="124"/>
  <c r="DC23" i="124"/>
  <c r="DC14" i="124"/>
  <c r="DC21" i="124"/>
  <c r="DC9" i="124"/>
  <c r="DC19" i="124"/>
  <c r="DC7" i="124"/>
  <c r="DC17" i="124"/>
  <c r="DC6" i="124"/>
  <c r="DC10" i="124"/>
  <c r="DC13" i="124"/>
  <c r="DC20" i="124"/>
  <c r="DC12" i="124"/>
  <c r="DE2" i="124"/>
  <c r="DD1" i="124"/>
  <c r="BR27" i="124"/>
  <c r="DC19" i="121"/>
  <c r="DC16" i="121"/>
  <c r="DC7" i="121"/>
  <c r="DC12" i="121"/>
  <c r="DC23" i="121"/>
  <c r="DC18" i="121"/>
  <c r="DC24" i="121"/>
  <c r="DC8" i="121"/>
  <c r="DC13" i="121"/>
  <c r="DC21" i="121"/>
  <c r="DC15" i="121"/>
  <c r="DC6" i="121"/>
  <c r="DC17" i="121"/>
  <c r="DC11" i="121"/>
  <c r="DC20" i="121"/>
  <c r="DC10" i="121"/>
  <c r="DC9" i="121"/>
  <c r="DC14" i="121"/>
  <c r="DC22" i="121"/>
  <c r="FA1" i="121"/>
  <c r="EB2" i="121"/>
  <c r="EA1" i="121"/>
  <c r="EZ19" i="121"/>
  <c r="EZ12" i="121"/>
  <c r="EZ15" i="121"/>
  <c r="EZ8" i="121"/>
  <c r="EZ24" i="121"/>
  <c r="EZ18" i="121"/>
  <c r="EZ21" i="121"/>
  <c r="EZ11" i="121"/>
  <c r="EZ17" i="121"/>
  <c r="EZ10" i="121"/>
  <c r="EZ16" i="121"/>
  <c r="EZ9" i="121"/>
  <c r="EZ14" i="121"/>
  <c r="EZ7" i="121"/>
  <c r="EZ22" i="121"/>
  <c r="EZ6" i="121"/>
  <c r="EZ13" i="121"/>
  <c r="EZ20" i="121"/>
  <c r="EZ23" i="121"/>
  <c r="ER10" i="120"/>
  <c r="ES10" i="121"/>
  <c r="DZ15" i="121"/>
  <c r="DZ8" i="121"/>
  <c r="DZ11" i="121"/>
  <c r="DZ24" i="121"/>
  <c r="DZ7" i="121"/>
  <c r="DZ17" i="121"/>
  <c r="DZ22" i="121"/>
  <c r="DZ6" i="121"/>
  <c r="DZ21" i="121"/>
  <c r="DZ10" i="121"/>
  <c r="DZ16" i="121"/>
  <c r="DZ19" i="121"/>
  <c r="DZ18" i="121"/>
  <c r="DZ23" i="121"/>
  <c r="DZ12" i="121"/>
  <c r="DZ14" i="121"/>
  <c r="DZ13" i="121"/>
  <c r="DZ20" i="121"/>
  <c r="DZ9" i="121"/>
  <c r="BT10" i="97"/>
  <c r="Q10" i="97" s="1"/>
  <c r="R10" i="97" s="1"/>
  <c r="BV10" i="121"/>
  <c r="DE2" i="121"/>
  <c r="DD1" i="121"/>
  <c r="Q10" i="96"/>
  <c r="R10" i="96" s="1"/>
  <c r="Q30" i="96" s="1"/>
  <c r="BT28" i="96"/>
  <c r="Q10" i="120"/>
  <c r="R10" i="120" s="1"/>
  <c r="BV27" i="120"/>
  <c r="DE2" i="120"/>
  <c r="DD1" i="120"/>
  <c r="DC21" i="120"/>
  <c r="DC10" i="120"/>
  <c r="DC18" i="120"/>
  <c r="DC8" i="120"/>
  <c r="DC17" i="120"/>
  <c r="DC7" i="120"/>
  <c r="DC23" i="120"/>
  <c r="DC15" i="120"/>
  <c r="DC6" i="120"/>
  <c r="DC24" i="120"/>
  <c r="DC11" i="120"/>
  <c r="DC14" i="120"/>
  <c r="DC20" i="120"/>
  <c r="DC16" i="120"/>
  <c r="FA1" i="120"/>
  <c r="DC19" i="120"/>
  <c r="DC13" i="120"/>
  <c r="DC12" i="120"/>
  <c r="DC22" i="120"/>
  <c r="DC9" i="120"/>
  <c r="DZ14" i="120"/>
  <c r="DZ9" i="120"/>
  <c r="DZ24" i="120"/>
  <c r="DZ10" i="120"/>
  <c r="DZ22" i="120"/>
  <c r="DZ16" i="120"/>
  <c r="DZ8" i="120"/>
  <c r="DZ21" i="120"/>
  <c r="DZ13" i="120"/>
  <c r="DZ6" i="120"/>
  <c r="DZ20" i="120"/>
  <c r="DZ11" i="120"/>
  <c r="DZ7" i="120"/>
  <c r="DZ17" i="120"/>
  <c r="DZ19" i="120"/>
  <c r="DZ23" i="120"/>
  <c r="DZ12" i="120"/>
  <c r="DZ15" i="120"/>
  <c r="DZ18" i="120"/>
  <c r="EB2" i="120"/>
  <c r="EA1" i="120"/>
  <c r="EZ20" i="120"/>
  <c r="EZ12" i="120"/>
  <c r="EZ6" i="120"/>
  <c r="EZ19" i="120"/>
  <c r="EZ15" i="120"/>
  <c r="EZ9" i="120"/>
  <c r="EZ21" i="120"/>
  <c r="EZ14" i="120"/>
  <c r="EZ23" i="120"/>
  <c r="EZ13" i="120"/>
  <c r="EZ22" i="120"/>
  <c r="EZ11" i="120"/>
  <c r="EZ18" i="120"/>
  <c r="EZ10" i="120"/>
  <c r="EZ17" i="120"/>
  <c r="EZ8" i="120"/>
  <c r="EZ24" i="120"/>
  <c r="EZ16" i="120"/>
  <c r="EZ7" i="120"/>
  <c r="DZ17" i="119"/>
  <c r="DZ9" i="119"/>
  <c r="DZ20" i="119"/>
  <c r="DZ7" i="119"/>
  <c r="DZ24" i="119"/>
  <c r="DZ6" i="119"/>
  <c r="DZ16" i="119"/>
  <c r="DZ10" i="119"/>
  <c r="DZ19" i="119"/>
  <c r="DZ13" i="119"/>
  <c r="DZ23" i="119"/>
  <c r="DZ12" i="119"/>
  <c r="DZ11" i="119"/>
  <c r="DZ15" i="119"/>
  <c r="DZ8" i="119"/>
  <c r="DZ14" i="119"/>
  <c r="DZ22" i="119"/>
  <c r="DZ18" i="119"/>
  <c r="DZ21" i="119"/>
  <c r="EZ22" i="119"/>
  <c r="EZ9" i="119"/>
  <c r="EZ24" i="119"/>
  <c r="EZ11" i="119"/>
  <c r="EZ23" i="119"/>
  <c r="EZ8" i="119"/>
  <c r="EZ15" i="119"/>
  <c r="EZ16" i="119"/>
  <c r="EZ7" i="119"/>
  <c r="EZ17" i="119"/>
  <c r="EZ18" i="119"/>
  <c r="EZ19" i="119"/>
  <c r="EZ6" i="119"/>
  <c r="EZ14" i="119"/>
  <c r="EZ21" i="119"/>
  <c r="EZ13" i="119"/>
  <c r="EZ20" i="119"/>
  <c r="EZ10" i="119"/>
  <c r="EB2" i="119"/>
  <c r="EA1" i="119"/>
  <c r="DC22" i="119"/>
  <c r="DC14" i="119"/>
  <c r="DC9" i="119"/>
  <c r="DC24" i="119"/>
  <c r="DC19" i="119"/>
  <c r="DC10" i="119"/>
  <c r="DC15" i="119"/>
  <c r="DC21" i="119"/>
  <c r="DC13" i="119"/>
  <c r="FA1" i="119"/>
  <c r="DC12" i="119"/>
  <c r="DC11" i="119"/>
  <c r="DC8" i="119"/>
  <c r="DC20" i="119"/>
  <c r="DC23" i="119"/>
  <c r="DC17" i="119"/>
  <c r="DC7" i="119"/>
  <c r="DC6" i="119"/>
  <c r="DC16" i="119"/>
  <c r="DC18" i="119"/>
  <c r="DE2" i="119"/>
  <c r="DD1" i="119"/>
  <c r="EQ10" i="116"/>
  <c r="EQ10" i="119"/>
  <c r="DF2" i="116"/>
  <c r="DE1" i="116"/>
  <c r="EA24" i="116"/>
  <c r="EA12" i="116"/>
  <c r="EA8" i="116"/>
  <c r="EA17" i="116"/>
  <c r="EA22" i="116"/>
  <c r="EA16" i="116"/>
  <c r="EA7" i="116"/>
  <c r="EA21" i="116"/>
  <c r="EA11" i="116"/>
  <c r="EA14" i="116"/>
  <c r="EA10" i="116"/>
  <c r="EA15" i="116"/>
  <c r="EA20" i="116"/>
  <c r="EA23" i="116"/>
  <c r="EA9" i="116"/>
  <c r="EA18" i="116"/>
  <c r="EA13" i="116"/>
  <c r="EA6" i="116"/>
  <c r="EA19" i="116"/>
  <c r="EC2" i="116"/>
  <c r="EB1" i="116"/>
  <c r="DD19" i="116"/>
  <c r="DD14" i="116"/>
  <c r="DD13" i="116"/>
  <c r="DD16" i="116"/>
  <c r="DD20" i="116"/>
  <c r="DD11" i="116"/>
  <c r="DD18" i="116"/>
  <c r="DD10" i="116"/>
  <c r="DD22" i="116"/>
  <c r="DD21" i="116"/>
  <c r="DD8" i="116"/>
  <c r="FB1" i="116"/>
  <c r="DD12" i="116"/>
  <c r="DD7" i="116"/>
  <c r="DD24" i="116"/>
  <c r="DD17" i="116"/>
  <c r="DD9" i="116"/>
  <c r="DD23" i="116"/>
  <c r="DD15" i="116"/>
  <c r="DD6" i="116"/>
  <c r="FA20" i="116"/>
  <c r="FA12" i="116"/>
  <c r="FA17" i="116"/>
  <c r="FA10" i="116"/>
  <c r="FA15" i="116"/>
  <c r="FA9" i="116"/>
  <c r="FA24" i="116"/>
  <c r="FA13" i="116"/>
  <c r="FA8" i="116"/>
  <c r="FA19" i="116"/>
  <c r="FA16" i="116"/>
  <c r="FA7" i="116"/>
  <c r="FA22" i="116"/>
  <c r="FA18" i="116"/>
  <c r="FA6" i="116"/>
  <c r="FA23" i="116"/>
  <c r="FA21" i="116"/>
  <c r="FA14" i="116"/>
  <c r="FA11" i="116"/>
  <c r="FA24" i="113"/>
  <c r="FA20" i="113"/>
  <c r="FA9" i="113"/>
  <c r="FA19" i="113"/>
  <c r="FA12" i="113"/>
  <c r="FA8" i="113"/>
  <c r="FA22" i="113"/>
  <c r="FA17" i="113"/>
  <c r="FA11" i="113"/>
  <c r="FA23" i="113"/>
  <c r="FA10" i="113"/>
  <c r="FA21" i="113"/>
  <c r="FA16" i="113"/>
  <c r="FA18" i="113"/>
  <c r="FA7" i="113"/>
  <c r="FA13" i="113"/>
  <c r="FA14" i="113"/>
  <c r="FA15" i="113"/>
  <c r="FA6" i="113"/>
  <c r="DD20" i="113"/>
  <c r="DD8" i="113"/>
  <c r="DD18" i="113"/>
  <c r="DD13" i="113"/>
  <c r="DD19" i="113"/>
  <c r="DD7" i="113"/>
  <c r="DD24" i="113"/>
  <c r="DD12" i="113"/>
  <c r="FB1" i="113"/>
  <c r="DD22" i="113"/>
  <c r="DD11" i="113"/>
  <c r="DD16" i="113"/>
  <c r="DD21" i="113"/>
  <c r="DD9" i="113"/>
  <c r="DD6" i="113"/>
  <c r="DD23" i="113"/>
  <c r="DD14" i="113"/>
  <c r="DD10" i="113"/>
  <c r="DD17" i="113"/>
  <c r="DD15" i="113"/>
  <c r="EA24" i="113"/>
  <c r="EA9" i="113"/>
  <c r="EA17" i="113"/>
  <c r="EA8" i="113"/>
  <c r="EA14" i="113"/>
  <c r="EA12" i="113"/>
  <c r="EA16" i="113"/>
  <c r="EA23" i="113"/>
  <c r="EA18" i="113"/>
  <c r="EA6" i="113"/>
  <c r="EA22" i="113"/>
  <c r="EA15" i="113"/>
  <c r="EA7" i="113"/>
  <c r="EA21" i="113"/>
  <c r="EA13" i="113"/>
  <c r="EA10" i="113"/>
  <c r="EA20" i="113"/>
  <c r="EA19" i="113"/>
  <c r="EA11" i="113"/>
  <c r="DE1" i="113"/>
  <c r="DF2" i="113"/>
  <c r="EC2" i="113"/>
  <c r="EB1" i="113"/>
  <c r="FA19" i="112"/>
  <c r="FA24" i="112"/>
  <c r="FA10" i="112"/>
  <c r="FA23" i="112"/>
  <c r="FA21" i="112"/>
  <c r="FA18" i="112"/>
  <c r="FA11" i="112"/>
  <c r="FA22" i="112"/>
  <c r="FA14" i="112"/>
  <c r="FA16" i="112"/>
  <c r="FA8" i="112"/>
  <c r="FA17" i="112"/>
  <c r="FA12" i="112"/>
  <c r="FA7" i="112"/>
  <c r="FA15" i="112"/>
  <c r="FA9" i="112"/>
  <c r="FA20" i="112"/>
  <c r="FA13" i="112"/>
  <c r="FA6" i="112"/>
  <c r="EA20" i="112"/>
  <c r="EA6" i="112"/>
  <c r="EA11" i="112"/>
  <c r="EA19" i="112"/>
  <c r="EA12" i="112"/>
  <c r="EA17" i="112"/>
  <c r="EA22" i="112"/>
  <c r="EA9" i="112"/>
  <c r="EA8" i="112"/>
  <c r="EA23" i="112"/>
  <c r="EA18" i="112"/>
  <c r="EA16" i="112"/>
  <c r="EA13" i="112"/>
  <c r="EA15" i="112"/>
  <c r="EA24" i="112"/>
  <c r="EA10" i="112"/>
  <c r="EA21" i="112"/>
  <c r="EA14" i="112"/>
  <c r="EA7" i="112"/>
  <c r="DD13" i="112"/>
  <c r="DD14" i="112"/>
  <c r="DD20" i="112"/>
  <c r="DD6" i="112"/>
  <c r="DD12" i="112"/>
  <c r="FB1" i="112"/>
  <c r="DD19" i="112"/>
  <c r="DD23" i="112"/>
  <c r="DD22" i="112"/>
  <c r="DD11" i="112"/>
  <c r="DD7" i="112"/>
  <c r="DD21" i="112"/>
  <c r="DD18" i="112"/>
  <c r="DD10" i="112"/>
  <c r="DD16" i="112"/>
  <c r="DD15" i="112"/>
  <c r="DD8" i="112"/>
  <c r="DD9" i="112"/>
  <c r="DD17" i="112"/>
  <c r="DD24" i="112"/>
  <c r="EN10" i="109"/>
  <c r="EO10" i="112"/>
  <c r="EP10" i="113"/>
  <c r="EC2" i="112"/>
  <c r="EB1" i="112"/>
  <c r="DE1" i="112"/>
  <c r="DF2" i="112"/>
  <c r="DD21" i="109"/>
  <c r="DD9" i="109"/>
  <c r="DD13" i="109"/>
  <c r="DD22" i="109"/>
  <c r="DD20" i="109"/>
  <c r="DD8" i="109"/>
  <c r="DD12" i="109"/>
  <c r="DD10" i="109"/>
  <c r="DD19" i="109"/>
  <c r="DD7" i="109"/>
  <c r="DD24" i="109"/>
  <c r="DD18" i="109"/>
  <c r="DD6" i="109"/>
  <c r="DD15" i="109"/>
  <c r="DD23" i="109"/>
  <c r="DD17" i="109"/>
  <c r="FB1" i="109"/>
  <c r="DD16" i="109"/>
  <c r="DD14" i="109"/>
  <c r="DD11" i="109"/>
  <c r="EA14" i="109"/>
  <c r="EA18" i="109"/>
  <c r="EA6" i="109"/>
  <c r="EA16" i="109"/>
  <c r="EA15" i="109"/>
  <c r="EA13" i="109"/>
  <c r="EA8" i="109"/>
  <c r="EA24" i="109"/>
  <c r="EA12" i="109"/>
  <c r="EA7" i="109"/>
  <c r="EA17" i="109"/>
  <c r="EA23" i="109"/>
  <c r="EA11" i="109"/>
  <c r="EA22" i="109"/>
  <c r="EA10" i="109"/>
  <c r="EA19" i="109"/>
  <c r="EA21" i="109"/>
  <c r="EA9" i="109"/>
  <c r="EA20" i="109"/>
  <c r="EC2" i="109"/>
  <c r="EB1" i="109"/>
  <c r="DZ19" i="108"/>
  <c r="DZ7" i="108"/>
  <c r="DZ18" i="108"/>
  <c r="DZ6" i="108"/>
  <c r="DZ17" i="108"/>
  <c r="DZ22" i="108"/>
  <c r="DZ10" i="108"/>
  <c r="DZ16" i="108"/>
  <c r="DZ14" i="108"/>
  <c r="DZ12" i="108"/>
  <c r="DZ20" i="108"/>
  <c r="DZ13" i="108"/>
  <c r="DZ11" i="108"/>
  <c r="DZ21" i="108"/>
  <c r="DZ8" i="108"/>
  <c r="DZ15" i="108"/>
  <c r="DZ23" i="108"/>
  <c r="DZ9" i="108"/>
  <c r="DZ24" i="108"/>
  <c r="EB2" i="108"/>
  <c r="EA1" i="108"/>
  <c r="EL10" i="108"/>
  <c r="EZ24" i="108"/>
  <c r="EZ12" i="108"/>
  <c r="EZ23" i="108"/>
  <c r="EZ11" i="108"/>
  <c r="EZ22" i="108"/>
  <c r="EZ9" i="108"/>
  <c r="EZ20" i="108"/>
  <c r="EZ7" i="108"/>
  <c r="EZ16" i="108"/>
  <c r="EZ14" i="108"/>
  <c r="EZ13" i="108"/>
  <c r="EZ8" i="108"/>
  <c r="EZ18" i="108"/>
  <c r="EZ10" i="108"/>
  <c r="EZ17" i="108"/>
  <c r="EZ21" i="108"/>
  <c r="EZ19" i="108"/>
  <c r="EZ6" i="108"/>
  <c r="EZ15" i="108"/>
  <c r="DE2" i="108"/>
  <c r="DD1" i="108"/>
  <c r="DC14" i="108"/>
  <c r="DC24" i="108"/>
  <c r="DC12" i="108"/>
  <c r="DC23" i="108"/>
  <c r="DC21" i="108"/>
  <c r="FA1" i="108"/>
  <c r="DC13" i="108"/>
  <c r="DC11" i="108"/>
  <c r="DC22" i="108"/>
  <c r="DC19" i="108"/>
  <c r="DC18" i="108"/>
  <c r="DC16" i="108"/>
  <c r="DC9" i="108"/>
  <c r="DC20" i="108"/>
  <c r="DC10" i="108"/>
  <c r="DC8" i="108"/>
  <c r="DC7" i="108"/>
  <c r="DC15" i="108"/>
  <c r="DC6" i="108"/>
  <c r="DC17" i="108"/>
  <c r="FA19" i="109"/>
  <c r="FA7" i="109"/>
  <c r="FA11" i="109"/>
  <c r="FA22" i="109"/>
  <c r="FA9" i="109"/>
  <c r="FA18" i="109"/>
  <c r="FA6" i="109"/>
  <c r="FA17" i="109"/>
  <c r="FA24" i="109"/>
  <c r="FA12" i="109"/>
  <c r="FA16" i="109"/>
  <c r="FA13" i="109"/>
  <c r="FA20" i="109"/>
  <c r="FA15" i="109"/>
  <c r="FA23" i="109"/>
  <c r="FA10" i="109"/>
  <c r="FA21" i="109"/>
  <c r="FA8" i="109"/>
  <c r="FA14" i="109"/>
  <c r="DE1" i="109"/>
  <c r="DF2" i="109"/>
  <c r="EJ10" i="105"/>
  <c r="EK10" i="106"/>
  <c r="EA1" i="106"/>
  <c r="EB2" i="106"/>
  <c r="EZ17" i="106"/>
  <c r="EZ9" i="106"/>
  <c r="EZ24" i="106"/>
  <c r="EZ16" i="106"/>
  <c r="EZ8" i="106"/>
  <c r="EZ23" i="106"/>
  <c r="EZ15" i="106"/>
  <c r="EZ7" i="106"/>
  <c r="EZ22" i="106"/>
  <c r="EZ14" i="106"/>
  <c r="EZ6" i="106"/>
  <c r="EZ21" i="106"/>
  <c r="EZ13" i="106"/>
  <c r="EZ18" i="106"/>
  <c r="EZ20" i="106"/>
  <c r="EZ12" i="106"/>
  <c r="EZ19" i="106"/>
  <c r="EZ11" i="106"/>
  <c r="EZ10" i="106"/>
  <c r="DZ20" i="106"/>
  <c r="DZ12" i="106"/>
  <c r="DZ19" i="106"/>
  <c r="DZ11" i="106"/>
  <c r="DZ18" i="106"/>
  <c r="DZ10" i="106"/>
  <c r="DZ13" i="106"/>
  <c r="DZ17" i="106"/>
  <c r="DZ9" i="106"/>
  <c r="DZ24" i="106"/>
  <c r="DZ16" i="106"/>
  <c r="DZ8" i="106"/>
  <c r="DZ23" i="106"/>
  <c r="DZ15" i="106"/>
  <c r="DZ7" i="106"/>
  <c r="DZ22" i="106"/>
  <c r="DZ14" i="106"/>
  <c r="DZ6" i="106"/>
  <c r="DZ21" i="106"/>
  <c r="DD1" i="106"/>
  <c r="DE2" i="106"/>
  <c r="EX118" i="9"/>
  <c r="BQ13" i="105" s="1"/>
  <c r="O13" i="105" s="1"/>
  <c r="EW119" i="9"/>
  <c r="DC19" i="106"/>
  <c r="DC11" i="106"/>
  <c r="DC20" i="106"/>
  <c r="DC18" i="106"/>
  <c r="DC10" i="106"/>
  <c r="DC17" i="106"/>
  <c r="DC9" i="106"/>
  <c r="DC12" i="106"/>
  <c r="DC24" i="106"/>
  <c r="DC16" i="106"/>
  <c r="DC8" i="106"/>
  <c r="DC23" i="106"/>
  <c r="DC15" i="106"/>
  <c r="DC7" i="106"/>
  <c r="DC22" i="106"/>
  <c r="DC14" i="106"/>
  <c r="DC6" i="106"/>
  <c r="DC21" i="106"/>
  <c r="DC13" i="106"/>
  <c r="FA1" i="106"/>
  <c r="DZ15" i="105"/>
  <c r="DZ14" i="105"/>
  <c r="DZ13" i="105"/>
  <c r="DZ24" i="105"/>
  <c r="DZ12" i="105"/>
  <c r="DZ22" i="105"/>
  <c r="DZ21" i="105"/>
  <c r="DZ8" i="105"/>
  <c r="DZ19" i="105"/>
  <c r="DZ6" i="105"/>
  <c r="DZ16" i="105"/>
  <c r="DZ23" i="105"/>
  <c r="DZ11" i="105"/>
  <c r="DZ10" i="105"/>
  <c r="DZ9" i="105"/>
  <c r="DZ20" i="105"/>
  <c r="DZ7" i="105"/>
  <c r="DZ18" i="105"/>
  <c r="DZ17" i="105"/>
  <c r="DE2" i="105"/>
  <c r="DD1" i="105"/>
  <c r="EB2" i="105"/>
  <c r="EA1" i="105"/>
  <c r="EZ20" i="105"/>
  <c r="EZ8" i="105"/>
  <c r="EZ19" i="105"/>
  <c r="EZ7" i="105"/>
  <c r="EZ23" i="105"/>
  <c r="EZ10" i="105"/>
  <c r="EZ9" i="105"/>
  <c r="EZ18" i="105"/>
  <c r="EZ6" i="105"/>
  <c r="EZ17" i="105"/>
  <c r="EZ24" i="105"/>
  <c r="EZ11" i="105"/>
  <c r="EZ22" i="105"/>
  <c r="EZ16" i="105"/>
  <c r="EZ15" i="105"/>
  <c r="EZ14" i="105"/>
  <c r="EZ13" i="105"/>
  <c r="EZ12" i="105"/>
  <c r="EZ21" i="105"/>
  <c r="DC23" i="105"/>
  <c r="DC22" i="105"/>
  <c r="DC10" i="105"/>
  <c r="DC21" i="105"/>
  <c r="DC9" i="105"/>
  <c r="FA1" i="105"/>
  <c r="DC15" i="105"/>
  <c r="DC20" i="105"/>
  <c r="DC8" i="105"/>
  <c r="DC19" i="105"/>
  <c r="DC7" i="105"/>
  <c r="DC16" i="105"/>
  <c r="DC13" i="105"/>
  <c r="DC11" i="105"/>
  <c r="DC12" i="105"/>
  <c r="DC18" i="105"/>
  <c r="DC6" i="105"/>
  <c r="DC17" i="105"/>
  <c r="DC14" i="105"/>
  <c r="DC24" i="105"/>
  <c r="IV117" i="9"/>
  <c r="BT13" i="100"/>
  <c r="Q13" i="100" s="1"/>
  <c r="R13" i="100" s="1"/>
  <c r="GJ118" i="9"/>
  <c r="GN118" i="9" s="1"/>
  <c r="O13" i="100"/>
  <c r="BP27" i="100"/>
  <c r="Q13" i="98"/>
  <c r="R13" i="98" s="1"/>
  <c r="BT29" i="98"/>
  <c r="P13" i="98"/>
  <c r="O26" i="98"/>
  <c r="EG10" i="98"/>
  <c r="CF10" i="98" s="1"/>
  <c r="Y10" i="98" s="1"/>
  <c r="EH10" i="100"/>
  <c r="GH116" i="9"/>
  <c r="O30" i="97"/>
  <c r="O29" i="97"/>
  <c r="O28" i="97"/>
  <c r="EZ24" i="92"/>
  <c r="EZ21" i="92"/>
  <c r="EZ14" i="92"/>
  <c r="EZ23" i="92"/>
  <c r="EZ16" i="92"/>
  <c r="EZ10" i="92"/>
  <c r="EZ15" i="92"/>
  <c r="EZ22" i="92"/>
  <c r="EZ13" i="92"/>
  <c r="EZ8" i="92"/>
  <c r="EZ17" i="92"/>
  <c r="EZ9" i="92"/>
  <c r="EZ12" i="92"/>
  <c r="EZ7" i="92"/>
  <c r="EZ19" i="92"/>
  <c r="EZ11" i="92"/>
  <c r="EZ6" i="92"/>
  <c r="EZ18" i="92"/>
  <c r="EZ20" i="92"/>
  <c r="EB2" i="92"/>
  <c r="EA1" i="92"/>
  <c r="DZ19" i="92"/>
  <c r="DZ6" i="92"/>
  <c r="DZ10" i="92"/>
  <c r="DZ16" i="92"/>
  <c r="DZ20" i="92"/>
  <c r="DZ8" i="92"/>
  <c r="DZ13" i="92"/>
  <c r="DZ14" i="92"/>
  <c r="DZ24" i="92"/>
  <c r="DZ9" i="92"/>
  <c r="DZ23" i="92"/>
  <c r="DZ12" i="92"/>
  <c r="DZ21" i="92"/>
  <c r="DZ7" i="92"/>
  <c r="DZ22" i="92"/>
  <c r="DZ15" i="92"/>
  <c r="DZ11" i="92"/>
  <c r="DZ17" i="92"/>
  <c r="DZ18" i="92"/>
  <c r="DD1" i="92"/>
  <c r="DE2" i="92"/>
  <c r="DC8" i="92"/>
  <c r="DC6" i="92"/>
  <c r="DC20" i="92"/>
  <c r="DC22" i="92"/>
  <c r="DC21" i="92"/>
  <c r="DC17" i="92"/>
  <c r="DC13" i="92"/>
  <c r="DC18" i="92"/>
  <c r="DC24" i="92"/>
  <c r="DC12" i="92"/>
  <c r="DC19" i="92"/>
  <c r="DC14" i="92"/>
  <c r="FA1" i="92"/>
  <c r="DC15" i="92"/>
  <c r="DC16" i="92"/>
  <c r="DC23" i="92"/>
  <c r="DC9" i="92"/>
  <c r="DC7" i="92"/>
  <c r="DC10" i="92"/>
  <c r="DC11" i="92"/>
  <c r="DZ11" i="91"/>
  <c r="DZ21" i="91"/>
  <c r="DZ7" i="91"/>
  <c r="DZ19" i="91"/>
  <c r="DZ14" i="91"/>
  <c r="DZ17" i="91"/>
  <c r="DZ15" i="91"/>
  <c r="DZ24" i="91"/>
  <c r="DZ12" i="91"/>
  <c r="DZ13" i="91"/>
  <c r="DZ10" i="91"/>
  <c r="DZ9" i="91"/>
  <c r="DZ23" i="91"/>
  <c r="DZ18" i="91"/>
  <c r="DZ6" i="91"/>
  <c r="DZ8" i="91"/>
  <c r="DZ22" i="91"/>
  <c r="DZ20" i="91"/>
  <c r="DZ16" i="91"/>
  <c r="DC13" i="91"/>
  <c r="DC10" i="91"/>
  <c r="DC17" i="91"/>
  <c r="DC8" i="91"/>
  <c r="DC14" i="91"/>
  <c r="DC9" i="91"/>
  <c r="DC20" i="91"/>
  <c r="DC19" i="91"/>
  <c r="DC7" i="91"/>
  <c r="DC12" i="91"/>
  <c r="DC24" i="91"/>
  <c r="DC23" i="91"/>
  <c r="DC22" i="91"/>
  <c r="DC11" i="91"/>
  <c r="DC16" i="91"/>
  <c r="DC21" i="91"/>
  <c r="DC6" i="91"/>
  <c r="FA1" i="91"/>
  <c r="DC15" i="91"/>
  <c r="DC18" i="91"/>
  <c r="EZ10" i="90"/>
  <c r="EZ14" i="90"/>
  <c r="EZ23" i="90"/>
  <c r="EZ6" i="90"/>
  <c r="EZ17" i="90"/>
  <c r="EZ21" i="90"/>
  <c r="EZ8" i="90"/>
  <c r="EZ16" i="90"/>
  <c r="EZ12" i="90"/>
  <c r="EZ24" i="90"/>
  <c r="EZ13" i="90"/>
  <c r="EZ11" i="90"/>
  <c r="EZ20" i="90"/>
  <c r="EZ22" i="90"/>
  <c r="EZ9" i="90"/>
  <c r="EZ18" i="90"/>
  <c r="EZ7" i="90"/>
  <c r="EZ15" i="90"/>
  <c r="EZ19" i="90"/>
  <c r="EA1" i="91"/>
  <c r="EB2" i="91"/>
  <c r="DD1" i="90"/>
  <c r="DE2" i="90"/>
  <c r="EZ24" i="91"/>
  <c r="EZ18" i="91"/>
  <c r="EZ10" i="91"/>
  <c r="EZ22" i="91"/>
  <c r="EZ13" i="91"/>
  <c r="EZ14" i="91"/>
  <c r="EZ19" i="91"/>
  <c r="EZ12" i="91"/>
  <c r="EZ23" i="91"/>
  <c r="EZ16" i="91"/>
  <c r="EZ9" i="91"/>
  <c r="EZ6" i="91"/>
  <c r="EZ7" i="91"/>
  <c r="EZ20" i="91"/>
  <c r="EZ21" i="91"/>
  <c r="EZ11" i="91"/>
  <c r="EZ15" i="91"/>
  <c r="EZ17" i="91"/>
  <c r="EZ8" i="91"/>
  <c r="DZ21" i="90"/>
  <c r="DZ8" i="90"/>
  <c r="DZ24" i="90"/>
  <c r="DZ7" i="90"/>
  <c r="DZ6" i="90"/>
  <c r="DZ17" i="90"/>
  <c r="DZ16" i="90"/>
  <c r="DZ22" i="90"/>
  <c r="DZ11" i="90"/>
  <c r="DZ23" i="90"/>
  <c r="DZ19" i="90"/>
  <c r="DZ18" i="90"/>
  <c r="DZ14" i="90"/>
  <c r="DZ15" i="90"/>
  <c r="DZ9" i="90"/>
  <c r="DZ20" i="90"/>
  <c r="DZ12" i="90"/>
  <c r="DZ10" i="90"/>
  <c r="DZ13" i="90"/>
  <c r="EA1" i="90"/>
  <c r="EB2" i="90"/>
  <c r="DE2" i="91"/>
  <c r="DD1" i="91"/>
  <c r="DC14" i="90"/>
  <c r="DC18" i="90"/>
  <c r="DC16" i="90"/>
  <c r="DC19" i="90"/>
  <c r="DC22" i="90"/>
  <c r="DC11" i="90"/>
  <c r="DC7" i="90"/>
  <c r="FA1" i="90"/>
  <c r="DC24" i="90"/>
  <c r="DC8" i="90"/>
  <c r="DC15" i="90"/>
  <c r="DC23" i="90"/>
  <c r="DC9" i="90"/>
  <c r="DC21" i="90"/>
  <c r="DC6" i="90"/>
  <c r="DC17" i="90"/>
  <c r="DC12" i="90"/>
  <c r="DC13" i="90"/>
  <c r="DC20" i="90"/>
  <c r="DC10" i="90"/>
  <c r="DE2" i="89"/>
  <c r="DD1" i="89"/>
  <c r="DZ23" i="89"/>
  <c r="DZ7" i="89"/>
  <c r="DZ20" i="89"/>
  <c r="DZ16" i="89"/>
  <c r="DZ18" i="89"/>
  <c r="DZ15" i="89"/>
  <c r="DZ6" i="89"/>
  <c r="DZ17" i="89"/>
  <c r="DZ22" i="89"/>
  <c r="DZ14" i="89"/>
  <c r="DZ9" i="89"/>
  <c r="DZ8" i="89"/>
  <c r="DZ19" i="89"/>
  <c r="DZ13" i="89"/>
  <c r="DZ10" i="89"/>
  <c r="DZ24" i="89"/>
  <c r="DZ12" i="89"/>
  <c r="DZ21" i="89"/>
  <c r="DZ11" i="89"/>
  <c r="EZ24" i="89"/>
  <c r="EZ17" i="89"/>
  <c r="EZ6" i="89"/>
  <c r="EZ9" i="89"/>
  <c r="EZ20" i="89"/>
  <c r="EZ16" i="89"/>
  <c r="EZ13" i="89"/>
  <c r="EZ23" i="89"/>
  <c r="EZ12" i="89"/>
  <c r="EZ8" i="89"/>
  <c r="EZ19" i="89"/>
  <c r="EZ11" i="89"/>
  <c r="EZ21" i="89"/>
  <c r="EZ22" i="89"/>
  <c r="EZ10" i="89"/>
  <c r="EZ18" i="89"/>
  <c r="EZ14" i="89"/>
  <c r="EZ15" i="89"/>
  <c r="EZ7" i="89"/>
  <c r="EB2" i="89"/>
  <c r="EA1" i="89"/>
  <c r="DC22" i="89"/>
  <c r="DC15" i="89"/>
  <c r="DC6" i="89"/>
  <c r="DC20" i="89"/>
  <c r="DC12" i="89"/>
  <c r="DC9" i="89"/>
  <c r="DC13" i="89"/>
  <c r="DC21" i="89"/>
  <c r="DC11" i="89"/>
  <c r="DC19" i="89"/>
  <c r="DC10" i="89"/>
  <c r="DC14" i="89"/>
  <c r="DC17" i="89"/>
  <c r="FA1" i="89"/>
  <c r="DC24" i="89"/>
  <c r="DC16" i="89"/>
  <c r="DC7" i="89"/>
  <c r="DC23" i="89"/>
  <c r="DC18" i="89"/>
  <c r="DC8" i="89"/>
  <c r="DC24" i="88"/>
  <c r="DC12" i="88"/>
  <c r="FA1" i="88"/>
  <c r="DC23" i="88"/>
  <c r="DC19" i="88"/>
  <c r="DC6" i="88"/>
  <c r="DC22" i="88"/>
  <c r="DC13" i="88"/>
  <c r="DC11" i="88"/>
  <c r="DC21" i="88"/>
  <c r="DC16" i="88"/>
  <c r="DC7" i="88"/>
  <c r="DC17" i="88"/>
  <c r="DC14" i="88"/>
  <c r="DC20" i="88"/>
  <c r="DC10" i="88"/>
  <c r="DC15" i="88"/>
  <c r="DC9" i="88"/>
  <c r="DC18" i="88"/>
  <c r="DC8" i="88"/>
  <c r="EZ20" i="88"/>
  <c r="EZ11" i="88"/>
  <c r="EZ19" i="88"/>
  <c r="EZ14" i="88"/>
  <c r="EZ16" i="88"/>
  <c r="EZ10" i="88"/>
  <c r="EZ18" i="88"/>
  <c r="EZ9" i="88"/>
  <c r="EZ21" i="88"/>
  <c r="EZ13" i="88"/>
  <c r="EZ24" i="88"/>
  <c r="EZ17" i="88"/>
  <c r="EZ8" i="88"/>
  <c r="EZ23" i="88"/>
  <c r="EZ15" i="88"/>
  <c r="EZ7" i="88"/>
  <c r="EZ22" i="88"/>
  <c r="EZ12" i="88"/>
  <c r="EZ6" i="88"/>
  <c r="DE2" i="88"/>
  <c r="DD1" i="88"/>
  <c r="DZ16" i="88"/>
  <c r="DZ10" i="88"/>
  <c r="DZ21" i="88"/>
  <c r="DZ9" i="88"/>
  <c r="DZ23" i="88"/>
  <c r="DZ13" i="88"/>
  <c r="DZ12" i="88"/>
  <c r="DZ22" i="88"/>
  <c r="DZ19" i="88"/>
  <c r="DZ11" i="88"/>
  <c r="DZ20" i="88"/>
  <c r="DZ17" i="88"/>
  <c r="DZ8" i="88"/>
  <c r="DZ24" i="88"/>
  <c r="DZ7" i="88"/>
  <c r="DZ15" i="88"/>
  <c r="DZ6" i="88"/>
  <c r="DZ18" i="88"/>
  <c r="DZ14" i="88"/>
  <c r="EZ16" i="87"/>
  <c r="EZ9" i="87"/>
  <c r="EZ14" i="87"/>
  <c r="EZ7" i="87"/>
  <c r="EZ22" i="87"/>
  <c r="EZ20" i="87"/>
  <c r="EZ17" i="87"/>
  <c r="EZ13" i="87"/>
  <c r="EZ24" i="87"/>
  <c r="EZ15" i="87"/>
  <c r="EZ6" i="87"/>
  <c r="EZ19" i="87"/>
  <c r="EZ23" i="87"/>
  <c r="EZ12" i="87"/>
  <c r="EZ8" i="87"/>
  <c r="EZ10" i="87"/>
  <c r="EZ18" i="87"/>
  <c r="EZ11" i="87"/>
  <c r="EZ21" i="87"/>
  <c r="DC19" i="87"/>
  <c r="DC11" i="87"/>
  <c r="DC9" i="87"/>
  <c r="DC7" i="87"/>
  <c r="DC23" i="87"/>
  <c r="DC16" i="87"/>
  <c r="FA1" i="87"/>
  <c r="DC15" i="87"/>
  <c r="DC18" i="87"/>
  <c r="DC17" i="87"/>
  <c r="DC12" i="87"/>
  <c r="DC22" i="87"/>
  <c r="DC8" i="87"/>
  <c r="DC13" i="87"/>
  <c r="DC21" i="87"/>
  <c r="DC10" i="87"/>
  <c r="DC20" i="87"/>
  <c r="DC14" i="87"/>
  <c r="DC6" i="87"/>
  <c r="DC24" i="87"/>
  <c r="EB2" i="87"/>
  <c r="EA1" i="87"/>
  <c r="EB2" i="88"/>
  <c r="EA1" i="88"/>
  <c r="DE2" i="87"/>
  <c r="DD1" i="87"/>
  <c r="DZ21" i="87"/>
  <c r="DZ16" i="87"/>
  <c r="DZ9" i="87"/>
  <c r="DZ19" i="87"/>
  <c r="DZ14" i="87"/>
  <c r="DZ13" i="87"/>
  <c r="DZ23" i="87"/>
  <c r="DZ8" i="87"/>
  <c r="DZ15" i="87"/>
  <c r="DZ24" i="87"/>
  <c r="DZ12" i="87"/>
  <c r="DZ22" i="87"/>
  <c r="DZ18" i="87"/>
  <c r="DZ10" i="87"/>
  <c r="DZ7" i="87"/>
  <c r="DZ17" i="87"/>
  <c r="DZ6" i="87"/>
  <c r="DZ20" i="87"/>
  <c r="DZ11" i="87"/>
  <c r="DE2" i="86"/>
  <c r="DD1" i="86"/>
  <c r="DC16" i="86"/>
  <c r="DC10" i="86"/>
  <c r="DC21" i="86"/>
  <c r="DC15" i="86"/>
  <c r="DC9" i="86"/>
  <c r="DC23" i="86"/>
  <c r="DC19" i="86"/>
  <c r="DC8" i="86"/>
  <c r="DC20" i="86"/>
  <c r="DC18" i="86"/>
  <c r="DC7" i="86"/>
  <c r="DC22" i="86"/>
  <c r="DC13" i="86"/>
  <c r="DC6" i="86"/>
  <c r="DC17" i="86"/>
  <c r="DC12" i="86"/>
  <c r="FA1" i="86"/>
  <c r="DC14" i="86"/>
  <c r="DC24" i="86"/>
  <c r="DC11" i="86"/>
  <c r="EZ22" i="86"/>
  <c r="EZ7" i="86"/>
  <c r="EZ17" i="86"/>
  <c r="EZ10" i="86"/>
  <c r="EZ21" i="86"/>
  <c r="EZ16" i="86"/>
  <c r="EZ11" i="86"/>
  <c r="EZ13" i="86"/>
  <c r="EZ23" i="86"/>
  <c r="EZ15" i="86"/>
  <c r="EZ12" i="86"/>
  <c r="EZ20" i="86"/>
  <c r="EZ18" i="86"/>
  <c r="EZ9" i="86"/>
  <c r="EZ6" i="86"/>
  <c r="EZ19" i="86"/>
  <c r="EZ8" i="86"/>
  <c r="EZ24" i="86"/>
  <c r="EZ14" i="86"/>
  <c r="DZ24" i="86"/>
  <c r="DZ16" i="86"/>
  <c r="DZ10" i="86"/>
  <c r="DZ23" i="86"/>
  <c r="DZ15" i="86"/>
  <c r="DZ9" i="86"/>
  <c r="DZ22" i="86"/>
  <c r="DZ11" i="86"/>
  <c r="DZ6" i="86"/>
  <c r="DZ19" i="86"/>
  <c r="DZ12" i="86"/>
  <c r="DZ7" i="86"/>
  <c r="DZ21" i="86"/>
  <c r="DZ8" i="86"/>
  <c r="DZ14" i="86"/>
  <c r="DZ18" i="86"/>
  <c r="DZ20" i="86"/>
  <c r="DZ13" i="86"/>
  <c r="DZ17" i="86"/>
  <c r="EA1" i="86"/>
  <c r="EB2" i="86"/>
  <c r="DP7" i="142" l="1"/>
  <c r="DP19" i="142"/>
  <c r="DP16" i="142"/>
  <c r="DP14" i="142"/>
  <c r="DP12" i="142"/>
  <c r="DP9" i="142"/>
  <c r="DP6" i="142"/>
  <c r="DP23" i="142"/>
  <c r="DP18" i="142"/>
  <c r="DP20" i="142"/>
  <c r="DP17" i="142"/>
  <c r="DP15" i="142"/>
  <c r="DP13" i="142"/>
  <c r="DP11" i="142"/>
  <c r="DP8" i="142"/>
  <c r="DP24" i="142"/>
  <c r="DP22" i="142"/>
  <c r="DP21" i="142"/>
  <c r="DP10" i="142"/>
  <c r="DQ1" i="142"/>
  <c r="DR2" i="142"/>
  <c r="EP20" i="142"/>
  <c r="EP16" i="142"/>
  <c r="EP14" i="142"/>
  <c r="EP12" i="142"/>
  <c r="EP8" i="142"/>
  <c r="EP6" i="142"/>
  <c r="EP23" i="142"/>
  <c r="EP19" i="142"/>
  <c r="EP17" i="142"/>
  <c r="EP15" i="142"/>
  <c r="EP13" i="142"/>
  <c r="EP11" i="142"/>
  <c r="EP9" i="142"/>
  <c r="EP7" i="142"/>
  <c r="EP24" i="142"/>
  <c r="EP22" i="142"/>
  <c r="EP21" i="142"/>
  <c r="EP18" i="142"/>
  <c r="CS17" i="142"/>
  <c r="CS9" i="142"/>
  <c r="CS16" i="142"/>
  <c r="CS15" i="142"/>
  <c r="CS13" i="142"/>
  <c r="CS12" i="142"/>
  <c r="CS11" i="142"/>
  <c r="CS10" i="142"/>
  <c r="CS8" i="142"/>
  <c r="CS7" i="142"/>
  <c r="CS6" i="142"/>
  <c r="CS24" i="142"/>
  <c r="CS22" i="142"/>
  <c r="CS21" i="142"/>
  <c r="CS19" i="142"/>
  <c r="EQ1" i="142"/>
  <c r="CS23" i="142"/>
  <c r="CS14" i="142"/>
  <c r="CS20" i="142"/>
  <c r="CS18" i="142"/>
  <c r="CT1" i="142"/>
  <c r="CU2" i="142"/>
  <c r="ES10" i="124"/>
  <c r="EP16" i="139"/>
  <c r="EP7" i="139"/>
  <c r="EP14" i="139"/>
  <c r="EP6" i="139"/>
  <c r="EP22" i="139"/>
  <c r="EP23" i="139"/>
  <c r="EP9" i="139"/>
  <c r="EP19" i="139"/>
  <c r="EP15" i="139"/>
  <c r="EP21" i="139"/>
  <c r="EP18" i="139"/>
  <c r="EP17" i="139"/>
  <c r="EP11" i="139"/>
  <c r="EP20" i="139"/>
  <c r="EP8" i="139"/>
  <c r="EP13" i="139"/>
  <c r="EP12" i="139"/>
  <c r="EP24" i="139"/>
  <c r="DP16" i="139"/>
  <c r="DP6" i="139"/>
  <c r="DP13" i="139"/>
  <c r="DP9" i="139"/>
  <c r="DP18" i="139"/>
  <c r="DP21" i="139"/>
  <c r="DP15" i="139"/>
  <c r="DP20" i="139"/>
  <c r="DP10" i="139"/>
  <c r="DP14" i="139"/>
  <c r="DP23" i="139"/>
  <c r="DP22" i="139"/>
  <c r="DP8" i="139"/>
  <c r="DP11" i="139"/>
  <c r="DP17" i="139"/>
  <c r="DP12" i="139"/>
  <c r="DP19" i="139"/>
  <c r="DP24" i="139"/>
  <c r="DP7" i="139"/>
  <c r="DR2" i="139"/>
  <c r="DQ1" i="139"/>
  <c r="CS23" i="139"/>
  <c r="CS21" i="139"/>
  <c r="CS10" i="139"/>
  <c r="CS22" i="139"/>
  <c r="CS7" i="139"/>
  <c r="CS18" i="139"/>
  <c r="CS15" i="139"/>
  <c r="CS24" i="139"/>
  <c r="CS20" i="139"/>
  <c r="CS14" i="139"/>
  <c r="EQ1" i="139"/>
  <c r="CS13" i="139"/>
  <c r="CS16" i="139"/>
  <c r="CS17" i="139"/>
  <c r="CS6" i="139"/>
  <c r="CS9" i="139"/>
  <c r="CS11" i="139"/>
  <c r="CS8" i="139"/>
  <c r="CS19" i="139"/>
  <c r="CS12" i="139"/>
  <c r="CT1" i="139"/>
  <c r="CU2" i="139"/>
  <c r="CU2" i="137"/>
  <c r="CT1" i="137"/>
  <c r="CU2" i="136"/>
  <c r="CT1" i="136"/>
  <c r="DP24" i="137"/>
  <c r="DP19" i="137"/>
  <c r="DP8" i="137"/>
  <c r="DP23" i="137"/>
  <c r="DP15" i="137"/>
  <c r="DP9" i="137"/>
  <c r="DP22" i="137"/>
  <c r="DP13" i="137"/>
  <c r="DP10" i="137"/>
  <c r="DP18" i="137"/>
  <c r="DP12" i="137"/>
  <c r="DP20" i="137"/>
  <c r="DP7" i="137"/>
  <c r="DP17" i="137"/>
  <c r="DP6" i="137"/>
  <c r="DP16" i="137"/>
  <c r="DP14" i="137"/>
  <c r="DP21" i="137"/>
  <c r="DP11" i="137"/>
  <c r="DQ1" i="137"/>
  <c r="DR2" i="137"/>
  <c r="EP19" i="136"/>
  <c r="EP8" i="136"/>
  <c r="EP16" i="136"/>
  <c r="EP14" i="136"/>
  <c r="EP15" i="136"/>
  <c r="EP11" i="136"/>
  <c r="EP24" i="136"/>
  <c r="EP17" i="136"/>
  <c r="EP7" i="136"/>
  <c r="EP23" i="136"/>
  <c r="EP6" i="136"/>
  <c r="EP22" i="136"/>
  <c r="EP13" i="136"/>
  <c r="EP21" i="136"/>
  <c r="EP12" i="136"/>
  <c r="EP20" i="136"/>
  <c r="EP9" i="136"/>
  <c r="EP18" i="136"/>
  <c r="EP17" i="137"/>
  <c r="EP7" i="137"/>
  <c r="EP20" i="137"/>
  <c r="EP6" i="137"/>
  <c r="EP16" i="137"/>
  <c r="EP9" i="137"/>
  <c r="EP24" i="137"/>
  <c r="EP15" i="137"/>
  <c r="EP12" i="137"/>
  <c r="EP23" i="137"/>
  <c r="EP18" i="137"/>
  <c r="EP8" i="137"/>
  <c r="EP22" i="137"/>
  <c r="EP14" i="137"/>
  <c r="EP21" i="137"/>
  <c r="EP11" i="137"/>
  <c r="EP19" i="137"/>
  <c r="EP13" i="137"/>
  <c r="DP21" i="136"/>
  <c r="DP14" i="136"/>
  <c r="DP11" i="136"/>
  <c r="DP19" i="136"/>
  <c r="DP9" i="136"/>
  <c r="DP20" i="136"/>
  <c r="DP12" i="136"/>
  <c r="DP18" i="136"/>
  <c r="DP17" i="136"/>
  <c r="DP22" i="136"/>
  <c r="DP13" i="136"/>
  <c r="DP10" i="136"/>
  <c r="DP8" i="136"/>
  <c r="DP24" i="136"/>
  <c r="DP16" i="136"/>
  <c r="DP6" i="136"/>
  <c r="DP23" i="136"/>
  <c r="DP15" i="136"/>
  <c r="DP7" i="136"/>
  <c r="DR2" i="136"/>
  <c r="DQ1" i="136"/>
  <c r="CS19" i="137"/>
  <c r="CS6" i="137"/>
  <c r="CS20" i="137"/>
  <c r="CS8" i="137"/>
  <c r="CS13" i="137"/>
  <c r="CS18" i="137"/>
  <c r="CS24" i="137"/>
  <c r="CS17" i="137"/>
  <c r="CS9" i="137"/>
  <c r="CS23" i="137"/>
  <c r="CS15" i="137"/>
  <c r="EQ1" i="137"/>
  <c r="CS22" i="137"/>
  <c r="CS11" i="137"/>
  <c r="CS14" i="137"/>
  <c r="CS21" i="137"/>
  <c r="CS12" i="137"/>
  <c r="CS7" i="137"/>
  <c r="CS16" i="137"/>
  <c r="CS10" i="137"/>
  <c r="CS22" i="136"/>
  <c r="CS8" i="136"/>
  <c r="EQ1" i="136"/>
  <c r="CS14" i="136"/>
  <c r="CS21" i="136"/>
  <c r="CS17" i="136"/>
  <c r="CS16" i="136"/>
  <c r="CS19" i="136"/>
  <c r="CS13" i="136"/>
  <c r="CS20" i="136"/>
  <c r="CS12" i="136"/>
  <c r="CS11" i="136"/>
  <c r="CS18" i="136"/>
  <c r="CS7" i="136"/>
  <c r="CS24" i="136"/>
  <c r="CS10" i="136"/>
  <c r="CS6" i="136"/>
  <c r="CS23" i="136"/>
  <c r="CS9" i="136"/>
  <c r="CS15" i="136"/>
  <c r="CS23" i="133"/>
  <c r="CS10" i="133"/>
  <c r="CS19" i="133"/>
  <c r="CS14" i="133"/>
  <c r="CS24" i="133"/>
  <c r="CS17" i="133"/>
  <c r="CS20" i="133"/>
  <c r="CS9" i="133"/>
  <c r="CS8" i="133"/>
  <c r="CS22" i="133"/>
  <c r="CS15" i="133"/>
  <c r="CS11" i="133"/>
  <c r="CS18" i="133"/>
  <c r="CS7" i="133"/>
  <c r="CS16" i="133"/>
  <c r="CS6" i="133"/>
  <c r="CS21" i="133"/>
  <c r="CS13" i="133"/>
  <c r="EQ1" i="133"/>
  <c r="CS12" i="133"/>
  <c r="CU2" i="133"/>
  <c r="CT1" i="133"/>
  <c r="EP24" i="132"/>
  <c r="EP13" i="132"/>
  <c r="EP9" i="132"/>
  <c r="EP21" i="132"/>
  <c r="EP23" i="132"/>
  <c r="EP11" i="132"/>
  <c r="EP16" i="132"/>
  <c r="EP8" i="132"/>
  <c r="EP14" i="132"/>
  <c r="EP17" i="132"/>
  <c r="EP19" i="132"/>
  <c r="EP18" i="132"/>
  <c r="EP22" i="132"/>
  <c r="EP7" i="132"/>
  <c r="EP15" i="132"/>
  <c r="EP6" i="132"/>
  <c r="EP20" i="132"/>
  <c r="EP12" i="132"/>
  <c r="DQ11" i="133"/>
  <c r="DQ16" i="133"/>
  <c r="DQ24" i="133"/>
  <c r="DQ12" i="133"/>
  <c r="DQ15" i="133"/>
  <c r="DQ7" i="133"/>
  <c r="DQ21" i="133"/>
  <c r="DQ10" i="133"/>
  <c r="DQ6" i="133"/>
  <c r="DQ22" i="133"/>
  <c r="DQ14" i="133"/>
  <c r="DQ19" i="133"/>
  <c r="DQ9" i="133"/>
  <c r="DQ17" i="133"/>
  <c r="DQ18" i="133"/>
  <c r="DQ8" i="133"/>
  <c r="DQ23" i="133"/>
  <c r="DQ20" i="133"/>
  <c r="DQ13" i="133"/>
  <c r="EP20" i="133"/>
  <c r="EP8" i="133"/>
  <c r="EP12" i="133"/>
  <c r="EP19" i="133"/>
  <c r="EP15" i="133"/>
  <c r="EP14" i="133"/>
  <c r="EP17" i="133"/>
  <c r="EP16" i="133"/>
  <c r="EP13" i="133"/>
  <c r="EP18" i="133"/>
  <c r="EP6" i="133"/>
  <c r="EP24" i="133"/>
  <c r="EP21" i="133"/>
  <c r="EP22" i="133"/>
  <c r="EP11" i="133"/>
  <c r="EP7" i="133"/>
  <c r="EP23" i="133"/>
  <c r="EP9" i="133"/>
  <c r="DS2" i="133"/>
  <c r="DR1" i="133"/>
  <c r="CS16" i="132"/>
  <c r="CS12" i="132"/>
  <c r="CS11" i="132"/>
  <c r="CS23" i="132"/>
  <c r="CS22" i="132"/>
  <c r="CS13" i="132"/>
  <c r="CS15" i="132"/>
  <c r="CS24" i="132"/>
  <c r="CS8" i="132"/>
  <c r="CS17" i="132"/>
  <c r="CS14" i="132"/>
  <c r="CS7" i="132"/>
  <c r="CS9" i="132"/>
  <c r="EQ1" i="132"/>
  <c r="CS21" i="132"/>
  <c r="CS20" i="132"/>
  <c r="CS10" i="132"/>
  <c r="CS18" i="132"/>
  <c r="CS19" i="132"/>
  <c r="CS6" i="132"/>
  <c r="DP18" i="132"/>
  <c r="DP9" i="132"/>
  <c r="DP7" i="132"/>
  <c r="DP17" i="132"/>
  <c r="DP20" i="132"/>
  <c r="DP23" i="132"/>
  <c r="DP24" i="132"/>
  <c r="DP8" i="132"/>
  <c r="DP22" i="132"/>
  <c r="DP11" i="132"/>
  <c r="DP10" i="132"/>
  <c r="DP16" i="132"/>
  <c r="DP6" i="132"/>
  <c r="DP12" i="132"/>
  <c r="DP19" i="132"/>
  <c r="DP14" i="132"/>
  <c r="DP15" i="132"/>
  <c r="DP21" i="132"/>
  <c r="DP13" i="132"/>
  <c r="CU2" i="132"/>
  <c r="CT1" i="132"/>
  <c r="DR2" i="132"/>
  <c r="DQ1" i="132"/>
  <c r="DD24" i="124"/>
  <c r="DD14" i="124"/>
  <c r="DD22" i="124"/>
  <c r="DD6" i="124"/>
  <c r="DD21" i="124"/>
  <c r="DD17" i="124"/>
  <c r="DD19" i="124"/>
  <c r="DD11" i="124"/>
  <c r="DD18" i="124"/>
  <c r="DD9" i="124"/>
  <c r="DD23" i="124"/>
  <c r="DD8" i="124"/>
  <c r="DD15" i="124"/>
  <c r="FB1" i="124"/>
  <c r="DD16" i="124"/>
  <c r="DD7" i="124"/>
  <c r="DD12" i="124"/>
  <c r="DD10" i="124"/>
  <c r="DD13" i="124"/>
  <c r="DD20" i="124"/>
  <c r="DF2" i="124"/>
  <c r="DE1" i="124"/>
  <c r="EA22" i="124"/>
  <c r="EA21" i="124"/>
  <c r="EA24" i="124"/>
  <c r="EA9" i="124"/>
  <c r="EA23" i="124"/>
  <c r="EA16" i="124"/>
  <c r="EA19" i="124"/>
  <c r="EA11" i="124"/>
  <c r="EA18" i="124"/>
  <c r="EA8" i="124"/>
  <c r="EA17" i="124"/>
  <c r="EA6" i="124"/>
  <c r="EA14" i="124"/>
  <c r="EA7" i="124"/>
  <c r="EA15" i="124"/>
  <c r="EA10" i="124"/>
  <c r="EA12" i="124"/>
  <c r="EA13" i="124"/>
  <c r="EA20" i="124"/>
  <c r="FA23" i="124"/>
  <c r="FA12" i="124"/>
  <c r="FA20" i="124"/>
  <c r="FA11" i="124"/>
  <c r="FA21" i="124"/>
  <c r="FA10" i="124"/>
  <c r="FA13" i="124"/>
  <c r="FA7" i="124"/>
  <c r="FA17" i="124"/>
  <c r="FA14" i="124"/>
  <c r="FA24" i="124"/>
  <c r="FA18" i="124"/>
  <c r="FA8" i="124"/>
  <c r="FA19" i="124"/>
  <c r="FA16" i="124"/>
  <c r="FA6" i="124"/>
  <c r="FA22" i="124"/>
  <c r="FA15" i="124"/>
  <c r="FA9" i="124"/>
  <c r="EB1" i="124"/>
  <c r="EC2" i="124"/>
  <c r="BT10" i="98"/>
  <c r="BT27" i="98" s="1"/>
  <c r="BV10" i="124"/>
  <c r="BT28" i="97"/>
  <c r="BT27" i="97"/>
  <c r="EA24" i="121"/>
  <c r="EA14" i="121"/>
  <c r="EA7" i="121"/>
  <c r="EA12" i="121"/>
  <c r="EA22" i="121"/>
  <c r="EA6" i="121"/>
  <c r="EA21" i="121"/>
  <c r="EA20" i="121"/>
  <c r="EA19" i="121"/>
  <c r="EA8" i="121"/>
  <c r="EA15" i="121"/>
  <c r="EA23" i="121"/>
  <c r="EA18" i="121"/>
  <c r="EA13" i="121"/>
  <c r="EA17" i="121"/>
  <c r="EA10" i="121"/>
  <c r="EA9" i="121"/>
  <c r="EA16" i="121"/>
  <c r="EA11" i="121"/>
  <c r="EC2" i="121"/>
  <c r="EB1" i="121"/>
  <c r="DD19" i="121"/>
  <c r="DD14" i="121"/>
  <c r="DD13" i="121"/>
  <c r="DD15" i="121"/>
  <c r="DD20" i="121"/>
  <c r="DD12" i="121"/>
  <c r="DD10" i="121"/>
  <c r="DD17" i="121"/>
  <c r="DD8" i="121"/>
  <c r="DD18" i="121"/>
  <c r="DD16" i="121"/>
  <c r="DD7" i="121"/>
  <c r="DD21" i="121"/>
  <c r="DD6" i="121"/>
  <c r="DD11" i="121"/>
  <c r="FB1" i="121"/>
  <c r="DD24" i="121"/>
  <c r="DD23" i="121"/>
  <c r="DD9" i="121"/>
  <c r="DD22" i="121"/>
  <c r="Q28" i="96"/>
  <c r="DF2" i="121"/>
  <c r="DE1" i="121"/>
  <c r="Q29" i="96"/>
  <c r="Q10" i="121"/>
  <c r="R10" i="121" s="1"/>
  <c r="BV27" i="121"/>
  <c r="FA16" i="121"/>
  <c r="FA9" i="121"/>
  <c r="FA17" i="121"/>
  <c r="FA13" i="121"/>
  <c r="FA12" i="121"/>
  <c r="FA14" i="121"/>
  <c r="FA20" i="121"/>
  <c r="FA15" i="121"/>
  <c r="FA21" i="121"/>
  <c r="FA8" i="121"/>
  <c r="FA18" i="121"/>
  <c r="FA6" i="121"/>
  <c r="FA24" i="121"/>
  <c r="FA11" i="121"/>
  <c r="FA22" i="121"/>
  <c r="FA7" i="121"/>
  <c r="FA10" i="121"/>
  <c r="FA19" i="121"/>
  <c r="FA23" i="121"/>
  <c r="EQ10" i="120"/>
  <c r="ER10" i="121"/>
  <c r="EC2" i="120"/>
  <c r="EB1" i="120"/>
  <c r="FA17" i="120"/>
  <c r="FA8" i="120"/>
  <c r="FA15" i="120"/>
  <c r="FA7" i="120"/>
  <c r="FA19" i="120"/>
  <c r="FA9" i="120"/>
  <c r="FA23" i="120"/>
  <c r="FA14" i="120"/>
  <c r="FA6" i="120"/>
  <c r="FA24" i="120"/>
  <c r="FA13" i="120"/>
  <c r="FA10" i="120"/>
  <c r="FA22" i="120"/>
  <c r="FA11" i="120"/>
  <c r="FA21" i="120"/>
  <c r="FA20" i="120"/>
  <c r="FA18" i="120"/>
  <c r="FA16" i="120"/>
  <c r="DD16" i="120"/>
  <c r="DD8" i="120"/>
  <c r="DD17" i="120"/>
  <c r="DD7" i="120"/>
  <c r="DD23" i="120"/>
  <c r="DD15" i="120"/>
  <c r="DD20" i="120"/>
  <c r="DD19" i="120"/>
  <c r="DD14" i="120"/>
  <c r="DD6" i="120"/>
  <c r="DD22" i="120"/>
  <c r="DD13" i="120"/>
  <c r="DD9" i="120"/>
  <c r="DD21" i="120"/>
  <c r="DD11" i="120"/>
  <c r="FB1" i="120"/>
  <c r="DD18" i="120"/>
  <c r="DD12" i="120"/>
  <c r="DD24" i="120"/>
  <c r="DD10" i="120"/>
  <c r="DE1" i="120"/>
  <c r="DF2" i="120"/>
  <c r="EA19" i="120"/>
  <c r="EA18" i="120"/>
  <c r="EA6" i="120"/>
  <c r="EA21" i="120"/>
  <c r="EA11" i="120"/>
  <c r="EA23" i="120"/>
  <c r="EA13" i="120"/>
  <c r="EA22" i="120"/>
  <c r="EA16" i="120"/>
  <c r="EA17" i="120"/>
  <c r="EA10" i="120"/>
  <c r="EA12" i="120"/>
  <c r="EA7" i="120"/>
  <c r="EA24" i="120"/>
  <c r="EA15" i="120"/>
  <c r="EA9" i="120"/>
  <c r="EA20" i="120"/>
  <c r="EA14" i="120"/>
  <c r="EA8" i="120"/>
  <c r="DD19" i="119"/>
  <c r="DD7" i="119"/>
  <c r="DD11" i="119"/>
  <c r="DD16" i="119"/>
  <c r="DD15" i="119"/>
  <c r="DD24" i="119"/>
  <c r="DD12" i="119"/>
  <c r="DD8" i="119"/>
  <c r="DD22" i="119"/>
  <c r="DD6" i="119"/>
  <c r="DD18" i="119"/>
  <c r="DD9" i="119"/>
  <c r="DD13" i="119"/>
  <c r="DD14" i="119"/>
  <c r="DD21" i="119"/>
  <c r="DD10" i="119"/>
  <c r="FB1" i="119"/>
  <c r="DD23" i="119"/>
  <c r="DD20" i="119"/>
  <c r="DD17" i="119"/>
  <c r="EA22" i="119"/>
  <c r="EA6" i="119"/>
  <c r="EA16" i="119"/>
  <c r="EA8" i="119"/>
  <c r="EA18" i="119"/>
  <c r="EA17" i="119"/>
  <c r="EA9" i="119"/>
  <c r="EA24" i="119"/>
  <c r="EA20" i="119"/>
  <c r="EA12" i="119"/>
  <c r="EA19" i="119"/>
  <c r="EA10" i="119"/>
  <c r="EA23" i="119"/>
  <c r="EA14" i="119"/>
  <c r="EA7" i="119"/>
  <c r="EA21" i="119"/>
  <c r="EA13" i="119"/>
  <c r="EA11" i="119"/>
  <c r="EA15" i="119"/>
  <c r="DE1" i="119"/>
  <c r="DF2" i="119"/>
  <c r="FA22" i="119"/>
  <c r="FA17" i="119"/>
  <c r="FA7" i="119"/>
  <c r="FA18" i="119"/>
  <c r="FA14" i="119"/>
  <c r="FA12" i="119"/>
  <c r="FA21" i="119"/>
  <c r="FA20" i="119"/>
  <c r="FA13" i="119"/>
  <c r="FA24" i="119"/>
  <c r="FA15" i="119"/>
  <c r="FA9" i="119"/>
  <c r="FA23" i="119"/>
  <c r="FA16" i="119"/>
  <c r="FA11" i="119"/>
  <c r="FA19" i="119"/>
  <c r="FA8" i="119"/>
  <c r="FA6" i="119"/>
  <c r="FA10" i="119"/>
  <c r="EC2" i="119"/>
  <c r="EB1" i="119"/>
  <c r="EP10" i="116"/>
  <c r="EP10" i="119"/>
  <c r="EB18" i="116"/>
  <c r="EB16" i="116"/>
  <c r="EB14" i="116"/>
  <c r="EB22" i="116"/>
  <c r="EB13" i="116"/>
  <c r="EB12" i="116"/>
  <c r="EB7" i="116"/>
  <c r="EB11" i="116"/>
  <c r="EB8" i="116"/>
  <c r="EB24" i="116"/>
  <c r="EB19" i="116"/>
  <c r="EB17" i="116"/>
  <c r="EB15" i="116"/>
  <c r="EB10" i="116"/>
  <c r="EB21" i="116"/>
  <c r="EB20" i="116"/>
  <c r="EB6" i="116"/>
  <c r="EB23" i="116"/>
  <c r="EB9" i="116"/>
  <c r="ED2" i="116"/>
  <c r="EC1" i="116"/>
  <c r="DE24" i="116"/>
  <c r="DE15" i="116"/>
  <c r="DE11" i="116"/>
  <c r="DE17" i="116"/>
  <c r="DE22" i="116"/>
  <c r="DE16" i="116"/>
  <c r="DE7" i="116"/>
  <c r="DE21" i="116"/>
  <c r="DE12" i="116"/>
  <c r="DE19" i="116"/>
  <c r="DE10" i="116"/>
  <c r="DE6" i="116"/>
  <c r="DE8" i="116"/>
  <c r="DE23" i="116"/>
  <c r="DE18" i="116"/>
  <c r="DE9" i="116"/>
  <c r="FC1" i="116"/>
  <c r="DE20" i="116"/>
  <c r="DE13" i="116"/>
  <c r="DE14" i="116"/>
  <c r="FB20" i="116"/>
  <c r="FB10" i="116"/>
  <c r="FB19" i="116"/>
  <c r="FB6" i="116"/>
  <c r="FB7" i="116"/>
  <c r="FB15" i="116"/>
  <c r="FB16" i="116"/>
  <c r="FB13" i="116"/>
  <c r="FB8" i="116"/>
  <c r="FB17" i="116"/>
  <c r="FB12" i="116"/>
  <c r="FB11" i="116"/>
  <c r="FB14" i="116"/>
  <c r="FB18" i="116"/>
  <c r="FB9" i="116"/>
  <c r="FB22" i="116"/>
  <c r="FB23" i="116"/>
  <c r="FB21" i="116"/>
  <c r="FB24" i="116"/>
  <c r="DF1" i="116"/>
  <c r="DG2" i="116"/>
  <c r="EB21" i="112"/>
  <c r="EB7" i="112"/>
  <c r="EB23" i="112"/>
  <c r="EB15" i="112"/>
  <c r="EB22" i="112"/>
  <c r="EB17" i="112"/>
  <c r="EB20" i="112"/>
  <c r="EB14" i="112"/>
  <c r="EB10" i="112"/>
  <c r="EB16" i="112"/>
  <c r="EB13" i="112"/>
  <c r="EB8" i="112"/>
  <c r="EB6" i="112"/>
  <c r="EB11" i="112"/>
  <c r="EB24" i="112"/>
  <c r="EB19" i="112"/>
  <c r="EB12" i="112"/>
  <c r="EB18" i="112"/>
  <c r="EB9" i="112"/>
  <c r="ED2" i="113"/>
  <c r="EC1" i="113"/>
  <c r="DG2" i="113"/>
  <c r="DF1" i="113"/>
  <c r="FB24" i="113"/>
  <c r="FB23" i="113"/>
  <c r="FB10" i="113"/>
  <c r="FB21" i="113"/>
  <c r="FB17" i="113"/>
  <c r="FB22" i="113"/>
  <c r="FB11" i="113"/>
  <c r="FB8" i="113"/>
  <c r="FB7" i="113"/>
  <c r="FB18" i="113"/>
  <c r="FB9" i="113"/>
  <c r="FB6" i="113"/>
  <c r="FB15" i="113"/>
  <c r="FB14" i="113"/>
  <c r="FB13" i="113"/>
  <c r="FB12" i="113"/>
  <c r="FB20" i="113"/>
  <c r="FB16" i="113"/>
  <c r="FB19" i="113"/>
  <c r="ED2" i="112"/>
  <c r="EC1" i="112"/>
  <c r="FB16" i="112"/>
  <c r="FB12" i="112"/>
  <c r="FB11" i="112"/>
  <c r="FB17" i="112"/>
  <c r="FB15" i="112"/>
  <c r="FB9" i="112"/>
  <c r="FB21" i="112"/>
  <c r="FB24" i="112"/>
  <c r="FB14" i="112"/>
  <c r="FB10" i="112"/>
  <c r="FB22" i="112"/>
  <c r="FB6" i="112"/>
  <c r="FB20" i="112"/>
  <c r="FB7" i="112"/>
  <c r="FB19" i="112"/>
  <c r="FB18" i="112"/>
  <c r="FB13" i="112"/>
  <c r="FB8" i="112"/>
  <c r="FB23" i="112"/>
  <c r="DE16" i="113"/>
  <c r="DE13" i="113"/>
  <c r="DE12" i="113"/>
  <c r="DE17" i="113"/>
  <c r="DE15" i="113"/>
  <c r="DE6" i="113"/>
  <c r="DE8" i="113"/>
  <c r="DE24" i="113"/>
  <c r="DE22" i="113"/>
  <c r="DE9" i="113"/>
  <c r="DE21" i="113"/>
  <c r="DE10" i="113"/>
  <c r="DE18" i="113"/>
  <c r="DE20" i="113"/>
  <c r="DE11" i="113"/>
  <c r="DE7" i="113"/>
  <c r="DE23" i="113"/>
  <c r="DE19" i="113"/>
  <c r="DE14" i="113"/>
  <c r="FC1" i="113"/>
  <c r="DG2" i="112"/>
  <c r="DF1" i="112"/>
  <c r="DE12" i="112"/>
  <c r="DE16" i="112"/>
  <c r="FC1" i="112"/>
  <c r="DE11" i="112"/>
  <c r="DE10" i="112"/>
  <c r="DE17" i="112"/>
  <c r="DE24" i="112"/>
  <c r="DE22" i="112"/>
  <c r="DE6" i="112"/>
  <c r="DE23" i="112"/>
  <c r="DE9" i="112"/>
  <c r="DE18" i="112"/>
  <c r="DE8" i="112"/>
  <c r="DE21" i="112"/>
  <c r="DE20" i="112"/>
  <c r="DE15" i="112"/>
  <c r="DE7" i="112"/>
  <c r="DE19" i="112"/>
  <c r="DE13" i="112"/>
  <c r="DE14" i="112"/>
  <c r="EM10" i="109"/>
  <c r="EN10" i="112"/>
  <c r="EO10" i="113"/>
  <c r="EB16" i="113"/>
  <c r="EB14" i="113"/>
  <c r="EB21" i="113"/>
  <c r="EB11" i="113"/>
  <c r="EB12" i="113"/>
  <c r="EB18" i="113"/>
  <c r="EB7" i="113"/>
  <c r="EB24" i="113"/>
  <c r="EB15" i="113"/>
  <c r="EB10" i="113"/>
  <c r="EB20" i="113"/>
  <c r="EB13" i="113"/>
  <c r="EB9" i="113"/>
  <c r="EB22" i="113"/>
  <c r="EB8" i="113"/>
  <c r="EB23" i="113"/>
  <c r="EB17" i="113"/>
  <c r="EB6" i="113"/>
  <c r="EB19" i="113"/>
  <c r="DF1" i="109"/>
  <c r="DG2" i="109"/>
  <c r="FA16" i="108"/>
  <c r="FA21" i="108"/>
  <c r="FA9" i="108"/>
  <c r="FA8" i="108"/>
  <c r="FA6" i="108"/>
  <c r="FA15" i="108"/>
  <c r="FA14" i="108"/>
  <c r="FA7" i="108"/>
  <c r="FA13" i="108"/>
  <c r="FA24" i="108"/>
  <c r="FA12" i="108"/>
  <c r="FA10" i="108"/>
  <c r="FA20" i="108"/>
  <c r="FA18" i="108"/>
  <c r="FA17" i="108"/>
  <c r="FA23" i="108"/>
  <c r="FA11" i="108"/>
  <c r="FA22" i="108"/>
  <c r="FA19" i="108"/>
  <c r="DE21" i="109"/>
  <c r="DE9" i="109"/>
  <c r="DE7" i="109"/>
  <c r="DE18" i="109"/>
  <c r="DE23" i="109"/>
  <c r="DE22" i="109"/>
  <c r="DE20" i="109"/>
  <c r="DE8" i="109"/>
  <c r="DE19" i="109"/>
  <c r="DE17" i="109"/>
  <c r="DE6" i="109"/>
  <c r="DE15" i="109"/>
  <c r="DE13" i="109"/>
  <c r="DE12" i="109"/>
  <c r="FC1" i="109"/>
  <c r="DE14" i="109"/>
  <c r="DE24" i="109"/>
  <c r="DE16" i="109"/>
  <c r="DE11" i="109"/>
  <c r="DE10" i="109"/>
  <c r="EB24" i="109"/>
  <c r="EB12" i="109"/>
  <c r="EB20" i="109"/>
  <c r="EB19" i="109"/>
  <c r="EB17" i="109"/>
  <c r="EB15" i="109"/>
  <c r="EB23" i="109"/>
  <c r="EB11" i="109"/>
  <c r="EB8" i="109"/>
  <c r="EB22" i="109"/>
  <c r="EB10" i="109"/>
  <c r="EB18" i="109"/>
  <c r="EB16" i="109"/>
  <c r="EB14" i="109"/>
  <c r="EB21" i="109"/>
  <c r="EB9" i="109"/>
  <c r="EB7" i="109"/>
  <c r="EB6" i="109"/>
  <c r="EB13" i="109"/>
  <c r="EC1" i="109"/>
  <c r="ED2" i="109"/>
  <c r="EJ10" i="106"/>
  <c r="EK10" i="108"/>
  <c r="EA21" i="108"/>
  <c r="EA9" i="108"/>
  <c r="EA14" i="108"/>
  <c r="EA24" i="108"/>
  <c r="EA23" i="108"/>
  <c r="EA10" i="108"/>
  <c r="EA20" i="108"/>
  <c r="EA8" i="108"/>
  <c r="EA19" i="108"/>
  <c r="EA7" i="108"/>
  <c r="EA18" i="108"/>
  <c r="EA6" i="108"/>
  <c r="EA17" i="108"/>
  <c r="EA13" i="108"/>
  <c r="EA12" i="108"/>
  <c r="EA11" i="108"/>
  <c r="EA22" i="108"/>
  <c r="EA16" i="108"/>
  <c r="EA15" i="108"/>
  <c r="EC2" i="108"/>
  <c r="EB1" i="108"/>
  <c r="FB19" i="109"/>
  <c r="FB7" i="109"/>
  <c r="FB18" i="109"/>
  <c r="FB6" i="109"/>
  <c r="FB17" i="109"/>
  <c r="FB16" i="109"/>
  <c r="FB15" i="109"/>
  <c r="FB14" i="109"/>
  <c r="FB11" i="109"/>
  <c r="FB10" i="109"/>
  <c r="FB21" i="109"/>
  <c r="FB20" i="109"/>
  <c r="FB8" i="109"/>
  <c r="FB13" i="109"/>
  <c r="FB12" i="109"/>
  <c r="FB9" i="109"/>
  <c r="FB24" i="109"/>
  <c r="FB23" i="109"/>
  <c r="FB22" i="109"/>
  <c r="DD18" i="108"/>
  <c r="DD6" i="108"/>
  <c r="DD23" i="108"/>
  <c r="DD11" i="108"/>
  <c r="DD21" i="108"/>
  <c r="DD20" i="108"/>
  <c r="DD8" i="108"/>
  <c r="DD17" i="108"/>
  <c r="FB1" i="108"/>
  <c r="DD12" i="108"/>
  <c r="DD16" i="108"/>
  <c r="DD15" i="108"/>
  <c r="DD24" i="108"/>
  <c r="DD10" i="108"/>
  <c r="DD14" i="108"/>
  <c r="DD22" i="108"/>
  <c r="DD9" i="108"/>
  <c r="DD19" i="108"/>
  <c r="DD13" i="108"/>
  <c r="DD7" i="108"/>
  <c r="DF2" i="108"/>
  <c r="DE1" i="108"/>
  <c r="EX119" i="9"/>
  <c r="EW120" i="9"/>
  <c r="FA22" i="106"/>
  <c r="FA14" i="106"/>
  <c r="FA6" i="106"/>
  <c r="FA21" i="106"/>
  <c r="FA13" i="106"/>
  <c r="FA20" i="106"/>
  <c r="FA12" i="106"/>
  <c r="FA19" i="106"/>
  <c r="FA11" i="106"/>
  <c r="FA18" i="106"/>
  <c r="FA10" i="106"/>
  <c r="FA17" i="106"/>
  <c r="FA9" i="106"/>
  <c r="FA24" i="106"/>
  <c r="FA16" i="106"/>
  <c r="FA8" i="106"/>
  <c r="FA23" i="106"/>
  <c r="FA15" i="106"/>
  <c r="FA7" i="106"/>
  <c r="DF2" i="106"/>
  <c r="DE1" i="106"/>
  <c r="DD24" i="106"/>
  <c r="DD16" i="106"/>
  <c r="DD8" i="106"/>
  <c r="DD23" i="106"/>
  <c r="DD15" i="106"/>
  <c r="DD7" i="106"/>
  <c r="DD22" i="106"/>
  <c r="DD14" i="106"/>
  <c r="DD6" i="106"/>
  <c r="DD21" i="106"/>
  <c r="DD13" i="106"/>
  <c r="FB1" i="106"/>
  <c r="DD20" i="106"/>
  <c r="DD12" i="106"/>
  <c r="DD19" i="106"/>
  <c r="DD11" i="106"/>
  <c r="DD18" i="106"/>
  <c r="DD10" i="106"/>
  <c r="DD17" i="106"/>
  <c r="DD9" i="106"/>
  <c r="EC2" i="106"/>
  <c r="EB1" i="106"/>
  <c r="BU13" i="105"/>
  <c r="Q13" i="105" s="1"/>
  <c r="R13" i="105" s="1"/>
  <c r="GJ119" i="9"/>
  <c r="GN119" i="9" s="1"/>
  <c r="BQ13" i="132" s="1"/>
  <c r="BQ27" i="105"/>
  <c r="EA19" i="106"/>
  <c r="EA11" i="106"/>
  <c r="EA18" i="106"/>
  <c r="EA10" i="106"/>
  <c r="EA17" i="106"/>
  <c r="EA9" i="106"/>
  <c r="EA24" i="106"/>
  <c r="EA16" i="106"/>
  <c r="EA8" i="106"/>
  <c r="EA23" i="106"/>
  <c r="EA15" i="106"/>
  <c r="EA7" i="106"/>
  <c r="EA22" i="106"/>
  <c r="EA14" i="106"/>
  <c r="EA6" i="106"/>
  <c r="EA21" i="106"/>
  <c r="EA13" i="106"/>
  <c r="EA20" i="106"/>
  <c r="EA12" i="106"/>
  <c r="IV118" i="9"/>
  <c r="IU119" i="9"/>
  <c r="DD20" i="105"/>
  <c r="DD8" i="105"/>
  <c r="DD19" i="105"/>
  <c r="DD18" i="105"/>
  <c r="DD6" i="105"/>
  <c r="DD24" i="105"/>
  <c r="DD10" i="105"/>
  <c r="DD7" i="105"/>
  <c r="DD22" i="105"/>
  <c r="DD17" i="105"/>
  <c r="FB1" i="105"/>
  <c r="DD16" i="105"/>
  <c r="DD23" i="105"/>
  <c r="DD11" i="105"/>
  <c r="DD21" i="105"/>
  <c r="DD15" i="105"/>
  <c r="DD14" i="105"/>
  <c r="DD13" i="105"/>
  <c r="DD12" i="105"/>
  <c r="DD9" i="105"/>
  <c r="DF2" i="105"/>
  <c r="DE1" i="105"/>
  <c r="EG10" i="100"/>
  <c r="CF10" i="100" s="1"/>
  <c r="Y10" i="100" s="1"/>
  <c r="EI10" i="105"/>
  <c r="EB1" i="105"/>
  <c r="EC2" i="105"/>
  <c r="P13" i="105"/>
  <c r="O26" i="105"/>
  <c r="FA18" i="105"/>
  <c r="FA6" i="105"/>
  <c r="FA17" i="105"/>
  <c r="FA16" i="105"/>
  <c r="FA22" i="105"/>
  <c r="FA8" i="105"/>
  <c r="FA7" i="105"/>
  <c r="FA15" i="105"/>
  <c r="FA9" i="105"/>
  <c r="FA14" i="105"/>
  <c r="FA23" i="105"/>
  <c r="FA21" i="105"/>
  <c r="FA19" i="105"/>
  <c r="FA13" i="105"/>
  <c r="FA24" i="105"/>
  <c r="FA12" i="105"/>
  <c r="FA11" i="105"/>
  <c r="FA10" i="105"/>
  <c r="FA20" i="105"/>
  <c r="EA23" i="105"/>
  <c r="EA11" i="105"/>
  <c r="EA9" i="105"/>
  <c r="EA13" i="105"/>
  <c r="EA22" i="105"/>
  <c r="EA10" i="105"/>
  <c r="EA21" i="105"/>
  <c r="EA20" i="105"/>
  <c r="EA8" i="105"/>
  <c r="EA16" i="105"/>
  <c r="EA14" i="105"/>
  <c r="EA19" i="105"/>
  <c r="EA7" i="105"/>
  <c r="EA12" i="105"/>
  <c r="EA18" i="105"/>
  <c r="EA6" i="105"/>
  <c r="EA17" i="105"/>
  <c r="EA15" i="105"/>
  <c r="EA24" i="105"/>
  <c r="GH117" i="9"/>
  <c r="BT29" i="100"/>
  <c r="O30" i="98"/>
  <c r="O29" i="98"/>
  <c r="O28" i="98"/>
  <c r="P13" i="100"/>
  <c r="O26" i="100"/>
  <c r="Q30" i="97"/>
  <c r="Q29" i="97"/>
  <c r="Q28" i="97"/>
  <c r="EA12" i="92"/>
  <c r="EA11" i="92"/>
  <c r="EA16" i="92"/>
  <c r="EA10" i="92"/>
  <c r="EA14" i="92"/>
  <c r="EA8" i="92"/>
  <c r="EA24" i="92"/>
  <c r="EA13" i="92"/>
  <c r="EA21" i="92"/>
  <c r="EA23" i="92"/>
  <c r="EA7" i="92"/>
  <c r="EA15" i="92"/>
  <c r="EA20" i="92"/>
  <c r="EA6" i="92"/>
  <c r="EA9" i="92"/>
  <c r="EA18" i="92"/>
  <c r="EA19" i="92"/>
  <c r="EA22" i="92"/>
  <c r="EA17" i="92"/>
  <c r="EC2" i="92"/>
  <c r="EB1" i="92"/>
  <c r="DE1" i="92"/>
  <c r="DF2" i="92"/>
  <c r="DD17" i="92"/>
  <c r="DD13" i="92"/>
  <c r="DD21" i="92"/>
  <c r="DD7" i="92"/>
  <c r="DD12" i="92"/>
  <c r="DD20" i="92"/>
  <c r="DD24" i="92"/>
  <c r="FB1" i="92"/>
  <c r="DD6" i="92"/>
  <c r="DD22" i="92"/>
  <c r="DD23" i="92"/>
  <c r="DD18" i="92"/>
  <c r="DD19" i="92"/>
  <c r="DD16" i="92"/>
  <c r="DD10" i="92"/>
  <c r="DD15" i="92"/>
  <c r="DD11" i="92"/>
  <c r="DD8" i="92"/>
  <c r="DD14" i="92"/>
  <c r="DD9" i="92"/>
  <c r="FA21" i="92"/>
  <c r="FA8" i="92"/>
  <c r="FA13" i="92"/>
  <c r="FA24" i="92"/>
  <c r="FA19" i="92"/>
  <c r="FA12" i="92"/>
  <c r="FA9" i="92"/>
  <c r="FA16" i="92"/>
  <c r="FA23" i="92"/>
  <c r="FA17" i="92"/>
  <c r="FA11" i="92"/>
  <c r="FA7" i="92"/>
  <c r="FA18" i="92"/>
  <c r="FA6" i="92"/>
  <c r="FA22" i="92"/>
  <c r="FA15" i="92"/>
  <c r="FA20" i="92"/>
  <c r="FA10" i="92"/>
  <c r="FA14" i="92"/>
  <c r="EA13" i="91"/>
  <c r="EA23" i="91"/>
  <c r="EA21" i="91"/>
  <c r="EA16" i="91"/>
  <c r="EA22" i="91"/>
  <c r="EA24" i="91"/>
  <c r="EA12" i="91"/>
  <c r="EA11" i="91"/>
  <c r="EA18" i="91"/>
  <c r="EA10" i="91"/>
  <c r="EA9" i="91"/>
  <c r="EA6" i="91"/>
  <c r="EA7" i="91"/>
  <c r="EA20" i="91"/>
  <c r="EA19" i="91"/>
  <c r="EA8" i="91"/>
  <c r="EA17" i="91"/>
  <c r="EA15" i="91"/>
  <c r="EA14" i="91"/>
  <c r="DD18" i="91"/>
  <c r="DD14" i="91"/>
  <c r="DD23" i="91"/>
  <c r="DD9" i="91"/>
  <c r="DD17" i="91"/>
  <c r="FB1" i="91"/>
  <c r="DD15" i="91"/>
  <c r="DD22" i="91"/>
  <c r="DD24" i="91"/>
  <c r="DD20" i="91"/>
  <c r="DD12" i="91"/>
  <c r="DD10" i="91"/>
  <c r="DD6" i="91"/>
  <c r="DD16" i="91"/>
  <c r="DD13" i="91"/>
  <c r="DD8" i="91"/>
  <c r="DD7" i="91"/>
  <c r="DD21" i="91"/>
  <c r="DD11" i="91"/>
  <c r="DD19" i="91"/>
  <c r="DE1" i="91"/>
  <c r="DF2" i="91"/>
  <c r="EC2" i="90"/>
  <c r="EB1" i="90"/>
  <c r="EA19" i="90"/>
  <c r="EA11" i="90"/>
  <c r="EA15" i="90"/>
  <c r="EA14" i="90"/>
  <c r="EA6" i="90"/>
  <c r="EA18" i="90"/>
  <c r="EA21" i="90"/>
  <c r="EA16" i="90"/>
  <c r="EA17" i="90"/>
  <c r="EA24" i="90"/>
  <c r="EA22" i="90"/>
  <c r="EA8" i="90"/>
  <c r="EA9" i="90"/>
  <c r="EA23" i="90"/>
  <c r="EA7" i="90"/>
  <c r="EA13" i="90"/>
  <c r="EA20" i="90"/>
  <c r="EA10" i="90"/>
  <c r="EA12" i="90"/>
  <c r="FA19" i="90"/>
  <c r="FA11" i="90"/>
  <c r="FA9" i="90"/>
  <c r="FA17" i="90"/>
  <c r="FA14" i="90"/>
  <c r="FA24" i="90"/>
  <c r="FA10" i="90"/>
  <c r="FA22" i="90"/>
  <c r="FA7" i="90"/>
  <c r="FA23" i="90"/>
  <c r="FA20" i="90"/>
  <c r="FA21" i="90"/>
  <c r="FA15" i="90"/>
  <c r="FA12" i="90"/>
  <c r="FA18" i="90"/>
  <c r="FA13" i="90"/>
  <c r="FA8" i="90"/>
  <c r="FA6" i="90"/>
  <c r="FA16" i="90"/>
  <c r="EB1" i="91"/>
  <c r="EC2" i="91"/>
  <c r="DF2" i="90"/>
  <c r="DE1" i="90"/>
  <c r="DD24" i="90"/>
  <c r="DD6" i="90"/>
  <c r="DD14" i="90"/>
  <c r="DD16" i="90"/>
  <c r="DD11" i="90"/>
  <c r="DD19" i="90"/>
  <c r="FB1" i="90"/>
  <c r="DD22" i="90"/>
  <c r="DD17" i="90"/>
  <c r="DD18" i="90"/>
  <c r="DD15" i="90"/>
  <c r="DD7" i="90"/>
  <c r="DD9" i="90"/>
  <c r="DD8" i="90"/>
  <c r="DD23" i="90"/>
  <c r="DD21" i="90"/>
  <c r="DD10" i="90"/>
  <c r="DD20" i="90"/>
  <c r="DD13" i="90"/>
  <c r="DD12" i="90"/>
  <c r="FA24" i="91"/>
  <c r="FA16" i="91"/>
  <c r="FA21" i="91"/>
  <c r="FA20" i="91"/>
  <c r="FA12" i="91"/>
  <c r="FA18" i="91"/>
  <c r="FA23" i="91"/>
  <c r="FA22" i="91"/>
  <c r="FA13" i="91"/>
  <c r="FA8" i="91"/>
  <c r="FA7" i="91"/>
  <c r="FA15" i="91"/>
  <c r="FA14" i="91"/>
  <c r="FA9" i="91"/>
  <c r="FA10" i="91"/>
  <c r="FA11" i="91"/>
  <c r="FA6" i="91"/>
  <c r="FA17" i="91"/>
  <c r="FA19" i="91"/>
  <c r="EA20" i="89"/>
  <c r="EA9" i="89"/>
  <c r="EA8" i="89"/>
  <c r="EA24" i="89"/>
  <c r="EA16" i="89"/>
  <c r="EA19" i="89"/>
  <c r="EA17" i="89"/>
  <c r="EA7" i="89"/>
  <c r="EA22" i="89"/>
  <c r="EA13" i="89"/>
  <c r="EA14" i="89"/>
  <c r="EA21" i="89"/>
  <c r="EA12" i="89"/>
  <c r="EA11" i="89"/>
  <c r="EA23" i="89"/>
  <c r="EA18" i="89"/>
  <c r="EA10" i="89"/>
  <c r="EA15" i="89"/>
  <c r="EA6" i="89"/>
  <c r="EC2" i="89"/>
  <c r="EB1" i="89"/>
  <c r="FA22" i="89"/>
  <c r="FA11" i="89"/>
  <c r="FA14" i="89"/>
  <c r="FA10" i="89"/>
  <c r="FA18" i="89"/>
  <c r="FA13" i="89"/>
  <c r="FA23" i="89"/>
  <c r="FA17" i="89"/>
  <c r="FA9" i="89"/>
  <c r="FA21" i="89"/>
  <c r="FA24" i="89"/>
  <c r="FA16" i="89"/>
  <c r="FA8" i="89"/>
  <c r="FA7" i="89"/>
  <c r="FA20" i="89"/>
  <c r="FA15" i="89"/>
  <c r="FA6" i="89"/>
  <c r="FA19" i="89"/>
  <c r="FA12" i="89"/>
  <c r="DD23" i="89"/>
  <c r="DD19" i="89"/>
  <c r="DD12" i="89"/>
  <c r="DD22" i="89"/>
  <c r="DD15" i="89"/>
  <c r="DD6" i="89"/>
  <c r="DD24" i="89"/>
  <c r="DD11" i="89"/>
  <c r="FB1" i="89"/>
  <c r="DD20" i="89"/>
  <c r="DD9" i="89"/>
  <c r="DD7" i="89"/>
  <c r="DD21" i="89"/>
  <c r="DD8" i="89"/>
  <c r="DD10" i="89"/>
  <c r="DD17" i="89"/>
  <c r="DD16" i="89"/>
  <c r="DD14" i="89"/>
  <c r="DD18" i="89"/>
  <c r="DD13" i="89"/>
  <c r="DE1" i="89"/>
  <c r="DF2" i="89"/>
  <c r="EC2" i="88"/>
  <c r="EB1" i="88"/>
  <c r="FA22" i="87"/>
  <c r="FA11" i="87"/>
  <c r="FA19" i="87"/>
  <c r="FA9" i="87"/>
  <c r="FA18" i="87"/>
  <c r="FA15" i="87"/>
  <c r="FA17" i="87"/>
  <c r="FA10" i="87"/>
  <c r="FA16" i="87"/>
  <c r="FA21" i="87"/>
  <c r="FA20" i="87"/>
  <c r="FA13" i="87"/>
  <c r="FA6" i="87"/>
  <c r="FA24" i="87"/>
  <c r="FA14" i="87"/>
  <c r="FA8" i="87"/>
  <c r="FA23" i="87"/>
  <c r="FA12" i="87"/>
  <c r="FA7" i="87"/>
  <c r="EA20" i="87"/>
  <c r="EA10" i="87"/>
  <c r="EA17" i="87"/>
  <c r="EA8" i="87"/>
  <c r="EA22" i="87"/>
  <c r="EA16" i="87"/>
  <c r="EA9" i="87"/>
  <c r="EA24" i="87"/>
  <c r="EA14" i="87"/>
  <c r="EA7" i="87"/>
  <c r="EA23" i="87"/>
  <c r="EA15" i="87"/>
  <c r="EA6" i="87"/>
  <c r="EA18" i="87"/>
  <c r="EA11" i="87"/>
  <c r="EA19" i="87"/>
  <c r="EA13" i="87"/>
  <c r="EA21" i="87"/>
  <c r="EA12" i="87"/>
  <c r="EC2" i="87"/>
  <c r="EB1" i="87"/>
  <c r="FA22" i="88"/>
  <c r="FA13" i="88"/>
  <c r="FA7" i="88"/>
  <c r="FA20" i="88"/>
  <c r="FA19" i="88"/>
  <c r="FA17" i="88"/>
  <c r="FA14" i="88"/>
  <c r="FA21" i="88"/>
  <c r="FA10" i="88"/>
  <c r="FA18" i="88"/>
  <c r="FA9" i="88"/>
  <c r="FA15" i="88"/>
  <c r="FA8" i="88"/>
  <c r="FA24" i="88"/>
  <c r="FA16" i="88"/>
  <c r="FA6" i="88"/>
  <c r="FA23" i="88"/>
  <c r="FA11" i="88"/>
  <c r="FA12" i="88"/>
  <c r="DD23" i="87"/>
  <c r="DD15" i="87"/>
  <c r="FB1" i="87"/>
  <c r="DD22" i="87"/>
  <c r="DD10" i="87"/>
  <c r="DD6" i="87"/>
  <c r="DD20" i="87"/>
  <c r="DD9" i="87"/>
  <c r="DD18" i="87"/>
  <c r="DD12" i="87"/>
  <c r="DD17" i="87"/>
  <c r="DD14" i="87"/>
  <c r="DD19" i="87"/>
  <c r="DD8" i="87"/>
  <c r="DD21" i="87"/>
  <c r="DD13" i="87"/>
  <c r="DD7" i="87"/>
  <c r="DD24" i="87"/>
  <c r="DD16" i="87"/>
  <c r="DD11" i="87"/>
  <c r="DE1" i="87"/>
  <c r="DF2" i="87"/>
  <c r="DD23" i="88"/>
  <c r="DD16" i="88"/>
  <c r="DD7" i="88"/>
  <c r="DD22" i="88"/>
  <c r="DD14" i="88"/>
  <c r="DD6" i="88"/>
  <c r="DD21" i="88"/>
  <c r="DD12" i="88"/>
  <c r="FB1" i="88"/>
  <c r="DD24" i="88"/>
  <c r="DD13" i="88"/>
  <c r="DD9" i="88"/>
  <c r="DD18" i="88"/>
  <c r="DD11" i="88"/>
  <c r="DD19" i="88"/>
  <c r="DD8" i="88"/>
  <c r="DD20" i="88"/>
  <c r="DD15" i="88"/>
  <c r="DD17" i="88"/>
  <c r="DD10" i="88"/>
  <c r="EA22" i="88"/>
  <c r="EA7" i="88"/>
  <c r="EA24" i="88"/>
  <c r="EA15" i="88"/>
  <c r="EA11" i="88"/>
  <c r="EA23" i="88"/>
  <c r="EA14" i="88"/>
  <c r="EA8" i="88"/>
  <c r="EA20" i="88"/>
  <c r="EA12" i="88"/>
  <c r="EA17" i="88"/>
  <c r="EA21" i="88"/>
  <c r="EA10" i="88"/>
  <c r="EA18" i="88"/>
  <c r="EA9" i="88"/>
  <c r="EA16" i="88"/>
  <c r="EA13" i="88"/>
  <c r="EA19" i="88"/>
  <c r="EA6" i="88"/>
  <c r="DF2" i="88"/>
  <c r="DE1" i="88"/>
  <c r="EC2" i="86"/>
  <c r="EB1" i="86"/>
  <c r="EA16" i="86"/>
  <c r="EA12" i="86"/>
  <c r="EA14" i="86"/>
  <c r="EA19" i="86"/>
  <c r="EA23" i="86"/>
  <c r="EA15" i="86"/>
  <c r="EA10" i="86"/>
  <c r="EA18" i="86"/>
  <c r="EA8" i="86"/>
  <c r="EA20" i="86"/>
  <c r="EA9" i="86"/>
  <c r="EA13" i="86"/>
  <c r="EA21" i="86"/>
  <c r="EA6" i="86"/>
  <c r="EA24" i="86"/>
  <c r="EA22" i="86"/>
  <c r="EA11" i="86"/>
  <c r="EA7" i="86"/>
  <c r="EA17" i="86"/>
  <c r="FA23" i="86"/>
  <c r="FA15" i="86"/>
  <c r="FA9" i="86"/>
  <c r="FA20" i="86"/>
  <c r="FA18" i="86"/>
  <c r="FA8" i="86"/>
  <c r="FA12" i="86"/>
  <c r="FA22" i="86"/>
  <c r="FA13" i="86"/>
  <c r="FA7" i="86"/>
  <c r="FA21" i="86"/>
  <c r="FA24" i="86"/>
  <c r="FA11" i="86"/>
  <c r="FA14" i="86"/>
  <c r="FA19" i="86"/>
  <c r="FA10" i="86"/>
  <c r="FA16" i="86"/>
  <c r="FA17" i="86"/>
  <c r="FA6" i="86"/>
  <c r="DD15" i="86"/>
  <c r="DD10" i="86"/>
  <c r="DD16" i="86"/>
  <c r="DD21" i="86"/>
  <c r="DD9" i="86"/>
  <c r="DD8" i="86"/>
  <c r="DD18" i="86"/>
  <c r="FB1" i="86"/>
  <c r="DD14" i="86"/>
  <c r="DD20" i="86"/>
  <c r="DD11" i="86"/>
  <c r="DD19" i="86"/>
  <c r="DD24" i="86"/>
  <c r="DD6" i="86"/>
  <c r="DD12" i="86"/>
  <c r="DD22" i="86"/>
  <c r="DD7" i="86"/>
  <c r="DD13" i="86"/>
  <c r="DD23" i="86"/>
  <c r="DD17" i="86"/>
  <c r="DE1" i="86"/>
  <c r="DF2" i="86"/>
  <c r="DQ12" i="142" l="1"/>
  <c r="DQ9" i="142"/>
  <c r="DQ6" i="142"/>
  <c r="DQ14" i="142"/>
  <c r="DQ11" i="142"/>
  <c r="DQ7" i="142"/>
  <c r="DQ21" i="142"/>
  <c r="DQ24" i="142"/>
  <c r="DQ22" i="142"/>
  <c r="DQ19" i="142"/>
  <c r="DQ20" i="142"/>
  <c r="DQ17" i="142"/>
  <c r="DQ16" i="142"/>
  <c r="DQ15" i="142"/>
  <c r="DQ13" i="142"/>
  <c r="DQ10" i="142"/>
  <c r="DQ8" i="142"/>
  <c r="DQ23" i="142"/>
  <c r="DQ18" i="142"/>
  <c r="DR1" i="142"/>
  <c r="DS2" i="142"/>
  <c r="EQ21" i="142"/>
  <c r="EQ20" i="142"/>
  <c r="EQ16" i="142"/>
  <c r="EQ13" i="142"/>
  <c r="EQ8" i="142"/>
  <c r="EQ6" i="142"/>
  <c r="EQ22" i="142"/>
  <c r="EQ18" i="142"/>
  <c r="EQ19" i="142"/>
  <c r="EQ14" i="142"/>
  <c r="EQ11" i="142"/>
  <c r="EQ24" i="142"/>
  <c r="EQ17" i="142"/>
  <c r="EQ15" i="142"/>
  <c r="EQ12" i="142"/>
  <c r="EQ9" i="142"/>
  <c r="EQ7" i="142"/>
  <c r="EQ23" i="142"/>
  <c r="CT22" i="142"/>
  <c r="ER1" i="142"/>
  <c r="CT20" i="142"/>
  <c r="CT14" i="142"/>
  <c r="CT17" i="142"/>
  <c r="CT15" i="142"/>
  <c r="CT11" i="142"/>
  <c r="CT21" i="142"/>
  <c r="CT24" i="142"/>
  <c r="CT18" i="142"/>
  <c r="CT19" i="142"/>
  <c r="CT10" i="142"/>
  <c r="CT16" i="142"/>
  <c r="CT13" i="142"/>
  <c r="CT12" i="142"/>
  <c r="CT9" i="142"/>
  <c r="CT8" i="142"/>
  <c r="CT7" i="142"/>
  <c r="CT6" i="142"/>
  <c r="CT23" i="142"/>
  <c r="CU1" i="142"/>
  <c r="CV2" i="142"/>
  <c r="BT10" i="100"/>
  <c r="ER10" i="124"/>
  <c r="DQ17" i="139"/>
  <c r="DQ13" i="139"/>
  <c r="DQ22" i="139"/>
  <c r="DQ16" i="139"/>
  <c r="DQ11" i="139"/>
  <c r="DQ21" i="139"/>
  <c r="DQ9" i="139"/>
  <c r="DQ18" i="139"/>
  <c r="DQ23" i="139"/>
  <c r="DQ10" i="139"/>
  <c r="DQ7" i="139"/>
  <c r="DQ14" i="139"/>
  <c r="DQ15" i="139"/>
  <c r="DQ12" i="139"/>
  <c r="DQ20" i="139"/>
  <c r="DQ8" i="139"/>
  <c r="DQ24" i="139"/>
  <c r="DQ19" i="139"/>
  <c r="DQ6" i="139"/>
  <c r="DS2" i="139"/>
  <c r="DR1" i="139"/>
  <c r="CU1" i="139"/>
  <c r="CV2" i="139"/>
  <c r="CT22" i="139"/>
  <c r="ER1" i="139"/>
  <c r="CT10" i="139"/>
  <c r="CT11" i="139"/>
  <c r="CT18" i="139"/>
  <c r="CT24" i="139"/>
  <c r="CT23" i="139"/>
  <c r="CT6" i="139"/>
  <c r="CT19" i="139"/>
  <c r="CT9" i="139"/>
  <c r="CT7" i="139"/>
  <c r="CT14" i="139"/>
  <c r="CT16" i="139"/>
  <c r="CT17" i="139"/>
  <c r="CT15" i="139"/>
  <c r="CT21" i="139"/>
  <c r="CT8" i="139"/>
  <c r="CT13" i="139"/>
  <c r="CT12" i="139"/>
  <c r="CT20" i="139"/>
  <c r="EQ15" i="139"/>
  <c r="EQ6" i="139"/>
  <c r="EQ13" i="139"/>
  <c r="EQ9" i="139"/>
  <c r="EQ23" i="139"/>
  <c r="EQ11" i="139"/>
  <c r="EQ16" i="139"/>
  <c r="EQ12" i="139"/>
  <c r="EQ14" i="139"/>
  <c r="EQ19" i="139"/>
  <c r="EQ21" i="139"/>
  <c r="EQ24" i="139"/>
  <c r="EQ7" i="139"/>
  <c r="EQ20" i="139"/>
  <c r="EQ17" i="139"/>
  <c r="EQ8" i="139"/>
  <c r="EQ18" i="139"/>
  <c r="EQ22" i="139"/>
  <c r="EQ16" i="137"/>
  <c r="EQ13" i="137"/>
  <c r="EQ6" i="137"/>
  <c r="EQ17" i="137"/>
  <c r="EQ9" i="137"/>
  <c r="EQ24" i="137"/>
  <c r="EQ19" i="137"/>
  <c r="EQ8" i="137"/>
  <c r="EQ23" i="137"/>
  <c r="EQ18" i="137"/>
  <c r="EQ15" i="137"/>
  <c r="EQ22" i="137"/>
  <c r="EQ14" i="137"/>
  <c r="EQ7" i="137"/>
  <c r="EQ21" i="137"/>
  <c r="EQ11" i="137"/>
  <c r="EQ20" i="137"/>
  <c r="EQ12" i="137"/>
  <c r="DQ22" i="137"/>
  <c r="DQ18" i="137"/>
  <c r="DQ8" i="137"/>
  <c r="DQ21" i="137"/>
  <c r="DQ11" i="137"/>
  <c r="DQ20" i="137"/>
  <c r="DQ7" i="137"/>
  <c r="DQ17" i="137"/>
  <c r="DQ13" i="137"/>
  <c r="DQ16" i="137"/>
  <c r="DQ6" i="137"/>
  <c r="DQ15" i="137"/>
  <c r="DQ9" i="137"/>
  <c r="DQ24" i="137"/>
  <c r="DQ14" i="137"/>
  <c r="DQ10" i="137"/>
  <c r="DQ23" i="137"/>
  <c r="DQ19" i="137"/>
  <c r="DQ12" i="137"/>
  <c r="BQ13" i="106"/>
  <c r="O13" i="106" s="1"/>
  <c r="P13" i="106" s="1"/>
  <c r="BM13" i="132"/>
  <c r="DQ19" i="136"/>
  <c r="DQ8" i="136"/>
  <c r="DQ12" i="136"/>
  <c r="DQ18" i="136"/>
  <c r="DQ20" i="136"/>
  <c r="DQ13" i="136"/>
  <c r="DQ21" i="136"/>
  <c r="DQ11" i="136"/>
  <c r="DQ7" i="136"/>
  <c r="DQ23" i="136"/>
  <c r="DQ16" i="136"/>
  <c r="DQ10" i="136"/>
  <c r="DQ24" i="136"/>
  <c r="DQ14" i="136"/>
  <c r="DQ6" i="136"/>
  <c r="DQ15" i="136"/>
  <c r="DQ22" i="136"/>
  <c r="DQ9" i="136"/>
  <c r="DQ17" i="136"/>
  <c r="CT19" i="136"/>
  <c r="CT7" i="136"/>
  <c r="CT20" i="136"/>
  <c r="CT11" i="136"/>
  <c r="CT14" i="136"/>
  <c r="CT6" i="136"/>
  <c r="CT24" i="136"/>
  <c r="CT9" i="136"/>
  <c r="CT15" i="136"/>
  <c r="CT23" i="136"/>
  <c r="CT8" i="136"/>
  <c r="CT10" i="136"/>
  <c r="CT22" i="136"/>
  <c r="CT17" i="136"/>
  <c r="ER1" i="136"/>
  <c r="CT21" i="136"/>
  <c r="CT13" i="136"/>
  <c r="CT12" i="136"/>
  <c r="CT16" i="136"/>
  <c r="CT18" i="136"/>
  <c r="EQ16" i="136"/>
  <c r="EQ7" i="136"/>
  <c r="EQ24" i="136"/>
  <c r="EQ15" i="136"/>
  <c r="EQ17" i="136"/>
  <c r="EQ23" i="136"/>
  <c r="EQ6" i="136"/>
  <c r="EQ22" i="136"/>
  <c r="EQ12" i="136"/>
  <c r="EQ13" i="136"/>
  <c r="EQ21" i="136"/>
  <c r="EQ9" i="136"/>
  <c r="EQ20" i="136"/>
  <c r="EQ8" i="136"/>
  <c r="EQ19" i="136"/>
  <c r="EQ14" i="136"/>
  <c r="EQ18" i="136"/>
  <c r="EQ11" i="136"/>
  <c r="DS2" i="136"/>
  <c r="DR1" i="136"/>
  <c r="CU1" i="136"/>
  <c r="CV2" i="136"/>
  <c r="CT22" i="137"/>
  <c r="CT14" i="137"/>
  <c r="ER1" i="137"/>
  <c r="CT21" i="137"/>
  <c r="CT11" i="137"/>
  <c r="CT6" i="137"/>
  <c r="CT20" i="137"/>
  <c r="CT13" i="137"/>
  <c r="CT19" i="137"/>
  <c r="CT12" i="137"/>
  <c r="CT17" i="137"/>
  <c r="CT10" i="137"/>
  <c r="CT18" i="137"/>
  <c r="CT8" i="137"/>
  <c r="CT24" i="137"/>
  <c r="CT16" i="137"/>
  <c r="CT9" i="137"/>
  <c r="CT23" i="137"/>
  <c r="CT15" i="137"/>
  <c r="CT7" i="137"/>
  <c r="DS2" i="137"/>
  <c r="DR1" i="137"/>
  <c r="CU1" i="137"/>
  <c r="CV2" i="137"/>
  <c r="EQ23" i="132"/>
  <c r="EQ13" i="132"/>
  <c r="EQ7" i="132"/>
  <c r="EQ21" i="132"/>
  <c r="EQ11" i="132"/>
  <c r="EQ6" i="132"/>
  <c r="EQ17" i="132"/>
  <c r="EQ8" i="132"/>
  <c r="EQ24" i="132"/>
  <c r="EQ18" i="132"/>
  <c r="EQ20" i="132"/>
  <c r="EQ12" i="132"/>
  <c r="EQ19" i="132"/>
  <c r="EQ9" i="132"/>
  <c r="EQ22" i="132"/>
  <c r="EQ14" i="132"/>
  <c r="EQ16" i="132"/>
  <c r="EQ15" i="132"/>
  <c r="CT18" i="133"/>
  <c r="CT16" i="133"/>
  <c r="CT21" i="133"/>
  <c r="ER1" i="133"/>
  <c r="CT22" i="133"/>
  <c r="CT20" i="133"/>
  <c r="CT6" i="133"/>
  <c r="CT9" i="133"/>
  <c r="CT17" i="133"/>
  <c r="CT24" i="133"/>
  <c r="CT10" i="133"/>
  <c r="CT23" i="133"/>
  <c r="CT13" i="133"/>
  <c r="CT8" i="133"/>
  <c r="CT7" i="133"/>
  <c r="CT12" i="133"/>
  <c r="CT14" i="133"/>
  <c r="CT15" i="133"/>
  <c r="CT19" i="133"/>
  <c r="CT11" i="133"/>
  <c r="CV2" i="133"/>
  <c r="CU1" i="133"/>
  <c r="DQ19" i="132"/>
  <c r="DQ18" i="132"/>
  <c r="DQ10" i="132"/>
  <c r="DQ11" i="132"/>
  <c r="DQ6" i="132"/>
  <c r="DQ16" i="132"/>
  <c r="DQ15" i="132"/>
  <c r="DQ9" i="132"/>
  <c r="DQ17" i="132"/>
  <c r="DQ12" i="132"/>
  <c r="DQ21" i="132"/>
  <c r="DQ13" i="132"/>
  <c r="DQ8" i="132"/>
  <c r="DQ14" i="132"/>
  <c r="DQ22" i="132"/>
  <c r="DQ7" i="132"/>
  <c r="DQ20" i="132"/>
  <c r="DQ24" i="132"/>
  <c r="DQ23" i="132"/>
  <c r="DT2" i="133"/>
  <c r="DS1" i="133"/>
  <c r="DS2" i="132"/>
  <c r="DR1" i="132"/>
  <c r="EQ20" i="133"/>
  <c r="EQ8" i="133"/>
  <c r="EQ14" i="133"/>
  <c r="EQ6" i="133"/>
  <c r="EQ15" i="133"/>
  <c r="EQ9" i="133"/>
  <c r="EQ21" i="133"/>
  <c r="EQ18" i="133"/>
  <c r="EQ19" i="133"/>
  <c r="EQ16" i="133"/>
  <c r="EQ22" i="133"/>
  <c r="EQ17" i="133"/>
  <c r="EQ7" i="133"/>
  <c r="EQ24" i="133"/>
  <c r="EQ23" i="133"/>
  <c r="EQ13" i="133"/>
  <c r="EQ11" i="133"/>
  <c r="EQ12" i="133"/>
  <c r="CT24" i="132"/>
  <c r="CT18" i="132"/>
  <c r="CT8" i="132"/>
  <c r="CT23" i="132"/>
  <c r="CT13" i="132"/>
  <c r="CT14" i="132"/>
  <c r="CT12" i="132"/>
  <c r="CT22" i="132"/>
  <c r="CT19" i="132"/>
  <c r="CT6" i="132"/>
  <c r="CT20" i="132"/>
  <c r="CT11" i="132"/>
  <c r="CT10" i="132"/>
  <c r="CT9" i="132"/>
  <c r="CT21" i="132"/>
  <c r="CT17" i="132"/>
  <c r="ER1" i="132"/>
  <c r="CT7" i="132"/>
  <c r="CT15" i="132"/>
  <c r="CT16" i="132"/>
  <c r="CV2" i="132"/>
  <c r="CU1" i="132"/>
  <c r="DR23" i="133"/>
  <c r="DR15" i="133"/>
  <c r="DR14" i="133"/>
  <c r="DR21" i="133"/>
  <c r="DR12" i="133"/>
  <c r="DR10" i="133"/>
  <c r="DR20" i="133"/>
  <c r="DR13" i="133"/>
  <c r="DR11" i="133"/>
  <c r="DR18" i="133"/>
  <c r="DR16" i="133"/>
  <c r="DR6" i="133"/>
  <c r="DR19" i="133"/>
  <c r="DR22" i="133"/>
  <c r="DR17" i="133"/>
  <c r="DR9" i="133"/>
  <c r="DR8" i="133"/>
  <c r="DR7" i="133"/>
  <c r="DR24" i="133"/>
  <c r="Q10" i="98"/>
  <c r="R10" i="98" s="1"/>
  <c r="Q30" i="98" s="1"/>
  <c r="BT28" i="98"/>
  <c r="ED2" i="124"/>
  <c r="EC1" i="124"/>
  <c r="DE19" i="124"/>
  <c r="DE8" i="124"/>
  <c r="DE18" i="124"/>
  <c r="DE6" i="124"/>
  <c r="DE15" i="124"/>
  <c r="FC1" i="124"/>
  <c r="DE16" i="124"/>
  <c r="DE11" i="124"/>
  <c r="DE24" i="124"/>
  <c r="DE14" i="124"/>
  <c r="DE23" i="124"/>
  <c r="DE17" i="124"/>
  <c r="DE22" i="124"/>
  <c r="DE9" i="124"/>
  <c r="DE21" i="124"/>
  <c r="DE7" i="124"/>
  <c r="DE13" i="124"/>
  <c r="DE20" i="124"/>
  <c r="DE10" i="124"/>
  <c r="DE12" i="124"/>
  <c r="FB22" i="124"/>
  <c r="FB16" i="124"/>
  <c r="FB8" i="124"/>
  <c r="FB18" i="124"/>
  <c r="FB14" i="124"/>
  <c r="FB15" i="124"/>
  <c r="FB23" i="124"/>
  <c r="FB13" i="124"/>
  <c r="FB20" i="124"/>
  <c r="FB10" i="124"/>
  <c r="FB19" i="124"/>
  <c r="FB9" i="124"/>
  <c r="FB21" i="124"/>
  <c r="FB6" i="124"/>
  <c r="FB17" i="124"/>
  <c r="FB7" i="124"/>
  <c r="FB24" i="124"/>
  <c r="FB12" i="124"/>
  <c r="FB11" i="124"/>
  <c r="EB24" i="124"/>
  <c r="EB11" i="124"/>
  <c r="EB23" i="124"/>
  <c r="EB9" i="124"/>
  <c r="EB19" i="124"/>
  <c r="EB16" i="124"/>
  <c r="EB22" i="124"/>
  <c r="EB7" i="124"/>
  <c r="EB17" i="124"/>
  <c r="EB8" i="124"/>
  <c r="EB15" i="124"/>
  <c r="EB6" i="124"/>
  <c r="EB18" i="124"/>
  <c r="EB21" i="124"/>
  <c r="EB14" i="124"/>
  <c r="EB10" i="124"/>
  <c r="EB12" i="124"/>
  <c r="EB13" i="124"/>
  <c r="EB20" i="124"/>
  <c r="DG2" i="124"/>
  <c r="DG1" i="124" s="1"/>
  <c r="DF1" i="124"/>
  <c r="Q10" i="124"/>
  <c r="R10" i="124" s="1"/>
  <c r="BV27" i="124"/>
  <c r="FB24" i="121"/>
  <c r="FB14" i="121"/>
  <c r="FB18" i="121"/>
  <c r="FB17" i="121"/>
  <c r="FB7" i="121"/>
  <c r="FB8" i="121"/>
  <c r="FB13" i="121"/>
  <c r="FB19" i="121"/>
  <c r="FB15" i="121"/>
  <c r="FB16" i="121"/>
  <c r="FB10" i="121"/>
  <c r="FB21" i="121"/>
  <c r="FB9" i="121"/>
  <c r="FB20" i="121"/>
  <c r="FB22" i="121"/>
  <c r="FB6" i="121"/>
  <c r="FB11" i="121"/>
  <c r="FB23" i="121"/>
  <c r="EB23" i="121"/>
  <c r="EB14" i="121"/>
  <c r="EB6" i="121"/>
  <c r="EB22" i="121"/>
  <c r="EB15" i="121"/>
  <c r="EB8" i="121"/>
  <c r="EB17" i="121"/>
  <c r="EB11" i="121"/>
  <c r="EB24" i="121"/>
  <c r="EB20" i="121"/>
  <c r="EB7" i="121"/>
  <c r="EB21" i="121"/>
  <c r="EB10" i="121"/>
  <c r="EB18" i="121"/>
  <c r="EB9" i="121"/>
  <c r="EB19" i="121"/>
  <c r="EB13" i="121"/>
  <c r="EB12" i="121"/>
  <c r="EB16" i="121"/>
  <c r="DE13" i="121"/>
  <c r="DE8" i="121"/>
  <c r="DE24" i="121"/>
  <c r="DE11" i="121"/>
  <c r="DE14" i="121"/>
  <c r="DE15" i="121"/>
  <c r="FC1" i="121"/>
  <c r="DE23" i="121"/>
  <c r="DE9" i="121"/>
  <c r="DE22" i="121"/>
  <c r="DE16" i="121"/>
  <c r="DE7" i="121"/>
  <c r="DE17" i="121"/>
  <c r="DE6" i="121"/>
  <c r="DE21" i="121"/>
  <c r="DE12" i="121"/>
  <c r="DE20" i="121"/>
  <c r="DE10" i="121"/>
  <c r="DE18" i="121"/>
  <c r="DE19" i="121"/>
  <c r="ED2" i="121"/>
  <c r="EC1" i="121"/>
  <c r="DG2" i="121"/>
  <c r="DG1" i="121" s="1"/>
  <c r="DF1" i="121"/>
  <c r="EP10" i="120"/>
  <c r="EQ10" i="121"/>
  <c r="FB16" i="120"/>
  <c r="FB10" i="120"/>
  <c r="FB15" i="120"/>
  <c r="FB7" i="120"/>
  <c r="FB23" i="120"/>
  <c r="FB18" i="120"/>
  <c r="FB9" i="120"/>
  <c r="FB22" i="120"/>
  <c r="FB14" i="120"/>
  <c r="FB6" i="120"/>
  <c r="FB20" i="120"/>
  <c r="FB17" i="120"/>
  <c r="FB8" i="120"/>
  <c r="FB24" i="120"/>
  <c r="FB13" i="120"/>
  <c r="FB21" i="120"/>
  <c r="FB11" i="120"/>
  <c r="FB19" i="120"/>
  <c r="FB12" i="120"/>
  <c r="DF1" i="120"/>
  <c r="DG2" i="120"/>
  <c r="DG1" i="120" s="1"/>
  <c r="DE18" i="120"/>
  <c r="DE16" i="120"/>
  <c r="DE19" i="120"/>
  <c r="DE10" i="120"/>
  <c r="DE17" i="120"/>
  <c r="DE8" i="120"/>
  <c r="DE15" i="120"/>
  <c r="DE7" i="120"/>
  <c r="DE24" i="120"/>
  <c r="DE14" i="120"/>
  <c r="DE20" i="120"/>
  <c r="DE22" i="120"/>
  <c r="DE13" i="120"/>
  <c r="DE6" i="120"/>
  <c r="DE21" i="120"/>
  <c r="DE11" i="120"/>
  <c r="FC1" i="120"/>
  <c r="DE23" i="120"/>
  <c r="DE12" i="120"/>
  <c r="DE9" i="120"/>
  <c r="EB22" i="120"/>
  <c r="EB13" i="120"/>
  <c r="EB19" i="120"/>
  <c r="EB12" i="120"/>
  <c r="EB17" i="120"/>
  <c r="EB10" i="120"/>
  <c r="EB20" i="120"/>
  <c r="EB7" i="120"/>
  <c r="EB15" i="120"/>
  <c r="EB6" i="120"/>
  <c r="EB23" i="120"/>
  <c r="EB14" i="120"/>
  <c r="EB16" i="120"/>
  <c r="EB24" i="120"/>
  <c r="EB18" i="120"/>
  <c r="EB8" i="120"/>
  <c r="EB21" i="120"/>
  <c r="EB11" i="120"/>
  <c r="EB9" i="120"/>
  <c r="EC1" i="120"/>
  <c r="ED2" i="120"/>
  <c r="EB14" i="119"/>
  <c r="EB10" i="119"/>
  <c r="EB8" i="119"/>
  <c r="EB19" i="119"/>
  <c r="EB13" i="119"/>
  <c r="EB6" i="119"/>
  <c r="EB23" i="119"/>
  <c r="EB18" i="119"/>
  <c r="EB7" i="119"/>
  <c r="EB20" i="119"/>
  <c r="EB22" i="119"/>
  <c r="EB17" i="119"/>
  <c r="EB12" i="119"/>
  <c r="EB21" i="119"/>
  <c r="EB11" i="119"/>
  <c r="EB16" i="119"/>
  <c r="EB24" i="119"/>
  <c r="EB15" i="119"/>
  <c r="EB9" i="119"/>
  <c r="ED2" i="119"/>
  <c r="EC1" i="119"/>
  <c r="DE16" i="119"/>
  <c r="DE10" i="119"/>
  <c r="DE7" i="119"/>
  <c r="DE15" i="119"/>
  <c r="DE21" i="119"/>
  <c r="DE11" i="119"/>
  <c r="DE24" i="119"/>
  <c r="DE9" i="119"/>
  <c r="DE20" i="119"/>
  <c r="DE13" i="119"/>
  <c r="DE8" i="119"/>
  <c r="DE22" i="119"/>
  <c r="DE12" i="119"/>
  <c r="DE14" i="119"/>
  <c r="DE18" i="119"/>
  <c r="DE17" i="119"/>
  <c r="DE23" i="119"/>
  <c r="DE6" i="119"/>
  <c r="DE19" i="119"/>
  <c r="FC1" i="119"/>
  <c r="DG2" i="119"/>
  <c r="DG1" i="119" s="1"/>
  <c r="DF1" i="119"/>
  <c r="FB24" i="119"/>
  <c r="FB13" i="119"/>
  <c r="FB16" i="119"/>
  <c r="FB10" i="119"/>
  <c r="FB22" i="119"/>
  <c r="FB18" i="119"/>
  <c r="FB6" i="119"/>
  <c r="FB20" i="119"/>
  <c r="FB11" i="119"/>
  <c r="FB7" i="119"/>
  <c r="FB12" i="119"/>
  <c r="FB17" i="119"/>
  <c r="FB19" i="119"/>
  <c r="FB14" i="119"/>
  <c r="FB21" i="119"/>
  <c r="FB9" i="119"/>
  <c r="FB15" i="119"/>
  <c r="FB23" i="119"/>
  <c r="FB8" i="119"/>
  <c r="EO10" i="116"/>
  <c r="EO10" i="119"/>
  <c r="DG1" i="116"/>
  <c r="DH2" i="116"/>
  <c r="DH1" i="116" s="1"/>
  <c r="FC21" i="116"/>
  <c r="FC10" i="116"/>
  <c r="FC7" i="116"/>
  <c r="FC17" i="116"/>
  <c r="FC18" i="116"/>
  <c r="FC9" i="116"/>
  <c r="FC13" i="116"/>
  <c r="FC11" i="116"/>
  <c r="FC23" i="116"/>
  <c r="FC8" i="116"/>
  <c r="FC14" i="116"/>
  <c r="FC6" i="116"/>
  <c r="FC19" i="116"/>
  <c r="FC15" i="116"/>
  <c r="FC22" i="116"/>
  <c r="FC16" i="116"/>
  <c r="FC24" i="116"/>
  <c r="FC20" i="116"/>
  <c r="FC12" i="116"/>
  <c r="DF18" i="116"/>
  <c r="DF9" i="116"/>
  <c r="DF17" i="116"/>
  <c r="DF15" i="116"/>
  <c r="DF16" i="116"/>
  <c r="DF8" i="116"/>
  <c r="DF10" i="116"/>
  <c r="DF23" i="116"/>
  <c r="DF20" i="116"/>
  <c r="DF11" i="116"/>
  <c r="DF22" i="116"/>
  <c r="DF14" i="116"/>
  <c r="DF7" i="116"/>
  <c r="DF19" i="116"/>
  <c r="DF6" i="116"/>
  <c r="DF21" i="116"/>
  <c r="DF12" i="116"/>
  <c r="FD1" i="116"/>
  <c r="DF24" i="116"/>
  <c r="DF13" i="116"/>
  <c r="EC18" i="116"/>
  <c r="EC14" i="116"/>
  <c r="EC22" i="116"/>
  <c r="EC13" i="116"/>
  <c r="EC12" i="116"/>
  <c r="EC9" i="116"/>
  <c r="EC19" i="116"/>
  <c r="EC7" i="116"/>
  <c r="EC21" i="116"/>
  <c r="EC16" i="116"/>
  <c r="EC24" i="116"/>
  <c r="EC17" i="116"/>
  <c r="EC6" i="116"/>
  <c r="EC20" i="116"/>
  <c r="EC15" i="116"/>
  <c r="EC8" i="116"/>
  <c r="EC23" i="116"/>
  <c r="EC10" i="116"/>
  <c r="EC11" i="116"/>
  <c r="ED1" i="116"/>
  <c r="EE2" i="116"/>
  <c r="FC20" i="112"/>
  <c r="FC14" i="112"/>
  <c r="FC19" i="112"/>
  <c r="FC10" i="112"/>
  <c r="FC21" i="112"/>
  <c r="FC8" i="112"/>
  <c r="FC18" i="112"/>
  <c r="FC6" i="112"/>
  <c r="FC24" i="112"/>
  <c r="FC16" i="112"/>
  <c r="FC13" i="112"/>
  <c r="FC12" i="112"/>
  <c r="FC23" i="112"/>
  <c r="FC9" i="112"/>
  <c r="FC7" i="112"/>
  <c r="FC15" i="112"/>
  <c r="FC22" i="112"/>
  <c r="FC17" i="112"/>
  <c r="FC11" i="112"/>
  <c r="DH2" i="113"/>
  <c r="DH1" i="113" s="1"/>
  <c r="DG1" i="113"/>
  <c r="DF24" i="113"/>
  <c r="DF16" i="113"/>
  <c r="DF13" i="113"/>
  <c r="DF22" i="113"/>
  <c r="DF23" i="113"/>
  <c r="DF15" i="113"/>
  <c r="DF7" i="113"/>
  <c r="DF21" i="113"/>
  <c r="DF20" i="113"/>
  <c r="DF11" i="113"/>
  <c r="DF6" i="113"/>
  <c r="DF8" i="113"/>
  <c r="DF19" i="113"/>
  <c r="DF14" i="113"/>
  <c r="FD1" i="113"/>
  <c r="DF17" i="113"/>
  <c r="DF10" i="113"/>
  <c r="DF18" i="113"/>
  <c r="DF12" i="113"/>
  <c r="DF9" i="113"/>
  <c r="DF11" i="112"/>
  <c r="FD1" i="112"/>
  <c r="DF24" i="112"/>
  <c r="DF10" i="112"/>
  <c r="DF15" i="112"/>
  <c r="DF23" i="112"/>
  <c r="DF9" i="112"/>
  <c r="DF16" i="112"/>
  <c r="DF21" i="112"/>
  <c r="DF13" i="112"/>
  <c r="DF17" i="112"/>
  <c r="DF19" i="112"/>
  <c r="DF18" i="112"/>
  <c r="DF8" i="112"/>
  <c r="DF20" i="112"/>
  <c r="DF7" i="112"/>
  <c r="DF12" i="112"/>
  <c r="DF14" i="112"/>
  <c r="DF6" i="112"/>
  <c r="DF22" i="112"/>
  <c r="EC17" i="113"/>
  <c r="EC10" i="113"/>
  <c r="EC16" i="113"/>
  <c r="EC23" i="113"/>
  <c r="EC24" i="113"/>
  <c r="EC13" i="113"/>
  <c r="EC7" i="113"/>
  <c r="EC18" i="113"/>
  <c r="EC20" i="113"/>
  <c r="EC12" i="113"/>
  <c r="EC9" i="113"/>
  <c r="EC19" i="113"/>
  <c r="EC21" i="113"/>
  <c r="EC11" i="113"/>
  <c r="EC6" i="113"/>
  <c r="EC15" i="113"/>
  <c r="EC22" i="113"/>
  <c r="EC8" i="113"/>
  <c r="EC14" i="113"/>
  <c r="DH2" i="112"/>
  <c r="DH1" i="112" s="1"/>
  <c r="DG1" i="112"/>
  <c r="EC12" i="112"/>
  <c r="EC22" i="112"/>
  <c r="EC23" i="112"/>
  <c r="EC24" i="112"/>
  <c r="EC10" i="112"/>
  <c r="EC20" i="112"/>
  <c r="EC21" i="112"/>
  <c r="EC15" i="112"/>
  <c r="EC14" i="112"/>
  <c r="EC11" i="112"/>
  <c r="EC8" i="112"/>
  <c r="EC13" i="112"/>
  <c r="EC16" i="112"/>
  <c r="EC7" i="112"/>
  <c r="EC6" i="112"/>
  <c r="EC19" i="112"/>
  <c r="EC18" i="112"/>
  <c r="EC17" i="112"/>
  <c r="EC9" i="112"/>
  <c r="ED1" i="113"/>
  <c r="EE2" i="113"/>
  <c r="FC20" i="113"/>
  <c r="FC7" i="113"/>
  <c r="FC11" i="113"/>
  <c r="FC15" i="113"/>
  <c r="FC21" i="113"/>
  <c r="FC17" i="113"/>
  <c r="FC23" i="113"/>
  <c r="FC19" i="113"/>
  <c r="FC6" i="113"/>
  <c r="FC13" i="113"/>
  <c r="FC10" i="113"/>
  <c r="FC18" i="113"/>
  <c r="FC12" i="113"/>
  <c r="FC9" i="113"/>
  <c r="FC8" i="113"/>
  <c r="FC16" i="113"/>
  <c r="FC14" i="113"/>
  <c r="FC22" i="113"/>
  <c r="FC24" i="113"/>
  <c r="EE2" i="112"/>
  <c r="ED1" i="112"/>
  <c r="EL10" i="109"/>
  <c r="EM10" i="112"/>
  <c r="EN10" i="113"/>
  <c r="FC22" i="109"/>
  <c r="FC10" i="109"/>
  <c r="FC20" i="109"/>
  <c r="FC19" i="109"/>
  <c r="FC13" i="109"/>
  <c r="FC11" i="109"/>
  <c r="FC21" i="109"/>
  <c r="FC9" i="109"/>
  <c r="FC23" i="109"/>
  <c r="FC8" i="109"/>
  <c r="FC6" i="109"/>
  <c r="FC17" i="109"/>
  <c r="FC15" i="109"/>
  <c r="FC7" i="109"/>
  <c r="FC16" i="109"/>
  <c r="FC14" i="109"/>
  <c r="FC18" i="109"/>
  <c r="FC12" i="109"/>
  <c r="FC24" i="109"/>
  <c r="EX120" i="9"/>
  <c r="BM13" i="133" s="1"/>
  <c r="EW121" i="9"/>
  <c r="DE17" i="108"/>
  <c r="FC1" i="108"/>
  <c r="DE22" i="108"/>
  <c r="DE8" i="108"/>
  <c r="DE7" i="108"/>
  <c r="DE18" i="108"/>
  <c r="DE16" i="108"/>
  <c r="DE15" i="108"/>
  <c r="DE11" i="108"/>
  <c r="DE14" i="108"/>
  <c r="DE13" i="108"/>
  <c r="DE23" i="108"/>
  <c r="DE10" i="108"/>
  <c r="DE19" i="108"/>
  <c r="DE24" i="108"/>
  <c r="DE12" i="108"/>
  <c r="DE21" i="108"/>
  <c r="DE9" i="108"/>
  <c r="DE20" i="108"/>
  <c r="DE6" i="108"/>
  <c r="DG2" i="108"/>
  <c r="DG1" i="108" s="1"/>
  <c r="DF1" i="108"/>
  <c r="FB15" i="108"/>
  <c r="FB20" i="108"/>
  <c r="FB6" i="108"/>
  <c r="FB17" i="108"/>
  <c r="FB14" i="108"/>
  <c r="FB21" i="108"/>
  <c r="FB13" i="108"/>
  <c r="FB8" i="108"/>
  <c r="FB24" i="108"/>
  <c r="FB12" i="108"/>
  <c r="FB23" i="108"/>
  <c r="FB11" i="108"/>
  <c r="FB9" i="108"/>
  <c r="FB18" i="108"/>
  <c r="FB16" i="108"/>
  <c r="FB22" i="108"/>
  <c r="FB10" i="108"/>
  <c r="FB19" i="108"/>
  <c r="FB7" i="108"/>
  <c r="EJ10" i="108"/>
  <c r="EB22" i="108"/>
  <c r="EB10" i="108"/>
  <c r="EB13" i="108"/>
  <c r="EB24" i="108"/>
  <c r="EB12" i="108"/>
  <c r="EB21" i="108"/>
  <c r="EB9" i="108"/>
  <c r="EB15" i="108"/>
  <c r="EB11" i="108"/>
  <c r="EB20" i="108"/>
  <c r="EB8" i="108"/>
  <c r="EB23" i="108"/>
  <c r="EB19" i="108"/>
  <c r="EB7" i="108"/>
  <c r="EB16" i="108"/>
  <c r="EB18" i="108"/>
  <c r="EB6" i="108"/>
  <c r="EB17" i="108"/>
  <c r="EB14" i="108"/>
  <c r="EE2" i="109"/>
  <c r="ED1" i="109"/>
  <c r="DH2" i="109"/>
  <c r="DH1" i="109" s="1"/>
  <c r="DG1" i="109"/>
  <c r="EC1" i="108"/>
  <c r="ED2" i="108"/>
  <c r="EC17" i="109"/>
  <c r="EC16" i="109"/>
  <c r="EC15" i="109"/>
  <c r="EC14" i="109"/>
  <c r="EC13" i="109"/>
  <c r="EC24" i="109"/>
  <c r="EC10" i="109"/>
  <c r="EC12" i="109"/>
  <c r="EC23" i="109"/>
  <c r="EC21" i="109"/>
  <c r="EC8" i="109"/>
  <c r="EC7" i="109"/>
  <c r="EC6" i="109"/>
  <c r="EC20" i="109"/>
  <c r="EC19" i="109"/>
  <c r="EC11" i="109"/>
  <c r="EC22" i="109"/>
  <c r="EC9" i="109"/>
  <c r="EC18" i="109"/>
  <c r="DF24" i="109"/>
  <c r="DF12" i="109"/>
  <c r="DF20" i="109"/>
  <c r="DF14" i="109"/>
  <c r="DF23" i="109"/>
  <c r="DF11" i="109"/>
  <c r="DF8" i="109"/>
  <c r="DF7" i="109"/>
  <c r="FD1" i="109"/>
  <c r="DF15" i="109"/>
  <c r="DF22" i="109"/>
  <c r="DF10" i="109"/>
  <c r="DF6" i="109"/>
  <c r="DF21" i="109"/>
  <c r="DF9" i="109"/>
  <c r="DF19" i="109"/>
  <c r="DF17" i="109"/>
  <c r="DF18" i="109"/>
  <c r="DF16" i="109"/>
  <c r="DF13" i="109"/>
  <c r="IV119" i="9"/>
  <c r="IU120" i="9"/>
  <c r="BU13" i="106"/>
  <c r="Q13" i="106" s="1"/>
  <c r="R13" i="106" s="1"/>
  <c r="GJ120" i="9"/>
  <c r="GN120" i="9" s="1"/>
  <c r="BQ13" i="133" s="1"/>
  <c r="DE17" i="106"/>
  <c r="DE9" i="106"/>
  <c r="DE24" i="106"/>
  <c r="DE16" i="106"/>
  <c r="DE8" i="106"/>
  <c r="DE23" i="106"/>
  <c r="DE15" i="106"/>
  <c r="DE7" i="106"/>
  <c r="DE22" i="106"/>
  <c r="DE14" i="106"/>
  <c r="DE6" i="106"/>
  <c r="DE21" i="106"/>
  <c r="DE13" i="106"/>
  <c r="FC1" i="106"/>
  <c r="DE20" i="106"/>
  <c r="DE12" i="106"/>
  <c r="DE19" i="106"/>
  <c r="DE11" i="106"/>
  <c r="DE18" i="106"/>
  <c r="DE10" i="106"/>
  <c r="EH10" i="105"/>
  <c r="CG10" i="105" s="1"/>
  <c r="Y10" i="105" s="1"/>
  <c r="EI10" i="106"/>
  <c r="DG2" i="106"/>
  <c r="DG1" i="106" s="1"/>
  <c r="DF1" i="106"/>
  <c r="EB18" i="106"/>
  <c r="EB10" i="106"/>
  <c r="EB17" i="106"/>
  <c r="EB9" i="106"/>
  <c r="EB24" i="106"/>
  <c r="EB16" i="106"/>
  <c r="EB8" i="106"/>
  <c r="EB23" i="106"/>
  <c r="EB15" i="106"/>
  <c r="EB7" i="106"/>
  <c r="EB22" i="106"/>
  <c r="EB14" i="106"/>
  <c r="EB6" i="106"/>
  <c r="EB21" i="106"/>
  <c r="EB13" i="106"/>
  <c r="EB20" i="106"/>
  <c r="EB12" i="106"/>
  <c r="EB19" i="106"/>
  <c r="EB11" i="106"/>
  <c r="ED2" i="106"/>
  <c r="EC1" i="106"/>
  <c r="FB23" i="106"/>
  <c r="FB15" i="106"/>
  <c r="FB7" i="106"/>
  <c r="FB22" i="106"/>
  <c r="FB14" i="106"/>
  <c r="FB6" i="106"/>
  <c r="FB21" i="106"/>
  <c r="FB13" i="106"/>
  <c r="FB20" i="106"/>
  <c r="FB12" i="106"/>
  <c r="FB19" i="106"/>
  <c r="FB11" i="106"/>
  <c r="FB18" i="106"/>
  <c r="FB10" i="106"/>
  <c r="FB17" i="106"/>
  <c r="FB9" i="106"/>
  <c r="FB24" i="106"/>
  <c r="FB16" i="106"/>
  <c r="FB8" i="106"/>
  <c r="GH118" i="9"/>
  <c r="BU10" i="105" s="1"/>
  <c r="BU29" i="105" s="1"/>
  <c r="GH119" i="9"/>
  <c r="BU28" i="105"/>
  <c r="O30" i="105"/>
  <c r="O28" i="105"/>
  <c r="O29" i="105"/>
  <c r="ED2" i="105"/>
  <c r="EC1" i="105"/>
  <c r="DE14" i="105"/>
  <c r="DE24" i="105"/>
  <c r="DE12" i="105"/>
  <c r="FC1" i="105"/>
  <c r="DE13" i="105"/>
  <c r="DE15" i="105"/>
  <c r="DE23" i="105"/>
  <c r="DE11" i="105"/>
  <c r="DE19" i="105"/>
  <c r="DE6" i="105"/>
  <c r="DE16" i="105"/>
  <c r="DE22" i="105"/>
  <c r="DE10" i="105"/>
  <c r="DE8" i="105"/>
  <c r="DE17" i="105"/>
  <c r="DE21" i="105"/>
  <c r="DE9" i="105"/>
  <c r="DE20" i="105"/>
  <c r="DE7" i="105"/>
  <c r="DE18" i="105"/>
  <c r="DF1" i="105"/>
  <c r="DG2" i="105"/>
  <c r="DG1" i="105" s="1"/>
  <c r="EB19" i="105"/>
  <c r="EB7" i="105"/>
  <c r="EB17" i="105"/>
  <c r="EB23" i="105"/>
  <c r="EB18" i="105"/>
  <c r="EB6" i="105"/>
  <c r="EB8" i="105"/>
  <c r="EB16" i="105"/>
  <c r="EB13" i="105"/>
  <c r="EB12" i="105"/>
  <c r="EB11" i="105"/>
  <c r="EB10" i="105"/>
  <c r="EB9" i="105"/>
  <c r="EB15" i="105"/>
  <c r="EB20" i="105"/>
  <c r="EB14" i="105"/>
  <c r="EB24" i="105"/>
  <c r="EB22" i="105"/>
  <c r="EB21" i="105"/>
  <c r="FB24" i="105"/>
  <c r="FB12" i="105"/>
  <c r="FB22" i="105"/>
  <c r="FB10" i="105"/>
  <c r="FB14" i="105"/>
  <c r="FB23" i="105"/>
  <c r="FB11" i="105"/>
  <c r="FB15" i="105"/>
  <c r="FB21" i="105"/>
  <c r="FB9" i="105"/>
  <c r="FB18" i="105"/>
  <c r="FB6" i="105"/>
  <c r="FB13" i="105"/>
  <c r="FB20" i="105"/>
  <c r="FB8" i="105"/>
  <c r="FB17" i="105"/>
  <c r="FB16" i="105"/>
  <c r="FB19" i="105"/>
  <c r="FB7" i="105"/>
  <c r="O30" i="100"/>
  <c r="O29" i="100"/>
  <c r="O28" i="100"/>
  <c r="FB22" i="92"/>
  <c r="FB24" i="92"/>
  <c r="FB10" i="92"/>
  <c r="FB20" i="92"/>
  <c r="FB23" i="92"/>
  <c r="FB8" i="92"/>
  <c r="FB16" i="92"/>
  <c r="FB7" i="92"/>
  <c r="FB19" i="92"/>
  <c r="FB21" i="92"/>
  <c r="FB11" i="92"/>
  <c r="FB9" i="92"/>
  <c r="FB18" i="92"/>
  <c r="FB6" i="92"/>
  <c r="FB15" i="92"/>
  <c r="FB13" i="92"/>
  <c r="FB12" i="92"/>
  <c r="FB14" i="92"/>
  <c r="FB17" i="92"/>
  <c r="DG2" i="92"/>
  <c r="DG1" i="92" s="1"/>
  <c r="DF1" i="92"/>
  <c r="DE16" i="92"/>
  <c r="DE7" i="92"/>
  <c r="DE9" i="92"/>
  <c r="DE21" i="92"/>
  <c r="DE8" i="92"/>
  <c r="DE19" i="92"/>
  <c r="DE20" i="92"/>
  <c r="DE13" i="92"/>
  <c r="FC1" i="92"/>
  <c r="DE24" i="92"/>
  <c r="DE15" i="92"/>
  <c r="DE23" i="92"/>
  <c r="DE12" i="92"/>
  <c r="DE17" i="92"/>
  <c r="DE18" i="92"/>
  <c r="DE6" i="92"/>
  <c r="DE10" i="92"/>
  <c r="DE22" i="92"/>
  <c r="DE14" i="92"/>
  <c r="DE11" i="92"/>
  <c r="EB16" i="92"/>
  <c r="EB23" i="92"/>
  <c r="EB14" i="92"/>
  <c r="EB19" i="92"/>
  <c r="EB20" i="92"/>
  <c r="EB22" i="92"/>
  <c r="EB13" i="92"/>
  <c r="EB15" i="92"/>
  <c r="EB24" i="92"/>
  <c r="EB12" i="92"/>
  <c r="EB7" i="92"/>
  <c r="EB21" i="92"/>
  <c r="EB10" i="92"/>
  <c r="EB6" i="92"/>
  <c r="EB18" i="92"/>
  <c r="EB9" i="92"/>
  <c r="EB11" i="92"/>
  <c r="EB8" i="92"/>
  <c r="EB17" i="92"/>
  <c r="ED2" i="92"/>
  <c r="EC1" i="92"/>
  <c r="FB19" i="90"/>
  <c r="FB17" i="90"/>
  <c r="FB22" i="90"/>
  <c r="FB7" i="90"/>
  <c r="FB15" i="90"/>
  <c r="FB16" i="90"/>
  <c r="FB14" i="90"/>
  <c r="FB6" i="90"/>
  <c r="FB20" i="90"/>
  <c r="FB10" i="90"/>
  <c r="FB9" i="90"/>
  <c r="FB18" i="90"/>
  <c r="FB12" i="90"/>
  <c r="FB8" i="90"/>
  <c r="FB23" i="90"/>
  <c r="FB11" i="90"/>
  <c r="FB13" i="90"/>
  <c r="FB24" i="90"/>
  <c r="FB21" i="90"/>
  <c r="ED2" i="91"/>
  <c r="EC1" i="91"/>
  <c r="EB14" i="90"/>
  <c r="EB21" i="90"/>
  <c r="EB16" i="90"/>
  <c r="EB23" i="90"/>
  <c r="EB9" i="90"/>
  <c r="EB24" i="90"/>
  <c r="EB8" i="90"/>
  <c r="EB22" i="90"/>
  <c r="EB7" i="90"/>
  <c r="EB6" i="90"/>
  <c r="EB18" i="90"/>
  <c r="EB17" i="90"/>
  <c r="EB15" i="90"/>
  <c r="EB19" i="90"/>
  <c r="EB11" i="90"/>
  <c r="EB20" i="90"/>
  <c r="EB10" i="90"/>
  <c r="EB12" i="90"/>
  <c r="EB13" i="90"/>
  <c r="ED2" i="90"/>
  <c r="EC1" i="90"/>
  <c r="DF1" i="91"/>
  <c r="DG2" i="91"/>
  <c r="DG1" i="91" s="1"/>
  <c r="EB6" i="91"/>
  <c r="EB19" i="91"/>
  <c r="EB15" i="91"/>
  <c r="EB17" i="91"/>
  <c r="EB21" i="91"/>
  <c r="EB12" i="91"/>
  <c r="EB11" i="91"/>
  <c r="EB18" i="91"/>
  <c r="EB8" i="91"/>
  <c r="EB14" i="91"/>
  <c r="EB13" i="91"/>
  <c r="EB16" i="91"/>
  <c r="EB10" i="91"/>
  <c r="EB24" i="91"/>
  <c r="EB9" i="91"/>
  <c r="EB23" i="91"/>
  <c r="EB20" i="91"/>
  <c r="EB22" i="91"/>
  <c r="EB7" i="91"/>
  <c r="DE23" i="91"/>
  <c r="DE21" i="91"/>
  <c r="DE22" i="91"/>
  <c r="DE15" i="91"/>
  <c r="DE19" i="91"/>
  <c r="DE14" i="91"/>
  <c r="DE7" i="91"/>
  <c r="DE8" i="91"/>
  <c r="DE18" i="91"/>
  <c r="DE12" i="91"/>
  <c r="DE11" i="91"/>
  <c r="DE24" i="91"/>
  <c r="DE17" i="91"/>
  <c r="DE9" i="91"/>
  <c r="DE20" i="91"/>
  <c r="DE6" i="91"/>
  <c r="DE16" i="91"/>
  <c r="FC1" i="91"/>
  <c r="DE13" i="91"/>
  <c r="DE10" i="91"/>
  <c r="DG2" i="90"/>
  <c r="DG1" i="90" s="1"/>
  <c r="DF1" i="90"/>
  <c r="DE9" i="90"/>
  <c r="DE8" i="90"/>
  <c r="DE6" i="90"/>
  <c r="DE18" i="90"/>
  <c r="DE24" i="90"/>
  <c r="FC1" i="90"/>
  <c r="DE22" i="90"/>
  <c r="DE16" i="90"/>
  <c r="DE19" i="90"/>
  <c r="DE14" i="90"/>
  <c r="DE23" i="90"/>
  <c r="DE17" i="90"/>
  <c r="DE11" i="90"/>
  <c r="DE21" i="90"/>
  <c r="DE7" i="90"/>
  <c r="DE15" i="90"/>
  <c r="DE13" i="90"/>
  <c r="DE12" i="90"/>
  <c r="DE10" i="90"/>
  <c r="DE20" i="90"/>
  <c r="FB20" i="91"/>
  <c r="FB9" i="91"/>
  <c r="FB19" i="91"/>
  <c r="FB6" i="91"/>
  <c r="FB18" i="91"/>
  <c r="FB14" i="91"/>
  <c r="FB15" i="91"/>
  <c r="FB12" i="91"/>
  <c r="FB24" i="91"/>
  <c r="FB11" i="91"/>
  <c r="FB17" i="91"/>
  <c r="FB8" i="91"/>
  <c r="FB7" i="91"/>
  <c r="FB21" i="91"/>
  <c r="FB10" i="91"/>
  <c r="FB16" i="91"/>
  <c r="FB13" i="91"/>
  <c r="FB23" i="91"/>
  <c r="FB22" i="91"/>
  <c r="DG2" i="89"/>
  <c r="DG1" i="89" s="1"/>
  <c r="DF1" i="89"/>
  <c r="DE18" i="89"/>
  <c r="DE9" i="89"/>
  <c r="DE19" i="89"/>
  <c r="DE8" i="89"/>
  <c r="FC1" i="89"/>
  <c r="DE21" i="89"/>
  <c r="DE14" i="89"/>
  <c r="DE6" i="89"/>
  <c r="DE23" i="89"/>
  <c r="DE17" i="89"/>
  <c r="DE7" i="89"/>
  <c r="DE20" i="89"/>
  <c r="DE10" i="89"/>
  <c r="DE13" i="89"/>
  <c r="DE22" i="89"/>
  <c r="DE15" i="89"/>
  <c r="DE24" i="89"/>
  <c r="DE12" i="89"/>
  <c r="DE16" i="89"/>
  <c r="DE11" i="89"/>
  <c r="EB23" i="89"/>
  <c r="EB15" i="89"/>
  <c r="EB8" i="89"/>
  <c r="EB22" i="89"/>
  <c r="EB13" i="89"/>
  <c r="EB9" i="89"/>
  <c r="EB21" i="89"/>
  <c r="EB12" i="89"/>
  <c r="EB19" i="89"/>
  <c r="EB11" i="89"/>
  <c r="EB20" i="89"/>
  <c r="EB10" i="89"/>
  <c r="EB14" i="89"/>
  <c r="EB17" i="89"/>
  <c r="EB16" i="89"/>
  <c r="EB7" i="89"/>
  <c r="EB24" i="89"/>
  <c r="EB18" i="89"/>
  <c r="EB6" i="89"/>
  <c r="ED2" i="89"/>
  <c r="EC1" i="89"/>
  <c r="FB21" i="89"/>
  <c r="FB9" i="89"/>
  <c r="FB16" i="89"/>
  <c r="FB20" i="89"/>
  <c r="FB8" i="89"/>
  <c r="FB13" i="89"/>
  <c r="FB10" i="89"/>
  <c r="FB18" i="89"/>
  <c r="FB12" i="89"/>
  <c r="FB23" i="89"/>
  <c r="FB17" i="89"/>
  <c r="FB14" i="89"/>
  <c r="FB22" i="89"/>
  <c r="FB7" i="89"/>
  <c r="FB24" i="89"/>
  <c r="FB15" i="89"/>
  <c r="FB6" i="89"/>
  <c r="FB19" i="89"/>
  <c r="FB11" i="89"/>
  <c r="FB23" i="87"/>
  <c r="FB19" i="87"/>
  <c r="FB8" i="87"/>
  <c r="FB21" i="87"/>
  <c r="FB6" i="87"/>
  <c r="FB15" i="87"/>
  <c r="FB11" i="87"/>
  <c r="FB22" i="87"/>
  <c r="FB10" i="87"/>
  <c r="FB16" i="87"/>
  <c r="FB13" i="87"/>
  <c r="FB20" i="87"/>
  <c r="FB9" i="87"/>
  <c r="FB12" i="87"/>
  <c r="FB24" i="87"/>
  <c r="FB18" i="87"/>
  <c r="FB7" i="87"/>
  <c r="FB17" i="87"/>
  <c r="FB14" i="87"/>
  <c r="DE19" i="88"/>
  <c r="DE7" i="88"/>
  <c r="DE15" i="88"/>
  <c r="DE14" i="88"/>
  <c r="DE22" i="88"/>
  <c r="DE16" i="88"/>
  <c r="DE8" i="88"/>
  <c r="DE21" i="88"/>
  <c r="DE20" i="88"/>
  <c r="DE6" i="88"/>
  <c r="DE24" i="88"/>
  <c r="DE13" i="88"/>
  <c r="DE12" i="88"/>
  <c r="DE17" i="88"/>
  <c r="DE11" i="88"/>
  <c r="FC1" i="88"/>
  <c r="DE23" i="88"/>
  <c r="DE10" i="88"/>
  <c r="DE18" i="88"/>
  <c r="DE9" i="88"/>
  <c r="FB22" i="88"/>
  <c r="FB14" i="88"/>
  <c r="FB7" i="88"/>
  <c r="FB24" i="88"/>
  <c r="FB13" i="88"/>
  <c r="FB15" i="88"/>
  <c r="FB20" i="88"/>
  <c r="FB8" i="88"/>
  <c r="FB18" i="88"/>
  <c r="FB10" i="88"/>
  <c r="FB21" i="88"/>
  <c r="FB6" i="88"/>
  <c r="FB16" i="88"/>
  <c r="FB12" i="88"/>
  <c r="FB19" i="88"/>
  <c r="FB11" i="88"/>
  <c r="FB23" i="88"/>
  <c r="FB17" i="88"/>
  <c r="FB9" i="88"/>
  <c r="DG2" i="88"/>
  <c r="DG1" i="88" s="1"/>
  <c r="DF1" i="88"/>
  <c r="DG2" i="87"/>
  <c r="DG1" i="87" s="1"/>
  <c r="DF1" i="87"/>
  <c r="DE16" i="87"/>
  <c r="DE10" i="87"/>
  <c r="DE19" i="87"/>
  <c r="DE24" i="87"/>
  <c r="DE15" i="87"/>
  <c r="DE9" i="87"/>
  <c r="DE21" i="87"/>
  <c r="DE11" i="87"/>
  <c r="DE23" i="87"/>
  <c r="DE12" i="87"/>
  <c r="DE7" i="87"/>
  <c r="DE13" i="87"/>
  <c r="DE20" i="87"/>
  <c r="DE17" i="87"/>
  <c r="DE8" i="87"/>
  <c r="DE22" i="87"/>
  <c r="DE14" i="87"/>
  <c r="FC1" i="87"/>
  <c r="DE6" i="87"/>
  <c r="DE18" i="87"/>
  <c r="EB22" i="87"/>
  <c r="EB9" i="87"/>
  <c r="EB14" i="87"/>
  <c r="EB8" i="87"/>
  <c r="EB18" i="87"/>
  <c r="EB10" i="87"/>
  <c r="EB17" i="87"/>
  <c r="EB15" i="87"/>
  <c r="EB20" i="87"/>
  <c r="EB13" i="87"/>
  <c r="EB7" i="87"/>
  <c r="EB6" i="87"/>
  <c r="EB24" i="87"/>
  <c r="EB16" i="87"/>
  <c r="EB12" i="87"/>
  <c r="EB11" i="87"/>
  <c r="EB19" i="87"/>
  <c r="EB21" i="87"/>
  <c r="EB23" i="87"/>
  <c r="EB24" i="88"/>
  <c r="EB14" i="88"/>
  <c r="EB18" i="88"/>
  <c r="EB23" i="88"/>
  <c r="EB12" i="88"/>
  <c r="EB7" i="88"/>
  <c r="EB20" i="88"/>
  <c r="EB10" i="88"/>
  <c r="EB8" i="88"/>
  <c r="EB17" i="88"/>
  <c r="EB9" i="88"/>
  <c r="EB21" i="88"/>
  <c r="EB11" i="88"/>
  <c r="EB19" i="88"/>
  <c r="EB22" i="88"/>
  <c r="EB16" i="88"/>
  <c r="EB6" i="88"/>
  <c r="EB15" i="88"/>
  <c r="EB13" i="88"/>
  <c r="EC1" i="87"/>
  <c r="ED2" i="87"/>
  <c r="EC1" i="88"/>
  <c r="ED2" i="88"/>
  <c r="FB22" i="86"/>
  <c r="FB18" i="86"/>
  <c r="FB7" i="86"/>
  <c r="FB19" i="86"/>
  <c r="FB21" i="86"/>
  <c r="FB6" i="86"/>
  <c r="FB24" i="86"/>
  <c r="FB13" i="86"/>
  <c r="FB10" i="86"/>
  <c r="FB23" i="86"/>
  <c r="FB12" i="86"/>
  <c r="FB17" i="86"/>
  <c r="FB14" i="86"/>
  <c r="FB20" i="86"/>
  <c r="FB16" i="86"/>
  <c r="FB11" i="86"/>
  <c r="FB8" i="86"/>
  <c r="FB15" i="86"/>
  <c r="FB9" i="86"/>
  <c r="DE16" i="86"/>
  <c r="DE10" i="86"/>
  <c r="DE7" i="86"/>
  <c r="DE15" i="86"/>
  <c r="DE9" i="86"/>
  <c r="DE22" i="86"/>
  <c r="DE19" i="86"/>
  <c r="DE8" i="86"/>
  <c r="DE20" i="86"/>
  <c r="DE21" i="86"/>
  <c r="DE18" i="86"/>
  <c r="DE24" i="86"/>
  <c r="FC1" i="86"/>
  <c r="DE23" i="86"/>
  <c r="DE13" i="86"/>
  <c r="DE12" i="86"/>
  <c r="DE17" i="86"/>
  <c r="DE6" i="86"/>
  <c r="DE14" i="86"/>
  <c r="DE11" i="86"/>
  <c r="DG2" i="86"/>
  <c r="DG1" i="86" s="1"/>
  <c r="DF1" i="86"/>
  <c r="EB20" i="86"/>
  <c r="EB13" i="86"/>
  <c r="EB8" i="86"/>
  <c r="EB22" i="86"/>
  <c r="EB12" i="86"/>
  <c r="EB7" i="86"/>
  <c r="EB16" i="86"/>
  <c r="EB18" i="86"/>
  <c r="EB21" i="86"/>
  <c r="EB19" i="86"/>
  <c r="EB24" i="86"/>
  <c r="EB11" i="86"/>
  <c r="EB17" i="86"/>
  <c r="EB6" i="86"/>
  <c r="EB14" i="86"/>
  <c r="EB9" i="86"/>
  <c r="EB15" i="86"/>
  <c r="EB10" i="86"/>
  <c r="EB23" i="86"/>
  <c r="ED2" i="86"/>
  <c r="EC1" i="86"/>
  <c r="DR18" i="142" l="1"/>
  <c r="DR16" i="142"/>
  <c r="DR14" i="142"/>
  <c r="DR12" i="142"/>
  <c r="DR11" i="142"/>
  <c r="DR9" i="142"/>
  <c r="DR7" i="142"/>
  <c r="DR24" i="142"/>
  <c r="DR19" i="142"/>
  <c r="DR22" i="142"/>
  <c r="DR10" i="142"/>
  <c r="DR20" i="142"/>
  <c r="DR17" i="142"/>
  <c r="DR15" i="142"/>
  <c r="DR13" i="142"/>
  <c r="DR8" i="142"/>
  <c r="DR6" i="142"/>
  <c r="DR21" i="142"/>
  <c r="DR23" i="142"/>
  <c r="DT2" i="142"/>
  <c r="DS1" i="142"/>
  <c r="ER18" i="142"/>
  <c r="ER16" i="142"/>
  <c r="ER12" i="142"/>
  <c r="ER7" i="142"/>
  <c r="ER6" i="142"/>
  <c r="ER22" i="142"/>
  <c r="ER20" i="142"/>
  <c r="ER17" i="142"/>
  <c r="ER15" i="142"/>
  <c r="ER14" i="142"/>
  <c r="ER13" i="142"/>
  <c r="ER11" i="142"/>
  <c r="ER9" i="142"/>
  <c r="ER8" i="142"/>
  <c r="ER24" i="142"/>
  <c r="ER21" i="142"/>
  <c r="ER23" i="142"/>
  <c r="ER19" i="142"/>
  <c r="CU20" i="142"/>
  <c r="CU17" i="142"/>
  <c r="CU15" i="142"/>
  <c r="CU14" i="142"/>
  <c r="CU13" i="142"/>
  <c r="CU12" i="142"/>
  <c r="CU9" i="142"/>
  <c r="CU8" i="142"/>
  <c r="CU24" i="142"/>
  <c r="CU23" i="142"/>
  <c r="CU22" i="142"/>
  <c r="CU21" i="142"/>
  <c r="CU18" i="142"/>
  <c r="ES1" i="142"/>
  <c r="CU19" i="142"/>
  <c r="CU7" i="142"/>
  <c r="CU16" i="142"/>
  <c r="CU11" i="142"/>
  <c r="CU6" i="142"/>
  <c r="CU10" i="142"/>
  <c r="CV1" i="142"/>
  <c r="CW2" i="142"/>
  <c r="Q10" i="100"/>
  <c r="R10" i="100" s="1"/>
  <c r="BT28" i="100"/>
  <c r="BT27" i="100"/>
  <c r="EQ10" i="124"/>
  <c r="CW2" i="139"/>
  <c r="CV1" i="139"/>
  <c r="CU21" i="139"/>
  <c r="CU10" i="139"/>
  <c r="CU11" i="139"/>
  <c r="CU20" i="139"/>
  <c r="CU9" i="139"/>
  <c r="CU24" i="139"/>
  <c r="CU16" i="139"/>
  <c r="CU8" i="139"/>
  <c r="CU23" i="139"/>
  <c r="CU22" i="139"/>
  <c r="CU17" i="139"/>
  <c r="ES1" i="139"/>
  <c r="CU19" i="139"/>
  <c r="CU15" i="139"/>
  <c r="CU6" i="139"/>
  <c r="CU12" i="139"/>
  <c r="CU14" i="139"/>
  <c r="CU18" i="139"/>
  <c r="CU13" i="139"/>
  <c r="CU7" i="139"/>
  <c r="DR18" i="139"/>
  <c r="DR16" i="139"/>
  <c r="DR23" i="139"/>
  <c r="DR9" i="139"/>
  <c r="DR17" i="139"/>
  <c r="DR24" i="139"/>
  <c r="DR21" i="139"/>
  <c r="DR14" i="139"/>
  <c r="DR20" i="139"/>
  <c r="DR12" i="139"/>
  <c r="DR10" i="139"/>
  <c r="DR13" i="139"/>
  <c r="DR19" i="139"/>
  <c r="DR7" i="139"/>
  <c r="DR8" i="139"/>
  <c r="DR11" i="139"/>
  <c r="DR22" i="139"/>
  <c r="DR6" i="139"/>
  <c r="DR15" i="139"/>
  <c r="DS1" i="139"/>
  <c r="DT2" i="139"/>
  <c r="ER23" i="139"/>
  <c r="ER22" i="139"/>
  <c r="ER15" i="139"/>
  <c r="ER24" i="139"/>
  <c r="ER20" i="139"/>
  <c r="ER21" i="139"/>
  <c r="ER13" i="139"/>
  <c r="ER18" i="139"/>
  <c r="ER19" i="139"/>
  <c r="ER6" i="139"/>
  <c r="ER14" i="139"/>
  <c r="ER17" i="139"/>
  <c r="ER11" i="139"/>
  <c r="ER8" i="139"/>
  <c r="ER16" i="139"/>
  <c r="ER9" i="139"/>
  <c r="ER12" i="139"/>
  <c r="ER7" i="139"/>
  <c r="O26" i="106"/>
  <c r="BQ27" i="106"/>
  <c r="BU10" i="106"/>
  <c r="Q10" i="106" s="1"/>
  <c r="R10" i="106" s="1"/>
  <c r="BQ10" i="132"/>
  <c r="Q10" i="132" s="1"/>
  <c r="R10" i="132" s="1"/>
  <c r="CW2" i="137"/>
  <c r="CV1" i="137"/>
  <c r="CV1" i="136"/>
  <c r="CW2" i="136"/>
  <c r="CU13" i="137"/>
  <c r="CU15" i="137"/>
  <c r="CU24" i="137"/>
  <c r="CU20" i="137"/>
  <c r="CU8" i="137"/>
  <c r="CU23" i="137"/>
  <c r="CU11" i="137"/>
  <c r="ES1" i="137"/>
  <c r="CU22" i="137"/>
  <c r="CU12" i="137"/>
  <c r="CU7" i="137"/>
  <c r="CU21" i="137"/>
  <c r="CU10" i="137"/>
  <c r="CU6" i="137"/>
  <c r="CU19" i="137"/>
  <c r="CU9" i="137"/>
  <c r="CU18" i="137"/>
  <c r="CU14" i="137"/>
  <c r="CU16" i="137"/>
  <c r="CU17" i="137"/>
  <c r="CU15" i="136"/>
  <c r="CU6" i="136"/>
  <c r="CU22" i="136"/>
  <c r="CU18" i="136"/>
  <c r="CU10" i="136"/>
  <c r="CU19" i="136"/>
  <c r="CU7" i="136"/>
  <c r="CU20" i="136"/>
  <c r="CU14" i="136"/>
  <c r="CU8" i="136"/>
  <c r="CU13" i="136"/>
  <c r="CU9" i="136"/>
  <c r="CU23" i="136"/>
  <c r="ES1" i="136"/>
  <c r="CU24" i="136"/>
  <c r="CU17" i="136"/>
  <c r="CU12" i="136"/>
  <c r="CU21" i="136"/>
  <c r="CU11" i="136"/>
  <c r="CU16" i="136"/>
  <c r="DR21" i="137"/>
  <c r="DR14" i="137"/>
  <c r="DR16" i="137"/>
  <c r="DR12" i="137"/>
  <c r="DR13" i="137"/>
  <c r="DR10" i="137"/>
  <c r="DR17" i="137"/>
  <c r="DR15" i="137"/>
  <c r="DR19" i="137"/>
  <c r="DR6" i="137"/>
  <c r="DR24" i="137"/>
  <c r="DR20" i="137"/>
  <c r="DR9" i="137"/>
  <c r="DR23" i="137"/>
  <c r="DR18" i="137"/>
  <c r="DR8" i="137"/>
  <c r="DR22" i="137"/>
  <c r="DR11" i="137"/>
  <c r="DR7" i="137"/>
  <c r="DR22" i="136"/>
  <c r="DR14" i="136"/>
  <c r="DR6" i="136"/>
  <c r="DR21" i="136"/>
  <c r="DR9" i="136"/>
  <c r="DR18" i="136"/>
  <c r="DR8" i="136"/>
  <c r="DR20" i="136"/>
  <c r="DR17" i="136"/>
  <c r="DR16" i="136"/>
  <c r="DR12" i="136"/>
  <c r="DR10" i="136"/>
  <c r="DR11" i="136"/>
  <c r="DR24" i="136"/>
  <c r="DR19" i="136"/>
  <c r="DR7" i="136"/>
  <c r="DR23" i="136"/>
  <c r="DR15" i="136"/>
  <c r="DR13" i="136"/>
  <c r="DT2" i="137"/>
  <c r="DS1" i="137"/>
  <c r="DT2" i="136"/>
  <c r="DS1" i="136"/>
  <c r="ER24" i="136"/>
  <c r="ER14" i="136"/>
  <c r="ER17" i="136"/>
  <c r="ER23" i="136"/>
  <c r="ER6" i="136"/>
  <c r="ER18" i="136"/>
  <c r="ER12" i="136"/>
  <c r="ER19" i="136"/>
  <c r="ER8" i="136"/>
  <c r="ER22" i="136"/>
  <c r="ER13" i="136"/>
  <c r="ER21" i="136"/>
  <c r="ER20" i="136"/>
  <c r="ER9" i="136"/>
  <c r="ER11" i="136"/>
  <c r="ER16" i="136"/>
  <c r="ER15" i="136"/>
  <c r="ER7" i="136"/>
  <c r="ER15" i="137"/>
  <c r="ER9" i="137"/>
  <c r="ER17" i="137"/>
  <c r="ER8" i="137"/>
  <c r="ER24" i="137"/>
  <c r="ER18" i="137"/>
  <c r="ER7" i="137"/>
  <c r="ER23" i="137"/>
  <c r="ER16" i="137"/>
  <c r="ER6" i="137"/>
  <c r="ER22" i="137"/>
  <c r="ER14" i="137"/>
  <c r="ER13" i="137"/>
  <c r="ER21" i="137"/>
  <c r="ER11" i="137"/>
  <c r="ER20" i="137"/>
  <c r="ER12" i="137"/>
  <c r="ER19" i="137"/>
  <c r="CW2" i="132"/>
  <c r="CV1" i="132"/>
  <c r="DR22" i="132"/>
  <c r="DR21" i="132"/>
  <c r="DR6" i="132"/>
  <c r="DR8" i="132"/>
  <c r="DR13" i="132"/>
  <c r="DR9" i="132"/>
  <c r="DR24" i="132"/>
  <c r="DR10" i="132"/>
  <c r="DR12" i="132"/>
  <c r="DR20" i="132"/>
  <c r="DR11" i="132"/>
  <c r="DR17" i="132"/>
  <c r="DR15" i="132"/>
  <c r="DR23" i="132"/>
  <c r="DR7" i="132"/>
  <c r="DR16" i="132"/>
  <c r="DR19" i="132"/>
  <c r="DR14" i="132"/>
  <c r="DR18" i="132"/>
  <c r="CW2" i="133"/>
  <c r="CV1" i="133"/>
  <c r="DT2" i="132"/>
  <c r="DS1" i="132"/>
  <c r="DS22" i="133"/>
  <c r="DS12" i="133"/>
  <c r="DS13" i="133"/>
  <c r="DS24" i="133"/>
  <c r="DS20" i="133"/>
  <c r="DS10" i="133"/>
  <c r="DS19" i="133"/>
  <c r="DS7" i="133"/>
  <c r="DS11" i="133"/>
  <c r="DS23" i="133"/>
  <c r="DS21" i="133"/>
  <c r="DS6" i="133"/>
  <c r="DS15" i="133"/>
  <c r="DS18" i="133"/>
  <c r="DS17" i="133"/>
  <c r="DS8" i="133"/>
  <c r="DS9" i="133"/>
  <c r="DS16" i="133"/>
  <c r="DS14" i="133"/>
  <c r="ER13" i="133"/>
  <c r="ER12" i="133"/>
  <c r="ER19" i="133"/>
  <c r="ER9" i="133"/>
  <c r="ER18" i="133"/>
  <c r="ER11" i="133"/>
  <c r="ER14" i="133"/>
  <c r="ER6" i="133"/>
  <c r="ER24" i="133"/>
  <c r="ER7" i="133"/>
  <c r="ER21" i="133"/>
  <c r="ER8" i="133"/>
  <c r="ER23" i="133"/>
  <c r="ER17" i="133"/>
  <c r="ER22" i="133"/>
  <c r="ER15" i="133"/>
  <c r="ER20" i="133"/>
  <c r="ER16" i="133"/>
  <c r="DU2" i="133"/>
  <c r="DT1" i="133"/>
  <c r="ER18" i="132"/>
  <c r="ER13" i="132"/>
  <c r="ER17" i="132"/>
  <c r="ER24" i="132"/>
  <c r="ER12" i="132"/>
  <c r="ER8" i="132"/>
  <c r="ER22" i="132"/>
  <c r="ER7" i="132"/>
  <c r="ER11" i="132"/>
  <c r="ER9" i="132"/>
  <c r="ER23" i="132"/>
  <c r="ER16" i="132"/>
  <c r="ER6" i="132"/>
  <c r="ER14" i="132"/>
  <c r="ER20" i="132"/>
  <c r="ER19" i="132"/>
  <c r="ER15" i="132"/>
  <c r="ER21" i="132"/>
  <c r="CU18" i="132"/>
  <c r="CU8" i="132"/>
  <c r="CU7" i="132"/>
  <c r="CU22" i="132"/>
  <c r="CU13" i="132"/>
  <c r="CU14" i="132"/>
  <c r="CU12" i="132"/>
  <c r="CU15" i="132"/>
  <c r="CU10" i="132"/>
  <c r="CU20" i="132"/>
  <c r="CU9" i="132"/>
  <c r="CU24" i="132"/>
  <c r="CU17" i="132"/>
  <c r="CU16" i="132"/>
  <c r="CU23" i="132"/>
  <c r="CU6" i="132"/>
  <c r="CU21" i="132"/>
  <c r="ES1" i="132"/>
  <c r="CU11" i="132"/>
  <c r="CU19" i="132"/>
  <c r="CU20" i="133"/>
  <c r="CU16" i="133"/>
  <c r="CU7" i="133"/>
  <c r="CU14" i="133"/>
  <c r="CU23" i="133"/>
  <c r="CU18" i="133"/>
  <c r="CU9" i="133"/>
  <c r="CU10" i="133"/>
  <c r="CU12" i="133"/>
  <c r="CU24" i="133"/>
  <c r="ES1" i="133"/>
  <c r="CU19" i="133"/>
  <c r="CU8" i="133"/>
  <c r="CU17" i="133"/>
  <c r="CU21" i="133"/>
  <c r="CU11" i="133"/>
  <c r="CU15" i="133"/>
  <c r="CU22" i="133"/>
  <c r="CU13" i="133"/>
  <c r="CU6" i="133"/>
  <c r="Q28" i="98"/>
  <c r="Q29" i="98"/>
  <c r="DF18" i="124"/>
  <c r="DF6" i="124"/>
  <c r="DF19" i="124"/>
  <c r="DF16" i="124"/>
  <c r="DF11" i="124"/>
  <c r="DF15" i="124"/>
  <c r="DF21" i="124"/>
  <c r="FD1" i="124"/>
  <c r="DF22" i="124"/>
  <c r="DF8" i="124"/>
  <c r="DF9" i="124"/>
  <c r="DF24" i="124"/>
  <c r="DF14" i="124"/>
  <c r="DF23" i="124"/>
  <c r="DF17" i="124"/>
  <c r="DF7" i="124"/>
  <c r="DF13" i="124"/>
  <c r="DF20" i="124"/>
  <c r="DF10" i="124"/>
  <c r="DF12" i="124"/>
  <c r="DG17" i="124"/>
  <c r="DG7" i="124"/>
  <c r="DG18" i="124"/>
  <c r="DG23" i="124"/>
  <c r="DG16" i="124"/>
  <c r="DG24" i="124"/>
  <c r="DG22" i="124"/>
  <c r="DG11" i="124"/>
  <c r="DG8" i="124"/>
  <c r="FE1" i="124"/>
  <c r="DG21" i="124"/>
  <c r="DG19" i="124"/>
  <c r="DG15" i="124"/>
  <c r="DG6" i="124"/>
  <c r="DG14" i="124"/>
  <c r="DG9" i="124"/>
  <c r="DG12" i="124"/>
  <c r="DG13" i="124"/>
  <c r="DG20" i="124"/>
  <c r="DG10" i="124"/>
  <c r="U3" i="124"/>
  <c r="EC16" i="124"/>
  <c r="EC23" i="124"/>
  <c r="EC9" i="124"/>
  <c r="EC15" i="124"/>
  <c r="EC24" i="124"/>
  <c r="EC14" i="124"/>
  <c r="EC6" i="124"/>
  <c r="EC18" i="124"/>
  <c r="EC22" i="124"/>
  <c r="EC8" i="124"/>
  <c r="EC19" i="124"/>
  <c r="EC11" i="124"/>
  <c r="EC17" i="124"/>
  <c r="EC21" i="124"/>
  <c r="EC7" i="124"/>
  <c r="EC10" i="124"/>
  <c r="EC12" i="124"/>
  <c r="EC13" i="124"/>
  <c r="EC20" i="124"/>
  <c r="ED1" i="124"/>
  <c r="EE2" i="124"/>
  <c r="FC16" i="124"/>
  <c r="FC9" i="124"/>
  <c r="FC21" i="124"/>
  <c r="FC6" i="124"/>
  <c r="FC20" i="124"/>
  <c r="FC7" i="124"/>
  <c r="FC8" i="124"/>
  <c r="FC10" i="124"/>
  <c r="FC19" i="124"/>
  <c r="FC22" i="124"/>
  <c r="FC13" i="124"/>
  <c r="FC24" i="124"/>
  <c r="FC17" i="124"/>
  <c r="FC11" i="124"/>
  <c r="FC23" i="124"/>
  <c r="FC14" i="124"/>
  <c r="FC18" i="124"/>
  <c r="FC15" i="124"/>
  <c r="DG20" i="121"/>
  <c r="DG6" i="121"/>
  <c r="DG10" i="121"/>
  <c r="DG21" i="121"/>
  <c r="DG13" i="121"/>
  <c r="DG15" i="121"/>
  <c r="DG24" i="121"/>
  <c r="FE1" i="121"/>
  <c r="DG14" i="121"/>
  <c r="DG22" i="121"/>
  <c r="DG7" i="121"/>
  <c r="DG16" i="121"/>
  <c r="DG17" i="121"/>
  <c r="DG18" i="121"/>
  <c r="DG12" i="121"/>
  <c r="DG9" i="121"/>
  <c r="DG19" i="121"/>
  <c r="DG23" i="121"/>
  <c r="DG11" i="121"/>
  <c r="DG8" i="121"/>
  <c r="U3" i="121"/>
  <c r="FC13" i="121"/>
  <c r="FC8" i="121"/>
  <c r="FC11" i="121"/>
  <c r="FC6" i="121"/>
  <c r="FC17" i="121"/>
  <c r="FC15" i="121"/>
  <c r="FC20" i="121"/>
  <c r="FC18" i="121"/>
  <c r="FC24" i="121"/>
  <c r="FC16" i="121"/>
  <c r="FC12" i="121"/>
  <c r="FC22" i="121"/>
  <c r="FC19" i="121"/>
  <c r="FC7" i="121"/>
  <c r="FC21" i="121"/>
  <c r="FC14" i="121"/>
  <c r="FC10" i="121"/>
  <c r="FC9" i="121"/>
  <c r="FC23" i="121"/>
  <c r="EO10" i="120"/>
  <c r="EP10" i="121"/>
  <c r="EC18" i="121"/>
  <c r="EC16" i="121"/>
  <c r="EC12" i="121"/>
  <c r="EC24" i="121"/>
  <c r="EC14" i="121"/>
  <c r="EC7" i="121"/>
  <c r="EC9" i="121"/>
  <c r="EC21" i="121"/>
  <c r="EC11" i="121"/>
  <c r="EC13" i="121"/>
  <c r="EC20" i="121"/>
  <c r="EC15" i="121"/>
  <c r="EC6" i="121"/>
  <c r="EC23" i="121"/>
  <c r="EC10" i="121"/>
  <c r="EC22" i="121"/>
  <c r="EC8" i="121"/>
  <c r="EC19" i="121"/>
  <c r="EC17" i="121"/>
  <c r="EE2" i="121"/>
  <c r="ED1" i="121"/>
  <c r="DF22" i="121"/>
  <c r="DF7" i="121"/>
  <c r="DF16" i="121"/>
  <c r="DF14" i="121"/>
  <c r="DF17" i="121"/>
  <c r="DF19" i="121"/>
  <c r="DF23" i="121"/>
  <c r="FD1" i="121"/>
  <c r="DF21" i="121"/>
  <c r="DF11" i="121"/>
  <c r="DF8" i="121"/>
  <c r="DF20" i="121"/>
  <c r="DF12" i="121"/>
  <c r="DF13" i="121"/>
  <c r="DF15" i="121"/>
  <c r="DF24" i="121"/>
  <c r="DF6" i="121"/>
  <c r="DF18" i="121"/>
  <c r="DF9" i="121"/>
  <c r="DF10" i="121"/>
  <c r="EE2" i="120"/>
  <c r="ED1" i="120"/>
  <c r="FC19" i="120"/>
  <c r="FC10" i="120"/>
  <c r="FC15" i="120"/>
  <c r="FC7" i="120"/>
  <c r="FC24" i="120"/>
  <c r="FC18" i="120"/>
  <c r="FC9" i="120"/>
  <c r="FC23" i="120"/>
  <c r="FC14" i="120"/>
  <c r="FC6" i="120"/>
  <c r="FC22" i="120"/>
  <c r="FC13" i="120"/>
  <c r="FC8" i="120"/>
  <c r="FC20" i="120"/>
  <c r="FC11" i="120"/>
  <c r="FC21" i="120"/>
  <c r="FC12" i="120"/>
  <c r="FC17" i="120"/>
  <c r="FC16" i="120"/>
  <c r="EC20" i="120"/>
  <c r="EC17" i="120"/>
  <c r="EC24" i="120"/>
  <c r="EC15" i="120"/>
  <c r="EC18" i="120"/>
  <c r="EC12" i="120"/>
  <c r="EC16" i="120"/>
  <c r="EC10" i="120"/>
  <c r="EC19" i="120"/>
  <c r="EC7" i="120"/>
  <c r="EC23" i="120"/>
  <c r="EC14" i="120"/>
  <c r="EC6" i="120"/>
  <c r="EC21" i="120"/>
  <c r="EC13" i="120"/>
  <c r="EC8" i="120"/>
  <c r="EC22" i="120"/>
  <c r="EC11" i="120"/>
  <c r="EC9" i="120"/>
  <c r="DG24" i="120"/>
  <c r="DG14" i="120"/>
  <c r="DG8" i="120"/>
  <c r="DG23" i="120"/>
  <c r="DG13" i="120"/>
  <c r="DG7" i="120"/>
  <c r="DG22" i="120"/>
  <c r="DG19" i="120"/>
  <c r="FE1" i="120"/>
  <c r="DG20" i="120"/>
  <c r="DG16" i="120"/>
  <c r="DG11" i="120"/>
  <c r="DG17" i="120"/>
  <c r="DG10" i="120"/>
  <c r="DG21" i="120"/>
  <c r="DG9" i="120"/>
  <c r="DG18" i="120"/>
  <c r="DG12" i="120"/>
  <c r="DG15" i="120"/>
  <c r="DG6" i="120"/>
  <c r="U3" i="120"/>
  <c r="DF20" i="120"/>
  <c r="DF11" i="120"/>
  <c r="FD1" i="120"/>
  <c r="DF19" i="120"/>
  <c r="DF13" i="120"/>
  <c r="DF17" i="120"/>
  <c r="DF10" i="120"/>
  <c r="DF18" i="120"/>
  <c r="DF9" i="120"/>
  <c r="DF15" i="120"/>
  <c r="DF8" i="120"/>
  <c r="DF24" i="120"/>
  <c r="DF22" i="120"/>
  <c r="DF14" i="120"/>
  <c r="DF23" i="120"/>
  <c r="DF12" i="120"/>
  <c r="DF7" i="120"/>
  <c r="DF21" i="120"/>
  <c r="DF16" i="120"/>
  <c r="DF6" i="120"/>
  <c r="EC24" i="119"/>
  <c r="EC18" i="119"/>
  <c r="EC7" i="119"/>
  <c r="EC16" i="119"/>
  <c r="EC6" i="119"/>
  <c r="EC17" i="119"/>
  <c r="EC10" i="119"/>
  <c r="EC20" i="119"/>
  <c r="EC8" i="119"/>
  <c r="EC19" i="119"/>
  <c r="EC13" i="119"/>
  <c r="EC9" i="119"/>
  <c r="EC23" i="119"/>
  <c r="EC22" i="119"/>
  <c r="EC11" i="119"/>
  <c r="EC21" i="119"/>
  <c r="EC14" i="119"/>
  <c r="EC15" i="119"/>
  <c r="EC12" i="119"/>
  <c r="EE2" i="119"/>
  <c r="ED1" i="119"/>
  <c r="DF16" i="119"/>
  <c r="DF12" i="119"/>
  <c r="DF10" i="119"/>
  <c r="DF21" i="119"/>
  <c r="DF7" i="119"/>
  <c r="DF23" i="119"/>
  <c r="DF9" i="119"/>
  <c r="DF6" i="119"/>
  <c r="DF14" i="119"/>
  <c r="DF18" i="119"/>
  <c r="DF8" i="119"/>
  <c r="DF15" i="119"/>
  <c r="DF24" i="119"/>
  <c r="DF20" i="119"/>
  <c r="FD1" i="119"/>
  <c r="DF22" i="119"/>
  <c r="DF17" i="119"/>
  <c r="DF11" i="119"/>
  <c r="DF13" i="119"/>
  <c r="DF19" i="119"/>
  <c r="DG15" i="119"/>
  <c r="DG10" i="119"/>
  <c r="DG14" i="119"/>
  <c r="DG9" i="119"/>
  <c r="DG18" i="119"/>
  <c r="DG24" i="119"/>
  <c r="DG17" i="119"/>
  <c r="DG6" i="119"/>
  <c r="DG23" i="119"/>
  <c r="DG7" i="119"/>
  <c r="DG16" i="119"/>
  <c r="DG19" i="119"/>
  <c r="DG12" i="119"/>
  <c r="DG21" i="119"/>
  <c r="DG13" i="119"/>
  <c r="DG8" i="119"/>
  <c r="DG20" i="119"/>
  <c r="FE1" i="119"/>
  <c r="DG22" i="119"/>
  <c r="DG11" i="119"/>
  <c r="U3" i="119"/>
  <c r="FC20" i="119"/>
  <c r="FC15" i="119"/>
  <c r="FC14" i="119"/>
  <c r="FC24" i="119"/>
  <c r="FC16" i="119"/>
  <c r="FC23" i="119"/>
  <c r="FC7" i="119"/>
  <c r="FC12" i="119"/>
  <c r="FC19" i="119"/>
  <c r="FC11" i="119"/>
  <c r="FC10" i="119"/>
  <c r="FC13" i="119"/>
  <c r="FC8" i="119"/>
  <c r="FC21" i="119"/>
  <c r="FC9" i="119"/>
  <c r="FC17" i="119"/>
  <c r="FC18" i="119"/>
  <c r="FC22" i="119"/>
  <c r="FC6" i="119"/>
  <c r="EN10" i="116"/>
  <c r="EN10" i="119"/>
  <c r="FD23" i="116"/>
  <c r="FD19" i="116"/>
  <c r="FD16" i="116"/>
  <c r="FD21" i="116"/>
  <c r="FD7" i="116"/>
  <c r="FD6" i="116"/>
  <c r="FD18" i="116"/>
  <c r="FD24" i="116"/>
  <c r="FD13" i="116"/>
  <c r="FD12" i="116"/>
  <c r="FD20" i="116"/>
  <c r="FD11" i="116"/>
  <c r="FD22" i="116"/>
  <c r="FD17" i="116"/>
  <c r="FD15" i="116"/>
  <c r="FD10" i="116"/>
  <c r="FD8" i="116"/>
  <c r="FD14" i="116"/>
  <c r="FD9" i="116"/>
  <c r="EF2" i="116"/>
  <c r="EE1" i="116"/>
  <c r="ED22" i="116"/>
  <c r="ED14" i="116"/>
  <c r="ED19" i="116"/>
  <c r="ED13" i="116"/>
  <c r="ED17" i="116"/>
  <c r="ED12" i="116"/>
  <c r="ED21" i="116"/>
  <c r="ED24" i="116"/>
  <c r="ED15" i="116"/>
  <c r="ED7" i="116"/>
  <c r="ED20" i="116"/>
  <c r="ED16" i="116"/>
  <c r="ED6" i="116"/>
  <c r="ED23" i="116"/>
  <c r="ED10" i="116"/>
  <c r="ED11" i="116"/>
  <c r="ED8" i="116"/>
  <c r="ED18" i="116"/>
  <c r="ED9" i="116"/>
  <c r="DH22" i="116"/>
  <c r="DH13" i="116"/>
  <c r="DH7" i="116"/>
  <c r="DH9" i="116"/>
  <c r="DH20" i="116"/>
  <c r="DH12" i="116"/>
  <c r="DH10" i="116"/>
  <c r="DH24" i="116"/>
  <c r="DH16" i="116"/>
  <c r="DH6" i="116"/>
  <c r="DH23" i="116"/>
  <c r="DH15" i="116"/>
  <c r="DH14" i="116"/>
  <c r="DH19" i="116"/>
  <c r="DH11" i="116"/>
  <c r="DH17" i="116"/>
  <c r="DH8" i="116"/>
  <c r="DH18" i="116"/>
  <c r="FF1" i="116"/>
  <c r="DH21" i="116"/>
  <c r="U3" i="116"/>
  <c r="DG23" i="116"/>
  <c r="DG10" i="116"/>
  <c r="DG24" i="116"/>
  <c r="DG6" i="116"/>
  <c r="DG14" i="116"/>
  <c r="DG8" i="116"/>
  <c r="DG12" i="116"/>
  <c r="DG22" i="116"/>
  <c r="DG13" i="116"/>
  <c r="FE1" i="116"/>
  <c r="DG19" i="116"/>
  <c r="DG18" i="116"/>
  <c r="DG9" i="116"/>
  <c r="DG20" i="116"/>
  <c r="DG21" i="116"/>
  <c r="DG15" i="116"/>
  <c r="DG7" i="116"/>
  <c r="DG16" i="116"/>
  <c r="DG17" i="116"/>
  <c r="DG11" i="116"/>
  <c r="EK10" i="109"/>
  <c r="EL10" i="112"/>
  <c r="EM10" i="113"/>
  <c r="EF2" i="113"/>
  <c r="EE1" i="113"/>
  <c r="ED20" i="113"/>
  <c r="ED7" i="113"/>
  <c r="ED23" i="113"/>
  <c r="ED19" i="113"/>
  <c r="ED10" i="113"/>
  <c r="ED22" i="113"/>
  <c r="ED14" i="113"/>
  <c r="ED8" i="113"/>
  <c r="ED17" i="113"/>
  <c r="ED13" i="113"/>
  <c r="ED24" i="113"/>
  <c r="ED12" i="113"/>
  <c r="ED6" i="113"/>
  <c r="ED18" i="113"/>
  <c r="ED21" i="113"/>
  <c r="ED11" i="113"/>
  <c r="ED9" i="113"/>
  <c r="ED16" i="113"/>
  <c r="ED15" i="113"/>
  <c r="EX121" i="9"/>
  <c r="EW122" i="9"/>
  <c r="DG18" i="113"/>
  <c r="DG8" i="113"/>
  <c r="DG20" i="113"/>
  <c r="DG13" i="113"/>
  <c r="DG16" i="113"/>
  <c r="DG12" i="113"/>
  <c r="DG10" i="113"/>
  <c r="DG15" i="113"/>
  <c r="DG6" i="113"/>
  <c r="DG24" i="113"/>
  <c r="DG17" i="113"/>
  <c r="DG11" i="113"/>
  <c r="FE1" i="113"/>
  <c r="DG23" i="113"/>
  <c r="DG14" i="113"/>
  <c r="DG7" i="113"/>
  <c r="DG22" i="113"/>
  <c r="DG21" i="113"/>
  <c r="DG9" i="113"/>
  <c r="DG19" i="113"/>
  <c r="ED18" i="112"/>
  <c r="ED15" i="112"/>
  <c r="ED17" i="112"/>
  <c r="ED14" i="112"/>
  <c r="ED22" i="112"/>
  <c r="ED9" i="112"/>
  <c r="ED24" i="112"/>
  <c r="ED12" i="112"/>
  <c r="ED16" i="112"/>
  <c r="ED23" i="112"/>
  <c r="ED11" i="112"/>
  <c r="ED7" i="112"/>
  <c r="ED20" i="112"/>
  <c r="ED8" i="112"/>
  <c r="ED13" i="112"/>
  <c r="ED21" i="112"/>
  <c r="ED6" i="112"/>
  <c r="ED19" i="112"/>
  <c r="ED10" i="112"/>
  <c r="FD17" i="113"/>
  <c r="FD18" i="113"/>
  <c r="FD19" i="113"/>
  <c r="FD16" i="113"/>
  <c r="FD9" i="113"/>
  <c r="FD15" i="113"/>
  <c r="FD12" i="113"/>
  <c r="FD22" i="113"/>
  <c r="FD14" i="113"/>
  <c r="FD11" i="113"/>
  <c r="FD6" i="113"/>
  <c r="FD23" i="113"/>
  <c r="FD20" i="113"/>
  <c r="FD24" i="113"/>
  <c r="FD10" i="113"/>
  <c r="FD13" i="113"/>
  <c r="FD21" i="113"/>
  <c r="FD8" i="113"/>
  <c r="FD7" i="113"/>
  <c r="DH22" i="113"/>
  <c r="DH14" i="113"/>
  <c r="DH19" i="113"/>
  <c r="DH21" i="113"/>
  <c r="DH7" i="113"/>
  <c r="DH9" i="113"/>
  <c r="DH24" i="113"/>
  <c r="DH15" i="113"/>
  <c r="DH8" i="113"/>
  <c r="DH18" i="113"/>
  <c r="DH6" i="113"/>
  <c r="DH17" i="113"/>
  <c r="DH20" i="113"/>
  <c r="DH10" i="113"/>
  <c r="DH11" i="113"/>
  <c r="DH16" i="113"/>
  <c r="FF1" i="113"/>
  <c r="DH23" i="113"/>
  <c r="DH13" i="113"/>
  <c r="DH12" i="113"/>
  <c r="U3" i="113"/>
  <c r="EE1" i="112"/>
  <c r="EF2" i="112"/>
  <c r="FD18" i="112"/>
  <c r="FD8" i="112"/>
  <c r="FD12" i="112"/>
  <c r="FD21" i="112"/>
  <c r="FD13" i="112"/>
  <c r="FD22" i="112"/>
  <c r="FD6" i="112"/>
  <c r="FD20" i="112"/>
  <c r="FD16" i="112"/>
  <c r="FD19" i="112"/>
  <c r="FD15" i="112"/>
  <c r="FD11" i="112"/>
  <c r="FD14" i="112"/>
  <c r="FD24" i="112"/>
  <c r="FD10" i="112"/>
  <c r="FD17" i="112"/>
  <c r="FD23" i="112"/>
  <c r="FD9" i="112"/>
  <c r="FD7" i="112"/>
  <c r="DG10" i="112"/>
  <c r="DG6" i="112"/>
  <c r="DG9" i="112"/>
  <c r="FE1" i="112"/>
  <c r="DG24" i="112"/>
  <c r="DG8" i="112"/>
  <c r="DG16" i="112"/>
  <c r="DG23" i="112"/>
  <c r="DG17" i="112"/>
  <c r="DG13" i="112"/>
  <c r="DG22" i="112"/>
  <c r="DG12" i="112"/>
  <c r="DG14" i="112"/>
  <c r="DG20" i="112"/>
  <c r="DG21" i="112"/>
  <c r="DG15" i="112"/>
  <c r="DG19" i="112"/>
  <c r="DG11" i="112"/>
  <c r="DG18" i="112"/>
  <c r="DG7" i="112"/>
  <c r="DH21" i="112"/>
  <c r="DH8" i="112"/>
  <c r="DH9" i="112"/>
  <c r="DH18" i="112"/>
  <c r="DH7" i="112"/>
  <c r="FF1" i="112"/>
  <c r="DH20" i="112"/>
  <c r="DH6" i="112"/>
  <c r="DH17" i="112"/>
  <c r="DH13" i="112"/>
  <c r="DH16" i="112"/>
  <c r="DH10" i="112"/>
  <c r="DH15" i="112"/>
  <c r="DH19" i="112"/>
  <c r="DH23" i="112"/>
  <c r="DH24" i="112"/>
  <c r="DH14" i="112"/>
  <c r="DH22" i="112"/>
  <c r="DH11" i="112"/>
  <c r="DH12" i="112"/>
  <c r="U3" i="112"/>
  <c r="GJ121" i="9"/>
  <c r="GN121" i="9" s="1"/>
  <c r="BQ13" i="136" s="1"/>
  <c r="EE1" i="109"/>
  <c r="EF2" i="109"/>
  <c r="FC18" i="108"/>
  <c r="FC6" i="108"/>
  <c r="FC17" i="108"/>
  <c r="FC16" i="108"/>
  <c r="FC14" i="108"/>
  <c r="FC24" i="108"/>
  <c r="FC12" i="108"/>
  <c r="FC11" i="108"/>
  <c r="FC21" i="108"/>
  <c r="FC19" i="108"/>
  <c r="FC9" i="108"/>
  <c r="FC20" i="108"/>
  <c r="FC15" i="108"/>
  <c r="FC23" i="108"/>
  <c r="FC8" i="108"/>
  <c r="FC13" i="108"/>
  <c r="FC22" i="108"/>
  <c r="FC10" i="108"/>
  <c r="FC7" i="108"/>
  <c r="IV120" i="9"/>
  <c r="IU121" i="9"/>
  <c r="EH10" i="106"/>
  <c r="CG10" i="106" s="1"/>
  <c r="Y10" i="106" s="1"/>
  <c r="EI10" i="108"/>
  <c r="FD14" i="109"/>
  <c r="FD7" i="109"/>
  <c r="FD13" i="109"/>
  <c r="FD17" i="109"/>
  <c r="FD24" i="109"/>
  <c r="FD12" i="109"/>
  <c r="FD15" i="109"/>
  <c r="FD23" i="109"/>
  <c r="FD11" i="109"/>
  <c r="FD16" i="109"/>
  <c r="FD22" i="109"/>
  <c r="FD10" i="109"/>
  <c r="FD19" i="109"/>
  <c r="FD18" i="109"/>
  <c r="FD6" i="109"/>
  <c r="FD21" i="109"/>
  <c r="FD9" i="109"/>
  <c r="FD20" i="109"/>
  <c r="FD8" i="109"/>
  <c r="BQ13" i="108"/>
  <c r="DF13" i="108"/>
  <c r="DF7" i="108"/>
  <c r="DF6" i="108"/>
  <c r="DF16" i="108"/>
  <c r="DF14" i="108"/>
  <c r="DF24" i="108"/>
  <c r="DF12" i="108"/>
  <c r="DF23" i="108"/>
  <c r="DF11" i="108"/>
  <c r="DF22" i="108"/>
  <c r="DF10" i="108"/>
  <c r="DF19" i="108"/>
  <c r="DF18" i="108"/>
  <c r="DF21" i="108"/>
  <c r="DF9" i="108"/>
  <c r="DF20" i="108"/>
  <c r="DF8" i="108"/>
  <c r="DF15" i="108"/>
  <c r="DF17" i="108"/>
  <c r="FD1" i="108"/>
  <c r="DG21" i="108"/>
  <c r="DG9" i="108"/>
  <c r="DG20" i="108"/>
  <c r="DG8" i="108"/>
  <c r="DG19" i="108"/>
  <c r="DG17" i="108"/>
  <c r="DG15" i="108"/>
  <c r="DG12" i="108"/>
  <c r="DG7" i="108"/>
  <c r="DG24" i="108"/>
  <c r="DG22" i="108"/>
  <c r="DG18" i="108"/>
  <c r="DG6" i="108"/>
  <c r="DG14" i="108"/>
  <c r="DG11" i="108"/>
  <c r="FE1" i="108"/>
  <c r="DG23" i="108"/>
  <c r="DG10" i="108"/>
  <c r="DG16" i="108"/>
  <c r="DG13" i="108"/>
  <c r="U3" i="108"/>
  <c r="ED1" i="108"/>
  <c r="EE2" i="108"/>
  <c r="EC16" i="108"/>
  <c r="EC22" i="108"/>
  <c r="EC10" i="108"/>
  <c r="EC19" i="108"/>
  <c r="EC15" i="108"/>
  <c r="EC14" i="108"/>
  <c r="EC7" i="108"/>
  <c r="EC6" i="108"/>
  <c r="EC17" i="108"/>
  <c r="EC13" i="108"/>
  <c r="EC9" i="108"/>
  <c r="EC24" i="108"/>
  <c r="EC12" i="108"/>
  <c r="EC21" i="108"/>
  <c r="EC18" i="108"/>
  <c r="EC23" i="108"/>
  <c r="EC11" i="108"/>
  <c r="EC20" i="108"/>
  <c r="EC8" i="108"/>
  <c r="DG21" i="109"/>
  <c r="DG9" i="109"/>
  <c r="DG23" i="109"/>
  <c r="DG20" i="109"/>
  <c r="DG8" i="109"/>
  <c r="DG19" i="109"/>
  <c r="DG7" i="109"/>
  <c r="DG14" i="109"/>
  <c r="DG12" i="109"/>
  <c r="DG11" i="109"/>
  <c r="DG18" i="109"/>
  <c r="DG6" i="109"/>
  <c r="DG15" i="109"/>
  <c r="DG17" i="109"/>
  <c r="FE1" i="109"/>
  <c r="DG24" i="109"/>
  <c r="DG22" i="109"/>
  <c r="DG16" i="109"/>
  <c r="DG13" i="109"/>
  <c r="DG10" i="109"/>
  <c r="DH17" i="109"/>
  <c r="FF1" i="109"/>
  <c r="DH16" i="109"/>
  <c r="DH10" i="109"/>
  <c r="DH21" i="109"/>
  <c r="DH7" i="109"/>
  <c r="DH18" i="109"/>
  <c r="DH15" i="109"/>
  <c r="DH23" i="109"/>
  <c r="DH9" i="109"/>
  <c r="DH14" i="109"/>
  <c r="DH22" i="109"/>
  <c r="DH20" i="109"/>
  <c r="DH6" i="109"/>
  <c r="DH13" i="109"/>
  <c r="DH11" i="109"/>
  <c r="DH24" i="109"/>
  <c r="DH12" i="109"/>
  <c r="DH8" i="109"/>
  <c r="DH19" i="109"/>
  <c r="U3" i="109"/>
  <c r="ED24" i="109"/>
  <c r="ED12" i="109"/>
  <c r="ED18" i="109"/>
  <c r="ED17" i="109"/>
  <c r="ED15" i="109"/>
  <c r="ED13" i="109"/>
  <c r="ED23" i="109"/>
  <c r="ED11" i="109"/>
  <c r="ED6" i="109"/>
  <c r="ED22" i="109"/>
  <c r="ED10" i="109"/>
  <c r="ED21" i="109"/>
  <c r="ED9" i="109"/>
  <c r="ED20" i="109"/>
  <c r="ED8" i="109"/>
  <c r="ED16" i="109"/>
  <c r="ED14" i="109"/>
  <c r="ED19" i="109"/>
  <c r="ED7" i="109"/>
  <c r="BU27" i="105"/>
  <c r="Q10" i="105"/>
  <c r="R10" i="105" s="1"/>
  <c r="Q30" i="105" s="1"/>
  <c r="EC18" i="106"/>
  <c r="EC10" i="106"/>
  <c r="EC17" i="106"/>
  <c r="EC9" i="106"/>
  <c r="EC24" i="106"/>
  <c r="EC16" i="106"/>
  <c r="EC8" i="106"/>
  <c r="EC23" i="106"/>
  <c r="EC15" i="106"/>
  <c r="EC7" i="106"/>
  <c r="EC22" i="106"/>
  <c r="EC14" i="106"/>
  <c r="EC6" i="106"/>
  <c r="EC21" i="106"/>
  <c r="EC13" i="106"/>
  <c r="EC20" i="106"/>
  <c r="EC12" i="106"/>
  <c r="EC19" i="106"/>
  <c r="EC11" i="106"/>
  <c r="DG19" i="106"/>
  <c r="DG11" i="106"/>
  <c r="DG18" i="106"/>
  <c r="DG10" i="106"/>
  <c r="DG17" i="106"/>
  <c r="DG9" i="106"/>
  <c r="DG24" i="106"/>
  <c r="DG16" i="106"/>
  <c r="DG8" i="106"/>
  <c r="DG23" i="106"/>
  <c r="DG15" i="106"/>
  <c r="DG7" i="106"/>
  <c r="DG22" i="106"/>
  <c r="DG14" i="106"/>
  <c r="DG6" i="106"/>
  <c r="DG21" i="106"/>
  <c r="DG13" i="106"/>
  <c r="FE1" i="106"/>
  <c r="DG20" i="106"/>
  <c r="DG12" i="106"/>
  <c r="U3" i="106"/>
  <c r="EE2" i="106"/>
  <c r="ED1" i="106"/>
  <c r="FC24" i="106"/>
  <c r="FC16" i="106"/>
  <c r="FC8" i="106"/>
  <c r="FC23" i="106"/>
  <c r="FC15" i="106"/>
  <c r="FC7" i="106"/>
  <c r="FC22" i="106"/>
  <c r="FC14" i="106"/>
  <c r="FC6" i="106"/>
  <c r="FC21" i="106"/>
  <c r="FC13" i="106"/>
  <c r="FC20" i="106"/>
  <c r="FC12" i="106"/>
  <c r="FC19" i="106"/>
  <c r="FC11" i="106"/>
  <c r="FC18" i="106"/>
  <c r="FC10" i="106"/>
  <c r="FC17" i="106"/>
  <c r="FC9" i="106"/>
  <c r="O30" i="106"/>
  <c r="O29" i="106"/>
  <c r="O28" i="106"/>
  <c r="DF23" i="106"/>
  <c r="DF15" i="106"/>
  <c r="DF7" i="106"/>
  <c r="DF22" i="106"/>
  <c r="DF14" i="106"/>
  <c r="DF6" i="106"/>
  <c r="DF21" i="106"/>
  <c r="DF13" i="106"/>
  <c r="FD1" i="106"/>
  <c r="DF20" i="106"/>
  <c r="DF12" i="106"/>
  <c r="DF19" i="106"/>
  <c r="DF11" i="106"/>
  <c r="DF18" i="106"/>
  <c r="DF10" i="106"/>
  <c r="DF17" i="106"/>
  <c r="DF9" i="106"/>
  <c r="DF24" i="106"/>
  <c r="DF16" i="106"/>
  <c r="DF8" i="106"/>
  <c r="FC13" i="105"/>
  <c r="FC24" i="105"/>
  <c r="FC12" i="105"/>
  <c r="FC23" i="105"/>
  <c r="FC11" i="105"/>
  <c r="FC17" i="105"/>
  <c r="FC16" i="105"/>
  <c r="FC22" i="105"/>
  <c r="FC10" i="105"/>
  <c r="FC8" i="105"/>
  <c r="FC19" i="105"/>
  <c r="FC7" i="105"/>
  <c r="FC18" i="105"/>
  <c r="FC21" i="105"/>
  <c r="FC9" i="105"/>
  <c r="FC20" i="105"/>
  <c r="FC6" i="105"/>
  <c r="FC15" i="105"/>
  <c r="FC14" i="105"/>
  <c r="ED1" i="105"/>
  <c r="EE2" i="105"/>
  <c r="DG16" i="105"/>
  <c r="DG15" i="105"/>
  <c r="FE1" i="105"/>
  <c r="DG8" i="105"/>
  <c r="DG14" i="105"/>
  <c r="DG10" i="105"/>
  <c r="DG20" i="105"/>
  <c r="DG17" i="105"/>
  <c r="DG13" i="105"/>
  <c r="DG23" i="105"/>
  <c r="DG11" i="105"/>
  <c r="DG22" i="105"/>
  <c r="DG21" i="105"/>
  <c r="DG7" i="105"/>
  <c r="DG6" i="105"/>
  <c r="DG24" i="105"/>
  <c r="DG12" i="105"/>
  <c r="DG9" i="105"/>
  <c r="DG19" i="105"/>
  <c r="DG18" i="105"/>
  <c r="U3" i="105"/>
  <c r="DF20" i="105"/>
  <c r="DF8" i="105"/>
  <c r="DF12" i="105"/>
  <c r="DF19" i="105"/>
  <c r="DF7" i="105"/>
  <c r="DF10" i="105"/>
  <c r="DF9" i="105"/>
  <c r="DF18" i="105"/>
  <c r="DF6" i="105"/>
  <c r="DF11" i="105"/>
  <c r="DF22" i="105"/>
  <c r="DF17" i="105"/>
  <c r="FD1" i="105"/>
  <c r="DF14" i="105"/>
  <c r="DF24" i="105"/>
  <c r="DF16" i="105"/>
  <c r="DF15" i="105"/>
  <c r="DF13" i="105"/>
  <c r="DF23" i="105"/>
  <c r="DF21" i="105"/>
  <c r="EC23" i="105"/>
  <c r="EC11" i="105"/>
  <c r="EC22" i="105"/>
  <c r="EC10" i="105"/>
  <c r="EC21" i="105"/>
  <c r="EC9" i="105"/>
  <c r="EC24" i="105"/>
  <c r="EC20" i="105"/>
  <c r="EC8" i="105"/>
  <c r="EC18" i="105"/>
  <c r="EC6" i="105"/>
  <c r="EC17" i="105"/>
  <c r="EC14" i="105"/>
  <c r="EC12" i="105"/>
  <c r="EC19" i="105"/>
  <c r="EC7" i="105"/>
  <c r="EC16" i="105"/>
  <c r="EC15" i="105"/>
  <c r="EC13" i="105"/>
  <c r="EC22" i="92"/>
  <c r="EC9" i="92"/>
  <c r="EC6" i="92"/>
  <c r="EC24" i="92"/>
  <c r="EC21" i="92"/>
  <c r="EC11" i="92"/>
  <c r="EC18" i="92"/>
  <c r="EC23" i="92"/>
  <c r="EC16" i="92"/>
  <c r="EC13" i="92"/>
  <c r="EC12" i="92"/>
  <c r="EC10" i="92"/>
  <c r="EC20" i="92"/>
  <c r="EC17" i="92"/>
  <c r="EC7" i="92"/>
  <c r="EC19" i="92"/>
  <c r="EC15" i="92"/>
  <c r="EC14" i="92"/>
  <c r="EC8" i="92"/>
  <c r="FC19" i="92"/>
  <c r="FC12" i="92"/>
  <c r="FC11" i="92"/>
  <c r="FC18" i="92"/>
  <c r="FC6" i="92"/>
  <c r="FC9" i="92"/>
  <c r="FC24" i="92"/>
  <c r="FC20" i="92"/>
  <c r="FC14" i="92"/>
  <c r="FC16" i="92"/>
  <c r="FC7" i="92"/>
  <c r="FC13" i="92"/>
  <c r="FC15" i="92"/>
  <c r="FC21" i="92"/>
  <c r="FC23" i="92"/>
  <c r="FC10" i="92"/>
  <c r="FC17" i="92"/>
  <c r="FC22" i="92"/>
  <c r="FC8" i="92"/>
  <c r="EE2" i="92"/>
  <c r="ED1" i="92"/>
  <c r="DF21" i="92"/>
  <c r="FD1" i="92"/>
  <c r="DF6" i="92"/>
  <c r="DF17" i="92"/>
  <c r="DF18" i="92"/>
  <c r="DF22" i="92"/>
  <c r="DF7" i="92"/>
  <c r="DF12" i="92"/>
  <c r="DF19" i="92"/>
  <c r="DF20" i="92"/>
  <c r="DF10" i="92"/>
  <c r="DF16" i="92"/>
  <c r="DF8" i="92"/>
  <c r="DF24" i="92"/>
  <c r="DF14" i="92"/>
  <c r="DF15" i="92"/>
  <c r="DF11" i="92"/>
  <c r="DF23" i="92"/>
  <c r="DF13" i="92"/>
  <c r="DF9" i="92"/>
  <c r="DG23" i="92"/>
  <c r="DG15" i="92"/>
  <c r="DG19" i="92"/>
  <c r="DG21" i="92"/>
  <c r="DG16" i="92"/>
  <c r="DG17" i="92"/>
  <c r="DG18" i="92"/>
  <c r="DG13" i="92"/>
  <c r="DG14" i="92"/>
  <c r="DG20" i="92"/>
  <c r="DG24" i="92"/>
  <c r="DG12" i="92"/>
  <c r="FE1" i="92"/>
  <c r="DG22" i="92"/>
  <c r="DG11" i="92"/>
  <c r="DG10" i="92"/>
  <c r="DG7" i="92"/>
  <c r="DG9" i="92"/>
  <c r="DG6" i="92"/>
  <c r="DG8" i="92"/>
  <c r="U3" i="92"/>
  <c r="FC23" i="91"/>
  <c r="FC8" i="91"/>
  <c r="FC7" i="91"/>
  <c r="FC22" i="91"/>
  <c r="FC15" i="91"/>
  <c r="FC14" i="91"/>
  <c r="FC21" i="91"/>
  <c r="FC6" i="91"/>
  <c r="FC19" i="91"/>
  <c r="FC24" i="91"/>
  <c r="FC16" i="91"/>
  <c r="FC11" i="91"/>
  <c r="FC13" i="91"/>
  <c r="FC10" i="91"/>
  <c r="FC18" i="91"/>
  <c r="FC12" i="91"/>
  <c r="FC17" i="91"/>
  <c r="FC20" i="91"/>
  <c r="FC9" i="91"/>
  <c r="EC17" i="91"/>
  <c r="EC16" i="91"/>
  <c r="EC6" i="91"/>
  <c r="EC9" i="91"/>
  <c r="EC14" i="91"/>
  <c r="EC18" i="91"/>
  <c r="EC24" i="91"/>
  <c r="EC11" i="91"/>
  <c r="EC21" i="91"/>
  <c r="EC19" i="91"/>
  <c r="EC8" i="91"/>
  <c r="EC7" i="91"/>
  <c r="EC10" i="91"/>
  <c r="EC15" i="91"/>
  <c r="EC20" i="91"/>
  <c r="EC13" i="91"/>
  <c r="EC22" i="91"/>
  <c r="EC12" i="91"/>
  <c r="EC23" i="91"/>
  <c r="DG6" i="91"/>
  <c r="DG7" i="91"/>
  <c r="DG14" i="91"/>
  <c r="DG23" i="91"/>
  <c r="DG8" i="91"/>
  <c r="DG24" i="91"/>
  <c r="DG10" i="91"/>
  <c r="DG21" i="91"/>
  <c r="DG16" i="91"/>
  <c r="DG11" i="91"/>
  <c r="DG20" i="91"/>
  <c r="DG9" i="91"/>
  <c r="DG18" i="91"/>
  <c r="DG17" i="91"/>
  <c r="DG13" i="91"/>
  <c r="FE1" i="91"/>
  <c r="DG15" i="91"/>
  <c r="DG12" i="91"/>
  <c r="DG22" i="91"/>
  <c r="DG19" i="91"/>
  <c r="U3" i="91"/>
  <c r="ED1" i="91"/>
  <c r="EE2" i="91"/>
  <c r="FC18" i="90"/>
  <c r="FC9" i="90"/>
  <c r="FC11" i="90"/>
  <c r="FC7" i="90"/>
  <c r="FC24" i="90"/>
  <c r="FC21" i="90"/>
  <c r="FC15" i="90"/>
  <c r="FC19" i="90"/>
  <c r="FC6" i="90"/>
  <c r="FC17" i="90"/>
  <c r="FC23" i="90"/>
  <c r="FC13" i="90"/>
  <c r="FC10" i="90"/>
  <c r="FC14" i="90"/>
  <c r="FC12" i="90"/>
  <c r="FC20" i="90"/>
  <c r="FC16" i="90"/>
  <c r="FC22" i="90"/>
  <c r="FC8" i="90"/>
  <c r="DF15" i="91"/>
  <c r="DF12" i="91"/>
  <c r="DF16" i="91"/>
  <c r="DF10" i="91"/>
  <c r="FD1" i="91"/>
  <c r="DF20" i="91"/>
  <c r="DF14" i="91"/>
  <c r="DF11" i="91"/>
  <c r="DF9" i="91"/>
  <c r="DF23" i="91"/>
  <c r="DF21" i="91"/>
  <c r="DF18" i="91"/>
  <c r="DF8" i="91"/>
  <c r="DF19" i="91"/>
  <c r="DF22" i="91"/>
  <c r="DF24" i="91"/>
  <c r="DF6" i="91"/>
  <c r="DF13" i="91"/>
  <c r="DF17" i="91"/>
  <c r="DF7" i="91"/>
  <c r="EC18" i="90"/>
  <c r="EC24" i="90"/>
  <c r="EC22" i="90"/>
  <c r="EC17" i="90"/>
  <c r="EC9" i="90"/>
  <c r="EC8" i="90"/>
  <c r="EC19" i="90"/>
  <c r="EC21" i="90"/>
  <c r="EC16" i="90"/>
  <c r="EC15" i="90"/>
  <c r="EC14" i="90"/>
  <c r="EC23" i="90"/>
  <c r="EC7" i="90"/>
  <c r="EC11" i="90"/>
  <c r="EC6" i="90"/>
  <c r="EC20" i="90"/>
  <c r="EC10" i="90"/>
  <c r="EC13" i="90"/>
  <c r="EC12" i="90"/>
  <c r="EE2" i="90"/>
  <c r="ED1" i="90"/>
  <c r="DG23" i="90"/>
  <c r="DG8" i="90"/>
  <c r="FE1" i="90"/>
  <c r="DG19" i="90"/>
  <c r="DG11" i="90"/>
  <c r="DG24" i="90"/>
  <c r="DG6" i="90"/>
  <c r="DG22" i="90"/>
  <c r="DG16" i="90"/>
  <c r="DG7" i="90"/>
  <c r="DG15" i="90"/>
  <c r="DG9" i="90"/>
  <c r="DG18" i="90"/>
  <c r="DG21" i="90"/>
  <c r="DG17" i="90"/>
  <c r="DG14" i="90"/>
  <c r="DG10" i="90"/>
  <c r="DG13" i="90"/>
  <c r="DG12" i="90"/>
  <c r="DG20" i="90"/>
  <c r="U3" i="90"/>
  <c r="DF11" i="90"/>
  <c r="DF22" i="90"/>
  <c r="DF18" i="90"/>
  <c r="DF16" i="90"/>
  <c r="DF14" i="90"/>
  <c r="DF17" i="90"/>
  <c r="DF9" i="90"/>
  <c r="DF7" i="90"/>
  <c r="DF6" i="90"/>
  <c r="DF21" i="90"/>
  <c r="DF23" i="90"/>
  <c r="DF19" i="90"/>
  <c r="DF15" i="90"/>
  <c r="DF8" i="90"/>
  <c r="DF24" i="90"/>
  <c r="FD1" i="90"/>
  <c r="DF10" i="90"/>
  <c r="DF20" i="90"/>
  <c r="DF13" i="90"/>
  <c r="DF12" i="90"/>
  <c r="FC21" i="89"/>
  <c r="FC15" i="89"/>
  <c r="FC9" i="89"/>
  <c r="FC12" i="89"/>
  <c r="FC23" i="89"/>
  <c r="FC14" i="89"/>
  <c r="FC8" i="89"/>
  <c r="FC24" i="89"/>
  <c r="FC10" i="89"/>
  <c r="FC6" i="89"/>
  <c r="FC19" i="89"/>
  <c r="FC7" i="89"/>
  <c r="FC18" i="89"/>
  <c r="FC13" i="89"/>
  <c r="FC17" i="89"/>
  <c r="FC16" i="89"/>
  <c r="FC22" i="89"/>
  <c r="FC20" i="89"/>
  <c r="FC11" i="89"/>
  <c r="EC13" i="89"/>
  <c r="EC8" i="89"/>
  <c r="EC15" i="89"/>
  <c r="EC16" i="89"/>
  <c r="EC10" i="89"/>
  <c r="EC17" i="89"/>
  <c r="EC12" i="89"/>
  <c r="EC23" i="89"/>
  <c r="EC19" i="89"/>
  <c r="EC6" i="89"/>
  <c r="EC22" i="89"/>
  <c r="EC18" i="89"/>
  <c r="EC14" i="89"/>
  <c r="EC24" i="89"/>
  <c r="EC7" i="89"/>
  <c r="EC21" i="89"/>
  <c r="EC11" i="89"/>
  <c r="EC20" i="89"/>
  <c r="EC9" i="89"/>
  <c r="EE2" i="89"/>
  <c r="ED1" i="89"/>
  <c r="DF20" i="89"/>
  <c r="DF15" i="89"/>
  <c r="DF8" i="89"/>
  <c r="DF6" i="89"/>
  <c r="DF18" i="89"/>
  <c r="DF10" i="89"/>
  <c r="DF17" i="89"/>
  <c r="DF24" i="89"/>
  <c r="DF21" i="89"/>
  <c r="FD1" i="89"/>
  <c r="DF9" i="89"/>
  <c r="DF22" i="89"/>
  <c r="DF14" i="89"/>
  <c r="DF12" i="89"/>
  <c r="DF23" i="89"/>
  <c r="DF11" i="89"/>
  <c r="DF19" i="89"/>
  <c r="DF13" i="89"/>
  <c r="DF16" i="89"/>
  <c r="DF7" i="89"/>
  <c r="DG21" i="89"/>
  <c r="DG10" i="89"/>
  <c r="DG9" i="89"/>
  <c r="DG24" i="89"/>
  <c r="DG6" i="89"/>
  <c r="DG18" i="89"/>
  <c r="DG17" i="89"/>
  <c r="DG22" i="89"/>
  <c r="DG7" i="89"/>
  <c r="DG20" i="89"/>
  <c r="DG12" i="89"/>
  <c r="DG15" i="89"/>
  <c r="FE1" i="89"/>
  <c r="DG16" i="89"/>
  <c r="DG23" i="89"/>
  <c r="DG14" i="89"/>
  <c r="DG19" i="89"/>
  <c r="DG13" i="89"/>
  <c r="DG11" i="89"/>
  <c r="DG8" i="89"/>
  <c r="U3" i="89"/>
  <c r="FC21" i="87"/>
  <c r="FC11" i="87"/>
  <c r="FC7" i="87"/>
  <c r="FC13" i="87"/>
  <c r="FC10" i="87"/>
  <c r="FC15" i="87"/>
  <c r="FC9" i="87"/>
  <c r="FC19" i="87"/>
  <c r="FC12" i="87"/>
  <c r="FC6" i="87"/>
  <c r="FC14" i="87"/>
  <c r="FC24" i="87"/>
  <c r="FC17" i="87"/>
  <c r="FC8" i="87"/>
  <c r="FC23" i="87"/>
  <c r="FC20" i="87"/>
  <c r="FC18" i="87"/>
  <c r="FC22" i="87"/>
  <c r="FC16" i="87"/>
  <c r="DF21" i="87"/>
  <c r="DF14" i="87"/>
  <c r="DF6" i="87"/>
  <c r="DF20" i="87"/>
  <c r="DF19" i="87"/>
  <c r="FD1" i="87"/>
  <c r="DF13" i="87"/>
  <c r="DF23" i="87"/>
  <c r="DF8" i="87"/>
  <c r="DF18" i="87"/>
  <c r="DF10" i="87"/>
  <c r="DF11" i="87"/>
  <c r="DF17" i="87"/>
  <c r="DF9" i="87"/>
  <c r="DF24" i="87"/>
  <c r="DF16" i="87"/>
  <c r="DF12" i="87"/>
  <c r="DF22" i="87"/>
  <c r="DF15" i="87"/>
  <c r="DF7" i="87"/>
  <c r="DG17" i="87"/>
  <c r="DG9" i="87"/>
  <c r="DG19" i="87"/>
  <c r="DG8" i="87"/>
  <c r="FE1" i="87"/>
  <c r="DG13" i="87"/>
  <c r="DG23" i="87"/>
  <c r="DG16" i="87"/>
  <c r="DG7" i="87"/>
  <c r="DG20" i="87"/>
  <c r="DG24" i="87"/>
  <c r="DG22" i="87"/>
  <c r="DG15" i="87"/>
  <c r="DG11" i="87"/>
  <c r="DG6" i="87"/>
  <c r="DG21" i="87"/>
  <c r="DG12" i="87"/>
  <c r="DG14" i="87"/>
  <c r="DG18" i="87"/>
  <c r="DG10" i="87"/>
  <c r="U3" i="87"/>
  <c r="EE2" i="88"/>
  <c r="ED1" i="88"/>
  <c r="DF24" i="88"/>
  <c r="DF10" i="88"/>
  <c r="DF19" i="88"/>
  <c r="DF9" i="88"/>
  <c r="DF16" i="88"/>
  <c r="DF8" i="88"/>
  <c r="DF21" i="88"/>
  <c r="DF17" i="88"/>
  <c r="DF6" i="88"/>
  <c r="DF20" i="88"/>
  <c r="DF14" i="88"/>
  <c r="DF15" i="88"/>
  <c r="DF23" i="88"/>
  <c r="DF12" i="88"/>
  <c r="DF7" i="88"/>
  <c r="DF22" i="88"/>
  <c r="DF13" i="88"/>
  <c r="FD1" i="88"/>
  <c r="DF18" i="88"/>
  <c r="DF11" i="88"/>
  <c r="EC24" i="88"/>
  <c r="EC15" i="88"/>
  <c r="EC12" i="88"/>
  <c r="EC21" i="88"/>
  <c r="EC11" i="88"/>
  <c r="EC18" i="88"/>
  <c r="EC8" i="88"/>
  <c r="EC20" i="88"/>
  <c r="EC13" i="88"/>
  <c r="EC17" i="88"/>
  <c r="EC6" i="88"/>
  <c r="EC19" i="88"/>
  <c r="EC10" i="88"/>
  <c r="EC23" i="88"/>
  <c r="EC16" i="88"/>
  <c r="EC7" i="88"/>
  <c r="EC22" i="88"/>
  <c r="EC14" i="88"/>
  <c r="EC9" i="88"/>
  <c r="DG24" i="88"/>
  <c r="DG16" i="88"/>
  <c r="DG6" i="88"/>
  <c r="DG22" i="88"/>
  <c r="DG14" i="88"/>
  <c r="DG12" i="88"/>
  <c r="DG23" i="88"/>
  <c r="DG13" i="88"/>
  <c r="DG11" i="88"/>
  <c r="DG21" i="88"/>
  <c r="DG10" i="88"/>
  <c r="DG19" i="88"/>
  <c r="DG9" i="88"/>
  <c r="DG15" i="88"/>
  <c r="DG8" i="88"/>
  <c r="DG18" i="88"/>
  <c r="DG7" i="88"/>
  <c r="DG20" i="88"/>
  <c r="DG17" i="88"/>
  <c r="FE1" i="88"/>
  <c r="U3" i="88"/>
  <c r="FC22" i="88"/>
  <c r="FC16" i="88"/>
  <c r="FC14" i="88"/>
  <c r="FC21" i="88"/>
  <c r="FC23" i="88"/>
  <c r="FC6" i="88"/>
  <c r="FC24" i="88"/>
  <c r="FC13" i="88"/>
  <c r="FC11" i="88"/>
  <c r="FC17" i="88"/>
  <c r="FC10" i="88"/>
  <c r="FC18" i="88"/>
  <c r="FC9" i="88"/>
  <c r="FC20" i="88"/>
  <c r="FC7" i="88"/>
  <c r="FC15" i="88"/>
  <c r="FC12" i="88"/>
  <c r="FC19" i="88"/>
  <c r="FC8" i="88"/>
  <c r="EE2" i="87"/>
  <c r="ED1" i="87"/>
  <c r="EC23" i="87"/>
  <c r="EC15" i="87"/>
  <c r="EC8" i="87"/>
  <c r="EC22" i="87"/>
  <c r="EC12" i="87"/>
  <c r="EC20" i="87"/>
  <c r="EC10" i="87"/>
  <c r="EC16" i="87"/>
  <c r="EC18" i="87"/>
  <c r="EC9" i="87"/>
  <c r="EC17" i="87"/>
  <c r="EC11" i="87"/>
  <c r="EC7" i="87"/>
  <c r="EC21" i="87"/>
  <c r="EC19" i="87"/>
  <c r="EC14" i="87"/>
  <c r="EC24" i="87"/>
  <c r="EC13" i="87"/>
  <c r="EC6" i="87"/>
  <c r="EC24" i="86"/>
  <c r="EC13" i="86"/>
  <c r="EC6" i="86"/>
  <c r="EC17" i="86"/>
  <c r="EC16" i="86"/>
  <c r="EC23" i="86"/>
  <c r="EC12" i="86"/>
  <c r="EC21" i="86"/>
  <c r="EC11" i="86"/>
  <c r="EC10" i="86"/>
  <c r="EC22" i="86"/>
  <c r="EC19" i="86"/>
  <c r="EC14" i="86"/>
  <c r="EC20" i="86"/>
  <c r="EC9" i="86"/>
  <c r="EC7" i="86"/>
  <c r="EC8" i="86"/>
  <c r="EC18" i="86"/>
  <c r="EC15" i="86"/>
  <c r="ED1" i="86"/>
  <c r="EE2" i="86"/>
  <c r="DG18" i="86"/>
  <c r="DG13" i="86"/>
  <c r="DG6" i="86"/>
  <c r="DG21" i="86"/>
  <c r="DG15" i="86"/>
  <c r="DG8" i="86"/>
  <c r="DG12" i="86"/>
  <c r="DG23" i="86"/>
  <c r="DG24" i="86"/>
  <c r="DG7" i="86"/>
  <c r="DG11" i="86"/>
  <c r="DG10" i="86"/>
  <c r="DG17" i="86"/>
  <c r="DG14" i="86"/>
  <c r="FE1" i="86"/>
  <c r="DG22" i="86"/>
  <c r="DG20" i="86"/>
  <c r="DG19" i="86"/>
  <c r="DG16" i="86"/>
  <c r="DG9" i="86"/>
  <c r="U3" i="86"/>
  <c r="FC23" i="86"/>
  <c r="FC14" i="86"/>
  <c r="FC16" i="86"/>
  <c r="FC18" i="86"/>
  <c r="FC20" i="86"/>
  <c r="FC11" i="86"/>
  <c r="FC10" i="86"/>
  <c r="FC24" i="86"/>
  <c r="FC17" i="86"/>
  <c r="FC8" i="86"/>
  <c r="FC9" i="86"/>
  <c r="FC22" i="86"/>
  <c r="FC15" i="86"/>
  <c r="FC6" i="86"/>
  <c r="FC12" i="86"/>
  <c r="FC19" i="86"/>
  <c r="FC21" i="86"/>
  <c r="FC13" i="86"/>
  <c r="FC7" i="86"/>
  <c r="DF21" i="86"/>
  <c r="DF18" i="86"/>
  <c r="DF8" i="86"/>
  <c r="DF9" i="86"/>
  <c r="DF23" i="86"/>
  <c r="DF20" i="86"/>
  <c r="DF7" i="86"/>
  <c r="DF22" i="86"/>
  <c r="DF13" i="86"/>
  <c r="FD1" i="86"/>
  <c r="DF24" i="86"/>
  <c r="DF12" i="86"/>
  <c r="DF6" i="86"/>
  <c r="DF19" i="86"/>
  <c r="DF17" i="86"/>
  <c r="DF14" i="86"/>
  <c r="DF16" i="86"/>
  <c r="DF11" i="86"/>
  <c r="DF15" i="86"/>
  <c r="DF10" i="86"/>
  <c r="DT1" i="142" l="1"/>
  <c r="DU2" i="142"/>
  <c r="DS24" i="142"/>
  <c r="DS22" i="142"/>
  <c r="DS21" i="142"/>
  <c r="DS18" i="142"/>
  <c r="DS20" i="142"/>
  <c r="DS19" i="142"/>
  <c r="DS10" i="142"/>
  <c r="DS17" i="142"/>
  <c r="DS16" i="142"/>
  <c r="DS15" i="142"/>
  <c r="DS14" i="142"/>
  <c r="DS13" i="142"/>
  <c r="DS12" i="142"/>
  <c r="DS11" i="142"/>
  <c r="DS9" i="142"/>
  <c r="DS8" i="142"/>
  <c r="DS7" i="142"/>
  <c r="DS6" i="142"/>
  <c r="DS23" i="142"/>
  <c r="ES9" i="142"/>
  <c r="ES8" i="142"/>
  <c r="ES7" i="142"/>
  <c r="ES24" i="142"/>
  <c r="ES23" i="142"/>
  <c r="ES22" i="142"/>
  <c r="ES19" i="142"/>
  <c r="ES21" i="142"/>
  <c r="ES18" i="142"/>
  <c r="ES17" i="142"/>
  <c r="ES20" i="142"/>
  <c r="ES16" i="142"/>
  <c r="ES15" i="142"/>
  <c r="ES14" i="142"/>
  <c r="ES6" i="142"/>
  <c r="ES13" i="142"/>
  <c r="ES12" i="142"/>
  <c r="ES11" i="142"/>
  <c r="CV24" i="142"/>
  <c r="BT24" i="142" s="1"/>
  <c r="CV23" i="142"/>
  <c r="BT23" i="142" s="1"/>
  <c r="CV19" i="142"/>
  <c r="BT19" i="142" s="1"/>
  <c r="CV22" i="142"/>
  <c r="BT22" i="142" s="1"/>
  <c r="CV21" i="142"/>
  <c r="BT21" i="142" s="1"/>
  <c r="CV14" i="142"/>
  <c r="BT14" i="142" s="1"/>
  <c r="ET1" i="142"/>
  <c r="CV20" i="142"/>
  <c r="BT20" i="142" s="1"/>
  <c r="CV18" i="142"/>
  <c r="BT18" i="142" s="1"/>
  <c r="CV17" i="142"/>
  <c r="BT17" i="142" s="1"/>
  <c r="CV16" i="142"/>
  <c r="BT16" i="142" s="1"/>
  <c r="CV15" i="142"/>
  <c r="BT15" i="142" s="1"/>
  <c r="CV13" i="142"/>
  <c r="BT13" i="142" s="1"/>
  <c r="CV12" i="142"/>
  <c r="BT12" i="142" s="1"/>
  <c r="CV11" i="142"/>
  <c r="BT11" i="142" s="1"/>
  <c r="CV10" i="142"/>
  <c r="BT10" i="142" s="1"/>
  <c r="CV9" i="142"/>
  <c r="BT9" i="142" s="1"/>
  <c r="CV8" i="142"/>
  <c r="BT8" i="142" s="1"/>
  <c r="CV7" i="142"/>
  <c r="BT7" i="142" s="1"/>
  <c r="CV6" i="142"/>
  <c r="BT6" i="142" s="1"/>
  <c r="CW1" i="142"/>
  <c r="CX2" i="142"/>
  <c r="Q28" i="100"/>
  <c r="Q29" i="100"/>
  <c r="Q30" i="100"/>
  <c r="ES19" i="139"/>
  <c r="ES11" i="139"/>
  <c r="ES12" i="139"/>
  <c r="ES9" i="139"/>
  <c r="ES16" i="139"/>
  <c r="ES8" i="139"/>
  <c r="ES18" i="139"/>
  <c r="ES7" i="139"/>
  <c r="ES24" i="139"/>
  <c r="ES14" i="139"/>
  <c r="ES13" i="139"/>
  <c r="ES21" i="139"/>
  <c r="ES22" i="139"/>
  <c r="ES6" i="139"/>
  <c r="ES20" i="139"/>
  <c r="ES17" i="139"/>
  <c r="ES15" i="139"/>
  <c r="ES23" i="139"/>
  <c r="DT1" i="139"/>
  <c r="DU2" i="139"/>
  <c r="DS20" i="139"/>
  <c r="DS22" i="139"/>
  <c r="DS14" i="139"/>
  <c r="DS18" i="139"/>
  <c r="DS11" i="139"/>
  <c r="DS24" i="139"/>
  <c r="DS16" i="139"/>
  <c r="DS12" i="139"/>
  <c r="DS9" i="139"/>
  <c r="DS21" i="139"/>
  <c r="DS7" i="139"/>
  <c r="DS19" i="139"/>
  <c r="DS15" i="139"/>
  <c r="DS6" i="139"/>
  <c r="DS13" i="139"/>
  <c r="DS23" i="139"/>
  <c r="DS17" i="139"/>
  <c r="DS8" i="139"/>
  <c r="DS10" i="139"/>
  <c r="CV15" i="139"/>
  <c r="BT15" i="139" s="1"/>
  <c r="CV14" i="139"/>
  <c r="BT14" i="139" s="1"/>
  <c r="CV8" i="139"/>
  <c r="BT8" i="139" s="1"/>
  <c r="CV19" i="139"/>
  <c r="BT19" i="139" s="1"/>
  <c r="CV13" i="139"/>
  <c r="BT13" i="139" s="1"/>
  <c r="ET1" i="139"/>
  <c r="CV23" i="139"/>
  <c r="BT23" i="139" s="1"/>
  <c r="CV12" i="139"/>
  <c r="BT12" i="139" s="1"/>
  <c r="CV7" i="139"/>
  <c r="BT7" i="139" s="1"/>
  <c r="CV22" i="139"/>
  <c r="BT22" i="139" s="1"/>
  <c r="CV20" i="139"/>
  <c r="BT20" i="139" s="1"/>
  <c r="CV6" i="139"/>
  <c r="BT6" i="139" s="1"/>
  <c r="CV10" i="139"/>
  <c r="BT10" i="139" s="1"/>
  <c r="CV24" i="139"/>
  <c r="BT24" i="139" s="1"/>
  <c r="CV11" i="139"/>
  <c r="BT11" i="139" s="1"/>
  <c r="CV18" i="139"/>
  <c r="BT18" i="139" s="1"/>
  <c r="CV21" i="139"/>
  <c r="BT21" i="139" s="1"/>
  <c r="CV9" i="139"/>
  <c r="BT9" i="139" s="1"/>
  <c r="CV17" i="139"/>
  <c r="BT17" i="139" s="1"/>
  <c r="CV16" i="139"/>
  <c r="BT16" i="139" s="1"/>
  <c r="CW1" i="139"/>
  <c r="CX2" i="139"/>
  <c r="BU28" i="106"/>
  <c r="BU27" i="106"/>
  <c r="BR13" i="109"/>
  <c r="BR27" i="109" s="1"/>
  <c r="BM13" i="136"/>
  <c r="DS24" i="137"/>
  <c r="DS14" i="137"/>
  <c r="DS8" i="137"/>
  <c r="DS23" i="137"/>
  <c r="DS11" i="137"/>
  <c r="DS7" i="137"/>
  <c r="DS22" i="137"/>
  <c r="DS18" i="137"/>
  <c r="DS6" i="137"/>
  <c r="DS21" i="137"/>
  <c r="DS12" i="137"/>
  <c r="DS20" i="137"/>
  <c r="DS10" i="137"/>
  <c r="DS19" i="137"/>
  <c r="DS13" i="137"/>
  <c r="DS17" i="137"/>
  <c r="DS16" i="137"/>
  <c r="DS15" i="137"/>
  <c r="DS9" i="137"/>
  <c r="DU2" i="137"/>
  <c r="DT1" i="137"/>
  <c r="ES21" i="137"/>
  <c r="ES12" i="137"/>
  <c r="ES20" i="137"/>
  <c r="ES17" i="137"/>
  <c r="ES9" i="137"/>
  <c r="ES19" i="137"/>
  <c r="ES15" i="137"/>
  <c r="ES13" i="137"/>
  <c r="ES8" i="137"/>
  <c r="ES24" i="137"/>
  <c r="ES11" i="137"/>
  <c r="ES18" i="137"/>
  <c r="ES23" i="137"/>
  <c r="ES16" i="137"/>
  <c r="ES7" i="137"/>
  <c r="ES22" i="137"/>
  <c r="ES14" i="137"/>
  <c r="ES6" i="137"/>
  <c r="CX2" i="136"/>
  <c r="CW1" i="136"/>
  <c r="CV19" i="136"/>
  <c r="BT19" i="136" s="1"/>
  <c r="CV16" i="136"/>
  <c r="BT16" i="136" s="1"/>
  <c r="CV9" i="136"/>
  <c r="BT9" i="136" s="1"/>
  <c r="CV23" i="136"/>
  <c r="BT23" i="136" s="1"/>
  <c r="CV12" i="136"/>
  <c r="BT12" i="136" s="1"/>
  <c r="CV7" i="136"/>
  <c r="BT7" i="136" s="1"/>
  <c r="CV22" i="136"/>
  <c r="BT22" i="136" s="1"/>
  <c r="CV18" i="136"/>
  <c r="BT18" i="136" s="1"/>
  <c r="CV24" i="136"/>
  <c r="BT24" i="136" s="1"/>
  <c r="CV11" i="136"/>
  <c r="BT11" i="136" s="1"/>
  <c r="CV15" i="136"/>
  <c r="BT15" i="136" s="1"/>
  <c r="CV6" i="136"/>
  <c r="BT6" i="136" s="1"/>
  <c r="CV14" i="136"/>
  <c r="BT14" i="136" s="1"/>
  <c r="CV10" i="136"/>
  <c r="BT10" i="136" s="1"/>
  <c r="CV21" i="136"/>
  <c r="BT21" i="136" s="1"/>
  <c r="CV13" i="136"/>
  <c r="BT13" i="136" s="1"/>
  <c r="ET1" i="136"/>
  <c r="CV20" i="136"/>
  <c r="BT20" i="136" s="1"/>
  <c r="CV17" i="136"/>
  <c r="BT17" i="136" s="1"/>
  <c r="CV8" i="136"/>
  <c r="BT8" i="136" s="1"/>
  <c r="CV23" i="137"/>
  <c r="BT23" i="137" s="1"/>
  <c r="CV14" i="137"/>
  <c r="BT14" i="137" s="1"/>
  <c r="CV7" i="137"/>
  <c r="BT7" i="137" s="1"/>
  <c r="CV22" i="137"/>
  <c r="BT22" i="137" s="1"/>
  <c r="CV17" i="137"/>
  <c r="BT17" i="137" s="1"/>
  <c r="CV6" i="137"/>
  <c r="BT6" i="137" s="1"/>
  <c r="CV20" i="137"/>
  <c r="BT20" i="137" s="1"/>
  <c r="CV11" i="137"/>
  <c r="BT11" i="137" s="1"/>
  <c r="ET1" i="137"/>
  <c r="CV21" i="137"/>
  <c r="BT21" i="137" s="1"/>
  <c r="CV12" i="137"/>
  <c r="BT12" i="137" s="1"/>
  <c r="CV19" i="137"/>
  <c r="BT19" i="137" s="1"/>
  <c r="CV10" i="137"/>
  <c r="BT10" i="137" s="1"/>
  <c r="CV18" i="137"/>
  <c r="BT18" i="137" s="1"/>
  <c r="CV13" i="137"/>
  <c r="BT13" i="137" s="1"/>
  <c r="CV16" i="137"/>
  <c r="BT16" i="137" s="1"/>
  <c r="CV8" i="137"/>
  <c r="BT8" i="137" s="1"/>
  <c r="CV24" i="137"/>
  <c r="BT24" i="137" s="1"/>
  <c r="CV15" i="137"/>
  <c r="BT15" i="137" s="1"/>
  <c r="CV9" i="137"/>
  <c r="BT9" i="137" s="1"/>
  <c r="CX2" i="137"/>
  <c r="CW1" i="137"/>
  <c r="DS22" i="136"/>
  <c r="DS10" i="136"/>
  <c r="DS6" i="136"/>
  <c r="DS21" i="136"/>
  <c r="DS19" i="136"/>
  <c r="DS20" i="136"/>
  <c r="DS9" i="136"/>
  <c r="DS17" i="136"/>
  <c r="DS8" i="136"/>
  <c r="DS16" i="136"/>
  <c r="DS12" i="136"/>
  <c r="DS18" i="136"/>
  <c r="DS13" i="136"/>
  <c r="DS24" i="136"/>
  <c r="DS15" i="136"/>
  <c r="DS11" i="136"/>
  <c r="DS23" i="136"/>
  <c r="DS14" i="136"/>
  <c r="DS7" i="136"/>
  <c r="DU2" i="136"/>
  <c r="DT1" i="136"/>
  <c r="ES15" i="136"/>
  <c r="ES7" i="136"/>
  <c r="ES22" i="136"/>
  <c r="ES21" i="136"/>
  <c r="ES6" i="136"/>
  <c r="ES20" i="136"/>
  <c r="ES14" i="136"/>
  <c r="ES8" i="136"/>
  <c r="ES19" i="136"/>
  <c r="ES13" i="136"/>
  <c r="ES23" i="136"/>
  <c r="ES17" i="136"/>
  <c r="ES16" i="136"/>
  <c r="ES12" i="136"/>
  <c r="ES24" i="136"/>
  <c r="ES11" i="136"/>
  <c r="ES18" i="136"/>
  <c r="ES9" i="136"/>
  <c r="ES16" i="132"/>
  <c r="ES14" i="132"/>
  <c r="ES17" i="132"/>
  <c r="ES15" i="132"/>
  <c r="ES13" i="132"/>
  <c r="ES19" i="132"/>
  <c r="ES24" i="132"/>
  <c r="ES12" i="132"/>
  <c r="ES8" i="132"/>
  <c r="ES21" i="132"/>
  <c r="ES6" i="132"/>
  <c r="ES22" i="132"/>
  <c r="ES9" i="132"/>
  <c r="ES23" i="132"/>
  <c r="ES7" i="132"/>
  <c r="ES11" i="132"/>
  <c r="ES18" i="132"/>
  <c r="ES20" i="132"/>
  <c r="CX2" i="133"/>
  <c r="CW1" i="133"/>
  <c r="CV18" i="133"/>
  <c r="BT18" i="133" s="1"/>
  <c r="CV14" i="133"/>
  <c r="BT14" i="133" s="1"/>
  <c r="CV7" i="133"/>
  <c r="BT7" i="133" s="1"/>
  <c r="CV22" i="133"/>
  <c r="BT22" i="133" s="1"/>
  <c r="CV11" i="133"/>
  <c r="BT11" i="133" s="1"/>
  <c r="CV8" i="133"/>
  <c r="BT8" i="133" s="1"/>
  <c r="ET1" i="133"/>
  <c r="CV20" i="133"/>
  <c r="BT20" i="133" s="1"/>
  <c r="CV15" i="133"/>
  <c r="BT15" i="133" s="1"/>
  <c r="CV24" i="133"/>
  <c r="BT24" i="133" s="1"/>
  <c r="CV16" i="133"/>
  <c r="BT16" i="133" s="1"/>
  <c r="CV19" i="133"/>
  <c r="BT19" i="133" s="1"/>
  <c r="CV21" i="133"/>
  <c r="BT21" i="133" s="1"/>
  <c r="CV10" i="133"/>
  <c r="BT10" i="133" s="1"/>
  <c r="CV23" i="133"/>
  <c r="BT23" i="133" s="1"/>
  <c r="CV9" i="133"/>
  <c r="BT9" i="133" s="1"/>
  <c r="CV13" i="133"/>
  <c r="BT13" i="133" s="1"/>
  <c r="CV17" i="133"/>
  <c r="BT17" i="133" s="1"/>
  <c r="CV6" i="133"/>
  <c r="BT6" i="133" s="1"/>
  <c r="CV12" i="133"/>
  <c r="BT12" i="133" s="1"/>
  <c r="ES13" i="133"/>
  <c r="ES14" i="133"/>
  <c r="ES18" i="133"/>
  <c r="ES8" i="133"/>
  <c r="ES23" i="133"/>
  <c r="ES9" i="133"/>
  <c r="ES24" i="133"/>
  <c r="ES6" i="133"/>
  <c r="ES22" i="133"/>
  <c r="ES20" i="133"/>
  <c r="ES7" i="133"/>
  <c r="ES12" i="133"/>
  <c r="ES21" i="133"/>
  <c r="ES15" i="133"/>
  <c r="ES11" i="133"/>
  <c r="ES19" i="133"/>
  <c r="ES17" i="133"/>
  <c r="ES16" i="133"/>
  <c r="DV2" i="133"/>
  <c r="DU1" i="133"/>
  <c r="DU2" i="132"/>
  <c r="DT1" i="132"/>
  <c r="CV24" i="132"/>
  <c r="BT24" i="132" s="1"/>
  <c r="CV10" i="132"/>
  <c r="BT10" i="132" s="1"/>
  <c r="ET1" i="132"/>
  <c r="CV19" i="132"/>
  <c r="BT19" i="132" s="1"/>
  <c r="CV14" i="132"/>
  <c r="BT14" i="132" s="1"/>
  <c r="CV9" i="132"/>
  <c r="BT9" i="132" s="1"/>
  <c r="CV13" i="132"/>
  <c r="BT13" i="132" s="1"/>
  <c r="CV8" i="132"/>
  <c r="BT8" i="132" s="1"/>
  <c r="CV11" i="132"/>
  <c r="BT11" i="132" s="1"/>
  <c r="CV16" i="132"/>
  <c r="BT16" i="132" s="1"/>
  <c r="CV18" i="132"/>
  <c r="BT18" i="132" s="1"/>
  <c r="CV21" i="132"/>
  <c r="BT21" i="132" s="1"/>
  <c r="CV22" i="132"/>
  <c r="BT22" i="132" s="1"/>
  <c r="CV6" i="132"/>
  <c r="BT6" i="132" s="1"/>
  <c r="CV12" i="132"/>
  <c r="BT12" i="132" s="1"/>
  <c r="CV23" i="132"/>
  <c r="BT23" i="132" s="1"/>
  <c r="CV7" i="132"/>
  <c r="BT7" i="132" s="1"/>
  <c r="CV17" i="132"/>
  <c r="BT17" i="132" s="1"/>
  <c r="CV15" i="132"/>
  <c r="BT15" i="132" s="1"/>
  <c r="CV20" i="132"/>
  <c r="BT20" i="132" s="1"/>
  <c r="DT21" i="133"/>
  <c r="DT19" i="133"/>
  <c r="DT10" i="133"/>
  <c r="DT15" i="133"/>
  <c r="DT11" i="133"/>
  <c r="DT9" i="133"/>
  <c r="DT6" i="133"/>
  <c r="DT17" i="133"/>
  <c r="DT20" i="133"/>
  <c r="DT12" i="133"/>
  <c r="DT18" i="133"/>
  <c r="DT16" i="133"/>
  <c r="DT13" i="133"/>
  <c r="DT14" i="133"/>
  <c r="DT8" i="133"/>
  <c r="DT24" i="133"/>
  <c r="DT23" i="133"/>
  <c r="DT22" i="133"/>
  <c r="DT7" i="133"/>
  <c r="DS20" i="132"/>
  <c r="DS18" i="132"/>
  <c r="DS13" i="132"/>
  <c r="DS16" i="132"/>
  <c r="DS14" i="132"/>
  <c r="DS17" i="132"/>
  <c r="DS11" i="132"/>
  <c r="DS19" i="132"/>
  <c r="DS12" i="132"/>
  <c r="DS24" i="132"/>
  <c r="DS7" i="132"/>
  <c r="DS23" i="132"/>
  <c r="DS10" i="132"/>
  <c r="DS22" i="132"/>
  <c r="DS6" i="132"/>
  <c r="DS15" i="132"/>
  <c r="DS8" i="132"/>
  <c r="DS9" i="132"/>
  <c r="DS21" i="132"/>
  <c r="CX2" i="132"/>
  <c r="CW1" i="132"/>
  <c r="BZ6" i="124"/>
  <c r="U6" i="124" s="1"/>
  <c r="BZ10" i="124"/>
  <c r="U10" i="124" s="1"/>
  <c r="V10" i="124" s="1"/>
  <c r="BZ19" i="124"/>
  <c r="U19" i="124" s="1"/>
  <c r="V19" i="124" s="1"/>
  <c r="BZ9" i="124"/>
  <c r="U9" i="124" s="1"/>
  <c r="V9" i="124" s="1"/>
  <c r="BZ7" i="124"/>
  <c r="U7" i="124" s="1"/>
  <c r="V7" i="124" s="1"/>
  <c r="BZ13" i="124"/>
  <c r="U13" i="124" s="1"/>
  <c r="V13" i="124" s="1"/>
  <c r="BZ11" i="124"/>
  <c r="U11" i="124" s="1"/>
  <c r="V11" i="124" s="1"/>
  <c r="BZ14" i="124"/>
  <c r="U14" i="124" s="1"/>
  <c r="V14" i="124" s="1"/>
  <c r="BZ21" i="124"/>
  <c r="U21" i="124" s="1"/>
  <c r="V21" i="124" s="1"/>
  <c r="BZ23" i="124"/>
  <c r="U23" i="124" s="1"/>
  <c r="V23" i="124" s="1"/>
  <c r="BZ20" i="124"/>
  <c r="U20" i="124" s="1"/>
  <c r="V20" i="124" s="1"/>
  <c r="BZ18" i="124"/>
  <c r="U18" i="124" s="1"/>
  <c r="V18" i="124" s="1"/>
  <c r="BZ8" i="124"/>
  <c r="U8" i="124" s="1"/>
  <c r="V8" i="124" s="1"/>
  <c r="BZ22" i="124"/>
  <c r="U22" i="124" s="1"/>
  <c r="V22" i="124" s="1"/>
  <c r="BZ17" i="124"/>
  <c r="U17" i="124" s="1"/>
  <c r="V17" i="124" s="1"/>
  <c r="BZ15" i="124"/>
  <c r="U15" i="124" s="1"/>
  <c r="V15" i="124" s="1"/>
  <c r="ED24" i="124"/>
  <c r="ED15" i="124"/>
  <c r="ED23" i="124"/>
  <c r="ED9" i="124"/>
  <c r="ED18" i="124"/>
  <c r="ED14" i="124"/>
  <c r="ED21" i="124"/>
  <c r="ED8" i="124"/>
  <c r="ED22" i="124"/>
  <c r="ED7" i="124"/>
  <c r="ED19" i="124"/>
  <c r="ED11" i="124"/>
  <c r="ED17" i="124"/>
  <c r="ED6" i="124"/>
  <c r="ED16" i="124"/>
  <c r="ED13" i="124"/>
  <c r="ED20" i="124"/>
  <c r="ED10" i="124"/>
  <c r="ED12" i="124"/>
  <c r="BZ12" i="124"/>
  <c r="U12" i="124" s="1"/>
  <c r="V12" i="124" s="1"/>
  <c r="BZ24" i="124"/>
  <c r="U24" i="124" s="1"/>
  <c r="V24" i="124" s="1"/>
  <c r="BZ16" i="124"/>
  <c r="U16" i="124" s="1"/>
  <c r="V16" i="124" s="1"/>
  <c r="FD24" i="124"/>
  <c r="FD15" i="124"/>
  <c r="FD11" i="124"/>
  <c r="FD23" i="124"/>
  <c r="FD14" i="124"/>
  <c r="FD10" i="124"/>
  <c r="FD22" i="124"/>
  <c r="FD13" i="124"/>
  <c r="FD8" i="124"/>
  <c r="FD17" i="124"/>
  <c r="FD20" i="124"/>
  <c r="FD21" i="124"/>
  <c r="FD9" i="124"/>
  <c r="FD18" i="124"/>
  <c r="FD7" i="124"/>
  <c r="FD16" i="124"/>
  <c r="FD6" i="124"/>
  <c r="FD19" i="124"/>
  <c r="FD12" i="124"/>
  <c r="EO10" i="121"/>
  <c r="EP10" i="124"/>
  <c r="EE1" i="124"/>
  <c r="EF2" i="124"/>
  <c r="EF1" i="124" s="1"/>
  <c r="FE21" i="124"/>
  <c r="FE20" i="124"/>
  <c r="FE9" i="124"/>
  <c r="FE24" i="124"/>
  <c r="FE13" i="124"/>
  <c r="FE16" i="124"/>
  <c r="FE11" i="124"/>
  <c r="FE15" i="124"/>
  <c r="FE12" i="124"/>
  <c r="FE17" i="124"/>
  <c r="FE6" i="124"/>
  <c r="FE18" i="124"/>
  <c r="FE8" i="124"/>
  <c r="FE23" i="124"/>
  <c r="FE19" i="124"/>
  <c r="FE10" i="124"/>
  <c r="FE22" i="124"/>
  <c r="FE14" i="124"/>
  <c r="FE7" i="124"/>
  <c r="BZ9" i="121"/>
  <c r="U9" i="121" s="1"/>
  <c r="V9" i="121" s="1"/>
  <c r="BZ12" i="121"/>
  <c r="U12" i="121" s="1"/>
  <c r="V12" i="121" s="1"/>
  <c r="FD12" i="121"/>
  <c r="FD8" i="121"/>
  <c r="FD24" i="121"/>
  <c r="FD6" i="121"/>
  <c r="FD22" i="121"/>
  <c r="FD16" i="121"/>
  <c r="FD7" i="121"/>
  <c r="FD11" i="121"/>
  <c r="FD15" i="121"/>
  <c r="FD21" i="121"/>
  <c r="FD17" i="121"/>
  <c r="FD9" i="121"/>
  <c r="FD19" i="121"/>
  <c r="FD13" i="121"/>
  <c r="FD20" i="121"/>
  <c r="FD10" i="121"/>
  <c r="FD14" i="121"/>
  <c r="FD18" i="121"/>
  <c r="FD23" i="121"/>
  <c r="ED18" i="121"/>
  <c r="ED8" i="121"/>
  <c r="ED7" i="121"/>
  <c r="ED23" i="121"/>
  <c r="ED15" i="121"/>
  <c r="ED19" i="121"/>
  <c r="ED24" i="121"/>
  <c r="ED13" i="121"/>
  <c r="ED12" i="121"/>
  <c r="ED17" i="121"/>
  <c r="ED14" i="121"/>
  <c r="ED10" i="121"/>
  <c r="ED9" i="121"/>
  <c r="ED20" i="121"/>
  <c r="ED11" i="121"/>
  <c r="ED6" i="121"/>
  <c r="ED16" i="121"/>
  <c r="ED22" i="121"/>
  <c r="ED21" i="121"/>
  <c r="BZ24" i="121"/>
  <c r="U24" i="121" s="1"/>
  <c r="V24" i="121" s="1"/>
  <c r="EF2" i="121"/>
  <c r="EF1" i="121" s="1"/>
  <c r="EE1" i="121"/>
  <c r="BZ18" i="121"/>
  <c r="U18" i="121" s="1"/>
  <c r="V18" i="121" s="1"/>
  <c r="BZ15" i="121"/>
  <c r="U15" i="121" s="1"/>
  <c r="V15" i="121" s="1"/>
  <c r="BZ17" i="121"/>
  <c r="U17" i="121" s="1"/>
  <c r="V17" i="121" s="1"/>
  <c r="BZ13" i="121"/>
  <c r="U13" i="121" s="1"/>
  <c r="V13" i="121" s="1"/>
  <c r="BZ8" i="121"/>
  <c r="U8" i="121" s="1"/>
  <c r="V8" i="121" s="1"/>
  <c r="BZ16" i="121"/>
  <c r="U16" i="121" s="1"/>
  <c r="V16" i="121" s="1"/>
  <c r="BZ21" i="121"/>
  <c r="U21" i="121" s="1"/>
  <c r="V21" i="121" s="1"/>
  <c r="BZ11" i="121"/>
  <c r="U11" i="121" s="1"/>
  <c r="V11" i="121" s="1"/>
  <c r="BZ7" i="121"/>
  <c r="U7" i="121" s="1"/>
  <c r="V7" i="121" s="1"/>
  <c r="BZ10" i="121"/>
  <c r="U10" i="121" s="1"/>
  <c r="V10" i="121" s="1"/>
  <c r="BZ23" i="121"/>
  <c r="U23" i="121" s="1"/>
  <c r="V23" i="121" s="1"/>
  <c r="BZ22" i="121"/>
  <c r="U22" i="121" s="1"/>
  <c r="V22" i="121" s="1"/>
  <c r="BZ6" i="121"/>
  <c r="FE22" i="121"/>
  <c r="FE14" i="121"/>
  <c r="FE9" i="121"/>
  <c r="FE19" i="121"/>
  <c r="FE6" i="121"/>
  <c r="FE16" i="121"/>
  <c r="FE12" i="121"/>
  <c r="FE20" i="121"/>
  <c r="FE24" i="121"/>
  <c r="FE10" i="121"/>
  <c r="FE21" i="121"/>
  <c r="FE7" i="121"/>
  <c r="FE17" i="121"/>
  <c r="FE11" i="121"/>
  <c r="FE15" i="121"/>
  <c r="FE13" i="121"/>
  <c r="FE18" i="121"/>
  <c r="FE8" i="121"/>
  <c r="FE23" i="121"/>
  <c r="BZ19" i="121"/>
  <c r="U19" i="121" s="1"/>
  <c r="V19" i="121" s="1"/>
  <c r="BZ14" i="121"/>
  <c r="U14" i="121" s="1"/>
  <c r="V14" i="121" s="1"/>
  <c r="BZ20" i="121"/>
  <c r="BZ19" i="120"/>
  <c r="U19" i="120" s="1"/>
  <c r="V19" i="120" s="1"/>
  <c r="BZ6" i="120"/>
  <c r="U6" i="120" s="1"/>
  <c r="FD15" i="120"/>
  <c r="FD9" i="120"/>
  <c r="FD24" i="120"/>
  <c r="FD18" i="120"/>
  <c r="FD8" i="120"/>
  <c r="FD23" i="120"/>
  <c r="FD14" i="120"/>
  <c r="FD7" i="120"/>
  <c r="FD22" i="120"/>
  <c r="FD12" i="120"/>
  <c r="FD6" i="120"/>
  <c r="FD20" i="120"/>
  <c r="FD16" i="120"/>
  <c r="FD21" i="120"/>
  <c r="FD13" i="120"/>
  <c r="FD19" i="120"/>
  <c r="FD11" i="120"/>
  <c r="FD17" i="120"/>
  <c r="FD10" i="120"/>
  <c r="BZ9" i="120"/>
  <c r="U9" i="120" s="1"/>
  <c r="V9" i="120" s="1"/>
  <c r="BZ21" i="120"/>
  <c r="U21" i="120" s="1"/>
  <c r="V21" i="120" s="1"/>
  <c r="BZ22" i="120"/>
  <c r="U22" i="120" s="1"/>
  <c r="V22" i="120" s="1"/>
  <c r="BZ10" i="120"/>
  <c r="U10" i="120" s="1"/>
  <c r="V10" i="120" s="1"/>
  <c r="BZ7" i="120"/>
  <c r="U7" i="120" s="1"/>
  <c r="V7" i="120" s="1"/>
  <c r="BZ17" i="120"/>
  <c r="U17" i="120" s="1"/>
  <c r="V17" i="120" s="1"/>
  <c r="BZ13" i="120"/>
  <c r="U13" i="120" s="1"/>
  <c r="V13" i="120" s="1"/>
  <c r="EM10" i="119"/>
  <c r="EN10" i="120"/>
  <c r="BZ11" i="120"/>
  <c r="U11" i="120" s="1"/>
  <c r="V11" i="120" s="1"/>
  <c r="BZ23" i="120"/>
  <c r="U23" i="120" s="1"/>
  <c r="V23" i="120" s="1"/>
  <c r="BZ15" i="120"/>
  <c r="U15" i="120" s="1"/>
  <c r="V15" i="120" s="1"/>
  <c r="BZ16" i="120"/>
  <c r="U16" i="120" s="1"/>
  <c r="V16" i="120" s="1"/>
  <c r="BZ8" i="120"/>
  <c r="U8" i="120" s="1"/>
  <c r="V8" i="120" s="1"/>
  <c r="BZ12" i="120"/>
  <c r="U12" i="120" s="1"/>
  <c r="V12" i="120" s="1"/>
  <c r="BZ20" i="120"/>
  <c r="BZ14" i="120"/>
  <c r="U14" i="120" s="1"/>
  <c r="V14" i="120" s="1"/>
  <c r="ED19" i="120"/>
  <c r="ED12" i="120"/>
  <c r="ED9" i="120"/>
  <c r="ED23" i="120"/>
  <c r="ED17" i="120"/>
  <c r="ED20" i="120"/>
  <c r="ED15" i="120"/>
  <c r="ED21" i="120"/>
  <c r="ED10" i="120"/>
  <c r="ED18" i="120"/>
  <c r="ED7" i="120"/>
  <c r="ED13" i="120"/>
  <c r="ED6" i="120"/>
  <c r="ED24" i="120"/>
  <c r="ED11" i="120"/>
  <c r="ED8" i="120"/>
  <c r="ED22" i="120"/>
  <c r="ED16" i="120"/>
  <c r="ED14" i="120"/>
  <c r="BZ18" i="120"/>
  <c r="U18" i="120" s="1"/>
  <c r="V18" i="120" s="1"/>
  <c r="FE20" i="120"/>
  <c r="FE12" i="120"/>
  <c r="FE21" i="120"/>
  <c r="FE10" i="120"/>
  <c r="FE16" i="120"/>
  <c r="FE9" i="120"/>
  <c r="FE19" i="120"/>
  <c r="FE15" i="120"/>
  <c r="FE18" i="120"/>
  <c r="FE6" i="120"/>
  <c r="FE24" i="120"/>
  <c r="FE14" i="120"/>
  <c r="FE11" i="120"/>
  <c r="FE23" i="120"/>
  <c r="FE13" i="120"/>
  <c r="FE7" i="120"/>
  <c r="FE22" i="120"/>
  <c r="FE17" i="120"/>
  <c r="FE8" i="120"/>
  <c r="BZ24" i="120"/>
  <c r="U24" i="120" s="1"/>
  <c r="V24" i="120" s="1"/>
  <c r="EF2" i="120"/>
  <c r="EF1" i="120" s="1"/>
  <c r="EE1" i="120"/>
  <c r="CA14" i="112"/>
  <c r="U14" i="112" s="1"/>
  <c r="V14" i="112" s="1"/>
  <c r="BZ9" i="119"/>
  <c r="U9" i="119" s="1"/>
  <c r="V9" i="119" s="1"/>
  <c r="BZ19" i="119"/>
  <c r="U19" i="119" s="1"/>
  <c r="V19" i="119" s="1"/>
  <c r="BZ7" i="119"/>
  <c r="U7" i="119" s="1"/>
  <c r="V7" i="119" s="1"/>
  <c r="BZ21" i="119"/>
  <c r="U21" i="119" s="1"/>
  <c r="V21" i="119" s="1"/>
  <c r="BZ17" i="119"/>
  <c r="U17" i="119" s="1"/>
  <c r="V17" i="119" s="1"/>
  <c r="BZ13" i="119"/>
  <c r="U13" i="119" s="1"/>
  <c r="V13" i="119" s="1"/>
  <c r="BZ15" i="119"/>
  <c r="U15" i="119" s="1"/>
  <c r="V15" i="119" s="1"/>
  <c r="BZ22" i="119"/>
  <c r="U22" i="119" s="1"/>
  <c r="V22" i="119" s="1"/>
  <c r="BZ24" i="119"/>
  <c r="U24" i="119" s="1"/>
  <c r="V24" i="119" s="1"/>
  <c r="BZ6" i="119"/>
  <c r="U6" i="119" s="1"/>
  <c r="BZ20" i="119"/>
  <c r="BY26" i="119" s="1"/>
  <c r="BZ23" i="119"/>
  <c r="U23" i="119" s="1"/>
  <c r="V23" i="119" s="1"/>
  <c r="BZ16" i="119"/>
  <c r="U16" i="119" s="1"/>
  <c r="V16" i="119" s="1"/>
  <c r="BZ12" i="119"/>
  <c r="U12" i="119" s="1"/>
  <c r="V12" i="119" s="1"/>
  <c r="BZ18" i="119"/>
  <c r="U18" i="119" s="1"/>
  <c r="V18" i="119" s="1"/>
  <c r="BZ11" i="119"/>
  <c r="U11" i="119" s="1"/>
  <c r="V11" i="119" s="1"/>
  <c r="ED12" i="119"/>
  <c r="ED13" i="119"/>
  <c r="ED24" i="119"/>
  <c r="ED23" i="119"/>
  <c r="ED11" i="119"/>
  <c r="ED8" i="119"/>
  <c r="ED10" i="119"/>
  <c r="ED6" i="119"/>
  <c r="ED17" i="119"/>
  <c r="ED16" i="119"/>
  <c r="ED18" i="119"/>
  <c r="ED19" i="119"/>
  <c r="ED22" i="119"/>
  <c r="ED15" i="119"/>
  <c r="ED7" i="119"/>
  <c r="ED20" i="119"/>
  <c r="ED21" i="119"/>
  <c r="ED9" i="119"/>
  <c r="ED14" i="119"/>
  <c r="BZ14" i="119"/>
  <c r="U14" i="119" s="1"/>
  <c r="V14" i="119" s="1"/>
  <c r="FD20" i="119"/>
  <c r="FD11" i="119"/>
  <c r="FD6" i="119"/>
  <c r="FD18" i="119"/>
  <c r="FD22" i="119"/>
  <c r="FD19" i="119"/>
  <c r="FD13" i="119"/>
  <c r="FD16" i="119"/>
  <c r="FD10" i="119"/>
  <c r="FD14" i="119"/>
  <c r="FD23" i="119"/>
  <c r="FD9" i="119"/>
  <c r="FD7" i="119"/>
  <c r="FD21" i="119"/>
  <c r="FD12" i="119"/>
  <c r="FD15" i="119"/>
  <c r="FD8" i="119"/>
  <c r="FD24" i="119"/>
  <c r="FD17" i="119"/>
  <c r="EF2" i="119"/>
  <c r="EF1" i="119" s="1"/>
  <c r="EE1" i="119"/>
  <c r="FE17" i="119"/>
  <c r="FE11" i="119"/>
  <c r="FE13" i="119"/>
  <c r="FE19" i="119"/>
  <c r="FE16" i="119"/>
  <c r="FE24" i="119"/>
  <c r="FE20" i="119"/>
  <c r="FE7" i="119"/>
  <c r="FE9" i="119"/>
  <c r="FE23" i="119"/>
  <c r="FE14" i="119"/>
  <c r="FE6" i="119"/>
  <c r="FE21" i="119"/>
  <c r="FE22" i="119"/>
  <c r="FE12" i="119"/>
  <c r="FE18" i="119"/>
  <c r="FE10" i="119"/>
  <c r="FE15" i="119"/>
  <c r="FE8" i="119"/>
  <c r="BZ10" i="119"/>
  <c r="U10" i="119" s="1"/>
  <c r="V10" i="119" s="1"/>
  <c r="BZ8" i="119"/>
  <c r="U8" i="119" s="1"/>
  <c r="V8" i="119" s="1"/>
  <c r="CA8" i="112"/>
  <c r="U8" i="112" s="1"/>
  <c r="V8" i="112" s="1"/>
  <c r="CA17" i="113"/>
  <c r="U17" i="113" s="1"/>
  <c r="V17" i="113" s="1"/>
  <c r="CA14" i="116"/>
  <c r="U14" i="116" s="1"/>
  <c r="V14" i="116" s="1"/>
  <c r="CA8" i="116"/>
  <c r="U8" i="116" s="1"/>
  <c r="V8" i="116" s="1"/>
  <c r="EJ10" i="109"/>
  <c r="EM10" i="116"/>
  <c r="CA17" i="116"/>
  <c r="U17" i="116" s="1"/>
  <c r="V17" i="116" s="1"/>
  <c r="CA24" i="116"/>
  <c r="U24" i="116" s="1"/>
  <c r="V24" i="116" s="1"/>
  <c r="FE18" i="116"/>
  <c r="FE14" i="116"/>
  <c r="FE10" i="116"/>
  <c r="FE20" i="116"/>
  <c r="FE15" i="116"/>
  <c r="FE23" i="116"/>
  <c r="FE11" i="116"/>
  <c r="FE24" i="116"/>
  <c r="FE13" i="116"/>
  <c r="FE12" i="116"/>
  <c r="FE21" i="116"/>
  <c r="FE7" i="116"/>
  <c r="FE16" i="116"/>
  <c r="FE9" i="116"/>
  <c r="FE19" i="116"/>
  <c r="FE8" i="116"/>
  <c r="FE22" i="116"/>
  <c r="FE17" i="116"/>
  <c r="FE6" i="116"/>
  <c r="CA11" i="116"/>
  <c r="U11" i="116" s="1"/>
  <c r="V11" i="116" s="1"/>
  <c r="CA10" i="116"/>
  <c r="U10" i="116" s="1"/>
  <c r="V10" i="116" s="1"/>
  <c r="CA19" i="116"/>
  <c r="U19" i="116" s="1"/>
  <c r="V19" i="116" s="1"/>
  <c r="CA12" i="116"/>
  <c r="U12" i="116" s="1"/>
  <c r="V12" i="116" s="1"/>
  <c r="CA20" i="116"/>
  <c r="EE22" i="116"/>
  <c r="EE12" i="116"/>
  <c r="EE15" i="116"/>
  <c r="EE11" i="116"/>
  <c r="EE18" i="116"/>
  <c r="EE9" i="116"/>
  <c r="EE17" i="116"/>
  <c r="EE8" i="116"/>
  <c r="EE24" i="116"/>
  <c r="EE20" i="116"/>
  <c r="EE14" i="116"/>
  <c r="EE23" i="116"/>
  <c r="EE21" i="116"/>
  <c r="EE19" i="116"/>
  <c r="EE10" i="116"/>
  <c r="EE16" i="116"/>
  <c r="EE6" i="116"/>
  <c r="EE13" i="116"/>
  <c r="EE7" i="116"/>
  <c r="CA21" i="116"/>
  <c r="U21" i="116" s="1"/>
  <c r="V21" i="116" s="1"/>
  <c r="CA15" i="116"/>
  <c r="U15" i="116" s="1"/>
  <c r="V15" i="116" s="1"/>
  <c r="CA9" i="116"/>
  <c r="U9" i="116" s="1"/>
  <c r="V9" i="116" s="1"/>
  <c r="EF1" i="116"/>
  <c r="EG2" i="116"/>
  <c r="EG1" i="116" s="1"/>
  <c r="FF24" i="116"/>
  <c r="FF11" i="116"/>
  <c r="FF17" i="116"/>
  <c r="FF16" i="116"/>
  <c r="FF19" i="116"/>
  <c r="FF14" i="116"/>
  <c r="FF23" i="116"/>
  <c r="FF18" i="116"/>
  <c r="FF10" i="116"/>
  <c r="FF9" i="116"/>
  <c r="FF22" i="116"/>
  <c r="FF7" i="116"/>
  <c r="FF21" i="116"/>
  <c r="FF13" i="116"/>
  <c r="FF6" i="116"/>
  <c r="FF12" i="116"/>
  <c r="FF20" i="116"/>
  <c r="FF15" i="116"/>
  <c r="FF8" i="116"/>
  <c r="CA23" i="116"/>
  <c r="U23" i="116" s="1"/>
  <c r="V23" i="116" s="1"/>
  <c r="CA7" i="116"/>
  <c r="U7" i="116" s="1"/>
  <c r="V7" i="116" s="1"/>
  <c r="CA18" i="116"/>
  <c r="U18" i="116" s="1"/>
  <c r="V18" i="116" s="1"/>
  <c r="CA6" i="116"/>
  <c r="CA13" i="116"/>
  <c r="U13" i="116" s="1"/>
  <c r="V13" i="116" s="1"/>
  <c r="CA16" i="116"/>
  <c r="U16" i="116" s="1"/>
  <c r="V16" i="116" s="1"/>
  <c r="CA22" i="116"/>
  <c r="U22" i="116" s="1"/>
  <c r="V22" i="116" s="1"/>
  <c r="CA21" i="113"/>
  <c r="U21" i="113" s="1"/>
  <c r="V21" i="113" s="1"/>
  <c r="CA8" i="113"/>
  <c r="U8" i="113" s="1"/>
  <c r="V8" i="113" s="1"/>
  <c r="CA14" i="113"/>
  <c r="U14" i="113" s="1"/>
  <c r="V14" i="113" s="1"/>
  <c r="CA10" i="113"/>
  <c r="U10" i="113" s="1"/>
  <c r="V10" i="113" s="1"/>
  <c r="CA6" i="113"/>
  <c r="U6" i="113" s="1"/>
  <c r="CA12" i="113"/>
  <c r="U12" i="113" s="1"/>
  <c r="V12" i="113" s="1"/>
  <c r="CA12" i="112"/>
  <c r="U12" i="112" s="1"/>
  <c r="V12" i="112" s="1"/>
  <c r="CA16" i="112"/>
  <c r="U16" i="112" s="1"/>
  <c r="V16" i="112" s="1"/>
  <c r="CA15" i="113"/>
  <c r="U15" i="113" s="1"/>
  <c r="V15" i="113" s="1"/>
  <c r="CA7" i="113"/>
  <c r="U7" i="113" s="1"/>
  <c r="V7" i="113" s="1"/>
  <c r="CA18" i="109"/>
  <c r="U18" i="109" s="1"/>
  <c r="V18" i="109" s="1"/>
  <c r="CA18" i="113"/>
  <c r="U18" i="113" s="1"/>
  <c r="V18" i="113" s="1"/>
  <c r="CA22" i="113"/>
  <c r="U22" i="113" s="1"/>
  <c r="V22" i="113" s="1"/>
  <c r="CA24" i="112"/>
  <c r="U24" i="112" s="1"/>
  <c r="V24" i="112" s="1"/>
  <c r="CA7" i="112"/>
  <c r="U7" i="112" s="1"/>
  <c r="V7" i="112" s="1"/>
  <c r="CA15" i="112"/>
  <c r="U15" i="112" s="1"/>
  <c r="V15" i="112" s="1"/>
  <c r="CA13" i="113"/>
  <c r="U13" i="113" s="1"/>
  <c r="V13" i="113" s="1"/>
  <c r="CA19" i="113"/>
  <c r="U19" i="113" s="1"/>
  <c r="V19" i="113" s="1"/>
  <c r="CA24" i="113"/>
  <c r="U24" i="113" s="1"/>
  <c r="V24" i="113" s="1"/>
  <c r="CA9" i="113"/>
  <c r="U9" i="113" s="1"/>
  <c r="V9" i="113" s="1"/>
  <c r="CA20" i="112"/>
  <c r="U20" i="112" s="1"/>
  <c r="V20" i="112" s="1"/>
  <c r="CA20" i="113"/>
  <c r="U20" i="113" s="1"/>
  <c r="V20" i="113" s="1"/>
  <c r="CA18" i="112"/>
  <c r="U18" i="112" s="1"/>
  <c r="V18" i="112" s="1"/>
  <c r="CA23" i="113"/>
  <c r="U23" i="113" s="1"/>
  <c r="V23" i="113" s="1"/>
  <c r="CA11" i="112"/>
  <c r="U11" i="112" s="1"/>
  <c r="V11" i="112" s="1"/>
  <c r="CA13" i="112"/>
  <c r="U13" i="112" s="1"/>
  <c r="V13" i="112" s="1"/>
  <c r="CA21" i="112"/>
  <c r="U21" i="112" s="1"/>
  <c r="V21" i="112" s="1"/>
  <c r="CA6" i="112"/>
  <c r="U6" i="112" s="1"/>
  <c r="IV121" i="9"/>
  <c r="IU122" i="9"/>
  <c r="CA19" i="112"/>
  <c r="U19" i="112" s="1"/>
  <c r="V19" i="112" s="1"/>
  <c r="FF21" i="112"/>
  <c r="FF13" i="112"/>
  <c r="FF9" i="112"/>
  <c r="FF12" i="112"/>
  <c r="FF24" i="112"/>
  <c r="FF6" i="112"/>
  <c r="FF20" i="112"/>
  <c r="FF16" i="112"/>
  <c r="FF19" i="112"/>
  <c r="FF11" i="112"/>
  <c r="FF17" i="112"/>
  <c r="FF14" i="112"/>
  <c r="FF23" i="112"/>
  <c r="FF15" i="112"/>
  <c r="FF18" i="112"/>
  <c r="FF22" i="112"/>
  <c r="FF7" i="112"/>
  <c r="FF8" i="112"/>
  <c r="FF10" i="112"/>
  <c r="CA10" i="112"/>
  <c r="U10" i="112" s="1"/>
  <c r="V10" i="112" s="1"/>
  <c r="CA9" i="112"/>
  <c r="U9" i="112" s="1"/>
  <c r="V9" i="112" s="1"/>
  <c r="FF23" i="113"/>
  <c r="FF13" i="113"/>
  <c r="FF11" i="113"/>
  <c r="FF22" i="113"/>
  <c r="FF7" i="113"/>
  <c r="FF12" i="113"/>
  <c r="FF18" i="113"/>
  <c r="FF16" i="113"/>
  <c r="FF21" i="113"/>
  <c r="FF14" i="113"/>
  <c r="FF20" i="113"/>
  <c r="FF15" i="113"/>
  <c r="FF10" i="113"/>
  <c r="FF24" i="113"/>
  <c r="FF17" i="113"/>
  <c r="FF6" i="113"/>
  <c r="FF8" i="113"/>
  <c r="FF19" i="113"/>
  <c r="FF9" i="113"/>
  <c r="EE19" i="113"/>
  <c r="EE15" i="113"/>
  <c r="EE18" i="113"/>
  <c r="EE14" i="113"/>
  <c r="EE22" i="113"/>
  <c r="EE12" i="113"/>
  <c r="EE20" i="113"/>
  <c r="EE24" i="113"/>
  <c r="EE16" i="113"/>
  <c r="EE7" i="113"/>
  <c r="EE23" i="113"/>
  <c r="EE11" i="113"/>
  <c r="EE13" i="113"/>
  <c r="EE9" i="113"/>
  <c r="EE8" i="113"/>
  <c r="EE21" i="113"/>
  <c r="EE10" i="113"/>
  <c r="EE6" i="113"/>
  <c r="EE17" i="113"/>
  <c r="CA22" i="112"/>
  <c r="U22" i="112" s="1"/>
  <c r="V22" i="112" s="1"/>
  <c r="CA16" i="113"/>
  <c r="U16" i="113" s="1"/>
  <c r="V16" i="113" s="1"/>
  <c r="EG2" i="113"/>
  <c r="EG1" i="113" s="1"/>
  <c r="EF1" i="113"/>
  <c r="FE16" i="113"/>
  <c r="FE18" i="113"/>
  <c r="FE9" i="113"/>
  <c r="FE17" i="113"/>
  <c r="FE7" i="113"/>
  <c r="FE13" i="113"/>
  <c r="FE21" i="113"/>
  <c r="FE20" i="113"/>
  <c r="FE12" i="113"/>
  <c r="FE8" i="113"/>
  <c r="FE14" i="113"/>
  <c r="FE19" i="113"/>
  <c r="FE22" i="113"/>
  <c r="FE24" i="113"/>
  <c r="FE15" i="113"/>
  <c r="FE6" i="113"/>
  <c r="FE23" i="113"/>
  <c r="FE10" i="113"/>
  <c r="FE11" i="113"/>
  <c r="CA17" i="112"/>
  <c r="U17" i="112" s="1"/>
  <c r="V17" i="112" s="1"/>
  <c r="EF1" i="112"/>
  <c r="EG2" i="112"/>
  <c r="EG1" i="112" s="1"/>
  <c r="CA11" i="113"/>
  <c r="U11" i="113" s="1"/>
  <c r="V11" i="113" s="1"/>
  <c r="FE10" i="112"/>
  <c r="FE15" i="112"/>
  <c r="FE9" i="112"/>
  <c r="FE12" i="112"/>
  <c r="FE18" i="112"/>
  <c r="FE8" i="112"/>
  <c r="FE13" i="112"/>
  <c r="FE24" i="112"/>
  <c r="FE20" i="112"/>
  <c r="FE14" i="112"/>
  <c r="FE16" i="112"/>
  <c r="FE23" i="112"/>
  <c r="FE19" i="112"/>
  <c r="FE17" i="112"/>
  <c r="FE22" i="112"/>
  <c r="FE7" i="112"/>
  <c r="FE11" i="112"/>
  <c r="FE21" i="112"/>
  <c r="FE6" i="112"/>
  <c r="EE10" i="112"/>
  <c r="EE15" i="112"/>
  <c r="EE24" i="112"/>
  <c r="EE9" i="112"/>
  <c r="EE17" i="112"/>
  <c r="EE23" i="112"/>
  <c r="EE8" i="112"/>
  <c r="EE12" i="112"/>
  <c r="EE21" i="112"/>
  <c r="EE16" i="112"/>
  <c r="EE13" i="112"/>
  <c r="EE18" i="112"/>
  <c r="EE6" i="112"/>
  <c r="EE11" i="112"/>
  <c r="EE22" i="112"/>
  <c r="EE14" i="112"/>
  <c r="EE20" i="112"/>
  <c r="EE19" i="112"/>
  <c r="EE7" i="112"/>
  <c r="EW123" i="9"/>
  <c r="EX122" i="9"/>
  <c r="EK10" i="112"/>
  <c r="EL10" i="113"/>
  <c r="GJ122" i="9"/>
  <c r="GN122" i="9" s="1"/>
  <c r="BQ13" i="137" s="1"/>
  <c r="CA23" i="112"/>
  <c r="U23" i="112" s="1"/>
  <c r="V23" i="112" s="1"/>
  <c r="CA21" i="109"/>
  <c r="U21" i="109" s="1"/>
  <c r="V21" i="109" s="1"/>
  <c r="BZ20" i="108"/>
  <c r="U20" i="108" s="1"/>
  <c r="V20" i="108" s="1"/>
  <c r="CA11" i="109"/>
  <c r="U11" i="109" s="1"/>
  <c r="V11" i="109" s="1"/>
  <c r="BZ16" i="108"/>
  <c r="U16" i="108" s="1"/>
  <c r="V16" i="108" s="1"/>
  <c r="BZ24" i="89"/>
  <c r="U24" i="89" s="1"/>
  <c r="V24" i="89" s="1"/>
  <c r="Q28" i="105"/>
  <c r="BZ6" i="108"/>
  <c r="U6" i="108" s="1"/>
  <c r="BZ17" i="108"/>
  <c r="U17" i="108" s="1"/>
  <c r="V17" i="108" s="1"/>
  <c r="BZ7" i="108"/>
  <c r="U7" i="108" s="1"/>
  <c r="V7" i="108" s="1"/>
  <c r="BZ24" i="108"/>
  <c r="U24" i="108" s="1"/>
  <c r="V24" i="108" s="1"/>
  <c r="BZ11" i="108"/>
  <c r="U11" i="108" s="1"/>
  <c r="V11" i="108" s="1"/>
  <c r="CA15" i="109"/>
  <c r="U15" i="109" s="1"/>
  <c r="V15" i="109" s="1"/>
  <c r="BZ13" i="108"/>
  <c r="U13" i="108" s="1"/>
  <c r="V13" i="108" s="1"/>
  <c r="BZ14" i="108"/>
  <c r="U14" i="108" s="1"/>
  <c r="V14" i="108" s="1"/>
  <c r="BZ18" i="108"/>
  <c r="U18" i="108" s="1"/>
  <c r="V18" i="108" s="1"/>
  <c r="Q29" i="105"/>
  <c r="CA19" i="109"/>
  <c r="U19" i="109" s="1"/>
  <c r="V19" i="109" s="1"/>
  <c r="BZ9" i="108"/>
  <c r="U9" i="108" s="1"/>
  <c r="V9" i="108" s="1"/>
  <c r="BZ19" i="108"/>
  <c r="U19" i="108" s="1"/>
  <c r="V19" i="108" s="1"/>
  <c r="BZ21" i="108"/>
  <c r="U21" i="108" s="1"/>
  <c r="V21" i="108" s="1"/>
  <c r="BZ12" i="108"/>
  <c r="U12" i="108" s="1"/>
  <c r="V12" i="108" s="1"/>
  <c r="CA20" i="109"/>
  <c r="U20" i="109" s="1"/>
  <c r="V20" i="109" s="1"/>
  <c r="CA17" i="109"/>
  <c r="U17" i="109" s="1"/>
  <c r="V17" i="109" s="1"/>
  <c r="CA9" i="109"/>
  <c r="U9" i="109" s="1"/>
  <c r="V9" i="109" s="1"/>
  <c r="CA22" i="109"/>
  <c r="U22" i="109" s="1"/>
  <c r="V22" i="109" s="1"/>
  <c r="CA8" i="109"/>
  <c r="U8" i="109" s="1"/>
  <c r="V8" i="109" s="1"/>
  <c r="EH10" i="108"/>
  <c r="CG10" i="108" s="1"/>
  <c r="Y10" i="108" s="1"/>
  <c r="CA14" i="109"/>
  <c r="U14" i="109" s="1"/>
  <c r="V14" i="109" s="1"/>
  <c r="FD18" i="108"/>
  <c r="FD6" i="108"/>
  <c r="FD11" i="108"/>
  <c r="FD17" i="108"/>
  <c r="FD24" i="108"/>
  <c r="FD22" i="108"/>
  <c r="FD16" i="108"/>
  <c r="FD21" i="108"/>
  <c r="FD15" i="108"/>
  <c r="FD23" i="108"/>
  <c r="FD10" i="108"/>
  <c r="FD20" i="108"/>
  <c r="FD8" i="108"/>
  <c r="FD14" i="108"/>
  <c r="FD9" i="108"/>
  <c r="FD7" i="108"/>
  <c r="FD13" i="108"/>
  <c r="FD12" i="108"/>
  <c r="FD19" i="108"/>
  <c r="CA23" i="109"/>
  <c r="U23" i="109" s="1"/>
  <c r="V23" i="109" s="1"/>
  <c r="EF2" i="108"/>
  <c r="EF1" i="108" s="1"/>
  <c r="EE1" i="108"/>
  <c r="BZ22" i="108"/>
  <c r="U22" i="108" s="1"/>
  <c r="V22" i="108" s="1"/>
  <c r="ED20" i="108"/>
  <c r="ED8" i="108"/>
  <c r="ED12" i="108"/>
  <c r="ED9" i="108"/>
  <c r="ED19" i="108"/>
  <c r="ED7" i="108"/>
  <c r="ED18" i="108"/>
  <c r="ED6" i="108"/>
  <c r="ED14" i="108"/>
  <c r="ED17" i="108"/>
  <c r="ED16" i="108"/>
  <c r="ED23" i="108"/>
  <c r="ED22" i="108"/>
  <c r="ED21" i="108"/>
  <c r="ED15" i="108"/>
  <c r="ED13" i="108"/>
  <c r="ED24" i="108"/>
  <c r="ED11" i="108"/>
  <c r="ED10" i="108"/>
  <c r="FE18" i="109"/>
  <c r="FE6" i="109"/>
  <c r="FE19" i="109"/>
  <c r="FE17" i="109"/>
  <c r="FE16" i="109"/>
  <c r="FE24" i="109"/>
  <c r="FE23" i="109"/>
  <c r="FE15" i="109"/>
  <c r="FE12" i="109"/>
  <c r="FE9" i="109"/>
  <c r="FE7" i="109"/>
  <c r="FE14" i="109"/>
  <c r="FE11" i="109"/>
  <c r="FE13" i="109"/>
  <c r="FE21" i="109"/>
  <c r="FE8" i="109"/>
  <c r="FE22" i="109"/>
  <c r="FE10" i="109"/>
  <c r="FE20" i="109"/>
  <c r="CA12" i="109"/>
  <c r="U12" i="109" s="1"/>
  <c r="V12" i="109" s="1"/>
  <c r="CA7" i="109"/>
  <c r="U7" i="109" s="1"/>
  <c r="V7" i="109" s="1"/>
  <c r="CA24" i="109"/>
  <c r="U24" i="109" s="1"/>
  <c r="V24" i="109" s="1"/>
  <c r="BZ15" i="108"/>
  <c r="U15" i="108" s="1"/>
  <c r="V15" i="108" s="1"/>
  <c r="EG2" i="109"/>
  <c r="EG1" i="109" s="1"/>
  <c r="EF1" i="109"/>
  <c r="CA10" i="109"/>
  <c r="U10" i="109" s="1"/>
  <c r="V10" i="109" s="1"/>
  <c r="BZ10" i="108"/>
  <c r="U10" i="108" s="1"/>
  <c r="V10" i="108" s="1"/>
  <c r="EE20" i="109"/>
  <c r="EE8" i="109"/>
  <c r="EE13" i="109"/>
  <c r="EE23" i="109"/>
  <c r="EE22" i="109"/>
  <c r="EE10" i="109"/>
  <c r="EE19" i="109"/>
  <c r="EE7" i="109"/>
  <c r="EE18" i="109"/>
  <c r="EE6" i="109"/>
  <c r="EE9" i="109"/>
  <c r="EE17" i="109"/>
  <c r="EE16" i="109"/>
  <c r="EE14" i="109"/>
  <c r="EE11" i="109"/>
  <c r="EE21" i="109"/>
  <c r="EE15" i="109"/>
  <c r="EE24" i="109"/>
  <c r="EE12" i="109"/>
  <c r="CA13" i="109"/>
  <c r="U13" i="109" s="1"/>
  <c r="V13" i="109" s="1"/>
  <c r="CA16" i="109"/>
  <c r="U16" i="109" s="1"/>
  <c r="V16" i="109" s="1"/>
  <c r="BZ23" i="108"/>
  <c r="U23" i="108" s="1"/>
  <c r="V23" i="108" s="1"/>
  <c r="CA6" i="109"/>
  <c r="FF23" i="109"/>
  <c r="FF11" i="109"/>
  <c r="FF16" i="109"/>
  <c r="FF14" i="109"/>
  <c r="FF22" i="109"/>
  <c r="FF10" i="109"/>
  <c r="FF21" i="109"/>
  <c r="FF9" i="109"/>
  <c r="FF13" i="109"/>
  <c r="FF12" i="109"/>
  <c r="FF20" i="109"/>
  <c r="FF8" i="109"/>
  <c r="FF19" i="109"/>
  <c r="FF7" i="109"/>
  <c r="FF17" i="109"/>
  <c r="FF18" i="109"/>
  <c r="FF6" i="109"/>
  <c r="FF15" i="109"/>
  <c r="FF24" i="109"/>
  <c r="FE23" i="108"/>
  <c r="FE11" i="108"/>
  <c r="FE24" i="108"/>
  <c r="FE22" i="108"/>
  <c r="FE10" i="108"/>
  <c r="FE12" i="108"/>
  <c r="FE21" i="108"/>
  <c r="FE9" i="108"/>
  <c r="FE20" i="108"/>
  <c r="FE8" i="108"/>
  <c r="FE17" i="108"/>
  <c r="FE19" i="108"/>
  <c r="FE7" i="108"/>
  <c r="FE18" i="108"/>
  <c r="FE6" i="108"/>
  <c r="FE16" i="108"/>
  <c r="FE15" i="108"/>
  <c r="FE14" i="108"/>
  <c r="FE13" i="108"/>
  <c r="BZ8" i="108"/>
  <c r="U8" i="108" s="1"/>
  <c r="V8" i="108" s="1"/>
  <c r="O13" i="108"/>
  <c r="BQ27" i="108"/>
  <c r="BU13" i="108"/>
  <c r="BV13" i="109"/>
  <c r="BZ22" i="106"/>
  <c r="U22" i="106" s="1"/>
  <c r="V22" i="106" s="1"/>
  <c r="BZ17" i="106"/>
  <c r="U17" i="106" s="1"/>
  <c r="V17" i="106" s="1"/>
  <c r="BZ12" i="106"/>
  <c r="U12" i="106" s="1"/>
  <c r="V12" i="106" s="1"/>
  <c r="BZ7" i="106"/>
  <c r="U7" i="106" s="1"/>
  <c r="V7" i="106" s="1"/>
  <c r="BZ10" i="106"/>
  <c r="U10" i="106" s="1"/>
  <c r="V10" i="106" s="1"/>
  <c r="Q30" i="106"/>
  <c r="Q29" i="106"/>
  <c r="Q28" i="106"/>
  <c r="BZ20" i="106"/>
  <c r="U20" i="106" s="1"/>
  <c r="V20" i="106" s="1"/>
  <c r="BZ15" i="106"/>
  <c r="U15" i="106" s="1"/>
  <c r="V15" i="106" s="1"/>
  <c r="BZ18" i="106"/>
  <c r="U18" i="106" s="1"/>
  <c r="V18" i="106" s="1"/>
  <c r="FE24" i="106"/>
  <c r="FE16" i="106"/>
  <c r="FE8" i="106"/>
  <c r="FE23" i="106"/>
  <c r="FE15" i="106"/>
  <c r="FE7" i="106"/>
  <c r="FE22" i="106"/>
  <c r="FE14" i="106"/>
  <c r="FE6" i="106"/>
  <c r="FE21" i="106"/>
  <c r="FE13" i="106"/>
  <c r="FE20" i="106"/>
  <c r="FE12" i="106"/>
  <c r="FE19" i="106"/>
  <c r="FE11" i="106"/>
  <c r="FE18" i="106"/>
  <c r="FE10" i="106"/>
  <c r="FE17" i="106"/>
  <c r="FE9" i="106"/>
  <c r="BZ23" i="106"/>
  <c r="U23" i="106" s="1"/>
  <c r="V23" i="106" s="1"/>
  <c r="BZ11" i="106"/>
  <c r="U11" i="106" s="1"/>
  <c r="V11" i="106" s="1"/>
  <c r="FD19" i="106"/>
  <c r="FD11" i="106"/>
  <c r="FD18" i="106"/>
  <c r="FD10" i="106"/>
  <c r="FD17" i="106"/>
  <c r="FD9" i="106"/>
  <c r="FD24" i="106"/>
  <c r="FD16" i="106"/>
  <c r="FD8" i="106"/>
  <c r="FD23" i="106"/>
  <c r="FD15" i="106"/>
  <c r="FD7" i="106"/>
  <c r="FD22" i="106"/>
  <c r="FD14" i="106"/>
  <c r="FD6" i="106"/>
  <c r="FD21" i="106"/>
  <c r="FD13" i="106"/>
  <c r="FD20" i="106"/>
  <c r="FD12" i="106"/>
  <c r="BZ13" i="106"/>
  <c r="U13" i="106" s="1"/>
  <c r="V13" i="106" s="1"/>
  <c r="BZ8" i="106"/>
  <c r="U8" i="106" s="1"/>
  <c r="V8" i="106" s="1"/>
  <c r="BZ19" i="106"/>
  <c r="U19" i="106" s="1"/>
  <c r="V19" i="106" s="1"/>
  <c r="BZ21" i="106"/>
  <c r="U21" i="106" s="1"/>
  <c r="V21" i="106" s="1"/>
  <c r="BZ16" i="106"/>
  <c r="U16" i="106" s="1"/>
  <c r="V16" i="106" s="1"/>
  <c r="ED17" i="106"/>
  <c r="ED9" i="106"/>
  <c r="ED24" i="106"/>
  <c r="ED16" i="106"/>
  <c r="ED8" i="106"/>
  <c r="ED23" i="106"/>
  <c r="ED15" i="106"/>
  <c r="ED7" i="106"/>
  <c r="ED22" i="106"/>
  <c r="ED14" i="106"/>
  <c r="ED6" i="106"/>
  <c r="ED21" i="106"/>
  <c r="ED13" i="106"/>
  <c r="ED20" i="106"/>
  <c r="ED12" i="106"/>
  <c r="ED19" i="106"/>
  <c r="ED11" i="106"/>
  <c r="ED18" i="106"/>
  <c r="ED10" i="106"/>
  <c r="BZ6" i="106"/>
  <c r="BZ24" i="106"/>
  <c r="U24" i="106" s="1"/>
  <c r="V24" i="106" s="1"/>
  <c r="EF2" i="106"/>
  <c r="EF1" i="106" s="1"/>
  <c r="EE1" i="106"/>
  <c r="BZ14" i="106"/>
  <c r="U14" i="106" s="1"/>
  <c r="V14" i="106" s="1"/>
  <c r="BZ9" i="106"/>
  <c r="U9" i="106" s="1"/>
  <c r="V9" i="106" s="1"/>
  <c r="BZ6" i="105"/>
  <c r="U6" i="105" s="1"/>
  <c r="BZ21" i="105"/>
  <c r="U21" i="105" s="1"/>
  <c r="V21" i="105" s="1"/>
  <c r="BZ22" i="105"/>
  <c r="U22" i="105" s="1"/>
  <c r="V22" i="105" s="1"/>
  <c r="BZ11" i="105"/>
  <c r="U11" i="105" s="1"/>
  <c r="V11" i="105" s="1"/>
  <c r="BZ23" i="105"/>
  <c r="U23" i="105" s="1"/>
  <c r="V23" i="105" s="1"/>
  <c r="BZ9" i="105"/>
  <c r="U9" i="105" s="1"/>
  <c r="V9" i="105" s="1"/>
  <c r="BZ7" i="105"/>
  <c r="U7" i="105" s="1"/>
  <c r="V7" i="105" s="1"/>
  <c r="BZ12" i="105"/>
  <c r="U12" i="105" s="1"/>
  <c r="V12" i="105" s="1"/>
  <c r="EE1" i="105"/>
  <c r="EF2" i="105"/>
  <c r="EF1" i="105" s="1"/>
  <c r="BZ18" i="105"/>
  <c r="U18" i="105" s="1"/>
  <c r="V18" i="105" s="1"/>
  <c r="BZ17" i="105"/>
  <c r="U17" i="105" s="1"/>
  <c r="V17" i="105" s="1"/>
  <c r="FD19" i="105"/>
  <c r="FD7" i="105"/>
  <c r="FD6" i="105"/>
  <c r="FD10" i="105"/>
  <c r="FD20" i="105"/>
  <c r="FD8" i="105"/>
  <c r="FD18" i="105"/>
  <c r="FD21" i="105"/>
  <c r="FD17" i="105"/>
  <c r="FD14" i="105"/>
  <c r="FD16" i="105"/>
  <c r="FD24" i="105"/>
  <c r="FD12" i="105"/>
  <c r="FD22" i="105"/>
  <c r="FD15" i="105"/>
  <c r="FD13" i="105"/>
  <c r="FD11" i="105"/>
  <c r="FD9" i="105"/>
  <c r="FD23" i="105"/>
  <c r="BZ6" i="87"/>
  <c r="U6" i="87" s="1"/>
  <c r="BZ19" i="105"/>
  <c r="U19" i="105" s="1"/>
  <c r="V19" i="105" s="1"/>
  <c r="BZ20" i="105"/>
  <c r="U20" i="105" s="1"/>
  <c r="V20" i="105" s="1"/>
  <c r="BZ15" i="105"/>
  <c r="U15" i="105" s="1"/>
  <c r="V15" i="105" s="1"/>
  <c r="BZ13" i="105"/>
  <c r="U13" i="105" s="1"/>
  <c r="V13" i="105" s="1"/>
  <c r="BZ10" i="105"/>
  <c r="U10" i="105" s="1"/>
  <c r="V10" i="105" s="1"/>
  <c r="BZ14" i="105"/>
  <c r="U14" i="105" s="1"/>
  <c r="V14" i="105" s="1"/>
  <c r="FE24" i="105"/>
  <c r="FE12" i="105"/>
  <c r="FE6" i="105"/>
  <c r="FE13" i="105"/>
  <c r="FE23" i="105"/>
  <c r="FE11" i="105"/>
  <c r="FE22" i="105"/>
  <c r="FE10" i="105"/>
  <c r="FE19" i="105"/>
  <c r="FE7" i="105"/>
  <c r="FE21" i="105"/>
  <c r="FE9" i="105"/>
  <c r="FE17" i="105"/>
  <c r="FE15" i="105"/>
  <c r="FE20" i="105"/>
  <c r="FE8" i="105"/>
  <c r="FE18" i="105"/>
  <c r="FE14" i="105"/>
  <c r="FE16" i="105"/>
  <c r="BZ16" i="105"/>
  <c r="U16" i="105" s="1"/>
  <c r="V16" i="105" s="1"/>
  <c r="ED21" i="105"/>
  <c r="ED9" i="105"/>
  <c r="ED20" i="105"/>
  <c r="ED8" i="105"/>
  <c r="ED10" i="105"/>
  <c r="ED19" i="105"/>
  <c r="ED7" i="105"/>
  <c r="ED16" i="105"/>
  <c r="ED22" i="105"/>
  <c r="ED18" i="105"/>
  <c r="ED6" i="105"/>
  <c r="ED14" i="105"/>
  <c r="ED24" i="105"/>
  <c r="ED12" i="105"/>
  <c r="ED17" i="105"/>
  <c r="ED15" i="105"/>
  <c r="ED13" i="105"/>
  <c r="ED23" i="105"/>
  <c r="ED11" i="105"/>
  <c r="BZ24" i="105"/>
  <c r="U24" i="105" s="1"/>
  <c r="V24" i="105" s="1"/>
  <c r="BZ8" i="105"/>
  <c r="U8" i="105" s="1"/>
  <c r="V8" i="105" s="1"/>
  <c r="BZ10" i="88"/>
  <c r="U10" i="88" s="1"/>
  <c r="V10" i="88" s="1"/>
  <c r="BZ8" i="88"/>
  <c r="U8" i="88" s="1"/>
  <c r="V8" i="88" s="1"/>
  <c r="BZ9" i="92"/>
  <c r="U9" i="92" s="1"/>
  <c r="V9" i="92" s="1"/>
  <c r="BZ20" i="92"/>
  <c r="U20" i="92" s="1"/>
  <c r="V20" i="92" s="1"/>
  <c r="BZ17" i="92"/>
  <c r="U17" i="92" s="1"/>
  <c r="V17" i="92" s="1"/>
  <c r="BZ9" i="88"/>
  <c r="U9" i="88" s="1"/>
  <c r="V9" i="88" s="1"/>
  <c r="BZ12" i="92"/>
  <c r="U12" i="92" s="1"/>
  <c r="V12" i="92" s="1"/>
  <c r="BZ19" i="88"/>
  <c r="U19" i="88" s="1"/>
  <c r="V19" i="88" s="1"/>
  <c r="BZ6" i="92"/>
  <c r="U6" i="92" s="1"/>
  <c r="BZ16" i="92"/>
  <c r="U16" i="92" s="1"/>
  <c r="V16" i="92" s="1"/>
  <c r="BZ22" i="92"/>
  <c r="U22" i="92" s="1"/>
  <c r="V22" i="92" s="1"/>
  <c r="BZ8" i="92"/>
  <c r="U8" i="92" s="1"/>
  <c r="V8" i="92" s="1"/>
  <c r="BZ21" i="92"/>
  <c r="U21" i="92" s="1"/>
  <c r="V21" i="92" s="1"/>
  <c r="BZ19" i="92"/>
  <c r="U19" i="92" s="1"/>
  <c r="V19" i="92" s="1"/>
  <c r="BZ11" i="92"/>
  <c r="U11" i="92" s="1"/>
  <c r="V11" i="92" s="1"/>
  <c r="BZ18" i="92"/>
  <c r="U18" i="92" s="1"/>
  <c r="V18" i="92" s="1"/>
  <c r="BZ15" i="92"/>
  <c r="U15" i="92" s="1"/>
  <c r="V15" i="92" s="1"/>
  <c r="BZ24" i="92"/>
  <c r="U24" i="92" s="1"/>
  <c r="V24" i="92" s="1"/>
  <c r="BZ23" i="92"/>
  <c r="U23" i="92" s="1"/>
  <c r="V23" i="92" s="1"/>
  <c r="BZ7" i="92"/>
  <c r="U7" i="92" s="1"/>
  <c r="V7" i="92" s="1"/>
  <c r="BZ14" i="92"/>
  <c r="U14" i="92" s="1"/>
  <c r="V14" i="92" s="1"/>
  <c r="BZ10" i="92"/>
  <c r="U10" i="92" s="1"/>
  <c r="V10" i="92" s="1"/>
  <c r="BZ13" i="92"/>
  <c r="U13" i="92" s="1"/>
  <c r="V13" i="92" s="1"/>
  <c r="BZ18" i="88"/>
  <c r="U18" i="88" s="1"/>
  <c r="V18" i="88" s="1"/>
  <c r="BZ13" i="89"/>
  <c r="U13" i="89" s="1"/>
  <c r="V13" i="89" s="1"/>
  <c r="ED18" i="92"/>
  <c r="ED7" i="92"/>
  <c r="ED21" i="92"/>
  <c r="ED11" i="92"/>
  <c r="ED14" i="92"/>
  <c r="ED19" i="92"/>
  <c r="ED6" i="92"/>
  <c r="ED12" i="92"/>
  <c r="ED24" i="92"/>
  <c r="ED17" i="92"/>
  <c r="ED10" i="92"/>
  <c r="ED13" i="92"/>
  <c r="ED23" i="92"/>
  <c r="ED15" i="92"/>
  <c r="ED8" i="92"/>
  <c r="ED22" i="92"/>
  <c r="ED20" i="92"/>
  <c r="ED16" i="92"/>
  <c r="ED9" i="92"/>
  <c r="EF2" i="92"/>
  <c r="EF1" i="92" s="1"/>
  <c r="EE1" i="92"/>
  <c r="FD24" i="92"/>
  <c r="FD13" i="92"/>
  <c r="FD22" i="92"/>
  <c r="FD23" i="92"/>
  <c r="FD20" i="92"/>
  <c r="FD7" i="92"/>
  <c r="FD21" i="92"/>
  <c r="FD18" i="92"/>
  <c r="FD6" i="92"/>
  <c r="FD17" i="92"/>
  <c r="FD15" i="92"/>
  <c r="FD12" i="92"/>
  <c r="FD10" i="92"/>
  <c r="FD19" i="92"/>
  <c r="FD8" i="92"/>
  <c r="FD16" i="92"/>
  <c r="FD11" i="92"/>
  <c r="FD14" i="92"/>
  <c r="FD9" i="92"/>
  <c r="FE22" i="92"/>
  <c r="FE8" i="92"/>
  <c r="FE7" i="92"/>
  <c r="FE23" i="92"/>
  <c r="FE15" i="92"/>
  <c r="FE6" i="92"/>
  <c r="FE21" i="92"/>
  <c r="FE17" i="92"/>
  <c r="FE18" i="92"/>
  <c r="FE11" i="92"/>
  <c r="FE14" i="92"/>
  <c r="FE24" i="92"/>
  <c r="FE12" i="92"/>
  <c r="FE20" i="92"/>
  <c r="FE19" i="92"/>
  <c r="FE10" i="92"/>
  <c r="FE16" i="92"/>
  <c r="FE9" i="92"/>
  <c r="FE13" i="92"/>
  <c r="BZ13" i="90"/>
  <c r="U13" i="90" s="1"/>
  <c r="V13" i="90" s="1"/>
  <c r="BZ11" i="91"/>
  <c r="U11" i="91" s="1"/>
  <c r="V11" i="91" s="1"/>
  <c r="BZ19" i="89"/>
  <c r="U19" i="89" s="1"/>
  <c r="V19" i="89" s="1"/>
  <c r="BZ21" i="89"/>
  <c r="U21" i="89" s="1"/>
  <c r="V21" i="89" s="1"/>
  <c r="BZ16" i="91"/>
  <c r="U16" i="91" s="1"/>
  <c r="V16" i="91" s="1"/>
  <c r="BZ21" i="91"/>
  <c r="U21" i="91" s="1"/>
  <c r="V21" i="91" s="1"/>
  <c r="BZ20" i="90"/>
  <c r="U20" i="90" s="1"/>
  <c r="V20" i="90" s="1"/>
  <c r="BZ9" i="90"/>
  <c r="U9" i="90" s="1"/>
  <c r="V9" i="90" s="1"/>
  <c r="BZ12" i="90"/>
  <c r="U12" i="90" s="1"/>
  <c r="V12" i="90" s="1"/>
  <c r="BZ15" i="90"/>
  <c r="U15" i="90" s="1"/>
  <c r="V15" i="90" s="1"/>
  <c r="BZ7" i="90"/>
  <c r="U7" i="90" s="1"/>
  <c r="V7" i="90" s="1"/>
  <c r="BZ16" i="90"/>
  <c r="U16" i="90" s="1"/>
  <c r="V16" i="90" s="1"/>
  <c r="BZ9" i="91"/>
  <c r="U9" i="91" s="1"/>
  <c r="V9" i="91" s="1"/>
  <c r="BZ20" i="91"/>
  <c r="U20" i="91" s="1"/>
  <c r="V20" i="91" s="1"/>
  <c r="ED9" i="91"/>
  <c r="ED12" i="91"/>
  <c r="ED11" i="91"/>
  <c r="ED14" i="91"/>
  <c r="ED8" i="91"/>
  <c r="ED18" i="91"/>
  <c r="ED16" i="91"/>
  <c r="ED6" i="91"/>
  <c r="ED22" i="91"/>
  <c r="ED19" i="91"/>
  <c r="ED13" i="91"/>
  <c r="ED7" i="91"/>
  <c r="ED15" i="91"/>
  <c r="ED21" i="91"/>
  <c r="ED20" i="91"/>
  <c r="ED10" i="91"/>
  <c r="ED23" i="91"/>
  <c r="ED17" i="91"/>
  <c r="ED24" i="91"/>
  <c r="BZ19" i="91"/>
  <c r="U19" i="91" s="1"/>
  <c r="V19" i="91" s="1"/>
  <c r="BZ22" i="90"/>
  <c r="U22" i="90" s="1"/>
  <c r="V22" i="90" s="1"/>
  <c r="BZ22" i="91"/>
  <c r="U22" i="91" s="1"/>
  <c r="V22" i="91" s="1"/>
  <c r="BZ10" i="91"/>
  <c r="U10" i="91" s="1"/>
  <c r="V10" i="91" s="1"/>
  <c r="BZ9" i="87"/>
  <c r="U9" i="87" s="1"/>
  <c r="V9" i="87" s="1"/>
  <c r="BZ10" i="89"/>
  <c r="U10" i="89" s="1"/>
  <c r="V10" i="89" s="1"/>
  <c r="BZ6" i="90"/>
  <c r="BZ12" i="91"/>
  <c r="U12" i="91" s="1"/>
  <c r="V12" i="91" s="1"/>
  <c r="BZ24" i="91"/>
  <c r="U24" i="91" s="1"/>
  <c r="V24" i="91" s="1"/>
  <c r="EF2" i="90"/>
  <c r="EF1" i="90" s="1"/>
  <c r="EE1" i="90"/>
  <c r="BZ24" i="90"/>
  <c r="U24" i="90" s="1"/>
  <c r="V24" i="90" s="1"/>
  <c r="BZ15" i="91"/>
  <c r="U15" i="91" s="1"/>
  <c r="V15" i="91" s="1"/>
  <c r="BZ8" i="91"/>
  <c r="U8" i="91" s="1"/>
  <c r="V8" i="91" s="1"/>
  <c r="BZ10" i="90"/>
  <c r="U10" i="90" s="1"/>
  <c r="V10" i="90" s="1"/>
  <c r="BZ11" i="90"/>
  <c r="U11" i="90" s="1"/>
  <c r="V11" i="90" s="1"/>
  <c r="FE12" i="91"/>
  <c r="FE18" i="91"/>
  <c r="FE10" i="91"/>
  <c r="FE16" i="91"/>
  <c r="FE20" i="91"/>
  <c r="FE9" i="91"/>
  <c r="FE17" i="91"/>
  <c r="FE23" i="91"/>
  <c r="FE24" i="91"/>
  <c r="FE15" i="91"/>
  <c r="FE6" i="91"/>
  <c r="FE19" i="91"/>
  <c r="FE13" i="91"/>
  <c r="FE8" i="91"/>
  <c r="FE7" i="91"/>
  <c r="FE21" i="91"/>
  <c r="FE11" i="91"/>
  <c r="FE22" i="91"/>
  <c r="FE14" i="91"/>
  <c r="BZ23" i="91"/>
  <c r="U23" i="91" s="1"/>
  <c r="V23" i="91" s="1"/>
  <c r="BZ24" i="87"/>
  <c r="U24" i="87" s="1"/>
  <c r="V24" i="87" s="1"/>
  <c r="BZ14" i="90"/>
  <c r="U14" i="90" s="1"/>
  <c r="V14" i="90" s="1"/>
  <c r="BZ19" i="90"/>
  <c r="U19" i="90" s="1"/>
  <c r="V19" i="90" s="1"/>
  <c r="BZ13" i="91"/>
  <c r="U13" i="91" s="1"/>
  <c r="V13" i="91" s="1"/>
  <c r="BZ14" i="91"/>
  <c r="U14" i="91" s="1"/>
  <c r="V14" i="91" s="1"/>
  <c r="BZ17" i="90"/>
  <c r="U17" i="90" s="1"/>
  <c r="V17" i="90" s="1"/>
  <c r="FE15" i="90"/>
  <c r="FE11" i="90"/>
  <c r="FE14" i="90"/>
  <c r="FE8" i="90"/>
  <c r="FE12" i="90"/>
  <c r="FE16" i="90"/>
  <c r="FE7" i="90"/>
  <c r="FE6" i="90"/>
  <c r="FE19" i="90"/>
  <c r="FE24" i="90"/>
  <c r="FE21" i="90"/>
  <c r="FE20" i="90"/>
  <c r="FE10" i="90"/>
  <c r="FE23" i="90"/>
  <c r="FE9" i="90"/>
  <c r="FE13" i="90"/>
  <c r="FE22" i="90"/>
  <c r="FE18" i="90"/>
  <c r="FE17" i="90"/>
  <c r="BZ17" i="91"/>
  <c r="U17" i="91" s="1"/>
  <c r="V17" i="91" s="1"/>
  <c r="BZ7" i="91"/>
  <c r="U7" i="91" s="1"/>
  <c r="V7" i="91" s="1"/>
  <c r="BZ21" i="90"/>
  <c r="U21" i="90" s="1"/>
  <c r="V21" i="90" s="1"/>
  <c r="BZ8" i="90"/>
  <c r="U8" i="90" s="1"/>
  <c r="V8" i="90" s="1"/>
  <c r="BZ18" i="91"/>
  <c r="U18" i="91" s="1"/>
  <c r="V18" i="91" s="1"/>
  <c r="BZ6" i="91"/>
  <c r="BZ22" i="89"/>
  <c r="U22" i="89" s="1"/>
  <c r="V22" i="89" s="1"/>
  <c r="FD16" i="90"/>
  <c r="FD14" i="90"/>
  <c r="FD13" i="90"/>
  <c r="FD9" i="90"/>
  <c r="FD15" i="90"/>
  <c r="FD24" i="90"/>
  <c r="FD12" i="90"/>
  <c r="FD8" i="90"/>
  <c r="FD20" i="90"/>
  <c r="FD6" i="90"/>
  <c r="FD21" i="90"/>
  <c r="FD11" i="90"/>
  <c r="FD19" i="90"/>
  <c r="FD22" i="90"/>
  <c r="FD7" i="90"/>
  <c r="FD17" i="90"/>
  <c r="FD10" i="90"/>
  <c r="FD23" i="90"/>
  <c r="FD18" i="90"/>
  <c r="BZ18" i="90"/>
  <c r="U18" i="90" s="1"/>
  <c r="V18" i="90" s="1"/>
  <c r="BZ23" i="90"/>
  <c r="U23" i="90" s="1"/>
  <c r="V23" i="90" s="1"/>
  <c r="ED14" i="90"/>
  <c r="ED16" i="90"/>
  <c r="ED15" i="90"/>
  <c r="ED22" i="90"/>
  <c r="ED9" i="90"/>
  <c r="ED23" i="90"/>
  <c r="ED7" i="90"/>
  <c r="ED18" i="90"/>
  <c r="ED17" i="90"/>
  <c r="ED24" i="90"/>
  <c r="ED6" i="90"/>
  <c r="ED19" i="90"/>
  <c r="ED8" i="90"/>
  <c r="ED11" i="90"/>
  <c r="ED21" i="90"/>
  <c r="ED12" i="90"/>
  <c r="ED13" i="90"/>
  <c r="ED20" i="90"/>
  <c r="ED10" i="90"/>
  <c r="FD21" i="91"/>
  <c r="FD17" i="91"/>
  <c r="FD15" i="91"/>
  <c r="FD13" i="91"/>
  <c r="FD6" i="91"/>
  <c r="FD14" i="91"/>
  <c r="FD16" i="91"/>
  <c r="FD11" i="91"/>
  <c r="FD22" i="91"/>
  <c r="FD10" i="91"/>
  <c r="FD23" i="91"/>
  <c r="FD12" i="91"/>
  <c r="FD20" i="91"/>
  <c r="FD19" i="91"/>
  <c r="FD24" i="91"/>
  <c r="FD9" i="91"/>
  <c r="FD7" i="91"/>
  <c r="FD18" i="91"/>
  <c r="FD8" i="91"/>
  <c r="EE1" i="91"/>
  <c r="EF2" i="91"/>
  <c r="EF1" i="91" s="1"/>
  <c r="BZ8" i="89"/>
  <c r="U8" i="89" s="1"/>
  <c r="V8" i="89" s="1"/>
  <c r="BZ15" i="89"/>
  <c r="U15" i="89" s="1"/>
  <c r="V15" i="89" s="1"/>
  <c r="BZ14" i="88"/>
  <c r="U14" i="88" s="1"/>
  <c r="V14" i="88" s="1"/>
  <c r="BZ7" i="89"/>
  <c r="U7" i="89" s="1"/>
  <c r="V7" i="89" s="1"/>
  <c r="BZ12" i="87"/>
  <c r="U12" i="87" s="1"/>
  <c r="V12" i="87" s="1"/>
  <c r="BZ21" i="87"/>
  <c r="U21" i="87" s="1"/>
  <c r="V21" i="87" s="1"/>
  <c r="BZ20" i="89"/>
  <c r="U20" i="89" s="1"/>
  <c r="V20" i="89" s="1"/>
  <c r="BZ14" i="89"/>
  <c r="U14" i="89" s="1"/>
  <c r="V14" i="89" s="1"/>
  <c r="BZ23" i="89"/>
  <c r="U23" i="89" s="1"/>
  <c r="V23" i="89" s="1"/>
  <c r="BZ17" i="89"/>
  <c r="U17" i="89" s="1"/>
  <c r="V17" i="89" s="1"/>
  <c r="BZ6" i="89"/>
  <c r="U6" i="89" s="1"/>
  <c r="BZ7" i="88"/>
  <c r="U7" i="88" s="1"/>
  <c r="V7" i="88" s="1"/>
  <c r="BZ12" i="89"/>
  <c r="U12" i="89" s="1"/>
  <c r="V12" i="89" s="1"/>
  <c r="BZ9" i="89"/>
  <c r="U9" i="89" s="1"/>
  <c r="V9" i="89" s="1"/>
  <c r="BZ16" i="89"/>
  <c r="U16" i="89" s="1"/>
  <c r="V16" i="89" s="1"/>
  <c r="BZ18" i="89"/>
  <c r="U18" i="89" s="1"/>
  <c r="V18" i="89" s="1"/>
  <c r="BZ11" i="89"/>
  <c r="U11" i="89" s="1"/>
  <c r="V11" i="89" s="1"/>
  <c r="EE1" i="89"/>
  <c r="EF2" i="89"/>
  <c r="EF1" i="89" s="1"/>
  <c r="ED20" i="89"/>
  <c r="ED12" i="89"/>
  <c r="ED22" i="89"/>
  <c r="ED13" i="89"/>
  <c r="ED16" i="89"/>
  <c r="ED11" i="89"/>
  <c r="ED17" i="89"/>
  <c r="ED9" i="89"/>
  <c r="ED15" i="89"/>
  <c r="ED8" i="89"/>
  <c r="ED21" i="89"/>
  <c r="ED14" i="89"/>
  <c r="ED19" i="89"/>
  <c r="ED23" i="89"/>
  <c r="ED10" i="89"/>
  <c r="ED6" i="89"/>
  <c r="ED24" i="89"/>
  <c r="ED18" i="89"/>
  <c r="ED7" i="89"/>
  <c r="FD24" i="89"/>
  <c r="FD15" i="89"/>
  <c r="FD8" i="89"/>
  <c r="FD23" i="89"/>
  <c r="FD13" i="89"/>
  <c r="FD6" i="89"/>
  <c r="FD21" i="89"/>
  <c r="FD11" i="89"/>
  <c r="FD18" i="89"/>
  <c r="FD9" i="89"/>
  <c r="FD22" i="89"/>
  <c r="FD10" i="89"/>
  <c r="FD19" i="89"/>
  <c r="FD7" i="89"/>
  <c r="FD17" i="89"/>
  <c r="FD14" i="89"/>
  <c r="FD20" i="89"/>
  <c r="FD16" i="89"/>
  <c r="FD12" i="89"/>
  <c r="FE20" i="89"/>
  <c r="FE9" i="89"/>
  <c r="FE15" i="89"/>
  <c r="FE8" i="89"/>
  <c r="FE19" i="89"/>
  <c r="FE16" i="89"/>
  <c r="FE6" i="89"/>
  <c r="FE24" i="89"/>
  <c r="FE18" i="89"/>
  <c r="FE12" i="89"/>
  <c r="FE23" i="89"/>
  <c r="FE13" i="89"/>
  <c r="FE7" i="89"/>
  <c r="FE17" i="89"/>
  <c r="FE14" i="89"/>
  <c r="FE21" i="89"/>
  <c r="FE10" i="89"/>
  <c r="FE22" i="89"/>
  <c r="FE11" i="89"/>
  <c r="BZ23" i="88"/>
  <c r="U23" i="88" s="1"/>
  <c r="V23" i="88" s="1"/>
  <c r="BZ16" i="88"/>
  <c r="U16" i="88" s="1"/>
  <c r="V16" i="88" s="1"/>
  <c r="BZ16" i="87"/>
  <c r="U16" i="87" s="1"/>
  <c r="V16" i="87" s="1"/>
  <c r="BZ23" i="87"/>
  <c r="U23" i="87" s="1"/>
  <c r="V23" i="87" s="1"/>
  <c r="BZ11" i="88"/>
  <c r="U11" i="88" s="1"/>
  <c r="V11" i="88" s="1"/>
  <c r="BZ15" i="88"/>
  <c r="U15" i="88" s="1"/>
  <c r="V15" i="88" s="1"/>
  <c r="BZ6" i="88"/>
  <c r="U6" i="88" s="1"/>
  <c r="BZ7" i="87"/>
  <c r="U7" i="87" s="1"/>
  <c r="V7" i="87" s="1"/>
  <c r="BZ24" i="88"/>
  <c r="U24" i="88" s="1"/>
  <c r="V24" i="88" s="1"/>
  <c r="BZ13" i="88"/>
  <c r="U13" i="88" s="1"/>
  <c r="V13" i="88" s="1"/>
  <c r="BZ11" i="87"/>
  <c r="U11" i="87" s="1"/>
  <c r="V11" i="87" s="1"/>
  <c r="BZ20" i="87"/>
  <c r="U20" i="87" s="1"/>
  <c r="V20" i="87" s="1"/>
  <c r="BZ13" i="87"/>
  <c r="U13" i="87" s="1"/>
  <c r="V13" i="87" s="1"/>
  <c r="BZ21" i="88"/>
  <c r="U21" i="88" s="1"/>
  <c r="V21" i="88" s="1"/>
  <c r="BZ17" i="87"/>
  <c r="U17" i="87" s="1"/>
  <c r="V17" i="87" s="1"/>
  <c r="BZ8" i="87"/>
  <c r="U8" i="87" s="1"/>
  <c r="V8" i="87" s="1"/>
  <c r="BZ22" i="87"/>
  <c r="U22" i="87" s="1"/>
  <c r="V22" i="87" s="1"/>
  <c r="BZ18" i="87"/>
  <c r="U18" i="87" s="1"/>
  <c r="V18" i="87" s="1"/>
  <c r="BZ14" i="87"/>
  <c r="U14" i="87" s="1"/>
  <c r="V14" i="87" s="1"/>
  <c r="BZ17" i="88"/>
  <c r="U17" i="88" s="1"/>
  <c r="V17" i="88" s="1"/>
  <c r="BZ10" i="87"/>
  <c r="U10" i="87" s="1"/>
  <c r="V10" i="87" s="1"/>
  <c r="BZ22" i="88"/>
  <c r="U22" i="88" s="1"/>
  <c r="V22" i="88" s="1"/>
  <c r="BZ15" i="87"/>
  <c r="U15" i="87" s="1"/>
  <c r="V15" i="87" s="1"/>
  <c r="BZ20" i="88"/>
  <c r="U20" i="88" s="1"/>
  <c r="V20" i="88" s="1"/>
  <c r="BZ19" i="87"/>
  <c r="U19" i="87" s="1"/>
  <c r="V19" i="87" s="1"/>
  <c r="FD20" i="88"/>
  <c r="FD14" i="88"/>
  <c r="FD6" i="88"/>
  <c r="FD23" i="88"/>
  <c r="FD12" i="88"/>
  <c r="FD7" i="88"/>
  <c r="FD22" i="88"/>
  <c r="FD13" i="88"/>
  <c r="FD18" i="88"/>
  <c r="FD10" i="88"/>
  <c r="FD17" i="88"/>
  <c r="FD9" i="88"/>
  <c r="FD19" i="88"/>
  <c r="FD15" i="88"/>
  <c r="FD16" i="88"/>
  <c r="FD8" i="88"/>
  <c r="FD21" i="88"/>
  <c r="FD24" i="88"/>
  <c r="FD11" i="88"/>
  <c r="ED13" i="87"/>
  <c r="ED6" i="87"/>
  <c r="ED15" i="87"/>
  <c r="ED16" i="87"/>
  <c r="ED7" i="87"/>
  <c r="ED22" i="87"/>
  <c r="ED10" i="87"/>
  <c r="ED19" i="87"/>
  <c r="ED12" i="87"/>
  <c r="ED18" i="87"/>
  <c r="ED24" i="87"/>
  <c r="ED14" i="87"/>
  <c r="ED9" i="87"/>
  <c r="ED23" i="87"/>
  <c r="ED8" i="87"/>
  <c r="ED20" i="87"/>
  <c r="ED17" i="87"/>
  <c r="ED11" i="87"/>
  <c r="ED21" i="87"/>
  <c r="EF2" i="87"/>
  <c r="EF1" i="87" s="1"/>
  <c r="EE1" i="87"/>
  <c r="ED24" i="88"/>
  <c r="ED12" i="88"/>
  <c r="ED6" i="88"/>
  <c r="ED23" i="88"/>
  <c r="ED10" i="88"/>
  <c r="ED17" i="88"/>
  <c r="ED9" i="88"/>
  <c r="ED18" i="88"/>
  <c r="ED7" i="88"/>
  <c r="ED19" i="88"/>
  <c r="ED20" i="88"/>
  <c r="ED15" i="88"/>
  <c r="ED8" i="88"/>
  <c r="ED22" i="88"/>
  <c r="ED16" i="88"/>
  <c r="ED11" i="88"/>
  <c r="ED21" i="88"/>
  <c r="ED13" i="88"/>
  <c r="ED14" i="88"/>
  <c r="EF2" i="88"/>
  <c r="EF1" i="88" s="1"/>
  <c r="EE1" i="88"/>
  <c r="FE20" i="87"/>
  <c r="FE14" i="87"/>
  <c r="FE6" i="87"/>
  <c r="FE16" i="87"/>
  <c r="FE19" i="87"/>
  <c r="FE13" i="87"/>
  <c r="FE8" i="87"/>
  <c r="FE21" i="87"/>
  <c r="FE10" i="87"/>
  <c r="FE22" i="87"/>
  <c r="FE18" i="87"/>
  <c r="FE9" i="87"/>
  <c r="FE17" i="87"/>
  <c r="FE12" i="87"/>
  <c r="FE24" i="87"/>
  <c r="FE7" i="87"/>
  <c r="FE15" i="87"/>
  <c r="FE23" i="87"/>
  <c r="FE11" i="87"/>
  <c r="BZ12" i="88"/>
  <c r="U12" i="88" s="1"/>
  <c r="V12" i="88" s="1"/>
  <c r="FE15" i="88"/>
  <c r="FE7" i="88"/>
  <c r="FE18" i="88"/>
  <c r="FE12" i="88"/>
  <c r="FE20" i="88"/>
  <c r="FE14" i="88"/>
  <c r="FE6" i="88"/>
  <c r="FE19" i="88"/>
  <c r="FE13" i="88"/>
  <c r="FE23" i="88"/>
  <c r="FE24" i="88"/>
  <c r="FE11" i="88"/>
  <c r="FE16" i="88"/>
  <c r="FE22" i="88"/>
  <c r="FE10" i="88"/>
  <c r="FE21" i="88"/>
  <c r="FE9" i="88"/>
  <c r="FE17" i="88"/>
  <c r="FE8" i="88"/>
  <c r="FD18" i="87"/>
  <c r="FD7" i="87"/>
  <c r="FD17" i="87"/>
  <c r="FD11" i="87"/>
  <c r="FD19" i="87"/>
  <c r="FD8" i="87"/>
  <c r="FD24" i="87"/>
  <c r="FD13" i="87"/>
  <c r="FD6" i="87"/>
  <c r="FD22" i="87"/>
  <c r="FD15" i="87"/>
  <c r="FD10" i="87"/>
  <c r="FD21" i="87"/>
  <c r="FD14" i="87"/>
  <c r="FD9" i="87"/>
  <c r="FD23" i="87"/>
  <c r="FD16" i="87"/>
  <c r="FD20" i="87"/>
  <c r="FD12" i="87"/>
  <c r="BZ11" i="86"/>
  <c r="U11" i="86" s="1"/>
  <c r="V11" i="86" s="1"/>
  <c r="BZ20" i="86"/>
  <c r="U20" i="86" s="1"/>
  <c r="V20" i="86" s="1"/>
  <c r="BZ18" i="86"/>
  <c r="U18" i="86" s="1"/>
  <c r="V18" i="86" s="1"/>
  <c r="BZ16" i="86"/>
  <c r="U16" i="86" s="1"/>
  <c r="V16" i="86" s="1"/>
  <c r="BZ6" i="86"/>
  <c r="FD16" i="86"/>
  <c r="FD14" i="86"/>
  <c r="FD15" i="86"/>
  <c r="FD11" i="86"/>
  <c r="FD12" i="86"/>
  <c r="FD19" i="86"/>
  <c r="FD9" i="86"/>
  <c r="FD17" i="86"/>
  <c r="FD24" i="86"/>
  <c r="FD8" i="86"/>
  <c r="FD21" i="86"/>
  <c r="FD18" i="86"/>
  <c r="FD7" i="86"/>
  <c r="FD23" i="86"/>
  <c r="FD20" i="86"/>
  <c r="FD10" i="86"/>
  <c r="FD22" i="86"/>
  <c r="FD13" i="86"/>
  <c r="FD6" i="86"/>
  <c r="BZ19" i="86"/>
  <c r="U19" i="86" s="1"/>
  <c r="V19" i="86" s="1"/>
  <c r="BZ7" i="86"/>
  <c r="U7" i="86" s="1"/>
  <c r="V7" i="86" s="1"/>
  <c r="BZ13" i="86"/>
  <c r="U13" i="86" s="1"/>
  <c r="V13" i="86" s="1"/>
  <c r="BZ22" i="86"/>
  <c r="U22" i="86" s="1"/>
  <c r="V22" i="86" s="1"/>
  <c r="BZ23" i="86"/>
  <c r="U23" i="86" s="1"/>
  <c r="V23" i="86" s="1"/>
  <c r="EF2" i="86"/>
  <c r="EF1" i="86" s="1"/>
  <c r="EE1" i="86"/>
  <c r="FE24" i="86"/>
  <c r="FE14" i="86"/>
  <c r="FE6" i="86"/>
  <c r="FE7" i="86"/>
  <c r="FE23" i="86"/>
  <c r="FE11" i="86"/>
  <c r="FE13" i="86"/>
  <c r="FE20" i="86"/>
  <c r="FE10" i="86"/>
  <c r="FE22" i="86"/>
  <c r="FE16" i="86"/>
  <c r="FE19" i="86"/>
  <c r="FE15" i="86"/>
  <c r="FE12" i="86"/>
  <c r="FE17" i="86"/>
  <c r="FE9" i="86"/>
  <c r="FE21" i="86"/>
  <c r="FE18" i="86"/>
  <c r="FE8" i="86"/>
  <c r="BZ12" i="86"/>
  <c r="U12" i="86" s="1"/>
  <c r="V12" i="86" s="1"/>
  <c r="ED16" i="86"/>
  <c r="ED9" i="86"/>
  <c r="ED22" i="86"/>
  <c r="ED15" i="86"/>
  <c r="ED6" i="86"/>
  <c r="ED19" i="86"/>
  <c r="ED18" i="86"/>
  <c r="ED8" i="86"/>
  <c r="ED17" i="86"/>
  <c r="ED10" i="86"/>
  <c r="ED21" i="86"/>
  <c r="ED13" i="86"/>
  <c r="ED7" i="86"/>
  <c r="ED24" i="86"/>
  <c r="ED12" i="86"/>
  <c r="ED23" i="86"/>
  <c r="ED14" i="86"/>
  <c r="ED20" i="86"/>
  <c r="ED11" i="86"/>
  <c r="BZ24" i="86"/>
  <c r="U24" i="86" s="1"/>
  <c r="V24" i="86" s="1"/>
  <c r="BZ14" i="86"/>
  <c r="U14" i="86" s="1"/>
  <c r="V14" i="86" s="1"/>
  <c r="BZ8" i="86"/>
  <c r="U8" i="86" s="1"/>
  <c r="V8" i="86" s="1"/>
  <c r="BZ17" i="86"/>
  <c r="U17" i="86" s="1"/>
  <c r="V17" i="86" s="1"/>
  <c r="BZ15" i="86"/>
  <c r="U15" i="86" s="1"/>
  <c r="V15" i="86" s="1"/>
  <c r="BZ9" i="86"/>
  <c r="U9" i="86" s="1"/>
  <c r="V9" i="86" s="1"/>
  <c r="BZ10" i="86"/>
  <c r="U10" i="86" s="1"/>
  <c r="V10" i="86" s="1"/>
  <c r="BZ21" i="86"/>
  <c r="U21" i="86" s="1"/>
  <c r="V21" i="86" s="1"/>
  <c r="DT20" i="142" l="1"/>
  <c r="DT17" i="142"/>
  <c r="DT16" i="142"/>
  <c r="DT15" i="142"/>
  <c r="DT14" i="142"/>
  <c r="DT13" i="142"/>
  <c r="DT12" i="142"/>
  <c r="DT11" i="142"/>
  <c r="DT10" i="142"/>
  <c r="DT9" i="142"/>
  <c r="DT8" i="142"/>
  <c r="DT7" i="142"/>
  <c r="DT6" i="142"/>
  <c r="DT24" i="142"/>
  <c r="DT21" i="142"/>
  <c r="DT18" i="142"/>
  <c r="DT23" i="142"/>
  <c r="DT22" i="142"/>
  <c r="DT19" i="142"/>
  <c r="DU1" i="142"/>
  <c r="DV2" i="142"/>
  <c r="ET20" i="142"/>
  <c r="ET18" i="142"/>
  <c r="ET16" i="142"/>
  <c r="ET15" i="142"/>
  <c r="ET14" i="142"/>
  <c r="ET11" i="142"/>
  <c r="ET7" i="142"/>
  <c r="ET19" i="142"/>
  <c r="ET17" i="142"/>
  <c r="ET13" i="142"/>
  <c r="ET12" i="142"/>
  <c r="ET6" i="142"/>
  <c r="ET9" i="142"/>
  <c r="ET8" i="142"/>
  <c r="ET23" i="142"/>
  <c r="ET22" i="142"/>
  <c r="ET21" i="142"/>
  <c r="ET24" i="142"/>
  <c r="Y3" i="142"/>
  <c r="CW14" i="142"/>
  <c r="CW16" i="142"/>
  <c r="CW15" i="142"/>
  <c r="CW10" i="142"/>
  <c r="CW20" i="142"/>
  <c r="CW17" i="142"/>
  <c r="CW13" i="142"/>
  <c r="CW12" i="142"/>
  <c r="CW11" i="142"/>
  <c r="CW9" i="142"/>
  <c r="CW8" i="142"/>
  <c r="CW7" i="142"/>
  <c r="CW6" i="142"/>
  <c r="CW24" i="142"/>
  <c r="CW22" i="142"/>
  <c r="CW21" i="142"/>
  <c r="EU1" i="142"/>
  <c r="CW23" i="142"/>
  <c r="CW19" i="142"/>
  <c r="CW18" i="142"/>
  <c r="CX1" i="142"/>
  <c r="CY2" i="142"/>
  <c r="EO10" i="124"/>
  <c r="CY2" i="139"/>
  <c r="CX1" i="139"/>
  <c r="CW20" i="139"/>
  <c r="CW19" i="139"/>
  <c r="EU1" i="139"/>
  <c r="CW17" i="139"/>
  <c r="CW23" i="139"/>
  <c r="CW15" i="139"/>
  <c r="CW6" i="139"/>
  <c r="CW11" i="139"/>
  <c r="CW8" i="139"/>
  <c r="CW14" i="139"/>
  <c r="CW12" i="139"/>
  <c r="CW21" i="139"/>
  <c r="CW24" i="139"/>
  <c r="CW13" i="139"/>
  <c r="CW10" i="139"/>
  <c r="CW16" i="139"/>
  <c r="CW7" i="139"/>
  <c r="CW9" i="139"/>
  <c r="CW18" i="139"/>
  <c r="CW22" i="139"/>
  <c r="Y3" i="139"/>
  <c r="ET22" i="139"/>
  <c r="ET6" i="139"/>
  <c r="ET21" i="139"/>
  <c r="ET17" i="139"/>
  <c r="ET16" i="139"/>
  <c r="ET23" i="139"/>
  <c r="ET19" i="139"/>
  <c r="ET18" i="139"/>
  <c r="ET24" i="139"/>
  <c r="ET15" i="139"/>
  <c r="ET7" i="139"/>
  <c r="ET13" i="139"/>
  <c r="ET14" i="139"/>
  <c r="ET12" i="139"/>
  <c r="ET9" i="139"/>
  <c r="ET11" i="139"/>
  <c r="ET20" i="139"/>
  <c r="ET8" i="139"/>
  <c r="DU1" i="139"/>
  <c r="DV2" i="139"/>
  <c r="DT18" i="139"/>
  <c r="DT23" i="139"/>
  <c r="DT13" i="139"/>
  <c r="DT8" i="139"/>
  <c r="DT12" i="139"/>
  <c r="DT21" i="139"/>
  <c r="DT11" i="139"/>
  <c r="DT15" i="139"/>
  <c r="DT9" i="139"/>
  <c r="DT14" i="139"/>
  <c r="DT6" i="139"/>
  <c r="DT20" i="139"/>
  <c r="DT19" i="139"/>
  <c r="DT7" i="139"/>
  <c r="DT10" i="139"/>
  <c r="DT22" i="139"/>
  <c r="DT16" i="139"/>
  <c r="DT17" i="139"/>
  <c r="DT24" i="139"/>
  <c r="O13" i="109"/>
  <c r="O26" i="109" s="1"/>
  <c r="DV2" i="136"/>
  <c r="DU1" i="136"/>
  <c r="CY2" i="137"/>
  <c r="CX1" i="137"/>
  <c r="DT21" i="137"/>
  <c r="DT12" i="137"/>
  <c r="DT19" i="137"/>
  <c r="DT10" i="137"/>
  <c r="DT20" i="137"/>
  <c r="DT14" i="137"/>
  <c r="DT8" i="137"/>
  <c r="DT23" i="137"/>
  <c r="DT13" i="137"/>
  <c r="DT6" i="137"/>
  <c r="DT17" i="137"/>
  <c r="DT9" i="137"/>
  <c r="DT16" i="137"/>
  <c r="DT18" i="137"/>
  <c r="DT15" i="137"/>
  <c r="DT24" i="137"/>
  <c r="DT22" i="137"/>
  <c r="DT11" i="137"/>
  <c r="DT7" i="137"/>
  <c r="DU1" i="137"/>
  <c r="DV2" i="137"/>
  <c r="ET15" i="136"/>
  <c r="ET21" i="136"/>
  <c r="ET14" i="136"/>
  <c r="ET8" i="136"/>
  <c r="ET20" i="136"/>
  <c r="ET13" i="136"/>
  <c r="ET7" i="136"/>
  <c r="ET19" i="136"/>
  <c r="ET11" i="136"/>
  <c r="ET9" i="136"/>
  <c r="ET23" i="136"/>
  <c r="ET17" i="136"/>
  <c r="ET22" i="136"/>
  <c r="ET16" i="136"/>
  <c r="ET24" i="136"/>
  <c r="ET6" i="136"/>
  <c r="ET18" i="136"/>
  <c r="ET12" i="136"/>
  <c r="CW19" i="136"/>
  <c r="CW12" i="136"/>
  <c r="EU1" i="136"/>
  <c r="CW24" i="136"/>
  <c r="CW14" i="136"/>
  <c r="CW21" i="136"/>
  <c r="CW15" i="136"/>
  <c r="CW20" i="136"/>
  <c r="CW10" i="136"/>
  <c r="CW13" i="136"/>
  <c r="CW8" i="136"/>
  <c r="CW23" i="136"/>
  <c r="CW11" i="136"/>
  <c r="CW9" i="136"/>
  <c r="CW22" i="136"/>
  <c r="CW17" i="136"/>
  <c r="CW6" i="136"/>
  <c r="CW18" i="136"/>
  <c r="CW16" i="136"/>
  <c r="CW7" i="136"/>
  <c r="Y3" i="136"/>
  <c r="BR13" i="112"/>
  <c r="BM13" i="137"/>
  <c r="CY2" i="136"/>
  <c r="CX1" i="136"/>
  <c r="ES10" i="132"/>
  <c r="ET24" i="137"/>
  <c r="ET16" i="137"/>
  <c r="ET7" i="137"/>
  <c r="ET23" i="137"/>
  <c r="ET14" i="137"/>
  <c r="ET6" i="137"/>
  <c r="ET22" i="137"/>
  <c r="ET15" i="137"/>
  <c r="ET9" i="137"/>
  <c r="ET20" i="137"/>
  <c r="ET11" i="137"/>
  <c r="ET21" i="137"/>
  <c r="ET12" i="137"/>
  <c r="ET13" i="137"/>
  <c r="ET17" i="137"/>
  <c r="ET19" i="137"/>
  <c r="ET18" i="137"/>
  <c r="ET8" i="137"/>
  <c r="DT22" i="136"/>
  <c r="DT24" i="136"/>
  <c r="DT6" i="136"/>
  <c r="DT20" i="136"/>
  <c r="DT14" i="136"/>
  <c r="DT8" i="136"/>
  <c r="DT18" i="136"/>
  <c r="DT17" i="136"/>
  <c r="DT13" i="136"/>
  <c r="DT9" i="136"/>
  <c r="DT16" i="136"/>
  <c r="DT19" i="136"/>
  <c r="DT15" i="136"/>
  <c r="DT12" i="136"/>
  <c r="DT21" i="136"/>
  <c r="DT11" i="136"/>
  <c r="DT23" i="136"/>
  <c r="DT10" i="136"/>
  <c r="DT7" i="136"/>
  <c r="CW23" i="137"/>
  <c r="CW15" i="137"/>
  <c r="CW7" i="137"/>
  <c r="CW22" i="137"/>
  <c r="CW14" i="137"/>
  <c r="CW6" i="137"/>
  <c r="CW20" i="137"/>
  <c r="CW12" i="137"/>
  <c r="EU1" i="137"/>
  <c r="CW18" i="137"/>
  <c r="CW11" i="137"/>
  <c r="CW19" i="137"/>
  <c r="CW10" i="137"/>
  <c r="CW17" i="137"/>
  <c r="CW24" i="137"/>
  <c r="CW13" i="137"/>
  <c r="CW8" i="137"/>
  <c r="CW21" i="137"/>
  <c r="CW16" i="137"/>
  <c r="CW9" i="137"/>
  <c r="Y3" i="137"/>
  <c r="DV2" i="132"/>
  <c r="DU1" i="132"/>
  <c r="BT27" i="132"/>
  <c r="DU22" i="133"/>
  <c r="BX22" i="133" s="1"/>
  <c r="DU8" i="133"/>
  <c r="BX8" i="133" s="1"/>
  <c r="DU18" i="133"/>
  <c r="BX18" i="133" s="1"/>
  <c r="DU9" i="133"/>
  <c r="BX9" i="133" s="1"/>
  <c r="DU12" i="133"/>
  <c r="BX12" i="133" s="1"/>
  <c r="DU11" i="133"/>
  <c r="BX11" i="133" s="1"/>
  <c r="DU19" i="133"/>
  <c r="BX19" i="133" s="1"/>
  <c r="DU21" i="133"/>
  <c r="BX21" i="133" s="1"/>
  <c r="DU16" i="133"/>
  <c r="BX16" i="133" s="1"/>
  <c r="DU13" i="133"/>
  <c r="BX13" i="133" s="1"/>
  <c r="DU14" i="133"/>
  <c r="BX14" i="133" s="1"/>
  <c r="DU15" i="133"/>
  <c r="BX15" i="133" s="1"/>
  <c r="DU7" i="133"/>
  <c r="BX7" i="133" s="1"/>
  <c r="DU17" i="133"/>
  <c r="BX17" i="133" s="1"/>
  <c r="DU10" i="133"/>
  <c r="BX10" i="133" s="1"/>
  <c r="DU6" i="133"/>
  <c r="BX6" i="133" s="1"/>
  <c r="DU24" i="133"/>
  <c r="BX24" i="133" s="1"/>
  <c r="DU23" i="133"/>
  <c r="BX23" i="133" s="1"/>
  <c r="DU20" i="133"/>
  <c r="BX20" i="133" s="1"/>
  <c r="CY2" i="132"/>
  <c r="CX1" i="132"/>
  <c r="CW24" i="133"/>
  <c r="CW22" i="133"/>
  <c r="CW12" i="133"/>
  <c r="CW8" i="133"/>
  <c r="CW18" i="133"/>
  <c r="CW13" i="133"/>
  <c r="CW23" i="133"/>
  <c r="CW15" i="133"/>
  <c r="CW7" i="133"/>
  <c r="CW19" i="133"/>
  <c r="CW20" i="133"/>
  <c r="CW21" i="133"/>
  <c r="CW10" i="133"/>
  <c r="CW6" i="133"/>
  <c r="CW16" i="133"/>
  <c r="CW9" i="133"/>
  <c r="CW17" i="133"/>
  <c r="CW14" i="133"/>
  <c r="EU1" i="133"/>
  <c r="CW11" i="133"/>
  <c r="Y3" i="133"/>
  <c r="DW2" i="133"/>
  <c r="DV1" i="133"/>
  <c r="ET17" i="132"/>
  <c r="ET9" i="132"/>
  <c r="ET14" i="132"/>
  <c r="ET18" i="132"/>
  <c r="ET13" i="132"/>
  <c r="ET21" i="132"/>
  <c r="ET11" i="132"/>
  <c r="ET19" i="132"/>
  <c r="ET23" i="132"/>
  <c r="ET16" i="132"/>
  <c r="ET8" i="132"/>
  <c r="ET20" i="132"/>
  <c r="ET15" i="132"/>
  <c r="ET10" i="132"/>
  <c r="ET22" i="132"/>
  <c r="ET12" i="132"/>
  <c r="ET7" i="132"/>
  <c r="ET6" i="132"/>
  <c r="ET24" i="132"/>
  <c r="ET16" i="133"/>
  <c r="ET13" i="133"/>
  <c r="ET12" i="133"/>
  <c r="ET15" i="133"/>
  <c r="ET7" i="133"/>
  <c r="ET22" i="133"/>
  <c r="ET21" i="133"/>
  <c r="ET24" i="133"/>
  <c r="ET20" i="133"/>
  <c r="ET11" i="133"/>
  <c r="ET10" i="133"/>
  <c r="ET18" i="133"/>
  <c r="ET17" i="133"/>
  <c r="ET23" i="133"/>
  <c r="ET14" i="133"/>
  <c r="ET6" i="133"/>
  <c r="ET19" i="133"/>
  <c r="ET9" i="133"/>
  <c r="ET8" i="133"/>
  <c r="CY2" i="133"/>
  <c r="CX1" i="133"/>
  <c r="CW23" i="132"/>
  <c r="CW10" i="132"/>
  <c r="CW8" i="132"/>
  <c r="CW22" i="132"/>
  <c r="CW13" i="132"/>
  <c r="CW12" i="132"/>
  <c r="CW20" i="132"/>
  <c r="CW9" i="132"/>
  <c r="CW19" i="132"/>
  <c r="CW14" i="132"/>
  <c r="CW18" i="132"/>
  <c r="CW7" i="132"/>
  <c r="CW16" i="132"/>
  <c r="CW15" i="132"/>
  <c r="CW21" i="132"/>
  <c r="CW11" i="132"/>
  <c r="CW6" i="132"/>
  <c r="CW17" i="132"/>
  <c r="EU1" i="132"/>
  <c r="CW24" i="132"/>
  <c r="Y3" i="132"/>
  <c r="DT16" i="132"/>
  <c r="DT9" i="132"/>
  <c r="DT21" i="132"/>
  <c r="DT8" i="132"/>
  <c r="DT17" i="132"/>
  <c r="DT19" i="132"/>
  <c r="DT12" i="132"/>
  <c r="DT24" i="132"/>
  <c r="DT14" i="132"/>
  <c r="DT7" i="132"/>
  <c r="DT13" i="132"/>
  <c r="DT22" i="132"/>
  <c r="DT15" i="132"/>
  <c r="DT23" i="132"/>
  <c r="DT20" i="132"/>
  <c r="DT6" i="132"/>
  <c r="DT11" i="132"/>
  <c r="DT18" i="132"/>
  <c r="DT10" i="132"/>
  <c r="BY26" i="124"/>
  <c r="EE23" i="124"/>
  <c r="EE15" i="124"/>
  <c r="EE22" i="124"/>
  <c r="EE7" i="124"/>
  <c r="EE21" i="124"/>
  <c r="EE11" i="124"/>
  <c r="EE17" i="124"/>
  <c r="EE6" i="124"/>
  <c r="EE16" i="124"/>
  <c r="EE8" i="124"/>
  <c r="EE18" i="124"/>
  <c r="EE9" i="124"/>
  <c r="EE19" i="124"/>
  <c r="EE24" i="124"/>
  <c r="EE14" i="124"/>
  <c r="EE13" i="124"/>
  <c r="EE20" i="124"/>
  <c r="EE10" i="124"/>
  <c r="EE12" i="124"/>
  <c r="V6" i="124"/>
  <c r="T30" i="124"/>
  <c r="T29" i="124"/>
  <c r="T28" i="124"/>
  <c r="BZ27" i="124"/>
  <c r="BY28" i="124" s="1"/>
  <c r="EF23" i="124"/>
  <c r="EF16" i="124"/>
  <c r="EF22" i="124"/>
  <c r="EF14" i="124"/>
  <c r="EF21" i="124"/>
  <c r="EF11" i="124"/>
  <c r="EF24" i="124"/>
  <c r="EF6" i="124"/>
  <c r="EF8" i="124"/>
  <c r="EF19" i="124"/>
  <c r="EF7" i="124"/>
  <c r="EF17" i="124"/>
  <c r="EF15" i="124"/>
  <c r="EF9" i="124"/>
  <c r="EF18" i="124"/>
  <c r="EF12" i="124"/>
  <c r="EF13" i="124"/>
  <c r="EF20" i="124"/>
  <c r="EF10" i="124"/>
  <c r="BZ27" i="121"/>
  <c r="BY28" i="121" s="1"/>
  <c r="U6" i="121"/>
  <c r="EF24" i="121"/>
  <c r="EF15" i="121"/>
  <c r="EF14" i="121"/>
  <c r="EF11" i="121"/>
  <c r="EF21" i="121"/>
  <c r="EF13" i="121"/>
  <c r="EF20" i="121"/>
  <c r="EF18" i="121"/>
  <c r="EF16" i="121"/>
  <c r="EF10" i="121"/>
  <c r="EF23" i="121"/>
  <c r="EF7" i="121"/>
  <c r="EF9" i="121"/>
  <c r="EF22" i="121"/>
  <c r="EF8" i="121"/>
  <c r="EF6" i="121"/>
  <c r="EF19" i="121"/>
  <c r="EF12" i="121"/>
  <c r="EF17" i="121"/>
  <c r="U20" i="121"/>
  <c r="V20" i="121" s="1"/>
  <c r="BY26" i="121"/>
  <c r="EM10" i="120"/>
  <c r="EN10" i="121"/>
  <c r="EE18" i="121"/>
  <c r="EE8" i="121"/>
  <c r="EE17" i="121"/>
  <c r="EE24" i="121"/>
  <c r="EE13" i="121"/>
  <c r="EE14" i="121"/>
  <c r="EE22" i="121"/>
  <c r="EE6" i="121"/>
  <c r="EE15" i="121"/>
  <c r="EE19" i="121"/>
  <c r="EE20" i="121"/>
  <c r="EE7" i="121"/>
  <c r="EE11" i="121"/>
  <c r="EE16" i="121"/>
  <c r="EE23" i="121"/>
  <c r="EE10" i="121"/>
  <c r="EE12" i="121"/>
  <c r="EE21" i="121"/>
  <c r="EE9" i="121"/>
  <c r="EI10" i="109"/>
  <c r="CH10" i="109" s="1"/>
  <c r="Y10" i="109" s="1"/>
  <c r="EE18" i="120"/>
  <c r="EE8" i="120"/>
  <c r="EE16" i="120"/>
  <c r="EE14" i="120"/>
  <c r="EE24" i="120"/>
  <c r="EE12" i="120"/>
  <c r="EE11" i="120"/>
  <c r="EE23" i="120"/>
  <c r="EE17" i="120"/>
  <c r="EE7" i="120"/>
  <c r="EE10" i="120"/>
  <c r="EE22" i="120"/>
  <c r="EE15" i="120"/>
  <c r="EE6" i="120"/>
  <c r="EE19" i="120"/>
  <c r="EE13" i="120"/>
  <c r="EE20" i="120"/>
  <c r="EE21" i="120"/>
  <c r="EE9" i="120"/>
  <c r="EF23" i="120"/>
  <c r="EF13" i="120"/>
  <c r="EF11" i="120"/>
  <c r="EF22" i="120"/>
  <c r="EF15" i="120"/>
  <c r="EF7" i="120"/>
  <c r="EF16" i="120"/>
  <c r="EF19" i="120"/>
  <c r="EF14" i="120"/>
  <c r="EF20" i="120"/>
  <c r="EF12" i="120"/>
  <c r="EF21" i="120"/>
  <c r="EF10" i="120"/>
  <c r="EF18" i="120"/>
  <c r="EF9" i="120"/>
  <c r="EF6" i="120"/>
  <c r="EF24" i="120"/>
  <c r="EF17" i="120"/>
  <c r="EF8" i="120"/>
  <c r="V6" i="120"/>
  <c r="BY26" i="120"/>
  <c r="U20" i="120"/>
  <c r="V20" i="120" s="1"/>
  <c r="BZ27" i="120"/>
  <c r="BY28" i="120" s="1"/>
  <c r="U20" i="119"/>
  <c r="V20" i="119" s="1"/>
  <c r="V6" i="119"/>
  <c r="BZ27" i="119"/>
  <c r="BY28" i="119" s="1"/>
  <c r="EE24" i="119"/>
  <c r="EE17" i="119"/>
  <c r="EE7" i="119"/>
  <c r="EE21" i="119"/>
  <c r="EE8" i="119"/>
  <c r="EE18" i="119"/>
  <c r="EE13" i="119"/>
  <c r="EE22" i="119"/>
  <c r="EE14" i="119"/>
  <c r="EE9" i="119"/>
  <c r="EE16" i="119"/>
  <c r="EE10" i="119"/>
  <c r="EE15" i="119"/>
  <c r="EE11" i="119"/>
  <c r="EE23" i="119"/>
  <c r="EE12" i="119"/>
  <c r="EE6" i="119"/>
  <c r="EE20" i="119"/>
  <c r="EE19" i="119"/>
  <c r="EF15" i="119"/>
  <c r="EF13" i="119"/>
  <c r="EF20" i="119"/>
  <c r="EF10" i="119"/>
  <c r="EF22" i="119"/>
  <c r="EF9" i="119"/>
  <c r="EF23" i="119"/>
  <c r="EF19" i="119"/>
  <c r="EF8" i="119"/>
  <c r="EF21" i="119"/>
  <c r="EF14" i="119"/>
  <c r="EF11" i="119"/>
  <c r="EF18" i="119"/>
  <c r="EF17" i="119"/>
  <c r="EF7" i="119"/>
  <c r="EF24" i="119"/>
  <c r="EF16" i="119"/>
  <c r="EF6" i="119"/>
  <c r="EF12" i="119"/>
  <c r="EL10" i="116"/>
  <c r="EL10" i="119"/>
  <c r="EG19" i="116"/>
  <c r="EG12" i="116"/>
  <c r="EG6" i="116"/>
  <c r="EG15" i="116"/>
  <c r="EG22" i="116"/>
  <c r="EG20" i="116"/>
  <c r="EG17" i="116"/>
  <c r="EG18" i="116"/>
  <c r="EG9" i="116"/>
  <c r="EG24" i="116"/>
  <c r="EG11" i="116"/>
  <c r="EG23" i="116"/>
  <c r="EG13" i="116"/>
  <c r="EG7" i="116"/>
  <c r="EG16" i="116"/>
  <c r="EG10" i="116"/>
  <c r="EG21" i="116"/>
  <c r="EG14" i="116"/>
  <c r="EG8" i="116"/>
  <c r="U20" i="116"/>
  <c r="V20" i="116" s="1"/>
  <c r="BZ26" i="116"/>
  <c r="CA27" i="116"/>
  <c r="BZ28" i="116" s="1"/>
  <c r="U6" i="116"/>
  <c r="EF20" i="116"/>
  <c r="EF11" i="116"/>
  <c r="EF12" i="116"/>
  <c r="EF16" i="116"/>
  <c r="EF6" i="116"/>
  <c r="EF21" i="116"/>
  <c r="EF9" i="116"/>
  <c r="EF15" i="116"/>
  <c r="EF22" i="116"/>
  <c r="EF17" i="116"/>
  <c r="EF10" i="116"/>
  <c r="EF8" i="116"/>
  <c r="EF18" i="116"/>
  <c r="EF24" i="116"/>
  <c r="EF23" i="116"/>
  <c r="EF14" i="116"/>
  <c r="EF7" i="116"/>
  <c r="EF19" i="116"/>
  <c r="EF13" i="116"/>
  <c r="EX123" i="9"/>
  <c r="EW124" i="9"/>
  <c r="CA27" i="112"/>
  <c r="BZ28" i="112" s="1"/>
  <c r="T28" i="112"/>
  <c r="V6" i="112"/>
  <c r="T29" i="112"/>
  <c r="T30" i="112"/>
  <c r="EF24" i="113"/>
  <c r="EF9" i="113"/>
  <c r="EF6" i="113"/>
  <c r="EF23" i="113"/>
  <c r="EF8" i="113"/>
  <c r="EF21" i="113"/>
  <c r="EF22" i="113"/>
  <c r="EF17" i="113"/>
  <c r="EF12" i="113"/>
  <c r="EF19" i="113"/>
  <c r="EF15" i="113"/>
  <c r="EF20" i="113"/>
  <c r="EF7" i="113"/>
  <c r="EF18" i="113"/>
  <c r="EF16" i="113"/>
  <c r="EF14" i="113"/>
  <c r="EF11" i="113"/>
  <c r="EF10" i="113"/>
  <c r="EF13" i="113"/>
  <c r="IU123" i="9"/>
  <c r="IV122" i="9"/>
  <c r="EG15" i="113"/>
  <c r="EG11" i="113"/>
  <c r="EG20" i="113"/>
  <c r="EG9" i="113"/>
  <c r="EG13" i="113"/>
  <c r="EG6" i="113"/>
  <c r="EG24" i="113"/>
  <c r="EG18" i="113"/>
  <c r="EG10" i="113"/>
  <c r="EG23" i="113"/>
  <c r="EG17" i="113"/>
  <c r="EG12" i="113"/>
  <c r="EG22" i="113"/>
  <c r="EG7" i="113"/>
  <c r="EG8" i="113"/>
  <c r="EG21" i="113"/>
  <c r="EG14" i="113"/>
  <c r="EG19" i="113"/>
  <c r="EG16" i="113"/>
  <c r="EJ10" i="112"/>
  <c r="EK10" i="113"/>
  <c r="EG20" i="112"/>
  <c r="EG16" i="112"/>
  <c r="EG17" i="112"/>
  <c r="EG13" i="112"/>
  <c r="EG22" i="112"/>
  <c r="EG7" i="112"/>
  <c r="EG18" i="112"/>
  <c r="EG12" i="112"/>
  <c r="EG8" i="112"/>
  <c r="EG10" i="112"/>
  <c r="EG24" i="112"/>
  <c r="EG14" i="112"/>
  <c r="EG23" i="112"/>
  <c r="EG15" i="112"/>
  <c r="EG11" i="112"/>
  <c r="EG21" i="112"/>
  <c r="EG19" i="112"/>
  <c r="EG9" i="112"/>
  <c r="EG6" i="112"/>
  <c r="T28" i="113"/>
  <c r="V6" i="113"/>
  <c r="T30" i="113"/>
  <c r="T29" i="113"/>
  <c r="GJ123" i="9"/>
  <c r="GN123" i="9" s="1"/>
  <c r="BQ13" i="139" s="1"/>
  <c r="BV13" i="112"/>
  <c r="EF24" i="112"/>
  <c r="EF8" i="112"/>
  <c r="EF13" i="112"/>
  <c r="EF9" i="112"/>
  <c r="EF23" i="112"/>
  <c r="EF19" i="112"/>
  <c r="EF14" i="112"/>
  <c r="EF15" i="112"/>
  <c r="EF22" i="112"/>
  <c r="EF17" i="112"/>
  <c r="EF16" i="112"/>
  <c r="EF6" i="112"/>
  <c r="EF21" i="112"/>
  <c r="EF11" i="112"/>
  <c r="EF18" i="112"/>
  <c r="EF12" i="112"/>
  <c r="EF20" i="112"/>
  <c r="EF7" i="112"/>
  <c r="EF10" i="112"/>
  <c r="CA27" i="113"/>
  <c r="BZ28" i="113" s="1"/>
  <c r="Q13" i="109"/>
  <c r="R13" i="109" s="1"/>
  <c r="BV27" i="109"/>
  <c r="BV29" i="109"/>
  <c r="Q13" i="108"/>
  <c r="R13" i="108" s="1"/>
  <c r="BU29" i="108"/>
  <c r="BU27" i="108"/>
  <c r="P13" i="108"/>
  <c r="O26" i="108"/>
  <c r="T30" i="108"/>
  <c r="T29" i="108"/>
  <c r="T28" i="108"/>
  <c r="V6" i="108"/>
  <c r="BZ27" i="108"/>
  <c r="BY28" i="108" s="1"/>
  <c r="EE16" i="108"/>
  <c r="EE21" i="108"/>
  <c r="EE18" i="108"/>
  <c r="EE17" i="108"/>
  <c r="EE15" i="108"/>
  <c r="EE14" i="108"/>
  <c r="EE22" i="108"/>
  <c r="EE13" i="108"/>
  <c r="EE10" i="108"/>
  <c r="EE9" i="108"/>
  <c r="EE6" i="108"/>
  <c r="EE24" i="108"/>
  <c r="EE12" i="108"/>
  <c r="EE23" i="108"/>
  <c r="EE11" i="108"/>
  <c r="EE7" i="108"/>
  <c r="EE20" i="108"/>
  <c r="EE8" i="108"/>
  <c r="EE19" i="108"/>
  <c r="EF23" i="108"/>
  <c r="EF11" i="108"/>
  <c r="EF22" i="108"/>
  <c r="EF10" i="108"/>
  <c r="EF14" i="108"/>
  <c r="EF12" i="108"/>
  <c r="EF21" i="108"/>
  <c r="EF9" i="108"/>
  <c r="EF13" i="108"/>
  <c r="EF20" i="108"/>
  <c r="EF8" i="108"/>
  <c r="EF19" i="108"/>
  <c r="EF7" i="108"/>
  <c r="EF17" i="108"/>
  <c r="EF16" i="108"/>
  <c r="EF24" i="108"/>
  <c r="EF18" i="108"/>
  <c r="EF6" i="108"/>
  <c r="EF15" i="108"/>
  <c r="CA27" i="109"/>
  <c r="BZ28" i="109" s="1"/>
  <c r="U6" i="109"/>
  <c r="EF24" i="109"/>
  <c r="EF12" i="109"/>
  <c r="EF6" i="109"/>
  <c r="EF23" i="109"/>
  <c r="EF11" i="109"/>
  <c r="EF18" i="109"/>
  <c r="EF22" i="109"/>
  <c r="EF10" i="109"/>
  <c r="EF15" i="109"/>
  <c r="EF14" i="109"/>
  <c r="EF21" i="109"/>
  <c r="EF9" i="109"/>
  <c r="EF17" i="109"/>
  <c r="EF13" i="109"/>
  <c r="EF20" i="109"/>
  <c r="EF8" i="109"/>
  <c r="EF19" i="109"/>
  <c r="EF7" i="109"/>
  <c r="EF16" i="109"/>
  <c r="EG19" i="109"/>
  <c r="EG7" i="109"/>
  <c r="EG15" i="109"/>
  <c r="EG13" i="109"/>
  <c r="EG12" i="109"/>
  <c r="EG8" i="109"/>
  <c r="EG18" i="109"/>
  <c r="EG6" i="109"/>
  <c r="EG22" i="109"/>
  <c r="EG17" i="109"/>
  <c r="EG24" i="109"/>
  <c r="EG20" i="109"/>
  <c r="EG16" i="109"/>
  <c r="EG9" i="109"/>
  <c r="EG14" i="109"/>
  <c r="EG10" i="109"/>
  <c r="EG21" i="109"/>
  <c r="EG23" i="109"/>
  <c r="EG11" i="109"/>
  <c r="BZ27" i="106"/>
  <c r="BY28" i="106" s="1"/>
  <c r="U6" i="106"/>
  <c r="EE24" i="106"/>
  <c r="EE16" i="106"/>
  <c r="EE8" i="106"/>
  <c r="EE23" i="106"/>
  <c r="EE15" i="106"/>
  <c r="EE7" i="106"/>
  <c r="EE22" i="106"/>
  <c r="EE14" i="106"/>
  <c r="EE6" i="106"/>
  <c r="EE21" i="106"/>
  <c r="EE13" i="106"/>
  <c r="EE20" i="106"/>
  <c r="EE12" i="106"/>
  <c r="EE19" i="106"/>
  <c r="EE11" i="106"/>
  <c r="EE18" i="106"/>
  <c r="EE10" i="106"/>
  <c r="EE17" i="106"/>
  <c r="EE9" i="106"/>
  <c r="EF19" i="106"/>
  <c r="EF11" i="106"/>
  <c r="EF18" i="106"/>
  <c r="EF10" i="106"/>
  <c r="EF17" i="106"/>
  <c r="EF9" i="106"/>
  <c r="EF24" i="106"/>
  <c r="EF16" i="106"/>
  <c r="EF8" i="106"/>
  <c r="EF23" i="106"/>
  <c r="EF15" i="106"/>
  <c r="EF7" i="106"/>
  <c r="EF22" i="106"/>
  <c r="EF14" i="106"/>
  <c r="EF6" i="106"/>
  <c r="EF21" i="106"/>
  <c r="EF13" i="106"/>
  <c r="EF20" i="106"/>
  <c r="EF12" i="106"/>
  <c r="T30" i="105"/>
  <c r="T29" i="105"/>
  <c r="T28" i="105"/>
  <c r="V6" i="105"/>
  <c r="BZ27" i="105"/>
  <c r="BY28" i="105" s="1"/>
  <c r="EF19" i="105"/>
  <c r="EF7" i="105"/>
  <c r="EF18" i="105"/>
  <c r="EF6" i="105"/>
  <c r="EF20" i="105"/>
  <c r="EF8" i="105"/>
  <c r="EF17" i="105"/>
  <c r="EF12" i="105"/>
  <c r="EF21" i="105"/>
  <c r="EF16" i="105"/>
  <c r="EF24" i="105"/>
  <c r="EF11" i="105"/>
  <c r="EF22" i="105"/>
  <c r="EF15" i="105"/>
  <c r="EF13" i="105"/>
  <c r="EF10" i="105"/>
  <c r="EF14" i="105"/>
  <c r="EF23" i="105"/>
  <c r="EF9" i="105"/>
  <c r="EE24" i="105"/>
  <c r="EE12" i="105"/>
  <c r="EE23" i="105"/>
  <c r="EE11" i="105"/>
  <c r="EE22" i="105"/>
  <c r="EE10" i="105"/>
  <c r="EE21" i="105"/>
  <c r="EE9" i="105"/>
  <c r="EE6" i="105"/>
  <c r="EE20" i="105"/>
  <c r="EE8" i="105"/>
  <c r="EE16" i="105"/>
  <c r="EE14" i="105"/>
  <c r="EE19" i="105"/>
  <c r="EE7" i="105"/>
  <c r="EE18" i="105"/>
  <c r="EE17" i="105"/>
  <c r="EE15" i="105"/>
  <c r="EE13" i="105"/>
  <c r="BZ27" i="92"/>
  <c r="BY28" i="92" s="1"/>
  <c r="EE12" i="92"/>
  <c r="EE6" i="92"/>
  <c r="EE15" i="92"/>
  <c r="EE14" i="92"/>
  <c r="EE21" i="92"/>
  <c r="EE10" i="92"/>
  <c r="EE19" i="92"/>
  <c r="EE8" i="92"/>
  <c r="EE24" i="92"/>
  <c r="EE20" i="92"/>
  <c r="EE16" i="92"/>
  <c r="EE23" i="92"/>
  <c r="EE18" i="92"/>
  <c r="EE13" i="92"/>
  <c r="EE22" i="92"/>
  <c r="EE9" i="92"/>
  <c r="EE11" i="92"/>
  <c r="EE17" i="92"/>
  <c r="EE7" i="92"/>
  <c r="EF17" i="92"/>
  <c r="EF6" i="92"/>
  <c r="EF10" i="92"/>
  <c r="EF23" i="92"/>
  <c r="EF22" i="92"/>
  <c r="EF9" i="92"/>
  <c r="EF15" i="92"/>
  <c r="EF21" i="92"/>
  <c r="EF8" i="92"/>
  <c r="EF24" i="92"/>
  <c r="EF20" i="92"/>
  <c r="EF16" i="92"/>
  <c r="EF12" i="92"/>
  <c r="EF19" i="92"/>
  <c r="EF14" i="92"/>
  <c r="EF18" i="92"/>
  <c r="EF13" i="92"/>
  <c r="EF11" i="92"/>
  <c r="EF7" i="92"/>
  <c r="T28" i="92"/>
  <c r="T29" i="92"/>
  <c r="T30" i="92"/>
  <c r="V6" i="92"/>
  <c r="EE24" i="90"/>
  <c r="EE9" i="90"/>
  <c r="EE21" i="90"/>
  <c r="EE6" i="90"/>
  <c r="EE17" i="90"/>
  <c r="EE8" i="90"/>
  <c r="EE14" i="90"/>
  <c r="EE19" i="90"/>
  <c r="EE16" i="90"/>
  <c r="EE7" i="90"/>
  <c r="EE15" i="90"/>
  <c r="EE22" i="90"/>
  <c r="EE23" i="90"/>
  <c r="EE18" i="90"/>
  <c r="EE11" i="90"/>
  <c r="EE20" i="90"/>
  <c r="EE13" i="90"/>
  <c r="EE10" i="90"/>
  <c r="EE12" i="90"/>
  <c r="EF15" i="90"/>
  <c r="EF11" i="90"/>
  <c r="EF7" i="90"/>
  <c r="EF24" i="90"/>
  <c r="EF16" i="90"/>
  <c r="EF18" i="90"/>
  <c r="EF19" i="90"/>
  <c r="EF23" i="90"/>
  <c r="EF8" i="90"/>
  <c r="EF21" i="90"/>
  <c r="EF6" i="90"/>
  <c r="EF9" i="90"/>
  <c r="EF22" i="90"/>
  <c r="EF17" i="90"/>
  <c r="EF14" i="90"/>
  <c r="EF10" i="90"/>
  <c r="EF12" i="90"/>
  <c r="EF13" i="90"/>
  <c r="EF20" i="90"/>
  <c r="EF23" i="91"/>
  <c r="EF7" i="91"/>
  <c r="EF22" i="91"/>
  <c r="EF15" i="91"/>
  <c r="EF21" i="91"/>
  <c r="EF11" i="91"/>
  <c r="EF13" i="91"/>
  <c r="EF14" i="91"/>
  <c r="EF8" i="91"/>
  <c r="EF20" i="91"/>
  <c r="EF10" i="91"/>
  <c r="EF18" i="91"/>
  <c r="EF12" i="91"/>
  <c r="EF19" i="91"/>
  <c r="EF9" i="91"/>
  <c r="EF17" i="91"/>
  <c r="EF6" i="91"/>
  <c r="EF24" i="91"/>
  <c r="EF16" i="91"/>
  <c r="EE11" i="91"/>
  <c r="EE7" i="91"/>
  <c r="EE10" i="91"/>
  <c r="EE13" i="91"/>
  <c r="EE23" i="91"/>
  <c r="EE19" i="91"/>
  <c r="EE15" i="91"/>
  <c r="EE18" i="91"/>
  <c r="EE24" i="91"/>
  <c r="EE8" i="91"/>
  <c r="EE21" i="91"/>
  <c r="EE17" i="91"/>
  <c r="EE22" i="91"/>
  <c r="EE16" i="91"/>
  <c r="EE12" i="91"/>
  <c r="EE14" i="91"/>
  <c r="EE9" i="91"/>
  <c r="EE20" i="91"/>
  <c r="EE6" i="91"/>
  <c r="BZ27" i="91"/>
  <c r="BY28" i="91" s="1"/>
  <c r="U6" i="91"/>
  <c r="BZ27" i="90"/>
  <c r="BY28" i="90" s="1"/>
  <c r="U6" i="90"/>
  <c r="BZ27" i="89"/>
  <c r="BY28" i="89" s="1"/>
  <c r="T30" i="89"/>
  <c r="V6" i="89"/>
  <c r="T29" i="89"/>
  <c r="T28" i="89"/>
  <c r="EF24" i="89"/>
  <c r="EF22" i="89"/>
  <c r="EF11" i="89"/>
  <c r="EF17" i="89"/>
  <c r="EF16" i="89"/>
  <c r="EF9" i="89"/>
  <c r="EF8" i="89"/>
  <c r="EF20" i="89"/>
  <c r="EF14" i="89"/>
  <c r="EF12" i="89"/>
  <c r="EF19" i="89"/>
  <c r="EF10" i="89"/>
  <c r="EF23" i="89"/>
  <c r="EF7" i="89"/>
  <c r="EF21" i="89"/>
  <c r="EF6" i="89"/>
  <c r="EF18" i="89"/>
  <c r="EF15" i="89"/>
  <c r="EF13" i="89"/>
  <c r="EE22" i="89"/>
  <c r="EE10" i="89"/>
  <c r="EE11" i="89"/>
  <c r="EE17" i="89"/>
  <c r="EE7" i="89"/>
  <c r="EE23" i="89"/>
  <c r="EE15" i="89"/>
  <c r="EE21" i="89"/>
  <c r="EE20" i="89"/>
  <c r="EE16" i="89"/>
  <c r="EE12" i="89"/>
  <c r="EE13" i="89"/>
  <c r="EE18" i="89"/>
  <c r="EE24" i="89"/>
  <c r="EE14" i="89"/>
  <c r="EE8" i="89"/>
  <c r="EE6" i="89"/>
  <c r="EE19" i="89"/>
  <c r="EE9" i="89"/>
  <c r="BZ27" i="87"/>
  <c r="BY28" i="87" s="1"/>
  <c r="EF15" i="88"/>
  <c r="EF12" i="88"/>
  <c r="EF16" i="88"/>
  <c r="EF8" i="88"/>
  <c r="EF13" i="88"/>
  <c r="EF14" i="88"/>
  <c r="EF7" i="88"/>
  <c r="EF24" i="88"/>
  <c r="EF9" i="88"/>
  <c r="EF20" i="88"/>
  <c r="EF17" i="88"/>
  <c r="EF18" i="88"/>
  <c r="EF23" i="88"/>
  <c r="EF22" i="88"/>
  <c r="EF11" i="88"/>
  <c r="EF6" i="88"/>
  <c r="EF21" i="88"/>
  <c r="EF19" i="88"/>
  <c r="EF10" i="88"/>
  <c r="T30" i="87"/>
  <c r="T28" i="87"/>
  <c r="T29" i="87"/>
  <c r="V6" i="87"/>
  <c r="EE17" i="87"/>
  <c r="EE11" i="87"/>
  <c r="EE19" i="87"/>
  <c r="EE9" i="87"/>
  <c r="EE24" i="87"/>
  <c r="EE13" i="87"/>
  <c r="EE7" i="87"/>
  <c r="EE22" i="87"/>
  <c r="EE15" i="87"/>
  <c r="EE6" i="87"/>
  <c r="EE21" i="87"/>
  <c r="EE14" i="87"/>
  <c r="EE10" i="87"/>
  <c r="EE23" i="87"/>
  <c r="EE16" i="87"/>
  <c r="EE20" i="87"/>
  <c r="EE12" i="87"/>
  <c r="EE18" i="87"/>
  <c r="EE8" i="87"/>
  <c r="T30" i="88"/>
  <c r="T28" i="88"/>
  <c r="V6" i="88"/>
  <c r="T29" i="88"/>
  <c r="EE21" i="88"/>
  <c r="EE16" i="88"/>
  <c r="EE13" i="88"/>
  <c r="EE10" i="88"/>
  <c r="EE20" i="88"/>
  <c r="EE15" i="88"/>
  <c r="EE7" i="88"/>
  <c r="EE23" i="88"/>
  <c r="EE14" i="88"/>
  <c r="EE6" i="88"/>
  <c r="EE24" i="88"/>
  <c r="EE12" i="88"/>
  <c r="EE18" i="88"/>
  <c r="EE19" i="88"/>
  <c r="EE9" i="88"/>
  <c r="EE22" i="88"/>
  <c r="EE11" i="88"/>
  <c r="EE8" i="88"/>
  <c r="EE17" i="88"/>
  <c r="EF19" i="87"/>
  <c r="EF16" i="87"/>
  <c r="EF18" i="87"/>
  <c r="EF13" i="87"/>
  <c r="EF17" i="87"/>
  <c r="EF10" i="87"/>
  <c r="EF21" i="87"/>
  <c r="EF9" i="87"/>
  <c r="EF15" i="87"/>
  <c r="EF7" i="87"/>
  <c r="EF23" i="87"/>
  <c r="EF12" i="87"/>
  <c r="EF11" i="87"/>
  <c r="EF22" i="87"/>
  <c r="EF24" i="87"/>
  <c r="EF6" i="87"/>
  <c r="EF20" i="87"/>
  <c r="EF14" i="87"/>
  <c r="EF8" i="87"/>
  <c r="BZ27" i="88"/>
  <c r="BY28" i="88" s="1"/>
  <c r="EE15" i="86"/>
  <c r="EE10" i="86"/>
  <c r="EE6" i="86"/>
  <c r="EE18" i="86"/>
  <c r="EE9" i="86"/>
  <c r="EE16" i="86"/>
  <c r="EE21" i="86"/>
  <c r="EE24" i="86"/>
  <c r="EE8" i="86"/>
  <c r="EE12" i="86"/>
  <c r="EE14" i="86"/>
  <c r="EE23" i="86"/>
  <c r="EE19" i="86"/>
  <c r="EE7" i="86"/>
  <c r="EE13" i="86"/>
  <c r="EE11" i="86"/>
  <c r="EE22" i="86"/>
  <c r="EE20" i="86"/>
  <c r="EE17" i="86"/>
  <c r="EF20" i="86"/>
  <c r="EF16" i="86"/>
  <c r="EF24" i="86"/>
  <c r="EF15" i="86"/>
  <c r="EF22" i="86"/>
  <c r="EF10" i="86"/>
  <c r="EF19" i="86"/>
  <c r="EF9" i="86"/>
  <c r="EF18" i="86"/>
  <c r="EF7" i="86"/>
  <c r="EF12" i="86"/>
  <c r="EF23" i="86"/>
  <c r="EF17" i="86"/>
  <c r="EF8" i="86"/>
  <c r="EF21" i="86"/>
  <c r="EF13" i="86"/>
  <c r="EF14" i="86"/>
  <c r="EF6" i="86"/>
  <c r="EF11" i="86"/>
  <c r="BZ26" i="86"/>
  <c r="BY27" i="86" s="1"/>
  <c r="U6" i="86"/>
  <c r="DU24" i="142" l="1"/>
  <c r="BX24" i="142" s="1"/>
  <c r="DU22" i="142"/>
  <c r="BX22" i="142" s="1"/>
  <c r="DU20" i="142"/>
  <c r="BX20" i="142" s="1"/>
  <c r="DU17" i="142"/>
  <c r="BX17" i="142" s="1"/>
  <c r="DU14" i="142"/>
  <c r="BX14" i="142" s="1"/>
  <c r="DU11" i="142"/>
  <c r="BX11" i="142" s="1"/>
  <c r="DU10" i="142"/>
  <c r="BX10" i="142" s="1"/>
  <c r="DU9" i="142"/>
  <c r="BX9" i="142" s="1"/>
  <c r="DU8" i="142"/>
  <c r="BX8" i="142" s="1"/>
  <c r="DU7" i="142"/>
  <c r="BX7" i="142" s="1"/>
  <c r="DU6" i="142"/>
  <c r="BX6" i="142" s="1"/>
  <c r="DU21" i="142"/>
  <c r="BX21" i="142" s="1"/>
  <c r="DU18" i="142"/>
  <c r="BX18" i="142" s="1"/>
  <c r="DU16" i="142"/>
  <c r="BX16" i="142" s="1"/>
  <c r="DU15" i="142"/>
  <c r="BX15" i="142" s="1"/>
  <c r="DU13" i="142"/>
  <c r="BX13" i="142" s="1"/>
  <c r="DU12" i="142"/>
  <c r="BX12" i="142" s="1"/>
  <c r="DU23" i="142"/>
  <c r="BX23" i="142" s="1"/>
  <c r="DU19" i="142"/>
  <c r="BX19" i="142" s="1"/>
  <c r="DV1" i="142"/>
  <c r="DW2" i="142"/>
  <c r="EU20" i="142"/>
  <c r="CC20" i="142" s="1"/>
  <c r="EU14" i="142"/>
  <c r="CC14" i="142" s="1"/>
  <c r="Y14" i="142" s="1"/>
  <c r="EU11" i="142"/>
  <c r="CC11" i="142" s="1"/>
  <c r="EU9" i="142"/>
  <c r="CC9" i="142" s="1"/>
  <c r="EU23" i="142"/>
  <c r="CC23" i="142" s="1"/>
  <c r="Y23" i="142" s="1"/>
  <c r="EU6" i="142"/>
  <c r="CC6" i="142" s="1"/>
  <c r="EU17" i="142"/>
  <c r="CC17" i="142" s="1"/>
  <c r="Y17" i="142" s="1"/>
  <c r="EU16" i="142"/>
  <c r="CC16" i="142" s="1"/>
  <c r="Y16" i="142" s="1"/>
  <c r="EU13" i="142"/>
  <c r="CC13" i="142" s="1"/>
  <c r="EU7" i="142"/>
  <c r="CC7" i="142" s="1"/>
  <c r="Y7" i="142" s="1"/>
  <c r="EU18" i="142"/>
  <c r="CC18" i="142" s="1"/>
  <c r="Y18" i="142" s="1"/>
  <c r="EU15" i="142"/>
  <c r="CC15" i="142" s="1"/>
  <c r="Y15" i="142" s="1"/>
  <c r="EU12" i="142"/>
  <c r="CC12" i="142" s="1"/>
  <c r="EU8" i="142"/>
  <c r="CC8" i="142" s="1"/>
  <c r="EU24" i="142"/>
  <c r="CC24" i="142" s="1"/>
  <c r="Y24" i="142" s="1"/>
  <c r="EU22" i="142"/>
  <c r="CC22" i="142" s="1"/>
  <c r="EU21" i="142"/>
  <c r="CC21" i="142" s="1"/>
  <c r="EU19" i="142"/>
  <c r="CC19" i="142" s="1"/>
  <c r="CX23" i="142"/>
  <c r="CX24" i="142"/>
  <c r="CX21" i="142"/>
  <c r="CX10" i="142"/>
  <c r="EV1" i="142"/>
  <c r="CX20" i="142"/>
  <c r="CX17" i="142"/>
  <c r="CX16" i="142"/>
  <c r="CX15" i="142"/>
  <c r="CX14" i="142"/>
  <c r="CX13" i="142"/>
  <c r="CX12" i="142"/>
  <c r="CX11" i="142"/>
  <c r="CX9" i="142"/>
  <c r="CX8" i="142"/>
  <c r="CX7" i="142"/>
  <c r="CX6" i="142"/>
  <c r="CX18" i="142"/>
  <c r="CX19" i="142"/>
  <c r="CX22" i="142"/>
  <c r="CY1" i="142"/>
  <c r="CZ2" i="142"/>
  <c r="O13" i="112"/>
  <c r="BR27" i="112"/>
  <c r="P13" i="109"/>
  <c r="O29" i="109" s="1"/>
  <c r="EU14" i="139"/>
  <c r="CC14" i="139" s="1"/>
  <c r="Y14" i="139" s="1"/>
  <c r="EU9" i="139"/>
  <c r="CC9" i="139" s="1"/>
  <c r="EU21" i="139"/>
  <c r="CC21" i="139" s="1"/>
  <c r="EU20" i="139"/>
  <c r="CC20" i="139" s="1"/>
  <c r="EU8" i="139"/>
  <c r="CC8" i="139" s="1"/>
  <c r="EU24" i="139"/>
  <c r="CC24" i="139" s="1"/>
  <c r="Y24" i="139" s="1"/>
  <c r="EU22" i="139"/>
  <c r="CC22" i="139" s="1"/>
  <c r="EU12" i="139"/>
  <c r="CC12" i="139" s="1"/>
  <c r="EU23" i="139"/>
  <c r="CC23" i="139" s="1"/>
  <c r="Y23" i="139" s="1"/>
  <c r="EU17" i="139"/>
  <c r="CC17" i="139" s="1"/>
  <c r="Y17" i="139" s="1"/>
  <c r="EU7" i="139"/>
  <c r="CC7" i="139" s="1"/>
  <c r="Y7" i="139" s="1"/>
  <c r="EU18" i="139"/>
  <c r="CC18" i="139" s="1"/>
  <c r="Y18" i="139" s="1"/>
  <c r="EU19" i="139"/>
  <c r="CC19" i="139" s="1"/>
  <c r="EU15" i="139"/>
  <c r="CC15" i="139" s="1"/>
  <c r="Y15" i="139" s="1"/>
  <c r="EU6" i="139"/>
  <c r="CC6" i="139" s="1"/>
  <c r="EU11" i="139"/>
  <c r="CC11" i="139" s="1"/>
  <c r="EU16" i="139"/>
  <c r="CC16" i="139" s="1"/>
  <c r="Y16" i="139" s="1"/>
  <c r="EU13" i="139"/>
  <c r="CC13" i="139" s="1"/>
  <c r="DW2" i="139"/>
  <c r="DV1" i="139"/>
  <c r="DU22" i="139"/>
  <c r="BX22" i="139" s="1"/>
  <c r="DU11" i="139"/>
  <c r="BX11" i="139" s="1"/>
  <c r="DU13" i="139"/>
  <c r="BX13" i="139" s="1"/>
  <c r="DU14" i="139"/>
  <c r="BX14" i="139" s="1"/>
  <c r="DU24" i="139"/>
  <c r="BX24" i="139" s="1"/>
  <c r="DU9" i="139"/>
  <c r="BX9" i="139" s="1"/>
  <c r="DU15" i="139"/>
  <c r="BX15" i="139" s="1"/>
  <c r="DU16" i="139"/>
  <c r="BX16" i="139" s="1"/>
  <c r="DU18" i="139"/>
  <c r="BX18" i="139" s="1"/>
  <c r="DU21" i="139"/>
  <c r="BX21" i="139" s="1"/>
  <c r="DU12" i="139"/>
  <c r="BX12" i="139" s="1"/>
  <c r="DU20" i="139"/>
  <c r="BX20" i="139" s="1"/>
  <c r="DU19" i="139"/>
  <c r="BX19" i="139" s="1"/>
  <c r="DU10" i="139"/>
  <c r="BX10" i="139" s="1"/>
  <c r="DU6" i="139"/>
  <c r="BX6" i="139" s="1"/>
  <c r="DU23" i="139"/>
  <c r="BX23" i="139" s="1"/>
  <c r="DU8" i="139"/>
  <c r="BX8" i="139" s="1"/>
  <c r="DU17" i="139"/>
  <c r="BX17" i="139" s="1"/>
  <c r="DU7" i="139"/>
  <c r="BX7" i="139" s="1"/>
  <c r="CX16" i="139"/>
  <c r="CX8" i="139"/>
  <c r="CX15" i="139"/>
  <c r="CX22" i="139"/>
  <c r="CX24" i="139"/>
  <c r="CX13" i="139"/>
  <c r="CX7" i="139"/>
  <c r="CX18" i="139"/>
  <c r="CX23" i="139"/>
  <c r="CX19" i="139"/>
  <c r="CX6" i="139"/>
  <c r="CX20" i="139"/>
  <c r="CX21" i="139"/>
  <c r="CX14" i="139"/>
  <c r="EV1" i="139"/>
  <c r="CX11" i="139"/>
  <c r="CX17" i="139"/>
  <c r="CX12" i="139"/>
  <c r="CX9" i="139"/>
  <c r="CX10" i="139"/>
  <c r="BR13" i="113"/>
  <c r="O13" i="113" s="1"/>
  <c r="P13" i="113" s="1"/>
  <c r="BM13" i="139"/>
  <c r="CZ2" i="139"/>
  <c r="CY1" i="139"/>
  <c r="EU18" i="136"/>
  <c r="CC18" i="136" s="1"/>
  <c r="Y18" i="136" s="1"/>
  <c r="Z18" i="136" s="1"/>
  <c r="EU16" i="136"/>
  <c r="CC16" i="136" s="1"/>
  <c r="Y16" i="136" s="1"/>
  <c r="Z16" i="136" s="1"/>
  <c r="EU24" i="136"/>
  <c r="CC24" i="136" s="1"/>
  <c r="Y24" i="136" s="1"/>
  <c r="Z24" i="136" s="1"/>
  <c r="EU14" i="136"/>
  <c r="CC14" i="136" s="1"/>
  <c r="Y14" i="136" s="1"/>
  <c r="Z14" i="136" s="1"/>
  <c r="EU19" i="136"/>
  <c r="CC19" i="136" s="1"/>
  <c r="Y19" i="136" s="1"/>
  <c r="Z19" i="136" s="1"/>
  <c r="EU8" i="136"/>
  <c r="CC8" i="136" s="1"/>
  <c r="EU17" i="136"/>
  <c r="CC17" i="136" s="1"/>
  <c r="Y17" i="136" s="1"/>
  <c r="Z17" i="136" s="1"/>
  <c r="EU10" i="136"/>
  <c r="CC10" i="136" s="1"/>
  <c r="EU9" i="136"/>
  <c r="CC9" i="136" s="1"/>
  <c r="EU21" i="136"/>
  <c r="CC21" i="136" s="1"/>
  <c r="EU6" i="136"/>
  <c r="CC6" i="136" s="1"/>
  <c r="Y6" i="136" s="1"/>
  <c r="Z6" i="136" s="1"/>
  <c r="EU12" i="136"/>
  <c r="CC12" i="136" s="1"/>
  <c r="EU20" i="136"/>
  <c r="CC20" i="136" s="1"/>
  <c r="Y20" i="136" s="1"/>
  <c r="Z20" i="136" s="1"/>
  <c r="EU13" i="136"/>
  <c r="CC13" i="136" s="1"/>
  <c r="Y13" i="136" s="1"/>
  <c r="Z13" i="136" s="1"/>
  <c r="EU7" i="136"/>
  <c r="CC7" i="136" s="1"/>
  <c r="Y7" i="136" s="1"/>
  <c r="Z7" i="136" s="1"/>
  <c r="EU23" i="136"/>
  <c r="CC23" i="136" s="1"/>
  <c r="Y23" i="136" s="1"/>
  <c r="Z23" i="136" s="1"/>
  <c r="EU11" i="136"/>
  <c r="CC11" i="136" s="1"/>
  <c r="Y11" i="136" s="1"/>
  <c r="Z11" i="136" s="1"/>
  <c r="EU15" i="136"/>
  <c r="CC15" i="136" s="1"/>
  <c r="Y15" i="136" s="1"/>
  <c r="Z15" i="136" s="1"/>
  <c r="EU22" i="136"/>
  <c r="CC22" i="136" s="1"/>
  <c r="Y22" i="136" s="1"/>
  <c r="Z22" i="136" s="1"/>
  <c r="EN10" i="124"/>
  <c r="ER10" i="132"/>
  <c r="ES10" i="133"/>
  <c r="ET10" i="136"/>
  <c r="CX16" i="137"/>
  <c r="CX12" i="137"/>
  <c r="CX21" i="137"/>
  <c r="CX7" i="137"/>
  <c r="CX24" i="137"/>
  <c r="CX19" i="137"/>
  <c r="CX6" i="137"/>
  <c r="CX23" i="137"/>
  <c r="CX15" i="137"/>
  <c r="CX10" i="137"/>
  <c r="CX18" i="137"/>
  <c r="CX14" i="137"/>
  <c r="EV1" i="137"/>
  <c r="CX17" i="137"/>
  <c r="CX13" i="137"/>
  <c r="CX8" i="137"/>
  <c r="CX22" i="137"/>
  <c r="CX9" i="137"/>
  <c r="CX20" i="137"/>
  <c r="CX11" i="137"/>
  <c r="EU19" i="137"/>
  <c r="CC19" i="137" s="1"/>
  <c r="Z19" i="137" s="1"/>
  <c r="EU13" i="137"/>
  <c r="CC13" i="137" s="1"/>
  <c r="Z13" i="137" s="1"/>
  <c r="EU24" i="137"/>
  <c r="CC24" i="137" s="1"/>
  <c r="Y24" i="137" s="1"/>
  <c r="EU17" i="137"/>
  <c r="CC17" i="137" s="1"/>
  <c r="Y17" i="137" s="1"/>
  <c r="EU18" i="137"/>
  <c r="CC18" i="137" s="1"/>
  <c r="Y18" i="137" s="1"/>
  <c r="EU8" i="137"/>
  <c r="CC8" i="137" s="1"/>
  <c r="EU21" i="137"/>
  <c r="CC21" i="137" s="1"/>
  <c r="EU7" i="137"/>
  <c r="CC7" i="137" s="1"/>
  <c r="Y7" i="137" s="1"/>
  <c r="EU16" i="137"/>
  <c r="CC16" i="137" s="1"/>
  <c r="Y16" i="137" s="1"/>
  <c r="EU6" i="137"/>
  <c r="CC6" i="137" s="1"/>
  <c r="Z6" i="137" s="1"/>
  <c r="EU23" i="137"/>
  <c r="CC23" i="137" s="1"/>
  <c r="Y23" i="137" s="1"/>
  <c r="EU14" i="137"/>
  <c r="CC14" i="137" s="1"/>
  <c r="Y14" i="137" s="1"/>
  <c r="EU9" i="137"/>
  <c r="CC9" i="137" s="1"/>
  <c r="EU22" i="137"/>
  <c r="CC22" i="137" s="1"/>
  <c r="Z22" i="137" s="1"/>
  <c r="EU12" i="137"/>
  <c r="CC12" i="137" s="1"/>
  <c r="EU15" i="137"/>
  <c r="CC15" i="137" s="1"/>
  <c r="Y15" i="137" s="1"/>
  <c r="EU20" i="137"/>
  <c r="CC20" i="137" s="1"/>
  <c r="Z20" i="137" s="1"/>
  <c r="EU10" i="137"/>
  <c r="CC10" i="137" s="1"/>
  <c r="EU11" i="137"/>
  <c r="CC11" i="137" s="1"/>
  <c r="Z11" i="137" s="1"/>
  <c r="CZ2" i="137"/>
  <c r="CY1" i="137"/>
  <c r="CX18" i="136"/>
  <c r="CX9" i="136"/>
  <c r="CX24" i="136"/>
  <c r="CX16" i="136"/>
  <c r="CX7" i="136"/>
  <c r="CX23" i="136"/>
  <c r="CX12" i="136"/>
  <c r="CX14" i="136"/>
  <c r="CX22" i="136"/>
  <c r="CX15" i="136"/>
  <c r="CX6" i="136"/>
  <c r="CX19" i="136"/>
  <c r="CX13" i="136"/>
  <c r="EV1" i="136"/>
  <c r="CX17" i="136"/>
  <c r="CX11" i="136"/>
  <c r="CX8" i="136"/>
  <c r="CX21" i="136"/>
  <c r="CX10" i="136"/>
  <c r="CX20" i="136"/>
  <c r="DV1" i="137"/>
  <c r="DW2" i="137"/>
  <c r="DU24" i="136"/>
  <c r="BX24" i="136" s="1"/>
  <c r="DU6" i="136"/>
  <c r="BX6" i="136" s="1"/>
  <c r="DU16" i="136"/>
  <c r="BX16" i="136" s="1"/>
  <c r="DU8" i="136"/>
  <c r="BX8" i="136" s="1"/>
  <c r="DU21" i="136"/>
  <c r="BX21" i="136" s="1"/>
  <c r="DU14" i="136"/>
  <c r="BX14" i="136" s="1"/>
  <c r="DU10" i="136"/>
  <c r="BX10" i="136" s="1"/>
  <c r="DU20" i="136"/>
  <c r="BX20" i="136" s="1"/>
  <c r="DU13" i="136"/>
  <c r="BX13" i="136" s="1"/>
  <c r="DU7" i="136"/>
  <c r="BX7" i="136" s="1"/>
  <c r="DU19" i="136"/>
  <c r="BX19" i="136" s="1"/>
  <c r="DU11" i="136"/>
  <c r="BX11" i="136" s="1"/>
  <c r="DU9" i="136"/>
  <c r="BX9" i="136" s="1"/>
  <c r="DU22" i="136"/>
  <c r="BX22" i="136" s="1"/>
  <c r="DU15" i="136"/>
  <c r="BX15" i="136" s="1"/>
  <c r="DU17" i="136"/>
  <c r="BX17" i="136" s="1"/>
  <c r="DU23" i="136"/>
  <c r="BX23" i="136" s="1"/>
  <c r="DU18" i="136"/>
  <c r="BX18" i="136" s="1"/>
  <c r="DU12" i="136"/>
  <c r="BX12" i="136" s="1"/>
  <c r="CZ2" i="136"/>
  <c r="CY1" i="136"/>
  <c r="DU16" i="137"/>
  <c r="BX16" i="137" s="1"/>
  <c r="DU13" i="137"/>
  <c r="BX13" i="137" s="1"/>
  <c r="DU15" i="137"/>
  <c r="BX15" i="137" s="1"/>
  <c r="DU9" i="137"/>
  <c r="BX9" i="137" s="1"/>
  <c r="DU24" i="137"/>
  <c r="BX24" i="137" s="1"/>
  <c r="DU14" i="137"/>
  <c r="BX14" i="137" s="1"/>
  <c r="DU8" i="137"/>
  <c r="BX8" i="137" s="1"/>
  <c r="DU23" i="137"/>
  <c r="BX23" i="137" s="1"/>
  <c r="DU21" i="137"/>
  <c r="BX21" i="137" s="1"/>
  <c r="DU7" i="137"/>
  <c r="BX7" i="137" s="1"/>
  <c r="DU22" i="137"/>
  <c r="BX22" i="137" s="1"/>
  <c r="DU11" i="137"/>
  <c r="BX11" i="137" s="1"/>
  <c r="DU6" i="137"/>
  <c r="BX6" i="137" s="1"/>
  <c r="DU20" i="137"/>
  <c r="BX20" i="137" s="1"/>
  <c r="DU12" i="137"/>
  <c r="BX12" i="137" s="1"/>
  <c r="DU19" i="137"/>
  <c r="BX19" i="137" s="1"/>
  <c r="DU10" i="137"/>
  <c r="BX10" i="137" s="1"/>
  <c r="DU18" i="137"/>
  <c r="BX18" i="137" s="1"/>
  <c r="DU17" i="137"/>
  <c r="BX17" i="137" s="1"/>
  <c r="DV1" i="136"/>
  <c r="DW2" i="136"/>
  <c r="CZ2" i="133"/>
  <c r="CY1" i="133"/>
  <c r="DX2" i="133"/>
  <c r="DW1" i="133"/>
  <c r="CZ2" i="132"/>
  <c r="CY1" i="132"/>
  <c r="EU22" i="133"/>
  <c r="CC22" i="133" s="1"/>
  <c r="Y22" i="133" s="1"/>
  <c r="Z22" i="133" s="1"/>
  <c r="EU21" i="133"/>
  <c r="CC21" i="133" s="1"/>
  <c r="EU18" i="133"/>
  <c r="CC18" i="133" s="1"/>
  <c r="Y18" i="133" s="1"/>
  <c r="EU13" i="133"/>
  <c r="CC13" i="133" s="1"/>
  <c r="Y13" i="133" s="1"/>
  <c r="Z13" i="133" s="1"/>
  <c r="EU20" i="133"/>
  <c r="CC20" i="133" s="1"/>
  <c r="Y20" i="133" s="1"/>
  <c r="Z20" i="133" s="1"/>
  <c r="EU12" i="133"/>
  <c r="CC12" i="133" s="1"/>
  <c r="EU7" i="133"/>
  <c r="CC7" i="133" s="1"/>
  <c r="Y7" i="133" s="1"/>
  <c r="EU16" i="133"/>
  <c r="CC16" i="133" s="1"/>
  <c r="Y16" i="133" s="1"/>
  <c r="EU11" i="133"/>
  <c r="CC11" i="133" s="1"/>
  <c r="Y11" i="133" s="1"/>
  <c r="Z11" i="133" s="1"/>
  <c r="EU15" i="133"/>
  <c r="CC15" i="133" s="1"/>
  <c r="Y15" i="133" s="1"/>
  <c r="EU14" i="133"/>
  <c r="CC14" i="133" s="1"/>
  <c r="Y14" i="133" s="1"/>
  <c r="EU10" i="133"/>
  <c r="CC10" i="133" s="1"/>
  <c r="EU19" i="133"/>
  <c r="CC19" i="133" s="1"/>
  <c r="Y19" i="133" s="1"/>
  <c r="Z19" i="133" s="1"/>
  <c r="EU17" i="133"/>
  <c r="CC17" i="133" s="1"/>
  <c r="Y17" i="133" s="1"/>
  <c r="EU6" i="133"/>
  <c r="CC6" i="133" s="1"/>
  <c r="Y6" i="133" s="1"/>
  <c r="Z6" i="133" s="1"/>
  <c r="EU8" i="133"/>
  <c r="CC8" i="133" s="1"/>
  <c r="EU24" i="133"/>
  <c r="CC24" i="133" s="1"/>
  <c r="Y24" i="133" s="1"/>
  <c r="EU9" i="133"/>
  <c r="CC9" i="133" s="1"/>
  <c r="Y9" i="133" s="1"/>
  <c r="EU23" i="133"/>
  <c r="CC23" i="133" s="1"/>
  <c r="Y23" i="133" s="1"/>
  <c r="EU24" i="132"/>
  <c r="CC24" i="132" s="1"/>
  <c r="Y24" i="132" s="1"/>
  <c r="Z24" i="132" s="1"/>
  <c r="EU13" i="132"/>
  <c r="CC13" i="132" s="1"/>
  <c r="Y13" i="132" s="1"/>
  <c r="Z13" i="132" s="1"/>
  <c r="EU8" i="132"/>
  <c r="CC8" i="132" s="1"/>
  <c r="EU9" i="132"/>
  <c r="CC9" i="132" s="1"/>
  <c r="Y9" i="132" s="1"/>
  <c r="Z9" i="132" s="1"/>
  <c r="EU22" i="132"/>
  <c r="CC22" i="132" s="1"/>
  <c r="Y22" i="132" s="1"/>
  <c r="Z22" i="132" s="1"/>
  <c r="EU6" i="132"/>
  <c r="CC6" i="132" s="1"/>
  <c r="Y6" i="132" s="1"/>
  <c r="Z6" i="132" s="1"/>
  <c r="EU18" i="132"/>
  <c r="CC18" i="132" s="1"/>
  <c r="Y18" i="132" s="1"/>
  <c r="Z18" i="132" s="1"/>
  <c r="EU23" i="132"/>
  <c r="CC23" i="132" s="1"/>
  <c r="Y23" i="132" s="1"/>
  <c r="Z23" i="132" s="1"/>
  <c r="EU11" i="132"/>
  <c r="CC11" i="132" s="1"/>
  <c r="Y11" i="132" s="1"/>
  <c r="Z11" i="132" s="1"/>
  <c r="EU20" i="132"/>
  <c r="CC20" i="132" s="1"/>
  <c r="Y20" i="132" s="1"/>
  <c r="Z20" i="132" s="1"/>
  <c r="EU17" i="132"/>
  <c r="CC17" i="132" s="1"/>
  <c r="Y17" i="132" s="1"/>
  <c r="Z17" i="132" s="1"/>
  <c r="EU14" i="132"/>
  <c r="CC14" i="132" s="1"/>
  <c r="Y14" i="132" s="1"/>
  <c r="Z14" i="132" s="1"/>
  <c r="EU19" i="132"/>
  <c r="CC19" i="132" s="1"/>
  <c r="Y19" i="132" s="1"/>
  <c r="Z19" i="132" s="1"/>
  <c r="EU21" i="132"/>
  <c r="CC21" i="132" s="1"/>
  <c r="Y21" i="132" s="1"/>
  <c r="Z21" i="132" s="1"/>
  <c r="EU10" i="132"/>
  <c r="CC10" i="132" s="1"/>
  <c r="EU16" i="132"/>
  <c r="CC16" i="132" s="1"/>
  <c r="Y16" i="132" s="1"/>
  <c r="Z16" i="132" s="1"/>
  <c r="EU12" i="132"/>
  <c r="CC12" i="132" s="1"/>
  <c r="EU7" i="132"/>
  <c r="CC7" i="132" s="1"/>
  <c r="Y7" i="132" s="1"/>
  <c r="Z7" i="132" s="1"/>
  <c r="EU15" i="132"/>
  <c r="CC15" i="132" s="1"/>
  <c r="Y15" i="132" s="1"/>
  <c r="Z15" i="132" s="1"/>
  <c r="DU17" i="132"/>
  <c r="BX17" i="132" s="1"/>
  <c r="DU9" i="132"/>
  <c r="BX9" i="132" s="1"/>
  <c r="DU14" i="132"/>
  <c r="BX14" i="132" s="1"/>
  <c r="DU7" i="132"/>
  <c r="BX7" i="132" s="1"/>
  <c r="DU22" i="132"/>
  <c r="BX22" i="132" s="1"/>
  <c r="DU6" i="132"/>
  <c r="BX6" i="132" s="1"/>
  <c r="DU10" i="132"/>
  <c r="BX10" i="132" s="1"/>
  <c r="DU20" i="132"/>
  <c r="BX20" i="132" s="1"/>
  <c r="DU16" i="132"/>
  <c r="BX16" i="132" s="1"/>
  <c r="DU8" i="132"/>
  <c r="BX8" i="132" s="1"/>
  <c r="DU24" i="132"/>
  <c r="BX24" i="132" s="1"/>
  <c r="DU12" i="132"/>
  <c r="BX12" i="132" s="1"/>
  <c r="DU19" i="132"/>
  <c r="BX19" i="132" s="1"/>
  <c r="DU18" i="132"/>
  <c r="BX18" i="132" s="1"/>
  <c r="DU23" i="132"/>
  <c r="BX23" i="132" s="1"/>
  <c r="DU13" i="132"/>
  <c r="BX13" i="132" s="1"/>
  <c r="DU11" i="132"/>
  <c r="BX11" i="132" s="1"/>
  <c r="DU15" i="132"/>
  <c r="BX15" i="132" s="1"/>
  <c r="DU21" i="132"/>
  <c r="BX21" i="132" s="1"/>
  <c r="CX17" i="133"/>
  <c r="CX12" i="133"/>
  <c r="CX23" i="133"/>
  <c r="CX15" i="133"/>
  <c r="CX7" i="133"/>
  <c r="CX14" i="133"/>
  <c r="CX20" i="133"/>
  <c r="CX24" i="133"/>
  <c r="CX13" i="133"/>
  <c r="CX6" i="133"/>
  <c r="CX19" i="133"/>
  <c r="CX22" i="133"/>
  <c r="CX9" i="133"/>
  <c r="CX21" i="133"/>
  <c r="CX11" i="133"/>
  <c r="EV1" i="133"/>
  <c r="CX18" i="133"/>
  <c r="CX10" i="133"/>
  <c r="CX16" i="133"/>
  <c r="CX8" i="133"/>
  <c r="DV23" i="133"/>
  <c r="DV9" i="133"/>
  <c r="DV20" i="133"/>
  <c r="DV6" i="133"/>
  <c r="DV19" i="133"/>
  <c r="DV13" i="133"/>
  <c r="DV24" i="133"/>
  <c r="DV15" i="133"/>
  <c r="DV22" i="133"/>
  <c r="DV12" i="133"/>
  <c r="DV21" i="133"/>
  <c r="DV11" i="133"/>
  <c r="DV16" i="133"/>
  <c r="DV18" i="133"/>
  <c r="DV7" i="133"/>
  <c r="DV10" i="133"/>
  <c r="DV14" i="133"/>
  <c r="DV17" i="133"/>
  <c r="DV8" i="133"/>
  <c r="CX15" i="132"/>
  <c r="CX11" i="132"/>
  <c r="CX7" i="132"/>
  <c r="CX21" i="132"/>
  <c r="EV1" i="132"/>
  <c r="CX8" i="132"/>
  <c r="CX22" i="132"/>
  <c r="CX23" i="132"/>
  <c r="CX14" i="132"/>
  <c r="CX6" i="132"/>
  <c r="CX24" i="132"/>
  <c r="CX10" i="132"/>
  <c r="CX17" i="132"/>
  <c r="CX20" i="132"/>
  <c r="CX12" i="132"/>
  <c r="CX19" i="132"/>
  <c r="CX16" i="132"/>
  <c r="CX13" i="132"/>
  <c r="CX18" i="132"/>
  <c r="CX9" i="132"/>
  <c r="DW2" i="132"/>
  <c r="DV1" i="132"/>
  <c r="CD22" i="124"/>
  <c r="W22" i="124" s="1"/>
  <c r="X22" i="124" s="1"/>
  <c r="CD23" i="124"/>
  <c r="W23" i="124" s="1"/>
  <c r="X23" i="124" s="1"/>
  <c r="CD11" i="124"/>
  <c r="W11" i="124" s="1"/>
  <c r="X11" i="124" s="1"/>
  <c r="CD21" i="124"/>
  <c r="W21" i="124" s="1"/>
  <c r="X21" i="124" s="1"/>
  <c r="CD15" i="124"/>
  <c r="W15" i="124" s="1"/>
  <c r="X15" i="124" s="1"/>
  <c r="CD24" i="124"/>
  <c r="W24" i="124" s="1"/>
  <c r="X24" i="124" s="1"/>
  <c r="CD18" i="124"/>
  <c r="W18" i="124" s="1"/>
  <c r="X18" i="124" s="1"/>
  <c r="CD20" i="124"/>
  <c r="W20" i="124" s="1"/>
  <c r="X20" i="124" s="1"/>
  <c r="CD17" i="124"/>
  <c r="CD12" i="124"/>
  <c r="W12" i="124" s="1"/>
  <c r="X12" i="124" s="1"/>
  <c r="CD6" i="124"/>
  <c r="W6" i="124" s="1"/>
  <c r="X6" i="124" s="1"/>
  <c r="CD19" i="124"/>
  <c r="W19" i="124" s="1"/>
  <c r="X19" i="124" s="1"/>
  <c r="CD13" i="124"/>
  <c r="W13" i="124" s="1"/>
  <c r="X13" i="124" s="1"/>
  <c r="CD9" i="124"/>
  <c r="W9" i="124" s="1"/>
  <c r="X9" i="124" s="1"/>
  <c r="CD10" i="124"/>
  <c r="W10" i="124" s="1"/>
  <c r="X10" i="124" s="1"/>
  <c r="CD7" i="124"/>
  <c r="W7" i="124" s="1"/>
  <c r="X7" i="124" s="1"/>
  <c r="CD8" i="124"/>
  <c r="W8" i="124" s="1"/>
  <c r="X8" i="124" s="1"/>
  <c r="CD16" i="124"/>
  <c r="W16" i="124" s="1"/>
  <c r="X16" i="124" s="1"/>
  <c r="CD14" i="124"/>
  <c r="W14" i="124" s="1"/>
  <c r="X14" i="124" s="1"/>
  <c r="CD18" i="120"/>
  <c r="W18" i="120" s="1"/>
  <c r="X18" i="120" s="1"/>
  <c r="CE6" i="113"/>
  <c r="W6" i="113" s="1"/>
  <c r="X6" i="113" s="1"/>
  <c r="CD7" i="121"/>
  <c r="W7" i="121" s="1"/>
  <c r="X7" i="121" s="1"/>
  <c r="CD22" i="121"/>
  <c r="W22" i="121" s="1"/>
  <c r="X22" i="121" s="1"/>
  <c r="CD13" i="121"/>
  <c r="W13" i="121" s="1"/>
  <c r="X13" i="121" s="1"/>
  <c r="CD9" i="121"/>
  <c r="W9" i="121" s="1"/>
  <c r="X9" i="121" s="1"/>
  <c r="CD21" i="121"/>
  <c r="W21" i="121" s="1"/>
  <c r="X21" i="121" s="1"/>
  <c r="CD17" i="121"/>
  <c r="CD23" i="121"/>
  <c r="W23" i="121" s="1"/>
  <c r="X23" i="121" s="1"/>
  <c r="CD14" i="121"/>
  <c r="W14" i="121" s="1"/>
  <c r="X14" i="121" s="1"/>
  <c r="CD11" i="121"/>
  <c r="W11" i="121" s="1"/>
  <c r="X11" i="121" s="1"/>
  <c r="CD12" i="121"/>
  <c r="W12" i="121" s="1"/>
  <c r="X12" i="121" s="1"/>
  <c r="CD10" i="121"/>
  <c r="W10" i="121" s="1"/>
  <c r="X10" i="121" s="1"/>
  <c r="CD15" i="121"/>
  <c r="W15" i="121" s="1"/>
  <c r="X15" i="121" s="1"/>
  <c r="CD19" i="121"/>
  <c r="W19" i="121" s="1"/>
  <c r="X19" i="121" s="1"/>
  <c r="CD16" i="121"/>
  <c r="W16" i="121" s="1"/>
  <c r="X16" i="121" s="1"/>
  <c r="CD24" i="121"/>
  <c r="W24" i="121" s="1"/>
  <c r="X24" i="121" s="1"/>
  <c r="EL10" i="120"/>
  <c r="EM10" i="121"/>
  <c r="CD6" i="121"/>
  <c r="CD18" i="121"/>
  <c r="W18" i="121" s="1"/>
  <c r="X18" i="121" s="1"/>
  <c r="V6" i="121"/>
  <c r="T30" i="121"/>
  <c r="T29" i="121"/>
  <c r="T28" i="121"/>
  <c r="CD8" i="121"/>
  <c r="W8" i="121" s="1"/>
  <c r="X8" i="121" s="1"/>
  <c r="CD20" i="121"/>
  <c r="W20" i="121" s="1"/>
  <c r="X20" i="121" s="1"/>
  <c r="CD14" i="120"/>
  <c r="W14" i="120" s="1"/>
  <c r="X14" i="120" s="1"/>
  <c r="CD8" i="120"/>
  <c r="W8" i="120" s="1"/>
  <c r="X8" i="120" s="1"/>
  <c r="CD15" i="120"/>
  <c r="W15" i="120" s="1"/>
  <c r="X15" i="120" s="1"/>
  <c r="CE17" i="113"/>
  <c r="CD17" i="120"/>
  <c r="CD21" i="120"/>
  <c r="W21" i="120" s="1"/>
  <c r="X21" i="120" s="1"/>
  <c r="CD20" i="120"/>
  <c r="W20" i="120" s="1"/>
  <c r="X20" i="120" s="1"/>
  <c r="CD24" i="120"/>
  <c r="W24" i="120" s="1"/>
  <c r="X24" i="120" s="1"/>
  <c r="CD7" i="120"/>
  <c r="W7" i="120" s="1"/>
  <c r="X7" i="120" s="1"/>
  <c r="CD22" i="120"/>
  <c r="W22" i="120" s="1"/>
  <c r="X22" i="120" s="1"/>
  <c r="CD6" i="120"/>
  <c r="W6" i="120" s="1"/>
  <c r="X6" i="120" s="1"/>
  <c r="CD12" i="120"/>
  <c r="W12" i="120" s="1"/>
  <c r="X12" i="120" s="1"/>
  <c r="T29" i="120"/>
  <c r="CD10" i="120"/>
  <c r="W10" i="120" s="1"/>
  <c r="X10" i="120" s="1"/>
  <c r="T30" i="120"/>
  <c r="CD9" i="120"/>
  <c r="W9" i="120" s="1"/>
  <c r="X9" i="120" s="1"/>
  <c r="CD16" i="120"/>
  <c r="W16" i="120" s="1"/>
  <c r="X16" i="120" s="1"/>
  <c r="CD13" i="120"/>
  <c r="W13" i="120" s="1"/>
  <c r="X13" i="120" s="1"/>
  <c r="CD23" i="120"/>
  <c r="W23" i="120" s="1"/>
  <c r="X23" i="120" s="1"/>
  <c r="CD11" i="120"/>
  <c r="W11" i="120" s="1"/>
  <c r="X11" i="120" s="1"/>
  <c r="CD19" i="120"/>
  <c r="W19" i="120" s="1"/>
  <c r="X19" i="120" s="1"/>
  <c r="T28" i="120"/>
  <c r="CE12" i="113"/>
  <c r="W12" i="113" s="1"/>
  <c r="X12" i="113" s="1"/>
  <c r="CD23" i="119"/>
  <c r="W23" i="119" s="1"/>
  <c r="X23" i="119" s="1"/>
  <c r="CD21" i="119"/>
  <c r="W21" i="119" s="1"/>
  <c r="X21" i="119" s="1"/>
  <c r="T30" i="119"/>
  <c r="CD18" i="119"/>
  <c r="W18" i="119" s="1"/>
  <c r="X18" i="119" s="1"/>
  <c r="T28" i="119"/>
  <c r="T29" i="119"/>
  <c r="CD22" i="119"/>
  <c r="W22" i="119" s="1"/>
  <c r="X22" i="119" s="1"/>
  <c r="CD10" i="119"/>
  <c r="W10" i="119" s="1"/>
  <c r="X10" i="119" s="1"/>
  <c r="CD13" i="119"/>
  <c r="W13" i="119" s="1"/>
  <c r="X13" i="119" s="1"/>
  <c r="CD24" i="119"/>
  <c r="W24" i="119" s="1"/>
  <c r="X24" i="119" s="1"/>
  <c r="CD11" i="119"/>
  <c r="W11" i="119" s="1"/>
  <c r="X11" i="119" s="1"/>
  <c r="CD8" i="119"/>
  <c r="W8" i="119" s="1"/>
  <c r="X8" i="119" s="1"/>
  <c r="CD15" i="119"/>
  <c r="W15" i="119" s="1"/>
  <c r="X15" i="119" s="1"/>
  <c r="CD14" i="119"/>
  <c r="W14" i="119" s="1"/>
  <c r="X14" i="119" s="1"/>
  <c r="CD6" i="119"/>
  <c r="W6" i="119" s="1"/>
  <c r="X6" i="119" s="1"/>
  <c r="CD7" i="119"/>
  <c r="W7" i="119" s="1"/>
  <c r="X7" i="119" s="1"/>
  <c r="CD17" i="119"/>
  <c r="CD9" i="119"/>
  <c r="W9" i="119" s="1"/>
  <c r="X9" i="119" s="1"/>
  <c r="CD19" i="119"/>
  <c r="W19" i="119" s="1"/>
  <c r="X19" i="119" s="1"/>
  <c r="CD12" i="119"/>
  <c r="W12" i="119" s="1"/>
  <c r="X12" i="119" s="1"/>
  <c r="CD20" i="119"/>
  <c r="W20" i="119" s="1"/>
  <c r="X20" i="119" s="1"/>
  <c r="CD16" i="119"/>
  <c r="W16" i="119" s="1"/>
  <c r="X16" i="119" s="1"/>
  <c r="EK10" i="116"/>
  <c r="EK10" i="119"/>
  <c r="EX124" i="9"/>
  <c r="BR13" i="116" s="1"/>
  <c r="BR27" i="116" s="1"/>
  <c r="EW125" i="9"/>
  <c r="CE10" i="116"/>
  <c r="W10" i="116" s="1"/>
  <c r="X10" i="116" s="1"/>
  <c r="CE16" i="116"/>
  <c r="W16" i="116" s="1"/>
  <c r="X16" i="116" s="1"/>
  <c r="CE13" i="116"/>
  <c r="W13" i="116" s="1"/>
  <c r="X13" i="116" s="1"/>
  <c r="CE22" i="116"/>
  <c r="W22" i="116" s="1"/>
  <c r="X22" i="116" s="1"/>
  <c r="CE21" i="116"/>
  <c r="W21" i="116" s="1"/>
  <c r="X21" i="116" s="1"/>
  <c r="CE9" i="116"/>
  <c r="W9" i="116" s="1"/>
  <c r="X9" i="116" s="1"/>
  <c r="CE18" i="116"/>
  <c r="W18" i="116" s="1"/>
  <c r="X18" i="116" s="1"/>
  <c r="BV13" i="113"/>
  <c r="BV27" i="113" s="1"/>
  <c r="GJ124" i="9"/>
  <c r="GN124" i="9" s="1"/>
  <c r="V6" i="116"/>
  <c r="T28" i="116"/>
  <c r="T29" i="116"/>
  <c r="T30" i="116"/>
  <c r="CE17" i="116"/>
  <c r="CE7" i="116"/>
  <c r="W7" i="116" s="1"/>
  <c r="X7" i="116" s="1"/>
  <c r="CE20" i="116"/>
  <c r="W20" i="116" s="1"/>
  <c r="X20" i="116" s="1"/>
  <c r="CE23" i="113"/>
  <c r="W23" i="113" s="1"/>
  <c r="X23" i="113" s="1"/>
  <c r="CE23" i="116"/>
  <c r="W23" i="116" s="1"/>
  <c r="X23" i="116" s="1"/>
  <c r="CE15" i="116"/>
  <c r="W15" i="116" s="1"/>
  <c r="X15" i="116" s="1"/>
  <c r="CE8" i="116"/>
  <c r="W8" i="116" s="1"/>
  <c r="X8" i="116" s="1"/>
  <c r="CE11" i="116"/>
  <c r="W11" i="116" s="1"/>
  <c r="X11" i="116" s="1"/>
  <c r="CE6" i="116"/>
  <c r="CE14" i="116"/>
  <c r="W14" i="116" s="1"/>
  <c r="X14" i="116" s="1"/>
  <c r="CE24" i="116"/>
  <c r="W24" i="116" s="1"/>
  <c r="X24" i="116" s="1"/>
  <c r="CE12" i="116"/>
  <c r="W12" i="116" s="1"/>
  <c r="X12" i="116" s="1"/>
  <c r="IV123" i="9"/>
  <c r="IU124" i="9"/>
  <c r="CE19" i="116"/>
  <c r="W19" i="116" s="1"/>
  <c r="X19" i="116" s="1"/>
  <c r="CE24" i="113"/>
  <c r="W24" i="113" s="1"/>
  <c r="X24" i="113" s="1"/>
  <c r="CE19" i="113"/>
  <c r="W19" i="113" s="1"/>
  <c r="X19" i="113" s="1"/>
  <c r="CE14" i="113"/>
  <c r="W14" i="113" s="1"/>
  <c r="X14" i="113" s="1"/>
  <c r="CE10" i="113"/>
  <c r="W10" i="113" s="1"/>
  <c r="X10" i="113" s="1"/>
  <c r="CE9" i="113"/>
  <c r="W9" i="113" s="1"/>
  <c r="X9" i="113" s="1"/>
  <c r="CD6" i="87"/>
  <c r="W6" i="87" s="1"/>
  <c r="X6" i="87" s="1"/>
  <c r="CE11" i="113"/>
  <c r="W11" i="113" s="1"/>
  <c r="X11" i="113" s="1"/>
  <c r="CE8" i="113"/>
  <c r="W8" i="113" s="1"/>
  <c r="X8" i="113" s="1"/>
  <c r="CE7" i="113"/>
  <c r="W7" i="113" s="1"/>
  <c r="X7" i="113" s="1"/>
  <c r="CE20" i="113"/>
  <c r="W20" i="113" s="1"/>
  <c r="X20" i="113" s="1"/>
  <c r="CE15" i="113"/>
  <c r="W15" i="113" s="1"/>
  <c r="X15" i="113" s="1"/>
  <c r="CE22" i="113"/>
  <c r="W22" i="113" s="1"/>
  <c r="X22" i="113" s="1"/>
  <c r="CE16" i="113"/>
  <c r="CE23" i="112"/>
  <c r="W23" i="112" s="1"/>
  <c r="X23" i="112" s="1"/>
  <c r="CE14" i="112"/>
  <c r="W14" i="112" s="1"/>
  <c r="X14" i="112" s="1"/>
  <c r="CE22" i="112"/>
  <c r="W22" i="112" s="1"/>
  <c r="X22" i="112" s="1"/>
  <c r="CE6" i="112"/>
  <c r="CE24" i="112"/>
  <c r="W24" i="112" s="1"/>
  <c r="X24" i="112" s="1"/>
  <c r="CE17" i="112"/>
  <c r="CE21" i="113"/>
  <c r="W21" i="113" s="1"/>
  <c r="X21" i="113" s="1"/>
  <c r="CE18" i="113"/>
  <c r="W18" i="113" s="1"/>
  <c r="X18" i="113" s="1"/>
  <c r="EI10" i="112"/>
  <c r="CH10" i="112" s="1"/>
  <c r="Y10" i="112" s="1"/>
  <c r="EJ10" i="113"/>
  <c r="CE9" i="112"/>
  <c r="W9" i="112" s="1"/>
  <c r="X9" i="112" s="1"/>
  <c r="CE10" i="112"/>
  <c r="W10" i="112" s="1"/>
  <c r="X10" i="112" s="1"/>
  <c r="CE16" i="112"/>
  <c r="BV29" i="112"/>
  <c r="BV27" i="112"/>
  <c r="Q13" i="112"/>
  <c r="R13" i="112" s="1"/>
  <c r="CE19" i="112"/>
  <c r="W19" i="112" s="1"/>
  <c r="X19" i="112" s="1"/>
  <c r="CE8" i="112"/>
  <c r="W8" i="112" s="1"/>
  <c r="X8" i="112" s="1"/>
  <c r="CE20" i="112"/>
  <c r="W20" i="112" s="1"/>
  <c r="X20" i="112" s="1"/>
  <c r="CE21" i="112"/>
  <c r="W21" i="112" s="1"/>
  <c r="X21" i="112" s="1"/>
  <c r="CE12" i="112"/>
  <c r="W12" i="112" s="1"/>
  <c r="X12" i="112" s="1"/>
  <c r="CE13" i="113"/>
  <c r="W13" i="113" s="1"/>
  <c r="X13" i="113" s="1"/>
  <c r="CE13" i="112"/>
  <c r="W13" i="112" s="1"/>
  <c r="X13" i="112" s="1"/>
  <c r="CE11" i="112"/>
  <c r="W11" i="112" s="1"/>
  <c r="X11" i="112" s="1"/>
  <c r="CE18" i="112"/>
  <c r="W18" i="112" s="1"/>
  <c r="X18" i="112" s="1"/>
  <c r="CE15" i="112"/>
  <c r="W15" i="112" s="1"/>
  <c r="X15" i="112" s="1"/>
  <c r="CE7" i="112"/>
  <c r="W7" i="112" s="1"/>
  <c r="X7" i="112" s="1"/>
  <c r="CD10" i="92"/>
  <c r="W10" i="92" s="1"/>
  <c r="X10" i="92" s="1"/>
  <c r="CD24" i="108"/>
  <c r="W24" i="108" s="1"/>
  <c r="X24" i="108" s="1"/>
  <c r="CE6" i="109"/>
  <c r="W6" i="109" s="1"/>
  <c r="X6" i="109" s="1"/>
  <c r="CD7" i="108"/>
  <c r="W7" i="108" s="1"/>
  <c r="X7" i="108" s="1"/>
  <c r="CD15" i="106"/>
  <c r="W15" i="106" s="1"/>
  <c r="X15" i="106" s="1"/>
  <c r="CD22" i="108"/>
  <c r="W22" i="108" s="1"/>
  <c r="X22" i="108" s="1"/>
  <c r="CD11" i="108"/>
  <c r="W11" i="108" s="1"/>
  <c r="X11" i="108" s="1"/>
  <c r="CD14" i="87"/>
  <c r="W14" i="87" s="1"/>
  <c r="X14" i="87" s="1"/>
  <c r="CD17" i="108"/>
  <c r="CD16" i="106"/>
  <c r="CD21" i="108"/>
  <c r="W21" i="108" s="1"/>
  <c r="X21" i="108" s="1"/>
  <c r="CE10" i="109"/>
  <c r="W10" i="109" s="1"/>
  <c r="X10" i="109" s="1"/>
  <c r="CD12" i="108"/>
  <c r="W12" i="108" s="1"/>
  <c r="X12" i="108" s="1"/>
  <c r="CE14" i="109"/>
  <c r="W14" i="109" s="1"/>
  <c r="X14" i="109" s="1"/>
  <c r="CD22" i="106"/>
  <c r="W22" i="106" s="1"/>
  <c r="X22" i="106" s="1"/>
  <c r="CD16" i="108"/>
  <c r="CD13" i="106"/>
  <c r="W13" i="106" s="1"/>
  <c r="X13" i="106" s="1"/>
  <c r="CD8" i="106"/>
  <c r="W8" i="106" s="1"/>
  <c r="X8" i="106" s="1"/>
  <c r="CE24" i="109"/>
  <c r="W24" i="109" s="1"/>
  <c r="X24" i="109" s="1"/>
  <c r="CE15" i="109"/>
  <c r="W15" i="109" s="1"/>
  <c r="X15" i="109" s="1"/>
  <c r="CD15" i="108"/>
  <c r="W15" i="108" s="1"/>
  <c r="X15" i="108" s="1"/>
  <c r="CD20" i="108"/>
  <c r="W20" i="108" s="1"/>
  <c r="X20" i="108" s="1"/>
  <c r="CE17" i="109"/>
  <c r="CD10" i="106"/>
  <c r="W10" i="106" s="1"/>
  <c r="X10" i="106" s="1"/>
  <c r="CD6" i="108"/>
  <c r="W6" i="108" s="1"/>
  <c r="X6" i="108" s="1"/>
  <c r="CD6" i="106"/>
  <c r="W6" i="106" s="1"/>
  <c r="X6" i="106" s="1"/>
  <c r="CE21" i="109"/>
  <c r="W21" i="109" s="1"/>
  <c r="X21" i="109" s="1"/>
  <c r="CD23" i="108"/>
  <c r="W23" i="108" s="1"/>
  <c r="X23" i="108" s="1"/>
  <c r="CD20" i="106"/>
  <c r="W20" i="106" s="1"/>
  <c r="X20" i="106" s="1"/>
  <c r="CD11" i="106"/>
  <c r="W11" i="106" s="1"/>
  <c r="X11" i="106" s="1"/>
  <c r="CD19" i="108"/>
  <c r="W19" i="108" s="1"/>
  <c r="X19" i="108" s="1"/>
  <c r="CD14" i="106"/>
  <c r="W14" i="106" s="1"/>
  <c r="X14" i="106" s="1"/>
  <c r="CD18" i="106"/>
  <c r="W18" i="106" s="1"/>
  <c r="X18" i="106" s="1"/>
  <c r="CD10" i="108"/>
  <c r="W10" i="108" s="1"/>
  <c r="X10" i="108" s="1"/>
  <c r="CD8" i="108"/>
  <c r="W8" i="108" s="1"/>
  <c r="X8" i="108" s="1"/>
  <c r="CE11" i="109"/>
  <c r="W11" i="109" s="1"/>
  <c r="X11" i="109" s="1"/>
  <c r="CE18" i="109"/>
  <c r="W18" i="109" s="1"/>
  <c r="X18" i="109" s="1"/>
  <c r="CE22" i="109"/>
  <c r="W22" i="109" s="1"/>
  <c r="X22" i="109" s="1"/>
  <c r="CE12" i="109"/>
  <c r="W12" i="109" s="1"/>
  <c r="X12" i="109" s="1"/>
  <c r="CE9" i="109"/>
  <c r="W9" i="109" s="1"/>
  <c r="X9" i="109" s="1"/>
  <c r="CE20" i="109"/>
  <c r="W20" i="109" s="1"/>
  <c r="X20" i="109" s="1"/>
  <c r="CD21" i="106"/>
  <c r="W21" i="106" s="1"/>
  <c r="X21" i="106" s="1"/>
  <c r="O29" i="108"/>
  <c r="O30" i="108"/>
  <c r="O28" i="108"/>
  <c r="CE23" i="109"/>
  <c r="W23" i="109" s="1"/>
  <c r="X23" i="109" s="1"/>
  <c r="CE8" i="109"/>
  <c r="W8" i="109" s="1"/>
  <c r="X8" i="109" s="1"/>
  <c r="T30" i="109"/>
  <c r="T29" i="109"/>
  <c r="T28" i="109"/>
  <c r="V6" i="109"/>
  <c r="CD13" i="108"/>
  <c r="W13" i="108" s="1"/>
  <c r="X13" i="108" s="1"/>
  <c r="CD23" i="106"/>
  <c r="W23" i="106" s="1"/>
  <c r="X23" i="106" s="1"/>
  <c r="CE13" i="109"/>
  <c r="W13" i="109" s="1"/>
  <c r="X13" i="109" s="1"/>
  <c r="CD9" i="108"/>
  <c r="W9" i="108" s="1"/>
  <c r="X9" i="108" s="1"/>
  <c r="Q29" i="108"/>
  <c r="Q28" i="108"/>
  <c r="Q30" i="108"/>
  <c r="CE7" i="109"/>
  <c r="W7" i="109" s="1"/>
  <c r="X7" i="109" s="1"/>
  <c r="CD12" i="106"/>
  <c r="W12" i="106" s="1"/>
  <c r="X12" i="106" s="1"/>
  <c r="CD24" i="106"/>
  <c r="W24" i="106" s="1"/>
  <c r="X24" i="106" s="1"/>
  <c r="CE16" i="109"/>
  <c r="CE19" i="109"/>
  <c r="W19" i="109" s="1"/>
  <c r="X19" i="109" s="1"/>
  <c r="CD18" i="108"/>
  <c r="W18" i="108" s="1"/>
  <c r="X18" i="108" s="1"/>
  <c r="CD14" i="108"/>
  <c r="W14" i="108" s="1"/>
  <c r="X14" i="108" s="1"/>
  <c r="Q30" i="109"/>
  <c r="Q29" i="109"/>
  <c r="Q28" i="109"/>
  <c r="CD19" i="106"/>
  <c r="W19" i="106" s="1"/>
  <c r="X19" i="106" s="1"/>
  <c r="CD9" i="106"/>
  <c r="W9" i="106" s="1"/>
  <c r="X9" i="106" s="1"/>
  <c r="CD17" i="106"/>
  <c r="T30" i="106"/>
  <c r="T29" i="106"/>
  <c r="T28" i="106"/>
  <c r="V6" i="106"/>
  <c r="CD7" i="106"/>
  <c r="W7" i="106" s="1"/>
  <c r="X7" i="106" s="1"/>
  <c r="CD9" i="105"/>
  <c r="W9" i="105" s="1"/>
  <c r="X9" i="105" s="1"/>
  <c r="CD23" i="105"/>
  <c r="W23" i="105" s="1"/>
  <c r="X23" i="105" s="1"/>
  <c r="CD14" i="105"/>
  <c r="W14" i="105" s="1"/>
  <c r="X14" i="105" s="1"/>
  <c r="CD13" i="105"/>
  <c r="W13" i="105" s="1"/>
  <c r="X13" i="105" s="1"/>
  <c r="CD15" i="105"/>
  <c r="W15" i="105" s="1"/>
  <c r="X15" i="105" s="1"/>
  <c r="CD22" i="105"/>
  <c r="W22" i="105" s="1"/>
  <c r="X22" i="105" s="1"/>
  <c r="CD17" i="105"/>
  <c r="CD18" i="105"/>
  <c r="W18" i="105" s="1"/>
  <c r="X18" i="105" s="1"/>
  <c r="CD7" i="105"/>
  <c r="W7" i="105" s="1"/>
  <c r="X7" i="105" s="1"/>
  <c r="CD19" i="105"/>
  <c r="W19" i="105" s="1"/>
  <c r="X19" i="105" s="1"/>
  <c r="CD11" i="105"/>
  <c r="W11" i="105" s="1"/>
  <c r="X11" i="105" s="1"/>
  <c r="CD12" i="105"/>
  <c r="W12" i="105" s="1"/>
  <c r="X12" i="105" s="1"/>
  <c r="CD8" i="105"/>
  <c r="W8" i="105" s="1"/>
  <c r="X8" i="105" s="1"/>
  <c r="CD20" i="105"/>
  <c r="W20" i="105" s="1"/>
  <c r="X20" i="105" s="1"/>
  <c r="CD10" i="105"/>
  <c r="W10" i="105" s="1"/>
  <c r="X10" i="105" s="1"/>
  <c r="CD6" i="105"/>
  <c r="CD24" i="105"/>
  <c r="W24" i="105" s="1"/>
  <c r="X24" i="105" s="1"/>
  <c r="CD13" i="87"/>
  <c r="W13" i="87" s="1"/>
  <c r="X13" i="87" s="1"/>
  <c r="CD16" i="105"/>
  <c r="CD21" i="105"/>
  <c r="W21" i="105" s="1"/>
  <c r="X21" i="105" s="1"/>
  <c r="CD12" i="92"/>
  <c r="W12" i="92" s="1"/>
  <c r="X12" i="92" s="1"/>
  <c r="CD11" i="92"/>
  <c r="W11" i="92" s="1"/>
  <c r="X11" i="92" s="1"/>
  <c r="CD24" i="92"/>
  <c r="W24" i="92" s="1"/>
  <c r="CD20" i="92"/>
  <c r="W20" i="92" s="1"/>
  <c r="X20" i="92" s="1"/>
  <c r="CD8" i="92"/>
  <c r="W8" i="92" s="1"/>
  <c r="X8" i="92" s="1"/>
  <c r="CD12" i="90"/>
  <c r="W12" i="90" s="1"/>
  <c r="X12" i="90" s="1"/>
  <c r="CD18" i="92"/>
  <c r="W18" i="92" s="1"/>
  <c r="X18" i="92" s="1"/>
  <c r="CD21" i="92"/>
  <c r="W21" i="92" s="1"/>
  <c r="X21" i="92" s="1"/>
  <c r="CD8" i="86"/>
  <c r="W8" i="86" s="1"/>
  <c r="X8" i="86" s="1"/>
  <c r="CD14" i="92"/>
  <c r="W14" i="92" s="1"/>
  <c r="X14" i="92" s="1"/>
  <c r="CD23" i="92"/>
  <c r="W23" i="92" s="1"/>
  <c r="X23" i="92" s="1"/>
  <c r="CD19" i="92"/>
  <c r="W19" i="92" s="1"/>
  <c r="X19" i="92" s="1"/>
  <c r="CD6" i="92"/>
  <c r="W6" i="92" s="1"/>
  <c r="X6" i="92" s="1"/>
  <c r="CD13" i="92"/>
  <c r="W13" i="92" s="1"/>
  <c r="X13" i="92" s="1"/>
  <c r="CD17" i="92"/>
  <c r="CD22" i="92"/>
  <c r="W22" i="92" s="1"/>
  <c r="X22" i="92" s="1"/>
  <c r="CD13" i="90"/>
  <c r="W13" i="90" s="1"/>
  <c r="X13" i="90" s="1"/>
  <c r="CD16" i="92"/>
  <c r="CD7" i="92"/>
  <c r="W7" i="92" s="1"/>
  <c r="X7" i="92" s="1"/>
  <c r="CD15" i="92"/>
  <c r="W15" i="92" s="1"/>
  <c r="X15" i="92" s="1"/>
  <c r="CD9" i="92"/>
  <c r="W9" i="92" s="1"/>
  <c r="X9" i="92" s="1"/>
  <c r="CD16" i="90"/>
  <c r="CD24" i="90"/>
  <c r="W24" i="90" s="1"/>
  <c r="X24" i="90" s="1"/>
  <c r="CD21" i="90"/>
  <c r="W21" i="90" s="1"/>
  <c r="X21" i="90" s="1"/>
  <c r="CD6" i="90"/>
  <c r="W6" i="90" s="1"/>
  <c r="X6" i="90" s="1"/>
  <c r="CD9" i="90"/>
  <c r="W9" i="90" s="1"/>
  <c r="X9" i="90" s="1"/>
  <c r="CD10" i="90"/>
  <c r="W10" i="90" s="1"/>
  <c r="X10" i="90" s="1"/>
  <c r="CD8" i="90"/>
  <c r="W8" i="90" s="1"/>
  <c r="X8" i="90" s="1"/>
  <c r="CD17" i="90"/>
  <c r="CD18" i="90"/>
  <c r="W18" i="90" s="1"/>
  <c r="X18" i="90" s="1"/>
  <c r="CD11" i="90"/>
  <c r="W11" i="90" s="1"/>
  <c r="X11" i="90" s="1"/>
  <c r="CD14" i="90"/>
  <c r="W14" i="90" s="1"/>
  <c r="X14" i="90" s="1"/>
  <c r="CD20" i="90"/>
  <c r="W20" i="90" s="1"/>
  <c r="X20" i="90" s="1"/>
  <c r="CD20" i="91"/>
  <c r="W20" i="91" s="1"/>
  <c r="X20" i="91" s="1"/>
  <c r="CD8" i="91"/>
  <c r="W8" i="91" s="1"/>
  <c r="X8" i="91" s="1"/>
  <c r="CD19" i="91"/>
  <c r="W19" i="91" s="1"/>
  <c r="X19" i="91" s="1"/>
  <c r="CD21" i="91"/>
  <c r="W21" i="91" s="1"/>
  <c r="X21" i="91" s="1"/>
  <c r="CD18" i="91"/>
  <c r="W18" i="91" s="1"/>
  <c r="X18" i="91" s="1"/>
  <c r="CD16" i="91"/>
  <c r="V6" i="90"/>
  <c r="T28" i="90"/>
  <c r="T30" i="90"/>
  <c r="T29" i="90"/>
  <c r="CD24" i="91"/>
  <c r="W24" i="91" s="1"/>
  <c r="CD11" i="91"/>
  <c r="W11" i="91" s="1"/>
  <c r="X11" i="91" s="1"/>
  <c r="CD22" i="90"/>
  <c r="W22" i="90" s="1"/>
  <c r="X22" i="90" s="1"/>
  <c r="CD15" i="90"/>
  <c r="W15" i="90" s="1"/>
  <c r="X15" i="90" s="1"/>
  <c r="CD6" i="91"/>
  <c r="T29" i="91"/>
  <c r="T30" i="91"/>
  <c r="T28" i="91"/>
  <c r="V6" i="91"/>
  <c r="CD17" i="91"/>
  <c r="CD15" i="91"/>
  <c r="W15" i="91" s="1"/>
  <c r="X15" i="91" s="1"/>
  <c r="CD7" i="90"/>
  <c r="W7" i="90" s="1"/>
  <c r="X7" i="90" s="1"/>
  <c r="CD13" i="91"/>
  <c r="W13" i="91" s="1"/>
  <c r="X13" i="91" s="1"/>
  <c r="CD9" i="91"/>
  <c r="W9" i="91" s="1"/>
  <c r="X9" i="91" s="1"/>
  <c r="CD22" i="91"/>
  <c r="W22" i="91" s="1"/>
  <c r="X22" i="91" s="1"/>
  <c r="CD14" i="91"/>
  <c r="W14" i="91" s="1"/>
  <c r="X14" i="91" s="1"/>
  <c r="CD7" i="91"/>
  <c r="W7" i="91" s="1"/>
  <c r="X7" i="91" s="1"/>
  <c r="CD12" i="91"/>
  <c r="W12" i="91" s="1"/>
  <c r="X12" i="91" s="1"/>
  <c r="CD23" i="91"/>
  <c r="W23" i="91" s="1"/>
  <c r="X23" i="91" s="1"/>
  <c r="CD23" i="90"/>
  <c r="W23" i="90" s="1"/>
  <c r="X23" i="90" s="1"/>
  <c r="CD19" i="90"/>
  <c r="W19" i="90" s="1"/>
  <c r="X19" i="90" s="1"/>
  <c r="CD10" i="91"/>
  <c r="W10" i="91" s="1"/>
  <c r="X10" i="91" s="1"/>
  <c r="CD9" i="87"/>
  <c r="W9" i="87" s="1"/>
  <c r="X9" i="87" s="1"/>
  <c r="CD19" i="87"/>
  <c r="W19" i="87" s="1"/>
  <c r="X19" i="87" s="1"/>
  <c r="CD11" i="87"/>
  <c r="W11" i="87" s="1"/>
  <c r="X11" i="87" s="1"/>
  <c r="CD10" i="89"/>
  <c r="W10" i="89" s="1"/>
  <c r="X10" i="89" s="1"/>
  <c r="CD17" i="89"/>
  <c r="CD13" i="89"/>
  <c r="W13" i="89" s="1"/>
  <c r="X13" i="89" s="1"/>
  <c r="CD19" i="89"/>
  <c r="W19" i="89" s="1"/>
  <c r="X19" i="89" s="1"/>
  <c r="CD11" i="89"/>
  <c r="W11" i="89" s="1"/>
  <c r="X11" i="89" s="1"/>
  <c r="CD15" i="89"/>
  <c r="W15" i="89" s="1"/>
  <c r="X15" i="89" s="1"/>
  <c r="CD12" i="89"/>
  <c r="W12" i="89" s="1"/>
  <c r="X12" i="89" s="1"/>
  <c r="CD22" i="89"/>
  <c r="W22" i="89" s="1"/>
  <c r="X22" i="89" s="1"/>
  <c r="CD18" i="89"/>
  <c r="W18" i="89" s="1"/>
  <c r="X18" i="89" s="1"/>
  <c r="CD14" i="89"/>
  <c r="W14" i="89" s="1"/>
  <c r="X14" i="89" s="1"/>
  <c r="CD24" i="89"/>
  <c r="W24" i="89" s="1"/>
  <c r="X24" i="89" s="1"/>
  <c r="CD6" i="89"/>
  <c r="CD20" i="89"/>
  <c r="W20" i="89" s="1"/>
  <c r="X20" i="89" s="1"/>
  <c r="CD21" i="89"/>
  <c r="W21" i="89" s="1"/>
  <c r="X21" i="89" s="1"/>
  <c r="CD8" i="89"/>
  <c r="W8" i="89" s="1"/>
  <c r="X8" i="89" s="1"/>
  <c r="CD7" i="89"/>
  <c r="W7" i="89" s="1"/>
  <c r="X7" i="89" s="1"/>
  <c r="CD9" i="89"/>
  <c r="W9" i="89" s="1"/>
  <c r="X9" i="89" s="1"/>
  <c r="CD23" i="89"/>
  <c r="W23" i="89" s="1"/>
  <c r="X23" i="89" s="1"/>
  <c r="CD16" i="89"/>
  <c r="CD18" i="86"/>
  <c r="W18" i="86" s="1"/>
  <c r="X18" i="86" s="1"/>
  <c r="CD18" i="87"/>
  <c r="W18" i="87" s="1"/>
  <c r="X18" i="87" s="1"/>
  <c r="CD7" i="87"/>
  <c r="W7" i="87" s="1"/>
  <c r="X7" i="87" s="1"/>
  <c r="CD16" i="87"/>
  <c r="CD8" i="87"/>
  <c r="W8" i="87" s="1"/>
  <c r="X8" i="87" s="1"/>
  <c r="CD10" i="87"/>
  <c r="W10" i="87" s="1"/>
  <c r="X10" i="87" s="1"/>
  <c r="CD9" i="86"/>
  <c r="W9" i="86" s="1"/>
  <c r="X9" i="86" s="1"/>
  <c r="CD24" i="87"/>
  <c r="W24" i="87" s="1"/>
  <c r="X24" i="87" s="1"/>
  <c r="CD21" i="87"/>
  <c r="W21" i="87" s="1"/>
  <c r="X21" i="87" s="1"/>
  <c r="CD22" i="87"/>
  <c r="W22" i="87" s="1"/>
  <c r="X22" i="87" s="1"/>
  <c r="CD23" i="87"/>
  <c r="W23" i="87" s="1"/>
  <c r="X23" i="87" s="1"/>
  <c r="CD10" i="86"/>
  <c r="W10" i="86" s="1"/>
  <c r="X10" i="86" s="1"/>
  <c r="CD20" i="87"/>
  <c r="W20" i="87" s="1"/>
  <c r="X20" i="87" s="1"/>
  <c r="CD12" i="86"/>
  <c r="W12" i="86" s="1"/>
  <c r="X12" i="86" s="1"/>
  <c r="CD17" i="87"/>
  <c r="CD12" i="87"/>
  <c r="W12" i="87" s="1"/>
  <c r="X12" i="87" s="1"/>
  <c r="CD15" i="87"/>
  <c r="W15" i="87" s="1"/>
  <c r="X15" i="87" s="1"/>
  <c r="CD6" i="88"/>
  <c r="CD24" i="88"/>
  <c r="W24" i="88" s="1"/>
  <c r="X24" i="88" s="1"/>
  <c r="CD11" i="88"/>
  <c r="W11" i="88" s="1"/>
  <c r="X11" i="88" s="1"/>
  <c r="CD7" i="88"/>
  <c r="W7" i="88" s="1"/>
  <c r="X7" i="88" s="1"/>
  <c r="CD22" i="88"/>
  <c r="W22" i="88" s="1"/>
  <c r="X22" i="88" s="1"/>
  <c r="CD14" i="88"/>
  <c r="W14" i="88" s="1"/>
  <c r="X14" i="88" s="1"/>
  <c r="CD23" i="88"/>
  <c r="W23" i="88" s="1"/>
  <c r="X23" i="88" s="1"/>
  <c r="CD13" i="88"/>
  <c r="W13" i="88" s="1"/>
  <c r="X13" i="88" s="1"/>
  <c r="CD18" i="88"/>
  <c r="W18" i="88" s="1"/>
  <c r="X18" i="88" s="1"/>
  <c r="CD8" i="88"/>
  <c r="W8" i="88" s="1"/>
  <c r="X8" i="88" s="1"/>
  <c r="CD10" i="88"/>
  <c r="W10" i="88" s="1"/>
  <c r="X10" i="88" s="1"/>
  <c r="CD17" i="88"/>
  <c r="CD16" i="88"/>
  <c r="CD19" i="88"/>
  <c r="W19" i="88" s="1"/>
  <c r="X19" i="88" s="1"/>
  <c r="CD20" i="88"/>
  <c r="W20" i="88" s="1"/>
  <c r="X20" i="88" s="1"/>
  <c r="CD12" i="88"/>
  <c r="W12" i="88" s="1"/>
  <c r="X12" i="88" s="1"/>
  <c r="CD21" i="88"/>
  <c r="W21" i="88" s="1"/>
  <c r="X21" i="88" s="1"/>
  <c r="CD9" i="88"/>
  <c r="W9" i="88" s="1"/>
  <c r="X9" i="88" s="1"/>
  <c r="CD15" i="88"/>
  <c r="W15" i="88" s="1"/>
  <c r="X15" i="88" s="1"/>
  <c r="CD15" i="86"/>
  <c r="W15" i="86" s="1"/>
  <c r="X15" i="86" s="1"/>
  <c r="CD22" i="86"/>
  <c r="W22" i="86" s="1"/>
  <c r="X22" i="86" s="1"/>
  <c r="CD19" i="86"/>
  <c r="W19" i="86" s="1"/>
  <c r="X19" i="86" s="1"/>
  <c r="CD17" i="86"/>
  <c r="CD14" i="86"/>
  <c r="W14" i="86" s="1"/>
  <c r="X14" i="86" s="1"/>
  <c r="CD20" i="86"/>
  <c r="W20" i="86" s="1"/>
  <c r="X20" i="86" s="1"/>
  <c r="CD13" i="86"/>
  <c r="W13" i="86" s="1"/>
  <c r="X13" i="86" s="1"/>
  <c r="CD23" i="86"/>
  <c r="W23" i="86" s="1"/>
  <c r="X23" i="86" s="1"/>
  <c r="CD6" i="86"/>
  <c r="W6" i="86" s="1"/>
  <c r="X6" i="86" s="1"/>
  <c r="CD21" i="86"/>
  <c r="W21" i="86" s="1"/>
  <c r="X21" i="86" s="1"/>
  <c r="CD7" i="86"/>
  <c r="W7" i="86" s="1"/>
  <c r="X7" i="86" s="1"/>
  <c r="CD16" i="86"/>
  <c r="CD24" i="86"/>
  <c r="W24" i="86" s="1"/>
  <c r="X24" i="86" s="1"/>
  <c r="V6" i="86"/>
  <c r="T29" i="86"/>
  <c r="T28" i="86"/>
  <c r="T27" i="86"/>
  <c r="CD11" i="86"/>
  <c r="W11" i="86" s="1"/>
  <c r="X11" i="86" s="1"/>
  <c r="DV20" i="142" l="1"/>
  <c r="DV17" i="142"/>
  <c r="DV16" i="142"/>
  <c r="DV15" i="142"/>
  <c r="DV14" i="142"/>
  <c r="DV13" i="142"/>
  <c r="DV12" i="142"/>
  <c r="DV11" i="142"/>
  <c r="DV10" i="142"/>
  <c r="DV9" i="142"/>
  <c r="DV8" i="142"/>
  <c r="DV7" i="142"/>
  <c r="DV6" i="142"/>
  <c r="DV24" i="142"/>
  <c r="DV23" i="142"/>
  <c r="DV22" i="142"/>
  <c r="DV21" i="142"/>
  <c r="DV19" i="142"/>
  <c r="DV18" i="142"/>
  <c r="DW1" i="142"/>
  <c r="DX2" i="142"/>
  <c r="I14" i="138"/>
  <c r="Z14" i="142"/>
  <c r="CD9" i="142"/>
  <c r="Y9" i="142"/>
  <c r="Z23" i="142"/>
  <c r="I23" i="138"/>
  <c r="Z17" i="142"/>
  <c r="I17" i="138"/>
  <c r="I16" i="138"/>
  <c r="Z16" i="142"/>
  <c r="I7" i="138"/>
  <c r="Z7" i="142"/>
  <c r="I18" i="138"/>
  <c r="Z18" i="142"/>
  <c r="I15" i="138"/>
  <c r="Z15" i="142"/>
  <c r="Y8" i="142"/>
  <c r="CD8" i="142"/>
  <c r="CJ8" i="142"/>
  <c r="I24" i="138"/>
  <c r="Z24" i="142"/>
  <c r="Y21" i="142"/>
  <c r="CD21" i="142"/>
  <c r="EV11" i="142"/>
  <c r="EV7" i="142"/>
  <c r="EV21" i="142"/>
  <c r="EV9" i="142"/>
  <c r="EV24" i="142"/>
  <c r="EV22" i="142"/>
  <c r="EV8" i="142"/>
  <c r="EV23" i="142"/>
  <c r="EV18" i="142"/>
  <c r="EV20" i="142"/>
  <c r="EV19" i="142"/>
  <c r="EV17" i="142"/>
  <c r="EV6" i="142"/>
  <c r="EV16" i="142"/>
  <c r="EV15" i="142"/>
  <c r="EV14" i="142"/>
  <c r="EV13" i="142"/>
  <c r="EV12" i="142"/>
  <c r="CY8" i="142"/>
  <c r="CY22" i="142"/>
  <c r="CY21" i="142"/>
  <c r="CY17" i="142"/>
  <c r="CY9" i="142"/>
  <c r="CY24" i="142"/>
  <c r="EW1" i="142"/>
  <c r="CY20" i="142"/>
  <c r="CY18" i="142"/>
  <c r="CY15" i="142"/>
  <c r="CY12" i="142"/>
  <c r="CY7" i="142"/>
  <c r="CY6" i="142"/>
  <c r="CY10" i="142"/>
  <c r="CY23" i="142"/>
  <c r="CY19" i="142"/>
  <c r="CY14" i="142"/>
  <c r="CY16" i="142"/>
  <c r="CY13" i="142"/>
  <c r="CY11" i="142"/>
  <c r="CZ1" i="142"/>
  <c r="DA2" i="142"/>
  <c r="P13" i="112"/>
  <c r="O26" i="112"/>
  <c r="O28" i="109"/>
  <c r="O30" i="109"/>
  <c r="EU10" i="139"/>
  <c r="CC10" i="139" s="1"/>
  <c r="O26" i="113"/>
  <c r="BR27" i="113"/>
  <c r="Z15" i="139"/>
  <c r="Z24" i="139"/>
  <c r="DV19" i="139"/>
  <c r="DV13" i="139"/>
  <c r="DV17" i="139"/>
  <c r="DV12" i="139"/>
  <c r="DV24" i="139"/>
  <c r="DV16" i="139"/>
  <c r="DV6" i="139"/>
  <c r="DV15" i="139"/>
  <c r="DV21" i="139"/>
  <c r="DV14" i="139"/>
  <c r="DV20" i="139"/>
  <c r="DV9" i="139"/>
  <c r="DV23" i="139"/>
  <c r="DV11" i="139"/>
  <c r="DV7" i="139"/>
  <c r="DV8" i="139"/>
  <c r="DV18" i="139"/>
  <c r="DV10" i="139"/>
  <c r="DV22" i="139"/>
  <c r="Y8" i="139"/>
  <c r="CJ8" i="139"/>
  <c r="CD8" i="139"/>
  <c r="DW1" i="139"/>
  <c r="DX2" i="139"/>
  <c r="Z18" i="139"/>
  <c r="CY23" i="139"/>
  <c r="CY19" i="139"/>
  <c r="EW1" i="139"/>
  <c r="CY18" i="139"/>
  <c r="CY22" i="139"/>
  <c r="CY15" i="139"/>
  <c r="CY8" i="139"/>
  <c r="CY6" i="139"/>
  <c r="CY21" i="139"/>
  <c r="CY13" i="139"/>
  <c r="CY12" i="139"/>
  <c r="CY20" i="139"/>
  <c r="CY24" i="139"/>
  <c r="CY11" i="139"/>
  <c r="CY9" i="139"/>
  <c r="CY17" i="139"/>
  <c r="CY10" i="139"/>
  <c r="CY14" i="139"/>
  <c r="CY16" i="139"/>
  <c r="CY7" i="139"/>
  <c r="Z7" i="139"/>
  <c r="CD21" i="139"/>
  <c r="Y21" i="139"/>
  <c r="CZ1" i="139"/>
  <c r="DA2" i="139"/>
  <c r="Z17" i="139"/>
  <c r="Y9" i="139"/>
  <c r="CD9" i="139"/>
  <c r="Z16" i="139"/>
  <c r="Z23" i="139"/>
  <c r="Z14" i="139"/>
  <c r="EV20" i="139"/>
  <c r="EV7" i="139"/>
  <c r="EV12" i="139"/>
  <c r="EV13" i="139"/>
  <c r="EV24" i="139"/>
  <c r="EV17" i="139"/>
  <c r="EV16" i="139"/>
  <c r="EV9" i="139"/>
  <c r="EV8" i="139"/>
  <c r="EV23" i="139"/>
  <c r="EV15" i="139"/>
  <c r="EV6" i="139"/>
  <c r="EV18" i="139"/>
  <c r="EV19" i="139"/>
  <c r="EV11" i="139"/>
  <c r="EV14" i="139"/>
  <c r="EV21" i="139"/>
  <c r="EV22" i="139"/>
  <c r="EV10" i="139"/>
  <c r="Z23" i="137"/>
  <c r="Z24" i="137"/>
  <c r="DW1" i="137"/>
  <c r="DX2" i="137"/>
  <c r="DX2" i="136"/>
  <c r="DW1" i="136"/>
  <c r="CY22" i="136"/>
  <c r="CY14" i="136"/>
  <c r="CY17" i="136"/>
  <c r="CY6" i="136"/>
  <c r="CY24" i="136"/>
  <c r="CY15" i="136"/>
  <c r="CY16" i="136"/>
  <c r="CY23" i="136"/>
  <c r="CY13" i="136"/>
  <c r="CY7" i="136"/>
  <c r="CY21" i="136"/>
  <c r="CY12" i="136"/>
  <c r="EW1" i="136"/>
  <c r="CY20" i="136"/>
  <c r="CY11" i="136"/>
  <c r="CY8" i="136"/>
  <c r="CY18" i="136"/>
  <c r="CY10" i="136"/>
  <c r="CY19" i="136"/>
  <c r="CY9" i="136"/>
  <c r="DV16" i="137"/>
  <c r="DV8" i="137"/>
  <c r="DV23" i="137"/>
  <c r="DV15" i="137"/>
  <c r="DV11" i="137"/>
  <c r="DV22" i="137"/>
  <c r="DV14" i="137"/>
  <c r="DV7" i="137"/>
  <c r="DV20" i="137"/>
  <c r="DV17" i="137"/>
  <c r="DV6" i="137"/>
  <c r="DV19" i="137"/>
  <c r="DV12" i="137"/>
  <c r="DV24" i="137"/>
  <c r="DV10" i="137"/>
  <c r="DV18" i="137"/>
  <c r="DV13" i="137"/>
  <c r="DV21" i="137"/>
  <c r="DV9" i="137"/>
  <c r="Z16" i="137"/>
  <c r="CD21" i="136"/>
  <c r="Y21" i="136"/>
  <c r="Z21" i="136" s="1"/>
  <c r="DV18" i="136"/>
  <c r="DV12" i="136"/>
  <c r="DV6" i="136"/>
  <c r="DV20" i="136"/>
  <c r="DV19" i="136"/>
  <c r="DV7" i="136"/>
  <c r="DV23" i="136"/>
  <c r="DV17" i="136"/>
  <c r="DV10" i="136"/>
  <c r="DV21" i="136"/>
  <c r="DV22" i="136"/>
  <c r="DV24" i="136"/>
  <c r="DV14" i="136"/>
  <c r="DV13" i="136"/>
  <c r="DV16" i="136"/>
  <c r="DV11" i="136"/>
  <c r="DV8" i="136"/>
  <c r="DV15" i="136"/>
  <c r="DV9" i="136"/>
  <c r="DA2" i="136"/>
  <c r="CZ1" i="136"/>
  <c r="EV23" i="136"/>
  <c r="EV11" i="136"/>
  <c r="EV7" i="136"/>
  <c r="EV22" i="136"/>
  <c r="EV14" i="136"/>
  <c r="EV6" i="136"/>
  <c r="EV17" i="136"/>
  <c r="EV13" i="136"/>
  <c r="EV21" i="136"/>
  <c r="EV10" i="136"/>
  <c r="EV20" i="136"/>
  <c r="EV19" i="136"/>
  <c r="EV12" i="136"/>
  <c r="EV8" i="136"/>
  <c r="EV18" i="136"/>
  <c r="EV15" i="136"/>
  <c r="EV24" i="136"/>
  <c r="EV16" i="136"/>
  <c r="EV9" i="136"/>
  <c r="CY24" i="137"/>
  <c r="CY19" i="137"/>
  <c r="CY6" i="137"/>
  <c r="CY23" i="137"/>
  <c r="CY13" i="137"/>
  <c r="CY8" i="137"/>
  <c r="CY22" i="137"/>
  <c r="CY14" i="137"/>
  <c r="CY10" i="137"/>
  <c r="CY18" i="137"/>
  <c r="CY15" i="137"/>
  <c r="EW1" i="137"/>
  <c r="CY17" i="137"/>
  <c r="CY12" i="137"/>
  <c r="CY16" i="137"/>
  <c r="CY11" i="137"/>
  <c r="CY20" i="137"/>
  <c r="CY9" i="137"/>
  <c r="CY21" i="137"/>
  <c r="CY7" i="137"/>
  <c r="Z15" i="137"/>
  <c r="Z7" i="137"/>
  <c r="EV21" i="137"/>
  <c r="EV16" i="137"/>
  <c r="EV10" i="137"/>
  <c r="EV24" i="137"/>
  <c r="EV14" i="137"/>
  <c r="EV12" i="137"/>
  <c r="EV23" i="137"/>
  <c r="EV13" i="137"/>
  <c r="EV8" i="137"/>
  <c r="EV18" i="137"/>
  <c r="EV15" i="137"/>
  <c r="EV17" i="137"/>
  <c r="EV9" i="137"/>
  <c r="EV19" i="137"/>
  <c r="EV11" i="137"/>
  <c r="EV20" i="137"/>
  <c r="EV7" i="137"/>
  <c r="EV22" i="137"/>
  <c r="EV6" i="137"/>
  <c r="Y9" i="136"/>
  <c r="Z9" i="136" s="1"/>
  <c r="CD9" i="136"/>
  <c r="EQ10" i="132"/>
  <c r="ER10" i="133"/>
  <c r="ES10" i="136"/>
  <c r="ET10" i="137"/>
  <c r="DA2" i="137"/>
  <c r="CZ1" i="137"/>
  <c r="CD21" i="137"/>
  <c r="Y21" i="137"/>
  <c r="CD8" i="137"/>
  <c r="CJ8" i="137"/>
  <c r="Y8" i="137"/>
  <c r="CD9" i="137"/>
  <c r="Y9" i="137"/>
  <c r="Z18" i="137"/>
  <c r="CD8" i="136"/>
  <c r="Y8" i="136"/>
  <c r="Z8" i="136" s="1"/>
  <c r="CJ8" i="136"/>
  <c r="Z14" i="137"/>
  <c r="Z17" i="137"/>
  <c r="EV18" i="133"/>
  <c r="EV22" i="133"/>
  <c r="EV8" i="133"/>
  <c r="EV14" i="133"/>
  <c r="EV24" i="133"/>
  <c r="EV17" i="133"/>
  <c r="EV16" i="133"/>
  <c r="EV13" i="133"/>
  <c r="EV20" i="133"/>
  <c r="EV7" i="133"/>
  <c r="EV15" i="133"/>
  <c r="EV11" i="133"/>
  <c r="EV21" i="133"/>
  <c r="EV9" i="133"/>
  <c r="EV19" i="133"/>
  <c r="EV10" i="133"/>
  <c r="EV23" i="133"/>
  <c r="EV6" i="133"/>
  <c r="EV12" i="133"/>
  <c r="BX27" i="132"/>
  <c r="CJ8" i="132"/>
  <c r="Y8" i="132"/>
  <c r="Z8" i="132" s="1"/>
  <c r="Y8" i="133"/>
  <c r="CJ8" i="133"/>
  <c r="Z16" i="133"/>
  <c r="DV21" i="132"/>
  <c r="DV14" i="132"/>
  <c r="DV18" i="132"/>
  <c r="DV19" i="132"/>
  <c r="DV12" i="132"/>
  <c r="DV23" i="132"/>
  <c r="DV22" i="132"/>
  <c r="DV17" i="132"/>
  <c r="DV6" i="132"/>
  <c r="DV15" i="132"/>
  <c r="DV13" i="132"/>
  <c r="DV10" i="132"/>
  <c r="DV20" i="132"/>
  <c r="DV9" i="132"/>
  <c r="DV7" i="132"/>
  <c r="DV11" i="132"/>
  <c r="DV24" i="132"/>
  <c r="DV16" i="132"/>
  <c r="DV8" i="132"/>
  <c r="Z7" i="133"/>
  <c r="DX2" i="132"/>
  <c r="DW1" i="132"/>
  <c r="EV18" i="132"/>
  <c r="EV15" i="132"/>
  <c r="EV6" i="132"/>
  <c r="EV8" i="132"/>
  <c r="EV21" i="132"/>
  <c r="EV22" i="132"/>
  <c r="EV14" i="132"/>
  <c r="EV24" i="132"/>
  <c r="EV11" i="132"/>
  <c r="EV9" i="132"/>
  <c r="EV12" i="132"/>
  <c r="EV20" i="132"/>
  <c r="EV10" i="132"/>
  <c r="EV19" i="132"/>
  <c r="EV17" i="132"/>
  <c r="EV16" i="132"/>
  <c r="EV23" i="132"/>
  <c r="EV13" i="132"/>
  <c r="EV7" i="132"/>
  <c r="DY2" i="133"/>
  <c r="DX1" i="133"/>
  <c r="CY13" i="133"/>
  <c r="CY21" i="133"/>
  <c r="CY15" i="133"/>
  <c r="CY8" i="133"/>
  <c r="CY22" i="133"/>
  <c r="CY11" i="133"/>
  <c r="CY7" i="133"/>
  <c r="CY10" i="133"/>
  <c r="EW1" i="133"/>
  <c r="CY20" i="133"/>
  <c r="CY9" i="133"/>
  <c r="CY23" i="133"/>
  <c r="CY14" i="133"/>
  <c r="CY24" i="133"/>
  <c r="CY19" i="133"/>
  <c r="CY12" i="133"/>
  <c r="CY6" i="133"/>
  <c r="CY18" i="133"/>
  <c r="CY16" i="133"/>
  <c r="CY17" i="133"/>
  <c r="Z17" i="133"/>
  <c r="Z23" i="133"/>
  <c r="Z14" i="133"/>
  <c r="Z18" i="133"/>
  <c r="DA2" i="133"/>
  <c r="CZ1" i="133"/>
  <c r="DW24" i="133"/>
  <c r="DW15" i="133"/>
  <c r="DW13" i="133"/>
  <c r="DW11" i="133"/>
  <c r="DW21" i="133"/>
  <c r="DW8" i="133"/>
  <c r="DW19" i="133"/>
  <c r="DW12" i="133"/>
  <c r="DW20" i="133"/>
  <c r="DW18" i="133"/>
  <c r="DW6" i="133"/>
  <c r="DW22" i="133"/>
  <c r="DW9" i="133"/>
  <c r="DW23" i="133"/>
  <c r="DW17" i="133"/>
  <c r="DW10" i="133"/>
  <c r="DW7" i="133"/>
  <c r="DW14" i="133"/>
  <c r="DW16" i="133"/>
  <c r="Z9" i="133"/>
  <c r="Z15" i="133"/>
  <c r="CD21" i="133"/>
  <c r="Y21" i="133"/>
  <c r="CY19" i="132"/>
  <c r="CY12" i="132"/>
  <c r="EW1" i="132"/>
  <c r="CY9" i="132"/>
  <c r="CY10" i="132"/>
  <c r="CY18" i="132"/>
  <c r="CY15" i="132"/>
  <c r="CY7" i="132"/>
  <c r="CY17" i="132"/>
  <c r="CY8" i="132"/>
  <c r="CY22" i="132"/>
  <c r="CY11" i="132"/>
  <c r="CY21" i="132"/>
  <c r="CY14" i="132"/>
  <c r="CY13" i="132"/>
  <c r="CY24" i="132"/>
  <c r="CY20" i="132"/>
  <c r="CY23" i="132"/>
  <c r="CY16" i="132"/>
  <c r="CY6" i="132"/>
  <c r="Z24" i="133"/>
  <c r="DA2" i="132"/>
  <c r="CZ1" i="132"/>
  <c r="EL10" i="121"/>
  <c r="EM10" i="124"/>
  <c r="CD27" i="124"/>
  <c r="CC28" i="124" s="1"/>
  <c r="CD27" i="121"/>
  <c r="CC28" i="121" s="1"/>
  <c r="W6" i="121"/>
  <c r="X6" i="121" s="1"/>
  <c r="CD27" i="120"/>
  <c r="CC28" i="120" s="1"/>
  <c r="EX125" i="9"/>
  <c r="EW126" i="9"/>
  <c r="EJ10" i="119"/>
  <c r="EK10" i="120"/>
  <c r="BV13" i="116"/>
  <c r="Q13" i="116" s="1"/>
  <c r="R13" i="116" s="1"/>
  <c r="GJ125" i="9"/>
  <c r="GN125" i="9" s="1"/>
  <c r="BQ13" i="142" s="1"/>
  <c r="CD27" i="119"/>
  <c r="CC28" i="119" s="1"/>
  <c r="IV124" i="9"/>
  <c r="EV10" i="142" s="1"/>
  <c r="IU125" i="9"/>
  <c r="O13" i="116"/>
  <c r="P13" i="116" s="1"/>
  <c r="BV28" i="113"/>
  <c r="Q13" i="113"/>
  <c r="R13" i="113" s="1"/>
  <c r="Q30" i="113" s="1"/>
  <c r="EI10" i="113"/>
  <c r="CH10" i="113" s="1"/>
  <c r="Y10" i="113" s="1"/>
  <c r="EJ10" i="116"/>
  <c r="CE27" i="116"/>
  <c r="CD28" i="116" s="1"/>
  <c r="W6" i="116"/>
  <c r="X6" i="116" s="1"/>
  <c r="CE27" i="113"/>
  <c r="CD28" i="113" s="1"/>
  <c r="Q29" i="112"/>
  <c r="Q28" i="112"/>
  <c r="Q30" i="112"/>
  <c r="O30" i="113"/>
  <c r="O29" i="113"/>
  <c r="O28" i="113"/>
  <c r="CE27" i="112"/>
  <c r="CD28" i="112" s="1"/>
  <c r="W6" i="112"/>
  <c r="X6" i="112" s="1"/>
  <c r="CE27" i="109"/>
  <c r="CD28" i="109" s="1"/>
  <c r="CD27" i="108"/>
  <c r="CC28" i="108" s="1"/>
  <c r="CD27" i="106"/>
  <c r="CC28" i="106" s="1"/>
  <c r="CD27" i="105"/>
  <c r="CC28" i="105" s="1"/>
  <c r="W6" i="105"/>
  <c r="X6" i="105" s="1"/>
  <c r="CD27" i="92"/>
  <c r="CC28" i="92" s="1"/>
  <c r="W6" i="91"/>
  <c r="X6" i="91" s="1"/>
  <c r="CD27" i="91"/>
  <c r="CC28" i="91" s="1"/>
  <c r="CD27" i="90"/>
  <c r="CC28" i="90" s="1"/>
  <c r="W6" i="89"/>
  <c r="X6" i="89" s="1"/>
  <c r="CD27" i="89"/>
  <c r="CC28" i="89" s="1"/>
  <c r="CD27" i="87"/>
  <c r="CC28" i="87" s="1"/>
  <c r="CD27" i="88"/>
  <c r="CC28" i="88" s="1"/>
  <c r="W6" i="88"/>
  <c r="X6" i="88" s="1"/>
  <c r="EH7" i="89"/>
  <c r="CG7" i="89" s="1"/>
  <c r="Y7" i="89" s="1"/>
  <c r="Z7" i="89" s="1"/>
  <c r="II107" i="9"/>
  <c r="FC12" i="124" s="1"/>
  <c r="DW8" i="142" l="1"/>
  <c r="DW7" i="142"/>
  <c r="DW6" i="142"/>
  <c r="DW23" i="142"/>
  <c r="DW21" i="142"/>
  <c r="DW19" i="142"/>
  <c r="DW24" i="142"/>
  <c r="DW22" i="142"/>
  <c r="DW20" i="142"/>
  <c r="DW18" i="142"/>
  <c r="DW17" i="142"/>
  <c r="DW16" i="142"/>
  <c r="DW15" i="142"/>
  <c r="DW14" i="142"/>
  <c r="DW13" i="142"/>
  <c r="DW12" i="142"/>
  <c r="DW11" i="142"/>
  <c r="DW10" i="142"/>
  <c r="DW9" i="142"/>
  <c r="DX1" i="142"/>
  <c r="DY2" i="142"/>
  <c r="Z9" i="142"/>
  <c r="I9" i="138"/>
  <c r="Z8" i="142"/>
  <c r="I8" i="138"/>
  <c r="Z21" i="142"/>
  <c r="I21" i="138"/>
  <c r="EW24" i="142"/>
  <c r="EW17" i="142"/>
  <c r="EW20" i="142"/>
  <c r="EW18" i="142"/>
  <c r="EW16" i="142"/>
  <c r="EW15" i="142"/>
  <c r="EW14" i="142"/>
  <c r="EW13" i="142"/>
  <c r="EW12" i="142"/>
  <c r="EW11" i="142"/>
  <c r="EW10" i="142"/>
  <c r="EW6" i="142"/>
  <c r="EW9" i="142"/>
  <c r="EW8" i="142"/>
  <c r="EW7" i="142"/>
  <c r="EW23" i="142"/>
  <c r="EW21" i="142"/>
  <c r="EW19" i="142"/>
  <c r="EW22" i="142"/>
  <c r="CZ24" i="142"/>
  <c r="CZ22" i="142"/>
  <c r="CZ19" i="142"/>
  <c r="CZ18" i="142"/>
  <c r="EX1" i="142"/>
  <c r="CZ20" i="142"/>
  <c r="CZ10" i="142"/>
  <c r="CZ17" i="142"/>
  <c r="CZ16" i="142"/>
  <c r="CZ15" i="142"/>
  <c r="CZ14" i="142"/>
  <c r="CZ13" i="142"/>
  <c r="CZ12" i="142"/>
  <c r="CZ11" i="142"/>
  <c r="CZ9" i="142"/>
  <c r="CZ8" i="142"/>
  <c r="CZ7" i="142"/>
  <c r="CZ6" i="142"/>
  <c r="CZ23" i="142"/>
  <c r="CZ21" i="142"/>
  <c r="DA1" i="142"/>
  <c r="DB2" i="142"/>
  <c r="BQ13" i="119"/>
  <c r="BM13" i="142"/>
  <c r="O30" i="112"/>
  <c r="O29" i="112"/>
  <c r="O28" i="112"/>
  <c r="ET10" i="139"/>
  <c r="DY2" i="139"/>
  <c r="DX1" i="139"/>
  <c r="Z9" i="139"/>
  <c r="DW22" i="139"/>
  <c r="DW11" i="139"/>
  <c r="DW21" i="139"/>
  <c r="DW10" i="139"/>
  <c r="DW23" i="139"/>
  <c r="DW19" i="139"/>
  <c r="DW13" i="139"/>
  <c r="DW17" i="139"/>
  <c r="DW8" i="139"/>
  <c r="DW15" i="139"/>
  <c r="DW14" i="139"/>
  <c r="DW7" i="139"/>
  <c r="DW12" i="139"/>
  <c r="DW16" i="139"/>
  <c r="DW24" i="139"/>
  <c r="DW20" i="139"/>
  <c r="DW9" i="139"/>
  <c r="DW6" i="139"/>
  <c r="DW18" i="139"/>
  <c r="EW23" i="139"/>
  <c r="EW17" i="139"/>
  <c r="EW8" i="139"/>
  <c r="EW24" i="139"/>
  <c r="EW22" i="139"/>
  <c r="EW15" i="139"/>
  <c r="EW12" i="139"/>
  <c r="EW20" i="139"/>
  <c r="EW6" i="139"/>
  <c r="EW21" i="139"/>
  <c r="EW11" i="139"/>
  <c r="EW14" i="139"/>
  <c r="EW19" i="139"/>
  <c r="EW10" i="139"/>
  <c r="EW18" i="139"/>
  <c r="EW9" i="139"/>
  <c r="EW13" i="139"/>
  <c r="EW16" i="139"/>
  <c r="EW7" i="139"/>
  <c r="DB2" i="139"/>
  <c r="DA1" i="139"/>
  <c r="Z8" i="139"/>
  <c r="CZ21" i="139"/>
  <c r="CZ7" i="139"/>
  <c r="CZ8" i="139"/>
  <c r="CZ20" i="139"/>
  <c r="CZ19" i="139"/>
  <c r="CZ23" i="139"/>
  <c r="CZ15" i="139"/>
  <c r="CZ12" i="139"/>
  <c r="CZ9" i="139"/>
  <c r="CZ18" i="139"/>
  <c r="CZ24" i="139"/>
  <c r="CZ11" i="139"/>
  <c r="CZ13" i="139"/>
  <c r="CZ22" i="139"/>
  <c r="CZ17" i="139"/>
  <c r="CZ10" i="139"/>
  <c r="CZ16" i="139"/>
  <c r="CZ6" i="139"/>
  <c r="CZ14" i="139"/>
  <c r="EX1" i="139"/>
  <c r="Z21" i="139"/>
  <c r="EW16" i="137"/>
  <c r="EW10" i="137"/>
  <c r="EW24" i="137"/>
  <c r="EW13" i="137"/>
  <c r="EW11" i="137"/>
  <c r="EW19" i="137"/>
  <c r="EW23" i="137"/>
  <c r="EW15" i="137"/>
  <c r="EW8" i="137"/>
  <c r="EW22" i="137"/>
  <c r="EW14" i="137"/>
  <c r="EW9" i="137"/>
  <c r="EW18" i="137"/>
  <c r="EW20" i="137"/>
  <c r="EW17" i="137"/>
  <c r="EW12" i="137"/>
  <c r="EW21" i="137"/>
  <c r="EW7" i="137"/>
  <c r="EW6" i="137"/>
  <c r="DB2" i="136"/>
  <c r="DA1" i="136"/>
  <c r="DY2" i="136"/>
  <c r="DX1" i="136"/>
  <c r="Z9" i="137"/>
  <c r="CZ16" i="137"/>
  <c r="CZ7" i="137"/>
  <c r="CZ20" i="137"/>
  <c r="CZ12" i="137"/>
  <c r="CZ19" i="137"/>
  <c r="CZ6" i="137"/>
  <c r="CZ24" i="137"/>
  <c r="CZ15" i="137"/>
  <c r="CZ13" i="137"/>
  <c r="CZ23" i="137"/>
  <c r="CZ14" i="137"/>
  <c r="CZ10" i="137"/>
  <c r="CZ22" i="137"/>
  <c r="CZ18" i="137"/>
  <c r="CZ8" i="137"/>
  <c r="CZ21" i="137"/>
  <c r="CZ11" i="137"/>
  <c r="EX1" i="137"/>
  <c r="CZ17" i="137"/>
  <c r="CZ9" i="137"/>
  <c r="DA1" i="137"/>
  <c r="DB2" i="137"/>
  <c r="EW20" i="136"/>
  <c r="EW11" i="136"/>
  <c r="EW18" i="136"/>
  <c r="EW6" i="136"/>
  <c r="EW22" i="136"/>
  <c r="EW7" i="136"/>
  <c r="EW14" i="136"/>
  <c r="EW16" i="136"/>
  <c r="EW24" i="136"/>
  <c r="EW13" i="136"/>
  <c r="EW9" i="136"/>
  <c r="EW23" i="136"/>
  <c r="EW10" i="136"/>
  <c r="EW19" i="136"/>
  <c r="EW21" i="136"/>
  <c r="EW8" i="136"/>
  <c r="EW17" i="136"/>
  <c r="EW15" i="136"/>
  <c r="EW12" i="136"/>
  <c r="Z8" i="137"/>
  <c r="DY2" i="137"/>
  <c r="DX1" i="137"/>
  <c r="DW23" i="137"/>
  <c r="DW20" i="137"/>
  <c r="DW8" i="137"/>
  <c r="DW24" i="137"/>
  <c r="DW22" i="137"/>
  <c r="DW13" i="137"/>
  <c r="DW19" i="137"/>
  <c r="DW9" i="137"/>
  <c r="DW14" i="137"/>
  <c r="DW18" i="137"/>
  <c r="DW11" i="137"/>
  <c r="DW17" i="137"/>
  <c r="DW7" i="137"/>
  <c r="DW16" i="137"/>
  <c r="DW6" i="137"/>
  <c r="DW21" i="137"/>
  <c r="DW15" i="137"/>
  <c r="DW12" i="137"/>
  <c r="DW10" i="137"/>
  <c r="EI10" i="116"/>
  <c r="CH10" i="116" s="1"/>
  <c r="Y10" i="116" s="1"/>
  <c r="EP10" i="132"/>
  <c r="EQ10" i="133"/>
  <c r="ER10" i="136"/>
  <c r="ES10" i="137"/>
  <c r="Z21" i="137"/>
  <c r="CZ22" i="136"/>
  <c r="CZ12" i="136"/>
  <c r="EX1" i="136"/>
  <c r="CZ21" i="136"/>
  <c r="CZ11" i="136"/>
  <c r="CZ6" i="136"/>
  <c r="CZ20" i="136"/>
  <c r="CZ10" i="136"/>
  <c r="CZ19" i="136"/>
  <c r="CZ9" i="136"/>
  <c r="CZ17" i="136"/>
  <c r="CZ8" i="136"/>
  <c r="CZ15" i="136"/>
  <c r="CZ16" i="136"/>
  <c r="CZ24" i="136"/>
  <c r="CZ18" i="136"/>
  <c r="CZ14" i="136"/>
  <c r="CZ23" i="136"/>
  <c r="CZ13" i="136"/>
  <c r="CZ7" i="136"/>
  <c r="DW21" i="136"/>
  <c r="DW11" i="136"/>
  <c r="DW22" i="136"/>
  <c r="DW13" i="136"/>
  <c r="DW19" i="136"/>
  <c r="DW10" i="136"/>
  <c r="DW15" i="136"/>
  <c r="DW8" i="136"/>
  <c r="DW24" i="136"/>
  <c r="DW12" i="136"/>
  <c r="DW7" i="136"/>
  <c r="DW20" i="136"/>
  <c r="DW18" i="136"/>
  <c r="DW6" i="136"/>
  <c r="DW17" i="136"/>
  <c r="DW14" i="136"/>
  <c r="DW9" i="136"/>
  <c r="DW23" i="136"/>
  <c r="DW16" i="136"/>
  <c r="Z8" i="133"/>
  <c r="DX24" i="133"/>
  <c r="DX10" i="133"/>
  <c r="DX22" i="133"/>
  <c r="DX15" i="133"/>
  <c r="DX16" i="133"/>
  <c r="DX6" i="133"/>
  <c r="DX20" i="133"/>
  <c r="DX17" i="133"/>
  <c r="DX7" i="133"/>
  <c r="DX13" i="133"/>
  <c r="DX21" i="133"/>
  <c r="DX18" i="133"/>
  <c r="DX11" i="133"/>
  <c r="DX8" i="133"/>
  <c r="DX14" i="133"/>
  <c r="DX12" i="133"/>
  <c r="DX19" i="133"/>
  <c r="DX9" i="133"/>
  <c r="DX23" i="133"/>
  <c r="DW24" i="132"/>
  <c r="DW23" i="132"/>
  <c r="DW17" i="132"/>
  <c r="DW8" i="132"/>
  <c r="DW6" i="132"/>
  <c r="DW21" i="132"/>
  <c r="DW16" i="132"/>
  <c r="DW7" i="132"/>
  <c r="DW18" i="132"/>
  <c r="DW13" i="132"/>
  <c r="DW15" i="132"/>
  <c r="DW20" i="132"/>
  <c r="DW14" i="132"/>
  <c r="DW11" i="132"/>
  <c r="DW12" i="132"/>
  <c r="DW19" i="132"/>
  <c r="DW10" i="132"/>
  <c r="DW9" i="132"/>
  <c r="DW22" i="132"/>
  <c r="DZ2" i="133"/>
  <c r="DY1" i="133"/>
  <c r="DY2" i="132"/>
  <c r="DX1" i="132"/>
  <c r="Z21" i="133"/>
  <c r="EW15" i="133"/>
  <c r="EW19" i="133"/>
  <c r="EW22" i="133"/>
  <c r="EW7" i="133"/>
  <c r="EW18" i="133"/>
  <c r="EW17" i="133"/>
  <c r="EW8" i="133"/>
  <c r="EW21" i="133"/>
  <c r="EW14" i="133"/>
  <c r="EW23" i="133"/>
  <c r="EW16" i="133"/>
  <c r="EW11" i="133"/>
  <c r="EW13" i="133"/>
  <c r="EW20" i="133"/>
  <c r="EW24" i="133"/>
  <c r="EW9" i="133"/>
  <c r="EW6" i="133"/>
  <c r="EW12" i="133"/>
  <c r="EW10" i="133"/>
  <c r="CZ22" i="133"/>
  <c r="CZ10" i="133"/>
  <c r="EX1" i="133"/>
  <c r="CZ8" i="133"/>
  <c r="CZ23" i="133"/>
  <c r="CZ11" i="133"/>
  <c r="CZ24" i="133"/>
  <c r="CZ6" i="133"/>
  <c r="CZ21" i="133"/>
  <c r="CZ20" i="133"/>
  <c r="CZ14" i="133"/>
  <c r="CZ18" i="133"/>
  <c r="CZ17" i="133"/>
  <c r="CZ13" i="133"/>
  <c r="CZ7" i="133"/>
  <c r="CZ15" i="133"/>
  <c r="CZ12" i="133"/>
  <c r="CZ19" i="133"/>
  <c r="CZ9" i="133"/>
  <c r="CZ16" i="133"/>
  <c r="DB2" i="132"/>
  <c r="DA1" i="132"/>
  <c r="CZ19" i="132"/>
  <c r="CZ13" i="132"/>
  <c r="CZ9" i="132"/>
  <c r="CZ17" i="132"/>
  <c r="CZ18" i="132"/>
  <c r="CZ14" i="132"/>
  <c r="CZ11" i="132"/>
  <c r="CZ6" i="132"/>
  <c r="EX1" i="132"/>
  <c r="CZ16" i="132"/>
  <c r="CZ12" i="132"/>
  <c r="CZ23" i="132"/>
  <c r="CZ15" i="132"/>
  <c r="CZ10" i="132"/>
  <c r="CZ21" i="132"/>
  <c r="CZ22" i="132"/>
  <c r="CZ7" i="132"/>
  <c r="CZ20" i="132"/>
  <c r="CZ24" i="132"/>
  <c r="CZ8" i="132"/>
  <c r="EW18" i="132"/>
  <c r="EW13" i="132"/>
  <c r="EW11" i="132"/>
  <c r="EW24" i="132"/>
  <c r="EW15" i="132"/>
  <c r="EW20" i="132"/>
  <c r="EW19" i="132"/>
  <c r="EW14" i="132"/>
  <c r="EW12" i="132"/>
  <c r="EW16" i="132"/>
  <c r="EW10" i="132"/>
  <c r="EW21" i="132"/>
  <c r="EW7" i="132"/>
  <c r="EW23" i="132"/>
  <c r="EW17" i="132"/>
  <c r="EW9" i="132"/>
  <c r="EW8" i="132"/>
  <c r="EW22" i="132"/>
  <c r="EW6" i="132"/>
  <c r="DB2" i="133"/>
  <c r="DA1" i="133"/>
  <c r="EK10" i="121"/>
  <c r="EL10" i="124"/>
  <c r="FA12" i="120"/>
  <c r="FB12" i="121"/>
  <c r="EX126" i="9"/>
  <c r="BQ13" i="120" s="1"/>
  <c r="O13" i="120" s="1"/>
  <c r="EW127" i="9"/>
  <c r="EI10" i="119"/>
  <c r="EJ10" i="120"/>
  <c r="IV125" i="9"/>
  <c r="EU10" i="142" s="1"/>
  <c r="CC10" i="142" s="1"/>
  <c r="IU126" i="9"/>
  <c r="BU13" i="119"/>
  <c r="BU27" i="119" s="1"/>
  <c r="GJ126" i="9"/>
  <c r="BV28" i="116"/>
  <c r="BV27" i="116"/>
  <c r="EZ12" i="116"/>
  <c r="EZ12" i="119"/>
  <c r="O26" i="116"/>
  <c r="Q28" i="113"/>
  <c r="Q29" i="113"/>
  <c r="Q30" i="116"/>
  <c r="Q29" i="116"/>
  <c r="Q28" i="116"/>
  <c r="O30" i="116"/>
  <c r="O28" i="116"/>
  <c r="O29" i="116"/>
  <c r="EW12" i="109"/>
  <c r="EX12" i="112"/>
  <c r="EY12" i="113"/>
  <c r="EV12" i="109"/>
  <c r="EU12" i="108"/>
  <c r="ES12" i="105"/>
  <c r="ET12" i="106"/>
  <c r="CH12" i="106" s="1"/>
  <c r="Y12" i="106" s="1"/>
  <c r="Z12" i="106" s="1"/>
  <c r="EP12" i="98"/>
  <c r="EQ12" i="100"/>
  <c r="EM12" i="95"/>
  <c r="EN12" i="96"/>
  <c r="EO12" i="97"/>
  <c r="EL12" i="93"/>
  <c r="EM12" i="94"/>
  <c r="EH12" i="89"/>
  <c r="CG12" i="89" s="1"/>
  <c r="Y12" i="89" s="1"/>
  <c r="Z12" i="89" s="1"/>
  <c r="EK12" i="92"/>
  <c r="EI12" i="90"/>
  <c r="EJ12" i="91"/>
  <c r="BQ27" i="119" l="1"/>
  <c r="O13" i="119"/>
  <c r="DX20" i="142"/>
  <c r="DX19" i="142"/>
  <c r="DX17" i="142"/>
  <c r="DX16" i="142"/>
  <c r="DX15" i="142"/>
  <c r="DX14" i="142"/>
  <c r="DX13" i="142"/>
  <c r="DX12" i="142"/>
  <c r="DX11" i="142"/>
  <c r="DX10" i="142"/>
  <c r="DX9" i="142"/>
  <c r="DX8" i="142"/>
  <c r="DX7" i="142"/>
  <c r="DX24" i="142"/>
  <c r="DX23" i="142"/>
  <c r="DX18" i="142"/>
  <c r="DX6" i="142"/>
  <c r="DX21" i="142"/>
  <c r="DX22" i="142"/>
  <c r="DY1" i="142"/>
  <c r="DZ2" i="142"/>
  <c r="EX14" i="142"/>
  <c r="EX20" i="142"/>
  <c r="EX17" i="142"/>
  <c r="EX16" i="142"/>
  <c r="EX15" i="142"/>
  <c r="EX6" i="142"/>
  <c r="EX13" i="142"/>
  <c r="EX12" i="142"/>
  <c r="EX11" i="142"/>
  <c r="EX10" i="142"/>
  <c r="EX9" i="142"/>
  <c r="EX8" i="142"/>
  <c r="EX7" i="142"/>
  <c r="EX24" i="142"/>
  <c r="EX23" i="142"/>
  <c r="EX22" i="142"/>
  <c r="EX18" i="142"/>
  <c r="EX21" i="142"/>
  <c r="EX19" i="142"/>
  <c r="DA12" i="142"/>
  <c r="DA11" i="142"/>
  <c r="DA10" i="142"/>
  <c r="DA9" i="142"/>
  <c r="DA8" i="142"/>
  <c r="DA7" i="142"/>
  <c r="DA6" i="142"/>
  <c r="DA24" i="142"/>
  <c r="DA22" i="142"/>
  <c r="DA19" i="142"/>
  <c r="DA18" i="142"/>
  <c r="EY1" i="142"/>
  <c r="DA23" i="142"/>
  <c r="DA21" i="142"/>
  <c r="DA20" i="142"/>
  <c r="DA14" i="142"/>
  <c r="DA17" i="142"/>
  <c r="DA16" i="142"/>
  <c r="DA15" i="142"/>
  <c r="DA13" i="142"/>
  <c r="DB1" i="142"/>
  <c r="DC2" i="142"/>
  <c r="ES10" i="139"/>
  <c r="EX18" i="139"/>
  <c r="EX24" i="139"/>
  <c r="EX8" i="139"/>
  <c r="EX23" i="139"/>
  <c r="EX9" i="139"/>
  <c r="EX22" i="139"/>
  <c r="EX6" i="139"/>
  <c r="EX16" i="139"/>
  <c r="EX12" i="139"/>
  <c r="EX14" i="139"/>
  <c r="EX10" i="139"/>
  <c r="EX19" i="139"/>
  <c r="EX13" i="139"/>
  <c r="EX21" i="139"/>
  <c r="EX20" i="139"/>
  <c r="EX11" i="139"/>
  <c r="EX17" i="139"/>
  <c r="EX7" i="139"/>
  <c r="EX15" i="139"/>
  <c r="DA18" i="139"/>
  <c r="EY1" i="139"/>
  <c r="DA13" i="139"/>
  <c r="DA17" i="139"/>
  <c r="DA12" i="139"/>
  <c r="DA24" i="139"/>
  <c r="DA22" i="139"/>
  <c r="DA23" i="139"/>
  <c r="DA6" i="139"/>
  <c r="DA20" i="139"/>
  <c r="DA16" i="139"/>
  <c r="DA9" i="139"/>
  <c r="DA15" i="139"/>
  <c r="DA19" i="139"/>
  <c r="DA14" i="139"/>
  <c r="DA11" i="139"/>
  <c r="DA10" i="139"/>
  <c r="DA21" i="139"/>
  <c r="DA7" i="139"/>
  <c r="DA8" i="139"/>
  <c r="DC2" i="139"/>
  <c r="DB1" i="139"/>
  <c r="DX17" i="139"/>
  <c r="DX12" i="139"/>
  <c r="DX24" i="139"/>
  <c r="DX16" i="139"/>
  <c r="DX7" i="139"/>
  <c r="DX20" i="139"/>
  <c r="DX6" i="139"/>
  <c r="DX23" i="139"/>
  <c r="DX18" i="139"/>
  <c r="DX15" i="139"/>
  <c r="DX19" i="139"/>
  <c r="DX14" i="139"/>
  <c r="DX22" i="139"/>
  <c r="DX13" i="139"/>
  <c r="DX8" i="139"/>
  <c r="DX21" i="139"/>
  <c r="DX11" i="139"/>
  <c r="DX9" i="139"/>
  <c r="DX10" i="139"/>
  <c r="DZ2" i="139"/>
  <c r="DY1" i="139"/>
  <c r="DA21" i="137"/>
  <c r="DA11" i="137"/>
  <c r="DA9" i="137"/>
  <c r="DA16" i="137"/>
  <c r="DA12" i="137"/>
  <c r="DA20" i="137"/>
  <c r="DA10" i="137"/>
  <c r="DA19" i="137"/>
  <c r="DA6" i="137"/>
  <c r="DA18" i="137"/>
  <c r="DA15" i="137"/>
  <c r="DA24" i="137"/>
  <c r="DA13" i="137"/>
  <c r="DA8" i="137"/>
  <c r="DA23" i="137"/>
  <c r="DA17" i="137"/>
  <c r="DA7" i="137"/>
  <c r="DA22" i="137"/>
  <c r="DA14" i="137"/>
  <c r="EY1" i="137"/>
  <c r="EX24" i="137"/>
  <c r="EX20" i="137"/>
  <c r="EX9" i="137"/>
  <c r="EX23" i="137"/>
  <c r="EX14" i="137"/>
  <c r="EX8" i="137"/>
  <c r="EX22" i="137"/>
  <c r="EX18" i="137"/>
  <c r="EX21" i="137"/>
  <c r="EX13" i="137"/>
  <c r="EX17" i="137"/>
  <c r="EX11" i="137"/>
  <c r="EX19" i="137"/>
  <c r="EX7" i="137"/>
  <c r="EX16" i="137"/>
  <c r="EX6" i="137"/>
  <c r="EX15" i="137"/>
  <c r="EX10" i="137"/>
  <c r="EX12" i="137"/>
  <c r="DX21" i="137"/>
  <c r="DX6" i="137"/>
  <c r="DX20" i="137"/>
  <c r="DX10" i="137"/>
  <c r="DX24" i="137"/>
  <c r="DX19" i="137"/>
  <c r="DX8" i="137"/>
  <c r="DX23" i="137"/>
  <c r="DX13" i="137"/>
  <c r="DX15" i="137"/>
  <c r="DX22" i="137"/>
  <c r="DX14" i="137"/>
  <c r="DX9" i="137"/>
  <c r="DX18" i="137"/>
  <c r="DX12" i="137"/>
  <c r="DX17" i="137"/>
  <c r="DX7" i="137"/>
  <c r="DX16" i="137"/>
  <c r="DX11" i="137"/>
  <c r="DZ2" i="137"/>
  <c r="DY1" i="137"/>
  <c r="DA24" i="136"/>
  <c r="DA12" i="136"/>
  <c r="DA13" i="136"/>
  <c r="DA23" i="136"/>
  <c r="DA11" i="136"/>
  <c r="DA7" i="136"/>
  <c r="DA22" i="136"/>
  <c r="DA10" i="136"/>
  <c r="DA6" i="136"/>
  <c r="DA21" i="136"/>
  <c r="DA9" i="136"/>
  <c r="EY1" i="136"/>
  <c r="DA20" i="136"/>
  <c r="DA8" i="136"/>
  <c r="DA17" i="136"/>
  <c r="DA16" i="136"/>
  <c r="DA19" i="136"/>
  <c r="DA15" i="136"/>
  <c r="DA18" i="136"/>
  <c r="DA14" i="136"/>
  <c r="EO10" i="132"/>
  <c r="EP10" i="133"/>
  <c r="EQ10" i="136"/>
  <c r="ER10" i="137"/>
  <c r="DX23" i="136"/>
  <c r="DX16" i="136"/>
  <c r="DX7" i="136"/>
  <c r="DX19" i="136"/>
  <c r="DX9" i="136"/>
  <c r="DX20" i="136"/>
  <c r="DX15" i="136"/>
  <c r="DX14" i="136"/>
  <c r="DX22" i="136"/>
  <c r="DX11" i="136"/>
  <c r="DX21" i="136"/>
  <c r="DX13" i="136"/>
  <c r="DX18" i="136"/>
  <c r="DX10" i="136"/>
  <c r="DX8" i="136"/>
  <c r="DX17" i="136"/>
  <c r="DX24" i="136"/>
  <c r="DX12" i="136"/>
  <c r="DX6" i="136"/>
  <c r="DB1" i="136"/>
  <c r="DC2" i="136"/>
  <c r="EX16" i="136"/>
  <c r="EX12" i="136"/>
  <c r="EX24" i="136"/>
  <c r="EX19" i="136"/>
  <c r="EX11" i="136"/>
  <c r="EX23" i="136"/>
  <c r="EX13" i="136"/>
  <c r="EX7" i="136"/>
  <c r="EX22" i="136"/>
  <c r="EX10" i="136"/>
  <c r="EX6" i="136"/>
  <c r="EX21" i="136"/>
  <c r="EX9" i="136"/>
  <c r="EX20" i="136"/>
  <c r="EX8" i="136"/>
  <c r="EX18" i="136"/>
  <c r="EX15" i="136"/>
  <c r="EX17" i="136"/>
  <c r="EX14" i="136"/>
  <c r="DZ2" i="136"/>
  <c r="DY1" i="136"/>
  <c r="DC2" i="137"/>
  <c r="DB1" i="137"/>
  <c r="DC2" i="132"/>
  <c r="DB1" i="132"/>
  <c r="DY20" i="133"/>
  <c r="DY9" i="133"/>
  <c r="DY13" i="133"/>
  <c r="DY11" i="133"/>
  <c r="DY7" i="133"/>
  <c r="DY12" i="133"/>
  <c r="DY17" i="133"/>
  <c r="DY19" i="133"/>
  <c r="DY8" i="133"/>
  <c r="DY15" i="133"/>
  <c r="DY21" i="133"/>
  <c r="DY6" i="133"/>
  <c r="DY22" i="133"/>
  <c r="DY10" i="133"/>
  <c r="DY18" i="133"/>
  <c r="DY23" i="133"/>
  <c r="DY24" i="133"/>
  <c r="DY16" i="133"/>
  <c r="DY14" i="133"/>
  <c r="EA2" i="133"/>
  <c r="DZ1" i="133"/>
  <c r="DA24" i="133"/>
  <c r="DA14" i="133"/>
  <c r="DA11" i="133"/>
  <c r="DA21" i="133"/>
  <c r="DA12" i="133"/>
  <c r="DA17" i="133"/>
  <c r="DA23" i="133"/>
  <c r="DA9" i="133"/>
  <c r="EY1" i="133"/>
  <c r="DA16" i="133"/>
  <c r="DA7" i="133"/>
  <c r="DA15" i="133"/>
  <c r="DA10" i="133"/>
  <c r="DA6" i="133"/>
  <c r="DA20" i="133"/>
  <c r="DA8" i="133"/>
  <c r="DA13" i="133"/>
  <c r="DA22" i="133"/>
  <c r="DA18" i="133"/>
  <c r="DA19" i="133"/>
  <c r="EX14" i="133"/>
  <c r="EX15" i="133"/>
  <c r="EX17" i="133"/>
  <c r="EX9" i="133"/>
  <c r="EX13" i="133"/>
  <c r="EX22" i="133"/>
  <c r="EX24" i="133"/>
  <c r="EX11" i="133"/>
  <c r="EX16" i="133"/>
  <c r="EX6" i="133"/>
  <c r="EX20" i="133"/>
  <c r="EX18" i="133"/>
  <c r="EX19" i="133"/>
  <c r="EX21" i="133"/>
  <c r="EX12" i="133"/>
  <c r="EX7" i="133"/>
  <c r="EX10" i="133"/>
  <c r="EX23" i="133"/>
  <c r="EX8" i="133"/>
  <c r="DA18" i="132"/>
  <c r="DA12" i="132"/>
  <c r="DA16" i="132"/>
  <c r="DA22" i="132"/>
  <c r="DA17" i="132"/>
  <c r="DA10" i="132"/>
  <c r="DA7" i="132"/>
  <c r="DA23" i="132"/>
  <c r="EY1" i="132"/>
  <c r="DA14" i="132"/>
  <c r="DA6" i="132"/>
  <c r="DA11" i="132"/>
  <c r="DA13" i="132"/>
  <c r="DA9" i="132"/>
  <c r="DA24" i="132"/>
  <c r="DA19" i="132"/>
  <c r="DA8" i="132"/>
  <c r="DA15" i="132"/>
  <c r="DA20" i="132"/>
  <c r="DA21" i="132"/>
  <c r="DC2" i="133"/>
  <c r="DB1" i="133"/>
  <c r="EX24" i="132"/>
  <c r="EX13" i="132"/>
  <c r="EX8" i="132"/>
  <c r="EX20" i="132"/>
  <c r="EX14" i="132"/>
  <c r="EX23" i="132"/>
  <c r="EX12" i="132"/>
  <c r="EX22" i="132"/>
  <c r="EX16" i="132"/>
  <c r="EX7" i="132"/>
  <c r="EX15" i="132"/>
  <c r="EX9" i="132"/>
  <c r="EX6" i="132"/>
  <c r="EX17" i="132"/>
  <c r="EX18" i="132"/>
  <c r="EX10" i="132"/>
  <c r="EX21" i="132"/>
  <c r="EX19" i="132"/>
  <c r="EX11" i="132"/>
  <c r="DZ2" i="132"/>
  <c r="DY1" i="132"/>
  <c r="DX18" i="132"/>
  <c r="DX14" i="132"/>
  <c r="DX13" i="132"/>
  <c r="DX16" i="132"/>
  <c r="DX9" i="132"/>
  <c r="DX22" i="132"/>
  <c r="DX24" i="132"/>
  <c r="DX11" i="132"/>
  <c r="DX20" i="132"/>
  <c r="DX10" i="132"/>
  <c r="DX19" i="132"/>
  <c r="DX8" i="132"/>
  <c r="DX15" i="132"/>
  <c r="DX6" i="132"/>
  <c r="DX23" i="132"/>
  <c r="DX21" i="132"/>
  <c r="DX12" i="132"/>
  <c r="DX7" i="132"/>
  <c r="DX17" i="132"/>
  <c r="EJ10" i="121"/>
  <c r="EK10" i="124"/>
  <c r="EX127" i="9"/>
  <c r="BQ13" i="121" s="1"/>
  <c r="O13" i="121" s="1"/>
  <c r="P13" i="121" s="1"/>
  <c r="EW128" i="9"/>
  <c r="IV126" i="9"/>
  <c r="ET10" i="142" s="1"/>
  <c r="IU127" i="9"/>
  <c r="BQ27" i="120"/>
  <c r="GN126" i="9"/>
  <c r="BU13" i="120" s="1"/>
  <c r="GJ127" i="9"/>
  <c r="EH10" i="119"/>
  <c r="CG10" i="119" s="1"/>
  <c r="Y10" i="119" s="1"/>
  <c r="EI10" i="120"/>
  <c r="P13" i="120"/>
  <c r="O26" i="120"/>
  <c r="BU28" i="119"/>
  <c r="Q13" i="119"/>
  <c r="R13" i="119" s="1"/>
  <c r="Q30" i="119" s="1"/>
  <c r="P13" i="119" l="1"/>
  <c r="O26" i="119"/>
  <c r="DY20" i="142"/>
  <c r="DY24" i="142"/>
  <c r="DY22" i="142"/>
  <c r="DY21" i="142"/>
  <c r="DY19" i="142"/>
  <c r="DY17" i="142"/>
  <c r="DY13" i="142"/>
  <c r="DY11" i="142"/>
  <c r="DY10" i="142"/>
  <c r="DY8" i="142"/>
  <c r="DY6" i="142"/>
  <c r="DY18" i="142"/>
  <c r="DY16" i="142"/>
  <c r="DY15" i="142"/>
  <c r="DY14" i="142"/>
  <c r="DY12" i="142"/>
  <c r="DY9" i="142"/>
  <c r="DY7" i="142"/>
  <c r="DY23" i="142"/>
  <c r="EA2" i="142"/>
  <c r="DZ1" i="142"/>
  <c r="EY24" i="142"/>
  <c r="EY17" i="142"/>
  <c r="EY6" i="142"/>
  <c r="EY20" i="142"/>
  <c r="EY19" i="142"/>
  <c r="EY18" i="142"/>
  <c r="EY16" i="142"/>
  <c r="EY15" i="142"/>
  <c r="EY14" i="142"/>
  <c r="EY13" i="142"/>
  <c r="EY12" i="142"/>
  <c r="EY11" i="142"/>
  <c r="EY10" i="142"/>
  <c r="EY9" i="142"/>
  <c r="EY8" i="142"/>
  <c r="EY7" i="142"/>
  <c r="EY23" i="142"/>
  <c r="EY22" i="142"/>
  <c r="EY21" i="142"/>
  <c r="DB12" i="142"/>
  <c r="DB9" i="142"/>
  <c r="DB8" i="142"/>
  <c r="DB7" i="142"/>
  <c r="DB6" i="142"/>
  <c r="DB23" i="142"/>
  <c r="DB21" i="142"/>
  <c r="DB24" i="142"/>
  <c r="DB22" i="142"/>
  <c r="EZ1" i="142"/>
  <c r="DB20" i="142"/>
  <c r="DB19" i="142"/>
  <c r="DB18" i="142"/>
  <c r="DB17" i="142"/>
  <c r="DB16" i="142"/>
  <c r="DB15" i="142"/>
  <c r="DB14" i="142"/>
  <c r="DB10" i="142"/>
  <c r="DB13" i="142"/>
  <c r="DB11" i="142"/>
  <c r="DC1" i="142"/>
  <c r="DD2" i="142"/>
  <c r="ER10" i="139"/>
  <c r="DY19" i="139"/>
  <c r="DY11" i="139"/>
  <c r="DY24" i="139"/>
  <c r="DY16" i="139"/>
  <c r="DY12" i="139"/>
  <c r="DY17" i="139"/>
  <c r="DY14" i="139"/>
  <c r="DY7" i="139"/>
  <c r="DY9" i="139"/>
  <c r="DY20" i="139"/>
  <c r="DY6" i="139"/>
  <c r="DY18" i="139"/>
  <c r="DY22" i="139"/>
  <c r="DY13" i="139"/>
  <c r="DY10" i="139"/>
  <c r="DY21" i="139"/>
  <c r="DY23" i="139"/>
  <c r="DY8" i="139"/>
  <c r="DY15" i="139"/>
  <c r="DC1" i="139"/>
  <c r="DD2" i="139"/>
  <c r="EA2" i="139"/>
  <c r="DZ1" i="139"/>
  <c r="EY23" i="139"/>
  <c r="EY7" i="139"/>
  <c r="EY18" i="139"/>
  <c r="EY6" i="139"/>
  <c r="EY11" i="139"/>
  <c r="EY21" i="139"/>
  <c r="EY10" i="139"/>
  <c r="EY17" i="139"/>
  <c r="EY16" i="139"/>
  <c r="EY24" i="139"/>
  <c r="EY15" i="139"/>
  <c r="EY14" i="139"/>
  <c r="EY20" i="139"/>
  <c r="EY13" i="139"/>
  <c r="EY9" i="139"/>
  <c r="EY22" i="139"/>
  <c r="EY19" i="139"/>
  <c r="EY12" i="139"/>
  <c r="EY8" i="139"/>
  <c r="DB18" i="139"/>
  <c r="EZ1" i="139"/>
  <c r="DB10" i="139"/>
  <c r="DB19" i="139"/>
  <c r="DB13" i="139"/>
  <c r="DB21" i="139"/>
  <c r="DB22" i="139"/>
  <c r="DB15" i="139"/>
  <c r="DB20" i="139"/>
  <c r="DB12" i="139"/>
  <c r="DB14" i="139"/>
  <c r="DB7" i="139"/>
  <c r="DB24" i="139"/>
  <c r="DB16" i="139"/>
  <c r="DB9" i="139"/>
  <c r="DB11" i="139"/>
  <c r="DB23" i="139"/>
  <c r="DB17" i="139"/>
  <c r="DB8" i="139"/>
  <c r="DB6" i="139"/>
  <c r="DZ1" i="137"/>
  <c r="EA2" i="137"/>
  <c r="EJ10" i="124"/>
  <c r="EN10" i="132"/>
  <c r="EO10" i="133"/>
  <c r="EP10" i="136"/>
  <c r="EQ10" i="137"/>
  <c r="DC1" i="136"/>
  <c r="DD2" i="136"/>
  <c r="EY20" i="136"/>
  <c r="EY12" i="136"/>
  <c r="EY18" i="136"/>
  <c r="EY16" i="136"/>
  <c r="EY11" i="136"/>
  <c r="EY24" i="136"/>
  <c r="EY19" i="136"/>
  <c r="EY7" i="136"/>
  <c r="EY23" i="136"/>
  <c r="EY13" i="136"/>
  <c r="EY6" i="136"/>
  <c r="EY8" i="136"/>
  <c r="EY22" i="136"/>
  <c r="EY10" i="136"/>
  <c r="EY14" i="136"/>
  <c r="EY21" i="136"/>
  <c r="EY9" i="136"/>
  <c r="EY17" i="136"/>
  <c r="EY15" i="136"/>
  <c r="DD2" i="137"/>
  <c r="DC1" i="137"/>
  <c r="DB22" i="136"/>
  <c r="DB11" i="136"/>
  <c r="DB10" i="136"/>
  <c r="DB6" i="136"/>
  <c r="DB21" i="136"/>
  <c r="DB9" i="136"/>
  <c r="DB13" i="136"/>
  <c r="DB16" i="136"/>
  <c r="DB8" i="136"/>
  <c r="DB20" i="136"/>
  <c r="DB15" i="136"/>
  <c r="DB17" i="136"/>
  <c r="DB7" i="136"/>
  <c r="DB19" i="136"/>
  <c r="DB24" i="136"/>
  <c r="DB18" i="136"/>
  <c r="EZ1" i="136"/>
  <c r="DB23" i="136"/>
  <c r="DB14" i="136"/>
  <c r="DB12" i="136"/>
  <c r="DY24" i="136"/>
  <c r="DY15" i="136"/>
  <c r="DY7" i="136"/>
  <c r="DY21" i="136"/>
  <c r="DY23" i="136"/>
  <c r="DY11" i="136"/>
  <c r="DY14" i="136"/>
  <c r="DY19" i="136"/>
  <c r="DY20" i="136"/>
  <c r="DY22" i="136"/>
  <c r="DY13" i="136"/>
  <c r="DY6" i="136"/>
  <c r="DY10" i="136"/>
  <c r="DY8" i="136"/>
  <c r="DY9" i="136"/>
  <c r="DY17" i="136"/>
  <c r="DY18" i="136"/>
  <c r="DY16" i="136"/>
  <c r="DY12" i="136"/>
  <c r="DB22" i="137"/>
  <c r="DB11" i="137"/>
  <c r="DB6" i="137"/>
  <c r="DB21" i="137"/>
  <c r="DB12" i="137"/>
  <c r="EZ1" i="137"/>
  <c r="DB20" i="137"/>
  <c r="DB10" i="137"/>
  <c r="DB19" i="137"/>
  <c r="DB18" i="137"/>
  <c r="DB17" i="137"/>
  <c r="DB13" i="137"/>
  <c r="DB15" i="137"/>
  <c r="DB8" i="137"/>
  <c r="DB24" i="137"/>
  <c r="DB14" i="137"/>
  <c r="DB9" i="137"/>
  <c r="DB23" i="137"/>
  <c r="DB16" i="137"/>
  <c r="DB7" i="137"/>
  <c r="DZ1" i="136"/>
  <c r="EA2" i="136"/>
  <c r="DY17" i="137"/>
  <c r="DY11" i="137"/>
  <c r="DY16" i="137"/>
  <c r="DY7" i="137"/>
  <c r="DY20" i="137"/>
  <c r="DY6" i="137"/>
  <c r="DY19" i="137"/>
  <c r="DY12" i="137"/>
  <c r="DY24" i="137"/>
  <c r="DY15" i="137"/>
  <c r="DY10" i="137"/>
  <c r="DY23" i="137"/>
  <c r="DY14" i="137"/>
  <c r="DY9" i="137"/>
  <c r="DY22" i="137"/>
  <c r="DY18" i="137"/>
  <c r="DY8" i="137"/>
  <c r="DY21" i="137"/>
  <c r="DY13" i="137"/>
  <c r="EY16" i="137"/>
  <c r="EY12" i="137"/>
  <c r="EY15" i="137"/>
  <c r="EY10" i="137"/>
  <c r="EY20" i="137"/>
  <c r="EY6" i="137"/>
  <c r="EY24" i="137"/>
  <c r="EY13" i="137"/>
  <c r="EY9" i="137"/>
  <c r="EY23" i="137"/>
  <c r="EY18" i="137"/>
  <c r="EY8" i="137"/>
  <c r="EY22" i="137"/>
  <c r="EY17" i="137"/>
  <c r="EY7" i="137"/>
  <c r="EY21" i="137"/>
  <c r="EY14" i="137"/>
  <c r="EY19" i="137"/>
  <c r="EY11" i="137"/>
  <c r="DD2" i="132"/>
  <c r="DC1" i="132"/>
  <c r="DY17" i="132"/>
  <c r="DY12" i="132"/>
  <c r="DY9" i="132"/>
  <c r="DY16" i="132"/>
  <c r="DY11" i="132"/>
  <c r="DY22" i="132"/>
  <c r="DY14" i="132"/>
  <c r="DY19" i="132"/>
  <c r="DY7" i="132"/>
  <c r="DY6" i="132"/>
  <c r="DY24" i="132"/>
  <c r="DY10" i="132"/>
  <c r="DY18" i="132"/>
  <c r="DY21" i="132"/>
  <c r="DY13" i="132"/>
  <c r="DY23" i="132"/>
  <c r="DY15" i="132"/>
  <c r="DY20" i="132"/>
  <c r="DY8" i="132"/>
  <c r="DD2" i="133"/>
  <c r="DC1" i="133"/>
  <c r="EB2" i="133"/>
  <c r="EA1" i="133"/>
  <c r="DB16" i="133"/>
  <c r="DB21" i="133"/>
  <c r="DB13" i="133"/>
  <c r="DB19" i="133"/>
  <c r="DB14" i="133"/>
  <c r="DB7" i="133"/>
  <c r="DB24" i="133"/>
  <c r="DB11" i="133"/>
  <c r="DB6" i="133"/>
  <c r="DB22" i="133"/>
  <c r="DB15" i="133"/>
  <c r="DB10" i="133"/>
  <c r="DB8" i="133"/>
  <c r="DB9" i="133"/>
  <c r="DB23" i="133"/>
  <c r="DB17" i="133"/>
  <c r="EZ1" i="133"/>
  <c r="DB12" i="133"/>
  <c r="DB20" i="133"/>
  <c r="DB18" i="133"/>
  <c r="EY17" i="132"/>
  <c r="EY7" i="132"/>
  <c r="EY24" i="132"/>
  <c r="EY19" i="132"/>
  <c r="EY11" i="132"/>
  <c r="EY18" i="132"/>
  <c r="EY16" i="132"/>
  <c r="EY14" i="132"/>
  <c r="EY12" i="132"/>
  <c r="EY23" i="132"/>
  <c r="EY20" i="132"/>
  <c r="EY15" i="132"/>
  <c r="EY8" i="132"/>
  <c r="EY22" i="132"/>
  <c r="EY13" i="132"/>
  <c r="EY9" i="132"/>
  <c r="EY6" i="132"/>
  <c r="EY21" i="132"/>
  <c r="EY10" i="132"/>
  <c r="EA2" i="132"/>
  <c r="DZ1" i="132"/>
  <c r="DZ16" i="133"/>
  <c r="DZ11" i="133"/>
  <c r="DZ9" i="133"/>
  <c r="DZ21" i="133"/>
  <c r="DZ19" i="133"/>
  <c r="DZ13" i="133"/>
  <c r="DZ12" i="133"/>
  <c r="DZ7" i="133"/>
  <c r="DZ23" i="133"/>
  <c r="DZ6" i="133"/>
  <c r="DZ20" i="133"/>
  <c r="DZ17" i="133"/>
  <c r="DZ22" i="133"/>
  <c r="DZ24" i="133"/>
  <c r="DZ10" i="133"/>
  <c r="DZ14" i="133"/>
  <c r="DZ8" i="133"/>
  <c r="DZ18" i="133"/>
  <c r="DZ15" i="133"/>
  <c r="EY10" i="133"/>
  <c r="EY22" i="133"/>
  <c r="EY20" i="133"/>
  <c r="EY18" i="133"/>
  <c r="EY21" i="133"/>
  <c r="EY17" i="133"/>
  <c r="EY7" i="133"/>
  <c r="EY24" i="133"/>
  <c r="EY13" i="133"/>
  <c r="EY14" i="133"/>
  <c r="EY8" i="133"/>
  <c r="EY15" i="133"/>
  <c r="EY19" i="133"/>
  <c r="EY16" i="133"/>
  <c r="EY12" i="133"/>
  <c r="EY23" i="133"/>
  <c r="EY9" i="133"/>
  <c r="EY6" i="133"/>
  <c r="EY11" i="133"/>
  <c r="DB20" i="132"/>
  <c r="DB16" i="132"/>
  <c r="DB24" i="132"/>
  <c r="DB6" i="132"/>
  <c r="DB9" i="132"/>
  <c r="DB13" i="132"/>
  <c r="DB8" i="132"/>
  <c r="DB18" i="132"/>
  <c r="DB7" i="132"/>
  <c r="DB12" i="132"/>
  <c r="DB23" i="132"/>
  <c r="DB14" i="132"/>
  <c r="DB21" i="132"/>
  <c r="DB15" i="132"/>
  <c r="DB10" i="132"/>
  <c r="DB11" i="132"/>
  <c r="DB19" i="132"/>
  <c r="EZ1" i="132"/>
  <c r="DB17" i="132"/>
  <c r="DB22" i="132"/>
  <c r="IV127" i="9"/>
  <c r="ES10" i="142" s="1"/>
  <c r="IU128" i="9"/>
  <c r="EW129" i="9"/>
  <c r="EX128" i="9"/>
  <c r="BQ13" i="124" s="1"/>
  <c r="GN127" i="9"/>
  <c r="BU13" i="121" s="1"/>
  <c r="Q13" i="121" s="1"/>
  <c r="R13" i="121" s="1"/>
  <c r="GJ128" i="9"/>
  <c r="BQ27" i="121"/>
  <c r="EH10" i="120"/>
  <c r="CG10" i="120" s="1"/>
  <c r="Y10" i="120" s="1"/>
  <c r="Z10" i="120" s="1"/>
  <c r="EI10" i="121"/>
  <c r="O29" i="121"/>
  <c r="O28" i="121"/>
  <c r="O30" i="121"/>
  <c r="BU28" i="120"/>
  <c r="Q13" i="120"/>
  <c r="R13" i="120" s="1"/>
  <c r="Q30" i="120" s="1"/>
  <c r="BU27" i="120"/>
  <c r="O28" i="120"/>
  <c r="O30" i="120"/>
  <c r="O29" i="120"/>
  <c r="Q28" i="119"/>
  <c r="Q29" i="119"/>
  <c r="O30" i="119" l="1"/>
  <c r="O29" i="119"/>
  <c r="O28" i="119"/>
  <c r="EA1" i="142"/>
  <c r="EB2" i="142"/>
  <c r="DZ20" i="142"/>
  <c r="DZ19" i="142"/>
  <c r="DZ18" i="142"/>
  <c r="DZ17" i="142"/>
  <c r="DZ16" i="142"/>
  <c r="DZ15" i="142"/>
  <c r="DZ14" i="142"/>
  <c r="DZ13" i="142"/>
  <c r="DZ12" i="142"/>
  <c r="DZ11" i="142"/>
  <c r="DZ10" i="142"/>
  <c r="DZ9" i="142"/>
  <c r="DZ8" i="142"/>
  <c r="DZ7" i="142"/>
  <c r="DZ6" i="142"/>
  <c r="DZ24" i="142"/>
  <c r="DZ21" i="142"/>
  <c r="DZ23" i="142"/>
  <c r="DZ22" i="142"/>
  <c r="EZ20" i="142"/>
  <c r="EZ17" i="142"/>
  <c r="EZ11" i="142"/>
  <c r="EZ6" i="142"/>
  <c r="EZ16" i="142"/>
  <c r="EZ15" i="142"/>
  <c r="EZ14" i="142"/>
  <c r="EZ13" i="142"/>
  <c r="EZ12" i="142"/>
  <c r="EZ10" i="142"/>
  <c r="EZ9" i="142"/>
  <c r="EZ8" i="142"/>
  <c r="EZ7" i="142"/>
  <c r="EZ24" i="142"/>
  <c r="EZ23" i="142"/>
  <c r="EZ19" i="142"/>
  <c r="EZ18" i="142"/>
  <c r="EZ22" i="142"/>
  <c r="EZ21" i="142"/>
  <c r="DC15" i="142"/>
  <c r="FA1" i="142"/>
  <c r="DC17" i="142"/>
  <c r="DC16" i="142"/>
  <c r="DC14" i="142"/>
  <c r="DC20" i="142"/>
  <c r="DC13" i="142"/>
  <c r="DC12" i="142"/>
  <c r="DC11" i="142"/>
  <c r="DC9" i="142"/>
  <c r="DC8" i="142"/>
  <c r="DC7" i="142"/>
  <c r="DC6" i="142"/>
  <c r="DC22" i="142"/>
  <c r="DC24" i="142"/>
  <c r="DC23" i="142"/>
  <c r="DC21" i="142"/>
  <c r="DC19" i="142"/>
  <c r="DC18" i="142"/>
  <c r="DC10" i="142"/>
  <c r="DD1" i="142"/>
  <c r="DE2" i="142"/>
  <c r="EQ10" i="139"/>
  <c r="EZ24" i="139"/>
  <c r="EZ13" i="139"/>
  <c r="EZ19" i="139"/>
  <c r="EZ11" i="139"/>
  <c r="EZ23" i="139"/>
  <c r="EZ12" i="139"/>
  <c r="EZ9" i="139"/>
  <c r="EZ20" i="139"/>
  <c r="EZ15" i="139"/>
  <c r="EZ7" i="139"/>
  <c r="EZ17" i="139"/>
  <c r="EZ18" i="139"/>
  <c r="EZ16" i="139"/>
  <c r="EZ8" i="139"/>
  <c r="EZ14" i="139"/>
  <c r="EZ21" i="139"/>
  <c r="EZ6" i="139"/>
  <c r="EZ22" i="139"/>
  <c r="EZ10" i="139"/>
  <c r="DZ23" i="139"/>
  <c r="DZ12" i="139"/>
  <c r="DZ11" i="139"/>
  <c r="DZ22" i="139"/>
  <c r="DZ7" i="139"/>
  <c r="DZ17" i="139"/>
  <c r="DZ21" i="139"/>
  <c r="DZ6" i="139"/>
  <c r="DZ14" i="139"/>
  <c r="DZ15" i="139"/>
  <c r="DZ9" i="139"/>
  <c r="DZ13" i="139"/>
  <c r="DZ18" i="139"/>
  <c r="DZ20" i="139"/>
  <c r="DZ8" i="139"/>
  <c r="DZ24" i="139"/>
  <c r="DZ16" i="139"/>
  <c r="DZ10" i="139"/>
  <c r="DZ19" i="139"/>
  <c r="EB2" i="139"/>
  <c r="EA1" i="139"/>
  <c r="DD1" i="139"/>
  <c r="DE2" i="139"/>
  <c r="DC15" i="139"/>
  <c r="DC12" i="139"/>
  <c r="DC11" i="139"/>
  <c r="DC23" i="139"/>
  <c r="DC8" i="139"/>
  <c r="DC16" i="139"/>
  <c r="DC21" i="139"/>
  <c r="DC14" i="139"/>
  <c r="DC6" i="139"/>
  <c r="DC18" i="139"/>
  <c r="DC17" i="139"/>
  <c r="DC7" i="139"/>
  <c r="DC20" i="139"/>
  <c r="DC13" i="139"/>
  <c r="DC10" i="139"/>
  <c r="DC9" i="139"/>
  <c r="DC19" i="139"/>
  <c r="DC24" i="139"/>
  <c r="FA1" i="139"/>
  <c r="DC22" i="139"/>
  <c r="EB2" i="137"/>
  <c r="EA1" i="137"/>
  <c r="DD1" i="136"/>
  <c r="DE2" i="136"/>
  <c r="DZ21" i="137"/>
  <c r="DZ11" i="137"/>
  <c r="DZ16" i="137"/>
  <c r="DZ15" i="137"/>
  <c r="DZ20" i="137"/>
  <c r="DZ12" i="137"/>
  <c r="DZ13" i="137"/>
  <c r="DZ10" i="137"/>
  <c r="DZ19" i="137"/>
  <c r="DZ6" i="137"/>
  <c r="DZ24" i="137"/>
  <c r="DZ18" i="137"/>
  <c r="DZ8" i="137"/>
  <c r="DZ23" i="137"/>
  <c r="DZ17" i="137"/>
  <c r="DZ7" i="137"/>
  <c r="DZ22" i="137"/>
  <c r="DZ14" i="137"/>
  <c r="DZ9" i="137"/>
  <c r="EZ18" i="136"/>
  <c r="EZ12" i="136"/>
  <c r="EZ24" i="136"/>
  <c r="EZ17" i="136"/>
  <c r="EZ11" i="136"/>
  <c r="EZ23" i="136"/>
  <c r="EZ15" i="136"/>
  <c r="EZ7" i="136"/>
  <c r="EZ14" i="136"/>
  <c r="EZ22" i="136"/>
  <c r="EZ6" i="136"/>
  <c r="EZ10" i="136"/>
  <c r="EZ21" i="136"/>
  <c r="EZ13" i="136"/>
  <c r="EZ20" i="136"/>
  <c r="EZ9" i="136"/>
  <c r="EZ19" i="136"/>
  <c r="EZ16" i="136"/>
  <c r="EZ8" i="136"/>
  <c r="DC16" i="136"/>
  <c r="DC7" i="136"/>
  <c r="DC15" i="136"/>
  <c r="DC9" i="136"/>
  <c r="DC18" i="136"/>
  <c r="DC22" i="136"/>
  <c r="DC19" i="136"/>
  <c r="DC6" i="136"/>
  <c r="DC12" i="136"/>
  <c r="DC20" i="136"/>
  <c r="DC14" i="136"/>
  <c r="DC13" i="136"/>
  <c r="DC11" i="136"/>
  <c r="DC10" i="136"/>
  <c r="DC24" i="136"/>
  <c r="DC21" i="136"/>
  <c r="FA1" i="136"/>
  <c r="DC23" i="136"/>
  <c r="DC17" i="136"/>
  <c r="DC8" i="136"/>
  <c r="EB2" i="136"/>
  <c r="EA1" i="136"/>
  <c r="EZ18" i="137"/>
  <c r="EZ9" i="137"/>
  <c r="EZ16" i="137"/>
  <c r="EZ8" i="137"/>
  <c r="EZ24" i="137"/>
  <c r="EZ15" i="137"/>
  <c r="EZ7" i="137"/>
  <c r="EZ23" i="137"/>
  <c r="EZ14" i="137"/>
  <c r="EZ6" i="137"/>
  <c r="EZ22" i="137"/>
  <c r="EZ13" i="137"/>
  <c r="EZ17" i="137"/>
  <c r="EZ21" i="137"/>
  <c r="EZ11" i="137"/>
  <c r="EZ20" i="137"/>
  <c r="EZ12" i="137"/>
  <c r="EZ19" i="137"/>
  <c r="EZ10" i="137"/>
  <c r="DC17" i="137"/>
  <c r="DC9" i="137"/>
  <c r="DC18" i="137"/>
  <c r="DC15" i="137"/>
  <c r="DC24" i="137"/>
  <c r="DC16" i="137"/>
  <c r="DC8" i="137"/>
  <c r="DC23" i="137"/>
  <c r="DC13" i="137"/>
  <c r="FA1" i="137"/>
  <c r="DC22" i="137"/>
  <c r="DC14" i="137"/>
  <c r="DC7" i="137"/>
  <c r="DC21" i="137"/>
  <c r="DC11" i="137"/>
  <c r="DC6" i="137"/>
  <c r="DC20" i="137"/>
  <c r="DC12" i="137"/>
  <c r="DC19" i="137"/>
  <c r="DC10" i="137"/>
  <c r="EM10" i="132"/>
  <c r="EN10" i="133"/>
  <c r="EO10" i="136"/>
  <c r="EP10" i="137"/>
  <c r="DZ23" i="136"/>
  <c r="DZ10" i="136"/>
  <c r="DZ12" i="136"/>
  <c r="DZ19" i="136"/>
  <c r="DZ22" i="136"/>
  <c r="DZ9" i="136"/>
  <c r="DZ15" i="136"/>
  <c r="DZ21" i="136"/>
  <c r="DZ20" i="136"/>
  <c r="DZ16" i="136"/>
  <c r="DZ18" i="136"/>
  <c r="DZ6" i="136"/>
  <c r="DZ14" i="136"/>
  <c r="DZ8" i="136"/>
  <c r="DZ11" i="136"/>
  <c r="DZ7" i="136"/>
  <c r="DZ17" i="136"/>
  <c r="DZ13" i="136"/>
  <c r="DZ24" i="136"/>
  <c r="DE2" i="137"/>
  <c r="DD1" i="137"/>
  <c r="EB2" i="132"/>
  <c r="EA1" i="132"/>
  <c r="EC2" i="133"/>
  <c r="EB1" i="133"/>
  <c r="EA18" i="133"/>
  <c r="EA17" i="133"/>
  <c r="EA24" i="133"/>
  <c r="EA19" i="133"/>
  <c r="EA9" i="133"/>
  <c r="EA12" i="133"/>
  <c r="EA10" i="133"/>
  <c r="EA23" i="133"/>
  <c r="EA8" i="133"/>
  <c r="EA22" i="133"/>
  <c r="EA11" i="133"/>
  <c r="EA14" i="133"/>
  <c r="EA20" i="133"/>
  <c r="EA6" i="133"/>
  <c r="EA15" i="133"/>
  <c r="EA13" i="133"/>
  <c r="EA21" i="133"/>
  <c r="EA7" i="133"/>
  <c r="EA16" i="133"/>
  <c r="DZ15" i="132"/>
  <c r="DZ10" i="132"/>
  <c r="DZ23" i="132"/>
  <c r="DZ9" i="132"/>
  <c r="DZ19" i="132"/>
  <c r="DZ16" i="132"/>
  <c r="DZ22" i="132"/>
  <c r="DZ21" i="132"/>
  <c r="DZ8" i="132"/>
  <c r="DZ6" i="132"/>
  <c r="DZ11" i="132"/>
  <c r="DZ17" i="132"/>
  <c r="DZ7" i="132"/>
  <c r="DZ24" i="132"/>
  <c r="DZ13" i="132"/>
  <c r="DZ14" i="132"/>
  <c r="DZ20" i="132"/>
  <c r="DZ12" i="132"/>
  <c r="DZ18" i="132"/>
  <c r="DC13" i="132"/>
  <c r="DC12" i="132"/>
  <c r="DC17" i="132"/>
  <c r="DC19" i="132"/>
  <c r="DC16" i="132"/>
  <c r="DC9" i="132"/>
  <c r="DC23" i="132"/>
  <c r="DC11" i="132"/>
  <c r="DC22" i="132"/>
  <c r="FA1" i="132"/>
  <c r="DC24" i="132"/>
  <c r="DC18" i="132"/>
  <c r="DC8" i="132"/>
  <c r="DC21" i="132"/>
  <c r="DC14" i="132"/>
  <c r="DC6" i="132"/>
  <c r="DC10" i="132"/>
  <c r="DC20" i="132"/>
  <c r="DC7" i="132"/>
  <c r="DC15" i="132"/>
  <c r="EZ17" i="133"/>
  <c r="EZ12" i="133"/>
  <c r="EZ15" i="133"/>
  <c r="EZ19" i="133"/>
  <c r="EZ14" i="133"/>
  <c r="EZ20" i="133"/>
  <c r="EZ16" i="133"/>
  <c r="EZ13" i="133"/>
  <c r="EZ6" i="133"/>
  <c r="EZ23" i="133"/>
  <c r="EZ8" i="133"/>
  <c r="EZ22" i="133"/>
  <c r="EZ10" i="133"/>
  <c r="EZ24" i="133"/>
  <c r="EZ9" i="133"/>
  <c r="EZ11" i="133"/>
  <c r="EZ18" i="133"/>
  <c r="EZ21" i="133"/>
  <c r="EZ7" i="133"/>
  <c r="DE2" i="132"/>
  <c r="DD1" i="132"/>
  <c r="DC20" i="133"/>
  <c r="DC6" i="133"/>
  <c r="DC10" i="133"/>
  <c r="DC17" i="133"/>
  <c r="DC13" i="133"/>
  <c r="DC9" i="133"/>
  <c r="DC22" i="133"/>
  <c r="DC8" i="133"/>
  <c r="DC19" i="133"/>
  <c r="DC24" i="133"/>
  <c r="DC12" i="133"/>
  <c r="DC23" i="133"/>
  <c r="DC18" i="133"/>
  <c r="FA1" i="133"/>
  <c r="DC16" i="133"/>
  <c r="DC11" i="133"/>
  <c r="DC14" i="133"/>
  <c r="DC21" i="133"/>
  <c r="DC15" i="133"/>
  <c r="DC7" i="133"/>
  <c r="EZ22" i="132"/>
  <c r="EZ17" i="132"/>
  <c r="EZ6" i="132"/>
  <c r="EZ15" i="132"/>
  <c r="EZ21" i="132"/>
  <c r="EZ16" i="132"/>
  <c r="EZ11" i="132"/>
  <c r="EZ8" i="132"/>
  <c r="EZ10" i="132"/>
  <c r="EZ9" i="132"/>
  <c r="EZ23" i="132"/>
  <c r="EZ7" i="132"/>
  <c r="EZ20" i="132"/>
  <c r="EZ19" i="132"/>
  <c r="EZ14" i="132"/>
  <c r="EZ12" i="132"/>
  <c r="EZ24" i="132"/>
  <c r="EZ13" i="132"/>
  <c r="EZ18" i="132"/>
  <c r="DE2" i="133"/>
  <c r="DD1" i="133"/>
  <c r="EX129" i="9"/>
  <c r="EW130" i="9"/>
  <c r="IV128" i="9"/>
  <c r="ER10" i="142" s="1"/>
  <c r="IU129" i="9"/>
  <c r="GN128" i="9"/>
  <c r="BU13" i="124" s="1"/>
  <c r="GJ129" i="9"/>
  <c r="BU27" i="121"/>
  <c r="BU28" i="121"/>
  <c r="BQ27" i="124"/>
  <c r="O13" i="124"/>
  <c r="P13" i="124" s="1"/>
  <c r="O28" i="124" s="1"/>
  <c r="EH10" i="121"/>
  <c r="CG10" i="121" s="1"/>
  <c r="Y10" i="121" s="1"/>
  <c r="Z10" i="121" s="1"/>
  <c r="EI10" i="124"/>
  <c r="Q28" i="121"/>
  <c r="Q30" i="121"/>
  <c r="Q29" i="121"/>
  <c r="Q29" i="120"/>
  <c r="Q28" i="120"/>
  <c r="EA24" i="142" l="1"/>
  <c r="EA18" i="142"/>
  <c r="EA17" i="142"/>
  <c r="EA16" i="142"/>
  <c r="EA15" i="142"/>
  <c r="EA13" i="142"/>
  <c r="EA12" i="142"/>
  <c r="EA10" i="142"/>
  <c r="EA9" i="142"/>
  <c r="EA8" i="142"/>
  <c r="EA21" i="142"/>
  <c r="EA20" i="142"/>
  <c r="EA14" i="142"/>
  <c r="EA11" i="142"/>
  <c r="EA7" i="142"/>
  <c r="EA6" i="142"/>
  <c r="EA23" i="142"/>
  <c r="EA22" i="142"/>
  <c r="EA19" i="142"/>
  <c r="EB1" i="142"/>
  <c r="EC2" i="142"/>
  <c r="FA14" i="142"/>
  <c r="FA12" i="142"/>
  <c r="FA6" i="142"/>
  <c r="FA8" i="142"/>
  <c r="FA7" i="142"/>
  <c r="FA23" i="142"/>
  <c r="FA21" i="142"/>
  <c r="FA19" i="142"/>
  <c r="FA17" i="142"/>
  <c r="FA16" i="142"/>
  <c r="FA13" i="142"/>
  <c r="FA11" i="142"/>
  <c r="FA9" i="142"/>
  <c r="FA22" i="142"/>
  <c r="FA24" i="142"/>
  <c r="FA18" i="142"/>
  <c r="FA20" i="142"/>
  <c r="FA15" i="142"/>
  <c r="FA10" i="142"/>
  <c r="DD6" i="142"/>
  <c r="DD21" i="142"/>
  <c r="DD19" i="142"/>
  <c r="FB1" i="142"/>
  <c r="DD22" i="142"/>
  <c r="DD10" i="142"/>
  <c r="DD16" i="142"/>
  <c r="DD15" i="142"/>
  <c r="DD14" i="142"/>
  <c r="DD12" i="142"/>
  <c r="DD7" i="142"/>
  <c r="DD23" i="142"/>
  <c r="DD18" i="142"/>
  <c r="DD20" i="142"/>
  <c r="DD17" i="142"/>
  <c r="DD13" i="142"/>
  <c r="DD11" i="142"/>
  <c r="DD9" i="142"/>
  <c r="DD8" i="142"/>
  <c r="DD24" i="142"/>
  <c r="DF2" i="142"/>
  <c r="DE1" i="142"/>
  <c r="EP10" i="139"/>
  <c r="FA15" i="139"/>
  <c r="FA6" i="139"/>
  <c r="FA24" i="139"/>
  <c r="FA23" i="139"/>
  <c r="FA14" i="139"/>
  <c r="FA9" i="139"/>
  <c r="FA17" i="139"/>
  <c r="FA22" i="139"/>
  <c r="FA12" i="139"/>
  <c r="FA7" i="139"/>
  <c r="FA8" i="139"/>
  <c r="FA20" i="139"/>
  <c r="FA16" i="139"/>
  <c r="FA11" i="139"/>
  <c r="FA10" i="139"/>
  <c r="FA19" i="139"/>
  <c r="FA13" i="139"/>
  <c r="FA21" i="139"/>
  <c r="FA18" i="139"/>
  <c r="DF2" i="139"/>
  <c r="DE1" i="139"/>
  <c r="DD21" i="139"/>
  <c r="DD8" i="139"/>
  <c r="DD9" i="139"/>
  <c r="DD14" i="139"/>
  <c r="DD13" i="139"/>
  <c r="DD22" i="139"/>
  <c r="DD23" i="139"/>
  <c r="DD11" i="139"/>
  <c r="DD19" i="139"/>
  <c r="DD24" i="139"/>
  <c r="DD7" i="139"/>
  <c r="DD16" i="139"/>
  <c r="DD18" i="139"/>
  <c r="DD15" i="139"/>
  <c r="DD6" i="139"/>
  <c r="FB1" i="139"/>
  <c r="DD20" i="139"/>
  <c r="DD17" i="139"/>
  <c r="DD10" i="139"/>
  <c r="DD12" i="139"/>
  <c r="EA24" i="139"/>
  <c r="EA14" i="139"/>
  <c r="EA7" i="139"/>
  <c r="EA9" i="139"/>
  <c r="EA23" i="139"/>
  <c r="EA13" i="139"/>
  <c r="EA11" i="139"/>
  <c r="EA16" i="139"/>
  <c r="EA20" i="139"/>
  <c r="EA22" i="139"/>
  <c r="EA8" i="139"/>
  <c r="EA12" i="139"/>
  <c r="EA15" i="139"/>
  <c r="EA21" i="139"/>
  <c r="EA18" i="139"/>
  <c r="EA19" i="139"/>
  <c r="EA6" i="139"/>
  <c r="EA17" i="139"/>
  <c r="EA10" i="139"/>
  <c r="EB1" i="139"/>
  <c r="EC2" i="139"/>
  <c r="EH10" i="124"/>
  <c r="CG10" i="124" s="1"/>
  <c r="Y10" i="124" s="1"/>
  <c r="Z10" i="124" s="1"/>
  <c r="EL10" i="132"/>
  <c r="EM10" i="133"/>
  <c r="EN10" i="136"/>
  <c r="EO10" i="137"/>
  <c r="DD17" i="137"/>
  <c r="DD13" i="137"/>
  <c r="DD15" i="137"/>
  <c r="DD7" i="137"/>
  <c r="DD24" i="137"/>
  <c r="DD14" i="137"/>
  <c r="DD18" i="137"/>
  <c r="DD23" i="137"/>
  <c r="DD16" i="137"/>
  <c r="DD6" i="137"/>
  <c r="DD22" i="137"/>
  <c r="DD11" i="137"/>
  <c r="FB1" i="137"/>
  <c r="DD20" i="137"/>
  <c r="DD12" i="137"/>
  <c r="DD9" i="137"/>
  <c r="DD21" i="137"/>
  <c r="DD10" i="137"/>
  <c r="DD19" i="137"/>
  <c r="DD8" i="137"/>
  <c r="FA15" i="136"/>
  <c r="FA7" i="136"/>
  <c r="FA23" i="136"/>
  <c r="FA17" i="136"/>
  <c r="FA9" i="136"/>
  <c r="FA24" i="136"/>
  <c r="FA18" i="136"/>
  <c r="FA10" i="136"/>
  <c r="FA11" i="136"/>
  <c r="FA8" i="136"/>
  <c r="FA22" i="136"/>
  <c r="FA14" i="136"/>
  <c r="FA6" i="136"/>
  <c r="FA20" i="136"/>
  <c r="FA19" i="136"/>
  <c r="FA16" i="136"/>
  <c r="FA13" i="136"/>
  <c r="FA12" i="136"/>
  <c r="FA21" i="136"/>
  <c r="DD19" i="136"/>
  <c r="DD11" i="136"/>
  <c r="DD7" i="136"/>
  <c r="DD9" i="136"/>
  <c r="DD24" i="136"/>
  <c r="DD17" i="136"/>
  <c r="DD12" i="136"/>
  <c r="DD22" i="136"/>
  <c r="DD6" i="136"/>
  <c r="FB1" i="136"/>
  <c r="DD21" i="136"/>
  <c r="DD15" i="136"/>
  <c r="DD16" i="136"/>
  <c r="DD23" i="136"/>
  <c r="DD14" i="136"/>
  <c r="DD18" i="136"/>
  <c r="DD8" i="136"/>
  <c r="DD10" i="136"/>
  <c r="DD20" i="136"/>
  <c r="DD13" i="136"/>
  <c r="DE1" i="137"/>
  <c r="DF2" i="137"/>
  <c r="EA19" i="137"/>
  <c r="EA10" i="137"/>
  <c r="EA18" i="137"/>
  <c r="EA13" i="137"/>
  <c r="EA16" i="137"/>
  <c r="EA8" i="137"/>
  <c r="EA24" i="137"/>
  <c r="EA17" i="137"/>
  <c r="EA9" i="137"/>
  <c r="EA23" i="137"/>
  <c r="EA15" i="137"/>
  <c r="EA7" i="137"/>
  <c r="EA22" i="137"/>
  <c r="EA14" i="137"/>
  <c r="EA6" i="137"/>
  <c r="EA21" i="137"/>
  <c r="EA11" i="137"/>
  <c r="EA20" i="137"/>
  <c r="EA12" i="137"/>
  <c r="EA21" i="136"/>
  <c r="EA8" i="136"/>
  <c r="EA20" i="136"/>
  <c r="EA17" i="136"/>
  <c r="EA18" i="136"/>
  <c r="EA11" i="136"/>
  <c r="EA16" i="136"/>
  <c r="EA7" i="136"/>
  <c r="EA19" i="136"/>
  <c r="EA13" i="136"/>
  <c r="EA24" i="136"/>
  <c r="EA14" i="136"/>
  <c r="EA6" i="136"/>
  <c r="EA23" i="136"/>
  <c r="EA10" i="136"/>
  <c r="EA12" i="136"/>
  <c r="EA22" i="136"/>
  <c r="EA9" i="136"/>
  <c r="EA15" i="136"/>
  <c r="EB1" i="137"/>
  <c r="EC2" i="137"/>
  <c r="EC2" i="136"/>
  <c r="EB1" i="136"/>
  <c r="FA24" i="137"/>
  <c r="FA17" i="137"/>
  <c r="FA8" i="137"/>
  <c r="FA23" i="137"/>
  <c r="FA13" i="137"/>
  <c r="FA6" i="137"/>
  <c r="FA22" i="137"/>
  <c r="FA11" i="137"/>
  <c r="FA7" i="137"/>
  <c r="FA21" i="137"/>
  <c r="FA12" i="137"/>
  <c r="FA20" i="137"/>
  <c r="FA10" i="137"/>
  <c r="FA19" i="137"/>
  <c r="FA9" i="137"/>
  <c r="FA18" i="137"/>
  <c r="FA15" i="137"/>
  <c r="FA16" i="137"/>
  <c r="FA14" i="137"/>
  <c r="DF2" i="136"/>
  <c r="DE1" i="136"/>
  <c r="ED2" i="133"/>
  <c r="EC1" i="133"/>
  <c r="EA15" i="132"/>
  <c r="EA18" i="132"/>
  <c r="EA24" i="132"/>
  <c r="EA22" i="132"/>
  <c r="EA21" i="132"/>
  <c r="EA13" i="132"/>
  <c r="EA12" i="132"/>
  <c r="EA8" i="132"/>
  <c r="EA9" i="132"/>
  <c r="EA14" i="132"/>
  <c r="EA16" i="132"/>
  <c r="EA6" i="132"/>
  <c r="EA17" i="132"/>
  <c r="EA11" i="132"/>
  <c r="EA10" i="132"/>
  <c r="EA20" i="132"/>
  <c r="EA19" i="132"/>
  <c r="EA23" i="132"/>
  <c r="EA7" i="132"/>
  <c r="FA24" i="133"/>
  <c r="FA9" i="133"/>
  <c r="FA16" i="133"/>
  <c r="FA20" i="133"/>
  <c r="FA18" i="133"/>
  <c r="FA11" i="133"/>
  <c r="FA23" i="133"/>
  <c r="FA17" i="133"/>
  <c r="FA22" i="133"/>
  <c r="FA15" i="133"/>
  <c r="FA10" i="133"/>
  <c r="FA12" i="133"/>
  <c r="FA6" i="133"/>
  <c r="FA19" i="133"/>
  <c r="FA13" i="133"/>
  <c r="FA14" i="133"/>
  <c r="FA8" i="133"/>
  <c r="FA21" i="133"/>
  <c r="FA7" i="133"/>
  <c r="DF2" i="132"/>
  <c r="DE1" i="132"/>
  <c r="DD18" i="133"/>
  <c r="DD23" i="133"/>
  <c r="DD10" i="133"/>
  <c r="DD14" i="133"/>
  <c r="DD19" i="133"/>
  <c r="DD16" i="133"/>
  <c r="DD24" i="133"/>
  <c r="DD12" i="133"/>
  <c r="DD22" i="133"/>
  <c r="DD17" i="133"/>
  <c r="DD11" i="133"/>
  <c r="DD13" i="133"/>
  <c r="DD7" i="133"/>
  <c r="DD20" i="133"/>
  <c r="DD15" i="133"/>
  <c r="DD6" i="133"/>
  <c r="DD21" i="133"/>
  <c r="FB1" i="133"/>
  <c r="DD8" i="133"/>
  <c r="DD9" i="133"/>
  <c r="EC2" i="132"/>
  <c r="EB1" i="132"/>
  <c r="DF2" i="133"/>
  <c r="DE1" i="133"/>
  <c r="FA18" i="132"/>
  <c r="FA14" i="132"/>
  <c r="FA8" i="132"/>
  <c r="FA15" i="132"/>
  <c r="FA9" i="132"/>
  <c r="FA23" i="132"/>
  <c r="FA16" i="132"/>
  <c r="FA19" i="132"/>
  <c r="FA10" i="132"/>
  <c r="FA24" i="132"/>
  <c r="FA17" i="132"/>
  <c r="FA6" i="132"/>
  <c r="FA12" i="132"/>
  <c r="FA11" i="132"/>
  <c r="FA21" i="132"/>
  <c r="FA7" i="132"/>
  <c r="FA20" i="132"/>
  <c r="FA13" i="132"/>
  <c r="FA22" i="132"/>
  <c r="DD24" i="132"/>
  <c r="DD10" i="132"/>
  <c r="FB1" i="132"/>
  <c r="DD9" i="132"/>
  <c r="DD8" i="132"/>
  <c r="DD6" i="132"/>
  <c r="DD11" i="132"/>
  <c r="DD21" i="132"/>
  <c r="DD19" i="132"/>
  <c r="DD23" i="132"/>
  <c r="DD17" i="132"/>
  <c r="DD14" i="132"/>
  <c r="DD13" i="132"/>
  <c r="DD12" i="132"/>
  <c r="DD16" i="132"/>
  <c r="DD18" i="132"/>
  <c r="DD15" i="132"/>
  <c r="DD7" i="132"/>
  <c r="DD22" i="132"/>
  <c r="DD20" i="132"/>
  <c r="EB21" i="133"/>
  <c r="EB16" i="133"/>
  <c r="EB7" i="133"/>
  <c r="EB12" i="133"/>
  <c r="EB11" i="133"/>
  <c r="EB19" i="133"/>
  <c r="EB6" i="133"/>
  <c r="EB15" i="133"/>
  <c r="EB14" i="133"/>
  <c r="EB10" i="133"/>
  <c r="EB23" i="133"/>
  <c r="EB8" i="133"/>
  <c r="EB24" i="133"/>
  <c r="EB20" i="133"/>
  <c r="EB18" i="133"/>
  <c r="EB17" i="133"/>
  <c r="EB22" i="133"/>
  <c r="EB13" i="133"/>
  <c r="EB9" i="133"/>
  <c r="EX130" i="9"/>
  <c r="EW131" i="9"/>
  <c r="GN129" i="9"/>
  <c r="BU13" i="125" s="1"/>
  <c r="GJ130" i="9"/>
  <c r="IV129" i="9"/>
  <c r="EQ10" i="142" s="1"/>
  <c r="IU130" i="9"/>
  <c r="BL17" i="125"/>
  <c r="BQ2" i="125"/>
  <c r="BR2" i="125" s="1"/>
  <c r="BR1" i="125" s="1"/>
  <c r="BL15" i="125"/>
  <c r="BL21" i="125"/>
  <c r="BL20" i="125"/>
  <c r="BL22" i="125"/>
  <c r="BG10" i="125"/>
  <c r="CI2" i="125"/>
  <c r="CJ2" i="125" s="1"/>
  <c r="BL7" i="125"/>
  <c r="BL13" i="125"/>
  <c r="BL9" i="125"/>
  <c r="BL23" i="125"/>
  <c r="BL12" i="125"/>
  <c r="BL10" i="125"/>
  <c r="BL19" i="125"/>
  <c r="BL16" i="125"/>
  <c r="BL6" i="125"/>
  <c r="BL14" i="125"/>
  <c r="BH6" i="125"/>
  <c r="BG21" i="125"/>
  <c r="BQ21" i="125"/>
  <c r="BL18" i="125"/>
  <c r="BL8" i="125"/>
  <c r="BU7" i="125"/>
  <c r="BQ23" i="125"/>
  <c r="BU6" i="125"/>
  <c r="BH17" i="125"/>
  <c r="BQ18" i="125"/>
  <c r="BU12" i="125"/>
  <c r="BU19" i="125"/>
  <c r="BU23" i="125"/>
  <c r="BQ7" i="125"/>
  <c r="BH11" i="125"/>
  <c r="BH10" i="125"/>
  <c r="BU9" i="125"/>
  <c r="BH16" i="125"/>
  <c r="BU18" i="125"/>
  <c r="BL24" i="125"/>
  <c r="BG22" i="125"/>
  <c r="BQ14" i="125"/>
  <c r="BG7" i="125"/>
  <c r="BQ8" i="125"/>
  <c r="BG16" i="125"/>
  <c r="BL2" i="125"/>
  <c r="BQ11" i="125"/>
  <c r="BH14" i="125"/>
  <c r="BQ19" i="125"/>
  <c r="BU2" i="125"/>
  <c r="BV2" i="125" s="1"/>
  <c r="BV1" i="125" s="1"/>
  <c r="BU8" i="125"/>
  <c r="BG6" i="125"/>
  <c r="BU24" i="125"/>
  <c r="BU11" i="125"/>
  <c r="BU22" i="125"/>
  <c r="BH23" i="125"/>
  <c r="BQ10" i="125"/>
  <c r="BH19" i="125"/>
  <c r="BG15" i="125"/>
  <c r="BQ20" i="125"/>
  <c r="BG19" i="125"/>
  <c r="BQ17" i="125"/>
  <c r="BL11" i="125"/>
  <c r="BG12" i="125"/>
  <c r="BH13" i="125"/>
  <c r="BU17" i="125"/>
  <c r="BG13" i="125"/>
  <c r="BQ13" i="125"/>
  <c r="BQ22" i="125"/>
  <c r="BQ16" i="125"/>
  <c r="BG17" i="125"/>
  <c r="BQ9" i="125"/>
  <c r="BU21" i="125"/>
  <c r="BQ15" i="125"/>
  <c r="BQ6" i="125"/>
  <c r="BG8" i="125"/>
  <c r="BG18" i="125"/>
  <c r="BG14" i="125"/>
  <c r="BU15" i="125"/>
  <c r="BU10" i="125"/>
  <c r="BQ12" i="125"/>
  <c r="BH15" i="125"/>
  <c r="BU14" i="125"/>
  <c r="BG5" i="125"/>
  <c r="BQ24" i="125"/>
  <c r="BG24" i="125"/>
  <c r="BH8" i="125"/>
  <c r="BU20" i="125"/>
  <c r="BH20" i="125"/>
  <c r="BU16" i="125"/>
  <c r="BG9" i="125"/>
  <c r="BG20" i="125"/>
  <c r="BH9" i="125"/>
  <c r="BH7" i="125"/>
  <c r="BH12" i="125"/>
  <c r="BH22" i="125"/>
  <c r="BG23" i="125"/>
  <c r="BH21" i="125"/>
  <c r="BG11" i="125"/>
  <c r="BH18" i="125"/>
  <c r="BH5" i="125"/>
  <c r="BH24" i="125"/>
  <c r="BU27" i="124"/>
  <c r="BU28" i="124"/>
  <c r="Q13" i="124"/>
  <c r="R13" i="124" s="1"/>
  <c r="Q30" i="124" s="1"/>
  <c r="O29" i="124"/>
  <c r="O30" i="124"/>
  <c r="EB18" i="142" l="1"/>
  <c r="EB14" i="142"/>
  <c r="EB11" i="142"/>
  <c r="EB8" i="142"/>
  <c r="EB24" i="142"/>
  <c r="EB22" i="142"/>
  <c r="EB17" i="142"/>
  <c r="EB20" i="142"/>
  <c r="EB15" i="142"/>
  <c r="EB12" i="142"/>
  <c r="EB9" i="142"/>
  <c r="EB7" i="142"/>
  <c r="EB23" i="142"/>
  <c r="EB19" i="142"/>
  <c r="EB16" i="142"/>
  <c r="EB13" i="142"/>
  <c r="EB10" i="142"/>
  <c r="EB6" i="142"/>
  <c r="EB21" i="142"/>
  <c r="EC1" i="142"/>
  <c r="ED2" i="142"/>
  <c r="FB24" i="142"/>
  <c r="FB22" i="142"/>
  <c r="FB19" i="142"/>
  <c r="FB17" i="142"/>
  <c r="FB15" i="142"/>
  <c r="FB13" i="142"/>
  <c r="FB20" i="142"/>
  <c r="FB16" i="142"/>
  <c r="FB14" i="142"/>
  <c r="FB12" i="142"/>
  <c r="FB11" i="142"/>
  <c r="FB10" i="142"/>
  <c r="FB9" i="142"/>
  <c r="FB8" i="142"/>
  <c r="FB7" i="142"/>
  <c r="FB23" i="142"/>
  <c r="FB21" i="142"/>
  <c r="FB18" i="142"/>
  <c r="FB6" i="142"/>
  <c r="DG2" i="142"/>
  <c r="DF1" i="142"/>
  <c r="DE23" i="142"/>
  <c r="DE21" i="142"/>
  <c r="FC1" i="142"/>
  <c r="DE20" i="142"/>
  <c r="DE18" i="142"/>
  <c r="DE17" i="142"/>
  <c r="DE16" i="142"/>
  <c r="DE14" i="142"/>
  <c r="DE12" i="142"/>
  <c r="DE11" i="142"/>
  <c r="DE19" i="142"/>
  <c r="DE15" i="142"/>
  <c r="DE13" i="142"/>
  <c r="DE9" i="142"/>
  <c r="DE8" i="142"/>
  <c r="DE7" i="142"/>
  <c r="DE6" i="142"/>
  <c r="DE22" i="142"/>
  <c r="DE10" i="142"/>
  <c r="DE24" i="142"/>
  <c r="EO10" i="139"/>
  <c r="ED2" i="139"/>
  <c r="EC1" i="139"/>
  <c r="EB16" i="139"/>
  <c r="EB11" i="139"/>
  <c r="EB15" i="139"/>
  <c r="EB17" i="139"/>
  <c r="EB20" i="139"/>
  <c r="EB23" i="139"/>
  <c r="EB24" i="139"/>
  <c r="EB13" i="139"/>
  <c r="EB14" i="139"/>
  <c r="EB8" i="139"/>
  <c r="EB22" i="139"/>
  <c r="EB18" i="139"/>
  <c r="EB6" i="139"/>
  <c r="EB21" i="139"/>
  <c r="EB12" i="139"/>
  <c r="EB7" i="139"/>
  <c r="EB9" i="139"/>
  <c r="EB19" i="139"/>
  <c r="EB10" i="139"/>
  <c r="FB18" i="139"/>
  <c r="FB14" i="139"/>
  <c r="FB17" i="139"/>
  <c r="FB9" i="139"/>
  <c r="FB13" i="139"/>
  <c r="FB16" i="139"/>
  <c r="FB11" i="139"/>
  <c r="FB22" i="139"/>
  <c r="FB15" i="139"/>
  <c r="FB7" i="139"/>
  <c r="FB21" i="139"/>
  <c r="FB20" i="139"/>
  <c r="FB23" i="139"/>
  <c r="FB12" i="139"/>
  <c r="FB19" i="139"/>
  <c r="FB24" i="139"/>
  <c r="FB10" i="139"/>
  <c r="FB6" i="139"/>
  <c r="FB8" i="139"/>
  <c r="DE20" i="139"/>
  <c r="DE8" i="139"/>
  <c r="DE21" i="139"/>
  <c r="DE16" i="139"/>
  <c r="DE23" i="139"/>
  <c r="DE15" i="139"/>
  <c r="DE17" i="139"/>
  <c r="DE13" i="139"/>
  <c r="DE19" i="139"/>
  <c r="DE14" i="139"/>
  <c r="DE18" i="139"/>
  <c r="DE22" i="139"/>
  <c r="DE12" i="139"/>
  <c r="DE6" i="139"/>
  <c r="FC1" i="139"/>
  <c r="DE9" i="139"/>
  <c r="DE24" i="139"/>
  <c r="DE11" i="139"/>
  <c r="DE7" i="139"/>
  <c r="DE10" i="139"/>
  <c r="DG2" i="139"/>
  <c r="DF1" i="139"/>
  <c r="DG2" i="136"/>
  <c r="DF1" i="136"/>
  <c r="FB23" i="136"/>
  <c r="FB6" i="136"/>
  <c r="FB16" i="136"/>
  <c r="FB9" i="136"/>
  <c r="FB21" i="136"/>
  <c r="FB14" i="136"/>
  <c r="FB10" i="136"/>
  <c r="FB20" i="136"/>
  <c r="FB22" i="136"/>
  <c r="FB8" i="136"/>
  <c r="FB19" i="136"/>
  <c r="FB13" i="136"/>
  <c r="FB7" i="136"/>
  <c r="FB24" i="136"/>
  <c r="FB11" i="136"/>
  <c r="FB15" i="136"/>
  <c r="FB12" i="136"/>
  <c r="FB18" i="136"/>
  <c r="FB17" i="136"/>
  <c r="EB21" i="136"/>
  <c r="EB13" i="136"/>
  <c r="EB11" i="136"/>
  <c r="EB24" i="136"/>
  <c r="EB12" i="136"/>
  <c r="EB23" i="136"/>
  <c r="EB7" i="136"/>
  <c r="EB16" i="136"/>
  <c r="EB6" i="136"/>
  <c r="EB19" i="136"/>
  <c r="EB9" i="136"/>
  <c r="EB17" i="136"/>
  <c r="EB10" i="136"/>
  <c r="EB22" i="136"/>
  <c r="EB15" i="136"/>
  <c r="EB8" i="136"/>
  <c r="EB20" i="136"/>
  <c r="EB14" i="136"/>
  <c r="EB18" i="136"/>
  <c r="ED2" i="136"/>
  <c r="EC1" i="136"/>
  <c r="EK10" i="132"/>
  <c r="EL10" i="133"/>
  <c r="EM10" i="136"/>
  <c r="EN10" i="137"/>
  <c r="EC1" i="137"/>
  <c r="ED2" i="137"/>
  <c r="DF1" i="137"/>
  <c r="DG2" i="137"/>
  <c r="FB24" i="137"/>
  <c r="FB14" i="137"/>
  <c r="FB8" i="137"/>
  <c r="FB23" i="137"/>
  <c r="FB13" i="137"/>
  <c r="FB7" i="137"/>
  <c r="FB22" i="137"/>
  <c r="FB11" i="137"/>
  <c r="FB6" i="137"/>
  <c r="FB10" i="137"/>
  <c r="FB20" i="137"/>
  <c r="FB16" i="137"/>
  <c r="FB21" i="137"/>
  <c r="FB12" i="137"/>
  <c r="FB19" i="137"/>
  <c r="FB15" i="137"/>
  <c r="FB18" i="137"/>
  <c r="FB17" i="137"/>
  <c r="FB9" i="137"/>
  <c r="DE11" i="136"/>
  <c r="DE7" i="136"/>
  <c r="DE18" i="136"/>
  <c r="DE12" i="136"/>
  <c r="DE10" i="136"/>
  <c r="DE24" i="136"/>
  <c r="DE23" i="136"/>
  <c r="FC1" i="136"/>
  <c r="DE19" i="136"/>
  <c r="DE16" i="136"/>
  <c r="DE8" i="136"/>
  <c r="DE21" i="136"/>
  <c r="DE15" i="136"/>
  <c r="DE6" i="136"/>
  <c r="DE22" i="136"/>
  <c r="DE14" i="136"/>
  <c r="DE20" i="136"/>
  <c r="DE17" i="136"/>
  <c r="DE13" i="136"/>
  <c r="DE9" i="136"/>
  <c r="EB21" i="137"/>
  <c r="EB12" i="137"/>
  <c r="EB20" i="137"/>
  <c r="EB10" i="137"/>
  <c r="EB14" i="137"/>
  <c r="EB19" i="137"/>
  <c r="EB15" i="137"/>
  <c r="EB17" i="137"/>
  <c r="EB9" i="137"/>
  <c r="EB24" i="137"/>
  <c r="EB13" i="137"/>
  <c r="EB8" i="137"/>
  <c r="EB6" i="137"/>
  <c r="EB23" i="137"/>
  <c r="EB11" i="137"/>
  <c r="EB16" i="137"/>
  <c r="EB22" i="137"/>
  <c r="EB18" i="137"/>
  <c r="EB7" i="137"/>
  <c r="DE21" i="137"/>
  <c r="DE8" i="137"/>
  <c r="DE17" i="137"/>
  <c r="DE7" i="137"/>
  <c r="DE23" i="137"/>
  <c r="DE15" i="137"/>
  <c r="DE9" i="137"/>
  <c r="DE22" i="137"/>
  <c r="DE14" i="137"/>
  <c r="DE6" i="137"/>
  <c r="DE20" i="137"/>
  <c r="DE16" i="137"/>
  <c r="FC1" i="137"/>
  <c r="DE19" i="137"/>
  <c r="DE12" i="137"/>
  <c r="DE11" i="137"/>
  <c r="DE24" i="137"/>
  <c r="DE10" i="137"/>
  <c r="DE18" i="137"/>
  <c r="DE13" i="137"/>
  <c r="FB16" i="133"/>
  <c r="FB18" i="133"/>
  <c r="FB17" i="133"/>
  <c r="FB13" i="133"/>
  <c r="FB6" i="133"/>
  <c r="FB24" i="133"/>
  <c r="FB8" i="133"/>
  <c r="FB7" i="133"/>
  <c r="FB23" i="133"/>
  <c r="FB19" i="133"/>
  <c r="FB21" i="133"/>
  <c r="FB14" i="133"/>
  <c r="FB12" i="133"/>
  <c r="FB22" i="133"/>
  <c r="FB9" i="133"/>
  <c r="FB15" i="133"/>
  <c r="FB20" i="133"/>
  <c r="FB11" i="133"/>
  <c r="FB10" i="133"/>
  <c r="DG2" i="133"/>
  <c r="DF1" i="133"/>
  <c r="FB23" i="132"/>
  <c r="FB12" i="132"/>
  <c r="FB8" i="132"/>
  <c r="FB19" i="132"/>
  <c r="FB10" i="132"/>
  <c r="FB18" i="132"/>
  <c r="FB17" i="132"/>
  <c r="FB22" i="132"/>
  <c r="FB16" i="132"/>
  <c r="FB7" i="132"/>
  <c r="FB24" i="132"/>
  <c r="FB15" i="132"/>
  <c r="FB11" i="132"/>
  <c r="FB20" i="132"/>
  <c r="FB13" i="132"/>
  <c r="FB6" i="132"/>
  <c r="FB21" i="132"/>
  <c r="FB14" i="132"/>
  <c r="FB9" i="132"/>
  <c r="EB20" i="132"/>
  <c r="EB19" i="132"/>
  <c r="EB14" i="132"/>
  <c r="EB7" i="132"/>
  <c r="EB23" i="132"/>
  <c r="EB18" i="132"/>
  <c r="EB9" i="132"/>
  <c r="EB11" i="132"/>
  <c r="EB12" i="132"/>
  <c r="EB10" i="132"/>
  <c r="EB24" i="132"/>
  <c r="EB6" i="132"/>
  <c r="EB13" i="132"/>
  <c r="EB17" i="132"/>
  <c r="EB15" i="132"/>
  <c r="EB8" i="132"/>
  <c r="EB16" i="132"/>
  <c r="EB21" i="132"/>
  <c r="EB22" i="132"/>
  <c r="DE16" i="133"/>
  <c r="DE13" i="133"/>
  <c r="DE6" i="133"/>
  <c r="DE14" i="133"/>
  <c r="DE11" i="133"/>
  <c r="DE19" i="133"/>
  <c r="DE9" i="133"/>
  <c r="DE24" i="133"/>
  <c r="DE20" i="133"/>
  <c r="FC1" i="133"/>
  <c r="DE21" i="133"/>
  <c r="DE8" i="133"/>
  <c r="DE22" i="133"/>
  <c r="DE18" i="133"/>
  <c r="DE15" i="133"/>
  <c r="DE10" i="133"/>
  <c r="DE23" i="133"/>
  <c r="DE17" i="133"/>
  <c r="DE12" i="133"/>
  <c r="DE7" i="133"/>
  <c r="ED2" i="132"/>
  <c r="EC1" i="132"/>
  <c r="DE19" i="132"/>
  <c r="DE9" i="132"/>
  <c r="DE6" i="132"/>
  <c r="DE14" i="132"/>
  <c r="DE21" i="132"/>
  <c r="DE12" i="132"/>
  <c r="DE23" i="132"/>
  <c r="DE16" i="132"/>
  <c r="DE13" i="132"/>
  <c r="DE17" i="132"/>
  <c r="DE15" i="132"/>
  <c r="DE10" i="132"/>
  <c r="DE20" i="132"/>
  <c r="DE7" i="132"/>
  <c r="DE18" i="132"/>
  <c r="DE11" i="132"/>
  <c r="DE22" i="132"/>
  <c r="DE24" i="132"/>
  <c r="FC1" i="132"/>
  <c r="DE8" i="132"/>
  <c r="DG2" i="132"/>
  <c r="DF1" i="132"/>
  <c r="EC18" i="133"/>
  <c r="EC21" i="133"/>
  <c r="EC24" i="133"/>
  <c r="EC11" i="133"/>
  <c r="EC7" i="133"/>
  <c r="EC10" i="133"/>
  <c r="EC17" i="133"/>
  <c r="EC15" i="133"/>
  <c r="EC16" i="133"/>
  <c r="EC22" i="133"/>
  <c r="EC6" i="133"/>
  <c r="EC23" i="133"/>
  <c r="EC12" i="133"/>
  <c r="EC19" i="133"/>
  <c r="EC8" i="133"/>
  <c r="EC14" i="133"/>
  <c r="EC9" i="133"/>
  <c r="EC13" i="133"/>
  <c r="EC20" i="133"/>
  <c r="EE2" i="133"/>
  <c r="ED1" i="133"/>
  <c r="IV130" i="9"/>
  <c r="EP10" i="142" s="1"/>
  <c r="IU131" i="9"/>
  <c r="GN130" i="9"/>
  <c r="GJ131" i="9"/>
  <c r="EW132" i="9"/>
  <c r="EX131" i="9"/>
  <c r="BL13" i="132" s="1"/>
  <c r="O13" i="132" s="1"/>
  <c r="P13" i="132" s="1"/>
  <c r="BG2" i="131"/>
  <c r="CF16" i="131"/>
  <c r="CF19" i="131"/>
  <c r="CJ2" i="131"/>
  <c r="CK2" i="131" s="1"/>
  <c r="CF23" i="131"/>
  <c r="CF21" i="131"/>
  <c r="CF14" i="131"/>
  <c r="CF20" i="131"/>
  <c r="CF15" i="131"/>
  <c r="CF17" i="131"/>
  <c r="CF6" i="131"/>
  <c r="CF24" i="131"/>
  <c r="CF18" i="131"/>
  <c r="CF8" i="131"/>
  <c r="BL2" i="131"/>
  <c r="BM2" i="131" s="1"/>
  <c r="BM1" i="131" s="1"/>
  <c r="CF10" i="131"/>
  <c r="CF7" i="131"/>
  <c r="CF13" i="131"/>
  <c r="CF12" i="131"/>
  <c r="BL7" i="131"/>
  <c r="BL21" i="131"/>
  <c r="BG16" i="131"/>
  <c r="BP14" i="131"/>
  <c r="BP17" i="131"/>
  <c r="BP8" i="131"/>
  <c r="BL6" i="131"/>
  <c r="BG10" i="131"/>
  <c r="BH8" i="131"/>
  <c r="BH10" i="131"/>
  <c r="CF9" i="131"/>
  <c r="BG21" i="131"/>
  <c r="BL20" i="131"/>
  <c r="BP12" i="131"/>
  <c r="BP11" i="131"/>
  <c r="BL17" i="131"/>
  <c r="BH24" i="131"/>
  <c r="BL9" i="131"/>
  <c r="BL18" i="131"/>
  <c r="BP16" i="131"/>
  <c r="BG9" i="131"/>
  <c r="BH13" i="131"/>
  <c r="BH7" i="131"/>
  <c r="BP2" i="131"/>
  <c r="BQ2" i="131" s="1"/>
  <c r="BQ1" i="131" s="1"/>
  <c r="BL13" i="131"/>
  <c r="BH19" i="131"/>
  <c r="BG2" i="125"/>
  <c r="BI2" i="125" s="1"/>
  <c r="BI1" i="125" s="1"/>
  <c r="BG12" i="131"/>
  <c r="BL23" i="131"/>
  <c r="BL10" i="131"/>
  <c r="BH22" i="131"/>
  <c r="BH15" i="131"/>
  <c r="BG20" i="131"/>
  <c r="BL22" i="131"/>
  <c r="CF2" i="131"/>
  <c r="BH17" i="131"/>
  <c r="BH11" i="131"/>
  <c r="BG22" i="131"/>
  <c r="BG11" i="131"/>
  <c r="BG13" i="131"/>
  <c r="BH20" i="131"/>
  <c r="BL11" i="131"/>
  <c r="BG23" i="131"/>
  <c r="BP7" i="131"/>
  <c r="BH5" i="131"/>
  <c r="CF22" i="131"/>
  <c r="BH21" i="131"/>
  <c r="BG7" i="131"/>
  <c r="BH16" i="131"/>
  <c r="BP21" i="131"/>
  <c r="BP23" i="131"/>
  <c r="BG8" i="131"/>
  <c r="BH18" i="131"/>
  <c r="BL14" i="131"/>
  <c r="BG15" i="131"/>
  <c r="BH14" i="131"/>
  <c r="BH12" i="131"/>
  <c r="BL24" i="131"/>
  <c r="BG24" i="131"/>
  <c r="BL15" i="131"/>
  <c r="BL12" i="131"/>
  <c r="BP9" i="131"/>
  <c r="BG18" i="131"/>
  <c r="BH23" i="131"/>
  <c r="BP18" i="131"/>
  <c r="BL8" i="131"/>
  <c r="BP24" i="131"/>
  <c r="BP10" i="131"/>
  <c r="BL19" i="131"/>
  <c r="BH9" i="131"/>
  <c r="BG19" i="131"/>
  <c r="BL16" i="131"/>
  <c r="BG6" i="131"/>
  <c r="BP22" i="131"/>
  <c r="BP15" i="131"/>
  <c r="CF11" i="131"/>
  <c r="BP20" i="131"/>
  <c r="BP13" i="131"/>
  <c r="BG14" i="131"/>
  <c r="BP19" i="131"/>
  <c r="BG17" i="131"/>
  <c r="BH6" i="131"/>
  <c r="E18" i="125"/>
  <c r="E23" i="125"/>
  <c r="E17" i="125"/>
  <c r="E22" i="125"/>
  <c r="E24" i="125"/>
  <c r="E14" i="125"/>
  <c r="E19" i="125"/>
  <c r="BM2" i="125"/>
  <c r="BM1" i="125" s="1"/>
  <c r="BN2" i="125"/>
  <c r="BN1" i="125" s="1"/>
  <c r="E10" i="125"/>
  <c r="E20" i="125"/>
  <c r="E3" i="125"/>
  <c r="E8" i="125"/>
  <c r="E16" i="125"/>
  <c r="E21" i="125"/>
  <c r="E9" i="125"/>
  <c r="BQ27" i="125"/>
  <c r="E13" i="125"/>
  <c r="E15" i="125"/>
  <c r="BU29" i="125"/>
  <c r="BU30" i="125"/>
  <c r="E6" i="125"/>
  <c r="BV21" i="125"/>
  <c r="Q21" i="125" s="1"/>
  <c r="R21" i="125" s="1"/>
  <c r="BV11" i="125"/>
  <c r="Q11" i="125" s="1"/>
  <c r="R11" i="125" s="1"/>
  <c r="BV7" i="125"/>
  <c r="Q7" i="125" s="1"/>
  <c r="R7" i="125" s="1"/>
  <c r="BV17" i="125"/>
  <c r="Q17" i="125" s="1"/>
  <c r="R17" i="125" s="1"/>
  <c r="BV6" i="125"/>
  <c r="BV15" i="125"/>
  <c r="Q15" i="125" s="1"/>
  <c r="R15" i="125" s="1"/>
  <c r="BV14" i="125"/>
  <c r="Q14" i="125" s="1"/>
  <c r="R14" i="125" s="1"/>
  <c r="BV19" i="125"/>
  <c r="Q19" i="125" s="1"/>
  <c r="BV20" i="125"/>
  <c r="Q20" i="125" s="1"/>
  <c r="R20" i="125" s="1"/>
  <c r="BV10" i="125"/>
  <c r="Q10" i="125" s="1"/>
  <c r="R10" i="125" s="1"/>
  <c r="BV23" i="125"/>
  <c r="Q23" i="125" s="1"/>
  <c r="R23" i="125" s="1"/>
  <c r="BV8" i="125"/>
  <c r="Q8" i="125" s="1"/>
  <c r="R8" i="125" s="1"/>
  <c r="BV18" i="125"/>
  <c r="Q18" i="125" s="1"/>
  <c r="R18" i="125" s="1"/>
  <c r="BV12" i="125"/>
  <c r="Q12" i="125" s="1"/>
  <c r="R12" i="125" s="1"/>
  <c r="BV22" i="125"/>
  <c r="Q22" i="125" s="1"/>
  <c r="R22" i="125" s="1"/>
  <c r="BV16" i="125"/>
  <c r="Q16" i="125" s="1"/>
  <c r="R16" i="125" s="1"/>
  <c r="BV24" i="125"/>
  <c r="Q24" i="125" s="1"/>
  <c r="R24" i="125" s="1"/>
  <c r="BV9" i="125"/>
  <c r="Q9" i="125" s="1"/>
  <c r="R9" i="125" s="1"/>
  <c r="BV13" i="125"/>
  <c r="Q13" i="125" s="1"/>
  <c r="R13" i="125" s="1"/>
  <c r="BU27" i="125"/>
  <c r="BU28" i="125"/>
  <c r="BR17" i="125"/>
  <c r="O17" i="125" s="1"/>
  <c r="P17" i="125" s="1"/>
  <c r="BR14" i="125"/>
  <c r="O14" i="125" s="1"/>
  <c r="P14" i="125" s="1"/>
  <c r="BR24" i="125"/>
  <c r="O24" i="125" s="1"/>
  <c r="P24" i="125" s="1"/>
  <c r="BR7" i="125"/>
  <c r="O7" i="125" s="1"/>
  <c r="P7" i="125" s="1"/>
  <c r="BR21" i="125"/>
  <c r="O21" i="125" s="1"/>
  <c r="P21" i="125" s="1"/>
  <c r="BR18" i="125"/>
  <c r="O18" i="125" s="1"/>
  <c r="P18" i="125" s="1"/>
  <c r="BR19" i="125"/>
  <c r="O19" i="125" s="1"/>
  <c r="P19" i="125" s="1"/>
  <c r="BR23" i="125"/>
  <c r="O23" i="125" s="1"/>
  <c r="P23" i="125" s="1"/>
  <c r="BR15" i="125"/>
  <c r="O15" i="125" s="1"/>
  <c r="P15" i="125" s="1"/>
  <c r="BR13" i="125"/>
  <c r="O13" i="125" s="1"/>
  <c r="P13" i="125" s="1"/>
  <c r="BR20" i="125"/>
  <c r="O20" i="125" s="1"/>
  <c r="P20" i="125" s="1"/>
  <c r="BR16" i="125"/>
  <c r="O16" i="125" s="1"/>
  <c r="P16" i="125" s="1"/>
  <c r="BR22" i="125"/>
  <c r="O22" i="125" s="1"/>
  <c r="P22" i="125" s="1"/>
  <c r="BR11" i="125"/>
  <c r="O11" i="125" s="1"/>
  <c r="P11" i="125" s="1"/>
  <c r="BR8" i="125"/>
  <c r="O8" i="125" s="1"/>
  <c r="P8" i="125" s="1"/>
  <c r="BR10" i="125"/>
  <c r="O10" i="125" s="1"/>
  <c r="P10" i="125" s="1"/>
  <c r="BR9" i="125"/>
  <c r="O9" i="125" s="1"/>
  <c r="P9" i="125" s="1"/>
  <c r="BR12" i="125"/>
  <c r="O12" i="125" s="1"/>
  <c r="P12" i="125" s="1"/>
  <c r="BR6" i="125"/>
  <c r="O6" i="125" s="1"/>
  <c r="P6" i="125" s="1"/>
  <c r="E12" i="125"/>
  <c r="CK2" i="125"/>
  <c r="CJ1" i="125"/>
  <c r="E7" i="125"/>
  <c r="E11" i="125"/>
  <c r="Q28" i="124"/>
  <c r="Q29" i="124"/>
  <c r="EC24" i="142" l="1"/>
  <c r="EC23" i="142"/>
  <c r="EC20" i="142"/>
  <c r="EC19" i="142"/>
  <c r="EC17" i="142"/>
  <c r="EC16" i="142"/>
  <c r="EC15" i="142"/>
  <c r="EC14" i="142"/>
  <c r="EC13" i="142"/>
  <c r="EC12" i="142"/>
  <c r="EC11" i="142"/>
  <c r="EC10" i="142"/>
  <c r="EC9" i="142"/>
  <c r="EC8" i="142"/>
  <c r="EC7" i="142"/>
  <c r="EC6" i="142"/>
  <c r="EC22" i="142"/>
  <c r="EC21" i="142"/>
  <c r="EC18" i="142"/>
  <c r="ED1" i="142"/>
  <c r="EE2" i="142"/>
  <c r="DG1" i="142"/>
  <c r="DH2" i="142"/>
  <c r="DH1" i="142" s="1"/>
  <c r="DF22" i="142"/>
  <c r="DF19" i="142"/>
  <c r="DF18" i="142"/>
  <c r="DF20" i="142"/>
  <c r="DF17" i="142"/>
  <c r="DF16" i="142"/>
  <c r="DF15" i="142"/>
  <c r="DF14" i="142"/>
  <c r="DF10" i="142"/>
  <c r="DF13" i="142"/>
  <c r="DF12" i="142"/>
  <c r="DF11" i="142"/>
  <c r="DF9" i="142"/>
  <c r="DF8" i="142"/>
  <c r="DF7" i="142"/>
  <c r="DF6" i="142"/>
  <c r="DF24" i="142"/>
  <c r="DF23" i="142"/>
  <c r="DF21" i="142"/>
  <c r="FD1" i="142"/>
  <c r="FC20" i="142"/>
  <c r="FC16" i="142"/>
  <c r="FC15" i="142"/>
  <c r="FC14" i="142"/>
  <c r="FC13" i="142"/>
  <c r="FC12" i="142"/>
  <c r="FC11" i="142"/>
  <c r="FC10" i="142"/>
  <c r="FC9" i="142"/>
  <c r="FC8" i="142"/>
  <c r="FC7" i="142"/>
  <c r="FC24" i="142"/>
  <c r="FC23" i="142"/>
  <c r="FC22" i="142"/>
  <c r="FC21" i="142"/>
  <c r="FC19" i="142"/>
  <c r="FC18" i="142"/>
  <c r="FC17" i="142"/>
  <c r="FC6" i="142"/>
  <c r="EN10" i="139"/>
  <c r="FC24" i="139"/>
  <c r="FC13" i="139"/>
  <c r="FC7" i="139"/>
  <c r="FC21" i="139"/>
  <c r="FC19" i="139"/>
  <c r="FC15" i="139"/>
  <c r="FC6" i="139"/>
  <c r="FC22" i="139"/>
  <c r="FC11" i="139"/>
  <c r="FC23" i="139"/>
  <c r="FC20" i="139"/>
  <c r="FC10" i="139"/>
  <c r="FC14" i="139"/>
  <c r="FC18" i="139"/>
  <c r="FC8" i="139"/>
  <c r="FC16" i="139"/>
  <c r="FC17" i="139"/>
  <c r="FC12" i="139"/>
  <c r="FC9" i="139"/>
  <c r="DF17" i="139"/>
  <c r="DF11" i="139"/>
  <c r="DF14" i="139"/>
  <c r="DF20" i="139"/>
  <c r="DF10" i="139"/>
  <c r="DF22" i="139"/>
  <c r="DF9" i="139"/>
  <c r="DF13" i="139"/>
  <c r="DF8" i="139"/>
  <c r="FD1" i="139"/>
  <c r="DF15" i="139"/>
  <c r="DF21" i="139"/>
  <c r="DF24" i="139"/>
  <c r="DF18" i="139"/>
  <c r="DF7" i="139"/>
  <c r="DF19" i="139"/>
  <c r="DF23" i="139"/>
  <c r="DF16" i="139"/>
  <c r="DF6" i="139"/>
  <c r="DF12" i="139"/>
  <c r="DH2" i="139"/>
  <c r="DH1" i="139" s="1"/>
  <c r="DG1" i="139"/>
  <c r="EC21" i="139"/>
  <c r="EC9" i="139"/>
  <c r="EC19" i="139"/>
  <c r="EC8" i="139"/>
  <c r="EC18" i="139"/>
  <c r="EC15" i="139"/>
  <c r="EC22" i="139"/>
  <c r="EC14" i="139"/>
  <c r="EC16" i="139"/>
  <c r="EC11" i="139"/>
  <c r="EC10" i="139"/>
  <c r="EC17" i="139"/>
  <c r="EC13" i="139"/>
  <c r="EC23" i="139"/>
  <c r="EC12" i="139"/>
  <c r="EC20" i="139"/>
  <c r="EC24" i="139"/>
  <c r="EC7" i="139"/>
  <c r="EC6" i="139"/>
  <c r="ED1" i="139"/>
  <c r="EE2" i="139"/>
  <c r="ED1" i="137"/>
  <c r="EE2" i="137"/>
  <c r="EC20" i="137"/>
  <c r="EC11" i="137"/>
  <c r="EC21" i="137"/>
  <c r="EC12" i="137"/>
  <c r="EC19" i="137"/>
  <c r="EC10" i="137"/>
  <c r="EC14" i="137"/>
  <c r="EC17" i="137"/>
  <c r="EC13" i="137"/>
  <c r="EC15" i="137"/>
  <c r="EC8" i="137"/>
  <c r="EC24" i="137"/>
  <c r="EC9" i="137"/>
  <c r="EC23" i="137"/>
  <c r="EC18" i="137"/>
  <c r="EC7" i="137"/>
  <c r="EC22" i="137"/>
  <c r="EC16" i="137"/>
  <c r="EC6" i="137"/>
  <c r="EJ10" i="132"/>
  <c r="EK10" i="133"/>
  <c r="EL10" i="136"/>
  <c r="EM10" i="137"/>
  <c r="FC18" i="136"/>
  <c r="FC12" i="136"/>
  <c r="FC20" i="136"/>
  <c r="FC17" i="136"/>
  <c r="FC23" i="136"/>
  <c r="FC9" i="136"/>
  <c r="FC16" i="136"/>
  <c r="FC10" i="136"/>
  <c r="FC22" i="136"/>
  <c r="FC14" i="136"/>
  <c r="FC24" i="136"/>
  <c r="FC13" i="136"/>
  <c r="FC6" i="136"/>
  <c r="FC21" i="136"/>
  <c r="FC11" i="136"/>
  <c r="FC8" i="136"/>
  <c r="FC19" i="136"/>
  <c r="FC15" i="136"/>
  <c r="FC7" i="136"/>
  <c r="O28" i="132"/>
  <c r="O30" i="132"/>
  <c r="O29" i="132"/>
  <c r="DG1" i="137"/>
  <c r="DH2" i="137"/>
  <c r="DH1" i="137" s="1"/>
  <c r="EC22" i="136"/>
  <c r="EC12" i="136"/>
  <c r="EC17" i="136"/>
  <c r="EC6" i="136"/>
  <c r="EC15" i="136"/>
  <c r="EC9" i="136"/>
  <c r="EC21" i="136"/>
  <c r="EC14" i="136"/>
  <c r="EC8" i="136"/>
  <c r="EC20" i="136"/>
  <c r="EC13" i="136"/>
  <c r="EC7" i="136"/>
  <c r="EC19" i="136"/>
  <c r="EC11" i="136"/>
  <c r="EC10" i="136"/>
  <c r="EC24" i="136"/>
  <c r="EC16" i="136"/>
  <c r="EC23" i="136"/>
  <c r="EC18" i="136"/>
  <c r="DF12" i="136"/>
  <c r="DF11" i="136"/>
  <c r="DF24" i="136"/>
  <c r="DF16" i="136"/>
  <c r="DF23" i="136"/>
  <c r="DF17" i="136"/>
  <c r="DF15" i="136"/>
  <c r="DF13" i="136"/>
  <c r="DF19" i="136"/>
  <c r="DF14" i="136"/>
  <c r="DF6" i="136"/>
  <c r="DF22" i="136"/>
  <c r="DF10" i="136"/>
  <c r="DF9" i="136"/>
  <c r="DF20" i="136"/>
  <c r="DF8" i="136"/>
  <c r="DF21" i="136"/>
  <c r="DF7" i="136"/>
  <c r="DF18" i="136"/>
  <c r="FD1" i="136"/>
  <c r="EX132" i="9"/>
  <c r="BL13" i="133" s="1"/>
  <c r="O13" i="133" s="1"/>
  <c r="P13" i="133" s="1"/>
  <c r="EW133" i="9"/>
  <c r="FC23" i="137"/>
  <c r="FC14" i="137"/>
  <c r="FC7" i="137"/>
  <c r="FC22" i="137"/>
  <c r="FC16" i="137"/>
  <c r="FC13" i="137"/>
  <c r="FC20" i="137"/>
  <c r="FC12" i="137"/>
  <c r="FC6" i="137"/>
  <c r="FC19" i="137"/>
  <c r="FC10" i="137"/>
  <c r="FC24" i="137"/>
  <c r="FC15" i="137"/>
  <c r="FC21" i="137"/>
  <c r="FC9" i="137"/>
  <c r="FC18" i="137"/>
  <c r="FC8" i="137"/>
  <c r="FC17" i="137"/>
  <c r="FC11" i="137"/>
  <c r="DF19" i="137"/>
  <c r="DF12" i="137"/>
  <c r="DF15" i="137"/>
  <c r="DF7" i="137"/>
  <c r="DF24" i="137"/>
  <c r="DF14" i="137"/>
  <c r="DF10" i="137"/>
  <c r="FD1" i="137"/>
  <c r="DF22" i="137"/>
  <c r="DF8" i="137"/>
  <c r="DF23" i="137"/>
  <c r="DF16" i="137"/>
  <c r="DF6" i="137"/>
  <c r="DF9" i="137"/>
  <c r="DF18" i="137"/>
  <c r="DF13" i="137"/>
  <c r="DF20" i="137"/>
  <c r="DF17" i="137"/>
  <c r="DF21" i="137"/>
  <c r="DF11" i="137"/>
  <c r="ED1" i="136"/>
  <c r="EE2" i="136"/>
  <c r="DH2" i="136"/>
  <c r="DH1" i="136" s="1"/>
  <c r="DG1" i="136"/>
  <c r="FC22" i="133"/>
  <c r="FC14" i="133"/>
  <c r="FC7" i="133"/>
  <c r="FC18" i="133"/>
  <c r="FC24" i="133"/>
  <c r="FC12" i="133"/>
  <c r="FC19" i="133"/>
  <c r="FC9" i="133"/>
  <c r="FC6" i="133"/>
  <c r="FC16" i="133"/>
  <c r="FC8" i="133"/>
  <c r="FC15" i="133"/>
  <c r="FC21" i="133"/>
  <c r="FC17" i="133"/>
  <c r="FC23" i="133"/>
  <c r="FC13" i="133"/>
  <c r="FC20" i="133"/>
  <c r="FC11" i="133"/>
  <c r="FC10" i="133"/>
  <c r="DF21" i="133"/>
  <c r="DF12" i="133"/>
  <c r="DF7" i="133"/>
  <c r="DF13" i="133"/>
  <c r="DF15" i="133"/>
  <c r="DF18" i="133"/>
  <c r="FD1" i="133"/>
  <c r="DF24" i="133"/>
  <c r="DF17" i="133"/>
  <c r="DF6" i="133"/>
  <c r="DF22" i="133"/>
  <c r="DF20" i="133"/>
  <c r="DF8" i="133"/>
  <c r="DF23" i="133"/>
  <c r="DF10" i="133"/>
  <c r="DF16" i="133"/>
  <c r="DF9" i="133"/>
  <c r="DF19" i="133"/>
  <c r="DF11" i="133"/>
  <c r="DF14" i="133"/>
  <c r="EE2" i="132"/>
  <c r="ED1" i="132"/>
  <c r="ED16" i="133"/>
  <c r="ED13" i="133"/>
  <c r="ED23" i="133"/>
  <c r="ED7" i="133"/>
  <c r="ED14" i="133"/>
  <c r="ED8" i="133"/>
  <c r="ED19" i="133"/>
  <c r="ED21" i="133"/>
  <c r="ED15" i="133"/>
  <c r="ED22" i="133"/>
  <c r="ED17" i="133"/>
  <c r="ED18" i="133"/>
  <c r="ED20" i="133"/>
  <c r="ED6" i="133"/>
  <c r="ED24" i="133"/>
  <c r="ED9" i="133"/>
  <c r="ED11" i="133"/>
  <c r="ED12" i="133"/>
  <c r="ED10" i="133"/>
  <c r="FC15" i="132"/>
  <c r="FC14" i="132"/>
  <c r="FC13" i="132"/>
  <c r="FC22" i="132"/>
  <c r="FC23" i="132"/>
  <c r="FC11" i="132"/>
  <c r="FC20" i="132"/>
  <c r="FC19" i="132"/>
  <c r="FC16" i="132"/>
  <c r="FC8" i="132"/>
  <c r="FC21" i="132"/>
  <c r="FC18" i="132"/>
  <c r="FC10" i="132"/>
  <c r="FC17" i="132"/>
  <c r="FC6" i="132"/>
  <c r="FC12" i="132"/>
  <c r="FC7" i="132"/>
  <c r="FC24" i="132"/>
  <c r="FC9" i="132"/>
  <c r="DH2" i="133"/>
  <c r="DH1" i="133" s="1"/>
  <c r="DG1" i="133"/>
  <c r="DH2" i="132"/>
  <c r="DH1" i="132" s="1"/>
  <c r="DG1" i="132"/>
  <c r="EF2" i="133"/>
  <c r="EE1" i="133"/>
  <c r="DF22" i="132"/>
  <c r="DF12" i="132"/>
  <c r="DF7" i="132"/>
  <c r="DF24" i="132"/>
  <c r="DF6" i="132"/>
  <c r="DF19" i="132"/>
  <c r="DF9" i="132"/>
  <c r="DF15" i="132"/>
  <c r="DF23" i="132"/>
  <c r="DF17" i="132"/>
  <c r="DF14" i="132"/>
  <c r="DF20" i="132"/>
  <c r="DF10" i="132"/>
  <c r="DF16" i="132"/>
  <c r="DF18" i="132"/>
  <c r="DF8" i="132"/>
  <c r="FD1" i="132"/>
  <c r="DF13" i="132"/>
  <c r="DF11" i="132"/>
  <c r="DF21" i="132"/>
  <c r="EC15" i="132"/>
  <c r="EC9" i="132"/>
  <c r="EC13" i="132"/>
  <c r="EC24" i="132"/>
  <c r="EC11" i="132"/>
  <c r="EC17" i="132"/>
  <c r="EC10" i="132"/>
  <c r="EC14" i="132"/>
  <c r="EC8" i="132"/>
  <c r="EC18" i="132"/>
  <c r="EC20" i="132"/>
  <c r="EC6" i="132"/>
  <c r="EC19" i="132"/>
  <c r="EC21" i="132"/>
  <c r="EC23" i="132"/>
  <c r="EC16" i="132"/>
  <c r="EC7" i="132"/>
  <c r="EC22" i="132"/>
  <c r="EC12" i="132"/>
  <c r="GJ132" i="9"/>
  <c r="GN131" i="9"/>
  <c r="BP13" i="132" s="1"/>
  <c r="Q13" i="132" s="1"/>
  <c r="R13" i="132" s="1"/>
  <c r="IU132" i="9"/>
  <c r="IV131" i="9"/>
  <c r="EO10" i="142" s="1"/>
  <c r="E7" i="131"/>
  <c r="E3" i="131"/>
  <c r="E13" i="131"/>
  <c r="E11" i="131"/>
  <c r="E18" i="131"/>
  <c r="E22" i="131"/>
  <c r="E19" i="131"/>
  <c r="E8" i="131"/>
  <c r="E20" i="131"/>
  <c r="E14" i="131"/>
  <c r="E15" i="131"/>
  <c r="E24" i="131"/>
  <c r="BH2" i="125"/>
  <c r="E12" i="131"/>
  <c r="E16" i="131"/>
  <c r="E6" i="131"/>
  <c r="CH2" i="131"/>
  <c r="CH1" i="131" s="1"/>
  <c r="CG2" i="131"/>
  <c r="CG1" i="131" s="1"/>
  <c r="BQ13" i="131"/>
  <c r="Q13" i="131" s="1"/>
  <c r="R13" i="131" s="1"/>
  <c r="BQ15" i="131"/>
  <c r="Q15" i="131" s="1"/>
  <c r="R15" i="131" s="1"/>
  <c r="BQ12" i="131"/>
  <c r="Q12" i="131" s="1"/>
  <c r="R12" i="131" s="1"/>
  <c r="BQ24" i="131"/>
  <c r="Q24" i="131" s="1"/>
  <c r="R24" i="131" s="1"/>
  <c r="BQ14" i="131"/>
  <c r="Q14" i="131" s="1"/>
  <c r="R14" i="131" s="1"/>
  <c r="BQ23" i="131"/>
  <c r="Q23" i="131" s="1"/>
  <c r="R23" i="131" s="1"/>
  <c r="BQ11" i="131"/>
  <c r="Q11" i="131" s="1"/>
  <c r="R11" i="131" s="1"/>
  <c r="BQ22" i="131"/>
  <c r="Q22" i="131" s="1"/>
  <c r="R22" i="131" s="1"/>
  <c r="BQ10" i="131"/>
  <c r="Q10" i="131" s="1"/>
  <c r="R10" i="131" s="1"/>
  <c r="BQ17" i="131"/>
  <c r="Q17" i="131" s="1"/>
  <c r="R17" i="131" s="1"/>
  <c r="BQ9" i="131"/>
  <c r="Q9" i="131" s="1"/>
  <c r="R9" i="131" s="1"/>
  <c r="BQ20" i="131"/>
  <c r="BQ6" i="131"/>
  <c r="BQ21" i="131"/>
  <c r="Q21" i="131" s="1"/>
  <c r="R21" i="131" s="1"/>
  <c r="BQ18" i="131"/>
  <c r="Q18" i="131" s="1"/>
  <c r="R18" i="131" s="1"/>
  <c r="BQ16" i="131"/>
  <c r="Q16" i="131" s="1"/>
  <c r="R16" i="131" s="1"/>
  <c r="BQ19" i="131"/>
  <c r="Q19" i="131" s="1"/>
  <c r="BQ8" i="131"/>
  <c r="Q8" i="131" s="1"/>
  <c r="R8" i="131" s="1"/>
  <c r="BQ7" i="131"/>
  <c r="Q7" i="131" s="1"/>
  <c r="R7" i="131" s="1"/>
  <c r="E21" i="131"/>
  <c r="E17" i="131"/>
  <c r="E9" i="131"/>
  <c r="CL2" i="131"/>
  <c r="CK1" i="131"/>
  <c r="E23" i="131"/>
  <c r="E10" i="131"/>
  <c r="BM21" i="131"/>
  <c r="O21" i="131" s="1"/>
  <c r="P21" i="131" s="1"/>
  <c r="BM7" i="131"/>
  <c r="O7" i="131" s="1"/>
  <c r="P7" i="131" s="1"/>
  <c r="BM20" i="131"/>
  <c r="O20" i="131" s="1"/>
  <c r="P20" i="131" s="1"/>
  <c r="BM6" i="131"/>
  <c r="BM14" i="131"/>
  <c r="O14" i="131" s="1"/>
  <c r="P14" i="131" s="1"/>
  <c r="BM16" i="131"/>
  <c r="O16" i="131" s="1"/>
  <c r="P16" i="131" s="1"/>
  <c r="BM15" i="131"/>
  <c r="O15" i="131" s="1"/>
  <c r="P15" i="131" s="1"/>
  <c r="BM9" i="131"/>
  <c r="O9" i="131" s="1"/>
  <c r="P9" i="131" s="1"/>
  <c r="BM8" i="131"/>
  <c r="O8" i="131" s="1"/>
  <c r="P8" i="131" s="1"/>
  <c r="BM23" i="131"/>
  <c r="O23" i="131" s="1"/>
  <c r="P23" i="131" s="1"/>
  <c r="BM13" i="131"/>
  <c r="O13" i="131" s="1"/>
  <c r="P13" i="131" s="1"/>
  <c r="BM22" i="131"/>
  <c r="O22" i="131" s="1"/>
  <c r="P22" i="131" s="1"/>
  <c r="BM18" i="131"/>
  <c r="O18" i="131" s="1"/>
  <c r="P18" i="131" s="1"/>
  <c r="BM12" i="131"/>
  <c r="O12" i="131" s="1"/>
  <c r="P12" i="131" s="1"/>
  <c r="BM10" i="131"/>
  <c r="O10" i="131" s="1"/>
  <c r="P10" i="131" s="1"/>
  <c r="BM24" i="131"/>
  <c r="O24" i="131" s="1"/>
  <c r="P24" i="131" s="1"/>
  <c r="BM19" i="131"/>
  <c r="O19" i="131" s="1"/>
  <c r="P19" i="131" s="1"/>
  <c r="BM11" i="131"/>
  <c r="O11" i="131" s="1"/>
  <c r="P11" i="131" s="1"/>
  <c r="BM17" i="131"/>
  <c r="O17" i="131" s="1"/>
  <c r="P17" i="131" s="1"/>
  <c r="BI2" i="131"/>
  <c r="BI1" i="131" s="1"/>
  <c r="BH2" i="131"/>
  <c r="F19" i="125"/>
  <c r="F11" i="125"/>
  <c r="F6" i="125"/>
  <c r="F21" i="125"/>
  <c r="BU26" i="125"/>
  <c r="F24" i="125"/>
  <c r="F12" i="125"/>
  <c r="BR27" i="125"/>
  <c r="F16" i="125"/>
  <c r="BI23" i="125"/>
  <c r="I23" i="125" s="1"/>
  <c r="BI18" i="125"/>
  <c r="I18" i="125" s="1"/>
  <c r="BI7" i="125"/>
  <c r="I7" i="125" s="1"/>
  <c r="BI20" i="125"/>
  <c r="I20" i="125" s="1"/>
  <c r="BI11" i="125"/>
  <c r="I11" i="125" s="1"/>
  <c r="BI17" i="125"/>
  <c r="I17" i="125" s="1"/>
  <c r="BI12" i="125"/>
  <c r="I12" i="125" s="1"/>
  <c r="BI15" i="125"/>
  <c r="I15" i="125" s="1"/>
  <c r="BI19" i="125"/>
  <c r="I19" i="125" s="1"/>
  <c r="BI8" i="125"/>
  <c r="I8" i="125" s="1"/>
  <c r="BI24" i="125"/>
  <c r="I24" i="125" s="1"/>
  <c r="BI22" i="125"/>
  <c r="I22" i="125" s="1"/>
  <c r="BI13" i="125"/>
  <c r="I13" i="125" s="1"/>
  <c r="BI16" i="125"/>
  <c r="I16" i="125" s="1"/>
  <c r="BI10" i="125"/>
  <c r="I10" i="125" s="1"/>
  <c r="BI21" i="125"/>
  <c r="I21" i="125" s="1"/>
  <c r="BI5" i="125"/>
  <c r="I3" i="125" s="1"/>
  <c r="BI14" i="125"/>
  <c r="I14" i="125" s="1"/>
  <c r="BI6" i="125"/>
  <c r="I6" i="125" s="1"/>
  <c r="BI9" i="125"/>
  <c r="I9" i="125" s="1"/>
  <c r="F9" i="125"/>
  <c r="F20" i="125"/>
  <c r="F22" i="125"/>
  <c r="BV27" i="125"/>
  <c r="F15" i="125"/>
  <c r="F18" i="125"/>
  <c r="F17" i="125"/>
  <c r="O30" i="125"/>
  <c r="O29" i="125"/>
  <c r="O28" i="125"/>
  <c r="CJ11" i="125"/>
  <c r="CJ15" i="125"/>
  <c r="CJ12" i="125"/>
  <c r="CJ7" i="125"/>
  <c r="CJ19" i="125"/>
  <c r="CJ23" i="125"/>
  <c r="CJ8" i="125"/>
  <c r="DI1" i="125"/>
  <c r="CJ21" i="125"/>
  <c r="EH1" i="125"/>
  <c r="CJ17" i="125"/>
  <c r="CJ9" i="125"/>
  <c r="CJ22" i="125"/>
  <c r="CJ14" i="125"/>
  <c r="CJ10" i="125"/>
  <c r="CJ16" i="125"/>
  <c r="CJ24" i="125"/>
  <c r="CJ20" i="125"/>
  <c r="CJ6" i="125"/>
  <c r="CJ13" i="125"/>
  <c r="CJ18" i="125"/>
  <c r="BN12" i="125"/>
  <c r="K12" i="125" s="1"/>
  <c r="BN16" i="125"/>
  <c r="K16" i="125" s="1"/>
  <c r="BN8" i="125"/>
  <c r="K8" i="125" s="1"/>
  <c r="BN20" i="125"/>
  <c r="K20" i="125" s="1"/>
  <c r="BN15" i="125"/>
  <c r="K15" i="125" s="1"/>
  <c r="BN13" i="125"/>
  <c r="K13" i="125" s="1"/>
  <c r="BN24" i="125"/>
  <c r="K24" i="125" s="1"/>
  <c r="BN14" i="125"/>
  <c r="K14" i="125" s="1"/>
  <c r="BN17" i="125"/>
  <c r="K17" i="125" s="1"/>
  <c r="BN23" i="125"/>
  <c r="K23" i="125" s="1"/>
  <c r="BN7" i="125"/>
  <c r="K7" i="125" s="1"/>
  <c r="BN11" i="125"/>
  <c r="K11" i="125" s="1"/>
  <c r="BN22" i="125"/>
  <c r="K22" i="125" s="1"/>
  <c r="BN21" i="125"/>
  <c r="K21" i="125" s="1"/>
  <c r="BN18" i="125"/>
  <c r="K18" i="125" s="1"/>
  <c r="BN19" i="125"/>
  <c r="K19" i="125" s="1"/>
  <c r="BN10" i="125"/>
  <c r="K10" i="125" s="1"/>
  <c r="BN6" i="125"/>
  <c r="K6" i="125" s="1"/>
  <c r="BN9" i="125"/>
  <c r="K9" i="125" s="1"/>
  <c r="F23" i="125"/>
  <c r="F14" i="125"/>
  <c r="F7" i="125"/>
  <c r="CL2" i="125"/>
  <c r="CK1" i="125"/>
  <c r="Q6" i="125"/>
  <c r="R6" i="125" s="1"/>
  <c r="F13" i="125"/>
  <c r="F8" i="125"/>
  <c r="F10" i="125"/>
  <c r="BM24" i="125"/>
  <c r="G24" i="125" s="1"/>
  <c r="H24" i="125" s="1"/>
  <c r="BM19" i="125"/>
  <c r="G19" i="125" s="1"/>
  <c r="H19" i="125" s="1"/>
  <c r="BM15" i="125"/>
  <c r="G15" i="125" s="1"/>
  <c r="H15" i="125" s="1"/>
  <c r="BM16" i="125"/>
  <c r="G16" i="125" s="1"/>
  <c r="H16" i="125" s="1"/>
  <c r="BM23" i="125"/>
  <c r="G23" i="125" s="1"/>
  <c r="H23" i="125" s="1"/>
  <c r="BM6" i="125"/>
  <c r="G6" i="125" s="1"/>
  <c r="H6" i="125" s="1"/>
  <c r="BM14" i="125"/>
  <c r="G14" i="125" s="1"/>
  <c r="H14" i="125" s="1"/>
  <c r="BM17" i="125"/>
  <c r="G17" i="125" s="1"/>
  <c r="H17" i="125" s="1"/>
  <c r="BM9" i="125"/>
  <c r="G9" i="125" s="1"/>
  <c r="H9" i="125" s="1"/>
  <c r="BM7" i="125"/>
  <c r="G7" i="125" s="1"/>
  <c r="H7" i="125" s="1"/>
  <c r="BM21" i="125"/>
  <c r="G21" i="125" s="1"/>
  <c r="H21" i="125" s="1"/>
  <c r="BM8" i="125"/>
  <c r="G8" i="125" s="1"/>
  <c r="H8" i="125" s="1"/>
  <c r="BM13" i="125"/>
  <c r="G13" i="125" s="1"/>
  <c r="H13" i="125" s="1"/>
  <c r="BM10" i="125"/>
  <c r="G10" i="125" s="1"/>
  <c r="H10" i="125" s="1"/>
  <c r="BM12" i="125"/>
  <c r="G12" i="125" s="1"/>
  <c r="H12" i="125" s="1"/>
  <c r="BM20" i="125"/>
  <c r="G20" i="125" s="1"/>
  <c r="H20" i="125" s="1"/>
  <c r="BM11" i="125"/>
  <c r="G11" i="125" s="1"/>
  <c r="H11" i="125" s="1"/>
  <c r="BM18" i="125"/>
  <c r="G18" i="125" s="1"/>
  <c r="H18" i="125" s="1"/>
  <c r="BM22" i="125"/>
  <c r="G22" i="125" s="1"/>
  <c r="H22" i="125" s="1"/>
  <c r="ED20" i="142" l="1"/>
  <c r="ED18" i="142"/>
  <c r="ED16" i="142"/>
  <c r="ED15" i="142"/>
  <c r="ED14" i="142"/>
  <c r="ED13" i="142"/>
  <c r="ED12" i="142"/>
  <c r="ED11" i="142"/>
  <c r="ED10" i="142"/>
  <c r="ED9" i="142"/>
  <c r="ED8" i="142"/>
  <c r="ED7" i="142"/>
  <c r="ED6" i="142"/>
  <c r="ED24" i="142"/>
  <c r="ED23" i="142"/>
  <c r="ED21" i="142"/>
  <c r="ED19" i="142"/>
  <c r="ED22" i="142"/>
  <c r="ED17" i="142"/>
  <c r="EE1" i="142"/>
  <c r="EF2" i="142"/>
  <c r="DG20" i="142"/>
  <c r="DG10" i="142"/>
  <c r="DG17" i="142"/>
  <c r="DG16" i="142"/>
  <c r="DG15" i="142"/>
  <c r="DG14" i="142"/>
  <c r="DG13" i="142"/>
  <c r="DG12" i="142"/>
  <c r="DG11" i="142"/>
  <c r="DG9" i="142"/>
  <c r="DG8" i="142"/>
  <c r="DG7" i="142"/>
  <c r="DG6" i="142"/>
  <c r="DG23" i="142"/>
  <c r="DG22" i="142"/>
  <c r="DG21" i="142"/>
  <c r="DG19" i="142"/>
  <c r="DG18" i="142"/>
  <c r="DG24" i="142"/>
  <c r="FE1" i="142"/>
  <c r="U3" i="142"/>
  <c r="DH13" i="142"/>
  <c r="DH12" i="142"/>
  <c r="DH11" i="142"/>
  <c r="DH9" i="142"/>
  <c r="DH8" i="142"/>
  <c r="DH7" i="142"/>
  <c r="DH6" i="142"/>
  <c r="DH24" i="142"/>
  <c r="DH10" i="142"/>
  <c r="FF1" i="142"/>
  <c r="DH23" i="142"/>
  <c r="DH22" i="142"/>
  <c r="DH21" i="142"/>
  <c r="DH20" i="142"/>
  <c r="DH19" i="142"/>
  <c r="DH18" i="142"/>
  <c r="DH17" i="142"/>
  <c r="DH16" i="142"/>
  <c r="DH15" i="142"/>
  <c r="DH14" i="142"/>
  <c r="FD24" i="142"/>
  <c r="FD22" i="142"/>
  <c r="FD20" i="142"/>
  <c r="FD19" i="142"/>
  <c r="FD17" i="142"/>
  <c r="FD6" i="142"/>
  <c r="FD16" i="142"/>
  <c r="FD15" i="142"/>
  <c r="FD14" i="142"/>
  <c r="FD13" i="142"/>
  <c r="FD12" i="142"/>
  <c r="FD11" i="142"/>
  <c r="FD10" i="142"/>
  <c r="FD9" i="142"/>
  <c r="FD8" i="142"/>
  <c r="FD7" i="142"/>
  <c r="FD23" i="142"/>
  <c r="FD21" i="142"/>
  <c r="FD18" i="142"/>
  <c r="EM10" i="139"/>
  <c r="DH16" i="139"/>
  <c r="DH12" i="139"/>
  <c r="DH17" i="139"/>
  <c r="DH14" i="139"/>
  <c r="DH7" i="139"/>
  <c r="DH20" i="139"/>
  <c r="DH23" i="139"/>
  <c r="DH11" i="139"/>
  <c r="DH24" i="139"/>
  <c r="DH6" i="139"/>
  <c r="DH22" i="139"/>
  <c r="DH15" i="139"/>
  <c r="FF1" i="139"/>
  <c r="DH19" i="139"/>
  <c r="DH9" i="139"/>
  <c r="DH21" i="139"/>
  <c r="DH13" i="139"/>
  <c r="DH10" i="139"/>
  <c r="DH18" i="139"/>
  <c r="DH8" i="139"/>
  <c r="U3" i="139"/>
  <c r="EF2" i="139"/>
  <c r="EE1" i="139"/>
  <c r="ED18" i="139"/>
  <c r="ED12" i="139"/>
  <c r="ED15" i="139"/>
  <c r="ED11" i="139"/>
  <c r="ED6" i="139"/>
  <c r="ED13" i="139"/>
  <c r="ED10" i="139"/>
  <c r="ED17" i="139"/>
  <c r="ED9" i="139"/>
  <c r="ED14" i="139"/>
  <c r="ED16" i="139"/>
  <c r="ED24" i="139"/>
  <c r="ED21" i="139"/>
  <c r="ED8" i="139"/>
  <c r="ED20" i="139"/>
  <c r="ED22" i="139"/>
  <c r="ED19" i="139"/>
  <c r="ED7" i="139"/>
  <c r="ED23" i="139"/>
  <c r="FD23" i="139"/>
  <c r="FD13" i="139"/>
  <c r="FD7" i="139"/>
  <c r="FD16" i="139"/>
  <c r="FD20" i="139"/>
  <c r="FD21" i="139"/>
  <c r="FD6" i="139"/>
  <c r="FD24" i="139"/>
  <c r="FD19" i="139"/>
  <c r="FD11" i="139"/>
  <c r="FD8" i="139"/>
  <c r="FD15" i="139"/>
  <c r="FD18" i="139"/>
  <c r="FD10" i="139"/>
  <c r="FD17" i="139"/>
  <c r="FD14" i="139"/>
  <c r="FD12" i="139"/>
  <c r="FD22" i="139"/>
  <c r="FD9" i="139"/>
  <c r="DG19" i="139"/>
  <c r="DG18" i="139"/>
  <c r="DG23" i="139"/>
  <c r="DG14" i="139"/>
  <c r="DG6" i="139"/>
  <c r="DG7" i="139"/>
  <c r="DG22" i="139"/>
  <c r="DG11" i="139"/>
  <c r="FE1" i="139"/>
  <c r="DG13" i="139"/>
  <c r="DG21" i="139"/>
  <c r="DG10" i="139"/>
  <c r="DG9" i="139"/>
  <c r="DG20" i="139"/>
  <c r="DG12" i="139"/>
  <c r="DG8" i="139"/>
  <c r="DG17" i="139"/>
  <c r="DG16" i="139"/>
  <c r="DG24" i="139"/>
  <c r="DG15" i="139"/>
  <c r="FD21" i="136"/>
  <c r="FD12" i="136"/>
  <c r="FD6" i="136"/>
  <c r="FD19" i="136"/>
  <c r="FD20" i="136"/>
  <c r="FD11" i="136"/>
  <c r="FD16" i="136"/>
  <c r="FD17" i="136"/>
  <c r="FD14" i="136"/>
  <c r="FD23" i="136"/>
  <c r="FD10" i="136"/>
  <c r="FD8" i="136"/>
  <c r="FD18" i="136"/>
  <c r="FD9" i="136"/>
  <c r="FD22" i="136"/>
  <c r="FD7" i="136"/>
  <c r="FD24" i="136"/>
  <c r="FD15" i="136"/>
  <c r="FD13" i="136"/>
  <c r="DG18" i="137"/>
  <c r="DG13" i="137"/>
  <c r="FE1" i="137"/>
  <c r="DG17" i="137"/>
  <c r="DG12" i="137"/>
  <c r="DG21" i="137"/>
  <c r="DG7" i="137"/>
  <c r="DG16" i="137"/>
  <c r="DG10" i="137"/>
  <c r="DG20" i="137"/>
  <c r="DG6" i="137"/>
  <c r="DG24" i="137"/>
  <c r="DG14" i="137"/>
  <c r="DG9" i="137"/>
  <c r="DG23" i="137"/>
  <c r="DG19" i="137"/>
  <c r="DG11" i="137"/>
  <c r="DG22" i="137"/>
  <c r="DG15" i="137"/>
  <c r="DG8" i="137"/>
  <c r="DG19" i="136"/>
  <c r="DG13" i="136"/>
  <c r="DG7" i="136"/>
  <c r="DG22" i="136"/>
  <c r="DG12" i="136"/>
  <c r="FE1" i="136"/>
  <c r="DG18" i="136"/>
  <c r="DG15" i="136"/>
  <c r="DG20" i="136"/>
  <c r="DG8" i="136"/>
  <c r="DG16" i="136"/>
  <c r="DG11" i="136"/>
  <c r="DG17" i="136"/>
  <c r="DG9" i="136"/>
  <c r="DG24" i="136"/>
  <c r="DG14" i="136"/>
  <c r="DG6" i="136"/>
  <c r="DG23" i="136"/>
  <c r="DG10" i="136"/>
  <c r="DG21" i="136"/>
  <c r="FD21" i="137"/>
  <c r="FD13" i="137"/>
  <c r="FD12" i="137"/>
  <c r="FD24" i="137"/>
  <c r="FD15" i="137"/>
  <c r="FD19" i="137"/>
  <c r="FD23" i="137"/>
  <c r="FD16" i="137"/>
  <c r="FD8" i="137"/>
  <c r="FD20" i="137"/>
  <c r="FD9" i="137"/>
  <c r="FD18" i="137"/>
  <c r="FD11" i="137"/>
  <c r="FD17" i="137"/>
  <c r="FD10" i="137"/>
  <c r="FD22" i="137"/>
  <c r="FD7" i="137"/>
  <c r="FD14" i="137"/>
  <c r="FD6" i="137"/>
  <c r="EI10" i="132"/>
  <c r="CB10" i="132" s="1"/>
  <c r="Y10" i="132" s="1"/>
  <c r="Z10" i="132" s="1"/>
  <c r="EJ10" i="133"/>
  <c r="EK10" i="136"/>
  <c r="EL10" i="137"/>
  <c r="IV132" i="9"/>
  <c r="EN10" i="142" s="1"/>
  <c r="IU133" i="9"/>
  <c r="DH17" i="136"/>
  <c r="DH8" i="136"/>
  <c r="DH15" i="136"/>
  <c r="DH11" i="136"/>
  <c r="DH24" i="136"/>
  <c r="DH14" i="136"/>
  <c r="DH7" i="136"/>
  <c r="DH13" i="136"/>
  <c r="DH23" i="136"/>
  <c r="DH10" i="136"/>
  <c r="DH21" i="136"/>
  <c r="DH22" i="136"/>
  <c r="DH19" i="136"/>
  <c r="FF1" i="136"/>
  <c r="DH20" i="136"/>
  <c r="DH6" i="136"/>
  <c r="DH18" i="136"/>
  <c r="DH12" i="136"/>
  <c r="DH16" i="136"/>
  <c r="DH9" i="136"/>
  <c r="U3" i="136"/>
  <c r="EF2" i="136"/>
  <c r="EE1" i="136"/>
  <c r="Q28" i="132"/>
  <c r="Q30" i="132"/>
  <c r="Q29" i="132"/>
  <c r="GN132" i="9"/>
  <c r="BP13" i="133" s="1"/>
  <c r="Q13" i="133" s="1"/>
  <c r="R13" i="133" s="1"/>
  <c r="GJ133" i="9"/>
  <c r="ED24" i="136"/>
  <c r="ED12" i="136"/>
  <c r="ED6" i="136"/>
  <c r="ED23" i="136"/>
  <c r="ED17" i="136"/>
  <c r="ED7" i="136"/>
  <c r="ED22" i="136"/>
  <c r="ED20" i="136"/>
  <c r="ED18" i="136"/>
  <c r="ED14" i="136"/>
  <c r="ED19" i="136"/>
  <c r="ED9" i="136"/>
  <c r="ED13" i="136"/>
  <c r="ED10" i="136"/>
  <c r="ED11" i="136"/>
  <c r="ED15" i="136"/>
  <c r="ED21" i="136"/>
  <c r="ED16" i="136"/>
  <c r="ED8" i="136"/>
  <c r="EW134" i="9"/>
  <c r="EX133" i="9"/>
  <c r="BL13" i="136" s="1"/>
  <c r="O13" i="136" s="1"/>
  <c r="P13" i="136" s="1"/>
  <c r="EE1" i="137"/>
  <c r="EF2" i="137"/>
  <c r="DH24" i="137"/>
  <c r="DH18" i="137"/>
  <c r="DH20" i="137"/>
  <c r="DH23" i="137"/>
  <c r="DH19" i="137"/>
  <c r="DH8" i="137"/>
  <c r="DH22" i="137"/>
  <c r="DH13" i="137"/>
  <c r="DH12" i="137"/>
  <c r="DH21" i="137"/>
  <c r="DH11" i="137"/>
  <c r="FF1" i="137"/>
  <c r="DH17" i="137"/>
  <c r="DH7" i="137"/>
  <c r="DH16" i="137"/>
  <c r="DH10" i="137"/>
  <c r="DH15" i="137"/>
  <c r="DH6" i="137"/>
  <c r="DH14" i="137"/>
  <c r="DH9" i="137"/>
  <c r="U3" i="137"/>
  <c r="ED19" i="137"/>
  <c r="ED10" i="137"/>
  <c r="ED24" i="137"/>
  <c r="ED16" i="137"/>
  <c r="ED21" i="137"/>
  <c r="ED8" i="137"/>
  <c r="ED18" i="137"/>
  <c r="ED11" i="137"/>
  <c r="ED17" i="137"/>
  <c r="ED9" i="137"/>
  <c r="ED23" i="137"/>
  <c r="ED15" i="137"/>
  <c r="ED7" i="137"/>
  <c r="ED22" i="137"/>
  <c r="ED14" i="137"/>
  <c r="ED6" i="137"/>
  <c r="ED20" i="137"/>
  <c r="ED12" i="137"/>
  <c r="ED13" i="137"/>
  <c r="EF2" i="132"/>
  <c r="EE1" i="132"/>
  <c r="EE21" i="133"/>
  <c r="EE15" i="133"/>
  <c r="EE12" i="133"/>
  <c r="EE23" i="133"/>
  <c r="EE19" i="133"/>
  <c r="EE20" i="133"/>
  <c r="EE14" i="133"/>
  <c r="EE16" i="133"/>
  <c r="EE7" i="133"/>
  <c r="EE22" i="133"/>
  <c r="EE13" i="133"/>
  <c r="EE11" i="133"/>
  <c r="EE24" i="133"/>
  <c r="EE10" i="133"/>
  <c r="EE18" i="133"/>
  <c r="EE8" i="133"/>
  <c r="EE17" i="133"/>
  <c r="EE9" i="133"/>
  <c r="EE6" i="133"/>
  <c r="EG2" i="133"/>
  <c r="EG1" i="133" s="1"/>
  <c r="EF1" i="133"/>
  <c r="DH19" i="133"/>
  <c r="DH18" i="133"/>
  <c r="FF1" i="133"/>
  <c r="DH11" i="133"/>
  <c r="DH7" i="133"/>
  <c r="DH21" i="133"/>
  <c r="DH23" i="133"/>
  <c r="DH17" i="133"/>
  <c r="DH16" i="133"/>
  <c r="DH8" i="133"/>
  <c r="DH10" i="133"/>
  <c r="DH20" i="133"/>
  <c r="DH6" i="133"/>
  <c r="DH22" i="133"/>
  <c r="DH15" i="133"/>
  <c r="DH13" i="133"/>
  <c r="DH9" i="133"/>
  <c r="DH12" i="133"/>
  <c r="DH14" i="133"/>
  <c r="DH24" i="133"/>
  <c r="U3" i="133"/>
  <c r="DG19" i="132"/>
  <c r="DG14" i="132"/>
  <c r="DG15" i="132"/>
  <c r="DG8" i="132"/>
  <c r="DG13" i="132"/>
  <c r="DG11" i="132"/>
  <c r="DG21" i="132"/>
  <c r="DG18" i="132"/>
  <c r="DG20" i="132"/>
  <c r="DG10" i="132"/>
  <c r="DG24" i="132"/>
  <c r="DG16" i="132"/>
  <c r="DG12" i="132"/>
  <c r="DG22" i="132"/>
  <c r="FE1" i="132"/>
  <c r="DG23" i="132"/>
  <c r="DG9" i="132"/>
  <c r="DG7" i="132"/>
  <c r="DG17" i="132"/>
  <c r="DG6" i="132"/>
  <c r="DH15" i="132"/>
  <c r="DH8" i="132"/>
  <c r="DH21" i="132"/>
  <c r="DH20" i="132"/>
  <c r="DH10" i="132"/>
  <c r="DH19" i="132"/>
  <c r="DH23" i="132"/>
  <c r="DH16" i="132"/>
  <c r="DH14" i="132"/>
  <c r="DH6" i="132"/>
  <c r="DH24" i="132"/>
  <c r="DH17" i="132"/>
  <c r="DH13" i="132"/>
  <c r="DH11" i="132"/>
  <c r="DH7" i="132"/>
  <c r="DH12" i="132"/>
  <c r="DH9" i="132"/>
  <c r="FF1" i="132"/>
  <c r="DH18" i="132"/>
  <c r="DH22" i="132"/>
  <c r="U3" i="132"/>
  <c r="FD19" i="133"/>
  <c r="FD9" i="133"/>
  <c r="FD7" i="133"/>
  <c r="FD8" i="133"/>
  <c r="FD21" i="133"/>
  <c r="FD11" i="133"/>
  <c r="FD18" i="133"/>
  <c r="FD22" i="133"/>
  <c r="FD6" i="133"/>
  <c r="FD15" i="133"/>
  <c r="FD14" i="133"/>
  <c r="FD23" i="133"/>
  <c r="FD17" i="133"/>
  <c r="FD16" i="133"/>
  <c r="FD13" i="133"/>
  <c r="FD20" i="133"/>
  <c r="FD12" i="133"/>
  <c r="FD24" i="133"/>
  <c r="FD10" i="133"/>
  <c r="FD24" i="132"/>
  <c r="FD16" i="132"/>
  <c r="FD6" i="132"/>
  <c r="FD15" i="132"/>
  <c r="FD23" i="132"/>
  <c r="FD12" i="132"/>
  <c r="FD8" i="132"/>
  <c r="FD18" i="132"/>
  <c r="FD14" i="132"/>
  <c r="FD13" i="132"/>
  <c r="FD10" i="132"/>
  <c r="FD11" i="132"/>
  <c r="FD9" i="132"/>
  <c r="FD20" i="132"/>
  <c r="FD22" i="132"/>
  <c r="FD19" i="132"/>
  <c r="FD7" i="132"/>
  <c r="FD21" i="132"/>
  <c r="FD17" i="132"/>
  <c r="DG14" i="133"/>
  <c r="DG17" i="133"/>
  <c r="DG11" i="133"/>
  <c r="DG12" i="133"/>
  <c r="DG10" i="133"/>
  <c r="DG24" i="133"/>
  <c r="DG23" i="133"/>
  <c r="DG9" i="133"/>
  <c r="DG7" i="133"/>
  <c r="DG21" i="133"/>
  <c r="DG6" i="133"/>
  <c r="DG16" i="133"/>
  <c r="DG15" i="133"/>
  <c r="DG22" i="133"/>
  <c r="DG13" i="133"/>
  <c r="DG8" i="133"/>
  <c r="DG18" i="133"/>
  <c r="FE1" i="133"/>
  <c r="DG19" i="133"/>
  <c r="DG20" i="133"/>
  <c r="ED18" i="132"/>
  <c r="ED11" i="132"/>
  <c r="ED9" i="132"/>
  <c r="ED13" i="132"/>
  <c r="ED24" i="132"/>
  <c r="ED8" i="132"/>
  <c r="ED14" i="132"/>
  <c r="ED12" i="132"/>
  <c r="ED19" i="132"/>
  <c r="ED6" i="132"/>
  <c r="ED17" i="132"/>
  <c r="ED15" i="132"/>
  <c r="ED10" i="132"/>
  <c r="ED20" i="132"/>
  <c r="ED7" i="132"/>
  <c r="ED22" i="132"/>
  <c r="ED16" i="132"/>
  <c r="ED23" i="132"/>
  <c r="ED21" i="132"/>
  <c r="F7" i="131"/>
  <c r="F21" i="131"/>
  <c r="F9" i="131"/>
  <c r="F14" i="131"/>
  <c r="F17" i="131"/>
  <c r="F10" i="131"/>
  <c r="F24" i="131"/>
  <c r="F23" i="131"/>
  <c r="F11" i="131"/>
  <c r="F13" i="131"/>
  <c r="BL27" i="131"/>
  <c r="F6" i="131"/>
  <c r="BP27" i="131"/>
  <c r="F19" i="131"/>
  <c r="F22" i="131"/>
  <c r="F18" i="131"/>
  <c r="F15" i="131"/>
  <c r="F16" i="131"/>
  <c r="F12" i="131"/>
  <c r="F20" i="131"/>
  <c r="F8" i="131"/>
  <c r="Q6" i="131"/>
  <c r="R6" i="131" s="1"/>
  <c r="Q20" i="131"/>
  <c r="R20" i="131" s="1"/>
  <c r="O6" i="131"/>
  <c r="P6" i="131" s="1"/>
  <c r="CH24" i="131"/>
  <c r="K24" i="131" s="1"/>
  <c r="CH11" i="131"/>
  <c r="K11" i="131" s="1"/>
  <c r="CH23" i="131"/>
  <c r="K23" i="131" s="1"/>
  <c r="CH10" i="131"/>
  <c r="K10" i="131" s="1"/>
  <c r="CH16" i="131"/>
  <c r="K16" i="131" s="1"/>
  <c r="CH22" i="131"/>
  <c r="K22" i="131" s="1"/>
  <c r="CH9" i="131"/>
  <c r="K9" i="131" s="1"/>
  <c r="CH21" i="131"/>
  <c r="K21" i="131" s="1"/>
  <c r="CH8" i="131"/>
  <c r="K8" i="131" s="1"/>
  <c r="CH20" i="131"/>
  <c r="K20" i="131" s="1"/>
  <c r="CH13" i="131"/>
  <c r="K13" i="131" s="1"/>
  <c r="CH18" i="131"/>
  <c r="K18" i="131" s="1"/>
  <c r="CH6" i="131"/>
  <c r="K6" i="131" s="1"/>
  <c r="CH7" i="131"/>
  <c r="K7" i="131" s="1"/>
  <c r="CH15" i="131"/>
  <c r="K15" i="131" s="1"/>
  <c r="CH14" i="131"/>
  <c r="K14" i="131" s="1"/>
  <c r="CH12" i="131"/>
  <c r="K12" i="131" s="1"/>
  <c r="CH17" i="131"/>
  <c r="K17" i="131" s="1"/>
  <c r="CH19" i="131"/>
  <c r="K19" i="131" s="1"/>
  <c r="CK23" i="131"/>
  <c r="CK13" i="131"/>
  <c r="CK22" i="131"/>
  <c r="CK11" i="131"/>
  <c r="CK21" i="131"/>
  <c r="CK9" i="131"/>
  <c r="CK20" i="131"/>
  <c r="CK8" i="131"/>
  <c r="CK18" i="131"/>
  <c r="CK7" i="131"/>
  <c r="CK15" i="131"/>
  <c r="CK6" i="131"/>
  <c r="CK16" i="131"/>
  <c r="EI1" i="131"/>
  <c r="CK19" i="131"/>
  <c r="DJ1" i="131"/>
  <c r="CK17" i="131"/>
  <c r="CK14" i="131"/>
  <c r="CK24" i="131"/>
  <c r="CK12" i="131"/>
  <c r="CK10" i="131"/>
  <c r="BI23" i="131"/>
  <c r="I23" i="131" s="1"/>
  <c r="BI11" i="131"/>
  <c r="I11" i="131" s="1"/>
  <c r="BI22" i="131"/>
  <c r="I22" i="131" s="1"/>
  <c r="BI9" i="131"/>
  <c r="I9" i="131" s="1"/>
  <c r="BI20" i="131"/>
  <c r="I20" i="131" s="1"/>
  <c r="BI7" i="131"/>
  <c r="I7" i="131" s="1"/>
  <c r="BI19" i="131"/>
  <c r="I19" i="131" s="1"/>
  <c r="BI6" i="131"/>
  <c r="I6" i="131" s="1"/>
  <c r="BI18" i="131"/>
  <c r="I18" i="131" s="1"/>
  <c r="BI8" i="131"/>
  <c r="I8" i="131" s="1"/>
  <c r="BI21" i="131"/>
  <c r="I21" i="131" s="1"/>
  <c r="BI10" i="131"/>
  <c r="I10" i="131" s="1"/>
  <c r="BI15" i="131"/>
  <c r="I15" i="131" s="1"/>
  <c r="BI5" i="131"/>
  <c r="I3" i="131" s="1"/>
  <c r="BI14" i="131"/>
  <c r="I14" i="131" s="1"/>
  <c r="BI17" i="131"/>
  <c r="I17" i="131" s="1"/>
  <c r="BI12" i="131"/>
  <c r="I12" i="131" s="1"/>
  <c r="BI24" i="131"/>
  <c r="I24" i="131" s="1"/>
  <c r="BI13" i="131"/>
  <c r="I13" i="131" s="1"/>
  <c r="BI16" i="131"/>
  <c r="I16" i="131" s="1"/>
  <c r="CM2" i="131"/>
  <c r="CL1" i="131"/>
  <c r="CG16" i="131"/>
  <c r="G16" i="131" s="1"/>
  <c r="H16" i="131" s="1"/>
  <c r="CG17" i="131"/>
  <c r="G17" i="131" s="1"/>
  <c r="H17" i="131" s="1"/>
  <c r="CG24" i="131"/>
  <c r="G24" i="131" s="1"/>
  <c r="H24" i="131" s="1"/>
  <c r="CG6" i="131"/>
  <c r="G6" i="131" s="1"/>
  <c r="H6" i="131" s="1"/>
  <c r="CG15" i="131"/>
  <c r="G15" i="131" s="1"/>
  <c r="H15" i="131" s="1"/>
  <c r="CG14" i="131"/>
  <c r="G14" i="131" s="1"/>
  <c r="H14" i="131" s="1"/>
  <c r="CG21" i="131"/>
  <c r="G21" i="131" s="1"/>
  <c r="H21" i="131" s="1"/>
  <c r="CG23" i="131"/>
  <c r="G23" i="131" s="1"/>
  <c r="H23" i="131" s="1"/>
  <c r="CG19" i="131"/>
  <c r="G19" i="131" s="1"/>
  <c r="H19" i="131" s="1"/>
  <c r="CG7" i="131"/>
  <c r="G7" i="131" s="1"/>
  <c r="H7" i="131" s="1"/>
  <c r="CG9" i="131"/>
  <c r="G9" i="131" s="1"/>
  <c r="H9" i="131" s="1"/>
  <c r="CG12" i="131"/>
  <c r="G12" i="131" s="1"/>
  <c r="H12" i="131" s="1"/>
  <c r="CG20" i="131"/>
  <c r="G20" i="131" s="1"/>
  <c r="H20" i="131" s="1"/>
  <c r="CG10" i="131"/>
  <c r="G10" i="131" s="1"/>
  <c r="H10" i="131" s="1"/>
  <c r="CG13" i="131"/>
  <c r="G13" i="131" s="1"/>
  <c r="H13" i="131" s="1"/>
  <c r="CG8" i="131"/>
  <c r="G8" i="131" s="1"/>
  <c r="H8" i="131" s="1"/>
  <c r="CG18" i="131"/>
  <c r="G18" i="131" s="1"/>
  <c r="H18" i="131" s="1"/>
  <c r="CG11" i="131"/>
  <c r="G11" i="131" s="1"/>
  <c r="H11" i="131" s="1"/>
  <c r="CG22" i="131"/>
  <c r="G22" i="131" s="1"/>
  <c r="H22" i="131" s="1"/>
  <c r="FG15" i="125"/>
  <c r="L7" i="125"/>
  <c r="L11" i="125"/>
  <c r="FG19" i="125"/>
  <c r="FG16" i="125"/>
  <c r="J6" i="125"/>
  <c r="J22" i="125"/>
  <c r="L22" i="125"/>
  <c r="FG22" i="125"/>
  <c r="J20" i="125"/>
  <c r="L20" i="125"/>
  <c r="FG6" i="125"/>
  <c r="E30" i="125"/>
  <c r="I28" i="125"/>
  <c r="E29" i="125"/>
  <c r="E28" i="125"/>
  <c r="I27" i="125"/>
  <c r="I29" i="125"/>
  <c r="I30" i="125"/>
  <c r="I32" i="125"/>
  <c r="J24" i="125"/>
  <c r="FG24" i="125"/>
  <c r="L24" i="125"/>
  <c r="J7" i="125"/>
  <c r="FG7" i="125"/>
  <c r="J9" i="125"/>
  <c r="FG9" i="125"/>
  <c r="L9" i="125"/>
  <c r="J18" i="125"/>
  <c r="FG18" i="125"/>
  <c r="L18" i="125"/>
  <c r="FG20" i="125"/>
  <c r="EH22" i="125"/>
  <c r="CG22" i="125" s="1"/>
  <c r="EH18" i="125"/>
  <c r="CG18" i="125" s="1"/>
  <c r="EH14" i="125"/>
  <c r="CG14" i="125" s="1"/>
  <c r="EH19" i="125"/>
  <c r="CG19" i="125" s="1"/>
  <c r="EH12" i="125"/>
  <c r="CG12" i="125" s="1"/>
  <c r="EH17" i="125"/>
  <c r="CG17" i="125" s="1"/>
  <c r="EH7" i="125"/>
  <c r="CG7" i="125" s="1"/>
  <c r="EH9" i="125"/>
  <c r="CG9" i="125" s="1"/>
  <c r="EH20" i="125"/>
  <c r="CG20" i="125" s="1"/>
  <c r="EH23" i="125"/>
  <c r="CG23" i="125" s="1"/>
  <c r="EH6" i="125"/>
  <c r="CG6" i="125" s="1"/>
  <c r="EH10" i="125"/>
  <c r="CG10" i="125" s="1"/>
  <c r="EH16" i="125"/>
  <c r="CG16" i="125" s="1"/>
  <c r="EH2" i="125"/>
  <c r="EI2" i="125" s="1"/>
  <c r="EJ2" i="125" s="1"/>
  <c r="EK2" i="125" s="1"/>
  <c r="EL2" i="125" s="1"/>
  <c r="EM2" i="125" s="1"/>
  <c r="EN2" i="125" s="1"/>
  <c r="EO2" i="125" s="1"/>
  <c r="EP2" i="125" s="1"/>
  <c r="EQ2" i="125" s="1"/>
  <c r="ER2" i="125" s="1"/>
  <c r="ES2" i="125" s="1"/>
  <c r="ET2" i="125" s="1"/>
  <c r="EU2" i="125" s="1"/>
  <c r="EV2" i="125" s="1"/>
  <c r="EW2" i="125" s="1"/>
  <c r="EX2" i="125" s="1"/>
  <c r="EY2" i="125" s="1"/>
  <c r="EZ2" i="125" s="1"/>
  <c r="FA2" i="125" s="1"/>
  <c r="FB2" i="125" s="1"/>
  <c r="FC2" i="125" s="1"/>
  <c r="FD2" i="125" s="1"/>
  <c r="FE2" i="125" s="1"/>
  <c r="EH11" i="125"/>
  <c r="CG11" i="125" s="1"/>
  <c r="EH13" i="125"/>
  <c r="CG13" i="125" s="1"/>
  <c r="EH24" i="125"/>
  <c r="CG24" i="125" s="1"/>
  <c r="EH15" i="125"/>
  <c r="CG15" i="125" s="1"/>
  <c r="EH21" i="125"/>
  <c r="CG21" i="125" s="1"/>
  <c r="EH8" i="125"/>
  <c r="CG8" i="125" s="1"/>
  <c r="J19" i="125"/>
  <c r="L19" i="125"/>
  <c r="J23" i="125"/>
  <c r="FG23" i="125"/>
  <c r="L23" i="125"/>
  <c r="CK17" i="125"/>
  <c r="CK11" i="125"/>
  <c r="CK22" i="125"/>
  <c r="CK23" i="125"/>
  <c r="CK12" i="125"/>
  <c r="CK19" i="125"/>
  <c r="CK16" i="125"/>
  <c r="CK6" i="125"/>
  <c r="CK24" i="125"/>
  <c r="CK10" i="125"/>
  <c r="CK21" i="125"/>
  <c r="CK15" i="125"/>
  <c r="CK8" i="125"/>
  <c r="CK20" i="125"/>
  <c r="CK18" i="125"/>
  <c r="CK9" i="125"/>
  <c r="CK7" i="125"/>
  <c r="CK13" i="125"/>
  <c r="EI1" i="125"/>
  <c r="CK14" i="125"/>
  <c r="CM2" i="125"/>
  <c r="CL1" i="125"/>
  <c r="J21" i="125"/>
  <c r="FG21" i="125"/>
  <c r="L21" i="125"/>
  <c r="J15" i="125"/>
  <c r="L15" i="125"/>
  <c r="J8" i="125"/>
  <c r="L8" i="125"/>
  <c r="FG8" i="125"/>
  <c r="L6" i="125"/>
  <c r="K27" i="125"/>
  <c r="DI22" i="125"/>
  <c r="DI24" i="125"/>
  <c r="DI12" i="125"/>
  <c r="DI10" i="125"/>
  <c r="DI19" i="125"/>
  <c r="DI6" i="125"/>
  <c r="DI16" i="125"/>
  <c r="DI21" i="125"/>
  <c r="DI7" i="125"/>
  <c r="DI18" i="125"/>
  <c r="DI20" i="125"/>
  <c r="DI14" i="125"/>
  <c r="DI2" i="125"/>
  <c r="DJ2" i="125" s="1"/>
  <c r="DI13" i="125"/>
  <c r="DI23" i="125"/>
  <c r="DI17" i="125"/>
  <c r="DI9" i="125"/>
  <c r="DI8" i="125"/>
  <c r="DI11" i="125"/>
  <c r="DI15" i="125"/>
  <c r="L10" i="125"/>
  <c r="J10" i="125"/>
  <c r="FG10" i="125"/>
  <c r="J12" i="125"/>
  <c r="FG12" i="125"/>
  <c r="L12" i="125"/>
  <c r="J14" i="125"/>
  <c r="L14" i="125"/>
  <c r="FG14" i="125"/>
  <c r="Q30" i="125"/>
  <c r="Q28" i="125"/>
  <c r="Q29" i="125"/>
  <c r="J16" i="125"/>
  <c r="L16" i="125"/>
  <c r="J17" i="125"/>
  <c r="FG17" i="125"/>
  <c r="L17" i="125"/>
  <c r="J13" i="125"/>
  <c r="L13" i="125"/>
  <c r="FG13" i="125"/>
  <c r="J11" i="125"/>
  <c r="FG11" i="125"/>
  <c r="BU20" i="142" l="1"/>
  <c r="U20" i="142" s="1"/>
  <c r="BU10" i="142"/>
  <c r="U10" i="142" s="1"/>
  <c r="BU17" i="142"/>
  <c r="U17" i="142" s="1"/>
  <c r="BU16" i="142"/>
  <c r="U16" i="142" s="1"/>
  <c r="BU15" i="142"/>
  <c r="BU14" i="142"/>
  <c r="U14" i="142" s="1"/>
  <c r="BU23" i="142"/>
  <c r="U23" i="142" s="1"/>
  <c r="BU22" i="142"/>
  <c r="U22" i="142" s="1"/>
  <c r="BU21" i="142"/>
  <c r="BU19" i="142"/>
  <c r="U19" i="142" s="1"/>
  <c r="BU18" i="142"/>
  <c r="U18" i="142" s="1"/>
  <c r="EE24" i="142"/>
  <c r="EE23" i="142"/>
  <c r="EE21" i="142"/>
  <c r="EE19" i="142"/>
  <c r="EE20" i="142"/>
  <c r="EE17" i="142"/>
  <c r="EE16" i="142"/>
  <c r="EE15" i="142"/>
  <c r="EE14" i="142"/>
  <c r="EE13" i="142"/>
  <c r="EE12" i="142"/>
  <c r="EE11" i="142"/>
  <c r="EE10" i="142"/>
  <c r="EE9" i="142"/>
  <c r="EE8" i="142"/>
  <c r="EE7" i="142"/>
  <c r="EE6" i="142"/>
  <c r="EE22" i="142"/>
  <c r="EE18" i="142"/>
  <c r="EF1" i="142"/>
  <c r="EG2" i="142"/>
  <c r="EG1" i="142" s="1"/>
  <c r="V20" i="142"/>
  <c r="G20" i="138"/>
  <c r="G10" i="138"/>
  <c r="V10" i="142"/>
  <c r="V17" i="142"/>
  <c r="G17" i="138"/>
  <c r="V16" i="142"/>
  <c r="G16" i="138"/>
  <c r="V14" i="142"/>
  <c r="G14" i="138"/>
  <c r="V23" i="142"/>
  <c r="G23" i="138"/>
  <c r="V22" i="142"/>
  <c r="G22" i="138"/>
  <c r="U21" i="142"/>
  <c r="BT27" i="142"/>
  <c r="V19" i="142"/>
  <c r="G19" i="138"/>
  <c r="V18" i="142"/>
  <c r="G18" i="138"/>
  <c r="FE20" i="142"/>
  <c r="FE17" i="142"/>
  <c r="FE16" i="142"/>
  <c r="FE15" i="142"/>
  <c r="FE14" i="142"/>
  <c r="FE12" i="142"/>
  <c r="FE8" i="142"/>
  <c r="FE24" i="142"/>
  <c r="FE23" i="142"/>
  <c r="FE21" i="142"/>
  <c r="FE18" i="142"/>
  <c r="FE22" i="142"/>
  <c r="FE10" i="142"/>
  <c r="FE9" i="142"/>
  <c r="FE7" i="142"/>
  <c r="FE13" i="142"/>
  <c r="FE11" i="142"/>
  <c r="FE6" i="142"/>
  <c r="FE19" i="142"/>
  <c r="FF6" i="142"/>
  <c r="FF17" i="142"/>
  <c r="FF14" i="142"/>
  <c r="FF11" i="142"/>
  <c r="FF24" i="142"/>
  <c r="FF22" i="142"/>
  <c r="FF19" i="142"/>
  <c r="FF20" i="142"/>
  <c r="FF16" i="142"/>
  <c r="FF15" i="142"/>
  <c r="FF13" i="142"/>
  <c r="FF12" i="142"/>
  <c r="FF10" i="142"/>
  <c r="FF9" i="142"/>
  <c r="FF8" i="142"/>
  <c r="FF7" i="142"/>
  <c r="FF23" i="142"/>
  <c r="FF21" i="142"/>
  <c r="FF18" i="142"/>
  <c r="BU13" i="142"/>
  <c r="U13" i="142" s="1"/>
  <c r="BU12" i="142"/>
  <c r="U12" i="142" s="1"/>
  <c r="BU11" i="142"/>
  <c r="U11" i="142" s="1"/>
  <c r="BU9" i="142"/>
  <c r="U9" i="142" s="1"/>
  <c r="BU8" i="142"/>
  <c r="U8" i="142" s="1"/>
  <c r="BU7" i="142"/>
  <c r="U7" i="142" s="1"/>
  <c r="BU6" i="142"/>
  <c r="U6" i="142" s="1"/>
  <c r="BU24" i="142"/>
  <c r="U24" i="142" s="1"/>
  <c r="BU12" i="137"/>
  <c r="U12" i="137" s="1"/>
  <c r="V12" i="137" s="1"/>
  <c r="BU21" i="137"/>
  <c r="EL10" i="139"/>
  <c r="BU21" i="139"/>
  <c r="BU11" i="139"/>
  <c r="U11" i="139" s="1"/>
  <c r="EE23" i="139"/>
  <c r="EE11" i="139"/>
  <c r="EE6" i="139"/>
  <c r="EE24" i="139"/>
  <c r="EE20" i="139"/>
  <c r="EE10" i="139"/>
  <c r="EE19" i="139"/>
  <c r="EE7" i="139"/>
  <c r="EE18" i="139"/>
  <c r="EE8" i="139"/>
  <c r="EE12" i="139"/>
  <c r="EE17" i="139"/>
  <c r="EE16" i="139"/>
  <c r="EE21" i="139"/>
  <c r="EE15" i="139"/>
  <c r="EE13" i="139"/>
  <c r="EE9" i="139"/>
  <c r="EE22" i="139"/>
  <c r="EE14" i="139"/>
  <c r="BU9" i="139"/>
  <c r="U9" i="139" s="1"/>
  <c r="BU23" i="139"/>
  <c r="U23" i="139" s="1"/>
  <c r="FE20" i="139"/>
  <c r="FE6" i="139"/>
  <c r="FE18" i="139"/>
  <c r="FE9" i="139"/>
  <c r="FE23" i="139"/>
  <c r="FE14" i="139"/>
  <c r="FE7" i="139"/>
  <c r="FE22" i="139"/>
  <c r="FE17" i="139"/>
  <c r="FE12" i="139"/>
  <c r="FE21" i="139"/>
  <c r="FE15" i="139"/>
  <c r="FE8" i="139"/>
  <c r="FE10" i="139"/>
  <c r="FE24" i="139"/>
  <c r="FE13" i="139"/>
  <c r="FE19" i="139"/>
  <c r="FE11" i="139"/>
  <c r="FE16" i="139"/>
  <c r="EG2" i="139"/>
  <c r="EG1" i="139" s="1"/>
  <c r="EF1" i="139"/>
  <c r="BU19" i="139"/>
  <c r="U19" i="139" s="1"/>
  <c r="BU20" i="139"/>
  <c r="U20" i="139" s="1"/>
  <c r="EX134" i="9"/>
  <c r="BL13" i="137" s="1"/>
  <c r="O13" i="137" s="1"/>
  <c r="P13" i="137" s="1"/>
  <c r="EW135" i="9"/>
  <c r="FF14" i="139"/>
  <c r="FF12" i="139"/>
  <c r="FF11" i="139"/>
  <c r="FF20" i="139"/>
  <c r="FF6" i="139"/>
  <c r="FF24" i="139"/>
  <c r="FF22" i="139"/>
  <c r="FF17" i="139"/>
  <c r="FF15" i="139"/>
  <c r="FF21" i="139"/>
  <c r="FF9" i="139"/>
  <c r="FF8" i="139"/>
  <c r="FF7" i="139"/>
  <c r="FF18" i="139"/>
  <c r="FF23" i="139"/>
  <c r="FF10" i="139"/>
  <c r="FF19" i="139"/>
  <c r="FF13" i="139"/>
  <c r="FF16" i="139"/>
  <c r="BU7" i="139"/>
  <c r="U7" i="139" s="1"/>
  <c r="BU8" i="139"/>
  <c r="U8" i="139" s="1"/>
  <c r="BU15" i="139"/>
  <c r="BU14" i="139"/>
  <c r="U14" i="139" s="1"/>
  <c r="BU18" i="139"/>
  <c r="U18" i="139" s="1"/>
  <c r="BU22" i="139"/>
  <c r="U22" i="139" s="1"/>
  <c r="BU17" i="139"/>
  <c r="U17" i="139" s="1"/>
  <c r="BU10" i="139"/>
  <c r="U10" i="139" s="1"/>
  <c r="BU6" i="139"/>
  <c r="U6" i="139" s="1"/>
  <c r="BU12" i="139"/>
  <c r="U12" i="139" s="1"/>
  <c r="BU13" i="139"/>
  <c r="U13" i="139" s="1"/>
  <c r="BU24" i="139"/>
  <c r="U24" i="139" s="1"/>
  <c r="BU16" i="139"/>
  <c r="U16" i="139" s="1"/>
  <c r="BU18" i="137"/>
  <c r="U18" i="137" s="1"/>
  <c r="V18" i="137" s="1"/>
  <c r="BU15" i="136"/>
  <c r="U15" i="136" s="1"/>
  <c r="V15" i="136" s="1"/>
  <c r="BU11" i="137"/>
  <c r="U11" i="137" s="1"/>
  <c r="V11" i="137" s="1"/>
  <c r="BU21" i="136"/>
  <c r="BT27" i="136" s="1"/>
  <c r="BU23" i="136"/>
  <c r="U23" i="136" s="1"/>
  <c r="V23" i="136" s="1"/>
  <c r="BU6" i="137"/>
  <c r="U6" i="137" s="1"/>
  <c r="BU13" i="137"/>
  <c r="U13" i="137" s="1"/>
  <c r="BU10" i="137"/>
  <c r="U10" i="137" s="1"/>
  <c r="V10" i="137" s="1"/>
  <c r="BU12" i="136"/>
  <c r="U12" i="136" s="1"/>
  <c r="V12" i="136" s="1"/>
  <c r="BU10" i="136"/>
  <c r="U10" i="136" s="1"/>
  <c r="V10" i="136" s="1"/>
  <c r="BU17" i="136"/>
  <c r="U17" i="136" s="1"/>
  <c r="V17" i="136" s="1"/>
  <c r="BU6" i="136"/>
  <c r="U6" i="136" s="1"/>
  <c r="V6" i="136" s="1"/>
  <c r="BU20" i="136"/>
  <c r="U20" i="136" s="1"/>
  <c r="V20" i="136" s="1"/>
  <c r="BU14" i="137"/>
  <c r="U14" i="137" s="1"/>
  <c r="V14" i="137" s="1"/>
  <c r="BU19" i="136"/>
  <c r="U19" i="136" s="1"/>
  <c r="V19" i="136" s="1"/>
  <c r="BU7" i="137"/>
  <c r="U7" i="137" s="1"/>
  <c r="BU22" i="137"/>
  <c r="U22" i="137" s="1"/>
  <c r="BU8" i="136"/>
  <c r="U8" i="136" s="1"/>
  <c r="V8" i="136" s="1"/>
  <c r="BU20" i="137"/>
  <c r="U20" i="137" s="1"/>
  <c r="BU16" i="137"/>
  <c r="U16" i="137" s="1"/>
  <c r="BU14" i="136"/>
  <c r="U14" i="136" s="1"/>
  <c r="V14" i="136" s="1"/>
  <c r="BU24" i="137"/>
  <c r="U24" i="137" s="1"/>
  <c r="BU22" i="136"/>
  <c r="U22" i="136" s="1"/>
  <c r="V22" i="136" s="1"/>
  <c r="BU11" i="136"/>
  <c r="U11" i="136" s="1"/>
  <c r="V11" i="136" s="1"/>
  <c r="BU8" i="137"/>
  <c r="U8" i="137" s="1"/>
  <c r="BU18" i="136"/>
  <c r="U18" i="136" s="1"/>
  <c r="V18" i="136" s="1"/>
  <c r="BU17" i="137"/>
  <c r="U17" i="137" s="1"/>
  <c r="V17" i="137" s="1"/>
  <c r="BU19" i="137"/>
  <c r="U19" i="137" s="1"/>
  <c r="BU24" i="136"/>
  <c r="U24" i="136" s="1"/>
  <c r="V24" i="136" s="1"/>
  <c r="BU15" i="137"/>
  <c r="V15" i="137" s="1"/>
  <c r="GJ134" i="9"/>
  <c r="GN133" i="9"/>
  <c r="BP13" i="136" s="1"/>
  <c r="Q13" i="136" s="1"/>
  <c r="R13" i="136" s="1"/>
  <c r="BU9" i="136"/>
  <c r="U9" i="136" s="1"/>
  <c r="V9" i="136" s="1"/>
  <c r="EG2" i="137"/>
  <c r="EG1" i="137" s="1"/>
  <c r="EF1" i="137"/>
  <c r="BU16" i="136"/>
  <c r="U16" i="136" s="1"/>
  <c r="V16" i="136" s="1"/>
  <c r="EE24" i="137"/>
  <c r="EE14" i="137"/>
  <c r="EE6" i="137"/>
  <c r="EE23" i="137"/>
  <c r="EE13" i="137"/>
  <c r="EE8" i="137"/>
  <c r="EE20" i="137"/>
  <c r="EE16" i="137"/>
  <c r="EE19" i="137"/>
  <c r="EE9" i="137"/>
  <c r="EE18" i="137"/>
  <c r="EE11" i="137"/>
  <c r="EE17" i="137"/>
  <c r="EE12" i="137"/>
  <c r="EE22" i="137"/>
  <c r="EE10" i="137"/>
  <c r="EE21" i="137"/>
  <c r="EE15" i="137"/>
  <c r="EE7" i="137"/>
  <c r="FE24" i="137"/>
  <c r="FE13" i="137"/>
  <c r="FE6" i="137"/>
  <c r="FE23" i="137"/>
  <c r="FE21" i="137"/>
  <c r="FE8" i="137"/>
  <c r="FE22" i="137"/>
  <c r="FE12" i="137"/>
  <c r="FE9" i="137"/>
  <c r="FE20" i="137"/>
  <c r="FE15" i="137"/>
  <c r="FE18" i="137"/>
  <c r="FE14" i="137"/>
  <c r="FE17" i="137"/>
  <c r="FE10" i="137"/>
  <c r="FE16" i="137"/>
  <c r="FE7" i="137"/>
  <c r="FE19" i="137"/>
  <c r="FE11" i="137"/>
  <c r="FE21" i="136"/>
  <c r="FE10" i="136"/>
  <c r="FE17" i="136"/>
  <c r="FE13" i="136"/>
  <c r="FE19" i="136"/>
  <c r="FE16" i="136"/>
  <c r="FE18" i="136"/>
  <c r="FE6" i="136"/>
  <c r="FE24" i="136"/>
  <c r="FE12" i="136"/>
  <c r="FE8" i="136"/>
  <c r="FE23" i="136"/>
  <c r="FE11" i="136"/>
  <c r="FE9" i="136"/>
  <c r="FE20" i="136"/>
  <c r="FE15" i="136"/>
  <c r="FE7" i="136"/>
  <c r="FE22" i="136"/>
  <c r="FE14" i="136"/>
  <c r="BU13" i="136"/>
  <c r="U13" i="136" s="1"/>
  <c r="V13" i="136" s="1"/>
  <c r="IU134" i="9"/>
  <c r="IV133" i="9"/>
  <c r="EM10" i="142" s="1"/>
  <c r="BU9" i="137"/>
  <c r="U9" i="137" s="1"/>
  <c r="FF19" i="137"/>
  <c r="FF7" i="137"/>
  <c r="FF15" i="137"/>
  <c r="FF6" i="137"/>
  <c r="FF24" i="137"/>
  <c r="FF14" i="137"/>
  <c r="FF9" i="137"/>
  <c r="FF23" i="137"/>
  <c r="FF20" i="137"/>
  <c r="FF8" i="137"/>
  <c r="FF22" i="137"/>
  <c r="FF18" i="137"/>
  <c r="FF10" i="137"/>
  <c r="FF21" i="137"/>
  <c r="FF11" i="137"/>
  <c r="FF17" i="137"/>
  <c r="FF13" i="137"/>
  <c r="FF16" i="137"/>
  <c r="FF12" i="137"/>
  <c r="BU23" i="137"/>
  <c r="U23" i="137" s="1"/>
  <c r="EE22" i="136"/>
  <c r="EE15" i="136"/>
  <c r="EE8" i="136"/>
  <c r="EE17" i="136"/>
  <c r="EE14" i="136"/>
  <c r="EE20" i="136"/>
  <c r="EE11" i="136"/>
  <c r="EE21" i="136"/>
  <c r="EE10" i="136"/>
  <c r="EE16" i="136"/>
  <c r="EE13" i="136"/>
  <c r="EE12" i="136"/>
  <c r="EE7" i="136"/>
  <c r="EE24" i="136"/>
  <c r="EE19" i="136"/>
  <c r="EE6" i="136"/>
  <c r="EE23" i="136"/>
  <c r="EE18" i="136"/>
  <c r="EE9" i="136"/>
  <c r="BU7" i="136"/>
  <c r="U7" i="136" s="1"/>
  <c r="V7" i="136" s="1"/>
  <c r="EI10" i="133"/>
  <c r="CB10" i="133" s="1"/>
  <c r="Y10" i="133" s="1"/>
  <c r="Z10" i="133" s="1"/>
  <c r="EJ10" i="136"/>
  <c r="EK10" i="137"/>
  <c r="EG2" i="136"/>
  <c r="EG1" i="136" s="1"/>
  <c r="EF1" i="136"/>
  <c r="FF24" i="136"/>
  <c r="FF12" i="136"/>
  <c r="FF13" i="136"/>
  <c r="FF23" i="136"/>
  <c r="FF11" i="136"/>
  <c r="FF7" i="136"/>
  <c r="FF22" i="136"/>
  <c r="FF15" i="136"/>
  <c r="FF6" i="136"/>
  <c r="FF17" i="136"/>
  <c r="FF14" i="136"/>
  <c r="FF19" i="136"/>
  <c r="FF10" i="136"/>
  <c r="FF20" i="136"/>
  <c r="FF9" i="136"/>
  <c r="FF21" i="136"/>
  <c r="FF8" i="136"/>
  <c r="FF18" i="136"/>
  <c r="FF16" i="136"/>
  <c r="BU21" i="132"/>
  <c r="U21" i="132" s="1"/>
  <c r="V21" i="132" s="1"/>
  <c r="BU11" i="132"/>
  <c r="U11" i="132" s="1"/>
  <c r="V11" i="132" s="1"/>
  <c r="BU22" i="132"/>
  <c r="U22" i="132" s="1"/>
  <c r="V22" i="132" s="1"/>
  <c r="BU12" i="132"/>
  <c r="U12" i="132" s="1"/>
  <c r="V12" i="132" s="1"/>
  <c r="BU13" i="132"/>
  <c r="U13" i="132" s="1"/>
  <c r="V13" i="132" s="1"/>
  <c r="BU16" i="132"/>
  <c r="U16" i="132" s="1"/>
  <c r="V16" i="132" s="1"/>
  <c r="BU9" i="133"/>
  <c r="U9" i="133" s="1"/>
  <c r="V9" i="133" s="1"/>
  <c r="BU16" i="133"/>
  <c r="U16" i="133" s="1"/>
  <c r="BU19" i="132"/>
  <c r="U19" i="132" s="1"/>
  <c r="V19" i="132" s="1"/>
  <c r="BU23" i="133"/>
  <c r="U23" i="133" s="1"/>
  <c r="V23" i="133" s="1"/>
  <c r="BU17" i="132"/>
  <c r="U17" i="132" s="1"/>
  <c r="V17" i="132" s="1"/>
  <c r="BU20" i="132"/>
  <c r="BT26" i="132" s="1"/>
  <c r="BU24" i="132"/>
  <c r="U24" i="132" s="1"/>
  <c r="V24" i="132" s="1"/>
  <c r="BU9" i="132"/>
  <c r="U9" i="132" s="1"/>
  <c r="V9" i="132" s="1"/>
  <c r="BU15" i="132"/>
  <c r="U15" i="132" s="1"/>
  <c r="V15" i="132" s="1"/>
  <c r="BU19" i="133"/>
  <c r="U19" i="133" s="1"/>
  <c r="BU7" i="132"/>
  <c r="U7" i="132" s="1"/>
  <c r="V7" i="132" s="1"/>
  <c r="BU23" i="132"/>
  <c r="U23" i="132" s="1"/>
  <c r="V23" i="132" s="1"/>
  <c r="BU13" i="133"/>
  <c r="U13" i="133" s="1"/>
  <c r="BU17" i="133"/>
  <c r="U17" i="133" s="1"/>
  <c r="EF24" i="133"/>
  <c r="EF12" i="133"/>
  <c r="EF17" i="133"/>
  <c r="EF7" i="133"/>
  <c r="EF13" i="133"/>
  <c r="EF11" i="133"/>
  <c r="EF21" i="133"/>
  <c r="EF15" i="133"/>
  <c r="EF10" i="133"/>
  <c r="EF20" i="133"/>
  <c r="EF16" i="133"/>
  <c r="EF14" i="133"/>
  <c r="EF19" i="133"/>
  <c r="EF23" i="133"/>
  <c r="EF8" i="133"/>
  <c r="EF22" i="133"/>
  <c r="EF9" i="133"/>
  <c r="EF18" i="133"/>
  <c r="EF6" i="133"/>
  <c r="FE14" i="133"/>
  <c r="FE19" i="133"/>
  <c r="FE13" i="133"/>
  <c r="FE24" i="133"/>
  <c r="FE7" i="133"/>
  <c r="FE21" i="133"/>
  <c r="FE8" i="133"/>
  <c r="FE16" i="133"/>
  <c r="FE17" i="133"/>
  <c r="FE12" i="133"/>
  <c r="FE23" i="133"/>
  <c r="FE11" i="133"/>
  <c r="FE20" i="133"/>
  <c r="FE22" i="133"/>
  <c r="FE18" i="133"/>
  <c r="FE9" i="133"/>
  <c r="FE6" i="133"/>
  <c r="FE10" i="133"/>
  <c r="FE15" i="133"/>
  <c r="BU10" i="132"/>
  <c r="U10" i="132" s="1"/>
  <c r="V10" i="132" s="1"/>
  <c r="BU22" i="133"/>
  <c r="U22" i="133" s="1"/>
  <c r="BU21" i="133"/>
  <c r="U21" i="133" s="1"/>
  <c r="BU6" i="133"/>
  <c r="U6" i="133" s="1"/>
  <c r="BU7" i="133"/>
  <c r="U7" i="133" s="1"/>
  <c r="EG24" i="133"/>
  <c r="EG10" i="133"/>
  <c r="EG22" i="133"/>
  <c r="EG13" i="133"/>
  <c r="EG14" i="133"/>
  <c r="EG20" i="133"/>
  <c r="EG21" i="133"/>
  <c r="EG9" i="133"/>
  <c r="EG19" i="133"/>
  <c r="EG16" i="133"/>
  <c r="EG11" i="133"/>
  <c r="EG7" i="133"/>
  <c r="EG12" i="133"/>
  <c r="EG17" i="133"/>
  <c r="EG8" i="133"/>
  <c r="EG15" i="133"/>
  <c r="EG23" i="133"/>
  <c r="EG18" i="133"/>
  <c r="EG6" i="133"/>
  <c r="BU18" i="132"/>
  <c r="U18" i="132" s="1"/>
  <c r="V18" i="132" s="1"/>
  <c r="FE17" i="132"/>
  <c r="FE9" i="132"/>
  <c r="FE20" i="132"/>
  <c r="FE7" i="132"/>
  <c r="FE13" i="132"/>
  <c r="FE22" i="132"/>
  <c r="FE11" i="132"/>
  <c r="FE23" i="132"/>
  <c r="FE21" i="132"/>
  <c r="FE8" i="132"/>
  <c r="FE19" i="132"/>
  <c r="FE12" i="132"/>
  <c r="FE16" i="132"/>
  <c r="FE6" i="132"/>
  <c r="FE24" i="132"/>
  <c r="FE14" i="132"/>
  <c r="FE15" i="132"/>
  <c r="FE18" i="132"/>
  <c r="FE10" i="132"/>
  <c r="BU24" i="133"/>
  <c r="U24" i="133" s="1"/>
  <c r="BU20" i="133"/>
  <c r="U20" i="133" s="1"/>
  <c r="BU11" i="133"/>
  <c r="U11" i="133" s="1"/>
  <c r="BU15" i="133"/>
  <c r="U15" i="133" s="1"/>
  <c r="V15" i="133" s="1"/>
  <c r="FF21" i="132"/>
  <c r="FF7" i="132"/>
  <c r="FF20" i="132"/>
  <c r="FF11" i="132"/>
  <c r="FF18" i="132"/>
  <c r="FF13" i="132"/>
  <c r="FF19" i="132"/>
  <c r="FF12" i="132"/>
  <c r="FF23" i="132"/>
  <c r="FF24" i="132"/>
  <c r="FF9" i="132"/>
  <c r="FF16" i="132"/>
  <c r="FF6" i="132"/>
  <c r="FF10" i="132"/>
  <c r="FF22" i="132"/>
  <c r="FF15" i="132"/>
  <c r="FF8" i="132"/>
  <c r="FF17" i="132"/>
  <c r="FF14" i="132"/>
  <c r="BU6" i="132"/>
  <c r="BU8" i="132"/>
  <c r="U8" i="132" s="1"/>
  <c r="V8" i="132" s="1"/>
  <c r="BU14" i="133"/>
  <c r="U14" i="133" s="1"/>
  <c r="BU10" i="133"/>
  <c r="U10" i="133" s="1"/>
  <c r="FF17" i="133"/>
  <c r="FF12" i="133"/>
  <c r="FF20" i="133"/>
  <c r="FF8" i="133"/>
  <c r="FF6" i="133"/>
  <c r="FF13" i="133"/>
  <c r="FF10" i="133"/>
  <c r="FF11" i="133"/>
  <c r="FF23" i="133"/>
  <c r="FF24" i="133"/>
  <c r="FF7" i="133"/>
  <c r="FF21" i="133"/>
  <c r="FF14" i="133"/>
  <c r="FF18" i="133"/>
  <c r="FF9" i="133"/>
  <c r="FF15" i="133"/>
  <c r="FF22" i="133"/>
  <c r="FF19" i="133"/>
  <c r="FF16" i="133"/>
  <c r="EE24" i="132"/>
  <c r="EE8" i="132"/>
  <c r="EE16" i="132"/>
  <c r="EE17" i="132"/>
  <c r="EE14" i="132"/>
  <c r="EE20" i="132"/>
  <c r="EE7" i="132"/>
  <c r="EE13" i="132"/>
  <c r="EE10" i="132"/>
  <c r="EE9" i="132"/>
  <c r="EE19" i="132"/>
  <c r="EE11" i="132"/>
  <c r="EE15" i="132"/>
  <c r="EE23" i="132"/>
  <c r="EE12" i="132"/>
  <c r="EE22" i="132"/>
  <c r="EE6" i="132"/>
  <c r="EE21" i="132"/>
  <c r="EE18" i="132"/>
  <c r="BU14" i="132"/>
  <c r="U14" i="132" s="1"/>
  <c r="V14" i="132" s="1"/>
  <c r="BU12" i="133"/>
  <c r="U12" i="133" s="1"/>
  <c r="BU8" i="133"/>
  <c r="U8" i="133" s="1"/>
  <c r="BU18" i="133"/>
  <c r="U18" i="133" s="1"/>
  <c r="EG2" i="132"/>
  <c r="EG1" i="132" s="1"/>
  <c r="EF1" i="132"/>
  <c r="I27" i="131"/>
  <c r="I30" i="131"/>
  <c r="E29" i="131"/>
  <c r="E28" i="131"/>
  <c r="I29" i="131"/>
  <c r="E30" i="131"/>
  <c r="I28" i="131"/>
  <c r="I32" i="131"/>
  <c r="O30" i="131"/>
  <c r="O29" i="131"/>
  <c r="O28" i="131"/>
  <c r="Q30" i="131"/>
  <c r="Q29" i="131"/>
  <c r="Q28" i="131"/>
  <c r="K27" i="131"/>
  <c r="J17" i="131"/>
  <c r="FH17" i="131"/>
  <c r="L17" i="131"/>
  <c r="J9" i="131"/>
  <c r="FH9" i="131"/>
  <c r="L9" i="131"/>
  <c r="EI24" i="131"/>
  <c r="CB24" i="131" s="1"/>
  <c r="EI13" i="131"/>
  <c r="CB13" i="131" s="1"/>
  <c r="EI23" i="131"/>
  <c r="CB23" i="131" s="1"/>
  <c r="EI10" i="131"/>
  <c r="CB10" i="131" s="1"/>
  <c r="EI17" i="131"/>
  <c r="CB17" i="131" s="1"/>
  <c r="EI15" i="131"/>
  <c r="CB15" i="131" s="1"/>
  <c r="EI18" i="131"/>
  <c r="CB18" i="131" s="1"/>
  <c r="EI12" i="131"/>
  <c r="CB12" i="131" s="1"/>
  <c r="EI22" i="131"/>
  <c r="CB22" i="131" s="1"/>
  <c r="EI11" i="131"/>
  <c r="CB11" i="131" s="1"/>
  <c r="EI21" i="131"/>
  <c r="CB21" i="131" s="1"/>
  <c r="EI9" i="131"/>
  <c r="CB9" i="131" s="1"/>
  <c r="EI20" i="131"/>
  <c r="CB20" i="131" s="1"/>
  <c r="EI8" i="131"/>
  <c r="CB8" i="131" s="1"/>
  <c r="EI19" i="131"/>
  <c r="CB19" i="131" s="1"/>
  <c r="EI7" i="131"/>
  <c r="CB7" i="131" s="1"/>
  <c r="EI2" i="131"/>
  <c r="EJ2" i="131" s="1"/>
  <c r="EK2" i="131" s="1"/>
  <c r="EL2" i="131" s="1"/>
  <c r="EM2" i="131" s="1"/>
  <c r="EN2" i="131" s="1"/>
  <c r="EO2" i="131" s="1"/>
  <c r="EP2" i="131" s="1"/>
  <c r="EQ2" i="131" s="1"/>
  <c r="ER2" i="131" s="1"/>
  <c r="ES2" i="131" s="1"/>
  <c r="ET2" i="131" s="1"/>
  <c r="EU2" i="131" s="1"/>
  <c r="EV2" i="131" s="1"/>
  <c r="EW2" i="131" s="1"/>
  <c r="EX2" i="131" s="1"/>
  <c r="EY2" i="131" s="1"/>
  <c r="EZ2" i="131" s="1"/>
  <c r="FA2" i="131" s="1"/>
  <c r="FB2" i="131" s="1"/>
  <c r="FC2" i="131" s="1"/>
  <c r="FD2" i="131" s="1"/>
  <c r="FE2" i="131" s="1"/>
  <c r="FF2" i="131" s="1"/>
  <c r="EI6" i="131"/>
  <c r="CB6" i="131" s="1"/>
  <c r="EI14" i="131"/>
  <c r="CB14" i="131" s="1"/>
  <c r="EI16" i="131"/>
  <c r="CB16" i="131" s="1"/>
  <c r="J14" i="131"/>
  <c r="L14" i="131"/>
  <c r="FH14" i="131"/>
  <c r="J22" i="131"/>
  <c r="L22" i="131"/>
  <c r="FH22" i="131"/>
  <c r="J11" i="131"/>
  <c r="FH11" i="131"/>
  <c r="L11" i="131"/>
  <c r="J15" i="131"/>
  <c r="L15" i="131"/>
  <c r="FH15" i="131"/>
  <c r="J23" i="131"/>
  <c r="FH23" i="131"/>
  <c r="L23" i="131"/>
  <c r="J10" i="131"/>
  <c r="FH10" i="131"/>
  <c r="L10" i="131"/>
  <c r="J21" i="131"/>
  <c r="FH21" i="131"/>
  <c r="L21" i="131"/>
  <c r="CL19" i="131"/>
  <c r="CL23" i="131"/>
  <c r="CL10" i="131"/>
  <c r="CL18" i="131"/>
  <c r="CL16" i="131"/>
  <c r="CL12" i="131"/>
  <c r="CL17" i="131"/>
  <c r="CL13" i="131"/>
  <c r="CL22" i="131"/>
  <c r="CL11" i="131"/>
  <c r="CL21" i="131"/>
  <c r="CL9" i="131"/>
  <c r="CL20" i="131"/>
  <c r="CL8" i="131"/>
  <c r="CL24" i="131"/>
  <c r="EJ1" i="131"/>
  <c r="CL7" i="131"/>
  <c r="CL6" i="131"/>
  <c r="CL15" i="131"/>
  <c r="CL14" i="131"/>
  <c r="J8" i="131"/>
  <c r="L8" i="131"/>
  <c r="FH8" i="131"/>
  <c r="CM1" i="131"/>
  <c r="CN2" i="131"/>
  <c r="J18" i="131"/>
  <c r="L18" i="131"/>
  <c r="FH18" i="131"/>
  <c r="J16" i="131"/>
  <c r="FH16" i="131"/>
  <c r="L16" i="131"/>
  <c r="J6" i="131"/>
  <c r="FH6" i="131"/>
  <c r="L6" i="131"/>
  <c r="J13" i="131"/>
  <c r="L13" i="131"/>
  <c r="FH13" i="131"/>
  <c r="J19" i="131"/>
  <c r="L19" i="131"/>
  <c r="FH19" i="131"/>
  <c r="J24" i="131"/>
  <c r="L24" i="131"/>
  <c r="FH24" i="131"/>
  <c r="J7" i="131"/>
  <c r="FH7" i="131"/>
  <c r="L7" i="131"/>
  <c r="DJ17" i="131"/>
  <c r="DJ6" i="131"/>
  <c r="DJ19" i="131"/>
  <c r="DJ15" i="131"/>
  <c r="DJ2" i="131"/>
  <c r="DK2" i="131" s="1"/>
  <c r="DJ16" i="131"/>
  <c r="DJ14" i="131"/>
  <c r="DJ12" i="131"/>
  <c r="DJ24" i="131"/>
  <c r="DJ13" i="131"/>
  <c r="DJ23" i="131"/>
  <c r="DJ11" i="131"/>
  <c r="DJ22" i="131"/>
  <c r="DJ10" i="131"/>
  <c r="DJ9" i="131"/>
  <c r="DJ20" i="131"/>
  <c r="DJ8" i="131"/>
  <c r="DJ18" i="131"/>
  <c r="DJ21" i="131"/>
  <c r="DJ7" i="131"/>
  <c r="J12" i="131"/>
  <c r="L12" i="131"/>
  <c r="FH12" i="131"/>
  <c r="J20" i="131"/>
  <c r="L20" i="131"/>
  <c r="FH20" i="131"/>
  <c r="DK2" i="125"/>
  <c r="DJ1" i="125"/>
  <c r="CM1" i="125"/>
  <c r="CN2" i="125"/>
  <c r="FG27" i="125"/>
  <c r="EI24" i="125"/>
  <c r="EI10" i="125"/>
  <c r="EI17" i="125"/>
  <c r="EI22" i="125"/>
  <c r="EI11" i="125"/>
  <c r="EI14" i="125"/>
  <c r="EI15" i="125"/>
  <c r="EI16" i="125"/>
  <c r="EI20" i="125"/>
  <c r="EI9" i="125"/>
  <c r="EI18" i="125"/>
  <c r="EI6" i="125"/>
  <c r="EI19" i="125"/>
  <c r="EI21" i="125"/>
  <c r="EI23" i="125"/>
  <c r="EI7" i="125"/>
  <c r="EI8" i="125"/>
  <c r="EI12" i="125"/>
  <c r="EI13" i="125"/>
  <c r="K30" i="125"/>
  <c r="K28" i="125"/>
  <c r="CL23" i="125"/>
  <c r="CL9" i="125"/>
  <c r="CL16" i="125"/>
  <c r="CL24" i="125"/>
  <c r="CL15" i="125"/>
  <c r="CL19" i="125"/>
  <c r="CL12" i="125"/>
  <c r="CL17" i="125"/>
  <c r="CL18" i="125"/>
  <c r="CL14" i="125"/>
  <c r="CL11" i="125"/>
  <c r="CL21" i="125"/>
  <c r="CL8" i="125"/>
  <c r="EJ1" i="125"/>
  <c r="CL22" i="125"/>
  <c r="CL20" i="125"/>
  <c r="CL13" i="125"/>
  <c r="CL10" i="125"/>
  <c r="CL7" i="125"/>
  <c r="CL6" i="125"/>
  <c r="EF20" i="142" l="1"/>
  <c r="EF19" i="142"/>
  <c r="EF16" i="142"/>
  <c r="EF15" i="142"/>
  <c r="EF14" i="142"/>
  <c r="EF13" i="142"/>
  <c r="EF12" i="142"/>
  <c r="EF11" i="142"/>
  <c r="EF10" i="142"/>
  <c r="EF9" i="142"/>
  <c r="EF8" i="142"/>
  <c r="EF7" i="142"/>
  <c r="EF6" i="142"/>
  <c r="EF23" i="142"/>
  <c r="EF21" i="142"/>
  <c r="EF24" i="142"/>
  <c r="EF22" i="142"/>
  <c r="EF18" i="142"/>
  <c r="EF17" i="142"/>
  <c r="EG23" i="142"/>
  <c r="EG21" i="142"/>
  <c r="EG20" i="142"/>
  <c r="EG18" i="142"/>
  <c r="EG17" i="142"/>
  <c r="EG16" i="142"/>
  <c r="EG15" i="142"/>
  <c r="EG14" i="142"/>
  <c r="EG13" i="142"/>
  <c r="EG12" i="142"/>
  <c r="EG11" i="142"/>
  <c r="EG10" i="142"/>
  <c r="EG9" i="142"/>
  <c r="EG8" i="142"/>
  <c r="EG7" i="142"/>
  <c r="EG6" i="142"/>
  <c r="EG24" i="142"/>
  <c r="EG22" i="142"/>
  <c r="EG19" i="142"/>
  <c r="G21" i="138"/>
  <c r="V21" i="142"/>
  <c r="G13" i="138"/>
  <c r="V13" i="142"/>
  <c r="G12" i="138"/>
  <c r="V12" i="142"/>
  <c r="G11" i="138"/>
  <c r="V11" i="142"/>
  <c r="G9" i="138"/>
  <c r="V9" i="142"/>
  <c r="G8" i="138"/>
  <c r="V8" i="142"/>
  <c r="G7" i="138"/>
  <c r="V7" i="142"/>
  <c r="G6" i="138"/>
  <c r="V6" i="142"/>
  <c r="G24" i="138"/>
  <c r="V24" i="142"/>
  <c r="BT27" i="137"/>
  <c r="U21" i="137"/>
  <c r="V21" i="137" s="1"/>
  <c r="EX135" i="9"/>
  <c r="BL13" i="139" s="1"/>
  <c r="O13" i="139" s="1"/>
  <c r="P13" i="139" s="1"/>
  <c r="EW136" i="9"/>
  <c r="EK10" i="139"/>
  <c r="IV134" i="9"/>
  <c r="EL10" i="142" s="1"/>
  <c r="IU135" i="9"/>
  <c r="GN134" i="9"/>
  <c r="BP13" i="137" s="1"/>
  <c r="Q13" i="137" s="1"/>
  <c r="R13" i="137" s="1"/>
  <c r="GJ135" i="9"/>
  <c r="V16" i="139"/>
  <c r="V18" i="139"/>
  <c r="V24" i="139"/>
  <c r="V14" i="139"/>
  <c r="V23" i="139"/>
  <c r="V13" i="139"/>
  <c r="V20" i="139"/>
  <c r="V9" i="139"/>
  <c r="V12" i="139"/>
  <c r="V8" i="139"/>
  <c r="V19" i="139"/>
  <c r="V6" i="139"/>
  <c r="V7" i="139"/>
  <c r="EF17" i="139"/>
  <c r="EF15" i="139"/>
  <c r="EF7" i="139"/>
  <c r="EF18" i="139"/>
  <c r="EF16" i="139"/>
  <c r="EF13" i="139"/>
  <c r="EF19" i="139"/>
  <c r="EF20" i="139"/>
  <c r="EF23" i="139"/>
  <c r="EF14" i="139"/>
  <c r="EF6" i="139"/>
  <c r="EF11" i="139"/>
  <c r="EF24" i="139"/>
  <c r="EF8" i="139"/>
  <c r="EF21" i="139"/>
  <c r="EF22" i="139"/>
  <c r="EF9" i="139"/>
  <c r="EF10" i="139"/>
  <c r="EF12" i="139"/>
  <c r="V10" i="139"/>
  <c r="EG21" i="139"/>
  <c r="EG15" i="139"/>
  <c r="EG12" i="139"/>
  <c r="EG23" i="139"/>
  <c r="EG7" i="139"/>
  <c r="EG17" i="139"/>
  <c r="EG6" i="139"/>
  <c r="EG22" i="139"/>
  <c r="EG24" i="139"/>
  <c r="EG19" i="139"/>
  <c r="EG20" i="139"/>
  <c r="EG8" i="139"/>
  <c r="EG11" i="139"/>
  <c r="EG9" i="139"/>
  <c r="EG10" i="139"/>
  <c r="EG18" i="139"/>
  <c r="EG13" i="139"/>
  <c r="EG16" i="139"/>
  <c r="EG14" i="139"/>
  <c r="V17" i="139"/>
  <c r="V11" i="139"/>
  <c r="V22" i="139"/>
  <c r="BT27" i="139"/>
  <c r="U21" i="139"/>
  <c r="U21" i="136"/>
  <c r="V21" i="136" s="1"/>
  <c r="V6" i="137"/>
  <c r="V13" i="137"/>
  <c r="V8" i="137"/>
  <c r="V7" i="137"/>
  <c r="V16" i="137"/>
  <c r="V20" i="137"/>
  <c r="V24" i="137"/>
  <c r="V22" i="137"/>
  <c r="V19" i="137"/>
  <c r="V23" i="137"/>
  <c r="EF22" i="137"/>
  <c r="EF13" i="137"/>
  <c r="EF8" i="137"/>
  <c r="EF21" i="137"/>
  <c r="EF12" i="137"/>
  <c r="EF19" i="137"/>
  <c r="EF11" i="137"/>
  <c r="EF18" i="137"/>
  <c r="EF10" i="137"/>
  <c r="EF17" i="137"/>
  <c r="EF9" i="137"/>
  <c r="EF16" i="137"/>
  <c r="EF7" i="137"/>
  <c r="EF24" i="137"/>
  <c r="EF20" i="137"/>
  <c r="EF14" i="137"/>
  <c r="EF23" i="137"/>
  <c r="EF15" i="137"/>
  <c r="EF6" i="137"/>
  <c r="EF18" i="136"/>
  <c r="EF13" i="136"/>
  <c r="EF15" i="136"/>
  <c r="EF8" i="136"/>
  <c r="EF24" i="136"/>
  <c r="EF17" i="136"/>
  <c r="EF6" i="136"/>
  <c r="EF23" i="136"/>
  <c r="EF14" i="136"/>
  <c r="EF9" i="136"/>
  <c r="EF20" i="136"/>
  <c r="EF12" i="136"/>
  <c r="EF7" i="136"/>
  <c r="EF22" i="136"/>
  <c r="EF11" i="136"/>
  <c r="EF16" i="136"/>
  <c r="EF10" i="136"/>
  <c r="EF19" i="136"/>
  <c r="EF21" i="136"/>
  <c r="EG16" i="137"/>
  <c r="EG10" i="137"/>
  <c r="EG15" i="137"/>
  <c r="EG9" i="137"/>
  <c r="EG20" i="137"/>
  <c r="EG7" i="137"/>
  <c r="EG24" i="137"/>
  <c r="EG14" i="137"/>
  <c r="EG12" i="137"/>
  <c r="EG23" i="137"/>
  <c r="EG19" i="137"/>
  <c r="EG6" i="137"/>
  <c r="EG22" i="137"/>
  <c r="EG18" i="137"/>
  <c r="EG8" i="137"/>
  <c r="EG21" i="137"/>
  <c r="EG13" i="137"/>
  <c r="EG17" i="137"/>
  <c r="EG11" i="137"/>
  <c r="EG20" i="136"/>
  <c r="EG11" i="136"/>
  <c r="EG19" i="136"/>
  <c r="EG10" i="136"/>
  <c r="EG18" i="136"/>
  <c r="EG9" i="136"/>
  <c r="EG15" i="136"/>
  <c r="EG8" i="136"/>
  <c r="EG21" i="136"/>
  <c r="EG13" i="136"/>
  <c r="EG24" i="136"/>
  <c r="EG17" i="136"/>
  <c r="EG16" i="136"/>
  <c r="EG23" i="136"/>
  <c r="EG14" i="136"/>
  <c r="EG7" i="136"/>
  <c r="EG22" i="136"/>
  <c r="EG12" i="136"/>
  <c r="EG6" i="136"/>
  <c r="V9" i="137"/>
  <c r="EI10" i="136"/>
  <c r="CB10" i="136" s="1"/>
  <c r="Y10" i="136" s="1"/>
  <c r="Z10" i="136" s="1"/>
  <c r="EJ10" i="137"/>
  <c r="BY20" i="133"/>
  <c r="W20" i="133" s="1"/>
  <c r="X20" i="133" s="1"/>
  <c r="BY12" i="133"/>
  <c r="W12" i="133" s="1"/>
  <c r="V16" i="133"/>
  <c r="U20" i="132"/>
  <c r="V20" i="132" s="1"/>
  <c r="BY9" i="133"/>
  <c r="W9" i="133" s="1"/>
  <c r="X9" i="133" s="1"/>
  <c r="BY18" i="133"/>
  <c r="W18" i="133" s="1"/>
  <c r="BY10" i="133"/>
  <c r="W10" i="133" s="1"/>
  <c r="BY24" i="133"/>
  <c r="W24" i="133" s="1"/>
  <c r="X24" i="133" s="1"/>
  <c r="BY14" i="133"/>
  <c r="W14" i="133" s="1"/>
  <c r="BY17" i="133"/>
  <c r="W17" i="133" s="1"/>
  <c r="X17" i="133" s="1"/>
  <c r="BY6" i="133"/>
  <c r="W6" i="133" s="1"/>
  <c r="X6" i="133" s="1"/>
  <c r="BY16" i="133"/>
  <c r="W16" i="133" s="1"/>
  <c r="X16" i="133" s="1"/>
  <c r="BY19" i="133"/>
  <c r="W19" i="133" s="1"/>
  <c r="BY7" i="133"/>
  <c r="W7" i="133" s="1"/>
  <c r="X7" i="133" s="1"/>
  <c r="BY15" i="133"/>
  <c r="W15" i="133" s="1"/>
  <c r="X15" i="133" s="1"/>
  <c r="BY13" i="133"/>
  <c r="W13" i="133" s="1"/>
  <c r="X13" i="133" s="1"/>
  <c r="BY22" i="133"/>
  <c r="W22" i="133" s="1"/>
  <c r="X22" i="133" s="1"/>
  <c r="V24" i="133"/>
  <c r="V7" i="133"/>
  <c r="EF21" i="132"/>
  <c r="EF9" i="132"/>
  <c r="EF7" i="132"/>
  <c r="EF13" i="132"/>
  <c r="EF12" i="132"/>
  <c r="EF18" i="132"/>
  <c r="EF8" i="132"/>
  <c r="EF16" i="132"/>
  <c r="EF23" i="132"/>
  <c r="EF17" i="132"/>
  <c r="EF6" i="132"/>
  <c r="EF22" i="132"/>
  <c r="EF14" i="132"/>
  <c r="EF20" i="132"/>
  <c r="EF11" i="132"/>
  <c r="EF19" i="132"/>
  <c r="EF10" i="132"/>
  <c r="EF15" i="132"/>
  <c r="EF24" i="132"/>
  <c r="EG17" i="132"/>
  <c r="EG7" i="132"/>
  <c r="EG8" i="132"/>
  <c r="EG12" i="132"/>
  <c r="EG13" i="132"/>
  <c r="EG19" i="132"/>
  <c r="EG6" i="132"/>
  <c r="EG23" i="132"/>
  <c r="EG14" i="132"/>
  <c r="EG21" i="132"/>
  <c r="EG18" i="132"/>
  <c r="EG9" i="132"/>
  <c r="EG24" i="132"/>
  <c r="EG16" i="132"/>
  <c r="EG10" i="132"/>
  <c r="EG15" i="132"/>
  <c r="EG11" i="132"/>
  <c r="EG22" i="132"/>
  <c r="EG20" i="132"/>
  <c r="V19" i="133"/>
  <c r="BY21" i="133"/>
  <c r="W21" i="133" s="1"/>
  <c r="V6" i="133"/>
  <c r="V18" i="133"/>
  <c r="V21" i="133"/>
  <c r="BU27" i="132"/>
  <c r="BT28" i="132" s="1"/>
  <c r="U6" i="132"/>
  <c r="BY8" i="133"/>
  <c r="W8" i="133" s="1"/>
  <c r="V8" i="133"/>
  <c r="BY11" i="133"/>
  <c r="W11" i="133" s="1"/>
  <c r="V22" i="133"/>
  <c r="V12" i="133"/>
  <c r="V10" i="133"/>
  <c r="V11" i="133"/>
  <c r="V13" i="133"/>
  <c r="V14" i="133"/>
  <c r="V20" i="133"/>
  <c r="BY23" i="133"/>
  <c r="W23" i="133" s="1"/>
  <c r="V17" i="133"/>
  <c r="K30" i="131"/>
  <c r="K28" i="131"/>
  <c r="CO2" i="131"/>
  <c r="CN1" i="131"/>
  <c r="CM24" i="131"/>
  <c r="CM13" i="131"/>
  <c r="CM23" i="131"/>
  <c r="CM19" i="131"/>
  <c r="CM18" i="131"/>
  <c r="CM12" i="131"/>
  <c r="CM15" i="131"/>
  <c r="CM7" i="131"/>
  <c r="CM17" i="131"/>
  <c r="CM6" i="131"/>
  <c r="EK1" i="131"/>
  <c r="CM16" i="131"/>
  <c r="CM10" i="131"/>
  <c r="CM14" i="131"/>
  <c r="CM11" i="131"/>
  <c r="CM21" i="131"/>
  <c r="CM9" i="131"/>
  <c r="CM20" i="131"/>
  <c r="CM8" i="131"/>
  <c r="CM22" i="131"/>
  <c r="DK1" i="131"/>
  <c r="DL2" i="131"/>
  <c r="FH27" i="131"/>
  <c r="EJ14" i="131"/>
  <c r="EJ23" i="131"/>
  <c r="EJ10" i="131"/>
  <c r="EJ22" i="131"/>
  <c r="EJ11" i="131"/>
  <c r="EJ19" i="131"/>
  <c r="EJ24" i="131"/>
  <c r="EJ17" i="131"/>
  <c r="EJ21" i="131"/>
  <c r="EJ9" i="131"/>
  <c r="EJ20" i="131"/>
  <c r="EJ8" i="131"/>
  <c r="EJ16" i="131"/>
  <c r="EJ12" i="131"/>
  <c r="EJ15" i="131"/>
  <c r="EJ13" i="131"/>
  <c r="EJ18" i="131"/>
  <c r="EJ6" i="131"/>
  <c r="EJ7" i="131"/>
  <c r="CN1" i="125"/>
  <c r="CO2" i="125"/>
  <c r="CM23" i="125"/>
  <c r="CM11" i="125"/>
  <c r="CM24" i="125"/>
  <c r="CM12" i="125"/>
  <c r="CM17" i="125"/>
  <c r="CM22" i="125"/>
  <c r="CM7" i="125"/>
  <c r="CM20" i="125"/>
  <c r="CM18" i="125"/>
  <c r="CM14" i="125"/>
  <c r="CM9" i="125"/>
  <c r="CM21" i="125"/>
  <c r="CM8" i="125"/>
  <c r="EK1" i="125"/>
  <c r="CM16" i="125"/>
  <c r="CM6" i="125"/>
  <c r="CM19" i="125"/>
  <c r="CM15" i="125"/>
  <c r="CM10" i="125"/>
  <c r="CM13" i="125"/>
  <c r="EJ23" i="125"/>
  <c r="EJ14" i="125"/>
  <c r="EJ24" i="125"/>
  <c r="EJ9" i="125"/>
  <c r="EJ17" i="125"/>
  <c r="EJ8" i="125"/>
  <c r="EJ16" i="125"/>
  <c r="EJ15" i="125"/>
  <c r="EJ21" i="125"/>
  <c r="EJ18" i="125"/>
  <c r="EJ20" i="125"/>
  <c r="EJ11" i="125"/>
  <c r="EJ12" i="125"/>
  <c r="EJ13" i="125"/>
  <c r="EJ22" i="125"/>
  <c r="EJ6" i="125"/>
  <c r="EJ19" i="125"/>
  <c r="EJ10" i="125"/>
  <c r="EJ7" i="125"/>
  <c r="DJ21" i="125"/>
  <c r="DJ13" i="125"/>
  <c r="DJ8" i="125"/>
  <c r="DJ9" i="125"/>
  <c r="DJ20" i="125"/>
  <c r="DJ12" i="125"/>
  <c r="DJ17" i="125"/>
  <c r="DJ24" i="125"/>
  <c r="DJ7" i="125"/>
  <c r="DJ11" i="125"/>
  <c r="DJ14" i="125"/>
  <c r="DJ15" i="125"/>
  <c r="DJ23" i="125"/>
  <c r="DJ6" i="125"/>
  <c r="DJ22" i="125"/>
  <c r="DJ16" i="125"/>
  <c r="DJ10" i="125"/>
  <c r="DJ18" i="125"/>
  <c r="DJ19" i="125"/>
  <c r="DK1" i="125"/>
  <c r="DL2" i="125"/>
  <c r="BY10" i="142" l="1"/>
  <c r="W10" i="142" s="1"/>
  <c r="BY9" i="142"/>
  <c r="W9" i="142" s="1"/>
  <c r="BY8" i="142"/>
  <c r="W8" i="142" s="1"/>
  <c r="BY7" i="142"/>
  <c r="W7" i="142" s="1"/>
  <c r="BY6" i="142"/>
  <c r="W6" i="142" s="1"/>
  <c r="BY24" i="142"/>
  <c r="W24" i="142" s="1"/>
  <c r="BY22" i="142"/>
  <c r="W22" i="142" s="1"/>
  <c r="X22" i="142" s="1"/>
  <c r="BY15" i="142"/>
  <c r="W15" i="142" s="1"/>
  <c r="BY14" i="142"/>
  <c r="W14" i="142" s="1"/>
  <c r="BY13" i="142"/>
  <c r="W13" i="142" s="1"/>
  <c r="BY12" i="142"/>
  <c r="W12" i="142" s="1"/>
  <c r="BY11" i="142"/>
  <c r="W11" i="142" s="1"/>
  <c r="BY18" i="142"/>
  <c r="W18" i="142" s="1"/>
  <c r="BY17" i="142"/>
  <c r="W17" i="142" s="1"/>
  <c r="X15" i="142"/>
  <c r="H15" i="138"/>
  <c r="X14" i="142"/>
  <c r="H14" i="138"/>
  <c r="X13" i="142"/>
  <c r="H13" i="138"/>
  <c r="X12" i="142"/>
  <c r="H12" i="138"/>
  <c r="X11" i="142"/>
  <c r="H11" i="138"/>
  <c r="X10" i="142"/>
  <c r="H10" i="138"/>
  <c r="X9" i="142"/>
  <c r="H9" i="138"/>
  <c r="X8" i="142"/>
  <c r="H8" i="138"/>
  <c r="X7" i="142"/>
  <c r="H7" i="138"/>
  <c r="X6" i="142"/>
  <c r="H6" i="138"/>
  <c r="H24" i="138"/>
  <c r="X24" i="142"/>
  <c r="H22" i="138"/>
  <c r="BY20" i="142"/>
  <c r="W20" i="142" s="1"/>
  <c r="BY19" i="142"/>
  <c r="W19" i="142" s="1"/>
  <c r="BY16" i="142"/>
  <c r="W16" i="142" s="1"/>
  <c r="BY23" i="142"/>
  <c r="W23" i="142" s="1"/>
  <c r="BY21" i="142"/>
  <c r="W21" i="142" s="1"/>
  <c r="GN135" i="9"/>
  <c r="BP13" i="139" s="1"/>
  <c r="Q13" i="139" s="1"/>
  <c r="R13" i="139" s="1"/>
  <c r="GJ136" i="9"/>
  <c r="EW137" i="9"/>
  <c r="EX137" i="9" s="1"/>
  <c r="BL13" i="142" s="1"/>
  <c r="O13" i="142" s="1"/>
  <c r="P13" i="142" s="1"/>
  <c r="EX136" i="9"/>
  <c r="IV135" i="9"/>
  <c r="IU136" i="9"/>
  <c r="BY13" i="139"/>
  <c r="W13" i="139" s="1"/>
  <c r="X13" i="139" s="1"/>
  <c r="BY7" i="139"/>
  <c r="W7" i="139" s="1"/>
  <c r="X7" i="139" s="1"/>
  <c r="BY19" i="139"/>
  <c r="W19" i="139" s="1"/>
  <c r="X19" i="139" s="1"/>
  <c r="BY11" i="139"/>
  <c r="W11" i="139" s="1"/>
  <c r="X11" i="139" s="1"/>
  <c r="BY20" i="139"/>
  <c r="W20" i="139" s="1"/>
  <c r="X20" i="139" s="1"/>
  <c r="BY6" i="139"/>
  <c r="W6" i="139" s="1"/>
  <c r="X6" i="139" s="1"/>
  <c r="BY12" i="139"/>
  <c r="W12" i="139" s="1"/>
  <c r="X12" i="139" s="1"/>
  <c r="BY18" i="139"/>
  <c r="W18" i="139" s="1"/>
  <c r="BY8" i="139"/>
  <c r="W8" i="139" s="1"/>
  <c r="X8" i="139" s="1"/>
  <c r="BY23" i="139"/>
  <c r="W23" i="139" s="1"/>
  <c r="BY21" i="139"/>
  <c r="W21" i="139" s="1"/>
  <c r="X21" i="139" s="1"/>
  <c r="BY16" i="139"/>
  <c r="W16" i="139" s="1"/>
  <c r="BY24" i="139"/>
  <c r="W24" i="139" s="1"/>
  <c r="X24" i="139" s="1"/>
  <c r="BY22" i="139"/>
  <c r="W22" i="139" s="1"/>
  <c r="BY14" i="139"/>
  <c r="W14" i="139" s="1"/>
  <c r="X14" i="139" s="1"/>
  <c r="BY15" i="139"/>
  <c r="W15" i="139" s="1"/>
  <c r="BY10" i="139"/>
  <c r="W10" i="139" s="1"/>
  <c r="V21" i="139"/>
  <c r="BY9" i="139"/>
  <c r="W9" i="139" s="1"/>
  <c r="BY17" i="139"/>
  <c r="W17" i="139" s="1"/>
  <c r="EI10" i="137"/>
  <c r="CB10" i="137" s="1"/>
  <c r="Y10" i="137" s="1"/>
  <c r="Z10" i="137" s="1"/>
  <c r="EJ10" i="139"/>
  <c r="BY13" i="136"/>
  <c r="W13" i="136" s="1"/>
  <c r="X13" i="136" s="1"/>
  <c r="BY22" i="137"/>
  <c r="W22" i="137" s="1"/>
  <c r="BY17" i="136"/>
  <c r="W17" i="136" s="1"/>
  <c r="X17" i="136" s="1"/>
  <c r="BY18" i="137"/>
  <c r="W18" i="137" s="1"/>
  <c r="BY7" i="136"/>
  <c r="W7" i="136" s="1"/>
  <c r="X7" i="136" s="1"/>
  <c r="BY24" i="136"/>
  <c r="W24" i="136" s="1"/>
  <c r="X24" i="136" s="1"/>
  <c r="BY14" i="136"/>
  <c r="W14" i="136" s="1"/>
  <c r="X14" i="136" s="1"/>
  <c r="BY18" i="136"/>
  <c r="W18" i="136" s="1"/>
  <c r="X18" i="136" s="1"/>
  <c r="BY10" i="136"/>
  <c r="W10" i="136" s="1"/>
  <c r="X10" i="136" s="1"/>
  <c r="BY21" i="137"/>
  <c r="W21" i="137" s="1"/>
  <c r="BY11" i="136"/>
  <c r="W11" i="136" s="1"/>
  <c r="X11" i="136" s="1"/>
  <c r="BY8" i="136"/>
  <c r="W8" i="136" s="1"/>
  <c r="X8" i="136" s="1"/>
  <c r="BY20" i="137"/>
  <c r="W20" i="137" s="1"/>
  <c r="BY24" i="137"/>
  <c r="W24" i="137" s="1"/>
  <c r="BY21" i="136"/>
  <c r="W21" i="136" s="1"/>
  <c r="X21" i="136" s="1"/>
  <c r="BY20" i="136"/>
  <c r="W20" i="136" s="1"/>
  <c r="X20" i="136" s="1"/>
  <c r="BY15" i="136"/>
  <c r="W15" i="136" s="1"/>
  <c r="X15" i="136" s="1"/>
  <c r="BY19" i="137"/>
  <c r="W19" i="137" s="1"/>
  <c r="BY23" i="136"/>
  <c r="W23" i="136" s="1"/>
  <c r="X23" i="136" s="1"/>
  <c r="BY11" i="137"/>
  <c r="W11" i="137" s="1"/>
  <c r="BY12" i="136"/>
  <c r="W12" i="136" s="1"/>
  <c r="X12" i="136" s="1"/>
  <c r="BY8" i="137"/>
  <c r="W8" i="137" s="1"/>
  <c r="BY9" i="136"/>
  <c r="W9" i="136" s="1"/>
  <c r="X9" i="136" s="1"/>
  <c r="BY15" i="137"/>
  <c r="W15" i="137" s="1"/>
  <c r="X15" i="137" s="1"/>
  <c r="BY17" i="137"/>
  <c r="W17" i="137" s="1"/>
  <c r="X17" i="137" s="1"/>
  <c r="BY13" i="137"/>
  <c r="W13" i="137" s="1"/>
  <c r="BY12" i="137"/>
  <c r="W12" i="137" s="1"/>
  <c r="BY16" i="137"/>
  <c r="W16" i="137" s="1"/>
  <c r="X16" i="137" s="1"/>
  <c r="BY6" i="136"/>
  <c r="W6" i="136" s="1"/>
  <c r="X6" i="136" s="1"/>
  <c r="BY14" i="137"/>
  <c r="W14" i="137" s="1"/>
  <c r="BY22" i="136"/>
  <c r="W22" i="136" s="1"/>
  <c r="X22" i="136" s="1"/>
  <c r="BY7" i="137"/>
  <c r="W7" i="137" s="1"/>
  <c r="BY6" i="137"/>
  <c r="W6" i="137" s="1"/>
  <c r="BY9" i="137"/>
  <c r="W9" i="137" s="1"/>
  <c r="BY16" i="136"/>
  <c r="W16" i="136" s="1"/>
  <c r="X16" i="136" s="1"/>
  <c r="BY23" i="137"/>
  <c r="W23" i="137" s="1"/>
  <c r="BY10" i="137"/>
  <c r="W10" i="137" s="1"/>
  <c r="BY19" i="136"/>
  <c r="W19" i="136" s="1"/>
  <c r="X19" i="136" s="1"/>
  <c r="X12" i="133"/>
  <c r="X18" i="133"/>
  <c r="BY9" i="132"/>
  <c r="W9" i="132" s="1"/>
  <c r="X9" i="132" s="1"/>
  <c r="X14" i="133"/>
  <c r="X10" i="133"/>
  <c r="BY7" i="132"/>
  <c r="W7" i="132" s="1"/>
  <c r="X7" i="132" s="1"/>
  <c r="BY17" i="132"/>
  <c r="W17" i="132" s="1"/>
  <c r="X17" i="132" s="1"/>
  <c r="BY15" i="132"/>
  <c r="W15" i="132" s="1"/>
  <c r="X15" i="132" s="1"/>
  <c r="BY23" i="132"/>
  <c r="W23" i="132" s="1"/>
  <c r="X23" i="132" s="1"/>
  <c r="BY12" i="132"/>
  <c r="W12" i="132" s="1"/>
  <c r="X12" i="132" s="1"/>
  <c r="X19" i="133"/>
  <c r="BY14" i="132"/>
  <c r="W14" i="132" s="1"/>
  <c r="X14" i="132" s="1"/>
  <c r="BY16" i="132"/>
  <c r="W16" i="132" s="1"/>
  <c r="X16" i="132" s="1"/>
  <c r="BY20" i="132"/>
  <c r="W20" i="132" s="1"/>
  <c r="X20" i="132" s="1"/>
  <c r="BY18" i="132"/>
  <c r="W18" i="132" s="1"/>
  <c r="X18" i="132" s="1"/>
  <c r="BY8" i="132"/>
  <c r="W8" i="132" s="1"/>
  <c r="X8" i="132" s="1"/>
  <c r="BY10" i="132"/>
  <c r="W10" i="132" s="1"/>
  <c r="X10" i="132" s="1"/>
  <c r="BY21" i="132"/>
  <c r="W21" i="132" s="1"/>
  <c r="X21" i="132" s="1"/>
  <c r="BY11" i="132"/>
  <c r="W11" i="132" s="1"/>
  <c r="X11" i="132" s="1"/>
  <c r="BY22" i="132"/>
  <c r="W22" i="132" s="1"/>
  <c r="X22" i="132" s="1"/>
  <c r="X8" i="133"/>
  <c r="T29" i="132"/>
  <c r="T28" i="132"/>
  <c r="T30" i="132"/>
  <c r="V6" i="132"/>
  <c r="BY6" i="132"/>
  <c r="X11" i="133"/>
  <c r="BY19" i="132"/>
  <c r="W19" i="132" s="1"/>
  <c r="X19" i="132" s="1"/>
  <c r="X23" i="133"/>
  <c r="BY24" i="132"/>
  <c r="W24" i="132" s="1"/>
  <c r="X24" i="132" s="1"/>
  <c r="BY13" i="132"/>
  <c r="W13" i="132" s="1"/>
  <c r="X13" i="132" s="1"/>
  <c r="X21" i="133"/>
  <c r="DL1" i="131"/>
  <c r="DM2" i="131"/>
  <c r="DK18" i="131"/>
  <c r="DK16" i="131"/>
  <c r="DK15" i="131"/>
  <c r="DK14" i="131"/>
  <c r="DK13" i="131"/>
  <c r="DK23" i="131"/>
  <c r="DK11" i="131"/>
  <c r="DK22" i="131"/>
  <c r="DK10" i="131"/>
  <c r="DK17" i="131"/>
  <c r="DK21" i="131"/>
  <c r="DK12" i="131"/>
  <c r="DK20" i="131"/>
  <c r="DK9" i="131"/>
  <c r="DK19" i="131"/>
  <c r="DK8" i="131"/>
  <c r="DK24" i="131"/>
  <c r="DK7" i="131"/>
  <c r="DK6" i="131"/>
  <c r="CN15" i="131"/>
  <c r="CN14" i="131"/>
  <c r="CN11" i="131"/>
  <c r="CN22" i="131"/>
  <c r="CN9" i="131"/>
  <c r="CN23" i="131"/>
  <c r="CN13" i="131"/>
  <c r="CN20" i="131"/>
  <c r="CN12" i="131"/>
  <c r="CN16" i="131"/>
  <c r="CN10" i="131"/>
  <c r="CN24" i="131"/>
  <c r="CN7" i="131"/>
  <c r="CN21" i="131"/>
  <c r="CN6" i="131"/>
  <c r="CN17" i="131"/>
  <c r="EL1" i="131"/>
  <c r="CN19" i="131"/>
  <c r="CN8" i="131"/>
  <c r="CN18" i="131"/>
  <c r="EK24" i="131"/>
  <c r="EK7" i="131"/>
  <c r="EK23" i="131"/>
  <c r="EK19" i="131"/>
  <c r="EK17" i="131"/>
  <c r="EK12" i="131"/>
  <c r="EK15" i="131"/>
  <c r="EK6" i="131"/>
  <c r="EK16" i="131"/>
  <c r="EK18" i="131"/>
  <c r="EK8" i="131"/>
  <c r="EK13" i="131"/>
  <c r="EK10" i="131"/>
  <c r="EK14" i="131"/>
  <c r="EK22" i="131"/>
  <c r="EK11" i="131"/>
  <c r="EK21" i="131"/>
  <c r="EK9" i="131"/>
  <c r="EK20" i="131"/>
  <c r="CP2" i="131"/>
  <c r="CO1" i="131"/>
  <c r="EK21" i="125"/>
  <c r="EK15" i="125"/>
  <c r="EK10" i="125"/>
  <c r="EK20" i="125"/>
  <c r="EK11" i="125"/>
  <c r="EK23" i="125"/>
  <c r="EK22" i="125"/>
  <c r="EK6" i="125"/>
  <c r="EK16" i="125"/>
  <c r="EK13" i="125"/>
  <c r="EK9" i="125"/>
  <c r="EK24" i="125"/>
  <c r="EK14" i="125"/>
  <c r="EK8" i="125"/>
  <c r="EK17" i="125"/>
  <c r="EK19" i="125"/>
  <c r="EK7" i="125"/>
  <c r="EK12" i="125"/>
  <c r="EK18" i="125"/>
  <c r="DK18" i="125"/>
  <c r="DK17" i="125"/>
  <c r="DK22" i="125"/>
  <c r="DK12" i="125"/>
  <c r="DK15" i="125"/>
  <c r="DK16" i="125"/>
  <c r="DK9" i="125"/>
  <c r="DK23" i="125"/>
  <c r="DK8" i="125"/>
  <c r="DK14" i="125"/>
  <c r="DK7" i="125"/>
  <c r="DK20" i="125"/>
  <c r="DK10" i="125"/>
  <c r="DK6" i="125"/>
  <c r="DK19" i="125"/>
  <c r="DK13" i="125"/>
  <c r="DK24" i="125"/>
  <c r="DK11" i="125"/>
  <c r="DK21" i="125"/>
  <c r="CO1" i="125"/>
  <c r="CP2" i="125"/>
  <c r="DM2" i="125"/>
  <c r="DL1" i="125"/>
  <c r="CN24" i="125"/>
  <c r="CN12" i="125"/>
  <c r="CN13" i="125"/>
  <c r="CN22" i="125"/>
  <c r="CN19" i="125"/>
  <c r="CN15" i="125"/>
  <c r="CN9" i="125"/>
  <c r="CN16" i="125"/>
  <c r="CN8" i="125"/>
  <c r="CN10" i="125"/>
  <c r="CN23" i="125"/>
  <c r="CN11" i="125"/>
  <c r="CN18" i="125"/>
  <c r="CN6" i="125"/>
  <c r="CN7" i="125"/>
  <c r="CN21" i="125"/>
  <c r="CN14" i="125"/>
  <c r="EL1" i="125"/>
  <c r="CN20" i="125"/>
  <c r="CN17" i="125"/>
  <c r="H18" i="138" l="1"/>
  <c r="X18" i="142"/>
  <c r="H17" i="138"/>
  <c r="X17" i="142"/>
  <c r="H20" i="138"/>
  <c r="X20" i="142"/>
  <c r="X19" i="142"/>
  <c r="H19" i="138"/>
  <c r="H16" i="138"/>
  <c r="X16" i="142"/>
  <c r="H23" i="138"/>
  <c r="X23" i="142"/>
  <c r="H21" i="138"/>
  <c r="X21" i="142"/>
  <c r="EI10" i="139"/>
  <c r="CB10" i="139" s="1"/>
  <c r="Y10" i="139" s="1"/>
  <c r="Z10" i="139" s="1"/>
  <c r="EK10" i="142"/>
  <c r="IV136" i="9"/>
  <c r="EJ10" i="142" s="1"/>
  <c r="IU137" i="9"/>
  <c r="IV137" i="9" s="1"/>
  <c r="EI10" i="142" s="1"/>
  <c r="CB10" i="142" s="1"/>
  <c r="Y10" i="142" s="1"/>
  <c r="GJ137" i="9"/>
  <c r="GN137" i="9" s="1"/>
  <c r="BP13" i="142" s="1"/>
  <c r="Q13" i="142" s="1"/>
  <c r="R13" i="142" s="1"/>
  <c r="GN136" i="9"/>
  <c r="X18" i="139"/>
  <c r="X16" i="139"/>
  <c r="X23" i="139"/>
  <c r="X10" i="139"/>
  <c r="X22" i="139"/>
  <c r="X15" i="139"/>
  <c r="X17" i="139"/>
  <c r="X9" i="139"/>
  <c r="X18" i="137"/>
  <c r="X22" i="137"/>
  <c r="X21" i="137"/>
  <c r="X14" i="137"/>
  <c r="X8" i="137"/>
  <c r="X20" i="137"/>
  <c r="X24" i="137"/>
  <c r="X13" i="137"/>
  <c r="X19" i="137"/>
  <c r="X11" i="137"/>
  <c r="X12" i="137"/>
  <c r="X10" i="137"/>
  <c r="X23" i="137"/>
  <c r="X7" i="137"/>
  <c r="X9" i="137"/>
  <c r="X6" i="137"/>
  <c r="W6" i="132"/>
  <c r="X6" i="132" s="1"/>
  <c r="BY27" i="132"/>
  <c r="BX28" i="132" s="1"/>
  <c r="CO22" i="131"/>
  <c r="CO8" i="131"/>
  <c r="CO13" i="131"/>
  <c r="CO7" i="131"/>
  <c r="CO18" i="131"/>
  <c r="CO21" i="131"/>
  <c r="EM1" i="131"/>
  <c r="CO17" i="131"/>
  <c r="CO10" i="131"/>
  <c r="CO12" i="131"/>
  <c r="CO9" i="131"/>
  <c r="CO14" i="131"/>
  <c r="CO16" i="131"/>
  <c r="CO20" i="131"/>
  <c r="CO15" i="131"/>
  <c r="CO24" i="131"/>
  <c r="CO6" i="131"/>
  <c r="CO23" i="131"/>
  <c r="CO11" i="131"/>
  <c r="CO19" i="131"/>
  <c r="EL24" i="131"/>
  <c r="EL9" i="131"/>
  <c r="EL13" i="131"/>
  <c r="EL6" i="131"/>
  <c r="EL23" i="131"/>
  <c r="EL8" i="131"/>
  <c r="EL16" i="131"/>
  <c r="EL10" i="131"/>
  <c r="EL21" i="131"/>
  <c r="EL19" i="131"/>
  <c r="EL15" i="131"/>
  <c r="EL22" i="131"/>
  <c r="EL12" i="131"/>
  <c r="EL7" i="131"/>
  <c r="EL18" i="131"/>
  <c r="EL20" i="131"/>
  <c r="EL14" i="131"/>
  <c r="EL11" i="131"/>
  <c r="EL17" i="131"/>
  <c r="DM1" i="131"/>
  <c r="DN2" i="131"/>
  <c r="CQ2" i="131"/>
  <c r="CP1" i="131"/>
  <c r="DL11" i="131"/>
  <c r="DL22" i="131"/>
  <c r="DL17" i="131"/>
  <c r="DL21" i="131"/>
  <c r="DL10" i="131"/>
  <c r="DL23" i="131"/>
  <c r="DL18" i="131"/>
  <c r="DL20" i="131"/>
  <c r="DL13" i="131"/>
  <c r="DL9" i="131"/>
  <c r="DL8" i="131"/>
  <c r="DL15" i="131"/>
  <c r="DL6" i="131"/>
  <c r="DL24" i="131"/>
  <c r="DL12" i="131"/>
  <c r="DL7" i="131"/>
  <c r="DL16" i="131"/>
  <c r="DL14" i="131"/>
  <c r="DL19" i="131"/>
  <c r="CP1" i="125"/>
  <c r="CQ2" i="125"/>
  <c r="CO23" i="125"/>
  <c r="CO12" i="125"/>
  <c r="CO24" i="125"/>
  <c r="CO16" i="125"/>
  <c r="EM1" i="125"/>
  <c r="CO20" i="125"/>
  <c r="CO15" i="125"/>
  <c r="CO9" i="125"/>
  <c r="CO11" i="125"/>
  <c r="CO22" i="125"/>
  <c r="CO7" i="125"/>
  <c r="CO18" i="125"/>
  <c r="CO6" i="125"/>
  <c r="CO17" i="125"/>
  <c r="CO19" i="125"/>
  <c r="CO14" i="125"/>
  <c r="CO8" i="125"/>
  <c r="CO21" i="125"/>
  <c r="CO13" i="125"/>
  <c r="CO10" i="125"/>
  <c r="EL18" i="125"/>
  <c r="EL12" i="125"/>
  <c r="EL19" i="125"/>
  <c r="EL14" i="125"/>
  <c r="EL11" i="125"/>
  <c r="EL21" i="125"/>
  <c r="EL24" i="125"/>
  <c r="EL6" i="125"/>
  <c r="EL13" i="125"/>
  <c r="EL17" i="125"/>
  <c r="EL23" i="125"/>
  <c r="EL15" i="125"/>
  <c r="EL10" i="125"/>
  <c r="EL22" i="125"/>
  <c r="EL9" i="125"/>
  <c r="EL7" i="125"/>
  <c r="EL16" i="125"/>
  <c r="EL8" i="125"/>
  <c r="EL20" i="125"/>
  <c r="DL20" i="125"/>
  <c r="DL12" i="125"/>
  <c r="DL8" i="125"/>
  <c r="DL21" i="125"/>
  <c r="DL11" i="125"/>
  <c r="DL18" i="125"/>
  <c r="DL7" i="125"/>
  <c r="DL22" i="125"/>
  <c r="DL14" i="125"/>
  <c r="DL6" i="125"/>
  <c r="DL19" i="125"/>
  <c r="DL10" i="125"/>
  <c r="DL9" i="125"/>
  <c r="DL24" i="125"/>
  <c r="DL16" i="125"/>
  <c r="DL17" i="125"/>
  <c r="DL15" i="125"/>
  <c r="DL23" i="125"/>
  <c r="DL13" i="125"/>
  <c r="DN2" i="125"/>
  <c r="DM1" i="125"/>
  <c r="Z10" i="142" l="1"/>
  <c r="I10" i="138"/>
  <c r="BG2" i="141"/>
  <c r="CF8" i="141"/>
  <c r="CF23" i="141"/>
  <c r="CF15" i="141"/>
  <c r="CF19" i="141"/>
  <c r="BG20" i="141"/>
  <c r="BL23" i="141"/>
  <c r="CF16" i="141"/>
  <c r="BG10" i="141"/>
  <c r="CF6" i="141"/>
  <c r="CF18" i="141"/>
  <c r="CF12" i="141"/>
  <c r="CF17" i="141"/>
  <c r="CF13" i="141"/>
  <c r="CF9" i="141"/>
  <c r="CF20" i="141"/>
  <c r="CF24" i="141"/>
  <c r="BP24" i="141"/>
  <c r="CF11" i="141"/>
  <c r="CF21" i="141"/>
  <c r="CF14" i="141"/>
  <c r="CJ2" i="141"/>
  <c r="CK2" i="141" s="1"/>
  <c r="CF7" i="141"/>
  <c r="CF10" i="141"/>
  <c r="CF22" i="141"/>
  <c r="BL10" i="141"/>
  <c r="BP17" i="141"/>
  <c r="BH13" i="141"/>
  <c r="BG14" i="141"/>
  <c r="BG13" i="141"/>
  <c r="BP15" i="141"/>
  <c r="BH21" i="141"/>
  <c r="BP12" i="141"/>
  <c r="BP16" i="141"/>
  <c r="BH7" i="141"/>
  <c r="BG16" i="141"/>
  <c r="BG5" i="141"/>
  <c r="BL11" i="141"/>
  <c r="BP6" i="141"/>
  <c r="BH6" i="141"/>
  <c r="BP8" i="141"/>
  <c r="BH18" i="141"/>
  <c r="BL17" i="141"/>
  <c r="BG18" i="141"/>
  <c r="BH15" i="141"/>
  <c r="BP14" i="141"/>
  <c r="BP9" i="141"/>
  <c r="BP2" i="141"/>
  <c r="BQ2" i="141" s="1"/>
  <c r="BQ1" i="141" s="1"/>
  <c r="BG23" i="141"/>
  <c r="BL15" i="141"/>
  <c r="BL9" i="141"/>
  <c r="BL6" i="141"/>
  <c r="BH8" i="141"/>
  <c r="BL18" i="141"/>
  <c r="BL7" i="141"/>
  <c r="BL20" i="141"/>
  <c r="BG15" i="141"/>
  <c r="BH17" i="141"/>
  <c r="BL16" i="141"/>
  <c r="BL12" i="141"/>
  <c r="BP22" i="141"/>
  <c r="BP18" i="141"/>
  <c r="BP21" i="141"/>
  <c r="BP20" i="141"/>
  <c r="BP19" i="141"/>
  <c r="BL22" i="141"/>
  <c r="BL2" i="141"/>
  <c r="BM2" i="141" s="1"/>
  <c r="BM1" i="141" s="1"/>
  <c r="BP10" i="141"/>
  <c r="BG12" i="141"/>
  <c r="BL8" i="141"/>
  <c r="BP23" i="141"/>
  <c r="BG21" i="141"/>
  <c r="BG8" i="141"/>
  <c r="BG9" i="141"/>
  <c r="BP11" i="141"/>
  <c r="BH14" i="141"/>
  <c r="BH19" i="141"/>
  <c r="BL21" i="141"/>
  <c r="BH16" i="141"/>
  <c r="BG17" i="141"/>
  <c r="BH22" i="141"/>
  <c r="BH10" i="141"/>
  <c r="BG7" i="141"/>
  <c r="BH12" i="141"/>
  <c r="BH24" i="141"/>
  <c r="BP7" i="141"/>
  <c r="BH11" i="141"/>
  <c r="BG22" i="141"/>
  <c r="BL24" i="141"/>
  <c r="CF2" i="141"/>
  <c r="BL13" i="141"/>
  <c r="BL19" i="141"/>
  <c r="BG11" i="141"/>
  <c r="BP13" i="141"/>
  <c r="BL14" i="141"/>
  <c r="BH23" i="141"/>
  <c r="BH9" i="141"/>
  <c r="BG24" i="141"/>
  <c r="BH20" i="141"/>
  <c r="BG19" i="141"/>
  <c r="BG6" i="141"/>
  <c r="BH5" i="141"/>
  <c r="CP23" i="131"/>
  <c r="CP10" i="131"/>
  <c r="CP19" i="131"/>
  <c r="CP7" i="131"/>
  <c r="CP18" i="131"/>
  <c r="CP9" i="131"/>
  <c r="CP17" i="131"/>
  <c r="EN1" i="131"/>
  <c r="CP22" i="131"/>
  <c r="CP8" i="131"/>
  <c r="CP14" i="131"/>
  <c r="CP15" i="131"/>
  <c r="CP16" i="131"/>
  <c r="CP11" i="131"/>
  <c r="CP21" i="131"/>
  <c r="CP6" i="131"/>
  <c r="CP12" i="131"/>
  <c r="CP20" i="131"/>
  <c r="CP13" i="131"/>
  <c r="CP24" i="131"/>
  <c r="EM19" i="131"/>
  <c r="EM10" i="131"/>
  <c r="EM23" i="131"/>
  <c r="EM17" i="131"/>
  <c r="EM8" i="131"/>
  <c r="EM6" i="131"/>
  <c r="EM20" i="131"/>
  <c r="EM13" i="131"/>
  <c r="EM22" i="131"/>
  <c r="EM24" i="131"/>
  <c r="EM12" i="131"/>
  <c r="EM9" i="131"/>
  <c r="EM15" i="131"/>
  <c r="EM7" i="131"/>
  <c r="EM14" i="131"/>
  <c r="EM16" i="131"/>
  <c r="EM18" i="131"/>
  <c r="EM11" i="131"/>
  <c r="EM21" i="131"/>
  <c r="CQ1" i="131"/>
  <c r="CR2" i="131"/>
  <c r="DO2" i="131"/>
  <c r="DN1" i="131"/>
  <c r="DM15" i="131"/>
  <c r="DM14" i="131"/>
  <c r="DM18" i="131"/>
  <c r="DM23" i="131"/>
  <c r="DM9" i="131"/>
  <c r="DM22" i="131"/>
  <c r="DM11" i="131"/>
  <c r="DM17" i="131"/>
  <c r="DM10" i="131"/>
  <c r="DM20" i="131"/>
  <c r="DM19" i="131"/>
  <c r="DM6" i="131"/>
  <c r="DM8" i="131"/>
  <c r="DM13" i="131"/>
  <c r="DM24" i="131"/>
  <c r="DM12" i="131"/>
  <c r="DM7" i="131"/>
  <c r="DM21" i="131"/>
  <c r="DM16" i="131"/>
  <c r="EM24" i="125"/>
  <c r="EM22" i="125"/>
  <c r="EM16" i="125"/>
  <c r="EM21" i="125"/>
  <c r="EM13" i="125"/>
  <c r="EM12" i="125"/>
  <c r="EM10" i="125"/>
  <c r="EM9" i="125"/>
  <c r="EM8" i="125"/>
  <c r="EM23" i="125"/>
  <c r="EM20" i="125"/>
  <c r="EM11" i="125"/>
  <c r="EM6" i="125"/>
  <c r="EM18" i="125"/>
  <c r="EM7" i="125"/>
  <c r="EM17" i="125"/>
  <c r="EM15" i="125"/>
  <c r="EM14" i="125"/>
  <c r="EM19" i="125"/>
  <c r="DM19" i="125"/>
  <c r="DM11" i="125"/>
  <c r="DM18" i="125"/>
  <c r="DM9" i="125"/>
  <c r="DM24" i="125"/>
  <c r="DM17" i="125"/>
  <c r="DM15" i="125"/>
  <c r="DM23" i="125"/>
  <c r="DM6" i="125"/>
  <c r="DM16" i="125"/>
  <c r="DM8" i="125"/>
  <c r="DM21" i="125"/>
  <c r="DM10" i="125"/>
  <c r="DM7" i="125"/>
  <c r="DM22" i="125"/>
  <c r="DM13" i="125"/>
  <c r="DM20" i="125"/>
  <c r="DM12" i="125"/>
  <c r="DM14" i="125"/>
  <c r="CR2" i="125"/>
  <c r="CQ1" i="125"/>
  <c r="DO2" i="125"/>
  <c r="DN1" i="125"/>
  <c r="CP16" i="125"/>
  <c r="EN1" i="125"/>
  <c r="CP15" i="125"/>
  <c r="CP7" i="125"/>
  <c r="CP23" i="125"/>
  <c r="CP8" i="125"/>
  <c r="CP20" i="125"/>
  <c r="CP21" i="125"/>
  <c r="CP19" i="125"/>
  <c r="CP17" i="125"/>
  <c r="CP9" i="125"/>
  <c r="CP18" i="125"/>
  <c r="CP12" i="125"/>
  <c r="CP22" i="125"/>
  <c r="CP24" i="125"/>
  <c r="CP14" i="125"/>
  <c r="CP10" i="125"/>
  <c r="CP13" i="125"/>
  <c r="CP11" i="125"/>
  <c r="CP6" i="125"/>
  <c r="E6" i="141" l="1"/>
  <c r="E19" i="141"/>
  <c r="E22" i="141"/>
  <c r="E17" i="141"/>
  <c r="E21" i="141"/>
  <c r="BQ17" i="141"/>
  <c r="Q17" i="141" s="1"/>
  <c r="R17" i="141" s="1"/>
  <c r="BQ21" i="141"/>
  <c r="Q21" i="141" s="1"/>
  <c r="R21" i="141" s="1"/>
  <c r="BQ15" i="141"/>
  <c r="Q15" i="141" s="1"/>
  <c r="R15" i="141" s="1"/>
  <c r="BQ19" i="141"/>
  <c r="Q19" i="141" s="1"/>
  <c r="BQ20" i="141"/>
  <c r="Q20" i="141" s="1"/>
  <c r="R20" i="141" s="1"/>
  <c r="BQ7" i="141"/>
  <c r="Q7" i="141" s="1"/>
  <c r="R7" i="141" s="1"/>
  <c r="BQ18" i="141"/>
  <c r="Q18" i="141" s="1"/>
  <c r="R18" i="141" s="1"/>
  <c r="BQ23" i="141"/>
  <c r="Q23" i="141" s="1"/>
  <c r="R23" i="141" s="1"/>
  <c r="BQ24" i="141"/>
  <c r="Q24" i="141" s="1"/>
  <c r="R24" i="141" s="1"/>
  <c r="BQ12" i="141"/>
  <c r="Q12" i="141" s="1"/>
  <c r="R12" i="141" s="1"/>
  <c r="BQ9" i="141"/>
  <c r="Q9" i="141" s="1"/>
  <c r="R9" i="141" s="1"/>
  <c r="BQ22" i="141"/>
  <c r="Q22" i="141" s="1"/>
  <c r="R22" i="141" s="1"/>
  <c r="BQ6" i="141"/>
  <c r="Q6" i="141" s="1"/>
  <c r="R6" i="141" s="1"/>
  <c r="BQ13" i="141"/>
  <c r="Q13" i="141" s="1"/>
  <c r="R13" i="141" s="1"/>
  <c r="BQ16" i="141"/>
  <c r="Q16" i="141" s="1"/>
  <c r="R16" i="141" s="1"/>
  <c r="BQ11" i="141"/>
  <c r="Q11" i="141" s="1"/>
  <c r="R11" i="141" s="1"/>
  <c r="BQ14" i="141"/>
  <c r="Q14" i="141" s="1"/>
  <c r="R14" i="141" s="1"/>
  <c r="BQ8" i="141"/>
  <c r="Q8" i="141" s="1"/>
  <c r="R8" i="141" s="1"/>
  <c r="BQ10" i="141"/>
  <c r="Q10" i="141" s="1"/>
  <c r="R10" i="141" s="1"/>
  <c r="E13" i="141"/>
  <c r="CL2" i="141"/>
  <c r="CK1" i="141"/>
  <c r="E20" i="141"/>
  <c r="E11" i="141"/>
  <c r="E12" i="141"/>
  <c r="E8" i="141"/>
  <c r="E3" i="141"/>
  <c r="E14" i="141"/>
  <c r="E18" i="141"/>
  <c r="E16" i="141"/>
  <c r="E7" i="141"/>
  <c r="BM10" i="141"/>
  <c r="O10" i="141" s="1"/>
  <c r="P10" i="141" s="1"/>
  <c r="BM12" i="141"/>
  <c r="O12" i="141" s="1"/>
  <c r="P12" i="141" s="1"/>
  <c r="BM16" i="141"/>
  <c r="O16" i="141" s="1"/>
  <c r="P16" i="141" s="1"/>
  <c r="BM19" i="141"/>
  <c r="O19" i="141" s="1"/>
  <c r="P19" i="141" s="1"/>
  <c r="BM8" i="141"/>
  <c r="O8" i="141" s="1"/>
  <c r="P8" i="141" s="1"/>
  <c r="BM15" i="141"/>
  <c r="O15" i="141" s="1"/>
  <c r="P15" i="141" s="1"/>
  <c r="BM21" i="141"/>
  <c r="O21" i="141" s="1"/>
  <c r="P21" i="141" s="1"/>
  <c r="BM13" i="141"/>
  <c r="O13" i="141" s="1"/>
  <c r="P13" i="141" s="1"/>
  <c r="BM20" i="141"/>
  <c r="O20" i="141" s="1"/>
  <c r="P20" i="141" s="1"/>
  <c r="BM11" i="141"/>
  <c r="O11" i="141" s="1"/>
  <c r="P11" i="141" s="1"/>
  <c r="BM23" i="141"/>
  <c r="O23" i="141" s="1"/>
  <c r="P23" i="141" s="1"/>
  <c r="BM24" i="141"/>
  <c r="O24" i="141" s="1"/>
  <c r="P24" i="141" s="1"/>
  <c r="BM6" i="141"/>
  <c r="O6" i="141" s="1"/>
  <c r="P6" i="141" s="1"/>
  <c r="BM14" i="141"/>
  <c r="O14" i="141" s="1"/>
  <c r="P14" i="141" s="1"/>
  <c r="BM9" i="141"/>
  <c r="O9" i="141" s="1"/>
  <c r="P9" i="141" s="1"/>
  <c r="BM7" i="141"/>
  <c r="O7" i="141" s="1"/>
  <c r="P7" i="141" s="1"/>
  <c r="BM18" i="141"/>
  <c r="O18" i="141" s="1"/>
  <c r="P18" i="141" s="1"/>
  <c r="BM22" i="141"/>
  <c r="O22" i="141" s="1"/>
  <c r="P22" i="141" s="1"/>
  <c r="BM17" i="141"/>
  <c r="O17" i="141" s="1"/>
  <c r="P17" i="141" s="1"/>
  <c r="E24" i="141"/>
  <c r="CH2" i="141"/>
  <c r="CH1" i="141" s="1"/>
  <c r="CG2" i="141"/>
  <c r="CG1" i="141" s="1"/>
  <c r="E9" i="141"/>
  <c r="E15" i="141"/>
  <c r="E23" i="141"/>
  <c r="E10" i="141"/>
  <c r="BI2" i="141"/>
  <c r="BI1" i="141" s="1"/>
  <c r="BH2" i="141"/>
  <c r="EN17" i="131"/>
  <c r="EN8" i="131"/>
  <c r="EN16" i="131"/>
  <c r="EN7" i="131"/>
  <c r="EN19" i="131"/>
  <c r="EN15" i="131"/>
  <c r="EN13" i="131"/>
  <c r="EN12" i="131"/>
  <c r="EN24" i="131"/>
  <c r="EN14" i="131"/>
  <c r="EN22" i="131"/>
  <c r="EN10" i="131"/>
  <c r="EN20" i="131"/>
  <c r="EN11" i="131"/>
  <c r="EN23" i="131"/>
  <c r="EN21" i="131"/>
  <c r="EN6" i="131"/>
  <c r="EN9" i="131"/>
  <c r="EN18" i="131"/>
  <c r="DN14" i="131"/>
  <c r="DN13" i="131"/>
  <c r="DN24" i="131"/>
  <c r="DN12" i="131"/>
  <c r="DN23" i="131"/>
  <c r="DN9" i="131"/>
  <c r="DN22" i="131"/>
  <c r="DN11" i="131"/>
  <c r="DN10" i="131"/>
  <c r="DN17" i="131"/>
  <c r="DN8" i="131"/>
  <c r="DN7" i="131"/>
  <c r="DN21" i="131"/>
  <c r="DN20" i="131"/>
  <c r="DN6" i="131"/>
  <c r="DN18" i="131"/>
  <c r="DN19" i="131"/>
  <c r="DN16" i="131"/>
  <c r="DN15" i="131"/>
  <c r="DP2" i="131"/>
  <c r="DO1" i="131"/>
  <c r="CS2" i="131"/>
  <c r="CR1" i="131"/>
  <c r="CQ23" i="131"/>
  <c r="CQ14" i="131"/>
  <c r="CQ22" i="131"/>
  <c r="CQ10" i="131"/>
  <c r="CQ21" i="131"/>
  <c r="CQ9" i="131"/>
  <c r="CQ17" i="131"/>
  <c r="CQ8" i="131"/>
  <c r="CQ19" i="131"/>
  <c r="CQ6" i="131"/>
  <c r="EO1" i="131"/>
  <c r="CQ7" i="131"/>
  <c r="CQ16" i="131"/>
  <c r="CQ11" i="131"/>
  <c r="CQ24" i="131"/>
  <c r="CQ20" i="131"/>
  <c r="CQ18" i="131"/>
  <c r="CQ13" i="131"/>
  <c r="CQ12" i="131"/>
  <c r="CQ15" i="131"/>
  <c r="CQ18" i="125"/>
  <c r="CQ9" i="125"/>
  <c r="CQ16" i="125"/>
  <c r="CQ20" i="125"/>
  <c r="CQ14" i="125"/>
  <c r="CQ15" i="125"/>
  <c r="CQ7" i="125"/>
  <c r="CQ12" i="125"/>
  <c r="CQ8" i="125"/>
  <c r="CQ10" i="125"/>
  <c r="CQ13" i="125"/>
  <c r="CQ24" i="125"/>
  <c r="CQ21" i="125"/>
  <c r="EO1" i="125"/>
  <c r="CQ23" i="125"/>
  <c r="CQ11" i="125"/>
  <c r="CQ6" i="125"/>
  <c r="CQ22" i="125"/>
  <c r="CQ19" i="125"/>
  <c r="CQ17" i="125"/>
  <c r="EN21" i="125"/>
  <c r="EN11" i="125"/>
  <c r="EN10" i="125"/>
  <c r="EN14" i="125"/>
  <c r="EN16" i="125"/>
  <c r="EN24" i="125"/>
  <c r="EN22" i="125"/>
  <c r="EN8" i="125"/>
  <c r="EN7" i="125"/>
  <c r="EN18" i="125"/>
  <c r="EN12" i="125"/>
  <c r="EN23" i="125"/>
  <c r="EN20" i="125"/>
  <c r="EN19" i="125"/>
  <c r="EN17" i="125"/>
  <c r="EN6" i="125"/>
  <c r="EN15" i="125"/>
  <c r="EN9" i="125"/>
  <c r="EN13" i="125"/>
  <c r="DN18" i="125"/>
  <c r="DN8" i="125"/>
  <c r="DN11" i="125"/>
  <c r="DN19" i="125"/>
  <c r="DN16" i="125"/>
  <c r="DN17" i="125"/>
  <c r="DN7" i="125"/>
  <c r="DN9" i="125"/>
  <c r="DN24" i="125"/>
  <c r="DN15" i="125"/>
  <c r="DN12" i="125"/>
  <c r="DN22" i="125"/>
  <c r="DN14" i="125"/>
  <c r="DN6" i="125"/>
  <c r="DN20" i="125"/>
  <c r="DN13" i="125"/>
  <c r="DN10" i="125"/>
  <c r="DN23" i="125"/>
  <c r="DN21" i="125"/>
  <c r="CS2" i="125"/>
  <c r="CR1" i="125"/>
  <c r="DP2" i="125"/>
  <c r="DO1" i="125"/>
  <c r="F24" i="141" l="1"/>
  <c r="F23" i="141"/>
  <c r="F8" i="141"/>
  <c r="F15" i="141"/>
  <c r="F14" i="141"/>
  <c r="F21" i="141"/>
  <c r="F7" i="141"/>
  <c r="BI23" i="141"/>
  <c r="I23" i="141" s="1"/>
  <c r="BI10" i="141"/>
  <c r="I10" i="141" s="1"/>
  <c r="BI8" i="141"/>
  <c r="I8" i="141" s="1"/>
  <c r="BI16" i="141"/>
  <c r="I16" i="141" s="1"/>
  <c r="BI19" i="141"/>
  <c r="I19" i="141" s="1"/>
  <c r="BI24" i="141"/>
  <c r="I24" i="141" s="1"/>
  <c r="BI7" i="141"/>
  <c r="I7" i="141" s="1"/>
  <c r="BI20" i="141"/>
  <c r="I20" i="141" s="1"/>
  <c r="BI18" i="141"/>
  <c r="I18" i="141" s="1"/>
  <c r="BI14" i="141"/>
  <c r="I14" i="141" s="1"/>
  <c r="BI13" i="141"/>
  <c r="I13" i="141" s="1"/>
  <c r="BI9" i="141"/>
  <c r="I9" i="141" s="1"/>
  <c r="BI22" i="141"/>
  <c r="I22" i="141" s="1"/>
  <c r="BI15" i="141"/>
  <c r="I15" i="141" s="1"/>
  <c r="BI12" i="141"/>
  <c r="I12" i="141" s="1"/>
  <c r="BI5" i="141"/>
  <c r="I3" i="141" s="1"/>
  <c r="BI6" i="141"/>
  <c r="I6" i="141" s="1"/>
  <c r="BI21" i="141"/>
  <c r="I21" i="141" s="1"/>
  <c r="BI11" i="141"/>
  <c r="I11" i="141" s="1"/>
  <c r="BI17" i="141"/>
  <c r="I17" i="141" s="1"/>
  <c r="F9" i="141"/>
  <c r="F6" i="141"/>
  <c r="F10" i="141"/>
  <c r="CG21" i="141"/>
  <c r="G21" i="141" s="1"/>
  <c r="H21" i="141" s="1"/>
  <c r="CG7" i="141"/>
  <c r="G7" i="141" s="1"/>
  <c r="H7" i="141" s="1"/>
  <c r="CG14" i="141"/>
  <c r="G14" i="141" s="1"/>
  <c r="H14" i="141" s="1"/>
  <c r="CG6" i="141"/>
  <c r="G6" i="141" s="1"/>
  <c r="H6" i="141" s="1"/>
  <c r="CG23" i="141"/>
  <c r="G23" i="141" s="1"/>
  <c r="H23" i="141" s="1"/>
  <c r="CG24" i="141"/>
  <c r="G24" i="141" s="1"/>
  <c r="H24" i="141" s="1"/>
  <c r="CG9" i="141"/>
  <c r="G9" i="141" s="1"/>
  <c r="H9" i="141" s="1"/>
  <c r="CG19" i="141"/>
  <c r="G19" i="141" s="1"/>
  <c r="H19" i="141" s="1"/>
  <c r="CG17" i="141"/>
  <c r="G17" i="141" s="1"/>
  <c r="H17" i="141" s="1"/>
  <c r="CG15" i="141"/>
  <c r="G15" i="141" s="1"/>
  <c r="H15" i="141" s="1"/>
  <c r="CG8" i="141"/>
  <c r="G8" i="141" s="1"/>
  <c r="H8" i="141" s="1"/>
  <c r="CG16" i="141"/>
  <c r="G16" i="141" s="1"/>
  <c r="H16" i="141" s="1"/>
  <c r="CG12" i="141"/>
  <c r="G12" i="141" s="1"/>
  <c r="H12" i="141" s="1"/>
  <c r="CG20" i="141"/>
  <c r="G20" i="141" s="1"/>
  <c r="H20" i="141" s="1"/>
  <c r="CG10" i="141"/>
  <c r="G10" i="141" s="1"/>
  <c r="H10" i="141" s="1"/>
  <c r="CG13" i="141"/>
  <c r="G13" i="141" s="1"/>
  <c r="H13" i="141" s="1"/>
  <c r="CG22" i="141"/>
  <c r="G22" i="141" s="1"/>
  <c r="H22" i="141" s="1"/>
  <c r="CG18" i="141"/>
  <c r="G18" i="141" s="1"/>
  <c r="H18" i="141" s="1"/>
  <c r="CG11" i="141"/>
  <c r="G11" i="141" s="1"/>
  <c r="H11" i="141" s="1"/>
  <c r="F20" i="141"/>
  <c r="CH23" i="141"/>
  <c r="K23" i="141" s="1"/>
  <c r="CH21" i="141"/>
  <c r="K21" i="141" s="1"/>
  <c r="CH14" i="141"/>
  <c r="K14" i="141" s="1"/>
  <c r="CH9" i="141"/>
  <c r="K9" i="141" s="1"/>
  <c r="CH7" i="141"/>
  <c r="K7" i="141" s="1"/>
  <c r="CH6" i="141"/>
  <c r="K6" i="141" s="1"/>
  <c r="CH17" i="141"/>
  <c r="K17" i="141" s="1"/>
  <c r="CH19" i="141"/>
  <c r="K19" i="141" s="1"/>
  <c r="CH24" i="141"/>
  <c r="K24" i="141" s="1"/>
  <c r="CH12" i="141"/>
  <c r="K12" i="141" s="1"/>
  <c r="CH10" i="141"/>
  <c r="K10" i="141" s="1"/>
  <c r="CH13" i="141"/>
  <c r="K13" i="141" s="1"/>
  <c r="CH8" i="141"/>
  <c r="K8" i="141" s="1"/>
  <c r="CH16" i="141"/>
  <c r="K16" i="141" s="1"/>
  <c r="CH18" i="141"/>
  <c r="K18" i="141" s="1"/>
  <c r="CH20" i="141"/>
  <c r="K20" i="141" s="1"/>
  <c r="CH15" i="141"/>
  <c r="K15" i="141" s="1"/>
  <c r="CH22" i="141"/>
  <c r="K22" i="141" s="1"/>
  <c r="CH11" i="141"/>
  <c r="K11" i="141" s="1"/>
  <c r="F16" i="141"/>
  <c r="CK19" i="141"/>
  <c r="EI1" i="141"/>
  <c r="CK13" i="141"/>
  <c r="CK18" i="141"/>
  <c r="CK8" i="141"/>
  <c r="CK17" i="141"/>
  <c r="CK10" i="141"/>
  <c r="CK22" i="141"/>
  <c r="CK11" i="141"/>
  <c r="CK24" i="141"/>
  <c r="CK20" i="141"/>
  <c r="CK7" i="141"/>
  <c r="CK9" i="141"/>
  <c r="CK23" i="141"/>
  <c r="CK6" i="141"/>
  <c r="CK15" i="141"/>
  <c r="CK21" i="141"/>
  <c r="DJ1" i="141"/>
  <c r="CK12" i="141"/>
  <c r="CK16" i="141"/>
  <c r="CK14" i="141"/>
  <c r="F18" i="141"/>
  <c r="F12" i="141"/>
  <c r="CM2" i="141"/>
  <c r="CL1" i="141"/>
  <c r="F19" i="141"/>
  <c r="F13" i="141"/>
  <c r="F17" i="141"/>
  <c r="F11" i="141"/>
  <c r="F22" i="141"/>
  <c r="CR22" i="131"/>
  <c r="CR8" i="131"/>
  <c r="CR21" i="131"/>
  <c r="EP1" i="131"/>
  <c r="CR17" i="131"/>
  <c r="CR9" i="131"/>
  <c r="CR16" i="131"/>
  <c r="CR7" i="131"/>
  <c r="CR11" i="131"/>
  <c r="CR19" i="131"/>
  <c r="CR14" i="131"/>
  <c r="CR20" i="131"/>
  <c r="CR6" i="131"/>
  <c r="CR15" i="131"/>
  <c r="CR12" i="131"/>
  <c r="CR18" i="131"/>
  <c r="CR13" i="131"/>
  <c r="CR24" i="131"/>
  <c r="CR10" i="131"/>
  <c r="CR23" i="131"/>
  <c r="EO13" i="131"/>
  <c r="EO11" i="131"/>
  <c r="EO24" i="131"/>
  <c r="EO23" i="131"/>
  <c r="EO10" i="131"/>
  <c r="EO8" i="131"/>
  <c r="EO12" i="131"/>
  <c r="EO14" i="131"/>
  <c r="EO15" i="131"/>
  <c r="EO22" i="131"/>
  <c r="EO21" i="131"/>
  <c r="EO9" i="131"/>
  <c r="EO20" i="131"/>
  <c r="EO17" i="131"/>
  <c r="EO6" i="131"/>
  <c r="EO16" i="131"/>
  <c r="EO7" i="131"/>
  <c r="EO19" i="131"/>
  <c r="EO18" i="131"/>
  <c r="CT2" i="131"/>
  <c r="CS1" i="131"/>
  <c r="DO16" i="131"/>
  <c r="DO12" i="131"/>
  <c r="DO18" i="131"/>
  <c r="DO14" i="131"/>
  <c r="DO11" i="131"/>
  <c r="DO15" i="131"/>
  <c r="DO10" i="131"/>
  <c r="DO13" i="131"/>
  <c r="DO24" i="131"/>
  <c r="DO23" i="131"/>
  <c r="DO20" i="131"/>
  <c r="DO6" i="131"/>
  <c r="DO19" i="131"/>
  <c r="DO9" i="131"/>
  <c r="DO17" i="131"/>
  <c r="DO7" i="131"/>
  <c r="DO22" i="131"/>
  <c r="DO8" i="131"/>
  <c r="DO21" i="131"/>
  <c r="DP1" i="131"/>
  <c r="DQ2" i="131"/>
  <c r="DO13" i="125"/>
  <c r="DO20" i="125"/>
  <c r="DO24" i="125"/>
  <c r="DO11" i="125"/>
  <c r="DO10" i="125"/>
  <c r="DO18" i="125"/>
  <c r="DO19" i="125"/>
  <c r="DO7" i="125"/>
  <c r="DO21" i="125"/>
  <c r="DO6" i="125"/>
  <c r="DO23" i="125"/>
  <c r="DO12" i="125"/>
  <c r="DO8" i="125"/>
  <c r="DO17" i="125"/>
  <c r="DO22" i="125"/>
  <c r="DO15" i="125"/>
  <c r="DO16" i="125"/>
  <c r="DO14" i="125"/>
  <c r="DO9" i="125"/>
  <c r="EO22" i="125"/>
  <c r="EO13" i="125"/>
  <c r="EO9" i="125"/>
  <c r="EO17" i="125"/>
  <c r="EO16" i="125"/>
  <c r="EO20" i="125"/>
  <c r="EO11" i="125"/>
  <c r="EO19" i="125"/>
  <c r="EO8" i="125"/>
  <c r="EO21" i="125"/>
  <c r="EO15" i="125"/>
  <c r="EO18" i="125"/>
  <c r="EO6" i="125"/>
  <c r="EO24" i="125"/>
  <c r="EO12" i="125"/>
  <c r="EO7" i="125"/>
  <c r="EO23" i="125"/>
  <c r="EO14" i="125"/>
  <c r="EO10" i="125"/>
  <c r="DP1" i="125"/>
  <c r="DQ2" i="125"/>
  <c r="CR24" i="125"/>
  <c r="CR15" i="125"/>
  <c r="CR12" i="125"/>
  <c r="CR23" i="125"/>
  <c r="CR14" i="125"/>
  <c r="CR6" i="125"/>
  <c r="CR10" i="125"/>
  <c r="CR7" i="125"/>
  <c r="CR20" i="125"/>
  <c r="CR9" i="125"/>
  <c r="CR22" i="125"/>
  <c r="CR13" i="125"/>
  <c r="CR8" i="125"/>
  <c r="CR21" i="125"/>
  <c r="CR17" i="125"/>
  <c r="CR19" i="125"/>
  <c r="CR11" i="125"/>
  <c r="EP1" i="125"/>
  <c r="CR18" i="125"/>
  <c r="CR16" i="125"/>
  <c r="CT2" i="125"/>
  <c r="CS1" i="125"/>
  <c r="J20" i="141" l="1"/>
  <c r="FH20" i="141"/>
  <c r="L20" i="141"/>
  <c r="J12" i="141"/>
  <c r="FH12" i="141"/>
  <c r="L12" i="141"/>
  <c r="J7" i="141"/>
  <c r="FH7" i="141"/>
  <c r="L7" i="141"/>
  <c r="J15" i="141"/>
  <c r="L15" i="141"/>
  <c r="FH15" i="141"/>
  <c r="J24" i="141"/>
  <c r="FH24" i="141"/>
  <c r="L24" i="141"/>
  <c r="J22" i="141"/>
  <c r="FH22" i="141"/>
  <c r="L22" i="141"/>
  <c r="J19" i="141"/>
  <c r="FH19" i="141"/>
  <c r="L19" i="141"/>
  <c r="J17" i="141"/>
  <c r="L17" i="141"/>
  <c r="FH17" i="141"/>
  <c r="J9" i="141"/>
  <c r="L9" i="141"/>
  <c r="FH9" i="141"/>
  <c r="J16" i="141"/>
  <c r="L16" i="141"/>
  <c r="FH16" i="141"/>
  <c r="CL7" i="141"/>
  <c r="CL11" i="141"/>
  <c r="CL21" i="141"/>
  <c r="CL12" i="141"/>
  <c r="CL19" i="141"/>
  <c r="CL20" i="141"/>
  <c r="CL15" i="141"/>
  <c r="CL18" i="141"/>
  <c r="CL13" i="141"/>
  <c r="CL17" i="141"/>
  <c r="CL10" i="141"/>
  <c r="CL16" i="141"/>
  <c r="CL9" i="141"/>
  <c r="CL24" i="141"/>
  <c r="CL22" i="141"/>
  <c r="CL8" i="141"/>
  <c r="CL23" i="141"/>
  <c r="CL14" i="141"/>
  <c r="CL6" i="141"/>
  <c r="EJ1" i="141"/>
  <c r="DJ14" i="141"/>
  <c r="DJ24" i="141"/>
  <c r="DJ23" i="141"/>
  <c r="DJ10" i="141"/>
  <c r="DJ18" i="141"/>
  <c r="DJ21" i="141"/>
  <c r="DJ13" i="141"/>
  <c r="DJ20" i="141"/>
  <c r="DJ15" i="141"/>
  <c r="DJ12" i="141"/>
  <c r="DJ19" i="141"/>
  <c r="DJ11" i="141"/>
  <c r="DJ2" i="141"/>
  <c r="DK2" i="141" s="1"/>
  <c r="DJ22" i="141"/>
  <c r="DJ7" i="141"/>
  <c r="DJ9" i="141"/>
  <c r="DJ17" i="141"/>
  <c r="DJ6" i="141"/>
  <c r="DJ8" i="141"/>
  <c r="DJ16" i="141"/>
  <c r="EI20" i="141"/>
  <c r="CB20" i="141" s="1"/>
  <c r="EI19" i="141"/>
  <c r="CB19" i="141" s="1"/>
  <c r="EI2" i="141"/>
  <c r="EJ2" i="141" s="1"/>
  <c r="EK2" i="141" s="1"/>
  <c r="EL2" i="141" s="1"/>
  <c r="EM2" i="141" s="1"/>
  <c r="EN2" i="141" s="1"/>
  <c r="EO2" i="141" s="1"/>
  <c r="EP2" i="141" s="1"/>
  <c r="EQ2" i="141" s="1"/>
  <c r="ER2" i="141" s="1"/>
  <c r="ES2" i="141" s="1"/>
  <c r="ET2" i="141" s="1"/>
  <c r="EU2" i="141" s="1"/>
  <c r="EV2" i="141" s="1"/>
  <c r="EW2" i="141" s="1"/>
  <c r="EX2" i="141" s="1"/>
  <c r="EY2" i="141" s="1"/>
  <c r="EZ2" i="141" s="1"/>
  <c r="FA2" i="141" s="1"/>
  <c r="FB2" i="141" s="1"/>
  <c r="FC2" i="141" s="1"/>
  <c r="FD2" i="141" s="1"/>
  <c r="FE2" i="141" s="1"/>
  <c r="FF2" i="141" s="1"/>
  <c r="EI16" i="141"/>
  <c r="CB16" i="141" s="1"/>
  <c r="EI24" i="141"/>
  <c r="CB24" i="141" s="1"/>
  <c r="EI21" i="141"/>
  <c r="CB21" i="141" s="1"/>
  <c r="EI15" i="141"/>
  <c r="CB15" i="141" s="1"/>
  <c r="EI14" i="141"/>
  <c r="CB14" i="141" s="1"/>
  <c r="EI23" i="141"/>
  <c r="CB23" i="141" s="1"/>
  <c r="EI12" i="141"/>
  <c r="CB12" i="141" s="1"/>
  <c r="EI9" i="141"/>
  <c r="CB9" i="141" s="1"/>
  <c r="EI22" i="141"/>
  <c r="CB22" i="141" s="1"/>
  <c r="EI7" i="141"/>
  <c r="CB7" i="141" s="1"/>
  <c r="EI11" i="141"/>
  <c r="CB11" i="141" s="1"/>
  <c r="EI18" i="141"/>
  <c r="CB18" i="141" s="1"/>
  <c r="EI13" i="141"/>
  <c r="CB13" i="141" s="1"/>
  <c r="EI6" i="141"/>
  <c r="CB6" i="141" s="1"/>
  <c r="EI17" i="141"/>
  <c r="CB17" i="141" s="1"/>
  <c r="EI8" i="141"/>
  <c r="CB8" i="141" s="1"/>
  <c r="EI10" i="141"/>
  <c r="CB10" i="141" s="1"/>
  <c r="J11" i="141"/>
  <c r="FH11" i="141"/>
  <c r="L11" i="141"/>
  <c r="J13" i="141"/>
  <c r="FH13" i="141"/>
  <c r="L13" i="141"/>
  <c r="J8" i="141"/>
  <c r="FH8" i="141"/>
  <c r="L8" i="141"/>
  <c r="CN2" i="141"/>
  <c r="CM1" i="141"/>
  <c r="J21" i="141"/>
  <c r="L21" i="141"/>
  <c r="FH21" i="141"/>
  <c r="J14" i="141"/>
  <c r="L14" i="141"/>
  <c r="FH14" i="141"/>
  <c r="J10" i="141"/>
  <c r="L10" i="141"/>
  <c r="FH10" i="141"/>
  <c r="J6" i="141"/>
  <c r="L6" i="141"/>
  <c r="FH6" i="141"/>
  <c r="J18" i="141"/>
  <c r="FH18" i="141"/>
  <c r="L18" i="141"/>
  <c r="J23" i="141"/>
  <c r="L23" i="141"/>
  <c r="FH23" i="141"/>
  <c r="CS14" i="131"/>
  <c r="CS23" i="131"/>
  <c r="CS16" i="131"/>
  <c r="CS12" i="131"/>
  <c r="CS10" i="131"/>
  <c r="CS11" i="131"/>
  <c r="CS17" i="131"/>
  <c r="CS24" i="131"/>
  <c r="CS13" i="131"/>
  <c r="CS20" i="131"/>
  <c r="CS22" i="131"/>
  <c r="CS9" i="131"/>
  <c r="CS21" i="131"/>
  <c r="CS8" i="131"/>
  <c r="CS7" i="131"/>
  <c r="CS19" i="131"/>
  <c r="EQ1" i="131"/>
  <c r="CS15" i="131"/>
  <c r="CS6" i="131"/>
  <c r="CS18" i="131"/>
  <c r="CU2" i="131"/>
  <c r="CT1" i="131"/>
  <c r="EP21" i="131"/>
  <c r="EP9" i="131"/>
  <c r="EP16" i="131"/>
  <c r="EP8" i="131"/>
  <c r="EP10" i="131"/>
  <c r="EP19" i="131"/>
  <c r="EP7" i="131"/>
  <c r="EP18" i="131"/>
  <c r="EP6" i="131"/>
  <c r="EP12" i="131"/>
  <c r="EP15" i="131"/>
  <c r="EP14" i="131"/>
  <c r="EP17" i="131"/>
  <c r="EP20" i="131"/>
  <c r="EP24" i="131"/>
  <c r="EP13" i="131"/>
  <c r="EP23" i="131"/>
  <c r="EP11" i="131"/>
  <c r="EP22" i="131"/>
  <c r="DR2" i="131"/>
  <c r="DQ1" i="131"/>
  <c r="DP24" i="131"/>
  <c r="DP14" i="131"/>
  <c r="DP16" i="131"/>
  <c r="DP23" i="131"/>
  <c r="DP15" i="131"/>
  <c r="DP22" i="131"/>
  <c r="DP10" i="131"/>
  <c r="DP21" i="131"/>
  <c r="DP9" i="131"/>
  <c r="DP20" i="131"/>
  <c r="DP12" i="131"/>
  <c r="DP19" i="131"/>
  <c r="DP8" i="131"/>
  <c r="DP17" i="131"/>
  <c r="DP6" i="131"/>
  <c r="DP7" i="131"/>
  <c r="DP18" i="131"/>
  <c r="DP13" i="131"/>
  <c r="DP11" i="131"/>
  <c r="DP23" i="125"/>
  <c r="DP14" i="125"/>
  <c r="DP11" i="125"/>
  <c r="DP9" i="125"/>
  <c r="DP8" i="125"/>
  <c r="DP19" i="125"/>
  <c r="DP6" i="125"/>
  <c r="DP20" i="125"/>
  <c r="DP24" i="125"/>
  <c r="DP10" i="125"/>
  <c r="DP22" i="125"/>
  <c r="DP15" i="125"/>
  <c r="DP7" i="125"/>
  <c r="DP21" i="125"/>
  <c r="DP17" i="125"/>
  <c r="DP13" i="125"/>
  <c r="DP18" i="125"/>
  <c r="DP12" i="125"/>
  <c r="DP16" i="125"/>
  <c r="CS23" i="125"/>
  <c r="CS10" i="125"/>
  <c r="CS14" i="125"/>
  <c r="CS9" i="125"/>
  <c r="CS7" i="125"/>
  <c r="CS17" i="125"/>
  <c r="CS16" i="125"/>
  <c r="CS6" i="125"/>
  <c r="CS15" i="125"/>
  <c r="CS22" i="125"/>
  <c r="CS24" i="125"/>
  <c r="CS12" i="125"/>
  <c r="CS21" i="125"/>
  <c r="CS20" i="125"/>
  <c r="CS8" i="125"/>
  <c r="CS11" i="125"/>
  <c r="CS13" i="125"/>
  <c r="CS19" i="125"/>
  <c r="CS18" i="125"/>
  <c r="EQ1" i="125"/>
  <c r="CU2" i="125"/>
  <c r="CT1" i="125"/>
  <c r="EP20" i="125"/>
  <c r="EP15" i="125"/>
  <c r="EP10" i="125"/>
  <c r="EP7" i="125"/>
  <c r="EP17" i="125"/>
  <c r="EP23" i="125"/>
  <c r="EP16" i="125"/>
  <c r="EP12" i="125"/>
  <c r="EP9" i="125"/>
  <c r="EP21" i="125"/>
  <c r="EP8" i="125"/>
  <c r="EP19" i="125"/>
  <c r="EP11" i="125"/>
  <c r="EP18" i="125"/>
  <c r="EP13" i="125"/>
  <c r="EP24" i="125"/>
  <c r="EP6" i="125"/>
  <c r="EP22" i="125"/>
  <c r="EP14" i="125"/>
  <c r="DQ1" i="125"/>
  <c r="DR2" i="125"/>
  <c r="FH27" i="141" l="1"/>
  <c r="DK1" i="141"/>
  <c r="DL2" i="141"/>
  <c r="CO2" i="141"/>
  <c r="CN1" i="141"/>
  <c r="CM6" i="141"/>
  <c r="CM9" i="141"/>
  <c r="CM24" i="141"/>
  <c r="EK1" i="141"/>
  <c r="CM18" i="141"/>
  <c r="CM23" i="141"/>
  <c r="CM13" i="141"/>
  <c r="CM8" i="141"/>
  <c r="CM22" i="141"/>
  <c r="CM20" i="141"/>
  <c r="CM7" i="141"/>
  <c r="CM17" i="141"/>
  <c r="CM11" i="141"/>
  <c r="CM12" i="141"/>
  <c r="CM16" i="141"/>
  <c r="CM10" i="141"/>
  <c r="CM15" i="141"/>
  <c r="CM21" i="141"/>
  <c r="CM14" i="141"/>
  <c r="CM19" i="141"/>
  <c r="EJ20" i="141"/>
  <c r="EJ8" i="141"/>
  <c r="EJ19" i="141"/>
  <c r="EJ24" i="141"/>
  <c r="EJ17" i="141"/>
  <c r="EJ11" i="141"/>
  <c r="EJ16" i="141"/>
  <c r="EJ9" i="141"/>
  <c r="EJ15" i="141"/>
  <c r="EJ13" i="141"/>
  <c r="EJ22" i="141"/>
  <c r="EJ7" i="141"/>
  <c r="EJ12" i="141"/>
  <c r="EJ21" i="141"/>
  <c r="EJ18" i="141"/>
  <c r="EJ14" i="141"/>
  <c r="EJ23" i="141"/>
  <c r="EJ6" i="141"/>
  <c r="EJ10" i="141"/>
  <c r="CT19" i="131"/>
  <c r="ER1" i="131"/>
  <c r="CT12" i="131"/>
  <c r="CT18" i="131"/>
  <c r="CT7" i="131"/>
  <c r="CT6" i="131"/>
  <c r="CT14" i="131"/>
  <c r="CT23" i="131"/>
  <c r="CT22" i="131"/>
  <c r="CT20" i="131"/>
  <c r="CT24" i="131"/>
  <c r="CT16" i="131"/>
  <c r="CT13" i="131"/>
  <c r="CT10" i="131"/>
  <c r="CT11" i="131"/>
  <c r="CT17" i="131"/>
  <c r="CT15" i="131"/>
  <c r="CT21" i="131"/>
  <c r="CT8" i="131"/>
  <c r="CT9" i="131"/>
  <c r="CV2" i="131"/>
  <c r="CU1" i="131"/>
  <c r="DQ17" i="131"/>
  <c r="DQ10" i="131"/>
  <c r="DQ16" i="131"/>
  <c r="DQ18" i="131"/>
  <c r="DQ12" i="131"/>
  <c r="DQ23" i="131"/>
  <c r="DQ14" i="131"/>
  <c r="DQ7" i="131"/>
  <c r="DQ15" i="131"/>
  <c r="DQ13" i="131"/>
  <c r="DQ8" i="131"/>
  <c r="DQ6" i="131"/>
  <c r="DQ24" i="131"/>
  <c r="DQ11" i="131"/>
  <c r="DQ22" i="131"/>
  <c r="DQ21" i="131"/>
  <c r="DQ9" i="131"/>
  <c r="DQ20" i="131"/>
  <c r="DQ19" i="131"/>
  <c r="DR1" i="131"/>
  <c r="DS2" i="131"/>
  <c r="EQ22" i="131"/>
  <c r="EQ8" i="131"/>
  <c r="EQ21" i="131"/>
  <c r="EQ7" i="131"/>
  <c r="EQ20" i="131"/>
  <c r="EQ13" i="131"/>
  <c r="EQ18" i="131"/>
  <c r="EQ11" i="131"/>
  <c r="EQ14" i="131"/>
  <c r="EQ17" i="131"/>
  <c r="EQ10" i="131"/>
  <c r="EQ23" i="131"/>
  <c r="EQ9" i="131"/>
  <c r="EQ16" i="131"/>
  <c r="EQ19" i="131"/>
  <c r="EQ6" i="131"/>
  <c r="EQ15" i="131"/>
  <c r="EQ12" i="131"/>
  <c r="EQ24" i="131"/>
  <c r="CV2" i="125"/>
  <c r="CU1" i="125"/>
  <c r="EQ17" i="125"/>
  <c r="EQ7" i="125"/>
  <c r="EQ22" i="125"/>
  <c r="EQ10" i="125"/>
  <c r="EQ18" i="125"/>
  <c r="EQ20" i="125"/>
  <c r="EQ13" i="125"/>
  <c r="EQ11" i="125"/>
  <c r="EQ24" i="125"/>
  <c r="EQ9" i="125"/>
  <c r="EQ16" i="125"/>
  <c r="EQ6" i="125"/>
  <c r="EQ23" i="125"/>
  <c r="EQ12" i="125"/>
  <c r="EQ8" i="125"/>
  <c r="EQ19" i="125"/>
  <c r="EQ21" i="125"/>
  <c r="EQ15" i="125"/>
  <c r="EQ14" i="125"/>
  <c r="DS2" i="125"/>
  <c r="DR1" i="125"/>
  <c r="DQ24" i="125"/>
  <c r="DQ16" i="125"/>
  <c r="DQ7" i="125"/>
  <c r="DQ19" i="125"/>
  <c r="DQ9" i="125"/>
  <c r="DQ20" i="125"/>
  <c r="DQ8" i="125"/>
  <c r="DQ23" i="125"/>
  <c r="DQ13" i="125"/>
  <c r="DQ10" i="125"/>
  <c r="DQ22" i="125"/>
  <c r="DQ12" i="125"/>
  <c r="DQ14" i="125"/>
  <c r="DQ21" i="125"/>
  <c r="DQ15" i="125"/>
  <c r="DQ11" i="125"/>
  <c r="DQ18" i="125"/>
  <c r="DQ17" i="125"/>
  <c r="DQ6" i="125"/>
  <c r="CT10" i="125"/>
  <c r="CT11" i="125"/>
  <c r="CT21" i="125"/>
  <c r="CT8" i="125"/>
  <c r="ER1" i="125"/>
  <c r="CT23" i="125"/>
  <c r="CT12" i="125"/>
  <c r="CT15" i="125"/>
  <c r="CT24" i="125"/>
  <c r="CT16" i="125"/>
  <c r="CT19" i="125"/>
  <c r="CT22" i="125"/>
  <c r="CT13" i="125"/>
  <c r="CT14" i="125"/>
  <c r="CT20" i="125"/>
  <c r="CT9" i="125"/>
  <c r="CT7" i="125"/>
  <c r="CT18" i="125"/>
  <c r="CT17" i="125"/>
  <c r="CT6" i="125"/>
  <c r="CO1" i="141" l="1"/>
  <c r="CP2" i="141"/>
  <c r="EK24" i="141"/>
  <c r="EK18" i="141"/>
  <c r="EK9" i="141"/>
  <c r="EK6" i="141"/>
  <c r="EK21" i="141"/>
  <c r="EK20" i="141"/>
  <c r="EK17" i="141"/>
  <c r="EK8" i="141"/>
  <c r="EK16" i="141"/>
  <c r="EK7" i="141"/>
  <c r="EK15" i="141"/>
  <c r="EK13" i="141"/>
  <c r="EK23" i="141"/>
  <c r="EK12" i="141"/>
  <c r="EK14" i="141"/>
  <c r="EK11" i="141"/>
  <c r="EK22" i="141"/>
  <c r="EK19" i="141"/>
  <c r="EK10" i="141"/>
  <c r="DM2" i="141"/>
  <c r="DL1" i="141"/>
  <c r="DK15" i="141"/>
  <c r="DK10" i="141"/>
  <c r="DK14" i="141"/>
  <c r="DK11" i="141"/>
  <c r="DK22" i="141"/>
  <c r="DK6" i="141"/>
  <c r="DK13" i="141"/>
  <c r="DK17" i="141"/>
  <c r="DK23" i="141"/>
  <c r="DK12" i="141"/>
  <c r="DK24" i="141"/>
  <c r="DK21" i="141"/>
  <c r="DK9" i="141"/>
  <c r="DK16" i="141"/>
  <c r="DK19" i="141"/>
  <c r="DK18" i="141"/>
  <c r="DK8" i="141"/>
  <c r="DK7" i="141"/>
  <c r="DK20" i="141"/>
  <c r="CN15" i="141"/>
  <c r="CN9" i="141"/>
  <c r="CN14" i="141"/>
  <c r="CN19" i="141"/>
  <c r="CN13" i="141"/>
  <c r="CN18" i="141"/>
  <c r="CN23" i="141"/>
  <c r="CN20" i="141"/>
  <c r="CN6" i="141"/>
  <c r="CN22" i="141"/>
  <c r="CN17" i="141"/>
  <c r="CN8" i="141"/>
  <c r="CN21" i="141"/>
  <c r="CN11" i="141"/>
  <c r="CN7" i="141"/>
  <c r="CN24" i="141"/>
  <c r="CN10" i="141"/>
  <c r="CN12" i="141"/>
  <c r="CN16" i="141"/>
  <c r="EL1" i="141"/>
  <c r="CU15" i="131"/>
  <c r="CU13" i="131"/>
  <c r="CU16" i="131"/>
  <c r="ES1" i="131"/>
  <c r="CU23" i="131"/>
  <c r="CU11" i="131"/>
  <c r="CU18" i="131"/>
  <c r="CU6" i="131"/>
  <c r="CU14" i="131"/>
  <c r="CU21" i="131"/>
  <c r="CU12" i="131"/>
  <c r="CU24" i="131"/>
  <c r="CU19" i="131"/>
  <c r="CU22" i="131"/>
  <c r="CU17" i="131"/>
  <c r="CU10" i="131"/>
  <c r="CU8" i="131"/>
  <c r="CU20" i="131"/>
  <c r="CU9" i="131"/>
  <c r="CU7" i="131"/>
  <c r="CW2" i="131"/>
  <c r="CV1" i="131"/>
  <c r="DS1" i="131"/>
  <c r="DT2" i="131"/>
  <c r="DR14" i="131"/>
  <c r="DR12" i="131"/>
  <c r="DR21" i="131"/>
  <c r="DR6" i="131"/>
  <c r="DR16" i="131"/>
  <c r="DR22" i="131"/>
  <c r="DR20" i="131"/>
  <c r="DR15" i="131"/>
  <c r="DR24" i="131"/>
  <c r="DR10" i="131"/>
  <c r="DR8" i="131"/>
  <c r="DR7" i="131"/>
  <c r="DR18" i="131"/>
  <c r="DR17" i="131"/>
  <c r="DR23" i="131"/>
  <c r="DR9" i="131"/>
  <c r="DR11" i="131"/>
  <c r="DR19" i="131"/>
  <c r="DR13" i="131"/>
  <c r="ER21" i="131"/>
  <c r="ER9" i="131"/>
  <c r="ER19" i="131"/>
  <c r="ER11" i="131"/>
  <c r="ER7" i="131"/>
  <c r="ER14" i="131"/>
  <c r="ER10" i="131"/>
  <c r="ER23" i="131"/>
  <c r="ER15" i="131"/>
  <c r="ER20" i="131"/>
  <c r="ER8" i="131"/>
  <c r="ER18" i="131"/>
  <c r="ER13" i="131"/>
  <c r="ER24" i="131"/>
  <c r="ER22" i="131"/>
  <c r="ER17" i="131"/>
  <c r="ER6" i="131"/>
  <c r="ER16" i="131"/>
  <c r="ER12" i="131"/>
  <c r="ER17" i="125"/>
  <c r="ER14" i="125"/>
  <c r="ER21" i="125"/>
  <c r="ER15" i="125"/>
  <c r="ER22" i="125"/>
  <c r="ER24" i="125"/>
  <c r="ER13" i="125"/>
  <c r="ER19" i="125"/>
  <c r="ER10" i="125"/>
  <c r="ER6" i="125"/>
  <c r="ER20" i="125"/>
  <c r="ER12" i="125"/>
  <c r="ER7" i="125"/>
  <c r="ER18" i="125"/>
  <c r="ER11" i="125"/>
  <c r="ER23" i="125"/>
  <c r="ER9" i="125"/>
  <c r="ER16" i="125"/>
  <c r="ER8" i="125"/>
  <c r="DT2" i="125"/>
  <c r="DS1" i="125"/>
  <c r="DR23" i="125"/>
  <c r="DR13" i="125"/>
  <c r="DR9" i="125"/>
  <c r="DR20" i="125"/>
  <c r="DR19" i="125"/>
  <c r="DR11" i="125"/>
  <c r="DR22" i="125"/>
  <c r="DR15" i="125"/>
  <c r="DR7" i="125"/>
  <c r="DR14" i="125"/>
  <c r="DR21" i="125"/>
  <c r="DR10" i="125"/>
  <c r="DR17" i="125"/>
  <c r="DR24" i="125"/>
  <c r="DR6" i="125"/>
  <c r="DR16" i="125"/>
  <c r="DR8" i="125"/>
  <c r="DR18" i="125"/>
  <c r="DR12" i="125"/>
  <c r="CU19" i="125"/>
  <c r="BY19" i="125" s="1"/>
  <c r="CU11" i="125"/>
  <c r="BY11" i="125" s="1"/>
  <c r="CU21" i="125"/>
  <c r="BY21" i="125" s="1"/>
  <c r="CU16" i="125"/>
  <c r="BY16" i="125" s="1"/>
  <c r="CU17" i="125"/>
  <c r="BY17" i="125" s="1"/>
  <c r="CU23" i="125"/>
  <c r="BY23" i="125" s="1"/>
  <c r="CU9" i="125"/>
  <c r="BY9" i="125" s="1"/>
  <c r="CU10" i="125"/>
  <c r="BY10" i="125" s="1"/>
  <c r="CU12" i="125"/>
  <c r="BY12" i="125" s="1"/>
  <c r="CU18" i="125"/>
  <c r="BY18" i="125" s="1"/>
  <c r="CU8" i="125"/>
  <c r="BY8" i="125" s="1"/>
  <c r="CU22" i="125"/>
  <c r="BY22" i="125" s="1"/>
  <c r="CU13" i="125"/>
  <c r="BY13" i="125" s="1"/>
  <c r="ES1" i="125"/>
  <c r="CU20" i="125"/>
  <c r="BY20" i="125" s="1"/>
  <c r="CU14" i="125"/>
  <c r="BY14" i="125" s="1"/>
  <c r="CU15" i="125"/>
  <c r="BY15" i="125" s="1"/>
  <c r="CU24" i="125"/>
  <c r="BY24" i="125" s="1"/>
  <c r="CU7" i="125"/>
  <c r="BY7" i="125" s="1"/>
  <c r="CU6" i="125"/>
  <c r="BY6" i="125" s="1"/>
  <c r="CW2" i="125"/>
  <c r="CV1" i="125"/>
  <c r="DL21" i="141" l="1"/>
  <c r="DL9" i="141"/>
  <c r="DL20" i="141"/>
  <c r="DL14" i="141"/>
  <c r="DL8" i="141"/>
  <c r="DL17" i="141"/>
  <c r="DL6" i="141"/>
  <c r="DL7" i="141"/>
  <c r="DL16" i="141"/>
  <c r="DL19" i="141"/>
  <c r="DL18" i="141"/>
  <c r="DL13" i="141"/>
  <c r="DL22" i="141"/>
  <c r="DL11" i="141"/>
  <c r="DL12" i="141"/>
  <c r="DL15" i="141"/>
  <c r="DL10" i="141"/>
  <c r="DL23" i="141"/>
  <c r="DL24" i="141"/>
  <c r="EL13" i="141"/>
  <c r="EL6" i="141"/>
  <c r="EL21" i="141"/>
  <c r="EL16" i="141"/>
  <c r="EL11" i="141"/>
  <c r="EL24" i="141"/>
  <c r="EL12" i="141"/>
  <c r="EL14" i="141"/>
  <c r="EL19" i="141"/>
  <c r="EL9" i="141"/>
  <c r="EL15" i="141"/>
  <c r="EL17" i="141"/>
  <c r="EL22" i="141"/>
  <c r="EL23" i="141"/>
  <c r="EL18" i="141"/>
  <c r="EL8" i="141"/>
  <c r="EL20" i="141"/>
  <c r="EL7" i="141"/>
  <c r="EL10" i="141"/>
  <c r="DM1" i="141"/>
  <c r="DN2" i="141"/>
  <c r="CQ2" i="141"/>
  <c r="CP1" i="141"/>
  <c r="CO16" i="141"/>
  <c r="CO10" i="141"/>
  <c r="CO7" i="141"/>
  <c r="CO13" i="141"/>
  <c r="CO9" i="141"/>
  <c r="CO12" i="141"/>
  <c r="CO8" i="141"/>
  <c r="CO15" i="141"/>
  <c r="EM1" i="141"/>
  <c r="CO22" i="141"/>
  <c r="CO20" i="141"/>
  <c r="CO19" i="141"/>
  <c r="CO14" i="141"/>
  <c r="CO24" i="141"/>
  <c r="CO21" i="141"/>
  <c r="CO17" i="141"/>
  <c r="CO18" i="141"/>
  <c r="CO23" i="141"/>
  <c r="CO11" i="141"/>
  <c r="CO6" i="141"/>
  <c r="DT1" i="131"/>
  <c r="DU2" i="131"/>
  <c r="DS22" i="131"/>
  <c r="DS9" i="131"/>
  <c r="DS21" i="131"/>
  <c r="DS8" i="131"/>
  <c r="DS20" i="131"/>
  <c r="DS11" i="131"/>
  <c r="DS19" i="131"/>
  <c r="DS7" i="131"/>
  <c r="DS17" i="131"/>
  <c r="DS24" i="131"/>
  <c r="DS12" i="131"/>
  <c r="DS16" i="131"/>
  <c r="DS6" i="131"/>
  <c r="DS18" i="131"/>
  <c r="DS15" i="131"/>
  <c r="DS14" i="131"/>
  <c r="DS13" i="131"/>
  <c r="DS23" i="131"/>
  <c r="DS10" i="131"/>
  <c r="CV17" i="131"/>
  <c r="BT17" i="131" s="1"/>
  <c r="ET1" i="131"/>
  <c r="CV23" i="131"/>
  <c r="BT23" i="131" s="1"/>
  <c r="CV14" i="131"/>
  <c r="BT14" i="131" s="1"/>
  <c r="CV13" i="131"/>
  <c r="BT13" i="131" s="1"/>
  <c r="CV20" i="131"/>
  <c r="BT20" i="131" s="1"/>
  <c r="CV15" i="131"/>
  <c r="BT15" i="131" s="1"/>
  <c r="CV19" i="131"/>
  <c r="BT19" i="131" s="1"/>
  <c r="CV9" i="131"/>
  <c r="BT9" i="131" s="1"/>
  <c r="CV22" i="131"/>
  <c r="BT22" i="131" s="1"/>
  <c r="CV11" i="131"/>
  <c r="BT11" i="131" s="1"/>
  <c r="CV18" i="131"/>
  <c r="BT18" i="131" s="1"/>
  <c r="CV8" i="131"/>
  <c r="BT8" i="131" s="1"/>
  <c r="CV16" i="131"/>
  <c r="BT16" i="131" s="1"/>
  <c r="CV12" i="131"/>
  <c r="BT12" i="131" s="1"/>
  <c r="CV24" i="131"/>
  <c r="BT24" i="131" s="1"/>
  <c r="CV6" i="131"/>
  <c r="BT6" i="131" s="1"/>
  <c r="CV21" i="131"/>
  <c r="BT21" i="131" s="1"/>
  <c r="CV10" i="131"/>
  <c r="BT10" i="131" s="1"/>
  <c r="CV7" i="131"/>
  <c r="BT7" i="131" s="1"/>
  <c r="CX2" i="131"/>
  <c r="CW1" i="131"/>
  <c r="ES14" i="131"/>
  <c r="ES9" i="131"/>
  <c r="ES7" i="131"/>
  <c r="ES16" i="131"/>
  <c r="ES10" i="131"/>
  <c r="ES18" i="131"/>
  <c r="ES24" i="131"/>
  <c r="ES19" i="131"/>
  <c r="ES6" i="131"/>
  <c r="ES22" i="131"/>
  <c r="ES12" i="131"/>
  <c r="ES21" i="131"/>
  <c r="ES20" i="131"/>
  <c r="ES8" i="131"/>
  <c r="ES17" i="131"/>
  <c r="ES23" i="131"/>
  <c r="ES11" i="131"/>
  <c r="ES13" i="131"/>
  <c r="ES15" i="131"/>
  <c r="ES22" i="125"/>
  <c r="ES12" i="125"/>
  <c r="ES14" i="125"/>
  <c r="ES11" i="125"/>
  <c r="ES7" i="125"/>
  <c r="ES6" i="125"/>
  <c r="ES20" i="125"/>
  <c r="ES10" i="125"/>
  <c r="ES8" i="125"/>
  <c r="ES23" i="125"/>
  <c r="ES19" i="125"/>
  <c r="ES15" i="125"/>
  <c r="ES9" i="125"/>
  <c r="ES17" i="125"/>
  <c r="ES16" i="125"/>
  <c r="ES18" i="125"/>
  <c r="ES21" i="125"/>
  <c r="ES13" i="125"/>
  <c r="ES24" i="125"/>
  <c r="DS23" i="125"/>
  <c r="DS8" i="125"/>
  <c r="DS15" i="125"/>
  <c r="DS21" i="125"/>
  <c r="DS11" i="125"/>
  <c r="DS13" i="125"/>
  <c r="DS7" i="125"/>
  <c r="DS9" i="125"/>
  <c r="DS24" i="125"/>
  <c r="DS16" i="125"/>
  <c r="DS6" i="125"/>
  <c r="DS22" i="125"/>
  <c r="DS10" i="125"/>
  <c r="DS12" i="125"/>
  <c r="DS20" i="125"/>
  <c r="DS17" i="125"/>
  <c r="DS18" i="125"/>
  <c r="DS19" i="125"/>
  <c r="DS14" i="125"/>
  <c r="BY27" i="125"/>
  <c r="DU2" i="125"/>
  <c r="DT1" i="125"/>
  <c r="CV19" i="125"/>
  <c r="CV17" i="125"/>
  <c r="CV13" i="125"/>
  <c r="CV16" i="125"/>
  <c r="CV11" i="125"/>
  <c r="CV21" i="125"/>
  <c r="CV14" i="125"/>
  <c r="ET1" i="125"/>
  <c r="CV24" i="125"/>
  <c r="CV15" i="125"/>
  <c r="CV10" i="125"/>
  <c r="CV6" i="125"/>
  <c r="CV22" i="125"/>
  <c r="CV23" i="125"/>
  <c r="CV9" i="125"/>
  <c r="CV12" i="125"/>
  <c r="CV18" i="125"/>
  <c r="CV8" i="125"/>
  <c r="CV7" i="125"/>
  <c r="CV20" i="125"/>
  <c r="Y3" i="125"/>
  <c r="CX2" i="125"/>
  <c r="CW1" i="125"/>
  <c r="DN1" i="141" l="1"/>
  <c r="DO2" i="141"/>
  <c r="DM23" i="141"/>
  <c r="DM22" i="141"/>
  <c r="DM8" i="141"/>
  <c r="DM20" i="141"/>
  <c r="DM14" i="141"/>
  <c r="DM7" i="141"/>
  <c r="DM24" i="141"/>
  <c r="DM13" i="141"/>
  <c r="DM6" i="141"/>
  <c r="DM19" i="141"/>
  <c r="DM10" i="141"/>
  <c r="DM18" i="141"/>
  <c r="DM17" i="141"/>
  <c r="DM15" i="141"/>
  <c r="DM9" i="141"/>
  <c r="DM21" i="141"/>
  <c r="DM11" i="141"/>
  <c r="DM16" i="141"/>
  <c r="DM12" i="141"/>
  <c r="EM22" i="141"/>
  <c r="EM15" i="141"/>
  <c r="EM16" i="141"/>
  <c r="EM21" i="141"/>
  <c r="EM9" i="141"/>
  <c r="EM6" i="141"/>
  <c r="EM23" i="141"/>
  <c r="EM24" i="141"/>
  <c r="EM14" i="141"/>
  <c r="EM17" i="141"/>
  <c r="EM18" i="141"/>
  <c r="EM11" i="141"/>
  <c r="EM13" i="141"/>
  <c r="EM8" i="141"/>
  <c r="EM12" i="141"/>
  <c r="EM19" i="141"/>
  <c r="EM20" i="141"/>
  <c r="EM7" i="141"/>
  <c r="EM10" i="141"/>
  <c r="CP12" i="141"/>
  <c r="CP18" i="141"/>
  <c r="CP15" i="141"/>
  <c r="CP6" i="141"/>
  <c r="CP22" i="141"/>
  <c r="CP24" i="141"/>
  <c r="CP7" i="141"/>
  <c r="CP21" i="141"/>
  <c r="CP20" i="141"/>
  <c r="CP11" i="141"/>
  <c r="CP23" i="141"/>
  <c r="CP19" i="141"/>
  <c r="CP10" i="141"/>
  <c r="CP16" i="141"/>
  <c r="CP17" i="141"/>
  <c r="EN1" i="141"/>
  <c r="CP14" i="141"/>
  <c r="CP9" i="141"/>
  <c r="CP13" i="141"/>
  <c r="CP8" i="141"/>
  <c r="CR2" i="141"/>
  <c r="CQ1" i="141"/>
  <c r="BT27" i="131"/>
  <c r="ET12" i="131"/>
  <c r="ET24" i="131"/>
  <c r="ET9" i="131"/>
  <c r="ET22" i="131"/>
  <c r="ET8" i="131"/>
  <c r="ET23" i="131"/>
  <c r="ET11" i="131"/>
  <c r="ET16" i="131"/>
  <c r="ET6" i="131"/>
  <c r="ET17" i="131"/>
  <c r="ET13" i="131"/>
  <c r="ET21" i="131"/>
  <c r="ET10" i="131"/>
  <c r="ET7" i="131"/>
  <c r="ET19" i="131"/>
  <c r="ET14" i="131"/>
  <c r="ET20" i="131"/>
  <c r="ET18" i="131"/>
  <c r="ET15" i="131"/>
  <c r="CW21" i="131"/>
  <c r="CW7" i="131"/>
  <c r="CW13" i="131"/>
  <c r="CW16" i="131"/>
  <c r="EU1" i="131"/>
  <c r="CW20" i="131"/>
  <c r="CW10" i="131"/>
  <c r="CW14" i="131"/>
  <c r="CW15" i="131"/>
  <c r="CW23" i="131"/>
  <c r="CW12" i="131"/>
  <c r="CW18" i="131"/>
  <c r="CW8" i="131"/>
  <c r="CW17" i="131"/>
  <c r="CW11" i="131"/>
  <c r="CW22" i="131"/>
  <c r="CW9" i="131"/>
  <c r="CW19" i="131"/>
  <c r="CW6" i="131"/>
  <c r="CW24" i="131"/>
  <c r="Y3" i="131"/>
  <c r="CY2" i="131"/>
  <c r="CX1" i="131"/>
  <c r="DV2" i="131"/>
  <c r="DU1" i="131"/>
  <c r="DT15" i="131"/>
  <c r="DT6" i="131"/>
  <c r="DT17" i="131"/>
  <c r="DT19" i="131"/>
  <c r="DT14" i="131"/>
  <c r="DT10" i="131"/>
  <c r="DT16" i="131"/>
  <c r="DT9" i="131"/>
  <c r="DT21" i="131"/>
  <c r="DT20" i="131"/>
  <c r="DT11" i="131"/>
  <c r="DT24" i="131"/>
  <c r="DT7" i="131"/>
  <c r="DT13" i="131"/>
  <c r="DT8" i="131"/>
  <c r="DT23" i="131"/>
  <c r="DT12" i="131"/>
  <c r="DT18" i="131"/>
  <c r="DT22" i="131"/>
  <c r="CY2" i="125"/>
  <c r="CX1" i="125"/>
  <c r="ET16" i="125"/>
  <c r="CH16" i="125" s="1"/>
  <c r="Y16" i="125" s="1"/>
  <c r="Z16" i="125" s="1"/>
  <c r="ET6" i="125"/>
  <c r="CH6" i="125" s="1"/>
  <c r="Y6" i="125" s="1"/>
  <c r="Z6" i="125" s="1"/>
  <c r="ET18" i="125"/>
  <c r="CH18" i="125" s="1"/>
  <c r="Y18" i="125" s="1"/>
  <c r="Z18" i="125" s="1"/>
  <c r="ET21" i="125"/>
  <c r="CH21" i="125" s="1"/>
  <c r="Y21" i="125" s="1"/>
  <c r="Z21" i="125" s="1"/>
  <c r="ET12" i="125"/>
  <c r="CH12" i="125" s="1"/>
  <c r="ET15" i="125"/>
  <c r="CH15" i="125" s="1"/>
  <c r="Y15" i="125" s="1"/>
  <c r="Z15" i="125" s="1"/>
  <c r="ET17" i="125"/>
  <c r="CH17" i="125" s="1"/>
  <c r="Y17" i="125" s="1"/>
  <c r="Z17" i="125" s="1"/>
  <c r="ET22" i="125"/>
  <c r="CH22" i="125" s="1"/>
  <c r="Y22" i="125" s="1"/>
  <c r="Z22" i="125" s="1"/>
  <c r="ET14" i="125"/>
  <c r="CH14" i="125" s="1"/>
  <c r="Y14" i="125" s="1"/>
  <c r="Z14" i="125" s="1"/>
  <c r="ET20" i="125"/>
  <c r="CH20" i="125" s="1"/>
  <c r="Y20" i="125" s="1"/>
  <c r="Z20" i="125" s="1"/>
  <c r="ET11" i="125"/>
  <c r="CH11" i="125" s="1"/>
  <c r="Y11" i="125" s="1"/>
  <c r="Z11" i="125" s="1"/>
  <c r="ET13" i="125"/>
  <c r="CH13" i="125" s="1"/>
  <c r="Y13" i="125" s="1"/>
  <c r="Z13" i="125" s="1"/>
  <c r="ET24" i="125"/>
  <c r="CH24" i="125" s="1"/>
  <c r="Y24" i="125" s="1"/>
  <c r="Z24" i="125" s="1"/>
  <c r="ET19" i="125"/>
  <c r="CH19" i="125" s="1"/>
  <c r="Y19" i="125" s="1"/>
  <c r="Z19" i="125" s="1"/>
  <c r="ET9" i="125"/>
  <c r="CH9" i="125" s="1"/>
  <c r="Y9" i="125" s="1"/>
  <c r="Z9" i="125" s="1"/>
  <c r="ET10" i="125"/>
  <c r="CH10" i="125" s="1"/>
  <c r="Y10" i="125" s="1"/>
  <c r="Z10" i="125" s="1"/>
  <c r="ET23" i="125"/>
  <c r="CH23" i="125" s="1"/>
  <c r="Y23" i="125" s="1"/>
  <c r="Z23" i="125" s="1"/>
  <c r="ET8" i="125"/>
  <c r="CH8" i="125" s="1"/>
  <c r="ET7" i="125"/>
  <c r="CH7" i="125" s="1"/>
  <c r="Y7" i="125" s="1"/>
  <c r="Z7" i="125" s="1"/>
  <c r="DT24" i="125"/>
  <c r="CC24" i="125" s="1"/>
  <c r="DT12" i="125"/>
  <c r="CC12" i="125" s="1"/>
  <c r="DT14" i="125"/>
  <c r="CC14" i="125" s="1"/>
  <c r="DT23" i="125"/>
  <c r="CC23" i="125" s="1"/>
  <c r="DT7" i="125"/>
  <c r="CC7" i="125" s="1"/>
  <c r="DT6" i="125"/>
  <c r="CC6" i="125" s="1"/>
  <c r="DT22" i="125"/>
  <c r="CC22" i="125" s="1"/>
  <c r="DT16" i="125"/>
  <c r="CC16" i="125" s="1"/>
  <c r="DT9" i="125"/>
  <c r="CC9" i="125" s="1"/>
  <c r="DT20" i="125"/>
  <c r="CC20" i="125" s="1"/>
  <c r="DT8" i="125"/>
  <c r="CC8" i="125" s="1"/>
  <c r="DT19" i="125"/>
  <c r="CC19" i="125" s="1"/>
  <c r="DT13" i="125"/>
  <c r="CC13" i="125" s="1"/>
  <c r="DT15" i="125"/>
  <c r="CC15" i="125" s="1"/>
  <c r="DT11" i="125"/>
  <c r="CC11" i="125" s="1"/>
  <c r="DT10" i="125"/>
  <c r="CC10" i="125" s="1"/>
  <c r="DT18" i="125"/>
  <c r="CC18" i="125" s="1"/>
  <c r="DT17" i="125"/>
  <c r="CC17" i="125" s="1"/>
  <c r="DT21" i="125"/>
  <c r="CC21" i="125" s="1"/>
  <c r="CW24" i="125"/>
  <c r="CW20" i="125"/>
  <c r="CW8" i="125"/>
  <c r="CW7" i="125"/>
  <c r="CW22" i="125"/>
  <c r="CW16" i="125"/>
  <c r="CW6" i="125"/>
  <c r="CW23" i="125"/>
  <c r="CW13" i="125"/>
  <c r="EU1" i="125"/>
  <c r="CW19" i="125"/>
  <c r="CW11" i="125"/>
  <c r="CW9" i="125"/>
  <c r="CW17" i="125"/>
  <c r="CW10" i="125"/>
  <c r="CW21" i="125"/>
  <c r="CW12" i="125"/>
  <c r="CW15" i="125"/>
  <c r="CW18" i="125"/>
  <c r="CW14" i="125"/>
  <c r="DU1" i="125"/>
  <c r="DV2" i="125"/>
  <c r="EN20" i="141" l="1"/>
  <c r="EN12" i="141"/>
  <c r="EN16" i="141"/>
  <c r="EN22" i="141"/>
  <c r="EN11" i="141"/>
  <c r="EN7" i="141"/>
  <c r="EN18" i="141"/>
  <c r="EN19" i="141"/>
  <c r="EN24" i="141"/>
  <c r="EN15" i="141"/>
  <c r="EN23" i="141"/>
  <c r="EN9" i="141"/>
  <c r="EN21" i="141"/>
  <c r="EN17" i="141"/>
  <c r="EN14" i="141"/>
  <c r="EN8" i="141"/>
  <c r="EN13" i="141"/>
  <c r="EN6" i="141"/>
  <c r="EN10" i="141"/>
  <c r="CQ15" i="141"/>
  <c r="CQ23" i="141"/>
  <c r="CQ24" i="141"/>
  <c r="CQ16" i="141"/>
  <c r="CQ20" i="141"/>
  <c r="CQ17" i="141"/>
  <c r="CQ14" i="141"/>
  <c r="CQ19" i="141"/>
  <c r="CQ18" i="141"/>
  <c r="CQ7" i="141"/>
  <c r="CQ21" i="141"/>
  <c r="CQ8" i="141"/>
  <c r="EO1" i="141"/>
  <c r="CQ22" i="141"/>
  <c r="CQ6" i="141"/>
  <c r="CQ10" i="141"/>
  <c r="CQ13" i="141"/>
  <c r="CQ11" i="141"/>
  <c r="CQ12" i="141"/>
  <c r="CQ9" i="141"/>
  <c r="CS2" i="141"/>
  <c r="CR1" i="141"/>
  <c r="DP2" i="141"/>
  <c r="DO1" i="141"/>
  <c r="DN18" i="141"/>
  <c r="DN8" i="141"/>
  <c r="DN15" i="141"/>
  <c r="DN20" i="141"/>
  <c r="DN14" i="141"/>
  <c r="DN6" i="141"/>
  <c r="DN22" i="141"/>
  <c r="DN13" i="141"/>
  <c r="DN11" i="141"/>
  <c r="DN21" i="141"/>
  <c r="DN12" i="141"/>
  <c r="DN7" i="141"/>
  <c r="DN24" i="141"/>
  <c r="DN10" i="141"/>
  <c r="DN16" i="141"/>
  <c r="DN19" i="141"/>
  <c r="DN17" i="141"/>
  <c r="DN23" i="141"/>
  <c r="DN9" i="141"/>
  <c r="DU9" i="131"/>
  <c r="BX9" i="131" s="1"/>
  <c r="DU20" i="131"/>
  <c r="BX20" i="131" s="1"/>
  <c r="DU8" i="131"/>
  <c r="BX8" i="131" s="1"/>
  <c r="DU18" i="131"/>
  <c r="BX18" i="131" s="1"/>
  <c r="DU6" i="131"/>
  <c r="BX6" i="131" s="1"/>
  <c r="DU24" i="131"/>
  <c r="BX24" i="131" s="1"/>
  <c r="DU11" i="131"/>
  <c r="BX11" i="131" s="1"/>
  <c r="DU22" i="131"/>
  <c r="BX22" i="131" s="1"/>
  <c r="DU23" i="131"/>
  <c r="BX23" i="131" s="1"/>
  <c r="DU12" i="131"/>
  <c r="BX12" i="131" s="1"/>
  <c r="DU13" i="131"/>
  <c r="BX13" i="131" s="1"/>
  <c r="DU21" i="131"/>
  <c r="BX21" i="131" s="1"/>
  <c r="DU10" i="131"/>
  <c r="BX10" i="131" s="1"/>
  <c r="DU17" i="131"/>
  <c r="BX17" i="131" s="1"/>
  <c r="DU7" i="131"/>
  <c r="BX7" i="131" s="1"/>
  <c r="DU19" i="131"/>
  <c r="BX19" i="131" s="1"/>
  <c r="DU14" i="131"/>
  <c r="BX14" i="131" s="1"/>
  <c r="DU16" i="131"/>
  <c r="BX16" i="131" s="1"/>
  <c r="DU15" i="131"/>
  <c r="BX15" i="131" s="1"/>
  <c r="EU22" i="131"/>
  <c r="CC22" i="131" s="1"/>
  <c r="Y22" i="131" s="1"/>
  <c r="Z22" i="131" s="1"/>
  <c r="EU9" i="131"/>
  <c r="CC9" i="131" s="1"/>
  <c r="Y9" i="131" s="1"/>
  <c r="Z9" i="131" s="1"/>
  <c r="EU17" i="131"/>
  <c r="CC17" i="131" s="1"/>
  <c r="Y17" i="131" s="1"/>
  <c r="Z17" i="131" s="1"/>
  <c r="EU16" i="131"/>
  <c r="CC16" i="131" s="1"/>
  <c r="Y16" i="131" s="1"/>
  <c r="Z16" i="131" s="1"/>
  <c r="EU15" i="131"/>
  <c r="CC15" i="131" s="1"/>
  <c r="Y15" i="131" s="1"/>
  <c r="Z15" i="131" s="1"/>
  <c r="EU19" i="131"/>
  <c r="CC19" i="131" s="1"/>
  <c r="Y19" i="131" s="1"/>
  <c r="Z19" i="131" s="1"/>
  <c r="EU8" i="131"/>
  <c r="CC8" i="131" s="1"/>
  <c r="EU21" i="131"/>
  <c r="CC21" i="131" s="1"/>
  <c r="Y21" i="131" s="1"/>
  <c r="Z21" i="131" s="1"/>
  <c r="EU6" i="131"/>
  <c r="CC6" i="131" s="1"/>
  <c r="Y6" i="131" s="1"/>
  <c r="Z6" i="131" s="1"/>
  <c r="EU7" i="131"/>
  <c r="CC7" i="131" s="1"/>
  <c r="Y7" i="131" s="1"/>
  <c r="Z7" i="131" s="1"/>
  <c r="EU20" i="131"/>
  <c r="CC20" i="131" s="1"/>
  <c r="Y20" i="131" s="1"/>
  <c r="Z20" i="131" s="1"/>
  <c r="EU10" i="131"/>
  <c r="CC10" i="131" s="1"/>
  <c r="Y10" i="131" s="1"/>
  <c r="Z10" i="131" s="1"/>
  <c r="EU13" i="131"/>
  <c r="CC13" i="131" s="1"/>
  <c r="Y13" i="131" s="1"/>
  <c r="Z13" i="131" s="1"/>
  <c r="EU23" i="131"/>
  <c r="CC23" i="131" s="1"/>
  <c r="Y23" i="131" s="1"/>
  <c r="Z23" i="131" s="1"/>
  <c r="EU14" i="131"/>
  <c r="CC14" i="131" s="1"/>
  <c r="Y14" i="131" s="1"/>
  <c r="Z14" i="131" s="1"/>
  <c r="EU18" i="131"/>
  <c r="CC18" i="131" s="1"/>
  <c r="Y18" i="131" s="1"/>
  <c r="Z18" i="131" s="1"/>
  <c r="EU12" i="131"/>
  <c r="CC12" i="131" s="1"/>
  <c r="EU24" i="131"/>
  <c r="CC24" i="131" s="1"/>
  <c r="Y24" i="131" s="1"/>
  <c r="Z24" i="131" s="1"/>
  <c r="EU11" i="131"/>
  <c r="CC11" i="131" s="1"/>
  <c r="Y11" i="131" s="1"/>
  <c r="Z11" i="131" s="1"/>
  <c r="DW2" i="131"/>
  <c r="DV1" i="131"/>
  <c r="CX21" i="131"/>
  <c r="EV1" i="131"/>
  <c r="CX14" i="131"/>
  <c r="CX13" i="131"/>
  <c r="CX23" i="131"/>
  <c r="CX19" i="131"/>
  <c r="CX10" i="131"/>
  <c r="CX15" i="131"/>
  <c r="CX11" i="131"/>
  <c r="CX24" i="131"/>
  <c r="CX12" i="131"/>
  <c r="CX16" i="131"/>
  <c r="CX18" i="131"/>
  <c r="CX9" i="131"/>
  <c r="CX17" i="131"/>
  <c r="CX6" i="131"/>
  <c r="CX22" i="131"/>
  <c r="CX7" i="131"/>
  <c r="CX20" i="131"/>
  <c r="CX8" i="131"/>
  <c r="CZ2" i="131"/>
  <c r="CY1" i="131"/>
  <c r="DU17" i="125"/>
  <c r="DU10" i="125"/>
  <c r="DU16" i="125"/>
  <c r="DU12" i="125"/>
  <c r="DU19" i="125"/>
  <c r="DU9" i="125"/>
  <c r="DU7" i="125"/>
  <c r="DU20" i="125"/>
  <c r="DU13" i="125"/>
  <c r="DU21" i="125"/>
  <c r="DU8" i="125"/>
  <c r="DU6" i="125"/>
  <c r="DU22" i="125"/>
  <c r="DU24" i="125"/>
  <c r="DU23" i="125"/>
  <c r="DU15" i="125"/>
  <c r="DU11" i="125"/>
  <c r="DU14" i="125"/>
  <c r="DU18" i="125"/>
  <c r="CI8" i="125"/>
  <c r="Y8" i="125"/>
  <c r="Z8" i="125" s="1"/>
  <c r="CC27" i="125"/>
  <c r="CX18" i="125"/>
  <c r="CX12" i="125"/>
  <c r="CX7" i="125"/>
  <c r="CX15" i="125"/>
  <c r="CX19" i="125"/>
  <c r="CX20" i="125"/>
  <c r="CX6" i="125"/>
  <c r="CX21" i="125"/>
  <c r="CX10" i="125"/>
  <c r="CX9" i="125"/>
  <c r="CX22" i="125"/>
  <c r="CX17" i="125"/>
  <c r="CX14" i="125"/>
  <c r="CX24" i="125"/>
  <c r="CX16" i="125"/>
  <c r="CX8" i="125"/>
  <c r="CX23" i="125"/>
  <c r="CX13" i="125"/>
  <c r="EV1" i="125"/>
  <c r="CX11" i="125"/>
  <c r="CZ2" i="125"/>
  <c r="CY1" i="125"/>
  <c r="EU16" i="125"/>
  <c r="EU12" i="125"/>
  <c r="EU20" i="125"/>
  <c r="EU11" i="125"/>
  <c r="EU6" i="125"/>
  <c r="EU7" i="125"/>
  <c r="EU10" i="125"/>
  <c r="EU24" i="125"/>
  <c r="EU14" i="125"/>
  <c r="EU18" i="125"/>
  <c r="EU19" i="125"/>
  <c r="EU21" i="125"/>
  <c r="EU22" i="125"/>
  <c r="EU13" i="125"/>
  <c r="EU8" i="125"/>
  <c r="EU23" i="125"/>
  <c r="EU9" i="125"/>
  <c r="EU15" i="125"/>
  <c r="EU17" i="125"/>
  <c r="DW2" i="125"/>
  <c r="DV1" i="125"/>
  <c r="CT2" i="141" l="1"/>
  <c r="CS1" i="141"/>
  <c r="EO20" i="141"/>
  <c r="EO16" i="141"/>
  <c r="EO23" i="141"/>
  <c r="EO19" i="141"/>
  <c r="EO17" i="141"/>
  <c r="EO21" i="141"/>
  <c r="EO24" i="141"/>
  <c r="EO8" i="141"/>
  <c r="EO22" i="141"/>
  <c r="EO9" i="141"/>
  <c r="EO13" i="141"/>
  <c r="EO7" i="141"/>
  <c r="EO18" i="141"/>
  <c r="EO6" i="141"/>
  <c r="EO12" i="141"/>
  <c r="EO15" i="141"/>
  <c r="EO11" i="141"/>
  <c r="EO14" i="141"/>
  <c r="EO10" i="141"/>
  <c r="DO22" i="141"/>
  <c r="DO10" i="141"/>
  <c r="DO13" i="141"/>
  <c r="DO20" i="141"/>
  <c r="DO24" i="141"/>
  <c r="DO12" i="141"/>
  <c r="DO6" i="141"/>
  <c r="DO23" i="141"/>
  <c r="DO11" i="141"/>
  <c r="DO7" i="141"/>
  <c r="DO17" i="141"/>
  <c r="DO21" i="141"/>
  <c r="DO19" i="141"/>
  <c r="DO16" i="141"/>
  <c r="DO18" i="141"/>
  <c r="DO15" i="141"/>
  <c r="DO9" i="141"/>
  <c r="DO14" i="141"/>
  <c r="DO8" i="141"/>
  <c r="DQ2" i="141"/>
  <c r="DP1" i="141"/>
  <c r="CR18" i="141"/>
  <c r="CR7" i="141"/>
  <c r="CR6" i="141"/>
  <c r="CR22" i="141"/>
  <c r="CR21" i="141"/>
  <c r="CR10" i="141"/>
  <c r="CR20" i="141"/>
  <c r="CR9" i="141"/>
  <c r="EP1" i="141"/>
  <c r="CR19" i="141"/>
  <c r="CR23" i="141"/>
  <c r="CR8" i="141"/>
  <c r="CR24" i="141"/>
  <c r="CR15" i="141"/>
  <c r="CR16" i="141"/>
  <c r="CR14" i="141"/>
  <c r="CR17" i="141"/>
  <c r="CR11" i="141"/>
  <c r="CR12" i="141"/>
  <c r="CR13" i="141"/>
  <c r="BX27" i="131"/>
  <c r="EV18" i="131"/>
  <c r="EV10" i="131"/>
  <c r="EV13" i="131"/>
  <c r="EV17" i="131"/>
  <c r="EV6" i="131"/>
  <c r="EV21" i="131"/>
  <c r="EV9" i="131"/>
  <c r="EV20" i="131"/>
  <c r="EV8" i="131"/>
  <c r="EV11" i="131"/>
  <c r="EV16" i="131"/>
  <c r="EV7" i="131"/>
  <c r="EV22" i="131"/>
  <c r="EV12" i="131"/>
  <c r="EV15" i="131"/>
  <c r="EV23" i="131"/>
  <c r="EV14" i="131"/>
  <c r="EV24" i="131"/>
  <c r="EV19" i="131"/>
  <c r="CY19" i="131"/>
  <c r="CY23" i="131"/>
  <c r="CY24" i="131"/>
  <c r="CY16" i="131"/>
  <c r="CY14" i="131"/>
  <c r="CY7" i="131"/>
  <c r="CY22" i="131"/>
  <c r="CY10" i="131"/>
  <c r="CY20" i="131"/>
  <c r="CY21" i="131"/>
  <c r="CY9" i="131"/>
  <c r="CY6" i="131"/>
  <c r="CY17" i="131"/>
  <c r="CY8" i="131"/>
  <c r="CY18" i="131"/>
  <c r="CY15" i="131"/>
  <c r="EW1" i="131"/>
  <c r="CY12" i="131"/>
  <c r="CY13" i="131"/>
  <c r="CY11" i="131"/>
  <c r="CZ1" i="131"/>
  <c r="DA2" i="131"/>
  <c r="DV15" i="131"/>
  <c r="DV10" i="131"/>
  <c r="DV20" i="131"/>
  <c r="DV16" i="131"/>
  <c r="DV7" i="131"/>
  <c r="DV24" i="131"/>
  <c r="DV11" i="131"/>
  <c r="DV22" i="131"/>
  <c r="DV12" i="131"/>
  <c r="DV21" i="131"/>
  <c r="DV18" i="131"/>
  <c r="DV9" i="131"/>
  <c r="DV23" i="131"/>
  <c r="DV17" i="131"/>
  <c r="DV8" i="131"/>
  <c r="DV19" i="131"/>
  <c r="DV6" i="131"/>
  <c r="DV13" i="131"/>
  <c r="DV14" i="131"/>
  <c r="DX2" i="131"/>
  <c r="DW1" i="131"/>
  <c r="Y8" i="131"/>
  <c r="Z8" i="131" s="1"/>
  <c r="CJ8" i="131"/>
  <c r="EV21" i="125"/>
  <c r="EV6" i="125"/>
  <c r="EV14" i="125"/>
  <c r="EV19" i="125"/>
  <c r="EV15" i="125"/>
  <c r="EV10" i="125"/>
  <c r="EV20" i="125"/>
  <c r="EV17" i="125"/>
  <c r="EV22" i="125"/>
  <c r="EV16" i="125"/>
  <c r="EV24" i="125"/>
  <c r="EV13" i="125"/>
  <c r="EV9" i="125"/>
  <c r="EV23" i="125"/>
  <c r="EV11" i="125"/>
  <c r="EV8" i="125"/>
  <c r="EV18" i="125"/>
  <c r="EV12" i="125"/>
  <c r="EV7" i="125"/>
  <c r="DX2" i="125"/>
  <c r="DW1" i="125"/>
  <c r="CY12" i="125"/>
  <c r="CY10" i="125"/>
  <c r="CY22" i="125"/>
  <c r="CY21" i="125"/>
  <c r="CY18" i="125"/>
  <c r="CY19" i="125"/>
  <c r="CY13" i="125"/>
  <c r="CY8" i="125"/>
  <c r="CY24" i="125"/>
  <c r="CY14" i="125"/>
  <c r="EW1" i="125"/>
  <c r="CY23" i="125"/>
  <c r="CY6" i="125"/>
  <c r="CY15" i="125"/>
  <c r="CY20" i="125"/>
  <c r="CY11" i="125"/>
  <c r="CY17" i="125"/>
  <c r="CY7" i="125"/>
  <c r="CY16" i="125"/>
  <c r="CY9" i="125"/>
  <c r="DV24" i="125"/>
  <c r="DV12" i="125"/>
  <c r="DV8" i="125"/>
  <c r="DV7" i="125"/>
  <c r="DV23" i="125"/>
  <c r="DV18" i="125"/>
  <c r="DV15" i="125"/>
  <c r="DV19" i="125"/>
  <c r="DV20" i="125"/>
  <c r="DV6" i="125"/>
  <c r="DV21" i="125"/>
  <c r="DV16" i="125"/>
  <c r="DV22" i="125"/>
  <c r="DV14" i="125"/>
  <c r="DV10" i="125"/>
  <c r="DV13" i="125"/>
  <c r="DV9" i="125"/>
  <c r="DV11" i="125"/>
  <c r="DV17" i="125"/>
  <c r="CZ1" i="125"/>
  <c r="DA2" i="125"/>
  <c r="EP20" i="141" l="1"/>
  <c r="EP13" i="141"/>
  <c r="EP8" i="141"/>
  <c r="EP23" i="141"/>
  <c r="EP11" i="141"/>
  <c r="EP19" i="141"/>
  <c r="EP7" i="141"/>
  <c r="EP18" i="141"/>
  <c r="EP6" i="141"/>
  <c r="EP16" i="141"/>
  <c r="EP22" i="141"/>
  <c r="EP24" i="141"/>
  <c r="EP14" i="141"/>
  <c r="EP21" i="141"/>
  <c r="EP12" i="141"/>
  <c r="EP15" i="141"/>
  <c r="EP9" i="141"/>
  <c r="EP17" i="141"/>
  <c r="EP10" i="141"/>
  <c r="DP22" i="141"/>
  <c r="DP8" i="141"/>
  <c r="DP21" i="141"/>
  <c r="DP15" i="141"/>
  <c r="DP24" i="141"/>
  <c r="DP6" i="141"/>
  <c r="DP13" i="141"/>
  <c r="DP7" i="141"/>
  <c r="DP17" i="141"/>
  <c r="DP14" i="141"/>
  <c r="DP12" i="141"/>
  <c r="DP9" i="141"/>
  <c r="DP20" i="141"/>
  <c r="DP11" i="141"/>
  <c r="DP10" i="141"/>
  <c r="DP19" i="141"/>
  <c r="DP18" i="141"/>
  <c r="DP23" i="141"/>
  <c r="DP16" i="141"/>
  <c r="CS12" i="141"/>
  <c r="CS8" i="141"/>
  <c r="CS24" i="141"/>
  <c r="CS7" i="141"/>
  <c r="CS10" i="141"/>
  <c r="CS20" i="141"/>
  <c r="CS14" i="141"/>
  <c r="CS9" i="141"/>
  <c r="CS22" i="141"/>
  <c r="CS6" i="141"/>
  <c r="CS13" i="141"/>
  <c r="CS17" i="141"/>
  <c r="CS16" i="141"/>
  <c r="CS11" i="141"/>
  <c r="CS19" i="141"/>
  <c r="EQ1" i="141"/>
  <c r="CS21" i="141"/>
  <c r="CS18" i="141"/>
  <c r="CS23" i="141"/>
  <c r="CS15" i="141"/>
  <c r="DR2" i="141"/>
  <c r="DQ1" i="141"/>
  <c r="CU2" i="141"/>
  <c r="CT1" i="141"/>
  <c r="EW18" i="131"/>
  <c r="EW11" i="131"/>
  <c r="EW12" i="131"/>
  <c r="EW13" i="131"/>
  <c r="EW24" i="131"/>
  <c r="EW15" i="131"/>
  <c r="EW22" i="131"/>
  <c r="EW9" i="131"/>
  <c r="EW23" i="131"/>
  <c r="EW14" i="131"/>
  <c r="EW10" i="131"/>
  <c r="EW21" i="131"/>
  <c r="EW17" i="131"/>
  <c r="EW8" i="131"/>
  <c r="EW16" i="131"/>
  <c r="EW6" i="131"/>
  <c r="EW20" i="131"/>
  <c r="EW7" i="131"/>
  <c r="EW19" i="131"/>
  <c r="DB2" i="131"/>
  <c r="DA1" i="131"/>
  <c r="DW21" i="131"/>
  <c r="DW7" i="131"/>
  <c r="DW9" i="131"/>
  <c r="DW11" i="131"/>
  <c r="DW17" i="131"/>
  <c r="DW8" i="131"/>
  <c r="DW22" i="131"/>
  <c r="DW6" i="131"/>
  <c r="DW19" i="131"/>
  <c r="DW16" i="131"/>
  <c r="DW13" i="131"/>
  <c r="DW14" i="131"/>
  <c r="DW15" i="131"/>
  <c r="DW24" i="131"/>
  <c r="DW12" i="131"/>
  <c r="DW23" i="131"/>
  <c r="DW20" i="131"/>
  <c r="DW18" i="131"/>
  <c r="DW10" i="131"/>
  <c r="CZ23" i="131"/>
  <c r="CZ10" i="131"/>
  <c r="CZ14" i="131"/>
  <c r="CZ22" i="131"/>
  <c r="CZ9" i="131"/>
  <c r="CZ21" i="131"/>
  <c r="CZ8" i="131"/>
  <c r="CZ20" i="131"/>
  <c r="CZ19" i="131"/>
  <c r="CZ16" i="131"/>
  <c r="CZ7" i="131"/>
  <c r="CZ15" i="131"/>
  <c r="CZ17" i="131"/>
  <c r="EX1" i="131"/>
  <c r="CZ6" i="131"/>
  <c r="CZ18" i="131"/>
  <c r="CZ12" i="131"/>
  <c r="CZ13" i="131"/>
  <c r="CZ24" i="131"/>
  <c r="CZ11" i="131"/>
  <c r="DY2" i="131"/>
  <c r="DX1" i="131"/>
  <c r="DA1" i="125"/>
  <c r="DB2" i="125"/>
  <c r="EW22" i="125"/>
  <c r="EW11" i="125"/>
  <c r="EW6" i="125"/>
  <c r="EW15" i="125"/>
  <c r="EW21" i="125"/>
  <c r="EW8" i="125"/>
  <c r="EW17" i="125"/>
  <c r="EW10" i="125"/>
  <c r="EW9" i="125"/>
  <c r="EW12" i="125"/>
  <c r="EW20" i="125"/>
  <c r="EW16" i="125"/>
  <c r="EW24" i="125"/>
  <c r="EW19" i="125"/>
  <c r="EW7" i="125"/>
  <c r="EW23" i="125"/>
  <c r="EW18" i="125"/>
  <c r="EW13" i="125"/>
  <c r="EW14" i="125"/>
  <c r="DW14" i="125"/>
  <c r="DW7" i="125"/>
  <c r="DW23" i="125"/>
  <c r="DW8" i="125"/>
  <c r="DW24" i="125"/>
  <c r="DW13" i="125"/>
  <c r="DW16" i="125"/>
  <c r="DW11" i="125"/>
  <c r="DW9" i="125"/>
  <c r="DW20" i="125"/>
  <c r="DW19" i="125"/>
  <c r="DW18" i="125"/>
  <c r="DW12" i="125"/>
  <c r="DW21" i="125"/>
  <c r="DW6" i="125"/>
  <c r="DW17" i="125"/>
  <c r="DW22" i="125"/>
  <c r="DW15" i="125"/>
  <c r="DW10" i="125"/>
  <c r="DX1" i="125"/>
  <c r="DY2" i="125"/>
  <c r="CZ16" i="125"/>
  <c r="CZ6" i="125"/>
  <c r="CZ23" i="125"/>
  <c r="CZ8" i="125"/>
  <c r="CZ24" i="125"/>
  <c r="CZ14" i="125"/>
  <c r="EX1" i="125"/>
  <c r="CZ17" i="125"/>
  <c r="CZ9" i="125"/>
  <c r="CZ22" i="125"/>
  <c r="CZ12" i="125"/>
  <c r="CZ21" i="125"/>
  <c r="CZ11" i="125"/>
  <c r="CZ10" i="125"/>
  <c r="CZ20" i="125"/>
  <c r="CZ15" i="125"/>
  <c r="CZ19" i="125"/>
  <c r="CZ13" i="125"/>
  <c r="CZ18" i="125"/>
  <c r="CZ7" i="125"/>
  <c r="CT19" i="141" l="1"/>
  <c r="CT7" i="141"/>
  <c r="CT13" i="141"/>
  <c r="CT22" i="141"/>
  <c r="CT14" i="141"/>
  <c r="CT18" i="141"/>
  <c r="CT6" i="141"/>
  <c r="CT17" i="141"/>
  <c r="ER1" i="141"/>
  <c r="CT16" i="141"/>
  <c r="CT11" i="141"/>
  <c r="CT20" i="141"/>
  <c r="CT15" i="141"/>
  <c r="CT8" i="141"/>
  <c r="CT24" i="141"/>
  <c r="CT21" i="141"/>
  <c r="CT10" i="141"/>
  <c r="CT23" i="141"/>
  <c r="CT12" i="141"/>
  <c r="CT9" i="141"/>
  <c r="EQ22" i="141"/>
  <c r="EQ12" i="141"/>
  <c r="EQ23" i="141"/>
  <c r="EQ24" i="141"/>
  <c r="EQ20" i="141"/>
  <c r="EQ9" i="141"/>
  <c r="EQ15" i="141"/>
  <c r="EQ19" i="141"/>
  <c r="EQ13" i="141"/>
  <c r="EQ18" i="141"/>
  <c r="EQ11" i="141"/>
  <c r="EQ17" i="141"/>
  <c r="EQ21" i="141"/>
  <c r="EQ7" i="141"/>
  <c r="EQ14" i="141"/>
  <c r="EQ16" i="141"/>
  <c r="EQ6" i="141"/>
  <c r="EQ8" i="141"/>
  <c r="EQ10" i="141"/>
  <c r="CV2" i="141"/>
  <c r="CU1" i="141"/>
  <c r="DQ20" i="141"/>
  <c r="DQ16" i="141"/>
  <c r="DQ22" i="141"/>
  <c r="DQ19" i="141"/>
  <c r="DQ11" i="141"/>
  <c r="DQ15" i="141"/>
  <c r="DQ21" i="141"/>
  <c r="DQ13" i="141"/>
  <c r="DQ14" i="141"/>
  <c r="DQ18" i="141"/>
  <c r="DQ7" i="141"/>
  <c r="DQ10" i="141"/>
  <c r="DQ9" i="141"/>
  <c r="DQ24" i="141"/>
  <c r="DQ6" i="141"/>
  <c r="DQ23" i="141"/>
  <c r="DQ17" i="141"/>
  <c r="DQ12" i="141"/>
  <c r="DQ8" i="141"/>
  <c r="DS2" i="141"/>
  <c r="DR1" i="141"/>
  <c r="DA22" i="131"/>
  <c r="DA8" i="131"/>
  <c r="DA20" i="131"/>
  <c r="DA7" i="131"/>
  <c r="DA11" i="131"/>
  <c r="DA15" i="131"/>
  <c r="DA19" i="131"/>
  <c r="EY1" i="131"/>
  <c r="DA16" i="131"/>
  <c r="DA14" i="131"/>
  <c r="DA12" i="131"/>
  <c r="DA21" i="131"/>
  <c r="DA13" i="131"/>
  <c r="DA17" i="131"/>
  <c r="DA6" i="131"/>
  <c r="DA18" i="131"/>
  <c r="DA10" i="131"/>
  <c r="DA23" i="131"/>
  <c r="DA24" i="131"/>
  <c r="DA9" i="131"/>
  <c r="DC2" i="131"/>
  <c r="DB1" i="131"/>
  <c r="EX14" i="131"/>
  <c r="EX12" i="131"/>
  <c r="EX24" i="131"/>
  <c r="EX13" i="131"/>
  <c r="EX23" i="131"/>
  <c r="EX22" i="131"/>
  <c r="EX16" i="131"/>
  <c r="EX20" i="131"/>
  <c r="EX6" i="131"/>
  <c r="EX15" i="131"/>
  <c r="EX17" i="131"/>
  <c r="EX11" i="131"/>
  <c r="EX10" i="131"/>
  <c r="EX21" i="131"/>
  <c r="EX9" i="131"/>
  <c r="EX8" i="131"/>
  <c r="EX7" i="131"/>
  <c r="EX19" i="131"/>
  <c r="EX18" i="131"/>
  <c r="DX17" i="131"/>
  <c r="DX8" i="131"/>
  <c r="DX16" i="131"/>
  <c r="DX20" i="131"/>
  <c r="DX13" i="131"/>
  <c r="DX15" i="131"/>
  <c r="DX12" i="131"/>
  <c r="DX14" i="131"/>
  <c r="DX22" i="131"/>
  <c r="DX9" i="131"/>
  <c r="DX19" i="131"/>
  <c r="DX6" i="131"/>
  <c r="DX7" i="131"/>
  <c r="DX11" i="131"/>
  <c r="DX23" i="131"/>
  <c r="DX10" i="131"/>
  <c r="DX21" i="131"/>
  <c r="DX24" i="131"/>
  <c r="DX18" i="131"/>
  <c r="DZ2" i="131"/>
  <c r="DY1" i="131"/>
  <c r="EX24" i="125"/>
  <c r="EX14" i="125"/>
  <c r="EX6" i="125"/>
  <c r="EX22" i="125"/>
  <c r="EX16" i="125"/>
  <c r="EX20" i="125"/>
  <c r="EX23" i="125"/>
  <c r="EX13" i="125"/>
  <c r="EX11" i="125"/>
  <c r="EX15" i="125"/>
  <c r="EX21" i="125"/>
  <c r="EX12" i="125"/>
  <c r="EX19" i="125"/>
  <c r="EX10" i="125"/>
  <c r="EX18" i="125"/>
  <c r="EX9" i="125"/>
  <c r="EX17" i="125"/>
  <c r="EX8" i="125"/>
  <c r="EX7" i="125"/>
  <c r="DZ2" i="125"/>
  <c r="DY1" i="125"/>
  <c r="DX11" i="125"/>
  <c r="DX18" i="125"/>
  <c r="DX23" i="125"/>
  <c r="DX16" i="125"/>
  <c r="DX15" i="125"/>
  <c r="DX12" i="125"/>
  <c r="DX24" i="125"/>
  <c r="DX21" i="125"/>
  <c r="DX8" i="125"/>
  <c r="DX22" i="125"/>
  <c r="DX14" i="125"/>
  <c r="DX6" i="125"/>
  <c r="DX20" i="125"/>
  <c r="DX13" i="125"/>
  <c r="DX17" i="125"/>
  <c r="DX10" i="125"/>
  <c r="DX19" i="125"/>
  <c r="DX7" i="125"/>
  <c r="DX9" i="125"/>
  <c r="DC2" i="125"/>
  <c r="DB1" i="125"/>
  <c r="DA24" i="125"/>
  <c r="DA7" i="125"/>
  <c r="DA17" i="125"/>
  <c r="DA15" i="125"/>
  <c r="DA18" i="125"/>
  <c r="DA9" i="125"/>
  <c r="DA20" i="125"/>
  <c r="DA13" i="125"/>
  <c r="DA16" i="125"/>
  <c r="DA12" i="125"/>
  <c r="DA8" i="125"/>
  <c r="DA23" i="125"/>
  <c r="DA11" i="125"/>
  <c r="EY1" i="125"/>
  <c r="DA22" i="125"/>
  <c r="DA19" i="125"/>
  <c r="DA14" i="125"/>
  <c r="DA21" i="125"/>
  <c r="DA10" i="125"/>
  <c r="DA6" i="125"/>
  <c r="CW2" i="141" l="1"/>
  <c r="CV1" i="141"/>
  <c r="DR19" i="141"/>
  <c r="DR15" i="141"/>
  <c r="DR16" i="141"/>
  <c r="DR14" i="141"/>
  <c r="DR7" i="141"/>
  <c r="DR18" i="141"/>
  <c r="DR22" i="141"/>
  <c r="DR12" i="141"/>
  <c r="DR10" i="141"/>
  <c r="DR21" i="141"/>
  <c r="DR11" i="141"/>
  <c r="DR8" i="141"/>
  <c r="DR23" i="141"/>
  <c r="DR6" i="141"/>
  <c r="DR13" i="141"/>
  <c r="DR17" i="141"/>
  <c r="DR9" i="141"/>
  <c r="DR20" i="141"/>
  <c r="DR24" i="141"/>
  <c r="DT2" i="141"/>
  <c r="DS1" i="141"/>
  <c r="CU19" i="141"/>
  <c r="CU6" i="141"/>
  <c r="CU12" i="141"/>
  <c r="CU18" i="141"/>
  <c r="ES1" i="141"/>
  <c r="CU9" i="141"/>
  <c r="CU17" i="141"/>
  <c r="CU22" i="141"/>
  <c r="CU16" i="141"/>
  <c r="CU11" i="141"/>
  <c r="CU20" i="141"/>
  <c r="CU10" i="141"/>
  <c r="CU15" i="141"/>
  <c r="CU8" i="141"/>
  <c r="CU24" i="141"/>
  <c r="CU21" i="141"/>
  <c r="CU7" i="141"/>
  <c r="CU23" i="141"/>
  <c r="CU14" i="141"/>
  <c r="CU13" i="141"/>
  <c r="ER19" i="141"/>
  <c r="ER11" i="141"/>
  <c r="ER23" i="141"/>
  <c r="ER18" i="141"/>
  <c r="ER13" i="141"/>
  <c r="ER22" i="141"/>
  <c r="ER15" i="141"/>
  <c r="ER8" i="141"/>
  <c r="ER21" i="141"/>
  <c r="ER7" i="141"/>
  <c r="ER17" i="141"/>
  <c r="ER14" i="141"/>
  <c r="ER24" i="141"/>
  <c r="ER6" i="141"/>
  <c r="ER16" i="141"/>
  <c r="ER12" i="141"/>
  <c r="ER20" i="141"/>
  <c r="ER9" i="141"/>
  <c r="ER10" i="141"/>
  <c r="DB23" i="131"/>
  <c r="DB10" i="131"/>
  <c r="DB12" i="131"/>
  <c r="DB22" i="131"/>
  <c r="DB9" i="131"/>
  <c r="DB11" i="131"/>
  <c r="DB24" i="131"/>
  <c r="DB7" i="131"/>
  <c r="DB13" i="131"/>
  <c r="DB15" i="131"/>
  <c r="DB21" i="131"/>
  <c r="DB8" i="131"/>
  <c r="DB20" i="131"/>
  <c r="DB16" i="131"/>
  <c r="DB18" i="131"/>
  <c r="DB17" i="131"/>
  <c r="EZ1" i="131"/>
  <c r="DB19" i="131"/>
  <c r="DB6" i="131"/>
  <c r="DB14" i="131"/>
  <c r="DC1" i="131"/>
  <c r="DD2" i="131"/>
  <c r="EY22" i="131"/>
  <c r="EY13" i="131"/>
  <c r="EY19" i="131"/>
  <c r="EY6" i="131"/>
  <c r="EY16" i="131"/>
  <c r="EY21" i="131"/>
  <c r="EY9" i="131"/>
  <c r="EY12" i="131"/>
  <c r="EY20" i="131"/>
  <c r="EY8" i="131"/>
  <c r="EY18" i="131"/>
  <c r="EY24" i="131"/>
  <c r="EY23" i="131"/>
  <c r="EY10" i="131"/>
  <c r="EY7" i="131"/>
  <c r="EY11" i="131"/>
  <c r="EY15" i="131"/>
  <c r="EY14" i="131"/>
  <c r="EY17" i="131"/>
  <c r="DY16" i="131"/>
  <c r="DY7" i="131"/>
  <c r="DY20" i="131"/>
  <c r="DY6" i="131"/>
  <c r="DY21" i="131"/>
  <c r="DY19" i="131"/>
  <c r="DY17" i="131"/>
  <c r="DY15" i="131"/>
  <c r="DY14" i="131"/>
  <c r="DY24" i="131"/>
  <c r="DY22" i="131"/>
  <c r="DY9" i="131"/>
  <c r="DY8" i="131"/>
  <c r="DY10" i="131"/>
  <c r="DY12" i="131"/>
  <c r="DY18" i="131"/>
  <c r="DY13" i="131"/>
  <c r="DY23" i="131"/>
  <c r="DY11" i="131"/>
  <c r="DZ1" i="131"/>
  <c r="EA2" i="131"/>
  <c r="DB21" i="125"/>
  <c r="DB12" i="125"/>
  <c r="DB18" i="125"/>
  <c r="DB16" i="125"/>
  <c r="DB11" i="125"/>
  <c r="DB7" i="125"/>
  <c r="DB10" i="125"/>
  <c r="DB9" i="125"/>
  <c r="DB23" i="125"/>
  <c r="EZ1" i="125"/>
  <c r="DB24" i="125"/>
  <c r="DB17" i="125"/>
  <c r="DB6" i="125"/>
  <c r="DB22" i="125"/>
  <c r="DB20" i="125"/>
  <c r="DB15" i="125"/>
  <c r="DB19" i="125"/>
  <c r="DB13" i="125"/>
  <c r="DB8" i="125"/>
  <c r="DB14" i="125"/>
  <c r="DY23" i="125"/>
  <c r="DY11" i="125"/>
  <c r="DY8" i="125"/>
  <c r="DY22" i="125"/>
  <c r="DY14" i="125"/>
  <c r="DY15" i="125"/>
  <c r="DY9" i="125"/>
  <c r="DY18" i="125"/>
  <c r="DY7" i="125"/>
  <c r="DY17" i="125"/>
  <c r="DY10" i="125"/>
  <c r="DY13" i="125"/>
  <c r="DY21" i="125"/>
  <c r="DY12" i="125"/>
  <c r="DY19" i="125"/>
  <c r="DY6" i="125"/>
  <c r="DY20" i="125"/>
  <c r="DY24" i="125"/>
  <c r="DY16" i="125"/>
  <c r="EY21" i="125"/>
  <c r="EY10" i="125"/>
  <c r="EY16" i="125"/>
  <c r="EY20" i="125"/>
  <c r="EY11" i="125"/>
  <c r="EY18" i="125"/>
  <c r="EY8" i="125"/>
  <c r="EY9" i="125"/>
  <c r="EY23" i="125"/>
  <c r="EY14" i="125"/>
  <c r="EY15" i="125"/>
  <c r="EY24" i="125"/>
  <c r="EY12" i="125"/>
  <c r="EY19" i="125"/>
  <c r="EY17" i="125"/>
  <c r="EY7" i="125"/>
  <c r="EY22" i="125"/>
  <c r="EY13" i="125"/>
  <c r="EY6" i="125"/>
  <c r="DC1" i="125"/>
  <c r="DD2" i="125"/>
  <c r="EA2" i="125"/>
  <c r="DZ1" i="125"/>
  <c r="DS21" i="141" l="1"/>
  <c r="DS7" i="141"/>
  <c r="DS18" i="141"/>
  <c r="DS23" i="141"/>
  <c r="DS12" i="141"/>
  <c r="DS10" i="141"/>
  <c r="DS17" i="141"/>
  <c r="DS11" i="141"/>
  <c r="DS9" i="141"/>
  <c r="DS20" i="141"/>
  <c r="DS6" i="141"/>
  <c r="DS16" i="141"/>
  <c r="DS13" i="141"/>
  <c r="DS22" i="141"/>
  <c r="DS8" i="141"/>
  <c r="DS24" i="141"/>
  <c r="DS14" i="141"/>
  <c r="DS19" i="141"/>
  <c r="DS15" i="141"/>
  <c r="DU2" i="141"/>
  <c r="DT1" i="141"/>
  <c r="ES22" i="141"/>
  <c r="ES18" i="141"/>
  <c r="ES9" i="141"/>
  <c r="ES21" i="141"/>
  <c r="ES14" i="141"/>
  <c r="ES17" i="141"/>
  <c r="ES6" i="141"/>
  <c r="ES16" i="141"/>
  <c r="ES12" i="141"/>
  <c r="ES20" i="141"/>
  <c r="ES19" i="141"/>
  <c r="ES13" i="141"/>
  <c r="ES15" i="141"/>
  <c r="ES7" i="141"/>
  <c r="ES24" i="141"/>
  <c r="ES23" i="141"/>
  <c r="ES11" i="141"/>
  <c r="ES8" i="141"/>
  <c r="ES10" i="141"/>
  <c r="CV15" i="141"/>
  <c r="BT15" i="141" s="1"/>
  <c r="CV16" i="141"/>
  <c r="BT16" i="141" s="1"/>
  <c r="CV21" i="141"/>
  <c r="BT21" i="141" s="1"/>
  <c r="CV8" i="141"/>
  <c r="BT8" i="141" s="1"/>
  <c r="CV17" i="141"/>
  <c r="BT17" i="141" s="1"/>
  <c r="CV7" i="141"/>
  <c r="BT7" i="141" s="1"/>
  <c r="CV23" i="141"/>
  <c r="BT23" i="141" s="1"/>
  <c r="CV18" i="141"/>
  <c r="BT18" i="141" s="1"/>
  <c r="CV13" i="141"/>
  <c r="BT13" i="141" s="1"/>
  <c r="CV22" i="141"/>
  <c r="BT22" i="141" s="1"/>
  <c r="CV11" i="141"/>
  <c r="BT11" i="141" s="1"/>
  <c r="CV6" i="141"/>
  <c r="BT6" i="141" s="1"/>
  <c r="CV20" i="141"/>
  <c r="BT20" i="141" s="1"/>
  <c r="CV10" i="141"/>
  <c r="BT10" i="141" s="1"/>
  <c r="ET1" i="141"/>
  <c r="CV19" i="141"/>
  <c r="BT19" i="141" s="1"/>
  <c r="CV9" i="141"/>
  <c r="BT9" i="141" s="1"/>
  <c r="CV24" i="141"/>
  <c r="BT24" i="141" s="1"/>
  <c r="CV14" i="141"/>
  <c r="BT14" i="141" s="1"/>
  <c r="CV12" i="141"/>
  <c r="BT12" i="141" s="1"/>
  <c r="CW1" i="141"/>
  <c r="CX2" i="141"/>
  <c r="DD1" i="131"/>
  <c r="DE2" i="131"/>
  <c r="DC24" i="131"/>
  <c r="DC7" i="131"/>
  <c r="DC23" i="131"/>
  <c r="DC13" i="131"/>
  <c r="DC17" i="131"/>
  <c r="DC12" i="131"/>
  <c r="DC15" i="131"/>
  <c r="DC6" i="131"/>
  <c r="DC21" i="131"/>
  <c r="DC20" i="131"/>
  <c r="DC8" i="131"/>
  <c r="DC11" i="131"/>
  <c r="DC19" i="131"/>
  <c r="DC22" i="131"/>
  <c r="FA1" i="131"/>
  <c r="DC18" i="131"/>
  <c r="DC10" i="131"/>
  <c r="DC9" i="131"/>
  <c r="DC16" i="131"/>
  <c r="DC14" i="131"/>
  <c r="EZ19" i="131"/>
  <c r="EZ12" i="131"/>
  <c r="EZ16" i="131"/>
  <c r="EZ7" i="131"/>
  <c r="EZ18" i="131"/>
  <c r="EZ6" i="131"/>
  <c r="EZ24" i="131"/>
  <c r="EZ15" i="131"/>
  <c r="EZ21" i="131"/>
  <c r="EZ9" i="131"/>
  <c r="EZ20" i="131"/>
  <c r="EZ8" i="131"/>
  <c r="EZ14" i="131"/>
  <c r="EZ11" i="131"/>
  <c r="EZ22" i="131"/>
  <c r="EZ10" i="131"/>
  <c r="EZ13" i="131"/>
  <c r="EZ23" i="131"/>
  <c r="EZ17" i="131"/>
  <c r="EA1" i="131"/>
  <c r="EB2" i="131"/>
  <c r="DZ18" i="131"/>
  <c r="DZ12" i="131"/>
  <c r="DZ11" i="131"/>
  <c r="DZ24" i="131"/>
  <c r="DZ14" i="131"/>
  <c r="DZ10" i="131"/>
  <c r="DZ16" i="131"/>
  <c r="DZ22" i="131"/>
  <c r="DZ13" i="131"/>
  <c r="DZ20" i="131"/>
  <c r="DZ23" i="131"/>
  <c r="DZ9" i="131"/>
  <c r="DZ15" i="131"/>
  <c r="DZ6" i="131"/>
  <c r="DZ19" i="131"/>
  <c r="DZ21" i="131"/>
  <c r="DZ8" i="131"/>
  <c r="DZ17" i="131"/>
  <c r="DZ7" i="131"/>
  <c r="EA1" i="125"/>
  <c r="EB2" i="125"/>
  <c r="DZ22" i="125"/>
  <c r="DZ14" i="125"/>
  <c r="DZ7" i="125"/>
  <c r="DZ18" i="125"/>
  <c r="DZ21" i="125"/>
  <c r="DZ10" i="125"/>
  <c r="DZ13" i="125"/>
  <c r="DZ20" i="125"/>
  <c r="DZ15" i="125"/>
  <c r="DZ23" i="125"/>
  <c r="DZ12" i="125"/>
  <c r="DZ19" i="125"/>
  <c r="DZ11" i="125"/>
  <c r="DZ17" i="125"/>
  <c r="DZ8" i="125"/>
  <c r="DZ24" i="125"/>
  <c r="DZ9" i="125"/>
  <c r="DZ16" i="125"/>
  <c r="DZ6" i="125"/>
  <c r="DE2" i="125"/>
  <c r="DD1" i="125"/>
  <c r="DC24" i="125"/>
  <c r="DC15" i="125"/>
  <c r="DC13" i="125"/>
  <c r="DC10" i="125"/>
  <c r="DC20" i="125"/>
  <c r="DC7" i="125"/>
  <c r="DC8" i="125"/>
  <c r="DC18" i="125"/>
  <c r="DC21" i="125"/>
  <c r="DC16" i="125"/>
  <c r="DC6" i="125"/>
  <c r="DC9" i="125"/>
  <c r="DC23" i="125"/>
  <c r="DC14" i="125"/>
  <c r="FA1" i="125"/>
  <c r="DC11" i="125"/>
  <c r="DC17" i="125"/>
  <c r="DC22" i="125"/>
  <c r="DC19" i="125"/>
  <c r="DC12" i="125"/>
  <c r="EZ21" i="125"/>
  <c r="EZ8" i="125"/>
  <c r="EZ23" i="125"/>
  <c r="EZ9" i="125"/>
  <c r="EZ24" i="125"/>
  <c r="EZ12" i="125"/>
  <c r="EZ15" i="125"/>
  <c r="EZ17" i="125"/>
  <c r="EZ16" i="125"/>
  <c r="EZ22" i="125"/>
  <c r="EZ18" i="125"/>
  <c r="EZ7" i="125"/>
  <c r="EZ14" i="125"/>
  <c r="EZ20" i="125"/>
  <c r="EZ13" i="125"/>
  <c r="EZ6" i="125"/>
  <c r="EZ19" i="125"/>
  <c r="EZ10" i="125"/>
  <c r="EZ11" i="125"/>
  <c r="CX1" i="141" l="1"/>
  <c r="CY2" i="141"/>
  <c r="ET16" i="141"/>
  <c r="ET9" i="141"/>
  <c r="ET20" i="141"/>
  <c r="ET19" i="141"/>
  <c r="ET18" i="141"/>
  <c r="ET15" i="141"/>
  <c r="ET23" i="141"/>
  <c r="ET17" i="141"/>
  <c r="ET8" i="141"/>
  <c r="ET22" i="141"/>
  <c r="ET7" i="141"/>
  <c r="ET6" i="141"/>
  <c r="ET11" i="141"/>
  <c r="ET14" i="141"/>
  <c r="ET21" i="141"/>
  <c r="ET12" i="141"/>
  <c r="ET24" i="141"/>
  <c r="ET13" i="141"/>
  <c r="ET10" i="141"/>
  <c r="DT20" i="141"/>
  <c r="DT6" i="141"/>
  <c r="DT9" i="141"/>
  <c r="DT15" i="141"/>
  <c r="DT10" i="141"/>
  <c r="DT22" i="141"/>
  <c r="DT18" i="141"/>
  <c r="DT14" i="141"/>
  <c r="DT13" i="141"/>
  <c r="DT24" i="141"/>
  <c r="DT8" i="141"/>
  <c r="DT12" i="141"/>
  <c r="DT16" i="141"/>
  <c r="DT17" i="141"/>
  <c r="DT11" i="141"/>
  <c r="DT7" i="141"/>
  <c r="DT19" i="141"/>
  <c r="DT23" i="141"/>
  <c r="DT21" i="141"/>
  <c r="DV2" i="141"/>
  <c r="DU1" i="141"/>
  <c r="CW14" i="141"/>
  <c r="EU1" i="141"/>
  <c r="CW22" i="141"/>
  <c r="CW17" i="141"/>
  <c r="CW23" i="141"/>
  <c r="CW16" i="141"/>
  <c r="CW6" i="141"/>
  <c r="CW11" i="141"/>
  <c r="CW15" i="141"/>
  <c r="CW19" i="141"/>
  <c r="CW10" i="141"/>
  <c r="CW24" i="141"/>
  <c r="CW21" i="141"/>
  <c r="CW20" i="141"/>
  <c r="CW9" i="141"/>
  <c r="CW18" i="141"/>
  <c r="CW8" i="141"/>
  <c r="CW13" i="141"/>
  <c r="CW7" i="141"/>
  <c r="CW12" i="141"/>
  <c r="Y3" i="141"/>
  <c r="EC2" i="131"/>
  <c r="EB1" i="131"/>
  <c r="EA24" i="131"/>
  <c r="EA7" i="131"/>
  <c r="EA16" i="131"/>
  <c r="EA6" i="131"/>
  <c r="EA18" i="131"/>
  <c r="EA17" i="131"/>
  <c r="EA15" i="131"/>
  <c r="EA13" i="131"/>
  <c r="EA23" i="131"/>
  <c r="EA22" i="131"/>
  <c r="EA9" i="131"/>
  <c r="EA8" i="131"/>
  <c r="EA11" i="131"/>
  <c r="EA14" i="131"/>
  <c r="EA10" i="131"/>
  <c r="EA12" i="131"/>
  <c r="EA21" i="131"/>
  <c r="EA20" i="131"/>
  <c r="EA19" i="131"/>
  <c r="FA22" i="131"/>
  <c r="FA9" i="131"/>
  <c r="FA21" i="131"/>
  <c r="FA8" i="131"/>
  <c r="FA20" i="131"/>
  <c r="FA13" i="131"/>
  <c r="FA24" i="131"/>
  <c r="FA7" i="131"/>
  <c r="FA23" i="131"/>
  <c r="FA12" i="131"/>
  <c r="FA11" i="131"/>
  <c r="FA18" i="131"/>
  <c r="FA17" i="131"/>
  <c r="FA10" i="131"/>
  <c r="FA6" i="131"/>
  <c r="FA16" i="131"/>
  <c r="FA14" i="131"/>
  <c r="FA19" i="131"/>
  <c r="FA15" i="131"/>
  <c r="DF2" i="131"/>
  <c r="DE1" i="131"/>
  <c r="DD14" i="131"/>
  <c r="DD9" i="131"/>
  <c r="DD13" i="131"/>
  <c r="DD24" i="131"/>
  <c r="DD12" i="131"/>
  <c r="DD22" i="131"/>
  <c r="DD15" i="131"/>
  <c r="DD23" i="131"/>
  <c r="DD16" i="131"/>
  <c r="DD6" i="131"/>
  <c r="DD20" i="131"/>
  <c r="DD17" i="131"/>
  <c r="DD21" i="131"/>
  <c r="DD11" i="131"/>
  <c r="DD19" i="131"/>
  <c r="FB1" i="131"/>
  <c r="DD10" i="131"/>
  <c r="DD8" i="131"/>
  <c r="DD18" i="131"/>
  <c r="DD7" i="131"/>
  <c r="FA20" i="125"/>
  <c r="FA12" i="125"/>
  <c r="FA14" i="125"/>
  <c r="FA16" i="125"/>
  <c r="FA23" i="125"/>
  <c r="FA7" i="125"/>
  <c r="FA22" i="125"/>
  <c r="FA15" i="125"/>
  <c r="FA13" i="125"/>
  <c r="FA18" i="125"/>
  <c r="FA9" i="125"/>
  <c r="FA21" i="125"/>
  <c r="FA8" i="125"/>
  <c r="FA11" i="125"/>
  <c r="FA10" i="125"/>
  <c r="FA19" i="125"/>
  <c r="FA6" i="125"/>
  <c r="FA17" i="125"/>
  <c r="FA24" i="125"/>
  <c r="DF2" i="125"/>
  <c r="DE1" i="125"/>
  <c r="EC2" i="125"/>
  <c r="EB1" i="125"/>
  <c r="DD23" i="125"/>
  <c r="DD9" i="125"/>
  <c r="DD7" i="125"/>
  <c r="DD21" i="125"/>
  <c r="DD10" i="125"/>
  <c r="DD22" i="125"/>
  <c r="DD8" i="125"/>
  <c r="DD11" i="125"/>
  <c r="DD16" i="125"/>
  <c r="DD13" i="125"/>
  <c r="DD15" i="125"/>
  <c r="DD6" i="125"/>
  <c r="DD20" i="125"/>
  <c r="DD18" i="125"/>
  <c r="FB1" i="125"/>
  <c r="DD14" i="125"/>
  <c r="DD17" i="125"/>
  <c r="DD19" i="125"/>
  <c r="DD12" i="125"/>
  <c r="DD24" i="125"/>
  <c r="EA23" i="125"/>
  <c r="EA12" i="125"/>
  <c r="EA14" i="125"/>
  <c r="EA9" i="125"/>
  <c r="EA16" i="125"/>
  <c r="EA6" i="125"/>
  <c r="EA8" i="125"/>
  <c r="EA18" i="125"/>
  <c r="EA15" i="125"/>
  <c r="EA22" i="125"/>
  <c r="EA17" i="125"/>
  <c r="EA7" i="125"/>
  <c r="EA19" i="125"/>
  <c r="EA21" i="125"/>
  <c r="EA24" i="125"/>
  <c r="EA20" i="125"/>
  <c r="EA10" i="125"/>
  <c r="EA11" i="125"/>
  <c r="EA13" i="125"/>
  <c r="EU16" i="141" l="1"/>
  <c r="CC16" i="141" s="1"/>
  <c r="Y16" i="141" s="1"/>
  <c r="EU18" i="141"/>
  <c r="CC18" i="141" s="1"/>
  <c r="Y18" i="141" s="1"/>
  <c r="EU17" i="141"/>
  <c r="CC17" i="141" s="1"/>
  <c r="Y17" i="141" s="1"/>
  <c r="EU22" i="141"/>
  <c r="CC22" i="141" s="1"/>
  <c r="EU15" i="141"/>
  <c r="CC15" i="141" s="1"/>
  <c r="Y15" i="141" s="1"/>
  <c r="EU7" i="141"/>
  <c r="CC7" i="141" s="1"/>
  <c r="Y7" i="141" s="1"/>
  <c r="EU21" i="141"/>
  <c r="CC21" i="141" s="1"/>
  <c r="EU14" i="141"/>
  <c r="CC14" i="141" s="1"/>
  <c r="Y14" i="141" s="1"/>
  <c r="EU6" i="141"/>
  <c r="CC6" i="141" s="1"/>
  <c r="EU12" i="141"/>
  <c r="CC12" i="141" s="1"/>
  <c r="EU24" i="141"/>
  <c r="CC24" i="141" s="1"/>
  <c r="Y24" i="141" s="1"/>
  <c r="EU13" i="141"/>
  <c r="CC13" i="141" s="1"/>
  <c r="EU20" i="141"/>
  <c r="CC20" i="141" s="1"/>
  <c r="EU19" i="141"/>
  <c r="CC19" i="141" s="1"/>
  <c r="EU9" i="141"/>
  <c r="CC9" i="141" s="1"/>
  <c r="EU23" i="141"/>
  <c r="CC23" i="141" s="1"/>
  <c r="Y23" i="141" s="1"/>
  <c r="Z23" i="141" s="1"/>
  <c r="EU8" i="141"/>
  <c r="CC8" i="141" s="1"/>
  <c r="EU11" i="141"/>
  <c r="CC11" i="141" s="1"/>
  <c r="EU10" i="141"/>
  <c r="CC10" i="141" s="1"/>
  <c r="Y10" i="141" s="1"/>
  <c r="Z10" i="141" s="1"/>
  <c r="DU20" i="141"/>
  <c r="BX20" i="141" s="1"/>
  <c r="DU14" i="141"/>
  <c r="BX14" i="141" s="1"/>
  <c r="DU6" i="141"/>
  <c r="BX6" i="141" s="1"/>
  <c r="DU19" i="141"/>
  <c r="BX19" i="141" s="1"/>
  <c r="DU21" i="141"/>
  <c r="BX21" i="141" s="1"/>
  <c r="DU15" i="141"/>
  <c r="BX15" i="141" s="1"/>
  <c r="DU10" i="141"/>
  <c r="BX10" i="141" s="1"/>
  <c r="DU22" i="141"/>
  <c r="BX22" i="141" s="1"/>
  <c r="DU9" i="141"/>
  <c r="BX9" i="141" s="1"/>
  <c r="DU18" i="141"/>
  <c r="BX18" i="141" s="1"/>
  <c r="DU13" i="141"/>
  <c r="BX13" i="141" s="1"/>
  <c r="DU17" i="141"/>
  <c r="BX17" i="141" s="1"/>
  <c r="DU12" i="141"/>
  <c r="BX12" i="141" s="1"/>
  <c r="DU24" i="141"/>
  <c r="BX24" i="141" s="1"/>
  <c r="DU8" i="141"/>
  <c r="BX8" i="141" s="1"/>
  <c r="DU23" i="141"/>
  <c r="BX23" i="141" s="1"/>
  <c r="DU16" i="141"/>
  <c r="BX16" i="141" s="1"/>
  <c r="DU7" i="141"/>
  <c r="BX7" i="141" s="1"/>
  <c r="DU11" i="141"/>
  <c r="BX11" i="141" s="1"/>
  <c r="CZ2" i="141"/>
  <c r="CY1" i="141"/>
  <c r="DV1" i="141"/>
  <c r="DW2" i="141"/>
  <c r="CX24" i="141"/>
  <c r="CX16" i="141"/>
  <c r="CX17" i="141"/>
  <c r="CX18" i="141"/>
  <c r="CX6" i="141"/>
  <c r="CX14" i="141"/>
  <c r="CX9" i="141"/>
  <c r="CX13" i="141"/>
  <c r="CX8" i="141"/>
  <c r="CX10" i="141"/>
  <c r="CX12" i="141"/>
  <c r="EV1" i="141"/>
  <c r="CX11" i="141"/>
  <c r="CX22" i="141"/>
  <c r="CX20" i="141"/>
  <c r="CX15" i="141"/>
  <c r="CX21" i="141"/>
  <c r="CX19" i="141"/>
  <c r="CX7" i="141"/>
  <c r="CX23" i="141"/>
  <c r="FB24" i="131"/>
  <c r="FB8" i="131"/>
  <c r="FB22" i="131"/>
  <c r="FB20" i="131"/>
  <c r="FB17" i="131"/>
  <c r="FB6" i="131"/>
  <c r="FB23" i="131"/>
  <c r="FB13" i="131"/>
  <c r="FB10" i="131"/>
  <c r="FB11" i="131"/>
  <c r="FB7" i="131"/>
  <c r="FB19" i="131"/>
  <c r="FB12" i="131"/>
  <c r="FB21" i="131"/>
  <c r="FB18" i="131"/>
  <c r="FB9" i="131"/>
  <c r="FB15" i="131"/>
  <c r="FB14" i="131"/>
  <c r="FB16" i="131"/>
  <c r="DE24" i="131"/>
  <c r="DE11" i="131"/>
  <c r="DE20" i="131"/>
  <c r="DE13" i="131"/>
  <c r="DE23" i="131"/>
  <c r="DE9" i="131"/>
  <c r="DE6" i="131"/>
  <c r="DE22" i="131"/>
  <c r="DE14" i="131"/>
  <c r="DE10" i="131"/>
  <c r="DE19" i="131"/>
  <c r="DE8" i="131"/>
  <c r="DE18" i="131"/>
  <c r="FC1" i="131"/>
  <c r="DE21" i="131"/>
  <c r="DE7" i="131"/>
  <c r="DE12" i="131"/>
  <c r="DE16" i="131"/>
  <c r="DE15" i="131"/>
  <c r="DE17" i="131"/>
  <c r="DG2" i="131"/>
  <c r="DF1" i="131"/>
  <c r="EB19" i="131"/>
  <c r="EB11" i="131"/>
  <c r="EB16" i="131"/>
  <c r="EB18" i="131"/>
  <c r="EB6" i="131"/>
  <c r="EB17" i="131"/>
  <c r="EB14" i="131"/>
  <c r="EB10" i="131"/>
  <c r="EB23" i="131"/>
  <c r="EB22" i="131"/>
  <c r="EB12" i="131"/>
  <c r="EB24" i="131"/>
  <c r="EB15" i="131"/>
  <c r="EB21" i="131"/>
  <c r="EB9" i="131"/>
  <c r="EB20" i="131"/>
  <c r="EB8" i="131"/>
  <c r="EB13" i="131"/>
  <c r="EB7" i="131"/>
  <c r="EC1" i="131"/>
  <c r="ED2" i="131"/>
  <c r="EB19" i="125"/>
  <c r="EB10" i="125"/>
  <c r="EB8" i="125"/>
  <c r="EB21" i="125"/>
  <c r="EB16" i="125"/>
  <c r="EB6" i="125"/>
  <c r="EB23" i="125"/>
  <c r="EB12" i="125"/>
  <c r="EB22" i="125"/>
  <c r="EB13" i="125"/>
  <c r="EB15" i="125"/>
  <c r="EB24" i="125"/>
  <c r="EB7" i="125"/>
  <c r="EB11" i="125"/>
  <c r="EB20" i="125"/>
  <c r="EB9" i="125"/>
  <c r="EB18" i="125"/>
  <c r="EB14" i="125"/>
  <c r="EB17" i="125"/>
  <c r="FB23" i="125"/>
  <c r="FB22" i="125"/>
  <c r="FB13" i="125"/>
  <c r="FB16" i="125"/>
  <c r="FB11" i="125"/>
  <c r="FB20" i="125"/>
  <c r="FB7" i="125"/>
  <c r="FB18" i="125"/>
  <c r="FB21" i="125"/>
  <c r="FB12" i="125"/>
  <c r="FB14" i="125"/>
  <c r="FB6" i="125"/>
  <c r="FB19" i="125"/>
  <c r="FB9" i="125"/>
  <c r="FB15" i="125"/>
  <c r="FB17" i="125"/>
  <c r="FB8" i="125"/>
  <c r="FB10" i="125"/>
  <c r="FB24" i="125"/>
  <c r="EC1" i="125"/>
  <c r="ED2" i="125"/>
  <c r="DG2" i="125"/>
  <c r="DG1" i="125" s="1"/>
  <c r="DF1" i="125"/>
  <c r="DE18" i="125"/>
  <c r="DE11" i="125"/>
  <c r="DE10" i="125"/>
  <c r="DE23" i="125"/>
  <c r="DE22" i="125"/>
  <c r="DE7" i="125"/>
  <c r="DE13" i="125"/>
  <c r="DE17" i="125"/>
  <c r="DE8" i="125"/>
  <c r="DE9" i="125"/>
  <c r="DE20" i="125"/>
  <c r="DE12" i="125"/>
  <c r="DE19" i="125"/>
  <c r="DE6" i="125"/>
  <c r="DE24" i="125"/>
  <c r="DE15" i="125"/>
  <c r="FC1" i="125"/>
  <c r="DE21" i="125"/>
  <c r="DE14" i="125"/>
  <c r="DE16" i="125"/>
  <c r="CZ1" i="141" l="1"/>
  <c r="DA2" i="141"/>
  <c r="Z24" i="141"/>
  <c r="Z17" i="141"/>
  <c r="Z18" i="141"/>
  <c r="DX2" i="141"/>
  <c r="DW1" i="141"/>
  <c r="CJ8" i="141"/>
  <c r="Y8" i="141"/>
  <c r="CD8" i="141"/>
  <c r="Z16" i="141"/>
  <c r="DV20" i="141"/>
  <c r="DV12" i="141"/>
  <c r="DV11" i="141"/>
  <c r="DV19" i="141"/>
  <c r="DV23" i="141"/>
  <c r="DV16" i="141"/>
  <c r="DV8" i="141"/>
  <c r="DV18" i="141"/>
  <c r="DV10" i="141"/>
  <c r="DV17" i="141"/>
  <c r="DV9" i="141"/>
  <c r="DV22" i="141"/>
  <c r="DV14" i="141"/>
  <c r="DV7" i="141"/>
  <c r="DV21" i="141"/>
  <c r="DV13" i="141"/>
  <c r="DV6" i="141"/>
  <c r="DV24" i="141"/>
  <c r="DV15" i="141"/>
  <c r="Z14" i="141"/>
  <c r="CD9" i="141"/>
  <c r="Y9" i="141"/>
  <c r="Y21" i="141"/>
  <c r="CD21" i="141"/>
  <c r="Z7" i="141"/>
  <c r="EV12" i="141"/>
  <c r="EV7" i="141"/>
  <c r="EV21" i="141"/>
  <c r="EV23" i="141"/>
  <c r="EV20" i="141"/>
  <c r="EV18" i="141"/>
  <c r="EV14" i="141"/>
  <c r="EV24" i="141"/>
  <c r="EV17" i="141"/>
  <c r="EV19" i="141"/>
  <c r="EV15" i="141"/>
  <c r="EV9" i="141"/>
  <c r="EV22" i="141"/>
  <c r="EV8" i="141"/>
  <c r="EV13" i="141"/>
  <c r="EV16" i="141"/>
  <c r="EV11" i="141"/>
  <c r="EV6" i="141"/>
  <c r="EV10" i="141"/>
  <c r="CY23" i="141"/>
  <c r="EW1" i="141"/>
  <c r="CY13" i="141"/>
  <c r="CY12" i="141"/>
  <c r="CY6" i="141"/>
  <c r="CY17" i="141"/>
  <c r="CY19" i="141"/>
  <c r="CY22" i="141"/>
  <c r="CY15" i="141"/>
  <c r="CY9" i="141"/>
  <c r="CY14" i="141"/>
  <c r="CY20" i="141"/>
  <c r="CY11" i="141"/>
  <c r="CY18" i="141"/>
  <c r="CY16" i="141"/>
  <c r="CY21" i="141"/>
  <c r="CY7" i="141"/>
  <c r="CY24" i="141"/>
  <c r="CY8" i="141"/>
  <c r="CY10" i="141"/>
  <c r="Z15" i="141"/>
  <c r="FC23" i="131"/>
  <c r="FC11" i="131"/>
  <c r="FC12" i="131"/>
  <c r="FC22" i="131"/>
  <c r="FC9" i="131"/>
  <c r="FC20" i="131"/>
  <c r="FC8" i="131"/>
  <c r="FC18" i="131"/>
  <c r="FC7" i="131"/>
  <c r="FC19" i="131"/>
  <c r="FC6" i="131"/>
  <c r="FC17" i="131"/>
  <c r="FC10" i="131"/>
  <c r="FC21" i="131"/>
  <c r="FC14" i="131"/>
  <c r="FC24" i="131"/>
  <c r="FC16" i="131"/>
  <c r="FC13" i="131"/>
  <c r="FC15" i="131"/>
  <c r="DF14" i="131"/>
  <c r="DF13" i="131"/>
  <c r="DF12" i="131"/>
  <c r="DF16" i="131"/>
  <c r="DF11" i="131"/>
  <c r="DF9" i="131"/>
  <c r="DF22" i="131"/>
  <c r="DF24" i="131"/>
  <c r="DF15" i="131"/>
  <c r="DF23" i="131"/>
  <c r="DF20" i="131"/>
  <c r="DF19" i="131"/>
  <c r="DF10" i="131"/>
  <c r="DF18" i="131"/>
  <c r="DF6" i="131"/>
  <c r="DF21" i="131"/>
  <c r="FD1" i="131"/>
  <c r="DF17" i="131"/>
  <c r="DF7" i="131"/>
  <c r="DF8" i="131"/>
  <c r="DG1" i="131"/>
  <c r="DH2" i="131"/>
  <c r="DH1" i="131" s="1"/>
  <c r="EE2" i="131"/>
  <c r="ED1" i="131"/>
  <c r="EC24" i="131"/>
  <c r="EC9" i="131"/>
  <c r="EC16" i="131"/>
  <c r="EC15" i="131"/>
  <c r="EC20" i="131"/>
  <c r="EC13" i="131"/>
  <c r="EC12" i="131"/>
  <c r="EC23" i="131"/>
  <c r="EC11" i="131"/>
  <c r="EC10" i="131"/>
  <c r="EC19" i="131"/>
  <c r="EC8" i="131"/>
  <c r="EC18" i="131"/>
  <c r="EC6" i="131"/>
  <c r="EC22" i="131"/>
  <c r="EC7" i="131"/>
  <c r="EC21" i="131"/>
  <c r="EC17" i="131"/>
  <c r="EC14" i="131"/>
  <c r="EE2" i="125"/>
  <c r="ED1" i="125"/>
  <c r="EC16" i="125"/>
  <c r="EC18" i="125"/>
  <c r="EC22" i="125"/>
  <c r="EC9" i="125"/>
  <c r="EC19" i="125"/>
  <c r="EC15" i="125"/>
  <c r="EC17" i="125"/>
  <c r="EC14" i="125"/>
  <c r="EC10" i="125"/>
  <c r="EC11" i="125"/>
  <c r="EC12" i="125"/>
  <c r="EC21" i="125"/>
  <c r="EC13" i="125"/>
  <c r="EC7" i="125"/>
  <c r="EC23" i="125"/>
  <c r="EC8" i="125"/>
  <c r="EC6" i="125"/>
  <c r="EC20" i="125"/>
  <c r="EC24" i="125"/>
  <c r="FC15" i="125"/>
  <c r="FC17" i="125"/>
  <c r="FC20" i="125"/>
  <c r="FC11" i="125"/>
  <c r="FC21" i="125"/>
  <c r="FC16" i="125"/>
  <c r="FC6" i="125"/>
  <c r="FC24" i="125"/>
  <c r="FC14" i="125"/>
  <c r="FC9" i="125"/>
  <c r="FC8" i="125"/>
  <c r="FC18" i="125"/>
  <c r="FC19" i="125"/>
  <c r="FC13" i="125"/>
  <c r="FC10" i="125"/>
  <c r="FC23" i="125"/>
  <c r="FC12" i="125"/>
  <c r="FC22" i="125"/>
  <c r="FC7" i="125"/>
  <c r="DF21" i="125"/>
  <c r="DF11" i="125"/>
  <c r="DF8" i="125"/>
  <c r="DF20" i="125"/>
  <c r="DF9" i="125"/>
  <c r="DF13" i="125"/>
  <c r="DF18" i="125"/>
  <c r="DF16" i="125"/>
  <c r="DF7" i="125"/>
  <c r="DF19" i="125"/>
  <c r="DF12" i="125"/>
  <c r="DF22" i="125"/>
  <c r="DF6" i="125"/>
  <c r="DF23" i="125"/>
  <c r="DF15" i="125"/>
  <c r="FD1" i="125"/>
  <c r="DF24" i="125"/>
  <c r="DF14" i="125"/>
  <c r="DF10" i="125"/>
  <c r="DF17" i="125"/>
  <c r="DG21" i="125"/>
  <c r="DG8" i="125"/>
  <c r="DG12" i="125"/>
  <c r="DG19" i="125"/>
  <c r="DG7" i="125"/>
  <c r="DG17" i="125"/>
  <c r="DG6" i="125"/>
  <c r="DG24" i="125"/>
  <c r="DG20" i="125"/>
  <c r="DG14" i="125"/>
  <c r="DG16" i="125"/>
  <c r="DG10" i="125"/>
  <c r="DG18" i="125"/>
  <c r="DG23" i="125"/>
  <c r="DG15" i="125"/>
  <c r="DG9" i="125"/>
  <c r="DG22" i="125"/>
  <c r="DG13" i="125"/>
  <c r="FE1" i="125"/>
  <c r="DG11" i="125"/>
  <c r="U3" i="125"/>
  <c r="Z9" i="141" l="1"/>
  <c r="Z8" i="141"/>
  <c r="DW6" i="141"/>
  <c r="DW23" i="141"/>
  <c r="DW21" i="141"/>
  <c r="DW17" i="141"/>
  <c r="DW20" i="141"/>
  <c r="DW15" i="141"/>
  <c r="DW18" i="141"/>
  <c r="DW9" i="141"/>
  <c r="DW16" i="141"/>
  <c r="DW22" i="141"/>
  <c r="DW8" i="141"/>
  <c r="DW14" i="141"/>
  <c r="DW10" i="141"/>
  <c r="DW24" i="141"/>
  <c r="DW13" i="141"/>
  <c r="DW7" i="141"/>
  <c r="DW19" i="141"/>
  <c r="DW12" i="141"/>
  <c r="DW11" i="141"/>
  <c r="DA1" i="141"/>
  <c r="DB2" i="141"/>
  <c r="DY2" i="141"/>
  <c r="DX1" i="141"/>
  <c r="CZ15" i="141"/>
  <c r="CZ22" i="141"/>
  <c r="CZ11" i="141"/>
  <c r="CZ18" i="141"/>
  <c r="CZ13" i="141"/>
  <c r="CZ17" i="141"/>
  <c r="CZ24" i="141"/>
  <c r="CZ7" i="141"/>
  <c r="CZ23" i="141"/>
  <c r="CZ10" i="141"/>
  <c r="CZ8" i="141"/>
  <c r="CZ16" i="141"/>
  <c r="EX1" i="141"/>
  <c r="CZ20" i="141"/>
  <c r="CZ6" i="141"/>
  <c r="CZ19" i="141"/>
  <c r="CZ9" i="141"/>
  <c r="CZ14" i="141"/>
  <c r="CZ21" i="141"/>
  <c r="CZ12" i="141"/>
  <c r="EW21" i="141"/>
  <c r="EW8" i="141"/>
  <c r="EW22" i="141"/>
  <c r="EW17" i="141"/>
  <c r="EW13" i="141"/>
  <c r="EW15" i="141"/>
  <c r="EW12" i="141"/>
  <c r="EW9" i="141"/>
  <c r="EW20" i="141"/>
  <c r="EW11" i="141"/>
  <c r="EW7" i="141"/>
  <c r="EW19" i="141"/>
  <c r="EW24" i="141"/>
  <c r="EW6" i="141"/>
  <c r="EW23" i="141"/>
  <c r="EW14" i="141"/>
  <c r="EW18" i="141"/>
  <c r="EW16" i="141"/>
  <c r="EW10" i="141"/>
  <c r="Z21" i="141"/>
  <c r="FD24" i="131"/>
  <c r="FD14" i="131"/>
  <c r="FD23" i="131"/>
  <c r="FD15" i="131"/>
  <c r="FD22" i="131"/>
  <c r="FD10" i="131"/>
  <c r="FD18" i="131"/>
  <c r="FD7" i="131"/>
  <c r="FD9" i="131"/>
  <c r="FD6" i="131"/>
  <c r="FD19" i="131"/>
  <c r="FD13" i="131"/>
  <c r="FD12" i="131"/>
  <c r="FD21" i="131"/>
  <c r="FD17" i="131"/>
  <c r="FD8" i="131"/>
  <c r="FD16" i="131"/>
  <c r="FD20" i="131"/>
  <c r="FD11" i="131"/>
  <c r="ED21" i="131"/>
  <c r="ED16" i="131"/>
  <c r="ED14" i="131"/>
  <c r="ED13" i="131"/>
  <c r="ED15" i="131"/>
  <c r="ED11" i="131"/>
  <c r="ED23" i="131"/>
  <c r="ED22" i="131"/>
  <c r="ED8" i="131"/>
  <c r="ED9" i="131"/>
  <c r="ED20" i="131"/>
  <c r="ED12" i="131"/>
  <c r="ED6" i="131"/>
  <c r="ED7" i="131"/>
  <c r="ED24" i="131"/>
  <c r="ED19" i="131"/>
  <c r="ED18" i="131"/>
  <c r="ED10" i="131"/>
  <c r="ED17" i="131"/>
  <c r="EF2" i="131"/>
  <c r="EE1" i="131"/>
  <c r="DH16" i="131"/>
  <c r="DH8" i="131"/>
  <c r="DH18" i="131"/>
  <c r="FF1" i="131"/>
  <c r="DH20" i="131"/>
  <c r="DH7" i="131"/>
  <c r="DH6" i="131"/>
  <c r="DH13" i="131"/>
  <c r="DH10" i="131"/>
  <c r="DH22" i="131"/>
  <c r="DH21" i="131"/>
  <c r="DH12" i="131"/>
  <c r="DH15" i="131"/>
  <c r="DH11" i="131"/>
  <c r="DH23" i="131"/>
  <c r="DH19" i="131"/>
  <c r="DH14" i="131"/>
  <c r="DH24" i="131"/>
  <c r="DH17" i="131"/>
  <c r="DH9" i="131"/>
  <c r="U3" i="131"/>
  <c r="DG24" i="131"/>
  <c r="DG15" i="131"/>
  <c r="DG23" i="131"/>
  <c r="DG14" i="131"/>
  <c r="DG22" i="131"/>
  <c r="DG10" i="131"/>
  <c r="DG9" i="131"/>
  <c r="DG8" i="131"/>
  <c r="DG18" i="131"/>
  <c r="DG21" i="131"/>
  <c r="FE1" i="131"/>
  <c r="DG20" i="131"/>
  <c r="DG12" i="131"/>
  <c r="DG17" i="131"/>
  <c r="DG16" i="131"/>
  <c r="DG6" i="131"/>
  <c r="DG7" i="131"/>
  <c r="DG19" i="131"/>
  <c r="DG13" i="131"/>
  <c r="DG11" i="131"/>
  <c r="BZ13" i="125"/>
  <c r="U13" i="125" s="1"/>
  <c r="V13" i="125" s="1"/>
  <c r="BZ11" i="125"/>
  <c r="U11" i="125" s="1"/>
  <c r="V11" i="125" s="1"/>
  <c r="BZ7" i="125"/>
  <c r="U7" i="125" s="1"/>
  <c r="V7" i="125" s="1"/>
  <c r="BZ19" i="125"/>
  <c r="U19" i="125" s="1"/>
  <c r="V19" i="125" s="1"/>
  <c r="BZ10" i="125"/>
  <c r="U10" i="125" s="1"/>
  <c r="V10" i="125" s="1"/>
  <c r="BZ8" i="125"/>
  <c r="U8" i="125" s="1"/>
  <c r="V8" i="125" s="1"/>
  <c r="BZ22" i="125"/>
  <c r="U22" i="125" s="1"/>
  <c r="V22" i="125" s="1"/>
  <c r="BZ20" i="125"/>
  <c r="BY26" i="125" s="1"/>
  <c r="BZ12" i="125"/>
  <c r="U12" i="125" s="1"/>
  <c r="V12" i="125" s="1"/>
  <c r="BZ21" i="125"/>
  <c r="U21" i="125" s="1"/>
  <c r="V21" i="125" s="1"/>
  <c r="BZ14" i="125"/>
  <c r="U14" i="125" s="1"/>
  <c r="V14" i="125" s="1"/>
  <c r="BZ24" i="125"/>
  <c r="U24" i="125" s="1"/>
  <c r="V24" i="125" s="1"/>
  <c r="BZ17" i="125"/>
  <c r="U17" i="125" s="1"/>
  <c r="V17" i="125" s="1"/>
  <c r="BZ23" i="125"/>
  <c r="U23" i="125" s="1"/>
  <c r="V23" i="125" s="1"/>
  <c r="FD16" i="125"/>
  <c r="FD10" i="125"/>
  <c r="FD24" i="125"/>
  <c r="FD14" i="125"/>
  <c r="FD9" i="125"/>
  <c r="FD22" i="125"/>
  <c r="FD6" i="125"/>
  <c r="FD23" i="125"/>
  <c r="FD13" i="125"/>
  <c r="FD17" i="125"/>
  <c r="FD19" i="125"/>
  <c r="FD11" i="125"/>
  <c r="FD8" i="125"/>
  <c r="FD18" i="125"/>
  <c r="FD12" i="125"/>
  <c r="FD7" i="125"/>
  <c r="FD20" i="125"/>
  <c r="FD15" i="125"/>
  <c r="FD21" i="125"/>
  <c r="FE21" i="125"/>
  <c r="FE7" i="125"/>
  <c r="FE19" i="125"/>
  <c r="FE14" i="125"/>
  <c r="FE20" i="125"/>
  <c r="FE16" i="125"/>
  <c r="FE15" i="125"/>
  <c r="FE9" i="125"/>
  <c r="FE11" i="125"/>
  <c r="FE24" i="125"/>
  <c r="FE12" i="125"/>
  <c r="FE8" i="125"/>
  <c r="FE22" i="125"/>
  <c r="FE10" i="125"/>
  <c r="FE13" i="125"/>
  <c r="FE23" i="125"/>
  <c r="FE18" i="125"/>
  <c r="FE6" i="125"/>
  <c r="FE17" i="125"/>
  <c r="BZ9" i="125"/>
  <c r="U9" i="125" s="1"/>
  <c r="V9" i="125" s="1"/>
  <c r="BZ15" i="125"/>
  <c r="U15" i="125" s="1"/>
  <c r="V15" i="125" s="1"/>
  <c r="BZ6" i="125"/>
  <c r="BZ16" i="125"/>
  <c r="U16" i="125" s="1"/>
  <c r="V16" i="125" s="1"/>
  <c r="ED14" i="125"/>
  <c r="ED12" i="125"/>
  <c r="ED7" i="125"/>
  <c r="ED19" i="125"/>
  <c r="ED20" i="125"/>
  <c r="ED13" i="125"/>
  <c r="ED17" i="125"/>
  <c r="ED9" i="125"/>
  <c r="ED11" i="125"/>
  <c r="ED8" i="125"/>
  <c r="ED18" i="125"/>
  <c r="ED24" i="125"/>
  <c r="ED21" i="125"/>
  <c r="ED10" i="125"/>
  <c r="ED15" i="125"/>
  <c r="ED22" i="125"/>
  <c r="ED16" i="125"/>
  <c r="ED6" i="125"/>
  <c r="ED23" i="125"/>
  <c r="BZ18" i="125"/>
  <c r="U18" i="125" s="1"/>
  <c r="V18" i="125" s="1"/>
  <c r="EF2" i="125"/>
  <c r="EF1" i="125" s="1"/>
  <c r="EE1" i="125"/>
  <c r="EX7" i="141" l="1"/>
  <c r="EX11" i="141"/>
  <c r="EX15" i="141"/>
  <c r="EX6" i="141"/>
  <c r="EX24" i="141"/>
  <c r="EX8" i="141"/>
  <c r="EX13" i="141"/>
  <c r="EX20" i="141"/>
  <c r="EX17" i="141"/>
  <c r="EX12" i="141"/>
  <c r="EX22" i="141"/>
  <c r="EX21" i="141"/>
  <c r="EX18" i="141"/>
  <c r="EX14" i="141"/>
  <c r="EX19" i="141"/>
  <c r="EX9" i="141"/>
  <c r="EX16" i="141"/>
  <c r="EX23" i="141"/>
  <c r="EX10" i="141"/>
  <c r="DC2" i="141"/>
  <c r="DB1" i="141"/>
  <c r="DA21" i="141"/>
  <c r="DA18" i="141"/>
  <c r="DA11" i="141"/>
  <c r="DA17" i="141"/>
  <c r="DA16" i="141"/>
  <c r="DA10" i="141"/>
  <c r="DA24" i="141"/>
  <c r="DA6" i="141"/>
  <c r="DA8" i="141"/>
  <c r="DA20" i="141"/>
  <c r="EY1" i="141"/>
  <c r="DA12" i="141"/>
  <c r="DA19" i="141"/>
  <c r="DA14" i="141"/>
  <c r="DA15" i="141"/>
  <c r="DA13" i="141"/>
  <c r="DA22" i="141"/>
  <c r="DA23" i="141"/>
  <c r="DA7" i="141"/>
  <c r="DA9" i="141"/>
  <c r="DX19" i="141"/>
  <c r="DX21" i="141"/>
  <c r="DX6" i="141"/>
  <c r="DX24" i="141"/>
  <c r="DX18" i="141"/>
  <c r="DX9" i="141"/>
  <c r="DX23" i="141"/>
  <c r="DX8" i="141"/>
  <c r="DX22" i="141"/>
  <c r="DX16" i="141"/>
  <c r="DX12" i="141"/>
  <c r="DX13" i="141"/>
  <c r="DX14" i="141"/>
  <c r="DX10" i="141"/>
  <c r="DX11" i="141"/>
  <c r="DX7" i="141"/>
  <c r="DX20" i="141"/>
  <c r="DX15" i="141"/>
  <c r="DX17" i="141"/>
  <c r="DZ2" i="141"/>
  <c r="DY1" i="141"/>
  <c r="BU6" i="131"/>
  <c r="BU23" i="131"/>
  <c r="U23" i="131" s="1"/>
  <c r="V23" i="131" s="1"/>
  <c r="BU7" i="131"/>
  <c r="U7" i="131" s="1"/>
  <c r="V7" i="131" s="1"/>
  <c r="BU13" i="131"/>
  <c r="U13" i="131" s="1"/>
  <c r="V13" i="131" s="1"/>
  <c r="BU9" i="131"/>
  <c r="U9" i="131" s="1"/>
  <c r="V9" i="131" s="1"/>
  <c r="BU12" i="131"/>
  <c r="U12" i="131" s="1"/>
  <c r="V12" i="131" s="1"/>
  <c r="BU17" i="131"/>
  <c r="U17" i="131" s="1"/>
  <c r="V17" i="131" s="1"/>
  <c r="BU24" i="131"/>
  <c r="U24" i="131" s="1"/>
  <c r="V24" i="131" s="1"/>
  <c r="BU14" i="131"/>
  <c r="U14" i="131" s="1"/>
  <c r="V14" i="131" s="1"/>
  <c r="BU20" i="131"/>
  <c r="BT26" i="131" s="1"/>
  <c r="BU19" i="131"/>
  <c r="U19" i="131" s="1"/>
  <c r="V19" i="131" s="1"/>
  <c r="BU18" i="131"/>
  <c r="U18" i="131" s="1"/>
  <c r="V18" i="131" s="1"/>
  <c r="BU11" i="131"/>
  <c r="U11" i="131" s="1"/>
  <c r="V11" i="131" s="1"/>
  <c r="BU8" i="131"/>
  <c r="U8" i="131" s="1"/>
  <c r="V8" i="131" s="1"/>
  <c r="BU15" i="131"/>
  <c r="U15" i="131" s="1"/>
  <c r="V15" i="131" s="1"/>
  <c r="BU16" i="131"/>
  <c r="U16" i="131" s="1"/>
  <c r="V16" i="131" s="1"/>
  <c r="BU21" i="131"/>
  <c r="U21" i="131" s="1"/>
  <c r="V21" i="131" s="1"/>
  <c r="BU22" i="131"/>
  <c r="U22" i="131" s="1"/>
  <c r="V22" i="131" s="1"/>
  <c r="BU10" i="131"/>
  <c r="U10" i="131" s="1"/>
  <c r="V10" i="131" s="1"/>
  <c r="FE16" i="131"/>
  <c r="FE6" i="131"/>
  <c r="FE11" i="131"/>
  <c r="FE21" i="131"/>
  <c r="FE19" i="131"/>
  <c r="FE7" i="131"/>
  <c r="FE17" i="131"/>
  <c r="FE20" i="131"/>
  <c r="FE13" i="131"/>
  <c r="FE12" i="131"/>
  <c r="FE24" i="131"/>
  <c r="FE14" i="131"/>
  <c r="FE18" i="131"/>
  <c r="FE15" i="131"/>
  <c r="FE8" i="131"/>
  <c r="FE23" i="131"/>
  <c r="FE10" i="131"/>
  <c r="FE22" i="131"/>
  <c r="FE9" i="131"/>
  <c r="FF21" i="131"/>
  <c r="FF9" i="131"/>
  <c r="FF22" i="131"/>
  <c r="FF16" i="131"/>
  <c r="FF8" i="131"/>
  <c r="FF18" i="131"/>
  <c r="FF11" i="131"/>
  <c r="FF17" i="131"/>
  <c r="FF7" i="131"/>
  <c r="FF15" i="131"/>
  <c r="FF6" i="131"/>
  <c r="FF14" i="131"/>
  <c r="FF12" i="131"/>
  <c r="FF23" i="131"/>
  <c r="FF19" i="131"/>
  <c r="FF20" i="131"/>
  <c r="FF24" i="131"/>
  <c r="FF13" i="131"/>
  <c r="FF10" i="131"/>
  <c r="EE16" i="131"/>
  <c r="EE12" i="131"/>
  <c r="EE15" i="131"/>
  <c r="EE14" i="131"/>
  <c r="EE8" i="131"/>
  <c r="EE13" i="131"/>
  <c r="EE19" i="131"/>
  <c r="EE11" i="131"/>
  <c r="EE24" i="131"/>
  <c r="EE23" i="131"/>
  <c r="EE18" i="131"/>
  <c r="EE6" i="131"/>
  <c r="EE22" i="131"/>
  <c r="EE10" i="131"/>
  <c r="EE21" i="131"/>
  <c r="EE17" i="131"/>
  <c r="EE7" i="131"/>
  <c r="EE20" i="131"/>
  <c r="EE9" i="131"/>
  <c r="EF1" i="131"/>
  <c r="EG2" i="131"/>
  <c r="EG1" i="131" s="1"/>
  <c r="U20" i="125"/>
  <c r="V20" i="125" s="1"/>
  <c r="EE22" i="125"/>
  <c r="EE12" i="125"/>
  <c r="EE24" i="125"/>
  <c r="EE9" i="125"/>
  <c r="EE21" i="125"/>
  <c r="EE6" i="125"/>
  <c r="EE23" i="125"/>
  <c r="EE18" i="125"/>
  <c r="EE15" i="125"/>
  <c r="EE8" i="125"/>
  <c r="EE13" i="125"/>
  <c r="EE14" i="125"/>
  <c r="EE10" i="125"/>
  <c r="EE16" i="125"/>
  <c r="EE19" i="125"/>
  <c r="EE7" i="125"/>
  <c r="EE17" i="125"/>
  <c r="EE11" i="125"/>
  <c r="EE20" i="125"/>
  <c r="EF24" i="125"/>
  <c r="EF21" i="125"/>
  <c r="EF9" i="125"/>
  <c r="EF23" i="125"/>
  <c r="EF15" i="125"/>
  <c r="EF8" i="125"/>
  <c r="EF11" i="125"/>
  <c r="EF22" i="125"/>
  <c r="EF14" i="125"/>
  <c r="EF6" i="125"/>
  <c r="EF7" i="125"/>
  <c r="EF17" i="125"/>
  <c r="EF16" i="125"/>
  <c r="EF13" i="125"/>
  <c r="EF12" i="125"/>
  <c r="EF20" i="125"/>
  <c r="EF10" i="125"/>
  <c r="EF18" i="125"/>
  <c r="EF19" i="125"/>
  <c r="BZ27" i="125"/>
  <c r="BY28" i="125" s="1"/>
  <c r="U6" i="125"/>
  <c r="EY20" i="141" l="1"/>
  <c r="EY6" i="141"/>
  <c r="EY16" i="141"/>
  <c r="EY23" i="141"/>
  <c r="EY15" i="141"/>
  <c r="EY19" i="141"/>
  <c r="EY8" i="141"/>
  <c r="EY18" i="141"/>
  <c r="EY22" i="141"/>
  <c r="EY21" i="141"/>
  <c r="EY17" i="141"/>
  <c r="EY9" i="141"/>
  <c r="EY7" i="141"/>
  <c r="EY13" i="141"/>
  <c r="EY24" i="141"/>
  <c r="EY11" i="141"/>
  <c r="EY12" i="141"/>
  <c r="EY14" i="141"/>
  <c r="EY10" i="141"/>
  <c r="DY22" i="141"/>
  <c r="DY7" i="141"/>
  <c r="DY17" i="141"/>
  <c r="DY18" i="141"/>
  <c r="DY14" i="141"/>
  <c r="DY9" i="141"/>
  <c r="DY21" i="141"/>
  <c r="DY13" i="141"/>
  <c r="DY15" i="141"/>
  <c r="DY24" i="141"/>
  <c r="DY8" i="141"/>
  <c r="DY20" i="141"/>
  <c r="DY11" i="141"/>
  <c r="DY19" i="141"/>
  <c r="DY10" i="141"/>
  <c r="DY23" i="141"/>
  <c r="DY16" i="141"/>
  <c r="DY6" i="141"/>
  <c r="DY12" i="141"/>
  <c r="EA2" i="141"/>
  <c r="DZ1" i="141"/>
  <c r="DB18" i="141"/>
  <c r="DB22" i="141"/>
  <c r="DB16" i="141"/>
  <c r="DB9" i="141"/>
  <c r="DB15" i="141"/>
  <c r="DB10" i="141"/>
  <c r="DB24" i="141"/>
  <c r="DB13" i="141"/>
  <c r="DB8" i="141"/>
  <c r="DB20" i="141"/>
  <c r="DB7" i="141"/>
  <c r="DB12" i="141"/>
  <c r="DB23" i="141"/>
  <c r="DB6" i="141"/>
  <c r="DB14" i="141"/>
  <c r="DB21" i="141"/>
  <c r="EZ1" i="141"/>
  <c r="DB11" i="141"/>
  <c r="DB17" i="141"/>
  <c r="DB19" i="141"/>
  <c r="DD2" i="141"/>
  <c r="DC1" i="141"/>
  <c r="U6" i="131"/>
  <c r="BU27" i="131"/>
  <c r="BT28" i="131" s="1"/>
  <c r="U20" i="131"/>
  <c r="V20" i="131" s="1"/>
  <c r="EG19" i="131"/>
  <c r="EG7" i="131"/>
  <c r="EG10" i="131"/>
  <c r="EG9" i="131"/>
  <c r="EG16" i="131"/>
  <c r="EG20" i="131"/>
  <c r="EG6" i="131"/>
  <c r="EG17" i="131"/>
  <c r="EG14" i="131"/>
  <c r="EG24" i="131"/>
  <c r="EG22" i="131"/>
  <c r="EG15" i="131"/>
  <c r="EG12" i="131"/>
  <c r="EG18" i="131"/>
  <c r="EG13" i="131"/>
  <c r="EG21" i="131"/>
  <c r="EG23" i="131"/>
  <c r="EG11" i="131"/>
  <c r="EG8" i="131"/>
  <c r="EF16" i="131"/>
  <c r="EF6" i="131"/>
  <c r="EF13" i="131"/>
  <c r="EF12" i="131"/>
  <c r="EF10" i="131"/>
  <c r="EF21" i="131"/>
  <c r="EF18" i="131"/>
  <c r="EF7" i="131"/>
  <c r="EF20" i="131"/>
  <c r="EF24" i="131"/>
  <c r="EF15" i="131"/>
  <c r="EF8" i="131"/>
  <c r="EF14" i="131"/>
  <c r="EF11" i="131"/>
  <c r="EF22" i="131"/>
  <c r="EF9" i="131"/>
  <c r="EF17" i="131"/>
  <c r="EF23" i="131"/>
  <c r="EF19" i="131"/>
  <c r="CD14" i="125"/>
  <c r="W14" i="125" s="1"/>
  <c r="X14" i="125" s="1"/>
  <c r="CD20" i="125"/>
  <c r="W20" i="125" s="1"/>
  <c r="X20" i="125" s="1"/>
  <c r="CD11" i="125"/>
  <c r="W11" i="125" s="1"/>
  <c r="X11" i="125" s="1"/>
  <c r="CD17" i="125"/>
  <c r="W17" i="125" s="1"/>
  <c r="X17" i="125" s="1"/>
  <c r="CD22" i="125"/>
  <c r="W22" i="125" s="1"/>
  <c r="X22" i="125" s="1"/>
  <c r="CD15" i="125"/>
  <c r="W15" i="125" s="1"/>
  <c r="X15" i="125" s="1"/>
  <c r="CD24" i="125"/>
  <c r="W24" i="125" s="1"/>
  <c r="X24" i="125" s="1"/>
  <c r="CD23" i="125"/>
  <c r="W23" i="125" s="1"/>
  <c r="X23" i="125" s="1"/>
  <c r="CD12" i="125"/>
  <c r="W12" i="125" s="1"/>
  <c r="X12" i="125" s="1"/>
  <c r="CD21" i="125"/>
  <c r="W21" i="125" s="1"/>
  <c r="X21" i="125" s="1"/>
  <c r="CD9" i="125"/>
  <c r="W9" i="125" s="1"/>
  <c r="X9" i="125" s="1"/>
  <c r="CD16" i="125"/>
  <c r="W16" i="125" s="1"/>
  <c r="X16" i="125" s="1"/>
  <c r="CD13" i="125"/>
  <c r="W13" i="125" s="1"/>
  <c r="X13" i="125" s="1"/>
  <c r="CD8" i="125"/>
  <c r="W8" i="125" s="1"/>
  <c r="X8" i="125" s="1"/>
  <c r="CD6" i="125"/>
  <c r="W6" i="125" s="1"/>
  <c r="X6" i="125" s="1"/>
  <c r="CD19" i="125"/>
  <c r="W19" i="125" s="1"/>
  <c r="X19" i="125" s="1"/>
  <c r="CD7" i="125"/>
  <c r="W7" i="125" s="1"/>
  <c r="X7" i="125" s="1"/>
  <c r="V6" i="125"/>
  <c r="T30" i="125"/>
  <c r="T29" i="125"/>
  <c r="T28" i="125"/>
  <c r="CD18" i="125"/>
  <c r="W18" i="125" s="1"/>
  <c r="X18" i="125" s="1"/>
  <c r="CD10" i="125"/>
  <c r="W10" i="125" s="1"/>
  <c r="X10" i="125" s="1"/>
  <c r="EB2" i="141" l="1"/>
  <c r="EA1" i="141"/>
  <c r="DZ16" i="141"/>
  <c r="DZ11" i="141"/>
  <c r="DZ22" i="141"/>
  <c r="DZ7" i="141"/>
  <c r="DZ15" i="141"/>
  <c r="DZ21" i="141"/>
  <c r="DZ14" i="141"/>
  <c r="DZ8" i="141"/>
  <c r="DZ17" i="141"/>
  <c r="DZ12" i="141"/>
  <c r="DZ24" i="141"/>
  <c r="DZ6" i="141"/>
  <c r="DZ20" i="141"/>
  <c r="DZ23" i="141"/>
  <c r="DZ19" i="141"/>
  <c r="DZ10" i="141"/>
  <c r="DZ18" i="141"/>
  <c r="DZ9" i="141"/>
  <c r="DZ13" i="141"/>
  <c r="EZ23" i="141"/>
  <c r="EZ11" i="141"/>
  <c r="EZ8" i="141"/>
  <c r="EZ19" i="141"/>
  <c r="EZ6" i="141"/>
  <c r="EZ18" i="141"/>
  <c r="EZ15" i="141"/>
  <c r="EZ22" i="141"/>
  <c r="EZ17" i="141"/>
  <c r="EZ14" i="141"/>
  <c r="EZ16" i="141"/>
  <c r="EZ21" i="141"/>
  <c r="EZ20" i="141"/>
  <c r="EZ9" i="141"/>
  <c r="EZ24" i="141"/>
  <c r="EZ7" i="141"/>
  <c r="EZ12" i="141"/>
  <c r="EZ13" i="141"/>
  <c r="EZ10" i="141"/>
  <c r="DC17" i="141"/>
  <c r="FA1" i="141"/>
  <c r="DC18" i="141"/>
  <c r="DC12" i="141"/>
  <c r="DC16" i="141"/>
  <c r="DC10" i="141"/>
  <c r="DC9" i="141"/>
  <c r="DC24" i="141"/>
  <c r="DC22" i="141"/>
  <c r="DC13" i="141"/>
  <c r="DC20" i="141"/>
  <c r="DC21" i="141"/>
  <c r="DC8" i="141"/>
  <c r="DC23" i="141"/>
  <c r="DC14" i="141"/>
  <c r="DC11" i="141"/>
  <c r="DC19" i="141"/>
  <c r="DC6" i="141"/>
  <c r="DC7" i="141"/>
  <c r="DC15" i="141"/>
  <c r="DE2" i="141"/>
  <c r="DD1" i="141"/>
  <c r="V6" i="131"/>
  <c r="T28" i="131"/>
  <c r="T30" i="131"/>
  <c r="T29" i="131"/>
  <c r="BY11" i="131"/>
  <c r="W11" i="131" s="1"/>
  <c r="X11" i="131" s="1"/>
  <c r="BY12" i="131"/>
  <c r="W12" i="131" s="1"/>
  <c r="X12" i="131" s="1"/>
  <c r="BY23" i="131"/>
  <c r="W23" i="131" s="1"/>
  <c r="X23" i="131" s="1"/>
  <c r="BY21" i="131"/>
  <c r="W21" i="131" s="1"/>
  <c r="X21" i="131" s="1"/>
  <c r="BY7" i="131"/>
  <c r="W7" i="131" s="1"/>
  <c r="X7" i="131" s="1"/>
  <c r="BY13" i="131"/>
  <c r="W13" i="131" s="1"/>
  <c r="X13" i="131" s="1"/>
  <c r="BY18" i="131"/>
  <c r="W18" i="131" s="1"/>
  <c r="X18" i="131" s="1"/>
  <c r="BY20" i="131"/>
  <c r="W20" i="131" s="1"/>
  <c r="X20" i="131" s="1"/>
  <c r="BY16" i="131"/>
  <c r="W16" i="131" s="1"/>
  <c r="X16" i="131" s="1"/>
  <c r="BY9" i="131"/>
  <c r="W9" i="131" s="1"/>
  <c r="X9" i="131" s="1"/>
  <c r="BY10" i="131"/>
  <c r="W10" i="131" s="1"/>
  <c r="X10" i="131" s="1"/>
  <c r="BY15" i="131"/>
  <c r="W15" i="131" s="1"/>
  <c r="X15" i="131" s="1"/>
  <c r="BY22" i="131"/>
  <c r="W22" i="131" s="1"/>
  <c r="X22" i="131" s="1"/>
  <c r="BY19" i="131"/>
  <c r="W19" i="131" s="1"/>
  <c r="X19" i="131" s="1"/>
  <c r="BY24" i="131"/>
  <c r="W24" i="131" s="1"/>
  <c r="X24" i="131" s="1"/>
  <c r="BY14" i="131"/>
  <c r="W14" i="131" s="1"/>
  <c r="X14" i="131" s="1"/>
  <c r="BY17" i="131"/>
  <c r="W17" i="131" s="1"/>
  <c r="X17" i="131" s="1"/>
  <c r="BY8" i="131"/>
  <c r="W8" i="131" s="1"/>
  <c r="X8" i="131" s="1"/>
  <c r="BY6" i="131"/>
  <c r="W6" i="131" s="1"/>
  <c r="CD27" i="125"/>
  <c r="CC28" i="125" s="1"/>
  <c r="DE1" i="141" l="1"/>
  <c r="DF2" i="141"/>
  <c r="DD22" i="141"/>
  <c r="DD13" i="141"/>
  <c r="DD21" i="141"/>
  <c r="DD6" i="141"/>
  <c r="DD14" i="141"/>
  <c r="DD11" i="141"/>
  <c r="DD23" i="141"/>
  <c r="DD17" i="141"/>
  <c r="DD8" i="141"/>
  <c r="DD24" i="141"/>
  <c r="DD16" i="141"/>
  <c r="DD7" i="141"/>
  <c r="DD19" i="141"/>
  <c r="DD12" i="141"/>
  <c r="FB1" i="141"/>
  <c r="DD18" i="141"/>
  <c r="DD10" i="141"/>
  <c r="DD20" i="141"/>
  <c r="DD15" i="141"/>
  <c r="DD9" i="141"/>
  <c r="FA19" i="141"/>
  <c r="FA8" i="141"/>
  <c r="FA24" i="141"/>
  <c r="FA21" i="141"/>
  <c r="FA18" i="141"/>
  <c r="FA23" i="141"/>
  <c r="FA14" i="141"/>
  <c r="FA7" i="141"/>
  <c r="FA22" i="141"/>
  <c r="FA11" i="141"/>
  <c r="FA17" i="141"/>
  <c r="FA6" i="141"/>
  <c r="FA16" i="141"/>
  <c r="FA13" i="141"/>
  <c r="FA15" i="141"/>
  <c r="FA9" i="141"/>
  <c r="FA20" i="141"/>
  <c r="FA12" i="141"/>
  <c r="FA10" i="141"/>
  <c r="EA17" i="141"/>
  <c r="EA14" i="141"/>
  <c r="EA12" i="141"/>
  <c r="EA11" i="141"/>
  <c r="EA24" i="141"/>
  <c r="EA13" i="141"/>
  <c r="EA16" i="141"/>
  <c r="EA6" i="141"/>
  <c r="EA20" i="141"/>
  <c r="EA19" i="141"/>
  <c r="EA9" i="141"/>
  <c r="EA15" i="141"/>
  <c r="EA18" i="141"/>
  <c r="EA10" i="141"/>
  <c r="EA22" i="141"/>
  <c r="EA23" i="141"/>
  <c r="EA8" i="141"/>
  <c r="EA21" i="141"/>
  <c r="EA7" i="141"/>
  <c r="EC2" i="141"/>
  <c r="EB1" i="141"/>
  <c r="BY27" i="131"/>
  <c r="BX28" i="131" s="1"/>
  <c r="X6" i="131"/>
  <c r="FB23" i="141" l="1"/>
  <c r="FB13" i="141"/>
  <c r="FB11" i="141"/>
  <c r="FB22" i="141"/>
  <c r="FB10" i="141"/>
  <c r="FB8" i="141"/>
  <c r="FB21" i="141"/>
  <c r="FB9" i="141"/>
  <c r="FB7" i="141"/>
  <c r="FB16" i="141"/>
  <c r="FB17" i="141"/>
  <c r="FB15" i="141"/>
  <c r="FB19" i="141"/>
  <c r="FB24" i="141"/>
  <c r="FB12" i="141"/>
  <c r="FB14" i="141"/>
  <c r="FB6" i="141"/>
  <c r="FB18" i="141"/>
  <c r="FB20" i="141"/>
  <c r="EB23" i="141"/>
  <c r="EB20" i="141"/>
  <c r="EB18" i="141"/>
  <c r="EB9" i="141"/>
  <c r="EB14" i="141"/>
  <c r="EB8" i="141"/>
  <c r="EB24" i="141"/>
  <c r="EB13" i="141"/>
  <c r="EB12" i="141"/>
  <c r="EB21" i="141"/>
  <c r="EB6" i="141"/>
  <c r="EB19" i="141"/>
  <c r="EB17" i="141"/>
  <c r="EB11" i="141"/>
  <c r="EB7" i="141"/>
  <c r="EB16" i="141"/>
  <c r="EB10" i="141"/>
  <c r="EB15" i="141"/>
  <c r="EB22" i="141"/>
  <c r="ED2" i="141"/>
  <c r="EC1" i="141"/>
  <c r="DG2" i="141"/>
  <c r="DF1" i="141"/>
  <c r="DE21" i="141"/>
  <c r="DE12" i="141"/>
  <c r="DE7" i="141"/>
  <c r="DE24" i="141"/>
  <c r="DE16" i="141"/>
  <c r="DE15" i="141"/>
  <c r="DE23" i="141"/>
  <c r="DE10" i="141"/>
  <c r="FC1" i="141"/>
  <c r="DE20" i="141"/>
  <c r="DE18" i="141"/>
  <c r="DE19" i="141"/>
  <c r="DE9" i="141"/>
  <c r="DE14" i="141"/>
  <c r="DE11" i="141"/>
  <c r="DE17" i="141"/>
  <c r="DE8" i="141"/>
  <c r="DE22" i="141"/>
  <c r="DE13" i="141"/>
  <c r="DE6" i="141"/>
  <c r="EC23" i="141" l="1"/>
  <c r="EC10" i="141"/>
  <c r="EC7" i="141"/>
  <c r="EC21" i="141"/>
  <c r="EC24" i="141"/>
  <c r="EC12" i="141"/>
  <c r="EC13" i="141"/>
  <c r="EC6" i="141"/>
  <c r="EC15" i="141"/>
  <c r="EC9" i="141"/>
  <c r="EC17" i="141"/>
  <c r="EC20" i="141"/>
  <c r="EC18" i="141"/>
  <c r="EC11" i="141"/>
  <c r="EC19" i="141"/>
  <c r="EC16" i="141"/>
  <c r="EC14" i="141"/>
  <c r="EC22" i="141"/>
  <c r="EC8" i="141"/>
  <c r="EE2" i="141"/>
  <c r="ED1" i="141"/>
  <c r="FC21" i="141"/>
  <c r="FC16" i="141"/>
  <c r="FC11" i="141"/>
  <c r="FC20" i="141"/>
  <c r="FC15" i="141"/>
  <c r="FC7" i="141"/>
  <c r="FC24" i="141"/>
  <c r="FC9" i="141"/>
  <c r="FC19" i="141"/>
  <c r="FC10" i="141"/>
  <c r="FC14" i="141"/>
  <c r="FC8" i="141"/>
  <c r="FC22" i="141"/>
  <c r="FC23" i="141"/>
  <c r="FC18" i="141"/>
  <c r="FC17" i="141"/>
  <c r="FC13" i="141"/>
  <c r="FC6" i="141"/>
  <c r="FC12" i="141"/>
  <c r="DF8" i="141"/>
  <c r="DF17" i="141"/>
  <c r="DF7" i="141"/>
  <c r="DF22" i="141"/>
  <c r="DF13" i="141"/>
  <c r="DF15" i="141"/>
  <c r="DF11" i="141"/>
  <c r="DF23" i="141"/>
  <c r="DF12" i="141"/>
  <c r="FD1" i="141"/>
  <c r="DF10" i="141"/>
  <c r="DF20" i="141"/>
  <c r="DF24" i="141"/>
  <c r="DF16" i="141"/>
  <c r="DF19" i="141"/>
  <c r="DF18" i="141"/>
  <c r="DF6" i="141"/>
  <c r="DF21" i="141"/>
  <c r="DF9" i="141"/>
  <c r="DF14" i="141"/>
  <c r="DH2" i="141"/>
  <c r="DH1" i="141" s="1"/>
  <c r="DG1" i="141"/>
  <c r="ED21" i="141" l="1"/>
  <c r="ED12" i="141"/>
  <c r="ED7" i="141"/>
  <c r="ED20" i="141"/>
  <c r="ED17" i="141"/>
  <c r="ED15" i="141"/>
  <c r="ED24" i="141"/>
  <c r="ED16" i="141"/>
  <c r="ED23" i="141"/>
  <c r="ED11" i="141"/>
  <c r="ED19" i="141"/>
  <c r="ED10" i="141"/>
  <c r="ED18" i="141"/>
  <c r="ED9" i="141"/>
  <c r="ED14" i="141"/>
  <c r="ED8" i="141"/>
  <c r="ED22" i="141"/>
  <c r="ED13" i="141"/>
  <c r="ED6" i="141"/>
  <c r="DG13" i="141"/>
  <c r="DG15" i="141"/>
  <c r="DG12" i="141"/>
  <c r="FE1" i="141"/>
  <c r="DG11" i="141"/>
  <c r="DG14" i="141"/>
  <c r="DG20" i="141"/>
  <c r="DG23" i="141"/>
  <c r="DG24" i="141"/>
  <c r="DG19" i="141"/>
  <c r="DG18" i="141"/>
  <c r="DG6" i="141"/>
  <c r="DG22" i="141"/>
  <c r="DG16" i="141"/>
  <c r="DG10" i="141"/>
  <c r="DG21" i="141"/>
  <c r="DG8" i="141"/>
  <c r="DG9" i="141"/>
  <c r="DG17" i="141"/>
  <c r="DG7" i="141"/>
  <c r="EF2" i="141"/>
  <c r="EE1" i="141"/>
  <c r="FD14" i="141"/>
  <c r="FD9" i="141"/>
  <c r="FD18" i="141"/>
  <c r="FD8" i="141"/>
  <c r="FD13" i="141"/>
  <c r="FD6" i="141"/>
  <c r="FD22" i="141"/>
  <c r="FD12" i="141"/>
  <c r="FD7" i="141"/>
  <c r="FD21" i="141"/>
  <c r="FD11" i="141"/>
  <c r="FD10" i="141"/>
  <c r="FD20" i="141"/>
  <c r="FD16" i="141"/>
  <c r="FD23" i="141"/>
  <c r="FD19" i="141"/>
  <c r="FD15" i="141"/>
  <c r="FD24" i="141"/>
  <c r="FD17" i="141"/>
  <c r="DH18" i="141"/>
  <c r="DH7" i="141"/>
  <c r="DH6" i="141"/>
  <c r="DH20" i="141"/>
  <c r="DH10" i="141"/>
  <c r="DH9" i="141"/>
  <c r="DH19" i="141"/>
  <c r="FF1" i="141"/>
  <c r="DH23" i="141"/>
  <c r="DH17" i="141"/>
  <c r="DH16" i="141"/>
  <c r="DH8" i="141"/>
  <c r="DH12" i="141"/>
  <c r="DH24" i="141"/>
  <c r="DH22" i="141"/>
  <c r="DH11" i="141"/>
  <c r="DH13" i="141"/>
  <c r="DH21" i="141"/>
  <c r="DH15" i="141"/>
  <c r="DH14" i="141"/>
  <c r="U3" i="141"/>
  <c r="BU7" i="141" l="1"/>
  <c r="U7" i="141" s="1"/>
  <c r="BU6" i="141"/>
  <c r="U6" i="141" s="1"/>
  <c r="BU20" i="141"/>
  <c r="U20" i="141" s="1"/>
  <c r="BU24" i="141"/>
  <c r="U24" i="141" s="1"/>
  <c r="BU19" i="141"/>
  <c r="U19" i="141" s="1"/>
  <c r="BU16" i="141"/>
  <c r="U16" i="141" s="1"/>
  <c r="BU8" i="141"/>
  <c r="U8" i="141" s="1"/>
  <c r="BU22" i="141"/>
  <c r="U22" i="141" s="1"/>
  <c r="BU9" i="141"/>
  <c r="U9" i="141" s="1"/>
  <c r="BU23" i="141"/>
  <c r="U23" i="141" s="1"/>
  <c r="BU17" i="141"/>
  <c r="U17" i="141" s="1"/>
  <c r="BU11" i="141"/>
  <c r="U11" i="141" s="1"/>
  <c r="BU13" i="141"/>
  <c r="U13" i="141" s="1"/>
  <c r="BU21" i="141"/>
  <c r="BU15" i="141"/>
  <c r="BU14" i="141"/>
  <c r="U14" i="141" s="1"/>
  <c r="BU10" i="141"/>
  <c r="U10" i="141" s="1"/>
  <c r="BU18" i="141"/>
  <c r="U18" i="141" s="1"/>
  <c r="V18" i="141" s="1"/>
  <c r="BU12" i="141"/>
  <c r="U12" i="141" s="1"/>
  <c r="EG2" i="141"/>
  <c r="EG1" i="141" s="1"/>
  <c r="EF1" i="141"/>
  <c r="FE13" i="141"/>
  <c r="FE6" i="141"/>
  <c r="FE12" i="141"/>
  <c r="FE9" i="141"/>
  <c r="FE20" i="141"/>
  <c r="FE11" i="141"/>
  <c r="FE7" i="141"/>
  <c r="FE19" i="141"/>
  <c r="FE16" i="141"/>
  <c r="FE10" i="141"/>
  <c r="FE21" i="141"/>
  <c r="FE15" i="141"/>
  <c r="FE14" i="141"/>
  <c r="FE22" i="141"/>
  <c r="FE17" i="141"/>
  <c r="FE24" i="141"/>
  <c r="FE23" i="141"/>
  <c r="FE18" i="141"/>
  <c r="FE8" i="141"/>
  <c r="FF16" i="141"/>
  <c r="FF11" i="141"/>
  <c r="FF15" i="141"/>
  <c r="FF14" i="141"/>
  <c r="FF18" i="141"/>
  <c r="FF17" i="141"/>
  <c r="FF10" i="141"/>
  <c r="FF24" i="141"/>
  <c r="FF22" i="141"/>
  <c r="FF8" i="141"/>
  <c r="FF20" i="141"/>
  <c r="FF12" i="141"/>
  <c r="FF6" i="141"/>
  <c r="FF19" i="141"/>
  <c r="FF7" i="141"/>
  <c r="FF23" i="141"/>
  <c r="FF9" i="141"/>
  <c r="FF21" i="141"/>
  <c r="FF13" i="141"/>
  <c r="EE19" i="141"/>
  <c r="EE17" i="141"/>
  <c r="EE10" i="141"/>
  <c r="EE23" i="141"/>
  <c r="EE16" i="141"/>
  <c r="EE21" i="141"/>
  <c r="EE9" i="141"/>
  <c r="EE18" i="141"/>
  <c r="EE8" i="141"/>
  <c r="EE14" i="141"/>
  <c r="EE15" i="141"/>
  <c r="EE13" i="141"/>
  <c r="EE6" i="141"/>
  <c r="EE20" i="141"/>
  <c r="EE12" i="141"/>
  <c r="EE7" i="141"/>
  <c r="EE24" i="141"/>
  <c r="EE11" i="141"/>
  <c r="EE22" i="141"/>
  <c r="V12" i="141" l="1"/>
  <c r="V7" i="141"/>
  <c r="V6" i="141"/>
  <c r="V20" i="141"/>
  <c r="V16" i="141"/>
  <c r="J16" i="138"/>
  <c r="K16" i="138" s="1"/>
  <c r="L16" i="138" s="1"/>
  <c r="P16" i="138" s="1"/>
  <c r="V17" i="141"/>
  <c r="V11" i="141"/>
  <c r="V13" i="141"/>
  <c r="V24" i="141"/>
  <c r="V19" i="141"/>
  <c r="V8" i="141"/>
  <c r="V22" i="141"/>
  <c r="V9" i="141"/>
  <c r="V23" i="141"/>
  <c r="U21" i="141"/>
  <c r="BT27" i="141"/>
  <c r="V14" i="141"/>
  <c r="V10" i="141"/>
  <c r="EF23" i="141"/>
  <c r="EF15" i="141"/>
  <c r="EF21" i="141"/>
  <c r="EF14" i="141"/>
  <c r="EF18" i="141"/>
  <c r="EF8" i="141"/>
  <c r="EF13" i="141"/>
  <c r="EF22" i="141"/>
  <c r="EF12" i="141"/>
  <c r="EF9" i="141"/>
  <c r="EF20" i="141"/>
  <c r="EF11" i="141"/>
  <c r="EF7" i="141"/>
  <c r="EF19" i="141"/>
  <c r="EF17" i="141"/>
  <c r="EF6" i="141"/>
  <c r="EF24" i="141"/>
  <c r="EF16" i="141"/>
  <c r="EF10" i="141"/>
  <c r="EG24" i="141"/>
  <c r="EG21" i="141"/>
  <c r="EG6" i="141"/>
  <c r="EG23" i="141"/>
  <c r="EG15" i="141"/>
  <c r="EG10" i="141"/>
  <c r="EG19" i="141"/>
  <c r="EG12" i="141"/>
  <c r="EG9" i="141"/>
  <c r="EG18" i="141"/>
  <c r="EG7" i="141"/>
  <c r="EG20" i="141"/>
  <c r="EG11" i="141"/>
  <c r="EG22" i="141"/>
  <c r="EG8" i="141"/>
  <c r="EG17" i="141"/>
  <c r="EG13" i="141"/>
  <c r="EG16" i="141"/>
  <c r="EG14" i="141"/>
  <c r="V21" i="141" l="1"/>
  <c r="BY23" i="141"/>
  <c r="W23" i="141" s="1"/>
  <c r="BY15" i="141"/>
  <c r="W15" i="141" s="1"/>
  <c r="BY9" i="141"/>
  <c r="W9" i="141" s="1"/>
  <c r="BY18" i="141"/>
  <c r="W18" i="141" s="1"/>
  <c r="BY13" i="141"/>
  <c r="W13" i="141" s="1"/>
  <c r="BY14" i="141"/>
  <c r="W14" i="141" s="1"/>
  <c r="BY20" i="141"/>
  <c r="W20" i="141" s="1"/>
  <c r="BY16" i="141"/>
  <c r="W16" i="141" s="1"/>
  <c r="X16" i="141" s="1"/>
  <c r="BY8" i="141"/>
  <c r="W8" i="141" s="1"/>
  <c r="BY17" i="141"/>
  <c r="W17" i="141" s="1"/>
  <c r="BY11" i="141"/>
  <c r="W11" i="141" s="1"/>
  <c r="BY24" i="141"/>
  <c r="W24" i="141" s="1"/>
  <c r="J24" i="138" s="1"/>
  <c r="K24" i="138" s="1"/>
  <c r="L24" i="138" s="1"/>
  <c r="P24" i="138" s="1"/>
  <c r="BY12" i="141"/>
  <c r="W12" i="141" s="1"/>
  <c r="BY7" i="141"/>
  <c r="W7" i="141" s="1"/>
  <c r="X7" i="141" s="1"/>
  <c r="BY19" i="141"/>
  <c r="W19" i="141" s="1"/>
  <c r="BY10" i="141"/>
  <c r="W10" i="141" s="1"/>
  <c r="J10" i="138" s="1"/>
  <c r="K10" i="138" s="1"/>
  <c r="L10" i="138" s="1"/>
  <c r="P10" i="138" s="1"/>
  <c r="BY6" i="141"/>
  <c r="W6" i="141" s="1"/>
  <c r="BY22" i="141"/>
  <c r="W22" i="141" s="1"/>
  <c r="X22" i="141" s="1"/>
  <c r="BY21" i="141"/>
  <c r="W21" i="141" s="1"/>
  <c r="J23" i="138" l="1"/>
  <c r="K23" i="138" s="1"/>
  <c r="L23" i="138" s="1"/>
  <c r="P23" i="138" s="1"/>
  <c r="X23" i="141"/>
  <c r="X15" i="141"/>
  <c r="J15" i="138"/>
  <c r="K15" i="138" s="1"/>
  <c r="L15" i="138" s="1"/>
  <c r="P15" i="138" s="1"/>
  <c r="J11" i="138"/>
  <c r="K11" i="138" s="1"/>
  <c r="L11" i="138" s="1"/>
  <c r="P11" i="138" s="1"/>
  <c r="X11" i="141"/>
  <c r="X19" i="141"/>
  <c r="J19" i="138"/>
  <c r="K19" i="138" s="1"/>
  <c r="L19" i="138" s="1"/>
  <c r="P19" i="138" s="1"/>
  <c r="X13" i="141"/>
  <c r="J13" i="138"/>
  <c r="K13" i="138" s="1"/>
  <c r="L13" i="138" s="1"/>
  <c r="P13" i="138" s="1"/>
  <c r="J17" i="138"/>
  <c r="K17" i="138" s="1"/>
  <c r="L17" i="138" s="1"/>
  <c r="P17" i="138" s="1"/>
  <c r="X17" i="141"/>
  <c r="X9" i="141"/>
  <c r="J9" i="138"/>
  <c r="K9" i="138" s="1"/>
  <c r="L9" i="138" s="1"/>
  <c r="P9" i="138" s="1"/>
  <c r="X18" i="141"/>
  <c r="J18" i="138"/>
  <c r="K18" i="138" s="1"/>
  <c r="L18" i="138" s="1"/>
  <c r="P18" i="138" s="1"/>
  <c r="X14" i="141"/>
  <c r="J14" i="138"/>
  <c r="K14" i="138" s="1"/>
  <c r="L14" i="138" s="1"/>
  <c r="P14" i="138" s="1"/>
  <c r="J20" i="138"/>
  <c r="K20" i="138" s="1"/>
  <c r="L20" i="138" s="1"/>
  <c r="P20" i="138" s="1"/>
  <c r="X20" i="141"/>
  <c r="X8" i="141"/>
  <c r="J8" i="138"/>
  <c r="K8" i="138" s="1"/>
  <c r="L8" i="138" s="1"/>
  <c r="P8" i="138" s="1"/>
  <c r="X12" i="141"/>
  <c r="J12" i="138"/>
  <c r="K12" i="138" s="1"/>
  <c r="L12" i="138" s="1"/>
  <c r="P12" i="138" s="1"/>
  <c r="J6" i="138"/>
  <c r="K6" i="138" s="1"/>
  <c r="L6" i="138" s="1"/>
  <c r="P6" i="138" s="1"/>
  <c r="X6" i="141"/>
  <c r="X24" i="141"/>
  <c r="X10" i="141"/>
  <c r="J22" i="138"/>
  <c r="K22" i="138" s="1"/>
  <c r="L22" i="138" s="1"/>
  <c r="P22" i="138" s="1"/>
  <c r="J7" i="138"/>
  <c r="K7" i="138" s="1"/>
  <c r="L7" i="138" s="1"/>
  <c r="P7" i="138" s="1"/>
  <c r="X21" i="141"/>
  <c r="J21" i="138"/>
  <c r="K21" i="138" s="1"/>
  <c r="L21" i="138" s="1"/>
  <c r="P21" i="1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Laura Zamanillo</author>
  </authors>
  <commentList>
    <comment ref="B3" authorId="0" shapeId="0" xr:uid="{D62041E9-AB12-4BE7-945D-416B1258A0D2}">
      <text>
        <r>
          <rPr>
            <b/>
            <u/>
            <sz val="9"/>
            <color indexed="81"/>
            <rFont val="Tahoma"/>
            <family val="2"/>
          </rPr>
          <t>Guia para actualizar los datos de Frutas y Hortalizas</t>
        </r>
        <r>
          <rPr>
            <b/>
            <sz val="9"/>
            <color indexed="81"/>
            <rFont val="Tahoma"/>
            <family val="2"/>
          </rPr>
          <t xml:space="preserve">
1. Descargar los archivos
- </t>
        </r>
        <r>
          <rPr>
            <sz val="9"/>
            <color indexed="81"/>
            <rFont val="Tahoma"/>
            <family val="2"/>
          </rPr>
          <t xml:space="preserve">Ingresar a la web del Mercado Central de Buenos Aires.
- Descargar las carpetas .zip mensuales con los precios de frutas y hortalizas. (cada .zip contiene un Excel por cada día hábil del mes, con las cotizaciones diarias.)
</t>
        </r>
        <r>
          <rPr>
            <b/>
            <sz val="9"/>
            <color indexed="81"/>
            <rFont val="Tahoma"/>
            <family val="2"/>
          </rPr>
          <t>2. Cargar los datos en el Excel base</t>
        </r>
        <r>
          <rPr>
            <sz val="9"/>
            <color indexed="81"/>
            <rFont val="Tahoma"/>
            <family val="2"/>
          </rPr>
          <t xml:space="preserve">
- Abrir cada Excel diario y copiar las cotizaciones.
- Pegar todos los datos en la hoja </t>
        </r>
        <r>
          <rPr>
            <b/>
            <sz val="9"/>
            <color indexed="81"/>
            <rFont val="Tahoma"/>
            <family val="2"/>
          </rPr>
          <t>“FrutHort16-23”</t>
        </r>
        <r>
          <rPr>
            <sz val="9"/>
            <color indexed="81"/>
            <rFont val="Tahoma"/>
            <family val="2"/>
          </rPr>
          <t xml:space="preserve"> del archivo </t>
        </r>
        <r>
          <rPr>
            <b/>
            <sz val="9"/>
            <color indexed="81"/>
            <rFont val="Tahoma"/>
            <family val="2"/>
          </rPr>
          <t>“0 Precios MCBA”.</t>
        </r>
        <r>
          <rPr>
            <sz val="9"/>
            <color indexed="81"/>
            <rFont val="Tahoma"/>
            <family val="2"/>
          </rPr>
          <t xml:space="preserve">
- Actualizar tablas dinámicas: Ir a las hojas </t>
        </r>
        <r>
          <rPr>
            <b/>
            <sz val="9"/>
            <color indexed="81"/>
            <rFont val="Tahoma"/>
            <family val="2"/>
          </rPr>
          <t xml:space="preserve">“Tab_Frutti” </t>
        </r>
        <r>
          <rPr>
            <sz val="9"/>
            <color indexed="81"/>
            <rFont val="Tahoma"/>
            <family val="2"/>
          </rPr>
          <t xml:space="preserve">y </t>
        </r>
        <r>
          <rPr>
            <b/>
            <sz val="9"/>
            <color indexed="81"/>
            <rFont val="Tahoma"/>
            <family val="2"/>
          </rPr>
          <t xml:space="preserve">“Tab_Horti”. </t>
        </r>
        <r>
          <rPr>
            <sz val="9"/>
            <color indexed="81"/>
            <rFont val="Tahoma"/>
            <family val="2"/>
          </rPr>
          <t xml:space="preserve">(Hacer clic sobre cada tabla dinámica → pestaña Analizar tabla dinámica → botón Actualizar)
</t>
        </r>
        <r>
          <rPr>
            <b/>
            <sz val="9"/>
            <color indexed="81"/>
            <rFont val="Tahoma"/>
            <family val="2"/>
          </rPr>
          <t xml:space="preserve">3, Actualizar Semaforo
</t>
        </r>
        <r>
          <rPr>
            <sz val="9"/>
            <color indexed="81"/>
            <rFont val="Tahoma"/>
            <family val="2"/>
          </rPr>
          <t xml:space="preserve">- Copiar los precios promedio mensuales que surgen de las tablas dinámicas.
- Pegar los valores actualizados en el archivo </t>
        </r>
        <r>
          <rPr>
            <b/>
            <sz val="9"/>
            <color indexed="81"/>
            <rFont val="Tahoma"/>
            <family val="2"/>
          </rPr>
          <t xml:space="preserve">“CONI_tablero_indicadoresv14”.
Cambio metodologico
</t>
        </r>
        <r>
          <rPr>
            <sz val="9"/>
            <color indexed="81"/>
            <rFont val="Tahoma"/>
            <family val="2"/>
          </rPr>
          <t xml:space="preserve">A partir de Mayo 2025. se tomara el valor promedio de los precios recogidos del primer lunes de cada semana del mes.
O en su defecto, utilizar los precios mensuales que saca DatosAlfa del MCBA
</t>
        </r>
        <r>
          <rPr>
            <u/>
            <sz val="9"/>
            <color indexed="32"/>
            <rFont val="Tahoma"/>
            <family val="2"/>
          </rPr>
          <t xml:space="preserve">https://x.com/DatosAlfa
</t>
        </r>
      </text>
    </comment>
    <comment ref="B4" authorId="0" shapeId="0" xr:uid="{D52CF7A1-CB4E-47E8-9069-491146112782}">
      <text>
        <r>
          <rPr>
            <b/>
            <sz val="9"/>
            <color indexed="81"/>
            <rFont val="Tahoma"/>
            <family val="2"/>
          </rPr>
          <t>Catedra Avicola sube informes semanales de precios de huevos y carne de pollo 
Tambien si te suscribis a la newsletter, te envian mails diarios de los precios 
Actualizar el "precio pollo" con esos valores y asi onbtener el precio promedio mensuales</t>
        </r>
      </text>
    </comment>
    <comment ref="B5" authorId="0" shapeId="0" xr:uid="{0ECF8B23-1DC4-45A1-A170-7DC8FF763C29}">
      <text>
        <r>
          <rPr>
            <b/>
            <u/>
            <sz val="9"/>
            <color indexed="81"/>
            <rFont val="Tahoma"/>
            <family val="2"/>
          </rPr>
          <t>Guia para actualizar los datos de comercio exterior</t>
        </r>
        <r>
          <rPr>
            <b/>
            <sz val="9"/>
            <color indexed="81"/>
            <rFont val="Tahoma"/>
            <family val="2"/>
          </rPr>
          <t xml:space="preserve">
1. Descarga de datos
</t>
        </r>
        <r>
          <rPr>
            <sz val="9"/>
            <color indexed="81"/>
            <rFont val="Tahoma"/>
            <family val="2"/>
          </rPr>
          <t>- Ingresa al sitio del INDEC → Comercio exterior. (ahí deje el link)</t>
        </r>
        <r>
          <rPr>
            <b/>
            <sz val="9"/>
            <color indexed="81"/>
            <rFont val="Tahoma"/>
            <family val="2"/>
          </rPr>
          <t xml:space="preserve">
- </t>
        </r>
        <r>
          <rPr>
            <sz val="9"/>
            <color indexed="81"/>
            <rFont val="Tahoma"/>
            <family val="2"/>
          </rPr>
          <t xml:space="preserve">Descarga las carpetas de Expo e Impo: y en cada carpeta abril el excel de “exponm25” (exportaciones) y “impom25” (importaciones).
</t>
        </r>
        <r>
          <rPr>
            <b/>
            <sz val="9"/>
            <color indexed="81"/>
            <rFont val="Tahoma"/>
            <family val="2"/>
          </rPr>
          <t xml:space="preserve">2. Pasar datos al libro "CONI_comercio_exterior"
- </t>
        </r>
        <r>
          <rPr>
            <sz val="9"/>
            <color indexed="81"/>
            <rFont val="Tahoma"/>
            <family val="2"/>
          </rPr>
          <t xml:space="preserve">Abri cada Excel y selecciona las filas de informacion mes que necesitas (Filas: año, mes, NCM, Pnet(kg) y FOB(USD))
- Pega esos datos en las hojas del libro </t>
        </r>
        <r>
          <rPr>
            <b/>
            <sz val="9"/>
            <color indexed="81"/>
            <rFont val="Tahoma"/>
            <family val="2"/>
          </rPr>
          <t>“CONI_comercio_exterior”:</t>
        </r>
        <r>
          <rPr>
            <sz val="9"/>
            <color indexed="81"/>
            <rFont val="Tahoma"/>
            <family val="2"/>
          </rPr>
          <t xml:space="preserve">
   - Exportaciones: hoja "</t>
        </r>
        <r>
          <rPr>
            <b/>
            <sz val="9"/>
            <color indexed="81"/>
            <rFont val="Tahoma"/>
            <family val="2"/>
          </rPr>
          <t>exponm25"</t>
        </r>
        <r>
          <rPr>
            <sz val="9"/>
            <color indexed="81"/>
            <rFont val="Tahoma"/>
            <family val="2"/>
          </rPr>
          <t xml:space="preserve">
   - Importaciones: hoja "</t>
        </r>
        <r>
          <rPr>
            <b/>
            <sz val="9"/>
            <color indexed="81"/>
            <rFont val="Tahoma"/>
            <family val="2"/>
          </rPr>
          <t xml:space="preserve">impom25"
3. Reemplazo del secreto estadístico
</t>
        </r>
        <r>
          <rPr>
            <sz val="9"/>
            <color indexed="81"/>
            <rFont val="Tahoma"/>
            <family val="2"/>
          </rPr>
          <t xml:space="preserve">- En el excel </t>
        </r>
        <r>
          <rPr>
            <b/>
            <sz val="9"/>
            <color indexed="81"/>
            <rFont val="Tahoma"/>
            <family val="2"/>
          </rPr>
          <t xml:space="preserve">"CONI_comercio_exterior” </t>
        </r>
        <r>
          <rPr>
            <sz val="9"/>
            <color indexed="81"/>
            <rFont val="Tahoma"/>
            <family val="2"/>
          </rPr>
          <t xml:space="preserve">ir a la hoja </t>
        </r>
        <r>
          <rPr>
            <b/>
            <sz val="9"/>
            <color indexed="81"/>
            <rFont val="Tahoma"/>
            <family val="2"/>
          </rPr>
          <t xml:space="preserve">"secreto estadistico" </t>
        </r>
        <r>
          <rPr>
            <sz val="9"/>
            <color indexed="81"/>
            <rFont val="Tahoma"/>
            <family val="2"/>
          </rPr>
          <t>y ahi tenes una tabla que le asigna un valor a cada categoria de secreto estadistico.
-  En cada hoja (</t>
        </r>
        <r>
          <rPr>
            <b/>
            <sz val="9"/>
            <color indexed="81"/>
            <rFont val="Tahoma"/>
            <family val="2"/>
          </rPr>
          <t>"exponm25</t>
        </r>
        <r>
          <rPr>
            <sz val="9"/>
            <color indexed="81"/>
            <rFont val="Tahoma"/>
            <family val="2"/>
          </rPr>
          <t xml:space="preserve">" y </t>
        </r>
        <r>
          <rPr>
            <b/>
            <sz val="9"/>
            <color indexed="81"/>
            <rFont val="Tahoma"/>
            <family val="2"/>
          </rPr>
          <t>"impom25"</t>
        </r>
        <r>
          <rPr>
            <sz val="9"/>
            <color indexed="81"/>
            <rFont val="Tahoma"/>
            <family val="2"/>
          </rPr>
          <t xml:space="preserve">):
   - Ir a Inicio → Buscar y seleccionar → Reemplazar.
      Escribe el código (p. ej. s1) en «Buscar».
      Escribe su valor (p. ej. 2500) en «Reemplazar con».
      Haz clic en Reemplazar todos.
Repetir lo mismo para todos los codigos en cada hoja.
</t>
        </r>
        <r>
          <rPr>
            <b/>
            <sz val="9"/>
            <color indexed="81"/>
            <rFont val="Tahoma"/>
            <family val="2"/>
          </rPr>
          <t xml:space="preserve">4. Actualizar las hojas automáticas
- </t>
        </r>
        <r>
          <rPr>
            <sz val="9"/>
            <color indexed="81"/>
            <rFont val="Tahoma"/>
            <family val="2"/>
          </rPr>
          <t xml:space="preserve">En el mismo libro </t>
        </r>
        <r>
          <rPr>
            <b/>
            <sz val="9"/>
            <color indexed="81"/>
            <rFont val="Tahoma"/>
            <family val="2"/>
          </rPr>
          <t>"CONI_comercio_exterior"</t>
        </r>
        <r>
          <rPr>
            <sz val="9"/>
            <color indexed="81"/>
            <rFont val="Tahoma"/>
            <family val="2"/>
          </rPr>
          <t xml:space="preserve"> abrir las hojas </t>
        </r>
        <r>
          <rPr>
            <b/>
            <sz val="9"/>
            <color indexed="81"/>
            <rFont val="Tahoma"/>
            <family val="2"/>
          </rPr>
          <t xml:space="preserve">"dat_expo" </t>
        </r>
        <r>
          <rPr>
            <sz val="9"/>
            <color indexed="81"/>
            <rFont val="Tahoma"/>
            <family val="2"/>
          </rPr>
          <t xml:space="preserve">y </t>
        </r>
        <r>
          <rPr>
            <b/>
            <sz val="9"/>
            <color indexed="81"/>
            <rFont val="Tahoma"/>
            <family val="2"/>
          </rPr>
          <t xml:space="preserve">"dat_impo"
</t>
        </r>
        <r>
          <rPr>
            <sz val="9"/>
            <color indexed="81"/>
            <rFont val="Tahoma"/>
            <family val="2"/>
          </rPr>
          <t xml:space="preserve">- Selecciona las fórmulas y arrástralas hacia la derecha hasta cubrir el nuevo mes (las hojas ya están vinculadas).
- En la hoja </t>
        </r>
        <r>
          <rPr>
            <b/>
            <sz val="9"/>
            <color indexed="81"/>
            <rFont val="Tahoma"/>
            <family val="2"/>
          </rPr>
          <t xml:space="preserve">"comercio_t" </t>
        </r>
        <r>
          <rPr>
            <sz val="9"/>
            <color indexed="81"/>
            <rFont val="Tahoma"/>
            <family val="2"/>
          </rPr>
          <t xml:space="preserve">en el mismo excel de </t>
        </r>
        <r>
          <rPr>
            <b/>
            <sz val="9"/>
            <color indexed="81"/>
            <rFont val="Tahoma"/>
            <family val="2"/>
          </rPr>
          <t xml:space="preserve">"CONI_comercio_exterior", </t>
        </r>
        <r>
          <rPr>
            <sz val="9"/>
            <color indexed="81"/>
            <rFont val="Tahoma"/>
            <family val="2"/>
          </rPr>
          <t xml:space="preserve">arrastra las fórmulas hacia abajo de la misma forma; se completará automáticamente.
</t>
        </r>
        <r>
          <rPr>
            <b/>
            <sz val="9"/>
            <color indexed="81"/>
            <rFont val="Tahoma"/>
            <family val="2"/>
          </rPr>
          <t xml:space="preserve">6. Pasar datos al excel del Semaforo
- </t>
        </r>
        <r>
          <rPr>
            <sz val="9"/>
            <color indexed="81"/>
            <rFont val="Tahoma"/>
            <family val="2"/>
          </rPr>
          <t xml:space="preserve">Copia los totales de exportaciones e importaciones de cada categoria recién calculados de la hoja de </t>
        </r>
        <r>
          <rPr>
            <b/>
            <sz val="9"/>
            <color indexed="81"/>
            <rFont val="Tahoma"/>
            <family val="2"/>
          </rPr>
          <t>"comercio_t"</t>
        </r>
        <r>
          <rPr>
            <sz val="9"/>
            <color indexed="81"/>
            <rFont val="Tahoma"/>
            <family val="2"/>
          </rPr>
          <t xml:space="preserve">
- Pégalos en el archivo </t>
        </r>
        <r>
          <rPr>
            <b/>
            <sz val="9"/>
            <color indexed="81"/>
            <rFont val="Tahoma"/>
            <family val="2"/>
          </rPr>
          <t>“CONI_tablero_indicadores_v14”</t>
        </r>
        <r>
          <rPr>
            <sz val="9"/>
            <color indexed="81"/>
            <rFont val="Tahoma"/>
            <family val="2"/>
          </rPr>
          <t xml:space="preserve"> (Excel del semáforo) en la parte de exportaciones e importaciones.</t>
        </r>
      </text>
    </comment>
    <comment ref="D12" authorId="0" shapeId="0" xr:uid="{AACB4F23-2A32-4227-AD4D-EEC40259E491}">
      <text>
        <r>
          <rPr>
            <b/>
            <sz val="9"/>
            <color indexed="81"/>
            <rFont val="Tahoma"/>
            <family val="2"/>
          </rPr>
          <t>Revista Margenes Agropecuarios
Cuadro: Precios de productos e insumos en dolares. - Pag. 56 PDF (aprox)</t>
        </r>
      </text>
    </comment>
    <comment ref="D13" authorId="0" shapeId="0" xr:uid="{979F1E05-0BFE-4370-80C2-680837A3C258}">
      <text>
        <r>
          <rPr>
            <b/>
            <sz val="9"/>
            <color indexed="81"/>
            <rFont val="Tahoma"/>
            <family val="2"/>
          </rPr>
          <t>Resvista Margenes Agroprecuarios
Cuadro: Base de presupuestacion: semillas y agroquimicos. - Pag.46 (aprox)</t>
        </r>
      </text>
    </comment>
    <comment ref="D14" authorId="0" shapeId="0" xr:uid="{D32B5106-D38E-4439-A39D-B628CF4889B1}">
      <text>
        <r>
          <rPr>
            <b/>
            <sz val="9"/>
            <color indexed="81"/>
            <rFont val="Tahoma"/>
            <family val="2"/>
          </rPr>
          <t>Resvista Margenes Agroprecuarios
Cuadro: Base de presupuestacion: semillas y agroquimicos. - Pag.46 (aprox)</t>
        </r>
      </text>
    </comment>
    <comment ref="D15" authorId="0" shapeId="0" xr:uid="{6853C367-4D0C-4414-A481-67B6E78496C9}">
      <text>
        <r>
          <rPr>
            <b/>
            <sz val="9"/>
            <color indexed="81"/>
            <rFont val="Tahoma"/>
            <family val="2"/>
          </rPr>
          <t>Revista Margenes Agropecuarios
Cuadro: Precios de productos e insumos en dolares. - Pag. 56 PDF (aprox)</t>
        </r>
      </text>
    </comment>
    <comment ref="B18" authorId="0" shapeId="0" xr:uid="{D8B9F112-C722-4930-BB7A-210B8BC4F84F}">
      <text>
        <r>
          <rPr>
            <b/>
            <sz val="9"/>
            <color indexed="81"/>
            <rFont val="Tahoma"/>
            <family val="2"/>
          </rPr>
          <t>En su defecto, la camara algodonera envia un mail con los precios de referencia semanales</t>
        </r>
      </text>
    </comment>
    <comment ref="D21" authorId="0" shapeId="0" xr:uid="{599260A6-1021-4386-998A-D66E7DCF59F5}">
      <text>
        <r>
          <rPr>
            <b/>
            <sz val="9"/>
            <color indexed="81"/>
            <rFont val="Tahoma"/>
            <family val="2"/>
          </rPr>
          <t>Bolsa de Cereales de Bahia Blanca
Cotizaciones Historicas -&gt; Precios camara mensual</t>
        </r>
      </text>
    </comment>
    <comment ref="D23" authorId="0" shapeId="0" xr:uid="{F2F14649-7D77-4C8E-822F-07BBDFD64AD1}">
      <text>
        <r>
          <rPr>
            <b/>
            <sz val="9"/>
            <color indexed="81"/>
            <rFont val="Tahoma"/>
            <family val="2"/>
          </rPr>
          <t>MatbaRofex (A3 Mercados) - Evolución de precios negociados 
Mai Dólar MATba - posición ABRIL (ROS)</t>
        </r>
      </text>
    </comment>
    <comment ref="D24" authorId="0" shapeId="0" xr:uid="{FFC0D629-15D1-4A2F-81F0-332A96234449}">
      <text>
        <r>
          <rPr>
            <b/>
            <sz val="9"/>
            <color indexed="81"/>
            <rFont val="Tahoma"/>
            <family val="2"/>
          </rPr>
          <t>MatbaRofex (A3 Mercados) - Evolución de precios negociados 
Soj Dólar MATba - posición MAYO (ROS)</t>
        </r>
      </text>
    </comment>
    <comment ref="D26" authorId="0" shapeId="0" xr:uid="{C38D4079-15FB-46DC-BBFD-EE4E610F9BAC}">
      <text>
        <r>
          <rPr>
            <b/>
            <sz val="9"/>
            <color indexed="81"/>
            <rFont val="Tahoma"/>
            <family val="2"/>
          </rPr>
          <t>MatbaRofex (A3 Mercados) - Evolución de precios negociados 
Tri Dólar MATba - posición - ENERO (ROS)</t>
        </r>
      </text>
    </comment>
    <comment ref="A27" authorId="0" shapeId="0" xr:uid="{BBCBFF44-DC60-4F49-BFA9-4124383EB14F}">
      <text>
        <r>
          <rPr>
            <b/>
            <sz val="9"/>
            <color indexed="81"/>
            <rFont val="Tahoma"/>
            <family val="2"/>
          </rPr>
          <t>CHEQUEAR FUENTE E INFFO
COTAGRO PUBLICA COTIZACIONES TAMB</t>
        </r>
      </text>
    </comment>
    <comment ref="D28" authorId="0" shapeId="0" xr:uid="{1C5BEF09-1346-49E7-A61F-16679A24840E}">
      <text>
        <r>
          <rPr>
            <b/>
            <sz val="9"/>
            <color indexed="81"/>
            <rFont val="Tahoma"/>
            <family val="2"/>
          </rPr>
          <t>Dato lo pasa Denis Blocher con el ok de Orlando</t>
        </r>
      </text>
    </comment>
    <comment ref="D29" authorId="0" shapeId="0" xr:uid="{3FC38313-0C86-4C6B-ADBC-EEAFD8E47037}">
      <text>
        <r>
          <rPr>
            <b/>
            <sz val="9"/>
            <color indexed="81"/>
            <rFont val="Tahoma"/>
            <family val="2"/>
          </rPr>
          <t>Dato lo pasa Denis Blocher con el ok de Orlando</t>
        </r>
      </text>
    </comment>
    <comment ref="D30" authorId="0" shapeId="0" xr:uid="{8788396E-E803-4C87-9121-D48236DABFEC}">
      <text>
        <r>
          <rPr>
            <b/>
            <sz val="9"/>
            <color indexed="81"/>
            <rFont val="Tahoma"/>
            <family val="2"/>
          </rPr>
          <t>Bolsa de Comercio de Mendoza - Comunicado vinoo y mosto (Mensual)</t>
        </r>
      </text>
    </comment>
    <comment ref="D55" authorId="0" shapeId="0" xr:uid="{1F438376-DD2B-43CE-9CA9-4126AC0178F3}">
      <text>
        <r>
          <rPr>
            <b/>
            <sz val="9"/>
            <color indexed="81"/>
            <rFont val="Tahoma"/>
            <family val="2"/>
          </rPr>
          <t xml:space="preserve">Ver cuadro de cotizaciones o en su defecto leer los informes semanales de precios 
https://www.catedraavicola.com.ar/category/analisis-precios/
</t>
        </r>
      </text>
    </comment>
    <comment ref="D61" authorId="0" shapeId="0" xr:uid="{95114A47-D192-43B3-992B-C7A626B6E1BA}">
      <text>
        <r>
          <rPr>
            <b/>
            <sz val="9"/>
            <color indexed="81"/>
            <rFont val="Tahoma"/>
            <family val="2"/>
          </rPr>
          <t>comercializacion a granel e/ prod.
Precio promedio</t>
        </r>
      </text>
    </comment>
    <comment ref="D64" authorId="0" shapeId="0" xr:uid="{42A83ACB-3D87-4727-959C-E01BCC53FEB7}">
      <text>
        <r>
          <rPr>
            <b/>
            <sz val="9"/>
            <color indexed="81"/>
            <rFont val="Tahoma"/>
            <family val="2"/>
          </rPr>
          <t>Estimaciones Agricolas - Informes mensuales</t>
        </r>
      </text>
    </comment>
    <comment ref="D72" authorId="0" shapeId="0" xr:uid="{2F1E183E-C5AA-49FF-B602-A8DB35F2A78B}">
      <text>
        <r>
          <rPr>
            <b/>
            <sz val="9"/>
            <color indexed="81"/>
            <rFont val="Tahoma"/>
            <family val="2"/>
          </rPr>
          <t>Camara del Mani - Tablas de oferta y demanda</t>
        </r>
      </text>
    </comment>
    <comment ref="D74" authorId="0" shapeId="0" xr:uid="{AD01DA4F-700F-4CA0-A06A-0A269EC230A3}">
      <text>
        <r>
          <rPr>
            <b/>
            <sz val="9"/>
            <color indexed="81"/>
            <rFont val="Tahoma"/>
            <family val="2"/>
          </rPr>
          <t>Instituo Nacional de Vitivinicultura - SAGyP
Anuario Superficie</t>
        </r>
      </text>
    </comment>
    <comment ref="D78" authorId="0" shapeId="0" xr:uid="{4D1EE8F4-BFE7-43C6-85A6-D9984AFA202E}">
      <text>
        <r>
          <rPr>
            <b/>
            <sz val="9"/>
            <color indexed="81"/>
            <rFont val="Tahoma"/>
            <family val="2"/>
          </rPr>
          <t>Ingresar a Existencias de tambos bovinos
Sino OCLA
https://www.ocla.org.ar/buscar/reportes/unidades%20productivas%20y%20vacas/</t>
        </r>
      </text>
    </comment>
    <comment ref="B79" authorId="0" shapeId="0" xr:uid="{0F0FDFF8-9D0B-40E5-80C0-572FA75A0078}">
      <text>
        <r>
          <rPr>
            <b/>
            <sz val="9"/>
            <color indexed="81"/>
            <rFont val="Tahoma"/>
            <family val="2"/>
          </rPr>
          <t>CAMBIO METODOLOGICO
2023 para adelante se utiliza serie RENAVI - SAGYP</t>
        </r>
      </text>
    </comment>
    <comment ref="D83" authorId="0" shapeId="0" xr:uid="{338ED58C-0616-4F5A-82AD-F9F0E8A544EB}">
      <text>
        <r>
          <rPr>
            <b/>
            <sz val="9"/>
            <color indexed="81"/>
            <rFont val="Tahoma"/>
            <family val="2"/>
          </rPr>
          <t xml:space="preserve">FAOSTAT
Cultivos y productos de ganaderia
</t>
        </r>
      </text>
    </comment>
    <comment ref="D84" authorId="0" shapeId="0" xr:uid="{010E99E5-0873-46EB-B61D-44FE4A8B015F}">
      <text>
        <r>
          <rPr>
            <b/>
            <sz val="9"/>
            <color indexed="81"/>
            <rFont val="Tahoma"/>
            <family val="2"/>
          </rPr>
          <t xml:space="preserve">FAOSTAT
Cultivos y productos de ganaderia
</t>
        </r>
      </text>
    </comment>
    <comment ref="D85" authorId="0" shapeId="0" xr:uid="{B81177D2-61AE-40AE-A14B-CB5A9DD8BD95}">
      <text>
        <r>
          <rPr>
            <b/>
            <sz val="9"/>
            <color indexed="81"/>
            <rFont val="Tahoma"/>
            <family val="2"/>
          </rPr>
          <t xml:space="preserve">FAOSTAT
Cultivos y productos de ganaderia
</t>
        </r>
      </text>
    </comment>
    <comment ref="D86" authorId="0" shapeId="0" xr:uid="{BCDE70EB-4E40-4CF4-8584-AD9C50C0B0B8}">
      <text>
        <r>
          <rPr>
            <b/>
            <sz val="9"/>
            <color indexed="81"/>
            <rFont val="Tahoma"/>
            <family val="2"/>
          </rPr>
          <t xml:space="preserve">FAOSTAT
Cultivos y productos de ganaderia
</t>
        </r>
      </text>
    </comment>
    <comment ref="D91" authorId="0" shapeId="0" xr:uid="{DB3A0849-20AC-416D-B05F-4B23A9F3AF26}">
      <text>
        <r>
          <rPr>
            <b/>
            <sz val="9"/>
            <color indexed="81"/>
            <rFont val="Tahoma"/>
            <family val="2"/>
          </rPr>
          <t>SAGYP - Produccion Primaria
Datos periodo 2017-2024
Excel - area planada, cosechada, produccion y rendimiento</t>
        </r>
      </text>
    </comment>
    <comment ref="D94" authorId="0" shapeId="0" xr:uid="{2700B172-9B42-4B63-BBD0-9861728EC786}">
      <text>
        <r>
          <rPr>
            <b/>
            <sz val="9"/>
            <color indexed="81"/>
            <rFont val="Tahoma"/>
            <family val="2"/>
          </rPr>
          <t>Estimaciones Agricolas - Informes mensuales</t>
        </r>
      </text>
    </comment>
    <comment ref="D95" authorId="0" shapeId="0" xr:uid="{DD8015AD-35D7-4061-B422-AD42134126E0}">
      <text>
        <r>
          <rPr>
            <b/>
            <sz val="9"/>
            <color indexed="81"/>
            <rFont val="Tahoma"/>
            <family val="2"/>
          </rPr>
          <t>Estimaciones Agricolas - Informes mensuales</t>
        </r>
      </text>
    </comment>
    <comment ref="D102" authorId="0" shapeId="0" xr:uid="{B99FF318-CC05-4735-AB62-918998A36CDC}">
      <text>
        <r>
          <rPr>
            <b/>
            <sz val="9"/>
            <color indexed="81"/>
            <rFont val="Tahoma"/>
            <family val="2"/>
          </rPr>
          <t>Camara del Mani - Tablas de oferta y demanda</t>
        </r>
      </text>
    </comment>
    <comment ref="D103" authorId="0" shapeId="0" xr:uid="{046EF9CE-4A0C-4387-B23D-97C8ADCE0578}">
      <text>
        <r>
          <rPr>
            <b/>
            <sz val="9"/>
            <color indexed="81"/>
            <rFont val="Tahoma"/>
            <family val="2"/>
          </rPr>
          <t>Estadisticas del Sector Yerbatero - Informe Mensual
Cuadro 3. Ingreso de Hoja Verde - Historico</t>
        </r>
      </text>
    </comment>
    <comment ref="A112" authorId="0" shapeId="0" xr:uid="{A9512280-0277-43E3-BFF3-CD7913E13AE9}">
      <text>
        <r>
          <rPr>
            <b/>
            <sz val="9"/>
            <color indexed="81"/>
            <rFont val="Tahoma"/>
            <family val="2"/>
          </rPr>
          <t xml:space="preserve">La consultora integral Investigaciones Económicas Sectoriales (IES) tiene algunos datos pero son pagos xd
pero hay algunas notas de los diarios que comparten los daos del informe </t>
        </r>
      </text>
    </comment>
    <comment ref="D114" authorId="0" shapeId="0" xr:uid="{2FA07110-B6CB-443E-90DA-296308652AA0}">
      <text>
        <r>
          <rPr>
            <b/>
            <sz val="9"/>
            <color indexed="81"/>
            <rFont val="Tahoma"/>
            <family val="2"/>
          </rPr>
          <t>Federacion Lanera Argentina - Infomes mensuales / anuales
Ultimo cuadro "Exportaciones de lana: Balance (toneladas sucias)"</t>
        </r>
      </text>
    </comment>
    <comment ref="D116" authorId="0" shapeId="0" xr:uid="{900AE7A4-B285-4086-AAFA-020C9CDD5C82}">
      <text>
        <r>
          <rPr>
            <b/>
            <sz val="9"/>
            <color indexed="81"/>
            <rFont val="Tahoma"/>
            <family val="2"/>
          </rPr>
          <t xml:space="preserve">Mensuario Fruticola
Cuadro (pag. 2 aprox) - 
PERAS: Exportaciones, mercado interno e industrialización, de Río Negro y Neuquén,
</t>
        </r>
      </text>
    </comment>
    <comment ref="D117" authorId="0" shapeId="0" xr:uid="{9C0EBA2F-97AD-4C0A-AD07-9AFC8D92729E}">
      <text>
        <r>
          <rPr>
            <b/>
            <sz val="9"/>
            <color indexed="81"/>
            <rFont val="Tahoma"/>
            <family val="2"/>
          </rPr>
          <t>Mensuario Fruticola
Cuadro (pag. 4 aprox) - 
MANZANAS: Exportaciones, mercado interno e industrialización, de Río Negro y Neuquén</t>
        </r>
      </text>
    </comment>
    <comment ref="D118" authorId="0" shapeId="0" xr:uid="{4664261A-F0DC-49B3-9369-DEBBC8420BE1}">
      <text>
        <r>
          <rPr>
            <b/>
            <sz val="9"/>
            <color indexed="81"/>
            <rFont val="Tahoma"/>
            <family val="2"/>
          </rPr>
          <t>SAGYP - Produccion Primaria
Datos periodo 2017-2024
Excel - area planada, cosechada, produccion y rendimiento</t>
        </r>
      </text>
    </comment>
    <comment ref="D119" authorId="0" shapeId="0" xr:uid="{F30EE425-2F4A-4D12-B983-2A8E71EBD215}">
      <text>
        <r>
          <rPr>
            <b/>
            <sz val="9"/>
            <color indexed="81"/>
            <rFont val="Tahoma"/>
            <family val="2"/>
          </rPr>
          <t>SAGyP - Tablero de indicadores sectoriales 
O en su defecto en el informe de indicadores bovinos mensuale</t>
        </r>
      </text>
    </comment>
    <comment ref="D120" authorId="0" shapeId="0" xr:uid="{DDB222AA-4399-47C8-8B66-0C42C60B627A}">
      <text>
        <r>
          <rPr>
            <b/>
            <sz val="9"/>
            <color indexed="81"/>
            <rFont val="Tahoma"/>
            <family val="2"/>
          </rPr>
          <t>SAGyP - Boletin Porcino de faena y produccion ( Mensual)</t>
        </r>
      </text>
    </comment>
    <comment ref="D121" authorId="0" shapeId="0" xr:uid="{84DC516B-FA48-4206-AE1E-583E57EDF02E}">
      <text>
        <r>
          <rPr>
            <b/>
            <sz val="9"/>
            <color indexed="81"/>
            <rFont val="Tahoma"/>
            <family val="2"/>
          </rPr>
          <t xml:space="preserve">SAGyP - Indicadores Actuales de Oferta y Demanda </t>
        </r>
      </text>
    </comment>
    <comment ref="D122" authorId="0" shapeId="0" xr:uid="{ECA4D1D7-6741-44C8-9956-BF07342463A1}">
      <text>
        <r>
          <rPr>
            <b/>
            <sz val="9"/>
            <color indexed="81"/>
            <rFont val="Tahoma"/>
            <family val="2"/>
          </rPr>
          <t>SAGyP - Informe de produccion de huevo industrializado</t>
        </r>
      </text>
    </comment>
    <comment ref="D123" authorId="0" shapeId="0" xr:uid="{E040AB47-5904-4A0F-9349-124165E89E85}">
      <text>
        <r>
          <rPr>
            <b/>
            <sz val="9"/>
            <color indexed="81"/>
            <rFont val="Tahoma"/>
            <family val="2"/>
          </rPr>
          <t>SAGyP - Excel de produccion nacional (NUEVA SERIE 2015 - 2025)</t>
        </r>
      </text>
    </comment>
    <comment ref="D127" authorId="0" shapeId="0" xr:uid="{F79FB4F7-488B-4593-B287-A4B49D919524}">
      <text>
        <r>
          <rPr>
            <b/>
            <sz val="9"/>
            <color indexed="81"/>
            <rFont val="Tahoma"/>
            <family val="2"/>
          </rPr>
          <t>Estimaciones Agricolas - Informes mensuales
del cuadro "Balance Oferta y Demanda"</t>
        </r>
      </text>
    </comment>
    <comment ref="D128" authorId="0" shapeId="0" xr:uid="{54A87243-08F4-48F8-9483-FF57213C424F}">
      <text>
        <r>
          <rPr>
            <b/>
            <sz val="9"/>
            <color indexed="81"/>
            <rFont val="Tahoma"/>
            <family val="2"/>
          </rPr>
          <t>Estimaciones Agricolas - Informes mensuales
del cuadro "Balance Oferta y Demanda"</t>
        </r>
      </text>
    </comment>
    <comment ref="D129" authorId="0" shapeId="0" xr:uid="{E140DDAE-6450-40B5-8084-728492AA7312}">
      <text>
        <r>
          <rPr>
            <b/>
            <sz val="9"/>
            <color indexed="81"/>
            <rFont val="Tahoma"/>
            <family val="2"/>
          </rPr>
          <t>Estimaciones Agricolas - Informes mensuales
del cuadro "Balance Oferta y Demanda"</t>
        </r>
      </text>
    </comment>
    <comment ref="D130" authorId="0" shapeId="0" xr:uid="{6499EB30-2651-408B-9FBA-419146AA3C05}">
      <text>
        <r>
          <rPr>
            <b/>
            <sz val="9"/>
            <color indexed="81"/>
            <rFont val="Tahoma"/>
            <family val="2"/>
          </rPr>
          <t>Estimaciones Agricolas - Informes mensuales
del cuadro "Balance Oferta y Demanda"</t>
        </r>
      </text>
    </comment>
    <comment ref="D131" authorId="0" shapeId="0" xr:uid="{F4AA5C1A-45B2-4C90-B3CB-B7A59C53957C}">
      <text>
        <r>
          <rPr>
            <b/>
            <sz val="9"/>
            <color indexed="81"/>
            <rFont val="Tahoma"/>
            <family val="2"/>
          </rPr>
          <t>Estimaciones Agricolas - Informes mensuales
del cuadro "Balance Oferta y Demanda"</t>
        </r>
      </text>
    </comment>
    <comment ref="D132" authorId="0" shapeId="0" xr:uid="{B309266D-CDF3-45D8-ACE7-AA9697A09201}">
      <text>
        <r>
          <rPr>
            <b/>
            <sz val="9"/>
            <color indexed="81"/>
            <rFont val="Tahoma"/>
            <family val="2"/>
          </rPr>
          <t>Estimaciones Agricolas - Informes mensuales
del cuadro "Balance Oferta y Demanda"</t>
        </r>
      </text>
    </comment>
    <comment ref="D133" authorId="0" shapeId="0" xr:uid="{414025EB-A2CA-4D8A-A6CE-8AB944A882A7}">
      <text>
        <r>
          <rPr>
            <b/>
            <sz val="9"/>
            <color indexed="81"/>
            <rFont val="Tahoma"/>
            <family val="2"/>
          </rPr>
          <t>Estimaciones Agricolas - Informes mensuales
del cuadro "Balance Oferta y Demanda"</t>
        </r>
      </text>
    </comment>
    <comment ref="D134" authorId="0" shapeId="0" xr:uid="{D4D0A7FB-EE3E-4F74-ACD2-91485FA6A0A2}">
      <text>
        <r>
          <rPr>
            <b/>
            <sz val="9"/>
            <color indexed="81"/>
            <rFont val="Tahoma"/>
            <family val="2"/>
          </rPr>
          <t>Camara del Mani - Tablas de oferta y demanda
Estimacion poblacion Argentina 
al 1 de julio de 2024 (INDEC) - 47,07 millones
al 1 de julio 2025 (INDEC) - 46,4 millones</t>
        </r>
      </text>
    </comment>
    <comment ref="D135" authorId="0" shapeId="0" xr:uid="{CED772D5-1FD3-4428-8069-BD72C33D93E4}">
      <text>
        <r>
          <rPr>
            <b/>
            <sz val="9"/>
            <color indexed="81"/>
            <rFont val="Tahoma"/>
            <family val="2"/>
          </rPr>
          <t>Tablero de Indicadores - Tableros de Aves (Mensual)</t>
        </r>
      </text>
    </comment>
    <comment ref="D136" authorId="0" shapeId="0" xr:uid="{B3721281-B039-448D-8A26-C6C39CE38FA3}">
      <text>
        <r>
          <rPr>
            <b/>
            <sz val="9"/>
            <color indexed="81"/>
            <rFont val="Tahoma"/>
            <family val="2"/>
          </rPr>
          <t>Tablero de indicadores sectoriales -(Mensual)</t>
        </r>
      </text>
    </comment>
    <comment ref="D137" authorId="0" shapeId="0" xr:uid="{B731DB11-DFCE-45C9-B24A-C77054D2D791}">
      <text>
        <r>
          <rPr>
            <b/>
            <sz val="9"/>
            <color indexed="81"/>
            <rFont val="Tahoma"/>
            <family val="2"/>
          </rPr>
          <t>OCLA - Informes Balance Lacteo Mensual</t>
        </r>
      </text>
    </comment>
    <comment ref="D138" authorId="0" shapeId="0" xr:uid="{3F1CBB6B-E079-4780-9A61-47F11E0FF686}">
      <text>
        <r>
          <rPr>
            <b/>
            <sz val="9"/>
            <color indexed="81"/>
            <rFont val="Tahoma"/>
            <family val="2"/>
          </rPr>
          <t>Evolucion de indicadores mensuales - Excel o PDF</t>
        </r>
      </text>
    </comment>
    <comment ref="D139" authorId="0" shapeId="0" xr:uid="{AF13B818-0962-4E2A-B657-87E2859B85E9}">
      <text>
        <r>
          <rPr>
            <b/>
            <sz val="9"/>
            <color indexed="81"/>
            <rFont val="Tahoma"/>
            <family val="2"/>
          </rPr>
          <t>Estadisticas Mensuales del Sector Yerbatero Argentino 
Cuadro 5. Yerba Mate a Salida de Molino - Mercado Interno - Historico 
(aprox pag.4)
Estimacion poblacion Argentina 
al 1 de julio de 2024 (INDEC) - 47,07 millones
al 1 de julio 2025 (INDEC) - 46,4 millones</t>
        </r>
      </text>
    </comment>
    <comment ref="D140" authorId="0" shapeId="0" xr:uid="{A4BA38AE-1939-4FBA-9961-3D64926C717A}">
      <text>
        <r>
          <rPr>
            <b/>
            <sz val="9"/>
            <color indexed="81"/>
            <rFont val="Tahoma"/>
            <family val="2"/>
          </rPr>
          <t>Informes Mensuales - Consumo estimado per capita. Cuadro (pag. 12 aprox)
En el año en curso se toma el promedio mensual de lo que va del año y se lo multiplica por 12 (meses)</t>
        </r>
      </text>
    </comment>
    <comment ref="D146" authorId="0" shapeId="0" xr:uid="{1001AC78-AE54-4162-A648-82A8F3967B06}">
      <text>
        <r>
          <rPr>
            <b/>
            <sz val="9"/>
            <color indexed="81"/>
            <rFont val="Tahoma"/>
            <family val="2"/>
          </rPr>
          <t>Federacion Lanera Argentina - Infomes mensuales / anuales</t>
        </r>
      </text>
    </comment>
    <comment ref="D152" authorId="0" shapeId="0" xr:uid="{20FB5921-F309-4D0D-AE5D-260F990A1140}">
      <text>
        <r>
          <rPr>
            <b/>
            <sz val="9"/>
            <color indexed="81"/>
            <rFont val="Tahoma"/>
            <family val="2"/>
          </rPr>
          <t>DESCARGAR EXCEL "Indice de precios al consumidor. Precios promedios de un conjunto de elemeentos de la canasta del IPC, según regiones y para el GBA"
(Suele ser el utlimo excel previo al EXCEL de "metadatos")
Usar datos de la pestaña de GBA</t>
        </r>
      </text>
    </comment>
    <comment ref="D153" authorId="0" shapeId="0" xr:uid="{71FF1E91-239B-4800-9CD3-9AC1A3CC1E7F}">
      <text>
        <r>
          <rPr>
            <b/>
            <sz val="9"/>
            <color indexed="81"/>
            <rFont val="Tahoma"/>
            <family val="2"/>
          </rPr>
          <t>DESCARGAR EXCEL "Indice de precios al consumidor. Precios promedios de un conjunto de elemeentos de la canasta del IPC, según regiones y para el GBA"
(Suele ser el utlimo excel previo al EXCEL de "metadatos")
Usar datos de la pestaña de GBA</t>
        </r>
      </text>
    </comment>
    <comment ref="D156" authorId="0" shapeId="0" xr:uid="{0E6E1608-E672-40F0-9FDE-8A91650A46CD}">
      <text>
        <r>
          <rPr>
            <b/>
            <sz val="9"/>
            <color indexed="81"/>
            <rFont val="Tahoma"/>
            <family val="2"/>
          </rPr>
          <t>DESCARGAR EXCEL "Indice de precios al consumidor. Precios promedios de un conjunto de elemeentos de la canasta del IPC, según regiones y para el GBA"
(Suele ser el utlimo excel previo al EXCEL de "metadatos")
Usar datos de la pestaña de GBA</t>
        </r>
      </text>
    </comment>
    <comment ref="D157" authorId="0" shapeId="0" xr:uid="{B6BE793E-26BB-4B50-A59A-D410D684BEEE}">
      <text>
        <r>
          <rPr>
            <b/>
            <sz val="9"/>
            <color indexed="81"/>
            <rFont val="Tahoma"/>
            <family val="2"/>
          </rPr>
          <t>Buscar fruta/hortaliza y seleccionar la opcion para visualizar precios minoristas (ICONO CARRITO DE SUPER)</t>
        </r>
      </text>
    </comment>
    <comment ref="D158" authorId="0" shapeId="0" xr:uid="{3780D015-216C-47E1-A43F-E18AFA435458}">
      <text>
        <r>
          <rPr>
            <b/>
            <sz val="9"/>
            <color indexed="81"/>
            <rFont val="Tahoma"/>
            <family val="2"/>
          </rPr>
          <t>DESCARGAR EXCEL "Indice de precios al consumidor. Precios promedios de un conjunto de elemeentos de la canasta del IPC, según regiones y para el GBA"
(Suele ser el utlimo excel previo al EXCEL de "metadatos")
Usar datos de la pestaña de GBA</t>
        </r>
      </text>
    </comment>
    <comment ref="D159" authorId="0" shapeId="0" xr:uid="{96F2CE3B-FCFA-4BE4-BB93-74D3D5DABF1D}">
      <text>
        <r>
          <rPr>
            <b/>
            <sz val="9"/>
            <color indexed="81"/>
            <rFont val="Tahoma"/>
            <family val="2"/>
          </rPr>
          <t>DESCARGAR EXCEL "Indice de precios al consumidor. Precios promedios de un conjunto de elemeentos de la canasta del IPC, según regiones y para el GBA"
(Suele ser el utlimo excel previo al EXCEL de "metadatos")
Usar datos de la pestaña de GBA</t>
        </r>
      </text>
    </comment>
    <comment ref="D160" authorId="0" shapeId="0" xr:uid="{A8F4DF16-262D-4DC9-9EC5-168189BE0697}">
      <text>
        <r>
          <rPr>
            <b/>
            <sz val="9"/>
            <color indexed="81"/>
            <rFont val="Tahoma"/>
            <family val="2"/>
          </rPr>
          <t>Buscar fruta/hortaliza y seleccionar la opcion para visualizar precios minoristas (ICONO CARRITO DE SUPER)</t>
        </r>
      </text>
    </comment>
    <comment ref="D161" authorId="0" shapeId="0" xr:uid="{40962BFA-BCB1-41DF-8238-C5FCF68AA420}">
      <text>
        <r>
          <rPr>
            <b/>
            <sz val="9"/>
            <color indexed="81"/>
            <rFont val="Tahoma"/>
            <family val="2"/>
          </rPr>
          <t>DESCARGAR EXCEL "Indice de precios al consumidor. Precios promedios de un conjunto de elemeentos de la canasta del IPC, según regiones y para el GBA"
(Suele ser el utlimo excel previo al EXCEL de "metadatos")
Usar datos de la pestaña de GBA</t>
        </r>
      </text>
    </comment>
    <comment ref="D162" authorId="0" shapeId="0" xr:uid="{3DC0D3B4-DA4C-4CD2-9F15-D7D4EBCD77E6}">
      <text>
        <r>
          <rPr>
            <b/>
            <sz val="9"/>
            <color indexed="81"/>
            <rFont val="Tahoma"/>
            <family val="2"/>
          </rPr>
          <t>DESCARGAR EXCEL "Indice de precios al consumidor. Precios promedios de un conjunto de elemeentos de la canasta del IPC, según regiones y para el GBA"
(Suele ser el utlimo excel previo al EXCEL de "metadatos")
Usar datos de la pestaña de GBA</t>
        </r>
      </text>
    </comment>
    <comment ref="D163" authorId="0" shapeId="0" xr:uid="{737E8AFA-E218-4BE0-83CD-99F4671658ED}">
      <text>
        <r>
          <rPr>
            <b/>
            <sz val="9"/>
            <color indexed="81"/>
            <rFont val="Tahoma"/>
            <family val="2"/>
          </rPr>
          <t>Buscar fruta/hortaliza y seleccionar la opcion para visualizar precios minoristas (ICONO CARRITO DE SUPER)</t>
        </r>
      </text>
    </comment>
    <comment ref="D165" authorId="0" shapeId="0" xr:uid="{7458262F-3177-47F0-8B7F-C3360ABE8D3B}">
      <text>
        <r>
          <rPr>
            <b/>
            <sz val="9"/>
            <color indexed="81"/>
            <rFont val="Tahoma"/>
            <family val="2"/>
          </rPr>
          <t>DESCARGAR EXCEL "Indice de precios al consumidor. Precios promedios de un conjunto de elemeentos de la canasta del IPC, según regiones y para el GBA"
(Suele ser el utlimo excel previo al EXCEL de "metadatos")
Usar datos de la pestaña de GBA</t>
        </r>
      </text>
    </comment>
    <comment ref="D166" authorId="0" shapeId="0" xr:uid="{3419A19B-FC7E-4307-BFDC-DB1C78E71F61}">
      <text>
        <r>
          <rPr>
            <b/>
            <sz val="9"/>
            <color indexed="81"/>
            <rFont val="Tahoma"/>
            <family val="2"/>
          </rPr>
          <t>Buscar fruta/hortaliza y seleccionar la opcion para visualizar precios minoristas (ICONO CARRITO DE SUPER)</t>
        </r>
      </text>
    </comment>
    <comment ref="D167" authorId="0" shapeId="0" xr:uid="{2282996F-E5F6-4714-BE9B-4718AF1AB00E}">
      <text>
        <r>
          <rPr>
            <b/>
            <sz val="9"/>
            <color indexed="81"/>
            <rFont val="Tahoma"/>
            <family val="2"/>
          </rPr>
          <t>Buscar fruta/hortaliza y seleccionar la opcion para visualizar precios minoristas (ICONO CARRITO DE SUPER)</t>
        </r>
      </text>
    </comment>
    <comment ref="D168" authorId="0" shapeId="0" xr:uid="{87A2668D-9933-46D9-9709-60EA13E71EFA}">
      <text>
        <r>
          <rPr>
            <b/>
            <sz val="9"/>
            <color indexed="81"/>
            <rFont val="Tahoma"/>
            <family val="2"/>
          </rPr>
          <t>DESCARGAR EXCEL "Indice de precios al consumidor. Precios promedios de un conjunto de elemeentos de la canasta del IPC, según regiones y para el GBA"
(Suele ser el utlimo excel previo al EXCEL de "metadatos")
Usar datos de la pestaña de GBA</t>
        </r>
      </text>
    </comment>
    <comment ref="D171" authorId="0" shapeId="0" xr:uid="{7E4D4C58-8630-47A7-8956-891E661721B9}">
      <text>
        <r>
          <rPr>
            <b/>
            <sz val="9"/>
            <color indexed="81"/>
            <rFont val="Tahoma"/>
            <family val="2"/>
          </rPr>
          <t>DESCARGAR EXCEL "Indice de precios al consumidor. Precios promedios de un conjunto de elemeentos de la canasta del IPC, según regiones y para el GBA"
(Suele ser el utlimo excel previo al EXCEL de "metadatos")
Usar datos de la pestaña de GBA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Gaston Eleicegui</author>
    <author>Silvina Campos</author>
    <author>Naiara Fernandez Yarza</author>
    <author>Silvina CC</author>
    <author>Coni1</author>
    <author>Laura Zamanillo</author>
    <author>Enzo</author>
    <author>Campos Carles, Silvina /Coninagro</author>
    <author>Santilli, Enzo</author>
  </authors>
  <commentList>
    <comment ref="Q4" authorId="0" shapeId="0" xr:uid="{00000000-0006-0000-0000-000001000000}">
      <text>
        <r>
          <rPr>
            <b/>
            <sz val="9"/>
            <color indexed="81"/>
            <rFont val="Tahoma"/>
            <family val="2"/>
          </rPr>
          <t>Arroz, Descascarillado (arroz cargo o arroz pardo), Los demás. No parbolizado</t>
        </r>
      </text>
    </comment>
    <comment ref="AI4" authorId="0" shapeId="0" xr:uid="{00000000-0006-0000-0000-000002000000}">
      <text>
        <r>
          <rPr>
            <b/>
            <sz val="9"/>
            <color indexed="81"/>
            <rFont val="Tahoma"/>
            <family val="2"/>
          </rPr>
          <t>Promedio ponderado entre contado y financiado</t>
        </r>
      </text>
    </comment>
    <comment ref="AJ4" authorId="0" shapeId="0" xr:uid="{00000000-0006-0000-0000-000003000000}">
      <text>
        <r>
          <rPr>
            <b/>
            <sz val="9"/>
            <color indexed="81"/>
            <rFont val="Tahoma"/>
            <family val="2"/>
          </rPr>
          <t>Promedio ponderado entre contado y financiado</t>
        </r>
      </text>
    </comment>
    <comment ref="AK4" authorId="0" shapeId="0" xr:uid="{00000000-0006-0000-0000-000004000000}">
      <text>
        <r>
          <rPr>
            <b/>
            <sz val="9"/>
            <color indexed="81"/>
            <rFont val="Tahoma"/>
            <family val="2"/>
          </rPr>
          <t>Promedio ponderado entre contado y financiado</t>
        </r>
      </text>
    </comment>
    <comment ref="AL4" authorId="0" shapeId="0" xr:uid="{00000000-0006-0000-0000-000005000000}">
      <text>
        <r>
          <rPr>
            <b/>
            <sz val="9"/>
            <color indexed="81"/>
            <rFont val="Tahoma"/>
            <family val="2"/>
          </rPr>
          <t>Mosto Sulfitado.
Promedio ponderado entre contado y financiado</t>
        </r>
      </text>
    </comment>
    <comment ref="AN4" authorId="0" shapeId="0" xr:uid="{00000000-0006-0000-0000-000006000000}">
      <text>
        <r>
          <rPr>
            <b/>
            <sz val="9"/>
            <color indexed="81"/>
            <rFont val="Tahoma"/>
            <family val="2"/>
          </rPr>
          <t>Red Delicius</t>
        </r>
      </text>
    </comment>
    <comment ref="AO4" authorId="0" shapeId="0" xr:uid="{00000000-0006-0000-0000-000007000000}">
      <text>
        <r>
          <rPr>
            <b/>
            <sz val="9"/>
            <color indexed="81"/>
            <rFont val="Tahoma"/>
            <family val="2"/>
          </rPr>
          <t>Prom.Esp.</t>
        </r>
      </text>
    </comment>
    <comment ref="AQ4" authorId="0" shapeId="0" xr:uid="{00000000-0006-0000-0000-000008000000}">
      <text>
        <r>
          <rPr>
            <b/>
            <sz val="9"/>
            <color indexed="81"/>
            <rFont val="Tahoma"/>
            <family val="2"/>
          </rPr>
          <t>Prom.Esp.</t>
        </r>
      </text>
    </comment>
    <comment ref="AR4" authorId="0" shapeId="0" xr:uid="{00000000-0006-0000-0000-000009000000}">
      <text>
        <r>
          <rPr>
            <b/>
            <sz val="9"/>
            <color indexed="81"/>
            <rFont val="Tahoma"/>
            <family val="2"/>
          </rPr>
          <t>Prom.Esp.</t>
        </r>
      </text>
    </comment>
    <comment ref="AS4" authorId="0" shapeId="0" xr:uid="{00000000-0006-0000-0000-00000A000000}">
      <text>
        <r>
          <rPr>
            <b/>
            <sz val="9"/>
            <color indexed="81"/>
            <rFont val="Tahoma"/>
            <family val="2"/>
          </rPr>
          <t>Promedio especial</t>
        </r>
      </text>
    </comment>
    <comment ref="AT4" authorId="0" shapeId="0" xr:uid="{00000000-0006-0000-0000-00000B000000}">
      <text>
        <r>
          <rPr>
            <b/>
            <sz val="9"/>
            <color indexed="81"/>
            <rFont val="Tahoma"/>
            <family val="2"/>
          </rPr>
          <t>Prom.Esp.</t>
        </r>
      </text>
    </comment>
    <comment ref="AV4" authorId="0" shapeId="0" xr:uid="{00000000-0006-0000-0000-00000C000000}">
      <text>
        <r>
          <rPr>
            <b/>
            <sz val="9"/>
            <color indexed="81"/>
            <rFont val="Tahoma"/>
            <family val="2"/>
          </rPr>
          <t>Spunta</t>
        </r>
      </text>
    </comment>
    <comment ref="AW4" authorId="0" shapeId="0" xr:uid="{00000000-0006-0000-0000-00000D000000}">
      <text>
        <r>
          <rPr>
            <b/>
            <sz val="9"/>
            <color indexed="81"/>
            <rFont val="Tahoma"/>
            <family val="2"/>
          </rPr>
          <t>Prom.Esp.</t>
        </r>
      </text>
    </comment>
    <comment ref="AX4" authorId="0" shapeId="0" xr:uid="{00000000-0006-0000-0000-00000E000000}">
      <text>
        <r>
          <rPr>
            <b/>
            <sz val="9"/>
            <color indexed="81"/>
            <rFont val="Tahoma"/>
            <family val="2"/>
          </rPr>
          <t>Prom.Esp.</t>
        </r>
      </text>
    </comment>
    <comment ref="AY4" authorId="0" shapeId="0" xr:uid="{00000000-0006-0000-0000-00000F000000}">
      <text>
        <r>
          <rPr>
            <b/>
            <sz val="9"/>
            <color indexed="81"/>
            <rFont val="Tahoma"/>
            <family val="2"/>
          </rPr>
          <t>Prom.Esp.</t>
        </r>
      </text>
    </comment>
    <comment ref="AZ4" authorId="0" shapeId="0" xr:uid="{00000000-0006-0000-0000-000010000000}">
      <text>
        <r>
          <rPr>
            <b/>
            <sz val="9"/>
            <color indexed="81"/>
            <rFont val="Tahoma"/>
            <family val="2"/>
          </rPr>
          <t>Prom.Esp.</t>
        </r>
      </text>
    </comment>
    <comment ref="BA4" authorId="0" shapeId="0" xr:uid="{00000000-0006-0000-0000-000011000000}">
      <text>
        <r>
          <rPr>
            <b/>
            <sz val="9"/>
            <color indexed="81"/>
            <rFont val="Tahoma"/>
            <family val="2"/>
          </rPr>
          <t>Anquito</t>
        </r>
      </text>
    </comment>
    <comment ref="BC4" authorId="1" shapeId="0" xr:uid="{00000000-0006-0000-0000-000012000000}">
      <text>
        <r>
          <rPr>
            <b/>
            <sz val="9"/>
            <color indexed="81"/>
            <rFont val="Tahoma"/>
            <family val="2"/>
          </rPr>
          <t>Silvina Campos:</t>
        </r>
        <r>
          <rPr>
            <sz val="9"/>
            <color indexed="81"/>
            <rFont val="Tahoma"/>
            <family val="2"/>
          </rPr>
          <t xml:space="preserve">
puesto en industria
Zona el Dorado
</t>
        </r>
      </text>
    </comment>
    <comment ref="BD4" authorId="1" shapeId="0" xr:uid="{00000000-0006-0000-0000-000013000000}">
      <text>
        <r>
          <rPr>
            <b/>
            <sz val="9"/>
            <color indexed="81"/>
            <rFont val="Tahoma"/>
            <family val="2"/>
          </rPr>
          <t>Silvina Campos:</t>
        </r>
        <r>
          <rPr>
            <sz val="9"/>
            <color indexed="81"/>
            <rFont val="Tahoma"/>
            <family val="2"/>
          </rPr>
          <t xml:space="preserve">
Puesto sobre camión en monte
Norte de Corrientes</t>
        </r>
      </text>
    </comment>
    <comment ref="BE4" authorId="0" shapeId="0" xr:uid="{00000000-0006-0000-0000-000014000000}">
      <text>
        <r>
          <rPr>
            <sz val="9"/>
            <color indexed="81"/>
            <rFont val="Tahoma"/>
            <family val="2"/>
          </rPr>
          <t>Monte en pie, madera para aserradero</t>
        </r>
      </text>
    </comment>
    <comment ref="BI4" authorId="1" shapeId="0" xr:uid="{00000000-0006-0000-0000-000015000000}">
      <text>
        <r>
          <rPr>
            <b/>
            <sz val="9"/>
            <color indexed="81"/>
            <rFont val="Tahoma"/>
            <family val="2"/>
          </rPr>
          <t>Silvina Campos:</t>
        </r>
        <r>
          <rPr>
            <sz val="9"/>
            <color indexed="81"/>
            <rFont val="Tahoma"/>
            <family val="2"/>
          </rPr>
          <t xml:space="preserve">
Acum anual año calendario</t>
        </r>
      </text>
    </comment>
    <comment ref="DK4" authorId="2" shapeId="0" xr:uid="{00000000-0006-0000-0000-000016000000}">
      <text>
        <r>
          <rPr>
            <sz val="9"/>
            <color indexed="81"/>
            <rFont val="Tahoma"/>
            <family val="2"/>
          </rPr>
          <t xml:space="preserve">Agroindustria
Boletin Algodonero
https://www.agroindustria.gob.ar/sitio/areas/algodon/informes/
</t>
        </r>
      </text>
    </comment>
    <comment ref="DO4" authorId="2" shapeId="0" xr:uid="{00000000-0006-0000-0000-000017000000}">
      <text>
        <r>
          <rPr>
            <sz val="9"/>
            <color indexed="81"/>
            <rFont val="Tahoma"/>
            <family val="2"/>
          </rPr>
          <t xml:space="preserve">Fuente: BCBA (PAS)
se carga el último disponible de cada mes
www.bolsadecereales.com
</t>
        </r>
      </text>
    </comment>
    <comment ref="DQ4" authorId="2" shapeId="0" xr:uid="{00000000-0006-0000-0000-000018000000}">
      <text>
        <r>
          <rPr>
            <sz val="9"/>
            <color indexed="81"/>
            <rFont val="Tahoma"/>
            <family val="2"/>
          </rPr>
          <t xml:space="preserve">Fuente: BCBA (PAS)
se carga el último disponible de cada mes
www.bolsadecereales.com
</t>
        </r>
      </text>
    </comment>
    <comment ref="DS4" authorId="2" shapeId="0" xr:uid="{00000000-0006-0000-0000-000019000000}">
      <text>
        <r>
          <rPr>
            <sz val="9"/>
            <color indexed="81"/>
            <rFont val="Tahoma"/>
            <family val="2"/>
          </rPr>
          <t xml:space="preserve">Fuente: BCBA (PAS)
se carga el último disponible de cada mes
www.bolsadecereales.com
</t>
        </r>
      </text>
    </comment>
    <comment ref="DU4" authorId="2" shapeId="0" xr:uid="{00000000-0006-0000-0000-00001A000000}">
      <text>
        <r>
          <rPr>
            <sz val="9"/>
            <color indexed="81"/>
            <rFont val="Tahoma"/>
            <family val="2"/>
          </rPr>
          <t xml:space="preserve">Fuente: BCBA (PAS)
se carga el último disponible de cada mes
www.bolsadecereales.com
</t>
        </r>
      </text>
    </comment>
    <comment ref="DW4" authorId="2" shapeId="0" xr:uid="{00000000-0006-0000-0000-00001B000000}">
      <text>
        <r>
          <rPr>
            <sz val="9"/>
            <color indexed="81"/>
            <rFont val="Tahoma"/>
            <family val="2"/>
          </rPr>
          <t xml:space="preserve">Fuente: BCBA (PAS)
se carga el último disponible de cada mes
www.bolsadecereales.com
</t>
        </r>
      </text>
    </comment>
    <comment ref="EN4" authorId="0" shapeId="0" xr:uid="{00000000-0006-0000-0000-00001C000000}">
      <text>
        <r>
          <rPr>
            <sz val="9"/>
            <color indexed="81"/>
            <rFont val="Tahoma"/>
            <family val="2"/>
          </rPr>
          <t>https://www.argentina.gob.ar/senasa/mercados-y-estadisticas/estadisticas/animal-estadisticas/bovinos/bovinos-y-bubalinos-sector-primario</t>
        </r>
      </text>
    </comment>
    <comment ref="EP4" authorId="1" shapeId="0" xr:uid="{00000000-0006-0000-0000-00001D000000}">
      <text>
        <r>
          <rPr>
            <b/>
            <sz val="9"/>
            <color indexed="81"/>
            <rFont val="Tahoma"/>
            <family val="2"/>
          </rPr>
          <t>Silvina Campos:</t>
        </r>
        <r>
          <rPr>
            <sz val="9"/>
            <color indexed="81"/>
            <rFont val="Tahoma"/>
            <family val="2"/>
          </rPr>
          <t xml:space="preserve">
no es buena...</t>
        </r>
      </text>
    </comment>
    <comment ref="FL4" authorId="2" shapeId="0" xr:uid="{00000000-0006-0000-0000-00001E000000}">
      <text>
        <r>
          <rPr>
            <sz val="9"/>
            <color indexed="81"/>
            <rFont val="Tahoma"/>
            <family val="2"/>
          </rPr>
          <t xml:space="preserve">Fuente: BCBA (PAS)
se carga el último disponible de cada mes
www.bolsadecereales.com
</t>
        </r>
      </text>
    </comment>
    <comment ref="FN4" authorId="2" shapeId="0" xr:uid="{00000000-0006-0000-0000-00001F000000}">
      <text>
        <r>
          <rPr>
            <sz val="9"/>
            <color indexed="81"/>
            <rFont val="Tahoma"/>
            <family val="2"/>
          </rPr>
          <t xml:space="preserve">Fuente: BCBA (PAS)
se carga el último disponible de cada mes
www.bolsadecereales.com
</t>
        </r>
      </text>
    </comment>
    <comment ref="FP4" authorId="2" shapeId="0" xr:uid="{00000000-0006-0000-0000-000020000000}">
      <text>
        <r>
          <rPr>
            <sz val="9"/>
            <color indexed="81"/>
            <rFont val="Tahoma"/>
            <family val="2"/>
          </rPr>
          <t xml:space="preserve">Fuente: BCBA (PAS)
se carga el último disponible de cada mes
www.bolsadecereales.com
</t>
        </r>
      </text>
    </comment>
    <comment ref="FR4" authorId="2" shapeId="0" xr:uid="{00000000-0006-0000-0000-000021000000}">
      <text>
        <r>
          <rPr>
            <sz val="9"/>
            <color indexed="81"/>
            <rFont val="Tahoma"/>
            <family val="2"/>
          </rPr>
          <t xml:space="preserve">Fuente: BCBA (PAS)
se carga el último disponible de cada mes
www.bolsadecereales.com
</t>
        </r>
      </text>
    </comment>
    <comment ref="FY4" authorId="0" shapeId="0" xr:uid="{00000000-0006-0000-0000-000022000000}">
      <text>
        <r>
          <rPr>
            <sz val="9"/>
            <color indexed="81"/>
            <rFont val="Tahoma"/>
            <family val="2"/>
          </rPr>
          <t>https://www.inym.org.ar/operador/publicaciones/</t>
        </r>
      </text>
    </comment>
    <comment ref="HJ4" authorId="0" shapeId="0" xr:uid="{00000000-0006-0000-0000-000023000000}">
      <text>
        <r>
          <rPr>
            <sz val="9"/>
            <color indexed="81"/>
            <rFont val="Tahoma"/>
            <family val="2"/>
          </rPr>
          <t>http://www.capia.com.ar/tutorials-mainmenu-48/ver-revista-online</t>
        </r>
      </text>
    </comment>
    <comment ref="ER6" authorId="3" shapeId="0" xr:uid="{00000000-0006-0000-0000-000025000000}">
      <text>
        <r>
          <rPr>
            <b/>
            <sz val="9"/>
            <color indexed="81"/>
            <rFont val="Tahoma"/>
            <family val="2"/>
          </rPr>
          <t>Silvina CC:</t>
        </r>
        <r>
          <rPr>
            <sz val="9"/>
            <color indexed="81"/>
            <rFont val="Tahoma"/>
            <family val="2"/>
          </rPr>
          <t xml:space="preserve">
Mandarina+Naranja+ Pomelos
</t>
        </r>
      </text>
    </comment>
    <comment ref="FA6" authorId="0" shapeId="0" xr:uid="{00000000-0006-0000-0000-000026000000}">
      <text>
        <r>
          <rPr>
            <sz val="9"/>
            <color indexed="81"/>
            <rFont val="Tahoma"/>
            <family val="2"/>
          </rPr>
          <t>https://repositorio.inta.gob.ar/xmlui/bitstream/handle/20.500.12123/7906/INTA_CRBsAsSur_EEABalcarce_Sanchez_EE_Programa_Nacional_Frutales.pdf?sequence=1&amp;isAllowed=y</t>
        </r>
      </text>
    </comment>
    <comment ref="FB6" authorId="0" shapeId="0" xr:uid="{00000000-0006-0000-0000-000027000000}">
      <text>
        <r>
          <rPr>
            <sz val="9"/>
            <color indexed="81"/>
            <rFont val="Tahoma"/>
            <family val="2"/>
          </rPr>
          <t>https://repositorio.inta.gob.ar/xmlui/bitstream/handle/20.500.12123/7906/INTA_CRBsAsSur_EEABalcarce_Sanchez_EE_Programa_Nacional_Frutales.pdf?sequence=1&amp;isAllowed=y</t>
        </r>
      </text>
    </comment>
    <comment ref="GU6" authorId="3" shapeId="0" xr:uid="{00000000-0006-0000-0000-000028000000}">
      <text>
        <r>
          <rPr>
            <b/>
            <sz val="9"/>
            <color indexed="81"/>
            <rFont val="Tahoma"/>
            <family val="2"/>
          </rPr>
          <t>Silvina CC:</t>
        </r>
        <r>
          <rPr>
            <sz val="9"/>
            <color indexed="81"/>
            <rFont val="Tahoma"/>
            <family val="2"/>
          </rPr>
          <t xml:space="preserve">
Ojo que es solo pera en fresco. Quizá corregir más adelante sumando industria.</t>
        </r>
      </text>
    </comment>
    <comment ref="IJ6" authorId="1" shapeId="0" xr:uid="{00000000-0006-0000-0000-000029000000}">
      <text>
        <r>
          <rPr>
            <b/>
            <sz val="9"/>
            <color indexed="81"/>
            <rFont val="Tahoma"/>
            <family val="2"/>
          </rPr>
          <t>Silvina Campos:</t>
        </r>
        <r>
          <rPr>
            <sz val="9"/>
            <color indexed="81"/>
            <rFont val="Tahoma"/>
            <family val="2"/>
          </rPr>
          <t xml:space="preserve">
Mercado inteno, no molineda</t>
        </r>
      </text>
    </comment>
    <comment ref="GO10" authorId="1" shapeId="0" xr:uid="{00000000-0006-0000-0000-00002A000000}">
      <text>
        <r>
          <rPr>
            <b/>
            <sz val="9"/>
            <color indexed="81"/>
            <rFont val="Tahoma"/>
            <family val="2"/>
          </rPr>
          <t>Silvina Campos:</t>
        </r>
        <r>
          <rPr>
            <sz val="9"/>
            <color indexed="81"/>
            <rFont val="Tahoma"/>
            <family val="2"/>
          </rPr>
          <t xml:space="preserve">
Nota periodística
</t>
        </r>
      </text>
    </comment>
    <comment ref="GR10" authorId="1" shapeId="0" xr:uid="{00000000-0006-0000-0000-00002B000000}">
      <text>
        <r>
          <rPr>
            <b/>
            <sz val="9"/>
            <color indexed="81"/>
            <rFont val="Tahoma"/>
            <family val="2"/>
          </rPr>
          <t>Silvina Campos:</t>
        </r>
        <r>
          <rPr>
            <sz val="9"/>
            <color indexed="81"/>
            <rFont val="Tahoma"/>
            <family val="2"/>
          </rPr>
          <t xml:space="preserve">
FLA fuente
</t>
        </r>
      </text>
    </comment>
    <comment ref="EZ45" authorId="3" shapeId="0" xr:uid="{00000000-0006-0000-0000-00002C000000}">
      <text>
        <r>
          <rPr>
            <b/>
            <sz val="9"/>
            <color indexed="81"/>
            <rFont val="Tahoma"/>
            <family val="2"/>
          </rPr>
          <t>Silvina CC:</t>
        </r>
        <r>
          <rPr>
            <sz val="9"/>
            <color indexed="81"/>
            <rFont val="Tahoma"/>
            <family val="2"/>
          </rPr>
          <t xml:space="preserve">
2017-2018</t>
        </r>
      </text>
    </comment>
    <comment ref="BL46" authorId="0" shapeId="0" xr:uid="{00000000-0006-0000-0000-00002D000000}">
      <text>
        <r>
          <rPr>
            <b/>
            <sz val="9"/>
            <color indexed="81"/>
            <rFont val="Tahoma"/>
            <family val="2"/>
          </rPr>
          <t>No hubo Rosgan en Enero, puse el promedio entre enero y febrero</t>
        </r>
      </text>
    </comment>
    <comment ref="EQ46" authorId="3" shapeId="0" xr:uid="{00000000-0006-0000-0000-00002E000000}">
      <text>
        <r>
          <rPr>
            <b/>
            <sz val="9"/>
            <color indexed="81"/>
            <rFont val="Tahoma"/>
            <family val="2"/>
          </rPr>
          <t>Silvina CC:</t>
        </r>
        <r>
          <rPr>
            <sz val="9"/>
            <color indexed="81"/>
            <rFont val="Tahoma"/>
            <family val="2"/>
          </rPr>
          <t xml:space="preserve">
Renapa 2019
</t>
        </r>
      </text>
    </comment>
    <comment ref="IQ47" authorId="1" shapeId="0" xr:uid="{00000000-0006-0000-0000-000030000000}">
      <text>
        <r>
          <rPr>
            <b/>
            <sz val="9"/>
            <color indexed="81"/>
            <rFont val="Tahoma"/>
            <family val="2"/>
          </rPr>
          <t>Flaco:</t>
        </r>
        <r>
          <rPr>
            <sz val="9"/>
            <color indexed="81"/>
            <rFont val="Tahoma"/>
            <family val="2"/>
          </rPr>
          <t xml:space="preserve">
estimado mediante consumo estimado percápita acumulado al mes en curso. Informe Comercialización de Vinos Pag. 12</t>
        </r>
      </text>
    </comment>
    <comment ref="BR48" authorId="1" shapeId="0" xr:uid="{00000000-0006-0000-0000-000031000000}">
      <text>
        <r>
          <rPr>
            <b/>
            <sz val="9"/>
            <color indexed="81"/>
            <rFont val="Tahoma"/>
            <family val="2"/>
          </rPr>
          <t>Silvina Campos:</t>
        </r>
        <r>
          <rPr>
            <sz val="9"/>
            <color indexed="81"/>
            <rFont val="Tahoma"/>
            <family val="2"/>
          </rPr>
          <t xml:space="preserve">
semana del 25-03</t>
        </r>
      </text>
    </comment>
    <comment ref="IQ48" authorId="1" shapeId="0" xr:uid="{00000000-0006-0000-0000-000033000000}">
      <text>
        <r>
          <rPr>
            <b/>
            <sz val="9"/>
            <color indexed="81"/>
            <rFont val="Tahoma"/>
            <family val="2"/>
          </rPr>
          <t>Flaco:</t>
        </r>
        <r>
          <rPr>
            <sz val="9"/>
            <color indexed="81"/>
            <rFont val="Tahoma"/>
            <family val="2"/>
          </rPr>
          <t xml:space="preserve">
estimado mediante consumo estimado percápita acumulado al mes en curso. Informe Comercialización de Vinos Pag. 12</t>
        </r>
      </text>
    </comment>
    <comment ref="IY48" authorId="1" shapeId="0" xr:uid="{00000000-0006-0000-0000-000034000000}">
      <text>
        <r>
          <rPr>
            <b/>
            <sz val="9"/>
            <color indexed="81"/>
            <rFont val="Tahoma"/>
            <family val="2"/>
          </rPr>
          <t>Silvina Campos:</t>
        </r>
        <r>
          <rPr>
            <sz val="9"/>
            <color indexed="81"/>
            <rFont val="Tahoma"/>
            <family val="2"/>
          </rPr>
          <t xml:space="preserve">
nota de La Prensa</t>
        </r>
      </text>
    </comment>
    <comment ref="IZ48" authorId="1" shapeId="0" xr:uid="{00000000-0006-0000-0000-000035000000}">
      <text>
        <r>
          <rPr>
            <b/>
            <sz val="9"/>
            <color indexed="81"/>
            <rFont val="Tahoma"/>
            <family val="2"/>
          </rPr>
          <t>Silvina Campos:</t>
        </r>
        <r>
          <rPr>
            <sz val="9"/>
            <color indexed="81"/>
            <rFont val="Tahoma"/>
            <family val="2"/>
          </rPr>
          <t xml:space="preserve">
nota periodistica</t>
        </r>
      </text>
    </comment>
    <comment ref="IQ49" authorId="1" shapeId="0" xr:uid="{00000000-0006-0000-0000-000036000000}">
      <text>
        <r>
          <rPr>
            <b/>
            <sz val="9"/>
            <color indexed="81"/>
            <rFont val="Tahoma"/>
            <family val="2"/>
          </rPr>
          <t>Flaco:</t>
        </r>
        <r>
          <rPr>
            <sz val="9"/>
            <color indexed="81"/>
            <rFont val="Tahoma"/>
            <family val="2"/>
          </rPr>
          <t xml:space="preserve">
estimado mediante consumo estimado percápita acumulado al mes en curso. Informe Comercialización de Vinos Pag. 12</t>
        </r>
      </text>
    </comment>
    <comment ref="BI50" authorId="0" shapeId="0" xr:uid="{00000000-0006-0000-0000-000037000000}">
      <text>
        <r>
          <rPr>
            <b/>
            <sz val="9"/>
            <color indexed="81"/>
            <rFont val="Tahoma"/>
            <family val="2"/>
          </rPr>
          <t>Gaston Eleicegui:</t>
        </r>
        <r>
          <rPr>
            <sz val="9"/>
            <color indexed="81"/>
            <rFont val="Tahoma"/>
            <family val="2"/>
          </rPr>
          <t xml:space="preserve">
Res 115-2019</t>
        </r>
      </text>
    </comment>
    <comment ref="IQ50" authorId="1" shapeId="0" xr:uid="{00000000-0006-0000-0000-000038000000}">
      <text>
        <r>
          <rPr>
            <b/>
            <sz val="9"/>
            <color indexed="81"/>
            <rFont val="Tahoma"/>
            <family val="2"/>
          </rPr>
          <t>Flaco:</t>
        </r>
        <r>
          <rPr>
            <sz val="9"/>
            <color indexed="81"/>
            <rFont val="Tahoma"/>
            <family val="2"/>
          </rPr>
          <t xml:space="preserve">
estimado mediante consumo estimado percápita acumulado al mes en curso. Informe Comercialización de Vinos Pag. 12</t>
        </r>
      </text>
    </comment>
    <comment ref="IQ51" authorId="1" shapeId="0" xr:uid="{00000000-0006-0000-0000-000039000000}">
      <text>
        <r>
          <rPr>
            <b/>
            <sz val="9"/>
            <color indexed="81"/>
            <rFont val="Tahoma"/>
            <family val="2"/>
          </rPr>
          <t>Flaco:</t>
        </r>
        <r>
          <rPr>
            <sz val="9"/>
            <color indexed="81"/>
            <rFont val="Tahoma"/>
            <family val="2"/>
          </rPr>
          <t xml:space="preserve">
estimado mediante consumo estimado percápita acumulado al mes en curso. Informe Comercialización de Vinos Pag. 12</t>
        </r>
      </text>
    </comment>
    <comment ref="BR52" authorId="0" shapeId="0" xr:uid="{00000000-0006-0000-0000-00003A000000}">
      <text>
        <r>
          <rPr>
            <b/>
            <sz val="9"/>
            <color indexed="81"/>
            <rFont val="Tahoma"/>
            <family val="2"/>
          </rPr>
          <t>Gaston Eleicegui:</t>
        </r>
        <r>
          <rPr>
            <sz val="9"/>
            <color indexed="81"/>
            <rFont val="Tahoma"/>
            <family val="2"/>
          </rPr>
          <t xml:space="preserve">
semana del 15/07</t>
        </r>
      </text>
    </comment>
    <comment ref="IQ52" authorId="1" shapeId="0" xr:uid="{00000000-0006-0000-0000-00003B000000}">
      <text>
        <r>
          <rPr>
            <b/>
            <sz val="9"/>
            <color indexed="81"/>
            <rFont val="Tahoma"/>
            <family val="2"/>
          </rPr>
          <t>Flaco:</t>
        </r>
        <r>
          <rPr>
            <sz val="9"/>
            <color indexed="81"/>
            <rFont val="Tahoma"/>
            <family val="2"/>
          </rPr>
          <t xml:space="preserve">
estimado mediante consumo estimado percápita acumulado al mes en curso. Informe Comercialización de Vinos Pag. 12</t>
        </r>
      </text>
    </comment>
    <comment ref="IQ53" authorId="1" shapeId="0" xr:uid="{00000000-0006-0000-0000-00003C000000}">
      <text>
        <r>
          <rPr>
            <b/>
            <sz val="9"/>
            <color indexed="81"/>
            <rFont val="Tahoma"/>
            <family val="2"/>
          </rPr>
          <t>Flaco:</t>
        </r>
        <r>
          <rPr>
            <sz val="9"/>
            <color indexed="81"/>
            <rFont val="Tahoma"/>
            <family val="2"/>
          </rPr>
          <t xml:space="preserve">
estimado mediante consumo estimado percápita acumulado al mes en curso. Informe Comercialización de Vinos Pag. 12</t>
        </r>
      </text>
    </comment>
    <comment ref="S58" authorId="0" shapeId="0" xr:uid="{00000000-0006-0000-0000-00003F000000}">
      <text>
        <r>
          <rPr>
            <b/>
            <sz val="9"/>
            <color indexed="81"/>
            <rFont val="Tahoma"/>
            <family val="2"/>
          </rPr>
          <t>Gaston Eleicegui:</t>
        </r>
        <r>
          <rPr>
            <sz val="9"/>
            <color indexed="81"/>
            <rFont val="Tahoma"/>
            <family val="2"/>
          </rPr>
          <t xml:space="preserve">
A partir de Enero 2020 el MATba deja de publicar el precio Disponible de Cebada, se cambia a cotización publicada por Bolsa de Cereales y Productos de Bahía Blanca
</t>
        </r>
      </text>
    </comment>
    <comment ref="W58" authorId="0" shapeId="0" xr:uid="{00000000-0006-0000-0000-000040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BH58" authorId="4" shapeId="0" xr:uid="{00000000-0006-0000-0000-000041000000}">
      <text>
        <r>
          <rPr>
            <b/>
            <sz val="9"/>
            <color indexed="81"/>
            <rFont val="Tahoma"/>
            <family val="2"/>
          </rPr>
          <t>Coni1:</t>
        </r>
        <r>
          <rPr>
            <sz val="9"/>
            <color indexed="81"/>
            <rFont val="Tahoma"/>
            <family val="2"/>
          </rPr>
          <t xml:space="preserve">
no hay precio xq esta indef derechos de expo y las compras de la exportacion</t>
        </r>
      </text>
    </comment>
    <comment ref="GT58" authorId="3" shapeId="0" xr:uid="{00000000-0006-0000-0000-000042000000}">
      <text>
        <r>
          <rPr>
            <b/>
            <sz val="9"/>
            <color indexed="81"/>
            <rFont val="Tahoma"/>
            <family val="2"/>
          </rPr>
          <t>Silvina CC:</t>
        </r>
        <r>
          <rPr>
            <sz val="9"/>
            <color indexed="81"/>
            <rFont val="Tahoma"/>
            <family val="2"/>
          </rPr>
          <t xml:space="preserve">
https://www.potatopro.com/sites/default/files/pictures/situacion-de-papa-en-argentina-campana-2020.pdf
</t>
        </r>
      </text>
    </comment>
    <comment ref="BR59" authorId="0" shapeId="0" xr:uid="{00000000-0006-0000-0000-000043000000}">
      <text>
        <r>
          <rPr>
            <b/>
            <sz val="9"/>
            <color indexed="81"/>
            <rFont val="Tahoma"/>
            <family val="2"/>
          </rPr>
          <t>Gaston Eleicegui:</t>
        </r>
        <r>
          <rPr>
            <sz val="9"/>
            <color indexed="81"/>
            <rFont val="Tahoma"/>
            <family val="2"/>
          </rPr>
          <t xml:space="preserve">
semana del 17/02</t>
        </r>
      </text>
    </comment>
    <comment ref="BH60" authorId="3" shapeId="0" xr:uid="{00000000-0006-0000-0000-000044000000}">
      <text>
        <r>
          <rPr>
            <b/>
            <sz val="9"/>
            <color indexed="81"/>
            <rFont val="Tahoma"/>
            <family val="2"/>
          </rPr>
          <t>Silvina CC:</t>
        </r>
        <r>
          <rPr>
            <sz val="9"/>
            <color indexed="81"/>
            <rFont val="Tahoma"/>
            <family val="2"/>
          </rPr>
          <t xml:space="preserve">
al 21-4 no hay acuerdo de precios.
la Cámara del Tabaco de Salta como la de Jujuy mantuvieron su postura de que un incremento del orden del 80% sería lo necesario para alcanzar la rentabilidad de los productores; Alliance One ofreció un 35% y Massalin Particulares un 38%, mientras que la Cooperativa de Productores Tabacaleros de Salta manifestó que con un 45% sería posible la colocación del producto en las enrarecidas condiciones actuales del mercado internacional, postura que fue compartida por la Cooperativa de Tabacaleros de Jujuy Limitada.</t>
        </r>
      </text>
    </comment>
    <comment ref="BR61" authorId="0" shapeId="0" xr:uid="{00000000-0006-0000-0000-000045000000}">
      <text>
        <r>
          <rPr>
            <b/>
            <sz val="9"/>
            <color indexed="81"/>
            <rFont val="Tahoma"/>
            <family val="2"/>
          </rPr>
          <t>Gaston Eleicegui:</t>
        </r>
        <r>
          <rPr>
            <sz val="9"/>
            <color indexed="81"/>
            <rFont val="Tahoma"/>
            <family val="2"/>
          </rPr>
          <t xml:space="preserve">
semana del 20/04</t>
        </r>
      </text>
    </comment>
    <comment ref="BH62" authorId="0" shapeId="0" xr:uid="{00000000-0006-0000-0000-000046000000}">
      <text>
        <r>
          <rPr>
            <b/>
            <sz val="9"/>
            <color indexed="81"/>
            <rFont val="Tahoma"/>
            <family val="2"/>
          </rPr>
          <t>Gaston Eleicegui:</t>
        </r>
        <r>
          <rPr>
            <sz val="9"/>
            <color indexed="81"/>
            <rFont val="Tahoma"/>
            <family val="2"/>
          </rPr>
          <t xml:space="preserve">
17-05-20. Acuerdo de precios con aumento del 46% </t>
        </r>
      </text>
    </comment>
    <comment ref="BR62" authorId="0" shapeId="0" xr:uid="{00000000-0006-0000-0000-000047000000}">
      <text>
        <r>
          <rPr>
            <b/>
            <sz val="9"/>
            <color indexed="81"/>
            <rFont val="Tahoma"/>
            <family val="2"/>
          </rPr>
          <t>Gaston Eleicegui:</t>
        </r>
        <r>
          <rPr>
            <sz val="9"/>
            <color indexed="81"/>
            <rFont val="Tahoma"/>
            <family val="2"/>
          </rPr>
          <t xml:space="preserve">
semana del 20/05</t>
        </r>
      </text>
    </comment>
    <comment ref="BR63" authorId="0" shapeId="0" xr:uid="{00000000-0006-0000-0000-000049000000}">
      <text>
        <r>
          <rPr>
            <b/>
            <sz val="9"/>
            <color indexed="81"/>
            <rFont val="Tahoma"/>
            <family val="2"/>
          </rPr>
          <t>Gaston Eleicegui:</t>
        </r>
        <r>
          <rPr>
            <sz val="9"/>
            <color indexed="81"/>
            <rFont val="Tahoma"/>
            <family val="2"/>
          </rPr>
          <t xml:space="preserve">
semana del 15/06</t>
        </r>
      </text>
    </comment>
    <comment ref="BR64" authorId="0" shapeId="0" xr:uid="{00000000-0006-0000-0000-00004B000000}">
      <text>
        <r>
          <rPr>
            <b/>
            <sz val="9"/>
            <color indexed="81"/>
            <rFont val="Tahoma"/>
            <family val="2"/>
          </rPr>
          <t>Gaston Eleicegui:</t>
        </r>
        <r>
          <rPr>
            <sz val="9"/>
            <color indexed="81"/>
            <rFont val="Tahoma"/>
            <family val="2"/>
          </rPr>
          <t xml:space="preserve">
semana del 20/06</t>
        </r>
      </text>
    </comment>
    <comment ref="S65" authorId="0" shapeId="0" xr:uid="{00000000-0006-0000-0000-00004C000000}">
      <text>
        <r>
          <rPr>
            <b/>
            <sz val="9"/>
            <color indexed="81"/>
            <rFont val="Tahoma"/>
            <family val="2"/>
          </rPr>
          <t>Gaston Eleicegui:</t>
        </r>
        <r>
          <rPr>
            <sz val="9"/>
            <color indexed="81"/>
            <rFont val="Tahoma"/>
            <family val="2"/>
          </rPr>
          <t xml:space="preserve">
Sin cotizaciones en la bolsa de Bahía. puse promedio del sio granos para el mes de agosto (soolo 2 datos en bahía)</t>
        </r>
      </text>
    </comment>
    <comment ref="BR65" authorId="0" shapeId="0" xr:uid="{00000000-0006-0000-0000-00004E000000}">
      <text>
        <r>
          <rPr>
            <b/>
            <sz val="9"/>
            <color indexed="81"/>
            <rFont val="Tahoma"/>
            <family val="2"/>
          </rPr>
          <t>Gaston Eleicegui:</t>
        </r>
        <r>
          <rPr>
            <sz val="9"/>
            <color indexed="81"/>
            <rFont val="Tahoma"/>
            <family val="2"/>
          </rPr>
          <t xml:space="preserve">
semana del 23/08</t>
        </r>
      </text>
    </comment>
    <comment ref="S66" authorId="0" shapeId="0" xr:uid="{00000000-0006-0000-0000-00004F000000}">
      <text>
        <r>
          <rPr>
            <b/>
            <sz val="9"/>
            <color indexed="81"/>
            <rFont val="Tahoma"/>
            <family val="2"/>
          </rPr>
          <t>Gaston Eleicegui:</t>
        </r>
        <r>
          <rPr>
            <sz val="9"/>
            <color indexed="81"/>
            <rFont val="Tahoma"/>
            <family val="2"/>
          </rPr>
          <t xml:space="preserve">
Sin cotizaciones en la bolsa de Bahía. puse promedio del sio granos para el mes de agosto (soolo 2 datos en bahía)</t>
        </r>
      </text>
    </comment>
    <comment ref="BI66" authorId="3" shapeId="0" xr:uid="{00000000-0006-0000-0000-000051000000}">
      <text>
        <r>
          <rPr>
            <b/>
            <sz val="9"/>
            <color indexed="81"/>
            <rFont val="Tahoma"/>
            <family val="2"/>
          </rPr>
          <t>Silvina CC:</t>
        </r>
        <r>
          <rPr>
            <sz val="9"/>
            <color indexed="81"/>
            <rFont val="Tahoma"/>
            <family val="2"/>
          </rPr>
          <t xml:space="preserve">
Resol 83/20</t>
        </r>
      </text>
    </comment>
    <comment ref="S67" authorId="0" shapeId="0" xr:uid="{00000000-0006-0000-0000-000052000000}">
      <text>
        <r>
          <rPr>
            <b/>
            <sz val="9"/>
            <color indexed="81"/>
            <rFont val="Tahoma"/>
            <family val="2"/>
          </rPr>
          <t>Gaston Eleicegui:</t>
        </r>
        <r>
          <rPr>
            <sz val="9"/>
            <color indexed="81"/>
            <rFont val="Tahoma"/>
            <family val="2"/>
          </rPr>
          <t xml:space="preserve">
Sin cotizaciones en la bolsa de Bahía. puse promedio del sio granos para el mes de agosto (soolo 2 datos en bahía)</t>
        </r>
      </text>
    </comment>
    <comment ref="H68" authorId="3" shapeId="0" xr:uid="{00000000-0006-0000-0000-000053000000}">
      <text>
        <r>
          <rPr>
            <b/>
            <sz val="9"/>
            <color indexed="81"/>
            <rFont val="Tahoma"/>
            <family val="2"/>
          </rPr>
          <t>Silvina CC:</t>
        </r>
        <r>
          <rPr>
            <sz val="9"/>
            <color indexed="81"/>
            <rFont val="Tahoma"/>
            <family val="2"/>
          </rPr>
          <t xml:space="preserve">
http://trabajoagrarioweb.trabajo.gob.ar/include/showfile.asp?ArchivoId=3186</t>
        </r>
      </text>
    </comment>
    <comment ref="BI68" authorId="3" shapeId="0" xr:uid="{00000000-0006-0000-0000-000054000000}">
      <text>
        <r>
          <rPr>
            <b/>
            <sz val="9"/>
            <color indexed="81"/>
            <rFont val="Tahoma"/>
            <family val="2"/>
          </rPr>
          <t>Silvina CC:</t>
        </r>
        <r>
          <rPr>
            <sz val="9"/>
            <color indexed="81"/>
            <rFont val="Tahoma"/>
            <family val="2"/>
          </rPr>
          <t xml:space="preserve">
Res 130/20</t>
        </r>
      </text>
    </comment>
    <comment ref="FY68" authorId="3" shapeId="0" xr:uid="{00000000-0006-0000-0000-000055000000}">
      <text>
        <r>
          <rPr>
            <b/>
            <sz val="9"/>
            <color indexed="81"/>
            <rFont val="Tahoma"/>
            <family val="2"/>
          </rPr>
          <t>Silvina CC:</t>
        </r>
        <r>
          <rPr>
            <sz val="9"/>
            <color indexed="81"/>
            <rFont val="Tahoma"/>
            <family val="2"/>
          </rPr>
          <t xml:space="preserve">
Sale del infome enviado x manfredo</t>
        </r>
      </text>
    </comment>
    <comment ref="H69" authorId="3" shapeId="0" xr:uid="{00000000-0006-0000-0000-000056000000}">
      <text>
        <r>
          <rPr>
            <b/>
            <sz val="9"/>
            <color indexed="81"/>
            <rFont val="Tahoma"/>
            <family val="2"/>
          </rPr>
          <t>Silvina CC:</t>
        </r>
        <r>
          <rPr>
            <sz val="9"/>
            <color indexed="81"/>
            <rFont val="Tahoma"/>
            <family val="2"/>
          </rPr>
          <t xml:space="preserve">
bono de 10.000 en tres cuotas
</t>
        </r>
      </text>
    </comment>
    <comment ref="W69" authorId="0" shapeId="0" xr:uid="{00000000-0006-0000-0000-000057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EZ69" authorId="3" shapeId="0" xr:uid="{00000000-0006-0000-0000-000058000000}">
      <text>
        <r>
          <rPr>
            <b/>
            <sz val="9"/>
            <color indexed="81"/>
            <rFont val="Tahoma"/>
            <family val="2"/>
          </rPr>
          <t>Silvina CC:</t>
        </r>
        <r>
          <rPr>
            <sz val="9"/>
            <color indexed="81"/>
            <rFont val="Tahoma"/>
            <family val="2"/>
          </rPr>
          <t xml:space="preserve">
2019-2020 bs as</t>
        </r>
      </text>
    </comment>
    <comment ref="W70" authorId="0" shapeId="0" xr:uid="{00000000-0006-0000-0000-000059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W71" authorId="0" shapeId="0" xr:uid="{00000000-0006-0000-0000-00005A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W72" authorId="0" shapeId="0" xr:uid="{00000000-0006-0000-0000-00005D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W73" authorId="0" shapeId="0" xr:uid="{00000000-0006-0000-0000-00005F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W74" authorId="0" shapeId="0" xr:uid="{00000000-0006-0000-0000-000061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EZ74" authorId="3" shapeId="0" xr:uid="{00000000-0006-0000-0000-000062000000}">
      <text>
        <r>
          <rPr>
            <b/>
            <sz val="9"/>
            <color indexed="81"/>
            <rFont val="Tahoma"/>
            <family val="2"/>
          </rPr>
          <t>Silvina CC:</t>
        </r>
        <r>
          <rPr>
            <sz val="9"/>
            <color indexed="81"/>
            <rFont val="Tahoma"/>
            <family val="2"/>
          </rPr>
          <t xml:space="preserve">
2021 en informe magyp
</t>
        </r>
      </text>
    </comment>
    <comment ref="W75" authorId="0" shapeId="0" xr:uid="{00000000-0006-0000-0000-000064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W76" authorId="0" shapeId="0" xr:uid="{00000000-0006-0000-0000-000066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BI76" authorId="3" shapeId="0" xr:uid="{00000000-0006-0000-0000-000067000000}">
      <text>
        <r>
          <rPr>
            <b/>
            <sz val="9"/>
            <color indexed="81"/>
            <rFont val="Tahoma"/>
            <family val="2"/>
          </rPr>
          <t>Silvina CC:</t>
        </r>
        <r>
          <rPr>
            <sz val="9"/>
            <color indexed="81"/>
            <rFont val="Tahoma"/>
            <family val="2"/>
          </rPr>
          <t>Resol 62-2021</t>
        </r>
      </text>
    </comment>
    <comment ref="W77" authorId="0" shapeId="0" xr:uid="{00000000-0006-0000-0000-000069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W78" authorId="0" shapeId="0" xr:uid="{00000000-0006-0000-0000-00006B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W79" authorId="0" shapeId="0" xr:uid="{00000000-0006-0000-0000-00006D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AG79" authorId="3" shapeId="0" xr:uid="{00000000-0006-0000-0000-00006E000000}">
      <text>
        <r>
          <rPr>
            <b/>
            <sz val="9"/>
            <color indexed="81"/>
            <rFont val="Tahoma"/>
            <family val="2"/>
          </rPr>
          <t>Silvina CC:</t>
        </r>
        <r>
          <rPr>
            <sz val="9"/>
            <color indexed="81"/>
            <rFont val="Tahoma"/>
            <family val="2"/>
          </rPr>
          <t xml:space="preserve">
sin laud al 1-11-21
</t>
        </r>
      </text>
    </comment>
    <comment ref="W80" authorId="0" shapeId="0" xr:uid="{00000000-0006-0000-0000-000070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W81" authorId="0" shapeId="0" xr:uid="{00000000-0006-0000-0000-000072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BI81" authorId="3" shapeId="0" xr:uid="{00000000-0006-0000-0000-000073000000}">
      <text>
        <r>
          <rPr>
            <b/>
            <sz val="9"/>
            <color indexed="81"/>
            <rFont val="Tahoma"/>
            <family val="2"/>
          </rPr>
          <t>Silvina CC:</t>
        </r>
        <r>
          <rPr>
            <sz val="9"/>
            <color indexed="81"/>
            <rFont val="Tahoma"/>
            <family val="2"/>
          </rPr>
          <t xml:space="preserve">
res 176/21 del 23 de dic</t>
        </r>
      </text>
    </comment>
    <comment ref="W82" authorId="0" shapeId="0" xr:uid="{00000000-0006-0000-0000-000075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EZ82" authorId="5" shapeId="0" xr:uid="{EADC54E5-EAAA-487D-A70A-29AA74C218EE}">
      <text>
        <r>
          <rPr>
            <b/>
            <sz val="9"/>
            <color indexed="81"/>
            <rFont val="Tahoma"/>
            <family val="2"/>
          </rPr>
          <t>https://www.argenpapa.com.ar/noticia/13046-argentina-campana-2022-23-la-superficie-de-papa-se-redujo-en-casi-1000-ha-en-el-sudeste-de-buenos-aires</t>
        </r>
      </text>
    </comment>
    <comment ref="W83" authorId="0" shapeId="0" xr:uid="{00000000-0006-0000-0000-000076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W84" authorId="0" shapeId="0" xr:uid="{00000000-0006-0000-0000-000077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W85" authorId="0" shapeId="0" xr:uid="{00000000-0006-0000-0000-000078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Y85" authorId="6" shapeId="0" xr:uid="{00000000-0006-0000-0000-000079000000}">
      <text>
        <r>
          <rPr>
            <b/>
            <sz val="9"/>
            <color indexed="81"/>
            <rFont val="Tahoma"/>
            <family val="2"/>
          </rPr>
          <t>Enzo:</t>
        </r>
        <r>
          <rPr>
            <sz val="9"/>
            <color indexed="81"/>
            <rFont val="Tahoma"/>
            <family val="2"/>
          </rPr>
          <t xml:space="preserve">
Bosla BB, PUERTO BB: s/c</t>
        </r>
      </text>
    </comment>
    <comment ref="W86" authorId="0" shapeId="0" xr:uid="{00000000-0006-0000-0000-00007A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BR86" authorId="1" shapeId="0" xr:uid="{00000000-0006-0000-0000-00007B000000}">
      <text>
        <r>
          <rPr>
            <b/>
            <sz val="9"/>
            <color indexed="81"/>
            <rFont val="Tahoma"/>
            <family val="2"/>
          </rPr>
          <t>Silvina Campos:</t>
        </r>
        <r>
          <rPr>
            <sz val="9"/>
            <color indexed="81"/>
            <rFont val="Tahoma"/>
            <family val="2"/>
          </rPr>
          <t xml:space="preserve">
may: promedio semanas 18 a 21</t>
        </r>
      </text>
    </comment>
    <comment ref="IQ86" authorId="6" shapeId="0" xr:uid="{00000000-0006-0000-0000-00007C000000}">
      <text>
        <r>
          <rPr>
            <b/>
            <sz val="9"/>
            <color indexed="81"/>
            <rFont val="Tahoma"/>
            <family val="2"/>
          </rPr>
          <t>Enzo:</t>
        </r>
        <r>
          <rPr>
            <sz val="9"/>
            <color indexed="81"/>
            <rFont val="Tahoma"/>
            <family val="2"/>
          </rPr>
          <t xml:space="preserve">
Con datos Abr, sin datos Mayo
SIL: cuando no hay.. Buscá en anticipo</t>
        </r>
      </text>
    </comment>
    <comment ref="W87" authorId="0" shapeId="0" xr:uid="{00000000-0006-0000-0000-00007D000000}">
      <text>
        <r>
          <rPr>
            <b/>
            <sz val="9"/>
            <color indexed="81"/>
            <rFont val="Tahoma"/>
            <family val="2"/>
          </rPr>
          <t xml:space="preserve">Gaston Eleicegui:
</t>
        </r>
        <r>
          <rPr>
            <sz val="9"/>
            <color indexed="81"/>
            <rFont val="Tahoma"/>
            <family val="2"/>
          </rPr>
          <t>A partir de Enero 2020 el MATba deja de publicar el precio Disponible de Sorgo, se cambia a cotización FOB menos impuestos menos fobbing.</t>
        </r>
      </text>
    </comment>
    <comment ref="BE87" authorId="6" shapeId="0" xr:uid="{00000000-0006-0000-0000-00007E000000}">
      <text>
        <r>
          <rPr>
            <b/>
            <sz val="9"/>
            <color indexed="81"/>
            <rFont val="Tahoma"/>
            <family val="2"/>
          </rPr>
          <t>Enzo:</t>
        </r>
        <r>
          <rPr>
            <sz val="9"/>
            <color indexed="81"/>
            <rFont val="Tahoma"/>
            <family val="2"/>
          </rPr>
          <t xml:space="preserve">
error al entrar a la pagina de INTA Forestal</t>
        </r>
      </text>
    </comment>
    <comment ref="BR87" authorId="6" shapeId="0" xr:uid="{00000000-0006-0000-0000-00007F000000}">
      <text>
        <r>
          <rPr>
            <b/>
            <sz val="9"/>
            <color indexed="81"/>
            <rFont val="Tahoma"/>
            <family val="2"/>
          </rPr>
          <t>Enzo:</t>
        </r>
        <r>
          <rPr>
            <sz val="9"/>
            <color indexed="81"/>
            <rFont val="Tahoma"/>
            <family val="2"/>
          </rPr>
          <t xml:space="preserve">
Semanales: del 30/5 al5/6; del 6 al 12/6; del 13 al 19/6 y del 20 al 26/6
</t>
        </r>
      </text>
    </comment>
    <comment ref="BE88" authorId="6" shapeId="0" xr:uid="{00000000-0006-0000-0000-000080000000}">
      <text>
        <r>
          <rPr>
            <b/>
            <sz val="9"/>
            <color indexed="81"/>
            <rFont val="Tahoma"/>
            <family val="2"/>
          </rPr>
          <t>Enzo:</t>
        </r>
        <r>
          <rPr>
            <sz val="9"/>
            <color indexed="81"/>
            <rFont val="Tahoma"/>
            <family val="2"/>
          </rPr>
          <t xml:space="preserve">
Junio 2022/, Julio no estaba</t>
        </r>
      </text>
    </comment>
    <comment ref="T90" authorId="1" shapeId="0" xr:uid="{00000000-0006-0000-0000-000081000000}">
      <text>
        <r>
          <rPr>
            <b/>
            <sz val="9"/>
            <color indexed="81"/>
            <rFont val="Tahoma"/>
            <family val="2"/>
          </rPr>
          <t>Silvina Campos:</t>
        </r>
        <r>
          <rPr>
            <sz val="9"/>
            <color indexed="81"/>
            <rFont val="Tahoma"/>
            <family val="2"/>
          </rPr>
          <t xml:space="preserve">
unico dato del mes:
pizarra BB</t>
        </r>
      </text>
    </comment>
    <comment ref="T91" authorId="1" shapeId="0" xr:uid="{00000000-0006-0000-0000-000083000000}">
      <text>
        <r>
          <rPr>
            <b/>
            <sz val="9"/>
            <color indexed="81"/>
            <rFont val="Tahoma"/>
            <family val="2"/>
          </rPr>
          <t>Silvina Campos:</t>
        </r>
        <r>
          <rPr>
            <sz val="9"/>
            <color indexed="81"/>
            <rFont val="Tahoma"/>
            <family val="2"/>
          </rPr>
          <t xml:space="preserve">
unico dato del mes:
pizarra BB</t>
        </r>
      </text>
    </comment>
    <comment ref="T92" authorId="6" shapeId="0" xr:uid="{00000000-0006-0000-0000-000084000000}">
      <text>
        <r>
          <rPr>
            <b/>
            <sz val="9"/>
            <color indexed="81"/>
            <rFont val="Tahoma"/>
            <family val="2"/>
          </rPr>
          <t>Enzo:</t>
        </r>
        <r>
          <rPr>
            <sz val="9"/>
            <color indexed="81"/>
            <rFont val="Tahoma"/>
            <family val="2"/>
          </rPr>
          <t xml:space="preserve">
estimativo en $ BCR/ USD BNA mensual</t>
        </r>
      </text>
    </comment>
    <comment ref="BP92" authorId="6" shapeId="0" xr:uid="{00000000-0006-0000-0000-000085000000}">
      <text>
        <r>
          <rPr>
            <b/>
            <sz val="9"/>
            <color indexed="81"/>
            <rFont val="Tahoma"/>
            <family val="2"/>
          </rPr>
          <t>Enzo:</t>
        </r>
        <r>
          <rPr>
            <sz val="9"/>
            <color indexed="81"/>
            <rFont val="Tahoma"/>
            <family val="2"/>
          </rPr>
          <t xml:space="preserve">
Según SAGyP no aumentó el huevo. En tu cara inflación</t>
        </r>
      </text>
    </comment>
    <comment ref="T93" authorId="6" shapeId="0" xr:uid="{00000000-0006-0000-0000-000087000000}">
      <text>
        <r>
          <rPr>
            <b/>
            <sz val="9"/>
            <color indexed="81"/>
            <rFont val="Tahoma"/>
            <family val="2"/>
          </rPr>
          <t>Enzo:</t>
        </r>
        <r>
          <rPr>
            <sz val="9"/>
            <color indexed="81"/>
            <rFont val="Tahoma"/>
            <family val="2"/>
          </rPr>
          <t xml:space="preserve">
estimado en $ BCR/ USD BNA mes
</t>
        </r>
      </text>
    </comment>
    <comment ref="BR93" authorId="7" shapeId="0" xr:uid="{00000000-0006-0000-0000-000089000000}">
      <text>
        <r>
          <rPr>
            <b/>
            <sz val="9"/>
            <color indexed="81"/>
            <rFont val="Tahoma"/>
            <family val="2"/>
          </rPr>
          <t>Campos Carles, Silvina /Coninagro:</t>
        </r>
        <r>
          <rPr>
            <sz val="9"/>
            <color indexed="81"/>
            <rFont val="Tahoma"/>
            <family val="2"/>
          </rPr>
          <t xml:space="preserve">
promedio semanal</t>
        </r>
      </text>
    </comment>
    <comment ref="BH94" authorId="7" shapeId="0" xr:uid="{00000000-0006-0000-0000-00008B000000}">
      <text>
        <r>
          <rPr>
            <b/>
            <sz val="9"/>
            <color indexed="81"/>
            <rFont val="Tahoma"/>
            <family val="2"/>
          </rPr>
          <t>Campos Carles, Silvina /Coninagro:</t>
        </r>
        <r>
          <rPr>
            <sz val="9"/>
            <color indexed="81"/>
            <rFont val="Tahoma"/>
            <family val="2"/>
          </rPr>
          <t xml:space="preserve">
nota periodistica jujuy</t>
        </r>
      </text>
    </comment>
    <comment ref="BP94" authorId="6" shapeId="0" xr:uid="{00000000-0006-0000-0000-00008C000000}">
      <text>
        <r>
          <rPr>
            <b/>
            <sz val="9"/>
            <color indexed="81"/>
            <rFont val="Tahoma"/>
            <family val="2"/>
          </rPr>
          <t>Enzo:</t>
        </r>
        <r>
          <rPr>
            <sz val="9"/>
            <color indexed="81"/>
            <rFont val="Tahoma"/>
            <family val="2"/>
          </rPr>
          <t xml:space="preserve">
No hay precio en SAGyP</t>
        </r>
      </text>
    </comment>
    <comment ref="BR94" authorId="6" shapeId="0" xr:uid="{00000000-0006-0000-0000-00008D000000}">
      <text>
        <r>
          <rPr>
            <b/>
            <sz val="9"/>
            <color indexed="81"/>
            <rFont val="Tahoma"/>
            <family val="2"/>
          </rPr>
          <t>Enzo:</t>
        </r>
        <r>
          <rPr>
            <sz val="9"/>
            <color indexed="81"/>
            <rFont val="Tahoma"/>
            <family val="2"/>
          </rPr>
          <t xml:space="preserve">
Promedio semanales</t>
        </r>
      </text>
    </comment>
    <comment ref="BH95" authorId="6" shapeId="0" xr:uid="{00000000-0006-0000-0000-00008F000000}">
      <text>
        <r>
          <rPr>
            <b/>
            <sz val="9"/>
            <color indexed="81"/>
            <rFont val="Tahoma"/>
            <family val="2"/>
          </rPr>
          <t>Enzo:</t>
        </r>
        <r>
          <rPr>
            <sz val="9"/>
            <color indexed="81"/>
            <rFont val="Tahoma"/>
            <family val="2"/>
          </rPr>
          <t xml:space="preserve">
https://www.ctsalta.com.ar/las-cooperativas-salta-y-jujuy-acordaron-un120-de-incremento/</t>
        </r>
      </text>
    </comment>
    <comment ref="BO95" authorId="6" shapeId="0" xr:uid="{00000000-0006-0000-0000-000090000000}">
      <text>
        <r>
          <rPr>
            <b/>
            <sz val="9"/>
            <color indexed="81"/>
            <rFont val="Tahoma"/>
            <family val="2"/>
          </rPr>
          <t>Enzo:</t>
        </r>
        <r>
          <rPr>
            <sz val="9"/>
            <color indexed="81"/>
            <rFont val="Tahoma"/>
            <family val="2"/>
          </rPr>
          <t xml:space="preserve">
Promedios semanales Catadrea avicola
</t>
        </r>
      </text>
    </comment>
    <comment ref="T96" authorId="6" shapeId="0" xr:uid="{00000000-0006-0000-0000-000091000000}">
      <text>
        <r>
          <rPr>
            <b/>
            <sz val="9"/>
            <color indexed="81"/>
            <rFont val="Tahoma"/>
            <family val="2"/>
          </rPr>
          <t>Enzo:</t>
        </r>
        <r>
          <rPr>
            <sz val="9"/>
            <color indexed="81"/>
            <rFont val="Tahoma"/>
            <family val="2"/>
          </rPr>
          <t xml:space="preserve">
Precios pizarra y estimados BCR, promedio</t>
        </r>
      </text>
    </comment>
    <comment ref="HA99" authorId="6" shapeId="0" xr:uid="{00000000-0006-0000-0000-000093000000}">
      <text>
        <r>
          <rPr>
            <b/>
            <sz val="9"/>
            <color indexed="81"/>
            <rFont val="Tahoma"/>
            <family val="2"/>
          </rPr>
          <t>Enzo:</t>
        </r>
        <r>
          <rPr>
            <sz val="9"/>
            <color indexed="81"/>
            <rFont val="Tahoma"/>
            <family val="2"/>
          </rPr>
          <t xml:space="preserve">
Datos SAGyP</t>
        </r>
      </text>
    </comment>
    <comment ref="HA100" authorId="6" shapeId="0" xr:uid="{00000000-0006-0000-0000-000094000000}">
      <text>
        <r>
          <rPr>
            <b/>
            <sz val="9"/>
            <color indexed="81"/>
            <rFont val="Tahoma"/>
            <family val="2"/>
          </rPr>
          <t>Enzo:</t>
        </r>
        <r>
          <rPr>
            <sz val="9"/>
            <color indexed="81"/>
            <rFont val="Tahoma"/>
            <family val="2"/>
          </rPr>
          <t xml:space="preserve">
Segùn SAGyP</t>
        </r>
      </text>
    </comment>
    <comment ref="BP101" authorId="3" shapeId="0" xr:uid="{00000000-0006-0000-0000-000095000000}">
      <text>
        <r>
          <rPr>
            <b/>
            <sz val="9"/>
            <color indexed="81"/>
            <rFont val="Tahoma"/>
            <family val="2"/>
          </rPr>
          <t>Silvina CC:</t>
        </r>
        <r>
          <rPr>
            <sz val="9"/>
            <color indexed="81"/>
            <rFont val="Tahoma"/>
            <family val="2"/>
          </rPr>
          <t xml:space="preserve">
martes 29 de agosto.
Prom blanco Fcio Varela</t>
        </r>
      </text>
    </comment>
    <comment ref="HA101" authorId="6" shapeId="0" xr:uid="{00000000-0006-0000-0000-000096000000}">
      <text>
        <r>
          <rPr>
            <b/>
            <sz val="9"/>
            <color indexed="81"/>
            <rFont val="Tahoma"/>
            <family val="2"/>
          </rPr>
          <t>Enzo:</t>
        </r>
        <r>
          <rPr>
            <sz val="9"/>
            <color indexed="81"/>
            <rFont val="Tahoma"/>
            <family val="2"/>
          </rPr>
          <t xml:space="preserve">
Segùn SAGyP</t>
        </r>
      </text>
    </comment>
    <comment ref="BR102" authorId="8" shapeId="0" xr:uid="{00000000-0006-0000-0000-000097000000}">
      <text>
        <r>
          <rPr>
            <b/>
            <sz val="9"/>
            <color indexed="81"/>
            <rFont val="Tahoma"/>
            <family val="2"/>
          </rPr>
          <t>Santilli, Enzo:</t>
        </r>
        <r>
          <rPr>
            <sz val="9"/>
            <color indexed="81"/>
            <rFont val="Tahoma"/>
            <family val="2"/>
          </rPr>
          <t xml:space="preserve">
Carnes y ganados</t>
        </r>
      </text>
    </comment>
    <comment ref="BR103" authorId="8" shapeId="0" xr:uid="{00000000-0006-0000-0000-000098000000}">
      <text>
        <r>
          <rPr>
            <b/>
            <sz val="9"/>
            <color indexed="81"/>
            <rFont val="Tahoma"/>
            <family val="2"/>
          </rPr>
          <t>Santilli, Enzo:</t>
        </r>
        <r>
          <rPr>
            <sz val="9"/>
            <color indexed="81"/>
            <rFont val="Tahoma"/>
            <family val="2"/>
          </rPr>
          <t xml:space="preserve">
carnesyganados</t>
        </r>
      </text>
    </comment>
    <comment ref="EZ106" authorId="5" shapeId="0" xr:uid="{3B860E43-46A4-4193-A5FA-202985A4782E}">
      <text>
        <r>
          <rPr>
            <b/>
            <sz val="9"/>
            <color indexed="81"/>
            <rFont val="Tahoma"/>
            <family val="2"/>
          </rPr>
          <t>https://fenapp.org.ar/la-superficie-sembrada-de-papa-en-el-sudeste-bonaerense-aumento-un-97/</t>
        </r>
      </text>
    </comment>
    <comment ref="AG108" authorId="3" shapeId="0" xr:uid="{00000000-0006-0000-0000-0000A2000000}">
      <text>
        <r>
          <rPr>
            <b/>
            <sz val="9"/>
            <color indexed="81"/>
            <rFont val="Tahoma"/>
            <family val="2"/>
          </rPr>
          <t>Silvina CC:</t>
        </r>
        <r>
          <rPr>
            <sz val="9"/>
            <color indexed="81"/>
            <rFont val="Tahoma"/>
            <family val="2"/>
          </rPr>
          <t xml:space="preserve">
comentario con Buser y Orlando: es lo que se está pagando
</t>
        </r>
      </text>
    </comment>
    <comment ref="Q109" authorId="3" shapeId="0" xr:uid="{00000000-0006-0000-0000-0000A6000000}">
      <text>
        <r>
          <rPr>
            <b/>
            <sz val="9"/>
            <color indexed="81"/>
            <rFont val="Tahoma"/>
            <family val="2"/>
          </rPr>
          <t>Silvina CC:</t>
        </r>
        <r>
          <rPr>
            <sz val="9"/>
            <color indexed="81"/>
            <rFont val="Tahoma"/>
            <family val="2"/>
          </rPr>
          <t xml:space="preserve">
sio arroz</t>
        </r>
      </text>
    </comment>
    <comment ref="AG110" authorId="3" shapeId="0" xr:uid="{00000000-0006-0000-0000-0000AA000000}">
      <text>
        <r>
          <rPr>
            <b/>
            <sz val="9"/>
            <color indexed="81"/>
            <rFont val="Tahoma"/>
            <family val="2"/>
          </rPr>
          <t>Silvina CC:</t>
        </r>
        <r>
          <rPr>
            <sz val="9"/>
            <color indexed="81"/>
            <rFont val="Tahoma"/>
            <family val="2"/>
          </rPr>
          <t xml:space="preserve">
https://www.primeraedicion.com.ar/nota/100879169/sin-regulacion-del-inym-el-precio-de-la-hoja-verde-se-desploma-a-350/</t>
        </r>
      </text>
    </comment>
    <comment ref="AG112" authorId="3" shapeId="0" xr:uid="{00000000-0006-0000-0000-0000B0000000}">
      <text>
        <r>
          <rPr>
            <b/>
            <sz val="9"/>
            <color indexed="81"/>
            <rFont val="Tahoma"/>
            <family val="2"/>
          </rPr>
          <t>Silvina CC:</t>
        </r>
        <r>
          <rPr>
            <sz val="9"/>
            <color indexed="81"/>
            <rFont val="Tahoma"/>
            <family val="2"/>
          </rPr>
          <t xml:space="preserve">
https://www.lavozdemisiones.com/politica/diputado-del-pays-alerta-sobre-debacle-yerbatera-si-no-se-normaliza-el-inym/</t>
        </r>
      </text>
    </comment>
    <comment ref="EZ130" authorId="5" shapeId="0" xr:uid="{D19691AA-B9DB-455E-BDF9-1E99F3560D8F}">
      <text>
        <r>
          <rPr>
            <sz val="9"/>
            <color indexed="81"/>
            <rFont val="Tahoma"/>
            <family val="2"/>
          </rPr>
          <t>https://fenapp.org.ar/el-sudeste-sembro-un-12-menos-de-papa-que-la-campana-anterior/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Gaston Eleicegui</author>
  </authors>
  <commentList>
    <comment ref="A3" authorId="0" shapeId="0" xr:uid="{00000000-0006-0000-0600-000001000000}">
      <text>
        <r>
          <rPr>
            <b/>
            <sz val="9"/>
            <color indexed="81"/>
            <rFont val="Tahoma"/>
            <family val="2"/>
          </rPr>
          <t>mes-año:</t>
        </r>
        <r>
          <rPr>
            <sz val="9"/>
            <color indexed="81"/>
            <rFont val="Tahoma"/>
            <family val="2"/>
          </rPr>
          <t xml:space="preserve">
corresponde al mes y año de los datos. se publica el mes posterior.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tc={F61B25C0-C229-43CC-B311-13A0C762EAAE}</author>
    <author>Laura Zamanillo</author>
  </authors>
  <commentList>
    <comment ref="D1" authorId="0" shapeId="0" xr:uid="{F61B25C0-C229-43CC-B311-13A0C762EAA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puntaje del componente de mercado se construye de la siguiente manera:
La variación de cada variable (X, M y C) se pondera según su participación o importancia relativa dentro del componente. La variación final del componente de mercado (VFcm) se obtiene como la suma ponderada de las tres variaciones individuales.
Sobre esta variación final (VFcm) se asigna el siguiente puntaje:
1 si VFcm &gt; +15%
2 si +15% ≥ VFcm &gt; +3%
3 si +3% ≥ VFcm ≥ -3%
4 si -3% &gt; VFcm ≥ -15%
5 si VFcm &lt; -15%
</t>
      </text>
    </comment>
    <comment ref="G4" authorId="1" shapeId="0" xr:uid="{4640BE1C-36CF-4CE4-A8F1-F0B5013BFC01}">
      <text>
        <r>
          <rPr>
            <b/>
            <sz val="9"/>
            <color indexed="81"/>
            <rFont val="Tahoma"/>
            <family val="2"/>
          </rPr>
          <t>Actualizacion mensual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Silvina Campos</author>
  </authors>
  <commentList>
    <comment ref="L15" authorId="0" shapeId="0" xr:uid="{00000000-0006-0000-1000-000001000000}">
      <text>
        <r>
          <rPr>
            <b/>
            <sz val="9"/>
            <color indexed="81"/>
            <rFont val="Tahoma"/>
            <family val="2"/>
          </rPr>
          <t>Silvina Campos:</t>
        </r>
        <r>
          <rPr>
            <sz val="9"/>
            <color indexed="81"/>
            <rFont val="Tahoma"/>
            <family val="2"/>
          </rPr>
          <t xml:space="preserve">
http://www.alimentosargentinos.gob.ar/contenido/procal/estudios/06_AgrNegPapa/AgronegocioPapa_2011_Dic.pdf</t>
        </r>
      </text>
    </comment>
    <comment ref="F38" authorId="0" shapeId="0" xr:uid="{00000000-0006-0000-1000-000002000000}">
      <text>
        <r>
          <rPr>
            <b/>
            <sz val="9"/>
            <color indexed="81"/>
            <rFont val="Tahoma"/>
            <family val="2"/>
          </rPr>
          <t>Silvina Campos:</t>
        </r>
        <r>
          <rPr>
            <sz val="9"/>
            <color indexed="81"/>
            <rFont val="Tahoma"/>
            <family val="2"/>
          </rPr>
          <t xml:space="preserve">
Sanidad
</t>
        </r>
      </text>
    </comment>
    <comment ref="H38" authorId="0" shapeId="0" xr:uid="{00000000-0006-0000-1000-000003000000}">
      <text>
        <r>
          <rPr>
            <b/>
            <sz val="9"/>
            <color indexed="81"/>
            <rFont val="Tahoma"/>
            <family val="2"/>
          </rPr>
          <t>Silvina Campos:</t>
        </r>
        <r>
          <rPr>
            <sz val="9"/>
            <color indexed="81"/>
            <rFont val="Tahoma"/>
            <family val="2"/>
          </rPr>
          <t xml:space="preserve">
Incluye la compra de reproductores, que está asoc al precio del producto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abla1" description="Conexión a la consulta 'Tabla1' en el libro." type="5" refreshedVersion="0" background="1">
    <dbPr connection="Provider=Microsoft.Mashup.OleDb.1;Data Source=$Workbook$;Location=Tabla1;Extended Properties=&quot;&quot;" command="SELECT * FROM [Tabla1]"/>
  </connection>
</connections>
</file>

<file path=xl/sharedStrings.xml><?xml version="1.0" encoding="utf-8"?>
<sst xmlns="http://schemas.openxmlformats.org/spreadsheetml/2006/main" count="17326" uniqueCount="914">
  <si>
    <t>Maíz</t>
  </si>
  <si>
    <t>Actividad</t>
  </si>
  <si>
    <t>Producción</t>
  </si>
  <si>
    <t>Precio</t>
  </si>
  <si>
    <t>$/t</t>
  </si>
  <si>
    <t>Costo</t>
  </si>
  <si>
    <t>2017-18</t>
  </si>
  <si>
    <t>Exportación</t>
  </si>
  <si>
    <t>Importación</t>
  </si>
  <si>
    <t>Consumo</t>
  </si>
  <si>
    <t>Inflación</t>
  </si>
  <si>
    <t>Indice</t>
  </si>
  <si>
    <t>Soja</t>
  </si>
  <si>
    <t>Arroz</t>
  </si>
  <si>
    <t>Periodo</t>
  </si>
  <si>
    <t>Área/Stock</t>
  </si>
  <si>
    <t>INDEC</t>
  </si>
  <si>
    <t>mes</t>
  </si>
  <si>
    <t>año</t>
  </si>
  <si>
    <t>Productos</t>
  </si>
  <si>
    <t>MATba</t>
  </si>
  <si>
    <t>Trigo</t>
  </si>
  <si>
    <t>Sorgo</t>
  </si>
  <si>
    <t>Cebada</t>
  </si>
  <si>
    <t>Girasol</t>
  </si>
  <si>
    <t>Maní</t>
  </si>
  <si>
    <t>Fuente</t>
  </si>
  <si>
    <t>mes-año</t>
  </si>
  <si>
    <t>Algodón</t>
  </si>
  <si>
    <t>C 1/2</t>
  </si>
  <si>
    <t>D 1/2</t>
  </si>
  <si>
    <t>MAI</t>
  </si>
  <si>
    <t>u$s/t</t>
  </si>
  <si>
    <t>u$s/kg</t>
  </si>
  <si>
    <t>Largo Fino</t>
  </si>
  <si>
    <t>Disp. QQ</t>
  </si>
  <si>
    <t>Disp. ROS</t>
  </si>
  <si>
    <t>FOB</t>
  </si>
  <si>
    <t>Disp. BA</t>
  </si>
  <si>
    <t>Yerba Mate</t>
  </si>
  <si>
    <t>Hoja Verde</t>
  </si>
  <si>
    <t>Canchada</t>
  </si>
  <si>
    <t>INYM</t>
  </si>
  <si>
    <t>$/l</t>
  </si>
  <si>
    <t>Vino Tinto</t>
  </si>
  <si>
    <t>Disp.</t>
  </si>
  <si>
    <t>BMDZA</t>
  </si>
  <si>
    <t>Vino Rosado</t>
  </si>
  <si>
    <t>Vino Blanco</t>
  </si>
  <si>
    <t>Mosto</t>
  </si>
  <si>
    <t>Generales</t>
  </si>
  <si>
    <t>Economía</t>
  </si>
  <si>
    <t>Dólar</t>
  </si>
  <si>
    <t>$/u$s</t>
  </si>
  <si>
    <t>IPC</t>
  </si>
  <si>
    <t>Novillo</t>
  </si>
  <si>
    <t>Ternero</t>
  </si>
  <si>
    <t>M.Liniers</t>
  </si>
  <si>
    <t>Rosgan</t>
  </si>
  <si>
    <t>$/kg</t>
  </si>
  <si>
    <t>Pollo</t>
  </si>
  <si>
    <t>Huevo</t>
  </si>
  <si>
    <t>Capón</t>
  </si>
  <si>
    <t>Cordero</t>
  </si>
  <si>
    <t>Lana</t>
  </si>
  <si>
    <t>Leche</t>
  </si>
  <si>
    <t>Papa</t>
  </si>
  <si>
    <t>M.Central</t>
  </si>
  <si>
    <t>Mandioca</t>
  </si>
  <si>
    <t>Tomate</t>
  </si>
  <si>
    <t>Manzana</t>
  </si>
  <si>
    <t>Pera</t>
  </si>
  <si>
    <t>Naranja</t>
  </si>
  <si>
    <t>Mandarina</t>
  </si>
  <si>
    <t>Limón</t>
  </si>
  <si>
    <t>Tabaco</t>
  </si>
  <si>
    <t>Miel</t>
  </si>
  <si>
    <t>Bovinos</t>
  </si>
  <si>
    <t>Tipo</t>
  </si>
  <si>
    <t>Actividad/Producto</t>
  </si>
  <si>
    <t>Prom.</t>
  </si>
  <si>
    <t>E. Ríos P.Gasoil</t>
  </si>
  <si>
    <t>Bs As SO</t>
  </si>
  <si>
    <t>Córdoba C</t>
  </si>
  <si>
    <t>Santa Fe S</t>
  </si>
  <si>
    <t>Santa Fe N</t>
  </si>
  <si>
    <t>Bs As SE</t>
  </si>
  <si>
    <t>Chaco</t>
  </si>
  <si>
    <t>Bs As N</t>
  </si>
  <si>
    <t>Aviar Pollo</t>
  </si>
  <si>
    <t>Aviar Huevo</t>
  </si>
  <si>
    <t>ID-mes-año</t>
  </si>
  <si>
    <t>lis_ma</t>
  </si>
  <si>
    <t>lis_act</t>
  </si>
  <si>
    <t>Producto</t>
  </si>
  <si>
    <t>Concatenar</t>
  </si>
  <si>
    <t>Rubros</t>
  </si>
  <si>
    <t>lis_rub</t>
  </si>
  <si>
    <t>ran_act</t>
  </si>
  <si>
    <t>Columna</t>
  </si>
  <si>
    <t>ran_dat</t>
  </si>
  <si>
    <t>Moneda/Unidad</t>
  </si>
  <si>
    <t>ran_ma</t>
  </si>
  <si>
    <t>/ran_idma</t>
  </si>
  <si>
    <t>t</t>
  </si>
  <si>
    <t>Campaña</t>
  </si>
  <si>
    <t>2016-17</t>
  </si>
  <si>
    <t>2015-16</t>
  </si>
  <si>
    <t>Volumen</t>
  </si>
  <si>
    <t>ha</t>
  </si>
  <si>
    <t>Importaciones</t>
  </si>
  <si>
    <t>Exportaciones</t>
  </si>
  <si>
    <t>Cebolla</t>
  </si>
  <si>
    <t>Zanahoria</t>
  </si>
  <si>
    <t>Zapallo</t>
  </si>
  <si>
    <t>Pomelo</t>
  </si>
  <si>
    <t>Forestal</t>
  </si>
  <si>
    <t>Apícola</t>
  </si>
  <si>
    <t>Aviar</t>
  </si>
  <si>
    <t>Lechería</t>
  </si>
  <si>
    <t>Ovinos</t>
  </si>
  <si>
    <t>Porcinos</t>
  </si>
  <si>
    <t>Otras no usadas</t>
  </si>
  <si>
    <t>Avena</t>
  </si>
  <si>
    <t>Alpiste</t>
  </si>
  <si>
    <t>Lino</t>
  </si>
  <si>
    <t>Colza</t>
  </si>
  <si>
    <t>Cártamo</t>
  </si>
  <si>
    <t>Sésamo</t>
  </si>
  <si>
    <t>Mostaza</t>
  </si>
  <si>
    <t>Quinoa</t>
  </si>
  <si>
    <t>Aromáticas</t>
  </si>
  <si>
    <t>Alfalfa</t>
  </si>
  <si>
    <t>Trébol</t>
  </si>
  <si>
    <t>Festuca</t>
  </si>
  <si>
    <t>Raigrás</t>
  </si>
  <si>
    <t>Legumbres</t>
  </si>
  <si>
    <t>Frutilla</t>
  </si>
  <si>
    <t>Ajo</t>
  </si>
  <si>
    <t>Ananá</t>
  </si>
  <si>
    <t>Arándano</t>
  </si>
  <si>
    <t>Banana</t>
  </si>
  <si>
    <t>Cereza</t>
  </si>
  <si>
    <t>Ciruela</t>
  </si>
  <si>
    <t>Durazno</t>
  </si>
  <si>
    <t>Frutos Secos</t>
  </si>
  <si>
    <t>Kiwi</t>
  </si>
  <si>
    <t>Mango</t>
  </si>
  <si>
    <t>Nectarines</t>
  </si>
  <si>
    <t>Olivo</t>
  </si>
  <si>
    <t>Palta</t>
  </si>
  <si>
    <t>Café</t>
  </si>
  <si>
    <t>Té</t>
  </si>
  <si>
    <t>Jojoba</t>
  </si>
  <si>
    <t>Caña de Azúcar</t>
  </si>
  <si>
    <t>Equinos</t>
  </si>
  <si>
    <t>Caprinos</t>
  </si>
  <si>
    <t>Fob (M u$s)</t>
  </si>
  <si>
    <t>2014-15</t>
  </si>
  <si>
    <t>Vitícola</t>
  </si>
  <si>
    <t>cab</t>
  </si>
  <si>
    <t>Mensual</t>
  </si>
  <si>
    <t>SIGLeA</t>
  </si>
  <si>
    <t>l</t>
  </si>
  <si>
    <t>%</t>
  </si>
  <si>
    <t>Var. interanual</t>
  </si>
  <si>
    <t>Mayorista</t>
  </si>
  <si>
    <t>Notas</t>
  </si>
  <si>
    <t>Link</t>
  </si>
  <si>
    <t>Composición de los costos operativos</t>
  </si>
  <si>
    <t>Labores</t>
  </si>
  <si>
    <t>Insumos</t>
  </si>
  <si>
    <t>Flete</t>
  </si>
  <si>
    <t>Gasoil</t>
  </si>
  <si>
    <t>Mano de obra</t>
  </si>
  <si>
    <t>Sueldo Peón</t>
  </si>
  <si>
    <t>Comercialización</t>
  </si>
  <si>
    <t>Precio del Producto</t>
  </si>
  <si>
    <t>Costos</t>
  </si>
  <si>
    <t>CNTA</t>
  </si>
  <si>
    <t>Arrendamiento</t>
  </si>
  <si>
    <t>Cosecha</t>
  </si>
  <si>
    <t>Análisis de Base</t>
  </si>
  <si>
    <t>INTA Reconquista Campaña 16-17</t>
  </si>
  <si>
    <t>Riego</t>
  </si>
  <si>
    <t>Chacarero Coninagro- Entre Ríos Pozo Eléctrico Mar18</t>
  </si>
  <si>
    <t>Chacarero Coninagro- BA SE Mar18</t>
  </si>
  <si>
    <t>Chacarero Coninagro- BA SO Mar18</t>
  </si>
  <si>
    <t>Chacarero Coninagro- BA N Mar18</t>
  </si>
  <si>
    <t>Chacarero Coninagro- CBA Mar18</t>
  </si>
  <si>
    <t>Chacarero Coninagro- SSFE Mar18</t>
  </si>
  <si>
    <t>DLTAP Hortic 2012</t>
  </si>
  <si>
    <t>DLTAP Pluri 2012</t>
  </si>
  <si>
    <t>Pino DLTAP pluri 2012</t>
  </si>
  <si>
    <t>Spunta Fresco SE Bs. As. 2011</t>
  </si>
  <si>
    <t>Estimación Coni</t>
  </si>
  <si>
    <t>Ciclo completo margenes dic18</t>
  </si>
  <si>
    <t>Márgenes dic 18</t>
  </si>
  <si>
    <t>Fericerdos INTA 2015</t>
  </si>
  <si>
    <t>Sueldos</t>
  </si>
  <si>
    <t>Peón</t>
  </si>
  <si>
    <t>Márgenes</t>
  </si>
  <si>
    <t>Insumo</t>
  </si>
  <si>
    <t>Urea</t>
  </si>
  <si>
    <t>Glifosato</t>
  </si>
  <si>
    <t>$/mes</t>
  </si>
  <si>
    <t>u$s/100 l</t>
  </si>
  <si>
    <t>300 km BA</t>
  </si>
  <si>
    <t>Porcentajes</t>
  </si>
  <si>
    <t>u$s/l</t>
  </si>
  <si>
    <t>Flete 300km</t>
  </si>
  <si>
    <t>lab+riego</t>
  </si>
  <si>
    <t>com+cos</t>
  </si>
  <si>
    <t>Vino-Mosto</t>
  </si>
  <si>
    <t>Limon</t>
  </si>
  <si>
    <t>Aves</t>
  </si>
  <si>
    <t>Granos</t>
  </si>
  <si>
    <t>Hortalizas</t>
  </si>
  <si>
    <t>Peras y Manzanas</t>
  </si>
  <si>
    <t>Vino y Mosto</t>
  </si>
  <si>
    <t>Componente Negocio</t>
  </si>
  <si>
    <t>Cítricos Dulces</t>
  </si>
  <si>
    <t>Ovino</t>
  </si>
  <si>
    <t>2018-19</t>
  </si>
  <si>
    <t>Bolsa</t>
  </si>
  <si>
    <t>Area/Stock</t>
  </si>
  <si>
    <t>Vitivinicultura</t>
  </si>
  <si>
    <t>Forestación</t>
  </si>
  <si>
    <t>https://www.argentina.gob.ar/inv/principales-datos-vitivinicolas</t>
  </si>
  <si>
    <t>Cítricos</t>
  </si>
  <si>
    <t>Peras</t>
  </si>
  <si>
    <t>Manzanas</t>
  </si>
  <si>
    <t>huevos industria</t>
  </si>
  <si>
    <t>miles de huevos</t>
  </si>
  <si>
    <t>leche</t>
  </si>
  <si>
    <t>Vino</t>
  </si>
  <si>
    <t>qq</t>
  </si>
  <si>
    <t>Expo</t>
  </si>
  <si>
    <t>Impo</t>
  </si>
  <si>
    <t>kg/hab/año</t>
  </si>
  <si>
    <t>Carne</t>
  </si>
  <si>
    <t>Lácteos</t>
  </si>
  <si>
    <t>Eq leche</t>
  </si>
  <si>
    <t>l/hab/año</t>
  </si>
  <si>
    <t>N</t>
  </si>
  <si>
    <t>P</t>
  </si>
  <si>
    <t>M</t>
  </si>
  <si>
    <t>S</t>
  </si>
  <si>
    <t>Componente Productivo</t>
  </si>
  <si>
    <t>Federcitrus</t>
  </si>
  <si>
    <t>Precio Gasoil</t>
  </si>
  <si>
    <t>INTA</t>
  </si>
  <si>
    <t>Precio Cordero</t>
  </si>
  <si>
    <t>Prom</t>
  </si>
  <si>
    <t>Prolana-Agroindu</t>
  </si>
  <si>
    <t>12C+3,5L</t>
  </si>
  <si>
    <t>Agroind</t>
  </si>
  <si>
    <t>Porcino</t>
  </si>
  <si>
    <t>Semáforos</t>
  </si>
  <si>
    <t>Monto</t>
  </si>
  <si>
    <t>Cif (M u$s)</t>
  </si>
  <si>
    <t>Agroindustria</t>
  </si>
  <si>
    <t>Promedio</t>
  </si>
  <si>
    <t>Pera y Manzana</t>
  </si>
  <si>
    <t>Citricos Dulces</t>
  </si>
  <si>
    <t>Sup</t>
  </si>
  <si>
    <t>Colmenas</t>
  </si>
  <si>
    <t>Año</t>
  </si>
  <si>
    <t>Cab</t>
  </si>
  <si>
    <t>12 meses</t>
  </si>
  <si>
    <t>t eq. res con hueso</t>
  </si>
  <si>
    <t>mill. de l</t>
  </si>
  <si>
    <t>fila</t>
  </si>
  <si>
    <t xml:space="preserve"> </t>
  </si>
  <si>
    <t>Índice</t>
  </si>
  <si>
    <t>Carne+Huevo</t>
  </si>
  <si>
    <t>t eq. res con hueso + miles de huevos</t>
  </si>
  <si>
    <t>Vs 1 año ant</t>
  </si>
  <si>
    <t>Var. mensual</t>
  </si>
  <si>
    <t>últ 12 m</t>
  </si>
  <si>
    <t>ant 12 m</t>
  </si>
  <si>
    <t>No tocar</t>
  </si>
  <si>
    <t>últ</t>
  </si>
  <si>
    <t>ant</t>
  </si>
  <si>
    <t>Uva para vino</t>
  </si>
  <si>
    <t>Pizarra</t>
  </si>
  <si>
    <t>BCCBA</t>
  </si>
  <si>
    <t>Para la próxima hacer minigraficos por actividad con amarillo =0 rojo negativo verde positivo</t>
  </si>
  <si>
    <t>Evolución</t>
  </si>
  <si>
    <t>●</t>
  </si>
  <si>
    <t>Breves del mes</t>
  </si>
  <si>
    <t>Actual</t>
  </si>
  <si>
    <t>1 año ant</t>
  </si>
  <si>
    <t>Cam Mani</t>
  </si>
  <si>
    <t>t caja</t>
  </si>
  <si>
    <t>FederCitrus</t>
  </si>
  <si>
    <t>has</t>
  </si>
  <si>
    <t>FAO</t>
  </si>
  <si>
    <t>Sup Cosechada</t>
  </si>
  <si>
    <t>m3</t>
  </si>
  <si>
    <t>Unid</t>
  </si>
  <si>
    <t>Ovino Carne</t>
  </si>
  <si>
    <t>FLA</t>
  </si>
  <si>
    <t>DLTAP Doble propósito, Campo Natural</t>
  </si>
  <si>
    <t>DLTAP 2013</t>
  </si>
  <si>
    <t>Coninagro EERR tecnológico</t>
  </si>
  <si>
    <t>Acopio</t>
  </si>
  <si>
    <t>FET</t>
  </si>
  <si>
    <t>Salta - Virginia B1F</t>
  </si>
  <si>
    <t>https://www.ctsalta.com.ar/category/precios/</t>
  </si>
  <si>
    <t>Acopio+FET</t>
  </si>
  <si>
    <t>SENASA</t>
  </si>
  <si>
    <t>Volumen Mensual</t>
  </si>
  <si>
    <t>Vol 12 m</t>
  </si>
  <si>
    <t>2018-2019</t>
  </si>
  <si>
    <t>Base ene-16=100</t>
  </si>
  <si>
    <t>Base ene-16=100 en pesos constantes</t>
  </si>
  <si>
    <t>Dato</t>
  </si>
  <si>
    <t>INTA Concordia</t>
  </si>
  <si>
    <t>Euca +18pf</t>
  </si>
  <si>
    <t>Pino +16pf</t>
  </si>
  <si>
    <t>En base a costos plantación pino misiones</t>
  </si>
  <si>
    <t>Urea + Glifo + Maíz + Soja</t>
  </si>
  <si>
    <t>2019-20</t>
  </si>
  <si>
    <t>Vol. Nacional</t>
  </si>
  <si>
    <t>Vol. Salta</t>
  </si>
  <si>
    <t>Cam. Tabacaleros</t>
  </si>
  <si>
    <t>2017-2018</t>
  </si>
  <si>
    <t>2016-2017</t>
  </si>
  <si>
    <t>2015-2016</t>
  </si>
  <si>
    <t>Varios</t>
  </si>
  <si>
    <t>Pino 25-30 pf</t>
  </si>
  <si>
    <t>Euca 25-30 pf</t>
  </si>
  <si>
    <t>Misiones Colegio Forestal</t>
  </si>
  <si>
    <t>x</t>
  </si>
  <si>
    <t>https://www.argentina.gob.ar/inv/vinos/estadisticas/mercado-interno/informes</t>
  </si>
  <si>
    <t>últ 12 m vs 12 m ant</t>
  </si>
  <si>
    <t>t de huevos</t>
  </si>
  <si>
    <t>Magyp</t>
  </si>
  <si>
    <t>Cámara del Mani</t>
  </si>
  <si>
    <t>2019-2020</t>
  </si>
  <si>
    <t>Prom Mayorista</t>
  </si>
  <si>
    <t>Cat Avicola</t>
  </si>
  <si>
    <t>BNA</t>
  </si>
  <si>
    <t xml:space="preserve">$/Docena sin iva </t>
  </si>
  <si>
    <t>MATba/BCPBB</t>
  </si>
  <si>
    <t>Volumen año</t>
  </si>
  <si>
    <t>Consumidor</t>
  </si>
  <si>
    <t>Harina de trigo</t>
  </si>
  <si>
    <t>Pollo entero</t>
  </si>
  <si>
    <t>Asado</t>
  </si>
  <si>
    <t>ran_act2</t>
  </si>
  <si>
    <t>lis_act2</t>
  </si>
  <si>
    <t>Conversión</t>
  </si>
  <si>
    <t>Brecha Prod/Consumidor</t>
  </si>
  <si>
    <t>Brecha</t>
  </si>
  <si>
    <t>Productor</t>
  </si>
  <si>
    <t>Precios $/kg o lt</t>
  </si>
  <si>
    <t>Var. Interanual</t>
  </si>
  <si>
    <t>var. interanual</t>
  </si>
  <si>
    <t>Comparativo Brecha Productor Consumidor, $/kg o lt</t>
  </si>
  <si>
    <t>Pizarra BB</t>
  </si>
  <si>
    <t>Doc  Mayorista</t>
  </si>
  <si>
    <t>Zapallo Anco</t>
  </si>
  <si>
    <t>Redondo</t>
  </si>
  <si>
    <t>Pan Francés</t>
  </si>
  <si>
    <t>Vino Común</t>
  </si>
  <si>
    <t>$/1/2 kg</t>
  </si>
  <si>
    <t>$/100 g</t>
  </si>
  <si>
    <t>INDEC-GBA</t>
  </si>
  <si>
    <t>Varias</t>
  </si>
  <si>
    <t>cambiar x girasol</t>
  </si>
  <si>
    <t>Prom Rinde 55%</t>
  </si>
  <si>
    <r>
      <t xml:space="preserve">Vino </t>
    </r>
    <r>
      <rPr>
        <sz val="10"/>
        <color theme="0"/>
        <rFont val="Calibri"/>
        <family val="2"/>
      </rPr>
      <t>Blanco</t>
    </r>
  </si>
  <si>
    <t>$</t>
  </si>
  <si>
    <r>
      <t>Componente Mercado</t>
    </r>
    <r>
      <rPr>
        <sz val="10"/>
        <color theme="1"/>
        <rFont val="Calibri"/>
        <family val="2"/>
      </rPr>
      <t xml:space="preserve"> </t>
    </r>
    <r>
      <rPr>
        <i/>
        <sz val="10"/>
        <color theme="1"/>
        <rFont val="Calibri"/>
        <family val="2"/>
      </rPr>
      <t>(mes anterior)</t>
    </r>
  </si>
  <si>
    <t>$/kg carne</t>
  </si>
  <si>
    <t>2020-21</t>
  </si>
  <si>
    <t>Magyp+FLA</t>
  </si>
  <si>
    <t>prom pond huevo-carne</t>
  </si>
  <si>
    <t>Granífero</t>
  </si>
  <si>
    <t>Renapa</t>
  </si>
  <si>
    <t>https://www.magyp.gob.ar/sitio/areas/d_ovinos/estadistica/indicadores/index.php</t>
  </si>
  <si>
    <t>Dólar BNA</t>
  </si>
  <si>
    <t>http://trabajoagrarioweb.trabajo.gob.ar/Consultas/Consulta.asp</t>
  </si>
  <si>
    <t>2020-2021</t>
  </si>
  <si>
    <t>https://www.magyp.gob.ar/sitio/areas/porcinos/estadistica/</t>
  </si>
  <si>
    <t>https://www.magyp.gob.ar/sitio/areas/aves/estadistica/huevos/index.php</t>
  </si>
  <si>
    <t>FENAPP BA</t>
  </si>
  <si>
    <t>2021-22</t>
  </si>
  <si>
    <t>Nro sem</t>
  </si>
  <si>
    <t>https://camaradelmani.org.ar/estadisticas/</t>
  </si>
  <si>
    <t xml:space="preserve">Rojo: precio </t>
  </si>
  <si>
    <t>Verde: costos</t>
  </si>
  <si>
    <t>Precio producto constante</t>
  </si>
  <si>
    <t>Costo constante</t>
  </si>
  <si>
    <t>Costo Constante indice</t>
  </si>
  <si>
    <t>2020-22</t>
  </si>
  <si>
    <t>2021-2022</t>
  </si>
  <si>
    <t>2022-23</t>
  </si>
  <si>
    <t>Federcitrus-INTA-USDA</t>
  </si>
  <si>
    <t>FAO/INTA/USDA</t>
  </si>
  <si>
    <t>2022-2023</t>
  </si>
  <si>
    <t>Columna1</t>
  </si>
  <si>
    <t>Columna2</t>
  </si>
  <si>
    <t>Columna3</t>
  </si>
  <si>
    <t>Columna4</t>
  </si>
  <si>
    <t>Columna5</t>
  </si>
  <si>
    <t>Columna6</t>
  </si>
  <si>
    <t>BCBA</t>
  </si>
  <si>
    <t>2023-24</t>
  </si>
  <si>
    <t>$/qq</t>
  </si>
  <si>
    <t>SAGyP</t>
  </si>
  <si>
    <t>Recuperando desde la sequía</t>
  </si>
  <si>
    <t>Recuperando exportaciones</t>
  </si>
  <si>
    <t>En el sur del país, la oferta está limitada por el clima.</t>
  </si>
  <si>
    <t>Estabilizándose la oferta</t>
  </si>
  <si>
    <t>Esperando nuevas señales</t>
  </si>
  <si>
    <t>https://www.magyp.gob.ar/sitio/areas/ss_mercados_agropecuarios/areas/regionales/index.php</t>
  </si>
  <si>
    <t>ROS abril</t>
  </si>
  <si>
    <t>ROS Mayo</t>
  </si>
  <si>
    <t>ROS Enero</t>
  </si>
  <si>
    <t>Mercado estancado y a la espera de novedades</t>
  </si>
  <si>
    <t>Precios que tientan a la nueva cosecha</t>
  </si>
  <si>
    <t>Reacomodando esquemas de producción y costos cambiantes</t>
  </si>
  <si>
    <t>Pese a los precios de Novillo y Ternero por encima de la inflación, costos y feedlots complicados</t>
  </si>
  <si>
    <t>No repunta aún</t>
  </si>
  <si>
    <t>Indicadores negativos casi en todo un año</t>
  </si>
  <si>
    <t>Aun las señales no son positivas: costos, producción y mercado.</t>
  </si>
  <si>
    <t>Gran baja de precios en noviembre.</t>
  </si>
  <si>
    <t>Precios atrasados, costos empujados por la sequía. Se está vendiendo la hacienda de los tambos</t>
  </si>
  <si>
    <t>Mejoran las señales, pese a la pobre dinámica exportadora</t>
  </si>
  <si>
    <t>Mercado estancado pese al repunte de precios en noviembre</t>
  </si>
  <si>
    <t>Persisten los altos costos</t>
  </si>
  <si>
    <t>Esperando la vendimia 2024</t>
  </si>
  <si>
    <t>Mercado estable. Algo retrasados los precios, suben en diciembre</t>
  </si>
  <si>
    <t>2023-2024</t>
  </si>
  <si>
    <t>En proceso de recuperación de la producción y las exportaciones</t>
  </si>
  <si>
    <t>En recuperación productiva</t>
  </si>
  <si>
    <t>Grandes subas de costos y mercados complicados</t>
  </si>
  <si>
    <t>La cría bien, la invernada a campo también, complicado el feedlot.. Vaivén de precios y mercados.</t>
  </si>
  <si>
    <t>Complicados</t>
  </si>
  <si>
    <t>Suben los costos de labores</t>
  </si>
  <si>
    <t>Precios en caída (tomate, cebolla y zanahorias)</t>
  </si>
  <si>
    <t>Se complica la crisis por costos, falta de reservas y mercados estancados</t>
  </si>
  <si>
    <t>Costos a la par de la inflación</t>
  </si>
  <si>
    <t>Recuperación de las exportaciones en diciembre. A mitad de camino en la campaña.</t>
  </si>
  <si>
    <t>Complicadas las señales de mercados</t>
  </si>
  <si>
    <t>Ultimo mes antes de la cosecha: leve repunte de las exportaciones.</t>
  </si>
  <si>
    <t>Mercado estable pese a la suba de costos.</t>
  </si>
  <si>
    <t>Comienza la nueva campaña el próximo mes, con muy bajas exportaciones.</t>
  </si>
  <si>
    <t>Costos por las nubes, esperando la nueva vendimia.</t>
  </si>
  <si>
    <t>Precios de la hoja verde por debajo de la inflación. En recuperación productiva.</t>
  </si>
  <si>
    <r>
      <t>Componente Mercado</t>
    </r>
    <r>
      <rPr>
        <sz val="8"/>
        <color theme="1"/>
        <rFont val="Calibri"/>
        <family val="2"/>
      </rPr>
      <t xml:space="preserve"> </t>
    </r>
    <r>
      <rPr>
        <i/>
        <sz val="8"/>
        <color theme="1"/>
        <rFont val="Calibri"/>
        <family val="2"/>
      </rPr>
      <t>(mes anterior)</t>
    </r>
  </si>
  <si>
    <t>Semáforo</t>
  </si>
  <si>
    <t>Muy baja producción por la falta de flores en el centro del país. Pese a la suba de los precios.</t>
  </si>
  <si>
    <t>Pese a la suba, precios suben menos que costos. Comienza la cosecha de trigo, cebada y girasol.</t>
  </si>
  <si>
    <t>MATba/BCR</t>
  </si>
  <si>
    <t>https://www.mercadoagroganadero.com.ar/dll/hacienda1.dll/haciinfo000502</t>
  </si>
  <si>
    <t>Las exportaciones y los precios siguen deprimidos. Comienza la cosecha con rindes menores a los esperados.</t>
  </si>
  <si>
    <t>Salvo las exportaciones, la producción y precios vienen evolucionando en forma positiva</t>
  </si>
  <si>
    <t xml:space="preserve">Actividad en recuperación productiva, manejando nuevo esquema de costos </t>
  </si>
  <si>
    <t>Esquemas acomodándose luego de los cambios de precios relativos en diciembre.</t>
  </si>
  <si>
    <t>Mercados complicados. Para la producción, hay que esperar algunos meses más.</t>
  </si>
  <si>
    <t>Precios en recuperación, pese a la baja dinámica en las exportaciones.</t>
  </si>
  <si>
    <t>Finalizando la cosecha de fina, preocupan los bajos precios y las estimaciones de rinde de gruesa</t>
  </si>
  <si>
    <t>Siguen los precios en caída. Recuperación de exportaciones.</t>
  </si>
  <si>
    <t>Se mantiene la crisis por costos, falta de reservas y mercados estancados</t>
  </si>
  <si>
    <t>Costos por encima de la inflación</t>
  </si>
  <si>
    <t>Recuperación de precios y exportaciones. Estimaciones para esta campaña muestran recuperación de área.</t>
  </si>
  <si>
    <t>En recuperación, con costos elevados.</t>
  </si>
  <si>
    <t>Variables positivas</t>
  </si>
  <si>
    <t>Mercado interno recuperando, falta reacción de las exportaciones</t>
  </si>
  <si>
    <t>Costos por las nubes, precio deprimido, esperando la nueva vendimia.</t>
  </si>
  <si>
    <t>Precios a la par de la inflación interanual y mercado estable.</t>
  </si>
  <si>
    <t>Faltan señales de cambio de tendencia. Aun no transcurre suficiente la campaña.</t>
  </si>
  <si>
    <t>Pomedia la cosecha, se esperan buenos rindes. La exportación aun no despega.</t>
  </si>
  <si>
    <t>Sigue la recuperación productiva, con buenos indicadores en todos los frentes.</t>
  </si>
  <si>
    <t>Mejoras respecto al año pasado, incertidumbre por la baja de consumo.</t>
  </si>
  <si>
    <t>Exportación a la baja, a la espera de la recuperación en el invierno.</t>
  </si>
  <si>
    <t>Siguen los precios en recuperación, pese a la baja dinámica en las exportaciones.</t>
  </si>
  <si>
    <t>Esperando las estimaciones de soja en marzo, preocupan los precios externos</t>
  </si>
  <si>
    <t>Mejora la ecuación precio-costos en febrero, a la espera de la reacción del resto de los indicadores</t>
  </si>
  <si>
    <t>Signos de recuperación en la ecuación económica. Ojalá el clima acompañe.</t>
  </si>
  <si>
    <t>Año muy atípico, colmenas con baja producción y costos de movilidad muy altos</t>
  </si>
  <si>
    <t xml:space="preserve">Mitad de camino en cosecha (SE BsAs), con oferta estimada similar al año pasado. </t>
  </si>
  <si>
    <t>Segundo mes de cosecha, con bajos volúmenes y con costos elevados.</t>
  </si>
  <si>
    <t>Bajó el precio y el consumo. Atentos al mes de marzo.</t>
  </si>
  <si>
    <t>Arrancando la cosecha, esperamos los precios en marzo-abril, atentos a los rindes. Preocupa el bajo consumo.</t>
  </si>
  <si>
    <t>Mercado estable. Caen levemente las exportaciones</t>
  </si>
  <si>
    <t>Precios a la par de la inflación</t>
  </si>
  <si>
    <t>rojo (5y4)</t>
  </si>
  <si>
    <t>ama (3)</t>
  </si>
  <si>
    <t>ver (1y2)</t>
  </si>
  <si>
    <t>https://cem.matbarofex.com.ar/</t>
  </si>
  <si>
    <t>Precios muy deprimidos. Campaña irregular</t>
  </si>
  <si>
    <t>Se espera una recuperación. Pobre desempeño exportador</t>
  </si>
  <si>
    <t>Actividad estable, a la par de la inflación.</t>
  </si>
  <si>
    <t>Muy bajo consumo y también bajo el valor de la exportación. La ecuación del productor se mantiene neutra</t>
  </si>
  <si>
    <t>Arraca la que se espera sea una mejor campaña que la anterior.</t>
  </si>
  <si>
    <t>Precios en recuperación. Altos costos!!</t>
  </si>
  <si>
    <t>La ecuación sigue siendo negativa tomando todos los granos. Comienzan las estimaciones de recuperación respecto de la sequía</t>
  </si>
  <si>
    <t>Suben los precios al productor,  pero el monto se achica por el menor volumen de producción. Alerta a las reservas y el menor maíz</t>
  </si>
  <si>
    <t>Precios a la par de la inflación en la industria, que no se ven en el Mercado Central (este análisis)</t>
  </si>
  <si>
    <t>Buenos indicadores económicos. Cerró el Congreso Internacional de Maní.</t>
  </si>
  <si>
    <t xml:space="preserve">Bajos precios. A mitad de camino en cosecha (SE BsAs), con oferta estimada similar al año pasado. </t>
  </si>
  <si>
    <t>Leve recuperación de precios, falta levantar el resto de la ecuación</t>
  </si>
  <si>
    <t>Se cayó el precio y el consumo, pese a la estabilidad de la producción.</t>
  </si>
  <si>
    <t>Elevados costos y falta reacción de las exportaciones</t>
  </si>
  <si>
    <t>Precios muy detrás de la inflación, la recuperación respecto de la campaña pasada se observa regular (en lugar de importante)</t>
  </si>
  <si>
    <t>Mercado estable. Caen levemente el envío al mercado interno cuando se mide per cápita (aprox de consumo)</t>
  </si>
  <si>
    <t>https://www.magyp.gob.ar/sitio/areas/estimaciones/</t>
  </si>
  <si>
    <t>2024-25</t>
  </si>
  <si>
    <t>Cabezas</t>
  </si>
  <si>
    <t>Faena</t>
  </si>
  <si>
    <t>inflación</t>
  </si>
  <si>
    <t>Divisa Prom Cpra-Venta</t>
  </si>
  <si>
    <t>https://www.cac.bcr.com.ar/es/precios-de-pizarra/consultas</t>
  </si>
  <si>
    <t>https://drive.google.com/drive/folders/1Gl3471K-NMJGDsoWq2Y00Eix3W-1qWhM</t>
  </si>
  <si>
    <t>https://comex.indec.gob.ar/#/database</t>
  </si>
  <si>
    <t>https://dinem.magyp.gob.ar/dinem_fob.WP_ConsProdf.aspx</t>
  </si>
  <si>
    <t>https://infopro.misiones.gob.ar/index.php/category/precios-materia-prima/</t>
  </si>
  <si>
    <t>Bases de Datos</t>
  </si>
  <si>
    <t>0 Precios MCBA</t>
  </si>
  <si>
    <t>Excel para obtener los precios promedios mensuales de hortalizas y  frutas</t>
  </si>
  <si>
    <t>Precios Pollo</t>
  </si>
  <si>
    <t>Excel para obtener los precios promedios mensuales de huevos y pollo</t>
  </si>
  <si>
    <t>CONI_comercio_exterior</t>
  </si>
  <si>
    <t xml:space="preserve">Excel para obtener datos de exportacion e importacion </t>
  </si>
  <si>
    <t>Variables Macro</t>
  </si>
  <si>
    <t>Tipo de dato</t>
  </si>
  <si>
    <t>Banco Nacion</t>
  </si>
  <si>
    <t>https://www.bna.com.ar/Personas</t>
  </si>
  <si>
    <t>Promedio mensual compra-venta</t>
  </si>
  <si>
    <t>Inflacion</t>
  </si>
  <si>
    <t>https://www.indec.gob.ar/indec/web/Nivel4-Tema-3-5-31</t>
  </si>
  <si>
    <t>Indice IPC</t>
  </si>
  <si>
    <t>Salario Peon Rural</t>
  </si>
  <si>
    <t>Margenes</t>
  </si>
  <si>
    <t>https://www.margenes.com/</t>
  </si>
  <si>
    <t>Precio de 100 lt de gasoil en dolares</t>
  </si>
  <si>
    <t>Precio Urea Granulada por tonelada en dolares</t>
  </si>
  <si>
    <t>Precio Glifosato 54% por litro en dolares</t>
  </si>
  <si>
    <t>Precio por flete de 300 km por tonelada de grano en dolares</t>
  </si>
  <si>
    <t>Precio promedio mensual al mercado interno. Grado C 1/2</t>
  </si>
  <si>
    <t>Precio promedio mensual al mercado interno. Grado D 1/2</t>
  </si>
  <si>
    <t>Precio de arroz cascara Largo Fino</t>
  </si>
  <si>
    <t>BCBB</t>
  </si>
  <si>
    <t>https://www.bcp.org.ar/cotizaciones.asp</t>
  </si>
  <si>
    <t>Precio promedio en puerto de Bahia Blanca</t>
  </si>
  <si>
    <t>BCR</t>
  </si>
  <si>
    <t>Precio pizarra promedio mensual</t>
  </si>
  <si>
    <t>Maiz</t>
  </si>
  <si>
    <t>Matba Rofex</t>
  </si>
  <si>
    <t>Precio mensual. Sorgo granífero, Los Demás, A granel con hasta un 15 % embolsado</t>
  </si>
  <si>
    <t>*</t>
  </si>
  <si>
    <t>Mani</t>
  </si>
  <si>
    <t>Precio pizarra disponible Mani Runner</t>
  </si>
  <si>
    <t>PARTICULAR</t>
  </si>
  <si>
    <t>-</t>
  </si>
  <si>
    <t>Tinto</t>
  </si>
  <si>
    <t>BCM</t>
  </si>
  <si>
    <t>https://bolsamza.com.ar/estadisticas-de-uvas-del-mercado-vitivinicola/</t>
  </si>
  <si>
    <t>Precio promedio gral. variedad TINTO</t>
  </si>
  <si>
    <t>Blanco</t>
  </si>
  <si>
    <t>Precio promedio gral. variedad BLANCO</t>
  </si>
  <si>
    <t>Rosado</t>
  </si>
  <si>
    <t>Precio promedio gral. variedad ROSADO</t>
  </si>
  <si>
    <t xml:space="preserve">Manzanas </t>
  </si>
  <si>
    <t>MCBA</t>
  </si>
  <si>
    <t>https://www.mercadocentral.gob.ar/informaci%C3%B3n/precios-mayoristas</t>
  </si>
  <si>
    <t>Forestacion</t>
  </si>
  <si>
    <t>Instituto Forestal Misiones</t>
  </si>
  <si>
    <t>Precio Pino Resinoso, trozas podadas de 25 - 29,9 cm</t>
  </si>
  <si>
    <t>Pino +16 pf</t>
  </si>
  <si>
    <t xml:space="preserve">Precio Pino +16 cm en punta fina. Monte en pie. Madera para aserradero </t>
  </si>
  <si>
    <t>Precio Eucalipto, trozas podadas de 25 - 29,9 cm</t>
  </si>
  <si>
    <t>Euca +18 pf</t>
  </si>
  <si>
    <t xml:space="preserve">Precio Eucalipto +18 cm en punta fina. Monte en pie. Madera para aserradero </t>
  </si>
  <si>
    <t xml:space="preserve"> Virginia B1F</t>
  </si>
  <si>
    <t>Camara del tabaco - Salta</t>
  </si>
  <si>
    <t>Precio de campaña tabaco Virginia B1F - Acopio</t>
  </si>
  <si>
    <t>https://www.magyp.gob.ar/sitio/areas/tabaco/normativa/precios/index.php</t>
  </si>
  <si>
    <t>Bovino</t>
  </si>
  <si>
    <t>MAG (Liniers)</t>
  </si>
  <si>
    <t>Precio promedio de la categoria</t>
  </si>
  <si>
    <t>ROSGAN</t>
  </si>
  <si>
    <t xml:space="preserve">Precio indice terneros Rosgan </t>
  </si>
  <si>
    <t>Catedra Avicola</t>
  </si>
  <si>
    <t>https://www.catedraavicola.com.ar/cotizaciones/</t>
  </si>
  <si>
    <t>Precio promedio mayorista  pollo parrillero eviserado. Capital Federal y CABA</t>
  </si>
  <si>
    <t>Huevos</t>
  </si>
  <si>
    <t>Precio promedio de la docena de huevos de color y blanco. Buenos Aires</t>
  </si>
  <si>
    <t>SIPAN</t>
  </si>
  <si>
    <t>Precio de Cordero Pesado mayor a 12kg Patagonia Norte A (Rio Negro y Patagones)</t>
  </si>
  <si>
    <t>SAGyP - PROLANA</t>
  </si>
  <si>
    <t>https://www.magyp.gob.ar/sitio/areas/prolana/calculadora/</t>
  </si>
  <si>
    <t>Patagónicas 28 micrones. 55% de rinde al peine</t>
  </si>
  <si>
    <t>https://www.magyp.gob.ar/sitio/areas/porcinos/informes/</t>
  </si>
  <si>
    <t>Precio promedio Capon General. Informes de precios porcinos</t>
  </si>
  <si>
    <t xml:space="preserve">SAGyP - SIGLeA </t>
  </si>
  <si>
    <t>https://www.magyp.gob.ar/sitio/areas/ss_lecheria/mercado_futuro/</t>
  </si>
  <si>
    <t>Precio al productor Nacional</t>
  </si>
  <si>
    <t>Superficie a implantar (ha)</t>
  </si>
  <si>
    <t>https://www.bolsadecereales.com/pas</t>
  </si>
  <si>
    <t>Superficie sembrada (ha)</t>
  </si>
  <si>
    <t>CAM</t>
  </si>
  <si>
    <t>Superficie sembrada (ha) camapaña actual</t>
  </si>
  <si>
    <t>https://inym.org.ar/descargar/publicaciones/estadisticas/superficie-cultivada-por-departamento.html</t>
  </si>
  <si>
    <t>Superficie CULTIVADA (ha)</t>
  </si>
  <si>
    <t>INV - SAGyP</t>
  </si>
  <si>
    <t>Superficie (ha). Dato anual</t>
  </si>
  <si>
    <t>SAGyP - SENASA</t>
  </si>
  <si>
    <t>https://www.magyp.gob.ar/sitio/areas/bovinos/informacion_interes/informes/index.php</t>
  </si>
  <si>
    <t xml:space="preserve">Stock de cabezas al 31 de diciembre </t>
  </si>
  <si>
    <t>Stock de cabezas al 31 de marzo</t>
  </si>
  <si>
    <t>https://www.magyp.gob.ar/sitio/areas/d_ovinos/estadistica/existencias/index.php</t>
  </si>
  <si>
    <t>SAGyP - RENAVI</t>
  </si>
  <si>
    <t>https://www.magyp.gob.ar/sitio/areas/aves/renavi/</t>
  </si>
  <si>
    <t>RENAPA</t>
  </si>
  <si>
    <t>Dato colmenas del 2019</t>
  </si>
  <si>
    <t>Superficie plantada (ha). Sumatoria Naranja, Mandarina y Pomelo</t>
  </si>
  <si>
    <t>https://www.argentina.gob.ar/agricultura/subsecretaria-agricultura/informes-sectoriales-de-hortalizas#:~:text=Nuestro%20pa%C3%ADs%20produce%20unas%207,distribuidas%20en%20todo%20el%20pa%C3%ADs.</t>
  </si>
  <si>
    <t>https://fenapp.org.ar/la-superficie-sembrada-de-papa-en-el-sudeste-bonaerense-aumento-un-97/</t>
  </si>
  <si>
    <t>Produccion</t>
  </si>
  <si>
    <t>Volumen de produccion campaña actual</t>
  </si>
  <si>
    <t>Bolsa de Cereales Bs As</t>
  </si>
  <si>
    <t>https://www.bolsadecereales.com/</t>
  </si>
  <si>
    <t>https://camaradelmani.org.ar/2025/04/16/tabla-de-oferta-y-demanda-2025/</t>
  </si>
  <si>
    <t xml:space="preserve">Volumen mensual de ingreso de Hoja Verde </t>
  </si>
  <si>
    <t>Uva</t>
  </si>
  <si>
    <t>p/ vino</t>
  </si>
  <si>
    <t>SAGyP - INV</t>
  </si>
  <si>
    <t>https://www.argentina.gob.ar/inv</t>
  </si>
  <si>
    <t xml:space="preserve">Volumen de prodducion </t>
  </si>
  <si>
    <t>https://www.federcitrus.org/estadisticas/</t>
  </si>
  <si>
    <t>Volumen produccion (tn). Sumatoria Naranja, Mandarina y Pomelo</t>
  </si>
  <si>
    <t xml:space="preserve">Dato mensual de faena en cabezas </t>
  </si>
  <si>
    <t>https://www.flasite.com/index.php/es/</t>
  </si>
  <si>
    <t>Produccion estimada de lana sucia</t>
  </si>
  <si>
    <t>https://www.argentina.gob.ar/senasa/patagonia-norte-mensuarios-estadisticos</t>
  </si>
  <si>
    <t>Dato produccion mensual de pera fresca. (Export + Merc. Interno)</t>
  </si>
  <si>
    <t>Dato produccion mensual de manzana en  fresca. (Export + Merc. Interno)</t>
  </si>
  <si>
    <t>https://www.magyp.gob.ar/sitio/areas/bovinos/informacion_sectorial/</t>
  </si>
  <si>
    <t>Produccion mensual en tn de res con hueso</t>
  </si>
  <si>
    <t>https://www.magyp.gob.ar/sitio/areas/aves/estadistica/carne/index.php</t>
  </si>
  <si>
    <t>Produccion mensual de huevos industrializados en miles de huevos</t>
  </si>
  <si>
    <t>https://www.magyp.gob.ar/sitio/areas/ss_lecheria/estadisticas/_01_primaria/index.php</t>
  </si>
  <si>
    <t>Produccion mensual nacional en milloens de litros</t>
  </si>
  <si>
    <t xml:space="preserve">Arroz </t>
  </si>
  <si>
    <t>Consumo (kg/hab/año) = Demanda Mercado Interno / Poblacion Arg</t>
  </si>
  <si>
    <t>https://www.magyp.gob.ar/sitio/areas/aves/estadistica/tablero/index.php</t>
  </si>
  <si>
    <t>Consumo per capita de CARNE  (kg/hab/año)</t>
  </si>
  <si>
    <t>Promedio movil Consumo per capita (kg/hab/año)</t>
  </si>
  <si>
    <t>Lacteos</t>
  </si>
  <si>
    <t>OCLA</t>
  </si>
  <si>
    <t>https://www.ocla.org.ar/</t>
  </si>
  <si>
    <t xml:space="preserve">Consumo interno </t>
  </si>
  <si>
    <t xml:space="preserve">Consumo (kg/hab/año) = (Yerba Mate a salida del Molino x 12 )/ Poblacion Arg </t>
  </si>
  <si>
    <t>SaGyP - INV</t>
  </si>
  <si>
    <t>Dato de Enero 2023</t>
  </si>
  <si>
    <t>Consumo local en toneladas</t>
  </si>
  <si>
    <t>Precio promedio mosto SULFITADO</t>
  </si>
  <si>
    <t>2025-26</t>
  </si>
  <si>
    <t>25/26</t>
  </si>
  <si>
    <t>24/25</t>
  </si>
  <si>
    <t>https://x.com/DatosAlfa</t>
  </si>
  <si>
    <t>Datos de…</t>
  </si>
  <si>
    <t>Precio promedio mensual entre Coop y Sector Privado</t>
  </si>
  <si>
    <t>Salario mensual</t>
  </si>
  <si>
    <t>INTA Manfredi</t>
  </si>
  <si>
    <t>https://repositorio.inta.gob.ar/handle/20.500.12123/225</t>
  </si>
  <si>
    <t>https://qliksensebycores.senasa.gob.ar/hub/stream/aaec8d41-5201-43ab-809f-3063750dfafd</t>
  </si>
  <si>
    <t>Stock total de bovinos en tambo</t>
  </si>
  <si>
    <t>Dato industrializacion y otros usos</t>
  </si>
  <si>
    <t>Dato Consumo</t>
  </si>
  <si>
    <t>Dato industrializacion y otros usos + Consumo animal</t>
  </si>
  <si>
    <t>Dato industrializacion + Consumo animal</t>
  </si>
  <si>
    <t>Dato molienda + semillas y otros usos</t>
  </si>
  <si>
    <t>Componente Mercado</t>
  </si>
  <si>
    <t>Ahora</t>
  </si>
  <si>
    <t>Puntaje Final</t>
  </si>
  <si>
    <t>Existencias de Reproductoras pesadas Totales</t>
  </si>
  <si>
    <t>https://www.fao.org/faostat/es/#data/QCL</t>
  </si>
  <si>
    <t>Dato area cosechada - cebollas y chalotes, secos (excepto deshidratados)</t>
  </si>
  <si>
    <t>Dato area cosechada - tomates, frescos</t>
  </si>
  <si>
    <t>Dato area cosechada - zanahorias y nabos</t>
  </si>
  <si>
    <t>Dato area cosechada - calabazas, zapayo, calabaza confitera</t>
  </si>
  <si>
    <t>Dato area cosechada - Yuca, freca</t>
  </si>
  <si>
    <t>Dato area cosechada - peras</t>
  </si>
  <si>
    <t>Dato area cosechada - manzanas</t>
  </si>
  <si>
    <t>Dato area cosehcada - papas, patatas</t>
  </si>
  <si>
    <t>Dato produccion - cebollas y chalotes, secos (excepto deshidratados)</t>
  </si>
  <si>
    <t>Dato produccion - tomates, frescos</t>
  </si>
  <si>
    <t>Dato produccion - zanahorias y nabos</t>
  </si>
  <si>
    <t>Dato produccion - yuca fresca</t>
  </si>
  <si>
    <t>Dato produccion - miel natural</t>
  </si>
  <si>
    <t>Dato produccion - papa, patatas</t>
  </si>
  <si>
    <t>SAGYP</t>
  </si>
  <si>
    <t>https://www.magyp.gob.ar/sitio/areas/tabaco/produccion_mercados/interno/index.php</t>
  </si>
  <si>
    <t>Produccion campaña</t>
  </si>
  <si>
    <t>produccion campaña</t>
  </si>
  <si>
    <t>Vitivinicola</t>
  </si>
  <si>
    <t>25-26</t>
  </si>
  <si>
    <t>mes anterior</t>
  </si>
  <si>
    <t>Precio FET Virginia</t>
  </si>
  <si>
    <t>Arroz blanco simple</t>
  </si>
  <si>
    <t>Leche fresca entera en sachet</t>
  </si>
  <si>
    <t>Ene</t>
  </si>
  <si>
    <t>Feb</t>
  </si>
  <si>
    <t>Mar</t>
  </si>
  <si>
    <t>Abr</t>
  </si>
  <si>
    <t>May</t>
  </si>
  <si>
    <t>Jun</t>
  </si>
  <si>
    <t>Jul</t>
  </si>
  <si>
    <t>Ago</t>
  </si>
  <si>
    <t>Precio Consumidor</t>
  </si>
  <si>
    <t>IPCVA</t>
  </si>
  <si>
    <t>https://ipcva.agrositio.com/estadisticas/vista_precios_consumidor2.php</t>
  </si>
  <si>
    <t>Precio Asado</t>
  </si>
  <si>
    <t>Precio Pechito de Cerdo</t>
  </si>
  <si>
    <t>IPG Santa Cruz</t>
  </si>
  <si>
    <t>Precio Pollo Entero</t>
  </si>
  <si>
    <t>Precio Sachet de Leche</t>
  </si>
  <si>
    <t>Harina</t>
  </si>
  <si>
    <t>Pan Frances tipo flauta</t>
  </si>
  <si>
    <t>Precio Algodón (100gr)</t>
  </si>
  <si>
    <t>CitricosDulces</t>
  </si>
  <si>
    <t>Precio Naranja (kg)</t>
  </si>
  <si>
    <t>Precio Papa (kg)</t>
  </si>
  <si>
    <t>https://ipgsantacruz.org.ar/web/informes-mensuales/</t>
  </si>
  <si>
    <t>Precio Huevos de Gallina (docena)</t>
  </si>
  <si>
    <t>Precio Yerba Mate (500gr)</t>
  </si>
  <si>
    <t>Precio Vino Común (litro)</t>
  </si>
  <si>
    <t>Precio Manzana Deliciosa (kg)</t>
  </si>
  <si>
    <t>https://www.indec.gob.ar/indec/web/Nivel4-Tema-3-5-30</t>
  </si>
  <si>
    <t>Precio Cebolla (kg)</t>
  </si>
  <si>
    <t>Precio Tomate Redondo (kg)</t>
  </si>
  <si>
    <t>Precio Zapallo Anco (kg)</t>
  </si>
  <si>
    <t>Precio Arroz blanco simple (kg)</t>
  </si>
  <si>
    <t>Oct</t>
  </si>
  <si>
    <t>total s/ granos</t>
  </si>
  <si>
    <t>total</t>
  </si>
  <si>
    <t>Pechito de cerdo</t>
  </si>
  <si>
    <t xml:space="preserve">Yerba </t>
  </si>
  <si>
    <t>P.P</t>
  </si>
  <si>
    <t>P.C</t>
  </si>
  <si>
    <t>% GB</t>
  </si>
  <si>
    <t>$/lt</t>
  </si>
  <si>
    <t>Participacion del Productor</t>
  </si>
  <si>
    <t>Precio al Productor</t>
  </si>
  <si>
    <t>V</t>
  </si>
  <si>
    <t>A</t>
  </si>
  <si>
    <t>R</t>
  </si>
  <si>
    <t>Total</t>
  </si>
  <si>
    <t>Verde</t>
  </si>
  <si>
    <t>Amarillo</t>
  </si>
  <si>
    <t>Rojo</t>
  </si>
  <si>
    <t>Eco</t>
  </si>
  <si>
    <t>precio sol.utiles</t>
  </si>
  <si>
    <t>Nov</t>
  </si>
  <si>
    <t>Dic</t>
  </si>
  <si>
    <t>24-25</t>
  </si>
  <si>
    <t>Dato produccion -  calabazas, zapayo, calabaza confitada</t>
  </si>
  <si>
    <t>https://www.fao.org/faostat/es/#data/FBS</t>
  </si>
  <si>
    <t xml:space="preserve">cantidad de suministros de alimentos ( kg/persona/año) - yuca, mandioca y otros prodcutos. </t>
  </si>
  <si>
    <t xml:space="preserve">cantidad de suministros de alimentos ( kg/persona/año) - miel </t>
  </si>
  <si>
    <t>Novillito</t>
  </si>
  <si>
    <t>Gaich</t>
  </si>
  <si>
    <t>Mario</t>
  </si>
  <si>
    <t>Riskin, secretario de fruticultuta RN</t>
  </si>
  <si>
    <t>https://sipan.inta.gob.ar/economia/informes/?Y=MjAyNg==</t>
  </si>
  <si>
    <t>MCBA - Supermercados</t>
  </si>
  <si>
    <t>Manzana Red Delicius</t>
  </si>
  <si>
    <t xml:space="preserve">Miel Fraccionada </t>
  </si>
  <si>
    <t>Denis</t>
  </si>
  <si>
    <t>MCBA - Supermecados</t>
  </si>
  <si>
    <t>Precio miel fraccionada promedio total pais</t>
  </si>
  <si>
    <t>https://preciosdelcentral.com/buenosaires</t>
  </si>
  <si>
    <t>Precio Promedio (kg)</t>
  </si>
  <si>
    <t>Exportacion</t>
  </si>
  <si>
    <t>Interno</t>
  </si>
  <si>
    <t>$ Mayorista</t>
  </si>
  <si>
    <t>Comision</t>
  </si>
  <si>
    <t>Gastos</t>
  </si>
  <si>
    <t>Actualizaciones</t>
  </si>
  <si>
    <t>FETRA</t>
  </si>
  <si>
    <t>Feb-22 - Mar-22</t>
  </si>
  <si>
    <t>Abr-22 - May-22</t>
  </si>
  <si>
    <t>Jun-22 - Oct-22</t>
  </si>
  <si>
    <t>Nov-22 - Ene-23</t>
  </si>
  <si>
    <t>Feb-23 - May-23</t>
  </si>
  <si>
    <t>Jun-23 - Ago-23</t>
  </si>
  <si>
    <t>Sep-23 - Dic-23</t>
  </si>
  <si>
    <t>Ene-24 - Feb-24</t>
  </si>
  <si>
    <t>Mar-24 - Jun-24</t>
  </si>
  <si>
    <t>Jul-24 - Dic-24</t>
  </si>
  <si>
    <t>Ene-25 - Ago-25</t>
  </si>
  <si>
    <t>Sep-25 - Dic-25</t>
  </si>
  <si>
    <t>$/tn/kg</t>
  </si>
  <si>
    <t>https://fetra.org.ar/tarifas.php?anio=2026</t>
  </si>
  <si>
    <t>https://www.rosgan.com.ar/indices</t>
  </si>
  <si>
    <t>2024-2025</t>
  </si>
  <si>
    <t>Sep</t>
  </si>
  <si>
    <t>https://bccba.org.ar/</t>
  </si>
  <si>
    <t>https://public.tableau.com/views/Miel-PreciosZonales-vs2/Panel_Evolucion?:language=es-ES&amp;:display_count=n&amp;:origin=viz_share_link&amp;:showVizHome=no</t>
  </si>
  <si>
    <t>PROAPI</t>
  </si>
  <si>
    <t>Precio promedio ponderado region pampeana - Exportacion</t>
  </si>
  <si>
    <t>Precio promedio de referencia. Interno</t>
  </si>
  <si>
    <t>https://inym.org.ar/descargar/publicaciones/estadisticas/2026.html</t>
  </si>
  <si>
    <t xml:space="preserve">Proyeccion San juan y mendoza </t>
  </si>
  <si>
    <t>Consumo Estimado per capita</t>
  </si>
  <si>
    <t>Ene-26 - Feb-26</t>
  </si>
  <si>
    <t>X</t>
  </si>
  <si>
    <t>C</t>
  </si>
  <si>
    <t>soj</t>
  </si>
  <si>
    <t>mai</t>
  </si>
  <si>
    <t>tri</t>
  </si>
  <si>
    <t>ceb</t>
  </si>
  <si>
    <t>gir</t>
  </si>
  <si>
    <t>insercion internacional  - FADA</t>
  </si>
  <si>
    <t>Anual</t>
  </si>
  <si>
    <t>X + M</t>
  </si>
  <si>
    <t>M%</t>
  </si>
  <si>
    <t>Puntaje           C. Mercado</t>
  </si>
  <si>
    <t>Ponderación</t>
  </si>
  <si>
    <t>FINAL</t>
  </si>
  <si>
    <t>verde</t>
  </si>
  <si>
    <t>amarillo</t>
  </si>
  <si>
    <t>rojo</t>
  </si>
  <si>
    <t>Ponderacion componente de mercado</t>
  </si>
  <si>
    <t>Ttoal s/ bov y granos</t>
  </si>
  <si>
    <t>2026-27</t>
  </si>
  <si>
    <t>26-27</t>
  </si>
  <si>
    <t>Precio promedio tipo RED DELICIUS. (MO - Modal)</t>
  </si>
  <si>
    <t>Precio promedio especial.  (MO - Modal)</t>
  </si>
  <si>
    <t>Precio Eureka.  (MO - Modal)</t>
  </si>
  <si>
    <t>Precio tipo Valencia. (MO - Modal)</t>
  </si>
  <si>
    <t>Precio promedio tipo SPUNTA.  (MO - Modal)</t>
  </si>
  <si>
    <t>PrecioRedondo. (MO - Modal)</t>
  </si>
  <si>
    <t>Precio promedio tipo ANQUITO. (MO - Modal)</t>
  </si>
  <si>
    <t>$/caja 18kg</t>
  </si>
  <si>
    <t xml:space="preserve">Manzana </t>
  </si>
  <si>
    <t>$/bolsa 20kg</t>
  </si>
  <si>
    <t>$/bolsa40kg</t>
  </si>
  <si>
    <t>$/bolsa20kg</t>
  </si>
  <si>
    <t>$/bolsa 18kg</t>
  </si>
  <si>
    <t>Junio</t>
  </si>
  <si>
    <t>Promedio ultimos 5 años</t>
  </si>
  <si>
    <t>Chantenay</t>
  </si>
  <si>
    <t>Precio promedio mensual  - SOJ Dolar MATBA.Cuando arranque la siembra tomar  Posicion de MAYO de la campaña. Mientras tanto Tomar futuro del mes  mas cercano</t>
  </si>
  <si>
    <t>Precio promedio mensual  - MAI Dolar MATBA.Cuando arranque la siembra tomar  Posicion de ABRIL de la campaña. Mientras tanto Tomar futuro del mes  mas cercano</t>
  </si>
  <si>
    <t>Precio promedio mensual  - TRI Dolar MATBA.Cuando arranque la siembra tomar  Posicion de ENERO de la campaña. Mientras tanto Tomar futuro del mes  mas cercano</t>
  </si>
  <si>
    <t xml:space="preserve">Enero </t>
  </si>
  <si>
    <t>Febrero</t>
  </si>
  <si>
    <t>Marzo</t>
  </si>
  <si>
    <t>Abril</t>
  </si>
  <si>
    <t>Mayo</t>
  </si>
  <si>
    <t>Julio</t>
  </si>
  <si>
    <t>Agosto</t>
  </si>
  <si>
    <t>Septiembre</t>
  </si>
  <si>
    <t>Octubre</t>
  </si>
  <si>
    <t>Noviembre</t>
  </si>
  <si>
    <t>Diciembre</t>
  </si>
  <si>
    <t>Inicio Campaña</t>
  </si>
  <si>
    <t>Fin Campaña</t>
  </si>
  <si>
    <t>Calendario Campañas</t>
  </si>
  <si>
    <t>Primeras cosechas</t>
  </si>
  <si>
    <t>cosecha principal</t>
  </si>
  <si>
    <t>Vendimia</t>
  </si>
  <si>
    <t>Poda</t>
  </si>
  <si>
    <t>Raleo</t>
  </si>
  <si>
    <t>almacigo</t>
  </si>
  <si>
    <t>replanteo suelo</t>
  </si>
  <si>
    <t>1C</t>
  </si>
  <si>
    <t>2C</t>
  </si>
  <si>
    <t>3C</t>
  </si>
  <si>
    <t>prom ant</t>
  </si>
  <si>
    <t>EXPORTACIONES GRAFICO</t>
  </si>
  <si>
    <t>IMPORTACIONES GRAFICO</t>
  </si>
  <si>
    <t>https://agrovalle.com.ar/</t>
  </si>
  <si>
    <t>https://www.argenpapa.com.ar/</t>
  </si>
  <si>
    <t xml:space="preserve">Peras y Manzanas </t>
  </si>
  <si>
    <t>Floracion</t>
  </si>
  <si>
    <t xml:space="preserve">Pera </t>
  </si>
  <si>
    <t>P y M</t>
  </si>
  <si>
    <t>De estacion</t>
  </si>
  <si>
    <t>Tempranas</t>
  </si>
  <si>
    <t>Tardias</t>
  </si>
  <si>
    <t>Naranjas</t>
  </si>
  <si>
    <t>Tardias / De jugo</t>
  </si>
  <si>
    <t>Receso</t>
  </si>
  <si>
    <t>Siembra Bs As</t>
  </si>
  <si>
    <t>Cosecha Bs As</t>
  </si>
  <si>
    <t>Siembra Cuyo</t>
  </si>
  <si>
    <t>Cosecha Cuyo</t>
  </si>
  <si>
    <t>https://www.magyp.gob.ar/sitio/areas/algodon/informes/</t>
  </si>
  <si>
    <t>Ene -Ago</t>
  </si>
  <si>
    <t xml:space="preserve">cantidad de suministros de alimentos ( kg/persona/año) - patatas y prodcutos. </t>
  </si>
  <si>
    <t>https://www.potatopro.com/es/topics/noticias/argentina</t>
  </si>
  <si>
    <t>https://www.observatoriova.com/category/noticias/</t>
  </si>
  <si>
    <t>Links de interes</t>
  </si>
  <si>
    <t>https://inym.org.ar/noticias.html</t>
  </si>
  <si>
    <t>ago-26</t>
  </si>
  <si>
    <t>Var       CM</t>
  </si>
  <si>
    <t>mejoro</t>
  </si>
  <si>
    <t>2025-27</t>
  </si>
  <si>
    <t>2025-28</t>
  </si>
  <si>
    <t>2025-29</t>
  </si>
  <si>
    <t>2025-30</t>
  </si>
  <si>
    <t>2025-31</t>
  </si>
  <si>
    <t>2025-32</t>
  </si>
  <si>
    <t>2025-33</t>
  </si>
  <si>
    <t>2025-34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</si>
</sst>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0"/>
    <numFmt numFmtId="165" formatCode="0.0%"/>
    <numFmt numFmtId="166" formatCode="_-* #,##0_-;\-* #,##0_-;_-* &quot;-&quot;??_-;_-@_-"/>
    <numFmt numFmtId="167" formatCode="_-* #,##0.00\ _€_-;\-* #,##0.00\ _€_-;_-* &quot;-&quot;??\ _€_-;_-@_-"/>
    <numFmt numFmtId="168" formatCode="_ * #,##0.00_ ;_ * \-#,##0.00_ ;_ * &quot;-&quot;??_ ;_ @_ "/>
    <numFmt numFmtId="169" formatCode="mm\-yy"/>
    <numFmt numFmtId="170" formatCode="_-* #,##0.000_-;\-* #,##0.000_-;_-* &quot;-&quot;??_-;_-@_-"/>
    <numFmt numFmtId="171" formatCode="0.0"/>
    <numFmt numFmtId="172" formatCode="_-* #,##0.0_-;\-* #,##0.0_-;_-* &quot;-&quot;??_-;_-@_-"/>
    <numFmt numFmtId="173" formatCode="#,##0.000"/>
    <numFmt numFmtId="174" formatCode="#,##0.0000"/>
  </numFmts>
  <fonts count="140">
    <font>
      <sz val="10"/>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i/>
      <sz val="10"/>
      <color theme="1"/>
      <name val="Calibri"/>
      <family val="2"/>
    </font>
    <font>
      <sz val="10"/>
      <color rgb="FFFF0000"/>
      <name val="Calibri"/>
      <family val="2"/>
    </font>
    <font>
      <sz val="9"/>
      <color indexed="81"/>
      <name val="Tahoma"/>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indexed="81"/>
      <name val="Tahoma"/>
      <family val="2"/>
    </font>
    <font>
      <sz val="10"/>
      <name val="Calibri"/>
      <family val="2"/>
    </font>
    <font>
      <sz val="10"/>
      <color theme="0"/>
      <name val="Calibri"/>
      <family val="2"/>
    </font>
    <font>
      <b/>
      <sz val="10"/>
      <color theme="1"/>
      <name val="Calibri"/>
      <family val="2"/>
    </font>
    <font>
      <sz val="10"/>
      <color theme="0" tint="-0.499984740745262"/>
      <name val="Calibri"/>
      <family val="2"/>
    </font>
    <font>
      <sz val="10"/>
      <name val="Arial"/>
      <family val="2"/>
    </font>
    <font>
      <u/>
      <sz val="9"/>
      <color indexed="12"/>
      <name val="Arial"/>
      <family val="2"/>
    </font>
    <font>
      <sz val="11"/>
      <color theme="1"/>
      <name val="Calibri"/>
      <family val="2"/>
    </font>
    <font>
      <b/>
      <sz val="11"/>
      <color theme="1"/>
      <name val="Calibri"/>
      <family val="2"/>
    </font>
    <font>
      <sz val="11"/>
      <color theme="0"/>
      <name val="Calibri"/>
      <family val="2"/>
    </font>
    <font>
      <sz val="12"/>
      <color theme="0"/>
      <name val="Calibri"/>
      <family val="2"/>
    </font>
    <font>
      <sz val="9"/>
      <color theme="0" tint="-0.499984740745262"/>
      <name val="Calibri"/>
      <family val="2"/>
    </font>
    <font>
      <sz val="9"/>
      <color theme="1"/>
      <name val="Calibri"/>
      <family val="2"/>
    </font>
    <font>
      <sz val="10"/>
      <color theme="4" tint="-0.249977111117893"/>
      <name val="Calibri"/>
      <family val="2"/>
    </font>
    <font>
      <sz val="9"/>
      <color theme="0"/>
      <name val="Calibri"/>
      <family val="2"/>
    </font>
    <font>
      <i/>
      <sz val="10"/>
      <color rgb="FF0070C0"/>
      <name val="Calibri"/>
      <family val="2"/>
    </font>
    <font>
      <sz val="10"/>
      <color rgb="FF0070C0"/>
      <name val="Calibri"/>
      <family val="2"/>
    </font>
    <font>
      <sz val="8"/>
      <color theme="0"/>
      <name val="Calibri"/>
      <family val="2"/>
    </font>
    <font>
      <i/>
      <sz val="8"/>
      <color theme="0"/>
      <name val="Calibri"/>
      <family val="2"/>
    </font>
    <font>
      <i/>
      <sz val="11"/>
      <color theme="1"/>
      <name val="Calibri"/>
      <family val="2"/>
    </font>
    <font>
      <sz val="8"/>
      <color theme="1"/>
      <name val="Calibri"/>
      <family val="2"/>
    </font>
    <font>
      <sz val="18"/>
      <color theme="0"/>
      <name val="Calibri"/>
      <family val="2"/>
    </font>
    <font>
      <b/>
      <sz val="10"/>
      <color rgb="FF0033CC"/>
      <name val="Calibri"/>
      <family val="2"/>
    </font>
    <font>
      <i/>
      <sz val="8"/>
      <color theme="1"/>
      <name val="Calibri"/>
      <family val="2"/>
    </font>
    <font>
      <sz val="10"/>
      <color rgb="FF008000"/>
      <name val="Calibri"/>
      <family val="2"/>
    </font>
    <font>
      <i/>
      <sz val="14"/>
      <color theme="3"/>
      <name val="Calibri"/>
      <family val="2"/>
    </font>
    <font>
      <sz val="10"/>
      <color theme="4"/>
      <name val="Calibri"/>
      <family val="2"/>
    </font>
    <font>
      <b/>
      <sz val="12"/>
      <color theme="0"/>
      <name val="Calibri"/>
      <family val="2"/>
    </font>
    <font>
      <i/>
      <sz val="11"/>
      <color theme="1" tint="0.34998626667073579"/>
      <name val="Calibri"/>
      <family val="2"/>
    </font>
    <font>
      <i/>
      <sz val="10"/>
      <color theme="1" tint="0.34998626667073579"/>
      <name val="Calibri"/>
      <family val="2"/>
    </font>
    <font>
      <i/>
      <sz val="12"/>
      <color theme="1"/>
      <name val="Calibri"/>
      <family val="2"/>
    </font>
    <font>
      <sz val="10"/>
      <color theme="1" tint="0.34998626667073579"/>
      <name val="Calibri"/>
      <family val="2"/>
    </font>
    <font>
      <sz val="10"/>
      <color theme="7" tint="-0.249977111117893"/>
      <name val="Calibri"/>
      <family val="2"/>
    </font>
    <font>
      <i/>
      <sz val="10"/>
      <color theme="1" tint="0.499984740745262"/>
      <name val="Calibri"/>
      <family val="2"/>
    </font>
    <font>
      <sz val="8"/>
      <name val="Calibri"/>
      <family val="2"/>
    </font>
    <font>
      <b/>
      <sz val="12"/>
      <color rgb="FF000000"/>
      <name val="Calibri"/>
      <family val="2"/>
    </font>
    <font>
      <sz val="11"/>
      <color rgb="FF9C6500"/>
      <name val="Calibri"/>
      <family val="2"/>
      <scheme val="minor"/>
    </font>
    <font>
      <sz val="11"/>
      <color indexed="8"/>
      <name val="Calibri"/>
      <family val="2"/>
      <scheme val="minor"/>
    </font>
    <font>
      <u/>
      <sz val="10"/>
      <color theme="10"/>
      <name val="Calibri"/>
      <family val="2"/>
    </font>
    <font>
      <sz val="8"/>
      <color rgb="FFFF0000"/>
      <name val="Calibri"/>
      <family val="2"/>
    </font>
    <font>
      <sz val="10"/>
      <color rgb="FF212529"/>
      <name val="Segoe UI"/>
      <family val="2"/>
    </font>
    <font>
      <sz val="10"/>
      <color theme="1"/>
      <name val="Bierstadt"/>
      <family val="2"/>
    </font>
    <font>
      <sz val="14"/>
      <color theme="1"/>
      <name val="Bierstadt"/>
      <family val="2"/>
    </font>
    <font>
      <b/>
      <sz val="9"/>
      <color theme="1"/>
      <name val="Calibri"/>
      <family val="2"/>
    </font>
    <font>
      <b/>
      <sz val="8"/>
      <color theme="1"/>
      <name val="Calibri"/>
      <family val="2"/>
    </font>
    <font>
      <b/>
      <sz val="14"/>
      <color theme="1"/>
      <name val="Bierstadt"/>
      <family val="2"/>
    </font>
    <font>
      <b/>
      <sz val="10"/>
      <color theme="0" tint="-0.499984740745262"/>
      <name val="Calibri"/>
      <family val="2"/>
    </font>
    <font>
      <b/>
      <sz val="8"/>
      <color theme="0"/>
      <name val="Calibri"/>
      <family val="2"/>
    </font>
    <font>
      <b/>
      <sz val="10"/>
      <color rgb="FFFF0000"/>
      <name val="Calibri"/>
      <family val="2"/>
    </font>
    <font>
      <b/>
      <sz val="12"/>
      <color theme="1"/>
      <name val="Bierstadt"/>
      <family val="2"/>
    </font>
    <font>
      <sz val="11"/>
      <name val="Calibri"/>
      <family val="2"/>
    </font>
    <font>
      <sz val="11"/>
      <color rgb="FF000000"/>
      <name val="Calibri"/>
      <family val="2"/>
    </font>
    <font>
      <b/>
      <sz val="10"/>
      <color theme="1"/>
      <name val="Bierstadt"/>
      <family val="2"/>
    </font>
    <font>
      <sz val="11"/>
      <color theme="0" tint="-0.499984740745262"/>
      <name val="Calibri"/>
      <family val="2"/>
    </font>
    <font>
      <sz val="11"/>
      <color indexed="8"/>
      <name val="Calibri"/>
      <family val="2"/>
    </font>
    <font>
      <b/>
      <sz val="9"/>
      <color theme="1"/>
      <name val="Bierstadt"/>
      <family val="2"/>
    </font>
    <font>
      <b/>
      <sz val="8"/>
      <color theme="1"/>
      <name val="Bierstadt"/>
      <family val="2"/>
    </font>
    <font>
      <sz val="10"/>
      <color rgb="FF212529"/>
      <name val="Calibri"/>
      <family val="2"/>
    </font>
    <font>
      <b/>
      <sz val="10"/>
      <color rgb="FF0070C0"/>
      <name val="Calibri"/>
      <family val="2"/>
    </font>
    <font>
      <sz val="10"/>
      <color theme="1"/>
      <name val="Source "/>
    </font>
    <font>
      <sz val="8"/>
      <color theme="1"/>
      <name val="Source "/>
    </font>
    <font>
      <sz val="10"/>
      <color rgb="FFFF0000"/>
      <name val="Source "/>
    </font>
    <font>
      <sz val="11"/>
      <color theme="1"/>
      <name val="Source "/>
    </font>
    <font>
      <sz val="10"/>
      <color theme="5"/>
      <name val="Calibri"/>
      <family val="2"/>
    </font>
    <font>
      <sz val="10"/>
      <color rgb="FFC00000"/>
      <name val="Calibri"/>
      <family val="2"/>
    </font>
    <font>
      <u/>
      <sz val="11"/>
      <color theme="10"/>
      <name val="Calibri"/>
      <family val="2"/>
      <scheme val="minor"/>
    </font>
    <font>
      <i/>
      <sz val="10"/>
      <color theme="2" tint="-0.499984740745262"/>
      <name val="Calibri"/>
      <family val="2"/>
      <scheme val="minor"/>
    </font>
    <font>
      <sz val="11"/>
      <color theme="10"/>
      <name val="Calibri"/>
      <family val="2"/>
      <scheme val="minor"/>
    </font>
    <font>
      <i/>
      <sz val="10"/>
      <color theme="7" tint="-0.249977111117893"/>
      <name val="Calibri"/>
      <family val="2"/>
      <scheme val="minor"/>
    </font>
    <font>
      <b/>
      <u/>
      <sz val="9"/>
      <color indexed="81"/>
      <name val="Tahoma"/>
      <family val="2"/>
    </font>
    <font>
      <sz val="11"/>
      <color rgb="FFEE0000"/>
      <name val="Calibri"/>
      <family val="2"/>
      <scheme val="minor"/>
    </font>
    <font>
      <u/>
      <sz val="9"/>
      <color indexed="32"/>
      <name val="Tahoma"/>
      <family val="2"/>
    </font>
    <font>
      <sz val="10"/>
      <color theme="0" tint="-0.499984740745262"/>
      <name val="Bierstadt"/>
      <family val="2"/>
    </font>
    <font>
      <sz val="11"/>
      <name val="Calibri"/>
      <family val="2"/>
      <scheme val="minor"/>
    </font>
    <font>
      <sz val="10"/>
      <color theme="1"/>
      <name val="Calibri"/>
      <family val="2"/>
      <scheme val="minor"/>
    </font>
    <font>
      <i/>
      <sz val="9"/>
      <color rgb="FF7F7F7F"/>
      <name val="Calibri"/>
      <family val="2"/>
      <scheme val="minor"/>
    </font>
    <font>
      <b/>
      <sz val="10"/>
      <color theme="1"/>
      <name val="Source "/>
    </font>
    <font>
      <sz val="11"/>
      <color theme="1"/>
      <name val="Franklin Gothic Book"/>
      <family val="2"/>
    </font>
    <font>
      <i/>
      <sz val="9"/>
      <name val="Bierstadt"/>
      <family val="2"/>
    </font>
    <font>
      <i/>
      <sz val="9"/>
      <color theme="1"/>
      <name val="Calibri"/>
      <family val="2"/>
    </font>
    <font>
      <sz val="9"/>
      <color theme="1"/>
      <name val="Bierstadt"/>
      <family val="2"/>
    </font>
    <font>
      <sz val="10"/>
      <color rgb="FFFF0000"/>
      <name val="Bierstadt"/>
      <family val="2"/>
    </font>
    <font>
      <sz val="10"/>
      <color rgb="FF00B050"/>
      <name val="Calibri"/>
      <family val="2"/>
    </font>
    <font>
      <sz val="10"/>
      <name val="Calibri"/>
      <family val="2"/>
      <scheme val="minor"/>
    </font>
    <font>
      <sz val="10"/>
      <color rgb="FF7F7F7F"/>
      <name val="Calibri"/>
      <family val="2"/>
      <scheme val="minor"/>
    </font>
    <font>
      <sz val="10"/>
      <color theme="1" tint="0.34998626667073579"/>
      <name val="Calibri"/>
      <family val="2"/>
      <scheme val="minor"/>
    </font>
    <font>
      <sz val="10"/>
      <name val="Bierstadt"/>
      <family val="2"/>
    </font>
  </fonts>
  <fills count="78">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bgColor indexed="64"/>
      </patternFill>
    </fill>
    <fill>
      <patternFill patternType="solid">
        <fgColor theme="2" tint="-0.499984740745262"/>
        <bgColor indexed="64"/>
      </patternFill>
    </fill>
    <fill>
      <patternFill patternType="solid">
        <fgColor rgb="FF008000"/>
        <bgColor indexed="64"/>
      </patternFill>
    </fill>
    <fill>
      <patternFill patternType="solid">
        <fgColor theme="7"/>
        <bgColor indexed="64"/>
      </patternFill>
    </fill>
    <fill>
      <patternFill patternType="solid">
        <fgColor rgb="FFFFFFFF"/>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9"/>
        <bgColor indexed="64"/>
      </patternFill>
    </fill>
    <fill>
      <patternFill patternType="solid">
        <fgColor rgb="FF00B05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B7950B"/>
        <bgColor indexed="64"/>
      </patternFill>
    </fill>
    <fill>
      <patternFill patternType="solid">
        <fgColor rgb="FFF4D03F"/>
        <bgColor indexed="64"/>
      </patternFill>
    </fill>
    <fill>
      <patternFill patternType="solid">
        <fgColor rgb="FFF7DC6F"/>
        <bgColor indexed="64"/>
      </patternFill>
    </fill>
    <fill>
      <patternFill patternType="solid">
        <fgColor rgb="FFF9E79F"/>
        <bgColor indexed="64"/>
      </patternFill>
    </fill>
    <fill>
      <patternFill patternType="solid">
        <fgColor rgb="FFD4AC0D"/>
        <bgColor indexed="64"/>
      </patternFill>
    </fill>
    <fill>
      <patternFill patternType="solid">
        <fgColor rgb="FF877B1A"/>
        <bgColor indexed="64"/>
      </patternFill>
    </fill>
    <fill>
      <patternFill patternType="solid">
        <fgColor rgb="FF1E8449"/>
        <bgColor indexed="64"/>
      </patternFill>
    </fill>
    <fill>
      <patternFill patternType="solid">
        <fgColor rgb="FFD5F5E3"/>
        <bgColor indexed="64"/>
      </patternFill>
    </fill>
    <fill>
      <patternFill patternType="solid">
        <fgColor rgb="FFA9DFBF"/>
        <bgColor indexed="64"/>
      </patternFill>
    </fill>
    <fill>
      <patternFill patternType="solid">
        <fgColor rgb="FFF1C40F"/>
        <bgColor indexed="64"/>
      </patternFill>
    </fill>
    <fill>
      <patternFill patternType="solid">
        <fgColor rgb="FF145A32"/>
        <bgColor indexed="64"/>
      </patternFill>
    </fill>
    <fill>
      <patternFill patternType="solid">
        <fgColor rgb="FF52BE80"/>
        <bgColor indexed="64"/>
      </patternFill>
    </fill>
    <fill>
      <patternFill patternType="solid">
        <fgColor rgb="FFF39C12"/>
        <bgColor indexed="64"/>
      </patternFill>
    </fill>
    <fill>
      <patternFill patternType="solid">
        <fgColor rgb="FFD68910"/>
        <bgColor indexed="64"/>
      </patternFill>
    </fill>
    <fill>
      <patternFill patternType="solid">
        <fgColor rgb="FF9A7D0A"/>
        <bgColor indexed="64"/>
      </patternFill>
    </fill>
    <fill>
      <patternFill patternType="solid">
        <fgColor rgb="FFFCF3CF"/>
        <bgColor indexed="64"/>
      </patternFill>
    </fill>
    <fill>
      <patternFill patternType="solid">
        <fgColor rgb="FF2ECC71"/>
        <bgColor indexed="64"/>
      </patternFill>
    </fill>
    <fill>
      <patternFill patternType="solid">
        <fgColor rgb="FF7DCEA0"/>
        <bgColor indexed="64"/>
      </patternFill>
    </fill>
    <fill>
      <patternFill patternType="solid">
        <fgColor theme="8" tint="0.39997558519241921"/>
        <bgColor indexed="64"/>
      </patternFill>
    </fill>
  </fills>
  <borders count="2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right/>
      <top style="thin">
        <color theme="0"/>
      </top>
      <bottom style="thin">
        <color theme="0"/>
      </bottom>
      <diagonal/>
    </border>
    <border>
      <left/>
      <right/>
      <top/>
      <bottom style="thin">
        <color theme="3"/>
      </bottom>
      <diagonal/>
    </border>
    <border>
      <left/>
      <right/>
      <top style="thin">
        <color theme="0" tint="-0.14996795556505021"/>
      </top>
      <bottom style="thin">
        <color theme="0" tint="-0.14996795556505021"/>
      </bottom>
      <diagonal/>
    </border>
    <border>
      <left style="medium">
        <color rgb="FFDEE2E6"/>
      </left>
      <right style="medium">
        <color rgb="FFDEE2E6"/>
      </right>
      <top style="medium">
        <color rgb="FFDEE2E6"/>
      </top>
      <bottom style="medium">
        <color rgb="FFDEE2E6"/>
      </bottom>
      <diagonal/>
    </border>
    <border>
      <left style="thin">
        <color theme="2" tint="-0.24994659260841701"/>
      </left>
      <right/>
      <top/>
      <bottom style="thin">
        <color indexed="64"/>
      </bottom>
      <diagonal/>
    </border>
    <border>
      <left/>
      <right/>
      <top/>
      <bottom style="thin">
        <color indexed="64"/>
      </bottom>
      <diagonal/>
    </border>
    <border>
      <left style="thin">
        <color auto="1"/>
      </left>
      <right style="thin">
        <color theme="2" tint="-0.24994659260841701"/>
      </right>
      <top style="thin">
        <color auto="1"/>
      </top>
      <bottom style="thin">
        <color theme="2" tint="-0.24994659260841701"/>
      </bottom>
      <diagonal/>
    </border>
    <border>
      <left style="thin">
        <color theme="2" tint="-0.24994659260841701"/>
      </left>
      <right/>
      <top style="thin">
        <color indexed="64"/>
      </top>
      <bottom style="thin">
        <color theme="2" tint="-0.24994659260841701"/>
      </bottom>
      <diagonal/>
    </border>
    <border>
      <left/>
      <right/>
      <top style="thin">
        <color indexed="64"/>
      </top>
      <bottom style="thin">
        <color theme="2" tint="-0.24994659260841701"/>
      </bottom>
      <diagonal/>
    </border>
    <border>
      <left style="thin">
        <color auto="1"/>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thin">
        <color auto="1"/>
      </left>
      <right style="thin">
        <color theme="2" tint="-0.24994659260841701"/>
      </right>
      <top style="thin">
        <color theme="2" tint="-0.24994659260841701"/>
      </top>
      <bottom style="thin">
        <color auto="1"/>
      </bottom>
      <diagonal/>
    </border>
    <border>
      <left style="thin">
        <color theme="2" tint="-0.24994659260841701"/>
      </left>
      <right/>
      <top style="thin">
        <color theme="2" tint="-0.24994659260841701"/>
      </top>
      <bottom style="thin">
        <color indexed="64"/>
      </bottom>
      <diagonal/>
    </border>
    <border>
      <left/>
      <right/>
      <top style="thin">
        <color theme="2" tint="-0.24994659260841701"/>
      </top>
      <bottom style="thin">
        <color indexed="64"/>
      </bottom>
      <diagonal/>
    </border>
    <border>
      <left style="thin">
        <color theme="2" tint="-0.24994659260841701"/>
      </left>
      <right style="thin">
        <color theme="2" tint="-0.24994659260841701"/>
      </right>
      <top/>
      <bottom style="thin">
        <color auto="1"/>
      </bottom>
      <diagonal/>
    </border>
    <border>
      <left style="thin">
        <color theme="2" tint="-0.24994659260841701"/>
      </left>
      <right style="thin">
        <color theme="2" tint="-0.24994659260841701"/>
      </right>
      <top/>
      <bottom/>
      <diagonal/>
    </border>
    <border>
      <left style="thin">
        <color theme="2" tint="-0.24994659260841701"/>
      </left>
      <right style="thin">
        <color theme="2" tint="-0.24994659260841701"/>
      </right>
      <top style="thin">
        <color indexed="64"/>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auto="1"/>
      </left>
      <right style="thin">
        <color theme="2" tint="-0.24994659260841701"/>
      </right>
      <top style="thin">
        <color theme="2" tint="-0.24994659260841701"/>
      </top>
      <bottom/>
      <diagonal/>
    </border>
    <border>
      <left/>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2" tint="-0.24994659260841701"/>
      </right>
      <top style="thin">
        <color theme="1"/>
      </top>
      <bottom style="thin">
        <color theme="2" tint="-0.24994659260841701"/>
      </bottom>
      <diagonal/>
    </border>
    <border>
      <left style="thin">
        <color theme="2" tint="-0.24994659260841701"/>
      </left>
      <right style="thin">
        <color theme="2" tint="-0.24994659260841701"/>
      </right>
      <top style="thin">
        <color theme="1"/>
      </top>
      <bottom style="thin">
        <color theme="2" tint="-0.24994659260841701"/>
      </bottom>
      <diagonal/>
    </border>
    <border>
      <left/>
      <right/>
      <top style="thin">
        <color theme="1"/>
      </top>
      <bottom style="thin">
        <color theme="2" tint="-0.24994659260841701"/>
      </bottom>
      <diagonal/>
    </border>
    <border>
      <left style="thin">
        <color theme="1"/>
      </left>
      <right style="thin">
        <color theme="2" tint="-0.24994659260841701"/>
      </right>
      <top style="thin">
        <color theme="2" tint="-0.24994659260841701"/>
      </top>
      <bottom style="thin">
        <color theme="2" tint="-0.24994659260841701"/>
      </bottom>
      <diagonal/>
    </border>
    <border>
      <left style="thin">
        <color theme="1"/>
      </left>
      <right style="thin">
        <color theme="2" tint="-0.24994659260841701"/>
      </right>
      <top style="thin">
        <color theme="2" tint="-0.24994659260841701"/>
      </top>
      <bottom style="thin">
        <color theme="1"/>
      </bottom>
      <diagonal/>
    </border>
    <border>
      <left style="thin">
        <color theme="2" tint="-0.24994659260841701"/>
      </left>
      <right style="thin">
        <color theme="2" tint="-0.24994659260841701"/>
      </right>
      <top style="thin">
        <color theme="2" tint="-0.24994659260841701"/>
      </top>
      <bottom style="thin">
        <color theme="1"/>
      </bottom>
      <diagonal/>
    </border>
    <border>
      <left style="thin">
        <color theme="2" tint="-0.24994659260841701"/>
      </left>
      <right/>
      <top style="thin">
        <color theme="2" tint="-0.24994659260841701"/>
      </top>
      <bottom style="thin">
        <color theme="1"/>
      </bottom>
      <diagonal/>
    </border>
    <border>
      <left style="thin">
        <color auto="1"/>
      </left>
      <right style="thin">
        <color theme="2" tint="-0.24994659260841701"/>
      </right>
      <top style="thin">
        <color auto="1"/>
      </top>
      <bottom/>
      <diagonal/>
    </border>
    <border>
      <left style="thin">
        <color theme="2" tint="-0.24994659260841701"/>
      </left>
      <right style="thin">
        <color theme="2" tint="-0.24994659260841701"/>
      </right>
      <top style="thin">
        <color auto="1"/>
      </top>
      <bottom/>
      <diagonal/>
    </border>
    <border>
      <left style="thin">
        <color indexed="64"/>
      </left>
      <right style="thin">
        <color theme="2" tint="-0.24994659260841701"/>
      </right>
      <top/>
      <bottom style="thin">
        <color theme="2" tint="-0.24994659260841701"/>
      </bottom>
      <diagonal/>
    </border>
    <border>
      <left style="thin">
        <color theme="2" tint="-0.24994659260841701"/>
      </left>
      <right style="thin">
        <color theme="2" tint="-0.24994659260841701"/>
      </right>
      <top style="thin">
        <color theme="2" tint="-9.9948118533890809E-2"/>
      </top>
      <bottom style="thin">
        <color theme="2" tint="-0.24994659260841701"/>
      </bottom>
      <diagonal/>
    </border>
    <border>
      <left/>
      <right style="thin">
        <color theme="2" tint="-0.24994659260841701"/>
      </right>
      <top style="thin">
        <color theme="2" tint="-0.24994659260841701"/>
      </top>
      <bottom style="thin">
        <color theme="2"/>
      </bottom>
      <diagonal/>
    </border>
    <border>
      <left style="thin">
        <color theme="2" tint="-0.24994659260841701"/>
      </left>
      <right style="thin">
        <color theme="2" tint="-0.24994659260841701"/>
      </right>
      <top style="thin">
        <color theme="2" tint="-0.24994659260841701"/>
      </top>
      <bottom style="thin">
        <color theme="2"/>
      </bottom>
      <diagonal/>
    </border>
    <border>
      <left/>
      <right/>
      <top style="thin">
        <color theme="2" tint="-0.24994659260841701"/>
      </top>
      <bottom style="thin">
        <color theme="2"/>
      </bottom>
      <diagonal/>
    </border>
    <border>
      <left style="thin">
        <color auto="1"/>
      </left>
      <right style="thin">
        <color theme="2" tint="-0.24994659260841701"/>
      </right>
      <top/>
      <bottom/>
      <diagonal/>
    </border>
    <border>
      <left/>
      <right style="thin">
        <color theme="2" tint="-0.24994659260841701"/>
      </right>
      <top style="thin">
        <color theme="2"/>
      </top>
      <bottom style="thin">
        <color theme="2"/>
      </bottom>
      <diagonal/>
    </border>
    <border>
      <left style="thin">
        <color theme="2" tint="-0.24994659260841701"/>
      </left>
      <right style="thin">
        <color theme="2" tint="-0.24994659260841701"/>
      </right>
      <top style="thin">
        <color theme="2"/>
      </top>
      <bottom style="thin">
        <color theme="2"/>
      </bottom>
      <diagonal/>
    </border>
    <border>
      <left/>
      <right/>
      <top style="thin">
        <color theme="2"/>
      </top>
      <bottom style="thin">
        <color theme="2"/>
      </bottom>
      <diagonal/>
    </border>
    <border>
      <left/>
      <right style="thin">
        <color theme="2" tint="-0.24994659260841701"/>
      </right>
      <top style="thin">
        <color theme="2"/>
      </top>
      <bottom style="thin">
        <color theme="2" tint="-0.24994659260841701"/>
      </bottom>
      <diagonal/>
    </border>
    <border>
      <left style="thin">
        <color theme="2" tint="-0.24994659260841701"/>
      </left>
      <right style="thin">
        <color theme="2" tint="-0.24994659260841701"/>
      </right>
      <top style="thin">
        <color theme="2"/>
      </top>
      <bottom style="thin">
        <color theme="2" tint="-0.24994659260841701"/>
      </bottom>
      <diagonal/>
    </border>
    <border>
      <left/>
      <right/>
      <top style="thin">
        <color theme="2"/>
      </top>
      <bottom style="thin">
        <color theme="2" tint="-0.24994659260841701"/>
      </bottom>
      <diagonal/>
    </border>
    <border>
      <left style="thin">
        <color theme="2" tint="-0.24994659260841701"/>
      </left>
      <right/>
      <top style="thin">
        <color theme="2" tint="-0.24994659260841701"/>
      </top>
      <bottom/>
      <diagonal/>
    </border>
    <border>
      <left style="thin">
        <color theme="2" tint="-0.24994659260841701"/>
      </left>
      <right style="thin">
        <color theme="2" tint="-0.24994659260841701"/>
      </right>
      <top style="thin">
        <color theme="2" tint="-9.9948118533890809E-2"/>
      </top>
      <bottom/>
      <diagonal/>
    </border>
    <border>
      <left style="thin">
        <color theme="2" tint="-0.24994659260841701"/>
      </left>
      <right/>
      <top style="thin">
        <color theme="2"/>
      </top>
      <bottom style="thin">
        <color theme="2" tint="-0.24994659260841701"/>
      </bottom>
      <diagonal/>
    </border>
    <border>
      <left style="thin">
        <color theme="2" tint="-0.24994659260841701"/>
      </left>
      <right/>
      <top style="thin">
        <color theme="2"/>
      </top>
      <bottom style="thin">
        <color theme="2"/>
      </bottom>
      <diagonal/>
    </border>
    <border>
      <left style="thin">
        <color theme="2" tint="-0.24994659260841701"/>
      </left>
      <right/>
      <top/>
      <bottom style="thin">
        <color theme="2" tint="-0.24994659260841701"/>
      </bottom>
      <diagonal/>
    </border>
    <border>
      <left style="thin">
        <color theme="2" tint="-0.24994659260841701"/>
      </left>
      <right style="thin">
        <color theme="2" tint="-0.24994659260841701"/>
      </right>
      <top/>
      <bottom style="thin">
        <color theme="2" tint="-0.24994659260841701"/>
      </bottom>
      <diagonal/>
    </border>
    <border>
      <left/>
      <right/>
      <top/>
      <bottom style="thin">
        <color theme="2" tint="-0.24994659260841701"/>
      </bottom>
      <diagonal/>
    </border>
    <border>
      <left style="thin">
        <color auto="1"/>
      </left>
      <right/>
      <top style="thin">
        <color theme="2" tint="-0.24994659260841701"/>
      </top>
      <bottom/>
      <diagonal/>
    </border>
    <border>
      <left style="thin">
        <color auto="1"/>
      </left>
      <right/>
      <top/>
      <bottom/>
      <diagonal/>
    </border>
    <border>
      <left style="thin">
        <color auto="1"/>
      </left>
      <right/>
      <top/>
      <bottom style="thin">
        <color theme="2" tint="-0.24994659260841701"/>
      </bottom>
      <diagonal/>
    </border>
    <border>
      <left style="thin">
        <color theme="2" tint="-0.24994659260841701"/>
      </left>
      <right/>
      <top style="thin">
        <color theme="2" tint="-0.24994659260841701"/>
      </top>
      <bottom style="thin">
        <color theme="2"/>
      </bottom>
      <diagonal/>
    </border>
    <border>
      <left style="thin">
        <color theme="2" tint="-0.24994659260841701"/>
      </left>
      <right style="thin">
        <color theme="2" tint="-0.24994659260841701"/>
      </right>
      <top style="thin">
        <color theme="2" tint="-0.24994659260841701"/>
      </top>
      <bottom style="thin">
        <color indexed="64"/>
      </bottom>
      <diagonal/>
    </border>
    <border>
      <left/>
      <right/>
      <top style="thin">
        <color theme="2"/>
      </top>
      <bottom/>
      <diagonal/>
    </border>
    <border>
      <left style="thin">
        <color auto="1"/>
      </left>
      <right style="thin">
        <color theme="2" tint="-0.24994659260841701"/>
      </right>
      <top style="thin">
        <color theme="2" tint="-0.24994659260841701"/>
      </top>
      <bottom style="thin">
        <color theme="2"/>
      </bottom>
      <diagonal/>
    </border>
    <border>
      <left style="thin">
        <color auto="1"/>
      </left>
      <right style="thin">
        <color theme="2" tint="-0.24994659260841701"/>
      </right>
      <top style="thin">
        <color theme="2"/>
      </top>
      <bottom style="thin">
        <color theme="2"/>
      </bottom>
      <diagonal/>
    </border>
    <border>
      <left style="thin">
        <color auto="1"/>
      </left>
      <right style="thin">
        <color theme="2" tint="-0.24994659260841701"/>
      </right>
      <top style="thin">
        <color theme="2"/>
      </top>
      <bottom style="thin">
        <color theme="2" tint="-0.24994659260841701"/>
      </bottom>
      <diagonal/>
    </border>
    <border>
      <left style="thin">
        <color auto="1"/>
      </left>
      <right style="thin">
        <color auto="1"/>
      </right>
      <top style="thin">
        <color theme="2"/>
      </top>
      <bottom style="thin">
        <color theme="2"/>
      </bottom>
      <diagonal/>
    </border>
    <border>
      <left style="thin">
        <color auto="1"/>
      </left>
      <right style="thin">
        <color auto="1"/>
      </right>
      <top style="thin">
        <color theme="2" tint="-0.24994659260841701"/>
      </top>
      <bottom style="thin">
        <color theme="2" tint="-0.2499465926084170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theme="1"/>
      </left>
      <right style="thin">
        <color theme="1"/>
      </right>
      <top style="thin">
        <color theme="2" tint="-0.24994659260841701"/>
      </top>
      <bottom style="thin">
        <color theme="2"/>
      </bottom>
      <diagonal/>
    </border>
    <border>
      <left style="thin">
        <color theme="1"/>
      </left>
      <right style="thin">
        <color theme="1"/>
      </right>
      <top style="thin">
        <color theme="2"/>
      </top>
      <bottom style="thin">
        <color theme="2"/>
      </bottom>
      <diagonal/>
    </border>
    <border>
      <left style="thin">
        <color theme="1"/>
      </left>
      <right style="thin">
        <color theme="1"/>
      </right>
      <top style="thin">
        <color theme="2"/>
      </top>
      <bottom style="thin">
        <color theme="2" tint="-0.24994659260841701"/>
      </bottom>
      <diagonal/>
    </border>
    <border>
      <left style="thin">
        <color auto="1"/>
      </left>
      <right style="thin">
        <color auto="1"/>
      </right>
      <top/>
      <bottom style="thin">
        <color theme="2" tint="-0.24994659260841701"/>
      </bottom>
      <diagonal/>
    </border>
    <border>
      <left style="thin">
        <color auto="1"/>
      </left>
      <right style="thin">
        <color auto="1"/>
      </right>
      <top style="thin">
        <color theme="2" tint="-0.24994659260841701"/>
      </top>
      <bottom/>
      <diagonal/>
    </border>
    <border>
      <left style="thin">
        <color auto="1"/>
      </left>
      <right style="thin">
        <color auto="1"/>
      </right>
      <top style="thin">
        <color theme="2" tint="-0.24994659260841701"/>
      </top>
      <bottom style="thin">
        <color theme="2"/>
      </bottom>
      <diagonal/>
    </border>
    <border>
      <left style="thin">
        <color auto="1"/>
      </left>
      <right style="thin">
        <color auto="1"/>
      </right>
      <top style="thin">
        <color theme="2"/>
      </top>
      <bottom style="thin">
        <color theme="2" tint="-0.24994659260841701"/>
      </bottom>
      <diagonal/>
    </border>
    <border>
      <left style="thin">
        <color theme="2" tint="-0.24994659260841701"/>
      </left>
      <right/>
      <top style="thin">
        <color indexed="64"/>
      </top>
      <bottom style="thin">
        <color theme="2"/>
      </bottom>
      <diagonal/>
    </border>
    <border>
      <left style="thin">
        <color theme="2" tint="-0.24994659260841701"/>
      </left>
      <right style="thin">
        <color theme="2" tint="-0.24994659260841701"/>
      </right>
      <top style="thin">
        <color indexed="64"/>
      </top>
      <bottom style="thin">
        <color theme="2"/>
      </bottom>
      <diagonal/>
    </border>
    <border>
      <left/>
      <right/>
      <top style="thin">
        <color indexed="64"/>
      </top>
      <bottom style="thin">
        <color theme="2"/>
      </bottom>
      <diagonal/>
    </border>
    <border>
      <left style="thin">
        <color auto="1"/>
      </left>
      <right style="thin">
        <color auto="1"/>
      </right>
      <top style="thin">
        <color indexed="64"/>
      </top>
      <bottom style="thin">
        <color theme="2"/>
      </bottom>
      <diagonal/>
    </border>
    <border>
      <left style="thin">
        <color auto="1"/>
      </left>
      <right style="thin">
        <color auto="1"/>
      </right>
      <top style="thin">
        <color indexed="64"/>
      </top>
      <bottom style="thin">
        <color theme="2" tint="-0.24994659260841701"/>
      </bottom>
      <diagonal/>
    </border>
    <border>
      <left style="thin">
        <color auto="1"/>
      </left>
      <right style="thin">
        <color theme="2" tint="-0.24994659260841701"/>
      </right>
      <top/>
      <bottom style="thin">
        <color auto="1"/>
      </bottom>
      <diagonal/>
    </border>
    <border>
      <left style="thin">
        <color theme="2" tint="-0.24994659260841701"/>
      </left>
      <right/>
      <top style="thin">
        <color theme="2" tint="-9.9948118533890809E-2"/>
      </top>
      <bottom style="thin">
        <color indexed="64"/>
      </bottom>
      <diagonal/>
    </border>
    <border>
      <left style="thin">
        <color theme="2" tint="-0.24994659260841701"/>
      </left>
      <right style="thin">
        <color theme="2" tint="-0.24994659260841701"/>
      </right>
      <top style="thin">
        <color theme="2" tint="-9.9948118533890809E-2"/>
      </top>
      <bottom style="thin">
        <color indexed="64"/>
      </bottom>
      <diagonal/>
    </border>
    <border>
      <left/>
      <right/>
      <top style="thin">
        <color theme="2" tint="-9.9948118533890809E-2"/>
      </top>
      <bottom style="thin">
        <color indexed="64"/>
      </bottom>
      <diagonal/>
    </border>
    <border>
      <left style="thin">
        <color auto="1"/>
      </left>
      <right style="thin">
        <color auto="1"/>
      </right>
      <top style="thin">
        <color theme="2" tint="-9.9948118533890809E-2"/>
      </top>
      <bottom style="thin">
        <color indexed="64"/>
      </bottom>
      <diagonal/>
    </border>
    <border>
      <left style="thin">
        <color indexed="64"/>
      </left>
      <right style="thin">
        <color auto="1"/>
      </right>
      <top style="thin">
        <color theme="2" tint="-0.24994659260841701"/>
      </top>
      <bottom style="thin">
        <color theme="2" tint="-9.9948118533890809E-2"/>
      </bottom>
      <diagonal/>
    </border>
    <border>
      <left style="thin">
        <color indexed="64"/>
      </left>
      <right/>
      <top style="thin">
        <color theme="0" tint="-0.24994659260841701"/>
      </top>
      <bottom style="thin">
        <color theme="0" tint="-0.2499465926084170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1"/>
      </bottom>
      <diagonal/>
    </border>
    <border>
      <left/>
      <right style="thin">
        <color theme="2" tint="-0.24994659260841701"/>
      </right>
      <top style="thin">
        <color theme="2" tint="-0.24994659260841701"/>
      </top>
      <bottom/>
      <diagonal/>
    </border>
    <border>
      <left style="thin">
        <color auto="1"/>
      </left>
      <right style="thin">
        <color auto="1"/>
      </right>
      <top style="thin">
        <color theme="0" tint="-0.34998626667073579"/>
      </top>
      <bottom style="thin">
        <color theme="0" tint="-0.34998626667073579"/>
      </bottom>
      <diagonal/>
    </border>
    <border>
      <left/>
      <right style="thin">
        <color theme="2" tint="-0.24994659260841701"/>
      </right>
      <top style="thin">
        <color theme="0" tint="-0.34998626667073579"/>
      </top>
      <bottom style="thin">
        <color theme="0" tint="-0.14996795556505021"/>
      </bottom>
      <diagonal/>
    </border>
    <border>
      <left style="thin">
        <color theme="2" tint="-0.24994659260841701"/>
      </left>
      <right style="thin">
        <color theme="2" tint="-0.24994659260841701"/>
      </right>
      <top style="thin">
        <color theme="0" tint="-0.34998626667073579"/>
      </top>
      <bottom style="thin">
        <color theme="0" tint="-0.14996795556505021"/>
      </bottom>
      <diagonal/>
    </border>
    <border>
      <left/>
      <right/>
      <top style="thin">
        <color theme="0" tint="-0.34998626667073579"/>
      </top>
      <bottom style="thin">
        <color theme="0" tint="-0.14996795556505021"/>
      </bottom>
      <diagonal/>
    </border>
    <border>
      <left style="thin">
        <color auto="1"/>
      </left>
      <right style="thin">
        <color auto="1"/>
      </right>
      <top style="thin">
        <color theme="0" tint="-0.34998626667073579"/>
      </top>
      <bottom style="thin">
        <color theme="0" tint="-0.14996795556505021"/>
      </bottom>
      <diagonal/>
    </border>
    <border>
      <left/>
      <right style="thin">
        <color theme="2" tint="-0.24994659260841701"/>
      </right>
      <top style="thin">
        <color theme="0" tint="-0.14996795556505021"/>
      </top>
      <bottom style="thin">
        <color theme="0" tint="-0.34998626667073579"/>
      </bottom>
      <diagonal/>
    </border>
    <border>
      <left style="thin">
        <color theme="2" tint="-0.24994659260841701"/>
      </left>
      <right style="thin">
        <color theme="2" tint="-0.24994659260841701"/>
      </right>
      <top style="thin">
        <color theme="0" tint="-0.14996795556505021"/>
      </top>
      <bottom style="thin">
        <color theme="0" tint="-0.34998626667073579"/>
      </bottom>
      <diagonal/>
    </border>
    <border>
      <left/>
      <right/>
      <top style="thin">
        <color theme="0" tint="-0.14996795556505021"/>
      </top>
      <bottom style="thin">
        <color theme="0" tint="-0.34998626667073579"/>
      </bottom>
      <diagonal/>
    </border>
    <border>
      <left style="thin">
        <color auto="1"/>
      </left>
      <right style="thin">
        <color auto="1"/>
      </right>
      <top style="thin">
        <color theme="0" tint="-0.14996795556505021"/>
      </top>
      <bottom style="thin">
        <color theme="0" tint="-0.34998626667073579"/>
      </bottom>
      <diagonal/>
    </border>
    <border>
      <left/>
      <right style="thin">
        <color theme="2" tint="-0.24994659260841701"/>
      </right>
      <top style="thin">
        <color theme="0" tint="-0.34998626667073579"/>
      </top>
      <bottom style="thin">
        <color theme="0" tint="-0.34998626667073579"/>
      </bottom>
      <diagonal/>
    </border>
    <border>
      <left style="thin">
        <color theme="2" tint="-0.24994659260841701"/>
      </left>
      <right style="thin">
        <color theme="2" tint="-0.24994659260841701"/>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2" tint="-0.24994659260841701"/>
      </right>
      <top/>
      <bottom/>
      <diagonal/>
    </border>
    <border>
      <left style="thin">
        <color theme="2" tint="-0.24994659260841701"/>
      </left>
      <right style="thin">
        <color theme="2" tint="-0.24994659260841701"/>
      </right>
      <top/>
      <bottom style="thin">
        <color theme="0" tint="-0.14996795556505021"/>
      </bottom>
      <diagonal/>
    </border>
    <border>
      <left/>
      <right/>
      <top style="thin">
        <color theme="0" tint="-0.24994659260841701"/>
      </top>
      <bottom/>
      <diagonal/>
    </border>
    <border>
      <left/>
      <right style="thin">
        <color indexed="64"/>
      </right>
      <top/>
      <bottom/>
      <diagonal/>
    </border>
    <border>
      <left style="thin">
        <color theme="0" tint="-0.34998626667073579"/>
      </left>
      <right style="thin">
        <color theme="0" tint="-0.34998626667073579"/>
      </right>
      <top/>
      <bottom/>
      <diagonal/>
    </border>
    <border>
      <left/>
      <right style="thin">
        <color theme="2" tint="-0.24994659260841701"/>
      </right>
      <top/>
      <bottom style="thin">
        <color theme="0" tint="-0.14996795556505021"/>
      </bottom>
      <diagonal/>
    </border>
    <border>
      <left/>
      <right/>
      <top/>
      <bottom style="thin">
        <color theme="0" tint="-0.14996795556505021"/>
      </bottom>
      <diagonal/>
    </border>
    <border>
      <left style="thin">
        <color indexed="64"/>
      </left>
      <right style="thin">
        <color indexed="64"/>
      </right>
      <top/>
      <bottom style="thin">
        <color theme="0" tint="-0.14996795556505021"/>
      </bottom>
      <diagonal/>
    </border>
    <border>
      <left style="thin">
        <color theme="0" tint="-0.499984740745262"/>
      </left>
      <right/>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bottom style="thin">
        <color theme="0" tint="-0.499984740745262"/>
      </bottom>
      <diagonal/>
    </border>
    <border>
      <left style="thin">
        <color theme="0" tint="-0.499984740745262"/>
      </left>
      <right/>
      <top/>
      <bottom style="thin">
        <color theme="0" tint="-0.499984740745262"/>
      </bottom>
      <diagonal/>
    </border>
    <border>
      <left style="thin">
        <color theme="0" tint="-0.34998626667073579"/>
      </left>
      <right style="thin">
        <color theme="0" tint="-0.34998626667073579"/>
      </right>
      <top/>
      <bottom style="thin">
        <color theme="0" tint="-0.24994659260841701"/>
      </bottom>
      <diagonal/>
    </border>
    <border>
      <left style="thin">
        <color theme="0" tint="-0.34998626667073579"/>
      </left>
      <right style="thin">
        <color theme="0" tint="-0.34998626667073579"/>
      </right>
      <top/>
      <bottom style="thin">
        <color theme="0" tint="-0.499984740745262"/>
      </bottom>
      <diagonal/>
    </border>
    <border>
      <left style="thin">
        <color theme="0" tint="-0.34998626667073579"/>
      </left>
      <right style="thin">
        <color theme="0" tint="-0.34998626667073579"/>
      </right>
      <top style="thin">
        <color theme="0" tint="-0.24994659260841701"/>
      </top>
      <bottom style="thin">
        <color theme="0" tint="-0.24994659260841701"/>
      </bottom>
      <diagonal/>
    </border>
    <border>
      <left style="thin">
        <color indexed="64"/>
      </left>
      <right style="thin">
        <color indexed="64"/>
      </right>
      <top style="thin">
        <color indexed="64"/>
      </top>
      <bottom style="thin">
        <color theme="0" tint="-0.34998626667073579"/>
      </bottom>
      <diagonal/>
    </border>
    <border>
      <left style="thin">
        <color indexed="64"/>
      </left>
      <right style="thin">
        <color indexed="64"/>
      </right>
      <top style="thin">
        <color theme="0" tint="-0.34998626667073579"/>
      </top>
      <bottom style="thin">
        <color theme="1"/>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style="thin">
        <color theme="0" tint="-0.499984740745262"/>
      </left>
      <right style="thin">
        <color theme="0" tint="-0.499984740745262"/>
      </right>
      <top/>
      <bottom style="thin">
        <color theme="0" tint="-0.24994659260841701"/>
      </bottom>
      <diagonal/>
    </border>
    <border>
      <left style="thin">
        <color theme="0" tint="-0.499984740745262"/>
      </left>
      <right style="thin">
        <color theme="0" tint="-0.499984740745262"/>
      </right>
      <top/>
      <bottom style="thin">
        <color theme="0" tint="-0.499984740745262"/>
      </bottom>
      <diagonal/>
    </border>
    <border>
      <left style="thin">
        <color auto="1"/>
      </left>
      <right style="thin">
        <color auto="1"/>
      </right>
      <top style="thin">
        <color theme="0" tint="-0.24994659260841701"/>
      </top>
      <bottom style="thin">
        <color theme="0" tint="-0.24994659260841701"/>
      </bottom>
      <diagonal/>
    </border>
    <border>
      <left/>
      <right style="thin">
        <color theme="2" tint="-0.24994659260841701"/>
      </right>
      <top style="thin">
        <color theme="0" tint="-0.14996795556505021"/>
      </top>
      <bottom/>
      <diagonal/>
    </border>
    <border>
      <left/>
      <right style="thin">
        <color theme="2" tint="-0.24994659260841701"/>
      </right>
      <top style="thin">
        <color indexed="64"/>
      </top>
      <bottom style="thin">
        <color theme="0" tint="-0.34998626667073579"/>
      </bottom>
      <diagonal/>
    </border>
    <border>
      <left style="thin">
        <color theme="2" tint="-0.24994659260841701"/>
      </left>
      <right style="thin">
        <color theme="2" tint="-0.24994659260841701"/>
      </right>
      <top style="thin">
        <color indexed="64"/>
      </top>
      <bottom style="thin">
        <color theme="0" tint="-0.34998626667073579"/>
      </bottom>
      <diagonal/>
    </border>
    <border>
      <left/>
      <right/>
      <top style="thin">
        <color indexed="64"/>
      </top>
      <bottom style="thin">
        <color theme="0" tint="-0.34998626667073579"/>
      </bottom>
      <diagonal/>
    </border>
    <border>
      <left style="thin">
        <color theme="2" tint="-0.24994659260841701"/>
      </left>
      <right style="thin">
        <color theme="2" tint="-0.24994659260841701"/>
      </right>
      <top style="thin">
        <color theme="0" tint="-0.34998626667073579"/>
      </top>
      <bottom style="thin">
        <color theme="0" tint="-0.24994659260841701"/>
      </bottom>
      <diagonal/>
    </border>
    <border>
      <left/>
      <right/>
      <top style="thin">
        <color theme="0" tint="-0.34998626667073579"/>
      </top>
      <bottom style="thin">
        <color theme="0" tint="-0.24994659260841701"/>
      </bottom>
      <diagonal/>
    </border>
    <border>
      <left style="thin">
        <color auto="1"/>
      </left>
      <right style="thin">
        <color auto="1"/>
      </right>
      <top style="thin">
        <color theme="0" tint="-0.34998626667073579"/>
      </top>
      <bottom style="thin">
        <color theme="0" tint="-0.24994659260841701"/>
      </bottom>
      <diagonal/>
    </border>
    <border>
      <left style="thin">
        <color theme="2" tint="-0.24994659260841701"/>
      </left>
      <right style="thin">
        <color theme="2" tint="-0.24994659260841701"/>
      </right>
      <top style="thin">
        <color theme="0" tint="-0.24994659260841701"/>
      </top>
      <bottom style="thin">
        <color theme="0" tint="-0.24994659260841701"/>
      </bottom>
      <diagonal/>
    </border>
    <border>
      <left style="thin">
        <color theme="2" tint="-0.24994659260841701"/>
      </left>
      <right style="thin">
        <color theme="2" tint="-0.24994659260841701"/>
      </right>
      <top style="thin">
        <color theme="0" tint="-0.24994659260841701"/>
      </top>
      <bottom style="thin">
        <color theme="0" tint="-0.34998626667073579"/>
      </bottom>
      <diagonal/>
    </border>
    <border>
      <left/>
      <right/>
      <top style="thin">
        <color theme="0" tint="-0.24994659260841701"/>
      </top>
      <bottom style="thin">
        <color theme="0" tint="-0.34998626667073579"/>
      </bottom>
      <diagonal/>
    </border>
    <border>
      <left style="thin">
        <color auto="1"/>
      </left>
      <right style="thin">
        <color auto="1"/>
      </right>
      <top style="thin">
        <color theme="0" tint="-0.24994659260841701"/>
      </top>
      <bottom style="thin">
        <color theme="0" tint="-0.34998626667073579"/>
      </bottom>
      <diagonal/>
    </border>
    <border>
      <left style="thin">
        <color indexed="64"/>
      </left>
      <right/>
      <top style="thin">
        <color indexed="64"/>
      </top>
      <bottom style="thin">
        <color theme="0" tint="-0.34998626667073579"/>
      </bottom>
      <diagonal/>
    </border>
    <border>
      <left style="thin">
        <color indexed="64"/>
      </left>
      <right/>
      <top style="thin">
        <color theme="0" tint="-0.34998626667073579"/>
      </top>
      <bottom/>
      <diagonal/>
    </border>
    <border>
      <left style="thin">
        <color indexed="64"/>
      </left>
      <right/>
      <top/>
      <bottom style="thin">
        <color theme="0" tint="-0.34998626667073579"/>
      </bottom>
      <diagonal/>
    </border>
    <border>
      <left style="thin">
        <color indexed="64"/>
      </left>
      <right/>
      <top style="thin">
        <color theme="0" tint="-0.34998626667073579"/>
      </top>
      <bottom style="thin">
        <color theme="0" tint="-0.34998626667073579"/>
      </bottom>
      <diagonal/>
    </border>
    <border>
      <left style="thin">
        <color auto="1"/>
      </left>
      <right/>
      <top style="thin">
        <color theme="0" tint="-0.34998626667073579"/>
      </top>
      <bottom style="thin">
        <color theme="0" tint="-0.14996795556505021"/>
      </bottom>
      <diagonal/>
    </border>
    <border>
      <left style="thin">
        <color auto="1"/>
      </left>
      <right/>
      <top style="thin">
        <color theme="0" tint="-0.14996795556505021"/>
      </top>
      <bottom style="thin">
        <color theme="0" tint="-0.14996795556505021"/>
      </bottom>
      <diagonal/>
    </border>
    <border>
      <left style="thin">
        <color auto="1"/>
      </left>
      <right/>
      <top style="thin">
        <color theme="0" tint="-0.14996795556505021"/>
      </top>
      <bottom/>
      <diagonal/>
    </border>
    <border>
      <left style="thin">
        <color auto="1"/>
      </left>
      <right/>
      <top style="thin">
        <color theme="0" tint="-0.14996795556505021"/>
      </top>
      <bottom style="thin">
        <color theme="0" tint="-0.34998626667073579"/>
      </bottom>
      <diagonal/>
    </border>
    <border>
      <left style="thin">
        <color auto="1"/>
      </left>
      <right/>
      <top/>
      <bottom style="thin">
        <color theme="0" tint="-0.14996795556505021"/>
      </bottom>
      <diagonal/>
    </border>
    <border>
      <left/>
      <right style="thin">
        <color theme="2" tint="-0.24994659260841701"/>
      </right>
      <top style="thin">
        <color theme="0" tint="-0.34998626667073579"/>
      </top>
      <bottom style="thin">
        <color theme="0" tint="-0.24994659260841701"/>
      </bottom>
      <diagonal/>
    </border>
    <border>
      <left/>
      <right style="thin">
        <color theme="2" tint="-0.24994659260841701"/>
      </right>
      <top style="thin">
        <color theme="0" tint="-0.24994659260841701"/>
      </top>
      <bottom style="thin">
        <color theme="0" tint="-0.24994659260841701"/>
      </bottom>
      <diagonal/>
    </border>
    <border>
      <left/>
      <right style="thin">
        <color theme="2" tint="-0.24994659260841701"/>
      </right>
      <top style="thin">
        <color theme="0" tint="-0.24994659260841701"/>
      </top>
      <bottom style="thin">
        <color theme="0" tint="-0.34998626667073579"/>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bottom style="thin">
        <color theme="2"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24994659260841701"/>
      </bottom>
      <diagonal/>
    </border>
    <border>
      <left style="thin">
        <color theme="0" tint="-0.34998626667073579"/>
      </left>
      <right style="thin">
        <color theme="0" tint="-0.34998626667073579"/>
      </right>
      <top style="thin">
        <color theme="0" tint="-0.24994659260841701"/>
      </top>
      <bottom style="thin">
        <color theme="0" tint="-0.34998626667073579"/>
      </bottom>
      <diagonal/>
    </border>
    <border>
      <left style="thin">
        <color theme="0" tint="-0.34998626667073579"/>
      </left>
      <right style="thin">
        <color theme="0" tint="-0.34998626667073579"/>
      </right>
      <top style="thin">
        <color theme="2" tint="-0.24994659260841701"/>
      </top>
      <bottom/>
      <diagonal/>
    </border>
    <border>
      <left style="thin">
        <color theme="0" tint="-0.34998626667073579"/>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34998626667073579"/>
      </right>
      <top/>
      <bottom style="thin">
        <color theme="0" tint="-0.14996795556505021"/>
      </bottom>
      <diagonal/>
    </border>
    <border>
      <left style="thin">
        <color auto="1"/>
      </left>
      <right style="thin">
        <color auto="1"/>
      </right>
      <top style="thin">
        <color theme="2" tint="-0.24994659260841701"/>
      </top>
      <bottom style="thin">
        <color indexed="64"/>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diagonal/>
    </border>
    <border>
      <left style="thin">
        <color auto="1"/>
      </left>
      <right style="thin">
        <color indexed="64"/>
      </right>
      <top style="thin">
        <color theme="0" tint="-0.34998626667073579"/>
      </top>
      <bottom style="thin">
        <color indexed="64"/>
      </bottom>
      <diagonal/>
    </border>
    <border>
      <left style="thin">
        <color theme="0" tint="-0.34998626667073579"/>
      </left>
      <right style="thin">
        <color theme="0" tint="-0.34998626667073579"/>
      </right>
      <top/>
      <bottom style="thin">
        <color theme="0" tint="-0.34998626667073579"/>
      </bottom>
      <diagonal/>
    </border>
    <border>
      <left/>
      <right style="thin">
        <color theme="2" tint="-0.24994659260841701"/>
      </right>
      <top/>
      <bottom style="thin">
        <color theme="0" tint="-0.34998626667073579"/>
      </bottom>
      <diagonal/>
    </border>
    <border>
      <left style="thin">
        <color theme="2" tint="-0.24994659260841701"/>
      </left>
      <right style="thin">
        <color theme="2" tint="-0.24994659260841701"/>
      </right>
      <top/>
      <bottom style="thin">
        <color theme="0" tint="-0.34998626667073579"/>
      </bottom>
      <diagonal/>
    </border>
    <border>
      <left/>
      <right/>
      <top/>
      <bottom style="thin">
        <color theme="0" tint="-0.34998626667073579"/>
      </bottom>
      <diagonal/>
    </border>
    <border>
      <left style="thin">
        <color auto="1"/>
      </left>
      <right style="thin">
        <color auto="1"/>
      </right>
      <top/>
      <bottom style="thin">
        <color theme="0" tint="-0.34998626667073579"/>
      </bottom>
      <diagonal/>
    </border>
    <border>
      <left style="thin">
        <color auto="1"/>
      </left>
      <right style="thin">
        <color theme="2" tint="-0.24994659260841701"/>
      </right>
      <top style="thin">
        <color theme="2" tint="-0.24994659260841701"/>
      </top>
      <bottom style="thin">
        <color theme="0" tint="-0.14996795556505021"/>
      </bottom>
      <diagonal/>
    </border>
    <border>
      <left style="thin">
        <color theme="2" tint="-0.24994659260841701"/>
      </left>
      <right style="thin">
        <color theme="2" tint="-0.24994659260841701"/>
      </right>
      <top style="thin">
        <color theme="2" tint="-0.24994659260841701"/>
      </top>
      <bottom style="thin">
        <color theme="0" tint="-0.14996795556505021"/>
      </bottom>
      <diagonal/>
    </border>
    <border>
      <left style="thin">
        <color theme="2" tint="-0.24994659260841701"/>
      </left>
      <right/>
      <top style="thin">
        <color theme="2" tint="-0.24994659260841701"/>
      </top>
      <bottom style="thin">
        <color theme="0" tint="-0.14996795556505021"/>
      </bottom>
      <diagonal/>
    </border>
    <border>
      <left style="thin">
        <color auto="1"/>
      </left>
      <right style="thin">
        <color auto="1"/>
      </right>
      <top style="thin">
        <color theme="2" tint="-0.24994659260841701"/>
      </top>
      <bottom style="thin">
        <color theme="0" tint="-0.14996795556505021"/>
      </bottom>
      <diagonal/>
    </border>
    <border>
      <left style="thin">
        <color auto="1"/>
      </left>
      <right style="thin">
        <color theme="2" tint="-0.24994659260841701"/>
      </right>
      <top style="thin">
        <color theme="0" tint="-0.14996795556505021"/>
      </top>
      <bottom style="thin">
        <color theme="2" tint="-0.24994659260841701"/>
      </bottom>
      <diagonal/>
    </border>
    <border>
      <left style="thin">
        <color theme="2" tint="-0.24994659260841701"/>
      </left>
      <right style="thin">
        <color theme="2" tint="-0.24994659260841701"/>
      </right>
      <top style="thin">
        <color theme="0" tint="-0.14996795556505021"/>
      </top>
      <bottom style="thin">
        <color theme="2" tint="-0.24994659260841701"/>
      </bottom>
      <diagonal/>
    </border>
    <border>
      <left style="thin">
        <color theme="2" tint="-0.24994659260841701"/>
      </left>
      <right/>
      <top style="thin">
        <color theme="0" tint="-0.14996795556505021"/>
      </top>
      <bottom style="thin">
        <color theme="2" tint="-0.24994659260841701"/>
      </bottom>
      <diagonal/>
    </border>
    <border>
      <left style="thin">
        <color auto="1"/>
      </left>
      <right style="thin">
        <color auto="1"/>
      </right>
      <top style="thin">
        <color theme="0" tint="-0.14996795556505021"/>
      </top>
      <bottom style="thin">
        <color theme="2" tint="-0.24994659260841701"/>
      </bottom>
      <diagonal/>
    </border>
    <border>
      <left style="thin">
        <color theme="2" tint="-0.24994659260841701"/>
      </left>
      <right style="thin">
        <color theme="2" tint="-0.24994659260841701"/>
      </right>
      <top style="thin">
        <color theme="2"/>
      </top>
      <bottom style="thin">
        <color theme="0" tint="-0.14996795556505021"/>
      </bottom>
      <diagonal/>
    </border>
    <border>
      <left style="thin">
        <color theme="2" tint="-0.24994659260841701"/>
      </left>
      <right/>
      <top style="thin">
        <color theme="2"/>
      </top>
      <bottom style="thin">
        <color theme="0" tint="-0.14996795556505021"/>
      </bottom>
      <diagonal/>
    </border>
    <border>
      <left style="thin">
        <color auto="1"/>
      </left>
      <right style="thin">
        <color theme="2" tint="-0.24994659260841701"/>
      </right>
      <top style="thin">
        <color theme="0" tint="-0.14996795556505021"/>
      </top>
      <bottom style="thin">
        <color theme="0" tint="-0.14996795556505021"/>
      </bottom>
      <diagonal/>
    </border>
    <border>
      <left style="thin">
        <color theme="2" tint="-0.24994659260841701"/>
      </left>
      <right style="thin">
        <color theme="2" tint="-0.24994659260841701"/>
      </right>
      <top style="thin">
        <color theme="0" tint="-0.14996795556505021"/>
      </top>
      <bottom style="thin">
        <color theme="0" tint="-0.14996795556505021"/>
      </bottom>
      <diagonal/>
    </border>
    <border>
      <left style="thin">
        <color theme="2" tint="-0.24994659260841701"/>
      </left>
      <right/>
      <top style="thin">
        <color theme="0" tint="-0.14996795556505021"/>
      </top>
      <bottom style="thin">
        <color theme="0" tint="-0.14996795556505021"/>
      </bottom>
      <diagonal/>
    </border>
    <border>
      <left style="thin">
        <color theme="1"/>
      </left>
      <right style="thin">
        <color theme="1"/>
      </right>
      <top style="thin">
        <color theme="0" tint="-0.14996795556505021"/>
      </top>
      <bottom style="thin">
        <color theme="0" tint="-0.14996795556505021"/>
      </bottom>
      <diagonal/>
    </border>
    <border>
      <left style="thin">
        <color auto="1"/>
      </left>
      <right/>
      <top style="thin">
        <color theme="2" tint="-0.24994659260841701"/>
      </top>
      <bottom style="thin">
        <color indexed="64"/>
      </bottom>
      <diagonal/>
    </border>
    <border>
      <left style="thin">
        <color theme="0" tint="-0.34998626667073579"/>
      </left>
      <right style="thin">
        <color theme="0" tint="-0.34998626667073579"/>
      </right>
      <top style="thin">
        <color theme="2" tint="-0.24994659260841701"/>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1"/>
      </left>
      <right style="thin">
        <color theme="0" tint="-0.14996795556505021"/>
      </right>
      <top/>
      <bottom style="thin">
        <color indexed="64"/>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thin">
        <color theme="0" tint="-0.499984740745262"/>
      </left>
      <right/>
      <top style="thin">
        <color indexed="64"/>
      </top>
      <bottom style="thin">
        <color theme="0" tint="-0.34998626667073579"/>
      </bottom>
      <diagonal/>
    </border>
    <border>
      <left/>
      <right style="thin">
        <color theme="0" tint="-0.499984740745262"/>
      </right>
      <top style="thin">
        <color indexed="64"/>
      </top>
      <bottom style="thin">
        <color theme="0" tint="-0.34998626667073579"/>
      </bottom>
      <diagonal/>
    </border>
    <border>
      <left style="thin">
        <color theme="0" tint="-0.499984740745262"/>
      </left>
      <right/>
      <top/>
      <bottom style="thin">
        <color indexed="64"/>
      </bottom>
      <diagonal/>
    </border>
    <border>
      <left/>
      <right style="thin">
        <color theme="0" tint="-0.499984740745262"/>
      </right>
      <top/>
      <bottom style="thin">
        <color indexed="64"/>
      </bottom>
      <diagonal/>
    </border>
    <border>
      <left style="thin">
        <color theme="0" tint="-0.499984740745262"/>
      </left>
      <right/>
      <top/>
      <bottom/>
      <diagonal/>
    </border>
    <border>
      <left style="thin">
        <color indexed="64"/>
      </left>
      <right style="thin">
        <color indexed="64"/>
      </right>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indexed="64"/>
      </right>
      <top style="thin">
        <color indexed="64"/>
      </top>
      <bottom style="thin">
        <color theme="0" tint="-0.24994659260841701"/>
      </bottom>
      <diagonal/>
    </border>
    <border>
      <left style="thin">
        <color auto="1"/>
      </left>
      <right style="thin">
        <color auto="1"/>
      </right>
      <top style="thin">
        <color auto="1"/>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indexed="64"/>
      </bottom>
      <diagonal/>
    </border>
    <border>
      <left style="thin">
        <color auto="1"/>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auto="1"/>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indexed="64"/>
      </right>
      <top style="thin">
        <color theme="0" tint="-0.24994659260841701"/>
      </top>
      <bottom/>
      <diagonal/>
    </border>
    <border>
      <left style="thin">
        <color theme="0" tint="-0.499984740745262"/>
      </left>
      <right/>
      <top style="thin">
        <color indexed="64"/>
      </top>
      <bottom/>
      <diagonal/>
    </border>
    <border>
      <left style="thin">
        <color theme="0" tint="-0.14996795556505021"/>
      </left>
      <right style="thin">
        <color theme="0" tint="-0.14996795556505021"/>
      </right>
      <top style="thin">
        <color indexed="64"/>
      </top>
      <bottom/>
      <diagonal/>
    </border>
    <border>
      <left style="thin">
        <color theme="0" tint="-0.14996795556505021"/>
      </left>
      <right style="thin">
        <color indexed="64"/>
      </right>
      <top style="thin">
        <color indexed="64"/>
      </top>
      <bottom/>
      <diagonal/>
    </border>
    <border>
      <left style="thin">
        <color theme="0" tint="-0.14996795556505021"/>
      </left>
      <right style="thin">
        <color indexed="64"/>
      </right>
      <top/>
      <bottom/>
      <diagonal/>
    </border>
    <border>
      <left style="thin">
        <color theme="0" tint="-0.14996795556505021"/>
      </left>
      <right style="thin">
        <color indexed="64"/>
      </right>
      <top/>
      <bottom style="thin">
        <color auto="1"/>
      </bottom>
      <diagonal/>
    </border>
  </borders>
  <cellStyleXfs count="193">
    <xf numFmtId="0" fontId="0" fillId="0" borderId="0"/>
    <xf numFmtId="9" fontId="33" fillId="0" borderId="0" applyFont="0" applyFill="0" applyBorder="0" applyAlignment="0" applyProtection="0"/>
    <xf numFmtId="0" fontId="37" fillId="0" borderId="0" applyNumberFormat="0" applyFill="0" applyBorder="0" applyAlignment="0" applyProtection="0"/>
    <xf numFmtId="0" fontId="38" fillId="0" borderId="1" applyNumberFormat="0" applyFill="0" applyAlignment="0" applyProtection="0"/>
    <xf numFmtId="0" fontId="39" fillId="0" borderId="2" applyNumberFormat="0" applyFill="0" applyAlignment="0" applyProtection="0"/>
    <xf numFmtId="0" fontId="40" fillId="0" borderId="3" applyNumberFormat="0" applyFill="0" applyAlignment="0" applyProtection="0"/>
    <xf numFmtId="0" fontId="40" fillId="0" borderId="0" applyNumberFormat="0" applyFill="0" applyBorder="0" applyAlignment="0" applyProtection="0"/>
    <xf numFmtId="0" fontId="41" fillId="4" borderId="0" applyNumberFormat="0" applyBorder="0" applyAlignment="0" applyProtection="0"/>
    <xf numFmtId="0" fontId="42" fillId="5" borderId="0" applyNumberFormat="0" applyBorder="0" applyAlignment="0" applyProtection="0"/>
    <xf numFmtId="0" fontId="43" fillId="6" borderId="0" applyNumberFormat="0" applyBorder="0" applyAlignment="0" applyProtection="0"/>
    <xf numFmtId="0" fontId="44" fillId="7" borderId="4" applyNumberFormat="0" applyAlignment="0" applyProtection="0"/>
    <xf numFmtId="0" fontId="45" fillId="8" borderId="5" applyNumberFormat="0" applyAlignment="0" applyProtection="0"/>
    <xf numFmtId="0" fontId="46" fillId="8" borderId="4" applyNumberFormat="0" applyAlignment="0" applyProtection="0"/>
    <xf numFmtId="0" fontId="47" fillId="0" borderId="6" applyNumberFormat="0" applyFill="0" applyAlignment="0" applyProtection="0"/>
    <xf numFmtId="0" fontId="48" fillId="9" borderId="7" applyNumberFormat="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51" fillId="0" borderId="9" applyNumberFormat="0" applyFill="0" applyAlignment="0" applyProtection="0"/>
    <xf numFmtId="0" fontId="52" fillId="11"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52" fillId="15"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32" fillId="18" borderId="0" applyNumberFormat="0" applyBorder="0" applyAlignment="0" applyProtection="0"/>
    <xf numFmtId="0" fontId="52"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32" fillId="22" borderId="0" applyNumberFormat="0" applyBorder="0" applyAlignment="0" applyProtection="0"/>
    <xf numFmtId="0" fontId="52" fillId="23" borderId="0" applyNumberFormat="0" applyBorder="0" applyAlignment="0" applyProtection="0"/>
    <xf numFmtId="0" fontId="32" fillId="24" borderId="0" applyNumberFormat="0" applyBorder="0" applyAlignment="0" applyProtection="0"/>
    <xf numFmtId="0" fontId="32" fillId="25" borderId="0" applyNumberFormat="0" applyBorder="0" applyAlignment="0" applyProtection="0"/>
    <xf numFmtId="0" fontId="32" fillId="26" borderId="0" applyNumberFormat="0" applyBorder="0" applyAlignment="0" applyProtection="0"/>
    <xf numFmtId="0" fontId="52" fillId="27" borderId="0" applyNumberFormat="0" applyBorder="0" applyAlignment="0" applyProtection="0"/>
    <xf numFmtId="0" fontId="32" fillId="28" borderId="0" applyNumberFormat="0" applyBorder="0" applyAlignment="0" applyProtection="0"/>
    <xf numFmtId="0" fontId="32" fillId="29" borderId="0" applyNumberFormat="0" applyBorder="0" applyAlignment="0" applyProtection="0"/>
    <xf numFmtId="0" fontId="32" fillId="30" borderId="0" applyNumberFormat="0" applyBorder="0" applyAlignment="0" applyProtection="0"/>
    <xf numFmtId="0" fontId="52" fillId="31" borderId="0" applyNumberFormat="0" applyBorder="0" applyAlignment="0" applyProtection="0"/>
    <xf numFmtId="0" fontId="32" fillId="32" borderId="0" applyNumberFormat="0" applyBorder="0" applyAlignment="0" applyProtection="0"/>
    <xf numFmtId="0" fontId="32" fillId="33" borderId="0" applyNumberFormat="0" applyBorder="0" applyAlignment="0" applyProtection="0"/>
    <xf numFmtId="0" fontId="32" fillId="34" borderId="0" applyNumberFormat="0" applyBorder="0" applyAlignment="0" applyProtection="0"/>
    <xf numFmtId="0" fontId="32" fillId="0" borderId="0"/>
    <xf numFmtId="0" fontId="32" fillId="10" borderId="8" applyNumberFormat="0" applyFont="0" applyAlignment="0" applyProtection="0"/>
    <xf numFmtId="43" fontId="33" fillId="0" borderId="0" applyFont="0" applyFill="0" applyBorder="0" applyAlignment="0" applyProtection="0"/>
    <xf numFmtId="0" fontId="31" fillId="0" borderId="0"/>
    <xf numFmtId="0" fontId="31" fillId="0" borderId="0"/>
    <xf numFmtId="0" fontId="30" fillId="0" borderId="0"/>
    <xf numFmtId="167" fontId="30" fillId="0" borderId="0" applyFont="0" applyFill="0" applyBorder="0" applyAlignment="0" applyProtection="0"/>
    <xf numFmtId="0" fontId="29" fillId="0" borderId="0"/>
    <xf numFmtId="0" fontId="58" fillId="0" borderId="0"/>
    <xf numFmtId="0" fontId="58" fillId="0" borderId="0"/>
    <xf numFmtId="3" fontId="58" fillId="0" borderId="0" applyFill="0" applyBorder="0" applyAlignment="0" applyProtection="0"/>
    <xf numFmtId="0" fontId="59" fillId="0" borderId="0" applyNumberFormat="0" applyFill="0" applyBorder="0" applyAlignment="0" applyProtection="0">
      <alignment vertical="top"/>
      <protection locked="0"/>
    </xf>
    <xf numFmtId="9" fontId="58" fillId="0" borderId="0" applyFont="0" applyFill="0" applyBorder="0" applyAlignment="0" applyProtection="0"/>
    <xf numFmtId="0" fontId="58" fillId="0" borderId="0"/>
    <xf numFmtId="168" fontId="58" fillId="0" borderId="0" applyFont="0" applyFill="0" applyBorder="0" applyAlignment="0" applyProtection="0"/>
    <xf numFmtId="0" fontId="28" fillId="0" borderId="0"/>
    <xf numFmtId="43" fontId="28" fillId="0" borderId="0" applyFont="0" applyFill="0" applyBorder="0" applyAlignment="0" applyProtection="0"/>
    <xf numFmtId="0" fontId="33" fillId="0" borderId="0"/>
    <xf numFmtId="0" fontId="33" fillId="0" borderId="0"/>
    <xf numFmtId="0" fontId="33" fillId="0" borderId="0"/>
    <xf numFmtId="0" fontId="33" fillId="0" borderId="0"/>
    <xf numFmtId="0" fontId="28" fillId="10" borderId="8" applyNumberFormat="0" applyFont="0" applyAlignment="0" applyProtection="0"/>
    <xf numFmtId="0" fontId="33" fillId="0" borderId="0"/>
    <xf numFmtId="0" fontId="37" fillId="0" borderId="0" applyNumberFormat="0" applyFill="0" applyBorder="0" applyAlignment="0" applyProtection="0"/>
    <xf numFmtId="0" fontId="38" fillId="0" borderId="1" applyNumberFormat="0" applyFill="0" applyAlignment="0" applyProtection="0"/>
    <xf numFmtId="0" fontId="39" fillId="0" borderId="2" applyNumberFormat="0" applyFill="0" applyAlignment="0" applyProtection="0"/>
    <xf numFmtId="0" fontId="40" fillId="0" borderId="3" applyNumberFormat="0" applyFill="0" applyAlignment="0" applyProtection="0"/>
    <xf numFmtId="0" fontId="40" fillId="0" borderId="0" applyNumberFormat="0" applyFill="0" applyBorder="0" applyAlignment="0" applyProtection="0"/>
    <xf numFmtId="0" fontId="41" fillId="4" borderId="0" applyNumberFormat="0" applyBorder="0" applyAlignment="0" applyProtection="0"/>
    <xf numFmtId="0" fontId="42" fillId="5" borderId="0" applyNumberFormat="0" applyBorder="0" applyAlignment="0" applyProtection="0"/>
    <xf numFmtId="0" fontId="89" fillId="6" borderId="0" applyNumberFormat="0" applyBorder="0" applyAlignment="0" applyProtection="0"/>
    <xf numFmtId="0" fontId="44" fillId="7" borderId="4" applyNumberFormat="0" applyAlignment="0" applyProtection="0"/>
    <xf numFmtId="0" fontId="45" fillId="8" borderId="5" applyNumberFormat="0" applyAlignment="0" applyProtection="0"/>
    <xf numFmtId="0" fontId="46" fillId="8" borderId="4" applyNumberFormat="0" applyAlignment="0" applyProtection="0"/>
    <xf numFmtId="0" fontId="47" fillId="0" borderId="6" applyNumberFormat="0" applyFill="0" applyAlignment="0" applyProtection="0"/>
    <xf numFmtId="0" fontId="48" fillId="9" borderId="7" applyNumberFormat="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51" fillId="0" borderId="9" applyNumberFormat="0" applyFill="0" applyAlignment="0" applyProtection="0"/>
    <xf numFmtId="0" fontId="52"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52" fillId="14" borderId="0" applyNumberFormat="0" applyBorder="0" applyAlignment="0" applyProtection="0"/>
    <xf numFmtId="0" fontId="52"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52" fillId="18" borderId="0" applyNumberFormat="0" applyBorder="0" applyAlignment="0" applyProtection="0"/>
    <xf numFmtId="0" fontId="52" fillId="19"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52" fillId="22" borderId="0" applyNumberFormat="0" applyBorder="0" applyAlignment="0" applyProtection="0"/>
    <xf numFmtId="0" fontId="52" fillId="23"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52" fillId="26" borderId="0" applyNumberFormat="0" applyBorder="0" applyAlignment="0" applyProtection="0"/>
    <xf numFmtId="0" fontId="52" fillId="27"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52" fillId="30" borderId="0" applyNumberFormat="0" applyBorder="0" applyAlignment="0" applyProtection="0"/>
    <xf numFmtId="0" fontId="52" fillId="31"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52" fillId="34" borderId="0" applyNumberFormat="0" applyBorder="0" applyAlignment="0" applyProtection="0"/>
    <xf numFmtId="0" fontId="33" fillId="0" borderId="0"/>
    <xf numFmtId="0" fontId="33" fillId="0" borderId="0"/>
    <xf numFmtId="0" fontId="33" fillId="0" borderId="0"/>
    <xf numFmtId="0" fontId="27" fillId="0" borderId="0"/>
    <xf numFmtId="168" fontId="27" fillId="0" borderId="0" applyFont="0" applyFill="0" applyBorder="0" applyAlignment="0" applyProtection="0"/>
    <xf numFmtId="0" fontId="27" fillId="0" borderId="0"/>
    <xf numFmtId="0" fontId="90" fillId="0" borderId="0"/>
    <xf numFmtId="9" fontId="27" fillId="0" borderId="0" applyFont="0" applyFill="0" applyBorder="0" applyAlignment="0" applyProtection="0"/>
    <xf numFmtId="43" fontId="27" fillId="0" borderId="0" applyFont="0" applyFill="0" applyBorder="0" applyAlignment="0" applyProtection="0"/>
    <xf numFmtId="0" fontId="27" fillId="10" borderId="8" applyNumberFormat="0" applyFont="0" applyAlignment="0" applyProtection="0"/>
    <xf numFmtId="0" fontId="27" fillId="12" borderId="0" applyNumberFormat="0" applyBorder="0" applyAlignment="0" applyProtection="0"/>
    <xf numFmtId="0" fontId="27" fillId="13"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27" fillId="32" borderId="0" applyNumberFormat="0" applyBorder="0" applyAlignment="0" applyProtection="0"/>
    <xf numFmtId="0" fontId="27" fillId="33" borderId="0" applyNumberFormat="0" applyBorder="0" applyAlignment="0" applyProtection="0"/>
    <xf numFmtId="0" fontId="26" fillId="0" borderId="0"/>
    <xf numFmtId="0" fontId="91" fillId="0" borderId="0" applyNumberFormat="0" applyFill="0" applyBorder="0" applyAlignment="0" applyProtection="0"/>
    <xf numFmtId="0" fontId="25" fillId="0" borderId="0"/>
    <xf numFmtId="0" fontId="24" fillId="0" borderId="0"/>
    <xf numFmtId="0" fontId="104" fillId="0" borderId="0"/>
    <xf numFmtId="0" fontId="23" fillId="0" borderId="0"/>
    <xf numFmtId="168" fontId="23" fillId="0" borderId="0" applyFont="0" applyFill="0" applyBorder="0" applyAlignment="0" applyProtection="0"/>
    <xf numFmtId="0" fontId="107" fillId="0" borderId="0"/>
    <xf numFmtId="0" fontId="22" fillId="0" borderId="0"/>
    <xf numFmtId="168" fontId="22" fillId="0" borderId="0" applyFont="0" applyFill="0" applyBorder="0" applyAlignment="0" applyProtection="0"/>
    <xf numFmtId="0" fontId="22" fillId="0" borderId="0"/>
    <xf numFmtId="9" fontId="22" fillId="0" borderId="0" applyFont="0" applyFill="0" applyBorder="0" applyAlignment="0" applyProtection="0"/>
    <xf numFmtId="0" fontId="21" fillId="0" borderId="0"/>
    <xf numFmtId="0" fontId="20" fillId="0" borderId="0"/>
    <xf numFmtId="0" fontId="19" fillId="0" borderId="0"/>
    <xf numFmtId="0" fontId="19" fillId="10" borderId="8" applyNumberFormat="0" applyFont="0" applyAlignment="0" applyProtection="0"/>
    <xf numFmtId="0" fontId="19" fillId="0" borderId="0"/>
    <xf numFmtId="43" fontId="33" fillId="0" borderId="0" applyFont="0" applyFill="0" applyBorder="0" applyAlignment="0" applyProtection="0"/>
    <xf numFmtId="0" fontId="19" fillId="0" borderId="0"/>
    <xf numFmtId="0" fontId="18" fillId="0" borderId="0"/>
    <xf numFmtId="0" fontId="118" fillId="0" borderId="0" applyNumberFormat="0" applyFill="0" applyBorder="0" applyAlignment="0" applyProtection="0"/>
    <xf numFmtId="0" fontId="15" fillId="0" borderId="0"/>
    <xf numFmtId="168" fontId="15" fillId="0" borderId="0" applyFont="0" applyFill="0" applyBorder="0" applyAlignment="0" applyProtection="0"/>
    <xf numFmtId="0" fontId="15" fillId="0" borderId="0"/>
    <xf numFmtId="9" fontId="15" fillId="0" borderId="0" applyFont="0" applyFill="0" applyBorder="0" applyAlignment="0" applyProtection="0"/>
    <xf numFmtId="0" fontId="12" fillId="0" borderId="0"/>
    <xf numFmtId="168" fontId="12" fillId="0" borderId="0" applyFont="0" applyFill="0" applyBorder="0" applyAlignment="0" applyProtection="0"/>
    <xf numFmtId="0" fontId="12" fillId="0" borderId="0"/>
    <xf numFmtId="9" fontId="12" fillId="0" borderId="0" applyFont="0" applyFill="0" applyBorder="0" applyAlignment="0" applyProtection="0"/>
    <xf numFmtId="0" fontId="10" fillId="0" borderId="0"/>
    <xf numFmtId="168" fontId="10" fillId="0" borderId="0" applyFont="0" applyFill="0" applyBorder="0" applyAlignment="0" applyProtection="0"/>
    <xf numFmtId="9" fontId="10" fillId="0" borderId="0" applyFont="0" applyFill="0" applyBorder="0" applyAlignment="0" applyProtection="0"/>
    <xf numFmtId="0" fontId="9" fillId="0" borderId="0"/>
    <xf numFmtId="9" fontId="33" fillId="0" borderId="0" applyFont="0" applyFill="0" applyBorder="0" applyAlignment="0" applyProtection="0"/>
    <xf numFmtId="0" fontId="6" fillId="0" borderId="0"/>
    <xf numFmtId="0" fontId="130" fillId="0" borderId="0"/>
    <xf numFmtId="0" fontId="6" fillId="0" borderId="0"/>
    <xf numFmtId="168" fontId="6" fillId="0" borderId="0" applyFont="0" applyFill="0" applyBorder="0" applyAlignment="0" applyProtection="0"/>
    <xf numFmtId="9" fontId="6" fillId="0" borderId="0" applyFont="0" applyFill="0" applyBorder="0" applyAlignment="0" applyProtection="0"/>
    <xf numFmtId="0" fontId="5" fillId="0" borderId="0"/>
    <xf numFmtId="0" fontId="5" fillId="10" borderId="8" applyNumberFormat="0" applyFont="0" applyAlignment="0" applyProtection="0"/>
    <xf numFmtId="0" fontId="5" fillId="0" borderId="0"/>
    <xf numFmtId="43" fontId="33" fillId="0" borderId="0" applyFont="0" applyFill="0" applyBorder="0" applyAlignment="0" applyProtection="0"/>
    <xf numFmtId="0" fontId="5" fillId="0" borderId="0"/>
    <xf numFmtId="0" fontId="5" fillId="0" borderId="0"/>
    <xf numFmtId="0" fontId="4" fillId="0" borderId="0"/>
    <xf numFmtId="0" fontId="4" fillId="10" borderId="8" applyNumberFormat="0" applyFont="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3" fillId="0" borderId="0"/>
  </cellStyleXfs>
  <cellXfs count="1065">
    <xf numFmtId="0" fontId="0" fillId="0" borderId="0" xfId="0"/>
    <xf numFmtId="3" fontId="0" fillId="0" borderId="0" xfId="0" applyNumberFormat="1"/>
    <xf numFmtId="164" fontId="0" fillId="0" borderId="0" xfId="0" applyNumberFormat="1"/>
    <xf numFmtId="17" fontId="0" fillId="0" borderId="0" xfId="0" applyNumberFormat="1"/>
    <xf numFmtId="0" fontId="0" fillId="3" borderId="0" xfId="0" applyFill="1"/>
    <xf numFmtId="2" fontId="0" fillId="0" borderId="0" xfId="0" applyNumberFormat="1"/>
    <xf numFmtId="1" fontId="0" fillId="0" borderId="0" xfId="0" applyNumberFormat="1"/>
    <xf numFmtId="4" fontId="0" fillId="0" borderId="0" xfId="0" applyNumberFormat="1"/>
    <xf numFmtId="17" fontId="0" fillId="3" borderId="0" xfId="0" applyNumberFormat="1" applyFill="1"/>
    <xf numFmtId="0" fontId="34" fillId="0" borderId="0" xfId="0" applyFont="1"/>
    <xf numFmtId="165" fontId="0" fillId="0" borderId="0" xfId="1" applyNumberFormat="1" applyFont="1"/>
    <xf numFmtId="0" fontId="0" fillId="0" borderId="0" xfId="0" applyAlignment="1">
      <alignment wrapText="1"/>
    </xf>
    <xf numFmtId="9" fontId="0" fillId="0" borderId="0" xfId="1" applyFont="1"/>
    <xf numFmtId="10" fontId="0" fillId="0" borderId="0" xfId="1" applyNumberFormat="1" applyFont="1"/>
    <xf numFmtId="43" fontId="0" fillId="0" borderId="0" xfId="44" applyFont="1"/>
    <xf numFmtId="43" fontId="0" fillId="0" borderId="0" xfId="44" applyFont="1" applyAlignment="1">
      <alignment wrapText="1"/>
    </xf>
    <xf numFmtId="10" fontId="0" fillId="35" borderId="0" xfId="1" applyNumberFormat="1" applyFont="1" applyFill="1"/>
    <xf numFmtId="9" fontId="55" fillId="0" borderId="0" xfId="1" applyFont="1"/>
    <xf numFmtId="9" fontId="56" fillId="0" borderId="0" xfId="1" applyFont="1"/>
    <xf numFmtId="0" fontId="56" fillId="0" borderId="0" xfId="0" applyFont="1"/>
    <xf numFmtId="3" fontId="0" fillId="37" borderId="0" xfId="0" applyNumberFormat="1" applyFill="1"/>
    <xf numFmtId="3" fontId="0" fillId="38" borderId="0" xfId="0" applyNumberFormat="1" applyFill="1"/>
    <xf numFmtId="3" fontId="0" fillId="39" borderId="0" xfId="0" applyNumberFormat="1" applyFill="1"/>
    <xf numFmtId="0" fontId="60" fillId="0" borderId="0" xfId="0" applyFont="1"/>
    <xf numFmtId="0" fontId="62" fillId="0" borderId="0" xfId="0" applyFont="1" applyAlignment="1">
      <alignment horizontal="left"/>
    </xf>
    <xf numFmtId="9" fontId="61" fillId="0" borderId="0" xfId="0" applyNumberFormat="1" applyFont="1" applyAlignment="1">
      <alignment horizontal="left" vertical="center" wrapText="1"/>
    </xf>
    <xf numFmtId="0" fontId="66" fillId="0" borderId="0" xfId="0" applyFont="1"/>
    <xf numFmtId="166" fontId="66" fillId="35" borderId="0" xfId="44" applyNumberFormat="1" applyFont="1" applyFill="1"/>
    <xf numFmtId="0" fontId="35" fillId="0" borderId="0" xfId="0" applyFont="1"/>
    <xf numFmtId="166" fontId="63" fillId="0" borderId="0" xfId="44" applyNumberFormat="1" applyFont="1" applyAlignment="1">
      <alignment horizontal="right"/>
    </xf>
    <xf numFmtId="0" fontId="55" fillId="0" borderId="0" xfId="0" applyFont="1"/>
    <xf numFmtId="9" fontId="67" fillId="0" borderId="0" xfId="0" applyNumberFormat="1" applyFont="1" applyAlignment="1">
      <alignment horizontal="left" vertical="center"/>
    </xf>
    <xf numFmtId="0" fontId="67" fillId="0" borderId="0" xfId="0" applyFont="1" applyAlignment="1">
      <alignment horizontal="left" vertical="center"/>
    </xf>
    <xf numFmtId="0" fontId="60" fillId="0" borderId="10" xfId="0" applyFont="1" applyBorder="1"/>
    <xf numFmtId="0" fontId="0" fillId="0" borderId="10" xfId="0" applyBorder="1"/>
    <xf numFmtId="0" fontId="68" fillId="0" borderId="0" xfId="0" applyFont="1"/>
    <xf numFmtId="0" fontId="69" fillId="0" borderId="0" xfId="0" applyFont="1"/>
    <xf numFmtId="1" fontId="70" fillId="0" borderId="0" xfId="1" applyNumberFormat="1" applyFont="1"/>
    <xf numFmtId="17" fontId="69" fillId="0" borderId="0" xfId="0" applyNumberFormat="1" applyFont="1"/>
    <xf numFmtId="1" fontId="70" fillId="0" borderId="10" xfId="1" applyNumberFormat="1" applyFont="1" applyBorder="1" applyAlignment="1">
      <alignment wrapText="1"/>
    </xf>
    <xf numFmtId="9" fontId="57" fillId="0" borderId="10" xfId="1" applyFont="1" applyBorder="1"/>
    <xf numFmtId="1" fontId="70" fillId="0" borderId="10" xfId="1" applyNumberFormat="1" applyFont="1" applyBorder="1"/>
    <xf numFmtId="9" fontId="55" fillId="0" borderId="10" xfId="1" applyFont="1" applyBorder="1"/>
    <xf numFmtId="0" fontId="0" fillId="2" borderId="0" xfId="0" applyFill="1"/>
    <xf numFmtId="0" fontId="0" fillId="43" borderId="0" xfId="0" applyFill="1"/>
    <xf numFmtId="1" fontId="70" fillId="0" borderId="10" xfId="1" applyNumberFormat="1" applyFont="1" applyBorder="1" applyAlignment="1">
      <alignment horizontal="right"/>
    </xf>
    <xf numFmtId="0" fontId="56" fillId="3" borderId="0" xfId="0" applyFont="1" applyFill="1"/>
    <xf numFmtId="3" fontId="56" fillId="39" borderId="0" xfId="0" applyNumberFormat="1" applyFont="1" applyFill="1"/>
    <xf numFmtId="3" fontId="56" fillId="38" borderId="0" xfId="0" applyNumberFormat="1" applyFont="1" applyFill="1"/>
    <xf numFmtId="17" fontId="56" fillId="44" borderId="0" xfId="0" applyNumberFormat="1" applyFont="1" applyFill="1" applyAlignment="1">
      <alignment horizontal="left"/>
    </xf>
    <xf numFmtId="9" fontId="56" fillId="40" borderId="0" xfId="1" applyFont="1" applyFill="1"/>
    <xf numFmtId="9" fontId="34" fillId="0" borderId="0" xfId="1" applyFont="1"/>
    <xf numFmtId="1" fontId="71" fillId="0" borderId="0" xfId="1" applyNumberFormat="1" applyFont="1"/>
    <xf numFmtId="0" fontId="72" fillId="0" borderId="0" xfId="0" applyFont="1"/>
    <xf numFmtId="0" fontId="56" fillId="0" borderId="10" xfId="0" applyFont="1" applyBorder="1"/>
    <xf numFmtId="0" fontId="0" fillId="0" borderId="11" xfId="0" applyBorder="1"/>
    <xf numFmtId="9" fontId="57" fillId="0" borderId="11" xfId="1" applyFont="1" applyBorder="1"/>
    <xf numFmtId="0" fontId="73" fillId="0" borderId="0" xfId="0" applyFont="1"/>
    <xf numFmtId="0" fontId="54" fillId="0" borderId="0" xfId="0" applyFont="1"/>
    <xf numFmtId="17" fontId="73" fillId="0" borderId="0" xfId="0" applyNumberFormat="1" applyFont="1"/>
    <xf numFmtId="165" fontId="57" fillId="0" borderId="11" xfId="1" applyNumberFormat="1" applyFont="1" applyBorder="1"/>
    <xf numFmtId="0" fontId="74" fillId="40" borderId="12" xfId="0" applyFont="1" applyFill="1" applyBorder="1" applyAlignment="1">
      <alignment horizontal="center" vertical="center"/>
    </xf>
    <xf numFmtId="3" fontId="75" fillId="46" borderId="0" xfId="0" applyNumberFormat="1" applyFont="1" applyFill="1"/>
    <xf numFmtId="3" fontId="75" fillId="45" borderId="0" xfId="0" applyNumberFormat="1" applyFont="1" applyFill="1"/>
    <xf numFmtId="166" fontId="69" fillId="0" borderId="0" xfId="44" applyNumberFormat="1" applyFont="1" applyAlignment="1"/>
    <xf numFmtId="3" fontId="69" fillId="0" borderId="0" xfId="0" applyNumberFormat="1" applyFont="1"/>
    <xf numFmtId="1" fontId="69" fillId="0" borderId="0" xfId="0" applyNumberFormat="1" applyFont="1"/>
    <xf numFmtId="166" fontId="66" fillId="0" borderId="0" xfId="44" applyNumberFormat="1" applyFont="1" applyAlignment="1"/>
    <xf numFmtId="166" fontId="0" fillId="0" borderId="0" xfId="44" applyNumberFormat="1" applyFont="1" applyAlignment="1"/>
    <xf numFmtId="3" fontId="66" fillId="0" borderId="0" xfId="0" applyNumberFormat="1" applyFont="1"/>
    <xf numFmtId="0" fontId="0" fillId="35" borderId="0" xfId="0" applyFill="1"/>
    <xf numFmtId="0" fontId="54" fillId="36" borderId="0" xfId="0" applyFont="1" applyFill="1"/>
    <xf numFmtId="166" fontId="66" fillId="35" borderId="0" xfId="44" applyNumberFormat="1" applyFont="1" applyFill="1" applyAlignment="1"/>
    <xf numFmtId="166" fontId="0" fillId="35" borderId="0" xfId="44" applyNumberFormat="1" applyFont="1" applyFill="1" applyAlignment="1"/>
    <xf numFmtId="0" fontId="66" fillId="35" borderId="0" xfId="0" applyFont="1" applyFill="1"/>
    <xf numFmtId="1" fontId="0" fillId="38" borderId="0" xfId="0" applyNumberFormat="1" applyFill="1"/>
    <xf numFmtId="166" fontId="66" fillId="0" borderId="0" xfId="0" applyNumberFormat="1" applyFont="1"/>
    <xf numFmtId="3" fontId="35" fillId="37" borderId="0" xfId="0" applyNumberFormat="1" applyFont="1" applyFill="1"/>
    <xf numFmtId="2" fontId="57" fillId="0" borderId="0" xfId="0" applyNumberFormat="1" applyFont="1"/>
    <xf numFmtId="3" fontId="57" fillId="0" borderId="0" xfId="0" applyNumberFormat="1" applyFont="1"/>
    <xf numFmtId="2" fontId="35" fillId="0" borderId="0" xfId="0" applyNumberFormat="1" applyFont="1"/>
    <xf numFmtId="1" fontId="66" fillId="0" borderId="0" xfId="0" applyNumberFormat="1" applyFont="1"/>
    <xf numFmtId="3" fontId="35" fillId="0" borderId="0" xfId="0" applyNumberFormat="1" applyFont="1"/>
    <xf numFmtId="3" fontId="54" fillId="0" borderId="0" xfId="0" applyNumberFormat="1" applyFont="1"/>
    <xf numFmtId="43" fontId="0" fillId="0" borderId="0" xfId="44" applyFont="1" applyAlignment="1"/>
    <xf numFmtId="164" fontId="57" fillId="0" borderId="0" xfId="0" applyNumberFormat="1" applyFont="1"/>
    <xf numFmtId="17" fontId="57" fillId="0" borderId="0" xfId="0" applyNumberFormat="1" applyFont="1"/>
    <xf numFmtId="10" fontId="66" fillId="0" borderId="0" xfId="0" applyNumberFormat="1" applyFont="1"/>
    <xf numFmtId="43" fontId="35" fillId="0" borderId="0" xfId="44" applyFont="1" applyAlignment="1"/>
    <xf numFmtId="43" fontId="33" fillId="0" borderId="0" xfId="44" applyAlignment="1"/>
    <xf numFmtId="4" fontId="0" fillId="3" borderId="0" xfId="0" applyNumberFormat="1" applyFill="1"/>
    <xf numFmtId="4" fontId="0" fillId="0" borderId="0" xfId="0" applyNumberFormat="1" applyAlignment="1">
      <alignment wrapText="1"/>
    </xf>
    <xf numFmtId="3" fontId="66" fillId="0" borderId="0" xfId="44" applyNumberFormat="1" applyFont="1" applyAlignment="1"/>
    <xf numFmtId="4" fontId="0" fillId="0" borderId="0" xfId="44" applyNumberFormat="1" applyFont="1" applyAlignment="1"/>
    <xf numFmtId="4" fontId="57" fillId="0" borderId="0" xfId="0" applyNumberFormat="1" applyFont="1"/>
    <xf numFmtId="4" fontId="35" fillId="0" borderId="0" xfId="0" applyNumberFormat="1" applyFont="1"/>
    <xf numFmtId="4" fontId="0" fillId="0" borderId="0" xfId="44" applyNumberFormat="1" applyFont="1"/>
    <xf numFmtId="4" fontId="54" fillId="0" borderId="0" xfId="0" applyNumberFormat="1" applyFont="1"/>
    <xf numFmtId="4" fontId="54" fillId="0" borderId="0" xfId="44" applyNumberFormat="1" applyFont="1" applyAlignment="1"/>
    <xf numFmtId="4" fontId="0" fillId="0" borderId="0" xfId="44" applyNumberFormat="1" applyFont="1" applyFill="1"/>
    <xf numFmtId="10" fontId="57" fillId="0" borderId="11" xfId="1" applyNumberFormat="1" applyFont="1" applyBorder="1"/>
    <xf numFmtId="3" fontId="73" fillId="38" borderId="0" xfId="0" applyNumberFormat="1" applyFont="1" applyFill="1"/>
    <xf numFmtId="0" fontId="76" fillId="0" borderId="0" xfId="0" applyFont="1"/>
    <xf numFmtId="0" fontId="73" fillId="0" borderId="10" xfId="0" applyFont="1" applyBorder="1"/>
    <xf numFmtId="9" fontId="70" fillId="0" borderId="10" xfId="1" applyFont="1" applyBorder="1"/>
    <xf numFmtId="2" fontId="54" fillId="0" borderId="0" xfId="0" applyNumberFormat="1" applyFont="1"/>
    <xf numFmtId="0" fontId="0" fillId="47" borderId="0" xfId="0" applyFill="1"/>
    <xf numFmtId="4" fontId="80" fillId="48" borderId="0" xfId="0" applyNumberFormat="1" applyFont="1" applyFill="1"/>
    <xf numFmtId="4" fontId="80" fillId="50" borderId="0" xfId="0" applyNumberFormat="1" applyFont="1" applyFill="1"/>
    <xf numFmtId="4" fontId="80" fillId="51" borderId="0" xfId="0" applyNumberFormat="1" applyFont="1" applyFill="1"/>
    <xf numFmtId="0" fontId="81" fillId="0" borderId="0" xfId="0" applyFont="1" applyAlignment="1">
      <alignment horizontal="right"/>
    </xf>
    <xf numFmtId="0" fontId="78" fillId="0" borderId="13" xfId="0" applyFont="1" applyBorder="1"/>
    <xf numFmtId="17" fontId="80" fillId="49" borderId="0" xfId="0" applyNumberFormat="1" applyFont="1" applyFill="1" applyAlignment="1">
      <alignment horizontal="left"/>
    </xf>
    <xf numFmtId="0" fontId="82" fillId="0" borderId="0" xfId="0" applyFont="1" applyAlignment="1">
      <alignment horizontal="right"/>
    </xf>
    <xf numFmtId="3" fontId="83" fillId="0" borderId="0" xfId="0" applyNumberFormat="1" applyFont="1"/>
    <xf numFmtId="3" fontId="0" fillId="0" borderId="14" xfId="0" applyNumberFormat="1" applyBorder="1"/>
    <xf numFmtId="9" fontId="0" fillId="0" borderId="14" xfId="0" applyNumberFormat="1" applyBorder="1"/>
    <xf numFmtId="164" fontId="0" fillId="0" borderId="14" xfId="0" applyNumberFormat="1" applyBorder="1"/>
    <xf numFmtId="0" fontId="0" fillId="0" borderId="14" xfId="0" applyBorder="1"/>
    <xf numFmtId="17" fontId="84" fillId="0" borderId="14" xfId="0" applyNumberFormat="1" applyFont="1" applyBorder="1"/>
    <xf numFmtId="17" fontId="84" fillId="0" borderId="14" xfId="0" applyNumberFormat="1" applyFont="1" applyBorder="1" applyAlignment="1">
      <alignment horizontal="left"/>
    </xf>
    <xf numFmtId="17" fontId="0" fillId="0" borderId="14" xfId="0" applyNumberFormat="1" applyBorder="1"/>
    <xf numFmtId="0" fontId="77" fillId="0" borderId="14" xfId="0" applyFont="1" applyBorder="1" applyAlignment="1">
      <alignment horizontal="right"/>
    </xf>
    <xf numFmtId="0" fontId="85" fillId="0" borderId="14" xfId="0" applyFont="1" applyBorder="1" applyAlignment="1">
      <alignment horizontal="right"/>
    </xf>
    <xf numFmtId="0" fontId="79" fillId="0" borderId="14" xfId="0" applyFont="1" applyBorder="1" applyAlignment="1">
      <alignment horizontal="right"/>
    </xf>
    <xf numFmtId="3" fontId="56" fillId="0" borderId="14" xfId="0" applyNumberFormat="1" applyFont="1" applyBorder="1"/>
    <xf numFmtId="9" fontId="56" fillId="0" borderId="14" xfId="0" applyNumberFormat="1" applyFont="1" applyBorder="1"/>
    <xf numFmtId="0" fontId="56" fillId="0" borderId="14" xfId="0" applyFont="1" applyBorder="1"/>
    <xf numFmtId="3" fontId="86" fillId="0" borderId="0" xfId="0" applyNumberFormat="1" applyFont="1"/>
    <xf numFmtId="0" fontId="77" fillId="0" borderId="14" xfId="0" applyFont="1" applyBorder="1" applyAlignment="1">
      <alignment horizontal="left"/>
    </xf>
    <xf numFmtId="0" fontId="85" fillId="0" borderId="14" xfId="0" applyFont="1" applyBorder="1" applyAlignment="1">
      <alignment horizontal="left"/>
    </xf>
    <xf numFmtId="164" fontId="54" fillId="0" borderId="0" xfId="0" applyNumberFormat="1" applyFont="1"/>
    <xf numFmtId="0" fontId="54" fillId="47" borderId="0" xfId="0" applyFont="1" applyFill="1"/>
    <xf numFmtId="3" fontId="34" fillId="0" borderId="0" xfId="0" applyNumberFormat="1" applyFont="1"/>
    <xf numFmtId="3" fontId="0" fillId="42" borderId="14" xfId="0" applyNumberFormat="1" applyFill="1" applyBorder="1"/>
    <xf numFmtId="0" fontId="0" fillId="42" borderId="0" xfId="0" applyFill="1"/>
    <xf numFmtId="9" fontId="0" fillId="42" borderId="14" xfId="0" applyNumberFormat="1" applyFill="1" applyBorder="1"/>
    <xf numFmtId="164" fontId="0" fillId="42" borderId="14" xfId="0" applyNumberFormat="1" applyFill="1" applyBorder="1"/>
    <xf numFmtId="17" fontId="69" fillId="42" borderId="0" xfId="0" applyNumberFormat="1" applyFont="1" applyFill="1"/>
    <xf numFmtId="3" fontId="0" fillId="42" borderId="0" xfId="0" applyNumberFormat="1" applyFill="1"/>
    <xf numFmtId="2" fontId="0" fillId="42" borderId="0" xfId="0" applyNumberFormat="1" applyFill="1"/>
    <xf numFmtId="0" fontId="0" fillId="0" borderId="0" xfId="0" applyAlignment="1">
      <alignment horizontal="center"/>
    </xf>
    <xf numFmtId="1" fontId="0" fillId="37" borderId="0" xfId="0" applyNumberFormat="1" applyFill="1"/>
    <xf numFmtId="1" fontId="54" fillId="0" borderId="0" xfId="0" applyNumberFormat="1" applyFont="1"/>
    <xf numFmtId="1" fontId="35" fillId="0" borderId="0" xfId="0" applyNumberFormat="1" applyFont="1"/>
    <xf numFmtId="2" fontId="69" fillId="0" borderId="0" xfId="0" applyNumberFormat="1" applyFont="1"/>
    <xf numFmtId="2" fontId="0" fillId="39" borderId="0" xfId="0" applyNumberFormat="1" applyFill="1"/>
    <xf numFmtId="9" fontId="65" fillId="0" borderId="10" xfId="1" applyFont="1" applyBorder="1" applyAlignment="1">
      <alignment horizontal="left" wrapText="1"/>
    </xf>
    <xf numFmtId="0" fontId="65" fillId="0" borderId="10" xfId="0" applyFont="1" applyBorder="1"/>
    <xf numFmtId="0" fontId="65" fillId="0" borderId="10" xfId="0" applyFont="1" applyBorder="1" applyAlignment="1">
      <alignment horizontal="right"/>
    </xf>
    <xf numFmtId="9" fontId="87" fillId="0" borderId="0" xfId="0" applyNumberFormat="1" applyFont="1" applyAlignment="1">
      <alignment horizontal="left" vertical="center"/>
    </xf>
    <xf numFmtId="43" fontId="0" fillId="39" borderId="0" xfId="44" applyFont="1" applyFill="1"/>
    <xf numFmtId="43" fontId="0" fillId="43" borderId="0" xfId="44" applyFont="1" applyFill="1"/>
    <xf numFmtId="43" fontId="0" fillId="0" borderId="0" xfId="44" applyFont="1" applyFill="1" applyAlignment="1"/>
    <xf numFmtId="166" fontId="57" fillId="0" borderId="0" xfId="44" applyNumberFormat="1" applyFont="1" applyAlignment="1">
      <alignment horizontal="center" vertical="center"/>
    </xf>
    <xf numFmtId="9" fontId="56" fillId="0" borderId="0" xfId="0" applyNumberFormat="1" applyFont="1" applyAlignment="1">
      <alignment horizontal="left" vertical="center" wrapText="1"/>
    </xf>
    <xf numFmtId="166" fontId="55" fillId="0" borderId="0" xfId="44" applyNumberFormat="1" applyFont="1" applyAlignment="1">
      <alignment horizontal="right"/>
    </xf>
    <xf numFmtId="166" fontId="57" fillId="0" borderId="0" xfId="44" applyNumberFormat="1" applyFont="1" applyAlignment="1">
      <alignment horizontal="left" vertical="center"/>
    </xf>
    <xf numFmtId="9" fontId="54" fillId="0" borderId="10" xfId="1" applyFont="1" applyBorder="1"/>
    <xf numFmtId="9" fontId="64" fillId="0" borderId="10" xfId="1" applyFont="1" applyBorder="1"/>
    <xf numFmtId="9" fontId="67" fillId="0" borderId="10" xfId="1" applyFont="1" applyBorder="1"/>
    <xf numFmtId="43" fontId="54" fillId="0" borderId="0" xfId="44" applyFont="1" applyAlignment="1"/>
    <xf numFmtId="9" fontId="0" fillId="0" borderId="0" xfId="0" applyNumberFormat="1"/>
    <xf numFmtId="170" fontId="0" fillId="0" borderId="0" xfId="44" applyNumberFormat="1" applyFont="1"/>
    <xf numFmtId="166" fontId="54" fillId="0" borderId="0" xfId="44" applyNumberFormat="1" applyFont="1"/>
    <xf numFmtId="166" fontId="35" fillId="0" borderId="0" xfId="44" applyNumberFormat="1" applyFont="1" applyAlignment="1"/>
    <xf numFmtId="166" fontId="54" fillId="0" borderId="0" xfId="44" applyNumberFormat="1" applyFont="1" applyAlignment="1"/>
    <xf numFmtId="166" fontId="0" fillId="0" borderId="0" xfId="44" applyNumberFormat="1" applyFont="1"/>
    <xf numFmtId="166" fontId="0" fillId="3" borderId="0" xfId="44" applyNumberFormat="1" applyFont="1" applyFill="1" applyAlignment="1"/>
    <xf numFmtId="166" fontId="35" fillId="0" borderId="0" xfId="44" applyNumberFormat="1" applyFont="1"/>
    <xf numFmtId="0" fontId="88" fillId="0" borderId="0" xfId="0" applyFont="1" applyAlignment="1">
      <alignment horizontal="center" vertical="center"/>
    </xf>
    <xf numFmtId="171" fontId="0" fillId="0" borderId="0" xfId="0" applyNumberFormat="1"/>
    <xf numFmtId="172" fontId="0" fillId="0" borderId="0" xfId="44" applyNumberFormat="1" applyFont="1" applyAlignment="1"/>
    <xf numFmtId="0" fontId="91" fillId="0" borderId="0" xfId="128"/>
    <xf numFmtId="17" fontId="92" fillId="0" borderId="0" xfId="0" applyNumberFormat="1" applyFont="1"/>
    <xf numFmtId="171" fontId="54" fillId="0" borderId="0" xfId="0" applyNumberFormat="1" applyFont="1"/>
    <xf numFmtId="4" fontId="54" fillId="0" borderId="0" xfId="44" applyNumberFormat="1" applyFont="1" applyFill="1"/>
    <xf numFmtId="9" fontId="57" fillId="0" borderId="0" xfId="1" applyFont="1" applyFill="1" applyBorder="1"/>
    <xf numFmtId="3" fontId="0" fillId="41" borderId="0" xfId="0" applyNumberFormat="1" applyFill="1"/>
    <xf numFmtId="166" fontId="0" fillId="0" borderId="0" xfId="44" applyNumberFormat="1" applyFont="1" applyFill="1" applyAlignment="1"/>
    <xf numFmtId="3" fontId="54" fillId="41" borderId="0" xfId="0" applyNumberFormat="1" applyFont="1" applyFill="1"/>
    <xf numFmtId="1" fontId="0" fillId="42" borderId="0" xfId="0" applyNumberFormat="1" applyFill="1"/>
    <xf numFmtId="4" fontId="0" fillId="42" borderId="0" xfId="0" applyNumberFormat="1" applyFill="1"/>
    <xf numFmtId="4" fontId="93" fillId="52" borderId="15" xfId="0" applyNumberFormat="1" applyFont="1" applyFill="1" applyBorder="1" applyAlignment="1">
      <alignment horizontal="right" vertical="top" wrapText="1"/>
    </xf>
    <xf numFmtId="1" fontId="54" fillId="42" borderId="0" xfId="0" applyNumberFormat="1" applyFont="1" applyFill="1"/>
    <xf numFmtId="172" fontId="35" fillId="0" borderId="0" xfId="44" applyNumberFormat="1" applyFont="1"/>
    <xf numFmtId="4" fontId="0" fillId="41" borderId="0" xfId="0" applyNumberFormat="1" applyFill="1"/>
    <xf numFmtId="43" fontId="0" fillId="42" borderId="0" xfId="44" applyFont="1" applyFill="1" applyAlignment="1"/>
    <xf numFmtId="1" fontId="0" fillId="0" borderId="0" xfId="1" applyNumberFormat="1" applyFont="1"/>
    <xf numFmtId="0" fontId="94" fillId="0" borderId="0" xfId="0" applyFont="1"/>
    <xf numFmtId="9" fontId="57" fillId="0" borderId="0" xfId="1" applyFont="1" applyBorder="1"/>
    <xf numFmtId="1" fontId="70" fillId="0" borderId="0" xfId="1" applyNumberFormat="1" applyFont="1" applyBorder="1"/>
    <xf numFmtId="9" fontId="70" fillId="0" borderId="0" xfId="1" applyFont="1" applyBorder="1"/>
    <xf numFmtId="9" fontId="55" fillId="0" borderId="0" xfId="1" applyFont="1" applyBorder="1"/>
    <xf numFmtId="1" fontId="70" fillId="0" borderId="0" xfId="1" applyNumberFormat="1" applyFont="1" applyBorder="1" applyAlignment="1">
      <alignment horizontal="right"/>
    </xf>
    <xf numFmtId="0" fontId="97" fillId="3" borderId="0" xfId="0" applyFont="1" applyFill="1"/>
    <xf numFmtId="9" fontId="70" fillId="0" borderId="0" xfId="0" applyNumberFormat="1" applyFont="1" applyAlignment="1">
      <alignment horizontal="left" vertical="center"/>
    </xf>
    <xf numFmtId="9" fontId="97" fillId="0" borderId="0" xfId="0" applyNumberFormat="1" applyFont="1" applyAlignment="1">
      <alignment horizontal="left" vertical="center" wrapText="1"/>
    </xf>
    <xf numFmtId="0" fontId="70" fillId="0" borderId="0" xfId="0" applyFont="1" applyAlignment="1">
      <alignment horizontal="left"/>
    </xf>
    <xf numFmtId="3" fontId="97" fillId="38" borderId="0" xfId="0" applyNumberFormat="1" applyFont="1" applyFill="1"/>
    <xf numFmtId="3" fontId="97" fillId="39" borderId="0" xfId="0" applyNumberFormat="1" applyFont="1" applyFill="1"/>
    <xf numFmtId="166" fontId="99" fillId="0" borderId="0" xfId="44" applyNumberFormat="1" applyFont="1" applyAlignment="1">
      <alignment horizontal="center" vertical="center"/>
    </xf>
    <xf numFmtId="9" fontId="96" fillId="0" borderId="10" xfId="1" applyFont="1" applyBorder="1" applyAlignment="1">
      <alignment horizontal="left" wrapText="1"/>
    </xf>
    <xf numFmtId="1" fontId="100" fillId="0" borderId="10" xfId="1" applyNumberFormat="1" applyFont="1" applyBorder="1" applyAlignment="1">
      <alignment wrapText="1"/>
    </xf>
    <xf numFmtId="0" fontId="96" fillId="0" borderId="10" xfId="0" applyFont="1" applyBorder="1"/>
    <xf numFmtId="0" fontId="97" fillId="0" borderId="10" xfId="0" applyFont="1" applyBorder="1"/>
    <xf numFmtId="0" fontId="96" fillId="0" borderId="10" xfId="0" applyFont="1" applyBorder="1" applyAlignment="1">
      <alignment horizontal="right"/>
    </xf>
    <xf numFmtId="0" fontId="101" fillId="0" borderId="0" xfId="0" applyFont="1"/>
    <xf numFmtId="3" fontId="0" fillId="39" borderId="0" xfId="0" applyNumberFormat="1" applyFill="1" applyAlignment="1">
      <alignment wrapText="1"/>
    </xf>
    <xf numFmtId="0" fontId="34" fillId="0" borderId="0" xfId="0" applyFont="1" applyAlignment="1">
      <alignment wrapText="1"/>
    </xf>
    <xf numFmtId="0" fontId="96" fillId="0" borderId="10" xfId="0" applyFont="1" applyBorder="1" applyAlignment="1">
      <alignment wrapText="1"/>
    </xf>
    <xf numFmtId="0" fontId="0" fillId="0" borderId="10" xfId="0" applyBorder="1" applyAlignment="1">
      <alignment wrapText="1"/>
    </xf>
    <xf numFmtId="0" fontId="95" fillId="0" borderId="0" xfId="0" applyFont="1"/>
    <xf numFmtId="9" fontId="57" fillId="0" borderId="10" xfId="1" applyFont="1" applyBorder="1" applyAlignment="1"/>
    <xf numFmtId="1" fontId="70" fillId="0" borderId="10" xfId="1" applyNumberFormat="1" applyFont="1" applyBorder="1" applyAlignment="1"/>
    <xf numFmtId="9" fontId="55" fillId="0" borderId="0" xfId="1" applyFont="1" applyAlignment="1"/>
    <xf numFmtId="9" fontId="70" fillId="0" borderId="10" xfId="1" applyFont="1" applyBorder="1" applyAlignment="1"/>
    <xf numFmtId="9" fontId="55" fillId="0" borderId="10" xfId="1" applyFont="1" applyBorder="1" applyAlignment="1"/>
    <xf numFmtId="9" fontId="64" fillId="0" borderId="10" xfId="1" applyFont="1" applyBorder="1" applyAlignment="1"/>
    <xf numFmtId="17" fontId="56" fillId="44" borderId="0" xfId="0" applyNumberFormat="1" applyFont="1" applyFill="1" applyAlignment="1">
      <alignment horizontal="left" wrapText="1"/>
    </xf>
    <xf numFmtId="0" fontId="0" fillId="0" borderId="11" xfId="0" applyBorder="1" applyAlignment="1">
      <alignment wrapText="1"/>
    </xf>
    <xf numFmtId="0" fontId="56" fillId="0" borderId="10" xfId="0" applyFont="1" applyBorder="1" applyAlignment="1">
      <alignment wrapText="1"/>
    </xf>
    <xf numFmtId="0" fontId="98" fillId="0" borderId="10" xfId="0" applyFont="1" applyBorder="1" applyAlignment="1">
      <alignment wrapText="1"/>
    </xf>
    <xf numFmtId="0" fontId="94" fillId="0" borderId="0" xfId="0" applyFont="1" applyAlignment="1">
      <alignment wrapText="1"/>
    </xf>
    <xf numFmtId="0" fontId="102" fillId="0" borderId="10" xfId="0" applyFont="1" applyBorder="1" applyAlignment="1">
      <alignment wrapText="1"/>
    </xf>
    <xf numFmtId="9" fontId="103" fillId="0" borderId="10" xfId="1" applyFont="1" applyBorder="1" applyAlignment="1">
      <alignment wrapText="1"/>
    </xf>
    <xf numFmtId="0" fontId="98" fillId="53" borderId="10" xfId="0" applyFont="1" applyFill="1" applyBorder="1" applyAlignment="1">
      <alignment wrapText="1"/>
    </xf>
    <xf numFmtId="0" fontId="95" fillId="53" borderId="0" xfId="0" applyFont="1" applyFill="1"/>
    <xf numFmtId="166" fontId="55" fillId="53" borderId="0" xfId="44" applyNumberFormat="1" applyFont="1" applyFill="1" applyAlignment="1">
      <alignment horizontal="right"/>
    </xf>
    <xf numFmtId="0" fontId="70" fillId="53" borderId="0" xfId="0" applyFont="1" applyFill="1" applyAlignment="1">
      <alignment horizontal="left"/>
    </xf>
    <xf numFmtId="9" fontId="57" fillId="53" borderId="10" xfId="1" applyFont="1" applyFill="1" applyBorder="1" applyAlignment="1"/>
    <xf numFmtId="1" fontId="70" fillId="53" borderId="10" xfId="1" applyNumberFormat="1" applyFont="1" applyFill="1" applyBorder="1" applyAlignment="1"/>
    <xf numFmtId="9" fontId="55" fillId="53" borderId="0" xfId="1" applyFont="1" applyFill="1" applyAlignment="1"/>
    <xf numFmtId="9" fontId="70" fillId="53" borderId="10" xfId="1" applyFont="1" applyFill="1" applyBorder="1" applyAlignment="1"/>
    <xf numFmtId="9" fontId="55" fillId="53" borderId="10" xfId="1" applyFont="1" applyFill="1" applyBorder="1" applyAlignment="1"/>
    <xf numFmtId="1" fontId="70" fillId="53" borderId="10" xfId="1" applyNumberFormat="1" applyFont="1" applyFill="1" applyBorder="1" applyAlignment="1">
      <alignment horizontal="right"/>
    </xf>
    <xf numFmtId="0" fontId="54" fillId="53" borderId="0" xfId="0" applyFont="1" applyFill="1"/>
    <xf numFmtId="9" fontId="103" fillId="53" borderId="10" xfId="1" applyFont="1" applyFill="1" applyBorder="1" applyAlignment="1">
      <alignment wrapText="1"/>
    </xf>
    <xf numFmtId="0" fontId="55" fillId="53" borderId="0" xfId="0" applyFont="1" applyFill="1"/>
    <xf numFmtId="9" fontId="64" fillId="53" borderId="10" xfId="1" applyFont="1" applyFill="1" applyBorder="1" applyAlignment="1"/>
    <xf numFmtId="0" fontId="102" fillId="53" borderId="10" xfId="0" applyFont="1" applyFill="1" applyBorder="1" applyAlignment="1">
      <alignment wrapText="1"/>
    </xf>
    <xf numFmtId="9" fontId="67" fillId="53" borderId="10" xfId="1" applyFont="1" applyFill="1" applyBorder="1" applyAlignment="1"/>
    <xf numFmtId="9" fontId="103" fillId="0" borderId="10" xfId="1" applyFont="1" applyFill="1" applyBorder="1" applyAlignment="1">
      <alignment wrapText="1"/>
    </xf>
    <xf numFmtId="0" fontId="105" fillId="0" borderId="10" xfId="0" applyFont="1" applyBorder="1" applyAlignment="1">
      <alignment wrapText="1"/>
    </xf>
    <xf numFmtId="0" fontId="105" fillId="53" borderId="10" xfId="0" applyFont="1" applyFill="1" applyBorder="1" applyAlignment="1">
      <alignment wrapText="1"/>
    </xf>
    <xf numFmtId="0" fontId="56" fillId="0" borderId="0" xfId="0" applyFont="1" applyAlignment="1">
      <alignment wrapText="1"/>
    </xf>
    <xf numFmtId="0" fontId="105" fillId="0" borderId="0" xfId="0" applyFont="1" applyAlignment="1">
      <alignment wrapText="1"/>
    </xf>
    <xf numFmtId="0" fontId="105" fillId="53" borderId="0" xfId="0" applyFont="1" applyFill="1" applyAlignment="1">
      <alignment wrapText="1"/>
    </xf>
    <xf numFmtId="9" fontId="106" fillId="0" borderId="10" xfId="1" applyFont="1" applyBorder="1" applyAlignment="1"/>
    <xf numFmtId="1" fontId="62" fillId="0" borderId="10" xfId="1" applyNumberFormat="1" applyFont="1" applyBorder="1" applyAlignment="1"/>
    <xf numFmtId="9" fontId="62" fillId="0" borderId="0" xfId="1" applyFont="1" applyAlignment="1"/>
    <xf numFmtId="9" fontId="62" fillId="0" borderId="10" xfId="1" applyFont="1" applyBorder="1" applyAlignment="1"/>
    <xf numFmtId="1" fontId="62" fillId="0" borderId="10" xfId="1" applyNumberFormat="1" applyFont="1" applyBorder="1" applyAlignment="1">
      <alignment horizontal="right"/>
    </xf>
    <xf numFmtId="9" fontId="106" fillId="53" borderId="10" xfId="1" applyFont="1" applyFill="1" applyBorder="1" applyAlignment="1"/>
    <xf numFmtId="1" fontId="62" fillId="53" borderId="10" xfId="1" applyNumberFormat="1" applyFont="1" applyFill="1" applyBorder="1" applyAlignment="1"/>
    <xf numFmtId="9" fontId="62" fillId="53" borderId="0" xfId="1" applyFont="1" applyFill="1" applyAlignment="1"/>
    <xf numFmtId="0" fontId="62" fillId="53" borderId="0" xfId="0" applyFont="1" applyFill="1" applyAlignment="1">
      <alignment horizontal="left"/>
    </xf>
    <xf numFmtId="9" fontId="62" fillId="53" borderId="10" xfId="1" applyFont="1" applyFill="1" applyBorder="1" applyAlignment="1"/>
    <xf numFmtId="1" fontId="62" fillId="53" borderId="10" xfId="1" applyNumberFormat="1" applyFont="1" applyFill="1" applyBorder="1" applyAlignment="1">
      <alignment horizontal="right"/>
    </xf>
    <xf numFmtId="3" fontId="60" fillId="38" borderId="0" xfId="0" applyNumberFormat="1" applyFont="1" applyFill="1"/>
    <xf numFmtId="0" fontId="61" fillId="0" borderId="10" xfId="0" applyFont="1" applyBorder="1"/>
    <xf numFmtId="9" fontId="62" fillId="0" borderId="0" xfId="1" applyFont="1" applyBorder="1"/>
    <xf numFmtId="166" fontId="62" fillId="0" borderId="0" xfId="44" applyNumberFormat="1" applyFont="1" applyAlignment="1">
      <alignment horizontal="right"/>
    </xf>
    <xf numFmtId="0" fontId="108" fillId="0" borderId="10" xfId="0" applyFont="1" applyBorder="1" applyAlignment="1">
      <alignment wrapText="1"/>
    </xf>
    <xf numFmtId="0" fontId="109" fillId="0" borderId="10" xfId="0" applyFont="1" applyBorder="1" applyAlignment="1">
      <alignment wrapText="1"/>
    </xf>
    <xf numFmtId="4" fontId="110" fillId="52" borderId="15" xfId="0" applyNumberFormat="1" applyFont="1" applyFill="1" applyBorder="1" applyAlignment="1">
      <alignment horizontal="right" vertical="top" wrapText="1"/>
    </xf>
    <xf numFmtId="4" fontId="110" fillId="0" borderId="15" xfId="0" applyNumberFormat="1" applyFont="1" applyBorder="1" applyAlignment="1">
      <alignment horizontal="right" vertical="top" wrapText="1"/>
    </xf>
    <xf numFmtId="1" fontId="54" fillId="0" borderId="0" xfId="1" applyNumberFormat="1" applyFont="1" applyFill="1"/>
    <xf numFmtId="3" fontId="66" fillId="0" borderId="0" xfId="44" applyNumberFormat="1" applyFont="1" applyFill="1" applyAlignment="1"/>
    <xf numFmtId="4" fontId="35" fillId="0" borderId="0" xfId="44" applyNumberFormat="1" applyFont="1" applyFill="1" applyAlignment="1"/>
    <xf numFmtId="17" fontId="111" fillId="0" borderId="0" xfId="0" applyNumberFormat="1" applyFont="1"/>
    <xf numFmtId="0" fontId="112" fillId="0" borderId="0" xfId="0" applyFont="1"/>
    <xf numFmtId="0" fontId="113" fillId="0" borderId="0" xfId="0" applyFont="1"/>
    <xf numFmtId="0" fontId="114" fillId="0" borderId="0" xfId="0" applyFont="1"/>
    <xf numFmtId="0" fontId="115" fillId="0" borderId="10" xfId="0" applyFont="1" applyBorder="1"/>
    <xf numFmtId="0" fontId="113" fillId="0" borderId="10" xfId="0" applyFont="1" applyBorder="1"/>
    <xf numFmtId="0" fontId="113" fillId="41" borderId="10" xfId="0" applyFont="1" applyFill="1" applyBorder="1"/>
    <xf numFmtId="1" fontId="113" fillId="0" borderId="0" xfId="0" applyNumberFormat="1" applyFont="1"/>
    <xf numFmtId="9" fontId="113" fillId="0" borderId="0" xfId="1" applyFont="1"/>
    <xf numFmtId="1" fontId="116" fillId="0" borderId="0" xfId="0" applyNumberFormat="1" applyFont="1"/>
    <xf numFmtId="4" fontId="116" fillId="0" borderId="0" xfId="0" applyNumberFormat="1" applyFont="1"/>
    <xf numFmtId="2" fontId="0" fillId="0" borderId="0" xfId="1" applyNumberFormat="1" applyFont="1"/>
    <xf numFmtId="4" fontId="0" fillId="0" borderId="0" xfId="1" applyNumberFormat="1" applyFont="1"/>
    <xf numFmtId="0" fontId="96" fillId="0" borderId="0" xfId="0" applyFont="1" applyAlignment="1">
      <alignment horizontal="right"/>
    </xf>
    <xf numFmtId="0" fontId="74" fillId="40" borderId="0" xfId="0" applyFont="1" applyFill="1" applyAlignment="1">
      <alignment horizontal="center" vertical="center"/>
    </xf>
    <xf numFmtId="166" fontId="54" fillId="0" borderId="0" xfId="44" applyNumberFormat="1" applyFont="1" applyFill="1" applyAlignment="1"/>
    <xf numFmtId="0" fontId="54" fillId="40" borderId="0" xfId="0" applyFont="1" applyFill="1" applyAlignment="1">
      <alignment horizontal="center"/>
    </xf>
    <xf numFmtId="0" fontId="51" fillId="41" borderId="0" xfId="146" applyFont="1" applyFill="1"/>
    <xf numFmtId="0" fontId="18" fillId="41" borderId="16" xfId="146" applyFill="1" applyBorder="1"/>
    <xf numFmtId="0" fontId="18" fillId="41" borderId="17" xfId="146" applyFill="1" applyBorder="1" applyAlignment="1">
      <alignment horizontal="center"/>
    </xf>
    <xf numFmtId="0" fontId="18" fillId="41" borderId="17" xfId="146" applyFill="1" applyBorder="1"/>
    <xf numFmtId="0" fontId="18" fillId="41" borderId="0" xfId="146" applyFill="1"/>
    <xf numFmtId="0" fontId="118" fillId="41" borderId="18" xfId="147" applyFill="1" applyBorder="1"/>
    <xf numFmtId="0" fontId="18" fillId="41" borderId="19" xfId="146" applyFill="1" applyBorder="1"/>
    <xf numFmtId="0" fontId="18" fillId="41" borderId="20" xfId="146" applyFill="1" applyBorder="1"/>
    <xf numFmtId="0" fontId="118" fillId="41" borderId="21" xfId="147" applyFill="1" applyBorder="1"/>
    <xf numFmtId="0" fontId="18" fillId="41" borderId="22" xfId="146" applyFill="1" applyBorder="1"/>
    <xf numFmtId="0" fontId="18" fillId="41" borderId="23" xfId="146" applyFill="1" applyBorder="1"/>
    <xf numFmtId="0" fontId="118" fillId="41" borderId="24" xfId="147" applyFill="1" applyBorder="1"/>
    <xf numFmtId="0" fontId="18" fillId="41" borderId="25" xfId="146" applyFill="1" applyBorder="1"/>
    <xf numFmtId="0" fontId="18" fillId="41" borderId="26" xfId="146" applyFill="1" applyBorder="1"/>
    <xf numFmtId="0" fontId="18" fillId="41" borderId="27" xfId="146" applyFill="1" applyBorder="1"/>
    <xf numFmtId="0" fontId="18" fillId="41" borderId="28" xfId="146" applyFill="1" applyBorder="1" applyAlignment="1">
      <alignment horizontal="center"/>
    </xf>
    <xf numFmtId="0" fontId="18" fillId="41" borderId="18" xfId="146" applyFill="1" applyBorder="1"/>
    <xf numFmtId="0" fontId="18" fillId="41" borderId="29" xfId="146" applyFill="1" applyBorder="1" applyAlignment="1">
      <alignment horizontal="center"/>
    </xf>
    <xf numFmtId="0" fontId="118" fillId="41" borderId="29" xfId="147" applyFill="1" applyBorder="1"/>
    <xf numFmtId="0" fontId="119" fillId="41" borderId="20" xfId="16" applyFont="1" applyFill="1" applyBorder="1" applyAlignment="1">
      <alignment horizontal="left"/>
    </xf>
    <xf numFmtId="0" fontId="18" fillId="41" borderId="21" xfId="146" applyFill="1" applyBorder="1"/>
    <xf numFmtId="0" fontId="18" fillId="41" borderId="30" xfId="146" applyFill="1" applyBorder="1" applyAlignment="1">
      <alignment horizontal="center"/>
    </xf>
    <xf numFmtId="0" fontId="118" fillId="41" borderId="30" xfId="147" applyFill="1" applyBorder="1"/>
    <xf numFmtId="0" fontId="119" fillId="41" borderId="23" xfId="16" applyFont="1" applyFill="1" applyBorder="1" applyAlignment="1">
      <alignment horizontal="left"/>
    </xf>
    <xf numFmtId="0" fontId="18" fillId="41" borderId="31" xfId="146" applyFill="1" applyBorder="1"/>
    <xf numFmtId="0" fontId="18" fillId="41" borderId="32" xfId="146" applyFill="1" applyBorder="1"/>
    <xf numFmtId="0" fontId="18" fillId="41" borderId="33" xfId="146" applyFill="1" applyBorder="1" applyAlignment="1">
      <alignment horizontal="center"/>
    </xf>
    <xf numFmtId="0" fontId="118" fillId="41" borderId="33" xfId="147" applyFill="1" applyBorder="1"/>
    <xf numFmtId="0" fontId="119" fillId="41" borderId="32" xfId="16" applyFont="1" applyFill="1" applyBorder="1" applyAlignment="1">
      <alignment horizontal="left"/>
    </xf>
    <xf numFmtId="0" fontId="51" fillId="41" borderId="34" xfId="146" applyFont="1" applyFill="1" applyBorder="1"/>
    <xf numFmtId="0" fontId="18" fillId="41" borderId="35" xfId="146" applyFill="1" applyBorder="1"/>
    <xf numFmtId="0" fontId="18" fillId="41" borderId="36" xfId="146" applyFill="1" applyBorder="1"/>
    <xf numFmtId="0" fontId="18" fillId="41" borderId="37" xfId="146" applyFill="1" applyBorder="1"/>
    <xf numFmtId="0" fontId="18" fillId="41" borderId="37" xfId="146" applyFill="1" applyBorder="1" applyAlignment="1">
      <alignment horizontal="center"/>
    </xf>
    <xf numFmtId="0" fontId="118" fillId="41" borderId="37" xfId="147" applyFill="1" applyBorder="1"/>
    <xf numFmtId="0" fontId="119" fillId="41" borderId="38" xfId="16" applyFont="1" applyFill="1" applyBorder="1" applyAlignment="1">
      <alignment horizontal="left"/>
    </xf>
    <xf numFmtId="0" fontId="18" fillId="41" borderId="39" xfId="146" applyFill="1" applyBorder="1"/>
    <xf numFmtId="0" fontId="18" fillId="41" borderId="30" xfId="146" applyFill="1" applyBorder="1"/>
    <xf numFmtId="0" fontId="18" fillId="41" borderId="40" xfId="146" applyFill="1" applyBorder="1"/>
    <xf numFmtId="0" fontId="18" fillId="41" borderId="41" xfId="146" applyFill="1" applyBorder="1"/>
    <xf numFmtId="0" fontId="18" fillId="41" borderId="41" xfId="146" applyFill="1" applyBorder="1" applyAlignment="1">
      <alignment horizontal="center"/>
    </xf>
    <xf numFmtId="0" fontId="118" fillId="41" borderId="41" xfId="147" applyFill="1" applyBorder="1"/>
    <xf numFmtId="0" fontId="119" fillId="41" borderId="42" xfId="16" applyFont="1" applyFill="1" applyBorder="1" applyAlignment="1">
      <alignment horizontal="left"/>
    </xf>
    <xf numFmtId="0" fontId="18" fillId="41" borderId="44" xfId="146" applyFill="1" applyBorder="1" applyAlignment="1">
      <alignment horizontal="center"/>
    </xf>
    <xf numFmtId="0" fontId="18" fillId="41" borderId="22" xfId="146" applyFill="1" applyBorder="1" applyAlignment="1">
      <alignment horizontal="center"/>
    </xf>
    <xf numFmtId="0" fontId="18" fillId="41" borderId="47" xfId="146" applyFill="1" applyBorder="1"/>
    <xf numFmtId="0" fontId="118" fillId="41" borderId="48" xfId="147" applyFill="1" applyBorder="1"/>
    <xf numFmtId="0" fontId="119" fillId="41" borderId="49" xfId="16" applyFont="1" applyFill="1" applyBorder="1" applyAlignment="1">
      <alignment horizontal="left"/>
    </xf>
    <xf numFmtId="0" fontId="18" fillId="41" borderId="51" xfId="146" applyFill="1" applyBorder="1"/>
    <xf numFmtId="0" fontId="118" fillId="41" borderId="52" xfId="147" applyFill="1" applyBorder="1"/>
    <xf numFmtId="0" fontId="119" fillId="41" borderId="53" xfId="16" applyFont="1" applyFill="1" applyBorder="1" applyAlignment="1">
      <alignment horizontal="left"/>
    </xf>
    <xf numFmtId="0" fontId="18" fillId="41" borderId="55" xfId="146" applyFill="1" applyBorder="1" applyAlignment="1">
      <alignment horizontal="center"/>
    </xf>
    <xf numFmtId="0" fontId="118" fillId="41" borderId="55" xfId="147" applyFill="1" applyBorder="1"/>
    <xf numFmtId="0" fontId="119" fillId="41" borderId="56" xfId="16" applyFont="1" applyFill="1" applyBorder="1" applyAlignment="1">
      <alignment horizontal="left"/>
    </xf>
    <xf numFmtId="0" fontId="18" fillId="41" borderId="57" xfId="146" applyFill="1" applyBorder="1" applyAlignment="1">
      <alignment horizontal="left"/>
    </xf>
    <xf numFmtId="0" fontId="120" fillId="41" borderId="33" xfId="147" applyFont="1" applyFill="1" applyBorder="1" applyAlignment="1">
      <alignment horizontal="center"/>
    </xf>
    <xf numFmtId="0" fontId="18" fillId="41" borderId="59" xfId="146" applyFill="1" applyBorder="1" applyAlignment="1">
      <alignment horizontal="left"/>
    </xf>
    <xf numFmtId="0" fontId="120" fillId="41" borderId="55" xfId="147" applyFont="1" applyFill="1" applyBorder="1" applyAlignment="1">
      <alignment horizontal="center"/>
    </xf>
    <xf numFmtId="0" fontId="18" fillId="41" borderId="60" xfId="146" applyFill="1" applyBorder="1" applyAlignment="1">
      <alignment horizontal="left"/>
    </xf>
    <xf numFmtId="0" fontId="18" fillId="41" borderId="61" xfId="146" applyFill="1" applyBorder="1" applyAlignment="1">
      <alignment horizontal="left"/>
    </xf>
    <xf numFmtId="0" fontId="118" fillId="41" borderId="62" xfId="147" applyFill="1" applyBorder="1"/>
    <xf numFmtId="0" fontId="119" fillId="41" borderId="63" xfId="16" applyFont="1" applyFill="1" applyBorder="1" applyAlignment="1">
      <alignment horizontal="left"/>
    </xf>
    <xf numFmtId="0" fontId="18" fillId="41" borderId="33" xfId="146" applyFill="1" applyBorder="1"/>
    <xf numFmtId="0" fontId="18" fillId="41" borderId="52" xfId="146" applyFill="1" applyBorder="1"/>
    <xf numFmtId="0" fontId="18" fillId="41" borderId="62" xfId="146" applyFill="1" applyBorder="1"/>
    <xf numFmtId="0" fontId="18" fillId="41" borderId="48" xfId="146" applyFill="1" applyBorder="1"/>
    <xf numFmtId="0" fontId="18" fillId="41" borderId="55" xfId="146" applyFill="1" applyBorder="1"/>
    <xf numFmtId="0" fontId="18" fillId="41" borderId="67" xfId="146" applyFill="1" applyBorder="1" applyAlignment="1">
      <alignment horizontal="left"/>
    </xf>
    <xf numFmtId="0" fontId="118" fillId="0" borderId="0" xfId="147" applyFill="1"/>
    <xf numFmtId="0" fontId="18" fillId="41" borderId="0" xfId="146" applyFill="1" applyAlignment="1">
      <alignment horizontal="center"/>
    </xf>
    <xf numFmtId="0" fontId="119" fillId="41" borderId="67" xfId="16" applyFont="1" applyFill="1" applyBorder="1" applyAlignment="1">
      <alignment horizontal="left"/>
    </xf>
    <xf numFmtId="0" fontId="18" fillId="41" borderId="24" xfId="146" applyFill="1" applyBorder="1"/>
    <xf numFmtId="0" fontId="18" fillId="41" borderId="68" xfId="146" applyFill="1" applyBorder="1" applyAlignment="1">
      <alignment horizontal="center"/>
    </xf>
    <xf numFmtId="0" fontId="118" fillId="41" borderId="68" xfId="147" applyFill="1" applyBorder="1"/>
    <xf numFmtId="0" fontId="119" fillId="41" borderId="26" xfId="16" applyFont="1" applyFill="1" applyBorder="1" applyAlignment="1">
      <alignment horizontal="left"/>
    </xf>
    <xf numFmtId="0" fontId="51" fillId="41" borderId="17" xfId="146" applyFont="1" applyFill="1" applyBorder="1"/>
    <xf numFmtId="0" fontId="18" fillId="41" borderId="27" xfId="146" applyFill="1" applyBorder="1" applyAlignment="1">
      <alignment horizontal="center"/>
    </xf>
    <xf numFmtId="0" fontId="18" fillId="41" borderId="29" xfId="146" applyFill="1" applyBorder="1"/>
    <xf numFmtId="0" fontId="119" fillId="41" borderId="69" xfId="16" applyFont="1" applyFill="1" applyBorder="1" applyAlignment="1">
      <alignment horizontal="left"/>
    </xf>
    <xf numFmtId="0" fontId="119" fillId="41" borderId="22" xfId="16" applyFont="1" applyFill="1" applyBorder="1" applyAlignment="1">
      <alignment horizontal="left"/>
    </xf>
    <xf numFmtId="0" fontId="121" fillId="41" borderId="22" xfId="16" applyFont="1" applyFill="1" applyBorder="1" applyAlignment="1">
      <alignment horizontal="left"/>
    </xf>
    <xf numFmtId="0" fontId="49" fillId="41" borderId="31" xfId="146" applyFont="1" applyFill="1" applyBorder="1"/>
    <xf numFmtId="0" fontId="119" fillId="41" borderId="57" xfId="16" applyFont="1" applyFill="1" applyBorder="1" applyAlignment="1">
      <alignment horizontal="left"/>
    </xf>
    <xf numFmtId="0" fontId="121" fillId="41" borderId="59" xfId="16" applyFont="1" applyFill="1" applyBorder="1" applyAlignment="1">
      <alignment horizontal="left"/>
    </xf>
    <xf numFmtId="0" fontId="18" fillId="41" borderId="68" xfId="146" applyFill="1" applyBorder="1"/>
    <xf numFmtId="0" fontId="121" fillId="41" borderId="25" xfId="16" applyFont="1" applyFill="1" applyBorder="1" applyAlignment="1">
      <alignment horizontal="left"/>
    </xf>
    <xf numFmtId="0" fontId="18" fillId="41" borderId="43" xfId="146" applyFill="1" applyBorder="1"/>
    <xf numFmtId="0" fontId="18" fillId="41" borderId="44" xfId="146" applyFill="1" applyBorder="1"/>
    <xf numFmtId="0" fontId="121" fillId="41" borderId="23" xfId="16" applyFont="1" applyFill="1" applyBorder="1" applyAlignment="1">
      <alignment horizontal="left"/>
    </xf>
    <xf numFmtId="0" fontId="49" fillId="41" borderId="18" xfId="146" applyFont="1" applyFill="1" applyBorder="1"/>
    <xf numFmtId="0" fontId="18" fillId="41" borderId="50" xfId="146" applyFill="1" applyBorder="1"/>
    <xf numFmtId="0" fontId="18" fillId="41" borderId="28" xfId="146" applyFill="1" applyBorder="1"/>
    <xf numFmtId="0" fontId="118" fillId="41" borderId="28" xfId="147" applyFill="1" applyBorder="1"/>
    <xf numFmtId="0" fontId="119" fillId="41" borderId="0" xfId="16" applyFont="1" applyFill="1" applyBorder="1" applyAlignment="1">
      <alignment horizontal="left"/>
    </xf>
    <xf numFmtId="0" fontId="121" fillId="41" borderId="32" xfId="16" applyFont="1" applyFill="1" applyBorder="1" applyAlignment="1">
      <alignment horizontal="left"/>
    </xf>
    <xf numFmtId="0" fontId="49" fillId="41" borderId="21" xfId="146" applyFont="1" applyFill="1" applyBorder="1"/>
    <xf numFmtId="0" fontId="49" fillId="41" borderId="24" xfId="146" applyFont="1" applyFill="1" applyBorder="1"/>
    <xf numFmtId="0" fontId="18" fillId="0" borderId="0" xfId="146"/>
    <xf numFmtId="0" fontId="91" fillId="41" borderId="48" xfId="128" applyFill="1" applyBorder="1"/>
    <xf numFmtId="0" fontId="0" fillId="41" borderId="0" xfId="0" applyFill="1"/>
    <xf numFmtId="0" fontId="91" fillId="41" borderId="68" xfId="128" applyFill="1" applyBorder="1"/>
    <xf numFmtId="0" fontId="91" fillId="41" borderId="33" xfId="128" applyFill="1" applyBorder="1"/>
    <xf numFmtId="0" fontId="18" fillId="41" borderId="61" xfId="146" applyFill="1" applyBorder="1" applyAlignment="1">
      <alignment horizontal="center"/>
    </xf>
    <xf numFmtId="0" fontId="119" fillId="41" borderId="61" xfId="16" applyFont="1" applyFill="1" applyBorder="1" applyAlignment="1">
      <alignment horizontal="left"/>
    </xf>
    <xf numFmtId="0" fontId="18" fillId="41" borderId="86" xfId="146" applyFill="1" applyBorder="1" applyAlignment="1">
      <alignment horizontal="center"/>
    </xf>
    <xf numFmtId="0" fontId="119" fillId="41" borderId="88" xfId="16" applyFont="1" applyFill="1" applyBorder="1" applyAlignment="1">
      <alignment horizontal="left"/>
    </xf>
    <xf numFmtId="0" fontId="91" fillId="41" borderId="30" xfId="128" applyFill="1" applyBorder="1"/>
    <xf numFmtId="0" fontId="91" fillId="41" borderId="52" xfId="128" applyFill="1" applyBorder="1"/>
    <xf numFmtId="0" fontId="91" fillId="41" borderId="62" xfId="128" applyFill="1" applyBorder="1"/>
    <xf numFmtId="17" fontId="43" fillId="6" borderId="73" xfId="9" applyNumberFormat="1" applyBorder="1" applyAlignment="1">
      <alignment horizontal="center"/>
    </xf>
    <xf numFmtId="0" fontId="41" fillId="4" borderId="73" xfId="7" applyBorder="1" applyAlignment="1">
      <alignment horizontal="center"/>
    </xf>
    <xf numFmtId="0" fontId="91" fillId="41" borderId="55" xfId="128" applyFill="1" applyBorder="1"/>
    <xf numFmtId="0" fontId="41" fillId="4" borderId="84" xfId="7" applyBorder="1" applyAlignment="1">
      <alignment horizontal="center"/>
    </xf>
    <xf numFmtId="17" fontId="41" fillId="4" borderId="85" xfId="7" applyNumberFormat="1" applyBorder="1" applyAlignment="1">
      <alignment horizontal="center"/>
    </xf>
    <xf numFmtId="0" fontId="41" fillId="4" borderId="75" xfId="7" applyBorder="1" applyAlignment="1">
      <alignment horizontal="center"/>
    </xf>
    <xf numFmtId="0" fontId="41" fillId="4" borderId="74" xfId="7" applyBorder="1" applyAlignment="1">
      <alignment horizontal="center"/>
    </xf>
    <xf numFmtId="0" fontId="41" fillId="4" borderId="76" xfId="7" applyBorder="1" applyAlignment="1">
      <alignment horizontal="center"/>
    </xf>
    <xf numFmtId="0" fontId="18" fillId="41" borderId="78" xfId="146" applyFill="1" applyBorder="1" applyAlignment="1">
      <alignment horizontal="center"/>
    </xf>
    <xf numFmtId="0" fontId="41" fillId="4" borderId="77" xfId="7" applyBorder="1" applyAlignment="1">
      <alignment horizontal="center"/>
    </xf>
    <xf numFmtId="0" fontId="41" fillId="4" borderId="89" xfId="7" applyBorder="1" applyAlignment="1">
      <alignment horizontal="center"/>
    </xf>
    <xf numFmtId="0" fontId="41" fillId="4" borderId="82" xfId="7" applyBorder="1" applyAlignment="1">
      <alignment horizontal="center"/>
    </xf>
    <xf numFmtId="0" fontId="41" fillId="4" borderId="79" xfId="7" applyBorder="1" applyAlignment="1">
      <alignment horizontal="center"/>
    </xf>
    <xf numFmtId="0" fontId="41" fillId="4" borderId="80" xfId="7" applyBorder="1" applyAlignment="1">
      <alignment horizontal="center"/>
    </xf>
    <xf numFmtId="0" fontId="41" fillId="4" borderId="83" xfId="7" applyBorder="1" applyAlignment="1">
      <alignment horizontal="center"/>
    </xf>
    <xf numFmtId="0" fontId="41" fillId="4" borderId="85" xfId="7" applyBorder="1" applyAlignment="1">
      <alignment horizontal="center"/>
    </xf>
    <xf numFmtId="0" fontId="18" fillId="41" borderId="75" xfId="146" applyFill="1" applyBorder="1" applyAlignment="1">
      <alignment horizontal="center"/>
    </xf>
    <xf numFmtId="17" fontId="43" fillId="6" borderId="74" xfId="9" applyNumberFormat="1" applyBorder="1" applyAlignment="1">
      <alignment horizontal="center"/>
    </xf>
    <xf numFmtId="0" fontId="43" fillId="6" borderId="74" xfId="9" applyBorder="1" applyAlignment="1">
      <alignment horizontal="center"/>
    </xf>
    <xf numFmtId="17" fontId="41" fillId="4" borderId="74" xfId="7" applyNumberFormat="1" applyBorder="1" applyAlignment="1">
      <alignment horizontal="center"/>
    </xf>
    <xf numFmtId="17" fontId="42" fillId="5" borderId="74" xfId="8" applyNumberFormat="1" applyBorder="1" applyAlignment="1">
      <alignment horizontal="center"/>
    </xf>
    <xf numFmtId="0" fontId="91" fillId="41" borderId="44" xfId="128" applyFill="1" applyBorder="1"/>
    <xf numFmtId="17" fontId="89" fillId="6" borderId="77" xfId="72" applyNumberFormat="1" applyBorder="1" applyAlignment="1">
      <alignment horizontal="center"/>
    </xf>
    <xf numFmtId="0" fontId="41" fillId="4" borderId="80" xfId="70" applyBorder="1" applyAlignment="1">
      <alignment horizontal="center"/>
    </xf>
    <xf numFmtId="17" fontId="42" fillId="5" borderId="80" xfId="71" applyNumberFormat="1" applyBorder="1" applyAlignment="1">
      <alignment horizontal="center"/>
    </xf>
    <xf numFmtId="0" fontId="41" fillId="4" borderId="74" xfId="70" applyBorder="1" applyAlignment="1">
      <alignment horizontal="center"/>
    </xf>
    <xf numFmtId="0" fontId="41" fillId="4" borderId="77" xfId="70" applyBorder="1" applyAlignment="1">
      <alignment horizontal="center"/>
    </xf>
    <xf numFmtId="0" fontId="41" fillId="4" borderId="85" xfId="70" applyBorder="1" applyAlignment="1">
      <alignment horizontal="center"/>
    </xf>
    <xf numFmtId="0" fontId="41" fillId="4" borderId="76" xfId="70" applyBorder="1" applyAlignment="1">
      <alignment horizontal="center"/>
    </xf>
    <xf numFmtId="0" fontId="17" fillId="41" borderId="52" xfId="146" applyFont="1" applyFill="1" applyBorder="1" applyAlignment="1">
      <alignment horizontal="center"/>
    </xf>
    <xf numFmtId="0" fontId="123" fillId="41" borderId="74" xfId="146" applyFont="1" applyFill="1" applyBorder="1" applyAlignment="1">
      <alignment horizontal="center"/>
    </xf>
    <xf numFmtId="0" fontId="123" fillId="41" borderId="76" xfId="146" applyFont="1" applyFill="1" applyBorder="1" applyAlignment="1">
      <alignment horizontal="center"/>
    </xf>
    <xf numFmtId="0" fontId="42" fillId="5" borderId="74" xfId="71" applyBorder="1" applyAlignment="1">
      <alignment horizontal="center"/>
    </xf>
    <xf numFmtId="0" fontId="41" fillId="4" borderId="81" xfId="7" applyBorder="1" applyAlignment="1">
      <alignment horizontal="center"/>
    </xf>
    <xf numFmtId="0" fontId="18" fillId="41" borderId="54" xfId="146" applyFill="1" applyBorder="1"/>
    <xf numFmtId="0" fontId="17" fillId="41" borderId="51" xfId="146" applyFont="1" applyFill="1" applyBorder="1"/>
    <xf numFmtId="0" fontId="91" fillId="41" borderId="0" xfId="128" applyFill="1"/>
    <xf numFmtId="17" fontId="18" fillId="41" borderId="0" xfId="146" applyNumberFormat="1" applyFill="1" applyAlignment="1">
      <alignment horizontal="center"/>
    </xf>
    <xf numFmtId="17" fontId="0" fillId="41" borderId="0" xfId="0" applyNumberFormat="1" applyFill="1" applyAlignment="1">
      <alignment horizontal="center"/>
    </xf>
    <xf numFmtId="0" fontId="41" fillId="4" borderId="90" xfId="7" applyBorder="1" applyAlignment="1">
      <alignment horizontal="center"/>
    </xf>
    <xf numFmtId="0" fontId="18" fillId="41" borderId="57" xfId="146" applyFill="1" applyBorder="1" applyAlignment="1">
      <alignment horizontal="center"/>
    </xf>
    <xf numFmtId="0" fontId="18" fillId="41" borderId="92" xfId="146" applyFill="1" applyBorder="1" applyAlignment="1">
      <alignment horizontal="center"/>
    </xf>
    <xf numFmtId="0" fontId="91" fillId="41" borderId="93" xfId="128" applyFill="1" applyBorder="1"/>
    <xf numFmtId="0" fontId="119" fillId="41" borderId="94" xfId="16" applyFont="1" applyFill="1" applyBorder="1" applyAlignment="1">
      <alignment horizontal="left"/>
    </xf>
    <xf numFmtId="0" fontId="41" fillId="4" borderId="95" xfId="7" applyBorder="1" applyAlignment="1">
      <alignment horizontal="center"/>
    </xf>
    <xf numFmtId="0" fontId="41" fillId="41" borderId="75" xfId="7" applyFill="1" applyBorder="1" applyAlignment="1">
      <alignment horizontal="center"/>
    </xf>
    <xf numFmtId="0" fontId="41" fillId="41" borderId="74" xfId="7" applyFill="1" applyBorder="1" applyAlignment="1">
      <alignment horizontal="center"/>
    </xf>
    <xf numFmtId="0" fontId="41" fillId="41" borderId="76" xfId="7" applyFill="1" applyBorder="1" applyAlignment="1">
      <alignment horizontal="center"/>
    </xf>
    <xf numFmtId="0" fontId="41" fillId="41" borderId="82" xfId="7" applyFill="1" applyBorder="1" applyAlignment="1">
      <alignment horizontal="center"/>
    </xf>
    <xf numFmtId="0" fontId="41" fillId="41" borderId="79" xfId="7" applyFill="1" applyBorder="1" applyAlignment="1">
      <alignment horizontal="center"/>
    </xf>
    <xf numFmtId="0" fontId="41" fillId="41" borderId="80" xfId="7" applyFill="1" applyBorder="1" applyAlignment="1">
      <alignment horizontal="center"/>
    </xf>
    <xf numFmtId="17" fontId="41" fillId="41" borderId="85" xfId="7" applyNumberFormat="1" applyFill="1" applyBorder="1" applyAlignment="1">
      <alignment horizontal="center"/>
    </xf>
    <xf numFmtId="17" fontId="42" fillId="41" borderId="74" xfId="8" applyNumberFormat="1" applyFill="1" applyBorder="1" applyAlignment="1">
      <alignment horizontal="center"/>
    </xf>
    <xf numFmtId="17" fontId="89" fillId="41" borderId="74" xfId="72" applyNumberFormat="1" applyFill="1" applyBorder="1" applyAlignment="1">
      <alignment horizontal="center"/>
    </xf>
    <xf numFmtId="0" fontId="41" fillId="41" borderId="74" xfId="70" applyFill="1" applyBorder="1" applyAlignment="1">
      <alignment horizontal="center"/>
    </xf>
    <xf numFmtId="0" fontId="41" fillId="41" borderId="76" xfId="70" applyFill="1" applyBorder="1" applyAlignment="1">
      <alignment horizontal="center"/>
    </xf>
    <xf numFmtId="0" fontId="89" fillId="41" borderId="74" xfId="72" applyFill="1" applyBorder="1" applyAlignment="1">
      <alignment horizontal="center"/>
    </xf>
    <xf numFmtId="0" fontId="42" fillId="41" borderId="74" xfId="71" applyFill="1" applyBorder="1" applyAlignment="1">
      <alignment horizontal="center"/>
    </xf>
    <xf numFmtId="0" fontId="119" fillId="41" borderId="59" xfId="16" applyFont="1" applyFill="1" applyBorder="1" applyAlignment="1">
      <alignment horizontal="left"/>
    </xf>
    <xf numFmtId="0" fontId="14" fillId="41" borderId="52" xfId="146" applyFont="1" applyFill="1" applyBorder="1"/>
    <xf numFmtId="0" fontId="13" fillId="41" borderId="74" xfId="146" applyFont="1" applyFill="1" applyBorder="1" applyAlignment="1">
      <alignment horizontal="center"/>
    </xf>
    <xf numFmtId="0" fontId="13" fillId="0" borderId="74" xfId="146" applyFont="1" applyBorder="1" applyAlignment="1">
      <alignment horizontal="center"/>
    </xf>
    <xf numFmtId="0" fontId="0" fillId="0" borderId="96" xfId="0" applyBorder="1" applyAlignment="1">
      <alignment horizontal="center"/>
    </xf>
    <xf numFmtId="0" fontId="91" fillId="41" borderId="28" xfId="128" applyFill="1" applyBorder="1"/>
    <xf numFmtId="0" fontId="13" fillId="41" borderId="75" xfId="146" applyFont="1" applyFill="1" applyBorder="1" applyAlignment="1">
      <alignment horizontal="center"/>
    </xf>
    <xf numFmtId="0" fontId="13" fillId="41" borderId="30" xfId="146" applyFont="1" applyFill="1" applyBorder="1" applyAlignment="1">
      <alignment horizontal="center"/>
    </xf>
    <xf numFmtId="0" fontId="42" fillId="5" borderId="74" xfId="8" applyBorder="1" applyAlignment="1">
      <alignment horizontal="center"/>
    </xf>
    <xf numFmtId="17" fontId="41" fillId="4" borderId="73" xfId="7" applyNumberFormat="1" applyBorder="1" applyAlignment="1">
      <alignment horizontal="center"/>
    </xf>
    <xf numFmtId="17" fontId="43" fillId="6" borderId="84" xfId="9" applyNumberFormat="1" applyBorder="1" applyAlignment="1">
      <alignment horizontal="center"/>
    </xf>
    <xf numFmtId="17" fontId="43" fillId="6" borderId="85" xfId="9" applyNumberFormat="1" applyBorder="1" applyAlignment="1">
      <alignment horizontal="center"/>
    </xf>
    <xf numFmtId="1" fontId="43" fillId="6" borderId="74" xfId="9" applyNumberFormat="1" applyBorder="1" applyAlignment="1">
      <alignment horizontal="center"/>
    </xf>
    <xf numFmtId="0" fontId="89" fillId="6" borderId="74" xfId="72" applyBorder="1" applyAlignment="1">
      <alignment horizontal="center"/>
    </xf>
    <xf numFmtId="0" fontId="0" fillId="46" borderId="0" xfId="0" applyFill="1"/>
    <xf numFmtId="0" fontId="0" fillId="46" borderId="0" xfId="0" applyFill="1" applyAlignment="1">
      <alignment horizontal="center"/>
    </xf>
    <xf numFmtId="0" fontId="0" fillId="0" borderId="0" xfId="0" applyAlignment="1">
      <alignment horizontal="right"/>
    </xf>
    <xf numFmtId="4" fontId="0" fillId="0" borderId="0" xfId="0" applyNumberFormat="1" applyAlignment="1">
      <alignment horizontal="right"/>
    </xf>
    <xf numFmtId="0" fontId="51" fillId="0" borderId="0" xfId="0" applyFont="1"/>
    <xf numFmtId="0" fontId="51" fillId="46" borderId="0" xfId="0" applyFont="1" applyFill="1"/>
    <xf numFmtId="0" fontId="51" fillId="0" borderId="0" xfId="0" applyFont="1" applyAlignment="1">
      <alignment horizontal="center"/>
    </xf>
    <xf numFmtId="165" fontId="0" fillId="0" borderId="0" xfId="1" applyNumberFormat="1" applyFont="1" applyAlignment="1">
      <alignment horizontal="right"/>
    </xf>
    <xf numFmtId="0" fontId="0" fillId="0" borderId="0" xfId="0" applyAlignment="1">
      <alignment horizontal="center" wrapText="1"/>
    </xf>
    <xf numFmtId="165" fontId="106" fillId="53" borderId="10" xfId="1" applyNumberFormat="1" applyFont="1" applyFill="1" applyBorder="1" applyAlignment="1"/>
    <xf numFmtId="4" fontId="54" fillId="0" borderId="0" xfId="44" applyNumberFormat="1" applyFont="1" applyFill="1" applyAlignment="1"/>
    <xf numFmtId="0" fontId="41" fillId="4" borderId="82" xfId="70" applyBorder="1" applyAlignment="1">
      <alignment horizontal="center"/>
    </xf>
    <xf numFmtId="0" fontId="41" fillId="4" borderId="89" xfId="70" applyBorder="1" applyAlignment="1">
      <alignment horizontal="center"/>
    </xf>
    <xf numFmtId="0" fontId="41" fillId="4" borderId="75" xfId="70" applyBorder="1" applyAlignment="1">
      <alignment horizontal="center"/>
    </xf>
    <xf numFmtId="2" fontId="0" fillId="0" borderId="0" xfId="0" applyNumberFormat="1" applyAlignment="1">
      <alignment horizontal="right"/>
    </xf>
    <xf numFmtId="17" fontId="41" fillId="4" borderId="74" xfId="70" applyNumberFormat="1" applyBorder="1" applyAlignment="1">
      <alignment horizontal="center"/>
    </xf>
    <xf numFmtId="1" fontId="89" fillId="6" borderId="74" xfId="72" applyNumberFormat="1" applyBorder="1" applyAlignment="1">
      <alignment horizontal="center"/>
    </xf>
    <xf numFmtId="17" fontId="89" fillId="6" borderId="74" xfId="72" applyNumberFormat="1" applyBorder="1" applyAlignment="1">
      <alignment horizontal="center"/>
    </xf>
    <xf numFmtId="0" fontId="54" fillId="0" borderId="0" xfId="0" applyFont="1" applyAlignment="1">
      <alignment wrapText="1"/>
    </xf>
    <xf numFmtId="164" fontId="0" fillId="0" borderId="0" xfId="0" applyNumberFormat="1" applyAlignment="1">
      <alignment horizontal="right"/>
    </xf>
    <xf numFmtId="10" fontId="0" fillId="0" borderId="0" xfId="0" applyNumberFormat="1"/>
    <xf numFmtId="0" fontId="0" fillId="55" borderId="0" xfId="0" applyFill="1"/>
    <xf numFmtId="0" fontId="43" fillId="6" borderId="77" xfId="9" applyBorder="1" applyAlignment="1">
      <alignment horizontal="center"/>
    </xf>
    <xf numFmtId="0" fontId="43" fillId="6" borderId="74" xfId="9" applyNumberFormat="1" applyBorder="1" applyAlignment="1">
      <alignment horizontal="center"/>
    </xf>
    <xf numFmtId="0" fontId="42" fillId="5" borderId="74" xfId="8" applyNumberFormat="1" applyBorder="1" applyAlignment="1">
      <alignment horizontal="center"/>
    </xf>
    <xf numFmtId="0" fontId="11" fillId="41" borderId="22" xfId="146" applyFont="1" applyFill="1" applyBorder="1" applyAlignment="1">
      <alignment horizontal="left"/>
    </xf>
    <xf numFmtId="0" fontId="41" fillId="4" borderId="83" xfId="70" applyBorder="1" applyAlignment="1">
      <alignment horizontal="center"/>
    </xf>
    <xf numFmtId="0" fontId="41" fillId="4" borderId="73" xfId="70" applyBorder="1" applyAlignment="1">
      <alignment horizontal="center"/>
    </xf>
    <xf numFmtId="0" fontId="41" fillId="4" borderId="74" xfId="70" applyNumberFormat="1" applyBorder="1" applyAlignment="1">
      <alignment horizontal="center"/>
    </xf>
    <xf numFmtId="0" fontId="10" fillId="41" borderId="30" xfId="146" applyFont="1" applyFill="1" applyBorder="1" applyAlignment="1">
      <alignment horizontal="center"/>
    </xf>
    <xf numFmtId="0" fontId="127" fillId="41" borderId="0" xfId="146" applyFont="1" applyFill="1"/>
    <xf numFmtId="0" fontId="119" fillId="41" borderId="82" xfId="16" applyFont="1" applyFill="1" applyBorder="1" applyAlignment="1">
      <alignment horizontal="left"/>
    </xf>
    <xf numFmtId="0" fontId="119" fillId="41" borderId="83" xfId="16" applyFont="1" applyFill="1" applyBorder="1" applyAlignment="1">
      <alignment horizontal="left"/>
    </xf>
    <xf numFmtId="0" fontId="119" fillId="41" borderId="105" xfId="16" applyFont="1" applyFill="1" applyBorder="1" applyAlignment="1">
      <alignment horizontal="left"/>
    </xf>
    <xf numFmtId="0" fontId="119" fillId="41" borderId="106" xfId="16" applyFont="1" applyFill="1" applyBorder="1" applyAlignment="1">
      <alignment horizontal="left"/>
    </xf>
    <xf numFmtId="0" fontId="118" fillId="41" borderId="108" xfId="147" applyFill="1" applyBorder="1"/>
    <xf numFmtId="0" fontId="119" fillId="41" borderId="109" xfId="16" applyFont="1" applyFill="1" applyBorder="1" applyAlignment="1">
      <alignment horizontal="left"/>
    </xf>
    <xf numFmtId="0" fontId="119" fillId="41" borderId="110" xfId="16" applyFont="1" applyFill="1" applyBorder="1" applyAlignment="1">
      <alignment horizontal="left"/>
    </xf>
    <xf numFmtId="0" fontId="119" fillId="41" borderId="113" xfId="16" applyFont="1" applyFill="1" applyBorder="1" applyAlignment="1">
      <alignment horizontal="left"/>
    </xf>
    <xf numFmtId="0" fontId="119" fillId="41" borderId="102" xfId="16" applyFont="1" applyFill="1" applyBorder="1" applyAlignment="1">
      <alignment horizontal="left"/>
    </xf>
    <xf numFmtId="0" fontId="119" fillId="41" borderId="77" xfId="16" applyFont="1" applyFill="1" applyBorder="1" applyAlignment="1">
      <alignment horizontal="left"/>
    </xf>
    <xf numFmtId="1" fontId="70" fillId="41" borderId="0" xfId="1" applyNumberFormat="1" applyFont="1" applyFill="1" applyBorder="1" applyAlignment="1">
      <alignment horizontal="right"/>
    </xf>
    <xf numFmtId="9" fontId="57" fillId="41" borderId="116" xfId="1" applyFont="1" applyFill="1" applyBorder="1"/>
    <xf numFmtId="169" fontId="113" fillId="0" borderId="0" xfId="0" applyNumberFormat="1" applyFont="1"/>
    <xf numFmtId="0" fontId="96" fillId="0" borderId="10" xfId="0" applyFont="1" applyBorder="1" applyAlignment="1">
      <alignment horizontal="left"/>
    </xf>
    <xf numFmtId="0" fontId="0" fillId="42" borderId="0" xfId="0" applyFill="1" applyAlignment="1">
      <alignment horizontal="center"/>
    </xf>
    <xf numFmtId="173" fontId="0" fillId="0" borderId="0" xfId="0" applyNumberFormat="1"/>
    <xf numFmtId="0" fontId="91" fillId="0" borderId="112" xfId="128" applyBorder="1"/>
    <xf numFmtId="2" fontId="34" fillId="0" borderId="0" xfId="0" applyNumberFormat="1" applyFont="1" applyAlignment="1">
      <alignment horizontal="center"/>
    </xf>
    <xf numFmtId="0" fontId="34" fillId="0" borderId="0" xfId="0" applyFont="1" applyAlignment="1">
      <alignment horizontal="center"/>
    </xf>
    <xf numFmtId="0" fontId="0" fillId="0" borderId="117" xfId="0" applyBorder="1" applyAlignment="1">
      <alignment horizontal="center"/>
    </xf>
    <xf numFmtId="4" fontId="0" fillId="0" borderId="0" xfId="0" applyNumberFormat="1" applyAlignment="1">
      <alignment horizontal="center"/>
    </xf>
    <xf numFmtId="4" fontId="0" fillId="0" borderId="117" xfId="0" applyNumberFormat="1" applyBorder="1" applyAlignment="1">
      <alignment horizontal="center"/>
    </xf>
    <xf numFmtId="0" fontId="34" fillId="0" borderId="117" xfId="0" applyFont="1" applyBorder="1" applyAlignment="1">
      <alignment horizontal="center"/>
    </xf>
    <xf numFmtId="4" fontId="0" fillId="0" borderId="117" xfId="0" applyNumberFormat="1" applyBorder="1"/>
    <xf numFmtId="2" fontId="34" fillId="0" borderId="65" xfId="0" applyNumberFormat="1" applyFont="1" applyBorder="1" applyAlignment="1">
      <alignment horizontal="center"/>
    </xf>
    <xf numFmtId="0" fontId="0" fillId="0" borderId="65" xfId="0" applyBorder="1" applyAlignment="1">
      <alignment horizontal="center"/>
    </xf>
    <xf numFmtId="4" fontId="0" fillId="0" borderId="65" xfId="0" applyNumberFormat="1" applyBorder="1"/>
    <xf numFmtId="0" fontId="34" fillId="0" borderId="65" xfId="0" applyFont="1" applyBorder="1" applyAlignment="1">
      <alignment horizontal="center"/>
    </xf>
    <xf numFmtId="0" fontId="128" fillId="0" borderId="0" xfId="79" applyFont="1" applyBorder="1" applyAlignment="1">
      <alignment horizontal="center"/>
    </xf>
    <xf numFmtId="10" fontId="128" fillId="0" borderId="0" xfId="79" applyNumberFormat="1" applyFont="1" applyBorder="1" applyAlignment="1">
      <alignment horizontal="center"/>
    </xf>
    <xf numFmtId="4" fontId="128" fillId="0" borderId="0" xfId="79" applyNumberFormat="1" applyFont="1" applyBorder="1" applyAlignment="1">
      <alignment horizontal="center"/>
    </xf>
    <xf numFmtId="4" fontId="128" fillId="0" borderId="0" xfId="79" applyNumberFormat="1" applyFont="1" applyBorder="1" applyAlignment="1">
      <alignment horizontal="right"/>
    </xf>
    <xf numFmtId="2" fontId="0" fillId="0" borderId="65" xfId="0" applyNumberFormat="1" applyBorder="1" applyAlignment="1">
      <alignment horizontal="center"/>
    </xf>
    <xf numFmtId="0" fontId="112" fillId="0" borderId="0" xfId="0" applyFont="1" applyAlignment="1">
      <alignment horizontal="center"/>
    </xf>
    <xf numFmtId="9" fontId="112" fillId="0" borderId="0" xfId="1" applyFont="1"/>
    <xf numFmtId="0" fontId="112" fillId="0" borderId="118" xfId="0" applyFont="1" applyBorder="1" applyAlignment="1">
      <alignment horizontal="center"/>
    </xf>
    <xf numFmtId="9" fontId="112" fillId="0" borderId="0" xfId="1" applyFont="1" applyAlignment="1">
      <alignment horizontal="right"/>
    </xf>
    <xf numFmtId="0" fontId="61" fillId="0" borderId="0" xfId="0" applyFont="1"/>
    <xf numFmtId="0" fontId="129" fillId="0" borderId="0" xfId="0" applyFont="1"/>
    <xf numFmtId="0" fontId="129" fillId="56" borderId="0" xfId="0" applyFont="1" applyFill="1" applyAlignment="1">
      <alignment horizontal="center"/>
    </xf>
    <xf numFmtId="0" fontId="129" fillId="42" borderId="0" xfId="0" applyFont="1" applyFill="1" applyAlignment="1">
      <alignment horizontal="center"/>
    </xf>
    <xf numFmtId="0" fontId="129" fillId="54" borderId="0" xfId="0" applyFont="1" applyFill="1" applyAlignment="1">
      <alignment horizontal="center"/>
    </xf>
    <xf numFmtId="0" fontId="128" fillId="0" borderId="0" xfId="79" applyFont="1" applyBorder="1" applyAlignment="1">
      <alignment horizontal="left" vertical="center"/>
    </xf>
    <xf numFmtId="0" fontId="91" fillId="41" borderId="87" xfId="128" applyFill="1" applyBorder="1"/>
    <xf numFmtId="0" fontId="41" fillId="41" borderId="90" xfId="7" applyFill="1" applyBorder="1" applyAlignment="1">
      <alignment horizontal="center"/>
    </xf>
    <xf numFmtId="0" fontId="113" fillId="41" borderId="11" xfId="0" applyFont="1" applyFill="1" applyBorder="1"/>
    <xf numFmtId="43" fontId="0" fillId="0" borderId="0" xfId="0" applyNumberFormat="1"/>
    <xf numFmtId="0" fontId="118" fillId="41" borderId="115" xfId="147" applyFill="1" applyBorder="1"/>
    <xf numFmtId="0" fontId="119" fillId="41" borderId="120" xfId="16" applyFont="1" applyFill="1" applyBorder="1" applyAlignment="1">
      <alignment horizontal="left"/>
    </xf>
    <xf numFmtId="0" fontId="119" fillId="41" borderId="121" xfId="16" applyFont="1" applyFill="1" applyBorder="1" applyAlignment="1">
      <alignment horizontal="left"/>
    </xf>
    <xf numFmtId="0" fontId="41" fillId="4" borderId="106" xfId="7" applyBorder="1" applyAlignment="1">
      <alignment horizontal="left"/>
    </xf>
    <xf numFmtId="0" fontId="41" fillId="4" borderId="121" xfId="7" applyBorder="1" applyAlignment="1">
      <alignment horizontal="left"/>
    </xf>
    <xf numFmtId="0" fontId="41" fillId="4" borderId="102" xfId="7" applyBorder="1" applyAlignment="1">
      <alignment horizontal="left"/>
    </xf>
    <xf numFmtId="0" fontId="41" fillId="4" borderId="77" xfId="7" applyBorder="1" applyAlignment="1">
      <alignment horizontal="left"/>
    </xf>
    <xf numFmtId="0" fontId="41" fillId="4" borderId="83" xfId="7" applyBorder="1" applyAlignment="1">
      <alignment horizontal="left"/>
    </xf>
    <xf numFmtId="4" fontId="54" fillId="42" borderId="0" xfId="0" applyNumberFormat="1" applyFont="1" applyFill="1"/>
    <xf numFmtId="10" fontId="128" fillId="0" borderId="0" xfId="79" applyNumberFormat="1" applyFont="1" applyFill="1" applyBorder="1" applyAlignment="1">
      <alignment horizontal="center"/>
    </xf>
    <xf numFmtId="4" fontId="128" fillId="0" borderId="0" xfId="79" applyNumberFormat="1" applyFont="1" applyFill="1" applyBorder="1" applyAlignment="1">
      <alignment horizontal="center"/>
    </xf>
    <xf numFmtId="1" fontId="43" fillId="41" borderId="74" xfId="9" applyNumberFormat="1" applyFill="1" applyBorder="1" applyAlignment="1">
      <alignment horizontal="center"/>
    </xf>
    <xf numFmtId="0" fontId="43" fillId="41" borderId="74" xfId="9" applyNumberFormat="1" applyFill="1" applyBorder="1" applyAlignment="1">
      <alignment horizontal="center"/>
    </xf>
    <xf numFmtId="174" fontId="0" fillId="0" borderId="0" xfId="0" applyNumberFormat="1"/>
    <xf numFmtId="0" fontId="105" fillId="41" borderId="11" xfId="0" applyFont="1" applyFill="1" applyBorder="1" applyAlignment="1">
      <alignment wrapText="1"/>
    </xf>
    <xf numFmtId="0" fontId="105" fillId="41" borderId="122" xfId="0" applyFont="1" applyFill="1" applyBorder="1" applyAlignment="1">
      <alignment wrapText="1"/>
    </xf>
    <xf numFmtId="0" fontId="105" fillId="53" borderId="123" xfId="0" applyFont="1" applyFill="1" applyBorder="1" applyAlignment="1">
      <alignment wrapText="1"/>
    </xf>
    <xf numFmtId="0" fontId="18" fillId="41" borderId="124" xfId="146" applyFill="1" applyBorder="1"/>
    <xf numFmtId="17" fontId="51" fillId="41" borderId="125" xfId="146" applyNumberFormat="1" applyFont="1" applyFill="1" applyBorder="1" applyAlignment="1">
      <alignment horizontal="center"/>
    </xf>
    <xf numFmtId="17" fontId="51" fillId="41" borderId="124" xfId="146" applyNumberFormat="1" applyFont="1" applyFill="1" applyBorder="1" applyAlignment="1">
      <alignment horizontal="center"/>
    </xf>
    <xf numFmtId="17" fontId="51" fillId="41" borderId="127" xfId="146" applyNumberFormat="1" applyFont="1" applyFill="1" applyBorder="1" applyAlignment="1">
      <alignment horizontal="center"/>
    </xf>
    <xf numFmtId="0" fontId="105" fillId="41" borderId="126" xfId="0" applyFont="1" applyFill="1" applyBorder="1" applyAlignment="1">
      <alignment wrapText="1"/>
    </xf>
    <xf numFmtId="0" fontId="105" fillId="53" borderId="128" xfId="0" applyFont="1" applyFill="1" applyBorder="1" applyAlignment="1">
      <alignment wrapText="1"/>
    </xf>
    <xf numFmtId="0" fontId="8" fillId="41" borderId="48" xfId="146" applyFont="1" applyFill="1" applyBorder="1" applyAlignment="1">
      <alignment horizontal="center"/>
    </xf>
    <xf numFmtId="43" fontId="54" fillId="0" borderId="0" xfId="44" applyFont="1" applyFill="1" applyAlignment="1"/>
    <xf numFmtId="0" fontId="7" fillId="41" borderId="57" xfId="146" applyFont="1" applyFill="1" applyBorder="1" applyAlignment="1">
      <alignment horizontal="left"/>
    </xf>
    <xf numFmtId="165" fontId="106" fillId="0" borderId="10" xfId="1" applyNumberFormat="1" applyFont="1" applyBorder="1" applyAlignment="1"/>
    <xf numFmtId="1" fontId="33" fillId="0" borderId="130" xfId="59" applyNumberFormat="1" applyBorder="1" applyAlignment="1">
      <alignment horizontal="center"/>
    </xf>
    <xf numFmtId="1" fontId="33" fillId="42" borderId="100" xfId="59" applyNumberFormat="1" applyFill="1" applyBorder="1" applyAlignment="1">
      <alignment horizontal="center"/>
    </xf>
    <xf numFmtId="1" fontId="33" fillId="0" borderId="102" xfId="59" applyNumberFormat="1" applyBorder="1" applyAlignment="1">
      <alignment horizontal="center"/>
    </xf>
    <xf numFmtId="1" fontId="33" fillId="54" borderId="98" xfId="59" applyNumberFormat="1" applyFill="1" applyBorder="1" applyAlignment="1">
      <alignment horizontal="center"/>
    </xf>
    <xf numFmtId="1" fontId="33" fillId="42" borderId="98" xfId="59" applyNumberFormat="1" applyFill="1" applyBorder="1" applyAlignment="1">
      <alignment horizontal="center"/>
    </xf>
    <xf numFmtId="1" fontId="33" fillId="50" borderId="98" xfId="59" applyNumberFormat="1" applyFill="1" applyBorder="1" applyAlignment="1">
      <alignment horizontal="center"/>
    </xf>
    <xf numFmtId="1" fontId="33" fillId="0" borderId="129" xfId="59" applyNumberFormat="1" applyBorder="1" applyAlignment="1">
      <alignment horizontal="center"/>
    </xf>
    <xf numFmtId="1" fontId="33" fillId="54" borderId="99" xfId="59" applyNumberFormat="1" applyFill="1" applyBorder="1" applyAlignment="1">
      <alignment horizontal="center"/>
    </xf>
    <xf numFmtId="0" fontId="94" fillId="41" borderId="76" xfId="59" applyFont="1" applyFill="1" applyBorder="1" applyAlignment="1">
      <alignment horizontal="center"/>
    </xf>
    <xf numFmtId="0" fontId="33" fillId="41" borderId="76" xfId="59" applyFill="1" applyBorder="1"/>
    <xf numFmtId="17" fontId="33" fillId="0" borderId="75" xfId="59" applyNumberFormat="1" applyBorder="1" applyAlignment="1">
      <alignment horizontal="center"/>
    </xf>
    <xf numFmtId="0" fontId="33" fillId="41" borderId="77" xfId="59" applyFill="1" applyBorder="1"/>
    <xf numFmtId="0" fontId="33" fillId="41" borderId="75" xfId="59" applyFill="1" applyBorder="1"/>
    <xf numFmtId="0" fontId="105" fillId="41" borderId="131" xfId="0" applyFont="1" applyFill="1" applyBorder="1" applyAlignment="1">
      <alignment wrapText="1"/>
    </xf>
    <xf numFmtId="0" fontId="105" fillId="53" borderId="132" xfId="0" applyFont="1" applyFill="1" applyBorder="1" applyAlignment="1">
      <alignment wrapText="1"/>
    </xf>
    <xf numFmtId="0" fontId="105" fillId="0" borderId="133" xfId="0" applyFont="1" applyBorder="1" applyAlignment="1">
      <alignment wrapText="1"/>
    </xf>
    <xf numFmtId="0" fontId="41" fillId="4" borderId="133" xfId="7" applyBorder="1" applyAlignment="1">
      <alignment wrapText="1"/>
    </xf>
    <xf numFmtId="0" fontId="41" fillId="4" borderId="133" xfId="7" applyBorder="1" applyAlignment="1"/>
    <xf numFmtId="0" fontId="41" fillId="4" borderId="132" xfId="7" applyBorder="1" applyAlignment="1">
      <alignment wrapText="1"/>
    </xf>
    <xf numFmtId="0" fontId="41" fillId="4" borderId="135" xfId="7" applyBorder="1" applyAlignment="1">
      <alignment horizontal="center"/>
    </xf>
    <xf numFmtId="0" fontId="41" fillId="4" borderId="132" xfId="7" applyBorder="1" applyAlignment="1">
      <alignment horizontal="center"/>
    </xf>
    <xf numFmtId="17" fontId="51" fillId="41" borderId="134" xfId="146" applyNumberFormat="1" applyFont="1" applyFill="1" applyBorder="1"/>
    <xf numFmtId="0" fontId="41" fillId="4" borderId="82" xfId="7" applyBorder="1" applyAlignment="1">
      <alignment horizontal="left"/>
    </xf>
    <xf numFmtId="0" fontId="41" fillId="41" borderId="102" xfId="7" applyFill="1" applyBorder="1" applyAlignment="1">
      <alignment horizontal="left"/>
    </xf>
    <xf numFmtId="0" fontId="127" fillId="41" borderId="87" xfId="146" applyFont="1" applyFill="1" applyBorder="1" applyAlignment="1">
      <alignment horizontal="center"/>
    </xf>
    <xf numFmtId="0" fontId="127" fillId="41" borderId="62" xfId="146" applyFont="1" applyFill="1" applyBorder="1" applyAlignment="1">
      <alignment horizontal="center"/>
    </xf>
    <xf numFmtId="0" fontId="127" fillId="41" borderId="46" xfId="146" applyFont="1" applyFill="1" applyBorder="1" applyAlignment="1">
      <alignment horizontal="center"/>
    </xf>
    <xf numFmtId="0" fontId="127" fillId="41" borderId="48" xfId="146" applyFont="1" applyFill="1" applyBorder="1" applyAlignment="1">
      <alignment horizontal="center"/>
    </xf>
    <xf numFmtId="0" fontId="127" fillId="41" borderId="52" xfId="146" applyFont="1" applyFill="1" applyBorder="1" applyAlignment="1">
      <alignment horizontal="center"/>
    </xf>
    <xf numFmtId="0" fontId="127" fillId="41" borderId="58" xfId="146" applyFont="1" applyFill="1" applyBorder="1" applyAlignment="1">
      <alignment horizontal="center"/>
    </xf>
    <xf numFmtId="0" fontId="127" fillId="41" borderId="55" xfId="146" applyFont="1" applyFill="1" applyBorder="1" applyAlignment="1">
      <alignment horizontal="center"/>
    </xf>
    <xf numFmtId="0" fontId="127" fillId="41" borderId="30" xfId="146" applyFont="1" applyFill="1" applyBorder="1" applyAlignment="1">
      <alignment horizontal="center"/>
    </xf>
    <xf numFmtId="0" fontId="127" fillId="41" borderId="33" xfId="146" applyFont="1" applyFill="1" applyBorder="1" applyAlignment="1">
      <alignment horizontal="center"/>
    </xf>
    <xf numFmtId="0" fontId="127" fillId="41" borderId="93" xfId="146" applyFont="1" applyFill="1" applyBorder="1" applyAlignment="1">
      <alignment horizontal="center"/>
    </xf>
    <xf numFmtId="0" fontId="127" fillId="41" borderId="29" xfId="146" applyFont="1" applyFill="1" applyBorder="1" applyAlignment="1">
      <alignment horizontal="center"/>
    </xf>
    <xf numFmtId="0" fontId="127" fillId="41" borderId="56" xfId="146" applyFont="1" applyFill="1" applyBorder="1" applyAlignment="1">
      <alignment horizontal="center"/>
    </xf>
    <xf numFmtId="0" fontId="127" fillId="41" borderId="44" xfId="146" applyFont="1" applyFill="1" applyBorder="1" applyAlignment="1">
      <alignment horizontal="center"/>
    </xf>
    <xf numFmtId="0" fontId="127" fillId="41" borderId="68" xfId="146" applyFont="1" applyFill="1" applyBorder="1" applyAlignment="1">
      <alignment horizontal="center"/>
    </xf>
    <xf numFmtId="0" fontId="119" fillId="41" borderId="139" xfId="16" applyFont="1" applyFill="1" applyBorder="1" applyAlignment="1">
      <alignment horizontal="left"/>
    </xf>
    <xf numFmtId="0" fontId="119" fillId="41" borderId="129" xfId="16" applyFont="1" applyFill="1" applyBorder="1" applyAlignment="1">
      <alignment horizontal="left"/>
    </xf>
    <xf numFmtId="0" fontId="118" fillId="41" borderId="140" xfId="147" applyFill="1" applyBorder="1"/>
    <xf numFmtId="0" fontId="119" fillId="41" borderId="141" xfId="16" applyFont="1" applyFill="1" applyBorder="1" applyAlignment="1">
      <alignment horizontal="left"/>
    </xf>
    <xf numFmtId="0" fontId="41" fillId="4" borderId="142" xfId="7" applyBorder="1" applyAlignment="1">
      <alignment horizontal="left"/>
    </xf>
    <xf numFmtId="0" fontId="119" fillId="41" borderId="142" xfId="16" applyFont="1" applyFill="1" applyBorder="1" applyAlignment="1">
      <alignment horizontal="left"/>
    </xf>
    <xf numFmtId="0" fontId="118" fillId="41" borderId="143" xfId="147" applyFill="1" applyBorder="1"/>
    <xf numFmtId="0" fontId="119" fillId="41" borderId="10" xfId="16" applyFont="1" applyFill="1" applyBorder="1" applyAlignment="1">
      <alignment horizontal="left"/>
    </xf>
    <xf numFmtId="0" fontId="41" fillId="4" borderId="135" xfId="7" applyBorder="1" applyAlignment="1">
      <alignment horizontal="left"/>
    </xf>
    <xf numFmtId="0" fontId="119" fillId="41" borderId="135" xfId="16" applyFont="1" applyFill="1" applyBorder="1" applyAlignment="1">
      <alignment horizontal="left"/>
    </xf>
    <xf numFmtId="0" fontId="41" fillId="41" borderId="135" xfId="7" applyFill="1" applyBorder="1" applyAlignment="1">
      <alignment horizontal="left"/>
    </xf>
    <xf numFmtId="0" fontId="118" fillId="41" borderId="144" xfId="147" applyFill="1" applyBorder="1"/>
    <xf numFmtId="0" fontId="119" fillId="41" borderId="145" xfId="16" applyFont="1" applyFill="1" applyBorder="1" applyAlignment="1">
      <alignment horizontal="left"/>
    </xf>
    <xf numFmtId="0" fontId="41" fillId="4" borderId="146" xfId="7" applyBorder="1" applyAlignment="1">
      <alignment horizontal="left"/>
    </xf>
    <xf numFmtId="0" fontId="119" fillId="41" borderId="146" xfId="16" applyFont="1" applyFill="1" applyBorder="1" applyAlignment="1">
      <alignment horizontal="left"/>
    </xf>
    <xf numFmtId="0" fontId="41" fillId="41" borderId="142" xfId="7" applyFill="1" applyBorder="1" applyAlignment="1">
      <alignment horizontal="left"/>
    </xf>
    <xf numFmtId="0" fontId="41" fillId="41" borderId="146" xfId="7" applyFill="1" applyBorder="1" applyAlignment="1">
      <alignment horizontal="left"/>
    </xf>
    <xf numFmtId="0" fontId="60" fillId="0" borderId="147" xfId="0" applyFont="1" applyBorder="1"/>
    <xf numFmtId="0" fontId="60" fillId="41" borderId="66" xfId="0" applyFont="1" applyFill="1" applyBorder="1"/>
    <xf numFmtId="0" fontId="60" fillId="41" borderId="150" xfId="0" applyFont="1" applyFill="1" applyBorder="1" applyAlignment="1">
      <alignment horizontal="left" vertical="center"/>
    </xf>
    <xf numFmtId="0" fontId="60" fillId="0" borderId="66" xfId="0" applyFont="1" applyBorder="1"/>
    <xf numFmtId="0" fontId="126" fillId="41" borderId="64" xfId="9" applyFont="1" applyFill="1" applyBorder="1"/>
    <xf numFmtId="0" fontId="126" fillId="41" borderId="150" xfId="9" applyFont="1" applyFill="1" applyBorder="1"/>
    <xf numFmtId="0" fontId="60" fillId="41" borderId="65" xfId="0" applyFont="1" applyFill="1" applyBorder="1"/>
    <xf numFmtId="0" fontId="0" fillId="41" borderId="137" xfId="0" applyFill="1" applyBorder="1" applyAlignment="1">
      <alignment horizontal="center"/>
    </xf>
    <xf numFmtId="0" fontId="0" fillId="41" borderId="119" xfId="0" applyFill="1" applyBorder="1" applyAlignment="1">
      <alignment horizontal="center"/>
    </xf>
    <xf numFmtId="0" fontId="0" fillId="41" borderId="111" xfId="0" applyFill="1" applyBorder="1" applyAlignment="1">
      <alignment horizontal="center"/>
    </xf>
    <xf numFmtId="0" fontId="0" fillId="41" borderId="114" xfId="0" applyFill="1" applyBorder="1" applyAlignment="1">
      <alignment horizontal="center"/>
    </xf>
    <xf numFmtId="0" fontId="0" fillId="41" borderId="156" xfId="0" applyFill="1" applyBorder="1" applyAlignment="1">
      <alignment horizontal="center"/>
    </xf>
    <xf numFmtId="0" fontId="0" fillId="41" borderId="157" xfId="0" applyFill="1" applyBorder="1" applyAlignment="1">
      <alignment horizontal="center"/>
    </xf>
    <xf numFmtId="0" fontId="0" fillId="41" borderId="158" xfId="0" applyFill="1" applyBorder="1" applyAlignment="1">
      <alignment horizontal="center"/>
    </xf>
    <xf numFmtId="0" fontId="0" fillId="41" borderId="136" xfId="0" applyFill="1" applyBorder="1" applyAlignment="1">
      <alignment horizontal="center"/>
    </xf>
    <xf numFmtId="0" fontId="127" fillId="41" borderId="101" xfId="146" applyFont="1" applyFill="1" applyBorder="1" applyAlignment="1">
      <alignment horizontal="center"/>
    </xf>
    <xf numFmtId="0" fontId="0" fillId="41" borderId="103" xfId="0" applyFill="1" applyBorder="1" applyAlignment="1">
      <alignment horizontal="center"/>
    </xf>
    <xf numFmtId="0" fontId="0" fillId="41" borderId="107" xfId="0" applyFill="1" applyBorder="1" applyAlignment="1">
      <alignment horizontal="center"/>
    </xf>
    <xf numFmtId="0" fontId="60" fillId="0" borderId="159" xfId="0" applyFont="1" applyBorder="1"/>
    <xf numFmtId="0" fontId="60" fillId="41" borderId="160" xfId="0" applyFont="1" applyFill="1" applyBorder="1"/>
    <xf numFmtId="0" fontId="60" fillId="41" borderId="161" xfId="0" applyFont="1" applyFill="1" applyBorder="1"/>
    <xf numFmtId="0" fontId="60" fillId="0" borderId="118" xfId="0" applyFont="1" applyBorder="1"/>
    <xf numFmtId="0" fontId="60" fillId="41" borderId="162" xfId="0" applyFont="1" applyFill="1" applyBorder="1"/>
    <xf numFmtId="0" fontId="60" fillId="41" borderId="128" xfId="0" applyFont="1" applyFill="1" applyBorder="1"/>
    <xf numFmtId="0" fontId="60" fillId="41" borderId="163" xfId="0" applyFont="1" applyFill="1" applyBorder="1"/>
    <xf numFmtId="0" fontId="126" fillId="41" borderId="164" xfId="9" applyFont="1" applyFill="1" applyBorder="1"/>
    <xf numFmtId="0" fontId="126" fillId="41" borderId="162" xfId="9" applyFont="1" applyFill="1" applyBorder="1"/>
    <xf numFmtId="0" fontId="126" fillId="41" borderId="163" xfId="9" applyFont="1" applyFill="1" applyBorder="1"/>
    <xf numFmtId="0" fontId="126" fillId="0" borderId="162" xfId="0" applyFont="1" applyBorder="1"/>
    <xf numFmtId="0" fontId="126" fillId="0" borderId="128" xfId="0" applyFont="1" applyBorder="1"/>
    <xf numFmtId="0" fontId="126" fillId="0" borderId="163" xfId="0" applyFont="1" applyBorder="1"/>
    <xf numFmtId="0" fontId="60" fillId="41" borderId="118" xfId="0" applyFont="1" applyFill="1" applyBorder="1" applyAlignment="1">
      <alignment horizontal="left" vertical="center"/>
    </xf>
    <xf numFmtId="0" fontId="126" fillId="41" borderId="161" xfId="9" applyFont="1" applyFill="1" applyBorder="1"/>
    <xf numFmtId="0" fontId="60" fillId="41" borderId="165" xfId="0" applyFont="1" applyFill="1" applyBorder="1"/>
    <xf numFmtId="0" fontId="60" fillId="41" borderId="166" xfId="0" applyFont="1" applyFill="1" applyBorder="1"/>
    <xf numFmtId="0" fontId="60" fillId="41" borderId="167" xfId="0" applyFont="1" applyFill="1" applyBorder="1"/>
    <xf numFmtId="0" fontId="60" fillId="41" borderId="118" xfId="0" applyFont="1" applyFill="1" applyBorder="1"/>
    <xf numFmtId="0" fontId="60" fillId="41" borderId="161" xfId="0" applyFont="1" applyFill="1" applyBorder="1" applyAlignment="1">
      <alignment horizontal="left" vertical="center"/>
    </xf>
    <xf numFmtId="0" fontId="60" fillId="41" borderId="155" xfId="0" applyFont="1" applyFill="1" applyBorder="1" applyAlignment="1">
      <alignment horizontal="left" vertical="center"/>
    </xf>
    <xf numFmtId="0" fontId="41" fillId="4" borderId="129" xfId="7" applyBorder="1" applyAlignment="1">
      <alignment horizontal="left"/>
    </xf>
    <xf numFmtId="0" fontId="65" fillId="0" borderId="0" xfId="0" applyFont="1"/>
    <xf numFmtId="0" fontId="65" fillId="0" borderId="0" xfId="0" applyFont="1" applyAlignment="1">
      <alignment horizontal="center"/>
    </xf>
    <xf numFmtId="0" fontId="64" fillId="0" borderId="0" xfId="0" applyFont="1" applyAlignment="1">
      <alignment horizontal="center"/>
    </xf>
    <xf numFmtId="9" fontId="64" fillId="0" borderId="0" xfId="0" applyNumberFormat="1" applyFont="1" applyAlignment="1">
      <alignment horizontal="center"/>
    </xf>
    <xf numFmtId="164" fontId="64" fillId="0" borderId="0" xfId="0" applyNumberFormat="1" applyFont="1"/>
    <xf numFmtId="4" fontId="64" fillId="0" borderId="0" xfId="0" applyNumberFormat="1" applyFont="1"/>
    <xf numFmtId="164" fontId="0" fillId="0" borderId="117" xfId="0" applyNumberFormat="1" applyBorder="1"/>
    <xf numFmtId="165" fontId="64" fillId="0" borderId="0" xfId="1" applyNumberFormat="1" applyFont="1" applyBorder="1" applyAlignment="1">
      <alignment vertical="center"/>
    </xf>
    <xf numFmtId="165" fontId="64" fillId="0" borderId="0" xfId="1" applyNumberFormat="1" applyFont="1" applyBorder="1" applyAlignment="1">
      <alignment horizontal="center" vertical="center"/>
    </xf>
    <xf numFmtId="164" fontId="64" fillId="42" borderId="0" xfId="0" applyNumberFormat="1" applyFont="1" applyFill="1"/>
    <xf numFmtId="4" fontId="64" fillId="42" borderId="0" xfId="0" applyNumberFormat="1" applyFont="1" applyFill="1"/>
    <xf numFmtId="0" fontId="64" fillId="0" borderId="0" xfId="0" applyFont="1"/>
    <xf numFmtId="0" fontId="64" fillId="0" borderId="65" xfId="0" applyFont="1" applyBorder="1" applyAlignment="1">
      <alignment horizontal="center"/>
    </xf>
    <xf numFmtId="4" fontId="64" fillId="0" borderId="65" xfId="0" applyNumberFormat="1" applyFont="1" applyBorder="1"/>
    <xf numFmtId="0" fontId="54" fillId="0" borderId="0" xfId="0" applyFont="1" applyAlignment="1">
      <alignment horizontal="center"/>
    </xf>
    <xf numFmtId="0" fontId="41" fillId="41" borderId="75" xfId="70" applyFill="1" applyBorder="1" applyAlignment="1">
      <alignment horizontal="center"/>
    </xf>
    <xf numFmtId="0" fontId="41" fillId="4" borderId="90" xfId="70" applyBorder="1" applyAlignment="1">
      <alignment horizontal="center"/>
    </xf>
    <xf numFmtId="0" fontId="41" fillId="4" borderId="79" xfId="70" applyBorder="1" applyAlignment="1">
      <alignment horizontal="center"/>
    </xf>
    <xf numFmtId="0" fontId="41" fillId="4" borderId="81" xfId="70" applyBorder="1" applyAlignment="1">
      <alignment horizontal="center"/>
    </xf>
    <xf numFmtId="0" fontId="41" fillId="4" borderId="84" xfId="70" applyBorder="1" applyAlignment="1">
      <alignment horizontal="center"/>
    </xf>
    <xf numFmtId="17" fontId="41" fillId="4" borderId="84" xfId="7" applyNumberFormat="1" applyBorder="1" applyAlignment="1">
      <alignment horizontal="center"/>
    </xf>
    <xf numFmtId="17" fontId="89" fillId="6" borderId="73" xfId="72" applyNumberFormat="1" applyBorder="1" applyAlignment="1">
      <alignment horizontal="center"/>
    </xf>
    <xf numFmtId="17" fontId="89" fillId="6" borderId="80" xfId="72" applyNumberFormat="1" applyBorder="1" applyAlignment="1">
      <alignment horizontal="center"/>
    </xf>
    <xf numFmtId="17" fontId="89" fillId="6" borderId="76" xfId="72" applyNumberFormat="1" applyBorder="1" applyAlignment="1">
      <alignment horizontal="center"/>
    </xf>
    <xf numFmtId="17" fontId="43" fillId="6" borderId="80" xfId="9" applyNumberFormat="1" applyBorder="1" applyAlignment="1">
      <alignment horizontal="center"/>
    </xf>
    <xf numFmtId="0" fontId="41" fillId="4" borderId="168" xfId="7" applyBorder="1" applyAlignment="1">
      <alignment horizontal="center"/>
    </xf>
    <xf numFmtId="17" fontId="41" fillId="4" borderId="80" xfId="70" applyNumberFormat="1" applyBorder="1" applyAlignment="1">
      <alignment horizontal="center"/>
    </xf>
    <xf numFmtId="4" fontId="117" fillId="0" borderId="0" xfId="0" applyNumberFormat="1" applyFont="1"/>
    <xf numFmtId="4" fontId="117" fillId="0" borderId="0" xfId="44" applyNumberFormat="1" applyFont="1" applyAlignment="1"/>
    <xf numFmtId="3" fontId="18" fillId="0" borderId="21" xfId="146" applyNumberFormat="1" applyBorder="1"/>
    <xf numFmtId="9" fontId="55" fillId="0" borderId="0" xfId="0" applyNumberFormat="1" applyFont="1"/>
    <xf numFmtId="172" fontId="64" fillId="0" borderId="0" xfId="0" applyNumberFormat="1" applyFont="1"/>
    <xf numFmtId="17" fontId="0" fillId="0" borderId="0" xfId="44" applyNumberFormat="1" applyFont="1"/>
    <xf numFmtId="9" fontId="106" fillId="41" borderId="10" xfId="1" applyFont="1" applyFill="1" applyBorder="1" applyAlignment="1"/>
    <xf numFmtId="9" fontId="0" fillId="42" borderId="0" xfId="1" applyFont="1" applyFill="1"/>
    <xf numFmtId="3" fontId="113" fillId="0" borderId="0" xfId="0" applyNumberFormat="1" applyFont="1"/>
    <xf numFmtId="0" fontId="113" fillId="41" borderId="0" xfId="0" applyFont="1" applyFill="1"/>
    <xf numFmtId="0" fontId="129" fillId="41" borderId="0" xfId="0" applyFont="1" applyFill="1" applyAlignment="1">
      <alignment horizontal="center"/>
    </xf>
    <xf numFmtId="165" fontId="0" fillId="0" borderId="0" xfId="0" applyNumberFormat="1"/>
    <xf numFmtId="9" fontId="0" fillId="0" borderId="0" xfId="1" applyFont="1" applyAlignment="1">
      <alignment horizontal="center"/>
    </xf>
    <xf numFmtId="17" fontId="43" fillId="41" borderId="84" xfId="9" applyNumberFormat="1" applyFill="1" applyBorder="1" applyAlignment="1">
      <alignment horizontal="center"/>
    </xf>
    <xf numFmtId="17" fontId="43" fillId="41" borderId="85" xfId="9" applyNumberFormat="1" applyFill="1" applyBorder="1" applyAlignment="1">
      <alignment horizontal="center"/>
    </xf>
    <xf numFmtId="0" fontId="60" fillId="41" borderId="173" xfId="0" applyFont="1" applyFill="1" applyBorder="1"/>
    <xf numFmtId="0" fontId="0" fillId="41" borderId="174" xfId="0" applyFill="1" applyBorder="1" applyAlignment="1">
      <alignment horizontal="center"/>
    </xf>
    <xf numFmtId="0" fontId="118" fillId="41" borderId="175" xfId="147" applyFill="1" applyBorder="1"/>
    <xf numFmtId="0" fontId="119" fillId="41" borderId="176" xfId="16" applyFont="1" applyFill="1" applyBorder="1" applyAlignment="1">
      <alignment horizontal="left"/>
    </xf>
    <xf numFmtId="0" fontId="41" fillId="4" borderId="177" xfId="7" applyBorder="1" applyAlignment="1">
      <alignment horizontal="left"/>
    </xf>
    <xf numFmtId="0" fontId="119" fillId="41" borderId="177" xfId="16" applyFont="1" applyFill="1" applyBorder="1" applyAlignment="1">
      <alignment horizontal="left"/>
    </xf>
    <xf numFmtId="0" fontId="91" fillId="41" borderId="104" xfId="128" applyFill="1" applyBorder="1"/>
    <xf numFmtId="0" fontId="91" fillId="41" borderId="144" xfId="128" applyFill="1" applyBorder="1"/>
    <xf numFmtId="0" fontId="41" fillId="4" borderId="95" xfId="70" applyBorder="1" applyAlignment="1">
      <alignment horizontal="center"/>
    </xf>
    <xf numFmtId="0" fontId="18" fillId="41" borderId="179" xfId="146" applyFill="1" applyBorder="1"/>
    <xf numFmtId="0" fontId="127" fillId="41" borderId="179" xfId="146" applyFont="1" applyFill="1" applyBorder="1" applyAlignment="1">
      <alignment horizontal="center"/>
    </xf>
    <xf numFmtId="0" fontId="118" fillId="41" borderId="179" xfId="147" applyFill="1" applyBorder="1"/>
    <xf numFmtId="0" fontId="119" fillId="41" borderId="180" xfId="16" applyFont="1" applyFill="1" applyBorder="1" applyAlignment="1">
      <alignment horizontal="left"/>
    </xf>
    <xf numFmtId="0" fontId="41" fillId="4" borderId="181" xfId="7" applyBorder="1" applyAlignment="1">
      <alignment horizontal="center"/>
    </xf>
    <xf numFmtId="17" fontId="41" fillId="4" borderId="181" xfId="7" applyNumberFormat="1" applyBorder="1" applyAlignment="1">
      <alignment horizontal="center"/>
    </xf>
    <xf numFmtId="0" fontId="18" fillId="41" borderId="183" xfId="146" applyFill="1" applyBorder="1"/>
    <xf numFmtId="0" fontId="127" fillId="41" borderId="183" xfId="146" applyFont="1" applyFill="1" applyBorder="1" applyAlignment="1">
      <alignment horizontal="center"/>
    </xf>
    <xf numFmtId="17" fontId="89" fillId="6" borderId="185" xfId="72" applyNumberFormat="1" applyBorder="1" applyAlignment="1">
      <alignment horizontal="center"/>
    </xf>
    <xf numFmtId="17" fontId="41" fillId="4" borderId="168" xfId="70" applyNumberFormat="1" applyBorder="1" applyAlignment="1">
      <alignment horizontal="center"/>
    </xf>
    <xf numFmtId="1" fontId="43" fillId="6" borderId="168" xfId="9" applyNumberFormat="1" applyBorder="1" applyAlignment="1">
      <alignment horizontal="center"/>
    </xf>
    <xf numFmtId="0" fontId="91" fillId="41" borderId="186" xfId="128" applyFill="1" applyBorder="1"/>
    <xf numFmtId="0" fontId="121" fillId="41" borderId="187" xfId="16" applyFont="1" applyFill="1" applyBorder="1" applyAlignment="1">
      <alignment horizontal="left"/>
    </xf>
    <xf numFmtId="1" fontId="43" fillId="6" borderId="181" xfId="9" applyNumberFormat="1" applyBorder="1" applyAlignment="1">
      <alignment horizontal="center"/>
    </xf>
    <xf numFmtId="17" fontId="43" fillId="6" borderId="181" xfId="9" applyNumberFormat="1" applyBorder="1" applyAlignment="1">
      <alignment horizontal="center"/>
    </xf>
    <xf numFmtId="17" fontId="89" fillId="6" borderId="121" xfId="72" applyNumberFormat="1" applyBorder="1" applyAlignment="1">
      <alignment horizontal="center"/>
    </xf>
    <xf numFmtId="0" fontId="18" fillId="41" borderId="189" xfId="146" applyFill="1" applyBorder="1"/>
    <xf numFmtId="0" fontId="127" fillId="41" borderId="189" xfId="146" applyFont="1" applyFill="1" applyBorder="1" applyAlignment="1">
      <alignment horizontal="center"/>
    </xf>
    <xf numFmtId="0" fontId="91" fillId="41" borderId="189" xfId="128" applyFill="1" applyBorder="1"/>
    <xf numFmtId="0" fontId="121" fillId="41" borderId="190" xfId="16" applyFont="1" applyFill="1" applyBorder="1" applyAlignment="1">
      <alignment horizontal="left"/>
    </xf>
    <xf numFmtId="1" fontId="43" fillId="6" borderId="98" xfId="9" applyNumberFormat="1" applyBorder="1" applyAlignment="1">
      <alignment horizontal="center"/>
    </xf>
    <xf numFmtId="17" fontId="43" fillId="6" borderId="98" xfId="9" applyNumberFormat="1" applyBorder="1" applyAlignment="1">
      <alignment horizontal="center"/>
    </xf>
    <xf numFmtId="17" fontId="89" fillId="6" borderId="191" xfId="72" applyNumberFormat="1" applyBorder="1" applyAlignment="1">
      <alignment horizontal="center"/>
    </xf>
    <xf numFmtId="0" fontId="91" fillId="41" borderId="183" xfId="128" applyFill="1" applyBorder="1"/>
    <xf numFmtId="0" fontId="121" fillId="41" borderId="184" xfId="16" applyFont="1" applyFill="1" applyBorder="1" applyAlignment="1">
      <alignment horizontal="left"/>
    </xf>
    <xf numFmtId="1" fontId="43" fillId="6" borderId="185" xfId="9" applyNumberFormat="1" applyBorder="1" applyAlignment="1">
      <alignment horizontal="center"/>
    </xf>
    <xf numFmtId="17" fontId="43" fillId="6" borderId="185" xfId="9" applyNumberFormat="1" applyBorder="1" applyAlignment="1">
      <alignment horizontal="center"/>
    </xf>
    <xf numFmtId="4" fontId="128" fillId="0" borderId="0" xfId="79" applyNumberFormat="1" applyFont="1" applyFill="1" applyBorder="1" applyAlignment="1">
      <alignment horizontal="right"/>
    </xf>
    <xf numFmtId="9" fontId="0" fillId="45" borderId="0" xfId="0" applyNumberFormat="1" applyFill="1"/>
    <xf numFmtId="9" fontId="54" fillId="45" borderId="0" xfId="0" applyNumberFormat="1" applyFont="1" applyFill="1"/>
    <xf numFmtId="9" fontId="54" fillId="45" borderId="0" xfId="1" applyFont="1" applyFill="1"/>
    <xf numFmtId="9" fontId="0" fillId="45" borderId="0" xfId="1" applyFont="1" applyFill="1"/>
    <xf numFmtId="2" fontId="0" fillId="0" borderId="0" xfId="0" applyNumberFormat="1" applyAlignment="1">
      <alignment horizontal="center"/>
    </xf>
    <xf numFmtId="0" fontId="18" fillId="41" borderId="31" xfId="146" applyFill="1" applyBorder="1" applyAlignment="1">
      <alignment horizontal="left" vertical="center"/>
    </xf>
    <xf numFmtId="0" fontId="18" fillId="41" borderId="178" xfId="146" applyFill="1" applyBorder="1" applyAlignment="1">
      <alignment horizontal="left" vertical="center"/>
    </xf>
    <xf numFmtId="17" fontId="89" fillId="41" borderId="73" xfId="72" applyNumberFormat="1" applyFill="1" applyBorder="1" applyAlignment="1">
      <alignment horizontal="center"/>
    </xf>
    <xf numFmtId="0" fontId="41" fillId="41" borderId="73" xfId="70" applyFill="1" applyBorder="1" applyAlignment="1">
      <alignment horizontal="center"/>
    </xf>
    <xf numFmtId="17" fontId="43" fillId="41" borderId="73" xfId="9" applyNumberFormat="1" applyFill="1" applyBorder="1" applyAlignment="1">
      <alignment horizontal="center"/>
    </xf>
    <xf numFmtId="17" fontId="41" fillId="4" borderId="73" xfId="70" applyNumberFormat="1" applyBorder="1" applyAlignment="1">
      <alignment horizontal="center"/>
    </xf>
    <xf numFmtId="17" fontId="41" fillId="4" borderId="84" xfId="70" applyNumberFormat="1" applyBorder="1" applyAlignment="1">
      <alignment horizontal="center"/>
    </xf>
    <xf numFmtId="17" fontId="41" fillId="4" borderId="181" xfId="70" applyNumberFormat="1" applyBorder="1" applyAlignment="1">
      <alignment horizontal="center"/>
    </xf>
    <xf numFmtId="16" fontId="41" fillId="4" borderId="74" xfId="70" applyNumberFormat="1" applyBorder="1" applyAlignment="1">
      <alignment horizontal="center"/>
    </xf>
    <xf numFmtId="17" fontId="41" fillId="4" borderId="77" xfId="70" applyNumberFormat="1" applyBorder="1" applyAlignment="1">
      <alignment horizontal="center"/>
    </xf>
    <xf numFmtId="0" fontId="60" fillId="41" borderId="192" xfId="0" applyFont="1" applyFill="1" applyBorder="1"/>
    <xf numFmtId="0" fontId="60" fillId="41" borderId="193" xfId="0" applyFont="1" applyFill="1" applyBorder="1"/>
    <xf numFmtId="0" fontId="119" fillId="41" borderId="168" xfId="16" applyFont="1" applyFill="1" applyBorder="1" applyAlignment="1">
      <alignment horizontal="left"/>
    </xf>
    <xf numFmtId="0" fontId="41" fillId="41" borderId="110" xfId="7" applyFill="1" applyBorder="1" applyAlignment="1">
      <alignment horizontal="left"/>
    </xf>
    <xf numFmtId="0" fontId="91" fillId="41" borderId="143" xfId="128" applyFill="1" applyBorder="1"/>
    <xf numFmtId="9" fontId="0" fillId="0" borderId="0" xfId="0" applyNumberFormat="1" applyAlignment="1">
      <alignment horizontal="right"/>
    </xf>
    <xf numFmtId="9" fontId="0" fillId="0" borderId="0" xfId="0" applyNumberFormat="1" applyAlignment="1">
      <alignment horizontal="center"/>
    </xf>
    <xf numFmtId="9" fontId="0" fillId="0" borderId="0" xfId="1" applyFont="1" applyAlignment="1">
      <alignment horizontal="right"/>
    </xf>
    <xf numFmtId="1" fontId="56" fillId="0" borderId="0" xfId="0" applyNumberFormat="1" applyFont="1" applyAlignment="1">
      <alignment horizontal="center"/>
    </xf>
    <xf numFmtId="4" fontId="56" fillId="0" borderId="0" xfId="0" applyNumberFormat="1" applyFont="1" applyAlignment="1">
      <alignment horizontal="right"/>
    </xf>
    <xf numFmtId="9" fontId="0" fillId="0" borderId="0" xfId="1" applyFont="1" applyFill="1"/>
    <xf numFmtId="9" fontId="0" fillId="42" borderId="0" xfId="0" applyNumberFormat="1" applyFill="1"/>
    <xf numFmtId="165" fontId="56" fillId="0" borderId="0" xfId="1" applyNumberFormat="1" applyFont="1" applyAlignment="1">
      <alignment horizontal="center"/>
    </xf>
    <xf numFmtId="9" fontId="0" fillId="0" borderId="0" xfId="1" applyFont="1" applyAlignment="1">
      <alignment horizontal="left"/>
    </xf>
    <xf numFmtId="4" fontId="0" fillId="0" borderId="0" xfId="0" applyNumberFormat="1" applyAlignment="1">
      <alignment horizontal="left"/>
    </xf>
    <xf numFmtId="0" fontId="0" fillId="0" borderId="0" xfId="0" applyAlignment="1">
      <alignment horizontal="left"/>
    </xf>
    <xf numFmtId="9" fontId="0" fillId="0" borderId="0" xfId="1" applyFont="1" applyFill="1" applyAlignment="1">
      <alignment horizontal="right"/>
    </xf>
    <xf numFmtId="0" fontId="94" fillId="53" borderId="135" xfId="59" applyFont="1" applyFill="1" applyBorder="1" applyAlignment="1">
      <alignment horizontal="center" wrapText="1"/>
    </xf>
    <xf numFmtId="1" fontId="33" fillId="41" borderId="77" xfId="59" applyNumberFormat="1" applyFill="1" applyBorder="1" applyAlignment="1">
      <alignment horizontal="center"/>
    </xf>
    <xf numFmtId="1" fontId="33" fillId="41" borderId="76" xfId="59" applyNumberFormat="1" applyFill="1" applyBorder="1" applyAlignment="1">
      <alignment horizontal="center"/>
    </xf>
    <xf numFmtId="0" fontId="132" fillId="0" borderId="195" xfId="59" applyFont="1" applyBorder="1" applyAlignment="1">
      <alignment horizontal="center"/>
    </xf>
    <xf numFmtId="0" fontId="132" fillId="0" borderId="198" xfId="59" applyFont="1" applyBorder="1" applyAlignment="1">
      <alignment horizontal="center"/>
    </xf>
    <xf numFmtId="0" fontId="132" fillId="0" borderId="17" xfId="59" applyFont="1" applyBorder="1" applyAlignment="1">
      <alignment horizontal="center"/>
    </xf>
    <xf numFmtId="0" fontId="33" fillId="41" borderId="171" xfId="59" applyFill="1" applyBorder="1"/>
    <xf numFmtId="0" fontId="33" fillId="41" borderId="65" xfId="59" applyFill="1" applyBorder="1"/>
    <xf numFmtId="9" fontId="125" fillId="41" borderId="172" xfId="160" applyFont="1" applyFill="1" applyBorder="1" applyAlignment="1">
      <alignment horizontal="center"/>
    </xf>
    <xf numFmtId="9" fontId="125" fillId="41" borderId="75" xfId="160" applyFont="1" applyFill="1" applyBorder="1" applyAlignment="1">
      <alignment horizontal="center"/>
    </xf>
    <xf numFmtId="0" fontId="105" fillId="53" borderId="135" xfId="59" applyFont="1" applyFill="1" applyBorder="1" applyAlignment="1">
      <alignment wrapText="1"/>
    </xf>
    <xf numFmtId="0" fontId="105" fillId="0" borderId="206" xfId="59" applyFont="1" applyBorder="1" applyAlignment="1">
      <alignment wrapText="1"/>
    </xf>
    <xf numFmtId="0" fontId="105" fillId="0" borderId="135" xfId="59" applyFont="1" applyBorder="1" applyAlignment="1">
      <alignment wrapText="1"/>
    </xf>
    <xf numFmtId="0" fontId="105" fillId="0" borderId="207" xfId="59" applyFont="1" applyBorder="1" applyAlignment="1">
      <alignment wrapText="1"/>
    </xf>
    <xf numFmtId="2" fontId="105" fillId="0" borderId="208" xfId="59" applyNumberFormat="1" applyFont="1" applyBorder="1" applyAlignment="1">
      <alignment horizontal="center" wrapText="1"/>
    </xf>
    <xf numFmtId="2" fontId="105" fillId="0" borderId="206" xfId="59" applyNumberFormat="1" applyFont="1" applyBorder="1" applyAlignment="1">
      <alignment horizontal="center" wrapText="1"/>
    </xf>
    <xf numFmtId="2" fontId="105" fillId="0" borderId="76" xfId="59" applyNumberFormat="1" applyFont="1" applyBorder="1" applyAlignment="1">
      <alignment horizontal="center" wrapText="1"/>
    </xf>
    <xf numFmtId="0" fontId="105" fillId="53" borderId="135" xfId="59" applyFont="1" applyFill="1" applyBorder="1" applyAlignment="1">
      <alignment horizontal="center" wrapText="1"/>
    </xf>
    <xf numFmtId="2" fontId="105" fillId="53" borderId="135" xfId="59" applyNumberFormat="1" applyFont="1" applyFill="1" applyBorder="1" applyAlignment="1">
      <alignment horizontal="center" wrapText="1"/>
    </xf>
    <xf numFmtId="9" fontId="65" fillId="41" borderId="65" xfId="1" applyFont="1" applyFill="1" applyBorder="1" applyAlignment="1">
      <alignment horizontal="center"/>
    </xf>
    <xf numFmtId="9" fontId="65" fillId="41" borderId="199" xfId="1" applyFont="1" applyFill="1" applyBorder="1" applyAlignment="1">
      <alignment horizontal="center"/>
    </xf>
    <xf numFmtId="9" fontId="65" fillId="41" borderId="0" xfId="1" applyFont="1" applyFill="1" applyBorder="1" applyAlignment="1">
      <alignment horizontal="center"/>
    </xf>
    <xf numFmtId="9" fontId="133" fillId="53" borderId="97" xfId="1" applyFont="1" applyFill="1" applyBorder="1" applyAlignment="1">
      <alignment horizontal="center" wrapText="1"/>
    </xf>
    <xf numFmtId="9" fontId="133" fillId="53" borderId="200" xfId="1" applyFont="1" applyFill="1" applyBorder="1" applyAlignment="1">
      <alignment horizontal="center" wrapText="1"/>
    </xf>
    <xf numFmtId="9" fontId="133" fillId="53" borderId="10" xfId="1" applyFont="1" applyFill="1" applyBorder="1" applyAlignment="1">
      <alignment horizontal="center" wrapText="1"/>
    </xf>
    <xf numFmtId="9" fontId="65" fillId="41" borderId="195" xfId="1" applyFont="1" applyFill="1" applyBorder="1" applyAlignment="1">
      <alignment horizontal="center"/>
    </xf>
    <xf numFmtId="9" fontId="65" fillId="41" borderId="198" xfId="1" applyFont="1" applyFill="1" applyBorder="1" applyAlignment="1">
      <alignment horizontal="center"/>
    </xf>
    <xf numFmtId="9" fontId="65" fillId="41" borderId="17" xfId="1" applyFont="1" applyFill="1" applyBorder="1" applyAlignment="1">
      <alignment horizontal="center"/>
    </xf>
    <xf numFmtId="17" fontId="0" fillId="41" borderId="75" xfId="0" applyNumberFormat="1" applyFill="1" applyBorder="1" applyAlignment="1">
      <alignment horizontal="center"/>
    </xf>
    <xf numFmtId="0" fontId="0" fillId="41" borderId="76" xfId="0" applyFill="1" applyBorder="1" applyAlignment="1">
      <alignment horizontal="center"/>
    </xf>
    <xf numFmtId="1" fontId="0" fillId="0" borderId="75" xfId="0" applyNumberFormat="1" applyBorder="1" applyAlignment="1">
      <alignment horizontal="center"/>
    </xf>
    <xf numFmtId="1" fontId="0" fillId="0" borderId="0" xfId="0" applyNumberFormat="1" applyAlignment="1">
      <alignment horizontal="center"/>
    </xf>
    <xf numFmtId="0" fontId="33" fillId="0" borderId="77" xfId="59" applyBorder="1" applyAlignment="1">
      <alignment horizontal="center"/>
    </xf>
    <xf numFmtId="0" fontId="33" fillId="0" borderId="76" xfId="59" applyBorder="1" applyAlignment="1">
      <alignment horizontal="center"/>
    </xf>
    <xf numFmtId="0" fontId="65" fillId="0" borderId="203" xfId="59" applyFont="1" applyBorder="1" applyAlignment="1">
      <alignment horizontal="center"/>
    </xf>
    <xf numFmtId="0" fontId="65" fillId="0" borderId="198" xfId="59" applyFont="1" applyBorder="1" applyAlignment="1">
      <alignment horizontal="center"/>
    </xf>
    <xf numFmtId="0" fontId="65" fillId="0" borderId="204" xfId="59" applyFont="1" applyBorder="1" applyAlignment="1">
      <alignment horizontal="center"/>
    </xf>
    <xf numFmtId="9" fontId="65" fillId="41" borderId="205" xfId="0" applyNumberFormat="1" applyFont="1" applyFill="1" applyBorder="1" applyAlignment="1">
      <alignment horizontal="center"/>
    </xf>
    <xf numFmtId="9" fontId="65" fillId="41" borderId="199" xfId="0" applyNumberFormat="1" applyFont="1" applyFill="1" applyBorder="1" applyAlignment="1">
      <alignment horizontal="center"/>
    </xf>
    <xf numFmtId="9" fontId="65" fillId="41" borderId="0" xfId="0" applyNumberFormat="1" applyFont="1" applyFill="1" applyAlignment="1">
      <alignment horizontal="center"/>
    </xf>
    <xf numFmtId="9" fontId="65" fillId="41" borderId="17" xfId="0" applyNumberFormat="1" applyFont="1" applyFill="1" applyBorder="1" applyAlignment="1">
      <alignment horizontal="center"/>
    </xf>
    <xf numFmtId="0" fontId="0" fillId="42" borderId="0" xfId="0" applyFill="1" applyAlignment="1">
      <alignment horizontal="center" wrapText="1"/>
    </xf>
    <xf numFmtId="0" fontId="41" fillId="41" borderId="0" xfId="7" applyFill="1"/>
    <xf numFmtId="0" fontId="4" fillId="0" borderId="45" xfId="146" applyFont="1" applyBorder="1" applyAlignment="1">
      <alignment horizontal="left" vertical="center"/>
    </xf>
    <xf numFmtId="0" fontId="14" fillId="41" borderId="0" xfId="146" applyFont="1" applyFill="1" applyAlignment="1">
      <alignment horizontal="center"/>
    </xf>
    <xf numFmtId="0" fontId="118" fillId="41" borderId="0" xfId="147" applyFill="1"/>
    <xf numFmtId="0" fontId="41" fillId="41" borderId="0" xfId="70" applyFill="1"/>
    <xf numFmtId="0" fontId="4" fillId="41" borderId="72" xfId="146" applyFont="1" applyFill="1" applyBorder="1" applyAlignment="1">
      <alignment horizontal="left" vertical="center"/>
    </xf>
    <xf numFmtId="0" fontId="41" fillId="41" borderId="0" xfId="70" applyFill="1" applyBorder="1" applyAlignment="1">
      <alignment horizontal="center"/>
    </xf>
    <xf numFmtId="0" fontId="41" fillId="41" borderId="0" xfId="7" applyFill="1" applyBorder="1" applyAlignment="1">
      <alignment horizontal="center"/>
    </xf>
    <xf numFmtId="17" fontId="89" fillId="41" borderId="0" xfId="72" applyNumberFormat="1" applyFill="1" applyBorder="1" applyAlignment="1">
      <alignment horizontal="center"/>
    </xf>
    <xf numFmtId="17" fontId="43" fillId="41" borderId="0" xfId="9" applyNumberFormat="1" applyFill="1" applyBorder="1" applyAlignment="1">
      <alignment horizontal="center"/>
    </xf>
    <xf numFmtId="0" fontId="43" fillId="41" borderId="0" xfId="9" applyFill="1" applyBorder="1" applyAlignment="1">
      <alignment horizontal="center"/>
    </xf>
    <xf numFmtId="17" fontId="41" fillId="41" borderId="0" xfId="7" applyNumberFormat="1" applyFill="1" applyBorder="1" applyAlignment="1">
      <alignment horizontal="center"/>
    </xf>
    <xf numFmtId="17" fontId="41" fillId="41" borderId="0" xfId="70" applyNumberFormat="1" applyFill="1" applyBorder="1" applyAlignment="1">
      <alignment horizontal="center"/>
    </xf>
    <xf numFmtId="17" fontId="42" fillId="41" borderId="0" xfId="8" applyNumberFormat="1" applyFill="1" applyBorder="1" applyAlignment="1">
      <alignment horizontal="center"/>
    </xf>
    <xf numFmtId="0" fontId="13" fillId="41" borderId="0" xfId="146" applyFont="1" applyFill="1" applyAlignment="1">
      <alignment horizontal="center"/>
    </xf>
    <xf numFmtId="17" fontId="42" fillId="41" borderId="0" xfId="71" applyNumberFormat="1" applyFill="1" applyBorder="1" applyAlignment="1">
      <alignment horizontal="center"/>
    </xf>
    <xf numFmtId="0" fontId="89" fillId="41" borderId="0" xfId="72" applyFill="1" applyBorder="1" applyAlignment="1">
      <alignment horizontal="center"/>
    </xf>
    <xf numFmtId="0" fontId="123" fillId="41" borderId="0" xfId="146" applyFont="1" applyFill="1" applyAlignment="1">
      <alignment horizontal="center"/>
    </xf>
    <xf numFmtId="0" fontId="42" fillId="41" borderId="0" xfId="71" applyFill="1" applyBorder="1" applyAlignment="1">
      <alignment horizontal="center"/>
    </xf>
    <xf numFmtId="0" fontId="41" fillId="41" borderId="0" xfId="7" applyFill="1" applyBorder="1" applyAlignment="1">
      <alignment horizontal="left"/>
    </xf>
    <xf numFmtId="1" fontId="4" fillId="0" borderId="0" xfId="172" applyNumberFormat="1"/>
    <xf numFmtId="0" fontId="91" fillId="41" borderId="138" xfId="128" applyFill="1" applyBorder="1"/>
    <xf numFmtId="0" fontId="91" fillId="41" borderId="112" xfId="128" applyFill="1" applyBorder="1"/>
    <xf numFmtId="17" fontId="41" fillId="4" borderId="85" xfId="70" applyNumberFormat="1" applyBorder="1" applyAlignment="1">
      <alignment horizontal="center"/>
    </xf>
    <xf numFmtId="0" fontId="134" fillId="53" borderId="135" xfId="59" applyFont="1" applyFill="1" applyBorder="1" applyAlignment="1">
      <alignment horizontal="center" wrapText="1"/>
    </xf>
    <xf numFmtId="164" fontId="0" fillId="0" borderId="0" xfId="1" applyNumberFormat="1" applyFont="1" applyAlignment="1">
      <alignment horizontal="right"/>
    </xf>
    <xf numFmtId="0" fontId="135" fillId="0" borderId="0" xfId="0" applyFont="1"/>
    <xf numFmtId="4" fontId="0" fillId="0" borderId="0" xfId="44" applyNumberFormat="1" applyFont="1" applyFill="1" applyAlignment="1"/>
    <xf numFmtId="1" fontId="0" fillId="0" borderId="209" xfId="0" applyNumberFormat="1" applyBorder="1" applyAlignment="1">
      <alignment horizontal="center"/>
    </xf>
    <xf numFmtId="9" fontId="57" fillId="0" borderId="0" xfId="1" applyFont="1"/>
    <xf numFmtId="4" fontId="127" fillId="0" borderId="0" xfId="0" applyNumberFormat="1" applyFont="1"/>
    <xf numFmtId="9" fontId="0" fillId="0" borderId="0" xfId="1" applyFont="1" applyAlignment="1"/>
    <xf numFmtId="165" fontId="0" fillId="0" borderId="0" xfId="1" applyNumberFormat="1" applyFont="1" applyAlignment="1">
      <alignment horizontal="center"/>
    </xf>
    <xf numFmtId="165" fontId="56" fillId="0" borderId="0" xfId="1" applyNumberFormat="1" applyFont="1"/>
    <xf numFmtId="10" fontId="56" fillId="0" borderId="0" xfId="1" applyNumberFormat="1" applyFont="1"/>
    <xf numFmtId="0" fontId="41" fillId="41" borderId="84" xfId="70" applyFill="1" applyBorder="1" applyAlignment="1">
      <alignment horizontal="center"/>
    </xf>
    <xf numFmtId="0" fontId="0" fillId="57" borderId="0" xfId="0" applyFill="1"/>
    <xf numFmtId="0" fontId="0" fillId="56" borderId="0" xfId="0" applyFill="1"/>
    <xf numFmtId="0" fontId="0" fillId="54" borderId="0" xfId="0" applyFill="1"/>
    <xf numFmtId="0" fontId="0" fillId="58" borderId="0" xfId="0" applyFill="1"/>
    <xf numFmtId="0" fontId="0" fillId="44" borderId="210" xfId="0" applyFill="1" applyBorder="1"/>
    <xf numFmtId="0" fontId="0" fillId="54" borderId="210" xfId="0" applyFill="1" applyBorder="1"/>
    <xf numFmtId="0" fontId="0" fillId="58" borderId="210" xfId="0" applyFill="1" applyBorder="1"/>
    <xf numFmtId="0" fontId="0" fillId="0" borderId="210" xfId="0" applyBorder="1" applyAlignment="1">
      <alignment horizontal="center"/>
    </xf>
    <xf numFmtId="0" fontId="0" fillId="56" borderId="210" xfId="0" applyFill="1" applyBorder="1"/>
    <xf numFmtId="0" fontId="0" fillId="57" borderId="210" xfId="0" applyFill="1" applyBorder="1"/>
    <xf numFmtId="0" fontId="0" fillId="44" borderId="211" xfId="0" applyFill="1" applyBorder="1"/>
    <xf numFmtId="0" fontId="0" fillId="58" borderId="211" xfId="0" applyFill="1" applyBorder="1"/>
    <xf numFmtId="0" fontId="0" fillId="54" borderId="211" xfId="0" applyFill="1" applyBorder="1"/>
    <xf numFmtId="0" fontId="0" fillId="56" borderId="211" xfId="0" applyFill="1" applyBorder="1"/>
    <xf numFmtId="0" fontId="56" fillId="0" borderId="78" xfId="0" applyFont="1" applyBorder="1" applyAlignment="1">
      <alignment horizontal="center"/>
    </xf>
    <xf numFmtId="0" fontId="56" fillId="0" borderId="197" xfId="0" applyFont="1" applyBorder="1" applyAlignment="1">
      <alignment horizontal="center"/>
    </xf>
    <xf numFmtId="0" fontId="0" fillId="56" borderId="212" xfId="0" applyFill="1" applyBorder="1"/>
    <xf numFmtId="0" fontId="0" fillId="56" borderId="213" xfId="0" applyFill="1" applyBorder="1"/>
    <xf numFmtId="0" fontId="0" fillId="54" borderId="213" xfId="0" applyFill="1" applyBorder="1"/>
    <xf numFmtId="0" fontId="0" fillId="44" borderId="213" xfId="0" applyFill="1" applyBorder="1"/>
    <xf numFmtId="0" fontId="0" fillId="44" borderId="214" xfId="0" applyFill="1" applyBorder="1"/>
    <xf numFmtId="0" fontId="0" fillId="58" borderId="214" xfId="0" applyFill="1" applyBorder="1"/>
    <xf numFmtId="0" fontId="0" fillId="54" borderId="214" xfId="0" applyFill="1" applyBorder="1"/>
    <xf numFmtId="0" fontId="0" fillId="0" borderId="214" xfId="0" applyBorder="1" applyAlignment="1">
      <alignment horizontal="center"/>
    </xf>
    <xf numFmtId="0" fontId="0" fillId="57" borderId="214" xfId="0" applyFill="1" applyBorder="1"/>
    <xf numFmtId="0" fontId="0" fillId="56" borderId="214" xfId="0" applyFill="1" applyBorder="1"/>
    <xf numFmtId="0" fontId="0" fillId="44" borderId="215" xfId="0" applyFill="1" applyBorder="1"/>
    <xf numFmtId="0" fontId="0" fillId="44" borderId="216" xfId="0" applyFill="1" applyBorder="1"/>
    <xf numFmtId="0" fontId="0" fillId="44" borderId="217" xfId="0" applyFill="1" applyBorder="1"/>
    <xf numFmtId="0" fontId="0" fillId="0" borderId="217" xfId="0" applyBorder="1" applyAlignment="1">
      <alignment horizontal="center"/>
    </xf>
    <xf numFmtId="0" fontId="0" fillId="44" borderId="218" xfId="0" applyFill="1" applyBorder="1"/>
    <xf numFmtId="0" fontId="56" fillId="0" borderId="209" xfId="0" applyFont="1" applyBorder="1"/>
    <xf numFmtId="0" fontId="136" fillId="0" borderId="77" xfId="16" applyFont="1" applyBorder="1"/>
    <xf numFmtId="0" fontId="0" fillId="0" borderId="77" xfId="0" applyBorder="1"/>
    <xf numFmtId="0" fontId="0" fillId="0" borderId="76" xfId="0" applyBorder="1"/>
    <xf numFmtId="0" fontId="0" fillId="41" borderId="211" xfId="0" applyFill="1" applyBorder="1" applyAlignment="1">
      <alignment horizontal="center"/>
    </xf>
    <xf numFmtId="4" fontId="127" fillId="0" borderId="0" xfId="0" applyNumberFormat="1" applyFont="1" applyAlignment="1">
      <alignment wrapText="1"/>
    </xf>
    <xf numFmtId="9" fontId="65" fillId="41" borderId="203" xfId="0" applyNumberFormat="1" applyFont="1" applyFill="1" applyBorder="1" applyAlignment="1">
      <alignment horizontal="center"/>
    </xf>
    <xf numFmtId="9" fontId="65" fillId="41" borderId="198" xfId="0" applyNumberFormat="1" applyFont="1" applyFill="1" applyBorder="1" applyAlignment="1">
      <alignment horizontal="center"/>
    </xf>
    <xf numFmtId="0" fontId="112" fillId="54" borderId="0" xfId="0" applyFont="1" applyFill="1" applyAlignment="1">
      <alignment horizontal="center"/>
    </xf>
    <xf numFmtId="0" fontId="112" fillId="56" borderId="0" xfId="0" applyFont="1" applyFill="1" applyAlignment="1">
      <alignment horizontal="center"/>
    </xf>
    <xf numFmtId="0" fontId="112" fillId="42" borderId="0" xfId="0" applyFont="1" applyFill="1" applyAlignment="1">
      <alignment horizontal="center"/>
    </xf>
    <xf numFmtId="17" fontId="56" fillId="0" borderId="0" xfId="0" applyNumberFormat="1" applyFont="1"/>
    <xf numFmtId="0" fontId="0" fillId="59" borderId="0" xfId="0" applyFill="1" applyAlignment="1">
      <alignment horizontal="center" wrapText="1"/>
    </xf>
    <xf numFmtId="0" fontId="0" fillId="60" borderId="0" xfId="0" applyFill="1" applyAlignment="1">
      <alignment horizontal="center" wrapText="1"/>
    </xf>
    <xf numFmtId="0" fontId="0" fillId="61" borderId="0" xfId="0" applyFill="1" applyAlignment="1">
      <alignment horizontal="center" wrapText="1"/>
    </xf>
    <xf numFmtId="0" fontId="0" fillId="62" borderId="0" xfId="0" applyFill="1" applyAlignment="1">
      <alignment horizontal="center" wrapText="1"/>
    </xf>
    <xf numFmtId="0" fontId="0" fillId="63" borderId="0" xfId="0" applyFill="1" applyAlignment="1">
      <alignment horizontal="center" wrapText="1"/>
    </xf>
    <xf numFmtId="0" fontId="0" fillId="64" borderId="0" xfId="0" applyFill="1" applyAlignment="1">
      <alignment horizontal="center" wrapText="1"/>
    </xf>
    <xf numFmtId="0" fontId="0" fillId="65" borderId="0" xfId="0" applyFill="1" applyAlignment="1">
      <alignment horizontal="center" wrapText="1"/>
    </xf>
    <xf numFmtId="0" fontId="0" fillId="66" borderId="0" xfId="0" applyFill="1" applyAlignment="1">
      <alignment horizontal="center" wrapText="1"/>
    </xf>
    <xf numFmtId="0" fontId="0" fillId="67" borderId="0" xfId="0" applyFill="1" applyAlignment="1">
      <alignment horizontal="center" wrapText="1"/>
    </xf>
    <xf numFmtId="0" fontId="0" fillId="68" borderId="0" xfId="0" applyFill="1" applyAlignment="1">
      <alignment horizontal="center" wrapText="1"/>
    </xf>
    <xf numFmtId="0" fontId="0" fillId="69" borderId="0" xfId="0" applyFill="1" applyAlignment="1">
      <alignment horizontal="center" wrapText="1"/>
    </xf>
    <xf numFmtId="0" fontId="0" fillId="70" borderId="0" xfId="0" applyFill="1" applyAlignment="1">
      <alignment horizontal="center" wrapText="1"/>
    </xf>
    <xf numFmtId="0" fontId="0" fillId="71" borderId="0" xfId="0" applyFill="1" applyAlignment="1">
      <alignment horizontal="center" wrapText="1"/>
    </xf>
    <xf numFmtId="0" fontId="0" fillId="72" borderId="0" xfId="0" applyFill="1" applyAlignment="1">
      <alignment horizontal="center" wrapText="1"/>
    </xf>
    <xf numFmtId="0" fontId="0" fillId="73" borderId="0" xfId="0" applyFill="1" applyAlignment="1">
      <alignment horizontal="center" wrapText="1"/>
    </xf>
    <xf numFmtId="0" fontId="0" fillId="74" borderId="0" xfId="0" applyFill="1" applyAlignment="1">
      <alignment horizontal="center" wrapText="1"/>
    </xf>
    <xf numFmtId="0" fontId="0" fillId="75" borderId="0" xfId="0" applyFill="1" applyAlignment="1">
      <alignment horizontal="center" wrapText="1"/>
    </xf>
    <xf numFmtId="0" fontId="0" fillId="76" borderId="0" xfId="0" applyFill="1" applyAlignment="1">
      <alignment horizontal="center" wrapText="1"/>
    </xf>
    <xf numFmtId="165" fontId="112" fillId="0" borderId="0" xfId="1" applyNumberFormat="1" applyFont="1"/>
    <xf numFmtId="0" fontId="112" fillId="0" borderId="10" xfId="0" applyFont="1" applyBorder="1"/>
    <xf numFmtId="169" fontId="112" fillId="0" borderId="10" xfId="0" applyNumberFormat="1" applyFont="1" applyBorder="1"/>
    <xf numFmtId="1" fontId="112" fillId="0" borderId="0" xfId="0" applyNumberFormat="1" applyFont="1"/>
    <xf numFmtId="171" fontId="112" fillId="0" borderId="0" xfId="0" applyNumberFormat="1" applyFont="1"/>
    <xf numFmtId="0" fontId="94" fillId="0" borderId="0" xfId="59" applyFont="1" applyAlignment="1">
      <alignment wrapText="1"/>
    </xf>
    <xf numFmtId="0" fontId="0" fillId="56" borderId="217" xfId="0" applyFill="1" applyBorder="1" applyAlignment="1">
      <alignment horizontal="center"/>
    </xf>
    <xf numFmtId="0" fontId="0" fillId="56" borderId="210" xfId="0" applyFill="1" applyBorder="1" applyAlignment="1">
      <alignment horizontal="center"/>
    </xf>
    <xf numFmtId="0" fontId="0" fillId="46" borderId="210" xfId="0" applyFill="1" applyBorder="1"/>
    <xf numFmtId="0" fontId="0" fillId="77" borderId="210" xfId="0" applyFill="1" applyBorder="1"/>
    <xf numFmtId="0" fontId="0" fillId="77" borderId="213" xfId="0" applyFill="1" applyBorder="1"/>
    <xf numFmtId="0" fontId="0" fillId="0" borderId="210" xfId="0" applyBorder="1"/>
    <xf numFmtId="0" fontId="84" fillId="57" borderId="210" xfId="0" applyFont="1" applyFill="1" applyBorder="1"/>
    <xf numFmtId="0" fontId="84" fillId="46" borderId="210" xfId="0" applyFont="1" applyFill="1" applyBorder="1"/>
    <xf numFmtId="0" fontId="0" fillId="0" borderId="217" xfId="0" applyBorder="1"/>
    <xf numFmtId="0" fontId="0" fillId="0" borderId="117" xfId="0" applyBorder="1"/>
    <xf numFmtId="0" fontId="0" fillId="0" borderId="213" xfId="0" applyBorder="1"/>
    <xf numFmtId="0" fontId="0" fillId="46" borderId="213" xfId="0" applyFill="1" applyBorder="1"/>
    <xf numFmtId="0" fontId="0" fillId="58" borderId="210" xfId="0" applyFill="1" applyBorder="1" applyAlignment="1">
      <alignment horizontal="center"/>
    </xf>
    <xf numFmtId="0" fontId="137" fillId="0" borderId="117" xfId="79" applyFont="1" applyBorder="1"/>
    <xf numFmtId="0" fontId="138" fillId="57" borderId="210" xfId="79" applyFont="1" applyFill="1" applyBorder="1"/>
    <xf numFmtId="0" fontId="138" fillId="56" borderId="210" xfId="79" applyFont="1" applyFill="1" applyBorder="1"/>
    <xf numFmtId="0" fontId="33" fillId="57" borderId="210" xfId="0" applyFont="1" applyFill="1" applyBorder="1"/>
    <xf numFmtId="0" fontId="138" fillId="0" borderId="210" xfId="79" applyFont="1" applyBorder="1"/>
    <xf numFmtId="0" fontId="138" fillId="46" borderId="210" xfId="79" applyFont="1" applyFill="1" applyBorder="1"/>
    <xf numFmtId="0" fontId="33" fillId="46" borderId="210" xfId="0" applyFont="1" applyFill="1" applyBorder="1"/>
    <xf numFmtId="0" fontId="137" fillId="0" borderId="210" xfId="79" applyFont="1" applyBorder="1"/>
    <xf numFmtId="0" fontId="137" fillId="56" borderId="210" xfId="79" applyFont="1" applyFill="1" applyBorder="1"/>
    <xf numFmtId="0" fontId="33" fillId="0" borderId="210" xfId="0" applyFont="1" applyBorder="1"/>
    <xf numFmtId="0" fontId="0" fillId="46" borderId="219" xfId="0" applyFill="1" applyBorder="1"/>
    <xf numFmtId="0" fontId="0" fillId="46" borderId="220" xfId="0" applyFill="1" applyBorder="1"/>
    <xf numFmtId="0" fontId="0" fillId="0" borderId="220" xfId="0" applyBorder="1"/>
    <xf numFmtId="0" fontId="0" fillId="57" borderId="220" xfId="0" applyFill="1" applyBorder="1"/>
    <xf numFmtId="0" fontId="0" fillId="56" borderId="220" xfId="0" applyFill="1" applyBorder="1"/>
    <xf numFmtId="0" fontId="0" fillId="36" borderId="220" xfId="0" applyFill="1" applyBorder="1"/>
    <xf numFmtId="0" fontId="0" fillId="46" borderId="221" xfId="0" applyFill="1" applyBorder="1"/>
    <xf numFmtId="0" fontId="0" fillId="0" borderId="222" xfId="0" applyBorder="1"/>
    <xf numFmtId="0" fontId="0" fillId="0" borderId="223" xfId="0" applyBorder="1"/>
    <xf numFmtId="0" fontId="0" fillId="57" borderId="224" xfId="0" applyFill="1" applyBorder="1"/>
    <xf numFmtId="0" fontId="0" fillId="56" borderId="224" xfId="0" applyFill="1" applyBorder="1" applyAlignment="1">
      <alignment horizontal="center"/>
    </xf>
    <xf numFmtId="0" fontId="0" fillId="0" borderId="224" xfId="0" applyBorder="1" applyAlignment="1">
      <alignment horizontal="center"/>
    </xf>
    <xf numFmtId="0" fontId="0" fillId="58" borderId="225" xfId="0" applyFill="1" applyBorder="1"/>
    <xf numFmtId="0" fontId="0" fillId="0" borderId="211" xfId="0" applyBorder="1"/>
    <xf numFmtId="0" fontId="0" fillId="57" borderId="211" xfId="0" applyFill="1" applyBorder="1"/>
    <xf numFmtId="0" fontId="0" fillId="58" borderId="222" xfId="0" applyFill="1" applyBorder="1"/>
    <xf numFmtId="0" fontId="0" fillId="58" borderId="223" xfId="0" applyFill="1" applyBorder="1"/>
    <xf numFmtId="0" fontId="0" fillId="58" borderId="224" xfId="0" applyFill="1" applyBorder="1"/>
    <xf numFmtId="0" fontId="0" fillId="0" borderId="224" xfId="0" applyBorder="1"/>
    <xf numFmtId="0" fontId="0" fillId="57" borderId="226" xfId="0" applyFill="1" applyBorder="1"/>
    <xf numFmtId="0" fontId="41" fillId="41" borderId="83" xfId="7" applyFill="1" applyBorder="1" applyAlignment="1">
      <alignment horizontal="center"/>
    </xf>
    <xf numFmtId="0" fontId="41" fillId="41" borderId="89" xfId="70" applyFill="1" applyBorder="1" applyAlignment="1">
      <alignment horizontal="center"/>
    </xf>
    <xf numFmtId="0" fontId="41" fillId="41" borderId="82" xfId="70" applyFill="1" applyBorder="1" applyAlignment="1">
      <alignment horizontal="center"/>
    </xf>
    <xf numFmtId="0" fontId="41" fillId="41" borderId="79" xfId="70" applyFill="1" applyBorder="1" applyAlignment="1">
      <alignment horizontal="center"/>
    </xf>
    <xf numFmtId="0" fontId="41" fillId="41" borderId="80" xfId="70" applyFill="1" applyBorder="1" applyAlignment="1">
      <alignment horizontal="center"/>
    </xf>
    <xf numFmtId="0" fontId="41" fillId="41" borderId="81" xfId="70" applyFill="1" applyBorder="1" applyAlignment="1">
      <alignment horizontal="center"/>
    </xf>
    <xf numFmtId="0" fontId="41" fillId="41" borderId="168" xfId="7" applyFill="1" applyBorder="1" applyAlignment="1">
      <alignment horizontal="center"/>
    </xf>
    <xf numFmtId="17" fontId="41" fillId="41" borderId="181" xfId="70" applyNumberFormat="1" applyFill="1" applyBorder="1" applyAlignment="1">
      <alignment horizontal="center"/>
    </xf>
    <xf numFmtId="17" fontId="89" fillId="41" borderId="121" xfId="72" applyNumberFormat="1" applyFill="1" applyBorder="1" applyAlignment="1">
      <alignment horizontal="center"/>
    </xf>
    <xf numFmtId="0" fontId="41" fillId="41" borderId="77" xfId="70" applyFill="1" applyBorder="1" applyAlignment="1">
      <alignment horizontal="center"/>
    </xf>
    <xf numFmtId="17" fontId="41" fillId="41" borderId="74" xfId="70" applyNumberFormat="1" applyFill="1" applyBorder="1" applyAlignment="1">
      <alignment horizontal="center"/>
    </xf>
    <xf numFmtId="0" fontId="43" fillId="41" borderId="77" xfId="9" applyFill="1" applyBorder="1" applyAlignment="1">
      <alignment horizontal="center"/>
    </xf>
    <xf numFmtId="17" fontId="89" fillId="41" borderId="77" xfId="72" applyNumberFormat="1" applyFill="1" applyBorder="1" applyAlignment="1">
      <alignment horizontal="center"/>
    </xf>
    <xf numFmtId="17" fontId="41" fillId="41" borderId="77" xfId="70" applyNumberFormat="1" applyFill="1" applyBorder="1" applyAlignment="1">
      <alignment horizontal="center"/>
    </xf>
    <xf numFmtId="17" fontId="41" fillId="41" borderId="74" xfId="7" applyNumberFormat="1" applyFill="1" applyBorder="1" applyAlignment="1">
      <alignment horizontal="center"/>
    </xf>
    <xf numFmtId="17" fontId="43" fillId="41" borderId="80" xfId="9" applyNumberFormat="1" applyFill="1" applyBorder="1" applyAlignment="1">
      <alignment horizontal="center"/>
    </xf>
    <xf numFmtId="0" fontId="41" fillId="41" borderId="77" xfId="7" applyFill="1" applyBorder="1" applyAlignment="1">
      <alignment horizontal="center"/>
    </xf>
    <xf numFmtId="17" fontId="89" fillId="41" borderId="80" xfId="72" applyNumberFormat="1" applyFill="1" applyBorder="1" applyAlignment="1">
      <alignment horizontal="center"/>
    </xf>
    <xf numFmtId="17" fontId="89" fillId="41" borderId="191" xfId="72" applyNumberFormat="1" applyFill="1" applyBorder="1" applyAlignment="1">
      <alignment horizontal="center"/>
    </xf>
    <xf numFmtId="17" fontId="89" fillId="41" borderId="185" xfId="72" applyNumberFormat="1" applyFill="1" applyBorder="1" applyAlignment="1">
      <alignment horizontal="center"/>
    </xf>
    <xf numFmtId="17" fontId="89" fillId="41" borderId="76" xfId="72" applyNumberFormat="1" applyFill="1" applyBorder="1" applyAlignment="1">
      <alignment horizontal="center"/>
    </xf>
    <xf numFmtId="0" fontId="41" fillId="41" borderId="83" xfId="70" applyFill="1" applyBorder="1" applyAlignment="1">
      <alignment horizontal="center"/>
    </xf>
    <xf numFmtId="0" fontId="41" fillId="41" borderId="85" xfId="7" applyFill="1" applyBorder="1" applyAlignment="1">
      <alignment horizontal="center"/>
    </xf>
    <xf numFmtId="0" fontId="1" fillId="41" borderId="30" xfId="146" applyFont="1" applyFill="1" applyBorder="1" applyAlignment="1">
      <alignment horizontal="center"/>
    </xf>
    <xf numFmtId="9" fontId="65" fillId="41" borderId="227" xfId="0" applyNumberFormat="1" applyFont="1" applyFill="1" applyBorder="1" applyAlignment="1">
      <alignment horizontal="center"/>
    </xf>
    <xf numFmtId="9" fontId="65" fillId="41" borderId="228" xfId="0" applyNumberFormat="1" applyFont="1" applyFill="1" applyBorder="1" applyAlignment="1">
      <alignment horizontal="center"/>
    </xf>
    <xf numFmtId="9" fontId="65" fillId="41" borderId="229" xfId="0" applyNumberFormat="1" applyFont="1" applyFill="1" applyBorder="1" applyAlignment="1">
      <alignment horizontal="center"/>
    </xf>
    <xf numFmtId="9" fontId="65" fillId="41" borderId="230" xfId="0" applyNumberFormat="1" applyFont="1" applyFill="1" applyBorder="1" applyAlignment="1">
      <alignment horizontal="center"/>
    </xf>
    <xf numFmtId="9" fontId="65" fillId="41" borderId="231" xfId="0" applyNumberFormat="1" applyFont="1" applyFill="1" applyBorder="1" applyAlignment="1">
      <alignment horizontal="center"/>
    </xf>
    <xf numFmtId="0" fontId="139" fillId="53" borderId="135" xfId="59" applyFont="1" applyFill="1" applyBorder="1" applyAlignment="1">
      <alignment horizontal="center" wrapText="1"/>
    </xf>
    <xf numFmtId="165" fontId="64" fillId="0" borderId="0" xfId="1" applyNumberFormat="1" applyFont="1" applyBorder="1" applyAlignment="1">
      <alignment horizontal="center" vertical="center"/>
    </xf>
    <xf numFmtId="165" fontId="64" fillId="0" borderId="0" xfId="0" applyNumberFormat="1" applyFont="1" applyAlignment="1">
      <alignment horizontal="center" vertical="center"/>
    </xf>
    <xf numFmtId="0" fontId="64" fillId="0" borderId="0" xfId="0" applyFont="1" applyAlignment="1">
      <alignment horizontal="center" vertical="center"/>
    </xf>
    <xf numFmtId="0" fontId="64" fillId="0" borderId="0" xfId="0" applyFont="1" applyAlignment="1">
      <alignment horizontal="center"/>
    </xf>
    <xf numFmtId="165" fontId="64" fillId="0" borderId="0" xfId="1" applyNumberFormat="1" applyFont="1" applyFill="1" applyBorder="1" applyAlignment="1">
      <alignment horizontal="center" vertical="center"/>
    </xf>
    <xf numFmtId="0" fontId="0" fillId="0" borderId="65" xfId="0" applyBorder="1" applyAlignment="1">
      <alignment horizontal="center"/>
    </xf>
    <xf numFmtId="0" fontId="0" fillId="0" borderId="0" xfId="0" applyAlignment="1">
      <alignment horizontal="center"/>
    </xf>
    <xf numFmtId="0" fontId="0" fillId="0" borderId="117" xfId="0" applyBorder="1" applyAlignment="1">
      <alignment horizontal="center"/>
    </xf>
    <xf numFmtId="0" fontId="61" fillId="0" borderId="65" xfId="0" applyFont="1" applyBorder="1" applyAlignment="1">
      <alignment horizontal="center"/>
    </xf>
    <xf numFmtId="0" fontId="61" fillId="0" borderId="117" xfId="0" applyFont="1" applyBorder="1" applyAlignment="1">
      <alignment horizontal="center"/>
    </xf>
    <xf numFmtId="0" fontId="61" fillId="0" borderId="0" xfId="0" applyFont="1" applyAlignment="1">
      <alignment horizontal="center"/>
    </xf>
    <xf numFmtId="0" fontId="60" fillId="41" borderId="151" xfId="0" applyFont="1" applyFill="1" applyBorder="1" applyAlignment="1">
      <alignment horizontal="left" vertical="center"/>
    </xf>
    <xf numFmtId="0" fontId="60" fillId="41" borderId="152" xfId="0" applyFont="1" applyFill="1" applyBorder="1" applyAlignment="1">
      <alignment horizontal="left" vertical="center"/>
    </xf>
    <xf numFmtId="0" fontId="60" fillId="41" borderId="153" xfId="0" applyFont="1" applyFill="1" applyBorder="1" applyAlignment="1">
      <alignment horizontal="left" vertical="center"/>
    </xf>
    <xf numFmtId="0" fontId="60" fillId="41" borderId="154" xfId="0" applyFont="1" applyFill="1" applyBorder="1" applyAlignment="1">
      <alignment horizontal="left" vertical="center"/>
    </xf>
    <xf numFmtId="0" fontId="60" fillId="41" borderId="148" xfId="0" applyFont="1" applyFill="1" applyBorder="1" applyAlignment="1">
      <alignment horizontal="left" vertical="center"/>
    </xf>
    <xf numFmtId="0" fontId="60" fillId="41" borderId="149" xfId="0" applyFont="1" applyFill="1" applyBorder="1" applyAlignment="1">
      <alignment horizontal="left" vertical="center"/>
    </xf>
    <xf numFmtId="0" fontId="126" fillId="41" borderId="148" xfId="9" applyFont="1" applyFill="1" applyBorder="1" applyAlignment="1">
      <alignment horizontal="left" vertical="center"/>
    </xf>
    <xf numFmtId="0" fontId="126" fillId="41" borderId="149" xfId="9" applyFont="1" applyFill="1" applyBorder="1" applyAlignment="1">
      <alignment horizontal="left" vertical="center"/>
    </xf>
    <xf numFmtId="0" fontId="126" fillId="0" borderId="65" xfId="0" applyFont="1" applyBorder="1" applyAlignment="1">
      <alignment horizontal="left" vertical="center"/>
    </xf>
    <xf numFmtId="0" fontId="18" fillId="41" borderId="31" xfId="146" applyFill="1" applyBorder="1" applyAlignment="1">
      <alignment horizontal="left" vertical="center"/>
    </xf>
    <xf numFmtId="0" fontId="18" fillId="41" borderId="45" xfId="146" applyFill="1" applyBorder="1" applyAlignment="1">
      <alignment horizontal="left" vertical="center"/>
    </xf>
    <xf numFmtId="0" fontId="18" fillId="41" borderId="70" xfId="146" applyFill="1" applyBorder="1" applyAlignment="1">
      <alignment horizontal="left" vertical="center"/>
    </xf>
    <xf numFmtId="0" fontId="18" fillId="41" borderId="72" xfId="146" applyFill="1" applyBorder="1" applyAlignment="1">
      <alignment horizontal="left" vertical="center"/>
    </xf>
    <xf numFmtId="0" fontId="2" fillId="41" borderId="31" xfId="146" applyFont="1" applyFill="1" applyBorder="1" applyAlignment="1">
      <alignment horizontal="left" vertical="center"/>
    </xf>
    <xf numFmtId="0" fontId="18" fillId="41" borderId="50" xfId="146" applyFill="1" applyBorder="1" applyAlignment="1">
      <alignment horizontal="left" vertical="center"/>
    </xf>
    <xf numFmtId="0" fontId="18" fillId="41" borderId="91" xfId="146" applyFill="1" applyBorder="1" applyAlignment="1">
      <alignment horizontal="left" vertical="center"/>
    </xf>
    <xf numFmtId="0" fontId="18" fillId="41" borderId="178" xfId="146" applyFill="1" applyBorder="1" applyAlignment="1">
      <alignment horizontal="left" vertical="center"/>
    </xf>
    <xf numFmtId="0" fontId="18" fillId="41" borderId="188" xfId="146" applyFill="1" applyBorder="1" applyAlignment="1">
      <alignment horizontal="left" vertical="center"/>
    </xf>
    <xf numFmtId="0" fontId="18" fillId="41" borderId="182" xfId="146" applyFill="1" applyBorder="1" applyAlignment="1">
      <alignment horizontal="left" vertical="center"/>
    </xf>
    <xf numFmtId="0" fontId="18" fillId="41" borderId="71" xfId="146" applyFill="1" applyBorder="1" applyAlignment="1">
      <alignment horizontal="left" vertical="center"/>
    </xf>
    <xf numFmtId="0" fontId="16" fillId="41" borderId="0" xfId="146" applyFont="1" applyFill="1" applyAlignment="1">
      <alignment horizontal="left"/>
    </xf>
    <xf numFmtId="0" fontId="18" fillId="41" borderId="64" xfId="146" applyFill="1" applyBorder="1" applyAlignment="1">
      <alignment horizontal="left" vertical="center"/>
    </xf>
    <xf numFmtId="0" fontId="18" fillId="41" borderId="65" xfId="146" applyFill="1" applyBorder="1" applyAlignment="1">
      <alignment horizontal="left" vertical="center"/>
    </xf>
    <xf numFmtId="0" fontId="18" fillId="41" borderId="66" xfId="146" applyFill="1" applyBorder="1" applyAlignment="1">
      <alignment horizontal="left" vertical="center"/>
    </xf>
    <xf numFmtId="0" fontId="18" fillId="41" borderId="43" xfId="146" applyFill="1" applyBorder="1" applyAlignment="1">
      <alignment horizontal="left" vertical="center"/>
    </xf>
    <xf numFmtId="0" fontId="18" fillId="41" borderId="33" xfId="146" applyFill="1" applyBorder="1" applyAlignment="1">
      <alignment horizontal="left" vertical="center"/>
    </xf>
    <xf numFmtId="0" fontId="18" fillId="41" borderId="62" xfId="146" applyFill="1" applyBorder="1" applyAlignment="1">
      <alignment horizontal="left" vertical="center"/>
    </xf>
    <xf numFmtId="0" fontId="112" fillId="53" borderId="0" xfId="0" applyFont="1" applyFill="1" applyAlignment="1">
      <alignment horizontal="center"/>
    </xf>
    <xf numFmtId="0" fontId="112" fillId="40" borderId="0" xfId="0" applyFont="1" applyFill="1" applyAlignment="1">
      <alignment horizontal="center"/>
    </xf>
    <xf numFmtId="0" fontId="112" fillId="40" borderId="11" xfId="0" applyFont="1" applyFill="1" applyBorder="1" applyAlignment="1">
      <alignment horizontal="center"/>
    </xf>
    <xf numFmtId="0" fontId="112" fillId="53" borderId="11" xfId="0" applyFont="1" applyFill="1" applyBorder="1" applyAlignment="1">
      <alignment horizontal="center"/>
    </xf>
    <xf numFmtId="0" fontId="105" fillId="0" borderId="75" xfId="59" applyFont="1" applyBorder="1" applyAlignment="1">
      <alignment horizontal="center" vertical="center" wrapText="1"/>
    </xf>
    <xf numFmtId="0" fontId="105" fillId="0" borderId="77" xfId="59" applyFont="1" applyBorder="1" applyAlignment="1">
      <alignment horizontal="center" vertical="center" wrapText="1"/>
    </xf>
    <xf numFmtId="0" fontId="105" fillId="0" borderId="76" xfId="59" applyFont="1" applyBorder="1" applyAlignment="1">
      <alignment horizontal="center" vertical="center" wrapText="1"/>
    </xf>
    <xf numFmtId="9" fontId="125" fillId="41" borderId="196" xfId="160" applyFont="1" applyFill="1" applyBorder="1" applyAlignment="1">
      <alignment horizontal="center"/>
    </xf>
    <xf numFmtId="9" fontId="125" fillId="41" borderId="78" xfId="160" applyFont="1" applyFill="1" applyBorder="1" applyAlignment="1">
      <alignment horizontal="center"/>
    </xf>
    <xf numFmtId="9" fontId="125" fillId="41" borderId="197" xfId="160" applyFont="1" applyFill="1" applyBorder="1" applyAlignment="1">
      <alignment horizontal="center"/>
    </xf>
    <xf numFmtId="9" fontId="131" fillId="0" borderId="147" xfId="160" applyFont="1" applyFill="1" applyBorder="1" applyAlignment="1">
      <alignment horizontal="center"/>
    </xf>
    <xf numFmtId="9" fontId="131" fillId="0" borderId="139" xfId="160" applyFont="1" applyFill="1" applyBorder="1" applyAlignment="1">
      <alignment horizontal="center"/>
    </xf>
    <xf numFmtId="49" fontId="65" fillId="0" borderId="201" xfId="0" applyNumberFormat="1" applyFont="1" applyBorder="1" applyAlignment="1">
      <alignment horizontal="center"/>
    </xf>
    <xf numFmtId="49" fontId="65" fillId="0" borderId="139" xfId="0" applyNumberFormat="1" applyFont="1" applyBorder="1" applyAlignment="1">
      <alignment horizontal="center"/>
    </xf>
    <xf numFmtId="49" fontId="65" fillId="0" borderId="202" xfId="0" applyNumberFormat="1" applyFont="1" applyBorder="1" applyAlignment="1">
      <alignment horizontal="center"/>
    </xf>
    <xf numFmtId="0" fontId="33" fillId="0" borderId="169" xfId="59" applyBorder="1" applyAlignment="1">
      <alignment horizontal="center" wrapText="1"/>
    </xf>
    <xf numFmtId="0" fontId="33" fillId="0" borderId="170" xfId="59" applyBorder="1" applyAlignment="1">
      <alignment horizontal="center" wrapText="1"/>
    </xf>
    <xf numFmtId="0" fontId="56" fillId="0" borderId="75" xfId="59" applyFont="1" applyBorder="1" applyAlignment="1">
      <alignment horizontal="center" wrapText="1"/>
    </xf>
    <xf numFmtId="0" fontId="56" fillId="0" borderId="76" xfId="59" applyFont="1" applyBorder="1" applyAlignment="1">
      <alignment horizontal="center" wrapText="1"/>
    </xf>
    <xf numFmtId="0" fontId="94" fillId="0" borderId="0" xfId="59" applyFont="1" applyAlignment="1">
      <alignment horizontal="left" vertical="center" wrapText="1"/>
    </xf>
    <xf numFmtId="0" fontId="105" fillId="41" borderId="75" xfId="59" applyFont="1" applyFill="1" applyBorder="1" applyAlignment="1">
      <alignment horizontal="center" wrapText="1"/>
    </xf>
    <xf numFmtId="0" fontId="105" fillId="41" borderId="177" xfId="59" applyFont="1" applyFill="1" applyBorder="1" applyAlignment="1">
      <alignment horizontal="center" wrapText="1"/>
    </xf>
    <xf numFmtId="0" fontId="105" fillId="41" borderId="171" xfId="59" applyFont="1" applyFill="1" applyBorder="1" applyAlignment="1">
      <alignment horizontal="center" wrapText="1"/>
    </xf>
    <xf numFmtId="0" fontId="105" fillId="41" borderId="194" xfId="59" applyFont="1" applyFill="1" applyBorder="1" applyAlignment="1">
      <alignment horizontal="center" wrapText="1"/>
    </xf>
    <xf numFmtId="0" fontId="105" fillId="41" borderId="169" xfId="59" applyFont="1" applyFill="1" applyBorder="1" applyAlignment="1">
      <alignment horizontal="center" wrapText="1"/>
    </xf>
    <xf numFmtId="0" fontId="105" fillId="41" borderId="195" xfId="59" applyFont="1" applyFill="1" applyBorder="1" applyAlignment="1">
      <alignment horizontal="center" wrapText="1"/>
    </xf>
    <xf numFmtId="0" fontId="105" fillId="41" borderId="17" xfId="59" applyFont="1" applyFill="1" applyBorder="1" applyAlignment="1">
      <alignment horizontal="center" wrapText="1"/>
    </xf>
    <xf numFmtId="0" fontId="105" fillId="41" borderId="170" xfId="59" applyFont="1" applyFill="1" applyBorder="1" applyAlignment="1">
      <alignment horizontal="center" wrapText="1"/>
    </xf>
    <xf numFmtId="4" fontId="56" fillId="0" borderId="0" xfId="0" applyNumberFormat="1" applyFont="1" applyAlignment="1">
      <alignment horizontal="center"/>
    </xf>
    <xf numFmtId="0" fontId="82" fillId="0" borderId="0" xfId="0" applyFont="1" applyAlignment="1">
      <alignment horizontal="center"/>
    </xf>
  </cellXfs>
  <cellStyles count="193">
    <cellStyle name="20% - Énfasis1" xfId="19" builtinId="30" customBuiltin="1"/>
    <cellStyle name="20% - Énfasis1 2" xfId="82" xr:uid="{00000000-0005-0000-0000-000001000000}"/>
    <cellStyle name="20% - Énfasis1 2 2" xfId="115" xr:uid="{00000000-0005-0000-0000-000002000000}"/>
    <cellStyle name="20% - Énfasis1 3" xfId="174" xr:uid="{AF57B189-33F2-44AC-A55E-DAC2323B6540}"/>
    <cellStyle name="20% - Énfasis2" xfId="23" builtinId="34" customBuiltin="1"/>
    <cellStyle name="20% - Énfasis2 2" xfId="86" xr:uid="{00000000-0005-0000-0000-000004000000}"/>
    <cellStyle name="20% - Énfasis2 2 2" xfId="117" xr:uid="{00000000-0005-0000-0000-000005000000}"/>
    <cellStyle name="20% - Énfasis2 3" xfId="177" xr:uid="{3685BFF9-9E02-4E79-8460-2FBA6873FDA9}"/>
    <cellStyle name="20% - Énfasis3" xfId="27" builtinId="38" customBuiltin="1"/>
    <cellStyle name="20% - Énfasis3 2" xfId="90" xr:uid="{00000000-0005-0000-0000-000007000000}"/>
    <cellStyle name="20% - Énfasis3 2 2" xfId="119" xr:uid="{00000000-0005-0000-0000-000008000000}"/>
    <cellStyle name="20% - Énfasis3 3" xfId="180" xr:uid="{6C2905CA-CA47-4077-9D2A-09E734290634}"/>
    <cellStyle name="20% - Énfasis4" xfId="31" builtinId="42" customBuiltin="1"/>
    <cellStyle name="20% - Énfasis4 2" xfId="94" xr:uid="{00000000-0005-0000-0000-00000A000000}"/>
    <cellStyle name="20% - Énfasis4 2 2" xfId="121" xr:uid="{00000000-0005-0000-0000-00000B000000}"/>
    <cellStyle name="20% - Énfasis4 3" xfId="183" xr:uid="{E98B732D-502E-4301-B190-EA09E2C23742}"/>
    <cellStyle name="20% - Énfasis5" xfId="35" builtinId="46" customBuiltin="1"/>
    <cellStyle name="20% - Énfasis5 2" xfId="98" xr:uid="{00000000-0005-0000-0000-00000D000000}"/>
    <cellStyle name="20% - Énfasis5 2 2" xfId="123" xr:uid="{00000000-0005-0000-0000-00000E000000}"/>
    <cellStyle name="20% - Énfasis5 3" xfId="186" xr:uid="{9AB392A4-72D4-4FA4-B13A-35E59F75657F}"/>
    <cellStyle name="20% - Énfasis6" xfId="39" builtinId="50" customBuiltin="1"/>
    <cellStyle name="20% - Énfasis6 2" xfId="102" xr:uid="{00000000-0005-0000-0000-000010000000}"/>
    <cellStyle name="20% - Énfasis6 2 2" xfId="125" xr:uid="{00000000-0005-0000-0000-000011000000}"/>
    <cellStyle name="20% - Énfasis6 3" xfId="189" xr:uid="{10102D41-26A1-47E3-ACFB-619DF137B8EB}"/>
    <cellStyle name="40% - Énfasis1" xfId="20" builtinId="31" customBuiltin="1"/>
    <cellStyle name="40% - Énfasis1 2" xfId="83" xr:uid="{00000000-0005-0000-0000-000013000000}"/>
    <cellStyle name="40% - Énfasis1 2 2" xfId="116" xr:uid="{00000000-0005-0000-0000-000014000000}"/>
    <cellStyle name="40% - Énfasis1 3" xfId="175" xr:uid="{7F68B3E3-C269-41E8-9AE8-96876B55408B}"/>
    <cellStyle name="40% - Énfasis2" xfId="24" builtinId="35" customBuiltin="1"/>
    <cellStyle name="40% - Énfasis2 2" xfId="87" xr:uid="{00000000-0005-0000-0000-000016000000}"/>
    <cellStyle name="40% - Énfasis2 2 2" xfId="118" xr:uid="{00000000-0005-0000-0000-000017000000}"/>
    <cellStyle name="40% - Énfasis2 3" xfId="178" xr:uid="{26D46328-4F2A-4855-9303-1F991F94FA2E}"/>
    <cellStyle name="40% - Énfasis3" xfId="28" builtinId="39" customBuiltin="1"/>
    <cellStyle name="40% - Énfasis3 2" xfId="91" xr:uid="{00000000-0005-0000-0000-000019000000}"/>
    <cellStyle name="40% - Énfasis3 2 2" xfId="120" xr:uid="{00000000-0005-0000-0000-00001A000000}"/>
    <cellStyle name="40% - Énfasis3 3" xfId="181" xr:uid="{5CCFC8BC-4A14-4A61-87B2-B795EFED77CA}"/>
    <cellStyle name="40% - Énfasis4" xfId="32" builtinId="43" customBuiltin="1"/>
    <cellStyle name="40% - Énfasis4 2" xfId="95" xr:uid="{00000000-0005-0000-0000-00001C000000}"/>
    <cellStyle name="40% - Énfasis4 2 2" xfId="122" xr:uid="{00000000-0005-0000-0000-00001D000000}"/>
    <cellStyle name="40% - Énfasis4 3" xfId="184" xr:uid="{464BF4F6-67D0-4CB3-9D7C-C7E596F8E6AC}"/>
    <cellStyle name="40% - Énfasis5" xfId="36" builtinId="47" customBuiltin="1"/>
    <cellStyle name="40% - Énfasis5 2" xfId="99" xr:uid="{00000000-0005-0000-0000-00001F000000}"/>
    <cellStyle name="40% - Énfasis5 2 2" xfId="124" xr:uid="{00000000-0005-0000-0000-000020000000}"/>
    <cellStyle name="40% - Énfasis5 3" xfId="187" xr:uid="{53C89B3B-D6C9-4C53-B882-03F4A4A1E304}"/>
    <cellStyle name="40% - Énfasis6" xfId="40" builtinId="51" customBuiltin="1"/>
    <cellStyle name="40% - Énfasis6 2" xfId="103" xr:uid="{00000000-0005-0000-0000-000022000000}"/>
    <cellStyle name="40% - Énfasis6 2 2" xfId="126" xr:uid="{00000000-0005-0000-0000-000023000000}"/>
    <cellStyle name="40% - Énfasis6 3" xfId="190" xr:uid="{BEAF315D-BABA-4E29-9B7F-A22AB40BF984}"/>
    <cellStyle name="60% - Énfasis1" xfId="21" builtinId="32" customBuiltin="1"/>
    <cellStyle name="60% - Énfasis1 2" xfId="84" xr:uid="{00000000-0005-0000-0000-000025000000}"/>
    <cellStyle name="60% - Énfasis1 3" xfId="176" xr:uid="{B21BA2AC-B47D-449C-BA3E-9822C4933646}"/>
    <cellStyle name="60% - Énfasis2" xfId="25" builtinId="36" customBuiltin="1"/>
    <cellStyle name="60% - Énfasis2 2" xfId="88" xr:uid="{00000000-0005-0000-0000-000027000000}"/>
    <cellStyle name="60% - Énfasis2 3" xfId="179" xr:uid="{1654071C-F7E9-4638-85DC-43F7FEEA0E16}"/>
    <cellStyle name="60% - Énfasis3" xfId="29" builtinId="40" customBuiltin="1"/>
    <cellStyle name="60% - Énfasis3 2" xfId="92" xr:uid="{00000000-0005-0000-0000-000029000000}"/>
    <cellStyle name="60% - Énfasis3 3" xfId="182" xr:uid="{E00F4BAC-BF46-43A1-8912-0F0E59DCA501}"/>
    <cellStyle name="60% - Énfasis4" xfId="33" builtinId="44" customBuiltin="1"/>
    <cellStyle name="60% - Énfasis4 2" xfId="96" xr:uid="{00000000-0005-0000-0000-00002B000000}"/>
    <cellStyle name="60% - Énfasis4 3" xfId="185" xr:uid="{269B1DC6-D03E-4ACE-ADBC-2B9FF30FE258}"/>
    <cellStyle name="60% - Énfasis5" xfId="37" builtinId="48" customBuiltin="1"/>
    <cellStyle name="60% - Énfasis5 2" xfId="100" xr:uid="{00000000-0005-0000-0000-00002D000000}"/>
    <cellStyle name="60% - Énfasis5 3" xfId="188" xr:uid="{0EAA184B-5370-42AD-ACDE-53561D8FD970}"/>
    <cellStyle name="60% - Énfasis6" xfId="41" builtinId="52" customBuiltin="1"/>
    <cellStyle name="60% - Énfasis6 2" xfId="104" xr:uid="{00000000-0005-0000-0000-00002F000000}"/>
    <cellStyle name="60% - Énfasis6 3" xfId="191" xr:uid="{C9F35E49-55CB-457D-A2E0-B2EDB5AB6C1F}"/>
    <cellStyle name="Buena 2" xfId="70" xr:uid="{00000000-0005-0000-0000-000030000000}"/>
    <cellStyle name="Bueno" xfId="7" builtinId="26" customBuiltin="1"/>
    <cellStyle name="Cálculo" xfId="12" builtinId="22" customBuiltin="1"/>
    <cellStyle name="Cálculo 2" xfId="75" xr:uid="{00000000-0005-0000-0000-000033000000}"/>
    <cellStyle name="Celda de comprobación" xfId="14" builtinId="23" customBuiltin="1"/>
    <cellStyle name="Celda de comprobación 2" xfId="77" xr:uid="{00000000-0005-0000-0000-000035000000}"/>
    <cellStyle name="Celda vinculada" xfId="13" builtinId="24" customBuiltin="1"/>
    <cellStyle name="Celda vinculada 2" xfId="76" xr:uid="{00000000-0005-0000-0000-000037000000}"/>
    <cellStyle name="Encabezado 1" xfId="3" builtinId="16" customBuiltin="1"/>
    <cellStyle name="Encabezado 4" xfId="6" builtinId="19" customBuiltin="1"/>
    <cellStyle name="Encabezado 4 2" xfId="69" xr:uid="{00000000-0005-0000-0000-00003A000000}"/>
    <cellStyle name="Énfasis1" xfId="18" builtinId="29" customBuiltin="1"/>
    <cellStyle name="Énfasis1 2" xfId="81" xr:uid="{00000000-0005-0000-0000-00003C000000}"/>
    <cellStyle name="Énfasis2" xfId="22" builtinId="33" customBuiltin="1"/>
    <cellStyle name="Énfasis2 2" xfId="85" xr:uid="{00000000-0005-0000-0000-00003E000000}"/>
    <cellStyle name="Énfasis3" xfId="26" builtinId="37" customBuiltin="1"/>
    <cellStyle name="Énfasis3 2" xfId="89" xr:uid="{00000000-0005-0000-0000-000040000000}"/>
    <cellStyle name="Énfasis4" xfId="30" builtinId="41" customBuiltin="1"/>
    <cellStyle name="Énfasis4 2" xfId="93" xr:uid="{00000000-0005-0000-0000-000042000000}"/>
    <cellStyle name="Énfasis5" xfId="34" builtinId="45" customBuiltin="1"/>
    <cellStyle name="Énfasis5 2" xfId="97" xr:uid="{00000000-0005-0000-0000-000044000000}"/>
    <cellStyle name="Énfasis6" xfId="38" builtinId="49" customBuiltin="1"/>
    <cellStyle name="Énfasis6 2" xfId="101" xr:uid="{00000000-0005-0000-0000-000046000000}"/>
    <cellStyle name="Entrada" xfId="10" builtinId="20" customBuiltin="1"/>
    <cellStyle name="Entrada 2" xfId="73" xr:uid="{00000000-0005-0000-0000-000048000000}"/>
    <cellStyle name="Hipervínculo" xfId="128" builtinId="8"/>
    <cellStyle name="Hipervínculo 2" xfId="53" xr:uid="{00000000-0005-0000-0000-00004A000000}"/>
    <cellStyle name="Hipervínculo 3" xfId="147" xr:uid="{30C12ABC-53FF-4114-A3E0-9371B3648599}"/>
    <cellStyle name="Incorrecto" xfId="8" builtinId="27" customBuiltin="1"/>
    <cellStyle name="Incorrecto 2" xfId="71" xr:uid="{00000000-0005-0000-0000-00004C000000}"/>
    <cellStyle name="Millares" xfId="44" builtinId="3"/>
    <cellStyle name="Millares 10" xfId="153" xr:uid="{4C2AE15F-E5BA-4ADD-A63E-CC3BF477CF24}"/>
    <cellStyle name="Millares 11" xfId="157" xr:uid="{DAE17B62-F33C-4648-9710-8B2F02DC6E80}"/>
    <cellStyle name="Millares 12" xfId="169" xr:uid="{64AC9325-0EB6-44C6-8D9D-87819216CC51}"/>
    <cellStyle name="Millares 2" xfId="48" xr:uid="{00000000-0005-0000-0000-00004E000000}"/>
    <cellStyle name="Millares 2 2" xfId="56" xr:uid="{00000000-0005-0000-0000-00004F000000}"/>
    <cellStyle name="Millares 2 3" xfId="164" xr:uid="{715F8053-CACB-46D8-96B0-834D3B1BE7DB}"/>
    <cellStyle name="Millares 3" xfId="58" xr:uid="{00000000-0005-0000-0000-000050000000}"/>
    <cellStyle name="Millares 4" xfId="109" xr:uid="{00000000-0005-0000-0000-000051000000}"/>
    <cellStyle name="Millares 5" xfId="113" xr:uid="{00000000-0005-0000-0000-000052000000}"/>
    <cellStyle name="Millares 6" xfId="133" xr:uid="{00000000-0005-0000-0000-000053000000}"/>
    <cellStyle name="Millares 7" xfId="136" xr:uid="{00000000-0005-0000-0000-000054000000}"/>
    <cellStyle name="Millares 8" xfId="144" xr:uid="{792AA2C4-B452-4EA8-AB54-67FD89038374}"/>
    <cellStyle name="Millares 9" xfId="149" xr:uid="{3E3D1D0B-4AED-408C-869C-B388BAC0D9BB}"/>
    <cellStyle name="Neutral" xfId="9" builtinId="28" customBuiltin="1"/>
    <cellStyle name="Neutral 2" xfId="72" xr:uid="{00000000-0005-0000-0000-000056000000}"/>
    <cellStyle name="Normal" xfId="0" builtinId="0"/>
    <cellStyle name="Normal 10" xfId="57" xr:uid="{00000000-0005-0000-0000-000058000000}"/>
    <cellStyle name="Normal 11" xfId="108" xr:uid="{00000000-0005-0000-0000-000059000000}"/>
    <cellStyle name="Normal 12" xfId="127" xr:uid="{00000000-0005-0000-0000-00005A000000}"/>
    <cellStyle name="Normal 13" xfId="129" xr:uid="{00000000-0005-0000-0000-00005B000000}"/>
    <cellStyle name="Normal 14" xfId="130" xr:uid="{00000000-0005-0000-0000-00005C000000}"/>
    <cellStyle name="Normal 15" xfId="132" xr:uid="{00000000-0005-0000-0000-00005D000000}"/>
    <cellStyle name="Normal 16" xfId="135" xr:uid="{00000000-0005-0000-0000-00005E000000}"/>
    <cellStyle name="Normal 17" xfId="139" xr:uid="{00000000-0005-0000-0000-00005F000000}"/>
    <cellStyle name="Normal 18" xfId="140" xr:uid="{00000000-0005-0000-0000-000060000000}"/>
    <cellStyle name="Normal 19" xfId="146" xr:uid="{1C199C99-57CD-4F51-968F-664A4C10E9EB}"/>
    <cellStyle name="Normal 2" xfId="42" xr:uid="{00000000-0005-0000-0000-000061000000}"/>
    <cellStyle name="Normal 2 10" xfId="154" xr:uid="{969B27FC-EE80-406A-B6EC-4F80EC893A4C}"/>
    <cellStyle name="Normal 2 11" xfId="162" xr:uid="{9E8010A4-0BA0-4E63-ABE0-9C9EAED98548}"/>
    <cellStyle name="Normal 2 12" xfId="166" xr:uid="{612973DF-45E6-417F-9875-C097393831FF}"/>
    <cellStyle name="Normal 2 2" xfId="46" xr:uid="{00000000-0005-0000-0000-000062000000}"/>
    <cellStyle name="Normal 2 2 2" xfId="131" xr:uid="{00000000-0005-0000-0000-000063000000}"/>
    <cellStyle name="Normal 2 3" xfId="51" xr:uid="{00000000-0005-0000-0000-000064000000}"/>
    <cellStyle name="Normal 2 4" xfId="59" xr:uid="{00000000-0005-0000-0000-000065000000}"/>
    <cellStyle name="Normal 2 5" xfId="110" xr:uid="{00000000-0005-0000-0000-000066000000}"/>
    <cellStyle name="Normal 2 6" xfId="134" xr:uid="{00000000-0005-0000-0000-000067000000}"/>
    <cellStyle name="Normal 2 7" xfId="137" xr:uid="{00000000-0005-0000-0000-000068000000}"/>
    <cellStyle name="Normal 2 8" xfId="141" xr:uid="{52DD7A03-C3B8-4154-AF21-BD60FDDCACB2}"/>
    <cellStyle name="Normal 2 9" xfId="150" xr:uid="{8449DFE5-FD1F-4C0B-A08D-0810D20BBF6F}"/>
    <cellStyle name="Normal 20" xfId="148" xr:uid="{7DD45361-3F18-43EC-ADD8-DD7686F8EC38}"/>
    <cellStyle name="Normal 21" xfId="152" xr:uid="{443DB9CC-E8BD-496C-9356-E1B078F88F08}"/>
    <cellStyle name="Normal 22" xfId="156" xr:uid="{41D253C1-0844-4AB9-9B52-BC286CBD387F}"/>
    <cellStyle name="Normal 23" xfId="159" xr:uid="{0C58B385-3FE2-4A56-8D89-7A0807E2DD57}"/>
    <cellStyle name="Normal 24" xfId="161" xr:uid="{5571BE6D-39D9-4E08-B96B-49BB4C70370B}"/>
    <cellStyle name="Normal 25" xfId="172" xr:uid="{DFEEC10F-AD9E-4081-BDCA-BDB0B457EF6B}"/>
    <cellStyle name="Normal 26" xfId="192" xr:uid="{2B7E4BFF-2752-4CB3-ABB7-B2B79985D24D}"/>
    <cellStyle name="Normal 3" xfId="45" xr:uid="{00000000-0005-0000-0000-000069000000}"/>
    <cellStyle name="Normal 3 2" xfId="55" xr:uid="{00000000-0005-0000-0000-00006A000000}"/>
    <cellStyle name="Normal 3 3" xfId="60" xr:uid="{00000000-0005-0000-0000-00006B000000}"/>
    <cellStyle name="Normal 3 4" xfId="111" xr:uid="{00000000-0005-0000-0000-00006C000000}"/>
    <cellStyle name="Normal 3 5" xfId="143" xr:uid="{51089B64-CBC4-4F22-876B-2A7A5ECAE3ED}"/>
    <cellStyle name="Normal 3 6" xfId="163" xr:uid="{388745F4-3991-42BE-AA4E-FB54ABC1F849}"/>
    <cellStyle name="Normal 3 7" xfId="168" xr:uid="{4BD2455D-C20A-4A60-8F8C-F0102A654F4D}"/>
    <cellStyle name="Normal 4" xfId="47" xr:uid="{00000000-0005-0000-0000-00006D000000}"/>
    <cellStyle name="Normal 4 2" xfId="50" xr:uid="{00000000-0005-0000-0000-00006E000000}"/>
    <cellStyle name="Normal 4 3" xfId="61" xr:uid="{00000000-0005-0000-0000-00006F000000}"/>
    <cellStyle name="Normal 4 4" xfId="145" xr:uid="{E79E29FF-B409-4E46-85B1-FA1364747AC4}"/>
    <cellStyle name="Normal 4 5" xfId="170" xr:uid="{D7DAB063-556E-4CE8-AD59-410279BAF368}"/>
    <cellStyle name="Normal 5" xfId="49" xr:uid="{00000000-0005-0000-0000-000070000000}"/>
    <cellStyle name="Normal 5 2" xfId="62" xr:uid="{00000000-0005-0000-0000-000071000000}"/>
    <cellStyle name="Normal 5 3" xfId="171" xr:uid="{0490A2F7-5B84-469B-986A-96CEC137598A}"/>
    <cellStyle name="Normal 6" xfId="64" xr:uid="{00000000-0005-0000-0000-000072000000}"/>
    <cellStyle name="Normal 7" xfId="105" xr:uid="{00000000-0005-0000-0000-000073000000}"/>
    <cellStyle name="Normal 8" xfId="106" xr:uid="{00000000-0005-0000-0000-000074000000}"/>
    <cellStyle name="Normal 9" xfId="107" xr:uid="{00000000-0005-0000-0000-000075000000}"/>
    <cellStyle name="Notas 2" xfId="43" xr:uid="{00000000-0005-0000-0000-000076000000}"/>
    <cellStyle name="Notas 2 2" xfId="142" xr:uid="{FCE685E1-43DF-4BA8-A1A6-646792B88253}"/>
    <cellStyle name="Notas 2 3" xfId="167" xr:uid="{95F5095D-86EF-4626-B37B-6C24DC1F0B43}"/>
    <cellStyle name="Notas 3" xfId="63" xr:uid="{00000000-0005-0000-0000-000077000000}"/>
    <cellStyle name="Notas 4" xfId="114" xr:uid="{00000000-0005-0000-0000-000078000000}"/>
    <cellStyle name="Notas 5" xfId="173" xr:uid="{79F2176A-8573-4E2D-9FC5-77404126482D}"/>
    <cellStyle name="Porcentaje" xfId="1" builtinId="5"/>
    <cellStyle name="Porcentaje 2" xfId="54" xr:uid="{00000000-0005-0000-0000-00007A000000}"/>
    <cellStyle name="Porcentaje 2 2" xfId="160" xr:uid="{B424D856-E1ED-431A-8CA1-FCA582292B61}"/>
    <cellStyle name="Porcentaje 2 3" xfId="165" xr:uid="{01DF6815-BAE5-4492-BE50-D25E77891AF5}"/>
    <cellStyle name="Porcentaje 3" xfId="112" xr:uid="{00000000-0005-0000-0000-00007B000000}"/>
    <cellStyle name="Porcentaje 4" xfId="138" xr:uid="{00000000-0005-0000-0000-00007C000000}"/>
    <cellStyle name="Porcentaje 5" xfId="151" xr:uid="{F1FD79D5-4D48-4C3B-8978-2008D37619B0}"/>
    <cellStyle name="Porcentaje 6" xfId="155" xr:uid="{A284EED9-9A51-411D-9D15-E0988DFB78C5}"/>
    <cellStyle name="Porcentaje 7" xfId="158" xr:uid="{204A300B-66E3-49BD-B09D-8BAED53B49FB}"/>
    <cellStyle name="Punto0" xfId="52" xr:uid="{00000000-0005-0000-0000-00007D000000}"/>
    <cellStyle name="Salida" xfId="11" builtinId="21" customBuiltin="1"/>
    <cellStyle name="Salida 2" xfId="74" xr:uid="{00000000-0005-0000-0000-00007F000000}"/>
    <cellStyle name="Texto de advertencia" xfId="15" builtinId="11" customBuiltin="1"/>
    <cellStyle name="Texto de advertencia 2" xfId="78" xr:uid="{00000000-0005-0000-0000-000081000000}"/>
    <cellStyle name="Texto explicativo" xfId="16" builtinId="53" customBuiltin="1"/>
    <cellStyle name="Texto explicativo 2" xfId="79" xr:uid="{00000000-0005-0000-0000-000083000000}"/>
    <cellStyle name="Título" xfId="2" builtinId="15" customBuiltin="1"/>
    <cellStyle name="Título 1 2" xfId="66" xr:uid="{00000000-0005-0000-0000-000085000000}"/>
    <cellStyle name="Título 2" xfId="4" builtinId="17" customBuiltin="1"/>
    <cellStyle name="Título 2 2" xfId="67" xr:uid="{00000000-0005-0000-0000-000087000000}"/>
    <cellStyle name="Título 3" xfId="5" builtinId="18" customBuiltin="1"/>
    <cellStyle name="Título 3 2" xfId="68" xr:uid="{00000000-0005-0000-0000-000089000000}"/>
    <cellStyle name="Título 4" xfId="65" xr:uid="{00000000-0005-0000-0000-00008A000000}"/>
    <cellStyle name="Total" xfId="17" builtinId="25" customBuiltin="1"/>
    <cellStyle name="Total 2" xfId="80" xr:uid="{00000000-0005-0000-0000-00008C000000}"/>
  </cellStyles>
  <dxfs count="477">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rgb="FF008000"/>
      </font>
    </dxf>
    <dxf>
      <font>
        <color rgb="FF8AAC46"/>
      </font>
    </dxf>
    <dxf>
      <font>
        <color theme="9"/>
      </font>
    </dxf>
    <dxf>
      <font>
        <color theme="5"/>
      </font>
    </dxf>
    <dxf>
      <font>
        <color rgb="FFFFFF00"/>
      </font>
    </dxf>
    <dxf>
      <font>
        <color theme="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theme="0"/>
      </font>
    </dxf>
    <dxf>
      <font>
        <color rgb="FF008000"/>
      </font>
    </dxf>
    <dxf>
      <font>
        <color rgb="FF8AAC46"/>
      </font>
    </dxf>
    <dxf>
      <font>
        <color theme="9"/>
      </font>
    </dxf>
    <dxf>
      <font>
        <color theme="5"/>
      </font>
    </dxf>
    <dxf>
      <font>
        <color rgb="FFFFFF0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theme="0"/>
      </font>
    </dxf>
    <dxf>
      <font>
        <color rgb="FF008000"/>
      </font>
    </dxf>
    <dxf>
      <font>
        <color rgb="FF8AAC46"/>
      </font>
    </dxf>
    <dxf>
      <font>
        <color theme="9"/>
      </font>
    </dxf>
    <dxf>
      <font>
        <color theme="5"/>
      </font>
    </dxf>
    <dxf>
      <font>
        <color rgb="FFFFFF0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theme="0"/>
      </font>
    </dxf>
    <dxf>
      <font>
        <color rgb="FF008000"/>
      </font>
    </dxf>
    <dxf>
      <font>
        <color rgb="FF8AAC46"/>
      </font>
    </dxf>
    <dxf>
      <font>
        <color theme="9"/>
      </font>
    </dxf>
    <dxf>
      <font>
        <color theme="5"/>
      </font>
    </dxf>
    <dxf>
      <font>
        <color rgb="FFFFFF0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theme="0"/>
      </font>
    </dxf>
    <dxf>
      <font>
        <color rgb="FF008000"/>
      </font>
    </dxf>
    <dxf>
      <font>
        <color rgb="FF8AAC46"/>
      </font>
    </dxf>
    <dxf>
      <font>
        <color theme="9"/>
      </font>
    </dxf>
    <dxf>
      <font>
        <color theme="5"/>
      </font>
    </dxf>
    <dxf>
      <font>
        <color rgb="FFFFFF0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theme="0"/>
      </font>
    </dxf>
    <dxf>
      <font>
        <color rgb="FF008000"/>
      </font>
    </dxf>
    <dxf>
      <font>
        <color rgb="FF8AAC46"/>
      </font>
    </dxf>
    <dxf>
      <font>
        <color theme="9"/>
      </font>
    </dxf>
    <dxf>
      <font>
        <color theme="5"/>
      </font>
    </dxf>
    <dxf>
      <font>
        <color rgb="FFFFFF00"/>
      </font>
    </dxf>
    <dxf>
      <font>
        <color rgb="FF008000"/>
      </font>
    </dxf>
    <dxf>
      <font>
        <color theme="5"/>
      </font>
    </dxf>
    <dxf>
      <font>
        <color theme="0"/>
      </font>
    </dxf>
    <dxf>
      <font>
        <color rgb="FF8AAC46"/>
      </font>
    </dxf>
    <dxf>
      <font>
        <color theme="9"/>
      </font>
    </dxf>
    <dxf>
      <font>
        <color rgb="FFFFFF00"/>
      </font>
    </dxf>
    <dxf>
      <font>
        <color rgb="FF008000"/>
      </font>
    </dxf>
    <dxf>
      <font>
        <color rgb="FF8AAC46"/>
      </font>
    </dxf>
    <dxf>
      <font>
        <color theme="9"/>
      </font>
    </dxf>
    <dxf>
      <font>
        <color theme="5"/>
      </font>
    </dxf>
    <dxf>
      <font>
        <color theme="0"/>
      </font>
    </dxf>
    <dxf>
      <font>
        <color rgb="FFFFFF00"/>
      </font>
    </dxf>
    <dxf>
      <font>
        <color theme="0"/>
      </font>
    </dxf>
    <dxf>
      <font>
        <color rgb="FF008000"/>
      </font>
    </dxf>
    <dxf>
      <font>
        <color rgb="FF8AAC46"/>
      </font>
    </dxf>
    <dxf>
      <font>
        <color theme="9"/>
      </font>
    </dxf>
    <dxf>
      <font>
        <color theme="5"/>
      </font>
    </dxf>
    <dxf>
      <font>
        <color rgb="FFFFFF00"/>
      </font>
    </dxf>
    <dxf>
      <font>
        <color rgb="FF008000"/>
      </font>
    </dxf>
    <dxf>
      <font>
        <color theme="5"/>
      </font>
    </dxf>
    <dxf>
      <font>
        <color theme="0"/>
      </font>
    </dxf>
    <dxf>
      <font>
        <color rgb="FF8AAC46"/>
      </font>
    </dxf>
    <dxf>
      <font>
        <color theme="9"/>
      </font>
    </dxf>
    <dxf>
      <font>
        <color rgb="FFFFFF00"/>
      </font>
    </dxf>
    <dxf>
      <font>
        <color rgb="FF008000"/>
      </font>
    </dxf>
    <dxf>
      <font>
        <color rgb="FF8AAC46"/>
      </font>
    </dxf>
    <dxf>
      <font>
        <color theme="9"/>
      </font>
    </dxf>
    <dxf>
      <font>
        <color theme="5"/>
      </font>
    </dxf>
    <dxf>
      <font>
        <color theme="0"/>
      </font>
    </dxf>
    <dxf>
      <font>
        <color rgb="FFFFFF00"/>
      </font>
    </dxf>
    <dxf>
      <font>
        <color theme="0"/>
      </font>
    </dxf>
    <dxf>
      <font>
        <color rgb="FF008000"/>
      </font>
    </dxf>
    <dxf>
      <font>
        <color rgb="FF8AAC46"/>
      </font>
    </dxf>
    <dxf>
      <font>
        <color theme="9"/>
      </font>
    </dxf>
    <dxf>
      <font>
        <color theme="5"/>
      </font>
    </dxf>
    <dxf>
      <font>
        <color rgb="FFFFFF00"/>
      </font>
    </dxf>
    <dxf>
      <font>
        <color rgb="FF008000"/>
      </font>
    </dxf>
    <dxf>
      <font>
        <color theme="5"/>
      </font>
    </dxf>
    <dxf>
      <font>
        <color theme="0"/>
      </font>
    </dxf>
    <dxf>
      <font>
        <color rgb="FF8AAC46"/>
      </font>
    </dxf>
    <dxf>
      <font>
        <color theme="9"/>
      </font>
    </dxf>
    <dxf>
      <font>
        <color rgb="FFFFFF00"/>
      </font>
    </dxf>
    <dxf>
      <font>
        <color rgb="FF008000"/>
      </font>
    </dxf>
    <dxf>
      <font>
        <color rgb="FF8AAC46"/>
      </font>
    </dxf>
    <dxf>
      <font>
        <color theme="9"/>
      </font>
    </dxf>
    <dxf>
      <font>
        <color theme="5"/>
      </font>
    </dxf>
    <dxf>
      <font>
        <color theme="0"/>
      </font>
    </dxf>
    <dxf>
      <font>
        <color rgb="FFFFFF00"/>
      </font>
    </dxf>
    <dxf>
      <font>
        <color theme="0"/>
      </font>
    </dxf>
    <dxf>
      <font>
        <color rgb="FF008000"/>
      </font>
    </dxf>
    <dxf>
      <font>
        <color rgb="FF8AAC46"/>
      </font>
    </dxf>
    <dxf>
      <font>
        <color theme="9"/>
      </font>
    </dxf>
    <dxf>
      <font>
        <color theme="5"/>
      </font>
    </dxf>
    <dxf>
      <font>
        <color rgb="FFFFFF0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theme="0"/>
      </font>
    </dxf>
    <dxf>
      <font>
        <color rgb="FF008000"/>
      </font>
    </dxf>
    <dxf>
      <font>
        <color rgb="FF8AAC46"/>
      </font>
    </dxf>
    <dxf>
      <font>
        <color theme="9"/>
      </font>
    </dxf>
    <dxf>
      <font>
        <color theme="5"/>
      </font>
    </dxf>
    <dxf>
      <font>
        <color rgb="FFFFFF0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theme="0"/>
      </font>
    </dxf>
    <dxf>
      <font>
        <color rgb="FF008000"/>
      </font>
    </dxf>
    <dxf>
      <font>
        <color rgb="FF8AAC46"/>
      </font>
    </dxf>
    <dxf>
      <font>
        <color theme="9"/>
      </font>
    </dxf>
    <dxf>
      <font>
        <color theme="5"/>
      </font>
    </dxf>
    <dxf>
      <font>
        <color rgb="FFFFFF0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theme="0"/>
      </font>
    </dxf>
    <dxf>
      <font>
        <color rgb="FF008000"/>
      </font>
    </dxf>
    <dxf>
      <font>
        <color rgb="FF8AAC46"/>
      </font>
    </dxf>
    <dxf>
      <font>
        <color theme="9"/>
      </font>
    </dxf>
    <dxf>
      <font>
        <color theme="5"/>
      </font>
    </dxf>
    <dxf>
      <font>
        <color rgb="FFFFFF00"/>
      </font>
    </dxf>
    <dxf>
      <font>
        <color rgb="FF8AAC46"/>
      </font>
    </dxf>
    <dxf>
      <font>
        <color theme="0"/>
      </font>
    </dxf>
    <dxf>
      <font>
        <color rgb="FF008000"/>
      </font>
    </dxf>
    <dxf>
      <font>
        <color theme="9"/>
      </font>
    </dxf>
    <dxf>
      <font>
        <color theme="5"/>
      </font>
    </dxf>
    <dxf>
      <font>
        <color rgb="FFFFFF00"/>
      </font>
    </dxf>
    <dxf>
      <font>
        <color rgb="FF008000"/>
      </font>
    </dxf>
    <dxf>
      <font>
        <color rgb="FF8AAC46"/>
      </font>
    </dxf>
    <dxf>
      <font>
        <color theme="9"/>
      </font>
    </dxf>
    <dxf>
      <font>
        <color theme="5"/>
      </font>
    </dxf>
    <dxf>
      <font>
        <color rgb="FFFFFF00"/>
      </font>
    </dxf>
    <dxf>
      <font>
        <color theme="0"/>
      </font>
    </dxf>
    <dxf>
      <font>
        <color theme="0"/>
      </font>
    </dxf>
    <dxf>
      <font>
        <color rgb="FF008000"/>
      </font>
    </dxf>
    <dxf>
      <font>
        <color rgb="FF8AAC46"/>
      </font>
    </dxf>
    <dxf>
      <font>
        <color theme="9"/>
      </font>
    </dxf>
    <dxf>
      <font>
        <color theme="5"/>
      </font>
    </dxf>
    <dxf>
      <font>
        <color rgb="FFFFFF00"/>
      </font>
    </dxf>
    <dxf>
      <fill>
        <patternFill>
          <bgColor rgb="FF00B050"/>
        </patternFill>
      </fill>
    </dxf>
    <dxf>
      <fill>
        <patternFill>
          <bgColor rgb="FF92D050"/>
        </patternFill>
      </fill>
    </dxf>
    <dxf>
      <fill>
        <patternFill>
          <bgColor rgb="FFFFFF00"/>
        </patternFill>
      </fill>
    </dxf>
    <dxf>
      <fill>
        <patternFill>
          <bgColor rgb="FFFB8C1D"/>
        </patternFill>
      </fill>
    </dxf>
    <dxf>
      <fill>
        <patternFill>
          <bgColor rgb="FFFF0000"/>
        </patternFill>
      </fill>
    </dxf>
    <dxf>
      <fill>
        <patternFill>
          <bgColor rgb="FF00B050"/>
        </patternFill>
      </fill>
    </dxf>
    <dxf>
      <fill>
        <patternFill>
          <bgColor rgb="FF92D050"/>
        </patternFill>
      </fill>
    </dxf>
    <dxf>
      <fill>
        <patternFill>
          <bgColor rgb="FFFFFF00"/>
        </patternFill>
      </fill>
    </dxf>
    <dxf>
      <fill>
        <patternFill>
          <bgColor rgb="FFFB8C1D"/>
        </patternFill>
      </fill>
    </dxf>
    <dxf>
      <fill>
        <patternFill>
          <bgColor rgb="FFFF000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theme="9"/>
      </font>
      <fill>
        <patternFill>
          <bgColor theme="9"/>
        </patternFill>
      </fill>
    </dxf>
    <dxf>
      <font>
        <color rgb="FFFF0000"/>
      </font>
      <fill>
        <patternFill>
          <bgColor rgb="FFFF000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theme="9"/>
      </font>
      <fill>
        <patternFill>
          <bgColor theme="9"/>
        </patternFill>
      </fill>
    </dxf>
    <dxf>
      <font>
        <color rgb="FFFF0000"/>
      </font>
      <fill>
        <patternFill>
          <bgColor rgb="FFFF000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theme="9"/>
      </font>
      <fill>
        <patternFill>
          <bgColor theme="9"/>
        </patternFill>
      </fill>
    </dxf>
    <dxf>
      <font>
        <color rgb="FFFF0000"/>
      </font>
      <fill>
        <patternFill>
          <bgColor rgb="FFFF0000"/>
        </patternFill>
      </fill>
    </dxf>
    <dxf>
      <font>
        <color rgb="FF00B050"/>
      </font>
      <fill>
        <patternFill>
          <bgColor rgb="FF00B050"/>
        </patternFill>
      </fill>
    </dxf>
    <dxf>
      <font>
        <color rgb="FF92D050"/>
      </font>
      <fill>
        <patternFill>
          <bgColor rgb="FF92D050"/>
        </patternFill>
      </fill>
    </dxf>
    <dxf>
      <font>
        <color rgb="FFFFFF00"/>
      </font>
      <fill>
        <patternFill>
          <bgColor rgb="FFFFFF00"/>
        </patternFill>
      </fill>
    </dxf>
    <dxf>
      <font>
        <color theme="9"/>
      </font>
      <fill>
        <patternFill>
          <bgColor theme="9"/>
        </patternFill>
      </fill>
    </dxf>
    <dxf>
      <font>
        <color rgb="FFFF0000"/>
      </font>
      <fill>
        <patternFill>
          <bgColor rgb="FFFF0000"/>
        </patternFill>
      </fill>
    </dxf>
    <dxf>
      <numFmt numFmtId="22" formatCode="mmm\-yy"/>
    </dxf>
    <dxf>
      <numFmt numFmtId="22" formatCode="mmm\-yy"/>
    </dxf>
    <dxf>
      <numFmt numFmtId="22" formatCode="mmm\-yy"/>
      <fill>
        <patternFill patternType="solid">
          <fgColor indexed="64"/>
          <bgColor theme="6" tint="0.59999389629810485"/>
        </patternFill>
      </fill>
    </dxf>
  </dxfs>
  <tableStyles count="0" defaultTableStyle="TableStyleMedium2" defaultPivotStyle="PivotStyleLight16"/>
  <colors>
    <mruColors>
      <color rgb="FFFCF3CF"/>
      <color rgb="FF7DCEA0"/>
      <color rgb="FF2ECC71"/>
      <color rgb="FF9A7D0A"/>
      <color rgb="FFD68910"/>
      <color rgb="FFF39C12"/>
      <color rgb="FF52BE80"/>
      <color rgb="FF145A32"/>
      <color rgb="FFF1C40F"/>
      <color rgb="FFA9D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connections" Target="connections.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000" b="1">
                <a:solidFill>
                  <a:sysClr val="windowText" lastClr="000000"/>
                </a:solidFill>
              </a:rPr>
              <a:t>Composición</a:t>
            </a:r>
            <a:r>
              <a:rPr lang="es-AR" sz="1000" b="1" baseline="0">
                <a:solidFill>
                  <a:sysClr val="windowText" lastClr="000000"/>
                </a:solidFill>
              </a:rPr>
              <a:t> Exportaciones </a:t>
            </a:r>
          </a:p>
          <a:p>
            <a:pPr>
              <a:defRPr/>
            </a:pPr>
            <a:r>
              <a:rPr lang="es-AR" sz="800" baseline="0">
                <a:solidFill>
                  <a:sysClr val="windowText" lastClr="000000"/>
                </a:solidFill>
              </a:rPr>
              <a:t>2016-2026. Acum ene-jul en millones de USD</a:t>
            </a:r>
            <a:endParaRPr lang="es-AR" sz="800">
              <a:solidFill>
                <a:sysClr val="windowText" lastClr="000000"/>
              </a:solidFill>
            </a:endParaRPr>
          </a:p>
        </c:rich>
      </c:tx>
      <c:layout>
        <c:manualLayout>
          <c:xMode val="edge"/>
          <c:yMode val="edge"/>
          <c:x val="0.14345379311941575"/>
          <c:y val="2.25416672350864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3670289504057208E-2"/>
          <c:y val="0.1588606797864574"/>
          <c:w val="0.84143069265442916"/>
          <c:h val="0.74587717916632046"/>
        </c:manualLayout>
      </c:layout>
      <c:barChart>
        <c:barDir val="col"/>
        <c:grouping val="stacked"/>
        <c:varyColors val="0"/>
        <c:ser>
          <c:idx val="0"/>
          <c:order val="0"/>
          <c:tx>
            <c:strRef>
              <c:f>Comex!$BN$2</c:f>
              <c:strCache>
                <c:ptCount val="1"/>
                <c:pt idx="0">
                  <c:v>Algodón</c:v>
                </c:pt>
              </c:strCache>
            </c:strRef>
          </c:tx>
          <c:spPr>
            <a:solidFill>
              <a:schemeClr val="accent1"/>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Comex!$BN$3:$BN$13</c:f>
              <c:numCache>
                <c:formatCode>#,##0</c:formatCode>
                <c:ptCount val="11"/>
                <c:pt idx="0">
                  <c:v>54.409826999999993</c:v>
                </c:pt>
                <c:pt idx="1">
                  <c:v>49.565385720000002</c:v>
                </c:pt>
                <c:pt idx="2">
                  <c:v>66.392230699999999</c:v>
                </c:pt>
                <c:pt idx="3">
                  <c:v>77.070064130000006</c:v>
                </c:pt>
                <c:pt idx="4">
                  <c:v>78.485275200000004</c:v>
                </c:pt>
                <c:pt idx="5">
                  <c:v>111.61178730000002</c:v>
                </c:pt>
                <c:pt idx="6">
                  <c:v>168.89631324000001</c:v>
                </c:pt>
                <c:pt idx="7">
                  <c:v>30.558403910000003</c:v>
                </c:pt>
                <c:pt idx="8">
                  <c:v>132.25707643999999</c:v>
                </c:pt>
                <c:pt idx="9">
                  <c:v>67.837280930000006</c:v>
                </c:pt>
                <c:pt idx="10">
                  <c:v>120.85209735999999</c:v>
                </c:pt>
              </c:numCache>
            </c:numRef>
          </c:val>
          <c:extLst>
            <c:ext xmlns:c16="http://schemas.microsoft.com/office/drawing/2014/chart" uri="{C3380CC4-5D6E-409C-BE32-E72D297353CC}">
              <c16:uniqueId val="{00000000-9D47-4E02-BD1F-F593E9B33B35}"/>
            </c:ext>
          </c:extLst>
        </c:ser>
        <c:ser>
          <c:idx val="1"/>
          <c:order val="1"/>
          <c:tx>
            <c:strRef>
              <c:f>Comex!$BO$2</c:f>
              <c:strCache>
                <c:ptCount val="1"/>
                <c:pt idx="0">
                  <c:v>Arroz</c:v>
                </c:pt>
              </c:strCache>
            </c:strRef>
          </c:tx>
          <c:spPr>
            <a:solidFill>
              <a:schemeClr val="accent2"/>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Comex!$BO$3:$BO$13</c:f>
              <c:numCache>
                <c:formatCode>#,##0</c:formatCode>
                <c:ptCount val="11"/>
                <c:pt idx="0">
                  <c:v>149.46793971</c:v>
                </c:pt>
                <c:pt idx="1">
                  <c:v>126.87512896999998</c:v>
                </c:pt>
                <c:pt idx="2">
                  <c:v>123.09375689999999</c:v>
                </c:pt>
                <c:pt idx="3">
                  <c:v>109.70648091999999</c:v>
                </c:pt>
                <c:pt idx="4">
                  <c:v>132.04623081</c:v>
                </c:pt>
                <c:pt idx="5">
                  <c:v>186.74918762999999</c:v>
                </c:pt>
                <c:pt idx="6">
                  <c:v>172.08140792</c:v>
                </c:pt>
                <c:pt idx="7">
                  <c:v>190.79966395</c:v>
                </c:pt>
                <c:pt idx="8">
                  <c:v>204.61331192999998</c:v>
                </c:pt>
                <c:pt idx="9">
                  <c:v>325.49615694000005</c:v>
                </c:pt>
                <c:pt idx="10">
                  <c:v>293.97749709999999</c:v>
                </c:pt>
              </c:numCache>
            </c:numRef>
          </c:val>
          <c:extLst>
            <c:ext xmlns:c16="http://schemas.microsoft.com/office/drawing/2014/chart" uri="{C3380CC4-5D6E-409C-BE32-E72D297353CC}">
              <c16:uniqueId val="{00000001-9D47-4E02-BD1F-F593E9B33B35}"/>
            </c:ext>
          </c:extLst>
        </c:ser>
        <c:ser>
          <c:idx val="3"/>
          <c:order val="3"/>
          <c:tx>
            <c:strRef>
              <c:f>Comex!$BQ$2</c:f>
              <c:strCache>
                <c:ptCount val="1"/>
                <c:pt idx="0">
                  <c:v>Mani</c:v>
                </c:pt>
              </c:strCache>
            </c:strRef>
          </c:tx>
          <c:spPr>
            <a:solidFill>
              <a:schemeClr val="accent4"/>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Comex!$BQ$3:$BQ$13</c:f>
              <c:numCache>
                <c:formatCode>#,##0</c:formatCode>
                <c:ptCount val="11"/>
                <c:pt idx="0">
                  <c:v>604.07055116000004</c:v>
                </c:pt>
                <c:pt idx="1">
                  <c:v>560.18411261999995</c:v>
                </c:pt>
                <c:pt idx="2">
                  <c:v>463.90970751999993</c:v>
                </c:pt>
                <c:pt idx="3">
                  <c:v>489.30622735999998</c:v>
                </c:pt>
                <c:pt idx="4">
                  <c:v>776.62292456</c:v>
                </c:pt>
                <c:pt idx="5">
                  <c:v>783.51957412000002</c:v>
                </c:pt>
                <c:pt idx="6">
                  <c:v>799.95999878999987</c:v>
                </c:pt>
                <c:pt idx="7">
                  <c:v>874.25125489000004</c:v>
                </c:pt>
                <c:pt idx="8">
                  <c:v>782.83544900999993</c:v>
                </c:pt>
                <c:pt idx="9">
                  <c:v>864.23814327000002</c:v>
                </c:pt>
                <c:pt idx="10">
                  <c:v>867.33654065999997</c:v>
                </c:pt>
              </c:numCache>
            </c:numRef>
          </c:val>
          <c:extLst>
            <c:ext xmlns:c16="http://schemas.microsoft.com/office/drawing/2014/chart" uri="{C3380CC4-5D6E-409C-BE32-E72D297353CC}">
              <c16:uniqueId val="{00000003-9D47-4E02-BD1F-F593E9B33B35}"/>
            </c:ext>
          </c:extLst>
        </c:ser>
        <c:ser>
          <c:idx val="4"/>
          <c:order val="4"/>
          <c:tx>
            <c:strRef>
              <c:f>Comex!$BR$2</c:f>
              <c:strCache>
                <c:ptCount val="1"/>
                <c:pt idx="0">
                  <c:v>Papa</c:v>
                </c:pt>
              </c:strCache>
            </c:strRef>
          </c:tx>
          <c:spPr>
            <a:solidFill>
              <a:schemeClr val="accent5"/>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Comex!$BR$3:$BR$13</c:f>
              <c:numCache>
                <c:formatCode>#,##0</c:formatCode>
                <c:ptCount val="11"/>
                <c:pt idx="0">
                  <c:v>145.68573626</c:v>
                </c:pt>
                <c:pt idx="1">
                  <c:v>125.01639012</c:v>
                </c:pt>
                <c:pt idx="2">
                  <c:v>112.84753033999999</c:v>
                </c:pt>
                <c:pt idx="3">
                  <c:v>147.41111305000001</c:v>
                </c:pt>
                <c:pt idx="4">
                  <c:v>129.07161081999999</c:v>
                </c:pt>
                <c:pt idx="5">
                  <c:v>184.49822769000002</c:v>
                </c:pt>
                <c:pt idx="6">
                  <c:v>204.29613747000002</c:v>
                </c:pt>
                <c:pt idx="7">
                  <c:v>218.73925410000004</c:v>
                </c:pt>
                <c:pt idx="8">
                  <c:v>245.60389047000001</c:v>
                </c:pt>
                <c:pt idx="9">
                  <c:v>249.51668449000002</c:v>
                </c:pt>
                <c:pt idx="10">
                  <c:v>259.05938040000001</c:v>
                </c:pt>
              </c:numCache>
            </c:numRef>
          </c:val>
          <c:extLst>
            <c:ext xmlns:c16="http://schemas.microsoft.com/office/drawing/2014/chart" uri="{C3380CC4-5D6E-409C-BE32-E72D297353CC}">
              <c16:uniqueId val="{00000004-9D47-4E02-BD1F-F593E9B33B35}"/>
            </c:ext>
          </c:extLst>
        </c:ser>
        <c:ser>
          <c:idx val="5"/>
          <c:order val="5"/>
          <c:tx>
            <c:strRef>
              <c:f>Comex!$BS$2</c:f>
              <c:strCache>
                <c:ptCount val="1"/>
                <c:pt idx="0">
                  <c:v>Mandioca</c:v>
                </c:pt>
              </c:strCache>
            </c:strRef>
          </c:tx>
          <c:spPr>
            <a:solidFill>
              <a:schemeClr val="accent6"/>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Comex!$BS$3:$BS$13</c:f>
              <c:numCache>
                <c:formatCode>#,##0.0000</c:formatCode>
                <c:ptCount val="11"/>
                <c:pt idx="0">
                  <c:v>0</c:v>
                </c:pt>
                <c:pt idx="1">
                  <c:v>1.6640000000000001E-3</c:v>
                </c:pt>
                <c:pt idx="2">
                  <c:v>0</c:v>
                </c:pt>
                <c:pt idx="3">
                  <c:v>0</c:v>
                </c:pt>
                <c:pt idx="4">
                  <c:v>2.5000000000000001E-3</c:v>
                </c:pt>
                <c:pt idx="5">
                  <c:v>0</c:v>
                </c:pt>
                <c:pt idx="6">
                  <c:v>0</c:v>
                </c:pt>
                <c:pt idx="7">
                  <c:v>0</c:v>
                </c:pt>
                <c:pt idx="8">
                  <c:v>0</c:v>
                </c:pt>
                <c:pt idx="9">
                  <c:v>0</c:v>
                </c:pt>
                <c:pt idx="10">
                  <c:v>0</c:v>
                </c:pt>
              </c:numCache>
            </c:numRef>
          </c:val>
          <c:extLst>
            <c:ext xmlns:c16="http://schemas.microsoft.com/office/drawing/2014/chart" uri="{C3380CC4-5D6E-409C-BE32-E72D297353CC}">
              <c16:uniqueId val="{00000005-9D47-4E02-BD1F-F593E9B33B35}"/>
            </c:ext>
          </c:extLst>
        </c:ser>
        <c:ser>
          <c:idx val="6"/>
          <c:order val="6"/>
          <c:tx>
            <c:strRef>
              <c:f>Comex!$BT$2</c:f>
              <c:strCache>
                <c:ptCount val="1"/>
                <c:pt idx="0">
                  <c:v>Hortalizas</c:v>
                </c:pt>
              </c:strCache>
            </c:strRef>
          </c:tx>
          <c:spPr>
            <a:solidFill>
              <a:schemeClr val="accent1">
                <a:lumMod val="6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Comex!$BT$3:$BT$13</c:f>
              <c:numCache>
                <c:formatCode>#,##0</c:formatCode>
                <c:ptCount val="11"/>
                <c:pt idx="0">
                  <c:v>28.48935754</c:v>
                </c:pt>
                <c:pt idx="1">
                  <c:v>16.598590510000001</c:v>
                </c:pt>
                <c:pt idx="2">
                  <c:v>31.018284520000002</c:v>
                </c:pt>
                <c:pt idx="3">
                  <c:v>39.338341269999994</c:v>
                </c:pt>
                <c:pt idx="4">
                  <c:v>44.521935200000001</c:v>
                </c:pt>
                <c:pt idx="5">
                  <c:v>37.528720180000001</c:v>
                </c:pt>
                <c:pt idx="6">
                  <c:v>41.92377046</c:v>
                </c:pt>
                <c:pt idx="7">
                  <c:v>46.856545440000005</c:v>
                </c:pt>
                <c:pt idx="8">
                  <c:v>59.575990539999999</c:v>
                </c:pt>
                <c:pt idx="9">
                  <c:v>37.565798180000002</c:v>
                </c:pt>
                <c:pt idx="10">
                  <c:v>48.08046860000001</c:v>
                </c:pt>
              </c:numCache>
            </c:numRef>
          </c:val>
          <c:extLst>
            <c:ext xmlns:c16="http://schemas.microsoft.com/office/drawing/2014/chart" uri="{C3380CC4-5D6E-409C-BE32-E72D297353CC}">
              <c16:uniqueId val="{00000006-9D47-4E02-BD1F-F593E9B33B35}"/>
            </c:ext>
          </c:extLst>
        </c:ser>
        <c:ser>
          <c:idx val="7"/>
          <c:order val="7"/>
          <c:tx>
            <c:strRef>
              <c:f>Comex!$BU$2</c:f>
              <c:strCache>
                <c:ptCount val="1"/>
                <c:pt idx="0">
                  <c:v>Vitivinicola</c:v>
                </c:pt>
              </c:strCache>
            </c:strRef>
          </c:tx>
          <c:spPr>
            <a:solidFill>
              <a:schemeClr val="accent2">
                <a:lumMod val="6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Comex!$BU$3:$BU$13</c:f>
              <c:numCache>
                <c:formatCode>#,##0</c:formatCode>
                <c:ptCount val="11"/>
                <c:pt idx="0">
                  <c:v>648.49006539000004</c:v>
                </c:pt>
                <c:pt idx="1">
                  <c:v>614.54182077999997</c:v>
                </c:pt>
                <c:pt idx="2">
                  <c:v>638.19388834000017</c:v>
                </c:pt>
                <c:pt idx="3">
                  <c:v>631.23456520000002</c:v>
                </c:pt>
                <c:pt idx="4">
                  <c:v>630.37703975000011</c:v>
                </c:pt>
                <c:pt idx="5">
                  <c:v>655.50522060000003</c:v>
                </c:pt>
                <c:pt idx="6">
                  <c:v>703.96595430000013</c:v>
                </c:pt>
                <c:pt idx="7">
                  <c:v>559.61141283000006</c:v>
                </c:pt>
                <c:pt idx="8">
                  <c:v>626.51545390000001</c:v>
                </c:pt>
                <c:pt idx="9">
                  <c:v>610.25239127999998</c:v>
                </c:pt>
                <c:pt idx="10">
                  <c:v>546.33288755000001</c:v>
                </c:pt>
              </c:numCache>
            </c:numRef>
          </c:val>
          <c:extLst>
            <c:ext xmlns:c16="http://schemas.microsoft.com/office/drawing/2014/chart" uri="{C3380CC4-5D6E-409C-BE32-E72D297353CC}">
              <c16:uniqueId val="{00000007-9D47-4E02-BD1F-F593E9B33B35}"/>
            </c:ext>
          </c:extLst>
        </c:ser>
        <c:ser>
          <c:idx val="8"/>
          <c:order val="8"/>
          <c:tx>
            <c:strRef>
              <c:f>Comex!$BV$2</c:f>
              <c:strCache>
                <c:ptCount val="1"/>
                <c:pt idx="0">
                  <c:v>Peras y Manzanas</c:v>
                </c:pt>
              </c:strCache>
            </c:strRef>
          </c:tx>
          <c:spPr>
            <a:solidFill>
              <a:schemeClr val="accent3">
                <a:lumMod val="6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Comex!$BV$3:$BV$13</c:f>
              <c:numCache>
                <c:formatCode>#,##0</c:formatCode>
                <c:ptCount val="11"/>
                <c:pt idx="0">
                  <c:v>341.38825747999999</c:v>
                </c:pt>
                <c:pt idx="1">
                  <c:v>328.57695723</c:v>
                </c:pt>
                <c:pt idx="2">
                  <c:v>361.95987300999997</c:v>
                </c:pt>
                <c:pt idx="3">
                  <c:v>288.84738544999999</c:v>
                </c:pt>
                <c:pt idx="4">
                  <c:v>325.79420333999997</c:v>
                </c:pt>
                <c:pt idx="5">
                  <c:v>316.41512623000006</c:v>
                </c:pt>
                <c:pt idx="6">
                  <c:v>247.16687897000003</c:v>
                </c:pt>
                <c:pt idx="7">
                  <c:v>287.54382251999999</c:v>
                </c:pt>
                <c:pt idx="8">
                  <c:v>313.84715371999999</c:v>
                </c:pt>
                <c:pt idx="9">
                  <c:v>337.41536924000002</c:v>
                </c:pt>
                <c:pt idx="10">
                  <c:v>327.94638122999999</c:v>
                </c:pt>
              </c:numCache>
            </c:numRef>
          </c:val>
          <c:extLst>
            <c:ext xmlns:c16="http://schemas.microsoft.com/office/drawing/2014/chart" uri="{C3380CC4-5D6E-409C-BE32-E72D297353CC}">
              <c16:uniqueId val="{00000008-9D47-4E02-BD1F-F593E9B33B35}"/>
            </c:ext>
          </c:extLst>
        </c:ser>
        <c:ser>
          <c:idx val="9"/>
          <c:order val="9"/>
          <c:tx>
            <c:strRef>
              <c:f>Comex!$BW$2</c:f>
              <c:strCache>
                <c:ptCount val="1"/>
                <c:pt idx="0">
                  <c:v>Citricos Dulces</c:v>
                </c:pt>
              </c:strCache>
            </c:strRef>
          </c:tx>
          <c:spPr>
            <a:solidFill>
              <a:schemeClr val="accent4">
                <a:lumMod val="6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Comex!$BW$3:$BW$13</c:f>
              <c:numCache>
                <c:formatCode>#,##0</c:formatCode>
                <c:ptCount val="11"/>
                <c:pt idx="0">
                  <c:v>513.85055234000004</c:v>
                </c:pt>
                <c:pt idx="1">
                  <c:v>415.40883904999993</c:v>
                </c:pt>
                <c:pt idx="2">
                  <c:v>433.10917228000005</c:v>
                </c:pt>
                <c:pt idx="3">
                  <c:v>319.79250407000001</c:v>
                </c:pt>
                <c:pt idx="4">
                  <c:v>364.08945529999994</c:v>
                </c:pt>
                <c:pt idx="5">
                  <c:v>311.97407102</c:v>
                </c:pt>
                <c:pt idx="6">
                  <c:v>267.88394356999999</c:v>
                </c:pt>
                <c:pt idx="7">
                  <c:v>235.95863688</c:v>
                </c:pt>
                <c:pt idx="8">
                  <c:v>239.31976814999999</c:v>
                </c:pt>
                <c:pt idx="9">
                  <c:v>334.43990281999999</c:v>
                </c:pt>
                <c:pt idx="10">
                  <c:v>434.84178136999998</c:v>
                </c:pt>
              </c:numCache>
            </c:numRef>
          </c:val>
          <c:extLst>
            <c:ext xmlns:c16="http://schemas.microsoft.com/office/drawing/2014/chart" uri="{C3380CC4-5D6E-409C-BE32-E72D297353CC}">
              <c16:uniqueId val="{00000009-9D47-4E02-BD1F-F593E9B33B35}"/>
            </c:ext>
          </c:extLst>
        </c:ser>
        <c:ser>
          <c:idx val="10"/>
          <c:order val="10"/>
          <c:tx>
            <c:strRef>
              <c:f>Comex!$BX$2</c:f>
              <c:strCache>
                <c:ptCount val="1"/>
                <c:pt idx="0">
                  <c:v>Forestal</c:v>
                </c:pt>
              </c:strCache>
            </c:strRef>
          </c:tx>
          <c:spPr>
            <a:solidFill>
              <a:schemeClr val="accent5">
                <a:lumMod val="6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Comex!$BX$3:$BX$13</c:f>
              <c:numCache>
                <c:formatCode>#,##0</c:formatCode>
                <c:ptCount val="11"/>
                <c:pt idx="0">
                  <c:v>129.46429534999999</c:v>
                </c:pt>
                <c:pt idx="1">
                  <c:v>158.43166237</c:v>
                </c:pt>
                <c:pt idx="2">
                  <c:v>50.234010600000005</c:v>
                </c:pt>
                <c:pt idx="3">
                  <c:v>30.672147939999999</c:v>
                </c:pt>
                <c:pt idx="4">
                  <c:v>130.45436538000001</c:v>
                </c:pt>
                <c:pt idx="5">
                  <c:v>247.29755131000002</c:v>
                </c:pt>
                <c:pt idx="6">
                  <c:v>261.30501544000003</c:v>
                </c:pt>
                <c:pt idx="7">
                  <c:v>199.43734550000002</c:v>
                </c:pt>
                <c:pt idx="8">
                  <c:v>173.77075209999998</c:v>
                </c:pt>
                <c:pt idx="9">
                  <c:v>104.92459273000001</c:v>
                </c:pt>
                <c:pt idx="10">
                  <c:v>134.14277116000002</c:v>
                </c:pt>
              </c:numCache>
            </c:numRef>
          </c:val>
          <c:extLst>
            <c:ext xmlns:c16="http://schemas.microsoft.com/office/drawing/2014/chart" uri="{C3380CC4-5D6E-409C-BE32-E72D297353CC}">
              <c16:uniqueId val="{0000000A-9D47-4E02-BD1F-F593E9B33B35}"/>
            </c:ext>
          </c:extLst>
        </c:ser>
        <c:ser>
          <c:idx val="11"/>
          <c:order val="11"/>
          <c:tx>
            <c:strRef>
              <c:f>Comex!$BY$2</c:f>
              <c:strCache>
                <c:ptCount val="1"/>
                <c:pt idx="0">
                  <c:v>Tabaco</c:v>
                </c:pt>
              </c:strCache>
            </c:strRef>
          </c:tx>
          <c:spPr>
            <a:solidFill>
              <a:schemeClr val="accent6">
                <a:lumMod val="6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Comex!$BY$3:$BY$13</c:f>
              <c:numCache>
                <c:formatCode>#,##0</c:formatCode>
                <c:ptCount val="11"/>
                <c:pt idx="0">
                  <c:v>232.85714189000004</c:v>
                </c:pt>
                <c:pt idx="1">
                  <c:v>214.27715092999998</c:v>
                </c:pt>
                <c:pt idx="2">
                  <c:v>191.74421916</c:v>
                </c:pt>
                <c:pt idx="3">
                  <c:v>152.46961209</c:v>
                </c:pt>
                <c:pt idx="4">
                  <c:v>199.67913107999999</c:v>
                </c:pt>
                <c:pt idx="5">
                  <c:v>175.73344469999998</c:v>
                </c:pt>
                <c:pt idx="6">
                  <c:v>247.42360105</c:v>
                </c:pt>
                <c:pt idx="7">
                  <c:v>361.64911967</c:v>
                </c:pt>
                <c:pt idx="8">
                  <c:v>316.79907093000003</c:v>
                </c:pt>
                <c:pt idx="9">
                  <c:v>364.61010744999999</c:v>
                </c:pt>
                <c:pt idx="10">
                  <c:v>402.16041238999998</c:v>
                </c:pt>
              </c:numCache>
            </c:numRef>
          </c:val>
          <c:extLst>
            <c:ext xmlns:c16="http://schemas.microsoft.com/office/drawing/2014/chart" uri="{C3380CC4-5D6E-409C-BE32-E72D297353CC}">
              <c16:uniqueId val="{0000000B-9D47-4E02-BD1F-F593E9B33B35}"/>
            </c:ext>
          </c:extLst>
        </c:ser>
        <c:ser>
          <c:idx val="12"/>
          <c:order val="12"/>
          <c:tx>
            <c:strRef>
              <c:f>Comex!$BZ$2</c:f>
              <c:strCache>
                <c:ptCount val="1"/>
                <c:pt idx="0">
                  <c:v>Yerba Mate</c:v>
                </c:pt>
              </c:strCache>
            </c:strRef>
          </c:tx>
          <c:spPr>
            <a:solidFill>
              <a:schemeClr val="accent1">
                <a:lumMod val="80000"/>
                <a:lumOff val="2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Comex!$BZ$3:$BZ$13</c:f>
              <c:numCache>
                <c:formatCode>#,##0</c:formatCode>
                <c:ptCount val="11"/>
                <c:pt idx="0">
                  <c:v>42.31110752</c:v>
                </c:pt>
                <c:pt idx="1">
                  <c:v>55.5537682</c:v>
                </c:pt>
                <c:pt idx="2">
                  <c:v>69.072689050000008</c:v>
                </c:pt>
                <c:pt idx="3">
                  <c:v>58.250137790000004</c:v>
                </c:pt>
                <c:pt idx="4">
                  <c:v>73.21122828</c:v>
                </c:pt>
                <c:pt idx="5">
                  <c:v>75.825862699999988</c:v>
                </c:pt>
                <c:pt idx="6">
                  <c:v>66.94344864</c:v>
                </c:pt>
                <c:pt idx="7">
                  <c:v>70.790467849999999</c:v>
                </c:pt>
                <c:pt idx="8">
                  <c:v>75.501360520000006</c:v>
                </c:pt>
                <c:pt idx="9">
                  <c:v>74.72402224999999</c:v>
                </c:pt>
                <c:pt idx="10">
                  <c:v>78.96588319</c:v>
                </c:pt>
              </c:numCache>
            </c:numRef>
          </c:val>
          <c:extLst>
            <c:ext xmlns:c16="http://schemas.microsoft.com/office/drawing/2014/chart" uri="{C3380CC4-5D6E-409C-BE32-E72D297353CC}">
              <c16:uniqueId val="{0000000C-9D47-4E02-BD1F-F593E9B33B35}"/>
            </c:ext>
          </c:extLst>
        </c:ser>
        <c:ser>
          <c:idx val="13"/>
          <c:order val="13"/>
          <c:tx>
            <c:strRef>
              <c:f>Comex!$CA$2</c:f>
              <c:strCache>
                <c:ptCount val="1"/>
                <c:pt idx="0">
                  <c:v>Apícola</c:v>
                </c:pt>
              </c:strCache>
            </c:strRef>
          </c:tx>
          <c:spPr>
            <a:solidFill>
              <a:schemeClr val="accent2">
                <a:lumMod val="80000"/>
                <a:lumOff val="2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Comex!$CA$3:$CA$13</c:f>
              <c:numCache>
                <c:formatCode>#,##0</c:formatCode>
                <c:ptCount val="11"/>
                <c:pt idx="0">
                  <c:v>123.20438830000001</c:v>
                </c:pt>
                <c:pt idx="1">
                  <c:v>134.11464745000001</c:v>
                </c:pt>
                <c:pt idx="2">
                  <c:v>125.53561703</c:v>
                </c:pt>
                <c:pt idx="3">
                  <c:v>104.95142697000001</c:v>
                </c:pt>
                <c:pt idx="4">
                  <c:v>145.55566565999999</c:v>
                </c:pt>
                <c:pt idx="5">
                  <c:v>185.25046561000002</c:v>
                </c:pt>
                <c:pt idx="6">
                  <c:v>211.22973602000002</c:v>
                </c:pt>
                <c:pt idx="7">
                  <c:v>147.42474295</c:v>
                </c:pt>
                <c:pt idx="8">
                  <c:v>139.50839808000001</c:v>
                </c:pt>
                <c:pt idx="9">
                  <c:v>160.61636449999997</c:v>
                </c:pt>
                <c:pt idx="10">
                  <c:v>244.39321285</c:v>
                </c:pt>
              </c:numCache>
            </c:numRef>
          </c:val>
          <c:extLst>
            <c:ext xmlns:c16="http://schemas.microsoft.com/office/drawing/2014/chart" uri="{C3380CC4-5D6E-409C-BE32-E72D297353CC}">
              <c16:uniqueId val="{0000000D-9D47-4E02-BD1F-F593E9B33B35}"/>
            </c:ext>
          </c:extLst>
        </c:ser>
        <c:ser>
          <c:idx val="14"/>
          <c:order val="14"/>
          <c:tx>
            <c:strRef>
              <c:f>Comex!$CB$2</c:f>
              <c:strCache>
                <c:ptCount val="1"/>
                <c:pt idx="0">
                  <c:v>Aviar</c:v>
                </c:pt>
              </c:strCache>
            </c:strRef>
          </c:tx>
          <c:spPr>
            <a:solidFill>
              <a:schemeClr val="accent3">
                <a:lumMod val="80000"/>
                <a:lumOff val="2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Comex!$CB$3:$CB$13</c:f>
              <c:numCache>
                <c:formatCode>#,##0</c:formatCode>
                <c:ptCount val="11"/>
                <c:pt idx="0">
                  <c:v>179.52155086000002</c:v>
                </c:pt>
                <c:pt idx="1">
                  <c:v>213.07472012999997</c:v>
                </c:pt>
                <c:pt idx="2">
                  <c:v>203.32060024999998</c:v>
                </c:pt>
                <c:pt idx="3">
                  <c:v>272.49847516</c:v>
                </c:pt>
                <c:pt idx="4">
                  <c:v>326.81322183000003</c:v>
                </c:pt>
                <c:pt idx="5">
                  <c:v>295.41042904999995</c:v>
                </c:pt>
                <c:pt idx="6">
                  <c:v>383.06838989999994</c:v>
                </c:pt>
                <c:pt idx="7">
                  <c:v>231.61566882000002</c:v>
                </c:pt>
                <c:pt idx="8">
                  <c:v>233.39715329000003</c:v>
                </c:pt>
                <c:pt idx="9">
                  <c:v>57.796365819999998</c:v>
                </c:pt>
                <c:pt idx="10">
                  <c:v>67.080907800000006</c:v>
                </c:pt>
              </c:numCache>
            </c:numRef>
          </c:val>
          <c:extLst>
            <c:ext xmlns:c16="http://schemas.microsoft.com/office/drawing/2014/chart" uri="{C3380CC4-5D6E-409C-BE32-E72D297353CC}">
              <c16:uniqueId val="{0000000E-9D47-4E02-BD1F-F593E9B33B35}"/>
            </c:ext>
          </c:extLst>
        </c:ser>
        <c:ser>
          <c:idx val="15"/>
          <c:order val="15"/>
          <c:tx>
            <c:strRef>
              <c:f>Comex!$CC$2</c:f>
              <c:strCache>
                <c:ptCount val="1"/>
                <c:pt idx="0">
                  <c:v>Bovinos</c:v>
                </c:pt>
              </c:strCache>
            </c:strRef>
          </c:tx>
          <c:spPr>
            <a:solidFill>
              <a:schemeClr val="accent4">
                <a:lumMod val="80000"/>
                <a:lumOff val="2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Comex!$CC$3:$CC$13</c:f>
              <c:numCache>
                <c:formatCode>#,##0</c:formatCode>
                <c:ptCount val="11"/>
                <c:pt idx="0">
                  <c:v>1287.31462057</c:v>
                </c:pt>
                <c:pt idx="1">
                  <c:v>1475.5045843100002</c:v>
                </c:pt>
                <c:pt idx="2">
                  <c:v>1949.4436133500001</c:v>
                </c:pt>
                <c:pt idx="3">
                  <c:v>2345.5506396399996</c:v>
                </c:pt>
                <c:pt idx="4">
                  <c:v>2365.1168018899998</c:v>
                </c:pt>
                <c:pt idx="5">
                  <c:v>2487.58068972</c:v>
                </c:pt>
                <c:pt idx="6">
                  <c:v>3324.2568992199995</c:v>
                </c:pt>
                <c:pt idx="7">
                  <c:v>2707.7336216200001</c:v>
                </c:pt>
                <c:pt idx="8">
                  <c:v>2633.1532810399995</c:v>
                </c:pt>
                <c:pt idx="9">
                  <c:v>3062.1674079999993</c:v>
                </c:pt>
                <c:pt idx="10">
                  <c:v>4123.6159224400008</c:v>
                </c:pt>
              </c:numCache>
            </c:numRef>
          </c:val>
          <c:extLst>
            <c:ext xmlns:c16="http://schemas.microsoft.com/office/drawing/2014/chart" uri="{C3380CC4-5D6E-409C-BE32-E72D297353CC}">
              <c16:uniqueId val="{0000000F-9D47-4E02-BD1F-F593E9B33B35}"/>
            </c:ext>
          </c:extLst>
        </c:ser>
        <c:ser>
          <c:idx val="16"/>
          <c:order val="16"/>
          <c:tx>
            <c:strRef>
              <c:f>Comex!$CD$2</c:f>
              <c:strCache>
                <c:ptCount val="1"/>
                <c:pt idx="0">
                  <c:v>Lechería</c:v>
                </c:pt>
              </c:strCache>
            </c:strRef>
          </c:tx>
          <c:spPr>
            <a:solidFill>
              <a:schemeClr val="accent5">
                <a:lumMod val="80000"/>
                <a:lumOff val="2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Comex!$CD$3:$CD$13</c:f>
              <c:numCache>
                <c:formatCode>#,##0</c:formatCode>
                <c:ptCount val="11"/>
                <c:pt idx="0">
                  <c:v>387.09513541000001</c:v>
                </c:pt>
                <c:pt idx="1">
                  <c:v>357.2788405</c:v>
                </c:pt>
                <c:pt idx="2">
                  <c:v>462.15820546000009</c:v>
                </c:pt>
                <c:pt idx="3">
                  <c:v>394.36482410000008</c:v>
                </c:pt>
                <c:pt idx="4">
                  <c:v>783.60925797000004</c:v>
                </c:pt>
                <c:pt idx="5">
                  <c:v>950.31028311</c:v>
                </c:pt>
                <c:pt idx="6">
                  <c:v>1244.8464380600001</c:v>
                </c:pt>
                <c:pt idx="7">
                  <c:v>1009.2699219299999</c:v>
                </c:pt>
                <c:pt idx="8">
                  <c:v>986.76098533000004</c:v>
                </c:pt>
                <c:pt idx="9">
                  <c:v>1111.74604628</c:v>
                </c:pt>
                <c:pt idx="10">
                  <c:v>1202.1986905900001</c:v>
                </c:pt>
              </c:numCache>
            </c:numRef>
          </c:val>
          <c:extLst>
            <c:ext xmlns:c16="http://schemas.microsoft.com/office/drawing/2014/chart" uri="{C3380CC4-5D6E-409C-BE32-E72D297353CC}">
              <c16:uniqueId val="{00000010-9D47-4E02-BD1F-F593E9B33B35}"/>
            </c:ext>
          </c:extLst>
        </c:ser>
        <c:ser>
          <c:idx val="17"/>
          <c:order val="17"/>
          <c:tx>
            <c:strRef>
              <c:f>Comex!$CE$2</c:f>
              <c:strCache>
                <c:ptCount val="1"/>
                <c:pt idx="0">
                  <c:v>Ovinos</c:v>
                </c:pt>
              </c:strCache>
            </c:strRef>
          </c:tx>
          <c:spPr>
            <a:solidFill>
              <a:schemeClr val="accent6">
                <a:lumMod val="80000"/>
                <a:lumOff val="20000"/>
              </a:schemeClr>
            </a:solidFill>
            <a:ln>
              <a:noFill/>
            </a:ln>
            <a:effectLst/>
          </c:spPr>
          <c:invertIfNegative val="0"/>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Comex!$CE$3:$CE$13</c:f>
              <c:numCache>
                <c:formatCode>#,##0</c:formatCode>
                <c:ptCount val="11"/>
                <c:pt idx="0">
                  <c:v>156.29587697999997</c:v>
                </c:pt>
                <c:pt idx="1">
                  <c:v>144.58607935999999</c:v>
                </c:pt>
                <c:pt idx="2">
                  <c:v>196.13031033000001</c:v>
                </c:pt>
                <c:pt idx="3">
                  <c:v>175.64852985999997</c:v>
                </c:pt>
                <c:pt idx="4">
                  <c:v>137.43047837</c:v>
                </c:pt>
                <c:pt idx="5">
                  <c:v>197.83466356</c:v>
                </c:pt>
                <c:pt idx="6">
                  <c:v>191.35107782</c:v>
                </c:pt>
                <c:pt idx="7">
                  <c:v>145.69416641000001</c:v>
                </c:pt>
                <c:pt idx="8">
                  <c:v>142.75738236999999</c:v>
                </c:pt>
                <c:pt idx="9">
                  <c:v>166.30927546999999</c:v>
                </c:pt>
                <c:pt idx="10">
                  <c:v>271.10130197000001</c:v>
                </c:pt>
              </c:numCache>
            </c:numRef>
          </c:val>
          <c:extLst>
            <c:ext xmlns:c16="http://schemas.microsoft.com/office/drawing/2014/chart" uri="{C3380CC4-5D6E-409C-BE32-E72D297353CC}">
              <c16:uniqueId val="{00000011-9D47-4E02-BD1F-F593E9B33B35}"/>
            </c:ext>
          </c:extLst>
        </c:ser>
        <c:ser>
          <c:idx val="18"/>
          <c:order val="18"/>
          <c:tx>
            <c:strRef>
              <c:f>Comex!$CF$2</c:f>
              <c:strCache>
                <c:ptCount val="1"/>
                <c:pt idx="0">
                  <c:v>Porcinos</c:v>
                </c:pt>
              </c:strCache>
            </c:strRef>
          </c:tx>
          <c:spPr>
            <a:solidFill>
              <a:schemeClr val="accent1">
                <a:lumMod val="80000"/>
              </a:schemeClr>
            </a:solidFill>
            <a:ln>
              <a:noFill/>
            </a:ln>
            <a:effectLst/>
          </c:spPr>
          <c:invertIfNegative val="0"/>
          <c:dLbls>
            <c:dLbl>
              <c:idx val="0"/>
              <c:layout>
                <c:manualLayout>
                  <c:x val="-1.0475496308227619E-17"/>
                  <c:y val="-1.1531729166898399E-2"/>
                </c:manualLayout>
              </c:layout>
              <c:tx>
                <c:rich>
                  <a:bodyPr/>
                  <a:lstStyle/>
                  <a:p>
                    <a:fld id="{DBDCEA80-9322-41EE-B54B-9719BE81E656}"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dlblFieldTable>
                    <c15:dlblFTEntry>
                      <c15:txfldGUID>{DBDCEA80-9322-41EE-B54B-9719BE81E656}</c15:txfldGUID>
                      <c15:f>Comex!$CH$3</c15:f>
                      <c15:dlblFieldTableCache>
                        <c:ptCount val="1"/>
                        <c:pt idx="0">
                          <c:v>5.031</c:v>
                        </c:pt>
                      </c15:dlblFieldTableCache>
                    </c15:dlblFTEntry>
                  </c15:dlblFieldTable>
                  <c15:showDataLabelsRange val="0"/>
                </c:ext>
                <c:ext xmlns:c16="http://schemas.microsoft.com/office/drawing/2014/chart" uri="{C3380CC4-5D6E-409C-BE32-E72D297353CC}">
                  <c16:uniqueId val="{00000000-5DA7-4557-B843-5B6F603F69C2}"/>
                </c:ext>
              </c:extLst>
            </c:dLbl>
            <c:dLbl>
              <c:idx val="1"/>
              <c:layout>
                <c:manualLayout>
                  <c:x val="0"/>
                  <c:y val="-1.4414661458622998E-2"/>
                </c:manualLayout>
              </c:layout>
              <c:tx>
                <c:rich>
                  <a:bodyPr/>
                  <a:lstStyle/>
                  <a:p>
                    <a:fld id="{8DC032BA-952E-4C9C-A8B0-1F0DBE0505D7}"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dlblFieldTable>
                    <c15:dlblFTEntry>
                      <c15:txfldGUID>{8DC032BA-952E-4C9C-A8B0-1F0DBE0505D7}</c15:txfldGUID>
                      <c15:f>Comex!$CH$4</c15:f>
                      <c15:dlblFieldTableCache>
                        <c:ptCount val="1"/>
                        <c:pt idx="0">
                          <c:v>5.002</c:v>
                        </c:pt>
                      </c15:dlblFieldTableCache>
                    </c15:dlblFTEntry>
                  </c15:dlblFieldTable>
                  <c15:showDataLabelsRange val="0"/>
                </c:ext>
                <c:ext xmlns:c16="http://schemas.microsoft.com/office/drawing/2014/chart" uri="{C3380CC4-5D6E-409C-BE32-E72D297353CC}">
                  <c16:uniqueId val="{00000045-5DA7-4557-B843-5B6F603F69C2}"/>
                </c:ext>
              </c:extLst>
            </c:dLbl>
            <c:dLbl>
              <c:idx val="2"/>
              <c:layout>
                <c:manualLayout>
                  <c:x val="0"/>
                  <c:y val="-1.4414661458623051E-2"/>
                </c:manualLayout>
              </c:layout>
              <c:tx>
                <c:rich>
                  <a:bodyPr/>
                  <a:lstStyle/>
                  <a:p>
                    <a:fld id="{5592411B-617E-482E-B654-7F278DB1374D}"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dlblFieldTable>
                    <c15:dlblFTEntry>
                      <c15:txfldGUID>{5592411B-617E-482E-B654-7F278DB1374D}</c15:txfldGUID>
                      <c15:f>Comex!$CH$5</c15:f>
                      <c15:dlblFieldTableCache>
                        <c:ptCount val="1"/>
                        <c:pt idx="0">
                          <c:v>5.493</c:v>
                        </c:pt>
                      </c15:dlblFieldTableCache>
                    </c15:dlblFTEntry>
                  </c15:dlblFieldTable>
                  <c15:showDataLabelsRange val="0"/>
                </c:ext>
                <c:ext xmlns:c16="http://schemas.microsoft.com/office/drawing/2014/chart" uri="{C3380CC4-5D6E-409C-BE32-E72D297353CC}">
                  <c16:uniqueId val="{00000046-5DA7-4557-B843-5B6F603F69C2}"/>
                </c:ext>
              </c:extLst>
            </c:dLbl>
            <c:dLbl>
              <c:idx val="3"/>
              <c:layout>
                <c:manualLayout>
                  <c:x val="0"/>
                  <c:y val="-1.1531729166898345E-2"/>
                </c:manualLayout>
              </c:layout>
              <c:tx>
                <c:rich>
                  <a:bodyPr/>
                  <a:lstStyle/>
                  <a:p>
                    <a:fld id="{E8FBA271-051D-454B-92E8-067977AACF68}"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dlblFieldTable>
                    <c15:dlblFTEntry>
                      <c15:txfldGUID>{E8FBA271-051D-454B-92E8-067977AACF68}</c15:txfldGUID>
                      <c15:f>Comex!$CH$6</c15:f>
                      <c15:dlblFieldTableCache>
                        <c:ptCount val="1"/>
                        <c:pt idx="0">
                          <c:v>5.650</c:v>
                        </c:pt>
                      </c15:dlblFieldTableCache>
                    </c15:dlblFTEntry>
                  </c15:dlblFieldTable>
                  <c15:showDataLabelsRange val="0"/>
                </c:ext>
                <c:ext xmlns:c16="http://schemas.microsoft.com/office/drawing/2014/chart" uri="{C3380CC4-5D6E-409C-BE32-E72D297353CC}">
                  <c16:uniqueId val="{00000001-5DA7-4557-B843-5B6F603F69C2}"/>
                </c:ext>
              </c:extLst>
            </c:dLbl>
            <c:dLbl>
              <c:idx val="4"/>
              <c:layout>
                <c:manualLayout>
                  <c:x val="-4.5711784678057659E-3"/>
                  <c:y val="-1.7297593750347597E-2"/>
                </c:manualLayout>
              </c:layout>
              <c:tx>
                <c:rich>
                  <a:bodyPr/>
                  <a:lstStyle/>
                  <a:p>
                    <a:fld id="{B9AEA6B2-85AE-45AB-9060-0A699F6CCF62}"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dlblFieldTable>
                    <c15:dlblFTEntry>
                      <c15:txfldGUID>{B9AEA6B2-85AE-45AB-9060-0A699F6CCF62}</c15:txfldGUID>
                      <c15:f>Comex!$CH$7</c15:f>
                      <c15:dlblFieldTableCache>
                        <c:ptCount val="1"/>
                        <c:pt idx="0">
                          <c:v>6.696</c:v>
                        </c:pt>
                      </c15:dlblFieldTableCache>
                    </c15:dlblFTEntry>
                  </c15:dlblFieldTable>
                  <c15:showDataLabelsRange val="0"/>
                </c:ext>
                <c:ext xmlns:c16="http://schemas.microsoft.com/office/drawing/2014/chart" uri="{C3380CC4-5D6E-409C-BE32-E72D297353CC}">
                  <c16:uniqueId val="{00000047-5DA7-4557-B843-5B6F603F69C2}"/>
                </c:ext>
              </c:extLst>
            </c:dLbl>
            <c:dLbl>
              <c:idx val="5"/>
              <c:layout>
                <c:manualLayout>
                  <c:x val="0"/>
                  <c:y val="-1.1531729166898399E-2"/>
                </c:manualLayout>
              </c:layout>
              <c:tx>
                <c:rich>
                  <a:bodyPr/>
                  <a:lstStyle/>
                  <a:p>
                    <a:fld id="{B219D941-3BAD-424F-8CF6-33AFC61E7EDF}"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dlblFieldTable>
                    <c15:dlblFTEntry>
                      <c15:txfldGUID>{B219D941-3BAD-424F-8CF6-33AFC61E7EDF}</c15:txfldGUID>
                      <c15:f>Comex!$CH$8</c15:f>
                      <c15:dlblFieldTableCache>
                        <c:ptCount val="1"/>
                        <c:pt idx="0">
                          <c:v>7.260</c:v>
                        </c:pt>
                      </c15:dlblFieldTableCache>
                    </c15:dlblFTEntry>
                  </c15:dlblFieldTable>
                  <c15:showDataLabelsRange val="0"/>
                </c:ext>
                <c:ext xmlns:c16="http://schemas.microsoft.com/office/drawing/2014/chart" uri="{C3380CC4-5D6E-409C-BE32-E72D297353CC}">
                  <c16:uniqueId val="{00000048-5DA7-4557-B843-5B6F603F69C2}"/>
                </c:ext>
              </c:extLst>
            </c:dLbl>
            <c:dLbl>
              <c:idx val="6"/>
              <c:layout>
                <c:manualLayout>
                  <c:x val="-4.5942070195011866E-3"/>
                  <c:y val="-1.310680875920372E-2"/>
                </c:manualLayout>
              </c:layout>
              <c:tx>
                <c:rich>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fld id="{941787C6-3BC9-4B83-9267-1D7311829D79}" type="CELLREF">
                      <a:rPr lang="en-US"/>
                      <a:pPr>
                        <a:defRPr sz="700">
                          <a:solidFill>
                            <a:sysClr val="windowText" lastClr="000000"/>
                          </a:solidFill>
                        </a:defRPr>
                      </a:pPr>
                      <a:t>[CELLREF]</a:t>
                    </a:fld>
                    <a:endParaRPr lang="es-AR"/>
                  </a:p>
                </c:rich>
              </c:tx>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15:layout>
                    <c:manualLayout>
                      <c:w val="0.10091591112500278"/>
                      <c:h val="4.5818022172091043E-2"/>
                    </c:manualLayout>
                  </c15:layout>
                  <c15:dlblFieldTable>
                    <c15:dlblFTEntry>
                      <c15:txfldGUID>{941787C6-3BC9-4B83-9267-1D7311829D79}</c15:txfldGUID>
                      <c15:f>Comex!$CH$9</c15:f>
                      <c15:dlblFieldTableCache>
                        <c:ptCount val="1"/>
                        <c:pt idx="0">
                          <c:v>8.547</c:v>
                        </c:pt>
                      </c15:dlblFieldTableCache>
                    </c15:dlblFTEntry>
                  </c15:dlblFieldTable>
                  <c15:showDataLabelsRange val="0"/>
                </c:ext>
                <c:ext xmlns:c16="http://schemas.microsoft.com/office/drawing/2014/chart" uri="{C3380CC4-5D6E-409C-BE32-E72D297353CC}">
                  <c16:uniqueId val="{00000049-5DA7-4557-B843-5B6F603F69C2}"/>
                </c:ext>
              </c:extLst>
            </c:dLbl>
            <c:dLbl>
              <c:idx val="7"/>
              <c:layout>
                <c:manualLayout>
                  <c:x val="-8.3803970465820948E-17"/>
                  <c:y val="-1.4414661458622998E-2"/>
                </c:manualLayout>
              </c:layout>
              <c:tx>
                <c:rich>
                  <a:bodyPr/>
                  <a:lstStyle/>
                  <a:p>
                    <a:fld id="{FAC3C17D-F7B3-452D-9B44-96CB5666A6B0}"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dlblFieldTable>
                    <c15:dlblFTEntry>
                      <c15:txfldGUID>{FAC3C17D-F7B3-452D-9B44-96CB5666A6B0}</c15:txfldGUID>
                      <c15:f>Comex!$CH$10</c15:f>
                      <c15:dlblFieldTableCache>
                        <c:ptCount val="1"/>
                        <c:pt idx="0">
                          <c:v>7.331</c:v>
                        </c:pt>
                      </c15:dlblFieldTableCache>
                    </c15:dlblFTEntry>
                  </c15:dlblFieldTable>
                  <c15:showDataLabelsRange val="0"/>
                </c:ext>
                <c:ext xmlns:c16="http://schemas.microsoft.com/office/drawing/2014/chart" uri="{C3380CC4-5D6E-409C-BE32-E72D297353CC}">
                  <c16:uniqueId val="{0000004A-5DA7-4557-B843-5B6F603F69C2}"/>
                </c:ext>
              </c:extLst>
            </c:dLbl>
            <c:dLbl>
              <c:idx val="8"/>
              <c:layout>
                <c:manualLayout>
                  <c:x val="0"/>
                  <c:y val="-1.4414661458623051E-2"/>
                </c:manualLayout>
              </c:layout>
              <c:tx>
                <c:rich>
                  <a:bodyPr/>
                  <a:lstStyle/>
                  <a:p>
                    <a:fld id="{0FAE603E-EB57-4E88-BE02-F76198177953}"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dlblFieldTable>
                    <c15:dlblFTEntry>
                      <c15:txfldGUID>{0FAE603E-EB57-4E88-BE02-F76198177953}</c15:txfldGUID>
                      <c15:f>Comex!$CH$11</c15:f>
                      <c15:dlblFieldTableCache>
                        <c:ptCount val="1"/>
                        <c:pt idx="0">
                          <c:v>7.324</c:v>
                        </c:pt>
                      </c15:dlblFieldTableCache>
                    </c15:dlblFTEntry>
                  </c15:dlblFieldTable>
                  <c15:showDataLabelsRange val="0"/>
                </c:ext>
                <c:ext xmlns:c16="http://schemas.microsoft.com/office/drawing/2014/chart" uri="{C3380CC4-5D6E-409C-BE32-E72D297353CC}">
                  <c16:uniqueId val="{0000004B-5DA7-4557-B843-5B6F603F69C2}"/>
                </c:ext>
              </c:extLst>
            </c:dLbl>
            <c:dLbl>
              <c:idx val="9"/>
              <c:layout>
                <c:manualLayout>
                  <c:x val="4.5711784678057659E-3"/>
                  <c:y val="-1.4414661458622998E-2"/>
                </c:manualLayout>
              </c:layout>
              <c:tx>
                <c:rich>
                  <a:bodyPr/>
                  <a:lstStyle/>
                  <a:p>
                    <a:fld id="{9C0108C9-FF6B-4D50-8AB2-46728746FF9F}"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dlblFieldTable>
                    <c15:dlblFTEntry>
                      <c15:txfldGUID>{9C0108C9-FF6B-4D50-8AB2-46728746FF9F}</c15:txfldGUID>
                      <c15:f>Comex!$CH$12</c15:f>
                      <c15:dlblFieldTableCache>
                        <c:ptCount val="1"/>
                        <c:pt idx="0">
                          <c:v>7.947</c:v>
                        </c:pt>
                      </c15:dlblFieldTableCache>
                    </c15:dlblFTEntry>
                  </c15:dlblFieldTable>
                  <c15:showDataLabelsRange val="0"/>
                </c:ext>
                <c:ext xmlns:c16="http://schemas.microsoft.com/office/drawing/2014/chart" uri="{C3380CC4-5D6E-409C-BE32-E72D297353CC}">
                  <c16:uniqueId val="{0000004C-5DA7-4557-B843-5B6F603F69C2}"/>
                </c:ext>
              </c:extLst>
            </c:dLbl>
            <c:dLbl>
              <c:idx val="10"/>
              <c:layout>
                <c:manualLayout>
                  <c:x val="6.2438430189543041E-3"/>
                  <c:y val="-1.6711044747243369E-2"/>
                </c:manualLayout>
              </c:layout>
              <c:tx>
                <c:rich>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fld id="{114362C7-3FDB-4547-8E22-DC7FC298E8F3}" type="CELLREF">
                      <a:rPr lang="en-US"/>
                      <a:pPr>
                        <a:defRPr sz="700">
                          <a:solidFill>
                            <a:sysClr val="windowText" lastClr="000000"/>
                          </a:solidFill>
                        </a:defRPr>
                      </a:pPr>
                      <a:t>[CELLREF]</a:t>
                    </a:fld>
                    <a:endParaRPr lang="es-AR"/>
                  </a:p>
                </c:rich>
              </c:tx>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endParaRPr lang="es-AR"/>
                </a:p>
              </c:txPr>
              <c:showLegendKey val="0"/>
              <c:showVal val="1"/>
              <c:showCatName val="0"/>
              <c:showSerName val="0"/>
              <c:showPercent val="0"/>
              <c:showBubbleSize val="0"/>
              <c:extLst>
                <c:ext xmlns:c15="http://schemas.microsoft.com/office/drawing/2012/chart" uri="{CE6537A1-D6FC-4f65-9D91-7224C49458BB}">
                  <c15:layout>
                    <c:manualLayout>
                      <c:w val="0.13238207550383352"/>
                      <c:h val="5.357391337778996E-2"/>
                    </c:manualLayout>
                  </c15:layout>
                  <c15:dlblFieldTable>
                    <c15:dlblFTEntry>
                      <c15:txfldGUID>{114362C7-3FDB-4547-8E22-DC7FC298E8F3}</c15:txfldGUID>
                      <c15:f>Comex!$CH$13</c15:f>
                      <c15:dlblFieldTableCache>
                        <c:ptCount val="1"/>
                        <c:pt idx="0">
                          <c:v>9.449</c:v>
                        </c:pt>
                      </c15:dlblFieldTableCache>
                    </c15:dlblFTEntry>
                  </c15:dlblFieldTable>
                  <c15:showDataLabelsRange val="0"/>
                </c:ext>
                <c:ext xmlns:c16="http://schemas.microsoft.com/office/drawing/2014/chart" uri="{C3380CC4-5D6E-409C-BE32-E72D297353CC}">
                  <c16:uniqueId val="{00000000-64BF-4027-B757-3651BB52048C}"/>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Comex!$BM$3:$BM$13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Comex!$CF$3:$CF$13</c:f>
              <c:numCache>
                <c:formatCode>#,##0</c:formatCode>
                <c:ptCount val="11"/>
                <c:pt idx="0">
                  <c:v>7.0322253799999999</c:v>
                </c:pt>
                <c:pt idx="1">
                  <c:v>12.538792029999998</c:v>
                </c:pt>
                <c:pt idx="2">
                  <c:v>14.42498226</c:v>
                </c:pt>
                <c:pt idx="3">
                  <c:v>13.156129090000002</c:v>
                </c:pt>
                <c:pt idx="4">
                  <c:v>52.660321100000004</c:v>
                </c:pt>
                <c:pt idx="5">
                  <c:v>57.22260210999999</c:v>
                </c:pt>
                <c:pt idx="6">
                  <c:v>10.239834759999999</c:v>
                </c:pt>
                <c:pt idx="7">
                  <c:v>13.396280669999999</c:v>
                </c:pt>
                <c:pt idx="8">
                  <c:v>17.962227929999997</c:v>
                </c:pt>
                <c:pt idx="9">
                  <c:v>17.024898269999998</c:v>
                </c:pt>
                <c:pt idx="10">
                  <c:v>26.464584509999998</c:v>
                </c:pt>
              </c:numCache>
            </c:numRef>
          </c:val>
          <c:extLst>
            <c:ext xmlns:c16="http://schemas.microsoft.com/office/drawing/2014/chart" uri="{C3380CC4-5D6E-409C-BE32-E72D297353CC}">
              <c16:uniqueId val="{00000012-9D47-4E02-BD1F-F593E9B33B35}"/>
            </c:ext>
          </c:extLst>
        </c:ser>
        <c:dLbls>
          <c:showLegendKey val="0"/>
          <c:showVal val="0"/>
          <c:showCatName val="0"/>
          <c:showSerName val="0"/>
          <c:showPercent val="0"/>
          <c:showBubbleSize val="0"/>
        </c:dLbls>
        <c:gapWidth val="55"/>
        <c:overlap val="100"/>
        <c:axId val="1148056864"/>
        <c:axId val="1148059744"/>
        <c:extLst>
          <c:ext xmlns:c15="http://schemas.microsoft.com/office/drawing/2012/chart" uri="{02D57815-91ED-43cb-92C2-25804820EDAC}">
            <c15:filteredBarSeries>
              <c15:ser>
                <c:idx val="2"/>
                <c:order val="2"/>
                <c:tx>
                  <c:strRef>
                    <c:extLst>
                      <c:ext uri="{02D57815-91ED-43cb-92C2-25804820EDAC}">
                        <c15:formulaRef>
                          <c15:sqref>Comex!$BP$2</c15:sqref>
                        </c15:formulaRef>
                      </c:ext>
                    </c:extLst>
                    <c:strCache>
                      <c:ptCount val="1"/>
                      <c:pt idx="0">
                        <c:v>Granos</c:v>
                      </c:pt>
                    </c:strCache>
                  </c:strRef>
                </c:tx>
                <c:spPr>
                  <a:solidFill>
                    <a:schemeClr val="accent3"/>
                  </a:solidFill>
                  <a:ln>
                    <a:noFill/>
                  </a:ln>
                  <a:effectLst/>
                </c:spPr>
                <c:invertIfNegative val="0"/>
                <c:cat>
                  <c:numRef>
                    <c:extLst>
                      <c:ext uri="{02D57815-91ED-43cb-92C2-25804820EDAC}">
                        <c15:formulaRef>
                          <c15:sqref>Comex!$BM$3:$BM$13</c15:sqref>
                        </c15:formulaRef>
                      </c:ext>
                    </c:extLst>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extLst>
                      <c:ext uri="{02D57815-91ED-43cb-92C2-25804820EDAC}">
                        <c15:formulaRef>
                          <c15:sqref>Comex!$BP$3:$BP$13</c15:sqref>
                        </c15:formulaRef>
                      </c:ext>
                    </c:extLst>
                    <c:numCache>
                      <c:formatCode>#,##0</c:formatCode>
                      <c:ptCount val="11"/>
                      <c:pt idx="0">
                        <c:v>18209.237029890002</c:v>
                      </c:pt>
                      <c:pt idx="1">
                        <c:v>16925.387918019998</c:v>
                      </c:pt>
                      <c:pt idx="2">
                        <c:v>15169.646337929998</c:v>
                      </c:pt>
                      <c:pt idx="3">
                        <c:v>17848.046355580002</c:v>
                      </c:pt>
                      <c:pt idx="4">
                        <c:v>23141.079508639999</c:v>
                      </c:pt>
                      <c:pt idx="5">
                        <c:v>37026.775412339994</c:v>
                      </c:pt>
                      <c:pt idx="6">
                        <c:v>41310.407698330004</c:v>
                      </c:pt>
                      <c:pt idx="7">
                        <c:v>25410.021335450001</c:v>
                      </c:pt>
                      <c:pt idx="8">
                        <c:v>31324.669357089999</c:v>
                      </c:pt>
                      <c:pt idx="9">
                        <c:v>29720.179317129998</c:v>
                      </c:pt>
                      <c:pt idx="10">
                        <c:v>34060.531375189996</c:v>
                      </c:pt>
                    </c:numCache>
                  </c:numRef>
                </c:val>
                <c:extLst>
                  <c:ext xmlns:c16="http://schemas.microsoft.com/office/drawing/2014/chart" uri="{C3380CC4-5D6E-409C-BE32-E72D297353CC}">
                    <c16:uniqueId val="{00000002-9D47-4E02-BD1F-F593E9B33B35}"/>
                  </c:ext>
                </c:extLst>
              </c15:ser>
            </c15:filteredBarSeries>
          </c:ext>
        </c:extLst>
      </c:barChart>
      <c:catAx>
        <c:axId val="114805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s-ES"/>
          </a:p>
        </c:txPr>
        <c:crossAx val="1148059744"/>
        <c:crosses val="autoZero"/>
        <c:auto val="1"/>
        <c:lblAlgn val="ctr"/>
        <c:lblOffset val="100"/>
        <c:noMultiLvlLbl val="0"/>
      </c:catAx>
      <c:valAx>
        <c:axId val="1148059744"/>
        <c:scaling>
          <c:orientation val="minMax"/>
          <c:max val="9000"/>
          <c:min val="0"/>
        </c:scaling>
        <c:delete val="1"/>
        <c:axPos val="l"/>
        <c:numFmt formatCode="#,##0" sourceLinked="1"/>
        <c:majorTickMark val="out"/>
        <c:minorTickMark val="none"/>
        <c:tickLblPos val="nextTo"/>
        <c:crossAx val="1148056864"/>
        <c:crosses val="autoZero"/>
        <c:crossBetween val="between"/>
        <c:majorUnit val="1000"/>
      </c:valAx>
      <c:spPr>
        <a:noFill/>
        <a:ln>
          <a:noFill/>
        </a:ln>
        <a:effectLst/>
      </c:spPr>
    </c:plotArea>
    <c:legend>
      <c:legendPos val="t"/>
      <c:layout>
        <c:manualLayout>
          <c:xMode val="edge"/>
          <c:yMode val="edge"/>
          <c:x val="8.2698982216462963E-2"/>
          <c:y val="8.2393167057119368E-2"/>
          <c:w val="0.86422498464316799"/>
          <c:h val="0.15358835153305334"/>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s-ES"/>
        </a:p>
      </c:txPr>
    </c:legend>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s-AR" sz="1000" b="1"/>
              <a:t>Variación % importaciones acumuladas 2026 respecto al promedio acumulado 2016-2025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ES"/>
        </a:p>
      </c:txPr>
    </c:title>
    <c:autoTitleDeleted val="0"/>
    <c:plotArea>
      <c:layout>
        <c:manualLayout>
          <c:layoutTarget val="inner"/>
          <c:xMode val="edge"/>
          <c:yMode val="edge"/>
          <c:x val="0.32203189188497416"/>
          <c:y val="0.19558819374328593"/>
          <c:w val="0.6535884769449315"/>
          <c:h val="0.74720207722953025"/>
        </c:manualLayout>
      </c:layout>
      <c:barChart>
        <c:barDir val="bar"/>
        <c:grouping val="clustered"/>
        <c:varyColors val="0"/>
        <c:ser>
          <c:idx val="0"/>
          <c:order val="0"/>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Comex!$CI$2:$DA$2</c:f>
              <c:strCache>
                <c:ptCount val="19"/>
                <c:pt idx="0">
                  <c:v>Algodón</c:v>
                </c:pt>
                <c:pt idx="1">
                  <c:v>Arroz</c:v>
                </c:pt>
                <c:pt idx="2">
                  <c:v>Granos</c:v>
                </c:pt>
                <c:pt idx="3">
                  <c:v>Mani</c:v>
                </c:pt>
                <c:pt idx="4">
                  <c:v>Papa</c:v>
                </c:pt>
                <c:pt idx="5">
                  <c:v>Mandioca</c:v>
                </c:pt>
                <c:pt idx="6">
                  <c:v>Hortalizas</c:v>
                </c:pt>
                <c:pt idx="7">
                  <c:v>Vitivinicola</c:v>
                </c:pt>
                <c:pt idx="8">
                  <c:v>Peras y Manzanas</c:v>
                </c:pt>
                <c:pt idx="9">
                  <c:v>Citricos Dulces</c:v>
                </c:pt>
                <c:pt idx="10">
                  <c:v>Forestal</c:v>
                </c:pt>
                <c:pt idx="11">
                  <c:v>Tabaco</c:v>
                </c:pt>
                <c:pt idx="12">
                  <c:v>Yerba Mate</c:v>
                </c:pt>
                <c:pt idx="13">
                  <c:v>Apícola</c:v>
                </c:pt>
                <c:pt idx="14">
                  <c:v>Aviar</c:v>
                </c:pt>
                <c:pt idx="15">
                  <c:v>Bovinos</c:v>
                </c:pt>
                <c:pt idx="16">
                  <c:v>Lechería</c:v>
                </c:pt>
                <c:pt idx="17">
                  <c:v>Ovinos</c:v>
                </c:pt>
                <c:pt idx="18">
                  <c:v>Porcinos</c:v>
                </c:pt>
              </c:strCache>
            </c:strRef>
          </c:cat>
          <c:val>
            <c:numRef>
              <c:f>Comex!$CI$17:$DA$17</c:f>
              <c:numCache>
                <c:formatCode>0%</c:formatCode>
                <c:ptCount val="19"/>
                <c:pt idx="0">
                  <c:v>-0.24143533851371979</c:v>
                </c:pt>
                <c:pt idx="1">
                  <c:v>-0.47075763261287351</c:v>
                </c:pt>
                <c:pt idx="2">
                  <c:v>0.54628389277126943</c:v>
                </c:pt>
                <c:pt idx="3">
                  <c:v>-0.12663324608253734</c:v>
                </c:pt>
                <c:pt idx="4">
                  <c:v>0.22180880446035012</c:v>
                </c:pt>
                <c:pt idx="5">
                  <c:v>1.2093676591810789</c:v>
                </c:pt>
                <c:pt idx="6">
                  <c:v>-0.28940084713894143</c:v>
                </c:pt>
                <c:pt idx="7">
                  <c:v>0.84589119523266731</c:v>
                </c:pt>
                <c:pt idx="8">
                  <c:v>0.19833058656022384</c:v>
                </c:pt>
                <c:pt idx="9">
                  <c:v>-0.17358565816127536</c:v>
                </c:pt>
                <c:pt idx="10">
                  <c:v>-0.14881283958121294</c:v>
                </c:pt>
                <c:pt idx="11">
                  <c:v>6.100666234025498E-3</c:v>
                </c:pt>
                <c:pt idx="12">
                  <c:v>0.2417705749785517</c:v>
                </c:pt>
                <c:pt idx="13">
                  <c:v>-0.92141547463576068</c:v>
                </c:pt>
                <c:pt idx="14">
                  <c:v>0.21615787754646787</c:v>
                </c:pt>
                <c:pt idx="15">
                  <c:v>2.0064576272187469</c:v>
                </c:pt>
                <c:pt idx="16">
                  <c:v>0.36177526427657014</c:v>
                </c:pt>
                <c:pt idx="17">
                  <c:v>-0.258815576304261</c:v>
                </c:pt>
                <c:pt idx="18">
                  <c:v>0.96417166879750371</c:v>
                </c:pt>
              </c:numCache>
            </c:numRef>
          </c:val>
          <c:extLst>
            <c:ext xmlns:c16="http://schemas.microsoft.com/office/drawing/2014/chart" uri="{C3380CC4-5D6E-409C-BE32-E72D297353CC}">
              <c16:uniqueId val="{00000000-90D4-4DAA-9EA8-6EC9FA5E9383}"/>
            </c:ext>
          </c:extLst>
        </c:ser>
        <c:dLbls>
          <c:showLegendKey val="0"/>
          <c:showVal val="0"/>
          <c:showCatName val="0"/>
          <c:showSerName val="0"/>
          <c:showPercent val="0"/>
          <c:showBubbleSize val="0"/>
        </c:dLbls>
        <c:gapWidth val="100"/>
        <c:axId val="369984607"/>
        <c:axId val="369999487"/>
      </c:barChart>
      <c:catAx>
        <c:axId val="36998460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ES"/>
          </a:p>
        </c:txPr>
        <c:crossAx val="369999487"/>
        <c:crosses val="autoZero"/>
        <c:auto val="1"/>
        <c:lblAlgn val="ctr"/>
        <c:lblOffset val="100"/>
        <c:noMultiLvlLbl val="0"/>
      </c:catAx>
      <c:valAx>
        <c:axId val="369999487"/>
        <c:scaling>
          <c:orientation val="minMax"/>
        </c:scaling>
        <c:delete val="1"/>
        <c:axPos val="b"/>
        <c:numFmt formatCode="0%" sourceLinked="1"/>
        <c:majorTickMark val="none"/>
        <c:minorTickMark val="none"/>
        <c:tickLblPos val="nextTo"/>
        <c:crossAx val="36998460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000" b="1">
                <a:solidFill>
                  <a:sysClr val="windowText" lastClr="000000"/>
                </a:solidFill>
                <a:latin typeface="+mn-lt"/>
              </a:rPr>
              <a:t>Composición Importaciones</a:t>
            </a:r>
          </a:p>
          <a:p>
            <a:pPr>
              <a:defRPr/>
            </a:pPr>
            <a:r>
              <a:rPr lang="es-AR" sz="800">
                <a:solidFill>
                  <a:sysClr val="windowText" lastClr="000000"/>
                </a:solidFill>
              </a:rPr>
              <a:t>2016-2026. Acum ene-jul</a:t>
            </a:r>
            <a:r>
              <a:rPr lang="es-AR" sz="800" baseline="0">
                <a:solidFill>
                  <a:sysClr val="windowText" lastClr="000000"/>
                </a:solidFill>
              </a:rPr>
              <a:t> </a:t>
            </a:r>
            <a:r>
              <a:rPr lang="es-AR" sz="800">
                <a:solidFill>
                  <a:sysClr val="windowText" lastClr="000000"/>
                </a:solidFill>
              </a:rPr>
              <a:t>en millones de USD</a:t>
            </a:r>
          </a:p>
        </c:rich>
      </c:tx>
      <c:layout>
        <c:manualLayout>
          <c:xMode val="edge"/>
          <c:yMode val="edge"/>
          <c:x val="0.12700335199578214"/>
          <c:y val="5.922271280767556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6.2128668915505531E-2"/>
          <c:y val="0.22393869344541925"/>
          <c:w val="0.88802406132857648"/>
          <c:h val="0.69713063875730175"/>
        </c:manualLayout>
      </c:layout>
      <c:barChart>
        <c:barDir val="col"/>
        <c:grouping val="stacked"/>
        <c:varyColors val="0"/>
        <c:ser>
          <c:idx val="0"/>
          <c:order val="0"/>
          <c:tx>
            <c:strRef>
              <c:f>Comex!$CI$2</c:f>
              <c:strCache>
                <c:ptCount val="1"/>
                <c:pt idx="0">
                  <c:v>Algodón</c:v>
                </c:pt>
              </c:strCache>
            </c:strRef>
          </c:tx>
          <c:spPr>
            <a:solidFill>
              <a:schemeClr val="accent1"/>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Comex!$CI$3:$CI$13</c:f>
              <c:numCache>
                <c:formatCode>#,##0</c:formatCode>
                <c:ptCount val="11"/>
                <c:pt idx="0">
                  <c:v>86.194496480000012</c:v>
                </c:pt>
                <c:pt idx="1">
                  <c:v>66.5044228</c:v>
                </c:pt>
                <c:pt idx="2">
                  <c:v>68.738868799999992</c:v>
                </c:pt>
                <c:pt idx="3">
                  <c:v>51.377996649999993</c:v>
                </c:pt>
                <c:pt idx="4">
                  <c:v>32.559056419999997</c:v>
                </c:pt>
                <c:pt idx="5">
                  <c:v>54.607066770000003</c:v>
                </c:pt>
                <c:pt idx="6">
                  <c:v>76.14160483000002</c:v>
                </c:pt>
                <c:pt idx="7">
                  <c:v>66.51792356</c:v>
                </c:pt>
                <c:pt idx="8">
                  <c:v>37.547300109999995</c:v>
                </c:pt>
                <c:pt idx="9">
                  <c:v>76.923617169999986</c:v>
                </c:pt>
                <c:pt idx="10">
                  <c:v>46.811962360000003</c:v>
                </c:pt>
              </c:numCache>
            </c:numRef>
          </c:val>
          <c:extLst>
            <c:ext xmlns:c16="http://schemas.microsoft.com/office/drawing/2014/chart" uri="{C3380CC4-5D6E-409C-BE32-E72D297353CC}">
              <c16:uniqueId val="{00000000-EF5E-452B-B07B-EFA31312C486}"/>
            </c:ext>
          </c:extLst>
        </c:ser>
        <c:ser>
          <c:idx val="1"/>
          <c:order val="1"/>
          <c:tx>
            <c:strRef>
              <c:f>Comex!$CJ$2</c:f>
              <c:strCache>
                <c:ptCount val="1"/>
                <c:pt idx="0">
                  <c:v>Arroz</c:v>
                </c:pt>
              </c:strCache>
            </c:strRef>
          </c:tx>
          <c:spPr>
            <a:solidFill>
              <a:schemeClr val="accent2"/>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Comex!$CJ$3:$CJ$13</c:f>
              <c:numCache>
                <c:formatCode>#,##0</c:formatCode>
                <c:ptCount val="11"/>
                <c:pt idx="0">
                  <c:v>4.0060255800000002</c:v>
                </c:pt>
                <c:pt idx="1">
                  <c:v>3.7127876500000001</c:v>
                </c:pt>
                <c:pt idx="2" formatCode="#,##0.00">
                  <c:v>3.25275844</c:v>
                </c:pt>
                <c:pt idx="3" formatCode="#,##0.00">
                  <c:v>2.5394805800000002</c:v>
                </c:pt>
                <c:pt idx="4" formatCode="#,##0.00">
                  <c:v>3.2971293200000003</c:v>
                </c:pt>
                <c:pt idx="5" formatCode="#,##0.00">
                  <c:v>1.2123000900000001</c:v>
                </c:pt>
                <c:pt idx="6" formatCode="#,##0.00">
                  <c:v>0.51128799000000014</c:v>
                </c:pt>
                <c:pt idx="7" formatCode="#,##0.00">
                  <c:v>0.33939125000000003</c:v>
                </c:pt>
                <c:pt idx="8" formatCode="#,##0.00">
                  <c:v>2.7807700300000002</c:v>
                </c:pt>
                <c:pt idx="9" formatCode="#,##0.00">
                  <c:v>2.8490506600000005</c:v>
                </c:pt>
                <c:pt idx="10" formatCode="#,##0.00">
                  <c:v>1.29669575</c:v>
                </c:pt>
              </c:numCache>
            </c:numRef>
          </c:val>
          <c:extLst>
            <c:ext xmlns:c16="http://schemas.microsoft.com/office/drawing/2014/chart" uri="{C3380CC4-5D6E-409C-BE32-E72D297353CC}">
              <c16:uniqueId val="{00000001-EF5E-452B-B07B-EFA31312C486}"/>
            </c:ext>
          </c:extLst>
        </c:ser>
        <c:ser>
          <c:idx val="3"/>
          <c:order val="3"/>
          <c:tx>
            <c:strRef>
              <c:f>Comex!$CL$2</c:f>
              <c:strCache>
                <c:ptCount val="1"/>
                <c:pt idx="0">
                  <c:v>Mani</c:v>
                </c:pt>
              </c:strCache>
            </c:strRef>
          </c:tx>
          <c:spPr>
            <a:solidFill>
              <a:schemeClr val="accent4"/>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Comex!$CL$3:$CL$13</c:f>
              <c:numCache>
                <c:formatCode>#,##0.00</c:formatCode>
                <c:ptCount val="11"/>
                <c:pt idx="0">
                  <c:v>0.12216077</c:v>
                </c:pt>
                <c:pt idx="1">
                  <c:v>0.67187737999999997</c:v>
                </c:pt>
                <c:pt idx="2">
                  <c:v>0.20511525</c:v>
                </c:pt>
                <c:pt idx="3">
                  <c:v>0.18448530000000002</c:v>
                </c:pt>
                <c:pt idx="4">
                  <c:v>0.28117516999999997</c:v>
                </c:pt>
                <c:pt idx="5">
                  <c:v>0.36556501999999996</c:v>
                </c:pt>
                <c:pt idx="6">
                  <c:v>0.61651100999999997</c:v>
                </c:pt>
                <c:pt idx="7">
                  <c:v>0.46198870999999997</c:v>
                </c:pt>
                <c:pt idx="8">
                  <c:v>2.0315311500000002</c:v>
                </c:pt>
                <c:pt idx="9">
                  <c:v>1.5462053700000002</c:v>
                </c:pt>
                <c:pt idx="10">
                  <c:v>0.56651940000000001</c:v>
                </c:pt>
              </c:numCache>
            </c:numRef>
          </c:val>
          <c:extLst>
            <c:ext xmlns:c16="http://schemas.microsoft.com/office/drawing/2014/chart" uri="{C3380CC4-5D6E-409C-BE32-E72D297353CC}">
              <c16:uniqueId val="{00000003-EF5E-452B-B07B-EFA31312C486}"/>
            </c:ext>
          </c:extLst>
        </c:ser>
        <c:ser>
          <c:idx val="4"/>
          <c:order val="4"/>
          <c:tx>
            <c:strRef>
              <c:f>Comex!$CM$2</c:f>
              <c:strCache>
                <c:ptCount val="1"/>
                <c:pt idx="0">
                  <c:v>Papa</c:v>
                </c:pt>
              </c:strCache>
            </c:strRef>
          </c:tx>
          <c:spPr>
            <a:solidFill>
              <a:schemeClr val="accent5"/>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Comex!$CM$3:$CM$13</c:f>
              <c:numCache>
                <c:formatCode>#,##0</c:formatCode>
                <c:ptCount val="11"/>
                <c:pt idx="0">
                  <c:v>17.887523380000001</c:v>
                </c:pt>
                <c:pt idx="1">
                  <c:v>23.607515830000004</c:v>
                </c:pt>
                <c:pt idx="2">
                  <c:v>34.349134260000007</c:v>
                </c:pt>
                <c:pt idx="3">
                  <c:v>14.437342940000001</c:v>
                </c:pt>
                <c:pt idx="4">
                  <c:v>13.71036037</c:v>
                </c:pt>
                <c:pt idx="5">
                  <c:v>7.1906577199999999</c:v>
                </c:pt>
                <c:pt idx="6">
                  <c:v>5.2106525100000001</c:v>
                </c:pt>
                <c:pt idx="7">
                  <c:v>10.417919169999999</c:v>
                </c:pt>
                <c:pt idx="8">
                  <c:v>11.45753318</c:v>
                </c:pt>
                <c:pt idx="9">
                  <c:v>7.0975333599999999</c:v>
                </c:pt>
                <c:pt idx="10">
                  <c:v>17.760966970000002</c:v>
                </c:pt>
              </c:numCache>
            </c:numRef>
          </c:val>
          <c:extLst>
            <c:ext xmlns:c16="http://schemas.microsoft.com/office/drawing/2014/chart" uri="{C3380CC4-5D6E-409C-BE32-E72D297353CC}">
              <c16:uniqueId val="{00000004-EF5E-452B-B07B-EFA31312C486}"/>
            </c:ext>
          </c:extLst>
        </c:ser>
        <c:ser>
          <c:idx val="5"/>
          <c:order val="5"/>
          <c:tx>
            <c:strRef>
              <c:f>Comex!$CN$2</c:f>
              <c:strCache>
                <c:ptCount val="1"/>
                <c:pt idx="0">
                  <c:v>Mandioca</c:v>
                </c:pt>
              </c:strCache>
            </c:strRef>
          </c:tx>
          <c:spPr>
            <a:solidFill>
              <a:schemeClr val="accent6"/>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Comex!$CN$3:$CN$13</c:f>
              <c:numCache>
                <c:formatCode>#,##0.00</c:formatCode>
                <c:ptCount val="11"/>
                <c:pt idx="0">
                  <c:v>0.83185262000000004</c:v>
                </c:pt>
                <c:pt idx="1">
                  <c:v>4.4833475599999995</c:v>
                </c:pt>
                <c:pt idx="2">
                  <c:v>4.1272483600000003</c:v>
                </c:pt>
                <c:pt idx="3">
                  <c:v>1.6483422099999998</c:v>
                </c:pt>
                <c:pt idx="4">
                  <c:v>1.6076478299999999</c:v>
                </c:pt>
                <c:pt idx="5">
                  <c:v>2.2752069600000007</c:v>
                </c:pt>
                <c:pt idx="6">
                  <c:v>6.3776566299999997</c:v>
                </c:pt>
                <c:pt idx="7">
                  <c:v>8.0199833199999997</c:v>
                </c:pt>
                <c:pt idx="8">
                  <c:v>0.92337464000000014</c:v>
                </c:pt>
                <c:pt idx="9">
                  <c:v>2.1868104399999999</c:v>
                </c:pt>
                <c:pt idx="10">
                  <c:v>7.17635106</c:v>
                </c:pt>
              </c:numCache>
            </c:numRef>
          </c:val>
          <c:extLst>
            <c:ext xmlns:c16="http://schemas.microsoft.com/office/drawing/2014/chart" uri="{C3380CC4-5D6E-409C-BE32-E72D297353CC}">
              <c16:uniqueId val="{00000005-EF5E-452B-B07B-EFA31312C486}"/>
            </c:ext>
          </c:extLst>
        </c:ser>
        <c:ser>
          <c:idx val="6"/>
          <c:order val="6"/>
          <c:tx>
            <c:strRef>
              <c:f>Comex!$CO$2</c:f>
              <c:strCache>
                <c:ptCount val="1"/>
                <c:pt idx="0">
                  <c:v>Hortalizas</c:v>
                </c:pt>
              </c:strCache>
            </c:strRef>
          </c:tx>
          <c:spPr>
            <a:solidFill>
              <a:schemeClr val="accent1">
                <a:lumMod val="6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Comex!$CO$3:$CO$13</c:f>
              <c:numCache>
                <c:formatCode>#,##0.0</c:formatCode>
                <c:ptCount val="11"/>
                <c:pt idx="0">
                  <c:v>27.856347229999997</c:v>
                </c:pt>
                <c:pt idx="1">
                  <c:v>32.063187399999997</c:v>
                </c:pt>
                <c:pt idx="2">
                  <c:v>25.513628790000002</c:v>
                </c:pt>
                <c:pt idx="3">
                  <c:v>14.38035498</c:v>
                </c:pt>
                <c:pt idx="4">
                  <c:v>28.404995919999998</c:v>
                </c:pt>
                <c:pt idx="5">
                  <c:v>15.809761920000001</c:v>
                </c:pt>
                <c:pt idx="6">
                  <c:v>17.91675292</c:v>
                </c:pt>
                <c:pt idx="7">
                  <c:v>11.9894564</c:v>
                </c:pt>
                <c:pt idx="8">
                  <c:v>18.73458935</c:v>
                </c:pt>
                <c:pt idx="9">
                  <c:v>9.5226502299999982</c:v>
                </c:pt>
                <c:pt idx="10">
                  <c:v>14.367726859999999</c:v>
                </c:pt>
              </c:numCache>
            </c:numRef>
          </c:val>
          <c:extLst>
            <c:ext xmlns:c16="http://schemas.microsoft.com/office/drawing/2014/chart" uri="{C3380CC4-5D6E-409C-BE32-E72D297353CC}">
              <c16:uniqueId val="{00000006-EF5E-452B-B07B-EFA31312C486}"/>
            </c:ext>
          </c:extLst>
        </c:ser>
        <c:ser>
          <c:idx val="7"/>
          <c:order val="7"/>
          <c:tx>
            <c:strRef>
              <c:f>Comex!$CP$2</c:f>
              <c:strCache>
                <c:ptCount val="1"/>
                <c:pt idx="0">
                  <c:v>Vitivinicola</c:v>
                </c:pt>
              </c:strCache>
            </c:strRef>
          </c:tx>
          <c:spPr>
            <a:solidFill>
              <a:schemeClr val="accent2">
                <a:lumMod val="6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Comex!$CP$3:$CP$13</c:f>
              <c:numCache>
                <c:formatCode>#,##0</c:formatCode>
                <c:ptCount val="11"/>
                <c:pt idx="0">
                  <c:v>2.7151343099999998</c:v>
                </c:pt>
                <c:pt idx="1">
                  <c:v>50.990597520000001</c:v>
                </c:pt>
                <c:pt idx="2">
                  <c:v>7.0511016500000006</c:v>
                </c:pt>
                <c:pt idx="3">
                  <c:v>5.6318892999999992</c:v>
                </c:pt>
                <c:pt idx="4">
                  <c:v>5.1813192500000005</c:v>
                </c:pt>
                <c:pt idx="5">
                  <c:v>10.011796799999999</c:v>
                </c:pt>
                <c:pt idx="6">
                  <c:v>11.11227328</c:v>
                </c:pt>
                <c:pt idx="7">
                  <c:v>10.45224183</c:v>
                </c:pt>
                <c:pt idx="8">
                  <c:v>9.0850364800000012</c:v>
                </c:pt>
                <c:pt idx="9">
                  <c:v>24.642074090000001</c:v>
                </c:pt>
                <c:pt idx="10">
                  <c:v>25.2653523</c:v>
                </c:pt>
              </c:numCache>
            </c:numRef>
          </c:val>
          <c:extLst>
            <c:ext xmlns:c16="http://schemas.microsoft.com/office/drawing/2014/chart" uri="{C3380CC4-5D6E-409C-BE32-E72D297353CC}">
              <c16:uniqueId val="{00000007-EF5E-452B-B07B-EFA31312C486}"/>
            </c:ext>
          </c:extLst>
        </c:ser>
        <c:ser>
          <c:idx val="8"/>
          <c:order val="8"/>
          <c:tx>
            <c:strRef>
              <c:f>Comex!$CQ$2</c:f>
              <c:strCache>
                <c:ptCount val="1"/>
                <c:pt idx="0">
                  <c:v>Peras y Manzanas</c:v>
                </c:pt>
              </c:strCache>
            </c:strRef>
          </c:tx>
          <c:spPr>
            <a:solidFill>
              <a:schemeClr val="accent3">
                <a:lumMod val="6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Comex!$CQ$3:$CQ$13</c:f>
              <c:numCache>
                <c:formatCode>#,##0.0</c:formatCode>
                <c:ptCount val="11"/>
                <c:pt idx="0">
                  <c:v>4.4321263700000006</c:v>
                </c:pt>
                <c:pt idx="1">
                  <c:v>10.983309739999999</c:v>
                </c:pt>
                <c:pt idx="2">
                  <c:v>6.5012360899999999</c:v>
                </c:pt>
                <c:pt idx="3">
                  <c:v>3.41264214</c:v>
                </c:pt>
                <c:pt idx="4">
                  <c:v>2.5358095399999998</c:v>
                </c:pt>
                <c:pt idx="5">
                  <c:v>5.6128368100000001</c:v>
                </c:pt>
                <c:pt idx="6">
                  <c:v>4.8320719900000011</c:v>
                </c:pt>
                <c:pt idx="7">
                  <c:v>5.9066646200000008</c:v>
                </c:pt>
                <c:pt idx="8">
                  <c:v>2.3328175600000001</c:v>
                </c:pt>
                <c:pt idx="9">
                  <c:v>4.4398865499999998</c:v>
                </c:pt>
                <c:pt idx="10">
                  <c:v>6.1102159299999999</c:v>
                </c:pt>
              </c:numCache>
            </c:numRef>
          </c:val>
          <c:extLst>
            <c:ext xmlns:c16="http://schemas.microsoft.com/office/drawing/2014/chart" uri="{C3380CC4-5D6E-409C-BE32-E72D297353CC}">
              <c16:uniqueId val="{00000008-EF5E-452B-B07B-EFA31312C486}"/>
            </c:ext>
          </c:extLst>
        </c:ser>
        <c:ser>
          <c:idx val="9"/>
          <c:order val="9"/>
          <c:tx>
            <c:strRef>
              <c:f>Comex!$CR$2</c:f>
              <c:strCache>
                <c:ptCount val="1"/>
                <c:pt idx="0">
                  <c:v>Citricos Dulces</c:v>
                </c:pt>
              </c:strCache>
            </c:strRef>
          </c:tx>
          <c:spPr>
            <a:solidFill>
              <a:schemeClr val="accent4">
                <a:lumMod val="6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Comex!$CR$3:$CR$13</c:f>
              <c:numCache>
                <c:formatCode>#,##0.0</c:formatCode>
                <c:ptCount val="11"/>
                <c:pt idx="0">
                  <c:v>9.8060332699999986</c:v>
                </c:pt>
                <c:pt idx="1">
                  <c:v>11.558499730000001</c:v>
                </c:pt>
                <c:pt idx="2">
                  <c:v>9.3407099599999999</c:v>
                </c:pt>
                <c:pt idx="3">
                  <c:v>4.80347218</c:v>
                </c:pt>
                <c:pt idx="4">
                  <c:v>2.02899596</c:v>
                </c:pt>
                <c:pt idx="5">
                  <c:v>12.824671500000001</c:v>
                </c:pt>
                <c:pt idx="6">
                  <c:v>4.5914456100000001</c:v>
                </c:pt>
                <c:pt idx="7">
                  <c:v>4.9948899300000003</c:v>
                </c:pt>
                <c:pt idx="8">
                  <c:v>4.0257753599999999</c:v>
                </c:pt>
                <c:pt idx="9">
                  <c:v>17.550539270000002</c:v>
                </c:pt>
                <c:pt idx="10">
                  <c:v>6.7373456300000001</c:v>
                </c:pt>
              </c:numCache>
            </c:numRef>
          </c:val>
          <c:extLst>
            <c:ext xmlns:c16="http://schemas.microsoft.com/office/drawing/2014/chart" uri="{C3380CC4-5D6E-409C-BE32-E72D297353CC}">
              <c16:uniqueId val="{00000009-EF5E-452B-B07B-EFA31312C486}"/>
            </c:ext>
          </c:extLst>
        </c:ser>
        <c:ser>
          <c:idx val="10"/>
          <c:order val="10"/>
          <c:tx>
            <c:strRef>
              <c:f>Comex!$CS$2</c:f>
              <c:strCache>
                <c:ptCount val="1"/>
                <c:pt idx="0">
                  <c:v>Forestal</c:v>
                </c:pt>
              </c:strCache>
            </c:strRef>
          </c:tx>
          <c:spPr>
            <a:solidFill>
              <a:schemeClr val="accent5">
                <a:lumMod val="6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Comex!$CS$3:$CS$13</c:f>
              <c:numCache>
                <c:formatCode>#,##0</c:formatCode>
                <c:ptCount val="11"/>
                <c:pt idx="0">
                  <c:v>154.22261244000001</c:v>
                </c:pt>
                <c:pt idx="1">
                  <c:v>152.61876864000004</c:v>
                </c:pt>
                <c:pt idx="2">
                  <c:v>167.11321046</c:v>
                </c:pt>
                <c:pt idx="3">
                  <c:v>154.62789918999999</c:v>
                </c:pt>
                <c:pt idx="4">
                  <c:v>124.15328881999999</c:v>
                </c:pt>
                <c:pt idx="5">
                  <c:v>146.76899531999999</c:v>
                </c:pt>
                <c:pt idx="6">
                  <c:v>177.00080586000001</c:v>
                </c:pt>
                <c:pt idx="7">
                  <c:v>200.04574241999998</c:v>
                </c:pt>
                <c:pt idx="8">
                  <c:v>110.27094036</c:v>
                </c:pt>
                <c:pt idx="9">
                  <c:v>120.56186182</c:v>
                </c:pt>
                <c:pt idx="10">
                  <c:v>128.30660132999998</c:v>
                </c:pt>
              </c:numCache>
            </c:numRef>
          </c:val>
          <c:extLst>
            <c:ext xmlns:c16="http://schemas.microsoft.com/office/drawing/2014/chart" uri="{C3380CC4-5D6E-409C-BE32-E72D297353CC}">
              <c16:uniqueId val="{0000000A-EF5E-452B-B07B-EFA31312C486}"/>
            </c:ext>
          </c:extLst>
        </c:ser>
        <c:ser>
          <c:idx val="11"/>
          <c:order val="11"/>
          <c:tx>
            <c:strRef>
              <c:f>Comex!$CT$2</c:f>
              <c:strCache>
                <c:ptCount val="1"/>
                <c:pt idx="0">
                  <c:v>Tabaco</c:v>
                </c:pt>
              </c:strCache>
            </c:strRef>
          </c:tx>
          <c:spPr>
            <a:solidFill>
              <a:schemeClr val="accent6">
                <a:lumMod val="6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Comex!$CT$3:$CT$13</c:f>
              <c:numCache>
                <c:formatCode>#,##0</c:formatCode>
                <c:ptCount val="11"/>
                <c:pt idx="0">
                  <c:v>34.735091679999996</c:v>
                </c:pt>
                <c:pt idx="1">
                  <c:v>34.65563401</c:v>
                </c:pt>
                <c:pt idx="2">
                  <c:v>19.971597770000002</c:v>
                </c:pt>
                <c:pt idx="3">
                  <c:v>34.935695989999999</c:v>
                </c:pt>
                <c:pt idx="4">
                  <c:v>35.706772989999997</c:v>
                </c:pt>
                <c:pt idx="5">
                  <c:v>44.986989519999995</c:v>
                </c:pt>
                <c:pt idx="6">
                  <c:v>34.229478980000003</c:v>
                </c:pt>
                <c:pt idx="7">
                  <c:v>49.274931239999994</c:v>
                </c:pt>
                <c:pt idx="8">
                  <c:v>33.959100280000001</c:v>
                </c:pt>
                <c:pt idx="9">
                  <c:v>34.164903850000002</c:v>
                </c:pt>
                <c:pt idx="10">
                  <c:v>35.879581709999997</c:v>
                </c:pt>
              </c:numCache>
            </c:numRef>
          </c:val>
          <c:extLst>
            <c:ext xmlns:c16="http://schemas.microsoft.com/office/drawing/2014/chart" uri="{C3380CC4-5D6E-409C-BE32-E72D297353CC}">
              <c16:uniqueId val="{0000000B-EF5E-452B-B07B-EFA31312C486}"/>
            </c:ext>
          </c:extLst>
        </c:ser>
        <c:ser>
          <c:idx val="12"/>
          <c:order val="12"/>
          <c:tx>
            <c:strRef>
              <c:f>Comex!$CU$2</c:f>
              <c:strCache>
                <c:ptCount val="1"/>
                <c:pt idx="0">
                  <c:v>Yerba Mate</c:v>
                </c:pt>
              </c:strCache>
            </c:strRef>
          </c:tx>
          <c:spPr>
            <a:solidFill>
              <a:schemeClr val="accent1">
                <a:lumMod val="80000"/>
                <a:lumOff val="2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Comex!$CU$3:$CU$13</c:f>
              <c:numCache>
                <c:formatCode>#,##0</c:formatCode>
                <c:ptCount val="11"/>
                <c:pt idx="0">
                  <c:v>0.50848095000000004</c:v>
                </c:pt>
                <c:pt idx="1">
                  <c:v>0.68021238000000006</c:v>
                </c:pt>
                <c:pt idx="2">
                  <c:v>0.40205220999999997</c:v>
                </c:pt>
                <c:pt idx="3">
                  <c:v>0.74095647999999992</c:v>
                </c:pt>
                <c:pt idx="4">
                  <c:v>26.54022397</c:v>
                </c:pt>
                <c:pt idx="5">
                  <c:v>29.90172286</c:v>
                </c:pt>
                <c:pt idx="6">
                  <c:v>26.88767009</c:v>
                </c:pt>
                <c:pt idx="7">
                  <c:v>7.3993995399999992</c:v>
                </c:pt>
                <c:pt idx="8">
                  <c:v>14.890541599999999</c:v>
                </c:pt>
                <c:pt idx="9">
                  <c:v>17.123049159999997</c:v>
                </c:pt>
                <c:pt idx="10">
                  <c:v>15.531359689999999</c:v>
                </c:pt>
              </c:numCache>
            </c:numRef>
          </c:val>
          <c:extLst>
            <c:ext xmlns:c16="http://schemas.microsoft.com/office/drawing/2014/chart" uri="{C3380CC4-5D6E-409C-BE32-E72D297353CC}">
              <c16:uniqueId val="{0000000C-EF5E-452B-B07B-EFA31312C486}"/>
            </c:ext>
          </c:extLst>
        </c:ser>
        <c:ser>
          <c:idx val="13"/>
          <c:order val="13"/>
          <c:tx>
            <c:strRef>
              <c:f>Comex!$CV$2</c:f>
              <c:strCache>
                <c:ptCount val="1"/>
                <c:pt idx="0">
                  <c:v>Apícola</c:v>
                </c:pt>
              </c:strCache>
            </c:strRef>
          </c:tx>
          <c:spPr>
            <a:solidFill>
              <a:schemeClr val="accent2">
                <a:lumMod val="80000"/>
                <a:lumOff val="2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Comex!$CV$3:$CV$13</c:f>
              <c:numCache>
                <c:formatCode>#,##0.000</c:formatCode>
                <c:ptCount val="11"/>
                <c:pt idx="0">
                  <c:v>1.4780130000000001E-2</c:v>
                </c:pt>
                <c:pt idx="1">
                  <c:v>0.22386681</c:v>
                </c:pt>
                <c:pt idx="2">
                  <c:v>0</c:v>
                </c:pt>
                <c:pt idx="3">
                  <c:v>0.33565781</c:v>
                </c:pt>
                <c:pt idx="4">
                  <c:v>8.6147399999999992E-3</c:v>
                </c:pt>
                <c:pt idx="5">
                  <c:v>2.6998080000000001E-2</c:v>
                </c:pt>
                <c:pt idx="6">
                  <c:v>8.1351019999999996E-2</c:v>
                </c:pt>
                <c:pt idx="7">
                  <c:v>7.038E-3</c:v>
                </c:pt>
                <c:pt idx="8">
                  <c:v>5.2539300000000004E-2</c:v>
                </c:pt>
                <c:pt idx="9">
                  <c:v>4.5226870000000002E-2</c:v>
                </c:pt>
                <c:pt idx="10" formatCode="#,##0.0000">
                  <c:v>6.2559E-3</c:v>
                </c:pt>
              </c:numCache>
            </c:numRef>
          </c:val>
          <c:extLst>
            <c:ext xmlns:c16="http://schemas.microsoft.com/office/drawing/2014/chart" uri="{C3380CC4-5D6E-409C-BE32-E72D297353CC}">
              <c16:uniqueId val="{0000000D-EF5E-452B-B07B-EFA31312C486}"/>
            </c:ext>
          </c:extLst>
        </c:ser>
        <c:ser>
          <c:idx val="14"/>
          <c:order val="14"/>
          <c:tx>
            <c:strRef>
              <c:f>Comex!$CW$2</c:f>
              <c:strCache>
                <c:ptCount val="1"/>
                <c:pt idx="0">
                  <c:v>Aviar</c:v>
                </c:pt>
              </c:strCache>
            </c:strRef>
          </c:tx>
          <c:spPr>
            <a:solidFill>
              <a:schemeClr val="accent3">
                <a:lumMod val="80000"/>
                <a:lumOff val="2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Comex!$CW$3:$CW$13</c:f>
              <c:numCache>
                <c:formatCode>#,##0</c:formatCode>
                <c:ptCount val="11"/>
                <c:pt idx="0">
                  <c:v>28.210152479999998</c:v>
                </c:pt>
                <c:pt idx="1">
                  <c:v>22.281796279999995</c:v>
                </c:pt>
                <c:pt idx="2">
                  <c:v>19.208995849999997</c:v>
                </c:pt>
                <c:pt idx="3">
                  <c:v>18.45558252</c:v>
                </c:pt>
                <c:pt idx="4">
                  <c:v>18.6282672</c:v>
                </c:pt>
                <c:pt idx="5">
                  <c:v>20.862892420000001</c:v>
                </c:pt>
                <c:pt idx="6">
                  <c:v>37.65764128</c:v>
                </c:pt>
                <c:pt idx="7">
                  <c:v>30.143111109999996</c:v>
                </c:pt>
                <c:pt idx="8">
                  <c:v>22.650184889999998</c:v>
                </c:pt>
                <c:pt idx="9">
                  <c:v>26.151564440000001</c:v>
                </c:pt>
                <c:pt idx="10">
                  <c:v>29.704679079999995</c:v>
                </c:pt>
              </c:numCache>
            </c:numRef>
          </c:val>
          <c:extLst>
            <c:ext xmlns:c16="http://schemas.microsoft.com/office/drawing/2014/chart" uri="{C3380CC4-5D6E-409C-BE32-E72D297353CC}">
              <c16:uniqueId val="{0000000E-EF5E-452B-B07B-EFA31312C486}"/>
            </c:ext>
          </c:extLst>
        </c:ser>
        <c:ser>
          <c:idx val="15"/>
          <c:order val="15"/>
          <c:tx>
            <c:strRef>
              <c:f>Comex!$CX$2</c:f>
              <c:strCache>
                <c:ptCount val="1"/>
                <c:pt idx="0">
                  <c:v>Bovinos</c:v>
                </c:pt>
              </c:strCache>
            </c:strRef>
          </c:tx>
          <c:spPr>
            <a:solidFill>
              <a:schemeClr val="accent4">
                <a:lumMod val="80000"/>
                <a:lumOff val="2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Comex!$CX$3:$CX$13</c:f>
              <c:numCache>
                <c:formatCode>#,##0</c:formatCode>
                <c:ptCount val="11"/>
                <c:pt idx="0">
                  <c:v>29.801982159999998</c:v>
                </c:pt>
                <c:pt idx="1">
                  <c:v>28.894063780000003</c:v>
                </c:pt>
                <c:pt idx="2">
                  <c:v>24.27934102</c:v>
                </c:pt>
                <c:pt idx="3">
                  <c:v>46.287423129999993</c:v>
                </c:pt>
                <c:pt idx="4">
                  <c:v>41.053205010000006</c:v>
                </c:pt>
                <c:pt idx="5">
                  <c:v>50.018040499999998</c:v>
                </c:pt>
                <c:pt idx="6">
                  <c:v>64.912820820000007</c:v>
                </c:pt>
                <c:pt idx="7">
                  <c:v>35.429769899999997</c:v>
                </c:pt>
                <c:pt idx="8">
                  <c:v>21.836344190000002</c:v>
                </c:pt>
                <c:pt idx="9">
                  <c:v>67.500706519999994</c:v>
                </c:pt>
                <c:pt idx="10">
                  <c:v>123.26888067</c:v>
                </c:pt>
              </c:numCache>
            </c:numRef>
          </c:val>
          <c:extLst>
            <c:ext xmlns:c16="http://schemas.microsoft.com/office/drawing/2014/chart" uri="{C3380CC4-5D6E-409C-BE32-E72D297353CC}">
              <c16:uniqueId val="{0000000F-EF5E-452B-B07B-EFA31312C486}"/>
            </c:ext>
          </c:extLst>
        </c:ser>
        <c:ser>
          <c:idx val="16"/>
          <c:order val="16"/>
          <c:tx>
            <c:strRef>
              <c:f>Comex!$CY$2</c:f>
              <c:strCache>
                <c:ptCount val="1"/>
                <c:pt idx="0">
                  <c:v>Lechería</c:v>
                </c:pt>
              </c:strCache>
            </c:strRef>
          </c:tx>
          <c:spPr>
            <a:solidFill>
              <a:schemeClr val="accent5">
                <a:lumMod val="80000"/>
                <a:lumOff val="2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Comex!$CY$3:$CY$13</c:f>
              <c:numCache>
                <c:formatCode>#,##0</c:formatCode>
                <c:ptCount val="11"/>
                <c:pt idx="0">
                  <c:v>9.2453237599999998</c:v>
                </c:pt>
                <c:pt idx="1">
                  <c:v>19.887670429999996</c:v>
                </c:pt>
                <c:pt idx="2">
                  <c:v>14.19974552</c:v>
                </c:pt>
                <c:pt idx="3">
                  <c:v>18.368854170000002</c:v>
                </c:pt>
                <c:pt idx="4">
                  <c:v>7.4955599699999986</c:v>
                </c:pt>
                <c:pt idx="5">
                  <c:v>11.386332580000001</c:v>
                </c:pt>
                <c:pt idx="6">
                  <c:v>25.918448729999994</c:v>
                </c:pt>
                <c:pt idx="7">
                  <c:v>18.707807729999995</c:v>
                </c:pt>
                <c:pt idx="8">
                  <c:v>12.885164050000002</c:v>
                </c:pt>
                <c:pt idx="9">
                  <c:v>20.243998940000001</c:v>
                </c:pt>
                <c:pt idx="10">
                  <c:v>21.562200539999999</c:v>
                </c:pt>
              </c:numCache>
            </c:numRef>
          </c:val>
          <c:extLst>
            <c:ext xmlns:c16="http://schemas.microsoft.com/office/drawing/2014/chart" uri="{C3380CC4-5D6E-409C-BE32-E72D297353CC}">
              <c16:uniqueId val="{00000010-EF5E-452B-B07B-EFA31312C486}"/>
            </c:ext>
          </c:extLst>
        </c:ser>
        <c:ser>
          <c:idx val="17"/>
          <c:order val="17"/>
          <c:tx>
            <c:strRef>
              <c:f>Comex!$CZ$2</c:f>
              <c:strCache>
                <c:ptCount val="1"/>
                <c:pt idx="0">
                  <c:v>Ovinos</c:v>
                </c:pt>
              </c:strCache>
            </c:strRef>
          </c:tx>
          <c:spPr>
            <a:solidFill>
              <a:schemeClr val="accent6">
                <a:lumMod val="80000"/>
                <a:lumOff val="20000"/>
              </a:schemeClr>
            </a:solidFill>
            <a:ln>
              <a:noFill/>
            </a:ln>
            <a:effectLst/>
          </c:spPr>
          <c:invertIfNegative val="0"/>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Comex!$CZ$3:$CZ$13</c:f>
              <c:numCache>
                <c:formatCode>#,##0</c:formatCode>
                <c:ptCount val="11"/>
                <c:pt idx="0">
                  <c:v>5.3927472099999996</c:v>
                </c:pt>
                <c:pt idx="1">
                  <c:v>2.3918064900000005</c:v>
                </c:pt>
                <c:pt idx="2">
                  <c:v>0.77257660000000006</c:v>
                </c:pt>
                <c:pt idx="3">
                  <c:v>0.88820651999999989</c:v>
                </c:pt>
                <c:pt idx="4">
                  <c:v>1.7585355299999998</c:v>
                </c:pt>
                <c:pt idx="5">
                  <c:v>1.95680381</c:v>
                </c:pt>
                <c:pt idx="6">
                  <c:v>1.4838372700000002</c:v>
                </c:pt>
                <c:pt idx="7">
                  <c:v>2.45942974</c:v>
                </c:pt>
                <c:pt idx="8">
                  <c:v>2.2231296600000001</c:v>
                </c:pt>
                <c:pt idx="9">
                  <c:v>1.2200566200000003</c:v>
                </c:pt>
                <c:pt idx="10">
                  <c:v>1.5229212299999999</c:v>
                </c:pt>
              </c:numCache>
            </c:numRef>
          </c:val>
          <c:extLst>
            <c:ext xmlns:c16="http://schemas.microsoft.com/office/drawing/2014/chart" uri="{C3380CC4-5D6E-409C-BE32-E72D297353CC}">
              <c16:uniqueId val="{00000011-EF5E-452B-B07B-EFA31312C486}"/>
            </c:ext>
          </c:extLst>
        </c:ser>
        <c:ser>
          <c:idx val="18"/>
          <c:order val="18"/>
          <c:tx>
            <c:strRef>
              <c:f>Comex!$DA$2</c:f>
              <c:strCache>
                <c:ptCount val="1"/>
                <c:pt idx="0">
                  <c:v>Porcinos</c:v>
                </c:pt>
              </c:strCache>
            </c:strRef>
          </c:tx>
          <c:spPr>
            <a:solidFill>
              <a:schemeClr val="accent1">
                <a:lumMod val="80000"/>
              </a:schemeClr>
            </a:solidFill>
            <a:ln>
              <a:noFill/>
            </a:ln>
            <a:effectLst/>
          </c:spPr>
          <c:invertIfNegative val="0"/>
          <c:dLbls>
            <c:dLbl>
              <c:idx val="0"/>
              <c:layout>
                <c:manualLayout>
                  <c:x val="0"/>
                  <c:y val="-5.7152583154902105E-2"/>
                </c:manualLayout>
              </c:layout>
              <c:tx>
                <c:rich>
                  <a:bodyPr/>
                  <a:lstStyle/>
                  <a:p>
                    <a:fld id="{2E8393B3-E217-4E7E-83DB-B132FA50D43F}" type="CELLREF">
                      <a:rPr lang="en-US"/>
                      <a:pPr/>
                      <a:t>[CELLREF]</a:t>
                    </a:fld>
                    <a:endParaRPr lang="es-AR"/>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{2E8393B3-E217-4E7E-83DB-B132FA50D43F}</c15:txfldGUID>
                      <c15:f>Comex!$DC$3</c15:f>
                      <c15:dlblFieldTableCache>
                        <c:ptCount val="1"/>
                        <c:pt idx="0">
                          <c:v>460</c:v>
                        </c:pt>
                      </c15:dlblFieldTableCache>
                    </c15:dlblFTEntry>
                  </c15:dlblFieldTable>
                  <c15:showDataLabelsRange val="0"/>
                </c:ext>
                <c:ext xmlns:c16="http://schemas.microsoft.com/office/drawing/2014/chart" uri="{C3380CC4-5D6E-409C-BE32-E72D297353CC}">
                  <c16:uniqueId val="{00000000-3731-452A-A848-2379D8835D08}"/>
                </c:ext>
              </c:extLst>
            </c:dLbl>
            <c:dLbl>
              <c:idx val="1"/>
              <c:layout>
                <c:manualLayout>
                  <c:x val="-4.2377871725207829E-4"/>
                  <c:y val="-8.680682307071011E-2"/>
                </c:manualLayout>
              </c:layout>
              <c:tx>
                <c:rich>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fld id="{9AF69BC5-ECD0-436B-B8AF-0F055D014B99}" type="CELLREF">
                      <a:rPr lang="en-US" sz="700">
                        <a:solidFill>
                          <a:sysClr val="windowText" lastClr="000000"/>
                        </a:solidFill>
                      </a:rPr>
                      <a:pPr>
                        <a:defRPr sz="700">
                          <a:solidFill>
                            <a:sysClr val="windowText" lastClr="000000"/>
                          </a:solidFill>
                        </a:defRPr>
                      </a:pPr>
                      <a:t>[CELLREF]</a:t>
                    </a:fld>
                    <a:endParaRPr lang="es-AR"/>
                  </a:p>
                </c:rich>
              </c:tx>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endParaRPr lang="es-AR"/>
                </a:p>
              </c:txPr>
              <c:dLblPos val="ctr"/>
              <c:showLegendKey val="0"/>
              <c:showVal val="1"/>
              <c:showCatName val="0"/>
              <c:showSerName val="0"/>
              <c:showPercent val="0"/>
              <c:showBubbleSize val="0"/>
              <c:extLst>
                <c:ext xmlns:c15="http://schemas.microsoft.com/office/drawing/2012/chart" uri="{CE6537A1-D6FC-4f65-9D91-7224C49458BB}">
                  <c15:layout>
                    <c:manualLayout>
                      <c:w val="9.3459856474240363E-2"/>
                      <c:h val="3.7267319063304195E-2"/>
                    </c:manualLayout>
                  </c15:layout>
                  <c15:dlblFieldTable>
                    <c15:dlblFTEntry>
                      <c15:txfldGUID>{9AF69BC5-ECD0-436B-B8AF-0F055D014B99}</c15:txfldGUID>
                      <c15:f>Comex!$DC$4</c15:f>
                      <c15:dlblFieldTableCache>
                        <c:ptCount val="1"/>
                        <c:pt idx="0">
                          <c:v>547</c:v>
                        </c:pt>
                      </c15:dlblFieldTableCache>
                    </c15:dlblFTEntry>
                  </c15:dlblFieldTable>
                  <c15:showDataLabelsRange val="0"/>
                </c:ext>
                <c:ext xmlns:c16="http://schemas.microsoft.com/office/drawing/2014/chart" uri="{C3380CC4-5D6E-409C-BE32-E72D297353CC}">
                  <c16:uniqueId val="{00000001-3731-452A-A848-2379D8835D08}"/>
                </c:ext>
              </c:extLst>
            </c:dLbl>
            <c:dLbl>
              <c:idx val="2"/>
              <c:layout>
                <c:manualLayout>
                  <c:x val="-9.4979652292207211E-3"/>
                  <c:y val="-6.668046078063089E-2"/>
                </c:manualLayout>
              </c:layout>
              <c:tx>
                <c:rich>
                  <a:bodyPr/>
                  <a:lstStyle/>
                  <a:p>
                    <a:fld id="{88F4F634-3F00-4A55-BFAA-5FC517C2558B}" type="CELLREF">
                      <a:rPr lang="en-US"/>
                      <a:pPr/>
                      <a:t>[CELLREF]</a:t>
                    </a:fld>
                    <a:endParaRPr lang="es-AR"/>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{88F4F634-3F00-4A55-BFAA-5FC517C2558B}</c15:txfldGUID>
                      <c15:f>Comex!$DC$5</c15:f>
                      <c15:dlblFieldTableCache>
                        <c:ptCount val="1"/>
                        <c:pt idx="0">
                          <c:v>482</c:v>
                        </c:pt>
                      </c15:dlblFieldTableCache>
                    </c15:dlblFTEntry>
                  </c15:dlblFieldTable>
                  <c15:showDataLabelsRange val="0"/>
                </c:ext>
                <c:ext xmlns:c16="http://schemas.microsoft.com/office/drawing/2014/chart" uri="{C3380CC4-5D6E-409C-BE32-E72D297353CC}">
                  <c16:uniqueId val="{00000002-3731-452A-A848-2379D8835D08}"/>
                </c:ext>
              </c:extLst>
            </c:dLbl>
            <c:dLbl>
              <c:idx val="3"/>
              <c:layout>
                <c:manualLayout>
                  <c:x val="-4.3531837750423695E-17"/>
                  <c:y val="-5.6428843944071494E-2"/>
                </c:manualLayout>
              </c:layout>
              <c:tx>
                <c:rich>
                  <a:bodyPr/>
                  <a:lstStyle/>
                  <a:p>
                    <a:fld id="{4B7D289C-4C10-4D8E-986F-691ED75B9ED3}" type="CELLREF">
                      <a:rPr lang="en-US"/>
                      <a:pPr/>
                      <a:t>[CELLREF]</a:t>
                    </a:fld>
                    <a:endParaRPr lang="es-AR"/>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{4B7D289C-4C10-4D8E-986F-691ED75B9ED3}</c15:txfldGUID>
                      <c15:f>Comex!$DC$6</c15:f>
                      <c15:dlblFieldTableCache>
                        <c:ptCount val="1"/>
                        <c:pt idx="0">
                          <c:v>441</c:v>
                        </c:pt>
                      </c15:dlblFieldTableCache>
                    </c15:dlblFTEntry>
                  </c15:dlblFieldTable>
                  <c15:showDataLabelsRange val="0"/>
                </c:ext>
                <c:ext xmlns:c16="http://schemas.microsoft.com/office/drawing/2014/chart" uri="{C3380CC4-5D6E-409C-BE32-E72D297353CC}">
                  <c16:uniqueId val="{00000003-3731-452A-A848-2379D8835D08}"/>
                </c:ext>
              </c:extLst>
            </c:dLbl>
            <c:dLbl>
              <c:idx val="4"/>
              <c:layout>
                <c:manualLayout>
                  <c:x val="0"/>
                  <c:y val="-5.1722957870652675E-2"/>
                </c:manualLayout>
              </c:layout>
              <c:tx>
                <c:rich>
                  <a:bodyPr/>
                  <a:lstStyle/>
                  <a:p>
                    <a:fld id="{384045DB-1B44-4ACC-A06B-5C0CA234830A}" type="CELLREF">
                      <a:rPr lang="en-US"/>
                      <a:pPr/>
                      <a:t>[CELLREF]</a:t>
                    </a:fld>
                    <a:endParaRPr lang="es-AR"/>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{384045DB-1B44-4ACC-A06B-5C0CA234830A}</c15:txfldGUID>
                      <c15:f>Comex!$DC$7</c15:f>
                      <c15:dlblFieldTableCache>
                        <c:ptCount val="1"/>
                        <c:pt idx="0">
                          <c:v>385</c:v>
                        </c:pt>
                      </c15:dlblFieldTableCache>
                    </c15:dlblFTEntry>
                  </c15:dlblFieldTable>
                  <c15:showDataLabelsRange val="0"/>
                </c:ext>
                <c:ext xmlns:c16="http://schemas.microsoft.com/office/drawing/2014/chart" uri="{C3380CC4-5D6E-409C-BE32-E72D297353CC}">
                  <c16:uniqueId val="{00000004-3731-452A-A848-2379D8835D08}"/>
                </c:ext>
              </c:extLst>
            </c:dLbl>
            <c:dLbl>
              <c:idx val="5"/>
              <c:layout>
                <c:manualLayout>
                  <c:x val="-9.4979652292207645E-3"/>
                  <c:y val="-6.9058138350294743E-2"/>
                </c:manualLayout>
              </c:layout>
              <c:tx>
                <c:rich>
                  <a:bodyPr/>
                  <a:lstStyle/>
                  <a:p>
                    <a:fld id="{C9DF4655-55FB-48EB-9A1C-2B03B00C61FF}" type="CELLREF">
                      <a:rPr lang="en-US"/>
                      <a:pPr/>
                      <a:t>[CELLREF]</a:t>
                    </a:fld>
                    <a:endParaRPr lang="es-AR"/>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{C9DF4655-55FB-48EB-9A1C-2B03B00C61FF}</c15:txfldGUID>
                      <c15:f>Comex!$DC$8</c15:f>
                      <c15:dlblFieldTableCache>
                        <c:ptCount val="1"/>
                        <c:pt idx="0">
                          <c:v>484</c:v>
                        </c:pt>
                      </c15:dlblFieldTableCache>
                    </c15:dlblFTEntry>
                  </c15:dlblFieldTable>
                  <c15:showDataLabelsRange val="0"/>
                </c:ext>
                <c:ext xmlns:c16="http://schemas.microsoft.com/office/drawing/2014/chart" uri="{C3380CC4-5D6E-409C-BE32-E72D297353CC}">
                  <c16:uniqueId val="{00000005-3731-452A-A848-2379D8835D08}"/>
                </c:ext>
              </c:extLst>
            </c:dLbl>
            <c:dLbl>
              <c:idx val="6"/>
              <c:layout>
                <c:manualLayout>
                  <c:x val="0"/>
                  <c:y val="-6.6631217600867765E-2"/>
                </c:manualLayout>
              </c:layout>
              <c:tx>
                <c:rich>
                  <a:bodyPr/>
                  <a:lstStyle/>
                  <a:p>
                    <a:fld id="{12614C0E-A8CF-4776-A898-D53D40C6D17D}" type="CELLREF">
                      <a:rPr lang="en-US"/>
                      <a:pPr/>
                      <a:t>[CELLREF]</a:t>
                    </a:fld>
                    <a:endParaRPr lang="es-AR"/>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{12614C0E-A8CF-4776-A898-D53D40C6D17D}</c15:txfldGUID>
                      <c15:f>Comex!$DC$9</c15:f>
                      <c15:dlblFieldTableCache>
                        <c:ptCount val="1"/>
                        <c:pt idx="0">
                          <c:v>578</c:v>
                        </c:pt>
                      </c15:dlblFieldTableCache>
                    </c15:dlblFTEntry>
                  </c15:dlblFieldTable>
                  <c15:showDataLabelsRange val="0"/>
                </c:ext>
                <c:ext xmlns:c16="http://schemas.microsoft.com/office/drawing/2014/chart" uri="{C3380CC4-5D6E-409C-BE32-E72D297353CC}">
                  <c16:uniqueId val="{00000006-3731-452A-A848-2379D8835D08}"/>
                </c:ext>
              </c:extLst>
            </c:dLbl>
            <c:dLbl>
              <c:idx val="7"/>
              <c:layout>
                <c:manualLayout>
                  <c:x val="-9.4555506952192244E-17"/>
                  <c:y val="-5.4622781628679312E-2"/>
                </c:manualLayout>
              </c:layout>
              <c:tx>
                <c:rich>
                  <a:bodyPr/>
                  <a:lstStyle/>
                  <a:p>
                    <a:fld id="{E7C97BE2-A25F-4556-8D85-5CD002556E7B}" type="CELLREF">
                      <a:rPr lang="en-US"/>
                      <a:pPr/>
                      <a:t>[CELLREF]</a:t>
                    </a:fld>
                    <a:endParaRPr lang="es-AR"/>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{E7C97BE2-A25F-4556-8D85-5CD002556E7B}</c15:txfldGUID>
                      <c15:f>Comex!$DC$10</c15:f>
                      <c15:dlblFieldTableCache>
                        <c:ptCount val="1"/>
                        <c:pt idx="0">
                          <c:v>505</c:v>
                        </c:pt>
                      </c15:dlblFieldTableCache>
                    </c15:dlblFTEntry>
                  </c15:dlblFieldTable>
                  <c15:showDataLabelsRange val="0"/>
                </c:ext>
                <c:ext xmlns:c16="http://schemas.microsoft.com/office/drawing/2014/chart" uri="{C3380CC4-5D6E-409C-BE32-E72D297353CC}">
                  <c16:uniqueId val="{00000007-3731-452A-A848-2379D8835D08}"/>
                </c:ext>
              </c:extLst>
            </c:dLbl>
            <c:dLbl>
              <c:idx val="8"/>
              <c:layout>
                <c:manualLayout>
                  <c:x val="-8.706367550084739E-17"/>
                  <c:y val="-3.6210452700683467E-2"/>
                </c:manualLayout>
              </c:layout>
              <c:tx>
                <c:rich>
                  <a:bodyPr/>
                  <a:lstStyle/>
                  <a:p>
                    <a:fld id="{121FB74C-3D35-4596-A02F-0F6E6026B851}" type="CELLREF">
                      <a:rPr lang="en-US"/>
                      <a:pPr/>
                      <a:t>[CELLREF]</a:t>
                    </a:fld>
                    <a:endParaRPr lang="es-AR"/>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{121FB74C-3D35-4596-A02F-0F6E6026B851}</c15:txfldGUID>
                      <c15:f>Comex!$DC$11</c15:f>
                      <c15:dlblFieldTableCache>
                        <c:ptCount val="1"/>
                        <c:pt idx="0">
                          <c:v>334</c:v>
                        </c:pt>
                      </c15:dlblFieldTableCache>
                    </c15:dlblFTEntry>
                  </c15:dlblFieldTable>
                  <c15:showDataLabelsRange val="0"/>
                </c:ext>
                <c:ext xmlns:c16="http://schemas.microsoft.com/office/drawing/2014/chart" uri="{C3380CC4-5D6E-409C-BE32-E72D297353CC}">
                  <c16:uniqueId val="{00000008-3731-452A-A848-2379D8835D08}"/>
                </c:ext>
              </c:extLst>
            </c:dLbl>
            <c:dLbl>
              <c:idx val="9"/>
              <c:layout>
                <c:manualLayout>
                  <c:x val="-4.7489826146103389E-3"/>
                  <c:y val="-9.2547360983454091E-2"/>
                </c:manualLayout>
              </c:layout>
              <c:tx>
                <c:rich>
                  <a:bodyPr/>
                  <a:lstStyle/>
                  <a:p>
                    <a:fld id="{74B562EA-1344-44A7-BFEE-5D61E8AEA89C}" type="CELLREF">
                      <a:rPr lang="en-US"/>
                      <a:pPr/>
                      <a:t>[CELLREF]</a:t>
                    </a:fld>
                    <a:endParaRPr lang="es-AR"/>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{74B562EA-1344-44A7-BFEE-5D61E8AEA89C}</c15:txfldGUID>
                      <c15:f>Comex!$DC$12</c15:f>
                      <c15:dlblFieldTableCache>
                        <c:ptCount val="1"/>
                        <c:pt idx="0">
                          <c:v>551</c:v>
                        </c:pt>
                      </c15:dlblFieldTableCache>
                    </c15:dlblFTEntry>
                  </c15:dlblFieldTable>
                  <c15:showDataLabelsRange val="0"/>
                </c:ext>
                <c:ext xmlns:c16="http://schemas.microsoft.com/office/drawing/2014/chart" uri="{C3380CC4-5D6E-409C-BE32-E72D297353CC}">
                  <c16:uniqueId val="{00000009-3731-452A-A848-2379D8835D08}"/>
                </c:ext>
              </c:extLst>
            </c:dLbl>
            <c:dLbl>
              <c:idx val="10"/>
              <c:layout>
                <c:manualLayout>
                  <c:x val="-1.8335424303593217E-16"/>
                  <c:y val="-7.9602139822332552E-2"/>
                </c:manualLayout>
              </c:layout>
              <c:tx>
                <c:rich>
                  <a:bodyPr/>
                  <a:lstStyle/>
                  <a:p>
                    <a:fld id="{27BB0B39-EDF8-4BEE-8AB6-B40E5AB4B8BA}" type="CELLREF">
                      <a:rPr lang="en-US"/>
                      <a:pPr/>
                      <a:t>[CELLREF]</a:t>
                    </a:fld>
                    <a:endParaRPr lang="es-AR"/>
                  </a:p>
                </c:rich>
              </c:tx>
              <c:dLblPos val="ctr"/>
              <c:showLegendKey val="0"/>
              <c:showVal val="1"/>
              <c:showCatName val="0"/>
              <c:showSerName val="0"/>
              <c:showPercent val="0"/>
              <c:showBubbleSize val="0"/>
              <c:extLst>
                <c:ext xmlns:c15="http://schemas.microsoft.com/office/drawing/2012/chart" uri="{CE6537A1-D6FC-4f65-9D91-7224C49458BB}">
                  <c15:dlblFieldTable>
                    <c15:dlblFTEntry>
                      <c15:txfldGUID>{27BB0B39-EDF8-4BEE-8AB6-B40E5AB4B8BA}</c15:txfldGUID>
                      <c15:f>Comex!$DC$13</c15:f>
                      <c15:dlblFieldTableCache>
                        <c:ptCount val="1"/>
                        <c:pt idx="0">
                          <c:v>609</c:v>
                        </c:pt>
                      </c15:dlblFieldTableCache>
                    </c15:dlblFTEntry>
                  </c15:dlblFieldTable>
                  <c15:showDataLabelsRange val="0"/>
                </c:ext>
                <c:ext xmlns:c16="http://schemas.microsoft.com/office/drawing/2014/chart" uri="{C3380CC4-5D6E-409C-BE32-E72D297353CC}">
                  <c16:uniqueId val="{00000000-FD41-4EF8-9CFF-1999D4BB2CDC}"/>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Comex!$A$3:$A$13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Comex!$DA$3:$DA$13</c:f>
              <c:numCache>
                <c:formatCode>#,##0</c:formatCode>
                <c:ptCount val="11"/>
                <c:pt idx="0">
                  <c:v>44.470736729999999</c:v>
                </c:pt>
                <c:pt idx="1">
                  <c:v>80.561475049999984</c:v>
                </c:pt>
                <c:pt idx="2">
                  <c:v>76.963964739999994</c:v>
                </c:pt>
                <c:pt idx="3">
                  <c:v>67.506336020000006</c:v>
                </c:pt>
                <c:pt idx="4">
                  <c:v>39.814806940000004</c:v>
                </c:pt>
                <c:pt idx="5">
                  <c:v>67.972381509999991</c:v>
                </c:pt>
                <c:pt idx="6">
                  <c:v>82.235693119999993</c:v>
                </c:pt>
                <c:pt idx="7">
                  <c:v>42.658363509999994</c:v>
                </c:pt>
                <c:pt idx="8">
                  <c:v>26.138777139999995</c:v>
                </c:pt>
                <c:pt idx="9">
                  <c:v>117.52478782999999</c:v>
                </c:pt>
                <c:pt idx="10">
                  <c:v>126.85550133999999</c:v>
                </c:pt>
              </c:numCache>
            </c:numRef>
          </c:val>
          <c:extLst>
            <c:ext xmlns:c16="http://schemas.microsoft.com/office/drawing/2014/chart" uri="{C3380CC4-5D6E-409C-BE32-E72D297353CC}">
              <c16:uniqueId val="{00000012-EF5E-452B-B07B-EFA31312C486}"/>
            </c:ext>
          </c:extLst>
        </c:ser>
        <c:dLbls>
          <c:showLegendKey val="0"/>
          <c:showVal val="0"/>
          <c:showCatName val="0"/>
          <c:showSerName val="0"/>
          <c:showPercent val="0"/>
          <c:showBubbleSize val="0"/>
        </c:dLbls>
        <c:gapWidth val="55"/>
        <c:overlap val="100"/>
        <c:axId val="187410864"/>
        <c:axId val="187403664"/>
        <c:extLst>
          <c:ext xmlns:c15="http://schemas.microsoft.com/office/drawing/2012/chart" uri="{02D57815-91ED-43cb-92C2-25804820EDAC}">
            <c15:filteredBarSeries>
              <c15:ser>
                <c:idx val="2"/>
                <c:order val="2"/>
                <c:tx>
                  <c:strRef>
                    <c:extLst>
                      <c:ext uri="{02D57815-91ED-43cb-92C2-25804820EDAC}">
                        <c15:formulaRef>
                          <c15:sqref>Comex!$CK$2</c15:sqref>
                        </c15:formulaRef>
                      </c:ext>
                    </c:extLst>
                    <c:strCache>
                      <c:ptCount val="1"/>
                      <c:pt idx="0">
                        <c:v>Granos</c:v>
                      </c:pt>
                    </c:strCache>
                  </c:strRef>
                </c:tx>
                <c:spPr>
                  <a:solidFill>
                    <a:schemeClr val="accent3"/>
                  </a:solidFill>
                  <a:ln>
                    <a:noFill/>
                  </a:ln>
                  <a:effectLst/>
                </c:spPr>
                <c:invertIfNegative val="0"/>
                <c:cat>
                  <c:numRef>
                    <c:extLst>
                      <c:ext uri="{02D57815-91ED-43cb-92C2-25804820EDAC}">
                        <c15:formulaRef>
                          <c15:sqref>Comex!$A$3:$A$13</c15:sqref>
                        </c15:formulaRef>
                      </c:ext>
                    </c:extLst>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extLst>
                      <c:ext uri="{02D57815-91ED-43cb-92C2-25804820EDAC}">
                        <c15:formulaRef>
                          <c15:sqref>Comex!$CK$3:$CK$13</c15:sqref>
                        </c15:formulaRef>
                      </c:ext>
                    </c:extLst>
                    <c:numCache>
                      <c:formatCode>#,##0</c:formatCode>
                      <c:ptCount val="11"/>
                      <c:pt idx="0">
                        <c:v>245.28067133000002</c:v>
                      </c:pt>
                      <c:pt idx="1">
                        <c:v>575.26322785999992</c:v>
                      </c:pt>
                      <c:pt idx="2">
                        <c:v>1646.5088823000001</c:v>
                      </c:pt>
                      <c:pt idx="3">
                        <c:v>1521.83247553</c:v>
                      </c:pt>
                      <c:pt idx="4">
                        <c:v>1460.4607983199999</c:v>
                      </c:pt>
                      <c:pt idx="5">
                        <c:v>2102.7843862500004</c:v>
                      </c:pt>
                      <c:pt idx="6">
                        <c:v>1969.2881765900001</c:v>
                      </c:pt>
                      <c:pt idx="7">
                        <c:v>4288.0667087600013</c:v>
                      </c:pt>
                      <c:pt idx="8">
                        <c:v>2270.34850727</c:v>
                      </c:pt>
                      <c:pt idx="9">
                        <c:v>1892.56880467</c:v>
                      </c:pt>
                      <c:pt idx="10">
                        <c:v>2779.0436714900002</c:v>
                      </c:pt>
                    </c:numCache>
                  </c:numRef>
                </c:val>
                <c:extLst>
                  <c:ext xmlns:c16="http://schemas.microsoft.com/office/drawing/2014/chart" uri="{C3380CC4-5D6E-409C-BE32-E72D297353CC}">
                    <c16:uniqueId val="{00000002-EF5E-452B-B07B-EFA31312C486}"/>
                  </c:ext>
                </c:extLst>
              </c15:ser>
            </c15:filteredBarSeries>
          </c:ext>
        </c:extLst>
      </c:barChart>
      <c:catAx>
        <c:axId val="187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s-ES"/>
          </a:p>
        </c:txPr>
        <c:crossAx val="187403664"/>
        <c:crosses val="autoZero"/>
        <c:auto val="1"/>
        <c:lblAlgn val="ctr"/>
        <c:lblOffset val="100"/>
        <c:noMultiLvlLbl val="0"/>
      </c:catAx>
      <c:valAx>
        <c:axId val="187403664"/>
        <c:scaling>
          <c:orientation val="minMax"/>
          <c:max val="550"/>
          <c:min val="0"/>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87410864"/>
        <c:crosses val="autoZero"/>
        <c:crossBetween val="between"/>
      </c:valAx>
      <c:spPr>
        <a:noFill/>
        <a:ln>
          <a:noFill/>
        </a:ln>
        <a:effectLst/>
      </c:spPr>
    </c:plotArea>
    <c:legend>
      <c:legendPos val="t"/>
      <c:layout>
        <c:manualLayout>
          <c:xMode val="edge"/>
          <c:yMode val="edge"/>
          <c:x val="4.6733428332140926E-2"/>
          <c:y val="9.2780552444598152E-2"/>
          <c:w val="0.92393617887502855"/>
          <c:h val="0.1403566244132034"/>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s-ES"/>
        </a:p>
      </c:txPr>
    </c:legend>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s-AR" sz="1000" b="1"/>
              <a:t>Variación % de las exportaciones acumuladas 2026 respecto promedio acumulado 2016-2025</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ES"/>
        </a:p>
      </c:txPr>
    </c:title>
    <c:autoTitleDeleted val="0"/>
    <c:plotArea>
      <c:layout>
        <c:manualLayout>
          <c:layoutTarget val="inner"/>
          <c:xMode val="edge"/>
          <c:yMode val="edge"/>
          <c:x val="0.32037793830685402"/>
          <c:y val="0.19280459999619129"/>
          <c:w val="0.63541030878981308"/>
          <c:h val="0.76688657147589179"/>
        </c:manualLayout>
      </c:layout>
      <c:barChart>
        <c:barDir val="bar"/>
        <c:grouping val="clustered"/>
        <c:varyColors val="0"/>
        <c:ser>
          <c:idx val="0"/>
          <c:order val="0"/>
          <c:spPr>
            <a:solidFill>
              <a:schemeClr val="accent5">
                <a:lumMod val="50000"/>
              </a:schemeClr>
            </a:solidFill>
            <a:ln>
              <a:noFill/>
            </a:ln>
            <a:effectLst/>
          </c:spPr>
          <c:invertIfNegative val="0"/>
          <c:dLbls>
            <c:dLbl>
              <c:idx val="5"/>
              <c:tx>
                <c:rich>
                  <a:bodyPr/>
                  <a:lstStyle/>
                  <a:p>
                    <a:fld id="{9FB3E703-5B4D-4286-9B93-436EB5BD0FC5}" type="CELLREF">
                      <a:rPr lang="en-US"/>
                      <a:pPr/>
                      <a:t>[CELLREF]</a:t>
                    </a:fld>
                    <a:endParaRPr lang="es-AR"/>
                  </a:p>
                </c:rich>
              </c:tx>
              <c:showLegendKey val="0"/>
              <c:showVal val="1"/>
              <c:showCatName val="0"/>
              <c:showSerName val="0"/>
              <c:showPercent val="0"/>
              <c:showBubbleSize val="0"/>
              <c:extLst>
                <c:ext xmlns:c15="http://schemas.microsoft.com/office/drawing/2012/chart" uri="{CE6537A1-D6FC-4f65-9D91-7224C49458BB}">
                  <c15:dlblFieldTable>
                    <c15:dlblFTEntry>
                      <c15:txfldGUID>{9FB3E703-5B4D-4286-9B93-436EB5BD0FC5}</c15:txfldGUID>
                      <c15:f>Comex!$BS$18</c15:f>
                      <c15:dlblFieldTableCache>
                        <c:ptCount val="1"/>
                      </c15:dlblFieldTableCache>
                    </c15:dlblFTEntry>
                  </c15:dlblFieldTable>
                  <c15:showDataLabelsRange val="0"/>
                </c:ext>
                <c:ext xmlns:c16="http://schemas.microsoft.com/office/drawing/2014/chart" uri="{C3380CC4-5D6E-409C-BE32-E72D297353CC}">
                  <c16:uniqueId val="{00000000-7AF9-4169-859B-34FB10632167}"/>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Comex!$BN$2:$CF$2</c:f>
              <c:strCache>
                <c:ptCount val="19"/>
                <c:pt idx="0">
                  <c:v>Algodón</c:v>
                </c:pt>
                <c:pt idx="1">
                  <c:v>Arroz</c:v>
                </c:pt>
                <c:pt idx="2">
                  <c:v>Granos</c:v>
                </c:pt>
                <c:pt idx="3">
                  <c:v>Mani</c:v>
                </c:pt>
                <c:pt idx="4">
                  <c:v>Papa</c:v>
                </c:pt>
                <c:pt idx="5">
                  <c:v>Mandioca</c:v>
                </c:pt>
                <c:pt idx="6">
                  <c:v>Hortalizas</c:v>
                </c:pt>
                <c:pt idx="7">
                  <c:v>Vitivinicola</c:v>
                </c:pt>
                <c:pt idx="8">
                  <c:v>Peras y Manzanas</c:v>
                </c:pt>
                <c:pt idx="9">
                  <c:v>Citricos Dulces</c:v>
                </c:pt>
                <c:pt idx="10">
                  <c:v>Forestal</c:v>
                </c:pt>
                <c:pt idx="11">
                  <c:v>Tabaco</c:v>
                </c:pt>
                <c:pt idx="12">
                  <c:v>Yerba Mate</c:v>
                </c:pt>
                <c:pt idx="13">
                  <c:v>Apícola</c:v>
                </c:pt>
                <c:pt idx="14">
                  <c:v>Aviar</c:v>
                </c:pt>
                <c:pt idx="15">
                  <c:v>Bovinos</c:v>
                </c:pt>
                <c:pt idx="16">
                  <c:v>Lechería</c:v>
                </c:pt>
                <c:pt idx="17">
                  <c:v>Ovinos</c:v>
                </c:pt>
                <c:pt idx="18">
                  <c:v>Porcinos</c:v>
                </c:pt>
              </c:strCache>
            </c:strRef>
          </c:cat>
          <c:val>
            <c:numRef>
              <c:f>Comex!$BN$17:$CF$17</c:f>
              <c:numCache>
                <c:formatCode>0%</c:formatCode>
                <c:ptCount val="19"/>
                <c:pt idx="0">
                  <c:v>0.44372785376878654</c:v>
                </c:pt>
                <c:pt idx="1">
                  <c:v>0.7082485780369312</c:v>
                </c:pt>
                <c:pt idx="2">
                  <c:v>0.33004555078102116</c:v>
                </c:pt>
                <c:pt idx="3">
                  <c:v>0.23924730391346194</c:v>
                </c:pt>
                <c:pt idx="4">
                  <c:v>0.46968487819749827</c:v>
                </c:pt>
                <c:pt idx="5">
                  <c:v>0</c:v>
                </c:pt>
                <c:pt idx="6">
                  <c:v>0.25399830306221838</c:v>
                </c:pt>
                <c:pt idx="7">
                  <c:v>-0.13536971002040588</c:v>
                </c:pt>
                <c:pt idx="8">
                  <c:v>4.1445109245164424E-2</c:v>
                </c:pt>
                <c:pt idx="9">
                  <c:v>0.26561029099023359</c:v>
                </c:pt>
                <c:pt idx="10">
                  <c:v>-9.7284542944043539E-2</c:v>
                </c:pt>
                <c:pt idx="11">
                  <c:v>0.63663291757129081</c:v>
                </c:pt>
                <c:pt idx="12">
                  <c:v>0.19250649552903321</c:v>
                </c:pt>
                <c:pt idx="13">
                  <c:v>0.65422110994933114</c:v>
                </c:pt>
                <c:pt idx="14">
                  <c:v>-0.72008994848316044</c:v>
                </c:pt>
                <c:pt idx="15">
                  <c:v>0.74449908906144757</c:v>
                </c:pt>
                <c:pt idx="16">
                  <c:v>0.56384791330065576</c:v>
                </c:pt>
                <c:pt idx="17">
                  <c:v>0.63902720558757964</c:v>
                </c:pt>
                <c:pt idx="18">
                  <c:v>0.22715357096751143</c:v>
                </c:pt>
              </c:numCache>
            </c:numRef>
          </c:val>
          <c:extLst>
            <c:ext xmlns:c16="http://schemas.microsoft.com/office/drawing/2014/chart" uri="{C3380CC4-5D6E-409C-BE32-E72D297353CC}">
              <c16:uniqueId val="{00000000-4737-4314-80BB-AA6A56B0BB8E}"/>
            </c:ext>
          </c:extLst>
        </c:ser>
        <c:dLbls>
          <c:showLegendKey val="0"/>
          <c:showVal val="0"/>
          <c:showCatName val="0"/>
          <c:showSerName val="0"/>
          <c:showPercent val="0"/>
          <c:showBubbleSize val="0"/>
        </c:dLbls>
        <c:gapWidth val="100"/>
        <c:axId val="369974047"/>
        <c:axId val="369957727"/>
      </c:barChart>
      <c:catAx>
        <c:axId val="36997404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ES"/>
          </a:p>
        </c:txPr>
        <c:crossAx val="369957727"/>
        <c:crosses val="autoZero"/>
        <c:auto val="1"/>
        <c:lblAlgn val="ctr"/>
        <c:lblOffset val="100"/>
        <c:noMultiLvlLbl val="0"/>
      </c:catAx>
      <c:valAx>
        <c:axId val="369957727"/>
        <c:scaling>
          <c:orientation val="minMax"/>
          <c:max val="1.6500000000000001"/>
          <c:min val="-1"/>
        </c:scaling>
        <c:delete val="1"/>
        <c:axPos val="b"/>
        <c:numFmt formatCode="0%" sourceLinked="1"/>
        <c:majorTickMark val="out"/>
        <c:minorTickMark val="none"/>
        <c:tickLblPos val="nextTo"/>
        <c:crossAx val="36997404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614674293699558E-2"/>
          <c:y val="0.17211322730496587"/>
          <c:w val="0.94077065141260086"/>
          <c:h val="0.74053167668650832"/>
        </c:manualLayout>
      </c:layout>
      <c:barChart>
        <c:barDir val="col"/>
        <c:grouping val="stacked"/>
        <c:varyColors val="0"/>
        <c:ser>
          <c:idx val="0"/>
          <c:order val="0"/>
          <c:tx>
            <c:strRef>
              <c:f>Comex!$DX$2</c:f>
              <c:strCache>
                <c:ptCount val="1"/>
                <c:pt idx="0">
                  <c:v>Bovinos</c:v>
                </c:pt>
              </c:strCache>
            </c:strRef>
          </c:tx>
          <c:spPr>
            <a:solidFill>
              <a:srgbClr val="B7950B"/>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Comex!$DX$3:$DX$13</c:f>
              <c:numCache>
                <c:formatCode>#,##0</c:formatCode>
                <c:ptCount val="11"/>
                <c:pt idx="0">
                  <c:v>29.801982159999998</c:v>
                </c:pt>
                <c:pt idx="1">
                  <c:v>28.894063780000003</c:v>
                </c:pt>
                <c:pt idx="2">
                  <c:v>24.27934102</c:v>
                </c:pt>
                <c:pt idx="3">
                  <c:v>46.287423129999993</c:v>
                </c:pt>
                <c:pt idx="4">
                  <c:v>41.053205010000006</c:v>
                </c:pt>
                <c:pt idx="5">
                  <c:v>50.018040499999998</c:v>
                </c:pt>
                <c:pt idx="6">
                  <c:v>64.912820820000007</c:v>
                </c:pt>
                <c:pt idx="7">
                  <c:v>35.429769899999997</c:v>
                </c:pt>
                <c:pt idx="8">
                  <c:v>21.836344190000002</c:v>
                </c:pt>
                <c:pt idx="9">
                  <c:v>67.500706519999994</c:v>
                </c:pt>
                <c:pt idx="10">
                  <c:v>123.26888067</c:v>
                </c:pt>
              </c:numCache>
            </c:numRef>
          </c:val>
          <c:extLst>
            <c:ext xmlns:c16="http://schemas.microsoft.com/office/drawing/2014/chart" uri="{C3380CC4-5D6E-409C-BE32-E72D297353CC}">
              <c16:uniqueId val="{00000000-1532-427E-A992-9B0B01F46179}"/>
            </c:ext>
          </c:extLst>
        </c:ser>
        <c:ser>
          <c:idx val="1"/>
          <c:order val="1"/>
          <c:tx>
            <c:strRef>
              <c:f>Comex!$DY$2</c:f>
              <c:strCache>
                <c:ptCount val="1"/>
                <c:pt idx="0">
                  <c:v>Lechería</c:v>
                </c:pt>
              </c:strCache>
            </c:strRef>
          </c:tx>
          <c:spPr>
            <a:solidFill>
              <a:srgbClr val="F4D03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Comex!$DY$3:$DY$13</c:f>
              <c:numCache>
                <c:formatCode>#,##0</c:formatCode>
                <c:ptCount val="11"/>
                <c:pt idx="0">
                  <c:v>9.2453237599999998</c:v>
                </c:pt>
                <c:pt idx="1">
                  <c:v>19.887670429999996</c:v>
                </c:pt>
                <c:pt idx="2">
                  <c:v>14.19974552</c:v>
                </c:pt>
                <c:pt idx="3">
                  <c:v>18.368854170000002</c:v>
                </c:pt>
                <c:pt idx="4">
                  <c:v>7.4955599699999986</c:v>
                </c:pt>
                <c:pt idx="5">
                  <c:v>11.386332580000001</c:v>
                </c:pt>
                <c:pt idx="6">
                  <c:v>25.918448729999994</c:v>
                </c:pt>
                <c:pt idx="7">
                  <c:v>18.707807729999995</c:v>
                </c:pt>
                <c:pt idx="8">
                  <c:v>12.885164050000002</c:v>
                </c:pt>
                <c:pt idx="9">
                  <c:v>20.243998940000001</c:v>
                </c:pt>
                <c:pt idx="10">
                  <c:v>21.562200539999999</c:v>
                </c:pt>
              </c:numCache>
            </c:numRef>
          </c:val>
          <c:extLst>
            <c:ext xmlns:c16="http://schemas.microsoft.com/office/drawing/2014/chart" uri="{C3380CC4-5D6E-409C-BE32-E72D297353CC}">
              <c16:uniqueId val="{00000001-1532-427E-A992-9B0B01F46179}"/>
            </c:ext>
          </c:extLst>
        </c:ser>
        <c:ser>
          <c:idx val="2"/>
          <c:order val="2"/>
          <c:tx>
            <c:strRef>
              <c:f>Comex!$DZ$2</c:f>
              <c:strCache>
                <c:ptCount val="1"/>
                <c:pt idx="0">
                  <c:v>Aviar</c:v>
                </c:pt>
              </c:strCache>
            </c:strRef>
          </c:tx>
          <c:spPr>
            <a:solidFill>
              <a:srgbClr val="F7DC6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Comex!$DZ$3:$DZ$13</c:f>
              <c:numCache>
                <c:formatCode>#,##0</c:formatCode>
                <c:ptCount val="11"/>
                <c:pt idx="0">
                  <c:v>28.210152479999998</c:v>
                </c:pt>
                <c:pt idx="1">
                  <c:v>22.281796279999995</c:v>
                </c:pt>
                <c:pt idx="2">
                  <c:v>19.208995849999997</c:v>
                </c:pt>
                <c:pt idx="3">
                  <c:v>18.45558252</c:v>
                </c:pt>
                <c:pt idx="4">
                  <c:v>18.6282672</c:v>
                </c:pt>
                <c:pt idx="5">
                  <c:v>20.862892420000001</c:v>
                </c:pt>
                <c:pt idx="6">
                  <c:v>37.65764128</c:v>
                </c:pt>
                <c:pt idx="7">
                  <c:v>30.143111109999996</c:v>
                </c:pt>
                <c:pt idx="8">
                  <c:v>22.650184889999998</c:v>
                </c:pt>
                <c:pt idx="9">
                  <c:v>26.151564440000001</c:v>
                </c:pt>
                <c:pt idx="10">
                  <c:v>29.704679079999995</c:v>
                </c:pt>
              </c:numCache>
            </c:numRef>
          </c:val>
          <c:extLst>
            <c:ext xmlns:c16="http://schemas.microsoft.com/office/drawing/2014/chart" uri="{C3380CC4-5D6E-409C-BE32-E72D297353CC}">
              <c16:uniqueId val="{00000002-1532-427E-A992-9B0B01F46179}"/>
            </c:ext>
          </c:extLst>
        </c:ser>
        <c:ser>
          <c:idx val="3"/>
          <c:order val="3"/>
          <c:tx>
            <c:strRef>
              <c:f>Comex!$EA$2</c:f>
              <c:strCache>
                <c:ptCount val="1"/>
                <c:pt idx="0">
                  <c:v>Ovinos</c:v>
                </c:pt>
              </c:strCache>
            </c:strRef>
          </c:tx>
          <c:spPr>
            <a:solidFill>
              <a:srgbClr val="F9E79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Comex!$EA$3:$EA$13</c:f>
              <c:numCache>
                <c:formatCode>#,##0</c:formatCode>
                <c:ptCount val="11"/>
                <c:pt idx="0">
                  <c:v>5.3927472099999996</c:v>
                </c:pt>
                <c:pt idx="1">
                  <c:v>2.3918064900000005</c:v>
                </c:pt>
                <c:pt idx="2">
                  <c:v>0.77257660000000006</c:v>
                </c:pt>
                <c:pt idx="3">
                  <c:v>0.88820651999999989</c:v>
                </c:pt>
                <c:pt idx="4">
                  <c:v>1.7585355299999998</c:v>
                </c:pt>
                <c:pt idx="5">
                  <c:v>1.95680381</c:v>
                </c:pt>
                <c:pt idx="6">
                  <c:v>1.4838372700000002</c:v>
                </c:pt>
                <c:pt idx="7">
                  <c:v>2.45942974</c:v>
                </c:pt>
                <c:pt idx="8">
                  <c:v>2.2231296600000001</c:v>
                </c:pt>
                <c:pt idx="9">
                  <c:v>1.2200566200000003</c:v>
                </c:pt>
                <c:pt idx="10">
                  <c:v>1.5229212299999999</c:v>
                </c:pt>
              </c:numCache>
            </c:numRef>
          </c:val>
          <c:extLst>
            <c:ext xmlns:c16="http://schemas.microsoft.com/office/drawing/2014/chart" uri="{C3380CC4-5D6E-409C-BE32-E72D297353CC}">
              <c16:uniqueId val="{00000003-1532-427E-A992-9B0B01F46179}"/>
            </c:ext>
          </c:extLst>
        </c:ser>
        <c:ser>
          <c:idx val="4"/>
          <c:order val="4"/>
          <c:tx>
            <c:strRef>
              <c:f>Comex!$EB$2</c:f>
              <c:strCache>
                <c:ptCount val="1"/>
                <c:pt idx="0">
                  <c:v>Porcinos</c:v>
                </c:pt>
              </c:strCache>
            </c:strRef>
          </c:tx>
          <c:spPr>
            <a:solidFill>
              <a:srgbClr val="D4AC0D"/>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Comex!$EB$3:$EB$13</c:f>
              <c:numCache>
                <c:formatCode>#,##0</c:formatCode>
                <c:ptCount val="11"/>
                <c:pt idx="0">
                  <c:v>44.470736729999999</c:v>
                </c:pt>
                <c:pt idx="1">
                  <c:v>80.561475049999984</c:v>
                </c:pt>
                <c:pt idx="2">
                  <c:v>76.963964739999994</c:v>
                </c:pt>
                <c:pt idx="3">
                  <c:v>67.506336020000006</c:v>
                </c:pt>
                <c:pt idx="4">
                  <c:v>39.814806940000004</c:v>
                </c:pt>
                <c:pt idx="5">
                  <c:v>67.972381509999991</c:v>
                </c:pt>
                <c:pt idx="6">
                  <c:v>82.235693119999993</c:v>
                </c:pt>
                <c:pt idx="7">
                  <c:v>42.658363509999994</c:v>
                </c:pt>
                <c:pt idx="8">
                  <c:v>26.138777139999995</c:v>
                </c:pt>
                <c:pt idx="9">
                  <c:v>117.52478782999999</c:v>
                </c:pt>
                <c:pt idx="10">
                  <c:v>126.85550133999999</c:v>
                </c:pt>
              </c:numCache>
            </c:numRef>
          </c:val>
          <c:extLst>
            <c:ext xmlns:c16="http://schemas.microsoft.com/office/drawing/2014/chart" uri="{C3380CC4-5D6E-409C-BE32-E72D297353CC}">
              <c16:uniqueId val="{00000004-1532-427E-A992-9B0B01F46179}"/>
            </c:ext>
          </c:extLst>
        </c:ser>
        <c:ser>
          <c:idx val="5"/>
          <c:order val="5"/>
          <c:tx>
            <c:strRef>
              <c:f>Comex!$EC$2</c:f>
              <c:strCache>
                <c:ptCount val="1"/>
                <c:pt idx="0">
                  <c:v>Vitivinicola</c:v>
                </c:pt>
              </c:strCache>
            </c:strRef>
          </c:tx>
          <c:spPr>
            <a:solidFill>
              <a:srgbClr val="877B1A"/>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Comex!$EC$3:$EC$13</c:f>
              <c:numCache>
                <c:formatCode>#,##0</c:formatCode>
                <c:ptCount val="11"/>
                <c:pt idx="0">
                  <c:v>2.7151343099999998</c:v>
                </c:pt>
                <c:pt idx="1">
                  <c:v>50.990597520000001</c:v>
                </c:pt>
                <c:pt idx="2">
                  <c:v>7.0511016500000006</c:v>
                </c:pt>
                <c:pt idx="3">
                  <c:v>5.6318892999999992</c:v>
                </c:pt>
                <c:pt idx="4">
                  <c:v>5.1813192500000005</c:v>
                </c:pt>
                <c:pt idx="5">
                  <c:v>10.011796799999999</c:v>
                </c:pt>
                <c:pt idx="6">
                  <c:v>11.11227328</c:v>
                </c:pt>
                <c:pt idx="7">
                  <c:v>10.45224183</c:v>
                </c:pt>
                <c:pt idx="8">
                  <c:v>9.0850364800000012</c:v>
                </c:pt>
                <c:pt idx="9">
                  <c:v>24.642074090000001</c:v>
                </c:pt>
                <c:pt idx="10">
                  <c:v>25.2653523</c:v>
                </c:pt>
              </c:numCache>
            </c:numRef>
          </c:val>
          <c:extLst>
            <c:ext xmlns:c16="http://schemas.microsoft.com/office/drawing/2014/chart" uri="{C3380CC4-5D6E-409C-BE32-E72D297353CC}">
              <c16:uniqueId val="{00000005-1532-427E-A992-9B0B01F46179}"/>
            </c:ext>
          </c:extLst>
        </c:ser>
        <c:ser>
          <c:idx val="6"/>
          <c:order val="6"/>
          <c:tx>
            <c:strRef>
              <c:f>Comex!$ED$2</c:f>
              <c:strCache>
                <c:ptCount val="1"/>
                <c:pt idx="0">
                  <c:v>Yerba Mate</c:v>
                </c:pt>
              </c:strCache>
            </c:strRef>
          </c:tx>
          <c:spPr>
            <a:solidFill>
              <a:srgbClr val="1E8449"/>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Comex!$ED$3:$ED$13</c:f>
              <c:numCache>
                <c:formatCode>#,##0</c:formatCode>
                <c:ptCount val="11"/>
                <c:pt idx="0">
                  <c:v>0.50848095000000004</c:v>
                </c:pt>
                <c:pt idx="1">
                  <c:v>0.68021238000000006</c:v>
                </c:pt>
                <c:pt idx="2">
                  <c:v>0.40205220999999997</c:v>
                </c:pt>
                <c:pt idx="3">
                  <c:v>0.74095647999999992</c:v>
                </c:pt>
                <c:pt idx="4">
                  <c:v>26.54022397</c:v>
                </c:pt>
                <c:pt idx="5">
                  <c:v>29.90172286</c:v>
                </c:pt>
                <c:pt idx="6">
                  <c:v>26.88767009</c:v>
                </c:pt>
                <c:pt idx="7">
                  <c:v>7.3993995399999992</c:v>
                </c:pt>
                <c:pt idx="8">
                  <c:v>14.890541599999999</c:v>
                </c:pt>
                <c:pt idx="9">
                  <c:v>17.123049159999997</c:v>
                </c:pt>
                <c:pt idx="10">
                  <c:v>15.531359689999999</c:v>
                </c:pt>
              </c:numCache>
            </c:numRef>
          </c:val>
          <c:extLst>
            <c:ext xmlns:c16="http://schemas.microsoft.com/office/drawing/2014/chart" uri="{C3380CC4-5D6E-409C-BE32-E72D297353CC}">
              <c16:uniqueId val="{00000006-1532-427E-A992-9B0B01F46179}"/>
            </c:ext>
          </c:extLst>
        </c:ser>
        <c:ser>
          <c:idx val="7"/>
          <c:order val="7"/>
          <c:tx>
            <c:strRef>
              <c:f>Comex!$EE$2</c:f>
              <c:strCache>
                <c:ptCount val="1"/>
                <c:pt idx="0">
                  <c:v>Algodón</c:v>
                </c:pt>
              </c:strCache>
            </c:strRef>
          </c:tx>
          <c:spPr>
            <a:solidFill>
              <a:srgbClr val="D5F5E3"/>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Comex!$EE$3:$EE$13</c:f>
              <c:numCache>
                <c:formatCode>#,##0</c:formatCode>
                <c:ptCount val="11"/>
                <c:pt idx="0">
                  <c:v>86.194496480000012</c:v>
                </c:pt>
                <c:pt idx="1">
                  <c:v>66.5044228</c:v>
                </c:pt>
                <c:pt idx="2">
                  <c:v>68.738868799999992</c:v>
                </c:pt>
                <c:pt idx="3">
                  <c:v>51.377996649999993</c:v>
                </c:pt>
                <c:pt idx="4">
                  <c:v>32.559056419999997</c:v>
                </c:pt>
                <c:pt idx="5">
                  <c:v>54.607066770000003</c:v>
                </c:pt>
                <c:pt idx="6">
                  <c:v>76.14160483000002</c:v>
                </c:pt>
                <c:pt idx="7">
                  <c:v>66.51792356</c:v>
                </c:pt>
                <c:pt idx="8">
                  <c:v>37.547300109999995</c:v>
                </c:pt>
                <c:pt idx="9">
                  <c:v>76.923617169999986</c:v>
                </c:pt>
                <c:pt idx="10">
                  <c:v>46.811962360000003</c:v>
                </c:pt>
              </c:numCache>
            </c:numRef>
          </c:val>
          <c:extLst>
            <c:ext xmlns:c16="http://schemas.microsoft.com/office/drawing/2014/chart" uri="{C3380CC4-5D6E-409C-BE32-E72D297353CC}">
              <c16:uniqueId val="{00000007-1532-427E-A992-9B0B01F46179}"/>
            </c:ext>
          </c:extLst>
        </c:ser>
        <c:ser>
          <c:idx val="8"/>
          <c:order val="8"/>
          <c:tx>
            <c:strRef>
              <c:f>Comex!$EF$2</c:f>
              <c:strCache>
                <c:ptCount val="1"/>
                <c:pt idx="0">
                  <c:v>Peras y Manzanas</c:v>
                </c:pt>
              </c:strCache>
            </c:strRef>
          </c:tx>
          <c:spPr>
            <a:solidFill>
              <a:srgbClr val="A9DFB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Comex!$EF$3:$EF$13</c:f>
              <c:numCache>
                <c:formatCode>#,##0.0</c:formatCode>
                <c:ptCount val="11"/>
                <c:pt idx="0">
                  <c:v>4.4321263700000006</c:v>
                </c:pt>
                <c:pt idx="1">
                  <c:v>10.983309739999999</c:v>
                </c:pt>
                <c:pt idx="2">
                  <c:v>6.5012360899999999</c:v>
                </c:pt>
                <c:pt idx="3">
                  <c:v>3.41264214</c:v>
                </c:pt>
                <c:pt idx="4">
                  <c:v>2.5358095399999998</c:v>
                </c:pt>
                <c:pt idx="5">
                  <c:v>5.6128368100000001</c:v>
                </c:pt>
                <c:pt idx="6">
                  <c:v>4.8320719900000011</c:v>
                </c:pt>
                <c:pt idx="7">
                  <c:v>5.9066646200000008</c:v>
                </c:pt>
                <c:pt idx="8">
                  <c:v>2.3328175600000001</c:v>
                </c:pt>
                <c:pt idx="9">
                  <c:v>4.4398865499999998</c:v>
                </c:pt>
                <c:pt idx="10">
                  <c:v>6.1102159299999999</c:v>
                </c:pt>
              </c:numCache>
            </c:numRef>
          </c:val>
          <c:extLst>
            <c:ext xmlns:c16="http://schemas.microsoft.com/office/drawing/2014/chart" uri="{C3380CC4-5D6E-409C-BE32-E72D297353CC}">
              <c16:uniqueId val="{00000008-1532-427E-A992-9B0B01F46179}"/>
            </c:ext>
          </c:extLst>
        </c:ser>
        <c:ser>
          <c:idx val="9"/>
          <c:order val="9"/>
          <c:tx>
            <c:strRef>
              <c:f>Comex!$EG$2</c:f>
              <c:strCache>
                <c:ptCount val="1"/>
                <c:pt idx="0">
                  <c:v>Citricos Dulces</c:v>
                </c:pt>
              </c:strCache>
            </c:strRef>
          </c:tx>
          <c:spPr>
            <a:solidFill>
              <a:srgbClr val="F1C40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Comex!$EG$3:$EG$13</c:f>
              <c:numCache>
                <c:formatCode>#,##0.0</c:formatCode>
                <c:ptCount val="11"/>
                <c:pt idx="0">
                  <c:v>9.8060332699999986</c:v>
                </c:pt>
                <c:pt idx="1">
                  <c:v>11.558499730000001</c:v>
                </c:pt>
                <c:pt idx="2">
                  <c:v>9.3407099599999999</c:v>
                </c:pt>
                <c:pt idx="3">
                  <c:v>4.80347218</c:v>
                </c:pt>
                <c:pt idx="4">
                  <c:v>2.02899596</c:v>
                </c:pt>
                <c:pt idx="5">
                  <c:v>12.824671500000001</c:v>
                </c:pt>
                <c:pt idx="6">
                  <c:v>4.5914456100000001</c:v>
                </c:pt>
                <c:pt idx="7">
                  <c:v>4.9948899300000003</c:v>
                </c:pt>
                <c:pt idx="8">
                  <c:v>4.0257753599999999</c:v>
                </c:pt>
                <c:pt idx="9">
                  <c:v>17.550539270000002</c:v>
                </c:pt>
                <c:pt idx="10">
                  <c:v>6.7373456300000001</c:v>
                </c:pt>
              </c:numCache>
            </c:numRef>
          </c:val>
          <c:extLst>
            <c:ext xmlns:c16="http://schemas.microsoft.com/office/drawing/2014/chart" uri="{C3380CC4-5D6E-409C-BE32-E72D297353CC}">
              <c16:uniqueId val="{00000009-1532-427E-A992-9B0B01F46179}"/>
            </c:ext>
          </c:extLst>
        </c:ser>
        <c:ser>
          <c:idx val="10"/>
          <c:order val="10"/>
          <c:tx>
            <c:strRef>
              <c:f>Comex!$EH$2</c:f>
              <c:strCache>
                <c:ptCount val="1"/>
                <c:pt idx="0">
                  <c:v>Forestal</c:v>
                </c:pt>
              </c:strCache>
            </c:strRef>
          </c:tx>
          <c:spPr>
            <a:solidFill>
              <a:srgbClr val="145A32"/>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Comex!$EH$3:$EH$13</c:f>
              <c:numCache>
                <c:formatCode>#,##0</c:formatCode>
                <c:ptCount val="11"/>
                <c:pt idx="0">
                  <c:v>154.22261244000001</c:v>
                </c:pt>
                <c:pt idx="1">
                  <c:v>152.61876864000004</c:v>
                </c:pt>
                <c:pt idx="2">
                  <c:v>167.11321046</c:v>
                </c:pt>
                <c:pt idx="3">
                  <c:v>154.62789918999999</c:v>
                </c:pt>
                <c:pt idx="4">
                  <c:v>124.15328881999999</c:v>
                </c:pt>
                <c:pt idx="5">
                  <c:v>146.76899531999999</c:v>
                </c:pt>
                <c:pt idx="6">
                  <c:v>177.00080586000001</c:v>
                </c:pt>
                <c:pt idx="7">
                  <c:v>200.04574241999998</c:v>
                </c:pt>
                <c:pt idx="8">
                  <c:v>110.27094036</c:v>
                </c:pt>
                <c:pt idx="9">
                  <c:v>120.56186182</c:v>
                </c:pt>
                <c:pt idx="10">
                  <c:v>128.30660132999998</c:v>
                </c:pt>
              </c:numCache>
            </c:numRef>
          </c:val>
          <c:extLst>
            <c:ext xmlns:c16="http://schemas.microsoft.com/office/drawing/2014/chart" uri="{C3380CC4-5D6E-409C-BE32-E72D297353CC}">
              <c16:uniqueId val="{0000000A-1532-427E-A992-9B0B01F46179}"/>
            </c:ext>
          </c:extLst>
        </c:ser>
        <c:ser>
          <c:idx val="11"/>
          <c:order val="11"/>
          <c:tx>
            <c:strRef>
              <c:f>Comex!$EI$2</c:f>
              <c:strCache>
                <c:ptCount val="1"/>
                <c:pt idx="0">
                  <c:v>Tabaco</c:v>
                </c:pt>
              </c:strCache>
            </c:strRef>
          </c:tx>
          <c:spPr>
            <a:solidFill>
              <a:srgbClr val="52BE80"/>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Comex!$EI$3:$EI$13</c:f>
              <c:numCache>
                <c:formatCode>#,##0</c:formatCode>
                <c:ptCount val="11"/>
                <c:pt idx="0">
                  <c:v>34.735091679999996</c:v>
                </c:pt>
                <c:pt idx="1">
                  <c:v>34.65563401</c:v>
                </c:pt>
                <c:pt idx="2">
                  <c:v>19.971597770000002</c:v>
                </c:pt>
                <c:pt idx="3">
                  <c:v>34.935695989999999</c:v>
                </c:pt>
                <c:pt idx="4">
                  <c:v>35.706772989999997</c:v>
                </c:pt>
                <c:pt idx="5">
                  <c:v>44.986989519999995</c:v>
                </c:pt>
                <c:pt idx="6">
                  <c:v>34.229478980000003</c:v>
                </c:pt>
                <c:pt idx="7">
                  <c:v>49.274931239999994</c:v>
                </c:pt>
                <c:pt idx="8">
                  <c:v>33.959100280000001</c:v>
                </c:pt>
                <c:pt idx="9">
                  <c:v>34.164903850000002</c:v>
                </c:pt>
                <c:pt idx="10">
                  <c:v>35.879581709999997</c:v>
                </c:pt>
              </c:numCache>
            </c:numRef>
          </c:val>
          <c:extLst>
            <c:ext xmlns:c16="http://schemas.microsoft.com/office/drawing/2014/chart" uri="{C3380CC4-5D6E-409C-BE32-E72D297353CC}">
              <c16:uniqueId val="{0000000B-1532-427E-A992-9B0B01F46179}"/>
            </c:ext>
          </c:extLst>
        </c:ser>
        <c:ser>
          <c:idx val="12"/>
          <c:order val="12"/>
          <c:tx>
            <c:strRef>
              <c:f>Comex!$EJ$2</c:f>
              <c:strCache>
                <c:ptCount val="1"/>
                <c:pt idx="0">
                  <c:v>Apícola</c:v>
                </c:pt>
              </c:strCache>
            </c:strRef>
          </c:tx>
          <c:spPr>
            <a:solidFill>
              <a:schemeClr val="accent1">
                <a:lumMod val="80000"/>
                <a:lumOff val="20000"/>
              </a:schemeClr>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Comex!$EJ$3:$EJ$13</c:f>
              <c:numCache>
                <c:formatCode>#,##0.000</c:formatCode>
                <c:ptCount val="11"/>
                <c:pt idx="0">
                  <c:v>1.4780130000000001E-2</c:v>
                </c:pt>
                <c:pt idx="1">
                  <c:v>0.22386681</c:v>
                </c:pt>
                <c:pt idx="2">
                  <c:v>0</c:v>
                </c:pt>
                <c:pt idx="3">
                  <c:v>0.33565781</c:v>
                </c:pt>
                <c:pt idx="4">
                  <c:v>8.6147399999999992E-3</c:v>
                </c:pt>
                <c:pt idx="5">
                  <c:v>2.6998080000000001E-2</c:v>
                </c:pt>
                <c:pt idx="6">
                  <c:v>8.1351019999999996E-2</c:v>
                </c:pt>
                <c:pt idx="7">
                  <c:v>7.038E-3</c:v>
                </c:pt>
                <c:pt idx="8">
                  <c:v>5.2539300000000004E-2</c:v>
                </c:pt>
                <c:pt idx="9">
                  <c:v>4.5226870000000002E-2</c:v>
                </c:pt>
                <c:pt idx="10">
                  <c:v>6.2559E-3</c:v>
                </c:pt>
              </c:numCache>
            </c:numRef>
          </c:val>
          <c:extLst>
            <c:ext xmlns:c16="http://schemas.microsoft.com/office/drawing/2014/chart" uri="{C3380CC4-5D6E-409C-BE32-E72D297353CC}">
              <c16:uniqueId val="{0000000C-1532-427E-A992-9B0B01F46179}"/>
            </c:ext>
          </c:extLst>
        </c:ser>
        <c:ser>
          <c:idx val="13"/>
          <c:order val="13"/>
          <c:tx>
            <c:strRef>
              <c:f>Comex!$EK$2</c:f>
              <c:strCache>
                <c:ptCount val="1"/>
                <c:pt idx="0">
                  <c:v>Arroz</c:v>
                </c:pt>
              </c:strCache>
            </c:strRef>
          </c:tx>
          <c:spPr>
            <a:solidFill>
              <a:srgbClr val="D68910"/>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Comex!$EK$3:$EK$13</c:f>
              <c:numCache>
                <c:formatCode>#,##0</c:formatCode>
                <c:ptCount val="11"/>
                <c:pt idx="0">
                  <c:v>4.0060255800000002</c:v>
                </c:pt>
                <c:pt idx="1">
                  <c:v>3.7127876500000001</c:v>
                </c:pt>
                <c:pt idx="2">
                  <c:v>3.25275844</c:v>
                </c:pt>
                <c:pt idx="3">
                  <c:v>2.5394805800000002</c:v>
                </c:pt>
                <c:pt idx="4">
                  <c:v>3.2971293200000003</c:v>
                </c:pt>
                <c:pt idx="5">
                  <c:v>1.2123000900000001</c:v>
                </c:pt>
                <c:pt idx="6">
                  <c:v>0.51128799000000014</c:v>
                </c:pt>
                <c:pt idx="7">
                  <c:v>0.33939125000000003</c:v>
                </c:pt>
                <c:pt idx="8">
                  <c:v>2.7807700300000002</c:v>
                </c:pt>
                <c:pt idx="9">
                  <c:v>2.8490506600000005</c:v>
                </c:pt>
                <c:pt idx="10">
                  <c:v>1.29669575</c:v>
                </c:pt>
              </c:numCache>
            </c:numRef>
          </c:val>
          <c:extLst>
            <c:ext xmlns:c16="http://schemas.microsoft.com/office/drawing/2014/chart" uri="{C3380CC4-5D6E-409C-BE32-E72D297353CC}">
              <c16:uniqueId val="{0000000D-1532-427E-A992-9B0B01F46179}"/>
            </c:ext>
          </c:extLst>
        </c:ser>
        <c:ser>
          <c:idx val="14"/>
          <c:order val="14"/>
          <c:tx>
            <c:strRef>
              <c:f>Comex!$EL$2</c:f>
              <c:strCache>
                <c:ptCount val="1"/>
                <c:pt idx="0">
                  <c:v>Mani</c:v>
                </c:pt>
              </c:strCache>
            </c:strRef>
          </c:tx>
          <c:spPr>
            <a:solidFill>
              <a:schemeClr val="accent3">
                <a:lumMod val="80000"/>
                <a:lumOff val="20000"/>
              </a:schemeClr>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Comex!$EL$3:$EL$13</c:f>
              <c:numCache>
                <c:formatCode>#,##0.00</c:formatCode>
                <c:ptCount val="11"/>
                <c:pt idx="0">
                  <c:v>0.12216077</c:v>
                </c:pt>
                <c:pt idx="1">
                  <c:v>0.67187737999999997</c:v>
                </c:pt>
                <c:pt idx="2">
                  <c:v>0.20511525</c:v>
                </c:pt>
                <c:pt idx="3">
                  <c:v>0.18448530000000002</c:v>
                </c:pt>
                <c:pt idx="4">
                  <c:v>0.28117516999999997</c:v>
                </c:pt>
                <c:pt idx="5">
                  <c:v>0.36556501999999996</c:v>
                </c:pt>
                <c:pt idx="6">
                  <c:v>0.61651100999999997</c:v>
                </c:pt>
                <c:pt idx="7">
                  <c:v>0.46198870999999997</c:v>
                </c:pt>
                <c:pt idx="8">
                  <c:v>2.0315311500000002</c:v>
                </c:pt>
                <c:pt idx="9">
                  <c:v>1.5462053700000002</c:v>
                </c:pt>
                <c:pt idx="10">
                  <c:v>0.56651940000000001</c:v>
                </c:pt>
              </c:numCache>
            </c:numRef>
          </c:val>
          <c:extLst>
            <c:ext xmlns:c16="http://schemas.microsoft.com/office/drawing/2014/chart" uri="{C3380CC4-5D6E-409C-BE32-E72D297353CC}">
              <c16:uniqueId val="{0000000E-1532-427E-A992-9B0B01F46179}"/>
            </c:ext>
          </c:extLst>
        </c:ser>
        <c:ser>
          <c:idx val="15"/>
          <c:order val="15"/>
          <c:tx>
            <c:strRef>
              <c:f>Comex!$EM$2</c:f>
              <c:strCache>
                <c:ptCount val="1"/>
                <c:pt idx="0">
                  <c:v>Papa</c:v>
                </c:pt>
              </c:strCache>
            </c:strRef>
          </c:tx>
          <c:spPr>
            <a:solidFill>
              <a:srgbClr val="7DCEA0"/>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Comex!$EM$3:$EM$13</c:f>
              <c:numCache>
                <c:formatCode>#,##0</c:formatCode>
                <c:ptCount val="11"/>
                <c:pt idx="0">
                  <c:v>17.887523380000001</c:v>
                </c:pt>
                <c:pt idx="1">
                  <c:v>23.607515830000004</c:v>
                </c:pt>
                <c:pt idx="2">
                  <c:v>34.349134260000007</c:v>
                </c:pt>
                <c:pt idx="3">
                  <c:v>14.437342940000001</c:v>
                </c:pt>
                <c:pt idx="4">
                  <c:v>13.71036037</c:v>
                </c:pt>
                <c:pt idx="5">
                  <c:v>7.1906577199999999</c:v>
                </c:pt>
                <c:pt idx="6">
                  <c:v>5.2106525100000001</c:v>
                </c:pt>
                <c:pt idx="7">
                  <c:v>10.417919169999999</c:v>
                </c:pt>
                <c:pt idx="8">
                  <c:v>11.45753318</c:v>
                </c:pt>
                <c:pt idx="9">
                  <c:v>7.0975333599999999</c:v>
                </c:pt>
                <c:pt idx="10">
                  <c:v>17.760966970000002</c:v>
                </c:pt>
              </c:numCache>
            </c:numRef>
          </c:val>
          <c:extLst>
            <c:ext xmlns:c16="http://schemas.microsoft.com/office/drawing/2014/chart" uri="{C3380CC4-5D6E-409C-BE32-E72D297353CC}">
              <c16:uniqueId val="{0000000F-1532-427E-A992-9B0B01F46179}"/>
            </c:ext>
          </c:extLst>
        </c:ser>
        <c:ser>
          <c:idx val="16"/>
          <c:order val="16"/>
          <c:tx>
            <c:strRef>
              <c:f>Comex!$EN$2</c:f>
              <c:strCache>
                <c:ptCount val="1"/>
                <c:pt idx="0">
                  <c:v>Hortalizas</c:v>
                </c:pt>
              </c:strCache>
            </c:strRef>
          </c:tx>
          <c:spPr>
            <a:solidFill>
              <a:srgbClr val="2ECC71"/>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Comex!$EN$3:$EN$13</c:f>
              <c:numCache>
                <c:formatCode>#,##0.0</c:formatCode>
                <c:ptCount val="11"/>
                <c:pt idx="0">
                  <c:v>27.856347229999997</c:v>
                </c:pt>
                <c:pt idx="1">
                  <c:v>32.063187399999997</c:v>
                </c:pt>
                <c:pt idx="2">
                  <c:v>25.513628790000002</c:v>
                </c:pt>
                <c:pt idx="3">
                  <c:v>14.38035498</c:v>
                </c:pt>
                <c:pt idx="4">
                  <c:v>28.404995919999998</c:v>
                </c:pt>
                <c:pt idx="5">
                  <c:v>15.809761920000001</c:v>
                </c:pt>
                <c:pt idx="6">
                  <c:v>17.91675292</c:v>
                </c:pt>
                <c:pt idx="7">
                  <c:v>11.9894564</c:v>
                </c:pt>
                <c:pt idx="8">
                  <c:v>18.73458935</c:v>
                </c:pt>
                <c:pt idx="9">
                  <c:v>9.5226502299999982</c:v>
                </c:pt>
                <c:pt idx="10">
                  <c:v>14.367726859999999</c:v>
                </c:pt>
              </c:numCache>
            </c:numRef>
          </c:val>
          <c:extLst>
            <c:ext xmlns:c16="http://schemas.microsoft.com/office/drawing/2014/chart" uri="{C3380CC4-5D6E-409C-BE32-E72D297353CC}">
              <c16:uniqueId val="{00000010-1532-427E-A992-9B0B01F46179}"/>
            </c:ext>
          </c:extLst>
        </c:ser>
        <c:ser>
          <c:idx val="17"/>
          <c:order val="17"/>
          <c:tx>
            <c:strRef>
              <c:f>Comex!$EO$2</c:f>
              <c:strCache>
                <c:ptCount val="1"/>
                <c:pt idx="0">
                  <c:v>Mandioca</c:v>
                </c:pt>
              </c:strCache>
            </c:strRef>
          </c:tx>
          <c:spPr>
            <a:solidFill>
              <a:srgbClr val="FCF3CF"/>
            </a:solidFill>
            <a:ln>
              <a:noFill/>
            </a:ln>
            <a:effectLst/>
          </c:spPr>
          <c:invertIfNegative val="0"/>
          <c:dLbls>
            <c:dLbl>
              <c:idx val="0"/>
              <c:tx>
                <c:rich>
                  <a:bodyPr/>
                  <a:lstStyle/>
                  <a:p>
                    <a:r>
                      <a:rPr lang="en-US"/>
                      <a:t>396</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1-1532-427E-A992-9B0B01F46179}"/>
                </c:ext>
              </c:extLst>
            </c:dLbl>
            <c:dLbl>
              <c:idx val="1"/>
              <c:tx>
                <c:rich>
                  <a:bodyPr/>
                  <a:lstStyle/>
                  <a:p>
                    <a:r>
                      <a:rPr lang="en-US"/>
                      <a:t>471</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2-1532-427E-A992-9B0B01F46179}"/>
                </c:ext>
              </c:extLst>
            </c:dLbl>
            <c:dLbl>
              <c:idx val="2"/>
              <c:tx>
                <c:rich>
                  <a:bodyPr/>
                  <a:lstStyle/>
                  <a:p>
                    <a:r>
                      <a:rPr lang="en-US"/>
                      <a:t>426</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3-1532-427E-A992-9B0B01F46179}"/>
                </c:ext>
              </c:extLst>
            </c:dLbl>
            <c:dLbl>
              <c:idx val="3"/>
              <c:tx>
                <c:rich>
                  <a:bodyPr/>
                  <a:lstStyle/>
                  <a:p>
                    <a:r>
                      <a:rPr lang="en-US"/>
                      <a:t>389</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4-1532-427E-A992-9B0B01F46179}"/>
                </c:ext>
              </c:extLst>
            </c:dLbl>
            <c:dLbl>
              <c:idx val="4"/>
              <c:tx>
                <c:rich>
                  <a:bodyPr/>
                  <a:lstStyle/>
                  <a:p>
                    <a:r>
                      <a:rPr lang="en-US"/>
                      <a:t>334</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5-1532-427E-A992-9B0B01F46179}"/>
                </c:ext>
              </c:extLst>
            </c:dLbl>
            <c:dLbl>
              <c:idx val="5"/>
              <c:tx>
                <c:rich>
                  <a:bodyPr/>
                  <a:lstStyle/>
                  <a:p>
                    <a:r>
                      <a:rPr lang="en-US"/>
                      <a:t>423</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6-1532-427E-A992-9B0B01F46179}"/>
                </c:ext>
              </c:extLst>
            </c:dLbl>
            <c:dLbl>
              <c:idx val="6"/>
              <c:tx>
                <c:rich>
                  <a:bodyPr/>
                  <a:lstStyle/>
                  <a:p>
                    <a:r>
                      <a:rPr lang="en-US"/>
                      <a:t>494</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7-1532-427E-A992-9B0B01F46179}"/>
                </c:ext>
              </c:extLst>
            </c:dLbl>
            <c:dLbl>
              <c:idx val="7"/>
              <c:tx>
                <c:rich>
                  <a:bodyPr/>
                  <a:lstStyle/>
                  <a:p>
                    <a:r>
                      <a:rPr lang="en-US"/>
                      <a:t>447</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8-1532-427E-A992-9B0B01F46179}"/>
                </c:ext>
              </c:extLst>
            </c:dLbl>
            <c:dLbl>
              <c:idx val="8"/>
              <c:tx>
                <c:rich>
                  <a:bodyPr/>
                  <a:lstStyle/>
                  <a:p>
                    <a:r>
                      <a:rPr lang="en-US"/>
                      <a:t>287</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9-1532-427E-A992-9B0B01F46179}"/>
                </c:ext>
              </c:extLst>
            </c:dLbl>
            <c:dLbl>
              <c:idx val="9"/>
              <c:tx>
                <c:rich>
                  <a:bodyPr/>
                  <a:lstStyle/>
                  <a:p>
                    <a:r>
                      <a:rPr lang="en-US"/>
                      <a:t>483</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A-1532-427E-A992-9B0B01F46179}"/>
                </c:ext>
              </c:extLst>
            </c:dLbl>
            <c:dLbl>
              <c:idx val="10"/>
              <c:tx>
                <c:rich>
                  <a:bodyPr/>
                  <a:lstStyle/>
                  <a:p>
                    <a:r>
                      <a:rPr lang="en-US"/>
                      <a:t>518</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B-1532-427E-A992-9B0B01F46179}"/>
                </c:ext>
              </c:extLst>
            </c:dLbl>
            <c:spPr>
              <a:noFill/>
              <a:ln>
                <a:noFill/>
              </a:ln>
              <a:effectLst/>
            </c:spPr>
            <c:txPr>
              <a:bodyPr rot="0" spcFirstLastPara="1" vertOverflow="ellipsis" vert="horz" wrap="square" lIns="38100" tIns="19050" rIns="38100" bIns="19050" anchor="ctr" anchorCtr="0">
                <a:spAutoFit/>
              </a:bodyPr>
              <a:lstStyle/>
              <a:p>
                <a:pPr algn="ctr">
                  <a:defRPr lang="en-US" sz="1300" b="1" i="0" u="none" strike="noStrike" kern="1200" baseline="0">
                    <a:solidFill>
                      <a:schemeClr val="tx1">
                        <a:lumMod val="65000"/>
                        <a:lumOff val="35000"/>
                      </a:schemeClr>
                    </a:solidFill>
                    <a:latin typeface="Rajdhani" panose="02000000000000000000" pitchFamily="2" charset="0"/>
                    <a:ea typeface="+mn-ea"/>
                    <a:cs typeface="Rajdhani" panose="02000000000000000000" pitchFamily="2" charset="0"/>
                  </a:defRPr>
                </a:pPr>
                <a:endParaRPr lang="es-AR"/>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Comex!$EO$3:$EO$13</c:f>
              <c:numCache>
                <c:formatCode>#,##0.00</c:formatCode>
                <c:ptCount val="11"/>
                <c:pt idx="0">
                  <c:v>0.83185262000000004</c:v>
                </c:pt>
                <c:pt idx="1">
                  <c:v>4.4833475599999995</c:v>
                </c:pt>
                <c:pt idx="2">
                  <c:v>4.1272483600000003</c:v>
                </c:pt>
                <c:pt idx="3">
                  <c:v>1.6483422099999998</c:v>
                </c:pt>
                <c:pt idx="4">
                  <c:v>1.6076478299999999</c:v>
                </c:pt>
                <c:pt idx="5">
                  <c:v>2.2752069600000007</c:v>
                </c:pt>
                <c:pt idx="6">
                  <c:v>6.3776566299999997</c:v>
                </c:pt>
                <c:pt idx="7">
                  <c:v>8.0199833199999997</c:v>
                </c:pt>
                <c:pt idx="8">
                  <c:v>0.92337464000000014</c:v>
                </c:pt>
                <c:pt idx="9">
                  <c:v>2.1868104399999999</c:v>
                </c:pt>
                <c:pt idx="10">
                  <c:v>7.17635106</c:v>
                </c:pt>
              </c:numCache>
            </c:numRef>
          </c:val>
          <c:extLst>
            <c:ext xmlns:c15="http://schemas.microsoft.com/office/drawing/2012/chart" uri="{02D57815-91ED-43cb-92C2-25804820EDAC}">
              <c15:datalabelsRange>
                <c15:f>Comex!$DC$3:$DC$13</c15:f>
                <c15:dlblRangeCache>
                  <c:ptCount val="11"/>
                  <c:pt idx="0">
                    <c:v>460</c:v>
                  </c:pt>
                  <c:pt idx="1">
                    <c:v>547</c:v>
                  </c:pt>
                  <c:pt idx="2">
                    <c:v>482</c:v>
                  </c:pt>
                  <c:pt idx="3">
                    <c:v>441</c:v>
                  </c:pt>
                  <c:pt idx="4">
                    <c:v>385</c:v>
                  </c:pt>
                  <c:pt idx="5">
                    <c:v>484</c:v>
                  </c:pt>
                  <c:pt idx="6">
                    <c:v>578</c:v>
                  </c:pt>
                  <c:pt idx="7">
                    <c:v>505</c:v>
                  </c:pt>
                  <c:pt idx="8">
                    <c:v>334</c:v>
                  </c:pt>
                  <c:pt idx="9">
                    <c:v>551</c:v>
                  </c:pt>
                  <c:pt idx="10">
                    <c:v>609</c:v>
                  </c:pt>
                </c15:dlblRangeCache>
              </c15:datalabelsRange>
            </c:ext>
            <c:ext xmlns:c16="http://schemas.microsoft.com/office/drawing/2014/chart" uri="{C3380CC4-5D6E-409C-BE32-E72D297353CC}">
              <c16:uniqueId val="{0000001C-1532-427E-A992-9B0B01F46179}"/>
            </c:ext>
          </c:extLst>
        </c:ser>
        <c:dLbls>
          <c:showLegendKey val="0"/>
          <c:showVal val="0"/>
          <c:showCatName val="0"/>
          <c:showSerName val="0"/>
          <c:showPercent val="0"/>
          <c:showBubbleSize val="0"/>
        </c:dLbls>
        <c:gapWidth val="60"/>
        <c:overlap val="100"/>
        <c:axId val="889553855"/>
        <c:axId val="901607567"/>
      </c:barChart>
      <c:catAx>
        <c:axId val="88955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lang="en-US" sz="1670" b="1" i="0" u="none" strike="noStrike" kern="1200" baseline="0">
                <a:solidFill>
                  <a:schemeClr val="bg1">
                    <a:lumMod val="65000"/>
                  </a:schemeClr>
                </a:solidFill>
                <a:latin typeface="Rajdhani" pitchFamily="18"/>
                <a:ea typeface="Microsoft YaHei" pitchFamily="2"/>
                <a:cs typeface="Lucida Sans" pitchFamily="2"/>
              </a:defRPr>
            </a:pPr>
            <a:endParaRPr lang="es-AR"/>
          </a:p>
        </c:txPr>
        <c:crossAx val="901607567"/>
        <c:crosses val="autoZero"/>
        <c:auto val="1"/>
        <c:lblAlgn val="ctr"/>
        <c:lblOffset val="100"/>
        <c:noMultiLvlLbl val="0"/>
      </c:catAx>
      <c:valAx>
        <c:axId val="901607567"/>
        <c:scaling>
          <c:orientation val="minMax"/>
        </c:scaling>
        <c:delete val="1"/>
        <c:axPos val="l"/>
        <c:numFmt formatCode="#,##0" sourceLinked="1"/>
        <c:majorTickMark val="none"/>
        <c:minorTickMark val="none"/>
        <c:tickLblPos val="nextTo"/>
        <c:crossAx val="889553855"/>
        <c:crosses val="autoZero"/>
        <c:crossBetween val="between"/>
      </c:valAx>
      <c:spPr>
        <a:noFill/>
        <a:ln>
          <a:noFill/>
        </a:ln>
        <a:effectLst/>
      </c:spPr>
    </c:plotArea>
    <c:legend>
      <c:legendPos val="t"/>
      <c:layout>
        <c:manualLayout>
          <c:xMode val="edge"/>
          <c:yMode val="edge"/>
          <c:x val="3.1590469898276382E-3"/>
          <c:y val="1.1009324208407748E-3"/>
          <c:w val="0.98278155548746038"/>
          <c:h val="0.15669363792661689"/>
        </c:manualLayout>
      </c:layout>
      <c:overlay val="0"/>
      <c:spPr>
        <a:noFill/>
        <a:ln>
          <a:noFill/>
        </a:ln>
        <a:effectLst/>
      </c:spPr>
      <c:txPr>
        <a:bodyPr rot="0" spcFirstLastPara="1" vertOverflow="ellipsis" vert="horz" wrap="square" anchor="ctr" anchorCtr="1"/>
        <a:lstStyle/>
        <a:p>
          <a:pPr algn="l" rtl="0" eaLnBrk="1" fontAlgn="auto" hangingPunct="0">
            <a:spcBef>
              <a:spcPts val="0"/>
            </a:spcBef>
            <a:spcAft>
              <a:spcPts val="0"/>
            </a:spcAft>
            <a:defRPr lang="en-US" sz="1400" b="0" i="0" u="none" strike="noStrike" kern="1200" baseline="0">
              <a:solidFill>
                <a:prstClr val="black">
                  <a:lumMod val="50000"/>
                  <a:lumOff val="50000"/>
                </a:prstClr>
              </a:solidFill>
              <a:latin typeface="Rajdhani" pitchFamily="18"/>
              <a:ea typeface="Microsoft YaHei" pitchFamily="2"/>
              <a:cs typeface="Lucida Sans" pitchFamily="2"/>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040560925377558E-2"/>
          <c:y val="0.11122506953237851"/>
          <c:w val="0.96895943907462245"/>
          <c:h val="0.80141983445909548"/>
        </c:manualLayout>
      </c:layout>
      <c:barChart>
        <c:barDir val="col"/>
        <c:grouping val="stacked"/>
        <c:varyColors val="0"/>
        <c:ser>
          <c:idx val="0"/>
          <c:order val="0"/>
          <c:tx>
            <c:strRef>
              <c:f>Comex!$DE$2</c:f>
              <c:strCache>
                <c:ptCount val="1"/>
                <c:pt idx="0">
                  <c:v>Bovinos</c:v>
                </c:pt>
              </c:strCache>
            </c:strRef>
          </c:tx>
          <c:spPr>
            <a:solidFill>
              <a:srgbClr val="B7950B"/>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Comex!$DE$3:$DE$13</c:f>
              <c:numCache>
                <c:formatCode>#,##0</c:formatCode>
                <c:ptCount val="11"/>
                <c:pt idx="0">
                  <c:v>1287.31462057</c:v>
                </c:pt>
                <c:pt idx="1">
                  <c:v>1475.5045843100002</c:v>
                </c:pt>
                <c:pt idx="2">
                  <c:v>1949.4436133500001</c:v>
                </c:pt>
                <c:pt idx="3">
                  <c:v>2345.5506396399996</c:v>
                </c:pt>
                <c:pt idx="4">
                  <c:v>2365.1168018899998</c:v>
                </c:pt>
                <c:pt idx="5">
                  <c:v>2487.58068972</c:v>
                </c:pt>
                <c:pt idx="6">
                  <c:v>3324.2568992199995</c:v>
                </c:pt>
                <c:pt idx="7">
                  <c:v>2707.7336216200001</c:v>
                </c:pt>
                <c:pt idx="8">
                  <c:v>2633.1532810399995</c:v>
                </c:pt>
                <c:pt idx="9">
                  <c:v>3062.1674079999993</c:v>
                </c:pt>
                <c:pt idx="10">
                  <c:v>4123.6159224400008</c:v>
                </c:pt>
              </c:numCache>
            </c:numRef>
          </c:val>
          <c:extLst>
            <c:ext xmlns:c16="http://schemas.microsoft.com/office/drawing/2014/chart" uri="{C3380CC4-5D6E-409C-BE32-E72D297353CC}">
              <c16:uniqueId val="{00000000-E284-48ED-8D04-2ACB7ACB196E}"/>
            </c:ext>
          </c:extLst>
        </c:ser>
        <c:ser>
          <c:idx val="1"/>
          <c:order val="1"/>
          <c:tx>
            <c:strRef>
              <c:f>Comex!$DF$2</c:f>
              <c:strCache>
                <c:ptCount val="1"/>
                <c:pt idx="0">
                  <c:v>Lechería</c:v>
                </c:pt>
              </c:strCache>
            </c:strRef>
          </c:tx>
          <c:spPr>
            <a:solidFill>
              <a:srgbClr val="F4D03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Comex!$DF$3:$DF$13</c:f>
              <c:numCache>
                <c:formatCode>#,##0</c:formatCode>
                <c:ptCount val="11"/>
                <c:pt idx="0">
                  <c:v>387.09513541000001</c:v>
                </c:pt>
                <c:pt idx="1">
                  <c:v>357.2788405</c:v>
                </c:pt>
                <c:pt idx="2">
                  <c:v>462.15820546000009</c:v>
                </c:pt>
                <c:pt idx="3">
                  <c:v>394.36482410000008</c:v>
                </c:pt>
                <c:pt idx="4">
                  <c:v>783.60925797000004</c:v>
                </c:pt>
                <c:pt idx="5">
                  <c:v>950.31028311</c:v>
                </c:pt>
                <c:pt idx="6">
                  <c:v>1244.8464380600001</c:v>
                </c:pt>
                <c:pt idx="7">
                  <c:v>1009.2699219299999</c:v>
                </c:pt>
                <c:pt idx="8">
                  <c:v>986.76098533000004</c:v>
                </c:pt>
                <c:pt idx="9">
                  <c:v>1111.74604628</c:v>
                </c:pt>
                <c:pt idx="10">
                  <c:v>1202.1986905900001</c:v>
                </c:pt>
              </c:numCache>
            </c:numRef>
          </c:val>
          <c:extLst>
            <c:ext xmlns:c16="http://schemas.microsoft.com/office/drawing/2014/chart" uri="{C3380CC4-5D6E-409C-BE32-E72D297353CC}">
              <c16:uniqueId val="{00000001-E284-48ED-8D04-2ACB7ACB196E}"/>
            </c:ext>
          </c:extLst>
        </c:ser>
        <c:ser>
          <c:idx val="2"/>
          <c:order val="2"/>
          <c:tx>
            <c:strRef>
              <c:f>Comex!$DG$2</c:f>
              <c:strCache>
                <c:ptCount val="1"/>
                <c:pt idx="0">
                  <c:v>Aviar</c:v>
                </c:pt>
              </c:strCache>
            </c:strRef>
          </c:tx>
          <c:spPr>
            <a:solidFill>
              <a:srgbClr val="F7DC6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Comex!$DG$3:$DG$13</c:f>
              <c:numCache>
                <c:formatCode>#,##0</c:formatCode>
                <c:ptCount val="11"/>
                <c:pt idx="0">
                  <c:v>179.52155086000002</c:v>
                </c:pt>
                <c:pt idx="1">
                  <c:v>213.07472012999997</c:v>
                </c:pt>
                <c:pt idx="2">
                  <c:v>203.32060024999998</c:v>
                </c:pt>
                <c:pt idx="3">
                  <c:v>272.49847516</c:v>
                </c:pt>
                <c:pt idx="4">
                  <c:v>326.81322183000003</c:v>
                </c:pt>
                <c:pt idx="5">
                  <c:v>295.41042904999995</c:v>
                </c:pt>
                <c:pt idx="6">
                  <c:v>383.06838989999994</c:v>
                </c:pt>
                <c:pt idx="7">
                  <c:v>231.61566882000002</c:v>
                </c:pt>
                <c:pt idx="8">
                  <c:v>233.39715329000003</c:v>
                </c:pt>
                <c:pt idx="9">
                  <c:v>57.796365819999998</c:v>
                </c:pt>
                <c:pt idx="10">
                  <c:v>67.080907800000006</c:v>
                </c:pt>
              </c:numCache>
            </c:numRef>
          </c:val>
          <c:extLst>
            <c:ext xmlns:c16="http://schemas.microsoft.com/office/drawing/2014/chart" uri="{C3380CC4-5D6E-409C-BE32-E72D297353CC}">
              <c16:uniqueId val="{00000002-E284-48ED-8D04-2ACB7ACB196E}"/>
            </c:ext>
          </c:extLst>
        </c:ser>
        <c:ser>
          <c:idx val="3"/>
          <c:order val="3"/>
          <c:tx>
            <c:strRef>
              <c:f>Comex!$DH$2</c:f>
              <c:strCache>
                <c:ptCount val="1"/>
                <c:pt idx="0">
                  <c:v>Ovinos</c:v>
                </c:pt>
              </c:strCache>
            </c:strRef>
          </c:tx>
          <c:spPr>
            <a:solidFill>
              <a:srgbClr val="F9E79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Comex!$DH$3:$DH$13</c:f>
              <c:numCache>
                <c:formatCode>#,##0</c:formatCode>
                <c:ptCount val="11"/>
                <c:pt idx="0">
                  <c:v>156.29587697999997</c:v>
                </c:pt>
                <c:pt idx="1">
                  <c:v>144.58607935999999</c:v>
                </c:pt>
                <c:pt idx="2">
                  <c:v>196.13031033000001</c:v>
                </c:pt>
                <c:pt idx="3">
                  <c:v>175.64852985999997</c:v>
                </c:pt>
                <c:pt idx="4">
                  <c:v>137.43047837</c:v>
                </c:pt>
                <c:pt idx="5">
                  <c:v>197.83466356</c:v>
                </c:pt>
                <c:pt idx="6">
                  <c:v>191.35107782</c:v>
                </c:pt>
                <c:pt idx="7">
                  <c:v>145.69416641000001</c:v>
                </c:pt>
                <c:pt idx="8">
                  <c:v>142.75738236999999</c:v>
                </c:pt>
                <c:pt idx="9">
                  <c:v>166.30927546999999</c:v>
                </c:pt>
                <c:pt idx="10">
                  <c:v>271.10130197000001</c:v>
                </c:pt>
              </c:numCache>
            </c:numRef>
          </c:val>
          <c:extLst>
            <c:ext xmlns:c16="http://schemas.microsoft.com/office/drawing/2014/chart" uri="{C3380CC4-5D6E-409C-BE32-E72D297353CC}">
              <c16:uniqueId val="{00000003-E284-48ED-8D04-2ACB7ACB196E}"/>
            </c:ext>
          </c:extLst>
        </c:ser>
        <c:ser>
          <c:idx val="4"/>
          <c:order val="4"/>
          <c:tx>
            <c:strRef>
              <c:f>Comex!$DI$2</c:f>
              <c:strCache>
                <c:ptCount val="1"/>
                <c:pt idx="0">
                  <c:v>Porcinos</c:v>
                </c:pt>
              </c:strCache>
            </c:strRef>
          </c:tx>
          <c:spPr>
            <a:solidFill>
              <a:srgbClr val="D4AC0D"/>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Comex!$DI$3:$DI$13</c:f>
              <c:numCache>
                <c:formatCode>#,##0</c:formatCode>
                <c:ptCount val="11"/>
                <c:pt idx="0">
                  <c:v>7.0322253799999999</c:v>
                </c:pt>
                <c:pt idx="1">
                  <c:v>12.538792029999998</c:v>
                </c:pt>
                <c:pt idx="2">
                  <c:v>14.42498226</c:v>
                </c:pt>
                <c:pt idx="3">
                  <c:v>13.156129090000002</c:v>
                </c:pt>
                <c:pt idx="4">
                  <c:v>52.660321100000004</c:v>
                </c:pt>
                <c:pt idx="5">
                  <c:v>57.22260210999999</c:v>
                </c:pt>
                <c:pt idx="6">
                  <c:v>10.239834759999999</c:v>
                </c:pt>
                <c:pt idx="7">
                  <c:v>13.396280669999999</c:v>
                </c:pt>
                <c:pt idx="8">
                  <c:v>17.962227929999997</c:v>
                </c:pt>
                <c:pt idx="9">
                  <c:v>17.024898269999998</c:v>
                </c:pt>
                <c:pt idx="10">
                  <c:v>26.464584509999998</c:v>
                </c:pt>
              </c:numCache>
            </c:numRef>
          </c:val>
          <c:extLst>
            <c:ext xmlns:c16="http://schemas.microsoft.com/office/drawing/2014/chart" uri="{C3380CC4-5D6E-409C-BE32-E72D297353CC}">
              <c16:uniqueId val="{00000004-E284-48ED-8D04-2ACB7ACB196E}"/>
            </c:ext>
          </c:extLst>
        </c:ser>
        <c:ser>
          <c:idx val="5"/>
          <c:order val="5"/>
          <c:tx>
            <c:strRef>
              <c:f>Comex!$DJ$2</c:f>
              <c:strCache>
                <c:ptCount val="1"/>
                <c:pt idx="0">
                  <c:v>Vitivinicola</c:v>
                </c:pt>
              </c:strCache>
            </c:strRef>
          </c:tx>
          <c:spPr>
            <a:solidFill>
              <a:srgbClr val="877B1A"/>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Comex!$DJ$3:$DJ$13</c:f>
              <c:numCache>
                <c:formatCode>#,##0</c:formatCode>
                <c:ptCount val="11"/>
                <c:pt idx="0">
                  <c:v>648.49006539000004</c:v>
                </c:pt>
                <c:pt idx="1">
                  <c:v>614.54182077999997</c:v>
                </c:pt>
                <c:pt idx="2">
                  <c:v>638.19388834000017</c:v>
                </c:pt>
                <c:pt idx="3">
                  <c:v>631.23456520000002</c:v>
                </c:pt>
                <c:pt idx="4">
                  <c:v>630.37703975000011</c:v>
                </c:pt>
                <c:pt idx="5">
                  <c:v>655.50522060000003</c:v>
                </c:pt>
                <c:pt idx="6">
                  <c:v>703.96595430000013</c:v>
                </c:pt>
                <c:pt idx="7">
                  <c:v>559.61141283000006</c:v>
                </c:pt>
                <c:pt idx="8">
                  <c:v>626.51545390000001</c:v>
                </c:pt>
                <c:pt idx="9">
                  <c:v>610.25239127999998</c:v>
                </c:pt>
                <c:pt idx="10">
                  <c:v>546.33288755000001</c:v>
                </c:pt>
              </c:numCache>
            </c:numRef>
          </c:val>
          <c:extLst>
            <c:ext xmlns:c16="http://schemas.microsoft.com/office/drawing/2014/chart" uri="{C3380CC4-5D6E-409C-BE32-E72D297353CC}">
              <c16:uniqueId val="{00000005-E284-48ED-8D04-2ACB7ACB196E}"/>
            </c:ext>
          </c:extLst>
        </c:ser>
        <c:ser>
          <c:idx val="6"/>
          <c:order val="6"/>
          <c:tx>
            <c:strRef>
              <c:f>Comex!$DK$2</c:f>
              <c:strCache>
                <c:ptCount val="1"/>
                <c:pt idx="0">
                  <c:v>Yerba Mate</c:v>
                </c:pt>
              </c:strCache>
            </c:strRef>
          </c:tx>
          <c:spPr>
            <a:solidFill>
              <a:srgbClr val="1E8449"/>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Comex!$DK$3:$DK$13</c:f>
              <c:numCache>
                <c:formatCode>#,##0</c:formatCode>
                <c:ptCount val="11"/>
                <c:pt idx="0">
                  <c:v>42.31110752</c:v>
                </c:pt>
                <c:pt idx="1">
                  <c:v>55.5537682</c:v>
                </c:pt>
                <c:pt idx="2">
                  <c:v>69.072689050000008</c:v>
                </c:pt>
                <c:pt idx="3">
                  <c:v>58.250137790000004</c:v>
                </c:pt>
                <c:pt idx="4">
                  <c:v>73.21122828</c:v>
                </c:pt>
                <c:pt idx="5">
                  <c:v>75.825862699999988</c:v>
                </c:pt>
                <c:pt idx="6">
                  <c:v>66.94344864</c:v>
                </c:pt>
                <c:pt idx="7">
                  <c:v>70.790467849999999</c:v>
                </c:pt>
                <c:pt idx="8">
                  <c:v>75.501360520000006</c:v>
                </c:pt>
                <c:pt idx="9">
                  <c:v>74.72402224999999</c:v>
                </c:pt>
                <c:pt idx="10">
                  <c:v>78.96588319</c:v>
                </c:pt>
              </c:numCache>
            </c:numRef>
          </c:val>
          <c:extLst>
            <c:ext xmlns:c16="http://schemas.microsoft.com/office/drawing/2014/chart" uri="{C3380CC4-5D6E-409C-BE32-E72D297353CC}">
              <c16:uniqueId val="{00000006-E284-48ED-8D04-2ACB7ACB196E}"/>
            </c:ext>
          </c:extLst>
        </c:ser>
        <c:ser>
          <c:idx val="7"/>
          <c:order val="7"/>
          <c:tx>
            <c:strRef>
              <c:f>Comex!$DL$2</c:f>
              <c:strCache>
                <c:ptCount val="1"/>
                <c:pt idx="0">
                  <c:v>Algodón</c:v>
                </c:pt>
              </c:strCache>
            </c:strRef>
          </c:tx>
          <c:spPr>
            <a:solidFill>
              <a:srgbClr val="D5F5E3"/>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Comex!$DL$3:$DL$13</c:f>
              <c:numCache>
                <c:formatCode>#,##0</c:formatCode>
                <c:ptCount val="11"/>
                <c:pt idx="0">
                  <c:v>54.409826999999993</c:v>
                </c:pt>
                <c:pt idx="1">
                  <c:v>49.565385720000002</c:v>
                </c:pt>
                <c:pt idx="2">
                  <c:v>66.392230699999999</c:v>
                </c:pt>
                <c:pt idx="3">
                  <c:v>77.070064130000006</c:v>
                </c:pt>
                <c:pt idx="4">
                  <c:v>78.485275200000004</c:v>
                </c:pt>
                <c:pt idx="5">
                  <c:v>111.61178730000002</c:v>
                </c:pt>
                <c:pt idx="6">
                  <c:v>168.89631324000001</c:v>
                </c:pt>
                <c:pt idx="7">
                  <c:v>30.558403910000003</c:v>
                </c:pt>
                <c:pt idx="8">
                  <c:v>132.25707643999999</c:v>
                </c:pt>
                <c:pt idx="9">
                  <c:v>67.837280930000006</c:v>
                </c:pt>
                <c:pt idx="10">
                  <c:v>120.85209735999999</c:v>
                </c:pt>
              </c:numCache>
            </c:numRef>
          </c:val>
          <c:extLst>
            <c:ext xmlns:c16="http://schemas.microsoft.com/office/drawing/2014/chart" uri="{C3380CC4-5D6E-409C-BE32-E72D297353CC}">
              <c16:uniqueId val="{00000007-E284-48ED-8D04-2ACB7ACB196E}"/>
            </c:ext>
          </c:extLst>
        </c:ser>
        <c:ser>
          <c:idx val="8"/>
          <c:order val="8"/>
          <c:tx>
            <c:strRef>
              <c:f>Comex!$DM$2</c:f>
              <c:strCache>
                <c:ptCount val="1"/>
                <c:pt idx="0">
                  <c:v>Peras y Manzanas</c:v>
                </c:pt>
              </c:strCache>
            </c:strRef>
          </c:tx>
          <c:spPr>
            <a:solidFill>
              <a:srgbClr val="A9DFB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Comex!$DM$3:$DM$13</c:f>
              <c:numCache>
                <c:formatCode>#,##0</c:formatCode>
                <c:ptCount val="11"/>
                <c:pt idx="0">
                  <c:v>341.38825747999999</c:v>
                </c:pt>
                <c:pt idx="1">
                  <c:v>328.57695723</c:v>
                </c:pt>
                <c:pt idx="2">
                  <c:v>361.95987300999997</c:v>
                </c:pt>
                <c:pt idx="3">
                  <c:v>288.84738544999999</c:v>
                </c:pt>
                <c:pt idx="4">
                  <c:v>325.79420333999997</c:v>
                </c:pt>
                <c:pt idx="5">
                  <c:v>316.41512623000006</c:v>
                </c:pt>
                <c:pt idx="6">
                  <c:v>247.16687897000003</c:v>
                </c:pt>
                <c:pt idx="7">
                  <c:v>287.54382251999999</c:v>
                </c:pt>
                <c:pt idx="8">
                  <c:v>313.84715371999999</c:v>
                </c:pt>
                <c:pt idx="9">
                  <c:v>337.41536924000002</c:v>
                </c:pt>
                <c:pt idx="10">
                  <c:v>327.94638122999999</c:v>
                </c:pt>
              </c:numCache>
            </c:numRef>
          </c:val>
          <c:extLst>
            <c:ext xmlns:c16="http://schemas.microsoft.com/office/drawing/2014/chart" uri="{C3380CC4-5D6E-409C-BE32-E72D297353CC}">
              <c16:uniqueId val="{00000008-E284-48ED-8D04-2ACB7ACB196E}"/>
            </c:ext>
          </c:extLst>
        </c:ser>
        <c:ser>
          <c:idx val="9"/>
          <c:order val="9"/>
          <c:tx>
            <c:strRef>
              <c:f>Comex!$DN$2</c:f>
              <c:strCache>
                <c:ptCount val="1"/>
                <c:pt idx="0">
                  <c:v>Citricos Dulces</c:v>
                </c:pt>
              </c:strCache>
            </c:strRef>
          </c:tx>
          <c:spPr>
            <a:solidFill>
              <a:srgbClr val="F1C40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Comex!$DN$3:$DN$13</c:f>
              <c:numCache>
                <c:formatCode>#,##0</c:formatCode>
                <c:ptCount val="11"/>
                <c:pt idx="0">
                  <c:v>513.85055234000004</c:v>
                </c:pt>
                <c:pt idx="1">
                  <c:v>415.40883904999993</c:v>
                </c:pt>
                <c:pt idx="2">
                  <c:v>433.10917228000005</c:v>
                </c:pt>
                <c:pt idx="3">
                  <c:v>319.79250407000001</c:v>
                </c:pt>
                <c:pt idx="4">
                  <c:v>364.08945529999994</c:v>
                </c:pt>
                <c:pt idx="5">
                  <c:v>311.97407102</c:v>
                </c:pt>
                <c:pt idx="6">
                  <c:v>267.88394356999999</c:v>
                </c:pt>
                <c:pt idx="7">
                  <c:v>235.95863688</c:v>
                </c:pt>
                <c:pt idx="8">
                  <c:v>239.31976814999999</c:v>
                </c:pt>
                <c:pt idx="9">
                  <c:v>334.43990281999999</c:v>
                </c:pt>
                <c:pt idx="10">
                  <c:v>434.84178136999998</c:v>
                </c:pt>
              </c:numCache>
            </c:numRef>
          </c:val>
          <c:extLst>
            <c:ext xmlns:c16="http://schemas.microsoft.com/office/drawing/2014/chart" uri="{C3380CC4-5D6E-409C-BE32-E72D297353CC}">
              <c16:uniqueId val="{00000009-E284-48ED-8D04-2ACB7ACB196E}"/>
            </c:ext>
          </c:extLst>
        </c:ser>
        <c:ser>
          <c:idx val="10"/>
          <c:order val="10"/>
          <c:tx>
            <c:strRef>
              <c:f>Comex!$DO$2</c:f>
              <c:strCache>
                <c:ptCount val="1"/>
                <c:pt idx="0">
                  <c:v>Forestal</c:v>
                </c:pt>
              </c:strCache>
            </c:strRef>
          </c:tx>
          <c:spPr>
            <a:solidFill>
              <a:srgbClr val="145A32"/>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Comex!$DO$3:$DO$13</c:f>
              <c:numCache>
                <c:formatCode>#,##0</c:formatCode>
                <c:ptCount val="11"/>
                <c:pt idx="0">
                  <c:v>129.46429534999999</c:v>
                </c:pt>
                <c:pt idx="1">
                  <c:v>158.43166237</c:v>
                </c:pt>
                <c:pt idx="2">
                  <c:v>50.234010600000005</c:v>
                </c:pt>
                <c:pt idx="3">
                  <c:v>30.672147939999999</c:v>
                </c:pt>
                <c:pt idx="4">
                  <c:v>130.45436538000001</c:v>
                </c:pt>
                <c:pt idx="5">
                  <c:v>247.29755131000002</c:v>
                </c:pt>
                <c:pt idx="6">
                  <c:v>261.30501544000003</c:v>
                </c:pt>
                <c:pt idx="7">
                  <c:v>199.43734550000002</c:v>
                </c:pt>
                <c:pt idx="8">
                  <c:v>173.77075209999998</c:v>
                </c:pt>
                <c:pt idx="9">
                  <c:v>104.92459273000001</c:v>
                </c:pt>
                <c:pt idx="10">
                  <c:v>134.14277116000002</c:v>
                </c:pt>
              </c:numCache>
            </c:numRef>
          </c:val>
          <c:extLst>
            <c:ext xmlns:c16="http://schemas.microsoft.com/office/drawing/2014/chart" uri="{C3380CC4-5D6E-409C-BE32-E72D297353CC}">
              <c16:uniqueId val="{0000000A-E284-48ED-8D04-2ACB7ACB196E}"/>
            </c:ext>
          </c:extLst>
        </c:ser>
        <c:ser>
          <c:idx val="11"/>
          <c:order val="11"/>
          <c:tx>
            <c:strRef>
              <c:f>Comex!$DP$2</c:f>
              <c:strCache>
                <c:ptCount val="1"/>
                <c:pt idx="0">
                  <c:v>Tabaco</c:v>
                </c:pt>
              </c:strCache>
            </c:strRef>
          </c:tx>
          <c:spPr>
            <a:solidFill>
              <a:srgbClr val="52BE80"/>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Comex!$DP$3:$DP$13</c:f>
              <c:numCache>
                <c:formatCode>#,##0</c:formatCode>
                <c:ptCount val="11"/>
                <c:pt idx="0">
                  <c:v>232.85714189000004</c:v>
                </c:pt>
                <c:pt idx="1">
                  <c:v>214.27715092999998</c:v>
                </c:pt>
                <c:pt idx="2">
                  <c:v>191.74421916</c:v>
                </c:pt>
                <c:pt idx="3">
                  <c:v>152.46961209</c:v>
                </c:pt>
                <c:pt idx="4">
                  <c:v>199.67913107999999</c:v>
                </c:pt>
                <c:pt idx="5">
                  <c:v>175.73344469999998</c:v>
                </c:pt>
                <c:pt idx="6">
                  <c:v>247.42360105</c:v>
                </c:pt>
                <c:pt idx="7">
                  <c:v>361.64911967</c:v>
                </c:pt>
                <c:pt idx="8">
                  <c:v>316.79907093000003</c:v>
                </c:pt>
                <c:pt idx="9">
                  <c:v>364.61010744999999</c:v>
                </c:pt>
                <c:pt idx="10">
                  <c:v>402.16041238999998</c:v>
                </c:pt>
              </c:numCache>
            </c:numRef>
          </c:val>
          <c:extLst>
            <c:ext xmlns:c16="http://schemas.microsoft.com/office/drawing/2014/chart" uri="{C3380CC4-5D6E-409C-BE32-E72D297353CC}">
              <c16:uniqueId val="{0000000B-E284-48ED-8D04-2ACB7ACB196E}"/>
            </c:ext>
          </c:extLst>
        </c:ser>
        <c:ser>
          <c:idx val="12"/>
          <c:order val="12"/>
          <c:tx>
            <c:strRef>
              <c:f>Comex!$DQ$2</c:f>
              <c:strCache>
                <c:ptCount val="1"/>
                <c:pt idx="0">
                  <c:v>Apícola</c:v>
                </c:pt>
              </c:strCache>
            </c:strRef>
          </c:tx>
          <c:spPr>
            <a:solidFill>
              <a:srgbClr val="F39C12"/>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Comex!$DQ$3:$DQ$13</c:f>
              <c:numCache>
                <c:formatCode>#,##0</c:formatCode>
                <c:ptCount val="11"/>
                <c:pt idx="0">
                  <c:v>123.20438830000001</c:v>
                </c:pt>
                <c:pt idx="1">
                  <c:v>134.11464745000001</c:v>
                </c:pt>
                <c:pt idx="2">
                  <c:v>125.53561703</c:v>
                </c:pt>
                <c:pt idx="3">
                  <c:v>104.95142697000001</c:v>
                </c:pt>
                <c:pt idx="4">
                  <c:v>145.55566565999999</c:v>
                </c:pt>
                <c:pt idx="5">
                  <c:v>185.25046561000002</c:v>
                </c:pt>
                <c:pt idx="6">
                  <c:v>211.22973602000002</c:v>
                </c:pt>
                <c:pt idx="7">
                  <c:v>147.42474295</c:v>
                </c:pt>
                <c:pt idx="8">
                  <c:v>139.50839808000001</c:v>
                </c:pt>
                <c:pt idx="9">
                  <c:v>160.61636449999997</c:v>
                </c:pt>
                <c:pt idx="10">
                  <c:v>244.39321285</c:v>
                </c:pt>
              </c:numCache>
            </c:numRef>
          </c:val>
          <c:extLst>
            <c:ext xmlns:c16="http://schemas.microsoft.com/office/drawing/2014/chart" uri="{C3380CC4-5D6E-409C-BE32-E72D297353CC}">
              <c16:uniqueId val="{0000000C-E284-48ED-8D04-2ACB7ACB196E}"/>
            </c:ext>
          </c:extLst>
        </c:ser>
        <c:ser>
          <c:idx val="13"/>
          <c:order val="13"/>
          <c:tx>
            <c:strRef>
              <c:f>Comex!$DR$2</c:f>
              <c:strCache>
                <c:ptCount val="1"/>
                <c:pt idx="0">
                  <c:v>Arroz</c:v>
                </c:pt>
              </c:strCache>
            </c:strRef>
          </c:tx>
          <c:spPr>
            <a:solidFill>
              <a:srgbClr val="D68910"/>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Comex!$DR$3:$DR$13</c:f>
              <c:numCache>
                <c:formatCode>#,##0</c:formatCode>
                <c:ptCount val="11"/>
                <c:pt idx="0">
                  <c:v>149.46793971</c:v>
                </c:pt>
                <c:pt idx="1">
                  <c:v>126.87512896999998</c:v>
                </c:pt>
                <c:pt idx="2">
                  <c:v>123.09375689999999</c:v>
                </c:pt>
                <c:pt idx="3">
                  <c:v>109.70648091999999</c:v>
                </c:pt>
                <c:pt idx="4">
                  <c:v>132.04623081</c:v>
                </c:pt>
                <c:pt idx="5">
                  <c:v>186.74918762999999</c:v>
                </c:pt>
                <c:pt idx="6">
                  <c:v>172.08140792</c:v>
                </c:pt>
                <c:pt idx="7">
                  <c:v>190.79966395</c:v>
                </c:pt>
                <c:pt idx="8">
                  <c:v>204.61331192999998</c:v>
                </c:pt>
                <c:pt idx="9">
                  <c:v>325.49615694000005</c:v>
                </c:pt>
                <c:pt idx="10">
                  <c:v>293.97749709999999</c:v>
                </c:pt>
              </c:numCache>
            </c:numRef>
          </c:val>
          <c:extLst>
            <c:ext xmlns:c16="http://schemas.microsoft.com/office/drawing/2014/chart" uri="{C3380CC4-5D6E-409C-BE32-E72D297353CC}">
              <c16:uniqueId val="{0000000D-E284-48ED-8D04-2ACB7ACB196E}"/>
            </c:ext>
          </c:extLst>
        </c:ser>
        <c:ser>
          <c:idx val="14"/>
          <c:order val="14"/>
          <c:tx>
            <c:strRef>
              <c:f>Comex!$DS$2</c:f>
              <c:strCache>
                <c:ptCount val="1"/>
                <c:pt idx="0">
                  <c:v>Mani</c:v>
                </c:pt>
              </c:strCache>
            </c:strRef>
          </c:tx>
          <c:spPr>
            <a:solidFill>
              <a:srgbClr val="9A7D0A"/>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Comex!$DS$3:$DS$13</c:f>
              <c:numCache>
                <c:formatCode>#,##0</c:formatCode>
                <c:ptCount val="11"/>
                <c:pt idx="0">
                  <c:v>604.07055116000004</c:v>
                </c:pt>
                <c:pt idx="1">
                  <c:v>560.18411261999995</c:v>
                </c:pt>
                <c:pt idx="2">
                  <c:v>463.90970751999993</c:v>
                </c:pt>
                <c:pt idx="3">
                  <c:v>489.30622735999998</c:v>
                </c:pt>
                <c:pt idx="4">
                  <c:v>776.62292456</c:v>
                </c:pt>
                <c:pt idx="5">
                  <c:v>783.51957412000002</c:v>
                </c:pt>
                <c:pt idx="6">
                  <c:v>799.95999878999987</c:v>
                </c:pt>
                <c:pt idx="7">
                  <c:v>874.25125489000004</c:v>
                </c:pt>
                <c:pt idx="8">
                  <c:v>782.83544900999993</c:v>
                </c:pt>
                <c:pt idx="9">
                  <c:v>864.23814327000002</c:v>
                </c:pt>
                <c:pt idx="10">
                  <c:v>867.33654065999997</c:v>
                </c:pt>
              </c:numCache>
            </c:numRef>
          </c:val>
          <c:extLst>
            <c:ext xmlns:c16="http://schemas.microsoft.com/office/drawing/2014/chart" uri="{C3380CC4-5D6E-409C-BE32-E72D297353CC}">
              <c16:uniqueId val="{0000000E-E284-48ED-8D04-2ACB7ACB196E}"/>
            </c:ext>
          </c:extLst>
        </c:ser>
        <c:ser>
          <c:idx val="15"/>
          <c:order val="15"/>
          <c:tx>
            <c:strRef>
              <c:f>Comex!$DT$2</c:f>
              <c:strCache>
                <c:ptCount val="1"/>
                <c:pt idx="0">
                  <c:v>Papa</c:v>
                </c:pt>
              </c:strCache>
            </c:strRef>
          </c:tx>
          <c:spPr>
            <a:solidFill>
              <a:srgbClr val="7DCEA0"/>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Comex!$DT$3:$DT$13</c:f>
              <c:numCache>
                <c:formatCode>#,##0</c:formatCode>
                <c:ptCount val="11"/>
                <c:pt idx="0">
                  <c:v>145.68573626</c:v>
                </c:pt>
                <c:pt idx="1">
                  <c:v>125.01639012</c:v>
                </c:pt>
                <c:pt idx="2">
                  <c:v>112.84753033999999</c:v>
                </c:pt>
                <c:pt idx="3">
                  <c:v>147.41111305000001</c:v>
                </c:pt>
                <c:pt idx="4">
                  <c:v>129.07161081999999</c:v>
                </c:pt>
                <c:pt idx="5">
                  <c:v>184.49822769000002</c:v>
                </c:pt>
                <c:pt idx="6">
                  <c:v>204.29613747000002</c:v>
                </c:pt>
                <c:pt idx="7">
                  <c:v>218.73925410000004</c:v>
                </c:pt>
                <c:pt idx="8">
                  <c:v>245.60389047000001</c:v>
                </c:pt>
                <c:pt idx="9">
                  <c:v>249.51668449000002</c:v>
                </c:pt>
                <c:pt idx="10">
                  <c:v>259.05938040000001</c:v>
                </c:pt>
              </c:numCache>
            </c:numRef>
          </c:val>
          <c:extLst>
            <c:ext xmlns:c16="http://schemas.microsoft.com/office/drawing/2014/chart" uri="{C3380CC4-5D6E-409C-BE32-E72D297353CC}">
              <c16:uniqueId val="{0000000F-E284-48ED-8D04-2ACB7ACB196E}"/>
            </c:ext>
          </c:extLst>
        </c:ser>
        <c:ser>
          <c:idx val="16"/>
          <c:order val="16"/>
          <c:tx>
            <c:strRef>
              <c:f>Comex!$DU$2</c:f>
              <c:strCache>
                <c:ptCount val="1"/>
                <c:pt idx="0">
                  <c:v>Hortalizas</c:v>
                </c:pt>
              </c:strCache>
            </c:strRef>
          </c:tx>
          <c:spPr>
            <a:solidFill>
              <a:srgbClr val="2ECC71"/>
            </a:solidFill>
            <a:ln>
              <a:noFill/>
            </a:ln>
            <a:effectLst/>
          </c:spPr>
          <c:invertIfNegative val="0"/>
          <c:dLbls>
            <c:dLbl>
              <c:idx val="0"/>
              <c:tx>
                <c:rich>
                  <a:bodyPr/>
                  <a:lstStyle/>
                  <a:p>
                    <a:r>
                      <a:rPr lang="en-US"/>
                      <a:t>4.283</a:t>
                    </a:r>
                  </a:p>
                </c:rich>
              </c:tx>
              <c:dLblPos val="inBase"/>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0-E284-48ED-8D04-2ACB7ACB196E}"/>
                </c:ext>
              </c:extLst>
            </c:dLbl>
            <c:dLbl>
              <c:idx val="1"/>
              <c:tx>
                <c:rich>
                  <a:bodyPr/>
                  <a:lstStyle/>
                  <a:p>
                    <a:fld id="{248A9E98-F584-47A6-A069-D4A199556B78}" type="CELLRANGE">
                      <a:rPr lang="es-AR"/>
                      <a:pPr/>
                      <a:t>[CELLRANGE]</a:t>
                    </a:fld>
                    <a:endParaRPr lang="es-A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284-48ED-8D04-2ACB7ACB196E}"/>
                </c:ext>
              </c:extLst>
            </c:dLbl>
            <c:dLbl>
              <c:idx val="2"/>
              <c:tx>
                <c:rich>
                  <a:bodyPr/>
                  <a:lstStyle/>
                  <a:p>
                    <a:fld id="{4E9DE727-DA53-43C0-AECB-84C55938A49D}" type="CELLRANGE">
                      <a:rPr lang="es-AR"/>
                      <a:pPr/>
                      <a:t>[CELLRANGE]</a:t>
                    </a:fld>
                    <a:endParaRPr lang="es-A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284-48ED-8D04-2ACB7ACB196E}"/>
                </c:ext>
              </c:extLst>
            </c:dLbl>
            <c:dLbl>
              <c:idx val="3"/>
              <c:tx>
                <c:rich>
                  <a:bodyPr/>
                  <a:lstStyle/>
                  <a:p>
                    <a:fld id="{1885A30B-0CDB-4460-9DEC-8BA3679D0AB9}" type="CELLRANGE">
                      <a:rPr lang="es-AR"/>
                      <a:pPr/>
                      <a:t>[CELLRANGE]</a:t>
                    </a:fld>
                    <a:endParaRPr lang="es-A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284-48ED-8D04-2ACB7ACB196E}"/>
                </c:ext>
              </c:extLst>
            </c:dLbl>
            <c:dLbl>
              <c:idx val="4"/>
              <c:tx>
                <c:rich>
                  <a:bodyPr/>
                  <a:lstStyle/>
                  <a:p>
                    <a:fld id="{BD7A67F2-4A5D-4F47-96BE-BAEC2EEA8C6C}" type="CELLRANGE">
                      <a:rPr lang="es-AR"/>
                      <a:pPr/>
                      <a:t>[CELLRANGE]</a:t>
                    </a:fld>
                    <a:endParaRPr lang="es-A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284-48ED-8D04-2ACB7ACB196E}"/>
                </c:ext>
              </c:extLst>
            </c:dLbl>
            <c:dLbl>
              <c:idx val="5"/>
              <c:tx>
                <c:rich>
                  <a:bodyPr/>
                  <a:lstStyle/>
                  <a:p>
                    <a:fld id="{64D3F575-E76E-45BC-84CD-BA6F8C3CA27A}" type="CELLRANGE">
                      <a:rPr lang="es-AR"/>
                      <a:pPr/>
                      <a:t>[CELLRANGE]</a:t>
                    </a:fld>
                    <a:endParaRPr lang="es-A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E284-48ED-8D04-2ACB7ACB196E}"/>
                </c:ext>
              </c:extLst>
            </c:dLbl>
            <c:dLbl>
              <c:idx val="6"/>
              <c:tx>
                <c:rich>
                  <a:bodyPr/>
                  <a:lstStyle/>
                  <a:p>
                    <a:fld id="{EAEA76EE-097B-4EAD-8C52-209302C89676}" type="CELLRANGE">
                      <a:rPr lang="es-AR"/>
                      <a:pPr/>
                      <a:t>[CELLRANGE]</a:t>
                    </a:fld>
                    <a:endParaRPr lang="es-A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284-48ED-8D04-2ACB7ACB196E}"/>
                </c:ext>
              </c:extLst>
            </c:dLbl>
            <c:dLbl>
              <c:idx val="7"/>
              <c:tx>
                <c:rich>
                  <a:bodyPr/>
                  <a:lstStyle/>
                  <a:p>
                    <a:fld id="{F7B44C0A-388A-49D0-9BDC-00E5D71E2E32}" type="CELLRANGE">
                      <a:rPr lang="es-AR"/>
                      <a:pPr/>
                      <a:t>[CELLRANGE]</a:t>
                    </a:fld>
                    <a:endParaRPr lang="es-A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E284-48ED-8D04-2ACB7ACB196E}"/>
                </c:ext>
              </c:extLst>
            </c:dLbl>
            <c:dLbl>
              <c:idx val="8"/>
              <c:tx>
                <c:rich>
                  <a:bodyPr/>
                  <a:lstStyle/>
                  <a:p>
                    <a:fld id="{0AAACC9C-4FA4-4328-B494-D81EAF75353F}" type="CELLRANGE">
                      <a:rPr lang="es-AR"/>
                      <a:pPr/>
                      <a:t>[CELLRANGE]</a:t>
                    </a:fld>
                    <a:endParaRPr lang="es-A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E284-48ED-8D04-2ACB7ACB196E}"/>
                </c:ext>
              </c:extLst>
            </c:dLbl>
            <c:dLbl>
              <c:idx val="9"/>
              <c:tx>
                <c:rich>
                  <a:bodyPr/>
                  <a:lstStyle/>
                  <a:p>
                    <a:fld id="{428F9F19-F123-4814-8E69-39B56F96057E}" type="CELLRANGE">
                      <a:rPr lang="es-AR"/>
                      <a:pPr/>
                      <a:t>[CELLRANGE]</a:t>
                    </a:fld>
                    <a:endParaRPr lang="es-A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E284-48ED-8D04-2ACB7ACB196E}"/>
                </c:ext>
              </c:extLst>
            </c:dLbl>
            <c:dLbl>
              <c:idx val="10"/>
              <c:tx>
                <c:rich>
                  <a:bodyPr/>
                  <a:lstStyle/>
                  <a:p>
                    <a:fld id="{0AA89873-E7FA-4993-9EE2-05FA8D681734}" type="CELLRANGE">
                      <a:rPr lang="es-AR"/>
                      <a:pPr/>
                      <a:t>[CELLRANGE]</a:t>
                    </a:fld>
                    <a:endParaRPr lang="es-A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E284-48ED-8D04-2ACB7ACB196E}"/>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65000"/>
                        <a:lumOff val="35000"/>
                      </a:schemeClr>
                    </a:solidFill>
                    <a:latin typeface="Rajdhani" panose="02000000000000000000" pitchFamily="2" charset="0"/>
                    <a:ea typeface="+mn-ea"/>
                    <a:cs typeface="Rajdhani" panose="02000000000000000000" pitchFamily="2" charset="0"/>
                  </a:defRPr>
                </a:pPr>
                <a:endParaRPr lang="es-AR"/>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Comex!$DU$3:$DU$13</c:f>
              <c:numCache>
                <c:formatCode>#,##0</c:formatCode>
                <c:ptCount val="11"/>
                <c:pt idx="0">
                  <c:v>28.48935754</c:v>
                </c:pt>
                <c:pt idx="1">
                  <c:v>16.598590510000001</c:v>
                </c:pt>
                <c:pt idx="2">
                  <c:v>31.018284520000002</c:v>
                </c:pt>
                <c:pt idx="3">
                  <c:v>39.338341269999994</c:v>
                </c:pt>
                <c:pt idx="4">
                  <c:v>44.521935200000001</c:v>
                </c:pt>
                <c:pt idx="5">
                  <c:v>37.528720180000001</c:v>
                </c:pt>
                <c:pt idx="6">
                  <c:v>41.92377046</c:v>
                </c:pt>
                <c:pt idx="7">
                  <c:v>46.856545440000005</c:v>
                </c:pt>
                <c:pt idx="8">
                  <c:v>59.575990539999999</c:v>
                </c:pt>
                <c:pt idx="9">
                  <c:v>37.565798180000002</c:v>
                </c:pt>
                <c:pt idx="10">
                  <c:v>48.08046860000001</c:v>
                </c:pt>
              </c:numCache>
            </c:numRef>
          </c:val>
          <c:extLst>
            <c:ext xmlns:c15="http://schemas.microsoft.com/office/drawing/2012/chart" uri="{02D57815-91ED-43cb-92C2-25804820EDAC}">
              <c15:datalabelsRange>
                <c15:f>Comex!$CH$3:$CH$13</c15:f>
                <c15:dlblRangeCache>
                  <c:ptCount val="11"/>
                  <c:pt idx="0">
                    <c:v>5.031</c:v>
                  </c:pt>
                  <c:pt idx="1">
                    <c:v>5.002</c:v>
                  </c:pt>
                  <c:pt idx="2">
                    <c:v>5.493</c:v>
                  </c:pt>
                  <c:pt idx="3">
                    <c:v>5.650</c:v>
                  </c:pt>
                  <c:pt idx="4">
                    <c:v>6.696</c:v>
                  </c:pt>
                  <c:pt idx="5">
                    <c:v>7.260</c:v>
                  </c:pt>
                  <c:pt idx="6">
                    <c:v>8.547</c:v>
                  </c:pt>
                  <c:pt idx="7">
                    <c:v>7.331</c:v>
                  </c:pt>
                  <c:pt idx="8">
                    <c:v>7.324</c:v>
                  </c:pt>
                  <c:pt idx="9">
                    <c:v>7.947</c:v>
                  </c:pt>
                  <c:pt idx="10">
                    <c:v>9.449</c:v>
                  </c:pt>
                </c15:dlblRangeCache>
              </c15:datalabelsRange>
            </c:ext>
            <c:ext xmlns:c16="http://schemas.microsoft.com/office/drawing/2014/chart" uri="{C3380CC4-5D6E-409C-BE32-E72D297353CC}">
              <c16:uniqueId val="{0000001B-E284-48ED-8D04-2ACB7ACB196E}"/>
            </c:ext>
          </c:extLst>
        </c:ser>
        <c:ser>
          <c:idx val="17"/>
          <c:order val="17"/>
          <c:tx>
            <c:strRef>
              <c:f>Comex!$DV$2</c:f>
              <c:strCache>
                <c:ptCount val="1"/>
                <c:pt idx="0">
                  <c:v>Mandioca</c:v>
                </c:pt>
              </c:strCache>
            </c:strRef>
          </c:tx>
          <c:spPr>
            <a:solidFill>
              <a:srgbClr val="FCF3CF"/>
            </a:solidFill>
            <a:ln>
              <a:noFill/>
            </a:ln>
            <a:effectLst/>
          </c:spPr>
          <c:invertIfNegative val="0"/>
          <c:cat>
            <c:numRef>
              <c:f>Comex!$DD$3:$DD$13</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Comex!$DV$3:$DV$13</c:f>
              <c:numCache>
                <c:formatCode>#,##0.0000</c:formatCode>
                <c:ptCount val="11"/>
                <c:pt idx="0">
                  <c:v>0</c:v>
                </c:pt>
                <c:pt idx="1">
                  <c:v>1.6640000000000001E-3</c:v>
                </c:pt>
                <c:pt idx="2">
                  <c:v>0</c:v>
                </c:pt>
                <c:pt idx="3">
                  <c:v>0</c:v>
                </c:pt>
                <c:pt idx="4">
                  <c:v>2.5000000000000001E-3</c:v>
                </c:pt>
                <c:pt idx="5">
                  <c:v>0</c:v>
                </c:pt>
                <c:pt idx="6">
                  <c:v>0</c:v>
                </c:pt>
                <c:pt idx="7">
                  <c:v>0</c:v>
                </c:pt>
                <c:pt idx="8">
                  <c:v>0</c:v>
                </c:pt>
                <c:pt idx="9">
                  <c:v>0</c:v>
                </c:pt>
                <c:pt idx="10">
                  <c:v>0</c:v>
                </c:pt>
              </c:numCache>
            </c:numRef>
          </c:val>
          <c:extLst>
            <c:ext xmlns:c16="http://schemas.microsoft.com/office/drawing/2014/chart" uri="{C3380CC4-5D6E-409C-BE32-E72D297353CC}">
              <c16:uniqueId val="{0000001C-E284-48ED-8D04-2ACB7ACB196E}"/>
            </c:ext>
          </c:extLst>
        </c:ser>
        <c:dLbls>
          <c:showLegendKey val="0"/>
          <c:showVal val="0"/>
          <c:showCatName val="0"/>
          <c:showSerName val="0"/>
          <c:showPercent val="0"/>
          <c:showBubbleSize val="0"/>
        </c:dLbls>
        <c:gapWidth val="60"/>
        <c:overlap val="100"/>
        <c:axId val="824739951"/>
        <c:axId val="901647887"/>
      </c:barChart>
      <c:catAx>
        <c:axId val="82473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lang="en-US" sz="1670" b="1" i="0" u="none" strike="noStrike" kern="1200" baseline="0">
                <a:solidFill>
                  <a:schemeClr val="bg1">
                    <a:lumMod val="65000"/>
                  </a:schemeClr>
                </a:solidFill>
                <a:latin typeface="Rajdhani" pitchFamily="18"/>
                <a:ea typeface="Microsoft YaHei" pitchFamily="2"/>
                <a:cs typeface="Lucida Sans" pitchFamily="2"/>
              </a:defRPr>
            </a:pPr>
            <a:endParaRPr lang="es-AR"/>
          </a:p>
        </c:txPr>
        <c:crossAx val="901647887"/>
        <c:crosses val="autoZero"/>
        <c:auto val="1"/>
        <c:lblAlgn val="ctr"/>
        <c:lblOffset val="100"/>
        <c:noMultiLvlLbl val="0"/>
      </c:catAx>
      <c:valAx>
        <c:axId val="901647887"/>
        <c:scaling>
          <c:orientation val="minMax"/>
        </c:scaling>
        <c:delete val="1"/>
        <c:axPos val="l"/>
        <c:numFmt formatCode="#,##0" sourceLinked="1"/>
        <c:majorTickMark val="none"/>
        <c:minorTickMark val="none"/>
        <c:tickLblPos val="nextTo"/>
        <c:crossAx val="824739951"/>
        <c:crosses val="autoZero"/>
        <c:crossBetween val="between"/>
      </c:valAx>
      <c:spPr>
        <a:noFill/>
        <a:ln>
          <a:noFill/>
        </a:ln>
        <a:effectLst/>
      </c:spPr>
    </c:plotArea>
    <c:legend>
      <c:legendPos val="t"/>
      <c:layout>
        <c:manualLayout>
          <c:xMode val="edge"/>
          <c:yMode val="edge"/>
          <c:x val="0"/>
          <c:y val="5.0961941930716408E-4"/>
          <c:w val="1"/>
          <c:h val="0.1606155240086298"/>
        </c:manualLayout>
      </c:layout>
      <c:overlay val="0"/>
      <c:spPr>
        <a:noFill/>
        <a:ln>
          <a:noFill/>
        </a:ln>
        <a:effectLst/>
      </c:spPr>
      <c:txPr>
        <a:bodyPr rot="0" spcFirstLastPara="1" vertOverflow="ellipsis" vert="horz" wrap="square" anchor="ctr" anchorCtr="1"/>
        <a:lstStyle/>
        <a:p>
          <a:pPr algn="l" rtl="0" eaLnBrk="1" fontAlgn="auto" hangingPunct="0">
            <a:spcBef>
              <a:spcPts val="0"/>
            </a:spcBef>
            <a:spcAft>
              <a:spcPts val="0"/>
            </a:spcAft>
            <a:defRPr lang="en-US" sz="1400" b="0" i="0" u="none" strike="noStrike" kern="1200" baseline="0">
              <a:solidFill>
                <a:prstClr val="black">
                  <a:lumMod val="50000"/>
                  <a:lumOff val="50000"/>
                </a:prstClr>
              </a:solidFill>
              <a:latin typeface="Rajdhani" pitchFamily="18"/>
              <a:ea typeface="Microsoft YaHei" pitchFamily="2"/>
              <a:cs typeface="Lucida Sans" pitchFamily="2"/>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2.9365480992705206E-2"/>
          <c:y val="6.9198826087300998E-3"/>
          <c:w val="0.9706345190072948"/>
          <c:h val="0.9928626483013886"/>
        </c:manualLayout>
      </c:layout>
      <c:barChart>
        <c:barDir val="bar"/>
        <c:grouping val="clustered"/>
        <c:varyColors val="0"/>
        <c:ser>
          <c:idx val="0"/>
          <c:order val="0"/>
          <c:spPr>
            <a:solidFill>
              <a:srgbClr val="52BE80"/>
            </a:solidFill>
            <a:ln>
              <a:noFill/>
            </a:ln>
            <a:effectLst/>
          </c:spPr>
          <c:invertIfNegative val="0"/>
          <c:dLbls>
            <c:dLbl>
              <c:idx val="5"/>
              <c:tx>
                <c:rich>
                  <a:bodyPr/>
                  <a:lstStyle/>
                  <a:p>
                    <a:r>
                      <a:rPr lang="en-US"/>
                      <a: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F43-49AF-973D-93DEF44F2B59}"/>
                </c:ext>
              </c:extLst>
            </c:dLbl>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Rajdhani" panose="02000000000000000000" pitchFamily="2" charset="0"/>
                    <a:ea typeface="Calibri" panose="020F0502020204030204" pitchFamily="34" charset="0"/>
                    <a:cs typeface="Rajdhani" panose="02000000000000000000" pitchFamily="2"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Comex!$BN$2:$CF$2</c:f>
              <c:strCache>
                <c:ptCount val="19"/>
                <c:pt idx="0">
                  <c:v>Algodón</c:v>
                </c:pt>
                <c:pt idx="1">
                  <c:v>Arroz</c:v>
                </c:pt>
                <c:pt idx="2">
                  <c:v>Granos</c:v>
                </c:pt>
                <c:pt idx="3">
                  <c:v>Mani</c:v>
                </c:pt>
                <c:pt idx="4">
                  <c:v>Papa</c:v>
                </c:pt>
                <c:pt idx="5">
                  <c:v>Mandioca</c:v>
                </c:pt>
                <c:pt idx="6">
                  <c:v>Hortalizas</c:v>
                </c:pt>
                <c:pt idx="7">
                  <c:v>Vitivinicola</c:v>
                </c:pt>
                <c:pt idx="8">
                  <c:v>Peras y Manzanas</c:v>
                </c:pt>
                <c:pt idx="9">
                  <c:v>Citricos Dulces</c:v>
                </c:pt>
                <c:pt idx="10">
                  <c:v>Forestal</c:v>
                </c:pt>
                <c:pt idx="11">
                  <c:v>Tabaco</c:v>
                </c:pt>
                <c:pt idx="12">
                  <c:v>Yerba Mate</c:v>
                </c:pt>
                <c:pt idx="13">
                  <c:v>Apícola</c:v>
                </c:pt>
                <c:pt idx="14">
                  <c:v>Aviar</c:v>
                </c:pt>
                <c:pt idx="15">
                  <c:v>Bovinos</c:v>
                </c:pt>
                <c:pt idx="16">
                  <c:v>Lechería</c:v>
                </c:pt>
                <c:pt idx="17">
                  <c:v>Ovinos</c:v>
                </c:pt>
                <c:pt idx="18">
                  <c:v>Porcinos</c:v>
                </c:pt>
              </c:strCache>
            </c:strRef>
          </c:cat>
          <c:val>
            <c:numRef>
              <c:f>Comex!$BN$17:$CF$17</c:f>
              <c:numCache>
                <c:formatCode>0%</c:formatCode>
                <c:ptCount val="19"/>
                <c:pt idx="0">
                  <c:v>0.44372785376878654</c:v>
                </c:pt>
                <c:pt idx="1">
                  <c:v>0.7082485780369312</c:v>
                </c:pt>
                <c:pt idx="2">
                  <c:v>0.33004555078102116</c:v>
                </c:pt>
                <c:pt idx="3">
                  <c:v>0.23924730391346194</c:v>
                </c:pt>
                <c:pt idx="4">
                  <c:v>0.46968487819749827</c:v>
                </c:pt>
                <c:pt idx="5">
                  <c:v>0</c:v>
                </c:pt>
                <c:pt idx="6">
                  <c:v>0.25399830306221838</c:v>
                </c:pt>
                <c:pt idx="7">
                  <c:v>-0.13536971002040588</c:v>
                </c:pt>
                <c:pt idx="8">
                  <c:v>4.1445109245164424E-2</c:v>
                </c:pt>
                <c:pt idx="9">
                  <c:v>0.26561029099023359</c:v>
                </c:pt>
                <c:pt idx="10">
                  <c:v>-9.7284542944043539E-2</c:v>
                </c:pt>
                <c:pt idx="11">
                  <c:v>0.63663291757129081</c:v>
                </c:pt>
                <c:pt idx="12">
                  <c:v>0.19250649552903321</c:v>
                </c:pt>
                <c:pt idx="13">
                  <c:v>0.65422110994933114</c:v>
                </c:pt>
                <c:pt idx="14">
                  <c:v>-0.72008994848316044</c:v>
                </c:pt>
                <c:pt idx="15">
                  <c:v>0.74449908906144757</c:v>
                </c:pt>
                <c:pt idx="16">
                  <c:v>0.56384791330065576</c:v>
                </c:pt>
                <c:pt idx="17">
                  <c:v>0.63902720558757964</c:v>
                </c:pt>
                <c:pt idx="18">
                  <c:v>0.22715357096751143</c:v>
                </c:pt>
              </c:numCache>
            </c:numRef>
          </c:val>
          <c:extLst>
            <c:ext xmlns:c16="http://schemas.microsoft.com/office/drawing/2014/chart" uri="{C3380CC4-5D6E-409C-BE32-E72D297353CC}">
              <c16:uniqueId val="{00000001-9F43-49AF-973D-93DEF44F2B59}"/>
            </c:ext>
          </c:extLst>
        </c:ser>
        <c:dLbls>
          <c:showLegendKey val="0"/>
          <c:showVal val="0"/>
          <c:showCatName val="0"/>
          <c:showSerName val="0"/>
          <c:showPercent val="0"/>
          <c:showBubbleSize val="0"/>
        </c:dLbls>
        <c:gapWidth val="100"/>
        <c:axId val="369974047"/>
        <c:axId val="369957727"/>
      </c:barChart>
      <c:catAx>
        <c:axId val="369974047"/>
        <c:scaling>
          <c:orientation val="minMax"/>
        </c:scaling>
        <c:delete val="1"/>
        <c:axPos val="l"/>
        <c:numFmt formatCode="General" sourceLinked="1"/>
        <c:majorTickMark val="none"/>
        <c:minorTickMark val="none"/>
        <c:tickLblPos val="low"/>
        <c:crossAx val="369957727"/>
        <c:crosses val="autoZero"/>
        <c:auto val="1"/>
        <c:lblAlgn val="ctr"/>
        <c:lblOffset val="100"/>
        <c:noMultiLvlLbl val="0"/>
      </c:catAx>
      <c:valAx>
        <c:axId val="369957727"/>
        <c:scaling>
          <c:orientation val="minMax"/>
          <c:max val="1.6500000000000001"/>
          <c:min val="-1"/>
        </c:scaling>
        <c:delete val="1"/>
        <c:axPos val="b"/>
        <c:numFmt formatCode="0%" sourceLinked="1"/>
        <c:majorTickMark val="out"/>
        <c:minorTickMark val="none"/>
        <c:tickLblPos val="nextTo"/>
        <c:crossAx val="36997404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800">
          <a:solidFill>
            <a:sysClr val="windowText" lastClr="000000"/>
          </a:solidFill>
          <a:latin typeface="Rajdhani" panose="02000000000000000000" pitchFamily="2" charset="0"/>
          <a:ea typeface="Calibri" panose="020F0502020204030204" pitchFamily="34" charset="0"/>
          <a:cs typeface="Rajdhani" panose="02000000000000000000" pitchFamily="2" charset="0"/>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647517508589639E-2"/>
          <c:y val="2.5109999746151358E-4"/>
          <c:w val="0.91499908679151232"/>
          <c:h val="0.99962957495545113"/>
        </c:manualLayout>
      </c:layout>
      <c:barChart>
        <c:barDir val="bar"/>
        <c:grouping val="clustered"/>
        <c:varyColors val="0"/>
        <c:ser>
          <c:idx val="0"/>
          <c:order val="0"/>
          <c:spPr>
            <a:solidFill>
              <a:srgbClr val="F1C40F"/>
            </a:solidFill>
            <a:ln>
              <a:noFill/>
            </a:ln>
            <a:effectLst/>
          </c:spPr>
          <c:invertIfNegative val="0"/>
          <c:dLbls>
            <c:spPr>
              <a:noFill/>
              <a:ln>
                <a:noFill/>
              </a:ln>
              <a:effectLst/>
            </c:spPr>
            <c:txPr>
              <a:bodyPr rot="0" spcFirstLastPara="1" vertOverflow="ellipsis" vert="horz" wrap="square" anchor="ctr" anchorCtr="0"/>
              <a:lstStyle/>
              <a:p>
                <a:pPr algn="ctr">
                  <a:defRPr lang="en-US" sz="1600" b="1" i="0" u="none" strike="noStrike" kern="1200" baseline="0">
                    <a:solidFill>
                      <a:schemeClr val="tx1">
                        <a:lumMod val="65000"/>
                        <a:lumOff val="35000"/>
                      </a:schemeClr>
                    </a:solidFill>
                    <a:latin typeface="Rajdhani" panose="02000000000000000000" pitchFamily="2" charset="0"/>
                    <a:ea typeface="Calibri" panose="020F0502020204030204" pitchFamily="34" charset="0"/>
                    <a:cs typeface="Rajdhani" panose="02000000000000000000" pitchFamily="2"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Comex!$CI$2:$DA$2</c:f>
              <c:strCache>
                <c:ptCount val="19"/>
                <c:pt idx="0">
                  <c:v>Algodón</c:v>
                </c:pt>
                <c:pt idx="1">
                  <c:v>Arroz</c:v>
                </c:pt>
                <c:pt idx="2">
                  <c:v>Granos</c:v>
                </c:pt>
                <c:pt idx="3">
                  <c:v>Mani</c:v>
                </c:pt>
                <c:pt idx="4">
                  <c:v>Papa</c:v>
                </c:pt>
                <c:pt idx="5">
                  <c:v>Mandioca</c:v>
                </c:pt>
                <c:pt idx="6">
                  <c:v>Hortalizas</c:v>
                </c:pt>
                <c:pt idx="7">
                  <c:v>Vitivinicola</c:v>
                </c:pt>
                <c:pt idx="8">
                  <c:v>Peras y Manzanas</c:v>
                </c:pt>
                <c:pt idx="9">
                  <c:v>Citricos Dulces</c:v>
                </c:pt>
                <c:pt idx="10">
                  <c:v>Forestal</c:v>
                </c:pt>
                <c:pt idx="11">
                  <c:v>Tabaco</c:v>
                </c:pt>
                <c:pt idx="12">
                  <c:v>Yerba Mate</c:v>
                </c:pt>
                <c:pt idx="13">
                  <c:v>Apícola</c:v>
                </c:pt>
                <c:pt idx="14">
                  <c:v>Aviar</c:v>
                </c:pt>
                <c:pt idx="15">
                  <c:v>Bovinos</c:v>
                </c:pt>
                <c:pt idx="16">
                  <c:v>Lechería</c:v>
                </c:pt>
                <c:pt idx="17">
                  <c:v>Ovinos</c:v>
                </c:pt>
                <c:pt idx="18">
                  <c:v>Porcinos</c:v>
                </c:pt>
              </c:strCache>
            </c:strRef>
          </c:cat>
          <c:val>
            <c:numRef>
              <c:f>Comex!$CI$17:$DA$17</c:f>
              <c:numCache>
                <c:formatCode>0%</c:formatCode>
                <c:ptCount val="19"/>
                <c:pt idx="0">
                  <c:v>-0.24143533851371979</c:v>
                </c:pt>
                <c:pt idx="1">
                  <c:v>-0.47075763261287351</c:v>
                </c:pt>
                <c:pt idx="2">
                  <c:v>0.54628389277126943</c:v>
                </c:pt>
                <c:pt idx="3">
                  <c:v>-0.12663324608253734</c:v>
                </c:pt>
                <c:pt idx="4">
                  <c:v>0.22180880446035012</c:v>
                </c:pt>
                <c:pt idx="5">
                  <c:v>1.2093676591810789</c:v>
                </c:pt>
                <c:pt idx="6">
                  <c:v>-0.28940084713894143</c:v>
                </c:pt>
                <c:pt idx="7">
                  <c:v>0.84589119523266731</c:v>
                </c:pt>
                <c:pt idx="8">
                  <c:v>0.19833058656022384</c:v>
                </c:pt>
                <c:pt idx="9">
                  <c:v>-0.17358565816127536</c:v>
                </c:pt>
                <c:pt idx="10">
                  <c:v>-0.14881283958121294</c:v>
                </c:pt>
                <c:pt idx="11">
                  <c:v>6.100666234025498E-3</c:v>
                </c:pt>
                <c:pt idx="12">
                  <c:v>0.2417705749785517</c:v>
                </c:pt>
                <c:pt idx="13">
                  <c:v>-0.92141547463576068</c:v>
                </c:pt>
                <c:pt idx="14">
                  <c:v>0.21615787754646787</c:v>
                </c:pt>
                <c:pt idx="15">
                  <c:v>2.0064576272187469</c:v>
                </c:pt>
                <c:pt idx="16">
                  <c:v>0.36177526427657014</c:v>
                </c:pt>
                <c:pt idx="17">
                  <c:v>-0.258815576304261</c:v>
                </c:pt>
                <c:pt idx="18">
                  <c:v>0.96417166879750371</c:v>
                </c:pt>
              </c:numCache>
            </c:numRef>
          </c:val>
          <c:extLst>
            <c:ext xmlns:c16="http://schemas.microsoft.com/office/drawing/2014/chart" uri="{C3380CC4-5D6E-409C-BE32-E72D297353CC}">
              <c16:uniqueId val="{00000000-FC97-46C1-9B57-FEC1FA1A0B15}"/>
            </c:ext>
          </c:extLst>
        </c:ser>
        <c:dLbls>
          <c:showLegendKey val="0"/>
          <c:showVal val="0"/>
          <c:showCatName val="0"/>
          <c:showSerName val="0"/>
          <c:showPercent val="0"/>
          <c:showBubbleSize val="0"/>
        </c:dLbls>
        <c:gapWidth val="100"/>
        <c:axId val="369984607"/>
        <c:axId val="369999487"/>
      </c:barChart>
      <c:catAx>
        <c:axId val="369984607"/>
        <c:scaling>
          <c:orientation val="minMax"/>
        </c:scaling>
        <c:delete val="1"/>
        <c:axPos val="l"/>
        <c:numFmt formatCode="General" sourceLinked="1"/>
        <c:majorTickMark val="none"/>
        <c:minorTickMark val="none"/>
        <c:tickLblPos val="low"/>
        <c:crossAx val="369999487"/>
        <c:crosses val="autoZero"/>
        <c:auto val="1"/>
        <c:lblAlgn val="ctr"/>
        <c:lblOffset val="100"/>
        <c:noMultiLvlLbl val="0"/>
      </c:catAx>
      <c:valAx>
        <c:axId val="369999487"/>
        <c:scaling>
          <c:orientation val="minMax"/>
        </c:scaling>
        <c:delete val="1"/>
        <c:axPos val="b"/>
        <c:numFmt formatCode="0%" sourceLinked="1"/>
        <c:majorTickMark val="none"/>
        <c:minorTickMark val="none"/>
        <c:tickLblPos val="nextTo"/>
        <c:crossAx val="36998460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238186657763189"/>
          <c:y val="0.1097330698035215"/>
          <c:w val="0.58112554835239238"/>
          <c:h val="0.66582400884100013"/>
        </c:manualLayout>
      </c:layout>
      <c:doughnutChart>
        <c:varyColors val="1"/>
        <c:ser>
          <c:idx val="0"/>
          <c:order val="0"/>
          <c:spPr>
            <a:solidFill>
              <a:schemeClr val="bg1">
                <a:lumMod val="85000"/>
              </a:schemeClr>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0DDA-473F-8F9D-5D4BE01C82C6}"/>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DDA-473F-8F9D-5D4BE01C82C6}"/>
              </c:ext>
            </c:extLst>
          </c:dPt>
          <c:dLbls>
            <c:dLbl>
              <c:idx val="1"/>
              <c:delete val="1"/>
              <c:extLst>
                <c:ext xmlns:c15="http://schemas.microsoft.com/office/drawing/2012/chart" uri="{CE6537A1-D6FC-4f65-9D91-7224C49458BB}"/>
                <c:ext xmlns:c16="http://schemas.microsoft.com/office/drawing/2014/chart" uri="{C3380CC4-5D6E-409C-BE32-E72D297353CC}">
                  <c16:uniqueId val="{00000003-0DDA-473F-8F9D-5D4BE01C82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E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PP!$AN$159:$AO$159</c:f>
              <c:numCache>
                <c:formatCode>0%</c:formatCode>
                <c:ptCount val="2"/>
              </c:numCache>
            </c:numRef>
          </c:val>
          <c:extLst>
            <c:ext xmlns:c16="http://schemas.microsoft.com/office/drawing/2014/chart" uri="{C3380CC4-5D6E-409C-BE32-E72D297353CC}">
              <c16:uniqueId val="{00000004-0DDA-473F-8F9D-5D4BE01C82C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PP!$AY$144</c:f>
              <c:strCache>
                <c:ptCount val="1"/>
                <c:pt idx="0">
                  <c:v>Leche</c:v>
                </c:pt>
              </c:strCache>
            </c:strRef>
          </c:tx>
          <c:spPr>
            <a:solidFill>
              <a:srgbClr val="EC268F"/>
            </a:solidFill>
          </c:spPr>
          <c:dPt>
            <c:idx val="0"/>
            <c:bubble3D val="0"/>
            <c:spPr>
              <a:solidFill>
                <a:srgbClr val="0098DA"/>
              </a:solidFill>
              <a:ln w="19050">
                <a:solidFill>
                  <a:schemeClr val="lt1"/>
                </a:solidFill>
              </a:ln>
              <a:effectLst/>
            </c:spPr>
            <c:extLst>
              <c:ext xmlns:c16="http://schemas.microsoft.com/office/drawing/2014/chart" uri="{C3380CC4-5D6E-409C-BE32-E72D297353CC}">
                <c16:uniqueId val="{00000001-DC39-4102-ADF9-38FEE842EE30}"/>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DC39-4102-ADF9-38FEE842EE30}"/>
              </c:ext>
            </c:extLst>
          </c:dPt>
          <c:val>
            <c:numRef>
              <c:f>PP!$AZ$144:$BA$144</c:f>
              <c:numCache>
                <c:formatCode>0%</c:formatCode>
                <c:ptCount val="2"/>
                <c:pt idx="0">
                  <c:v>0.23177903726741866</c:v>
                </c:pt>
                <c:pt idx="1">
                  <c:v>0.76822096273258134</c:v>
                </c:pt>
              </c:numCache>
            </c:numRef>
          </c:val>
          <c:extLst>
            <c:ext xmlns:c16="http://schemas.microsoft.com/office/drawing/2014/chart" uri="{C3380CC4-5D6E-409C-BE32-E72D297353CC}">
              <c16:uniqueId val="{00000004-DC39-4102-ADF9-38FEE842EE3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91D8F7"/>
              </a:solidFill>
              <a:ln w="19050">
                <a:solidFill>
                  <a:schemeClr val="lt1"/>
                </a:solidFill>
              </a:ln>
              <a:effectLst/>
            </c:spPr>
            <c:extLst>
              <c:ext xmlns:c16="http://schemas.microsoft.com/office/drawing/2014/chart" uri="{C3380CC4-5D6E-409C-BE32-E72D297353CC}">
                <c16:uniqueId val="{00000001-1807-4F15-AE2F-C815B55E2F2D}"/>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1807-4F15-AE2F-C815B55E2F2D}"/>
              </c:ext>
            </c:extLst>
          </c:dPt>
          <c:val>
            <c:numRef>
              <c:f>PP!$BB$144:$BC$144</c:f>
              <c:numCache>
                <c:formatCode>0%</c:formatCode>
                <c:ptCount val="2"/>
                <c:pt idx="0">
                  <c:v>0.27798098747949279</c:v>
                </c:pt>
                <c:pt idx="1">
                  <c:v>0.72201901252050726</c:v>
                </c:pt>
              </c:numCache>
            </c:numRef>
          </c:val>
          <c:extLst>
            <c:ext xmlns:c16="http://schemas.microsoft.com/office/drawing/2014/chart" uri="{C3380CC4-5D6E-409C-BE32-E72D297353CC}">
              <c16:uniqueId val="{00000004-1807-4F15-AE2F-C815B55E2F2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PP!$AY$142</c:f>
              <c:strCache>
                <c:ptCount val="1"/>
                <c:pt idx="0">
                  <c:v>Ovino</c:v>
                </c:pt>
              </c:strCache>
            </c:strRef>
          </c:tx>
          <c:spPr>
            <a:solidFill>
              <a:srgbClr val="EC268F"/>
            </a:solidFill>
          </c:spPr>
          <c:dPt>
            <c:idx val="0"/>
            <c:bubble3D val="0"/>
            <c:spPr>
              <a:solidFill>
                <a:srgbClr val="A98F71"/>
              </a:solidFill>
              <a:ln w="19050">
                <a:solidFill>
                  <a:schemeClr val="lt1"/>
                </a:solidFill>
              </a:ln>
              <a:effectLst/>
            </c:spPr>
            <c:extLst>
              <c:ext xmlns:c16="http://schemas.microsoft.com/office/drawing/2014/chart" uri="{C3380CC4-5D6E-409C-BE32-E72D297353CC}">
                <c16:uniqueId val="{00000001-CBD9-4CFD-9782-9C63382DDC0C}"/>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CBD9-4CFD-9782-9C63382DDC0C}"/>
              </c:ext>
            </c:extLst>
          </c:dPt>
          <c:val>
            <c:numRef>
              <c:f>PP!$AZ$142:$BA$142</c:f>
              <c:numCache>
                <c:formatCode>0%</c:formatCode>
                <c:ptCount val="2"/>
                <c:pt idx="0">
                  <c:v>0.20093808630393997</c:v>
                </c:pt>
                <c:pt idx="1">
                  <c:v>0.79906191369606006</c:v>
                </c:pt>
              </c:numCache>
            </c:numRef>
          </c:val>
          <c:extLst>
            <c:ext xmlns:c16="http://schemas.microsoft.com/office/drawing/2014/chart" uri="{C3380CC4-5D6E-409C-BE32-E72D297353CC}">
              <c16:uniqueId val="{00000004-CBD9-4CFD-9782-9C63382DDC0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D0AB68"/>
              </a:solidFill>
              <a:ln w="19050">
                <a:solidFill>
                  <a:schemeClr val="lt1"/>
                </a:solidFill>
              </a:ln>
              <a:effectLst/>
            </c:spPr>
            <c:extLst>
              <c:ext xmlns:c16="http://schemas.microsoft.com/office/drawing/2014/chart" uri="{C3380CC4-5D6E-409C-BE32-E72D297353CC}">
                <c16:uniqueId val="{00000001-1155-451E-8B4A-0845D23BDA9A}"/>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1155-451E-8B4A-0845D23BDA9A}"/>
              </c:ext>
            </c:extLst>
          </c:dPt>
          <c:val>
            <c:numRef>
              <c:f>PP!$BB$142:$BC$142</c:f>
              <c:numCache>
                <c:formatCode>0%</c:formatCode>
                <c:ptCount val="2"/>
                <c:pt idx="0">
                  <c:v>0.19035281140380561</c:v>
                </c:pt>
                <c:pt idx="1">
                  <c:v>0.80964718859619444</c:v>
                </c:pt>
              </c:numCache>
            </c:numRef>
          </c:val>
          <c:extLst>
            <c:ext xmlns:c16="http://schemas.microsoft.com/office/drawing/2014/chart" uri="{C3380CC4-5D6E-409C-BE32-E72D297353CC}">
              <c16:uniqueId val="{00000004-1155-451E-8B4A-0845D23BDA9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PP!$AY$139</c:f>
              <c:strCache>
                <c:ptCount val="1"/>
                <c:pt idx="0">
                  <c:v>Bovino</c:v>
                </c:pt>
              </c:strCache>
            </c:strRef>
          </c:tx>
          <c:spPr>
            <a:solidFill>
              <a:srgbClr val="EC268F"/>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5400-4F4C-807D-37023C5C3E42}"/>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5400-4F4C-807D-37023C5C3E42}"/>
              </c:ext>
            </c:extLst>
          </c:dPt>
          <c:val>
            <c:numRef>
              <c:f>PP!$AZ$139:$BA$139</c:f>
              <c:numCache>
                <c:formatCode>0%</c:formatCode>
                <c:ptCount val="2"/>
                <c:pt idx="0">
                  <c:v>0.59978537461773085</c:v>
                </c:pt>
                <c:pt idx="1">
                  <c:v>0.40021462538226915</c:v>
                </c:pt>
              </c:numCache>
            </c:numRef>
          </c:val>
          <c:extLst>
            <c:ext xmlns:c16="http://schemas.microsoft.com/office/drawing/2014/chart" uri="{C3380CC4-5D6E-409C-BE32-E72D297353CC}">
              <c16:uniqueId val="{00000004-5400-4F4C-807D-37023C5C3E4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FF4343"/>
              </a:solidFill>
              <a:ln w="19050">
                <a:solidFill>
                  <a:schemeClr val="lt1"/>
                </a:solidFill>
              </a:ln>
              <a:effectLst/>
            </c:spPr>
            <c:extLst>
              <c:ext xmlns:c16="http://schemas.microsoft.com/office/drawing/2014/chart" uri="{C3380CC4-5D6E-409C-BE32-E72D297353CC}">
                <c16:uniqueId val="{00000001-052C-456A-AA34-0C1878817BDF}"/>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052C-456A-AA34-0C1878817BDF}"/>
              </c:ext>
            </c:extLst>
          </c:dPt>
          <c:val>
            <c:numRef>
              <c:f>PP!$BB$139:$BC$139</c:f>
              <c:numCache>
                <c:formatCode>0%</c:formatCode>
                <c:ptCount val="2"/>
                <c:pt idx="0">
                  <c:v>0.64374256850665867</c:v>
                </c:pt>
                <c:pt idx="1">
                  <c:v>0.35625743149334133</c:v>
                </c:pt>
              </c:numCache>
            </c:numRef>
          </c:val>
          <c:extLst>
            <c:ext xmlns:c16="http://schemas.microsoft.com/office/drawing/2014/chart" uri="{C3380CC4-5D6E-409C-BE32-E72D297353CC}">
              <c16:uniqueId val="{00000004-052C-456A-AA34-0C1878817BD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PP!$AY$141</c:f>
              <c:strCache>
                <c:ptCount val="1"/>
                <c:pt idx="0">
                  <c:v>Aviar</c:v>
                </c:pt>
              </c:strCache>
            </c:strRef>
          </c:tx>
          <c:spPr>
            <a:solidFill>
              <a:srgbClr val="EC268F"/>
            </a:solidFill>
          </c:spPr>
          <c:dPt>
            <c:idx val="0"/>
            <c:bubble3D val="0"/>
            <c:spPr>
              <a:solidFill>
                <a:srgbClr val="EC268F"/>
              </a:solidFill>
              <a:ln w="19050">
                <a:solidFill>
                  <a:schemeClr val="lt1"/>
                </a:solidFill>
              </a:ln>
              <a:effectLst/>
            </c:spPr>
            <c:extLst>
              <c:ext xmlns:c16="http://schemas.microsoft.com/office/drawing/2014/chart" uri="{C3380CC4-5D6E-409C-BE32-E72D297353CC}">
                <c16:uniqueId val="{00000001-B6B9-4CC2-9E13-8C0AF7DA5E10}"/>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B6B9-4CC2-9E13-8C0AF7DA5E10}"/>
              </c:ext>
            </c:extLst>
          </c:dPt>
          <c:val>
            <c:numRef>
              <c:f>PP!$AZ$141:$BA$141</c:f>
              <c:numCache>
                <c:formatCode>0%</c:formatCode>
                <c:ptCount val="2"/>
                <c:pt idx="0">
                  <c:v>0.39093402917168468</c:v>
                </c:pt>
                <c:pt idx="1">
                  <c:v>0.60906597082831526</c:v>
                </c:pt>
              </c:numCache>
            </c:numRef>
          </c:val>
          <c:extLst>
            <c:ext xmlns:c16="http://schemas.microsoft.com/office/drawing/2014/chart" uri="{C3380CC4-5D6E-409C-BE32-E72D297353CC}">
              <c16:uniqueId val="{00000004-B6B9-4CC2-9E13-8C0AF7DA5E1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F7ADAF"/>
              </a:solidFill>
              <a:ln w="19050">
                <a:solidFill>
                  <a:schemeClr val="lt1"/>
                </a:solidFill>
              </a:ln>
              <a:effectLst/>
            </c:spPr>
            <c:extLst>
              <c:ext xmlns:c16="http://schemas.microsoft.com/office/drawing/2014/chart" uri="{C3380CC4-5D6E-409C-BE32-E72D297353CC}">
                <c16:uniqueId val="{00000001-E18C-42A7-A649-34F740F11D53}"/>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E18C-42A7-A649-34F740F11D53}"/>
              </c:ext>
            </c:extLst>
          </c:dPt>
          <c:val>
            <c:numRef>
              <c:f>PP!$BB$141:$BC$141</c:f>
              <c:numCache>
                <c:formatCode>0%</c:formatCode>
                <c:ptCount val="2"/>
                <c:pt idx="0">
                  <c:v>0.50114372262340645</c:v>
                </c:pt>
                <c:pt idx="1">
                  <c:v>0.49885627737659355</c:v>
                </c:pt>
              </c:numCache>
            </c:numRef>
          </c:val>
          <c:extLst>
            <c:ext xmlns:c16="http://schemas.microsoft.com/office/drawing/2014/chart" uri="{C3380CC4-5D6E-409C-BE32-E72D297353CC}">
              <c16:uniqueId val="{00000004-E18C-42A7-A649-34F740F11D5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PP!$AY$140</c:f>
              <c:strCache>
                <c:ptCount val="1"/>
                <c:pt idx="0">
                  <c:v>Porcino</c:v>
                </c:pt>
              </c:strCache>
            </c:strRef>
          </c:tx>
          <c:spPr>
            <a:solidFill>
              <a:srgbClr val="EC268F"/>
            </a:solidFill>
          </c:spPr>
          <c:dPt>
            <c:idx val="0"/>
            <c:bubble3D val="0"/>
            <c:spPr>
              <a:solidFill>
                <a:srgbClr val="F58634"/>
              </a:solidFill>
              <a:ln w="19050">
                <a:solidFill>
                  <a:schemeClr val="lt1"/>
                </a:solidFill>
              </a:ln>
              <a:effectLst/>
            </c:spPr>
            <c:extLst>
              <c:ext xmlns:c16="http://schemas.microsoft.com/office/drawing/2014/chart" uri="{C3380CC4-5D6E-409C-BE32-E72D297353CC}">
                <c16:uniqueId val="{00000001-3A5A-457C-87EA-37CF13294404}"/>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3A5A-457C-87EA-37CF13294404}"/>
              </c:ext>
            </c:extLst>
          </c:dPt>
          <c:val>
            <c:numRef>
              <c:f>PP!$AZ$140:$BA$140</c:f>
              <c:numCache>
                <c:formatCode>0%</c:formatCode>
                <c:ptCount val="2"/>
                <c:pt idx="0">
                  <c:v>0.37509017962308594</c:v>
                </c:pt>
                <c:pt idx="1">
                  <c:v>0.62490982037691412</c:v>
                </c:pt>
              </c:numCache>
            </c:numRef>
          </c:val>
          <c:extLst>
            <c:ext xmlns:c16="http://schemas.microsoft.com/office/drawing/2014/chart" uri="{C3380CC4-5D6E-409C-BE32-E72D297353CC}">
              <c16:uniqueId val="{00000004-3A5A-457C-87EA-37CF1329440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FACD8E"/>
              </a:solidFill>
              <a:ln w="19050">
                <a:solidFill>
                  <a:schemeClr val="lt1"/>
                </a:solidFill>
              </a:ln>
              <a:effectLst/>
            </c:spPr>
            <c:extLst>
              <c:ext xmlns:c16="http://schemas.microsoft.com/office/drawing/2014/chart" uri="{C3380CC4-5D6E-409C-BE32-E72D297353CC}">
                <c16:uniqueId val="{00000001-86EC-4299-87A6-B257A4B845FA}"/>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86EC-4299-87A6-B257A4B845FA}"/>
              </c:ext>
            </c:extLst>
          </c:dPt>
          <c:val>
            <c:numRef>
              <c:f>PP!$BB$140:$BC$140</c:f>
              <c:numCache>
                <c:formatCode>0%</c:formatCode>
                <c:ptCount val="2"/>
                <c:pt idx="0">
                  <c:v>0.38494370091940877</c:v>
                </c:pt>
                <c:pt idx="1">
                  <c:v>0.61505629908059123</c:v>
                </c:pt>
              </c:numCache>
            </c:numRef>
          </c:val>
          <c:extLst>
            <c:ext xmlns:c16="http://schemas.microsoft.com/office/drawing/2014/chart" uri="{C3380CC4-5D6E-409C-BE32-E72D297353CC}">
              <c16:uniqueId val="{00000004-86EC-4299-87A6-B257A4B845F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PP!$AY$138</c:f>
              <c:strCache>
                <c:ptCount val="1"/>
                <c:pt idx="0">
                  <c:v>Trigo</c:v>
                </c:pt>
              </c:strCache>
            </c:strRef>
          </c:tx>
          <c:spPr>
            <a:solidFill>
              <a:srgbClr val="EC268F"/>
            </a:solidFill>
          </c:spPr>
          <c:dPt>
            <c:idx val="0"/>
            <c:bubble3D val="0"/>
            <c:spPr>
              <a:solidFill>
                <a:srgbClr val="858474"/>
              </a:solidFill>
              <a:ln w="19050">
                <a:solidFill>
                  <a:schemeClr val="lt1"/>
                </a:solidFill>
              </a:ln>
              <a:effectLst/>
            </c:spPr>
            <c:extLst>
              <c:ext xmlns:c16="http://schemas.microsoft.com/office/drawing/2014/chart" uri="{C3380CC4-5D6E-409C-BE32-E72D297353CC}">
                <c16:uniqueId val="{00000001-EAFE-4B22-B16D-610DA92CAADB}"/>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EAFE-4B22-B16D-610DA92CAADB}"/>
              </c:ext>
            </c:extLst>
          </c:dPt>
          <c:val>
            <c:numRef>
              <c:f>PP!$AZ$138:$BA$138</c:f>
              <c:numCache>
                <c:formatCode>0%</c:formatCode>
                <c:ptCount val="2"/>
                <c:pt idx="0">
                  <c:v>8.4747699611179783E-2</c:v>
                </c:pt>
                <c:pt idx="1">
                  <c:v>0.91525230038882022</c:v>
                </c:pt>
              </c:numCache>
            </c:numRef>
          </c:val>
          <c:extLst>
            <c:ext xmlns:c16="http://schemas.microsoft.com/office/drawing/2014/chart" uri="{C3380CC4-5D6E-409C-BE32-E72D297353CC}">
              <c16:uniqueId val="{00000004-EAFE-4B22-B16D-610DA92CAA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ACA77B"/>
              </a:solidFill>
              <a:ln w="19050">
                <a:solidFill>
                  <a:schemeClr val="lt1"/>
                </a:solidFill>
              </a:ln>
              <a:effectLst/>
            </c:spPr>
            <c:extLst>
              <c:ext xmlns:c16="http://schemas.microsoft.com/office/drawing/2014/chart" uri="{C3380CC4-5D6E-409C-BE32-E72D297353CC}">
                <c16:uniqueId val="{00000001-974C-4826-8410-D813279819F4}"/>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974C-4826-8410-D813279819F4}"/>
              </c:ext>
            </c:extLst>
          </c:dPt>
          <c:val>
            <c:numRef>
              <c:f>PP!$BB$138:$BC$138</c:f>
              <c:numCache>
                <c:formatCode>0%</c:formatCode>
                <c:ptCount val="2"/>
                <c:pt idx="0">
                  <c:v>0.12120316635554837</c:v>
                </c:pt>
                <c:pt idx="1">
                  <c:v>0.8787968336444516</c:v>
                </c:pt>
              </c:numCache>
            </c:numRef>
          </c:val>
          <c:extLst>
            <c:ext xmlns:c16="http://schemas.microsoft.com/office/drawing/2014/chart" uri="{C3380CC4-5D6E-409C-BE32-E72D297353CC}">
              <c16:uniqueId val="{00000004-974C-4826-8410-D813279819F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PP!$AY$146</c:f>
              <c:strCache>
                <c:ptCount val="1"/>
                <c:pt idx="0">
                  <c:v>Hortalizas</c:v>
                </c:pt>
              </c:strCache>
            </c:strRef>
          </c:tx>
          <c:spPr>
            <a:solidFill>
              <a:srgbClr val="EC268F"/>
            </a:solidFill>
          </c:spPr>
          <c:dPt>
            <c:idx val="0"/>
            <c:bubble3D val="0"/>
            <c:spPr>
              <a:solidFill>
                <a:srgbClr val="ED2F59"/>
              </a:solidFill>
              <a:ln w="19050">
                <a:solidFill>
                  <a:schemeClr val="lt1"/>
                </a:solidFill>
              </a:ln>
              <a:effectLst/>
            </c:spPr>
            <c:extLst>
              <c:ext xmlns:c16="http://schemas.microsoft.com/office/drawing/2014/chart" uri="{C3380CC4-5D6E-409C-BE32-E72D297353CC}">
                <c16:uniqueId val="{00000001-C0A4-4007-8676-7B0803A9C9DC}"/>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C0A4-4007-8676-7B0803A9C9DC}"/>
              </c:ext>
            </c:extLst>
          </c:dPt>
          <c:val>
            <c:numRef>
              <c:f>PP!$AZ$146:$BA$146</c:f>
              <c:numCache>
                <c:formatCode>0%</c:formatCode>
                <c:ptCount val="2"/>
                <c:pt idx="0">
                  <c:v>0.41341951827626544</c:v>
                </c:pt>
                <c:pt idx="1">
                  <c:v>0.58658048172373456</c:v>
                </c:pt>
              </c:numCache>
            </c:numRef>
          </c:val>
          <c:extLst>
            <c:ext xmlns:c16="http://schemas.microsoft.com/office/drawing/2014/chart" uri="{C3380CC4-5D6E-409C-BE32-E72D297353CC}">
              <c16:uniqueId val="{00000004-C0A4-4007-8676-7B0803A9C9D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F8AC92"/>
              </a:solidFill>
              <a:ln w="19050">
                <a:solidFill>
                  <a:schemeClr val="lt1"/>
                </a:solidFill>
              </a:ln>
              <a:effectLst/>
            </c:spPr>
            <c:extLst>
              <c:ext xmlns:c16="http://schemas.microsoft.com/office/drawing/2014/chart" uri="{C3380CC4-5D6E-409C-BE32-E72D297353CC}">
                <c16:uniqueId val="{00000001-B212-45DA-9EDA-3757B806978D}"/>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B212-45DA-9EDA-3757B806978D}"/>
              </c:ext>
            </c:extLst>
          </c:dPt>
          <c:val>
            <c:numRef>
              <c:f>PP!$BB$146:$BC$146</c:f>
              <c:numCache>
                <c:formatCode>0%</c:formatCode>
                <c:ptCount val="2"/>
                <c:pt idx="0">
                  <c:v>0.350359195658898</c:v>
                </c:pt>
                <c:pt idx="1">
                  <c:v>0.64964080434110194</c:v>
                </c:pt>
              </c:numCache>
            </c:numRef>
          </c:val>
          <c:extLst>
            <c:ext xmlns:c16="http://schemas.microsoft.com/office/drawing/2014/chart" uri="{C3380CC4-5D6E-409C-BE32-E72D297353CC}">
              <c16:uniqueId val="{00000004-B212-45DA-9EDA-3757B806978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PP!$AY$145</c:f>
              <c:strCache>
                <c:ptCount val="1"/>
                <c:pt idx="0">
                  <c:v>Papa</c:v>
                </c:pt>
              </c:strCache>
            </c:strRef>
          </c:tx>
          <c:spPr>
            <a:solidFill>
              <a:srgbClr val="EC268F"/>
            </a:solidFill>
          </c:spPr>
          <c:dPt>
            <c:idx val="0"/>
            <c:bubble3D val="0"/>
            <c:spPr>
              <a:solidFill>
                <a:srgbClr val="8C9C7B"/>
              </a:solidFill>
              <a:ln w="19050">
                <a:solidFill>
                  <a:schemeClr val="lt1"/>
                </a:solidFill>
              </a:ln>
              <a:effectLst/>
            </c:spPr>
            <c:extLst>
              <c:ext xmlns:c16="http://schemas.microsoft.com/office/drawing/2014/chart" uri="{C3380CC4-5D6E-409C-BE32-E72D297353CC}">
                <c16:uniqueId val="{00000001-D961-4C07-B586-BD993CFD9F0C}"/>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D961-4C07-B586-BD993CFD9F0C}"/>
              </c:ext>
            </c:extLst>
          </c:dPt>
          <c:val>
            <c:numRef>
              <c:f>PP!$AZ$145:$BA$145</c:f>
              <c:numCache>
                <c:formatCode>0%</c:formatCode>
                <c:ptCount val="2"/>
                <c:pt idx="0">
                  <c:v>0.40923989729933863</c:v>
                </c:pt>
                <c:pt idx="1">
                  <c:v>0.59076010270066137</c:v>
                </c:pt>
              </c:numCache>
            </c:numRef>
          </c:val>
          <c:extLst>
            <c:ext xmlns:c16="http://schemas.microsoft.com/office/drawing/2014/chart" uri="{C3380CC4-5D6E-409C-BE32-E72D297353CC}">
              <c16:uniqueId val="{00000004-D961-4C07-B586-BD993CFD9F0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AFBD77"/>
              </a:solidFill>
              <a:ln w="19050">
                <a:solidFill>
                  <a:schemeClr val="lt1"/>
                </a:solidFill>
              </a:ln>
              <a:effectLst/>
            </c:spPr>
            <c:extLst>
              <c:ext xmlns:c16="http://schemas.microsoft.com/office/drawing/2014/chart" uri="{C3380CC4-5D6E-409C-BE32-E72D297353CC}">
                <c16:uniqueId val="{00000001-DD19-4DE1-8F63-BF914C64FF92}"/>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DD19-4DE1-8F63-BF914C64FF92}"/>
              </c:ext>
            </c:extLst>
          </c:dPt>
          <c:val>
            <c:numRef>
              <c:f>PP!$BB$145:$BC$145</c:f>
              <c:numCache>
                <c:formatCode>0%</c:formatCode>
                <c:ptCount val="2"/>
                <c:pt idx="0">
                  <c:v>0.37216221128627452</c:v>
                </c:pt>
                <c:pt idx="1">
                  <c:v>0.62783778871372542</c:v>
                </c:pt>
              </c:numCache>
            </c:numRef>
          </c:val>
          <c:extLst>
            <c:ext xmlns:c16="http://schemas.microsoft.com/office/drawing/2014/chart" uri="{C3380CC4-5D6E-409C-BE32-E72D297353CC}">
              <c16:uniqueId val="{00000004-DD19-4DE1-8F63-BF914C64FF9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PP!$AY$136</c:f>
              <c:strCache>
                <c:ptCount val="1"/>
                <c:pt idx="0">
                  <c:v>Arroz</c:v>
                </c:pt>
              </c:strCache>
            </c:strRef>
          </c:tx>
          <c:spPr>
            <a:solidFill>
              <a:srgbClr val="EC268F"/>
            </a:solidFill>
          </c:spPr>
          <c:dPt>
            <c:idx val="0"/>
            <c:bubble3D val="0"/>
            <c:spPr>
              <a:solidFill>
                <a:srgbClr val="FF6600"/>
              </a:solidFill>
              <a:ln w="19050">
                <a:solidFill>
                  <a:schemeClr val="lt1"/>
                </a:solidFill>
              </a:ln>
              <a:effectLst/>
            </c:spPr>
            <c:extLst>
              <c:ext xmlns:c16="http://schemas.microsoft.com/office/drawing/2014/chart" uri="{C3380CC4-5D6E-409C-BE32-E72D297353CC}">
                <c16:uniqueId val="{00000001-2B0F-4B13-9C11-B94A53C4AF07}"/>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2B0F-4B13-9C11-B94A53C4AF07}"/>
              </c:ext>
            </c:extLst>
          </c:dPt>
          <c:val>
            <c:numRef>
              <c:f>PP!$AZ$136:$BA$136</c:f>
              <c:numCache>
                <c:formatCode>0%</c:formatCode>
                <c:ptCount val="2"/>
                <c:pt idx="0">
                  <c:v>0.15226411297997183</c:v>
                </c:pt>
                <c:pt idx="1">
                  <c:v>0.84773588702002822</c:v>
                </c:pt>
              </c:numCache>
            </c:numRef>
          </c:val>
          <c:extLst>
            <c:ext xmlns:c16="http://schemas.microsoft.com/office/drawing/2014/chart" uri="{C3380CC4-5D6E-409C-BE32-E72D297353CC}">
              <c16:uniqueId val="{00000004-2B0F-4B13-9C11-B94A53C4AF0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F79443"/>
              </a:solidFill>
              <a:ln w="19050">
                <a:solidFill>
                  <a:schemeClr val="lt1"/>
                </a:solidFill>
              </a:ln>
              <a:effectLst/>
            </c:spPr>
            <c:extLst>
              <c:ext xmlns:c16="http://schemas.microsoft.com/office/drawing/2014/chart" uri="{C3380CC4-5D6E-409C-BE32-E72D297353CC}">
                <c16:uniqueId val="{00000001-6A28-4A91-AE22-6E05728489A8}"/>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6A28-4A91-AE22-6E05728489A8}"/>
              </c:ext>
            </c:extLst>
          </c:dPt>
          <c:val>
            <c:numRef>
              <c:f>PP!$BB$136:$BC$136</c:f>
              <c:numCache>
                <c:formatCode>0%</c:formatCode>
                <c:ptCount val="2"/>
                <c:pt idx="0">
                  <c:v>0.2000745982523881</c:v>
                </c:pt>
                <c:pt idx="1">
                  <c:v>0.79992540174761184</c:v>
                </c:pt>
              </c:numCache>
            </c:numRef>
          </c:val>
          <c:extLst>
            <c:ext xmlns:c16="http://schemas.microsoft.com/office/drawing/2014/chart" uri="{C3380CC4-5D6E-409C-BE32-E72D297353CC}">
              <c16:uniqueId val="{00000004-6A28-4A91-AE22-6E05728489A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PP!$AY$137</c:f>
              <c:strCache>
                <c:ptCount val="1"/>
                <c:pt idx="0">
                  <c:v>Vino</c:v>
                </c:pt>
              </c:strCache>
            </c:strRef>
          </c:tx>
          <c:spPr>
            <a:solidFill>
              <a:srgbClr val="EC268F"/>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06EA-458E-906B-273BF19C6A4E}"/>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06EA-458E-906B-273BF19C6A4E}"/>
              </c:ext>
            </c:extLst>
          </c:dPt>
          <c:val>
            <c:numRef>
              <c:f>PP!$AZ$137:$BA$137</c:f>
              <c:numCache>
                <c:formatCode>0%</c:formatCode>
                <c:ptCount val="2"/>
                <c:pt idx="0">
                  <c:v>0.17060970373550882</c:v>
                </c:pt>
                <c:pt idx="1">
                  <c:v>0.82939029626449123</c:v>
                </c:pt>
              </c:numCache>
            </c:numRef>
          </c:val>
          <c:extLst>
            <c:ext xmlns:c16="http://schemas.microsoft.com/office/drawing/2014/chart" uri="{C3380CC4-5D6E-409C-BE32-E72D297353CC}">
              <c16:uniqueId val="{00000004-06EA-458E-906B-273BF19C6A4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A568D2"/>
              </a:solidFill>
              <a:ln w="19050">
                <a:solidFill>
                  <a:schemeClr val="lt1"/>
                </a:solidFill>
              </a:ln>
              <a:effectLst/>
            </c:spPr>
            <c:extLst>
              <c:ext xmlns:c16="http://schemas.microsoft.com/office/drawing/2014/chart" uri="{C3380CC4-5D6E-409C-BE32-E72D297353CC}">
                <c16:uniqueId val="{00000001-F920-400D-8A5D-DB38F76D6895}"/>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F920-400D-8A5D-DB38F76D6895}"/>
              </c:ext>
            </c:extLst>
          </c:dPt>
          <c:val>
            <c:numRef>
              <c:f>PP!$BB$137:$BC$137</c:f>
              <c:numCache>
                <c:formatCode>0%</c:formatCode>
                <c:ptCount val="2"/>
                <c:pt idx="0">
                  <c:v>0.23718033855223661</c:v>
                </c:pt>
                <c:pt idx="1">
                  <c:v>0.76281966144776336</c:v>
                </c:pt>
              </c:numCache>
            </c:numRef>
          </c:val>
          <c:extLst>
            <c:ext xmlns:c16="http://schemas.microsoft.com/office/drawing/2014/chart" uri="{C3380CC4-5D6E-409C-BE32-E72D297353CC}">
              <c16:uniqueId val="{00000004-F920-400D-8A5D-DB38F76D689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PP!$AY$143</c:f>
              <c:strCache>
                <c:ptCount val="1"/>
                <c:pt idx="0">
                  <c:v>Yerba </c:v>
                </c:pt>
              </c:strCache>
            </c:strRef>
          </c:tx>
          <c:spPr>
            <a:solidFill>
              <a:srgbClr val="EC268F"/>
            </a:solidFill>
          </c:spPr>
          <c:dPt>
            <c:idx val="0"/>
            <c:bubble3D val="0"/>
            <c:spPr>
              <a:solidFill>
                <a:srgbClr val="3B7D23"/>
              </a:solidFill>
              <a:ln w="19050">
                <a:solidFill>
                  <a:schemeClr val="lt1"/>
                </a:solidFill>
              </a:ln>
              <a:effectLst/>
            </c:spPr>
            <c:extLst>
              <c:ext xmlns:c16="http://schemas.microsoft.com/office/drawing/2014/chart" uri="{C3380CC4-5D6E-409C-BE32-E72D297353CC}">
                <c16:uniqueId val="{00000001-8239-4037-82C8-6CE3AB8209CD}"/>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8239-4037-82C8-6CE3AB8209CD}"/>
              </c:ext>
            </c:extLst>
          </c:dPt>
          <c:val>
            <c:numRef>
              <c:f>PP!$AZ$143:$BA$143</c:f>
              <c:numCache>
                <c:formatCode>0%</c:formatCode>
                <c:ptCount val="2"/>
                <c:pt idx="0">
                  <c:v>0.14764314968721229</c:v>
                </c:pt>
                <c:pt idx="1">
                  <c:v>0.85235685031278774</c:v>
                </c:pt>
              </c:numCache>
            </c:numRef>
          </c:val>
          <c:extLst>
            <c:ext xmlns:c16="http://schemas.microsoft.com/office/drawing/2014/chart" uri="{C3380CC4-5D6E-409C-BE32-E72D297353CC}">
              <c16:uniqueId val="{00000004-8239-4037-82C8-6CE3AB8209C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7427051240761"/>
          <c:y val="0.11182452193475817"/>
          <c:w val="0.6789551819212607"/>
          <c:h val="0.87270905532049303"/>
        </c:manualLayout>
      </c:layout>
      <c:doughnutChart>
        <c:varyColors val="1"/>
        <c:ser>
          <c:idx val="0"/>
          <c:order val="0"/>
          <c:spPr>
            <a:solidFill>
              <a:schemeClr val="bg1">
                <a:lumMod val="85000"/>
              </a:schemeClr>
            </a:solidFill>
          </c:spPr>
          <c:dPt>
            <c:idx val="0"/>
            <c:bubble3D val="0"/>
            <c:spPr>
              <a:solidFill>
                <a:srgbClr val="85BD5F"/>
              </a:solidFill>
              <a:ln w="19050">
                <a:solidFill>
                  <a:schemeClr val="lt1"/>
                </a:solidFill>
              </a:ln>
              <a:effectLst/>
            </c:spPr>
            <c:extLst>
              <c:ext xmlns:c16="http://schemas.microsoft.com/office/drawing/2014/chart" uri="{C3380CC4-5D6E-409C-BE32-E72D297353CC}">
                <c16:uniqueId val="{00000001-97F5-454F-A77A-C6E77742FB15}"/>
              </c:ext>
            </c:extLst>
          </c:dPt>
          <c:dPt>
            <c:idx val="1"/>
            <c:bubble3D val="0"/>
            <c:spPr>
              <a:solidFill>
                <a:srgbClr val="F1F1F2"/>
              </a:solidFill>
              <a:ln w="19050">
                <a:solidFill>
                  <a:schemeClr val="lt1"/>
                </a:solidFill>
              </a:ln>
              <a:effectLst/>
            </c:spPr>
            <c:extLst>
              <c:ext xmlns:c16="http://schemas.microsoft.com/office/drawing/2014/chart" uri="{C3380CC4-5D6E-409C-BE32-E72D297353CC}">
                <c16:uniqueId val="{00000003-97F5-454F-A77A-C6E77742FB15}"/>
              </c:ext>
            </c:extLst>
          </c:dPt>
          <c:val>
            <c:numRef>
              <c:f>PP!$BB$143:$BC$143</c:f>
              <c:numCache>
                <c:formatCode>0%</c:formatCode>
                <c:ptCount val="2"/>
                <c:pt idx="0">
                  <c:v>0.21185347097694154</c:v>
                </c:pt>
                <c:pt idx="1">
                  <c:v>0.78814652902305848</c:v>
                </c:pt>
              </c:numCache>
            </c:numRef>
          </c:val>
          <c:extLst>
            <c:ext xmlns:c16="http://schemas.microsoft.com/office/drawing/2014/chart" uri="{C3380CC4-5D6E-409C-BE32-E72D297353CC}">
              <c16:uniqueId val="{00000004-97F5-454F-A77A-C6E77742FB1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4-DD3C-415C-8599-089BD7BDBB2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5-DD3C-415C-8599-089BD7BDBB23}"/>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8-DD3C-415C-8599-089BD7BDBB23}"/>
              </c:ext>
            </c:extLst>
          </c:dPt>
          <c:dPt>
            <c:idx val="3"/>
            <c:bubble3D val="0"/>
            <c:spPr>
              <a:solidFill>
                <a:schemeClr val="bg1"/>
              </a:solidFill>
              <a:ln w="19050">
                <a:solidFill>
                  <a:schemeClr val="lt1"/>
                </a:solidFill>
              </a:ln>
              <a:effectLst/>
            </c:spPr>
            <c:extLst>
              <c:ext xmlns:c16="http://schemas.microsoft.com/office/drawing/2014/chart" uri="{C3380CC4-5D6E-409C-BE32-E72D297353CC}">
                <c16:uniqueId val="{0000000B-DD3C-415C-8599-089BD7BDBB23}"/>
              </c:ext>
            </c:extLst>
          </c:dPt>
          <c:dPt>
            <c:idx val="4"/>
            <c:bubble3D val="0"/>
            <c:spPr>
              <a:solidFill>
                <a:schemeClr val="bg1"/>
              </a:solidFill>
              <a:ln w="19050">
                <a:solidFill>
                  <a:schemeClr val="lt1"/>
                </a:solidFill>
              </a:ln>
              <a:effectLst/>
            </c:spPr>
            <c:extLst>
              <c:ext xmlns:c16="http://schemas.microsoft.com/office/drawing/2014/chart" uri="{C3380CC4-5D6E-409C-BE32-E72D297353CC}">
                <c16:uniqueId val="{0000000A-DD3C-415C-8599-089BD7BDBB23}"/>
              </c:ext>
            </c:extLst>
          </c:dPt>
          <c:dPt>
            <c:idx val="5"/>
            <c:bubble3D val="0"/>
            <c:spPr>
              <a:solidFill>
                <a:schemeClr val="bg1"/>
              </a:solidFill>
              <a:ln w="19050">
                <a:solidFill>
                  <a:schemeClr val="lt1"/>
                </a:solidFill>
              </a:ln>
              <a:effectLst/>
            </c:spPr>
            <c:extLst>
              <c:ext xmlns:c16="http://schemas.microsoft.com/office/drawing/2014/chart" uri="{C3380CC4-5D6E-409C-BE32-E72D297353CC}">
                <c16:uniqueId val="{00000009-DD3C-415C-8599-089BD7BDBB23}"/>
              </c:ext>
            </c:extLst>
          </c:dPt>
          <c:dPt>
            <c:idx val="6"/>
            <c:bubble3D val="0"/>
            <c:spPr>
              <a:solidFill>
                <a:schemeClr val="bg1"/>
              </a:solidFill>
              <a:ln w="19050">
                <a:solidFill>
                  <a:schemeClr val="lt1"/>
                </a:solidFill>
              </a:ln>
              <a:effectLst/>
            </c:spPr>
            <c:extLst>
              <c:ext xmlns:c16="http://schemas.microsoft.com/office/drawing/2014/chart" uri="{C3380CC4-5D6E-409C-BE32-E72D297353CC}">
                <c16:uniqueId val="{00000002-DD3C-415C-8599-089BD7BDBB23}"/>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3-DD3C-415C-8599-089BD7BDBB23}"/>
              </c:ext>
            </c:extLst>
          </c:dPt>
          <c:dPt>
            <c:idx val="8"/>
            <c:bubble3D val="0"/>
            <c:spPr>
              <a:solidFill>
                <a:srgbClr val="92D050"/>
              </a:solidFill>
              <a:ln w="19050">
                <a:solidFill>
                  <a:schemeClr val="lt1"/>
                </a:solidFill>
              </a:ln>
              <a:effectLst/>
            </c:spPr>
            <c:extLst>
              <c:ext xmlns:c16="http://schemas.microsoft.com/office/drawing/2014/chart" uri="{C3380CC4-5D6E-409C-BE32-E72D297353CC}">
                <c16:uniqueId val="{00000006-DD3C-415C-8599-089BD7BDBB23}"/>
              </c:ext>
            </c:extLst>
          </c:dPt>
          <c:dPt>
            <c:idx val="9"/>
            <c:bubble3D val="0"/>
            <c:spPr>
              <a:solidFill>
                <a:srgbClr val="FFFF00"/>
              </a:solidFill>
              <a:ln w="19050">
                <a:solidFill>
                  <a:schemeClr val="lt1"/>
                </a:solidFill>
              </a:ln>
              <a:effectLst/>
            </c:spPr>
            <c:extLst>
              <c:ext xmlns:c16="http://schemas.microsoft.com/office/drawing/2014/chart" uri="{C3380CC4-5D6E-409C-BE32-E72D297353CC}">
                <c16:uniqueId val="{00000007-DD3C-415C-8599-089BD7BDBB23}"/>
              </c:ext>
            </c:extLst>
          </c:dPt>
          <c:cat>
            <c:numRef>
              <c:f>historia!$DY$13:$DY$22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historia!$DZ$13:$DZ$22</c:f>
              <c:numCache>
                <c:formatCode>0.0%</c:formatCode>
                <c:ptCount val="10"/>
                <c:pt idx="0">
                  <c:v>0.1</c:v>
                </c:pt>
                <c:pt idx="1">
                  <c:v>0.1</c:v>
                </c:pt>
                <c:pt idx="2">
                  <c:v>0.1</c:v>
                </c:pt>
                <c:pt idx="3">
                  <c:v>0.1</c:v>
                </c:pt>
                <c:pt idx="4">
                  <c:v>0.1</c:v>
                </c:pt>
                <c:pt idx="5">
                  <c:v>0.1</c:v>
                </c:pt>
                <c:pt idx="6">
                  <c:v>0.1</c:v>
                </c:pt>
                <c:pt idx="7">
                  <c:v>0.1</c:v>
                </c:pt>
                <c:pt idx="8">
                  <c:v>0.1</c:v>
                </c:pt>
                <c:pt idx="9">
                  <c:v>0.1</c:v>
                </c:pt>
              </c:numCache>
            </c:numRef>
          </c:val>
          <c:extLst>
            <c:ext xmlns:c16="http://schemas.microsoft.com/office/drawing/2014/chart" uri="{C3380CC4-5D6E-409C-BE32-E72D297353CC}">
              <c16:uniqueId val="{00000000-DD3C-415C-8599-089BD7BDBB23}"/>
            </c:ext>
          </c:extLst>
        </c:ser>
        <c:dLbls>
          <c:showLegendKey val="0"/>
          <c:showVal val="0"/>
          <c:showCatName val="0"/>
          <c:showSerName val="0"/>
          <c:showPercent val="0"/>
          <c:showBubbleSize val="0"/>
          <c:showLeaderLines val="1"/>
        </c:dLbls>
        <c:firstSliceAng val="19"/>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4622374585069362"/>
          <c:y val="1.9917320029333305E-2"/>
          <c:w val="0.74517436416968152"/>
          <c:h val="0.97305836077858232"/>
        </c:manualLayout>
      </c:layout>
      <c:barChart>
        <c:barDir val="bar"/>
        <c:grouping val="stacked"/>
        <c:varyColors val="0"/>
        <c:ser>
          <c:idx val="0"/>
          <c:order val="0"/>
          <c:tx>
            <c:strRef>
              <c:f>historia!$DQ$4</c:f>
              <c:strCache>
                <c:ptCount val="1"/>
                <c:pt idx="0">
                  <c:v>Verde</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Rajdhani" panose="02000000000000000000" pitchFamily="2" charset="0"/>
                    <a:ea typeface="+mn-ea"/>
                    <a:cs typeface="Rajdhani" panose="02000000000000000000" pitchFamily="2"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historia!$DP$5:$DP$23</c:f>
              <c:strCache>
                <c:ptCount val="19"/>
                <c:pt idx="0">
                  <c:v>Vino y Mosto</c:v>
                </c:pt>
                <c:pt idx="1">
                  <c:v>Leche</c:v>
                </c:pt>
                <c:pt idx="2">
                  <c:v>Arroz</c:v>
                </c:pt>
                <c:pt idx="3">
                  <c:v>Cítricos Dulces</c:v>
                </c:pt>
                <c:pt idx="4">
                  <c:v>Forestal</c:v>
                </c:pt>
                <c:pt idx="5">
                  <c:v>Ovino</c:v>
                </c:pt>
                <c:pt idx="6">
                  <c:v>Papa</c:v>
                </c:pt>
                <c:pt idx="7">
                  <c:v>Peras y Manzanas</c:v>
                </c:pt>
                <c:pt idx="8">
                  <c:v>Yerba Mate</c:v>
                </c:pt>
                <c:pt idx="9">
                  <c:v>Mandioca</c:v>
                </c:pt>
                <c:pt idx="10">
                  <c:v>Algodón</c:v>
                </c:pt>
                <c:pt idx="11">
                  <c:v>Hortalizas</c:v>
                </c:pt>
                <c:pt idx="12">
                  <c:v>Tabaco</c:v>
                </c:pt>
                <c:pt idx="13">
                  <c:v>Maní</c:v>
                </c:pt>
                <c:pt idx="14">
                  <c:v>Miel</c:v>
                </c:pt>
                <c:pt idx="15">
                  <c:v>Bovinos</c:v>
                </c:pt>
                <c:pt idx="16">
                  <c:v>Granos</c:v>
                </c:pt>
                <c:pt idx="17">
                  <c:v>Aves</c:v>
                </c:pt>
                <c:pt idx="18">
                  <c:v>Porcinos</c:v>
                </c:pt>
              </c:strCache>
            </c:strRef>
          </c:cat>
          <c:val>
            <c:numRef>
              <c:f>historia!$DQ$5:$DQ$23</c:f>
              <c:numCache>
                <c:formatCode>0%</c:formatCode>
                <c:ptCount val="19"/>
                <c:pt idx="0">
                  <c:v>5.8252427184466021E-2</c:v>
                </c:pt>
                <c:pt idx="1">
                  <c:v>0.10679611650485436</c:v>
                </c:pt>
                <c:pt idx="2">
                  <c:v>0.13592233009708737</c:v>
                </c:pt>
                <c:pt idx="3">
                  <c:v>0.13592233009708737</c:v>
                </c:pt>
                <c:pt idx="4">
                  <c:v>0.18446601941747573</c:v>
                </c:pt>
                <c:pt idx="5">
                  <c:v>0.25242718446601942</c:v>
                </c:pt>
                <c:pt idx="6">
                  <c:v>0.13592233009708737</c:v>
                </c:pt>
                <c:pt idx="7">
                  <c:v>0.14000000000000001</c:v>
                </c:pt>
                <c:pt idx="8">
                  <c:v>0.32038834951456313</c:v>
                </c:pt>
                <c:pt idx="9">
                  <c:v>0.20388349514563106</c:v>
                </c:pt>
                <c:pt idx="10">
                  <c:v>0.1941747572815534</c:v>
                </c:pt>
                <c:pt idx="11">
                  <c:v>0.1650485436893204</c:v>
                </c:pt>
                <c:pt idx="12">
                  <c:v>0.1941747572815534</c:v>
                </c:pt>
                <c:pt idx="13">
                  <c:v>0.36893203883495146</c:v>
                </c:pt>
                <c:pt idx="14">
                  <c:v>0.32038834951456313</c:v>
                </c:pt>
                <c:pt idx="15">
                  <c:v>0.50485436893203883</c:v>
                </c:pt>
                <c:pt idx="16">
                  <c:v>0.4854368932038835</c:v>
                </c:pt>
                <c:pt idx="17">
                  <c:v>0.39805825242718446</c:v>
                </c:pt>
                <c:pt idx="18">
                  <c:v>0.4563106796116505</c:v>
                </c:pt>
              </c:numCache>
            </c:numRef>
          </c:val>
          <c:extLst>
            <c:ext xmlns:c16="http://schemas.microsoft.com/office/drawing/2014/chart" uri="{C3380CC4-5D6E-409C-BE32-E72D297353CC}">
              <c16:uniqueId val="{00000000-1ED5-4753-A342-9CDA661988BB}"/>
            </c:ext>
          </c:extLst>
        </c:ser>
        <c:ser>
          <c:idx val="1"/>
          <c:order val="1"/>
          <c:tx>
            <c:strRef>
              <c:f>historia!$DR$4</c:f>
              <c:strCache>
                <c:ptCount val="1"/>
                <c:pt idx="0">
                  <c:v>Amarillo</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0"/>
              <a:lstStyle/>
              <a:p>
                <a:pPr algn="ctr">
                  <a:defRPr lang="en-US" sz="1600" b="1" i="0" u="none" strike="noStrike" kern="1200" baseline="0">
                    <a:solidFill>
                      <a:schemeClr val="tx1">
                        <a:lumMod val="75000"/>
                        <a:lumOff val="25000"/>
                      </a:schemeClr>
                    </a:solidFill>
                    <a:latin typeface="Rajdhani" panose="02000000000000000000" pitchFamily="2" charset="0"/>
                    <a:ea typeface="+mn-ea"/>
                    <a:cs typeface="Rajdhani" panose="02000000000000000000" pitchFamily="2"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historia!$DP$5:$DP$23</c:f>
              <c:strCache>
                <c:ptCount val="19"/>
                <c:pt idx="0">
                  <c:v>Vino y Mosto</c:v>
                </c:pt>
                <c:pt idx="1">
                  <c:v>Leche</c:v>
                </c:pt>
                <c:pt idx="2">
                  <c:v>Arroz</c:v>
                </c:pt>
                <c:pt idx="3">
                  <c:v>Cítricos Dulces</c:v>
                </c:pt>
                <c:pt idx="4">
                  <c:v>Forestal</c:v>
                </c:pt>
                <c:pt idx="5">
                  <c:v>Ovino</c:v>
                </c:pt>
                <c:pt idx="6">
                  <c:v>Papa</c:v>
                </c:pt>
                <c:pt idx="7">
                  <c:v>Peras y Manzanas</c:v>
                </c:pt>
                <c:pt idx="8">
                  <c:v>Yerba Mate</c:v>
                </c:pt>
                <c:pt idx="9">
                  <c:v>Mandioca</c:v>
                </c:pt>
                <c:pt idx="10">
                  <c:v>Algodón</c:v>
                </c:pt>
                <c:pt idx="11">
                  <c:v>Hortalizas</c:v>
                </c:pt>
                <c:pt idx="12">
                  <c:v>Tabaco</c:v>
                </c:pt>
                <c:pt idx="13">
                  <c:v>Maní</c:v>
                </c:pt>
                <c:pt idx="14">
                  <c:v>Miel</c:v>
                </c:pt>
                <c:pt idx="15">
                  <c:v>Bovinos</c:v>
                </c:pt>
                <c:pt idx="16">
                  <c:v>Granos</c:v>
                </c:pt>
                <c:pt idx="17">
                  <c:v>Aves</c:v>
                </c:pt>
                <c:pt idx="18">
                  <c:v>Porcinos</c:v>
                </c:pt>
              </c:strCache>
            </c:strRef>
          </c:cat>
          <c:val>
            <c:numRef>
              <c:f>historia!$DR$5:$DR$23</c:f>
              <c:numCache>
                <c:formatCode>0%</c:formatCode>
                <c:ptCount val="19"/>
                <c:pt idx="0">
                  <c:v>0.21359223300970873</c:v>
                </c:pt>
                <c:pt idx="1">
                  <c:v>0.24271844660194175</c:v>
                </c:pt>
                <c:pt idx="2">
                  <c:v>0.22330097087378642</c:v>
                </c:pt>
                <c:pt idx="3">
                  <c:v>0.22330097087378642</c:v>
                </c:pt>
                <c:pt idx="4">
                  <c:v>0.28155339805825241</c:v>
                </c:pt>
                <c:pt idx="5">
                  <c:v>0.23300970873786409</c:v>
                </c:pt>
                <c:pt idx="6">
                  <c:v>0.34951456310679613</c:v>
                </c:pt>
                <c:pt idx="7">
                  <c:v>0.37</c:v>
                </c:pt>
                <c:pt idx="8">
                  <c:v>0.1941747572815534</c:v>
                </c:pt>
                <c:pt idx="9">
                  <c:v>0.36893203883495146</c:v>
                </c:pt>
                <c:pt idx="10">
                  <c:v>0.38834951456310679</c:v>
                </c:pt>
                <c:pt idx="11">
                  <c:v>0.41747572815533979</c:v>
                </c:pt>
                <c:pt idx="12">
                  <c:v>0.39805825242718446</c:v>
                </c:pt>
                <c:pt idx="13">
                  <c:v>0.31067961165048541</c:v>
                </c:pt>
                <c:pt idx="14">
                  <c:v>0.37864077669902912</c:v>
                </c:pt>
                <c:pt idx="15">
                  <c:v>0.20388349514563106</c:v>
                </c:pt>
                <c:pt idx="16">
                  <c:v>0.25242718446601942</c:v>
                </c:pt>
                <c:pt idx="17">
                  <c:v>0.38834951456310679</c:v>
                </c:pt>
                <c:pt idx="18">
                  <c:v>0.38834951456310679</c:v>
                </c:pt>
              </c:numCache>
            </c:numRef>
          </c:val>
          <c:extLst>
            <c:ext xmlns:c16="http://schemas.microsoft.com/office/drawing/2014/chart" uri="{C3380CC4-5D6E-409C-BE32-E72D297353CC}">
              <c16:uniqueId val="{00000001-1ED5-4753-A342-9CDA661988BB}"/>
            </c:ext>
          </c:extLst>
        </c:ser>
        <c:ser>
          <c:idx val="2"/>
          <c:order val="2"/>
          <c:tx>
            <c:strRef>
              <c:f>historia!$DS$4</c:f>
              <c:strCache>
                <c:ptCount val="1"/>
                <c:pt idx="0">
                  <c:v>Rojo</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0"/>
              <a:lstStyle/>
              <a:p>
                <a:pPr algn="ctr">
                  <a:defRPr lang="en-US" sz="1600" b="1" i="0" u="none" strike="noStrike" kern="1200" baseline="0">
                    <a:solidFill>
                      <a:schemeClr val="accent3">
                        <a:lumMod val="20000"/>
                        <a:lumOff val="80000"/>
                      </a:schemeClr>
                    </a:solidFill>
                    <a:latin typeface="Rajdhani" panose="02000000000000000000" pitchFamily="2" charset="0"/>
                    <a:ea typeface="+mn-ea"/>
                    <a:cs typeface="Rajdhani" panose="02000000000000000000" pitchFamily="2"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historia!$DP$5:$DP$23</c:f>
              <c:strCache>
                <c:ptCount val="19"/>
                <c:pt idx="0">
                  <c:v>Vino y Mosto</c:v>
                </c:pt>
                <c:pt idx="1">
                  <c:v>Leche</c:v>
                </c:pt>
                <c:pt idx="2">
                  <c:v>Arroz</c:v>
                </c:pt>
                <c:pt idx="3">
                  <c:v>Cítricos Dulces</c:v>
                </c:pt>
                <c:pt idx="4">
                  <c:v>Forestal</c:v>
                </c:pt>
                <c:pt idx="5">
                  <c:v>Ovino</c:v>
                </c:pt>
                <c:pt idx="6">
                  <c:v>Papa</c:v>
                </c:pt>
                <c:pt idx="7">
                  <c:v>Peras y Manzanas</c:v>
                </c:pt>
                <c:pt idx="8">
                  <c:v>Yerba Mate</c:v>
                </c:pt>
                <c:pt idx="9">
                  <c:v>Mandioca</c:v>
                </c:pt>
                <c:pt idx="10">
                  <c:v>Algodón</c:v>
                </c:pt>
                <c:pt idx="11">
                  <c:v>Hortalizas</c:v>
                </c:pt>
                <c:pt idx="12">
                  <c:v>Tabaco</c:v>
                </c:pt>
                <c:pt idx="13">
                  <c:v>Maní</c:v>
                </c:pt>
                <c:pt idx="14">
                  <c:v>Miel</c:v>
                </c:pt>
                <c:pt idx="15">
                  <c:v>Bovinos</c:v>
                </c:pt>
                <c:pt idx="16">
                  <c:v>Granos</c:v>
                </c:pt>
                <c:pt idx="17">
                  <c:v>Aves</c:v>
                </c:pt>
                <c:pt idx="18">
                  <c:v>Porcinos</c:v>
                </c:pt>
              </c:strCache>
            </c:strRef>
          </c:cat>
          <c:val>
            <c:numRef>
              <c:f>historia!$DS$5:$DS$23</c:f>
              <c:numCache>
                <c:formatCode>0%</c:formatCode>
                <c:ptCount val="19"/>
                <c:pt idx="0">
                  <c:v>0.72815533980582525</c:v>
                </c:pt>
                <c:pt idx="1">
                  <c:v>0.65048543689320393</c:v>
                </c:pt>
                <c:pt idx="2">
                  <c:v>0.64077669902912626</c:v>
                </c:pt>
                <c:pt idx="3">
                  <c:v>0.64077669902912626</c:v>
                </c:pt>
                <c:pt idx="4">
                  <c:v>0.53398058252427183</c:v>
                </c:pt>
                <c:pt idx="5">
                  <c:v>0.5145631067961165</c:v>
                </c:pt>
                <c:pt idx="6">
                  <c:v>0.5145631067961165</c:v>
                </c:pt>
                <c:pt idx="7">
                  <c:v>0.49</c:v>
                </c:pt>
                <c:pt idx="8">
                  <c:v>0.4854368932038835</c:v>
                </c:pt>
                <c:pt idx="9">
                  <c:v>0.42718446601941745</c:v>
                </c:pt>
                <c:pt idx="10">
                  <c:v>0.41747572815533979</c:v>
                </c:pt>
                <c:pt idx="11">
                  <c:v>0.41747572815533979</c:v>
                </c:pt>
                <c:pt idx="12">
                  <c:v>0.40776699029126212</c:v>
                </c:pt>
                <c:pt idx="13">
                  <c:v>0.32038834951456313</c:v>
                </c:pt>
                <c:pt idx="14">
                  <c:v>0.30097087378640774</c:v>
                </c:pt>
                <c:pt idx="15">
                  <c:v>0.29126213592233008</c:v>
                </c:pt>
                <c:pt idx="16">
                  <c:v>0.26213592233009708</c:v>
                </c:pt>
                <c:pt idx="17">
                  <c:v>0.21359223300970873</c:v>
                </c:pt>
                <c:pt idx="18">
                  <c:v>0.1553398058252427</c:v>
                </c:pt>
              </c:numCache>
            </c:numRef>
          </c:val>
          <c:extLst>
            <c:ext xmlns:c16="http://schemas.microsoft.com/office/drawing/2014/chart" uri="{C3380CC4-5D6E-409C-BE32-E72D297353CC}">
              <c16:uniqueId val="{00000002-1ED5-4753-A342-9CDA661988BB}"/>
            </c:ext>
          </c:extLst>
        </c:ser>
        <c:dLbls>
          <c:showLegendKey val="0"/>
          <c:showVal val="0"/>
          <c:showCatName val="0"/>
          <c:showSerName val="0"/>
          <c:showPercent val="0"/>
          <c:showBubbleSize val="0"/>
        </c:dLbls>
        <c:gapWidth val="50"/>
        <c:overlap val="100"/>
        <c:axId val="1432979647"/>
        <c:axId val="1432980607"/>
      </c:barChart>
      <c:catAx>
        <c:axId val="143297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lumMod val="50000"/>
                  </a:schemeClr>
                </a:solidFill>
                <a:latin typeface="Rajdhani" panose="02000000000000000000" pitchFamily="2" charset="0"/>
                <a:ea typeface="+mn-ea"/>
                <a:cs typeface="Rajdhani" panose="02000000000000000000" pitchFamily="2" charset="0"/>
              </a:defRPr>
            </a:pPr>
            <a:endParaRPr lang="es-ES"/>
          </a:p>
        </c:txPr>
        <c:crossAx val="1432980607"/>
        <c:crosses val="autoZero"/>
        <c:auto val="1"/>
        <c:lblAlgn val="ctr"/>
        <c:lblOffset val="100"/>
        <c:noMultiLvlLbl val="0"/>
      </c:catAx>
      <c:valAx>
        <c:axId val="1432980607"/>
        <c:scaling>
          <c:orientation val="minMax"/>
          <c:max val="1"/>
        </c:scaling>
        <c:delete val="1"/>
        <c:axPos val="b"/>
        <c:numFmt formatCode="0%" sourceLinked="1"/>
        <c:majorTickMark val="none"/>
        <c:minorTickMark val="none"/>
        <c:tickLblPos val="nextTo"/>
        <c:crossAx val="1432979647"/>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sz="2400">
          <a:latin typeface="Rajdhani" panose="02000000000000000000" pitchFamily="2" charset="0"/>
          <a:cs typeface="Rajdhani" panose="02000000000000000000" pitchFamily="2" charset="0"/>
        </a:defRPr>
      </a:pPr>
      <a:endParaRPr lang="es-E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23809108277163E-2"/>
          <c:y val="3.542673107890499E-2"/>
          <c:w val="0.96952381783445674"/>
          <c:h val="0.84162170635704847"/>
        </c:manualLayout>
      </c:layout>
      <c:lineChart>
        <c:grouping val="standard"/>
        <c:varyColors val="0"/>
        <c:ser>
          <c:idx val="0"/>
          <c:order val="0"/>
          <c:spPr>
            <a:ln w="38100" cap="rnd">
              <a:gradFill>
                <a:gsLst>
                  <a:gs pos="0">
                    <a:srgbClr val="FF0000"/>
                  </a:gs>
                  <a:gs pos="25000">
                    <a:schemeClr val="accent2"/>
                  </a:gs>
                  <a:gs pos="50000">
                    <a:srgbClr val="FFFF00"/>
                  </a:gs>
                  <a:gs pos="100000">
                    <a:srgbClr val="00B050"/>
                  </a:gs>
                  <a:gs pos="75000">
                    <a:srgbClr val="92D050"/>
                  </a:gs>
                </a:gsLst>
                <a:lin ang="5400000" scaled="1"/>
              </a:gradFill>
              <a:round/>
            </a:ln>
            <a:effectLst/>
          </c:spPr>
          <c:marker>
            <c:symbol val="none"/>
          </c:marker>
          <c:cat>
            <c:numRef>
              <c:f>historia!$B$3:$CZ$3</c:f>
              <c:numCache>
                <c:formatCode>mm\-yy</c:formatCode>
                <c:ptCount val="103"/>
                <c:pt idx="0">
                  <c:v>43132</c:v>
                </c:pt>
                <c:pt idx="1">
                  <c:v>43160</c:v>
                </c:pt>
                <c:pt idx="2">
                  <c:v>43191</c:v>
                </c:pt>
                <c:pt idx="3">
                  <c:v>43221</c:v>
                </c:pt>
                <c:pt idx="4">
                  <c:v>43252</c:v>
                </c:pt>
                <c:pt idx="5">
                  <c:v>43282</c:v>
                </c:pt>
                <c:pt idx="6">
                  <c:v>43313</c:v>
                </c:pt>
                <c:pt idx="7">
                  <c:v>43344</c:v>
                </c:pt>
                <c:pt idx="8">
                  <c:v>43374</c:v>
                </c:pt>
                <c:pt idx="9">
                  <c:v>43405</c:v>
                </c:pt>
                <c:pt idx="10">
                  <c:v>43435</c:v>
                </c:pt>
                <c:pt idx="11">
                  <c:v>43466</c:v>
                </c:pt>
                <c:pt idx="12">
                  <c:v>43497</c:v>
                </c:pt>
                <c:pt idx="13">
                  <c:v>43525</c:v>
                </c:pt>
                <c:pt idx="14">
                  <c:v>43556</c:v>
                </c:pt>
                <c:pt idx="15">
                  <c:v>43586</c:v>
                </c:pt>
                <c:pt idx="16">
                  <c:v>43617</c:v>
                </c:pt>
                <c:pt idx="17">
                  <c:v>43647</c:v>
                </c:pt>
                <c:pt idx="18">
                  <c:v>43678</c:v>
                </c:pt>
                <c:pt idx="19">
                  <c:v>43709</c:v>
                </c:pt>
                <c:pt idx="20">
                  <c:v>43739</c:v>
                </c:pt>
                <c:pt idx="21">
                  <c:v>43770</c:v>
                </c:pt>
                <c:pt idx="22">
                  <c:v>43800</c:v>
                </c:pt>
                <c:pt idx="23">
                  <c:v>43831</c:v>
                </c:pt>
                <c:pt idx="24">
                  <c:v>43862</c:v>
                </c:pt>
                <c:pt idx="25">
                  <c:v>43891</c:v>
                </c:pt>
                <c:pt idx="26">
                  <c:v>43922</c:v>
                </c:pt>
                <c:pt idx="27">
                  <c:v>43952</c:v>
                </c:pt>
                <c:pt idx="28">
                  <c:v>43983</c:v>
                </c:pt>
                <c:pt idx="29">
                  <c:v>44013</c:v>
                </c:pt>
                <c:pt idx="30">
                  <c:v>44044</c:v>
                </c:pt>
                <c:pt idx="31">
                  <c:v>44075</c:v>
                </c:pt>
                <c:pt idx="32">
                  <c:v>44105</c:v>
                </c:pt>
                <c:pt idx="33">
                  <c:v>44136</c:v>
                </c:pt>
                <c:pt idx="34">
                  <c:v>44166</c:v>
                </c:pt>
                <c:pt idx="35">
                  <c:v>44197</c:v>
                </c:pt>
                <c:pt idx="36">
                  <c:v>44228</c:v>
                </c:pt>
                <c:pt idx="37">
                  <c:v>44256</c:v>
                </c:pt>
                <c:pt idx="38">
                  <c:v>44287</c:v>
                </c:pt>
                <c:pt idx="39">
                  <c:v>44317</c:v>
                </c:pt>
                <c:pt idx="40">
                  <c:v>44348</c:v>
                </c:pt>
                <c:pt idx="41">
                  <c:v>44378</c:v>
                </c:pt>
                <c:pt idx="42">
                  <c:v>44409</c:v>
                </c:pt>
                <c:pt idx="43">
                  <c:v>44440</c:v>
                </c:pt>
                <c:pt idx="44">
                  <c:v>44470</c:v>
                </c:pt>
                <c:pt idx="45">
                  <c:v>44501</c:v>
                </c:pt>
                <c:pt idx="46">
                  <c:v>44531</c:v>
                </c:pt>
                <c:pt idx="47">
                  <c:v>44562</c:v>
                </c:pt>
                <c:pt idx="48">
                  <c:v>44593</c:v>
                </c:pt>
                <c:pt idx="49">
                  <c:v>44621</c:v>
                </c:pt>
                <c:pt idx="50">
                  <c:v>44652</c:v>
                </c:pt>
                <c:pt idx="51">
                  <c:v>44682</c:v>
                </c:pt>
                <c:pt idx="52">
                  <c:v>44713</c:v>
                </c:pt>
                <c:pt idx="53">
                  <c:v>44743</c:v>
                </c:pt>
                <c:pt idx="54">
                  <c:v>44774</c:v>
                </c:pt>
                <c:pt idx="55">
                  <c:v>44805</c:v>
                </c:pt>
                <c:pt idx="56">
                  <c:v>44835</c:v>
                </c:pt>
                <c:pt idx="57">
                  <c:v>44866</c:v>
                </c:pt>
                <c:pt idx="58">
                  <c:v>44896</c:v>
                </c:pt>
                <c:pt idx="59">
                  <c:v>44927</c:v>
                </c:pt>
                <c:pt idx="60">
                  <c:v>44958</c:v>
                </c:pt>
                <c:pt idx="61">
                  <c:v>44986</c:v>
                </c:pt>
                <c:pt idx="62">
                  <c:v>45017</c:v>
                </c:pt>
                <c:pt idx="63">
                  <c:v>45047</c:v>
                </c:pt>
                <c:pt idx="64">
                  <c:v>45078</c:v>
                </c:pt>
                <c:pt idx="65">
                  <c:v>45108</c:v>
                </c:pt>
                <c:pt idx="66">
                  <c:v>45139</c:v>
                </c:pt>
                <c:pt idx="67">
                  <c:v>45170</c:v>
                </c:pt>
                <c:pt idx="68">
                  <c:v>45200</c:v>
                </c:pt>
                <c:pt idx="69">
                  <c:v>45231</c:v>
                </c:pt>
                <c:pt idx="70">
                  <c:v>45261</c:v>
                </c:pt>
                <c:pt idx="71">
                  <c:v>45292</c:v>
                </c:pt>
                <c:pt idx="72">
                  <c:v>45323</c:v>
                </c:pt>
                <c:pt idx="73">
                  <c:v>45352</c:v>
                </c:pt>
                <c:pt idx="74">
                  <c:v>45383</c:v>
                </c:pt>
                <c:pt idx="75">
                  <c:v>45413</c:v>
                </c:pt>
                <c:pt idx="76">
                  <c:v>45444</c:v>
                </c:pt>
                <c:pt idx="77">
                  <c:v>45474</c:v>
                </c:pt>
                <c:pt idx="78">
                  <c:v>45505</c:v>
                </c:pt>
                <c:pt idx="79">
                  <c:v>45536</c:v>
                </c:pt>
                <c:pt idx="80">
                  <c:v>45566</c:v>
                </c:pt>
                <c:pt idx="81">
                  <c:v>45597</c:v>
                </c:pt>
                <c:pt idx="82">
                  <c:v>45627</c:v>
                </c:pt>
                <c:pt idx="83">
                  <c:v>45658</c:v>
                </c:pt>
                <c:pt idx="84">
                  <c:v>45689</c:v>
                </c:pt>
                <c:pt idx="85">
                  <c:v>45717</c:v>
                </c:pt>
                <c:pt idx="86">
                  <c:v>45748</c:v>
                </c:pt>
                <c:pt idx="87">
                  <c:v>45778</c:v>
                </c:pt>
                <c:pt idx="88">
                  <c:v>45809</c:v>
                </c:pt>
                <c:pt idx="89">
                  <c:v>45839</c:v>
                </c:pt>
                <c:pt idx="90">
                  <c:v>45870</c:v>
                </c:pt>
                <c:pt idx="91">
                  <c:v>45901</c:v>
                </c:pt>
                <c:pt idx="92">
                  <c:v>45931</c:v>
                </c:pt>
                <c:pt idx="93">
                  <c:v>45962</c:v>
                </c:pt>
                <c:pt idx="94">
                  <c:v>45992</c:v>
                </c:pt>
                <c:pt idx="95">
                  <c:v>46023</c:v>
                </c:pt>
                <c:pt idx="96">
                  <c:v>46054</c:v>
                </c:pt>
                <c:pt idx="97">
                  <c:v>46082</c:v>
                </c:pt>
                <c:pt idx="98">
                  <c:v>46113</c:v>
                </c:pt>
                <c:pt idx="99">
                  <c:v>46143</c:v>
                </c:pt>
                <c:pt idx="100">
                  <c:v>46174</c:v>
                </c:pt>
                <c:pt idx="101">
                  <c:v>46204</c:v>
                </c:pt>
                <c:pt idx="102">
                  <c:v>46235</c:v>
                </c:pt>
              </c:numCache>
            </c:numRef>
          </c:cat>
          <c:val>
            <c:numRef>
              <c:f>historia!$B$32:$CZ$32</c:f>
              <c:numCache>
                <c:formatCode>0.0</c:formatCode>
                <c:ptCount val="103"/>
                <c:pt idx="0">
                  <c:v>3.6666666666666665</c:v>
                </c:pt>
                <c:pt idx="1">
                  <c:v>3.7777777777777777</c:v>
                </c:pt>
                <c:pt idx="2">
                  <c:v>3.7777777777777777</c:v>
                </c:pt>
                <c:pt idx="3">
                  <c:v>3.8421052631578947</c:v>
                </c:pt>
                <c:pt idx="4">
                  <c:v>4.0526315789473681</c:v>
                </c:pt>
                <c:pt idx="5">
                  <c:v>3.6315789473684212</c:v>
                </c:pt>
                <c:pt idx="6">
                  <c:v>3.6315789473684212</c:v>
                </c:pt>
                <c:pt idx="7">
                  <c:v>3.5263157894736841</c:v>
                </c:pt>
                <c:pt idx="8">
                  <c:v>3.2105263157894739</c:v>
                </c:pt>
                <c:pt idx="9">
                  <c:v>3.736842105263158</c:v>
                </c:pt>
                <c:pt idx="10">
                  <c:v>3.2105263157894739</c:v>
                </c:pt>
                <c:pt idx="11">
                  <c:v>2.7894736842105261</c:v>
                </c:pt>
                <c:pt idx="12">
                  <c:v>3.2105263157894739</c:v>
                </c:pt>
                <c:pt idx="13">
                  <c:v>3</c:v>
                </c:pt>
                <c:pt idx="14">
                  <c:v>3</c:v>
                </c:pt>
                <c:pt idx="15">
                  <c:v>2.7894736842105261</c:v>
                </c:pt>
                <c:pt idx="16">
                  <c:v>2.6842105263157894</c:v>
                </c:pt>
                <c:pt idx="17">
                  <c:v>2.3684210526315788</c:v>
                </c:pt>
                <c:pt idx="18">
                  <c:v>2.4736842105263159</c:v>
                </c:pt>
                <c:pt idx="19">
                  <c:v>2.5789473684210527</c:v>
                </c:pt>
                <c:pt idx="20">
                  <c:v>2.7894736842105261</c:v>
                </c:pt>
                <c:pt idx="21">
                  <c:v>2.8947368421052633</c:v>
                </c:pt>
                <c:pt idx="22">
                  <c:v>2.7894736842105261</c:v>
                </c:pt>
                <c:pt idx="23">
                  <c:v>2.8947368421052633</c:v>
                </c:pt>
                <c:pt idx="24">
                  <c:v>2.4736842105263159</c:v>
                </c:pt>
                <c:pt idx="25">
                  <c:v>2.4736842105263159</c:v>
                </c:pt>
                <c:pt idx="26">
                  <c:v>2.7894736842105261</c:v>
                </c:pt>
                <c:pt idx="27">
                  <c:v>2.6842105263157894</c:v>
                </c:pt>
                <c:pt idx="28">
                  <c:v>2.6842105263157894</c:v>
                </c:pt>
                <c:pt idx="29">
                  <c:v>2.6842105263157894</c:v>
                </c:pt>
                <c:pt idx="30">
                  <c:v>2.4736842105263159</c:v>
                </c:pt>
                <c:pt idx="31">
                  <c:v>2.4736842105263159</c:v>
                </c:pt>
                <c:pt idx="32">
                  <c:v>2.8947368421052633</c:v>
                </c:pt>
                <c:pt idx="33">
                  <c:v>3</c:v>
                </c:pt>
                <c:pt idx="34">
                  <c:v>2.6842105263157894</c:v>
                </c:pt>
                <c:pt idx="35">
                  <c:v>2.263157894736842</c:v>
                </c:pt>
                <c:pt idx="36">
                  <c:v>2.3684210526315788</c:v>
                </c:pt>
                <c:pt idx="37">
                  <c:v>2.1578947368421053</c:v>
                </c:pt>
                <c:pt idx="38">
                  <c:v>2.4736842105263159</c:v>
                </c:pt>
                <c:pt idx="39">
                  <c:v>2.5789473684210527</c:v>
                </c:pt>
                <c:pt idx="40">
                  <c:v>2.6842105263157894</c:v>
                </c:pt>
                <c:pt idx="41">
                  <c:v>2.7894736842105261</c:v>
                </c:pt>
                <c:pt idx="42">
                  <c:v>3.2105263157894739</c:v>
                </c:pt>
                <c:pt idx="43">
                  <c:v>3.2105263157894739</c:v>
                </c:pt>
                <c:pt idx="44">
                  <c:v>3.3157894736842106</c:v>
                </c:pt>
                <c:pt idx="45">
                  <c:v>3.3157894736842106</c:v>
                </c:pt>
                <c:pt idx="46">
                  <c:v>3.5263157894736841</c:v>
                </c:pt>
                <c:pt idx="47">
                  <c:v>3.8421052631578947</c:v>
                </c:pt>
                <c:pt idx="48">
                  <c:v>4.2631578947368425</c:v>
                </c:pt>
                <c:pt idx="49">
                  <c:v>4.1578947368421053</c:v>
                </c:pt>
                <c:pt idx="50">
                  <c:v>3.8421052631578947</c:v>
                </c:pt>
                <c:pt idx="51">
                  <c:v>3.9473684210526314</c:v>
                </c:pt>
                <c:pt idx="52">
                  <c:v>3.6315789473684212</c:v>
                </c:pt>
                <c:pt idx="53">
                  <c:v>3.736842105263158</c:v>
                </c:pt>
                <c:pt idx="54">
                  <c:v>3.4210526315789473</c:v>
                </c:pt>
                <c:pt idx="55">
                  <c:v>3.8421052631578947</c:v>
                </c:pt>
                <c:pt idx="56">
                  <c:v>3.6315789473684212</c:v>
                </c:pt>
                <c:pt idx="57">
                  <c:v>3.9473684210526314</c:v>
                </c:pt>
                <c:pt idx="58">
                  <c:v>4.2631578947368425</c:v>
                </c:pt>
                <c:pt idx="59">
                  <c:v>4.3684210526315788</c:v>
                </c:pt>
                <c:pt idx="60">
                  <c:v>4.2631578947368425</c:v>
                </c:pt>
                <c:pt idx="61">
                  <c:v>4.1578947368421053</c:v>
                </c:pt>
                <c:pt idx="62">
                  <c:v>4.0526315789473681</c:v>
                </c:pt>
                <c:pt idx="63">
                  <c:v>3.736842105263158</c:v>
                </c:pt>
                <c:pt idx="64">
                  <c:v>4.2631578947368425</c:v>
                </c:pt>
                <c:pt idx="65">
                  <c:v>4.1578947368421053</c:v>
                </c:pt>
                <c:pt idx="66">
                  <c:v>4.1578947368421053</c:v>
                </c:pt>
                <c:pt idx="67">
                  <c:v>4.3684210526315788</c:v>
                </c:pt>
                <c:pt idx="68">
                  <c:v>4.0526315789473681</c:v>
                </c:pt>
                <c:pt idx="69">
                  <c:v>4.0526315789473681</c:v>
                </c:pt>
                <c:pt idx="70">
                  <c:v>3.8421052631578947</c:v>
                </c:pt>
                <c:pt idx="71">
                  <c:v>3.2105263157894739</c:v>
                </c:pt>
                <c:pt idx="72">
                  <c:v>3</c:v>
                </c:pt>
                <c:pt idx="73">
                  <c:v>3.736842105263158</c:v>
                </c:pt>
                <c:pt idx="74">
                  <c:v>4.1578947368421053</c:v>
                </c:pt>
                <c:pt idx="75">
                  <c:v>4.0526315789473681</c:v>
                </c:pt>
                <c:pt idx="76">
                  <c:v>3.9473684210526314</c:v>
                </c:pt>
                <c:pt idx="77">
                  <c:v>4.0526315789473681</c:v>
                </c:pt>
                <c:pt idx="78">
                  <c:v>4.0526315789473681</c:v>
                </c:pt>
                <c:pt idx="79">
                  <c:v>4.0526315789473681</c:v>
                </c:pt>
                <c:pt idx="80">
                  <c:v>4.0526315789473681</c:v>
                </c:pt>
                <c:pt idx="81">
                  <c:v>4.0526315789473681</c:v>
                </c:pt>
                <c:pt idx="82">
                  <c:v>4.0526315789473681</c:v>
                </c:pt>
                <c:pt idx="83">
                  <c:v>3.3157894736842106</c:v>
                </c:pt>
                <c:pt idx="84">
                  <c:v>3.6315789473684212</c:v>
                </c:pt>
                <c:pt idx="85">
                  <c:v>3.5263157894736841</c:v>
                </c:pt>
                <c:pt idx="86">
                  <c:v>3.5263157894736841</c:v>
                </c:pt>
                <c:pt idx="87">
                  <c:v>3.4210526315789473</c:v>
                </c:pt>
                <c:pt idx="88">
                  <c:v>3.2105263157894739</c:v>
                </c:pt>
                <c:pt idx="89">
                  <c:v>2.8947368421052633</c:v>
                </c:pt>
                <c:pt idx="90">
                  <c:v>2.8947368421052633</c:v>
                </c:pt>
                <c:pt idx="91">
                  <c:v>3.1052631578947367</c:v>
                </c:pt>
                <c:pt idx="92">
                  <c:v>3</c:v>
                </c:pt>
                <c:pt idx="93">
                  <c:v>3.1052631578947367</c:v>
                </c:pt>
                <c:pt idx="94">
                  <c:v>3.2105263157894739</c:v>
                </c:pt>
                <c:pt idx="95">
                  <c:v>3.4210526315789473</c:v>
                </c:pt>
                <c:pt idx="96">
                  <c:v>3.6315789473684212</c:v>
                </c:pt>
                <c:pt idx="97">
                  <c:v>3.6315789473684212</c:v>
                </c:pt>
                <c:pt idx="98">
                  <c:v>3.4210526315789473</c:v>
                </c:pt>
                <c:pt idx="99">
                  <c:v>3.4210526315789473</c:v>
                </c:pt>
                <c:pt idx="100">
                  <c:v>3.3157894736842106</c:v>
                </c:pt>
                <c:pt idx="101">
                  <c:v>3.5263157894736841</c:v>
                </c:pt>
                <c:pt idx="102">
                  <c:v>3.4210526315789473</c:v>
                </c:pt>
              </c:numCache>
            </c:numRef>
          </c:val>
          <c:smooth val="0"/>
          <c:extLst>
            <c:ext xmlns:c16="http://schemas.microsoft.com/office/drawing/2014/chart" uri="{C3380CC4-5D6E-409C-BE32-E72D297353CC}">
              <c16:uniqueId val="{00000000-E413-4A96-AAB1-E29DF9441B70}"/>
            </c:ext>
          </c:extLst>
        </c:ser>
        <c:dLbls>
          <c:showLegendKey val="0"/>
          <c:showVal val="0"/>
          <c:showCatName val="0"/>
          <c:showSerName val="0"/>
          <c:showPercent val="0"/>
          <c:showBubbleSize val="0"/>
        </c:dLbls>
        <c:smooth val="0"/>
        <c:axId val="843767151"/>
        <c:axId val="859869647"/>
      </c:lineChart>
      <c:dateAx>
        <c:axId val="843767151"/>
        <c:scaling>
          <c:orientation val="minMax"/>
          <c:min val="43101"/>
        </c:scaling>
        <c:delete val="0"/>
        <c:axPos val="b"/>
        <c:numFmt formatCode="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a:defRPr sz="1100" b="0" i="0" u="none" strike="noStrike" kern="1200" baseline="0">
                <a:solidFill>
                  <a:schemeClr val="tx1">
                    <a:lumMod val="65000"/>
                    <a:lumOff val="35000"/>
                  </a:schemeClr>
                </a:solidFill>
                <a:latin typeface="+mn-lt"/>
                <a:ea typeface="+mn-ea"/>
                <a:cs typeface="+mn-cs"/>
              </a:defRPr>
            </a:pPr>
            <a:endParaRPr lang="es-AR"/>
          </a:p>
        </c:txPr>
        <c:crossAx val="859869647"/>
        <c:crosses val="autoZero"/>
        <c:auto val="1"/>
        <c:lblOffset val="100"/>
        <c:baseTimeUnit val="months"/>
        <c:majorUnit val="3"/>
        <c:majorTimeUnit val="months"/>
      </c:dateAx>
      <c:valAx>
        <c:axId val="859869647"/>
        <c:scaling>
          <c:orientation val="minMax"/>
          <c:max val="4.5"/>
          <c:min val="1.5"/>
        </c:scaling>
        <c:delete val="1"/>
        <c:axPos val="l"/>
        <c:numFmt formatCode="0.0" sourceLinked="1"/>
        <c:majorTickMark val="none"/>
        <c:minorTickMark val="none"/>
        <c:tickLblPos val="nextTo"/>
        <c:crossAx val="843767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s-A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a:ln>
              <a:noFill/>
            </a:ln>
          </c:spPr>
          <c:dPt>
            <c:idx val="0"/>
            <c:bubble3D val="0"/>
            <c:spPr>
              <a:solidFill>
                <a:srgbClr val="579D1C"/>
              </a:solidFill>
              <a:ln w="19050">
                <a:noFill/>
              </a:ln>
              <a:effectLst/>
            </c:spPr>
            <c:extLst>
              <c:ext xmlns:c16="http://schemas.microsoft.com/office/drawing/2014/chart" uri="{C3380CC4-5D6E-409C-BE32-E72D297353CC}">
                <c16:uniqueId val="{00000001-CB60-479C-8936-FCFC9CDB3AA3}"/>
              </c:ext>
            </c:extLst>
          </c:dPt>
          <c:dPt>
            <c:idx val="1"/>
            <c:bubble3D val="0"/>
            <c:spPr>
              <a:solidFill>
                <a:srgbClr val="A9ABAE"/>
              </a:solidFill>
              <a:ln w="19050">
                <a:noFill/>
              </a:ln>
              <a:effectLst/>
            </c:spPr>
            <c:extLst>
              <c:ext xmlns:c16="http://schemas.microsoft.com/office/drawing/2014/chart" uri="{C3380CC4-5D6E-409C-BE32-E72D297353CC}">
                <c16:uniqueId val="{00000003-CB60-479C-8936-FCFC9CDB3AA3}"/>
              </c:ext>
            </c:extLst>
          </c:dPt>
          <c:dPt>
            <c:idx val="2"/>
            <c:bubble3D val="0"/>
            <c:spPr>
              <a:solidFill>
                <a:srgbClr val="A9ABAE"/>
              </a:solidFill>
              <a:ln w="19050">
                <a:noFill/>
              </a:ln>
              <a:effectLst/>
            </c:spPr>
            <c:extLst>
              <c:ext xmlns:c16="http://schemas.microsoft.com/office/drawing/2014/chart" uri="{C3380CC4-5D6E-409C-BE32-E72D297353CC}">
                <c16:uniqueId val="{00000005-CB60-479C-8936-FCFC9CDB3AA3}"/>
              </c:ext>
            </c:extLst>
          </c:dPt>
          <c:val>
            <c:numRef>
              <c:f>Nota!$S$26:$S$28</c:f>
              <c:numCache>
                <c:formatCode>0%</c:formatCode>
                <c:ptCount val="3"/>
                <c:pt idx="0">
                  <c:v>0.26315789473684209</c:v>
                </c:pt>
                <c:pt idx="1">
                  <c:v>0.26315789473684209</c:v>
                </c:pt>
                <c:pt idx="2">
                  <c:v>0.47368421052631576</c:v>
                </c:pt>
              </c:numCache>
            </c:numRef>
          </c:val>
          <c:extLst>
            <c:ext xmlns:c16="http://schemas.microsoft.com/office/drawing/2014/chart" uri="{C3380CC4-5D6E-409C-BE32-E72D297353CC}">
              <c16:uniqueId val="{00000006-CB60-479C-8936-FCFC9CDB3AA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a:ln>
              <a:noFill/>
            </a:ln>
          </c:spPr>
          <c:dPt>
            <c:idx val="0"/>
            <c:bubble3D val="0"/>
            <c:spPr>
              <a:solidFill>
                <a:srgbClr val="A9ABAE"/>
              </a:solidFill>
              <a:ln w="19050">
                <a:noFill/>
              </a:ln>
              <a:effectLst/>
            </c:spPr>
            <c:extLst>
              <c:ext xmlns:c16="http://schemas.microsoft.com/office/drawing/2014/chart" uri="{C3380CC4-5D6E-409C-BE32-E72D297353CC}">
                <c16:uniqueId val="{00000001-9316-4502-A3CC-957A40FD4787}"/>
              </c:ext>
            </c:extLst>
          </c:dPt>
          <c:dPt>
            <c:idx val="1"/>
            <c:bubble3D val="0"/>
            <c:spPr>
              <a:solidFill>
                <a:srgbClr val="FEBA0E"/>
              </a:solidFill>
              <a:ln w="19050">
                <a:noFill/>
              </a:ln>
              <a:effectLst/>
            </c:spPr>
            <c:extLst>
              <c:ext xmlns:c16="http://schemas.microsoft.com/office/drawing/2014/chart" uri="{C3380CC4-5D6E-409C-BE32-E72D297353CC}">
                <c16:uniqueId val="{00000003-9316-4502-A3CC-957A40FD4787}"/>
              </c:ext>
            </c:extLst>
          </c:dPt>
          <c:dPt>
            <c:idx val="2"/>
            <c:bubble3D val="0"/>
            <c:spPr>
              <a:solidFill>
                <a:srgbClr val="A9ABAE"/>
              </a:solidFill>
              <a:ln w="19050">
                <a:noFill/>
              </a:ln>
              <a:effectLst/>
            </c:spPr>
            <c:extLst>
              <c:ext xmlns:c16="http://schemas.microsoft.com/office/drawing/2014/chart" uri="{C3380CC4-5D6E-409C-BE32-E72D297353CC}">
                <c16:uniqueId val="{00000005-9316-4502-A3CC-957A40FD4787}"/>
              </c:ext>
            </c:extLst>
          </c:dPt>
          <c:val>
            <c:numRef>
              <c:f>Nota!$S$26:$S$28</c:f>
              <c:numCache>
                <c:formatCode>0%</c:formatCode>
                <c:ptCount val="3"/>
                <c:pt idx="0">
                  <c:v>0.26315789473684209</c:v>
                </c:pt>
                <c:pt idx="1">
                  <c:v>0.26315789473684209</c:v>
                </c:pt>
                <c:pt idx="2">
                  <c:v>0.47368421052631576</c:v>
                </c:pt>
              </c:numCache>
            </c:numRef>
          </c:val>
          <c:extLst>
            <c:ext xmlns:c16="http://schemas.microsoft.com/office/drawing/2014/chart" uri="{C3380CC4-5D6E-409C-BE32-E72D297353CC}">
              <c16:uniqueId val="{00000006-9316-4502-A3CC-957A40FD478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910112967116179E-2"/>
          <c:y val="7.6313554569198971E-2"/>
          <c:w val="0.80342956848816882"/>
          <c:h val="0.81345575549751359"/>
        </c:manualLayout>
      </c:layout>
      <c:doughnutChart>
        <c:varyColors val="1"/>
        <c:ser>
          <c:idx val="0"/>
          <c:order val="0"/>
          <c:spPr>
            <a:solidFill>
              <a:schemeClr val="bg1">
                <a:lumMod val="85000"/>
              </a:schemeClr>
            </a:solidFill>
            <a:ln>
              <a:noFill/>
            </a:ln>
          </c:spPr>
          <c:dPt>
            <c:idx val="0"/>
            <c:bubble3D val="0"/>
            <c:spPr>
              <a:solidFill>
                <a:srgbClr val="A9ABAE"/>
              </a:solidFill>
              <a:ln w="19050">
                <a:noFill/>
              </a:ln>
              <a:effectLst/>
            </c:spPr>
            <c:extLst>
              <c:ext xmlns:c16="http://schemas.microsoft.com/office/drawing/2014/chart" uri="{C3380CC4-5D6E-409C-BE32-E72D297353CC}">
                <c16:uniqueId val="{00000001-74F2-4C3C-BFF4-0A767DF7E547}"/>
              </c:ext>
            </c:extLst>
          </c:dPt>
          <c:dPt>
            <c:idx val="1"/>
            <c:bubble3D val="0"/>
            <c:spPr>
              <a:solidFill>
                <a:srgbClr val="A9ABAE"/>
              </a:solidFill>
              <a:ln w="19050">
                <a:noFill/>
              </a:ln>
              <a:effectLst/>
            </c:spPr>
            <c:extLst>
              <c:ext xmlns:c16="http://schemas.microsoft.com/office/drawing/2014/chart" uri="{C3380CC4-5D6E-409C-BE32-E72D297353CC}">
                <c16:uniqueId val="{00000003-74F2-4C3C-BFF4-0A767DF7E547}"/>
              </c:ext>
            </c:extLst>
          </c:dPt>
          <c:dPt>
            <c:idx val="2"/>
            <c:bubble3D val="0"/>
            <c:spPr>
              <a:solidFill>
                <a:srgbClr val="CC3300"/>
              </a:solidFill>
              <a:ln w="19050">
                <a:noFill/>
              </a:ln>
              <a:effectLst/>
            </c:spPr>
            <c:extLst>
              <c:ext xmlns:c16="http://schemas.microsoft.com/office/drawing/2014/chart" uri="{C3380CC4-5D6E-409C-BE32-E72D297353CC}">
                <c16:uniqueId val="{00000005-74F2-4C3C-BFF4-0A767DF7E547}"/>
              </c:ext>
            </c:extLst>
          </c:dPt>
          <c:val>
            <c:numRef>
              <c:f>Nota!$S$26:$S$28</c:f>
              <c:numCache>
                <c:formatCode>0%</c:formatCode>
                <c:ptCount val="3"/>
                <c:pt idx="0">
                  <c:v>0.26315789473684209</c:v>
                </c:pt>
                <c:pt idx="1">
                  <c:v>0.26315789473684209</c:v>
                </c:pt>
                <c:pt idx="2">
                  <c:v>0.47368421052631576</c:v>
                </c:pt>
              </c:numCache>
            </c:numRef>
          </c:val>
          <c:extLst>
            <c:ext xmlns:c16="http://schemas.microsoft.com/office/drawing/2014/chart" uri="{C3380CC4-5D6E-409C-BE32-E72D297353CC}">
              <c16:uniqueId val="{00000006-74F2-4C3C-BFF4-0A767DF7E54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000"/>
              <a:t>Semáforo</a:t>
            </a:r>
            <a:r>
              <a:rPr lang="es-AR" sz="1000" baseline="0"/>
              <a:t> por </a:t>
            </a:r>
          </a:p>
          <a:p>
            <a:pPr>
              <a:defRPr/>
            </a:pPr>
            <a:r>
              <a:rPr lang="es-AR" sz="1000" baseline="0"/>
              <a:t>volumen de </a:t>
            </a:r>
          </a:p>
          <a:p>
            <a:pPr>
              <a:defRPr/>
            </a:pPr>
            <a:r>
              <a:rPr lang="es-AR" sz="1000" baseline="0"/>
              <a:t>producción (t)</a:t>
            </a:r>
            <a:endParaRPr lang="es-AR" sz="1000"/>
          </a:p>
        </c:rich>
      </c:tx>
      <c:layout>
        <c:manualLayout>
          <c:xMode val="edge"/>
          <c:yMode val="edge"/>
          <c:x val="0.54466717935728348"/>
          <c:y val="0.16685201485979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4.8479896705947545E-2"/>
          <c:y val="0.23916640455160551"/>
          <c:w val="0.45012331093283786"/>
          <c:h val="0.76083359544839446"/>
        </c:manualLayout>
      </c:layout>
      <c:pie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D1AB-47A0-B002-3E6509705FCC}"/>
              </c:ext>
            </c:extLst>
          </c:dPt>
          <c:dPt>
            <c:idx val="1"/>
            <c:bubble3D val="0"/>
            <c:spPr>
              <a:solidFill>
                <a:srgbClr val="C7BC27"/>
              </a:solidFill>
              <a:ln w="19050">
                <a:solidFill>
                  <a:schemeClr val="lt1"/>
                </a:solidFill>
              </a:ln>
              <a:effectLst/>
            </c:spPr>
            <c:extLst>
              <c:ext xmlns:c16="http://schemas.microsoft.com/office/drawing/2014/chart" uri="{C3380CC4-5D6E-409C-BE32-E72D297353CC}">
                <c16:uniqueId val="{00000003-D1AB-47A0-B002-3E6509705FCC}"/>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5-D1AB-47A0-B002-3E6509705F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E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'Abr24'!$BU$28:$BU$30</c:f>
              <c:numCache>
                <c:formatCode>_-* #,##0_-;\-* #,##0_-;_-* "-"??_-;_-@_-</c:formatCode>
                <c:ptCount val="3"/>
                <c:pt idx="0">
                  <c:v>157461743.62008399</c:v>
                </c:pt>
                <c:pt idx="1">
                  <c:v>2841120</c:v>
                </c:pt>
                <c:pt idx="2">
                  <c:v>5270179.4800000004</c:v>
                </c:pt>
              </c:numCache>
            </c:numRef>
          </c:val>
          <c:extLst>
            <c:ext xmlns:c16="http://schemas.microsoft.com/office/drawing/2014/chart" uri="{C3380CC4-5D6E-409C-BE32-E72D297353CC}">
              <c16:uniqueId val="{00000006-D1AB-47A0-B002-3E6509705FC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000"/>
              <a:t>Semáforo</a:t>
            </a:r>
            <a:r>
              <a:rPr lang="es-AR" sz="1000" baseline="0"/>
              <a:t> por </a:t>
            </a:r>
          </a:p>
          <a:p>
            <a:pPr>
              <a:defRPr/>
            </a:pPr>
            <a:r>
              <a:rPr lang="es-AR" sz="1000" baseline="0"/>
              <a:t>volumen de </a:t>
            </a:r>
          </a:p>
          <a:p>
            <a:pPr>
              <a:defRPr/>
            </a:pPr>
            <a:r>
              <a:rPr lang="es-AR" sz="1000" baseline="0"/>
              <a:t>producción (t)</a:t>
            </a:r>
            <a:endParaRPr lang="es-AR" sz="1000"/>
          </a:p>
        </c:rich>
      </c:tx>
      <c:layout>
        <c:manualLayout>
          <c:xMode val="edge"/>
          <c:yMode val="edge"/>
          <c:x val="0.54466717935728348"/>
          <c:y val="0.16685201485979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4.8479896705947545E-2"/>
          <c:y val="0.23916640455160551"/>
          <c:w val="0.45012331093283786"/>
          <c:h val="0.76083359544839446"/>
        </c:manualLayout>
      </c:layout>
      <c:pie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CA73-4D53-AE0C-187DBE6E2314}"/>
              </c:ext>
            </c:extLst>
          </c:dPt>
          <c:dPt>
            <c:idx val="1"/>
            <c:bubble3D val="0"/>
            <c:spPr>
              <a:solidFill>
                <a:srgbClr val="C7BC27"/>
              </a:solidFill>
              <a:ln w="19050">
                <a:solidFill>
                  <a:schemeClr val="lt1"/>
                </a:solidFill>
              </a:ln>
              <a:effectLst/>
            </c:spPr>
            <c:extLst>
              <c:ext xmlns:c16="http://schemas.microsoft.com/office/drawing/2014/chart" uri="{C3380CC4-5D6E-409C-BE32-E72D297353CC}">
                <c16:uniqueId val="{00000003-CA73-4D53-AE0C-187DBE6E2314}"/>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5-CA73-4D53-AE0C-187DBE6E23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E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'Mar24'!$BU$28:$BU$30</c:f>
              <c:numCache>
                <c:formatCode>_-* #,##0_-;\-* #,##0_-;_-* "-"??_-;_-@_-</c:formatCode>
                <c:ptCount val="3"/>
                <c:pt idx="0">
                  <c:v>132841977.962584</c:v>
                </c:pt>
                <c:pt idx="1">
                  <c:v>2841120</c:v>
                </c:pt>
                <c:pt idx="2">
                  <c:v>8559297.5</c:v>
                </c:pt>
              </c:numCache>
            </c:numRef>
          </c:val>
          <c:extLst>
            <c:ext xmlns:c16="http://schemas.microsoft.com/office/drawing/2014/chart" uri="{C3380CC4-5D6E-409C-BE32-E72D297353CC}">
              <c16:uniqueId val="{00000006-CA73-4D53-AE0C-187DBE6E231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000"/>
              <a:t>Semáforo</a:t>
            </a:r>
            <a:r>
              <a:rPr lang="es-AR" sz="1000" baseline="0"/>
              <a:t> por </a:t>
            </a:r>
          </a:p>
          <a:p>
            <a:pPr>
              <a:defRPr/>
            </a:pPr>
            <a:r>
              <a:rPr lang="es-AR" sz="1000" baseline="0"/>
              <a:t>volumen de </a:t>
            </a:r>
          </a:p>
          <a:p>
            <a:pPr>
              <a:defRPr/>
            </a:pPr>
            <a:r>
              <a:rPr lang="es-AR" sz="1000" baseline="0"/>
              <a:t>producción (t)</a:t>
            </a:r>
            <a:endParaRPr lang="es-AR" sz="1000"/>
          </a:p>
        </c:rich>
      </c:tx>
      <c:layout>
        <c:manualLayout>
          <c:xMode val="edge"/>
          <c:yMode val="edge"/>
          <c:x val="0.54466717935728348"/>
          <c:y val="0.16685201485979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4.8479896705947545E-2"/>
          <c:y val="0.23916640455160551"/>
          <c:w val="0.45012331093283786"/>
          <c:h val="0.76083359544839446"/>
        </c:manualLayout>
      </c:layout>
      <c:pie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D807-4ABB-AF8E-4E8FADD334A0}"/>
              </c:ext>
            </c:extLst>
          </c:dPt>
          <c:dPt>
            <c:idx val="1"/>
            <c:bubble3D val="0"/>
            <c:spPr>
              <a:solidFill>
                <a:srgbClr val="C7BC27"/>
              </a:solidFill>
              <a:ln w="19050">
                <a:solidFill>
                  <a:schemeClr val="lt1"/>
                </a:solidFill>
              </a:ln>
              <a:effectLst/>
            </c:spPr>
            <c:extLst>
              <c:ext xmlns:c16="http://schemas.microsoft.com/office/drawing/2014/chart" uri="{C3380CC4-5D6E-409C-BE32-E72D297353CC}">
                <c16:uniqueId val="{00000002-D807-4ABB-AF8E-4E8FADD334A0}"/>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3-D807-4ABB-AF8E-4E8FADD334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E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'Feb24'!$BU$28:$BU$30</c:f>
              <c:numCache>
                <c:formatCode>_-* #,##0_-;\-* #,##0_-;_-* "-"??_-;_-@_-</c:formatCode>
                <c:ptCount val="3"/>
                <c:pt idx="0">
                  <c:v>126261926.94428501</c:v>
                </c:pt>
                <c:pt idx="1">
                  <c:v>8772132.5529999994</c:v>
                </c:pt>
                <c:pt idx="2">
                  <c:v>9344281.5600000005</c:v>
                </c:pt>
              </c:numCache>
            </c:numRef>
          </c:val>
          <c:extLst>
            <c:ext xmlns:c16="http://schemas.microsoft.com/office/drawing/2014/chart" uri="{C3380CC4-5D6E-409C-BE32-E72D297353CC}">
              <c16:uniqueId val="{00000000-D807-4ABB-AF8E-4E8FADD334A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8743978537655399E-2"/>
          <c:y val="4.3519135802469099E-2"/>
          <c:w val="0.82342448900944099"/>
          <c:h val="0.91480700935153703"/>
        </c:manualLayout>
      </c:layout>
      <c:lineChart>
        <c:grouping val="standard"/>
        <c:varyColors val="0"/>
        <c:ser>
          <c:idx val="2"/>
          <c:order val="0"/>
          <c:spPr>
            <a:ln w="12700">
              <a:solidFill>
                <a:schemeClr val="tx1">
                  <a:lumMod val="50000"/>
                  <a:lumOff val="50000"/>
                </a:schemeClr>
              </a:solidFill>
            </a:ln>
          </c:spPr>
          <c:marker>
            <c:symbol val="none"/>
          </c:marker>
          <c:cat>
            <c:numRef>
              <c:f>'precio-costo'!$A$10:$A$80</c:f>
              <c:numCache>
                <c:formatCode>mmm\-yy</c:formatCode>
                <c:ptCount val="71"/>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numCache>
            </c:numRef>
          </c:cat>
          <c:val>
            <c:numRef>
              <c:f>'precio-costo'!$F$10:$F$65</c:f>
            </c:numRef>
          </c:val>
          <c:smooth val="0"/>
          <c:extLst>
            <c:ext xmlns:c16="http://schemas.microsoft.com/office/drawing/2014/chart" uri="{C3380CC4-5D6E-409C-BE32-E72D297353CC}">
              <c16:uniqueId val="{00000000-A1FE-4E0F-85BE-7CFE25E82287}"/>
            </c:ext>
          </c:extLst>
        </c:ser>
        <c:ser>
          <c:idx val="0"/>
          <c:order val="1"/>
          <c:spPr>
            <a:ln w="38100">
              <a:solidFill>
                <a:srgbClr val="FF6600"/>
              </a:solidFill>
            </a:ln>
          </c:spPr>
          <c:marker>
            <c:symbol val="none"/>
          </c:marker>
          <c:cat>
            <c:numRef>
              <c:f>'precio-costo'!$A$10:$A$80</c:f>
              <c:numCache>
                <c:formatCode>mmm\-yy</c:formatCode>
                <c:ptCount val="71"/>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numCache>
            </c:numRef>
          </c:cat>
          <c:val>
            <c:numRef>
              <c:f>'precio-costo'!$M$10:$M$80</c:f>
              <c:numCache>
                <c:formatCode>#,##0</c:formatCode>
                <c:ptCount val="71"/>
                <c:pt idx="0">
                  <c:v>100</c:v>
                </c:pt>
                <c:pt idx="1">
                  <c:v>104.87302878177832</c:v>
                </c:pt>
                <c:pt idx="2">
                  <c:v>103.47562484060668</c:v>
                </c:pt>
                <c:pt idx="3">
                  <c:v>105.10885483910934</c:v>
                </c:pt>
                <c:pt idx="4">
                  <c:v>105.13876277204781</c:v>
                </c:pt>
                <c:pt idx="5">
                  <c:v>107.69239399822908</c:v>
                </c:pt>
                <c:pt idx="6">
                  <c:v>107.37503449256896</c:v>
                </c:pt>
                <c:pt idx="7">
                  <c:v>120.78835000477545</c:v>
                </c:pt>
                <c:pt idx="8">
                  <c:v>121.06851426512608</c:v>
                </c:pt>
                <c:pt idx="9">
                  <c:v>131.77847924081868</c:v>
                </c:pt>
                <c:pt idx="10">
                  <c:v>132.1844090708384</c:v>
                </c:pt>
                <c:pt idx="11">
                  <c:v>132.41767437746472</c:v>
                </c:pt>
                <c:pt idx="12">
                  <c:v>134.1691947573041</c:v>
                </c:pt>
                <c:pt idx="13">
                  <c:v>133.57617734264039</c:v>
                </c:pt>
                <c:pt idx="14">
                  <c:v>133.81803203417587</c:v>
                </c:pt>
                <c:pt idx="15">
                  <c:v>133.02606136796356</c:v>
                </c:pt>
                <c:pt idx="16">
                  <c:v>135.86328758496367</c:v>
                </c:pt>
                <c:pt idx="17">
                  <c:v>135.42231828955354</c:v>
                </c:pt>
                <c:pt idx="18">
                  <c:v>136.94784831015804</c:v>
                </c:pt>
                <c:pt idx="19">
                  <c:v>156.3629433509914</c:v>
                </c:pt>
                <c:pt idx="20">
                  <c:v>156.42127900305468</c:v>
                </c:pt>
                <c:pt idx="21">
                  <c:v>158.10839242882801</c:v>
                </c:pt>
                <c:pt idx="22">
                  <c:v>159.64594160296483</c:v>
                </c:pt>
                <c:pt idx="23">
                  <c:v>160.98919536118598</c:v>
                </c:pt>
                <c:pt idx="24">
                  <c:v>162.635429216826</c:v>
                </c:pt>
                <c:pt idx="25">
                  <c:v>163.09301124380144</c:v>
                </c:pt>
                <c:pt idx="26">
                  <c:v>165.42406182697235</c:v>
                </c:pt>
                <c:pt idx="27">
                  <c:v>166.93803160554063</c:v>
                </c:pt>
                <c:pt idx="28">
                  <c:v>173.45478261288497</c:v>
                </c:pt>
                <c:pt idx="29">
                  <c:v>174.63398859348746</c:v>
                </c:pt>
                <c:pt idx="30">
                  <c:v>177.9130675785533</c:v>
                </c:pt>
                <c:pt idx="31">
                  <c:v>203.91787015519327</c:v>
                </c:pt>
                <c:pt idx="32">
                  <c:v>211.85659672172113</c:v>
                </c:pt>
                <c:pt idx="33">
                  <c:v>219.65482759106743</c:v>
                </c:pt>
                <c:pt idx="34">
                  <c:v>223.15776146624069</c:v>
                </c:pt>
                <c:pt idx="35">
                  <c:v>224.32369424182031</c:v>
                </c:pt>
                <c:pt idx="36">
                  <c:v>228.11477493408256</c:v>
                </c:pt>
                <c:pt idx="37">
                  <c:v>252.8437372408666</c:v>
                </c:pt>
                <c:pt idx="38">
                  <c:v>263.47784887579769</c:v>
                </c:pt>
                <c:pt idx="39">
                  <c:v>263.33161916203983</c:v>
                </c:pt>
                <c:pt idx="40">
                  <c:v>266.74437805151837</c:v>
                </c:pt>
                <c:pt idx="41">
                  <c:v>265.4087223708575</c:v>
                </c:pt>
                <c:pt idx="42">
                  <c:v>269.72123543135854</c:v>
                </c:pt>
                <c:pt idx="43">
                  <c:v>324.48053425632628</c:v>
                </c:pt>
                <c:pt idx="44">
                  <c:v>315.53478164560443</c:v>
                </c:pt>
                <c:pt idx="45">
                  <c:v>335.13288047250137</c:v>
                </c:pt>
                <c:pt idx="46">
                  <c:v>336.03479105742974</c:v>
                </c:pt>
                <c:pt idx="47">
                  <c:v>343.19446604402566</c:v>
                </c:pt>
                <c:pt idx="48">
                  <c:v>344.14325973965265</c:v>
                </c:pt>
                <c:pt idx="49">
                  <c:v>387.41008986531966</c:v>
                </c:pt>
                <c:pt idx="50">
                  <c:v>396.47698635092257</c:v>
                </c:pt>
                <c:pt idx="51">
                  <c:v>413.04069100675804</c:v>
                </c:pt>
                <c:pt idx="52">
                  <c:v>419.8097341539393</c:v>
                </c:pt>
                <c:pt idx="53">
                  <c:v>429.34658313976257</c:v>
                </c:pt>
                <c:pt idx="54">
                  <c:v>457.14476507183014</c:v>
                </c:pt>
                <c:pt idx="55">
                  <c:v>457.73790710094761</c:v>
                </c:pt>
                <c:pt idx="56">
                  <c:v>466.51294197682472</c:v>
                </c:pt>
                <c:pt idx="57">
                  <c:v>481.83567212552987</c:v>
                </c:pt>
                <c:pt idx="58">
                  <c:v>516.76209545177073</c:v>
                </c:pt>
                <c:pt idx="59">
                  <c:v>520.43968032868304</c:v>
                </c:pt>
                <c:pt idx="60">
                  <c:v>545.24204839324489</c:v>
                </c:pt>
                <c:pt idx="61">
                  <c:v>556.64969563812292</c:v>
                </c:pt>
                <c:pt idx="62">
                  <c:v>558.57430485364114</c:v>
                </c:pt>
                <c:pt idx="63">
                  <c:v>573.92711706891362</c:v>
                </c:pt>
                <c:pt idx="64">
                  <c:v>583.35458134208864</c:v>
                </c:pt>
                <c:pt idx="65">
                  <c:v>595.53266489083182</c:v>
                </c:pt>
                <c:pt idx="66">
                  <c:v>629.57984885307189</c:v>
                </c:pt>
                <c:pt idx="67">
                  <c:v>734.49823835998541</c:v>
                </c:pt>
                <c:pt idx="68">
                  <c:v>736.5486400809782</c:v>
                </c:pt>
                <c:pt idx="69">
                  <c:v>746.12943203159148</c:v>
                </c:pt>
                <c:pt idx="70">
                  <c:v>780.04246758782097</c:v>
                </c:pt>
              </c:numCache>
            </c:numRef>
          </c:val>
          <c:smooth val="0"/>
          <c:extLst>
            <c:ext xmlns:c16="http://schemas.microsoft.com/office/drawing/2014/chart" uri="{C3380CC4-5D6E-409C-BE32-E72D297353CC}">
              <c16:uniqueId val="{00000001-A1FE-4E0F-85BE-7CFE25E82287}"/>
            </c:ext>
          </c:extLst>
        </c:ser>
        <c:ser>
          <c:idx val="1"/>
          <c:order val="2"/>
          <c:spPr>
            <a:ln w="38100">
              <a:solidFill>
                <a:srgbClr val="3F762B"/>
              </a:solidFill>
            </a:ln>
          </c:spPr>
          <c:marker>
            <c:symbol val="none"/>
          </c:marker>
          <c:cat>
            <c:numRef>
              <c:f>'precio-costo'!$A$10:$A$80</c:f>
              <c:numCache>
                <c:formatCode>mmm\-yy</c:formatCode>
                <c:ptCount val="71"/>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numCache>
            </c:numRef>
          </c:cat>
          <c:val>
            <c:numRef>
              <c:f>'precio-costo'!$L$10:$L$80</c:f>
              <c:numCache>
                <c:formatCode>#,##0</c:formatCode>
                <c:ptCount val="71"/>
                <c:pt idx="0">
                  <c:v>100</c:v>
                </c:pt>
                <c:pt idx="1">
                  <c:v>100</c:v>
                </c:pt>
                <c:pt idx="2">
                  <c:v>100</c:v>
                </c:pt>
                <c:pt idx="3">
                  <c:v>112.42977528089888</c:v>
                </c:pt>
                <c:pt idx="4">
                  <c:v>112.42977528089888</c:v>
                </c:pt>
                <c:pt idx="5">
                  <c:v>112.42977528089888</c:v>
                </c:pt>
                <c:pt idx="6">
                  <c:v>112.42977528089888</c:v>
                </c:pt>
                <c:pt idx="7">
                  <c:v>112.42977528089888</c:v>
                </c:pt>
                <c:pt idx="8">
                  <c:v>112.42977528089888</c:v>
                </c:pt>
                <c:pt idx="9">
                  <c:v>119.38202247191012</c:v>
                </c:pt>
                <c:pt idx="10">
                  <c:v>119.38202247191012</c:v>
                </c:pt>
                <c:pt idx="11">
                  <c:v>119.38202247191012</c:v>
                </c:pt>
                <c:pt idx="12">
                  <c:v>119.38202247191012</c:v>
                </c:pt>
                <c:pt idx="13">
                  <c:v>119.38202247191012</c:v>
                </c:pt>
                <c:pt idx="14">
                  <c:v>119.38202247191012</c:v>
                </c:pt>
                <c:pt idx="15">
                  <c:v>140.73033707865167</c:v>
                </c:pt>
                <c:pt idx="16">
                  <c:v>140.73033707865167</c:v>
                </c:pt>
                <c:pt idx="17">
                  <c:v>140.73033707865167</c:v>
                </c:pt>
                <c:pt idx="18">
                  <c:v>140.73033707865167</c:v>
                </c:pt>
                <c:pt idx="19">
                  <c:v>140.73033707865167</c:v>
                </c:pt>
                <c:pt idx="20">
                  <c:v>140.73033707865167</c:v>
                </c:pt>
                <c:pt idx="21">
                  <c:v>147.47191011235955</c:v>
                </c:pt>
                <c:pt idx="22">
                  <c:v>147.47191011235955</c:v>
                </c:pt>
                <c:pt idx="23">
                  <c:v>147.47191011235955</c:v>
                </c:pt>
                <c:pt idx="24">
                  <c:v>147.47191011235955</c:v>
                </c:pt>
                <c:pt idx="25">
                  <c:v>147.47191011235955</c:v>
                </c:pt>
                <c:pt idx="26">
                  <c:v>147.47191011235955</c:v>
                </c:pt>
                <c:pt idx="27">
                  <c:v>164.32584269662922</c:v>
                </c:pt>
                <c:pt idx="28">
                  <c:v>164.32584269662922</c:v>
                </c:pt>
                <c:pt idx="29">
                  <c:v>164.32584269662922</c:v>
                </c:pt>
                <c:pt idx="30">
                  <c:v>164.32584269662922</c:v>
                </c:pt>
                <c:pt idx="31">
                  <c:v>164.32584269662922</c:v>
                </c:pt>
                <c:pt idx="32">
                  <c:v>164.32584269662922</c:v>
                </c:pt>
                <c:pt idx="33">
                  <c:v>196.62921348314606</c:v>
                </c:pt>
                <c:pt idx="34">
                  <c:v>196.62921348314606</c:v>
                </c:pt>
                <c:pt idx="35">
                  <c:v>196.62921348314606</c:v>
                </c:pt>
                <c:pt idx="36">
                  <c:v>196.62921348314606</c:v>
                </c:pt>
                <c:pt idx="37">
                  <c:v>196.62921348314606</c:v>
                </c:pt>
                <c:pt idx="38">
                  <c:v>270.36516853932585</c:v>
                </c:pt>
                <c:pt idx="39">
                  <c:v>270.36516853932585</c:v>
                </c:pt>
                <c:pt idx="40">
                  <c:v>270.36516853932585</c:v>
                </c:pt>
                <c:pt idx="41">
                  <c:v>270.36516853932585</c:v>
                </c:pt>
                <c:pt idx="42">
                  <c:v>270.36516853932585</c:v>
                </c:pt>
                <c:pt idx="43">
                  <c:v>270.36516853932585</c:v>
                </c:pt>
                <c:pt idx="44">
                  <c:v>270.36516853932585</c:v>
                </c:pt>
                <c:pt idx="45">
                  <c:v>356.97565543071158</c:v>
                </c:pt>
                <c:pt idx="46">
                  <c:v>356.97565543071158</c:v>
                </c:pt>
                <c:pt idx="47">
                  <c:v>356.97565543071158</c:v>
                </c:pt>
                <c:pt idx="48">
                  <c:v>356.97565543071158</c:v>
                </c:pt>
                <c:pt idx="49">
                  <c:v>356.97565543071158</c:v>
                </c:pt>
                <c:pt idx="50">
                  <c:v>356.97565543071158</c:v>
                </c:pt>
                <c:pt idx="51">
                  <c:v>468.16479400749063</c:v>
                </c:pt>
                <c:pt idx="52">
                  <c:v>468.16479400749063</c:v>
                </c:pt>
                <c:pt idx="53">
                  <c:v>468.16479400749063</c:v>
                </c:pt>
                <c:pt idx="54">
                  <c:v>468.16479400749063</c:v>
                </c:pt>
                <c:pt idx="55">
                  <c:v>468.16479400749063</c:v>
                </c:pt>
                <c:pt idx="56">
                  <c:v>468.16479400749063</c:v>
                </c:pt>
                <c:pt idx="57">
                  <c:v>570.92696629213481</c:v>
                </c:pt>
                <c:pt idx="58">
                  <c:v>570.92696629213481</c:v>
                </c:pt>
                <c:pt idx="59">
                  <c:v>570.92696629213481</c:v>
                </c:pt>
                <c:pt idx="60">
                  <c:v>570.92696629213481</c:v>
                </c:pt>
                <c:pt idx="61">
                  <c:v>570.92696629213481</c:v>
                </c:pt>
                <c:pt idx="62">
                  <c:v>570.92696629213481</c:v>
                </c:pt>
                <c:pt idx="63">
                  <c:v>570.92696629213481</c:v>
                </c:pt>
                <c:pt idx="64">
                  <c:v>695.22471910112358</c:v>
                </c:pt>
                <c:pt idx="65">
                  <c:v>695.22471910112358</c:v>
                </c:pt>
                <c:pt idx="66">
                  <c:v>695.22471910112358</c:v>
                </c:pt>
                <c:pt idx="67">
                  <c:v>695.22471910112358</c:v>
                </c:pt>
                <c:pt idx="68">
                  <c:v>695.22471910112358</c:v>
                </c:pt>
                <c:pt idx="69">
                  <c:v>695.22471910112358</c:v>
                </c:pt>
                <c:pt idx="70">
                  <c:v>862.12546816479403</c:v>
                </c:pt>
              </c:numCache>
            </c:numRef>
          </c:val>
          <c:smooth val="0"/>
          <c:extLst>
            <c:ext xmlns:c16="http://schemas.microsoft.com/office/drawing/2014/chart" uri="{C3380CC4-5D6E-409C-BE32-E72D297353CC}">
              <c16:uniqueId val="{00000002-A1FE-4E0F-85BE-7CFE25E82287}"/>
            </c:ext>
          </c:extLst>
        </c:ser>
        <c:dLbls>
          <c:showLegendKey val="0"/>
          <c:showVal val="0"/>
          <c:showCatName val="0"/>
          <c:showSerName val="0"/>
          <c:showPercent val="0"/>
          <c:showBubbleSize val="0"/>
        </c:dLbls>
        <c:smooth val="0"/>
        <c:axId val="-2034152896"/>
        <c:axId val="1792758704"/>
      </c:lineChart>
      <c:dateAx>
        <c:axId val="-2034152896"/>
        <c:scaling>
          <c:orientation val="minMax"/>
        </c:scaling>
        <c:delete val="0"/>
        <c:axPos val="b"/>
        <c:numFmt formatCode="mmm\-yy" sourceLinked="1"/>
        <c:majorTickMark val="none"/>
        <c:minorTickMark val="none"/>
        <c:tickLblPos val="nextTo"/>
        <c:txPr>
          <a:bodyPr rot="-5400000" vert="horz"/>
          <a:lstStyle/>
          <a:p>
            <a:pPr>
              <a:defRPr sz="1050"/>
            </a:pPr>
            <a:endParaRPr lang="es-ES"/>
          </a:p>
        </c:txPr>
        <c:crossAx val="1792758704"/>
        <c:crosses val="autoZero"/>
        <c:auto val="1"/>
        <c:lblOffset val="100"/>
        <c:baseTimeUnit val="months"/>
        <c:majorUnit val="4"/>
      </c:dateAx>
      <c:valAx>
        <c:axId val="1792758704"/>
        <c:scaling>
          <c:orientation val="minMax"/>
          <c:min val="0"/>
        </c:scaling>
        <c:delete val="0"/>
        <c:axPos val="l"/>
        <c:numFmt formatCode="#,##0" sourceLinked="0"/>
        <c:majorTickMark val="out"/>
        <c:minorTickMark val="none"/>
        <c:tickLblPos val="nextTo"/>
        <c:spPr>
          <a:ln>
            <a:noFill/>
          </a:ln>
        </c:spPr>
        <c:txPr>
          <a:bodyPr/>
          <a:lstStyle/>
          <a:p>
            <a:pPr>
              <a:defRPr sz="1000"/>
            </a:pPr>
            <a:endParaRPr lang="es-ES"/>
          </a:p>
        </c:txPr>
        <c:crossAx val="-2034152896"/>
        <c:crosses val="autoZero"/>
        <c:crossBetween val="between"/>
        <c:majorUnit val="100"/>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247594050743664E-2"/>
          <c:y val="0.2257617381756456"/>
          <c:w val="0.90826934067280429"/>
          <c:h val="0.60385748807363171"/>
        </c:manualLayout>
      </c:layout>
      <c:lineChart>
        <c:grouping val="standard"/>
        <c:varyColors val="0"/>
        <c:ser>
          <c:idx val="1"/>
          <c:order val="0"/>
          <c:tx>
            <c:strRef>
              <c:f>'precio-costo'!$T$8</c:f>
              <c:strCache>
                <c:ptCount val="1"/>
                <c:pt idx="0">
                  <c:v> Precio Yerba Mate constante indice </c:v>
                </c:pt>
              </c:strCache>
            </c:strRef>
          </c:tx>
          <c:spPr>
            <a:ln w="28575" cap="rnd">
              <a:solidFill>
                <a:srgbClr val="008000"/>
              </a:solidFill>
              <a:round/>
            </a:ln>
            <a:effectLst/>
          </c:spPr>
          <c:marker>
            <c:symbol val="circle"/>
            <c:size val="5"/>
            <c:spPr>
              <a:solidFill>
                <a:srgbClr val="008000"/>
              </a:solidFill>
              <a:ln w="9525">
                <a:solidFill>
                  <a:srgbClr val="008000"/>
                </a:solidFill>
              </a:ln>
              <a:effectLst/>
            </c:spPr>
          </c:marker>
          <c:cat>
            <c:numRef>
              <c:f>'precio-costo'!$A$10:$A$109</c:f>
              <c:numCache>
                <c:formatCode>mmm\-yy</c:formatCode>
                <c:ptCount val="100"/>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numCache>
            </c:numRef>
          </c:cat>
          <c:val>
            <c:numRef>
              <c:f>'precio-costo'!$T$10:$T$109</c:f>
              <c:numCache>
                <c:formatCode>#,##0</c:formatCode>
                <c:ptCount val="100"/>
                <c:pt idx="0">
                  <c:v>100</c:v>
                </c:pt>
                <c:pt idx="1">
                  <c:v>95.541731467081391</c:v>
                </c:pt>
                <c:pt idx="2">
                  <c:v>92.846347607052891</c:v>
                </c:pt>
                <c:pt idx="3">
                  <c:v>98.482925780749355</c:v>
                </c:pt>
                <c:pt idx="4">
                  <c:v>94.875492601967323</c:v>
                </c:pt>
                <c:pt idx="5">
                  <c:v>92.297583894296935</c:v>
                </c:pt>
                <c:pt idx="6">
                  <c:v>90.090467757694185</c:v>
                </c:pt>
                <c:pt idx="7">
                  <c:v>89.121753050622203</c:v>
                </c:pt>
                <c:pt idx="8">
                  <c:v>88.248754617843545</c:v>
                </c:pt>
                <c:pt idx="9">
                  <c:v>91.257182669319917</c:v>
                </c:pt>
                <c:pt idx="10">
                  <c:v>89.731267298421841</c:v>
                </c:pt>
                <c:pt idx="11">
                  <c:v>88.290958031994521</c:v>
                </c:pt>
                <c:pt idx="12">
                  <c:v>86.900549244089092</c:v>
                </c:pt>
                <c:pt idx="13">
                  <c:v>85.140750271932987</c:v>
                </c:pt>
                <c:pt idx="14">
                  <c:v>83.214852056545269</c:v>
                </c:pt>
                <c:pt idx="15">
                  <c:v>95.485741983873183</c:v>
                </c:pt>
                <c:pt idx="16">
                  <c:v>94.189555441105668</c:v>
                </c:pt>
                <c:pt idx="17">
                  <c:v>93.094328052255619</c:v>
                </c:pt>
                <c:pt idx="18">
                  <c:v>91.458223868560424</c:v>
                </c:pt>
                <c:pt idx="19">
                  <c:v>90.190172237800496</c:v>
                </c:pt>
                <c:pt idx="20">
                  <c:v>88.502941124508311</c:v>
                </c:pt>
                <c:pt idx="21">
                  <c:v>91.344473281696963</c:v>
                </c:pt>
                <c:pt idx="22">
                  <c:v>90.136612477972037</c:v>
                </c:pt>
                <c:pt idx="23">
                  <c:v>87.392068187777397</c:v>
                </c:pt>
                <c:pt idx="24">
                  <c:v>85.878189841217463</c:v>
                </c:pt>
                <c:pt idx="25">
                  <c:v>83.831899383817188</c:v>
                </c:pt>
                <c:pt idx="26">
                  <c:v>81.942374979974588</c:v>
                </c:pt>
                <c:pt idx="27">
                  <c:v>88.837651270582711</c:v>
                </c:pt>
                <c:pt idx="28">
                  <c:v>87.05580726229023</c:v>
                </c:pt>
                <c:pt idx="29">
                  <c:v>83.929493741821233</c:v>
                </c:pt>
                <c:pt idx="30">
                  <c:v>81.39980370941538</c:v>
                </c:pt>
                <c:pt idx="31">
                  <c:v>78.355839418541052</c:v>
                </c:pt>
                <c:pt idx="32">
                  <c:v>73.565318969828795</c:v>
                </c:pt>
                <c:pt idx="33">
                  <c:v>83.5269393822295</c:v>
                </c:pt>
                <c:pt idx="34">
                  <c:v>80.969043131660115</c:v>
                </c:pt>
                <c:pt idx="35">
                  <c:v>78.904178765307407</c:v>
                </c:pt>
                <c:pt idx="36">
                  <c:v>76.698523979146387</c:v>
                </c:pt>
                <c:pt idx="37">
                  <c:v>73.892480418933701</c:v>
                </c:pt>
                <c:pt idx="38">
                  <c:v>97.064588356133314</c:v>
                </c:pt>
                <c:pt idx="39">
                  <c:v>93.830620372423581</c:v>
                </c:pt>
                <c:pt idx="40">
                  <c:v>91.053302374150576</c:v>
                </c:pt>
                <c:pt idx="41">
                  <c:v>88.670976502720464</c:v>
                </c:pt>
                <c:pt idx="42">
                  <c:v>86.747527988561686</c:v>
                </c:pt>
                <c:pt idx="43">
                  <c:v>83.452859771967709</c:v>
                </c:pt>
                <c:pt idx="44">
                  <c:v>78.811593705587967</c:v>
                </c:pt>
                <c:pt idx="45">
                  <c:v>100.74072017258963</c:v>
                </c:pt>
                <c:pt idx="46">
                  <c:v>96.629578695016505</c:v>
                </c:pt>
                <c:pt idx="47">
                  <c:v>93.142592604900315</c:v>
                </c:pt>
                <c:pt idx="48">
                  <c:v>91.090421129158472</c:v>
                </c:pt>
                <c:pt idx="49">
                  <c:v>89.292403072459777</c:v>
                </c:pt>
                <c:pt idx="50">
                  <c:v>86.403528200064116</c:v>
                </c:pt>
                <c:pt idx="51">
                  <c:v>111.64525034183417</c:v>
                </c:pt>
                <c:pt idx="52">
                  <c:v>109.94902684678473</c:v>
                </c:pt>
                <c:pt idx="53">
                  <c:v>107.53640547953309</c:v>
                </c:pt>
                <c:pt idx="54">
                  <c:v>105.49590925141112</c:v>
                </c:pt>
                <c:pt idx="55">
                  <c:v>102.72229395136011</c:v>
                </c:pt>
                <c:pt idx="56">
                  <c:v>99.889894373261839</c:v>
                </c:pt>
                <c:pt idx="57">
                  <c:v>117.40033499239479</c:v>
                </c:pt>
                <c:pt idx="58">
                  <c:v>113.81092259396155</c:v>
                </c:pt>
                <c:pt idx="59">
                  <c:v>109.41656460834344</c:v>
                </c:pt>
                <c:pt idx="60">
                  <c:v>105.16526097723471</c:v>
                </c:pt>
                <c:pt idx="61">
                  <c:v>101.53393702045939</c:v>
                </c:pt>
                <c:pt idx="62">
                  <c:v>96.873537611148876</c:v>
                </c:pt>
                <c:pt idx="63">
                  <c:v>93.075772863722847</c:v>
                </c:pt>
                <c:pt idx="64">
                  <c:v>109.69438175736379</c:v>
                </c:pt>
                <c:pt idx="65">
                  <c:v>106.31922689207727</c:v>
                </c:pt>
                <c:pt idx="66">
                  <c:v>103.2255235543083</c:v>
                </c:pt>
                <c:pt idx="67">
                  <c:v>100.73879971445668</c:v>
                </c:pt>
                <c:pt idx="68">
                  <c:v>97.28819377755994</c:v>
                </c:pt>
                <c:pt idx="69">
                  <c:v>93.980075103674523</c:v>
                </c:pt>
                <c:pt idx="70">
                  <c:v>113.67431139444513</c:v>
                </c:pt>
                <c:pt idx="71">
                  <c:v>109.45909229380992</c:v>
                </c:pt>
                <c:pt idx="72">
                  <c:v>105.38829960519716</c:v>
                </c:pt>
                <c:pt idx="73">
                  <c:v>100.66296378456627</c:v>
                </c:pt>
                <c:pt idx="74">
                  <c:v>94.305459637840954</c:v>
                </c:pt>
                <c:pt idx="75">
                  <c:v>113.2316160298076</c:v>
                </c:pt>
                <c:pt idx="76">
                  <c:v>107.78880033431027</c:v>
                </c:pt>
                <c:pt idx="77">
                  <c:v>102.3653789807933</c:v>
                </c:pt>
                <c:pt idx="78">
                  <c:v>95.29906730660845</c:v>
                </c:pt>
                <c:pt idx="79">
                  <c:v>89.096417003368543</c:v>
                </c:pt>
                <c:pt idx="80">
                  <c:v>83.919927149559683</c:v>
                </c:pt>
                <c:pt idx="81">
                  <c:v>117.93736123990828</c:v>
                </c:pt>
                <c:pt idx="82">
                  <c:v>112.40819374362422</c:v>
                </c:pt>
                <c:pt idx="83">
                  <c:v>106.92945840604058</c:v>
                </c:pt>
                <c:pt idx="84">
                  <c:v>100.84967872609613</c:v>
                </c:pt>
                <c:pt idx="85">
                  <c:v>94.21617108603995</c:v>
                </c:pt>
                <c:pt idx="86">
                  <c:v>87.838230167603271</c:v>
                </c:pt>
                <c:pt idx="87">
                  <c:v>123.72287759927569</c:v>
                </c:pt>
                <c:pt idx="88">
                  <c:v>120.16228843535082</c:v>
                </c:pt>
                <c:pt idx="89">
                  <c:v>113.41475703046449</c:v>
                </c:pt>
                <c:pt idx="90">
                  <c:v>114.26402874622765</c:v>
                </c:pt>
                <c:pt idx="91">
                  <c:v>101.62081429512131</c:v>
                </c:pt>
                <c:pt idx="92">
                  <c:v>90.131212054109298</c:v>
                </c:pt>
                <c:pt idx="93">
                  <c:v>117.45192023252132</c:v>
                </c:pt>
                <c:pt idx="94">
                  <c:v>104.11530185919256</c:v>
                </c:pt>
                <c:pt idx="95">
                  <c:v>102.89590350084943</c:v>
                </c:pt>
                <c:pt idx="96">
                  <c:v>101.55943291251901</c:v>
                </c:pt>
                <c:pt idx="97">
                  <c:v>107.62150469449567</c:v>
                </c:pt>
                <c:pt idx="98">
                  <c:v>119.5690653966692</c:v>
                </c:pt>
                <c:pt idx="99">
                  <c:v>111.35041734883522</c:v>
                </c:pt>
              </c:numCache>
            </c:numRef>
          </c:val>
          <c:smooth val="1"/>
          <c:extLst>
            <c:ext xmlns:c16="http://schemas.microsoft.com/office/drawing/2014/chart" uri="{C3380CC4-5D6E-409C-BE32-E72D297353CC}">
              <c16:uniqueId val="{00000001-C21E-471A-A1E9-CEC423D5CC6B}"/>
            </c:ext>
          </c:extLst>
        </c:ser>
        <c:ser>
          <c:idx val="0"/>
          <c:order val="1"/>
          <c:tx>
            <c:strRef>
              <c:f>'precio-costo'!$U$8</c:f>
              <c:strCache>
                <c:ptCount val="1"/>
                <c:pt idx="0">
                  <c:v> Costo constante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'precio-costo'!$A$10:$A$109</c:f>
              <c:numCache>
                <c:formatCode>mmm\-yy</c:formatCode>
                <c:ptCount val="100"/>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43466</c:v>
                </c:pt>
                <c:pt idx="37">
                  <c:v>43497</c:v>
                </c:pt>
                <c:pt idx="38">
                  <c:v>43525</c:v>
                </c:pt>
                <c:pt idx="39">
                  <c:v>43556</c:v>
                </c:pt>
                <c:pt idx="40">
                  <c:v>43586</c:v>
                </c:pt>
                <c:pt idx="41">
                  <c:v>43617</c:v>
                </c:pt>
                <c:pt idx="42">
                  <c:v>43647</c:v>
                </c:pt>
                <c:pt idx="43">
                  <c:v>43678</c:v>
                </c:pt>
                <c:pt idx="44">
                  <c:v>43709</c:v>
                </c:pt>
                <c:pt idx="45">
                  <c:v>43739</c:v>
                </c:pt>
                <c:pt idx="46">
                  <c:v>43770</c:v>
                </c:pt>
                <c:pt idx="47">
                  <c:v>43800</c:v>
                </c:pt>
                <c:pt idx="48">
                  <c:v>43831</c:v>
                </c:pt>
                <c:pt idx="49">
                  <c:v>43862</c:v>
                </c:pt>
                <c:pt idx="50">
                  <c:v>43891</c:v>
                </c:pt>
                <c:pt idx="51">
                  <c:v>43922</c:v>
                </c:pt>
                <c:pt idx="52">
                  <c:v>43952</c:v>
                </c:pt>
                <c:pt idx="53">
                  <c:v>43983</c:v>
                </c:pt>
                <c:pt idx="54">
                  <c:v>44013</c:v>
                </c:pt>
                <c:pt idx="55">
                  <c:v>44044</c:v>
                </c:pt>
                <c:pt idx="56">
                  <c:v>44075</c:v>
                </c:pt>
                <c:pt idx="57">
                  <c:v>44105</c:v>
                </c:pt>
                <c:pt idx="58">
                  <c:v>44136</c:v>
                </c:pt>
                <c:pt idx="59">
                  <c:v>44166</c:v>
                </c:pt>
                <c:pt idx="60">
                  <c:v>44197</c:v>
                </c:pt>
                <c:pt idx="61">
                  <c:v>44228</c:v>
                </c:pt>
                <c:pt idx="62">
                  <c:v>44256</c:v>
                </c:pt>
                <c:pt idx="63">
                  <c:v>44287</c:v>
                </c:pt>
                <c:pt idx="64">
                  <c:v>44317</c:v>
                </c:pt>
                <c:pt idx="65">
                  <c:v>44348</c:v>
                </c:pt>
                <c:pt idx="66">
                  <c:v>44378</c:v>
                </c:pt>
                <c:pt idx="67">
                  <c:v>44409</c:v>
                </c:pt>
                <c:pt idx="68">
                  <c:v>44440</c:v>
                </c:pt>
                <c:pt idx="69">
                  <c:v>44470</c:v>
                </c:pt>
                <c:pt idx="70">
                  <c:v>44501</c:v>
                </c:pt>
                <c:pt idx="71">
                  <c:v>44531</c:v>
                </c:pt>
                <c:pt idx="72">
                  <c:v>44562</c:v>
                </c:pt>
                <c:pt idx="73">
                  <c:v>44593</c:v>
                </c:pt>
                <c:pt idx="74">
                  <c:v>44621</c:v>
                </c:pt>
                <c:pt idx="75">
                  <c:v>44652</c:v>
                </c:pt>
                <c:pt idx="76">
                  <c:v>44682</c:v>
                </c:pt>
                <c:pt idx="77">
                  <c:v>44713</c:v>
                </c:pt>
                <c:pt idx="78">
                  <c:v>44743</c:v>
                </c:pt>
                <c:pt idx="79">
                  <c:v>44774</c:v>
                </c:pt>
                <c:pt idx="80">
                  <c:v>44805</c:v>
                </c:pt>
                <c:pt idx="81">
                  <c:v>44835</c:v>
                </c:pt>
                <c:pt idx="82">
                  <c:v>44866</c:v>
                </c:pt>
                <c:pt idx="83">
                  <c:v>44896</c:v>
                </c:pt>
                <c:pt idx="84">
                  <c:v>44927</c:v>
                </c:pt>
                <c:pt idx="85">
                  <c:v>44958</c:v>
                </c:pt>
                <c:pt idx="86">
                  <c:v>44986</c:v>
                </c:pt>
                <c:pt idx="87">
                  <c:v>45017</c:v>
                </c:pt>
                <c:pt idx="88">
                  <c:v>45047</c:v>
                </c:pt>
                <c:pt idx="89">
                  <c:v>45078</c:v>
                </c:pt>
                <c:pt idx="90">
                  <c:v>45108</c:v>
                </c:pt>
                <c:pt idx="91">
                  <c:v>45139</c:v>
                </c:pt>
                <c:pt idx="92">
                  <c:v>45170</c:v>
                </c:pt>
                <c:pt idx="93">
                  <c:v>45200</c:v>
                </c:pt>
                <c:pt idx="94">
                  <c:v>45231</c:v>
                </c:pt>
                <c:pt idx="95">
                  <c:v>45261</c:v>
                </c:pt>
                <c:pt idx="96">
                  <c:v>45292</c:v>
                </c:pt>
                <c:pt idx="97">
                  <c:v>45323</c:v>
                </c:pt>
                <c:pt idx="98">
                  <c:v>45352</c:v>
                </c:pt>
                <c:pt idx="99">
                  <c:v>45383</c:v>
                </c:pt>
              </c:numCache>
            </c:numRef>
          </c:cat>
          <c:val>
            <c:numRef>
              <c:f>'precio-costo'!$U$10:$U$109</c:f>
              <c:numCache>
                <c:formatCode>_(* #,##0.00_);_(* \(#,##0.00\);_(* "-"??_);_(@_)</c:formatCode>
                <c:ptCount val="100"/>
                <c:pt idx="0" formatCode="#,##0">
                  <c:v>100</c:v>
                </c:pt>
                <c:pt idx="1">
                  <c:v>100.19750754008162</c:v>
                </c:pt>
                <c:pt idx="2">
                  <c:v>96.073338328079657</c:v>
                </c:pt>
                <c:pt idx="3">
                  <c:v>92.070161344333883</c:v>
                </c:pt>
                <c:pt idx="4">
                  <c:v>88.722866203701514</c:v>
                </c:pt>
                <c:pt idx="5">
                  <c:v>88.408499839080704</c:v>
                </c:pt>
                <c:pt idx="6">
                  <c:v>86.040081986871556</c:v>
                </c:pt>
                <c:pt idx="7">
                  <c:v>95.747496369376833</c:v>
                </c:pt>
                <c:pt idx="8">
                  <c:v>95.029502466195638</c:v>
                </c:pt>
                <c:pt idx="9">
                  <c:v>100.73319669880914</c:v>
                </c:pt>
                <c:pt idx="10">
                  <c:v>99.353942054467851</c:v>
                </c:pt>
                <c:pt idx="11">
                  <c:v>97.931690962145865</c:v>
                </c:pt>
                <c:pt idx="12">
                  <c:v>97.664426139122156</c:v>
                </c:pt>
                <c:pt idx="13">
                  <c:v>95.263723313827484</c:v>
                </c:pt>
                <c:pt idx="14">
                  <c:v>93.277425760165286</c:v>
                </c:pt>
                <c:pt idx="15">
                  <c:v>90.258379512110992</c:v>
                </c:pt>
                <c:pt idx="16">
                  <c:v>90.932082762246623</c:v>
                </c:pt>
                <c:pt idx="17">
                  <c:v>89.583027982081916</c:v>
                </c:pt>
                <c:pt idx="18">
                  <c:v>89.000049520723351</c:v>
                </c:pt>
                <c:pt idx="19">
                  <c:v>100.20867628956061</c:v>
                </c:pt>
                <c:pt idx="20">
                  <c:v>98.370710492156462</c:v>
                </c:pt>
                <c:pt idx="21">
                  <c:v>97.932737270599262</c:v>
                </c:pt>
                <c:pt idx="22">
                  <c:v>97.577527550729002</c:v>
                </c:pt>
                <c:pt idx="23">
                  <c:v>95.402431064877419</c:v>
                </c:pt>
                <c:pt idx="24">
                  <c:v>94.708451626815361</c:v>
                </c:pt>
                <c:pt idx="25">
                  <c:v>92.711872372013531</c:v>
                </c:pt>
                <c:pt idx="26">
                  <c:v>91.917440376329751</c:v>
                </c:pt>
                <c:pt idx="27">
                  <c:v>90.249849884839477</c:v>
                </c:pt>
                <c:pt idx="28">
                  <c:v>91.892096070045056</c:v>
                </c:pt>
                <c:pt idx="29">
                  <c:v>89.194383623672351</c:v>
                </c:pt>
                <c:pt idx="30">
                  <c:v>88.130318035066196</c:v>
                </c:pt>
                <c:pt idx="31">
                  <c:v>97.23458968014765</c:v>
                </c:pt>
                <c:pt idx="32">
                  <c:v>94.843865444029149</c:v>
                </c:pt>
                <c:pt idx="33">
                  <c:v>93.308085529141238</c:v>
                </c:pt>
                <c:pt idx="34">
                  <c:v>91.893112387765925</c:v>
                </c:pt>
                <c:pt idx="35">
                  <c:v>90.017533804903806</c:v>
                </c:pt>
                <c:pt idx="36">
                  <c:v>88.979995522277648</c:v>
                </c:pt>
                <c:pt idx="37">
                  <c:v>95.017676021585558</c:v>
                </c:pt>
                <c:pt idx="38">
                  <c:v>94.59195161957004</c:v>
                </c:pt>
                <c:pt idx="39">
                  <c:v>91.389616950805589</c:v>
                </c:pt>
                <c:pt idx="40">
                  <c:v>89.833896291255584</c:v>
                </c:pt>
                <c:pt idx="41">
                  <c:v>87.045423462306061</c:v>
                </c:pt>
                <c:pt idx="42">
                  <c:v>86.540919993870858</c:v>
                </c:pt>
                <c:pt idx="43">
                  <c:v>100.15649822912609</c:v>
                </c:pt>
                <c:pt idx="44">
                  <c:v>91.978560497957261</c:v>
                </c:pt>
                <c:pt idx="45">
                  <c:v>94.576555063899136</c:v>
                </c:pt>
                <c:pt idx="46">
                  <c:v>90.961105590153835</c:v>
                </c:pt>
                <c:pt idx="47">
                  <c:v>89.546785190228562</c:v>
                </c:pt>
                <c:pt idx="48">
                  <c:v>87.815944817365718</c:v>
                </c:pt>
                <c:pt idx="49">
                  <c:v>96.905145693629493</c:v>
                </c:pt>
                <c:pt idx="50">
                  <c:v>95.964556545222464</c:v>
                </c:pt>
                <c:pt idx="51">
                  <c:v>98.499570961066027</c:v>
                </c:pt>
                <c:pt idx="52">
                  <c:v>98.592786817486569</c:v>
                </c:pt>
                <c:pt idx="53">
                  <c:v>98.619949314323804</c:v>
                </c:pt>
                <c:pt idx="54">
                  <c:v>103.01266406205637</c:v>
                </c:pt>
                <c:pt idx="55">
                  <c:v>100.43448043885076</c:v>
                </c:pt>
                <c:pt idx="56">
                  <c:v>99.537447271353471</c:v>
                </c:pt>
                <c:pt idx="57">
                  <c:v>99.080394969254399</c:v>
                </c:pt>
                <c:pt idx="58">
                  <c:v>103.01347513310664</c:v>
                </c:pt>
                <c:pt idx="59">
                  <c:v>99.740816723467205</c:v>
                </c:pt>
                <c:pt idx="60">
                  <c:v>100.43407598599458</c:v>
                </c:pt>
                <c:pt idx="61">
                  <c:v>98.994860071925928</c:v>
                </c:pt>
                <c:pt idx="62">
                  <c:v>94.77756722770161</c:v>
                </c:pt>
                <c:pt idx="63">
                  <c:v>93.56487456804399</c:v>
                </c:pt>
                <c:pt idx="64">
                  <c:v>92.043217664040583</c:v>
                </c:pt>
                <c:pt idx="65">
                  <c:v>91.073534614873338</c:v>
                </c:pt>
                <c:pt idx="66">
                  <c:v>93.478709446819479</c:v>
                </c:pt>
                <c:pt idx="67">
                  <c:v>106.4295743402721</c:v>
                </c:pt>
                <c:pt idx="68">
                  <c:v>103.07097094511329</c:v>
                </c:pt>
                <c:pt idx="69">
                  <c:v>100.86134473189166</c:v>
                </c:pt>
                <c:pt idx="70">
                  <c:v>102.85137562427288</c:v>
                </c:pt>
                <c:pt idx="71">
                  <c:v>100.95708180527875</c:v>
                </c:pt>
                <c:pt idx="72">
                  <c:v>108.50793719228793</c:v>
                </c:pt>
                <c:pt idx="73">
                  <c:v>104.19124363554495</c:v>
                </c:pt>
                <c:pt idx="74">
                  <c:v>103.36701442426606</c:v>
                </c:pt>
                <c:pt idx="75">
                  <c:v>101.38707466643257</c:v>
                </c:pt>
                <c:pt idx="76">
                  <c:v>98.413643357471869</c:v>
                </c:pt>
                <c:pt idx="77">
                  <c:v>100.27614267021444</c:v>
                </c:pt>
                <c:pt idx="78">
                  <c:v>98.238890691043309</c:v>
                </c:pt>
                <c:pt idx="79">
                  <c:v>107.06934833538658</c:v>
                </c:pt>
                <c:pt idx="80">
                  <c:v>102.24510593208119</c:v>
                </c:pt>
                <c:pt idx="81">
                  <c:v>104.1436436624813</c:v>
                </c:pt>
                <c:pt idx="82">
                  <c:v>99.985917990233006</c:v>
                </c:pt>
                <c:pt idx="83">
                  <c:v>103.75889106799414</c:v>
                </c:pt>
                <c:pt idx="84">
                  <c:v>98.336859860117315</c:v>
                </c:pt>
                <c:pt idx="85">
                  <c:v>96.13178788874113</c:v>
                </c:pt>
                <c:pt idx="86">
                  <c:v>92.647721114336846</c:v>
                </c:pt>
                <c:pt idx="87">
                  <c:v>90.311381018347276</c:v>
                </c:pt>
                <c:pt idx="88">
                  <c:v>84.715549158469173</c:v>
                </c:pt>
                <c:pt idx="89">
                  <c:v>85.030572377509088</c:v>
                </c:pt>
                <c:pt idx="90">
                  <c:v>82.86190359597461</c:v>
                </c:pt>
                <c:pt idx="91">
                  <c:v>99.899840463843788</c:v>
                </c:pt>
                <c:pt idx="92">
                  <c:v>91.993240729245727</c:v>
                </c:pt>
                <c:pt idx="93">
                  <c:v>91.45478903560128</c:v>
                </c:pt>
                <c:pt idx="94">
                  <c:v>93.984588240198008</c:v>
                </c:pt>
                <c:pt idx="95">
                  <c:v>100.98731563463346</c:v>
                </c:pt>
                <c:pt idx="96">
                  <c:v>91.831774941242855</c:v>
                </c:pt>
                <c:pt idx="97">
                  <c:v>88.841875212736895</c:v>
                </c:pt>
                <c:pt idx="98">
                  <c:v>92.676250765346865</c:v>
                </c:pt>
                <c:pt idx="99">
                  <c:v>90.431105734514233</c:v>
                </c:pt>
              </c:numCache>
            </c:numRef>
          </c:val>
          <c:smooth val="0"/>
          <c:extLst>
            <c:ext xmlns:c16="http://schemas.microsoft.com/office/drawing/2014/chart" uri="{C3380CC4-5D6E-409C-BE32-E72D297353CC}">
              <c16:uniqueId val="{00000000-DDF4-4F86-ABCC-0441BC1A8F0B}"/>
            </c:ext>
          </c:extLst>
        </c:ser>
        <c:dLbls>
          <c:showLegendKey val="0"/>
          <c:showVal val="0"/>
          <c:showCatName val="0"/>
          <c:showSerName val="0"/>
          <c:showPercent val="0"/>
          <c:showBubbleSize val="0"/>
        </c:dLbls>
        <c:marker val="1"/>
        <c:smooth val="0"/>
        <c:axId val="1688524432"/>
        <c:axId val="1688532752"/>
      </c:lineChart>
      <c:dateAx>
        <c:axId val="1688524432"/>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1688532752"/>
        <c:crosses val="autoZero"/>
        <c:auto val="1"/>
        <c:lblOffset val="100"/>
        <c:baseTimeUnit val="months"/>
        <c:majorUnit val="2"/>
        <c:majorTimeUnit val="months"/>
      </c:dateAx>
      <c:valAx>
        <c:axId val="1688532752"/>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885244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8743978537655399E-2"/>
          <c:y val="4.3519135802469099E-2"/>
          <c:w val="0.82342448900944099"/>
          <c:h val="0.91480700935153703"/>
        </c:manualLayout>
      </c:layout>
      <c:lineChart>
        <c:grouping val="standard"/>
        <c:varyColors val="0"/>
        <c:ser>
          <c:idx val="2"/>
          <c:order val="0"/>
          <c:spPr>
            <a:ln w="12700">
              <a:solidFill>
                <a:schemeClr val="tx1">
                  <a:lumMod val="50000"/>
                  <a:lumOff val="50000"/>
                </a:schemeClr>
              </a:solidFill>
            </a:ln>
          </c:spPr>
          <c:marker>
            <c:symbol val="none"/>
          </c:marker>
          <c:cat>
            <c:numRef>
              <c:f>'prod-cons'!$V$10:$V$49</c:f>
              <c:numCache>
                <c:formatCode>mmm\-yy</c:formatCode>
                <c:ptCount val="38"/>
                <c:pt idx="0">
                  <c:v>42856</c:v>
                </c:pt>
                <c:pt idx="1">
                  <c:v>42887</c:v>
                </c:pt>
                <c:pt idx="2">
                  <c:v>42917</c:v>
                </c:pt>
                <c:pt idx="3">
                  <c:v>42948</c:v>
                </c:pt>
                <c:pt idx="4">
                  <c:v>42979</c:v>
                </c:pt>
                <c:pt idx="5">
                  <c:v>43009</c:v>
                </c:pt>
                <c:pt idx="6">
                  <c:v>43040</c:v>
                </c:pt>
                <c:pt idx="7">
                  <c:v>43070</c:v>
                </c:pt>
                <c:pt idx="8">
                  <c:v>43101</c:v>
                </c:pt>
                <c:pt idx="9">
                  <c:v>43132</c:v>
                </c:pt>
                <c:pt idx="10">
                  <c:v>43160</c:v>
                </c:pt>
                <c:pt idx="11">
                  <c:v>43191</c:v>
                </c:pt>
                <c:pt idx="12">
                  <c:v>43221</c:v>
                </c:pt>
                <c:pt idx="13">
                  <c:v>43252</c:v>
                </c:pt>
                <c:pt idx="14">
                  <c:v>43282</c:v>
                </c:pt>
                <c:pt idx="15">
                  <c:v>43313</c:v>
                </c:pt>
                <c:pt idx="16">
                  <c:v>43344</c:v>
                </c:pt>
                <c:pt idx="17">
                  <c:v>43374</c:v>
                </c:pt>
                <c:pt idx="18">
                  <c:v>43405</c:v>
                </c:pt>
                <c:pt idx="19">
                  <c:v>43435</c:v>
                </c:pt>
                <c:pt idx="20">
                  <c:v>43466</c:v>
                </c:pt>
                <c:pt idx="21">
                  <c:v>43497</c:v>
                </c:pt>
                <c:pt idx="22">
                  <c:v>43525</c:v>
                </c:pt>
                <c:pt idx="23">
                  <c:v>43556</c:v>
                </c:pt>
                <c:pt idx="24">
                  <c:v>43586</c:v>
                </c:pt>
                <c:pt idx="25">
                  <c:v>43617</c:v>
                </c:pt>
                <c:pt idx="26">
                  <c:v>43647</c:v>
                </c:pt>
                <c:pt idx="27">
                  <c:v>43709</c:v>
                </c:pt>
                <c:pt idx="28">
                  <c:v>43739</c:v>
                </c:pt>
                <c:pt idx="29">
                  <c:v>43800</c:v>
                </c:pt>
                <c:pt idx="30">
                  <c:v>43831</c:v>
                </c:pt>
                <c:pt idx="31">
                  <c:v>43862</c:v>
                </c:pt>
                <c:pt idx="32">
                  <c:v>43891</c:v>
                </c:pt>
                <c:pt idx="33">
                  <c:v>43922</c:v>
                </c:pt>
                <c:pt idx="34">
                  <c:v>43952</c:v>
                </c:pt>
                <c:pt idx="35">
                  <c:v>43983</c:v>
                </c:pt>
                <c:pt idx="36">
                  <c:v>44013</c:v>
                </c:pt>
                <c:pt idx="37">
                  <c:v>44044</c:v>
                </c:pt>
              </c:numCache>
            </c:numRef>
          </c:cat>
          <c:val>
            <c:numRef>
              <c:f>'prod-cons'!$AA$30:$AA$74</c:f>
            </c:numRef>
          </c:val>
          <c:smooth val="0"/>
          <c:extLst>
            <c:ext xmlns:c16="http://schemas.microsoft.com/office/drawing/2014/chart" uri="{C3380CC4-5D6E-409C-BE32-E72D297353CC}">
              <c16:uniqueId val="{00000000-0147-4BF2-86F9-4D7D91541E89}"/>
            </c:ext>
          </c:extLst>
        </c:ser>
        <c:ser>
          <c:idx val="0"/>
          <c:order val="1"/>
          <c:spPr>
            <a:ln w="76200">
              <a:solidFill>
                <a:schemeClr val="accent4">
                  <a:lumMod val="75000"/>
                </a:schemeClr>
              </a:solidFill>
            </a:ln>
          </c:spPr>
          <c:marker>
            <c:symbol val="none"/>
          </c:marker>
          <c:cat>
            <c:numRef>
              <c:f>'prod-cons'!$V$10:$V$49</c:f>
              <c:numCache>
                <c:formatCode>mmm\-yy</c:formatCode>
                <c:ptCount val="38"/>
                <c:pt idx="0">
                  <c:v>42856</c:v>
                </c:pt>
                <c:pt idx="1">
                  <c:v>42887</c:v>
                </c:pt>
                <c:pt idx="2">
                  <c:v>42917</c:v>
                </c:pt>
                <c:pt idx="3">
                  <c:v>42948</c:v>
                </c:pt>
                <c:pt idx="4">
                  <c:v>42979</c:v>
                </c:pt>
                <c:pt idx="5">
                  <c:v>43009</c:v>
                </c:pt>
                <c:pt idx="6">
                  <c:v>43040</c:v>
                </c:pt>
                <c:pt idx="7">
                  <c:v>43070</c:v>
                </c:pt>
                <c:pt idx="8">
                  <c:v>43101</c:v>
                </c:pt>
                <c:pt idx="9">
                  <c:v>43132</c:v>
                </c:pt>
                <c:pt idx="10">
                  <c:v>43160</c:v>
                </c:pt>
                <c:pt idx="11">
                  <c:v>43191</c:v>
                </c:pt>
                <c:pt idx="12">
                  <c:v>43221</c:v>
                </c:pt>
                <c:pt idx="13">
                  <c:v>43252</c:v>
                </c:pt>
                <c:pt idx="14">
                  <c:v>43282</c:v>
                </c:pt>
                <c:pt idx="15">
                  <c:v>43313</c:v>
                </c:pt>
                <c:pt idx="16">
                  <c:v>43344</c:v>
                </c:pt>
                <c:pt idx="17">
                  <c:v>43374</c:v>
                </c:pt>
                <c:pt idx="18">
                  <c:v>43405</c:v>
                </c:pt>
                <c:pt idx="19">
                  <c:v>43435</c:v>
                </c:pt>
                <c:pt idx="20">
                  <c:v>43466</c:v>
                </c:pt>
                <c:pt idx="21">
                  <c:v>43497</c:v>
                </c:pt>
                <c:pt idx="22">
                  <c:v>43525</c:v>
                </c:pt>
                <c:pt idx="23">
                  <c:v>43556</c:v>
                </c:pt>
                <c:pt idx="24">
                  <c:v>43586</c:v>
                </c:pt>
                <c:pt idx="25">
                  <c:v>43617</c:v>
                </c:pt>
                <c:pt idx="26">
                  <c:v>43647</c:v>
                </c:pt>
                <c:pt idx="27">
                  <c:v>43709</c:v>
                </c:pt>
                <c:pt idx="28">
                  <c:v>43739</c:v>
                </c:pt>
                <c:pt idx="29">
                  <c:v>43800</c:v>
                </c:pt>
                <c:pt idx="30">
                  <c:v>43831</c:v>
                </c:pt>
                <c:pt idx="31">
                  <c:v>43862</c:v>
                </c:pt>
                <c:pt idx="32">
                  <c:v>43891</c:v>
                </c:pt>
                <c:pt idx="33">
                  <c:v>43922</c:v>
                </c:pt>
                <c:pt idx="34">
                  <c:v>43952</c:v>
                </c:pt>
                <c:pt idx="35">
                  <c:v>43983</c:v>
                </c:pt>
                <c:pt idx="36">
                  <c:v>44013</c:v>
                </c:pt>
                <c:pt idx="37">
                  <c:v>44044</c:v>
                </c:pt>
              </c:numCache>
            </c:numRef>
          </c:cat>
          <c:val>
            <c:numRef>
              <c:f>'prod-cons'!$AK$10:$AK$49</c:f>
              <c:numCache>
                <c:formatCode>#,##0</c:formatCode>
                <c:ptCount val="3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numCache>
            </c:numRef>
          </c:val>
          <c:smooth val="0"/>
          <c:extLst>
            <c:ext xmlns:c16="http://schemas.microsoft.com/office/drawing/2014/chart" uri="{C3380CC4-5D6E-409C-BE32-E72D297353CC}">
              <c16:uniqueId val="{00000001-0147-4BF2-86F9-4D7D91541E89}"/>
            </c:ext>
          </c:extLst>
        </c:ser>
        <c:ser>
          <c:idx val="1"/>
          <c:order val="2"/>
          <c:spPr>
            <a:ln w="76200">
              <a:solidFill>
                <a:srgbClr val="3F762B"/>
              </a:solidFill>
            </a:ln>
          </c:spPr>
          <c:marker>
            <c:symbol val="none"/>
          </c:marker>
          <c:cat>
            <c:numRef>
              <c:f>'prod-cons'!$V$10:$V$49</c:f>
              <c:numCache>
                <c:formatCode>mmm\-yy</c:formatCode>
                <c:ptCount val="38"/>
                <c:pt idx="0">
                  <c:v>42856</c:v>
                </c:pt>
                <c:pt idx="1">
                  <c:v>42887</c:v>
                </c:pt>
                <c:pt idx="2">
                  <c:v>42917</c:v>
                </c:pt>
                <c:pt idx="3">
                  <c:v>42948</c:v>
                </c:pt>
                <c:pt idx="4">
                  <c:v>42979</c:v>
                </c:pt>
                <c:pt idx="5">
                  <c:v>43009</c:v>
                </c:pt>
                <c:pt idx="6">
                  <c:v>43040</c:v>
                </c:pt>
                <c:pt idx="7">
                  <c:v>43070</c:v>
                </c:pt>
                <c:pt idx="8">
                  <c:v>43101</c:v>
                </c:pt>
                <c:pt idx="9">
                  <c:v>43132</c:v>
                </c:pt>
                <c:pt idx="10">
                  <c:v>43160</c:v>
                </c:pt>
                <c:pt idx="11">
                  <c:v>43191</c:v>
                </c:pt>
                <c:pt idx="12">
                  <c:v>43221</c:v>
                </c:pt>
                <c:pt idx="13">
                  <c:v>43252</c:v>
                </c:pt>
                <c:pt idx="14">
                  <c:v>43282</c:v>
                </c:pt>
                <c:pt idx="15">
                  <c:v>43313</c:v>
                </c:pt>
                <c:pt idx="16">
                  <c:v>43344</c:v>
                </c:pt>
                <c:pt idx="17">
                  <c:v>43374</c:v>
                </c:pt>
                <c:pt idx="18">
                  <c:v>43405</c:v>
                </c:pt>
                <c:pt idx="19">
                  <c:v>43435</c:v>
                </c:pt>
                <c:pt idx="20">
                  <c:v>43466</c:v>
                </c:pt>
                <c:pt idx="21">
                  <c:v>43497</c:v>
                </c:pt>
                <c:pt idx="22">
                  <c:v>43525</c:v>
                </c:pt>
                <c:pt idx="23">
                  <c:v>43556</c:v>
                </c:pt>
                <c:pt idx="24">
                  <c:v>43586</c:v>
                </c:pt>
                <c:pt idx="25">
                  <c:v>43617</c:v>
                </c:pt>
                <c:pt idx="26">
                  <c:v>43647</c:v>
                </c:pt>
                <c:pt idx="27">
                  <c:v>43709</c:v>
                </c:pt>
                <c:pt idx="28">
                  <c:v>43739</c:v>
                </c:pt>
                <c:pt idx="29">
                  <c:v>43800</c:v>
                </c:pt>
                <c:pt idx="30">
                  <c:v>43831</c:v>
                </c:pt>
                <c:pt idx="31">
                  <c:v>43862</c:v>
                </c:pt>
                <c:pt idx="32">
                  <c:v>43891</c:v>
                </c:pt>
                <c:pt idx="33">
                  <c:v>43922</c:v>
                </c:pt>
                <c:pt idx="34">
                  <c:v>43952</c:v>
                </c:pt>
                <c:pt idx="35">
                  <c:v>43983</c:v>
                </c:pt>
                <c:pt idx="36">
                  <c:v>44013</c:v>
                </c:pt>
                <c:pt idx="37">
                  <c:v>44044</c:v>
                </c:pt>
              </c:numCache>
            </c:numRef>
          </c:cat>
          <c:val>
            <c:numRef>
              <c:f>'prod-cons'!$AJ$10:$AJ$49</c:f>
              <c:numCache>
                <c:formatCode>#,##0</c:formatCode>
                <c:ptCount val="38"/>
                <c:pt idx="0">
                  <c:v>73.649208400616118</c:v>
                </c:pt>
                <c:pt idx="1">
                  <c:v>74.962630607525782</c:v>
                </c:pt>
                <c:pt idx="2">
                  <c:v>78.143946090666873</c:v>
                </c:pt>
                <c:pt idx="3">
                  <c:v>76.016552710551025</c:v>
                </c:pt>
                <c:pt idx="4">
                  <c:v>74.187404957683128</c:v>
                </c:pt>
                <c:pt idx="5">
                  <c:v>74.806599831885478</c:v>
                </c:pt>
                <c:pt idx="6">
                  <c:v>72.842952202104456</c:v>
                </c:pt>
                <c:pt idx="7">
                  <c:v>71.593195911705607</c:v>
                </c:pt>
                <c:pt idx="8">
                  <c:v>73.330522579113506</c:v>
                </c:pt>
                <c:pt idx="9">
                  <c:v>76.790094694248722</c:v>
                </c:pt>
                <c:pt idx="10">
                  <c:v>78.819720893867299</c:v>
                </c:pt>
                <c:pt idx="11">
                  <c:v>76.819434789703323</c:v>
                </c:pt>
                <c:pt idx="12">
                  <c:v>84.495633390371665</c:v>
                </c:pt>
                <c:pt idx="13">
                  <c:v>87.116962928569222</c:v>
                </c:pt>
                <c:pt idx="14">
                  <c:v>89.466440481133674</c:v>
                </c:pt>
                <c:pt idx="15">
                  <c:v>101.79391581078117</c:v>
                </c:pt>
                <c:pt idx="16">
                  <c:v>109.34950950765791</c:v>
                </c:pt>
                <c:pt idx="17">
                  <c:v>99.35197627517293</c:v>
                </c:pt>
                <c:pt idx="18">
                  <c:v>92.548659633276969</c:v>
                </c:pt>
                <c:pt idx="19">
                  <c:v>100.86288724691016</c:v>
                </c:pt>
                <c:pt idx="20">
                  <c:v>100</c:v>
                </c:pt>
                <c:pt idx="21">
                  <c:v>85.658735346998085</c:v>
                </c:pt>
                <c:pt idx="22">
                  <c:v>82.247568218426636</c:v>
                </c:pt>
                <c:pt idx="23">
                  <c:v>79.748823033846463</c:v>
                </c:pt>
                <c:pt idx="24">
                  <c:v>79.034060190704352</c:v>
                </c:pt>
                <c:pt idx="25">
                  <c:v>79.730161824305696</c:v>
                </c:pt>
                <c:pt idx="26">
                  <c:v>71.955462748622338</c:v>
                </c:pt>
                <c:pt idx="27">
                  <c:v>83.622712514893465</c:v>
                </c:pt>
                <c:pt idx="28">
                  <c:v>92.415996950661054</c:v>
                </c:pt>
                <c:pt idx="29">
                  <c:v>87.728118090058899</c:v>
                </c:pt>
                <c:pt idx="30">
                  <c:v>103.04953211088292</c:v>
                </c:pt>
                <c:pt idx="31">
                  <c:v>76.586182592057554</c:v>
                </c:pt>
                <c:pt idx="32">
                  <c:v>72.700427952639757</c:v>
                </c:pt>
                <c:pt idx="33">
                  <c:v>77.999984173570226</c:v>
                </c:pt>
                <c:pt idx="34">
                  <c:v>76.005032829086474</c:v>
                </c:pt>
                <c:pt idx="35">
                  <c:v>79.516045316660723</c:v>
                </c:pt>
                <c:pt idx="36">
                  <c:v>89.403835333082043</c:v>
                </c:pt>
                <c:pt idx="37">
                  <c:v>94.344483840666385</c:v>
                </c:pt>
              </c:numCache>
            </c:numRef>
          </c:val>
          <c:smooth val="0"/>
          <c:extLst>
            <c:ext xmlns:c16="http://schemas.microsoft.com/office/drawing/2014/chart" uri="{C3380CC4-5D6E-409C-BE32-E72D297353CC}">
              <c16:uniqueId val="{00000002-0147-4BF2-86F9-4D7D91541E89}"/>
            </c:ext>
          </c:extLst>
        </c:ser>
        <c:dLbls>
          <c:showLegendKey val="0"/>
          <c:showVal val="0"/>
          <c:showCatName val="0"/>
          <c:showSerName val="0"/>
          <c:showPercent val="0"/>
          <c:showBubbleSize val="0"/>
        </c:dLbls>
        <c:smooth val="0"/>
        <c:axId val="1804324192"/>
        <c:axId val="1528923744"/>
      </c:lineChart>
      <c:dateAx>
        <c:axId val="1804324192"/>
        <c:scaling>
          <c:orientation val="minMax"/>
        </c:scaling>
        <c:delete val="0"/>
        <c:axPos val="b"/>
        <c:numFmt formatCode="mmm\-yy" sourceLinked="1"/>
        <c:majorTickMark val="none"/>
        <c:minorTickMark val="none"/>
        <c:tickLblPos val="nextTo"/>
        <c:spPr>
          <a:ln>
            <a:solidFill>
              <a:schemeClr val="bg1">
                <a:lumMod val="75000"/>
              </a:schemeClr>
            </a:solidFill>
          </a:ln>
        </c:spPr>
        <c:txPr>
          <a:bodyPr rot="-5400000" vert="horz"/>
          <a:lstStyle/>
          <a:p>
            <a:pPr>
              <a:defRPr sz="1050"/>
            </a:pPr>
            <a:endParaRPr lang="es-ES"/>
          </a:p>
        </c:txPr>
        <c:crossAx val="1528923744"/>
        <c:crosses val="autoZero"/>
        <c:auto val="1"/>
        <c:lblOffset val="100"/>
        <c:baseTimeUnit val="months"/>
        <c:majorUnit val="2"/>
        <c:majorTimeUnit val="months"/>
      </c:dateAx>
      <c:valAx>
        <c:axId val="1528923744"/>
        <c:scaling>
          <c:orientation val="minMax"/>
          <c:min val="0"/>
        </c:scaling>
        <c:delete val="0"/>
        <c:axPos val="l"/>
        <c:majorGridlines>
          <c:spPr>
            <a:ln>
              <a:solidFill>
                <a:schemeClr val="bg1">
                  <a:lumMod val="85000"/>
                </a:schemeClr>
              </a:solidFill>
            </a:ln>
          </c:spPr>
        </c:majorGridlines>
        <c:numFmt formatCode="#,##0" sourceLinked="0"/>
        <c:majorTickMark val="out"/>
        <c:minorTickMark val="none"/>
        <c:tickLblPos val="nextTo"/>
        <c:spPr>
          <a:ln>
            <a:noFill/>
          </a:ln>
        </c:spPr>
        <c:txPr>
          <a:bodyPr/>
          <a:lstStyle/>
          <a:p>
            <a:pPr>
              <a:defRPr sz="1200"/>
            </a:pPr>
            <a:endParaRPr lang="es-ES"/>
          </a:p>
        </c:txPr>
        <c:crossAx val="1804324192"/>
        <c:crosses val="autoZero"/>
        <c:crossBetween val="between"/>
        <c:majorUnit val="50"/>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8743978537655399E-2"/>
          <c:y val="4.3519135802469099E-2"/>
          <c:w val="0.82342448900944099"/>
          <c:h val="0.91480700935153703"/>
        </c:manualLayout>
      </c:layout>
      <c:lineChart>
        <c:grouping val="standard"/>
        <c:varyColors val="0"/>
        <c:ser>
          <c:idx val="0"/>
          <c:order val="0"/>
          <c:spPr>
            <a:ln w="76200">
              <a:solidFill>
                <a:schemeClr val="accent1"/>
              </a:solidFill>
            </a:ln>
          </c:spPr>
          <c:marker>
            <c:symbol val="none"/>
          </c:marker>
          <c:cat>
            <c:numRef>
              <c:f>'prod-cons'!$V$10:$V$49</c:f>
              <c:numCache>
                <c:formatCode>mmm\-yy</c:formatCode>
                <c:ptCount val="38"/>
                <c:pt idx="0">
                  <c:v>42856</c:v>
                </c:pt>
                <c:pt idx="1">
                  <c:v>42887</c:v>
                </c:pt>
                <c:pt idx="2">
                  <c:v>42917</c:v>
                </c:pt>
                <c:pt idx="3">
                  <c:v>42948</c:v>
                </c:pt>
                <c:pt idx="4">
                  <c:v>42979</c:v>
                </c:pt>
                <c:pt idx="5">
                  <c:v>43009</c:v>
                </c:pt>
                <c:pt idx="6">
                  <c:v>43040</c:v>
                </c:pt>
                <c:pt idx="7">
                  <c:v>43070</c:v>
                </c:pt>
                <c:pt idx="8">
                  <c:v>43101</c:v>
                </c:pt>
                <c:pt idx="9">
                  <c:v>43132</c:v>
                </c:pt>
                <c:pt idx="10">
                  <c:v>43160</c:v>
                </c:pt>
                <c:pt idx="11">
                  <c:v>43191</c:v>
                </c:pt>
                <c:pt idx="12">
                  <c:v>43221</c:v>
                </c:pt>
                <c:pt idx="13">
                  <c:v>43252</c:v>
                </c:pt>
                <c:pt idx="14">
                  <c:v>43282</c:v>
                </c:pt>
                <c:pt idx="15">
                  <c:v>43313</c:v>
                </c:pt>
                <c:pt idx="16">
                  <c:v>43344</c:v>
                </c:pt>
                <c:pt idx="17">
                  <c:v>43374</c:v>
                </c:pt>
                <c:pt idx="18">
                  <c:v>43405</c:v>
                </c:pt>
                <c:pt idx="19">
                  <c:v>43435</c:v>
                </c:pt>
                <c:pt idx="20">
                  <c:v>43466</c:v>
                </c:pt>
                <c:pt idx="21">
                  <c:v>43497</c:v>
                </c:pt>
                <c:pt idx="22">
                  <c:v>43525</c:v>
                </c:pt>
                <c:pt idx="23">
                  <c:v>43556</c:v>
                </c:pt>
                <c:pt idx="24">
                  <c:v>43586</c:v>
                </c:pt>
                <c:pt idx="25">
                  <c:v>43617</c:v>
                </c:pt>
                <c:pt idx="26">
                  <c:v>43647</c:v>
                </c:pt>
                <c:pt idx="27">
                  <c:v>43709</c:v>
                </c:pt>
                <c:pt idx="28">
                  <c:v>43739</c:v>
                </c:pt>
                <c:pt idx="29">
                  <c:v>43800</c:v>
                </c:pt>
                <c:pt idx="30">
                  <c:v>43831</c:v>
                </c:pt>
                <c:pt idx="31">
                  <c:v>43862</c:v>
                </c:pt>
                <c:pt idx="32">
                  <c:v>43891</c:v>
                </c:pt>
                <c:pt idx="33">
                  <c:v>43922</c:v>
                </c:pt>
                <c:pt idx="34">
                  <c:v>43952</c:v>
                </c:pt>
                <c:pt idx="35">
                  <c:v>43983</c:v>
                </c:pt>
                <c:pt idx="36">
                  <c:v>44013</c:v>
                </c:pt>
                <c:pt idx="37">
                  <c:v>44044</c:v>
                </c:pt>
              </c:numCache>
            </c:numRef>
          </c:cat>
          <c:val>
            <c:numRef>
              <c:f>'prod-cons'!$AL$10:$AL$49</c:f>
              <c:numCache>
                <c:formatCode>0.00</c:formatCode>
                <c:ptCount val="3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numCache>
            </c:numRef>
          </c:val>
          <c:smooth val="0"/>
          <c:extLst>
            <c:ext xmlns:c16="http://schemas.microsoft.com/office/drawing/2014/chart" uri="{C3380CC4-5D6E-409C-BE32-E72D297353CC}">
              <c16:uniqueId val="{00000001-A1FE-4E0F-85BE-7CFE25E82287}"/>
            </c:ext>
          </c:extLst>
        </c:ser>
        <c:dLbls>
          <c:showLegendKey val="0"/>
          <c:showVal val="0"/>
          <c:showCatName val="0"/>
          <c:showSerName val="0"/>
          <c:showPercent val="0"/>
          <c:showBubbleSize val="0"/>
        </c:dLbls>
        <c:smooth val="0"/>
        <c:axId val="1528931632"/>
        <c:axId val="1528933040"/>
      </c:lineChart>
      <c:dateAx>
        <c:axId val="1528931632"/>
        <c:scaling>
          <c:orientation val="minMax"/>
        </c:scaling>
        <c:delete val="0"/>
        <c:axPos val="b"/>
        <c:numFmt formatCode="mmm\-yy" sourceLinked="1"/>
        <c:majorTickMark val="none"/>
        <c:minorTickMark val="none"/>
        <c:tickLblPos val="nextTo"/>
        <c:spPr>
          <a:ln>
            <a:solidFill>
              <a:schemeClr val="bg1">
                <a:lumMod val="75000"/>
              </a:schemeClr>
            </a:solidFill>
          </a:ln>
        </c:spPr>
        <c:txPr>
          <a:bodyPr rot="-5400000" vert="horz"/>
          <a:lstStyle/>
          <a:p>
            <a:pPr>
              <a:defRPr sz="1050"/>
            </a:pPr>
            <a:endParaRPr lang="es-ES"/>
          </a:p>
        </c:txPr>
        <c:crossAx val="1528933040"/>
        <c:crosses val="autoZero"/>
        <c:auto val="1"/>
        <c:lblOffset val="100"/>
        <c:baseTimeUnit val="months"/>
        <c:majorUnit val="2"/>
        <c:majorTimeUnit val="months"/>
      </c:dateAx>
      <c:valAx>
        <c:axId val="1528933040"/>
        <c:scaling>
          <c:orientation val="minMax"/>
        </c:scaling>
        <c:delete val="0"/>
        <c:axPos val="l"/>
        <c:majorGridlines>
          <c:spPr>
            <a:ln>
              <a:solidFill>
                <a:schemeClr val="bg1">
                  <a:lumMod val="85000"/>
                </a:schemeClr>
              </a:solidFill>
            </a:ln>
          </c:spPr>
        </c:majorGridlines>
        <c:numFmt formatCode="#,##0.0" sourceLinked="0"/>
        <c:majorTickMark val="out"/>
        <c:minorTickMark val="none"/>
        <c:tickLblPos val="nextTo"/>
        <c:spPr>
          <a:ln>
            <a:noFill/>
          </a:ln>
        </c:spPr>
        <c:txPr>
          <a:bodyPr/>
          <a:lstStyle/>
          <a:p>
            <a:pPr>
              <a:defRPr sz="1200"/>
            </a:pPr>
            <a:endParaRPr lang="es-ES"/>
          </a:p>
        </c:txPr>
        <c:crossAx val="1528931632"/>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1.xml"/><Relationship Id="rId18" Type="http://schemas.openxmlformats.org/officeDocument/2006/relationships/chart" Target="../charts/chart26.xml"/><Relationship Id="rId3" Type="http://schemas.openxmlformats.org/officeDocument/2006/relationships/chart" Target="../charts/chart11.xml"/><Relationship Id="rId21" Type="http://schemas.openxmlformats.org/officeDocument/2006/relationships/chart" Target="../charts/chart29.xml"/><Relationship Id="rId7" Type="http://schemas.openxmlformats.org/officeDocument/2006/relationships/chart" Target="../charts/chart15.xml"/><Relationship Id="rId12" Type="http://schemas.openxmlformats.org/officeDocument/2006/relationships/chart" Target="../charts/chart20.xml"/><Relationship Id="rId17" Type="http://schemas.openxmlformats.org/officeDocument/2006/relationships/chart" Target="../charts/chart25.xml"/><Relationship Id="rId2" Type="http://schemas.openxmlformats.org/officeDocument/2006/relationships/chart" Target="../charts/chart10.xml"/><Relationship Id="rId16" Type="http://schemas.openxmlformats.org/officeDocument/2006/relationships/chart" Target="../charts/chart24.xml"/><Relationship Id="rId20" Type="http://schemas.openxmlformats.org/officeDocument/2006/relationships/chart" Target="../charts/chart28.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9.xml"/><Relationship Id="rId24" Type="http://schemas.openxmlformats.org/officeDocument/2006/relationships/chart" Target="../charts/chart32.xml"/><Relationship Id="rId5" Type="http://schemas.openxmlformats.org/officeDocument/2006/relationships/chart" Target="../charts/chart13.xml"/><Relationship Id="rId15" Type="http://schemas.openxmlformats.org/officeDocument/2006/relationships/chart" Target="../charts/chart23.xml"/><Relationship Id="rId23" Type="http://schemas.openxmlformats.org/officeDocument/2006/relationships/chart" Target="../charts/chart31.xml"/><Relationship Id="rId10" Type="http://schemas.openxmlformats.org/officeDocument/2006/relationships/chart" Target="../charts/chart18.xml"/><Relationship Id="rId19" Type="http://schemas.openxmlformats.org/officeDocument/2006/relationships/chart" Target="../charts/chart27.xml"/><Relationship Id="rId4" Type="http://schemas.openxmlformats.org/officeDocument/2006/relationships/chart" Target="../charts/chart12.xml"/><Relationship Id="rId9" Type="http://schemas.openxmlformats.org/officeDocument/2006/relationships/chart" Target="../charts/chart17.xml"/><Relationship Id="rId14" Type="http://schemas.openxmlformats.org/officeDocument/2006/relationships/chart" Target="../charts/chart22.xml"/><Relationship Id="rId22" Type="http://schemas.openxmlformats.org/officeDocument/2006/relationships/chart" Target="../charts/chart3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chart" Target="../charts/chart42.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5.xml"/><Relationship Id="rId1" Type="http://schemas.openxmlformats.org/officeDocument/2006/relationships/chart" Target="../charts/chart44.xml"/></Relationships>
</file>

<file path=xl/drawings/drawing1.xml><?xml version="1.0" encoding="utf-8"?>
<xdr:wsDr xmlns:xdr="http://schemas.openxmlformats.org/drawingml/2006/spreadsheetDrawing" xmlns:a="http://schemas.openxmlformats.org/drawingml/2006/main">
  <xdr:twoCellAnchor>
    <xdr:from>
      <xdr:col>73</xdr:col>
      <xdr:colOff>283759</xdr:colOff>
      <xdr:row>38</xdr:row>
      <xdr:rowOff>40533</xdr:rowOff>
    </xdr:from>
    <xdr:to>
      <xdr:col>77</xdr:col>
      <xdr:colOff>457201</xdr:colOff>
      <xdr:row>62</xdr:row>
      <xdr:rowOff>52628</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88</xdr:col>
      <xdr:colOff>185059</xdr:colOff>
      <xdr:row>36</xdr:row>
      <xdr:rowOff>163433</xdr:rowOff>
    </xdr:from>
    <xdr:to>
      <xdr:col>93</xdr:col>
      <xdr:colOff>78469</xdr:colOff>
      <xdr:row>57</xdr:row>
      <xdr:rowOff>158449</xdr:rowOff>
    </xdr:to>
    <xdr:graphicFrame macro="">
      <xdr:nvGraphicFramePr>
        <xdr:cNvPr id="8" name="Gráfico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79</xdr:col>
      <xdr:colOff>117794</xdr:colOff>
      <xdr:row>38</xdr:row>
      <xdr:rowOff>31655</xdr:rowOff>
    </xdr:from>
    <xdr:to>
      <xdr:col>83</xdr:col>
      <xdr:colOff>66675</xdr:colOff>
      <xdr:row>62</xdr:row>
      <xdr:rowOff>135523</xdr:rowOff>
    </xdr:to>
    <xdr:graphicFrame macro="">
      <xdr:nvGraphicFramePr>
        <xdr:cNvPr id="12" name="Gráfico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84</xdr:col>
      <xdr:colOff>108857</xdr:colOff>
      <xdr:row>36</xdr:row>
      <xdr:rowOff>63498</xdr:rowOff>
    </xdr:from>
    <xdr:to>
      <xdr:col>88</xdr:col>
      <xdr:colOff>208855</xdr:colOff>
      <xdr:row>57</xdr:row>
      <xdr:rowOff>47324</xdr:rowOff>
    </xdr:to>
    <xdr:graphicFrame macro="">
      <xdr:nvGraphicFramePr>
        <xdr:cNvPr id="9" name="Gráfico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127</xdr:col>
      <xdr:colOff>76200</xdr:colOff>
      <xdr:row>16</xdr:row>
      <xdr:rowOff>114300</xdr:rowOff>
    </xdr:from>
    <xdr:to>
      <xdr:col>134</xdr:col>
      <xdr:colOff>58852</xdr:colOff>
      <xdr:row>55</xdr:row>
      <xdr:rowOff>168162</xdr:rowOff>
    </xdr:to>
    <xdr:graphicFrame macro="">
      <xdr:nvGraphicFramePr>
        <xdr:cNvPr id="7" name="Gráfico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115</xdr:col>
      <xdr:colOff>304800</xdr:colOff>
      <xdr:row>18</xdr:row>
      <xdr:rowOff>19050</xdr:rowOff>
    </xdr:from>
    <xdr:to>
      <xdr:col>125</xdr:col>
      <xdr:colOff>157162</xdr:colOff>
      <xdr:row>57</xdr:row>
      <xdr:rowOff>91962</xdr:rowOff>
    </xdr:to>
    <xdr:graphicFrame macro="">
      <xdr:nvGraphicFramePr>
        <xdr:cNvPr id="10" name="Gráfico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93</xdr:col>
      <xdr:colOff>677635</xdr:colOff>
      <xdr:row>33</xdr:row>
      <xdr:rowOff>46264</xdr:rowOff>
    </xdr:from>
    <xdr:to>
      <xdr:col>98</xdr:col>
      <xdr:colOff>90713</xdr:colOff>
      <xdr:row>69</xdr:row>
      <xdr:rowOff>58852</xdr:rowOff>
    </xdr:to>
    <xdr:graphicFrame macro="">
      <xdr:nvGraphicFramePr>
        <xdr:cNvPr id="11" name="Gráfico 10">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98</xdr:col>
      <xdr:colOff>112939</xdr:colOff>
      <xdr:row>33</xdr:row>
      <xdr:rowOff>106136</xdr:rowOff>
    </xdr:from>
    <xdr:to>
      <xdr:col>102</xdr:col>
      <xdr:colOff>443932</xdr:colOff>
      <xdr:row>69</xdr:row>
      <xdr:rowOff>118723</xdr:rowOff>
    </xdr:to>
    <xdr:graphicFrame macro="">
      <xdr:nvGraphicFramePr>
        <xdr:cNvPr id="13" name="Gráfico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49</xdr:col>
      <xdr:colOff>95250</xdr:colOff>
      <xdr:row>110</xdr:row>
      <xdr:rowOff>142874</xdr:rowOff>
    </xdr:from>
    <xdr:to>
      <xdr:col>52</xdr:col>
      <xdr:colOff>409575</xdr:colOff>
      <xdr:row>123</xdr:row>
      <xdr:rowOff>38099</xdr:rowOff>
    </xdr:to>
    <xdr:graphicFrame macro="">
      <xdr:nvGraphicFramePr>
        <xdr:cNvPr id="9" name="Gráfico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484505</xdr:colOff>
      <xdr:row>161</xdr:row>
      <xdr:rowOff>133985</xdr:rowOff>
    </xdr:from>
    <xdr:to>
      <xdr:col>50</xdr:col>
      <xdr:colOff>509270</xdr:colOff>
      <xdr:row>173</xdr:row>
      <xdr:rowOff>120650</xdr:rowOff>
    </xdr:to>
    <xdr:graphicFrame macro="">
      <xdr:nvGraphicFramePr>
        <xdr:cNvPr id="18" name="Gráfico 17">
          <a:extLst>
            <a:ext uri="{FF2B5EF4-FFF2-40B4-BE49-F238E27FC236}">
              <a16:creationId xmlns:a16="http://schemas.microsoft.com/office/drawing/2014/main" id="{00000000-0008-0000-0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333375</xdr:colOff>
      <xdr:row>133</xdr:row>
      <xdr:rowOff>0</xdr:rowOff>
    </xdr:from>
    <xdr:to>
      <xdr:col>61</xdr:col>
      <xdr:colOff>684439</xdr:colOff>
      <xdr:row>144</xdr:row>
      <xdr:rowOff>34030</xdr:rowOff>
    </xdr:to>
    <xdr:grpSp>
      <xdr:nvGrpSpPr>
        <xdr:cNvPr id="16" name="Grupo 15">
          <a:extLst>
            <a:ext uri="{FF2B5EF4-FFF2-40B4-BE49-F238E27FC236}">
              <a16:creationId xmlns:a16="http://schemas.microsoft.com/office/drawing/2014/main" id="{00000000-0008-0000-0200-000010000000}"/>
            </a:ext>
          </a:extLst>
        </xdr:cNvPr>
        <xdr:cNvGrpSpPr/>
      </xdr:nvGrpSpPr>
      <xdr:grpSpPr>
        <a:xfrm>
          <a:off x="33318450" y="22812375"/>
          <a:ext cx="1932214" cy="1919980"/>
          <a:chOff x="-2569030" y="4659086"/>
          <a:chExt cx="1932214" cy="1919980"/>
        </a:xfrm>
      </xdr:grpSpPr>
      <xdr:graphicFrame macro="">
        <xdr:nvGraphicFramePr>
          <xdr:cNvPr id="17" name="Gráfico 16">
            <a:extLst>
              <a:ext uri="{FF2B5EF4-FFF2-40B4-BE49-F238E27FC236}">
                <a16:creationId xmlns:a16="http://schemas.microsoft.com/office/drawing/2014/main" id="{00000000-0008-0000-0200-000011000000}"/>
              </a:ext>
            </a:extLst>
          </xdr:cNvPr>
          <xdr:cNvGraphicFramePr>
            <a:graphicFrameLocks/>
          </xdr:cNvGraphicFramePr>
        </xdr:nvGraphicFramePr>
        <xdr:xfrm>
          <a:off x="-2569030" y="4659086"/>
          <a:ext cx="1932214" cy="191998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 name="Gráfico 18">
            <a:extLst>
              <a:ext uri="{FF2B5EF4-FFF2-40B4-BE49-F238E27FC236}">
                <a16:creationId xmlns:a16="http://schemas.microsoft.com/office/drawing/2014/main" id="{00000000-0008-0000-0200-000013000000}"/>
              </a:ext>
            </a:extLst>
          </xdr:cNvPr>
          <xdr:cNvGraphicFramePr>
            <a:graphicFrameLocks/>
          </xdr:cNvGraphicFramePr>
        </xdr:nvGraphicFramePr>
        <xdr:xfrm>
          <a:off x="-2514600" y="4746172"/>
          <a:ext cx="1796144" cy="159841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57</xdr:col>
      <xdr:colOff>38100</xdr:colOff>
      <xdr:row>133</xdr:row>
      <xdr:rowOff>0</xdr:rowOff>
    </xdr:from>
    <xdr:to>
      <xdr:col>59</xdr:col>
      <xdr:colOff>389164</xdr:colOff>
      <xdr:row>144</xdr:row>
      <xdr:rowOff>34030</xdr:rowOff>
    </xdr:to>
    <xdr:grpSp>
      <xdr:nvGrpSpPr>
        <xdr:cNvPr id="23" name="Grupo 22">
          <a:extLst>
            <a:ext uri="{FF2B5EF4-FFF2-40B4-BE49-F238E27FC236}">
              <a16:creationId xmlns:a16="http://schemas.microsoft.com/office/drawing/2014/main" id="{00000000-0008-0000-0200-000017000000}"/>
            </a:ext>
          </a:extLst>
        </xdr:cNvPr>
        <xdr:cNvGrpSpPr/>
      </xdr:nvGrpSpPr>
      <xdr:grpSpPr>
        <a:xfrm>
          <a:off x="31442025" y="22812375"/>
          <a:ext cx="1932214" cy="1919980"/>
          <a:chOff x="-2994251" y="4572448"/>
          <a:chExt cx="1932214" cy="1919980"/>
        </a:xfrm>
      </xdr:grpSpPr>
      <xdr:graphicFrame macro="">
        <xdr:nvGraphicFramePr>
          <xdr:cNvPr id="24" name="Gráfico 23">
            <a:extLst>
              <a:ext uri="{FF2B5EF4-FFF2-40B4-BE49-F238E27FC236}">
                <a16:creationId xmlns:a16="http://schemas.microsoft.com/office/drawing/2014/main" id="{00000000-0008-0000-0200-000018000000}"/>
              </a:ext>
            </a:extLst>
          </xdr:cNvPr>
          <xdr:cNvGraphicFramePr>
            <a:graphicFrameLocks/>
          </xdr:cNvGraphicFramePr>
        </xdr:nvGraphicFramePr>
        <xdr:xfrm>
          <a:off x="-2994251" y="4572448"/>
          <a:ext cx="1932214" cy="19199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5" name="Gráfico 24">
            <a:extLst>
              <a:ext uri="{FF2B5EF4-FFF2-40B4-BE49-F238E27FC236}">
                <a16:creationId xmlns:a16="http://schemas.microsoft.com/office/drawing/2014/main" id="{00000000-0008-0000-0200-000019000000}"/>
              </a:ext>
            </a:extLst>
          </xdr:cNvPr>
          <xdr:cNvGraphicFramePr>
            <a:graphicFrameLocks/>
          </xdr:cNvGraphicFramePr>
        </xdr:nvGraphicFramePr>
        <xdr:xfrm>
          <a:off x="-2943796" y="4633233"/>
          <a:ext cx="1792859" cy="164782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57</xdr:col>
      <xdr:colOff>104775</xdr:colOff>
      <xdr:row>122</xdr:row>
      <xdr:rowOff>104775</xdr:rowOff>
    </xdr:from>
    <xdr:to>
      <xdr:col>59</xdr:col>
      <xdr:colOff>455839</xdr:colOff>
      <xdr:row>133</xdr:row>
      <xdr:rowOff>138805</xdr:rowOff>
    </xdr:to>
    <xdr:grpSp>
      <xdr:nvGrpSpPr>
        <xdr:cNvPr id="29" name="Grupo 28">
          <a:extLst>
            <a:ext uri="{FF2B5EF4-FFF2-40B4-BE49-F238E27FC236}">
              <a16:creationId xmlns:a16="http://schemas.microsoft.com/office/drawing/2014/main" id="{00000000-0008-0000-0200-00001D000000}"/>
            </a:ext>
          </a:extLst>
        </xdr:cNvPr>
        <xdr:cNvGrpSpPr/>
      </xdr:nvGrpSpPr>
      <xdr:grpSpPr>
        <a:xfrm>
          <a:off x="31508700" y="21031200"/>
          <a:ext cx="1932214" cy="1919980"/>
          <a:chOff x="-2051390" y="3195638"/>
          <a:chExt cx="1932214" cy="1919980"/>
        </a:xfrm>
      </xdr:grpSpPr>
      <xdr:graphicFrame macro="">
        <xdr:nvGraphicFramePr>
          <xdr:cNvPr id="30" name="Gráfico 29">
            <a:extLst>
              <a:ext uri="{FF2B5EF4-FFF2-40B4-BE49-F238E27FC236}">
                <a16:creationId xmlns:a16="http://schemas.microsoft.com/office/drawing/2014/main" id="{00000000-0008-0000-0200-00001E000000}"/>
              </a:ext>
            </a:extLst>
          </xdr:cNvPr>
          <xdr:cNvGraphicFramePr>
            <a:graphicFrameLocks/>
          </xdr:cNvGraphicFramePr>
        </xdr:nvGraphicFramePr>
        <xdr:xfrm>
          <a:off x="-2051390" y="3195638"/>
          <a:ext cx="1932214" cy="191998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1" name="Gráfico 30">
            <a:extLst>
              <a:ext uri="{FF2B5EF4-FFF2-40B4-BE49-F238E27FC236}">
                <a16:creationId xmlns:a16="http://schemas.microsoft.com/office/drawing/2014/main" id="{00000000-0008-0000-0200-00001F000000}"/>
              </a:ext>
            </a:extLst>
          </xdr:cNvPr>
          <xdr:cNvGraphicFramePr>
            <a:graphicFrameLocks/>
          </xdr:cNvGraphicFramePr>
        </xdr:nvGraphicFramePr>
        <xdr:xfrm>
          <a:off x="-1994471" y="3251200"/>
          <a:ext cx="1792859" cy="1647825"/>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59</xdr:col>
      <xdr:colOff>228600</xdr:colOff>
      <xdr:row>122</xdr:row>
      <xdr:rowOff>104775</xdr:rowOff>
    </xdr:from>
    <xdr:to>
      <xdr:col>61</xdr:col>
      <xdr:colOff>579664</xdr:colOff>
      <xdr:row>133</xdr:row>
      <xdr:rowOff>138805</xdr:rowOff>
    </xdr:to>
    <xdr:grpSp>
      <xdr:nvGrpSpPr>
        <xdr:cNvPr id="35" name="Grupo 34">
          <a:extLst>
            <a:ext uri="{FF2B5EF4-FFF2-40B4-BE49-F238E27FC236}">
              <a16:creationId xmlns:a16="http://schemas.microsoft.com/office/drawing/2014/main" id="{00000000-0008-0000-0200-000023000000}"/>
            </a:ext>
          </a:extLst>
        </xdr:cNvPr>
        <xdr:cNvGrpSpPr/>
      </xdr:nvGrpSpPr>
      <xdr:grpSpPr>
        <a:xfrm>
          <a:off x="33213675" y="21031200"/>
          <a:ext cx="1932214" cy="1919980"/>
          <a:chOff x="-2151402" y="2585840"/>
          <a:chExt cx="1932214" cy="1919980"/>
        </a:xfrm>
      </xdr:grpSpPr>
      <xdr:graphicFrame macro="">
        <xdr:nvGraphicFramePr>
          <xdr:cNvPr id="36" name="Gráfico 35">
            <a:extLst>
              <a:ext uri="{FF2B5EF4-FFF2-40B4-BE49-F238E27FC236}">
                <a16:creationId xmlns:a16="http://schemas.microsoft.com/office/drawing/2014/main" id="{00000000-0008-0000-0200-000024000000}"/>
              </a:ext>
            </a:extLst>
          </xdr:cNvPr>
          <xdr:cNvGraphicFramePr>
            <a:graphicFrameLocks/>
          </xdr:cNvGraphicFramePr>
        </xdr:nvGraphicFramePr>
        <xdr:xfrm>
          <a:off x="-2151402" y="2585840"/>
          <a:ext cx="1932214" cy="191998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7" name="Gráfico 36">
            <a:extLst>
              <a:ext uri="{FF2B5EF4-FFF2-40B4-BE49-F238E27FC236}">
                <a16:creationId xmlns:a16="http://schemas.microsoft.com/office/drawing/2014/main" id="{00000000-0008-0000-0200-000025000000}"/>
              </a:ext>
            </a:extLst>
          </xdr:cNvPr>
          <xdr:cNvGraphicFramePr>
            <a:graphicFrameLocks/>
          </xdr:cNvGraphicFramePr>
        </xdr:nvGraphicFramePr>
        <xdr:xfrm>
          <a:off x="-2097830" y="2641402"/>
          <a:ext cx="1792859" cy="164782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61</xdr:col>
      <xdr:colOff>514350</xdr:colOff>
      <xdr:row>122</xdr:row>
      <xdr:rowOff>114300</xdr:rowOff>
    </xdr:from>
    <xdr:to>
      <xdr:col>64</xdr:col>
      <xdr:colOff>74839</xdr:colOff>
      <xdr:row>133</xdr:row>
      <xdr:rowOff>148330</xdr:rowOff>
    </xdr:to>
    <xdr:grpSp>
      <xdr:nvGrpSpPr>
        <xdr:cNvPr id="41" name="Grupo 40">
          <a:extLst>
            <a:ext uri="{FF2B5EF4-FFF2-40B4-BE49-F238E27FC236}">
              <a16:creationId xmlns:a16="http://schemas.microsoft.com/office/drawing/2014/main" id="{00000000-0008-0000-0200-000029000000}"/>
            </a:ext>
          </a:extLst>
        </xdr:cNvPr>
        <xdr:cNvGrpSpPr/>
      </xdr:nvGrpSpPr>
      <xdr:grpSpPr>
        <a:xfrm>
          <a:off x="35080575" y="21040725"/>
          <a:ext cx="1932214" cy="1919980"/>
          <a:chOff x="10803618" y="2392810"/>
          <a:chExt cx="1932214" cy="1919980"/>
        </a:xfrm>
      </xdr:grpSpPr>
      <xdr:graphicFrame macro="">
        <xdr:nvGraphicFramePr>
          <xdr:cNvPr id="42" name="Gráfico 41">
            <a:extLst>
              <a:ext uri="{FF2B5EF4-FFF2-40B4-BE49-F238E27FC236}">
                <a16:creationId xmlns:a16="http://schemas.microsoft.com/office/drawing/2014/main" id="{00000000-0008-0000-0200-00002A000000}"/>
              </a:ext>
            </a:extLst>
          </xdr:cNvPr>
          <xdr:cNvGraphicFramePr>
            <a:graphicFrameLocks/>
          </xdr:cNvGraphicFramePr>
        </xdr:nvGraphicFramePr>
        <xdr:xfrm>
          <a:off x="10803618" y="2392810"/>
          <a:ext cx="1932214" cy="191998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3" name="Gráfico 42">
            <a:extLst>
              <a:ext uri="{FF2B5EF4-FFF2-40B4-BE49-F238E27FC236}">
                <a16:creationId xmlns:a16="http://schemas.microsoft.com/office/drawing/2014/main" id="{00000000-0008-0000-0200-00002B000000}"/>
              </a:ext>
            </a:extLst>
          </xdr:cNvPr>
          <xdr:cNvGraphicFramePr>
            <a:graphicFrameLocks/>
          </xdr:cNvGraphicFramePr>
        </xdr:nvGraphicFramePr>
        <xdr:xfrm>
          <a:off x="10860595" y="2451100"/>
          <a:ext cx="1792859" cy="1647825"/>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61</xdr:col>
      <xdr:colOff>523875</xdr:colOff>
      <xdr:row>133</xdr:row>
      <xdr:rowOff>9525</xdr:rowOff>
    </xdr:from>
    <xdr:to>
      <xdr:col>64</xdr:col>
      <xdr:colOff>84364</xdr:colOff>
      <xdr:row>144</xdr:row>
      <xdr:rowOff>43555</xdr:rowOff>
    </xdr:to>
    <xdr:grpSp>
      <xdr:nvGrpSpPr>
        <xdr:cNvPr id="47" name="Grupo 46">
          <a:extLst>
            <a:ext uri="{FF2B5EF4-FFF2-40B4-BE49-F238E27FC236}">
              <a16:creationId xmlns:a16="http://schemas.microsoft.com/office/drawing/2014/main" id="{00000000-0008-0000-0200-00002F000000}"/>
            </a:ext>
          </a:extLst>
        </xdr:cNvPr>
        <xdr:cNvGrpSpPr/>
      </xdr:nvGrpSpPr>
      <xdr:grpSpPr>
        <a:xfrm>
          <a:off x="35090100" y="22821900"/>
          <a:ext cx="1932214" cy="1919980"/>
          <a:chOff x="11510056" y="4740723"/>
          <a:chExt cx="1932214" cy="1919980"/>
        </a:xfrm>
      </xdr:grpSpPr>
      <xdr:graphicFrame macro="">
        <xdr:nvGraphicFramePr>
          <xdr:cNvPr id="48" name="Gráfico 47">
            <a:extLst>
              <a:ext uri="{FF2B5EF4-FFF2-40B4-BE49-F238E27FC236}">
                <a16:creationId xmlns:a16="http://schemas.microsoft.com/office/drawing/2014/main" id="{00000000-0008-0000-0200-000030000000}"/>
              </a:ext>
            </a:extLst>
          </xdr:cNvPr>
          <xdr:cNvGraphicFramePr>
            <a:graphicFrameLocks/>
          </xdr:cNvGraphicFramePr>
        </xdr:nvGraphicFramePr>
        <xdr:xfrm>
          <a:off x="11510056" y="4740723"/>
          <a:ext cx="1932214" cy="191998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49" name="Gráfico 48">
            <a:extLst>
              <a:ext uri="{FF2B5EF4-FFF2-40B4-BE49-F238E27FC236}">
                <a16:creationId xmlns:a16="http://schemas.microsoft.com/office/drawing/2014/main" id="{00000000-0008-0000-0200-000031000000}"/>
              </a:ext>
            </a:extLst>
          </xdr:cNvPr>
          <xdr:cNvGraphicFramePr>
            <a:graphicFrameLocks/>
          </xdr:cNvGraphicFramePr>
        </xdr:nvGraphicFramePr>
        <xdr:xfrm>
          <a:off x="11566980" y="4828706"/>
          <a:ext cx="1796144" cy="1598415"/>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59</xdr:col>
      <xdr:colOff>542925</xdr:colOff>
      <xdr:row>155</xdr:row>
      <xdr:rowOff>28575</xdr:rowOff>
    </xdr:from>
    <xdr:to>
      <xdr:col>62</xdr:col>
      <xdr:colOff>103188</xdr:colOff>
      <xdr:row>166</xdr:row>
      <xdr:rowOff>63500</xdr:rowOff>
    </xdr:to>
    <xdr:grpSp>
      <xdr:nvGrpSpPr>
        <xdr:cNvPr id="59" name="Grupo 58">
          <a:extLst>
            <a:ext uri="{FF2B5EF4-FFF2-40B4-BE49-F238E27FC236}">
              <a16:creationId xmlns:a16="http://schemas.microsoft.com/office/drawing/2014/main" id="{00000000-0008-0000-0200-00003B000000}"/>
            </a:ext>
          </a:extLst>
        </xdr:cNvPr>
        <xdr:cNvGrpSpPr>
          <a:grpSpLocks/>
        </xdr:cNvGrpSpPr>
      </xdr:nvGrpSpPr>
      <xdr:grpSpPr bwMode="auto">
        <a:xfrm>
          <a:off x="33528000" y="26612850"/>
          <a:ext cx="1931988" cy="1920875"/>
          <a:chOff x="10784840" y="5930703"/>
          <a:chExt cx="1932214" cy="1919980"/>
        </a:xfrm>
      </xdr:grpSpPr>
      <xdr:graphicFrame macro="">
        <xdr:nvGraphicFramePr>
          <xdr:cNvPr id="60" name="Gráfico 59">
            <a:extLst>
              <a:ext uri="{FF2B5EF4-FFF2-40B4-BE49-F238E27FC236}">
                <a16:creationId xmlns:a16="http://schemas.microsoft.com/office/drawing/2014/main" id="{00000000-0008-0000-0200-00003C000000}"/>
              </a:ext>
            </a:extLst>
          </xdr:cNvPr>
          <xdr:cNvGraphicFramePr>
            <a:graphicFrameLocks/>
          </xdr:cNvGraphicFramePr>
        </xdr:nvGraphicFramePr>
        <xdr:xfrm>
          <a:off x="10784840" y="5930703"/>
          <a:ext cx="1932214" cy="1919980"/>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61" name="Gráfico 60">
            <a:extLst>
              <a:ext uri="{FF2B5EF4-FFF2-40B4-BE49-F238E27FC236}">
                <a16:creationId xmlns:a16="http://schemas.microsoft.com/office/drawing/2014/main" id="{00000000-0008-0000-0200-00003D000000}"/>
              </a:ext>
            </a:extLst>
          </xdr:cNvPr>
          <xdr:cNvGraphicFramePr>
            <a:graphicFrameLocks/>
          </xdr:cNvGraphicFramePr>
        </xdr:nvGraphicFramePr>
        <xdr:xfrm>
          <a:off x="10841037" y="6021585"/>
          <a:ext cx="1796144" cy="1598415"/>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57</xdr:col>
      <xdr:colOff>95250</xdr:colOff>
      <xdr:row>155</xdr:row>
      <xdr:rowOff>142875</xdr:rowOff>
    </xdr:from>
    <xdr:to>
      <xdr:col>59</xdr:col>
      <xdr:colOff>446314</xdr:colOff>
      <xdr:row>167</xdr:row>
      <xdr:rowOff>5455</xdr:rowOff>
    </xdr:to>
    <xdr:grpSp>
      <xdr:nvGrpSpPr>
        <xdr:cNvPr id="62" name="Grupo 61">
          <a:extLst>
            <a:ext uri="{FF2B5EF4-FFF2-40B4-BE49-F238E27FC236}">
              <a16:creationId xmlns:a16="http://schemas.microsoft.com/office/drawing/2014/main" id="{00000000-0008-0000-0200-00003E000000}"/>
            </a:ext>
          </a:extLst>
        </xdr:cNvPr>
        <xdr:cNvGrpSpPr/>
      </xdr:nvGrpSpPr>
      <xdr:grpSpPr>
        <a:xfrm>
          <a:off x="31499175" y="26727150"/>
          <a:ext cx="1932214" cy="1919980"/>
          <a:chOff x="-2612005" y="5288184"/>
          <a:chExt cx="1932214" cy="1919980"/>
        </a:xfrm>
      </xdr:grpSpPr>
      <xdr:graphicFrame macro="">
        <xdr:nvGraphicFramePr>
          <xdr:cNvPr id="63" name="Gráfico 62">
            <a:extLst>
              <a:ext uri="{FF2B5EF4-FFF2-40B4-BE49-F238E27FC236}">
                <a16:creationId xmlns:a16="http://schemas.microsoft.com/office/drawing/2014/main" id="{00000000-0008-0000-0200-00003F000000}"/>
              </a:ext>
            </a:extLst>
          </xdr:cNvPr>
          <xdr:cNvGraphicFramePr>
            <a:graphicFrameLocks/>
          </xdr:cNvGraphicFramePr>
        </xdr:nvGraphicFramePr>
        <xdr:xfrm>
          <a:off x="-2612005" y="5288184"/>
          <a:ext cx="1932214" cy="191998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64" name="Gráfico 63">
            <a:extLst>
              <a:ext uri="{FF2B5EF4-FFF2-40B4-BE49-F238E27FC236}">
                <a16:creationId xmlns:a16="http://schemas.microsoft.com/office/drawing/2014/main" id="{00000000-0008-0000-0200-000040000000}"/>
              </a:ext>
            </a:extLst>
          </xdr:cNvPr>
          <xdr:cNvGraphicFramePr>
            <a:graphicFrameLocks/>
          </xdr:cNvGraphicFramePr>
        </xdr:nvGraphicFramePr>
        <xdr:xfrm>
          <a:off x="-2544809" y="5373627"/>
          <a:ext cx="1796144" cy="1598415"/>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55</xdr:col>
      <xdr:colOff>714375</xdr:colOff>
      <xdr:row>143</xdr:row>
      <xdr:rowOff>104775</xdr:rowOff>
    </xdr:from>
    <xdr:to>
      <xdr:col>59</xdr:col>
      <xdr:colOff>274864</xdr:colOff>
      <xdr:row>154</xdr:row>
      <xdr:rowOff>138805</xdr:rowOff>
    </xdr:to>
    <xdr:grpSp>
      <xdr:nvGrpSpPr>
        <xdr:cNvPr id="65" name="Grupo 64">
          <a:extLst>
            <a:ext uri="{FF2B5EF4-FFF2-40B4-BE49-F238E27FC236}">
              <a16:creationId xmlns:a16="http://schemas.microsoft.com/office/drawing/2014/main" id="{00000000-0008-0000-0200-000041000000}"/>
            </a:ext>
          </a:extLst>
        </xdr:cNvPr>
        <xdr:cNvGrpSpPr/>
      </xdr:nvGrpSpPr>
      <xdr:grpSpPr>
        <a:xfrm>
          <a:off x="30887670" y="24631650"/>
          <a:ext cx="2372269" cy="1919980"/>
          <a:chOff x="-2084501" y="7209733"/>
          <a:chExt cx="1932214" cy="1919980"/>
        </a:xfrm>
      </xdr:grpSpPr>
      <xdr:graphicFrame macro="">
        <xdr:nvGraphicFramePr>
          <xdr:cNvPr id="66" name="Gráfico 65">
            <a:extLst>
              <a:ext uri="{FF2B5EF4-FFF2-40B4-BE49-F238E27FC236}">
                <a16:creationId xmlns:a16="http://schemas.microsoft.com/office/drawing/2014/main" id="{00000000-0008-0000-0200-000042000000}"/>
              </a:ext>
            </a:extLst>
          </xdr:cNvPr>
          <xdr:cNvGraphicFramePr>
            <a:graphicFrameLocks/>
          </xdr:cNvGraphicFramePr>
        </xdr:nvGraphicFramePr>
        <xdr:xfrm>
          <a:off x="-2084501" y="7209733"/>
          <a:ext cx="1932214" cy="1919980"/>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67" name="Gráfico 66">
            <a:extLst>
              <a:ext uri="{FF2B5EF4-FFF2-40B4-BE49-F238E27FC236}">
                <a16:creationId xmlns:a16="http://schemas.microsoft.com/office/drawing/2014/main" id="{00000000-0008-0000-0200-000043000000}"/>
              </a:ext>
            </a:extLst>
          </xdr:cNvPr>
          <xdr:cNvGraphicFramePr>
            <a:graphicFrameLocks/>
          </xdr:cNvGraphicFramePr>
        </xdr:nvGraphicFramePr>
        <xdr:xfrm>
          <a:off x="-2026331" y="7295454"/>
          <a:ext cx="1796144" cy="1598415"/>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twoCellAnchor>
    <xdr:from>
      <xdr:col>61</xdr:col>
      <xdr:colOff>590550</xdr:colOff>
      <xdr:row>143</xdr:row>
      <xdr:rowOff>28575</xdr:rowOff>
    </xdr:from>
    <xdr:to>
      <xdr:col>64</xdr:col>
      <xdr:colOff>151039</xdr:colOff>
      <xdr:row>154</xdr:row>
      <xdr:rowOff>62605</xdr:rowOff>
    </xdr:to>
    <xdr:grpSp>
      <xdr:nvGrpSpPr>
        <xdr:cNvPr id="77" name="Grupo 76">
          <a:extLst>
            <a:ext uri="{FF2B5EF4-FFF2-40B4-BE49-F238E27FC236}">
              <a16:creationId xmlns:a16="http://schemas.microsoft.com/office/drawing/2014/main" id="{00000000-0008-0000-0200-00004D000000}"/>
            </a:ext>
          </a:extLst>
        </xdr:cNvPr>
        <xdr:cNvGrpSpPr/>
      </xdr:nvGrpSpPr>
      <xdr:grpSpPr>
        <a:xfrm>
          <a:off x="35156775" y="24555450"/>
          <a:ext cx="1932214" cy="1919980"/>
          <a:chOff x="11656899" y="7597282"/>
          <a:chExt cx="1932214" cy="1919980"/>
        </a:xfrm>
      </xdr:grpSpPr>
      <xdr:graphicFrame macro="">
        <xdr:nvGraphicFramePr>
          <xdr:cNvPr id="78" name="Gráfico 77">
            <a:extLst>
              <a:ext uri="{FF2B5EF4-FFF2-40B4-BE49-F238E27FC236}">
                <a16:creationId xmlns:a16="http://schemas.microsoft.com/office/drawing/2014/main" id="{00000000-0008-0000-0200-00004E000000}"/>
              </a:ext>
            </a:extLst>
          </xdr:cNvPr>
          <xdr:cNvGraphicFramePr>
            <a:graphicFrameLocks/>
          </xdr:cNvGraphicFramePr>
        </xdr:nvGraphicFramePr>
        <xdr:xfrm>
          <a:off x="11656899" y="7597282"/>
          <a:ext cx="1932214" cy="1919980"/>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79" name="Gráfico 78">
            <a:extLst>
              <a:ext uri="{FF2B5EF4-FFF2-40B4-BE49-F238E27FC236}">
                <a16:creationId xmlns:a16="http://schemas.microsoft.com/office/drawing/2014/main" id="{00000000-0008-0000-0200-00004F000000}"/>
              </a:ext>
            </a:extLst>
          </xdr:cNvPr>
          <xdr:cNvGraphicFramePr>
            <a:graphicFrameLocks/>
          </xdr:cNvGraphicFramePr>
        </xdr:nvGraphicFramePr>
        <xdr:xfrm>
          <a:off x="11715069" y="7688461"/>
          <a:ext cx="1796144" cy="1598415"/>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59</xdr:col>
      <xdr:colOff>238125</xdr:colOff>
      <xdr:row>144</xdr:row>
      <xdr:rowOff>85725</xdr:rowOff>
    </xdr:from>
    <xdr:to>
      <xdr:col>61</xdr:col>
      <xdr:colOff>589189</xdr:colOff>
      <xdr:row>155</xdr:row>
      <xdr:rowOff>119755</xdr:rowOff>
    </xdr:to>
    <xdr:grpSp>
      <xdr:nvGrpSpPr>
        <xdr:cNvPr id="2" name="Grupo 1">
          <a:extLst>
            <a:ext uri="{FF2B5EF4-FFF2-40B4-BE49-F238E27FC236}">
              <a16:creationId xmlns:a16="http://schemas.microsoft.com/office/drawing/2014/main" id="{00000000-0008-0000-0200-000002000000}"/>
            </a:ext>
          </a:extLst>
        </xdr:cNvPr>
        <xdr:cNvGrpSpPr/>
      </xdr:nvGrpSpPr>
      <xdr:grpSpPr>
        <a:xfrm>
          <a:off x="33223200" y="24784050"/>
          <a:ext cx="1932214" cy="1919980"/>
          <a:chOff x="-3705452" y="6291263"/>
          <a:chExt cx="1932214" cy="1919980"/>
        </a:xfrm>
      </xdr:grpSpPr>
      <xdr:graphicFrame macro="">
        <xdr:nvGraphicFramePr>
          <xdr:cNvPr id="3" name="Gráfico 2">
            <a:extLst>
              <a:ext uri="{FF2B5EF4-FFF2-40B4-BE49-F238E27FC236}">
                <a16:creationId xmlns:a16="http://schemas.microsoft.com/office/drawing/2014/main" id="{00000000-0008-0000-0200-000003000000}"/>
              </a:ext>
            </a:extLst>
          </xdr:cNvPr>
          <xdr:cNvGraphicFramePr>
            <a:graphicFrameLocks/>
          </xdr:cNvGraphicFramePr>
        </xdr:nvGraphicFramePr>
        <xdr:xfrm>
          <a:off x="-3705452" y="6291263"/>
          <a:ext cx="1932214" cy="1919980"/>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4" name="Gráfico 3">
            <a:extLst>
              <a:ext uri="{FF2B5EF4-FFF2-40B4-BE49-F238E27FC236}">
                <a16:creationId xmlns:a16="http://schemas.microsoft.com/office/drawing/2014/main" id="{00000000-0008-0000-0200-000004000000}"/>
              </a:ext>
            </a:extLst>
          </xdr:cNvPr>
          <xdr:cNvGraphicFramePr>
            <a:graphicFrameLocks/>
          </xdr:cNvGraphicFramePr>
        </xdr:nvGraphicFramePr>
        <xdr:xfrm>
          <a:off x="-3650947" y="6369513"/>
          <a:ext cx="1796144" cy="1598415"/>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126</xdr:col>
      <xdr:colOff>754517</xdr:colOff>
      <xdr:row>24</xdr:row>
      <xdr:rowOff>100692</xdr:rowOff>
    </xdr:from>
    <xdr:to>
      <xdr:col>132</xdr:col>
      <xdr:colOff>578985</xdr:colOff>
      <xdr:row>40</xdr:row>
      <xdr:rowOff>100692</xdr:rowOff>
    </xdr:to>
    <xdr:graphicFrame macro="">
      <xdr:nvGraphicFramePr>
        <xdr:cNvPr id="5" name="Gráfico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129</xdr:col>
      <xdr:colOff>782410</xdr:colOff>
      <xdr:row>27</xdr:row>
      <xdr:rowOff>44904</xdr:rowOff>
    </xdr:from>
    <xdr:to>
      <xdr:col>130</xdr:col>
      <xdr:colOff>111578</xdr:colOff>
      <xdr:row>32</xdr:row>
      <xdr:rowOff>112940</xdr:rowOff>
    </xdr:to>
    <xdr:sp macro="" textlink="">
      <xdr:nvSpPr>
        <xdr:cNvPr id="6" name="Diagrama de flujo: extraer 5">
          <a:extLst>
            <a:ext uri="{FF2B5EF4-FFF2-40B4-BE49-F238E27FC236}">
              <a16:creationId xmlns:a16="http://schemas.microsoft.com/office/drawing/2014/main" id="{00000000-0008-0000-0400-000006000000}"/>
            </a:ext>
          </a:extLst>
        </xdr:cNvPr>
        <xdr:cNvSpPr/>
      </xdr:nvSpPr>
      <xdr:spPr>
        <a:xfrm rot="2164084">
          <a:off x="47155553" y="5498647"/>
          <a:ext cx="123825" cy="906236"/>
        </a:xfrm>
        <a:prstGeom prst="flowChartExtra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107</xdr:col>
      <xdr:colOff>297997</xdr:colOff>
      <xdr:row>24</xdr:row>
      <xdr:rowOff>92528</xdr:rowOff>
    </xdr:from>
    <xdr:to>
      <xdr:col>126</xdr:col>
      <xdr:colOff>500066</xdr:colOff>
      <xdr:row>64</xdr:row>
      <xdr:rowOff>69171</xdr:rowOff>
    </xdr:to>
    <xdr:graphicFrame macro="">
      <xdr:nvGraphicFramePr>
        <xdr:cNvPr id="7" name="Gráfico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76</xdr:col>
      <xdr:colOff>88448</xdr:colOff>
      <xdr:row>36</xdr:row>
      <xdr:rowOff>72117</xdr:rowOff>
    </xdr:from>
    <xdr:to>
      <xdr:col>102</xdr:col>
      <xdr:colOff>217715</xdr:colOff>
      <xdr:row>67</xdr:row>
      <xdr:rowOff>133012</xdr:rowOff>
    </xdr:to>
    <xdr:graphicFrame macro="">
      <xdr:nvGraphicFramePr>
        <xdr:cNvPr id="8" name="Gráfico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752594</xdr:colOff>
      <xdr:row>2</xdr:row>
      <xdr:rowOff>119743</xdr:rowOff>
    </xdr:from>
    <xdr:to>
      <xdr:col>21</xdr:col>
      <xdr:colOff>280992</xdr:colOff>
      <xdr:row>16</xdr:row>
      <xdr:rowOff>165644</xdr:rowOff>
    </xdr:to>
    <xdr:pic>
      <xdr:nvPicPr>
        <xdr:cNvPr id="2" name="Imagen 1">
          <a:extLst>
            <a:ext uri="{FF2B5EF4-FFF2-40B4-BE49-F238E27FC236}">
              <a16:creationId xmlns:a16="http://schemas.microsoft.com/office/drawing/2014/main" id="{D7674233-8A18-BCF4-440E-721C12380615}"/>
            </a:ext>
          </a:extLst>
        </xdr:cNvPr>
        <xdr:cNvPicPr>
          <a:picLocks noChangeAspect="1"/>
        </xdr:cNvPicPr>
      </xdr:nvPicPr>
      <xdr:blipFill>
        <a:blip xmlns:r="http://schemas.openxmlformats.org/officeDocument/2006/relationships" r:embed="rId1"/>
        <a:stretch>
          <a:fillRect/>
        </a:stretch>
      </xdr:blipFill>
      <xdr:spPr>
        <a:xfrm>
          <a:off x="10734794" y="468086"/>
          <a:ext cx="5090998" cy="24843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19</xdr:col>
      <xdr:colOff>47625</xdr:colOff>
      <xdr:row>0</xdr:row>
      <xdr:rowOff>40005</xdr:rowOff>
    </xdr:from>
    <xdr:to>
      <xdr:col>20</xdr:col>
      <xdr:colOff>773509</xdr:colOff>
      <xdr:row>8</xdr:row>
      <xdr:rowOff>147123</xdr:rowOff>
    </xdr:to>
    <xdr:graphicFrame macro="">
      <xdr:nvGraphicFramePr>
        <xdr:cNvPr id="2" name="Gráfico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51435</xdr:colOff>
      <xdr:row>8</xdr:row>
      <xdr:rowOff>28575</xdr:rowOff>
    </xdr:from>
    <xdr:to>
      <xdr:col>20</xdr:col>
      <xdr:colOff>777319</xdr:colOff>
      <xdr:row>16</xdr:row>
      <xdr:rowOff>154743</xdr:rowOff>
    </xdr:to>
    <xdr:graphicFrame macro="">
      <xdr:nvGraphicFramePr>
        <xdr:cNvPr id="3" name="Gráfico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72390</xdr:colOff>
      <xdr:row>16</xdr:row>
      <xdr:rowOff>64770</xdr:rowOff>
    </xdr:from>
    <xdr:to>
      <xdr:col>21</xdr:col>
      <xdr:colOff>7699</xdr:colOff>
      <xdr:row>25</xdr:row>
      <xdr:rowOff>19488</xdr:rowOff>
    </xdr:to>
    <xdr:graphicFrame macro="">
      <xdr:nvGraphicFramePr>
        <xdr:cNvPr id="4" name="Gráfico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58</xdr:col>
      <xdr:colOff>395379</xdr:colOff>
      <xdr:row>25</xdr:row>
      <xdr:rowOff>62901</xdr:rowOff>
    </xdr:from>
    <xdr:to>
      <xdr:col>64</xdr:col>
      <xdr:colOff>309113</xdr:colOff>
      <xdr:row>32</xdr:row>
      <xdr:rowOff>8985</xdr:rowOff>
    </xdr:to>
    <xdr:graphicFrame macro="">
      <xdr:nvGraphicFramePr>
        <xdr:cNvPr id="2" name="Gráfico 1">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58</xdr:col>
      <xdr:colOff>395379</xdr:colOff>
      <xdr:row>25</xdr:row>
      <xdr:rowOff>62901</xdr:rowOff>
    </xdr:from>
    <xdr:to>
      <xdr:col>64</xdr:col>
      <xdr:colOff>309113</xdr:colOff>
      <xdr:row>32</xdr:row>
      <xdr:rowOff>8985</xdr:rowOff>
    </xdr:to>
    <xdr:graphicFrame macro="">
      <xdr:nvGraphicFramePr>
        <xdr:cNvPr id="22" name="Gráfico 21">
          <a:extLst>
            <a:ext uri="{FF2B5EF4-FFF2-40B4-BE49-F238E27FC236}">
              <a16:creationId xmlns:a16="http://schemas.microsoft.com/office/drawing/2014/main" id="{00000000-0008-0000-23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63500</xdr:colOff>
      <xdr:row>5</xdr:row>
      <xdr:rowOff>0</xdr:rowOff>
    </xdr:from>
    <xdr:to>
      <xdr:col>1</xdr:col>
      <xdr:colOff>429292</xdr:colOff>
      <xdr:row>5</xdr:row>
      <xdr:rowOff>359695</xdr:rowOff>
    </xdr:to>
    <xdr:pic>
      <xdr:nvPicPr>
        <xdr:cNvPr id="2" name="Imagen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1025525" y="733425"/>
          <a:ext cx="365792" cy="359695"/>
        </a:xfrm>
        <a:prstGeom prst="rect">
          <a:avLst/>
        </a:prstGeom>
      </xdr:spPr>
    </xdr:pic>
    <xdr:clientData/>
  </xdr:twoCellAnchor>
  <xdr:twoCellAnchor>
    <xdr:from>
      <xdr:col>1</xdr:col>
      <xdr:colOff>50800</xdr:colOff>
      <xdr:row>12</xdr:row>
      <xdr:rowOff>0</xdr:rowOff>
    </xdr:from>
    <xdr:to>
      <xdr:col>1</xdr:col>
      <xdr:colOff>421460</xdr:colOff>
      <xdr:row>12</xdr:row>
      <xdr:rowOff>360000</xdr:rowOff>
    </xdr:to>
    <xdr:sp macro="" textlink="">
      <xdr:nvSpPr>
        <xdr:cNvPr id="4" name="AutoShape 133">
          <a:extLst>
            <a:ext uri="{FF2B5EF4-FFF2-40B4-BE49-F238E27FC236}">
              <a16:creationId xmlns:a16="http://schemas.microsoft.com/office/drawing/2014/main" id="{00000000-0008-0000-2400-000004000000}"/>
            </a:ext>
          </a:extLst>
        </xdr:cNvPr>
        <xdr:cNvSpPr>
          <a:spLocks noChangeAspect="1"/>
        </xdr:cNvSpPr>
      </xdr:nvSpPr>
      <xdr:spPr bwMode="auto">
        <a:xfrm>
          <a:off x="1012825" y="3400425"/>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57070</xdr:colOff>
      <xdr:row>21</xdr:row>
      <xdr:rowOff>0</xdr:rowOff>
    </xdr:from>
    <xdr:to>
      <xdr:col>1</xdr:col>
      <xdr:colOff>427730</xdr:colOff>
      <xdr:row>21</xdr:row>
      <xdr:rowOff>360000</xdr:rowOff>
    </xdr:to>
    <xdr:sp macro="" textlink="">
      <xdr:nvSpPr>
        <xdr:cNvPr id="5" name="AutoShape 133">
          <a:extLst>
            <a:ext uri="{FF2B5EF4-FFF2-40B4-BE49-F238E27FC236}">
              <a16:creationId xmlns:a16="http://schemas.microsoft.com/office/drawing/2014/main" id="{00000000-0008-0000-2400-000005000000}"/>
            </a:ext>
          </a:extLst>
        </xdr:cNvPr>
        <xdr:cNvSpPr>
          <a:spLocks noChangeAspect="1"/>
        </xdr:cNvSpPr>
      </xdr:nvSpPr>
      <xdr:spPr bwMode="auto">
        <a:xfrm>
          <a:off x="1019095" y="6829425"/>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57070</xdr:colOff>
      <xdr:row>19</xdr:row>
      <xdr:rowOff>12700</xdr:rowOff>
    </xdr:from>
    <xdr:to>
      <xdr:col>1</xdr:col>
      <xdr:colOff>427730</xdr:colOff>
      <xdr:row>19</xdr:row>
      <xdr:rowOff>372700</xdr:rowOff>
    </xdr:to>
    <xdr:sp macro="" textlink="">
      <xdr:nvSpPr>
        <xdr:cNvPr id="6" name="AutoShape 133">
          <a:extLst>
            <a:ext uri="{FF2B5EF4-FFF2-40B4-BE49-F238E27FC236}">
              <a16:creationId xmlns:a16="http://schemas.microsoft.com/office/drawing/2014/main" id="{00000000-0008-0000-2400-000006000000}"/>
            </a:ext>
          </a:extLst>
        </xdr:cNvPr>
        <xdr:cNvSpPr>
          <a:spLocks noChangeAspect="1"/>
        </xdr:cNvSpPr>
      </xdr:nvSpPr>
      <xdr:spPr bwMode="auto">
        <a:xfrm>
          <a:off x="1019095" y="6080125"/>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57811</xdr:colOff>
      <xdr:row>22</xdr:row>
      <xdr:rowOff>32575</xdr:rowOff>
    </xdr:from>
    <xdr:to>
      <xdr:col>1</xdr:col>
      <xdr:colOff>426990</xdr:colOff>
      <xdr:row>23</xdr:row>
      <xdr:rowOff>11575</xdr:rowOff>
    </xdr:to>
    <xdr:sp macro="" textlink="">
      <xdr:nvSpPr>
        <xdr:cNvPr id="7" name="AutoShape 107">
          <a:extLst>
            <a:ext uri="{FF2B5EF4-FFF2-40B4-BE49-F238E27FC236}">
              <a16:creationId xmlns:a16="http://schemas.microsoft.com/office/drawing/2014/main" id="{00000000-0008-0000-2400-000007000000}"/>
            </a:ext>
          </a:extLst>
        </xdr:cNvPr>
        <xdr:cNvSpPr>
          <a:spLocks noChangeAspect="1"/>
        </xdr:cNvSpPr>
      </xdr:nvSpPr>
      <xdr:spPr bwMode="auto">
        <a:xfrm>
          <a:off x="1019836" y="7243000"/>
          <a:ext cx="369179"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51541</xdr:colOff>
      <xdr:row>11</xdr:row>
      <xdr:rowOff>31915</xdr:rowOff>
    </xdr:from>
    <xdr:to>
      <xdr:col>1</xdr:col>
      <xdr:colOff>420720</xdr:colOff>
      <xdr:row>12</xdr:row>
      <xdr:rowOff>10915</xdr:rowOff>
    </xdr:to>
    <xdr:sp macro="" textlink="">
      <xdr:nvSpPr>
        <xdr:cNvPr id="8" name="AutoShape 107">
          <a:extLst>
            <a:ext uri="{FF2B5EF4-FFF2-40B4-BE49-F238E27FC236}">
              <a16:creationId xmlns:a16="http://schemas.microsoft.com/office/drawing/2014/main" id="{00000000-0008-0000-2400-000008000000}"/>
            </a:ext>
          </a:extLst>
        </xdr:cNvPr>
        <xdr:cNvSpPr>
          <a:spLocks noChangeAspect="1"/>
        </xdr:cNvSpPr>
      </xdr:nvSpPr>
      <xdr:spPr bwMode="auto">
        <a:xfrm>
          <a:off x="1013027" y="3024203"/>
          <a:ext cx="369179" cy="356405"/>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51541</xdr:colOff>
      <xdr:row>16</xdr:row>
      <xdr:rowOff>38100</xdr:rowOff>
    </xdr:from>
    <xdr:to>
      <xdr:col>1</xdr:col>
      <xdr:colOff>420720</xdr:colOff>
      <xdr:row>17</xdr:row>
      <xdr:rowOff>17100</xdr:rowOff>
    </xdr:to>
    <xdr:sp macro="" textlink="">
      <xdr:nvSpPr>
        <xdr:cNvPr id="9" name="AutoShape 107">
          <a:extLst>
            <a:ext uri="{FF2B5EF4-FFF2-40B4-BE49-F238E27FC236}">
              <a16:creationId xmlns:a16="http://schemas.microsoft.com/office/drawing/2014/main" id="{00000000-0008-0000-2400-000009000000}"/>
            </a:ext>
          </a:extLst>
        </xdr:cNvPr>
        <xdr:cNvSpPr>
          <a:spLocks noChangeAspect="1"/>
        </xdr:cNvSpPr>
      </xdr:nvSpPr>
      <xdr:spPr bwMode="auto">
        <a:xfrm>
          <a:off x="1013566" y="4962525"/>
          <a:ext cx="369179"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51540</xdr:colOff>
      <xdr:row>15</xdr:row>
      <xdr:rowOff>0</xdr:rowOff>
    </xdr:from>
    <xdr:to>
      <xdr:col>1</xdr:col>
      <xdr:colOff>420720</xdr:colOff>
      <xdr:row>15</xdr:row>
      <xdr:rowOff>360000</xdr:rowOff>
    </xdr:to>
    <xdr:sp macro="" textlink="">
      <xdr:nvSpPr>
        <xdr:cNvPr id="10" name="AutoShape 40">
          <a:extLst>
            <a:ext uri="{FF2B5EF4-FFF2-40B4-BE49-F238E27FC236}">
              <a16:creationId xmlns:a16="http://schemas.microsoft.com/office/drawing/2014/main" id="{00000000-0008-0000-2400-00000A000000}"/>
            </a:ext>
          </a:extLst>
        </xdr:cNvPr>
        <xdr:cNvSpPr>
          <a:spLocks noChangeAspect="1"/>
        </xdr:cNvSpPr>
      </xdr:nvSpPr>
      <xdr:spPr bwMode="auto">
        <a:xfrm>
          <a:off x="1013565" y="4543425"/>
          <a:ext cx="36918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61065</xdr:colOff>
      <xdr:row>6</xdr:row>
      <xdr:rowOff>11113</xdr:rowOff>
    </xdr:from>
    <xdr:to>
      <xdr:col>1</xdr:col>
      <xdr:colOff>430245</xdr:colOff>
      <xdr:row>6</xdr:row>
      <xdr:rowOff>371113</xdr:rowOff>
    </xdr:to>
    <xdr:sp macro="" textlink="">
      <xdr:nvSpPr>
        <xdr:cNvPr id="13" name="AutoShape 40">
          <a:extLst>
            <a:ext uri="{FF2B5EF4-FFF2-40B4-BE49-F238E27FC236}">
              <a16:creationId xmlns:a16="http://schemas.microsoft.com/office/drawing/2014/main" id="{00000000-0008-0000-2400-00000D000000}"/>
            </a:ext>
          </a:extLst>
        </xdr:cNvPr>
        <xdr:cNvSpPr>
          <a:spLocks noChangeAspect="1"/>
        </xdr:cNvSpPr>
      </xdr:nvSpPr>
      <xdr:spPr bwMode="auto">
        <a:xfrm>
          <a:off x="1023090" y="1125538"/>
          <a:ext cx="36918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4762</xdr:colOff>
      <xdr:row>9</xdr:row>
      <xdr:rowOff>19050</xdr:rowOff>
    </xdr:from>
    <xdr:to>
      <xdr:col>1</xdr:col>
      <xdr:colOff>375422</xdr:colOff>
      <xdr:row>9</xdr:row>
      <xdr:rowOff>379050</xdr:rowOff>
    </xdr:to>
    <xdr:sp macro="" textlink="">
      <xdr:nvSpPr>
        <xdr:cNvPr id="16" name="AutoShape 133">
          <a:extLst>
            <a:ext uri="{FF2B5EF4-FFF2-40B4-BE49-F238E27FC236}">
              <a16:creationId xmlns:a16="http://schemas.microsoft.com/office/drawing/2014/main" id="{00000000-0008-0000-2400-000010000000}"/>
            </a:ext>
          </a:extLst>
        </xdr:cNvPr>
        <xdr:cNvSpPr>
          <a:spLocks noChangeAspect="1"/>
        </xdr:cNvSpPr>
      </xdr:nvSpPr>
      <xdr:spPr bwMode="auto">
        <a:xfrm>
          <a:off x="966787" y="2276475"/>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58162</xdr:colOff>
      <xdr:row>14</xdr:row>
      <xdr:rowOff>13753</xdr:rowOff>
    </xdr:from>
    <xdr:to>
      <xdr:col>1</xdr:col>
      <xdr:colOff>428822</xdr:colOff>
      <xdr:row>14</xdr:row>
      <xdr:rowOff>373753</xdr:rowOff>
    </xdr:to>
    <xdr:sp macro="" textlink="">
      <xdr:nvSpPr>
        <xdr:cNvPr id="17" name="AutoShape 133">
          <a:extLst>
            <a:ext uri="{FF2B5EF4-FFF2-40B4-BE49-F238E27FC236}">
              <a16:creationId xmlns:a16="http://schemas.microsoft.com/office/drawing/2014/main" id="{00000000-0008-0000-2400-000011000000}"/>
            </a:ext>
          </a:extLst>
        </xdr:cNvPr>
        <xdr:cNvSpPr>
          <a:spLocks noChangeAspect="1"/>
        </xdr:cNvSpPr>
      </xdr:nvSpPr>
      <xdr:spPr bwMode="auto">
        <a:xfrm>
          <a:off x="1019648" y="4138258"/>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editAs="oneCell">
    <xdr:from>
      <xdr:col>1</xdr:col>
      <xdr:colOff>62759</xdr:colOff>
      <xdr:row>17</xdr:row>
      <xdr:rowOff>37041</xdr:rowOff>
    </xdr:from>
    <xdr:to>
      <xdr:col>1</xdr:col>
      <xdr:colOff>428551</xdr:colOff>
      <xdr:row>18</xdr:row>
      <xdr:rowOff>15736</xdr:rowOff>
    </xdr:to>
    <xdr:pic>
      <xdr:nvPicPr>
        <xdr:cNvPr id="18" name="Imagen 17">
          <a:extLst>
            <a:ext uri="{FF2B5EF4-FFF2-40B4-BE49-F238E27FC236}">
              <a16:creationId xmlns:a16="http://schemas.microsoft.com/office/drawing/2014/main" id="{00000000-0008-0000-2400-000012000000}"/>
            </a:ext>
          </a:extLst>
        </xdr:cNvPr>
        <xdr:cNvPicPr>
          <a:picLocks noChangeAspect="1"/>
        </xdr:cNvPicPr>
      </xdr:nvPicPr>
      <xdr:blipFill>
        <a:blip xmlns:r="http://schemas.openxmlformats.org/officeDocument/2006/relationships" r:embed="rId1"/>
        <a:stretch>
          <a:fillRect/>
        </a:stretch>
      </xdr:blipFill>
      <xdr:spPr>
        <a:xfrm>
          <a:off x="1024784" y="5342466"/>
          <a:ext cx="365792" cy="359695"/>
        </a:xfrm>
        <a:prstGeom prst="rect">
          <a:avLst/>
        </a:prstGeom>
      </xdr:spPr>
    </xdr:pic>
    <xdr:clientData/>
  </xdr:twoCellAnchor>
  <xdr:twoCellAnchor>
    <xdr:from>
      <xdr:col>1</xdr:col>
      <xdr:colOff>71648</xdr:colOff>
      <xdr:row>23</xdr:row>
      <xdr:rowOff>34925</xdr:rowOff>
    </xdr:from>
    <xdr:to>
      <xdr:col>1</xdr:col>
      <xdr:colOff>440828</xdr:colOff>
      <xdr:row>24</xdr:row>
      <xdr:rowOff>13925</xdr:rowOff>
    </xdr:to>
    <xdr:sp macro="" textlink="">
      <xdr:nvSpPr>
        <xdr:cNvPr id="21" name="AutoShape 40">
          <a:extLst>
            <a:ext uri="{FF2B5EF4-FFF2-40B4-BE49-F238E27FC236}">
              <a16:creationId xmlns:a16="http://schemas.microsoft.com/office/drawing/2014/main" id="{00000000-0008-0000-2400-000015000000}"/>
            </a:ext>
          </a:extLst>
        </xdr:cNvPr>
        <xdr:cNvSpPr>
          <a:spLocks noChangeAspect="1"/>
        </xdr:cNvSpPr>
      </xdr:nvSpPr>
      <xdr:spPr bwMode="auto">
        <a:xfrm>
          <a:off x="1033673" y="7626350"/>
          <a:ext cx="36918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64037</xdr:colOff>
      <xdr:row>6</xdr:row>
      <xdr:rowOff>373991</xdr:rowOff>
    </xdr:from>
    <xdr:to>
      <xdr:col>1</xdr:col>
      <xdr:colOff>434698</xdr:colOff>
      <xdr:row>7</xdr:row>
      <xdr:rowOff>356585</xdr:rowOff>
    </xdr:to>
    <xdr:sp macro="" textlink="">
      <xdr:nvSpPr>
        <xdr:cNvPr id="22" name="Google Shape;150;p1">
          <a:extLst>
            <a:ext uri="{FF2B5EF4-FFF2-40B4-BE49-F238E27FC236}">
              <a16:creationId xmlns:a16="http://schemas.microsoft.com/office/drawing/2014/main" id="{00000000-0008-0000-2400-000016000000}"/>
            </a:ext>
          </a:extLst>
        </xdr:cNvPr>
        <xdr:cNvSpPr/>
      </xdr:nvSpPr>
      <xdr:spPr>
        <a:xfrm>
          <a:off x="1025523" y="1479250"/>
          <a:ext cx="370661" cy="360000"/>
        </a:xfrm>
        <a:custGeom>
          <a:avLst/>
          <a:gdLst/>
          <a:ahLst/>
          <a:cxnLst/>
          <a:rect l="l" t="t" r="r" b="b"/>
          <a:pathLst>
            <a:path w="21600" h="21600" extrusionOk="0">
              <a:moveTo>
                <a:pt x="10807" y="0"/>
              </a:moveTo>
              <a:cubicBezTo>
                <a:pt x="12301" y="0"/>
                <a:pt x="13705" y="282"/>
                <a:pt x="15011" y="847"/>
              </a:cubicBezTo>
              <a:cubicBezTo>
                <a:pt x="16319" y="1408"/>
                <a:pt x="17463" y="2176"/>
                <a:pt x="18449" y="3156"/>
              </a:cubicBezTo>
              <a:cubicBezTo>
                <a:pt x="19432" y="4133"/>
                <a:pt x="20201" y="5277"/>
                <a:pt x="20760" y="6590"/>
              </a:cubicBezTo>
              <a:cubicBezTo>
                <a:pt x="21317" y="7900"/>
                <a:pt x="21599" y="9306"/>
                <a:pt x="21599" y="10800"/>
              </a:cubicBezTo>
              <a:cubicBezTo>
                <a:pt x="21599" y="12293"/>
                <a:pt x="21317" y="13699"/>
                <a:pt x="20760" y="15009"/>
              </a:cubicBezTo>
              <a:cubicBezTo>
                <a:pt x="20201" y="16320"/>
                <a:pt x="19430" y="17466"/>
                <a:pt x="18449" y="18443"/>
              </a:cubicBezTo>
              <a:cubicBezTo>
                <a:pt x="17463" y="19423"/>
                <a:pt x="16319" y="20191"/>
                <a:pt x="15011" y="20752"/>
              </a:cubicBezTo>
              <a:cubicBezTo>
                <a:pt x="13705" y="21317"/>
                <a:pt x="12301" y="21599"/>
                <a:pt x="10807" y="21599"/>
              </a:cubicBezTo>
              <a:cubicBezTo>
                <a:pt x="9309" y="21599"/>
                <a:pt x="7905" y="21317"/>
                <a:pt x="6594" y="20752"/>
              </a:cubicBezTo>
              <a:cubicBezTo>
                <a:pt x="5280" y="20191"/>
                <a:pt x="4136" y="19423"/>
                <a:pt x="3158" y="18443"/>
              </a:cubicBezTo>
              <a:cubicBezTo>
                <a:pt x="2178" y="17466"/>
                <a:pt x="1409" y="16320"/>
                <a:pt x="847" y="15009"/>
              </a:cubicBezTo>
              <a:cubicBezTo>
                <a:pt x="282" y="13699"/>
                <a:pt x="0" y="12293"/>
                <a:pt x="0" y="10800"/>
              </a:cubicBezTo>
              <a:cubicBezTo>
                <a:pt x="0" y="9306"/>
                <a:pt x="282" y="7900"/>
                <a:pt x="847" y="6590"/>
              </a:cubicBezTo>
              <a:cubicBezTo>
                <a:pt x="1409" y="5277"/>
                <a:pt x="2181" y="4133"/>
                <a:pt x="3158" y="3156"/>
              </a:cubicBezTo>
              <a:cubicBezTo>
                <a:pt x="4136" y="2176"/>
                <a:pt x="5280" y="1408"/>
                <a:pt x="6594" y="847"/>
              </a:cubicBezTo>
              <a:cubicBezTo>
                <a:pt x="7902" y="282"/>
                <a:pt x="9306" y="0"/>
                <a:pt x="10807" y="0"/>
              </a:cubicBezTo>
              <a:moveTo>
                <a:pt x="18164" y="8812"/>
              </a:moveTo>
              <a:cubicBezTo>
                <a:pt x="18288" y="8688"/>
                <a:pt x="18353" y="8532"/>
                <a:pt x="18359" y="8354"/>
              </a:cubicBezTo>
              <a:cubicBezTo>
                <a:pt x="18362" y="8171"/>
                <a:pt x="18299" y="8021"/>
                <a:pt x="18164" y="7894"/>
              </a:cubicBezTo>
              <a:lnTo>
                <a:pt x="16757" y="6448"/>
              </a:lnTo>
              <a:cubicBezTo>
                <a:pt x="16613" y="6321"/>
                <a:pt x="16454" y="6259"/>
                <a:pt x="16276" y="6259"/>
              </a:cubicBezTo>
              <a:cubicBezTo>
                <a:pt x="16099" y="6259"/>
                <a:pt x="15946" y="6321"/>
                <a:pt x="15810" y="6448"/>
              </a:cubicBezTo>
              <a:lnTo>
                <a:pt x="9696" y="12570"/>
              </a:lnTo>
              <a:cubicBezTo>
                <a:pt x="9569" y="12697"/>
                <a:pt x="9416" y="12759"/>
                <a:pt x="9244" y="12759"/>
              </a:cubicBezTo>
              <a:cubicBezTo>
                <a:pt x="9069" y="12759"/>
                <a:pt x="8914" y="12697"/>
                <a:pt x="8778" y="12570"/>
              </a:cubicBezTo>
              <a:lnTo>
                <a:pt x="5786" y="9583"/>
              </a:lnTo>
              <a:cubicBezTo>
                <a:pt x="5659" y="9458"/>
                <a:pt x="5506" y="9393"/>
                <a:pt x="5334" y="9393"/>
              </a:cubicBezTo>
              <a:cubicBezTo>
                <a:pt x="5156" y="9393"/>
                <a:pt x="4995" y="9458"/>
                <a:pt x="4839" y="9583"/>
              </a:cubicBezTo>
              <a:lnTo>
                <a:pt x="3432" y="11014"/>
              </a:lnTo>
              <a:cubicBezTo>
                <a:pt x="3305" y="11141"/>
                <a:pt x="3246" y="11297"/>
                <a:pt x="3246" y="11474"/>
              </a:cubicBezTo>
              <a:cubicBezTo>
                <a:pt x="3246" y="11655"/>
                <a:pt x="3305" y="11810"/>
                <a:pt x="3432" y="11935"/>
              </a:cubicBezTo>
              <a:lnTo>
                <a:pt x="7747" y="16249"/>
              </a:lnTo>
              <a:cubicBezTo>
                <a:pt x="7874" y="16373"/>
                <a:pt x="8043" y="16483"/>
                <a:pt x="8261" y="16579"/>
              </a:cubicBezTo>
              <a:cubicBezTo>
                <a:pt x="8478" y="16673"/>
                <a:pt x="8676" y="16720"/>
                <a:pt x="8857" y="16720"/>
              </a:cubicBezTo>
              <a:lnTo>
                <a:pt x="9617" y="16720"/>
              </a:lnTo>
              <a:cubicBezTo>
                <a:pt x="9795" y="16720"/>
                <a:pt x="9993" y="16675"/>
                <a:pt x="10205" y="16585"/>
              </a:cubicBezTo>
              <a:cubicBezTo>
                <a:pt x="10417" y="16495"/>
                <a:pt x="10592" y="16382"/>
                <a:pt x="10727" y="16249"/>
              </a:cubicBezTo>
              <a:lnTo>
                <a:pt x="18164" y="8812"/>
              </a:lnTo>
              <a:close/>
            </a:path>
          </a:pathLst>
        </a:custGeom>
        <a:solidFill>
          <a:srgbClr val="00B050"/>
        </a:solidFill>
        <a:ln>
          <a:noFill/>
        </a:ln>
      </xdr:spPr>
      <xdr:txBody>
        <a:bodyPr spcFirstLastPara="1" wrap="square" lIns="28575" tIns="28575" rIns="28575" bIns="2857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650"/>
            <a:buFont typeface="Arial"/>
            <a:buNone/>
          </a:pPr>
          <a:endParaRPr sz="1650" b="0" i="0" u="none" strike="noStrike" cap="none">
            <a:solidFill>
              <a:srgbClr val="44CEB9"/>
            </a:solidFill>
            <a:latin typeface="Gill Sans"/>
            <a:ea typeface="Gill Sans"/>
            <a:cs typeface="Gill Sans"/>
            <a:sym typeface="Gill Sans"/>
          </a:endParaRPr>
        </a:p>
      </xdr:txBody>
    </xdr:sp>
    <xdr:clientData/>
  </xdr:twoCellAnchor>
  <xdr:twoCellAnchor editAs="oneCell">
    <xdr:from>
      <xdr:col>1</xdr:col>
      <xdr:colOff>71888</xdr:colOff>
      <xdr:row>13</xdr:row>
      <xdr:rowOff>0</xdr:rowOff>
    </xdr:from>
    <xdr:to>
      <xdr:col>1</xdr:col>
      <xdr:colOff>437680</xdr:colOff>
      <xdr:row>13</xdr:row>
      <xdr:rowOff>359695</xdr:rowOff>
    </xdr:to>
    <xdr:pic>
      <xdr:nvPicPr>
        <xdr:cNvPr id="23" name="Imagen 22">
          <a:extLst>
            <a:ext uri="{FF2B5EF4-FFF2-40B4-BE49-F238E27FC236}">
              <a16:creationId xmlns:a16="http://schemas.microsoft.com/office/drawing/2014/main" id="{00000000-0008-0000-2400-000017000000}"/>
            </a:ext>
          </a:extLst>
        </xdr:cNvPr>
        <xdr:cNvPicPr>
          <a:picLocks noChangeAspect="1"/>
        </xdr:cNvPicPr>
      </xdr:nvPicPr>
      <xdr:blipFill>
        <a:blip xmlns:r="http://schemas.openxmlformats.org/officeDocument/2006/relationships" r:embed="rId1"/>
        <a:stretch>
          <a:fillRect/>
        </a:stretch>
      </xdr:blipFill>
      <xdr:spPr>
        <a:xfrm>
          <a:off x="1033374" y="3747099"/>
          <a:ext cx="365792" cy="359695"/>
        </a:xfrm>
        <a:prstGeom prst="rect">
          <a:avLst/>
        </a:prstGeom>
      </xdr:spPr>
    </xdr:pic>
    <xdr:clientData/>
  </xdr:twoCellAnchor>
  <xdr:twoCellAnchor>
    <xdr:from>
      <xdr:col>1</xdr:col>
      <xdr:colOff>62901</xdr:colOff>
      <xdr:row>18</xdr:row>
      <xdr:rowOff>17972</xdr:rowOff>
    </xdr:from>
    <xdr:to>
      <xdr:col>1</xdr:col>
      <xdr:colOff>433561</xdr:colOff>
      <xdr:row>19</xdr:row>
      <xdr:rowOff>566</xdr:rowOff>
    </xdr:to>
    <xdr:sp macro="" textlink="">
      <xdr:nvSpPr>
        <xdr:cNvPr id="24" name="AutoShape 133">
          <a:extLst>
            <a:ext uri="{FF2B5EF4-FFF2-40B4-BE49-F238E27FC236}">
              <a16:creationId xmlns:a16="http://schemas.microsoft.com/office/drawing/2014/main" id="{00000000-0008-0000-2400-000018000000}"/>
            </a:ext>
          </a:extLst>
        </xdr:cNvPr>
        <xdr:cNvSpPr>
          <a:spLocks noChangeAspect="1"/>
        </xdr:cNvSpPr>
      </xdr:nvSpPr>
      <xdr:spPr bwMode="auto">
        <a:xfrm>
          <a:off x="1024387" y="5652099"/>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45230</xdr:colOff>
      <xdr:row>19</xdr:row>
      <xdr:rowOff>356798</xdr:rowOff>
    </xdr:from>
    <xdr:to>
      <xdr:col>1</xdr:col>
      <xdr:colOff>414410</xdr:colOff>
      <xdr:row>20</xdr:row>
      <xdr:rowOff>335797</xdr:rowOff>
    </xdr:to>
    <xdr:sp macro="" textlink="">
      <xdr:nvSpPr>
        <xdr:cNvPr id="25" name="AutoShape 40">
          <a:extLst>
            <a:ext uri="{FF2B5EF4-FFF2-40B4-BE49-F238E27FC236}">
              <a16:creationId xmlns:a16="http://schemas.microsoft.com/office/drawing/2014/main" id="{00000000-0008-0000-2400-000019000000}"/>
            </a:ext>
          </a:extLst>
        </xdr:cNvPr>
        <xdr:cNvSpPr>
          <a:spLocks noChangeAspect="1"/>
        </xdr:cNvSpPr>
      </xdr:nvSpPr>
      <xdr:spPr bwMode="auto">
        <a:xfrm>
          <a:off x="1006716" y="6368331"/>
          <a:ext cx="369180" cy="356405"/>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0</xdr:col>
      <xdr:colOff>0</xdr:colOff>
      <xdr:row>1</xdr:row>
      <xdr:rowOff>0</xdr:rowOff>
    </xdr:from>
    <xdr:to>
      <xdr:col>65</xdr:col>
      <xdr:colOff>140403</xdr:colOff>
      <xdr:row>3</xdr:row>
      <xdr:rowOff>62557</xdr:rowOff>
    </xdr:to>
    <xdr:sp macro="" textlink="">
      <xdr:nvSpPr>
        <xdr:cNvPr id="26" name="CuadroTexto 25">
          <a:extLst>
            <a:ext uri="{FF2B5EF4-FFF2-40B4-BE49-F238E27FC236}">
              <a16:creationId xmlns:a16="http://schemas.microsoft.com/office/drawing/2014/main" id="{00000000-0008-0000-2400-00001A000000}"/>
            </a:ext>
          </a:extLst>
        </xdr:cNvPr>
        <xdr:cNvSpPr txBox="1"/>
      </xdr:nvSpPr>
      <xdr:spPr>
        <a:xfrm>
          <a:off x="0" y="161745"/>
          <a:ext cx="13915710" cy="386048"/>
        </a:xfrm>
        <a:prstGeom prst="rect">
          <a:avLst/>
        </a:prstGeom>
        <a:noFill/>
      </xdr:spPr>
      <xdr:txBody>
        <a:bodyPr wrap="square" rtlCol="0">
          <a:spAutoFit/>
        </a:bodyP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457200">
            <a:defRPr/>
          </a:pPr>
          <a:r>
            <a:rPr lang="es-AR">
              <a:latin typeface="Calibri" panose="020F0502020204030204"/>
            </a:rPr>
            <a:t>Semáforo de Economías Regionales</a:t>
          </a:r>
          <a:r>
            <a:rPr lang="es-AR" sz="1200">
              <a:latin typeface="Calibri" panose="020F0502020204030204"/>
            </a:rPr>
            <a:t> - info a Febrero24</a:t>
          </a:r>
          <a:endParaRPr lang="es-AR">
            <a:latin typeface="Calibri" panose="020F0502020204030204"/>
          </a:endParaRPr>
        </a:p>
      </xdr:txBody>
    </xdr:sp>
    <xdr:clientData/>
  </xdr:twoCellAnchor>
  <xdr:twoCellAnchor>
    <xdr:from>
      <xdr:col>1</xdr:col>
      <xdr:colOff>56840</xdr:colOff>
      <xdr:row>8</xdr:row>
      <xdr:rowOff>22705</xdr:rowOff>
    </xdr:from>
    <xdr:to>
      <xdr:col>1</xdr:col>
      <xdr:colOff>426020</xdr:colOff>
      <xdr:row>9</xdr:row>
      <xdr:rowOff>5300</xdr:rowOff>
    </xdr:to>
    <xdr:sp macro="" textlink="">
      <xdr:nvSpPr>
        <xdr:cNvPr id="11" name="AutoShape 40">
          <a:extLst>
            <a:ext uri="{FF2B5EF4-FFF2-40B4-BE49-F238E27FC236}">
              <a16:creationId xmlns:a16="http://schemas.microsoft.com/office/drawing/2014/main" id="{00000000-0008-0000-2400-00000B000000}"/>
            </a:ext>
          </a:extLst>
        </xdr:cNvPr>
        <xdr:cNvSpPr>
          <a:spLocks noChangeAspect="1"/>
        </xdr:cNvSpPr>
      </xdr:nvSpPr>
      <xdr:spPr bwMode="auto">
        <a:xfrm>
          <a:off x="1018326" y="1882776"/>
          <a:ext cx="36918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39830</xdr:colOff>
      <xdr:row>10</xdr:row>
      <xdr:rowOff>22381</xdr:rowOff>
    </xdr:from>
    <xdr:to>
      <xdr:col>1</xdr:col>
      <xdr:colOff>410490</xdr:colOff>
      <xdr:row>11</xdr:row>
      <xdr:rowOff>4975</xdr:rowOff>
    </xdr:to>
    <xdr:sp macro="" textlink="">
      <xdr:nvSpPr>
        <xdr:cNvPr id="12" name="AutoShape 133">
          <a:extLst>
            <a:ext uri="{FF2B5EF4-FFF2-40B4-BE49-F238E27FC236}">
              <a16:creationId xmlns:a16="http://schemas.microsoft.com/office/drawing/2014/main" id="{00000000-0008-0000-2400-00000C000000}"/>
            </a:ext>
          </a:extLst>
        </xdr:cNvPr>
        <xdr:cNvSpPr>
          <a:spLocks noChangeAspect="1"/>
        </xdr:cNvSpPr>
      </xdr:nvSpPr>
      <xdr:spPr bwMode="auto">
        <a:xfrm>
          <a:off x="1001316" y="2637263"/>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58</xdr:col>
      <xdr:colOff>395379</xdr:colOff>
      <xdr:row>25</xdr:row>
      <xdr:rowOff>62901</xdr:rowOff>
    </xdr:from>
    <xdr:to>
      <xdr:col>64</xdr:col>
      <xdr:colOff>309113</xdr:colOff>
      <xdr:row>32</xdr:row>
      <xdr:rowOff>8985</xdr:rowOff>
    </xdr:to>
    <xdr:graphicFrame macro="">
      <xdr:nvGraphicFramePr>
        <xdr:cNvPr id="14" name="Gráfico 13">
          <a:extLst>
            <a:ext uri="{FF2B5EF4-FFF2-40B4-BE49-F238E27FC236}">
              <a16:creationId xmlns:a16="http://schemas.microsoft.com/office/drawing/2014/main" id="{00000000-0008-0000-2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63500</xdr:colOff>
      <xdr:row>5</xdr:row>
      <xdr:rowOff>0</xdr:rowOff>
    </xdr:from>
    <xdr:to>
      <xdr:col>1</xdr:col>
      <xdr:colOff>429292</xdr:colOff>
      <xdr:row>5</xdr:row>
      <xdr:rowOff>359695</xdr:rowOff>
    </xdr:to>
    <xdr:pic>
      <xdr:nvPicPr>
        <xdr:cNvPr id="2" name="Imagen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1025525" y="733425"/>
          <a:ext cx="365792" cy="359695"/>
        </a:xfrm>
        <a:prstGeom prst="rect">
          <a:avLst/>
        </a:prstGeom>
      </xdr:spPr>
    </xdr:pic>
    <xdr:clientData/>
  </xdr:twoCellAnchor>
  <xdr:twoCellAnchor editAs="oneCell">
    <xdr:from>
      <xdr:col>1</xdr:col>
      <xdr:colOff>53234</xdr:colOff>
      <xdr:row>14</xdr:row>
      <xdr:rowOff>12700</xdr:rowOff>
    </xdr:from>
    <xdr:to>
      <xdr:col>1</xdr:col>
      <xdr:colOff>419026</xdr:colOff>
      <xdr:row>14</xdr:row>
      <xdr:rowOff>372395</xdr:rowOff>
    </xdr:to>
    <xdr:pic>
      <xdr:nvPicPr>
        <xdr:cNvPr id="5" name="Imagen 4">
          <a:extLst>
            <a:ext uri="{FF2B5EF4-FFF2-40B4-BE49-F238E27FC236}">
              <a16:creationId xmlns:a16="http://schemas.microsoft.com/office/drawing/2014/main" id="{00000000-0008-0000-2500-000005000000}"/>
            </a:ext>
          </a:extLst>
        </xdr:cNvPr>
        <xdr:cNvPicPr>
          <a:picLocks noChangeAspect="1"/>
        </xdr:cNvPicPr>
      </xdr:nvPicPr>
      <xdr:blipFill>
        <a:blip xmlns:r="http://schemas.openxmlformats.org/officeDocument/2006/relationships" r:embed="rId1"/>
        <a:stretch>
          <a:fillRect/>
        </a:stretch>
      </xdr:blipFill>
      <xdr:spPr>
        <a:xfrm>
          <a:off x="1015259" y="4175125"/>
          <a:ext cx="365792" cy="359695"/>
        </a:xfrm>
        <a:prstGeom prst="rect">
          <a:avLst/>
        </a:prstGeom>
      </xdr:spPr>
    </xdr:pic>
    <xdr:clientData/>
  </xdr:twoCellAnchor>
  <xdr:twoCellAnchor>
    <xdr:from>
      <xdr:col>1</xdr:col>
      <xdr:colOff>50800</xdr:colOff>
      <xdr:row>12</xdr:row>
      <xdr:rowOff>0</xdr:rowOff>
    </xdr:from>
    <xdr:to>
      <xdr:col>1</xdr:col>
      <xdr:colOff>421460</xdr:colOff>
      <xdr:row>12</xdr:row>
      <xdr:rowOff>360000</xdr:rowOff>
    </xdr:to>
    <xdr:sp macro="" textlink="">
      <xdr:nvSpPr>
        <xdr:cNvPr id="7" name="AutoShape 133">
          <a:extLst>
            <a:ext uri="{FF2B5EF4-FFF2-40B4-BE49-F238E27FC236}">
              <a16:creationId xmlns:a16="http://schemas.microsoft.com/office/drawing/2014/main" id="{00000000-0008-0000-2500-000007000000}"/>
            </a:ext>
          </a:extLst>
        </xdr:cNvPr>
        <xdr:cNvSpPr>
          <a:spLocks noChangeAspect="1"/>
        </xdr:cNvSpPr>
      </xdr:nvSpPr>
      <xdr:spPr bwMode="auto">
        <a:xfrm>
          <a:off x="1012825" y="3400425"/>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57070</xdr:colOff>
      <xdr:row>21</xdr:row>
      <xdr:rowOff>0</xdr:rowOff>
    </xdr:from>
    <xdr:to>
      <xdr:col>1</xdr:col>
      <xdr:colOff>427730</xdr:colOff>
      <xdr:row>21</xdr:row>
      <xdr:rowOff>360000</xdr:rowOff>
    </xdr:to>
    <xdr:sp macro="" textlink="">
      <xdr:nvSpPr>
        <xdr:cNvPr id="9" name="AutoShape 133">
          <a:extLst>
            <a:ext uri="{FF2B5EF4-FFF2-40B4-BE49-F238E27FC236}">
              <a16:creationId xmlns:a16="http://schemas.microsoft.com/office/drawing/2014/main" id="{00000000-0008-0000-2500-000009000000}"/>
            </a:ext>
          </a:extLst>
        </xdr:cNvPr>
        <xdr:cNvSpPr>
          <a:spLocks noChangeAspect="1"/>
        </xdr:cNvSpPr>
      </xdr:nvSpPr>
      <xdr:spPr bwMode="auto">
        <a:xfrm>
          <a:off x="1019095" y="6829425"/>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57070</xdr:colOff>
      <xdr:row>19</xdr:row>
      <xdr:rowOff>12700</xdr:rowOff>
    </xdr:from>
    <xdr:to>
      <xdr:col>1</xdr:col>
      <xdr:colOff>427730</xdr:colOff>
      <xdr:row>19</xdr:row>
      <xdr:rowOff>372700</xdr:rowOff>
    </xdr:to>
    <xdr:sp macro="" textlink="">
      <xdr:nvSpPr>
        <xdr:cNvPr id="10" name="AutoShape 133">
          <a:extLst>
            <a:ext uri="{FF2B5EF4-FFF2-40B4-BE49-F238E27FC236}">
              <a16:creationId xmlns:a16="http://schemas.microsoft.com/office/drawing/2014/main" id="{00000000-0008-0000-2500-00000A000000}"/>
            </a:ext>
          </a:extLst>
        </xdr:cNvPr>
        <xdr:cNvSpPr>
          <a:spLocks noChangeAspect="1"/>
        </xdr:cNvSpPr>
      </xdr:nvSpPr>
      <xdr:spPr bwMode="auto">
        <a:xfrm>
          <a:off x="1019095" y="6080125"/>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57811</xdr:colOff>
      <xdr:row>22</xdr:row>
      <xdr:rowOff>32575</xdr:rowOff>
    </xdr:from>
    <xdr:to>
      <xdr:col>1</xdr:col>
      <xdr:colOff>426990</xdr:colOff>
      <xdr:row>23</xdr:row>
      <xdr:rowOff>11575</xdr:rowOff>
    </xdr:to>
    <xdr:sp macro="" textlink="">
      <xdr:nvSpPr>
        <xdr:cNvPr id="13" name="AutoShape 107">
          <a:extLst>
            <a:ext uri="{FF2B5EF4-FFF2-40B4-BE49-F238E27FC236}">
              <a16:creationId xmlns:a16="http://schemas.microsoft.com/office/drawing/2014/main" id="{00000000-0008-0000-2500-00000D000000}"/>
            </a:ext>
          </a:extLst>
        </xdr:cNvPr>
        <xdr:cNvSpPr>
          <a:spLocks noChangeAspect="1"/>
        </xdr:cNvSpPr>
      </xdr:nvSpPr>
      <xdr:spPr bwMode="auto">
        <a:xfrm>
          <a:off x="1019836" y="7243000"/>
          <a:ext cx="369179"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51541</xdr:colOff>
      <xdr:row>11</xdr:row>
      <xdr:rowOff>31915</xdr:rowOff>
    </xdr:from>
    <xdr:to>
      <xdr:col>1</xdr:col>
      <xdr:colOff>420720</xdr:colOff>
      <xdr:row>12</xdr:row>
      <xdr:rowOff>10915</xdr:rowOff>
    </xdr:to>
    <xdr:sp macro="" textlink="">
      <xdr:nvSpPr>
        <xdr:cNvPr id="14" name="AutoShape 107">
          <a:extLst>
            <a:ext uri="{FF2B5EF4-FFF2-40B4-BE49-F238E27FC236}">
              <a16:creationId xmlns:a16="http://schemas.microsoft.com/office/drawing/2014/main" id="{00000000-0008-0000-2500-00000E000000}"/>
            </a:ext>
          </a:extLst>
        </xdr:cNvPr>
        <xdr:cNvSpPr>
          <a:spLocks noChangeAspect="1"/>
        </xdr:cNvSpPr>
      </xdr:nvSpPr>
      <xdr:spPr bwMode="auto">
        <a:xfrm>
          <a:off x="1013566" y="3051340"/>
          <a:ext cx="369179"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51541</xdr:colOff>
      <xdr:row>16</xdr:row>
      <xdr:rowOff>38100</xdr:rowOff>
    </xdr:from>
    <xdr:to>
      <xdr:col>1</xdr:col>
      <xdr:colOff>420720</xdr:colOff>
      <xdr:row>17</xdr:row>
      <xdr:rowOff>17100</xdr:rowOff>
    </xdr:to>
    <xdr:sp macro="" textlink="">
      <xdr:nvSpPr>
        <xdr:cNvPr id="15" name="AutoShape 107">
          <a:extLst>
            <a:ext uri="{FF2B5EF4-FFF2-40B4-BE49-F238E27FC236}">
              <a16:creationId xmlns:a16="http://schemas.microsoft.com/office/drawing/2014/main" id="{00000000-0008-0000-2500-00000F000000}"/>
            </a:ext>
          </a:extLst>
        </xdr:cNvPr>
        <xdr:cNvSpPr>
          <a:spLocks noChangeAspect="1"/>
        </xdr:cNvSpPr>
      </xdr:nvSpPr>
      <xdr:spPr bwMode="auto">
        <a:xfrm>
          <a:off x="1013566" y="4962525"/>
          <a:ext cx="369179"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51540</xdr:colOff>
      <xdr:row>15</xdr:row>
      <xdr:rowOff>0</xdr:rowOff>
    </xdr:from>
    <xdr:to>
      <xdr:col>1</xdr:col>
      <xdr:colOff>420720</xdr:colOff>
      <xdr:row>15</xdr:row>
      <xdr:rowOff>360000</xdr:rowOff>
    </xdr:to>
    <xdr:sp macro="" textlink="">
      <xdr:nvSpPr>
        <xdr:cNvPr id="19" name="AutoShape 40">
          <a:extLst>
            <a:ext uri="{FF2B5EF4-FFF2-40B4-BE49-F238E27FC236}">
              <a16:creationId xmlns:a16="http://schemas.microsoft.com/office/drawing/2014/main" id="{00000000-0008-0000-2500-000013000000}"/>
            </a:ext>
          </a:extLst>
        </xdr:cNvPr>
        <xdr:cNvSpPr>
          <a:spLocks noChangeAspect="1"/>
        </xdr:cNvSpPr>
      </xdr:nvSpPr>
      <xdr:spPr bwMode="auto">
        <a:xfrm>
          <a:off x="1013565" y="4543425"/>
          <a:ext cx="36918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51541</xdr:colOff>
      <xdr:row>13</xdr:row>
      <xdr:rowOff>0</xdr:rowOff>
    </xdr:from>
    <xdr:to>
      <xdr:col>1</xdr:col>
      <xdr:colOff>420720</xdr:colOff>
      <xdr:row>13</xdr:row>
      <xdr:rowOff>360000</xdr:rowOff>
    </xdr:to>
    <xdr:sp macro="" textlink="">
      <xdr:nvSpPr>
        <xdr:cNvPr id="20" name="AutoShape 107">
          <a:extLst>
            <a:ext uri="{FF2B5EF4-FFF2-40B4-BE49-F238E27FC236}">
              <a16:creationId xmlns:a16="http://schemas.microsoft.com/office/drawing/2014/main" id="{00000000-0008-0000-2500-000014000000}"/>
            </a:ext>
          </a:extLst>
        </xdr:cNvPr>
        <xdr:cNvSpPr>
          <a:spLocks noChangeAspect="1"/>
        </xdr:cNvSpPr>
      </xdr:nvSpPr>
      <xdr:spPr bwMode="auto">
        <a:xfrm>
          <a:off x="1013566" y="3781425"/>
          <a:ext cx="369179"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0</xdr:col>
      <xdr:colOff>0</xdr:colOff>
      <xdr:row>1</xdr:row>
      <xdr:rowOff>0</xdr:rowOff>
    </xdr:from>
    <xdr:to>
      <xdr:col>27</xdr:col>
      <xdr:colOff>3342960</xdr:colOff>
      <xdr:row>3</xdr:row>
      <xdr:rowOff>52673</xdr:rowOff>
    </xdr:to>
    <xdr:sp macro="" textlink="">
      <xdr:nvSpPr>
        <xdr:cNvPr id="21" name="CuadroTexto 20">
          <a:extLst>
            <a:ext uri="{FF2B5EF4-FFF2-40B4-BE49-F238E27FC236}">
              <a16:creationId xmlns:a16="http://schemas.microsoft.com/office/drawing/2014/main" id="{00000000-0008-0000-2500-000015000000}"/>
            </a:ext>
          </a:extLst>
        </xdr:cNvPr>
        <xdr:cNvSpPr txBox="1"/>
      </xdr:nvSpPr>
      <xdr:spPr>
        <a:xfrm>
          <a:off x="0" y="161925"/>
          <a:ext cx="11553510" cy="376523"/>
        </a:xfrm>
        <a:prstGeom prst="rect">
          <a:avLst/>
        </a:prstGeom>
        <a:noFill/>
      </xdr:spPr>
      <xdr:txBody>
        <a:bodyPr wrap="square" rtlCol="0">
          <a:spAutoFit/>
        </a:bodyP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457200">
            <a:defRPr/>
          </a:pPr>
          <a:r>
            <a:rPr lang="es-AR">
              <a:latin typeface="Calibri" panose="020F0502020204030204"/>
            </a:rPr>
            <a:t>Semáforo de Economías Regionales</a:t>
          </a:r>
          <a:r>
            <a:rPr lang="es-AR" sz="1200">
              <a:latin typeface="Calibri" panose="020F0502020204030204"/>
            </a:rPr>
            <a:t> </a:t>
          </a:r>
          <a:endParaRPr lang="es-AR">
            <a:latin typeface="Calibri" panose="020F0502020204030204"/>
          </a:endParaRPr>
        </a:p>
      </xdr:txBody>
    </xdr:sp>
    <xdr:clientData/>
  </xdr:twoCellAnchor>
  <xdr:twoCellAnchor>
    <xdr:from>
      <xdr:col>1</xdr:col>
      <xdr:colOff>61065</xdr:colOff>
      <xdr:row>6</xdr:row>
      <xdr:rowOff>11113</xdr:rowOff>
    </xdr:from>
    <xdr:to>
      <xdr:col>1</xdr:col>
      <xdr:colOff>430245</xdr:colOff>
      <xdr:row>6</xdr:row>
      <xdr:rowOff>371113</xdr:rowOff>
    </xdr:to>
    <xdr:sp macro="" textlink="">
      <xdr:nvSpPr>
        <xdr:cNvPr id="22" name="AutoShape 40">
          <a:extLst>
            <a:ext uri="{FF2B5EF4-FFF2-40B4-BE49-F238E27FC236}">
              <a16:creationId xmlns:a16="http://schemas.microsoft.com/office/drawing/2014/main" id="{00000000-0008-0000-2500-000016000000}"/>
            </a:ext>
          </a:extLst>
        </xdr:cNvPr>
        <xdr:cNvSpPr>
          <a:spLocks noChangeAspect="1"/>
        </xdr:cNvSpPr>
      </xdr:nvSpPr>
      <xdr:spPr bwMode="auto">
        <a:xfrm>
          <a:off x="973878" y="1138238"/>
          <a:ext cx="36918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54714</xdr:colOff>
      <xdr:row>7</xdr:row>
      <xdr:rowOff>4764</xdr:rowOff>
    </xdr:from>
    <xdr:to>
      <xdr:col>1</xdr:col>
      <xdr:colOff>423894</xdr:colOff>
      <xdr:row>7</xdr:row>
      <xdr:rowOff>364764</xdr:rowOff>
    </xdr:to>
    <xdr:sp macro="" textlink="">
      <xdr:nvSpPr>
        <xdr:cNvPr id="23" name="AutoShape 40">
          <a:extLst>
            <a:ext uri="{FF2B5EF4-FFF2-40B4-BE49-F238E27FC236}">
              <a16:creationId xmlns:a16="http://schemas.microsoft.com/office/drawing/2014/main" id="{00000000-0008-0000-2500-000017000000}"/>
            </a:ext>
          </a:extLst>
        </xdr:cNvPr>
        <xdr:cNvSpPr>
          <a:spLocks noChangeAspect="1"/>
        </xdr:cNvSpPr>
      </xdr:nvSpPr>
      <xdr:spPr bwMode="auto">
        <a:xfrm>
          <a:off x="967527" y="1512889"/>
          <a:ext cx="36918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56301</xdr:colOff>
      <xdr:row>8</xdr:row>
      <xdr:rowOff>6351</xdr:rowOff>
    </xdr:from>
    <xdr:to>
      <xdr:col>1</xdr:col>
      <xdr:colOff>425481</xdr:colOff>
      <xdr:row>8</xdr:row>
      <xdr:rowOff>366351</xdr:rowOff>
    </xdr:to>
    <xdr:sp macro="" textlink="">
      <xdr:nvSpPr>
        <xdr:cNvPr id="24" name="AutoShape 40">
          <a:extLst>
            <a:ext uri="{FF2B5EF4-FFF2-40B4-BE49-F238E27FC236}">
              <a16:creationId xmlns:a16="http://schemas.microsoft.com/office/drawing/2014/main" id="{00000000-0008-0000-2500-000018000000}"/>
            </a:ext>
          </a:extLst>
        </xdr:cNvPr>
        <xdr:cNvSpPr>
          <a:spLocks noChangeAspect="1"/>
        </xdr:cNvSpPr>
      </xdr:nvSpPr>
      <xdr:spPr bwMode="auto">
        <a:xfrm>
          <a:off x="969114" y="1895476"/>
          <a:ext cx="36918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4762</xdr:colOff>
      <xdr:row>9</xdr:row>
      <xdr:rowOff>19050</xdr:rowOff>
    </xdr:from>
    <xdr:to>
      <xdr:col>1</xdr:col>
      <xdr:colOff>375422</xdr:colOff>
      <xdr:row>9</xdr:row>
      <xdr:rowOff>379050</xdr:rowOff>
    </xdr:to>
    <xdr:sp macro="" textlink="">
      <xdr:nvSpPr>
        <xdr:cNvPr id="25" name="AutoShape 133">
          <a:extLst>
            <a:ext uri="{FF2B5EF4-FFF2-40B4-BE49-F238E27FC236}">
              <a16:creationId xmlns:a16="http://schemas.microsoft.com/office/drawing/2014/main" id="{00000000-0008-0000-2500-000019000000}"/>
            </a:ext>
          </a:extLst>
        </xdr:cNvPr>
        <xdr:cNvSpPr>
          <a:spLocks noChangeAspect="1"/>
        </xdr:cNvSpPr>
      </xdr:nvSpPr>
      <xdr:spPr bwMode="auto">
        <a:xfrm>
          <a:off x="917575" y="2289175"/>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22218</xdr:colOff>
      <xdr:row>10</xdr:row>
      <xdr:rowOff>4768</xdr:rowOff>
    </xdr:from>
    <xdr:to>
      <xdr:col>1</xdr:col>
      <xdr:colOff>392878</xdr:colOff>
      <xdr:row>10</xdr:row>
      <xdr:rowOff>364768</xdr:rowOff>
    </xdr:to>
    <xdr:sp macro="" textlink="">
      <xdr:nvSpPr>
        <xdr:cNvPr id="26" name="AutoShape 133">
          <a:extLst>
            <a:ext uri="{FF2B5EF4-FFF2-40B4-BE49-F238E27FC236}">
              <a16:creationId xmlns:a16="http://schemas.microsoft.com/office/drawing/2014/main" id="{00000000-0008-0000-2500-00001A000000}"/>
            </a:ext>
          </a:extLst>
        </xdr:cNvPr>
        <xdr:cNvSpPr>
          <a:spLocks noChangeAspect="1"/>
        </xdr:cNvSpPr>
      </xdr:nvSpPr>
      <xdr:spPr bwMode="auto">
        <a:xfrm>
          <a:off x="935031" y="2655893"/>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editAs="oneCell">
    <xdr:from>
      <xdr:col>1</xdr:col>
      <xdr:colOff>62759</xdr:colOff>
      <xdr:row>17</xdr:row>
      <xdr:rowOff>37041</xdr:rowOff>
    </xdr:from>
    <xdr:to>
      <xdr:col>1</xdr:col>
      <xdr:colOff>428551</xdr:colOff>
      <xdr:row>18</xdr:row>
      <xdr:rowOff>15736</xdr:rowOff>
    </xdr:to>
    <xdr:pic>
      <xdr:nvPicPr>
        <xdr:cNvPr id="27" name="Imagen 26">
          <a:extLst>
            <a:ext uri="{FF2B5EF4-FFF2-40B4-BE49-F238E27FC236}">
              <a16:creationId xmlns:a16="http://schemas.microsoft.com/office/drawing/2014/main" id="{00000000-0008-0000-2500-00001B000000}"/>
            </a:ext>
          </a:extLst>
        </xdr:cNvPr>
        <xdr:cNvPicPr>
          <a:picLocks noChangeAspect="1"/>
        </xdr:cNvPicPr>
      </xdr:nvPicPr>
      <xdr:blipFill>
        <a:blip xmlns:r="http://schemas.openxmlformats.org/officeDocument/2006/relationships" r:embed="rId1"/>
        <a:stretch>
          <a:fillRect/>
        </a:stretch>
      </xdr:blipFill>
      <xdr:spPr>
        <a:xfrm>
          <a:off x="972926" y="5339291"/>
          <a:ext cx="365792" cy="359695"/>
        </a:xfrm>
        <a:prstGeom prst="rect">
          <a:avLst/>
        </a:prstGeom>
      </xdr:spPr>
    </xdr:pic>
    <xdr:clientData/>
  </xdr:twoCellAnchor>
  <xdr:twoCellAnchor editAs="oneCell">
    <xdr:from>
      <xdr:col>1</xdr:col>
      <xdr:colOff>56411</xdr:colOff>
      <xdr:row>18</xdr:row>
      <xdr:rowOff>9524</xdr:rowOff>
    </xdr:from>
    <xdr:to>
      <xdr:col>1</xdr:col>
      <xdr:colOff>422203</xdr:colOff>
      <xdr:row>18</xdr:row>
      <xdr:rowOff>369219</xdr:rowOff>
    </xdr:to>
    <xdr:pic>
      <xdr:nvPicPr>
        <xdr:cNvPr id="28" name="Imagen 27">
          <a:extLst>
            <a:ext uri="{FF2B5EF4-FFF2-40B4-BE49-F238E27FC236}">
              <a16:creationId xmlns:a16="http://schemas.microsoft.com/office/drawing/2014/main" id="{00000000-0008-0000-2500-00001C000000}"/>
            </a:ext>
          </a:extLst>
        </xdr:cNvPr>
        <xdr:cNvPicPr>
          <a:picLocks noChangeAspect="1"/>
        </xdr:cNvPicPr>
      </xdr:nvPicPr>
      <xdr:blipFill>
        <a:blip xmlns:r="http://schemas.openxmlformats.org/officeDocument/2006/relationships" r:embed="rId1"/>
        <a:stretch>
          <a:fillRect/>
        </a:stretch>
      </xdr:blipFill>
      <xdr:spPr>
        <a:xfrm>
          <a:off x="966578" y="5692774"/>
          <a:ext cx="365792" cy="359695"/>
        </a:xfrm>
        <a:prstGeom prst="rect">
          <a:avLst/>
        </a:prstGeom>
      </xdr:spPr>
    </xdr:pic>
    <xdr:clientData/>
  </xdr:twoCellAnchor>
  <xdr:twoCellAnchor>
    <xdr:from>
      <xdr:col>1</xdr:col>
      <xdr:colOff>63498</xdr:colOff>
      <xdr:row>20</xdr:row>
      <xdr:rowOff>0</xdr:rowOff>
    </xdr:from>
    <xdr:to>
      <xdr:col>1</xdr:col>
      <xdr:colOff>434159</xdr:colOff>
      <xdr:row>20</xdr:row>
      <xdr:rowOff>360000</xdr:rowOff>
    </xdr:to>
    <xdr:sp macro="" textlink="">
      <xdr:nvSpPr>
        <xdr:cNvPr id="30" name="Google Shape;150;p1">
          <a:extLst>
            <a:ext uri="{FF2B5EF4-FFF2-40B4-BE49-F238E27FC236}">
              <a16:creationId xmlns:a16="http://schemas.microsoft.com/office/drawing/2014/main" id="{00000000-0008-0000-2500-00001E000000}"/>
            </a:ext>
          </a:extLst>
        </xdr:cNvPr>
        <xdr:cNvSpPr/>
      </xdr:nvSpPr>
      <xdr:spPr>
        <a:xfrm>
          <a:off x="973665" y="6445250"/>
          <a:ext cx="370661" cy="360000"/>
        </a:xfrm>
        <a:custGeom>
          <a:avLst/>
          <a:gdLst/>
          <a:ahLst/>
          <a:cxnLst/>
          <a:rect l="l" t="t" r="r" b="b"/>
          <a:pathLst>
            <a:path w="21600" h="21600" extrusionOk="0">
              <a:moveTo>
                <a:pt x="10807" y="0"/>
              </a:moveTo>
              <a:cubicBezTo>
                <a:pt x="12301" y="0"/>
                <a:pt x="13705" y="282"/>
                <a:pt x="15011" y="847"/>
              </a:cubicBezTo>
              <a:cubicBezTo>
                <a:pt x="16319" y="1408"/>
                <a:pt x="17463" y="2176"/>
                <a:pt x="18449" y="3156"/>
              </a:cubicBezTo>
              <a:cubicBezTo>
                <a:pt x="19432" y="4133"/>
                <a:pt x="20201" y="5277"/>
                <a:pt x="20760" y="6590"/>
              </a:cubicBezTo>
              <a:cubicBezTo>
                <a:pt x="21317" y="7900"/>
                <a:pt x="21599" y="9306"/>
                <a:pt x="21599" y="10800"/>
              </a:cubicBezTo>
              <a:cubicBezTo>
                <a:pt x="21599" y="12293"/>
                <a:pt x="21317" y="13699"/>
                <a:pt x="20760" y="15009"/>
              </a:cubicBezTo>
              <a:cubicBezTo>
                <a:pt x="20201" y="16320"/>
                <a:pt x="19430" y="17466"/>
                <a:pt x="18449" y="18443"/>
              </a:cubicBezTo>
              <a:cubicBezTo>
                <a:pt x="17463" y="19423"/>
                <a:pt x="16319" y="20191"/>
                <a:pt x="15011" y="20752"/>
              </a:cubicBezTo>
              <a:cubicBezTo>
                <a:pt x="13705" y="21317"/>
                <a:pt x="12301" y="21599"/>
                <a:pt x="10807" y="21599"/>
              </a:cubicBezTo>
              <a:cubicBezTo>
                <a:pt x="9309" y="21599"/>
                <a:pt x="7905" y="21317"/>
                <a:pt x="6594" y="20752"/>
              </a:cubicBezTo>
              <a:cubicBezTo>
                <a:pt x="5280" y="20191"/>
                <a:pt x="4136" y="19423"/>
                <a:pt x="3158" y="18443"/>
              </a:cubicBezTo>
              <a:cubicBezTo>
                <a:pt x="2178" y="17466"/>
                <a:pt x="1409" y="16320"/>
                <a:pt x="847" y="15009"/>
              </a:cubicBezTo>
              <a:cubicBezTo>
                <a:pt x="282" y="13699"/>
                <a:pt x="0" y="12293"/>
                <a:pt x="0" y="10800"/>
              </a:cubicBezTo>
              <a:cubicBezTo>
                <a:pt x="0" y="9306"/>
                <a:pt x="282" y="7900"/>
                <a:pt x="847" y="6590"/>
              </a:cubicBezTo>
              <a:cubicBezTo>
                <a:pt x="1409" y="5277"/>
                <a:pt x="2181" y="4133"/>
                <a:pt x="3158" y="3156"/>
              </a:cubicBezTo>
              <a:cubicBezTo>
                <a:pt x="4136" y="2176"/>
                <a:pt x="5280" y="1408"/>
                <a:pt x="6594" y="847"/>
              </a:cubicBezTo>
              <a:cubicBezTo>
                <a:pt x="7902" y="282"/>
                <a:pt x="9306" y="0"/>
                <a:pt x="10807" y="0"/>
              </a:cubicBezTo>
              <a:moveTo>
                <a:pt x="18164" y="8812"/>
              </a:moveTo>
              <a:cubicBezTo>
                <a:pt x="18288" y="8688"/>
                <a:pt x="18353" y="8532"/>
                <a:pt x="18359" y="8354"/>
              </a:cubicBezTo>
              <a:cubicBezTo>
                <a:pt x="18362" y="8171"/>
                <a:pt x="18299" y="8021"/>
                <a:pt x="18164" y="7894"/>
              </a:cubicBezTo>
              <a:lnTo>
                <a:pt x="16757" y="6448"/>
              </a:lnTo>
              <a:cubicBezTo>
                <a:pt x="16613" y="6321"/>
                <a:pt x="16454" y="6259"/>
                <a:pt x="16276" y="6259"/>
              </a:cubicBezTo>
              <a:cubicBezTo>
                <a:pt x="16099" y="6259"/>
                <a:pt x="15946" y="6321"/>
                <a:pt x="15810" y="6448"/>
              </a:cubicBezTo>
              <a:lnTo>
                <a:pt x="9696" y="12570"/>
              </a:lnTo>
              <a:cubicBezTo>
                <a:pt x="9569" y="12697"/>
                <a:pt x="9416" y="12759"/>
                <a:pt x="9244" y="12759"/>
              </a:cubicBezTo>
              <a:cubicBezTo>
                <a:pt x="9069" y="12759"/>
                <a:pt x="8914" y="12697"/>
                <a:pt x="8778" y="12570"/>
              </a:cubicBezTo>
              <a:lnTo>
                <a:pt x="5786" y="9583"/>
              </a:lnTo>
              <a:cubicBezTo>
                <a:pt x="5659" y="9458"/>
                <a:pt x="5506" y="9393"/>
                <a:pt x="5334" y="9393"/>
              </a:cubicBezTo>
              <a:cubicBezTo>
                <a:pt x="5156" y="9393"/>
                <a:pt x="4995" y="9458"/>
                <a:pt x="4839" y="9583"/>
              </a:cubicBezTo>
              <a:lnTo>
                <a:pt x="3432" y="11014"/>
              </a:lnTo>
              <a:cubicBezTo>
                <a:pt x="3305" y="11141"/>
                <a:pt x="3246" y="11297"/>
                <a:pt x="3246" y="11474"/>
              </a:cubicBezTo>
              <a:cubicBezTo>
                <a:pt x="3246" y="11655"/>
                <a:pt x="3305" y="11810"/>
                <a:pt x="3432" y="11935"/>
              </a:cubicBezTo>
              <a:lnTo>
                <a:pt x="7747" y="16249"/>
              </a:lnTo>
              <a:cubicBezTo>
                <a:pt x="7874" y="16373"/>
                <a:pt x="8043" y="16483"/>
                <a:pt x="8261" y="16579"/>
              </a:cubicBezTo>
              <a:cubicBezTo>
                <a:pt x="8478" y="16673"/>
                <a:pt x="8676" y="16720"/>
                <a:pt x="8857" y="16720"/>
              </a:cubicBezTo>
              <a:lnTo>
                <a:pt x="9617" y="16720"/>
              </a:lnTo>
              <a:cubicBezTo>
                <a:pt x="9795" y="16720"/>
                <a:pt x="9993" y="16675"/>
                <a:pt x="10205" y="16585"/>
              </a:cubicBezTo>
              <a:cubicBezTo>
                <a:pt x="10417" y="16495"/>
                <a:pt x="10592" y="16382"/>
                <a:pt x="10727" y="16249"/>
              </a:cubicBezTo>
              <a:lnTo>
                <a:pt x="18164" y="8812"/>
              </a:lnTo>
              <a:close/>
            </a:path>
          </a:pathLst>
        </a:custGeom>
        <a:solidFill>
          <a:srgbClr val="00B050"/>
        </a:solidFill>
        <a:ln>
          <a:noFill/>
        </a:ln>
      </xdr:spPr>
      <xdr:txBody>
        <a:bodyPr spcFirstLastPara="1" wrap="square" lIns="28575" tIns="28575" rIns="28575" bIns="2857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650"/>
            <a:buFont typeface="Arial"/>
            <a:buNone/>
          </a:pPr>
          <a:endParaRPr sz="1650" b="0" i="0" u="none" strike="noStrike" cap="none">
            <a:solidFill>
              <a:srgbClr val="44CEB9"/>
            </a:solidFill>
            <a:latin typeface="Gill Sans"/>
            <a:ea typeface="Gill Sans"/>
            <a:cs typeface="Gill Sans"/>
            <a:sym typeface="Gill Sans"/>
          </a:endParaRPr>
        </a:p>
      </xdr:txBody>
    </xdr:sp>
    <xdr:clientData/>
  </xdr:twoCellAnchor>
  <xdr:twoCellAnchor>
    <xdr:from>
      <xdr:col>1</xdr:col>
      <xdr:colOff>71648</xdr:colOff>
      <xdr:row>23</xdr:row>
      <xdr:rowOff>34925</xdr:rowOff>
    </xdr:from>
    <xdr:to>
      <xdr:col>1</xdr:col>
      <xdr:colOff>440828</xdr:colOff>
      <xdr:row>24</xdr:row>
      <xdr:rowOff>13925</xdr:rowOff>
    </xdr:to>
    <xdr:sp macro="" textlink="">
      <xdr:nvSpPr>
        <xdr:cNvPr id="29" name="AutoShape 40">
          <a:extLst>
            <a:ext uri="{FF2B5EF4-FFF2-40B4-BE49-F238E27FC236}">
              <a16:creationId xmlns:a16="http://schemas.microsoft.com/office/drawing/2014/main" id="{00000000-0008-0000-2500-00001D000000}"/>
            </a:ext>
          </a:extLst>
        </xdr:cNvPr>
        <xdr:cNvSpPr>
          <a:spLocks noChangeAspect="1"/>
        </xdr:cNvSpPr>
      </xdr:nvSpPr>
      <xdr:spPr bwMode="auto">
        <a:xfrm>
          <a:off x="981815" y="7623175"/>
          <a:ext cx="36918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63500</xdr:colOff>
      <xdr:row>5</xdr:row>
      <xdr:rowOff>0</xdr:rowOff>
    </xdr:from>
    <xdr:to>
      <xdr:col>1</xdr:col>
      <xdr:colOff>429292</xdr:colOff>
      <xdr:row>5</xdr:row>
      <xdr:rowOff>359695</xdr:rowOff>
    </xdr:to>
    <xdr:pic>
      <xdr:nvPicPr>
        <xdr:cNvPr id="7" name="Imagen 6">
          <a:extLst>
            <a:ext uri="{FF2B5EF4-FFF2-40B4-BE49-F238E27FC236}">
              <a16:creationId xmlns:a16="http://schemas.microsoft.com/office/drawing/2014/main" id="{00000000-0008-0000-2600-000007000000}"/>
            </a:ext>
          </a:extLst>
        </xdr:cNvPr>
        <xdr:cNvPicPr>
          <a:picLocks noChangeAspect="1"/>
        </xdr:cNvPicPr>
      </xdr:nvPicPr>
      <xdr:blipFill>
        <a:blip xmlns:r="http://schemas.openxmlformats.org/officeDocument/2006/relationships" r:embed="rId1"/>
        <a:stretch>
          <a:fillRect/>
        </a:stretch>
      </xdr:blipFill>
      <xdr:spPr>
        <a:xfrm>
          <a:off x="1380919" y="736023"/>
          <a:ext cx="365792" cy="359695"/>
        </a:xfrm>
        <a:prstGeom prst="rect">
          <a:avLst/>
        </a:prstGeom>
      </xdr:spPr>
    </xdr:pic>
    <xdr:clientData/>
  </xdr:twoCellAnchor>
  <xdr:twoCellAnchor editAs="oneCell">
    <xdr:from>
      <xdr:col>1</xdr:col>
      <xdr:colOff>63500</xdr:colOff>
      <xdr:row>10</xdr:row>
      <xdr:rowOff>38100</xdr:rowOff>
    </xdr:from>
    <xdr:to>
      <xdr:col>1</xdr:col>
      <xdr:colOff>429292</xdr:colOff>
      <xdr:row>11</xdr:row>
      <xdr:rowOff>16795</xdr:rowOff>
    </xdr:to>
    <xdr:pic>
      <xdr:nvPicPr>
        <xdr:cNvPr id="8" name="Imagen 7">
          <a:extLst>
            <a:ext uri="{FF2B5EF4-FFF2-40B4-BE49-F238E27FC236}">
              <a16:creationId xmlns:a16="http://schemas.microsoft.com/office/drawing/2014/main" id="{00000000-0008-0000-2600-000008000000}"/>
            </a:ext>
          </a:extLst>
        </xdr:cNvPr>
        <xdr:cNvPicPr>
          <a:picLocks noChangeAspect="1"/>
        </xdr:cNvPicPr>
      </xdr:nvPicPr>
      <xdr:blipFill>
        <a:blip xmlns:r="http://schemas.openxmlformats.org/officeDocument/2006/relationships" r:embed="rId1"/>
        <a:stretch>
          <a:fillRect/>
        </a:stretch>
      </xdr:blipFill>
      <xdr:spPr>
        <a:xfrm>
          <a:off x="1380919" y="2691493"/>
          <a:ext cx="365792" cy="362169"/>
        </a:xfrm>
        <a:prstGeom prst="rect">
          <a:avLst/>
        </a:prstGeom>
      </xdr:spPr>
    </xdr:pic>
    <xdr:clientData/>
  </xdr:twoCellAnchor>
  <xdr:twoCellAnchor>
    <xdr:from>
      <xdr:col>1</xdr:col>
      <xdr:colOff>63500</xdr:colOff>
      <xdr:row>6</xdr:row>
      <xdr:rowOff>0</xdr:rowOff>
    </xdr:from>
    <xdr:to>
      <xdr:col>1</xdr:col>
      <xdr:colOff>434160</xdr:colOff>
      <xdr:row>6</xdr:row>
      <xdr:rowOff>360000</xdr:rowOff>
    </xdr:to>
    <xdr:sp macro="" textlink="">
      <xdr:nvSpPr>
        <xdr:cNvPr id="11" name="AutoShape 133">
          <a:extLst>
            <a:ext uri="{FF2B5EF4-FFF2-40B4-BE49-F238E27FC236}">
              <a16:creationId xmlns:a16="http://schemas.microsoft.com/office/drawing/2014/main" id="{00000000-0008-0000-2600-00000B000000}"/>
            </a:ext>
          </a:extLst>
        </xdr:cNvPr>
        <xdr:cNvSpPr>
          <a:spLocks noChangeAspect="1"/>
        </xdr:cNvSpPr>
      </xdr:nvSpPr>
      <xdr:spPr bwMode="auto">
        <a:xfrm>
          <a:off x="1380919" y="1119497"/>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editAs="oneCell">
    <xdr:from>
      <xdr:col>1</xdr:col>
      <xdr:colOff>53234</xdr:colOff>
      <xdr:row>14</xdr:row>
      <xdr:rowOff>12700</xdr:rowOff>
    </xdr:from>
    <xdr:to>
      <xdr:col>1</xdr:col>
      <xdr:colOff>419026</xdr:colOff>
      <xdr:row>14</xdr:row>
      <xdr:rowOff>372395</xdr:rowOff>
    </xdr:to>
    <xdr:pic>
      <xdr:nvPicPr>
        <xdr:cNvPr id="9" name="Imagen 8">
          <a:extLst>
            <a:ext uri="{FF2B5EF4-FFF2-40B4-BE49-F238E27FC236}">
              <a16:creationId xmlns:a16="http://schemas.microsoft.com/office/drawing/2014/main" id="{00000000-0008-0000-2600-000009000000}"/>
            </a:ext>
          </a:extLst>
        </xdr:cNvPr>
        <xdr:cNvPicPr>
          <a:picLocks noChangeAspect="1"/>
        </xdr:cNvPicPr>
      </xdr:nvPicPr>
      <xdr:blipFill>
        <a:blip xmlns:r="http://schemas.openxmlformats.org/officeDocument/2006/relationships" r:embed="rId1"/>
        <a:stretch>
          <a:fillRect/>
        </a:stretch>
      </xdr:blipFill>
      <xdr:spPr>
        <a:xfrm>
          <a:off x="1370653" y="4199989"/>
          <a:ext cx="365792" cy="359695"/>
        </a:xfrm>
        <a:prstGeom prst="rect">
          <a:avLst/>
        </a:prstGeom>
      </xdr:spPr>
    </xdr:pic>
    <xdr:clientData/>
  </xdr:twoCellAnchor>
  <xdr:twoCellAnchor>
    <xdr:from>
      <xdr:col>1</xdr:col>
      <xdr:colOff>63500</xdr:colOff>
      <xdr:row>8</xdr:row>
      <xdr:rowOff>12700</xdr:rowOff>
    </xdr:from>
    <xdr:to>
      <xdr:col>1</xdr:col>
      <xdr:colOff>434160</xdr:colOff>
      <xdr:row>8</xdr:row>
      <xdr:rowOff>372700</xdr:rowOff>
    </xdr:to>
    <xdr:sp macro="" textlink="">
      <xdr:nvSpPr>
        <xdr:cNvPr id="14" name="AutoShape 133">
          <a:extLst>
            <a:ext uri="{FF2B5EF4-FFF2-40B4-BE49-F238E27FC236}">
              <a16:creationId xmlns:a16="http://schemas.microsoft.com/office/drawing/2014/main" id="{00000000-0008-0000-2600-00000E000000}"/>
            </a:ext>
          </a:extLst>
        </xdr:cNvPr>
        <xdr:cNvSpPr>
          <a:spLocks noChangeAspect="1"/>
        </xdr:cNvSpPr>
      </xdr:nvSpPr>
      <xdr:spPr bwMode="auto">
        <a:xfrm>
          <a:off x="1380919" y="1899145"/>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50800</xdr:colOff>
      <xdr:row>12</xdr:row>
      <xdr:rowOff>0</xdr:rowOff>
    </xdr:from>
    <xdr:to>
      <xdr:col>1</xdr:col>
      <xdr:colOff>421460</xdr:colOff>
      <xdr:row>12</xdr:row>
      <xdr:rowOff>360000</xdr:rowOff>
    </xdr:to>
    <xdr:sp macro="" textlink="">
      <xdr:nvSpPr>
        <xdr:cNvPr id="12" name="AutoShape 133">
          <a:extLst>
            <a:ext uri="{FF2B5EF4-FFF2-40B4-BE49-F238E27FC236}">
              <a16:creationId xmlns:a16="http://schemas.microsoft.com/office/drawing/2014/main" id="{00000000-0008-0000-2600-00000C000000}"/>
            </a:ext>
          </a:extLst>
        </xdr:cNvPr>
        <xdr:cNvSpPr>
          <a:spLocks noChangeAspect="1"/>
        </xdr:cNvSpPr>
      </xdr:nvSpPr>
      <xdr:spPr bwMode="auto">
        <a:xfrm>
          <a:off x="1368219" y="3420341"/>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57070</xdr:colOff>
      <xdr:row>18</xdr:row>
      <xdr:rowOff>38100</xdr:rowOff>
    </xdr:from>
    <xdr:to>
      <xdr:col>1</xdr:col>
      <xdr:colOff>427730</xdr:colOff>
      <xdr:row>19</xdr:row>
      <xdr:rowOff>17100</xdr:rowOff>
    </xdr:to>
    <xdr:sp macro="" textlink="">
      <xdr:nvSpPr>
        <xdr:cNvPr id="13" name="AutoShape 133">
          <a:extLst>
            <a:ext uri="{FF2B5EF4-FFF2-40B4-BE49-F238E27FC236}">
              <a16:creationId xmlns:a16="http://schemas.microsoft.com/office/drawing/2014/main" id="{00000000-0008-0000-2600-00000D000000}"/>
            </a:ext>
          </a:extLst>
        </xdr:cNvPr>
        <xdr:cNvSpPr>
          <a:spLocks noChangeAspect="1"/>
        </xdr:cNvSpPr>
      </xdr:nvSpPr>
      <xdr:spPr bwMode="auto">
        <a:xfrm>
          <a:off x="1374489" y="5759285"/>
          <a:ext cx="370660" cy="362474"/>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57070</xdr:colOff>
      <xdr:row>21</xdr:row>
      <xdr:rowOff>0</xdr:rowOff>
    </xdr:from>
    <xdr:to>
      <xdr:col>1</xdr:col>
      <xdr:colOff>427730</xdr:colOff>
      <xdr:row>21</xdr:row>
      <xdr:rowOff>360000</xdr:rowOff>
    </xdr:to>
    <xdr:sp macro="" textlink="">
      <xdr:nvSpPr>
        <xdr:cNvPr id="16" name="AutoShape 133">
          <a:extLst>
            <a:ext uri="{FF2B5EF4-FFF2-40B4-BE49-F238E27FC236}">
              <a16:creationId xmlns:a16="http://schemas.microsoft.com/office/drawing/2014/main" id="{00000000-0008-0000-2600-000010000000}"/>
            </a:ext>
          </a:extLst>
        </xdr:cNvPr>
        <xdr:cNvSpPr>
          <a:spLocks noChangeAspect="1"/>
        </xdr:cNvSpPr>
      </xdr:nvSpPr>
      <xdr:spPr bwMode="auto">
        <a:xfrm>
          <a:off x="1374489" y="6871607"/>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57070</xdr:colOff>
      <xdr:row>19</xdr:row>
      <xdr:rowOff>12700</xdr:rowOff>
    </xdr:from>
    <xdr:to>
      <xdr:col>1</xdr:col>
      <xdr:colOff>427730</xdr:colOff>
      <xdr:row>19</xdr:row>
      <xdr:rowOff>372700</xdr:rowOff>
    </xdr:to>
    <xdr:sp macro="" textlink="">
      <xdr:nvSpPr>
        <xdr:cNvPr id="15" name="AutoShape 133">
          <a:extLst>
            <a:ext uri="{FF2B5EF4-FFF2-40B4-BE49-F238E27FC236}">
              <a16:creationId xmlns:a16="http://schemas.microsoft.com/office/drawing/2014/main" id="{00000000-0008-0000-2600-00000F000000}"/>
            </a:ext>
          </a:extLst>
        </xdr:cNvPr>
        <xdr:cNvSpPr>
          <a:spLocks noChangeAspect="1"/>
        </xdr:cNvSpPr>
      </xdr:nvSpPr>
      <xdr:spPr bwMode="auto">
        <a:xfrm>
          <a:off x="1374489" y="6117359"/>
          <a:ext cx="37066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57070</xdr:colOff>
      <xdr:row>23</xdr:row>
      <xdr:rowOff>38100</xdr:rowOff>
    </xdr:from>
    <xdr:to>
      <xdr:col>1</xdr:col>
      <xdr:colOff>427730</xdr:colOff>
      <xdr:row>24</xdr:row>
      <xdr:rowOff>17100</xdr:rowOff>
    </xdr:to>
    <xdr:sp macro="" textlink="">
      <xdr:nvSpPr>
        <xdr:cNvPr id="17" name="AutoShape 133">
          <a:extLst>
            <a:ext uri="{FF2B5EF4-FFF2-40B4-BE49-F238E27FC236}">
              <a16:creationId xmlns:a16="http://schemas.microsoft.com/office/drawing/2014/main" id="{00000000-0008-0000-2600-000011000000}"/>
            </a:ext>
          </a:extLst>
        </xdr:cNvPr>
        <xdr:cNvSpPr>
          <a:spLocks noChangeAspect="1"/>
        </xdr:cNvSpPr>
      </xdr:nvSpPr>
      <xdr:spPr bwMode="auto">
        <a:xfrm>
          <a:off x="1374489" y="7676655"/>
          <a:ext cx="370660" cy="362474"/>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788" y="0"/>
              </a:moveTo>
              <a:cubicBezTo>
                <a:pt x="11055" y="0"/>
                <a:pt x="11283" y="97"/>
                <a:pt x="11476" y="293"/>
              </a:cubicBezTo>
              <a:cubicBezTo>
                <a:pt x="11667" y="495"/>
                <a:pt x="11830" y="714"/>
                <a:pt x="11957" y="964"/>
              </a:cubicBezTo>
              <a:lnTo>
                <a:pt x="21320" y="19313"/>
              </a:lnTo>
              <a:cubicBezTo>
                <a:pt x="21401" y="19460"/>
                <a:pt x="21470" y="19615"/>
                <a:pt x="21518" y="19785"/>
              </a:cubicBezTo>
              <a:cubicBezTo>
                <a:pt x="21574" y="19958"/>
                <a:pt x="21599" y="20139"/>
                <a:pt x="21599" y="20329"/>
              </a:cubicBezTo>
              <a:cubicBezTo>
                <a:pt x="21599" y="20782"/>
                <a:pt x="21445" y="21107"/>
                <a:pt x="21137" y="21303"/>
              </a:cubicBezTo>
              <a:cubicBezTo>
                <a:pt x="20830" y="21501"/>
                <a:pt x="20500" y="21599"/>
                <a:pt x="20152" y="21599"/>
              </a:cubicBezTo>
              <a:lnTo>
                <a:pt x="1447" y="21599"/>
              </a:lnTo>
              <a:cubicBezTo>
                <a:pt x="1099" y="21599"/>
                <a:pt x="772" y="21502"/>
                <a:pt x="462" y="21303"/>
              </a:cubicBezTo>
              <a:cubicBezTo>
                <a:pt x="154" y="21107"/>
                <a:pt x="0" y="20782"/>
                <a:pt x="0" y="20329"/>
              </a:cubicBezTo>
              <a:cubicBezTo>
                <a:pt x="0" y="20148"/>
                <a:pt x="25" y="19967"/>
                <a:pt x="71" y="19794"/>
              </a:cubicBezTo>
              <a:cubicBezTo>
                <a:pt x="121" y="19618"/>
                <a:pt x="190" y="19460"/>
                <a:pt x="279" y="19313"/>
              </a:cubicBezTo>
              <a:lnTo>
                <a:pt x="9620" y="964"/>
              </a:lnTo>
              <a:cubicBezTo>
                <a:pt x="9749" y="714"/>
                <a:pt x="9907" y="495"/>
                <a:pt x="10097" y="293"/>
              </a:cubicBezTo>
              <a:cubicBezTo>
                <a:pt x="10290" y="97"/>
                <a:pt x="10519" y="0"/>
                <a:pt x="10788" y="0"/>
              </a:cubicBezTo>
              <a:moveTo>
                <a:pt x="11629" y="15452"/>
              </a:moveTo>
              <a:cubicBezTo>
                <a:pt x="11741" y="15452"/>
                <a:pt x="11840" y="15402"/>
                <a:pt x="11926" y="15308"/>
              </a:cubicBezTo>
              <a:cubicBezTo>
                <a:pt x="12010" y="15210"/>
                <a:pt x="12053" y="15097"/>
                <a:pt x="12053" y="14971"/>
              </a:cubicBezTo>
              <a:lnTo>
                <a:pt x="12236" y="6243"/>
              </a:lnTo>
              <a:cubicBezTo>
                <a:pt x="12236" y="6113"/>
                <a:pt x="12190" y="6001"/>
                <a:pt x="12106" y="5906"/>
              </a:cubicBezTo>
              <a:cubicBezTo>
                <a:pt x="12023" y="5808"/>
                <a:pt x="11924" y="5762"/>
                <a:pt x="11809" y="5762"/>
              </a:cubicBezTo>
              <a:lnTo>
                <a:pt x="9790" y="5762"/>
              </a:lnTo>
              <a:cubicBezTo>
                <a:pt x="9663" y="5762"/>
                <a:pt x="9553" y="5808"/>
                <a:pt x="9480" y="5906"/>
              </a:cubicBezTo>
              <a:cubicBezTo>
                <a:pt x="9404" y="6001"/>
                <a:pt x="9366" y="6113"/>
                <a:pt x="9366" y="6243"/>
              </a:cubicBezTo>
              <a:lnTo>
                <a:pt x="9513" y="14971"/>
              </a:lnTo>
              <a:cubicBezTo>
                <a:pt x="9513" y="15097"/>
                <a:pt x="9556" y="15210"/>
                <a:pt x="9640" y="15308"/>
              </a:cubicBezTo>
              <a:cubicBezTo>
                <a:pt x="9724" y="15403"/>
                <a:pt x="9823" y="15452"/>
                <a:pt x="9937" y="15452"/>
              </a:cubicBezTo>
              <a:lnTo>
                <a:pt x="11629" y="15452"/>
              </a:lnTo>
              <a:close/>
              <a:moveTo>
                <a:pt x="12150" y="17257"/>
              </a:moveTo>
              <a:cubicBezTo>
                <a:pt x="12150" y="17110"/>
                <a:pt x="12114" y="16989"/>
                <a:pt x="12040" y="16891"/>
              </a:cubicBezTo>
              <a:cubicBezTo>
                <a:pt x="11969" y="16796"/>
                <a:pt x="11868" y="16747"/>
                <a:pt x="11738" y="16747"/>
              </a:cubicBezTo>
              <a:lnTo>
                <a:pt x="9866" y="16747"/>
              </a:lnTo>
              <a:cubicBezTo>
                <a:pt x="9752" y="16747"/>
                <a:pt x="9653" y="16793"/>
                <a:pt x="9569" y="16886"/>
              </a:cubicBezTo>
              <a:cubicBezTo>
                <a:pt x="9482" y="16978"/>
                <a:pt x="9439" y="17102"/>
                <a:pt x="9439" y="17257"/>
              </a:cubicBezTo>
              <a:lnTo>
                <a:pt x="9439" y="19284"/>
              </a:lnTo>
              <a:cubicBezTo>
                <a:pt x="9439" y="19431"/>
                <a:pt x="9482" y="19549"/>
                <a:pt x="9569" y="19636"/>
              </a:cubicBezTo>
              <a:cubicBezTo>
                <a:pt x="9653" y="19722"/>
                <a:pt x="9752" y="19765"/>
                <a:pt x="9866" y="19765"/>
              </a:cubicBezTo>
              <a:lnTo>
                <a:pt x="11738" y="19765"/>
              </a:lnTo>
              <a:cubicBezTo>
                <a:pt x="12020" y="19765"/>
                <a:pt x="12160" y="19604"/>
                <a:pt x="12150" y="19284"/>
              </a:cubicBezTo>
              <a:lnTo>
                <a:pt x="12150" y="17257"/>
              </a:lnTo>
              <a:close/>
            </a:path>
          </a:pathLst>
        </a:custGeom>
        <a:solidFill>
          <a:srgbClr val="D0A8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63500</xdr:colOff>
      <xdr:row>7</xdr:row>
      <xdr:rowOff>38100</xdr:rowOff>
    </xdr:from>
    <xdr:to>
      <xdr:col>1</xdr:col>
      <xdr:colOff>432679</xdr:colOff>
      <xdr:row>8</xdr:row>
      <xdr:rowOff>17100</xdr:rowOff>
    </xdr:to>
    <xdr:sp macro="" textlink="">
      <xdr:nvSpPr>
        <xdr:cNvPr id="18" name="AutoShape 107">
          <a:extLst>
            <a:ext uri="{FF2B5EF4-FFF2-40B4-BE49-F238E27FC236}">
              <a16:creationId xmlns:a16="http://schemas.microsoft.com/office/drawing/2014/main" id="{00000000-0008-0000-2600-000012000000}"/>
            </a:ext>
          </a:extLst>
        </xdr:cNvPr>
        <xdr:cNvSpPr>
          <a:spLocks noChangeAspect="1"/>
        </xdr:cNvSpPr>
      </xdr:nvSpPr>
      <xdr:spPr bwMode="auto">
        <a:xfrm>
          <a:off x="1380919" y="1541071"/>
          <a:ext cx="369179" cy="362474"/>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57811</xdr:colOff>
      <xdr:row>22</xdr:row>
      <xdr:rowOff>32575</xdr:rowOff>
    </xdr:from>
    <xdr:to>
      <xdr:col>1</xdr:col>
      <xdr:colOff>426990</xdr:colOff>
      <xdr:row>23</xdr:row>
      <xdr:rowOff>11575</xdr:rowOff>
    </xdr:to>
    <xdr:sp macro="" textlink="">
      <xdr:nvSpPr>
        <xdr:cNvPr id="22" name="AutoShape 107">
          <a:extLst>
            <a:ext uri="{FF2B5EF4-FFF2-40B4-BE49-F238E27FC236}">
              <a16:creationId xmlns:a16="http://schemas.microsoft.com/office/drawing/2014/main" id="{00000000-0008-0000-2600-000016000000}"/>
            </a:ext>
          </a:extLst>
        </xdr:cNvPr>
        <xdr:cNvSpPr>
          <a:spLocks noChangeAspect="1"/>
        </xdr:cNvSpPr>
      </xdr:nvSpPr>
      <xdr:spPr bwMode="auto">
        <a:xfrm>
          <a:off x="1022681" y="7287656"/>
          <a:ext cx="369179" cy="362474"/>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51541</xdr:colOff>
      <xdr:row>11</xdr:row>
      <xdr:rowOff>31915</xdr:rowOff>
    </xdr:from>
    <xdr:to>
      <xdr:col>1</xdr:col>
      <xdr:colOff>420720</xdr:colOff>
      <xdr:row>12</xdr:row>
      <xdr:rowOff>10915</xdr:rowOff>
    </xdr:to>
    <xdr:sp macro="" textlink="">
      <xdr:nvSpPr>
        <xdr:cNvPr id="19" name="AutoShape 107">
          <a:extLst>
            <a:ext uri="{FF2B5EF4-FFF2-40B4-BE49-F238E27FC236}">
              <a16:creationId xmlns:a16="http://schemas.microsoft.com/office/drawing/2014/main" id="{00000000-0008-0000-2600-000013000000}"/>
            </a:ext>
          </a:extLst>
        </xdr:cNvPr>
        <xdr:cNvSpPr>
          <a:spLocks noChangeAspect="1"/>
        </xdr:cNvSpPr>
      </xdr:nvSpPr>
      <xdr:spPr bwMode="auto">
        <a:xfrm>
          <a:off x="1016411" y="3068782"/>
          <a:ext cx="369179" cy="362474"/>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51541</xdr:colOff>
      <xdr:row>16</xdr:row>
      <xdr:rowOff>38100</xdr:rowOff>
    </xdr:from>
    <xdr:to>
      <xdr:col>1</xdr:col>
      <xdr:colOff>420720</xdr:colOff>
      <xdr:row>17</xdr:row>
      <xdr:rowOff>17100</xdr:rowOff>
    </xdr:to>
    <xdr:sp macro="" textlink="">
      <xdr:nvSpPr>
        <xdr:cNvPr id="20" name="AutoShape 107">
          <a:extLst>
            <a:ext uri="{FF2B5EF4-FFF2-40B4-BE49-F238E27FC236}">
              <a16:creationId xmlns:a16="http://schemas.microsoft.com/office/drawing/2014/main" id="{00000000-0008-0000-2600-000014000000}"/>
            </a:ext>
          </a:extLst>
        </xdr:cNvPr>
        <xdr:cNvSpPr>
          <a:spLocks noChangeAspect="1"/>
        </xdr:cNvSpPr>
      </xdr:nvSpPr>
      <xdr:spPr bwMode="auto">
        <a:xfrm>
          <a:off x="1368960" y="4992337"/>
          <a:ext cx="369179" cy="362474"/>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57811</xdr:colOff>
      <xdr:row>17</xdr:row>
      <xdr:rowOff>50800</xdr:rowOff>
    </xdr:from>
    <xdr:to>
      <xdr:col>1</xdr:col>
      <xdr:colOff>426990</xdr:colOff>
      <xdr:row>18</xdr:row>
      <xdr:rowOff>29800</xdr:rowOff>
    </xdr:to>
    <xdr:sp macro="" textlink="">
      <xdr:nvSpPr>
        <xdr:cNvPr id="21" name="AutoShape 107">
          <a:extLst>
            <a:ext uri="{FF2B5EF4-FFF2-40B4-BE49-F238E27FC236}">
              <a16:creationId xmlns:a16="http://schemas.microsoft.com/office/drawing/2014/main" id="{00000000-0008-0000-2600-000015000000}"/>
            </a:ext>
          </a:extLst>
        </xdr:cNvPr>
        <xdr:cNvSpPr>
          <a:spLocks noChangeAspect="1"/>
        </xdr:cNvSpPr>
      </xdr:nvSpPr>
      <xdr:spPr bwMode="auto">
        <a:xfrm>
          <a:off x="1375230" y="5388511"/>
          <a:ext cx="369179" cy="362474"/>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57810</xdr:colOff>
      <xdr:row>20</xdr:row>
      <xdr:rowOff>38100</xdr:rowOff>
    </xdr:from>
    <xdr:to>
      <xdr:col>1</xdr:col>
      <xdr:colOff>426990</xdr:colOff>
      <xdr:row>21</xdr:row>
      <xdr:rowOff>17100</xdr:rowOff>
    </xdr:to>
    <xdr:sp macro="" textlink="">
      <xdr:nvSpPr>
        <xdr:cNvPr id="23" name="AutoShape 40">
          <a:extLst>
            <a:ext uri="{FF2B5EF4-FFF2-40B4-BE49-F238E27FC236}">
              <a16:creationId xmlns:a16="http://schemas.microsoft.com/office/drawing/2014/main" id="{00000000-0008-0000-2600-000017000000}"/>
            </a:ext>
          </a:extLst>
        </xdr:cNvPr>
        <xdr:cNvSpPr>
          <a:spLocks noChangeAspect="1"/>
        </xdr:cNvSpPr>
      </xdr:nvSpPr>
      <xdr:spPr bwMode="auto">
        <a:xfrm>
          <a:off x="1375229" y="6526233"/>
          <a:ext cx="369180" cy="362474"/>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63500</xdr:colOff>
      <xdr:row>9</xdr:row>
      <xdr:rowOff>38760</xdr:rowOff>
    </xdr:from>
    <xdr:to>
      <xdr:col>1</xdr:col>
      <xdr:colOff>432679</xdr:colOff>
      <xdr:row>10</xdr:row>
      <xdr:rowOff>17760</xdr:rowOff>
    </xdr:to>
    <xdr:sp macro="" textlink="">
      <xdr:nvSpPr>
        <xdr:cNvPr id="26" name="AutoShape 107">
          <a:extLst>
            <a:ext uri="{FF2B5EF4-FFF2-40B4-BE49-F238E27FC236}">
              <a16:creationId xmlns:a16="http://schemas.microsoft.com/office/drawing/2014/main" id="{00000000-0008-0000-2600-00001A000000}"/>
            </a:ext>
          </a:extLst>
        </xdr:cNvPr>
        <xdr:cNvSpPr>
          <a:spLocks noChangeAspect="1"/>
        </xdr:cNvSpPr>
      </xdr:nvSpPr>
      <xdr:spPr bwMode="auto">
        <a:xfrm>
          <a:off x="1028370" y="2308679"/>
          <a:ext cx="369179" cy="362474"/>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51540</xdr:colOff>
      <xdr:row>15</xdr:row>
      <xdr:rowOff>0</xdr:rowOff>
    </xdr:from>
    <xdr:to>
      <xdr:col>1</xdr:col>
      <xdr:colOff>420720</xdr:colOff>
      <xdr:row>15</xdr:row>
      <xdr:rowOff>360000</xdr:rowOff>
    </xdr:to>
    <xdr:sp macro="" textlink="">
      <xdr:nvSpPr>
        <xdr:cNvPr id="24" name="AutoShape 40">
          <a:extLst>
            <a:ext uri="{FF2B5EF4-FFF2-40B4-BE49-F238E27FC236}">
              <a16:creationId xmlns:a16="http://schemas.microsoft.com/office/drawing/2014/main" id="{00000000-0008-0000-2600-000018000000}"/>
            </a:ext>
          </a:extLst>
        </xdr:cNvPr>
        <xdr:cNvSpPr>
          <a:spLocks noChangeAspect="1"/>
        </xdr:cNvSpPr>
      </xdr:nvSpPr>
      <xdr:spPr bwMode="auto">
        <a:xfrm>
          <a:off x="1368959" y="4570763"/>
          <a:ext cx="369180"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0807" y="0"/>
              </a:moveTo>
              <a:cubicBezTo>
                <a:pt x="12301" y="0"/>
                <a:pt x="13705" y="282"/>
                <a:pt x="15011" y="847"/>
              </a:cubicBezTo>
              <a:cubicBezTo>
                <a:pt x="16319" y="1408"/>
                <a:pt x="17463" y="2176"/>
                <a:pt x="18449" y="3156"/>
              </a:cubicBezTo>
              <a:cubicBezTo>
                <a:pt x="19432" y="4136"/>
                <a:pt x="20201" y="5279"/>
                <a:pt x="20760" y="6590"/>
              </a:cubicBezTo>
              <a:cubicBezTo>
                <a:pt x="21317" y="7903"/>
                <a:pt x="21599" y="9306"/>
                <a:pt x="21599" y="10800"/>
              </a:cubicBezTo>
              <a:cubicBezTo>
                <a:pt x="21599" y="12296"/>
                <a:pt x="21317" y="13699"/>
                <a:pt x="20760" y="15009"/>
              </a:cubicBezTo>
              <a:cubicBezTo>
                <a:pt x="20201" y="16322"/>
                <a:pt x="19430" y="17466"/>
                <a:pt x="18449" y="18443"/>
              </a:cubicBezTo>
              <a:cubicBezTo>
                <a:pt x="17463" y="19423"/>
                <a:pt x="16319" y="20191"/>
                <a:pt x="15011" y="20752"/>
              </a:cubicBezTo>
              <a:cubicBezTo>
                <a:pt x="13705" y="21320"/>
                <a:pt x="12301" y="21599"/>
                <a:pt x="10807" y="21599"/>
              </a:cubicBezTo>
              <a:cubicBezTo>
                <a:pt x="9309" y="21599"/>
                <a:pt x="7905" y="21320"/>
                <a:pt x="6594" y="20752"/>
              </a:cubicBezTo>
              <a:cubicBezTo>
                <a:pt x="5280" y="20191"/>
                <a:pt x="4136" y="19423"/>
                <a:pt x="3158" y="18443"/>
              </a:cubicBezTo>
              <a:cubicBezTo>
                <a:pt x="2178" y="17466"/>
                <a:pt x="1409" y="16322"/>
                <a:pt x="847" y="15009"/>
              </a:cubicBezTo>
              <a:cubicBezTo>
                <a:pt x="282" y="13699"/>
                <a:pt x="0" y="12296"/>
                <a:pt x="0" y="10800"/>
              </a:cubicBezTo>
              <a:cubicBezTo>
                <a:pt x="0" y="9306"/>
                <a:pt x="282" y="7903"/>
                <a:pt x="847" y="6590"/>
              </a:cubicBezTo>
              <a:cubicBezTo>
                <a:pt x="1409" y="5279"/>
                <a:pt x="2181" y="4136"/>
                <a:pt x="3158" y="3156"/>
              </a:cubicBezTo>
              <a:cubicBezTo>
                <a:pt x="4136" y="2176"/>
                <a:pt x="5280" y="1408"/>
                <a:pt x="6594" y="847"/>
              </a:cubicBezTo>
              <a:cubicBezTo>
                <a:pt x="7902" y="282"/>
                <a:pt x="9306" y="0"/>
                <a:pt x="10807" y="0"/>
              </a:cubicBezTo>
              <a:moveTo>
                <a:pt x="10807" y="18355"/>
              </a:moveTo>
              <a:cubicBezTo>
                <a:pt x="11860" y="18355"/>
                <a:pt x="12844" y="18158"/>
                <a:pt x="13756" y="17762"/>
              </a:cubicBezTo>
              <a:cubicBezTo>
                <a:pt x="14666" y="17364"/>
                <a:pt x="15463" y="16825"/>
                <a:pt x="16147" y="16139"/>
              </a:cubicBezTo>
              <a:cubicBezTo>
                <a:pt x="16836" y="15453"/>
                <a:pt x="17378" y="14656"/>
                <a:pt x="17774" y="13747"/>
              </a:cubicBezTo>
              <a:cubicBezTo>
                <a:pt x="18169" y="12838"/>
                <a:pt x="18367" y="11853"/>
                <a:pt x="18367" y="10799"/>
              </a:cubicBezTo>
              <a:cubicBezTo>
                <a:pt x="18367" y="9746"/>
                <a:pt x="18169" y="8764"/>
                <a:pt x="17774" y="7852"/>
              </a:cubicBezTo>
              <a:cubicBezTo>
                <a:pt x="17376" y="6942"/>
                <a:pt x="16836" y="6146"/>
                <a:pt x="16147" y="5460"/>
              </a:cubicBezTo>
              <a:cubicBezTo>
                <a:pt x="15466" y="4774"/>
                <a:pt x="14666" y="4235"/>
                <a:pt x="13748" y="3839"/>
              </a:cubicBezTo>
              <a:cubicBezTo>
                <a:pt x="12832" y="3444"/>
                <a:pt x="11852" y="3244"/>
                <a:pt x="10807" y="3244"/>
              </a:cubicBezTo>
              <a:cubicBezTo>
                <a:pt x="9753" y="3244"/>
                <a:pt x="8764" y="3444"/>
                <a:pt x="7851" y="3839"/>
              </a:cubicBezTo>
              <a:cubicBezTo>
                <a:pt x="6936" y="4235"/>
                <a:pt x="6139" y="4774"/>
                <a:pt x="5455" y="5460"/>
              </a:cubicBezTo>
              <a:cubicBezTo>
                <a:pt x="4772" y="6146"/>
                <a:pt x="4235" y="6942"/>
                <a:pt x="3839" y="7852"/>
              </a:cubicBezTo>
              <a:cubicBezTo>
                <a:pt x="3444" y="8764"/>
                <a:pt x="3246" y="9746"/>
                <a:pt x="3246" y="10799"/>
              </a:cubicBezTo>
              <a:cubicBezTo>
                <a:pt x="3246" y="11853"/>
                <a:pt x="3444" y="12838"/>
                <a:pt x="3839" y="13747"/>
              </a:cubicBezTo>
              <a:cubicBezTo>
                <a:pt x="4238" y="14656"/>
                <a:pt x="4774" y="15453"/>
                <a:pt x="5455" y="16139"/>
              </a:cubicBezTo>
              <a:cubicBezTo>
                <a:pt x="6136" y="16825"/>
                <a:pt x="6933" y="17364"/>
                <a:pt x="7851" y="17762"/>
              </a:cubicBezTo>
              <a:cubicBezTo>
                <a:pt x="8764" y="18160"/>
                <a:pt x="9753" y="18355"/>
                <a:pt x="10807" y="18355"/>
              </a:cubicBezTo>
              <a:moveTo>
                <a:pt x="14674" y="7397"/>
              </a:moveTo>
              <a:cubicBezTo>
                <a:pt x="14765" y="7307"/>
                <a:pt x="14889" y="7262"/>
                <a:pt x="15047" y="7262"/>
              </a:cubicBezTo>
              <a:cubicBezTo>
                <a:pt x="15206" y="7262"/>
                <a:pt x="15333" y="7307"/>
                <a:pt x="15432" y="7397"/>
              </a:cubicBezTo>
              <a:lnTo>
                <a:pt x="16972" y="8950"/>
              </a:lnTo>
              <a:cubicBezTo>
                <a:pt x="17065" y="9040"/>
                <a:pt x="17113" y="9165"/>
                <a:pt x="17118" y="9323"/>
              </a:cubicBezTo>
              <a:cubicBezTo>
                <a:pt x="17121" y="9478"/>
                <a:pt x="17073" y="9605"/>
                <a:pt x="16972" y="9693"/>
              </a:cubicBezTo>
              <a:lnTo>
                <a:pt x="11442" y="15235"/>
              </a:lnTo>
              <a:cubicBezTo>
                <a:pt x="11335" y="15343"/>
                <a:pt x="11188" y="15436"/>
                <a:pt x="11004" y="15506"/>
              </a:cubicBezTo>
              <a:cubicBezTo>
                <a:pt x="10821" y="15577"/>
                <a:pt x="10651" y="15614"/>
                <a:pt x="10496" y="15614"/>
              </a:cubicBezTo>
              <a:lnTo>
                <a:pt x="8953" y="15614"/>
              </a:lnTo>
              <a:cubicBezTo>
                <a:pt x="8809" y="15614"/>
                <a:pt x="8645" y="15577"/>
                <a:pt x="8453" y="15506"/>
              </a:cubicBezTo>
              <a:cubicBezTo>
                <a:pt x="8261" y="15436"/>
                <a:pt x="8114" y="15343"/>
                <a:pt x="8007" y="15235"/>
              </a:cubicBezTo>
              <a:lnTo>
                <a:pt x="4627" y="11855"/>
              </a:lnTo>
              <a:cubicBezTo>
                <a:pt x="4537" y="11768"/>
                <a:pt x="4492" y="11644"/>
                <a:pt x="4492" y="11486"/>
              </a:cubicBezTo>
              <a:cubicBezTo>
                <a:pt x="4492" y="11327"/>
                <a:pt x="4537" y="11206"/>
                <a:pt x="4627" y="11113"/>
              </a:cubicBezTo>
              <a:lnTo>
                <a:pt x="6181" y="9560"/>
              </a:lnTo>
              <a:cubicBezTo>
                <a:pt x="6272" y="9467"/>
                <a:pt x="6396" y="9424"/>
                <a:pt x="6554" y="9424"/>
              </a:cubicBezTo>
              <a:cubicBezTo>
                <a:pt x="6713" y="9424"/>
                <a:pt x="6837" y="9467"/>
                <a:pt x="6927" y="9560"/>
              </a:cubicBezTo>
              <a:lnTo>
                <a:pt x="9337" y="11994"/>
              </a:lnTo>
              <a:cubicBezTo>
                <a:pt x="9597" y="12217"/>
                <a:pt x="9860" y="12217"/>
                <a:pt x="10120" y="11994"/>
              </a:cubicBezTo>
              <a:lnTo>
                <a:pt x="14674" y="7397"/>
              </a:lnTo>
              <a:close/>
            </a:path>
          </a:pathLst>
        </a:custGeom>
        <a:solidFill>
          <a:srgbClr val="00B05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1</xdr:col>
      <xdr:colOff>51541</xdr:colOff>
      <xdr:row>13</xdr:row>
      <xdr:rowOff>0</xdr:rowOff>
    </xdr:from>
    <xdr:to>
      <xdr:col>1</xdr:col>
      <xdr:colOff>420720</xdr:colOff>
      <xdr:row>13</xdr:row>
      <xdr:rowOff>360000</xdr:rowOff>
    </xdr:to>
    <xdr:sp macro="" textlink="">
      <xdr:nvSpPr>
        <xdr:cNvPr id="25" name="AutoShape 107">
          <a:extLst>
            <a:ext uri="{FF2B5EF4-FFF2-40B4-BE49-F238E27FC236}">
              <a16:creationId xmlns:a16="http://schemas.microsoft.com/office/drawing/2014/main" id="{00000000-0008-0000-2600-000019000000}"/>
            </a:ext>
          </a:extLst>
        </xdr:cNvPr>
        <xdr:cNvSpPr>
          <a:spLocks noChangeAspect="1"/>
        </xdr:cNvSpPr>
      </xdr:nvSpPr>
      <xdr:spPr bwMode="auto">
        <a:xfrm>
          <a:off x="1368960" y="3803815"/>
          <a:ext cx="369179" cy="360000"/>
        </a:xfrm>
        <a:custGeom>
          <a:avLst/>
          <a:gdLst>
            <a:gd name="T0" fmla="*/ 10800 w 21600"/>
            <a:gd name="T1" fmla="*/ 10800 h 21600"/>
            <a:gd name="T2" fmla="*/ 10800 w 21600"/>
            <a:gd name="T3" fmla="*/ 10800 h 21600"/>
            <a:gd name="T4" fmla="*/ 10800 w 21600"/>
            <a:gd name="T5" fmla="*/ 10800 h 21600"/>
            <a:gd name="T6" fmla="*/ 10800 w 21600"/>
            <a:gd name="T7" fmla="*/ 10800 h 21600"/>
          </a:gdLst>
          <a:ahLst/>
          <a:cxnLst>
            <a:cxn ang="0">
              <a:pos x="T0" y="T1"/>
            </a:cxn>
            <a:cxn ang="0">
              <a:pos x="T2" y="T3"/>
            </a:cxn>
            <a:cxn ang="0">
              <a:pos x="T4" y="T5"/>
            </a:cxn>
            <a:cxn ang="0">
              <a:pos x="T6" y="T7"/>
            </a:cxn>
          </a:cxnLst>
          <a:rect l="0" t="0" r="r" b="b"/>
          <a:pathLst>
            <a:path w="21600" h="21600">
              <a:moveTo>
                <a:pt x="18449" y="3162"/>
              </a:moveTo>
              <a:cubicBezTo>
                <a:pt x="19503" y="4215"/>
                <a:pt x="20291" y="5407"/>
                <a:pt x="20817" y="6731"/>
              </a:cubicBezTo>
              <a:cubicBezTo>
                <a:pt x="21340" y="8058"/>
                <a:pt x="21599" y="9410"/>
                <a:pt x="21599" y="10800"/>
              </a:cubicBezTo>
              <a:cubicBezTo>
                <a:pt x="21599" y="12186"/>
                <a:pt x="21337" y="13544"/>
                <a:pt x="20817" y="14871"/>
              </a:cubicBezTo>
              <a:cubicBezTo>
                <a:pt x="20291" y="16192"/>
                <a:pt x="19503" y="17381"/>
                <a:pt x="18449" y="18437"/>
              </a:cubicBezTo>
              <a:cubicBezTo>
                <a:pt x="17393" y="19490"/>
                <a:pt x="16200" y="20284"/>
                <a:pt x="14869" y="20809"/>
              </a:cubicBezTo>
              <a:cubicBezTo>
                <a:pt x="13539" y="21337"/>
                <a:pt x="12183" y="21599"/>
                <a:pt x="10801" y="21599"/>
              </a:cubicBezTo>
              <a:cubicBezTo>
                <a:pt x="9416" y="21599"/>
                <a:pt x="8057" y="21337"/>
                <a:pt x="6730" y="20809"/>
              </a:cubicBezTo>
              <a:cubicBezTo>
                <a:pt x="5399" y="20284"/>
                <a:pt x="4206" y="19490"/>
                <a:pt x="3150" y="18437"/>
              </a:cubicBezTo>
              <a:cubicBezTo>
                <a:pt x="2099" y="17381"/>
                <a:pt x="1308" y="16192"/>
                <a:pt x="782" y="14871"/>
              </a:cubicBezTo>
              <a:cubicBezTo>
                <a:pt x="259" y="13544"/>
                <a:pt x="0" y="12186"/>
                <a:pt x="0" y="10800"/>
              </a:cubicBezTo>
              <a:cubicBezTo>
                <a:pt x="0" y="9410"/>
                <a:pt x="265" y="8055"/>
                <a:pt x="791" y="6725"/>
              </a:cubicBezTo>
              <a:cubicBezTo>
                <a:pt x="1319" y="5395"/>
                <a:pt x="2104" y="4210"/>
                <a:pt x="3150" y="3162"/>
              </a:cubicBezTo>
              <a:cubicBezTo>
                <a:pt x="4206" y="2109"/>
                <a:pt x="5399" y="1318"/>
                <a:pt x="6730" y="790"/>
              </a:cubicBezTo>
              <a:cubicBezTo>
                <a:pt x="8060" y="262"/>
                <a:pt x="9416" y="0"/>
                <a:pt x="10801" y="0"/>
              </a:cubicBezTo>
              <a:cubicBezTo>
                <a:pt x="12183" y="0"/>
                <a:pt x="13542" y="262"/>
                <a:pt x="14869" y="790"/>
              </a:cubicBezTo>
              <a:cubicBezTo>
                <a:pt x="16197" y="1318"/>
                <a:pt x="17393" y="2109"/>
                <a:pt x="18449" y="3162"/>
              </a:cubicBezTo>
              <a:moveTo>
                <a:pt x="16282" y="7530"/>
              </a:moveTo>
              <a:cubicBezTo>
                <a:pt x="16488" y="7321"/>
                <a:pt x="16488" y="7112"/>
                <a:pt x="16282" y="6892"/>
              </a:cubicBezTo>
              <a:lnTo>
                <a:pt x="14700" y="5342"/>
              </a:lnTo>
              <a:cubicBezTo>
                <a:pt x="14474" y="5116"/>
                <a:pt x="14262" y="5116"/>
                <a:pt x="14061" y="5342"/>
              </a:cubicBezTo>
              <a:lnTo>
                <a:pt x="10775" y="8640"/>
              </a:lnTo>
              <a:lnTo>
                <a:pt x="7775" y="5650"/>
              </a:lnTo>
              <a:cubicBezTo>
                <a:pt x="7685" y="5562"/>
                <a:pt x="7583" y="5514"/>
                <a:pt x="7464" y="5514"/>
              </a:cubicBezTo>
              <a:cubicBezTo>
                <a:pt x="7348" y="5514"/>
                <a:pt x="7238" y="5562"/>
                <a:pt x="7139" y="5650"/>
              </a:cubicBezTo>
              <a:lnTo>
                <a:pt x="5653" y="7177"/>
              </a:lnTo>
              <a:cubicBezTo>
                <a:pt x="5427" y="7386"/>
                <a:pt x="5427" y="7595"/>
                <a:pt x="5653" y="7812"/>
              </a:cubicBezTo>
              <a:lnTo>
                <a:pt x="8617" y="10771"/>
              </a:lnTo>
              <a:lnTo>
                <a:pt x="5345" y="14069"/>
              </a:lnTo>
              <a:cubicBezTo>
                <a:pt x="5255" y="14162"/>
                <a:pt x="5207" y="14264"/>
                <a:pt x="5207" y="14383"/>
              </a:cubicBezTo>
              <a:cubicBezTo>
                <a:pt x="5207" y="14501"/>
                <a:pt x="5255" y="14609"/>
                <a:pt x="5345" y="14705"/>
              </a:cubicBezTo>
              <a:lnTo>
                <a:pt x="6899" y="16274"/>
              </a:lnTo>
              <a:cubicBezTo>
                <a:pt x="6990" y="16365"/>
                <a:pt x="7094" y="16413"/>
                <a:pt x="7216" y="16416"/>
              </a:cubicBezTo>
              <a:cubicBezTo>
                <a:pt x="7340" y="16418"/>
                <a:pt x="7444" y="16373"/>
                <a:pt x="7535" y="16274"/>
              </a:cubicBezTo>
              <a:lnTo>
                <a:pt x="10835" y="12991"/>
              </a:lnTo>
              <a:lnTo>
                <a:pt x="13796" y="15978"/>
              </a:lnTo>
              <a:cubicBezTo>
                <a:pt x="13886" y="16065"/>
                <a:pt x="13991" y="16111"/>
                <a:pt x="14115" y="16111"/>
              </a:cubicBezTo>
              <a:cubicBezTo>
                <a:pt x="14237" y="16111"/>
                <a:pt x="14341" y="16065"/>
                <a:pt x="14432" y="15978"/>
              </a:cubicBezTo>
              <a:lnTo>
                <a:pt x="15960" y="14450"/>
              </a:lnTo>
              <a:cubicBezTo>
                <a:pt x="16166" y="14241"/>
                <a:pt x="16166" y="14032"/>
                <a:pt x="15960" y="13815"/>
              </a:cubicBezTo>
              <a:lnTo>
                <a:pt x="12957" y="10856"/>
              </a:lnTo>
              <a:lnTo>
                <a:pt x="16282" y="7530"/>
              </a:lnTo>
              <a:close/>
            </a:path>
          </a:pathLst>
        </a:custGeom>
        <a:solidFill>
          <a:srgbClr val="C00000"/>
        </a:solidFill>
        <a:ln>
          <a:noFill/>
        </a:ln>
        <a:effectLst/>
      </xdr:spPr>
      <xdr:txBody>
        <a:bodyPr wrap="square" lIns="28575" tIns="28575" rIns="28575" bIns="28575" anchor="ct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257175">
            <a:defRPr/>
          </a:pPr>
          <a:endParaRPr lang="es-ES" sz="1650">
            <a:solidFill>
              <a:srgbClr val="44CEB9"/>
            </a:solidFill>
            <a:effectLst>
              <a:outerShdw blurRad="38100" dist="38100" dir="2700000" algn="tl">
                <a:srgbClr val="000000"/>
              </a:outerShdw>
            </a:effectLst>
            <a:latin typeface="Gill Sans" charset="0"/>
            <a:cs typeface="Gill Sans" charset="0"/>
            <a:sym typeface="Gill Sans" charset="0"/>
          </a:endParaRPr>
        </a:p>
      </xdr:txBody>
    </xdr:sp>
    <xdr:clientData/>
  </xdr:twoCellAnchor>
  <xdr:twoCellAnchor>
    <xdr:from>
      <xdr:col>0</xdr:col>
      <xdr:colOff>0</xdr:colOff>
      <xdr:row>1</xdr:row>
      <xdr:rowOff>0</xdr:rowOff>
    </xdr:from>
    <xdr:to>
      <xdr:col>27</xdr:col>
      <xdr:colOff>3342960</xdr:colOff>
      <xdr:row>3</xdr:row>
      <xdr:rowOff>52673</xdr:rowOff>
    </xdr:to>
    <xdr:sp macro="" textlink="">
      <xdr:nvSpPr>
        <xdr:cNvPr id="29" name="CuadroTexto 28">
          <a:extLst>
            <a:ext uri="{FF2B5EF4-FFF2-40B4-BE49-F238E27FC236}">
              <a16:creationId xmlns:a16="http://schemas.microsoft.com/office/drawing/2014/main" id="{00000000-0008-0000-2600-00001D000000}"/>
            </a:ext>
          </a:extLst>
        </xdr:cNvPr>
        <xdr:cNvSpPr txBox="1"/>
      </xdr:nvSpPr>
      <xdr:spPr>
        <a:xfrm>
          <a:off x="0" y="166688"/>
          <a:ext cx="5998054" cy="374141"/>
        </a:xfrm>
        <a:prstGeom prst="rect">
          <a:avLst/>
        </a:prstGeom>
        <a:noFill/>
      </xdr:spPr>
      <xdr:txBody>
        <a:bodyPr wrap="square" rtlCol="0">
          <a:spAutoFit/>
        </a:bodyPr>
        <a:lstStyle>
          <a:defPPr>
            <a:defRPr lang="es-A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457200">
            <a:defRPr/>
          </a:pPr>
          <a:r>
            <a:rPr lang="es-AR">
              <a:latin typeface="Calibri" panose="020F0502020204030204"/>
            </a:rPr>
            <a:t>Semáforo de Economías Regionales</a:t>
          </a:r>
          <a:r>
            <a:rPr lang="es-AR" sz="1200">
              <a:latin typeface="Calibri" panose="020F0502020204030204"/>
            </a:rPr>
            <a:t> </a:t>
          </a:r>
          <a:endParaRPr lang="es-AR">
            <a:latin typeface="Calibri" panose="020F0502020204030204"/>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31</xdr:col>
      <xdr:colOff>403225</xdr:colOff>
      <xdr:row>9</xdr:row>
      <xdr:rowOff>38100</xdr:rowOff>
    </xdr:from>
    <xdr:to>
      <xdr:col>35</xdr:col>
      <xdr:colOff>576175</xdr:colOff>
      <xdr:row>25</xdr:row>
      <xdr:rowOff>101600</xdr:rowOff>
    </xdr:to>
    <xdr:grpSp>
      <xdr:nvGrpSpPr>
        <xdr:cNvPr id="8" name="7 Grupo">
          <a:extLst>
            <a:ext uri="{FF2B5EF4-FFF2-40B4-BE49-F238E27FC236}">
              <a16:creationId xmlns:a16="http://schemas.microsoft.com/office/drawing/2014/main" id="{00000000-0008-0000-2B00-000008000000}"/>
            </a:ext>
          </a:extLst>
        </xdr:cNvPr>
        <xdr:cNvGrpSpPr/>
      </xdr:nvGrpSpPr>
      <xdr:grpSpPr>
        <a:xfrm>
          <a:off x="15897225" y="2293620"/>
          <a:ext cx="3342870" cy="2827020"/>
          <a:chOff x="6096000" y="438371"/>
          <a:chExt cx="3240000" cy="3306454"/>
        </a:xfrm>
      </xdr:grpSpPr>
      <xdr:graphicFrame macro="">
        <xdr:nvGraphicFramePr>
          <xdr:cNvPr id="9" name="8 Gráfico">
            <a:extLst>
              <a:ext uri="{FF2B5EF4-FFF2-40B4-BE49-F238E27FC236}">
                <a16:creationId xmlns:a16="http://schemas.microsoft.com/office/drawing/2014/main" id="{00000000-0008-0000-2B00-000009000000}"/>
              </a:ext>
            </a:extLst>
          </xdr:cNvPr>
          <xdr:cNvGraphicFramePr>
            <a:graphicFrameLocks/>
          </xdr:cNvGraphicFramePr>
        </xdr:nvGraphicFramePr>
        <xdr:xfrm>
          <a:off x="6096000" y="504825"/>
          <a:ext cx="3240000" cy="32400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9 CuadroTexto">
            <a:extLst>
              <a:ext uri="{FF2B5EF4-FFF2-40B4-BE49-F238E27FC236}">
                <a16:creationId xmlns:a16="http://schemas.microsoft.com/office/drawing/2014/main" id="{00000000-0008-0000-2B00-00000A000000}"/>
              </a:ext>
            </a:extLst>
          </xdr:cNvPr>
          <xdr:cNvSpPr txBox="1"/>
        </xdr:nvSpPr>
        <xdr:spPr>
          <a:xfrm>
            <a:off x="6400800" y="438371"/>
            <a:ext cx="2838450" cy="557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s-AR" sz="1000" i="1"/>
              <a:t>ene-2016=100 en pesos corrientes</a:t>
            </a:r>
          </a:p>
        </xdr:txBody>
      </xdr:sp>
    </xdr:grpSp>
    <xdr:clientData/>
  </xdr:twoCellAnchor>
  <xdr:twoCellAnchor>
    <xdr:from>
      <xdr:col>22</xdr:col>
      <xdr:colOff>393699</xdr:colOff>
      <xdr:row>9</xdr:row>
      <xdr:rowOff>47626</xdr:rowOff>
    </xdr:from>
    <xdr:to>
      <xdr:col>31</xdr:col>
      <xdr:colOff>285750</xdr:colOff>
      <xdr:row>26</xdr:row>
      <xdr:rowOff>47625</xdr:rowOff>
    </xdr:to>
    <xdr:graphicFrame macro="">
      <xdr:nvGraphicFramePr>
        <xdr:cNvPr id="2" name="Gráfico 1">
          <a:extLst>
            <a:ext uri="{FF2B5EF4-FFF2-40B4-BE49-F238E27FC236}">
              <a16:creationId xmlns:a16="http://schemas.microsoft.com/office/drawing/2014/main" id="{00000000-0008-0000-2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485775</xdr:colOff>
      <xdr:row>11</xdr:row>
      <xdr:rowOff>34925</xdr:rowOff>
    </xdr:from>
    <xdr:to>
      <xdr:col>26</xdr:col>
      <xdr:colOff>462520</xdr:colOff>
      <xdr:row>12</xdr:row>
      <xdr:rowOff>97458</xdr:rowOff>
    </xdr:to>
    <xdr:sp macro="" textlink="">
      <xdr:nvSpPr>
        <xdr:cNvPr id="12" name="9 CuadroTexto">
          <a:extLst>
            <a:ext uri="{FF2B5EF4-FFF2-40B4-BE49-F238E27FC236}">
              <a16:creationId xmlns:a16="http://schemas.microsoft.com/office/drawing/2014/main" id="{00000000-0008-0000-2B00-00000C000000}"/>
            </a:ext>
          </a:extLst>
        </xdr:cNvPr>
        <xdr:cNvSpPr txBox="1"/>
      </xdr:nvSpPr>
      <xdr:spPr>
        <a:xfrm>
          <a:off x="8839200" y="2139950"/>
          <a:ext cx="2796145" cy="224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s-AR" sz="1000" i="1"/>
            <a:t>Indice ene-2016=100</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7</xdr:col>
      <xdr:colOff>165100</xdr:colOff>
      <xdr:row>6</xdr:row>
      <xdr:rowOff>38100</xdr:rowOff>
    </xdr:from>
    <xdr:to>
      <xdr:col>13</xdr:col>
      <xdr:colOff>357100</xdr:colOff>
      <xdr:row>25</xdr:row>
      <xdr:rowOff>104776</xdr:rowOff>
    </xdr:to>
    <xdr:grpSp>
      <xdr:nvGrpSpPr>
        <xdr:cNvPr id="5" name="4 Grupo">
          <a:extLst>
            <a:ext uri="{FF2B5EF4-FFF2-40B4-BE49-F238E27FC236}">
              <a16:creationId xmlns:a16="http://schemas.microsoft.com/office/drawing/2014/main" id="{00000000-0008-0000-2C00-000005000000}"/>
            </a:ext>
          </a:extLst>
        </xdr:cNvPr>
        <xdr:cNvGrpSpPr/>
      </xdr:nvGrpSpPr>
      <xdr:grpSpPr>
        <a:xfrm>
          <a:off x="4556626" y="1191126"/>
          <a:ext cx="3360316" cy="3305176"/>
          <a:chOff x="6096000" y="-260843"/>
          <a:chExt cx="3240000" cy="3910860"/>
        </a:xfrm>
      </xdr:grpSpPr>
      <xdr:graphicFrame macro="">
        <xdr:nvGraphicFramePr>
          <xdr:cNvPr id="6" name="5 Gráfico">
            <a:extLst>
              <a:ext uri="{FF2B5EF4-FFF2-40B4-BE49-F238E27FC236}">
                <a16:creationId xmlns:a16="http://schemas.microsoft.com/office/drawing/2014/main" id="{00000000-0008-0000-2C00-000006000000}"/>
              </a:ext>
            </a:extLst>
          </xdr:cNvPr>
          <xdr:cNvGraphicFramePr>
            <a:graphicFrameLocks/>
          </xdr:cNvGraphicFramePr>
        </xdr:nvGraphicFramePr>
        <xdr:xfrm>
          <a:off x="6096000" y="410016"/>
          <a:ext cx="3240000" cy="324000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6 CuadroTexto">
            <a:extLst>
              <a:ext uri="{FF2B5EF4-FFF2-40B4-BE49-F238E27FC236}">
                <a16:creationId xmlns:a16="http://schemas.microsoft.com/office/drawing/2014/main" id="{00000000-0008-0000-2C00-000007000000}"/>
              </a:ext>
            </a:extLst>
          </xdr:cNvPr>
          <xdr:cNvSpPr txBox="1"/>
        </xdr:nvSpPr>
        <xdr:spPr>
          <a:xfrm>
            <a:off x="6334125" y="-260843"/>
            <a:ext cx="2838450" cy="6755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s-AR" sz="1400" i="1"/>
              <a:t>Variaciones de Precios</a:t>
            </a:r>
          </a:p>
          <a:p>
            <a:pPr algn="l"/>
            <a:r>
              <a:rPr lang="es-AR" sz="1100" i="1"/>
              <a:t>ene-2019=100, </a:t>
            </a:r>
            <a:r>
              <a:rPr lang="es-AR" sz="900" i="1"/>
              <a:t>en pesos constantes</a:t>
            </a:r>
          </a:p>
        </xdr:txBody>
      </xdr:sp>
    </xdr:grpSp>
    <xdr:clientData/>
  </xdr:twoCellAnchor>
  <xdr:twoCellAnchor editAs="absolute">
    <xdr:from>
      <xdr:col>1</xdr:col>
      <xdr:colOff>66675</xdr:colOff>
      <xdr:row>6</xdr:row>
      <xdr:rowOff>57150</xdr:rowOff>
    </xdr:from>
    <xdr:to>
      <xdr:col>5</xdr:col>
      <xdr:colOff>636500</xdr:colOff>
      <xdr:row>25</xdr:row>
      <xdr:rowOff>114300</xdr:rowOff>
    </xdr:to>
    <xdr:grpSp>
      <xdr:nvGrpSpPr>
        <xdr:cNvPr id="8" name="7 Grupo">
          <a:extLst>
            <a:ext uri="{FF2B5EF4-FFF2-40B4-BE49-F238E27FC236}">
              <a16:creationId xmlns:a16="http://schemas.microsoft.com/office/drawing/2014/main" id="{00000000-0008-0000-2C00-000008000000}"/>
            </a:ext>
          </a:extLst>
        </xdr:cNvPr>
        <xdr:cNvGrpSpPr/>
      </xdr:nvGrpSpPr>
      <xdr:grpSpPr>
        <a:xfrm>
          <a:off x="277228" y="1210176"/>
          <a:ext cx="3266904" cy="3295650"/>
          <a:chOff x="6096000" y="-154183"/>
          <a:chExt cx="3240000" cy="3899008"/>
        </a:xfrm>
      </xdr:grpSpPr>
      <xdr:graphicFrame macro="">
        <xdr:nvGraphicFramePr>
          <xdr:cNvPr id="9" name="8 Gráfico">
            <a:extLst>
              <a:ext uri="{FF2B5EF4-FFF2-40B4-BE49-F238E27FC236}">
                <a16:creationId xmlns:a16="http://schemas.microsoft.com/office/drawing/2014/main" id="{00000000-0008-0000-2C00-000009000000}"/>
              </a:ext>
            </a:extLst>
          </xdr:cNvPr>
          <xdr:cNvGraphicFramePr>
            <a:graphicFrameLocks/>
          </xdr:cNvGraphicFramePr>
        </xdr:nvGraphicFramePr>
        <xdr:xfrm>
          <a:off x="6096000" y="504825"/>
          <a:ext cx="3240000" cy="32400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0" name="9 CuadroTexto">
            <a:extLst>
              <a:ext uri="{FF2B5EF4-FFF2-40B4-BE49-F238E27FC236}">
                <a16:creationId xmlns:a16="http://schemas.microsoft.com/office/drawing/2014/main" id="{00000000-0008-0000-2C00-00000A000000}"/>
              </a:ext>
            </a:extLst>
          </xdr:cNvPr>
          <xdr:cNvSpPr txBox="1"/>
        </xdr:nvSpPr>
        <xdr:spPr>
          <a:xfrm>
            <a:off x="6105525" y="-154183"/>
            <a:ext cx="2838450" cy="616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s-AR" sz="1400" i="1"/>
              <a:t>Brecha</a:t>
            </a:r>
          </a:p>
          <a:p>
            <a:pPr algn="l"/>
            <a:r>
              <a:rPr lang="es-AR" sz="1050" i="1"/>
              <a:t>Entre Productor y Consumidor</a:t>
            </a:r>
          </a:p>
        </xdr:txBody>
      </xdr:sp>
    </xdr:grpSp>
    <xdr:clientData/>
  </xdr:twoCellAnchor>
  <xdr:twoCellAnchor editAs="oneCell">
    <xdr:from>
      <xdr:col>15</xdr:col>
      <xdr:colOff>9524</xdr:colOff>
      <xdr:row>1</xdr:row>
      <xdr:rowOff>76201</xdr:rowOff>
    </xdr:from>
    <xdr:to>
      <xdr:col>16</xdr:col>
      <xdr:colOff>85630</xdr:colOff>
      <xdr:row>2</xdr:row>
      <xdr:rowOff>8146</xdr:rowOff>
    </xdr:to>
    <xdr:pic>
      <xdr:nvPicPr>
        <xdr:cNvPr id="12" name="Picture 2" descr="Resultado de imagen para coninagro">
          <a:extLst>
            <a:ext uri="{FF2B5EF4-FFF2-40B4-BE49-F238E27FC236}">
              <a16:creationId xmlns:a16="http://schemas.microsoft.com/office/drawing/2014/main" id="{00000000-0008-0000-2C00-00000C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67724" y="276226"/>
          <a:ext cx="790481" cy="170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ZamanilloL\Downloads\CONI_tablero_indicadores%20v14%202.xlsx" TargetMode="External"/><Relationship Id="rId1" Type="http://schemas.openxmlformats.org/officeDocument/2006/relationships/externalLinkPath" Target="file:///C:\Users\ZamanilloL\Downloads\CONI_tablero_indicadores%20v14%202.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NTA%20-%20Salarios/Base%20de%20datos%20-%20Salarios%20(CNTA).xlsx" TargetMode="External"/><Relationship Id="rId2" Type="http://schemas.openxmlformats.org/officeDocument/2006/relationships/externalLinkPath" Target="file:///G:\.shortcut-targets-by-id\1laBV5PcRVSTqdljE4mnzKIjxgnIwCaqt\CONINAGRO%20-%20Area%20tecnica\CNTA%20-%20Salarios\Base%20de%20datos%20-%20Salarios%20(CNTA).xlsx" TargetMode="External"/><Relationship Id="rId1" Type="http://schemas.openxmlformats.org/officeDocument/2006/relationships/externalLinkPath" Target="/.shortcut-targets-by-id/1laBV5PcRVSTqdljE4mnzKIjxgnIwCaqt/CONINAGRO%20-%20Area%20tecnica/CNTA%20-%20Salarios/Base%20de%20datos%20-%20Salarios%20(CN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a"/>
      <sheetName val="Comex"/>
      <sheetName val="PP"/>
      <sheetName val="datos"/>
      <sheetName val="historia"/>
      <sheetName val="Nota"/>
      <sheetName val="Abr26"/>
      <sheetName val="Mar26"/>
      <sheetName val="Feb26"/>
      <sheetName val="Ene26"/>
      <sheetName val="Dic25"/>
      <sheetName val="Nov25"/>
      <sheetName val="Oct25"/>
      <sheetName val="Sep25"/>
      <sheetName val="Ago25"/>
      <sheetName val="Jul25"/>
      <sheetName val="Jun25"/>
      <sheetName val="May25"/>
      <sheetName val="Abr25"/>
      <sheetName val="Mar25"/>
      <sheetName val="Feb25"/>
      <sheetName val="Ene25"/>
      <sheetName val="Dic24"/>
      <sheetName val="Nov24"/>
      <sheetName val="Oct24"/>
      <sheetName val="Sep24"/>
      <sheetName val="Ago24"/>
      <sheetName val="Jul24"/>
      <sheetName val="Jun24"/>
      <sheetName val="May24"/>
      <sheetName val="Abr24"/>
      <sheetName val="Mar24"/>
      <sheetName val="Feb24"/>
      <sheetName val="Ene24"/>
      <sheetName val="Dic23"/>
      <sheetName val="Nov23"/>
      <sheetName val="listas"/>
      <sheetName val="pond CM"/>
      <sheetName val="costos"/>
      <sheetName val="comercio"/>
      <sheetName val="precio-costo"/>
      <sheetName val="prod-cons"/>
    </sheetNames>
    <sheetDataSet>
      <sheetData sheetId="0" refreshError="1"/>
      <sheetData sheetId="1" refreshError="1"/>
      <sheetData sheetId="2" refreshError="1"/>
      <sheetData sheetId="3">
        <row r="1">
          <cell r="A1" t="str">
            <v>ran_dat</v>
          </cell>
          <cell r="B1" t="str">
            <v>Columna</v>
          </cell>
          <cell r="D1">
            <v>4</v>
          </cell>
          <cell r="E1">
            <v>5</v>
          </cell>
          <cell r="F1">
            <v>6</v>
          </cell>
          <cell r="G1">
            <v>7</v>
          </cell>
          <cell r="H1">
            <v>8</v>
          </cell>
          <cell r="I1">
            <v>9</v>
          </cell>
          <cell r="J1">
            <v>10</v>
          </cell>
          <cell r="K1">
            <v>11</v>
          </cell>
          <cell r="L1">
            <v>12</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cell r="CC1">
            <v>81</v>
          </cell>
          <cell r="CD1">
            <v>82</v>
          </cell>
          <cell r="CE1">
            <v>83</v>
          </cell>
          <cell r="CF1">
            <v>84</v>
          </cell>
          <cell r="CG1">
            <v>85</v>
          </cell>
          <cell r="CH1">
            <v>86</v>
          </cell>
          <cell r="CI1">
            <v>87</v>
          </cell>
          <cell r="CJ1">
            <v>88</v>
          </cell>
          <cell r="CK1">
            <v>89</v>
          </cell>
          <cell r="CL1">
            <v>90</v>
          </cell>
          <cell r="CM1">
            <v>91</v>
          </cell>
          <cell r="CN1">
            <v>92</v>
          </cell>
          <cell r="CO1">
            <v>93</v>
          </cell>
          <cell r="CP1">
            <v>94</v>
          </cell>
          <cell r="CQ1">
            <v>95</v>
          </cell>
          <cell r="CR1">
            <v>96</v>
          </cell>
          <cell r="CS1">
            <v>97</v>
          </cell>
          <cell r="CT1">
            <v>98</v>
          </cell>
          <cell r="CU1">
            <v>99</v>
          </cell>
          <cell r="CV1">
            <v>100</v>
          </cell>
          <cell r="CW1">
            <v>101</v>
          </cell>
          <cell r="CX1">
            <v>102</v>
          </cell>
          <cell r="CY1">
            <v>103</v>
          </cell>
          <cell r="CZ1">
            <v>104</v>
          </cell>
          <cell r="DA1">
            <v>105</v>
          </cell>
          <cell r="DB1">
            <v>106</v>
          </cell>
          <cell r="DC1">
            <v>107</v>
          </cell>
          <cell r="DD1">
            <v>108</v>
          </cell>
          <cell r="DE1">
            <v>109</v>
          </cell>
          <cell r="DF1">
            <v>110</v>
          </cell>
          <cell r="DG1">
            <v>111</v>
          </cell>
          <cell r="DH1">
            <v>112</v>
          </cell>
          <cell r="DI1">
            <v>113</v>
          </cell>
          <cell r="DK1">
            <v>115</v>
          </cell>
          <cell r="DL1">
            <v>116</v>
          </cell>
          <cell r="DM1">
            <v>117</v>
          </cell>
          <cell r="DN1">
            <v>118</v>
          </cell>
          <cell r="DO1">
            <v>119</v>
          </cell>
          <cell r="DP1">
            <v>120</v>
          </cell>
          <cell r="DQ1">
            <v>121</v>
          </cell>
          <cell r="DR1">
            <v>122</v>
          </cell>
          <cell r="DS1">
            <v>123</v>
          </cell>
          <cell r="DT1">
            <v>124</v>
          </cell>
          <cell r="DU1">
            <v>125</v>
          </cell>
          <cell r="DV1">
            <v>126</v>
          </cell>
          <cell r="DW1">
            <v>127</v>
          </cell>
          <cell r="DX1">
            <v>128</v>
          </cell>
          <cell r="DY1">
            <v>129</v>
          </cell>
          <cell r="DZ1">
            <v>130</v>
          </cell>
          <cell r="EA1">
            <v>131</v>
          </cell>
          <cell r="EB1">
            <v>132</v>
          </cell>
          <cell r="EC1">
            <v>133</v>
          </cell>
          <cell r="ED1">
            <v>134</v>
          </cell>
          <cell r="EE1">
            <v>135</v>
          </cell>
          <cell r="EF1">
            <v>136</v>
          </cell>
          <cell r="EG1">
            <v>137</v>
          </cell>
          <cell r="EH1">
            <v>138</v>
          </cell>
          <cell r="EI1">
            <v>139</v>
          </cell>
          <cell r="EJ1">
            <v>140</v>
          </cell>
          <cell r="EK1">
            <v>141</v>
          </cell>
          <cell r="EL1">
            <v>142</v>
          </cell>
          <cell r="EM1">
            <v>143</v>
          </cell>
          <cell r="EN1">
            <v>144</v>
          </cell>
          <cell r="EO1">
            <v>145</v>
          </cell>
          <cell r="EP1">
            <v>146</v>
          </cell>
          <cell r="EQ1">
            <v>147</v>
          </cell>
          <cell r="ER1">
            <v>148</v>
          </cell>
          <cell r="ES1">
            <v>149</v>
          </cell>
          <cell r="ET1">
            <v>150</v>
          </cell>
          <cell r="EU1">
            <v>151</v>
          </cell>
          <cell r="EV1">
            <v>152</v>
          </cell>
          <cell r="EW1">
            <v>153</v>
          </cell>
          <cell r="EX1">
            <v>154</v>
          </cell>
          <cell r="EY1">
            <v>155</v>
          </cell>
          <cell r="EZ1">
            <v>156</v>
          </cell>
          <cell r="FA1">
            <v>157</v>
          </cell>
          <cell r="FB1">
            <v>158</v>
          </cell>
          <cell r="FC1">
            <v>159</v>
          </cell>
          <cell r="FD1">
            <v>160</v>
          </cell>
          <cell r="FF1">
            <v>162</v>
          </cell>
          <cell r="FG1">
            <v>163</v>
          </cell>
          <cell r="FH1">
            <v>164</v>
          </cell>
          <cell r="FI1">
            <v>165</v>
          </cell>
          <cell r="FJ1">
            <v>166</v>
          </cell>
          <cell r="FK1">
            <v>167</v>
          </cell>
          <cell r="FL1">
            <v>168</v>
          </cell>
          <cell r="FM1">
            <v>169</v>
          </cell>
          <cell r="FN1">
            <v>170</v>
          </cell>
          <cell r="FO1">
            <v>171</v>
          </cell>
          <cell r="FP1">
            <v>172</v>
          </cell>
          <cell r="FQ1">
            <v>173</v>
          </cell>
          <cell r="FR1">
            <v>174</v>
          </cell>
          <cell r="FS1">
            <v>175</v>
          </cell>
          <cell r="FT1">
            <v>176</v>
          </cell>
          <cell r="FU1">
            <v>177</v>
          </cell>
          <cell r="FV1">
            <v>178</v>
          </cell>
          <cell r="FW1">
            <v>179</v>
          </cell>
          <cell r="FX1">
            <v>180</v>
          </cell>
          <cell r="FY1">
            <v>181</v>
          </cell>
          <cell r="FZ1">
            <v>182</v>
          </cell>
          <cell r="GA1">
            <v>183</v>
          </cell>
          <cell r="GB1">
            <v>184</v>
          </cell>
          <cell r="GC1">
            <v>185</v>
          </cell>
          <cell r="GD1">
            <v>186</v>
          </cell>
          <cell r="GE1">
            <v>187</v>
          </cell>
          <cell r="GF1">
            <v>188</v>
          </cell>
          <cell r="GG1">
            <v>189</v>
          </cell>
          <cell r="GH1">
            <v>190</v>
          </cell>
          <cell r="GI1">
            <v>191</v>
          </cell>
          <cell r="GJ1">
            <v>192</v>
          </cell>
          <cell r="GK1">
            <v>193</v>
          </cell>
          <cell r="GL1">
            <v>194</v>
          </cell>
          <cell r="GM1">
            <v>195</v>
          </cell>
          <cell r="GN1">
            <v>196</v>
          </cell>
          <cell r="GO1">
            <v>197</v>
          </cell>
          <cell r="GP1">
            <v>198</v>
          </cell>
          <cell r="GQ1">
            <v>199</v>
          </cell>
          <cell r="GR1">
            <v>200</v>
          </cell>
          <cell r="GS1">
            <v>201</v>
          </cell>
          <cell r="GT1">
            <v>202</v>
          </cell>
          <cell r="GU1">
            <v>203</v>
          </cell>
          <cell r="GV1">
            <v>204</v>
          </cell>
          <cell r="GW1">
            <v>205</v>
          </cell>
          <cell r="GX1">
            <v>206</v>
          </cell>
          <cell r="GY1">
            <v>207</v>
          </cell>
          <cell r="GZ1">
            <v>208</v>
          </cell>
          <cell r="HA1">
            <v>209</v>
          </cell>
          <cell r="HB1">
            <v>210</v>
          </cell>
          <cell r="HC1">
            <v>211</v>
          </cell>
          <cell r="HD1">
            <v>212</v>
          </cell>
          <cell r="HE1">
            <v>213</v>
          </cell>
          <cell r="HF1">
            <v>214</v>
          </cell>
          <cell r="HG1">
            <v>215</v>
          </cell>
          <cell r="HH1">
            <v>216</v>
          </cell>
          <cell r="HI1">
            <v>217</v>
          </cell>
          <cell r="HJ1">
            <v>218</v>
          </cell>
          <cell r="HK1">
            <v>219</v>
          </cell>
          <cell r="HL1">
            <v>220</v>
          </cell>
          <cell r="HM1">
            <v>221</v>
          </cell>
          <cell r="HN1">
            <v>222</v>
          </cell>
          <cell r="HO1">
            <v>223</v>
          </cell>
          <cell r="HP1">
            <v>224</v>
          </cell>
          <cell r="HQ1">
            <v>225</v>
          </cell>
          <cell r="HS1">
            <v>227</v>
          </cell>
          <cell r="HT1">
            <v>228</v>
          </cell>
          <cell r="HU1">
            <v>229</v>
          </cell>
          <cell r="HV1">
            <v>230</v>
          </cell>
          <cell r="HW1">
            <v>231</v>
          </cell>
          <cell r="HX1">
            <v>232</v>
          </cell>
          <cell r="HY1">
            <v>233</v>
          </cell>
          <cell r="HZ1">
            <v>234</v>
          </cell>
          <cell r="IA1">
            <v>235</v>
          </cell>
          <cell r="IB1">
            <v>236</v>
          </cell>
          <cell r="IC1">
            <v>237</v>
          </cell>
          <cell r="ID1">
            <v>238</v>
          </cell>
          <cell r="IE1">
            <v>239</v>
          </cell>
          <cell r="IF1">
            <v>240</v>
          </cell>
          <cell r="IG1">
            <v>241</v>
          </cell>
          <cell r="IH1">
            <v>242</v>
          </cell>
          <cell r="II1">
            <v>243</v>
          </cell>
          <cell r="IJ1">
            <v>244</v>
          </cell>
          <cell r="IK1">
            <v>245</v>
          </cell>
          <cell r="IL1">
            <v>246</v>
          </cell>
          <cell r="IM1">
            <v>247</v>
          </cell>
          <cell r="IN1">
            <v>248</v>
          </cell>
          <cell r="IO1">
            <v>249</v>
          </cell>
          <cell r="IP1">
            <v>250</v>
          </cell>
          <cell r="IQ1">
            <v>251</v>
          </cell>
          <cell r="IR1">
            <v>252</v>
          </cell>
          <cell r="IS1">
            <v>253</v>
          </cell>
          <cell r="IT1">
            <v>254</v>
          </cell>
          <cell r="IU1">
            <v>255</v>
          </cell>
          <cell r="IV1">
            <v>256</v>
          </cell>
          <cell r="IW1">
            <v>257</v>
          </cell>
          <cell r="IX1">
            <v>258</v>
          </cell>
          <cell r="IY1">
            <v>259</v>
          </cell>
          <cell r="IZ1">
            <v>260</v>
          </cell>
          <cell r="JA1">
            <v>261</v>
          </cell>
          <cell r="JB1">
            <v>262</v>
          </cell>
          <cell r="JC1">
            <v>263</v>
          </cell>
          <cell r="JD1">
            <v>264</v>
          </cell>
          <cell r="JF1">
            <v>266</v>
          </cell>
          <cell r="JG1">
            <v>267</v>
          </cell>
          <cell r="JH1">
            <v>268</v>
          </cell>
          <cell r="JI1">
            <v>269</v>
          </cell>
          <cell r="JJ1">
            <v>270</v>
          </cell>
          <cell r="JK1">
            <v>271</v>
          </cell>
          <cell r="JL1">
            <v>272</v>
          </cell>
          <cell r="JM1">
            <v>273</v>
          </cell>
          <cell r="JN1">
            <v>274</v>
          </cell>
          <cell r="JO1">
            <v>275</v>
          </cell>
          <cell r="JP1">
            <v>276</v>
          </cell>
          <cell r="JQ1">
            <v>277</v>
          </cell>
          <cell r="JR1">
            <v>278</v>
          </cell>
          <cell r="JS1">
            <v>279</v>
          </cell>
          <cell r="JT1">
            <v>280</v>
          </cell>
          <cell r="JU1">
            <v>281</v>
          </cell>
          <cell r="JV1">
            <v>282</v>
          </cell>
          <cell r="JW1">
            <v>283</v>
          </cell>
          <cell r="JX1">
            <v>284</v>
          </cell>
          <cell r="JY1">
            <v>285</v>
          </cell>
          <cell r="JZ1">
            <v>286</v>
          </cell>
          <cell r="KA1">
            <v>287</v>
          </cell>
          <cell r="KB1">
            <v>288</v>
          </cell>
          <cell r="KC1">
            <v>289</v>
          </cell>
          <cell r="KD1">
            <v>290</v>
          </cell>
          <cell r="KE1">
            <v>291</v>
          </cell>
          <cell r="KF1">
            <v>292</v>
          </cell>
          <cell r="KG1">
            <v>293</v>
          </cell>
          <cell r="KH1">
            <v>294</v>
          </cell>
          <cell r="KI1">
            <v>295</v>
          </cell>
          <cell r="KJ1">
            <v>296</v>
          </cell>
          <cell r="KK1">
            <v>297</v>
          </cell>
          <cell r="KL1">
            <v>298</v>
          </cell>
          <cell r="KM1">
            <v>299</v>
          </cell>
          <cell r="KN1">
            <v>300</v>
          </cell>
          <cell r="KO1">
            <v>301</v>
          </cell>
          <cell r="KP1">
            <v>302</v>
          </cell>
          <cell r="KQ1">
            <v>303</v>
          </cell>
          <cell r="KR1">
            <v>304</v>
          </cell>
          <cell r="KS1">
            <v>305</v>
          </cell>
          <cell r="KT1">
            <v>306</v>
          </cell>
          <cell r="KU1">
            <v>307</v>
          </cell>
          <cell r="KV1">
            <v>308</v>
          </cell>
          <cell r="KW1">
            <v>309</v>
          </cell>
          <cell r="KX1">
            <v>310</v>
          </cell>
          <cell r="KY1">
            <v>311</v>
          </cell>
          <cell r="KZ1">
            <v>312</v>
          </cell>
          <cell r="LA1">
            <v>313</v>
          </cell>
          <cell r="LB1">
            <v>314</v>
          </cell>
          <cell r="LC1">
            <v>315</v>
          </cell>
          <cell r="LD1">
            <v>316</v>
          </cell>
          <cell r="LE1">
            <v>317</v>
          </cell>
          <cell r="LF1">
            <v>318</v>
          </cell>
          <cell r="LG1">
            <v>319</v>
          </cell>
          <cell r="LH1">
            <v>320</v>
          </cell>
          <cell r="LI1">
            <v>321</v>
          </cell>
          <cell r="LJ1">
            <v>322</v>
          </cell>
          <cell r="LK1">
            <v>323</v>
          </cell>
          <cell r="LL1">
            <v>324</v>
          </cell>
          <cell r="LM1">
            <v>325</v>
          </cell>
          <cell r="LN1">
            <v>326</v>
          </cell>
          <cell r="LO1">
            <v>327</v>
          </cell>
          <cell r="LP1">
            <v>328</v>
          </cell>
          <cell r="LQ1">
            <v>329</v>
          </cell>
          <cell r="LR1">
            <v>330</v>
          </cell>
          <cell r="LS1">
            <v>331</v>
          </cell>
          <cell r="LT1">
            <v>332</v>
          </cell>
          <cell r="LU1">
            <v>333</v>
          </cell>
          <cell r="LV1">
            <v>334</v>
          </cell>
          <cell r="LW1">
            <v>335</v>
          </cell>
          <cell r="LX1">
            <v>336</v>
          </cell>
          <cell r="LZ1">
            <v>338</v>
          </cell>
          <cell r="MA1">
            <v>339</v>
          </cell>
          <cell r="MB1">
            <v>340</v>
          </cell>
          <cell r="MC1">
            <v>341</v>
          </cell>
          <cell r="MD1">
            <v>342</v>
          </cell>
          <cell r="ME1">
            <v>343</v>
          </cell>
          <cell r="MF1">
            <v>344</v>
          </cell>
          <cell r="MG1">
            <v>345</v>
          </cell>
          <cell r="MH1">
            <v>346</v>
          </cell>
          <cell r="MI1">
            <v>347</v>
          </cell>
          <cell r="MJ1">
            <v>348</v>
          </cell>
          <cell r="MK1">
            <v>349</v>
          </cell>
          <cell r="ML1">
            <v>350</v>
          </cell>
          <cell r="MM1">
            <v>351</v>
          </cell>
          <cell r="MN1">
            <v>352</v>
          </cell>
          <cell r="MO1">
            <v>353</v>
          </cell>
          <cell r="MP1">
            <v>354</v>
          </cell>
          <cell r="MQ1">
            <v>355</v>
          </cell>
          <cell r="MR1">
            <v>356</v>
          </cell>
          <cell r="MS1">
            <v>357</v>
          </cell>
          <cell r="MT1">
            <v>358</v>
          </cell>
          <cell r="MU1">
            <v>359</v>
          </cell>
          <cell r="MV1">
            <v>360</v>
          </cell>
          <cell r="MW1">
            <v>361</v>
          </cell>
          <cell r="MX1">
            <v>362</v>
          </cell>
          <cell r="MY1">
            <v>363</v>
          </cell>
          <cell r="MZ1">
            <v>364</v>
          </cell>
          <cell r="NA1">
            <v>365</v>
          </cell>
          <cell r="NB1">
            <v>366</v>
          </cell>
          <cell r="NC1">
            <v>367</v>
          </cell>
          <cell r="ND1">
            <v>368</v>
          </cell>
          <cell r="NE1">
            <v>369</v>
          </cell>
        </row>
        <row r="2">
          <cell r="F2" t="str">
            <v>Generales</v>
          </cell>
          <cell r="N2" t="str">
            <v>Productos</v>
          </cell>
          <cell r="BY2" t="str">
            <v>Actividad</v>
          </cell>
          <cell r="DK2" t="str">
            <v>Actividad</v>
          </cell>
          <cell r="FF2" t="str">
            <v>Actividad</v>
          </cell>
          <cell r="IJ2">
            <v>46387098</v>
          </cell>
          <cell r="IP2">
            <v>46387098</v>
          </cell>
        </row>
        <row r="3">
          <cell r="A3" t="str">
            <v>Dato</v>
          </cell>
          <cell r="F3" t="str">
            <v>Economía</v>
          </cell>
          <cell r="G3" t="str">
            <v>Economía</v>
          </cell>
          <cell r="H3" t="str">
            <v>Costos</v>
          </cell>
          <cell r="I3" t="str">
            <v>Costos</v>
          </cell>
          <cell r="J3" t="str">
            <v>Costos</v>
          </cell>
          <cell r="K3" t="str">
            <v>Costos</v>
          </cell>
          <cell r="L3" t="str">
            <v>Costos</v>
          </cell>
          <cell r="N3" t="str">
            <v>Precio</v>
          </cell>
          <cell r="O3" t="str">
            <v>Precio</v>
          </cell>
          <cell r="P3" t="str">
            <v>Precio</v>
          </cell>
          <cell r="Q3" t="str">
            <v>Precio</v>
          </cell>
          <cell r="R3" t="str">
            <v>Precio</v>
          </cell>
          <cell r="S3" t="str">
            <v>Precio</v>
          </cell>
          <cell r="T3" t="str">
            <v>Precio</v>
          </cell>
          <cell r="U3" t="str">
            <v>Precio</v>
          </cell>
          <cell r="V3" t="str">
            <v>Precio</v>
          </cell>
          <cell r="W3" t="str">
            <v>Precio</v>
          </cell>
          <cell r="X3" t="str">
            <v>Precio</v>
          </cell>
          <cell r="AE3" t="str">
            <v>Precio</v>
          </cell>
          <cell r="AF3" t="str">
            <v>Precio</v>
          </cell>
          <cell r="AG3" t="str">
            <v>Precio</v>
          </cell>
          <cell r="AH3" t="str">
            <v>Precio</v>
          </cell>
          <cell r="AI3" t="str">
            <v>Precio</v>
          </cell>
          <cell r="AJ3" t="str">
            <v>Precio</v>
          </cell>
          <cell r="AK3" t="str">
            <v>Precio</v>
          </cell>
          <cell r="AL3" t="str">
            <v>Precio</v>
          </cell>
          <cell r="AM3" t="str">
            <v>Precio</v>
          </cell>
          <cell r="AN3" t="str">
            <v>Precio</v>
          </cell>
          <cell r="AO3" t="str">
            <v>Precio</v>
          </cell>
          <cell r="AP3" t="str">
            <v>Precio</v>
          </cell>
          <cell r="AQ3" t="str">
            <v>Precio</v>
          </cell>
          <cell r="AR3" t="str">
            <v>Precio</v>
          </cell>
          <cell r="AS3" t="str">
            <v>Precio</v>
          </cell>
          <cell r="AT3" t="str">
            <v>Precio</v>
          </cell>
          <cell r="AU3" t="str">
            <v>Precio</v>
          </cell>
          <cell r="AV3" t="str">
            <v>Precio</v>
          </cell>
          <cell r="AW3" t="str">
            <v>Precio</v>
          </cell>
          <cell r="AX3" t="str">
            <v>Precio</v>
          </cell>
          <cell r="AY3" t="str">
            <v>Precio</v>
          </cell>
          <cell r="AZ3" t="str">
            <v>Precio</v>
          </cell>
          <cell r="BA3" t="str">
            <v>Precio</v>
          </cell>
          <cell r="BB3" t="str">
            <v>Precio</v>
          </cell>
          <cell r="BC3" t="str">
            <v>Precio</v>
          </cell>
          <cell r="BD3" t="str">
            <v>Precio</v>
          </cell>
          <cell r="BE3" t="str">
            <v>Precio</v>
          </cell>
          <cell r="BF3" t="str">
            <v>Precio</v>
          </cell>
          <cell r="BG3" t="str">
            <v>Precio</v>
          </cell>
          <cell r="BH3" t="str">
            <v>Precio</v>
          </cell>
          <cell r="BI3" t="str">
            <v>Precio</v>
          </cell>
          <cell r="BJ3" t="str">
            <v>Precio</v>
          </cell>
          <cell r="BK3" t="str">
            <v>Precio</v>
          </cell>
          <cell r="BL3" t="str">
            <v>Precio</v>
          </cell>
          <cell r="BM3" t="str">
            <v>Precio</v>
          </cell>
          <cell r="BN3" t="str">
            <v>Precio</v>
          </cell>
          <cell r="BO3" t="str">
            <v>Precio</v>
          </cell>
          <cell r="BP3" t="str">
            <v>Precio</v>
          </cell>
          <cell r="BQ3" t="str">
            <v>Precio</v>
          </cell>
          <cell r="BR3" t="str">
            <v>Precio</v>
          </cell>
          <cell r="BS3" t="str">
            <v>Precio</v>
          </cell>
          <cell r="BT3" t="str">
            <v>Precio</v>
          </cell>
          <cell r="BU3" t="str">
            <v>Precio</v>
          </cell>
          <cell r="BV3" t="str">
            <v>Precio</v>
          </cell>
          <cell r="BW3" t="str">
            <v>Precio</v>
          </cell>
          <cell r="BY3" t="str">
            <v>Costo</v>
          </cell>
          <cell r="BZ3" t="str">
            <v>Costo</v>
          </cell>
          <cell r="CA3" t="str">
            <v>Costo</v>
          </cell>
          <cell r="CB3" t="str">
            <v>Costo</v>
          </cell>
          <cell r="CC3" t="str">
            <v>Costo</v>
          </cell>
          <cell r="CD3" t="str">
            <v>Costo</v>
          </cell>
          <cell r="CE3" t="str">
            <v>Costo</v>
          </cell>
          <cell r="CF3" t="str">
            <v>Costo</v>
          </cell>
          <cell r="CG3" t="str">
            <v>Costo</v>
          </cell>
          <cell r="CH3" t="str">
            <v>Costo</v>
          </cell>
          <cell r="CI3" t="str">
            <v>Costo</v>
          </cell>
          <cell r="CJ3" t="str">
            <v>Costo</v>
          </cell>
          <cell r="CK3" t="str">
            <v>Costo</v>
          </cell>
          <cell r="CL3" t="str">
            <v>Costo</v>
          </cell>
          <cell r="CM3" t="str">
            <v>Costo</v>
          </cell>
          <cell r="CN3" t="str">
            <v>Costo</v>
          </cell>
          <cell r="CO3" t="str">
            <v>Costo</v>
          </cell>
          <cell r="CP3" t="str">
            <v>Costo</v>
          </cell>
          <cell r="CQ3" t="str">
            <v>Costo</v>
          </cell>
          <cell r="CR3" t="str">
            <v>Costo</v>
          </cell>
          <cell r="CS3" t="str">
            <v>Costo</v>
          </cell>
          <cell r="CT3" t="str">
            <v>Costo</v>
          </cell>
          <cell r="CU3" t="str">
            <v>Costo</v>
          </cell>
          <cell r="CV3" t="str">
            <v>Costo</v>
          </cell>
          <cell r="CW3" t="str">
            <v>Costo</v>
          </cell>
          <cell r="CX3" t="str">
            <v>Costo</v>
          </cell>
          <cell r="CY3" t="str">
            <v>Costo</v>
          </cell>
          <cell r="CZ3" t="str">
            <v>Costo</v>
          </cell>
          <cell r="DA3" t="str">
            <v>Costo</v>
          </cell>
          <cell r="DB3" t="str">
            <v>Costo</v>
          </cell>
          <cell r="DC3" t="str">
            <v>Costo</v>
          </cell>
          <cell r="DD3" t="str">
            <v>Costo</v>
          </cell>
          <cell r="DE3" t="str">
            <v>Costo</v>
          </cell>
          <cell r="DF3" t="str">
            <v>Costo</v>
          </cell>
          <cell r="DG3" t="str">
            <v>Costo</v>
          </cell>
          <cell r="DH3" t="str">
            <v>Costo</v>
          </cell>
          <cell r="DI3" t="str">
            <v>Costo</v>
          </cell>
          <cell r="DK3" t="str">
            <v>Área/Stock</v>
          </cell>
          <cell r="DL3" t="str">
            <v>Área/Stock</v>
          </cell>
          <cell r="DM3" t="str">
            <v>Área/Stock</v>
          </cell>
          <cell r="DN3" t="str">
            <v>Área/Stock</v>
          </cell>
          <cell r="DO3" t="str">
            <v>Área/Stock</v>
          </cell>
          <cell r="DP3" t="str">
            <v>Área/Stock</v>
          </cell>
          <cell r="DQ3" t="str">
            <v>Área/Stock</v>
          </cell>
          <cell r="DR3" t="str">
            <v>Área/Stock</v>
          </cell>
          <cell r="DS3" t="str">
            <v>Área/Stock</v>
          </cell>
          <cell r="DT3" t="str">
            <v>Área/Stock</v>
          </cell>
          <cell r="DU3" t="str">
            <v>Área/Stock</v>
          </cell>
          <cell r="DV3" t="str">
            <v>Área/Stock</v>
          </cell>
          <cell r="DW3" t="str">
            <v>Área/Stock</v>
          </cell>
          <cell r="DX3" t="str">
            <v>Área/Stock</v>
          </cell>
          <cell r="DY3" t="str">
            <v>Área/Stock</v>
          </cell>
          <cell r="DZ3" t="str">
            <v>Área/Stock</v>
          </cell>
          <cell r="EA3" t="str">
            <v>Área/Stock</v>
          </cell>
          <cell r="EB3" t="str">
            <v>Área/Stock</v>
          </cell>
          <cell r="EC3" t="str">
            <v>Área/Stock</v>
          </cell>
          <cell r="ED3" t="str">
            <v>Área/Stock</v>
          </cell>
          <cell r="EE3" t="str">
            <v>Área/Stock</v>
          </cell>
          <cell r="EF3" t="str">
            <v>Área/Stock</v>
          </cell>
          <cell r="EG3" t="str">
            <v>Área/Stock</v>
          </cell>
          <cell r="EH3" t="str">
            <v>Área/Stock</v>
          </cell>
          <cell r="EI3" t="str">
            <v>Área/Stock</v>
          </cell>
          <cell r="EJ3" t="str">
            <v>Área/Stock</v>
          </cell>
          <cell r="EK3" t="str">
            <v>Área/Stock</v>
          </cell>
          <cell r="EL3" t="str">
            <v>Área/Stock</v>
          </cell>
          <cell r="EM3" t="str">
            <v>Área/Stock</v>
          </cell>
          <cell r="EN3" t="str">
            <v>Área/Stock</v>
          </cell>
          <cell r="EO3" t="str">
            <v>Área/Stock</v>
          </cell>
          <cell r="EP3" t="str">
            <v>Área/Stock</v>
          </cell>
          <cell r="EQ3" t="str">
            <v>Área/Stock</v>
          </cell>
          <cell r="ER3" t="str">
            <v>Área/Stock</v>
          </cell>
          <cell r="ES3" t="str">
            <v>Área/Stock</v>
          </cell>
          <cell r="ET3" t="str">
            <v>Área/Stock</v>
          </cell>
          <cell r="EU3" t="str">
            <v>Área/Stock</v>
          </cell>
          <cell r="EV3" t="str">
            <v>Área/Stock</v>
          </cell>
          <cell r="EW3" t="str">
            <v>Área/Stock</v>
          </cell>
          <cell r="EX3" t="str">
            <v>Área/Stock</v>
          </cell>
          <cell r="EY3" t="str">
            <v>Área/Stock</v>
          </cell>
          <cell r="EZ3" t="str">
            <v>Área/Stock</v>
          </cell>
          <cell r="FA3" t="str">
            <v>Área/Stock</v>
          </cell>
          <cell r="FB3" t="str">
            <v>Área/Stock</v>
          </cell>
          <cell r="FC3" t="str">
            <v>Área/Stock</v>
          </cell>
          <cell r="FD3" t="str">
            <v>Área/Stock</v>
          </cell>
          <cell r="FF3" t="str">
            <v>Producción</v>
          </cell>
          <cell r="FG3" t="str">
            <v>Producción</v>
          </cell>
          <cell r="FH3" t="str">
            <v>Producción</v>
          </cell>
          <cell r="FI3" t="str">
            <v>Producción</v>
          </cell>
          <cell r="FJ3" t="str">
            <v>Producción</v>
          </cell>
          <cell r="FK3" t="str">
            <v>Producción</v>
          </cell>
          <cell r="FL3" t="str">
            <v>Producción</v>
          </cell>
          <cell r="FM3" t="str">
            <v>Producción</v>
          </cell>
          <cell r="FN3" t="str">
            <v>Producción</v>
          </cell>
          <cell r="FO3" t="str">
            <v>Producción</v>
          </cell>
          <cell r="FP3" t="str">
            <v>Producción</v>
          </cell>
          <cell r="FQ3" t="str">
            <v>Producción</v>
          </cell>
          <cell r="FR3" t="str">
            <v>Producción</v>
          </cell>
          <cell r="FS3" t="str">
            <v>Producción</v>
          </cell>
          <cell r="FT3" t="str">
            <v>Producción</v>
          </cell>
          <cell r="FU3" t="str">
            <v>Producción</v>
          </cell>
          <cell r="FV3" t="str">
            <v>Producción</v>
          </cell>
          <cell r="FW3" t="str">
            <v>Producción</v>
          </cell>
          <cell r="FX3" t="str">
            <v>Producción</v>
          </cell>
          <cell r="FY3" t="str">
            <v>Producción</v>
          </cell>
          <cell r="FZ3" t="str">
            <v>Producción</v>
          </cell>
          <cell r="GA3" t="str">
            <v>Producción</v>
          </cell>
          <cell r="GB3" t="str">
            <v>Producción</v>
          </cell>
          <cell r="GC3" t="str">
            <v>Producción</v>
          </cell>
          <cell r="GD3" t="str">
            <v>Producción</v>
          </cell>
          <cell r="GE3" t="str">
            <v>Producción</v>
          </cell>
          <cell r="GF3" t="str">
            <v>Producción</v>
          </cell>
          <cell r="GG3" t="str">
            <v>Producción</v>
          </cell>
          <cell r="GH3" t="str">
            <v>Producción</v>
          </cell>
          <cell r="GI3" t="str">
            <v>Producción</v>
          </cell>
          <cell r="GJ3" t="str">
            <v>Producción</v>
          </cell>
          <cell r="GK3" t="str">
            <v>Producción</v>
          </cell>
          <cell r="GL3" t="str">
            <v>Producción</v>
          </cell>
          <cell r="GM3" t="str">
            <v>Producción</v>
          </cell>
          <cell r="GN3" t="str">
            <v>Producción</v>
          </cell>
          <cell r="GO3" t="str">
            <v>Producción</v>
          </cell>
          <cell r="GP3" t="str">
            <v>Producción</v>
          </cell>
          <cell r="GQ3" t="str">
            <v>Producción</v>
          </cell>
          <cell r="GR3" t="str">
            <v>Producción</v>
          </cell>
          <cell r="GS3" t="str">
            <v>Producción</v>
          </cell>
          <cell r="GT3" t="str">
            <v>Producción</v>
          </cell>
          <cell r="GU3" t="str">
            <v>Producción</v>
          </cell>
          <cell r="GV3" t="str">
            <v>Producción</v>
          </cell>
          <cell r="GW3" t="str">
            <v>Producción</v>
          </cell>
          <cell r="GX3" t="str">
            <v>Producción</v>
          </cell>
          <cell r="GY3" t="str">
            <v>Producción</v>
          </cell>
          <cell r="GZ3" t="str">
            <v>Producción</v>
          </cell>
          <cell r="HA3" t="str">
            <v>Producción</v>
          </cell>
          <cell r="HB3" t="str">
            <v>Producción</v>
          </cell>
          <cell r="HC3" t="str">
            <v>Producción</v>
          </cell>
          <cell r="HD3" t="str">
            <v>Producción</v>
          </cell>
          <cell r="HE3" t="str">
            <v>Producción</v>
          </cell>
          <cell r="HF3" t="str">
            <v>Producción</v>
          </cell>
          <cell r="HG3" t="str">
            <v>Producción</v>
          </cell>
          <cell r="HH3" t="str">
            <v>Producción</v>
          </cell>
          <cell r="HI3" t="str">
            <v>Producción</v>
          </cell>
          <cell r="HJ3" t="str">
            <v>Producción</v>
          </cell>
          <cell r="HK3" t="str">
            <v>Producción</v>
          </cell>
          <cell r="HL3" t="str">
            <v>Producción</v>
          </cell>
          <cell r="HM3" t="str">
            <v>Producción</v>
          </cell>
          <cell r="HN3" t="str">
            <v>Producción</v>
          </cell>
          <cell r="HO3" t="str">
            <v>Producción</v>
          </cell>
          <cell r="HP3" t="str">
            <v>Producción</v>
          </cell>
          <cell r="HQ3" t="str">
            <v>Producción</v>
          </cell>
          <cell r="HS3" t="str">
            <v>Consumo</v>
          </cell>
          <cell r="HT3" t="str">
            <v>Consumo</v>
          </cell>
          <cell r="HU3" t="str">
            <v>Consumo</v>
          </cell>
          <cell r="HV3" t="str">
            <v>Consumo</v>
          </cell>
          <cell r="HW3" t="str">
            <v>Consumo</v>
          </cell>
          <cell r="HX3" t="str">
            <v>Consumo</v>
          </cell>
          <cell r="HY3" t="str">
            <v>Consumo</v>
          </cell>
          <cell r="HZ3" t="str">
            <v>Consumo</v>
          </cell>
          <cell r="IA3" t="str">
            <v>Consumo</v>
          </cell>
          <cell r="IB3" t="str">
            <v>Consumo</v>
          </cell>
          <cell r="IC3" t="str">
            <v>Consumo</v>
          </cell>
          <cell r="ID3" t="str">
            <v>Consumo</v>
          </cell>
          <cell r="IE3" t="str">
            <v>Consumo</v>
          </cell>
          <cell r="IF3" t="str">
            <v>Consumo</v>
          </cell>
          <cell r="IG3" t="str">
            <v>Consumo</v>
          </cell>
          <cell r="IH3" t="str">
            <v>Consumo</v>
          </cell>
          <cell r="II3" t="str">
            <v>Consumo</v>
          </cell>
          <cell r="IJ3" t="str">
            <v>Consumo</v>
          </cell>
          <cell r="IK3" t="str">
            <v>Consumo</v>
          </cell>
          <cell r="IL3" t="str">
            <v>Consumo</v>
          </cell>
          <cell r="IM3" t="str">
            <v>Consumo</v>
          </cell>
          <cell r="IN3" t="str">
            <v>Consumo</v>
          </cell>
          <cell r="IO3" t="str">
            <v>Consumo</v>
          </cell>
          <cell r="IP3" t="str">
            <v>Consumo</v>
          </cell>
          <cell r="IQ3" t="str">
            <v>Consumo</v>
          </cell>
          <cell r="IR3" t="str">
            <v>Consumo</v>
          </cell>
          <cell r="IS3" t="str">
            <v>Consumo</v>
          </cell>
          <cell r="IT3" t="str">
            <v>Consumo</v>
          </cell>
          <cell r="IU3" t="str">
            <v>Consumo</v>
          </cell>
          <cell r="IV3" t="str">
            <v>Consumo</v>
          </cell>
          <cell r="IW3" t="str">
            <v>Consumo</v>
          </cell>
          <cell r="IX3" t="str">
            <v>Consumo</v>
          </cell>
          <cell r="IY3" t="str">
            <v>Consumo</v>
          </cell>
          <cell r="IZ3" t="str">
            <v>Consumo</v>
          </cell>
          <cell r="JA3" t="str">
            <v>Consumo</v>
          </cell>
          <cell r="JB3" t="str">
            <v>Consumo</v>
          </cell>
          <cell r="JC3" t="str">
            <v>Consumo</v>
          </cell>
          <cell r="JD3" t="str">
            <v>Consumo</v>
          </cell>
          <cell r="JF3" t="str">
            <v>Exportaciones</v>
          </cell>
          <cell r="JG3" t="str">
            <v>Exportaciones</v>
          </cell>
          <cell r="JH3" t="str">
            <v>Exportaciones</v>
          </cell>
          <cell r="JI3" t="str">
            <v>Exportaciones</v>
          </cell>
          <cell r="JJ3" t="str">
            <v>Exportaciones</v>
          </cell>
          <cell r="JK3" t="str">
            <v>Exportaciones</v>
          </cell>
          <cell r="JL3" t="str">
            <v>Exportaciones</v>
          </cell>
          <cell r="JM3" t="str">
            <v>Exportaciones</v>
          </cell>
          <cell r="JN3" t="str">
            <v>Exportaciones</v>
          </cell>
          <cell r="JO3" t="str">
            <v>Exportaciones</v>
          </cell>
          <cell r="JP3" t="str">
            <v>Exportaciones</v>
          </cell>
          <cell r="JQ3" t="str">
            <v>Exportaciones</v>
          </cell>
          <cell r="JR3" t="str">
            <v>Exportaciones</v>
          </cell>
          <cell r="JS3" t="str">
            <v>Exportaciones</v>
          </cell>
          <cell r="JT3" t="str">
            <v>Exportaciones</v>
          </cell>
          <cell r="JU3" t="str">
            <v>Exportaciones</v>
          </cell>
          <cell r="JV3" t="str">
            <v>Exportaciones</v>
          </cell>
          <cell r="JW3" t="str">
            <v>Exportaciones</v>
          </cell>
          <cell r="JX3" t="str">
            <v>Exportaciones</v>
          </cell>
          <cell r="JY3" t="str">
            <v>Exportaciones</v>
          </cell>
          <cell r="JZ3" t="str">
            <v>Exportaciones</v>
          </cell>
          <cell r="KA3" t="str">
            <v>Exportaciones</v>
          </cell>
          <cell r="KB3" t="str">
            <v>Exportaciones</v>
          </cell>
          <cell r="KC3" t="str">
            <v>Exportaciones</v>
          </cell>
          <cell r="KD3" t="str">
            <v>Exportaciones</v>
          </cell>
          <cell r="KE3" t="str">
            <v>Exportaciones</v>
          </cell>
          <cell r="KF3" t="str">
            <v>Exportaciones</v>
          </cell>
          <cell r="KG3" t="str">
            <v>Exportaciones</v>
          </cell>
          <cell r="KH3" t="str">
            <v>Exportaciones</v>
          </cell>
          <cell r="KI3" t="str">
            <v>Exportaciones</v>
          </cell>
          <cell r="KJ3" t="str">
            <v>Exportaciones</v>
          </cell>
          <cell r="KK3" t="str">
            <v>Importaciones</v>
          </cell>
          <cell r="KL3" t="str">
            <v>Importaciones</v>
          </cell>
          <cell r="KM3" t="str">
            <v>Importaciones</v>
          </cell>
          <cell r="KN3" t="str">
            <v>Importaciones</v>
          </cell>
          <cell r="KO3" t="str">
            <v>Importaciones</v>
          </cell>
          <cell r="KP3" t="str">
            <v>Importaciones</v>
          </cell>
          <cell r="KQ3" t="str">
            <v>Importaciones</v>
          </cell>
          <cell r="KR3" t="str">
            <v>Importaciones</v>
          </cell>
          <cell r="KS3" t="str">
            <v>Importaciones</v>
          </cell>
          <cell r="KT3" t="str">
            <v>Importaciones</v>
          </cell>
          <cell r="KU3" t="str">
            <v>Importaciones</v>
          </cell>
          <cell r="KV3" t="str">
            <v>Importaciones</v>
          </cell>
          <cell r="KW3" t="str">
            <v>Importaciones</v>
          </cell>
          <cell r="KX3" t="str">
            <v>Importaciones</v>
          </cell>
          <cell r="KY3" t="str">
            <v>Importaciones</v>
          </cell>
          <cell r="KZ3" t="str">
            <v>Importaciones</v>
          </cell>
          <cell r="LA3" t="str">
            <v>Importaciones</v>
          </cell>
          <cell r="LB3" t="str">
            <v>Importaciones</v>
          </cell>
          <cell r="LC3" t="str">
            <v>Importaciones</v>
          </cell>
          <cell r="LD3" t="str">
            <v>Importaciones</v>
          </cell>
          <cell r="LE3" t="str">
            <v>Importaciones</v>
          </cell>
          <cell r="LF3" t="str">
            <v>Importaciones</v>
          </cell>
          <cell r="LG3" t="str">
            <v>Importaciones</v>
          </cell>
          <cell r="LH3" t="str">
            <v>Importaciones</v>
          </cell>
          <cell r="LI3" t="str">
            <v>Importaciones</v>
          </cell>
          <cell r="LJ3" t="str">
            <v>Importaciones</v>
          </cell>
          <cell r="LK3" t="str">
            <v>Importaciones</v>
          </cell>
          <cell r="LL3" t="str">
            <v>Importaciones</v>
          </cell>
          <cell r="LM3" t="str">
            <v>Importaciones</v>
          </cell>
          <cell r="LN3" t="str">
            <v>Importaciones</v>
          </cell>
          <cell r="LO3" t="str">
            <v>Importaciones</v>
          </cell>
          <cell r="LQ3" t="str">
            <v>Exportaciones</v>
          </cell>
          <cell r="LR3" t="str">
            <v>Exportaciones</v>
          </cell>
          <cell r="LS3" t="str">
            <v>Exportaciones</v>
          </cell>
          <cell r="LT3" t="str">
            <v>Exportaciones</v>
          </cell>
          <cell r="LU3" t="str">
            <v>Importaciones</v>
          </cell>
          <cell r="LV3" t="str">
            <v>Importaciones</v>
          </cell>
          <cell r="LW3" t="str">
            <v>Importaciones</v>
          </cell>
          <cell r="LX3" t="str">
            <v>Importaciones</v>
          </cell>
          <cell r="LZ3" t="str">
            <v>Consumidor</v>
          </cell>
          <cell r="MA3" t="str">
            <v>Consumidor</v>
          </cell>
          <cell r="MB3" t="str">
            <v>Consumidor</v>
          </cell>
          <cell r="MC3" t="str">
            <v>Consumidor</v>
          </cell>
          <cell r="MD3" t="str">
            <v>Consumidor</v>
          </cell>
          <cell r="ME3" t="str">
            <v>Consumidor</v>
          </cell>
          <cell r="MF3" t="str">
            <v>Consumidor</v>
          </cell>
          <cell r="MG3" t="str">
            <v>Consumidor</v>
          </cell>
          <cell r="MH3" t="str">
            <v>Consumidor</v>
          </cell>
          <cell r="MI3" t="str">
            <v>Consumidor</v>
          </cell>
          <cell r="MJ3" t="str">
            <v>Consumidor</v>
          </cell>
          <cell r="MK3" t="str">
            <v>Consumidor</v>
          </cell>
          <cell r="ML3" t="str">
            <v>Consumidor</v>
          </cell>
          <cell r="MM3" t="str">
            <v>Consumidor</v>
          </cell>
          <cell r="MN3" t="str">
            <v>Consumidor</v>
          </cell>
          <cell r="MO3" t="str">
            <v>Consumidor</v>
          </cell>
          <cell r="MP3" t="str">
            <v>Consumidor</v>
          </cell>
          <cell r="MQ3" t="str">
            <v>Consumidor</v>
          </cell>
          <cell r="MR3" t="str">
            <v>Consumidor</v>
          </cell>
          <cell r="MS3" t="str">
            <v>Consumidor</v>
          </cell>
          <cell r="MT3" t="str">
            <v>Consumidor</v>
          </cell>
          <cell r="MU3" t="str">
            <v>Consumidor</v>
          </cell>
          <cell r="MV3" t="str">
            <v>Consumidor</v>
          </cell>
          <cell r="MW3" t="str">
            <v>Consumidor</v>
          </cell>
          <cell r="MX3" t="str">
            <v>Consumidor</v>
          </cell>
          <cell r="MY3" t="str">
            <v>Consumidor</v>
          </cell>
          <cell r="MZ3" t="str">
            <v>Consumidor</v>
          </cell>
          <cell r="NA3" t="str">
            <v>Consumidor</v>
          </cell>
          <cell r="NB3" t="str">
            <v>Consumidor</v>
          </cell>
          <cell r="NC3" t="str">
            <v>Consumidor</v>
          </cell>
          <cell r="ND3" t="str">
            <v>Consumidor</v>
          </cell>
          <cell r="NE3" t="str">
            <v>Consumidor</v>
          </cell>
        </row>
        <row r="4">
          <cell r="A4" t="str">
            <v>Actividad/Producto</v>
          </cell>
          <cell r="F4" t="str">
            <v>Dólar</v>
          </cell>
          <cell r="G4" t="str">
            <v>Inflación</v>
          </cell>
          <cell r="H4" t="str">
            <v>Sueldos</v>
          </cell>
          <cell r="I4" t="str">
            <v>Labores</v>
          </cell>
          <cell r="J4" t="str">
            <v>Insumo</v>
          </cell>
          <cell r="K4" t="str">
            <v>Insumo</v>
          </cell>
          <cell r="L4" t="str">
            <v>Flete</v>
          </cell>
          <cell r="N4" t="str">
            <v>Algodón</v>
          </cell>
          <cell r="O4" t="str">
            <v>Algodón</v>
          </cell>
          <cell r="P4" t="str">
            <v>Algodón</v>
          </cell>
          <cell r="Q4" t="str">
            <v>Arroz</v>
          </cell>
          <cell r="R4" t="str">
            <v>Arroz</v>
          </cell>
          <cell r="S4" t="str">
            <v>Cebada</v>
          </cell>
          <cell r="T4" t="str">
            <v>Girasol</v>
          </cell>
          <cell r="U4" t="str">
            <v>Maíz</v>
          </cell>
          <cell r="V4" t="str">
            <v>Soja</v>
          </cell>
          <cell r="W4" t="str">
            <v>Sorgo</v>
          </cell>
          <cell r="X4" t="str">
            <v>Trigo</v>
          </cell>
          <cell r="Y4" t="str">
            <v>Cebada</v>
          </cell>
          <cell r="Z4" t="str">
            <v>Girasol</v>
          </cell>
          <cell r="AA4" t="str">
            <v>Maíz</v>
          </cell>
          <cell r="AB4" t="str">
            <v>Soja</v>
          </cell>
          <cell r="AC4" t="str">
            <v>Sorgo</v>
          </cell>
          <cell r="AD4" t="str">
            <v>Trigo</v>
          </cell>
          <cell r="AE4" t="str">
            <v>Granos</v>
          </cell>
          <cell r="AF4" t="str">
            <v>Maní</v>
          </cell>
          <cell r="AG4" t="str">
            <v>Yerba Mate</v>
          </cell>
          <cell r="AH4" t="str">
            <v>Yerba Mate</v>
          </cell>
          <cell r="AI4" t="str">
            <v>Vino Tinto</v>
          </cell>
          <cell r="AJ4" t="str">
            <v>Vino Rosado</v>
          </cell>
          <cell r="AK4" t="str">
            <v>Vino Blanco</v>
          </cell>
          <cell r="AL4" t="str">
            <v>Mosto</v>
          </cell>
          <cell r="AM4" t="str">
            <v>Vino y Mosto</v>
          </cell>
          <cell r="AN4" t="str">
            <v>Manzana</v>
          </cell>
          <cell r="AO4" t="str">
            <v>Pera</v>
          </cell>
          <cell r="AP4" t="str">
            <v>Pera y Manzana</v>
          </cell>
          <cell r="AQ4" t="str">
            <v>Limón</v>
          </cell>
          <cell r="AR4" t="str">
            <v>Mandarina</v>
          </cell>
          <cell r="AS4" t="str">
            <v>Naranja</v>
          </cell>
          <cell r="AT4" t="str">
            <v>Pomelo</v>
          </cell>
          <cell r="AU4" t="str">
            <v>Citricos Dulces</v>
          </cell>
          <cell r="AV4" t="str">
            <v>Papa</v>
          </cell>
          <cell r="AW4" t="str">
            <v>Mandioca</v>
          </cell>
          <cell r="AX4" t="str">
            <v>Cebolla</v>
          </cell>
          <cell r="AY4" t="str">
            <v>Tomate</v>
          </cell>
          <cell r="AZ4" t="str">
            <v>Zanahoria</v>
          </cell>
          <cell r="BA4" t="str">
            <v>Zapallo</v>
          </cell>
          <cell r="BB4" t="str">
            <v>Hortalizas</v>
          </cell>
          <cell r="BC4" t="str">
            <v>Forestación</v>
          </cell>
          <cell r="BD4" t="str">
            <v>Forestación</v>
          </cell>
          <cell r="BE4" t="str">
            <v>Forestación</v>
          </cell>
          <cell r="BF4" t="str">
            <v>Forestación</v>
          </cell>
          <cell r="BG4" t="str">
            <v>Forestación</v>
          </cell>
          <cell r="BH4" t="str">
            <v>Tabaco</v>
          </cell>
          <cell r="BI4" t="str">
            <v>Tabaco</v>
          </cell>
          <cell r="BJ4" t="str">
            <v>Tabaco</v>
          </cell>
          <cell r="BK4" t="str">
            <v>Novillito</v>
          </cell>
          <cell r="BL4" t="str">
            <v>Ternero</v>
          </cell>
          <cell r="BM4" t="str">
            <v>Bovinos</v>
          </cell>
          <cell r="BN4" t="str">
            <v>Leche</v>
          </cell>
          <cell r="BO4" t="str">
            <v>Pollo</v>
          </cell>
          <cell r="BP4" t="str">
            <v>Huevo</v>
          </cell>
          <cell r="BQ4" t="str">
            <v>Aves</v>
          </cell>
          <cell r="BR4" t="str">
            <v>Capón</v>
          </cell>
          <cell r="BS4" t="str">
            <v>Cordero</v>
          </cell>
          <cell r="BT4" t="str">
            <v>Lana</v>
          </cell>
          <cell r="BU4" t="str">
            <v>Ovinos</v>
          </cell>
          <cell r="BV4" t="str">
            <v>Miel</v>
          </cell>
          <cell r="BW4" t="str">
            <v>Miel</v>
          </cell>
          <cell r="BY4" t="str">
            <v>Algodón</v>
          </cell>
          <cell r="BZ4" t="str">
            <v>Arroz</v>
          </cell>
          <cell r="CA4" t="str">
            <v>Cebada</v>
          </cell>
          <cell r="CB4" t="str">
            <v>Girasol</v>
          </cell>
          <cell r="CC4" t="str">
            <v>Maíz</v>
          </cell>
          <cell r="CD4" t="str">
            <v>Soja</v>
          </cell>
          <cell r="CE4" t="str">
            <v>Sorgo</v>
          </cell>
          <cell r="CF4" t="str">
            <v>Trigo</v>
          </cell>
          <cell r="CG4" t="str">
            <v>Granos</v>
          </cell>
          <cell r="CH4" t="str">
            <v>Maní</v>
          </cell>
          <cell r="CI4" t="str">
            <v>Papa</v>
          </cell>
          <cell r="CJ4" t="str">
            <v>Mandioca</v>
          </cell>
          <cell r="CK4" t="str">
            <v>Cebolla</v>
          </cell>
          <cell r="CL4" t="str">
            <v>Tomate</v>
          </cell>
          <cell r="CM4" t="str">
            <v>Zanahoria</v>
          </cell>
          <cell r="CN4" t="str">
            <v>Zapallo</v>
          </cell>
          <cell r="CO4" t="str">
            <v>Hortalizas</v>
          </cell>
          <cell r="CP4" t="str">
            <v>Vino-Mosto</v>
          </cell>
          <cell r="CQ4" t="str">
            <v>Manzana</v>
          </cell>
          <cell r="CR4" t="str">
            <v>Pera</v>
          </cell>
          <cell r="CS4" t="str">
            <v>Pera y Manzana</v>
          </cell>
          <cell r="CT4" t="str">
            <v>Limon</v>
          </cell>
          <cell r="CU4" t="str">
            <v>Mandarina</v>
          </cell>
          <cell r="CV4" t="str">
            <v>Naranja</v>
          </cell>
          <cell r="CW4" t="str">
            <v>Pomelo</v>
          </cell>
          <cell r="CX4" t="str">
            <v>Citricos Dulces</v>
          </cell>
          <cell r="CY4" t="str">
            <v>Yerba Mate</v>
          </cell>
          <cell r="CZ4" t="str">
            <v>Forestación</v>
          </cell>
          <cell r="DA4" t="str">
            <v>Tabaco</v>
          </cell>
          <cell r="DB4" t="str">
            <v>Bovinos</v>
          </cell>
          <cell r="DC4" t="str">
            <v>Leche</v>
          </cell>
          <cell r="DD4" t="str">
            <v>Porcino</v>
          </cell>
          <cell r="DE4" t="str">
            <v>Aviar Pollo</v>
          </cell>
          <cell r="DF4" t="str">
            <v>Aviar Huevo</v>
          </cell>
          <cell r="DG4" t="str">
            <v>Aves</v>
          </cell>
          <cell r="DH4" t="str">
            <v>Miel</v>
          </cell>
          <cell r="DI4" t="str">
            <v>Ovino</v>
          </cell>
          <cell r="DK4" t="str">
            <v>Algodón</v>
          </cell>
          <cell r="DL4" t="str">
            <v>Algodón</v>
          </cell>
          <cell r="DM4" t="str">
            <v>Arroz</v>
          </cell>
          <cell r="DN4" t="str">
            <v>Arroz</v>
          </cell>
          <cell r="DO4" t="str">
            <v>Cebada</v>
          </cell>
          <cell r="DP4" t="str">
            <v>Cebada</v>
          </cell>
          <cell r="DQ4" t="str">
            <v>Girasol</v>
          </cell>
          <cell r="DR4" t="str">
            <v>Girasol</v>
          </cell>
          <cell r="DS4" t="str">
            <v>Maíz</v>
          </cell>
          <cell r="DT4" t="str">
            <v>Maíz</v>
          </cell>
          <cell r="DU4" t="str">
            <v>Soja</v>
          </cell>
          <cell r="DV4" t="str">
            <v>Soja</v>
          </cell>
          <cell r="DW4" t="str">
            <v>Sorgo</v>
          </cell>
          <cell r="DX4" t="str">
            <v>Sorgo</v>
          </cell>
          <cell r="DY4" t="str">
            <v>Trigo</v>
          </cell>
          <cell r="DZ4" t="str">
            <v>Trigo</v>
          </cell>
          <cell r="EA4" t="str">
            <v>Granos</v>
          </cell>
          <cell r="EB4" t="str">
            <v>Maní</v>
          </cell>
          <cell r="EC4" t="str">
            <v>Maní</v>
          </cell>
          <cell r="ED4" t="str">
            <v>Yerba Mate</v>
          </cell>
          <cell r="EE4" t="str">
            <v>Yerba Mate</v>
          </cell>
          <cell r="EF4" t="str">
            <v>Vitivinicultura</v>
          </cell>
          <cell r="EG4" t="str">
            <v>Vitivinicultura</v>
          </cell>
          <cell r="EH4" t="str">
            <v>Bovinos</v>
          </cell>
          <cell r="EI4" t="str">
            <v>Bovinos</v>
          </cell>
          <cell r="EJ4" t="str">
            <v>Porcinos</v>
          </cell>
          <cell r="EK4" t="str">
            <v>Porcinos</v>
          </cell>
          <cell r="EL4" t="str">
            <v>Ovinos</v>
          </cell>
          <cell r="EM4" t="str">
            <v>Ovinos</v>
          </cell>
          <cell r="EN4" t="str">
            <v>Lechería</v>
          </cell>
          <cell r="EO4" t="str">
            <v>Lechería</v>
          </cell>
          <cell r="EP4" t="str">
            <v>Aves</v>
          </cell>
          <cell r="EQ4" t="str">
            <v>Miel</v>
          </cell>
          <cell r="ER4" t="str">
            <v>Cítricos</v>
          </cell>
          <cell r="ES4" t="str">
            <v>Forestal</v>
          </cell>
          <cell r="ET4" t="str">
            <v>Cebolla</v>
          </cell>
          <cell r="EU4" t="str">
            <v>Tomate</v>
          </cell>
          <cell r="EV4" t="str">
            <v>Zanahoria</v>
          </cell>
          <cell r="EW4" t="str">
            <v>Zapallo</v>
          </cell>
          <cell r="EX4" t="str">
            <v>Hortalizas</v>
          </cell>
          <cell r="EY4" t="str">
            <v>Mandioca</v>
          </cell>
          <cell r="EZ4" t="str">
            <v>Papa</v>
          </cell>
          <cell r="FA4" t="str">
            <v>Peras</v>
          </cell>
          <cell r="FB4" t="str">
            <v>Manzanas</v>
          </cell>
          <cell r="FC4" t="str">
            <v>Peras y Manzanas</v>
          </cell>
          <cell r="FD4" t="str">
            <v>Tabaco</v>
          </cell>
          <cell r="FF4" t="str">
            <v>Algodón</v>
          </cell>
          <cell r="FG4" t="str">
            <v>Algodón</v>
          </cell>
          <cell r="FH4" t="str">
            <v>Arroz</v>
          </cell>
          <cell r="FI4" t="str">
            <v>Arroz</v>
          </cell>
          <cell r="FJ4" t="str">
            <v>Cebada</v>
          </cell>
          <cell r="FK4" t="str">
            <v>Cebada</v>
          </cell>
          <cell r="FL4" t="str">
            <v>Girasol</v>
          </cell>
          <cell r="FM4" t="str">
            <v>Girasol</v>
          </cell>
          <cell r="FN4" t="str">
            <v>Maíz</v>
          </cell>
          <cell r="FO4" t="str">
            <v>Maíz</v>
          </cell>
          <cell r="FP4" t="str">
            <v>Soja</v>
          </cell>
          <cell r="FQ4" t="str">
            <v>Soja</v>
          </cell>
          <cell r="FR4" t="str">
            <v>Sorgo</v>
          </cell>
          <cell r="FS4" t="str">
            <v>Sorgo</v>
          </cell>
          <cell r="FT4" t="str">
            <v>Trigo</v>
          </cell>
          <cell r="FU4" t="str">
            <v>Trigo</v>
          </cell>
          <cell r="FV4" t="str">
            <v>Granos</v>
          </cell>
          <cell r="FW4" t="str">
            <v>Maní</v>
          </cell>
          <cell r="FX4" t="str">
            <v>Maní</v>
          </cell>
          <cell r="FY4" t="str">
            <v>Yerba Mate</v>
          </cell>
          <cell r="FZ4" t="str">
            <v>Yerba Mate</v>
          </cell>
          <cell r="GA4" t="str">
            <v>Yerba Mate</v>
          </cell>
          <cell r="GB4" t="str">
            <v>Uva para vino</v>
          </cell>
          <cell r="GC4" t="str">
            <v>Uva para vino</v>
          </cell>
          <cell r="GD4" t="str">
            <v>Limón</v>
          </cell>
          <cell r="GE4" t="str">
            <v>Mandarina</v>
          </cell>
          <cell r="GF4" t="str">
            <v>Naranja</v>
          </cell>
          <cell r="GG4" t="str">
            <v>Pomelo</v>
          </cell>
          <cell r="GH4" t="str">
            <v>Cítricos</v>
          </cell>
          <cell r="GI4" t="str">
            <v>Forestal</v>
          </cell>
          <cell r="GJ4" t="str">
            <v>Cebolla</v>
          </cell>
          <cell r="GK4" t="str">
            <v>Tomate</v>
          </cell>
          <cell r="GL4" t="str">
            <v>Zanahoria</v>
          </cell>
          <cell r="GM4" t="str">
            <v>Zapallo</v>
          </cell>
          <cell r="GN4" t="str">
            <v>Hortalizas</v>
          </cell>
          <cell r="GO4" t="str">
            <v>Mandioca</v>
          </cell>
          <cell r="GP4" t="str">
            <v>Miel</v>
          </cell>
          <cell r="GQ4" t="str">
            <v>Ovino Carne</v>
          </cell>
          <cell r="GR4" t="str">
            <v>Lana</v>
          </cell>
          <cell r="GS4" t="str">
            <v>Ovino</v>
          </cell>
          <cell r="GT4" t="str">
            <v>Papa</v>
          </cell>
          <cell r="GU4" t="str">
            <v>Pera</v>
          </cell>
          <cell r="GV4" t="str">
            <v>Manzana</v>
          </cell>
          <cell r="GW4" t="str">
            <v>Pera y Manzana</v>
          </cell>
          <cell r="GX4" t="str">
            <v>Tabaco</v>
          </cell>
          <cell r="GY4" t="str">
            <v>Tabaco</v>
          </cell>
          <cell r="GZ4" t="str">
            <v>Tabaco</v>
          </cell>
          <cell r="HA4" t="str">
            <v>Bovinos</v>
          </cell>
          <cell r="HB4" t="str">
            <v>Bovinos</v>
          </cell>
          <cell r="HC4" t="str">
            <v>Bovinos</v>
          </cell>
          <cell r="HD4" t="str">
            <v>Porcinos</v>
          </cell>
          <cell r="HE4" t="str">
            <v>Porcinos</v>
          </cell>
          <cell r="HF4" t="str">
            <v>Porcinos</v>
          </cell>
          <cell r="HG4" t="str">
            <v>Aviar</v>
          </cell>
          <cell r="HH4" t="str">
            <v>Aviar</v>
          </cell>
          <cell r="HI4" t="str">
            <v>Aviar</v>
          </cell>
          <cell r="HJ4" t="str">
            <v>Aviar</v>
          </cell>
          <cell r="HK4" t="str">
            <v>Aviar</v>
          </cell>
          <cell r="HL4" t="str">
            <v>Aviar</v>
          </cell>
          <cell r="HM4" t="str">
            <v>Aviar</v>
          </cell>
          <cell r="HN4" t="str">
            <v>Lechería</v>
          </cell>
          <cell r="HO4" t="str">
            <v>Lechería</v>
          </cell>
          <cell r="HP4" t="str">
            <v>Lechería</v>
          </cell>
          <cell r="HQ4" t="str">
            <v>Lechería</v>
          </cell>
          <cell r="HS4" t="str">
            <v>Algodón</v>
          </cell>
          <cell r="HT4" t="str">
            <v>Algodón</v>
          </cell>
          <cell r="HU4" t="str">
            <v>Arroz</v>
          </cell>
          <cell r="HV4" t="str">
            <v>Arroz</v>
          </cell>
          <cell r="HW4" t="str">
            <v>Cebada</v>
          </cell>
          <cell r="HX4" t="str">
            <v>Cebada</v>
          </cell>
          <cell r="HY4" t="str">
            <v>Girasol</v>
          </cell>
          <cell r="HZ4" t="str">
            <v>Girasol</v>
          </cell>
          <cell r="IA4" t="str">
            <v>Maíz</v>
          </cell>
          <cell r="IB4" t="str">
            <v>Maíz</v>
          </cell>
          <cell r="IC4" t="str">
            <v>Soja</v>
          </cell>
          <cell r="ID4" t="str">
            <v>Soja</v>
          </cell>
          <cell r="IE4" t="str">
            <v>Sorgo</v>
          </cell>
          <cell r="IF4" t="str">
            <v>Sorgo</v>
          </cell>
          <cell r="IG4" t="str">
            <v>Trigo</v>
          </cell>
          <cell r="IH4" t="str">
            <v>Trigo</v>
          </cell>
          <cell r="II4" t="str">
            <v>Granos</v>
          </cell>
          <cell r="IJ4" t="str">
            <v>Maní</v>
          </cell>
          <cell r="IK4" t="str">
            <v>Maní</v>
          </cell>
          <cell r="IL4" t="str">
            <v>Aves</v>
          </cell>
          <cell r="IM4" t="str">
            <v>Bovinos</v>
          </cell>
          <cell r="IN4" t="str">
            <v>Lácteos</v>
          </cell>
          <cell r="IO4" t="str">
            <v>Porcinos</v>
          </cell>
          <cell r="IP4" t="str">
            <v>Yerba Mate</v>
          </cell>
          <cell r="IQ4" t="str">
            <v>Vitivinicultura</v>
          </cell>
          <cell r="IR4" t="str">
            <v>Limón</v>
          </cell>
          <cell r="IS4" t="str">
            <v>Mandarina</v>
          </cell>
          <cell r="IT4" t="str">
            <v>Naranja</v>
          </cell>
          <cell r="IU4" t="str">
            <v>Pomelo</v>
          </cell>
          <cell r="IV4" t="str">
            <v>Citricos Dulces</v>
          </cell>
          <cell r="IW4" t="str">
            <v>Forestal</v>
          </cell>
          <cell r="IX4" t="str">
            <v>Hortalizas</v>
          </cell>
          <cell r="IY4" t="str">
            <v>Mandioca</v>
          </cell>
          <cell r="IZ4" t="str">
            <v>Miel</v>
          </cell>
          <cell r="JA4" t="str">
            <v>Ovino</v>
          </cell>
          <cell r="JB4" t="str">
            <v>Papa</v>
          </cell>
          <cell r="JC4" t="str">
            <v>Peras y Manzanas</v>
          </cell>
          <cell r="JD4" t="str">
            <v>Tabaco</v>
          </cell>
          <cell r="JF4" t="str">
            <v>Algodón</v>
          </cell>
          <cell r="JG4" t="str">
            <v>Arroz</v>
          </cell>
          <cell r="JH4" t="str">
            <v>Cebada</v>
          </cell>
          <cell r="JI4" t="str">
            <v>Girasol</v>
          </cell>
          <cell r="JJ4" t="str">
            <v>Maíz</v>
          </cell>
          <cell r="JK4" t="str">
            <v>Maní</v>
          </cell>
          <cell r="JL4" t="str">
            <v>Soja</v>
          </cell>
          <cell r="JM4" t="str">
            <v>Sorgo</v>
          </cell>
          <cell r="JN4" t="str">
            <v>Trigo</v>
          </cell>
          <cell r="JO4" t="str">
            <v>Papa</v>
          </cell>
          <cell r="JP4" t="str">
            <v>Mandioca</v>
          </cell>
          <cell r="JQ4" t="str">
            <v>Cebolla</v>
          </cell>
          <cell r="JR4" t="str">
            <v>Tomate</v>
          </cell>
          <cell r="JS4" t="str">
            <v>Zanahoria</v>
          </cell>
          <cell r="JT4" t="str">
            <v>Zapallo</v>
          </cell>
          <cell r="JU4" t="str">
            <v>Vitícola</v>
          </cell>
          <cell r="JV4" t="str">
            <v>Manzana</v>
          </cell>
          <cell r="JW4" t="str">
            <v>Pera</v>
          </cell>
          <cell r="JX4" t="str">
            <v>Limón</v>
          </cell>
          <cell r="JY4" t="str">
            <v>Mandarina</v>
          </cell>
          <cell r="JZ4" t="str">
            <v>Naranja</v>
          </cell>
          <cell r="KA4" t="str">
            <v>Pomelo</v>
          </cell>
          <cell r="KB4" t="str">
            <v>Forestal</v>
          </cell>
          <cell r="KC4" t="str">
            <v>Tabaco</v>
          </cell>
          <cell r="KD4" t="str">
            <v>Yerba Mate</v>
          </cell>
          <cell r="KE4" t="str">
            <v>Apícola</v>
          </cell>
          <cell r="KF4" t="str">
            <v>Aviar</v>
          </cell>
          <cell r="KG4" t="str">
            <v>Bovinos</v>
          </cell>
          <cell r="KH4" t="str">
            <v>Lechería</v>
          </cell>
          <cell r="KI4" t="str">
            <v>Ovinos</v>
          </cell>
          <cell r="KJ4" t="str">
            <v>Porcinos</v>
          </cell>
          <cell r="KK4" t="str">
            <v>Algodón</v>
          </cell>
          <cell r="KL4" t="str">
            <v>Arroz</v>
          </cell>
          <cell r="KM4" t="str">
            <v>Cebada</v>
          </cell>
          <cell r="KN4" t="str">
            <v>Girasol</v>
          </cell>
          <cell r="KO4" t="str">
            <v>Maíz</v>
          </cell>
          <cell r="KP4" t="str">
            <v>Maní</v>
          </cell>
          <cell r="KQ4" t="str">
            <v>Soja</v>
          </cell>
          <cell r="KR4" t="str">
            <v>Sorgo</v>
          </cell>
          <cell r="KS4" t="str">
            <v>Trigo</v>
          </cell>
          <cell r="KT4" t="str">
            <v>Papa</v>
          </cell>
          <cell r="KU4" t="str">
            <v>Mandioca</v>
          </cell>
          <cell r="KV4" t="str">
            <v>Cebolla</v>
          </cell>
          <cell r="KW4" t="str">
            <v>Tomate</v>
          </cell>
          <cell r="KX4" t="str">
            <v>Zanahoria</v>
          </cell>
          <cell r="KY4" t="str">
            <v>Zapallo</v>
          </cell>
          <cell r="KZ4" t="str">
            <v>Vitícola</v>
          </cell>
          <cell r="LA4" t="str">
            <v>Manzana</v>
          </cell>
          <cell r="LB4" t="str">
            <v>Pera</v>
          </cell>
          <cell r="LC4" t="str">
            <v>Limón</v>
          </cell>
          <cell r="LD4" t="str">
            <v>Mandarina</v>
          </cell>
          <cell r="LE4" t="str">
            <v>Naranja</v>
          </cell>
          <cell r="LF4" t="str">
            <v>Pomelo</v>
          </cell>
          <cell r="LG4" t="str">
            <v>Forestal</v>
          </cell>
          <cell r="LH4" t="str">
            <v>Tabaco</v>
          </cell>
          <cell r="LI4" t="str">
            <v>Yerba Mate</v>
          </cell>
          <cell r="LJ4" t="str">
            <v>Apícola</v>
          </cell>
          <cell r="LK4" t="str">
            <v>Aviar</v>
          </cell>
          <cell r="LL4" t="str">
            <v>Bovinos</v>
          </cell>
          <cell r="LM4" t="str">
            <v>Lechería</v>
          </cell>
          <cell r="LN4" t="str">
            <v>Ovinos</v>
          </cell>
          <cell r="LO4" t="str">
            <v>Porcinos</v>
          </cell>
          <cell r="LQ4" t="str">
            <v>Granos</v>
          </cell>
          <cell r="LR4" t="str">
            <v>Hortalizas</v>
          </cell>
          <cell r="LS4" t="str">
            <v>Pera y Manzana</v>
          </cell>
          <cell r="LT4" t="str">
            <v>Citricos Dulces</v>
          </cell>
          <cell r="LU4" t="str">
            <v>Granos</v>
          </cell>
          <cell r="LV4" t="str">
            <v>Hortalizas</v>
          </cell>
          <cell r="LW4" t="str">
            <v>Pera y Manzana</v>
          </cell>
          <cell r="LX4" t="str">
            <v>Citricos Dulces</v>
          </cell>
          <cell r="LZ4" t="str">
            <v>Algodón</v>
          </cell>
          <cell r="MA4" t="str">
            <v>Arroz</v>
          </cell>
          <cell r="MB4" t="str">
            <v>Cebada</v>
          </cell>
          <cell r="MC4" t="str">
            <v>Girasol</v>
          </cell>
          <cell r="MD4" t="str">
            <v>Maíz</v>
          </cell>
          <cell r="ME4" t="str">
            <v>Maní</v>
          </cell>
          <cell r="MF4" t="str">
            <v>Soja</v>
          </cell>
          <cell r="MG4" t="str">
            <v>Sorgo</v>
          </cell>
          <cell r="MH4" t="str">
            <v>Trigo</v>
          </cell>
          <cell r="MI4" t="str">
            <v>Trigo</v>
          </cell>
          <cell r="MJ4" t="str">
            <v>Papa</v>
          </cell>
          <cell r="MK4" t="str">
            <v>Mandioca</v>
          </cell>
          <cell r="ML4" t="str">
            <v>Cebolla</v>
          </cell>
          <cell r="MM4" t="str">
            <v>Tomate</v>
          </cell>
          <cell r="MN4" t="str">
            <v>Zanahoria</v>
          </cell>
          <cell r="MO4" t="str">
            <v>Zapallo</v>
          </cell>
          <cell r="MP4" t="str">
            <v>Vitícola</v>
          </cell>
          <cell r="MQ4" t="str">
            <v>Manzana</v>
          </cell>
          <cell r="MR4" t="str">
            <v>Pera</v>
          </cell>
          <cell r="MS4" t="str">
            <v>Limón</v>
          </cell>
          <cell r="MT4" t="str">
            <v>Mandarina</v>
          </cell>
          <cell r="MU4" t="str">
            <v>Naranja</v>
          </cell>
          <cell r="MV4" t="str">
            <v>Pomelo</v>
          </cell>
          <cell r="MW4" t="str">
            <v>Forestal</v>
          </cell>
          <cell r="MX4" t="str">
            <v>Tabaco</v>
          </cell>
          <cell r="MY4" t="str">
            <v>Yerba Mate</v>
          </cell>
          <cell r="MZ4" t="str">
            <v>Apícola</v>
          </cell>
          <cell r="NA4" t="str">
            <v>Aviar</v>
          </cell>
          <cell r="NB4" t="str">
            <v>Bovinos</v>
          </cell>
          <cell r="NC4" t="str">
            <v>Lechería</v>
          </cell>
          <cell r="ND4" t="str">
            <v>Ovinos</v>
          </cell>
          <cell r="NE4" t="str">
            <v>Porcinos</v>
          </cell>
        </row>
        <row r="5">
          <cell r="A5" t="str">
            <v>Tipo</v>
          </cell>
          <cell r="F5" t="str">
            <v>Divisa Prom Cpra-Venta</v>
          </cell>
          <cell r="G5" t="str">
            <v>IPC</v>
          </cell>
          <cell r="H5" t="str">
            <v>Peón</v>
          </cell>
          <cell r="I5" t="str">
            <v>Gasoil</v>
          </cell>
          <cell r="J5" t="str">
            <v>Urea</v>
          </cell>
          <cell r="K5" t="str">
            <v>Glifosato</v>
          </cell>
          <cell r="L5" t="str">
            <v>300 km BA</v>
          </cell>
          <cell r="N5" t="str">
            <v>C 1/2</v>
          </cell>
          <cell r="O5" t="str">
            <v>D 1/2</v>
          </cell>
          <cell r="P5" t="str">
            <v>Promedio</v>
          </cell>
          <cell r="Q5" t="str">
            <v>Largo Fino</v>
          </cell>
          <cell r="R5" t="str">
            <v>Largo Fino</v>
          </cell>
          <cell r="S5" t="str">
            <v>Pizarra BB</v>
          </cell>
          <cell r="T5" t="str">
            <v>Disp. ROS</v>
          </cell>
          <cell r="U5" t="str">
            <v>ROS abril</v>
          </cell>
          <cell r="V5" t="str">
            <v>ROS Mayo</v>
          </cell>
          <cell r="W5" t="str">
            <v>Granífero</v>
          </cell>
          <cell r="X5" t="str">
            <v>ROS Enero</v>
          </cell>
          <cell r="Y5" t="str">
            <v>Disp. QQ</v>
          </cell>
          <cell r="Z5" t="str">
            <v>Disp. ROS</v>
          </cell>
          <cell r="AA5" t="str">
            <v>Disp. ROS</v>
          </cell>
          <cell r="AB5" t="str">
            <v>Disp. ROS</v>
          </cell>
          <cell r="AC5" t="str">
            <v>Disp. ROS</v>
          </cell>
          <cell r="AD5" t="str">
            <v>Disp. BA</v>
          </cell>
          <cell r="AE5" t="str">
            <v>Disp.</v>
          </cell>
          <cell r="AF5" t="str">
            <v>Pizarra</v>
          </cell>
          <cell r="AG5" t="str">
            <v>Hoja Verde</v>
          </cell>
          <cell r="AH5" t="str">
            <v>Canchada</v>
          </cell>
          <cell r="AI5" t="str">
            <v>Disp.</v>
          </cell>
          <cell r="AJ5" t="str">
            <v>Disp.</v>
          </cell>
          <cell r="AK5" t="str">
            <v>Disp.</v>
          </cell>
          <cell r="AL5" t="str">
            <v>Disp.</v>
          </cell>
          <cell r="AM5" t="str">
            <v>Disp.</v>
          </cell>
          <cell r="AN5" t="str">
            <v>Mayorista</v>
          </cell>
          <cell r="AO5" t="str">
            <v>Mayorista</v>
          </cell>
          <cell r="AP5" t="str">
            <v>Mayorista</v>
          </cell>
          <cell r="AQ5" t="str">
            <v>Mayorista</v>
          </cell>
          <cell r="AR5" t="str">
            <v>Mayorista</v>
          </cell>
          <cell r="AS5" t="str">
            <v>Mayorista</v>
          </cell>
          <cell r="AT5" t="str">
            <v>Mayorista</v>
          </cell>
          <cell r="AU5" t="str">
            <v>Mayorista</v>
          </cell>
          <cell r="AV5" t="str">
            <v>Mayorista</v>
          </cell>
          <cell r="AW5" t="str">
            <v>Mayorista</v>
          </cell>
          <cell r="AX5" t="str">
            <v>Mayorista</v>
          </cell>
          <cell r="AY5" t="str">
            <v>Mayorista</v>
          </cell>
          <cell r="AZ5" t="str">
            <v>Mayorista</v>
          </cell>
          <cell r="BA5" t="str">
            <v>Mayorista</v>
          </cell>
          <cell r="BB5" t="str">
            <v>Mayorista</v>
          </cell>
          <cell r="BC5" t="str">
            <v>Pino 25-30 pf</v>
          </cell>
          <cell r="BD5" t="str">
            <v>Euca 25-30 pf</v>
          </cell>
          <cell r="BE5" t="str">
            <v>Euca +18pf</v>
          </cell>
          <cell r="BF5" t="str">
            <v>Pino +16pf</v>
          </cell>
          <cell r="BG5" t="str">
            <v>Prom.</v>
          </cell>
          <cell r="BH5" t="str">
            <v>Acopio</v>
          </cell>
          <cell r="BI5" t="str">
            <v>FET</v>
          </cell>
          <cell r="BJ5" t="str">
            <v>Acopio+FET</v>
          </cell>
          <cell r="BK5" t="str">
            <v>Prom Rinde 55%</v>
          </cell>
          <cell r="BL5" t="str">
            <v>Prom.</v>
          </cell>
          <cell r="BM5" t="str">
            <v>Prom.</v>
          </cell>
          <cell r="BN5" t="str">
            <v>Prom.</v>
          </cell>
          <cell r="BO5" t="str">
            <v>Prom Mayorista</v>
          </cell>
          <cell r="BP5" t="str">
            <v>Doc  Mayorista</v>
          </cell>
          <cell r="BQ5" t="str">
            <v>Prom.</v>
          </cell>
          <cell r="BR5" t="str">
            <v>Prom.</v>
          </cell>
          <cell r="BS5" t="str">
            <v>Prom</v>
          </cell>
          <cell r="BT5" t="str">
            <v>Prom</v>
          </cell>
          <cell r="BU5" t="str">
            <v>Prom</v>
          </cell>
          <cell r="BV5" t="str">
            <v>Exportacion</v>
          </cell>
          <cell r="BW5" t="str">
            <v>Interno</v>
          </cell>
          <cell r="BY5" t="str">
            <v>Indice</v>
          </cell>
          <cell r="BZ5" t="str">
            <v>Indice</v>
          </cell>
          <cell r="CA5" t="str">
            <v>Indice</v>
          </cell>
          <cell r="CB5" t="str">
            <v>Indice</v>
          </cell>
          <cell r="CC5" t="str">
            <v>Indice</v>
          </cell>
          <cell r="CD5" t="str">
            <v>Indice</v>
          </cell>
          <cell r="CE5" t="str">
            <v>Indice</v>
          </cell>
          <cell r="CF5" t="str">
            <v>Indice</v>
          </cell>
          <cell r="CG5" t="str">
            <v>Indice</v>
          </cell>
          <cell r="CH5" t="str">
            <v>Indice</v>
          </cell>
          <cell r="CI5" t="str">
            <v>Indice</v>
          </cell>
          <cell r="CJ5" t="str">
            <v>Indice</v>
          </cell>
          <cell r="CK5" t="str">
            <v>Indice</v>
          </cell>
          <cell r="CL5" t="str">
            <v>Indice</v>
          </cell>
          <cell r="CM5" t="str">
            <v>Indice</v>
          </cell>
          <cell r="CN5" t="str">
            <v>Indice</v>
          </cell>
          <cell r="CO5" t="str">
            <v>Indice</v>
          </cell>
          <cell r="CP5" t="str">
            <v>Indice</v>
          </cell>
          <cell r="CQ5" t="str">
            <v>Indice</v>
          </cell>
          <cell r="CR5" t="str">
            <v>Indice</v>
          </cell>
          <cell r="CS5" t="str">
            <v>Indice</v>
          </cell>
          <cell r="CT5" t="str">
            <v>Indice</v>
          </cell>
          <cell r="CU5" t="str">
            <v>Indice</v>
          </cell>
          <cell r="CV5" t="str">
            <v>Indice</v>
          </cell>
          <cell r="CW5" t="str">
            <v>Indice</v>
          </cell>
          <cell r="CX5" t="str">
            <v>Indice</v>
          </cell>
          <cell r="CY5" t="str">
            <v>Indice</v>
          </cell>
          <cell r="CZ5" t="str">
            <v>Indice</v>
          </cell>
          <cell r="DA5" t="str">
            <v>Indice</v>
          </cell>
          <cell r="DB5" t="str">
            <v>Indice</v>
          </cell>
          <cell r="DC5" t="str">
            <v>Indice</v>
          </cell>
          <cell r="DD5" t="str">
            <v>Indice</v>
          </cell>
          <cell r="DE5" t="str">
            <v>Indice</v>
          </cell>
          <cell r="DF5" t="str">
            <v>Indice</v>
          </cell>
          <cell r="DG5" t="str">
            <v>Indice</v>
          </cell>
          <cell r="DH5" t="str">
            <v>Indice</v>
          </cell>
          <cell r="DI5" t="str">
            <v>Indice</v>
          </cell>
          <cell r="DK5" t="str">
            <v>Sup</v>
          </cell>
          <cell r="DL5" t="str">
            <v>Campaña</v>
          </cell>
          <cell r="DM5" t="str">
            <v>Sup</v>
          </cell>
          <cell r="DN5" t="str">
            <v>Campaña</v>
          </cell>
          <cell r="DO5" t="str">
            <v>Sup</v>
          </cell>
          <cell r="DP5" t="str">
            <v>Campaña</v>
          </cell>
          <cell r="DQ5" t="str">
            <v>Sup</v>
          </cell>
          <cell r="DR5" t="str">
            <v>Campaña</v>
          </cell>
          <cell r="DS5" t="str">
            <v>Sup</v>
          </cell>
          <cell r="DT5" t="str">
            <v>Campaña</v>
          </cell>
          <cell r="DU5" t="str">
            <v>Sup</v>
          </cell>
          <cell r="DV5" t="str">
            <v>Campaña</v>
          </cell>
          <cell r="DW5" t="str">
            <v>Sup</v>
          </cell>
          <cell r="DX5" t="str">
            <v>Campaña</v>
          </cell>
          <cell r="DY5" t="str">
            <v>Sup</v>
          </cell>
          <cell r="DZ5" t="str">
            <v>Campaña</v>
          </cell>
          <cell r="EA5" t="str">
            <v>Sup</v>
          </cell>
          <cell r="EB5" t="str">
            <v>Sup</v>
          </cell>
          <cell r="EC5" t="str">
            <v>Campaña</v>
          </cell>
          <cell r="ED5" t="str">
            <v>Sup</v>
          </cell>
          <cell r="EE5" t="str">
            <v>Campaña</v>
          </cell>
          <cell r="EF5" t="str">
            <v>Sup</v>
          </cell>
          <cell r="EG5" t="str">
            <v>Campaña</v>
          </cell>
          <cell r="EH5" t="str">
            <v>Cab</v>
          </cell>
          <cell r="EI5" t="str">
            <v>Año</v>
          </cell>
          <cell r="EJ5" t="str">
            <v>Cab</v>
          </cell>
          <cell r="EK5" t="str">
            <v>Año</v>
          </cell>
          <cell r="EL5" t="str">
            <v>Cab</v>
          </cell>
          <cell r="EM5" t="str">
            <v>Año</v>
          </cell>
          <cell r="EN5" t="str">
            <v>Cab</v>
          </cell>
          <cell r="EO5" t="str">
            <v>Año</v>
          </cell>
          <cell r="EP5" t="str">
            <v>Año</v>
          </cell>
          <cell r="EQ5" t="str">
            <v>Colmenas</v>
          </cell>
          <cell r="ER5" t="str">
            <v>Sup</v>
          </cell>
          <cell r="ES5" t="str">
            <v>Sup</v>
          </cell>
          <cell r="ET5" t="str">
            <v>Sup</v>
          </cell>
          <cell r="EU5" t="str">
            <v>Sup</v>
          </cell>
          <cell r="EV5" t="str">
            <v>Sup</v>
          </cell>
          <cell r="EW5" t="str">
            <v>Sup</v>
          </cell>
          <cell r="EX5" t="str">
            <v>Sup</v>
          </cell>
          <cell r="EY5" t="str">
            <v>Sup</v>
          </cell>
          <cell r="EZ5" t="str">
            <v>Sup Cosechada</v>
          </cell>
          <cell r="FA5" t="str">
            <v>Sup</v>
          </cell>
          <cell r="FB5" t="str">
            <v>Sup</v>
          </cell>
          <cell r="FC5" t="str">
            <v>Sup</v>
          </cell>
          <cell r="FD5" t="str">
            <v>Sup</v>
          </cell>
          <cell r="FF5" t="str">
            <v>Volumen</v>
          </cell>
          <cell r="FG5" t="str">
            <v>Campaña</v>
          </cell>
          <cell r="FH5" t="str">
            <v>Volumen</v>
          </cell>
          <cell r="FI5" t="str">
            <v>Campaña</v>
          </cell>
          <cell r="FJ5" t="str">
            <v>Volumen</v>
          </cell>
          <cell r="FK5" t="str">
            <v>Campaña</v>
          </cell>
          <cell r="FL5" t="str">
            <v>Volumen</v>
          </cell>
          <cell r="FM5" t="str">
            <v>Campaña</v>
          </cell>
          <cell r="FN5" t="str">
            <v>Volumen</v>
          </cell>
          <cell r="FO5" t="str">
            <v>Campaña</v>
          </cell>
          <cell r="FP5" t="str">
            <v>Volumen</v>
          </cell>
          <cell r="FQ5" t="str">
            <v>Campaña</v>
          </cell>
          <cell r="FR5" t="str">
            <v>Volumen</v>
          </cell>
          <cell r="FS5" t="str">
            <v>Campaña</v>
          </cell>
          <cell r="FT5" t="str">
            <v>Volumen</v>
          </cell>
          <cell r="FU5" t="str">
            <v>Campaña</v>
          </cell>
          <cell r="FV5" t="str">
            <v>Volumen</v>
          </cell>
          <cell r="FW5" t="str">
            <v>Volumen</v>
          </cell>
          <cell r="FX5" t="str">
            <v>Campaña</v>
          </cell>
          <cell r="FY5" t="str">
            <v>Mensual</v>
          </cell>
          <cell r="FZ5" t="str">
            <v>12 meses</v>
          </cell>
          <cell r="GA5" t="str">
            <v>Campaña</v>
          </cell>
          <cell r="GB5" t="str">
            <v>Volumen</v>
          </cell>
          <cell r="GC5" t="str">
            <v>año</v>
          </cell>
          <cell r="GD5" t="str">
            <v>Volumen</v>
          </cell>
          <cell r="GE5" t="str">
            <v>Volumen</v>
          </cell>
          <cell r="GF5" t="str">
            <v>Volumen</v>
          </cell>
          <cell r="GG5" t="str">
            <v>Volumen</v>
          </cell>
          <cell r="GH5" t="str">
            <v>Volumen</v>
          </cell>
          <cell r="GI5" t="str">
            <v>Volumen</v>
          </cell>
          <cell r="GJ5" t="str">
            <v>Volumen</v>
          </cell>
          <cell r="GK5" t="str">
            <v>Volumen</v>
          </cell>
          <cell r="GL5" t="str">
            <v>Volumen</v>
          </cell>
          <cell r="GM5" t="str">
            <v>Volumen</v>
          </cell>
          <cell r="GN5" t="str">
            <v>Volumen</v>
          </cell>
          <cell r="GO5" t="str">
            <v>Volumen</v>
          </cell>
          <cell r="GP5" t="str">
            <v>Volumen</v>
          </cell>
          <cell r="GQ5" t="str">
            <v>Faena</v>
          </cell>
          <cell r="GR5" t="str">
            <v>Volumen</v>
          </cell>
          <cell r="GS5" t="str">
            <v>Volumen</v>
          </cell>
          <cell r="GT5" t="str">
            <v>Volumen</v>
          </cell>
          <cell r="GU5" t="str">
            <v>Volumen Mensual</v>
          </cell>
          <cell r="GV5" t="str">
            <v>Volumen Mensual</v>
          </cell>
          <cell r="GW5" t="str">
            <v>Vol 12 m</v>
          </cell>
          <cell r="GX5" t="str">
            <v>Vol. Salta</v>
          </cell>
          <cell r="GY5" t="str">
            <v>Campaña</v>
          </cell>
          <cell r="GZ5" t="str">
            <v>Vol. Nacional</v>
          </cell>
          <cell r="HA5" t="str">
            <v>Mensual</v>
          </cell>
          <cell r="HB5" t="str">
            <v>12 meses</v>
          </cell>
          <cell r="HC5" t="str">
            <v>12 meses</v>
          </cell>
          <cell r="HD5" t="str">
            <v>Mensual</v>
          </cell>
          <cell r="HE5" t="str">
            <v>12 meses</v>
          </cell>
          <cell r="HF5" t="str">
            <v>12 meses</v>
          </cell>
          <cell r="HG5" t="str">
            <v>Mensual</v>
          </cell>
          <cell r="HH5" t="str">
            <v>12 meses</v>
          </cell>
          <cell r="HI5" t="str">
            <v>12 meses</v>
          </cell>
          <cell r="HJ5" t="str">
            <v>Mensual</v>
          </cell>
          <cell r="HK5" t="str">
            <v>12 meses</v>
          </cell>
          <cell r="HL5" t="str">
            <v>12 meses</v>
          </cell>
          <cell r="HM5" t="str">
            <v>12 meses</v>
          </cell>
          <cell r="HN5" t="str">
            <v>Var. interanual</v>
          </cell>
          <cell r="HO5" t="str">
            <v>Mensual</v>
          </cell>
          <cell r="HP5" t="str">
            <v>12 meses</v>
          </cell>
          <cell r="HQ5" t="str">
            <v>12 meses</v>
          </cell>
          <cell r="HS5" t="str">
            <v>Volumen</v>
          </cell>
          <cell r="HT5" t="str">
            <v>Campaña</v>
          </cell>
          <cell r="HU5" t="str">
            <v>Volumen</v>
          </cell>
          <cell r="HV5" t="str">
            <v>Campaña</v>
          </cell>
          <cell r="HW5" t="str">
            <v>Volumen</v>
          </cell>
          <cell r="HX5" t="str">
            <v>Campaña</v>
          </cell>
          <cell r="HY5" t="str">
            <v>Volumen</v>
          </cell>
          <cell r="HZ5" t="str">
            <v>Campaña</v>
          </cell>
          <cell r="IA5" t="str">
            <v>Volumen</v>
          </cell>
          <cell r="IB5" t="str">
            <v>Campaña</v>
          </cell>
          <cell r="IC5" t="str">
            <v>Volumen</v>
          </cell>
          <cell r="ID5" t="str">
            <v>Campaña</v>
          </cell>
          <cell r="IE5" t="str">
            <v>Volumen</v>
          </cell>
          <cell r="IF5" t="str">
            <v>Campaña</v>
          </cell>
          <cell r="IG5" t="str">
            <v>Volumen</v>
          </cell>
          <cell r="IH5" t="str">
            <v>Campaña</v>
          </cell>
          <cell r="II5" t="str">
            <v>Volumen</v>
          </cell>
          <cell r="IJ5" t="str">
            <v>Volumen</v>
          </cell>
          <cell r="IK5" t="str">
            <v>Campaña</v>
          </cell>
          <cell r="IL5" t="str">
            <v>Volumen</v>
          </cell>
          <cell r="IM5" t="str">
            <v>Volumen</v>
          </cell>
          <cell r="IN5" t="str">
            <v>Volumen</v>
          </cell>
          <cell r="IO5" t="str">
            <v>Volumen</v>
          </cell>
          <cell r="IP5" t="str">
            <v>Volumen</v>
          </cell>
          <cell r="IQ5" t="str">
            <v>Volumen</v>
          </cell>
          <cell r="IR5" t="str">
            <v>Volumen</v>
          </cell>
          <cell r="IS5" t="str">
            <v>Volumen</v>
          </cell>
          <cell r="IT5" t="str">
            <v>Volumen</v>
          </cell>
          <cell r="IU5" t="str">
            <v>Volumen</v>
          </cell>
          <cell r="IV5" t="str">
            <v>Volumen</v>
          </cell>
          <cell r="IW5" t="str">
            <v>Volumen</v>
          </cell>
          <cell r="IX5" t="str">
            <v>Volumen</v>
          </cell>
          <cell r="IY5" t="str">
            <v>Volumen</v>
          </cell>
          <cell r="IZ5" t="str">
            <v>Volumen</v>
          </cell>
          <cell r="JA5" t="str">
            <v>Volumen año</v>
          </cell>
          <cell r="JB5" t="str">
            <v>Volumen Mensual</v>
          </cell>
          <cell r="JC5" t="str">
            <v>Vol 12 m</v>
          </cell>
          <cell r="JD5" t="str">
            <v>Vol. Salta</v>
          </cell>
          <cell r="JF5" t="str">
            <v>Monto</v>
          </cell>
          <cell r="JG5" t="str">
            <v>Monto</v>
          </cell>
          <cell r="JH5" t="str">
            <v>Monto</v>
          </cell>
          <cell r="JI5" t="str">
            <v>Monto</v>
          </cell>
          <cell r="JJ5" t="str">
            <v>Monto</v>
          </cell>
          <cell r="JK5" t="str">
            <v>Monto</v>
          </cell>
          <cell r="JL5" t="str">
            <v>Monto</v>
          </cell>
          <cell r="JM5" t="str">
            <v>Monto</v>
          </cell>
          <cell r="JN5" t="str">
            <v>Monto</v>
          </cell>
          <cell r="JO5" t="str">
            <v>Monto</v>
          </cell>
          <cell r="JP5" t="str">
            <v>Monto</v>
          </cell>
          <cell r="JQ5" t="str">
            <v>Monto</v>
          </cell>
          <cell r="JR5" t="str">
            <v>Monto</v>
          </cell>
          <cell r="JS5" t="str">
            <v>Monto</v>
          </cell>
          <cell r="JT5" t="str">
            <v>Monto</v>
          </cell>
          <cell r="JU5" t="str">
            <v>Monto</v>
          </cell>
          <cell r="JV5" t="str">
            <v>Monto</v>
          </cell>
          <cell r="JW5" t="str">
            <v>Monto</v>
          </cell>
          <cell r="JX5" t="str">
            <v>Monto</v>
          </cell>
          <cell r="JY5" t="str">
            <v>Monto</v>
          </cell>
          <cell r="JZ5" t="str">
            <v>Monto</v>
          </cell>
          <cell r="KA5" t="str">
            <v>Monto</v>
          </cell>
          <cell r="KB5" t="str">
            <v>Monto</v>
          </cell>
          <cell r="KC5" t="str">
            <v>Monto</v>
          </cell>
          <cell r="KD5" t="str">
            <v>Monto</v>
          </cell>
          <cell r="KE5" t="str">
            <v>Monto</v>
          </cell>
          <cell r="KF5" t="str">
            <v>Monto</v>
          </cell>
          <cell r="KG5" t="str">
            <v>Monto</v>
          </cell>
          <cell r="KH5" t="str">
            <v>Monto</v>
          </cell>
          <cell r="KI5" t="str">
            <v>Monto</v>
          </cell>
          <cell r="KJ5" t="str">
            <v>Monto</v>
          </cell>
          <cell r="KK5" t="str">
            <v>Monto</v>
          </cell>
          <cell r="KL5" t="str">
            <v>Monto</v>
          </cell>
          <cell r="KM5" t="str">
            <v>Monto</v>
          </cell>
          <cell r="KN5" t="str">
            <v>Monto</v>
          </cell>
          <cell r="KO5" t="str">
            <v>Monto</v>
          </cell>
          <cell r="KP5" t="str">
            <v>Monto</v>
          </cell>
          <cell r="KQ5" t="str">
            <v>Monto</v>
          </cell>
          <cell r="KR5" t="str">
            <v>Monto</v>
          </cell>
          <cell r="KS5" t="str">
            <v>Monto</v>
          </cell>
          <cell r="KT5" t="str">
            <v>Monto</v>
          </cell>
          <cell r="KU5" t="str">
            <v>Monto</v>
          </cell>
          <cell r="KV5" t="str">
            <v>Monto</v>
          </cell>
          <cell r="KW5" t="str">
            <v>Monto</v>
          </cell>
          <cell r="KX5" t="str">
            <v>Monto</v>
          </cell>
          <cell r="KY5" t="str">
            <v>Monto</v>
          </cell>
          <cell r="KZ5" t="str">
            <v>Monto</v>
          </cell>
          <cell r="LA5" t="str">
            <v>Monto</v>
          </cell>
          <cell r="LB5" t="str">
            <v>Monto</v>
          </cell>
          <cell r="LC5" t="str">
            <v>Monto</v>
          </cell>
          <cell r="LD5" t="str">
            <v>Monto</v>
          </cell>
          <cell r="LE5" t="str">
            <v>Monto</v>
          </cell>
          <cell r="LF5" t="str">
            <v>Monto</v>
          </cell>
          <cell r="LG5" t="str">
            <v>Monto</v>
          </cell>
          <cell r="LH5" t="str">
            <v>Monto</v>
          </cell>
          <cell r="LI5" t="str">
            <v>Monto</v>
          </cell>
          <cell r="LJ5" t="str">
            <v>Monto</v>
          </cell>
          <cell r="LK5" t="str">
            <v>Monto</v>
          </cell>
          <cell r="LL5" t="str">
            <v>Monto</v>
          </cell>
          <cell r="LM5" t="str">
            <v>Monto</v>
          </cell>
          <cell r="LN5" t="str">
            <v>Monto</v>
          </cell>
          <cell r="LO5" t="str">
            <v>Monto</v>
          </cell>
          <cell r="LQ5" t="str">
            <v>Monto</v>
          </cell>
          <cell r="LR5" t="str">
            <v>Monto</v>
          </cell>
          <cell r="LS5" t="str">
            <v>Monto</v>
          </cell>
          <cell r="LT5" t="str">
            <v>Monto</v>
          </cell>
          <cell r="LU5" t="str">
            <v>Monto</v>
          </cell>
          <cell r="LV5" t="str">
            <v>Monto</v>
          </cell>
          <cell r="LW5" t="str">
            <v>Monto</v>
          </cell>
          <cell r="LX5" t="str">
            <v>Monto</v>
          </cell>
          <cell r="MA5" t="str">
            <v>Arroz blanco simple</v>
          </cell>
          <cell r="MH5" t="str">
            <v>Pan Francés</v>
          </cell>
          <cell r="MI5" t="str">
            <v>Harina de trigo</v>
          </cell>
          <cell r="MJ5" t="str">
            <v>Papa</v>
          </cell>
          <cell r="ML5" t="str">
            <v>Cebolla</v>
          </cell>
          <cell r="MM5" t="str">
            <v>Redondo</v>
          </cell>
          <cell r="MO5" t="str">
            <v>Zapallo Anco</v>
          </cell>
          <cell r="MP5" t="str">
            <v>Vino Común</v>
          </cell>
          <cell r="MQ5" t="str">
            <v>Manzana Red Delicius</v>
          </cell>
          <cell r="MR5" t="str">
            <v>Pera</v>
          </cell>
          <cell r="MS5" t="str">
            <v>Limon</v>
          </cell>
          <cell r="MT5" t="str">
            <v>Mandarina</v>
          </cell>
          <cell r="MU5" t="str">
            <v>Naranja</v>
          </cell>
          <cell r="MY5" t="str">
            <v>Yerba Mate</v>
          </cell>
          <cell r="MZ5" t="str">
            <v xml:space="preserve">Miel Fraccionada </v>
          </cell>
          <cell r="NA5" t="str">
            <v>Pollo entero</v>
          </cell>
          <cell r="NB5" t="str">
            <v>Asado</v>
          </cell>
          <cell r="NC5" t="str">
            <v>Leche fresca entera en sachet</v>
          </cell>
          <cell r="NE5" t="str">
            <v>Pechito de cerdo</v>
          </cell>
        </row>
        <row r="6">
          <cell r="A6" t="str">
            <v>Fuente</v>
          </cell>
          <cell r="F6" t="str">
            <v>BNA</v>
          </cell>
          <cell r="G6" t="str">
            <v>INDEC</v>
          </cell>
          <cell r="H6" t="str">
            <v>CNTA</v>
          </cell>
          <cell r="I6" t="str">
            <v>Márgenes</v>
          </cell>
          <cell r="J6" t="str">
            <v>Márgenes</v>
          </cell>
          <cell r="K6" t="str">
            <v>Márgenes</v>
          </cell>
          <cell r="L6" t="str">
            <v>Márgenes</v>
          </cell>
          <cell r="N6" t="str">
            <v>MAI</v>
          </cell>
          <cell r="O6" t="str">
            <v>MAI</v>
          </cell>
          <cell r="P6" t="str">
            <v>MAI</v>
          </cell>
          <cell r="Q6" t="str">
            <v>SAGyP</v>
          </cell>
          <cell r="R6" t="str">
            <v>MAI</v>
          </cell>
          <cell r="S6" t="str">
            <v>MATba/BCPBB</v>
          </cell>
          <cell r="T6" t="str">
            <v>MATba/BCR</v>
          </cell>
          <cell r="U6" t="str">
            <v>MATba</v>
          </cell>
          <cell r="V6" t="str">
            <v>MATba</v>
          </cell>
          <cell r="W6" t="str">
            <v>MAI</v>
          </cell>
          <cell r="X6" t="str">
            <v>MATba</v>
          </cell>
          <cell r="Y6" t="str">
            <v>MATba/BCPBB</v>
          </cell>
          <cell r="Z6" t="str">
            <v>MATba</v>
          </cell>
          <cell r="AA6" t="str">
            <v>MATba</v>
          </cell>
          <cell r="AB6" t="str">
            <v>MATba</v>
          </cell>
          <cell r="AC6" t="str">
            <v>MATba</v>
          </cell>
          <cell r="AD6" t="str">
            <v>MATba</v>
          </cell>
          <cell r="AE6" t="str">
            <v>MATba</v>
          </cell>
          <cell r="AF6" t="str">
            <v>BCCBA</v>
          </cell>
          <cell r="AG6" t="str">
            <v>INYM</v>
          </cell>
          <cell r="AH6" t="str">
            <v>INYM</v>
          </cell>
          <cell r="AI6" t="str">
            <v>BMDZA</v>
          </cell>
          <cell r="AJ6" t="str">
            <v>BMDZA</v>
          </cell>
          <cell r="AK6" t="str">
            <v>BMDZA</v>
          </cell>
          <cell r="AL6" t="str">
            <v>BMDZA</v>
          </cell>
          <cell r="AM6" t="str">
            <v>BMDZA</v>
          </cell>
          <cell r="AN6" t="str">
            <v>M.Central</v>
          </cell>
          <cell r="AO6" t="str">
            <v>M.Central</v>
          </cell>
          <cell r="AP6" t="str">
            <v>M.Central</v>
          </cell>
          <cell r="AQ6" t="str">
            <v>M.Central</v>
          </cell>
          <cell r="AR6" t="str">
            <v>M.Central</v>
          </cell>
          <cell r="AS6" t="str">
            <v>M.Central</v>
          </cell>
          <cell r="AT6" t="str">
            <v>M.Central</v>
          </cell>
          <cell r="AU6" t="str">
            <v>M.Central</v>
          </cell>
          <cell r="AV6" t="str">
            <v>M.Central</v>
          </cell>
          <cell r="AW6" t="str">
            <v>M.Central</v>
          </cell>
          <cell r="AX6" t="str">
            <v>M.Central</v>
          </cell>
          <cell r="AY6" t="str">
            <v>M.Central</v>
          </cell>
          <cell r="AZ6" t="str">
            <v>M.Central</v>
          </cell>
          <cell r="BA6" t="str">
            <v>M.Central</v>
          </cell>
          <cell r="BB6" t="str">
            <v>M.Central</v>
          </cell>
          <cell r="BC6" t="str">
            <v>Misiones Colegio Forestal</v>
          </cell>
          <cell r="BD6" t="str">
            <v>Misiones Colegio Forestal</v>
          </cell>
          <cell r="BE6" t="str">
            <v>INTA Concordia</v>
          </cell>
          <cell r="BF6" t="str">
            <v>INTA Concordia</v>
          </cell>
          <cell r="BG6" t="str">
            <v>Varios</v>
          </cell>
          <cell r="BH6" t="str">
            <v>Salta - Virginia B1F</v>
          </cell>
          <cell r="BI6" t="str">
            <v>Salta - Virginia B1F</v>
          </cell>
          <cell r="BJ6" t="str">
            <v>Salta - Virginia B1F</v>
          </cell>
          <cell r="BK6" t="str">
            <v>M.Liniers</v>
          </cell>
          <cell r="BL6" t="str">
            <v>Rosgan</v>
          </cell>
          <cell r="BN6" t="str">
            <v>SIGLeA</v>
          </cell>
          <cell r="BO6" t="str">
            <v>Cat Avicola</v>
          </cell>
          <cell r="BP6" t="str">
            <v>Cat Avicola</v>
          </cell>
          <cell r="BQ6" t="str">
            <v>Cat Avicola</v>
          </cell>
          <cell r="BR6" t="str">
            <v>MAI</v>
          </cell>
          <cell r="BS6" t="str">
            <v>INTA</v>
          </cell>
          <cell r="BT6" t="str">
            <v>Prolana-Agroindu</v>
          </cell>
          <cell r="BU6" t="str">
            <v>12C+3,5L</v>
          </cell>
          <cell r="BV6" t="str">
            <v>INTA</v>
          </cell>
          <cell r="BW6" t="str">
            <v>INTA</v>
          </cell>
          <cell r="DK6" t="str">
            <v>Agroindustria</v>
          </cell>
          <cell r="DM6" t="str">
            <v>Agroindustria</v>
          </cell>
          <cell r="DO6" t="str">
            <v>Agroindustria</v>
          </cell>
          <cell r="DQ6" t="str">
            <v>Agroindustria</v>
          </cell>
          <cell r="DS6" t="str">
            <v>Bolsa</v>
          </cell>
          <cell r="DT6" t="str">
            <v>Bolsa</v>
          </cell>
          <cell r="DW6" t="str">
            <v>Agroindustria</v>
          </cell>
          <cell r="DY6" t="str">
            <v>Agroindustria</v>
          </cell>
          <cell r="EB6" t="str">
            <v>Cam Mani</v>
          </cell>
          <cell r="EQ6" t="str">
            <v>Renapa</v>
          </cell>
          <cell r="ER6" t="str">
            <v>Federcitrus-INTA-USDA</v>
          </cell>
          <cell r="ET6" t="str">
            <v>FAO</v>
          </cell>
          <cell r="EU6" t="str">
            <v>FAO</v>
          </cell>
          <cell r="EV6" t="str">
            <v>FAO</v>
          </cell>
          <cell r="EW6" t="str">
            <v>FAO</v>
          </cell>
          <cell r="EX6" t="str">
            <v>FAO</v>
          </cell>
          <cell r="EY6" t="str">
            <v>FAO</v>
          </cell>
          <cell r="EZ6" t="str">
            <v>FENAPP BA</v>
          </cell>
          <cell r="FA6" t="str">
            <v>FAO/INTA/USDA</v>
          </cell>
          <cell r="FB6" t="str">
            <v>FAO/INTA/USDA</v>
          </cell>
          <cell r="FC6" t="str">
            <v>FAO</v>
          </cell>
          <cell r="FD6" t="str">
            <v>FAO</v>
          </cell>
          <cell r="FF6" t="str">
            <v>SAGyP</v>
          </cell>
          <cell r="FH6" t="str">
            <v>SAGyP</v>
          </cell>
          <cell r="FJ6" t="str">
            <v>BCBA</v>
          </cell>
          <cell r="FL6" t="str">
            <v>BCBA</v>
          </cell>
          <cell r="FN6" t="str">
            <v>BCBA</v>
          </cell>
          <cell r="FO6" t="str">
            <v>BCBA</v>
          </cell>
          <cell r="FT6" t="str">
            <v>Agroindustria</v>
          </cell>
          <cell r="FW6" t="str">
            <v>Cam Mani</v>
          </cell>
          <cell r="FY6" t="str">
            <v>INYM</v>
          </cell>
          <cell r="FZ6" t="str">
            <v>INYM</v>
          </cell>
          <cell r="GD6" t="str">
            <v>FederCitrus</v>
          </cell>
          <cell r="GE6" t="str">
            <v>FederCitrus</v>
          </cell>
          <cell r="GF6" t="str">
            <v>FederCitrus</v>
          </cell>
          <cell r="GG6" t="str">
            <v>FederCitrus</v>
          </cell>
          <cell r="GH6" t="str">
            <v>FederCitrus</v>
          </cell>
          <cell r="GI6" t="str">
            <v>FAO</v>
          </cell>
          <cell r="GJ6" t="str">
            <v>FAO</v>
          </cell>
          <cell r="GK6" t="str">
            <v>FAO</v>
          </cell>
          <cell r="GL6" t="str">
            <v>FAO</v>
          </cell>
          <cell r="GM6" t="str">
            <v>FAO</v>
          </cell>
          <cell r="GN6" t="str">
            <v>FAO</v>
          </cell>
          <cell r="GO6" t="str">
            <v>FAO</v>
          </cell>
          <cell r="GP6" t="str">
            <v>FAO</v>
          </cell>
          <cell r="GQ6" t="str">
            <v>Magyp</v>
          </cell>
          <cell r="GR6" t="str">
            <v>FLA</v>
          </cell>
          <cell r="GS6" t="str">
            <v>Magyp+FLA</v>
          </cell>
          <cell r="GT6" t="str">
            <v>FAO</v>
          </cell>
          <cell r="GU6" t="str">
            <v>SENASA</v>
          </cell>
          <cell r="GV6" t="str">
            <v>SENASA</v>
          </cell>
          <cell r="GW6" t="str">
            <v>SENASA</v>
          </cell>
          <cell r="GX6" t="str">
            <v>Cam. Tabacaleros</v>
          </cell>
          <cell r="GY6" t="str">
            <v>Cam. Tabacaleros</v>
          </cell>
          <cell r="GZ6" t="str">
            <v>MAI</v>
          </cell>
          <cell r="HA6" t="str">
            <v>MAI</v>
          </cell>
          <cell r="HD6" t="str">
            <v>Agroind</v>
          </cell>
          <cell r="HG6" t="str">
            <v>Agroind</v>
          </cell>
          <cell r="HJ6" t="str">
            <v>huevos industria</v>
          </cell>
          <cell r="HM6" t="str">
            <v>Carne+Huevo</v>
          </cell>
          <cell r="HO6" t="str">
            <v>leche</v>
          </cell>
          <cell r="IJ6" t="str">
            <v>Cámara del Mani</v>
          </cell>
          <cell r="IL6" t="str">
            <v>Carne</v>
          </cell>
          <cell r="IM6" t="str">
            <v>Magyp</v>
          </cell>
          <cell r="IN6" t="str">
            <v>Eq leche</v>
          </cell>
          <cell r="IO6" t="str">
            <v>Magyp</v>
          </cell>
          <cell r="IP6" t="str">
            <v>Yerba Mate</v>
          </cell>
          <cell r="IQ6" t="str">
            <v>Vino</v>
          </cell>
          <cell r="IR6" t="str">
            <v>Federcitrus</v>
          </cell>
          <cell r="IS6" t="str">
            <v>Federcitrus</v>
          </cell>
          <cell r="IT6" t="str">
            <v>Federcitrus</v>
          </cell>
          <cell r="IU6" t="str">
            <v>Federcitrus</v>
          </cell>
          <cell r="IV6" t="str">
            <v>Federcitrus</v>
          </cell>
          <cell r="JA6" t="str">
            <v>FLA</v>
          </cell>
          <cell r="JF6" t="str">
            <v>INDEC</v>
          </cell>
          <cell r="JG6" t="str">
            <v>INDEC</v>
          </cell>
          <cell r="JH6" t="str">
            <v>INDEC</v>
          </cell>
          <cell r="JI6" t="str">
            <v>INDEC</v>
          </cell>
          <cell r="JJ6" t="str">
            <v>INDEC</v>
          </cell>
          <cell r="JK6" t="str">
            <v>INDEC</v>
          </cell>
          <cell r="JL6" t="str">
            <v>INDEC</v>
          </cell>
          <cell r="JM6" t="str">
            <v>INDEC</v>
          </cell>
          <cell r="JN6" t="str">
            <v>INDEC</v>
          </cell>
          <cell r="JO6" t="str">
            <v>INDEC</v>
          </cell>
          <cell r="JP6" t="str">
            <v>INDEC</v>
          </cell>
          <cell r="JQ6" t="str">
            <v>INDEC</v>
          </cell>
          <cell r="JR6" t="str">
            <v>INDEC</v>
          </cell>
          <cell r="JS6" t="str">
            <v>INDEC</v>
          </cell>
          <cell r="JT6" t="str">
            <v>INDEC</v>
          </cell>
          <cell r="JU6" t="str">
            <v>INDEC</v>
          </cell>
          <cell r="JV6" t="str">
            <v>INDEC</v>
          </cell>
          <cell r="JW6" t="str">
            <v>INDEC</v>
          </cell>
          <cell r="JX6" t="str">
            <v>INDEC</v>
          </cell>
          <cell r="JY6" t="str">
            <v>INDEC</v>
          </cell>
          <cell r="JZ6" t="str">
            <v>INDEC</v>
          </cell>
          <cell r="KA6" t="str">
            <v>INDEC</v>
          </cell>
          <cell r="KB6" t="str">
            <v>INDEC</v>
          </cell>
          <cell r="KC6" t="str">
            <v>INDEC</v>
          </cell>
          <cell r="KD6" t="str">
            <v>INDEC</v>
          </cell>
          <cell r="KE6" t="str">
            <v>INDEC</v>
          </cell>
          <cell r="KF6" t="str">
            <v>INDEC</v>
          </cell>
          <cell r="KG6" t="str">
            <v>INDEC</v>
          </cell>
          <cell r="KH6" t="str">
            <v>INDEC</v>
          </cell>
          <cell r="KI6" t="str">
            <v>INDEC</v>
          </cell>
          <cell r="KJ6" t="str">
            <v>INDEC</v>
          </cell>
          <cell r="KK6" t="str">
            <v>INDEC</v>
          </cell>
          <cell r="KL6" t="str">
            <v>INDEC</v>
          </cell>
          <cell r="KM6" t="str">
            <v>INDEC</v>
          </cell>
          <cell r="KN6" t="str">
            <v>INDEC</v>
          </cell>
          <cell r="KO6" t="str">
            <v>INDEC</v>
          </cell>
          <cell r="KP6" t="str">
            <v>INDEC</v>
          </cell>
          <cell r="KQ6" t="str">
            <v>INDEC</v>
          </cell>
          <cell r="KR6" t="str">
            <v>INDEC</v>
          </cell>
          <cell r="KS6" t="str">
            <v>INDEC</v>
          </cell>
          <cell r="KT6" t="str">
            <v>INDEC</v>
          </cell>
          <cell r="KU6" t="str">
            <v>INDEC</v>
          </cell>
          <cell r="KV6" t="str">
            <v>INDEC</v>
          </cell>
          <cell r="KW6" t="str">
            <v>INDEC</v>
          </cell>
          <cell r="KX6" t="str">
            <v>INDEC</v>
          </cell>
          <cell r="KY6" t="str">
            <v>INDEC</v>
          </cell>
          <cell r="KZ6" t="str">
            <v>INDEC</v>
          </cell>
          <cell r="LA6" t="str">
            <v>INDEC</v>
          </cell>
          <cell r="LB6" t="str">
            <v>INDEC</v>
          </cell>
          <cell r="LC6" t="str">
            <v>INDEC</v>
          </cell>
          <cell r="LD6" t="str">
            <v>INDEC</v>
          </cell>
          <cell r="LE6" t="str">
            <v>INDEC</v>
          </cell>
          <cell r="LF6" t="str">
            <v>INDEC</v>
          </cell>
          <cell r="LG6" t="str">
            <v>INDEC</v>
          </cell>
          <cell r="LH6" t="str">
            <v>INDEC</v>
          </cell>
          <cell r="LI6" t="str">
            <v>INDEC</v>
          </cell>
          <cell r="LJ6" t="str">
            <v>INDEC</v>
          </cell>
          <cell r="LK6" t="str">
            <v>INDEC</v>
          </cell>
          <cell r="LL6" t="str">
            <v>INDEC</v>
          </cell>
          <cell r="LM6" t="str">
            <v>INDEC</v>
          </cell>
          <cell r="LN6" t="str">
            <v>INDEC</v>
          </cell>
          <cell r="LO6" t="str">
            <v>INDEC</v>
          </cell>
          <cell r="LQ6" t="str">
            <v>INDEC</v>
          </cell>
          <cell r="LR6" t="str">
            <v>INDEC</v>
          </cell>
          <cell r="LS6" t="str">
            <v>INDEC</v>
          </cell>
          <cell r="LT6" t="str">
            <v>INDEC</v>
          </cell>
          <cell r="LU6" t="str">
            <v>INDEC</v>
          </cell>
          <cell r="LV6" t="str">
            <v>INDEC</v>
          </cell>
          <cell r="LW6" t="str">
            <v>INDEC</v>
          </cell>
          <cell r="LX6" t="str">
            <v>INDEC</v>
          </cell>
          <cell r="MA6" t="str">
            <v>INDEC</v>
          </cell>
          <cell r="MH6" t="str">
            <v>INDEC</v>
          </cell>
          <cell r="MI6" t="str">
            <v>INDEC</v>
          </cell>
          <cell r="MJ6" t="str">
            <v>INDEC</v>
          </cell>
          <cell r="MK6" t="str">
            <v>MCBA - Supermercados</v>
          </cell>
          <cell r="ML6" t="str">
            <v>INDEC</v>
          </cell>
          <cell r="MM6" t="str">
            <v>INDEC</v>
          </cell>
          <cell r="MN6" t="str">
            <v>MCBA - Supermercados</v>
          </cell>
          <cell r="MO6" t="str">
            <v>INDEC</v>
          </cell>
          <cell r="MQ6" t="str">
            <v>INDEC</v>
          </cell>
          <cell r="MR6" t="str">
            <v>MCBA - Supermercados</v>
          </cell>
          <cell r="MS6" t="str">
            <v>MCBA - Supermercados</v>
          </cell>
          <cell r="MU6" t="str">
            <v>INDEC</v>
          </cell>
          <cell r="MV6" t="str">
            <v>MCBA - Supermercados</v>
          </cell>
          <cell r="MZ6" t="str">
            <v>INTA Manfredi</v>
          </cell>
          <cell r="NA6" t="str">
            <v>IPCVA</v>
          </cell>
          <cell r="NB6" t="str">
            <v>IPCVA</v>
          </cell>
          <cell r="NC6" t="str">
            <v>INDEC</v>
          </cell>
          <cell r="ND6" t="str">
            <v>IPG Santa Cruz</v>
          </cell>
          <cell r="NE6" t="str">
            <v>IPCVA</v>
          </cell>
        </row>
        <row r="7">
          <cell r="A7" t="str">
            <v>Moneda/Unidad</v>
          </cell>
          <cell r="F7" t="str">
            <v>$/u$s</v>
          </cell>
          <cell r="G7" t="str">
            <v>Índice</v>
          </cell>
          <cell r="H7" t="str">
            <v>$/mes</v>
          </cell>
          <cell r="I7" t="str">
            <v>u$s/100 l</v>
          </cell>
          <cell r="J7" t="str">
            <v>u$s/t</v>
          </cell>
          <cell r="K7" t="str">
            <v>u$s/l</v>
          </cell>
          <cell r="L7" t="str">
            <v>u$s/t</v>
          </cell>
          <cell r="N7" t="str">
            <v>u$s/kg</v>
          </cell>
          <cell r="O7" t="str">
            <v>u$s/kg</v>
          </cell>
          <cell r="P7" t="str">
            <v>$/kg</v>
          </cell>
          <cell r="Q7" t="str">
            <v>$/qq</v>
          </cell>
          <cell r="R7" t="str">
            <v>$/t</v>
          </cell>
          <cell r="S7" t="str">
            <v>u$s/t</v>
          </cell>
          <cell r="T7" t="str">
            <v>u$s/t</v>
          </cell>
          <cell r="U7" t="str">
            <v>u$s/t</v>
          </cell>
          <cell r="V7" t="str">
            <v>u$s/t</v>
          </cell>
          <cell r="W7" t="str">
            <v>u$s/t</v>
          </cell>
          <cell r="X7" t="str">
            <v>u$s/t</v>
          </cell>
          <cell r="Y7" t="str">
            <v>$/t</v>
          </cell>
          <cell r="Z7" t="str">
            <v>$/t</v>
          </cell>
          <cell r="AA7" t="str">
            <v>$/t</v>
          </cell>
          <cell r="AB7" t="str">
            <v>$/t</v>
          </cell>
          <cell r="AC7" t="str">
            <v>$/t</v>
          </cell>
          <cell r="AD7" t="str">
            <v>$/t</v>
          </cell>
          <cell r="AE7" t="str">
            <v>$/t</v>
          </cell>
          <cell r="AF7" t="str">
            <v>$/t</v>
          </cell>
          <cell r="AG7" t="str">
            <v>$/t</v>
          </cell>
          <cell r="AH7" t="str">
            <v>$/t</v>
          </cell>
          <cell r="AI7" t="str">
            <v>$/l</v>
          </cell>
          <cell r="AJ7" t="str">
            <v>$/l</v>
          </cell>
          <cell r="AK7" t="str">
            <v>$/l</v>
          </cell>
          <cell r="AL7" t="str">
            <v>$/l</v>
          </cell>
          <cell r="AM7" t="str">
            <v>$/l</v>
          </cell>
          <cell r="AN7" t="str">
            <v>$/kg</v>
          </cell>
          <cell r="AO7" t="str">
            <v>$/kg</v>
          </cell>
          <cell r="AP7" t="str">
            <v>$/kg</v>
          </cell>
          <cell r="AQ7" t="str">
            <v>$/kg</v>
          </cell>
          <cell r="AR7" t="str">
            <v>$/kg</v>
          </cell>
          <cell r="AS7" t="str">
            <v>$/kg</v>
          </cell>
          <cell r="AT7" t="str">
            <v>$/kg</v>
          </cell>
          <cell r="AU7" t="str">
            <v>$/kg</v>
          </cell>
          <cell r="AV7" t="str">
            <v>$/kg</v>
          </cell>
          <cell r="AW7" t="str">
            <v>$/kg</v>
          </cell>
          <cell r="AX7" t="str">
            <v>$/kg</v>
          </cell>
          <cell r="AY7" t="str">
            <v>$/kg</v>
          </cell>
          <cell r="AZ7" t="str">
            <v>$/kg</v>
          </cell>
          <cell r="BA7" t="str">
            <v>$/kg</v>
          </cell>
          <cell r="BB7" t="str">
            <v>$/kg</v>
          </cell>
          <cell r="BC7" t="str">
            <v>$/t</v>
          </cell>
          <cell r="BD7" t="str">
            <v>$/t</v>
          </cell>
          <cell r="BE7" t="str">
            <v>$/t</v>
          </cell>
          <cell r="BF7" t="str">
            <v>$/t</v>
          </cell>
          <cell r="BG7" t="str">
            <v>$/t</v>
          </cell>
          <cell r="BH7" t="str">
            <v>$/kg</v>
          </cell>
          <cell r="BI7" t="str">
            <v>$/kg</v>
          </cell>
          <cell r="BJ7" t="str">
            <v>$/kg</v>
          </cell>
          <cell r="BK7" t="str">
            <v>$/kg</v>
          </cell>
          <cell r="BL7" t="str">
            <v>$/kg</v>
          </cell>
          <cell r="BM7" t="str">
            <v>$/kg</v>
          </cell>
          <cell r="BN7" t="str">
            <v>$/l</v>
          </cell>
          <cell r="BO7" t="str">
            <v>$/kg</v>
          </cell>
          <cell r="BP7" t="str">
            <v xml:space="preserve">$/Docena sin iva </v>
          </cell>
          <cell r="BQ7" t="str">
            <v>prom pond huevo-carne</v>
          </cell>
          <cell r="BR7" t="str">
            <v>$/kg</v>
          </cell>
          <cell r="BS7" t="str">
            <v>$/kg carne</v>
          </cell>
          <cell r="BT7" t="str">
            <v>$/kg</v>
          </cell>
          <cell r="BU7" t="str">
            <v>$/kg</v>
          </cell>
          <cell r="BV7" t="str">
            <v>$/kg</v>
          </cell>
          <cell r="BY7" t="str">
            <v>Indice</v>
          </cell>
          <cell r="BZ7" t="str">
            <v>Indice</v>
          </cell>
          <cell r="CA7" t="str">
            <v>Indice</v>
          </cell>
          <cell r="CB7" t="str">
            <v>Indice</v>
          </cell>
          <cell r="CC7" t="str">
            <v>Indice</v>
          </cell>
          <cell r="CD7" t="str">
            <v>Indice</v>
          </cell>
          <cell r="CE7" t="str">
            <v>Indice</v>
          </cell>
          <cell r="CF7" t="str">
            <v>Indice</v>
          </cell>
          <cell r="CG7" t="str">
            <v>Indice</v>
          </cell>
          <cell r="CH7" t="str">
            <v>Indice</v>
          </cell>
          <cell r="CI7" t="str">
            <v>Indice</v>
          </cell>
          <cell r="CJ7" t="str">
            <v>Indice</v>
          </cell>
          <cell r="CK7" t="str">
            <v>Indice</v>
          </cell>
          <cell r="CL7" t="str">
            <v>Indice</v>
          </cell>
          <cell r="CM7" t="str">
            <v>Indice</v>
          </cell>
          <cell r="CN7" t="str">
            <v>Indice</v>
          </cell>
          <cell r="CO7" t="str">
            <v>Indice</v>
          </cell>
          <cell r="CP7" t="str">
            <v>Indice</v>
          </cell>
          <cell r="CQ7" t="str">
            <v>Indice</v>
          </cell>
          <cell r="CR7" t="str">
            <v>Indice</v>
          </cell>
          <cell r="CS7" t="str">
            <v>Indice</v>
          </cell>
          <cell r="CT7" t="str">
            <v>Indice</v>
          </cell>
          <cell r="CU7" t="str">
            <v>Indice</v>
          </cell>
          <cell r="CV7" t="str">
            <v>Indice</v>
          </cell>
          <cell r="CW7" t="str">
            <v>Indice</v>
          </cell>
          <cell r="CX7" t="str">
            <v>Indice</v>
          </cell>
          <cell r="CY7" t="str">
            <v>Indice</v>
          </cell>
          <cell r="CZ7" t="str">
            <v>Indice</v>
          </cell>
          <cell r="DA7" t="str">
            <v>Indice</v>
          </cell>
          <cell r="DB7" t="str">
            <v>Indice</v>
          </cell>
          <cell r="DC7" t="str">
            <v>Indice</v>
          </cell>
          <cell r="DD7" t="str">
            <v>Indice</v>
          </cell>
          <cell r="DE7" t="str">
            <v>Indice</v>
          </cell>
          <cell r="DF7" t="str">
            <v>Indice</v>
          </cell>
          <cell r="DG7" t="str">
            <v>Indice</v>
          </cell>
          <cell r="DH7" t="str">
            <v>Indice</v>
          </cell>
          <cell r="DI7" t="str">
            <v>Indice</v>
          </cell>
          <cell r="DK7" t="str">
            <v>ha</v>
          </cell>
          <cell r="DM7" t="str">
            <v>ha</v>
          </cell>
          <cell r="DO7" t="str">
            <v>ha</v>
          </cell>
          <cell r="DQ7" t="str">
            <v>ha</v>
          </cell>
          <cell r="DS7" t="str">
            <v>ha</v>
          </cell>
          <cell r="DU7" t="str">
            <v>ha</v>
          </cell>
          <cell r="DW7" t="str">
            <v>ha</v>
          </cell>
          <cell r="DY7" t="str">
            <v>ha</v>
          </cell>
          <cell r="EA7" t="str">
            <v>ha</v>
          </cell>
          <cell r="EB7" t="str">
            <v>ha</v>
          </cell>
          <cell r="ED7" t="str">
            <v>ha</v>
          </cell>
          <cell r="EH7" t="str">
            <v>cab</v>
          </cell>
          <cell r="EJ7" t="str">
            <v>cab</v>
          </cell>
          <cell r="EL7" t="str">
            <v>cab</v>
          </cell>
          <cell r="EN7" t="str">
            <v>cab</v>
          </cell>
          <cell r="EQ7" t="str">
            <v>Unid</v>
          </cell>
          <cell r="ET7" t="str">
            <v>has</v>
          </cell>
          <cell r="EU7" t="str">
            <v>has</v>
          </cell>
          <cell r="EV7" t="str">
            <v>has</v>
          </cell>
          <cell r="EW7" t="str">
            <v>has</v>
          </cell>
          <cell r="EX7" t="str">
            <v>has</v>
          </cell>
          <cell r="EY7" t="str">
            <v>has</v>
          </cell>
          <cell r="EZ7" t="str">
            <v>has</v>
          </cell>
          <cell r="FA7" t="str">
            <v>has</v>
          </cell>
          <cell r="FB7" t="str">
            <v>has</v>
          </cell>
          <cell r="FC7" t="str">
            <v>has</v>
          </cell>
          <cell r="FD7" t="str">
            <v>has</v>
          </cell>
          <cell r="FF7" t="str">
            <v>t</v>
          </cell>
          <cell r="FH7" t="str">
            <v>t</v>
          </cell>
          <cell r="FJ7" t="str">
            <v>t</v>
          </cell>
          <cell r="FL7" t="str">
            <v>t</v>
          </cell>
          <cell r="FN7" t="str">
            <v>t</v>
          </cell>
          <cell r="FP7" t="str">
            <v>t</v>
          </cell>
          <cell r="FR7" t="str">
            <v>t</v>
          </cell>
          <cell r="FT7" t="str">
            <v>t</v>
          </cell>
          <cell r="FV7" t="str">
            <v>t</v>
          </cell>
          <cell r="FW7" t="str">
            <v>t caja</v>
          </cell>
          <cell r="FY7" t="str">
            <v>t</v>
          </cell>
          <cell r="FZ7" t="str">
            <v>t</v>
          </cell>
          <cell r="GB7" t="str">
            <v>qq</v>
          </cell>
          <cell r="GD7" t="str">
            <v>t</v>
          </cell>
          <cell r="GE7" t="str">
            <v>t</v>
          </cell>
          <cell r="GF7" t="str">
            <v>t</v>
          </cell>
          <cell r="GG7" t="str">
            <v>t</v>
          </cell>
          <cell r="GH7" t="str">
            <v>t</v>
          </cell>
          <cell r="GI7" t="str">
            <v>m3</v>
          </cell>
          <cell r="GJ7" t="str">
            <v>t</v>
          </cell>
          <cell r="GK7" t="str">
            <v>t</v>
          </cell>
          <cell r="GL7" t="str">
            <v>t</v>
          </cell>
          <cell r="GM7" t="str">
            <v>t</v>
          </cell>
          <cell r="GN7" t="str">
            <v>t</v>
          </cell>
          <cell r="GO7" t="str">
            <v>t</v>
          </cell>
          <cell r="GP7" t="str">
            <v>t</v>
          </cell>
          <cell r="GQ7" t="str">
            <v>Cabezas</v>
          </cell>
          <cell r="GR7" t="str">
            <v>t</v>
          </cell>
          <cell r="GS7" t="str">
            <v>t</v>
          </cell>
          <cell r="GT7" t="str">
            <v>t</v>
          </cell>
          <cell r="GU7" t="str">
            <v>t</v>
          </cell>
          <cell r="GV7" t="str">
            <v>t</v>
          </cell>
          <cell r="GW7" t="str">
            <v>t</v>
          </cell>
          <cell r="GX7" t="str">
            <v>t</v>
          </cell>
          <cell r="GZ7" t="str">
            <v>t</v>
          </cell>
          <cell r="HA7" t="str">
            <v>t eq. res con hueso</v>
          </cell>
          <cell r="HB7" t="str">
            <v>t eq. res con hueso</v>
          </cell>
          <cell r="HD7" t="str">
            <v>t eq. res con hueso</v>
          </cell>
          <cell r="HE7" t="str">
            <v>t eq. res con hueso</v>
          </cell>
          <cell r="HG7" t="str">
            <v>t eq. res con hueso</v>
          </cell>
          <cell r="HH7" t="str">
            <v>t eq. res con hueso</v>
          </cell>
          <cell r="HJ7" t="str">
            <v>miles de huevos</v>
          </cell>
          <cell r="HK7" t="str">
            <v>t de huevos</v>
          </cell>
          <cell r="HM7" t="str">
            <v>t eq. res con hueso + miles de huevos</v>
          </cell>
          <cell r="HN7" t="str">
            <v>%</v>
          </cell>
          <cell r="HO7" t="str">
            <v>l</v>
          </cell>
          <cell r="HP7" t="str">
            <v>mill. de l</v>
          </cell>
          <cell r="HS7" t="str">
            <v>t</v>
          </cell>
          <cell r="HU7" t="str">
            <v>t</v>
          </cell>
          <cell r="HW7" t="str">
            <v>t</v>
          </cell>
          <cell r="HY7" t="str">
            <v>t</v>
          </cell>
          <cell r="IA7" t="str">
            <v>t</v>
          </cell>
          <cell r="IC7" t="str">
            <v>t</v>
          </cell>
          <cell r="IE7" t="str">
            <v>t</v>
          </cell>
          <cell r="IG7" t="str">
            <v>t</v>
          </cell>
          <cell r="IJ7" t="str">
            <v>kg/hab/año</v>
          </cell>
          <cell r="IL7" t="str">
            <v>kg/hab/año</v>
          </cell>
          <cell r="IM7" t="str">
            <v>kg/hab/año</v>
          </cell>
          <cell r="IN7" t="str">
            <v>l/hab/año</v>
          </cell>
          <cell r="IO7" t="str">
            <v>kg/hab/año</v>
          </cell>
          <cell r="IP7" t="str">
            <v>kg/hab/año</v>
          </cell>
          <cell r="IQ7" t="str">
            <v>l/hab/año</v>
          </cell>
          <cell r="IR7" t="str">
            <v>kg/hab/año</v>
          </cell>
          <cell r="IS7" t="str">
            <v>kg/hab/año</v>
          </cell>
          <cell r="IT7" t="str">
            <v>kg/hab/año</v>
          </cell>
          <cell r="IU7" t="str">
            <v>kg/hab/año</v>
          </cell>
          <cell r="IV7" t="str">
            <v>kg/hab/año</v>
          </cell>
          <cell r="IW7" t="str">
            <v>t</v>
          </cell>
          <cell r="IX7" t="str">
            <v>t</v>
          </cell>
          <cell r="IY7" t="str">
            <v>kg/hab/año</v>
          </cell>
          <cell r="IZ7" t="str">
            <v>kg/hab/año</v>
          </cell>
          <cell r="JA7" t="str">
            <v>t</v>
          </cell>
          <cell r="JB7" t="str">
            <v>t</v>
          </cell>
          <cell r="JC7" t="str">
            <v>t</v>
          </cell>
          <cell r="JD7" t="str">
            <v>t</v>
          </cell>
          <cell r="JF7" t="str">
            <v>Fob (M u$s)</v>
          </cell>
          <cell r="JG7" t="str">
            <v>Fob (M u$s)</v>
          </cell>
          <cell r="JH7" t="str">
            <v>Fob (M u$s)</v>
          </cell>
          <cell r="JI7" t="str">
            <v>Fob (M u$s)</v>
          </cell>
          <cell r="JJ7" t="str">
            <v>Fob (M u$s)</v>
          </cell>
          <cell r="JK7" t="str">
            <v>Fob (M u$s)</v>
          </cell>
          <cell r="JL7" t="str">
            <v>Fob (M u$s)</v>
          </cell>
          <cell r="JM7" t="str">
            <v>Fob (M u$s)</v>
          </cell>
          <cell r="JN7" t="str">
            <v>Fob (M u$s)</v>
          </cell>
          <cell r="JO7" t="str">
            <v>Fob (M u$s)</v>
          </cell>
          <cell r="JP7" t="str">
            <v>Fob (M u$s)</v>
          </cell>
          <cell r="JQ7" t="str">
            <v>Fob (M u$s)</v>
          </cell>
          <cell r="JR7" t="str">
            <v>Fob (M u$s)</v>
          </cell>
          <cell r="JS7" t="str">
            <v>Fob (M u$s)</v>
          </cell>
          <cell r="JT7" t="str">
            <v>Fob (M u$s)</v>
          </cell>
          <cell r="JU7" t="str">
            <v>Fob (M u$s)</v>
          </cell>
          <cell r="JV7" t="str">
            <v>Fob (M u$s)</v>
          </cell>
          <cell r="JW7" t="str">
            <v>Fob (M u$s)</v>
          </cell>
          <cell r="JX7" t="str">
            <v>Fob (M u$s)</v>
          </cell>
          <cell r="JY7" t="str">
            <v>Fob (M u$s)</v>
          </cell>
          <cell r="JZ7" t="str">
            <v>Fob (M u$s)</v>
          </cell>
          <cell r="KA7" t="str">
            <v>Fob (M u$s)</v>
          </cell>
          <cell r="KB7" t="str">
            <v>Fob (M u$s)</v>
          </cell>
          <cell r="KC7" t="str">
            <v>Fob (M u$s)</v>
          </cell>
          <cell r="KD7" t="str">
            <v>Fob (M u$s)</v>
          </cell>
          <cell r="KE7" t="str">
            <v>Fob (M u$s)</v>
          </cell>
          <cell r="KF7" t="str">
            <v>Fob (M u$s)</v>
          </cell>
          <cell r="KG7" t="str">
            <v>Fob (M u$s)</v>
          </cell>
          <cell r="KH7" t="str">
            <v>Fob (M u$s)</v>
          </cell>
          <cell r="KI7" t="str">
            <v>Fob (M u$s)</v>
          </cell>
          <cell r="KJ7" t="str">
            <v>Fob (M u$s)</v>
          </cell>
          <cell r="KK7" t="str">
            <v>Cif (M u$s)</v>
          </cell>
          <cell r="KL7" t="str">
            <v>Cif (M u$s)</v>
          </cell>
          <cell r="KM7" t="str">
            <v>Cif (M u$s)</v>
          </cell>
          <cell r="KN7" t="str">
            <v>Cif (M u$s)</v>
          </cell>
          <cell r="KO7" t="str">
            <v>Cif (M u$s)</v>
          </cell>
          <cell r="KP7" t="str">
            <v>Cif (M u$s)</v>
          </cell>
          <cell r="KQ7" t="str">
            <v>Cif (M u$s)</v>
          </cell>
          <cell r="KR7" t="str">
            <v>Cif (M u$s)</v>
          </cell>
          <cell r="KS7" t="str">
            <v>Cif (M u$s)</v>
          </cell>
          <cell r="KT7" t="str">
            <v>Cif (M u$s)</v>
          </cell>
          <cell r="KU7" t="str">
            <v>Cif (M u$s)</v>
          </cell>
          <cell r="KV7" t="str">
            <v>Cif (M u$s)</v>
          </cell>
          <cell r="KW7" t="str">
            <v>Cif (M u$s)</v>
          </cell>
          <cell r="KX7" t="str">
            <v>Cif (M u$s)</v>
          </cell>
          <cell r="KY7" t="str">
            <v>Cif (M u$s)</v>
          </cell>
          <cell r="KZ7" t="str">
            <v>Cif (M u$s)</v>
          </cell>
          <cell r="LA7" t="str">
            <v>Cif (M u$s)</v>
          </cell>
          <cell r="LB7" t="str">
            <v>Cif (M u$s)</v>
          </cell>
          <cell r="LC7" t="str">
            <v>Cif (M u$s)</v>
          </cell>
          <cell r="LD7" t="str">
            <v>Cif (M u$s)</v>
          </cell>
          <cell r="LE7" t="str">
            <v>Cif (M u$s)</v>
          </cell>
          <cell r="LF7" t="str">
            <v>Cif (M u$s)</v>
          </cell>
          <cell r="LG7" t="str">
            <v>Cif (M u$s)</v>
          </cell>
          <cell r="LH7" t="str">
            <v>Cif (M u$s)</v>
          </cell>
          <cell r="LI7" t="str">
            <v>Cif (M u$s)</v>
          </cell>
          <cell r="LJ7" t="str">
            <v>Cif (M u$s)</v>
          </cell>
          <cell r="LK7" t="str">
            <v>Cif (M u$s)</v>
          </cell>
          <cell r="LL7" t="str">
            <v>Cif (M u$s)</v>
          </cell>
          <cell r="LM7" t="str">
            <v>Cif (M u$s)</v>
          </cell>
          <cell r="LN7" t="str">
            <v>Cif (M u$s)</v>
          </cell>
          <cell r="LO7" t="str">
            <v>Cif (M u$s)</v>
          </cell>
          <cell r="LQ7" t="str">
            <v>Fob (M u$s)</v>
          </cell>
          <cell r="LR7" t="str">
            <v>Fob (M u$s)</v>
          </cell>
          <cell r="LS7" t="str">
            <v>Fob (M u$s)</v>
          </cell>
          <cell r="LT7" t="str">
            <v>Fob (M u$s)</v>
          </cell>
          <cell r="LU7" t="str">
            <v>Cif (M u$s)</v>
          </cell>
          <cell r="LV7" t="str">
            <v>Cif (M u$s)</v>
          </cell>
          <cell r="LW7" t="str">
            <v>Cif (M u$s)</v>
          </cell>
          <cell r="LX7" t="str">
            <v>Cif (M u$s)</v>
          </cell>
          <cell r="LZ7" t="str">
            <v>$/100 g</v>
          </cell>
          <cell r="MA7" t="str">
            <v>$/kg</v>
          </cell>
          <cell r="MH7" t="str">
            <v>$/kg</v>
          </cell>
          <cell r="MI7" t="str">
            <v>$/kg</v>
          </cell>
          <cell r="MJ7" t="str">
            <v>$/kg</v>
          </cell>
          <cell r="MK7" t="str">
            <v>$/kg</v>
          </cell>
          <cell r="ML7" t="str">
            <v>$/kg</v>
          </cell>
          <cell r="MM7" t="str">
            <v>$/kg</v>
          </cell>
          <cell r="MN7" t="str">
            <v>$/kg</v>
          </cell>
          <cell r="MO7" t="str">
            <v>$/kg</v>
          </cell>
          <cell r="MP7" t="str">
            <v>$/l</v>
          </cell>
          <cell r="MQ7" t="str">
            <v>$/kg</v>
          </cell>
          <cell r="MR7" t="str">
            <v>$/kg</v>
          </cell>
          <cell r="MS7" t="str">
            <v>$/kg</v>
          </cell>
          <cell r="MT7" t="str">
            <v>$/kg</v>
          </cell>
          <cell r="MU7" t="str">
            <v>$/kg</v>
          </cell>
          <cell r="MV7" t="str">
            <v>$/kg</v>
          </cell>
          <cell r="MY7" t="str">
            <v>$/1/2 kg</v>
          </cell>
          <cell r="MZ7" t="str">
            <v>$/kg</v>
          </cell>
          <cell r="NA7" t="str">
            <v>$/kg</v>
          </cell>
          <cell r="NB7" t="str">
            <v>$/kg</v>
          </cell>
          <cell r="NC7" t="str">
            <v>$/l</v>
          </cell>
          <cell r="NE7" t="str">
            <v>$/kg</v>
          </cell>
        </row>
        <row r="8">
          <cell r="A8" t="str">
            <v>Concatenar</v>
          </cell>
          <cell r="B8" t="str">
            <v>mes</v>
          </cell>
          <cell r="C8" t="str">
            <v>año</v>
          </cell>
          <cell r="F8" t="str">
            <v>Dólar</v>
          </cell>
          <cell r="G8" t="str">
            <v>Inflación|IPC</v>
          </cell>
          <cell r="H8" t="str">
            <v>Sueldos|Peón</v>
          </cell>
          <cell r="I8" t="str">
            <v>Labores|Gasoil</v>
          </cell>
          <cell r="J8" t="str">
            <v>Insumo|Urea</v>
          </cell>
          <cell r="K8" t="str">
            <v>Insumo|Glifosato</v>
          </cell>
          <cell r="L8" t="str">
            <v>Flete|300 km BA</v>
          </cell>
          <cell r="N8" t="str">
            <v>Precio|Algodón|C 1/2</v>
          </cell>
          <cell r="O8" t="str">
            <v>Precio|Algodón|D 1/2</v>
          </cell>
          <cell r="P8" t="str">
            <v>Precio|Algodón|Promedio</v>
          </cell>
          <cell r="Q8" t="str">
            <v>Precio|Arroz|Largo Fino</v>
          </cell>
          <cell r="R8" t="str">
            <v>Precio|Arroz|Largo Fino</v>
          </cell>
          <cell r="S8" t="str">
            <v>Precio|Cebada|Pizarra BB</v>
          </cell>
          <cell r="T8" t="str">
            <v>Precio|Girasol|Disp. ROS</v>
          </cell>
          <cell r="U8" t="str">
            <v>Precio|Maíz|ROS abril</v>
          </cell>
          <cell r="V8" t="str">
            <v>Precio|Soja|ROS Mayo</v>
          </cell>
          <cell r="W8" t="str">
            <v>Precio|Sorgo|Granífero</v>
          </cell>
          <cell r="X8" t="str">
            <v>Precio|Trigo|ROS Enero</v>
          </cell>
          <cell r="Y8" t="str">
            <v>|Cebada|Disp. QQ</v>
          </cell>
          <cell r="Z8" t="str">
            <v>|Girasol|Disp. ROS</v>
          </cell>
          <cell r="AA8" t="str">
            <v>|Maíz|Disp. ROS</v>
          </cell>
          <cell r="AB8" t="str">
            <v>|Soja|Disp. ROS</v>
          </cell>
          <cell r="AC8" t="str">
            <v>|Sorgo|Disp. ROS</v>
          </cell>
          <cell r="AD8" t="str">
            <v>|Trigo|Disp. BA</v>
          </cell>
          <cell r="AE8" t="str">
            <v>Precio|Granos|Disp.</v>
          </cell>
          <cell r="AF8" t="str">
            <v>Precio|Maní|Pizarra</v>
          </cell>
          <cell r="AG8" t="str">
            <v>Precio|Yerba Mate|Hoja Verde</v>
          </cell>
          <cell r="AH8" t="str">
            <v>Precio|Yerba Mate|Canchada</v>
          </cell>
          <cell r="AI8" t="str">
            <v>Precio|Vino Tinto|Disp.</v>
          </cell>
          <cell r="AJ8" t="str">
            <v>Precio|Vino Rosado|Disp.</v>
          </cell>
          <cell r="AK8" t="str">
            <v>Precio|Vino Blanco|Disp.</v>
          </cell>
          <cell r="AL8" t="str">
            <v>Precio|Mosto|Disp.</v>
          </cell>
          <cell r="AM8" t="str">
            <v>Precio|Vino y Mosto|Disp.</v>
          </cell>
          <cell r="AN8" t="str">
            <v>Precio|Manzana|Mayorista</v>
          </cell>
          <cell r="AO8" t="str">
            <v>Precio|Pera|Mayorista</v>
          </cell>
          <cell r="AP8" t="str">
            <v>Precio|Pera y Manzana|Mayorista</v>
          </cell>
          <cell r="AQ8" t="str">
            <v>Precio|Limón|Mayorista</v>
          </cell>
          <cell r="AR8" t="str">
            <v>Precio|Mandarina|Mayorista</v>
          </cell>
          <cell r="AS8" t="str">
            <v>Precio|Naranja|Mayorista</v>
          </cell>
          <cell r="AT8" t="str">
            <v>Precio|Pomelo|Mayorista</v>
          </cell>
          <cell r="AU8" t="str">
            <v>Precio|Citricos Dulces|Mayorista</v>
          </cell>
          <cell r="AV8" t="str">
            <v>Precio|Papa|Mayorista</v>
          </cell>
          <cell r="AW8" t="str">
            <v>Precio|Mandioca|Mayorista</v>
          </cell>
          <cell r="AX8" t="str">
            <v>Precio|Cebolla|Mayorista</v>
          </cell>
          <cell r="AY8" t="str">
            <v>Precio|Tomate|Mayorista</v>
          </cell>
          <cell r="AZ8" t="str">
            <v>Precio|Zanahoria|Mayorista</v>
          </cell>
          <cell r="BA8" t="str">
            <v>Precio|Zapallo|Mayorista</v>
          </cell>
          <cell r="BB8" t="str">
            <v>Precio|Hortalizas|Mayorista</v>
          </cell>
          <cell r="BC8" t="str">
            <v>Precio|Forestación|Pino 25-30 pf</v>
          </cell>
          <cell r="BD8" t="str">
            <v>Precio|Forestación|Euca 25-30 pf</v>
          </cell>
          <cell r="BE8" t="str">
            <v>Precio|Forestación|Euca +18pf</v>
          </cell>
          <cell r="BG8" t="str">
            <v>Precio|Novillito|Prom.</v>
          </cell>
          <cell r="BH8" t="str">
            <v>Precio|Tabaco|Acopio</v>
          </cell>
          <cell r="BI8" t="str">
            <v>Precio|Tabaco|FET</v>
          </cell>
          <cell r="BJ8" t="str">
            <v>Precio|Tabaco|Acopio+FET</v>
          </cell>
          <cell r="BK8" t="str">
            <v>Precio|Novillito|Prom Rinde 55%</v>
          </cell>
          <cell r="BL8" t="str">
            <v>Precio|Ternero|Prom.</v>
          </cell>
          <cell r="BN8" t="str">
            <v>Precio|Leche|Prom.</v>
          </cell>
          <cell r="BO8" t="str">
            <v>Precio|Pollo|Prom Mayorista</v>
          </cell>
          <cell r="BP8" t="str">
            <v>Precio|Huevo|Doc  Mayorista</v>
          </cell>
          <cell r="BQ8" t="str">
            <v>Precio|Aves|Prom.</v>
          </cell>
          <cell r="BR8" t="str">
            <v>Precio|Capón|Prom.</v>
          </cell>
          <cell r="BS8" t="str">
            <v>Precio|Cordero|Prom</v>
          </cell>
          <cell r="BT8" t="str">
            <v>Precio|Lana|Prom</v>
          </cell>
          <cell r="BV8" t="str">
            <v>Precio|Miel|Exportacion</v>
          </cell>
          <cell r="BX8" t="str">
            <v>||</v>
          </cell>
          <cell r="BY8" t="str">
            <v>Costo|Algodón|Indice</v>
          </cell>
          <cell r="BZ8" t="str">
            <v>Costo|Arroz|Indice</v>
          </cell>
          <cell r="CA8" t="str">
            <v>Costo|Cebada|Indice</v>
          </cell>
          <cell r="CB8" t="str">
            <v>Costo|Girasol|Indice</v>
          </cell>
          <cell r="CC8" t="str">
            <v>Costo|Maíz|Indice</v>
          </cell>
          <cell r="CD8" t="str">
            <v>Costo|Soja|Indice</v>
          </cell>
          <cell r="CE8" t="str">
            <v>Costo|Sorgo|Indice</v>
          </cell>
          <cell r="CF8" t="str">
            <v>Costo|Trigo|Indice</v>
          </cell>
          <cell r="CG8" t="str">
            <v>Costo|Granos|Indice</v>
          </cell>
          <cell r="CH8" t="str">
            <v>Costo|Maní|Indice</v>
          </cell>
          <cell r="CI8" t="str">
            <v>Costo|Papa|Indice</v>
          </cell>
          <cell r="CJ8" t="str">
            <v>Costo|Mandioca|Indice</v>
          </cell>
          <cell r="CK8" t="str">
            <v>Costo|Cebolla|Indice</v>
          </cell>
          <cell r="CL8" t="str">
            <v>Costo|Tomate|Indice</v>
          </cell>
          <cell r="CM8" t="str">
            <v>Costo|Zanahoria|Indice</v>
          </cell>
          <cell r="CN8" t="str">
            <v>Costo|Zapallo|Indice</v>
          </cell>
          <cell r="CO8" t="str">
            <v>Costo|Hortalizas|Indice</v>
          </cell>
          <cell r="CP8" t="str">
            <v>Costo|Vino-Mosto|Indice</v>
          </cell>
          <cell r="CQ8" t="str">
            <v>Costo|Manzana|Indice</v>
          </cell>
          <cell r="CR8" t="str">
            <v>Costo|Pera|Indice</v>
          </cell>
          <cell r="CS8" t="str">
            <v>Costo|Pera y Manzana|Indice</v>
          </cell>
          <cell r="CT8" t="str">
            <v>Costo|Limon|Indice</v>
          </cell>
          <cell r="CU8" t="str">
            <v>Costo|Mandarina|Indice</v>
          </cell>
          <cell r="CV8" t="str">
            <v>Costo|Naranja|Indice</v>
          </cell>
          <cell r="CW8" t="str">
            <v>Costo|Pomelo|Indice</v>
          </cell>
          <cell r="CX8" t="str">
            <v>Costo|Citricos Dulces|Indice</v>
          </cell>
          <cell r="CY8" t="str">
            <v>Costo|Yerba Mate|Indice</v>
          </cell>
          <cell r="CZ8" t="str">
            <v>Costo|Forestación|Indice</v>
          </cell>
          <cell r="DA8" t="str">
            <v>Costo|Tabaco|Indice</v>
          </cell>
          <cell r="DB8" t="str">
            <v>Costo|Bovinos|Indice</v>
          </cell>
          <cell r="DC8" t="str">
            <v>Costo|Leche|Indice</v>
          </cell>
          <cell r="DD8" t="str">
            <v>Costo|Porcino|Indice</v>
          </cell>
          <cell r="DE8" t="str">
            <v>Costo|Aviar Pollo|Indice</v>
          </cell>
          <cell r="DF8" t="str">
            <v>Costo|Aviar Huevo|Indice</v>
          </cell>
          <cell r="DG8" t="str">
            <v>Costo|Aves|Indice</v>
          </cell>
          <cell r="DH8" t="str">
            <v>Costo|Miel|Indice</v>
          </cell>
          <cell r="DI8" t="str">
            <v>Costo|Ovino|Indice</v>
          </cell>
          <cell r="DK8" t="str">
            <v>Área/Stock|Algodón|Sup</v>
          </cell>
          <cell r="DL8" t="str">
            <v>Área/Stock|Algodón|Campaña</v>
          </cell>
          <cell r="DM8" t="str">
            <v>Área/Stock|Arroz|Sup</v>
          </cell>
          <cell r="DN8" t="str">
            <v>Área/Stock|Arroz|Campaña</v>
          </cell>
          <cell r="DO8" t="str">
            <v>Área/Stock|Cebada|Sup</v>
          </cell>
          <cell r="DP8" t="str">
            <v>Área/Stock|Cebada|Campaña</v>
          </cell>
          <cell r="DQ8" t="str">
            <v>Área/Stock|Girasol|Sup</v>
          </cell>
          <cell r="DR8" t="str">
            <v>Área/Stock|Girasol|Campaña</v>
          </cell>
          <cell r="DS8" t="str">
            <v>Área/Stock|Maíz|Sup</v>
          </cell>
          <cell r="DT8" t="str">
            <v>Área/Stock|Maíz|Campaña</v>
          </cell>
          <cell r="DU8" t="str">
            <v>Área/Stock|Soja|Sup</v>
          </cell>
          <cell r="DV8" t="str">
            <v>Área/Stock|Soja|Campaña</v>
          </cell>
          <cell r="DW8" t="str">
            <v>Área/Stock|Sorgo|Sup</v>
          </cell>
          <cell r="DX8" t="str">
            <v>Área/Stock|Sorgo|Campaña</v>
          </cell>
          <cell r="DY8" t="str">
            <v>Área/Stock|Trigo|Sup</v>
          </cell>
          <cell r="DZ8" t="str">
            <v>Área/Stock|Trigo|Campaña</v>
          </cell>
          <cell r="EB8" t="str">
            <v>Área/Stock|Maní|Sup</v>
          </cell>
          <cell r="EC8" t="str">
            <v>Área/Stock|Maní|Campaña</v>
          </cell>
          <cell r="ED8" t="str">
            <v>Área/Stock|Yerba Mate|Sup</v>
          </cell>
          <cell r="EE8" t="str">
            <v>Área/Stock|Yerba Mate|Campaña</v>
          </cell>
          <cell r="EF8" t="str">
            <v>Área/Stock|Vitivinicultura|Sup</v>
          </cell>
          <cell r="EG8" t="str">
            <v>Área/Stock|Vitivinicultura|Campaña</v>
          </cell>
          <cell r="EH8" t="str">
            <v>Área/Stock|Bovinos|Cab</v>
          </cell>
          <cell r="EI8" t="str">
            <v>Área/Stock|Bovinos|Año</v>
          </cell>
          <cell r="EJ8" t="str">
            <v>Área/Stock|Porcinos|Cab</v>
          </cell>
          <cell r="EK8" t="str">
            <v>Área/Stock|Porcinos|Año</v>
          </cell>
          <cell r="EL8" t="str">
            <v>Área/Stock|Ovinos|Cab</v>
          </cell>
          <cell r="EM8" t="str">
            <v>Área/Stock|Ovinos|Año</v>
          </cell>
          <cell r="EN8" t="str">
            <v>Área/Stock|Lechería|Cab</v>
          </cell>
          <cell r="EO8" t="str">
            <v>Área/Stock|Lechería|Año</v>
          </cell>
          <cell r="EP8" t="str">
            <v>Área/Stock|Aves|Año</v>
          </cell>
          <cell r="EQ8" t="str">
            <v>Área/Stock|Miel|Colmenas</v>
          </cell>
          <cell r="ER8" t="str">
            <v>Área/Stock|Cítricos|Sup</v>
          </cell>
          <cell r="ES8" t="str">
            <v>Área/Stock|Forestal|Sup</v>
          </cell>
          <cell r="ET8" t="str">
            <v>Área/Stock|Cebolla|Sup</v>
          </cell>
          <cell r="EU8" t="str">
            <v>Área/Stock|Tomate|Sup</v>
          </cell>
          <cell r="EV8" t="str">
            <v>Área/Stock|Zanahoria|Sup</v>
          </cell>
          <cell r="EW8" t="str">
            <v>Área/Stock|Zapallo|Sup</v>
          </cell>
          <cell r="EX8" t="str">
            <v>Área/Stock|Hortalizas|Sup</v>
          </cell>
          <cell r="EY8" t="str">
            <v>Área/Stock|Mandioca|Sup</v>
          </cell>
          <cell r="EZ8" t="str">
            <v>Área/Stock|Papa|Sup Cosechada</v>
          </cell>
          <cell r="FA8" t="str">
            <v>Área/Stock|Peras|Sup</v>
          </cell>
          <cell r="FB8" t="str">
            <v>Área/Stock|Manzanas|Sup</v>
          </cell>
          <cell r="FD8" t="str">
            <v>Área/Stock|Tabaco|Sup</v>
          </cell>
          <cell r="FF8" t="str">
            <v>Producción|Algodón|Volumen</v>
          </cell>
          <cell r="FG8" t="str">
            <v>Producción|Algodón|Campaña</v>
          </cell>
          <cell r="FH8" t="str">
            <v>Producción|Arroz|Volumen</v>
          </cell>
          <cell r="FI8" t="str">
            <v>Producción|Arroz|Campaña</v>
          </cell>
          <cell r="FJ8" t="str">
            <v>Producción|Cebada|Volumen</v>
          </cell>
          <cell r="FK8" t="str">
            <v>Producción|Cebada|Campaña</v>
          </cell>
          <cell r="FL8" t="str">
            <v>Producción|Girasol|Volumen</v>
          </cell>
          <cell r="FM8" t="str">
            <v>Producción|Girasol|Campaña</v>
          </cell>
          <cell r="FN8" t="str">
            <v>Producción|Maíz|Volumen</v>
          </cell>
          <cell r="FO8" t="str">
            <v>Producción|Maíz|Campaña</v>
          </cell>
          <cell r="FP8" t="str">
            <v>Producción|Soja|Volumen</v>
          </cell>
          <cell r="FQ8" t="str">
            <v>Producción|Soja|Campaña</v>
          </cell>
          <cell r="FR8" t="str">
            <v>Producción|Sorgo|Volumen</v>
          </cell>
          <cell r="FS8" t="str">
            <v>Producción|Sorgo|Campaña</v>
          </cell>
          <cell r="FT8" t="str">
            <v>Producción|Trigo|Volumen</v>
          </cell>
          <cell r="FU8" t="str">
            <v>Producción|Trigo|Campaña</v>
          </cell>
          <cell r="FV8" t="str">
            <v>Producción|Granos|Volumen</v>
          </cell>
          <cell r="FW8" t="str">
            <v>Producción|Maní|Volumen</v>
          </cell>
          <cell r="FX8" t="str">
            <v>Producción|Maní|Campaña</v>
          </cell>
          <cell r="FY8" t="str">
            <v>Producción|Yerba Mate|Mensual</v>
          </cell>
          <cell r="FZ8" t="str">
            <v>Producción|Yerba Mate|12 meses</v>
          </cell>
          <cell r="GA8" t="str">
            <v>Producción|Yerba Mate|Campaña</v>
          </cell>
          <cell r="GB8" t="str">
            <v>Producción|Uva para vino|Volumen</v>
          </cell>
          <cell r="GD8" t="str">
            <v>Producción|Limón|Volumen</v>
          </cell>
          <cell r="GE8" t="str">
            <v>Producción|Mandarina|Volumen</v>
          </cell>
          <cell r="GF8" t="str">
            <v>Producción|Naranja|Volumen</v>
          </cell>
          <cell r="GG8" t="str">
            <v>Producción|Pomelo|Volumen</v>
          </cell>
          <cell r="GH8" t="str">
            <v>Producción|Cítricos|Volumen</v>
          </cell>
          <cell r="GI8" t="str">
            <v>Producción|Forestal|Volumen</v>
          </cell>
          <cell r="GJ8" t="str">
            <v>Producción|Cebolla|Volumen</v>
          </cell>
          <cell r="GK8" t="str">
            <v>Producción|Tomate|Volumen</v>
          </cell>
          <cell r="GL8" t="str">
            <v>Producción|Zanahoria|Volumen</v>
          </cell>
          <cell r="GM8" t="str">
            <v>Producción|Zapallo|Volumen</v>
          </cell>
          <cell r="GN8" t="str">
            <v>Producción|Hortalizas|Volumen</v>
          </cell>
          <cell r="GO8" t="str">
            <v>Producción|Mandioca|Volumen</v>
          </cell>
          <cell r="GP8" t="str">
            <v>Producción|Miel|Volumen</v>
          </cell>
          <cell r="GQ8" t="str">
            <v>Producción|Ovino Carne|Faena</v>
          </cell>
          <cell r="GR8" t="str">
            <v>Producción|Lana|Volumen</v>
          </cell>
          <cell r="GS8" t="str">
            <v>Producción|Ovino|Volumen</v>
          </cell>
          <cell r="GT8" t="str">
            <v>Producción|Papa|Volumen</v>
          </cell>
          <cell r="GU8" t="str">
            <v>Producción|Pera|Volumen Mensual</v>
          </cell>
          <cell r="GV8" t="str">
            <v>Producción|Manzana|Volumen Mensual</v>
          </cell>
          <cell r="GW8" t="str">
            <v>Producción|Pera y Manzana|Vol 12 m</v>
          </cell>
          <cell r="GX8" t="str">
            <v>Producción|Tabaco|Vol. Salta</v>
          </cell>
          <cell r="GY8" t="str">
            <v>Producción|Tabaco|Campaña</v>
          </cell>
          <cell r="GZ8" t="str">
            <v>Producción|Tabaco|Vol. Nacional</v>
          </cell>
          <cell r="HA8" t="str">
            <v>Producción|Bovinos|Mensual</v>
          </cell>
          <cell r="HB8" t="str">
            <v>Producción|Bovinos|12 meses</v>
          </cell>
          <cell r="HC8" t="str">
            <v>Producción|Bovinos|12 meses</v>
          </cell>
          <cell r="HD8" t="str">
            <v>Producción|Porcinos|Mensual</v>
          </cell>
          <cell r="HE8" t="str">
            <v>Producción|Porcinos|12 meses</v>
          </cell>
          <cell r="HF8" t="str">
            <v>Producción|Porcinos|12 meses</v>
          </cell>
          <cell r="HG8" t="str">
            <v>Producción|Aviar|Mensual</v>
          </cell>
          <cell r="HH8" t="str">
            <v>Producción|Aviar|12 meses</v>
          </cell>
          <cell r="HI8" t="str">
            <v>Producción|Aviar|12 meses</v>
          </cell>
          <cell r="HJ8" t="str">
            <v>Producción|Aviar|Mensual</v>
          </cell>
          <cell r="HK8" t="str">
            <v>Producción|Aviar|12 meses</v>
          </cell>
          <cell r="HL8" t="str">
            <v>Producción|Aviar|12 meses</v>
          </cell>
          <cell r="HM8" t="str">
            <v>Producción|Aviar|12 meses</v>
          </cell>
          <cell r="HN8" t="str">
            <v>Producción|Lechería|Var. interanual</v>
          </cell>
          <cell r="HO8" t="str">
            <v>Producción|Lechería|Mensual</v>
          </cell>
          <cell r="HP8" t="str">
            <v>Producción|Lechería|12 meses</v>
          </cell>
          <cell r="HQ8" t="str">
            <v>Producción|Lechería|12 meses</v>
          </cell>
          <cell r="HS8" t="str">
            <v>Consumo|Algodón|Volumen</v>
          </cell>
          <cell r="HT8" t="str">
            <v>Consumo|Algodón|Campaña</v>
          </cell>
          <cell r="HU8" t="str">
            <v>Consumo|Arroz|Volumen</v>
          </cell>
          <cell r="HV8" t="str">
            <v>Consumo|Arroz|Campaña</v>
          </cell>
          <cell r="HW8" t="str">
            <v>Consumo|Cebada|Volumen</v>
          </cell>
          <cell r="HX8" t="str">
            <v>Consumo|Cebada|Campaña</v>
          </cell>
          <cell r="HY8" t="str">
            <v>Consumo|Girasol|Volumen</v>
          </cell>
          <cell r="HZ8" t="str">
            <v>Consumo|Girasol|Campaña</v>
          </cell>
          <cell r="IA8" t="str">
            <v>Consumo|Maíz|Volumen</v>
          </cell>
          <cell r="IB8" t="str">
            <v>Consumo|Maíz|Campaña</v>
          </cell>
          <cell r="IC8" t="str">
            <v>Consumo|Soja|Volumen</v>
          </cell>
          <cell r="ID8" t="str">
            <v>Consumo|Soja|Campaña</v>
          </cell>
          <cell r="IE8" t="str">
            <v>Consumo|Sorgo|Volumen</v>
          </cell>
          <cell r="IF8" t="str">
            <v>Consumo|Sorgo|Campaña</v>
          </cell>
          <cell r="IG8" t="str">
            <v>Consumo|Trigo|Volumen</v>
          </cell>
          <cell r="IH8" t="str">
            <v>Consumo|Trigo|Campaña</v>
          </cell>
          <cell r="II8" t="str">
            <v>Consumo|Granos|Volumen</v>
          </cell>
          <cell r="IJ8" t="str">
            <v>Consumo|Maní|Volumen</v>
          </cell>
          <cell r="IK8" t="str">
            <v>Consumo|Maní|Campaña</v>
          </cell>
          <cell r="IL8" t="str">
            <v>Consumo|Aves|Volumen</v>
          </cell>
          <cell r="IM8" t="str">
            <v>Consumo|Bovinos|Volumen</v>
          </cell>
          <cell r="IN8" t="str">
            <v>Consumo|Lácteos|Volumen</v>
          </cell>
          <cell r="IO8" t="str">
            <v>Consumo|Porcinos|Volumen</v>
          </cell>
          <cell r="IP8" t="str">
            <v>Consumo|Yerba Mate|Volumen</v>
          </cell>
          <cell r="IQ8" t="str">
            <v>Consumo|Vitivinicultura|Volumen</v>
          </cell>
          <cell r="IR8" t="str">
            <v>Consumo|Limón|Volumen</v>
          </cell>
          <cell r="IS8" t="str">
            <v>Consumo|Mandarina|Volumen</v>
          </cell>
          <cell r="IT8" t="str">
            <v>Consumo|Naranja|Volumen</v>
          </cell>
          <cell r="IU8" t="str">
            <v>Consumo|Pomelo|Volumen</v>
          </cell>
          <cell r="IV8" t="str">
            <v>Consumo|Citricos Dulces|Volumen</v>
          </cell>
          <cell r="IW8" t="str">
            <v>Consumo|Forestal|Volumen</v>
          </cell>
          <cell r="IX8" t="str">
            <v>Consumo|Hortalizas|Volumen</v>
          </cell>
          <cell r="IY8" t="str">
            <v>Consumo|Mandioca|Volumen</v>
          </cell>
          <cell r="IZ8" t="str">
            <v>Consumo|Miel|Volumen</v>
          </cell>
          <cell r="JA8" t="str">
            <v>Consumo|Ovino|Volumen año</v>
          </cell>
          <cell r="JB8" t="str">
            <v>Consumo|Papa|Volumen Mensual</v>
          </cell>
          <cell r="JC8" t="str">
            <v>Consumo|Peras y Manzanas|Vol 12 m</v>
          </cell>
          <cell r="JD8" t="str">
            <v>Consumo|Tabaco|Vol. Salta</v>
          </cell>
          <cell r="JF8" t="str">
            <v>Exportaciones|Algodón|Monto</v>
          </cell>
          <cell r="JG8" t="str">
            <v>Exportaciones|Arroz|Monto</v>
          </cell>
          <cell r="JH8" t="str">
            <v>Exportaciones|Cebada|Monto</v>
          </cell>
          <cell r="JI8" t="str">
            <v>Exportaciones|Girasol|Monto</v>
          </cell>
          <cell r="JJ8" t="str">
            <v>Exportaciones|Maíz|Monto</v>
          </cell>
          <cell r="JK8" t="str">
            <v>Exportaciones|Maní|Monto</v>
          </cell>
          <cell r="JL8" t="str">
            <v>Exportaciones|Soja|Monto</v>
          </cell>
          <cell r="JM8" t="str">
            <v>Exportaciones|Sorgo|Monto</v>
          </cell>
          <cell r="JN8" t="str">
            <v>Exportaciones|Trigo|Monto</v>
          </cell>
          <cell r="JO8" t="str">
            <v>Exportaciones|Papa|Monto</v>
          </cell>
          <cell r="JP8" t="str">
            <v>Exportaciones|Mandioca|Monto</v>
          </cell>
          <cell r="JQ8" t="str">
            <v>Exportaciones|Cebolla|Monto</v>
          </cell>
          <cell r="JR8" t="str">
            <v>Exportaciones|Tomate|Monto</v>
          </cell>
          <cell r="JS8" t="str">
            <v>Exportaciones|Zanahoria|Monto</v>
          </cell>
          <cell r="JT8" t="str">
            <v>Exportaciones|Zapallo|Monto</v>
          </cell>
          <cell r="JU8" t="str">
            <v>Exportaciones|Vitícola|Monto</v>
          </cell>
          <cell r="JV8" t="str">
            <v>Exportaciones|Manzana|Monto</v>
          </cell>
          <cell r="JW8" t="str">
            <v>Exportaciones|Pera|Monto</v>
          </cell>
          <cell r="JX8" t="str">
            <v>Exportaciones|Limón|Monto</v>
          </cell>
          <cell r="JY8" t="str">
            <v>Exportaciones|Mandarina|Monto</v>
          </cell>
          <cell r="JZ8" t="str">
            <v>Exportaciones|Naranja|Monto</v>
          </cell>
          <cell r="KA8" t="str">
            <v>Exportaciones|Pomelo|Monto</v>
          </cell>
          <cell r="KB8" t="str">
            <v>Exportaciones|Forestal|Monto</v>
          </cell>
          <cell r="KC8" t="str">
            <v>Exportaciones|Tabaco|Monto</v>
          </cell>
          <cell r="KD8" t="str">
            <v>Exportaciones|Yerba Mate|Monto</v>
          </cell>
          <cell r="KE8" t="str">
            <v>Exportaciones|Apícola|Monto</v>
          </cell>
          <cell r="KF8" t="str">
            <v>Exportaciones|Aviar|Monto</v>
          </cell>
          <cell r="KG8" t="str">
            <v>Exportaciones|Bovinos|Monto</v>
          </cell>
          <cell r="KH8" t="str">
            <v>Exportaciones|Lechería|Monto</v>
          </cell>
          <cell r="KI8" t="str">
            <v>Exportaciones|Ovinos|Monto</v>
          </cell>
          <cell r="KJ8" t="str">
            <v>Exportaciones|Porcinos|Monto</v>
          </cell>
          <cell r="KK8" t="str">
            <v>Importaciones|Algodón|Monto</v>
          </cell>
          <cell r="KL8" t="str">
            <v>Importaciones|Arroz|Monto</v>
          </cell>
          <cell r="KM8" t="str">
            <v>Importaciones|Cebada|Monto</v>
          </cell>
          <cell r="KN8" t="str">
            <v>Importaciones|Girasol|Monto</v>
          </cell>
          <cell r="KO8" t="str">
            <v>Importaciones|Maíz|Monto</v>
          </cell>
          <cell r="KP8" t="str">
            <v>Importaciones|Maní|Monto</v>
          </cell>
          <cell r="KQ8" t="str">
            <v>Importaciones|Soja|Monto</v>
          </cell>
          <cell r="KR8" t="str">
            <v>Importaciones|Sorgo|Monto</v>
          </cell>
          <cell r="KS8" t="str">
            <v>Importaciones|Trigo|Monto</v>
          </cell>
          <cell r="KT8" t="str">
            <v>Importaciones|Papa|Monto</v>
          </cell>
          <cell r="KU8" t="str">
            <v>Importaciones|Mandioca|Monto</v>
          </cell>
          <cell r="KV8" t="str">
            <v>Importaciones|Cebolla|Monto</v>
          </cell>
          <cell r="KW8" t="str">
            <v>Importaciones|Tomate|Monto</v>
          </cell>
          <cell r="KX8" t="str">
            <v>Importaciones|Zanahoria|Monto</v>
          </cell>
          <cell r="KY8" t="str">
            <v>Importaciones|Zapallo|Monto</v>
          </cell>
          <cell r="KZ8" t="str">
            <v>Importaciones|Vitícola|Monto</v>
          </cell>
          <cell r="LA8" t="str">
            <v>Importaciones|Manzana|Monto</v>
          </cell>
          <cell r="LB8" t="str">
            <v>Importaciones|Pera|Monto</v>
          </cell>
          <cell r="LC8" t="str">
            <v>Importaciones|Limón|Monto</v>
          </cell>
          <cell r="LD8" t="str">
            <v>Importaciones|Mandarina|Monto</v>
          </cell>
          <cell r="LE8" t="str">
            <v>Importaciones|Naranja|Monto</v>
          </cell>
          <cell r="LF8" t="str">
            <v>Importaciones|Pomelo|Monto</v>
          </cell>
          <cell r="LG8" t="str">
            <v>Importaciones|Forestal|Monto</v>
          </cell>
          <cell r="LH8" t="str">
            <v>Importaciones|Tabaco|Monto</v>
          </cell>
          <cell r="LI8" t="str">
            <v>Importaciones|Yerba Mate|Monto</v>
          </cell>
          <cell r="LJ8" t="str">
            <v>Importaciones|Apícola|Monto</v>
          </cell>
          <cell r="LK8" t="str">
            <v>Importaciones|Aviar|Monto</v>
          </cell>
          <cell r="LL8" t="str">
            <v>Importaciones|Bovinos|Monto</v>
          </cell>
          <cell r="LM8" t="str">
            <v>Importaciones|Lechería|Monto</v>
          </cell>
          <cell r="LN8" t="str">
            <v>Importaciones|Ovinos|Monto</v>
          </cell>
          <cell r="LO8" t="str">
            <v>Importaciones|Porcinos|Monto</v>
          </cell>
          <cell r="LQ8" t="str">
            <v>Exportaciones|Granos|Monto</v>
          </cell>
          <cell r="LR8" t="str">
            <v>Exportaciones|Hortalizas|Monto</v>
          </cell>
          <cell r="LS8" t="str">
            <v>Exportaciones|Pera y Manzana|Monto</v>
          </cell>
          <cell r="LT8" t="str">
            <v>Exportaciones|Citricos Dulces|Monto</v>
          </cell>
          <cell r="LU8" t="str">
            <v>Importaciones|Granos|Monto</v>
          </cell>
          <cell r="LV8" t="str">
            <v>Importaciones|Hortalizas|Monto</v>
          </cell>
          <cell r="LW8" t="str">
            <v>Importaciones|Pera y Manzana|Monto</v>
          </cell>
          <cell r="LX8" t="str">
            <v>Importaciones|Citricos Dulces|Monto</v>
          </cell>
          <cell r="LZ8" t="str">
            <v>Consumidor|Algodón|Arroz blanco simple</v>
          </cell>
          <cell r="MA8" t="str">
            <v>Consumidor|Arroz|</v>
          </cell>
          <cell r="MB8" t="str">
            <v>Consumidor|Cebada|</v>
          </cell>
          <cell r="MC8" t="str">
            <v>Consumidor|Girasol|</v>
          </cell>
          <cell r="MD8" t="str">
            <v>Consumidor|Maíz|</v>
          </cell>
          <cell r="ME8" t="str">
            <v>Consumidor|Maní|</v>
          </cell>
          <cell r="MF8" t="str">
            <v>Consumidor|Soja|</v>
          </cell>
          <cell r="MG8" t="str">
            <v>Consumidor|Sorgo|Pan Francés</v>
          </cell>
          <cell r="MH8" t="str">
            <v>Consumidor|Trigo|Harina de trigo</v>
          </cell>
          <cell r="MI8" t="str">
            <v>Consumidor|Trigo|Papa</v>
          </cell>
          <cell r="MJ8" t="str">
            <v>Consumidor|Papa|</v>
          </cell>
          <cell r="MK8" t="str">
            <v>Consumidor|Mandioca|Cebolla</v>
          </cell>
          <cell r="ML8" t="str">
            <v>Consumidor|Cebolla|Redondo</v>
          </cell>
          <cell r="MM8" t="str">
            <v>Consumidor|Tomate|</v>
          </cell>
          <cell r="MN8" t="str">
            <v>Consumidor|Zanahoria|Zapallo Anco</v>
          </cell>
          <cell r="MO8" t="str">
            <v>Consumidor|Zapallo|Vino Común</v>
          </cell>
          <cell r="MP8" t="str">
            <v>Consumidor|Vitícola|Manzana Red Delicius</v>
          </cell>
          <cell r="MQ8" t="str">
            <v>Consumidor|Manzana|Pera</v>
          </cell>
          <cell r="MR8" t="str">
            <v>Consumidor|Pera|Limon</v>
          </cell>
          <cell r="MS8" t="str">
            <v>Consumidor|Limón|Mandarina</v>
          </cell>
          <cell r="MT8" t="str">
            <v>Consumidor|Mandarina|Naranja</v>
          </cell>
          <cell r="MU8" t="str">
            <v>Consumidor|Naranja|</v>
          </cell>
          <cell r="MV8" t="str">
            <v>Consumidor|Pomelo|</v>
          </cell>
          <cell r="MW8" t="str">
            <v>Consumidor|Forestal|</v>
          </cell>
          <cell r="MX8" t="str">
            <v>Consumidor|Tabaco|Yerba Mate</v>
          </cell>
          <cell r="MY8" t="str">
            <v xml:space="preserve">Consumidor|Yerba Mate|Miel Fraccionada </v>
          </cell>
          <cell r="MZ8" t="str">
            <v>Consumidor|Apícola|Pollo entero</v>
          </cell>
          <cell r="NA8" t="str">
            <v>Consumidor|Aviar|Asado</v>
          </cell>
          <cell r="NB8" t="str">
            <v>Consumidor|Bovinos|Leche fresca entera en sachet</v>
          </cell>
          <cell r="NC8" t="str">
            <v>Consumidor|Lechería|</v>
          </cell>
          <cell r="ND8" t="str">
            <v>Consumidor|Ovinos|Pechito de cerdo</v>
          </cell>
          <cell r="NE8" t="str">
            <v>Consumidor|Porcinos|</v>
          </cell>
        </row>
        <row r="10">
          <cell r="A10">
            <v>42370</v>
          </cell>
          <cell r="B10">
            <v>1</v>
          </cell>
          <cell r="C10">
            <v>2016</v>
          </cell>
          <cell r="D10">
            <v>10</v>
          </cell>
          <cell r="E10">
            <v>42370</v>
          </cell>
          <cell r="F10">
            <v>13.791999999999998</v>
          </cell>
          <cell r="G10">
            <v>73.956661316211878</v>
          </cell>
          <cell r="H10">
            <v>7680</v>
          </cell>
          <cell r="I10">
            <v>99</v>
          </cell>
          <cell r="J10">
            <v>440</v>
          </cell>
          <cell r="K10">
            <v>3.3</v>
          </cell>
          <cell r="L10">
            <v>31.2</v>
          </cell>
          <cell r="N10">
            <v>1.2117500000000001</v>
          </cell>
          <cell r="O10">
            <v>1.0569000000000002</v>
          </cell>
          <cell r="P10">
            <v>15.644610399999998</v>
          </cell>
          <cell r="Q10">
            <v>210</v>
          </cell>
          <cell r="R10">
            <v>2100</v>
          </cell>
          <cell r="S10">
            <v>148.19999999999999</v>
          </cell>
          <cell r="T10">
            <v>266.5</v>
          </cell>
          <cell r="U10">
            <v>146.17500000000001</v>
          </cell>
          <cell r="V10">
            <v>233.7</v>
          </cell>
          <cell r="W10">
            <v>144.6</v>
          </cell>
          <cell r="X10">
            <v>140.73499999999999</v>
          </cell>
          <cell r="Y10">
            <v>2043.9743999999996</v>
          </cell>
          <cell r="Z10">
            <v>3675.5679999999993</v>
          </cell>
          <cell r="AA10">
            <v>2016.0455999999999</v>
          </cell>
          <cell r="AB10">
            <v>3223.1903999999995</v>
          </cell>
          <cell r="AC10">
            <v>1994.3231999999996</v>
          </cell>
          <cell r="AD10">
            <v>1941.0171199999995</v>
          </cell>
          <cell r="AE10">
            <v>2482.3531199999998</v>
          </cell>
          <cell r="AF10">
            <v>6658.05</v>
          </cell>
          <cell r="AG10">
            <v>4272</v>
          </cell>
          <cell r="AH10">
            <v>15790</v>
          </cell>
          <cell r="AI10">
            <v>3.4258000000000002</v>
          </cell>
          <cell r="AJ10">
            <v>2.0470000000000002</v>
          </cell>
          <cell r="AK10">
            <v>1.7462</v>
          </cell>
          <cell r="AL10">
            <v>1.6783999999999999</v>
          </cell>
          <cell r="AM10">
            <v>2.5145759999999999</v>
          </cell>
          <cell r="AN10">
            <v>17.760000000000002</v>
          </cell>
          <cell r="AO10">
            <v>10.656000000000001</v>
          </cell>
          <cell r="AP10">
            <v>14.208000000000002</v>
          </cell>
          <cell r="AQ10">
            <v>11.7</v>
          </cell>
          <cell r="AR10">
            <v>8.9499999999999993</v>
          </cell>
          <cell r="AS10">
            <v>9.1080000000000005</v>
          </cell>
          <cell r="AT10">
            <v>11.7</v>
          </cell>
          <cell r="AU10">
            <v>9.9193333333333324</v>
          </cell>
          <cell r="AV10">
            <v>3.19</v>
          </cell>
          <cell r="AW10">
            <v>5.1040000000000001</v>
          </cell>
          <cell r="AX10">
            <v>3.91</v>
          </cell>
          <cell r="AY10">
            <v>5.16</v>
          </cell>
          <cell r="AZ10">
            <v>6.27</v>
          </cell>
          <cell r="BA10">
            <v>4.6966666666666663</v>
          </cell>
          <cell r="BB10">
            <v>5.0091666666666663</v>
          </cell>
          <cell r="BC10">
            <v>475</v>
          </cell>
          <cell r="BD10">
            <v>514</v>
          </cell>
          <cell r="BE10">
            <v>470</v>
          </cell>
          <cell r="BF10">
            <v>290</v>
          </cell>
          <cell r="BG10">
            <v>437.25</v>
          </cell>
          <cell r="BH10">
            <v>29.34</v>
          </cell>
          <cell r="BI10">
            <v>9.8640000000000008</v>
          </cell>
          <cell r="BJ10">
            <v>39.204000000000001</v>
          </cell>
          <cell r="BK10">
            <v>25.521999999999998</v>
          </cell>
          <cell r="BL10">
            <v>26.54</v>
          </cell>
          <cell r="BM10">
            <v>26.030999999999999</v>
          </cell>
          <cell r="BN10">
            <v>2.75</v>
          </cell>
          <cell r="BO10">
            <v>17.729499999999994</v>
          </cell>
          <cell r="BP10">
            <v>11.219999999999999</v>
          </cell>
          <cell r="BQ10">
            <v>17.078549999999993</v>
          </cell>
          <cell r="BR10">
            <v>14.67</v>
          </cell>
          <cell r="BS10">
            <v>58</v>
          </cell>
          <cell r="BT10">
            <v>34.79</v>
          </cell>
          <cell r="BU10">
            <v>800.37</v>
          </cell>
          <cell r="BV10">
            <v>20.9</v>
          </cell>
          <cell r="BY10">
            <v>100</v>
          </cell>
          <cell r="BZ10">
            <v>100</v>
          </cell>
          <cell r="CA10">
            <v>100</v>
          </cell>
          <cell r="CB10">
            <v>100</v>
          </cell>
          <cell r="CC10">
            <v>100</v>
          </cell>
          <cell r="CD10">
            <v>100</v>
          </cell>
          <cell r="CE10">
            <v>100</v>
          </cell>
          <cell r="CF10">
            <v>100</v>
          </cell>
          <cell r="CG10">
            <v>100</v>
          </cell>
          <cell r="CH10">
            <v>100</v>
          </cell>
          <cell r="CI10">
            <v>100</v>
          </cell>
          <cell r="CJ10">
            <v>100</v>
          </cell>
          <cell r="CK10">
            <v>100</v>
          </cell>
          <cell r="CL10">
            <v>100</v>
          </cell>
          <cell r="CM10">
            <v>100</v>
          </cell>
          <cell r="CN10">
            <v>100</v>
          </cell>
          <cell r="CO10">
            <v>100</v>
          </cell>
          <cell r="CP10">
            <v>100</v>
          </cell>
          <cell r="CQ10">
            <v>100</v>
          </cell>
          <cell r="CR10">
            <v>100</v>
          </cell>
          <cell r="CS10">
            <v>100</v>
          </cell>
          <cell r="CT10">
            <v>100</v>
          </cell>
          <cell r="CU10">
            <v>100</v>
          </cell>
          <cell r="CV10">
            <v>100</v>
          </cell>
          <cell r="CW10">
            <v>100</v>
          </cell>
          <cell r="CX10">
            <v>100</v>
          </cell>
          <cell r="CY10">
            <v>100</v>
          </cell>
          <cell r="CZ10">
            <v>100</v>
          </cell>
          <cell r="DA10">
            <v>100</v>
          </cell>
          <cell r="DB10">
            <v>100</v>
          </cell>
          <cell r="DC10">
            <v>100</v>
          </cell>
          <cell r="DD10">
            <v>100</v>
          </cell>
          <cell r="DE10">
            <v>100</v>
          </cell>
          <cell r="DF10">
            <v>100</v>
          </cell>
          <cell r="DG10">
            <v>100</v>
          </cell>
          <cell r="DH10">
            <v>100</v>
          </cell>
          <cell r="DI10">
            <v>100</v>
          </cell>
          <cell r="DK10">
            <v>525090</v>
          </cell>
          <cell r="DL10" t="str">
            <v>2015-16</v>
          </cell>
          <cell r="DM10">
            <v>214570</v>
          </cell>
          <cell r="DN10" t="str">
            <v>2015-16</v>
          </cell>
          <cell r="DO10">
            <v>1200000</v>
          </cell>
          <cell r="DP10" t="str">
            <v>2015-16</v>
          </cell>
          <cell r="DQ10">
            <v>1220000</v>
          </cell>
          <cell r="DR10" t="str">
            <v>2015-16</v>
          </cell>
          <cell r="DS10">
            <v>3100000</v>
          </cell>
          <cell r="DT10" t="str">
            <v>2015-16</v>
          </cell>
          <cell r="DU10">
            <v>20100000</v>
          </cell>
          <cell r="DV10" t="str">
            <v>2015-16</v>
          </cell>
          <cell r="DW10">
            <v>850000</v>
          </cell>
          <cell r="DX10" t="str">
            <v>2015-16</v>
          </cell>
          <cell r="DY10">
            <v>3600000</v>
          </cell>
          <cell r="DZ10" t="str">
            <v>2015-16</v>
          </cell>
          <cell r="EA10">
            <v>30070000</v>
          </cell>
          <cell r="EB10">
            <v>368438</v>
          </cell>
          <cell r="EC10" t="str">
            <v>2015-16</v>
          </cell>
          <cell r="ED10">
            <v>165327</v>
          </cell>
          <cell r="EE10">
            <v>2016</v>
          </cell>
          <cell r="EF10">
            <v>223944</v>
          </cell>
          <cell r="EG10">
            <v>2016</v>
          </cell>
          <cell r="EH10">
            <v>53117706</v>
          </cell>
          <cell r="EI10">
            <v>2016</v>
          </cell>
          <cell r="EJ10">
            <v>5011446</v>
          </cell>
          <cell r="EK10">
            <v>2015</v>
          </cell>
          <cell r="EL10">
            <v>14859486</v>
          </cell>
          <cell r="EM10">
            <v>2015</v>
          </cell>
          <cell r="EN10">
            <v>3448018</v>
          </cell>
          <cell r="EO10">
            <v>2015</v>
          </cell>
          <cell r="EQ10">
            <v>3008956</v>
          </cell>
          <cell r="ER10">
            <v>32755</v>
          </cell>
          <cell r="ET10">
            <v>24000</v>
          </cell>
          <cell r="EU10">
            <v>16752</v>
          </cell>
          <cell r="EV10">
            <v>9500</v>
          </cell>
          <cell r="EW10">
            <v>17994</v>
          </cell>
          <cell r="EX10">
            <v>68246</v>
          </cell>
          <cell r="EY10">
            <v>19129</v>
          </cell>
          <cell r="EZ10">
            <v>75500</v>
          </cell>
          <cell r="FA10">
            <v>22169</v>
          </cell>
          <cell r="FB10">
            <v>20495</v>
          </cell>
          <cell r="FC10">
            <v>42664</v>
          </cell>
          <cell r="FD10">
            <v>43815</v>
          </cell>
          <cell r="FF10">
            <v>708189</v>
          </cell>
          <cell r="FG10" t="str">
            <v>2015-16</v>
          </cell>
          <cell r="FH10">
            <v>1558100</v>
          </cell>
          <cell r="FI10" t="str">
            <v>2014-15</v>
          </cell>
          <cell r="FJ10">
            <v>4300000</v>
          </cell>
          <cell r="FK10" t="str">
            <v>2015-16</v>
          </cell>
          <cell r="FL10">
            <v>2300000</v>
          </cell>
          <cell r="FM10" t="str">
            <v>2015-16</v>
          </cell>
          <cell r="FN10">
            <v>25000000</v>
          </cell>
          <cell r="FO10" t="str">
            <v>2015-16</v>
          </cell>
          <cell r="FP10">
            <v>58000000</v>
          </cell>
          <cell r="FQ10" t="str">
            <v>2015-16</v>
          </cell>
          <cell r="FR10">
            <v>3500000</v>
          </cell>
          <cell r="FS10" t="str">
            <v>2015-16</v>
          </cell>
          <cell r="FT10">
            <v>10300000</v>
          </cell>
          <cell r="FU10" t="str">
            <v>2015-16</v>
          </cell>
          <cell r="FV10">
            <v>103400000</v>
          </cell>
          <cell r="FW10">
            <v>1010777</v>
          </cell>
          <cell r="FX10" t="str">
            <v>2014-15</v>
          </cell>
          <cell r="FY10">
            <v>21949.339</v>
          </cell>
          <cell r="GB10">
            <v>17584178</v>
          </cell>
          <cell r="GD10">
            <v>1678337</v>
          </cell>
          <cell r="GE10">
            <v>468278</v>
          </cell>
          <cell r="GF10">
            <v>1032446</v>
          </cell>
          <cell r="GG10">
            <v>102259</v>
          </cell>
          <cell r="GH10">
            <v>1602983</v>
          </cell>
          <cell r="GI10">
            <v>1302556</v>
          </cell>
          <cell r="GJ10">
            <v>600000</v>
          </cell>
          <cell r="GK10">
            <v>998555</v>
          </cell>
          <cell r="GL10">
            <v>302000</v>
          </cell>
          <cell r="GM10">
            <v>266553.90000000002</v>
          </cell>
          <cell r="GN10">
            <v>2167108.9</v>
          </cell>
          <cell r="GO10">
            <v>191984</v>
          </cell>
          <cell r="GP10">
            <v>68123</v>
          </cell>
          <cell r="GR10">
            <v>42700</v>
          </cell>
          <cell r="GS10">
            <v>42700</v>
          </cell>
          <cell r="GT10">
            <v>2430866</v>
          </cell>
          <cell r="GU10">
            <v>50951.583333333336</v>
          </cell>
          <cell r="GV10">
            <v>51463.083333333336</v>
          </cell>
          <cell r="GW10">
            <v>1228976</v>
          </cell>
          <cell r="GX10">
            <v>30955.772000000001</v>
          </cell>
          <cell r="GY10" t="str">
            <v>2015-2016</v>
          </cell>
          <cell r="GZ10">
            <v>93671</v>
          </cell>
          <cell r="HA10">
            <v>215000</v>
          </cell>
          <cell r="HD10">
            <v>39603</v>
          </cell>
          <cell r="HG10">
            <v>153000</v>
          </cell>
          <cell r="HM10">
            <v>0</v>
          </cell>
          <cell r="HO10">
            <v>864900000</v>
          </cell>
          <cell r="HW10">
            <v>2000000</v>
          </cell>
          <cell r="HX10" t="str">
            <v>2015-16</v>
          </cell>
          <cell r="HY10">
            <v>2950000</v>
          </cell>
          <cell r="HZ10" t="str">
            <v>2015-16</v>
          </cell>
          <cell r="IG10">
            <v>5590000</v>
          </cell>
          <cell r="IH10" t="str">
            <v>2015-16</v>
          </cell>
          <cell r="II10">
            <v>10540000</v>
          </cell>
          <cell r="IL10">
            <v>38.33</v>
          </cell>
          <cell r="IM10">
            <v>54.21492296644265</v>
          </cell>
          <cell r="IN10">
            <v>201</v>
          </cell>
          <cell r="IO10">
            <v>11.026844000000001</v>
          </cell>
          <cell r="IP10">
            <v>5.440942306845753</v>
          </cell>
          <cell r="IQ10">
            <v>21.6</v>
          </cell>
          <cell r="IR10">
            <v>2.2000000000000002</v>
          </cell>
          <cell r="IS10">
            <v>5.59</v>
          </cell>
          <cell r="IT10">
            <v>13.55</v>
          </cell>
          <cell r="IU10">
            <v>1.07</v>
          </cell>
          <cell r="IV10">
            <v>20.21</v>
          </cell>
          <cell r="IY10">
            <v>1.84</v>
          </cell>
          <cell r="IZ10">
            <v>0.3</v>
          </cell>
          <cell r="JF10">
            <v>4.582497469999999</v>
          </cell>
          <cell r="JG10">
            <v>3.2009430000000001</v>
          </cell>
          <cell r="JH10">
            <v>143.30271070999999</v>
          </cell>
          <cell r="JI10">
            <v>17.48834166</v>
          </cell>
          <cell r="JJ10">
            <v>201.36316490000004</v>
          </cell>
          <cell r="JK10">
            <v>66.468872989999994</v>
          </cell>
          <cell r="JL10">
            <v>1217.3464578600001</v>
          </cell>
          <cell r="JM10">
            <v>5.0395266400000001</v>
          </cell>
          <cell r="JN10">
            <v>186.38716111000002</v>
          </cell>
          <cell r="JO10">
            <v>15.980672039999998</v>
          </cell>
          <cell r="JP10">
            <v>0</v>
          </cell>
          <cell r="JQ10">
            <v>0.62205250000000001</v>
          </cell>
          <cell r="JR10">
            <v>0.66070742000000005</v>
          </cell>
          <cell r="JS10">
            <v>0</v>
          </cell>
          <cell r="JT10">
            <v>0.48706177</v>
          </cell>
          <cell r="JU10">
            <v>68.363121550000031</v>
          </cell>
          <cell r="JV10">
            <v>4.5153798399999996</v>
          </cell>
          <cell r="JW10">
            <v>6.1428981799999995</v>
          </cell>
          <cell r="JX10">
            <v>7.8271502599999998</v>
          </cell>
          <cell r="JY10">
            <v>0</v>
          </cell>
          <cell r="JZ10">
            <v>0.22137817999999998</v>
          </cell>
          <cell r="KA10">
            <v>0.13103999999999999</v>
          </cell>
          <cell r="KB10">
            <v>16.055855400000002</v>
          </cell>
          <cell r="KC10">
            <v>16.018196229999997</v>
          </cell>
          <cell r="KD10">
            <v>5.5481561600000004</v>
          </cell>
          <cell r="KE10">
            <v>10.560709689999998</v>
          </cell>
          <cell r="KF10">
            <v>22.391526450000004</v>
          </cell>
          <cell r="KG10">
            <v>150.74848455999995</v>
          </cell>
          <cell r="KH10">
            <v>47.444821499999989</v>
          </cell>
          <cell r="KI10">
            <v>18.923495580000001</v>
          </cell>
          <cell r="KJ10">
            <v>0.86577987000000001</v>
          </cell>
          <cell r="KK10">
            <v>11.923205950000003</v>
          </cell>
          <cell r="KL10">
            <v>0.49740636999999993</v>
          </cell>
          <cell r="KM10">
            <v>2.30265414</v>
          </cell>
          <cell r="KN10">
            <v>2.4542999999999995E-3</v>
          </cell>
          <cell r="KO10">
            <v>0.24190850000000003</v>
          </cell>
          <cell r="KP10">
            <v>5.6322709999999998E-2</v>
          </cell>
          <cell r="KQ10">
            <v>5.1721110000000001E-2</v>
          </cell>
          <cell r="KR10">
            <v>9.1487999999999997E-4</v>
          </cell>
          <cell r="KS10">
            <v>0.10031527</v>
          </cell>
          <cell r="KT10">
            <v>2.5433020100000001</v>
          </cell>
          <cell r="KU10">
            <v>1.2211400000000001E-3</v>
          </cell>
          <cell r="KV10">
            <v>0</v>
          </cell>
          <cell r="KW10">
            <v>2.1681432999999997</v>
          </cell>
          <cell r="KX10">
            <v>0</v>
          </cell>
          <cell r="KY10">
            <v>0</v>
          </cell>
          <cell r="KZ10">
            <v>0.11421652</v>
          </cell>
          <cell r="LA10">
            <v>0.16304958999999999</v>
          </cell>
          <cell r="LB10">
            <v>2.853959E-2</v>
          </cell>
          <cell r="LC10">
            <v>5.0346800000000004E-2</v>
          </cell>
          <cell r="LD10">
            <v>0</v>
          </cell>
          <cell r="LE10">
            <v>0.22859232999999998</v>
          </cell>
          <cell r="LF10">
            <v>0.77713617000000002</v>
          </cell>
          <cell r="LG10">
            <v>17.612236840000001</v>
          </cell>
          <cell r="LH10">
            <v>4.9171780399999996</v>
          </cell>
          <cell r="LI10">
            <v>0</v>
          </cell>
          <cell r="LJ10">
            <v>0</v>
          </cell>
          <cell r="LK10">
            <v>1.0039392199999999</v>
          </cell>
          <cell r="LL10">
            <v>2.6497022200000004</v>
          </cell>
          <cell r="LM10">
            <v>0.70851450000000005</v>
          </cell>
          <cell r="LN10">
            <v>0.52757889000000002</v>
          </cell>
          <cell r="LO10">
            <v>5.1140609300000008</v>
          </cell>
          <cell r="LQ10">
            <v>1770.9273628800004</v>
          </cell>
          <cell r="LR10">
            <v>1.7698216900000001</v>
          </cell>
          <cell r="LS10">
            <v>10.658278019999999</v>
          </cell>
          <cell r="LT10">
            <v>0.35241817999999997</v>
          </cell>
          <cell r="LU10">
            <v>2.6999681999999998</v>
          </cell>
          <cell r="LV10">
            <v>2.1681432999999997</v>
          </cell>
          <cell r="LW10">
            <v>0.19158918</v>
          </cell>
          <cell r="LX10">
            <v>1.0057285</v>
          </cell>
          <cell r="NA10">
            <v>32.659999999999997</v>
          </cell>
          <cell r="NB10">
            <v>109.1</v>
          </cell>
          <cell r="NE10">
            <v>84.93</v>
          </cell>
        </row>
        <row r="11">
          <cell r="A11">
            <v>42401</v>
          </cell>
          <cell r="B11">
            <v>2</v>
          </cell>
          <cell r="C11">
            <v>2016</v>
          </cell>
          <cell r="D11">
            <v>11</v>
          </cell>
          <cell r="E11">
            <v>42401</v>
          </cell>
          <cell r="F11">
            <v>14.981578947368419</v>
          </cell>
          <cell r="G11">
            <v>77.407704654895667</v>
          </cell>
          <cell r="H11">
            <v>7680</v>
          </cell>
          <cell r="I11">
            <v>94</v>
          </cell>
          <cell r="J11">
            <v>440</v>
          </cell>
          <cell r="K11">
            <v>3.4</v>
          </cell>
          <cell r="L11">
            <v>29.4</v>
          </cell>
          <cell r="N11">
            <v>1.1749473684210527</v>
          </cell>
          <cell r="O11">
            <v>1.0209473684210526</v>
          </cell>
          <cell r="P11">
            <v>16.448985180055402</v>
          </cell>
          <cell r="Q11">
            <v>205</v>
          </cell>
          <cell r="R11">
            <v>2050</v>
          </cell>
          <cell r="S11">
            <v>148.68421052631578</v>
          </cell>
          <cell r="T11">
            <v>271.84210526315792</v>
          </cell>
          <cell r="U11">
            <v>152.06315789473683</v>
          </cell>
          <cell r="V11">
            <v>225.29473684210524</v>
          </cell>
          <cell r="W11">
            <v>134.36842105263159</v>
          </cell>
          <cell r="X11">
            <v>134.89473684210526</v>
          </cell>
          <cell r="Y11">
            <v>2227.5242382271463</v>
          </cell>
          <cell r="Z11">
            <v>4072.6239612188365</v>
          </cell>
          <cell r="AA11">
            <v>2278.1462049861493</v>
          </cell>
          <cell r="AB11">
            <v>3375.2708864265919</v>
          </cell>
          <cell r="AC11">
            <v>2013.0511080332408</v>
          </cell>
          <cell r="AD11">
            <v>2020.9361495844873</v>
          </cell>
          <cell r="AE11">
            <v>2664.5920914127423</v>
          </cell>
          <cell r="AF11">
            <v>6989.5555555555557</v>
          </cell>
          <cell r="AG11">
            <v>4272</v>
          </cell>
          <cell r="AH11">
            <v>15790</v>
          </cell>
          <cell r="AI11">
            <v>3.67</v>
          </cell>
          <cell r="AJ11">
            <v>2.3816000000000002</v>
          </cell>
          <cell r="AK11">
            <v>2.1339000000000001</v>
          </cell>
          <cell r="AL11">
            <v>1.9533</v>
          </cell>
          <cell r="AM11">
            <v>2.8070700000000004</v>
          </cell>
          <cell r="AN11">
            <v>16.7</v>
          </cell>
          <cell r="AO11">
            <v>10.02</v>
          </cell>
          <cell r="AP11">
            <v>13.36</v>
          </cell>
          <cell r="AQ11">
            <v>10.199999999999999</v>
          </cell>
          <cell r="AR11">
            <v>7.82</v>
          </cell>
          <cell r="AS11">
            <v>12.316666666666668</v>
          </cell>
          <cell r="AT11">
            <v>10.199999999999999</v>
          </cell>
          <cell r="AU11">
            <v>10.112222222222224</v>
          </cell>
          <cell r="AV11">
            <v>3.03</v>
          </cell>
          <cell r="AW11">
            <v>5.4539999999999997</v>
          </cell>
          <cell r="AX11">
            <v>4</v>
          </cell>
          <cell r="AY11">
            <v>42</v>
          </cell>
          <cell r="AZ11">
            <v>5.62</v>
          </cell>
          <cell r="BA11">
            <v>3.9659999999999997</v>
          </cell>
          <cell r="BB11">
            <v>13.8965</v>
          </cell>
          <cell r="BC11">
            <v>475</v>
          </cell>
          <cell r="BD11">
            <v>514</v>
          </cell>
          <cell r="BE11">
            <v>470</v>
          </cell>
          <cell r="BF11">
            <v>290</v>
          </cell>
          <cell r="BG11">
            <v>437.25</v>
          </cell>
          <cell r="BH11">
            <v>29.34</v>
          </cell>
          <cell r="BI11">
            <v>9.8640000000000008</v>
          </cell>
          <cell r="BJ11">
            <v>39.204000000000001</v>
          </cell>
          <cell r="BK11">
            <v>26.425000000000001</v>
          </cell>
          <cell r="BL11">
            <v>27.321000000000002</v>
          </cell>
          <cell r="BM11">
            <v>26.873000000000001</v>
          </cell>
          <cell r="BN11">
            <v>2.806</v>
          </cell>
          <cell r="BO11">
            <v>20.532105263157895</v>
          </cell>
          <cell r="BP11">
            <v>12.905499999999998</v>
          </cell>
          <cell r="BQ11">
            <v>19.769444736842107</v>
          </cell>
          <cell r="BR11">
            <v>14.88</v>
          </cell>
          <cell r="BS11">
            <v>57</v>
          </cell>
          <cell r="BT11">
            <v>42.86</v>
          </cell>
          <cell r="BU11">
            <v>812.57999999999993</v>
          </cell>
          <cell r="BV11">
            <v>20.6</v>
          </cell>
          <cell r="BY11">
            <v>113.085073942835</v>
          </cell>
          <cell r="BZ11">
            <v>110.02292351406024</v>
          </cell>
          <cell r="CA11">
            <v>114.0655838790144</v>
          </cell>
          <cell r="CB11">
            <v>110.66370739310855</v>
          </cell>
          <cell r="CC11">
            <v>113.35381793979238</v>
          </cell>
          <cell r="CD11">
            <v>110.82600272265833</v>
          </cell>
          <cell r="CE11">
            <v>109.21106171547284</v>
          </cell>
          <cell r="CF11">
            <v>112.54581308967393</v>
          </cell>
          <cell r="CG11">
            <v>111.77766445662009</v>
          </cell>
          <cell r="CH11">
            <v>111.05401211762091</v>
          </cell>
          <cell r="CI11">
            <v>117.63953832748813</v>
          </cell>
          <cell r="CJ11">
            <v>108.33837861919096</v>
          </cell>
          <cell r="CK11">
            <v>114.58660588317559</v>
          </cell>
          <cell r="CL11">
            <v>262.73193928439974</v>
          </cell>
          <cell r="CM11">
            <v>104.17370921915267</v>
          </cell>
          <cell r="CN11">
            <v>104.86503339353843</v>
          </cell>
          <cell r="CO11">
            <v>146.58932194506662</v>
          </cell>
          <cell r="CP11">
            <v>124.80468431836786</v>
          </cell>
          <cell r="CQ11">
            <v>108.54505761682525</v>
          </cell>
          <cell r="CR11">
            <v>108.54505761682525</v>
          </cell>
          <cell r="CS11">
            <v>108.54505761682525</v>
          </cell>
          <cell r="CT11">
            <v>108.70303175786063</v>
          </cell>
          <cell r="CU11">
            <v>112.1992666611027</v>
          </cell>
          <cell r="CV11">
            <v>118.0352179957892</v>
          </cell>
          <cell r="CW11">
            <v>118.0352179957892</v>
          </cell>
          <cell r="CX11">
            <v>116.08990088422702</v>
          </cell>
          <cell r="CY11">
            <v>104.87302878177832</v>
          </cell>
          <cell r="CZ11">
            <v>109.59277722945622</v>
          </cell>
          <cell r="DA11">
            <v>108.02367122840464</v>
          </cell>
          <cell r="DB11">
            <v>114.99996391764799</v>
          </cell>
          <cell r="DC11">
            <v>109.14523347830725</v>
          </cell>
          <cell r="DD11">
            <v>109.09948652334054</v>
          </cell>
          <cell r="DE11">
            <v>108.71048776578864</v>
          </cell>
          <cell r="DF11">
            <v>111.06031132437788</v>
          </cell>
          <cell r="DG11">
            <v>109.88539954508326</v>
          </cell>
          <cell r="DH11">
            <v>109.3102299454918</v>
          </cell>
          <cell r="DI11">
            <v>105.83034495864574</v>
          </cell>
          <cell r="DK11">
            <v>444740</v>
          </cell>
          <cell r="DL11" t="str">
            <v>2015-16</v>
          </cell>
          <cell r="DM11">
            <v>214570</v>
          </cell>
          <cell r="DN11" t="str">
            <v>2015-16</v>
          </cell>
          <cell r="DO11">
            <v>1200000</v>
          </cell>
          <cell r="DP11" t="str">
            <v>2015-16</v>
          </cell>
          <cell r="DQ11">
            <v>1220000</v>
          </cell>
          <cell r="DR11" t="str">
            <v>2015-16</v>
          </cell>
          <cell r="DS11">
            <v>3300000</v>
          </cell>
          <cell r="DT11" t="str">
            <v>2015-16</v>
          </cell>
          <cell r="DU11">
            <v>20100000</v>
          </cell>
          <cell r="DV11" t="str">
            <v>2015-16</v>
          </cell>
          <cell r="DW11">
            <v>850000</v>
          </cell>
          <cell r="DX11" t="str">
            <v>2015-16</v>
          </cell>
          <cell r="DY11">
            <v>3600000</v>
          </cell>
          <cell r="DZ11" t="str">
            <v>2015-16</v>
          </cell>
          <cell r="EA11">
            <v>30270000</v>
          </cell>
          <cell r="EB11">
            <v>368438</v>
          </cell>
          <cell r="EC11" t="str">
            <v>2015-16</v>
          </cell>
          <cell r="ED11">
            <v>165327</v>
          </cell>
          <cell r="EE11">
            <v>2016</v>
          </cell>
          <cell r="EF11">
            <v>223944</v>
          </cell>
          <cell r="EG11">
            <v>2016</v>
          </cell>
          <cell r="EH11">
            <v>53117706</v>
          </cell>
          <cell r="EI11">
            <v>2016</v>
          </cell>
          <cell r="EJ11">
            <v>5011446</v>
          </cell>
          <cell r="EK11">
            <v>2015</v>
          </cell>
          <cell r="EL11">
            <v>14859486</v>
          </cell>
          <cell r="EM11">
            <v>2015</v>
          </cell>
          <cell r="EN11">
            <v>3448018</v>
          </cell>
          <cell r="EO11">
            <v>2015</v>
          </cell>
          <cell r="EQ11">
            <v>3008956</v>
          </cell>
          <cell r="ER11">
            <v>32755</v>
          </cell>
          <cell r="ET11">
            <v>24000</v>
          </cell>
          <cell r="EU11">
            <v>16752</v>
          </cell>
          <cell r="EV11">
            <v>9500</v>
          </cell>
          <cell r="EW11">
            <v>17994</v>
          </cell>
          <cell r="EX11">
            <v>68246</v>
          </cell>
          <cell r="EY11">
            <v>19129</v>
          </cell>
          <cell r="EZ11">
            <v>75500</v>
          </cell>
          <cell r="FA11">
            <v>22169</v>
          </cell>
          <cell r="FB11">
            <v>20495</v>
          </cell>
          <cell r="FC11">
            <v>42664</v>
          </cell>
          <cell r="FD11">
            <v>43815</v>
          </cell>
          <cell r="FF11">
            <v>708190</v>
          </cell>
          <cell r="FG11" t="str">
            <v>2015-16</v>
          </cell>
          <cell r="FH11">
            <v>1558100</v>
          </cell>
          <cell r="FI11" t="str">
            <v>2014-15</v>
          </cell>
          <cell r="FJ11">
            <v>4300000</v>
          </cell>
          <cell r="FK11" t="str">
            <v>2015-16</v>
          </cell>
          <cell r="FL11">
            <v>2300000</v>
          </cell>
          <cell r="FM11" t="str">
            <v>2015-16</v>
          </cell>
          <cell r="FN11">
            <v>25000000</v>
          </cell>
          <cell r="FO11" t="str">
            <v>2015-16</v>
          </cell>
          <cell r="FP11">
            <v>58000000</v>
          </cell>
          <cell r="FQ11" t="str">
            <v>2015-16</v>
          </cell>
          <cell r="FR11">
            <v>3500000</v>
          </cell>
          <cell r="FS11" t="str">
            <v>2015-16</v>
          </cell>
          <cell r="FT11">
            <v>10300000</v>
          </cell>
          <cell r="FU11" t="str">
            <v>2015-16</v>
          </cell>
          <cell r="FV11">
            <v>103400000</v>
          </cell>
          <cell r="FW11">
            <v>1010777</v>
          </cell>
          <cell r="FX11" t="str">
            <v>2014-15</v>
          </cell>
          <cell r="FY11">
            <v>30778.933000000001</v>
          </cell>
          <cell r="GB11">
            <v>17584178</v>
          </cell>
          <cell r="GD11">
            <v>1678337</v>
          </cell>
          <cell r="GE11">
            <v>468278</v>
          </cell>
          <cell r="GF11">
            <v>1032446</v>
          </cell>
          <cell r="GG11">
            <v>102259</v>
          </cell>
          <cell r="GH11">
            <v>1602983</v>
          </cell>
          <cell r="GI11">
            <v>1302556</v>
          </cell>
          <cell r="GJ11">
            <v>600000</v>
          </cell>
          <cell r="GK11">
            <v>998555</v>
          </cell>
          <cell r="GL11">
            <v>302000</v>
          </cell>
          <cell r="GM11">
            <v>266553.90000000002</v>
          </cell>
          <cell r="GN11">
            <v>2167108.9</v>
          </cell>
          <cell r="GO11">
            <v>191984</v>
          </cell>
          <cell r="GP11">
            <v>68123</v>
          </cell>
          <cell r="GR11">
            <v>42700</v>
          </cell>
          <cell r="GS11">
            <v>42700</v>
          </cell>
          <cell r="GT11">
            <v>2430866</v>
          </cell>
          <cell r="GU11">
            <v>50951.583333333336</v>
          </cell>
          <cell r="GV11">
            <v>51463.083333333336</v>
          </cell>
          <cell r="GW11">
            <v>1228976</v>
          </cell>
          <cell r="GX11">
            <v>30955.772000000001</v>
          </cell>
          <cell r="GY11" t="str">
            <v>2015-2016</v>
          </cell>
          <cell r="GZ11">
            <v>93671</v>
          </cell>
          <cell r="HA11">
            <v>206000</v>
          </cell>
          <cell r="HD11">
            <v>37442</v>
          </cell>
          <cell r="HG11">
            <v>141000</v>
          </cell>
          <cell r="HM11">
            <v>0</v>
          </cell>
          <cell r="HO11">
            <v>800700000</v>
          </cell>
          <cell r="HW11">
            <v>2000000</v>
          </cell>
          <cell r="HX11" t="str">
            <v>2015-16</v>
          </cell>
          <cell r="HY11">
            <v>2950000</v>
          </cell>
          <cell r="HZ11" t="str">
            <v>2015-16</v>
          </cell>
          <cell r="IG11">
            <v>5590000</v>
          </cell>
          <cell r="IH11" t="str">
            <v>2015-16</v>
          </cell>
          <cell r="II11">
            <v>10540000</v>
          </cell>
          <cell r="IL11">
            <v>37.869999999999997</v>
          </cell>
          <cell r="IM11">
            <v>55.168726234338443</v>
          </cell>
          <cell r="IN11">
            <v>201</v>
          </cell>
          <cell r="IO11">
            <v>11.897399999999999</v>
          </cell>
          <cell r="IP11">
            <v>5.7844457536132143</v>
          </cell>
          <cell r="IQ11">
            <v>21.6</v>
          </cell>
          <cell r="IR11">
            <v>2.2000000000000002</v>
          </cell>
          <cell r="IS11">
            <v>5.59</v>
          </cell>
          <cell r="IT11">
            <v>13.55</v>
          </cell>
          <cell r="IU11">
            <v>1.07</v>
          </cell>
          <cell r="IV11">
            <v>20.21</v>
          </cell>
          <cell r="IY11">
            <v>1.84</v>
          </cell>
          <cell r="IZ11">
            <v>0.3</v>
          </cell>
          <cell r="JF11">
            <v>5.0797220100000011</v>
          </cell>
          <cell r="JG11">
            <v>18.090779070000004</v>
          </cell>
          <cell r="JH11">
            <v>111.03341149000001</v>
          </cell>
          <cell r="JI11">
            <v>73.340054849999987</v>
          </cell>
          <cell r="JJ11">
            <v>436.37828098000006</v>
          </cell>
          <cell r="JK11">
            <v>69.943265490000002</v>
          </cell>
          <cell r="JL11">
            <v>1053.0189602200001</v>
          </cell>
          <cell r="JM11">
            <v>4.6498676999999997</v>
          </cell>
          <cell r="JN11">
            <v>226.91489230999994</v>
          </cell>
          <cell r="JO11">
            <v>13.276549990000003</v>
          </cell>
          <cell r="JP11">
            <v>0</v>
          </cell>
          <cell r="JQ11">
            <v>2.2313447000000002</v>
          </cell>
          <cell r="JR11">
            <v>0.67926733000000006</v>
          </cell>
          <cell r="JS11">
            <v>0</v>
          </cell>
          <cell r="JT11">
            <v>0.82693818000000008</v>
          </cell>
          <cell r="JU11">
            <v>74.326205979999997</v>
          </cell>
          <cell r="JV11">
            <v>8.0737776099999987</v>
          </cell>
          <cell r="JW11">
            <v>43.559597320000002</v>
          </cell>
          <cell r="JX11">
            <v>9.5280096600000004</v>
          </cell>
          <cell r="JY11">
            <v>0.21453039999999998</v>
          </cell>
          <cell r="JZ11">
            <v>0.32445115000000002</v>
          </cell>
          <cell r="KA11">
            <v>0</v>
          </cell>
          <cell r="KB11">
            <v>14.946342859999998</v>
          </cell>
          <cell r="KC11">
            <v>9.9917564099999989</v>
          </cell>
          <cell r="KD11">
            <v>4.5949053100000006</v>
          </cell>
          <cell r="KE11">
            <v>13.241513190000003</v>
          </cell>
          <cell r="KF11">
            <v>18.893638879999994</v>
          </cell>
          <cell r="KG11">
            <v>158.67741339999998</v>
          </cell>
          <cell r="KH11">
            <v>41.861736140000012</v>
          </cell>
          <cell r="KI11">
            <v>15.19871582</v>
          </cell>
          <cell r="KJ11">
            <v>0.73807505000000007</v>
          </cell>
          <cell r="KK11">
            <v>12.893354330000001</v>
          </cell>
          <cell r="KL11">
            <v>0.59030972999999998</v>
          </cell>
          <cell r="KM11">
            <v>1.7102295600000001</v>
          </cell>
          <cell r="KN11">
            <v>0</v>
          </cell>
          <cell r="KO11">
            <v>8.7386830000000013E-2</v>
          </cell>
          <cell r="KP11">
            <v>0</v>
          </cell>
          <cell r="KQ11">
            <v>8.7773474799999995</v>
          </cell>
          <cell r="KR11">
            <v>0</v>
          </cell>
          <cell r="KS11">
            <v>0.2161566</v>
          </cell>
          <cell r="KT11">
            <v>1.39290282</v>
          </cell>
          <cell r="KU11">
            <v>8.0419199999999996E-2</v>
          </cell>
          <cell r="KV11">
            <v>0</v>
          </cell>
          <cell r="KW11">
            <v>1.8285759499999998</v>
          </cell>
          <cell r="KX11">
            <v>0</v>
          </cell>
          <cell r="KY11">
            <v>0</v>
          </cell>
          <cell r="KZ11">
            <v>0.22922013999999999</v>
          </cell>
          <cell r="LA11">
            <v>0.77055649000000004</v>
          </cell>
          <cell r="LB11">
            <v>5.7500210000000003E-2</v>
          </cell>
          <cell r="LC11">
            <v>0.13046010999999999</v>
          </cell>
          <cell r="LD11">
            <v>0</v>
          </cell>
          <cell r="LE11">
            <v>1.7193658300000001</v>
          </cell>
          <cell r="LF11">
            <v>0.55897443999999996</v>
          </cell>
          <cell r="LG11">
            <v>18.321732350000001</v>
          </cell>
          <cell r="LH11">
            <v>5.440657390000001</v>
          </cell>
          <cell r="LI11">
            <v>0</v>
          </cell>
          <cell r="LJ11">
            <v>0</v>
          </cell>
          <cell r="LK11">
            <v>3.0712413099999996</v>
          </cell>
          <cell r="LL11">
            <v>3.5155215999999996</v>
          </cell>
          <cell r="LM11">
            <v>0.93190032</v>
          </cell>
          <cell r="LN11">
            <v>1.1156101799999998</v>
          </cell>
          <cell r="LO11">
            <v>4.9760413099999994</v>
          </cell>
          <cell r="LQ11">
            <v>1905.33546755</v>
          </cell>
          <cell r="LR11">
            <v>3.7375502100000002</v>
          </cell>
          <cell r="LS11">
            <v>51.633374930000002</v>
          </cell>
          <cell r="LT11">
            <v>0.53898155000000003</v>
          </cell>
          <cell r="LU11">
            <v>10.791120469999999</v>
          </cell>
          <cell r="LV11">
            <v>1.8285759499999998</v>
          </cell>
          <cell r="LW11">
            <v>0.82805670000000009</v>
          </cell>
          <cell r="LX11">
            <v>2.2783402700000002</v>
          </cell>
          <cell r="NA11">
            <v>33.229999999999997</v>
          </cell>
          <cell r="NB11">
            <v>104.08</v>
          </cell>
          <cell r="NE11">
            <v>84.97</v>
          </cell>
        </row>
        <row r="12">
          <cell r="A12">
            <v>42430</v>
          </cell>
          <cell r="B12">
            <v>3</v>
          </cell>
          <cell r="C12">
            <v>2016</v>
          </cell>
          <cell r="D12">
            <v>12</v>
          </cell>
          <cell r="E12">
            <v>42430</v>
          </cell>
          <cell r="F12">
            <v>15.157142857142855</v>
          </cell>
          <cell r="G12">
            <v>79.654895666131623</v>
          </cell>
          <cell r="H12">
            <v>7680</v>
          </cell>
          <cell r="I12">
            <v>90</v>
          </cell>
          <cell r="J12">
            <v>395</v>
          </cell>
          <cell r="K12">
            <v>3.4</v>
          </cell>
          <cell r="L12">
            <v>26.4</v>
          </cell>
          <cell r="N12">
            <v>1.1548</v>
          </cell>
          <cell r="O12">
            <v>1.0162</v>
          </cell>
          <cell r="P12">
            <v>16.45307857142857</v>
          </cell>
          <cell r="Q12">
            <v>205</v>
          </cell>
          <cell r="R12">
            <v>2050</v>
          </cell>
          <cell r="S12">
            <v>138.76190476190476</v>
          </cell>
          <cell r="T12">
            <v>265.71428571428572</v>
          </cell>
          <cell r="U12">
            <v>146.16666666666666</v>
          </cell>
          <cell r="V12">
            <v>227.31428571428575</v>
          </cell>
          <cell r="W12">
            <v>138.4047619047619</v>
          </cell>
          <cell r="X12">
            <v>142.61904761904762</v>
          </cell>
          <cell r="Y12">
            <v>2103.2340136054418</v>
          </cell>
          <cell r="Z12">
            <v>4027.4693877551017</v>
          </cell>
          <cell r="AA12">
            <v>2215.4690476190472</v>
          </cell>
          <cell r="AB12">
            <v>3445.4351020408162</v>
          </cell>
          <cell r="AC12">
            <v>2097.8207482993193</v>
          </cell>
          <cell r="AD12">
            <v>2161.6972789115644</v>
          </cell>
          <cell r="AE12">
            <v>2675.1875963718821</v>
          </cell>
          <cell r="AF12">
            <v>7764.6190476190477</v>
          </cell>
          <cell r="AG12">
            <v>4272</v>
          </cell>
          <cell r="AH12">
            <v>15790</v>
          </cell>
          <cell r="AI12">
            <v>4.63</v>
          </cell>
          <cell r="AJ12">
            <v>2.5</v>
          </cell>
          <cell r="AK12">
            <v>2.38</v>
          </cell>
          <cell r="AL12">
            <v>2.1800000000000002</v>
          </cell>
          <cell r="AM12">
            <v>3.3718000000000004</v>
          </cell>
          <cell r="AN12">
            <v>14.48</v>
          </cell>
          <cell r="AO12">
            <v>8.6880000000000006</v>
          </cell>
          <cell r="AP12">
            <v>11.584</v>
          </cell>
          <cell r="AQ12">
            <v>9.94</v>
          </cell>
          <cell r="AR12">
            <v>5.97</v>
          </cell>
          <cell r="AS12">
            <v>13.9</v>
          </cell>
          <cell r="AT12">
            <v>9.94</v>
          </cell>
          <cell r="AU12">
            <v>9.9366666666666674</v>
          </cell>
          <cell r="AV12">
            <v>3.19</v>
          </cell>
          <cell r="AW12">
            <v>5.423</v>
          </cell>
          <cell r="AX12">
            <v>4.8899999999999997</v>
          </cell>
          <cell r="AY12">
            <v>10.4</v>
          </cell>
          <cell r="AZ12">
            <v>6.83</v>
          </cell>
          <cell r="BA12">
            <v>3.8433333333333333</v>
          </cell>
          <cell r="BB12">
            <v>6.4908333333333328</v>
          </cell>
          <cell r="BC12">
            <v>546</v>
          </cell>
          <cell r="BD12">
            <v>635.33000000000004</v>
          </cell>
          <cell r="BE12">
            <v>470</v>
          </cell>
          <cell r="BF12">
            <v>290</v>
          </cell>
          <cell r="BG12">
            <v>485.33249999999998</v>
          </cell>
          <cell r="BH12">
            <v>29.34</v>
          </cell>
          <cell r="BI12">
            <v>9.8640000000000008</v>
          </cell>
          <cell r="BJ12">
            <v>39.204000000000001</v>
          </cell>
          <cell r="BK12">
            <v>27.274999999999999</v>
          </cell>
          <cell r="BL12">
            <v>28.21</v>
          </cell>
          <cell r="BM12">
            <v>27.7425</v>
          </cell>
          <cell r="BN12">
            <v>2.89</v>
          </cell>
          <cell r="BO12">
            <v>21.344761904761906</v>
          </cell>
          <cell r="BP12">
            <v>14.115833333333333</v>
          </cell>
          <cell r="BQ12">
            <v>20.62186904761905</v>
          </cell>
          <cell r="BR12">
            <v>14.74</v>
          </cell>
          <cell r="BS12">
            <v>57</v>
          </cell>
          <cell r="BT12">
            <v>42.19</v>
          </cell>
          <cell r="BU12">
            <v>810.56999999999994</v>
          </cell>
          <cell r="BV12">
            <v>21.8</v>
          </cell>
          <cell r="BY12">
            <v>111.47684118780828</v>
          </cell>
          <cell r="BZ12">
            <v>107.36594480892209</v>
          </cell>
          <cell r="CA12">
            <v>110.57131558472375</v>
          </cell>
          <cell r="CB12">
            <v>108.40244033360671</v>
          </cell>
          <cell r="CC12">
            <v>109.54968170703236</v>
          </cell>
          <cell r="CD12">
            <v>110.04184735562865</v>
          </cell>
          <cell r="CE12">
            <v>107.36597230180654</v>
          </cell>
          <cell r="CF12">
            <v>111.70905125683453</v>
          </cell>
          <cell r="CG12">
            <v>109.60671808993875</v>
          </cell>
          <cell r="CH12">
            <v>114.13681391813557</v>
          </cell>
          <cell r="CI12">
            <v>115.25994108029791</v>
          </cell>
          <cell r="CJ12">
            <v>106.79066005608571</v>
          </cell>
          <cell r="CK12">
            <v>115.87726817672251</v>
          </cell>
          <cell r="CL12">
            <v>132.29962822353522</v>
          </cell>
          <cell r="CM12">
            <v>106.9461939314627</v>
          </cell>
          <cell r="CN12">
            <v>102.16836600872305</v>
          </cell>
          <cell r="CO12">
            <v>114.32286408511088</v>
          </cell>
          <cell r="CP12">
            <v>125.30371119520618</v>
          </cell>
          <cell r="CQ12">
            <v>104.74293303862872</v>
          </cell>
          <cell r="CR12">
            <v>104.74293303862872</v>
          </cell>
          <cell r="CS12">
            <v>104.74293303862872</v>
          </cell>
          <cell r="CT12">
            <v>106.15937746038216</v>
          </cell>
          <cell r="CU12">
            <v>106.95470564149478</v>
          </cell>
          <cell r="CV12">
            <v>117.43143451724734</v>
          </cell>
          <cell r="CW12">
            <v>117.43143451724734</v>
          </cell>
          <cell r="CX12">
            <v>113.93919155866315</v>
          </cell>
          <cell r="CY12">
            <v>103.47562484060668</v>
          </cell>
          <cell r="CZ12">
            <v>107.48241607519024</v>
          </cell>
          <cell r="DA12">
            <v>106.74947903367644</v>
          </cell>
          <cell r="DB12">
            <v>113.29940112180114</v>
          </cell>
          <cell r="DC12">
            <v>106.63161740846694</v>
          </cell>
          <cell r="DD12">
            <v>106.33105598307554</v>
          </cell>
          <cell r="DE12">
            <v>106.62751427372285</v>
          </cell>
          <cell r="DF12">
            <v>108.56105855322996</v>
          </cell>
          <cell r="DG12">
            <v>107.5942864134764</v>
          </cell>
          <cell r="DH12">
            <v>107.84008419056586</v>
          </cell>
          <cell r="DI12">
            <v>104.84711846598185</v>
          </cell>
          <cell r="DK12">
            <v>418550</v>
          </cell>
          <cell r="DL12" t="str">
            <v>2015-16</v>
          </cell>
          <cell r="DM12">
            <v>214570</v>
          </cell>
          <cell r="DN12" t="str">
            <v>2015-16</v>
          </cell>
          <cell r="DO12">
            <v>1200000</v>
          </cell>
          <cell r="DP12" t="str">
            <v>2015-16</v>
          </cell>
          <cell r="DQ12">
            <v>1220000</v>
          </cell>
          <cell r="DR12" t="str">
            <v>2015-16</v>
          </cell>
          <cell r="DS12">
            <v>3300000</v>
          </cell>
          <cell r="DT12" t="str">
            <v>2015-16</v>
          </cell>
          <cell r="DU12">
            <v>20100000</v>
          </cell>
          <cell r="DV12" t="str">
            <v>2015-16</v>
          </cell>
          <cell r="DW12">
            <v>850000</v>
          </cell>
          <cell r="DX12" t="str">
            <v>2015-16</v>
          </cell>
          <cell r="DY12">
            <v>3600000</v>
          </cell>
          <cell r="DZ12" t="str">
            <v>2015-16</v>
          </cell>
          <cell r="EA12">
            <v>30270000</v>
          </cell>
          <cell r="EB12">
            <v>368438</v>
          </cell>
          <cell r="EC12" t="str">
            <v>2015-16</v>
          </cell>
          <cell r="ED12">
            <v>165327</v>
          </cell>
          <cell r="EE12">
            <v>2016</v>
          </cell>
          <cell r="EF12">
            <v>223944</v>
          </cell>
          <cell r="EG12">
            <v>2016</v>
          </cell>
          <cell r="EH12">
            <v>53117706</v>
          </cell>
          <cell r="EI12">
            <v>2016</v>
          </cell>
          <cell r="EJ12">
            <v>5119438</v>
          </cell>
          <cell r="EK12">
            <v>2016</v>
          </cell>
          <cell r="EL12">
            <v>14859486</v>
          </cell>
          <cell r="EM12">
            <v>2015</v>
          </cell>
          <cell r="EN12">
            <v>3448018</v>
          </cell>
          <cell r="EO12">
            <v>2015</v>
          </cell>
          <cell r="EP12">
            <v>6552</v>
          </cell>
          <cell r="EQ12">
            <v>3008956</v>
          </cell>
          <cell r="ER12">
            <v>32755</v>
          </cell>
          <cell r="ET12">
            <v>24000</v>
          </cell>
          <cell r="EU12">
            <v>16752</v>
          </cell>
          <cell r="EV12">
            <v>9500</v>
          </cell>
          <cell r="EW12">
            <v>17994</v>
          </cell>
          <cell r="EX12">
            <v>68246</v>
          </cell>
          <cell r="EY12">
            <v>19129</v>
          </cell>
          <cell r="EZ12">
            <v>75500</v>
          </cell>
          <cell r="FA12">
            <v>22169</v>
          </cell>
          <cell r="FB12">
            <v>20495</v>
          </cell>
          <cell r="FC12">
            <v>42664</v>
          </cell>
          <cell r="FD12">
            <v>43815</v>
          </cell>
          <cell r="FF12">
            <v>708191</v>
          </cell>
          <cell r="FG12" t="str">
            <v>2015-16</v>
          </cell>
          <cell r="FH12">
            <v>1558100</v>
          </cell>
          <cell r="FI12" t="str">
            <v>2014-15</v>
          </cell>
          <cell r="FJ12">
            <v>4300000</v>
          </cell>
          <cell r="FK12" t="str">
            <v>2015-16</v>
          </cell>
          <cell r="FL12">
            <v>2450000</v>
          </cell>
          <cell r="FM12" t="str">
            <v>2015-16</v>
          </cell>
          <cell r="FN12">
            <v>25000000</v>
          </cell>
          <cell r="FO12" t="str">
            <v>2015-16</v>
          </cell>
          <cell r="FP12">
            <v>60000000</v>
          </cell>
          <cell r="FQ12" t="str">
            <v>2015-16</v>
          </cell>
          <cell r="FR12">
            <v>3500000</v>
          </cell>
          <cell r="FS12" t="str">
            <v>2015-16</v>
          </cell>
          <cell r="FT12">
            <v>10300000</v>
          </cell>
          <cell r="FU12" t="str">
            <v>2015-16</v>
          </cell>
          <cell r="FV12">
            <v>105550000</v>
          </cell>
          <cell r="FW12">
            <v>1010777</v>
          </cell>
          <cell r="FX12" t="str">
            <v>2014-15</v>
          </cell>
          <cell r="FY12">
            <v>67654.744000000006</v>
          </cell>
          <cell r="GB12">
            <v>17584178</v>
          </cell>
          <cell r="GD12">
            <v>1678337</v>
          </cell>
          <cell r="GE12">
            <v>468278</v>
          </cell>
          <cell r="GF12">
            <v>1032446</v>
          </cell>
          <cell r="GG12">
            <v>102259</v>
          </cell>
          <cell r="GH12">
            <v>1602983</v>
          </cell>
          <cell r="GI12">
            <v>1302556</v>
          </cell>
          <cell r="GJ12">
            <v>600000</v>
          </cell>
          <cell r="GK12">
            <v>998555</v>
          </cell>
          <cell r="GL12">
            <v>302000</v>
          </cell>
          <cell r="GM12">
            <v>266553.90000000002</v>
          </cell>
          <cell r="GN12">
            <v>2167108.9</v>
          </cell>
          <cell r="GO12">
            <v>191984</v>
          </cell>
          <cell r="GP12">
            <v>68123</v>
          </cell>
          <cell r="GR12">
            <v>42700</v>
          </cell>
          <cell r="GS12">
            <v>42700</v>
          </cell>
          <cell r="GT12">
            <v>2430866</v>
          </cell>
          <cell r="GU12">
            <v>50951.583333333336</v>
          </cell>
          <cell r="GV12">
            <v>51463.083333333336</v>
          </cell>
          <cell r="GW12">
            <v>1228976</v>
          </cell>
          <cell r="GX12">
            <v>30955.772000000001</v>
          </cell>
          <cell r="GY12" t="str">
            <v>2015-2016</v>
          </cell>
          <cell r="GZ12">
            <v>93671</v>
          </cell>
          <cell r="HA12">
            <v>229000</v>
          </cell>
          <cell r="HD12">
            <v>44668</v>
          </cell>
          <cell r="HG12">
            <v>172000</v>
          </cell>
          <cell r="HM12">
            <v>0</v>
          </cell>
          <cell r="HO12">
            <v>826400000</v>
          </cell>
          <cell r="HW12">
            <v>2000000</v>
          </cell>
          <cell r="HX12" t="str">
            <v>2015-16</v>
          </cell>
          <cell r="HY12">
            <v>2950000</v>
          </cell>
          <cell r="HZ12" t="str">
            <v>2015-16</v>
          </cell>
          <cell r="IA12">
            <v>17210000</v>
          </cell>
          <cell r="IB12" t="str">
            <v>2015-16</v>
          </cell>
          <cell r="IE12">
            <v>2600000</v>
          </cell>
          <cell r="IF12" t="str">
            <v>2015-16</v>
          </cell>
          <cell r="IG12">
            <v>5590000</v>
          </cell>
          <cell r="IH12" t="str">
            <v>2015-16</v>
          </cell>
          <cell r="II12">
            <v>30350000</v>
          </cell>
          <cell r="IJ12">
            <v>1.6245896649969351</v>
          </cell>
          <cell r="IK12" t="str">
            <v>2015-16</v>
          </cell>
          <cell r="IL12">
            <v>44.01</v>
          </cell>
          <cell r="IM12">
            <v>56.669009643687907</v>
          </cell>
          <cell r="IN12">
            <v>201</v>
          </cell>
          <cell r="IO12">
            <v>13.053794</v>
          </cell>
          <cell r="IP12">
            <v>5.7844457536132143</v>
          </cell>
          <cell r="IQ12">
            <v>21.6</v>
          </cell>
          <cell r="IR12">
            <v>2.2000000000000002</v>
          </cell>
          <cell r="IS12">
            <v>5.59</v>
          </cell>
          <cell r="IT12">
            <v>13.55</v>
          </cell>
          <cell r="IU12">
            <v>1.07</v>
          </cell>
          <cell r="IV12">
            <v>20.21</v>
          </cell>
          <cell r="IY12">
            <v>1.84</v>
          </cell>
          <cell r="IZ12">
            <v>0.3</v>
          </cell>
          <cell r="JF12">
            <v>5.0764919999999991</v>
          </cell>
          <cell r="JG12">
            <v>15.563876839999999</v>
          </cell>
          <cell r="JH12">
            <v>115.59844792</v>
          </cell>
          <cell r="JI12">
            <v>110.48019421999999</v>
          </cell>
          <cell r="JJ12">
            <v>467.91294433000013</v>
          </cell>
          <cell r="JK12">
            <v>79.613228030000002</v>
          </cell>
          <cell r="JL12">
            <v>955.63908061000006</v>
          </cell>
          <cell r="JM12">
            <v>6.0858251799999996</v>
          </cell>
          <cell r="JN12">
            <v>282.06659945000001</v>
          </cell>
          <cell r="JO12">
            <v>19.520448809999998</v>
          </cell>
          <cell r="JP12">
            <v>0</v>
          </cell>
          <cell r="JQ12">
            <v>5.4681789600000004</v>
          </cell>
          <cell r="JR12">
            <v>0.64792592999999998</v>
          </cell>
          <cell r="JS12">
            <v>0</v>
          </cell>
          <cell r="JT12">
            <v>1.1913270900000001</v>
          </cell>
          <cell r="JU12">
            <v>79.57939355000002</v>
          </cell>
          <cell r="JV12">
            <v>13.56639103</v>
          </cell>
          <cell r="JW12">
            <v>68.811286730000006</v>
          </cell>
          <cell r="JX12">
            <v>10.954738189999997</v>
          </cell>
          <cell r="JY12">
            <v>1.5228919999999999</v>
          </cell>
          <cell r="JZ12">
            <v>1.4364E-2</v>
          </cell>
          <cell r="KA12">
            <v>2.0442499999999999E-2</v>
          </cell>
          <cell r="KB12">
            <v>17.891570879999996</v>
          </cell>
          <cell r="KC12">
            <v>32.213849879999998</v>
          </cell>
          <cell r="KD12">
            <v>5.5379611500000001</v>
          </cell>
          <cell r="KE12">
            <v>16.541452409999998</v>
          </cell>
          <cell r="KF12">
            <v>20.530749950000004</v>
          </cell>
          <cell r="KG12">
            <v>183.61942241999995</v>
          </cell>
          <cell r="KH12">
            <v>51.068025859999992</v>
          </cell>
          <cell r="KI12">
            <v>20.924458479999998</v>
          </cell>
          <cell r="KJ12">
            <v>0.52688719000000006</v>
          </cell>
          <cell r="KK12">
            <v>9.8357482200000028</v>
          </cell>
          <cell r="KL12">
            <v>0.68002169999999995</v>
          </cell>
          <cell r="KM12">
            <v>1.4012571200000001</v>
          </cell>
          <cell r="KN12">
            <v>7.0771000000000007E-4</v>
          </cell>
          <cell r="KO12">
            <v>2.2091159999999999E-2</v>
          </cell>
          <cell r="KP12">
            <v>0</v>
          </cell>
          <cell r="KQ12">
            <v>37.552292860000001</v>
          </cell>
          <cell r="KR12">
            <v>0</v>
          </cell>
          <cell r="KS12">
            <v>8.5337410000000002E-2</v>
          </cell>
          <cell r="KT12">
            <v>2.4291365300000001</v>
          </cell>
          <cell r="KU12">
            <v>0.15342851999999998</v>
          </cell>
          <cell r="KV12">
            <v>0</v>
          </cell>
          <cell r="KW12">
            <v>2.39437575</v>
          </cell>
          <cell r="KX12">
            <v>0</v>
          </cell>
          <cell r="KY12">
            <v>0</v>
          </cell>
          <cell r="KZ12">
            <v>0.60506263999999998</v>
          </cell>
          <cell r="LA12">
            <v>0.43270871999999999</v>
          </cell>
          <cell r="LB12">
            <v>8.3643660000000009E-2</v>
          </cell>
          <cell r="LC12">
            <v>3.6301819999999999E-2</v>
          </cell>
          <cell r="LD12">
            <v>2.921122E-2</v>
          </cell>
          <cell r="LE12">
            <v>2.2466574399999999</v>
          </cell>
          <cell r="LF12">
            <v>9.3585210000000002E-2</v>
          </cell>
          <cell r="LG12">
            <v>21.815416920000004</v>
          </cell>
          <cell r="LH12">
            <v>3.56208313</v>
          </cell>
          <cell r="LI12">
            <v>0.20341364000000001</v>
          </cell>
          <cell r="LJ12">
            <v>1.02878E-3</v>
          </cell>
          <cell r="LK12">
            <v>2.7336517799999998</v>
          </cell>
          <cell r="LL12">
            <v>3.4643759599999999</v>
          </cell>
          <cell r="LM12">
            <v>0.91515763999999999</v>
          </cell>
          <cell r="LN12">
            <v>0.79855767999999994</v>
          </cell>
          <cell r="LO12">
            <v>7.765878080000002</v>
          </cell>
          <cell r="LQ12">
            <v>1937.7830917100002</v>
          </cell>
          <cell r="LR12">
            <v>7.3074319800000005</v>
          </cell>
          <cell r="LS12">
            <v>82.377677760000012</v>
          </cell>
          <cell r="LT12">
            <v>1.5576984999999999</v>
          </cell>
          <cell r="LU12">
            <v>39.061686260000002</v>
          </cell>
          <cell r="LV12">
            <v>2.39437575</v>
          </cell>
          <cell r="LW12">
            <v>0.51635238000000006</v>
          </cell>
          <cell r="LX12">
            <v>2.3694538700000001</v>
          </cell>
          <cell r="NA12">
            <v>36.090000000000003</v>
          </cell>
          <cell r="NB12">
            <v>104.06</v>
          </cell>
          <cell r="NE12">
            <v>85.26</v>
          </cell>
        </row>
        <row r="13">
          <cell r="A13">
            <v>42461</v>
          </cell>
          <cell r="B13">
            <v>4</v>
          </cell>
          <cell r="C13">
            <v>2016</v>
          </cell>
          <cell r="D13">
            <v>13</v>
          </cell>
          <cell r="E13">
            <v>42461</v>
          </cell>
          <cell r="F13">
            <v>14.595238095238093</v>
          </cell>
          <cell r="G13">
            <v>84.430176565008026</v>
          </cell>
          <cell r="H13">
            <v>7680</v>
          </cell>
          <cell r="I13">
            <v>102</v>
          </cell>
          <cell r="J13">
            <v>360</v>
          </cell>
          <cell r="K13">
            <v>3.4</v>
          </cell>
          <cell r="L13">
            <v>28.1</v>
          </cell>
          <cell r="N13">
            <v>1.1935238095238097</v>
          </cell>
          <cell r="O13">
            <v>1.0611428571428572</v>
          </cell>
          <cell r="P13">
            <v>16.453698412698412</v>
          </cell>
          <cell r="Q13">
            <v>215</v>
          </cell>
          <cell r="R13">
            <v>2150</v>
          </cell>
          <cell r="S13">
            <v>140.61904761904762</v>
          </cell>
          <cell r="T13">
            <v>283.33333333333331</v>
          </cell>
          <cell r="U13">
            <v>172.47619047619048</v>
          </cell>
          <cell r="V13">
            <v>242.64285714285714</v>
          </cell>
          <cell r="W13">
            <v>134.47619047619048</v>
          </cell>
          <cell r="X13">
            <v>157.88095238095238</v>
          </cell>
          <cell r="Y13">
            <v>2052.3684807256232</v>
          </cell>
          <cell r="Z13">
            <v>4135.3174603174593</v>
          </cell>
          <cell r="AA13">
            <v>2517.3310657596371</v>
          </cell>
          <cell r="AB13">
            <v>3541.4302721088429</v>
          </cell>
          <cell r="AC13">
            <v>1962.7120181405894</v>
          </cell>
          <cell r="AD13">
            <v>2304.3100907029475</v>
          </cell>
          <cell r="AE13">
            <v>2752.2448979591832</v>
          </cell>
          <cell r="AF13">
            <v>7513.666666666667</v>
          </cell>
          <cell r="AG13">
            <v>4803</v>
          </cell>
          <cell r="AH13">
            <v>18031</v>
          </cell>
          <cell r="AI13">
            <v>5.31</v>
          </cell>
          <cell r="AJ13">
            <v>2.2599999999999998</v>
          </cell>
          <cell r="AK13">
            <v>2.81</v>
          </cell>
          <cell r="AL13">
            <v>2.46</v>
          </cell>
          <cell r="AM13">
            <v>3.8539999999999996</v>
          </cell>
          <cell r="AN13">
            <v>14.299999999999999</v>
          </cell>
          <cell r="AO13">
            <v>8.5799999999999983</v>
          </cell>
          <cell r="AP13">
            <v>11.439999999999998</v>
          </cell>
          <cell r="AQ13">
            <v>8.89</v>
          </cell>
          <cell r="AR13">
            <v>5.47</v>
          </cell>
          <cell r="AS13">
            <v>13.079999999999998</v>
          </cell>
          <cell r="AT13">
            <v>8.89</v>
          </cell>
          <cell r="AU13">
            <v>9.1466666666666665</v>
          </cell>
          <cell r="AV13">
            <v>3.56</v>
          </cell>
          <cell r="AW13">
            <v>4.984</v>
          </cell>
          <cell r="AX13">
            <v>5.27</v>
          </cell>
          <cell r="AY13">
            <v>11.9</v>
          </cell>
          <cell r="AZ13">
            <v>8.48</v>
          </cell>
          <cell r="BA13">
            <v>4.2233333333333336</v>
          </cell>
          <cell r="BB13">
            <v>7.4683333333333337</v>
          </cell>
          <cell r="BC13">
            <v>554</v>
          </cell>
          <cell r="BD13">
            <v>684</v>
          </cell>
          <cell r="BE13">
            <v>610</v>
          </cell>
          <cell r="BF13">
            <v>410</v>
          </cell>
          <cell r="BG13">
            <v>564.5</v>
          </cell>
          <cell r="BH13">
            <v>29.34</v>
          </cell>
          <cell r="BI13">
            <v>9.8640000000000008</v>
          </cell>
          <cell r="BJ13">
            <v>39.204000000000001</v>
          </cell>
          <cell r="BK13">
            <v>29.018000000000001</v>
          </cell>
          <cell r="BL13">
            <v>29.608000000000001</v>
          </cell>
          <cell r="BM13">
            <v>29.313000000000002</v>
          </cell>
          <cell r="BN13">
            <v>3.347</v>
          </cell>
          <cell r="BO13">
            <v>18.707142857142863</v>
          </cell>
          <cell r="BP13">
            <v>12.8695</v>
          </cell>
          <cell r="BQ13">
            <v>18.123378571428578</v>
          </cell>
          <cell r="BR13">
            <v>14.61</v>
          </cell>
          <cell r="BS13">
            <v>59</v>
          </cell>
          <cell r="BT13">
            <v>45.56</v>
          </cell>
          <cell r="BU13">
            <v>844.68000000000006</v>
          </cell>
          <cell r="BV13">
            <v>21.7</v>
          </cell>
          <cell r="BY13">
            <v>113.00874560415133</v>
          </cell>
          <cell r="BZ13">
            <v>113.28243975640855</v>
          </cell>
          <cell r="CA13">
            <v>112.25386454943424</v>
          </cell>
          <cell r="CB13">
            <v>111.54556497097616</v>
          </cell>
          <cell r="CC13">
            <v>115.94565225804278</v>
          </cell>
          <cell r="CD13">
            <v>112.93159922041744</v>
          </cell>
          <cell r="CE13">
            <v>107.14824580842561</v>
          </cell>
          <cell r="CF13">
            <v>115.5349801264977</v>
          </cell>
          <cell r="CG13">
            <v>112.55998448896565</v>
          </cell>
          <cell r="CH13">
            <v>114.53810965677536</v>
          </cell>
          <cell r="CI13">
            <v>118.39210590678897</v>
          </cell>
          <cell r="CJ13">
            <v>106.47412064018336</v>
          </cell>
          <cell r="CK13">
            <v>119.21870633804579</v>
          </cell>
          <cell r="CL13">
            <v>139.22210128399493</v>
          </cell>
          <cell r="CM13">
            <v>114.89645463903588</v>
          </cell>
          <cell r="CN13">
            <v>104.45049269512798</v>
          </cell>
          <cell r="CO13">
            <v>119.44693873905115</v>
          </cell>
          <cell r="CP13">
            <v>129.38193330811794</v>
          </cell>
          <cell r="CQ13">
            <v>105.74519987675082</v>
          </cell>
          <cell r="CR13">
            <v>105.74519987675082</v>
          </cell>
          <cell r="CS13">
            <v>105.74519987675082</v>
          </cell>
          <cell r="CT13">
            <v>106.60852693938143</v>
          </cell>
          <cell r="CU13">
            <v>107.65303812280574</v>
          </cell>
          <cell r="CV13">
            <v>117.71312284713211</v>
          </cell>
          <cell r="CW13">
            <v>117.71312284713211</v>
          </cell>
          <cell r="CX13">
            <v>114.35976127235665</v>
          </cell>
          <cell r="CY13">
            <v>105.10885483910933</v>
          </cell>
          <cell r="CZ13">
            <v>111.02741552496411</v>
          </cell>
          <cell r="DA13">
            <v>107.90811967488112</v>
          </cell>
          <cell r="DB13">
            <v>115.13305152260503</v>
          </cell>
          <cell r="DC13">
            <v>118.88516449887388</v>
          </cell>
          <cell r="DD13">
            <v>117.33327912629593</v>
          </cell>
          <cell r="DE13">
            <v>116.65940800441005</v>
          </cell>
          <cell r="DF13">
            <v>120.20284899315223</v>
          </cell>
          <cell r="DG13">
            <v>118.43112849878113</v>
          </cell>
          <cell r="DH13">
            <v>108.8496537650669</v>
          </cell>
          <cell r="DI13">
            <v>106.05127410145485</v>
          </cell>
          <cell r="DK13">
            <v>417850</v>
          </cell>
          <cell r="DL13" t="str">
            <v>2015-16</v>
          </cell>
          <cell r="DM13">
            <v>214570</v>
          </cell>
          <cell r="DN13" t="str">
            <v>2015-16</v>
          </cell>
          <cell r="DO13">
            <v>1200000</v>
          </cell>
          <cell r="DP13" t="str">
            <v>2015-16</v>
          </cell>
          <cell r="DQ13">
            <v>1220000</v>
          </cell>
          <cell r="DR13" t="str">
            <v>2015-16</v>
          </cell>
          <cell r="DS13">
            <v>3300000</v>
          </cell>
          <cell r="DT13" t="str">
            <v>2015-16</v>
          </cell>
          <cell r="DU13">
            <v>20100000</v>
          </cell>
          <cell r="DV13" t="str">
            <v>2015-16</v>
          </cell>
          <cell r="DW13">
            <v>850000</v>
          </cell>
          <cell r="DX13" t="str">
            <v>2015-16</v>
          </cell>
          <cell r="DY13">
            <v>3600000</v>
          </cell>
          <cell r="DZ13" t="str">
            <v>2015-16</v>
          </cell>
          <cell r="EA13">
            <v>30270000</v>
          </cell>
          <cell r="EB13">
            <v>368438</v>
          </cell>
          <cell r="EC13" t="str">
            <v>2015-16</v>
          </cell>
          <cell r="ED13">
            <v>165327</v>
          </cell>
          <cell r="EE13">
            <v>2016</v>
          </cell>
          <cell r="EF13">
            <v>223944</v>
          </cell>
          <cell r="EG13">
            <v>2016</v>
          </cell>
          <cell r="EH13">
            <v>53117706</v>
          </cell>
          <cell r="EI13">
            <v>2016</v>
          </cell>
          <cell r="EJ13">
            <v>5119438</v>
          </cell>
          <cell r="EK13">
            <v>2016</v>
          </cell>
          <cell r="EL13">
            <v>14859486</v>
          </cell>
          <cell r="EM13">
            <v>2015</v>
          </cell>
          <cell r="EN13">
            <v>3448018</v>
          </cell>
          <cell r="EO13">
            <v>2015</v>
          </cell>
          <cell r="EP13">
            <v>6552</v>
          </cell>
          <cell r="EQ13">
            <v>3008956</v>
          </cell>
          <cell r="ER13">
            <v>32755</v>
          </cell>
          <cell r="ET13">
            <v>24000</v>
          </cell>
          <cell r="EU13">
            <v>16752</v>
          </cell>
          <cell r="EV13">
            <v>9500</v>
          </cell>
          <cell r="EW13">
            <v>17994</v>
          </cell>
          <cell r="EX13">
            <v>68246</v>
          </cell>
          <cell r="EY13">
            <v>19129</v>
          </cell>
          <cell r="EZ13">
            <v>75500</v>
          </cell>
          <cell r="FA13">
            <v>22169</v>
          </cell>
          <cell r="FB13">
            <v>20495</v>
          </cell>
          <cell r="FC13">
            <v>42664</v>
          </cell>
          <cell r="FD13">
            <v>43815</v>
          </cell>
          <cell r="FF13">
            <v>708192</v>
          </cell>
          <cell r="FG13" t="str">
            <v>2015-16</v>
          </cell>
          <cell r="FH13">
            <v>1558100</v>
          </cell>
          <cell r="FI13" t="str">
            <v>2014-15</v>
          </cell>
          <cell r="FJ13">
            <v>4300000</v>
          </cell>
          <cell r="FK13" t="str">
            <v>2015-16</v>
          </cell>
          <cell r="FL13">
            <v>2450000</v>
          </cell>
          <cell r="FM13" t="str">
            <v>2015-16</v>
          </cell>
          <cell r="FN13">
            <v>25000000</v>
          </cell>
          <cell r="FO13" t="str">
            <v>2015-16</v>
          </cell>
          <cell r="FP13">
            <v>56000000</v>
          </cell>
          <cell r="FQ13" t="str">
            <v>2015-16</v>
          </cell>
          <cell r="FR13">
            <v>3500000</v>
          </cell>
          <cell r="FS13" t="str">
            <v>2015-16</v>
          </cell>
          <cell r="FT13">
            <v>10300000</v>
          </cell>
          <cell r="FU13" t="str">
            <v>2015-16</v>
          </cell>
          <cell r="FV13">
            <v>101550000</v>
          </cell>
          <cell r="FW13">
            <v>1010777</v>
          </cell>
          <cell r="FX13" t="str">
            <v>2014-15</v>
          </cell>
          <cell r="FY13">
            <v>70239.467999999993</v>
          </cell>
          <cell r="GB13">
            <v>17584178</v>
          </cell>
          <cell r="GD13">
            <v>1678337</v>
          </cell>
          <cell r="GE13">
            <v>468278</v>
          </cell>
          <cell r="GF13">
            <v>1032446</v>
          </cell>
          <cell r="GG13">
            <v>102259</v>
          </cell>
          <cell r="GH13">
            <v>1602983</v>
          </cell>
          <cell r="GI13">
            <v>1302556</v>
          </cell>
          <cell r="GJ13">
            <v>600000</v>
          </cell>
          <cell r="GK13">
            <v>998555</v>
          </cell>
          <cell r="GL13">
            <v>302000</v>
          </cell>
          <cell r="GM13">
            <v>266553.90000000002</v>
          </cell>
          <cell r="GN13">
            <v>2167108.9</v>
          </cell>
          <cell r="GO13">
            <v>191984</v>
          </cell>
          <cell r="GP13">
            <v>68123</v>
          </cell>
          <cell r="GR13">
            <v>42700</v>
          </cell>
          <cell r="GS13">
            <v>42700</v>
          </cell>
          <cell r="GT13">
            <v>2430866</v>
          </cell>
          <cell r="GU13">
            <v>50951.583333333336</v>
          </cell>
          <cell r="GV13">
            <v>51463.083333333336</v>
          </cell>
          <cell r="GW13">
            <v>1228976</v>
          </cell>
          <cell r="GX13">
            <v>30955.772000000001</v>
          </cell>
          <cell r="GY13" t="str">
            <v>2015-2016</v>
          </cell>
          <cell r="GZ13">
            <v>93671</v>
          </cell>
          <cell r="HA13">
            <v>203000</v>
          </cell>
          <cell r="HD13">
            <v>41467</v>
          </cell>
          <cell r="HG13">
            <v>167000</v>
          </cell>
          <cell r="HM13">
            <v>0</v>
          </cell>
          <cell r="HO13">
            <v>674300000</v>
          </cell>
          <cell r="HU13">
            <v>650000</v>
          </cell>
          <cell r="HV13" t="str">
            <v>2015-16</v>
          </cell>
          <cell r="HW13">
            <v>2000000</v>
          </cell>
          <cell r="HX13" t="str">
            <v>2015-16</v>
          </cell>
          <cell r="HY13">
            <v>2950000</v>
          </cell>
          <cell r="HZ13" t="str">
            <v>2015-16</v>
          </cell>
          <cell r="IA13">
            <v>17210000</v>
          </cell>
          <cell r="IB13" t="str">
            <v>2015-16</v>
          </cell>
          <cell r="IC13">
            <v>50000000</v>
          </cell>
          <cell r="ID13" t="str">
            <v>2015-16</v>
          </cell>
          <cell r="IE13">
            <v>2600000</v>
          </cell>
          <cell r="IF13" t="str">
            <v>2015-16</v>
          </cell>
          <cell r="II13">
            <v>74760000</v>
          </cell>
          <cell r="IJ13">
            <v>1.6245896649969351</v>
          </cell>
          <cell r="IK13" t="str">
            <v>2015-16</v>
          </cell>
          <cell r="IL13">
            <v>43.47</v>
          </cell>
          <cell r="IM13">
            <v>51.3246650838459</v>
          </cell>
          <cell r="IN13">
            <v>201</v>
          </cell>
          <cell r="IO13">
            <v>12.395076</v>
          </cell>
          <cell r="IP13">
            <v>5.7844457536132143</v>
          </cell>
          <cell r="IQ13">
            <v>21.6</v>
          </cell>
          <cell r="IR13">
            <v>2.2000000000000002</v>
          </cell>
          <cell r="IS13">
            <v>5.59</v>
          </cell>
          <cell r="IT13">
            <v>13.55</v>
          </cell>
          <cell r="IU13">
            <v>1.07</v>
          </cell>
          <cell r="IV13">
            <v>20.21</v>
          </cell>
          <cell r="IY13">
            <v>1.84</v>
          </cell>
          <cell r="IZ13">
            <v>0.3</v>
          </cell>
          <cell r="JF13">
            <v>6.0783912999999989</v>
          </cell>
          <cell r="JG13">
            <v>30.22032712</v>
          </cell>
          <cell r="JH13">
            <v>93.054412799999994</v>
          </cell>
          <cell r="JI13">
            <v>120.81196385999999</v>
          </cell>
          <cell r="JJ13">
            <v>328.58182104999992</v>
          </cell>
          <cell r="JK13">
            <v>74.293283979999998</v>
          </cell>
          <cell r="JL13">
            <v>1301.4315219599998</v>
          </cell>
          <cell r="JM13">
            <v>14.173273030000001</v>
          </cell>
          <cell r="JN13">
            <v>241.66404899000003</v>
          </cell>
          <cell r="JO13">
            <v>20.61036387</v>
          </cell>
          <cell r="JP13">
            <v>0</v>
          </cell>
          <cell r="JQ13">
            <v>4.2508789</v>
          </cell>
          <cell r="JR13">
            <v>0.70035887000000008</v>
          </cell>
          <cell r="JS13">
            <v>0</v>
          </cell>
          <cell r="JT13">
            <v>0.69519420999999992</v>
          </cell>
          <cell r="JU13">
            <v>82.927035959999984</v>
          </cell>
          <cell r="JV13">
            <v>18.9912837</v>
          </cell>
          <cell r="JW13">
            <v>47.579604120000006</v>
          </cell>
          <cell r="JX13">
            <v>28.484557790000004</v>
          </cell>
          <cell r="JY13">
            <v>1.51216456</v>
          </cell>
          <cell r="JZ13">
            <v>0.19857765999999999</v>
          </cell>
          <cell r="KA13">
            <v>7.0560000000000002E-4</v>
          </cell>
          <cell r="KB13">
            <v>17.063862989999997</v>
          </cell>
          <cell r="KC13">
            <v>22.027055000000004</v>
          </cell>
          <cell r="KD13">
            <v>5.1407169599999998</v>
          </cell>
          <cell r="KE13">
            <v>16.496646400000003</v>
          </cell>
          <cell r="KF13">
            <v>23.34557113</v>
          </cell>
          <cell r="KG13">
            <v>173.21266676000002</v>
          </cell>
          <cell r="KH13">
            <v>59.82488098000001</v>
          </cell>
          <cell r="KI13">
            <v>31.065288369999998</v>
          </cell>
          <cell r="KJ13">
            <v>1.14213162</v>
          </cell>
          <cell r="KK13">
            <v>8.5606701300000001</v>
          </cell>
          <cell r="KL13">
            <v>0.62539049999999996</v>
          </cell>
          <cell r="KM13">
            <v>0.61129660999999991</v>
          </cell>
          <cell r="KN13">
            <v>0.46206532</v>
          </cell>
          <cell r="KO13">
            <v>1.4290279999999999E-2</v>
          </cell>
          <cell r="KP13">
            <v>1.31295E-3</v>
          </cell>
          <cell r="KQ13">
            <v>47.947800749999999</v>
          </cell>
          <cell r="KR13">
            <v>0</v>
          </cell>
          <cell r="KS13">
            <v>0.21755577000000001</v>
          </cell>
          <cell r="KT13">
            <v>2.01463876</v>
          </cell>
          <cell r="KU13">
            <v>8.1840910000000003E-2</v>
          </cell>
          <cell r="KV13">
            <v>2.7976999999999998E-2</v>
          </cell>
          <cell r="KW13">
            <v>1.7580232799999997</v>
          </cell>
          <cell r="KX13">
            <v>0</v>
          </cell>
          <cell r="KY13">
            <v>0</v>
          </cell>
          <cell r="KZ13">
            <v>0.34549282999999997</v>
          </cell>
          <cell r="LA13">
            <v>0.19483175</v>
          </cell>
          <cell r="LB13">
            <v>9.8866079999999995E-2</v>
          </cell>
          <cell r="LC13">
            <v>5.4452730000000005E-2</v>
          </cell>
          <cell r="LD13">
            <v>0</v>
          </cell>
          <cell r="LE13">
            <v>0.46874100000000002</v>
          </cell>
          <cell r="LF13">
            <v>0.43910431</v>
          </cell>
          <cell r="LG13">
            <v>19.766695889999998</v>
          </cell>
          <cell r="LH13">
            <v>5.2425439399999991</v>
          </cell>
          <cell r="LI13">
            <v>0.10154013000000001</v>
          </cell>
          <cell r="LJ13">
            <v>0</v>
          </cell>
          <cell r="LK13">
            <v>4.2351354699999995</v>
          </cell>
          <cell r="LL13">
            <v>4.4546906600000007</v>
          </cell>
          <cell r="LM13">
            <v>0.87454730999999997</v>
          </cell>
          <cell r="LN13">
            <v>0.63489929999999994</v>
          </cell>
          <cell r="LO13">
            <v>6.1236368900000002</v>
          </cell>
          <cell r="LQ13">
            <v>2099.7170416899999</v>
          </cell>
          <cell r="LR13">
            <v>5.6464319800000009</v>
          </cell>
          <cell r="LS13">
            <v>66.57088782000001</v>
          </cell>
          <cell r="LT13">
            <v>1.7114478200000001</v>
          </cell>
          <cell r="LU13">
            <v>49.253008729999998</v>
          </cell>
          <cell r="LV13">
            <v>1.7860002799999997</v>
          </cell>
          <cell r="LW13">
            <v>0.29369782999999999</v>
          </cell>
          <cell r="LX13">
            <v>0.90784531000000002</v>
          </cell>
          <cell r="MA13">
            <v>16.21</v>
          </cell>
          <cell r="MH13">
            <v>29.85</v>
          </cell>
          <cell r="MI13">
            <v>8.23</v>
          </cell>
          <cell r="MJ13">
            <v>9.26</v>
          </cell>
          <cell r="ML13">
            <v>13.79</v>
          </cell>
          <cell r="MM13">
            <v>18.87</v>
          </cell>
          <cell r="MO13">
            <v>13.25</v>
          </cell>
          <cell r="MP13">
            <v>17.149999999999999</v>
          </cell>
          <cell r="MQ13">
            <v>25.12</v>
          </cell>
          <cell r="MU13">
            <v>23.2</v>
          </cell>
          <cell r="MY13">
            <v>26.29</v>
          </cell>
          <cell r="NA13">
            <v>34.25</v>
          </cell>
          <cell r="NB13">
            <v>104.5</v>
          </cell>
          <cell r="NC13">
            <v>14.37</v>
          </cell>
          <cell r="NE13">
            <v>85.38</v>
          </cell>
        </row>
        <row r="14">
          <cell r="A14">
            <v>42491</v>
          </cell>
          <cell r="B14">
            <v>5</v>
          </cell>
          <cell r="C14">
            <v>2016</v>
          </cell>
          <cell r="D14">
            <v>14</v>
          </cell>
          <cell r="E14">
            <v>42491</v>
          </cell>
          <cell r="F14">
            <v>14.318181818181818</v>
          </cell>
          <cell r="G14">
            <v>87.640449438202253</v>
          </cell>
          <cell r="H14">
            <v>7680</v>
          </cell>
          <cell r="I14">
            <v>111</v>
          </cell>
          <cell r="J14">
            <v>360</v>
          </cell>
          <cell r="K14">
            <v>3.4</v>
          </cell>
          <cell r="L14">
            <v>28.9</v>
          </cell>
          <cell r="N14">
            <v>1.254904761904762</v>
          </cell>
          <cell r="O14">
            <v>1.1072380952380951</v>
          </cell>
          <cell r="P14">
            <v>16.910795454545454</v>
          </cell>
          <cell r="Q14">
            <v>250</v>
          </cell>
          <cell r="R14">
            <v>2500</v>
          </cell>
          <cell r="S14">
            <v>140</v>
          </cell>
          <cell r="T14">
            <v>304.42857142857144</v>
          </cell>
          <cell r="U14">
            <v>159.78571428571428</v>
          </cell>
          <cell r="V14">
            <v>262.67619047619047</v>
          </cell>
          <cell r="W14">
            <v>146.8095238095238</v>
          </cell>
          <cell r="X14">
            <v>181.42857142857142</v>
          </cell>
          <cell r="Y14">
            <v>2004.5454545454545</v>
          </cell>
          <cell r="Z14">
            <v>4358.8636363636369</v>
          </cell>
          <cell r="AA14">
            <v>2287.840909090909</v>
          </cell>
          <cell r="AB14">
            <v>3761.0454545454545</v>
          </cell>
          <cell r="AC14">
            <v>2102.0454545454545</v>
          </cell>
          <cell r="AD14">
            <v>2597.7272727272725</v>
          </cell>
          <cell r="AE14">
            <v>2852.0113636363635</v>
          </cell>
          <cell r="AF14">
            <v>7838.8571428571431</v>
          </cell>
          <cell r="AG14">
            <v>4803</v>
          </cell>
          <cell r="AH14">
            <v>18031</v>
          </cell>
          <cell r="AI14">
            <v>6.49</v>
          </cell>
          <cell r="AJ14">
            <v>4.55</v>
          </cell>
          <cell r="AK14">
            <v>3.28</v>
          </cell>
          <cell r="AL14">
            <v>3.14</v>
          </cell>
          <cell r="AM14">
            <v>4.7737999999999996</v>
          </cell>
          <cell r="AN14">
            <v>13.033333333333331</v>
          </cell>
          <cell r="AO14">
            <v>7.8199999999999985</v>
          </cell>
          <cell r="AP14">
            <v>10.426666666666666</v>
          </cell>
          <cell r="AQ14">
            <v>6.95</v>
          </cell>
          <cell r="AR14">
            <v>5.53</v>
          </cell>
          <cell r="AS14">
            <v>4.91</v>
          </cell>
          <cell r="AT14">
            <v>6.95</v>
          </cell>
          <cell r="AU14">
            <v>5.7966666666666669</v>
          </cell>
          <cell r="AV14">
            <v>3.99</v>
          </cell>
          <cell r="AW14">
            <v>5.5860000000000003</v>
          </cell>
          <cell r="AX14">
            <v>6.17</v>
          </cell>
          <cell r="AY14">
            <v>15.8</v>
          </cell>
          <cell r="AZ14">
            <v>10.9</v>
          </cell>
          <cell r="BA14">
            <v>4.503333333333333</v>
          </cell>
          <cell r="BB14">
            <v>9.3433333333333319</v>
          </cell>
          <cell r="BC14">
            <v>562</v>
          </cell>
          <cell r="BD14">
            <v>684</v>
          </cell>
          <cell r="BE14">
            <v>610</v>
          </cell>
          <cell r="BF14">
            <v>410</v>
          </cell>
          <cell r="BG14">
            <v>566.5</v>
          </cell>
          <cell r="BH14">
            <v>37.549999999999997</v>
          </cell>
          <cell r="BI14">
            <v>12.364000000000001</v>
          </cell>
          <cell r="BJ14">
            <v>49.914000000000001</v>
          </cell>
          <cell r="BK14">
            <v>30.178999999999998</v>
          </cell>
          <cell r="BL14">
            <v>30.911000000000001</v>
          </cell>
          <cell r="BM14">
            <v>30.545000000000002</v>
          </cell>
          <cell r="BN14">
            <v>3.9609999999999999</v>
          </cell>
          <cell r="BO14">
            <v>18.595000000000002</v>
          </cell>
          <cell r="BP14">
            <v>13.013833333333336</v>
          </cell>
          <cell r="BQ14">
            <v>18.036883333333336</v>
          </cell>
          <cell r="BR14">
            <v>14.17</v>
          </cell>
          <cell r="BS14">
            <v>59</v>
          </cell>
          <cell r="BT14">
            <v>40.98</v>
          </cell>
          <cell r="BU14">
            <v>830.94</v>
          </cell>
          <cell r="BV14">
            <v>20.8</v>
          </cell>
          <cell r="BY14">
            <v>114.88770857277646</v>
          </cell>
          <cell r="BZ14">
            <v>118.12689507535082</v>
          </cell>
          <cell r="CA14">
            <v>113.5344689905013</v>
          </cell>
          <cell r="CB14">
            <v>115.64476516776398</v>
          </cell>
          <cell r="CC14">
            <v>113.57223129817986</v>
          </cell>
          <cell r="CD14">
            <v>117.08828474262948</v>
          </cell>
          <cell r="CE14">
            <v>110.5202160799482</v>
          </cell>
          <cell r="CF14">
            <v>120.46842987403241</v>
          </cell>
          <cell r="CG14">
            <v>115.1380660255092</v>
          </cell>
          <cell r="CH14">
            <v>118.0994792915542</v>
          </cell>
          <cell r="CI14">
            <v>119.7109635715772</v>
          </cell>
          <cell r="CJ14">
            <v>108.65117911285691</v>
          </cell>
          <cell r="CK14">
            <v>123.24186716667087</v>
          </cell>
          <cell r="CL14">
            <v>154.3137268555968</v>
          </cell>
          <cell r="CM14">
            <v>125.01805797762835</v>
          </cell>
          <cell r="CN14">
            <v>105.28842357923236</v>
          </cell>
          <cell r="CO14">
            <v>126.96551889478209</v>
          </cell>
          <cell r="CP14">
            <v>137.37879166830277</v>
          </cell>
          <cell r="CQ14">
            <v>104.52660011209234</v>
          </cell>
          <cell r="CR14">
            <v>104.52660011209234</v>
          </cell>
          <cell r="CS14">
            <v>104.52660011209234</v>
          </cell>
          <cell r="CT14">
            <v>104.48345122106339</v>
          </cell>
          <cell r="CU14">
            <v>107.35432643327547</v>
          </cell>
          <cell r="CV14">
            <v>106.39346573053547</v>
          </cell>
          <cell r="CW14">
            <v>106.39346573053547</v>
          </cell>
          <cell r="CX14">
            <v>106.7137526314488</v>
          </cell>
          <cell r="CY14">
            <v>105.13876277204781</v>
          </cell>
          <cell r="CZ14">
            <v>112.62898661526573</v>
          </cell>
          <cell r="DA14">
            <v>108.8470979151612</v>
          </cell>
          <cell r="DB14">
            <v>114.90852189916625</v>
          </cell>
          <cell r="DC14">
            <v>113.95489113704032</v>
          </cell>
          <cell r="DD14">
            <v>110.58015916749937</v>
          </cell>
          <cell r="DE14">
            <v>109.03267550549994</v>
          </cell>
          <cell r="DF14">
            <v>111.81153721698334</v>
          </cell>
          <cell r="DG14">
            <v>110.42210636124165</v>
          </cell>
          <cell r="DH14">
            <v>108.23465826144054</v>
          </cell>
          <cell r="DI14">
            <v>105.65756305068797</v>
          </cell>
          <cell r="DK14">
            <v>405500</v>
          </cell>
          <cell r="DL14" t="str">
            <v>2015-16</v>
          </cell>
          <cell r="DM14">
            <v>214570</v>
          </cell>
          <cell r="DN14" t="str">
            <v>2015-16</v>
          </cell>
          <cell r="DO14">
            <v>1200000</v>
          </cell>
          <cell r="DP14" t="str">
            <v>2015-16</v>
          </cell>
          <cell r="DQ14">
            <v>1220000</v>
          </cell>
          <cell r="DR14" t="str">
            <v>2015-16</v>
          </cell>
          <cell r="DS14">
            <v>3300000</v>
          </cell>
          <cell r="DT14" t="str">
            <v>2015-16</v>
          </cell>
          <cell r="DU14">
            <v>20100000</v>
          </cell>
          <cell r="DV14" t="str">
            <v>2015-16</v>
          </cell>
          <cell r="DW14">
            <v>850000</v>
          </cell>
          <cell r="DX14" t="str">
            <v>2015-16</v>
          </cell>
          <cell r="DY14">
            <v>4500000</v>
          </cell>
          <cell r="DZ14" t="str">
            <v>2016-17</v>
          </cell>
          <cell r="EA14">
            <v>31170000</v>
          </cell>
          <cell r="EB14">
            <v>368438</v>
          </cell>
          <cell r="EC14" t="str">
            <v>2015-16</v>
          </cell>
          <cell r="ED14">
            <v>165327</v>
          </cell>
          <cell r="EE14">
            <v>2016</v>
          </cell>
          <cell r="EF14">
            <v>223944</v>
          </cell>
          <cell r="EG14">
            <v>2016</v>
          </cell>
          <cell r="EH14">
            <v>53117706</v>
          </cell>
          <cell r="EI14">
            <v>2016</v>
          </cell>
          <cell r="EJ14">
            <v>5119438</v>
          </cell>
          <cell r="EK14">
            <v>2016</v>
          </cell>
          <cell r="EL14">
            <v>14864321</v>
          </cell>
          <cell r="EM14">
            <v>2016</v>
          </cell>
          <cell r="EN14">
            <v>3499621</v>
          </cell>
          <cell r="EO14">
            <v>2016</v>
          </cell>
          <cell r="EP14">
            <v>6552</v>
          </cell>
          <cell r="EQ14">
            <v>3008956</v>
          </cell>
          <cell r="ER14">
            <v>32755</v>
          </cell>
          <cell r="ET14">
            <v>24000</v>
          </cell>
          <cell r="EU14">
            <v>16752</v>
          </cell>
          <cell r="EV14">
            <v>9500</v>
          </cell>
          <cell r="EW14">
            <v>17994</v>
          </cell>
          <cell r="EX14">
            <v>68246</v>
          </cell>
          <cell r="EY14">
            <v>19129</v>
          </cell>
          <cell r="EZ14">
            <v>75500</v>
          </cell>
          <cell r="FA14">
            <v>22169</v>
          </cell>
          <cell r="FB14">
            <v>20495</v>
          </cell>
          <cell r="FC14">
            <v>42664</v>
          </cell>
          <cell r="FD14">
            <v>43815</v>
          </cell>
          <cell r="FF14">
            <v>708193</v>
          </cell>
          <cell r="FG14" t="str">
            <v>2015-16</v>
          </cell>
          <cell r="FH14">
            <v>1558100</v>
          </cell>
          <cell r="FI14" t="str">
            <v>2014-15</v>
          </cell>
          <cell r="FJ14">
            <v>4300000</v>
          </cell>
          <cell r="FK14" t="str">
            <v>2015-16</v>
          </cell>
          <cell r="FL14">
            <v>2450000</v>
          </cell>
          <cell r="FM14" t="str">
            <v>2015-16</v>
          </cell>
          <cell r="FN14">
            <v>25000000</v>
          </cell>
          <cell r="FO14" t="str">
            <v>2015-16</v>
          </cell>
          <cell r="FP14">
            <v>56000000</v>
          </cell>
          <cell r="FQ14" t="str">
            <v>2015-16</v>
          </cell>
          <cell r="FR14">
            <v>3500000</v>
          </cell>
          <cell r="FS14" t="str">
            <v>2015-16</v>
          </cell>
          <cell r="FT14">
            <v>10300000</v>
          </cell>
          <cell r="FU14" t="str">
            <v>2015-16</v>
          </cell>
          <cell r="FV14">
            <v>101550000</v>
          </cell>
          <cell r="FW14">
            <v>1010777</v>
          </cell>
          <cell r="FX14" t="str">
            <v>2014-15</v>
          </cell>
          <cell r="FY14">
            <v>135832.02900000001</v>
          </cell>
          <cell r="GB14">
            <v>17584178</v>
          </cell>
          <cell r="GD14">
            <v>1678337</v>
          </cell>
          <cell r="GE14">
            <v>468278</v>
          </cell>
          <cell r="GF14">
            <v>1032446</v>
          </cell>
          <cell r="GG14">
            <v>102259</v>
          </cell>
          <cell r="GH14">
            <v>1602983</v>
          </cell>
          <cell r="GI14">
            <v>1302556</v>
          </cell>
          <cell r="GJ14">
            <v>600000</v>
          </cell>
          <cell r="GK14">
            <v>998555</v>
          </cell>
          <cell r="GL14">
            <v>302000</v>
          </cell>
          <cell r="GM14">
            <v>266553.90000000002</v>
          </cell>
          <cell r="GN14">
            <v>2167108.9</v>
          </cell>
          <cell r="GO14">
            <v>191984</v>
          </cell>
          <cell r="GP14">
            <v>68123</v>
          </cell>
          <cell r="GR14">
            <v>42700</v>
          </cell>
          <cell r="GS14">
            <v>42700</v>
          </cell>
          <cell r="GT14">
            <v>2430866</v>
          </cell>
          <cell r="GU14">
            <v>50951.583333333336</v>
          </cell>
          <cell r="GV14">
            <v>51463.083333333336</v>
          </cell>
          <cell r="GW14">
            <v>1228976</v>
          </cell>
          <cell r="GX14">
            <v>30955.772000000001</v>
          </cell>
          <cell r="GY14" t="str">
            <v>2015-2016</v>
          </cell>
          <cell r="GZ14">
            <v>93671</v>
          </cell>
          <cell r="HA14">
            <v>222000</v>
          </cell>
          <cell r="HD14">
            <v>47666</v>
          </cell>
          <cell r="HG14">
            <v>175000</v>
          </cell>
          <cell r="HM14">
            <v>0</v>
          </cell>
          <cell r="HO14">
            <v>783400000</v>
          </cell>
          <cell r="HU14">
            <v>650000</v>
          </cell>
          <cell r="HV14" t="str">
            <v>2015-16</v>
          </cell>
          <cell r="HW14">
            <v>2000000</v>
          </cell>
          <cell r="HX14" t="str">
            <v>2015-16</v>
          </cell>
          <cell r="HY14">
            <v>2950000</v>
          </cell>
          <cell r="HZ14" t="str">
            <v>2015-16</v>
          </cell>
          <cell r="IA14">
            <v>17210000</v>
          </cell>
          <cell r="IB14" t="str">
            <v>2015-16</v>
          </cell>
          <cell r="IC14">
            <v>50000000</v>
          </cell>
          <cell r="ID14" t="str">
            <v>2015-16</v>
          </cell>
          <cell r="IE14">
            <v>2600000</v>
          </cell>
          <cell r="IF14" t="str">
            <v>2015-16</v>
          </cell>
          <cell r="II14">
            <v>74760000</v>
          </cell>
          <cell r="IJ14">
            <v>1.6245896649969351</v>
          </cell>
          <cell r="IK14" t="str">
            <v>2015-16</v>
          </cell>
          <cell r="IL14">
            <v>44.28</v>
          </cell>
          <cell r="IM14">
            <v>55.254579893398535</v>
          </cell>
          <cell r="IN14">
            <v>201</v>
          </cell>
          <cell r="IO14">
            <v>13.361390000000002</v>
          </cell>
          <cell r="IP14">
            <v>5.7844457536132143</v>
          </cell>
          <cell r="IQ14">
            <v>21.6</v>
          </cell>
          <cell r="IR14">
            <v>2.2000000000000002</v>
          </cell>
          <cell r="IS14">
            <v>5.59</v>
          </cell>
          <cell r="IT14">
            <v>13.55</v>
          </cell>
          <cell r="IU14">
            <v>1.07</v>
          </cell>
          <cell r="IV14">
            <v>20.21</v>
          </cell>
          <cell r="IY14">
            <v>1.84</v>
          </cell>
          <cell r="IZ14">
            <v>0.3</v>
          </cell>
          <cell r="JF14">
            <v>4.9694531099999999</v>
          </cell>
          <cell r="JG14">
            <v>20.814716799999999</v>
          </cell>
          <cell r="JH14">
            <v>38.64508764</v>
          </cell>
          <cell r="JI14">
            <v>132.37866072000003</v>
          </cell>
          <cell r="JJ14">
            <v>275.06765692999994</v>
          </cell>
          <cell r="JK14">
            <v>85.386956919999989</v>
          </cell>
          <cell r="JL14">
            <v>2126.22893643</v>
          </cell>
          <cell r="JM14">
            <v>3.5373299999999999</v>
          </cell>
          <cell r="JN14">
            <v>178.87739318999999</v>
          </cell>
          <cell r="JO14">
            <v>22.575870549999998</v>
          </cell>
          <cell r="JP14">
            <v>0</v>
          </cell>
          <cell r="JQ14">
            <v>5.8804100000000004</v>
          </cell>
          <cell r="JR14">
            <v>0.81494208999999995</v>
          </cell>
          <cell r="JS14">
            <v>0</v>
          </cell>
          <cell r="JT14">
            <v>6.1747499999999997E-2</v>
          </cell>
          <cell r="JU14">
            <v>91.37792515999999</v>
          </cell>
          <cell r="JV14">
            <v>25.403557850000002</v>
          </cell>
          <cell r="JW14">
            <v>31.431608219999994</v>
          </cell>
          <cell r="JX14">
            <v>64.192759930000022</v>
          </cell>
          <cell r="JY14">
            <v>7.5028074800000004</v>
          </cell>
          <cell r="JZ14">
            <v>0.36012559000000005</v>
          </cell>
          <cell r="KA14">
            <v>0.16929759999999999</v>
          </cell>
          <cell r="KB14">
            <v>15.503591099999998</v>
          </cell>
          <cell r="KC14">
            <v>23.728809649999995</v>
          </cell>
          <cell r="KD14">
            <v>4.0691408399999993</v>
          </cell>
          <cell r="KE14">
            <v>19.002700079999997</v>
          </cell>
          <cell r="KF14">
            <v>21.805602919999995</v>
          </cell>
          <cell r="KG14">
            <v>161.77572763999999</v>
          </cell>
          <cell r="KH14">
            <v>51.950748819999987</v>
          </cell>
          <cell r="KI14">
            <v>25.20295883</v>
          </cell>
          <cell r="KJ14">
            <v>0.85595342000000008</v>
          </cell>
          <cell r="KK14">
            <v>10.74739125</v>
          </cell>
          <cell r="KL14">
            <v>0.62720520000000002</v>
          </cell>
          <cell r="KM14">
            <v>0.28464434</v>
          </cell>
          <cell r="KN14">
            <v>2.870638E-2</v>
          </cell>
          <cell r="KO14">
            <v>9.2111799999999994E-2</v>
          </cell>
          <cell r="KP14">
            <v>2.253E-4</v>
          </cell>
          <cell r="KQ14">
            <v>49.892510719999997</v>
          </cell>
          <cell r="KR14">
            <v>0</v>
          </cell>
          <cell r="KS14">
            <v>0.10806641</v>
          </cell>
          <cell r="KT14">
            <v>2.5416901600000004</v>
          </cell>
          <cell r="KU14">
            <v>7.8736039999999993E-2</v>
          </cell>
          <cell r="KV14">
            <v>0</v>
          </cell>
          <cell r="KW14">
            <v>2.3257372700000003</v>
          </cell>
          <cell r="KX14">
            <v>0</v>
          </cell>
          <cell r="KY14">
            <v>0</v>
          </cell>
          <cell r="KZ14">
            <v>0.31319501</v>
          </cell>
          <cell r="LA14">
            <v>0.76263270000000005</v>
          </cell>
          <cell r="LB14">
            <v>0.11561977000000001</v>
          </cell>
          <cell r="LC14">
            <v>2.0152110000000001E-2</v>
          </cell>
          <cell r="LD14">
            <v>0</v>
          </cell>
          <cell r="LE14">
            <v>0.79644693999999994</v>
          </cell>
          <cell r="LF14">
            <v>6.102059E-2</v>
          </cell>
          <cell r="LG14">
            <v>22.036629630000004</v>
          </cell>
          <cell r="LH14">
            <v>3.6768185800000004</v>
          </cell>
          <cell r="LI14">
            <v>1.5355899999999999E-3</v>
          </cell>
          <cell r="LJ14">
            <v>8.2971399999999997E-3</v>
          </cell>
          <cell r="LK14">
            <v>4.1286834199999998</v>
          </cell>
          <cell r="LL14">
            <v>4.3358348900000001</v>
          </cell>
          <cell r="LM14">
            <v>1.00660135</v>
          </cell>
          <cell r="LN14">
            <v>0.40600354999999994</v>
          </cell>
          <cell r="LO14">
            <v>4.2469018400000005</v>
          </cell>
          <cell r="LQ14">
            <v>2754.7350649099999</v>
          </cell>
          <cell r="LR14">
            <v>6.7570995900000002</v>
          </cell>
          <cell r="LS14">
            <v>56.83516607</v>
          </cell>
          <cell r="LT14">
            <v>8.0322306700000006</v>
          </cell>
          <cell r="LU14">
            <v>50.406039649999997</v>
          </cell>
          <cell r="LV14">
            <v>2.3257372700000003</v>
          </cell>
          <cell r="LW14">
            <v>0.87825247000000006</v>
          </cell>
          <cell r="LX14">
            <v>0.85746752999999998</v>
          </cell>
          <cell r="MA14">
            <v>16.32</v>
          </cell>
          <cell r="MH14">
            <v>30.85</v>
          </cell>
          <cell r="MI14">
            <v>8.67</v>
          </cell>
          <cell r="MJ14">
            <v>9.44</v>
          </cell>
          <cell r="ML14">
            <v>13.82</v>
          </cell>
          <cell r="MM14">
            <v>27.53</v>
          </cell>
          <cell r="MO14">
            <v>13.45</v>
          </cell>
          <cell r="MP14">
            <v>20.61</v>
          </cell>
          <cell r="MQ14">
            <v>25.74</v>
          </cell>
          <cell r="MU14">
            <v>14.94</v>
          </cell>
          <cell r="MY14">
            <v>26.6</v>
          </cell>
          <cell r="NA14">
            <v>33.04</v>
          </cell>
          <cell r="NB14">
            <v>106.67</v>
          </cell>
          <cell r="NC14">
            <v>15.65</v>
          </cell>
          <cell r="NE14">
            <v>84.98</v>
          </cell>
        </row>
        <row r="15">
          <cell r="A15">
            <v>42522</v>
          </cell>
          <cell r="B15">
            <v>6</v>
          </cell>
          <cell r="C15">
            <v>2016</v>
          </cell>
          <cell r="D15">
            <v>15</v>
          </cell>
          <cell r="E15">
            <v>42522</v>
          </cell>
          <cell r="F15">
            <v>14.361363636363636</v>
          </cell>
          <cell r="G15">
            <v>90.088282504012838</v>
          </cell>
          <cell r="H15">
            <v>7680</v>
          </cell>
          <cell r="I15">
            <v>113</v>
          </cell>
          <cell r="J15">
            <v>350</v>
          </cell>
          <cell r="K15">
            <v>3.4</v>
          </cell>
          <cell r="L15">
            <v>36.5</v>
          </cell>
          <cell r="N15">
            <v>1.2732105263157893</v>
          </cell>
          <cell r="O15">
            <v>1.1182105263157893</v>
          </cell>
          <cell r="P15">
            <v>17.172033672248801</v>
          </cell>
          <cell r="Q15">
            <v>275</v>
          </cell>
          <cell r="R15">
            <v>2750</v>
          </cell>
          <cell r="S15">
            <v>133.94999999999999</v>
          </cell>
          <cell r="T15">
            <v>332.7</v>
          </cell>
          <cell r="U15">
            <v>170.52500000000001</v>
          </cell>
          <cell r="V15">
            <v>277.86</v>
          </cell>
          <cell r="W15">
            <v>161.44999999999999</v>
          </cell>
          <cell r="X15">
            <v>187.75</v>
          </cell>
          <cell r="Y15">
            <v>1923.704659090909</v>
          </cell>
          <cell r="Z15">
            <v>4778.0256818181815</v>
          </cell>
          <cell r="AA15">
            <v>2448.9715340909092</v>
          </cell>
          <cell r="AB15">
            <v>3990.4485</v>
          </cell>
          <cell r="AC15">
            <v>2318.642159090909</v>
          </cell>
          <cell r="AD15">
            <v>2696.3460227272726</v>
          </cell>
          <cell r="AE15">
            <v>3026.0230928030301</v>
          </cell>
          <cell r="AF15">
            <v>8168.15</v>
          </cell>
          <cell r="AG15">
            <v>4803</v>
          </cell>
          <cell r="AH15">
            <v>18031</v>
          </cell>
          <cell r="AI15">
            <v>7.23</v>
          </cell>
          <cell r="AJ15">
            <v>5.92</v>
          </cell>
          <cell r="AK15">
            <v>3.09</v>
          </cell>
          <cell r="AL15">
            <v>3.22</v>
          </cell>
          <cell r="AM15">
            <v>5.1388000000000007</v>
          </cell>
          <cell r="AN15">
            <v>13.416666666666666</v>
          </cell>
          <cell r="AO15">
            <v>8.0499999999999989</v>
          </cell>
          <cell r="AP15">
            <v>10.733333333333333</v>
          </cell>
          <cell r="AQ15">
            <v>6.6</v>
          </cell>
          <cell r="AR15">
            <v>5.5</v>
          </cell>
          <cell r="AS15">
            <v>4.2475000000000005</v>
          </cell>
          <cell r="AT15">
            <v>6.6</v>
          </cell>
          <cell r="AU15">
            <v>5.4491666666666667</v>
          </cell>
          <cell r="AV15">
            <v>5.24</v>
          </cell>
          <cell r="AW15">
            <v>7.3359999999999994</v>
          </cell>
          <cell r="AX15">
            <v>7.13</v>
          </cell>
          <cell r="AY15">
            <v>17.399999999999999</v>
          </cell>
          <cell r="AZ15">
            <v>10.1</v>
          </cell>
          <cell r="BA15">
            <v>4.9666666666666668</v>
          </cell>
          <cell r="BB15">
            <v>9.899166666666666</v>
          </cell>
          <cell r="BC15">
            <v>562</v>
          </cell>
          <cell r="BD15">
            <v>684</v>
          </cell>
          <cell r="BE15">
            <v>610</v>
          </cell>
          <cell r="BF15">
            <v>410</v>
          </cell>
          <cell r="BG15">
            <v>566.5</v>
          </cell>
          <cell r="BH15">
            <v>37.549999999999997</v>
          </cell>
          <cell r="BI15">
            <v>12.364000000000001</v>
          </cell>
          <cell r="BJ15">
            <v>49.914000000000001</v>
          </cell>
          <cell r="BK15">
            <v>30.954999999999998</v>
          </cell>
          <cell r="BL15">
            <v>31.456</v>
          </cell>
          <cell r="BM15">
            <v>31.205500000000001</v>
          </cell>
          <cell r="BN15">
            <v>4.1210000000000004</v>
          </cell>
          <cell r="BO15">
            <v>18.190909090909091</v>
          </cell>
          <cell r="BP15">
            <v>12.504166666666665</v>
          </cell>
          <cell r="BQ15">
            <v>17.622234848484847</v>
          </cell>
          <cell r="BR15">
            <v>13.94</v>
          </cell>
          <cell r="BS15">
            <v>59</v>
          </cell>
          <cell r="BT15">
            <v>44.37</v>
          </cell>
          <cell r="BU15">
            <v>841.11</v>
          </cell>
          <cell r="BV15">
            <v>20.2</v>
          </cell>
          <cell r="BY15">
            <v>118.31778094325828</v>
          </cell>
          <cell r="BZ15">
            <v>122.95849197394062</v>
          </cell>
          <cell r="CA15">
            <v>119.5577344485621</v>
          </cell>
          <cell r="CB15">
            <v>126.1477798068769</v>
          </cell>
          <cell r="CC15">
            <v>124.51222420539096</v>
          </cell>
          <cell r="CD15">
            <v>125.30777350182886</v>
          </cell>
          <cell r="CE15">
            <v>122.57154968194767</v>
          </cell>
          <cell r="CF15">
            <v>128.5151752411966</v>
          </cell>
          <cell r="CG15">
            <v>124.43537281430054</v>
          </cell>
          <cell r="CH15">
            <v>124.87640556473572</v>
          </cell>
          <cell r="CI15">
            <v>128.43202848536032</v>
          </cell>
          <cell r="CJ15">
            <v>116.36744007272983</v>
          </cell>
          <cell r="CK15">
            <v>132.71909169761324</v>
          </cell>
          <cell r="CL15">
            <v>166.48452953342709</v>
          </cell>
          <cell r="CM15">
            <v>126.05931044133196</v>
          </cell>
          <cell r="CN15">
            <v>111.39051028238205</v>
          </cell>
          <cell r="CO15">
            <v>134.16336048868857</v>
          </cell>
          <cell r="CP15">
            <v>142.24720075777427</v>
          </cell>
          <cell r="CQ15">
            <v>107.24375028569324</v>
          </cell>
          <cell r="CR15">
            <v>107.24375028569324</v>
          </cell>
          <cell r="CS15">
            <v>107.24375028569324</v>
          </cell>
          <cell r="CT15">
            <v>107.02595124704631</v>
          </cell>
          <cell r="CU15">
            <v>111.37663120057182</v>
          </cell>
          <cell r="CV15">
            <v>109.56959614687065</v>
          </cell>
          <cell r="CW15">
            <v>109.56959614687065</v>
          </cell>
          <cell r="CX15">
            <v>110.17194116477104</v>
          </cell>
          <cell r="CY15">
            <v>107.69239399822908</v>
          </cell>
          <cell r="CZ15">
            <v>115.29107798543173</v>
          </cell>
          <cell r="DA15">
            <v>110.03086794629621</v>
          </cell>
          <cell r="DB15">
            <v>118.2431590788245</v>
          </cell>
          <cell r="DC15">
            <v>120.05528055169275</v>
          </cell>
          <cell r="DD15">
            <v>116.84095298246892</v>
          </cell>
          <cell r="DE15">
            <v>114.38759003471495</v>
          </cell>
          <cell r="DF15">
            <v>119.12643131671497</v>
          </cell>
          <cell r="DG15">
            <v>116.75701067571495</v>
          </cell>
          <cell r="DH15">
            <v>111.17211647953349</v>
          </cell>
          <cell r="DI15">
            <v>107.01324878639869</v>
          </cell>
          <cell r="DK15">
            <v>405500</v>
          </cell>
          <cell r="DL15" t="str">
            <v>2015-16</v>
          </cell>
          <cell r="DM15">
            <v>214570</v>
          </cell>
          <cell r="DN15" t="str">
            <v>2015-16</v>
          </cell>
          <cell r="DO15">
            <v>1200000</v>
          </cell>
          <cell r="DP15" t="str">
            <v>2015-16</v>
          </cell>
          <cell r="DQ15">
            <v>1220000</v>
          </cell>
          <cell r="DR15" t="str">
            <v>2015-16</v>
          </cell>
          <cell r="DS15">
            <v>3600000</v>
          </cell>
          <cell r="DT15" t="str">
            <v>2015-16</v>
          </cell>
          <cell r="DU15">
            <v>20100000</v>
          </cell>
          <cell r="DV15" t="str">
            <v>2015-16</v>
          </cell>
          <cell r="DW15">
            <v>850000</v>
          </cell>
          <cell r="DX15" t="str">
            <v>2015-16</v>
          </cell>
          <cell r="DY15">
            <v>4500000</v>
          </cell>
          <cell r="DZ15" t="str">
            <v>2016-17</v>
          </cell>
          <cell r="EA15">
            <v>31470000</v>
          </cell>
          <cell r="EB15">
            <v>368438</v>
          </cell>
          <cell r="EC15" t="str">
            <v>2015-16</v>
          </cell>
          <cell r="ED15">
            <v>165327</v>
          </cell>
          <cell r="EE15">
            <v>2016</v>
          </cell>
          <cell r="EF15">
            <v>223944</v>
          </cell>
          <cell r="EG15">
            <v>2016</v>
          </cell>
          <cell r="EH15">
            <v>53117706</v>
          </cell>
          <cell r="EI15">
            <v>2016</v>
          </cell>
          <cell r="EJ15">
            <v>5119438</v>
          </cell>
          <cell r="EK15">
            <v>2016</v>
          </cell>
          <cell r="EL15">
            <v>14864321</v>
          </cell>
          <cell r="EM15">
            <v>2016</v>
          </cell>
          <cell r="EN15">
            <v>3499621</v>
          </cell>
          <cell r="EO15">
            <v>2016</v>
          </cell>
          <cell r="EP15">
            <v>6552</v>
          </cell>
          <cell r="EQ15">
            <v>3008956</v>
          </cell>
          <cell r="ER15">
            <v>32755</v>
          </cell>
          <cell r="ET15">
            <v>24000</v>
          </cell>
          <cell r="EU15">
            <v>16752</v>
          </cell>
          <cell r="EV15">
            <v>9500</v>
          </cell>
          <cell r="EW15">
            <v>17994</v>
          </cell>
          <cell r="EX15">
            <v>68246</v>
          </cell>
          <cell r="EY15">
            <v>19129</v>
          </cell>
          <cell r="EZ15">
            <v>75500</v>
          </cell>
          <cell r="FA15">
            <v>22169</v>
          </cell>
          <cell r="FB15">
            <v>20495</v>
          </cell>
          <cell r="FC15">
            <v>42664</v>
          </cell>
          <cell r="FD15">
            <v>43815</v>
          </cell>
          <cell r="FF15">
            <v>708194</v>
          </cell>
          <cell r="FG15" t="str">
            <v>2015-16</v>
          </cell>
          <cell r="FH15">
            <v>1558100</v>
          </cell>
          <cell r="FI15" t="str">
            <v>2014-15</v>
          </cell>
          <cell r="FJ15">
            <v>4300000</v>
          </cell>
          <cell r="FK15" t="str">
            <v>2015-16</v>
          </cell>
          <cell r="FL15">
            <v>2450000</v>
          </cell>
          <cell r="FM15" t="str">
            <v>2015-16</v>
          </cell>
          <cell r="FN15">
            <v>28000000</v>
          </cell>
          <cell r="FO15" t="str">
            <v>2015-16</v>
          </cell>
          <cell r="FP15">
            <v>56000000</v>
          </cell>
          <cell r="FQ15" t="str">
            <v>2015-16</v>
          </cell>
          <cell r="FR15">
            <v>3500000</v>
          </cell>
          <cell r="FS15" t="str">
            <v>2015-16</v>
          </cell>
          <cell r="FT15">
            <v>10300000</v>
          </cell>
          <cell r="FU15" t="str">
            <v>2015-16</v>
          </cell>
          <cell r="FV15">
            <v>104550000</v>
          </cell>
          <cell r="FW15">
            <v>1010777</v>
          </cell>
          <cell r="FX15" t="str">
            <v>2014-15</v>
          </cell>
          <cell r="FY15">
            <v>150665.93</v>
          </cell>
          <cell r="GB15">
            <v>17584178</v>
          </cell>
          <cell r="GD15">
            <v>1678337</v>
          </cell>
          <cell r="GE15">
            <v>468278</v>
          </cell>
          <cell r="GF15">
            <v>1032446</v>
          </cell>
          <cell r="GG15">
            <v>102259</v>
          </cell>
          <cell r="GH15">
            <v>1602983</v>
          </cell>
          <cell r="GI15">
            <v>1302556</v>
          </cell>
          <cell r="GJ15">
            <v>600000</v>
          </cell>
          <cell r="GK15">
            <v>998555</v>
          </cell>
          <cell r="GL15">
            <v>302000</v>
          </cell>
          <cell r="GM15">
            <v>266553.90000000002</v>
          </cell>
          <cell r="GN15">
            <v>2167108.9</v>
          </cell>
          <cell r="GO15">
            <v>191984</v>
          </cell>
          <cell r="GP15">
            <v>68123</v>
          </cell>
          <cell r="GR15">
            <v>42700</v>
          </cell>
          <cell r="GS15">
            <v>42700</v>
          </cell>
          <cell r="GT15">
            <v>2430866</v>
          </cell>
          <cell r="GU15">
            <v>50951.583333333336</v>
          </cell>
          <cell r="GV15">
            <v>51463.083333333336</v>
          </cell>
          <cell r="GW15">
            <v>1228976</v>
          </cell>
          <cell r="GX15">
            <v>30955.772000000001</v>
          </cell>
          <cell r="GY15" t="str">
            <v>2015-2016</v>
          </cell>
          <cell r="GZ15">
            <v>93671</v>
          </cell>
          <cell r="HA15">
            <v>212000</v>
          </cell>
          <cell r="HD15">
            <v>44475</v>
          </cell>
          <cell r="HG15">
            <v>182000</v>
          </cell>
          <cell r="HM15">
            <v>0</v>
          </cell>
          <cell r="HO15">
            <v>828100000</v>
          </cell>
          <cell r="HU15">
            <v>650000</v>
          </cell>
          <cell r="HV15" t="str">
            <v>2015-16</v>
          </cell>
          <cell r="HW15">
            <v>2000000</v>
          </cell>
          <cell r="HX15" t="str">
            <v>2015-16</v>
          </cell>
          <cell r="HY15">
            <v>2950000</v>
          </cell>
          <cell r="HZ15" t="str">
            <v>2015-16</v>
          </cell>
          <cell r="IA15">
            <v>17210000</v>
          </cell>
          <cell r="IB15" t="str">
            <v>2015-16</v>
          </cell>
          <cell r="IC15">
            <v>50000000</v>
          </cell>
          <cell r="ID15" t="str">
            <v>2015-16</v>
          </cell>
          <cell r="IE15">
            <v>2600000</v>
          </cell>
          <cell r="IF15" t="str">
            <v>2015-16</v>
          </cell>
          <cell r="II15">
            <v>74760000</v>
          </cell>
          <cell r="IJ15">
            <v>1.6245896649969351</v>
          </cell>
          <cell r="IK15" t="str">
            <v>2015-16</v>
          </cell>
          <cell r="IL15">
            <v>47.77</v>
          </cell>
          <cell r="IM15">
            <v>55.164881038016084</v>
          </cell>
          <cell r="IN15">
            <v>201</v>
          </cell>
          <cell r="IO15">
            <v>12.86604</v>
          </cell>
          <cell r="IP15">
            <v>5.7844457536132143</v>
          </cell>
          <cell r="IQ15">
            <v>21.6</v>
          </cell>
          <cell r="IR15">
            <v>2.2000000000000002</v>
          </cell>
          <cell r="IS15">
            <v>5.59</v>
          </cell>
          <cell r="IT15">
            <v>13.55</v>
          </cell>
          <cell r="IU15">
            <v>1.07</v>
          </cell>
          <cell r="IV15">
            <v>20.21</v>
          </cell>
          <cell r="IY15">
            <v>1.84</v>
          </cell>
          <cell r="IZ15">
            <v>0.3</v>
          </cell>
          <cell r="JF15">
            <v>6.3295317900000017</v>
          </cell>
          <cell r="JG15">
            <v>13.898494370000002</v>
          </cell>
          <cell r="JH15">
            <v>41.862221290000001</v>
          </cell>
          <cell r="JI15">
            <v>54.864836010000005</v>
          </cell>
          <cell r="JJ15">
            <v>257.98792972999996</v>
          </cell>
          <cell r="JK15">
            <v>60.336461040000003</v>
          </cell>
          <cell r="JL15">
            <v>2153.6526042599999</v>
          </cell>
          <cell r="JM15">
            <v>5.4599822600000003</v>
          </cell>
          <cell r="JN15">
            <v>140.14771499</v>
          </cell>
          <cell r="JO15">
            <v>19.615018729999999</v>
          </cell>
          <cell r="JP15">
            <v>0</v>
          </cell>
          <cell r="JQ15">
            <v>0.84886349999999999</v>
          </cell>
          <cell r="JR15">
            <v>0.82429598000000004</v>
          </cell>
          <cell r="JS15">
            <v>0</v>
          </cell>
          <cell r="JT15">
            <v>6.4679999999999998E-3</v>
          </cell>
          <cell r="JU15">
            <v>68.438770900000023</v>
          </cell>
          <cell r="JV15">
            <v>12.04531152</v>
          </cell>
          <cell r="JW15">
            <v>15.692263619999997</v>
          </cell>
          <cell r="JX15">
            <v>102.99575195000003</v>
          </cell>
          <cell r="JY15">
            <v>12.349258139999998</v>
          </cell>
          <cell r="JZ15">
            <v>4.3090499900000001</v>
          </cell>
          <cell r="KA15">
            <v>0.15190308999999999</v>
          </cell>
          <cell r="KB15">
            <v>12.508514780000002</v>
          </cell>
          <cell r="KC15">
            <v>26.095061680000004</v>
          </cell>
          <cell r="KD15">
            <v>5.6943706699999996</v>
          </cell>
          <cell r="KE15">
            <v>15.76213776</v>
          </cell>
          <cell r="KF15">
            <v>22.841995920000002</v>
          </cell>
          <cell r="KG15">
            <v>136.64550735</v>
          </cell>
          <cell r="KH15">
            <v>36.545062110000003</v>
          </cell>
          <cell r="KI15">
            <v>19.035113419999998</v>
          </cell>
          <cell r="KJ15">
            <v>0.74713014999999994</v>
          </cell>
          <cell r="KK15">
            <v>12.576686330000003</v>
          </cell>
          <cell r="KL15">
            <v>0.30032446000000002</v>
          </cell>
          <cell r="KM15">
            <v>1.83720404</v>
          </cell>
          <cell r="KN15">
            <v>1.2827000000000002E-4</v>
          </cell>
          <cell r="KO15">
            <v>0.34578632000000004</v>
          </cell>
          <cell r="KP15">
            <v>1.132846E-2</v>
          </cell>
          <cell r="KQ15">
            <v>30.987232470000006</v>
          </cell>
          <cell r="KR15">
            <v>8.9475000000000004E-4</v>
          </cell>
          <cell r="KS15">
            <v>0.44881533999999995</v>
          </cell>
          <cell r="KT15">
            <v>2.0417218099999999</v>
          </cell>
          <cell r="KU15">
            <v>6.9807640000000004E-2</v>
          </cell>
          <cell r="KV15">
            <v>6.9588999999999998E-2</v>
          </cell>
          <cell r="KW15">
            <v>2.36003725</v>
          </cell>
          <cell r="KX15">
            <v>0</v>
          </cell>
          <cell r="KY15">
            <v>0</v>
          </cell>
          <cell r="KZ15">
            <v>0.17635656999999999</v>
          </cell>
          <cell r="LA15">
            <v>0.24460971000000001</v>
          </cell>
          <cell r="LB15">
            <v>6.4301649999999988E-2</v>
          </cell>
          <cell r="LC15">
            <v>7.2603639999999997E-2</v>
          </cell>
          <cell r="LD15">
            <v>0</v>
          </cell>
          <cell r="LE15">
            <v>0.51266699000000004</v>
          </cell>
          <cell r="LF15">
            <v>0</v>
          </cell>
          <cell r="LG15">
            <v>20.422579770000002</v>
          </cell>
          <cell r="LH15">
            <v>3.4871725999999996</v>
          </cell>
          <cell r="LI15">
            <v>0.20028285000000001</v>
          </cell>
          <cell r="LJ15">
            <v>0</v>
          </cell>
          <cell r="LK15">
            <v>3.2897186899999999</v>
          </cell>
          <cell r="LL15">
            <v>3.63914633</v>
          </cell>
          <cell r="LM15">
            <v>1.4746140200000002</v>
          </cell>
          <cell r="LN15">
            <v>0.39070252999999999</v>
          </cell>
          <cell r="LO15">
            <v>3.7916847800000002</v>
          </cell>
          <cell r="LQ15">
            <v>2653.9752885399998</v>
          </cell>
          <cell r="LR15">
            <v>1.67962748</v>
          </cell>
          <cell r="LS15">
            <v>27.737575139999997</v>
          </cell>
          <cell r="LT15">
            <v>16.810211219999999</v>
          </cell>
          <cell r="LU15">
            <v>33.620061190000008</v>
          </cell>
          <cell r="LV15">
            <v>2.4296262500000001</v>
          </cell>
          <cell r="LW15">
            <v>0.30891135999999997</v>
          </cell>
          <cell r="LX15">
            <v>0.51266699000000004</v>
          </cell>
          <cell r="MA15">
            <v>16.600000000000001</v>
          </cell>
          <cell r="MH15">
            <v>32.56</v>
          </cell>
          <cell r="MI15">
            <v>9.19</v>
          </cell>
          <cell r="MJ15">
            <v>11.06</v>
          </cell>
          <cell r="ML15">
            <v>15.41</v>
          </cell>
          <cell r="MM15">
            <v>31.11</v>
          </cell>
          <cell r="MO15">
            <v>14.78</v>
          </cell>
          <cell r="MP15">
            <v>23.2</v>
          </cell>
          <cell r="MQ15">
            <v>25.94</v>
          </cell>
          <cell r="MU15">
            <v>12</v>
          </cell>
          <cell r="MY15">
            <v>26.88</v>
          </cell>
          <cell r="NA15">
            <v>33.369999999999997</v>
          </cell>
          <cell r="NB15">
            <v>108.57</v>
          </cell>
          <cell r="NC15">
            <v>16.07</v>
          </cell>
          <cell r="NE15">
            <v>85.36</v>
          </cell>
        </row>
        <row r="16">
          <cell r="A16">
            <v>42552</v>
          </cell>
          <cell r="B16">
            <v>7</v>
          </cell>
          <cell r="C16">
            <v>2016</v>
          </cell>
          <cell r="D16">
            <v>16</v>
          </cell>
          <cell r="E16">
            <v>42552</v>
          </cell>
          <cell r="F16">
            <v>15.073809523809521</v>
          </cell>
          <cell r="G16">
            <v>92.295345104333876</v>
          </cell>
          <cell r="H16">
            <v>7680</v>
          </cell>
          <cell r="I16">
            <v>105</v>
          </cell>
          <cell r="J16">
            <v>350</v>
          </cell>
          <cell r="K16">
            <v>3.4</v>
          </cell>
          <cell r="L16">
            <v>34</v>
          </cell>
          <cell r="N16">
            <v>1.4044000000000001</v>
          </cell>
          <cell r="O16">
            <v>1.2500499999999999</v>
          </cell>
          <cell r="P16">
            <v>20.006336845238089</v>
          </cell>
          <cell r="Q16">
            <v>295</v>
          </cell>
          <cell r="R16">
            <v>2950</v>
          </cell>
          <cell r="S16">
            <v>132.25</v>
          </cell>
          <cell r="T16">
            <v>339.75</v>
          </cell>
          <cell r="U16">
            <v>153.80000000000001</v>
          </cell>
          <cell r="V16">
            <v>267.84499999999997</v>
          </cell>
          <cell r="W16">
            <v>143.02500000000001</v>
          </cell>
          <cell r="X16">
            <v>176.02500000000001</v>
          </cell>
          <cell r="Y16">
            <v>1993.5113095238091</v>
          </cell>
          <cell r="Z16">
            <v>5121.3267857142846</v>
          </cell>
          <cell r="AA16">
            <v>2318.3519047619043</v>
          </cell>
          <cell r="AB16">
            <v>4037.4445119047605</v>
          </cell>
          <cell r="AC16">
            <v>2155.9316071428566</v>
          </cell>
          <cell r="AD16">
            <v>2653.3673214285709</v>
          </cell>
          <cell r="AE16">
            <v>3046.6555734126982</v>
          </cell>
          <cell r="AF16">
            <v>9066.2999999999993</v>
          </cell>
          <cell r="AG16">
            <v>4803</v>
          </cell>
          <cell r="AH16">
            <v>18031</v>
          </cell>
          <cell r="AI16">
            <v>7.64</v>
          </cell>
          <cell r="AJ16">
            <v>6.19</v>
          </cell>
          <cell r="AK16">
            <v>3.33</v>
          </cell>
          <cell r="AL16">
            <v>3.03</v>
          </cell>
          <cell r="AM16">
            <v>5.3549999999999995</v>
          </cell>
          <cell r="AN16">
            <v>14.557142857142859</v>
          </cell>
          <cell r="AO16">
            <v>8.7342857142857149</v>
          </cell>
          <cell r="AP16">
            <v>11.645714285714288</v>
          </cell>
          <cell r="AQ16">
            <v>5.54</v>
          </cell>
          <cell r="AR16">
            <v>5.24</v>
          </cell>
          <cell r="AS16">
            <v>4.2862500000000008</v>
          </cell>
          <cell r="AT16">
            <v>5.54</v>
          </cell>
          <cell r="AU16">
            <v>5.0220833333333337</v>
          </cell>
          <cell r="AV16">
            <v>5.78</v>
          </cell>
          <cell r="AW16">
            <v>6.9359999999999999</v>
          </cell>
          <cell r="AX16">
            <v>6.53</v>
          </cell>
          <cell r="AY16">
            <v>21.2</v>
          </cell>
          <cell r="AZ16">
            <v>9.6300000000000008</v>
          </cell>
          <cell r="BA16">
            <v>8.68</v>
          </cell>
          <cell r="BB16">
            <v>11.51</v>
          </cell>
          <cell r="BC16">
            <v>562</v>
          </cell>
          <cell r="BD16">
            <v>684</v>
          </cell>
          <cell r="BE16">
            <v>610</v>
          </cell>
          <cell r="BF16">
            <v>410</v>
          </cell>
          <cell r="BG16">
            <v>566.5</v>
          </cell>
          <cell r="BH16">
            <v>37.549999999999997</v>
          </cell>
          <cell r="BI16">
            <v>12.364000000000001</v>
          </cell>
          <cell r="BJ16">
            <v>49.914000000000001</v>
          </cell>
          <cell r="BK16">
            <v>30.905999999999999</v>
          </cell>
          <cell r="BL16">
            <v>31.533999999999999</v>
          </cell>
          <cell r="BM16">
            <v>31.22</v>
          </cell>
          <cell r="BN16">
            <v>4.19484628823054</v>
          </cell>
          <cell r="BO16">
            <v>18.959523809523812</v>
          </cell>
          <cell r="BP16">
            <v>12.4345</v>
          </cell>
          <cell r="BQ16">
            <v>18.307021428571431</v>
          </cell>
          <cell r="BR16">
            <v>13.81</v>
          </cell>
          <cell r="BS16">
            <v>59</v>
          </cell>
          <cell r="BT16">
            <v>45.33</v>
          </cell>
          <cell r="BU16">
            <v>843.99</v>
          </cell>
          <cell r="BV16">
            <v>21.4</v>
          </cell>
          <cell r="BY16">
            <v>123.57941706687335</v>
          </cell>
          <cell r="BZ16">
            <v>121.54519236202827</v>
          </cell>
          <cell r="CA16">
            <v>120.11638670758946</v>
          </cell>
          <cell r="CB16">
            <v>128.31911902929588</v>
          </cell>
          <cell r="CC16">
            <v>122.05270501909303</v>
          </cell>
          <cell r="CD16">
            <v>125.75942887182477</v>
          </cell>
          <cell r="CE16">
            <v>119.34420149510237</v>
          </cell>
          <cell r="CF16">
            <v>127.87224366420145</v>
          </cell>
          <cell r="CG16">
            <v>123.91068079785116</v>
          </cell>
          <cell r="CH16">
            <v>130.00969498012009</v>
          </cell>
          <cell r="CI16">
            <v>129.99691033975103</v>
          </cell>
          <cell r="CJ16">
            <v>114.69479511348433</v>
          </cell>
          <cell r="CK16">
            <v>129.28062727650405</v>
          </cell>
          <cell r="CL16">
            <v>181.56185744429987</v>
          </cell>
          <cell r="CM16">
            <v>123.57678041344214</v>
          </cell>
          <cell r="CN16">
            <v>125.19606986765388</v>
          </cell>
          <cell r="CO16">
            <v>139.90383375047497</v>
          </cell>
          <cell r="CP16">
            <v>142.71115450708973</v>
          </cell>
          <cell r="CQ16">
            <v>107.94769490453211</v>
          </cell>
          <cell r="CR16">
            <v>107.94769490453211</v>
          </cell>
          <cell r="CS16">
            <v>107.94769490453211</v>
          </cell>
          <cell r="CT16">
            <v>105.15155450949132</v>
          </cell>
          <cell r="CU16">
            <v>110.58561340942541</v>
          </cell>
          <cell r="CV16">
            <v>109.18473421995252</v>
          </cell>
          <cell r="CW16">
            <v>109.18473421995252</v>
          </cell>
          <cell r="CX16">
            <v>109.65169394977681</v>
          </cell>
          <cell r="CY16">
            <v>107.37503449256896</v>
          </cell>
          <cell r="CZ16">
            <v>114.33110061181672</v>
          </cell>
          <cell r="DA16">
            <v>109.76227180669152</v>
          </cell>
          <cell r="DB16">
            <v>118.0793433231659</v>
          </cell>
          <cell r="DC16">
            <v>115.42619629159887</v>
          </cell>
          <cell r="DD16">
            <v>112.08679008648889</v>
          </cell>
          <cell r="DE16">
            <v>110.04665887470382</v>
          </cell>
          <cell r="DF16">
            <v>113.80057215847054</v>
          </cell>
          <cell r="DG16">
            <v>111.92361551658718</v>
          </cell>
          <cell r="DH16">
            <v>111.37813232051978</v>
          </cell>
          <cell r="DI16">
            <v>106.9277670465537</v>
          </cell>
          <cell r="DK16">
            <v>405500</v>
          </cell>
          <cell r="DL16" t="str">
            <v>2015-16</v>
          </cell>
          <cell r="DM16">
            <v>214570</v>
          </cell>
          <cell r="DN16" t="str">
            <v>2015-16</v>
          </cell>
          <cell r="DO16">
            <v>1200000</v>
          </cell>
          <cell r="DP16" t="str">
            <v>2015-16</v>
          </cell>
          <cell r="DQ16">
            <v>1220000</v>
          </cell>
          <cell r="DR16" t="str">
            <v>2015-16</v>
          </cell>
          <cell r="DS16">
            <v>3600000</v>
          </cell>
          <cell r="DT16" t="str">
            <v>2015-16</v>
          </cell>
          <cell r="DU16">
            <v>20100000</v>
          </cell>
          <cell r="DV16" t="str">
            <v>2015-16</v>
          </cell>
          <cell r="DW16">
            <v>850000</v>
          </cell>
          <cell r="DX16" t="str">
            <v>2015-16</v>
          </cell>
          <cell r="DY16">
            <v>4300000</v>
          </cell>
          <cell r="DZ16" t="str">
            <v>2016-17</v>
          </cell>
          <cell r="EA16">
            <v>31270000</v>
          </cell>
          <cell r="EB16">
            <v>368438</v>
          </cell>
          <cell r="EC16" t="str">
            <v>2015-16</v>
          </cell>
          <cell r="ED16">
            <v>165327</v>
          </cell>
          <cell r="EE16">
            <v>2016</v>
          </cell>
          <cell r="EF16">
            <v>223944</v>
          </cell>
          <cell r="EG16">
            <v>2016</v>
          </cell>
          <cell r="EH16">
            <v>53117706</v>
          </cell>
          <cell r="EI16">
            <v>2016</v>
          </cell>
          <cell r="EJ16">
            <v>5119438</v>
          </cell>
          <cell r="EK16">
            <v>2016</v>
          </cell>
          <cell r="EL16">
            <v>14864321</v>
          </cell>
          <cell r="EM16">
            <v>2016</v>
          </cell>
          <cell r="EN16">
            <v>3499621</v>
          </cell>
          <cell r="EO16">
            <v>2016</v>
          </cell>
          <cell r="EP16">
            <v>6552</v>
          </cell>
          <cell r="EQ16">
            <v>3008956</v>
          </cell>
          <cell r="ER16">
            <v>32755</v>
          </cell>
          <cell r="ET16">
            <v>24000</v>
          </cell>
          <cell r="EU16">
            <v>16752</v>
          </cell>
          <cell r="EV16">
            <v>9500</v>
          </cell>
          <cell r="EW16">
            <v>17994</v>
          </cell>
          <cell r="EX16">
            <v>68246</v>
          </cell>
          <cell r="EY16">
            <v>19129</v>
          </cell>
          <cell r="EZ16">
            <v>75500</v>
          </cell>
          <cell r="FA16">
            <v>22169</v>
          </cell>
          <cell r="FB16">
            <v>20495</v>
          </cell>
          <cell r="FC16">
            <v>42664</v>
          </cell>
          <cell r="FD16">
            <v>43815</v>
          </cell>
          <cell r="FF16">
            <v>708195</v>
          </cell>
          <cell r="FG16" t="str">
            <v>2015-16</v>
          </cell>
          <cell r="FH16">
            <v>1404980</v>
          </cell>
          <cell r="FI16" t="str">
            <v>2015-16</v>
          </cell>
          <cell r="FJ16">
            <v>4300000</v>
          </cell>
          <cell r="FK16" t="str">
            <v>2015-16</v>
          </cell>
          <cell r="FL16">
            <v>2450000</v>
          </cell>
          <cell r="FM16" t="str">
            <v>2015-16</v>
          </cell>
          <cell r="FN16">
            <v>28000000</v>
          </cell>
          <cell r="FO16" t="str">
            <v>2015-16</v>
          </cell>
          <cell r="FP16">
            <v>56000000</v>
          </cell>
          <cell r="FQ16" t="str">
            <v>2015-16</v>
          </cell>
          <cell r="FR16">
            <v>3500000</v>
          </cell>
          <cell r="FS16" t="str">
            <v>2015-16</v>
          </cell>
          <cell r="FT16">
            <v>10300000</v>
          </cell>
          <cell r="FU16" t="str">
            <v>2015-16</v>
          </cell>
          <cell r="FV16">
            <v>104550000</v>
          </cell>
          <cell r="FW16">
            <v>1001113</v>
          </cell>
          <cell r="FX16" t="str">
            <v>2015-16</v>
          </cell>
          <cell r="FY16">
            <v>143267.90700000001</v>
          </cell>
          <cell r="GB16">
            <v>17584178</v>
          </cell>
          <cell r="GD16">
            <v>1678337</v>
          </cell>
          <cell r="GE16">
            <v>468278</v>
          </cell>
          <cell r="GF16">
            <v>1032446</v>
          </cell>
          <cell r="GG16">
            <v>102259</v>
          </cell>
          <cell r="GH16">
            <v>1602983</v>
          </cell>
          <cell r="GI16">
            <v>1302556</v>
          </cell>
          <cell r="GJ16">
            <v>600000</v>
          </cell>
          <cell r="GK16">
            <v>998555</v>
          </cell>
          <cell r="GL16">
            <v>302000</v>
          </cell>
          <cell r="GM16">
            <v>266553.90000000002</v>
          </cell>
          <cell r="GN16">
            <v>2167108.9</v>
          </cell>
          <cell r="GO16">
            <v>191984</v>
          </cell>
          <cell r="GP16">
            <v>68123</v>
          </cell>
          <cell r="GR16">
            <v>42700</v>
          </cell>
          <cell r="GS16">
            <v>42700</v>
          </cell>
          <cell r="GT16">
            <v>2430866</v>
          </cell>
          <cell r="GU16">
            <v>50951.583333333336</v>
          </cell>
          <cell r="GV16">
            <v>51463.083333333336</v>
          </cell>
          <cell r="GW16">
            <v>1228976</v>
          </cell>
          <cell r="GX16">
            <v>30955.772000000001</v>
          </cell>
          <cell r="GY16" t="str">
            <v>2015-2016</v>
          </cell>
          <cell r="GZ16">
            <v>93671</v>
          </cell>
          <cell r="HA16">
            <v>209000</v>
          </cell>
          <cell r="HD16">
            <v>45461</v>
          </cell>
          <cell r="HG16">
            <v>173000</v>
          </cell>
          <cell r="HM16">
            <v>0</v>
          </cell>
          <cell r="HO16">
            <v>795700000</v>
          </cell>
          <cell r="HU16">
            <v>650000</v>
          </cell>
          <cell r="HV16" t="str">
            <v>2015-16</v>
          </cell>
          <cell r="HW16">
            <v>2000000</v>
          </cell>
          <cell r="HX16" t="str">
            <v>2015-16</v>
          </cell>
          <cell r="HY16">
            <v>2950000</v>
          </cell>
          <cell r="HZ16" t="str">
            <v>2015-16</v>
          </cell>
          <cell r="IA16">
            <v>17210000</v>
          </cell>
          <cell r="IB16" t="str">
            <v>2015-16</v>
          </cell>
          <cell r="IC16">
            <v>50000000</v>
          </cell>
          <cell r="ID16" t="str">
            <v>2015-16</v>
          </cell>
          <cell r="IE16">
            <v>2600000</v>
          </cell>
          <cell r="IF16" t="str">
            <v>2015-16</v>
          </cell>
          <cell r="II16">
            <v>74760000</v>
          </cell>
          <cell r="IJ16">
            <v>1.6245896649969351</v>
          </cell>
          <cell r="IK16" t="str">
            <v>2015-16</v>
          </cell>
          <cell r="IL16">
            <v>43.13</v>
          </cell>
          <cell r="IM16">
            <v>51.340621887248616</v>
          </cell>
          <cell r="IN16">
            <v>201</v>
          </cell>
          <cell r="IO16">
            <v>12.782382000000002</v>
          </cell>
          <cell r="IP16">
            <v>5.7844457536132143</v>
          </cell>
          <cell r="IQ16">
            <v>21.6</v>
          </cell>
          <cell r="IR16">
            <v>2.2000000000000002</v>
          </cell>
          <cell r="IS16">
            <v>5.59</v>
          </cell>
          <cell r="IT16">
            <v>13.55</v>
          </cell>
          <cell r="IU16">
            <v>1.07</v>
          </cell>
          <cell r="IV16">
            <v>20.21</v>
          </cell>
          <cell r="IY16">
            <v>1.84</v>
          </cell>
          <cell r="IZ16">
            <v>0.3</v>
          </cell>
          <cell r="JF16">
            <v>6.6316867500000019</v>
          </cell>
          <cell r="JG16">
            <v>16.601504079999998</v>
          </cell>
          <cell r="JH16">
            <v>36.252381440000001</v>
          </cell>
          <cell r="JI16">
            <v>70.09060414999999</v>
          </cell>
          <cell r="JJ16">
            <v>357.18398801000006</v>
          </cell>
          <cell r="JK16">
            <v>82.080388339999999</v>
          </cell>
          <cell r="JL16">
            <v>1734.7844528000005</v>
          </cell>
          <cell r="JM16">
            <v>11.35638123</v>
          </cell>
          <cell r="JN16">
            <v>118.65599743000001</v>
          </cell>
          <cell r="JO16">
            <v>19.172324489999998</v>
          </cell>
          <cell r="JP16">
            <v>0</v>
          </cell>
          <cell r="JQ16">
            <v>2.7499999999999998E-3</v>
          </cell>
          <cell r="JR16">
            <v>0.67298763000000006</v>
          </cell>
          <cell r="JS16">
            <v>0</v>
          </cell>
          <cell r="JT16">
            <v>8.1499999999999997E-4</v>
          </cell>
          <cell r="JU16">
            <v>77.241709169999993</v>
          </cell>
          <cell r="JV16">
            <v>8.0918965799999985</v>
          </cell>
          <cell r="JW16">
            <v>14.492691549999998</v>
          </cell>
          <cell r="JX16">
            <v>134.06813211000002</v>
          </cell>
          <cell r="JY16">
            <v>8.2156634999999998</v>
          </cell>
          <cell r="JZ16">
            <v>8.5126986999999996</v>
          </cell>
          <cell r="KA16">
            <v>4.9133999999999997E-2</v>
          </cell>
          <cell r="KB16">
            <v>15.170699599999999</v>
          </cell>
          <cell r="KC16">
            <v>38.560069640000002</v>
          </cell>
          <cell r="KD16">
            <v>8.1172387799999992</v>
          </cell>
          <cell r="KE16">
            <v>16.618672359999998</v>
          </cell>
          <cell r="KF16">
            <v>23.936499900000001</v>
          </cell>
          <cell r="KG16">
            <v>156.87236970000001</v>
          </cell>
          <cell r="KH16">
            <v>46.940550620000003</v>
          </cell>
          <cell r="KI16">
            <v>12.871439209999998</v>
          </cell>
          <cell r="KJ16">
            <v>0.98075302000000009</v>
          </cell>
          <cell r="KK16">
            <v>9.4679292400000001</v>
          </cell>
          <cell r="KL16">
            <v>0.44719823000000003</v>
          </cell>
          <cell r="KM16">
            <v>0.73488434999999985</v>
          </cell>
          <cell r="KN16">
            <v>0.98601258999999997</v>
          </cell>
          <cell r="KO16">
            <v>0.98232336000000009</v>
          </cell>
          <cell r="KP16">
            <v>5.259983E-2</v>
          </cell>
          <cell r="KQ16">
            <v>34.13749782</v>
          </cell>
          <cell r="KR16">
            <v>0</v>
          </cell>
          <cell r="KS16">
            <v>0.46256158000000003</v>
          </cell>
          <cell r="KT16">
            <v>3.4434072000000002</v>
          </cell>
          <cell r="KU16">
            <v>0.15817666</v>
          </cell>
          <cell r="KV16">
            <v>0.40838028000000004</v>
          </cell>
          <cell r="KW16">
            <v>5.3053937099999997</v>
          </cell>
          <cell r="KX16">
            <v>0</v>
          </cell>
          <cell r="KY16">
            <v>0</v>
          </cell>
          <cell r="KZ16">
            <v>0.38322754999999997</v>
          </cell>
          <cell r="LA16">
            <v>0.61694436000000008</v>
          </cell>
          <cell r="LB16">
            <v>3.402488E-2</v>
          </cell>
          <cell r="LC16">
            <v>9.5414679999999988E-2</v>
          </cell>
          <cell r="LD16">
            <v>0</v>
          </cell>
          <cell r="LE16">
            <v>0.33481150999999998</v>
          </cell>
          <cell r="LF16">
            <v>0.18903535000000002</v>
          </cell>
          <cell r="LG16">
            <v>17.398224849999998</v>
          </cell>
          <cell r="LH16">
            <v>3.36068605</v>
          </cell>
          <cell r="LI16">
            <v>0</v>
          </cell>
          <cell r="LJ16">
            <v>4.3937100000000003E-3</v>
          </cell>
          <cell r="LK16">
            <v>4.8294731899999999</v>
          </cell>
          <cell r="LL16">
            <v>3.3698150299999998</v>
          </cell>
          <cell r="LM16">
            <v>1.8075680200000002</v>
          </cell>
          <cell r="LN16">
            <v>0.57776717</v>
          </cell>
          <cell r="LO16">
            <v>5.6382535800000007</v>
          </cell>
          <cell r="LQ16">
            <v>2328.3238050600003</v>
          </cell>
          <cell r="LR16">
            <v>0.6765526300000001</v>
          </cell>
          <cell r="LS16">
            <v>22.584588129999997</v>
          </cell>
          <cell r="LT16">
            <v>16.777496199999998</v>
          </cell>
          <cell r="LU16">
            <v>37.303279699999997</v>
          </cell>
          <cell r="LV16">
            <v>5.71377399</v>
          </cell>
          <cell r="LW16">
            <v>0.65096924000000012</v>
          </cell>
          <cell r="LX16">
            <v>0.52384686000000003</v>
          </cell>
          <cell r="LZ16">
            <v>15.88</v>
          </cell>
          <cell r="MA16">
            <v>16.809999999999999</v>
          </cell>
          <cell r="MH16">
            <v>33.07</v>
          </cell>
          <cell r="MI16">
            <v>9.48</v>
          </cell>
          <cell r="MJ16">
            <v>11.91</v>
          </cell>
          <cell r="ML16">
            <v>15.21</v>
          </cell>
          <cell r="MM16">
            <v>34.42</v>
          </cell>
          <cell r="MO16">
            <v>20.41</v>
          </cell>
          <cell r="MP16">
            <v>25.75</v>
          </cell>
          <cell r="MQ16">
            <v>26.82</v>
          </cell>
          <cell r="MU16">
            <v>11.53</v>
          </cell>
          <cell r="MY16">
            <v>27.29</v>
          </cell>
          <cell r="MZ16">
            <v>76.2</v>
          </cell>
          <cell r="NA16">
            <v>32.659999999999997</v>
          </cell>
          <cell r="NB16">
            <v>108.43</v>
          </cell>
          <cell r="NC16">
            <v>16.53</v>
          </cell>
          <cell r="NE16">
            <v>85.67</v>
          </cell>
        </row>
        <row r="17">
          <cell r="A17">
            <v>42583</v>
          </cell>
          <cell r="B17">
            <v>8</v>
          </cell>
          <cell r="C17">
            <v>2016</v>
          </cell>
          <cell r="D17">
            <v>17</v>
          </cell>
          <cell r="E17">
            <v>42583</v>
          </cell>
          <cell r="F17">
            <v>15.028260869565219</v>
          </cell>
          <cell r="G17">
            <v>93.298555377207066</v>
          </cell>
          <cell r="H17">
            <v>7680</v>
          </cell>
          <cell r="I17">
            <v>106</v>
          </cell>
          <cell r="J17">
            <v>350</v>
          </cell>
          <cell r="K17">
            <v>3.4</v>
          </cell>
          <cell r="L17">
            <v>34.1</v>
          </cell>
          <cell r="N17">
            <v>1.4690000000000001</v>
          </cell>
          <cell r="O17">
            <v>1.3149999999999999</v>
          </cell>
          <cell r="P17">
            <v>20.919339130434786</v>
          </cell>
          <cell r="Q17">
            <v>335</v>
          </cell>
          <cell r="R17">
            <v>3350</v>
          </cell>
          <cell r="S17">
            <v>128.31818181818181</v>
          </cell>
          <cell r="T17">
            <v>358.59090909090907</v>
          </cell>
          <cell r="U17">
            <v>147.03636363636363</v>
          </cell>
          <cell r="V17">
            <v>259.21818181818185</v>
          </cell>
          <cell r="W17">
            <v>143.84090909090909</v>
          </cell>
          <cell r="X17">
            <v>163.77272727272728</v>
          </cell>
          <cell r="Y17">
            <v>1928.399110671937</v>
          </cell>
          <cell r="Z17">
            <v>5388.9977272727274</v>
          </cell>
          <cell r="AA17">
            <v>2209.700830039526</v>
          </cell>
          <cell r="AB17">
            <v>3895.5984584980247</v>
          </cell>
          <cell r="AC17">
            <v>2161.6787055335972</v>
          </cell>
          <cell r="AD17">
            <v>2461.2192687747038</v>
          </cell>
          <cell r="AE17">
            <v>3007.5990167984191</v>
          </cell>
          <cell r="AF17">
            <v>9567.2727272727279</v>
          </cell>
          <cell r="AG17">
            <v>4803</v>
          </cell>
          <cell r="AH17">
            <v>18031</v>
          </cell>
          <cell r="AI17">
            <v>7.69</v>
          </cell>
          <cell r="AJ17">
            <v>4.32</v>
          </cell>
          <cell r="AK17">
            <v>3.4</v>
          </cell>
          <cell r="AL17">
            <v>3.42</v>
          </cell>
          <cell r="AM17">
            <v>5.4150000000000009</v>
          </cell>
          <cell r="AN17">
            <v>15.866666666666667</v>
          </cell>
          <cell r="AO17">
            <v>9.52</v>
          </cell>
          <cell r="AP17">
            <v>12.693333333333333</v>
          </cell>
          <cell r="AQ17">
            <v>6.88</v>
          </cell>
          <cell r="AR17">
            <v>5.8</v>
          </cell>
          <cell r="AS17">
            <v>4.3830769230769224</v>
          </cell>
          <cell r="AT17">
            <v>6.88</v>
          </cell>
          <cell r="AU17">
            <v>5.6876923076923065</v>
          </cell>
          <cell r="AV17">
            <v>5.0599999999999996</v>
          </cell>
          <cell r="AW17">
            <v>6.5779999999999994</v>
          </cell>
          <cell r="AX17">
            <v>7.63</v>
          </cell>
          <cell r="AY17">
            <v>16.3</v>
          </cell>
          <cell r="AZ17">
            <v>7.41</v>
          </cell>
          <cell r="BA17">
            <v>10.195</v>
          </cell>
          <cell r="BB17">
            <v>10.383749999999999</v>
          </cell>
          <cell r="BC17">
            <v>579</v>
          </cell>
          <cell r="BD17">
            <v>684</v>
          </cell>
          <cell r="BE17">
            <v>610</v>
          </cell>
          <cell r="BF17">
            <v>410</v>
          </cell>
          <cell r="BG17">
            <v>570.75</v>
          </cell>
          <cell r="BH17">
            <v>37.549999999999997</v>
          </cell>
          <cell r="BI17">
            <v>12.364000000000001</v>
          </cell>
          <cell r="BJ17">
            <v>49.914000000000001</v>
          </cell>
          <cell r="BK17">
            <v>30.856000000000002</v>
          </cell>
          <cell r="BL17">
            <v>31.164999999999999</v>
          </cell>
          <cell r="BM17">
            <v>31.0105</v>
          </cell>
          <cell r="BN17">
            <v>4.2666879151695953</v>
          </cell>
          <cell r="BO17">
            <v>21.3</v>
          </cell>
          <cell r="BP17">
            <v>15.218499999999999</v>
          </cell>
          <cell r="BQ17">
            <v>20.691850000000002</v>
          </cell>
          <cell r="BR17">
            <v>14.67</v>
          </cell>
          <cell r="BS17">
            <v>79</v>
          </cell>
          <cell r="BT17">
            <v>45.72</v>
          </cell>
          <cell r="BU17">
            <v>1085.1600000000001</v>
          </cell>
          <cell r="BV17">
            <v>21.9</v>
          </cell>
          <cell r="BY17">
            <v>124.29065309596066</v>
          </cell>
          <cell r="BZ17">
            <v>120.77568937608359</v>
          </cell>
          <cell r="CA17">
            <v>117.85839482148481</v>
          </cell>
          <cell r="CB17">
            <v>128.7051890025802</v>
          </cell>
          <cell r="CC17">
            <v>119.2054197767423</v>
          </cell>
          <cell r="CD17">
            <v>122.77892371402935</v>
          </cell>
          <cell r="CE17">
            <v>118.52408251972962</v>
          </cell>
          <cell r="CF17">
            <v>124.39594201331022</v>
          </cell>
          <cell r="CG17">
            <v>121.91132530797942</v>
          </cell>
          <cell r="CH17">
            <v>131.59811199232269</v>
          </cell>
          <cell r="CI17">
            <v>126.58006072160526</v>
          </cell>
          <cell r="CJ17">
            <v>113.29229306284279</v>
          </cell>
          <cell r="CK17">
            <v>134.13011816034981</v>
          </cell>
          <cell r="CL17">
            <v>161.00042380143728</v>
          </cell>
          <cell r="CM17">
            <v>114.15733307678684</v>
          </cell>
          <cell r="CN17">
            <v>130.7261497093296</v>
          </cell>
          <cell r="CO17">
            <v>135.00350618697587</v>
          </cell>
          <cell r="CP17">
            <v>140.44984792634253</v>
          </cell>
          <cell r="CQ17">
            <v>108.82433410492678</v>
          </cell>
          <cell r="CR17">
            <v>108.82433410492678</v>
          </cell>
          <cell r="CS17">
            <v>108.82433410492678</v>
          </cell>
          <cell r="CT17">
            <v>106.53228072768511</v>
          </cell>
          <cell r="CU17">
            <v>110.86340420444962</v>
          </cell>
          <cell r="CV17">
            <v>108.82912431866765</v>
          </cell>
          <cell r="CW17">
            <v>108.82912431866765</v>
          </cell>
          <cell r="CX17">
            <v>109.50721761392832</v>
          </cell>
          <cell r="CY17">
            <v>107.22051080879555</v>
          </cell>
          <cell r="CZ17">
            <v>114.22956994439748</v>
          </cell>
          <cell r="DA17">
            <v>109.52004228083693</v>
          </cell>
          <cell r="DB17">
            <v>117.47794338548236</v>
          </cell>
          <cell r="DC17">
            <v>112.1889764933766</v>
          </cell>
          <cell r="DD17">
            <v>108.91268176268265</v>
          </cell>
          <cell r="DE17">
            <v>106.43581693422422</v>
          </cell>
          <cell r="DF17">
            <v>110.81839981556503</v>
          </cell>
          <cell r="DG17">
            <v>108.62710837489462</v>
          </cell>
          <cell r="DH17">
            <v>111.29185081765516</v>
          </cell>
          <cell r="DI17">
            <v>111.25262404640365</v>
          </cell>
          <cell r="DK17">
            <v>405500</v>
          </cell>
          <cell r="DL17" t="str">
            <v>2015-16</v>
          </cell>
          <cell r="DM17">
            <v>214570</v>
          </cell>
          <cell r="DN17" t="str">
            <v>2015-16</v>
          </cell>
          <cell r="DO17">
            <v>1200000</v>
          </cell>
          <cell r="DP17" t="str">
            <v>2015-16</v>
          </cell>
          <cell r="DQ17">
            <v>1600000</v>
          </cell>
          <cell r="DR17" t="str">
            <v>2016-17</v>
          </cell>
          <cell r="DS17">
            <v>3600000</v>
          </cell>
          <cell r="DT17" t="str">
            <v>2015-16</v>
          </cell>
          <cell r="DU17">
            <v>20100000</v>
          </cell>
          <cell r="DV17" t="str">
            <v>2015-16</v>
          </cell>
          <cell r="DW17">
            <v>850000</v>
          </cell>
          <cell r="DX17" t="str">
            <v>2015-16</v>
          </cell>
          <cell r="DY17">
            <v>4300000</v>
          </cell>
          <cell r="DZ17" t="str">
            <v>2016-17</v>
          </cell>
          <cell r="EA17">
            <v>31650000</v>
          </cell>
          <cell r="EB17">
            <v>368438</v>
          </cell>
          <cell r="EC17" t="str">
            <v>2015-16</v>
          </cell>
          <cell r="ED17">
            <v>165327</v>
          </cell>
          <cell r="EE17">
            <v>2016</v>
          </cell>
          <cell r="EF17">
            <v>223944</v>
          </cell>
          <cell r="EG17">
            <v>2016</v>
          </cell>
          <cell r="EH17">
            <v>53117706</v>
          </cell>
          <cell r="EI17">
            <v>2016</v>
          </cell>
          <cell r="EJ17">
            <v>5119438</v>
          </cell>
          <cell r="EK17">
            <v>2016</v>
          </cell>
          <cell r="EL17">
            <v>14864321</v>
          </cell>
          <cell r="EM17">
            <v>2016</v>
          </cell>
          <cell r="EN17">
            <v>3499621</v>
          </cell>
          <cell r="EO17">
            <v>2016</v>
          </cell>
          <cell r="EP17">
            <v>6552</v>
          </cell>
          <cell r="EQ17">
            <v>3008956</v>
          </cell>
          <cell r="ER17">
            <v>32755</v>
          </cell>
          <cell r="ET17">
            <v>24000</v>
          </cell>
          <cell r="EU17">
            <v>16752</v>
          </cell>
          <cell r="EV17">
            <v>9500</v>
          </cell>
          <cell r="EW17">
            <v>17994</v>
          </cell>
          <cell r="EX17">
            <v>68246</v>
          </cell>
          <cell r="EY17">
            <v>19129</v>
          </cell>
          <cell r="EZ17">
            <v>75500</v>
          </cell>
          <cell r="FA17">
            <v>22169</v>
          </cell>
          <cell r="FB17">
            <v>20495</v>
          </cell>
          <cell r="FC17">
            <v>42664</v>
          </cell>
          <cell r="FD17">
            <v>43815</v>
          </cell>
          <cell r="FF17">
            <v>708196</v>
          </cell>
          <cell r="FG17" t="str">
            <v>2015-16</v>
          </cell>
          <cell r="FH17">
            <v>1404980</v>
          </cell>
          <cell r="FI17" t="str">
            <v>2015-16</v>
          </cell>
          <cell r="FJ17">
            <v>4300000</v>
          </cell>
          <cell r="FK17" t="str">
            <v>2015-16</v>
          </cell>
          <cell r="FL17">
            <v>2450000</v>
          </cell>
          <cell r="FM17" t="str">
            <v>2015-16</v>
          </cell>
          <cell r="FN17">
            <v>28000000</v>
          </cell>
          <cell r="FO17" t="str">
            <v>2015-16</v>
          </cell>
          <cell r="FP17">
            <v>56000000</v>
          </cell>
          <cell r="FQ17" t="str">
            <v>2015-16</v>
          </cell>
          <cell r="FR17">
            <v>3400000</v>
          </cell>
          <cell r="FS17" t="str">
            <v>2015-16</v>
          </cell>
          <cell r="FT17">
            <v>10300000</v>
          </cell>
          <cell r="FU17" t="str">
            <v>2015-16</v>
          </cell>
          <cell r="FV17">
            <v>104450000</v>
          </cell>
          <cell r="FW17">
            <v>1001113</v>
          </cell>
          <cell r="FX17" t="str">
            <v>2015-16</v>
          </cell>
          <cell r="FY17">
            <v>126510.052</v>
          </cell>
          <cell r="GB17">
            <v>17584178</v>
          </cell>
          <cell r="GD17">
            <v>1678337</v>
          </cell>
          <cell r="GE17">
            <v>468278</v>
          </cell>
          <cell r="GF17">
            <v>1032446</v>
          </cell>
          <cell r="GG17">
            <v>102259</v>
          </cell>
          <cell r="GH17">
            <v>1602983</v>
          </cell>
          <cell r="GI17">
            <v>1302556</v>
          </cell>
          <cell r="GJ17">
            <v>600000</v>
          </cell>
          <cell r="GK17">
            <v>998555</v>
          </cell>
          <cell r="GL17">
            <v>302000</v>
          </cell>
          <cell r="GM17">
            <v>266553.90000000002</v>
          </cell>
          <cell r="GN17">
            <v>2167108.9</v>
          </cell>
          <cell r="GO17">
            <v>191984</v>
          </cell>
          <cell r="GP17">
            <v>68123</v>
          </cell>
          <cell r="GR17">
            <v>42700</v>
          </cell>
          <cell r="GS17">
            <v>42700</v>
          </cell>
          <cell r="GT17">
            <v>2430866</v>
          </cell>
          <cell r="GU17">
            <v>50951.583333333336</v>
          </cell>
          <cell r="GV17">
            <v>51463.083333333336</v>
          </cell>
          <cell r="GW17">
            <v>1228976</v>
          </cell>
          <cell r="GX17">
            <v>30955.772000000001</v>
          </cell>
          <cell r="GY17" t="str">
            <v>2015-2016</v>
          </cell>
          <cell r="GZ17">
            <v>93671</v>
          </cell>
          <cell r="HA17">
            <v>234000</v>
          </cell>
          <cell r="HD17">
            <v>46197</v>
          </cell>
          <cell r="HG17">
            <v>187000</v>
          </cell>
          <cell r="HM17">
            <v>0</v>
          </cell>
          <cell r="HO17">
            <v>863600000</v>
          </cell>
          <cell r="HU17">
            <v>650000</v>
          </cell>
          <cell r="HV17" t="str">
            <v>2015-16</v>
          </cell>
          <cell r="HW17">
            <v>2000000</v>
          </cell>
          <cell r="HX17" t="str">
            <v>2015-16</v>
          </cell>
          <cell r="HY17">
            <v>2950000</v>
          </cell>
          <cell r="HZ17" t="str">
            <v>2015-16</v>
          </cell>
          <cell r="IA17">
            <v>17210000</v>
          </cell>
          <cell r="IB17" t="str">
            <v>2015-16</v>
          </cell>
          <cell r="IC17">
            <v>50000000</v>
          </cell>
          <cell r="ID17" t="str">
            <v>2015-16</v>
          </cell>
          <cell r="IE17">
            <v>2600000</v>
          </cell>
          <cell r="IF17" t="str">
            <v>2015-16</v>
          </cell>
          <cell r="II17">
            <v>74760000</v>
          </cell>
          <cell r="IJ17">
            <v>1.6245896649969351</v>
          </cell>
          <cell r="IK17" t="str">
            <v>2015-16</v>
          </cell>
          <cell r="IL17">
            <v>46.99</v>
          </cell>
          <cell r="IM17">
            <v>57.974707947845587</v>
          </cell>
          <cell r="IN17">
            <v>201</v>
          </cell>
          <cell r="IO17">
            <v>13.253976</v>
          </cell>
          <cell r="IP17">
            <v>5.7844457536132143</v>
          </cell>
          <cell r="IQ17">
            <v>21.6</v>
          </cell>
          <cell r="IR17">
            <v>2.2000000000000002</v>
          </cell>
          <cell r="IS17">
            <v>5.59</v>
          </cell>
          <cell r="IT17">
            <v>13.55</v>
          </cell>
          <cell r="IU17">
            <v>1.07</v>
          </cell>
          <cell r="IV17">
            <v>20.21</v>
          </cell>
          <cell r="IY17">
            <v>1.84</v>
          </cell>
          <cell r="IZ17">
            <v>0.3</v>
          </cell>
          <cell r="JF17">
            <v>15.662052569999997</v>
          </cell>
          <cell r="JG17">
            <v>31.077298430000006</v>
          </cell>
          <cell r="JH17">
            <v>60.767405100000005</v>
          </cell>
          <cell r="JI17">
            <v>47.1748367</v>
          </cell>
          <cell r="JJ17">
            <v>709.35380140999985</v>
          </cell>
          <cell r="JK17">
            <v>85.948094370000007</v>
          </cell>
          <cell r="JL17">
            <v>1825.9233983700001</v>
          </cell>
          <cell r="JM17">
            <v>6.8142603299999998</v>
          </cell>
          <cell r="JN17">
            <v>108.40620564000001</v>
          </cell>
          <cell r="JO17">
            <v>14.934487780000001</v>
          </cell>
          <cell r="JP17">
            <v>0</v>
          </cell>
          <cell r="JQ17">
            <v>4.7999999999999996E-3</v>
          </cell>
          <cell r="JR17">
            <v>0.90851698000000003</v>
          </cell>
          <cell r="JS17">
            <v>0</v>
          </cell>
          <cell r="JT17">
            <v>1.5250000000000001E-3</v>
          </cell>
          <cell r="JU17">
            <v>106.23590312</v>
          </cell>
          <cell r="JV17">
            <v>11.65693557</v>
          </cell>
          <cell r="JW17">
            <v>11.333774039999998</v>
          </cell>
          <cell r="JX17">
            <v>89.129919510000008</v>
          </cell>
          <cell r="JY17">
            <v>9.7081363000000014</v>
          </cell>
          <cell r="JZ17">
            <v>10.783472399999999</v>
          </cell>
          <cell r="KA17">
            <v>0.39744010000000002</v>
          </cell>
          <cell r="KB17">
            <v>20.323857740000001</v>
          </cell>
          <cell r="KC17">
            <v>64.222343400000014</v>
          </cell>
          <cell r="KD17">
            <v>3.6086176500000002</v>
          </cell>
          <cell r="KE17">
            <v>14.980556409999998</v>
          </cell>
          <cell r="KF17">
            <v>25.775965710000001</v>
          </cell>
          <cell r="KG17">
            <v>165.76302874000004</v>
          </cell>
          <cell r="KH17">
            <v>51.459309380000008</v>
          </cell>
          <cell r="KI17">
            <v>13.074407269999998</v>
          </cell>
          <cell r="KJ17">
            <v>1.1755150599999999</v>
          </cell>
          <cell r="KK17">
            <v>10.189511030000002</v>
          </cell>
          <cell r="KL17">
            <v>0.23816939000000001</v>
          </cell>
          <cell r="KM17">
            <v>0.43891161999999995</v>
          </cell>
          <cell r="KN17">
            <v>9.1085970000000002E-2</v>
          </cell>
          <cell r="KO17">
            <v>0.82212014000000011</v>
          </cell>
          <cell r="KP17">
            <v>3.7151999999999997E-4</v>
          </cell>
          <cell r="KQ17">
            <v>19.472389419999999</v>
          </cell>
          <cell r="KR17">
            <v>0</v>
          </cell>
          <cell r="KS17">
            <v>1.3209999799999999</v>
          </cell>
          <cell r="KT17">
            <v>1.4807240900000003</v>
          </cell>
          <cell r="KU17">
            <v>0.20822251</v>
          </cell>
          <cell r="KV17">
            <v>1.7035977099999999</v>
          </cell>
          <cell r="KW17">
            <v>7.4631327900000004</v>
          </cell>
          <cell r="KX17">
            <v>0</v>
          </cell>
          <cell r="KY17">
            <v>4.3383940000000003E-2</v>
          </cell>
          <cell r="KZ17">
            <v>0.54836304999999996</v>
          </cell>
          <cell r="LA17">
            <v>0.74501832999999995</v>
          </cell>
          <cell r="LB17">
            <v>1.9278879999999998E-2</v>
          </cell>
          <cell r="LC17">
            <v>3.6301819999999999E-2</v>
          </cell>
          <cell r="LD17">
            <v>0</v>
          </cell>
          <cell r="LE17">
            <v>0.53684966000000001</v>
          </cell>
          <cell r="LF17">
            <v>0.31780057</v>
          </cell>
          <cell r="LG17">
            <v>16.849096190000001</v>
          </cell>
          <cell r="LH17">
            <v>5.0479519500000007</v>
          </cell>
          <cell r="LI17">
            <v>1.70874E-3</v>
          </cell>
          <cell r="LJ17">
            <v>1.0605E-3</v>
          </cell>
          <cell r="LK17">
            <v>4.9183094000000001</v>
          </cell>
          <cell r="LL17">
            <v>4.3728954700000005</v>
          </cell>
          <cell r="LM17">
            <v>1.5264205999999998</v>
          </cell>
          <cell r="LN17">
            <v>0.94162791000000001</v>
          </cell>
          <cell r="LO17">
            <v>6.8142793199999998</v>
          </cell>
          <cell r="LQ17">
            <v>2758.4399075499996</v>
          </cell>
          <cell r="LR17">
            <v>0.91484198000000005</v>
          </cell>
          <cell r="LS17">
            <v>22.990709609999996</v>
          </cell>
          <cell r="LT17">
            <v>20.889048800000001</v>
          </cell>
          <cell r="LU17">
            <v>22.145507129999999</v>
          </cell>
          <cell r="LV17">
            <v>9.2101144399999999</v>
          </cell>
          <cell r="LW17">
            <v>0.76429720999999995</v>
          </cell>
          <cell r="LX17">
            <v>0.85465023000000007</v>
          </cell>
          <cell r="LZ17">
            <v>16.059999999999999</v>
          </cell>
          <cell r="MA17">
            <v>17.239999999999998</v>
          </cell>
          <cell r="MH17">
            <v>33.96</v>
          </cell>
          <cell r="MI17">
            <v>10.14</v>
          </cell>
          <cell r="MJ17">
            <v>11.67</v>
          </cell>
          <cell r="ML17">
            <v>15.37</v>
          </cell>
          <cell r="MM17">
            <v>26.68</v>
          </cell>
          <cell r="MO17">
            <v>22.23</v>
          </cell>
          <cell r="MP17">
            <v>27.95</v>
          </cell>
          <cell r="MQ17">
            <v>27.53</v>
          </cell>
          <cell r="MU17">
            <v>11.57</v>
          </cell>
          <cell r="MY17">
            <v>27.34</v>
          </cell>
          <cell r="MZ17">
            <v>77.7</v>
          </cell>
          <cell r="NA17">
            <v>33.68</v>
          </cell>
          <cell r="NB17">
            <v>108.56</v>
          </cell>
          <cell r="NC17">
            <v>16.84</v>
          </cell>
          <cell r="NE17">
            <v>88.81</v>
          </cell>
        </row>
        <row r="18">
          <cell r="A18">
            <v>42614</v>
          </cell>
          <cell r="B18">
            <v>9</v>
          </cell>
          <cell r="C18">
            <v>2016</v>
          </cell>
          <cell r="D18">
            <v>18</v>
          </cell>
          <cell r="E18">
            <v>42614</v>
          </cell>
          <cell r="F18">
            <v>15.299999999999999</v>
          </cell>
          <cell r="G18">
            <v>94.221508828250407</v>
          </cell>
          <cell r="H18">
            <v>7680</v>
          </cell>
          <cell r="I18">
            <v>105</v>
          </cell>
          <cell r="J18">
            <v>335</v>
          </cell>
          <cell r="K18">
            <v>3.4</v>
          </cell>
          <cell r="L18">
            <v>34.1</v>
          </cell>
          <cell r="N18">
            <v>1.4370000000000001</v>
          </cell>
          <cell r="O18">
            <v>1.2829999999999999</v>
          </cell>
          <cell r="P18">
            <v>20.807999999999996</v>
          </cell>
          <cell r="Q18">
            <v>355</v>
          </cell>
          <cell r="R18">
            <v>3550</v>
          </cell>
          <cell r="S18">
            <v>122.27272727272727</v>
          </cell>
          <cell r="T18">
            <v>341.70454545454544</v>
          </cell>
          <cell r="U18">
            <v>146.0090909090909</v>
          </cell>
          <cell r="V18">
            <v>254.70454545454547</v>
          </cell>
          <cell r="W18">
            <v>130.90909090909091</v>
          </cell>
          <cell r="X18">
            <v>145.56818181818181</v>
          </cell>
          <cell r="Y18">
            <v>1870.772727272727</v>
          </cell>
          <cell r="Z18">
            <v>5228.079545454545</v>
          </cell>
          <cell r="AA18">
            <v>2233.9390909090907</v>
          </cell>
          <cell r="AB18">
            <v>3896.9795454545456</v>
          </cell>
          <cell r="AC18">
            <v>2002.9090909090908</v>
          </cell>
          <cell r="AD18">
            <v>2227.1931818181815</v>
          </cell>
          <cell r="AE18">
            <v>2909.9788636363637</v>
          </cell>
          <cell r="AF18">
            <v>9780.9523809523816</v>
          </cell>
          <cell r="AG18">
            <v>4803</v>
          </cell>
          <cell r="AH18">
            <v>18031</v>
          </cell>
          <cell r="AI18">
            <v>8.5500000000000007</v>
          </cell>
          <cell r="AJ18">
            <v>3.66</v>
          </cell>
          <cell r="AK18">
            <v>3.66</v>
          </cell>
          <cell r="AL18">
            <v>2.8</v>
          </cell>
          <cell r="AM18">
            <v>5.7030000000000003</v>
          </cell>
          <cell r="AN18">
            <v>20.444444444444443</v>
          </cell>
          <cell r="AO18">
            <v>12.266666666666666</v>
          </cell>
          <cell r="AP18">
            <v>16.355555555555554</v>
          </cell>
          <cell r="AQ18">
            <v>8.65</v>
          </cell>
          <cell r="AR18">
            <v>6.57</v>
          </cell>
          <cell r="AS18">
            <v>4.5344444444444445</v>
          </cell>
          <cell r="AT18">
            <v>8.65</v>
          </cell>
          <cell r="AU18">
            <v>6.5848148148148153</v>
          </cell>
          <cell r="AV18">
            <v>5.62</v>
          </cell>
          <cell r="AW18">
            <v>7.8679999999999994</v>
          </cell>
          <cell r="AX18">
            <v>6.6</v>
          </cell>
          <cell r="AY18">
            <v>22.1</v>
          </cell>
          <cell r="AZ18">
            <v>6.43</v>
          </cell>
          <cell r="BA18">
            <v>16.900000000000002</v>
          </cell>
          <cell r="BB18">
            <v>13.0075</v>
          </cell>
          <cell r="BC18">
            <v>579</v>
          </cell>
          <cell r="BD18">
            <v>684</v>
          </cell>
          <cell r="BE18">
            <v>590</v>
          </cell>
          <cell r="BF18">
            <v>390</v>
          </cell>
          <cell r="BG18">
            <v>560.75</v>
          </cell>
          <cell r="BH18">
            <v>37.549999999999997</v>
          </cell>
          <cell r="BI18">
            <v>16.602</v>
          </cell>
          <cell r="BJ18">
            <v>54.152000000000001</v>
          </cell>
          <cell r="BK18">
            <v>31.193000000000001</v>
          </cell>
          <cell r="BL18">
            <v>31.452999999999999</v>
          </cell>
          <cell r="BM18">
            <v>31.323</v>
          </cell>
          <cell r="BN18">
            <v>4.3778385756368152</v>
          </cell>
          <cell r="BO18">
            <v>20.229545454545455</v>
          </cell>
          <cell r="BP18">
            <v>15.048333333333332</v>
          </cell>
          <cell r="BQ18">
            <v>19.711424242424243</v>
          </cell>
          <cell r="BR18">
            <v>15.97</v>
          </cell>
          <cell r="BS18">
            <v>80</v>
          </cell>
          <cell r="BT18">
            <v>47.57</v>
          </cell>
          <cell r="BU18">
            <v>1102.71</v>
          </cell>
          <cell r="BV18">
            <v>22.4</v>
          </cell>
          <cell r="BY18">
            <v>124.43153366356476</v>
          </cell>
          <cell r="BZ18">
            <v>121.54648793726071</v>
          </cell>
          <cell r="CA18">
            <v>117.81212365635479</v>
          </cell>
          <cell r="CB18">
            <v>128.12988474090002</v>
          </cell>
          <cell r="CC18">
            <v>120.26064945073776</v>
          </cell>
          <cell r="CD18">
            <v>123.22449391473289</v>
          </cell>
          <cell r="CE18">
            <v>116.75972270098774</v>
          </cell>
          <cell r="CF18">
            <v>122.69618543525984</v>
          </cell>
          <cell r="CG18">
            <v>121.48050998316216</v>
          </cell>
          <cell r="CH18">
            <v>133.22276135698772</v>
          </cell>
          <cell r="CI18">
            <v>129.08720876149613</v>
          </cell>
          <cell r="CJ18">
            <v>117.86614195151542</v>
          </cell>
          <cell r="CK18">
            <v>129.68820727357476</v>
          </cell>
          <cell r="CL18">
            <v>184.94667185382497</v>
          </cell>
          <cell r="CM18">
            <v>110.5530340243043</v>
          </cell>
          <cell r="CN18">
            <v>156.85970564713543</v>
          </cell>
          <cell r="CO18">
            <v>145.51190469970985</v>
          </cell>
          <cell r="CP18">
            <v>140.59072602582589</v>
          </cell>
          <cell r="CQ18">
            <v>113.30865409282862</v>
          </cell>
          <cell r="CR18">
            <v>113.30865409282862</v>
          </cell>
          <cell r="CS18">
            <v>113.30865409282862</v>
          </cell>
          <cell r="CT18">
            <v>109.18779760579346</v>
          </cell>
          <cell r="CU18">
            <v>112.4071267520639</v>
          </cell>
          <cell r="CV18">
            <v>109.52633057034018</v>
          </cell>
          <cell r="CW18">
            <v>109.52633057034018</v>
          </cell>
          <cell r="CX18">
            <v>110.48659596424808</v>
          </cell>
          <cell r="CY18">
            <v>107.50067506914618</v>
          </cell>
          <cell r="CZ18">
            <v>114.69731733717101</v>
          </cell>
          <cell r="DA18">
            <v>110.07363501892011</v>
          </cell>
          <cell r="DB18">
            <v>118.03862442712925</v>
          </cell>
          <cell r="DC18">
            <v>113.36888174876287</v>
          </cell>
          <cell r="DD18">
            <v>110.33254549311229</v>
          </cell>
          <cell r="DE18">
            <v>107.24133615376014</v>
          </cell>
          <cell r="DF18">
            <v>111.82843325511855</v>
          </cell>
          <cell r="DG18">
            <v>109.53488470443935</v>
          </cell>
          <cell r="DH18">
            <v>111.91314829516028</v>
          </cell>
          <cell r="DI18">
            <v>111.74617024064592</v>
          </cell>
          <cell r="DK18">
            <v>405500</v>
          </cell>
          <cell r="DL18" t="str">
            <v>2015-16</v>
          </cell>
          <cell r="DM18">
            <v>214570</v>
          </cell>
          <cell r="DN18" t="str">
            <v>2015-16</v>
          </cell>
          <cell r="DO18">
            <v>950000</v>
          </cell>
          <cell r="DP18" t="str">
            <v>2016-17</v>
          </cell>
          <cell r="DQ18">
            <v>1600000</v>
          </cell>
          <cell r="DR18" t="str">
            <v>2016-17</v>
          </cell>
          <cell r="DS18">
            <v>4500000</v>
          </cell>
          <cell r="DT18" t="str">
            <v>2016-17</v>
          </cell>
          <cell r="DU18">
            <v>20100000</v>
          </cell>
          <cell r="DV18" t="str">
            <v>2015-16</v>
          </cell>
          <cell r="DW18">
            <v>850000</v>
          </cell>
          <cell r="DX18" t="str">
            <v>2015-16</v>
          </cell>
          <cell r="DY18">
            <v>4300000</v>
          </cell>
          <cell r="DZ18" t="str">
            <v>2016-17</v>
          </cell>
          <cell r="EA18">
            <v>32300000</v>
          </cell>
          <cell r="EB18">
            <v>368438</v>
          </cell>
          <cell r="EC18" t="str">
            <v>2015-16</v>
          </cell>
          <cell r="ED18">
            <v>165327</v>
          </cell>
          <cell r="EE18">
            <v>2016</v>
          </cell>
          <cell r="EF18">
            <v>223944</v>
          </cell>
          <cell r="EG18">
            <v>2016</v>
          </cell>
          <cell r="EH18">
            <v>53117706</v>
          </cell>
          <cell r="EI18">
            <v>2016</v>
          </cell>
          <cell r="EJ18">
            <v>5119438</v>
          </cell>
          <cell r="EK18">
            <v>2016</v>
          </cell>
          <cell r="EL18">
            <v>14864321</v>
          </cell>
          <cell r="EM18">
            <v>2016</v>
          </cell>
          <cell r="EN18">
            <v>3499621</v>
          </cell>
          <cell r="EO18">
            <v>2016</v>
          </cell>
          <cell r="EP18">
            <v>6552</v>
          </cell>
          <cell r="EQ18">
            <v>3008956</v>
          </cell>
          <cell r="ER18">
            <v>32755</v>
          </cell>
          <cell r="ET18">
            <v>24000</v>
          </cell>
          <cell r="EU18">
            <v>16752</v>
          </cell>
          <cell r="EV18">
            <v>9500</v>
          </cell>
          <cell r="EW18">
            <v>17994</v>
          </cell>
          <cell r="EX18">
            <v>68246</v>
          </cell>
          <cell r="EY18">
            <v>19129</v>
          </cell>
          <cell r="EZ18">
            <v>75500</v>
          </cell>
          <cell r="FA18">
            <v>22169</v>
          </cell>
          <cell r="FB18">
            <v>20495</v>
          </cell>
          <cell r="FC18">
            <v>42664</v>
          </cell>
          <cell r="FD18">
            <v>43815</v>
          </cell>
          <cell r="FF18">
            <v>708196</v>
          </cell>
          <cell r="FG18" t="str">
            <v>2015-16</v>
          </cell>
          <cell r="FH18">
            <v>1404980</v>
          </cell>
          <cell r="FI18" t="str">
            <v>2015-16</v>
          </cell>
          <cell r="FJ18">
            <v>4300000</v>
          </cell>
          <cell r="FK18" t="str">
            <v>2015-16</v>
          </cell>
          <cell r="FL18">
            <v>2450000</v>
          </cell>
          <cell r="FM18" t="str">
            <v>2015-16</v>
          </cell>
          <cell r="FN18">
            <v>28000000</v>
          </cell>
          <cell r="FO18" t="str">
            <v>2015-16</v>
          </cell>
          <cell r="FP18">
            <v>56000000</v>
          </cell>
          <cell r="FQ18" t="str">
            <v>2015-16</v>
          </cell>
          <cell r="FR18">
            <v>3400000</v>
          </cell>
          <cell r="FS18" t="str">
            <v>2015-16</v>
          </cell>
          <cell r="FT18">
            <v>10300000</v>
          </cell>
          <cell r="FU18" t="str">
            <v>2015-16</v>
          </cell>
          <cell r="FV18">
            <v>104450000</v>
          </cell>
          <cell r="FW18">
            <v>1001113</v>
          </cell>
          <cell r="FX18" t="str">
            <v>2015-16</v>
          </cell>
          <cell r="FY18">
            <v>56209.703000000001</v>
          </cell>
          <cell r="GB18">
            <v>17584178</v>
          </cell>
          <cell r="GD18">
            <v>1678337</v>
          </cell>
          <cell r="GE18">
            <v>468278</v>
          </cell>
          <cell r="GF18">
            <v>1032446</v>
          </cell>
          <cell r="GG18">
            <v>102259</v>
          </cell>
          <cell r="GH18">
            <v>1602983</v>
          </cell>
          <cell r="GI18">
            <v>1302556</v>
          </cell>
          <cell r="GJ18">
            <v>600000</v>
          </cell>
          <cell r="GK18">
            <v>998555</v>
          </cell>
          <cell r="GL18">
            <v>302000</v>
          </cell>
          <cell r="GM18">
            <v>266553.90000000002</v>
          </cell>
          <cell r="GN18">
            <v>2167108.9</v>
          </cell>
          <cell r="GO18">
            <v>191984</v>
          </cell>
          <cell r="GP18">
            <v>68123</v>
          </cell>
          <cell r="GR18">
            <v>42700</v>
          </cell>
          <cell r="GS18">
            <v>42700</v>
          </cell>
          <cell r="GT18">
            <v>2430866</v>
          </cell>
          <cell r="GU18">
            <v>50951.583333333336</v>
          </cell>
          <cell r="GV18">
            <v>51463.083333333336</v>
          </cell>
          <cell r="GW18">
            <v>1228976</v>
          </cell>
          <cell r="GX18">
            <v>30955.772000000001</v>
          </cell>
          <cell r="GY18" t="str">
            <v>2015-2016</v>
          </cell>
          <cell r="GZ18">
            <v>93671</v>
          </cell>
          <cell r="HA18">
            <v>222000</v>
          </cell>
          <cell r="HD18">
            <v>42261</v>
          </cell>
          <cell r="HG18">
            <v>177000</v>
          </cell>
          <cell r="HM18">
            <v>0</v>
          </cell>
          <cell r="HO18">
            <v>907800000</v>
          </cell>
          <cell r="HU18">
            <v>650000</v>
          </cell>
          <cell r="HV18" t="str">
            <v>2015-16</v>
          </cell>
          <cell r="HW18">
            <v>2000000</v>
          </cell>
          <cell r="HX18" t="str">
            <v>2015-16</v>
          </cell>
          <cell r="HY18">
            <v>2950000</v>
          </cell>
          <cell r="HZ18" t="str">
            <v>2015-16</v>
          </cell>
          <cell r="IA18">
            <v>17210000</v>
          </cell>
          <cell r="IB18" t="str">
            <v>2015-16</v>
          </cell>
          <cell r="IC18">
            <v>50000000</v>
          </cell>
          <cell r="ID18" t="str">
            <v>2015-16</v>
          </cell>
          <cell r="IE18">
            <v>2600000</v>
          </cell>
          <cell r="IF18" t="str">
            <v>2015-16</v>
          </cell>
          <cell r="II18">
            <v>74760000</v>
          </cell>
          <cell r="IJ18">
            <v>1.6245896649969351</v>
          </cell>
          <cell r="IK18" t="str">
            <v>2015-16</v>
          </cell>
          <cell r="IL18">
            <v>45.81</v>
          </cell>
          <cell r="IM18">
            <v>56.989650219089739</v>
          </cell>
          <cell r="IN18">
            <v>201</v>
          </cell>
          <cell r="IO18">
            <v>12.932766000000001</v>
          </cell>
          <cell r="IP18">
            <v>5.7844457536132143</v>
          </cell>
          <cell r="IQ18">
            <v>21.6</v>
          </cell>
          <cell r="IR18">
            <v>2.2000000000000002</v>
          </cell>
          <cell r="IS18">
            <v>5.59</v>
          </cell>
          <cell r="IT18">
            <v>13.55</v>
          </cell>
          <cell r="IU18">
            <v>1.07</v>
          </cell>
          <cell r="IV18">
            <v>20.21</v>
          </cell>
          <cell r="IY18">
            <v>1.84</v>
          </cell>
          <cell r="IZ18">
            <v>0.3</v>
          </cell>
          <cell r="JF18">
            <v>12.897635900000008</v>
          </cell>
          <cell r="JG18">
            <v>25.81976504</v>
          </cell>
          <cell r="JH18">
            <v>62.957546209999997</v>
          </cell>
          <cell r="JI18">
            <v>22.774907360000004</v>
          </cell>
          <cell r="JJ18">
            <v>320.25150833999999</v>
          </cell>
          <cell r="JK18">
            <v>95.90551932999999</v>
          </cell>
          <cell r="JL18">
            <v>1489.3179960100001</v>
          </cell>
          <cell r="JM18">
            <v>4.3060927800000002</v>
          </cell>
          <cell r="JN18">
            <v>69.990103950000005</v>
          </cell>
          <cell r="JO18">
            <v>16.05658047</v>
          </cell>
          <cell r="JP18">
            <v>0</v>
          </cell>
          <cell r="JQ18">
            <v>0</v>
          </cell>
          <cell r="JR18">
            <v>0.77551345000000005</v>
          </cell>
          <cell r="JS18">
            <v>0</v>
          </cell>
          <cell r="JT18">
            <v>0</v>
          </cell>
          <cell r="JU18">
            <v>97.346977639999992</v>
          </cell>
          <cell r="JV18">
            <v>8.3928097400000006</v>
          </cell>
          <cell r="JW18">
            <v>8.2625836999999986</v>
          </cell>
          <cell r="JX18">
            <v>20.930221329999998</v>
          </cell>
          <cell r="JY18">
            <v>2.2570904999999999</v>
          </cell>
          <cell r="JZ18">
            <v>6.5142597899999997</v>
          </cell>
          <cell r="KA18">
            <v>0</v>
          </cell>
          <cell r="KB18">
            <v>18.637968239999999</v>
          </cell>
          <cell r="KC18">
            <v>72.301409059999997</v>
          </cell>
          <cell r="KD18">
            <v>8.5918402700000005</v>
          </cell>
          <cell r="KE18">
            <v>15.18001228</v>
          </cell>
          <cell r="KF18">
            <v>24.443235219999995</v>
          </cell>
          <cell r="KG18">
            <v>176.16495302000001</v>
          </cell>
          <cell r="KH18">
            <v>61.683697850000009</v>
          </cell>
          <cell r="KI18">
            <v>18.72168667</v>
          </cell>
          <cell r="KJ18">
            <v>1.45368557</v>
          </cell>
          <cell r="KK18">
            <v>10.442303449999999</v>
          </cell>
          <cell r="KL18">
            <v>0.70411953999999999</v>
          </cell>
          <cell r="KM18">
            <v>1.0691023600000003</v>
          </cell>
          <cell r="KN18">
            <v>0.14689251000000003</v>
          </cell>
          <cell r="KO18">
            <v>3.2665821099999999</v>
          </cell>
          <cell r="KP18">
            <v>8.4547900000000002E-3</v>
          </cell>
          <cell r="KQ18">
            <v>23.873226269999993</v>
          </cell>
          <cell r="KR18">
            <v>5.5819900000000002E-3</v>
          </cell>
          <cell r="KS18">
            <v>0.49466841</v>
          </cell>
          <cell r="KT18">
            <v>1.6369146899999998</v>
          </cell>
          <cell r="KU18">
            <v>0.24936710000000001</v>
          </cell>
          <cell r="KV18">
            <v>1.79199705</v>
          </cell>
          <cell r="KW18">
            <v>7.263555010000001</v>
          </cell>
          <cell r="KX18">
            <v>0</v>
          </cell>
          <cell r="KY18">
            <v>0.5340317</v>
          </cell>
          <cell r="KZ18">
            <v>1.6401748300000001</v>
          </cell>
          <cell r="LA18">
            <v>0.79242440999999997</v>
          </cell>
          <cell r="LB18">
            <v>4.3140129999999999E-2</v>
          </cell>
          <cell r="LC18">
            <v>8.5399130000000004E-2</v>
          </cell>
          <cell r="LD18">
            <v>1.332561E-2</v>
          </cell>
          <cell r="LE18">
            <v>0.28602490000000003</v>
          </cell>
          <cell r="LF18">
            <v>0.20994316000000002</v>
          </cell>
          <cell r="LG18">
            <v>14.957896009999997</v>
          </cell>
          <cell r="LH18">
            <v>4.8645266500000002</v>
          </cell>
          <cell r="LI18">
            <v>2.4977000000000002E-4</v>
          </cell>
          <cell r="LJ18">
            <v>0</v>
          </cell>
          <cell r="LK18">
            <v>1.6060336099999999</v>
          </cell>
          <cell r="LL18">
            <v>3.0840029400000004</v>
          </cell>
          <cell r="LM18">
            <v>2.8442604600000001</v>
          </cell>
          <cell r="LN18">
            <v>0.86970981000000003</v>
          </cell>
          <cell r="LO18">
            <v>9.3137944800000021</v>
          </cell>
          <cell r="LQ18">
            <v>1969.5981546500002</v>
          </cell>
          <cell r="LR18">
            <v>0.77551345000000005</v>
          </cell>
          <cell r="LS18">
            <v>16.655393439999997</v>
          </cell>
          <cell r="LT18">
            <v>8.7713502899999991</v>
          </cell>
          <cell r="LU18">
            <v>28.856053649999993</v>
          </cell>
          <cell r="LV18">
            <v>9.58958376</v>
          </cell>
          <cell r="LW18">
            <v>0.83556454000000002</v>
          </cell>
          <cell r="LX18">
            <v>0.50929367000000003</v>
          </cell>
          <cell r="LZ18">
            <v>16.399999999999999</v>
          </cell>
          <cell r="MA18">
            <v>18.18</v>
          </cell>
          <cell r="MH18">
            <v>34.29</v>
          </cell>
          <cell r="MI18">
            <v>10.47</v>
          </cell>
          <cell r="MJ18">
            <v>11.95</v>
          </cell>
          <cell r="ML18">
            <v>15.48</v>
          </cell>
          <cell r="MM18">
            <v>31.18</v>
          </cell>
          <cell r="MO18">
            <v>29.8</v>
          </cell>
          <cell r="MP18">
            <v>29.03</v>
          </cell>
          <cell r="MQ18">
            <v>28.53</v>
          </cell>
          <cell r="MU18">
            <v>11.71</v>
          </cell>
          <cell r="MY18">
            <v>27.73</v>
          </cell>
          <cell r="MZ18">
            <v>78.5</v>
          </cell>
          <cell r="NA18">
            <v>34.85</v>
          </cell>
          <cell r="NB18">
            <v>110.92</v>
          </cell>
          <cell r="NC18">
            <v>17.03</v>
          </cell>
          <cell r="NE18">
            <v>96.21</v>
          </cell>
        </row>
        <row r="19">
          <cell r="A19">
            <v>42644</v>
          </cell>
          <cell r="B19">
            <v>10</v>
          </cell>
          <cell r="C19">
            <v>2016</v>
          </cell>
          <cell r="D19">
            <v>19</v>
          </cell>
          <cell r="E19">
            <v>42644</v>
          </cell>
          <cell r="F19">
            <v>15.379999999999999</v>
          </cell>
          <cell r="G19">
            <v>96.749598715890855</v>
          </cell>
          <cell r="H19">
            <v>9216</v>
          </cell>
          <cell r="I19">
            <v>104</v>
          </cell>
          <cell r="J19">
            <v>335</v>
          </cell>
          <cell r="K19">
            <v>3.4</v>
          </cell>
          <cell r="L19">
            <v>33.700000000000003</v>
          </cell>
          <cell r="N19">
            <v>1.4550000000000001</v>
          </cell>
          <cell r="O19">
            <v>1.3009999999999999</v>
          </cell>
          <cell r="P19">
            <v>21.193640000000002</v>
          </cell>
          <cell r="Q19">
            <v>375</v>
          </cell>
          <cell r="R19">
            <v>3750</v>
          </cell>
          <cell r="S19">
            <v>123.6</v>
          </cell>
          <cell r="T19">
            <v>301.35000000000002</v>
          </cell>
          <cell r="U19">
            <v>148.87999999999997</v>
          </cell>
          <cell r="V19">
            <v>256.995</v>
          </cell>
          <cell r="W19">
            <v>134.85</v>
          </cell>
          <cell r="X19">
            <v>146.55000000000001</v>
          </cell>
          <cell r="Y19">
            <v>1900.9679999999998</v>
          </cell>
          <cell r="Z19">
            <v>4634.7629999999999</v>
          </cell>
          <cell r="AA19">
            <v>2289.7743999999993</v>
          </cell>
          <cell r="AB19">
            <v>3952.5830999999998</v>
          </cell>
          <cell r="AC19">
            <v>2073.9929999999999</v>
          </cell>
          <cell r="AD19">
            <v>2253.9389999999999</v>
          </cell>
          <cell r="AE19">
            <v>2851.0034166666669</v>
          </cell>
          <cell r="AF19">
            <v>10095.450000000001</v>
          </cell>
          <cell r="AG19">
            <v>5100</v>
          </cell>
          <cell r="AH19">
            <v>19200</v>
          </cell>
          <cell r="AI19">
            <v>9.65</v>
          </cell>
          <cell r="AJ19">
            <v>4.47</v>
          </cell>
          <cell r="AK19">
            <v>4.63</v>
          </cell>
          <cell r="AL19">
            <v>3.19</v>
          </cell>
          <cell r="AM19">
            <v>6.5872000000000002</v>
          </cell>
          <cell r="AN19">
            <v>19.50714285714286</v>
          </cell>
          <cell r="AO19">
            <v>11.704285714285716</v>
          </cell>
          <cell r="AP19">
            <v>15.605714285714289</v>
          </cell>
          <cell r="AQ19">
            <v>13.1</v>
          </cell>
          <cell r="AR19">
            <v>7.04</v>
          </cell>
          <cell r="AS19">
            <v>5.0049999999999999</v>
          </cell>
          <cell r="AT19">
            <v>13.1</v>
          </cell>
          <cell r="AU19">
            <v>8.3816666666666659</v>
          </cell>
          <cell r="AV19">
            <v>4.76</v>
          </cell>
          <cell r="AW19">
            <v>8.0919999999999987</v>
          </cell>
          <cell r="AX19">
            <v>3.97</v>
          </cell>
          <cell r="AY19">
            <v>11.1</v>
          </cell>
          <cell r="AZ19">
            <v>6.41</v>
          </cell>
          <cell r="BA19">
            <v>22.049999999999997</v>
          </cell>
          <cell r="BB19">
            <v>10.8825</v>
          </cell>
          <cell r="BC19">
            <v>579</v>
          </cell>
          <cell r="BD19">
            <v>684</v>
          </cell>
          <cell r="BE19">
            <v>590</v>
          </cell>
          <cell r="BF19">
            <v>390</v>
          </cell>
          <cell r="BG19">
            <v>560.75</v>
          </cell>
          <cell r="BH19">
            <v>37.549999999999997</v>
          </cell>
          <cell r="BI19">
            <v>16.602</v>
          </cell>
          <cell r="BJ19">
            <v>54.152000000000001</v>
          </cell>
          <cell r="BK19">
            <v>30.126999999999999</v>
          </cell>
          <cell r="BL19">
            <v>30.126999999999999</v>
          </cell>
          <cell r="BM19">
            <v>30.126999999999999</v>
          </cell>
          <cell r="BN19">
            <v>4.4279999999999999</v>
          </cell>
          <cell r="BO19">
            <v>22.362499999999997</v>
          </cell>
          <cell r="BP19">
            <v>12.254</v>
          </cell>
          <cell r="BQ19">
            <v>21.351649999999999</v>
          </cell>
          <cell r="BR19">
            <v>17.149999999999999</v>
          </cell>
          <cell r="BS19">
            <v>80</v>
          </cell>
          <cell r="BT19">
            <v>44.25</v>
          </cell>
          <cell r="BU19">
            <v>1092.75</v>
          </cell>
          <cell r="BV19">
            <v>23.5</v>
          </cell>
          <cell r="BY19">
            <v>128.38841702104631</v>
          </cell>
          <cell r="BZ19">
            <v>122.14934502783119</v>
          </cell>
          <cell r="CA19">
            <v>118.70074544233302</v>
          </cell>
          <cell r="CB19">
            <v>124.38181527780547</v>
          </cell>
          <cell r="CC19">
            <v>121.44741812556823</v>
          </cell>
          <cell r="CD19">
            <v>124.35161848037922</v>
          </cell>
          <cell r="CE19">
            <v>118.08094976686667</v>
          </cell>
          <cell r="CF19">
            <v>123.5281088203038</v>
          </cell>
          <cell r="CG19">
            <v>121.74844265220941</v>
          </cell>
          <cell r="CH19">
            <v>135.53791371666262</v>
          </cell>
          <cell r="CI19">
            <v>129.83571622938638</v>
          </cell>
          <cell r="CJ19">
            <v>128.90153734732303</v>
          </cell>
          <cell r="CK19">
            <v>121.49811892202594</v>
          </cell>
          <cell r="CL19">
            <v>145.09219089413867</v>
          </cell>
          <cell r="CM19">
            <v>117.68248268488266</v>
          </cell>
          <cell r="CN19">
            <v>185.65021986228589</v>
          </cell>
          <cell r="CO19">
            <v>142.48075309083328</v>
          </cell>
          <cell r="CP19">
            <v>154.61829703412511</v>
          </cell>
          <cell r="CQ19">
            <v>121.63248405590448</v>
          </cell>
          <cell r="CR19">
            <v>121.63248405590448</v>
          </cell>
          <cell r="CS19">
            <v>121.63248405590448</v>
          </cell>
          <cell r="CT19">
            <v>122.25573607425278</v>
          </cell>
          <cell r="CU19">
            <v>119.83889065809628</v>
          </cell>
          <cell r="CV19">
            <v>116.94772882201836</v>
          </cell>
          <cell r="CW19">
            <v>116.94772882201836</v>
          </cell>
          <cell r="CX19">
            <v>117.91144943404434</v>
          </cell>
          <cell r="CY19">
            <v>121.60259984383374</v>
          </cell>
          <cell r="CZ19">
            <v>127.71917079938773</v>
          </cell>
          <cell r="DA19">
            <v>123.20710048225432</v>
          </cell>
          <cell r="DB19">
            <v>125.10539861132123</v>
          </cell>
          <cell r="DC19">
            <v>117.38299215349967</v>
          </cell>
          <cell r="DD19">
            <v>115.27741169489727</v>
          </cell>
          <cell r="DE19">
            <v>113.09693193447607</v>
          </cell>
          <cell r="DF19">
            <v>114.39246474540283</v>
          </cell>
          <cell r="DG19">
            <v>113.74469833993945</v>
          </cell>
          <cell r="DH19">
            <v>122.56269793411576</v>
          </cell>
          <cell r="DI19">
            <v>124.45731802274193</v>
          </cell>
          <cell r="DK19">
            <v>258900</v>
          </cell>
          <cell r="DL19" t="str">
            <v>2016-17</v>
          </cell>
          <cell r="DM19">
            <v>214570</v>
          </cell>
          <cell r="DN19" t="str">
            <v>2015-16</v>
          </cell>
          <cell r="DO19">
            <v>950000</v>
          </cell>
          <cell r="DP19" t="str">
            <v>2016-17</v>
          </cell>
          <cell r="DQ19">
            <v>1700000</v>
          </cell>
          <cell r="DR19" t="str">
            <v>2016-17</v>
          </cell>
          <cell r="DS19">
            <v>4900000</v>
          </cell>
          <cell r="DT19" t="str">
            <v>2016-17</v>
          </cell>
          <cell r="DU19">
            <v>20100000</v>
          </cell>
          <cell r="DV19" t="str">
            <v>2015-16</v>
          </cell>
          <cell r="DW19">
            <v>850000</v>
          </cell>
          <cell r="DX19" t="str">
            <v>2015-16</v>
          </cell>
          <cell r="DY19">
            <v>4300000</v>
          </cell>
          <cell r="DZ19" t="str">
            <v>2016-17</v>
          </cell>
          <cell r="EA19">
            <v>32800000</v>
          </cell>
          <cell r="EB19">
            <v>368438</v>
          </cell>
          <cell r="EC19" t="str">
            <v>2015-16</v>
          </cell>
          <cell r="ED19">
            <v>165327</v>
          </cell>
          <cell r="EE19">
            <v>2016</v>
          </cell>
          <cell r="EF19">
            <v>223944</v>
          </cell>
          <cell r="EG19">
            <v>2016</v>
          </cell>
          <cell r="EH19">
            <v>53117706</v>
          </cell>
          <cell r="EI19">
            <v>2016</v>
          </cell>
          <cell r="EJ19">
            <v>5119438</v>
          </cell>
          <cell r="EK19">
            <v>2016</v>
          </cell>
          <cell r="EL19">
            <v>14864321</v>
          </cell>
          <cell r="EM19">
            <v>2016</v>
          </cell>
          <cell r="EN19">
            <v>3499621</v>
          </cell>
          <cell r="EO19">
            <v>2016</v>
          </cell>
          <cell r="EP19">
            <v>6552</v>
          </cell>
          <cell r="EQ19">
            <v>3008956</v>
          </cell>
          <cell r="ER19">
            <v>32755</v>
          </cell>
          <cell r="ET19">
            <v>24000</v>
          </cell>
          <cell r="EU19">
            <v>16752</v>
          </cell>
          <cell r="EV19">
            <v>9500</v>
          </cell>
          <cell r="EW19">
            <v>17994</v>
          </cell>
          <cell r="EX19">
            <v>68246</v>
          </cell>
          <cell r="EY19">
            <v>19129</v>
          </cell>
          <cell r="EZ19">
            <v>75500</v>
          </cell>
          <cell r="FA19">
            <v>22169</v>
          </cell>
          <cell r="FB19">
            <v>20495</v>
          </cell>
          <cell r="FC19">
            <v>42664</v>
          </cell>
          <cell r="FD19">
            <v>43815</v>
          </cell>
          <cell r="FF19">
            <v>708196</v>
          </cell>
          <cell r="FG19" t="str">
            <v>2015-16</v>
          </cell>
          <cell r="FH19">
            <v>1404980</v>
          </cell>
          <cell r="FI19" t="str">
            <v>2015-16</v>
          </cell>
          <cell r="FJ19">
            <v>4300000</v>
          </cell>
          <cell r="FK19" t="str">
            <v>2015-16</v>
          </cell>
          <cell r="FL19">
            <v>2450000</v>
          </cell>
          <cell r="FM19" t="str">
            <v>2015-16</v>
          </cell>
          <cell r="FN19">
            <v>28000000</v>
          </cell>
          <cell r="FO19" t="str">
            <v>2015-16</v>
          </cell>
          <cell r="FP19">
            <v>56000000</v>
          </cell>
          <cell r="FQ19" t="str">
            <v>2015-16</v>
          </cell>
          <cell r="FR19">
            <v>3400000</v>
          </cell>
          <cell r="FS19" t="str">
            <v>2015-16</v>
          </cell>
          <cell r="FT19">
            <v>12500000</v>
          </cell>
          <cell r="FU19" t="str">
            <v>2016-17</v>
          </cell>
          <cell r="FV19">
            <v>106650000</v>
          </cell>
          <cell r="FW19">
            <v>1001113</v>
          </cell>
          <cell r="FX19" t="str">
            <v>2015-16</v>
          </cell>
          <cell r="FY19">
            <v>0</v>
          </cell>
          <cell r="GB19">
            <v>17584178</v>
          </cell>
          <cell r="GD19">
            <v>1678337</v>
          </cell>
          <cell r="GE19">
            <v>468278</v>
          </cell>
          <cell r="GF19">
            <v>1032446</v>
          </cell>
          <cell r="GG19">
            <v>102259</v>
          </cell>
          <cell r="GH19">
            <v>1602983</v>
          </cell>
          <cell r="GI19">
            <v>1302556</v>
          </cell>
          <cell r="GJ19">
            <v>600000</v>
          </cell>
          <cell r="GK19">
            <v>998555</v>
          </cell>
          <cell r="GL19">
            <v>302000</v>
          </cell>
          <cell r="GM19">
            <v>266553.90000000002</v>
          </cell>
          <cell r="GN19">
            <v>2167108.9</v>
          </cell>
          <cell r="GO19">
            <v>191984</v>
          </cell>
          <cell r="GP19">
            <v>68123</v>
          </cell>
          <cell r="GR19">
            <v>42700</v>
          </cell>
          <cell r="GS19">
            <v>42700</v>
          </cell>
          <cell r="GT19">
            <v>2430866</v>
          </cell>
          <cell r="GU19">
            <v>50951.583333333336</v>
          </cell>
          <cell r="GV19">
            <v>51463.083333333336</v>
          </cell>
          <cell r="GW19">
            <v>1228976</v>
          </cell>
          <cell r="GX19">
            <v>30955.772000000001</v>
          </cell>
          <cell r="GY19" t="str">
            <v>2015-2016</v>
          </cell>
          <cell r="GZ19">
            <v>93671</v>
          </cell>
          <cell r="HA19">
            <v>220000</v>
          </cell>
          <cell r="HD19">
            <v>44760</v>
          </cell>
          <cell r="HG19">
            <v>169000</v>
          </cell>
          <cell r="HM19">
            <v>0</v>
          </cell>
          <cell r="HO19">
            <v>890700000</v>
          </cell>
          <cell r="HU19">
            <v>650000</v>
          </cell>
          <cell r="HV19" t="str">
            <v>2015-16</v>
          </cell>
          <cell r="HW19">
            <v>2000000</v>
          </cell>
          <cell r="HX19" t="str">
            <v>2015-16</v>
          </cell>
          <cell r="HY19">
            <v>2950000</v>
          </cell>
          <cell r="HZ19" t="str">
            <v>2015-16</v>
          </cell>
          <cell r="IA19">
            <v>17210000</v>
          </cell>
          <cell r="IB19" t="str">
            <v>2015-16</v>
          </cell>
          <cell r="IC19">
            <v>50000000</v>
          </cell>
          <cell r="ID19" t="str">
            <v>2015-16</v>
          </cell>
          <cell r="IE19">
            <v>2600000</v>
          </cell>
          <cell r="IF19" t="str">
            <v>2015-16</v>
          </cell>
          <cell r="II19">
            <v>74760000</v>
          </cell>
          <cell r="IJ19">
            <v>1.6245896649969351</v>
          </cell>
          <cell r="IK19" t="str">
            <v>2015-16</v>
          </cell>
          <cell r="IL19">
            <v>41.82</v>
          </cell>
          <cell r="IM19">
            <v>55.078685567228334</v>
          </cell>
          <cell r="IN19">
            <v>201</v>
          </cell>
          <cell r="IO19">
            <v>13.269410000000001</v>
          </cell>
          <cell r="IP19">
            <v>5.7844457536132143</v>
          </cell>
          <cell r="IQ19">
            <v>21.6</v>
          </cell>
          <cell r="IR19">
            <v>2.2000000000000002</v>
          </cell>
          <cell r="IS19">
            <v>5.59</v>
          </cell>
          <cell r="IT19">
            <v>13.55</v>
          </cell>
          <cell r="IU19">
            <v>1.07</v>
          </cell>
          <cell r="IV19">
            <v>20.21</v>
          </cell>
          <cell r="IY19">
            <v>1.84</v>
          </cell>
          <cell r="IZ19">
            <v>0.3</v>
          </cell>
          <cell r="JF19">
            <v>10.955279709999999</v>
          </cell>
          <cell r="JG19">
            <v>13.117660049999998</v>
          </cell>
          <cell r="JH19">
            <v>60.277919120000007</v>
          </cell>
          <cell r="JI19">
            <v>28.390029759999997</v>
          </cell>
          <cell r="JJ19">
            <v>367.43866334000012</v>
          </cell>
          <cell r="JK19">
            <v>70.254680150000013</v>
          </cell>
          <cell r="JL19">
            <v>1253.7753296400001</v>
          </cell>
          <cell r="JM19">
            <v>15.66891341</v>
          </cell>
          <cell r="JN19">
            <v>94.060715399999992</v>
          </cell>
          <cell r="JO19">
            <v>16.364188690000002</v>
          </cell>
          <cell r="JP19">
            <v>0</v>
          </cell>
          <cell r="JQ19">
            <v>1.0236E-2</v>
          </cell>
          <cell r="JR19">
            <v>0.72403118999999994</v>
          </cell>
          <cell r="JS19">
            <v>0</v>
          </cell>
          <cell r="JT19">
            <v>0</v>
          </cell>
          <cell r="JU19">
            <v>96.88084960999997</v>
          </cell>
          <cell r="JV19">
            <v>7.6810594500000011</v>
          </cell>
          <cell r="JW19">
            <v>9.2262143300000012</v>
          </cell>
          <cell r="JX19">
            <v>14.35763933</v>
          </cell>
          <cell r="JY19">
            <v>2.7981200000000001E-2</v>
          </cell>
          <cell r="JZ19">
            <v>2.54387907</v>
          </cell>
          <cell r="KA19">
            <v>0.19295890000000004</v>
          </cell>
          <cell r="KB19">
            <v>15.759867850000003</v>
          </cell>
          <cell r="KC19">
            <v>34.977537919999996</v>
          </cell>
          <cell r="KD19">
            <v>7.1009944099999993</v>
          </cell>
          <cell r="KE19">
            <v>12.01698672</v>
          </cell>
          <cell r="KF19">
            <v>24.406656590000008</v>
          </cell>
          <cell r="KG19">
            <v>160.47666741</v>
          </cell>
          <cell r="KH19">
            <v>54.671006560000016</v>
          </cell>
          <cell r="KI19">
            <v>15.634993890000001</v>
          </cell>
          <cell r="KJ19">
            <v>1.3881327199999998</v>
          </cell>
          <cell r="KK19">
            <v>13.445452859999998</v>
          </cell>
          <cell r="KL19">
            <v>0.51595159999999995</v>
          </cell>
          <cell r="KM19">
            <v>1.6297512799999998</v>
          </cell>
          <cell r="KN19">
            <v>0.34383944</v>
          </cell>
          <cell r="KO19">
            <v>3.7039786799999996</v>
          </cell>
          <cell r="KP19">
            <v>2.8736400000000002E-3</v>
          </cell>
          <cell r="KQ19">
            <v>2.5709890399999997</v>
          </cell>
          <cell r="KR19">
            <v>4.7660460000000009E-2</v>
          </cell>
          <cell r="KS19">
            <v>0.6747455200000001</v>
          </cell>
          <cell r="KT19">
            <v>2.2971471600000002</v>
          </cell>
          <cell r="KU19">
            <v>0.33186988000000001</v>
          </cell>
          <cell r="KV19">
            <v>0.26877413</v>
          </cell>
          <cell r="KW19">
            <v>6.3968268699999999</v>
          </cell>
          <cell r="KX19">
            <v>0</v>
          </cell>
          <cell r="KY19">
            <v>1.4711272500000001</v>
          </cell>
          <cell r="KZ19">
            <v>1.3768411</v>
          </cell>
          <cell r="LA19">
            <v>1.41108338</v>
          </cell>
          <cell r="LB19">
            <v>2.18766E-2</v>
          </cell>
          <cell r="LC19">
            <v>0.43488147999999999</v>
          </cell>
          <cell r="LD19">
            <v>1.9331400000000002E-2</v>
          </cell>
          <cell r="LE19">
            <v>0.38881237000000002</v>
          </cell>
          <cell r="LF19">
            <v>0.34159837999999998</v>
          </cell>
          <cell r="LG19">
            <v>16.144664759999998</v>
          </cell>
          <cell r="LH19">
            <v>4.5330320899999998</v>
          </cell>
          <cell r="LI19">
            <v>4.201386E-2</v>
          </cell>
          <cell r="LJ19">
            <v>9.4208299999999998E-3</v>
          </cell>
          <cell r="LK19">
            <v>3.3032813500000007</v>
          </cell>
          <cell r="LL19">
            <v>3.5416454899999996</v>
          </cell>
          <cell r="LM19">
            <v>1.6385991200000001</v>
          </cell>
          <cell r="LN19">
            <v>0.31486102999999999</v>
          </cell>
          <cell r="LO19">
            <v>10.852215800000002</v>
          </cell>
          <cell r="LQ19">
            <v>1819.61157067</v>
          </cell>
          <cell r="LR19">
            <v>0.73426718999999996</v>
          </cell>
          <cell r="LS19">
            <v>16.907273780000004</v>
          </cell>
          <cell r="LT19">
            <v>2.76481917</v>
          </cell>
          <cell r="LU19">
            <v>8.9709644199999996</v>
          </cell>
          <cell r="LV19">
            <v>8.1367282499999991</v>
          </cell>
          <cell r="LW19">
            <v>1.4329599799999999</v>
          </cell>
          <cell r="LX19">
            <v>0.74974215</v>
          </cell>
          <cell r="LZ19">
            <v>16.440000000000001</v>
          </cell>
          <cell r="MA19">
            <v>18.489999999999998</v>
          </cell>
          <cell r="MH19">
            <v>33.94</v>
          </cell>
          <cell r="MI19">
            <v>10.42</v>
          </cell>
          <cell r="MJ19">
            <v>12.55</v>
          </cell>
          <cell r="ML19">
            <v>13.08</v>
          </cell>
          <cell r="MM19">
            <v>24.39</v>
          </cell>
          <cell r="MO19">
            <v>38.11</v>
          </cell>
          <cell r="MP19">
            <v>30.03</v>
          </cell>
          <cell r="MQ19">
            <v>31.41</v>
          </cell>
          <cell r="MU19">
            <v>11.7</v>
          </cell>
          <cell r="MY19">
            <v>28.13</v>
          </cell>
          <cell r="MZ19">
            <v>78.3</v>
          </cell>
          <cell r="NA19">
            <v>36.68</v>
          </cell>
          <cell r="NB19">
            <v>112.94</v>
          </cell>
          <cell r="NC19">
            <v>17.55</v>
          </cell>
          <cell r="NE19">
            <v>98.99</v>
          </cell>
        </row>
        <row r="20">
          <cell r="A20">
            <v>42675</v>
          </cell>
          <cell r="B20">
            <v>11</v>
          </cell>
          <cell r="C20">
            <v>2016</v>
          </cell>
          <cell r="D20">
            <v>20</v>
          </cell>
          <cell r="E20">
            <v>42675</v>
          </cell>
          <cell r="F20">
            <v>15.538095238095236</v>
          </cell>
          <cell r="G20">
            <v>98.394863563402893</v>
          </cell>
          <cell r="H20">
            <v>10368</v>
          </cell>
          <cell r="I20">
            <v>105</v>
          </cell>
          <cell r="J20">
            <v>335</v>
          </cell>
          <cell r="K20">
            <v>3.4</v>
          </cell>
          <cell r="L20">
            <v>33.9</v>
          </cell>
          <cell r="N20">
            <v>1.4550000000000001</v>
          </cell>
          <cell r="O20">
            <v>1.3009999999999999</v>
          </cell>
          <cell r="P20">
            <v>21.411495238095238</v>
          </cell>
          <cell r="Q20">
            <v>362.5</v>
          </cell>
          <cell r="R20">
            <v>3625</v>
          </cell>
          <cell r="S20">
            <v>129.23809523809524</v>
          </cell>
          <cell r="T20">
            <v>311.38095238095241</v>
          </cell>
          <cell r="U20">
            <v>148.23809523809527</v>
          </cell>
          <cell r="V20">
            <v>259.25714285714287</v>
          </cell>
          <cell r="W20">
            <v>133.97619047619048</v>
          </cell>
          <cell r="X20">
            <v>146</v>
          </cell>
          <cell r="Y20">
            <v>2008.1138321995463</v>
          </cell>
          <cell r="Z20">
            <v>4838.2668934240364</v>
          </cell>
          <cell r="AA20">
            <v>2303.3376417233562</v>
          </cell>
          <cell r="AB20">
            <v>4028.362176870748</v>
          </cell>
          <cell r="AC20">
            <v>2081.7348072562359</v>
          </cell>
          <cell r="AD20">
            <v>2268.5619047619043</v>
          </cell>
          <cell r="AE20">
            <v>2921.3962093726377</v>
          </cell>
          <cell r="AF20">
            <v>10221.25</v>
          </cell>
          <cell r="AG20">
            <v>5100</v>
          </cell>
          <cell r="AH20">
            <v>19200</v>
          </cell>
          <cell r="AI20">
            <v>10.81</v>
          </cell>
          <cell r="AJ20">
            <v>5.35</v>
          </cell>
          <cell r="AK20">
            <v>4.12</v>
          </cell>
          <cell r="AL20">
            <v>3.23</v>
          </cell>
          <cell r="AM20">
            <v>7.0330000000000013</v>
          </cell>
          <cell r="AN20">
            <v>21.633000000000003</v>
          </cell>
          <cell r="AO20">
            <v>12.979800000000001</v>
          </cell>
          <cell r="AP20">
            <v>17.306400000000004</v>
          </cell>
          <cell r="AQ20">
            <v>20.3</v>
          </cell>
          <cell r="AR20">
            <v>8.32</v>
          </cell>
          <cell r="AS20">
            <v>4.4260000000000002</v>
          </cell>
          <cell r="AT20">
            <v>20.3</v>
          </cell>
          <cell r="AU20">
            <v>11.015333333333333</v>
          </cell>
          <cell r="AV20">
            <v>4.09</v>
          </cell>
          <cell r="AW20">
            <v>8.9980000000000011</v>
          </cell>
          <cell r="AX20">
            <v>4.0199999999999996</v>
          </cell>
          <cell r="AY20">
            <v>11.9</v>
          </cell>
          <cell r="AZ20">
            <v>6.45</v>
          </cell>
          <cell r="BA20">
            <v>10.083333333333334</v>
          </cell>
          <cell r="BB20">
            <v>8.1133333333333333</v>
          </cell>
          <cell r="BC20">
            <v>588</v>
          </cell>
          <cell r="BD20">
            <v>684</v>
          </cell>
          <cell r="BE20">
            <v>590</v>
          </cell>
          <cell r="BF20">
            <v>390</v>
          </cell>
          <cell r="BG20">
            <v>563</v>
          </cell>
          <cell r="BH20">
            <v>37.549999999999997</v>
          </cell>
          <cell r="BI20">
            <v>10.766</v>
          </cell>
          <cell r="BJ20">
            <v>48.315999999999995</v>
          </cell>
          <cell r="BK20">
            <v>29.021000000000001</v>
          </cell>
          <cell r="BL20">
            <v>29.021000000000001</v>
          </cell>
          <cell r="BM20">
            <v>29.021000000000001</v>
          </cell>
          <cell r="BN20">
            <v>4.32</v>
          </cell>
          <cell r="BO20">
            <v>20.421428571428564</v>
          </cell>
          <cell r="BP20">
            <v>11.984499999999999</v>
          </cell>
          <cell r="BQ20">
            <v>19.577735714285708</v>
          </cell>
          <cell r="BR20">
            <v>18.07</v>
          </cell>
          <cell r="BS20">
            <v>70</v>
          </cell>
          <cell r="BT20">
            <v>42.59</v>
          </cell>
          <cell r="BU20">
            <v>967.77</v>
          </cell>
          <cell r="BV20">
            <v>23.5</v>
          </cell>
          <cell r="BY20">
            <v>131.85960477554985</v>
          </cell>
          <cell r="BZ20">
            <v>124.53749983454134</v>
          </cell>
          <cell r="CA20">
            <v>121.27979904765043</v>
          </cell>
          <cell r="CB20">
            <v>127.31408060241243</v>
          </cell>
          <cell r="CC20">
            <v>122.92836851657611</v>
          </cell>
          <cell r="CD20">
            <v>126.41485547096481</v>
          </cell>
          <cell r="CE20">
            <v>119.47076225090017</v>
          </cell>
          <cell r="CF20">
            <v>125.20167192695411</v>
          </cell>
          <cell r="CG20">
            <v>123.76825630257633</v>
          </cell>
          <cell r="CH20">
            <v>137.43063433234428</v>
          </cell>
          <cell r="CI20">
            <v>131.09363594937363</v>
          </cell>
          <cell r="CJ20">
            <v>140.08457825158703</v>
          </cell>
          <cell r="CK20">
            <v>125.93570094297112</v>
          </cell>
          <cell r="CL20">
            <v>152.35695302895428</v>
          </cell>
          <cell r="CM20">
            <v>123.88043723685709</v>
          </cell>
          <cell r="CN20">
            <v>147.11790454627516</v>
          </cell>
          <cell r="CO20">
            <v>137.32274893876439</v>
          </cell>
          <cell r="CP20">
            <v>164.56300118885861</v>
          </cell>
          <cell r="CQ20">
            <v>130.93035005015514</v>
          </cell>
          <cell r="CR20">
            <v>130.93035005015514</v>
          </cell>
          <cell r="CS20">
            <v>130.93035005015514</v>
          </cell>
          <cell r="CT20">
            <v>137.60980398179839</v>
          </cell>
          <cell r="CU20">
            <v>127.3412921810168</v>
          </cell>
          <cell r="CV20">
            <v>121.93077367103562</v>
          </cell>
          <cell r="CW20">
            <v>121.93077367103562</v>
          </cell>
          <cell r="CX20">
            <v>123.73427984102936</v>
          </cell>
          <cell r="CY20">
            <v>132.1844090708384</v>
          </cell>
          <cell r="CZ20">
            <v>138.55477751069435</v>
          </cell>
          <cell r="DA20">
            <v>133.00871103060277</v>
          </cell>
          <cell r="DB20">
            <v>130.61796361446119</v>
          </cell>
          <cell r="DC20">
            <v>119.72319846790522</v>
          </cell>
          <cell r="DD20">
            <v>118.47486967302407</v>
          </cell>
          <cell r="DE20">
            <v>116.54768423663873</v>
          </cell>
          <cell r="DF20">
            <v>116.23957651878732</v>
          </cell>
          <cell r="DG20">
            <v>116.39363037771302</v>
          </cell>
          <cell r="DH20">
            <v>130.67472249393069</v>
          </cell>
          <cell r="DI20">
            <v>132.02343169345789</v>
          </cell>
          <cell r="DK20">
            <v>258900</v>
          </cell>
          <cell r="DL20" t="str">
            <v>2016-17</v>
          </cell>
          <cell r="DM20">
            <v>214570</v>
          </cell>
          <cell r="DN20" t="str">
            <v>2015-16</v>
          </cell>
          <cell r="DO20">
            <v>950000</v>
          </cell>
          <cell r="DP20" t="str">
            <v>2016-17</v>
          </cell>
          <cell r="DQ20">
            <v>1700000</v>
          </cell>
          <cell r="DR20" t="str">
            <v>2016-17</v>
          </cell>
          <cell r="DS20">
            <v>4900000</v>
          </cell>
          <cell r="DT20" t="str">
            <v>2016-17</v>
          </cell>
          <cell r="DU20">
            <v>19600000</v>
          </cell>
          <cell r="DV20" t="str">
            <v>2016-17</v>
          </cell>
          <cell r="DW20">
            <v>850000</v>
          </cell>
          <cell r="DX20" t="str">
            <v>2015-16</v>
          </cell>
          <cell r="DY20">
            <v>4300000</v>
          </cell>
          <cell r="DZ20" t="str">
            <v>2016-17</v>
          </cell>
          <cell r="EA20">
            <v>32300000</v>
          </cell>
          <cell r="EB20">
            <v>368438</v>
          </cell>
          <cell r="EC20" t="str">
            <v>2015-16</v>
          </cell>
          <cell r="ED20">
            <v>165327</v>
          </cell>
          <cell r="EE20">
            <v>2016</v>
          </cell>
          <cell r="EF20">
            <v>223944</v>
          </cell>
          <cell r="EG20">
            <v>2016</v>
          </cell>
          <cell r="EH20">
            <v>53117706</v>
          </cell>
          <cell r="EI20">
            <v>2016</v>
          </cell>
          <cell r="EJ20">
            <v>5119438</v>
          </cell>
          <cell r="EK20">
            <v>2016</v>
          </cell>
          <cell r="EL20">
            <v>14864321</v>
          </cell>
          <cell r="EM20">
            <v>2016</v>
          </cell>
          <cell r="EN20">
            <v>3499621</v>
          </cell>
          <cell r="EO20">
            <v>2016</v>
          </cell>
          <cell r="EP20">
            <v>6552</v>
          </cell>
          <cell r="EQ20">
            <v>3008956</v>
          </cell>
          <cell r="ER20">
            <v>32755</v>
          </cell>
          <cell r="ET20">
            <v>24000</v>
          </cell>
          <cell r="EU20">
            <v>16752</v>
          </cell>
          <cell r="EV20">
            <v>9500</v>
          </cell>
          <cell r="EW20">
            <v>17994</v>
          </cell>
          <cell r="EX20">
            <v>68246</v>
          </cell>
          <cell r="EY20">
            <v>19129</v>
          </cell>
          <cell r="EZ20">
            <v>75500</v>
          </cell>
          <cell r="FA20">
            <v>22169</v>
          </cell>
          <cell r="FB20">
            <v>20495</v>
          </cell>
          <cell r="FC20">
            <v>42664</v>
          </cell>
          <cell r="FD20">
            <v>43815</v>
          </cell>
          <cell r="FF20">
            <v>708196</v>
          </cell>
          <cell r="FG20" t="str">
            <v>2015-16</v>
          </cell>
          <cell r="FH20">
            <v>1404980</v>
          </cell>
          <cell r="FI20" t="str">
            <v>2015-16</v>
          </cell>
          <cell r="FJ20">
            <v>3150000</v>
          </cell>
          <cell r="FK20" t="str">
            <v>2016-17</v>
          </cell>
          <cell r="FL20">
            <v>2450000</v>
          </cell>
          <cell r="FM20" t="str">
            <v>2015-16</v>
          </cell>
          <cell r="FN20">
            <v>28000000</v>
          </cell>
          <cell r="FO20" t="str">
            <v>2015-16</v>
          </cell>
          <cell r="FP20">
            <v>56000000</v>
          </cell>
          <cell r="FQ20" t="str">
            <v>2015-16</v>
          </cell>
          <cell r="FR20">
            <v>3400000</v>
          </cell>
          <cell r="FS20" t="str">
            <v>2015-16</v>
          </cell>
          <cell r="FT20">
            <v>12500000</v>
          </cell>
          <cell r="FU20" t="str">
            <v>2016-17</v>
          </cell>
          <cell r="FV20">
            <v>105500000</v>
          </cell>
          <cell r="FW20">
            <v>1001113</v>
          </cell>
          <cell r="FX20" t="str">
            <v>2015-16</v>
          </cell>
          <cell r="FY20">
            <v>0</v>
          </cell>
          <cell r="GB20">
            <v>17584178</v>
          </cell>
          <cell r="GD20">
            <v>1678337</v>
          </cell>
          <cell r="GE20">
            <v>468278</v>
          </cell>
          <cell r="GF20">
            <v>1032446</v>
          </cell>
          <cell r="GG20">
            <v>102259</v>
          </cell>
          <cell r="GH20">
            <v>1602983</v>
          </cell>
          <cell r="GI20">
            <v>1302556</v>
          </cell>
          <cell r="GJ20">
            <v>600000</v>
          </cell>
          <cell r="GK20">
            <v>998555</v>
          </cell>
          <cell r="GL20">
            <v>302000</v>
          </cell>
          <cell r="GM20">
            <v>266553.90000000002</v>
          </cell>
          <cell r="GN20">
            <v>2167108.9</v>
          </cell>
          <cell r="GO20">
            <v>191984</v>
          </cell>
          <cell r="GP20">
            <v>68123</v>
          </cell>
          <cell r="GR20">
            <v>42700</v>
          </cell>
          <cell r="GS20">
            <v>42700</v>
          </cell>
          <cell r="GT20">
            <v>2430866</v>
          </cell>
          <cell r="GU20">
            <v>50951.583333333336</v>
          </cell>
          <cell r="GV20">
            <v>51463.083333333336</v>
          </cell>
          <cell r="GW20">
            <v>1228976</v>
          </cell>
          <cell r="GX20">
            <v>30955.772000000001</v>
          </cell>
          <cell r="GY20" t="str">
            <v>2015-2016</v>
          </cell>
          <cell r="GZ20">
            <v>93671</v>
          </cell>
          <cell r="HA20">
            <v>233000</v>
          </cell>
          <cell r="HD20">
            <v>42913</v>
          </cell>
          <cell r="HG20">
            <v>178000</v>
          </cell>
          <cell r="HM20">
            <v>0</v>
          </cell>
          <cell r="HO20">
            <v>842300000</v>
          </cell>
          <cell r="HU20">
            <v>650000</v>
          </cell>
          <cell r="HV20" t="str">
            <v>2015-16</v>
          </cell>
          <cell r="HW20">
            <v>2000000</v>
          </cell>
          <cell r="HX20" t="str">
            <v>2015-16</v>
          </cell>
          <cell r="HY20">
            <v>2950000</v>
          </cell>
          <cell r="HZ20" t="str">
            <v>2015-16</v>
          </cell>
          <cell r="IA20">
            <v>17210000</v>
          </cell>
          <cell r="IB20" t="str">
            <v>2015-16</v>
          </cell>
          <cell r="IC20">
            <v>50000000</v>
          </cell>
          <cell r="ID20" t="str">
            <v>2015-16</v>
          </cell>
          <cell r="IE20">
            <v>2600000</v>
          </cell>
          <cell r="IF20" t="str">
            <v>2015-16</v>
          </cell>
          <cell r="II20">
            <v>74760000</v>
          </cell>
          <cell r="IJ20">
            <v>1.6245896649969351</v>
          </cell>
          <cell r="IK20" t="str">
            <v>2015-16</v>
          </cell>
          <cell r="IL20">
            <v>45.8</v>
          </cell>
          <cell r="IM20">
            <v>59.236279832121092</v>
          </cell>
          <cell r="IN20">
            <v>201</v>
          </cell>
          <cell r="IO20">
            <v>13.071420000000002</v>
          </cell>
          <cell r="IP20">
            <v>5.7844457536132143</v>
          </cell>
          <cell r="IQ20">
            <v>21.6</v>
          </cell>
          <cell r="IR20">
            <v>2.2000000000000002</v>
          </cell>
          <cell r="IS20">
            <v>5.59</v>
          </cell>
          <cell r="IT20">
            <v>13.55</v>
          </cell>
          <cell r="IU20">
            <v>1.07</v>
          </cell>
          <cell r="IV20">
            <v>20.21</v>
          </cell>
          <cell r="IY20">
            <v>1.84</v>
          </cell>
          <cell r="IZ20">
            <v>0.3</v>
          </cell>
          <cell r="JF20">
            <v>13.92869406</v>
          </cell>
          <cell r="JG20">
            <v>14.482482790000001</v>
          </cell>
          <cell r="JH20">
            <v>55.909430630000003</v>
          </cell>
          <cell r="JI20">
            <v>25.934342799999996</v>
          </cell>
          <cell r="JJ20">
            <v>336.42535503999989</v>
          </cell>
          <cell r="JK20">
            <v>83.930015260000005</v>
          </cell>
          <cell r="JL20">
            <v>1271.6937723600001</v>
          </cell>
          <cell r="JM20">
            <v>7.3038865299999998</v>
          </cell>
          <cell r="JN20">
            <v>118.71389377999999</v>
          </cell>
          <cell r="JO20">
            <v>16.557633799999998</v>
          </cell>
          <cell r="JP20">
            <v>0</v>
          </cell>
          <cell r="JQ20">
            <v>1.1375E-2</v>
          </cell>
          <cell r="JR20">
            <v>0.81940023999999989</v>
          </cell>
          <cell r="JS20">
            <v>0</v>
          </cell>
          <cell r="JT20">
            <v>1.916E-2</v>
          </cell>
          <cell r="JU20">
            <v>87.182268379999982</v>
          </cell>
          <cell r="JV20">
            <v>10.279674249999999</v>
          </cell>
          <cell r="JW20">
            <v>9.0876640999999978</v>
          </cell>
          <cell r="JX20">
            <v>15.21955099</v>
          </cell>
          <cell r="JY20">
            <v>1.282205E-2</v>
          </cell>
          <cell r="JZ20">
            <v>1.87762552</v>
          </cell>
          <cell r="KA20">
            <v>0.13377699999999998</v>
          </cell>
          <cell r="KB20">
            <v>14.856275649999999</v>
          </cell>
          <cell r="KC20">
            <v>43.513628579999988</v>
          </cell>
          <cell r="KD20">
            <v>12.392839620000002</v>
          </cell>
          <cell r="KE20">
            <v>13.509740819999998</v>
          </cell>
          <cell r="KF20">
            <v>25.564028680000007</v>
          </cell>
          <cell r="KG20">
            <v>191.13520986</v>
          </cell>
          <cell r="KH20">
            <v>62.809426980000005</v>
          </cell>
          <cell r="KI20">
            <v>22.45288025</v>
          </cell>
          <cell r="KJ20">
            <v>1.5553582799999999</v>
          </cell>
          <cell r="KK20">
            <v>6.5619682100000016</v>
          </cell>
          <cell r="KL20">
            <v>0.32785448</v>
          </cell>
          <cell r="KM20">
            <v>3.5702828899999997</v>
          </cell>
          <cell r="KN20">
            <v>2.5712659999999998E-2</v>
          </cell>
          <cell r="KO20">
            <v>2.1335667200000001</v>
          </cell>
          <cell r="KP20">
            <v>1.9690309999999999E-2</v>
          </cell>
          <cell r="KQ20">
            <v>42.634192399999989</v>
          </cell>
          <cell r="KR20">
            <v>4.3218099999999997E-3</v>
          </cell>
          <cell r="KS20">
            <v>0.23016665</v>
          </cell>
          <cell r="KT20">
            <v>2.5295605000000001</v>
          </cell>
          <cell r="KU20">
            <v>0.56767168999999995</v>
          </cell>
          <cell r="KV20">
            <v>0.17689452999999999</v>
          </cell>
          <cell r="KW20">
            <v>4.8352818300000004</v>
          </cell>
          <cell r="KX20">
            <v>0</v>
          </cell>
          <cell r="KY20">
            <v>0.54086543999999992</v>
          </cell>
          <cell r="KZ20">
            <v>2.0356377400000003</v>
          </cell>
          <cell r="LA20">
            <v>1.0838102199999999</v>
          </cell>
          <cell r="LB20">
            <v>0</v>
          </cell>
          <cell r="LC20">
            <v>0.9861083100000001</v>
          </cell>
          <cell r="LD20">
            <v>1.6604400000000002E-2</v>
          </cell>
          <cell r="LE20">
            <v>0.78872563000000007</v>
          </cell>
          <cell r="LF20">
            <v>0.69711998999999991</v>
          </cell>
          <cell r="LG20">
            <v>16.697153229999998</v>
          </cell>
          <cell r="LH20">
            <v>5.5210381099999992</v>
          </cell>
          <cell r="LI20">
            <v>0</v>
          </cell>
          <cell r="LJ20">
            <v>0</v>
          </cell>
          <cell r="LK20">
            <v>3.9218954099999999</v>
          </cell>
          <cell r="LL20">
            <v>2.7184676899999998</v>
          </cell>
          <cell r="LM20">
            <v>1.5439726300000001</v>
          </cell>
          <cell r="LN20">
            <v>0.17963393</v>
          </cell>
          <cell r="LO20">
            <v>11.833060620000003</v>
          </cell>
          <cell r="LQ20">
            <v>1815.9806811400001</v>
          </cell>
          <cell r="LR20">
            <v>0.84993523999999987</v>
          </cell>
          <cell r="LS20">
            <v>19.367338349999997</v>
          </cell>
          <cell r="LT20">
            <v>2.0242245699999999</v>
          </cell>
          <cell r="LU20">
            <v>48.598243129999993</v>
          </cell>
          <cell r="LV20">
            <v>5.5530418000000008</v>
          </cell>
          <cell r="LW20">
            <v>1.0838102199999999</v>
          </cell>
          <cell r="LX20">
            <v>1.5024500199999999</v>
          </cell>
          <cell r="LZ20">
            <v>16.649999999999999</v>
          </cell>
          <cell r="MA20">
            <v>18.940000000000001</v>
          </cell>
          <cell r="MH20">
            <v>33.96</v>
          </cell>
          <cell r="MI20">
            <v>10.39</v>
          </cell>
          <cell r="MJ20">
            <v>11.78</v>
          </cell>
          <cell r="ML20">
            <v>12.36</v>
          </cell>
          <cell r="MM20">
            <v>24.12</v>
          </cell>
          <cell r="MO20">
            <v>32.81</v>
          </cell>
          <cell r="MP20">
            <v>33.28</v>
          </cell>
          <cell r="MQ20">
            <v>34.909999999999997</v>
          </cell>
          <cell r="MU20">
            <v>11.72</v>
          </cell>
          <cell r="MY20">
            <v>28.43</v>
          </cell>
          <cell r="MZ20">
            <v>80</v>
          </cell>
          <cell r="NA20">
            <v>35.799999999999997</v>
          </cell>
          <cell r="NB20">
            <v>113.66</v>
          </cell>
          <cell r="NC20">
            <v>17.920000000000002</v>
          </cell>
          <cell r="NE20">
            <v>101</v>
          </cell>
        </row>
        <row r="21">
          <cell r="A21">
            <v>42705</v>
          </cell>
          <cell r="B21">
            <v>12</v>
          </cell>
          <cell r="C21">
            <v>2016</v>
          </cell>
          <cell r="D21">
            <v>21</v>
          </cell>
          <cell r="E21">
            <v>42705</v>
          </cell>
          <cell r="F21">
            <v>16.0275</v>
          </cell>
          <cell r="G21">
            <v>100</v>
          </cell>
          <cell r="H21">
            <v>10368</v>
          </cell>
          <cell r="I21">
            <v>100</v>
          </cell>
          <cell r="J21">
            <v>360</v>
          </cell>
          <cell r="K21">
            <v>3.4</v>
          </cell>
          <cell r="L21">
            <v>32.299999999999997</v>
          </cell>
          <cell r="N21">
            <v>1.4902</v>
          </cell>
          <cell r="O21">
            <v>1.3362000000000001</v>
          </cell>
          <cell r="P21">
            <v>22.650062999999999</v>
          </cell>
          <cell r="Q21">
            <v>350</v>
          </cell>
          <cell r="R21">
            <v>3500</v>
          </cell>
          <cell r="S21">
            <v>129.92307692307693</v>
          </cell>
          <cell r="T21">
            <v>291.23076923076923</v>
          </cell>
          <cell r="U21">
            <v>147.88</v>
          </cell>
          <cell r="V21">
            <v>262.14999999999998</v>
          </cell>
          <cell r="W21">
            <v>135.80769230769232</v>
          </cell>
          <cell r="X21">
            <v>143.65384615384616</v>
          </cell>
          <cell r="Y21">
            <v>2082.3421153846157</v>
          </cell>
          <cell r="Z21">
            <v>4667.7011538461538</v>
          </cell>
          <cell r="AA21">
            <v>2370.1466999999998</v>
          </cell>
          <cell r="AB21">
            <v>4201.6091249999999</v>
          </cell>
          <cell r="AC21">
            <v>2176.6577884615385</v>
          </cell>
          <cell r="AD21">
            <v>2302.4120192307691</v>
          </cell>
          <cell r="AE21">
            <v>2966.8114836538462</v>
          </cell>
          <cell r="AF21">
            <v>10524.75</v>
          </cell>
          <cell r="AG21">
            <v>5100</v>
          </cell>
          <cell r="AH21">
            <v>19200</v>
          </cell>
          <cell r="AI21">
            <v>12.3</v>
          </cell>
          <cell r="AJ21">
            <v>6.6</v>
          </cell>
          <cell r="AK21">
            <v>4.3499999999999996</v>
          </cell>
          <cell r="AL21">
            <v>3.87</v>
          </cell>
          <cell r="AM21">
            <v>7.9818000000000007</v>
          </cell>
          <cell r="AN21">
            <v>24.137499999999999</v>
          </cell>
          <cell r="AO21">
            <v>11.012631578947369</v>
          </cell>
          <cell r="AP21">
            <v>17.575065789473683</v>
          </cell>
          <cell r="AQ21">
            <v>23.5</v>
          </cell>
          <cell r="AR21">
            <v>7.1747368421052631</v>
          </cell>
          <cell r="AS21">
            <v>5.0600000000000005</v>
          </cell>
          <cell r="AT21">
            <v>17.161578947368419</v>
          </cell>
          <cell r="AU21">
            <v>9.7987719298245608</v>
          </cell>
          <cell r="AV21">
            <v>4.62</v>
          </cell>
          <cell r="AW21">
            <v>10.641578947368421</v>
          </cell>
          <cell r="AX21">
            <v>4.6100000000000003</v>
          </cell>
          <cell r="AY21">
            <v>9.6199999999999992</v>
          </cell>
          <cell r="AZ21">
            <v>6.59</v>
          </cell>
          <cell r="BA21">
            <v>5.666666666666667</v>
          </cell>
          <cell r="BB21">
            <v>6.621666666666667</v>
          </cell>
          <cell r="BC21">
            <v>588</v>
          </cell>
          <cell r="BD21">
            <v>684</v>
          </cell>
          <cell r="BE21">
            <v>590</v>
          </cell>
          <cell r="BF21">
            <v>390</v>
          </cell>
          <cell r="BG21">
            <v>563</v>
          </cell>
          <cell r="BH21">
            <v>37.549999999999997</v>
          </cell>
          <cell r="BI21">
            <v>10.766</v>
          </cell>
          <cell r="BJ21">
            <v>48.315999999999995</v>
          </cell>
          <cell r="BK21">
            <v>28.501000000000001</v>
          </cell>
          <cell r="BL21">
            <v>28.501000000000001</v>
          </cell>
          <cell r="BM21">
            <v>28.501000000000001</v>
          </cell>
          <cell r="BN21">
            <v>4.68</v>
          </cell>
          <cell r="BO21">
            <v>22.729999999999997</v>
          </cell>
          <cell r="BP21">
            <v>11.550000000000002</v>
          </cell>
          <cell r="BQ21">
            <v>21.611999999999998</v>
          </cell>
          <cell r="BR21">
            <v>18.52</v>
          </cell>
          <cell r="BS21">
            <v>68</v>
          </cell>
          <cell r="BT21">
            <v>41.47</v>
          </cell>
          <cell r="BU21">
            <v>940.41</v>
          </cell>
          <cell r="BV21">
            <v>23.8</v>
          </cell>
          <cell r="BY21">
            <v>135.84830717492028</v>
          </cell>
          <cell r="BZ21">
            <v>125.13455096231097</v>
          </cell>
          <cell r="CA21">
            <v>124.17104649055753</v>
          </cell>
          <cell r="CB21">
            <v>127.79734123350627</v>
          </cell>
          <cell r="CC21">
            <v>125.27131088677532</v>
          </cell>
          <cell r="CD21">
            <v>130.16977039021185</v>
          </cell>
          <cell r="CE21">
            <v>121.87609142193061</v>
          </cell>
          <cell r="CF21">
            <v>127.61738024277211</v>
          </cell>
          <cell r="CG21">
            <v>126.15049011095896</v>
          </cell>
          <cell r="CH21">
            <v>140.95321606592864</v>
          </cell>
          <cell r="CI21">
            <v>134.75482589967419</v>
          </cell>
          <cell r="CJ21">
            <v>146.01480775527685</v>
          </cell>
          <cell r="CK21">
            <v>129.81992797325597</v>
          </cell>
          <cell r="CL21">
            <v>144.56362590501587</v>
          </cell>
          <cell r="CM21">
            <v>124.71543405781469</v>
          </cell>
          <cell r="CN21">
            <v>130.61713411118154</v>
          </cell>
          <cell r="CO21">
            <v>132.42903051181702</v>
          </cell>
          <cell r="CP21">
            <v>170.49344888469363</v>
          </cell>
          <cell r="CQ21">
            <v>133.9082156263099</v>
          </cell>
          <cell r="CR21">
            <v>128.65618675108493</v>
          </cell>
          <cell r="CS21">
            <v>131.2822011886974</v>
          </cell>
          <cell r="CT21">
            <v>142.27145393973993</v>
          </cell>
          <cell r="CU21">
            <v>126.82963422341864</v>
          </cell>
          <cell r="CV21">
            <v>123.82852423584126</v>
          </cell>
          <cell r="CW21">
            <v>123.82852423584126</v>
          </cell>
          <cell r="CX21">
            <v>124.82889423170037</v>
          </cell>
          <cell r="CY21">
            <v>132.41767437746472</v>
          </cell>
          <cell r="CZ21">
            <v>138.74767320258306</v>
          </cell>
          <cell r="DA21">
            <v>133.61520337254541</v>
          </cell>
          <cell r="DB21">
            <v>131.67534076059442</v>
          </cell>
          <cell r="DC21">
            <v>122.14584227545072</v>
          </cell>
          <cell r="DD21">
            <v>120.49960786868952</v>
          </cell>
          <cell r="DE21">
            <v>118.76797474223797</v>
          </cell>
          <cell r="DF21">
            <v>118.4323660533467</v>
          </cell>
          <cell r="DG21">
            <v>118.60017039779234</v>
          </cell>
          <cell r="DH21">
            <v>131.48237208394923</v>
          </cell>
          <cell r="DI21">
            <v>131.97225034828207</v>
          </cell>
          <cell r="DK21">
            <v>258900</v>
          </cell>
          <cell r="DL21" t="str">
            <v>2016-17</v>
          </cell>
          <cell r="DM21">
            <v>214570</v>
          </cell>
          <cell r="DN21" t="str">
            <v>2015-16</v>
          </cell>
          <cell r="DO21">
            <v>950000</v>
          </cell>
          <cell r="DP21" t="str">
            <v>2016-17</v>
          </cell>
          <cell r="DQ21">
            <v>1700000</v>
          </cell>
          <cell r="DR21" t="str">
            <v>2016-17</v>
          </cell>
          <cell r="DS21">
            <v>4900000</v>
          </cell>
          <cell r="DT21" t="str">
            <v>2016-17</v>
          </cell>
          <cell r="DU21">
            <v>19600000</v>
          </cell>
          <cell r="DV21" t="str">
            <v>2016-17</v>
          </cell>
          <cell r="DW21">
            <v>800000</v>
          </cell>
          <cell r="DX21" t="str">
            <v>2016-17</v>
          </cell>
          <cell r="DY21">
            <v>4700000</v>
          </cell>
          <cell r="DZ21" t="str">
            <v>2016-17</v>
          </cell>
          <cell r="EA21">
            <v>32650000</v>
          </cell>
          <cell r="EB21">
            <v>368438</v>
          </cell>
          <cell r="EC21" t="str">
            <v>2015-16</v>
          </cell>
          <cell r="ED21">
            <v>165327</v>
          </cell>
          <cell r="EE21">
            <v>2016</v>
          </cell>
          <cell r="EF21">
            <v>223944</v>
          </cell>
          <cell r="EG21">
            <v>2016</v>
          </cell>
          <cell r="EH21">
            <v>53117706</v>
          </cell>
          <cell r="EI21">
            <v>2016</v>
          </cell>
          <cell r="EJ21">
            <v>5119438</v>
          </cell>
          <cell r="EK21">
            <v>2016</v>
          </cell>
          <cell r="EL21">
            <v>14864321</v>
          </cell>
          <cell r="EM21">
            <v>2016</v>
          </cell>
          <cell r="EN21">
            <v>3499621</v>
          </cell>
          <cell r="EO21">
            <v>2016</v>
          </cell>
          <cell r="EP21">
            <v>6552</v>
          </cell>
          <cell r="EQ21">
            <v>3008956</v>
          </cell>
          <cell r="ER21">
            <v>32755</v>
          </cell>
          <cell r="ET21">
            <v>24000</v>
          </cell>
          <cell r="EU21">
            <v>16752</v>
          </cell>
          <cell r="EV21">
            <v>9500</v>
          </cell>
          <cell r="EW21">
            <v>17994</v>
          </cell>
          <cell r="EX21">
            <v>68246</v>
          </cell>
          <cell r="EY21">
            <v>19129</v>
          </cell>
          <cell r="EZ21">
            <v>75500</v>
          </cell>
          <cell r="FA21">
            <v>22169</v>
          </cell>
          <cell r="FB21">
            <v>20495</v>
          </cell>
          <cell r="FC21">
            <v>42664</v>
          </cell>
          <cell r="FD21">
            <v>43815</v>
          </cell>
          <cell r="FF21">
            <v>708196</v>
          </cell>
          <cell r="FG21" t="str">
            <v>2015-16</v>
          </cell>
          <cell r="FH21">
            <v>1404980</v>
          </cell>
          <cell r="FI21" t="str">
            <v>2015-16</v>
          </cell>
          <cell r="FJ21">
            <v>3150000</v>
          </cell>
          <cell r="FK21" t="str">
            <v>2016-17</v>
          </cell>
          <cell r="FL21">
            <v>2450000</v>
          </cell>
          <cell r="FM21" t="str">
            <v>2015-16</v>
          </cell>
          <cell r="FN21">
            <v>28000000</v>
          </cell>
          <cell r="FO21" t="str">
            <v>2015-16</v>
          </cell>
          <cell r="FP21">
            <v>56000000</v>
          </cell>
          <cell r="FQ21" t="str">
            <v>2015-16</v>
          </cell>
          <cell r="FR21">
            <v>3400000</v>
          </cell>
          <cell r="FS21" t="str">
            <v>2015-16</v>
          </cell>
          <cell r="FT21">
            <v>15000000</v>
          </cell>
          <cell r="FU21" t="str">
            <v>2016-17</v>
          </cell>
          <cell r="FV21">
            <v>108000000</v>
          </cell>
          <cell r="FW21">
            <v>1001113</v>
          </cell>
          <cell r="FX21" t="str">
            <v>2015-16</v>
          </cell>
          <cell r="FY21">
            <v>16775.737000000001</v>
          </cell>
          <cell r="FZ21">
            <v>819883.84200000006</v>
          </cell>
          <cell r="GA21" t="str">
            <v>ene16 dic16</v>
          </cell>
          <cell r="GB21">
            <v>17584178</v>
          </cell>
          <cell r="GD21">
            <v>1678337</v>
          </cell>
          <cell r="GE21">
            <v>468278</v>
          </cell>
          <cell r="GF21">
            <v>1032446</v>
          </cell>
          <cell r="GG21">
            <v>102259</v>
          </cell>
          <cell r="GH21">
            <v>1602983</v>
          </cell>
          <cell r="GI21">
            <v>1302556</v>
          </cell>
          <cell r="GJ21">
            <v>600000</v>
          </cell>
          <cell r="GK21">
            <v>998555</v>
          </cell>
          <cell r="GL21">
            <v>302000</v>
          </cell>
          <cell r="GM21">
            <v>266553.90000000002</v>
          </cell>
          <cell r="GN21">
            <v>2167108.9</v>
          </cell>
          <cell r="GO21">
            <v>191984</v>
          </cell>
          <cell r="GP21">
            <v>68123</v>
          </cell>
          <cell r="GR21">
            <v>42700</v>
          </cell>
          <cell r="GS21">
            <v>42700</v>
          </cell>
          <cell r="GT21">
            <v>2430866</v>
          </cell>
          <cell r="GU21">
            <v>50951.583333333336</v>
          </cell>
          <cell r="GV21">
            <v>51463.083333333336</v>
          </cell>
          <cell r="GW21">
            <v>1228976</v>
          </cell>
          <cell r="GX21">
            <v>30955.772000000001</v>
          </cell>
          <cell r="GY21" t="str">
            <v>2015-2016</v>
          </cell>
          <cell r="GZ21">
            <v>93671</v>
          </cell>
          <cell r="HA21">
            <v>238000</v>
          </cell>
          <cell r="HB21">
            <v>2643000</v>
          </cell>
          <cell r="HC21" t="str">
            <v>ene16 dic16</v>
          </cell>
          <cell r="HD21">
            <v>45516</v>
          </cell>
          <cell r="HE21">
            <v>522429</v>
          </cell>
          <cell r="HF21" t="str">
            <v>ene16 dic16</v>
          </cell>
          <cell r="HG21">
            <v>181000</v>
          </cell>
          <cell r="HH21">
            <v>2055000</v>
          </cell>
          <cell r="HI21" t="str">
            <v>ene16 dic16</v>
          </cell>
          <cell r="HK21">
            <v>0</v>
          </cell>
          <cell r="HL21" t="str">
            <v>ene16 dic16</v>
          </cell>
          <cell r="HM21">
            <v>2055000</v>
          </cell>
          <cell r="HO21">
            <v>817400000</v>
          </cell>
          <cell r="HP21">
            <v>9895.2999999999993</v>
          </cell>
          <cell r="HQ21" t="str">
            <v>ene16 dic16</v>
          </cell>
          <cell r="HU21">
            <v>650000</v>
          </cell>
          <cell r="HV21" t="str">
            <v>2015-16</v>
          </cell>
          <cell r="HW21">
            <v>1430000</v>
          </cell>
          <cell r="HX21" t="str">
            <v>2016-17</v>
          </cell>
          <cell r="HY21">
            <v>2950000</v>
          </cell>
          <cell r="HZ21" t="str">
            <v>2015-16</v>
          </cell>
          <cell r="IA21">
            <v>17210000</v>
          </cell>
          <cell r="IB21" t="str">
            <v>2015-16</v>
          </cell>
          <cell r="IC21">
            <v>50000000</v>
          </cell>
          <cell r="ID21" t="str">
            <v>2015-16</v>
          </cell>
          <cell r="IE21">
            <v>2600000</v>
          </cell>
          <cell r="IF21" t="str">
            <v>2015-16</v>
          </cell>
          <cell r="IG21">
            <v>6760000</v>
          </cell>
          <cell r="IH21" t="str">
            <v>2016-17</v>
          </cell>
          <cell r="II21">
            <v>80950000</v>
          </cell>
          <cell r="IJ21">
            <v>1.6245896649969351</v>
          </cell>
          <cell r="IK21" t="str">
            <v>2015-16</v>
          </cell>
          <cell r="IL21">
            <v>45.84</v>
          </cell>
          <cell r="IM21">
            <v>59.236643107234173</v>
          </cell>
          <cell r="IN21">
            <v>201</v>
          </cell>
          <cell r="IO21">
            <v>12.789630000000001</v>
          </cell>
          <cell r="IP21">
            <v>5.7844457536132143</v>
          </cell>
          <cell r="IQ21">
            <v>21.6</v>
          </cell>
          <cell r="IR21">
            <v>2.2000000000000002</v>
          </cell>
          <cell r="IS21">
            <v>5.59</v>
          </cell>
          <cell r="IT21">
            <v>13.55</v>
          </cell>
          <cell r="IU21">
            <v>1.07</v>
          </cell>
          <cell r="IV21">
            <v>20.21</v>
          </cell>
          <cell r="IY21">
            <v>1.84</v>
          </cell>
          <cell r="IZ21">
            <v>0.3</v>
          </cell>
          <cell r="JF21">
            <v>8.6436185200000004</v>
          </cell>
          <cell r="JG21">
            <v>11.066291020000001</v>
          </cell>
          <cell r="JH21">
            <v>69.969966149999991</v>
          </cell>
          <cell r="JI21">
            <v>37.717108580000001</v>
          </cell>
          <cell r="JJ21">
            <v>193.68130302</v>
          </cell>
          <cell r="JK21">
            <v>74.145154619999985</v>
          </cell>
          <cell r="JL21">
            <v>1177.6609741499999</v>
          </cell>
          <cell r="JM21">
            <v>6.5900550000000004</v>
          </cell>
          <cell r="JN21">
            <v>298.96929868999996</v>
          </cell>
          <cell r="JO21">
            <v>14.746101749999999</v>
          </cell>
          <cell r="JP21">
            <v>0</v>
          </cell>
          <cell r="JQ21">
            <v>1.031E-2</v>
          </cell>
          <cell r="JR21">
            <v>0.56816865000000005</v>
          </cell>
          <cell r="JS21">
            <v>0</v>
          </cell>
          <cell r="JT21">
            <v>0.20140649999999999</v>
          </cell>
          <cell r="JU21">
            <v>82.228808700000002</v>
          </cell>
          <cell r="JV21">
            <v>4.8184264500000005</v>
          </cell>
          <cell r="JW21">
            <v>6.1716724999999997</v>
          </cell>
          <cell r="JX21">
            <v>11.998898630000001</v>
          </cell>
          <cell r="JY21">
            <v>1.1086E-2</v>
          </cell>
          <cell r="JZ21">
            <v>1.4278086099999998</v>
          </cell>
          <cell r="KA21">
            <v>0.50785550000000002</v>
          </cell>
          <cell r="KB21">
            <v>17.043782270000001</v>
          </cell>
          <cell r="KC21">
            <v>13.551598499999997</v>
          </cell>
          <cell r="KD21">
            <v>7.3901561499999993</v>
          </cell>
          <cell r="KE21">
            <v>11.046399530000002</v>
          </cell>
          <cell r="KF21">
            <v>21.865545049999998</v>
          </cell>
          <cell r="KG21">
            <v>161.99776546999999</v>
          </cell>
          <cell r="KH21">
            <v>70.701024720000007</v>
          </cell>
          <cell r="KI21">
            <v>23.548660869999999</v>
          </cell>
          <cell r="KJ21">
            <v>0.90138878</v>
          </cell>
          <cell r="KK21">
            <v>6.0508833399999986</v>
          </cell>
          <cell r="KL21">
            <v>0.39260181</v>
          </cell>
          <cell r="KM21">
            <v>4.5805968399999983</v>
          </cell>
          <cell r="KN21">
            <v>9.0498E-4</v>
          </cell>
          <cell r="KO21">
            <v>0.38473641999999991</v>
          </cell>
          <cell r="KP21">
            <v>1.8436149999999998E-2</v>
          </cell>
          <cell r="KQ21">
            <v>25.01631046</v>
          </cell>
          <cell r="KR21">
            <v>7.1298599999999991E-3</v>
          </cell>
          <cell r="KS21">
            <v>5.8215999999999997E-4</v>
          </cell>
          <cell r="KT21">
            <v>2.6613224100000004</v>
          </cell>
          <cell r="KU21">
            <v>0.58093064999999999</v>
          </cell>
          <cell r="KV21">
            <v>9.5369430000000005E-2</v>
          </cell>
          <cell r="KW21">
            <v>4.6587466199999987</v>
          </cell>
          <cell r="KX21">
            <v>0</v>
          </cell>
          <cell r="KY21">
            <v>0</v>
          </cell>
          <cell r="KZ21">
            <v>6.5724145400000005</v>
          </cell>
          <cell r="LA21">
            <v>1.0113420099999999</v>
          </cell>
          <cell r="LB21">
            <v>1.432685E-2</v>
          </cell>
          <cell r="LC21">
            <v>1.5408592000000001</v>
          </cell>
          <cell r="LD21">
            <v>6.4322480000000001E-2</v>
          </cell>
          <cell r="LE21">
            <v>0.55539150000000004</v>
          </cell>
          <cell r="LF21">
            <v>1.0526264400000001</v>
          </cell>
          <cell r="LG21">
            <v>16.457782509999998</v>
          </cell>
          <cell r="LH21">
            <v>4.3989212100000001</v>
          </cell>
          <cell r="LI21">
            <v>1.0831E-4</v>
          </cell>
          <cell r="LJ21">
            <v>0</v>
          </cell>
          <cell r="LK21">
            <v>2.24158736</v>
          </cell>
          <cell r="LL21">
            <v>4.0699535900000008</v>
          </cell>
          <cell r="LM21">
            <v>1.1570159600000001</v>
          </cell>
          <cell r="LN21">
            <v>0.55925333999999993</v>
          </cell>
          <cell r="LO21">
            <v>12.415889650000002</v>
          </cell>
          <cell r="LQ21">
            <v>1784.5887055899998</v>
          </cell>
          <cell r="LR21">
            <v>0.77988515000000014</v>
          </cell>
          <cell r="LS21">
            <v>10.99009895</v>
          </cell>
          <cell r="LT21">
            <v>1.9467501099999998</v>
          </cell>
          <cell r="LU21">
            <v>29.990260719999998</v>
          </cell>
          <cell r="LV21">
            <v>4.7541160499999986</v>
          </cell>
          <cell r="LW21">
            <v>1.0256688599999999</v>
          </cell>
          <cell r="LX21">
            <v>1.67234042</v>
          </cell>
          <cell r="LZ21">
            <v>17.03</v>
          </cell>
          <cell r="MA21">
            <v>19.46</v>
          </cell>
          <cell r="MH21">
            <v>34.28</v>
          </cell>
          <cell r="MI21">
            <v>10.36</v>
          </cell>
          <cell r="MJ21">
            <v>11.59</v>
          </cell>
          <cell r="ML21">
            <v>12.49</v>
          </cell>
          <cell r="MM21">
            <v>17.2</v>
          </cell>
          <cell r="MO21">
            <v>20.64</v>
          </cell>
          <cell r="MP21">
            <v>35.76</v>
          </cell>
          <cell r="MQ21">
            <v>38.31</v>
          </cell>
          <cell r="MU21">
            <v>11.79</v>
          </cell>
          <cell r="MY21">
            <v>28.49</v>
          </cell>
          <cell r="MZ21">
            <v>76.900000000000006</v>
          </cell>
          <cell r="NA21">
            <v>36.700000000000003</v>
          </cell>
          <cell r="NB21">
            <v>116.82</v>
          </cell>
          <cell r="NC21">
            <v>18.05</v>
          </cell>
          <cell r="NE21">
            <v>105.99</v>
          </cell>
        </row>
        <row r="22">
          <cell r="A22">
            <v>42736</v>
          </cell>
          <cell r="B22">
            <v>1</v>
          </cell>
          <cell r="C22">
            <v>2017</v>
          </cell>
          <cell r="D22">
            <v>22</v>
          </cell>
          <cell r="E22">
            <v>42736</v>
          </cell>
          <cell r="F22">
            <v>16.099999999999998</v>
          </cell>
          <cell r="G22">
            <v>101.6</v>
          </cell>
          <cell r="H22">
            <v>10368</v>
          </cell>
          <cell r="I22">
            <v>107</v>
          </cell>
          <cell r="J22">
            <v>395</v>
          </cell>
          <cell r="K22">
            <v>2.2999999999999998</v>
          </cell>
          <cell r="L22">
            <v>38.6</v>
          </cell>
          <cell r="N22">
            <v>1.534</v>
          </cell>
          <cell r="O22">
            <v>1.38</v>
          </cell>
          <cell r="P22">
            <v>23.457699999999996</v>
          </cell>
          <cell r="Q22">
            <v>365</v>
          </cell>
          <cell r="R22">
            <v>3650</v>
          </cell>
          <cell r="S22">
            <v>136.72727272727272</v>
          </cell>
          <cell r="T22">
            <v>293.04545454545456</v>
          </cell>
          <cell r="U22">
            <v>150.93181818181819</v>
          </cell>
          <cell r="V22">
            <v>267.09999999999997</v>
          </cell>
          <cell r="W22">
            <v>140.5</v>
          </cell>
          <cell r="X22">
            <v>163.02272727272728</v>
          </cell>
          <cell r="Y22">
            <v>2201.3090909090906</v>
          </cell>
          <cell r="Z22">
            <v>4718.0318181818175</v>
          </cell>
          <cell r="AA22">
            <v>2430.0022727272726</v>
          </cell>
          <cell r="AB22">
            <v>4300.3099999999986</v>
          </cell>
          <cell r="AC22">
            <v>2262.0499999999997</v>
          </cell>
          <cell r="AD22">
            <v>2624.6659090909088</v>
          </cell>
          <cell r="AE22">
            <v>3089.3948484848479</v>
          </cell>
          <cell r="AF22">
            <v>10571.142857142857</v>
          </cell>
          <cell r="AG22">
            <v>5100</v>
          </cell>
          <cell r="AH22">
            <v>19200</v>
          </cell>
          <cell r="AI22">
            <v>11.49</v>
          </cell>
          <cell r="AJ22">
            <v>6.56</v>
          </cell>
          <cell r="AK22">
            <v>4.3899999999999997</v>
          </cell>
          <cell r="AL22">
            <v>4.03</v>
          </cell>
          <cell r="AM22">
            <v>7.6564000000000005</v>
          </cell>
          <cell r="AN22">
            <v>25.490681818181805</v>
          </cell>
          <cell r="AO22">
            <v>13.114090909090908</v>
          </cell>
          <cell r="AP22">
            <v>19.302386363636359</v>
          </cell>
          <cell r="AQ22">
            <v>31.926818181818195</v>
          </cell>
          <cell r="AR22">
            <v>9.6806666666666672</v>
          </cell>
          <cell r="AS22">
            <v>5.6194029850746272</v>
          </cell>
          <cell r="AT22">
            <v>19.677727272727275</v>
          </cell>
          <cell r="AU22">
            <v>11.659265641489524</v>
          </cell>
          <cell r="AV22">
            <v>6.0056565656565661</v>
          </cell>
          <cell r="AW22">
            <v>10.574999999999999</v>
          </cell>
          <cell r="AX22">
            <v>5.128636363636363</v>
          </cell>
          <cell r="AY22">
            <v>9.9600000000000009</v>
          </cell>
          <cell r="AZ22">
            <v>7.3609090909090904</v>
          </cell>
          <cell r="BA22">
            <v>4.7284848484848485</v>
          </cell>
          <cell r="BB22">
            <v>6.7945075757575761</v>
          </cell>
          <cell r="BC22">
            <v>588</v>
          </cell>
          <cell r="BD22">
            <v>684</v>
          </cell>
          <cell r="BE22">
            <v>590</v>
          </cell>
          <cell r="BF22">
            <v>390</v>
          </cell>
          <cell r="BG22">
            <v>563</v>
          </cell>
          <cell r="BH22">
            <v>37.549999999999997</v>
          </cell>
          <cell r="BI22">
            <v>10.766</v>
          </cell>
          <cell r="BJ22">
            <v>48.315999999999995</v>
          </cell>
          <cell r="BK22">
            <v>27.983000000000001</v>
          </cell>
          <cell r="BL22">
            <v>27.983000000000001</v>
          </cell>
          <cell r="BM22">
            <v>27.983000000000001</v>
          </cell>
          <cell r="BN22">
            <v>4.91</v>
          </cell>
          <cell r="BO22">
            <v>19.438636363636359</v>
          </cell>
          <cell r="BP22">
            <v>11.137833333333333</v>
          </cell>
          <cell r="BQ22">
            <v>18.608556060606059</v>
          </cell>
          <cell r="BR22">
            <v>19.12</v>
          </cell>
          <cell r="BS22">
            <v>71</v>
          </cell>
          <cell r="BT22">
            <v>41.4</v>
          </cell>
          <cell r="BU22">
            <v>976.2</v>
          </cell>
          <cell r="BV22">
            <v>25.9</v>
          </cell>
          <cell r="BY22">
            <v>138.01090249498338</v>
          </cell>
          <cell r="BZ22">
            <v>130.98989649692641</v>
          </cell>
          <cell r="CA22">
            <v>129.2879161230116</v>
          </cell>
          <cell r="CB22">
            <v>133.54938499923767</v>
          </cell>
          <cell r="CC22">
            <v>132.06387556286359</v>
          </cell>
          <cell r="CD22">
            <v>134.51311607443645</v>
          </cell>
          <cell r="CE22">
            <v>129.72979344910129</v>
          </cell>
          <cell r="CF22">
            <v>135.01497084601317</v>
          </cell>
          <cell r="CG22">
            <v>132.35984284244395</v>
          </cell>
          <cell r="CH22">
            <v>143.86888881971021</v>
          </cell>
          <cell r="CI22">
            <v>140.58039883394579</v>
          </cell>
          <cell r="CJ22">
            <v>146.76884450160856</v>
          </cell>
          <cell r="CK22">
            <v>134.61902697256116</v>
          </cell>
          <cell r="CL22">
            <v>148.30289909634197</v>
          </cell>
          <cell r="CM22">
            <v>131.12159872647106</v>
          </cell>
          <cell r="CN22">
            <v>129.79618874390758</v>
          </cell>
          <cell r="CO22">
            <v>135.95992838482044</v>
          </cell>
          <cell r="CP22">
            <v>170.87243050180774</v>
          </cell>
          <cell r="CQ22">
            <v>136.02962150124648</v>
          </cell>
          <cell r="CR22">
            <v>132.72946925956199</v>
          </cell>
          <cell r="CS22">
            <v>134.37954538040424</v>
          </cell>
          <cell r="CT22">
            <v>154.54013589882649</v>
          </cell>
          <cell r="CU22">
            <v>131.85785071979822</v>
          </cell>
          <cell r="CV22">
            <v>126.19121270454824</v>
          </cell>
          <cell r="CW22">
            <v>126.19121270454824</v>
          </cell>
          <cell r="CX22">
            <v>128.08009204296491</v>
          </cell>
          <cell r="CY22">
            <v>134.1691947573041</v>
          </cell>
          <cell r="CZ22">
            <v>141.45967763628661</v>
          </cell>
          <cell r="DA22">
            <v>133.78415509161309</v>
          </cell>
          <cell r="DB22">
            <v>131.24448829112603</v>
          </cell>
          <cell r="DC22">
            <v>126.24793356157713</v>
          </cell>
          <cell r="DD22">
            <v>124.44127707165956</v>
          </cell>
          <cell r="DE22">
            <v>120.75717745309298</v>
          </cell>
          <cell r="DF22">
            <v>122.11306277171592</v>
          </cell>
          <cell r="DG22">
            <v>121.43512011240445</v>
          </cell>
          <cell r="DH22">
            <v>134.06497033625834</v>
          </cell>
          <cell r="DI22">
            <v>132.86622405187077</v>
          </cell>
          <cell r="DK22">
            <v>258900</v>
          </cell>
          <cell r="DL22" t="str">
            <v>2016-17</v>
          </cell>
          <cell r="DM22">
            <v>206500</v>
          </cell>
          <cell r="DN22" t="str">
            <v>2016-17</v>
          </cell>
          <cell r="DO22">
            <v>850000</v>
          </cell>
          <cell r="DP22" t="str">
            <v>2016-17</v>
          </cell>
          <cell r="DQ22">
            <v>1700000</v>
          </cell>
          <cell r="DR22" t="str">
            <v>2016-17</v>
          </cell>
          <cell r="DS22">
            <v>4900000</v>
          </cell>
          <cell r="DT22" t="str">
            <v>2016-17</v>
          </cell>
          <cell r="DU22">
            <v>19200000</v>
          </cell>
          <cell r="DV22" t="str">
            <v>2016-17</v>
          </cell>
          <cell r="DW22">
            <v>800000</v>
          </cell>
          <cell r="DX22" t="str">
            <v>2016-17</v>
          </cell>
          <cell r="DY22">
            <v>4700000</v>
          </cell>
          <cell r="DZ22" t="str">
            <v>2016-17</v>
          </cell>
          <cell r="EA22">
            <v>32150000</v>
          </cell>
          <cell r="EB22">
            <v>364191</v>
          </cell>
          <cell r="EC22" t="str">
            <v>2016-17</v>
          </cell>
          <cell r="ED22">
            <v>165327</v>
          </cell>
          <cell r="EE22">
            <v>2016</v>
          </cell>
          <cell r="EF22">
            <v>220848</v>
          </cell>
          <cell r="EG22">
            <v>2017</v>
          </cell>
          <cell r="EH22">
            <v>54163380</v>
          </cell>
          <cell r="EI22">
            <v>2017</v>
          </cell>
          <cell r="EJ22">
            <v>5119438</v>
          </cell>
          <cell r="EK22">
            <v>2016</v>
          </cell>
          <cell r="EL22">
            <v>14864321</v>
          </cell>
          <cell r="EM22">
            <v>2016</v>
          </cell>
          <cell r="EN22">
            <v>3499621</v>
          </cell>
          <cell r="EO22">
            <v>2016</v>
          </cell>
          <cell r="EP22">
            <v>6552</v>
          </cell>
          <cell r="EQ22">
            <v>3003036</v>
          </cell>
          <cell r="ER22">
            <v>33739</v>
          </cell>
          <cell r="ET22">
            <v>23614</v>
          </cell>
          <cell r="EU22">
            <v>16845</v>
          </cell>
          <cell r="EV22">
            <v>9213</v>
          </cell>
          <cell r="EW22">
            <v>17766</v>
          </cell>
          <cell r="EX22">
            <v>67438</v>
          </cell>
          <cell r="EY22">
            <v>19284</v>
          </cell>
          <cell r="EZ22">
            <v>74845</v>
          </cell>
          <cell r="FA22">
            <v>20879</v>
          </cell>
          <cell r="FB22">
            <v>19496</v>
          </cell>
          <cell r="FC22">
            <v>40375</v>
          </cell>
          <cell r="FD22">
            <v>65075.3</v>
          </cell>
          <cell r="FF22">
            <v>708196</v>
          </cell>
          <cell r="FG22" t="str">
            <v>2015-16</v>
          </cell>
          <cell r="FH22">
            <v>1404980</v>
          </cell>
          <cell r="FI22" t="str">
            <v>2015-16</v>
          </cell>
          <cell r="FJ22">
            <v>3000000</v>
          </cell>
          <cell r="FK22" t="str">
            <v>2016-17</v>
          </cell>
          <cell r="FL22">
            <v>3500000</v>
          </cell>
          <cell r="FM22" t="str">
            <v>2016-17</v>
          </cell>
          <cell r="FN22">
            <v>28000000</v>
          </cell>
          <cell r="FO22" t="str">
            <v>2015-16</v>
          </cell>
          <cell r="FP22">
            <v>53500000</v>
          </cell>
          <cell r="FQ22" t="str">
            <v>2016-17</v>
          </cell>
          <cell r="FR22">
            <v>3400000</v>
          </cell>
          <cell r="FS22" t="str">
            <v>2015-16</v>
          </cell>
          <cell r="FT22">
            <v>15000000</v>
          </cell>
          <cell r="FU22" t="str">
            <v>2016-17</v>
          </cell>
          <cell r="FV22">
            <v>106400000</v>
          </cell>
          <cell r="FW22">
            <v>1001113</v>
          </cell>
          <cell r="FX22" t="str">
            <v>2015-16</v>
          </cell>
          <cell r="FY22">
            <v>18576.164000000001</v>
          </cell>
          <cell r="FZ22">
            <v>816510.6669999999</v>
          </cell>
          <cell r="GA22" t="str">
            <v>feb16 ene17</v>
          </cell>
          <cell r="GB22">
            <v>19652055</v>
          </cell>
          <cell r="GD22">
            <v>1675851</v>
          </cell>
          <cell r="GE22">
            <v>459665</v>
          </cell>
          <cell r="GF22">
            <v>1024918</v>
          </cell>
          <cell r="GG22">
            <v>112337</v>
          </cell>
          <cell r="GH22">
            <v>1596920</v>
          </cell>
          <cell r="GI22">
            <v>1302556</v>
          </cell>
          <cell r="GJ22">
            <v>665408</v>
          </cell>
          <cell r="GK22">
            <v>660753</v>
          </cell>
          <cell r="GL22">
            <v>290290.46000000002</v>
          </cell>
          <cell r="GM22">
            <v>263224.75</v>
          </cell>
          <cell r="GN22">
            <v>1879676.21</v>
          </cell>
          <cell r="GO22">
            <v>193430</v>
          </cell>
          <cell r="GP22">
            <v>76379</v>
          </cell>
          <cell r="GR22">
            <v>42700</v>
          </cell>
          <cell r="GS22">
            <v>42700</v>
          </cell>
          <cell r="GT22">
            <v>2459310</v>
          </cell>
          <cell r="GU22">
            <v>29712</v>
          </cell>
          <cell r="GV22">
            <v>18856</v>
          </cell>
          <cell r="GW22">
            <v>1175129.3333333335</v>
          </cell>
          <cell r="GX22">
            <v>32330.198</v>
          </cell>
          <cell r="GY22" t="str">
            <v>2016-2017</v>
          </cell>
          <cell r="GZ22">
            <v>117154</v>
          </cell>
          <cell r="HA22">
            <v>235000</v>
          </cell>
          <cell r="HB22">
            <v>2663000</v>
          </cell>
          <cell r="HC22" t="str">
            <v>feb16 ene17</v>
          </cell>
          <cell r="HD22">
            <v>43316</v>
          </cell>
          <cell r="HE22">
            <v>526142</v>
          </cell>
          <cell r="HF22" t="str">
            <v>feb16 ene17</v>
          </cell>
          <cell r="HG22">
            <v>173000</v>
          </cell>
          <cell r="HH22">
            <v>2075000</v>
          </cell>
          <cell r="HI22" t="str">
            <v>feb16 ene17</v>
          </cell>
          <cell r="HJ22">
            <v>101179</v>
          </cell>
          <cell r="HK22">
            <v>6070.74</v>
          </cell>
          <cell r="HL22" t="str">
            <v>feb16 ene17</v>
          </cell>
          <cell r="HM22">
            <v>2081070.74</v>
          </cell>
          <cell r="HN22">
            <v>-5.9216528090390276E-2</v>
          </cell>
          <cell r="HO22">
            <v>813683624.85462153</v>
          </cell>
          <cell r="HP22">
            <v>9844.083624854622</v>
          </cell>
          <cell r="HQ22" t="str">
            <v>feb16 ene17</v>
          </cell>
          <cell r="HU22">
            <v>650000</v>
          </cell>
          <cell r="HV22" t="str">
            <v>2015-16</v>
          </cell>
          <cell r="HW22">
            <v>1430000</v>
          </cell>
          <cell r="HX22" t="str">
            <v>2016-17</v>
          </cell>
          <cell r="HY22">
            <v>3350000</v>
          </cell>
          <cell r="HZ22" t="str">
            <v>2016-17</v>
          </cell>
          <cell r="IA22">
            <v>17210000</v>
          </cell>
          <cell r="IB22" t="str">
            <v>2015-16</v>
          </cell>
          <cell r="IC22">
            <v>50000000</v>
          </cell>
          <cell r="ID22" t="str">
            <v>2015-16</v>
          </cell>
          <cell r="IE22">
            <v>2600000</v>
          </cell>
          <cell r="IF22" t="str">
            <v>2015-16</v>
          </cell>
          <cell r="IG22">
            <v>6760000</v>
          </cell>
          <cell r="IH22" t="str">
            <v>2016-17</v>
          </cell>
          <cell r="II22">
            <v>81350000</v>
          </cell>
          <cell r="IJ22">
            <v>1.6245896649969351</v>
          </cell>
          <cell r="IK22" t="str">
            <v>2015-16</v>
          </cell>
          <cell r="IL22">
            <v>42.83</v>
          </cell>
          <cell r="IM22">
            <v>56.576366100865812</v>
          </cell>
          <cell r="IN22">
            <v>197</v>
          </cell>
          <cell r="IO22">
            <v>13.34</v>
          </cell>
          <cell r="IP22">
            <v>5.6116821966314854</v>
          </cell>
          <cell r="IQ22">
            <v>20.2</v>
          </cell>
          <cell r="IR22">
            <v>3.01</v>
          </cell>
          <cell r="IS22">
            <v>5.59</v>
          </cell>
          <cell r="IT22">
            <v>11.85</v>
          </cell>
          <cell r="IU22">
            <v>0.79</v>
          </cell>
          <cell r="IV22">
            <v>18.229999999999997</v>
          </cell>
          <cell r="IY22">
            <v>1.84</v>
          </cell>
          <cell r="IZ22">
            <v>0.3</v>
          </cell>
          <cell r="JF22">
            <v>8.0049006899999995</v>
          </cell>
          <cell r="JG22">
            <v>17.256591100000001</v>
          </cell>
          <cell r="JH22">
            <v>123.55813289</v>
          </cell>
          <cell r="JI22">
            <v>44.158964429999997</v>
          </cell>
          <cell r="JJ22">
            <v>133.01195288000002</v>
          </cell>
          <cell r="JK22">
            <v>73.092611849999997</v>
          </cell>
          <cell r="JL22">
            <v>1157.6564469300001</v>
          </cell>
          <cell r="JM22">
            <v>2.5908723199999999</v>
          </cell>
          <cell r="JN22">
            <v>421.64554007999999</v>
          </cell>
          <cell r="JO22">
            <v>9.4870802999999988</v>
          </cell>
          <cell r="JP22">
            <v>0</v>
          </cell>
          <cell r="JQ22">
            <v>3.0999999999999999E-3</v>
          </cell>
          <cell r="JR22">
            <v>0.69072146000000001</v>
          </cell>
          <cell r="JS22">
            <v>0</v>
          </cell>
          <cell r="JT22">
            <v>0.58302361000000014</v>
          </cell>
          <cell r="JU22">
            <v>65.278231130000023</v>
          </cell>
          <cell r="JV22">
            <v>3.6097334599999993</v>
          </cell>
          <cell r="JW22">
            <v>9.3256632200000009</v>
          </cell>
          <cell r="JX22">
            <v>5.55325734</v>
          </cell>
          <cell r="JY22">
            <v>2.4499999999999999E-3</v>
          </cell>
          <cell r="JZ22">
            <v>1.5545219299999999</v>
          </cell>
          <cell r="KA22">
            <v>0.22677718999999999</v>
          </cell>
          <cell r="KB22">
            <v>18.36035923</v>
          </cell>
          <cell r="KC22">
            <v>19.182122780000004</v>
          </cell>
          <cell r="KD22">
            <v>2.8357371200000001</v>
          </cell>
          <cell r="KE22">
            <v>11.10220823</v>
          </cell>
          <cell r="KF22">
            <v>26.587185310000006</v>
          </cell>
          <cell r="KG22">
            <v>195.83830066000002</v>
          </cell>
          <cell r="KH22">
            <v>53.099989650000005</v>
          </cell>
          <cell r="KI22">
            <v>16.138216459999999</v>
          </cell>
          <cell r="KJ22">
            <v>1.4571473400000001</v>
          </cell>
          <cell r="KK22">
            <v>8.5568556000000022</v>
          </cell>
          <cell r="KL22">
            <v>0.46817503999999999</v>
          </cell>
          <cell r="KM22">
            <v>3.2307116300000005</v>
          </cell>
          <cell r="KN22">
            <v>4.4303079999999995E-2</v>
          </cell>
          <cell r="KO22">
            <v>0.57422459000000003</v>
          </cell>
          <cell r="KP22">
            <v>3.5404199999999999E-3</v>
          </cell>
          <cell r="KQ22">
            <v>1.55446817</v>
          </cell>
          <cell r="KR22">
            <v>1.8383000000000001E-4</v>
          </cell>
          <cell r="KS22">
            <v>0.16635008000000001</v>
          </cell>
          <cell r="KT22">
            <v>0.91455682999999999</v>
          </cell>
          <cell r="KU22">
            <v>0.29817945999999995</v>
          </cell>
          <cell r="KV22">
            <v>4.9163499999999999E-2</v>
          </cell>
          <cell r="KW22">
            <v>4.0692695099999998</v>
          </cell>
          <cell r="KX22">
            <v>0</v>
          </cell>
          <cell r="KY22">
            <v>0</v>
          </cell>
          <cell r="KZ22">
            <v>8.0867779200000012</v>
          </cell>
          <cell r="LA22">
            <v>0.99176248999999994</v>
          </cell>
          <cell r="LB22">
            <v>0</v>
          </cell>
          <cell r="LC22">
            <v>1.1831754800000001</v>
          </cell>
          <cell r="LD22">
            <v>4.2013250000000002E-2</v>
          </cell>
          <cell r="LE22">
            <v>0.55264952000000001</v>
          </cell>
          <cell r="LF22">
            <v>0.73362545000000012</v>
          </cell>
          <cell r="LG22">
            <v>16.281141040000001</v>
          </cell>
          <cell r="LH22">
            <v>7.1218980199999988</v>
          </cell>
          <cell r="LI22">
            <v>2.3659000000000001E-4</v>
          </cell>
          <cell r="LJ22">
            <v>7.3174500000000003E-2</v>
          </cell>
          <cell r="LK22">
            <v>3.93962506</v>
          </cell>
          <cell r="LL22">
            <v>2.0059154200000004</v>
          </cell>
          <cell r="LM22">
            <v>1.7480237199999997</v>
          </cell>
          <cell r="LN22">
            <v>0.35004655000000001</v>
          </cell>
          <cell r="LO22">
            <v>15.316888810000002</v>
          </cell>
          <cell r="LQ22">
            <v>1882.6219095300003</v>
          </cell>
          <cell r="LR22">
            <v>1.2768450700000002</v>
          </cell>
          <cell r="LS22">
            <v>12.93539668</v>
          </cell>
          <cell r="LT22">
            <v>1.78374912</v>
          </cell>
          <cell r="LU22">
            <v>5.5702413800000006</v>
          </cell>
          <cell r="LV22">
            <v>4.1184330099999995</v>
          </cell>
          <cell r="LW22">
            <v>0.99176248999999994</v>
          </cell>
          <cell r="LX22">
            <v>1.3282882200000001</v>
          </cell>
          <cell r="LZ22">
            <v>17.350000000000001</v>
          </cell>
          <cell r="MA22">
            <v>19.5</v>
          </cell>
          <cell r="MH22">
            <v>34.83</v>
          </cell>
          <cell r="MI22">
            <v>10.53</v>
          </cell>
          <cell r="MJ22">
            <v>12.45</v>
          </cell>
          <cell r="ML22">
            <v>13.16</v>
          </cell>
          <cell r="MM22">
            <v>19.54</v>
          </cell>
          <cell r="MO22">
            <v>17.23</v>
          </cell>
          <cell r="MP22">
            <v>36.630000000000003</v>
          </cell>
          <cell r="MQ22">
            <v>40.47</v>
          </cell>
          <cell r="MU22">
            <v>12.26</v>
          </cell>
          <cell r="MY22">
            <v>28.53</v>
          </cell>
          <cell r="MZ22">
            <v>81.400000000000006</v>
          </cell>
          <cell r="NA22">
            <v>34.200000000000003</v>
          </cell>
          <cell r="NB22">
            <v>115.15</v>
          </cell>
          <cell r="NC22">
            <v>18.600000000000001</v>
          </cell>
          <cell r="NE22">
            <v>108.67</v>
          </cell>
        </row>
        <row r="23">
          <cell r="A23">
            <v>42767</v>
          </cell>
          <cell r="B23">
            <v>2</v>
          </cell>
          <cell r="C23">
            <v>2017</v>
          </cell>
          <cell r="D23">
            <v>23</v>
          </cell>
          <cell r="E23">
            <v>42767</v>
          </cell>
          <cell r="F23">
            <v>15.794444444444443</v>
          </cell>
          <cell r="G23">
            <v>103.7</v>
          </cell>
          <cell r="H23">
            <v>10368</v>
          </cell>
          <cell r="I23">
            <v>104</v>
          </cell>
          <cell r="J23">
            <v>410</v>
          </cell>
          <cell r="K23">
            <v>2.5</v>
          </cell>
          <cell r="L23">
            <v>37.799999999999997</v>
          </cell>
          <cell r="N23">
            <v>1.609</v>
          </cell>
          <cell r="O23">
            <v>1.4550000000000001</v>
          </cell>
          <cell r="P23">
            <v>24.197088888888885</v>
          </cell>
          <cell r="Q23">
            <v>335</v>
          </cell>
          <cell r="R23">
            <v>3350</v>
          </cell>
          <cell r="S23">
            <v>143.55555555555554</v>
          </cell>
          <cell r="T23">
            <v>299.44444444444446</v>
          </cell>
          <cell r="U23">
            <v>154.4388888888889</v>
          </cell>
          <cell r="V23">
            <v>265.42777777777775</v>
          </cell>
          <cell r="W23">
            <v>128.61111111111111</v>
          </cell>
          <cell r="X23">
            <v>170.75</v>
          </cell>
          <cell r="Y23">
            <v>2267.3802469135799</v>
          </cell>
          <cell r="Z23">
            <v>4729.5586419753081</v>
          </cell>
          <cell r="AA23">
            <v>2439.2764506172839</v>
          </cell>
          <cell r="AB23">
            <v>4192.2842901234562</v>
          </cell>
          <cell r="AC23">
            <v>2031.3410493827159</v>
          </cell>
          <cell r="AD23">
            <v>2696.9013888888885</v>
          </cell>
          <cell r="AE23">
            <v>3059.4570113168716</v>
          </cell>
          <cell r="AF23">
            <v>10490.5</v>
          </cell>
          <cell r="AG23">
            <v>5100</v>
          </cell>
          <cell r="AH23">
            <v>19200</v>
          </cell>
          <cell r="AI23">
            <v>11.86</v>
          </cell>
          <cell r="AJ23">
            <v>3.48</v>
          </cell>
          <cell r="AK23">
            <v>4.68</v>
          </cell>
          <cell r="AL23">
            <v>4.26</v>
          </cell>
          <cell r="AM23">
            <v>7.8339999999999996</v>
          </cell>
          <cell r="AN23">
            <v>25.218648648648649</v>
          </cell>
          <cell r="AO23">
            <v>18.526874999999997</v>
          </cell>
          <cell r="AP23">
            <v>21.872761824324321</v>
          </cell>
          <cell r="AQ23">
            <v>29.916875000000005</v>
          </cell>
          <cell r="AR23">
            <v>13.38</v>
          </cell>
          <cell r="AS23">
            <v>4.5324489795918375</v>
          </cell>
          <cell r="AT23">
            <v>21.568125000000002</v>
          </cell>
          <cell r="AU23">
            <v>13.160191326530613</v>
          </cell>
          <cell r="AV23">
            <v>6.2746666666666666</v>
          </cell>
          <cell r="AW23">
            <v>10.541666666666666</v>
          </cell>
          <cell r="AX23">
            <v>5.8872222222222224</v>
          </cell>
          <cell r="AY23">
            <v>12.126666666666669</v>
          </cell>
          <cell r="AZ23">
            <v>6.8833333333333329</v>
          </cell>
          <cell r="BA23">
            <v>3.9175925925925941</v>
          </cell>
          <cell r="BB23">
            <v>7.2037037037037051</v>
          </cell>
          <cell r="BC23">
            <v>588</v>
          </cell>
          <cell r="BD23">
            <v>684</v>
          </cell>
          <cell r="BE23">
            <v>590</v>
          </cell>
          <cell r="BF23">
            <v>390</v>
          </cell>
          <cell r="BG23">
            <v>563</v>
          </cell>
          <cell r="BH23">
            <v>37.549999999999997</v>
          </cell>
          <cell r="BI23">
            <v>10.766</v>
          </cell>
          <cell r="BJ23">
            <v>48.315999999999995</v>
          </cell>
          <cell r="BK23">
            <v>29.605</v>
          </cell>
          <cell r="BL23">
            <v>29.605</v>
          </cell>
          <cell r="BM23">
            <v>29.605</v>
          </cell>
          <cell r="BN23">
            <v>5.0199999999999996</v>
          </cell>
          <cell r="BO23">
            <v>21.122222222222224</v>
          </cell>
          <cell r="BP23">
            <v>11.797666666666666</v>
          </cell>
          <cell r="BQ23">
            <v>20.189766666666667</v>
          </cell>
          <cell r="BR23">
            <v>19.100000000000001</v>
          </cell>
          <cell r="BS23">
            <v>75</v>
          </cell>
          <cell r="BT23">
            <v>43.06</v>
          </cell>
          <cell r="BU23">
            <v>1029.18</v>
          </cell>
          <cell r="BV23">
            <v>30.5</v>
          </cell>
          <cell r="BY23">
            <v>138.41723613570261</v>
          </cell>
          <cell r="BZ23">
            <v>126.99694652306859</v>
          </cell>
          <cell r="CA23">
            <v>128.00728614618956</v>
          </cell>
          <cell r="CB23">
            <v>131.17271446231388</v>
          </cell>
          <cell r="CC23">
            <v>130.15638136957932</v>
          </cell>
          <cell r="CD23">
            <v>131.61625201447333</v>
          </cell>
          <cell r="CE23">
            <v>123.87047372864215</v>
          </cell>
          <cell r="CF23">
            <v>133.5406325711472</v>
          </cell>
          <cell r="CG23">
            <v>129.72729004872423</v>
          </cell>
          <cell r="CH23">
            <v>141.83320484705237</v>
          </cell>
          <cell r="CI23">
            <v>140.72627053779186</v>
          </cell>
          <cell r="CJ23">
            <v>146.05878279379505</v>
          </cell>
          <cell r="CK23">
            <v>137.40978469802036</v>
          </cell>
          <cell r="CL23">
            <v>156.3491420039511</v>
          </cell>
          <cell r="CM23">
            <v>128.12448943742197</v>
          </cell>
          <cell r="CN23">
            <v>125.89946400832397</v>
          </cell>
          <cell r="CO23">
            <v>136.94572003692934</v>
          </cell>
          <cell r="CP23">
            <v>166.34943318666896</v>
          </cell>
          <cell r="CQ23">
            <v>135.22915544054669</v>
          </cell>
          <cell r="CR23">
            <v>140.36890074655452</v>
          </cell>
          <cell r="CS23">
            <v>137.79902809355059</v>
          </cell>
          <cell r="CT23">
            <v>151.04800638431416</v>
          </cell>
          <cell r="CU23">
            <v>136.17765155435438</v>
          </cell>
          <cell r="CV23">
            <v>124.01499020196471</v>
          </cell>
          <cell r="CW23">
            <v>124.01499020196471</v>
          </cell>
          <cell r="CX23">
            <v>128.06921065276126</v>
          </cell>
          <cell r="CY23">
            <v>133.57617734264039</v>
          </cell>
          <cell r="CZ23">
            <v>139.64534172888742</v>
          </cell>
          <cell r="DA23">
            <v>133.34860179416134</v>
          </cell>
          <cell r="DB23">
            <v>132.15163550043854</v>
          </cell>
          <cell r="DC23">
            <v>125.6484600210169</v>
          </cell>
          <cell r="DD23">
            <v>123.86398347038185</v>
          </cell>
          <cell r="DE23">
            <v>121.06538968729576</v>
          </cell>
          <cell r="DF23">
            <v>122.20384492560183</v>
          </cell>
          <cell r="DG23">
            <v>121.6346173064488</v>
          </cell>
          <cell r="DH23">
            <v>135.62985219030134</v>
          </cell>
          <cell r="DI23">
            <v>133.64781369204519</v>
          </cell>
          <cell r="DK23">
            <v>258900</v>
          </cell>
          <cell r="DL23" t="str">
            <v>2016-17</v>
          </cell>
          <cell r="DM23">
            <v>206500</v>
          </cell>
          <cell r="DN23" t="str">
            <v>2016-17</v>
          </cell>
          <cell r="DO23">
            <v>850000</v>
          </cell>
          <cell r="DP23" t="str">
            <v>2016-17</v>
          </cell>
          <cell r="DQ23">
            <v>1700000</v>
          </cell>
          <cell r="DR23" t="str">
            <v>2016-17</v>
          </cell>
          <cell r="DS23">
            <v>4900000</v>
          </cell>
          <cell r="DT23" t="str">
            <v>2016-17</v>
          </cell>
          <cell r="DU23">
            <v>19200000</v>
          </cell>
          <cell r="DV23" t="str">
            <v>2016-17</v>
          </cell>
          <cell r="DW23">
            <v>800000</v>
          </cell>
          <cell r="DX23" t="str">
            <v>2016-17</v>
          </cell>
          <cell r="DY23">
            <v>4700000</v>
          </cell>
          <cell r="DZ23" t="str">
            <v>2016-17</v>
          </cell>
          <cell r="EA23">
            <v>32150000</v>
          </cell>
          <cell r="EB23">
            <v>364191</v>
          </cell>
          <cell r="EC23" t="str">
            <v>2016-17</v>
          </cell>
          <cell r="ED23">
            <v>165327</v>
          </cell>
          <cell r="EE23">
            <v>2016</v>
          </cell>
          <cell r="EF23">
            <v>220848</v>
          </cell>
          <cell r="EG23">
            <v>2017</v>
          </cell>
          <cell r="EH23">
            <v>54163380</v>
          </cell>
          <cell r="EI23">
            <v>2017</v>
          </cell>
          <cell r="EJ23">
            <v>5119438</v>
          </cell>
          <cell r="EK23">
            <v>2016</v>
          </cell>
          <cell r="EL23">
            <v>14864321</v>
          </cell>
          <cell r="EM23">
            <v>2016</v>
          </cell>
          <cell r="EN23">
            <v>3499621</v>
          </cell>
          <cell r="EO23">
            <v>2016</v>
          </cell>
          <cell r="EP23">
            <v>6552</v>
          </cell>
          <cell r="EQ23">
            <v>3003036</v>
          </cell>
          <cell r="ER23">
            <v>33739</v>
          </cell>
          <cell r="ET23">
            <v>23614</v>
          </cell>
          <cell r="EU23">
            <v>16845</v>
          </cell>
          <cell r="EV23">
            <v>9213</v>
          </cell>
          <cell r="EW23">
            <v>17766</v>
          </cell>
          <cell r="EX23">
            <v>67438</v>
          </cell>
          <cell r="EY23">
            <v>19284</v>
          </cell>
          <cell r="EZ23">
            <v>74845</v>
          </cell>
          <cell r="FA23">
            <v>20879</v>
          </cell>
          <cell r="FB23">
            <v>19496</v>
          </cell>
          <cell r="FC23">
            <v>40375</v>
          </cell>
          <cell r="FD23">
            <v>65075.3</v>
          </cell>
          <cell r="FF23">
            <v>708196</v>
          </cell>
          <cell r="FG23" t="str">
            <v>2015-16</v>
          </cell>
          <cell r="FH23">
            <v>1404980</v>
          </cell>
          <cell r="FI23" t="str">
            <v>2015-16</v>
          </cell>
          <cell r="FJ23">
            <v>3000000</v>
          </cell>
          <cell r="FK23" t="str">
            <v>2016-17</v>
          </cell>
          <cell r="FL23">
            <v>3500000</v>
          </cell>
          <cell r="FM23" t="str">
            <v>2016-17</v>
          </cell>
          <cell r="FN23">
            <v>37000000</v>
          </cell>
          <cell r="FO23" t="str">
            <v>2016-17</v>
          </cell>
          <cell r="FP23">
            <v>54800000</v>
          </cell>
          <cell r="FQ23" t="str">
            <v>2016-17</v>
          </cell>
          <cell r="FR23">
            <v>3200000</v>
          </cell>
          <cell r="FS23" t="str">
            <v>2016-17</v>
          </cell>
          <cell r="FT23">
            <v>15000000</v>
          </cell>
          <cell r="FU23" t="str">
            <v>2016-17</v>
          </cell>
          <cell r="FV23">
            <v>116500000</v>
          </cell>
          <cell r="FW23">
            <v>1001113</v>
          </cell>
          <cell r="FX23" t="str">
            <v>2015-16</v>
          </cell>
          <cell r="FY23">
            <v>20274.127</v>
          </cell>
          <cell r="FZ23">
            <v>806005.86099999992</v>
          </cell>
          <cell r="GA23" t="str">
            <v>mar16 feb17</v>
          </cell>
          <cell r="GB23">
            <v>19652055</v>
          </cell>
          <cell r="GD23">
            <v>1675851</v>
          </cell>
          <cell r="GE23">
            <v>459665</v>
          </cell>
          <cell r="GF23">
            <v>1024918</v>
          </cell>
          <cell r="GG23">
            <v>112337</v>
          </cell>
          <cell r="GH23">
            <v>1596920</v>
          </cell>
          <cell r="GI23">
            <v>1302556</v>
          </cell>
          <cell r="GJ23">
            <v>665408</v>
          </cell>
          <cell r="GK23">
            <v>660753</v>
          </cell>
          <cell r="GL23">
            <v>290290.46000000002</v>
          </cell>
          <cell r="GM23">
            <v>263224.75</v>
          </cell>
          <cell r="GN23">
            <v>1879676.21</v>
          </cell>
          <cell r="GO23">
            <v>193430</v>
          </cell>
          <cell r="GP23">
            <v>76379</v>
          </cell>
          <cell r="GR23">
            <v>42700</v>
          </cell>
          <cell r="GS23">
            <v>42700</v>
          </cell>
          <cell r="GT23">
            <v>2459310</v>
          </cell>
          <cell r="GU23">
            <v>120566</v>
          </cell>
          <cell r="GV23">
            <v>38809</v>
          </cell>
          <cell r="GW23">
            <v>1232089.666666667</v>
          </cell>
          <cell r="GX23">
            <v>32330.198</v>
          </cell>
          <cell r="GY23" t="str">
            <v>2016-2017</v>
          </cell>
          <cell r="GZ23">
            <v>117154</v>
          </cell>
          <cell r="HA23">
            <v>199000</v>
          </cell>
          <cell r="HB23">
            <v>2656000</v>
          </cell>
          <cell r="HC23" t="str">
            <v>mar16 feb17</v>
          </cell>
          <cell r="HD23">
            <v>38333</v>
          </cell>
          <cell r="HE23">
            <v>527033</v>
          </cell>
          <cell r="HF23" t="str">
            <v>mar16 feb17</v>
          </cell>
          <cell r="HG23">
            <v>152000</v>
          </cell>
          <cell r="HH23">
            <v>2086000</v>
          </cell>
          <cell r="HI23" t="str">
            <v>mar16 feb17</v>
          </cell>
          <cell r="HJ23">
            <v>78542</v>
          </cell>
          <cell r="HK23">
            <v>10783.26</v>
          </cell>
          <cell r="HL23" t="str">
            <v>mar16 feb17</v>
          </cell>
          <cell r="HM23">
            <v>2096783.26</v>
          </cell>
          <cell r="HN23">
            <v>-8.0884948564892256E-2</v>
          </cell>
          <cell r="HO23">
            <v>735935421.68409073</v>
          </cell>
          <cell r="HP23">
            <v>9779.3190465387142</v>
          </cell>
          <cell r="HQ23" t="str">
            <v>mar16 feb17</v>
          </cell>
          <cell r="HU23">
            <v>650000</v>
          </cell>
          <cell r="HV23" t="str">
            <v>2015-16</v>
          </cell>
          <cell r="HW23">
            <v>1430000</v>
          </cell>
          <cell r="HX23" t="str">
            <v>2016-17</v>
          </cell>
          <cell r="HY23">
            <v>3350000</v>
          </cell>
          <cell r="HZ23" t="str">
            <v>2016-17</v>
          </cell>
          <cell r="IA23">
            <v>17210000</v>
          </cell>
          <cell r="IB23" t="str">
            <v>2015-16</v>
          </cell>
          <cell r="IC23">
            <v>50000000</v>
          </cell>
          <cell r="ID23" t="str">
            <v>2015-16</v>
          </cell>
          <cell r="IE23">
            <v>2600000</v>
          </cell>
          <cell r="IF23" t="str">
            <v>2015-16</v>
          </cell>
          <cell r="IG23">
            <v>6760000</v>
          </cell>
          <cell r="IH23" t="str">
            <v>2016-17</v>
          </cell>
          <cell r="II23">
            <v>81350000</v>
          </cell>
          <cell r="IJ23">
            <v>1.6245896649969351</v>
          </cell>
          <cell r="IK23" t="str">
            <v>2015-16</v>
          </cell>
          <cell r="IL23">
            <v>41.66</v>
          </cell>
          <cell r="IM23">
            <v>52.768112340660402</v>
          </cell>
          <cell r="IN23">
            <v>197</v>
          </cell>
          <cell r="IO23">
            <v>12.55</v>
          </cell>
          <cell r="IP23">
            <v>5.6116821966314854</v>
          </cell>
          <cell r="IQ23">
            <v>20.2</v>
          </cell>
          <cell r="IR23">
            <v>3.01</v>
          </cell>
          <cell r="IS23">
            <v>5.59</v>
          </cell>
          <cell r="IT23">
            <v>11.85</v>
          </cell>
          <cell r="IU23">
            <v>0.79</v>
          </cell>
          <cell r="IV23">
            <v>18.229999999999997</v>
          </cell>
          <cell r="IY23">
            <v>1.84</v>
          </cell>
          <cell r="IZ23">
            <v>0.3</v>
          </cell>
          <cell r="JF23">
            <v>6.1515159999999991</v>
          </cell>
          <cell r="JG23">
            <v>12.344520979999999</v>
          </cell>
          <cell r="JH23">
            <v>86.287829810000005</v>
          </cell>
          <cell r="JI23">
            <v>47.830961160000001</v>
          </cell>
          <cell r="JJ23">
            <v>71.720454730000043</v>
          </cell>
          <cell r="JK23">
            <v>66.350499060000004</v>
          </cell>
          <cell r="JL23">
            <v>921.13241823999999</v>
          </cell>
          <cell r="JM23">
            <v>6.26009438</v>
          </cell>
          <cell r="JN23">
            <v>368.66028889000006</v>
          </cell>
          <cell r="JO23">
            <v>13.279624499999999</v>
          </cell>
          <cell r="JP23">
            <v>0</v>
          </cell>
          <cell r="JQ23">
            <v>1.6740000000000001E-2</v>
          </cell>
          <cell r="JR23">
            <v>0.67175529</v>
          </cell>
          <cell r="JS23">
            <v>0</v>
          </cell>
          <cell r="JT23">
            <v>1.29039177</v>
          </cell>
          <cell r="JU23">
            <v>62.182694419999997</v>
          </cell>
          <cell r="JV23">
            <v>6.7309282699999997</v>
          </cell>
          <cell r="JW23">
            <v>59.068926579999996</v>
          </cell>
          <cell r="JX23">
            <v>4.0551400000000006</v>
          </cell>
          <cell r="JY23">
            <v>2.0160000000000001E-2</v>
          </cell>
          <cell r="JZ23">
            <v>1.6790544600000001</v>
          </cell>
          <cell r="KA23">
            <v>0.37856000000000001</v>
          </cell>
          <cell r="KB23">
            <v>16.27959517</v>
          </cell>
          <cell r="KC23">
            <v>18.328807019999999</v>
          </cell>
          <cell r="KD23">
            <v>8.3486820699999988</v>
          </cell>
          <cell r="KE23">
            <v>11.823120789999999</v>
          </cell>
          <cell r="KF23">
            <v>23.416537379999998</v>
          </cell>
          <cell r="KG23">
            <v>177.69376103000002</v>
          </cell>
          <cell r="KH23">
            <v>40.309378079999995</v>
          </cell>
          <cell r="KI23">
            <v>20.861902630000003</v>
          </cell>
          <cell r="KJ23">
            <v>1.2693953599999999</v>
          </cell>
          <cell r="KK23">
            <v>5.991540950000001</v>
          </cell>
          <cell r="KL23">
            <v>0.32589098999999999</v>
          </cell>
          <cell r="KM23">
            <v>3.4173930600000002</v>
          </cell>
          <cell r="KN23">
            <v>0.10582569999999999</v>
          </cell>
          <cell r="KO23">
            <v>0.13967291999999998</v>
          </cell>
          <cell r="KP23">
            <v>3.4409899999999997E-3</v>
          </cell>
          <cell r="KQ23">
            <v>93.971075639999995</v>
          </cell>
          <cell r="KR23">
            <v>0</v>
          </cell>
          <cell r="KS23">
            <v>0</v>
          </cell>
          <cell r="KT23">
            <v>2.6252512299999999</v>
          </cell>
          <cell r="KU23">
            <v>0.26624005000000001</v>
          </cell>
          <cell r="KV23">
            <v>0</v>
          </cell>
          <cell r="KW23">
            <v>2.1380783800000001</v>
          </cell>
          <cell r="KX23">
            <v>0</v>
          </cell>
          <cell r="KY23">
            <v>0</v>
          </cell>
          <cell r="KZ23">
            <v>6.9154136299999998</v>
          </cell>
          <cell r="LA23">
            <v>0.11680138999999999</v>
          </cell>
          <cell r="LB23">
            <v>2.1007999999999999E-2</v>
          </cell>
          <cell r="LC23">
            <v>0.68678843999999994</v>
          </cell>
          <cell r="LD23">
            <v>6.4996999999999997E-3</v>
          </cell>
          <cell r="LE23">
            <v>0.84433269</v>
          </cell>
          <cell r="LF23">
            <v>0.32110906</v>
          </cell>
          <cell r="LG23">
            <v>12.238041860000003</v>
          </cell>
          <cell r="LH23">
            <v>2.8459245800000001</v>
          </cell>
          <cell r="LI23">
            <v>7.4285500000000004E-2</v>
          </cell>
          <cell r="LJ23">
            <v>0</v>
          </cell>
          <cell r="LK23">
            <v>3.3450539199999998</v>
          </cell>
          <cell r="LL23">
            <v>2.8303497700000002</v>
          </cell>
          <cell r="LM23">
            <v>1.3503295</v>
          </cell>
          <cell r="LN23">
            <v>0.32703965000000002</v>
          </cell>
          <cell r="LO23">
            <v>9.3778137599999987</v>
          </cell>
          <cell r="LQ23">
            <v>1501.8920472100003</v>
          </cell>
          <cell r="LR23">
            <v>1.9788870599999999</v>
          </cell>
          <cell r="LS23">
            <v>65.799854850000003</v>
          </cell>
          <cell r="LT23">
            <v>2.0777744600000001</v>
          </cell>
          <cell r="LU23">
            <v>97.633967319999996</v>
          </cell>
          <cell r="LV23">
            <v>2.1380783800000001</v>
          </cell>
          <cell r="LW23">
            <v>0.13780938999999998</v>
          </cell>
          <cell r="LX23">
            <v>1.1719414500000001</v>
          </cell>
          <cell r="LZ23">
            <v>17.440000000000001</v>
          </cell>
          <cell r="MA23">
            <v>19.940000000000001</v>
          </cell>
          <cell r="MH23">
            <v>35.6</v>
          </cell>
          <cell r="MI23">
            <v>10.49</v>
          </cell>
          <cell r="MJ23">
            <v>13.67</v>
          </cell>
          <cell r="ML23">
            <v>12.36</v>
          </cell>
          <cell r="MM23">
            <v>22.36</v>
          </cell>
          <cell r="MO23">
            <v>15.11</v>
          </cell>
          <cell r="MP23">
            <v>37.229999999999997</v>
          </cell>
          <cell r="MQ23">
            <v>38.06</v>
          </cell>
          <cell r="MU23">
            <v>12.34</v>
          </cell>
          <cell r="MY23">
            <v>28.91</v>
          </cell>
          <cell r="MZ23">
            <v>83.9</v>
          </cell>
          <cell r="NA23">
            <v>34.6</v>
          </cell>
          <cell r="NB23">
            <v>114.64</v>
          </cell>
          <cell r="NC23">
            <v>18.86</v>
          </cell>
          <cell r="NE23">
            <v>106.79</v>
          </cell>
        </row>
        <row r="24">
          <cell r="A24">
            <v>42795</v>
          </cell>
          <cell r="B24">
            <v>3</v>
          </cell>
          <cell r="C24">
            <v>2017</v>
          </cell>
          <cell r="D24">
            <v>24</v>
          </cell>
          <cell r="E24">
            <v>42795</v>
          </cell>
          <cell r="F24">
            <v>15.715909090909093</v>
          </cell>
          <cell r="G24">
            <v>106.1</v>
          </cell>
          <cell r="H24">
            <v>10368</v>
          </cell>
          <cell r="I24">
            <v>106</v>
          </cell>
          <cell r="J24">
            <v>410</v>
          </cell>
          <cell r="K24">
            <v>2.6</v>
          </cell>
          <cell r="L24">
            <v>38.6</v>
          </cell>
          <cell r="N24">
            <v>1.6573181818181817</v>
          </cell>
          <cell r="O24">
            <v>1.5029999999999999</v>
          </cell>
          <cell r="P24">
            <v>24.83363662190083</v>
          </cell>
          <cell r="Q24">
            <v>365</v>
          </cell>
          <cell r="R24">
            <v>3650</v>
          </cell>
          <cell r="S24">
            <v>141.86363636363637</v>
          </cell>
          <cell r="T24">
            <v>285.81818181818181</v>
          </cell>
          <cell r="U24">
            <v>149.87727272727273</v>
          </cell>
          <cell r="V24">
            <v>246.09545454545452</v>
          </cell>
          <cell r="W24">
            <v>125.18181818181819</v>
          </cell>
          <cell r="X24">
            <v>165.61363636363637</v>
          </cell>
          <cell r="Y24">
            <v>2229.5160123966948</v>
          </cell>
          <cell r="Z24">
            <v>4491.8925619834718</v>
          </cell>
          <cell r="AA24">
            <v>2355.4575929752068</v>
          </cell>
          <cell r="AB24">
            <v>3867.6137913223142</v>
          </cell>
          <cell r="AC24">
            <v>1967.3460743801656</v>
          </cell>
          <cell r="AD24">
            <v>2602.7688533057858</v>
          </cell>
          <cell r="AE24">
            <v>2919.0991477272728</v>
          </cell>
          <cell r="AF24">
            <v>10285.90909090909</v>
          </cell>
          <cell r="AG24">
            <v>5100</v>
          </cell>
          <cell r="AH24">
            <v>19200</v>
          </cell>
          <cell r="AI24">
            <v>11.71</v>
          </cell>
          <cell r="AJ24">
            <v>5.5</v>
          </cell>
          <cell r="AK24">
            <v>4.55</v>
          </cell>
          <cell r="AL24">
            <v>4.55</v>
          </cell>
          <cell r="AM24">
            <v>7.8815999999999997</v>
          </cell>
          <cell r="AN24">
            <v>24.220454545454544</v>
          </cell>
          <cell r="AO24">
            <v>15.578181818181816</v>
          </cell>
          <cell r="AP24">
            <v>19.899318181818181</v>
          </cell>
          <cell r="AQ24">
            <v>18.860909090909093</v>
          </cell>
          <cell r="AR24">
            <v>10.265454545454546</v>
          </cell>
          <cell r="AS24">
            <v>5.6098019801980197</v>
          </cell>
          <cell r="AT24">
            <v>19.734545454545447</v>
          </cell>
          <cell r="AU24">
            <v>11.869933993399338</v>
          </cell>
          <cell r="AV24">
            <v>5.8033333333333337</v>
          </cell>
          <cell r="AW24">
            <v>9.4790476190476198</v>
          </cell>
          <cell r="AX24">
            <v>5.2981818181818179</v>
          </cell>
          <cell r="AY24">
            <v>13.493181818181819</v>
          </cell>
          <cell r="AZ24">
            <v>7.3827272727272737</v>
          </cell>
          <cell r="BA24">
            <v>4.171818181818181</v>
          </cell>
          <cell r="BB24">
            <v>7.5864772727272731</v>
          </cell>
          <cell r="BC24">
            <v>588</v>
          </cell>
          <cell r="BD24">
            <v>684</v>
          </cell>
          <cell r="BE24">
            <v>660</v>
          </cell>
          <cell r="BF24">
            <v>400</v>
          </cell>
          <cell r="BG24">
            <v>583</v>
          </cell>
          <cell r="BH24">
            <v>37.549999999999997</v>
          </cell>
          <cell r="BI24">
            <v>10.766</v>
          </cell>
          <cell r="BJ24">
            <v>48.315999999999995</v>
          </cell>
          <cell r="BK24">
            <v>32.026000000000003</v>
          </cell>
          <cell r="BL24">
            <v>32.026000000000003</v>
          </cell>
          <cell r="BM24">
            <v>32.026000000000003</v>
          </cell>
          <cell r="BN24">
            <v>5.15</v>
          </cell>
          <cell r="BO24">
            <v>24.304545454545448</v>
          </cell>
          <cell r="BP24">
            <v>12.902166666666668</v>
          </cell>
          <cell r="BQ24">
            <v>23.164307575757569</v>
          </cell>
          <cell r="BR24">
            <v>19.079999999999998</v>
          </cell>
          <cell r="BS24">
            <v>75</v>
          </cell>
          <cell r="BT24">
            <v>45.32</v>
          </cell>
          <cell r="BU24">
            <v>1035.96</v>
          </cell>
          <cell r="BV24">
            <v>32.1</v>
          </cell>
          <cell r="BY24">
            <v>138.38121304718342</v>
          </cell>
          <cell r="BZ24">
            <v>126.01704698123999</v>
          </cell>
          <cell r="CA24">
            <v>125.27392347370335</v>
          </cell>
          <cell r="CB24">
            <v>126.91109271939294</v>
          </cell>
          <cell r="CC24">
            <v>127.4546354023538</v>
          </cell>
          <cell r="CD24">
            <v>125.74071611183393</v>
          </cell>
          <cell r="CE24">
            <v>122.04004414551981</v>
          </cell>
          <cell r="CF24">
            <v>130.18272855174766</v>
          </cell>
          <cell r="CG24">
            <v>126.26719006742526</v>
          </cell>
          <cell r="CH24">
            <v>138.53392926719218</v>
          </cell>
          <cell r="CI24">
            <v>138.83810036028993</v>
          </cell>
          <cell r="CJ24">
            <v>142.75221658012788</v>
          </cell>
          <cell r="CK24">
            <v>134.9540953335553</v>
          </cell>
          <cell r="CL24">
            <v>161.66750506831963</v>
          </cell>
          <cell r="CM24">
            <v>130.60569349281806</v>
          </cell>
          <cell r="CN24">
            <v>127.22191124151693</v>
          </cell>
          <cell r="CO24">
            <v>138.61230128405251</v>
          </cell>
          <cell r="CP24">
            <v>169.84343573213857</v>
          </cell>
          <cell r="CQ24">
            <v>134.56072451549207</v>
          </cell>
          <cell r="CR24">
            <v>136.14382337681673</v>
          </cell>
          <cell r="CS24">
            <v>135.35227394615441</v>
          </cell>
          <cell r="CT24">
            <v>137.52279530144062</v>
          </cell>
          <cell r="CU24">
            <v>132.27196811266188</v>
          </cell>
          <cell r="CV24">
            <v>125.79565257824288</v>
          </cell>
          <cell r="CW24">
            <v>125.79565257824288</v>
          </cell>
          <cell r="CX24">
            <v>127.9544244230492</v>
          </cell>
          <cell r="CY24">
            <v>133.81803203417587</v>
          </cell>
          <cell r="CZ24">
            <v>140.34597231642957</v>
          </cell>
          <cell r="DA24">
            <v>133.52029346122865</v>
          </cell>
          <cell r="DB24">
            <v>133.77485664245708</v>
          </cell>
          <cell r="DC24">
            <v>123.50684610285568</v>
          </cell>
          <cell r="DD24">
            <v>121.38457492379638</v>
          </cell>
          <cell r="DE24">
            <v>118.27980613600153</v>
          </cell>
          <cell r="DF24">
            <v>119.62405943900451</v>
          </cell>
          <cell r="DG24">
            <v>118.95193278750301</v>
          </cell>
          <cell r="DH24">
            <v>136.67786479233342</v>
          </cell>
          <cell r="DI24">
            <v>133.87740038975565</v>
          </cell>
          <cell r="DK24">
            <v>258900</v>
          </cell>
          <cell r="DL24" t="str">
            <v>2016-17</v>
          </cell>
          <cell r="DM24">
            <v>206500</v>
          </cell>
          <cell r="DN24" t="str">
            <v>2016-17</v>
          </cell>
          <cell r="DO24">
            <v>850000</v>
          </cell>
          <cell r="DP24" t="str">
            <v>2016-17</v>
          </cell>
          <cell r="DQ24">
            <v>1700000</v>
          </cell>
          <cell r="DR24" t="str">
            <v>2016-17</v>
          </cell>
          <cell r="DS24">
            <v>4900000</v>
          </cell>
          <cell r="DT24" t="str">
            <v>2016-17</v>
          </cell>
          <cell r="DU24">
            <v>19200000</v>
          </cell>
          <cell r="DV24" t="str">
            <v>2016-17</v>
          </cell>
          <cell r="DW24">
            <v>800000</v>
          </cell>
          <cell r="DX24" t="str">
            <v>2016-17</v>
          </cell>
          <cell r="DY24">
            <v>4700000</v>
          </cell>
          <cell r="DZ24" t="str">
            <v>2016-17</v>
          </cell>
          <cell r="EA24">
            <v>32150000</v>
          </cell>
          <cell r="EB24">
            <v>364191</v>
          </cell>
          <cell r="EC24" t="str">
            <v>2016-17</v>
          </cell>
          <cell r="ED24">
            <v>165327</v>
          </cell>
          <cell r="EE24">
            <v>2016</v>
          </cell>
          <cell r="EF24">
            <v>220848</v>
          </cell>
          <cell r="EG24">
            <v>2017</v>
          </cell>
          <cell r="EH24">
            <v>54163380</v>
          </cell>
          <cell r="EI24">
            <v>2017</v>
          </cell>
          <cell r="EJ24">
            <v>5119438</v>
          </cell>
          <cell r="EK24">
            <v>2017</v>
          </cell>
          <cell r="EL24">
            <v>14864321</v>
          </cell>
          <cell r="EM24">
            <v>2016</v>
          </cell>
          <cell r="EN24">
            <v>3499621</v>
          </cell>
          <cell r="EO24">
            <v>2016</v>
          </cell>
          <cell r="EP24">
            <v>6552</v>
          </cell>
          <cell r="EQ24">
            <v>3003036</v>
          </cell>
          <cell r="ER24">
            <v>33739</v>
          </cell>
          <cell r="ET24">
            <v>23614</v>
          </cell>
          <cell r="EU24">
            <v>16845</v>
          </cell>
          <cell r="EV24">
            <v>9213</v>
          </cell>
          <cell r="EW24">
            <v>17766</v>
          </cell>
          <cell r="EX24">
            <v>67438</v>
          </cell>
          <cell r="EY24">
            <v>19284</v>
          </cell>
          <cell r="EZ24">
            <v>74845</v>
          </cell>
          <cell r="FA24">
            <v>20879</v>
          </cell>
          <cell r="FB24">
            <v>19496</v>
          </cell>
          <cell r="FC24">
            <v>40375</v>
          </cell>
          <cell r="FD24">
            <v>65075.3</v>
          </cell>
          <cell r="FF24">
            <v>708196</v>
          </cell>
          <cell r="FG24" t="str">
            <v>2015-16</v>
          </cell>
          <cell r="FH24">
            <v>1404980</v>
          </cell>
          <cell r="FI24" t="str">
            <v>2015-16</v>
          </cell>
          <cell r="FJ24">
            <v>3000000</v>
          </cell>
          <cell r="FK24" t="str">
            <v>2016-17</v>
          </cell>
          <cell r="FL24">
            <v>3300000</v>
          </cell>
          <cell r="FM24" t="str">
            <v>2016-17</v>
          </cell>
          <cell r="FN24">
            <v>37000000</v>
          </cell>
          <cell r="FO24" t="str">
            <v>2016-17</v>
          </cell>
          <cell r="FP24">
            <v>56500000</v>
          </cell>
          <cell r="FQ24" t="str">
            <v>2016-17</v>
          </cell>
          <cell r="FR24">
            <v>3200000</v>
          </cell>
          <cell r="FS24" t="str">
            <v>2016-17</v>
          </cell>
          <cell r="FT24">
            <v>15000000</v>
          </cell>
          <cell r="FU24" t="str">
            <v>2016-17</v>
          </cell>
          <cell r="FV24">
            <v>118000000</v>
          </cell>
          <cell r="FW24">
            <v>1001113</v>
          </cell>
          <cell r="FX24" t="str">
            <v>2015-16</v>
          </cell>
          <cell r="FY24">
            <v>38103.417999999998</v>
          </cell>
          <cell r="FZ24">
            <v>776454.53499999992</v>
          </cell>
          <cell r="GA24" t="str">
            <v>abr16 mar17</v>
          </cell>
          <cell r="GB24">
            <v>19652055</v>
          </cell>
          <cell r="GD24">
            <v>1675851</v>
          </cell>
          <cell r="GE24">
            <v>459665</v>
          </cell>
          <cell r="GF24">
            <v>1024918</v>
          </cell>
          <cell r="GG24">
            <v>112337</v>
          </cell>
          <cell r="GH24">
            <v>1596920</v>
          </cell>
          <cell r="GI24">
            <v>1302556</v>
          </cell>
          <cell r="GJ24">
            <v>665408</v>
          </cell>
          <cell r="GK24">
            <v>660753</v>
          </cell>
          <cell r="GL24">
            <v>290290.46000000002</v>
          </cell>
          <cell r="GM24">
            <v>263224.75</v>
          </cell>
          <cell r="GN24">
            <v>1879676.21</v>
          </cell>
          <cell r="GO24">
            <v>193430</v>
          </cell>
          <cell r="GP24">
            <v>76379</v>
          </cell>
          <cell r="GR24">
            <v>42700</v>
          </cell>
          <cell r="GS24">
            <v>42700</v>
          </cell>
          <cell r="GT24">
            <v>2459310</v>
          </cell>
          <cell r="GU24">
            <v>123857</v>
          </cell>
          <cell r="GV24">
            <v>71613</v>
          </cell>
          <cell r="GW24">
            <v>1325145.0000000002</v>
          </cell>
          <cell r="GX24">
            <v>32330.198</v>
          </cell>
          <cell r="GY24" t="str">
            <v>2016-2017</v>
          </cell>
          <cell r="GZ24">
            <v>117154</v>
          </cell>
          <cell r="HA24">
            <v>251000</v>
          </cell>
          <cell r="HB24">
            <v>2678000</v>
          </cell>
          <cell r="HC24" t="str">
            <v>abr16 mar17</v>
          </cell>
          <cell r="HD24">
            <v>46413</v>
          </cell>
          <cell r="HE24">
            <v>528778</v>
          </cell>
          <cell r="HF24" t="str">
            <v>abr16 mar17</v>
          </cell>
          <cell r="HG24">
            <v>192000</v>
          </cell>
          <cell r="HH24">
            <v>2106000</v>
          </cell>
          <cell r="HI24" t="str">
            <v>abr16 mar17</v>
          </cell>
          <cell r="HJ24">
            <v>77920</v>
          </cell>
          <cell r="HK24">
            <v>15458.460000000001</v>
          </cell>
          <cell r="HL24" t="str">
            <v>abr16 mar17</v>
          </cell>
          <cell r="HM24">
            <v>2121458.46</v>
          </cell>
          <cell r="HN24">
            <v>-6.1119800308452543E-2</v>
          </cell>
          <cell r="HO24">
            <v>775890597.02509487</v>
          </cell>
          <cell r="HP24">
            <v>9728.809643563809</v>
          </cell>
          <cell r="HQ24" t="str">
            <v>abr16 mar17</v>
          </cell>
          <cell r="HU24">
            <v>680000</v>
          </cell>
          <cell r="HV24" t="str">
            <v>2016-17</v>
          </cell>
          <cell r="HW24">
            <v>1430000</v>
          </cell>
          <cell r="HX24" t="str">
            <v>2016-17</v>
          </cell>
          <cell r="HY24">
            <v>3350000</v>
          </cell>
          <cell r="HZ24" t="str">
            <v>2016-17</v>
          </cell>
          <cell r="IA24">
            <v>19080000</v>
          </cell>
          <cell r="IB24" t="str">
            <v>2016-17</v>
          </cell>
          <cell r="IC24">
            <v>50000000</v>
          </cell>
          <cell r="ID24" t="str">
            <v>2015-16</v>
          </cell>
          <cell r="IE24">
            <v>2450000</v>
          </cell>
          <cell r="IF24" t="str">
            <v>2016-17</v>
          </cell>
          <cell r="IG24">
            <v>6760000</v>
          </cell>
          <cell r="IH24" t="str">
            <v>2016-17</v>
          </cell>
          <cell r="II24">
            <v>83070000</v>
          </cell>
          <cell r="IJ24">
            <v>1.5656077472231611</v>
          </cell>
          <cell r="IK24" t="str">
            <v>2016-17</v>
          </cell>
          <cell r="IL24">
            <v>48.2</v>
          </cell>
          <cell r="IM24">
            <v>61.915965448790836</v>
          </cell>
          <cell r="IN24">
            <v>197</v>
          </cell>
          <cell r="IO24">
            <v>13.78</v>
          </cell>
          <cell r="IP24">
            <v>5.6116821966314854</v>
          </cell>
          <cell r="IQ24">
            <v>20.2</v>
          </cell>
          <cell r="IR24">
            <v>3.01</v>
          </cell>
          <cell r="IS24">
            <v>5.59</v>
          </cell>
          <cell r="IT24">
            <v>11.85</v>
          </cell>
          <cell r="IU24">
            <v>0.79</v>
          </cell>
          <cell r="IV24">
            <v>18.229999999999997</v>
          </cell>
          <cell r="IY24">
            <v>1.84</v>
          </cell>
          <cell r="IZ24">
            <v>0.3</v>
          </cell>
          <cell r="JF24">
            <v>4.3955173600000004</v>
          </cell>
          <cell r="JG24">
            <v>11.09895725</v>
          </cell>
          <cell r="JH24">
            <v>89.054989309999996</v>
          </cell>
          <cell r="JI24">
            <v>95.669039539999986</v>
          </cell>
          <cell r="JJ24">
            <v>350.16745724999993</v>
          </cell>
          <cell r="JK24">
            <v>61.150220099999999</v>
          </cell>
          <cell r="JL24">
            <v>1236.92573638</v>
          </cell>
          <cell r="JM24">
            <v>0.50503122</v>
          </cell>
          <cell r="JN24">
            <v>249.30376705000003</v>
          </cell>
          <cell r="JO24">
            <v>16.667820129999999</v>
          </cell>
          <cell r="JP24">
            <v>6.4000000000000005E-4</v>
          </cell>
          <cell r="JQ24">
            <v>0.18711149999999999</v>
          </cell>
          <cell r="JR24">
            <v>0.94100110999999997</v>
          </cell>
          <cell r="JS24">
            <v>0</v>
          </cell>
          <cell r="JT24">
            <v>1.59015829</v>
          </cell>
          <cell r="JU24">
            <v>71.881821460000026</v>
          </cell>
          <cell r="JV24">
            <v>10.99374019</v>
          </cell>
          <cell r="JW24">
            <v>52.605189620000004</v>
          </cell>
          <cell r="JX24">
            <v>5.2564624499999999</v>
          </cell>
          <cell r="JY24">
            <v>1.2184406299999999</v>
          </cell>
          <cell r="JZ24">
            <v>1.5706204899999998</v>
          </cell>
          <cell r="KA24">
            <v>0.25967415999999999</v>
          </cell>
          <cell r="KB24">
            <v>21.08703482</v>
          </cell>
          <cell r="KC24">
            <v>10.6901233</v>
          </cell>
          <cell r="KD24">
            <v>6.3384562999999989</v>
          </cell>
          <cell r="KE24">
            <v>16.142346180000001</v>
          </cell>
          <cell r="KF24">
            <v>23.821044199999992</v>
          </cell>
          <cell r="KG24">
            <v>168.83389359999998</v>
          </cell>
          <cell r="KH24">
            <v>45.709226209999997</v>
          </cell>
          <cell r="KI24">
            <v>22.75390659</v>
          </cell>
          <cell r="KJ24">
            <v>1.0601720699999999</v>
          </cell>
          <cell r="KK24">
            <v>9.9312543400000006</v>
          </cell>
          <cell r="KL24">
            <v>0.33506978000000004</v>
          </cell>
          <cell r="KM24">
            <v>7.7238691299999997</v>
          </cell>
          <cell r="KN24">
            <v>1.7902959999999999E-2</v>
          </cell>
          <cell r="KO24">
            <v>3.2381272999999999</v>
          </cell>
          <cell r="KP24">
            <v>8.6193000000000001E-4</v>
          </cell>
          <cell r="KQ24">
            <v>128.87673760000001</v>
          </cell>
          <cell r="KR24">
            <v>7.2405599999999992E-3</v>
          </cell>
          <cell r="KS24">
            <v>0.14433589000000002</v>
          </cell>
          <cell r="KT24">
            <v>4.9528376500000002</v>
          </cell>
          <cell r="KU24">
            <v>0.51554597999999996</v>
          </cell>
          <cell r="KV24">
            <v>0</v>
          </cell>
          <cell r="KW24">
            <v>4.4870701100000003</v>
          </cell>
          <cell r="KX24">
            <v>0</v>
          </cell>
          <cell r="KY24">
            <v>0</v>
          </cell>
          <cell r="KZ24">
            <v>10.241819279999998</v>
          </cell>
          <cell r="LA24">
            <v>0.85468796000000002</v>
          </cell>
          <cell r="LB24">
            <v>3.7563319999999997E-2</v>
          </cell>
          <cell r="LC24">
            <v>0.22921125000000003</v>
          </cell>
          <cell r="LD24">
            <v>1.388375E-2</v>
          </cell>
          <cell r="LE24">
            <v>1.70699288</v>
          </cell>
          <cell r="LF24">
            <v>0.51974505999999998</v>
          </cell>
          <cell r="LG24">
            <v>21.156174570000001</v>
          </cell>
          <cell r="LH24">
            <v>4.5689372700000002</v>
          </cell>
          <cell r="LI24">
            <v>0.3036335</v>
          </cell>
          <cell r="LJ24">
            <v>7.99243E-3</v>
          </cell>
          <cell r="LK24">
            <v>4.5174168299999993</v>
          </cell>
          <cell r="LL24">
            <v>3.9894834100000005</v>
          </cell>
          <cell r="LM24">
            <v>2.7187710799999998</v>
          </cell>
          <cell r="LN24">
            <v>0.39791659000000001</v>
          </cell>
          <cell r="LO24">
            <v>12.288782139999999</v>
          </cell>
          <cell r="LQ24">
            <v>2021.62602075</v>
          </cell>
          <cell r="LR24">
            <v>2.7182709000000003</v>
          </cell>
          <cell r="LS24">
            <v>63.598929810000001</v>
          </cell>
          <cell r="LT24">
            <v>3.0487352799999994</v>
          </cell>
          <cell r="LU24">
            <v>140.00821344000005</v>
          </cell>
          <cell r="LV24">
            <v>4.4870701100000003</v>
          </cell>
          <cell r="LW24">
            <v>0.89225127999999998</v>
          </cell>
          <cell r="LX24">
            <v>2.2406216900000002</v>
          </cell>
          <cell r="LZ24">
            <v>17.82</v>
          </cell>
          <cell r="MA24">
            <v>20.16</v>
          </cell>
          <cell r="MH24">
            <v>37.53</v>
          </cell>
          <cell r="MI24">
            <v>10.5</v>
          </cell>
          <cell r="MJ24">
            <v>14</v>
          </cell>
          <cell r="ML24">
            <v>12.25</v>
          </cell>
          <cell r="MM24">
            <v>25.77</v>
          </cell>
          <cell r="MO24">
            <v>14.47</v>
          </cell>
          <cell r="MP24">
            <v>38.56</v>
          </cell>
          <cell r="MQ24">
            <v>33.25</v>
          </cell>
          <cell r="MU24">
            <v>12.76</v>
          </cell>
          <cell r="MY24">
            <v>29.44</v>
          </cell>
          <cell r="MZ24">
            <v>89.3</v>
          </cell>
          <cell r="NA24">
            <v>39.68</v>
          </cell>
          <cell r="NB24">
            <v>122.81</v>
          </cell>
          <cell r="NC24">
            <v>19.13</v>
          </cell>
          <cell r="NE24">
            <v>108.92</v>
          </cell>
        </row>
        <row r="25">
          <cell r="A25">
            <v>42826</v>
          </cell>
          <cell r="B25">
            <v>4</v>
          </cell>
          <cell r="C25">
            <v>2017</v>
          </cell>
          <cell r="D25">
            <v>25</v>
          </cell>
          <cell r="E25">
            <v>42826</v>
          </cell>
          <cell r="F25">
            <v>15.552777777777777</v>
          </cell>
          <cell r="G25">
            <v>109</v>
          </cell>
          <cell r="H25">
            <v>10368</v>
          </cell>
          <cell r="I25">
            <v>105</v>
          </cell>
          <cell r="J25">
            <v>410</v>
          </cell>
          <cell r="K25">
            <v>2.6</v>
          </cell>
          <cell r="L25">
            <v>31.9</v>
          </cell>
          <cell r="N25">
            <v>1.715111111111111</v>
          </cell>
          <cell r="O25">
            <v>1.560111111111111</v>
          </cell>
          <cell r="P25">
            <v>25.469401697530863</v>
          </cell>
          <cell r="Q25">
            <v>345</v>
          </cell>
          <cell r="R25">
            <v>3450</v>
          </cell>
          <cell r="S25">
            <v>141.69444444444446</v>
          </cell>
          <cell r="T25">
            <v>277.77777777777777</v>
          </cell>
          <cell r="U25">
            <v>153.98181818181817</v>
          </cell>
          <cell r="V25">
            <v>237.90000000000003</v>
          </cell>
          <cell r="W25">
            <v>121.33333333333333</v>
          </cell>
          <cell r="X25">
            <v>169.55555555555554</v>
          </cell>
          <cell r="Y25">
            <v>2203.7422067901234</v>
          </cell>
          <cell r="Z25">
            <v>4320.2160493827159</v>
          </cell>
          <cell r="AA25">
            <v>2394.8449999999998</v>
          </cell>
          <cell r="AB25">
            <v>3700.0058333333336</v>
          </cell>
          <cell r="AC25">
            <v>1887.0703703703703</v>
          </cell>
          <cell r="AD25">
            <v>2637.0598765432096</v>
          </cell>
          <cell r="AE25">
            <v>2857.1565560699592</v>
          </cell>
          <cell r="AF25">
            <v>10456.5</v>
          </cell>
          <cell r="AG25">
            <v>6012</v>
          </cell>
          <cell r="AH25">
            <v>22202</v>
          </cell>
          <cell r="AI25">
            <v>11.03</v>
          </cell>
          <cell r="AJ25">
            <v>6.3</v>
          </cell>
          <cell r="AK25">
            <v>6.3</v>
          </cell>
          <cell r="AL25">
            <v>5.19</v>
          </cell>
          <cell r="AM25">
            <v>8.2094000000000005</v>
          </cell>
          <cell r="AN25">
            <v>23.334380952380958</v>
          </cell>
          <cell r="AO25">
            <v>14.292631578947363</v>
          </cell>
          <cell r="AP25">
            <v>18.813506265664159</v>
          </cell>
          <cell r="AQ25">
            <v>13.671052631578947</v>
          </cell>
          <cell r="AR25">
            <v>5.8873684210526305</v>
          </cell>
          <cell r="AS25">
            <v>5.6267032967032966</v>
          </cell>
          <cell r="AT25">
            <v>14.103157894736841</v>
          </cell>
          <cell r="AU25">
            <v>8.5390765374975892</v>
          </cell>
          <cell r="AV25">
            <v>6.3253333333333357</v>
          </cell>
          <cell r="AW25">
            <v>8.4350000000000005</v>
          </cell>
          <cell r="AX25">
            <v>6.2964999999999991</v>
          </cell>
          <cell r="AY25">
            <v>14.670999999999998</v>
          </cell>
          <cell r="AZ25">
            <v>8.9330000000000016</v>
          </cell>
          <cell r="BA25">
            <v>4.5034482758620689</v>
          </cell>
          <cell r="BB25">
            <v>8.6009870689655177</v>
          </cell>
          <cell r="BC25">
            <v>617</v>
          </cell>
          <cell r="BD25">
            <v>725</v>
          </cell>
          <cell r="BE25">
            <v>660</v>
          </cell>
          <cell r="BF25">
            <v>400</v>
          </cell>
          <cell r="BG25">
            <v>600.5</v>
          </cell>
          <cell r="BH25">
            <v>43.18</v>
          </cell>
          <cell r="BI25">
            <v>10.766</v>
          </cell>
          <cell r="BJ25">
            <v>53.945999999999998</v>
          </cell>
          <cell r="BK25">
            <v>33.296999999999997</v>
          </cell>
          <cell r="BL25">
            <v>34.473999999999997</v>
          </cell>
          <cell r="BM25">
            <v>33.885499999999993</v>
          </cell>
          <cell r="BN25">
            <v>5.26</v>
          </cell>
          <cell r="BO25">
            <v>21.102777777777778</v>
          </cell>
          <cell r="BP25">
            <v>13.011666666666665</v>
          </cell>
          <cell r="BQ25">
            <v>20.293666666666667</v>
          </cell>
          <cell r="BR25">
            <v>19.13</v>
          </cell>
          <cell r="BS25">
            <v>74</v>
          </cell>
          <cell r="BT25">
            <v>45.29</v>
          </cell>
          <cell r="BU25">
            <v>1023.87</v>
          </cell>
          <cell r="BV25">
            <v>32.6</v>
          </cell>
          <cell r="BY25">
            <v>137.44886178528586</v>
          </cell>
          <cell r="BZ25">
            <v>121.92211714783976</v>
          </cell>
          <cell r="CA25">
            <v>119.12784698699615</v>
          </cell>
          <cell r="CB25">
            <v>119.02206515273319</v>
          </cell>
          <cell r="CC25">
            <v>120.35141503913187</v>
          </cell>
          <cell r="CD25">
            <v>119.04277325094152</v>
          </cell>
          <cell r="CE25">
            <v>112.76195317843631</v>
          </cell>
          <cell r="CF25">
            <v>124.4291835708534</v>
          </cell>
          <cell r="CG25">
            <v>119.12253952984874</v>
          </cell>
          <cell r="CH25">
            <v>135.45773419929395</v>
          </cell>
          <cell r="CI25">
            <v>137.26223383511734</v>
          </cell>
          <cell r="CJ25">
            <v>137.69813761958343</v>
          </cell>
          <cell r="CK25">
            <v>135.60854873102338</v>
          </cell>
          <cell r="CL25">
            <v>161.41040216030177</v>
          </cell>
          <cell r="CM25">
            <v>132.9621171267278</v>
          </cell>
          <cell r="CN25">
            <v>124.49237349503591</v>
          </cell>
          <cell r="CO25">
            <v>138.6183603782722</v>
          </cell>
          <cell r="CP25">
            <v>172.24946141997737</v>
          </cell>
          <cell r="CQ25">
            <v>131.80289800236881</v>
          </cell>
          <cell r="CR25">
            <v>132.24487678687726</v>
          </cell>
          <cell r="CS25">
            <v>132.02388739462305</v>
          </cell>
          <cell r="CT25">
            <v>128.47449228023925</v>
          </cell>
          <cell r="CU25">
            <v>122.84430020618461</v>
          </cell>
          <cell r="CV25">
            <v>122.35612235705031</v>
          </cell>
          <cell r="CW25">
            <v>122.35612235705031</v>
          </cell>
          <cell r="CX25">
            <v>122.51884830676174</v>
          </cell>
          <cell r="CY25">
            <v>133.02606136796356</v>
          </cell>
          <cell r="CZ25">
            <v>138.17485373093064</v>
          </cell>
          <cell r="DA25">
            <v>133.12025492021823</v>
          </cell>
          <cell r="DB25">
            <v>132.34374581036033</v>
          </cell>
          <cell r="DC25">
            <v>124.38224963015384</v>
          </cell>
          <cell r="DD25">
            <v>121.63202023831808</v>
          </cell>
          <cell r="DE25">
            <v>119.58878261483767</v>
          </cell>
          <cell r="DF25">
            <v>119.86533890591767</v>
          </cell>
          <cell r="DG25">
            <v>119.72706076037767</v>
          </cell>
          <cell r="DH25">
            <v>134.10325658748468</v>
          </cell>
          <cell r="DI25">
            <v>132.73288956643478</v>
          </cell>
          <cell r="DK25">
            <v>258900</v>
          </cell>
          <cell r="DL25" t="str">
            <v>2016-17</v>
          </cell>
          <cell r="DM25">
            <v>206500</v>
          </cell>
          <cell r="DN25" t="str">
            <v>2016-17</v>
          </cell>
          <cell r="DO25">
            <v>850000</v>
          </cell>
          <cell r="DP25" t="str">
            <v>2016-17</v>
          </cell>
          <cell r="DQ25">
            <v>1700000</v>
          </cell>
          <cell r="DR25" t="str">
            <v>2016-17</v>
          </cell>
          <cell r="DS25">
            <v>4900000</v>
          </cell>
          <cell r="DT25" t="str">
            <v>2016-17</v>
          </cell>
          <cell r="DU25">
            <v>19200000</v>
          </cell>
          <cell r="DV25" t="str">
            <v>2016-17</v>
          </cell>
          <cell r="DW25">
            <v>800000</v>
          </cell>
          <cell r="DX25" t="str">
            <v>2016-17</v>
          </cell>
          <cell r="DY25">
            <v>4700000</v>
          </cell>
          <cell r="DZ25" t="str">
            <v>2016-17</v>
          </cell>
          <cell r="EA25">
            <v>32150000</v>
          </cell>
          <cell r="EB25">
            <v>364191</v>
          </cell>
          <cell r="EC25" t="str">
            <v>2016-17</v>
          </cell>
          <cell r="ED25">
            <v>165327</v>
          </cell>
          <cell r="EE25">
            <v>2016</v>
          </cell>
          <cell r="EF25">
            <v>220848</v>
          </cell>
          <cell r="EG25">
            <v>2017</v>
          </cell>
          <cell r="EH25">
            <v>54163380</v>
          </cell>
          <cell r="EI25">
            <v>2017</v>
          </cell>
          <cell r="EJ25">
            <v>5119438</v>
          </cell>
          <cell r="EK25">
            <v>2018</v>
          </cell>
          <cell r="EL25">
            <v>14864321</v>
          </cell>
          <cell r="EM25">
            <v>2016</v>
          </cell>
          <cell r="EN25">
            <v>3499621</v>
          </cell>
          <cell r="EO25">
            <v>2016</v>
          </cell>
          <cell r="EP25">
            <v>6552</v>
          </cell>
          <cell r="EQ25">
            <v>3003036</v>
          </cell>
          <cell r="ER25">
            <v>33739</v>
          </cell>
          <cell r="ET25">
            <v>23614</v>
          </cell>
          <cell r="EU25">
            <v>16845</v>
          </cell>
          <cell r="EV25">
            <v>9213</v>
          </cell>
          <cell r="EW25">
            <v>17766</v>
          </cell>
          <cell r="EX25">
            <v>67438</v>
          </cell>
          <cell r="EY25">
            <v>19284</v>
          </cell>
          <cell r="EZ25">
            <v>74845</v>
          </cell>
          <cell r="FA25">
            <v>20879</v>
          </cell>
          <cell r="FB25">
            <v>19496</v>
          </cell>
          <cell r="FC25">
            <v>40375</v>
          </cell>
          <cell r="FD25">
            <v>65075.3</v>
          </cell>
          <cell r="FF25">
            <v>708196</v>
          </cell>
          <cell r="FG25" t="str">
            <v>2015-16</v>
          </cell>
          <cell r="FH25">
            <v>1404980</v>
          </cell>
          <cell r="FI25" t="str">
            <v>2015-16</v>
          </cell>
          <cell r="FJ25">
            <v>3000000</v>
          </cell>
          <cell r="FK25" t="str">
            <v>2016-17</v>
          </cell>
          <cell r="FL25">
            <v>3300000</v>
          </cell>
          <cell r="FM25" t="str">
            <v>2016-17</v>
          </cell>
          <cell r="FN25">
            <v>37000000</v>
          </cell>
          <cell r="FO25" t="str">
            <v>2016-17</v>
          </cell>
          <cell r="FP25">
            <v>56500000</v>
          </cell>
          <cell r="FQ25" t="str">
            <v>2016-17</v>
          </cell>
          <cell r="FR25">
            <v>3200000</v>
          </cell>
          <cell r="FS25" t="str">
            <v>2016-17</v>
          </cell>
          <cell r="FT25">
            <v>15000000</v>
          </cell>
          <cell r="FU25" t="str">
            <v>2016-17</v>
          </cell>
          <cell r="FV25">
            <v>118000000</v>
          </cell>
          <cell r="FW25">
            <v>1001113</v>
          </cell>
          <cell r="FX25" t="str">
            <v>2015-16</v>
          </cell>
          <cell r="FY25">
            <v>67565.925000000003</v>
          </cell>
          <cell r="FZ25">
            <v>773780.99199999997</v>
          </cell>
          <cell r="GA25" t="str">
            <v>may16 abr17</v>
          </cell>
          <cell r="GB25">
            <v>19652055</v>
          </cell>
          <cell r="GD25">
            <v>1675851</v>
          </cell>
          <cell r="GE25">
            <v>459665</v>
          </cell>
          <cell r="GF25">
            <v>1024918</v>
          </cell>
          <cell r="GG25">
            <v>112337</v>
          </cell>
          <cell r="GH25">
            <v>1596920</v>
          </cell>
          <cell r="GI25">
            <v>1302556</v>
          </cell>
          <cell r="GJ25">
            <v>665408</v>
          </cell>
          <cell r="GK25">
            <v>660753</v>
          </cell>
          <cell r="GL25">
            <v>290290.46000000002</v>
          </cell>
          <cell r="GM25">
            <v>263224.75</v>
          </cell>
          <cell r="GN25">
            <v>1879676.21</v>
          </cell>
          <cell r="GO25">
            <v>193430</v>
          </cell>
          <cell r="GP25">
            <v>76379</v>
          </cell>
          <cell r="GR25">
            <v>42700</v>
          </cell>
          <cell r="GS25">
            <v>42700</v>
          </cell>
          <cell r="GT25">
            <v>2459310</v>
          </cell>
          <cell r="GU25">
            <v>78063</v>
          </cell>
          <cell r="GV25">
            <v>68655</v>
          </cell>
          <cell r="GW25">
            <v>1369448.3333333335</v>
          </cell>
          <cell r="GX25">
            <v>32330.198</v>
          </cell>
          <cell r="GY25" t="str">
            <v>2016-2017</v>
          </cell>
          <cell r="GZ25">
            <v>117154</v>
          </cell>
          <cell r="HA25">
            <v>208000</v>
          </cell>
          <cell r="HB25">
            <v>2683000</v>
          </cell>
          <cell r="HC25" t="str">
            <v>may16 abr17</v>
          </cell>
          <cell r="HD25">
            <v>43316</v>
          </cell>
          <cell r="HE25">
            <v>530627</v>
          </cell>
          <cell r="HF25" t="str">
            <v>may16 abr17</v>
          </cell>
          <cell r="HG25">
            <v>171000</v>
          </cell>
          <cell r="HH25">
            <v>2110000</v>
          </cell>
          <cell r="HI25" t="str">
            <v>may16 abr17</v>
          </cell>
          <cell r="HJ25">
            <v>68692</v>
          </cell>
          <cell r="HK25">
            <v>19579.98</v>
          </cell>
          <cell r="HL25" t="str">
            <v>may16 abr17</v>
          </cell>
          <cell r="HM25">
            <v>2129579.98</v>
          </cell>
          <cell r="HN25">
            <v>4.9345011664731334E-2</v>
          </cell>
          <cell r="HO25">
            <v>707573341.36552835</v>
          </cell>
          <cell r="HP25">
            <v>9762.082984929335</v>
          </cell>
          <cell r="HQ25" t="str">
            <v>may16 abr17</v>
          </cell>
          <cell r="HU25">
            <v>680000</v>
          </cell>
          <cell r="HV25" t="str">
            <v>2016-17</v>
          </cell>
          <cell r="HW25">
            <v>1430000</v>
          </cell>
          <cell r="HX25" t="str">
            <v>2016-17</v>
          </cell>
          <cell r="HY25">
            <v>3350000</v>
          </cell>
          <cell r="HZ25" t="str">
            <v>2016-17</v>
          </cell>
          <cell r="IA25">
            <v>19080000</v>
          </cell>
          <cell r="IB25" t="str">
            <v>2016-17</v>
          </cell>
          <cell r="IC25">
            <v>47130000</v>
          </cell>
          <cell r="ID25" t="str">
            <v>2016-17</v>
          </cell>
          <cell r="IE25">
            <v>2450000</v>
          </cell>
          <cell r="IF25" t="str">
            <v>2016-17</v>
          </cell>
          <cell r="IG25">
            <v>6760000</v>
          </cell>
          <cell r="IH25" t="str">
            <v>2016-17</v>
          </cell>
          <cell r="II25">
            <v>80200000</v>
          </cell>
          <cell r="IJ25">
            <v>1.5656077472231611</v>
          </cell>
          <cell r="IK25" t="str">
            <v>2016-17</v>
          </cell>
          <cell r="IL25">
            <v>43.8</v>
          </cell>
          <cell r="IM25">
            <v>51.296834627410149</v>
          </cell>
          <cell r="IN25">
            <v>197</v>
          </cell>
          <cell r="IO25">
            <v>12.49</v>
          </cell>
          <cell r="IP25">
            <v>5.6116821966314854</v>
          </cell>
          <cell r="IQ25">
            <v>20.2</v>
          </cell>
          <cell r="IR25">
            <v>3.01</v>
          </cell>
          <cell r="IS25">
            <v>5.59</v>
          </cell>
          <cell r="IT25">
            <v>11.85</v>
          </cell>
          <cell r="IU25">
            <v>0.79</v>
          </cell>
          <cell r="IV25">
            <v>18.229999999999997</v>
          </cell>
          <cell r="IY25">
            <v>1.84</v>
          </cell>
          <cell r="IZ25">
            <v>0.3</v>
          </cell>
          <cell r="JF25">
            <v>4.6521332800000001</v>
          </cell>
          <cell r="JG25">
            <v>14.98686058</v>
          </cell>
          <cell r="JH25">
            <v>55.956556349999993</v>
          </cell>
          <cell r="JI25">
            <v>93.427936130000006</v>
          </cell>
          <cell r="JJ25">
            <v>469.09539126999999</v>
          </cell>
          <cell r="JK25">
            <v>56.617485389999992</v>
          </cell>
          <cell r="JL25">
            <v>1489.23129406</v>
          </cell>
          <cell r="JM25">
            <v>5.6480286799999995</v>
          </cell>
          <cell r="JN25">
            <v>158.12437778999998</v>
          </cell>
          <cell r="JO25">
            <v>16.782956819999999</v>
          </cell>
          <cell r="JP25">
            <v>1.024E-3</v>
          </cell>
          <cell r="JQ25">
            <v>1.2761134599999999</v>
          </cell>
          <cell r="JR25">
            <v>0.9274045099999999</v>
          </cell>
          <cell r="JS25">
            <v>0</v>
          </cell>
          <cell r="JT25">
            <v>0.53179524</v>
          </cell>
          <cell r="JU25">
            <v>74.75249973999999</v>
          </cell>
          <cell r="JV25">
            <v>14.596967690000001</v>
          </cell>
          <cell r="JW25">
            <v>41.896248829999998</v>
          </cell>
          <cell r="JX25">
            <v>34.269380210000001</v>
          </cell>
          <cell r="JY25">
            <v>3.3969007400000004</v>
          </cell>
          <cell r="JZ25">
            <v>0.62964766999999999</v>
          </cell>
          <cell r="KA25">
            <v>0.13214914999999999</v>
          </cell>
          <cell r="KB25">
            <v>22.928221450000002</v>
          </cell>
          <cell r="KC25">
            <v>7.2020895400000002</v>
          </cell>
          <cell r="KD25">
            <v>7.2116885799999997</v>
          </cell>
          <cell r="KE25">
            <v>18.79344558</v>
          </cell>
          <cell r="KF25">
            <v>24.920529299999998</v>
          </cell>
          <cell r="KG25">
            <v>187.86131429000002</v>
          </cell>
          <cell r="KH25">
            <v>33.135752799999999</v>
          </cell>
          <cell r="KI25">
            <v>17.75233588</v>
          </cell>
          <cell r="KJ25">
            <v>1.3874118899999996</v>
          </cell>
          <cell r="KK25">
            <v>6.592508640000001</v>
          </cell>
          <cell r="KL25">
            <v>0.62239456999999998</v>
          </cell>
          <cell r="KM25">
            <v>7.7588517200000009</v>
          </cell>
          <cell r="KN25">
            <v>6.5621800000000008E-2</v>
          </cell>
          <cell r="KO25">
            <v>2.6550543599999998</v>
          </cell>
          <cell r="KP25">
            <v>6.6016199999999997E-2</v>
          </cell>
          <cell r="KQ25">
            <v>50.061913420000003</v>
          </cell>
          <cell r="KR25">
            <v>0</v>
          </cell>
          <cell r="KS25">
            <v>8.0694080000000001E-2</v>
          </cell>
          <cell r="KT25">
            <v>1.7702687900000003</v>
          </cell>
          <cell r="KU25">
            <v>0.62737856999999997</v>
          </cell>
          <cell r="KV25">
            <v>0</v>
          </cell>
          <cell r="KW25">
            <v>3.8684401899999998</v>
          </cell>
          <cell r="KX25">
            <v>0</v>
          </cell>
          <cell r="KY25">
            <v>0</v>
          </cell>
          <cell r="KZ25">
            <v>6.0455985200000004</v>
          </cell>
          <cell r="LA25">
            <v>0.69823413999999995</v>
          </cell>
          <cell r="LB25">
            <v>5.0141400000000003E-3</v>
          </cell>
          <cell r="LC25">
            <v>4.0955900000000003E-2</v>
          </cell>
          <cell r="LD25">
            <v>0</v>
          </cell>
          <cell r="LE25">
            <v>0.71132169000000001</v>
          </cell>
          <cell r="LF25">
            <v>0</v>
          </cell>
          <cell r="LG25">
            <v>16.827980640000003</v>
          </cell>
          <cell r="LH25">
            <v>3.3895350899999999</v>
          </cell>
          <cell r="LI25">
            <v>1.1968000000000001E-4</v>
          </cell>
          <cell r="LJ25">
            <v>0.13431883</v>
          </cell>
          <cell r="LK25">
            <v>1.3408029500000003</v>
          </cell>
          <cell r="LL25">
            <v>3.6380824299999999</v>
          </cell>
          <cell r="LM25">
            <v>2.16944231</v>
          </cell>
          <cell r="LN25">
            <v>0.18944437</v>
          </cell>
          <cell r="LO25">
            <v>7.881446079999999</v>
          </cell>
          <cell r="LQ25">
            <v>2271.4835842799998</v>
          </cell>
          <cell r="LR25">
            <v>2.7353132100000002</v>
          </cell>
          <cell r="LS25">
            <v>56.493216519999997</v>
          </cell>
          <cell r="LT25">
            <v>4.1586975600000002</v>
          </cell>
          <cell r="LU25">
            <v>60.622135380000003</v>
          </cell>
          <cell r="LV25">
            <v>3.8684401899999998</v>
          </cell>
          <cell r="LW25">
            <v>0.70324827999999995</v>
          </cell>
          <cell r="LX25">
            <v>0.71132169000000001</v>
          </cell>
          <cell r="LZ25">
            <v>18.12</v>
          </cell>
          <cell r="MA25">
            <v>20.22</v>
          </cell>
          <cell r="MH25">
            <v>38.19</v>
          </cell>
          <cell r="MI25">
            <v>10.5</v>
          </cell>
          <cell r="MJ25">
            <v>14.67</v>
          </cell>
          <cell r="ML25">
            <v>12.07</v>
          </cell>
          <cell r="MM25">
            <v>27.61</v>
          </cell>
          <cell r="MO25">
            <v>14.79</v>
          </cell>
          <cell r="MP25">
            <v>38.85</v>
          </cell>
          <cell r="MQ25">
            <v>32.909999999999997</v>
          </cell>
          <cell r="MU25">
            <v>13.73</v>
          </cell>
          <cell r="MY25">
            <v>29.81</v>
          </cell>
          <cell r="MZ25">
            <v>89.6</v>
          </cell>
          <cell r="NA25">
            <v>37.299999999999997</v>
          </cell>
          <cell r="NB25">
            <v>123.99</v>
          </cell>
          <cell r="NC25">
            <v>19.98</v>
          </cell>
          <cell r="NE25">
            <v>110.93</v>
          </cell>
        </row>
        <row r="26">
          <cell r="A26">
            <v>42856</v>
          </cell>
          <cell r="B26">
            <v>5</v>
          </cell>
          <cell r="C26">
            <v>2017</v>
          </cell>
          <cell r="D26">
            <v>26</v>
          </cell>
          <cell r="E26">
            <v>42856</v>
          </cell>
          <cell r="F26">
            <v>15.910952380952381</v>
          </cell>
          <cell r="G26">
            <v>110.5</v>
          </cell>
          <cell r="H26">
            <v>10368</v>
          </cell>
          <cell r="I26">
            <v>105</v>
          </cell>
          <cell r="J26">
            <v>410</v>
          </cell>
          <cell r="K26">
            <v>2.6</v>
          </cell>
          <cell r="L26">
            <v>38.799999999999997</v>
          </cell>
          <cell r="N26">
            <v>1.7189047619047619</v>
          </cell>
          <cell r="O26">
            <v>1.563952380952381</v>
          </cell>
          <cell r="P26">
            <v>26.116691836734695</v>
          </cell>
          <cell r="Q26">
            <v>355</v>
          </cell>
          <cell r="R26">
            <v>3550</v>
          </cell>
          <cell r="S26">
            <v>144.33333333333334</v>
          </cell>
          <cell r="T26">
            <v>290.47619047619048</v>
          </cell>
          <cell r="U26">
            <v>154.60952380952381</v>
          </cell>
          <cell r="V26">
            <v>245.1</v>
          </cell>
          <cell r="W26">
            <v>117.19047619047619</v>
          </cell>
          <cell r="X26">
            <v>160.36363636363637</v>
          </cell>
          <cell r="Y26">
            <v>2296.4807936507937</v>
          </cell>
          <cell r="Z26">
            <v>4621.75283446712</v>
          </cell>
          <cell r="AA26">
            <v>2459.9847709750566</v>
          </cell>
          <cell r="AB26">
            <v>3899.7744285714284</v>
          </cell>
          <cell r="AC26">
            <v>1864.6120861678005</v>
          </cell>
          <cell r="AD26">
            <v>2551.5381818181818</v>
          </cell>
          <cell r="AE26">
            <v>2949.0238492750636</v>
          </cell>
          <cell r="AF26">
            <v>10809.4375</v>
          </cell>
          <cell r="AG26">
            <v>6012</v>
          </cell>
          <cell r="AH26">
            <v>22202</v>
          </cell>
          <cell r="AI26">
            <v>11.21</v>
          </cell>
          <cell r="AJ26">
            <v>7.99</v>
          </cell>
          <cell r="AK26">
            <v>7.15</v>
          </cell>
          <cell r="AL26">
            <v>5.36</v>
          </cell>
          <cell r="AM26">
            <v>8.6216000000000008</v>
          </cell>
          <cell r="AN26">
            <v>22.482500000000002</v>
          </cell>
          <cell r="AO26">
            <v>12.914499999999995</v>
          </cell>
          <cell r="AP26">
            <v>17.698499999999999</v>
          </cell>
          <cell r="AQ26">
            <v>12.107999999999999</v>
          </cell>
          <cell r="AR26">
            <v>6.9034999999999984</v>
          </cell>
          <cell r="AS26">
            <v>5.5212121212121197</v>
          </cell>
          <cell r="AT26">
            <v>11.154499999999995</v>
          </cell>
          <cell r="AU26">
            <v>7.8597373737373708</v>
          </cell>
          <cell r="AV26">
            <v>6.2433870967741916</v>
          </cell>
          <cell r="AW26">
            <v>8.1895999999999987</v>
          </cell>
          <cell r="AX26">
            <v>5.6914285714285722</v>
          </cell>
          <cell r="AY26">
            <v>13.054285714285713</v>
          </cell>
          <cell r="AZ26">
            <v>8.8223809523809518</v>
          </cell>
          <cell r="BA26">
            <v>5.1547619047619042</v>
          </cell>
          <cell r="BB26">
            <v>8.180714285714286</v>
          </cell>
          <cell r="BC26">
            <v>617</v>
          </cell>
          <cell r="BD26">
            <v>725</v>
          </cell>
          <cell r="BE26">
            <v>660</v>
          </cell>
          <cell r="BF26">
            <v>400</v>
          </cell>
          <cell r="BG26">
            <v>600.5</v>
          </cell>
          <cell r="BH26">
            <v>43.18</v>
          </cell>
          <cell r="BI26">
            <v>10.766</v>
          </cell>
          <cell r="BJ26">
            <v>53.945999999999998</v>
          </cell>
          <cell r="BK26">
            <v>32.737000000000002</v>
          </cell>
          <cell r="BL26">
            <v>34.536999999999999</v>
          </cell>
          <cell r="BM26">
            <v>33.637</v>
          </cell>
          <cell r="BN26">
            <v>5.41</v>
          </cell>
          <cell r="BO26">
            <v>18.288095238095242</v>
          </cell>
          <cell r="BP26">
            <v>12.644</v>
          </cell>
          <cell r="BQ26">
            <v>17.723685714285715</v>
          </cell>
          <cell r="BR26">
            <v>19.07</v>
          </cell>
          <cell r="BS26">
            <v>74</v>
          </cell>
          <cell r="BT26">
            <v>49.6</v>
          </cell>
          <cell r="BU26">
            <v>1036.8</v>
          </cell>
          <cell r="BV26">
            <v>33.4</v>
          </cell>
          <cell r="BY26">
            <v>141.67049373302055</v>
          </cell>
          <cell r="BZ26">
            <v>126.984994740112</v>
          </cell>
          <cell r="CA26">
            <v>127.26902668868243</v>
          </cell>
          <cell r="CB26">
            <v>128.96658516536158</v>
          </cell>
          <cell r="CC26">
            <v>130.36161045981888</v>
          </cell>
          <cell r="CD26">
            <v>127.12287274435701</v>
          </cell>
          <cell r="CE26">
            <v>121.69025375770684</v>
          </cell>
          <cell r="CF26">
            <v>130.9787228468914</v>
          </cell>
          <cell r="CG26">
            <v>127.73151194380301</v>
          </cell>
          <cell r="CH26">
            <v>142.51494059231305</v>
          </cell>
          <cell r="CI26">
            <v>141.74528931853382</v>
          </cell>
          <cell r="CJ26">
            <v>139.00459376523284</v>
          </cell>
          <cell r="CK26">
            <v>138.04891501975999</v>
          </cell>
          <cell r="CL26">
            <v>161.16622124727957</v>
          </cell>
          <cell r="CM26">
            <v>137.33577064977194</v>
          </cell>
          <cell r="CN26">
            <v>131.78958284883288</v>
          </cell>
          <cell r="CO26">
            <v>142.0851224414111</v>
          </cell>
          <cell r="CP26">
            <v>178.72406034737747</v>
          </cell>
          <cell r="CQ26">
            <v>133.69705413377045</v>
          </cell>
          <cell r="CR26">
            <v>132.82672816263801</v>
          </cell>
          <cell r="CS26">
            <v>133.26189114820423</v>
          </cell>
          <cell r="CT26">
            <v>129.86050145893816</v>
          </cell>
          <cell r="CU26">
            <v>128.78449005039937</v>
          </cell>
          <cell r="CV26">
            <v>126.77050111228638</v>
          </cell>
          <cell r="CW26">
            <v>126.77050111228638</v>
          </cell>
          <cell r="CX26">
            <v>127.44183075832404</v>
          </cell>
          <cell r="CY26">
            <v>135.86328758496367</v>
          </cell>
          <cell r="CZ26">
            <v>141.17348619485929</v>
          </cell>
          <cell r="DA26">
            <v>134.47787963359659</v>
          </cell>
          <cell r="DB26">
            <v>135.23411480167593</v>
          </cell>
          <cell r="DC26">
            <v>127.43718070335812</v>
          </cell>
          <cell r="DD26">
            <v>124.91964855992437</v>
          </cell>
          <cell r="DE26">
            <v>121.75359706909843</v>
          </cell>
          <cell r="DF26">
            <v>123.67514712365053</v>
          </cell>
          <cell r="DG26">
            <v>122.71437209637449</v>
          </cell>
          <cell r="DH26">
            <v>138.09146820178719</v>
          </cell>
          <cell r="DI26">
            <v>134.29342637580544</v>
          </cell>
          <cell r="DK26">
            <v>258900</v>
          </cell>
          <cell r="DL26" t="str">
            <v>2016-17</v>
          </cell>
          <cell r="DM26">
            <v>206500</v>
          </cell>
          <cell r="DN26" t="str">
            <v>2016-17</v>
          </cell>
          <cell r="DO26">
            <v>850000</v>
          </cell>
          <cell r="DP26" t="str">
            <v>2016-17</v>
          </cell>
          <cell r="DQ26">
            <v>1700000</v>
          </cell>
          <cell r="DR26" t="str">
            <v>2016-17</v>
          </cell>
          <cell r="DS26">
            <v>5100000</v>
          </cell>
          <cell r="DT26" t="str">
            <v>2016-17</v>
          </cell>
          <cell r="DU26">
            <v>19200000</v>
          </cell>
          <cell r="DV26" t="str">
            <v>2016-17</v>
          </cell>
          <cell r="DW26">
            <v>800000</v>
          </cell>
          <cell r="DX26" t="str">
            <v>2016-17</v>
          </cell>
          <cell r="DY26">
            <v>5500000</v>
          </cell>
          <cell r="DZ26" t="str">
            <v>2017-18</v>
          </cell>
          <cell r="EA26">
            <v>33150000</v>
          </cell>
          <cell r="EB26">
            <v>364191</v>
          </cell>
          <cell r="EC26" t="str">
            <v>2016-17</v>
          </cell>
          <cell r="ED26">
            <v>165327</v>
          </cell>
          <cell r="EE26">
            <v>2016</v>
          </cell>
          <cell r="EF26">
            <v>220848</v>
          </cell>
          <cell r="EG26">
            <v>2017</v>
          </cell>
          <cell r="EH26">
            <v>54163380</v>
          </cell>
          <cell r="EI26">
            <v>2017</v>
          </cell>
          <cell r="EJ26">
            <v>5119438</v>
          </cell>
          <cell r="EK26">
            <v>2019</v>
          </cell>
          <cell r="EL26">
            <v>14746566</v>
          </cell>
          <cell r="EM26">
            <v>2017</v>
          </cell>
          <cell r="EN26">
            <v>3364725</v>
          </cell>
          <cell r="EO26">
            <v>2017</v>
          </cell>
          <cell r="EP26">
            <v>6552</v>
          </cell>
          <cell r="EQ26">
            <v>3003036</v>
          </cell>
          <cell r="ER26">
            <v>33739</v>
          </cell>
          <cell r="ET26">
            <v>23614</v>
          </cell>
          <cell r="EU26">
            <v>16845</v>
          </cell>
          <cell r="EV26">
            <v>9213</v>
          </cell>
          <cell r="EW26">
            <v>17766</v>
          </cell>
          <cell r="EX26">
            <v>67438</v>
          </cell>
          <cell r="EY26">
            <v>19284</v>
          </cell>
          <cell r="EZ26">
            <v>74845</v>
          </cell>
          <cell r="FA26">
            <v>20879</v>
          </cell>
          <cell r="FB26">
            <v>19496</v>
          </cell>
          <cell r="FC26">
            <v>40375</v>
          </cell>
          <cell r="FD26">
            <v>65075.3</v>
          </cell>
          <cell r="FF26">
            <v>708196</v>
          </cell>
          <cell r="FG26" t="str">
            <v>2015-16</v>
          </cell>
          <cell r="FH26">
            <v>1404980</v>
          </cell>
          <cell r="FI26" t="str">
            <v>2015-16</v>
          </cell>
          <cell r="FJ26">
            <v>3000000</v>
          </cell>
          <cell r="FK26" t="str">
            <v>2016-17</v>
          </cell>
          <cell r="FL26">
            <v>3300000</v>
          </cell>
          <cell r="FM26" t="str">
            <v>2016-17</v>
          </cell>
          <cell r="FN26">
            <v>39000000</v>
          </cell>
          <cell r="FO26" t="str">
            <v>2016-17</v>
          </cell>
          <cell r="FP26">
            <v>57500000</v>
          </cell>
          <cell r="FQ26" t="str">
            <v>2016-17</v>
          </cell>
          <cell r="FR26">
            <v>3200000</v>
          </cell>
          <cell r="FS26" t="str">
            <v>2016-17</v>
          </cell>
          <cell r="FT26">
            <v>15000000</v>
          </cell>
          <cell r="FU26" t="str">
            <v>2016-17</v>
          </cell>
          <cell r="FV26">
            <v>121000000</v>
          </cell>
          <cell r="FW26">
            <v>1001113</v>
          </cell>
          <cell r="FX26" t="str">
            <v>2015-16</v>
          </cell>
          <cell r="FY26">
            <v>115727.72</v>
          </cell>
          <cell r="FZ26">
            <v>753676.68299999996</v>
          </cell>
          <cell r="GA26" t="str">
            <v>jun16 may17</v>
          </cell>
          <cell r="GB26">
            <v>19652055</v>
          </cell>
          <cell r="GD26">
            <v>1675851</v>
          </cell>
          <cell r="GE26">
            <v>459665</v>
          </cell>
          <cell r="GF26">
            <v>1024918</v>
          </cell>
          <cell r="GG26">
            <v>112337</v>
          </cell>
          <cell r="GH26">
            <v>1596920</v>
          </cell>
          <cell r="GI26">
            <v>1302556</v>
          </cell>
          <cell r="GJ26">
            <v>665408</v>
          </cell>
          <cell r="GK26">
            <v>660753</v>
          </cell>
          <cell r="GL26">
            <v>290290.46000000002</v>
          </cell>
          <cell r="GM26">
            <v>263224.75</v>
          </cell>
          <cell r="GN26">
            <v>1879676.21</v>
          </cell>
          <cell r="GO26">
            <v>193430</v>
          </cell>
          <cell r="GP26">
            <v>76379</v>
          </cell>
          <cell r="GR26">
            <v>42700</v>
          </cell>
          <cell r="GS26">
            <v>42700</v>
          </cell>
          <cell r="GT26">
            <v>2459310</v>
          </cell>
          <cell r="GU26">
            <v>50313</v>
          </cell>
          <cell r="GV26">
            <v>61144</v>
          </cell>
          <cell r="GW26">
            <v>1378490.6666666667</v>
          </cell>
          <cell r="GX26">
            <v>32330.198</v>
          </cell>
          <cell r="GY26" t="str">
            <v>2016-2017</v>
          </cell>
          <cell r="GZ26">
            <v>117154</v>
          </cell>
          <cell r="HA26">
            <v>240000</v>
          </cell>
          <cell r="HB26">
            <v>2701000</v>
          </cell>
          <cell r="HC26" t="str">
            <v>jun16 may17</v>
          </cell>
          <cell r="HD26">
            <v>52519</v>
          </cell>
          <cell r="HE26">
            <v>535480</v>
          </cell>
          <cell r="HF26" t="str">
            <v>jun16 may17</v>
          </cell>
          <cell r="HG26">
            <v>186000</v>
          </cell>
          <cell r="HH26">
            <v>2121000</v>
          </cell>
          <cell r="HI26" t="str">
            <v>jun16 may17</v>
          </cell>
          <cell r="HJ26">
            <v>77091</v>
          </cell>
          <cell r="HK26">
            <v>24205.440000000002</v>
          </cell>
          <cell r="HL26" t="str">
            <v>jun16 may17</v>
          </cell>
          <cell r="HM26">
            <v>2145205.44</v>
          </cell>
          <cell r="HN26">
            <v>4.0714839878169803E-2</v>
          </cell>
          <cell r="HO26">
            <v>815296005.5605582</v>
          </cell>
          <cell r="HP26">
            <v>9793.9789904898953</v>
          </cell>
          <cell r="HQ26" t="str">
            <v>jun16 may17</v>
          </cell>
          <cell r="HU26">
            <v>680000</v>
          </cell>
          <cell r="HV26" t="str">
            <v>2016-17</v>
          </cell>
          <cell r="HW26">
            <v>1430000</v>
          </cell>
          <cell r="HX26" t="str">
            <v>2016-17</v>
          </cell>
          <cell r="HY26">
            <v>3350000</v>
          </cell>
          <cell r="HZ26" t="str">
            <v>2016-17</v>
          </cell>
          <cell r="IA26">
            <v>19080000</v>
          </cell>
          <cell r="IB26" t="str">
            <v>2016-17</v>
          </cell>
          <cell r="IC26">
            <v>47130000</v>
          </cell>
          <cell r="ID26" t="str">
            <v>2016-17</v>
          </cell>
          <cell r="IE26">
            <v>2450000</v>
          </cell>
          <cell r="IF26" t="str">
            <v>2016-17</v>
          </cell>
          <cell r="IG26">
            <v>6760000</v>
          </cell>
          <cell r="IH26" t="str">
            <v>2016-17</v>
          </cell>
          <cell r="II26">
            <v>80200000</v>
          </cell>
          <cell r="IJ26">
            <v>1.5656077472231611</v>
          </cell>
          <cell r="IK26" t="str">
            <v>2016-17</v>
          </cell>
          <cell r="IL26">
            <v>46.08</v>
          </cell>
          <cell r="IM26">
            <v>58.17949385935416</v>
          </cell>
          <cell r="IN26">
            <v>197</v>
          </cell>
          <cell r="IO26">
            <v>15.05</v>
          </cell>
          <cell r="IP26">
            <v>5.6116821966314854</v>
          </cell>
          <cell r="IQ26">
            <v>20.2</v>
          </cell>
          <cell r="IR26">
            <v>3.01</v>
          </cell>
          <cell r="IS26">
            <v>5.59</v>
          </cell>
          <cell r="IT26">
            <v>11.85</v>
          </cell>
          <cell r="IU26">
            <v>0.79</v>
          </cell>
          <cell r="IV26">
            <v>18.229999999999997</v>
          </cell>
          <cell r="IY26">
            <v>1.84</v>
          </cell>
          <cell r="IZ26">
            <v>0.3</v>
          </cell>
          <cell r="JF26">
            <v>5.3556067199999999</v>
          </cell>
          <cell r="JG26">
            <v>31.392657139999997</v>
          </cell>
          <cell r="JH26">
            <v>69.815668989999992</v>
          </cell>
          <cell r="JI26">
            <v>73.259385460000004</v>
          </cell>
          <cell r="JJ26">
            <v>369.71081887999992</v>
          </cell>
          <cell r="JK26">
            <v>41.01965723</v>
          </cell>
          <cell r="JL26">
            <v>1893.5545674900004</v>
          </cell>
          <cell r="JM26">
            <v>5.4328835000000009</v>
          </cell>
          <cell r="JN26">
            <v>112.77707617999999</v>
          </cell>
          <cell r="JO26">
            <v>17.995209670000001</v>
          </cell>
          <cell r="JP26">
            <v>0</v>
          </cell>
          <cell r="JQ26">
            <v>2.5659660499999997</v>
          </cell>
          <cell r="JR26">
            <v>1.4443019600000002</v>
          </cell>
          <cell r="JS26">
            <v>0</v>
          </cell>
          <cell r="JT26">
            <v>0.11516999999999999</v>
          </cell>
          <cell r="JU26">
            <v>77.424236659999963</v>
          </cell>
          <cell r="JV26">
            <v>20.890197339999993</v>
          </cell>
          <cell r="JW26">
            <v>26.574318429999998</v>
          </cell>
          <cell r="JX26">
            <v>60.057868539999973</v>
          </cell>
          <cell r="JY26">
            <v>9.0829598900000015</v>
          </cell>
          <cell r="JZ26">
            <v>1.3496525400000001</v>
          </cell>
          <cell r="KA26">
            <v>0.43249087000000003</v>
          </cell>
          <cell r="KB26">
            <v>22.118380160000001</v>
          </cell>
          <cell r="KC26">
            <v>13.48832442</v>
          </cell>
          <cell r="KD26">
            <v>7.9253595899999993</v>
          </cell>
          <cell r="KE26">
            <v>19.12018265</v>
          </cell>
          <cell r="KF26">
            <v>27.825509309999997</v>
          </cell>
          <cell r="KG26">
            <v>175.28204707</v>
          </cell>
          <cell r="KH26">
            <v>39.318540749999997</v>
          </cell>
          <cell r="KI26">
            <v>21.464024389999999</v>
          </cell>
          <cell r="KJ26">
            <v>1.5731640600000001</v>
          </cell>
          <cell r="KK26">
            <v>6.9636280199999989</v>
          </cell>
          <cell r="KL26">
            <v>0.54720363000000005</v>
          </cell>
          <cell r="KM26">
            <v>7.5624854399999997</v>
          </cell>
          <cell r="KN26">
            <v>0.16091213000000001</v>
          </cell>
          <cell r="KO26">
            <v>1.2624659000000003</v>
          </cell>
          <cell r="KP26">
            <v>2.4400199999999998E-3</v>
          </cell>
          <cell r="KQ26">
            <v>74.822321710000011</v>
          </cell>
          <cell r="KR26">
            <v>0</v>
          </cell>
          <cell r="KS26">
            <v>0.10049404999999999</v>
          </cell>
          <cell r="KT26">
            <v>2.6562926999999998</v>
          </cell>
          <cell r="KU26">
            <v>0.76712102999999987</v>
          </cell>
          <cell r="KV26">
            <v>0</v>
          </cell>
          <cell r="KW26">
            <v>4.5582836899999988</v>
          </cell>
          <cell r="KX26">
            <v>0</v>
          </cell>
          <cell r="KY26">
            <v>0</v>
          </cell>
          <cell r="KZ26">
            <v>7.0174095899999998</v>
          </cell>
          <cell r="LA26">
            <v>0.86186949999999996</v>
          </cell>
          <cell r="LB26">
            <v>4.0842E-4</v>
          </cell>
          <cell r="LC26">
            <v>0.16382360000000001</v>
          </cell>
          <cell r="LD26">
            <v>0</v>
          </cell>
          <cell r="LE26">
            <v>0.66466448999999994</v>
          </cell>
          <cell r="LF26">
            <v>0.16021209</v>
          </cell>
          <cell r="LG26">
            <v>22.614801790000001</v>
          </cell>
          <cell r="LH26">
            <v>4.1159786700000005</v>
          </cell>
          <cell r="LI26">
            <v>9.7359560000000012E-2</v>
          </cell>
          <cell r="LJ26">
            <v>0</v>
          </cell>
          <cell r="LK26">
            <v>3.4853554999999998</v>
          </cell>
          <cell r="LL26">
            <v>4.4135722800000003</v>
          </cell>
          <cell r="LM26">
            <v>2.89406308</v>
          </cell>
          <cell r="LN26">
            <v>0.17218668000000001</v>
          </cell>
          <cell r="LO26">
            <v>8.06277942</v>
          </cell>
          <cell r="LQ26">
            <v>2524.5504005000003</v>
          </cell>
          <cell r="LR26">
            <v>4.1254380099999999</v>
          </cell>
          <cell r="LS26">
            <v>47.464515769999991</v>
          </cell>
          <cell r="LT26">
            <v>10.865103300000003</v>
          </cell>
          <cell r="LU26">
            <v>83.908679230000004</v>
          </cell>
          <cell r="LV26">
            <v>4.5582836899999988</v>
          </cell>
          <cell r="LW26">
            <v>0.86227791999999992</v>
          </cell>
          <cell r="LX26">
            <v>0.82487657999999997</v>
          </cell>
          <cell r="LZ26">
            <v>18.55</v>
          </cell>
          <cell r="MA26">
            <v>20.47</v>
          </cell>
          <cell r="MH26">
            <v>38.24</v>
          </cell>
          <cell r="MI26">
            <v>10.54</v>
          </cell>
          <cell r="MJ26">
            <v>14.78</v>
          </cell>
          <cell r="ML26">
            <v>11.77</v>
          </cell>
          <cell r="MM26">
            <v>26.88</v>
          </cell>
          <cell r="MO26">
            <v>14.64</v>
          </cell>
          <cell r="MP26">
            <v>39.75</v>
          </cell>
          <cell r="MQ26">
            <v>32.479999999999997</v>
          </cell>
          <cell r="MU26">
            <v>14.99</v>
          </cell>
          <cell r="MY26">
            <v>30.24</v>
          </cell>
          <cell r="MZ26">
            <v>92</v>
          </cell>
          <cell r="NA26">
            <v>35.75</v>
          </cell>
          <cell r="NB26">
            <v>125.2</v>
          </cell>
          <cell r="NC26">
            <v>20.36</v>
          </cell>
          <cell r="NE26">
            <v>112.22</v>
          </cell>
        </row>
        <row r="27">
          <cell r="A27">
            <v>42887</v>
          </cell>
          <cell r="B27">
            <v>6</v>
          </cell>
          <cell r="C27">
            <v>2017</v>
          </cell>
          <cell r="D27">
            <v>27</v>
          </cell>
          <cell r="E27">
            <v>42887</v>
          </cell>
          <cell r="F27">
            <v>16.316666666666666</v>
          </cell>
          <cell r="G27">
            <v>111.8</v>
          </cell>
          <cell r="H27">
            <v>10368</v>
          </cell>
          <cell r="I27">
            <v>101</v>
          </cell>
          <cell r="J27">
            <v>365</v>
          </cell>
          <cell r="K27">
            <v>2.6</v>
          </cell>
          <cell r="L27">
            <v>37.299999999999997</v>
          </cell>
          <cell r="N27">
            <v>1.6387</v>
          </cell>
          <cell r="O27">
            <v>1.4770000000000001</v>
          </cell>
          <cell r="P27">
            <v>25.418919166666669</v>
          </cell>
          <cell r="Q27">
            <v>370</v>
          </cell>
          <cell r="R27">
            <v>3700</v>
          </cell>
          <cell r="S27">
            <v>143.95238095238096</v>
          </cell>
          <cell r="T27">
            <v>303.8095238095238</v>
          </cell>
          <cell r="U27">
            <v>153.44285714285715</v>
          </cell>
          <cell r="V27">
            <v>245.65238095238098</v>
          </cell>
          <cell r="W27">
            <v>118.78571428571429</v>
          </cell>
          <cell r="X27">
            <v>166.16666666666666</v>
          </cell>
          <cell r="Y27">
            <v>2348.8230158730162</v>
          </cell>
          <cell r="Z27">
            <v>4957.1587301587297</v>
          </cell>
          <cell r="AA27">
            <v>2503.6759523809524</v>
          </cell>
          <cell r="AB27">
            <v>4008.2280158730164</v>
          </cell>
          <cell r="AC27">
            <v>1938.1869047619048</v>
          </cell>
          <cell r="AD27">
            <v>2711.286111111111</v>
          </cell>
          <cell r="AE27">
            <v>3077.8931216931214</v>
          </cell>
          <cell r="AF27">
            <v>11522.380952380952</v>
          </cell>
          <cell r="AG27">
            <v>6012</v>
          </cell>
          <cell r="AH27">
            <v>22202</v>
          </cell>
          <cell r="AI27">
            <v>12.12</v>
          </cell>
          <cell r="AJ27">
            <v>8.6199999999999992</v>
          </cell>
          <cell r="AK27">
            <v>7.29</v>
          </cell>
          <cell r="AL27">
            <v>5.68</v>
          </cell>
          <cell r="AM27">
            <v>9.1785999999999994</v>
          </cell>
          <cell r="AN27">
            <v>21.975660377358487</v>
          </cell>
          <cell r="AO27">
            <v>13.69761904761905</v>
          </cell>
          <cell r="AP27">
            <v>17.836639712488768</v>
          </cell>
          <cell r="AQ27">
            <v>10.593809523809526</v>
          </cell>
          <cell r="AR27">
            <v>7.4300000000000024</v>
          </cell>
          <cell r="AS27">
            <v>6.5263157894736841</v>
          </cell>
          <cell r="AT27">
            <v>9.0604761904761926</v>
          </cell>
          <cell r="AU27">
            <v>7.6722639933166263</v>
          </cell>
          <cell r="AV27">
            <v>5.7855238095238057</v>
          </cell>
          <cell r="AW27">
            <v>7.683809523809523</v>
          </cell>
          <cell r="AX27">
            <v>5.4838095238095228</v>
          </cell>
          <cell r="AY27">
            <v>13.331428571428573</v>
          </cell>
          <cell r="AZ27">
            <v>8.3333333333333339</v>
          </cell>
          <cell r="BA27">
            <v>5.1108000000000011</v>
          </cell>
          <cell r="BB27">
            <v>8.0648428571428568</v>
          </cell>
          <cell r="BC27">
            <v>617</v>
          </cell>
          <cell r="BD27">
            <v>725</v>
          </cell>
          <cell r="BE27">
            <v>660</v>
          </cell>
          <cell r="BF27">
            <v>400</v>
          </cell>
          <cell r="BG27">
            <v>600.5</v>
          </cell>
          <cell r="BH27">
            <v>43.18</v>
          </cell>
          <cell r="BI27">
            <v>12.766</v>
          </cell>
          <cell r="BJ27">
            <v>55.945999999999998</v>
          </cell>
          <cell r="BK27">
            <v>33.665999999999997</v>
          </cell>
          <cell r="BL27">
            <v>34.984000000000002</v>
          </cell>
          <cell r="BM27">
            <v>34.325000000000003</v>
          </cell>
          <cell r="BN27">
            <v>5.51</v>
          </cell>
          <cell r="BO27">
            <v>17.635714285714283</v>
          </cell>
          <cell r="BP27">
            <v>11.775166666666665</v>
          </cell>
          <cell r="BQ27">
            <v>17.04965952380952</v>
          </cell>
          <cell r="BR27">
            <v>18.89</v>
          </cell>
          <cell r="BS27">
            <v>78</v>
          </cell>
          <cell r="BT27">
            <v>52.73</v>
          </cell>
          <cell r="BU27">
            <v>1094.19</v>
          </cell>
          <cell r="BV27">
            <v>32.9</v>
          </cell>
          <cell r="BY27">
            <v>140.32033902641328</v>
          </cell>
          <cell r="BZ27">
            <v>126.31265731211631</v>
          </cell>
          <cell r="CA27">
            <v>127.84709979940443</v>
          </cell>
          <cell r="CB27">
            <v>131.62249755376118</v>
          </cell>
          <cell r="CC27">
            <v>130.80276803733881</v>
          </cell>
          <cell r="CD27">
            <v>128.52552027709299</v>
          </cell>
          <cell r="CE27">
            <v>122.373629667583</v>
          </cell>
          <cell r="CF27">
            <v>132.59588348025903</v>
          </cell>
          <cell r="CG27">
            <v>128.96123313590658</v>
          </cell>
          <cell r="CH27">
            <v>146.80437031522101</v>
          </cell>
          <cell r="CI27">
            <v>139.18305716637144</v>
          </cell>
          <cell r="CJ27">
            <v>136.77551211316873</v>
          </cell>
          <cell r="CK27">
            <v>136.01568509193379</v>
          </cell>
          <cell r="CL27">
            <v>161.53006077963332</v>
          </cell>
          <cell r="CM27">
            <v>134.62648611726343</v>
          </cell>
          <cell r="CN27">
            <v>130.95706467219367</v>
          </cell>
          <cell r="CO27">
            <v>140.78232416525606</v>
          </cell>
          <cell r="CP27">
            <v>180.97496196402824</v>
          </cell>
          <cell r="CQ27">
            <v>132.57738630166665</v>
          </cell>
          <cell r="CR27">
            <v>133.35269208305886</v>
          </cell>
          <cell r="CS27">
            <v>132.96503919236275</v>
          </cell>
          <cell r="CT27">
            <v>127.12952709197909</v>
          </cell>
          <cell r="CU27">
            <v>128.55608442607885</v>
          </cell>
          <cell r="CV27">
            <v>127.17047503019363</v>
          </cell>
          <cell r="CW27">
            <v>127.17047503019363</v>
          </cell>
          <cell r="CX27">
            <v>127.63234482882204</v>
          </cell>
          <cell r="CY27">
            <v>135.42231828955354</v>
          </cell>
          <cell r="CZ27">
            <v>140.19130764143503</v>
          </cell>
          <cell r="DA27">
            <v>134.09827581227009</v>
          </cell>
          <cell r="DB27">
            <v>135.00445545225196</v>
          </cell>
          <cell r="DC27">
            <v>128.71666826110663</v>
          </cell>
          <cell r="DD27">
            <v>126.02853876682474</v>
          </cell>
          <cell r="DE27">
            <v>123.20560249704859</v>
          </cell>
          <cell r="DF27">
            <v>124.81985926142991</v>
          </cell>
          <cell r="DG27">
            <v>124.01273087923926</v>
          </cell>
          <cell r="DH27">
            <v>137.15827370552572</v>
          </cell>
          <cell r="DI27">
            <v>135.01350134824148</v>
          </cell>
          <cell r="DK27">
            <v>258900</v>
          </cell>
          <cell r="DL27" t="str">
            <v>2016-17</v>
          </cell>
          <cell r="DM27">
            <v>206500</v>
          </cell>
          <cell r="DN27" t="str">
            <v>2016-17</v>
          </cell>
          <cell r="DO27">
            <v>850000</v>
          </cell>
          <cell r="DP27" t="str">
            <v>2016-17</v>
          </cell>
          <cell r="DQ27">
            <v>1700000</v>
          </cell>
          <cell r="DR27" t="str">
            <v>2016-17</v>
          </cell>
          <cell r="DS27">
            <v>5100000</v>
          </cell>
          <cell r="DT27" t="str">
            <v>2016-17</v>
          </cell>
          <cell r="DU27">
            <v>19200000</v>
          </cell>
          <cell r="DV27" t="str">
            <v>2016-17</v>
          </cell>
          <cell r="DW27">
            <v>800000</v>
          </cell>
          <cell r="DX27" t="str">
            <v>2016-17</v>
          </cell>
          <cell r="DY27">
            <v>5500000</v>
          </cell>
          <cell r="DZ27" t="str">
            <v>2017-18</v>
          </cell>
          <cell r="EA27">
            <v>33150000</v>
          </cell>
          <cell r="EB27">
            <v>364191</v>
          </cell>
          <cell r="EC27" t="str">
            <v>2016-17</v>
          </cell>
          <cell r="ED27">
            <v>165327</v>
          </cell>
          <cell r="EE27">
            <v>2016</v>
          </cell>
          <cell r="EF27">
            <v>220848</v>
          </cell>
          <cell r="EG27">
            <v>2017</v>
          </cell>
          <cell r="EH27">
            <v>54163380</v>
          </cell>
          <cell r="EI27">
            <v>2017</v>
          </cell>
          <cell r="EJ27">
            <v>5119438</v>
          </cell>
          <cell r="EK27">
            <v>2020</v>
          </cell>
          <cell r="EL27">
            <v>14746566</v>
          </cell>
          <cell r="EM27">
            <v>2017</v>
          </cell>
          <cell r="EN27">
            <v>3364725</v>
          </cell>
          <cell r="EO27">
            <v>2017</v>
          </cell>
          <cell r="EP27">
            <v>6552</v>
          </cell>
          <cell r="EQ27">
            <v>3003036</v>
          </cell>
          <cell r="ER27">
            <v>33739</v>
          </cell>
          <cell r="ET27">
            <v>23614</v>
          </cell>
          <cell r="EU27">
            <v>16845</v>
          </cell>
          <cell r="EV27">
            <v>9213</v>
          </cell>
          <cell r="EW27">
            <v>17766</v>
          </cell>
          <cell r="EX27">
            <v>67438</v>
          </cell>
          <cell r="EY27">
            <v>19284</v>
          </cell>
          <cell r="EZ27">
            <v>74845</v>
          </cell>
          <cell r="FA27">
            <v>20879</v>
          </cell>
          <cell r="FB27">
            <v>19496</v>
          </cell>
          <cell r="FC27">
            <v>40375</v>
          </cell>
          <cell r="FD27">
            <v>65075.3</v>
          </cell>
          <cell r="FF27">
            <v>708196</v>
          </cell>
          <cell r="FG27" t="str">
            <v>2015-16</v>
          </cell>
          <cell r="FH27">
            <v>1404980</v>
          </cell>
          <cell r="FI27" t="str">
            <v>2015-16</v>
          </cell>
          <cell r="FJ27">
            <v>3000000</v>
          </cell>
          <cell r="FK27" t="str">
            <v>2016-17</v>
          </cell>
          <cell r="FL27">
            <v>3300000</v>
          </cell>
          <cell r="FM27" t="str">
            <v>2016-17</v>
          </cell>
          <cell r="FN27">
            <v>39000000</v>
          </cell>
          <cell r="FO27" t="str">
            <v>2016-17</v>
          </cell>
          <cell r="FP27">
            <v>57500000</v>
          </cell>
          <cell r="FQ27" t="str">
            <v>2016-17</v>
          </cell>
          <cell r="FR27">
            <v>3200000</v>
          </cell>
          <cell r="FS27" t="str">
            <v>2016-17</v>
          </cell>
          <cell r="FT27">
            <v>15000000</v>
          </cell>
          <cell r="FU27" t="str">
            <v>2016-17</v>
          </cell>
          <cell r="FV27">
            <v>121000000</v>
          </cell>
          <cell r="FW27">
            <v>1001113</v>
          </cell>
          <cell r="FX27" t="str">
            <v>2015-16</v>
          </cell>
          <cell r="FY27">
            <v>153566.20499999999</v>
          </cell>
          <cell r="FZ27">
            <v>756576.95799999998</v>
          </cell>
          <cell r="GA27" t="str">
            <v>jul16 jun17</v>
          </cell>
          <cell r="GB27">
            <v>19652055</v>
          </cell>
          <cell r="GD27">
            <v>1675851</v>
          </cell>
          <cell r="GE27">
            <v>459665</v>
          </cell>
          <cell r="GF27">
            <v>1024918</v>
          </cell>
          <cell r="GG27">
            <v>112337</v>
          </cell>
          <cell r="GH27">
            <v>1596920</v>
          </cell>
          <cell r="GI27">
            <v>1302556</v>
          </cell>
          <cell r="GJ27">
            <v>665408</v>
          </cell>
          <cell r="GK27">
            <v>660753</v>
          </cell>
          <cell r="GL27">
            <v>290290.46000000002</v>
          </cell>
          <cell r="GM27">
            <v>263224.75</v>
          </cell>
          <cell r="GN27">
            <v>1879676.21</v>
          </cell>
          <cell r="GO27">
            <v>193430</v>
          </cell>
          <cell r="GP27">
            <v>76379</v>
          </cell>
          <cell r="GR27">
            <v>42700</v>
          </cell>
          <cell r="GS27">
            <v>42700</v>
          </cell>
          <cell r="GT27">
            <v>2459310</v>
          </cell>
          <cell r="GU27">
            <v>32824</v>
          </cell>
          <cell r="GV27">
            <v>45251</v>
          </cell>
          <cell r="GW27">
            <v>1354151</v>
          </cell>
          <cell r="GX27">
            <v>32330.198</v>
          </cell>
          <cell r="GY27" t="str">
            <v>2016-2017</v>
          </cell>
          <cell r="GZ27">
            <v>117154</v>
          </cell>
          <cell r="HA27">
            <v>236000</v>
          </cell>
          <cell r="HB27">
            <v>2725000</v>
          </cell>
          <cell r="HC27" t="str">
            <v>jul16 jun17</v>
          </cell>
          <cell r="HD27">
            <v>47897</v>
          </cell>
          <cell r="HE27">
            <v>538902</v>
          </cell>
          <cell r="HF27" t="str">
            <v>jul16 jun17</v>
          </cell>
          <cell r="HG27">
            <v>188000</v>
          </cell>
          <cell r="HH27">
            <v>2127000</v>
          </cell>
          <cell r="HI27" t="str">
            <v>jul16 jun17</v>
          </cell>
          <cell r="HJ27">
            <v>82535</v>
          </cell>
          <cell r="HK27">
            <v>29157.54</v>
          </cell>
          <cell r="HL27" t="str">
            <v>jul16 jun17</v>
          </cell>
          <cell r="HM27">
            <v>2156157.54</v>
          </cell>
          <cell r="HN27">
            <v>4.0252329891197251E-2</v>
          </cell>
          <cell r="HO27">
            <v>861432954.38290036</v>
          </cell>
          <cell r="HP27">
            <v>9827.3119448727939</v>
          </cell>
          <cell r="HQ27" t="str">
            <v>jul16 jun17</v>
          </cell>
          <cell r="HU27">
            <v>680000</v>
          </cell>
          <cell r="HV27" t="str">
            <v>2016-17</v>
          </cell>
          <cell r="HW27">
            <v>1430000</v>
          </cell>
          <cell r="HX27" t="str">
            <v>2016-17</v>
          </cell>
          <cell r="HY27">
            <v>3350000</v>
          </cell>
          <cell r="HZ27" t="str">
            <v>2016-17</v>
          </cell>
          <cell r="IA27">
            <v>19080000</v>
          </cell>
          <cell r="IB27" t="str">
            <v>2016-17</v>
          </cell>
          <cell r="IC27">
            <v>47130000</v>
          </cell>
          <cell r="ID27" t="str">
            <v>2016-17</v>
          </cell>
          <cell r="IE27">
            <v>2450000</v>
          </cell>
          <cell r="IF27" t="str">
            <v>2016-17</v>
          </cell>
          <cell r="IG27">
            <v>6760000</v>
          </cell>
          <cell r="IH27" t="str">
            <v>2016-17</v>
          </cell>
          <cell r="II27">
            <v>80200000</v>
          </cell>
          <cell r="IJ27">
            <v>1.5656077472231611</v>
          </cell>
          <cell r="IK27" t="str">
            <v>2016-17</v>
          </cell>
          <cell r="IL27">
            <v>47.75</v>
          </cell>
          <cell r="IM27">
            <v>58.595469215568826</v>
          </cell>
          <cell r="IN27">
            <v>197</v>
          </cell>
          <cell r="IO27">
            <v>14.44</v>
          </cell>
          <cell r="IP27">
            <v>5.6116821966314854</v>
          </cell>
          <cell r="IQ27">
            <v>20.2</v>
          </cell>
          <cell r="IR27">
            <v>3.01</v>
          </cell>
          <cell r="IS27">
            <v>5.59</v>
          </cell>
          <cell r="IT27">
            <v>11.85</v>
          </cell>
          <cell r="IU27">
            <v>0.79</v>
          </cell>
          <cell r="IV27">
            <v>18.229999999999997</v>
          </cell>
          <cell r="IY27">
            <v>1.84</v>
          </cell>
          <cell r="IZ27">
            <v>0.3</v>
          </cell>
          <cell r="JF27">
            <v>7.0501236800000013</v>
          </cell>
          <cell r="JG27">
            <v>9.3315088399999997</v>
          </cell>
          <cell r="JH27">
            <v>30.284592159999999</v>
          </cell>
          <cell r="JI27">
            <v>55.77827722</v>
          </cell>
          <cell r="JJ27">
            <v>359.38914656000003</v>
          </cell>
          <cell r="JK27">
            <v>73.033300860000011</v>
          </cell>
          <cell r="JL27">
            <v>1618.9045924599998</v>
          </cell>
          <cell r="JM27">
            <v>6.8632028099999998</v>
          </cell>
          <cell r="JN27">
            <v>130.55896969999998</v>
          </cell>
          <cell r="JO27">
            <v>16.98183199</v>
          </cell>
          <cell r="JP27">
            <v>0</v>
          </cell>
          <cell r="JQ27">
            <v>0.96184599999999998</v>
          </cell>
          <cell r="JR27">
            <v>0.49700390000000005</v>
          </cell>
          <cell r="JS27">
            <v>0</v>
          </cell>
          <cell r="JT27">
            <v>1.261865E-2</v>
          </cell>
          <cell r="JU27">
            <v>82.667644260000017</v>
          </cell>
          <cell r="JV27">
            <v>17.120247809999999</v>
          </cell>
          <cell r="JW27">
            <v>18.054905050000002</v>
          </cell>
          <cell r="JX27">
            <v>116.2071637</v>
          </cell>
          <cell r="JY27">
            <v>7.9465135300000016</v>
          </cell>
          <cell r="JZ27">
            <v>6.0956567600000007</v>
          </cell>
          <cell r="KA27">
            <v>0.31236050000000004</v>
          </cell>
          <cell r="KB27">
            <v>20.629936669999999</v>
          </cell>
          <cell r="KC27">
            <v>44.626739650000005</v>
          </cell>
          <cell r="KD27">
            <v>9.7178886000000002</v>
          </cell>
          <cell r="KE27">
            <v>20.123843110000003</v>
          </cell>
          <cell r="KF27">
            <v>29.487660430000002</v>
          </cell>
          <cell r="KG27">
            <v>191.25934076000007</v>
          </cell>
          <cell r="KH27">
            <v>43.261154839999996</v>
          </cell>
          <cell r="KI27">
            <v>16.735869900000001</v>
          </cell>
          <cell r="KJ27">
            <v>1.7362938399999999</v>
          </cell>
          <cell r="KK27">
            <v>8.5412679500000017</v>
          </cell>
          <cell r="KL27">
            <v>0.58932583999999999</v>
          </cell>
          <cell r="KM27">
            <v>1.5681339200000002</v>
          </cell>
          <cell r="KN27">
            <v>0.22927</v>
          </cell>
          <cell r="KO27">
            <v>2.7868433800000001</v>
          </cell>
          <cell r="KP27">
            <v>0.15429782</v>
          </cell>
          <cell r="KQ27">
            <v>61.650343630000002</v>
          </cell>
          <cell r="KR27">
            <v>5.9956959999999997E-2</v>
          </cell>
          <cell r="KS27">
            <v>0.10873050999999999</v>
          </cell>
          <cell r="KT27">
            <v>4.5132295800000009</v>
          </cell>
          <cell r="KU27">
            <v>0.56852242999999991</v>
          </cell>
          <cell r="KV27">
            <v>0</v>
          </cell>
          <cell r="KW27">
            <v>5.4548362900000003</v>
          </cell>
          <cell r="KX27">
            <v>0</v>
          </cell>
          <cell r="KY27">
            <v>0</v>
          </cell>
          <cell r="KZ27">
            <v>2.9338275299999999</v>
          </cell>
          <cell r="LA27">
            <v>2.3690608499999999</v>
          </cell>
          <cell r="LB27">
            <v>0.14961804000000001</v>
          </cell>
          <cell r="LC27">
            <v>4.0955900000000003E-2</v>
          </cell>
          <cell r="LD27">
            <v>0</v>
          </cell>
          <cell r="LE27">
            <v>0.58679844999999997</v>
          </cell>
          <cell r="LF27">
            <v>0.32242537999999998</v>
          </cell>
          <cell r="LG27">
            <v>19.278092330000003</v>
          </cell>
          <cell r="LH27">
            <v>3.5943616600000001</v>
          </cell>
          <cell r="LI27">
            <v>0</v>
          </cell>
          <cell r="LJ27">
            <v>8.3810499999999993E-3</v>
          </cell>
          <cell r="LK27">
            <v>1.8284401200000002</v>
          </cell>
          <cell r="LL27">
            <v>3.9667068500000005</v>
          </cell>
          <cell r="LM27">
            <v>1.83259796</v>
          </cell>
          <cell r="LN27">
            <v>0.31769962000000007</v>
          </cell>
          <cell r="LO27">
            <v>9.8353568399999993</v>
          </cell>
          <cell r="LQ27">
            <v>2201.77878091</v>
          </cell>
          <cell r="LR27">
            <v>1.4714685500000002</v>
          </cell>
          <cell r="LS27">
            <v>35.175152859999997</v>
          </cell>
          <cell r="LT27">
            <v>14.354530790000002</v>
          </cell>
          <cell r="LU27">
            <v>66.403278399999991</v>
          </cell>
          <cell r="LV27">
            <v>5.4548362900000003</v>
          </cell>
          <cell r="LW27">
            <v>2.5186788899999999</v>
          </cell>
          <cell r="LX27">
            <v>0.90922382999999996</v>
          </cell>
          <cell r="LZ27">
            <v>19.260000000000002</v>
          </cell>
          <cell r="MA27">
            <v>20.96</v>
          </cell>
          <cell r="MH27">
            <v>38.64</v>
          </cell>
          <cell r="MI27">
            <v>10.67</v>
          </cell>
          <cell r="MJ27">
            <v>13.9</v>
          </cell>
          <cell r="ML27">
            <v>11.56</v>
          </cell>
          <cell r="MM27">
            <v>28.36</v>
          </cell>
          <cell r="MO27">
            <v>14.59</v>
          </cell>
          <cell r="MP27">
            <v>39.840000000000003</v>
          </cell>
          <cell r="MQ27">
            <v>32.450000000000003</v>
          </cell>
          <cell r="MU27">
            <v>14.35</v>
          </cell>
          <cell r="MY27">
            <v>30.73</v>
          </cell>
          <cell r="MZ27">
            <v>93.4</v>
          </cell>
          <cell r="NA27">
            <v>34.5</v>
          </cell>
          <cell r="NB27">
            <v>125.47</v>
          </cell>
          <cell r="NC27">
            <v>20.96</v>
          </cell>
          <cell r="NE27">
            <v>111.16</v>
          </cell>
        </row>
        <row r="28">
          <cell r="A28">
            <v>42917</v>
          </cell>
          <cell r="B28">
            <v>7</v>
          </cell>
          <cell r="C28">
            <v>2017</v>
          </cell>
          <cell r="D28">
            <v>28</v>
          </cell>
          <cell r="E28">
            <v>42917</v>
          </cell>
          <cell r="F28">
            <v>17.39714285714286</v>
          </cell>
          <cell r="G28">
            <v>113.8</v>
          </cell>
          <cell r="H28">
            <v>10368</v>
          </cell>
          <cell r="I28">
            <v>103</v>
          </cell>
          <cell r="J28">
            <v>350</v>
          </cell>
          <cell r="K28">
            <v>2.6</v>
          </cell>
          <cell r="L28">
            <v>35.799999999999997</v>
          </cell>
          <cell r="N28">
            <v>1.5524285714285713</v>
          </cell>
          <cell r="O28">
            <v>1.3910952380952382</v>
          </cell>
          <cell r="P28">
            <v>25.604452108843542</v>
          </cell>
          <cell r="Q28">
            <v>370</v>
          </cell>
          <cell r="R28">
            <v>3700</v>
          </cell>
          <cell r="S28">
            <v>146.0952380952381</v>
          </cell>
          <cell r="T28">
            <v>306.1904761904762</v>
          </cell>
          <cell r="U28">
            <v>154.3238095238095</v>
          </cell>
          <cell r="V28">
            <v>257.28571428571433</v>
          </cell>
          <cell r="W28">
            <v>118.54761904761905</v>
          </cell>
          <cell r="X28">
            <v>175.30476190476193</v>
          </cell>
          <cell r="Y28">
            <v>2541.6397278911572</v>
          </cell>
          <cell r="Z28">
            <v>5326.839455782314</v>
          </cell>
          <cell r="AA28">
            <v>2684.7933605442176</v>
          </cell>
          <cell r="AB28">
            <v>4476.0363265306141</v>
          </cell>
          <cell r="AC28">
            <v>2062.3898639455788</v>
          </cell>
          <cell r="AD28">
            <v>3049.8019863945588</v>
          </cell>
          <cell r="AE28">
            <v>3356.9167868480736</v>
          </cell>
          <cell r="AF28">
            <v>12013.190476190477</v>
          </cell>
          <cell r="AG28">
            <v>6012</v>
          </cell>
          <cell r="AH28">
            <v>22202</v>
          </cell>
          <cell r="AI28">
            <v>11.32</v>
          </cell>
          <cell r="AJ28">
            <v>7.17</v>
          </cell>
          <cell r="AK28">
            <v>7.07</v>
          </cell>
          <cell r="AL28">
            <v>6.01</v>
          </cell>
          <cell r="AM28">
            <v>8.7745999999999995</v>
          </cell>
          <cell r="AN28">
            <v>22.925952380952378</v>
          </cell>
          <cell r="AO28">
            <v>15.214761904761904</v>
          </cell>
          <cell r="AP28">
            <v>19.070357142857141</v>
          </cell>
          <cell r="AQ28">
            <v>8.879999999999999</v>
          </cell>
          <cell r="AR28">
            <v>7.5857142857142845</v>
          </cell>
          <cell r="AS28">
            <v>7.0054761904761911</v>
          </cell>
          <cell r="AT28">
            <v>7.7385714285714311</v>
          </cell>
          <cell r="AU28">
            <v>7.4432539682539698</v>
          </cell>
          <cell r="AV28">
            <v>6.6047321428571406</v>
          </cell>
          <cell r="AW28">
            <v>7.333333333333333</v>
          </cell>
          <cell r="AX28">
            <v>5.6938095238095245</v>
          </cell>
          <cell r="AY28">
            <v>12.272380952380953</v>
          </cell>
          <cell r="AZ28">
            <v>6.7961904761904766</v>
          </cell>
          <cell r="BA28">
            <v>4.7509523809523806</v>
          </cell>
          <cell r="BB28">
            <v>7.378333333333333</v>
          </cell>
          <cell r="BC28">
            <v>617</v>
          </cell>
          <cell r="BD28">
            <v>761</v>
          </cell>
          <cell r="BE28">
            <v>675</v>
          </cell>
          <cell r="BF28">
            <v>400</v>
          </cell>
          <cell r="BG28">
            <v>613.25</v>
          </cell>
          <cell r="BH28">
            <v>43.18</v>
          </cell>
          <cell r="BI28">
            <v>12.766</v>
          </cell>
          <cell r="BJ28">
            <v>55.945999999999998</v>
          </cell>
          <cell r="BK28">
            <v>33.524999999999999</v>
          </cell>
          <cell r="BL28">
            <v>34.715000000000003</v>
          </cell>
          <cell r="BM28">
            <v>34.120000000000005</v>
          </cell>
          <cell r="BN28">
            <v>5.56</v>
          </cell>
          <cell r="BO28">
            <v>20.835714285714296</v>
          </cell>
          <cell r="BP28">
            <v>11.297833333333335</v>
          </cell>
          <cell r="BQ28">
            <v>19.8819261904762</v>
          </cell>
          <cell r="BR28">
            <v>18.600000000000001</v>
          </cell>
          <cell r="BS28">
            <v>78</v>
          </cell>
          <cell r="BT28">
            <v>57.01</v>
          </cell>
          <cell r="BU28">
            <v>1107.03</v>
          </cell>
          <cell r="BV28">
            <v>34</v>
          </cell>
          <cell r="BY28">
            <v>145.79083086636936</v>
          </cell>
          <cell r="BZ28">
            <v>136.40908394985053</v>
          </cell>
          <cell r="CA28">
            <v>137.00358247392279</v>
          </cell>
          <cell r="CB28">
            <v>141.32512344087837</v>
          </cell>
          <cell r="CC28">
            <v>138.9925222359856</v>
          </cell>
          <cell r="CD28">
            <v>139.81773584639168</v>
          </cell>
          <cell r="CE28">
            <v>129.4036517832775</v>
          </cell>
          <cell r="CF28">
            <v>143.38127794059909</v>
          </cell>
          <cell r="CG28">
            <v>138.32064895350916</v>
          </cell>
          <cell r="CH28">
            <v>155.567848163912</v>
          </cell>
          <cell r="CI28">
            <v>147.26895659661034</v>
          </cell>
          <cell r="CJ28">
            <v>137.90586382738454</v>
          </cell>
          <cell r="CK28">
            <v>140.74253178328075</v>
          </cell>
          <cell r="CL28">
            <v>160.80412838811174</v>
          </cell>
          <cell r="CM28">
            <v>130.5061256745613</v>
          </cell>
          <cell r="CN28">
            <v>131.63118489117679</v>
          </cell>
          <cell r="CO28">
            <v>140.92099268428265</v>
          </cell>
          <cell r="CP28">
            <v>181.61578891598552</v>
          </cell>
          <cell r="CQ28">
            <v>136.09480325009139</v>
          </cell>
          <cell r="CR28">
            <v>138.30344910793079</v>
          </cell>
          <cell r="CS28">
            <v>137.1991261790111</v>
          </cell>
          <cell r="CT28">
            <v>128.45615278381993</v>
          </cell>
          <cell r="CU28">
            <v>132.27801528437766</v>
          </cell>
          <cell r="CV28">
            <v>131.32180217466066</v>
          </cell>
          <cell r="CW28">
            <v>131.32180217466066</v>
          </cell>
          <cell r="CX28">
            <v>131.64053987789967</v>
          </cell>
          <cell r="CY28">
            <v>136.94784831015804</v>
          </cell>
          <cell r="CZ28">
            <v>145.10001095369023</v>
          </cell>
          <cell r="DA28">
            <v>136.51803147748993</v>
          </cell>
          <cell r="DB28">
            <v>137.82508794676099</v>
          </cell>
          <cell r="DC28">
            <v>136.5886461487425</v>
          </cell>
          <cell r="DD28">
            <v>133.22291653215953</v>
          </cell>
          <cell r="DE28">
            <v>129.22474529170503</v>
          </cell>
          <cell r="DF28">
            <v>132.2466957669007</v>
          </cell>
          <cell r="DG28">
            <v>130.73572052930285</v>
          </cell>
          <cell r="DH28">
            <v>140.22578447433557</v>
          </cell>
          <cell r="DI28">
            <v>136.67981657370677</v>
          </cell>
          <cell r="DK28">
            <v>258900</v>
          </cell>
          <cell r="DL28" t="str">
            <v>2016-17</v>
          </cell>
          <cell r="DM28">
            <v>206500</v>
          </cell>
          <cell r="DN28" t="str">
            <v>2016-17</v>
          </cell>
          <cell r="DO28">
            <v>850000</v>
          </cell>
          <cell r="DP28" t="str">
            <v>2016-17</v>
          </cell>
          <cell r="DQ28">
            <v>1700000</v>
          </cell>
          <cell r="DR28" t="str">
            <v>2016-17</v>
          </cell>
          <cell r="DS28">
            <v>5100000</v>
          </cell>
          <cell r="DT28" t="str">
            <v>2016-17</v>
          </cell>
          <cell r="DU28">
            <v>19200000</v>
          </cell>
          <cell r="DV28" t="str">
            <v>2016-17</v>
          </cell>
          <cell r="DW28">
            <v>800000</v>
          </cell>
          <cell r="DX28" t="str">
            <v>2016-17</v>
          </cell>
          <cell r="DY28">
            <v>5450000</v>
          </cell>
          <cell r="DZ28" t="str">
            <v>2017-18</v>
          </cell>
          <cell r="EA28">
            <v>33100000</v>
          </cell>
          <cell r="EB28">
            <v>364191</v>
          </cell>
          <cell r="EC28" t="str">
            <v>2016-17</v>
          </cell>
          <cell r="ED28">
            <v>165327</v>
          </cell>
          <cell r="EE28">
            <v>2016</v>
          </cell>
          <cell r="EF28">
            <v>220848</v>
          </cell>
          <cell r="EG28">
            <v>2017</v>
          </cell>
          <cell r="EH28">
            <v>54163380</v>
          </cell>
          <cell r="EI28">
            <v>2017</v>
          </cell>
          <cell r="EJ28">
            <v>5119438</v>
          </cell>
          <cell r="EK28">
            <v>2021</v>
          </cell>
          <cell r="EL28">
            <v>14746566</v>
          </cell>
          <cell r="EM28">
            <v>2017</v>
          </cell>
          <cell r="EN28">
            <v>3364725</v>
          </cell>
          <cell r="EO28">
            <v>2017</v>
          </cell>
          <cell r="EP28">
            <v>6552</v>
          </cell>
          <cell r="EQ28">
            <v>3003036</v>
          </cell>
          <cell r="ER28">
            <v>33739</v>
          </cell>
          <cell r="ET28">
            <v>23614</v>
          </cell>
          <cell r="EU28">
            <v>16845</v>
          </cell>
          <cell r="EV28">
            <v>9213</v>
          </cell>
          <cell r="EW28">
            <v>17766</v>
          </cell>
          <cell r="EX28">
            <v>67438</v>
          </cell>
          <cell r="EY28">
            <v>19284</v>
          </cell>
          <cell r="EZ28">
            <v>74845</v>
          </cell>
          <cell r="FA28">
            <v>20879</v>
          </cell>
          <cell r="FB28">
            <v>19496</v>
          </cell>
          <cell r="FC28">
            <v>40375</v>
          </cell>
          <cell r="FD28">
            <v>65075.3</v>
          </cell>
          <cell r="FF28">
            <v>708196</v>
          </cell>
          <cell r="FG28" t="str">
            <v>2015-16</v>
          </cell>
          <cell r="FH28">
            <v>1328340</v>
          </cell>
          <cell r="FI28" t="str">
            <v>2016-17</v>
          </cell>
          <cell r="FJ28">
            <v>3000000</v>
          </cell>
          <cell r="FK28" t="str">
            <v>2016-17</v>
          </cell>
          <cell r="FL28">
            <v>3300000</v>
          </cell>
          <cell r="FM28" t="str">
            <v>2016-17</v>
          </cell>
          <cell r="FN28">
            <v>39000000</v>
          </cell>
          <cell r="FO28" t="str">
            <v>2016-17</v>
          </cell>
          <cell r="FP28">
            <v>57500000</v>
          </cell>
          <cell r="FQ28" t="str">
            <v>2016-17</v>
          </cell>
          <cell r="FR28">
            <v>3200000</v>
          </cell>
          <cell r="FS28" t="str">
            <v>2016-17</v>
          </cell>
          <cell r="FT28">
            <v>15000000</v>
          </cell>
          <cell r="FU28" t="str">
            <v>2016-17</v>
          </cell>
          <cell r="FV28">
            <v>121000000</v>
          </cell>
          <cell r="FW28">
            <v>1081031.1999999997</v>
          </cell>
          <cell r="FX28" t="str">
            <v>2016-17</v>
          </cell>
          <cell r="FY28">
            <v>137929.72399999999</v>
          </cell>
          <cell r="FZ28">
            <v>751238.77499999991</v>
          </cell>
          <cell r="GA28" t="str">
            <v>ago16 jul17</v>
          </cell>
          <cell r="GB28">
            <v>19652055</v>
          </cell>
          <cell r="GD28">
            <v>1675851</v>
          </cell>
          <cell r="GE28">
            <v>459665</v>
          </cell>
          <cell r="GF28">
            <v>1024918</v>
          </cell>
          <cell r="GG28">
            <v>112337</v>
          </cell>
          <cell r="GH28">
            <v>1596920</v>
          </cell>
          <cell r="GI28">
            <v>1302556</v>
          </cell>
          <cell r="GJ28">
            <v>665408</v>
          </cell>
          <cell r="GK28">
            <v>660753</v>
          </cell>
          <cell r="GL28">
            <v>290290.46000000002</v>
          </cell>
          <cell r="GM28">
            <v>263224.75</v>
          </cell>
          <cell r="GN28">
            <v>1879676.21</v>
          </cell>
          <cell r="GO28">
            <v>193430</v>
          </cell>
          <cell r="GP28">
            <v>76379</v>
          </cell>
          <cell r="GR28">
            <v>42700</v>
          </cell>
          <cell r="GS28">
            <v>42700</v>
          </cell>
          <cell r="GT28">
            <v>2459310</v>
          </cell>
          <cell r="GU28">
            <v>24569</v>
          </cell>
          <cell r="GV28">
            <v>31978</v>
          </cell>
          <cell r="GW28">
            <v>1308283.3333333333</v>
          </cell>
          <cell r="GX28">
            <v>32330.198</v>
          </cell>
          <cell r="GY28" t="str">
            <v>2016-2017</v>
          </cell>
          <cell r="GZ28">
            <v>117154</v>
          </cell>
          <cell r="HA28">
            <v>235000</v>
          </cell>
          <cell r="HB28">
            <v>2751000</v>
          </cell>
          <cell r="HC28" t="str">
            <v>ago16 jul17</v>
          </cell>
          <cell r="HD28">
            <v>50833</v>
          </cell>
          <cell r="HE28">
            <v>544274</v>
          </cell>
          <cell r="HF28" t="str">
            <v>ago16 jul17</v>
          </cell>
          <cell r="HG28">
            <v>183000</v>
          </cell>
          <cell r="HH28">
            <v>2137000</v>
          </cell>
          <cell r="HI28" t="str">
            <v>ago16 jul17</v>
          </cell>
          <cell r="HJ28">
            <v>79885</v>
          </cell>
          <cell r="HK28">
            <v>33950.639999999999</v>
          </cell>
          <cell r="HL28" t="str">
            <v>ago16 jul17</v>
          </cell>
          <cell r="HM28">
            <v>2170950.64</v>
          </cell>
          <cell r="HN28">
            <v>2.8155852557236093E-2</v>
          </cell>
          <cell r="HO28">
            <v>818103611.87979269</v>
          </cell>
          <cell r="HP28">
            <v>9849.7155567525879</v>
          </cell>
          <cell r="HQ28" t="str">
            <v>ago16 jul17</v>
          </cell>
          <cell r="HU28">
            <v>680000</v>
          </cell>
          <cell r="HV28" t="str">
            <v>2016-17</v>
          </cell>
          <cell r="HW28">
            <v>1430000</v>
          </cell>
          <cell r="HX28" t="str">
            <v>2016-17</v>
          </cell>
          <cell r="HY28">
            <v>3350000</v>
          </cell>
          <cell r="HZ28" t="str">
            <v>2016-17</v>
          </cell>
          <cell r="IA28">
            <v>19080000</v>
          </cell>
          <cell r="IB28" t="str">
            <v>2016-17</v>
          </cell>
          <cell r="IC28">
            <v>47130000</v>
          </cell>
          <cell r="ID28" t="str">
            <v>2016-17</v>
          </cell>
          <cell r="IE28">
            <v>2450000</v>
          </cell>
          <cell r="IF28" t="str">
            <v>2016-17</v>
          </cell>
          <cell r="IG28">
            <v>6760000</v>
          </cell>
          <cell r="IH28" t="str">
            <v>2016-17</v>
          </cell>
          <cell r="II28">
            <v>80200000</v>
          </cell>
          <cell r="IJ28">
            <v>1.5656077472231611</v>
          </cell>
          <cell r="IK28" t="str">
            <v>2016-17</v>
          </cell>
          <cell r="IL28">
            <v>44.72</v>
          </cell>
          <cell r="IM28">
            <v>55.001571675197148</v>
          </cell>
          <cell r="IN28">
            <v>197</v>
          </cell>
          <cell r="IO28">
            <v>14.38</v>
          </cell>
          <cell r="IP28">
            <v>5.6116821966314854</v>
          </cell>
          <cell r="IQ28">
            <v>20.2</v>
          </cell>
          <cell r="IR28">
            <v>3.01</v>
          </cell>
          <cell r="IS28">
            <v>5.59</v>
          </cell>
          <cell r="IT28">
            <v>11.85</v>
          </cell>
          <cell r="IU28">
            <v>0.79</v>
          </cell>
          <cell r="IV28">
            <v>18.229999999999997</v>
          </cell>
          <cell r="IY28">
            <v>1.84</v>
          </cell>
          <cell r="IZ28">
            <v>0.3</v>
          </cell>
          <cell r="JF28">
            <v>6.2707545700000011</v>
          </cell>
          <cell r="JG28">
            <v>17.939397799999998</v>
          </cell>
          <cell r="JH28">
            <v>36.42586103</v>
          </cell>
          <cell r="JI28">
            <v>99.064538580000004</v>
          </cell>
          <cell r="JJ28">
            <v>510.82209113999988</v>
          </cell>
          <cell r="JK28">
            <v>96.186126949999974</v>
          </cell>
          <cell r="JL28">
            <v>1412.7207089600001</v>
          </cell>
          <cell r="JM28">
            <v>4.6418878499999998</v>
          </cell>
          <cell r="JN28">
            <v>147.76998175</v>
          </cell>
          <cell r="JO28">
            <v>17.407230479999999</v>
          </cell>
          <cell r="JP28">
            <v>0</v>
          </cell>
          <cell r="JQ28">
            <v>0.71834500000000001</v>
          </cell>
          <cell r="JR28">
            <v>0.65292755000000002</v>
          </cell>
          <cell r="JS28">
            <v>0</v>
          </cell>
          <cell r="JT28">
            <v>0</v>
          </cell>
          <cell r="JU28">
            <v>86.656141690000027</v>
          </cell>
          <cell r="JV28">
            <v>10.440968849999999</v>
          </cell>
          <cell r="JW28">
            <v>14.501400230000002</v>
          </cell>
          <cell r="JX28">
            <v>83.223131249999994</v>
          </cell>
          <cell r="JY28">
            <v>8.3737320299999976</v>
          </cell>
          <cell r="JZ28">
            <v>10.357562509999999</v>
          </cell>
          <cell r="KA28">
            <v>0.64529398999999998</v>
          </cell>
          <cell r="KB28">
            <v>19.02630611</v>
          </cell>
          <cell r="KC28">
            <v>70.237442219999977</v>
          </cell>
          <cell r="KD28">
            <v>7.2012304899999995</v>
          </cell>
          <cell r="KE28">
            <v>22.29239784</v>
          </cell>
          <cell r="KF28">
            <v>28.490958100000004</v>
          </cell>
          <cell r="KG28">
            <v>199.53285649000003</v>
          </cell>
          <cell r="KH28">
            <v>49.775638690000001</v>
          </cell>
          <cell r="KI28">
            <v>14.452545239999999</v>
          </cell>
          <cell r="KJ28">
            <v>1.7172015200000001</v>
          </cell>
          <cell r="KK28">
            <v>9.4596701099999994</v>
          </cell>
          <cell r="KL28">
            <v>0.47573861000000001</v>
          </cell>
          <cell r="KM28">
            <v>2.5218974199999993</v>
          </cell>
          <cell r="KN28">
            <v>3.0724970000000004E-2</v>
          </cell>
          <cell r="KO28">
            <v>1.5522546600000002</v>
          </cell>
          <cell r="KP28">
            <v>0.15185098</v>
          </cell>
          <cell r="KQ28">
            <v>68.92568876</v>
          </cell>
          <cell r="KR28">
            <v>0</v>
          </cell>
          <cell r="KS28">
            <v>9.0567290000000009E-2</v>
          </cell>
          <cell r="KT28">
            <v>3.7641160399999998</v>
          </cell>
          <cell r="KU28">
            <v>0.78882957999999992</v>
          </cell>
          <cell r="KV28">
            <v>0</v>
          </cell>
          <cell r="KW28">
            <v>3.5987588499999998</v>
          </cell>
          <cell r="KX28">
            <v>0</v>
          </cell>
          <cell r="KY28">
            <v>0</v>
          </cell>
          <cell r="KZ28">
            <v>4.4528180600000002</v>
          </cell>
          <cell r="LA28">
            <v>2.1291983299999999</v>
          </cell>
          <cell r="LB28">
            <v>5.7168530000000002E-2</v>
          </cell>
          <cell r="LC28">
            <v>6.1433849999999998E-2</v>
          </cell>
          <cell r="LD28">
            <v>0</v>
          </cell>
          <cell r="LE28">
            <v>0.71300087000000001</v>
          </cell>
          <cell r="LF28">
            <v>0.67340207000000007</v>
          </cell>
          <cell r="LG28">
            <v>20.682435750000003</v>
          </cell>
          <cell r="LH28">
            <v>4.5238267600000004</v>
          </cell>
          <cell r="LI28">
            <v>0.20445542999999999</v>
          </cell>
          <cell r="LJ28">
            <v>0</v>
          </cell>
          <cell r="LK28">
            <v>1.7533133399999998</v>
          </cell>
          <cell r="LL28">
            <v>3.4940612199999999</v>
          </cell>
          <cell r="LM28">
            <v>3.4634664199999992</v>
          </cell>
          <cell r="LN28">
            <v>0.25446918000000002</v>
          </cell>
          <cell r="LO28">
            <v>7.7362404900000001</v>
          </cell>
          <cell r="LQ28">
            <v>2211.4450693100002</v>
          </cell>
          <cell r="LR28">
            <v>1.37127255</v>
          </cell>
          <cell r="LS28">
            <v>24.942369079999999</v>
          </cell>
          <cell r="LT28">
            <v>19.376588529999996</v>
          </cell>
          <cell r="LU28">
            <v>73.121133099999994</v>
          </cell>
          <cell r="LV28">
            <v>3.5987588499999998</v>
          </cell>
          <cell r="LW28">
            <v>2.1863668600000001</v>
          </cell>
          <cell r="LX28">
            <v>1.38640294</v>
          </cell>
          <cell r="LZ28">
            <v>19.579999999999998</v>
          </cell>
          <cell r="MA28">
            <v>21.08</v>
          </cell>
          <cell r="MH28">
            <v>39.119999999999997</v>
          </cell>
          <cell r="MI28">
            <v>10.61</v>
          </cell>
          <cell r="MJ28">
            <v>14.48</v>
          </cell>
          <cell r="ML28">
            <v>11.54</v>
          </cell>
          <cell r="MM28">
            <v>23.44</v>
          </cell>
          <cell r="MO28">
            <v>14.79</v>
          </cell>
          <cell r="MP28">
            <v>41.25</v>
          </cell>
          <cell r="MQ28">
            <v>32.92</v>
          </cell>
          <cell r="MU28">
            <v>13.89</v>
          </cell>
          <cell r="MY28">
            <v>31.33</v>
          </cell>
          <cell r="MZ28">
            <v>95.5</v>
          </cell>
          <cell r="NA28">
            <v>35.729999999999997</v>
          </cell>
          <cell r="NB28">
            <v>125.1</v>
          </cell>
          <cell r="NC28">
            <v>21.53</v>
          </cell>
          <cell r="NE28">
            <v>111.4</v>
          </cell>
        </row>
        <row r="29">
          <cell r="A29">
            <v>42948</v>
          </cell>
          <cell r="B29">
            <v>8</v>
          </cell>
          <cell r="C29">
            <v>2017</v>
          </cell>
          <cell r="D29">
            <v>29</v>
          </cell>
          <cell r="E29">
            <v>42948</v>
          </cell>
          <cell r="F29">
            <v>17.618863636363638</v>
          </cell>
          <cell r="G29">
            <v>115.4</v>
          </cell>
          <cell r="H29">
            <v>10368</v>
          </cell>
          <cell r="I29">
            <v>98</v>
          </cell>
          <cell r="J29">
            <v>350</v>
          </cell>
          <cell r="K29">
            <v>2.6</v>
          </cell>
          <cell r="L29">
            <v>34.1</v>
          </cell>
          <cell r="N29">
            <v>1.5649999999999999</v>
          </cell>
          <cell r="O29">
            <v>1.427</v>
          </cell>
          <cell r="P29">
            <v>26.357820000000004</v>
          </cell>
          <cell r="Q29">
            <v>405</v>
          </cell>
          <cell r="R29">
            <v>4050</v>
          </cell>
          <cell r="S29">
            <v>152.5</v>
          </cell>
          <cell r="T29">
            <v>311.36363636363637</v>
          </cell>
          <cell r="U29">
            <v>149.60909090909092</v>
          </cell>
          <cell r="V29">
            <v>251.80909090909091</v>
          </cell>
          <cell r="W29">
            <v>114.86363636363636</v>
          </cell>
          <cell r="X29">
            <v>167.27727272727273</v>
          </cell>
          <cell r="Y29">
            <v>2686.8767045454547</v>
          </cell>
          <cell r="Z29">
            <v>5485.8734504132235</v>
          </cell>
          <cell r="AA29">
            <v>2635.9421714876039</v>
          </cell>
          <cell r="AB29">
            <v>4436.5900351239679</v>
          </cell>
          <cell r="AC29">
            <v>2023.7667458677688</v>
          </cell>
          <cell r="AD29">
            <v>2947.2354576446287</v>
          </cell>
          <cell r="AE29">
            <v>3369.3807608471079</v>
          </cell>
          <cell r="AF29">
            <v>12463.095238095239</v>
          </cell>
          <cell r="AG29">
            <v>6012</v>
          </cell>
          <cell r="AH29">
            <v>22202</v>
          </cell>
          <cell r="AI29">
            <v>12.02</v>
          </cell>
          <cell r="AJ29">
            <v>7.48</v>
          </cell>
          <cell r="AK29">
            <v>7.48</v>
          </cell>
          <cell r="AL29">
            <v>5.87</v>
          </cell>
          <cell r="AM29">
            <v>9.1820000000000004</v>
          </cell>
          <cell r="AN29">
            <v>24.109696969696969</v>
          </cell>
          <cell r="AO29">
            <v>15.843181818181812</v>
          </cell>
          <cell r="AP29">
            <v>19.97643939393939</v>
          </cell>
          <cell r="AQ29">
            <v>9.6499999999999986</v>
          </cell>
          <cell r="AR29">
            <v>7.9395454545454518</v>
          </cell>
          <cell r="AS29">
            <v>6.9276767676767657</v>
          </cell>
          <cell r="AT29">
            <v>7.053636363636361</v>
          </cell>
          <cell r="AU29">
            <v>7.3069528619528592</v>
          </cell>
          <cell r="AV29">
            <v>6.925090909090911</v>
          </cell>
          <cell r="AW29">
            <v>7.3513636363636348</v>
          </cell>
          <cell r="AX29">
            <v>5.1149999999999993</v>
          </cell>
          <cell r="AY29">
            <v>22.947272727272722</v>
          </cell>
          <cell r="AZ29">
            <v>6.3963636363636365</v>
          </cell>
          <cell r="BA29">
            <v>4.7725000000000009</v>
          </cell>
          <cell r="BB29">
            <v>9.8077840909090899</v>
          </cell>
          <cell r="BC29">
            <v>632</v>
          </cell>
          <cell r="BD29">
            <v>776</v>
          </cell>
          <cell r="BE29">
            <v>675</v>
          </cell>
          <cell r="BF29">
            <v>400</v>
          </cell>
          <cell r="BG29">
            <v>620.75</v>
          </cell>
          <cell r="BH29">
            <v>43.18</v>
          </cell>
          <cell r="BI29">
            <v>12.766</v>
          </cell>
          <cell r="BJ29">
            <v>55.945999999999998</v>
          </cell>
          <cell r="BK29">
            <v>34.628</v>
          </cell>
          <cell r="BL29">
            <v>34.767000000000003</v>
          </cell>
          <cell r="BM29">
            <v>34.697500000000005</v>
          </cell>
          <cell r="BN29">
            <v>5.61</v>
          </cell>
          <cell r="BO29">
            <v>22.659090909090914</v>
          </cell>
          <cell r="BP29">
            <v>11.532000000000002</v>
          </cell>
          <cell r="BQ29">
            <v>21.546381818181825</v>
          </cell>
          <cell r="BR29">
            <v>18.989999999999998</v>
          </cell>
          <cell r="BS29">
            <v>78</v>
          </cell>
          <cell r="BT29">
            <v>60.41</v>
          </cell>
          <cell r="BU29">
            <v>1117.23</v>
          </cell>
          <cell r="BV29">
            <v>34.200000000000003</v>
          </cell>
          <cell r="BY29">
            <v>145.80446169259079</v>
          </cell>
          <cell r="BZ29">
            <v>133.09355556576773</v>
          </cell>
          <cell r="CA29">
            <v>136.78508548466831</v>
          </cell>
          <cell r="CB29">
            <v>140.57172583789136</v>
          </cell>
          <cell r="CC29">
            <v>136.38323659754005</v>
          </cell>
          <cell r="CD29">
            <v>137.98520903636481</v>
          </cell>
          <cell r="CE29">
            <v>126.74612774117995</v>
          </cell>
          <cell r="CF29">
            <v>140.52064190592938</v>
          </cell>
          <cell r="CG29">
            <v>136.49867110059566</v>
          </cell>
          <cell r="CH29">
            <v>156.86488917460554</v>
          </cell>
          <cell r="CI29">
            <v>146.97661349817116</v>
          </cell>
          <cell r="CJ29">
            <v>137.14272631718271</v>
          </cell>
          <cell r="CK29">
            <v>136.50565302937605</v>
          </cell>
          <cell r="CL29">
            <v>202.69267288810991</v>
          </cell>
          <cell r="CM29">
            <v>127.65633621006704</v>
          </cell>
          <cell r="CN29">
            <v>130.66614665364179</v>
          </cell>
          <cell r="CO29">
            <v>149.38020219529869</v>
          </cell>
          <cell r="CP29">
            <v>182.19173324012667</v>
          </cell>
          <cell r="CQ29">
            <v>136.26986668878911</v>
          </cell>
          <cell r="CR29">
            <v>138.3546585921294</v>
          </cell>
          <cell r="CS29">
            <v>137.31226264045927</v>
          </cell>
          <cell r="CT29">
            <v>128.14064093206122</v>
          </cell>
          <cell r="CU29">
            <v>131.50706433470117</v>
          </cell>
          <cell r="CV29">
            <v>129.96455748613457</v>
          </cell>
          <cell r="CW29">
            <v>129.96455748613457</v>
          </cell>
          <cell r="CX29">
            <v>130.47872643565677</v>
          </cell>
          <cell r="CY29">
            <v>136.21470214496131</v>
          </cell>
          <cell r="CZ29">
            <v>143.24227348645402</v>
          </cell>
          <cell r="DA29">
            <v>135.80134188903338</v>
          </cell>
          <cell r="DB29">
            <v>137.73968436602658</v>
          </cell>
          <cell r="DC29">
            <v>134.20397657005662</v>
          </cell>
          <cell r="DD29">
            <v>131.02958649355691</v>
          </cell>
          <cell r="DE29">
            <v>127.60125539306723</v>
          </cell>
          <cell r="DF29">
            <v>129.99776963341361</v>
          </cell>
          <cell r="DG29">
            <v>128.79951251324042</v>
          </cell>
          <cell r="DH29">
            <v>139.34011661957157</v>
          </cell>
          <cell r="DI29">
            <v>136.4356396763275</v>
          </cell>
          <cell r="DK29">
            <v>258900</v>
          </cell>
          <cell r="DL29" t="str">
            <v>2016-17</v>
          </cell>
          <cell r="DM29">
            <v>206500</v>
          </cell>
          <cell r="DN29" t="str">
            <v>2016-17</v>
          </cell>
          <cell r="DO29">
            <v>800000</v>
          </cell>
          <cell r="DP29" t="str">
            <v>2017-18</v>
          </cell>
          <cell r="DQ29">
            <v>1800000</v>
          </cell>
          <cell r="DR29" t="str">
            <v>2017-18</v>
          </cell>
          <cell r="DS29">
            <v>5100000</v>
          </cell>
          <cell r="DT29" t="str">
            <v>2016-17</v>
          </cell>
          <cell r="DU29">
            <v>19200000</v>
          </cell>
          <cell r="DV29" t="str">
            <v>2016-17</v>
          </cell>
          <cell r="DW29">
            <v>800000</v>
          </cell>
          <cell r="DX29" t="str">
            <v>2016-17</v>
          </cell>
          <cell r="DY29">
            <v>5450000</v>
          </cell>
          <cell r="DZ29" t="str">
            <v>2017-18</v>
          </cell>
          <cell r="EA29">
            <v>33150000</v>
          </cell>
          <cell r="EB29">
            <v>364191</v>
          </cell>
          <cell r="EC29" t="str">
            <v>2016-17</v>
          </cell>
          <cell r="ED29">
            <v>165327</v>
          </cell>
          <cell r="EE29">
            <v>2016</v>
          </cell>
          <cell r="EF29">
            <v>220848</v>
          </cell>
          <cell r="EG29">
            <v>2017</v>
          </cell>
          <cell r="EH29">
            <v>54163380</v>
          </cell>
          <cell r="EI29">
            <v>2017</v>
          </cell>
          <cell r="EJ29">
            <v>5119438</v>
          </cell>
          <cell r="EK29">
            <v>2022</v>
          </cell>
          <cell r="EL29">
            <v>14746566</v>
          </cell>
          <cell r="EM29">
            <v>2017</v>
          </cell>
          <cell r="EN29">
            <v>3364725</v>
          </cell>
          <cell r="EO29">
            <v>2017</v>
          </cell>
          <cell r="EP29">
            <v>6552</v>
          </cell>
          <cell r="EQ29">
            <v>3003036</v>
          </cell>
          <cell r="ER29">
            <v>33739</v>
          </cell>
          <cell r="ET29">
            <v>23614</v>
          </cell>
          <cell r="EU29">
            <v>16845</v>
          </cell>
          <cell r="EV29">
            <v>9213</v>
          </cell>
          <cell r="EW29">
            <v>17766</v>
          </cell>
          <cell r="EX29">
            <v>67438</v>
          </cell>
          <cell r="EY29">
            <v>19284</v>
          </cell>
          <cell r="EZ29">
            <v>74845</v>
          </cell>
          <cell r="FA29">
            <v>20879</v>
          </cell>
          <cell r="FB29">
            <v>19496</v>
          </cell>
          <cell r="FC29">
            <v>40375</v>
          </cell>
          <cell r="FD29">
            <v>65075.3</v>
          </cell>
          <cell r="FF29">
            <v>708196</v>
          </cell>
          <cell r="FG29" t="str">
            <v>2015-16</v>
          </cell>
          <cell r="FH29">
            <v>1328340</v>
          </cell>
          <cell r="FI29" t="str">
            <v>2016-17</v>
          </cell>
          <cell r="FJ29">
            <v>3000000</v>
          </cell>
          <cell r="FK29" t="str">
            <v>2016-17</v>
          </cell>
          <cell r="FL29">
            <v>3300000</v>
          </cell>
          <cell r="FM29" t="str">
            <v>2016-17</v>
          </cell>
          <cell r="FN29">
            <v>39000000</v>
          </cell>
          <cell r="FO29" t="str">
            <v>2016-17</v>
          </cell>
          <cell r="FP29">
            <v>57500000</v>
          </cell>
          <cell r="FQ29" t="str">
            <v>2016-17</v>
          </cell>
          <cell r="FR29">
            <v>3200000</v>
          </cell>
          <cell r="FS29" t="str">
            <v>2016-17</v>
          </cell>
          <cell r="FT29">
            <v>15000000</v>
          </cell>
          <cell r="FU29" t="str">
            <v>2016-17</v>
          </cell>
          <cell r="FV29">
            <v>121000000</v>
          </cell>
          <cell r="FW29">
            <v>1081031.1999999997</v>
          </cell>
          <cell r="FX29" t="str">
            <v>2016-17</v>
          </cell>
          <cell r="FY29">
            <v>85135.138000000006</v>
          </cell>
          <cell r="FZ29">
            <v>709863.86100000003</v>
          </cell>
          <cell r="GA29" t="str">
            <v>sept16 ago17</v>
          </cell>
          <cell r="GB29">
            <v>19652055</v>
          </cell>
          <cell r="GD29">
            <v>1675851</v>
          </cell>
          <cell r="GE29">
            <v>459665</v>
          </cell>
          <cell r="GF29">
            <v>1024918</v>
          </cell>
          <cell r="GG29">
            <v>112337</v>
          </cell>
          <cell r="GH29">
            <v>1596920</v>
          </cell>
          <cell r="GI29">
            <v>1302556</v>
          </cell>
          <cell r="GJ29">
            <v>665408</v>
          </cell>
          <cell r="GK29">
            <v>660753</v>
          </cell>
          <cell r="GL29">
            <v>290290.46000000002</v>
          </cell>
          <cell r="GM29">
            <v>263224.75</v>
          </cell>
          <cell r="GN29">
            <v>1879676.21</v>
          </cell>
          <cell r="GO29">
            <v>193430</v>
          </cell>
          <cell r="GP29">
            <v>76379</v>
          </cell>
          <cell r="GR29">
            <v>42700</v>
          </cell>
          <cell r="GS29">
            <v>42700</v>
          </cell>
          <cell r="GT29">
            <v>2459310</v>
          </cell>
          <cell r="GU29">
            <v>18170</v>
          </cell>
          <cell r="GV29">
            <v>32526</v>
          </cell>
          <cell r="GW29">
            <v>1256564.6666666665</v>
          </cell>
          <cell r="GX29">
            <v>32330.198</v>
          </cell>
          <cell r="GY29" t="str">
            <v>2016-2017</v>
          </cell>
          <cell r="GZ29">
            <v>117154</v>
          </cell>
          <cell r="HA29">
            <v>247000</v>
          </cell>
          <cell r="HB29">
            <v>2764000</v>
          </cell>
          <cell r="HC29" t="str">
            <v>sept16 ago17</v>
          </cell>
          <cell r="HD29">
            <v>50786</v>
          </cell>
          <cell r="HE29">
            <v>548863</v>
          </cell>
          <cell r="HF29" t="str">
            <v>sept16 ago17</v>
          </cell>
          <cell r="HG29">
            <v>184000</v>
          </cell>
          <cell r="HH29">
            <v>2134000</v>
          </cell>
          <cell r="HI29" t="str">
            <v>sept16 ago17</v>
          </cell>
          <cell r="HJ29">
            <v>90164</v>
          </cell>
          <cell r="HK29">
            <v>39360.480000000003</v>
          </cell>
          <cell r="HL29" t="str">
            <v>sept16 ago17</v>
          </cell>
          <cell r="HM29">
            <v>2173360.48</v>
          </cell>
          <cell r="HN29">
            <v>-2.3974553404888882E-2</v>
          </cell>
          <cell r="HO29">
            <v>842895575.67953801</v>
          </cell>
          <cell r="HP29">
            <v>9829.0111324321242</v>
          </cell>
          <cell r="HQ29" t="str">
            <v>sept16 ago17</v>
          </cell>
          <cell r="HU29">
            <v>680000</v>
          </cell>
          <cell r="HV29" t="str">
            <v>2016-17</v>
          </cell>
          <cell r="HW29">
            <v>1430000</v>
          </cell>
          <cell r="HX29" t="str">
            <v>2016-17</v>
          </cell>
          <cell r="HY29">
            <v>3350000</v>
          </cell>
          <cell r="HZ29" t="str">
            <v>2016-17</v>
          </cell>
          <cell r="IA29">
            <v>19080000</v>
          </cell>
          <cell r="IB29" t="str">
            <v>2016-17</v>
          </cell>
          <cell r="IC29">
            <v>47130000</v>
          </cell>
          <cell r="ID29" t="str">
            <v>2016-17</v>
          </cell>
          <cell r="IE29">
            <v>2450000</v>
          </cell>
          <cell r="IF29" t="str">
            <v>2016-17</v>
          </cell>
          <cell r="IG29">
            <v>6760000</v>
          </cell>
          <cell r="IH29" t="str">
            <v>2016-17</v>
          </cell>
          <cell r="II29">
            <v>80200000</v>
          </cell>
          <cell r="IJ29">
            <v>1.5656077472231611</v>
          </cell>
          <cell r="IK29" t="str">
            <v>2016-17</v>
          </cell>
          <cell r="IL29">
            <v>44.8</v>
          </cell>
          <cell r="IM29">
            <v>60.315837701593011</v>
          </cell>
          <cell r="IN29">
            <v>197</v>
          </cell>
          <cell r="IO29">
            <v>14.27</v>
          </cell>
          <cell r="IP29">
            <v>5.6116821966314854</v>
          </cell>
          <cell r="IQ29">
            <v>20.2</v>
          </cell>
          <cell r="IR29">
            <v>3.01</v>
          </cell>
          <cell r="IS29">
            <v>5.59</v>
          </cell>
          <cell r="IT29">
            <v>11.85</v>
          </cell>
          <cell r="IU29">
            <v>0.79</v>
          </cell>
          <cell r="IV29">
            <v>18.229999999999997</v>
          </cell>
          <cell r="IY29">
            <v>1.84</v>
          </cell>
          <cell r="IZ29">
            <v>0.3</v>
          </cell>
          <cell r="JF29">
            <v>7.6848334199999995</v>
          </cell>
          <cell r="JG29">
            <v>12.524635279999998</v>
          </cell>
          <cell r="JH29">
            <v>32.579766720000002</v>
          </cell>
          <cell r="JI29">
            <v>62.147863600000008</v>
          </cell>
          <cell r="JJ29">
            <v>463.69186700000006</v>
          </cell>
          <cell r="JK29">
            <v>92.734211180000017</v>
          </cell>
          <cell r="JL29">
            <v>1578.62897477</v>
          </cell>
          <cell r="JM29">
            <v>11.165362269999999</v>
          </cell>
          <cell r="JN29">
            <v>161.77627117</v>
          </cell>
          <cell r="JO29">
            <v>16.414636229999999</v>
          </cell>
          <cell r="JP29">
            <v>0</v>
          </cell>
          <cell r="JQ29">
            <v>0.29641450000000003</v>
          </cell>
          <cell r="JR29">
            <v>0.60977066000000002</v>
          </cell>
          <cell r="JS29">
            <v>0</v>
          </cell>
          <cell r="JT29">
            <v>1.491E-2</v>
          </cell>
          <cell r="JU29">
            <v>93.698551419999959</v>
          </cell>
          <cell r="JV29">
            <v>12.16974476</v>
          </cell>
          <cell r="JW29">
            <v>9.9977768999999999</v>
          </cell>
          <cell r="JX29">
            <v>34.624079109999997</v>
          </cell>
          <cell r="JY29">
            <v>6.8936316499999997</v>
          </cell>
          <cell r="JZ29">
            <v>9.0346774200000013</v>
          </cell>
          <cell r="KA29">
            <v>0.56886833999999997</v>
          </cell>
          <cell r="KB29">
            <v>18.001828760000002</v>
          </cell>
          <cell r="KC29">
            <v>30.521502000000002</v>
          </cell>
          <cell r="KD29">
            <v>5.9747254500000002</v>
          </cell>
          <cell r="KE29">
            <v>14.717103069999999</v>
          </cell>
          <cell r="KF29">
            <v>28.525296099999995</v>
          </cell>
          <cell r="KG29">
            <v>179.20307041000001</v>
          </cell>
          <cell r="KH29">
            <v>52.669159480000005</v>
          </cell>
          <cell r="KI29">
            <v>14.42727827</v>
          </cell>
          <cell r="KJ29">
            <v>2.3380059499999999</v>
          </cell>
          <cell r="KK29">
            <v>10.467697189999999</v>
          </cell>
          <cell r="KL29">
            <v>0.34898919000000006</v>
          </cell>
          <cell r="KM29">
            <v>4.4091679100000007</v>
          </cell>
          <cell r="KN29">
            <v>0.12358217000000002</v>
          </cell>
          <cell r="KO29">
            <v>2.0866314999999998</v>
          </cell>
          <cell r="KP29">
            <v>0.28942901999999998</v>
          </cell>
          <cell r="KQ29">
            <v>41.37190000999999</v>
          </cell>
          <cell r="KR29">
            <v>1.6401999999999999E-4</v>
          </cell>
          <cell r="KS29">
            <v>4.1339999999999997E-3</v>
          </cell>
          <cell r="KT29">
            <v>2.4109630100000001</v>
          </cell>
          <cell r="KU29">
            <v>0.65153045999999992</v>
          </cell>
          <cell r="KV29">
            <v>2.7686200000000001E-2</v>
          </cell>
          <cell r="KW29">
            <v>3.8116006800000006</v>
          </cell>
          <cell r="KX29">
            <v>0</v>
          </cell>
          <cell r="KY29">
            <v>0</v>
          </cell>
          <cell r="KZ29">
            <v>5.2969329900000002</v>
          </cell>
          <cell r="LA29">
            <v>2.5853645799999998</v>
          </cell>
          <cell r="LB29">
            <v>0.10555005000000001</v>
          </cell>
          <cell r="LC29">
            <v>2.0477950000000002E-2</v>
          </cell>
          <cell r="LD29">
            <v>0</v>
          </cell>
          <cell r="LE29">
            <v>0.45234496000000002</v>
          </cell>
          <cell r="LF29">
            <v>0.106656</v>
          </cell>
          <cell r="LG29">
            <v>23.540100659999997</v>
          </cell>
          <cell r="LH29">
            <v>4.4951719599999995</v>
          </cell>
          <cell r="LI29">
            <v>1.2212E-4</v>
          </cell>
          <cell r="LJ29">
            <v>0</v>
          </cell>
          <cell r="LK29">
            <v>2.0717885599999999</v>
          </cell>
          <cell r="LL29">
            <v>4.5558924000000003</v>
          </cell>
          <cell r="LM29">
            <v>3.7109763600000005</v>
          </cell>
          <cell r="LN29">
            <v>0.38300385000000003</v>
          </cell>
          <cell r="LO29">
            <v>10.06216751</v>
          </cell>
          <cell r="LQ29">
            <v>2309.9901055300006</v>
          </cell>
          <cell r="LR29">
            <v>0.92109516000000002</v>
          </cell>
          <cell r="LS29">
            <v>22.167521659999998</v>
          </cell>
          <cell r="LT29">
            <v>16.497177410000003</v>
          </cell>
          <cell r="LU29">
            <v>47.995579609999993</v>
          </cell>
          <cell r="LV29">
            <v>3.8392868800000008</v>
          </cell>
          <cell r="LW29">
            <v>2.69091463</v>
          </cell>
          <cell r="LX29">
            <v>0.55900095999999999</v>
          </cell>
          <cell r="LZ29">
            <v>21.05</v>
          </cell>
          <cell r="MA29">
            <v>21.25</v>
          </cell>
          <cell r="MH29">
            <v>39.43</v>
          </cell>
          <cell r="MI29">
            <v>10.65</v>
          </cell>
          <cell r="MJ29">
            <v>14.35</v>
          </cell>
          <cell r="ML29">
            <v>11.86</v>
          </cell>
          <cell r="MM29">
            <v>33.96</v>
          </cell>
          <cell r="MO29">
            <v>15.14</v>
          </cell>
          <cell r="MP29">
            <v>42.09</v>
          </cell>
          <cell r="MQ29">
            <v>34.58</v>
          </cell>
          <cell r="MU29">
            <v>14</v>
          </cell>
          <cell r="MY29">
            <v>31.5</v>
          </cell>
          <cell r="MZ29">
            <v>96.6</v>
          </cell>
          <cell r="NA29">
            <v>36.36</v>
          </cell>
          <cell r="NB29">
            <v>125.3</v>
          </cell>
          <cell r="NC29">
            <v>21.72</v>
          </cell>
          <cell r="NE29">
            <v>109.56</v>
          </cell>
        </row>
        <row r="30">
          <cell r="A30">
            <v>42979</v>
          </cell>
          <cell r="B30">
            <v>9</v>
          </cell>
          <cell r="C30">
            <v>2017</v>
          </cell>
          <cell r="D30">
            <v>30</v>
          </cell>
          <cell r="E30">
            <v>42979</v>
          </cell>
          <cell r="F30">
            <v>17.44047619047619</v>
          </cell>
          <cell r="G30">
            <v>117.6</v>
          </cell>
          <cell r="H30">
            <v>12648.96</v>
          </cell>
          <cell r="I30">
            <v>100</v>
          </cell>
          <cell r="J30">
            <v>350</v>
          </cell>
          <cell r="K30">
            <v>2.6</v>
          </cell>
          <cell r="L30">
            <v>34.799999999999997</v>
          </cell>
          <cell r="N30">
            <v>1.5482380952380952</v>
          </cell>
          <cell r="O30">
            <v>1.4162380952380951</v>
          </cell>
          <cell r="P30">
            <v>25.850938208616778</v>
          </cell>
          <cell r="Q30">
            <v>390</v>
          </cell>
          <cell r="R30">
            <v>3900</v>
          </cell>
          <cell r="S30">
            <v>158.1904761904762</v>
          </cell>
          <cell r="T30">
            <v>307.71428571428572</v>
          </cell>
          <cell r="U30">
            <v>148.56190476190474</v>
          </cell>
          <cell r="V30">
            <v>260.01904761904763</v>
          </cell>
          <cell r="W30">
            <v>117.04761904761905</v>
          </cell>
          <cell r="X30">
            <v>165.92380952380952</v>
          </cell>
          <cell r="Y30">
            <v>2758.9172335600906</v>
          </cell>
          <cell r="Z30">
            <v>5366.6836734693879</v>
          </cell>
          <cell r="AA30">
            <v>2590.9903628117909</v>
          </cell>
          <cell r="AB30">
            <v>4534.8560090702949</v>
          </cell>
          <cell r="AC30">
            <v>2041.3662131519275</v>
          </cell>
          <cell r="AD30">
            <v>2893.7902494331065</v>
          </cell>
          <cell r="AE30">
            <v>3364.4339569160993</v>
          </cell>
          <cell r="AF30">
            <v>12356.571428571429</v>
          </cell>
          <cell r="AG30">
            <v>6012</v>
          </cell>
          <cell r="AH30">
            <v>22202</v>
          </cell>
          <cell r="AI30">
            <v>12.45</v>
          </cell>
          <cell r="AJ30">
            <v>7.13</v>
          </cell>
          <cell r="AK30">
            <v>7.56</v>
          </cell>
          <cell r="AL30">
            <v>6.04</v>
          </cell>
          <cell r="AM30">
            <v>9.4274000000000004</v>
          </cell>
          <cell r="AN30">
            <v>25.423149606299209</v>
          </cell>
          <cell r="AO30">
            <v>17.223809523809521</v>
          </cell>
          <cell r="AP30">
            <v>21.323479565054363</v>
          </cell>
          <cell r="AQ30">
            <v>10.287142857142857</v>
          </cell>
          <cell r="AR30">
            <v>7.8280952380952398</v>
          </cell>
          <cell r="AS30">
            <v>7.2484567901234511</v>
          </cell>
          <cell r="AT30">
            <v>8.5214285714285687</v>
          </cell>
          <cell r="AU30">
            <v>7.8659935332157529</v>
          </cell>
          <cell r="AV30">
            <v>6.5211504424778788</v>
          </cell>
          <cell r="AW30">
            <v>7.3123809523809511</v>
          </cell>
          <cell r="AX30">
            <v>6.2680952380952393</v>
          </cell>
          <cell r="AY30">
            <v>26.615238095238098</v>
          </cell>
          <cell r="AZ30">
            <v>7.8095238095238084</v>
          </cell>
          <cell r="BA30">
            <v>5.0688095238095237</v>
          </cell>
          <cell r="BB30">
            <v>11.440416666666668</v>
          </cell>
          <cell r="BC30">
            <v>632</v>
          </cell>
          <cell r="BD30">
            <v>776</v>
          </cell>
          <cell r="BE30">
            <v>675</v>
          </cell>
          <cell r="BF30">
            <v>400</v>
          </cell>
          <cell r="BG30">
            <v>620.75</v>
          </cell>
          <cell r="BH30">
            <v>43.18</v>
          </cell>
          <cell r="BI30">
            <v>12.766</v>
          </cell>
          <cell r="BJ30">
            <v>55.945999999999998</v>
          </cell>
          <cell r="BK30">
            <v>34.369</v>
          </cell>
          <cell r="BL30">
            <v>34.353000000000002</v>
          </cell>
          <cell r="BM30">
            <v>34.361000000000004</v>
          </cell>
          <cell r="BN30">
            <v>5.63</v>
          </cell>
          <cell r="BO30">
            <v>25.085714285714282</v>
          </cell>
          <cell r="BP30">
            <v>11.691833333333333</v>
          </cell>
          <cell r="BQ30">
            <v>23.746326190476186</v>
          </cell>
          <cell r="BR30">
            <v>19.37</v>
          </cell>
          <cell r="BS30">
            <v>78</v>
          </cell>
          <cell r="BT30">
            <v>57.48</v>
          </cell>
          <cell r="BU30">
            <v>1108.44</v>
          </cell>
          <cell r="BV30">
            <v>34.9</v>
          </cell>
          <cell r="BY30">
            <v>149.23655609644311</v>
          </cell>
          <cell r="BZ30">
            <v>134.89348957421521</v>
          </cell>
          <cell r="CA30">
            <v>138.4433488463288</v>
          </cell>
          <cell r="CB30">
            <v>140.90038881658839</v>
          </cell>
          <cell r="CC30">
            <v>136.48970899074931</v>
          </cell>
          <cell r="CD30">
            <v>139.93012334084335</v>
          </cell>
          <cell r="CE30">
            <v>127.76271325567976</v>
          </cell>
          <cell r="CF30">
            <v>140.99401971760747</v>
          </cell>
          <cell r="CG30">
            <v>137.42005049463285</v>
          </cell>
          <cell r="CH30">
            <v>157.02242196532734</v>
          </cell>
          <cell r="CI30">
            <v>150.54671156855653</v>
          </cell>
          <cell r="CJ30">
            <v>152.17008281714101</v>
          </cell>
          <cell r="CK30">
            <v>148.60706931498581</v>
          </cell>
          <cell r="CL30">
            <v>223.84692089400434</v>
          </cell>
          <cell r="CM30">
            <v>144.3369052266834</v>
          </cell>
          <cell r="CN30">
            <v>145.228582565708</v>
          </cell>
          <cell r="CO30">
            <v>165.50486950034536</v>
          </cell>
          <cell r="CP30">
            <v>196.09564097334012</v>
          </cell>
          <cell r="CQ30">
            <v>150.83410044467104</v>
          </cell>
          <cell r="CR30">
            <v>153.81579145023809</v>
          </cell>
          <cell r="CS30">
            <v>152.32494594745458</v>
          </cell>
          <cell r="CT30">
            <v>139.89542353090027</v>
          </cell>
          <cell r="CU30">
            <v>141.06166057442778</v>
          </cell>
          <cell r="CV30">
            <v>140.10052113795228</v>
          </cell>
          <cell r="CW30">
            <v>140.10052113795228</v>
          </cell>
          <cell r="CX30">
            <v>140.42090095011079</v>
          </cell>
          <cell r="CY30">
            <v>156.42127900305468</v>
          </cell>
          <cell r="CZ30">
            <v>162.7893526767665</v>
          </cell>
          <cell r="DA30">
            <v>155.05805906023434</v>
          </cell>
          <cell r="DB30">
            <v>148.37007333415886</v>
          </cell>
          <cell r="DC30">
            <v>136.32462817347039</v>
          </cell>
          <cell r="DD30">
            <v>134.04111556355895</v>
          </cell>
          <cell r="DE30">
            <v>132.04735506597171</v>
          </cell>
          <cell r="DF30">
            <v>130.90634339848546</v>
          </cell>
          <cell r="DG30">
            <v>131.47684923222857</v>
          </cell>
          <cell r="DH30">
            <v>154.50963344338194</v>
          </cell>
          <cell r="DI30">
            <v>155.22695254900412</v>
          </cell>
          <cell r="DK30">
            <v>258900</v>
          </cell>
          <cell r="DL30" t="str">
            <v>2016-17</v>
          </cell>
          <cell r="DM30">
            <v>206500</v>
          </cell>
          <cell r="DN30" t="str">
            <v>2016-17</v>
          </cell>
          <cell r="DO30">
            <v>800000</v>
          </cell>
          <cell r="DP30" t="str">
            <v>2017-18</v>
          </cell>
          <cell r="DQ30">
            <v>1800000</v>
          </cell>
          <cell r="DR30" t="str">
            <v>2017-18</v>
          </cell>
          <cell r="DS30">
            <v>5400000</v>
          </cell>
          <cell r="DT30" t="str">
            <v>2017-18</v>
          </cell>
          <cell r="DU30">
            <v>19200000</v>
          </cell>
          <cell r="DV30" t="str">
            <v>2016-17</v>
          </cell>
          <cell r="DW30">
            <v>800000</v>
          </cell>
          <cell r="DX30" t="str">
            <v>2016-17</v>
          </cell>
          <cell r="DY30">
            <v>5450000</v>
          </cell>
          <cell r="DZ30" t="str">
            <v>2017-18</v>
          </cell>
          <cell r="EA30">
            <v>33450000</v>
          </cell>
          <cell r="EB30">
            <v>364191</v>
          </cell>
          <cell r="EC30" t="str">
            <v>2016-17</v>
          </cell>
          <cell r="ED30">
            <v>165327</v>
          </cell>
          <cell r="EE30">
            <v>2016</v>
          </cell>
          <cell r="EF30">
            <v>220848</v>
          </cell>
          <cell r="EG30">
            <v>2017</v>
          </cell>
          <cell r="EH30">
            <v>54163380</v>
          </cell>
          <cell r="EI30">
            <v>2017</v>
          </cell>
          <cell r="EJ30">
            <v>5119438</v>
          </cell>
          <cell r="EK30">
            <v>2023</v>
          </cell>
          <cell r="EL30">
            <v>14746566</v>
          </cell>
          <cell r="EM30">
            <v>2017</v>
          </cell>
          <cell r="EN30">
            <v>3364725</v>
          </cell>
          <cell r="EO30">
            <v>2017</v>
          </cell>
          <cell r="EP30">
            <v>6552</v>
          </cell>
          <cell r="EQ30">
            <v>3003036</v>
          </cell>
          <cell r="ER30">
            <v>33739</v>
          </cell>
          <cell r="ET30">
            <v>23614</v>
          </cell>
          <cell r="EU30">
            <v>16845</v>
          </cell>
          <cell r="EV30">
            <v>9213</v>
          </cell>
          <cell r="EW30">
            <v>17766</v>
          </cell>
          <cell r="EX30">
            <v>67438</v>
          </cell>
          <cell r="EY30">
            <v>19284</v>
          </cell>
          <cell r="EZ30">
            <v>74845</v>
          </cell>
          <cell r="FA30">
            <v>20879</v>
          </cell>
          <cell r="FB30">
            <v>19496</v>
          </cell>
          <cell r="FC30">
            <v>40375</v>
          </cell>
          <cell r="FD30">
            <v>65075.3</v>
          </cell>
          <cell r="FF30">
            <v>630040</v>
          </cell>
          <cell r="FG30" t="str">
            <v>2016-17</v>
          </cell>
          <cell r="FH30">
            <v>1328340</v>
          </cell>
          <cell r="FI30" t="str">
            <v>2016-17</v>
          </cell>
          <cell r="FJ30">
            <v>3000000</v>
          </cell>
          <cell r="FK30" t="str">
            <v>2016-17</v>
          </cell>
          <cell r="FL30">
            <v>3300000</v>
          </cell>
          <cell r="FM30" t="str">
            <v>2016-17</v>
          </cell>
          <cell r="FN30">
            <v>39000000</v>
          </cell>
          <cell r="FO30" t="str">
            <v>2016-17</v>
          </cell>
          <cell r="FP30">
            <v>57500000</v>
          </cell>
          <cell r="FQ30" t="str">
            <v>2016-17</v>
          </cell>
          <cell r="FR30">
            <v>3200000</v>
          </cell>
          <cell r="FS30" t="str">
            <v>2016-17</v>
          </cell>
          <cell r="FT30">
            <v>15000000</v>
          </cell>
          <cell r="FU30" t="str">
            <v>2016-17</v>
          </cell>
          <cell r="FV30">
            <v>121000000</v>
          </cell>
          <cell r="FW30">
            <v>1081031.1999999997</v>
          </cell>
          <cell r="FX30" t="str">
            <v>2016-17</v>
          </cell>
          <cell r="FY30">
            <v>21572.632000000001</v>
          </cell>
          <cell r="FZ30">
            <v>675226.79</v>
          </cell>
          <cell r="GA30" t="str">
            <v>oct16 sept17</v>
          </cell>
          <cell r="GB30">
            <v>19652055</v>
          </cell>
          <cell r="GD30">
            <v>1675851</v>
          </cell>
          <cell r="GE30">
            <v>459665</v>
          </cell>
          <cell r="GF30">
            <v>1024918</v>
          </cell>
          <cell r="GG30">
            <v>112337</v>
          </cell>
          <cell r="GH30">
            <v>1596920</v>
          </cell>
          <cell r="GI30">
            <v>1302556</v>
          </cell>
          <cell r="GJ30">
            <v>665408</v>
          </cell>
          <cell r="GK30">
            <v>660753</v>
          </cell>
          <cell r="GL30">
            <v>290290.46000000002</v>
          </cell>
          <cell r="GM30">
            <v>263224.75</v>
          </cell>
          <cell r="GN30">
            <v>1879676.21</v>
          </cell>
          <cell r="GO30">
            <v>193430</v>
          </cell>
          <cell r="GP30">
            <v>76379</v>
          </cell>
          <cell r="GR30">
            <v>42700</v>
          </cell>
          <cell r="GS30">
            <v>42700</v>
          </cell>
          <cell r="GT30">
            <v>2459310</v>
          </cell>
          <cell r="GU30">
            <v>14461</v>
          </cell>
          <cell r="GV30">
            <v>29520</v>
          </cell>
          <cell r="GW30">
            <v>1198131</v>
          </cell>
          <cell r="GX30">
            <v>32330.198</v>
          </cell>
          <cell r="GY30" t="str">
            <v>2016-2017</v>
          </cell>
          <cell r="GZ30">
            <v>117154</v>
          </cell>
          <cell r="HA30">
            <v>237000</v>
          </cell>
          <cell r="HB30">
            <v>2779000</v>
          </cell>
          <cell r="HC30" t="str">
            <v>oct16 sept17</v>
          </cell>
          <cell r="HD30">
            <v>47546</v>
          </cell>
          <cell r="HE30">
            <v>554148</v>
          </cell>
          <cell r="HF30" t="str">
            <v>oct16 sept17</v>
          </cell>
          <cell r="HG30">
            <v>165000</v>
          </cell>
          <cell r="HH30">
            <v>2122000</v>
          </cell>
          <cell r="HI30" t="str">
            <v>oct16 sept17</v>
          </cell>
          <cell r="HJ30">
            <v>86634</v>
          </cell>
          <cell r="HK30">
            <v>44558.520000000004</v>
          </cell>
          <cell r="HL30" t="str">
            <v>oct16 sept17</v>
          </cell>
          <cell r="HM30">
            <v>2166558.52</v>
          </cell>
          <cell r="HN30">
            <v>-1.8157150288668631E-2</v>
          </cell>
          <cell r="HO30">
            <v>891316938.96794665</v>
          </cell>
          <cell r="HP30">
            <v>9812.5280714000728</v>
          </cell>
          <cell r="HQ30" t="str">
            <v>oct16 sept17</v>
          </cell>
          <cell r="HU30">
            <v>680000</v>
          </cell>
          <cell r="HV30" t="str">
            <v>2016-17</v>
          </cell>
          <cell r="HW30">
            <v>1430000</v>
          </cell>
          <cell r="HX30" t="str">
            <v>2016-17</v>
          </cell>
          <cell r="HY30">
            <v>3350000</v>
          </cell>
          <cell r="HZ30" t="str">
            <v>2016-17</v>
          </cell>
          <cell r="IA30">
            <v>19080000</v>
          </cell>
          <cell r="IB30" t="str">
            <v>2016-17</v>
          </cell>
          <cell r="IC30">
            <v>47130000</v>
          </cell>
          <cell r="ID30" t="str">
            <v>2016-17</v>
          </cell>
          <cell r="IE30">
            <v>2450000</v>
          </cell>
          <cell r="IF30" t="str">
            <v>2016-17</v>
          </cell>
          <cell r="IG30">
            <v>6760000</v>
          </cell>
          <cell r="IH30" t="str">
            <v>2016-17</v>
          </cell>
          <cell r="II30">
            <v>80200000</v>
          </cell>
          <cell r="IJ30">
            <v>1.5656077472231611</v>
          </cell>
          <cell r="IK30" t="str">
            <v>2016-17</v>
          </cell>
          <cell r="IL30">
            <v>41.77</v>
          </cell>
          <cell r="IM30">
            <v>57.124715096184744</v>
          </cell>
          <cell r="IN30">
            <v>197</v>
          </cell>
          <cell r="IO30">
            <v>13.86</v>
          </cell>
          <cell r="IP30">
            <v>5.6116821966314854</v>
          </cell>
          <cell r="IQ30">
            <v>20.2</v>
          </cell>
          <cell r="IR30">
            <v>3.01</v>
          </cell>
          <cell r="IS30">
            <v>5.59</v>
          </cell>
          <cell r="IT30">
            <v>11.85</v>
          </cell>
          <cell r="IU30">
            <v>0.79</v>
          </cell>
          <cell r="IV30">
            <v>18.229999999999997</v>
          </cell>
          <cell r="IY30">
            <v>1.84</v>
          </cell>
          <cell r="IZ30">
            <v>0.3</v>
          </cell>
          <cell r="JF30">
            <v>7.3208468599999978</v>
          </cell>
          <cell r="JG30">
            <v>15.594677989999999</v>
          </cell>
          <cell r="JH30">
            <v>49.866683370000004</v>
          </cell>
          <cell r="JI30">
            <v>84.54171113000001</v>
          </cell>
          <cell r="JJ30">
            <v>317.23608325000004</v>
          </cell>
          <cell r="JK30">
            <v>93.280373760000018</v>
          </cell>
          <cell r="JL30">
            <v>1452.7027517400002</v>
          </cell>
          <cell r="JM30">
            <v>7.3279745799999993</v>
          </cell>
          <cell r="JN30">
            <v>133.74025220999999</v>
          </cell>
          <cell r="JO30">
            <v>15.578975000000002</v>
          </cell>
          <cell r="JP30">
            <v>0</v>
          </cell>
          <cell r="JQ30">
            <v>7.3639999999999997E-2</v>
          </cell>
          <cell r="JR30">
            <v>0.94153887000000003</v>
          </cell>
          <cell r="JS30">
            <v>0</v>
          </cell>
          <cell r="JT30">
            <v>1.5440000000000001E-2</v>
          </cell>
          <cell r="JU30">
            <v>90.038694350000014</v>
          </cell>
          <cell r="JV30">
            <v>7.6872591899999989</v>
          </cell>
          <cell r="JW30">
            <v>7.2727987300000008</v>
          </cell>
          <cell r="JX30">
            <v>17.620226300000002</v>
          </cell>
          <cell r="JY30">
            <v>1.9799627999999998</v>
          </cell>
          <cell r="JZ30">
            <v>7.4310818799999998</v>
          </cell>
          <cell r="KA30">
            <v>0.65864783999999998</v>
          </cell>
          <cell r="KB30">
            <v>21.88547835</v>
          </cell>
          <cell r="KC30">
            <v>42.741101440000001</v>
          </cell>
          <cell r="KD30">
            <v>8.7678547000000009</v>
          </cell>
          <cell r="KE30">
            <v>15.36128937</v>
          </cell>
          <cell r="KF30">
            <v>27.588364280000004</v>
          </cell>
          <cell r="KG30">
            <v>230.64112532000001</v>
          </cell>
          <cell r="KH30">
            <v>54.265156459999993</v>
          </cell>
          <cell r="KI30">
            <v>14.954563559999999</v>
          </cell>
          <cell r="KJ30">
            <v>1.9699391800000001</v>
          </cell>
          <cell r="KK30">
            <v>10.06847497</v>
          </cell>
          <cell r="KL30">
            <v>0.67378727000000005</v>
          </cell>
          <cell r="KM30">
            <v>3.3371920499999996</v>
          </cell>
          <cell r="KN30">
            <v>0.43523557999999996</v>
          </cell>
          <cell r="KO30">
            <v>2.9996949700000002</v>
          </cell>
          <cell r="KP30">
            <v>0.22370202</v>
          </cell>
          <cell r="KQ30">
            <v>29.809557559999998</v>
          </cell>
          <cell r="KR30">
            <v>1.13328E-3</v>
          </cell>
          <cell r="KS30">
            <v>0.12950915000000002</v>
          </cell>
          <cell r="KT30">
            <v>3.4666506799999999</v>
          </cell>
          <cell r="KU30">
            <v>0.53819947000000001</v>
          </cell>
          <cell r="KV30">
            <v>0.33123574</v>
          </cell>
          <cell r="KW30">
            <v>2.5760914399999999</v>
          </cell>
          <cell r="KX30">
            <v>0</v>
          </cell>
          <cell r="KY30">
            <v>4.5643400000000001E-3</v>
          </cell>
          <cell r="KZ30">
            <v>7.8138527199999999</v>
          </cell>
          <cell r="LA30">
            <v>1.8017025299999998</v>
          </cell>
          <cell r="LB30">
            <v>0</v>
          </cell>
          <cell r="LC30">
            <v>6.04127E-2</v>
          </cell>
          <cell r="LD30">
            <v>0</v>
          </cell>
          <cell r="LE30">
            <v>0.80210568000000004</v>
          </cell>
          <cell r="LF30">
            <v>0.26178610000000002</v>
          </cell>
          <cell r="LG30">
            <v>22.62695699</v>
          </cell>
          <cell r="LH30">
            <v>3.8677349400000001</v>
          </cell>
          <cell r="LI30">
            <v>8.2586969999999996E-2</v>
          </cell>
          <cell r="LJ30">
            <v>2.0908099999999998E-3</v>
          </cell>
          <cell r="LK30">
            <v>2.0553048499999997</v>
          </cell>
          <cell r="LL30">
            <v>2.99806244</v>
          </cell>
          <cell r="LM30">
            <v>2.2101356800000005</v>
          </cell>
          <cell r="LN30">
            <v>0.45920335999999995</v>
          </cell>
          <cell r="LO30">
            <v>8.0881299099999993</v>
          </cell>
          <cell r="LQ30">
            <v>2045.4154562800004</v>
          </cell>
          <cell r="LR30">
            <v>1.0306188699999999</v>
          </cell>
          <cell r="LS30">
            <v>14.960057920000001</v>
          </cell>
          <cell r="LT30">
            <v>10.06969252</v>
          </cell>
          <cell r="LU30">
            <v>36.712322589999992</v>
          </cell>
          <cell r="LV30">
            <v>2.9118915199999997</v>
          </cell>
          <cell r="LW30">
            <v>1.8017025299999998</v>
          </cell>
          <cell r="LX30">
            <v>1.0638917800000001</v>
          </cell>
          <cell r="LZ30">
            <v>21.89</v>
          </cell>
          <cell r="MA30">
            <v>21.49</v>
          </cell>
          <cell r="MH30">
            <v>39.71</v>
          </cell>
          <cell r="MI30">
            <v>10.66</v>
          </cell>
          <cell r="MJ30">
            <v>14.37</v>
          </cell>
          <cell r="ML30">
            <v>12.9</v>
          </cell>
          <cell r="MM30">
            <v>38.97</v>
          </cell>
          <cell r="MO30">
            <v>15.13</v>
          </cell>
          <cell r="MP30">
            <v>42.39</v>
          </cell>
          <cell r="MQ30">
            <v>34.880000000000003</v>
          </cell>
          <cell r="MU30">
            <v>14.36</v>
          </cell>
          <cell r="MY30">
            <v>32.200000000000003</v>
          </cell>
          <cell r="MZ30">
            <v>101.2</v>
          </cell>
          <cell r="NA30">
            <v>38.85</v>
          </cell>
          <cell r="NB30">
            <v>128.19</v>
          </cell>
          <cell r="NC30">
            <v>21.81</v>
          </cell>
          <cell r="NE30">
            <v>112.42</v>
          </cell>
        </row>
        <row r="31">
          <cell r="A31">
            <v>43009</v>
          </cell>
          <cell r="B31">
            <v>10</v>
          </cell>
          <cell r="C31">
            <v>2017</v>
          </cell>
          <cell r="D31">
            <v>31</v>
          </cell>
          <cell r="E31">
            <v>43009</v>
          </cell>
          <cell r="F31">
            <v>17.669047619047621</v>
          </cell>
          <cell r="G31">
            <v>119.4</v>
          </cell>
          <cell r="H31">
            <v>12648.96</v>
          </cell>
          <cell r="I31">
            <v>104</v>
          </cell>
          <cell r="J31">
            <v>410</v>
          </cell>
          <cell r="K31">
            <v>2.6</v>
          </cell>
          <cell r="L31">
            <v>34.4</v>
          </cell>
          <cell r="N31">
            <v>1.5073809523809523</v>
          </cell>
          <cell r="O31">
            <v>1.3753809523809524</v>
          </cell>
          <cell r="P31">
            <v>25.467828684807259</v>
          </cell>
          <cell r="Q31">
            <v>415</v>
          </cell>
          <cell r="R31">
            <v>4150</v>
          </cell>
          <cell r="S31">
            <v>164.57142857142858</v>
          </cell>
          <cell r="T31">
            <v>322.38095238095241</v>
          </cell>
          <cell r="U31">
            <v>149.18571428571428</v>
          </cell>
          <cell r="V31">
            <v>265.14285714285717</v>
          </cell>
          <cell r="W31">
            <v>118.04761904761905</v>
          </cell>
          <cell r="X31">
            <v>170.87142857142857</v>
          </cell>
          <cell r="Y31">
            <v>2907.8204081632657</v>
          </cell>
          <cell r="Z31">
            <v>5696.1643990929715</v>
          </cell>
          <cell r="AA31">
            <v>2635.9694897959184</v>
          </cell>
          <cell r="AB31">
            <v>4684.8217687074839</v>
          </cell>
          <cell r="AC31">
            <v>2085.7890022675738</v>
          </cell>
          <cell r="AD31">
            <v>3019.1354081632658</v>
          </cell>
          <cell r="AE31">
            <v>3504.95007936508</v>
          </cell>
          <cell r="AF31">
            <v>12210.9</v>
          </cell>
          <cell r="AG31">
            <v>6300</v>
          </cell>
          <cell r="AH31">
            <v>23300</v>
          </cell>
          <cell r="AI31">
            <v>13.64</v>
          </cell>
          <cell r="AJ31">
            <v>7.12</v>
          </cell>
          <cell r="AK31">
            <v>8.4</v>
          </cell>
          <cell r="AL31">
            <v>5.78</v>
          </cell>
          <cell r="AM31">
            <v>10.130400000000002</v>
          </cell>
          <cell r="AN31">
            <v>27.952455089820361</v>
          </cell>
          <cell r="AO31">
            <v>18.615789473684206</v>
          </cell>
          <cell r="AP31">
            <v>23.284122281752282</v>
          </cell>
          <cell r="AQ31">
            <v>14.611052631578952</v>
          </cell>
          <cell r="AR31">
            <v>8.2578947368421058</v>
          </cell>
          <cell r="AS31">
            <v>6.561629629629631</v>
          </cell>
          <cell r="AT31">
            <v>13.372105263157895</v>
          </cell>
          <cell r="AU31">
            <v>9.3972098765432097</v>
          </cell>
          <cell r="AV31">
            <v>6.0217757009345787</v>
          </cell>
          <cell r="AW31">
            <v>7.4614999999999991</v>
          </cell>
          <cell r="AX31">
            <v>11.525714285714287</v>
          </cell>
          <cell r="AY31">
            <v>23.811904761904763</v>
          </cell>
          <cell r="AZ31">
            <v>11.337619047619048</v>
          </cell>
          <cell r="BA31">
            <v>6.4393220338983053</v>
          </cell>
          <cell r="BB31">
            <v>13.278640032284102</v>
          </cell>
          <cell r="BC31">
            <v>632</v>
          </cell>
          <cell r="BD31">
            <v>776</v>
          </cell>
          <cell r="BE31">
            <v>675</v>
          </cell>
          <cell r="BF31">
            <v>400</v>
          </cell>
          <cell r="BG31">
            <v>620.75</v>
          </cell>
          <cell r="BH31">
            <v>43.18</v>
          </cell>
          <cell r="BI31">
            <v>14.866</v>
          </cell>
          <cell r="BJ31">
            <v>58.045999999999999</v>
          </cell>
          <cell r="BK31">
            <v>33.954999999999998</v>
          </cell>
          <cell r="BL31">
            <v>33.923999999999999</v>
          </cell>
          <cell r="BM31">
            <v>33.939499999999995</v>
          </cell>
          <cell r="BN31">
            <v>5.66</v>
          </cell>
          <cell r="BO31">
            <v>22.88333333333334</v>
          </cell>
          <cell r="BP31">
            <v>11.537999999999998</v>
          </cell>
          <cell r="BQ31">
            <v>21.748800000000006</v>
          </cell>
          <cell r="BR31">
            <v>19.82</v>
          </cell>
          <cell r="BS31">
            <v>87</v>
          </cell>
          <cell r="BT31">
            <v>51.77</v>
          </cell>
          <cell r="BU31">
            <v>1199.31</v>
          </cell>
          <cell r="BV31">
            <v>35.6</v>
          </cell>
          <cell r="BY31">
            <v>151.88435921010773</v>
          </cell>
          <cell r="BZ31">
            <v>140.96231951141422</v>
          </cell>
          <cell r="CA31">
            <v>143.84292664846129</v>
          </cell>
          <cell r="CB31">
            <v>146.46547261391402</v>
          </cell>
          <cell r="CC31">
            <v>139.87125913506574</v>
          </cell>
          <cell r="CD31">
            <v>144.67605821837449</v>
          </cell>
          <cell r="CE31">
            <v>131.11544273813175</v>
          </cell>
          <cell r="CF31">
            <v>146.16347473986644</v>
          </cell>
          <cell r="CG31">
            <v>142.02243901563563</v>
          </cell>
          <cell r="CH31">
            <v>159.29682396184751</v>
          </cell>
          <cell r="CI31">
            <v>153.11950304981514</v>
          </cell>
          <cell r="CJ31">
            <v>154.61547643592573</v>
          </cell>
          <cell r="CK31">
            <v>177.37832263006533</v>
          </cell>
          <cell r="CL31">
            <v>215.340154537481</v>
          </cell>
          <cell r="CM31">
            <v>160.65635772971612</v>
          </cell>
          <cell r="CN31">
            <v>152.11381744434166</v>
          </cell>
          <cell r="CO31">
            <v>176.37216308540101</v>
          </cell>
          <cell r="CP31">
            <v>201.9551713174757</v>
          </cell>
          <cell r="CQ31">
            <v>155.47360504328091</v>
          </cell>
          <cell r="CR31">
            <v>158.26518152872603</v>
          </cell>
          <cell r="CS31">
            <v>156.86939328600346</v>
          </cell>
          <cell r="CT31">
            <v>148.24785055354778</v>
          </cell>
          <cell r="CU31">
            <v>144.76968266187825</v>
          </cell>
          <cell r="CV31">
            <v>142.30328092434604</v>
          </cell>
          <cell r="CW31">
            <v>142.30328092434604</v>
          </cell>
          <cell r="CX31">
            <v>143.12541483685678</v>
          </cell>
          <cell r="CY31">
            <v>158.10839242882801</v>
          </cell>
          <cell r="CZ31">
            <v>166.52231511370576</v>
          </cell>
          <cell r="DA31">
            <v>157.37864937554264</v>
          </cell>
          <cell r="DB31">
            <v>151.01190026422691</v>
          </cell>
          <cell r="DC31">
            <v>139.07716618581304</v>
          </cell>
          <cell r="DD31">
            <v>136.49519437538493</v>
          </cell>
          <cell r="DE31">
            <v>133.54216327265937</v>
          </cell>
          <cell r="DF31">
            <v>132.9062324083489</v>
          </cell>
          <cell r="DG31">
            <v>133.22419784050413</v>
          </cell>
          <cell r="DH31">
            <v>157.03871032090328</v>
          </cell>
          <cell r="DI31">
            <v>158.24028500445397</v>
          </cell>
          <cell r="DK31">
            <v>327000</v>
          </cell>
          <cell r="DL31" t="str">
            <v>2017-18</v>
          </cell>
          <cell r="DM31">
            <v>206500</v>
          </cell>
          <cell r="DN31" t="str">
            <v>2016-17</v>
          </cell>
          <cell r="DO31">
            <v>800000</v>
          </cell>
          <cell r="DP31" t="str">
            <v>2017-18</v>
          </cell>
          <cell r="DQ31">
            <v>1800000</v>
          </cell>
          <cell r="DR31" t="str">
            <v>2017-18</v>
          </cell>
          <cell r="DS31">
            <v>5400000</v>
          </cell>
          <cell r="DT31" t="str">
            <v>2017-18</v>
          </cell>
          <cell r="DU31">
            <v>18100000</v>
          </cell>
          <cell r="DV31" t="str">
            <v>2017-18</v>
          </cell>
          <cell r="DW31">
            <v>800000</v>
          </cell>
          <cell r="DX31" t="str">
            <v>2016-17</v>
          </cell>
          <cell r="DY31">
            <v>5450000</v>
          </cell>
          <cell r="DZ31" t="str">
            <v>2017-18</v>
          </cell>
          <cell r="EA31">
            <v>32350000</v>
          </cell>
          <cell r="EB31">
            <v>364191</v>
          </cell>
          <cell r="EC31" t="str">
            <v>2016-17</v>
          </cell>
          <cell r="ED31">
            <v>165327</v>
          </cell>
          <cell r="EE31">
            <v>2016</v>
          </cell>
          <cell r="EF31">
            <v>220848</v>
          </cell>
          <cell r="EG31">
            <v>2017</v>
          </cell>
          <cell r="EH31">
            <v>54163380</v>
          </cell>
          <cell r="EI31">
            <v>2017</v>
          </cell>
          <cell r="EJ31">
            <v>5119438</v>
          </cell>
          <cell r="EK31">
            <v>2024</v>
          </cell>
          <cell r="EL31">
            <v>14746566</v>
          </cell>
          <cell r="EM31">
            <v>2017</v>
          </cell>
          <cell r="EN31">
            <v>3364725</v>
          </cell>
          <cell r="EO31">
            <v>2017</v>
          </cell>
          <cell r="EP31">
            <v>6552</v>
          </cell>
          <cell r="EQ31">
            <v>3003036</v>
          </cell>
          <cell r="ER31">
            <v>33739</v>
          </cell>
          <cell r="ET31">
            <v>23614</v>
          </cell>
          <cell r="EU31">
            <v>16845</v>
          </cell>
          <cell r="EV31">
            <v>9213</v>
          </cell>
          <cell r="EW31">
            <v>17766</v>
          </cell>
          <cell r="EX31">
            <v>67438</v>
          </cell>
          <cell r="EY31">
            <v>19284</v>
          </cell>
          <cell r="EZ31">
            <v>74845</v>
          </cell>
          <cell r="FA31">
            <v>20879</v>
          </cell>
          <cell r="FB31">
            <v>19496</v>
          </cell>
          <cell r="FC31">
            <v>40375</v>
          </cell>
          <cell r="FD31">
            <v>65075.3</v>
          </cell>
          <cell r="FF31">
            <v>630040</v>
          </cell>
          <cell r="FG31" t="str">
            <v>2016-17</v>
          </cell>
          <cell r="FH31">
            <v>1328340</v>
          </cell>
          <cell r="FI31" t="str">
            <v>2016-17</v>
          </cell>
          <cell r="FJ31">
            <v>3000000</v>
          </cell>
          <cell r="FK31" t="str">
            <v>2016-17</v>
          </cell>
          <cell r="FL31">
            <v>3300000</v>
          </cell>
          <cell r="FM31" t="str">
            <v>2016-17</v>
          </cell>
          <cell r="FN31">
            <v>39000000</v>
          </cell>
          <cell r="FO31" t="str">
            <v>2016-17</v>
          </cell>
          <cell r="FP31">
            <v>57500000</v>
          </cell>
          <cell r="FQ31" t="str">
            <v>2016-17</v>
          </cell>
          <cell r="FR31">
            <v>3200000</v>
          </cell>
          <cell r="FS31" t="str">
            <v>2016-17</v>
          </cell>
          <cell r="FT31">
            <v>15000000</v>
          </cell>
          <cell r="FU31" t="str">
            <v>2016-17</v>
          </cell>
          <cell r="FV31">
            <v>121000000</v>
          </cell>
          <cell r="FW31">
            <v>1081031.1999999997</v>
          </cell>
          <cell r="FX31" t="str">
            <v>2016-17</v>
          </cell>
          <cell r="FY31">
            <v>0</v>
          </cell>
          <cell r="FZ31">
            <v>675226.79</v>
          </cell>
          <cell r="GA31" t="str">
            <v>nov16 oct17</v>
          </cell>
          <cell r="GB31">
            <v>19652055</v>
          </cell>
          <cell r="GD31">
            <v>1675851</v>
          </cell>
          <cell r="GE31">
            <v>459665</v>
          </cell>
          <cell r="GF31">
            <v>1024918</v>
          </cell>
          <cell r="GG31">
            <v>112337</v>
          </cell>
          <cell r="GH31">
            <v>1596920</v>
          </cell>
          <cell r="GI31">
            <v>1302556</v>
          </cell>
          <cell r="GJ31">
            <v>665408</v>
          </cell>
          <cell r="GK31">
            <v>660753</v>
          </cell>
          <cell r="GL31">
            <v>290290.46000000002</v>
          </cell>
          <cell r="GM31">
            <v>263224.75</v>
          </cell>
          <cell r="GN31">
            <v>1879676.21</v>
          </cell>
          <cell r="GO31">
            <v>193430</v>
          </cell>
          <cell r="GP31">
            <v>76379</v>
          </cell>
          <cell r="GR31">
            <v>42700</v>
          </cell>
          <cell r="GS31">
            <v>42700</v>
          </cell>
          <cell r="GT31">
            <v>2459310</v>
          </cell>
          <cell r="GU31">
            <v>12648</v>
          </cell>
          <cell r="GV31">
            <v>30801</v>
          </cell>
          <cell r="GW31">
            <v>1139165.3333333335</v>
          </cell>
          <cell r="GX31">
            <v>32330.198</v>
          </cell>
          <cell r="GY31" t="str">
            <v>2016-2017</v>
          </cell>
          <cell r="GZ31">
            <v>117154</v>
          </cell>
          <cell r="HA31">
            <v>257000</v>
          </cell>
          <cell r="HB31">
            <v>2816000</v>
          </cell>
          <cell r="HC31" t="str">
            <v>nov16 oct17</v>
          </cell>
          <cell r="HD31">
            <v>51855</v>
          </cell>
          <cell r="HE31">
            <v>561243</v>
          </cell>
          <cell r="HF31" t="str">
            <v>nov16 oct17</v>
          </cell>
          <cell r="HG31">
            <v>178000</v>
          </cell>
          <cell r="HH31">
            <v>2131000</v>
          </cell>
          <cell r="HI31" t="str">
            <v>nov16 oct17</v>
          </cell>
          <cell r="HJ31">
            <v>96151</v>
          </cell>
          <cell r="HK31">
            <v>50327.58</v>
          </cell>
          <cell r="HL31" t="str">
            <v>nov16 oct17</v>
          </cell>
          <cell r="HM31">
            <v>2181327.58</v>
          </cell>
          <cell r="HN31">
            <v>1.3446870982041399E-2</v>
          </cell>
          <cell r="HO31">
            <v>902677127.98370433</v>
          </cell>
          <cell r="HP31">
            <v>9824.5051993837733</v>
          </cell>
          <cell r="HQ31" t="str">
            <v>nov16 oct17</v>
          </cell>
          <cell r="HU31">
            <v>680000</v>
          </cell>
          <cell r="HV31" t="str">
            <v>2016-17</v>
          </cell>
          <cell r="HW31">
            <v>1430000</v>
          </cell>
          <cell r="HX31" t="str">
            <v>2016-17</v>
          </cell>
          <cell r="HY31">
            <v>3350000</v>
          </cell>
          <cell r="HZ31" t="str">
            <v>2016-17</v>
          </cell>
          <cell r="IA31">
            <v>19080000</v>
          </cell>
          <cell r="IB31" t="str">
            <v>2016-17</v>
          </cell>
          <cell r="IC31">
            <v>47130000</v>
          </cell>
          <cell r="ID31" t="str">
            <v>2016-17</v>
          </cell>
          <cell r="IE31">
            <v>2450000</v>
          </cell>
          <cell r="IF31" t="str">
            <v>2016-17</v>
          </cell>
          <cell r="IG31">
            <v>6760000</v>
          </cell>
          <cell r="IH31" t="str">
            <v>2016-17</v>
          </cell>
          <cell r="II31">
            <v>80200000</v>
          </cell>
          <cell r="IJ31">
            <v>1.5656077472231611</v>
          </cell>
          <cell r="IK31" t="str">
            <v>2016-17</v>
          </cell>
          <cell r="IL31">
            <v>43.83</v>
          </cell>
          <cell r="IM31">
            <v>59.985094544624559</v>
          </cell>
          <cell r="IN31">
            <v>197</v>
          </cell>
          <cell r="IO31">
            <v>14.63</v>
          </cell>
          <cell r="IP31">
            <v>5.6116821966314854</v>
          </cell>
          <cell r="IQ31">
            <v>20.2</v>
          </cell>
          <cell r="IR31">
            <v>3.01</v>
          </cell>
          <cell r="IS31">
            <v>5.59</v>
          </cell>
          <cell r="IT31">
            <v>11.85</v>
          </cell>
          <cell r="IU31">
            <v>0.79</v>
          </cell>
          <cell r="IV31">
            <v>18.229999999999997</v>
          </cell>
          <cell r="IY31">
            <v>1.84</v>
          </cell>
          <cell r="IZ31">
            <v>0.3</v>
          </cell>
          <cell r="JF31">
            <v>5.7909069699999991</v>
          </cell>
          <cell r="JG31">
            <v>20.335444549999995</v>
          </cell>
          <cell r="JH31">
            <v>58.65457516</v>
          </cell>
          <cell r="JI31">
            <v>77.464246490000008</v>
          </cell>
          <cell r="JJ31">
            <v>350.15507103000004</v>
          </cell>
          <cell r="JK31">
            <v>82.253963829999989</v>
          </cell>
          <cell r="JL31">
            <v>1205.5097292200001</v>
          </cell>
          <cell r="JM31">
            <v>10.17424653</v>
          </cell>
          <cell r="JN31">
            <v>160.27134051999997</v>
          </cell>
          <cell r="JO31">
            <v>11.765365409999999</v>
          </cell>
          <cell r="JP31">
            <v>0</v>
          </cell>
          <cell r="JQ31">
            <v>2.4219999999999998E-2</v>
          </cell>
          <cell r="JR31">
            <v>0.52821257999999993</v>
          </cell>
          <cell r="JS31">
            <v>0</v>
          </cell>
          <cell r="JT31">
            <v>3.2499999999999999E-4</v>
          </cell>
          <cell r="JU31">
            <v>97.966927330000033</v>
          </cell>
          <cell r="JV31">
            <v>8.6504330300000003</v>
          </cell>
          <cell r="JW31">
            <v>6.84282609</v>
          </cell>
          <cell r="JX31">
            <v>13.424362460000001</v>
          </cell>
          <cell r="JY31">
            <v>4.2061899999999992E-2</v>
          </cell>
          <cell r="JZ31">
            <v>1.25969815</v>
          </cell>
          <cell r="KA31">
            <v>4.5535000000000003E-3</v>
          </cell>
          <cell r="KB31">
            <v>20.52315668</v>
          </cell>
          <cell r="KC31">
            <v>36.888338769999997</v>
          </cell>
          <cell r="KD31">
            <v>6.3236631300000008</v>
          </cell>
          <cell r="KE31">
            <v>15.9748093</v>
          </cell>
          <cell r="KF31">
            <v>27.708977670000007</v>
          </cell>
          <cell r="KG31">
            <v>227.52842803999999</v>
          </cell>
          <cell r="KH31">
            <v>63.482351279999996</v>
          </cell>
          <cell r="KI31">
            <v>13.747166010000001</v>
          </cell>
          <cell r="KJ31">
            <v>3.0607024299999996</v>
          </cell>
          <cell r="KK31">
            <v>10.060063230000001</v>
          </cell>
          <cell r="KL31">
            <v>0.55977140000000003</v>
          </cell>
          <cell r="KM31">
            <v>5.1583021299999992</v>
          </cell>
          <cell r="KN31">
            <v>0.10029989</v>
          </cell>
          <cell r="KO31">
            <v>12.646602270000001</v>
          </cell>
          <cell r="KP31">
            <v>1.8980499999999999E-3</v>
          </cell>
          <cell r="KQ31">
            <v>73.528752960000006</v>
          </cell>
          <cell r="KR31">
            <v>1.443701E-2</v>
          </cell>
          <cell r="KS31">
            <v>0.19880659000000001</v>
          </cell>
          <cell r="KT31">
            <v>6.4311630400000004</v>
          </cell>
          <cell r="KU31">
            <v>0.59598403</v>
          </cell>
          <cell r="KV31">
            <v>0.42711650000000001</v>
          </cell>
          <cell r="KW31">
            <v>3.2932995100000002</v>
          </cell>
          <cell r="KX31">
            <v>0</v>
          </cell>
          <cell r="KY31">
            <v>0.13905453000000001</v>
          </cell>
          <cell r="KZ31">
            <v>7.5140579799999996</v>
          </cell>
          <cell r="LA31">
            <v>2.49890495</v>
          </cell>
          <cell r="LB31">
            <v>2.560956E-2</v>
          </cell>
          <cell r="LC31">
            <v>0.38022834999999999</v>
          </cell>
          <cell r="LD31">
            <v>1.6510090000000002E-2</v>
          </cell>
          <cell r="LE31">
            <v>0.38369715999999993</v>
          </cell>
          <cell r="LF31">
            <v>0.55674508</v>
          </cell>
          <cell r="LG31">
            <v>23.632465970000002</v>
          </cell>
          <cell r="LH31">
            <v>4.2772591000000002</v>
          </cell>
          <cell r="LI31">
            <v>2.4771999999999999E-4</v>
          </cell>
          <cell r="LJ31">
            <v>7.627065999999999E-2</v>
          </cell>
          <cell r="LK31">
            <v>2.9316514400000004</v>
          </cell>
          <cell r="LL31">
            <v>3.4174623200000007</v>
          </cell>
          <cell r="LM31">
            <v>1.8531492700000001</v>
          </cell>
          <cell r="LN31">
            <v>0.19941386</v>
          </cell>
          <cell r="LO31">
            <v>12.330532680000001</v>
          </cell>
          <cell r="LQ31">
            <v>1862.2292089499999</v>
          </cell>
          <cell r="LR31">
            <v>0.55275757999999997</v>
          </cell>
          <cell r="LS31">
            <v>15.493259120000001</v>
          </cell>
          <cell r="LT31">
            <v>1.30631355</v>
          </cell>
          <cell r="LU31">
            <v>91.647200850000004</v>
          </cell>
          <cell r="LV31">
            <v>3.8594705400000002</v>
          </cell>
          <cell r="LW31">
            <v>2.5245145099999999</v>
          </cell>
          <cell r="LX31">
            <v>0.95695232999999991</v>
          </cell>
          <cell r="LZ31">
            <v>22.67</v>
          </cell>
          <cell r="MA31">
            <v>21.74</v>
          </cell>
          <cell r="MH31">
            <v>39.89</v>
          </cell>
          <cell r="MI31">
            <v>10.61</v>
          </cell>
          <cell r="MJ31">
            <v>15.34</v>
          </cell>
          <cell r="ML31">
            <v>14.2</v>
          </cell>
          <cell r="MM31">
            <v>43.26</v>
          </cell>
          <cell r="MO31">
            <v>15.47</v>
          </cell>
          <cell r="MP31">
            <v>43.55</v>
          </cell>
          <cell r="MQ31">
            <v>36.04</v>
          </cell>
          <cell r="MU31">
            <v>14.64</v>
          </cell>
          <cell r="MY31">
            <v>32.74</v>
          </cell>
          <cell r="MZ31">
            <v>99.1</v>
          </cell>
          <cell r="NA31">
            <v>38.840000000000003</v>
          </cell>
          <cell r="NB31">
            <v>128.69</v>
          </cell>
          <cell r="NC31">
            <v>21.95</v>
          </cell>
          <cell r="NE31">
            <v>112.46</v>
          </cell>
        </row>
        <row r="32">
          <cell r="A32">
            <v>43040</v>
          </cell>
          <cell r="B32">
            <v>11</v>
          </cell>
          <cell r="C32">
            <v>2017</v>
          </cell>
          <cell r="D32">
            <v>32</v>
          </cell>
          <cell r="E32">
            <v>43040</v>
          </cell>
          <cell r="F32">
            <v>17.688095238095237</v>
          </cell>
          <cell r="G32">
            <v>121</v>
          </cell>
          <cell r="H32">
            <v>12648.96</v>
          </cell>
          <cell r="I32">
            <v>106</v>
          </cell>
          <cell r="J32">
            <v>450</v>
          </cell>
          <cell r="K32">
            <v>2.6</v>
          </cell>
          <cell r="L32">
            <v>37.200000000000003</v>
          </cell>
          <cell r="N32">
            <v>1.4990000000000001</v>
          </cell>
          <cell r="O32">
            <v>1.367</v>
          </cell>
          <cell r="P32">
            <v>25.347040476190475</v>
          </cell>
          <cell r="Q32">
            <v>410</v>
          </cell>
          <cell r="R32">
            <v>4100</v>
          </cell>
          <cell r="S32">
            <v>159.1904761904762</v>
          </cell>
          <cell r="T32">
            <v>318.33333333333331</v>
          </cell>
          <cell r="U32">
            <v>148.03333333333333</v>
          </cell>
          <cell r="V32">
            <v>264.9666666666667</v>
          </cell>
          <cell r="W32">
            <v>116.23809523809524</v>
          </cell>
          <cell r="X32">
            <v>165.62857142857143</v>
          </cell>
          <cell r="Y32">
            <v>2815.7763038548751</v>
          </cell>
          <cell r="Z32">
            <v>5630.7103174603162</v>
          </cell>
          <cell r="AA32">
            <v>2618.4276984126982</v>
          </cell>
          <cell r="AB32">
            <v>4686.7556349206352</v>
          </cell>
          <cell r="AC32">
            <v>2056.0304988662128</v>
          </cell>
          <cell r="AD32">
            <v>2929.6539455782313</v>
          </cell>
          <cell r="AE32">
            <v>3456.2257331821615</v>
          </cell>
          <cell r="AF32">
            <v>12179.142857142857</v>
          </cell>
          <cell r="AG32">
            <v>6300</v>
          </cell>
          <cell r="AH32">
            <v>23300</v>
          </cell>
          <cell r="AI32">
            <v>14</v>
          </cell>
          <cell r="AJ32">
            <v>7.84</v>
          </cell>
          <cell r="AK32">
            <v>6.96</v>
          </cell>
          <cell r="AL32">
            <v>5.32</v>
          </cell>
          <cell r="AM32">
            <v>9.84</v>
          </cell>
          <cell r="AN32">
            <v>28.720892018779352</v>
          </cell>
          <cell r="AO32">
            <v>19.840476190476195</v>
          </cell>
          <cell r="AP32">
            <v>24.280684104627774</v>
          </cell>
          <cell r="AQ32">
            <v>18.199047619047626</v>
          </cell>
          <cell r="AR32">
            <v>9.7499999999999964</v>
          </cell>
          <cell r="AS32">
            <v>6.3608333333333302</v>
          </cell>
          <cell r="AT32">
            <v>15.61809523809524</v>
          </cell>
          <cell r="AU32">
            <v>10.576309523809522</v>
          </cell>
          <cell r="AV32">
            <v>8.8490123456790108</v>
          </cell>
          <cell r="AW32">
            <v>9.06</v>
          </cell>
          <cell r="AX32">
            <v>11.850952380952382</v>
          </cell>
          <cell r="AY32">
            <v>24.088095238095235</v>
          </cell>
          <cell r="AZ32">
            <v>11.85047619047619</v>
          </cell>
          <cell r="BA32">
            <v>7.086031746031745</v>
          </cell>
          <cell r="BB32">
            <v>13.718888888888886</v>
          </cell>
          <cell r="BC32">
            <v>632</v>
          </cell>
          <cell r="BD32">
            <v>776</v>
          </cell>
          <cell r="BE32">
            <v>690</v>
          </cell>
          <cell r="BF32">
            <v>410</v>
          </cell>
          <cell r="BG32">
            <v>627</v>
          </cell>
          <cell r="BH32">
            <v>43.18</v>
          </cell>
          <cell r="BI32">
            <v>14.866</v>
          </cell>
          <cell r="BJ32">
            <v>58.045999999999999</v>
          </cell>
          <cell r="BK32">
            <v>33.688000000000002</v>
          </cell>
          <cell r="BL32">
            <v>33.804000000000002</v>
          </cell>
          <cell r="BM32">
            <v>33.746000000000002</v>
          </cell>
          <cell r="BN32">
            <v>5.69</v>
          </cell>
          <cell r="BO32">
            <v>21.495238095238097</v>
          </cell>
          <cell r="BP32">
            <v>11.613166666666666</v>
          </cell>
          <cell r="BQ32">
            <v>20.507030952380955</v>
          </cell>
          <cell r="BR32">
            <v>20.82</v>
          </cell>
          <cell r="BS32">
            <v>90</v>
          </cell>
          <cell r="BT32">
            <v>51.46</v>
          </cell>
          <cell r="BU32">
            <v>1234.3800000000001</v>
          </cell>
          <cell r="BV32">
            <v>35.5</v>
          </cell>
          <cell r="BY32">
            <v>153.36605306980974</v>
          </cell>
          <cell r="BZ32">
            <v>143.89178046052047</v>
          </cell>
          <cell r="CA32">
            <v>145.94357655824913</v>
          </cell>
          <cell r="CB32">
            <v>148.96602525202377</v>
          </cell>
          <cell r="CC32">
            <v>143.37830185188568</v>
          </cell>
          <cell r="CD32">
            <v>147.04811289563878</v>
          </cell>
          <cell r="CE32">
            <v>134.69930837062319</v>
          </cell>
          <cell r="CF32">
            <v>148.40560891124315</v>
          </cell>
          <cell r="CG32">
            <v>144.74015563994394</v>
          </cell>
          <cell r="CH32">
            <v>161.19199338643352</v>
          </cell>
          <cell r="CI32">
            <v>166.21556908828359</v>
          </cell>
          <cell r="CJ32">
            <v>161.40245639705947</v>
          </cell>
          <cell r="CK32">
            <v>182.19390106463229</v>
          </cell>
          <cell r="CL32">
            <v>219.77907773352175</v>
          </cell>
          <cell r="CM32">
            <v>165.29319954850365</v>
          </cell>
          <cell r="CN32">
            <v>157.09394046529582</v>
          </cell>
          <cell r="CO32">
            <v>181.09002970298837</v>
          </cell>
          <cell r="CP32">
            <v>202.46828083419635</v>
          </cell>
          <cell r="CQ32">
            <v>157.9959624588947</v>
          </cell>
          <cell r="CR32">
            <v>161.94336900739165</v>
          </cell>
          <cell r="CS32">
            <v>159.96966573314319</v>
          </cell>
          <cell r="CT32">
            <v>155.01472353499048</v>
          </cell>
          <cell r="CU32">
            <v>149.66792532740095</v>
          </cell>
          <cell r="CV32">
            <v>144.89955020328787</v>
          </cell>
          <cell r="CW32">
            <v>144.89955020328787</v>
          </cell>
          <cell r="CX32">
            <v>146.48900857799222</v>
          </cell>
          <cell r="CY32">
            <v>159.64594160296483</v>
          </cell>
          <cell r="CZ32">
            <v>168.82902320768079</v>
          </cell>
          <cell r="DA32">
            <v>158.59249994124255</v>
          </cell>
          <cell r="DB32">
            <v>153.13487126301345</v>
          </cell>
          <cell r="DC32">
            <v>139.13659440488212</v>
          </cell>
          <cell r="DD32">
            <v>136.93992423237606</v>
          </cell>
          <cell r="DE32">
            <v>132.95919033659297</v>
          </cell>
          <cell r="DF32">
            <v>132.93968652200019</v>
          </cell>
          <cell r="DG32">
            <v>132.94943842929658</v>
          </cell>
          <cell r="DH32">
            <v>159.16586160091705</v>
          </cell>
          <cell r="DI32">
            <v>159.85268865767935</v>
          </cell>
          <cell r="DK32">
            <v>327000</v>
          </cell>
          <cell r="DL32" t="str">
            <v>2017-18</v>
          </cell>
          <cell r="DM32">
            <v>206500</v>
          </cell>
          <cell r="DN32" t="str">
            <v>2016-17</v>
          </cell>
          <cell r="DO32">
            <v>800000</v>
          </cell>
          <cell r="DP32" t="str">
            <v>2017-18</v>
          </cell>
          <cell r="DQ32">
            <v>1750000</v>
          </cell>
          <cell r="DR32" t="str">
            <v>2017-18</v>
          </cell>
          <cell r="DS32">
            <v>5400000</v>
          </cell>
          <cell r="DT32" t="str">
            <v>2017-18</v>
          </cell>
          <cell r="DU32">
            <v>18100000</v>
          </cell>
          <cell r="DV32" t="str">
            <v>2017-18</v>
          </cell>
          <cell r="DW32">
            <v>830000</v>
          </cell>
          <cell r="DX32" t="str">
            <v>2017-18</v>
          </cell>
          <cell r="DY32">
            <v>5450000</v>
          </cell>
          <cell r="DZ32" t="str">
            <v>2017-18</v>
          </cell>
          <cell r="EA32">
            <v>32330000</v>
          </cell>
          <cell r="EB32">
            <v>364191</v>
          </cell>
          <cell r="EC32" t="str">
            <v>2016-17</v>
          </cell>
          <cell r="ED32">
            <v>165327</v>
          </cell>
          <cell r="EE32">
            <v>2016</v>
          </cell>
          <cell r="EF32">
            <v>220848</v>
          </cell>
          <cell r="EG32">
            <v>2017</v>
          </cell>
          <cell r="EH32">
            <v>54163380</v>
          </cell>
          <cell r="EI32">
            <v>2017</v>
          </cell>
          <cell r="EJ32">
            <v>5119438</v>
          </cell>
          <cell r="EK32">
            <v>2025</v>
          </cell>
          <cell r="EL32">
            <v>14746566</v>
          </cell>
          <cell r="EM32">
            <v>2017</v>
          </cell>
          <cell r="EN32">
            <v>3364725</v>
          </cell>
          <cell r="EO32">
            <v>2017</v>
          </cell>
          <cell r="EP32">
            <v>6552</v>
          </cell>
          <cell r="EQ32">
            <v>3003036</v>
          </cell>
          <cell r="ER32">
            <v>33739</v>
          </cell>
          <cell r="ET32">
            <v>23614</v>
          </cell>
          <cell r="EU32">
            <v>16845</v>
          </cell>
          <cell r="EV32">
            <v>9213</v>
          </cell>
          <cell r="EW32">
            <v>17766</v>
          </cell>
          <cell r="EX32">
            <v>67438</v>
          </cell>
          <cell r="EY32">
            <v>19284</v>
          </cell>
          <cell r="EZ32">
            <v>74845</v>
          </cell>
          <cell r="FA32">
            <v>20879</v>
          </cell>
          <cell r="FB32">
            <v>19496</v>
          </cell>
          <cell r="FC32">
            <v>40375</v>
          </cell>
          <cell r="FD32">
            <v>65075.3</v>
          </cell>
          <cell r="FF32">
            <v>630040</v>
          </cell>
          <cell r="FG32" t="str">
            <v>2016-17</v>
          </cell>
          <cell r="FH32">
            <v>1328340</v>
          </cell>
          <cell r="FI32" t="str">
            <v>2016-17</v>
          </cell>
          <cell r="FJ32">
            <v>3000000</v>
          </cell>
          <cell r="FK32" t="str">
            <v>2016-17</v>
          </cell>
          <cell r="FL32">
            <v>3300000</v>
          </cell>
          <cell r="FM32" t="str">
            <v>2016-17</v>
          </cell>
          <cell r="FN32">
            <v>39000000</v>
          </cell>
          <cell r="FO32" t="str">
            <v>2016-17</v>
          </cell>
          <cell r="FP32">
            <v>57500000</v>
          </cell>
          <cell r="FQ32" t="str">
            <v>2016-17</v>
          </cell>
          <cell r="FR32">
            <v>3200000</v>
          </cell>
          <cell r="FS32" t="str">
            <v>2016-17</v>
          </cell>
          <cell r="FT32">
            <v>17000000</v>
          </cell>
          <cell r="FU32" t="str">
            <v>2017-18</v>
          </cell>
          <cell r="FV32">
            <v>123000000</v>
          </cell>
          <cell r="FW32">
            <v>1081031.1999999997</v>
          </cell>
          <cell r="FX32" t="str">
            <v>2016-17</v>
          </cell>
          <cell r="FY32">
            <v>0</v>
          </cell>
          <cell r="FZ32">
            <v>675226.79</v>
          </cell>
          <cell r="GA32" t="str">
            <v>dic16 nov17</v>
          </cell>
          <cell r="GB32">
            <v>19652055</v>
          </cell>
          <cell r="GD32">
            <v>1675851</v>
          </cell>
          <cell r="GE32">
            <v>459665</v>
          </cell>
          <cell r="GF32">
            <v>1024918</v>
          </cell>
          <cell r="GG32">
            <v>112337</v>
          </cell>
          <cell r="GH32">
            <v>1596920</v>
          </cell>
          <cell r="GI32">
            <v>1302556</v>
          </cell>
          <cell r="GJ32">
            <v>665408</v>
          </cell>
          <cell r="GK32">
            <v>660753</v>
          </cell>
          <cell r="GL32">
            <v>290290.46000000002</v>
          </cell>
          <cell r="GM32">
            <v>263224.75</v>
          </cell>
          <cell r="GN32">
            <v>1879676.21</v>
          </cell>
          <cell r="GO32">
            <v>193430</v>
          </cell>
          <cell r="GP32">
            <v>76379</v>
          </cell>
          <cell r="GR32">
            <v>42700</v>
          </cell>
          <cell r="GS32">
            <v>42700</v>
          </cell>
          <cell r="GT32">
            <v>2459310</v>
          </cell>
          <cell r="GU32">
            <v>12571</v>
          </cell>
          <cell r="GV32">
            <v>29755</v>
          </cell>
          <cell r="GW32">
            <v>1079076.6666666667</v>
          </cell>
          <cell r="GX32">
            <v>32330.198</v>
          </cell>
          <cell r="GY32" t="str">
            <v>2016-2017</v>
          </cell>
          <cell r="GZ32">
            <v>117154</v>
          </cell>
          <cell r="HA32">
            <v>254000</v>
          </cell>
          <cell r="HB32">
            <v>2837000</v>
          </cell>
          <cell r="HC32" t="str">
            <v>dic16 nov17</v>
          </cell>
          <cell r="HD32">
            <v>47857</v>
          </cell>
          <cell r="HE32">
            <v>566187</v>
          </cell>
          <cell r="HF32" t="str">
            <v>dic16 nov17</v>
          </cell>
          <cell r="HG32">
            <v>177000</v>
          </cell>
          <cell r="HH32">
            <v>2130000</v>
          </cell>
          <cell r="HI32" t="str">
            <v>dic16 nov17</v>
          </cell>
          <cell r="HJ32">
            <v>88958</v>
          </cell>
          <cell r="HK32">
            <v>55665.060000000005</v>
          </cell>
          <cell r="HL32" t="str">
            <v>dic16 nov17</v>
          </cell>
          <cell r="HM32">
            <v>2185665.06</v>
          </cell>
          <cell r="HN32">
            <v>-3.7645056681668006E-3</v>
          </cell>
          <cell r="HO32">
            <v>839129156.8757031</v>
          </cell>
          <cell r="HP32">
            <v>9821.33435625948</v>
          </cell>
          <cell r="HQ32" t="str">
            <v>dic16 nov17</v>
          </cell>
          <cell r="HU32">
            <v>680000</v>
          </cell>
          <cell r="HV32" t="str">
            <v>2016-17</v>
          </cell>
          <cell r="HW32">
            <v>1430000</v>
          </cell>
          <cell r="HX32" t="str">
            <v>2016-17</v>
          </cell>
          <cell r="HY32">
            <v>3350000</v>
          </cell>
          <cell r="HZ32" t="str">
            <v>2016-17</v>
          </cell>
          <cell r="IA32">
            <v>19080000</v>
          </cell>
          <cell r="IB32" t="str">
            <v>2016-17</v>
          </cell>
          <cell r="IC32">
            <v>47130000</v>
          </cell>
          <cell r="ID32" t="str">
            <v>2016-17</v>
          </cell>
          <cell r="IE32">
            <v>2450000</v>
          </cell>
          <cell r="IF32" t="str">
            <v>2016-17</v>
          </cell>
          <cell r="IG32">
            <v>6760000</v>
          </cell>
          <cell r="IH32" t="str">
            <v>2016-17</v>
          </cell>
          <cell r="II32">
            <v>80200000</v>
          </cell>
          <cell r="IJ32">
            <v>1.5656077472231611</v>
          </cell>
          <cell r="IK32" t="str">
            <v>2016-17</v>
          </cell>
          <cell r="IL32">
            <v>45.19</v>
          </cell>
          <cell r="IM32">
            <v>62.304704205359464</v>
          </cell>
          <cell r="IN32">
            <v>197</v>
          </cell>
          <cell r="IO32">
            <v>14.38</v>
          </cell>
          <cell r="IP32">
            <v>5.6116821966314854</v>
          </cell>
          <cell r="IQ32">
            <v>20.2</v>
          </cell>
          <cell r="IR32">
            <v>3.01</v>
          </cell>
          <cell r="IS32">
            <v>5.59</v>
          </cell>
          <cell r="IT32">
            <v>11.85</v>
          </cell>
          <cell r="IU32">
            <v>0.79</v>
          </cell>
          <cell r="IV32">
            <v>18.229999999999997</v>
          </cell>
          <cell r="IY32">
            <v>1.84</v>
          </cell>
          <cell r="IZ32">
            <v>0.3</v>
          </cell>
          <cell r="JF32">
            <v>3.8038791999999999</v>
          </cell>
          <cell r="JG32">
            <v>9.9075550200000002</v>
          </cell>
          <cell r="JH32">
            <v>46.034873509999997</v>
          </cell>
          <cell r="JI32">
            <v>34.587462290000005</v>
          </cell>
          <cell r="JJ32">
            <v>315.30520983999986</v>
          </cell>
          <cell r="JK32">
            <v>79.037735749999982</v>
          </cell>
          <cell r="JL32">
            <v>980.50618635999979</v>
          </cell>
          <cell r="JM32">
            <v>4.5725192899999998</v>
          </cell>
          <cell r="JN32">
            <v>183.44848166</v>
          </cell>
          <cell r="JO32">
            <v>12.585467659999999</v>
          </cell>
          <cell r="JP32">
            <v>0</v>
          </cell>
          <cell r="JQ32">
            <v>0</v>
          </cell>
          <cell r="JR32">
            <v>0.82213363000000006</v>
          </cell>
          <cell r="JS32">
            <v>0</v>
          </cell>
          <cell r="JT32">
            <v>3.5000000000000001E-3</v>
          </cell>
          <cell r="JU32">
            <v>81.222570829999981</v>
          </cell>
          <cell r="JV32">
            <v>6.6194707100000008</v>
          </cell>
          <cell r="JW32">
            <v>7.9700586400000004</v>
          </cell>
          <cell r="JX32">
            <v>13.04877389</v>
          </cell>
          <cell r="JY32">
            <v>9.2622999999999994E-3</v>
          </cell>
          <cell r="JZ32">
            <v>0.97114339999999988</v>
          </cell>
          <cell r="KA32">
            <v>0.79775799999999997</v>
          </cell>
          <cell r="KB32">
            <v>17.831671890000003</v>
          </cell>
          <cell r="KC32">
            <v>20.338963549999999</v>
          </cell>
          <cell r="KD32">
            <v>6.865450899999999</v>
          </cell>
          <cell r="KE32">
            <v>11.12230037</v>
          </cell>
          <cell r="KF32">
            <v>27.998395900000006</v>
          </cell>
          <cell r="KG32">
            <v>201.79707485</v>
          </cell>
          <cell r="KH32">
            <v>63.042212160000005</v>
          </cell>
          <cell r="KI32">
            <v>18.475152440000002</v>
          </cell>
          <cell r="KJ32">
            <v>1.9913675300000002</v>
          </cell>
          <cell r="KK32">
            <v>10.310003579999998</v>
          </cell>
          <cell r="KL32">
            <v>0.67798842999999998</v>
          </cell>
          <cell r="KM32">
            <v>8.1260811799999999</v>
          </cell>
          <cell r="KN32">
            <v>0.79633947999999999</v>
          </cell>
          <cell r="KO32">
            <v>6.2836318000000002</v>
          </cell>
          <cell r="KP32">
            <v>2.5219049999999996E-2</v>
          </cell>
          <cell r="KQ32">
            <v>56.191895780000003</v>
          </cell>
          <cell r="KR32">
            <v>6.9799079999999999E-2</v>
          </cell>
          <cell r="KS32">
            <v>0.13693905000000001</v>
          </cell>
          <cell r="KT32">
            <v>8.1927693300000008</v>
          </cell>
          <cell r="KU32">
            <v>0.67503115000000002</v>
          </cell>
          <cell r="KV32">
            <v>0.50926667000000003</v>
          </cell>
          <cell r="KW32">
            <v>2.8802455299999998</v>
          </cell>
          <cell r="KX32">
            <v>0</v>
          </cell>
          <cell r="KY32">
            <v>0.22483985999999997</v>
          </cell>
          <cell r="KZ32">
            <v>5.5065139199999997</v>
          </cell>
          <cell r="LA32">
            <v>2.5303687699999999</v>
          </cell>
          <cell r="LB32">
            <v>2.413823E-2</v>
          </cell>
          <cell r="LC32">
            <v>0.83766410000000002</v>
          </cell>
          <cell r="LD32">
            <v>0</v>
          </cell>
          <cell r="LE32">
            <v>0.80831944999999994</v>
          </cell>
          <cell r="LF32">
            <v>0.40495635999999996</v>
          </cell>
          <cell r="LG32">
            <v>25.810973910000001</v>
          </cell>
          <cell r="LH32">
            <v>4.2423849800000006</v>
          </cell>
          <cell r="LI32">
            <v>9.6441329999999992E-2</v>
          </cell>
          <cell r="LJ32">
            <v>0</v>
          </cell>
          <cell r="LK32">
            <v>1.8189602699999998</v>
          </cell>
          <cell r="LL32">
            <v>3.5600665899999999</v>
          </cell>
          <cell r="LM32">
            <v>2.9836850699999999</v>
          </cell>
          <cell r="LN32">
            <v>0.44799552000000004</v>
          </cell>
          <cell r="LO32">
            <v>11.228432869999999</v>
          </cell>
          <cell r="LQ32">
            <v>1564.4547329499994</v>
          </cell>
          <cell r="LR32">
            <v>0.82563363000000001</v>
          </cell>
          <cell r="LS32">
            <v>14.589529350000001</v>
          </cell>
          <cell r="LT32">
            <v>1.7781636999999999</v>
          </cell>
          <cell r="LU32">
            <v>71.604686369999996</v>
          </cell>
          <cell r="LV32">
            <v>3.6143520599999999</v>
          </cell>
          <cell r="LW32">
            <v>2.5545070000000001</v>
          </cell>
          <cell r="LX32">
            <v>1.2132758099999998</v>
          </cell>
          <cell r="LZ32">
            <v>22.85</v>
          </cell>
          <cell r="MA32">
            <v>21.74</v>
          </cell>
          <cell r="MH32">
            <v>40.24</v>
          </cell>
          <cell r="MI32">
            <v>10.81</v>
          </cell>
          <cell r="MJ32">
            <v>18.7</v>
          </cell>
          <cell r="ML32">
            <v>15.26</v>
          </cell>
          <cell r="MM32">
            <v>35.299999999999997</v>
          </cell>
          <cell r="MO32">
            <v>16.649999999999999</v>
          </cell>
          <cell r="MP32">
            <v>44.18</v>
          </cell>
          <cell r="MQ32">
            <v>38.33</v>
          </cell>
          <cell r="MU32">
            <v>14.79</v>
          </cell>
          <cell r="MY32">
            <v>33.119999999999997</v>
          </cell>
          <cell r="MZ32">
            <v>97.6</v>
          </cell>
          <cell r="NA32">
            <v>37.65</v>
          </cell>
          <cell r="NB32">
            <v>133.37</v>
          </cell>
          <cell r="NC32">
            <v>22.63</v>
          </cell>
          <cell r="NE32">
            <v>118.63</v>
          </cell>
        </row>
        <row r="33">
          <cell r="A33">
            <v>43070</v>
          </cell>
          <cell r="B33">
            <v>12</v>
          </cell>
          <cell r="C33">
            <v>2017</v>
          </cell>
          <cell r="D33">
            <v>33</v>
          </cell>
          <cell r="E33">
            <v>43070</v>
          </cell>
          <cell r="F33">
            <v>17.939473684210526</v>
          </cell>
          <cell r="G33">
            <v>124.8</v>
          </cell>
          <cell r="H33">
            <v>12648.96</v>
          </cell>
          <cell r="I33">
            <v>115</v>
          </cell>
          <cell r="J33">
            <v>430</v>
          </cell>
          <cell r="K33">
            <v>2.6</v>
          </cell>
          <cell r="L33">
            <v>37.9</v>
          </cell>
          <cell r="N33">
            <v>1.5372105263157894</v>
          </cell>
          <cell r="O33">
            <v>1.4052105263157895</v>
          </cell>
          <cell r="P33">
            <v>26.39274252077562</v>
          </cell>
          <cell r="Q33">
            <v>415</v>
          </cell>
          <cell r="R33">
            <v>4150</v>
          </cell>
          <cell r="S33">
            <v>159.83333333333334</v>
          </cell>
          <cell r="T33">
            <v>298.16666666666669</v>
          </cell>
          <cell r="U33">
            <v>150.33684210526314</v>
          </cell>
          <cell r="V33">
            <v>264.38421052631583</v>
          </cell>
          <cell r="W33">
            <v>123.08333333333333</v>
          </cell>
          <cell r="X33">
            <v>166.66842105263157</v>
          </cell>
          <cell r="Y33">
            <v>2867.3258771929827</v>
          </cell>
          <cell r="Z33">
            <v>5348.9530701754393</v>
          </cell>
          <cell r="AA33">
            <v>2696.9638227146811</v>
          </cell>
          <cell r="AB33">
            <v>4742.913587257618</v>
          </cell>
          <cell r="AC33">
            <v>2208.0502192982453</v>
          </cell>
          <cell r="AD33">
            <v>2989.9437534626036</v>
          </cell>
          <cell r="AE33">
            <v>3475.6917216835946</v>
          </cell>
          <cell r="AF33">
            <v>12070.6</v>
          </cell>
          <cell r="AG33">
            <v>6300</v>
          </cell>
          <cell r="AH33">
            <v>23300</v>
          </cell>
          <cell r="AI33">
            <v>12.61</v>
          </cell>
          <cell r="AJ33">
            <v>7.61</v>
          </cell>
          <cell r="AK33">
            <v>7.17</v>
          </cell>
          <cell r="AL33">
            <v>5.91</v>
          </cell>
          <cell r="AM33">
            <v>9.3876000000000008</v>
          </cell>
          <cell r="AN33">
            <v>29.767016574585625</v>
          </cell>
          <cell r="AO33">
            <v>20.318947368421046</v>
          </cell>
          <cell r="AP33">
            <v>25.042981971503337</v>
          </cell>
          <cell r="AQ33">
            <v>18.088947368421046</v>
          </cell>
          <cell r="AR33">
            <v>12.683684210526314</v>
          </cell>
          <cell r="AS33">
            <v>6.7098373983739812</v>
          </cell>
          <cell r="AT33">
            <v>17.711578947368423</v>
          </cell>
          <cell r="AU33">
            <v>12.368366852089572</v>
          </cell>
          <cell r="AV33">
            <v>7.0671641791044779</v>
          </cell>
          <cell r="AW33">
            <v>8.833157894736841</v>
          </cell>
          <cell r="AX33">
            <v>9.7621052631578973</v>
          </cell>
          <cell r="AY33">
            <v>13.726842105263154</v>
          </cell>
          <cell r="AZ33">
            <v>9.5500000000000007</v>
          </cell>
          <cell r="BA33">
            <v>6.1581249999999992</v>
          </cell>
          <cell r="BB33">
            <v>9.7992680921052617</v>
          </cell>
          <cell r="BC33">
            <v>632</v>
          </cell>
          <cell r="BD33">
            <v>776</v>
          </cell>
          <cell r="BE33">
            <v>690</v>
          </cell>
          <cell r="BF33">
            <v>410</v>
          </cell>
          <cell r="BG33">
            <v>627</v>
          </cell>
          <cell r="BH33">
            <v>43.18</v>
          </cell>
          <cell r="BI33">
            <v>14.866</v>
          </cell>
          <cell r="BJ33">
            <v>58.045999999999999</v>
          </cell>
          <cell r="BK33">
            <v>33.284999999999997</v>
          </cell>
          <cell r="BL33">
            <v>33.994</v>
          </cell>
          <cell r="BM33">
            <v>33.639499999999998</v>
          </cell>
          <cell r="BN33">
            <v>5.71</v>
          </cell>
          <cell r="BO33">
            <v>25.431578947368426</v>
          </cell>
          <cell r="BP33">
            <v>11.762833333333333</v>
          </cell>
          <cell r="BQ33">
            <v>24.064704385964916</v>
          </cell>
          <cell r="BR33">
            <v>21.4</v>
          </cell>
          <cell r="BS33">
            <v>90</v>
          </cell>
          <cell r="BT33">
            <v>62.84</v>
          </cell>
          <cell r="BU33">
            <v>1268.52</v>
          </cell>
          <cell r="BV33">
            <v>36.299999999999997</v>
          </cell>
          <cell r="BY33">
            <v>157.8110875343431</v>
          </cell>
          <cell r="BZ33">
            <v>152.55126462554412</v>
          </cell>
          <cell r="CA33">
            <v>149.56903304508629</v>
          </cell>
          <cell r="CB33">
            <v>150.12047012543201</v>
          </cell>
          <cell r="CC33">
            <v>147.21808190981596</v>
          </cell>
          <cell r="CD33">
            <v>150.09022113652119</v>
          </cell>
          <cell r="CE33">
            <v>140.19833709823135</v>
          </cell>
          <cell r="CF33">
            <v>152.36642654100507</v>
          </cell>
          <cell r="CG33">
            <v>148.26042830934864</v>
          </cell>
          <cell r="CH33">
            <v>163.03922127608894</v>
          </cell>
          <cell r="CI33">
            <v>163.12688828714613</v>
          </cell>
          <cell r="CJ33">
            <v>162.61875514656776</v>
          </cell>
          <cell r="CK33">
            <v>174.86413679892985</v>
          </cell>
          <cell r="CL33">
            <v>179.73956980238034</v>
          </cell>
          <cell r="CM33">
            <v>157.81717186401264</v>
          </cell>
          <cell r="CN33">
            <v>155.19642466333988</v>
          </cell>
          <cell r="CO33">
            <v>166.9043257821657</v>
          </cell>
          <cell r="CP33">
            <v>204.98535867000228</v>
          </cell>
          <cell r="CQ33">
            <v>161.02717011842981</v>
          </cell>
          <cell r="CR33">
            <v>164.74874061584711</v>
          </cell>
          <cell r="CS33">
            <v>162.88795536713846</v>
          </cell>
          <cell r="CT33">
            <v>157.91484390383371</v>
          </cell>
          <cell r="CU33">
            <v>156.25938096867986</v>
          </cell>
          <cell r="CV33">
            <v>147.96091393281313</v>
          </cell>
          <cell r="CW33">
            <v>147.96091393281313</v>
          </cell>
          <cell r="CX33">
            <v>150.72706961143538</v>
          </cell>
          <cell r="CY33">
            <v>160.98919536118598</v>
          </cell>
          <cell r="CZ33">
            <v>173.85620750386397</v>
          </cell>
          <cell r="DA33">
            <v>160.55791670535072</v>
          </cell>
          <cell r="DB33">
            <v>154.50253238589994</v>
          </cell>
          <cell r="DC33">
            <v>144.24257173265937</v>
          </cell>
          <cell r="DD33">
            <v>141.51455850449977</v>
          </cell>
          <cell r="DE33">
            <v>135.56921082830846</v>
          </cell>
          <cell r="DF33">
            <v>136.91513003281116</v>
          </cell>
          <cell r="DG33">
            <v>136.24217043055981</v>
          </cell>
          <cell r="DH33">
            <v>161.5209072232081</v>
          </cell>
          <cell r="DI33">
            <v>161.52313743828751</v>
          </cell>
          <cell r="DK33">
            <v>327000</v>
          </cell>
          <cell r="DL33" t="str">
            <v>2017-18</v>
          </cell>
          <cell r="DM33">
            <v>206500</v>
          </cell>
          <cell r="DN33" t="str">
            <v>2016-17</v>
          </cell>
          <cell r="DO33">
            <v>800000</v>
          </cell>
          <cell r="DP33" t="str">
            <v>2017-18</v>
          </cell>
          <cell r="DQ33">
            <v>1750000</v>
          </cell>
          <cell r="DR33" t="str">
            <v>2017-18</v>
          </cell>
          <cell r="DS33">
            <v>5400000</v>
          </cell>
          <cell r="DT33" t="str">
            <v>2017-18</v>
          </cell>
          <cell r="DU33">
            <v>18100000</v>
          </cell>
          <cell r="DV33" t="str">
            <v>2017-18</v>
          </cell>
          <cell r="DW33">
            <v>830000</v>
          </cell>
          <cell r="DX33" t="str">
            <v>2017-18</v>
          </cell>
          <cell r="DY33">
            <v>5450000</v>
          </cell>
          <cell r="DZ33" t="str">
            <v>2017-18</v>
          </cell>
          <cell r="EA33">
            <v>32330000</v>
          </cell>
          <cell r="EB33">
            <v>407000</v>
          </cell>
          <cell r="EC33" t="str">
            <v>2017-18</v>
          </cell>
          <cell r="ED33">
            <v>165327</v>
          </cell>
          <cell r="EE33">
            <v>2016</v>
          </cell>
          <cell r="EF33">
            <v>220848</v>
          </cell>
          <cell r="EG33">
            <v>2017</v>
          </cell>
          <cell r="EH33">
            <v>54163380</v>
          </cell>
          <cell r="EI33">
            <v>2017</v>
          </cell>
          <cell r="EJ33">
            <v>5119438</v>
          </cell>
          <cell r="EK33">
            <v>2026</v>
          </cell>
          <cell r="EL33">
            <v>14746566</v>
          </cell>
          <cell r="EM33">
            <v>2017</v>
          </cell>
          <cell r="EN33">
            <v>3364725</v>
          </cell>
          <cell r="EO33">
            <v>2017</v>
          </cell>
          <cell r="EP33">
            <v>6552</v>
          </cell>
          <cell r="EQ33">
            <v>3003036</v>
          </cell>
          <cell r="ER33">
            <v>33739</v>
          </cell>
          <cell r="ET33">
            <v>23614</v>
          </cell>
          <cell r="EU33">
            <v>16845</v>
          </cell>
          <cell r="EV33">
            <v>9213</v>
          </cell>
          <cell r="EW33">
            <v>17766</v>
          </cell>
          <cell r="EX33">
            <v>67438</v>
          </cell>
          <cell r="EY33">
            <v>19284</v>
          </cell>
          <cell r="EZ33">
            <v>74845</v>
          </cell>
          <cell r="FA33">
            <v>20879</v>
          </cell>
          <cell r="FB33">
            <v>19496</v>
          </cell>
          <cell r="FC33">
            <v>40375</v>
          </cell>
          <cell r="FD33">
            <v>65075.3</v>
          </cell>
          <cell r="FF33">
            <v>630040</v>
          </cell>
          <cell r="FG33" t="str">
            <v>2016-17</v>
          </cell>
          <cell r="FH33">
            <v>1328340</v>
          </cell>
          <cell r="FI33" t="str">
            <v>2016-17</v>
          </cell>
          <cell r="FJ33">
            <v>3000000</v>
          </cell>
          <cell r="FK33" t="str">
            <v>2016-17</v>
          </cell>
          <cell r="FL33">
            <v>3300000</v>
          </cell>
          <cell r="FM33" t="str">
            <v>2016-17</v>
          </cell>
          <cell r="FN33">
            <v>39000000</v>
          </cell>
          <cell r="FO33" t="str">
            <v>2016-17</v>
          </cell>
          <cell r="FP33">
            <v>57500000</v>
          </cell>
          <cell r="FQ33" t="str">
            <v>2016-17</v>
          </cell>
          <cell r="FR33">
            <v>3200000</v>
          </cell>
          <cell r="FS33" t="str">
            <v>2016-17</v>
          </cell>
          <cell r="FT33">
            <v>17000000</v>
          </cell>
          <cell r="FU33" t="str">
            <v>2017-18</v>
          </cell>
          <cell r="FV33">
            <v>123000000</v>
          </cell>
          <cell r="FW33">
            <v>1081031.1999999997</v>
          </cell>
          <cell r="FX33" t="str">
            <v>2016-17</v>
          </cell>
          <cell r="FY33">
            <v>31533.577000000001</v>
          </cell>
          <cell r="FZ33">
            <v>689984.63000000012</v>
          </cell>
          <cell r="GA33" t="str">
            <v>ene17 dic17</v>
          </cell>
          <cell r="GB33">
            <v>19652055</v>
          </cell>
          <cell r="GD33">
            <v>1675851</v>
          </cell>
          <cell r="GE33">
            <v>459665</v>
          </cell>
          <cell r="GF33">
            <v>1024918</v>
          </cell>
          <cell r="GG33">
            <v>112337</v>
          </cell>
          <cell r="GH33">
            <v>1596920</v>
          </cell>
          <cell r="GI33">
            <v>1302556</v>
          </cell>
          <cell r="GJ33">
            <v>665408</v>
          </cell>
          <cell r="GK33">
            <v>660753</v>
          </cell>
          <cell r="GL33">
            <v>290290.46000000002</v>
          </cell>
          <cell r="GM33">
            <v>263224.75</v>
          </cell>
          <cell r="GN33">
            <v>1879676.21</v>
          </cell>
          <cell r="GO33">
            <v>193430</v>
          </cell>
          <cell r="GP33">
            <v>76379</v>
          </cell>
          <cell r="GR33">
            <v>42700</v>
          </cell>
          <cell r="GS33">
            <v>42700</v>
          </cell>
          <cell r="GT33">
            <v>2459310</v>
          </cell>
          <cell r="GU33">
            <v>9379</v>
          </cell>
          <cell r="GV33">
            <v>29762</v>
          </cell>
          <cell r="GW33">
            <v>1015803</v>
          </cell>
          <cell r="GX33">
            <v>32330.198</v>
          </cell>
          <cell r="GY33" t="str">
            <v>2016-2017</v>
          </cell>
          <cell r="GZ33">
            <v>117154</v>
          </cell>
          <cell r="HA33">
            <v>242000</v>
          </cell>
          <cell r="HB33">
            <v>2841000</v>
          </cell>
          <cell r="HC33" t="str">
            <v>ene17 dic17</v>
          </cell>
          <cell r="HD33">
            <v>47332</v>
          </cell>
          <cell r="HE33">
            <v>568003</v>
          </cell>
          <cell r="HF33" t="str">
            <v>ene17 dic17</v>
          </cell>
          <cell r="HG33">
            <v>165000</v>
          </cell>
          <cell r="HH33">
            <v>2114000</v>
          </cell>
          <cell r="HI33" t="str">
            <v>ene17 dic17</v>
          </cell>
          <cell r="HJ33">
            <v>89894</v>
          </cell>
          <cell r="HK33">
            <v>61058.700000000004</v>
          </cell>
          <cell r="HL33" t="str">
            <v>ene17 dic17</v>
          </cell>
          <cell r="HM33">
            <v>2175058.7000000002</v>
          </cell>
          <cell r="HN33">
            <v>2.9038571734128181E-2</v>
          </cell>
          <cell r="HO33">
            <v>841136128.53547633</v>
          </cell>
          <cell r="HP33">
            <v>9845.0704847949564</v>
          </cell>
          <cell r="HQ33" t="str">
            <v>ene17 dic17</v>
          </cell>
          <cell r="HU33">
            <v>680000</v>
          </cell>
          <cell r="HV33" t="str">
            <v>2016-17</v>
          </cell>
          <cell r="HW33">
            <v>1350000</v>
          </cell>
          <cell r="HX33" t="str">
            <v>2017-18</v>
          </cell>
          <cell r="HY33">
            <v>3350000</v>
          </cell>
          <cell r="HZ33" t="str">
            <v>2016-17</v>
          </cell>
          <cell r="IA33">
            <v>19080000</v>
          </cell>
          <cell r="IB33" t="str">
            <v>2016-17</v>
          </cell>
          <cell r="IC33">
            <v>47130000</v>
          </cell>
          <cell r="ID33" t="str">
            <v>2016-17</v>
          </cell>
          <cell r="IE33">
            <v>2450000</v>
          </cell>
          <cell r="IF33" t="str">
            <v>2016-17</v>
          </cell>
          <cell r="IG33">
            <v>6500000</v>
          </cell>
          <cell r="IH33" t="str">
            <v>2017-18</v>
          </cell>
          <cell r="II33">
            <v>79860000</v>
          </cell>
          <cell r="IJ33">
            <v>1.5656077472231611</v>
          </cell>
          <cell r="IK33" t="str">
            <v>2016-17</v>
          </cell>
          <cell r="IL33">
            <v>40.64</v>
          </cell>
          <cell r="IM33">
            <v>58.215032343661306</v>
          </cell>
          <cell r="IN33">
            <v>197</v>
          </cell>
          <cell r="IO33">
            <v>14.07</v>
          </cell>
          <cell r="IP33">
            <v>5.6116821966314854</v>
          </cell>
          <cell r="IQ33">
            <v>20.2</v>
          </cell>
          <cell r="IR33">
            <v>3.01</v>
          </cell>
          <cell r="IS33">
            <v>5.59</v>
          </cell>
          <cell r="IT33">
            <v>11.85</v>
          </cell>
          <cell r="IU33">
            <v>0.79</v>
          </cell>
          <cell r="IV33">
            <v>18.229999999999997</v>
          </cell>
          <cell r="IY33">
            <v>1.84</v>
          </cell>
          <cell r="IZ33">
            <v>0.3</v>
          </cell>
          <cell r="JF33">
            <v>2.9595892699999991</v>
          </cell>
          <cell r="JG33">
            <v>8.6351688500000012</v>
          </cell>
          <cell r="JH33">
            <v>71.925960430000003</v>
          </cell>
          <cell r="JI33">
            <v>24.675277870000002</v>
          </cell>
          <cell r="JJ33">
            <v>235.06054873999997</v>
          </cell>
          <cell r="JK33">
            <v>89.639485860000008</v>
          </cell>
          <cell r="JL33">
            <v>836.59423155000002</v>
          </cell>
          <cell r="JM33">
            <v>6.5807333999999997</v>
          </cell>
          <cell r="JN33">
            <v>351.18717076000013</v>
          </cell>
          <cell r="JO33">
            <v>13.930177260000001</v>
          </cell>
          <cell r="JP33">
            <v>0</v>
          </cell>
          <cell r="JQ33">
            <v>5.9999999999999995E-4</v>
          </cell>
          <cell r="JR33">
            <v>0.60243866999999995</v>
          </cell>
          <cell r="JS33">
            <v>0</v>
          </cell>
          <cell r="JT33">
            <v>7.5171000000000002E-2</v>
          </cell>
          <cell r="JU33">
            <v>82.289250070000008</v>
          </cell>
          <cell r="JV33">
            <v>6.5601067099999995</v>
          </cell>
          <cell r="JW33">
            <v>4.9255134600000003</v>
          </cell>
          <cell r="JX33">
            <v>13.920578560000003</v>
          </cell>
          <cell r="JY33">
            <v>0</v>
          </cell>
          <cell r="JZ33">
            <v>0.86762262999999995</v>
          </cell>
          <cell r="KA33">
            <v>0.63744800000000001</v>
          </cell>
          <cell r="KB33">
            <v>13.060490690000002</v>
          </cell>
          <cell r="KC33">
            <v>10.85631083</v>
          </cell>
          <cell r="KD33">
            <v>7.4194477300000008</v>
          </cell>
          <cell r="KE33">
            <v>12.148196760000001</v>
          </cell>
          <cell r="KF33">
            <v>25.849433949999998</v>
          </cell>
          <cell r="KG33">
            <v>208.19711535000002</v>
          </cell>
          <cell r="KH33">
            <v>48.411020220000005</v>
          </cell>
          <cell r="KI33">
            <v>26.847281029999998</v>
          </cell>
          <cell r="KJ33">
            <v>2.6136680400000003</v>
          </cell>
          <cell r="KK33">
            <v>9.020099759999999</v>
          </cell>
          <cell r="KL33">
            <v>0.33324474999999998</v>
          </cell>
          <cell r="KM33">
            <v>6.1578546999999988</v>
          </cell>
          <cell r="KN33">
            <v>2.83758E-2</v>
          </cell>
          <cell r="KO33">
            <v>0.76890442000000014</v>
          </cell>
          <cell r="KP33">
            <v>1.6375299999999999E-3</v>
          </cell>
          <cell r="KQ33">
            <v>20.91103815</v>
          </cell>
          <cell r="KR33">
            <v>7.08897E-3</v>
          </cell>
          <cell r="KS33">
            <v>6.3588310000000009E-2</v>
          </cell>
          <cell r="KT33">
            <v>7.1374737999999995</v>
          </cell>
          <cell r="KU33">
            <v>0.39425086999999998</v>
          </cell>
          <cell r="KV33">
            <v>0.13091332</v>
          </cell>
          <cell r="KW33">
            <v>1.989832</v>
          </cell>
          <cell r="KX33">
            <v>0</v>
          </cell>
          <cell r="KY33">
            <v>2.787479E-2</v>
          </cell>
          <cell r="KZ33">
            <v>2.1023306600000002</v>
          </cell>
          <cell r="LA33">
            <v>1.4148787</v>
          </cell>
          <cell r="LB33">
            <v>0</v>
          </cell>
          <cell r="LC33">
            <v>0.67939562999999992</v>
          </cell>
          <cell r="LD33">
            <v>4.6354449999999998E-2</v>
          </cell>
          <cell r="LE33">
            <v>1.4217725200000002</v>
          </cell>
          <cell r="LF33">
            <v>0.42321297999999996</v>
          </cell>
          <cell r="LG33">
            <v>27.186331299999996</v>
          </cell>
          <cell r="LH33">
            <v>3.4348927300000001</v>
          </cell>
          <cell r="LI33">
            <v>9.660408999999999E-2</v>
          </cell>
          <cell r="LJ33">
            <v>0</v>
          </cell>
          <cell r="LK33">
            <v>3.7494635999999999</v>
          </cell>
          <cell r="LL33">
            <v>3.0312738600000002</v>
          </cell>
          <cell r="LM33">
            <v>3.1743807199999998</v>
          </cell>
          <cell r="LN33">
            <v>0.21175838999999999</v>
          </cell>
          <cell r="LO33">
            <v>13.675710800000003</v>
          </cell>
          <cell r="LQ33">
            <v>1526.0239227500001</v>
          </cell>
          <cell r="LR33">
            <v>0.67820966999999999</v>
          </cell>
          <cell r="LS33">
            <v>11.485620170000001</v>
          </cell>
          <cell r="LT33">
            <v>1.5050706300000001</v>
          </cell>
          <cell r="LU33">
            <v>27.93685035</v>
          </cell>
          <cell r="LV33">
            <v>2.14862011</v>
          </cell>
          <cell r="LW33">
            <v>1.4148787</v>
          </cell>
          <cell r="LX33">
            <v>1.8913399500000001</v>
          </cell>
          <cell r="LZ33">
            <v>23.1</v>
          </cell>
          <cell r="MA33">
            <v>22.1</v>
          </cell>
          <cell r="MH33">
            <v>40.549999999999997</v>
          </cell>
          <cell r="MI33">
            <v>11.03</v>
          </cell>
          <cell r="MJ33">
            <v>18.649999999999999</v>
          </cell>
          <cell r="ML33">
            <v>15.86</v>
          </cell>
          <cell r="MM33">
            <v>24.53</v>
          </cell>
          <cell r="MO33">
            <v>17.850000000000001</v>
          </cell>
          <cell r="MP33">
            <v>44.76</v>
          </cell>
          <cell r="MQ33">
            <v>38.76</v>
          </cell>
          <cell r="MU33">
            <v>15.94</v>
          </cell>
          <cell r="MY33">
            <v>34.049999999999997</v>
          </cell>
          <cell r="MZ33">
            <v>96.1</v>
          </cell>
          <cell r="NA33">
            <v>38.880000000000003</v>
          </cell>
          <cell r="NB33">
            <v>135.44</v>
          </cell>
          <cell r="NC33">
            <v>22.8</v>
          </cell>
          <cell r="NE33">
            <v>122.71</v>
          </cell>
        </row>
        <row r="34">
          <cell r="A34">
            <v>43101</v>
          </cell>
          <cell r="B34">
            <v>1</v>
          </cell>
          <cell r="C34">
            <v>2018</v>
          </cell>
          <cell r="D34">
            <v>34</v>
          </cell>
          <cell r="E34">
            <v>43101</v>
          </cell>
          <cell r="F34">
            <v>19.279545454545453</v>
          </cell>
          <cell r="G34">
            <v>127</v>
          </cell>
          <cell r="H34">
            <v>12648.96</v>
          </cell>
          <cell r="I34">
            <v>113</v>
          </cell>
          <cell r="J34">
            <v>430</v>
          </cell>
          <cell r="K34">
            <v>2.6</v>
          </cell>
          <cell r="L34">
            <v>35.6</v>
          </cell>
          <cell r="N34">
            <v>1.635</v>
          </cell>
          <cell r="O34">
            <v>1.514</v>
          </cell>
          <cell r="P34">
            <v>30.355644318181817</v>
          </cell>
          <cell r="Q34">
            <v>395</v>
          </cell>
          <cell r="R34">
            <v>3950</v>
          </cell>
          <cell r="S34">
            <v>163.86363636363637</v>
          </cell>
          <cell r="T34">
            <v>304.22727272727275</v>
          </cell>
          <cell r="U34">
            <v>152.75</v>
          </cell>
          <cell r="V34">
            <v>265.63636363636368</v>
          </cell>
          <cell r="W34">
            <v>127.63636363636364</v>
          </cell>
          <cell r="X34">
            <v>167.09411764705882</v>
          </cell>
          <cell r="Y34">
            <v>3159.2164256198348</v>
          </cell>
          <cell r="Z34">
            <v>5865.3635330578509</v>
          </cell>
          <cell r="AA34">
            <v>2944.9505681818177</v>
          </cell>
          <cell r="AB34">
            <v>5121.3483471074387</v>
          </cell>
          <cell r="AC34">
            <v>2460.7710743801649</v>
          </cell>
          <cell r="AD34">
            <v>3221.4986363636358</v>
          </cell>
          <cell r="AE34">
            <v>3795.5247641184569</v>
          </cell>
          <cell r="AF34">
            <v>12271.045454545454</v>
          </cell>
          <cell r="AG34">
            <v>6300</v>
          </cell>
          <cell r="AH34">
            <v>23300</v>
          </cell>
          <cell r="AI34">
            <v>12.1</v>
          </cell>
          <cell r="AJ34">
            <v>7.44</v>
          </cell>
          <cell r="AK34">
            <v>7.35</v>
          </cell>
          <cell r="AL34">
            <v>5.17</v>
          </cell>
          <cell r="AM34">
            <v>9.0153999999999996</v>
          </cell>
          <cell r="AN34">
            <v>31.396130952380943</v>
          </cell>
          <cell r="AO34">
            <v>22.326000000000001</v>
          </cell>
          <cell r="AP34">
            <v>26.861065476190472</v>
          </cell>
          <cell r="AQ34">
            <v>18.509499999999996</v>
          </cell>
          <cell r="AR34">
            <v>15.082500000000001</v>
          </cell>
          <cell r="AS34">
            <v>10.928142857142864</v>
          </cell>
          <cell r="AT34">
            <v>21.893999999999998</v>
          </cell>
          <cell r="AU34">
            <v>15.968214285714287</v>
          </cell>
          <cell r="AV34">
            <v>7.4115217391304364</v>
          </cell>
          <cell r="AW34">
            <v>8.7650000000000006</v>
          </cell>
          <cell r="AX34">
            <v>6.1109999999999998</v>
          </cell>
          <cell r="AY34">
            <v>16.696999999999999</v>
          </cell>
          <cell r="AZ34">
            <v>14.9445</v>
          </cell>
          <cell r="BA34">
            <v>6.8536363636363635</v>
          </cell>
          <cell r="BB34">
            <v>11.15153409090909</v>
          </cell>
          <cell r="BC34">
            <v>676</v>
          </cell>
          <cell r="BD34">
            <v>776</v>
          </cell>
          <cell r="BE34">
            <v>690</v>
          </cell>
          <cell r="BF34">
            <v>410</v>
          </cell>
          <cell r="BG34">
            <v>638</v>
          </cell>
          <cell r="BH34">
            <v>43.18</v>
          </cell>
          <cell r="BI34">
            <v>14.866</v>
          </cell>
          <cell r="BJ34">
            <v>58.045999999999999</v>
          </cell>
          <cell r="BK34">
            <v>33.06</v>
          </cell>
          <cell r="BL34">
            <v>33.515999999999998</v>
          </cell>
          <cell r="BM34">
            <v>33.287999999999997</v>
          </cell>
          <cell r="BN34">
            <v>5.72</v>
          </cell>
          <cell r="BO34">
            <v>27.022727272727284</v>
          </cell>
          <cell r="BP34">
            <v>12.350499999999998</v>
          </cell>
          <cell r="BQ34">
            <v>25.555504545454557</v>
          </cell>
          <cell r="BR34">
            <v>22.26</v>
          </cell>
          <cell r="BS34">
            <v>100</v>
          </cell>
          <cell r="BT34">
            <v>62.36</v>
          </cell>
          <cell r="BU34">
            <v>1387.08</v>
          </cell>
          <cell r="BV34">
            <v>36.799999999999997</v>
          </cell>
          <cell r="BY34">
            <v>170.27573924447105</v>
          </cell>
          <cell r="BZ34">
            <v>161.42773168469256</v>
          </cell>
          <cell r="CA34">
            <v>159.36487897706195</v>
          </cell>
          <cell r="CB34">
            <v>159.93648941481982</v>
          </cell>
          <cell r="CC34">
            <v>155.98843162417623</v>
          </cell>
          <cell r="CD34">
            <v>159.91584251329911</v>
          </cell>
          <cell r="CE34">
            <v>148.80467062655458</v>
          </cell>
          <cell r="CF34">
            <v>161.58116464652221</v>
          </cell>
          <cell r="CG34">
            <v>157.59857963373898</v>
          </cell>
          <cell r="CH34">
            <v>169.7233371745701</v>
          </cell>
          <cell r="CI34">
            <v>170.39013945748286</v>
          </cell>
          <cell r="CJ34">
            <v>164.95479789313228</v>
          </cell>
          <cell r="CK34">
            <v>161.47694405440822</v>
          </cell>
          <cell r="CL34">
            <v>195.91053649973449</v>
          </cell>
          <cell r="CM34">
            <v>182.54750558387488</v>
          </cell>
          <cell r="CN34">
            <v>160.16524661446198</v>
          </cell>
          <cell r="CO34">
            <v>175.02505818811989</v>
          </cell>
          <cell r="CP34">
            <v>207.17742241402669</v>
          </cell>
          <cell r="CQ34">
            <v>165.60638577567633</v>
          </cell>
          <cell r="CR34">
            <v>170.88634531470845</v>
          </cell>
          <cell r="CS34">
            <v>168.24636554519239</v>
          </cell>
          <cell r="CT34">
            <v>162.28588374894107</v>
          </cell>
          <cell r="CU34">
            <v>163.71932974547792</v>
          </cell>
          <cell r="CV34">
            <v>157.80036004219926</v>
          </cell>
          <cell r="CW34">
            <v>157.80036004219926</v>
          </cell>
          <cell r="CX34">
            <v>159.77334994329215</v>
          </cell>
          <cell r="CY34">
            <v>162.635429216826</v>
          </cell>
          <cell r="CZ34">
            <v>178.71225233609312</v>
          </cell>
          <cell r="DA34">
            <v>163.35701549870595</v>
          </cell>
          <cell r="DB34">
            <v>158.23613849560877</v>
          </cell>
          <cell r="DC34">
            <v>153.8096486374543</v>
          </cell>
          <cell r="DD34">
            <v>150.98655506040095</v>
          </cell>
          <cell r="DE34">
            <v>143.8106474040973</v>
          </cell>
          <cell r="DF34">
            <v>147.1814343576853</v>
          </cell>
          <cell r="DG34">
            <v>145.49604088089131</v>
          </cell>
          <cell r="DH34">
            <v>164.7197264035608</v>
          </cell>
          <cell r="DI34">
            <v>165.475922596088</v>
          </cell>
          <cell r="DK34">
            <v>327000</v>
          </cell>
          <cell r="DL34" t="str">
            <v>2017-18</v>
          </cell>
          <cell r="DM34">
            <v>206500</v>
          </cell>
          <cell r="DN34" t="str">
            <v>2016-17</v>
          </cell>
          <cell r="DO34">
            <v>800000</v>
          </cell>
          <cell r="DP34" t="str">
            <v>2017-18</v>
          </cell>
          <cell r="DQ34">
            <v>1750000</v>
          </cell>
          <cell r="DR34" t="str">
            <v>2017-18</v>
          </cell>
          <cell r="DS34">
            <v>5400000</v>
          </cell>
          <cell r="DT34" t="str">
            <v>2017-18</v>
          </cell>
          <cell r="DU34">
            <v>18000000</v>
          </cell>
          <cell r="DV34" t="str">
            <v>2017-18</v>
          </cell>
          <cell r="DW34">
            <v>830000</v>
          </cell>
          <cell r="DX34" t="str">
            <v>2017-18</v>
          </cell>
          <cell r="DY34">
            <v>5450000</v>
          </cell>
          <cell r="DZ34" t="str">
            <v>2017-18</v>
          </cell>
          <cell r="EA34">
            <v>32230000</v>
          </cell>
          <cell r="EB34">
            <v>407000</v>
          </cell>
          <cell r="EC34" t="str">
            <v>2017-18</v>
          </cell>
          <cell r="ED34">
            <v>169595</v>
          </cell>
          <cell r="EE34">
            <v>2018</v>
          </cell>
          <cell r="EF34">
            <v>218233</v>
          </cell>
          <cell r="EG34">
            <v>2018</v>
          </cell>
          <cell r="EH34">
            <v>54793181</v>
          </cell>
          <cell r="EI34">
            <v>2018</v>
          </cell>
          <cell r="EJ34">
            <v>5119438</v>
          </cell>
          <cell r="EK34">
            <v>2027</v>
          </cell>
          <cell r="EL34">
            <v>14746566</v>
          </cell>
          <cell r="EM34">
            <v>2017</v>
          </cell>
          <cell r="EN34">
            <v>3364725</v>
          </cell>
          <cell r="EO34">
            <v>2017</v>
          </cell>
          <cell r="EP34">
            <v>6552</v>
          </cell>
          <cell r="EQ34">
            <v>3003036</v>
          </cell>
          <cell r="ER34">
            <v>33739</v>
          </cell>
          <cell r="ET34">
            <v>22340</v>
          </cell>
          <cell r="EU34">
            <v>17224</v>
          </cell>
          <cell r="EV34">
            <v>9128</v>
          </cell>
          <cell r="EW34">
            <v>17414</v>
          </cell>
          <cell r="EX34">
            <v>66106</v>
          </cell>
          <cell r="EY34">
            <v>19463</v>
          </cell>
          <cell r="EZ34">
            <v>74231</v>
          </cell>
          <cell r="FA34">
            <v>24553</v>
          </cell>
          <cell r="FB34">
            <v>23958</v>
          </cell>
          <cell r="FC34">
            <v>48511</v>
          </cell>
          <cell r="FD34">
            <v>66959.290000000008</v>
          </cell>
          <cell r="FF34">
            <v>630040</v>
          </cell>
          <cell r="FG34" t="str">
            <v>2016-17</v>
          </cell>
          <cell r="FH34">
            <v>1328340</v>
          </cell>
          <cell r="FI34" t="str">
            <v>2016-17</v>
          </cell>
          <cell r="FJ34">
            <v>3100000</v>
          </cell>
          <cell r="FK34" t="str">
            <v>2017-18</v>
          </cell>
          <cell r="FL34">
            <v>3600000</v>
          </cell>
          <cell r="FM34" t="str">
            <v>2017-18</v>
          </cell>
          <cell r="FN34">
            <v>39000000</v>
          </cell>
          <cell r="FO34" t="str">
            <v>2016-17</v>
          </cell>
          <cell r="FP34">
            <v>57500000</v>
          </cell>
          <cell r="FQ34" t="str">
            <v>2016-17</v>
          </cell>
          <cell r="FR34">
            <v>3200000</v>
          </cell>
          <cell r="FS34" t="str">
            <v>2016-17</v>
          </cell>
          <cell r="FT34">
            <v>17000000</v>
          </cell>
          <cell r="FU34" t="str">
            <v>2017-18</v>
          </cell>
          <cell r="FV34">
            <v>123400000</v>
          </cell>
          <cell r="FW34">
            <v>1081031.1999999997</v>
          </cell>
          <cell r="FX34" t="str">
            <v>2016-17</v>
          </cell>
          <cell r="FY34">
            <v>25514.471000000001</v>
          </cell>
          <cell r="FZ34">
            <v>696922.93700000003</v>
          </cell>
          <cell r="GA34" t="str">
            <v>feb17 ene18</v>
          </cell>
          <cell r="GB34">
            <v>25733114</v>
          </cell>
          <cell r="GD34">
            <v>1989400</v>
          </cell>
          <cell r="GE34">
            <v>431374</v>
          </cell>
          <cell r="GF34">
            <v>1006779</v>
          </cell>
          <cell r="GG34">
            <v>114118</v>
          </cell>
          <cell r="GH34">
            <v>1552271</v>
          </cell>
          <cell r="GI34">
            <v>1302556</v>
          </cell>
          <cell r="GJ34">
            <v>685541.2</v>
          </cell>
          <cell r="GK34">
            <v>1103042.8600000001</v>
          </cell>
          <cell r="GL34">
            <v>287064.67</v>
          </cell>
          <cell r="GM34">
            <v>260870.73</v>
          </cell>
          <cell r="GN34">
            <v>2336519.46</v>
          </cell>
          <cell r="GO34">
            <v>195071</v>
          </cell>
          <cell r="GP34">
            <v>79468</v>
          </cell>
          <cell r="GQ34">
            <v>191468</v>
          </cell>
          <cell r="GR34">
            <v>42800</v>
          </cell>
          <cell r="GS34">
            <v>48544.04</v>
          </cell>
          <cell r="GT34">
            <v>2483769</v>
          </cell>
          <cell r="GU34">
            <v>22635</v>
          </cell>
          <cell r="GV34">
            <v>23542</v>
          </cell>
          <cell r="GW34">
            <v>1013412</v>
          </cell>
          <cell r="GX34">
            <v>26114.056</v>
          </cell>
          <cell r="GY34" t="str">
            <v>2017-2018</v>
          </cell>
          <cell r="GZ34">
            <v>104093.27099999999</v>
          </cell>
          <cell r="HA34">
            <v>255000</v>
          </cell>
          <cell r="HB34">
            <v>2861000</v>
          </cell>
          <cell r="HC34" t="str">
            <v>feb17 ene18</v>
          </cell>
          <cell r="HD34">
            <v>47799</v>
          </cell>
          <cell r="HE34">
            <v>572486</v>
          </cell>
          <cell r="HF34" t="str">
            <v>feb17 ene18</v>
          </cell>
          <cell r="HG34">
            <v>165000</v>
          </cell>
          <cell r="HH34">
            <v>2106000</v>
          </cell>
          <cell r="HI34" t="str">
            <v>feb17 ene18</v>
          </cell>
          <cell r="HJ34">
            <v>86790</v>
          </cell>
          <cell r="HK34">
            <v>60195.360000000001</v>
          </cell>
          <cell r="HL34" t="str">
            <v>feb17 ene18</v>
          </cell>
          <cell r="HM34">
            <v>2166195.36</v>
          </cell>
          <cell r="HN34">
            <v>8.7187810004256683E-2</v>
          </cell>
          <cell r="HO34">
            <v>884626918.14202106</v>
          </cell>
          <cell r="HP34">
            <v>9916.0137780823534</v>
          </cell>
          <cell r="HQ34" t="str">
            <v>feb17 ene18</v>
          </cell>
          <cell r="HU34">
            <v>680000</v>
          </cell>
          <cell r="HV34" t="str">
            <v>2016-17</v>
          </cell>
          <cell r="HW34">
            <v>1350000</v>
          </cell>
          <cell r="HX34" t="str">
            <v>2017-18</v>
          </cell>
          <cell r="HY34">
            <v>3400000</v>
          </cell>
          <cell r="HZ34" t="str">
            <v>2017-18</v>
          </cell>
          <cell r="IA34">
            <v>19080000</v>
          </cell>
          <cell r="IB34" t="str">
            <v>2016-17</v>
          </cell>
          <cell r="IC34">
            <v>47130000</v>
          </cell>
          <cell r="ID34" t="str">
            <v>2016-17</v>
          </cell>
          <cell r="IE34">
            <v>2450000</v>
          </cell>
          <cell r="IF34" t="str">
            <v>2016-17</v>
          </cell>
          <cell r="IG34">
            <v>6500000</v>
          </cell>
          <cell r="IH34" t="str">
            <v>2017-18</v>
          </cell>
          <cell r="II34">
            <v>79910000</v>
          </cell>
          <cell r="IJ34">
            <v>1.5656077472231611</v>
          </cell>
          <cell r="IK34" t="str">
            <v>2016-17</v>
          </cell>
          <cell r="IL34">
            <v>39.94</v>
          </cell>
          <cell r="IM34">
            <v>59.012369773034919</v>
          </cell>
          <cell r="IN34">
            <v>190</v>
          </cell>
          <cell r="IO34">
            <v>13.8</v>
          </cell>
          <cell r="IP34">
            <v>5.651883633677623</v>
          </cell>
          <cell r="IQ34">
            <v>18.899999999999999</v>
          </cell>
          <cell r="IR34">
            <v>5.93</v>
          </cell>
          <cell r="IS34">
            <v>5.67</v>
          </cell>
          <cell r="IT34">
            <v>11.35</v>
          </cell>
          <cell r="IU34">
            <v>0.88</v>
          </cell>
          <cell r="IV34">
            <v>17.899999999999999</v>
          </cell>
          <cell r="IY34">
            <v>1.84</v>
          </cell>
          <cell r="IZ34">
            <v>0.3</v>
          </cell>
          <cell r="JA34">
            <v>2000</v>
          </cell>
          <cell r="JF34">
            <v>3.9139399700000004</v>
          </cell>
          <cell r="JG34">
            <v>6.0223326000000004</v>
          </cell>
          <cell r="JH34">
            <v>134.68911807000001</v>
          </cell>
          <cell r="JI34">
            <v>49.102823010000002</v>
          </cell>
          <cell r="JJ34">
            <v>294.50808030000013</v>
          </cell>
          <cell r="JK34">
            <v>63.927812479999986</v>
          </cell>
          <cell r="JL34">
            <v>890.97381621999989</v>
          </cell>
          <cell r="JM34">
            <v>16.856916090000002</v>
          </cell>
          <cell r="JN34">
            <v>441.86883413999999</v>
          </cell>
          <cell r="JO34">
            <v>13.142175790000001</v>
          </cell>
          <cell r="JP34">
            <v>0</v>
          </cell>
          <cell r="JQ34">
            <v>6.6600000000000006E-2</v>
          </cell>
          <cell r="JR34">
            <v>0.77269419999999989</v>
          </cell>
          <cell r="JS34">
            <v>0</v>
          </cell>
          <cell r="JT34">
            <v>0.89944438999999998</v>
          </cell>
          <cell r="JU34">
            <v>63.807466659999996</v>
          </cell>
          <cell r="JV34">
            <v>3.5064846800000002</v>
          </cell>
          <cell r="JW34">
            <v>9.8314396500000001</v>
          </cell>
          <cell r="JX34">
            <v>4.9208390199999998</v>
          </cell>
          <cell r="JY34">
            <v>0</v>
          </cell>
          <cell r="JZ34">
            <v>0.49617221</v>
          </cell>
          <cell r="KA34">
            <v>0.29120000000000001</v>
          </cell>
          <cell r="KB34">
            <v>17.46820657</v>
          </cell>
          <cell r="KC34">
            <v>9.4695371999999978</v>
          </cell>
          <cell r="KD34">
            <v>7.6240028600000009</v>
          </cell>
          <cell r="KE34">
            <v>11.28232957</v>
          </cell>
          <cell r="KF34">
            <v>28.877704209999997</v>
          </cell>
          <cell r="KG34">
            <v>234.20695583000003</v>
          </cell>
          <cell r="KH34">
            <v>56.095133110000006</v>
          </cell>
          <cell r="KI34">
            <v>23.56171608</v>
          </cell>
          <cell r="KJ34">
            <v>2.0330986299999996</v>
          </cell>
          <cell r="KK34">
            <v>13.294256379999997</v>
          </cell>
          <cell r="KL34">
            <v>0.24719031999999996</v>
          </cell>
          <cell r="KM34">
            <v>6.2968809799999992</v>
          </cell>
          <cell r="KN34">
            <v>0</v>
          </cell>
          <cell r="KO34">
            <v>0.18070439999999999</v>
          </cell>
          <cell r="KP34">
            <v>4.8635060000000001E-2</v>
          </cell>
          <cell r="KQ34">
            <v>0.51584116999999996</v>
          </cell>
          <cell r="KR34">
            <v>0</v>
          </cell>
          <cell r="KS34">
            <v>9.4271860000000013E-2</v>
          </cell>
          <cell r="KT34">
            <v>4.7745017899999995</v>
          </cell>
          <cell r="KU34">
            <v>0.43963590999999996</v>
          </cell>
          <cell r="KV34">
            <v>0.16286239000000002</v>
          </cell>
          <cell r="KW34">
            <v>3.2123527599999999</v>
          </cell>
          <cell r="KX34">
            <v>0</v>
          </cell>
          <cell r="KY34">
            <v>0</v>
          </cell>
          <cell r="KZ34">
            <v>1.0943122700000001</v>
          </cell>
          <cell r="LA34">
            <v>1.8938741300000002</v>
          </cell>
          <cell r="LB34">
            <v>0</v>
          </cell>
          <cell r="LC34">
            <v>0.43966355000000001</v>
          </cell>
          <cell r="LD34">
            <v>0</v>
          </cell>
          <cell r="LE34">
            <v>1.3512593500000001</v>
          </cell>
          <cell r="LF34">
            <v>0.92300411999999998</v>
          </cell>
          <cell r="LG34">
            <v>24.696445900000001</v>
          </cell>
          <cell r="LH34">
            <v>3.2033638499999997</v>
          </cell>
          <cell r="LI34">
            <v>0.10288797</v>
          </cell>
          <cell r="LJ34">
            <v>0</v>
          </cell>
          <cell r="LK34">
            <v>1.57479188</v>
          </cell>
          <cell r="LL34">
            <v>3.9775342600000005</v>
          </cell>
          <cell r="LM34">
            <v>2.4349925700000004</v>
          </cell>
          <cell r="LN34">
            <v>0.29306416000000002</v>
          </cell>
          <cell r="LO34">
            <v>11.954507390000002</v>
          </cell>
          <cell r="LQ34">
            <v>1827.9995878299999</v>
          </cell>
          <cell r="LR34">
            <v>1.7387385899999999</v>
          </cell>
          <cell r="LS34">
            <v>13.33792433</v>
          </cell>
          <cell r="LT34">
            <v>0.78737221000000002</v>
          </cell>
          <cell r="LU34">
            <v>7.0876984099999989</v>
          </cell>
          <cell r="LV34">
            <v>3.3752151499999998</v>
          </cell>
          <cell r="LW34">
            <v>1.8938741300000002</v>
          </cell>
          <cell r="LX34">
            <v>2.2742634700000002</v>
          </cell>
          <cell r="LZ34">
            <v>23.48</v>
          </cell>
          <cell r="MA34">
            <v>22.81</v>
          </cell>
          <cell r="MH34">
            <v>41.29</v>
          </cell>
          <cell r="MI34">
            <v>11.2</v>
          </cell>
          <cell r="MJ34">
            <v>17.64</v>
          </cell>
          <cell r="ML34">
            <v>15.34</v>
          </cell>
          <cell r="MM34">
            <v>34.93</v>
          </cell>
          <cell r="MO34">
            <v>17.670000000000002</v>
          </cell>
          <cell r="MP34">
            <v>44.97</v>
          </cell>
          <cell r="MQ34">
            <v>38.83</v>
          </cell>
          <cell r="MU34">
            <v>20.61</v>
          </cell>
          <cell r="MY34">
            <v>35.14</v>
          </cell>
          <cell r="MZ34">
            <v>96.3</v>
          </cell>
          <cell r="NA34">
            <v>40.270000000000003</v>
          </cell>
          <cell r="NB34">
            <v>137.65</v>
          </cell>
          <cell r="NC34">
            <v>22.98</v>
          </cell>
          <cell r="NE34">
            <v>126.03</v>
          </cell>
        </row>
        <row r="35">
          <cell r="A35">
            <v>43132</v>
          </cell>
          <cell r="B35">
            <v>2</v>
          </cell>
          <cell r="C35">
            <v>2018</v>
          </cell>
          <cell r="D35">
            <v>35</v>
          </cell>
          <cell r="E35">
            <v>43132</v>
          </cell>
          <cell r="F35">
            <v>20.083333333333332</v>
          </cell>
          <cell r="G35">
            <v>130.1</v>
          </cell>
          <cell r="H35">
            <v>12648.96</v>
          </cell>
          <cell r="I35">
            <v>107</v>
          </cell>
          <cell r="J35">
            <v>440</v>
          </cell>
          <cell r="K35">
            <v>2.6</v>
          </cell>
          <cell r="L35">
            <v>33</v>
          </cell>
          <cell r="N35">
            <v>1.659111111111111</v>
          </cell>
          <cell r="O35">
            <v>1.5271111111111111</v>
          </cell>
          <cell r="P35">
            <v>31.994981481481474</v>
          </cell>
          <cell r="Q35">
            <v>415</v>
          </cell>
          <cell r="R35">
            <v>4150</v>
          </cell>
          <cell r="S35">
            <v>180.05555555555554</v>
          </cell>
          <cell r="T35">
            <v>307.05555555555554</v>
          </cell>
          <cell r="U35">
            <v>164.82777777777775</v>
          </cell>
          <cell r="V35">
            <v>289.19444444444446</v>
          </cell>
          <cell r="W35">
            <v>133.33333333333334</v>
          </cell>
          <cell r="X35">
            <v>180.67777777777781</v>
          </cell>
          <cell r="Y35">
            <v>3616.1157407407404</v>
          </cell>
          <cell r="Z35">
            <v>6166.6990740740739</v>
          </cell>
          <cell r="AA35">
            <v>3310.2912037037031</v>
          </cell>
          <cell r="AB35">
            <v>5807.9884259259261</v>
          </cell>
          <cell r="AC35">
            <v>2677.7777777777778</v>
          </cell>
          <cell r="AD35">
            <v>3628.6120370370372</v>
          </cell>
          <cell r="AE35">
            <v>4201.2473765432105</v>
          </cell>
          <cell r="AF35">
            <v>12299.611111111111</v>
          </cell>
          <cell r="AG35">
            <v>6300</v>
          </cell>
          <cell r="AH35">
            <v>23300</v>
          </cell>
          <cell r="AI35">
            <v>11.52</v>
          </cell>
          <cell r="AJ35">
            <v>8.4700000000000006</v>
          </cell>
          <cell r="AK35">
            <v>7.46</v>
          </cell>
          <cell r="AL35">
            <v>6.48</v>
          </cell>
          <cell r="AM35">
            <v>9.1327999999999996</v>
          </cell>
          <cell r="AN35">
            <v>31.623142857142842</v>
          </cell>
          <cell r="AO35">
            <v>21.390555555555562</v>
          </cell>
          <cell r="AP35">
            <v>26.506849206349202</v>
          </cell>
          <cell r="AQ35">
            <v>19.297222222222224</v>
          </cell>
          <cell r="AR35">
            <v>17.271111111111111</v>
          </cell>
          <cell r="AS35">
            <v>18.065384615384612</v>
          </cell>
          <cell r="AT35">
            <v>26.47666666666667</v>
          </cell>
          <cell r="AU35">
            <v>20.604387464387468</v>
          </cell>
          <cell r="AV35">
            <v>6.5698245614035082</v>
          </cell>
          <cell r="AW35">
            <v>11.163529411764708</v>
          </cell>
          <cell r="AX35">
            <v>5.3311111111111122</v>
          </cell>
          <cell r="AY35">
            <v>12.260555555555557</v>
          </cell>
          <cell r="AZ35">
            <v>12.665555555555553</v>
          </cell>
          <cell r="BA35">
            <v>4.5462068965517233</v>
          </cell>
          <cell r="BB35">
            <v>8.7008572796934871</v>
          </cell>
          <cell r="BC35">
            <v>690</v>
          </cell>
          <cell r="BD35">
            <v>807</v>
          </cell>
          <cell r="BE35">
            <v>690</v>
          </cell>
          <cell r="BF35">
            <v>410</v>
          </cell>
          <cell r="BG35">
            <v>649.25</v>
          </cell>
          <cell r="BH35">
            <v>53.11</v>
          </cell>
          <cell r="BI35">
            <v>8.9809999999999999</v>
          </cell>
          <cell r="BJ35">
            <v>62.091000000000001</v>
          </cell>
          <cell r="BK35">
            <v>36.402000000000001</v>
          </cell>
          <cell r="BL35">
            <v>35.844999999999999</v>
          </cell>
          <cell r="BM35">
            <v>36.1235</v>
          </cell>
          <cell r="BN35">
            <v>5.76</v>
          </cell>
          <cell r="BO35">
            <v>32.522222222222226</v>
          </cell>
          <cell r="BP35">
            <v>15.867833333333332</v>
          </cell>
          <cell r="BQ35">
            <v>30.856783333333336</v>
          </cell>
          <cell r="BR35">
            <v>23.15</v>
          </cell>
          <cell r="BS35">
            <v>100</v>
          </cell>
          <cell r="BT35">
            <v>67.83</v>
          </cell>
          <cell r="BU35">
            <v>1403.49</v>
          </cell>
          <cell r="BV35">
            <v>37.299999999999997</v>
          </cell>
          <cell r="BY35">
            <v>178.50229842797864</v>
          </cell>
          <cell r="BZ35">
            <v>165.77553800454578</v>
          </cell>
          <cell r="CA35">
            <v>171.269266711022</v>
          </cell>
          <cell r="CB35">
            <v>168.71518542352612</v>
          </cell>
          <cell r="CC35">
            <v>166.11771208122207</v>
          </cell>
          <cell r="CD35">
            <v>173.92116728592705</v>
          </cell>
          <cell r="CE35">
            <v>155.43381064180539</v>
          </cell>
          <cell r="CF35">
            <v>172.80293215149734</v>
          </cell>
          <cell r="CG35">
            <v>168.04334571583334</v>
          </cell>
          <cell r="CH35">
            <v>176.00535717273468</v>
          </cell>
          <cell r="CI35">
            <v>171.68935476378928</v>
          </cell>
          <cell r="CJ35">
            <v>173.99460168935045</v>
          </cell>
          <cell r="CK35">
            <v>159.73221599678203</v>
          </cell>
          <cell r="CL35">
            <v>181.14393169667107</v>
          </cell>
          <cell r="CM35">
            <v>173.55928628962965</v>
          </cell>
          <cell r="CN35">
            <v>152.06061863259234</v>
          </cell>
          <cell r="CO35">
            <v>166.62401315391875</v>
          </cell>
          <cell r="CP35">
            <v>211.31323968188073</v>
          </cell>
          <cell r="CQ35">
            <v>167.3275164678775</v>
          </cell>
          <cell r="CR35">
            <v>170.98541303572031</v>
          </cell>
          <cell r="CS35">
            <v>169.15646475179892</v>
          </cell>
          <cell r="CT35">
            <v>164.76521989686711</v>
          </cell>
          <cell r="CU35">
            <v>168.83570678832817</v>
          </cell>
          <cell r="CV35">
            <v>169.49095448913945</v>
          </cell>
          <cell r="CW35">
            <v>169.49095448913945</v>
          </cell>
          <cell r="CX35">
            <v>169.27253858886903</v>
          </cell>
          <cell r="CY35">
            <v>163.09301124380144</v>
          </cell>
          <cell r="CZ35">
            <v>179.7217294452031</v>
          </cell>
          <cell r="DA35">
            <v>165.07180064913749</v>
          </cell>
          <cell r="DB35">
            <v>163.01870949617603</v>
          </cell>
          <cell r="DC35">
            <v>165.24220884094842</v>
          </cell>
          <cell r="DD35">
            <v>162.82486159589294</v>
          </cell>
          <cell r="DE35">
            <v>155.95214984827135</v>
          </cell>
          <cell r="DF35">
            <v>162.3672214125618</v>
          </cell>
          <cell r="DG35">
            <v>159.15968563041656</v>
          </cell>
          <cell r="DH35">
            <v>166.30781560993952</v>
          </cell>
          <cell r="DI35">
            <v>166.75732577957584</v>
          </cell>
          <cell r="DK35">
            <v>327000</v>
          </cell>
          <cell r="DL35" t="str">
            <v>2017-18</v>
          </cell>
          <cell r="DM35">
            <v>202000</v>
          </cell>
          <cell r="DN35" t="str">
            <v>2016-17</v>
          </cell>
          <cell r="DO35">
            <v>800000</v>
          </cell>
          <cell r="DP35" t="str">
            <v>2017-18</v>
          </cell>
          <cell r="DQ35">
            <v>1750000</v>
          </cell>
          <cell r="DR35" t="str">
            <v>2017-18</v>
          </cell>
          <cell r="DS35">
            <v>5400000</v>
          </cell>
          <cell r="DT35" t="str">
            <v>2017-18</v>
          </cell>
          <cell r="DU35">
            <v>18000000</v>
          </cell>
          <cell r="DV35" t="str">
            <v>2017-18</v>
          </cell>
          <cell r="DW35">
            <v>830000</v>
          </cell>
          <cell r="DX35" t="str">
            <v>2017-18</v>
          </cell>
          <cell r="DY35">
            <v>5450000</v>
          </cell>
          <cell r="DZ35" t="str">
            <v>2017-18</v>
          </cell>
          <cell r="EA35">
            <v>32230000</v>
          </cell>
          <cell r="EB35">
            <v>407000</v>
          </cell>
          <cell r="EC35" t="str">
            <v>2017-18</v>
          </cell>
          <cell r="ED35">
            <v>169595</v>
          </cell>
          <cell r="EE35">
            <v>2018</v>
          </cell>
          <cell r="EF35">
            <v>218233</v>
          </cell>
          <cell r="EG35">
            <v>2018</v>
          </cell>
          <cell r="EH35">
            <v>54793181</v>
          </cell>
          <cell r="EI35">
            <v>2018</v>
          </cell>
          <cell r="EJ35">
            <v>5119438</v>
          </cell>
          <cell r="EK35">
            <v>2028</v>
          </cell>
          <cell r="EL35">
            <v>14746566</v>
          </cell>
          <cell r="EM35">
            <v>2017</v>
          </cell>
          <cell r="EN35">
            <v>3364725</v>
          </cell>
          <cell r="EO35">
            <v>2017</v>
          </cell>
          <cell r="EP35">
            <v>6552</v>
          </cell>
          <cell r="EQ35">
            <v>3003036</v>
          </cell>
          <cell r="ER35">
            <v>33739</v>
          </cell>
          <cell r="ET35">
            <v>22340</v>
          </cell>
          <cell r="EU35">
            <v>17224</v>
          </cell>
          <cell r="EV35">
            <v>9128</v>
          </cell>
          <cell r="EW35">
            <v>17414</v>
          </cell>
          <cell r="EX35">
            <v>66106</v>
          </cell>
          <cell r="EY35">
            <v>19463</v>
          </cell>
          <cell r="EZ35">
            <v>74231</v>
          </cell>
          <cell r="FA35">
            <v>24553</v>
          </cell>
          <cell r="FB35">
            <v>23958</v>
          </cell>
          <cell r="FC35">
            <v>48511</v>
          </cell>
          <cell r="FD35">
            <v>66959.290000000008</v>
          </cell>
          <cell r="FF35">
            <v>630040</v>
          </cell>
          <cell r="FG35" t="str">
            <v>2016-17</v>
          </cell>
          <cell r="FH35">
            <v>1328340</v>
          </cell>
          <cell r="FI35" t="str">
            <v>2016-17</v>
          </cell>
          <cell r="FJ35">
            <v>3100000</v>
          </cell>
          <cell r="FK35" t="str">
            <v>2017-18</v>
          </cell>
          <cell r="FL35">
            <v>3600000</v>
          </cell>
          <cell r="FM35" t="str">
            <v>2017-18</v>
          </cell>
          <cell r="FN35">
            <v>37000000</v>
          </cell>
          <cell r="FO35" t="str">
            <v>2017-18</v>
          </cell>
          <cell r="FP35">
            <v>47000000</v>
          </cell>
          <cell r="FQ35" t="str">
            <v>2017-18</v>
          </cell>
          <cell r="FR35">
            <v>2530000</v>
          </cell>
          <cell r="FS35" t="str">
            <v>2016-17</v>
          </cell>
          <cell r="FT35">
            <v>17000000</v>
          </cell>
          <cell r="FU35" t="str">
            <v>2017-18</v>
          </cell>
          <cell r="FV35">
            <v>110230000</v>
          </cell>
          <cell r="FW35">
            <v>1081031.1999999997</v>
          </cell>
          <cell r="FX35" t="str">
            <v>2016-17</v>
          </cell>
          <cell r="FY35">
            <v>37531.055999999997</v>
          </cell>
          <cell r="FZ35">
            <v>714179.86600000004</v>
          </cell>
          <cell r="GA35" t="str">
            <v>mar17 feb18</v>
          </cell>
          <cell r="GB35">
            <v>25733114</v>
          </cell>
          <cell r="GD35">
            <v>1989400</v>
          </cell>
          <cell r="GE35">
            <v>431374</v>
          </cell>
          <cell r="GF35">
            <v>1006779</v>
          </cell>
          <cell r="GG35">
            <v>114118</v>
          </cell>
          <cell r="GH35">
            <v>1552271</v>
          </cell>
          <cell r="GI35">
            <v>1302556</v>
          </cell>
          <cell r="GJ35">
            <v>685541.2</v>
          </cell>
          <cell r="GK35">
            <v>1103042.8600000001</v>
          </cell>
          <cell r="GL35">
            <v>287064.67</v>
          </cell>
          <cell r="GM35">
            <v>260870.73</v>
          </cell>
          <cell r="GN35">
            <v>2336519.46</v>
          </cell>
          <cell r="GO35">
            <v>195071</v>
          </cell>
          <cell r="GP35">
            <v>79468</v>
          </cell>
          <cell r="GQ35">
            <v>135324</v>
          </cell>
          <cell r="GR35">
            <v>42800</v>
          </cell>
          <cell r="GS35">
            <v>46859.72</v>
          </cell>
          <cell r="GT35">
            <v>2483769</v>
          </cell>
          <cell r="GU35">
            <v>97279</v>
          </cell>
          <cell r="GV35">
            <v>32484</v>
          </cell>
          <cell r="GW35">
            <v>983800</v>
          </cell>
          <cell r="GX35">
            <v>26114.056</v>
          </cell>
          <cell r="GY35" t="str">
            <v>2017-2018</v>
          </cell>
          <cell r="GZ35">
            <v>104093.27099999999</v>
          </cell>
          <cell r="HA35">
            <v>230598</v>
          </cell>
          <cell r="HB35">
            <v>2892598</v>
          </cell>
          <cell r="HC35" t="str">
            <v>mar17 feb18</v>
          </cell>
          <cell r="HD35">
            <v>43393</v>
          </cell>
          <cell r="HE35">
            <v>577546</v>
          </cell>
          <cell r="HF35" t="str">
            <v>mar17 feb18</v>
          </cell>
          <cell r="HG35">
            <v>143000</v>
          </cell>
          <cell r="HH35">
            <v>2097000</v>
          </cell>
          <cell r="HI35" t="str">
            <v>mar17 feb18</v>
          </cell>
          <cell r="HJ35">
            <v>71447</v>
          </cell>
          <cell r="HK35">
            <v>59769.66</v>
          </cell>
          <cell r="HL35" t="str">
            <v>mar17 feb18</v>
          </cell>
          <cell r="HM35">
            <v>2156769.66</v>
          </cell>
          <cell r="HN35">
            <v>7.2936649593751124E-3</v>
          </cell>
          <cell r="HO35">
            <v>741303088.08159089</v>
          </cell>
          <cell r="HP35">
            <v>9921.3814444798554</v>
          </cell>
          <cell r="HQ35" t="str">
            <v>mar17 feb18</v>
          </cell>
          <cell r="HU35">
            <v>680000</v>
          </cell>
          <cell r="HV35" t="str">
            <v>2016-17</v>
          </cell>
          <cell r="HW35">
            <v>1350000</v>
          </cell>
          <cell r="HX35" t="str">
            <v>2017-18</v>
          </cell>
          <cell r="HY35">
            <v>3400000</v>
          </cell>
          <cell r="HZ35" t="str">
            <v>2017-18</v>
          </cell>
          <cell r="IA35">
            <v>19080000</v>
          </cell>
          <cell r="IB35" t="str">
            <v>2016-17</v>
          </cell>
          <cell r="IC35">
            <v>47130000</v>
          </cell>
          <cell r="ID35" t="str">
            <v>2016-17</v>
          </cell>
          <cell r="IE35">
            <v>2450000</v>
          </cell>
          <cell r="IF35" t="str">
            <v>2016-17</v>
          </cell>
          <cell r="IG35">
            <v>6500000</v>
          </cell>
          <cell r="IH35" t="str">
            <v>2017-18</v>
          </cell>
          <cell r="II35">
            <v>79910000</v>
          </cell>
          <cell r="IJ35">
            <v>1.5656077472231611</v>
          </cell>
          <cell r="IK35" t="str">
            <v>2016-17</v>
          </cell>
          <cell r="IL35">
            <v>38.71</v>
          </cell>
          <cell r="IM35">
            <v>59.055314328354555</v>
          </cell>
          <cell r="IN35">
            <v>190</v>
          </cell>
          <cell r="IO35">
            <v>13.63</v>
          </cell>
          <cell r="IP35">
            <v>5.651883633677623</v>
          </cell>
          <cell r="IQ35">
            <v>18.899999999999999</v>
          </cell>
          <cell r="IR35">
            <v>5.93</v>
          </cell>
          <cell r="IS35">
            <v>5.67</v>
          </cell>
          <cell r="IT35">
            <v>11.35</v>
          </cell>
          <cell r="IU35">
            <v>0.88</v>
          </cell>
          <cell r="IV35">
            <v>17.899999999999999</v>
          </cell>
          <cell r="IY35">
            <v>1.84</v>
          </cell>
          <cell r="IZ35">
            <v>0.3</v>
          </cell>
          <cell r="JA35">
            <v>2000</v>
          </cell>
          <cell r="JF35">
            <v>1.9151132599999998</v>
          </cell>
          <cell r="JG35">
            <v>9.8982769499999996</v>
          </cell>
          <cell r="JH35">
            <v>104.79347922999999</v>
          </cell>
          <cell r="JI35">
            <v>44.17435175</v>
          </cell>
          <cell r="JJ35">
            <v>264.96159239999997</v>
          </cell>
          <cell r="JK35">
            <v>67.708782819999996</v>
          </cell>
          <cell r="JL35">
            <v>863.37702253999998</v>
          </cell>
          <cell r="JM35">
            <v>2.9635196299999995</v>
          </cell>
          <cell r="JN35">
            <v>329.35176923</v>
          </cell>
          <cell r="JO35">
            <v>12.099240279999998</v>
          </cell>
          <cell r="JP35">
            <v>0</v>
          </cell>
          <cell r="JQ35">
            <v>0.96775860000000002</v>
          </cell>
          <cell r="JR35">
            <v>0.81335489999999999</v>
          </cell>
          <cell r="JS35">
            <v>0</v>
          </cell>
          <cell r="JT35">
            <v>0.98701382000000004</v>
          </cell>
          <cell r="JU35">
            <v>61.400245780000013</v>
          </cell>
          <cell r="JV35">
            <v>8.1726187800000005</v>
          </cell>
          <cell r="JW35">
            <v>61.492424369999988</v>
          </cell>
          <cell r="JX35">
            <v>5.0481458300000002</v>
          </cell>
          <cell r="JY35">
            <v>0</v>
          </cell>
          <cell r="JZ35">
            <v>0.46150882999999998</v>
          </cell>
          <cell r="KA35">
            <v>0.60443550000000001</v>
          </cell>
          <cell r="KB35">
            <v>15.760743489999999</v>
          </cell>
          <cell r="KC35">
            <v>18.019246920000004</v>
          </cell>
          <cell r="KD35">
            <v>5.8680840899999991</v>
          </cell>
          <cell r="KE35">
            <v>11.458722680000003</v>
          </cell>
          <cell r="KF35">
            <v>22.9861015</v>
          </cell>
          <cell r="KG35">
            <v>203.67500302999997</v>
          </cell>
          <cell r="KH35">
            <v>51.182942340000004</v>
          </cell>
          <cell r="KI35">
            <v>24.367346079999997</v>
          </cell>
          <cell r="KJ35">
            <v>2.16000565</v>
          </cell>
          <cell r="KK35">
            <v>8.9537410100000017</v>
          </cell>
          <cell r="KL35">
            <v>0.43965558999999999</v>
          </cell>
          <cell r="KM35">
            <v>3.6434560500000011</v>
          </cell>
          <cell r="KN35">
            <v>2.4126E-4</v>
          </cell>
          <cell r="KO35">
            <v>0.23338404999999998</v>
          </cell>
          <cell r="KP35">
            <v>3.4982039999999999E-2</v>
          </cell>
          <cell r="KQ35">
            <v>136.90016274000001</v>
          </cell>
          <cell r="KR35">
            <v>0</v>
          </cell>
          <cell r="KS35">
            <v>0.59072335999999992</v>
          </cell>
          <cell r="KT35">
            <v>5.2550860300000002</v>
          </cell>
          <cell r="KU35">
            <v>0.59751584999999996</v>
          </cell>
          <cell r="KV35">
            <v>1.7792550000000004E-2</v>
          </cell>
          <cell r="KW35">
            <v>2.7666663499999995</v>
          </cell>
          <cell r="KX35">
            <v>0</v>
          </cell>
          <cell r="KY35">
            <v>0</v>
          </cell>
          <cell r="KZ35">
            <v>0.41065252000000002</v>
          </cell>
          <cell r="LA35">
            <v>0.22432221999999999</v>
          </cell>
          <cell r="LB35">
            <v>0</v>
          </cell>
          <cell r="LC35">
            <v>0.27002227999999995</v>
          </cell>
          <cell r="LD35">
            <v>0</v>
          </cell>
          <cell r="LE35">
            <v>1.7568394600000001</v>
          </cell>
          <cell r="LF35">
            <v>0.43177061999999999</v>
          </cell>
          <cell r="LG35">
            <v>18.811525040000003</v>
          </cell>
          <cell r="LH35">
            <v>3.6771791700000001</v>
          </cell>
          <cell r="LI35">
            <v>0.29916423999999997</v>
          </cell>
          <cell r="LJ35">
            <v>0</v>
          </cell>
          <cell r="LK35">
            <v>2.0971381600000005</v>
          </cell>
          <cell r="LL35">
            <v>5.9637203299999992</v>
          </cell>
          <cell r="LM35">
            <v>2.3605536699999998</v>
          </cell>
          <cell r="LN35">
            <v>0.26720562999999997</v>
          </cell>
          <cell r="LO35">
            <v>9.9384643199999996</v>
          </cell>
          <cell r="LQ35">
            <v>1609.62173478</v>
          </cell>
          <cell r="LR35">
            <v>2.7681273200000001</v>
          </cell>
          <cell r="LS35">
            <v>69.665043149999988</v>
          </cell>
          <cell r="LT35">
            <v>1.06594433</v>
          </cell>
          <cell r="LU35">
            <v>141.36796746000002</v>
          </cell>
          <cell r="LV35">
            <v>2.7844588999999993</v>
          </cell>
          <cell r="LW35">
            <v>0.22432221999999999</v>
          </cell>
          <cell r="LX35">
            <v>2.1886100800000001</v>
          </cell>
          <cell r="LZ35">
            <v>24.31</v>
          </cell>
          <cell r="MA35">
            <v>23.22</v>
          </cell>
          <cell r="MH35">
            <v>42.62</v>
          </cell>
          <cell r="MI35">
            <v>11.64</v>
          </cell>
          <cell r="MJ35">
            <v>16.64</v>
          </cell>
          <cell r="ML35">
            <v>15.07</v>
          </cell>
          <cell r="MM35">
            <v>26.02</v>
          </cell>
          <cell r="MO35">
            <v>17.59</v>
          </cell>
          <cell r="MP35">
            <v>45.41</v>
          </cell>
          <cell r="MQ35">
            <v>39.43</v>
          </cell>
          <cell r="MU35">
            <v>29.26</v>
          </cell>
          <cell r="MY35">
            <v>35.659999999999997</v>
          </cell>
          <cell r="MZ35">
            <v>108.2</v>
          </cell>
          <cell r="NA35">
            <v>45.22</v>
          </cell>
          <cell r="NB35">
            <v>139.77000000000001</v>
          </cell>
          <cell r="NC35">
            <v>23.08</v>
          </cell>
          <cell r="NE35">
            <v>124.41</v>
          </cell>
        </row>
        <row r="36">
          <cell r="A36">
            <v>43160</v>
          </cell>
          <cell r="B36">
            <v>3</v>
          </cell>
          <cell r="C36">
            <v>2018</v>
          </cell>
          <cell r="D36">
            <v>36</v>
          </cell>
          <cell r="E36">
            <v>43160</v>
          </cell>
          <cell r="F36">
            <v>20.499999999999996</v>
          </cell>
          <cell r="G36">
            <v>133.1</v>
          </cell>
          <cell r="H36">
            <v>12648.96</v>
          </cell>
          <cell r="I36">
            <v>107</v>
          </cell>
          <cell r="J36">
            <v>420</v>
          </cell>
          <cell r="K36">
            <v>2.8</v>
          </cell>
          <cell r="L36">
            <v>35.700000000000003</v>
          </cell>
          <cell r="N36">
            <v>1.7176</v>
          </cell>
          <cell r="O36">
            <v>1.5848</v>
          </cell>
          <cell r="P36">
            <v>33.849599999999995</v>
          </cell>
          <cell r="Q36">
            <v>427.5</v>
          </cell>
          <cell r="R36">
            <v>4275</v>
          </cell>
          <cell r="S36">
            <v>189.85</v>
          </cell>
          <cell r="T36">
            <v>308.60000000000002</v>
          </cell>
          <cell r="U36">
            <v>176.08999999999997</v>
          </cell>
          <cell r="V36">
            <v>298.65500000000003</v>
          </cell>
          <cell r="W36">
            <v>156.6</v>
          </cell>
          <cell r="X36">
            <v>191.08499999999998</v>
          </cell>
          <cell r="Y36">
            <v>3891.9249999999993</v>
          </cell>
          <cell r="Z36">
            <v>6326.2999999999993</v>
          </cell>
          <cell r="AA36">
            <v>3609.8449999999989</v>
          </cell>
          <cell r="AB36">
            <v>6122.4274999999998</v>
          </cell>
          <cell r="AC36">
            <v>3210.2999999999993</v>
          </cell>
          <cell r="AD36">
            <v>3917.2424999999989</v>
          </cell>
          <cell r="AE36">
            <v>4513.0066666666653</v>
          </cell>
          <cell r="AF36">
            <v>12273</v>
          </cell>
          <cell r="AG36">
            <v>6300</v>
          </cell>
          <cell r="AH36">
            <v>23300</v>
          </cell>
          <cell r="AI36">
            <v>10.89</v>
          </cell>
          <cell r="AJ36">
            <v>7.8</v>
          </cell>
          <cell r="AK36">
            <v>7.09</v>
          </cell>
          <cell r="AL36">
            <v>6.19</v>
          </cell>
          <cell r="AM36">
            <v>8.6504000000000012</v>
          </cell>
          <cell r="AN36">
            <v>24.097217391304348</v>
          </cell>
          <cell r="AO36">
            <v>21.520000000000007</v>
          </cell>
          <cell r="AP36">
            <v>22.808608695652175</v>
          </cell>
          <cell r="AQ36">
            <v>14.624000000000001</v>
          </cell>
          <cell r="AR36">
            <v>14.742999999999999</v>
          </cell>
          <cell r="AS36">
            <v>18.342857142857142</v>
          </cell>
          <cell r="AT36">
            <v>22.550500000000007</v>
          </cell>
          <cell r="AU36">
            <v>18.54545238095238</v>
          </cell>
          <cell r="AV36">
            <v>5.9232203389830511</v>
          </cell>
          <cell r="AW36">
            <v>10.794999999999998</v>
          </cell>
          <cell r="AX36">
            <v>7.1875</v>
          </cell>
          <cell r="AY36">
            <v>10.593500000000001</v>
          </cell>
          <cell r="AZ36">
            <v>12.398</v>
          </cell>
          <cell r="BA36">
            <v>4.4829999999999988</v>
          </cell>
          <cell r="BB36">
            <v>8.6654999999999998</v>
          </cell>
          <cell r="BC36">
            <v>696</v>
          </cell>
          <cell r="BD36">
            <v>807</v>
          </cell>
          <cell r="BE36">
            <v>690</v>
          </cell>
          <cell r="BF36">
            <v>410</v>
          </cell>
          <cell r="BG36">
            <v>650.75</v>
          </cell>
          <cell r="BH36">
            <v>53.11</v>
          </cell>
          <cell r="BI36">
            <v>8.9809999999999999</v>
          </cell>
          <cell r="BJ36">
            <v>62.091000000000001</v>
          </cell>
          <cell r="BK36">
            <v>34.911999999999999</v>
          </cell>
          <cell r="BL36">
            <v>35.539000000000001</v>
          </cell>
          <cell r="BM36">
            <v>35.225499999999997</v>
          </cell>
          <cell r="BN36">
            <v>5.94</v>
          </cell>
          <cell r="BO36">
            <v>31.320000000000004</v>
          </cell>
          <cell r="BP36">
            <v>20.2195</v>
          </cell>
          <cell r="BQ36">
            <v>30.209950000000003</v>
          </cell>
          <cell r="BR36">
            <v>23.56</v>
          </cell>
          <cell r="BS36">
            <v>100</v>
          </cell>
          <cell r="BT36">
            <v>71.38</v>
          </cell>
          <cell r="BU36">
            <v>1414.1399999999999</v>
          </cell>
          <cell r="BV36">
            <v>39</v>
          </cell>
          <cell r="BY36">
            <v>186.19974926492816</v>
          </cell>
          <cell r="BZ36">
            <v>171.8462300657911</v>
          </cell>
          <cell r="CA36">
            <v>181.53620130041358</v>
          </cell>
          <cell r="CB36">
            <v>177.17470918570984</v>
          </cell>
          <cell r="CC36">
            <v>178.26404264706574</v>
          </cell>
          <cell r="CD36">
            <v>183.51886306628441</v>
          </cell>
          <cell r="CE36">
            <v>171.23189600952398</v>
          </cell>
          <cell r="CF36">
            <v>183.16770928620804</v>
          </cell>
          <cell r="CG36">
            <v>179.14890358253425</v>
          </cell>
          <cell r="CH36">
            <v>181.39718653715863</v>
          </cell>
          <cell r="CI36">
            <v>175.08833476027499</v>
          </cell>
          <cell r="CJ36">
            <v>175.08742897772666</v>
          </cell>
          <cell r="CK36">
            <v>173.87001200483795</v>
          </cell>
          <cell r="CL36">
            <v>180.18848028208646</v>
          </cell>
          <cell r="CM36">
            <v>176.20292543115275</v>
          </cell>
          <cell r="CN36">
            <v>155.6236167612912</v>
          </cell>
          <cell r="CO36">
            <v>171.4712586198421</v>
          </cell>
          <cell r="CP36">
            <v>211.08959327403474</v>
          </cell>
          <cell r="CQ36">
            <v>163.43657392221959</v>
          </cell>
          <cell r="CR36">
            <v>174.12519030859195</v>
          </cell>
          <cell r="CS36">
            <v>168.78088211540577</v>
          </cell>
          <cell r="CT36">
            <v>162.44566960677901</v>
          </cell>
          <cell r="CU36">
            <v>169.98349371283962</v>
          </cell>
          <cell r="CV36">
            <v>174.45502457933014</v>
          </cell>
          <cell r="CW36">
            <v>174.45502457933014</v>
          </cell>
          <cell r="CX36">
            <v>172.96451429049998</v>
          </cell>
          <cell r="CY36">
            <v>165.42406182697235</v>
          </cell>
          <cell r="CZ36">
            <v>183.15195574361462</v>
          </cell>
          <cell r="DA36">
            <v>167.09307839292262</v>
          </cell>
          <cell r="DB36">
            <v>165.98081504870487</v>
          </cell>
          <cell r="DC36">
            <v>175.93296096033072</v>
          </cell>
          <cell r="DD36">
            <v>173.64477100563425</v>
          </cell>
          <cell r="DE36">
            <v>165.90733357618495</v>
          </cell>
          <cell r="DF36">
            <v>176.63890415513674</v>
          </cell>
          <cell r="DG36">
            <v>171.27311886566085</v>
          </cell>
          <cell r="DH36">
            <v>170.55430104471699</v>
          </cell>
          <cell r="DI36">
            <v>168.53502867976539</v>
          </cell>
          <cell r="DK36">
            <v>327000</v>
          </cell>
          <cell r="DL36" t="str">
            <v>2017-18</v>
          </cell>
          <cell r="DM36">
            <v>202000</v>
          </cell>
          <cell r="DN36" t="str">
            <v>2016-17</v>
          </cell>
          <cell r="DO36">
            <v>980000</v>
          </cell>
          <cell r="DP36" t="str">
            <v>2017-18</v>
          </cell>
          <cell r="DQ36">
            <v>1750000</v>
          </cell>
          <cell r="DR36" t="str">
            <v>2017-18</v>
          </cell>
          <cell r="DS36">
            <v>5400000</v>
          </cell>
          <cell r="DT36" t="str">
            <v>2017-18</v>
          </cell>
          <cell r="DU36">
            <v>16500000</v>
          </cell>
          <cell r="DV36" t="str">
            <v>2017-18</v>
          </cell>
          <cell r="DW36">
            <v>704000</v>
          </cell>
          <cell r="DX36" t="str">
            <v>2017-18</v>
          </cell>
          <cell r="DY36">
            <v>5900000</v>
          </cell>
          <cell r="DZ36" t="str">
            <v>2017-18</v>
          </cell>
          <cell r="EA36">
            <v>31234000</v>
          </cell>
          <cell r="EB36">
            <v>407000</v>
          </cell>
          <cell r="EC36" t="str">
            <v>2017-18</v>
          </cell>
          <cell r="ED36">
            <v>169595</v>
          </cell>
          <cell r="EE36">
            <v>2018</v>
          </cell>
          <cell r="EF36">
            <v>218233</v>
          </cell>
          <cell r="EG36">
            <v>2018</v>
          </cell>
          <cell r="EH36">
            <v>54793181</v>
          </cell>
          <cell r="EI36">
            <v>2018</v>
          </cell>
          <cell r="EJ36">
            <v>5291453</v>
          </cell>
          <cell r="EK36">
            <v>2018</v>
          </cell>
          <cell r="EL36">
            <v>14339908</v>
          </cell>
          <cell r="EM36">
            <v>2018</v>
          </cell>
          <cell r="EN36">
            <v>3364725</v>
          </cell>
          <cell r="EO36">
            <v>2017</v>
          </cell>
          <cell r="EP36">
            <v>6552</v>
          </cell>
          <cell r="EQ36">
            <v>3003036</v>
          </cell>
          <cell r="ER36">
            <v>33739</v>
          </cell>
          <cell r="ET36">
            <v>22340</v>
          </cell>
          <cell r="EU36">
            <v>17224</v>
          </cell>
          <cell r="EV36">
            <v>9128</v>
          </cell>
          <cell r="EW36">
            <v>17414</v>
          </cell>
          <cell r="EX36">
            <v>66106</v>
          </cell>
          <cell r="EY36">
            <v>19463</v>
          </cell>
          <cell r="EZ36">
            <v>74231</v>
          </cell>
          <cell r="FA36">
            <v>24553</v>
          </cell>
          <cell r="FB36">
            <v>23958</v>
          </cell>
          <cell r="FC36">
            <v>48511</v>
          </cell>
          <cell r="FD36">
            <v>66959.290000000008</v>
          </cell>
          <cell r="FF36">
            <v>616160</v>
          </cell>
          <cell r="FG36" t="str">
            <v>2016-17</v>
          </cell>
          <cell r="FH36">
            <v>1330000</v>
          </cell>
          <cell r="FI36" t="str">
            <v>2017-18</v>
          </cell>
          <cell r="FJ36">
            <v>3600000</v>
          </cell>
          <cell r="FK36" t="str">
            <v>2017-18</v>
          </cell>
          <cell r="FL36">
            <v>3600000</v>
          </cell>
          <cell r="FM36" t="str">
            <v>2017-18</v>
          </cell>
          <cell r="FN36">
            <v>32000000</v>
          </cell>
          <cell r="FO36" t="str">
            <v>2017-18</v>
          </cell>
          <cell r="FP36">
            <v>39500000</v>
          </cell>
          <cell r="FQ36" t="str">
            <v>2017-18</v>
          </cell>
          <cell r="FR36">
            <v>2530000</v>
          </cell>
          <cell r="FS36" t="str">
            <v>2016-17</v>
          </cell>
          <cell r="FT36">
            <v>18500000</v>
          </cell>
          <cell r="FU36" t="str">
            <v>2017-18</v>
          </cell>
          <cell r="FV36">
            <v>99730000</v>
          </cell>
          <cell r="FW36">
            <v>1080000</v>
          </cell>
          <cell r="FX36" t="str">
            <v>2016-17</v>
          </cell>
          <cell r="FY36">
            <v>70846.448000000004</v>
          </cell>
          <cell r="FZ36">
            <v>746922.89599999995</v>
          </cell>
          <cell r="GA36" t="str">
            <v>abr17 mar18</v>
          </cell>
          <cell r="GB36">
            <v>25733114</v>
          </cell>
          <cell r="GD36">
            <v>1989400</v>
          </cell>
          <cell r="GE36">
            <v>431374</v>
          </cell>
          <cell r="GF36">
            <v>1006779</v>
          </cell>
          <cell r="GG36">
            <v>114118</v>
          </cell>
          <cell r="GH36">
            <v>1552271</v>
          </cell>
          <cell r="GI36">
            <v>1302556</v>
          </cell>
          <cell r="GJ36">
            <v>685541.2</v>
          </cell>
          <cell r="GK36">
            <v>1103042.8600000001</v>
          </cell>
          <cell r="GL36">
            <v>287064.67</v>
          </cell>
          <cell r="GM36">
            <v>260870.73</v>
          </cell>
          <cell r="GN36">
            <v>2336519.46</v>
          </cell>
          <cell r="GO36">
            <v>195071</v>
          </cell>
          <cell r="GP36">
            <v>79468</v>
          </cell>
          <cell r="GQ36">
            <v>103168.5</v>
          </cell>
          <cell r="GR36">
            <v>42800</v>
          </cell>
          <cell r="GS36">
            <v>45895.055</v>
          </cell>
          <cell r="GT36">
            <v>2483769</v>
          </cell>
          <cell r="GU36">
            <v>128927</v>
          </cell>
          <cell r="GV36">
            <v>69357</v>
          </cell>
          <cell r="GW36">
            <v>986614</v>
          </cell>
          <cell r="GX36">
            <v>26114.056</v>
          </cell>
          <cell r="GY36" t="str">
            <v>2017-2018</v>
          </cell>
          <cell r="GZ36">
            <v>104093.27099999999</v>
          </cell>
          <cell r="HA36">
            <v>248100</v>
          </cell>
          <cell r="HB36">
            <v>2889698</v>
          </cell>
          <cell r="HC36" t="str">
            <v>abr17 mar18</v>
          </cell>
          <cell r="HD36">
            <v>49803</v>
          </cell>
          <cell r="HE36">
            <v>580936</v>
          </cell>
          <cell r="HF36" t="str">
            <v>abr17 mar18</v>
          </cell>
          <cell r="HG36">
            <v>175000</v>
          </cell>
          <cell r="HH36">
            <v>2080000</v>
          </cell>
          <cell r="HI36" t="str">
            <v>abr17 mar18</v>
          </cell>
          <cell r="HJ36">
            <v>75209</v>
          </cell>
          <cell r="HK36">
            <v>59607</v>
          </cell>
          <cell r="HL36" t="str">
            <v>abr17 mar18</v>
          </cell>
          <cell r="HM36">
            <v>2139607</v>
          </cell>
          <cell r="HN36">
            <v>4.3783913565087929E-2</v>
          </cell>
          <cell r="HO36">
            <v>809862123.86120605</v>
          </cell>
          <cell r="HP36">
            <v>9955.3529713159678</v>
          </cell>
          <cell r="HQ36" t="str">
            <v>abr17 mar18</v>
          </cell>
          <cell r="HU36">
            <v>680000</v>
          </cell>
          <cell r="HV36" t="str">
            <v>2017-18</v>
          </cell>
          <cell r="HW36">
            <v>1350000</v>
          </cell>
          <cell r="HX36" t="str">
            <v>2017-18</v>
          </cell>
          <cell r="HY36">
            <v>3400000</v>
          </cell>
          <cell r="HZ36" t="str">
            <v>2017-18</v>
          </cell>
          <cell r="IA36">
            <v>19890000</v>
          </cell>
          <cell r="IB36" t="str">
            <v>2017-18</v>
          </cell>
          <cell r="IC36">
            <v>47130000</v>
          </cell>
          <cell r="ID36" t="str">
            <v>2016-17</v>
          </cell>
          <cell r="IE36">
            <v>1550000</v>
          </cell>
          <cell r="IF36" t="str">
            <v>2017-18</v>
          </cell>
          <cell r="IG36">
            <v>6500000</v>
          </cell>
          <cell r="IH36" t="str">
            <v>2017-18</v>
          </cell>
          <cell r="II36">
            <v>79820000</v>
          </cell>
          <cell r="IJ36">
            <v>1.5656077472231611</v>
          </cell>
          <cell r="IK36" t="str">
            <v>2017-18</v>
          </cell>
          <cell r="IL36">
            <v>43.51</v>
          </cell>
          <cell r="IM36">
            <v>58.566561904840334</v>
          </cell>
          <cell r="IN36">
            <v>190</v>
          </cell>
          <cell r="IO36">
            <v>14.23</v>
          </cell>
          <cell r="IP36">
            <v>5.651883633677623</v>
          </cell>
          <cell r="IQ36">
            <v>18.899999999999999</v>
          </cell>
          <cell r="IR36">
            <v>5.93</v>
          </cell>
          <cell r="IS36">
            <v>5.67</v>
          </cell>
          <cell r="IT36">
            <v>11.35</v>
          </cell>
          <cell r="IU36">
            <v>0.88</v>
          </cell>
          <cell r="IV36">
            <v>17.899999999999999</v>
          </cell>
          <cell r="IY36">
            <v>1.84</v>
          </cell>
          <cell r="IZ36">
            <v>0.3</v>
          </cell>
          <cell r="JA36">
            <v>2000</v>
          </cell>
          <cell r="JF36">
            <v>3.0876226400000002</v>
          </cell>
          <cell r="JG36">
            <v>6.2224734000000002</v>
          </cell>
          <cell r="JH36">
            <v>102.41601831000001</v>
          </cell>
          <cell r="JI36">
            <v>41.840097549999996</v>
          </cell>
          <cell r="JJ36">
            <v>479.8299399</v>
          </cell>
          <cell r="JK36">
            <v>58.556417999999994</v>
          </cell>
          <cell r="JL36">
            <v>1153.04559161</v>
          </cell>
          <cell r="JM36">
            <v>4.9888965899999995</v>
          </cell>
          <cell r="JN36">
            <v>329.59404456999999</v>
          </cell>
          <cell r="JO36">
            <v>13.31337954</v>
          </cell>
          <cell r="JP36">
            <v>0</v>
          </cell>
          <cell r="JQ36">
            <v>3.2860087999999998</v>
          </cell>
          <cell r="JR36">
            <v>1.2907917099999999</v>
          </cell>
          <cell r="JS36">
            <v>0</v>
          </cell>
          <cell r="JT36">
            <v>1.0798958399999998</v>
          </cell>
          <cell r="JU36">
            <v>79.397144179999998</v>
          </cell>
          <cell r="JV36">
            <v>17.349546530000001</v>
          </cell>
          <cell r="JW36">
            <v>76.382487570000009</v>
          </cell>
          <cell r="JX36">
            <v>10.60157265</v>
          </cell>
          <cell r="JY36">
            <v>0</v>
          </cell>
          <cell r="JZ36">
            <v>0</v>
          </cell>
          <cell r="KA36">
            <v>0</v>
          </cell>
          <cell r="KB36">
            <v>3.8013627399999996</v>
          </cell>
          <cell r="KC36">
            <v>25.525120080000004</v>
          </cell>
          <cell r="KD36">
            <v>10.42673267</v>
          </cell>
          <cell r="KE36">
            <v>15.701253399999999</v>
          </cell>
          <cell r="KF36">
            <v>23.129595359999996</v>
          </cell>
          <cell r="KG36">
            <v>263.74685381</v>
          </cell>
          <cell r="KH36">
            <v>56.608273220000008</v>
          </cell>
          <cell r="KI36">
            <v>30.221169830000001</v>
          </cell>
          <cell r="KJ36">
            <v>1.3650650800000002</v>
          </cell>
          <cell r="KK36">
            <v>7.6792712600000002</v>
          </cell>
          <cell r="KL36">
            <v>0.61278414000000003</v>
          </cell>
          <cell r="KM36">
            <v>7.4416937400000007</v>
          </cell>
          <cell r="KN36">
            <v>0</v>
          </cell>
          <cell r="KO36">
            <v>0</v>
          </cell>
          <cell r="KP36">
            <v>0</v>
          </cell>
          <cell r="KQ36">
            <v>363.21279550999998</v>
          </cell>
          <cell r="KR36">
            <v>0</v>
          </cell>
          <cell r="KS36">
            <v>0</v>
          </cell>
          <cell r="KT36">
            <v>4.5171196200000008</v>
          </cell>
          <cell r="KU36">
            <v>0.86998901000000006</v>
          </cell>
          <cell r="KV36">
            <v>0</v>
          </cell>
          <cell r="KW36">
            <v>1.8144321400000001</v>
          </cell>
          <cell r="KX36">
            <v>0</v>
          </cell>
          <cell r="KY36">
            <v>0</v>
          </cell>
          <cell r="KZ36">
            <v>0.50712550000000001</v>
          </cell>
          <cell r="LA36">
            <v>1.1176609</v>
          </cell>
          <cell r="LB36">
            <v>0</v>
          </cell>
          <cell r="LC36">
            <v>3.4776269999999998E-2</v>
          </cell>
          <cell r="LD36">
            <v>0</v>
          </cell>
          <cell r="LE36">
            <v>1.87721278</v>
          </cell>
          <cell r="LF36">
            <v>0.16350881</v>
          </cell>
          <cell r="LG36">
            <v>19.255829370000001</v>
          </cell>
          <cell r="LH36">
            <v>2.0741072199999997</v>
          </cell>
          <cell r="LI36">
            <v>0</v>
          </cell>
          <cell r="LJ36">
            <v>0</v>
          </cell>
          <cell r="LK36">
            <v>4.5253476399999997</v>
          </cell>
          <cell r="LL36">
            <v>3.7148745400000003</v>
          </cell>
          <cell r="LM36">
            <v>0.85722299000000002</v>
          </cell>
          <cell r="LN36">
            <v>3.6212970000000004E-2</v>
          </cell>
          <cell r="LO36">
            <v>10.366962109999999</v>
          </cell>
          <cell r="LQ36">
            <v>2111.7145885299997</v>
          </cell>
          <cell r="LR36">
            <v>5.6566963499999998</v>
          </cell>
          <cell r="LS36">
            <v>93.732034100000007</v>
          </cell>
          <cell r="LT36">
            <v>0</v>
          </cell>
          <cell r="LU36">
            <v>370.65448924999998</v>
          </cell>
          <cell r="LV36">
            <v>1.8144321400000001</v>
          </cell>
          <cell r="LW36">
            <v>1.1176609</v>
          </cell>
          <cell r="LX36">
            <v>2.04072159</v>
          </cell>
          <cell r="LZ36">
            <v>25.2</v>
          </cell>
          <cell r="MA36">
            <v>23.84</v>
          </cell>
          <cell r="MH36">
            <v>44.38</v>
          </cell>
          <cell r="MI36">
            <v>11.94</v>
          </cell>
          <cell r="MJ36">
            <v>15.67</v>
          </cell>
          <cell r="ML36">
            <v>14.68</v>
          </cell>
          <cell r="MM36">
            <v>23.93</v>
          </cell>
          <cell r="MO36">
            <v>16.62</v>
          </cell>
          <cell r="MP36">
            <v>45.89</v>
          </cell>
          <cell r="MQ36">
            <v>37.380000000000003</v>
          </cell>
          <cell r="MU36">
            <v>33.74</v>
          </cell>
          <cell r="MY36">
            <v>36.229999999999997</v>
          </cell>
          <cell r="MZ36">
            <v>111.5</v>
          </cell>
          <cell r="NA36">
            <v>46.91</v>
          </cell>
          <cell r="NB36">
            <v>144.68</v>
          </cell>
          <cell r="NC36">
            <v>23.26</v>
          </cell>
          <cell r="NE36">
            <v>124.3</v>
          </cell>
        </row>
        <row r="37">
          <cell r="A37">
            <v>43191</v>
          </cell>
          <cell r="B37">
            <v>4</v>
          </cell>
          <cell r="C37">
            <v>2018</v>
          </cell>
          <cell r="D37">
            <v>37</v>
          </cell>
          <cell r="E37">
            <v>43191</v>
          </cell>
          <cell r="F37">
            <v>20.499999999999996</v>
          </cell>
          <cell r="G37">
            <v>136.80000000000001</v>
          </cell>
          <cell r="H37">
            <v>12648.96</v>
          </cell>
          <cell r="I37">
            <v>107</v>
          </cell>
          <cell r="J37">
            <v>420</v>
          </cell>
          <cell r="K37">
            <v>2.8</v>
          </cell>
          <cell r="L37">
            <v>35.700000000000003</v>
          </cell>
          <cell r="N37">
            <v>1.7088333333333332</v>
          </cell>
          <cell r="O37">
            <v>1.5698888888888889</v>
          </cell>
          <cell r="P37">
            <v>33.606902777777769</v>
          </cell>
          <cell r="Q37">
            <v>435</v>
          </cell>
          <cell r="R37">
            <v>4350</v>
          </cell>
          <cell r="S37">
            <v>190.78947368421052</v>
          </cell>
          <cell r="T37">
            <v>303.21052631578948</v>
          </cell>
          <cell r="U37">
            <v>184.48333333333335</v>
          </cell>
          <cell r="V37">
            <v>316.14736842105265</v>
          </cell>
          <cell r="W37">
            <v>159.05263157894737</v>
          </cell>
          <cell r="X37">
            <v>190.89473684210526</v>
          </cell>
          <cell r="Y37">
            <v>3911.1842105263149</v>
          </cell>
          <cell r="Z37">
            <v>6215.8157894736833</v>
          </cell>
          <cell r="AA37">
            <v>3781.9083333333328</v>
          </cell>
          <cell r="AB37">
            <v>6481.0210526315777</v>
          </cell>
          <cell r="AC37">
            <v>3260.5789473684204</v>
          </cell>
          <cell r="AD37">
            <v>3913.342105263157</v>
          </cell>
          <cell r="AE37">
            <v>4593.9750730994147</v>
          </cell>
          <cell r="AF37">
            <v>14242.03125</v>
          </cell>
          <cell r="AG37">
            <v>7020</v>
          </cell>
          <cell r="AH37">
            <v>26040</v>
          </cell>
          <cell r="AI37">
            <v>11.32</v>
          </cell>
          <cell r="AJ37">
            <v>7.95</v>
          </cell>
          <cell r="AK37">
            <v>6.93</v>
          </cell>
          <cell r="AL37">
            <v>6.36</v>
          </cell>
          <cell r="AM37">
            <v>8.8534000000000006</v>
          </cell>
          <cell r="AN37">
            <v>21.852037037037029</v>
          </cell>
          <cell r="AO37">
            <v>21.191176470588236</v>
          </cell>
          <cell r="AP37">
            <v>21.521606753812634</v>
          </cell>
          <cell r="AQ37">
            <v>13.851176470588239</v>
          </cell>
          <cell r="AR37">
            <v>13.846470588235292</v>
          </cell>
          <cell r="AS37">
            <v>16.94102941176471</v>
          </cell>
          <cell r="AT37">
            <v>17.548823529411759</v>
          </cell>
          <cell r="AU37">
            <v>16.112107843137252</v>
          </cell>
          <cell r="AV37">
            <v>6.1383333333333336</v>
          </cell>
          <cell r="AW37">
            <v>8.9072222222222237</v>
          </cell>
          <cell r="AX37">
            <v>7.7799999999999994</v>
          </cell>
          <cell r="AY37">
            <v>8.9649999999999999</v>
          </cell>
          <cell r="AZ37">
            <v>11.14722222222222</v>
          </cell>
          <cell r="BA37">
            <v>4.5780555555555571</v>
          </cell>
          <cell r="BB37">
            <v>8.1175694444444435</v>
          </cell>
          <cell r="BC37">
            <v>696</v>
          </cell>
          <cell r="BD37">
            <v>807</v>
          </cell>
          <cell r="BE37">
            <v>690</v>
          </cell>
          <cell r="BF37">
            <v>410</v>
          </cell>
          <cell r="BG37">
            <v>650.75</v>
          </cell>
          <cell r="BH37">
            <v>53.11</v>
          </cell>
          <cell r="BI37">
            <v>8.9809999999999999</v>
          </cell>
          <cell r="BJ37">
            <v>62.091000000000001</v>
          </cell>
          <cell r="BK37">
            <v>34.500999999999998</v>
          </cell>
          <cell r="BL37">
            <v>35.561</v>
          </cell>
          <cell r="BM37">
            <v>35.030999999999999</v>
          </cell>
          <cell r="BN37">
            <v>6.12</v>
          </cell>
          <cell r="BO37">
            <v>25.955000000000002</v>
          </cell>
          <cell r="BP37">
            <v>21.882666666666669</v>
          </cell>
          <cell r="BQ37">
            <v>25.547766666666668</v>
          </cell>
          <cell r="BR37">
            <v>23.9</v>
          </cell>
          <cell r="BS37">
            <v>100</v>
          </cell>
          <cell r="BT37">
            <v>81.96</v>
          </cell>
          <cell r="BU37">
            <v>1445.88</v>
          </cell>
          <cell r="BV37">
            <v>40.4</v>
          </cell>
          <cell r="BY37">
            <v>188.0782778583681</v>
          </cell>
          <cell r="BZ37">
            <v>174.52649828995308</v>
          </cell>
          <cell r="CA37">
            <v>185.45203063293073</v>
          </cell>
          <cell r="CB37">
            <v>180.18037881469229</v>
          </cell>
          <cell r="CC37">
            <v>183.61225925734473</v>
          </cell>
          <cell r="CD37">
            <v>190.85935213154781</v>
          </cell>
          <cell r="CE37">
            <v>174.15355363080539</v>
          </cell>
          <cell r="CF37">
            <v>186.97616946235351</v>
          </cell>
          <cell r="CG37">
            <v>183.5389573216124</v>
          </cell>
          <cell r="CH37">
            <v>195.95720246258324</v>
          </cell>
          <cell r="CI37">
            <v>177.54387417700889</v>
          </cell>
          <cell r="CJ37">
            <v>169.22650261000487</v>
          </cell>
          <cell r="CK37">
            <v>177.60263746701568</v>
          </cell>
          <cell r="CL37">
            <v>175.02867882665959</v>
          </cell>
          <cell r="CM37">
            <v>171.41457286244082</v>
          </cell>
          <cell r="CN37">
            <v>156.44310139163676</v>
          </cell>
          <cell r="CO37">
            <v>170.12224763693823</v>
          </cell>
          <cell r="CP37">
            <v>212.53037698126667</v>
          </cell>
          <cell r="CQ37">
            <v>161.97114512261001</v>
          </cell>
          <cell r="CR37">
            <v>174.20104777985296</v>
          </cell>
          <cell r="CS37">
            <v>168.08609645123147</v>
          </cell>
          <cell r="CT37">
            <v>162.10184871685641</v>
          </cell>
          <cell r="CU37">
            <v>169.59455069039757</v>
          </cell>
          <cell r="CV37">
            <v>173.41070579548781</v>
          </cell>
          <cell r="CW37">
            <v>173.41070579548781</v>
          </cell>
          <cell r="CX37">
            <v>172.13865409379108</v>
          </cell>
          <cell r="CY37">
            <v>166.93803160554063</v>
          </cell>
          <cell r="CZ37">
            <v>183.68862073401129</v>
          </cell>
          <cell r="DA37">
            <v>167.57671108235959</v>
          </cell>
          <cell r="DB37">
            <v>166.62345955023557</v>
          </cell>
          <cell r="DC37">
            <v>181.81616432962429</v>
          </cell>
          <cell r="DD37">
            <v>179.39355214240788</v>
          </cell>
          <cell r="DE37">
            <v>171.62557890423375</v>
          </cell>
          <cell r="DF37">
            <v>183.96340730311715</v>
          </cell>
          <cell r="DG37">
            <v>177.79449310367545</v>
          </cell>
          <cell r="DH37">
            <v>171.79313713867884</v>
          </cell>
          <cell r="DI37">
            <v>169.47126634247402</v>
          </cell>
          <cell r="DK37">
            <v>327000</v>
          </cell>
          <cell r="DL37" t="str">
            <v>2017-18</v>
          </cell>
          <cell r="DM37">
            <v>202000</v>
          </cell>
          <cell r="DN37" t="str">
            <v>2016-17</v>
          </cell>
          <cell r="DO37">
            <v>1000000</v>
          </cell>
          <cell r="DP37" t="str">
            <v>2017-18</v>
          </cell>
          <cell r="DQ37">
            <v>1700000</v>
          </cell>
          <cell r="DR37" t="str">
            <v>2017-18</v>
          </cell>
          <cell r="DS37">
            <v>5400000</v>
          </cell>
          <cell r="DT37" t="str">
            <v>2017-18</v>
          </cell>
          <cell r="DU37">
            <v>16500000</v>
          </cell>
          <cell r="DV37" t="str">
            <v>2017-18</v>
          </cell>
          <cell r="DW37">
            <v>703000</v>
          </cell>
          <cell r="DX37" t="str">
            <v>2017-18</v>
          </cell>
          <cell r="DY37">
            <v>5900000</v>
          </cell>
          <cell r="DZ37" t="str">
            <v>2017-18</v>
          </cell>
          <cell r="EA37">
            <v>31203000</v>
          </cell>
          <cell r="EB37">
            <v>407000</v>
          </cell>
          <cell r="EC37" t="str">
            <v>2017-18</v>
          </cell>
          <cell r="ED37">
            <v>169595</v>
          </cell>
          <cell r="EE37">
            <v>2018</v>
          </cell>
          <cell r="EF37">
            <v>218233</v>
          </cell>
          <cell r="EG37">
            <v>2018</v>
          </cell>
          <cell r="EH37">
            <v>54793181</v>
          </cell>
          <cell r="EI37">
            <v>2018</v>
          </cell>
          <cell r="EJ37">
            <v>5291453</v>
          </cell>
          <cell r="EK37">
            <v>2018</v>
          </cell>
          <cell r="EL37">
            <v>14339908</v>
          </cell>
          <cell r="EM37">
            <v>2018</v>
          </cell>
          <cell r="EN37">
            <v>3364725</v>
          </cell>
          <cell r="EO37">
            <v>2017</v>
          </cell>
          <cell r="EP37">
            <v>6552</v>
          </cell>
          <cell r="EQ37">
            <v>3003036</v>
          </cell>
          <cell r="ER37">
            <v>33739</v>
          </cell>
          <cell r="ET37">
            <v>22340</v>
          </cell>
          <cell r="EU37">
            <v>17224</v>
          </cell>
          <cell r="EV37">
            <v>9128</v>
          </cell>
          <cell r="EW37">
            <v>17414</v>
          </cell>
          <cell r="EX37">
            <v>66106</v>
          </cell>
          <cell r="EY37">
            <v>19463</v>
          </cell>
          <cell r="EZ37">
            <v>74231</v>
          </cell>
          <cell r="FA37">
            <v>24553</v>
          </cell>
          <cell r="FB37">
            <v>23958</v>
          </cell>
          <cell r="FC37">
            <v>48511</v>
          </cell>
          <cell r="FD37">
            <v>66959.290000000008</v>
          </cell>
          <cell r="FF37">
            <v>616160</v>
          </cell>
          <cell r="FG37" t="str">
            <v>2016-17</v>
          </cell>
          <cell r="FH37">
            <v>1380000</v>
          </cell>
          <cell r="FI37" t="str">
            <v>2017-18</v>
          </cell>
          <cell r="FJ37">
            <v>3740000</v>
          </cell>
          <cell r="FK37" t="str">
            <v>2017-18</v>
          </cell>
          <cell r="FL37">
            <v>3400000</v>
          </cell>
          <cell r="FM37" t="str">
            <v>2017-18</v>
          </cell>
          <cell r="FN37">
            <v>32000000</v>
          </cell>
          <cell r="FO37" t="str">
            <v>2017-18</v>
          </cell>
          <cell r="FP37">
            <v>37600000</v>
          </cell>
          <cell r="FQ37" t="str">
            <v>2017-18</v>
          </cell>
          <cell r="FR37">
            <v>1800000</v>
          </cell>
          <cell r="FS37" t="str">
            <v>2017-18</v>
          </cell>
          <cell r="FT37">
            <v>18500000</v>
          </cell>
          <cell r="FU37" t="str">
            <v>2017-18</v>
          </cell>
          <cell r="FV37">
            <v>97040000</v>
          </cell>
          <cell r="FW37">
            <v>1080000</v>
          </cell>
          <cell r="FX37" t="str">
            <v>2016-17</v>
          </cell>
          <cell r="FY37">
            <v>121047.66499999999</v>
          </cell>
          <cell r="FZ37">
            <v>800404.63600000006</v>
          </cell>
          <cell r="GA37" t="str">
            <v>may17 abr18</v>
          </cell>
          <cell r="GB37">
            <v>25733114</v>
          </cell>
          <cell r="GD37">
            <v>1989400</v>
          </cell>
          <cell r="GE37">
            <v>431374</v>
          </cell>
          <cell r="GF37">
            <v>1006779</v>
          </cell>
          <cell r="GG37">
            <v>114118</v>
          </cell>
          <cell r="GH37">
            <v>1552271</v>
          </cell>
          <cell r="GI37">
            <v>1302556</v>
          </cell>
          <cell r="GJ37">
            <v>685541.2</v>
          </cell>
          <cell r="GK37">
            <v>1103042.8600000001</v>
          </cell>
          <cell r="GL37">
            <v>287064.67</v>
          </cell>
          <cell r="GM37">
            <v>260870.73</v>
          </cell>
          <cell r="GN37">
            <v>2336519.46</v>
          </cell>
          <cell r="GO37">
            <v>195071</v>
          </cell>
          <cell r="GP37">
            <v>79468</v>
          </cell>
          <cell r="GQ37">
            <v>52391</v>
          </cell>
          <cell r="GR37">
            <v>42800</v>
          </cell>
          <cell r="GS37">
            <v>44371.73</v>
          </cell>
          <cell r="GT37">
            <v>2483769</v>
          </cell>
          <cell r="GU37">
            <v>85333</v>
          </cell>
          <cell r="GV37">
            <v>81382</v>
          </cell>
          <cell r="GW37">
            <v>1006611</v>
          </cell>
          <cell r="GX37">
            <v>26114.056</v>
          </cell>
          <cell r="GY37" t="str">
            <v>2017-2018</v>
          </cell>
          <cell r="GZ37">
            <v>104093.27099999999</v>
          </cell>
          <cell r="HA37">
            <v>261742</v>
          </cell>
          <cell r="HB37">
            <v>2943440</v>
          </cell>
          <cell r="HC37" t="str">
            <v>may17 abr18</v>
          </cell>
          <cell r="HD37">
            <v>51176</v>
          </cell>
          <cell r="HE37">
            <v>588796</v>
          </cell>
          <cell r="HF37" t="str">
            <v>may17 abr18</v>
          </cell>
          <cell r="HG37">
            <v>173000</v>
          </cell>
          <cell r="HH37">
            <v>2082000</v>
          </cell>
          <cell r="HI37" t="str">
            <v>may17 abr18</v>
          </cell>
          <cell r="HJ37">
            <v>77536</v>
          </cell>
          <cell r="HK37">
            <v>60137.64</v>
          </cell>
          <cell r="HL37" t="str">
            <v>may17 abr18</v>
          </cell>
          <cell r="HM37">
            <v>2142137.64</v>
          </cell>
          <cell r="HN37">
            <v>9.6287073110884691E-2</v>
          </cell>
          <cell r="HO37">
            <v>775703507.41690397</v>
          </cell>
          <cell r="HP37">
            <v>10023.483137367342</v>
          </cell>
          <cell r="HQ37" t="str">
            <v>may17 abr18</v>
          </cell>
          <cell r="HU37">
            <v>680000</v>
          </cell>
          <cell r="HV37" t="str">
            <v>2017-18</v>
          </cell>
          <cell r="HW37">
            <v>1350000</v>
          </cell>
          <cell r="HX37" t="str">
            <v>2017-18</v>
          </cell>
          <cell r="HY37">
            <v>3400000</v>
          </cell>
          <cell r="HZ37" t="str">
            <v>2017-18</v>
          </cell>
          <cell r="IA37">
            <v>19890000</v>
          </cell>
          <cell r="IB37" t="str">
            <v>2017-18</v>
          </cell>
          <cell r="IC37">
            <v>41300000</v>
          </cell>
          <cell r="ID37" t="str">
            <v>2017-18</v>
          </cell>
          <cell r="IE37">
            <v>1550000</v>
          </cell>
          <cell r="IF37" t="str">
            <v>2017-18</v>
          </cell>
          <cell r="IG37">
            <v>6500000</v>
          </cell>
          <cell r="IH37" t="str">
            <v>2017-18</v>
          </cell>
          <cell r="II37">
            <v>73990000</v>
          </cell>
          <cell r="IJ37">
            <v>1.5656077472231611</v>
          </cell>
          <cell r="IK37" t="str">
            <v>2017-18</v>
          </cell>
          <cell r="IL37">
            <v>44.15</v>
          </cell>
          <cell r="IM37">
            <v>58.609042880430898</v>
          </cell>
          <cell r="IN37">
            <v>190</v>
          </cell>
          <cell r="IO37">
            <v>15.42</v>
          </cell>
          <cell r="IP37">
            <v>5.651883633677623</v>
          </cell>
          <cell r="IQ37">
            <v>18.899999999999999</v>
          </cell>
          <cell r="IR37">
            <v>5.93</v>
          </cell>
          <cell r="IS37">
            <v>5.67</v>
          </cell>
          <cell r="IT37">
            <v>11.35</v>
          </cell>
          <cell r="IU37">
            <v>0.88</v>
          </cell>
          <cell r="IV37">
            <v>17.899999999999999</v>
          </cell>
          <cell r="IY37">
            <v>1.84</v>
          </cell>
          <cell r="IZ37">
            <v>0.3</v>
          </cell>
          <cell r="JA37">
            <v>2000</v>
          </cell>
          <cell r="JF37">
            <v>0.13273476000000001</v>
          </cell>
          <cell r="JG37">
            <v>12.269559320000001</v>
          </cell>
          <cell r="JH37">
            <v>87.022920109999987</v>
          </cell>
          <cell r="JI37">
            <v>90.417301980000005</v>
          </cell>
          <cell r="JJ37">
            <v>470.93600751000008</v>
          </cell>
          <cell r="JK37">
            <v>45.567713820000002</v>
          </cell>
          <cell r="JL37">
            <v>1242.83983936</v>
          </cell>
          <cell r="JM37">
            <v>0.27618052000000004</v>
          </cell>
          <cell r="JN37">
            <v>145.68053827000003</v>
          </cell>
          <cell r="JO37">
            <v>14.996245340000002</v>
          </cell>
          <cell r="JP37">
            <v>0</v>
          </cell>
          <cell r="JQ37">
            <v>7.7131047000000006</v>
          </cell>
          <cell r="JR37">
            <v>0.84701479999999996</v>
          </cell>
          <cell r="JS37">
            <v>0</v>
          </cell>
          <cell r="JT37">
            <v>0.67574441000000007</v>
          </cell>
          <cell r="JU37">
            <v>76.974978740000012</v>
          </cell>
          <cell r="JV37">
            <v>19.615230269999998</v>
          </cell>
          <cell r="JW37">
            <v>40.975997130000003</v>
          </cell>
          <cell r="JX37">
            <v>33.888449939999994</v>
          </cell>
          <cell r="JY37">
            <v>0</v>
          </cell>
          <cell r="JZ37">
            <v>0.64875162000000008</v>
          </cell>
          <cell r="KA37">
            <v>0.10539999999999999</v>
          </cell>
          <cell r="KB37">
            <v>1.6745278200000002</v>
          </cell>
          <cell r="KC37">
            <v>7.3815587999999988</v>
          </cell>
          <cell r="KD37">
            <v>5.5741509600000008</v>
          </cell>
          <cell r="KE37">
            <v>20.098667499999998</v>
          </cell>
          <cell r="KF37">
            <v>23.853757179999999</v>
          </cell>
          <cell r="KG37">
            <v>239.13442540999995</v>
          </cell>
          <cell r="KH37">
            <v>52.345074859999997</v>
          </cell>
          <cell r="KI37">
            <v>26.920405799999997</v>
          </cell>
          <cell r="KJ37">
            <v>1.1086923100000001</v>
          </cell>
          <cell r="KK37">
            <v>9.4679758400000011</v>
          </cell>
          <cell r="KL37">
            <v>0.44493670000000002</v>
          </cell>
          <cell r="KM37">
            <v>8.637813340000001</v>
          </cell>
          <cell r="KN37">
            <v>0</v>
          </cell>
          <cell r="KO37">
            <v>5.4836490000000002E-2</v>
          </cell>
          <cell r="KP37">
            <v>0</v>
          </cell>
          <cell r="KQ37">
            <v>230.28020997000002</v>
          </cell>
          <cell r="KR37">
            <v>0</v>
          </cell>
          <cell r="KS37">
            <v>0</v>
          </cell>
          <cell r="KT37">
            <v>4.1891469399999997</v>
          </cell>
          <cell r="KU37">
            <v>0.59888017000000004</v>
          </cell>
          <cell r="KV37">
            <v>0</v>
          </cell>
          <cell r="KW37">
            <v>2.0819386</v>
          </cell>
          <cell r="KX37">
            <v>0</v>
          </cell>
          <cell r="KY37">
            <v>0</v>
          </cell>
          <cell r="KZ37">
            <v>0.29917026000000002</v>
          </cell>
          <cell r="LA37">
            <v>0.76841550999999997</v>
          </cell>
          <cell r="LB37">
            <v>0</v>
          </cell>
          <cell r="LC37">
            <v>0</v>
          </cell>
          <cell r="LD37">
            <v>0</v>
          </cell>
          <cell r="LE37">
            <v>1.11833476</v>
          </cell>
          <cell r="LF37">
            <v>0</v>
          </cell>
          <cell r="LG37">
            <v>21.068685199999997</v>
          </cell>
          <cell r="LH37">
            <v>1.73650197</v>
          </cell>
          <cell r="LI37">
            <v>0</v>
          </cell>
          <cell r="LJ37">
            <v>0</v>
          </cell>
          <cell r="LK37">
            <v>2.1681411000000002</v>
          </cell>
          <cell r="LL37">
            <v>2.6826268</v>
          </cell>
          <cell r="LM37">
            <v>1.4030227</v>
          </cell>
          <cell r="LN37">
            <v>0</v>
          </cell>
          <cell r="LO37">
            <v>13.274075040000001</v>
          </cell>
          <cell r="LQ37">
            <v>2037.17278775</v>
          </cell>
          <cell r="LR37">
            <v>9.2358639100000008</v>
          </cell>
          <cell r="LS37">
            <v>60.591227400000001</v>
          </cell>
          <cell r="LT37">
            <v>0.75415162000000002</v>
          </cell>
          <cell r="LU37">
            <v>238.97285980000001</v>
          </cell>
          <cell r="LV37">
            <v>2.0819386</v>
          </cell>
          <cell r="LW37">
            <v>0.76841550999999997</v>
          </cell>
          <cell r="LX37">
            <v>1.11833476</v>
          </cell>
          <cell r="LZ37">
            <v>26.15</v>
          </cell>
          <cell r="MA37">
            <v>24.37</v>
          </cell>
          <cell r="MH37">
            <v>45.83</v>
          </cell>
          <cell r="MI37">
            <v>12.72</v>
          </cell>
          <cell r="MJ37">
            <v>15.31</v>
          </cell>
          <cell r="ML37">
            <v>15.8</v>
          </cell>
          <cell r="MM37">
            <v>19.57</v>
          </cell>
          <cell r="MO37">
            <v>16.66</v>
          </cell>
          <cell r="MP37">
            <v>45.85</v>
          </cell>
          <cell r="MQ37">
            <v>37.33</v>
          </cell>
          <cell r="MU37">
            <v>33.29</v>
          </cell>
          <cell r="MY37">
            <v>37.24</v>
          </cell>
          <cell r="MZ37">
            <v>109.8</v>
          </cell>
          <cell r="NA37">
            <v>43.52</v>
          </cell>
          <cell r="NB37">
            <v>147.4</v>
          </cell>
          <cell r="NC37">
            <v>23.84</v>
          </cell>
          <cell r="NE37">
            <v>125.35</v>
          </cell>
        </row>
        <row r="38">
          <cell r="A38">
            <v>43221</v>
          </cell>
          <cell r="B38">
            <v>5</v>
          </cell>
          <cell r="C38">
            <v>2018</v>
          </cell>
          <cell r="D38">
            <v>38</v>
          </cell>
          <cell r="E38">
            <v>43221</v>
          </cell>
          <cell r="F38">
            <v>24.211904761904758</v>
          </cell>
          <cell r="G38">
            <v>139.6</v>
          </cell>
          <cell r="H38">
            <v>12648.96</v>
          </cell>
          <cell r="I38">
            <v>111</v>
          </cell>
          <cell r="J38">
            <v>420</v>
          </cell>
          <cell r="K38">
            <v>2.8</v>
          </cell>
          <cell r="L38">
            <v>34</v>
          </cell>
          <cell r="N38">
            <v>1.6792857142857143</v>
          </cell>
          <cell r="O38">
            <v>1.5450952380952381</v>
          </cell>
          <cell r="P38">
            <v>39.03420226757369</v>
          </cell>
          <cell r="Q38">
            <v>445</v>
          </cell>
          <cell r="R38">
            <v>4450</v>
          </cell>
          <cell r="S38">
            <v>184.8095238095238</v>
          </cell>
          <cell r="T38">
            <v>312.85714285714283</v>
          </cell>
          <cell r="U38">
            <v>176.20000000000002</v>
          </cell>
          <cell r="V38">
            <v>318.40625</v>
          </cell>
          <cell r="W38">
            <v>137.71428571428572</v>
          </cell>
          <cell r="X38">
            <v>191.83809523809524</v>
          </cell>
          <cell r="Y38">
            <v>4474.5905895691603</v>
          </cell>
          <cell r="Z38">
            <v>7574.8673469387741</v>
          </cell>
          <cell r="AA38">
            <v>4266.1376190476185</v>
          </cell>
          <cell r="AB38">
            <v>7709.2218005952373</v>
          </cell>
          <cell r="AC38">
            <v>3334.3251700680271</v>
          </cell>
          <cell r="AD38">
            <v>4644.7656916099768</v>
          </cell>
          <cell r="AE38">
            <v>5333.9847029714656</v>
          </cell>
          <cell r="AF38">
            <v>16211.0625</v>
          </cell>
          <cell r="AG38">
            <v>7020</v>
          </cell>
          <cell r="AH38">
            <v>26040</v>
          </cell>
          <cell r="AI38">
            <v>10.69</v>
          </cell>
          <cell r="AJ38">
            <v>6.21</v>
          </cell>
          <cell r="AK38">
            <v>7.1</v>
          </cell>
          <cell r="AL38">
            <v>6.25</v>
          </cell>
          <cell r="AM38">
            <v>8.5118000000000009</v>
          </cell>
          <cell r="AN38">
            <v>21.071791907514445</v>
          </cell>
          <cell r="AO38">
            <v>21.122727272727271</v>
          </cell>
          <cell r="AP38">
            <v>21.097259590120856</v>
          </cell>
          <cell r="AQ38">
            <v>12.994545454545454</v>
          </cell>
          <cell r="AR38">
            <v>13.581818181818182</v>
          </cell>
          <cell r="AS38">
            <v>15.69058823529412</v>
          </cell>
          <cell r="AT38">
            <v>14.111363636363636</v>
          </cell>
          <cell r="AU38">
            <v>14.461256684491978</v>
          </cell>
          <cell r="AV38">
            <v>5.9814062499999965</v>
          </cell>
          <cell r="AW38">
            <v>9.0750000000000011</v>
          </cell>
          <cell r="AX38">
            <v>11.375999999999998</v>
          </cell>
          <cell r="AY38">
            <v>10.3995</v>
          </cell>
          <cell r="AZ38">
            <v>11.128500000000001</v>
          </cell>
          <cell r="BA38">
            <v>5.368249999999998</v>
          </cell>
          <cell r="BB38">
            <v>9.5680624999999981</v>
          </cell>
          <cell r="BC38">
            <v>696</v>
          </cell>
          <cell r="BD38">
            <v>807</v>
          </cell>
          <cell r="BE38">
            <v>690</v>
          </cell>
          <cell r="BF38">
            <v>410</v>
          </cell>
          <cell r="BG38">
            <v>650.75</v>
          </cell>
          <cell r="BH38">
            <v>53.11</v>
          </cell>
          <cell r="BI38">
            <v>8.9809999999999999</v>
          </cell>
          <cell r="BJ38">
            <v>62.091000000000001</v>
          </cell>
          <cell r="BK38">
            <v>37.612000000000002</v>
          </cell>
          <cell r="BL38">
            <v>38.4</v>
          </cell>
          <cell r="BM38">
            <v>38.006</v>
          </cell>
          <cell r="BN38">
            <v>6.32</v>
          </cell>
          <cell r="BO38">
            <v>27.707142857142859</v>
          </cell>
          <cell r="BP38">
            <v>23.507833333333334</v>
          </cell>
          <cell r="BQ38">
            <v>27.287211904761907</v>
          </cell>
          <cell r="BR38">
            <v>23.85</v>
          </cell>
          <cell r="BS38">
            <v>100</v>
          </cell>
          <cell r="BT38">
            <v>107.89</v>
          </cell>
          <cell r="BU38">
            <v>1523.67</v>
          </cell>
          <cell r="BV38">
            <v>47</v>
          </cell>
          <cell r="BY38">
            <v>215.32833930131821</v>
          </cell>
          <cell r="BZ38">
            <v>208.17562131537386</v>
          </cell>
          <cell r="CA38">
            <v>215.19392474158218</v>
          </cell>
          <cell r="CB38">
            <v>212.88711651009064</v>
          </cell>
          <cell r="CC38">
            <v>210.5284475606079</v>
          </cell>
          <cell r="CD38">
            <v>224.35421214905665</v>
          </cell>
          <cell r="CE38">
            <v>194.35487788086837</v>
          </cell>
          <cell r="CF38">
            <v>218.95892797166496</v>
          </cell>
          <cell r="CG38">
            <v>212.71291780231175</v>
          </cell>
          <cell r="CH38">
            <v>226.56788334926549</v>
          </cell>
          <cell r="CI38">
            <v>196.90621673558019</v>
          </cell>
          <cell r="CJ38">
            <v>178.81600923172212</v>
          </cell>
          <cell r="CK38">
            <v>210.58155284742978</v>
          </cell>
          <cell r="CL38">
            <v>195.469332730339</v>
          </cell>
          <cell r="CM38">
            <v>181.16335310518727</v>
          </cell>
          <cell r="CN38">
            <v>168.69616370971232</v>
          </cell>
          <cell r="CO38">
            <v>188.9776005981671</v>
          </cell>
          <cell r="CP38">
            <v>223.53654989783291</v>
          </cell>
          <cell r="CQ38">
            <v>171.88458076557694</v>
          </cell>
          <cell r="CR38">
            <v>184.71947028445862</v>
          </cell>
          <cell r="CS38">
            <v>178.30202552501777</v>
          </cell>
          <cell r="CT38">
            <v>174.72769929184474</v>
          </cell>
          <cell r="CU38">
            <v>183.75447071784333</v>
          </cell>
          <cell r="CV38">
            <v>186.25696335781055</v>
          </cell>
          <cell r="CW38">
            <v>186.25696335781055</v>
          </cell>
          <cell r="CX38">
            <v>185.42279914448815</v>
          </cell>
          <cell r="CY38">
            <v>173.45478261288494</v>
          </cell>
          <cell r="CZ38">
            <v>201.68343607020424</v>
          </cell>
          <cell r="DA38">
            <v>176.81596859324205</v>
          </cell>
          <cell r="DB38">
            <v>180.65514834591752</v>
          </cell>
          <cell r="DC38">
            <v>204.51589902378075</v>
          </cell>
          <cell r="DD38">
            <v>200.20754329232977</v>
          </cell>
          <cell r="DE38">
            <v>187.71815247640751</v>
          </cell>
          <cell r="DF38">
            <v>205.99660254546865</v>
          </cell>
          <cell r="DG38">
            <v>196.85737751093808</v>
          </cell>
          <cell r="DH38">
            <v>185.52873780675674</v>
          </cell>
          <cell r="DI38">
            <v>176.63887907616967</v>
          </cell>
          <cell r="DK38">
            <v>327000</v>
          </cell>
          <cell r="DL38" t="str">
            <v>2017-18</v>
          </cell>
          <cell r="DM38">
            <v>202000</v>
          </cell>
          <cell r="DN38" t="str">
            <v>2016-17</v>
          </cell>
          <cell r="DO38">
            <v>980000</v>
          </cell>
          <cell r="DP38" t="str">
            <v>2017-18</v>
          </cell>
          <cell r="DQ38">
            <v>1700000</v>
          </cell>
          <cell r="DR38" t="str">
            <v>2017-18</v>
          </cell>
          <cell r="DS38">
            <v>5400000</v>
          </cell>
          <cell r="DT38" t="str">
            <v>2017-18</v>
          </cell>
          <cell r="DU38">
            <v>16600000</v>
          </cell>
          <cell r="DV38" t="str">
            <v>2017-18</v>
          </cell>
          <cell r="DW38">
            <v>690000</v>
          </cell>
          <cell r="DX38" t="str">
            <v>2017-18</v>
          </cell>
          <cell r="DY38">
            <v>6150000</v>
          </cell>
          <cell r="DZ38" t="str">
            <v>2018-19</v>
          </cell>
          <cell r="EA38">
            <v>31520000</v>
          </cell>
          <cell r="EB38">
            <v>416000</v>
          </cell>
          <cell r="EC38" t="str">
            <v>2017-18</v>
          </cell>
          <cell r="ED38">
            <v>169595</v>
          </cell>
          <cell r="EE38">
            <v>2018</v>
          </cell>
          <cell r="EF38">
            <v>218233</v>
          </cell>
          <cell r="EG38">
            <v>2018</v>
          </cell>
          <cell r="EH38">
            <v>54793181</v>
          </cell>
          <cell r="EI38">
            <v>2018</v>
          </cell>
          <cell r="EJ38">
            <v>5291453</v>
          </cell>
          <cell r="EK38">
            <v>2018</v>
          </cell>
          <cell r="EL38">
            <v>14339908</v>
          </cell>
          <cell r="EM38">
            <v>2018</v>
          </cell>
          <cell r="EN38">
            <v>3364725</v>
          </cell>
          <cell r="EO38">
            <v>2017</v>
          </cell>
          <cell r="EP38">
            <v>6552</v>
          </cell>
          <cell r="EQ38">
            <v>3003036</v>
          </cell>
          <cell r="ER38">
            <v>33739</v>
          </cell>
          <cell r="ET38">
            <v>22340</v>
          </cell>
          <cell r="EU38">
            <v>17224</v>
          </cell>
          <cell r="EV38">
            <v>9128</v>
          </cell>
          <cell r="EW38">
            <v>17414</v>
          </cell>
          <cell r="EX38">
            <v>66106</v>
          </cell>
          <cell r="EY38">
            <v>19463</v>
          </cell>
          <cell r="EZ38">
            <v>74231</v>
          </cell>
          <cell r="FA38">
            <v>24553</v>
          </cell>
          <cell r="FB38">
            <v>23958</v>
          </cell>
          <cell r="FC38">
            <v>48511</v>
          </cell>
          <cell r="FD38">
            <v>66959.290000000008</v>
          </cell>
          <cell r="FF38">
            <v>814000</v>
          </cell>
          <cell r="FG38" t="str">
            <v>2017-18</v>
          </cell>
          <cell r="FH38">
            <v>1370000</v>
          </cell>
          <cell r="FI38" t="str">
            <v>2017-18</v>
          </cell>
          <cell r="FJ38">
            <v>3740000</v>
          </cell>
          <cell r="FK38" t="str">
            <v>2017-18</v>
          </cell>
          <cell r="FL38">
            <v>3380000</v>
          </cell>
          <cell r="FM38" t="str">
            <v>2017-18</v>
          </cell>
          <cell r="FN38">
            <v>32000000</v>
          </cell>
          <cell r="FO38" t="str">
            <v>2017-18</v>
          </cell>
          <cell r="FP38">
            <v>36600000</v>
          </cell>
          <cell r="FQ38" t="str">
            <v>2017-18</v>
          </cell>
          <cell r="FR38">
            <v>1700000</v>
          </cell>
          <cell r="FS38" t="str">
            <v>2017-18</v>
          </cell>
          <cell r="FT38">
            <v>18500000</v>
          </cell>
          <cell r="FU38" t="str">
            <v>2017-18</v>
          </cell>
          <cell r="FV38">
            <v>95920000</v>
          </cell>
          <cell r="FW38">
            <v>810000</v>
          </cell>
          <cell r="FX38" t="str">
            <v>2017-18</v>
          </cell>
          <cell r="FY38">
            <v>141699.905</v>
          </cell>
          <cell r="FZ38">
            <v>826376.82100000011</v>
          </cell>
          <cell r="GA38" t="str">
            <v>jun17 may18</v>
          </cell>
          <cell r="GB38">
            <v>25733114</v>
          </cell>
          <cell r="GD38">
            <v>1989400</v>
          </cell>
          <cell r="GE38">
            <v>431374</v>
          </cell>
          <cell r="GF38">
            <v>1006779</v>
          </cell>
          <cell r="GG38">
            <v>114118</v>
          </cell>
          <cell r="GH38">
            <v>1552271</v>
          </cell>
          <cell r="GI38">
            <v>1302556</v>
          </cell>
          <cell r="GJ38">
            <v>685541.2</v>
          </cell>
          <cell r="GK38">
            <v>1103042.8600000001</v>
          </cell>
          <cell r="GL38">
            <v>287064.67</v>
          </cell>
          <cell r="GM38">
            <v>260870.73</v>
          </cell>
          <cell r="GN38">
            <v>2336519.46</v>
          </cell>
          <cell r="GO38">
            <v>195071</v>
          </cell>
          <cell r="GP38">
            <v>79468</v>
          </cell>
          <cell r="GQ38">
            <v>39175</v>
          </cell>
          <cell r="GR38">
            <v>42800</v>
          </cell>
          <cell r="GS38">
            <v>43975.25</v>
          </cell>
          <cell r="GT38">
            <v>2483769</v>
          </cell>
          <cell r="GU38">
            <v>62851</v>
          </cell>
          <cell r="GV38">
            <v>66721</v>
          </cell>
          <cell r="GW38">
            <v>1024726</v>
          </cell>
          <cell r="GX38">
            <v>26114.056</v>
          </cell>
          <cell r="GY38" t="str">
            <v>2017-2018</v>
          </cell>
          <cell r="GZ38">
            <v>104093.27099999999</v>
          </cell>
          <cell r="HA38">
            <v>260488</v>
          </cell>
          <cell r="HB38">
            <v>2963928</v>
          </cell>
          <cell r="HC38" t="str">
            <v>jun17 may18</v>
          </cell>
          <cell r="HD38">
            <v>54321</v>
          </cell>
          <cell r="HE38">
            <v>590598</v>
          </cell>
          <cell r="HF38" t="str">
            <v>jun17 may18</v>
          </cell>
          <cell r="HG38">
            <v>182000</v>
          </cell>
          <cell r="HH38">
            <v>2078000</v>
          </cell>
          <cell r="HI38" t="str">
            <v>jun17 may18</v>
          </cell>
          <cell r="HJ38">
            <v>86841</v>
          </cell>
          <cell r="HK38">
            <v>60722.64</v>
          </cell>
          <cell r="HL38" t="str">
            <v>jun17 may18</v>
          </cell>
          <cell r="HM38">
            <v>2138722.64</v>
          </cell>
          <cell r="HN38">
            <v>-2.0969590706560126E-2</v>
          </cell>
          <cell r="HO38">
            <v>798199582.01925993</v>
          </cell>
          <cell r="HP38">
            <v>10006.386713826045</v>
          </cell>
          <cell r="HQ38" t="str">
            <v>jun17 may18</v>
          </cell>
          <cell r="HU38">
            <v>680000</v>
          </cell>
          <cell r="HV38" t="str">
            <v>2017-18</v>
          </cell>
          <cell r="HW38">
            <v>1350000</v>
          </cell>
          <cell r="HX38" t="str">
            <v>2017-18</v>
          </cell>
          <cell r="HY38">
            <v>3400000</v>
          </cell>
          <cell r="HZ38" t="str">
            <v>2017-18</v>
          </cell>
          <cell r="IA38">
            <v>19890000</v>
          </cell>
          <cell r="IB38" t="str">
            <v>2017-18</v>
          </cell>
          <cell r="IC38">
            <v>41300000</v>
          </cell>
          <cell r="ID38" t="str">
            <v>2017-18</v>
          </cell>
          <cell r="IE38">
            <v>1550000</v>
          </cell>
          <cell r="IF38" t="str">
            <v>2017-18</v>
          </cell>
          <cell r="IG38">
            <v>6500000</v>
          </cell>
          <cell r="IH38" t="str">
            <v>2017-18</v>
          </cell>
          <cell r="II38">
            <v>73990000</v>
          </cell>
          <cell r="IJ38">
            <v>1.5656077472231611</v>
          </cell>
          <cell r="IK38" t="str">
            <v>2017-18</v>
          </cell>
          <cell r="IL38">
            <v>45.82</v>
          </cell>
          <cell r="IM38">
            <v>58.56</v>
          </cell>
          <cell r="IN38">
            <v>190</v>
          </cell>
          <cell r="IO38">
            <v>15.05</v>
          </cell>
          <cell r="IP38">
            <v>5.651883633677623</v>
          </cell>
          <cell r="IQ38">
            <v>18.899999999999999</v>
          </cell>
          <cell r="IR38">
            <v>5.93</v>
          </cell>
          <cell r="IS38">
            <v>5.67</v>
          </cell>
          <cell r="IT38">
            <v>11.35</v>
          </cell>
          <cell r="IU38">
            <v>0.88</v>
          </cell>
          <cell r="IV38">
            <v>17.899999999999999</v>
          </cell>
          <cell r="IY38">
            <v>1.84</v>
          </cell>
          <cell r="IZ38">
            <v>0.3</v>
          </cell>
          <cell r="JA38">
            <v>2000</v>
          </cell>
          <cell r="JF38">
            <v>7.2790890999999993</v>
          </cell>
          <cell r="JG38">
            <v>32.611568229999996</v>
          </cell>
          <cell r="JH38">
            <v>42.078935420000001</v>
          </cell>
          <cell r="JI38">
            <v>112.71831394</v>
          </cell>
          <cell r="JJ38">
            <v>353.87980923999999</v>
          </cell>
          <cell r="JK38">
            <v>53.300995930000006</v>
          </cell>
          <cell r="JL38">
            <v>1423.5479107199997</v>
          </cell>
          <cell r="JM38">
            <v>0.53729000000000005</v>
          </cell>
          <cell r="JN38">
            <v>159.43442061000002</v>
          </cell>
          <cell r="JO38">
            <v>14.796295740000001</v>
          </cell>
          <cell r="JP38">
            <v>0</v>
          </cell>
          <cell r="JQ38">
            <v>6.3159737400000004</v>
          </cell>
          <cell r="JR38">
            <v>0.55567546999999995</v>
          </cell>
          <cell r="JS38">
            <v>0</v>
          </cell>
          <cell r="JT38">
            <v>0</v>
          </cell>
          <cell r="JU38">
            <v>77.747644379999983</v>
          </cell>
          <cell r="JV38">
            <v>19.73367077</v>
          </cell>
          <cell r="JW38">
            <v>30.555309369999996</v>
          </cell>
          <cell r="JX38">
            <v>64.93271962</v>
          </cell>
          <cell r="JY38">
            <v>0</v>
          </cell>
          <cell r="JZ38">
            <v>6.5944000000000003E-2</v>
          </cell>
          <cell r="KA38">
            <v>0.16896902</v>
          </cell>
          <cell r="KB38">
            <v>3.4055402200000007</v>
          </cell>
          <cell r="KC38">
            <v>27.584629119999999</v>
          </cell>
          <cell r="KD38">
            <v>5.958630470000001</v>
          </cell>
          <cell r="KE38">
            <v>16.22583435</v>
          </cell>
          <cell r="KF38">
            <v>20.739923509999997</v>
          </cell>
          <cell r="KG38">
            <v>238.13722504999998</v>
          </cell>
          <cell r="KH38">
            <v>59.758826989999982</v>
          </cell>
          <cell r="KI38">
            <v>20.25540406</v>
          </cell>
          <cell r="KJ38">
            <v>1.09692184</v>
          </cell>
          <cell r="KK38">
            <v>7.2306138999999998</v>
          </cell>
          <cell r="KL38">
            <v>0.37862225000000005</v>
          </cell>
          <cell r="KM38">
            <v>5.7378744499999996</v>
          </cell>
          <cell r="KN38">
            <v>0.24300657000000001</v>
          </cell>
          <cell r="KO38">
            <v>2.8861959999999999E-2</v>
          </cell>
          <cell r="KP38">
            <v>9.1211910000000007E-2</v>
          </cell>
          <cell r="KQ38">
            <v>245.75594112000002</v>
          </cell>
          <cell r="KR38">
            <v>0</v>
          </cell>
          <cell r="KS38">
            <v>7.2598499999999996E-2</v>
          </cell>
          <cell r="KT38">
            <v>4.2981187700000003</v>
          </cell>
          <cell r="KU38">
            <v>0.55698730000000007</v>
          </cell>
          <cell r="KV38">
            <v>0</v>
          </cell>
          <cell r="KW38">
            <v>3.2587875199999998</v>
          </cell>
          <cell r="KX38">
            <v>0</v>
          </cell>
          <cell r="KY38">
            <v>0</v>
          </cell>
          <cell r="KZ38">
            <v>0.92198309000000012</v>
          </cell>
          <cell r="LA38">
            <v>0.45153338000000004</v>
          </cell>
          <cell r="LB38">
            <v>0</v>
          </cell>
          <cell r="LC38">
            <v>0</v>
          </cell>
          <cell r="LD38">
            <v>0</v>
          </cell>
          <cell r="LE38">
            <v>0</v>
          </cell>
          <cell r="LF38">
            <v>0</v>
          </cell>
          <cell r="LG38">
            <v>22.06957148</v>
          </cell>
          <cell r="LH38">
            <v>2.4813035599999997</v>
          </cell>
          <cell r="LI38">
            <v>0</v>
          </cell>
          <cell r="LJ38">
            <v>0</v>
          </cell>
          <cell r="LK38">
            <v>1.9802235800000001</v>
          </cell>
          <cell r="LL38">
            <v>2.39479877</v>
          </cell>
          <cell r="LM38">
            <v>0.98300116000000004</v>
          </cell>
          <cell r="LN38">
            <v>0.17609384</v>
          </cell>
          <cell r="LO38">
            <v>7.423649769999999</v>
          </cell>
          <cell r="LQ38">
            <v>2092.1966799299998</v>
          </cell>
          <cell r="LR38">
            <v>6.8716492100000002</v>
          </cell>
          <cell r="LS38">
            <v>50.288980139999993</v>
          </cell>
          <cell r="LT38">
            <v>0.23491302</v>
          </cell>
          <cell r="LU38">
            <v>251.83828260000001</v>
          </cell>
          <cell r="LV38">
            <v>3.2587875199999998</v>
          </cell>
          <cell r="LW38">
            <v>0.45153338000000004</v>
          </cell>
          <cell r="LX38">
            <v>0</v>
          </cell>
          <cell r="LZ38">
            <v>26.83</v>
          </cell>
          <cell r="MA38">
            <v>24.64</v>
          </cell>
          <cell r="MH38">
            <v>49.81</v>
          </cell>
          <cell r="MI38">
            <v>16.690000000000001</v>
          </cell>
          <cell r="MJ38">
            <v>15.7</v>
          </cell>
          <cell r="ML38">
            <v>22.12</v>
          </cell>
          <cell r="MM38">
            <v>21.79</v>
          </cell>
          <cell r="MO38">
            <v>16.47</v>
          </cell>
          <cell r="MP38">
            <v>46.44</v>
          </cell>
          <cell r="MQ38">
            <v>37.69</v>
          </cell>
          <cell r="MU38">
            <v>29.3</v>
          </cell>
          <cell r="MY38">
            <v>38.75</v>
          </cell>
          <cell r="MZ38">
            <v>117.4</v>
          </cell>
          <cell r="NA38">
            <v>43.28</v>
          </cell>
          <cell r="NB38">
            <v>149.41999999999999</v>
          </cell>
          <cell r="NC38">
            <v>23.89</v>
          </cell>
          <cell r="NE38">
            <v>125.79</v>
          </cell>
        </row>
        <row r="39">
          <cell r="A39">
            <v>43252</v>
          </cell>
          <cell r="B39">
            <v>6</v>
          </cell>
          <cell r="C39">
            <v>2018</v>
          </cell>
          <cell r="D39">
            <v>39</v>
          </cell>
          <cell r="E39">
            <v>43252</v>
          </cell>
          <cell r="F39">
            <v>27.094999999999999</v>
          </cell>
          <cell r="G39">
            <v>144.80000000000001</v>
          </cell>
          <cell r="H39">
            <v>12648.96</v>
          </cell>
          <cell r="I39">
            <v>98</v>
          </cell>
          <cell r="J39">
            <v>430</v>
          </cell>
          <cell r="K39">
            <v>2.4</v>
          </cell>
          <cell r="L39">
            <v>30.9</v>
          </cell>
          <cell r="N39">
            <v>1.7025555555555556</v>
          </cell>
          <cell r="O39">
            <v>1.5478888888888889</v>
          </cell>
          <cell r="P39">
            <v>44.035396111111112</v>
          </cell>
          <cell r="Q39">
            <v>505</v>
          </cell>
          <cell r="R39">
            <v>5050</v>
          </cell>
          <cell r="S39">
            <v>162.5</v>
          </cell>
          <cell r="T39">
            <v>305</v>
          </cell>
          <cell r="U39">
            <v>167.095</v>
          </cell>
          <cell r="V39">
            <v>284.65499999999997</v>
          </cell>
          <cell r="W39">
            <v>131.05000000000001</v>
          </cell>
          <cell r="X39">
            <v>187.245</v>
          </cell>
          <cell r="Y39">
            <v>4402.9375</v>
          </cell>
          <cell r="Z39">
            <v>8263.9750000000004</v>
          </cell>
          <cell r="AA39">
            <v>4527.4390249999997</v>
          </cell>
          <cell r="AB39">
            <v>7712.7272249999987</v>
          </cell>
          <cell r="AC39">
            <v>3550.7997500000001</v>
          </cell>
          <cell r="AD39">
            <v>5073.4032749999997</v>
          </cell>
          <cell r="AE39">
            <v>5588.5469625000005</v>
          </cell>
          <cell r="AF39">
            <v>18304.78947368421</v>
          </cell>
          <cell r="AG39">
            <v>7020</v>
          </cell>
          <cell r="AH39">
            <v>26040</v>
          </cell>
          <cell r="AI39">
            <v>11.46</v>
          </cell>
          <cell r="AJ39">
            <v>11.04</v>
          </cell>
          <cell r="AK39">
            <v>7.31</v>
          </cell>
          <cell r="AL39">
            <v>6.43</v>
          </cell>
          <cell r="AM39">
            <v>9.157</v>
          </cell>
          <cell r="AN39">
            <v>22.660395480225986</v>
          </cell>
          <cell r="AO39">
            <v>20.799473684210529</v>
          </cell>
          <cell r="AP39">
            <v>21.729934582218256</v>
          </cell>
          <cell r="AQ39">
            <v>12.653684210526317</v>
          </cell>
          <cell r="AR39">
            <v>13.988947368421053</v>
          </cell>
          <cell r="AS39">
            <v>18.500294117647059</v>
          </cell>
          <cell r="AT39">
            <v>14.899444444444448</v>
          </cell>
          <cell r="AU39">
            <v>15.796228643504186</v>
          </cell>
          <cell r="AV39">
            <v>5.7684615384615405</v>
          </cell>
          <cell r="AW39">
            <v>8.6589473684210514</v>
          </cell>
          <cell r="AX39">
            <v>11.28736842105263</v>
          </cell>
          <cell r="AY39">
            <v>17.286315789473679</v>
          </cell>
          <cell r="AZ39">
            <v>11.875263157894736</v>
          </cell>
          <cell r="BA39">
            <v>5.9968421052631555</v>
          </cell>
          <cell r="BB39">
            <v>11.61144736842105</v>
          </cell>
          <cell r="BC39">
            <v>696</v>
          </cell>
          <cell r="BD39">
            <v>807</v>
          </cell>
          <cell r="BE39">
            <v>690</v>
          </cell>
          <cell r="BF39">
            <v>410</v>
          </cell>
          <cell r="BG39">
            <v>650.75</v>
          </cell>
          <cell r="BH39">
            <v>53.11</v>
          </cell>
          <cell r="BI39">
            <v>11.981</v>
          </cell>
          <cell r="BJ39">
            <v>65.090999999999994</v>
          </cell>
          <cell r="BK39">
            <v>40.878999999999998</v>
          </cell>
          <cell r="BL39">
            <v>41.600999999999999</v>
          </cell>
          <cell r="BM39">
            <v>41.239999999999995</v>
          </cell>
          <cell r="BN39">
            <v>6.75</v>
          </cell>
          <cell r="BO39">
            <v>30.695000000000011</v>
          </cell>
          <cell r="BP39">
            <v>21.424833333333336</v>
          </cell>
          <cell r="BQ39">
            <v>29.767983333333344</v>
          </cell>
          <cell r="BR39">
            <v>23.97</v>
          </cell>
          <cell r="BS39">
            <v>100</v>
          </cell>
          <cell r="BT39">
            <v>123.91</v>
          </cell>
          <cell r="BU39">
            <v>1571.73</v>
          </cell>
          <cell r="BV39">
            <v>40.200000000000003</v>
          </cell>
          <cell r="BY39">
            <v>227.6941029080057</v>
          </cell>
          <cell r="BZ39">
            <v>208.72424109164217</v>
          </cell>
          <cell r="CA39">
            <v>217.07296722276496</v>
          </cell>
          <cell r="CB39">
            <v>219.46735296254599</v>
          </cell>
          <cell r="CC39">
            <v>217.05214177093262</v>
          </cell>
          <cell r="CD39">
            <v>226.33956241532803</v>
          </cell>
          <cell r="CE39">
            <v>200.14573062572768</v>
          </cell>
          <cell r="CF39">
            <v>225.61261913315045</v>
          </cell>
          <cell r="CG39">
            <v>217.61506235507497</v>
          </cell>
          <cell r="CH39">
            <v>240.53341084721262</v>
          </cell>
          <cell r="CI39">
            <v>200.11482075056054</v>
          </cell>
          <cell r="CJ39">
            <v>178.87559520447658</v>
          </cell>
          <cell r="CK39">
            <v>213.44048581257985</v>
          </cell>
          <cell r="CL39">
            <v>226.84856791685232</v>
          </cell>
          <cell r="CM39">
            <v>185.99779367304356</v>
          </cell>
          <cell r="CN39">
            <v>173.12255500030358</v>
          </cell>
          <cell r="CO39">
            <v>199.85235060069482</v>
          </cell>
          <cell r="CP39">
            <v>234.15027290424507</v>
          </cell>
          <cell r="CQ39">
            <v>175.35631998677746</v>
          </cell>
          <cell r="CR39">
            <v>186.25921339844763</v>
          </cell>
          <cell r="CS39">
            <v>180.80776669261255</v>
          </cell>
          <cell r="CT39">
            <v>176.4313968291911</v>
          </cell>
          <cell r="CU39">
            <v>187.44483387369976</v>
          </cell>
          <cell r="CV39">
            <v>193.15462402109068</v>
          </cell>
          <cell r="CW39">
            <v>193.15462402109068</v>
          </cell>
          <cell r="CX39">
            <v>191.25136063862706</v>
          </cell>
          <cell r="CY39">
            <v>174.63398859348743</v>
          </cell>
          <cell r="CZ39">
            <v>203.0372414594467</v>
          </cell>
          <cell r="DA39">
            <v>178.57818936589297</v>
          </cell>
          <cell r="DB39">
            <v>186.02025031849735</v>
          </cell>
          <cell r="DC39">
            <v>213.33048735382602</v>
          </cell>
          <cell r="DD39">
            <v>208.61748539325387</v>
          </cell>
          <cell r="DE39">
            <v>196.40208016078606</v>
          </cell>
          <cell r="DF39">
            <v>215.2292783272415</v>
          </cell>
          <cell r="DG39">
            <v>205.81567924401378</v>
          </cell>
          <cell r="DH39">
            <v>184.45250424831704</v>
          </cell>
          <cell r="DI39">
            <v>178.7481822142106</v>
          </cell>
          <cell r="DK39">
            <v>327000</v>
          </cell>
          <cell r="DL39" t="str">
            <v>2017-18</v>
          </cell>
          <cell r="DM39">
            <v>202000</v>
          </cell>
          <cell r="DN39" t="str">
            <v>2016-17</v>
          </cell>
          <cell r="DO39">
            <v>1070000</v>
          </cell>
          <cell r="DP39" t="str">
            <v>2017-18</v>
          </cell>
          <cell r="DQ39">
            <v>1700000</v>
          </cell>
          <cell r="DR39" t="str">
            <v>2017-18</v>
          </cell>
          <cell r="DS39">
            <v>5400000</v>
          </cell>
          <cell r="DT39" t="str">
            <v>2017-18</v>
          </cell>
          <cell r="DU39">
            <v>16900000</v>
          </cell>
          <cell r="DV39" t="str">
            <v>2017-18</v>
          </cell>
          <cell r="DW39">
            <v>660000</v>
          </cell>
          <cell r="DX39" t="str">
            <v>2017-18</v>
          </cell>
          <cell r="DY39">
            <v>6135000</v>
          </cell>
          <cell r="DZ39" t="str">
            <v>2018-19</v>
          </cell>
          <cell r="EA39">
            <v>31865000</v>
          </cell>
          <cell r="EB39">
            <v>440000</v>
          </cell>
          <cell r="EC39" t="str">
            <v>2017-18</v>
          </cell>
          <cell r="ED39">
            <v>169595</v>
          </cell>
          <cell r="EE39">
            <v>2018</v>
          </cell>
          <cell r="EF39">
            <v>218233</v>
          </cell>
          <cell r="EG39">
            <v>2018</v>
          </cell>
          <cell r="EH39">
            <v>54793181</v>
          </cell>
          <cell r="EI39">
            <v>2018</v>
          </cell>
          <cell r="EJ39">
            <v>5291453</v>
          </cell>
          <cell r="EK39">
            <v>2018</v>
          </cell>
          <cell r="EL39">
            <v>14339908</v>
          </cell>
          <cell r="EM39">
            <v>2018</v>
          </cell>
          <cell r="EN39">
            <v>3364725</v>
          </cell>
          <cell r="EO39">
            <v>2017</v>
          </cell>
          <cell r="EP39">
            <v>6552</v>
          </cell>
          <cell r="EQ39">
            <v>3003036</v>
          </cell>
          <cell r="ER39">
            <v>33739</v>
          </cell>
          <cell r="ET39">
            <v>22340</v>
          </cell>
          <cell r="EU39">
            <v>17224</v>
          </cell>
          <cell r="EV39">
            <v>9128</v>
          </cell>
          <cell r="EW39">
            <v>17414</v>
          </cell>
          <cell r="EX39">
            <v>66106</v>
          </cell>
          <cell r="EY39">
            <v>19463</v>
          </cell>
          <cell r="EZ39">
            <v>74231</v>
          </cell>
          <cell r="FA39">
            <v>24553</v>
          </cell>
          <cell r="FB39">
            <v>23958</v>
          </cell>
          <cell r="FC39">
            <v>48511</v>
          </cell>
          <cell r="FD39">
            <v>66959.290000000008</v>
          </cell>
          <cell r="FF39">
            <v>814000</v>
          </cell>
          <cell r="FG39" t="str">
            <v>2017-18</v>
          </cell>
          <cell r="FH39">
            <v>1370000</v>
          </cell>
          <cell r="FI39" t="str">
            <v>2017-18</v>
          </cell>
          <cell r="FJ39">
            <v>3740000</v>
          </cell>
          <cell r="FK39" t="str">
            <v>2017-18</v>
          </cell>
          <cell r="FL39">
            <v>3500000</v>
          </cell>
          <cell r="FM39" t="str">
            <v>2017-18</v>
          </cell>
          <cell r="FN39">
            <v>32000000</v>
          </cell>
          <cell r="FO39" t="str">
            <v>2017-18</v>
          </cell>
          <cell r="FP39">
            <v>37200000</v>
          </cell>
          <cell r="FQ39" t="str">
            <v>2017-18</v>
          </cell>
          <cell r="FR39">
            <v>1600000</v>
          </cell>
          <cell r="FS39" t="str">
            <v>2017-18</v>
          </cell>
          <cell r="FT39">
            <v>18500000</v>
          </cell>
          <cell r="FU39" t="str">
            <v>2017-18</v>
          </cell>
          <cell r="FV39">
            <v>96540000</v>
          </cell>
          <cell r="FW39">
            <v>812000</v>
          </cell>
          <cell r="FX39" t="str">
            <v>2017-18</v>
          </cell>
          <cell r="FY39">
            <v>106665.15700000001</v>
          </cell>
          <cell r="FZ39">
            <v>779475.77300000004</v>
          </cell>
          <cell r="GA39" t="str">
            <v>jul17 jun18</v>
          </cell>
          <cell r="GB39">
            <v>25733114</v>
          </cell>
          <cell r="GD39">
            <v>1989400</v>
          </cell>
          <cell r="GE39">
            <v>431374</v>
          </cell>
          <cell r="GF39">
            <v>1006779</v>
          </cell>
          <cell r="GG39">
            <v>114118</v>
          </cell>
          <cell r="GH39">
            <v>1552271</v>
          </cell>
          <cell r="GI39">
            <v>1302556</v>
          </cell>
          <cell r="GJ39">
            <v>685541.2</v>
          </cell>
          <cell r="GK39">
            <v>1103042.8600000001</v>
          </cell>
          <cell r="GL39">
            <v>287064.67</v>
          </cell>
          <cell r="GM39">
            <v>260870.73</v>
          </cell>
          <cell r="GN39">
            <v>2336519.46</v>
          </cell>
          <cell r="GO39">
            <v>195071</v>
          </cell>
          <cell r="GP39">
            <v>79468</v>
          </cell>
          <cell r="GQ39">
            <v>19549</v>
          </cell>
          <cell r="GR39">
            <v>42800</v>
          </cell>
          <cell r="GS39">
            <v>43386.47</v>
          </cell>
          <cell r="GT39">
            <v>2483769</v>
          </cell>
          <cell r="GU39">
            <v>38709</v>
          </cell>
          <cell r="GV39">
            <v>42448</v>
          </cell>
          <cell r="GW39">
            <v>1027808</v>
          </cell>
          <cell r="GX39">
            <v>26114.056</v>
          </cell>
          <cell r="GY39" t="str">
            <v>2017-2018</v>
          </cell>
          <cell r="GZ39">
            <v>104093.27099999999</v>
          </cell>
          <cell r="HA39">
            <v>258200</v>
          </cell>
          <cell r="HB39">
            <v>2986128</v>
          </cell>
          <cell r="HC39" t="str">
            <v>jul17 jun18</v>
          </cell>
          <cell r="HD39">
            <v>53048</v>
          </cell>
          <cell r="HE39">
            <v>595749</v>
          </cell>
          <cell r="HF39" t="str">
            <v>jul17 jun18</v>
          </cell>
          <cell r="HG39">
            <v>169000</v>
          </cell>
          <cell r="HH39">
            <v>2059000</v>
          </cell>
          <cell r="HI39" t="str">
            <v>jul17 jun18</v>
          </cell>
          <cell r="HJ39">
            <v>68712.84</v>
          </cell>
          <cell r="HK39">
            <v>59893.310400000002</v>
          </cell>
          <cell r="HL39" t="str">
            <v>jul17 jun18</v>
          </cell>
          <cell r="HM39">
            <v>2118893.3103999998</v>
          </cell>
          <cell r="HN39">
            <v>-3.2227248446308643E-2</v>
          </cell>
          <cell r="HO39">
            <v>833671340.54216492</v>
          </cell>
          <cell r="HP39">
            <v>9978.6250999853091</v>
          </cell>
          <cell r="HQ39" t="str">
            <v>jul17 jun18</v>
          </cell>
          <cell r="HU39">
            <v>680000</v>
          </cell>
          <cell r="HV39" t="str">
            <v>2017-18</v>
          </cell>
          <cell r="HW39">
            <v>1350000</v>
          </cell>
          <cell r="HX39" t="str">
            <v>2017-18</v>
          </cell>
          <cell r="HY39">
            <v>3400000</v>
          </cell>
          <cell r="HZ39" t="str">
            <v>2017-18</v>
          </cell>
          <cell r="IA39">
            <v>19890000</v>
          </cell>
          <cell r="IB39" t="str">
            <v>2017-18</v>
          </cell>
          <cell r="IC39">
            <v>41300000</v>
          </cell>
          <cell r="ID39" t="str">
            <v>2017-18</v>
          </cell>
          <cell r="IE39">
            <v>1550000</v>
          </cell>
          <cell r="IF39" t="str">
            <v>2017-18</v>
          </cell>
          <cell r="IG39">
            <v>6500000</v>
          </cell>
          <cell r="IH39" t="str">
            <v>2017-18</v>
          </cell>
          <cell r="II39">
            <v>73990000</v>
          </cell>
          <cell r="IJ39">
            <v>1.5656077472231611</v>
          </cell>
          <cell r="IK39" t="str">
            <v>2017-18</v>
          </cell>
          <cell r="IL39">
            <v>42.71</v>
          </cell>
          <cell r="IM39">
            <v>57.69</v>
          </cell>
          <cell r="IN39">
            <v>190</v>
          </cell>
          <cell r="IO39">
            <v>15.48</v>
          </cell>
          <cell r="IP39">
            <v>5.651883633677623</v>
          </cell>
          <cell r="IQ39">
            <v>18.899999999999999</v>
          </cell>
          <cell r="IR39">
            <v>5.93</v>
          </cell>
          <cell r="IS39">
            <v>5.67</v>
          </cell>
          <cell r="IT39">
            <v>11.35</v>
          </cell>
          <cell r="IU39">
            <v>0.88</v>
          </cell>
          <cell r="IV39">
            <v>17.899999999999999</v>
          </cell>
          <cell r="IY39">
            <v>1.84</v>
          </cell>
          <cell r="IZ39">
            <v>0.3</v>
          </cell>
          <cell r="JA39">
            <v>2000</v>
          </cell>
          <cell r="JF39">
            <v>12.59487073</v>
          </cell>
          <cell r="JG39">
            <v>12.703448180000002</v>
          </cell>
          <cell r="JH39">
            <v>40.026250529999999</v>
          </cell>
          <cell r="JI39">
            <v>72.932403449999995</v>
          </cell>
          <cell r="JJ39">
            <v>344.37085227000006</v>
          </cell>
          <cell r="JK39">
            <v>43.921119019999999</v>
          </cell>
          <cell r="JL39">
            <v>1309.37362224</v>
          </cell>
          <cell r="JM39">
            <v>1.1227058000000001</v>
          </cell>
          <cell r="JN39">
            <v>109.37541401999999</v>
          </cell>
          <cell r="JO39">
            <v>13.665272939999999</v>
          </cell>
          <cell r="JP39">
            <v>0</v>
          </cell>
          <cell r="JQ39">
            <v>2.4679187000000002</v>
          </cell>
          <cell r="JR39">
            <v>0.63118772000000001</v>
          </cell>
          <cell r="JS39">
            <v>0</v>
          </cell>
          <cell r="JT39">
            <v>0</v>
          </cell>
          <cell r="JU39">
            <v>80.959532980000034</v>
          </cell>
          <cell r="JV39">
            <v>12.714984429999999</v>
          </cell>
          <cell r="JW39">
            <v>18.892008069999999</v>
          </cell>
          <cell r="JX39">
            <v>111.58826637999999</v>
          </cell>
          <cell r="JY39">
            <v>0</v>
          </cell>
          <cell r="JZ39">
            <v>1.00674639</v>
          </cell>
          <cell r="KA39">
            <v>8.4619990000000006E-2</v>
          </cell>
          <cell r="KB39">
            <v>2.29048951</v>
          </cell>
          <cell r="KC39">
            <v>42.380244740000002</v>
          </cell>
          <cell r="KD39">
            <v>10.001862440000002</v>
          </cell>
          <cell r="KE39">
            <v>17.92230434</v>
          </cell>
          <cell r="KF39">
            <v>24.8122647</v>
          </cell>
          <cell r="KG39">
            <v>233.57258561</v>
          </cell>
          <cell r="KH39">
            <v>52.334974819999992</v>
          </cell>
          <cell r="KI39">
            <v>26.853851200000001</v>
          </cell>
          <cell r="KJ39">
            <v>1.1151027400000002</v>
          </cell>
          <cell r="KK39">
            <v>5.392046259999999</v>
          </cell>
          <cell r="KL39">
            <v>0.57983846000000006</v>
          </cell>
          <cell r="KM39">
            <v>6.4082672800000005</v>
          </cell>
          <cell r="KN39">
            <v>0.14100648000000002</v>
          </cell>
          <cell r="KO39">
            <v>3.3184592399999997</v>
          </cell>
          <cell r="KP39">
            <v>0</v>
          </cell>
          <cell r="KQ39">
            <v>209.40094021000002</v>
          </cell>
          <cell r="KR39">
            <v>0</v>
          </cell>
          <cell r="KS39">
            <v>0.74642542000000001</v>
          </cell>
          <cell r="KT39">
            <v>2.76442056</v>
          </cell>
          <cell r="KU39">
            <v>0.43050207000000001</v>
          </cell>
          <cell r="KV39">
            <v>0</v>
          </cell>
          <cell r="KW39">
            <v>3.2967333100000005</v>
          </cell>
          <cell r="KX39">
            <v>0</v>
          </cell>
          <cell r="KY39">
            <v>0</v>
          </cell>
          <cell r="KZ39">
            <v>0.87792029000000005</v>
          </cell>
          <cell r="LA39">
            <v>0.6952371799999999</v>
          </cell>
          <cell r="LB39">
            <v>0</v>
          </cell>
          <cell r="LC39">
            <v>0</v>
          </cell>
          <cell r="LD39">
            <v>0</v>
          </cell>
          <cell r="LE39">
            <v>0</v>
          </cell>
          <cell r="LF39">
            <v>0</v>
          </cell>
          <cell r="LG39">
            <v>19.420166450000004</v>
          </cell>
          <cell r="LH39">
            <v>2.01291361</v>
          </cell>
          <cell r="LI39">
            <v>0</v>
          </cell>
          <cell r="LJ39">
            <v>0</v>
          </cell>
          <cell r="LK39">
            <v>3.33528161</v>
          </cell>
          <cell r="LL39">
            <v>1.9905471000000001</v>
          </cell>
          <cell r="LM39">
            <v>1.7058544900000001</v>
          </cell>
          <cell r="LN39">
            <v>0</v>
          </cell>
          <cell r="LO39">
            <v>8.9699114699999996</v>
          </cell>
          <cell r="LQ39">
            <v>1877.2012483100002</v>
          </cell>
          <cell r="LR39">
            <v>3.09910642</v>
          </cell>
          <cell r="LS39">
            <v>31.606992499999997</v>
          </cell>
          <cell r="LT39">
            <v>1.09136638</v>
          </cell>
          <cell r="LU39">
            <v>220.01509863000001</v>
          </cell>
          <cell r="LV39">
            <v>3.2967333100000005</v>
          </cell>
          <cell r="LW39">
            <v>0.6952371799999999</v>
          </cell>
          <cell r="LX39">
            <v>0</v>
          </cell>
          <cell r="LZ39">
            <v>28.67</v>
          </cell>
          <cell r="MA39">
            <v>25.99</v>
          </cell>
          <cell r="MH39">
            <v>55.19</v>
          </cell>
          <cell r="MI39">
            <v>20.99</v>
          </cell>
          <cell r="MJ39">
            <v>15.41</v>
          </cell>
          <cell r="ML39">
            <v>22.54</v>
          </cell>
          <cell r="MM39">
            <v>33.67</v>
          </cell>
          <cell r="MO39">
            <v>17.600000000000001</v>
          </cell>
          <cell r="MP39">
            <v>46.77</v>
          </cell>
          <cell r="MQ39">
            <v>38.299999999999997</v>
          </cell>
          <cell r="MU39">
            <v>23.96</v>
          </cell>
          <cell r="MY39">
            <v>41.21</v>
          </cell>
          <cell r="MZ39">
            <v>114.5</v>
          </cell>
          <cell r="NA39">
            <v>47.31</v>
          </cell>
          <cell r="NB39">
            <v>155.41</v>
          </cell>
          <cell r="NC39">
            <v>24.58</v>
          </cell>
          <cell r="NE39">
            <v>127.7</v>
          </cell>
        </row>
        <row r="40">
          <cell r="A40">
            <v>43282</v>
          </cell>
          <cell r="B40">
            <v>7</v>
          </cell>
          <cell r="C40">
            <v>2018</v>
          </cell>
          <cell r="D40">
            <v>40</v>
          </cell>
          <cell r="E40">
            <v>43282</v>
          </cell>
          <cell r="F40">
            <v>28.066666666666666</v>
          </cell>
          <cell r="G40">
            <v>149.30000000000001</v>
          </cell>
          <cell r="H40">
            <v>12648.96</v>
          </cell>
          <cell r="I40">
            <v>95</v>
          </cell>
          <cell r="J40">
            <v>430</v>
          </cell>
          <cell r="K40">
            <v>2.4</v>
          </cell>
          <cell r="L40">
            <v>30.2</v>
          </cell>
          <cell r="N40">
            <v>1.6268095238095239</v>
          </cell>
          <cell r="O40">
            <v>1.4728095238095238</v>
          </cell>
          <cell r="P40">
            <v>43.497987301587308</v>
          </cell>
          <cell r="Q40">
            <v>530</v>
          </cell>
          <cell r="R40">
            <v>5300</v>
          </cell>
          <cell r="S40">
            <v>160.47619047619048</v>
          </cell>
          <cell r="T40">
            <v>301.95238095238096</v>
          </cell>
          <cell r="U40">
            <v>162.50476190476189</v>
          </cell>
          <cell r="V40">
            <v>277.647619047619</v>
          </cell>
          <cell r="W40">
            <v>127.71428571428571</v>
          </cell>
          <cell r="X40">
            <v>194.20952380952383</v>
          </cell>
          <cell r="Y40">
            <v>4504.0317460317465</v>
          </cell>
          <cell r="Z40">
            <v>8474.7968253968265</v>
          </cell>
          <cell r="AA40">
            <v>4560.9669841269833</v>
          </cell>
          <cell r="AB40">
            <v>7792.6431746031731</v>
          </cell>
          <cell r="AC40">
            <v>3584.5142857142855</v>
          </cell>
          <cell r="AD40">
            <v>5450.8139682539686</v>
          </cell>
          <cell r="AE40">
            <v>5727.9611640211642</v>
          </cell>
          <cell r="AF40">
            <v>20005.150000000001</v>
          </cell>
          <cell r="AG40">
            <v>7020</v>
          </cell>
          <cell r="AH40">
            <v>26040</v>
          </cell>
          <cell r="AI40">
            <v>11.11</v>
          </cell>
          <cell r="AJ40">
            <v>6.16</v>
          </cell>
          <cell r="AK40">
            <v>7.33</v>
          </cell>
          <cell r="AL40">
            <v>6.03</v>
          </cell>
          <cell r="AM40">
            <v>8.7100000000000009</v>
          </cell>
          <cell r="AN40">
            <v>23.794923076923077</v>
          </cell>
          <cell r="AO40">
            <v>19.669047619047621</v>
          </cell>
          <cell r="AP40">
            <v>21.731985347985351</v>
          </cell>
          <cell r="AQ40">
            <v>11.814761904761898</v>
          </cell>
          <cell r="AR40">
            <v>13.887619047619047</v>
          </cell>
          <cell r="AS40">
            <v>14.831666666666674</v>
          </cell>
          <cell r="AT40">
            <v>14.368095238095236</v>
          </cell>
          <cell r="AU40">
            <v>14.362460317460318</v>
          </cell>
          <cell r="AV40">
            <v>5.4441414141414182</v>
          </cell>
          <cell r="AW40">
            <v>8.7438095238095208</v>
          </cell>
          <cell r="AX40">
            <v>10.960476190476191</v>
          </cell>
          <cell r="AY40">
            <v>33.936190476190475</v>
          </cell>
          <cell r="AZ40">
            <v>10.168571428571429</v>
          </cell>
          <cell r="BA40">
            <v>6.2019047619047623</v>
          </cell>
          <cell r="BB40">
            <v>15.316785714285716</v>
          </cell>
          <cell r="BC40">
            <v>696</v>
          </cell>
          <cell r="BD40">
            <v>807</v>
          </cell>
          <cell r="BE40">
            <v>690</v>
          </cell>
          <cell r="BF40">
            <v>410</v>
          </cell>
          <cell r="BG40">
            <v>650.75</v>
          </cell>
          <cell r="BH40">
            <v>53.11</v>
          </cell>
          <cell r="BI40">
            <v>11.981</v>
          </cell>
          <cell r="BJ40">
            <v>65.090999999999994</v>
          </cell>
          <cell r="BK40">
            <v>42.741999999999997</v>
          </cell>
          <cell r="BL40">
            <v>44.034999999999997</v>
          </cell>
          <cell r="BM40">
            <v>43.388499999999993</v>
          </cell>
          <cell r="BN40">
            <v>7.12</v>
          </cell>
          <cell r="BO40">
            <v>30.57857142857144</v>
          </cell>
          <cell r="BP40">
            <v>21.659499999999998</v>
          </cell>
          <cell r="BQ40">
            <v>29.686664285714293</v>
          </cell>
          <cell r="BR40">
            <v>24.75</v>
          </cell>
          <cell r="BS40">
            <v>100</v>
          </cell>
          <cell r="BT40">
            <v>137.82</v>
          </cell>
          <cell r="BU40">
            <v>1613.46</v>
          </cell>
          <cell r="BV40">
            <v>41.1</v>
          </cell>
          <cell r="BY40">
            <v>228.42416080645432</v>
          </cell>
          <cell r="BZ40">
            <v>210.56975689907171</v>
          </cell>
          <cell r="CA40">
            <v>220.33481443755898</v>
          </cell>
          <cell r="CB40">
            <v>222.85022878517776</v>
          </cell>
          <cell r="CC40">
            <v>219.50037937650566</v>
          </cell>
          <cell r="CD40">
            <v>229.00087778726589</v>
          </cell>
          <cell r="CE40">
            <v>202.52906050528713</v>
          </cell>
          <cell r="CF40">
            <v>231.49894677550904</v>
          </cell>
          <cell r="CG40">
            <v>220.95238461121741</v>
          </cell>
          <cell r="CH40">
            <v>252.06655023487619</v>
          </cell>
          <cell r="CI40">
            <v>201.25584151013038</v>
          </cell>
          <cell r="CJ40">
            <v>180.05936044702679</v>
          </cell>
          <cell r="CK40">
            <v>213.69408564637865</v>
          </cell>
          <cell r="CL40">
            <v>296.0014336116563</v>
          </cell>
          <cell r="CM40">
            <v>179.99309062566732</v>
          </cell>
          <cell r="CN40">
            <v>175.04787948353075</v>
          </cell>
          <cell r="CO40">
            <v>216.18412234180826</v>
          </cell>
          <cell r="CP40">
            <v>226.74883905653317</v>
          </cell>
          <cell r="CQ40">
            <v>177.55879645912262</v>
          </cell>
          <cell r="CR40">
            <v>185.72032558839368</v>
          </cell>
          <cell r="CS40">
            <v>181.63956102375815</v>
          </cell>
          <cell r="CT40">
            <v>176.72578014598329</v>
          </cell>
          <cell r="CU40">
            <v>189.04312427649609</v>
          </cell>
          <cell r="CV40">
            <v>189.9788879484162</v>
          </cell>
          <cell r="CW40">
            <v>189.9788879484162</v>
          </cell>
          <cell r="CX40">
            <v>189.6669667244428</v>
          </cell>
          <cell r="CY40">
            <v>175.34878130342767</v>
          </cell>
          <cell r="CZ40">
            <v>204.30563662728426</v>
          </cell>
          <cell r="DA40">
            <v>179.506177563481</v>
          </cell>
          <cell r="DB40">
            <v>188.85340585477292</v>
          </cell>
          <cell r="DC40">
            <v>215.25527059766065</v>
          </cell>
          <cell r="DD40">
            <v>210.15018148439086</v>
          </cell>
          <cell r="DE40">
            <v>197.51632740871926</v>
          </cell>
          <cell r="DF40">
            <v>216.7704998876716</v>
          </cell>
          <cell r="DG40">
            <v>207.14341364819543</v>
          </cell>
          <cell r="DH40">
            <v>186.1165609195987</v>
          </cell>
          <cell r="DI40">
            <v>180.19796754032785</v>
          </cell>
          <cell r="DK40">
            <v>327000</v>
          </cell>
          <cell r="DL40" t="str">
            <v>2017-18</v>
          </cell>
          <cell r="DM40">
            <v>202000</v>
          </cell>
          <cell r="DN40" t="str">
            <v>2016-17</v>
          </cell>
          <cell r="DO40">
            <v>1080000</v>
          </cell>
          <cell r="DP40" t="str">
            <v>2018-19</v>
          </cell>
          <cell r="DQ40">
            <v>1700000</v>
          </cell>
          <cell r="DR40" t="str">
            <v>2017-18</v>
          </cell>
          <cell r="DS40">
            <v>5400000</v>
          </cell>
          <cell r="DT40" t="str">
            <v>2017-18</v>
          </cell>
          <cell r="DU40">
            <v>17100000</v>
          </cell>
          <cell r="DV40" t="str">
            <v>2017-18</v>
          </cell>
          <cell r="DW40">
            <v>640000</v>
          </cell>
          <cell r="DX40" t="str">
            <v>2017-18</v>
          </cell>
          <cell r="DY40">
            <v>6200000</v>
          </cell>
          <cell r="DZ40" t="str">
            <v>2018-19</v>
          </cell>
          <cell r="EA40">
            <v>32120000</v>
          </cell>
          <cell r="EB40">
            <v>490000</v>
          </cell>
          <cell r="EC40" t="str">
            <v>2017-18</v>
          </cell>
          <cell r="ED40">
            <v>169595</v>
          </cell>
          <cell r="EE40">
            <v>2018</v>
          </cell>
          <cell r="EF40">
            <v>218233</v>
          </cell>
          <cell r="EG40">
            <v>2018</v>
          </cell>
          <cell r="EH40">
            <v>54793181</v>
          </cell>
          <cell r="EI40">
            <v>2018</v>
          </cell>
          <cell r="EJ40">
            <v>5291453</v>
          </cell>
          <cell r="EK40">
            <v>2018</v>
          </cell>
          <cell r="EL40">
            <v>14339908</v>
          </cell>
          <cell r="EM40">
            <v>2018</v>
          </cell>
          <cell r="EN40">
            <v>3364725</v>
          </cell>
          <cell r="EO40">
            <v>2017</v>
          </cell>
          <cell r="EP40">
            <v>6552</v>
          </cell>
          <cell r="EQ40">
            <v>3003036</v>
          </cell>
          <cell r="ER40">
            <v>33739</v>
          </cell>
          <cell r="ET40">
            <v>22340</v>
          </cell>
          <cell r="EU40">
            <v>17224</v>
          </cell>
          <cell r="EV40">
            <v>9128</v>
          </cell>
          <cell r="EW40">
            <v>17414</v>
          </cell>
          <cell r="EX40">
            <v>66106</v>
          </cell>
          <cell r="EY40">
            <v>19463</v>
          </cell>
          <cell r="EZ40">
            <v>74231</v>
          </cell>
          <cell r="FA40">
            <v>24553</v>
          </cell>
          <cell r="FB40">
            <v>23958</v>
          </cell>
          <cell r="FC40">
            <v>48511</v>
          </cell>
          <cell r="FD40">
            <v>66959.290000000008</v>
          </cell>
          <cell r="FF40">
            <v>814000</v>
          </cell>
          <cell r="FG40" t="str">
            <v>2017-18</v>
          </cell>
          <cell r="FH40">
            <v>1370000</v>
          </cell>
          <cell r="FI40" t="str">
            <v>2017-18</v>
          </cell>
          <cell r="FJ40">
            <v>3740000</v>
          </cell>
          <cell r="FK40" t="str">
            <v>2017-18</v>
          </cell>
          <cell r="FL40">
            <v>3500000</v>
          </cell>
          <cell r="FM40" t="str">
            <v>2017-18</v>
          </cell>
          <cell r="FN40">
            <v>31000000</v>
          </cell>
          <cell r="FO40" t="str">
            <v>2017-18</v>
          </cell>
          <cell r="FP40">
            <v>37780000</v>
          </cell>
          <cell r="FQ40" t="str">
            <v>2017-18</v>
          </cell>
          <cell r="FR40">
            <v>1550000</v>
          </cell>
          <cell r="FS40" t="str">
            <v>2017-18</v>
          </cell>
          <cell r="FT40">
            <v>18500000</v>
          </cell>
          <cell r="FU40" t="str">
            <v>2017-18</v>
          </cell>
          <cell r="FV40">
            <v>96070000</v>
          </cell>
          <cell r="FW40">
            <v>950000</v>
          </cell>
          <cell r="FX40" t="str">
            <v>2017-18</v>
          </cell>
          <cell r="FY40">
            <v>130170.33199999999</v>
          </cell>
          <cell r="FZ40">
            <v>771716.38100000005</v>
          </cell>
          <cell r="GA40" t="str">
            <v>ago17 jul18</v>
          </cell>
          <cell r="GB40">
            <v>25733114</v>
          </cell>
          <cell r="GD40">
            <v>1989400</v>
          </cell>
          <cell r="GE40">
            <v>431374</v>
          </cell>
          <cell r="GF40">
            <v>1006779</v>
          </cell>
          <cell r="GG40">
            <v>114118</v>
          </cell>
          <cell r="GH40">
            <v>1552271</v>
          </cell>
          <cell r="GI40">
            <v>1302556</v>
          </cell>
          <cell r="GJ40">
            <v>685541.2</v>
          </cell>
          <cell r="GK40">
            <v>1103042.8600000001</v>
          </cell>
          <cell r="GL40">
            <v>287064.67</v>
          </cell>
          <cell r="GM40">
            <v>260870.73</v>
          </cell>
          <cell r="GN40">
            <v>2336519.46</v>
          </cell>
          <cell r="GO40">
            <v>195071</v>
          </cell>
          <cell r="GP40">
            <v>79468</v>
          </cell>
          <cell r="GQ40">
            <v>17983</v>
          </cell>
          <cell r="GR40">
            <v>42800</v>
          </cell>
          <cell r="GS40">
            <v>43339.49</v>
          </cell>
          <cell r="GT40">
            <v>2483769</v>
          </cell>
          <cell r="GU40">
            <v>25435</v>
          </cell>
          <cell r="GV40">
            <v>30945</v>
          </cell>
          <cell r="GW40">
            <v>1027641</v>
          </cell>
          <cell r="GX40">
            <v>26114.056</v>
          </cell>
          <cell r="GY40" t="str">
            <v>2017-2018</v>
          </cell>
          <cell r="GZ40">
            <v>104093.27099999999</v>
          </cell>
          <cell r="HA40">
            <v>251738</v>
          </cell>
          <cell r="HB40">
            <v>3002866</v>
          </cell>
          <cell r="HC40" t="str">
            <v>ago17 jul18</v>
          </cell>
          <cell r="HD40">
            <v>56727</v>
          </cell>
          <cell r="HE40">
            <v>601643</v>
          </cell>
          <cell r="HF40" t="str">
            <v>ago17 jul18</v>
          </cell>
          <cell r="HG40">
            <v>182000</v>
          </cell>
          <cell r="HH40">
            <v>2058000</v>
          </cell>
          <cell r="HI40" t="str">
            <v>ago17 jul18</v>
          </cell>
          <cell r="HJ40">
            <v>91599.48</v>
          </cell>
          <cell r="HK40">
            <v>60596.179199999999</v>
          </cell>
          <cell r="HL40" t="str">
            <v>ago17 jul18</v>
          </cell>
          <cell r="HM40">
            <v>2118596.1792000001</v>
          </cell>
          <cell r="HN40">
            <v>9.6438136899216875E-2</v>
          </cell>
          <cell r="HO40">
            <v>897000000</v>
          </cell>
          <cell r="HP40">
            <v>10057.521488105516</v>
          </cell>
          <cell r="HQ40" t="str">
            <v>ago17 jul18</v>
          </cell>
          <cell r="HU40">
            <v>680000</v>
          </cell>
          <cell r="HV40" t="str">
            <v>2017-18</v>
          </cell>
          <cell r="HW40">
            <v>1350000</v>
          </cell>
          <cell r="HX40" t="str">
            <v>2017-18</v>
          </cell>
          <cell r="HY40">
            <v>3400000</v>
          </cell>
          <cell r="HZ40" t="str">
            <v>2017-18</v>
          </cell>
          <cell r="IA40">
            <v>19890000</v>
          </cell>
          <cell r="IB40" t="str">
            <v>2017-18</v>
          </cell>
          <cell r="IC40">
            <v>41300000</v>
          </cell>
          <cell r="ID40" t="str">
            <v>2017-18</v>
          </cell>
          <cell r="IE40">
            <v>1550000</v>
          </cell>
          <cell r="IF40" t="str">
            <v>2017-18</v>
          </cell>
          <cell r="IG40">
            <v>6500000</v>
          </cell>
          <cell r="IH40" t="str">
            <v>2017-18</v>
          </cell>
          <cell r="II40">
            <v>73990000</v>
          </cell>
          <cell r="IJ40">
            <v>1.5656077472231611</v>
          </cell>
          <cell r="IK40" t="str">
            <v>2017-18</v>
          </cell>
          <cell r="IL40">
            <v>44.02</v>
          </cell>
          <cell r="IM40">
            <v>56.58</v>
          </cell>
          <cell r="IN40">
            <v>190</v>
          </cell>
          <cell r="IO40">
            <v>15.48</v>
          </cell>
          <cell r="IP40">
            <v>5.651883633677623</v>
          </cell>
          <cell r="IQ40">
            <v>18.899999999999999</v>
          </cell>
          <cell r="IR40">
            <v>5.93</v>
          </cell>
          <cell r="IS40">
            <v>5.67</v>
          </cell>
          <cell r="IT40">
            <v>11.35</v>
          </cell>
          <cell r="IU40">
            <v>0.88</v>
          </cell>
          <cell r="IV40">
            <v>17.899999999999999</v>
          </cell>
          <cell r="IY40">
            <v>1.84</v>
          </cell>
          <cell r="IZ40">
            <v>0.3</v>
          </cell>
          <cell r="JA40">
            <v>1500</v>
          </cell>
          <cell r="JF40">
            <v>14.65363767</v>
          </cell>
          <cell r="JG40">
            <v>19.226845319999999</v>
          </cell>
          <cell r="JH40">
            <v>13.4616676</v>
          </cell>
          <cell r="JI40">
            <v>65.802685370000006</v>
          </cell>
          <cell r="JJ40">
            <v>471.40126767000004</v>
          </cell>
          <cell r="JK40">
            <v>67.279610200000008</v>
          </cell>
          <cell r="JL40">
            <v>1082.6873518099999</v>
          </cell>
          <cell r="JM40">
            <v>0</v>
          </cell>
          <cell r="JN40">
            <v>144.40349158000001</v>
          </cell>
          <cell r="JO40">
            <v>14.72614216</v>
          </cell>
          <cell r="JP40">
            <v>0</v>
          </cell>
          <cell r="JQ40">
            <v>1.1129999999999999E-2</v>
          </cell>
          <cell r="JR40">
            <v>1.0183245400000001</v>
          </cell>
          <cell r="JS40">
            <v>0</v>
          </cell>
          <cell r="JT40">
            <v>1.3310000000000001E-2</v>
          </cell>
          <cell r="JU40">
            <v>95.917048489999999</v>
          </cell>
          <cell r="JV40">
            <v>12.38969331</v>
          </cell>
          <cell r="JW40">
            <v>13.186467599999999</v>
          </cell>
          <cell r="JX40">
            <v>106.57169702000003</v>
          </cell>
          <cell r="JY40">
            <v>0</v>
          </cell>
          <cell r="JZ40">
            <v>7.2563735100000004</v>
          </cell>
          <cell r="KA40">
            <v>1.157103</v>
          </cell>
          <cell r="KB40">
            <v>2.1542159399999998</v>
          </cell>
          <cell r="KC40">
            <v>30.940614979999999</v>
          </cell>
          <cell r="KD40">
            <v>12.222206610000001</v>
          </cell>
          <cell r="KE40">
            <v>17.063951339999999</v>
          </cell>
          <cell r="KF40">
            <v>31.387150389999995</v>
          </cell>
          <cell r="KG40">
            <v>274.51585945000005</v>
          </cell>
          <cell r="KH40">
            <v>63.449567550000012</v>
          </cell>
          <cell r="KI40">
            <v>17.662654320000001</v>
          </cell>
          <cell r="KJ40">
            <v>2.5793409600000006</v>
          </cell>
          <cell r="KK40">
            <v>8.6490661499999977</v>
          </cell>
          <cell r="KL40">
            <v>0.10634368</v>
          </cell>
          <cell r="KM40">
            <v>3.8970931800000006</v>
          </cell>
          <cell r="KN40">
            <v>0</v>
          </cell>
          <cell r="KO40">
            <v>3.0677741699999999</v>
          </cell>
          <cell r="KP40">
            <v>0</v>
          </cell>
          <cell r="KQ40">
            <v>154.42892312000001</v>
          </cell>
          <cell r="KR40">
            <v>0</v>
          </cell>
          <cell r="KS40">
            <v>0</v>
          </cell>
          <cell r="KT40">
            <v>6.0756478300000003</v>
          </cell>
          <cell r="KU40">
            <v>0.33618888000000002</v>
          </cell>
          <cell r="KV40">
            <v>0.14222101000000001</v>
          </cell>
          <cell r="KW40">
            <v>4.2652467999999999</v>
          </cell>
          <cell r="KX40">
            <v>0</v>
          </cell>
          <cell r="KY40">
            <v>0</v>
          </cell>
          <cell r="KZ40">
            <v>0.86803549000000002</v>
          </cell>
          <cell r="LA40">
            <v>0.61021163</v>
          </cell>
          <cell r="LB40">
            <v>0</v>
          </cell>
          <cell r="LC40">
            <v>0</v>
          </cell>
          <cell r="LD40">
            <v>0</v>
          </cell>
          <cell r="LE40">
            <v>0.94088393000000003</v>
          </cell>
          <cell r="LF40">
            <v>0</v>
          </cell>
          <cell r="LG40">
            <v>20.69679824</v>
          </cell>
          <cell r="LH40">
            <v>2.2162469199999997</v>
          </cell>
          <cell r="LI40">
            <v>0</v>
          </cell>
          <cell r="LJ40">
            <v>0</v>
          </cell>
          <cell r="LK40">
            <v>2.2333033499999999</v>
          </cell>
          <cell r="LL40">
            <v>2.00568138</v>
          </cell>
          <cell r="LM40">
            <v>1.40115324</v>
          </cell>
          <cell r="LN40">
            <v>0</v>
          </cell>
          <cell r="LO40">
            <v>6.891911509999999</v>
          </cell>
          <cell r="LQ40">
            <v>1777.75646403</v>
          </cell>
          <cell r="LR40">
            <v>1.0427645400000001</v>
          </cell>
          <cell r="LS40">
            <v>25.576160909999999</v>
          </cell>
          <cell r="LT40">
            <v>8.4134765100000006</v>
          </cell>
          <cell r="LU40">
            <v>161.39379047</v>
          </cell>
          <cell r="LV40">
            <v>4.40746781</v>
          </cell>
          <cell r="LW40">
            <v>0.61021163</v>
          </cell>
          <cell r="LX40">
            <v>0.94088393000000003</v>
          </cell>
          <cell r="LZ40">
            <v>30.51</v>
          </cell>
          <cell r="MA40">
            <v>26.82</v>
          </cell>
          <cell r="MH40">
            <v>57.05</v>
          </cell>
          <cell r="MI40">
            <v>23.35</v>
          </cell>
          <cell r="MJ40">
            <v>15.81</v>
          </cell>
          <cell r="ML40">
            <v>24.21</v>
          </cell>
          <cell r="MM40">
            <v>46.48</v>
          </cell>
          <cell r="MO40">
            <v>18.45</v>
          </cell>
          <cell r="MP40">
            <v>46.15</v>
          </cell>
          <cell r="MQ40">
            <v>38.229999999999997</v>
          </cell>
          <cell r="MU40">
            <v>22.18</v>
          </cell>
          <cell r="MY40">
            <v>43.49</v>
          </cell>
          <cell r="MZ40">
            <v>122.1</v>
          </cell>
          <cell r="NA40">
            <v>47.35</v>
          </cell>
          <cell r="NB40">
            <v>157.04</v>
          </cell>
          <cell r="NC40">
            <v>24.84</v>
          </cell>
          <cell r="NE40">
            <v>130.13</v>
          </cell>
        </row>
        <row r="41">
          <cell r="A41">
            <v>43313</v>
          </cell>
          <cell r="B41">
            <v>8</v>
          </cell>
          <cell r="C41">
            <v>2018</v>
          </cell>
          <cell r="D41">
            <v>41</v>
          </cell>
          <cell r="E41">
            <v>43313</v>
          </cell>
          <cell r="F41">
            <v>30.668181818181822</v>
          </cell>
          <cell r="G41">
            <v>155.1</v>
          </cell>
          <cell r="H41">
            <v>12939.26</v>
          </cell>
          <cell r="I41">
            <v>99</v>
          </cell>
          <cell r="J41">
            <v>430</v>
          </cell>
          <cell r="K41">
            <v>2.4</v>
          </cell>
          <cell r="L41">
            <v>30.6</v>
          </cell>
          <cell r="N41">
            <v>1.629</v>
          </cell>
          <cell r="O41">
            <v>1.4750000000000001</v>
          </cell>
          <cell r="P41">
            <v>47.597018181818186</v>
          </cell>
          <cell r="Q41">
            <v>560</v>
          </cell>
          <cell r="R41">
            <v>5600</v>
          </cell>
          <cell r="S41">
            <v>186.36363636363637</v>
          </cell>
          <cell r="T41">
            <v>299.45454545454544</v>
          </cell>
          <cell r="U41">
            <v>165.39545454545458</v>
          </cell>
          <cell r="V41">
            <v>271.54090909090911</v>
          </cell>
          <cell r="W41">
            <v>127.86363636363636</v>
          </cell>
          <cell r="X41">
            <v>217.82727272727277</v>
          </cell>
          <cell r="Y41">
            <v>5715.4338842975212</v>
          </cell>
          <cell r="Z41">
            <v>9183.7264462809926</v>
          </cell>
          <cell r="AA41">
            <v>5072.3778719008278</v>
          </cell>
          <cell r="AB41">
            <v>8327.6659710743825</v>
          </cell>
          <cell r="AC41">
            <v>3921.3452479338848</v>
          </cell>
          <cell r="AD41">
            <v>6680.3664049586796</v>
          </cell>
          <cell r="AE41">
            <v>6483.4859710743813</v>
          </cell>
          <cell r="AF41">
            <v>20665.82608695652</v>
          </cell>
          <cell r="AG41">
            <v>7020</v>
          </cell>
          <cell r="AH41">
            <v>26040</v>
          </cell>
          <cell r="AI41">
            <v>11.01</v>
          </cell>
          <cell r="AJ41">
            <v>7.47</v>
          </cell>
          <cell r="AK41">
            <v>6.58</v>
          </cell>
          <cell r="AL41">
            <v>6.19</v>
          </cell>
          <cell r="AM41">
            <v>8.559800000000001</v>
          </cell>
          <cell r="AN41">
            <v>25.328294117647062</v>
          </cell>
          <cell r="AO41">
            <v>17.793636363636367</v>
          </cell>
          <cell r="AP41">
            <v>21.560965240641714</v>
          </cell>
          <cell r="AQ41">
            <v>10.914545454545458</v>
          </cell>
          <cell r="AR41">
            <v>13.171363636363639</v>
          </cell>
          <cell r="AS41">
            <v>10.91765306122449</v>
          </cell>
          <cell r="AT41">
            <v>11.368181818181817</v>
          </cell>
          <cell r="AU41">
            <v>11.819066171923316</v>
          </cell>
          <cell r="AV41">
            <v>5.6662857142857135</v>
          </cell>
          <cell r="AW41">
            <v>8.572142857142854</v>
          </cell>
          <cell r="AX41">
            <v>10.109285714285715</v>
          </cell>
          <cell r="AY41">
            <v>41.21857142857143</v>
          </cell>
          <cell r="AZ41">
            <v>6.7421428571428565</v>
          </cell>
          <cell r="BA41">
            <v>7.1738461538461546</v>
          </cell>
          <cell r="BB41">
            <v>16.310961538461537</v>
          </cell>
          <cell r="BC41">
            <v>696</v>
          </cell>
          <cell r="BD41">
            <v>807</v>
          </cell>
          <cell r="BE41">
            <v>700</v>
          </cell>
          <cell r="BF41">
            <v>460</v>
          </cell>
          <cell r="BG41">
            <v>665.75</v>
          </cell>
          <cell r="BH41">
            <v>53.11</v>
          </cell>
          <cell r="BI41">
            <v>15.981</v>
          </cell>
          <cell r="BJ41">
            <v>69.090999999999994</v>
          </cell>
          <cell r="BK41">
            <v>43.991</v>
          </cell>
          <cell r="BL41">
            <v>44.518000000000001</v>
          </cell>
          <cell r="BM41">
            <v>44.2545</v>
          </cell>
          <cell r="BN41">
            <v>7.41</v>
          </cell>
          <cell r="BO41">
            <v>37.665909090909089</v>
          </cell>
          <cell r="BP41">
            <v>22.452833333333331</v>
          </cell>
          <cell r="BQ41">
            <v>36.144601515151514</v>
          </cell>
          <cell r="BR41">
            <v>25.59</v>
          </cell>
          <cell r="BS41">
            <v>100</v>
          </cell>
          <cell r="BT41">
            <v>151.72999999999999</v>
          </cell>
          <cell r="BU41">
            <v>1655.19</v>
          </cell>
          <cell r="BV41">
            <v>44.3</v>
          </cell>
          <cell r="BY41">
            <v>248.29834415886586</v>
          </cell>
          <cell r="BZ41">
            <v>233.95984241772413</v>
          </cell>
          <cell r="CA41">
            <v>248.657142447441</v>
          </cell>
          <cell r="CB41">
            <v>242.55162599016509</v>
          </cell>
          <cell r="CC41">
            <v>241.12127121367411</v>
          </cell>
          <cell r="CD41">
            <v>247.54716353914986</v>
          </cell>
          <cell r="CE41">
            <v>221.91624856814195</v>
          </cell>
          <cell r="CF41">
            <v>259.70396984028781</v>
          </cell>
          <cell r="CG41">
            <v>243.58290359980995</v>
          </cell>
          <cell r="CH41">
            <v>268.09418069632295</v>
          </cell>
          <cell r="CI41">
            <v>217.90368240482127</v>
          </cell>
          <cell r="CJ41">
            <v>188.59706261817161</v>
          </cell>
          <cell r="CK41">
            <v>223.09982559901417</v>
          </cell>
          <cell r="CL41">
            <v>337.8125952013848</v>
          </cell>
          <cell r="CM41">
            <v>175.43368977809837</v>
          </cell>
          <cell r="CN41">
            <v>188.33305953514642</v>
          </cell>
          <cell r="CO41">
            <v>231.16979252841094</v>
          </cell>
          <cell r="CP41">
            <v>240.62759216065697</v>
          </cell>
          <cell r="CQ41">
            <v>189.16238256195092</v>
          </cell>
          <cell r="CR41">
            <v>193.09271394128609</v>
          </cell>
          <cell r="CS41">
            <v>191.12754825161852</v>
          </cell>
          <cell r="CT41">
            <v>187.89966372355076</v>
          </cell>
          <cell r="CU41">
            <v>201.13123841580989</v>
          </cell>
          <cell r="CV41">
            <v>197.80230623571751</v>
          </cell>
          <cell r="CW41">
            <v>197.80230623571751</v>
          </cell>
          <cell r="CX41">
            <v>198.91195029574831</v>
          </cell>
          <cell r="CY41">
            <v>183.34466231913802</v>
          </cell>
          <cell r="CZ41">
            <v>220.8061094913366</v>
          </cell>
          <cell r="DA41">
            <v>189.47200305240642</v>
          </cell>
          <cell r="DB41">
            <v>200.84304579545554</v>
          </cell>
          <cell r="DC41">
            <v>237.7633058028907</v>
          </cell>
          <cell r="DD41">
            <v>231.59133816047253</v>
          </cell>
          <cell r="DE41">
            <v>215.26822694609712</v>
          </cell>
          <cell r="DF41">
            <v>239.37920721753113</v>
          </cell>
          <cell r="DG41">
            <v>227.32371708181412</v>
          </cell>
          <cell r="DH41">
            <v>198.19178077020285</v>
          </cell>
          <cell r="DI41">
            <v>187.95843555573288</v>
          </cell>
          <cell r="DK41">
            <v>327000</v>
          </cell>
          <cell r="DL41" t="str">
            <v>2017-18</v>
          </cell>
          <cell r="DM41">
            <v>202000</v>
          </cell>
          <cell r="DN41" t="str">
            <v>2016-17</v>
          </cell>
          <cell r="DO41">
            <v>1085000</v>
          </cell>
          <cell r="DP41" t="str">
            <v>2018-19</v>
          </cell>
          <cell r="DQ41">
            <v>1700000</v>
          </cell>
          <cell r="DR41" t="str">
            <v>2018-19</v>
          </cell>
          <cell r="DS41">
            <v>5500000</v>
          </cell>
          <cell r="DT41" t="str">
            <v>2017-18</v>
          </cell>
          <cell r="DU41">
            <v>17200000</v>
          </cell>
          <cell r="DV41" t="str">
            <v>2017-18</v>
          </cell>
          <cell r="DW41">
            <v>640000</v>
          </cell>
          <cell r="DX41" t="str">
            <v>2018-19</v>
          </cell>
          <cell r="DY41">
            <v>6200000</v>
          </cell>
          <cell r="DZ41" t="str">
            <v>2018-19</v>
          </cell>
          <cell r="EA41">
            <v>32325000</v>
          </cell>
          <cell r="EB41">
            <v>490000</v>
          </cell>
          <cell r="EC41" t="str">
            <v>2017-18</v>
          </cell>
          <cell r="ED41">
            <v>169595</v>
          </cell>
          <cell r="EE41">
            <v>2018</v>
          </cell>
          <cell r="EF41">
            <v>218233</v>
          </cell>
          <cell r="EG41">
            <v>2018</v>
          </cell>
          <cell r="EH41">
            <v>54793181</v>
          </cell>
          <cell r="EI41">
            <v>2018</v>
          </cell>
          <cell r="EJ41">
            <v>5291453</v>
          </cell>
          <cell r="EK41">
            <v>2018</v>
          </cell>
          <cell r="EL41">
            <v>14339908</v>
          </cell>
          <cell r="EM41">
            <v>2018</v>
          </cell>
          <cell r="EN41">
            <v>3364725</v>
          </cell>
          <cell r="EO41">
            <v>2017</v>
          </cell>
          <cell r="EP41">
            <v>6552</v>
          </cell>
          <cell r="EQ41">
            <v>3003036</v>
          </cell>
          <cell r="ER41">
            <v>33739</v>
          </cell>
          <cell r="ET41">
            <v>22340</v>
          </cell>
          <cell r="EU41">
            <v>17224</v>
          </cell>
          <cell r="EV41">
            <v>9128</v>
          </cell>
          <cell r="EW41">
            <v>17414</v>
          </cell>
          <cell r="EX41">
            <v>66106</v>
          </cell>
          <cell r="EY41">
            <v>19463</v>
          </cell>
          <cell r="EZ41">
            <v>74231</v>
          </cell>
          <cell r="FA41">
            <v>24553</v>
          </cell>
          <cell r="FB41">
            <v>23958</v>
          </cell>
          <cell r="FC41">
            <v>48511</v>
          </cell>
          <cell r="FD41">
            <v>66959.290000000008</v>
          </cell>
          <cell r="FF41">
            <v>814000</v>
          </cell>
          <cell r="FG41" t="str">
            <v>2017-18</v>
          </cell>
          <cell r="FH41">
            <v>1370000</v>
          </cell>
          <cell r="FI41" t="str">
            <v>2017-18</v>
          </cell>
          <cell r="FJ41">
            <v>3740000</v>
          </cell>
          <cell r="FK41" t="str">
            <v>2017-18</v>
          </cell>
          <cell r="FL41">
            <v>3500000</v>
          </cell>
          <cell r="FM41" t="str">
            <v>2017-18</v>
          </cell>
          <cell r="FN41">
            <v>31000000</v>
          </cell>
          <cell r="FO41" t="str">
            <v>2017-18</v>
          </cell>
          <cell r="FP41">
            <v>37780000</v>
          </cell>
          <cell r="FQ41" t="str">
            <v>2017-18</v>
          </cell>
          <cell r="FR41">
            <v>1550000</v>
          </cell>
          <cell r="FS41" t="str">
            <v>2017-18</v>
          </cell>
          <cell r="FT41">
            <v>18500000</v>
          </cell>
          <cell r="FU41" t="str">
            <v>2017-18</v>
          </cell>
          <cell r="FV41">
            <v>96070000</v>
          </cell>
          <cell r="FW41">
            <v>950000</v>
          </cell>
          <cell r="FX41" t="str">
            <v>2017-18</v>
          </cell>
          <cell r="FY41">
            <v>96755.921000000002</v>
          </cell>
          <cell r="FZ41">
            <v>783337.16399999999</v>
          </cell>
          <cell r="GA41" t="str">
            <v>sept17 ago18</v>
          </cell>
          <cell r="GB41">
            <v>25733114</v>
          </cell>
          <cell r="GD41">
            <v>1989400</v>
          </cell>
          <cell r="GE41">
            <v>431374</v>
          </cell>
          <cell r="GF41">
            <v>1006779</v>
          </cell>
          <cell r="GG41">
            <v>114118</v>
          </cell>
          <cell r="GH41">
            <v>1552271</v>
          </cell>
          <cell r="GI41">
            <v>1302556</v>
          </cell>
          <cell r="GJ41">
            <v>685541.2</v>
          </cell>
          <cell r="GK41">
            <v>1103042.8600000001</v>
          </cell>
          <cell r="GL41">
            <v>287064.67</v>
          </cell>
          <cell r="GM41">
            <v>260870.73</v>
          </cell>
          <cell r="GN41">
            <v>2336519.46</v>
          </cell>
          <cell r="GO41">
            <v>195071</v>
          </cell>
          <cell r="GP41">
            <v>79468</v>
          </cell>
          <cell r="GQ41">
            <v>20849</v>
          </cell>
          <cell r="GR41">
            <v>42800</v>
          </cell>
          <cell r="GS41">
            <v>43425.47</v>
          </cell>
          <cell r="GT41">
            <v>2483769</v>
          </cell>
          <cell r="GU41">
            <v>26958</v>
          </cell>
          <cell r="GV41">
            <v>36469</v>
          </cell>
          <cell r="GW41">
            <v>1040372</v>
          </cell>
          <cell r="GX41">
            <v>26114.056</v>
          </cell>
          <cell r="GY41" t="str">
            <v>2017-2018</v>
          </cell>
          <cell r="GZ41">
            <v>104093.27099999999</v>
          </cell>
          <cell r="HA41">
            <v>274516</v>
          </cell>
          <cell r="HB41">
            <v>3030382</v>
          </cell>
          <cell r="HC41" t="str">
            <v>sept17 ago18</v>
          </cell>
          <cell r="HD41">
            <v>54138</v>
          </cell>
          <cell r="HE41">
            <v>604995</v>
          </cell>
          <cell r="HF41" t="str">
            <v>sept17 ago18</v>
          </cell>
          <cell r="HG41">
            <v>188000</v>
          </cell>
          <cell r="HH41">
            <v>2062000</v>
          </cell>
          <cell r="HI41" t="str">
            <v>sept17 ago18</v>
          </cell>
          <cell r="HJ41">
            <v>93291.12</v>
          </cell>
          <cell r="HK41">
            <v>60783.806400000001</v>
          </cell>
          <cell r="HL41" t="str">
            <v>sept17 ago18</v>
          </cell>
          <cell r="HM41">
            <v>2122783.8064000001</v>
          </cell>
          <cell r="HN41">
            <v>0.12410128530587006</v>
          </cell>
          <cell r="HO41">
            <v>947500000</v>
          </cell>
          <cell r="HP41">
            <v>10162.125912425976</v>
          </cell>
          <cell r="HQ41" t="str">
            <v>sept17 ago18</v>
          </cell>
          <cell r="HU41">
            <v>680000</v>
          </cell>
          <cell r="HV41" t="str">
            <v>2017-18</v>
          </cell>
          <cell r="HW41">
            <v>1350000</v>
          </cell>
          <cell r="HX41" t="str">
            <v>2017-18</v>
          </cell>
          <cell r="HY41">
            <v>3400000</v>
          </cell>
          <cell r="HZ41" t="str">
            <v>2017-18</v>
          </cell>
          <cell r="IA41">
            <v>19890000</v>
          </cell>
          <cell r="IB41" t="str">
            <v>2017-18</v>
          </cell>
          <cell r="IC41">
            <v>41300000</v>
          </cell>
          <cell r="ID41" t="str">
            <v>2017-18</v>
          </cell>
          <cell r="IE41">
            <v>1550000</v>
          </cell>
          <cell r="IF41" t="str">
            <v>2017-18</v>
          </cell>
          <cell r="IG41">
            <v>6500000</v>
          </cell>
          <cell r="IH41" t="str">
            <v>2017-18</v>
          </cell>
          <cell r="II41">
            <v>73990000</v>
          </cell>
          <cell r="IJ41">
            <v>1.5656077472231611</v>
          </cell>
          <cell r="IK41" t="str">
            <v>2017-18</v>
          </cell>
          <cell r="IL41">
            <v>45.69</v>
          </cell>
          <cell r="IM41">
            <v>59</v>
          </cell>
          <cell r="IN41">
            <v>190</v>
          </cell>
          <cell r="IO41">
            <v>15.08</v>
          </cell>
          <cell r="IP41">
            <v>5.651883633677623</v>
          </cell>
          <cell r="IQ41">
            <v>18.899999999999999</v>
          </cell>
          <cell r="IR41">
            <v>5.93</v>
          </cell>
          <cell r="IS41">
            <v>5.67</v>
          </cell>
          <cell r="IT41">
            <v>11.35</v>
          </cell>
          <cell r="IU41">
            <v>0.88</v>
          </cell>
          <cell r="IV41">
            <v>17.899999999999999</v>
          </cell>
          <cell r="IY41">
            <v>1.84</v>
          </cell>
          <cell r="IZ41">
            <v>0.3</v>
          </cell>
          <cell r="JA41">
            <v>1500</v>
          </cell>
          <cell r="JF41">
            <v>22.81522257</v>
          </cell>
          <cell r="JG41">
            <v>24.139252899999999</v>
          </cell>
          <cell r="JH41">
            <v>16.226240190000002</v>
          </cell>
          <cell r="JI41">
            <v>103.12145473000002</v>
          </cell>
          <cell r="JJ41">
            <v>450.45909369000009</v>
          </cell>
          <cell r="JK41">
            <v>63.647255250000001</v>
          </cell>
          <cell r="JL41">
            <v>1110.4269619900001</v>
          </cell>
          <cell r="JM41">
            <v>0.3765386</v>
          </cell>
          <cell r="JN41">
            <v>155.37295756999998</v>
          </cell>
          <cell r="JO41">
            <v>16.10877855</v>
          </cell>
          <cell r="JP41">
            <v>0</v>
          </cell>
          <cell r="JQ41">
            <v>7.7999999999999996E-3</v>
          </cell>
          <cell r="JR41">
            <v>0.59753818000000003</v>
          </cell>
          <cell r="JS41">
            <v>0</v>
          </cell>
          <cell r="JT41">
            <v>0</v>
          </cell>
          <cell r="JU41">
            <v>101.98982713000005</v>
          </cell>
          <cell r="JV41">
            <v>5.4027586200000002</v>
          </cell>
          <cell r="JW41">
            <v>11.75875186</v>
          </cell>
          <cell r="JX41">
            <v>67.694779170000004</v>
          </cell>
          <cell r="JY41">
            <v>0</v>
          </cell>
          <cell r="JZ41">
            <v>15.51547858</v>
          </cell>
          <cell r="KA41">
            <v>0</v>
          </cell>
          <cell r="KB41">
            <v>3.6789243100000002</v>
          </cell>
          <cell r="KC41">
            <v>30.44326732</v>
          </cell>
          <cell r="KD41">
            <v>11.39701895</v>
          </cell>
          <cell r="KE41">
            <v>15.782553850000001</v>
          </cell>
          <cell r="KF41">
            <v>27.534103399999999</v>
          </cell>
          <cell r="KG41">
            <v>262.45470516</v>
          </cell>
          <cell r="KH41">
            <v>70.38341256999999</v>
          </cell>
          <cell r="KI41">
            <v>26.287762959999998</v>
          </cell>
          <cell r="KJ41">
            <v>2.9667550500000002</v>
          </cell>
          <cell r="KK41">
            <v>8.0718979999999991</v>
          </cell>
          <cell r="KL41">
            <v>0.44338730000000004</v>
          </cell>
          <cell r="KM41">
            <v>5.8383812500000012</v>
          </cell>
          <cell r="KN41">
            <v>0</v>
          </cell>
          <cell r="KO41">
            <v>4.2957491999999995</v>
          </cell>
          <cell r="KP41">
            <v>3.0286240000000002E-2</v>
          </cell>
          <cell r="KQ41">
            <v>245.04456522999999</v>
          </cell>
          <cell r="KR41">
            <v>0</v>
          </cell>
          <cell r="KS41">
            <v>0</v>
          </cell>
          <cell r="KT41">
            <v>2.4750927200000001</v>
          </cell>
          <cell r="KU41">
            <v>0.29754917000000003</v>
          </cell>
          <cell r="KV41">
            <v>0.49068850000000003</v>
          </cell>
          <cell r="KW41">
            <v>4.0039068599999998</v>
          </cell>
          <cell r="KX41">
            <v>0</v>
          </cell>
          <cell r="KY41">
            <v>0</v>
          </cell>
          <cell r="KZ41">
            <v>2.0719022300000001</v>
          </cell>
          <cell r="LA41">
            <v>0.73998114000000004</v>
          </cell>
          <cell r="LB41">
            <v>0</v>
          </cell>
          <cell r="LC41">
            <v>3.3434029999999997E-2</v>
          </cell>
          <cell r="LD41">
            <v>0</v>
          </cell>
          <cell r="LE41">
            <v>0</v>
          </cell>
          <cell r="LF41">
            <v>0</v>
          </cell>
          <cell r="LG41">
            <v>21.09418878</v>
          </cell>
          <cell r="LH41">
            <v>2.5699814700000001</v>
          </cell>
          <cell r="LI41">
            <v>0</v>
          </cell>
          <cell r="LJ41">
            <v>0</v>
          </cell>
          <cell r="LK41">
            <v>1.29476853</v>
          </cell>
          <cell r="LL41">
            <v>1.5495578399999999</v>
          </cell>
          <cell r="LM41">
            <v>3.0539446999999997</v>
          </cell>
          <cell r="LN41">
            <v>0</v>
          </cell>
          <cell r="LO41">
            <v>8.1444831300000011</v>
          </cell>
          <cell r="LQ41">
            <v>1835.9832467700003</v>
          </cell>
          <cell r="LR41">
            <v>0.60533818000000006</v>
          </cell>
          <cell r="LS41">
            <v>17.16151048</v>
          </cell>
          <cell r="LT41">
            <v>15.51547858</v>
          </cell>
          <cell r="LU41">
            <v>255.17869567999998</v>
          </cell>
          <cell r="LV41">
            <v>4.4945953599999999</v>
          </cell>
          <cell r="LW41">
            <v>0.73998114000000004</v>
          </cell>
          <cell r="LX41">
            <v>0</v>
          </cell>
          <cell r="LZ41">
            <v>34.15</v>
          </cell>
          <cell r="MA41">
            <v>28.7</v>
          </cell>
          <cell r="MH41">
            <v>57.61</v>
          </cell>
          <cell r="MI41">
            <v>24.09</v>
          </cell>
          <cell r="MJ41">
            <v>16.059999999999999</v>
          </cell>
          <cell r="ML41">
            <v>23.81</v>
          </cell>
          <cell r="MM41">
            <v>51.41</v>
          </cell>
          <cell r="MO41">
            <v>18.88</v>
          </cell>
          <cell r="MP41">
            <v>45.94</v>
          </cell>
          <cell r="MQ41">
            <v>40.619999999999997</v>
          </cell>
          <cell r="MU41">
            <v>22.05</v>
          </cell>
          <cell r="MY41">
            <v>45.98</v>
          </cell>
          <cell r="MZ41">
            <v>124.4</v>
          </cell>
          <cell r="NA41">
            <v>52.86</v>
          </cell>
          <cell r="NB41">
            <v>159.07</v>
          </cell>
          <cell r="NC41">
            <v>26.09</v>
          </cell>
          <cell r="NE41">
            <v>131.69999999999999</v>
          </cell>
        </row>
        <row r="42">
          <cell r="A42">
            <v>43344</v>
          </cell>
          <cell r="B42">
            <v>9</v>
          </cell>
          <cell r="C42">
            <v>2018</v>
          </cell>
          <cell r="D42">
            <v>42</v>
          </cell>
          <cell r="E42">
            <v>43344</v>
          </cell>
          <cell r="F42">
            <v>39.165000000000006</v>
          </cell>
          <cell r="G42">
            <v>165.2</v>
          </cell>
          <cell r="H42">
            <v>15268.33</v>
          </cell>
          <cell r="I42">
            <v>84</v>
          </cell>
          <cell r="J42">
            <v>450</v>
          </cell>
          <cell r="K42">
            <v>2.4</v>
          </cell>
          <cell r="L42">
            <v>26.1</v>
          </cell>
          <cell r="N42">
            <v>1.5804</v>
          </cell>
          <cell r="O42">
            <v>1.4230999999999998</v>
          </cell>
          <cell r="P42">
            <v>54.310788750000007</v>
          </cell>
          <cell r="Q42">
            <v>585</v>
          </cell>
          <cell r="R42">
            <v>5850</v>
          </cell>
          <cell r="S42">
            <v>176.25</v>
          </cell>
          <cell r="T42">
            <v>270.64999999999998</v>
          </cell>
          <cell r="U42">
            <v>147.30500000000001</v>
          </cell>
          <cell r="V42">
            <v>251.26500000000001</v>
          </cell>
          <cell r="W42">
            <v>122.95</v>
          </cell>
          <cell r="X42">
            <v>196.85499999999999</v>
          </cell>
          <cell r="Y42">
            <v>6902.8312500000011</v>
          </cell>
          <cell r="Z42">
            <v>10600.007250000001</v>
          </cell>
          <cell r="AA42">
            <v>5769.2003250000016</v>
          </cell>
          <cell r="AB42">
            <v>9840.7937250000014</v>
          </cell>
          <cell r="AC42">
            <v>4815.3367500000013</v>
          </cell>
          <cell r="AD42">
            <v>7709.8260750000009</v>
          </cell>
          <cell r="AE42">
            <v>7606.3325625000007</v>
          </cell>
          <cell r="AF42">
            <v>23881.7</v>
          </cell>
          <cell r="AG42">
            <v>7020</v>
          </cell>
          <cell r="AH42">
            <v>26040</v>
          </cell>
          <cell r="AI42">
            <v>10.130000000000001</v>
          </cell>
          <cell r="AJ42">
            <v>8.14</v>
          </cell>
          <cell r="AK42">
            <v>6.74</v>
          </cell>
          <cell r="AL42">
            <v>6.06</v>
          </cell>
          <cell r="AM42">
            <v>8.1921999999999997</v>
          </cell>
          <cell r="AN42">
            <v>29.835195530726264</v>
          </cell>
          <cell r="AO42">
            <v>17.783684210526314</v>
          </cell>
          <cell r="AP42">
            <v>23.809439870626289</v>
          </cell>
          <cell r="AQ42">
            <v>13.26157894736842</v>
          </cell>
          <cell r="AR42">
            <v>15.304210526315794</v>
          </cell>
          <cell r="AS42">
            <v>12.709223300970862</v>
          </cell>
          <cell r="AT42">
            <v>13.142105263157896</v>
          </cell>
          <cell r="AU42">
            <v>13.718513030148182</v>
          </cell>
          <cell r="AV42">
            <v>6.6761538461538512</v>
          </cell>
          <cell r="AW42">
            <v>8.5327777777777758</v>
          </cell>
          <cell r="AX42">
            <v>9.1872222222222231</v>
          </cell>
          <cell r="AY42">
            <v>30.086111111111116</v>
          </cell>
          <cell r="AZ42">
            <v>9.8277777777777775</v>
          </cell>
          <cell r="BA42">
            <v>8.05694444444444</v>
          </cell>
          <cell r="BB42">
            <v>14.289513888888889</v>
          </cell>
          <cell r="BC42">
            <v>811.3</v>
          </cell>
          <cell r="BD42">
            <v>881</v>
          </cell>
          <cell r="BE42">
            <v>700</v>
          </cell>
          <cell r="BF42">
            <v>460</v>
          </cell>
          <cell r="BG42">
            <v>713.07500000000005</v>
          </cell>
          <cell r="BH42">
            <v>53.11</v>
          </cell>
          <cell r="BI42">
            <v>15.981</v>
          </cell>
          <cell r="BJ42">
            <v>69.090999999999994</v>
          </cell>
          <cell r="BK42">
            <v>48.405999999999999</v>
          </cell>
          <cell r="BL42">
            <v>56.84</v>
          </cell>
          <cell r="BM42">
            <v>52.623000000000005</v>
          </cell>
          <cell r="BN42">
            <v>7.92</v>
          </cell>
          <cell r="BO42">
            <v>41.382499999999986</v>
          </cell>
          <cell r="BP42">
            <v>24.28833333333333</v>
          </cell>
          <cell r="BQ42">
            <v>39.673083333333324</v>
          </cell>
          <cell r="BR42">
            <v>29.54</v>
          </cell>
          <cell r="BS42">
            <v>100</v>
          </cell>
          <cell r="BT42">
            <v>144.5</v>
          </cell>
          <cell r="BU42">
            <v>1633.5</v>
          </cell>
          <cell r="BV42">
            <v>48.8</v>
          </cell>
          <cell r="BY42">
            <v>296.33128315083263</v>
          </cell>
          <cell r="BZ42">
            <v>264.02490276195567</v>
          </cell>
          <cell r="CA42">
            <v>290.96212099043254</v>
          </cell>
          <cell r="CB42">
            <v>279.32378670634932</v>
          </cell>
          <cell r="CC42">
            <v>275.98855264504022</v>
          </cell>
          <cell r="CD42">
            <v>289.06916968163165</v>
          </cell>
          <cell r="CE42">
            <v>258.50997747001207</v>
          </cell>
          <cell r="CF42">
            <v>300.12089498042275</v>
          </cell>
          <cell r="CG42">
            <v>282.32908374564806</v>
          </cell>
          <cell r="CH42">
            <v>310.43604805677865</v>
          </cell>
          <cell r="CI42">
            <v>253.98714251020468</v>
          </cell>
          <cell r="CJ42">
            <v>214.76019503727764</v>
          </cell>
          <cell r="CK42">
            <v>246.0616839612527</v>
          </cell>
          <cell r="CL42">
            <v>321.19524569648644</v>
          </cell>
          <cell r="CM42">
            <v>210.85501754327018</v>
          </cell>
          <cell r="CN42">
            <v>217.53214599658523</v>
          </cell>
          <cell r="CO42">
            <v>248.91102329939864</v>
          </cell>
          <cell r="CP42">
            <v>268.97406830490968</v>
          </cell>
          <cell r="CQ42">
            <v>220.7030856221308</v>
          </cell>
          <cell r="CR42">
            <v>220.5253376505058</v>
          </cell>
          <cell r="CS42">
            <v>220.61421163631832</v>
          </cell>
          <cell r="CT42">
            <v>218.20204195960838</v>
          </cell>
          <cell r="CU42">
            <v>233.76693267996669</v>
          </cell>
          <cell r="CV42">
            <v>229.93063476566559</v>
          </cell>
          <cell r="CW42">
            <v>229.93063476566559</v>
          </cell>
          <cell r="CX42">
            <v>231.20940073709929</v>
          </cell>
          <cell r="CY42">
            <v>211.85659672172113</v>
          </cell>
          <cell r="CZ42">
            <v>257.73218184503622</v>
          </cell>
          <cell r="DA42">
            <v>220.63044615745682</v>
          </cell>
          <cell r="DB42">
            <v>233.80405456922179</v>
          </cell>
          <cell r="DC42">
            <v>268.0475345047206</v>
          </cell>
          <cell r="DD42">
            <v>262.8091500818843</v>
          </cell>
          <cell r="DE42">
            <v>244.49127548959586</v>
          </cell>
          <cell r="DF42">
            <v>271.27472920957092</v>
          </cell>
          <cell r="DG42">
            <v>257.88300234958342</v>
          </cell>
          <cell r="DH42">
            <v>229.47908782050419</v>
          </cell>
          <cell r="DI42">
            <v>214.75948972950141</v>
          </cell>
          <cell r="DK42">
            <v>327000</v>
          </cell>
          <cell r="DL42" t="str">
            <v>2017-18</v>
          </cell>
          <cell r="DM42">
            <v>202000</v>
          </cell>
          <cell r="DN42" t="str">
            <v>2016-17</v>
          </cell>
          <cell r="DO42">
            <v>1065000</v>
          </cell>
          <cell r="DP42" t="str">
            <v>2018-19</v>
          </cell>
          <cell r="DQ42">
            <v>1700000</v>
          </cell>
          <cell r="DR42" t="str">
            <v>2018-19</v>
          </cell>
          <cell r="DS42">
            <v>5800000</v>
          </cell>
          <cell r="DT42" t="str">
            <v>2018-19</v>
          </cell>
          <cell r="DU42">
            <v>17200000</v>
          </cell>
          <cell r="DV42" t="str">
            <v>2017-18</v>
          </cell>
          <cell r="DW42">
            <v>610000</v>
          </cell>
          <cell r="DX42" t="str">
            <v>2018-19</v>
          </cell>
          <cell r="DY42">
            <v>6200000</v>
          </cell>
          <cell r="DZ42" t="str">
            <v>2018-19</v>
          </cell>
          <cell r="EA42">
            <v>32575000</v>
          </cell>
          <cell r="EB42">
            <v>490000</v>
          </cell>
          <cell r="EC42" t="str">
            <v>2017-18</v>
          </cell>
          <cell r="ED42">
            <v>169595</v>
          </cell>
          <cell r="EE42">
            <v>2018</v>
          </cell>
          <cell r="EF42">
            <v>218233</v>
          </cell>
          <cell r="EG42">
            <v>2018</v>
          </cell>
          <cell r="EH42">
            <v>54793181</v>
          </cell>
          <cell r="EI42">
            <v>2018</v>
          </cell>
          <cell r="EJ42">
            <v>5291453</v>
          </cell>
          <cell r="EK42">
            <v>2018</v>
          </cell>
          <cell r="EL42">
            <v>14339908</v>
          </cell>
          <cell r="EM42">
            <v>2018</v>
          </cell>
          <cell r="EN42">
            <v>3364725</v>
          </cell>
          <cell r="EO42">
            <v>2017</v>
          </cell>
          <cell r="EP42">
            <v>6552</v>
          </cell>
          <cell r="EQ42">
            <v>3003036</v>
          </cell>
          <cell r="ER42">
            <v>33739</v>
          </cell>
          <cell r="ET42">
            <v>22340</v>
          </cell>
          <cell r="EU42">
            <v>17224</v>
          </cell>
          <cell r="EV42">
            <v>9128</v>
          </cell>
          <cell r="EW42">
            <v>17414</v>
          </cell>
          <cell r="EX42">
            <v>66106</v>
          </cell>
          <cell r="EY42">
            <v>19463</v>
          </cell>
          <cell r="EZ42">
            <v>74231</v>
          </cell>
          <cell r="FA42">
            <v>24553</v>
          </cell>
          <cell r="FB42">
            <v>23958</v>
          </cell>
          <cell r="FC42">
            <v>48511</v>
          </cell>
          <cell r="FD42">
            <v>66959.290000000008</v>
          </cell>
          <cell r="FF42">
            <v>814000</v>
          </cell>
          <cell r="FG42" t="str">
            <v>2017-18</v>
          </cell>
          <cell r="FH42">
            <v>1370000</v>
          </cell>
          <cell r="FI42" t="str">
            <v>2017-18</v>
          </cell>
          <cell r="FJ42">
            <v>3740000</v>
          </cell>
          <cell r="FK42" t="str">
            <v>2017-18</v>
          </cell>
          <cell r="FL42">
            <v>3500000</v>
          </cell>
          <cell r="FM42" t="str">
            <v>2017-18</v>
          </cell>
          <cell r="FN42">
            <v>31000000</v>
          </cell>
          <cell r="FO42" t="str">
            <v>2017-18</v>
          </cell>
          <cell r="FP42">
            <v>37780000</v>
          </cell>
          <cell r="FQ42" t="str">
            <v>2017-18</v>
          </cell>
          <cell r="FR42">
            <v>1550000</v>
          </cell>
          <cell r="FS42" t="str">
            <v>2017-18</v>
          </cell>
          <cell r="FT42">
            <v>18500000</v>
          </cell>
          <cell r="FU42" t="str">
            <v>2017-18</v>
          </cell>
          <cell r="FV42">
            <v>96070000</v>
          </cell>
          <cell r="FW42">
            <v>950000</v>
          </cell>
          <cell r="FX42" t="str">
            <v>2017-18</v>
          </cell>
          <cell r="FY42">
            <v>44892.364999999998</v>
          </cell>
          <cell r="FZ42">
            <v>806656.897</v>
          </cell>
          <cell r="GA42" t="str">
            <v>oct17 sept18</v>
          </cell>
          <cell r="GB42">
            <v>25733114</v>
          </cell>
          <cell r="GD42">
            <v>1989400</v>
          </cell>
          <cell r="GE42">
            <v>431374</v>
          </cell>
          <cell r="GF42">
            <v>1006779</v>
          </cell>
          <cell r="GG42">
            <v>114118</v>
          </cell>
          <cell r="GH42">
            <v>1552271</v>
          </cell>
          <cell r="GI42">
            <v>1302556</v>
          </cell>
          <cell r="GJ42">
            <v>685541.2</v>
          </cell>
          <cell r="GK42">
            <v>1103042.8600000001</v>
          </cell>
          <cell r="GL42">
            <v>287064.67</v>
          </cell>
          <cell r="GM42">
            <v>260870.73</v>
          </cell>
          <cell r="GN42">
            <v>2336519.46</v>
          </cell>
          <cell r="GO42">
            <v>195071</v>
          </cell>
          <cell r="GP42">
            <v>79468</v>
          </cell>
          <cell r="GQ42">
            <v>13900</v>
          </cell>
          <cell r="GR42">
            <v>42800</v>
          </cell>
          <cell r="GS42">
            <v>43217</v>
          </cell>
          <cell r="GT42">
            <v>2483769</v>
          </cell>
          <cell r="GU42">
            <v>22061</v>
          </cell>
          <cell r="GV42">
            <v>36239</v>
          </cell>
          <cell r="GW42">
            <v>1054691</v>
          </cell>
          <cell r="GX42">
            <v>26114.056</v>
          </cell>
          <cell r="GY42" t="str">
            <v>2017-2018</v>
          </cell>
          <cell r="GZ42">
            <v>104093.27099999999</v>
          </cell>
          <cell r="HA42">
            <v>237350</v>
          </cell>
          <cell r="HB42">
            <v>3030732</v>
          </cell>
          <cell r="HC42" t="str">
            <v>oct17 sept18</v>
          </cell>
          <cell r="HD42">
            <v>51041</v>
          </cell>
          <cell r="HE42">
            <v>608490</v>
          </cell>
          <cell r="HF42" t="str">
            <v>oct17 sept18</v>
          </cell>
          <cell r="HG42">
            <v>164000</v>
          </cell>
          <cell r="HH42">
            <v>2061000</v>
          </cell>
          <cell r="HI42" t="str">
            <v>oct17 sept18</v>
          </cell>
          <cell r="HJ42">
            <v>90423.360000000001</v>
          </cell>
          <cell r="HK42">
            <v>61011.167999999998</v>
          </cell>
          <cell r="HL42" t="str">
            <v>oct17 sept18</v>
          </cell>
          <cell r="HM42">
            <v>2122011.1680000001</v>
          </cell>
          <cell r="HN42">
            <v>9.287724423582433E-2</v>
          </cell>
          <cell r="HO42">
            <v>974100000</v>
          </cell>
          <cell r="HP42">
            <v>10244.90897345803</v>
          </cell>
          <cell r="HQ42" t="str">
            <v>oct17 sept18</v>
          </cell>
          <cell r="HU42">
            <v>680000</v>
          </cell>
          <cell r="HV42" t="str">
            <v>2017-18</v>
          </cell>
          <cell r="HW42">
            <v>1350000</v>
          </cell>
          <cell r="HX42" t="str">
            <v>2017-18</v>
          </cell>
          <cell r="HY42">
            <v>3400000</v>
          </cell>
          <cell r="HZ42" t="str">
            <v>2017-18</v>
          </cell>
          <cell r="IA42">
            <v>19890000</v>
          </cell>
          <cell r="IB42" t="str">
            <v>2017-18</v>
          </cell>
          <cell r="IC42">
            <v>41300000</v>
          </cell>
          <cell r="ID42" t="str">
            <v>2017-18</v>
          </cell>
          <cell r="IE42">
            <v>1550000</v>
          </cell>
          <cell r="IF42" t="str">
            <v>2017-18</v>
          </cell>
          <cell r="IG42">
            <v>6500000</v>
          </cell>
          <cell r="IH42" t="str">
            <v>2017-18</v>
          </cell>
          <cell r="II42">
            <v>73990000</v>
          </cell>
          <cell r="IJ42">
            <v>1.5656077472231611</v>
          </cell>
          <cell r="IK42" t="str">
            <v>2017-18</v>
          </cell>
          <cell r="IL42">
            <v>39.35</v>
          </cell>
          <cell r="IM42">
            <v>51.5</v>
          </cell>
          <cell r="IN42">
            <v>190</v>
          </cell>
          <cell r="IO42">
            <v>14.56</v>
          </cell>
          <cell r="IP42">
            <v>5.651883633677623</v>
          </cell>
          <cell r="IQ42">
            <v>18.899999999999999</v>
          </cell>
          <cell r="IR42">
            <v>5.93</v>
          </cell>
          <cell r="IS42">
            <v>5.67</v>
          </cell>
          <cell r="IT42">
            <v>11.35</v>
          </cell>
          <cell r="IU42">
            <v>0.88</v>
          </cell>
          <cell r="IV42">
            <v>17.899999999999999</v>
          </cell>
          <cell r="IY42">
            <v>1.84</v>
          </cell>
          <cell r="IZ42">
            <v>0.3</v>
          </cell>
          <cell r="JA42">
            <v>1500</v>
          </cell>
          <cell r="JF42">
            <v>34.568423470000013</v>
          </cell>
          <cell r="JG42">
            <v>14.388441969999999</v>
          </cell>
          <cell r="JH42">
            <v>37.412971300000002</v>
          </cell>
          <cell r="JI42">
            <v>45.422756680000006</v>
          </cell>
          <cell r="JJ42">
            <v>332.40610140999996</v>
          </cell>
          <cell r="JK42">
            <v>58.962605289999999</v>
          </cell>
          <cell r="JL42">
            <v>1144.1600140099999</v>
          </cell>
          <cell r="JM42">
            <v>3.0495782400000002</v>
          </cell>
          <cell r="JN42">
            <v>133.67489118</v>
          </cell>
          <cell r="JO42">
            <v>14.894635149999999</v>
          </cell>
          <cell r="JP42">
            <v>0</v>
          </cell>
          <cell r="JQ42">
            <v>0</v>
          </cell>
          <cell r="JR42">
            <v>0.20892084</v>
          </cell>
          <cell r="JS42">
            <v>0</v>
          </cell>
          <cell r="JT42">
            <v>0</v>
          </cell>
          <cell r="JU42">
            <v>92.941241879999993</v>
          </cell>
          <cell r="JV42">
            <v>4.3353269100000009</v>
          </cell>
          <cell r="JW42">
            <v>9.0340119300000001</v>
          </cell>
          <cell r="JX42">
            <v>26.809205429999999</v>
          </cell>
          <cell r="JY42">
            <v>0</v>
          </cell>
          <cell r="JZ42">
            <v>4.7330290500000007</v>
          </cell>
          <cell r="KA42">
            <v>0</v>
          </cell>
          <cell r="KB42">
            <v>2.35736218</v>
          </cell>
          <cell r="KC42">
            <v>35.186871850000003</v>
          </cell>
          <cell r="KD42">
            <v>10.30519668</v>
          </cell>
          <cell r="KE42">
            <v>26.99250168</v>
          </cell>
          <cell r="KF42">
            <v>27.129243300000006</v>
          </cell>
          <cell r="KG42">
            <v>259.90462441</v>
          </cell>
          <cell r="KH42">
            <v>72.820398080000004</v>
          </cell>
          <cell r="KI42">
            <v>28.816406010000001</v>
          </cell>
          <cell r="KJ42">
            <v>2.5303447800000001</v>
          </cell>
          <cell r="KK42">
            <v>5.1648415400000003</v>
          </cell>
          <cell r="KL42">
            <v>6.8477999999999997E-2</v>
          </cell>
          <cell r="KM42">
            <v>4.8461488999999993</v>
          </cell>
          <cell r="KN42">
            <v>0.44154673000000005</v>
          </cell>
          <cell r="KO42">
            <v>1.3871065499999999</v>
          </cell>
          <cell r="KP42">
            <v>0</v>
          </cell>
          <cell r="KQ42">
            <v>124.94630903000001</v>
          </cell>
          <cell r="KR42">
            <v>0</v>
          </cell>
          <cell r="KS42">
            <v>0.28276192999999999</v>
          </cell>
          <cell r="KT42">
            <v>2.7953614999999998</v>
          </cell>
          <cell r="KU42">
            <v>0.26673711</v>
          </cell>
          <cell r="KV42">
            <v>0.50709225999999996</v>
          </cell>
          <cell r="KW42">
            <v>1.7187177200000001</v>
          </cell>
          <cell r="KX42">
            <v>0</v>
          </cell>
          <cell r="KY42">
            <v>0</v>
          </cell>
          <cell r="KZ42">
            <v>0.94201140999999999</v>
          </cell>
          <cell r="LA42">
            <v>0.46454612000000001</v>
          </cell>
          <cell r="LB42">
            <v>0</v>
          </cell>
          <cell r="LC42">
            <v>0</v>
          </cell>
          <cell r="LD42">
            <v>0</v>
          </cell>
          <cell r="LE42">
            <v>0.84705348000000003</v>
          </cell>
          <cell r="LF42">
            <v>0</v>
          </cell>
          <cell r="LG42">
            <v>16.465361260000002</v>
          </cell>
          <cell r="LH42">
            <v>1.91841229</v>
          </cell>
          <cell r="LI42">
            <v>0</v>
          </cell>
          <cell r="LJ42">
            <v>0</v>
          </cell>
          <cell r="LK42">
            <v>0.42050897000000004</v>
          </cell>
          <cell r="LL42">
            <v>6.2852508699999996</v>
          </cell>
          <cell r="LM42">
            <v>0.88029893000000004</v>
          </cell>
          <cell r="LN42">
            <v>0</v>
          </cell>
          <cell r="LO42">
            <v>6.6572626500000007</v>
          </cell>
          <cell r="LQ42">
            <v>1696.1263128200001</v>
          </cell>
          <cell r="LR42">
            <v>0.20892084</v>
          </cell>
          <cell r="LS42">
            <v>13.369338840000001</v>
          </cell>
          <cell r="LT42">
            <v>4.7330290500000007</v>
          </cell>
          <cell r="LU42">
            <v>131.90387314</v>
          </cell>
          <cell r="LV42">
            <v>2.2258099800000002</v>
          </cell>
          <cell r="LW42">
            <v>0.46454612000000001</v>
          </cell>
          <cell r="LX42">
            <v>0.84705348000000003</v>
          </cell>
          <cell r="LZ42">
            <v>37.76</v>
          </cell>
          <cell r="MA42">
            <v>33.39</v>
          </cell>
          <cell r="MH42">
            <v>67.25</v>
          </cell>
          <cell r="MI42">
            <v>26.92</v>
          </cell>
          <cell r="MJ42">
            <v>16.149999999999999</v>
          </cell>
          <cell r="ML42">
            <v>23.04</v>
          </cell>
          <cell r="MM42">
            <v>39.33</v>
          </cell>
          <cell r="MO42">
            <v>19.52</v>
          </cell>
          <cell r="MP42">
            <v>46.79</v>
          </cell>
          <cell r="MQ42">
            <v>44.38</v>
          </cell>
          <cell r="MU42">
            <v>21.79</v>
          </cell>
          <cell r="MY42">
            <v>50.37</v>
          </cell>
          <cell r="MZ42">
            <v>129.19999999999999</v>
          </cell>
          <cell r="NA42">
            <v>60.57</v>
          </cell>
          <cell r="NB42">
            <v>171.42</v>
          </cell>
          <cell r="NC42">
            <v>28.28</v>
          </cell>
          <cell r="NE42">
            <v>150.22</v>
          </cell>
        </row>
        <row r="43">
          <cell r="A43">
            <v>43374</v>
          </cell>
          <cell r="B43">
            <v>10</v>
          </cell>
          <cell r="C43">
            <v>2018</v>
          </cell>
          <cell r="D43">
            <v>43</v>
          </cell>
          <cell r="E43">
            <v>43374</v>
          </cell>
          <cell r="F43">
            <v>37.93636363636363</v>
          </cell>
          <cell r="G43">
            <v>174.1</v>
          </cell>
          <cell r="H43">
            <v>15268.33</v>
          </cell>
          <cell r="I43">
            <v>88</v>
          </cell>
          <cell r="J43">
            <v>460</v>
          </cell>
          <cell r="K43">
            <v>2.9</v>
          </cell>
          <cell r="L43">
            <v>25.4</v>
          </cell>
          <cell r="N43">
            <v>1.56</v>
          </cell>
          <cell r="O43">
            <v>1.39</v>
          </cell>
          <cell r="P43">
            <v>51.531136363636357</v>
          </cell>
          <cell r="Q43">
            <v>625</v>
          </cell>
          <cell r="R43">
            <v>6250</v>
          </cell>
          <cell r="S43">
            <v>174.45454545454547</v>
          </cell>
          <cell r="T43">
            <v>262.40909090909093</v>
          </cell>
          <cell r="U43">
            <v>145.52272727272728</v>
          </cell>
          <cell r="V43">
            <v>253.3545454545455</v>
          </cell>
          <cell r="W43">
            <v>111.40909090909091</v>
          </cell>
          <cell r="X43">
            <v>192.05909090909091</v>
          </cell>
          <cell r="Y43">
            <v>6618.171074380165</v>
          </cell>
          <cell r="Z43">
            <v>9954.8466942148752</v>
          </cell>
          <cell r="AA43">
            <v>5520.6030991735533</v>
          </cell>
          <cell r="AB43">
            <v>9611.3501652892573</v>
          </cell>
          <cell r="AC43">
            <v>4226.4557851239661</v>
          </cell>
          <cell r="AD43">
            <v>7286.0235123966931</v>
          </cell>
          <cell r="AE43">
            <v>7202.9083884297515</v>
          </cell>
          <cell r="AF43">
            <v>23707.55</v>
          </cell>
          <cell r="AG43">
            <v>8400</v>
          </cell>
          <cell r="AH43">
            <v>31900</v>
          </cell>
          <cell r="AI43">
            <v>10.33</v>
          </cell>
          <cell r="AJ43">
            <v>7.92</v>
          </cell>
          <cell r="AK43">
            <v>7.07</v>
          </cell>
          <cell r="AL43">
            <v>6.33</v>
          </cell>
          <cell r="AM43">
            <v>8.4260000000000002</v>
          </cell>
          <cell r="AN43">
            <v>28.555397727272734</v>
          </cell>
          <cell r="AO43">
            <v>17.76227272727272</v>
          </cell>
          <cell r="AP43">
            <v>23.158835227272725</v>
          </cell>
          <cell r="AQ43">
            <v>15.163181818181823</v>
          </cell>
          <cell r="AR43">
            <v>15.27045454545455</v>
          </cell>
          <cell r="AS43">
            <v>13.496477987421384</v>
          </cell>
          <cell r="AT43">
            <v>12.261363636363638</v>
          </cell>
          <cell r="AU43">
            <v>13.676098723079859</v>
          </cell>
          <cell r="AV43">
            <v>10.702710280373832</v>
          </cell>
          <cell r="AW43">
            <v>9.5077272727272728</v>
          </cell>
          <cell r="AX43">
            <v>12.209999999999997</v>
          </cell>
          <cell r="AY43">
            <v>29.09</v>
          </cell>
          <cell r="AZ43">
            <v>10.379545454545454</v>
          </cell>
          <cell r="BA43">
            <v>9.2109999999999967</v>
          </cell>
          <cell r="BB43">
            <v>15.222636363636362</v>
          </cell>
          <cell r="BC43">
            <v>812</v>
          </cell>
          <cell r="BD43">
            <v>914</v>
          </cell>
          <cell r="BE43">
            <v>700</v>
          </cell>
          <cell r="BF43">
            <v>460</v>
          </cell>
          <cell r="BG43">
            <v>721.5</v>
          </cell>
          <cell r="BH43">
            <v>53.11</v>
          </cell>
          <cell r="BI43">
            <v>25.981000000000002</v>
          </cell>
          <cell r="BJ43">
            <v>79.091000000000008</v>
          </cell>
          <cell r="BK43">
            <v>45.807000000000002</v>
          </cell>
          <cell r="BL43">
            <v>54.39</v>
          </cell>
          <cell r="BM43">
            <v>50.098500000000001</v>
          </cell>
          <cell r="BN43">
            <v>8.42</v>
          </cell>
          <cell r="BO43">
            <v>41.756818181818176</v>
          </cell>
          <cell r="BP43">
            <v>25.428166666666669</v>
          </cell>
          <cell r="BQ43">
            <v>40.123953030303028</v>
          </cell>
          <cell r="BR43">
            <v>33.090000000000003</v>
          </cell>
          <cell r="BS43">
            <v>130</v>
          </cell>
          <cell r="BT43">
            <v>101.89</v>
          </cell>
          <cell r="BU43">
            <v>1865.67</v>
          </cell>
          <cell r="BV43">
            <v>59.8</v>
          </cell>
          <cell r="BY43">
            <v>291.78401589685512</v>
          </cell>
          <cell r="BZ43">
            <v>264.82430398109977</v>
          </cell>
          <cell r="CA43">
            <v>285.76623519423111</v>
          </cell>
          <cell r="CB43">
            <v>271.24502789287277</v>
          </cell>
          <cell r="CC43">
            <v>268.62444757667419</v>
          </cell>
          <cell r="CD43">
            <v>284.36042844209686</v>
          </cell>
          <cell r="CE43">
            <v>245.86930483961558</v>
          </cell>
          <cell r="CF43">
            <v>293.61156409788077</v>
          </cell>
          <cell r="CG43">
            <v>274.91283467389525</v>
          </cell>
          <cell r="CH43">
            <v>307.85460494373615</v>
          </cell>
          <cell r="CI43">
            <v>269.55582331456588</v>
          </cell>
          <cell r="CJ43">
            <v>218.75322096338738</v>
          </cell>
          <cell r="CK43">
            <v>261.20518862999972</v>
          </cell>
          <cell r="CL43">
            <v>316.50695962362164</v>
          </cell>
          <cell r="CM43">
            <v>212.35311458398311</v>
          </cell>
          <cell r="CN43">
            <v>221.19186087542852</v>
          </cell>
          <cell r="CO43">
            <v>252.81428092825826</v>
          </cell>
          <cell r="CP43">
            <v>271.61394227627778</v>
          </cell>
          <cell r="CQ43">
            <v>220.43643274510481</v>
          </cell>
          <cell r="CR43">
            <v>221.38854527735847</v>
          </cell>
          <cell r="CS43">
            <v>220.91248901123163</v>
          </cell>
          <cell r="CT43">
            <v>221.6148371398115</v>
          </cell>
          <cell r="CU43">
            <v>234.48826611390948</v>
          </cell>
          <cell r="CV43">
            <v>231.75205520828416</v>
          </cell>
          <cell r="CW43">
            <v>231.75205520828416</v>
          </cell>
          <cell r="CX43">
            <v>232.66412551015924</v>
          </cell>
          <cell r="CY43">
            <v>213.94008198805236</v>
          </cell>
          <cell r="CZ43">
            <v>259.47095181022524</v>
          </cell>
          <cell r="DA43">
            <v>222.71904192587311</v>
          </cell>
          <cell r="DB43">
            <v>233.51414461402163</v>
          </cell>
          <cell r="DC43">
            <v>261.50732604205791</v>
          </cell>
          <cell r="DD43">
            <v>255.89858286037082</v>
          </cell>
          <cell r="DE43">
            <v>236.22955059092692</v>
          </cell>
          <cell r="DF43">
            <v>261.70438306945573</v>
          </cell>
          <cell r="DG43">
            <v>248.96696683019132</v>
          </cell>
          <cell r="DH43">
            <v>235.06915539103304</v>
          </cell>
          <cell r="DI43">
            <v>219.71551231394838</v>
          </cell>
          <cell r="DK43">
            <v>440000</v>
          </cell>
          <cell r="DL43" t="str">
            <v>2018-19</v>
          </cell>
          <cell r="DM43">
            <v>192000</v>
          </cell>
          <cell r="DN43" t="str">
            <v>2018-19</v>
          </cell>
          <cell r="DO43">
            <v>1065000</v>
          </cell>
          <cell r="DP43" t="str">
            <v>2018-19</v>
          </cell>
          <cell r="DQ43">
            <v>1700000</v>
          </cell>
          <cell r="DR43" t="str">
            <v>2018-19</v>
          </cell>
          <cell r="DS43">
            <v>5800000</v>
          </cell>
          <cell r="DT43" t="str">
            <v>2018-19</v>
          </cell>
          <cell r="DU43">
            <v>17500000</v>
          </cell>
          <cell r="DV43" t="str">
            <v>2018-19</v>
          </cell>
          <cell r="DW43">
            <v>610000</v>
          </cell>
          <cell r="DX43" t="str">
            <v>2018-19</v>
          </cell>
          <cell r="DY43">
            <v>6200000</v>
          </cell>
          <cell r="DZ43" t="str">
            <v>2018-19</v>
          </cell>
          <cell r="EA43">
            <v>32875000</v>
          </cell>
          <cell r="EB43">
            <v>499000</v>
          </cell>
          <cell r="EC43" t="str">
            <v>2017-18</v>
          </cell>
          <cell r="ED43">
            <v>169595</v>
          </cell>
          <cell r="EE43">
            <v>2018</v>
          </cell>
          <cell r="EF43">
            <v>218233</v>
          </cell>
          <cell r="EG43">
            <v>2018</v>
          </cell>
          <cell r="EH43">
            <v>54793181</v>
          </cell>
          <cell r="EI43">
            <v>2018</v>
          </cell>
          <cell r="EJ43">
            <v>5291453</v>
          </cell>
          <cell r="EK43">
            <v>2018</v>
          </cell>
          <cell r="EL43">
            <v>14339908</v>
          </cell>
          <cell r="EM43">
            <v>2018</v>
          </cell>
          <cell r="EN43">
            <v>3364725</v>
          </cell>
          <cell r="EO43">
            <v>2017</v>
          </cell>
          <cell r="EP43">
            <v>6552</v>
          </cell>
          <cell r="EQ43">
            <v>3003036</v>
          </cell>
          <cell r="ER43">
            <v>33739</v>
          </cell>
          <cell r="ET43">
            <v>22340</v>
          </cell>
          <cell r="EU43">
            <v>17224</v>
          </cell>
          <cell r="EV43">
            <v>9128</v>
          </cell>
          <cell r="EW43">
            <v>17414</v>
          </cell>
          <cell r="EX43">
            <v>66106</v>
          </cell>
          <cell r="EY43">
            <v>19463</v>
          </cell>
          <cell r="EZ43">
            <v>74231</v>
          </cell>
          <cell r="FA43">
            <v>24553</v>
          </cell>
          <cell r="FB43">
            <v>23958</v>
          </cell>
          <cell r="FC43">
            <v>48511</v>
          </cell>
          <cell r="FD43">
            <v>66959.290000000008</v>
          </cell>
          <cell r="FF43">
            <v>814000</v>
          </cell>
          <cell r="FG43" t="str">
            <v>2017-18</v>
          </cell>
          <cell r="FH43">
            <v>1370000</v>
          </cell>
          <cell r="FI43" t="str">
            <v>2017-18</v>
          </cell>
          <cell r="FJ43">
            <v>3740000</v>
          </cell>
          <cell r="FK43" t="str">
            <v>2017-18</v>
          </cell>
          <cell r="FL43">
            <v>3530000</v>
          </cell>
          <cell r="FM43" t="str">
            <v>2017-18</v>
          </cell>
          <cell r="FN43">
            <v>31000000</v>
          </cell>
          <cell r="FO43" t="str">
            <v>2017-18</v>
          </cell>
          <cell r="FP43">
            <v>37780000</v>
          </cell>
          <cell r="FQ43" t="str">
            <v>2017-18</v>
          </cell>
          <cell r="FR43">
            <v>1550000</v>
          </cell>
          <cell r="FS43" t="str">
            <v>2017-18</v>
          </cell>
          <cell r="FT43">
            <v>18500000</v>
          </cell>
          <cell r="FU43" t="str">
            <v>2017-18</v>
          </cell>
          <cell r="FV43">
            <v>96100000</v>
          </cell>
          <cell r="FW43">
            <v>1000000</v>
          </cell>
          <cell r="FX43" t="str">
            <v>2017-18</v>
          </cell>
          <cell r="FY43">
            <v>0</v>
          </cell>
          <cell r="FZ43">
            <v>806656.897</v>
          </cell>
          <cell r="GA43" t="str">
            <v>nov17 oct18</v>
          </cell>
          <cell r="GB43">
            <v>25733114</v>
          </cell>
          <cell r="GD43">
            <v>1989400</v>
          </cell>
          <cell r="GE43">
            <v>431374</v>
          </cell>
          <cell r="GF43">
            <v>1006779</v>
          </cell>
          <cell r="GG43">
            <v>114118</v>
          </cell>
          <cell r="GH43">
            <v>1552271</v>
          </cell>
          <cell r="GI43">
            <v>1302556</v>
          </cell>
          <cell r="GJ43">
            <v>685541.2</v>
          </cell>
          <cell r="GK43">
            <v>1103042.8600000001</v>
          </cell>
          <cell r="GL43">
            <v>287064.67</v>
          </cell>
          <cell r="GM43">
            <v>260870.73</v>
          </cell>
          <cell r="GN43">
            <v>2336519.46</v>
          </cell>
          <cell r="GO43">
            <v>195071</v>
          </cell>
          <cell r="GP43">
            <v>79468</v>
          </cell>
          <cell r="GQ43">
            <v>44033.75</v>
          </cell>
          <cell r="GR43">
            <v>42800</v>
          </cell>
          <cell r="GS43">
            <v>44121.012499999997</v>
          </cell>
          <cell r="GT43">
            <v>2483769</v>
          </cell>
          <cell r="GU43">
            <v>21840</v>
          </cell>
          <cell r="GV43">
            <v>36932</v>
          </cell>
          <cell r="GW43">
            <v>1070014</v>
          </cell>
          <cell r="GX43">
            <v>26114.056</v>
          </cell>
          <cell r="GY43" t="str">
            <v>2017-2018</v>
          </cell>
          <cell r="GZ43">
            <v>104093.27099999999</v>
          </cell>
          <cell r="HA43">
            <v>277536</v>
          </cell>
          <cell r="HB43">
            <v>3051268</v>
          </cell>
          <cell r="HC43" t="str">
            <v>nov17 oct18</v>
          </cell>
          <cell r="HD43">
            <v>55264</v>
          </cell>
          <cell r="HE43">
            <v>611899</v>
          </cell>
          <cell r="HF43" t="str">
            <v>nov17 oct18</v>
          </cell>
          <cell r="HG43">
            <v>188000</v>
          </cell>
          <cell r="HH43">
            <v>2071000</v>
          </cell>
          <cell r="HI43" t="str">
            <v>nov17 oct18</v>
          </cell>
          <cell r="HJ43">
            <v>91386.36</v>
          </cell>
          <cell r="HK43">
            <v>60725.289599999996</v>
          </cell>
          <cell r="HL43" t="str">
            <v>nov17 oct18</v>
          </cell>
          <cell r="HM43">
            <v>2131725.2895999998</v>
          </cell>
          <cell r="HN43">
            <v>0.12044491728637041</v>
          </cell>
          <cell r="HO43">
            <v>1011400000</v>
          </cell>
          <cell r="HP43">
            <v>10353.631845474327</v>
          </cell>
          <cell r="HQ43" t="str">
            <v>nov17 oct18</v>
          </cell>
          <cell r="HU43">
            <v>680000</v>
          </cell>
          <cell r="HV43" t="str">
            <v>2017-18</v>
          </cell>
          <cell r="HW43">
            <v>1350000</v>
          </cell>
          <cell r="HX43" t="str">
            <v>2017-18</v>
          </cell>
          <cell r="HY43">
            <v>3400000</v>
          </cell>
          <cell r="HZ43" t="str">
            <v>2017-18</v>
          </cell>
          <cell r="IA43">
            <v>19890000</v>
          </cell>
          <cell r="IB43" t="str">
            <v>2017-18</v>
          </cell>
          <cell r="IC43">
            <v>41300000</v>
          </cell>
          <cell r="ID43" t="str">
            <v>2017-18</v>
          </cell>
          <cell r="IE43">
            <v>1550000</v>
          </cell>
          <cell r="IF43" t="str">
            <v>2017-18</v>
          </cell>
          <cell r="IG43">
            <v>6500000</v>
          </cell>
          <cell r="IH43" t="str">
            <v>2017-18</v>
          </cell>
          <cell r="II43">
            <v>73990000</v>
          </cell>
          <cell r="IJ43">
            <v>1.5656077472231611</v>
          </cell>
          <cell r="IK43" t="str">
            <v>2017-18</v>
          </cell>
          <cell r="IL43">
            <v>44.23</v>
          </cell>
          <cell r="IM43">
            <v>58.54</v>
          </cell>
          <cell r="IN43">
            <v>190</v>
          </cell>
          <cell r="IO43">
            <v>15.51</v>
          </cell>
          <cell r="IP43">
            <v>5.651883633677623</v>
          </cell>
          <cell r="IQ43">
            <v>18.899999999999999</v>
          </cell>
          <cell r="IR43">
            <v>5.93</v>
          </cell>
          <cell r="IS43">
            <v>5.67</v>
          </cell>
          <cell r="IT43">
            <v>11.35</v>
          </cell>
          <cell r="IU43">
            <v>0.88</v>
          </cell>
          <cell r="IV43">
            <v>17.899999999999999</v>
          </cell>
          <cell r="IY43">
            <v>1.84</v>
          </cell>
          <cell r="IZ43">
            <v>0.3</v>
          </cell>
          <cell r="JA43">
            <v>1500</v>
          </cell>
          <cell r="JF43">
            <v>32.933837680000003</v>
          </cell>
          <cell r="JG43">
            <v>9.3882848299999999</v>
          </cell>
          <cell r="JH43">
            <v>42.961554</v>
          </cell>
          <cell r="JI43">
            <v>57.140566329999999</v>
          </cell>
          <cell r="JJ43">
            <v>352.73311646000002</v>
          </cell>
          <cell r="JK43">
            <v>58.538656639999992</v>
          </cell>
          <cell r="JL43">
            <v>1251.99394003</v>
          </cell>
          <cell r="JM43">
            <v>2.68353435</v>
          </cell>
          <cell r="JN43">
            <v>110.03951412000001</v>
          </cell>
          <cell r="JO43">
            <v>17.390248970000002</v>
          </cell>
          <cell r="JP43">
            <v>0</v>
          </cell>
          <cell r="JQ43">
            <v>8.1993999999999997E-2</v>
          </cell>
          <cell r="JR43">
            <v>0.44744145000000002</v>
          </cell>
          <cell r="JS43">
            <v>0</v>
          </cell>
          <cell r="JT43">
            <v>0</v>
          </cell>
          <cell r="JU43">
            <v>93.894736159999979</v>
          </cell>
          <cell r="JV43">
            <v>4.6795725399999997</v>
          </cell>
          <cell r="JW43">
            <v>9.8565051100000005</v>
          </cell>
          <cell r="JX43">
            <v>19.155182960000001</v>
          </cell>
          <cell r="JY43">
            <v>0</v>
          </cell>
          <cell r="JZ43">
            <v>0.93235204999999999</v>
          </cell>
          <cell r="KA43">
            <v>2.8700000000000002E-3</v>
          </cell>
          <cell r="KB43">
            <v>2.6884637300000005</v>
          </cell>
          <cell r="KC43">
            <v>24.865603530000001</v>
          </cell>
          <cell r="KD43">
            <v>8.0379433200000019</v>
          </cell>
          <cell r="KE43">
            <v>10.958875469999999</v>
          </cell>
          <cell r="KF43">
            <v>29.763783739999997</v>
          </cell>
          <cell r="KG43">
            <v>285.57423260000007</v>
          </cell>
          <cell r="KH43">
            <v>96.393287599999994</v>
          </cell>
          <cell r="KI43">
            <v>19.211317379999997</v>
          </cell>
          <cell r="KJ43">
            <v>4.7531802000000001</v>
          </cell>
          <cell r="KK43">
            <v>6.2189166599999988</v>
          </cell>
          <cell r="KL43">
            <v>4.7924500000000002E-2</v>
          </cell>
          <cell r="KM43">
            <v>4.1978653599999998</v>
          </cell>
          <cell r="KN43">
            <v>0.49906816999999998</v>
          </cell>
          <cell r="KO43">
            <v>9.6083091100000004</v>
          </cell>
          <cell r="KP43">
            <v>0</v>
          </cell>
          <cell r="KQ43">
            <v>254.45870509000002</v>
          </cell>
          <cell r="KR43">
            <v>0.18879193999999999</v>
          </cell>
          <cell r="KS43">
            <v>0.26217394999999999</v>
          </cell>
          <cell r="KT43">
            <v>3.02559574</v>
          </cell>
          <cell r="KU43">
            <v>4.3976010000000003E-2</v>
          </cell>
          <cell r="KV43">
            <v>0.45200200000000001</v>
          </cell>
          <cell r="KW43">
            <v>3.33208408</v>
          </cell>
          <cell r="KX43">
            <v>0</v>
          </cell>
          <cell r="KY43">
            <v>0.19241659</v>
          </cell>
          <cell r="KZ43">
            <v>1.5471334100000003</v>
          </cell>
          <cell r="LA43">
            <v>0.35823046999999997</v>
          </cell>
          <cell r="LB43">
            <v>0</v>
          </cell>
          <cell r="LC43">
            <v>8.5017529999999994E-2</v>
          </cell>
          <cell r="LD43">
            <v>0</v>
          </cell>
          <cell r="LE43">
            <v>0.78686111000000003</v>
          </cell>
          <cell r="LF43">
            <v>0.16702082000000001</v>
          </cell>
          <cell r="LG43">
            <v>17.655020919999998</v>
          </cell>
          <cell r="LH43">
            <v>2.0533796399999997</v>
          </cell>
          <cell r="LI43">
            <v>0</v>
          </cell>
          <cell r="LJ43">
            <v>0</v>
          </cell>
          <cell r="LK43">
            <v>3.6733055200000004</v>
          </cell>
          <cell r="LL43">
            <v>1.3020031699999999</v>
          </cell>
          <cell r="LM43">
            <v>1.05790319</v>
          </cell>
          <cell r="LN43">
            <v>0</v>
          </cell>
          <cell r="LO43">
            <v>10.151688679999999</v>
          </cell>
          <cell r="LQ43">
            <v>1817.5522252899998</v>
          </cell>
          <cell r="LR43">
            <v>0.52943545000000003</v>
          </cell>
          <cell r="LS43">
            <v>14.536077649999999</v>
          </cell>
          <cell r="LT43">
            <v>0.93522205000000003</v>
          </cell>
          <cell r="LU43">
            <v>269.21491362</v>
          </cell>
          <cell r="LV43">
            <v>3.9765026699999999</v>
          </cell>
          <cell r="LW43">
            <v>0.35823046999999997</v>
          </cell>
          <cell r="LX43">
            <v>0.9538819300000001</v>
          </cell>
          <cell r="LZ43">
            <v>41.54</v>
          </cell>
          <cell r="MA43">
            <v>35.53</v>
          </cell>
          <cell r="MH43">
            <v>71.900000000000006</v>
          </cell>
          <cell r="MI43">
            <v>29.19</v>
          </cell>
          <cell r="MJ43">
            <v>21.83</v>
          </cell>
          <cell r="ML43">
            <v>23.89</v>
          </cell>
          <cell r="MM43">
            <v>42.44</v>
          </cell>
          <cell r="MO43">
            <v>21.94</v>
          </cell>
          <cell r="MP43">
            <v>47.59</v>
          </cell>
          <cell r="MQ43">
            <v>50.29</v>
          </cell>
          <cell r="MU43">
            <v>22.17</v>
          </cell>
          <cell r="MY43">
            <v>54.29</v>
          </cell>
          <cell r="MZ43">
            <v>131.9</v>
          </cell>
          <cell r="NA43">
            <v>60.96</v>
          </cell>
          <cell r="NB43">
            <v>175.18</v>
          </cell>
          <cell r="NC43">
            <v>30.66</v>
          </cell>
          <cell r="NE43">
            <v>158.16999999999999</v>
          </cell>
        </row>
        <row r="44">
          <cell r="A44">
            <v>43405</v>
          </cell>
          <cell r="B44">
            <v>11</v>
          </cell>
          <cell r="C44">
            <v>2018</v>
          </cell>
          <cell r="D44">
            <v>44</v>
          </cell>
          <cell r="E44">
            <v>43405</v>
          </cell>
          <cell r="F44">
            <v>37.314999999999998</v>
          </cell>
          <cell r="G44">
            <v>179.6</v>
          </cell>
          <cell r="H44">
            <v>15915.29</v>
          </cell>
          <cell r="I44">
            <v>102</v>
          </cell>
          <cell r="J44">
            <v>470</v>
          </cell>
          <cell r="K44">
            <v>2.9</v>
          </cell>
          <cell r="L44">
            <v>28.2</v>
          </cell>
          <cell r="N44">
            <v>1.5606</v>
          </cell>
          <cell r="O44">
            <v>1.4065999999999999</v>
          </cell>
          <cell r="P44">
            <v>50.909734</v>
          </cell>
          <cell r="Q44">
            <v>665</v>
          </cell>
          <cell r="R44">
            <v>6650</v>
          </cell>
          <cell r="S44">
            <v>177.85</v>
          </cell>
          <cell r="T44">
            <v>257.5</v>
          </cell>
          <cell r="U44">
            <v>142.69999999999999</v>
          </cell>
          <cell r="V44">
            <v>246.57500000000005</v>
          </cell>
          <cell r="W44">
            <v>108.4</v>
          </cell>
          <cell r="X44">
            <v>186.9</v>
          </cell>
          <cell r="Y44">
            <v>6636.472749999999</v>
          </cell>
          <cell r="Z44">
            <v>9608.6124999999993</v>
          </cell>
          <cell r="AA44">
            <v>5324.8504999999996</v>
          </cell>
          <cell r="AB44">
            <v>9200.9461250000004</v>
          </cell>
          <cell r="AC44">
            <v>4044.9459999999999</v>
          </cell>
          <cell r="AD44">
            <v>6974.1734999999999</v>
          </cell>
          <cell r="AE44">
            <v>6965.000229166666</v>
          </cell>
          <cell r="AF44">
            <v>22331.105263157893</v>
          </cell>
          <cell r="AG44">
            <v>8400</v>
          </cell>
          <cell r="AH44">
            <v>31900</v>
          </cell>
          <cell r="AI44">
            <v>10.130000000000001</v>
          </cell>
          <cell r="AJ44">
            <v>7.5</v>
          </cell>
          <cell r="AK44">
            <v>6.93</v>
          </cell>
          <cell r="AL44">
            <v>7.64</v>
          </cell>
          <cell r="AM44">
            <v>8.5952000000000002</v>
          </cell>
          <cell r="AN44">
            <v>33.199874213836502</v>
          </cell>
          <cell r="AO44">
            <v>20.792000000000002</v>
          </cell>
          <cell r="AP44">
            <v>26.995937106918252</v>
          </cell>
          <cell r="AQ44">
            <v>18.847500000000004</v>
          </cell>
          <cell r="AR44">
            <v>15.671999999999997</v>
          </cell>
          <cell r="AS44">
            <v>13.546812500000001</v>
          </cell>
          <cell r="AT44">
            <v>16.541000000000004</v>
          </cell>
          <cell r="AU44">
            <v>15.253270833333334</v>
          </cell>
          <cell r="AV44">
            <v>9.7818478260869544</v>
          </cell>
          <cell r="AW44">
            <v>9.9742857142857169</v>
          </cell>
          <cell r="AX44">
            <v>12.53</v>
          </cell>
          <cell r="AY44">
            <v>15.766666666666666</v>
          </cell>
          <cell r="AZ44">
            <v>11.364285714285714</v>
          </cell>
          <cell r="BA44">
            <v>16.382777777777783</v>
          </cell>
          <cell r="BB44">
            <v>14.010932539682541</v>
          </cell>
          <cell r="BC44">
            <v>812</v>
          </cell>
          <cell r="BD44">
            <v>914</v>
          </cell>
          <cell r="BE44">
            <v>720</v>
          </cell>
          <cell r="BF44">
            <v>460</v>
          </cell>
          <cell r="BG44">
            <v>726.5</v>
          </cell>
          <cell r="BH44">
            <v>53.11</v>
          </cell>
          <cell r="BI44">
            <v>29.989000000000001</v>
          </cell>
          <cell r="BJ44">
            <v>83.099000000000004</v>
          </cell>
          <cell r="BK44">
            <v>45.192999999999998</v>
          </cell>
          <cell r="BL44">
            <v>49.04</v>
          </cell>
          <cell r="BM44">
            <v>47.116500000000002</v>
          </cell>
          <cell r="BN44">
            <v>8.93</v>
          </cell>
          <cell r="BO44">
            <v>43.315000000000012</v>
          </cell>
          <cell r="BP44">
            <v>25.001833333333334</v>
          </cell>
          <cell r="BQ44">
            <v>41.483683333333346</v>
          </cell>
          <cell r="BR44">
            <v>34.450000000000003</v>
          </cell>
          <cell r="BS44">
            <v>130</v>
          </cell>
          <cell r="BT44">
            <v>126.44</v>
          </cell>
          <cell r="BU44">
            <v>1939.32</v>
          </cell>
          <cell r="BV44">
            <v>62.7</v>
          </cell>
          <cell r="BY44">
            <v>294.10699395398456</v>
          </cell>
          <cell r="BZ44">
            <v>282.80684532414944</v>
          </cell>
          <cell r="CA44">
            <v>289.04046479457526</v>
          </cell>
          <cell r="CB44">
            <v>272.20440787760145</v>
          </cell>
          <cell r="CC44">
            <v>269.88338419692604</v>
          </cell>
          <cell r="CD44">
            <v>281.54828125488444</v>
          </cell>
          <cell r="CE44">
            <v>249.46970227308415</v>
          </cell>
          <cell r="CF44">
            <v>294.20753086661824</v>
          </cell>
          <cell r="CG44">
            <v>276.0589618772816</v>
          </cell>
          <cell r="CH44">
            <v>301.86006933259335</v>
          </cell>
          <cell r="CI44">
            <v>273.61021218865795</v>
          </cell>
          <cell r="CJ44">
            <v>229.13325836575461</v>
          </cell>
          <cell r="CK44">
            <v>271.27820644738705</v>
          </cell>
          <cell r="CL44">
            <v>267.97897176048843</v>
          </cell>
          <cell r="CM44">
            <v>225.07341740257482</v>
          </cell>
          <cell r="CN44">
            <v>256.9635418738992</v>
          </cell>
          <cell r="CO44">
            <v>255.32353437108739</v>
          </cell>
          <cell r="CP44">
            <v>284.86087127995171</v>
          </cell>
          <cell r="CQ44">
            <v>233.11056692701447</v>
          </cell>
          <cell r="CR44">
            <v>234.43054941711256</v>
          </cell>
          <cell r="CS44">
            <v>233.77055817206352</v>
          </cell>
          <cell r="CT44">
            <v>236.40772685454644</v>
          </cell>
          <cell r="CU44">
            <v>243.7250487106493</v>
          </cell>
          <cell r="CV44">
            <v>240.50909381506406</v>
          </cell>
          <cell r="CW44">
            <v>240.50909381506406</v>
          </cell>
          <cell r="CX44">
            <v>241.58107878025916</v>
          </cell>
          <cell r="CY44">
            <v>223.15776146624069</v>
          </cell>
          <cell r="CZ44">
            <v>276.95026314624482</v>
          </cell>
          <cell r="DA44">
            <v>232.67380016564951</v>
          </cell>
          <cell r="DB44">
            <v>239.28771897689705</v>
          </cell>
          <cell r="DC44">
            <v>263.41782181355626</v>
          </cell>
          <cell r="DD44">
            <v>255.86211554127809</v>
          </cell>
          <cell r="DE44">
            <v>231.40882266784416</v>
          </cell>
          <cell r="DF44">
            <v>257.26203869565518</v>
          </cell>
          <cell r="DG44">
            <v>244.33543068174967</v>
          </cell>
          <cell r="DH44">
            <v>245.34023884750434</v>
          </cell>
          <cell r="DI44">
            <v>228.6716850667824</v>
          </cell>
          <cell r="DK44">
            <v>440000</v>
          </cell>
          <cell r="DL44" t="str">
            <v>2018-19</v>
          </cell>
          <cell r="DM44">
            <v>192000</v>
          </cell>
          <cell r="DN44" t="str">
            <v>2018-19</v>
          </cell>
          <cell r="DO44">
            <v>1100000</v>
          </cell>
          <cell r="DP44" t="str">
            <v>2018-19</v>
          </cell>
          <cell r="DQ44">
            <v>1700000</v>
          </cell>
          <cell r="DR44" t="str">
            <v>2018-19</v>
          </cell>
          <cell r="DS44">
            <v>5800000</v>
          </cell>
          <cell r="DT44" t="str">
            <v>2018-19</v>
          </cell>
          <cell r="DU44">
            <v>17500000</v>
          </cell>
          <cell r="DV44" t="str">
            <v>2018-19</v>
          </cell>
          <cell r="DW44">
            <v>607000</v>
          </cell>
          <cell r="DX44" t="str">
            <v>2018-19</v>
          </cell>
          <cell r="DY44">
            <v>6200000</v>
          </cell>
          <cell r="DZ44" t="str">
            <v>2018-19</v>
          </cell>
          <cell r="EA44">
            <v>32907000</v>
          </cell>
          <cell r="EB44">
            <v>499000</v>
          </cell>
          <cell r="EC44" t="str">
            <v>2017-18</v>
          </cell>
          <cell r="ED44">
            <v>169595</v>
          </cell>
          <cell r="EE44">
            <v>2018</v>
          </cell>
          <cell r="EF44">
            <v>218233</v>
          </cell>
          <cell r="EG44">
            <v>2018</v>
          </cell>
          <cell r="EH44">
            <v>54793181</v>
          </cell>
          <cell r="EI44">
            <v>2018</v>
          </cell>
          <cell r="EJ44">
            <v>5291453</v>
          </cell>
          <cell r="EK44">
            <v>2018</v>
          </cell>
          <cell r="EL44">
            <v>14339908</v>
          </cell>
          <cell r="EM44">
            <v>2018</v>
          </cell>
          <cell r="EN44">
            <v>3364725</v>
          </cell>
          <cell r="EO44">
            <v>2017</v>
          </cell>
          <cell r="EP44">
            <v>6552</v>
          </cell>
          <cell r="EQ44">
            <v>3003036</v>
          </cell>
          <cell r="ER44">
            <v>33739</v>
          </cell>
          <cell r="ET44">
            <v>22340</v>
          </cell>
          <cell r="EU44">
            <v>17224</v>
          </cell>
          <cell r="EV44">
            <v>9128</v>
          </cell>
          <cell r="EW44">
            <v>17414</v>
          </cell>
          <cell r="EX44">
            <v>66106</v>
          </cell>
          <cell r="EY44">
            <v>19463</v>
          </cell>
          <cell r="EZ44">
            <v>74231</v>
          </cell>
          <cell r="FA44">
            <v>24553</v>
          </cell>
          <cell r="FB44">
            <v>23958</v>
          </cell>
          <cell r="FC44">
            <v>48511</v>
          </cell>
          <cell r="FD44">
            <v>66959.290000000008</v>
          </cell>
          <cell r="FF44">
            <v>814000</v>
          </cell>
          <cell r="FG44" t="str">
            <v>2017-18</v>
          </cell>
          <cell r="FH44">
            <v>1370000</v>
          </cell>
          <cell r="FI44" t="str">
            <v>2017-18</v>
          </cell>
          <cell r="FJ44">
            <v>4600000</v>
          </cell>
          <cell r="FK44" t="str">
            <v>2018-19</v>
          </cell>
          <cell r="FL44">
            <v>3530000</v>
          </cell>
          <cell r="FM44" t="str">
            <v>2017-18</v>
          </cell>
          <cell r="FN44">
            <v>31000000</v>
          </cell>
          <cell r="FO44" t="str">
            <v>2017-18</v>
          </cell>
          <cell r="FP44">
            <v>37780000</v>
          </cell>
          <cell r="FQ44" t="str">
            <v>2017-18</v>
          </cell>
          <cell r="FR44">
            <v>1550000</v>
          </cell>
          <cell r="FS44" t="str">
            <v>2017-18</v>
          </cell>
          <cell r="FT44">
            <v>19700000</v>
          </cell>
          <cell r="FU44" t="str">
            <v>2018-19</v>
          </cell>
          <cell r="FV44">
            <v>98160000</v>
          </cell>
          <cell r="FW44">
            <v>1020000</v>
          </cell>
          <cell r="FX44" t="str">
            <v>2017-18</v>
          </cell>
          <cell r="FY44">
            <v>0</v>
          </cell>
          <cell r="FZ44">
            <v>806656.897</v>
          </cell>
          <cell r="GA44" t="str">
            <v>dic17 nov18</v>
          </cell>
          <cell r="GB44">
            <v>25733114</v>
          </cell>
          <cell r="GD44">
            <v>1989400</v>
          </cell>
          <cell r="GE44">
            <v>431374</v>
          </cell>
          <cell r="GF44">
            <v>1006779</v>
          </cell>
          <cell r="GG44">
            <v>114118</v>
          </cell>
          <cell r="GH44">
            <v>1552271</v>
          </cell>
          <cell r="GI44">
            <v>1302556</v>
          </cell>
          <cell r="GJ44">
            <v>685541.2</v>
          </cell>
          <cell r="GK44">
            <v>1103042.8600000001</v>
          </cell>
          <cell r="GL44">
            <v>287064.67</v>
          </cell>
          <cell r="GM44">
            <v>260870.73</v>
          </cell>
          <cell r="GN44">
            <v>2336519.46</v>
          </cell>
          <cell r="GO44">
            <v>195071</v>
          </cell>
          <cell r="GP44">
            <v>79468</v>
          </cell>
          <cell r="GQ44">
            <v>63537.75</v>
          </cell>
          <cell r="GR44">
            <v>42800</v>
          </cell>
          <cell r="GS44">
            <v>44706.1325</v>
          </cell>
          <cell r="GT44">
            <v>2483769</v>
          </cell>
          <cell r="GU44">
            <v>18057</v>
          </cell>
          <cell r="GV44">
            <v>30194</v>
          </cell>
          <cell r="GW44">
            <v>1075939</v>
          </cell>
          <cell r="GX44">
            <v>26114.056</v>
          </cell>
          <cell r="GY44" t="str">
            <v>2017-2018</v>
          </cell>
          <cell r="GZ44">
            <v>104093.27099999999</v>
          </cell>
          <cell r="HA44">
            <v>255334</v>
          </cell>
          <cell r="HB44">
            <v>3052602</v>
          </cell>
          <cell r="HC44" t="str">
            <v>dic17 nov18</v>
          </cell>
          <cell r="HD44">
            <v>50508</v>
          </cell>
          <cell r="HE44">
            <v>614550</v>
          </cell>
          <cell r="HF44" t="str">
            <v>dic17 nov18</v>
          </cell>
          <cell r="HG44">
            <v>183000</v>
          </cell>
          <cell r="HH44">
            <v>2077000</v>
          </cell>
          <cell r="HI44" t="str">
            <v>dic17 nov18</v>
          </cell>
          <cell r="HJ44">
            <v>96275.16</v>
          </cell>
          <cell r="HK44">
            <v>61164.319199999998</v>
          </cell>
          <cell r="HL44" t="str">
            <v>dic17 nov18</v>
          </cell>
          <cell r="HM44">
            <v>2138164.3191999998</v>
          </cell>
          <cell r="HN44">
            <v>0.12330741016024982</v>
          </cell>
          <cell r="HO44">
            <v>942600000</v>
          </cell>
          <cell r="HP44">
            <v>10457.102688598623</v>
          </cell>
          <cell r="HQ44" t="str">
            <v>dic17 nov18</v>
          </cell>
          <cell r="HU44">
            <v>680000</v>
          </cell>
          <cell r="HV44" t="str">
            <v>2017-18</v>
          </cell>
          <cell r="HW44">
            <v>1350000</v>
          </cell>
          <cell r="HX44" t="str">
            <v>2017-18</v>
          </cell>
          <cell r="HY44">
            <v>3400000</v>
          </cell>
          <cell r="HZ44" t="str">
            <v>2017-18</v>
          </cell>
          <cell r="IA44">
            <v>19890000</v>
          </cell>
          <cell r="IB44" t="str">
            <v>2017-18</v>
          </cell>
          <cell r="IC44">
            <v>41300000</v>
          </cell>
          <cell r="ID44" t="str">
            <v>2017-18</v>
          </cell>
          <cell r="IE44">
            <v>1550000</v>
          </cell>
          <cell r="IF44" t="str">
            <v>2017-18</v>
          </cell>
          <cell r="IG44">
            <v>6500000</v>
          </cell>
          <cell r="IH44" t="str">
            <v>2017-18</v>
          </cell>
          <cell r="II44">
            <v>73990000</v>
          </cell>
          <cell r="IJ44">
            <v>1.5656077472231611</v>
          </cell>
          <cell r="IK44" t="str">
            <v>2017-18</v>
          </cell>
          <cell r="IL44">
            <v>45.53</v>
          </cell>
          <cell r="IM44">
            <v>55.43</v>
          </cell>
          <cell r="IN44">
            <v>190</v>
          </cell>
          <cell r="IO44">
            <v>14.84</v>
          </cell>
          <cell r="IP44">
            <v>5.651883633677623</v>
          </cell>
          <cell r="IQ44">
            <v>18.899999999999999</v>
          </cell>
          <cell r="IR44">
            <v>5.93</v>
          </cell>
          <cell r="IS44">
            <v>5.67</v>
          </cell>
          <cell r="IT44">
            <v>11.35</v>
          </cell>
          <cell r="IU44">
            <v>0.88</v>
          </cell>
          <cell r="IV44">
            <v>17.899999999999999</v>
          </cell>
          <cell r="IY44">
            <v>1.84</v>
          </cell>
          <cell r="IZ44">
            <v>0.3</v>
          </cell>
          <cell r="JA44">
            <v>1500</v>
          </cell>
          <cell r="JF44">
            <v>20.007687719999996</v>
          </cell>
          <cell r="JG44">
            <v>6.4677091300000011</v>
          </cell>
          <cell r="JH44">
            <v>28.137679240000004</v>
          </cell>
          <cell r="JI44">
            <v>46.878722629999992</v>
          </cell>
          <cell r="JJ44">
            <v>225.31476334999999</v>
          </cell>
          <cell r="JK44">
            <v>77.788000099999991</v>
          </cell>
          <cell r="JL44">
            <v>1228.07568975</v>
          </cell>
          <cell r="JM44">
            <v>0.54602203999999999</v>
          </cell>
          <cell r="JN44">
            <v>170.14991971999999</v>
          </cell>
          <cell r="JO44">
            <v>14.149259840000001</v>
          </cell>
          <cell r="JP44">
            <v>0</v>
          </cell>
          <cell r="JQ44">
            <v>2.495E-2</v>
          </cell>
          <cell r="JR44">
            <v>0.69576405999999991</v>
          </cell>
          <cell r="JS44">
            <v>0</v>
          </cell>
          <cell r="JT44">
            <v>0</v>
          </cell>
          <cell r="JU44">
            <v>85.737785940000009</v>
          </cell>
          <cell r="JV44">
            <v>3.8511332300000003</v>
          </cell>
          <cell r="JW44">
            <v>7.7427815199999994</v>
          </cell>
          <cell r="JX44">
            <v>17.530313410000002</v>
          </cell>
          <cell r="JY44">
            <v>0</v>
          </cell>
          <cell r="JZ44">
            <v>0.91296880000000002</v>
          </cell>
          <cell r="KA44">
            <v>4.6714599999999997E-3</v>
          </cell>
          <cell r="KB44">
            <v>3.6374076999999998</v>
          </cell>
          <cell r="KC44">
            <v>16.339144500000003</v>
          </cell>
          <cell r="KD44">
            <v>7.2711382000000002</v>
          </cell>
          <cell r="KE44">
            <v>6.670595500000001</v>
          </cell>
          <cell r="KF44">
            <v>24.879253250000001</v>
          </cell>
          <cell r="KG44">
            <v>264.06585762000009</v>
          </cell>
          <cell r="KH44">
            <v>100.34309851</v>
          </cell>
          <cell r="KI44">
            <v>12.040320049999998</v>
          </cell>
          <cell r="KJ44">
            <v>3.4785470499999995</v>
          </cell>
          <cell r="KK44">
            <v>4.4321840200000002</v>
          </cell>
          <cell r="KL44">
            <v>9.8481579999999999E-2</v>
          </cell>
          <cell r="KM44">
            <v>2.63343397</v>
          </cell>
          <cell r="KN44">
            <v>0.27482660999999997</v>
          </cell>
          <cell r="KO44">
            <v>5.9517156099999999</v>
          </cell>
          <cell r="KP44">
            <v>0</v>
          </cell>
          <cell r="KQ44">
            <v>262.24560221999997</v>
          </cell>
          <cell r="KR44">
            <v>7.0766700000000002E-3</v>
          </cell>
          <cell r="KS44">
            <v>0.47246108000000003</v>
          </cell>
          <cell r="KT44">
            <v>2.24162265</v>
          </cell>
          <cell r="KU44">
            <v>0</v>
          </cell>
          <cell r="KV44">
            <v>6.8586210000000009E-2</v>
          </cell>
          <cell r="KW44">
            <v>3.20672025</v>
          </cell>
          <cell r="KX44">
            <v>0</v>
          </cell>
          <cell r="KY44">
            <v>0.21279635999999999</v>
          </cell>
          <cell r="KZ44">
            <v>0.72993736999999992</v>
          </cell>
          <cell r="LA44">
            <v>0.35659469999999999</v>
          </cell>
          <cell r="LB44">
            <v>0</v>
          </cell>
          <cell r="LC44">
            <v>6.4281060000000001E-2</v>
          </cell>
          <cell r="LD44">
            <v>0</v>
          </cell>
          <cell r="LE44">
            <v>0.93198915000000004</v>
          </cell>
          <cell r="LF44">
            <v>9.348838000000001E-2</v>
          </cell>
          <cell r="LG44">
            <v>18.874136539999999</v>
          </cell>
          <cell r="LH44">
            <v>1.9327560400000001</v>
          </cell>
          <cell r="LI44">
            <v>0</v>
          </cell>
          <cell r="LJ44">
            <v>0</v>
          </cell>
          <cell r="LK44">
            <v>0.78346905</v>
          </cell>
          <cell r="LL44">
            <v>1.2971327000000001</v>
          </cell>
          <cell r="LM44">
            <v>0.62483205000000008</v>
          </cell>
          <cell r="LN44">
            <v>0</v>
          </cell>
          <cell r="LO44">
            <v>10.429971500000001</v>
          </cell>
          <cell r="LQ44">
            <v>1699.1027967300001</v>
          </cell>
          <cell r="LR44">
            <v>0.72071405999999993</v>
          </cell>
          <cell r="LS44">
            <v>11.59391475</v>
          </cell>
          <cell r="LT44">
            <v>0.91764025999999999</v>
          </cell>
          <cell r="LU44">
            <v>271.58511615999998</v>
          </cell>
          <cell r="LV44">
            <v>3.4881028199999999</v>
          </cell>
          <cell r="LW44">
            <v>0.35659469999999999</v>
          </cell>
          <cell r="LX44">
            <v>1.0254775300000001</v>
          </cell>
          <cell r="LZ44">
            <v>44.37</v>
          </cell>
          <cell r="MA44">
            <v>37.65</v>
          </cell>
          <cell r="MH44">
            <v>72.63</v>
          </cell>
          <cell r="MI44">
            <v>30.23</v>
          </cell>
          <cell r="MJ44">
            <v>28.64</v>
          </cell>
          <cell r="ML44">
            <v>26.47</v>
          </cell>
          <cell r="MM44">
            <v>32.479999999999997</v>
          </cell>
          <cell r="MO44">
            <v>32.53</v>
          </cell>
          <cell r="MP44">
            <v>48.56</v>
          </cell>
          <cell r="MQ44">
            <v>57.16</v>
          </cell>
          <cell r="MU44">
            <v>22.68</v>
          </cell>
          <cell r="MY44">
            <v>56.38</v>
          </cell>
          <cell r="MZ44">
            <v>134.80000000000001</v>
          </cell>
          <cell r="NA44">
            <v>61.82</v>
          </cell>
          <cell r="NB44">
            <v>175.03</v>
          </cell>
          <cell r="NC44">
            <v>31.3</v>
          </cell>
          <cell r="NE44">
            <v>159.81</v>
          </cell>
        </row>
        <row r="45">
          <cell r="A45">
            <v>43435</v>
          </cell>
          <cell r="B45">
            <v>12</v>
          </cell>
          <cell r="C45">
            <v>2018</v>
          </cell>
          <cell r="D45">
            <v>45</v>
          </cell>
          <cell r="E45">
            <v>43435</v>
          </cell>
          <cell r="F45">
            <v>38.738888888888887</v>
          </cell>
          <cell r="G45">
            <v>184.3</v>
          </cell>
          <cell r="H45">
            <v>18415.29</v>
          </cell>
          <cell r="I45">
            <v>100</v>
          </cell>
          <cell r="J45">
            <v>470</v>
          </cell>
          <cell r="K45">
            <v>2.9</v>
          </cell>
          <cell r="L45">
            <v>26.8</v>
          </cell>
          <cell r="N45">
            <v>1.5649999999999999</v>
          </cell>
          <cell r="O45">
            <v>1.411</v>
          </cell>
          <cell r="P45">
            <v>53.179466666666663</v>
          </cell>
          <cell r="Q45">
            <v>630</v>
          </cell>
          <cell r="R45">
            <v>6300</v>
          </cell>
          <cell r="S45">
            <v>173.33333333333334</v>
          </cell>
          <cell r="T45">
            <v>225.33333333333334</v>
          </cell>
          <cell r="U45">
            <v>144.60555555555555</v>
          </cell>
          <cell r="V45">
            <v>242.06111111111113</v>
          </cell>
          <cell r="W45">
            <v>110</v>
          </cell>
          <cell r="X45">
            <v>202.29444444444445</v>
          </cell>
          <cell r="Y45">
            <v>6714.7407407407409</v>
          </cell>
          <cell r="Z45">
            <v>8729.1629629629624</v>
          </cell>
          <cell r="AA45">
            <v>5601.8585493827159</v>
          </cell>
          <cell r="AB45">
            <v>9377.1784876543206</v>
          </cell>
          <cell r="AC45">
            <v>4261.2777777777774</v>
          </cell>
          <cell r="AD45">
            <v>7836.662006172839</v>
          </cell>
          <cell r="AE45">
            <v>7086.8134207818921</v>
          </cell>
          <cell r="AF45">
            <v>22754.6</v>
          </cell>
          <cell r="AG45">
            <v>8400</v>
          </cell>
          <cell r="AH45">
            <v>31900</v>
          </cell>
          <cell r="AI45">
            <v>9.6335999999999995</v>
          </cell>
          <cell r="AJ45">
            <v>6.6490999999999998</v>
          </cell>
          <cell r="AK45">
            <v>7.2934999999999999</v>
          </cell>
          <cell r="AL45">
            <v>7.31</v>
          </cell>
          <cell r="AM45">
            <v>8.3481299999999994</v>
          </cell>
          <cell r="AN45">
            <v>34.844000000000001</v>
          </cell>
          <cell r="AO45">
            <v>23.616315789473681</v>
          </cell>
          <cell r="AP45">
            <v>29.230157894736841</v>
          </cell>
          <cell r="AQ45">
            <v>19.403684210526315</v>
          </cell>
          <cell r="AR45">
            <v>14.559999999999999</v>
          </cell>
          <cell r="AS45">
            <v>11.096984126984125</v>
          </cell>
          <cell r="AT45">
            <v>18.205263157894738</v>
          </cell>
          <cell r="AU45">
            <v>14.620749094959621</v>
          </cell>
          <cell r="AV45">
            <v>7.7752222222222223</v>
          </cell>
          <cell r="AW45">
            <v>11.747368421052631</v>
          </cell>
          <cell r="AX45">
            <v>11.382105263157897</v>
          </cell>
          <cell r="AY45">
            <v>17.507368421052629</v>
          </cell>
          <cell r="AZ45">
            <v>13.912631578947369</v>
          </cell>
          <cell r="BA45">
            <v>16.045384615384613</v>
          </cell>
          <cell r="BB45">
            <v>14.711872469635628</v>
          </cell>
          <cell r="BC45">
            <v>812</v>
          </cell>
          <cell r="BD45">
            <v>914</v>
          </cell>
          <cell r="BE45">
            <v>720</v>
          </cell>
          <cell r="BF45">
            <v>460</v>
          </cell>
          <cell r="BG45">
            <v>726.5</v>
          </cell>
          <cell r="BH45">
            <v>53.11</v>
          </cell>
          <cell r="BI45">
            <v>29.989000000000001</v>
          </cell>
          <cell r="BJ45">
            <v>83.099000000000004</v>
          </cell>
          <cell r="BK45">
            <v>47.481999999999999</v>
          </cell>
          <cell r="BL45">
            <v>50.39</v>
          </cell>
          <cell r="BM45">
            <v>48.936</v>
          </cell>
          <cell r="BN45">
            <v>9.2799999999999994</v>
          </cell>
          <cell r="BO45">
            <v>44.022222222222226</v>
          </cell>
          <cell r="BP45">
            <v>24.853833333333331</v>
          </cell>
          <cell r="BQ45">
            <v>42.105383333333336</v>
          </cell>
          <cell r="BR45">
            <v>34.450000000000003</v>
          </cell>
          <cell r="BS45">
            <v>105</v>
          </cell>
          <cell r="BT45">
            <v>113.63</v>
          </cell>
          <cell r="BU45">
            <v>1600.8899999999999</v>
          </cell>
          <cell r="BV45">
            <v>63.1</v>
          </cell>
          <cell r="BY45">
            <v>307.02620677168034</v>
          </cell>
          <cell r="BZ45">
            <v>288.99364000192634</v>
          </cell>
          <cell r="CA45">
            <v>294.00232728649314</v>
          </cell>
          <cell r="CB45">
            <v>269.00965345867189</v>
          </cell>
          <cell r="CC45">
            <v>276.67299924996615</v>
          </cell>
          <cell r="CD45">
            <v>286.8162089360639</v>
          </cell>
          <cell r="CE45">
            <v>255.15298424497087</v>
          </cell>
          <cell r="CF45">
            <v>306.77841963380791</v>
          </cell>
          <cell r="CG45">
            <v>281.40543213499569</v>
          </cell>
          <cell r="CH45">
            <v>307.71993969152106</v>
          </cell>
          <cell r="CI45">
            <v>277.1831786832023</v>
          </cell>
          <cell r="CJ45">
            <v>253.76448436104218</v>
          </cell>
          <cell r="CK45">
            <v>276.44983337793826</v>
          </cell>
          <cell r="CL45">
            <v>285.18700731479743</v>
          </cell>
          <cell r="CM45">
            <v>248.8945821707099</v>
          </cell>
          <cell r="CN45">
            <v>271.93077042421015</v>
          </cell>
          <cell r="CO45">
            <v>270.61554832191393</v>
          </cell>
          <cell r="CP45">
            <v>300.75364951463291</v>
          </cell>
          <cell r="CQ45">
            <v>251.96820647555543</v>
          </cell>
          <cell r="CR45">
            <v>256.06996315583501</v>
          </cell>
          <cell r="CS45">
            <v>254.01908481569524</v>
          </cell>
          <cell r="CT45">
            <v>252.21046676537472</v>
          </cell>
          <cell r="CU45">
            <v>256.49658900487287</v>
          </cell>
          <cell r="CV45">
            <v>251.51563853446862</v>
          </cell>
          <cell r="CW45">
            <v>251.51563853446862</v>
          </cell>
          <cell r="CX45">
            <v>253.17595535793672</v>
          </cell>
          <cell r="CY45">
            <v>246.40676584986051</v>
          </cell>
          <cell r="CZ45">
            <v>301.73208601016597</v>
          </cell>
          <cell r="DA45">
            <v>256.33008345064741</v>
          </cell>
          <cell r="DB45">
            <v>256.46474533140963</v>
          </cell>
          <cell r="DC45">
            <v>277.49146733558285</v>
          </cell>
          <cell r="DD45">
            <v>269.9852554104661</v>
          </cell>
          <cell r="DE45">
            <v>247.12515179434905</v>
          </cell>
          <cell r="DF45">
            <v>270.62910423704255</v>
          </cell>
          <cell r="DG45">
            <v>258.8771280156958</v>
          </cell>
          <cell r="DH45">
            <v>264.23286746789125</v>
          </cell>
          <cell r="DI45">
            <v>244.71567612392309</v>
          </cell>
          <cell r="DK45">
            <v>440000</v>
          </cell>
          <cell r="DL45" t="str">
            <v>2018-19</v>
          </cell>
          <cell r="DM45">
            <v>191000</v>
          </cell>
          <cell r="DN45" t="str">
            <v>2018-19</v>
          </cell>
          <cell r="DO45">
            <v>1140000</v>
          </cell>
          <cell r="DP45" t="str">
            <v>2018-19</v>
          </cell>
          <cell r="DQ45">
            <v>1700000</v>
          </cell>
          <cell r="DR45" t="str">
            <v>2018-19</v>
          </cell>
          <cell r="DS45">
            <v>5800000</v>
          </cell>
          <cell r="DT45" t="str">
            <v>2018-19</v>
          </cell>
          <cell r="DU45">
            <v>17500000</v>
          </cell>
          <cell r="DV45" t="str">
            <v>2018-19</v>
          </cell>
          <cell r="DW45">
            <v>607000</v>
          </cell>
          <cell r="DX45" t="str">
            <v>2018-19</v>
          </cell>
          <cell r="DY45">
            <v>6280000</v>
          </cell>
          <cell r="DZ45" t="str">
            <v>2018-19</v>
          </cell>
          <cell r="EA45">
            <v>33027000</v>
          </cell>
          <cell r="EB45">
            <v>390000</v>
          </cell>
          <cell r="EC45" t="str">
            <v>2018-19</v>
          </cell>
          <cell r="ED45">
            <v>169595</v>
          </cell>
          <cell r="EE45">
            <v>2018</v>
          </cell>
          <cell r="EF45">
            <v>218233</v>
          </cell>
          <cell r="EG45">
            <v>2018</v>
          </cell>
          <cell r="EH45">
            <v>54793181</v>
          </cell>
          <cell r="EI45">
            <v>2018</v>
          </cell>
          <cell r="EJ45">
            <v>5291453</v>
          </cell>
          <cell r="EK45">
            <v>2018</v>
          </cell>
          <cell r="EL45">
            <v>14339908</v>
          </cell>
          <cell r="EM45">
            <v>2018</v>
          </cell>
          <cell r="EN45">
            <v>3364725</v>
          </cell>
          <cell r="EO45">
            <v>2017</v>
          </cell>
          <cell r="EP45">
            <v>6552</v>
          </cell>
          <cell r="EQ45">
            <v>3003036</v>
          </cell>
          <cell r="ER45">
            <v>33739</v>
          </cell>
          <cell r="ET45">
            <v>22340</v>
          </cell>
          <cell r="EU45">
            <v>17224</v>
          </cell>
          <cell r="EV45">
            <v>9128</v>
          </cell>
          <cell r="EW45">
            <v>17414</v>
          </cell>
          <cell r="EX45">
            <v>66106</v>
          </cell>
          <cell r="EY45">
            <v>19463</v>
          </cell>
          <cell r="EZ45">
            <v>74231</v>
          </cell>
          <cell r="FA45">
            <v>24553</v>
          </cell>
          <cell r="FB45">
            <v>23958</v>
          </cell>
          <cell r="FC45">
            <v>48511</v>
          </cell>
          <cell r="FD45">
            <v>66959.290000000008</v>
          </cell>
          <cell r="FF45">
            <v>814000</v>
          </cell>
          <cell r="FG45" t="str">
            <v>2017-18</v>
          </cell>
          <cell r="FH45">
            <v>1370000</v>
          </cell>
          <cell r="FI45" t="str">
            <v>2017-18</v>
          </cell>
          <cell r="FJ45">
            <v>4600000</v>
          </cell>
          <cell r="FK45" t="str">
            <v>2018-19</v>
          </cell>
          <cell r="FL45">
            <v>3530000</v>
          </cell>
          <cell r="FM45" t="str">
            <v>2017-18</v>
          </cell>
          <cell r="FN45">
            <v>31000000</v>
          </cell>
          <cell r="FO45" t="str">
            <v>2017-18</v>
          </cell>
          <cell r="FP45">
            <v>37780000</v>
          </cell>
          <cell r="FQ45" t="str">
            <v>2017-18</v>
          </cell>
          <cell r="FR45">
            <v>1550000</v>
          </cell>
          <cell r="FS45" t="str">
            <v>2017-18</v>
          </cell>
          <cell r="FT45">
            <v>19400000</v>
          </cell>
          <cell r="FU45" t="str">
            <v>2018-19</v>
          </cell>
          <cell r="FV45">
            <v>97860000</v>
          </cell>
          <cell r="FW45">
            <v>1020000</v>
          </cell>
          <cell r="FX45" t="str">
            <v>2017-18</v>
          </cell>
          <cell r="FY45">
            <v>34210</v>
          </cell>
          <cell r="FZ45">
            <v>809333.32</v>
          </cell>
          <cell r="GA45" t="str">
            <v>ene18 dic18</v>
          </cell>
          <cell r="GB45">
            <v>25733114</v>
          </cell>
          <cell r="GD45">
            <v>1989400</v>
          </cell>
          <cell r="GE45">
            <v>431374</v>
          </cell>
          <cell r="GF45">
            <v>1006779</v>
          </cell>
          <cell r="GG45">
            <v>114118</v>
          </cell>
          <cell r="GH45">
            <v>1552271</v>
          </cell>
          <cell r="GI45">
            <v>1302556</v>
          </cell>
          <cell r="GJ45">
            <v>685541.2</v>
          </cell>
          <cell r="GK45">
            <v>1103042.8600000001</v>
          </cell>
          <cell r="GL45">
            <v>287064.67</v>
          </cell>
          <cell r="GM45">
            <v>260870.73</v>
          </cell>
          <cell r="GN45">
            <v>2336519.46</v>
          </cell>
          <cell r="GO45">
            <v>195071</v>
          </cell>
          <cell r="GP45">
            <v>79468</v>
          </cell>
          <cell r="GQ45">
            <v>201495.5</v>
          </cell>
          <cell r="GR45">
            <v>42800</v>
          </cell>
          <cell r="GS45">
            <v>48844.864999999998</v>
          </cell>
          <cell r="GT45">
            <v>2483769</v>
          </cell>
          <cell r="GU45">
            <v>15612</v>
          </cell>
          <cell r="GV45">
            <v>24195</v>
          </cell>
          <cell r="GW45">
            <v>1076605</v>
          </cell>
          <cell r="GX45">
            <v>26114.056</v>
          </cell>
          <cell r="GY45" t="str">
            <v>2017-2018</v>
          </cell>
          <cell r="GZ45">
            <v>104093.27099999999</v>
          </cell>
          <cell r="HA45">
            <v>247486</v>
          </cell>
          <cell r="HB45">
            <v>3058088</v>
          </cell>
          <cell r="HC45" t="str">
            <v>ene18 dic18</v>
          </cell>
          <cell r="HD45">
            <v>53331</v>
          </cell>
          <cell r="HE45">
            <v>620549</v>
          </cell>
          <cell r="HF45" t="str">
            <v>ene18 dic18</v>
          </cell>
          <cell r="HG45">
            <v>173083.33333333334</v>
          </cell>
          <cell r="HH45">
            <v>2085083.3333333333</v>
          </cell>
          <cell r="HI45" t="str">
            <v>ene18 dic18</v>
          </cell>
          <cell r="HJ45">
            <v>85013</v>
          </cell>
          <cell r="HK45">
            <v>60871.459200000005</v>
          </cell>
          <cell r="HL45" t="str">
            <v>ene18 dic18</v>
          </cell>
          <cell r="HM45">
            <v>2145954.7925333334</v>
          </cell>
          <cell r="HN45">
            <v>8.258338823879674E-2</v>
          </cell>
          <cell r="HO45">
            <v>910600000</v>
          </cell>
          <cell r="HP45">
            <v>10526.566560063147</v>
          </cell>
          <cell r="HQ45" t="str">
            <v>ene18 dic18</v>
          </cell>
          <cell r="HU45">
            <v>680000</v>
          </cell>
          <cell r="HV45" t="str">
            <v>2017-18</v>
          </cell>
          <cell r="HW45">
            <v>1500000</v>
          </cell>
          <cell r="HX45" t="str">
            <v>2018-19</v>
          </cell>
          <cell r="HY45">
            <v>3400000</v>
          </cell>
          <cell r="HZ45" t="str">
            <v>2017-18</v>
          </cell>
          <cell r="IA45">
            <v>19890000</v>
          </cell>
          <cell r="IB45" t="str">
            <v>2017-18</v>
          </cell>
          <cell r="IC45">
            <v>41300000</v>
          </cell>
          <cell r="ID45" t="str">
            <v>2017-18</v>
          </cell>
          <cell r="IE45">
            <v>1550000</v>
          </cell>
          <cell r="IF45" t="str">
            <v>2017-18</v>
          </cell>
          <cell r="IG45">
            <v>6900000</v>
          </cell>
          <cell r="IH45" t="str">
            <v>2018-19</v>
          </cell>
          <cell r="II45">
            <v>74540000</v>
          </cell>
          <cell r="IJ45">
            <v>1.5656077472231611</v>
          </cell>
          <cell r="IK45" t="str">
            <v>2017-18</v>
          </cell>
          <cell r="IL45">
            <v>41.37</v>
          </cell>
          <cell r="IM45">
            <v>51.52</v>
          </cell>
          <cell r="IN45">
            <v>190</v>
          </cell>
          <cell r="IO45">
            <v>14.94</v>
          </cell>
          <cell r="IP45">
            <v>5.651883633677623</v>
          </cell>
          <cell r="IQ45">
            <v>18.899999999999999</v>
          </cell>
          <cell r="IR45">
            <v>5.93</v>
          </cell>
          <cell r="IS45">
            <v>5.67</v>
          </cell>
          <cell r="IT45">
            <v>11.35</v>
          </cell>
          <cell r="IU45">
            <v>0.88</v>
          </cell>
          <cell r="IV45">
            <v>17.899999999999999</v>
          </cell>
          <cell r="IY45">
            <v>1.84</v>
          </cell>
          <cell r="IZ45">
            <v>0.3</v>
          </cell>
          <cell r="JA45">
            <v>1500</v>
          </cell>
          <cell r="JF45">
            <v>13.896023229999999</v>
          </cell>
          <cell r="JG45">
            <v>9.7856718899999997</v>
          </cell>
          <cell r="JH45">
            <v>155.03246273000002</v>
          </cell>
          <cell r="JI45">
            <v>25.499736590000001</v>
          </cell>
          <cell r="JJ45">
            <v>256.39792387</v>
          </cell>
          <cell r="JK45">
            <v>57.582458630000005</v>
          </cell>
          <cell r="JL45">
            <v>1174.8739629300003</v>
          </cell>
          <cell r="JM45">
            <v>0.43521349999999998</v>
          </cell>
          <cell r="JN45">
            <v>461.45165502999998</v>
          </cell>
          <cell r="JO45">
            <v>16.026884080000002</v>
          </cell>
          <cell r="JP45">
            <v>0</v>
          </cell>
          <cell r="JQ45">
            <v>0.37780359999999996</v>
          </cell>
          <cell r="JR45">
            <v>0.53736759999999995</v>
          </cell>
          <cell r="JS45">
            <v>0</v>
          </cell>
          <cell r="JT45">
            <v>0</v>
          </cell>
          <cell r="JU45">
            <v>86.285910029999997</v>
          </cell>
          <cell r="JV45">
            <v>2.6345931699999996</v>
          </cell>
          <cell r="JW45">
            <v>7.3738447200000001</v>
          </cell>
          <cell r="JX45">
            <v>23.331695960000001</v>
          </cell>
          <cell r="JY45">
            <v>0</v>
          </cell>
          <cell r="JZ45">
            <v>2.5346338199999998</v>
          </cell>
          <cell r="KA45">
            <v>0.73794349999999997</v>
          </cell>
          <cell r="KB45">
            <v>3.3357546699999996</v>
          </cell>
          <cell r="KC45">
            <v>9.5459084599999997</v>
          </cell>
          <cell r="KD45">
            <v>2.4159637300000001</v>
          </cell>
          <cell r="KE45">
            <v>7.9114172600000003</v>
          </cell>
          <cell r="KF45">
            <v>31.628041829999994</v>
          </cell>
          <cell r="KG45">
            <v>257.92865171</v>
          </cell>
          <cell r="KH45">
            <v>91.805418650000007</v>
          </cell>
          <cell r="KI45">
            <v>21.713082909999997</v>
          </cell>
          <cell r="KJ45">
            <v>2.0441653299999998</v>
          </cell>
          <cell r="KK45">
            <v>3.8321525800000003</v>
          </cell>
          <cell r="KL45">
            <v>0.17273579</v>
          </cell>
          <cell r="KM45">
            <v>2.9644971600000001</v>
          </cell>
          <cell r="KN45">
            <v>6.84741E-3</v>
          </cell>
          <cell r="KO45">
            <v>1.6503545500000001</v>
          </cell>
          <cell r="KP45">
            <v>4.1614399999999998E-3</v>
          </cell>
          <cell r="KQ45">
            <v>278.71841526999992</v>
          </cell>
          <cell r="KR45">
            <v>3.1782629999999999E-2</v>
          </cell>
          <cell r="KS45">
            <v>0.43847166999999998</v>
          </cell>
          <cell r="KT45">
            <v>1.65984979</v>
          </cell>
          <cell r="KU45">
            <v>0.15187706000000001</v>
          </cell>
          <cell r="KV45">
            <v>0</v>
          </cell>
          <cell r="KW45">
            <v>1.8187407000000002</v>
          </cell>
          <cell r="KX45">
            <v>0</v>
          </cell>
          <cell r="KY45">
            <v>0</v>
          </cell>
          <cell r="KZ45">
            <v>0.95369857000000002</v>
          </cell>
          <cell r="LA45">
            <v>0.18474784</v>
          </cell>
          <cell r="LB45">
            <v>0</v>
          </cell>
          <cell r="LC45">
            <v>3.8442150000000001E-2</v>
          </cell>
          <cell r="LD45">
            <v>0</v>
          </cell>
          <cell r="LE45">
            <v>0</v>
          </cell>
          <cell r="LF45">
            <v>0.12631011</v>
          </cell>
          <cell r="LG45">
            <v>15.008388329999999</v>
          </cell>
          <cell r="LH45">
            <v>2.6579773700000002</v>
          </cell>
          <cell r="LI45">
            <v>0</v>
          </cell>
          <cell r="LJ45">
            <v>0</v>
          </cell>
          <cell r="LK45">
            <v>1.00052791</v>
          </cell>
          <cell r="LL45">
            <v>5.5893893200000004</v>
          </cell>
          <cell r="LM45">
            <v>9.487661E-2</v>
          </cell>
          <cell r="LN45">
            <v>5.8133160000000003E-2</v>
          </cell>
          <cell r="LO45">
            <v>9.51572204</v>
          </cell>
          <cell r="LQ45">
            <v>2073.6909546500001</v>
          </cell>
          <cell r="LR45">
            <v>0.91517119999999985</v>
          </cell>
          <cell r="LS45">
            <v>10.00843789</v>
          </cell>
          <cell r="LT45">
            <v>3.2725773199999999</v>
          </cell>
          <cell r="LU45">
            <v>283.81036868999996</v>
          </cell>
          <cell r="LV45">
            <v>1.8187407000000002</v>
          </cell>
          <cell r="LW45">
            <v>0.18474784</v>
          </cell>
          <cell r="LX45">
            <v>0.12631011</v>
          </cell>
          <cell r="LZ45">
            <v>45.11</v>
          </cell>
          <cell r="MA45">
            <v>38.61</v>
          </cell>
          <cell r="MH45">
            <v>73.489999999999995</v>
          </cell>
          <cell r="MI45">
            <v>30.32</v>
          </cell>
          <cell r="MJ45">
            <v>23.45</v>
          </cell>
          <cell r="ML45">
            <v>22.75</v>
          </cell>
          <cell r="MM45">
            <v>34.619999999999997</v>
          </cell>
          <cell r="MO45">
            <v>33.78</v>
          </cell>
          <cell r="MP45">
            <v>49.18</v>
          </cell>
          <cell r="MQ45">
            <v>62.09</v>
          </cell>
          <cell r="MU45">
            <v>22.65</v>
          </cell>
          <cell r="MY45">
            <v>58.3</v>
          </cell>
          <cell r="MZ45">
            <v>145</v>
          </cell>
          <cell r="NA45">
            <v>65.09</v>
          </cell>
          <cell r="NB45">
            <v>178.05</v>
          </cell>
          <cell r="NC45">
            <v>33.520000000000003</v>
          </cell>
          <cell r="NE45">
            <v>163.30000000000001</v>
          </cell>
        </row>
        <row r="46">
          <cell r="A46">
            <v>43466</v>
          </cell>
          <cell r="B46">
            <v>1</v>
          </cell>
          <cell r="C46">
            <v>2019</v>
          </cell>
          <cell r="D46">
            <v>46</v>
          </cell>
          <cell r="E46">
            <v>43466</v>
          </cell>
          <cell r="F46">
            <v>38.290909090909082</v>
          </cell>
          <cell r="G46">
            <v>189.6</v>
          </cell>
          <cell r="H46">
            <v>18415.29</v>
          </cell>
          <cell r="I46">
            <v>97</v>
          </cell>
          <cell r="J46">
            <v>470</v>
          </cell>
          <cell r="K46">
            <v>2.9</v>
          </cell>
          <cell r="L46">
            <v>26</v>
          </cell>
          <cell r="N46">
            <v>1.43</v>
          </cell>
          <cell r="O46">
            <v>1.25</v>
          </cell>
          <cell r="P46">
            <v>47.289818181818163</v>
          </cell>
          <cell r="Q46">
            <v>630</v>
          </cell>
          <cell r="R46">
            <v>6300</v>
          </cell>
          <cell r="S46">
            <v>174.09</v>
          </cell>
          <cell r="T46">
            <v>222.2</v>
          </cell>
          <cell r="U46">
            <v>144.2409090909091</v>
          </cell>
          <cell r="V46">
            <v>243.3909090909091</v>
          </cell>
          <cell r="W46">
            <v>115.41</v>
          </cell>
          <cell r="X46">
            <v>208.69411764705882</v>
          </cell>
          <cell r="Y46">
            <v>6666.064363636362</v>
          </cell>
          <cell r="Z46">
            <v>8508.239999999998</v>
          </cell>
          <cell r="AA46">
            <v>5523.1155371900813</v>
          </cell>
          <cell r="AB46">
            <v>9319.6591735537168</v>
          </cell>
          <cell r="AC46">
            <v>4419.1538181818169</v>
          </cell>
          <cell r="AD46">
            <v>7991.0874866310141</v>
          </cell>
          <cell r="AE46">
            <v>7071.2200631988308</v>
          </cell>
          <cell r="AF46">
            <v>22457.428571428572</v>
          </cell>
          <cell r="AG46">
            <v>8400</v>
          </cell>
          <cell r="AH46">
            <v>31900</v>
          </cell>
          <cell r="AI46">
            <v>10.01</v>
          </cell>
          <cell r="AJ46">
            <v>5.17</v>
          </cell>
          <cell r="AK46">
            <v>7.67</v>
          </cell>
          <cell r="AL46">
            <v>4.2469999999999999</v>
          </cell>
          <cell r="AM46">
            <v>7.8248800000000012</v>
          </cell>
          <cell r="AN46">
            <v>39.009861111111114</v>
          </cell>
          <cell r="AO46">
            <v>22.037272727272725</v>
          </cell>
          <cell r="AP46">
            <v>30.523566919191921</v>
          </cell>
          <cell r="AQ46">
            <v>18.998181818181816</v>
          </cell>
          <cell r="AR46">
            <v>12.091818181818182</v>
          </cell>
          <cell r="AS46">
            <v>11.529702970297032</v>
          </cell>
          <cell r="AT46">
            <v>28.922727272727276</v>
          </cell>
          <cell r="AU46">
            <v>17.514749474947497</v>
          </cell>
          <cell r="AV46">
            <v>8.2672566371681384</v>
          </cell>
          <cell r="AW46">
            <v>13.027142857142858</v>
          </cell>
          <cell r="AX46">
            <v>9.7668181818181825</v>
          </cell>
          <cell r="AY46">
            <v>18.354545454545448</v>
          </cell>
          <cell r="AZ46">
            <v>13.761818181818182</v>
          </cell>
          <cell r="BA46">
            <v>16.211363636363647</v>
          </cell>
          <cell r="BB46">
            <v>14.523636363636363</v>
          </cell>
          <cell r="BC46">
            <v>812</v>
          </cell>
          <cell r="BD46">
            <v>914</v>
          </cell>
          <cell r="BE46">
            <v>720</v>
          </cell>
          <cell r="BF46">
            <v>460</v>
          </cell>
          <cell r="BG46">
            <v>726.5</v>
          </cell>
          <cell r="BH46">
            <v>53.11</v>
          </cell>
          <cell r="BI46">
            <v>19.36</v>
          </cell>
          <cell r="BJ46">
            <v>72.47</v>
          </cell>
          <cell r="BK46">
            <v>55.457000000000001</v>
          </cell>
          <cell r="BL46">
            <v>57.72</v>
          </cell>
          <cell r="BM46">
            <v>56.588499999999996</v>
          </cell>
          <cell r="BN46">
            <v>9.6300000000000008</v>
          </cell>
          <cell r="BO46">
            <v>41.940909090909095</v>
          </cell>
          <cell r="BP46">
            <v>31.59</v>
          </cell>
          <cell r="BQ46">
            <v>40.905818181818184</v>
          </cell>
          <cell r="BR46">
            <v>36.433999999999997</v>
          </cell>
          <cell r="BS46">
            <v>105</v>
          </cell>
          <cell r="BT46">
            <v>124.53319999999999</v>
          </cell>
          <cell r="BU46">
            <v>1633.5996</v>
          </cell>
          <cell r="BV46">
            <v>62.5</v>
          </cell>
          <cell r="BY46">
            <v>293.06957572709928</v>
          </cell>
          <cell r="BZ46">
            <v>280.73117969260551</v>
          </cell>
          <cell r="CA46">
            <v>289.19843831452727</v>
          </cell>
          <cell r="CB46">
            <v>263.23498616164926</v>
          </cell>
          <cell r="CC46">
            <v>271.22918985431545</v>
          </cell>
          <cell r="CD46">
            <v>282.83361975920889</v>
          </cell>
          <cell r="CE46">
            <v>252.96057290779913</v>
          </cell>
          <cell r="CF46">
            <v>303.75418984914148</v>
          </cell>
          <cell r="CG46">
            <v>277.2018328077736</v>
          </cell>
          <cell r="CH46">
            <v>302.76029434015095</v>
          </cell>
          <cell r="CI46">
            <v>274.42664366804166</v>
          </cell>
          <cell r="CJ46">
            <v>255.6168187410384</v>
          </cell>
          <cell r="CK46">
            <v>264.45409720294475</v>
          </cell>
          <cell r="CL46">
            <v>285.16873054392795</v>
          </cell>
          <cell r="CM46">
            <v>245.25300369390166</v>
          </cell>
          <cell r="CN46">
            <v>269.83330727267287</v>
          </cell>
          <cell r="CO46">
            <v>266.17728467836179</v>
          </cell>
          <cell r="CP46">
            <v>291.02686152934467</v>
          </cell>
          <cell r="CQ46">
            <v>253.01010321322659</v>
          </cell>
          <cell r="CR46">
            <v>250.93850953377003</v>
          </cell>
          <cell r="CS46">
            <v>251.97430637349831</v>
          </cell>
          <cell r="CT46">
            <v>247.99747499509684</v>
          </cell>
          <cell r="CU46">
            <v>249.35830465629306</v>
          </cell>
          <cell r="CV46">
            <v>248.31984515236297</v>
          </cell>
          <cell r="CW46">
            <v>248.31984515236297</v>
          </cell>
          <cell r="CX46">
            <v>248.66599832033967</v>
          </cell>
          <cell r="CY46">
            <v>244.48301260682129</v>
          </cell>
          <cell r="CZ46">
            <v>296.57597279758636</v>
          </cell>
          <cell r="DA46">
            <v>253.21860692028704</v>
          </cell>
          <cell r="DB46">
            <v>258.60114441565003</v>
          </cell>
          <cell r="DC46">
            <v>273.40813444667651</v>
          </cell>
          <cell r="DD46">
            <v>266.38308443353623</v>
          </cell>
          <cell r="DE46">
            <v>244.50825571972331</v>
          </cell>
          <cell r="DF46">
            <v>269.40502885724118</v>
          </cell>
          <cell r="DG46">
            <v>256.95664228848227</v>
          </cell>
          <cell r="DH46">
            <v>261.1034828034268</v>
          </cell>
          <cell r="DI46">
            <v>243.92057952955528</v>
          </cell>
          <cell r="DK46">
            <v>440000</v>
          </cell>
          <cell r="DL46" t="str">
            <v>2018-19</v>
          </cell>
          <cell r="DM46">
            <v>189000</v>
          </cell>
          <cell r="DN46" t="str">
            <v>2018-19</v>
          </cell>
          <cell r="DO46">
            <v>1000000</v>
          </cell>
          <cell r="DP46" t="str">
            <v>2018-19</v>
          </cell>
          <cell r="DQ46">
            <v>1900000</v>
          </cell>
          <cell r="DR46" t="str">
            <v>2018-19</v>
          </cell>
          <cell r="DS46">
            <v>5800000</v>
          </cell>
          <cell r="DT46" t="str">
            <v>2018-19</v>
          </cell>
          <cell r="DU46">
            <v>17700000</v>
          </cell>
          <cell r="DV46" t="str">
            <v>2018-19</v>
          </cell>
          <cell r="DW46">
            <v>730000</v>
          </cell>
          <cell r="DX46" t="str">
            <v>2018-19</v>
          </cell>
          <cell r="DY46">
            <v>6280000</v>
          </cell>
          <cell r="DZ46" t="str">
            <v>2018-19</v>
          </cell>
          <cell r="EA46">
            <v>33410000</v>
          </cell>
          <cell r="EB46">
            <v>390000</v>
          </cell>
          <cell r="EC46" t="str">
            <v>2018-19</v>
          </cell>
          <cell r="ED46">
            <v>170782</v>
          </cell>
          <cell r="EE46">
            <v>2019</v>
          </cell>
          <cell r="EF46">
            <v>215169</v>
          </cell>
          <cell r="EG46">
            <v>2019</v>
          </cell>
          <cell r="EH46">
            <v>55007853</v>
          </cell>
          <cell r="EI46">
            <v>2019</v>
          </cell>
          <cell r="EJ46">
            <v>5291453</v>
          </cell>
          <cell r="EK46">
            <v>2018</v>
          </cell>
          <cell r="EL46">
            <v>14339908</v>
          </cell>
          <cell r="EM46">
            <v>2018</v>
          </cell>
          <cell r="EN46">
            <v>3400522</v>
          </cell>
          <cell r="EO46">
            <v>2018</v>
          </cell>
          <cell r="EP46">
            <v>6552</v>
          </cell>
          <cell r="EQ46">
            <v>3038588</v>
          </cell>
          <cell r="ER46">
            <v>33739</v>
          </cell>
          <cell r="ET46">
            <v>20884</v>
          </cell>
          <cell r="EU46">
            <v>17312</v>
          </cell>
          <cell r="EV46">
            <v>9130</v>
          </cell>
          <cell r="EW46">
            <v>17152</v>
          </cell>
          <cell r="EX46">
            <v>64478</v>
          </cell>
          <cell r="EY46">
            <v>19636</v>
          </cell>
          <cell r="EZ46">
            <v>76171</v>
          </cell>
          <cell r="FA46">
            <v>20432</v>
          </cell>
          <cell r="FB46">
            <v>18034</v>
          </cell>
          <cell r="FC46">
            <v>38466</v>
          </cell>
          <cell r="FD46">
            <v>61643.420000000013</v>
          </cell>
          <cell r="FF46">
            <v>814000</v>
          </cell>
          <cell r="FG46" t="str">
            <v>2017-18</v>
          </cell>
          <cell r="FH46">
            <v>1370000</v>
          </cell>
          <cell r="FI46" t="str">
            <v>2017-18</v>
          </cell>
          <cell r="FJ46">
            <v>4100000</v>
          </cell>
          <cell r="FK46" t="str">
            <v>2018-19</v>
          </cell>
          <cell r="FL46">
            <v>3900000</v>
          </cell>
          <cell r="FM46" t="str">
            <v>2018-19</v>
          </cell>
          <cell r="FN46">
            <v>45000000</v>
          </cell>
          <cell r="FO46" t="str">
            <v>2018-19</v>
          </cell>
          <cell r="FP46">
            <v>53000000</v>
          </cell>
          <cell r="FQ46" t="str">
            <v>2018-19</v>
          </cell>
          <cell r="FR46">
            <v>2190000</v>
          </cell>
          <cell r="FS46" t="str">
            <v>2018-19</v>
          </cell>
          <cell r="FT46">
            <v>19260000</v>
          </cell>
          <cell r="FU46" t="str">
            <v>2018-19</v>
          </cell>
          <cell r="FV46">
            <v>127450000</v>
          </cell>
          <cell r="FW46">
            <v>1124000</v>
          </cell>
          <cell r="FX46" t="str">
            <v>2018-19</v>
          </cell>
          <cell r="FY46">
            <v>20121</v>
          </cell>
          <cell r="FZ46">
            <v>803939.84900000005</v>
          </cell>
          <cell r="GA46" t="str">
            <v>feb18 ene19</v>
          </cell>
          <cell r="GB46">
            <v>25198862</v>
          </cell>
          <cell r="GC46">
            <v>2019</v>
          </cell>
          <cell r="GD46">
            <v>2061660</v>
          </cell>
          <cell r="GE46">
            <v>421371</v>
          </cell>
          <cell r="GF46">
            <v>1038352</v>
          </cell>
          <cell r="GG46">
            <v>114695</v>
          </cell>
          <cell r="GH46">
            <v>1574418</v>
          </cell>
          <cell r="GI46">
            <v>1302556</v>
          </cell>
          <cell r="GJ46">
            <v>673662.3</v>
          </cell>
          <cell r="GK46">
            <v>1162000</v>
          </cell>
          <cell r="GL46">
            <v>290589.5</v>
          </cell>
          <cell r="GM46">
            <v>258882.47</v>
          </cell>
          <cell r="GN46">
            <v>2385134.27</v>
          </cell>
          <cell r="GO46">
            <v>196709</v>
          </cell>
          <cell r="GP46">
            <v>71194.64</v>
          </cell>
          <cell r="GQ46">
            <v>176512</v>
          </cell>
          <cell r="GR46">
            <v>43750</v>
          </cell>
          <cell r="GS46">
            <v>49045.36</v>
          </cell>
          <cell r="GT46">
            <v>2600000</v>
          </cell>
          <cell r="GU46">
            <v>21897</v>
          </cell>
          <cell r="GV46">
            <v>15912</v>
          </cell>
          <cell r="GW46">
            <v>1068237</v>
          </cell>
          <cell r="GX46">
            <v>32193.503000000001</v>
          </cell>
          <cell r="GY46" t="str">
            <v>2018-2019</v>
          </cell>
          <cell r="GZ46">
            <v>107349</v>
          </cell>
          <cell r="HA46">
            <v>253573</v>
          </cell>
          <cell r="HB46">
            <v>3056661</v>
          </cell>
          <cell r="HC46" t="str">
            <v>feb18 ene19</v>
          </cell>
          <cell r="HD46">
            <v>51351</v>
          </cell>
          <cell r="HE46">
            <v>624101</v>
          </cell>
          <cell r="HF46" t="str">
            <v>feb18 ene19</v>
          </cell>
          <cell r="HG46">
            <v>187000</v>
          </cell>
          <cell r="HH46">
            <v>2107083.333333333</v>
          </cell>
          <cell r="HI46" t="str">
            <v>feb18 ene19</v>
          </cell>
          <cell r="HJ46">
            <v>91833</v>
          </cell>
          <cell r="HK46">
            <v>61174.039199999999</v>
          </cell>
          <cell r="HL46" t="str">
            <v>feb18 ene19</v>
          </cell>
          <cell r="HM46">
            <v>2168257.372533333</v>
          </cell>
          <cell r="HN46">
            <v>-7.3168605673866183E-2</v>
          </cell>
          <cell r="HO46">
            <v>819900000</v>
          </cell>
          <cell r="HP46">
            <v>10461.839641921126</v>
          </cell>
          <cell r="HQ46" t="str">
            <v>feb18 ene19</v>
          </cell>
          <cell r="HU46">
            <v>680000</v>
          </cell>
          <cell r="HV46" t="str">
            <v>2017-18</v>
          </cell>
          <cell r="HW46">
            <v>1500000</v>
          </cell>
          <cell r="HX46" t="str">
            <v>2018-19</v>
          </cell>
          <cell r="HY46">
            <v>3890000</v>
          </cell>
          <cell r="HZ46" t="str">
            <v>2018-19</v>
          </cell>
          <cell r="IA46">
            <v>19890000</v>
          </cell>
          <cell r="IB46" t="str">
            <v>2017-18</v>
          </cell>
          <cell r="IC46">
            <v>41300000</v>
          </cell>
          <cell r="ID46" t="str">
            <v>2017-18</v>
          </cell>
          <cell r="IE46">
            <v>1550000</v>
          </cell>
          <cell r="IF46" t="str">
            <v>2017-18</v>
          </cell>
          <cell r="IG46">
            <v>6800000</v>
          </cell>
          <cell r="IH46" t="str">
            <v>2018-19</v>
          </cell>
          <cell r="II46">
            <v>74930000</v>
          </cell>
          <cell r="IJ46">
            <v>1.5656077472231611</v>
          </cell>
          <cell r="IK46" t="str">
            <v>2017-18</v>
          </cell>
          <cell r="IL46">
            <v>45</v>
          </cell>
          <cell r="IM46">
            <v>54.58</v>
          </cell>
          <cell r="IN46">
            <v>182</v>
          </cell>
          <cell r="IO46">
            <v>14.36</v>
          </cell>
          <cell r="IP46">
            <v>5.9691690133321123</v>
          </cell>
          <cell r="IQ46">
            <v>19.7</v>
          </cell>
          <cell r="IR46">
            <v>5.93</v>
          </cell>
          <cell r="IS46">
            <v>5.67</v>
          </cell>
          <cell r="IT46">
            <v>11.35</v>
          </cell>
          <cell r="IU46">
            <v>0.88</v>
          </cell>
          <cell r="IV46">
            <v>17.899999999999999</v>
          </cell>
          <cell r="IY46">
            <v>1.84</v>
          </cell>
          <cell r="IZ46">
            <v>0.5</v>
          </cell>
          <cell r="JA46">
            <v>1500</v>
          </cell>
          <cell r="JF46">
            <v>9.0877917999999998</v>
          </cell>
          <cell r="JG46">
            <v>15.309266509999999</v>
          </cell>
          <cell r="JH46">
            <v>202.66244365</v>
          </cell>
          <cell r="JI46">
            <v>81.374339249999991</v>
          </cell>
          <cell r="JJ46">
            <v>198.25262948999998</v>
          </cell>
          <cell r="JK46">
            <v>45.507491539999997</v>
          </cell>
          <cell r="JL46">
            <v>1012.84829598</v>
          </cell>
          <cell r="JM46">
            <v>0.10907</v>
          </cell>
          <cell r="JN46">
            <v>609.06025203000013</v>
          </cell>
          <cell r="JO46">
            <v>12.388571750000001</v>
          </cell>
          <cell r="JP46">
            <v>0</v>
          </cell>
          <cell r="JQ46">
            <v>0.21807650000000001</v>
          </cell>
          <cell r="JR46">
            <v>0.10860727000000001</v>
          </cell>
          <cell r="JS46">
            <v>0</v>
          </cell>
          <cell r="JT46">
            <v>0.41348571999999995</v>
          </cell>
          <cell r="JU46">
            <v>57.653002139999991</v>
          </cell>
          <cell r="JV46">
            <v>1.34070018</v>
          </cell>
          <cell r="JW46">
            <v>6.8992161200000002</v>
          </cell>
          <cell r="JX46">
            <v>7.4467639999999999</v>
          </cell>
          <cell r="JY46">
            <v>0</v>
          </cell>
          <cell r="JZ46">
            <v>1.2456619099999997</v>
          </cell>
          <cell r="KA46">
            <v>0.66984001999999998</v>
          </cell>
          <cell r="KB46">
            <v>3.5925254299999998</v>
          </cell>
          <cell r="KC46">
            <v>5.6252439999999995</v>
          </cell>
          <cell r="KD46">
            <v>5.6809394099999997</v>
          </cell>
          <cell r="KE46">
            <v>7.67071258</v>
          </cell>
          <cell r="KF46">
            <v>29.220215140000001</v>
          </cell>
          <cell r="KG46">
            <v>238.3478528</v>
          </cell>
          <cell r="KH46">
            <v>67.063435900000016</v>
          </cell>
          <cell r="KI46">
            <v>28.070668639999997</v>
          </cell>
          <cell r="KJ46">
            <v>1.9153655800000002</v>
          </cell>
          <cell r="KK46">
            <v>6.8695624700000009</v>
          </cell>
          <cell r="KL46">
            <v>0.40488991000000002</v>
          </cell>
          <cell r="KM46">
            <v>7.0722802200000006</v>
          </cell>
          <cell r="KN46">
            <v>1.9284699999999998E-3</v>
          </cell>
          <cell r="KO46">
            <v>0.41131910999999999</v>
          </cell>
          <cell r="KP46">
            <v>1.22174E-3</v>
          </cell>
          <cell r="KQ46">
            <v>261.81961639000002</v>
          </cell>
          <cell r="KR46">
            <v>1.1054999999999999E-3</v>
          </cell>
          <cell r="KS46">
            <v>0.15260435</v>
          </cell>
          <cell r="KT46">
            <v>2.2627404799999997</v>
          </cell>
          <cell r="KU46">
            <v>0.10917738</v>
          </cell>
          <cell r="KV46">
            <v>0</v>
          </cell>
          <cell r="KW46">
            <v>0.83144872000000003</v>
          </cell>
          <cell r="KX46">
            <v>0</v>
          </cell>
          <cell r="KY46">
            <v>0</v>
          </cell>
          <cell r="KZ46">
            <v>0.19347856999999996</v>
          </cell>
          <cell r="LA46">
            <v>0.175765</v>
          </cell>
          <cell r="LB46">
            <v>0.16601562</v>
          </cell>
          <cell r="LC46">
            <v>1.8521830000000003E-2</v>
          </cell>
          <cell r="LD46">
            <v>0</v>
          </cell>
          <cell r="LE46">
            <v>0.48563221000000001</v>
          </cell>
          <cell r="LF46">
            <v>0.29325236999999998</v>
          </cell>
          <cell r="LG46">
            <v>18.151731840000004</v>
          </cell>
          <cell r="LH46">
            <v>3.3074503900000001</v>
          </cell>
          <cell r="LI46">
            <v>0</v>
          </cell>
          <cell r="LJ46">
            <v>0.12007147999999999</v>
          </cell>
          <cell r="LK46">
            <v>0.94828520999999999</v>
          </cell>
          <cell r="LL46">
            <v>4.1629919000000006</v>
          </cell>
          <cell r="LM46">
            <v>1.65285226</v>
          </cell>
          <cell r="LN46">
            <v>0.14281885999999999</v>
          </cell>
          <cell r="LO46">
            <v>8.7002078199999993</v>
          </cell>
          <cell r="LQ46">
            <v>2104.3070304000003</v>
          </cell>
          <cell r="LR46">
            <v>0.74016948999999999</v>
          </cell>
          <cell r="LS46">
            <v>8.2399163000000009</v>
          </cell>
          <cell r="LT46">
            <v>1.9155019299999996</v>
          </cell>
          <cell r="LU46">
            <v>269.45885404000001</v>
          </cell>
          <cell r="LV46">
            <v>0.83144872000000003</v>
          </cell>
          <cell r="LW46">
            <v>0.34178061999999998</v>
          </cell>
          <cell r="LX46">
            <v>0.77888457999999994</v>
          </cell>
          <cell r="LZ46">
            <v>45.71</v>
          </cell>
          <cell r="MA46">
            <v>39.39</v>
          </cell>
          <cell r="MH46">
            <v>75.040000000000006</v>
          </cell>
          <cell r="MI46">
            <v>30.81</v>
          </cell>
          <cell r="MJ46">
            <v>22.45</v>
          </cell>
          <cell r="ML46">
            <v>23.08</v>
          </cell>
          <cell r="MM46">
            <v>33.409999999999997</v>
          </cell>
          <cell r="MO46">
            <v>34.32</v>
          </cell>
          <cell r="MP46">
            <v>51.03</v>
          </cell>
          <cell r="MQ46">
            <v>69.89</v>
          </cell>
          <cell r="MU46">
            <v>23.49</v>
          </cell>
          <cell r="MY46">
            <v>61.19</v>
          </cell>
          <cell r="MZ46">
            <v>144</v>
          </cell>
          <cell r="NA46">
            <v>67.400000000000006</v>
          </cell>
          <cell r="NB46">
            <v>193.16</v>
          </cell>
          <cell r="NC46">
            <v>35.36</v>
          </cell>
          <cell r="NE46">
            <v>164.15</v>
          </cell>
        </row>
        <row r="47">
          <cell r="A47">
            <v>43497</v>
          </cell>
          <cell r="B47">
            <v>2</v>
          </cell>
          <cell r="C47">
            <v>2019</v>
          </cell>
          <cell r="D47">
            <v>47</v>
          </cell>
          <cell r="E47">
            <v>43497</v>
          </cell>
          <cell r="F47">
            <v>39.31</v>
          </cell>
          <cell r="G47">
            <v>196.8</v>
          </cell>
          <cell r="H47">
            <v>19098</v>
          </cell>
          <cell r="I47">
            <v>98</v>
          </cell>
          <cell r="J47">
            <v>450</v>
          </cell>
          <cell r="K47">
            <v>3.2</v>
          </cell>
          <cell r="L47">
            <v>26.3</v>
          </cell>
          <cell r="N47">
            <v>1.452</v>
          </cell>
          <cell r="O47">
            <v>1.2988</v>
          </cell>
          <cell r="P47">
            <v>49.940774000000005</v>
          </cell>
          <cell r="Q47">
            <v>637</v>
          </cell>
          <cell r="R47">
            <v>6370</v>
          </cell>
          <cell r="S47">
            <v>191.95</v>
          </cell>
          <cell r="T47">
            <v>225.28</v>
          </cell>
          <cell r="U47">
            <v>140.785</v>
          </cell>
          <cell r="V47">
            <v>240.65499999999997</v>
          </cell>
          <cell r="W47">
            <v>117.5</v>
          </cell>
          <cell r="X47">
            <v>181.85</v>
          </cell>
          <cell r="Y47">
            <v>7545.5545000000002</v>
          </cell>
          <cell r="Z47">
            <v>8855.756800000001</v>
          </cell>
          <cell r="AA47">
            <v>5534.2583500000001</v>
          </cell>
          <cell r="AB47">
            <v>9460.1480499999998</v>
          </cell>
          <cell r="AC47">
            <v>4618.9250000000002</v>
          </cell>
          <cell r="AD47">
            <v>7148.5235000000002</v>
          </cell>
          <cell r="AE47">
            <v>7193.8610333333336</v>
          </cell>
          <cell r="AF47">
            <v>22302.05</v>
          </cell>
          <cell r="AG47">
            <v>8400</v>
          </cell>
          <cell r="AH47">
            <v>31900</v>
          </cell>
          <cell r="AI47">
            <v>9.8000000000000007</v>
          </cell>
          <cell r="AJ47">
            <v>5.36</v>
          </cell>
          <cell r="AK47">
            <v>6.65</v>
          </cell>
          <cell r="AL47">
            <v>4.53</v>
          </cell>
          <cell r="AM47">
            <v>7.5386000000000015</v>
          </cell>
          <cell r="AN47">
            <v>42.891680672268897</v>
          </cell>
          <cell r="AO47">
            <v>20.158499999999993</v>
          </cell>
          <cell r="AP47">
            <v>31.525090336134447</v>
          </cell>
          <cell r="AQ47">
            <v>13.854499999999996</v>
          </cell>
          <cell r="AR47">
            <v>13.106666666666667</v>
          </cell>
          <cell r="AS47">
            <v>11.43173469387755</v>
          </cell>
          <cell r="AT47">
            <v>29.34249999999999</v>
          </cell>
          <cell r="AU47">
            <v>17.960300453514737</v>
          </cell>
          <cell r="AV47">
            <v>7.6017045454545462</v>
          </cell>
          <cell r="AW47">
            <v>12.016666666666666</v>
          </cell>
          <cell r="AX47">
            <v>10.173333333333334</v>
          </cell>
          <cell r="AY47">
            <v>20.932222222222222</v>
          </cell>
          <cell r="AZ47">
            <v>10.787777777777778</v>
          </cell>
          <cell r="BA47">
            <v>12.821499999999997</v>
          </cell>
          <cell r="BB47">
            <v>13.678708333333333</v>
          </cell>
          <cell r="BC47">
            <v>812</v>
          </cell>
          <cell r="BD47">
            <v>914</v>
          </cell>
          <cell r="BE47">
            <v>720</v>
          </cell>
          <cell r="BF47">
            <v>460</v>
          </cell>
          <cell r="BG47">
            <v>726.5</v>
          </cell>
          <cell r="BH47">
            <v>53.11</v>
          </cell>
          <cell r="BI47">
            <v>19.36</v>
          </cell>
          <cell r="BJ47">
            <v>72.47</v>
          </cell>
          <cell r="BK47">
            <v>65.703000000000003</v>
          </cell>
          <cell r="BL47">
            <v>65.05</v>
          </cell>
          <cell r="BM47">
            <v>65.376499999999993</v>
          </cell>
          <cell r="BN47">
            <v>10.45</v>
          </cell>
          <cell r="BO47">
            <v>49.209999999999994</v>
          </cell>
          <cell r="BP47">
            <v>31.49</v>
          </cell>
          <cell r="BQ47">
            <v>47.437999999999995</v>
          </cell>
          <cell r="BR47">
            <v>37.42</v>
          </cell>
          <cell r="BS47">
            <v>115</v>
          </cell>
          <cell r="BT47">
            <v>148.40719999999999</v>
          </cell>
          <cell r="BU47">
            <v>1825.2215999999999</v>
          </cell>
          <cell r="BV47">
            <v>63</v>
          </cell>
          <cell r="BW47">
            <v>115</v>
          </cell>
          <cell r="BY47">
            <v>303.14267093664216</v>
          </cell>
          <cell r="BZ47">
            <v>289.65791640774859</v>
          </cell>
          <cell r="CA47">
            <v>304.38608688495299</v>
          </cell>
          <cell r="CB47">
            <v>271.07028105091126</v>
          </cell>
          <cell r="CC47">
            <v>276.76651483077205</v>
          </cell>
          <cell r="CD47">
            <v>289.10409396579081</v>
          </cell>
          <cell r="CE47">
            <v>261.72039774662863</v>
          </cell>
          <cell r="CF47">
            <v>301.70302506618765</v>
          </cell>
          <cell r="CG47">
            <v>284.12506659087387</v>
          </cell>
          <cell r="CH47">
            <v>306.43099696985234</v>
          </cell>
          <cell r="CI47">
            <v>280.09660213648277</v>
          </cell>
          <cell r="CJ47">
            <v>259.8386510024817</v>
          </cell>
          <cell r="CK47">
            <v>273.92585304423284</v>
          </cell>
          <cell r="CL47">
            <v>302.5214172491423</v>
          </cell>
          <cell r="CM47">
            <v>239.66775637183656</v>
          </cell>
          <cell r="CN47">
            <v>264.2713792939561</v>
          </cell>
          <cell r="CO47">
            <v>270.09660148979196</v>
          </cell>
          <cell r="CP47">
            <v>298.4916853586974</v>
          </cell>
          <cell r="CQ47">
            <v>264.22270398011563</v>
          </cell>
          <cell r="CR47">
            <v>255.78204295110072</v>
          </cell>
          <cell r="CS47">
            <v>260.00237346560817</v>
          </cell>
          <cell r="CT47">
            <v>249.43124481206982</v>
          </cell>
          <cell r="CU47">
            <v>258.83197354904991</v>
          </cell>
          <cell r="CV47">
            <v>256.27952403602893</v>
          </cell>
          <cell r="CW47">
            <v>256.27952403602893</v>
          </cell>
          <cell r="CX47">
            <v>257.13034054036922</v>
          </cell>
          <cell r="CY47">
            <v>252.8437372408666</v>
          </cell>
          <cell r="CZ47">
            <v>308.03119317155966</v>
          </cell>
          <cell r="DA47">
            <v>262.07077835929755</v>
          </cell>
          <cell r="DB47">
            <v>272.62310189152277</v>
          </cell>
          <cell r="DC47">
            <v>278.15749020419503</v>
          </cell>
          <cell r="DD47">
            <v>269.8096429242608</v>
          </cell>
          <cell r="DE47">
            <v>246.65645962447479</v>
          </cell>
          <cell r="DF47">
            <v>271.41922806630646</v>
          </cell>
          <cell r="DG47">
            <v>259.03784384539063</v>
          </cell>
          <cell r="DH47">
            <v>269.54869050812482</v>
          </cell>
          <cell r="DI47">
            <v>255.19088669120507</v>
          </cell>
          <cell r="DK47">
            <v>440000</v>
          </cell>
          <cell r="DL47" t="str">
            <v>2018-19</v>
          </cell>
          <cell r="DM47">
            <v>195000</v>
          </cell>
          <cell r="DN47" t="str">
            <v>2018-19</v>
          </cell>
          <cell r="DO47">
            <v>1000000</v>
          </cell>
          <cell r="DP47" t="str">
            <v>2018-19</v>
          </cell>
          <cell r="DQ47">
            <v>1900000</v>
          </cell>
          <cell r="DR47" t="str">
            <v>2018-19</v>
          </cell>
          <cell r="DS47">
            <v>5800000</v>
          </cell>
          <cell r="DT47" t="str">
            <v>2018-19</v>
          </cell>
          <cell r="DU47">
            <v>17700000</v>
          </cell>
          <cell r="DV47" t="str">
            <v>2018-19</v>
          </cell>
          <cell r="DW47">
            <v>730000</v>
          </cell>
          <cell r="DX47" t="str">
            <v>2018-19</v>
          </cell>
          <cell r="DY47">
            <v>6290000</v>
          </cell>
          <cell r="DZ47" t="str">
            <v>2018-19</v>
          </cell>
          <cell r="EA47">
            <v>33420000</v>
          </cell>
          <cell r="EB47">
            <v>390000</v>
          </cell>
          <cell r="EC47" t="str">
            <v>2018-19</v>
          </cell>
          <cell r="ED47">
            <v>170782</v>
          </cell>
          <cell r="EE47">
            <v>2019</v>
          </cell>
          <cell r="EF47">
            <v>215169</v>
          </cell>
          <cell r="EG47">
            <v>2019</v>
          </cell>
          <cell r="EH47">
            <v>55007853</v>
          </cell>
          <cell r="EI47">
            <v>2019</v>
          </cell>
          <cell r="EJ47">
            <v>5291453</v>
          </cell>
          <cell r="EK47">
            <v>2018</v>
          </cell>
          <cell r="EL47">
            <v>14339908</v>
          </cell>
          <cell r="EM47">
            <v>2018</v>
          </cell>
          <cell r="EN47">
            <v>3400522</v>
          </cell>
          <cell r="EO47">
            <v>2018</v>
          </cell>
          <cell r="EP47">
            <v>6552</v>
          </cell>
          <cell r="EQ47">
            <v>3038588</v>
          </cell>
          <cell r="ER47">
            <v>33739</v>
          </cell>
          <cell r="ET47">
            <v>20884</v>
          </cell>
          <cell r="EU47">
            <v>17312</v>
          </cell>
          <cell r="EV47">
            <v>9130</v>
          </cell>
          <cell r="EW47">
            <v>17152</v>
          </cell>
          <cell r="EX47">
            <v>64478</v>
          </cell>
          <cell r="EY47">
            <v>19636</v>
          </cell>
          <cell r="EZ47">
            <v>76171</v>
          </cell>
          <cell r="FA47">
            <v>20432</v>
          </cell>
          <cell r="FB47">
            <v>18034</v>
          </cell>
          <cell r="FC47">
            <v>38466</v>
          </cell>
          <cell r="FD47">
            <v>61643.420000000013</v>
          </cell>
          <cell r="FF47">
            <v>814000</v>
          </cell>
          <cell r="FG47" t="str">
            <v>2017-18</v>
          </cell>
          <cell r="FH47">
            <v>1370000</v>
          </cell>
          <cell r="FI47" t="str">
            <v>2017-18</v>
          </cell>
          <cell r="FJ47">
            <v>4100000</v>
          </cell>
          <cell r="FK47" t="str">
            <v>2018-19</v>
          </cell>
          <cell r="FL47">
            <v>3900000</v>
          </cell>
          <cell r="FM47" t="str">
            <v>2018-19</v>
          </cell>
          <cell r="FN47">
            <v>45000000</v>
          </cell>
          <cell r="FO47" t="str">
            <v>2018-19</v>
          </cell>
          <cell r="FP47">
            <v>53000000</v>
          </cell>
          <cell r="FQ47" t="str">
            <v>2018-19</v>
          </cell>
          <cell r="FR47">
            <v>2190000</v>
          </cell>
          <cell r="FS47" t="str">
            <v>2018-19</v>
          </cell>
          <cell r="FT47">
            <v>19460000</v>
          </cell>
          <cell r="FU47" t="str">
            <v>2018-19</v>
          </cell>
          <cell r="FV47">
            <v>127650000</v>
          </cell>
          <cell r="FW47">
            <v>1124000</v>
          </cell>
          <cell r="FX47" t="str">
            <v>2018-19</v>
          </cell>
          <cell r="FY47">
            <v>33708.553</v>
          </cell>
          <cell r="FZ47">
            <v>800117.3459999999</v>
          </cell>
          <cell r="GA47" t="str">
            <v>mar18 feb19</v>
          </cell>
          <cell r="GB47">
            <v>25198862</v>
          </cell>
          <cell r="GC47">
            <v>2019</v>
          </cell>
          <cell r="GD47">
            <v>2061660</v>
          </cell>
          <cell r="GE47">
            <v>421371</v>
          </cell>
          <cell r="GF47">
            <v>1038352</v>
          </cell>
          <cell r="GG47">
            <v>114695</v>
          </cell>
          <cell r="GH47">
            <v>1574418</v>
          </cell>
          <cell r="GI47">
            <v>1302556</v>
          </cell>
          <cell r="GJ47">
            <v>673662.3</v>
          </cell>
          <cell r="GK47">
            <v>1162000</v>
          </cell>
          <cell r="GL47">
            <v>290589.5</v>
          </cell>
          <cell r="GM47">
            <v>258882.47</v>
          </cell>
          <cell r="GN47">
            <v>2385134.27</v>
          </cell>
          <cell r="GO47">
            <v>196709</v>
          </cell>
          <cell r="GP47">
            <v>71194.64</v>
          </cell>
          <cell r="GQ47">
            <v>141063</v>
          </cell>
          <cell r="GR47">
            <v>43750</v>
          </cell>
          <cell r="GS47">
            <v>47981.89</v>
          </cell>
          <cell r="GT47">
            <v>2600000</v>
          </cell>
          <cell r="GU47">
            <v>113332</v>
          </cell>
          <cell r="GV47">
            <v>30810</v>
          </cell>
          <cell r="GW47">
            <v>1082616</v>
          </cell>
          <cell r="GX47">
            <v>32193.503000000001</v>
          </cell>
          <cell r="GY47" t="str">
            <v>2018-2019</v>
          </cell>
          <cell r="GZ47">
            <v>107349</v>
          </cell>
          <cell r="HA47">
            <v>224315</v>
          </cell>
          <cell r="HB47">
            <v>3050378</v>
          </cell>
          <cell r="HC47" t="str">
            <v>mar18 feb19</v>
          </cell>
          <cell r="HD47">
            <v>46506</v>
          </cell>
          <cell r="HE47">
            <v>627214</v>
          </cell>
          <cell r="HF47" t="str">
            <v>mar18 feb19</v>
          </cell>
          <cell r="HG47">
            <v>158000</v>
          </cell>
          <cell r="HH47">
            <v>2122083.333333333</v>
          </cell>
          <cell r="HI47" t="str">
            <v>mar18 feb19</v>
          </cell>
          <cell r="HJ47">
            <v>72803</v>
          </cell>
          <cell r="HK47">
            <v>61255.3992</v>
          </cell>
          <cell r="HL47" t="str">
            <v>mar18 feb19</v>
          </cell>
          <cell r="HM47">
            <v>2183338.7325333329</v>
          </cell>
          <cell r="HN47">
            <v>-9.8479406406514092E-2</v>
          </cell>
          <cell r="HO47">
            <v>668300000</v>
          </cell>
          <cell r="HP47">
            <v>10388.836553839536</v>
          </cell>
          <cell r="HQ47" t="str">
            <v>mar18 feb19</v>
          </cell>
          <cell r="HU47">
            <v>680000</v>
          </cell>
          <cell r="HV47" t="str">
            <v>2017-18</v>
          </cell>
          <cell r="HW47">
            <v>1500000</v>
          </cell>
          <cell r="HX47" t="str">
            <v>2018-19</v>
          </cell>
          <cell r="HY47">
            <v>3890000</v>
          </cell>
          <cell r="HZ47" t="str">
            <v>2018-19</v>
          </cell>
          <cell r="IA47">
            <v>19890000</v>
          </cell>
          <cell r="IB47" t="str">
            <v>2017-18</v>
          </cell>
          <cell r="IC47">
            <v>41300000</v>
          </cell>
          <cell r="ID47" t="str">
            <v>2017-18</v>
          </cell>
          <cell r="IE47">
            <v>1550000</v>
          </cell>
          <cell r="IF47" t="str">
            <v>2017-18</v>
          </cell>
          <cell r="IG47">
            <v>6800000</v>
          </cell>
          <cell r="IH47" t="str">
            <v>2018-19</v>
          </cell>
          <cell r="II47">
            <v>74930000</v>
          </cell>
          <cell r="IJ47">
            <v>1.5656077472231611</v>
          </cell>
          <cell r="IK47" t="str">
            <v>2017-18</v>
          </cell>
          <cell r="IL47">
            <v>41.5</v>
          </cell>
          <cell r="IM47">
            <v>51.41</v>
          </cell>
          <cell r="IN47">
            <v>182</v>
          </cell>
          <cell r="IO47">
            <v>14.25</v>
          </cell>
          <cell r="IP47">
            <v>5.9691690133321123</v>
          </cell>
          <cell r="IQ47">
            <v>19.7</v>
          </cell>
          <cell r="IR47">
            <v>5.93</v>
          </cell>
          <cell r="IS47">
            <v>5.67</v>
          </cell>
          <cell r="IT47">
            <v>11.35</v>
          </cell>
          <cell r="IU47">
            <v>0.88</v>
          </cell>
          <cell r="IV47">
            <v>17.899999999999999</v>
          </cell>
          <cell r="IY47">
            <v>1.84</v>
          </cell>
          <cell r="IZ47">
            <v>0.5</v>
          </cell>
          <cell r="JA47">
            <v>1500</v>
          </cell>
          <cell r="JF47">
            <v>7.3121487900000011</v>
          </cell>
          <cell r="JG47">
            <v>6.4397527999999999</v>
          </cell>
          <cell r="JH47">
            <v>126.93324514000001</v>
          </cell>
          <cell r="JI47">
            <v>59.18867023</v>
          </cell>
          <cell r="JJ47">
            <v>255.21007206000002</v>
          </cell>
          <cell r="JK47">
            <v>61.82321369999999</v>
          </cell>
          <cell r="JL47">
            <v>833.42961964999995</v>
          </cell>
          <cell r="JM47">
            <v>1.0655834099999999</v>
          </cell>
          <cell r="JN47">
            <v>361.01645393000001</v>
          </cell>
          <cell r="JO47">
            <v>15.232690130000002</v>
          </cell>
          <cell r="JP47">
            <v>0</v>
          </cell>
          <cell r="JQ47">
            <v>1.5737490000000001</v>
          </cell>
          <cell r="JR47">
            <v>0.59975699999999998</v>
          </cell>
          <cell r="JS47">
            <v>0</v>
          </cell>
          <cell r="JT47">
            <v>0.69466167999999995</v>
          </cell>
          <cell r="JU47">
            <v>65.541425610000005</v>
          </cell>
          <cell r="JV47">
            <v>6.6961285699999999</v>
          </cell>
          <cell r="JW47">
            <v>47.378580349999993</v>
          </cell>
          <cell r="JX47">
            <v>6.9001475800000005</v>
          </cell>
          <cell r="JY47">
            <v>0</v>
          </cell>
          <cell r="JZ47">
            <v>1.2282256999999999</v>
          </cell>
          <cell r="KA47">
            <v>0</v>
          </cell>
          <cell r="KB47">
            <v>3.77184908</v>
          </cell>
          <cell r="KC47">
            <v>6.9404724000000009</v>
          </cell>
          <cell r="KD47">
            <v>5.0293573899999995</v>
          </cell>
          <cell r="KE47">
            <v>9.9831496800000004</v>
          </cell>
          <cell r="KF47">
            <v>25.96451721</v>
          </cell>
          <cell r="KG47">
            <v>240.2438281900001</v>
          </cell>
          <cell r="KH47">
            <v>59.881838490000014</v>
          </cell>
          <cell r="KI47">
            <v>16.693038629999997</v>
          </cell>
          <cell r="KJ47">
            <v>2.3792436300000004</v>
          </cell>
          <cell r="KK47">
            <v>5.8902069299999988</v>
          </cell>
          <cell r="KL47">
            <v>0.29230216000000003</v>
          </cell>
          <cell r="KM47">
            <v>3.6956594200000001</v>
          </cell>
          <cell r="KN47">
            <v>0</v>
          </cell>
          <cell r="KO47">
            <v>0.70748212999999993</v>
          </cell>
          <cell r="KP47">
            <v>5.1207000000000003E-2</v>
          </cell>
          <cell r="KQ47">
            <v>247.08801968999998</v>
          </cell>
          <cell r="KR47">
            <v>4.4581999999999998E-4</v>
          </cell>
          <cell r="KS47">
            <v>0.33134514000000004</v>
          </cell>
          <cell r="KT47">
            <v>1.3762087900000002</v>
          </cell>
          <cell r="KU47">
            <v>0.17887851999999999</v>
          </cell>
          <cell r="KV47">
            <v>0</v>
          </cell>
          <cell r="KW47">
            <v>0.82148484999999993</v>
          </cell>
          <cell r="KX47">
            <v>0</v>
          </cell>
          <cell r="KY47">
            <v>0</v>
          </cell>
          <cell r="KZ47">
            <v>0.20458936</v>
          </cell>
          <cell r="LA47">
            <v>0.18640872999999999</v>
          </cell>
          <cell r="LB47">
            <v>0.17386868999999999</v>
          </cell>
          <cell r="LC47">
            <v>1.97816E-2</v>
          </cell>
          <cell r="LD47">
            <v>0</v>
          </cell>
          <cell r="LE47">
            <v>0.87179888000000005</v>
          </cell>
          <cell r="LF47">
            <v>0.42482847000000001</v>
          </cell>
          <cell r="LG47">
            <v>20.323870619999997</v>
          </cell>
          <cell r="LH47">
            <v>4.34916429</v>
          </cell>
          <cell r="LI47">
            <v>0</v>
          </cell>
          <cell r="LJ47">
            <v>0</v>
          </cell>
          <cell r="LK47">
            <v>3.1241180999999996</v>
          </cell>
          <cell r="LL47">
            <v>3.3387719099999997</v>
          </cell>
          <cell r="LM47">
            <v>3.2800200300000002</v>
          </cell>
          <cell r="LN47">
            <v>0.14910473999999999</v>
          </cell>
          <cell r="LO47">
            <v>9.3986283400000001</v>
          </cell>
          <cell r="LQ47">
            <v>1636.8436444200001</v>
          </cell>
          <cell r="LR47">
            <v>2.86816768</v>
          </cell>
          <cell r="LS47">
            <v>54.074708919999992</v>
          </cell>
          <cell r="LT47">
            <v>1.2282256999999999</v>
          </cell>
          <cell r="LU47">
            <v>251.82295219999997</v>
          </cell>
          <cell r="LV47">
            <v>0.82148484999999993</v>
          </cell>
          <cell r="LW47">
            <v>0.36027741999999996</v>
          </cell>
          <cell r="LX47">
            <v>1.2966273500000001</v>
          </cell>
          <cell r="LZ47">
            <v>46.43</v>
          </cell>
          <cell r="MA47">
            <v>40.6</v>
          </cell>
          <cell r="MH47">
            <v>76.94</v>
          </cell>
          <cell r="MI47">
            <v>31.28</v>
          </cell>
          <cell r="MJ47">
            <v>20.329999999999998</v>
          </cell>
          <cell r="ML47">
            <v>23.93</v>
          </cell>
          <cell r="MM47">
            <v>45.39</v>
          </cell>
          <cell r="MO47">
            <v>34.369999999999997</v>
          </cell>
          <cell r="MP47">
            <v>52.39</v>
          </cell>
          <cell r="MQ47">
            <v>68.88</v>
          </cell>
          <cell r="MU47">
            <v>24.83</v>
          </cell>
          <cell r="MY47">
            <v>63.22</v>
          </cell>
          <cell r="MZ47">
            <v>155.5</v>
          </cell>
          <cell r="NA47">
            <v>71.87</v>
          </cell>
          <cell r="NB47">
            <v>218.24</v>
          </cell>
          <cell r="NC47">
            <v>36.25</v>
          </cell>
          <cell r="NE47">
            <v>173.1</v>
          </cell>
        </row>
        <row r="48">
          <cell r="A48">
            <v>43525</v>
          </cell>
          <cell r="B48">
            <v>3</v>
          </cell>
          <cell r="C48">
            <v>2019</v>
          </cell>
          <cell r="D48">
            <v>48</v>
          </cell>
          <cell r="E48">
            <v>43525</v>
          </cell>
          <cell r="F48">
            <v>42.489473684210523</v>
          </cell>
          <cell r="G48">
            <v>206</v>
          </cell>
          <cell r="H48">
            <v>19098</v>
          </cell>
          <cell r="I48">
            <v>95</v>
          </cell>
          <cell r="J48">
            <v>430</v>
          </cell>
          <cell r="K48">
            <v>3.2</v>
          </cell>
          <cell r="L48">
            <v>27.7</v>
          </cell>
          <cell r="N48">
            <v>1.4943599999999999</v>
          </cell>
          <cell r="O48">
            <v>1.3403</v>
          </cell>
          <cell r="P48">
            <v>55.969615736842101</v>
          </cell>
          <cell r="Q48">
            <v>670</v>
          </cell>
          <cell r="R48">
            <v>6700</v>
          </cell>
          <cell r="S48">
            <v>146.84</v>
          </cell>
          <cell r="T48">
            <v>227.15</v>
          </cell>
          <cell r="U48">
            <v>137.38421052631577</v>
          </cell>
          <cell r="V48">
            <v>231.59473684210528</v>
          </cell>
          <cell r="W48">
            <v>108.63</v>
          </cell>
          <cell r="X48">
            <v>170.95263157894738</v>
          </cell>
          <cell r="Y48">
            <v>6239.154315789473</v>
          </cell>
          <cell r="Z48">
            <v>9651.4839473684206</v>
          </cell>
          <cell r="AA48">
            <v>5837.3827977839319</v>
          </cell>
          <cell r="AB48">
            <v>9840.3384764542934</v>
          </cell>
          <cell r="AC48">
            <v>4615.6315263157885</v>
          </cell>
          <cell r="AD48">
            <v>7263.6873407202211</v>
          </cell>
          <cell r="AE48">
            <v>7241.2797340720217</v>
          </cell>
          <cell r="AF48">
            <v>22647.055555555555</v>
          </cell>
          <cell r="AG48">
            <v>11550</v>
          </cell>
          <cell r="AH48">
            <v>43890</v>
          </cell>
          <cell r="AI48">
            <v>8.5159000000000002</v>
          </cell>
          <cell r="AJ48">
            <v>5.6969000000000003</v>
          </cell>
          <cell r="AK48">
            <v>6.3468</v>
          </cell>
          <cell r="AL48">
            <v>6.3178000000000001</v>
          </cell>
          <cell r="AM48">
            <v>7.3116300000000001</v>
          </cell>
          <cell r="AN48">
            <v>41.545148514851483</v>
          </cell>
          <cell r="AO48">
            <v>20.93</v>
          </cell>
          <cell r="AP48">
            <v>31.237574257425742</v>
          </cell>
          <cell r="AQ48">
            <v>13.45</v>
          </cell>
          <cell r="AR48">
            <v>15.51</v>
          </cell>
          <cell r="AS48">
            <v>10.92</v>
          </cell>
          <cell r="AT48">
            <v>28.24</v>
          </cell>
          <cell r="AU48">
            <v>18.223333333333333</v>
          </cell>
          <cell r="AV48">
            <v>8.65</v>
          </cell>
          <cell r="AW48">
            <v>12.8</v>
          </cell>
          <cell r="AX48">
            <v>12.99</v>
          </cell>
          <cell r="AY48">
            <v>34.15</v>
          </cell>
          <cell r="AZ48">
            <v>10.72</v>
          </cell>
          <cell r="BA48">
            <v>10.029999999999999</v>
          </cell>
          <cell r="BB48">
            <v>16.9725</v>
          </cell>
          <cell r="BC48">
            <v>812</v>
          </cell>
          <cell r="BD48">
            <v>914</v>
          </cell>
          <cell r="BE48">
            <v>720</v>
          </cell>
          <cell r="BF48">
            <v>460</v>
          </cell>
          <cell r="BG48">
            <v>726.5</v>
          </cell>
          <cell r="BH48">
            <v>53.11</v>
          </cell>
          <cell r="BI48">
            <v>19.36</v>
          </cell>
          <cell r="BJ48">
            <v>72.47</v>
          </cell>
          <cell r="BK48">
            <v>64.849000000000004</v>
          </cell>
          <cell r="BL48">
            <v>64.58</v>
          </cell>
          <cell r="BM48">
            <v>64.714500000000001</v>
          </cell>
          <cell r="BN48">
            <v>11.76</v>
          </cell>
          <cell r="BO48">
            <v>62.699999999999996</v>
          </cell>
          <cell r="BP48">
            <v>33.89</v>
          </cell>
          <cell r="BQ48">
            <v>59.819000000000003</v>
          </cell>
          <cell r="BR48">
            <v>38.9</v>
          </cell>
          <cell r="BS48">
            <v>130</v>
          </cell>
          <cell r="BT48">
            <v>154.0635</v>
          </cell>
          <cell r="BU48">
            <v>2022.1905000000002</v>
          </cell>
          <cell r="BV48">
            <v>62.7</v>
          </cell>
          <cell r="BW48">
            <v>130</v>
          </cell>
          <cell r="BY48">
            <v>323.51470288898963</v>
          </cell>
          <cell r="BZ48">
            <v>304.427698627224</v>
          </cell>
          <cell r="CA48">
            <v>304.52399208942882</v>
          </cell>
          <cell r="CB48">
            <v>290.11742180836995</v>
          </cell>
          <cell r="CC48">
            <v>295.79773471105585</v>
          </cell>
          <cell r="CD48">
            <v>304.41518709268178</v>
          </cell>
          <cell r="CE48">
            <v>276.3799286033825</v>
          </cell>
          <cell r="CF48">
            <v>316.99349026395265</v>
          </cell>
          <cell r="CG48">
            <v>298.03795909481192</v>
          </cell>
          <cell r="CH48">
            <v>318.63128644886308</v>
          </cell>
          <cell r="CI48">
            <v>296.31666442595395</v>
          </cell>
          <cell r="CJ48">
            <v>268.07694829775056</v>
          </cell>
          <cell r="CK48">
            <v>299.18579987823955</v>
          </cell>
          <cell r="CL48">
            <v>367.74513541579353</v>
          </cell>
          <cell r="CM48">
            <v>247.78047584621302</v>
          </cell>
          <cell r="CN48">
            <v>261.8752795931257</v>
          </cell>
          <cell r="CO48">
            <v>294.14667268334296</v>
          </cell>
          <cell r="CP48">
            <v>306.77752725763179</v>
          </cell>
          <cell r="CQ48">
            <v>269.93286851293061</v>
          </cell>
          <cell r="CR48">
            <v>263.88283292959898</v>
          </cell>
          <cell r="CS48">
            <v>266.90785072126482</v>
          </cell>
          <cell r="CT48">
            <v>257.54478996593127</v>
          </cell>
          <cell r="CU48">
            <v>272.55325254751506</v>
          </cell>
          <cell r="CV48">
            <v>266.04087556824589</v>
          </cell>
          <cell r="CW48">
            <v>266.04087556824589</v>
          </cell>
          <cell r="CX48">
            <v>268.21166789466889</v>
          </cell>
          <cell r="CY48">
            <v>263.47784887579769</v>
          </cell>
          <cell r="CZ48">
            <v>317.41490284767241</v>
          </cell>
          <cell r="DA48">
            <v>267.15026897007255</v>
          </cell>
          <cell r="DB48">
            <v>280.69418194202325</v>
          </cell>
          <cell r="DC48">
            <v>293.00841380010991</v>
          </cell>
          <cell r="DD48">
            <v>282.85340973230831</v>
          </cell>
          <cell r="DE48">
            <v>256.73030815325973</v>
          </cell>
          <cell r="DF48">
            <v>286.30010463199483</v>
          </cell>
          <cell r="DG48">
            <v>271.51520639262731</v>
          </cell>
          <cell r="DH48">
            <v>277.21026047194198</v>
          </cell>
          <cell r="DI48">
            <v>262.56772292480161</v>
          </cell>
          <cell r="DK48">
            <v>440000</v>
          </cell>
          <cell r="DL48" t="str">
            <v>2018-19</v>
          </cell>
          <cell r="DM48">
            <v>195000</v>
          </cell>
          <cell r="DN48" t="str">
            <v>2018-19</v>
          </cell>
          <cell r="DO48">
            <v>1355000</v>
          </cell>
          <cell r="DP48" t="str">
            <v>2018-19</v>
          </cell>
          <cell r="DQ48">
            <v>1850000</v>
          </cell>
          <cell r="DR48" t="str">
            <v>2018-19</v>
          </cell>
          <cell r="DS48">
            <v>5800000</v>
          </cell>
          <cell r="DT48" t="str">
            <v>2018-19</v>
          </cell>
          <cell r="DU48">
            <v>17400000</v>
          </cell>
          <cell r="DV48" t="str">
            <v>2018-19</v>
          </cell>
          <cell r="DW48">
            <v>570000</v>
          </cell>
          <cell r="DX48" t="str">
            <v>2018-19</v>
          </cell>
          <cell r="DY48">
            <v>6290000</v>
          </cell>
          <cell r="DZ48" t="str">
            <v>2018-19</v>
          </cell>
          <cell r="EA48">
            <v>33265000</v>
          </cell>
          <cell r="EB48">
            <v>355000</v>
          </cell>
          <cell r="EC48" t="str">
            <v>2018-19</v>
          </cell>
          <cell r="ED48">
            <v>170782</v>
          </cell>
          <cell r="EE48">
            <v>2019</v>
          </cell>
          <cell r="EF48">
            <v>215169</v>
          </cell>
          <cell r="EG48">
            <v>2019</v>
          </cell>
          <cell r="EH48">
            <v>55007853</v>
          </cell>
          <cell r="EI48">
            <v>2019</v>
          </cell>
          <cell r="EJ48">
            <v>5128954</v>
          </cell>
          <cell r="EK48">
            <v>2019</v>
          </cell>
          <cell r="EL48">
            <v>14339908</v>
          </cell>
          <cell r="EM48">
            <v>2018</v>
          </cell>
          <cell r="EN48">
            <v>3400522</v>
          </cell>
          <cell r="EO48">
            <v>2018</v>
          </cell>
          <cell r="EP48">
            <v>6552</v>
          </cell>
          <cell r="EQ48">
            <v>3038588</v>
          </cell>
          <cell r="ER48">
            <v>33739</v>
          </cell>
          <cell r="ET48">
            <v>20884</v>
          </cell>
          <cell r="EU48">
            <v>17312</v>
          </cell>
          <cell r="EV48">
            <v>9130</v>
          </cell>
          <cell r="EW48">
            <v>17152</v>
          </cell>
          <cell r="EX48">
            <v>64478</v>
          </cell>
          <cell r="EY48">
            <v>19636</v>
          </cell>
          <cell r="EZ48">
            <v>76171</v>
          </cell>
          <cell r="FA48">
            <v>20432</v>
          </cell>
          <cell r="FB48">
            <v>18034</v>
          </cell>
          <cell r="FC48">
            <v>38466</v>
          </cell>
          <cell r="FD48">
            <v>61643.420000000013</v>
          </cell>
          <cell r="FF48">
            <v>814000</v>
          </cell>
          <cell r="FG48" t="str">
            <v>2017-18</v>
          </cell>
          <cell r="FH48">
            <v>1270000</v>
          </cell>
          <cell r="FI48" t="str">
            <v>2018-19</v>
          </cell>
          <cell r="FJ48">
            <v>5060000</v>
          </cell>
          <cell r="FK48" t="str">
            <v>2018-19</v>
          </cell>
          <cell r="FL48">
            <v>3850000</v>
          </cell>
          <cell r="FM48" t="str">
            <v>2018-19</v>
          </cell>
          <cell r="FN48">
            <v>46000000</v>
          </cell>
          <cell r="FO48" t="str">
            <v>2018-19</v>
          </cell>
          <cell r="FP48">
            <v>53000000</v>
          </cell>
          <cell r="FQ48" t="str">
            <v>2018-19</v>
          </cell>
          <cell r="FR48">
            <v>2190000</v>
          </cell>
          <cell r="FS48" t="str">
            <v>2018-19</v>
          </cell>
          <cell r="FT48">
            <v>19460000</v>
          </cell>
          <cell r="FU48" t="str">
            <v>2018-19</v>
          </cell>
          <cell r="FV48">
            <v>129560000</v>
          </cell>
          <cell r="FW48">
            <v>1217143</v>
          </cell>
          <cell r="FX48" t="str">
            <v>2018-19</v>
          </cell>
          <cell r="FY48">
            <v>73315</v>
          </cell>
          <cell r="FZ48">
            <v>802585.89799999993</v>
          </cell>
          <cell r="GA48" t="str">
            <v>abr18 mar19</v>
          </cell>
          <cell r="GB48">
            <v>25198862</v>
          </cell>
          <cell r="GC48">
            <v>2019</v>
          </cell>
          <cell r="GD48">
            <v>2061660</v>
          </cell>
          <cell r="GE48">
            <v>421371</v>
          </cell>
          <cell r="GF48">
            <v>1038352</v>
          </cell>
          <cell r="GG48">
            <v>114695</v>
          </cell>
          <cell r="GH48">
            <v>1574418</v>
          </cell>
          <cell r="GI48">
            <v>1302556</v>
          </cell>
          <cell r="GJ48">
            <v>673662.3</v>
          </cell>
          <cell r="GK48">
            <v>1162000</v>
          </cell>
          <cell r="GL48">
            <v>290589.5</v>
          </cell>
          <cell r="GM48">
            <v>258882.47</v>
          </cell>
          <cell r="GN48">
            <v>2385134.27</v>
          </cell>
          <cell r="GO48">
            <v>196709</v>
          </cell>
          <cell r="GP48">
            <v>71194.64</v>
          </cell>
          <cell r="GQ48">
            <v>109590</v>
          </cell>
          <cell r="GR48">
            <v>43750</v>
          </cell>
          <cell r="GS48">
            <v>47037.7</v>
          </cell>
          <cell r="GT48">
            <v>2600000</v>
          </cell>
          <cell r="GU48">
            <v>107014</v>
          </cell>
          <cell r="GV48">
            <v>56773</v>
          </cell>
          <cell r="GW48">
            <v>1048119</v>
          </cell>
          <cell r="GX48">
            <v>32193.503000000001</v>
          </cell>
          <cell r="GY48" t="str">
            <v>2018-2019</v>
          </cell>
          <cell r="GZ48">
            <v>107349</v>
          </cell>
          <cell r="HA48">
            <v>228998</v>
          </cell>
          <cell r="HB48">
            <v>3031276</v>
          </cell>
          <cell r="HC48" t="str">
            <v>abr18 mar19</v>
          </cell>
          <cell r="HD48">
            <v>51489</v>
          </cell>
          <cell r="HE48">
            <v>628900</v>
          </cell>
          <cell r="HF48" t="str">
            <v>abr18 mar19</v>
          </cell>
          <cell r="HG48">
            <v>168000</v>
          </cell>
          <cell r="HH48">
            <v>2115083.333333333</v>
          </cell>
          <cell r="HI48" t="str">
            <v>abr18 mar19</v>
          </cell>
          <cell r="HJ48">
            <v>78742</v>
          </cell>
          <cell r="HK48">
            <v>61467.37920000001</v>
          </cell>
          <cell r="HL48" t="str">
            <v>abr18 mar19</v>
          </cell>
          <cell r="HM48">
            <v>2176550.7125333329</v>
          </cell>
          <cell r="HN48">
            <v>-7.947293985591608E-2</v>
          </cell>
          <cell r="HO48">
            <v>745500000</v>
          </cell>
          <cell r="HP48">
            <v>10324.474429978329</v>
          </cell>
          <cell r="HQ48" t="str">
            <v>abr18 mar19</v>
          </cell>
          <cell r="HU48">
            <v>680000</v>
          </cell>
          <cell r="HV48" t="str">
            <v>2017-18</v>
          </cell>
          <cell r="HW48">
            <v>1500000</v>
          </cell>
          <cell r="HX48" t="str">
            <v>2018-19</v>
          </cell>
          <cell r="HY48">
            <v>3890000</v>
          </cell>
          <cell r="HZ48" t="str">
            <v>2018-19</v>
          </cell>
          <cell r="IA48">
            <v>21220000</v>
          </cell>
          <cell r="IB48" t="str">
            <v>2018-19</v>
          </cell>
          <cell r="IC48">
            <v>41300000</v>
          </cell>
          <cell r="ID48" t="str">
            <v>2017-18</v>
          </cell>
          <cell r="IE48">
            <v>1350000</v>
          </cell>
          <cell r="IF48" t="str">
            <v>2018-19</v>
          </cell>
          <cell r="IG48">
            <v>6600000</v>
          </cell>
          <cell r="IH48" t="str">
            <v>2018-19</v>
          </cell>
          <cell r="II48">
            <v>75860000</v>
          </cell>
          <cell r="IJ48">
            <v>1.5656077472231611</v>
          </cell>
          <cell r="IK48" t="str">
            <v>2017-18</v>
          </cell>
          <cell r="IL48">
            <v>40.4</v>
          </cell>
          <cell r="IM48">
            <v>48.32</v>
          </cell>
          <cell r="IN48">
            <v>182</v>
          </cell>
          <cell r="IO48">
            <v>14.14</v>
          </cell>
          <cell r="IP48">
            <v>5.9691690133321123</v>
          </cell>
          <cell r="IQ48">
            <v>19.7</v>
          </cell>
          <cell r="IR48">
            <v>5.93</v>
          </cell>
          <cell r="IS48">
            <v>5.67</v>
          </cell>
          <cell r="IT48">
            <v>11.35</v>
          </cell>
          <cell r="IU48">
            <v>0.88</v>
          </cell>
          <cell r="IV48">
            <v>17.899999999999999</v>
          </cell>
          <cell r="IY48">
            <v>1.84</v>
          </cell>
          <cell r="IZ48">
            <v>0.5</v>
          </cell>
          <cell r="JA48">
            <v>1500</v>
          </cell>
          <cell r="JF48">
            <v>4.0062355699999994</v>
          </cell>
          <cell r="JG48">
            <v>20.757807849999999</v>
          </cell>
          <cell r="JH48">
            <v>81.749990510000003</v>
          </cell>
          <cell r="JI48">
            <v>115.89896163</v>
          </cell>
          <cell r="JJ48">
            <v>644.30871814</v>
          </cell>
          <cell r="JK48">
            <v>44.129226329999995</v>
          </cell>
          <cell r="JL48">
            <v>974.01414871999987</v>
          </cell>
          <cell r="JM48">
            <v>0.7255043000000001</v>
          </cell>
          <cell r="JN48">
            <v>227.69408383000001</v>
          </cell>
          <cell r="JO48">
            <v>18.18974639</v>
          </cell>
          <cell r="JP48">
            <v>0</v>
          </cell>
          <cell r="JQ48">
            <v>4.9042289499999994</v>
          </cell>
          <cell r="JR48">
            <v>0.49247885999999996</v>
          </cell>
          <cell r="JS48">
            <v>0</v>
          </cell>
          <cell r="JT48">
            <v>0.71165577000000002</v>
          </cell>
          <cell r="JU48">
            <v>80.777677829999973</v>
          </cell>
          <cell r="JV48">
            <v>8.8603567400000021</v>
          </cell>
          <cell r="JW48">
            <v>47.767483169999998</v>
          </cell>
          <cell r="JX48">
            <v>11.111280000000001</v>
          </cell>
          <cell r="JY48">
            <v>0</v>
          </cell>
          <cell r="JZ48">
            <v>0.57340002999999995</v>
          </cell>
          <cell r="KA48">
            <v>0</v>
          </cell>
          <cell r="KB48">
            <v>3.11668484</v>
          </cell>
          <cell r="KC48">
            <v>15.920816550000001</v>
          </cell>
          <cell r="KD48">
            <v>6.1290731100000002</v>
          </cell>
          <cell r="KE48">
            <v>15.658981640000002</v>
          </cell>
          <cell r="KF48">
            <v>26.460249740000002</v>
          </cell>
          <cell r="KG48">
            <v>249.35104214000003</v>
          </cell>
          <cell r="KH48">
            <v>45.84915741999999</v>
          </cell>
          <cell r="KI48">
            <v>37.709770919999997</v>
          </cell>
          <cell r="KJ48">
            <v>2.1347583499999998</v>
          </cell>
          <cell r="KK48">
            <v>5.5718113899999997</v>
          </cell>
          <cell r="KL48">
            <v>0.10990775999999999</v>
          </cell>
          <cell r="KM48">
            <v>6.7555661399999991</v>
          </cell>
          <cell r="KN48">
            <v>0.17619388000000002</v>
          </cell>
          <cell r="KO48">
            <v>0.12409676000000001</v>
          </cell>
          <cell r="KP48">
            <v>0.10401121000000001</v>
          </cell>
          <cell r="KQ48">
            <v>248.04600351999997</v>
          </cell>
          <cell r="KR48">
            <v>4.0032100000000001E-2</v>
          </cell>
          <cell r="KS48">
            <v>0.64361783999999989</v>
          </cell>
          <cell r="KT48">
            <v>2.06789836</v>
          </cell>
          <cell r="KU48">
            <v>0.16234850999999997</v>
          </cell>
          <cell r="KV48">
            <v>0</v>
          </cell>
          <cell r="KW48">
            <v>1.1041500200000001</v>
          </cell>
          <cell r="KX48">
            <v>0</v>
          </cell>
          <cell r="KY48">
            <v>0</v>
          </cell>
          <cell r="KZ48">
            <v>0.56366156999999995</v>
          </cell>
          <cell r="LA48">
            <v>1.2896700000000001E-2</v>
          </cell>
          <cell r="LB48">
            <v>3.7164969999999999E-2</v>
          </cell>
          <cell r="LC48">
            <v>1.071105E-2</v>
          </cell>
          <cell r="LD48">
            <v>0</v>
          </cell>
          <cell r="LE48">
            <v>0.80574119</v>
          </cell>
          <cell r="LF48">
            <v>0.20086338000000001</v>
          </cell>
          <cell r="LG48">
            <v>17.058556200000002</v>
          </cell>
          <cell r="LH48">
            <v>4.2311211000000002</v>
          </cell>
          <cell r="LI48">
            <v>6.8680000000000013E-5</v>
          </cell>
          <cell r="LJ48">
            <v>7.99705E-2</v>
          </cell>
          <cell r="LK48">
            <v>2.67372466</v>
          </cell>
          <cell r="LL48">
            <v>5.4242010999999977</v>
          </cell>
          <cell r="LM48">
            <v>2.5746856100000004</v>
          </cell>
          <cell r="LN48">
            <v>0.11417134</v>
          </cell>
          <cell r="LO48">
            <v>7.8219689499999987</v>
          </cell>
          <cell r="LQ48">
            <v>2044.3914071299998</v>
          </cell>
          <cell r="LR48">
            <v>6.1083635799999998</v>
          </cell>
          <cell r="LS48">
            <v>56.627839909999999</v>
          </cell>
          <cell r="LT48">
            <v>0.57340002999999995</v>
          </cell>
          <cell r="LU48">
            <v>255.78551023999995</v>
          </cell>
          <cell r="LV48">
            <v>1.1041500200000001</v>
          </cell>
          <cell r="LW48">
            <v>5.0061670000000003E-2</v>
          </cell>
          <cell r="LX48">
            <v>1.0066045699999999</v>
          </cell>
          <cell r="LZ48">
            <v>48.5</v>
          </cell>
          <cell r="MA48">
            <v>40.94</v>
          </cell>
          <cell r="MH48">
            <v>79.900000000000006</v>
          </cell>
          <cell r="MI48">
            <v>31.56</v>
          </cell>
          <cell r="MJ48">
            <v>21.22</v>
          </cell>
          <cell r="ML48">
            <v>25.61</v>
          </cell>
          <cell r="MM48">
            <v>59.6</v>
          </cell>
          <cell r="MO48">
            <v>29.87</v>
          </cell>
          <cell r="MP48">
            <v>53.3</v>
          </cell>
          <cell r="MQ48">
            <v>59.2</v>
          </cell>
          <cell r="MU48">
            <v>25.46</v>
          </cell>
          <cell r="MY48">
            <v>67.59</v>
          </cell>
          <cell r="MZ48">
            <v>148</v>
          </cell>
          <cell r="NA48">
            <v>88.85</v>
          </cell>
          <cell r="NB48">
            <v>234.66</v>
          </cell>
          <cell r="NC48">
            <v>39.65</v>
          </cell>
          <cell r="NE48">
            <v>181.91</v>
          </cell>
        </row>
        <row r="49">
          <cell r="A49">
            <v>43556</v>
          </cell>
          <cell r="B49">
            <v>4</v>
          </cell>
          <cell r="C49">
            <v>2019</v>
          </cell>
          <cell r="D49">
            <v>49</v>
          </cell>
          <cell r="E49">
            <v>43556</v>
          </cell>
          <cell r="F49">
            <v>44.199999999999996</v>
          </cell>
          <cell r="G49">
            <v>213.1</v>
          </cell>
          <cell r="H49">
            <v>19098</v>
          </cell>
          <cell r="I49">
            <v>92</v>
          </cell>
          <cell r="J49">
            <v>410</v>
          </cell>
          <cell r="K49">
            <v>3.2</v>
          </cell>
          <cell r="L49">
            <v>25.7</v>
          </cell>
          <cell r="N49">
            <v>1.53</v>
          </cell>
          <cell r="O49">
            <v>1.3759999999999999</v>
          </cell>
          <cell r="P49">
            <v>59.863599999999991</v>
          </cell>
          <cell r="Q49">
            <v>750</v>
          </cell>
          <cell r="R49">
            <v>7500</v>
          </cell>
          <cell r="S49">
            <v>139.76</v>
          </cell>
          <cell r="T49">
            <v>217.27</v>
          </cell>
          <cell r="U49">
            <v>134.92142857142858</v>
          </cell>
          <cell r="V49">
            <v>221.96315789473684</v>
          </cell>
          <cell r="W49">
            <v>105.89</v>
          </cell>
          <cell r="X49">
            <v>166.5894736842105</v>
          </cell>
          <cell r="Y49">
            <v>6177.3919999999989</v>
          </cell>
          <cell r="Z49">
            <v>9603.3339999999989</v>
          </cell>
          <cell r="AA49">
            <v>5963.5271428571423</v>
          </cell>
          <cell r="AB49">
            <v>9810.7715789473677</v>
          </cell>
          <cell r="AC49">
            <v>4680.3379999999997</v>
          </cell>
          <cell r="AD49">
            <v>7363.2547368421037</v>
          </cell>
          <cell r="AE49">
            <v>7266.436243107768</v>
          </cell>
          <cell r="AF49">
            <v>23762.894736842107</v>
          </cell>
          <cell r="AG49">
            <v>11550</v>
          </cell>
          <cell r="AH49">
            <v>43890</v>
          </cell>
          <cell r="AI49">
            <v>8.2148000000000003</v>
          </cell>
          <cell r="AJ49">
            <v>6.7462999999999997</v>
          </cell>
          <cell r="AK49">
            <v>6.3997999999999999</v>
          </cell>
          <cell r="AL49">
            <v>6.7085999999999997</v>
          </cell>
          <cell r="AM49">
            <v>7.322671999999999</v>
          </cell>
          <cell r="AN49">
            <v>36.78</v>
          </cell>
          <cell r="AO49">
            <v>20.83</v>
          </cell>
          <cell r="AP49">
            <v>28.805</v>
          </cell>
          <cell r="AQ49">
            <v>16.11</v>
          </cell>
          <cell r="AR49">
            <v>11.93</v>
          </cell>
          <cell r="AS49">
            <v>11.05</v>
          </cell>
          <cell r="AT49">
            <v>22.01</v>
          </cell>
          <cell r="AU49">
            <v>14.996666666666668</v>
          </cell>
          <cell r="AV49">
            <v>7.29</v>
          </cell>
          <cell r="AW49">
            <v>10.94</v>
          </cell>
          <cell r="AX49">
            <v>13.45</v>
          </cell>
          <cell r="AY49">
            <v>25.3</v>
          </cell>
          <cell r="AZ49">
            <v>11.24</v>
          </cell>
          <cell r="BA49">
            <v>8.93</v>
          </cell>
          <cell r="BB49">
            <v>14.73</v>
          </cell>
          <cell r="BC49">
            <v>884</v>
          </cell>
          <cell r="BD49">
            <v>972</v>
          </cell>
          <cell r="BE49">
            <v>750</v>
          </cell>
          <cell r="BF49">
            <v>430</v>
          </cell>
          <cell r="BG49">
            <v>759</v>
          </cell>
          <cell r="BH49">
            <v>53.11</v>
          </cell>
          <cell r="BI49">
            <v>19.36</v>
          </cell>
          <cell r="BJ49">
            <v>72.47</v>
          </cell>
          <cell r="BK49">
            <v>64.77</v>
          </cell>
          <cell r="BL49">
            <v>64</v>
          </cell>
          <cell r="BM49">
            <v>64.384999999999991</v>
          </cell>
          <cell r="BN49">
            <v>13.32</v>
          </cell>
          <cell r="BO49">
            <v>56.647500000000015</v>
          </cell>
          <cell r="BP49">
            <v>34.24</v>
          </cell>
          <cell r="BQ49">
            <v>54.406750000000017</v>
          </cell>
          <cell r="BR49">
            <v>40.770000000000003</v>
          </cell>
          <cell r="BS49">
            <v>130</v>
          </cell>
          <cell r="BT49">
            <v>178.87650000000002</v>
          </cell>
          <cell r="BU49">
            <v>2096.6295</v>
          </cell>
          <cell r="BV49">
            <v>63.2</v>
          </cell>
          <cell r="BW49">
            <v>105</v>
          </cell>
          <cell r="BY49">
            <v>332.18909631731736</v>
          </cell>
          <cell r="BZ49">
            <v>305.72686213872566</v>
          </cell>
          <cell r="CA49">
            <v>303.55045981089887</v>
          </cell>
          <cell r="CB49">
            <v>288.63814336086222</v>
          </cell>
          <cell r="CC49">
            <v>296.19341289244005</v>
          </cell>
          <cell r="CD49">
            <v>303.70441580734155</v>
          </cell>
          <cell r="CE49">
            <v>275.75227221898638</v>
          </cell>
          <cell r="CF49">
            <v>317.56757129786865</v>
          </cell>
          <cell r="CG49">
            <v>297.56771256473297</v>
          </cell>
          <cell r="CH49">
            <v>325.04351873289721</v>
          </cell>
          <cell r="CI49">
            <v>292.88158409560862</v>
          </cell>
          <cell r="CJ49">
            <v>262.45979442215378</v>
          </cell>
          <cell r="CK49">
            <v>301.88147187602954</v>
          </cell>
          <cell r="CL49">
            <v>331.93414354287529</v>
          </cell>
          <cell r="CM49">
            <v>249.44305136170667</v>
          </cell>
          <cell r="CN49">
            <v>257.20568115371123</v>
          </cell>
          <cell r="CO49">
            <v>285.11608698358066</v>
          </cell>
          <cell r="CP49">
            <v>309.86350231761895</v>
          </cell>
          <cell r="CQ49">
            <v>266.31951121678395</v>
          </cell>
          <cell r="CR49">
            <v>264.44566156067623</v>
          </cell>
          <cell r="CS49">
            <v>265.38258638873009</v>
          </cell>
          <cell r="CT49">
            <v>261.684171051904</v>
          </cell>
          <cell r="CU49">
            <v>268.3515066876717</v>
          </cell>
          <cell r="CV49">
            <v>266.89124149434252</v>
          </cell>
          <cell r="CW49">
            <v>266.89124149434252</v>
          </cell>
          <cell r="CX49">
            <v>267.37799655878558</v>
          </cell>
          <cell r="CY49">
            <v>263.33161916203983</v>
          </cell>
          <cell r="CZ49">
            <v>318.78426248810734</v>
          </cell>
          <cell r="DA49">
            <v>268.14169936831263</v>
          </cell>
          <cell r="DB49">
            <v>281.73080105234641</v>
          </cell>
          <cell r="DC49">
            <v>300.28869299724477</v>
          </cell>
          <cell r="DD49">
            <v>287.5972070501461</v>
          </cell>
          <cell r="DE49">
            <v>260.92251051212759</v>
          </cell>
          <cell r="DF49">
            <v>290.95976434469281</v>
          </cell>
          <cell r="DG49">
            <v>275.94113742841023</v>
          </cell>
          <cell r="DH49">
            <v>277.77101231946716</v>
          </cell>
          <cell r="DI49">
            <v>264.44168798734705</v>
          </cell>
          <cell r="DK49">
            <v>440000</v>
          </cell>
          <cell r="DL49" t="str">
            <v>2018-19</v>
          </cell>
          <cell r="DM49">
            <v>195000</v>
          </cell>
          <cell r="DN49" t="str">
            <v>2018-19</v>
          </cell>
          <cell r="DO49">
            <v>1355000</v>
          </cell>
          <cell r="DP49" t="str">
            <v>2018-19</v>
          </cell>
          <cell r="DQ49">
            <v>1820000</v>
          </cell>
          <cell r="DR49" t="str">
            <v>2018-19</v>
          </cell>
          <cell r="DS49">
            <v>5800000</v>
          </cell>
          <cell r="DT49" t="str">
            <v>2018-19</v>
          </cell>
          <cell r="DU49">
            <v>17350000</v>
          </cell>
          <cell r="DV49" t="str">
            <v>2018-19</v>
          </cell>
          <cell r="DW49">
            <v>500000</v>
          </cell>
          <cell r="DX49" t="str">
            <v>2018-19</v>
          </cell>
          <cell r="DY49">
            <v>6290000</v>
          </cell>
          <cell r="DZ49" t="str">
            <v>2018-19</v>
          </cell>
          <cell r="EA49">
            <v>33115000</v>
          </cell>
          <cell r="EB49">
            <v>355000</v>
          </cell>
          <cell r="EC49" t="str">
            <v>2018-19</v>
          </cell>
          <cell r="ED49">
            <v>170782</v>
          </cell>
          <cell r="EE49">
            <v>2019</v>
          </cell>
          <cell r="EF49">
            <v>215169</v>
          </cell>
          <cell r="EG49">
            <v>2019</v>
          </cell>
          <cell r="EH49">
            <v>55007853</v>
          </cell>
          <cell r="EI49">
            <v>2019</v>
          </cell>
          <cell r="EJ49">
            <v>5128954</v>
          </cell>
          <cell r="EK49">
            <v>2019</v>
          </cell>
          <cell r="EL49">
            <v>14339908</v>
          </cell>
          <cell r="EM49">
            <v>2018</v>
          </cell>
          <cell r="EN49">
            <v>3400522</v>
          </cell>
          <cell r="EO49">
            <v>2018</v>
          </cell>
          <cell r="EP49">
            <v>6552</v>
          </cell>
          <cell r="EQ49">
            <v>3038588</v>
          </cell>
          <cell r="ER49">
            <v>33739</v>
          </cell>
          <cell r="ET49">
            <v>20884</v>
          </cell>
          <cell r="EU49">
            <v>17312</v>
          </cell>
          <cell r="EV49">
            <v>9130</v>
          </cell>
          <cell r="EW49">
            <v>17152</v>
          </cell>
          <cell r="EX49">
            <v>64478</v>
          </cell>
          <cell r="EY49">
            <v>19636</v>
          </cell>
          <cell r="EZ49">
            <v>76171</v>
          </cell>
          <cell r="FA49">
            <v>20432</v>
          </cell>
          <cell r="FB49">
            <v>18034</v>
          </cell>
          <cell r="FC49">
            <v>38466</v>
          </cell>
          <cell r="FD49">
            <v>61643.420000000013</v>
          </cell>
          <cell r="FF49">
            <v>870000</v>
          </cell>
          <cell r="FG49" t="str">
            <v>2018-19</v>
          </cell>
          <cell r="FH49">
            <v>1270000</v>
          </cell>
          <cell r="FI49" t="str">
            <v>2018-19</v>
          </cell>
          <cell r="FJ49">
            <v>5060000</v>
          </cell>
          <cell r="FK49" t="str">
            <v>2018-19</v>
          </cell>
          <cell r="FL49">
            <v>3600000</v>
          </cell>
          <cell r="FM49" t="str">
            <v>2018-19</v>
          </cell>
          <cell r="FN49">
            <v>46000000</v>
          </cell>
          <cell r="FO49" t="str">
            <v>2018-19</v>
          </cell>
          <cell r="FP49">
            <v>55900000</v>
          </cell>
          <cell r="FQ49" t="str">
            <v>2018-19</v>
          </cell>
          <cell r="FR49">
            <v>1560000</v>
          </cell>
          <cell r="FS49" t="str">
            <v>2018-19</v>
          </cell>
          <cell r="FT49">
            <v>19460000</v>
          </cell>
          <cell r="FU49" t="str">
            <v>2018-19</v>
          </cell>
          <cell r="FV49">
            <v>131580000</v>
          </cell>
          <cell r="FW49">
            <v>1217143</v>
          </cell>
          <cell r="FX49" t="str">
            <v>2018-19</v>
          </cell>
          <cell r="FY49">
            <v>121257</v>
          </cell>
          <cell r="FZ49">
            <v>802795.23299999989</v>
          </cell>
          <cell r="GA49" t="str">
            <v>may18 abr19</v>
          </cell>
          <cell r="GB49">
            <v>25198862</v>
          </cell>
          <cell r="GC49">
            <v>2019</v>
          </cell>
          <cell r="GD49">
            <v>2061660</v>
          </cell>
          <cell r="GE49">
            <v>421371</v>
          </cell>
          <cell r="GF49">
            <v>1038352</v>
          </cell>
          <cell r="GG49">
            <v>114695</v>
          </cell>
          <cell r="GH49">
            <v>1574418</v>
          </cell>
          <cell r="GI49">
            <v>1302556</v>
          </cell>
          <cell r="GJ49">
            <v>673662.3</v>
          </cell>
          <cell r="GK49">
            <v>1162000</v>
          </cell>
          <cell r="GL49">
            <v>290589.5</v>
          </cell>
          <cell r="GM49">
            <v>258882.47</v>
          </cell>
          <cell r="GN49">
            <v>2385134.27</v>
          </cell>
          <cell r="GO49">
            <v>196709</v>
          </cell>
          <cell r="GP49">
            <v>71194.64</v>
          </cell>
          <cell r="GQ49">
            <v>57494</v>
          </cell>
          <cell r="GR49">
            <v>43750</v>
          </cell>
          <cell r="GS49">
            <v>45474.82</v>
          </cell>
          <cell r="GT49">
            <v>2600000</v>
          </cell>
          <cell r="GU49">
            <v>85601</v>
          </cell>
          <cell r="GV49">
            <v>77254</v>
          </cell>
          <cell r="GW49">
            <v>1044259</v>
          </cell>
          <cell r="GX49">
            <v>32193.503000000001</v>
          </cell>
          <cell r="GY49" t="str">
            <v>2018-2019</v>
          </cell>
          <cell r="GZ49">
            <v>107349</v>
          </cell>
          <cell r="HA49">
            <v>245038</v>
          </cell>
          <cell r="HB49">
            <v>3014572</v>
          </cell>
          <cell r="HC49" t="str">
            <v>may18 abr19</v>
          </cell>
          <cell r="HD49">
            <v>53565</v>
          </cell>
          <cell r="HE49">
            <v>631289</v>
          </cell>
          <cell r="HF49" t="str">
            <v>may18 abr19</v>
          </cell>
          <cell r="HG49">
            <v>178000</v>
          </cell>
          <cell r="HH49">
            <v>2120083.333333333</v>
          </cell>
          <cell r="HI49" t="str">
            <v>may18 abr19</v>
          </cell>
          <cell r="HJ49">
            <v>81617</v>
          </cell>
          <cell r="HK49">
            <v>61712.239200000004</v>
          </cell>
          <cell r="HL49" t="str">
            <v>may18 abr19</v>
          </cell>
          <cell r="HM49">
            <v>2181795.5725333332</v>
          </cell>
          <cell r="HN49">
            <v>-5.0023632800269002E-2</v>
          </cell>
          <cell r="HO49">
            <v>736900000</v>
          </cell>
          <cell r="HP49">
            <v>10285.670922561425</v>
          </cell>
          <cell r="HQ49" t="str">
            <v>may18 abr19</v>
          </cell>
          <cell r="HU49">
            <v>650000</v>
          </cell>
          <cell r="HV49" t="str">
            <v>2018-19</v>
          </cell>
          <cell r="HW49">
            <v>1500000</v>
          </cell>
          <cell r="HX49" t="str">
            <v>2018-19</v>
          </cell>
          <cell r="HY49">
            <v>3890000</v>
          </cell>
          <cell r="HZ49" t="str">
            <v>2018-19</v>
          </cell>
          <cell r="IA49">
            <v>21220000</v>
          </cell>
          <cell r="IB49" t="str">
            <v>2018-19</v>
          </cell>
          <cell r="IC49">
            <v>46950000</v>
          </cell>
          <cell r="ID49" t="str">
            <v>2018-19</v>
          </cell>
          <cell r="IE49">
            <v>1350000</v>
          </cell>
          <cell r="IF49" t="str">
            <v>2018-19</v>
          </cell>
          <cell r="IG49">
            <v>6600000</v>
          </cell>
          <cell r="IH49" t="str">
            <v>2018-19</v>
          </cell>
          <cell r="II49">
            <v>81510000</v>
          </cell>
          <cell r="IJ49">
            <v>1.6426981485239711</v>
          </cell>
          <cell r="IK49" t="str">
            <v>2017-18</v>
          </cell>
          <cell r="IL49">
            <v>43.2</v>
          </cell>
          <cell r="IM49">
            <v>49.92</v>
          </cell>
          <cell r="IN49">
            <v>182</v>
          </cell>
          <cell r="IO49">
            <v>15.24</v>
          </cell>
          <cell r="IP49">
            <v>5.9691690133321123</v>
          </cell>
          <cell r="IQ49">
            <v>19.7</v>
          </cell>
          <cell r="IR49">
            <v>5.93</v>
          </cell>
          <cell r="IS49">
            <v>5.67</v>
          </cell>
          <cell r="IT49">
            <v>11.35</v>
          </cell>
          <cell r="IU49">
            <v>0.88</v>
          </cell>
          <cell r="IV49">
            <v>17.899999999999999</v>
          </cell>
          <cell r="IY49">
            <v>1.84</v>
          </cell>
          <cell r="IZ49">
            <v>0.5</v>
          </cell>
          <cell r="JA49">
            <v>1500</v>
          </cell>
          <cell r="JF49">
            <v>6.8537627899999993</v>
          </cell>
          <cell r="JG49">
            <v>18.551747089999999</v>
          </cell>
          <cell r="JH49">
            <v>87.884085680000013</v>
          </cell>
          <cell r="JI49">
            <v>96.213164399999997</v>
          </cell>
          <cell r="JJ49">
            <v>661.97795745000008</v>
          </cell>
          <cell r="JK49">
            <v>66.455517010000008</v>
          </cell>
          <cell r="JL49">
            <v>1137.9377823899999</v>
          </cell>
          <cell r="JM49">
            <v>4.6288000000000003E-2</v>
          </cell>
          <cell r="JN49">
            <v>214.00442804000002</v>
          </cell>
          <cell r="JO49">
            <v>18.318739969999999</v>
          </cell>
          <cell r="JP49">
            <v>0</v>
          </cell>
          <cell r="JQ49">
            <v>8.9288738399999996</v>
          </cell>
          <cell r="JR49">
            <v>1.34343155</v>
          </cell>
          <cell r="JS49">
            <v>0</v>
          </cell>
          <cell r="JT49">
            <v>0.2661171</v>
          </cell>
          <cell r="JU49">
            <v>78.199116110000006</v>
          </cell>
          <cell r="JV49">
            <v>13.044961150000001</v>
          </cell>
          <cell r="JW49">
            <v>35.472040459999995</v>
          </cell>
          <cell r="JX49">
            <v>27.070429210000004</v>
          </cell>
          <cell r="JY49">
            <v>0</v>
          </cell>
          <cell r="JZ49">
            <v>0.90333629000000004</v>
          </cell>
          <cell r="KA49">
            <v>0</v>
          </cell>
          <cell r="KB49">
            <v>4.9532127099999999</v>
          </cell>
          <cell r="KC49">
            <v>10.177889080000002</v>
          </cell>
          <cell r="KD49">
            <v>6.6201926799999997</v>
          </cell>
          <cell r="KE49">
            <v>16.931014750000003</v>
          </cell>
          <cell r="KF49">
            <v>32.155412399999996</v>
          </cell>
          <cell r="KG49">
            <v>274.41583567000004</v>
          </cell>
          <cell r="KH49">
            <v>41.551919420000011</v>
          </cell>
          <cell r="KI49">
            <v>21.993442779999999</v>
          </cell>
          <cell r="KJ49">
            <v>1.3735509499999998</v>
          </cell>
          <cell r="KK49">
            <v>4.8314986499999977</v>
          </cell>
          <cell r="KL49">
            <v>0.18643120000000002</v>
          </cell>
          <cell r="KM49">
            <v>9.6199122999999993</v>
          </cell>
          <cell r="KN49">
            <v>0</v>
          </cell>
          <cell r="KO49">
            <v>1.5116678800000001</v>
          </cell>
          <cell r="KP49">
            <v>4.4012399999999998E-3</v>
          </cell>
          <cell r="KQ49">
            <v>188.16961495999996</v>
          </cell>
          <cell r="KR49">
            <v>5.0348499999999997E-2</v>
          </cell>
          <cell r="KS49">
            <v>0.62770102000000005</v>
          </cell>
          <cell r="KT49">
            <v>2.4499316100000001</v>
          </cell>
          <cell r="KU49">
            <v>0.19729958000000003</v>
          </cell>
          <cell r="KV49">
            <v>0</v>
          </cell>
          <cell r="KW49">
            <v>2.2950581400000001</v>
          </cell>
          <cell r="KX49">
            <v>0</v>
          </cell>
          <cell r="KY49">
            <v>0</v>
          </cell>
          <cell r="KZ49">
            <v>0.43412542000000004</v>
          </cell>
          <cell r="LA49">
            <v>2.8303580000000002E-2</v>
          </cell>
          <cell r="LB49">
            <v>9.8948580000000008E-2</v>
          </cell>
          <cell r="LC49">
            <v>1.392027E-2</v>
          </cell>
          <cell r="LD49">
            <v>0</v>
          </cell>
          <cell r="LE49">
            <v>0.44348016000000001</v>
          </cell>
          <cell r="LF49">
            <v>0</v>
          </cell>
          <cell r="LG49">
            <v>20.890845630000001</v>
          </cell>
          <cell r="LH49">
            <v>4.1064897199999999</v>
          </cell>
          <cell r="LI49">
            <v>0.19234952999999999</v>
          </cell>
          <cell r="LJ49">
            <v>0</v>
          </cell>
          <cell r="LK49">
            <v>2.1903792099999997</v>
          </cell>
          <cell r="LL49">
            <v>4.8194118899999987</v>
          </cell>
          <cell r="LM49">
            <v>3.2454657499999997</v>
          </cell>
          <cell r="LN49">
            <v>4.6442839999999999E-2</v>
          </cell>
          <cell r="LO49">
            <v>8.9244499500000014</v>
          </cell>
          <cell r="LQ49">
            <v>2198.0637059600003</v>
          </cell>
          <cell r="LR49">
            <v>10.53842249</v>
          </cell>
          <cell r="LS49">
            <v>48.517001609999994</v>
          </cell>
          <cell r="LT49">
            <v>0.90333629000000004</v>
          </cell>
          <cell r="LU49">
            <v>199.97924465999995</v>
          </cell>
          <cell r="LV49">
            <v>2.2950581400000001</v>
          </cell>
          <cell r="LW49">
            <v>0.12725216</v>
          </cell>
          <cell r="LX49">
            <v>0.44348016000000001</v>
          </cell>
          <cell r="LZ49">
            <v>49.19</v>
          </cell>
          <cell r="MA49">
            <v>42.2</v>
          </cell>
          <cell r="MH49">
            <v>81.56</v>
          </cell>
          <cell r="MI49">
            <v>31.69</v>
          </cell>
          <cell r="MJ49">
            <v>20.83</v>
          </cell>
          <cell r="ML49">
            <v>26.71</v>
          </cell>
          <cell r="MM49">
            <v>46.75</v>
          </cell>
          <cell r="MO49">
            <v>27.6</v>
          </cell>
          <cell r="MP49">
            <v>54.06</v>
          </cell>
          <cell r="MQ49">
            <v>56.13</v>
          </cell>
          <cell r="MU49">
            <v>27.28</v>
          </cell>
          <cell r="MY49">
            <v>70.09</v>
          </cell>
          <cell r="MZ49">
            <v>156</v>
          </cell>
          <cell r="NA49">
            <v>92.62</v>
          </cell>
          <cell r="NB49">
            <v>230.24</v>
          </cell>
          <cell r="NC49">
            <v>42.25</v>
          </cell>
          <cell r="NE49">
            <v>187.88</v>
          </cell>
        </row>
        <row r="50">
          <cell r="A50">
            <v>43586</v>
          </cell>
          <cell r="B50">
            <v>5</v>
          </cell>
          <cell r="C50">
            <v>2019</v>
          </cell>
          <cell r="D50">
            <v>50</v>
          </cell>
          <cell r="E50">
            <v>43586</v>
          </cell>
          <cell r="F50">
            <v>45.881818181818176</v>
          </cell>
          <cell r="G50">
            <v>219.6</v>
          </cell>
          <cell r="H50">
            <v>19098</v>
          </cell>
          <cell r="I50">
            <v>93</v>
          </cell>
          <cell r="J50">
            <v>430</v>
          </cell>
          <cell r="K50">
            <v>3.2</v>
          </cell>
          <cell r="L50">
            <v>24.7</v>
          </cell>
          <cell r="N50">
            <v>1.4810000000000001</v>
          </cell>
          <cell r="O50">
            <v>1.323</v>
          </cell>
          <cell r="P50">
            <v>60.120309090909089</v>
          </cell>
          <cell r="Q50">
            <v>770</v>
          </cell>
          <cell r="R50">
            <v>7700</v>
          </cell>
          <cell r="S50">
            <v>140.22</v>
          </cell>
          <cell r="T50">
            <v>212.5</v>
          </cell>
          <cell r="U50">
            <v>146.4909090909091</v>
          </cell>
          <cell r="V50">
            <v>219.51176470588237</v>
          </cell>
          <cell r="W50">
            <v>120.77</v>
          </cell>
          <cell r="X50">
            <v>165.20909090909092</v>
          </cell>
          <cell r="Y50">
            <v>6433.5485454545442</v>
          </cell>
          <cell r="Z50">
            <v>9749.8863636363621</v>
          </cell>
          <cell r="AA50">
            <v>6721.2692561983467</v>
          </cell>
          <cell r="AB50">
            <v>10071.598877005346</v>
          </cell>
          <cell r="AC50">
            <v>5541.1471818181808</v>
          </cell>
          <cell r="AD50">
            <v>7580.0934710743795</v>
          </cell>
          <cell r="AE50">
            <v>7682.9239491978606</v>
          </cell>
          <cell r="AF50">
            <v>24571.190476190477</v>
          </cell>
          <cell r="AG50">
            <v>11550</v>
          </cell>
          <cell r="AH50">
            <v>43890</v>
          </cell>
          <cell r="AI50">
            <v>7.4040999999999997</v>
          </cell>
          <cell r="AJ50">
            <v>6.9398999999999997</v>
          </cell>
          <cell r="AK50">
            <v>6.2939999999999996</v>
          </cell>
          <cell r="AL50">
            <v>6.75</v>
          </cell>
          <cell r="AM50">
            <v>6.9399220000000001</v>
          </cell>
          <cell r="AN50">
            <v>35.950000000000003</v>
          </cell>
          <cell r="AO50">
            <v>26.46</v>
          </cell>
          <cell r="AP50">
            <v>31.205000000000002</v>
          </cell>
          <cell r="AQ50">
            <v>15.63</v>
          </cell>
          <cell r="AR50">
            <v>12.95</v>
          </cell>
          <cell r="AS50">
            <v>10.31</v>
          </cell>
          <cell r="AT50">
            <v>17.52</v>
          </cell>
          <cell r="AU50">
            <v>13.593333333333334</v>
          </cell>
          <cell r="AV50">
            <v>9.0399999999999991</v>
          </cell>
          <cell r="AW50">
            <v>10.64</v>
          </cell>
          <cell r="AX50">
            <v>12.69</v>
          </cell>
          <cell r="AY50">
            <v>28.06</v>
          </cell>
          <cell r="AZ50">
            <v>12.6</v>
          </cell>
          <cell r="BA50">
            <v>7.77</v>
          </cell>
          <cell r="BB50">
            <v>15.280000000000001</v>
          </cell>
          <cell r="BC50">
            <v>884</v>
          </cell>
          <cell r="BD50">
            <v>972</v>
          </cell>
          <cell r="BE50">
            <v>750</v>
          </cell>
          <cell r="BF50">
            <v>430</v>
          </cell>
          <cell r="BG50">
            <v>759</v>
          </cell>
          <cell r="BH50">
            <v>87.63</v>
          </cell>
          <cell r="BI50">
            <v>31.36</v>
          </cell>
          <cell r="BJ50">
            <v>118.99</v>
          </cell>
          <cell r="BK50">
            <v>63.63</v>
          </cell>
          <cell r="BL50">
            <v>64.81</v>
          </cell>
          <cell r="BM50">
            <v>64.22</v>
          </cell>
          <cell r="BN50">
            <v>14.54</v>
          </cell>
          <cell r="BO50">
            <v>46.990909090909092</v>
          </cell>
          <cell r="BP50">
            <v>40.85</v>
          </cell>
          <cell r="BQ50">
            <v>46.376818181818187</v>
          </cell>
          <cell r="BR50">
            <v>41.79</v>
          </cell>
          <cell r="BS50">
            <v>130</v>
          </cell>
          <cell r="BT50">
            <v>159.52000000000001</v>
          </cell>
          <cell r="BU50">
            <v>2038.56</v>
          </cell>
          <cell r="BV50">
            <v>64.5</v>
          </cell>
          <cell r="BW50">
            <v>135</v>
          </cell>
          <cell r="BY50">
            <v>341.77589231898151</v>
          </cell>
          <cell r="BZ50">
            <v>319.79082218811749</v>
          </cell>
          <cell r="CA50">
            <v>315.89158081946749</v>
          </cell>
          <cell r="CB50">
            <v>296.96627005595718</v>
          </cell>
          <cell r="CC50">
            <v>314.66348611718104</v>
          </cell>
          <cell r="CD50">
            <v>314.11987930099048</v>
          </cell>
          <cell r="CE50">
            <v>296.00066303762958</v>
          </cell>
          <cell r="CF50">
            <v>329.43136179237507</v>
          </cell>
          <cell r="CG50">
            <v>311.17887352060018</v>
          </cell>
          <cell r="CH50">
            <v>337.4113863015578</v>
          </cell>
          <cell r="CI50">
            <v>311.73236864082997</v>
          </cell>
          <cell r="CJ50">
            <v>266.98768310456694</v>
          </cell>
          <cell r="CK50">
            <v>307.74246533858724</v>
          </cell>
          <cell r="CL50">
            <v>351.58313567420521</v>
          </cell>
          <cell r="CM50">
            <v>259.85415217464396</v>
          </cell>
          <cell r="CN50">
            <v>257.59674606415007</v>
          </cell>
          <cell r="CO50">
            <v>294.19412481289663</v>
          </cell>
          <cell r="CP50">
            <v>317.38292771548919</v>
          </cell>
          <cell r="CQ50">
            <v>272.40386970040834</v>
          </cell>
          <cell r="CR50">
            <v>279.80542448099533</v>
          </cell>
          <cell r="CS50">
            <v>276.10464709070186</v>
          </cell>
          <cell r="CT50">
            <v>269.31243585061566</v>
          </cell>
          <cell r="CU50">
            <v>279.04164050567698</v>
          </cell>
          <cell r="CV50">
            <v>275.20072000006462</v>
          </cell>
          <cell r="CW50">
            <v>275.20072000006462</v>
          </cell>
          <cell r="CX50">
            <v>276.48102683526872</v>
          </cell>
          <cell r="CY50">
            <v>266.74437805151837</v>
          </cell>
          <cell r="CZ50">
            <v>328.49240880700495</v>
          </cell>
          <cell r="DA50">
            <v>277.90009710698268</v>
          </cell>
          <cell r="DB50">
            <v>290.09752284231246</v>
          </cell>
          <cell r="DC50">
            <v>329.64989988979147</v>
          </cell>
          <cell r="DD50">
            <v>314.49585869092272</v>
          </cell>
          <cell r="DE50">
            <v>286.10483852785336</v>
          </cell>
          <cell r="DF50">
            <v>323.57852967736784</v>
          </cell>
          <cell r="DG50">
            <v>304.8416841026106</v>
          </cell>
          <cell r="DH50">
            <v>284.86036225111042</v>
          </cell>
          <cell r="DI50">
            <v>267.25233083324878</v>
          </cell>
          <cell r="DK50">
            <v>440000</v>
          </cell>
          <cell r="DL50" t="str">
            <v>2018-19</v>
          </cell>
          <cell r="DM50">
            <v>195000</v>
          </cell>
          <cell r="DN50" t="str">
            <v>2018-19</v>
          </cell>
          <cell r="DO50">
            <v>1360000</v>
          </cell>
          <cell r="DP50" t="str">
            <v>2019-20</v>
          </cell>
          <cell r="DQ50">
            <v>1900000</v>
          </cell>
          <cell r="DR50" t="str">
            <v>2018-19</v>
          </cell>
          <cell r="DS50">
            <v>6000000</v>
          </cell>
          <cell r="DT50" t="str">
            <v>2018-19</v>
          </cell>
          <cell r="DU50">
            <v>17350000</v>
          </cell>
          <cell r="DV50" t="str">
            <v>2018-19</v>
          </cell>
          <cell r="DW50">
            <v>540000</v>
          </cell>
          <cell r="DX50" t="str">
            <v>2018-19</v>
          </cell>
          <cell r="DY50">
            <v>6460000</v>
          </cell>
          <cell r="DZ50" t="str">
            <v>2019-20</v>
          </cell>
          <cell r="EA50">
            <v>33610000</v>
          </cell>
          <cell r="EB50">
            <v>385000</v>
          </cell>
          <cell r="EC50" t="str">
            <v>2018-19</v>
          </cell>
          <cell r="ED50">
            <v>170782</v>
          </cell>
          <cell r="EE50">
            <v>2019</v>
          </cell>
          <cell r="EF50">
            <v>215169</v>
          </cell>
          <cell r="EG50">
            <v>2019</v>
          </cell>
          <cell r="EH50">
            <v>55007853</v>
          </cell>
          <cell r="EI50">
            <v>2019</v>
          </cell>
          <cell r="EJ50">
            <v>5128954</v>
          </cell>
          <cell r="EK50">
            <v>2019</v>
          </cell>
          <cell r="EL50">
            <v>14339908</v>
          </cell>
          <cell r="EM50">
            <v>2018</v>
          </cell>
          <cell r="EN50">
            <v>3400522</v>
          </cell>
          <cell r="EO50">
            <v>2018</v>
          </cell>
          <cell r="EP50">
            <v>6552</v>
          </cell>
          <cell r="EQ50">
            <v>3038588</v>
          </cell>
          <cell r="ER50">
            <v>33739</v>
          </cell>
          <cell r="ET50">
            <v>20884</v>
          </cell>
          <cell r="EU50">
            <v>17312</v>
          </cell>
          <cell r="EV50">
            <v>9130</v>
          </cell>
          <cell r="EW50">
            <v>17152</v>
          </cell>
          <cell r="EX50">
            <v>64478</v>
          </cell>
          <cell r="EY50">
            <v>19636</v>
          </cell>
          <cell r="EZ50">
            <v>76171</v>
          </cell>
          <cell r="FA50">
            <v>20432</v>
          </cell>
          <cell r="FB50">
            <v>18034</v>
          </cell>
          <cell r="FC50">
            <v>38466</v>
          </cell>
          <cell r="FD50">
            <v>61643.420000000013</v>
          </cell>
          <cell r="FF50">
            <v>870000</v>
          </cell>
          <cell r="FG50" t="str">
            <v>2018-19</v>
          </cell>
          <cell r="FH50">
            <v>1220000</v>
          </cell>
          <cell r="FI50" t="str">
            <v>2018-19</v>
          </cell>
          <cell r="FJ50">
            <v>5060000</v>
          </cell>
          <cell r="FK50" t="str">
            <v>2018-19</v>
          </cell>
          <cell r="FL50">
            <v>3800000</v>
          </cell>
          <cell r="FM50" t="str">
            <v>2018-19</v>
          </cell>
          <cell r="FN50">
            <v>48000000</v>
          </cell>
          <cell r="FO50" t="str">
            <v>2018-19</v>
          </cell>
          <cell r="FP50">
            <v>55900000</v>
          </cell>
          <cell r="FQ50" t="str">
            <v>2018-19</v>
          </cell>
          <cell r="FR50">
            <v>1700000</v>
          </cell>
          <cell r="FS50" t="str">
            <v>2018-19</v>
          </cell>
          <cell r="FT50">
            <v>19460000</v>
          </cell>
          <cell r="FU50" t="str">
            <v>2018-19</v>
          </cell>
          <cell r="FV50">
            <v>133920000</v>
          </cell>
          <cell r="FW50">
            <v>1250000</v>
          </cell>
          <cell r="FX50" t="str">
            <v>2018-19</v>
          </cell>
          <cell r="FY50">
            <v>126620</v>
          </cell>
          <cell r="FZ50">
            <v>787715.32799999998</v>
          </cell>
          <cell r="GA50" t="str">
            <v>jun18 may19</v>
          </cell>
          <cell r="GB50">
            <v>25198862</v>
          </cell>
          <cell r="GC50">
            <v>2019</v>
          </cell>
          <cell r="GD50">
            <v>2061660</v>
          </cell>
          <cell r="GE50">
            <v>421371</v>
          </cell>
          <cell r="GF50">
            <v>1038352</v>
          </cell>
          <cell r="GG50">
            <v>114695</v>
          </cell>
          <cell r="GH50">
            <v>1574418</v>
          </cell>
          <cell r="GI50">
            <v>1302556</v>
          </cell>
          <cell r="GJ50">
            <v>673662.3</v>
          </cell>
          <cell r="GK50">
            <v>1162000</v>
          </cell>
          <cell r="GL50">
            <v>290589.5</v>
          </cell>
          <cell r="GM50">
            <v>258882.47</v>
          </cell>
          <cell r="GN50">
            <v>2385134.27</v>
          </cell>
          <cell r="GO50">
            <v>196709</v>
          </cell>
          <cell r="GP50">
            <v>71194.64</v>
          </cell>
          <cell r="GQ50">
            <v>37434</v>
          </cell>
          <cell r="GR50">
            <v>43750</v>
          </cell>
          <cell r="GS50">
            <v>44873.02</v>
          </cell>
          <cell r="GT50">
            <v>2600000</v>
          </cell>
          <cell r="GU50">
            <v>65904</v>
          </cell>
          <cell r="GV50">
            <v>73254</v>
          </cell>
          <cell r="GW50">
            <v>1053845</v>
          </cell>
          <cell r="GX50">
            <v>32193.503000000001</v>
          </cell>
          <cell r="GY50" t="str">
            <v>2018-2019</v>
          </cell>
          <cell r="GZ50">
            <v>107349</v>
          </cell>
          <cell r="HA50">
            <v>260089</v>
          </cell>
          <cell r="HB50">
            <v>3014173</v>
          </cell>
          <cell r="HC50" t="str">
            <v>jun18 may19</v>
          </cell>
          <cell r="HD50">
            <v>57738</v>
          </cell>
          <cell r="HE50">
            <v>634706</v>
          </cell>
          <cell r="HF50" t="str">
            <v>jun18 may19</v>
          </cell>
          <cell r="HG50">
            <v>194000</v>
          </cell>
          <cell r="HH50">
            <v>2132083.333333333</v>
          </cell>
          <cell r="HI50" t="str">
            <v>jun18 may19</v>
          </cell>
          <cell r="HJ50">
            <v>88014</v>
          </cell>
          <cell r="HK50">
            <v>61782.619200000001</v>
          </cell>
          <cell r="HL50" t="str">
            <v>jun18 may19</v>
          </cell>
          <cell r="HM50">
            <v>2193865.9525333331</v>
          </cell>
          <cell r="HN50">
            <v>-1.6661975674824414E-2</v>
          </cell>
          <cell r="HO50">
            <v>784900000</v>
          </cell>
          <cell r="HP50">
            <v>10272.371340542164</v>
          </cell>
          <cell r="HQ50" t="str">
            <v>jun18 may19</v>
          </cell>
          <cell r="HU50">
            <v>650000</v>
          </cell>
          <cell r="HV50" t="str">
            <v>2018-19</v>
          </cell>
          <cell r="HW50">
            <v>1500000</v>
          </cell>
          <cell r="HX50" t="str">
            <v>2018-19</v>
          </cell>
          <cell r="HY50">
            <v>3890000</v>
          </cell>
          <cell r="HZ50" t="str">
            <v>2018-19</v>
          </cell>
          <cell r="IA50">
            <v>21220000</v>
          </cell>
          <cell r="IB50" t="str">
            <v>2018-19</v>
          </cell>
          <cell r="IC50">
            <v>48400000</v>
          </cell>
          <cell r="ID50" t="str">
            <v>2018-19</v>
          </cell>
          <cell r="IE50">
            <v>1350000</v>
          </cell>
          <cell r="IF50" t="str">
            <v>2018-19</v>
          </cell>
          <cell r="IG50">
            <v>6600000</v>
          </cell>
          <cell r="IH50" t="str">
            <v>2018-19</v>
          </cell>
          <cell r="II50">
            <v>82960000</v>
          </cell>
          <cell r="IJ50">
            <v>1.6426981485239711</v>
          </cell>
          <cell r="IK50" t="str">
            <v>2018-19</v>
          </cell>
          <cell r="IL50">
            <v>45.9</v>
          </cell>
          <cell r="IM50">
            <v>51.35</v>
          </cell>
          <cell r="IN50">
            <v>182</v>
          </cell>
          <cell r="IO50">
            <v>15.98</v>
          </cell>
          <cell r="IP50">
            <v>5.9691690133321123</v>
          </cell>
          <cell r="IQ50">
            <v>19.7</v>
          </cell>
          <cell r="IR50">
            <v>5.93</v>
          </cell>
          <cell r="IS50">
            <v>5.67</v>
          </cell>
          <cell r="IT50">
            <v>11.35</v>
          </cell>
          <cell r="IU50">
            <v>0.88</v>
          </cell>
          <cell r="IV50">
            <v>17.899999999999999</v>
          </cell>
          <cell r="IY50">
            <v>1.84</v>
          </cell>
          <cell r="IZ50">
            <v>0.5</v>
          </cell>
          <cell r="JA50">
            <v>1500</v>
          </cell>
          <cell r="JF50">
            <v>9.7879003600000001</v>
          </cell>
          <cell r="JG50">
            <v>12.899345740000001</v>
          </cell>
          <cell r="JH50">
            <v>83.016502209999999</v>
          </cell>
          <cell r="JI50">
            <v>106.22679360000001</v>
          </cell>
          <cell r="JJ50">
            <v>656.22835557999986</v>
          </cell>
          <cell r="JK50">
            <v>50.000175899999995</v>
          </cell>
          <cell r="JL50">
            <v>1825.37188027</v>
          </cell>
          <cell r="JM50">
            <v>0.34790120000000002</v>
          </cell>
          <cell r="JN50">
            <v>166.46772872</v>
          </cell>
          <cell r="JO50">
            <v>22.621133860000004</v>
          </cell>
          <cell r="JP50">
            <v>0</v>
          </cell>
          <cell r="JQ50">
            <v>7.0926570799999995</v>
          </cell>
          <cell r="JR50">
            <v>0.9738567199999999</v>
          </cell>
          <cell r="JS50">
            <v>0</v>
          </cell>
          <cell r="JT50">
            <v>1.4042000000000001E-2</v>
          </cell>
          <cell r="JU50">
            <v>89.085600470000003</v>
          </cell>
          <cell r="JV50">
            <v>19.959932250000001</v>
          </cell>
          <cell r="JW50">
            <v>27.296785830000001</v>
          </cell>
          <cell r="JX50">
            <v>46.547683120000002</v>
          </cell>
          <cell r="JY50">
            <v>0</v>
          </cell>
          <cell r="JZ50">
            <v>1.1029386400000001</v>
          </cell>
          <cell r="KA50">
            <v>0</v>
          </cell>
          <cell r="KB50">
            <v>3.7664204100000003</v>
          </cell>
          <cell r="KC50">
            <v>7.2177906200000006</v>
          </cell>
          <cell r="KD50">
            <v>6.7703757199999997</v>
          </cell>
          <cell r="KE50">
            <v>14.892305390000001</v>
          </cell>
          <cell r="KF50">
            <v>37.332953239999995</v>
          </cell>
          <cell r="KG50">
            <v>330.03264840999998</v>
          </cell>
          <cell r="KH50">
            <v>34.341253150000007</v>
          </cell>
          <cell r="KI50">
            <v>20.24156004</v>
          </cell>
          <cell r="KJ50">
            <v>1.4368912500000002</v>
          </cell>
          <cell r="KK50">
            <v>5.4047150099999994</v>
          </cell>
          <cell r="KL50">
            <v>0.30400720999999997</v>
          </cell>
          <cell r="KM50">
            <v>2.9601630100000005</v>
          </cell>
          <cell r="KN50">
            <v>0.10511059</v>
          </cell>
          <cell r="KO50">
            <v>4.9402390399999998</v>
          </cell>
          <cell r="KP50">
            <v>1.357241E-2</v>
          </cell>
          <cell r="KQ50">
            <v>158.05275245999999</v>
          </cell>
          <cell r="KR50">
            <v>0</v>
          </cell>
          <cell r="KS50">
            <v>0.44720943000000002</v>
          </cell>
          <cell r="KT50">
            <v>1.9605285299999999</v>
          </cell>
          <cell r="KU50">
            <v>0.36828004999999997</v>
          </cell>
          <cell r="KV50">
            <v>0</v>
          </cell>
          <cell r="KW50">
            <v>2.5176783600000001</v>
          </cell>
          <cell r="KX50">
            <v>0</v>
          </cell>
          <cell r="KY50">
            <v>0</v>
          </cell>
          <cell r="KZ50">
            <v>0.61786504999999992</v>
          </cell>
          <cell r="LA50">
            <v>0.54626236000000006</v>
          </cell>
          <cell r="LB50">
            <v>0.14416094000000002</v>
          </cell>
          <cell r="LC50">
            <v>4.5809559999999999E-2</v>
          </cell>
          <cell r="LD50">
            <v>0</v>
          </cell>
          <cell r="LE50">
            <v>0.57539700000000005</v>
          </cell>
          <cell r="LF50">
            <v>0</v>
          </cell>
          <cell r="LG50">
            <v>24.3427045</v>
          </cell>
          <cell r="LH50">
            <v>3.9715255300000005</v>
          </cell>
          <cell r="LI50">
            <v>8.3681329999999998E-2</v>
          </cell>
          <cell r="LJ50">
            <v>8.2827230000000002E-2</v>
          </cell>
          <cell r="LK50">
            <v>3.7934630900000004</v>
          </cell>
          <cell r="LL50">
            <v>9.9286993199999998</v>
          </cell>
          <cell r="LM50">
            <v>2.2950142099999997</v>
          </cell>
          <cell r="LN50">
            <v>0.13046411999999999</v>
          </cell>
          <cell r="LO50">
            <v>10.445806360000002</v>
          </cell>
          <cell r="LQ50">
            <v>2837.6591615799998</v>
          </cell>
          <cell r="LR50">
            <v>8.0805557999999991</v>
          </cell>
          <cell r="LS50">
            <v>47.256718079999999</v>
          </cell>
          <cell r="LT50">
            <v>1.1029386400000001</v>
          </cell>
          <cell r="LU50">
            <v>166.50547452999999</v>
          </cell>
          <cell r="LV50">
            <v>2.5176783600000001</v>
          </cell>
          <cell r="LW50">
            <v>0.69042330000000007</v>
          </cell>
          <cell r="LX50">
            <v>0.57539700000000005</v>
          </cell>
          <cell r="LZ50">
            <v>50.43</v>
          </cell>
          <cell r="MA50">
            <v>44.27</v>
          </cell>
          <cell r="MH50">
            <v>83.89</v>
          </cell>
          <cell r="MI50">
            <v>33.15</v>
          </cell>
          <cell r="MJ50">
            <v>21.06</v>
          </cell>
          <cell r="ML50">
            <v>27.07</v>
          </cell>
          <cell r="MM50">
            <v>45.39</v>
          </cell>
          <cell r="MO50">
            <v>27.34</v>
          </cell>
          <cell r="MP50">
            <v>54.15</v>
          </cell>
          <cell r="MQ50">
            <v>56.18</v>
          </cell>
          <cell r="MU50">
            <v>26.85</v>
          </cell>
          <cell r="MY50">
            <v>75.55</v>
          </cell>
          <cell r="MZ50">
            <v>157</v>
          </cell>
          <cell r="NA50">
            <v>85.24</v>
          </cell>
          <cell r="NB50">
            <v>230</v>
          </cell>
          <cell r="NC50">
            <v>44.32</v>
          </cell>
          <cell r="NE50">
            <v>192.24</v>
          </cell>
        </row>
        <row r="51">
          <cell r="A51">
            <v>43617</v>
          </cell>
          <cell r="B51">
            <v>6</v>
          </cell>
          <cell r="C51">
            <v>2019</v>
          </cell>
          <cell r="D51">
            <v>51</v>
          </cell>
          <cell r="E51">
            <v>43617</v>
          </cell>
          <cell r="F51">
            <v>44.715789473684204</v>
          </cell>
          <cell r="G51">
            <v>225.5</v>
          </cell>
          <cell r="H51">
            <v>19098</v>
          </cell>
          <cell r="I51">
            <v>93</v>
          </cell>
          <cell r="J51">
            <v>430</v>
          </cell>
          <cell r="K51">
            <v>3.2</v>
          </cell>
          <cell r="L51">
            <v>24.5</v>
          </cell>
          <cell r="N51">
            <v>1.466</v>
          </cell>
          <cell r="O51">
            <v>1.268</v>
          </cell>
          <cell r="P51">
            <v>57.025484210526308</v>
          </cell>
          <cell r="Q51">
            <v>800</v>
          </cell>
          <cell r="R51">
            <v>8000</v>
          </cell>
          <cell r="S51">
            <v>138.5</v>
          </cell>
          <cell r="T51">
            <v>216.16</v>
          </cell>
          <cell r="U51">
            <v>156.55555555555554</v>
          </cell>
          <cell r="V51">
            <v>230.86</v>
          </cell>
          <cell r="W51">
            <v>155.22</v>
          </cell>
          <cell r="X51">
            <v>176.32222222222219</v>
          </cell>
          <cell r="Y51">
            <v>6193.1368421052621</v>
          </cell>
          <cell r="Z51">
            <v>9665.7650526315774</v>
          </cell>
          <cell r="AA51">
            <v>7000.5052631578928</v>
          </cell>
          <cell r="AB51">
            <v>10323.087157894735</v>
          </cell>
          <cell r="AC51">
            <v>6940.7848421052622</v>
          </cell>
          <cell r="AD51">
            <v>7884.3873684210503</v>
          </cell>
          <cell r="AE51">
            <v>8001.2777543859638</v>
          </cell>
          <cell r="AF51">
            <v>25241</v>
          </cell>
          <cell r="AG51">
            <v>11550</v>
          </cell>
          <cell r="AH51">
            <v>43890</v>
          </cell>
          <cell r="AI51">
            <v>9.9867000000000008</v>
          </cell>
          <cell r="AJ51">
            <v>7.0946999999999996</v>
          </cell>
          <cell r="AK51">
            <v>6.8491</v>
          </cell>
          <cell r="AL51">
            <v>6.8981000000000003</v>
          </cell>
          <cell r="AM51">
            <v>8.3139800000000008</v>
          </cell>
          <cell r="AN51">
            <v>35.393361344537823</v>
          </cell>
          <cell r="AO51">
            <v>29.524117647058826</v>
          </cell>
          <cell r="AP51">
            <v>32.458739495798326</v>
          </cell>
          <cell r="AQ51">
            <v>14.537647058823531</v>
          </cell>
          <cell r="AR51">
            <v>14.928823529411764</v>
          </cell>
          <cell r="AS51">
            <v>8.9416666666666664</v>
          </cell>
          <cell r="AT51">
            <v>15.548235294117649</v>
          </cell>
          <cell r="AU51">
            <v>13.139575163398694</v>
          </cell>
          <cell r="AV51">
            <v>10.291285714285715</v>
          </cell>
          <cell r="AW51">
            <v>10.55</v>
          </cell>
          <cell r="AX51">
            <v>12.07</v>
          </cell>
          <cell r="AY51">
            <v>29.86</v>
          </cell>
          <cell r="AZ51">
            <v>11.95</v>
          </cell>
          <cell r="BA51">
            <v>7.89</v>
          </cell>
          <cell r="BB51">
            <v>15.442499999999999</v>
          </cell>
          <cell r="BC51">
            <v>924</v>
          </cell>
          <cell r="BD51">
            <v>1030</v>
          </cell>
          <cell r="BE51">
            <v>750</v>
          </cell>
          <cell r="BF51">
            <v>430</v>
          </cell>
          <cell r="BG51">
            <v>783.5</v>
          </cell>
          <cell r="BH51">
            <v>87.63</v>
          </cell>
          <cell r="BI51">
            <v>31.36</v>
          </cell>
          <cell r="BJ51">
            <v>118.99</v>
          </cell>
          <cell r="BK51">
            <v>64.864000000000004</v>
          </cell>
          <cell r="BL51">
            <v>68.17</v>
          </cell>
          <cell r="BM51">
            <v>66.516999999999996</v>
          </cell>
          <cell r="BN51">
            <v>15.15</v>
          </cell>
          <cell r="BO51">
            <v>49.176315789473684</v>
          </cell>
          <cell r="BP51">
            <v>39.68</v>
          </cell>
          <cell r="BQ51">
            <v>48.226684210526315</v>
          </cell>
          <cell r="BR51">
            <v>42.9</v>
          </cell>
          <cell r="BS51">
            <v>140</v>
          </cell>
          <cell r="BT51">
            <v>146.63999999999999</v>
          </cell>
          <cell r="BU51">
            <v>2119.92</v>
          </cell>
          <cell r="BV51">
            <v>65</v>
          </cell>
          <cell r="BW51">
            <v>90</v>
          </cell>
          <cell r="BY51">
            <v>336.75795334915773</v>
          </cell>
          <cell r="BZ51">
            <v>316.08082821137992</v>
          </cell>
          <cell r="CA51">
            <v>312.94425249662589</v>
          </cell>
          <cell r="CB51">
            <v>296.10167435051807</v>
          </cell>
          <cell r="CC51">
            <v>317.63903363895616</v>
          </cell>
          <cell r="CD51">
            <v>316.96184099243089</v>
          </cell>
          <cell r="CE51">
            <v>315.97836689838505</v>
          </cell>
          <cell r="CF51">
            <v>331.91482670295545</v>
          </cell>
          <cell r="CG51">
            <v>315.25666584664526</v>
          </cell>
          <cell r="CH51">
            <v>341.30167353233065</v>
          </cell>
          <cell r="CI51">
            <v>313.92319209877195</v>
          </cell>
          <cell r="CJ51">
            <v>265.16575494354976</v>
          </cell>
          <cell r="CK51">
            <v>302.04098291296424</v>
          </cell>
          <cell r="CL51">
            <v>357.03506949909428</v>
          </cell>
          <cell r="CM51">
            <v>255.0064419096835</v>
          </cell>
          <cell r="CN51">
            <v>256.12516374494101</v>
          </cell>
          <cell r="CO51">
            <v>292.55191451667076</v>
          </cell>
          <cell r="CP51">
            <v>320.15513774469548</v>
          </cell>
          <cell r="CQ51">
            <v>270.19625165284913</v>
          </cell>
          <cell r="CR51">
            <v>282.7412071532126</v>
          </cell>
          <cell r="CS51">
            <v>276.46872940303086</v>
          </cell>
          <cell r="CT51">
            <v>265.57807549410944</v>
          </cell>
          <cell r="CU51">
            <v>279.34814222535476</v>
          </cell>
          <cell r="CV51">
            <v>270.97878480056215</v>
          </cell>
          <cell r="CW51">
            <v>270.97878480056215</v>
          </cell>
          <cell r="CX51">
            <v>273.76857060882634</v>
          </cell>
          <cell r="CY51">
            <v>265.4087223708575</v>
          </cell>
          <cell r="CZ51">
            <v>325.27553107021373</v>
          </cell>
          <cell r="DA51">
            <v>276.54424718975611</v>
          </cell>
          <cell r="DB51">
            <v>289.27072103617769</v>
          </cell>
          <cell r="DC51">
            <v>338.28472012762336</v>
          </cell>
          <cell r="DD51">
            <v>322.79944956365381</v>
          </cell>
          <cell r="DE51">
            <v>295.38479353794321</v>
          </cell>
          <cell r="DF51">
            <v>333.05594342511324</v>
          </cell>
          <cell r="DG51">
            <v>314.22036848152823</v>
          </cell>
          <cell r="DH51">
            <v>283.25418691600419</v>
          </cell>
          <cell r="DI51">
            <v>267.93302049373813</v>
          </cell>
          <cell r="DK51">
            <v>440000</v>
          </cell>
          <cell r="DL51" t="str">
            <v>2018-19</v>
          </cell>
          <cell r="DM51">
            <v>195000</v>
          </cell>
          <cell r="DN51" t="str">
            <v>2018-19</v>
          </cell>
          <cell r="DO51">
            <v>1330000</v>
          </cell>
          <cell r="DP51" t="str">
            <v>2019-20</v>
          </cell>
          <cell r="DQ51">
            <v>1900000</v>
          </cell>
          <cell r="DR51" t="str">
            <v>2018-19</v>
          </cell>
          <cell r="DS51">
            <v>6000000</v>
          </cell>
          <cell r="DT51" t="str">
            <v>2018-19</v>
          </cell>
          <cell r="DU51">
            <v>17100000</v>
          </cell>
          <cell r="DV51" t="str">
            <v>2018-19</v>
          </cell>
          <cell r="DW51">
            <v>530000</v>
          </cell>
          <cell r="DX51" t="str">
            <v>2018-19</v>
          </cell>
          <cell r="DY51">
            <v>6500000</v>
          </cell>
          <cell r="DZ51" t="str">
            <v>2019-20</v>
          </cell>
          <cell r="EA51">
            <v>33360000</v>
          </cell>
          <cell r="EB51">
            <v>390000</v>
          </cell>
          <cell r="EC51" t="str">
            <v>2018-19</v>
          </cell>
          <cell r="ED51">
            <v>170782</v>
          </cell>
          <cell r="EE51">
            <v>2019</v>
          </cell>
          <cell r="EF51">
            <v>215169</v>
          </cell>
          <cell r="EG51">
            <v>2019</v>
          </cell>
          <cell r="EH51">
            <v>55007853</v>
          </cell>
          <cell r="EI51">
            <v>2019</v>
          </cell>
          <cell r="EJ51">
            <v>5128954</v>
          </cell>
          <cell r="EK51">
            <v>2019</v>
          </cell>
          <cell r="EL51">
            <v>14339908</v>
          </cell>
          <cell r="EM51">
            <v>2018</v>
          </cell>
          <cell r="EN51">
            <v>3400522</v>
          </cell>
          <cell r="EO51">
            <v>2018</v>
          </cell>
          <cell r="EP51">
            <v>6552</v>
          </cell>
          <cell r="EQ51">
            <v>3038588</v>
          </cell>
          <cell r="ER51">
            <v>33739</v>
          </cell>
          <cell r="ET51">
            <v>20884</v>
          </cell>
          <cell r="EU51">
            <v>17312</v>
          </cell>
          <cell r="EV51">
            <v>9130</v>
          </cell>
          <cell r="EW51">
            <v>17152</v>
          </cell>
          <cell r="EX51">
            <v>64478</v>
          </cell>
          <cell r="EY51">
            <v>19636</v>
          </cell>
          <cell r="EZ51">
            <v>76171</v>
          </cell>
          <cell r="FA51">
            <v>20432</v>
          </cell>
          <cell r="FB51">
            <v>18034</v>
          </cell>
          <cell r="FC51">
            <v>38466</v>
          </cell>
          <cell r="FD51">
            <v>61643.420000000013</v>
          </cell>
          <cell r="FF51">
            <v>870000</v>
          </cell>
          <cell r="FG51" t="str">
            <v>2018-19</v>
          </cell>
          <cell r="FH51">
            <v>1200000</v>
          </cell>
          <cell r="FI51" t="str">
            <v>2018-19</v>
          </cell>
          <cell r="FJ51">
            <v>5060000</v>
          </cell>
          <cell r="FK51" t="str">
            <v>2018-19</v>
          </cell>
          <cell r="FL51">
            <v>3800000</v>
          </cell>
          <cell r="FM51" t="str">
            <v>2018-19</v>
          </cell>
          <cell r="FN51">
            <v>48000000</v>
          </cell>
          <cell r="FO51" t="str">
            <v>2018-19</v>
          </cell>
          <cell r="FP51">
            <v>55600000</v>
          </cell>
          <cell r="FQ51" t="str">
            <v>2018-19</v>
          </cell>
          <cell r="FR51">
            <v>1600000</v>
          </cell>
          <cell r="FS51" t="str">
            <v>2018-19</v>
          </cell>
          <cell r="FT51">
            <v>19460000</v>
          </cell>
          <cell r="FU51" t="str">
            <v>2018-19</v>
          </cell>
          <cell r="FV51">
            <v>133520000</v>
          </cell>
          <cell r="FW51">
            <v>1300000</v>
          </cell>
          <cell r="FX51" t="str">
            <v>2018-19</v>
          </cell>
          <cell r="FY51">
            <v>149434</v>
          </cell>
          <cell r="FZ51">
            <v>830484.17100000009</v>
          </cell>
          <cell r="GA51" t="str">
            <v>jul18 jun19</v>
          </cell>
          <cell r="GB51">
            <v>25198862</v>
          </cell>
          <cell r="GC51">
            <v>2019</v>
          </cell>
          <cell r="GD51">
            <v>2061660</v>
          </cell>
          <cell r="GE51">
            <v>421371</v>
          </cell>
          <cell r="GF51">
            <v>1038352</v>
          </cell>
          <cell r="GG51">
            <v>114695</v>
          </cell>
          <cell r="GH51">
            <v>1574418</v>
          </cell>
          <cell r="GI51">
            <v>1302556</v>
          </cell>
          <cell r="GJ51">
            <v>673662.3</v>
          </cell>
          <cell r="GK51">
            <v>1162000</v>
          </cell>
          <cell r="GL51">
            <v>290589.5</v>
          </cell>
          <cell r="GM51">
            <v>258882.47</v>
          </cell>
          <cell r="GN51">
            <v>2385134.27</v>
          </cell>
          <cell r="GO51">
            <v>196709</v>
          </cell>
          <cell r="GP51">
            <v>71194.64</v>
          </cell>
          <cell r="GQ51">
            <v>23698</v>
          </cell>
          <cell r="GR51">
            <v>43750</v>
          </cell>
          <cell r="GS51">
            <v>44460.94</v>
          </cell>
          <cell r="GT51">
            <v>2600000</v>
          </cell>
          <cell r="GU51">
            <v>38726</v>
          </cell>
          <cell r="GV51">
            <v>39292</v>
          </cell>
          <cell r="GW51">
            <v>1050706</v>
          </cell>
          <cell r="GX51">
            <v>32193.503000000001</v>
          </cell>
          <cell r="GY51" t="str">
            <v>2018-2019</v>
          </cell>
          <cell r="GZ51">
            <v>107349</v>
          </cell>
          <cell r="HA51">
            <v>239899</v>
          </cell>
          <cell r="HB51">
            <v>2995872</v>
          </cell>
          <cell r="HC51" t="str">
            <v>jul18 jun19</v>
          </cell>
          <cell r="HD51">
            <v>53552</v>
          </cell>
          <cell r="HE51">
            <v>635210</v>
          </cell>
          <cell r="HF51" t="str">
            <v>jul18 jun19</v>
          </cell>
          <cell r="HG51">
            <v>167000</v>
          </cell>
          <cell r="HH51">
            <v>2130083.333333333</v>
          </cell>
          <cell r="HI51" t="str">
            <v>jul18 jun19</v>
          </cell>
          <cell r="HJ51">
            <v>79118</v>
          </cell>
          <cell r="HK51">
            <v>62406.928800000002</v>
          </cell>
          <cell r="HL51" t="str">
            <v>jul18 jun19</v>
          </cell>
          <cell r="HM51">
            <v>2192490.2621333329</v>
          </cell>
          <cell r="HN51">
            <v>-3.0793118695276234E-2</v>
          </cell>
          <cell r="HO51">
            <v>808000000</v>
          </cell>
          <cell r="HP51">
            <v>10246.700000000001</v>
          </cell>
          <cell r="HQ51" t="str">
            <v>jul18 jun19</v>
          </cell>
          <cell r="HU51">
            <v>650000</v>
          </cell>
          <cell r="HV51" t="str">
            <v>2018-19</v>
          </cell>
          <cell r="HW51">
            <v>1500000</v>
          </cell>
          <cell r="HX51" t="str">
            <v>2018-19</v>
          </cell>
          <cell r="HY51">
            <v>3890000</v>
          </cell>
          <cell r="HZ51" t="str">
            <v>2018-19</v>
          </cell>
          <cell r="IA51">
            <v>21220000</v>
          </cell>
          <cell r="IB51" t="str">
            <v>2018-19</v>
          </cell>
          <cell r="IC51">
            <v>48400000</v>
          </cell>
          <cell r="ID51" t="str">
            <v>2018-19</v>
          </cell>
          <cell r="IE51">
            <v>1350000</v>
          </cell>
          <cell r="IF51" t="str">
            <v>2018-19</v>
          </cell>
          <cell r="IG51">
            <v>6600000</v>
          </cell>
          <cell r="IH51" t="str">
            <v>2018-19</v>
          </cell>
          <cell r="II51">
            <v>82960000</v>
          </cell>
          <cell r="IJ51">
            <v>1.6426981485239711</v>
          </cell>
          <cell r="IK51" t="str">
            <v>2018-19</v>
          </cell>
          <cell r="IL51">
            <v>39.200000000000003</v>
          </cell>
          <cell r="IM51">
            <v>47.71</v>
          </cell>
          <cell r="IN51">
            <v>182</v>
          </cell>
          <cell r="IO51">
            <v>15.48</v>
          </cell>
          <cell r="IP51">
            <v>5.9691690133321123</v>
          </cell>
          <cell r="IQ51">
            <v>19.7</v>
          </cell>
          <cell r="IR51">
            <v>5.93</v>
          </cell>
          <cell r="IS51">
            <v>5.67</v>
          </cell>
          <cell r="IT51">
            <v>11.35</v>
          </cell>
          <cell r="IU51">
            <v>0.88</v>
          </cell>
          <cell r="IV51">
            <v>17.899999999999999</v>
          </cell>
          <cell r="IY51">
            <v>1.84</v>
          </cell>
          <cell r="IZ51">
            <v>0.5</v>
          </cell>
          <cell r="JA51">
            <v>1000</v>
          </cell>
          <cell r="JF51">
            <v>15.697940010000002</v>
          </cell>
          <cell r="JG51">
            <v>15.36559718</v>
          </cell>
          <cell r="JH51">
            <v>52.267343400000001</v>
          </cell>
          <cell r="JI51">
            <v>95.888487229999996</v>
          </cell>
          <cell r="JJ51">
            <v>475.3562856499999</v>
          </cell>
          <cell r="JK51">
            <v>65.852384090000001</v>
          </cell>
          <cell r="JL51">
            <v>1366.5953938800001</v>
          </cell>
          <cell r="JM51">
            <v>11.111939810000001</v>
          </cell>
          <cell r="JN51">
            <v>127.82005218</v>
          </cell>
          <cell r="JO51">
            <v>19.587550910000004</v>
          </cell>
          <cell r="JP51">
            <v>0</v>
          </cell>
          <cell r="JQ51">
            <v>5.5545029599999998</v>
          </cell>
          <cell r="JR51">
            <v>0.53567019000000005</v>
          </cell>
          <cell r="JS51">
            <v>0</v>
          </cell>
          <cell r="JT51">
            <v>0</v>
          </cell>
          <cell r="JU51">
            <v>70.921498060000005</v>
          </cell>
          <cell r="JV51">
            <v>10.585233379999998</v>
          </cell>
          <cell r="JW51">
            <v>16.93543841</v>
          </cell>
          <cell r="JX51">
            <v>78.918050989999998</v>
          </cell>
          <cell r="JY51">
            <v>0</v>
          </cell>
          <cell r="JZ51">
            <v>2.8027452299999998</v>
          </cell>
          <cell r="KA51">
            <v>0.22095485999999998</v>
          </cell>
          <cell r="KB51">
            <v>3.1930022699999991</v>
          </cell>
          <cell r="KC51">
            <v>57.763878039999994</v>
          </cell>
          <cell r="KD51">
            <v>8.2783738400000022</v>
          </cell>
          <cell r="KE51">
            <v>15.136436549999999</v>
          </cell>
          <cell r="KF51">
            <v>40.516090630000001</v>
          </cell>
          <cell r="KG51">
            <v>329.72683070999994</v>
          </cell>
          <cell r="KH51">
            <v>38.230378070000008</v>
          </cell>
          <cell r="KI51">
            <v>23.4829662</v>
          </cell>
          <cell r="KJ51">
            <v>1.3636037400000001</v>
          </cell>
          <cell r="KK51">
            <v>5.7105066899999999</v>
          </cell>
          <cell r="KL51">
            <v>0.35349477000000001</v>
          </cell>
          <cell r="KM51">
            <v>1.3377058599999998</v>
          </cell>
          <cell r="KN51">
            <v>0.30525336000000003</v>
          </cell>
          <cell r="KO51">
            <v>1.92001479</v>
          </cell>
          <cell r="KP51">
            <v>6.8809999999999997E-4</v>
          </cell>
          <cell r="KQ51">
            <v>158.18866026000003</v>
          </cell>
          <cell r="KR51">
            <v>0</v>
          </cell>
          <cell r="KS51">
            <v>0.29809626</v>
          </cell>
          <cell r="KT51">
            <v>1.2903559900000001</v>
          </cell>
          <cell r="KU51">
            <v>0.17706256000000001</v>
          </cell>
          <cell r="KV51">
            <v>0</v>
          </cell>
          <cell r="KW51">
            <v>2.6537127100000002</v>
          </cell>
          <cell r="KX51">
            <v>0</v>
          </cell>
          <cell r="KY51">
            <v>0</v>
          </cell>
          <cell r="KZ51">
            <v>0.91926714999999992</v>
          </cell>
          <cell r="LA51">
            <v>0.62685207000000009</v>
          </cell>
          <cell r="LB51">
            <v>4.9562480000000006E-2</v>
          </cell>
          <cell r="LC51">
            <v>1.558613E-2</v>
          </cell>
          <cell r="LD51">
            <v>0</v>
          </cell>
          <cell r="LE51">
            <v>7.4619450000000004E-2</v>
          </cell>
          <cell r="LF51">
            <v>0</v>
          </cell>
          <cell r="LG51">
            <v>15.763695450000002</v>
          </cell>
          <cell r="LH51">
            <v>3.3826469900000005</v>
          </cell>
          <cell r="LI51">
            <v>0.10329541</v>
          </cell>
          <cell r="LJ51">
            <v>0</v>
          </cell>
          <cell r="LK51">
            <v>1.55487686</v>
          </cell>
          <cell r="LL51">
            <v>7.6145952200000009</v>
          </cell>
          <cell r="LM51">
            <v>1.3396070099999997</v>
          </cell>
          <cell r="LN51">
            <v>0.13702964000000001</v>
          </cell>
          <cell r="LO51">
            <v>8.0920425600000012</v>
          </cell>
          <cell r="LQ51">
            <v>2129.0395021499999</v>
          </cell>
          <cell r="LR51">
            <v>6.09017315</v>
          </cell>
          <cell r="LS51">
            <v>27.520671789999998</v>
          </cell>
          <cell r="LT51">
            <v>3.0237000899999997</v>
          </cell>
          <cell r="LU51">
            <v>162.04973053000003</v>
          </cell>
          <cell r="LV51">
            <v>2.6537127100000002</v>
          </cell>
          <cell r="LW51">
            <v>0.67641455000000006</v>
          </cell>
          <cell r="LX51">
            <v>7.4619450000000004E-2</v>
          </cell>
          <cell r="LZ51">
            <v>51.84</v>
          </cell>
          <cell r="MA51">
            <v>45.36</v>
          </cell>
          <cell r="MH51">
            <v>87.52</v>
          </cell>
          <cell r="MI51">
            <v>34.299999999999997</v>
          </cell>
          <cell r="MJ51">
            <v>22.62</v>
          </cell>
          <cell r="ML51">
            <v>26.42</v>
          </cell>
          <cell r="MM51">
            <v>53.06</v>
          </cell>
          <cell r="MO51">
            <v>26.98</v>
          </cell>
          <cell r="MP51">
            <v>54.78</v>
          </cell>
          <cell r="MQ51">
            <v>55.84</v>
          </cell>
          <cell r="MU51">
            <v>24.33</v>
          </cell>
          <cell r="MY51">
            <v>80.819999999999993</v>
          </cell>
          <cell r="MZ51">
            <v>157</v>
          </cell>
          <cell r="NA51">
            <v>82.75</v>
          </cell>
          <cell r="NB51">
            <v>229.78</v>
          </cell>
          <cell r="NC51">
            <v>44.77</v>
          </cell>
          <cell r="NE51">
            <v>191.25</v>
          </cell>
        </row>
        <row r="52">
          <cell r="A52">
            <v>43647</v>
          </cell>
          <cell r="B52">
            <v>7</v>
          </cell>
          <cell r="C52">
            <v>2019</v>
          </cell>
          <cell r="D52">
            <v>52</v>
          </cell>
          <cell r="E52">
            <v>43647</v>
          </cell>
          <cell r="F52">
            <v>43.504347826086949</v>
          </cell>
          <cell r="G52">
            <v>230.5</v>
          </cell>
          <cell r="H52">
            <v>19098</v>
          </cell>
          <cell r="I52">
            <v>101</v>
          </cell>
          <cell r="J52">
            <v>420</v>
          </cell>
          <cell r="K52">
            <v>3.3</v>
          </cell>
          <cell r="L52">
            <v>30</v>
          </cell>
          <cell r="N52">
            <v>1.4339999999999999</v>
          </cell>
          <cell r="O52">
            <v>1.2969999999999999</v>
          </cell>
          <cell r="P52">
            <v>55.308686956521726</v>
          </cell>
          <cell r="Q52">
            <v>845</v>
          </cell>
          <cell r="R52">
            <v>8450</v>
          </cell>
          <cell r="S52">
            <v>132.13999999999999</v>
          </cell>
          <cell r="T52">
            <v>230.92</v>
          </cell>
          <cell r="U52">
            <v>154.85238095238097</v>
          </cell>
          <cell r="V52">
            <v>228.4</v>
          </cell>
          <cell r="W52">
            <v>158.13999999999999</v>
          </cell>
          <cell r="X52">
            <v>171.79523809523812</v>
          </cell>
          <cell r="Y52">
            <v>5748.6645217391288</v>
          </cell>
          <cell r="Z52">
            <v>10046.023999999998</v>
          </cell>
          <cell r="AA52">
            <v>6736.7518426501028</v>
          </cell>
          <cell r="AB52">
            <v>9936.3930434782596</v>
          </cell>
          <cell r="AC52">
            <v>6879.7775652173896</v>
          </cell>
          <cell r="AD52">
            <v>7473.8397929606626</v>
          </cell>
          <cell r="AE52">
            <v>7803.5751276742567</v>
          </cell>
          <cell r="AF52">
            <v>24714</v>
          </cell>
          <cell r="AG52">
            <v>11550</v>
          </cell>
          <cell r="AH52">
            <v>43890</v>
          </cell>
          <cell r="AI52">
            <v>9.64</v>
          </cell>
          <cell r="AJ52">
            <v>6.76</v>
          </cell>
          <cell r="AK52">
            <v>6.9744000000000002</v>
          </cell>
          <cell r="AL52">
            <v>6.7980999999999998</v>
          </cell>
          <cell r="AM52">
            <v>8.1496880000000012</v>
          </cell>
          <cell r="AN52">
            <v>35.924155844155855</v>
          </cell>
          <cell r="AO52">
            <v>29.672727272727276</v>
          </cell>
          <cell r="AP52">
            <v>32.798441558441567</v>
          </cell>
          <cell r="AQ52">
            <v>12.277272727272726</v>
          </cell>
          <cell r="AR52">
            <v>14.05</v>
          </cell>
          <cell r="AS52">
            <v>13.167037037037037</v>
          </cell>
          <cell r="AT52">
            <v>14.475909090909095</v>
          </cell>
          <cell r="AU52">
            <v>13.897648709315376</v>
          </cell>
          <cell r="AV52">
            <v>9.958086956521738</v>
          </cell>
          <cell r="AW52">
            <v>10.88</v>
          </cell>
          <cell r="AX52">
            <v>17.920000000000002</v>
          </cell>
          <cell r="AY52">
            <v>26.63</v>
          </cell>
          <cell r="AZ52">
            <v>11.43</v>
          </cell>
          <cell r="BA52">
            <v>9.3000000000000007</v>
          </cell>
          <cell r="BB52">
            <v>16.32</v>
          </cell>
          <cell r="BC52">
            <v>924</v>
          </cell>
          <cell r="BD52">
            <v>1030</v>
          </cell>
          <cell r="BE52">
            <v>750</v>
          </cell>
          <cell r="BF52">
            <v>430</v>
          </cell>
          <cell r="BG52">
            <v>783.5</v>
          </cell>
          <cell r="BH52">
            <v>87.63</v>
          </cell>
          <cell r="BI52">
            <v>31.36</v>
          </cell>
          <cell r="BJ52">
            <v>118.99</v>
          </cell>
          <cell r="BK52">
            <v>64.813000000000002</v>
          </cell>
          <cell r="BL52">
            <v>68.430000000000007</v>
          </cell>
          <cell r="BM52">
            <v>66.621499999999997</v>
          </cell>
          <cell r="BN52">
            <v>15.31</v>
          </cell>
          <cell r="BO52">
            <v>43.329545454545453</v>
          </cell>
          <cell r="BP52">
            <v>39.68</v>
          </cell>
          <cell r="BQ52">
            <v>42.964590909090916</v>
          </cell>
          <cell r="BR52">
            <v>44.3</v>
          </cell>
          <cell r="BS52">
            <v>170</v>
          </cell>
          <cell r="BT52">
            <v>150.52504347826084</v>
          </cell>
          <cell r="BU52">
            <v>2491.5751304347823</v>
          </cell>
          <cell r="BV52">
            <v>65.400000000000006</v>
          </cell>
          <cell r="BW52">
            <v>90</v>
          </cell>
          <cell r="BY52">
            <v>331.43231568033099</v>
          </cell>
          <cell r="BZ52">
            <v>325.26470624797491</v>
          </cell>
          <cell r="CA52">
            <v>312.84845586240982</v>
          </cell>
          <cell r="CB52">
            <v>305.03125669299641</v>
          </cell>
          <cell r="CC52">
            <v>323.12478917652265</v>
          </cell>
          <cell r="CD52">
            <v>315.77817813786049</v>
          </cell>
          <cell r="CE52">
            <v>326.68775096771276</v>
          </cell>
          <cell r="CF52">
            <v>332.88631910554648</v>
          </cell>
          <cell r="CG52">
            <v>319.39279165717477</v>
          </cell>
          <cell r="CH52">
            <v>340.50043117524791</v>
          </cell>
          <cell r="CI52">
            <v>316.66683729839519</v>
          </cell>
          <cell r="CJ52">
            <v>269.37898530966106</v>
          </cell>
          <cell r="CK52">
            <v>337.40784226201646</v>
          </cell>
          <cell r="CL52">
            <v>350.21370066723722</v>
          </cell>
          <cell r="CM52">
            <v>260.41050168348295</v>
          </cell>
          <cell r="CN52">
            <v>268.38689762880961</v>
          </cell>
          <cell r="CO52">
            <v>304.10473556038653</v>
          </cell>
          <cell r="CP52">
            <v>323.31988461245402</v>
          </cell>
          <cell r="CQ52">
            <v>274.03788956660645</v>
          </cell>
          <cell r="CR52">
            <v>286.32573249961069</v>
          </cell>
          <cell r="CS52">
            <v>280.1818110331086</v>
          </cell>
          <cell r="CT52">
            <v>267.80142381202825</v>
          </cell>
          <cell r="CU52">
            <v>283.6911261328421</v>
          </cell>
          <cell r="CV52">
            <v>282.17678269512982</v>
          </cell>
          <cell r="CW52">
            <v>282.17678269512982</v>
          </cell>
          <cell r="CX52">
            <v>282.68156384103389</v>
          </cell>
          <cell r="CY52">
            <v>269.72123543135854</v>
          </cell>
          <cell r="CZ52">
            <v>332.09617318997851</v>
          </cell>
          <cell r="DA52">
            <v>278.18418022800984</v>
          </cell>
          <cell r="DB52">
            <v>291.49916975922821</v>
          </cell>
          <cell r="DC52">
            <v>333.50638020487077</v>
          </cell>
          <cell r="DD52">
            <v>318.17182537878364</v>
          </cell>
          <cell r="DE52">
            <v>286.61937713366052</v>
          </cell>
          <cell r="DF52">
            <v>326.00092820164923</v>
          </cell>
          <cell r="DG52">
            <v>306.31015266765485</v>
          </cell>
          <cell r="DH52">
            <v>288.18699487835613</v>
          </cell>
          <cell r="DI52">
            <v>276.28195889619775</v>
          </cell>
          <cell r="DK52">
            <v>440000</v>
          </cell>
          <cell r="DL52" t="str">
            <v>2018-19</v>
          </cell>
          <cell r="DM52">
            <v>195000</v>
          </cell>
          <cell r="DN52" t="str">
            <v>2018-19</v>
          </cell>
          <cell r="DO52">
            <v>1330000</v>
          </cell>
          <cell r="DP52" t="str">
            <v>2019-20</v>
          </cell>
          <cell r="DQ52">
            <v>1900000</v>
          </cell>
          <cell r="DR52" t="str">
            <v>2018-19</v>
          </cell>
          <cell r="DS52">
            <v>6000000</v>
          </cell>
          <cell r="DT52" t="str">
            <v>2018-19</v>
          </cell>
          <cell r="DU52">
            <v>17000000</v>
          </cell>
          <cell r="DV52" t="str">
            <v>2018-19</v>
          </cell>
          <cell r="DW52">
            <v>530000</v>
          </cell>
          <cell r="DX52" t="str">
            <v>2018-19</v>
          </cell>
          <cell r="DY52">
            <v>6500000</v>
          </cell>
          <cell r="DZ52" t="str">
            <v>2019-20</v>
          </cell>
          <cell r="EA52">
            <v>33260000</v>
          </cell>
          <cell r="EB52">
            <v>390000</v>
          </cell>
          <cell r="EC52" t="str">
            <v>2018-19</v>
          </cell>
          <cell r="ED52">
            <v>170782</v>
          </cell>
          <cell r="EE52">
            <v>2019</v>
          </cell>
          <cell r="EF52">
            <v>215169</v>
          </cell>
          <cell r="EG52">
            <v>2019</v>
          </cell>
          <cell r="EH52">
            <v>55007853</v>
          </cell>
          <cell r="EI52">
            <v>2019</v>
          </cell>
          <cell r="EJ52">
            <v>5128954</v>
          </cell>
          <cell r="EK52">
            <v>2019</v>
          </cell>
          <cell r="EL52">
            <v>14339908</v>
          </cell>
          <cell r="EM52">
            <v>2018</v>
          </cell>
          <cell r="EN52">
            <v>3400522</v>
          </cell>
          <cell r="EO52">
            <v>2018</v>
          </cell>
          <cell r="EP52">
            <v>6552</v>
          </cell>
          <cell r="EQ52">
            <v>3038588</v>
          </cell>
          <cell r="ER52">
            <v>33739</v>
          </cell>
          <cell r="ET52">
            <v>20884</v>
          </cell>
          <cell r="EU52">
            <v>17312</v>
          </cell>
          <cell r="EV52">
            <v>9130</v>
          </cell>
          <cell r="EW52">
            <v>17152</v>
          </cell>
          <cell r="EX52">
            <v>64478</v>
          </cell>
          <cell r="EY52">
            <v>19636</v>
          </cell>
          <cell r="EZ52">
            <v>76171</v>
          </cell>
          <cell r="FA52">
            <v>20432</v>
          </cell>
          <cell r="FB52">
            <v>18034</v>
          </cell>
          <cell r="FC52">
            <v>38466</v>
          </cell>
          <cell r="FD52">
            <v>61643.420000000013</v>
          </cell>
          <cell r="FF52">
            <v>870000</v>
          </cell>
          <cell r="FG52" t="str">
            <v>2018-19</v>
          </cell>
          <cell r="FH52">
            <v>1200000</v>
          </cell>
          <cell r="FI52" t="str">
            <v>2018-19</v>
          </cell>
          <cell r="FJ52">
            <v>5060000</v>
          </cell>
          <cell r="FK52" t="str">
            <v>2018-19</v>
          </cell>
          <cell r="FL52">
            <v>3800000</v>
          </cell>
          <cell r="FM52" t="str">
            <v>2018-19</v>
          </cell>
          <cell r="FN52">
            <v>48000000</v>
          </cell>
          <cell r="FO52" t="str">
            <v>2018-19</v>
          </cell>
          <cell r="FP52">
            <v>55300000</v>
          </cell>
          <cell r="FQ52" t="str">
            <v>2018-19</v>
          </cell>
          <cell r="FR52">
            <v>1600000</v>
          </cell>
          <cell r="FS52" t="str">
            <v>2018-19</v>
          </cell>
          <cell r="FT52">
            <v>19460000</v>
          </cell>
          <cell r="FU52" t="str">
            <v>2018-19</v>
          </cell>
          <cell r="FV52">
            <v>133220000</v>
          </cell>
          <cell r="FW52">
            <v>1300000</v>
          </cell>
          <cell r="FX52" t="str">
            <v>2018-19</v>
          </cell>
          <cell r="FY52">
            <v>115199.932</v>
          </cell>
          <cell r="FZ52">
            <v>815513.77099999995</v>
          </cell>
          <cell r="GA52" t="str">
            <v>ago18 jul19</v>
          </cell>
          <cell r="GB52">
            <v>25198862</v>
          </cell>
          <cell r="GC52">
            <v>2019</v>
          </cell>
          <cell r="GD52">
            <v>2061660</v>
          </cell>
          <cell r="GE52">
            <v>421371</v>
          </cell>
          <cell r="GF52">
            <v>1038352</v>
          </cell>
          <cell r="GG52">
            <v>114695</v>
          </cell>
          <cell r="GH52">
            <v>1574418</v>
          </cell>
          <cell r="GI52">
            <v>1302556</v>
          </cell>
          <cell r="GJ52">
            <v>673662.3</v>
          </cell>
          <cell r="GK52">
            <v>1162000</v>
          </cell>
          <cell r="GL52">
            <v>290589.5</v>
          </cell>
          <cell r="GM52">
            <v>258882.47</v>
          </cell>
          <cell r="GN52">
            <v>2385134.27</v>
          </cell>
          <cell r="GO52">
            <v>196709</v>
          </cell>
          <cell r="GP52">
            <v>71194.64</v>
          </cell>
          <cell r="GQ52">
            <v>18477</v>
          </cell>
          <cell r="GR52">
            <v>43750</v>
          </cell>
          <cell r="GS52">
            <v>44304.31</v>
          </cell>
          <cell r="GT52">
            <v>2600000</v>
          </cell>
          <cell r="GU52">
            <v>32287</v>
          </cell>
          <cell r="GV52">
            <v>33213</v>
          </cell>
          <cell r="GW52">
            <v>1059826</v>
          </cell>
          <cell r="GX52">
            <v>32193.503000000001</v>
          </cell>
          <cell r="GY52" t="str">
            <v>2018-2019</v>
          </cell>
          <cell r="GZ52">
            <v>107349</v>
          </cell>
          <cell r="HA52">
            <v>281332</v>
          </cell>
          <cell r="HB52">
            <v>3025466</v>
          </cell>
          <cell r="HC52" t="str">
            <v>ago18 jul19</v>
          </cell>
          <cell r="HD52">
            <v>56708</v>
          </cell>
          <cell r="HE52">
            <v>635191</v>
          </cell>
          <cell r="HF52" t="str">
            <v>ago18 jul19</v>
          </cell>
          <cell r="HG52">
            <v>199000</v>
          </cell>
          <cell r="HH52">
            <v>2147083.3333333335</v>
          </cell>
          <cell r="HI52" t="str">
            <v>ago18 jul19</v>
          </cell>
          <cell r="HJ52">
            <v>85231.44</v>
          </cell>
          <cell r="HK52">
            <v>62024.846400000002</v>
          </cell>
          <cell r="HL52" t="str">
            <v>ago18 jul19</v>
          </cell>
          <cell r="HM52">
            <v>2209108.1797333336</v>
          </cell>
          <cell r="HN52">
            <v>4.459308807134299E-4</v>
          </cell>
          <cell r="HO52">
            <v>897400000</v>
          </cell>
          <cell r="HP52">
            <v>10247.1</v>
          </cell>
          <cell r="HQ52" t="str">
            <v>ago18 jul19</v>
          </cell>
          <cell r="HU52">
            <v>650000</v>
          </cell>
          <cell r="HV52" t="str">
            <v>2018-19</v>
          </cell>
          <cell r="HW52">
            <v>1500000</v>
          </cell>
          <cell r="HX52" t="str">
            <v>2018-19</v>
          </cell>
          <cell r="HY52">
            <v>3890000</v>
          </cell>
          <cell r="HZ52" t="str">
            <v>2018-19</v>
          </cell>
          <cell r="IA52">
            <v>21220000</v>
          </cell>
          <cell r="IB52" t="str">
            <v>2018-19</v>
          </cell>
          <cell r="IC52">
            <v>48900000</v>
          </cell>
          <cell r="ID52" t="str">
            <v>2018-19</v>
          </cell>
          <cell r="IE52">
            <v>1250000</v>
          </cell>
          <cell r="IF52" t="str">
            <v>2018-19</v>
          </cell>
          <cell r="IG52">
            <v>6850000</v>
          </cell>
          <cell r="IH52" t="str">
            <v>2018-19</v>
          </cell>
          <cell r="II52">
            <v>83610000</v>
          </cell>
          <cell r="IJ52">
            <v>1.6426981485239711</v>
          </cell>
          <cell r="IK52" t="str">
            <v>2018-19</v>
          </cell>
          <cell r="IL52">
            <v>46.03</v>
          </cell>
          <cell r="IM52">
            <v>57.88</v>
          </cell>
          <cell r="IN52">
            <v>182</v>
          </cell>
          <cell r="IO52">
            <v>15.34</v>
          </cell>
          <cell r="IP52">
            <v>5.9691690133321123</v>
          </cell>
          <cell r="IQ52">
            <v>19.7</v>
          </cell>
          <cell r="IR52">
            <v>5.93</v>
          </cell>
          <cell r="IS52">
            <v>5.67</v>
          </cell>
          <cell r="IT52">
            <v>11.35</v>
          </cell>
          <cell r="IU52">
            <v>0.88</v>
          </cell>
          <cell r="IV52">
            <v>17.899999999999999</v>
          </cell>
          <cell r="IY52">
            <v>1.84</v>
          </cell>
          <cell r="IZ52">
            <v>0.5</v>
          </cell>
          <cell r="JA52">
            <v>1000</v>
          </cell>
          <cell r="JF52">
            <v>11.060643449999999</v>
          </cell>
          <cell r="JG52">
            <v>12.031058209999998</v>
          </cell>
          <cell r="JH52">
            <v>59.317417389999996</v>
          </cell>
          <cell r="JI52">
            <v>79.341753999999995</v>
          </cell>
          <cell r="JJ52">
            <v>716.15737315000013</v>
          </cell>
          <cell r="JK52">
            <v>75.877112789999998</v>
          </cell>
          <cell r="JL52">
            <v>1677.6057962</v>
          </cell>
          <cell r="JM52">
            <v>7.96414124</v>
          </cell>
          <cell r="JN52">
            <v>122.90524841999999</v>
          </cell>
          <cell r="JO52">
            <v>21.355535589999999</v>
          </cell>
          <cell r="JP52">
            <v>0</v>
          </cell>
          <cell r="JQ52">
            <v>3.3273971099999997</v>
          </cell>
          <cell r="JR52">
            <v>0.45522764999999998</v>
          </cell>
          <cell r="JS52">
            <v>0</v>
          </cell>
          <cell r="JT52">
            <v>6.6735000000000004E-4</v>
          </cell>
          <cell r="JU52">
            <v>92.296959750000013</v>
          </cell>
          <cell r="JV52">
            <v>6.2712040200000008</v>
          </cell>
          <cell r="JW52">
            <v>15.213498489999999</v>
          </cell>
          <cell r="JX52">
            <v>79.174398850000003</v>
          </cell>
          <cell r="JY52">
            <v>0</v>
          </cell>
          <cell r="JZ52">
            <v>10.11832469</v>
          </cell>
          <cell r="KA52">
            <v>0.64267415999999999</v>
          </cell>
          <cell r="KB52">
            <v>5.2095365000000005</v>
          </cell>
          <cell r="KC52">
            <v>17.940219030000002</v>
          </cell>
          <cell r="KD52">
            <v>8.9294013400000001</v>
          </cell>
          <cell r="KE52">
            <v>10.960883970000001</v>
          </cell>
          <cell r="KF52">
            <v>39.292971620000003</v>
          </cell>
          <cell r="KG52">
            <v>307.75225584999998</v>
          </cell>
          <cell r="KH52">
            <v>49.666447650000009</v>
          </cell>
          <cell r="KI52">
            <v>10.67422412</v>
          </cell>
          <cell r="KJ52">
            <v>1.26395276</v>
          </cell>
          <cell r="KK52">
            <v>9.0055842099999985</v>
          </cell>
          <cell r="KL52">
            <v>0.30916765999999996</v>
          </cell>
          <cell r="KM52">
            <v>0.72503382000000005</v>
          </cell>
          <cell r="KN52">
            <v>0.44691184</v>
          </cell>
          <cell r="KO52">
            <v>0.52274284000000004</v>
          </cell>
          <cell r="KP52">
            <v>8.3284500000000011E-3</v>
          </cell>
          <cell r="KQ52">
            <v>131.44462449999995</v>
          </cell>
          <cell r="KR52">
            <v>3.3692999999999999E-4</v>
          </cell>
          <cell r="KS52">
            <v>0.25049912999999996</v>
          </cell>
          <cell r="KT52">
            <v>1.8965327900000002</v>
          </cell>
          <cell r="KU52">
            <v>0.21387546000000002</v>
          </cell>
          <cell r="KV52">
            <v>0</v>
          </cell>
          <cell r="KW52">
            <v>1.8201311199999997</v>
          </cell>
          <cell r="KX52">
            <v>0</v>
          </cell>
          <cell r="KY52">
            <v>0</v>
          </cell>
          <cell r="KZ52">
            <v>1.3264230800000001</v>
          </cell>
          <cell r="LA52">
            <v>0.99702627999999993</v>
          </cell>
          <cell r="LB52">
            <v>2.8951650000000002E-2</v>
          </cell>
          <cell r="LC52">
            <v>0.10317815999999999</v>
          </cell>
          <cell r="LD52">
            <v>0</v>
          </cell>
          <cell r="LE52">
            <v>0.29767190000000004</v>
          </cell>
          <cell r="LF52">
            <v>8.4927440000000007E-2</v>
          </cell>
          <cell r="LG52">
            <v>21.668010760000001</v>
          </cell>
          <cell r="LH52">
            <v>5.1680233100000006</v>
          </cell>
          <cell r="LI52">
            <v>0.17721437000000001</v>
          </cell>
          <cell r="LJ52">
            <v>5.2788599999999998E-2</v>
          </cell>
          <cell r="LK52">
            <v>2.5431053100000001</v>
          </cell>
          <cell r="LL52">
            <v>6.7520345400000004</v>
          </cell>
          <cell r="LM52">
            <v>2.3968104800000001</v>
          </cell>
          <cell r="LN52">
            <v>6.1907430000000006E-2</v>
          </cell>
          <cell r="LO52">
            <v>7.2644771000000006</v>
          </cell>
          <cell r="LQ52">
            <v>2663.2917304000002</v>
          </cell>
          <cell r="LR52">
            <v>3.7832921099999997</v>
          </cell>
          <cell r="LS52">
            <v>21.484702509999998</v>
          </cell>
          <cell r="LT52">
            <v>10.76099885</v>
          </cell>
          <cell r="LU52">
            <v>133.39014905999997</v>
          </cell>
          <cell r="LV52">
            <v>1.8201311199999997</v>
          </cell>
          <cell r="LW52">
            <v>1.02597793</v>
          </cell>
          <cell r="LX52">
            <v>0.38259934000000007</v>
          </cell>
          <cell r="LZ52">
            <v>52.58</v>
          </cell>
          <cell r="MA52">
            <v>45.83</v>
          </cell>
          <cell r="MH52">
            <v>88.68</v>
          </cell>
          <cell r="MI52">
            <v>34.85</v>
          </cell>
          <cell r="MJ52">
            <v>24.22</v>
          </cell>
          <cell r="ML52">
            <v>35.090000000000003</v>
          </cell>
          <cell r="MM52">
            <v>50.11</v>
          </cell>
          <cell r="MO52">
            <v>27.09</v>
          </cell>
          <cell r="MP52">
            <v>56.39</v>
          </cell>
          <cell r="MQ52">
            <v>57.14</v>
          </cell>
          <cell r="MU52">
            <v>23.55</v>
          </cell>
          <cell r="MY52">
            <v>84.17</v>
          </cell>
          <cell r="MZ52">
            <v>164.5</v>
          </cell>
          <cell r="NA52">
            <v>80.75</v>
          </cell>
          <cell r="NB52">
            <v>225.22</v>
          </cell>
          <cell r="NC52">
            <v>46.88</v>
          </cell>
          <cell r="NE52">
            <v>195.04</v>
          </cell>
        </row>
        <row r="53">
          <cell r="A53">
            <v>43678</v>
          </cell>
          <cell r="B53">
            <v>8</v>
          </cell>
          <cell r="C53">
            <v>2019</v>
          </cell>
          <cell r="D53">
            <v>53</v>
          </cell>
          <cell r="E53">
            <v>43678</v>
          </cell>
          <cell r="F53">
            <v>54.228571428571428</v>
          </cell>
          <cell r="G53">
            <v>239.6</v>
          </cell>
          <cell r="H53">
            <v>23490</v>
          </cell>
          <cell r="I53">
            <v>96</v>
          </cell>
          <cell r="J53">
            <v>440</v>
          </cell>
          <cell r="K53">
            <v>3.3</v>
          </cell>
          <cell r="L53">
            <v>28.6</v>
          </cell>
          <cell r="N53">
            <v>1.33</v>
          </cell>
          <cell r="O53">
            <v>1.109</v>
          </cell>
          <cell r="P53">
            <v>62.473242857142857</v>
          </cell>
          <cell r="Q53">
            <v>945</v>
          </cell>
          <cell r="R53">
            <v>9450</v>
          </cell>
          <cell r="S53">
            <v>129.05000000000001</v>
          </cell>
          <cell r="T53">
            <v>240.95</v>
          </cell>
          <cell r="U53">
            <v>142.52857142857141</v>
          </cell>
          <cell r="V53">
            <v>239.71</v>
          </cell>
          <cell r="W53">
            <v>152.05000000000001</v>
          </cell>
          <cell r="X53">
            <v>163.46190476190475</v>
          </cell>
          <cell r="Y53">
            <v>6998.1971428571433</v>
          </cell>
          <cell r="Z53">
            <v>13066.374285714284</v>
          </cell>
          <cell r="AA53">
            <v>7729.1208163265292</v>
          </cell>
          <cell r="AB53">
            <v>12999.130857142858</v>
          </cell>
          <cell r="AC53">
            <v>8245.454285714286</v>
          </cell>
          <cell r="AD53">
            <v>8864.3055782312913</v>
          </cell>
          <cell r="AE53">
            <v>9650.4304943310635</v>
          </cell>
          <cell r="AF53">
            <v>26701</v>
          </cell>
          <cell r="AG53">
            <v>11550</v>
          </cell>
          <cell r="AH53">
            <v>43890</v>
          </cell>
          <cell r="AI53">
            <v>9.5399999999999991</v>
          </cell>
          <cell r="AJ53">
            <v>6.42</v>
          </cell>
          <cell r="AK53">
            <v>6.98</v>
          </cell>
          <cell r="AL53">
            <v>6.57</v>
          </cell>
          <cell r="AM53">
            <v>8.0367999999999995</v>
          </cell>
          <cell r="AN53">
            <v>37.511567164179134</v>
          </cell>
          <cell r="AO53">
            <v>29.068571428571431</v>
          </cell>
          <cell r="AP53">
            <v>33.290069296375279</v>
          </cell>
          <cell r="AQ53">
            <v>11.077142857142855</v>
          </cell>
          <cell r="AR53">
            <v>12.282857142857143</v>
          </cell>
          <cell r="AS53">
            <v>12.242898550724638</v>
          </cell>
          <cell r="AT53">
            <v>14.827142857142857</v>
          </cell>
          <cell r="AU53">
            <v>13.117632850241543</v>
          </cell>
          <cell r="AV53">
            <v>11.619523809523807</v>
          </cell>
          <cell r="AW53">
            <v>10.257619047619047</v>
          </cell>
          <cell r="AX53">
            <v>27.584285714285713</v>
          </cell>
          <cell r="AY53">
            <v>25.302857142857142</v>
          </cell>
          <cell r="AZ53">
            <v>10.563333333333334</v>
          </cell>
          <cell r="BA53">
            <v>11.050476190476191</v>
          </cell>
          <cell r="BB53">
            <v>18.625238095238096</v>
          </cell>
          <cell r="BC53">
            <v>924</v>
          </cell>
          <cell r="BD53">
            <v>1030</v>
          </cell>
          <cell r="BE53">
            <v>750</v>
          </cell>
          <cell r="BF53">
            <v>430</v>
          </cell>
          <cell r="BG53">
            <v>783.5</v>
          </cell>
          <cell r="BH53">
            <v>87.63</v>
          </cell>
          <cell r="BI53">
            <v>31.36</v>
          </cell>
          <cell r="BJ53">
            <v>118.99</v>
          </cell>
          <cell r="BK53">
            <v>69.08</v>
          </cell>
          <cell r="BL53">
            <v>80.489999999999995</v>
          </cell>
          <cell r="BM53">
            <v>74.784999999999997</v>
          </cell>
          <cell r="BN53">
            <v>15.38</v>
          </cell>
          <cell r="BO53">
            <v>50.214285714285701</v>
          </cell>
          <cell r="BP53">
            <v>39.68</v>
          </cell>
          <cell r="BQ53">
            <v>49.160857142857125</v>
          </cell>
          <cell r="BR53">
            <v>49.2</v>
          </cell>
          <cell r="BS53">
            <v>180</v>
          </cell>
          <cell r="BT53">
            <v>148.58628571428574</v>
          </cell>
          <cell r="BU53">
            <v>2605.7588571428573</v>
          </cell>
          <cell r="BV53">
            <v>67.900000000000006</v>
          </cell>
          <cell r="BW53">
            <v>90</v>
          </cell>
          <cell r="BY53">
            <v>398.21370522370569</v>
          </cell>
          <cell r="BZ53">
            <v>394.96409183132795</v>
          </cell>
          <cell r="CA53">
            <v>385.17634333947785</v>
          </cell>
          <cell r="CB53">
            <v>382.69863408618642</v>
          </cell>
          <cell r="CC53">
            <v>388.0911692267577</v>
          </cell>
          <cell r="CD53">
            <v>399.1423854597885</v>
          </cell>
          <cell r="CE53">
            <v>395.88393539852734</v>
          </cell>
          <cell r="CF53">
            <v>407.52084463677318</v>
          </cell>
          <cell r="CG53">
            <v>393.08555202458518</v>
          </cell>
          <cell r="CH53">
            <v>399.13552249210852</v>
          </cell>
          <cell r="CI53">
            <v>381.81801311790139</v>
          </cell>
          <cell r="CJ53">
            <v>317.41866036985886</v>
          </cell>
          <cell r="CK53">
            <v>435.75433728906</v>
          </cell>
          <cell r="CL53">
            <v>396.62013394024598</v>
          </cell>
          <cell r="CM53">
            <v>301.54911656745969</v>
          </cell>
          <cell r="CN53">
            <v>324.65144096878333</v>
          </cell>
          <cell r="CO53">
            <v>364.64375719138729</v>
          </cell>
          <cell r="CP53">
            <v>378.82670571344255</v>
          </cell>
          <cell r="CQ53">
            <v>326.9092148975945</v>
          </cell>
          <cell r="CR53">
            <v>336.84096791583039</v>
          </cell>
          <cell r="CS53">
            <v>331.87509140671244</v>
          </cell>
          <cell r="CT53">
            <v>318.97953308885752</v>
          </cell>
          <cell r="CU53">
            <v>336.43180455377239</v>
          </cell>
          <cell r="CV53">
            <v>336.08796903091684</v>
          </cell>
          <cell r="CW53">
            <v>336.08796903091684</v>
          </cell>
          <cell r="CX53">
            <v>336.20258087186869</v>
          </cell>
          <cell r="CY53">
            <v>324.47187769225599</v>
          </cell>
          <cell r="CZ53">
            <v>406.37272871276605</v>
          </cell>
          <cell r="DA53">
            <v>336.64468727337146</v>
          </cell>
          <cell r="DB53">
            <v>347.494308117488</v>
          </cell>
          <cell r="DC53">
            <v>383.16125172067456</v>
          </cell>
          <cell r="DD53">
            <v>369.18574020458482</v>
          </cell>
          <cell r="DE53">
            <v>331.03664764893091</v>
          </cell>
          <cell r="DF53">
            <v>374.4178362539551</v>
          </cell>
          <cell r="DG53">
            <v>352.72724195144303</v>
          </cell>
          <cell r="DH53">
            <v>344.24221019676344</v>
          </cell>
          <cell r="DI53">
            <v>329.06739641059886</v>
          </cell>
          <cell r="DK53">
            <v>440000</v>
          </cell>
          <cell r="DL53" t="str">
            <v>2018-19</v>
          </cell>
          <cell r="DM53">
            <v>195000</v>
          </cell>
          <cell r="DN53" t="str">
            <v>2018-19</v>
          </cell>
          <cell r="DO53">
            <v>1330000</v>
          </cell>
          <cell r="DP53" t="str">
            <v>2019-20</v>
          </cell>
          <cell r="DQ53">
            <v>1900000</v>
          </cell>
          <cell r="DR53" t="str">
            <v>2018-19</v>
          </cell>
          <cell r="DS53">
            <v>6200000</v>
          </cell>
          <cell r="DT53" t="str">
            <v>2019-20</v>
          </cell>
          <cell r="DU53">
            <v>17000000</v>
          </cell>
          <cell r="DV53" t="str">
            <v>2018-19</v>
          </cell>
          <cell r="DW53">
            <v>530000</v>
          </cell>
          <cell r="DX53" t="str">
            <v>2019-20</v>
          </cell>
          <cell r="DY53">
            <v>6600000</v>
          </cell>
          <cell r="DZ53" t="str">
            <v>2019-20</v>
          </cell>
          <cell r="EA53">
            <v>33560000</v>
          </cell>
          <cell r="EB53">
            <v>390000</v>
          </cell>
          <cell r="EC53" t="str">
            <v>2018-19</v>
          </cell>
          <cell r="ED53">
            <v>170782</v>
          </cell>
          <cell r="EE53">
            <v>2019</v>
          </cell>
          <cell r="EF53">
            <v>215169</v>
          </cell>
          <cell r="EG53">
            <v>2019</v>
          </cell>
          <cell r="EH53">
            <v>55007853</v>
          </cell>
          <cell r="EI53">
            <v>2019</v>
          </cell>
          <cell r="EJ53">
            <v>5128954</v>
          </cell>
          <cell r="EK53">
            <v>2019</v>
          </cell>
          <cell r="EL53">
            <v>14339908</v>
          </cell>
          <cell r="EM53">
            <v>2018</v>
          </cell>
          <cell r="EN53">
            <v>3400522</v>
          </cell>
          <cell r="EO53">
            <v>2018</v>
          </cell>
          <cell r="EP53">
            <v>6552</v>
          </cell>
          <cell r="EQ53">
            <v>3038588</v>
          </cell>
          <cell r="ER53">
            <v>33739</v>
          </cell>
          <cell r="ET53">
            <v>20884</v>
          </cell>
          <cell r="EU53">
            <v>17312</v>
          </cell>
          <cell r="EV53">
            <v>9130</v>
          </cell>
          <cell r="EW53">
            <v>17152</v>
          </cell>
          <cell r="EX53">
            <v>64478</v>
          </cell>
          <cell r="EY53">
            <v>19636</v>
          </cell>
          <cell r="EZ53">
            <v>76171</v>
          </cell>
          <cell r="FA53">
            <v>20432</v>
          </cell>
          <cell r="FB53">
            <v>18034</v>
          </cell>
          <cell r="FC53">
            <v>38466</v>
          </cell>
          <cell r="FD53">
            <v>61643.420000000013</v>
          </cell>
          <cell r="FF53">
            <v>870000</v>
          </cell>
          <cell r="FG53" t="str">
            <v>2018-19</v>
          </cell>
          <cell r="FH53">
            <v>1200000</v>
          </cell>
          <cell r="FI53" t="str">
            <v>2018-19</v>
          </cell>
          <cell r="FJ53">
            <v>5060000</v>
          </cell>
          <cell r="FK53" t="str">
            <v>2018-19</v>
          </cell>
          <cell r="FL53">
            <v>3800000</v>
          </cell>
          <cell r="FM53" t="str">
            <v>2018-19</v>
          </cell>
          <cell r="FN53">
            <v>48000000</v>
          </cell>
          <cell r="FO53" t="str">
            <v>2018-19</v>
          </cell>
          <cell r="FP53">
            <v>55300000</v>
          </cell>
          <cell r="FQ53" t="str">
            <v>2018-19</v>
          </cell>
          <cell r="FR53">
            <v>1600000</v>
          </cell>
          <cell r="FS53" t="str">
            <v>2018-19</v>
          </cell>
          <cell r="FT53">
            <v>19460000</v>
          </cell>
          <cell r="FU53" t="str">
            <v>2018-19</v>
          </cell>
          <cell r="FV53">
            <v>133220000</v>
          </cell>
          <cell r="FW53">
            <v>1300000</v>
          </cell>
          <cell r="FX53" t="str">
            <v>2018-19</v>
          </cell>
          <cell r="FY53">
            <v>100769.454</v>
          </cell>
          <cell r="FZ53">
            <v>819527.30400000012</v>
          </cell>
          <cell r="GA53" t="str">
            <v>sept18 ago19</v>
          </cell>
          <cell r="GB53">
            <v>25198862</v>
          </cell>
          <cell r="GC53">
            <v>2019</v>
          </cell>
          <cell r="GD53">
            <v>2061660</v>
          </cell>
          <cell r="GE53">
            <v>421371</v>
          </cell>
          <cell r="GF53">
            <v>1038352</v>
          </cell>
          <cell r="GG53">
            <v>114695</v>
          </cell>
          <cell r="GH53">
            <v>1574418</v>
          </cell>
          <cell r="GI53">
            <v>1302556</v>
          </cell>
          <cell r="GJ53">
            <v>673662.3</v>
          </cell>
          <cell r="GK53">
            <v>1162000</v>
          </cell>
          <cell r="GL53">
            <v>290589.5</v>
          </cell>
          <cell r="GM53">
            <v>258882.47</v>
          </cell>
          <cell r="GN53">
            <v>2385134.27</v>
          </cell>
          <cell r="GO53">
            <v>196709</v>
          </cell>
          <cell r="GP53">
            <v>71194.64</v>
          </cell>
          <cell r="GQ53">
            <v>16968</v>
          </cell>
          <cell r="GR53">
            <v>43750</v>
          </cell>
          <cell r="GS53">
            <v>44259.040000000001</v>
          </cell>
          <cell r="GT53">
            <v>2600000</v>
          </cell>
          <cell r="GU53">
            <v>27394</v>
          </cell>
          <cell r="GV53">
            <v>36783</v>
          </cell>
          <cell r="GW53">
            <v>1060576</v>
          </cell>
          <cell r="GX53">
            <v>32193.503000000001</v>
          </cell>
          <cell r="GY53" t="str">
            <v>2018-2019</v>
          </cell>
          <cell r="GZ53">
            <v>107349</v>
          </cell>
          <cell r="HA53">
            <v>269999</v>
          </cell>
          <cell r="HB53">
            <v>3020949</v>
          </cell>
          <cell r="HC53" t="str">
            <v>sept18 ago19</v>
          </cell>
          <cell r="HD53">
            <v>51045</v>
          </cell>
          <cell r="HE53">
            <v>632098</v>
          </cell>
          <cell r="HF53" t="str">
            <v>sept18 ago19</v>
          </cell>
          <cell r="HG53">
            <v>192000</v>
          </cell>
          <cell r="HH53">
            <v>2151083.3333333335</v>
          </cell>
          <cell r="HI53" t="str">
            <v>sept18 ago19</v>
          </cell>
          <cell r="HJ53">
            <v>84452</v>
          </cell>
          <cell r="HK53">
            <v>61494.499200000006</v>
          </cell>
          <cell r="HL53" t="str">
            <v>sept18 ago19</v>
          </cell>
          <cell r="HM53">
            <v>2212577.8325333335</v>
          </cell>
          <cell r="HN53">
            <v>2.058047493403703E-2</v>
          </cell>
          <cell r="HO53">
            <v>967000000</v>
          </cell>
          <cell r="HP53">
            <v>10266.6</v>
          </cell>
          <cell r="HQ53" t="str">
            <v>sept18 ago19</v>
          </cell>
          <cell r="HU53">
            <v>650000</v>
          </cell>
          <cell r="HV53" t="str">
            <v>2018-19</v>
          </cell>
          <cell r="HW53">
            <v>1500000</v>
          </cell>
          <cell r="HX53" t="str">
            <v>2018-19</v>
          </cell>
          <cell r="HY53">
            <v>3890000</v>
          </cell>
          <cell r="HZ53" t="str">
            <v>2018-19</v>
          </cell>
          <cell r="IA53">
            <v>21220000</v>
          </cell>
          <cell r="IB53" t="str">
            <v>2018-19</v>
          </cell>
          <cell r="IC53">
            <v>48900000</v>
          </cell>
          <cell r="ID53" t="str">
            <v>2018-19</v>
          </cell>
          <cell r="IE53">
            <v>1250000</v>
          </cell>
          <cell r="IF53" t="str">
            <v>2018-19</v>
          </cell>
          <cell r="IG53">
            <v>6850000</v>
          </cell>
          <cell r="IH53" t="str">
            <v>2018-19</v>
          </cell>
          <cell r="II53">
            <v>83610000</v>
          </cell>
          <cell r="IJ53">
            <v>1.6426981485239711</v>
          </cell>
          <cell r="IK53" t="str">
            <v>2018-19</v>
          </cell>
          <cell r="IL53">
            <v>43.73</v>
          </cell>
          <cell r="IM53">
            <v>50.64</v>
          </cell>
          <cell r="IN53">
            <v>182</v>
          </cell>
          <cell r="IO53">
            <v>13.83</v>
          </cell>
          <cell r="IP53">
            <v>5.9691690133321123</v>
          </cell>
          <cell r="IQ53">
            <v>19.7</v>
          </cell>
          <cell r="IR53">
            <v>5.93</v>
          </cell>
          <cell r="IS53">
            <v>5.67</v>
          </cell>
          <cell r="IT53">
            <v>11.35</v>
          </cell>
          <cell r="IU53">
            <v>0.88</v>
          </cell>
          <cell r="IV53">
            <v>17.899999999999999</v>
          </cell>
          <cell r="IY53">
            <v>1.84</v>
          </cell>
          <cell r="IZ53">
            <v>0.5</v>
          </cell>
          <cell r="JA53">
            <v>1000</v>
          </cell>
          <cell r="JF53">
            <v>13.263641360000001</v>
          </cell>
          <cell r="JG53">
            <v>8.3519055400000006</v>
          </cell>
          <cell r="JH53">
            <v>46.813549420000008</v>
          </cell>
          <cell r="JI53">
            <v>101.82958047</v>
          </cell>
          <cell r="JJ53">
            <v>579.60940846999995</v>
          </cell>
          <cell r="JK53">
            <v>79.66110599999999</v>
          </cell>
          <cell r="JL53">
            <v>1379.6889910100001</v>
          </cell>
          <cell r="JM53">
            <v>13.4273723</v>
          </cell>
          <cell r="JN53">
            <v>113.08127186999999</v>
          </cell>
          <cell r="JO53">
            <v>19.717144449999999</v>
          </cell>
          <cell r="JP53">
            <v>0</v>
          </cell>
          <cell r="JQ53">
            <v>0.37882195000000002</v>
          </cell>
          <cell r="JR53">
            <v>0.74029601999999994</v>
          </cell>
          <cell r="JS53">
            <v>0</v>
          </cell>
          <cell r="JT53">
            <v>1.0078999999999999E-2</v>
          </cell>
          <cell r="JU53">
            <v>96.759285230000017</v>
          </cell>
          <cell r="JV53">
            <v>12.52101485</v>
          </cell>
          <cell r="JW53">
            <v>12.60481148</v>
          </cell>
          <cell r="JX53">
            <v>32.436518239999998</v>
          </cell>
          <cell r="JY53">
            <v>0</v>
          </cell>
          <cell r="JZ53">
            <v>10.338957430000001</v>
          </cell>
          <cell r="KA53">
            <v>0.34017312</v>
          </cell>
          <cell r="KB53">
            <v>3.0689166999999999</v>
          </cell>
          <cell r="KC53">
            <v>30.883302369999999</v>
          </cell>
          <cell r="KD53">
            <v>10.812424300000002</v>
          </cell>
          <cell r="KE53">
            <v>13.717942410000001</v>
          </cell>
          <cell r="KF53">
            <v>41.55606517999999</v>
          </cell>
          <cell r="KG53">
            <v>375.68034586999988</v>
          </cell>
          <cell r="KH53">
            <v>57.780394000000001</v>
          </cell>
          <cell r="KI53">
            <v>16.782858529999999</v>
          </cell>
          <cell r="KJ53">
            <v>1.28876283</v>
          </cell>
          <cell r="KK53">
            <v>8.0941112999999998</v>
          </cell>
          <cell r="KL53">
            <v>0.57927991000000001</v>
          </cell>
          <cell r="KM53">
            <v>2.1104386600000002</v>
          </cell>
          <cell r="KN53">
            <v>2.4110860000000001E-2</v>
          </cell>
          <cell r="KO53">
            <v>2.3538335400000006</v>
          </cell>
          <cell r="KP53">
            <v>1.0551499999999999E-3</v>
          </cell>
          <cell r="KQ53">
            <v>78.108077780000002</v>
          </cell>
          <cell r="KR53">
            <v>0.10232402</v>
          </cell>
          <cell r="KS53">
            <v>0.14177541000000002</v>
          </cell>
          <cell r="KT53">
            <v>1.1331463899999998</v>
          </cell>
          <cell r="KU53">
            <v>0.24142015</v>
          </cell>
          <cell r="KV53">
            <v>2.0444340000000002E-2</v>
          </cell>
          <cell r="KW53">
            <v>2.3162467200000001</v>
          </cell>
          <cell r="KX53">
            <v>0</v>
          </cell>
          <cell r="KY53">
            <v>0</v>
          </cell>
          <cell r="KZ53">
            <v>1.3724791000000001</v>
          </cell>
          <cell r="LA53">
            <v>0.13825269000000001</v>
          </cell>
          <cell r="LB53">
            <v>2.2018000000000003E-3</v>
          </cell>
          <cell r="LC53">
            <v>1.3983540000000001E-2</v>
          </cell>
          <cell r="LD53">
            <v>0</v>
          </cell>
          <cell r="LE53">
            <v>3.7675900000000003E-3</v>
          </cell>
          <cell r="LF53">
            <v>0</v>
          </cell>
          <cell r="LG53">
            <v>16.428484190000002</v>
          </cell>
          <cell r="LH53">
            <v>6.4192746600000001</v>
          </cell>
          <cell r="LI53">
            <v>0.18434716000000001</v>
          </cell>
          <cell r="LJ53">
            <v>0</v>
          </cell>
          <cell r="LK53">
            <v>1.6276300800000001</v>
          </cell>
          <cell r="LL53">
            <v>4.2467172499999997</v>
          </cell>
          <cell r="LM53">
            <v>1.5843988199999999</v>
          </cell>
          <cell r="LN53">
            <v>0.10626755</v>
          </cell>
          <cell r="LO53">
            <v>6.8587549399999999</v>
          </cell>
          <cell r="LQ53">
            <v>2234.4501735400004</v>
          </cell>
          <cell r="LR53">
            <v>1.12919697</v>
          </cell>
          <cell r="LS53">
            <v>25.125826330000002</v>
          </cell>
          <cell r="LT53">
            <v>10.67913055</v>
          </cell>
          <cell r="LU53">
            <v>82.840560269999997</v>
          </cell>
          <cell r="LV53">
            <v>2.3366910600000002</v>
          </cell>
          <cell r="LW53">
            <v>0.14045449000000002</v>
          </cell>
          <cell r="LX53">
            <v>3.7675900000000003E-3</v>
          </cell>
          <cell r="LZ53">
            <v>56.79</v>
          </cell>
          <cell r="MA53">
            <v>48.48</v>
          </cell>
          <cell r="MH53">
            <v>92.16</v>
          </cell>
          <cell r="MI53">
            <v>36.04</v>
          </cell>
          <cell r="MJ53">
            <v>25.53</v>
          </cell>
          <cell r="ML53">
            <v>53.23</v>
          </cell>
          <cell r="MM53">
            <v>49.27</v>
          </cell>
          <cell r="MO53">
            <v>28.12</v>
          </cell>
          <cell r="MP53">
            <v>56.98</v>
          </cell>
          <cell r="MQ53">
            <v>58.99</v>
          </cell>
          <cell r="MU53">
            <v>23.18</v>
          </cell>
          <cell r="MY53">
            <v>85.78</v>
          </cell>
          <cell r="MZ53">
            <v>182</v>
          </cell>
          <cell r="NA53">
            <v>82.48</v>
          </cell>
          <cell r="NB53">
            <v>230.57</v>
          </cell>
          <cell r="NC53">
            <v>48.37</v>
          </cell>
          <cell r="NE53">
            <v>199.53</v>
          </cell>
        </row>
        <row r="54">
          <cell r="A54">
            <v>43709</v>
          </cell>
          <cell r="B54">
            <v>9</v>
          </cell>
          <cell r="C54">
            <v>2019</v>
          </cell>
          <cell r="D54">
            <v>54</v>
          </cell>
          <cell r="E54">
            <v>43709</v>
          </cell>
          <cell r="F54">
            <v>57.833333333333336</v>
          </cell>
          <cell r="G54">
            <v>253.71019999999999</v>
          </cell>
          <cell r="H54">
            <v>23490</v>
          </cell>
          <cell r="I54">
            <v>74</v>
          </cell>
          <cell r="J54">
            <v>400</v>
          </cell>
          <cell r="K54">
            <v>3.3</v>
          </cell>
          <cell r="L54">
            <v>21.9</v>
          </cell>
          <cell r="N54">
            <v>1.2569999999999999</v>
          </cell>
          <cell r="O54">
            <v>1.036</v>
          </cell>
          <cell r="P54">
            <v>62.866416666666673</v>
          </cell>
          <cell r="Q54">
            <v>1050</v>
          </cell>
          <cell r="R54">
            <v>10500</v>
          </cell>
          <cell r="S54">
            <v>132.85</v>
          </cell>
          <cell r="T54">
            <v>240.76</v>
          </cell>
          <cell r="U54">
            <v>138.71428571428572</v>
          </cell>
          <cell r="V54">
            <v>239.14</v>
          </cell>
          <cell r="W54">
            <v>154.41999999999999</v>
          </cell>
          <cell r="X54">
            <v>162.26666666666665</v>
          </cell>
          <cell r="Y54">
            <v>7683.1583333333338</v>
          </cell>
          <cell r="Z54">
            <v>13923.953333333333</v>
          </cell>
          <cell r="AA54">
            <v>8022.3095238095248</v>
          </cell>
          <cell r="AB54">
            <v>13830.263333333332</v>
          </cell>
          <cell r="AC54">
            <v>8930.623333333333</v>
          </cell>
          <cell r="AD54">
            <v>9384.4222222222215</v>
          </cell>
          <cell r="AE54">
            <v>10295.788346560847</v>
          </cell>
          <cell r="AF54">
            <v>32741.052631578947</v>
          </cell>
          <cell r="AG54">
            <v>11550</v>
          </cell>
          <cell r="AH54">
            <v>43890</v>
          </cell>
          <cell r="AI54">
            <v>8.82</v>
          </cell>
          <cell r="AJ54">
            <v>6.67</v>
          </cell>
          <cell r="AK54">
            <v>7.27</v>
          </cell>
          <cell r="AL54">
            <v>7.5</v>
          </cell>
          <cell r="AM54">
            <v>8.0141999999999989</v>
          </cell>
          <cell r="AN54">
            <v>38.49134328358209</v>
          </cell>
          <cell r="AO54">
            <v>27.854761904761908</v>
          </cell>
          <cell r="AP54">
            <v>33.173052594171999</v>
          </cell>
          <cell r="AQ54">
            <v>13.157142857142853</v>
          </cell>
          <cell r="AR54">
            <v>12.69095238095238</v>
          </cell>
          <cell r="AS54">
            <v>12.277605633802818</v>
          </cell>
          <cell r="AT54">
            <v>16.794285714285714</v>
          </cell>
          <cell r="AU54">
            <v>13.920947909680303</v>
          </cell>
          <cell r="AV54">
            <v>12.539629629629632</v>
          </cell>
          <cell r="AW54">
            <v>10.234761904761905</v>
          </cell>
          <cell r="AX54">
            <v>35.401428571428561</v>
          </cell>
          <cell r="AY54">
            <v>32.929047619047616</v>
          </cell>
          <cell r="AZ54">
            <v>10.997619047619045</v>
          </cell>
          <cell r="BA54">
            <v>29.121111111111109</v>
          </cell>
          <cell r="BB54">
            <v>27.11230158730158</v>
          </cell>
          <cell r="BC54">
            <v>924</v>
          </cell>
          <cell r="BD54">
            <v>1030</v>
          </cell>
          <cell r="BE54">
            <v>900</v>
          </cell>
          <cell r="BF54">
            <v>550</v>
          </cell>
          <cell r="BG54">
            <v>851</v>
          </cell>
          <cell r="BH54">
            <v>87.63</v>
          </cell>
          <cell r="BI54">
            <v>31.36</v>
          </cell>
          <cell r="BJ54">
            <v>118.99</v>
          </cell>
          <cell r="BK54">
            <v>67.400000000000006</v>
          </cell>
          <cell r="BL54">
            <v>80.099999999999994</v>
          </cell>
          <cell r="BM54">
            <v>73.75</v>
          </cell>
          <cell r="BN54">
            <v>15.72</v>
          </cell>
          <cell r="BO54">
            <v>63.449999999999982</v>
          </cell>
          <cell r="BP54">
            <v>46.71</v>
          </cell>
          <cell r="BQ54">
            <v>61.775999999999982</v>
          </cell>
          <cell r="BR54">
            <v>55.65</v>
          </cell>
          <cell r="BS54">
            <v>190</v>
          </cell>
          <cell r="BT54">
            <v>157.88500000000002</v>
          </cell>
          <cell r="BU54">
            <v>2753.6550000000002</v>
          </cell>
          <cell r="BV54">
            <v>84.2</v>
          </cell>
          <cell r="BW54">
            <v>160</v>
          </cell>
          <cell r="BY54">
            <v>392.94453520792933</v>
          </cell>
          <cell r="BZ54">
            <v>358.39602940723535</v>
          </cell>
          <cell r="CA54">
            <v>382.66220152038522</v>
          </cell>
          <cell r="CB54">
            <v>377.69364610640605</v>
          </cell>
          <cell r="CC54">
            <v>378.0722328880147</v>
          </cell>
          <cell r="CD54">
            <v>402.09810397770303</v>
          </cell>
          <cell r="CE54">
            <v>387.35908660052235</v>
          </cell>
          <cell r="CF54">
            <v>401.71417295147904</v>
          </cell>
          <cell r="CG54">
            <v>388.26657400741846</v>
          </cell>
          <cell r="CH54">
            <v>428.08278146430092</v>
          </cell>
          <cell r="CI54">
            <v>371.3572729143628</v>
          </cell>
          <cell r="CJ54">
            <v>307.33211067947883</v>
          </cell>
          <cell r="CK54">
            <v>457.19905217752751</v>
          </cell>
          <cell r="CL54">
            <v>416.47321523489353</v>
          </cell>
          <cell r="CM54">
            <v>288.67019804450706</v>
          </cell>
          <cell r="CN54">
            <v>381.4539149828725</v>
          </cell>
          <cell r="CO54">
            <v>385.94909510995012</v>
          </cell>
          <cell r="CP54">
            <v>362.36587311775293</v>
          </cell>
          <cell r="CQ54">
            <v>317.25724336176148</v>
          </cell>
          <cell r="CR54">
            <v>324.46196209452546</v>
          </cell>
          <cell r="CS54">
            <v>320.8596027281435</v>
          </cell>
          <cell r="CT54">
            <v>305.88794594341186</v>
          </cell>
          <cell r="CU54">
            <v>322.62729921591136</v>
          </cell>
          <cell r="CV54">
            <v>321.77387078909641</v>
          </cell>
          <cell r="CW54">
            <v>321.77387078909641</v>
          </cell>
          <cell r="CX54">
            <v>322.05834693136808</v>
          </cell>
          <cell r="CY54">
            <v>315.52612508153408</v>
          </cell>
          <cell r="CZ54">
            <v>381.86346929677939</v>
          </cell>
          <cell r="DA54">
            <v>328.12983592322576</v>
          </cell>
          <cell r="DB54">
            <v>338.95906216348737</v>
          </cell>
          <cell r="DC54">
            <v>380.50657824986382</v>
          </cell>
          <cell r="DD54">
            <v>370.85900766214996</v>
          </cell>
          <cell r="DE54">
            <v>340.78029799164176</v>
          </cell>
          <cell r="DF54">
            <v>382.35590294588741</v>
          </cell>
          <cell r="DG54">
            <v>361.56810046876456</v>
          </cell>
          <cell r="DH54">
            <v>340.56139383096553</v>
          </cell>
          <cell r="DI54">
            <v>326.93391662634252</v>
          </cell>
          <cell r="DK54">
            <v>440000</v>
          </cell>
          <cell r="DL54" t="str">
            <v>2018-19</v>
          </cell>
          <cell r="DM54">
            <v>195000</v>
          </cell>
          <cell r="DN54" t="str">
            <v>2018-19</v>
          </cell>
          <cell r="DO54">
            <v>1330000</v>
          </cell>
          <cell r="DP54" t="str">
            <v>2019-20</v>
          </cell>
          <cell r="DQ54">
            <v>1800000</v>
          </cell>
          <cell r="DR54" t="str">
            <v>2019-20</v>
          </cell>
          <cell r="DS54">
            <v>6400000</v>
          </cell>
          <cell r="DT54" t="str">
            <v>2019-20</v>
          </cell>
          <cell r="DU54">
            <v>17000000</v>
          </cell>
          <cell r="DV54" t="str">
            <v>2018-19</v>
          </cell>
          <cell r="DW54">
            <v>530000</v>
          </cell>
          <cell r="DX54" t="str">
            <v>2019-20</v>
          </cell>
          <cell r="DY54">
            <v>6600000</v>
          </cell>
          <cell r="DZ54" t="str">
            <v>2019-20</v>
          </cell>
          <cell r="EA54">
            <v>33660000</v>
          </cell>
          <cell r="EB54">
            <v>390000</v>
          </cell>
          <cell r="EC54" t="str">
            <v>2018-19</v>
          </cell>
          <cell r="ED54">
            <v>170782</v>
          </cell>
          <cell r="EE54">
            <v>2019</v>
          </cell>
          <cell r="EF54">
            <v>215169</v>
          </cell>
          <cell r="EG54">
            <v>2019</v>
          </cell>
          <cell r="EH54">
            <v>55007853</v>
          </cell>
          <cell r="EI54">
            <v>2019</v>
          </cell>
          <cell r="EJ54">
            <v>5128954</v>
          </cell>
          <cell r="EK54">
            <v>2019</v>
          </cell>
          <cell r="EL54">
            <v>14339908</v>
          </cell>
          <cell r="EM54">
            <v>2018</v>
          </cell>
          <cell r="EN54">
            <v>3400522</v>
          </cell>
          <cell r="EO54">
            <v>2018</v>
          </cell>
          <cell r="EP54">
            <v>6552</v>
          </cell>
          <cell r="EQ54">
            <v>3038588</v>
          </cell>
          <cell r="ER54">
            <v>33739</v>
          </cell>
          <cell r="ET54">
            <v>20884</v>
          </cell>
          <cell r="EU54">
            <v>17312</v>
          </cell>
          <cell r="EV54">
            <v>9130</v>
          </cell>
          <cell r="EW54">
            <v>17152</v>
          </cell>
          <cell r="EX54">
            <v>64478</v>
          </cell>
          <cell r="EY54">
            <v>19636</v>
          </cell>
          <cell r="EZ54">
            <v>76171</v>
          </cell>
          <cell r="FA54">
            <v>20432</v>
          </cell>
          <cell r="FB54">
            <v>18034</v>
          </cell>
          <cell r="FC54">
            <v>38466</v>
          </cell>
          <cell r="FD54">
            <v>61643.420000000013</v>
          </cell>
          <cell r="FF54">
            <v>870000</v>
          </cell>
          <cell r="FG54" t="str">
            <v>2018-19</v>
          </cell>
          <cell r="FH54">
            <v>1200000</v>
          </cell>
          <cell r="FI54" t="str">
            <v>2018-19</v>
          </cell>
          <cell r="FJ54">
            <v>5060000</v>
          </cell>
          <cell r="FK54" t="str">
            <v>2018-19</v>
          </cell>
          <cell r="FL54">
            <v>3800000</v>
          </cell>
          <cell r="FM54" t="str">
            <v>2018-19</v>
          </cell>
          <cell r="FN54">
            <v>48000000</v>
          </cell>
          <cell r="FO54" t="str">
            <v>2018-19</v>
          </cell>
          <cell r="FP54">
            <v>55300000</v>
          </cell>
          <cell r="FQ54" t="str">
            <v>2018-19</v>
          </cell>
          <cell r="FR54">
            <v>1600000</v>
          </cell>
          <cell r="FS54" t="str">
            <v>2018-19</v>
          </cell>
          <cell r="FT54">
            <v>19460000</v>
          </cell>
          <cell r="FU54" t="str">
            <v>2018-19</v>
          </cell>
          <cell r="FV54">
            <v>133220000</v>
          </cell>
          <cell r="FW54">
            <v>1300000</v>
          </cell>
          <cell r="FX54" t="str">
            <v>2018-19</v>
          </cell>
          <cell r="FY54">
            <v>50394.915000000001</v>
          </cell>
          <cell r="FZ54">
            <v>825029.85400000017</v>
          </cell>
          <cell r="GA54" t="str">
            <v>oct18 sept19</v>
          </cell>
          <cell r="GB54">
            <v>25198862</v>
          </cell>
          <cell r="GC54">
            <v>2019</v>
          </cell>
          <cell r="GD54">
            <v>2061660</v>
          </cell>
          <cell r="GE54">
            <v>421371</v>
          </cell>
          <cell r="GF54">
            <v>1038352</v>
          </cell>
          <cell r="GG54">
            <v>114695</v>
          </cell>
          <cell r="GH54">
            <v>1574418</v>
          </cell>
          <cell r="GI54">
            <v>1302556</v>
          </cell>
          <cell r="GJ54">
            <v>673662.3</v>
          </cell>
          <cell r="GK54">
            <v>1162000</v>
          </cell>
          <cell r="GL54">
            <v>290589.5</v>
          </cell>
          <cell r="GM54">
            <v>258882.47</v>
          </cell>
          <cell r="GN54">
            <v>2385134.27</v>
          </cell>
          <cell r="GO54">
            <v>196709</v>
          </cell>
          <cell r="GP54">
            <v>71194.64</v>
          </cell>
          <cell r="GQ54">
            <v>19130</v>
          </cell>
          <cell r="GR54">
            <v>43750</v>
          </cell>
          <cell r="GS54">
            <v>44323.9</v>
          </cell>
          <cell r="GT54">
            <v>2600000</v>
          </cell>
          <cell r="GU54">
            <v>22023</v>
          </cell>
          <cell r="GV54">
            <v>38428</v>
          </cell>
          <cell r="GW54">
            <v>1062727</v>
          </cell>
          <cell r="GX54">
            <v>32193.503000000001</v>
          </cell>
          <cell r="GY54" t="str">
            <v>2018-2019</v>
          </cell>
          <cell r="GZ54">
            <v>107349</v>
          </cell>
          <cell r="HA54">
            <v>275776</v>
          </cell>
          <cell r="HB54">
            <v>3059375</v>
          </cell>
          <cell r="HC54" t="str">
            <v>oct18 sept19</v>
          </cell>
          <cell r="HD54">
            <v>51243</v>
          </cell>
          <cell r="HE54">
            <v>632300</v>
          </cell>
          <cell r="HF54" t="str">
            <v>oct18 sept19</v>
          </cell>
          <cell r="HG54">
            <v>178000</v>
          </cell>
          <cell r="HH54">
            <v>2165083.3333333335</v>
          </cell>
          <cell r="HI54" t="str">
            <v>oct18 sept19</v>
          </cell>
          <cell r="HJ54">
            <v>81714</v>
          </cell>
          <cell r="HK54">
            <v>60971.937600000005</v>
          </cell>
          <cell r="HL54" t="str">
            <v>oct18 sept19</v>
          </cell>
          <cell r="HM54">
            <v>2226055.2709333333</v>
          </cell>
          <cell r="HN54">
            <v>1.2729699209526713E-2</v>
          </cell>
          <cell r="HO54">
            <v>986500000</v>
          </cell>
          <cell r="HP54">
            <v>10279</v>
          </cell>
          <cell r="HQ54" t="str">
            <v>oct18 sept19</v>
          </cell>
          <cell r="HU54">
            <v>650000</v>
          </cell>
          <cell r="HV54" t="str">
            <v>2018-19</v>
          </cell>
          <cell r="HW54">
            <v>1500000</v>
          </cell>
          <cell r="HX54" t="str">
            <v>2018-19</v>
          </cell>
          <cell r="HY54">
            <v>3890000</v>
          </cell>
          <cell r="HZ54" t="str">
            <v>2018-19</v>
          </cell>
          <cell r="IA54">
            <v>21220000.000000004</v>
          </cell>
          <cell r="IB54" t="str">
            <v>2018-19</v>
          </cell>
          <cell r="IC54">
            <v>48900000</v>
          </cell>
          <cell r="ID54" t="str">
            <v>2018-19</v>
          </cell>
          <cell r="IE54">
            <v>1250000</v>
          </cell>
          <cell r="IF54" t="str">
            <v>2018-19</v>
          </cell>
          <cell r="IG54">
            <v>6850000.0000000009</v>
          </cell>
          <cell r="IH54" t="str">
            <v>2018-19</v>
          </cell>
          <cell r="II54">
            <v>83610000</v>
          </cell>
          <cell r="IJ54">
            <v>1.6426981485239711</v>
          </cell>
          <cell r="IK54" t="str">
            <v>2018-19</v>
          </cell>
          <cell r="IL54">
            <v>43.73</v>
          </cell>
          <cell r="IM54">
            <v>52.85</v>
          </cell>
          <cell r="IN54">
            <v>182</v>
          </cell>
          <cell r="IO54">
            <v>14.09</v>
          </cell>
          <cell r="IP54">
            <v>5.9691690133321123</v>
          </cell>
          <cell r="IQ54">
            <v>19.7</v>
          </cell>
          <cell r="IR54">
            <v>5.93</v>
          </cell>
          <cell r="IS54">
            <v>5.67</v>
          </cell>
          <cell r="IT54">
            <v>11.35</v>
          </cell>
          <cell r="IU54">
            <v>0.88</v>
          </cell>
          <cell r="IV54">
            <v>17.899999999999999</v>
          </cell>
          <cell r="IY54">
            <v>1.84</v>
          </cell>
          <cell r="IZ54">
            <v>0.5</v>
          </cell>
          <cell r="JA54">
            <v>1000</v>
          </cell>
          <cell r="JF54">
            <v>14.10981387</v>
          </cell>
          <cell r="JG54">
            <v>8.9215824099999992</v>
          </cell>
          <cell r="JH54">
            <v>22.675841740000003</v>
          </cell>
          <cell r="JI54">
            <v>56.126588810000001</v>
          </cell>
          <cell r="JJ54">
            <v>541.53239374000009</v>
          </cell>
          <cell r="JK54">
            <v>105.66386243000001</v>
          </cell>
          <cell r="JL54">
            <v>1627.9980839499999</v>
          </cell>
          <cell r="JM54">
            <v>0.68814458000000012</v>
          </cell>
          <cell r="JN54">
            <v>88.288832960000008</v>
          </cell>
          <cell r="JO54">
            <v>20.386753229999997</v>
          </cell>
          <cell r="JP54">
            <v>0</v>
          </cell>
          <cell r="JQ54">
            <v>8.0093220000000007E-2</v>
          </cell>
          <cell r="JR54">
            <v>0.45835020999999998</v>
          </cell>
          <cell r="JS54">
            <v>0</v>
          </cell>
          <cell r="JT54">
            <v>0</v>
          </cell>
          <cell r="JU54">
            <v>90.913350940000001</v>
          </cell>
          <cell r="JV54">
            <v>7.1134941999999999</v>
          </cell>
          <cell r="JW54">
            <v>9.3632920499999983</v>
          </cell>
          <cell r="JX54">
            <v>17.117245949999997</v>
          </cell>
          <cell r="JY54">
            <v>0</v>
          </cell>
          <cell r="JZ54">
            <v>9.5740588299999985</v>
          </cell>
          <cell r="KA54">
            <v>4.274E-3</v>
          </cell>
          <cell r="KB54">
            <v>6.8661591500000005</v>
          </cell>
          <cell r="KC54">
            <v>11.825740720000001</v>
          </cell>
          <cell r="KD54">
            <v>7.1645318200000006</v>
          </cell>
          <cell r="KE54">
            <v>13.707499449999998</v>
          </cell>
          <cell r="KF54">
            <v>44.690477129999998</v>
          </cell>
          <cell r="KG54">
            <v>383.00370428000002</v>
          </cell>
          <cell r="KH54">
            <v>60.593276809999992</v>
          </cell>
          <cell r="KI54">
            <v>10.269061629999999</v>
          </cell>
          <cell r="KJ54">
            <v>2.6496563399999999</v>
          </cell>
          <cell r="KK54">
            <v>7.6402599799999971</v>
          </cell>
          <cell r="KL54">
            <v>0.59684857000000002</v>
          </cell>
          <cell r="KM54">
            <v>1.42743245</v>
          </cell>
          <cell r="KN54">
            <v>0.38795750000000001</v>
          </cell>
          <cell r="KO54">
            <v>2.2236594799999998</v>
          </cell>
          <cell r="KP54">
            <v>7.062119999999999E-3</v>
          </cell>
          <cell r="KQ54">
            <v>43.324335310000002</v>
          </cell>
          <cell r="KR54">
            <v>1.8247000000000001E-4</v>
          </cell>
          <cell r="KS54">
            <v>0.12807541</v>
          </cell>
          <cell r="KT54">
            <v>0.95680545000000006</v>
          </cell>
          <cell r="KU54">
            <v>0.18927301000000002</v>
          </cell>
          <cell r="KV54">
            <v>0.39110302000000002</v>
          </cell>
          <cell r="KW54">
            <v>3.2497377599999999</v>
          </cell>
          <cell r="KX54">
            <v>0</v>
          </cell>
          <cell r="KY54">
            <v>3.9803610000000003E-2</v>
          </cell>
          <cell r="KZ54">
            <v>1.3514907899999999</v>
          </cell>
          <cell r="LA54">
            <v>0.11602433999999999</v>
          </cell>
          <cell r="LB54">
            <v>5.506722E-2</v>
          </cell>
          <cell r="LC54">
            <v>1.345229E-2</v>
          </cell>
          <cell r="LD54">
            <v>0</v>
          </cell>
          <cell r="LE54">
            <v>0.17784295999999999</v>
          </cell>
          <cell r="LF54">
            <v>0.20086743000000001</v>
          </cell>
          <cell r="LG54">
            <v>14.548758770000001</v>
          </cell>
          <cell r="LH54">
            <v>4.04275261</v>
          </cell>
          <cell r="LI54">
            <v>0.75064833999999991</v>
          </cell>
          <cell r="LJ54">
            <v>0</v>
          </cell>
          <cell r="LK54">
            <v>1.73733881</v>
          </cell>
          <cell r="LL54">
            <v>4.88469467</v>
          </cell>
          <cell r="LM54">
            <v>2.9215066899999993</v>
          </cell>
          <cell r="LN54">
            <v>0.21209711000000001</v>
          </cell>
          <cell r="LO54">
            <v>5.8697757599999987</v>
          </cell>
          <cell r="LQ54">
            <v>2337.3098857800001</v>
          </cell>
          <cell r="LR54">
            <v>0.53844342999999995</v>
          </cell>
          <cell r="LS54">
            <v>16.476786249999996</v>
          </cell>
          <cell r="LT54">
            <v>9.578332829999999</v>
          </cell>
          <cell r="LU54">
            <v>47.49164262</v>
          </cell>
          <cell r="LV54">
            <v>3.6806443899999999</v>
          </cell>
          <cell r="LW54">
            <v>0.17109155999999998</v>
          </cell>
          <cell r="LX54">
            <v>0.37871039000000001</v>
          </cell>
          <cell r="LZ54">
            <v>63.99</v>
          </cell>
          <cell r="MA54">
            <v>49.5</v>
          </cell>
          <cell r="MH54">
            <v>98.61</v>
          </cell>
          <cell r="MI54">
            <v>38.340000000000003</v>
          </cell>
          <cell r="MJ54">
            <v>28.09</v>
          </cell>
          <cell r="ML54">
            <v>66.08</v>
          </cell>
          <cell r="MM54">
            <v>49.66</v>
          </cell>
          <cell r="MO54">
            <v>39.44</v>
          </cell>
          <cell r="MP54">
            <v>57.63</v>
          </cell>
          <cell r="MQ54">
            <v>60.73</v>
          </cell>
          <cell r="MU54">
            <v>22.94</v>
          </cell>
          <cell r="MY54">
            <v>83.83</v>
          </cell>
          <cell r="MZ54">
            <v>200</v>
          </cell>
          <cell r="NA54">
            <v>92.74</v>
          </cell>
          <cell r="NB54">
            <v>237.92</v>
          </cell>
          <cell r="NC54">
            <v>47.98</v>
          </cell>
          <cell r="NE54">
            <v>220.21</v>
          </cell>
        </row>
        <row r="55">
          <cell r="A55">
            <v>43739</v>
          </cell>
          <cell r="B55">
            <v>10</v>
          </cell>
          <cell r="C55">
            <v>2019</v>
          </cell>
          <cell r="D55">
            <v>55</v>
          </cell>
          <cell r="E55">
            <v>43739</v>
          </cell>
          <cell r="F55">
            <v>60.820454545454545</v>
          </cell>
          <cell r="G55">
            <v>262.06610000000001</v>
          </cell>
          <cell r="H55">
            <v>24445</v>
          </cell>
          <cell r="I55">
            <v>76</v>
          </cell>
          <cell r="J55">
            <v>400</v>
          </cell>
          <cell r="K55">
            <v>3.3</v>
          </cell>
          <cell r="L55">
            <v>21.5</v>
          </cell>
          <cell r="N55">
            <v>1.2869999999999999</v>
          </cell>
          <cell r="O55">
            <v>1.0660000000000001</v>
          </cell>
          <cell r="P55">
            <v>68.025764772727271</v>
          </cell>
          <cell r="Q55">
            <v>1150</v>
          </cell>
          <cell r="R55">
            <v>11500</v>
          </cell>
          <cell r="S55">
            <v>140.9</v>
          </cell>
          <cell r="T55">
            <v>241.72</v>
          </cell>
          <cell r="U55">
            <v>142.53636363636363</v>
          </cell>
          <cell r="V55">
            <v>242.45</v>
          </cell>
          <cell r="W55">
            <v>138.27000000000001</v>
          </cell>
          <cell r="X55">
            <v>171.64090909090908</v>
          </cell>
          <cell r="Y55">
            <v>8569.6020454545451</v>
          </cell>
          <cell r="Z55">
            <v>14701.520272727272</v>
          </cell>
          <cell r="AA55">
            <v>8669.1264256198338</v>
          </cell>
          <cell r="AB55">
            <v>14745.919204545455</v>
          </cell>
          <cell r="AC55">
            <v>8409.6442500000012</v>
          </cell>
          <cell r="AD55">
            <v>10439.278109504132</v>
          </cell>
          <cell r="AE55">
            <v>10922.515051308537</v>
          </cell>
          <cell r="AF55">
            <v>33244.699999999997</v>
          </cell>
          <cell r="AG55">
            <v>15250</v>
          </cell>
          <cell r="AH55">
            <v>58100</v>
          </cell>
          <cell r="AI55">
            <v>9.2826000000000004</v>
          </cell>
          <cell r="AJ55">
            <v>6.4625000000000004</v>
          </cell>
          <cell r="AK55">
            <v>7.4363999999999999</v>
          </cell>
          <cell r="AL55">
            <v>8.1860999999999997</v>
          </cell>
          <cell r="AM55">
            <v>8.4266240000000003</v>
          </cell>
          <cell r="AN55">
            <v>39.31</v>
          </cell>
          <cell r="AO55">
            <v>27.09</v>
          </cell>
          <cell r="AP55">
            <v>33.200000000000003</v>
          </cell>
          <cell r="AQ55">
            <v>16.670000000000002</v>
          </cell>
          <cell r="AR55">
            <v>17.36</v>
          </cell>
          <cell r="AS55">
            <v>12.16</v>
          </cell>
          <cell r="AT55">
            <v>19</v>
          </cell>
          <cell r="AU55">
            <v>16.173333333333332</v>
          </cell>
          <cell r="AV55">
            <v>11.11</v>
          </cell>
          <cell r="AW55">
            <v>13.37</v>
          </cell>
          <cell r="AX55">
            <v>26.78</v>
          </cell>
          <cell r="AY55">
            <v>35.299999999999997</v>
          </cell>
          <cell r="AZ55">
            <v>11.34</v>
          </cell>
          <cell r="BA55">
            <v>32.51</v>
          </cell>
          <cell r="BB55">
            <v>26.482500000000002</v>
          </cell>
          <cell r="BC55">
            <v>924</v>
          </cell>
          <cell r="BD55">
            <v>1030</v>
          </cell>
          <cell r="BE55">
            <v>900</v>
          </cell>
          <cell r="BF55">
            <v>550</v>
          </cell>
          <cell r="BG55">
            <v>851</v>
          </cell>
          <cell r="BH55">
            <v>87.63</v>
          </cell>
          <cell r="BI55">
            <v>31.36</v>
          </cell>
          <cell r="BJ55">
            <v>118.99</v>
          </cell>
          <cell r="BK55">
            <v>71.662999999999997</v>
          </cell>
          <cell r="BL55">
            <v>76.61</v>
          </cell>
          <cell r="BM55">
            <v>74.136499999999998</v>
          </cell>
          <cell r="BN55">
            <v>16.11</v>
          </cell>
          <cell r="BO55">
            <v>67.984090909090909</v>
          </cell>
          <cell r="BP55">
            <v>47.07</v>
          </cell>
          <cell r="BQ55">
            <v>65.892681818181813</v>
          </cell>
          <cell r="BR55">
            <v>59.07</v>
          </cell>
          <cell r="BS55">
            <v>190</v>
          </cell>
          <cell r="BT55">
            <v>174.55470454545454</v>
          </cell>
          <cell r="BU55">
            <v>2803.6641136363637</v>
          </cell>
          <cell r="BV55">
            <v>89.6</v>
          </cell>
          <cell r="BW55">
            <v>140</v>
          </cell>
          <cell r="BY55">
            <v>418.53751789502257</v>
          </cell>
          <cell r="BZ55">
            <v>383.27727101379867</v>
          </cell>
          <cell r="CA55">
            <v>409.93535410733227</v>
          </cell>
          <cell r="CB55">
            <v>399.8150111841374</v>
          </cell>
          <cell r="CC55">
            <v>401.95362804617753</v>
          </cell>
          <cell r="CD55">
            <v>427.16288141399713</v>
          </cell>
          <cell r="CE55">
            <v>392.46585908134904</v>
          </cell>
          <cell r="CF55">
            <v>430.60758830132892</v>
          </cell>
          <cell r="CG55">
            <v>410.32338702238707</v>
          </cell>
          <cell r="CH55">
            <v>445.56882174639281</v>
          </cell>
          <cell r="CI55">
            <v>384.75597907075019</v>
          </cell>
          <cell r="CJ55">
            <v>331.27741841848717</v>
          </cell>
          <cell r="CK55">
            <v>430.32979397774386</v>
          </cell>
          <cell r="CL55">
            <v>440.30174920298981</v>
          </cell>
          <cell r="CM55">
            <v>301.68459968125177</v>
          </cell>
          <cell r="CN55">
            <v>406.89225845207477</v>
          </cell>
          <cell r="CO55">
            <v>394.80210032851505</v>
          </cell>
          <cell r="CP55">
            <v>381.00551248343749</v>
          </cell>
          <cell r="CQ55">
            <v>332.20367624356169</v>
          </cell>
          <cell r="CR55">
            <v>337.50736703112335</v>
          </cell>
          <cell r="CS55">
            <v>334.85552163734252</v>
          </cell>
          <cell r="CT55">
            <v>325.66045620600244</v>
          </cell>
          <cell r="CU55">
            <v>344.77930109804004</v>
          </cell>
          <cell r="CV55">
            <v>337.40643800380747</v>
          </cell>
          <cell r="CW55">
            <v>337.40643800380747</v>
          </cell>
          <cell r="CX55">
            <v>339.8640590352183</v>
          </cell>
          <cell r="CY55">
            <v>335.12501889900886</v>
          </cell>
          <cell r="CZ55">
            <v>403.59081007934003</v>
          </cell>
          <cell r="DA55">
            <v>343.82750118117877</v>
          </cell>
          <cell r="DB55">
            <v>356.62214274463662</v>
          </cell>
          <cell r="DC55">
            <v>408.09414882488664</v>
          </cell>
          <cell r="DD55">
            <v>398.23881814822619</v>
          </cell>
          <cell r="DE55">
            <v>364.76318599156633</v>
          </cell>
          <cell r="DF55">
            <v>410.0732294714266</v>
          </cell>
          <cell r="DG55">
            <v>387.41820773149647</v>
          </cell>
          <cell r="DH55">
            <v>357.72287582379045</v>
          </cell>
          <cell r="DI55">
            <v>340.55920253483265</v>
          </cell>
          <cell r="DK55">
            <v>450000</v>
          </cell>
          <cell r="DL55" t="str">
            <v>2019-20</v>
          </cell>
          <cell r="DM55">
            <v>193000</v>
          </cell>
          <cell r="DN55" t="str">
            <v>2019-20</v>
          </cell>
          <cell r="DO55">
            <v>1330000</v>
          </cell>
          <cell r="DP55" t="str">
            <v>2019-20</v>
          </cell>
          <cell r="DQ55">
            <v>1700000</v>
          </cell>
          <cell r="DR55" t="str">
            <v>2019-20</v>
          </cell>
          <cell r="DS55">
            <v>6400000</v>
          </cell>
          <cell r="DT55" t="str">
            <v>2019-20</v>
          </cell>
          <cell r="DU55">
            <v>17100000</v>
          </cell>
          <cell r="DV55" t="str">
            <v>2019-20</v>
          </cell>
          <cell r="DW55">
            <v>510000</v>
          </cell>
          <cell r="DX55" t="str">
            <v>2019-20</v>
          </cell>
          <cell r="DY55">
            <v>6600000</v>
          </cell>
          <cell r="DZ55" t="str">
            <v>2019-20</v>
          </cell>
          <cell r="EA55">
            <v>33640000</v>
          </cell>
          <cell r="EB55">
            <v>400000</v>
          </cell>
          <cell r="EC55" t="str">
            <v>2019-20</v>
          </cell>
          <cell r="ED55">
            <v>170782</v>
          </cell>
          <cell r="EE55">
            <v>2019</v>
          </cell>
          <cell r="EF55">
            <v>215169</v>
          </cell>
          <cell r="EG55">
            <v>2019</v>
          </cell>
          <cell r="EH55">
            <v>55007853</v>
          </cell>
          <cell r="EI55">
            <v>2019</v>
          </cell>
          <cell r="EJ55">
            <v>5128954</v>
          </cell>
          <cell r="EK55">
            <v>2019</v>
          </cell>
          <cell r="EL55">
            <v>14339908</v>
          </cell>
          <cell r="EM55">
            <v>2018</v>
          </cell>
          <cell r="EN55">
            <v>3400522</v>
          </cell>
          <cell r="EO55">
            <v>2018</v>
          </cell>
          <cell r="EP55">
            <v>6552</v>
          </cell>
          <cell r="EQ55">
            <v>3038588</v>
          </cell>
          <cell r="ER55">
            <v>33739</v>
          </cell>
          <cell r="ET55">
            <v>20884</v>
          </cell>
          <cell r="EU55">
            <v>17312</v>
          </cell>
          <cell r="EV55">
            <v>9130</v>
          </cell>
          <cell r="EW55">
            <v>17152</v>
          </cell>
          <cell r="EX55">
            <v>64478</v>
          </cell>
          <cell r="EY55">
            <v>19636</v>
          </cell>
          <cell r="EZ55">
            <v>76171</v>
          </cell>
          <cell r="FA55">
            <v>20432</v>
          </cell>
          <cell r="FB55">
            <v>18034</v>
          </cell>
          <cell r="FC55">
            <v>38466</v>
          </cell>
          <cell r="FD55">
            <v>61643.420000000013</v>
          </cell>
          <cell r="FF55">
            <v>870000</v>
          </cell>
          <cell r="FG55" t="str">
            <v>2018-19</v>
          </cell>
          <cell r="FH55">
            <v>1200000</v>
          </cell>
          <cell r="FI55" t="str">
            <v>2018-19</v>
          </cell>
          <cell r="FJ55">
            <v>5060000</v>
          </cell>
          <cell r="FK55" t="str">
            <v>2018-19</v>
          </cell>
          <cell r="FL55">
            <v>3800000</v>
          </cell>
          <cell r="FM55" t="str">
            <v>2018-19</v>
          </cell>
          <cell r="FN55">
            <v>48000000</v>
          </cell>
          <cell r="FO55" t="str">
            <v>2018-19</v>
          </cell>
          <cell r="FP55">
            <v>55300000</v>
          </cell>
          <cell r="FQ55" t="str">
            <v>2018-19</v>
          </cell>
          <cell r="FR55">
            <v>1600000</v>
          </cell>
          <cell r="FS55" t="str">
            <v>2018-19</v>
          </cell>
          <cell r="FT55">
            <v>19460000</v>
          </cell>
          <cell r="FU55" t="str">
            <v>2018-19</v>
          </cell>
          <cell r="FV55">
            <v>133220000</v>
          </cell>
          <cell r="FW55">
            <v>1300000</v>
          </cell>
          <cell r="FX55" t="str">
            <v>2018-19</v>
          </cell>
          <cell r="FY55">
            <v>26.5</v>
          </cell>
          <cell r="FZ55">
            <v>825056.35400000017</v>
          </cell>
          <cell r="GA55" t="str">
            <v>nov18 oct19</v>
          </cell>
          <cell r="GB55">
            <v>25198862</v>
          </cell>
          <cell r="GC55">
            <v>2019</v>
          </cell>
          <cell r="GD55">
            <v>2061660</v>
          </cell>
          <cell r="GE55">
            <v>421371</v>
          </cell>
          <cell r="GF55">
            <v>1038352</v>
          </cell>
          <cell r="GG55">
            <v>114695</v>
          </cell>
          <cell r="GH55">
            <v>1574418</v>
          </cell>
          <cell r="GI55">
            <v>1302556</v>
          </cell>
          <cell r="GJ55">
            <v>673662.3</v>
          </cell>
          <cell r="GK55">
            <v>1162000</v>
          </cell>
          <cell r="GL55">
            <v>290589.5</v>
          </cell>
          <cell r="GM55">
            <v>258882.47</v>
          </cell>
          <cell r="GN55">
            <v>2385134.27</v>
          </cell>
          <cell r="GO55">
            <v>196709</v>
          </cell>
          <cell r="GP55">
            <v>71194.64</v>
          </cell>
          <cell r="GQ55">
            <v>45060</v>
          </cell>
          <cell r="GR55">
            <v>43750</v>
          </cell>
          <cell r="GS55">
            <v>45101.8</v>
          </cell>
          <cell r="GT55">
            <v>2600000</v>
          </cell>
          <cell r="GU55">
            <v>20789</v>
          </cell>
          <cell r="GV55">
            <v>38441</v>
          </cell>
          <cell r="GW55">
            <v>1063185</v>
          </cell>
          <cell r="GX55">
            <v>32193.503000000001</v>
          </cell>
          <cell r="GY55" t="str">
            <v>2018-2019</v>
          </cell>
          <cell r="GZ55">
            <v>107349</v>
          </cell>
          <cell r="HA55">
            <v>292923</v>
          </cell>
          <cell r="HB55">
            <v>3074762</v>
          </cell>
          <cell r="HC55" t="str">
            <v>nov18 oct19</v>
          </cell>
          <cell r="HD55">
            <v>52811</v>
          </cell>
          <cell r="HE55">
            <v>629847</v>
          </cell>
          <cell r="HF55" t="str">
            <v>nov18 oct19</v>
          </cell>
          <cell r="HG55">
            <v>196000</v>
          </cell>
          <cell r="HH55">
            <v>2173083.3333333335</v>
          </cell>
          <cell r="HI55" t="str">
            <v>nov18 oct19</v>
          </cell>
          <cell r="HJ55">
            <v>91008</v>
          </cell>
          <cell r="HK55">
            <v>60949.236000000012</v>
          </cell>
          <cell r="HL55" t="str">
            <v>nov18 oct19</v>
          </cell>
          <cell r="HM55">
            <v>2234032.5693333335</v>
          </cell>
          <cell r="HN55">
            <v>9.4917935534901687E-3</v>
          </cell>
          <cell r="HO55">
            <v>1021000000</v>
          </cell>
          <cell r="HP55">
            <v>10288.6</v>
          </cell>
          <cell r="HQ55" t="str">
            <v>nov18 oct19</v>
          </cell>
          <cell r="HU55">
            <v>650000</v>
          </cell>
          <cell r="HV55" t="str">
            <v>2018-19</v>
          </cell>
          <cell r="HW55">
            <v>1500000</v>
          </cell>
          <cell r="HX55" t="str">
            <v>2018-19</v>
          </cell>
          <cell r="HY55">
            <v>3890000</v>
          </cell>
          <cell r="HZ55" t="str">
            <v>2018-19</v>
          </cell>
          <cell r="IA55">
            <v>21220000.000000004</v>
          </cell>
          <cell r="IB55" t="str">
            <v>2018-19</v>
          </cell>
          <cell r="IC55">
            <v>48900000</v>
          </cell>
          <cell r="ID55" t="str">
            <v>2018-19</v>
          </cell>
          <cell r="IE55">
            <v>1150000</v>
          </cell>
          <cell r="IF55" t="str">
            <v>2018-19</v>
          </cell>
          <cell r="IG55">
            <v>6850000.0000000009</v>
          </cell>
          <cell r="IH55" t="str">
            <v>2018-19</v>
          </cell>
          <cell r="II55">
            <v>83510000</v>
          </cell>
          <cell r="IJ55">
            <v>1.6426981485239711</v>
          </cell>
          <cell r="IK55" t="str">
            <v>2018-19</v>
          </cell>
          <cell r="IL55">
            <v>45.19</v>
          </cell>
          <cell r="IM55">
            <v>52.86</v>
          </cell>
          <cell r="IN55">
            <v>182</v>
          </cell>
          <cell r="IO55">
            <v>14.22</v>
          </cell>
          <cell r="IP55">
            <v>5.9691690133321123</v>
          </cell>
          <cell r="IQ55">
            <v>19.7</v>
          </cell>
          <cell r="IR55">
            <v>5.93</v>
          </cell>
          <cell r="IS55">
            <v>5.67</v>
          </cell>
          <cell r="IT55">
            <v>11.35</v>
          </cell>
          <cell r="IU55">
            <v>0.88</v>
          </cell>
          <cell r="IV55">
            <v>17.899999999999999</v>
          </cell>
          <cell r="IY55">
            <v>1.84</v>
          </cell>
          <cell r="IZ55">
            <v>0.5</v>
          </cell>
          <cell r="JA55">
            <v>1000</v>
          </cell>
          <cell r="JF55">
            <v>10.853256049999999</v>
          </cell>
          <cell r="JG55">
            <v>15.7642744</v>
          </cell>
          <cell r="JH55">
            <v>56.320776790000004</v>
          </cell>
          <cell r="JI55">
            <v>41.431137540000002</v>
          </cell>
          <cell r="JJ55">
            <v>505.28482033999995</v>
          </cell>
          <cell r="JK55">
            <v>87.151445869999961</v>
          </cell>
          <cell r="JL55">
            <v>1700.99301526</v>
          </cell>
          <cell r="JM55">
            <v>1.54365675</v>
          </cell>
          <cell r="JN55">
            <v>69.483969980000012</v>
          </cell>
          <cell r="JO55">
            <v>20.970704699999995</v>
          </cell>
          <cell r="JP55">
            <v>0</v>
          </cell>
          <cell r="JQ55">
            <v>5.4669999999999996E-3</v>
          </cell>
          <cell r="JR55">
            <v>0.60441773999999993</v>
          </cell>
          <cell r="JS55">
            <v>0</v>
          </cell>
          <cell r="JT55">
            <v>0</v>
          </cell>
          <cell r="JU55">
            <v>87.358679149999986</v>
          </cell>
          <cell r="JV55">
            <v>7.2033316799999998</v>
          </cell>
          <cell r="JW55">
            <v>7.9853260800000001</v>
          </cell>
          <cell r="JX55">
            <v>13.608038730000001</v>
          </cell>
          <cell r="JY55">
            <v>0</v>
          </cell>
          <cell r="JZ55">
            <v>1.8326528600000001</v>
          </cell>
          <cell r="KA55">
            <v>0.5405887800000001</v>
          </cell>
          <cell r="KB55">
            <v>5.6581823800000004</v>
          </cell>
          <cell r="KC55">
            <v>21.51329217</v>
          </cell>
          <cell r="KD55">
            <v>7.5709912500000005</v>
          </cell>
          <cell r="KE55">
            <v>12.485486629999999</v>
          </cell>
          <cell r="KF55">
            <v>41.840076290000006</v>
          </cell>
          <cell r="KG55">
            <v>447.8841271</v>
          </cell>
          <cell r="KH55">
            <v>98.142500720000001</v>
          </cell>
          <cell r="KI55">
            <v>12.340960110000001</v>
          </cell>
          <cell r="KJ55">
            <v>2.86010337</v>
          </cell>
          <cell r="KK55">
            <v>6.5976562399999992</v>
          </cell>
          <cell r="KL55">
            <v>0.5481357</v>
          </cell>
          <cell r="KM55">
            <v>1.1926914000000002</v>
          </cell>
          <cell r="KN55">
            <v>0.51684834999999996</v>
          </cell>
          <cell r="KO55">
            <v>1.5661780600000001</v>
          </cell>
          <cell r="KP55">
            <v>3.7393259999999998E-2</v>
          </cell>
          <cell r="KQ55">
            <v>27.873065709999999</v>
          </cell>
          <cell r="KR55">
            <v>1.6766419999999997E-2</v>
          </cell>
          <cell r="KS55">
            <v>0.26396315999999997</v>
          </cell>
          <cell r="KT55">
            <v>1.2491984699999998</v>
          </cell>
          <cell r="KU55">
            <v>0.20914962000000001</v>
          </cell>
          <cell r="KV55">
            <v>0.23348521000000003</v>
          </cell>
          <cell r="KW55">
            <v>3.5890576899999997</v>
          </cell>
          <cell r="KX55">
            <v>0</v>
          </cell>
          <cell r="KY55">
            <v>7.7055820000000011E-2</v>
          </cell>
          <cell r="KZ55">
            <v>0.92005986999999989</v>
          </cell>
          <cell r="LA55">
            <v>0.36577149999999997</v>
          </cell>
          <cell r="LB55">
            <v>2.8520380000000001E-2</v>
          </cell>
          <cell r="LC55">
            <v>4.7605970000000004E-2</v>
          </cell>
          <cell r="LD55">
            <v>0</v>
          </cell>
          <cell r="LE55">
            <v>9.7476349999999989E-2</v>
          </cell>
          <cell r="LF55">
            <v>9.4779570000000007E-2</v>
          </cell>
          <cell r="LG55">
            <v>14.72783834</v>
          </cell>
          <cell r="LH55">
            <v>4.2506514100000006</v>
          </cell>
          <cell r="LI55">
            <v>1.6835979799999998</v>
          </cell>
          <cell r="LJ55">
            <v>0</v>
          </cell>
          <cell r="LK55">
            <v>1.8647772799999998</v>
          </cell>
          <cell r="LL55">
            <v>3.5197664899999999</v>
          </cell>
          <cell r="LM55">
            <v>1.53630646</v>
          </cell>
          <cell r="LN55">
            <v>0.47708170999999994</v>
          </cell>
          <cell r="LO55">
            <v>7.8475987300000005</v>
          </cell>
          <cell r="LQ55">
            <v>2375.05737666</v>
          </cell>
          <cell r="LR55">
            <v>0.60988473999999993</v>
          </cell>
          <cell r="LS55">
            <v>15.18865776</v>
          </cell>
          <cell r="LT55">
            <v>2.3732416400000003</v>
          </cell>
          <cell r="LU55">
            <v>31.429513099999998</v>
          </cell>
          <cell r="LV55">
            <v>3.8995987199999997</v>
          </cell>
          <cell r="LW55">
            <v>0.39429187999999998</v>
          </cell>
          <cell r="LX55">
            <v>0.19225592</v>
          </cell>
          <cell r="LZ55">
            <v>67.25</v>
          </cell>
          <cell r="MA55">
            <v>50.38</v>
          </cell>
          <cell r="MH55">
            <v>100.62</v>
          </cell>
          <cell r="MI55">
            <v>38.9</v>
          </cell>
          <cell r="MJ55">
            <v>27.23</v>
          </cell>
          <cell r="ML55">
            <v>48.87</v>
          </cell>
          <cell r="MM55">
            <v>48.44</v>
          </cell>
          <cell r="MO55">
            <v>48.07</v>
          </cell>
          <cell r="MP55">
            <v>59.85</v>
          </cell>
          <cell r="MQ55">
            <v>63.91</v>
          </cell>
          <cell r="MU55">
            <v>22.93</v>
          </cell>
          <cell r="MY55">
            <v>88.69</v>
          </cell>
          <cell r="MZ55">
            <v>204</v>
          </cell>
          <cell r="NA55">
            <v>96.36</v>
          </cell>
          <cell r="NB55">
            <v>241.93</v>
          </cell>
          <cell r="NC55">
            <v>48.97</v>
          </cell>
          <cell r="NE55">
            <v>230.37</v>
          </cell>
        </row>
        <row r="56">
          <cell r="A56">
            <v>43770</v>
          </cell>
          <cell r="B56">
            <v>11</v>
          </cell>
          <cell r="C56">
            <v>2019</v>
          </cell>
          <cell r="D56">
            <v>56</v>
          </cell>
          <cell r="E56">
            <v>43770</v>
          </cell>
          <cell r="F56">
            <v>62.725000000000001</v>
          </cell>
          <cell r="G56">
            <v>273.2158</v>
          </cell>
          <cell r="H56">
            <v>26112</v>
          </cell>
          <cell r="I56">
            <v>75</v>
          </cell>
          <cell r="J56">
            <v>400</v>
          </cell>
          <cell r="K56">
            <v>3.3</v>
          </cell>
          <cell r="L56">
            <v>20.399999999999999</v>
          </cell>
          <cell r="N56">
            <v>1.3360000000000001</v>
          </cell>
          <cell r="O56">
            <v>1.115</v>
          </cell>
          <cell r="P56">
            <v>73.192987500000001</v>
          </cell>
          <cell r="Q56">
            <v>1230</v>
          </cell>
          <cell r="R56">
            <v>12300</v>
          </cell>
          <cell r="S56">
            <v>148.65</v>
          </cell>
          <cell r="T56">
            <v>248.8</v>
          </cell>
          <cell r="U56">
            <v>140.10999999999999</v>
          </cell>
          <cell r="V56">
            <v>252.05</v>
          </cell>
          <cell r="W56">
            <v>140.25</v>
          </cell>
          <cell r="X56">
            <v>171.45499999999998</v>
          </cell>
          <cell r="Y56">
            <v>9324.0712500000009</v>
          </cell>
          <cell r="Z56">
            <v>15605.980000000001</v>
          </cell>
          <cell r="AA56">
            <v>8788.3997499999987</v>
          </cell>
          <cell r="AB56">
            <v>15809.83625</v>
          </cell>
          <cell r="AC56">
            <v>8797.1812499999996</v>
          </cell>
          <cell r="AD56">
            <v>10754.514874999999</v>
          </cell>
          <cell r="AE56">
            <v>11513.330562500001</v>
          </cell>
          <cell r="AF56">
            <v>34000</v>
          </cell>
          <cell r="AG56">
            <v>15250</v>
          </cell>
          <cell r="AH56">
            <v>58100</v>
          </cell>
          <cell r="AI56">
            <v>10.554</v>
          </cell>
          <cell r="AJ56">
            <v>7.1268000000000002</v>
          </cell>
          <cell r="AK56">
            <v>7.3217999999999996</v>
          </cell>
          <cell r="AL56">
            <v>8.7972999999999999</v>
          </cell>
          <cell r="AM56">
            <v>9.1549320000000005</v>
          </cell>
          <cell r="AN56">
            <v>43.4</v>
          </cell>
          <cell r="AO56">
            <v>32.630000000000003</v>
          </cell>
          <cell r="AP56">
            <v>38.015000000000001</v>
          </cell>
          <cell r="AQ56">
            <v>24.5</v>
          </cell>
          <cell r="AR56">
            <v>22.451428571428568</v>
          </cell>
          <cell r="AS56">
            <v>11.817259259259256</v>
          </cell>
          <cell r="AT56">
            <v>26.126190476190477</v>
          </cell>
          <cell r="AU56">
            <v>20.131626102292767</v>
          </cell>
          <cell r="AV56">
            <v>10.26</v>
          </cell>
          <cell r="AW56">
            <v>18.149999999999999</v>
          </cell>
          <cell r="AX56">
            <v>15.97</v>
          </cell>
          <cell r="AY56">
            <v>35.32</v>
          </cell>
          <cell r="AZ56">
            <v>16.940000000000001</v>
          </cell>
          <cell r="BA56">
            <v>28.28</v>
          </cell>
          <cell r="BB56">
            <v>24.127500000000001</v>
          </cell>
          <cell r="BC56">
            <v>1029</v>
          </cell>
          <cell r="BD56">
            <v>1107</v>
          </cell>
          <cell r="BE56">
            <v>900</v>
          </cell>
          <cell r="BF56">
            <v>550</v>
          </cell>
          <cell r="BG56">
            <v>896.5</v>
          </cell>
          <cell r="BH56">
            <v>87.63</v>
          </cell>
          <cell r="BI56">
            <v>31.36</v>
          </cell>
          <cell r="BJ56">
            <v>118.99</v>
          </cell>
          <cell r="BK56">
            <v>78.066000000000003</v>
          </cell>
          <cell r="BL56">
            <v>94.18</v>
          </cell>
          <cell r="BM56">
            <v>86.123000000000005</v>
          </cell>
          <cell r="BN56">
            <v>16.43</v>
          </cell>
          <cell r="BO56">
            <v>63.42000000000003</v>
          </cell>
          <cell r="BP56">
            <v>47.07</v>
          </cell>
          <cell r="BQ56">
            <v>61.785000000000032</v>
          </cell>
          <cell r="BR56">
            <v>62.21</v>
          </cell>
          <cell r="BS56">
            <v>190</v>
          </cell>
          <cell r="BT56">
            <v>175.00275000000002</v>
          </cell>
          <cell r="BU56">
            <v>2805.0082499999999</v>
          </cell>
          <cell r="BV56">
            <v>93.5</v>
          </cell>
          <cell r="BW56">
            <v>115</v>
          </cell>
          <cell r="BY56">
            <v>439.50033123930473</v>
          </cell>
          <cell r="BZ56">
            <v>395.06081388011546</v>
          </cell>
          <cell r="CA56">
            <v>429.06239067351015</v>
          </cell>
          <cell r="CB56">
            <v>417.3096492924692</v>
          </cell>
          <cell r="CC56">
            <v>410.87428684128645</v>
          </cell>
          <cell r="CD56">
            <v>449.03928718201502</v>
          </cell>
          <cell r="CE56">
            <v>404.11003608548441</v>
          </cell>
          <cell r="CF56">
            <v>445.35799130482553</v>
          </cell>
          <cell r="CG56">
            <v>425.95894022993184</v>
          </cell>
          <cell r="CH56">
            <v>459.68688536139484</v>
          </cell>
          <cell r="CI56">
            <v>391.70569260508444</v>
          </cell>
          <cell r="CJ56">
            <v>360.27715630510937</v>
          </cell>
          <cell r="CK56">
            <v>385.6669540871456</v>
          </cell>
          <cell r="CL56">
            <v>448.9775652529172</v>
          </cell>
          <cell r="CM56">
            <v>333.78965836573212</v>
          </cell>
          <cell r="CN56">
            <v>401.55264058706325</v>
          </cell>
          <cell r="CO56">
            <v>392.49670457321452</v>
          </cell>
          <cell r="CP56">
            <v>397.81763784941637</v>
          </cell>
          <cell r="CQ56">
            <v>348.19619540369882</v>
          </cell>
          <cell r="CR56">
            <v>358.17088783806861</v>
          </cell>
          <cell r="CS56">
            <v>353.18354162088372</v>
          </cell>
          <cell r="CT56">
            <v>346.4327389384253</v>
          </cell>
          <cell r="CU56">
            <v>362.0240559034263</v>
          </cell>
          <cell r="CV56">
            <v>347.25478504801515</v>
          </cell>
          <cell r="CW56">
            <v>347.25478504801515</v>
          </cell>
          <cell r="CX56">
            <v>352.17787533315214</v>
          </cell>
          <cell r="CY56">
            <v>350.75192163217849</v>
          </cell>
          <cell r="CZ56">
            <v>421.63098303184114</v>
          </cell>
          <cell r="DA56">
            <v>360.41602677321413</v>
          </cell>
          <cell r="DB56">
            <v>371.96609193159071</v>
          </cell>
          <cell r="DC56">
            <v>415.98962896333836</v>
          </cell>
          <cell r="DD56">
            <v>406.77781323437682</v>
          </cell>
          <cell r="DE56">
            <v>373.06818697454065</v>
          </cell>
          <cell r="DF56">
            <v>416.43044762864037</v>
          </cell>
          <cell r="DG56">
            <v>394.74931730159051</v>
          </cell>
          <cell r="DH56">
            <v>372.54269028022674</v>
          </cell>
          <cell r="DI56">
            <v>355.93216773193035</v>
          </cell>
          <cell r="DK56">
            <v>450000</v>
          </cell>
          <cell r="DL56" t="str">
            <v>2019-20</v>
          </cell>
          <cell r="DM56">
            <v>193000</v>
          </cell>
          <cell r="DN56" t="str">
            <v>2019-20</v>
          </cell>
          <cell r="DO56">
            <v>1330000</v>
          </cell>
          <cell r="DP56" t="str">
            <v>2019-20</v>
          </cell>
          <cell r="DQ56">
            <v>1700000</v>
          </cell>
          <cell r="DR56" t="str">
            <v>2019-20</v>
          </cell>
          <cell r="DS56">
            <v>6400000</v>
          </cell>
          <cell r="DT56" t="str">
            <v>2019-20</v>
          </cell>
          <cell r="DU56">
            <v>17200000</v>
          </cell>
          <cell r="DV56" t="str">
            <v>2019-20</v>
          </cell>
          <cell r="DW56">
            <v>510000</v>
          </cell>
          <cell r="DX56" t="str">
            <v>2019-20</v>
          </cell>
          <cell r="DY56">
            <v>6600000</v>
          </cell>
          <cell r="DZ56" t="str">
            <v>2019-20</v>
          </cell>
          <cell r="EA56">
            <v>33740000</v>
          </cell>
          <cell r="EB56">
            <v>380000</v>
          </cell>
          <cell r="EC56" t="str">
            <v>2019-20</v>
          </cell>
          <cell r="ED56">
            <v>170782</v>
          </cell>
          <cell r="EE56">
            <v>2019</v>
          </cell>
          <cell r="EF56">
            <v>215169</v>
          </cell>
          <cell r="EG56">
            <v>2019</v>
          </cell>
          <cell r="EH56">
            <v>55007853</v>
          </cell>
          <cell r="EI56">
            <v>2019</v>
          </cell>
          <cell r="EJ56">
            <v>5128954</v>
          </cell>
          <cell r="EK56">
            <v>2019</v>
          </cell>
          <cell r="EL56">
            <v>14339908</v>
          </cell>
          <cell r="EM56">
            <v>2018</v>
          </cell>
          <cell r="EN56">
            <v>3201657</v>
          </cell>
          <cell r="EO56">
            <v>2019</v>
          </cell>
          <cell r="EP56">
            <v>6552</v>
          </cell>
          <cell r="EQ56">
            <v>3038588</v>
          </cell>
          <cell r="ER56">
            <v>33739</v>
          </cell>
          <cell r="ET56">
            <v>20884</v>
          </cell>
          <cell r="EU56">
            <v>17312</v>
          </cell>
          <cell r="EV56">
            <v>9130</v>
          </cell>
          <cell r="EW56">
            <v>17152</v>
          </cell>
          <cell r="EX56">
            <v>64478</v>
          </cell>
          <cell r="EY56">
            <v>19636</v>
          </cell>
          <cell r="EZ56">
            <v>76171</v>
          </cell>
          <cell r="FA56">
            <v>20432</v>
          </cell>
          <cell r="FB56">
            <v>18034</v>
          </cell>
          <cell r="FC56">
            <v>38466</v>
          </cell>
          <cell r="FD56">
            <v>61643.420000000013</v>
          </cell>
          <cell r="FF56">
            <v>870000</v>
          </cell>
          <cell r="FG56" t="str">
            <v>2018-19</v>
          </cell>
          <cell r="FH56">
            <v>1200000</v>
          </cell>
          <cell r="FI56" t="str">
            <v>2018-19</v>
          </cell>
          <cell r="FJ56">
            <v>4100000</v>
          </cell>
          <cell r="FK56" t="str">
            <v>2019-20</v>
          </cell>
          <cell r="FL56">
            <v>3800000</v>
          </cell>
          <cell r="FM56" t="str">
            <v>2018-19</v>
          </cell>
          <cell r="FN56">
            <v>48000000</v>
          </cell>
          <cell r="FO56" t="str">
            <v>2018-19</v>
          </cell>
          <cell r="FP56">
            <v>55300000</v>
          </cell>
          <cell r="FQ56" t="str">
            <v>2018-19</v>
          </cell>
          <cell r="FR56">
            <v>1600000</v>
          </cell>
          <cell r="FS56" t="str">
            <v>2018-19</v>
          </cell>
          <cell r="FT56">
            <v>19000000</v>
          </cell>
          <cell r="FU56" t="str">
            <v>2019-20</v>
          </cell>
          <cell r="FV56">
            <v>131800000</v>
          </cell>
          <cell r="FW56">
            <v>1300000</v>
          </cell>
          <cell r="FX56" t="str">
            <v>2018-19</v>
          </cell>
          <cell r="FY56">
            <v>0</v>
          </cell>
          <cell r="FZ56">
            <v>825056.35400000017</v>
          </cell>
          <cell r="GA56" t="str">
            <v>dic18 nov19</v>
          </cell>
          <cell r="GB56">
            <v>25198862</v>
          </cell>
          <cell r="GC56">
            <v>2019</v>
          </cell>
          <cell r="GD56">
            <v>2061660</v>
          </cell>
          <cell r="GE56">
            <v>421371</v>
          </cell>
          <cell r="GF56">
            <v>1038352</v>
          </cell>
          <cell r="GG56">
            <v>114695</v>
          </cell>
          <cell r="GH56">
            <v>1574418</v>
          </cell>
          <cell r="GI56">
            <v>1302556</v>
          </cell>
          <cell r="GJ56">
            <v>673662.3</v>
          </cell>
          <cell r="GK56">
            <v>1162000</v>
          </cell>
          <cell r="GL56">
            <v>290589.5</v>
          </cell>
          <cell r="GM56">
            <v>258882.47</v>
          </cell>
          <cell r="GN56">
            <v>2385134.27</v>
          </cell>
          <cell r="GO56">
            <v>196709</v>
          </cell>
          <cell r="GP56">
            <v>71194.64</v>
          </cell>
          <cell r="GQ56">
            <v>69333</v>
          </cell>
          <cell r="GR56">
            <v>43750</v>
          </cell>
          <cell r="GS56">
            <v>45829.99</v>
          </cell>
          <cell r="GT56">
            <v>2600000</v>
          </cell>
          <cell r="GU56">
            <v>18596</v>
          </cell>
          <cell r="GV56">
            <v>42479</v>
          </cell>
          <cell r="GW56">
            <v>1076009</v>
          </cell>
          <cell r="GX56">
            <v>32193.503000000001</v>
          </cell>
          <cell r="GY56" t="str">
            <v>2018-2019</v>
          </cell>
          <cell r="GZ56">
            <v>107349</v>
          </cell>
          <cell r="HA56">
            <v>268159</v>
          </cell>
          <cell r="HB56">
            <v>3087587</v>
          </cell>
          <cell r="HC56" t="str">
            <v>dic18 nov19</v>
          </cell>
          <cell r="HD56">
            <v>48706</v>
          </cell>
          <cell r="HE56">
            <v>628045</v>
          </cell>
          <cell r="HF56" t="str">
            <v>dic18 nov19</v>
          </cell>
          <cell r="HG56">
            <v>184000</v>
          </cell>
          <cell r="HH56">
            <v>2174083.3333333335</v>
          </cell>
          <cell r="HI56" t="str">
            <v>dic18 nov19</v>
          </cell>
          <cell r="HJ56">
            <v>81680</v>
          </cell>
          <cell r="HK56">
            <v>60073.526400000002</v>
          </cell>
          <cell r="HL56" t="str">
            <v>dic18 nov19</v>
          </cell>
          <cell r="HM56">
            <v>2234156.8597333333</v>
          </cell>
          <cell r="HN56">
            <v>1.9944833439422771E-2</v>
          </cell>
          <cell r="HO56">
            <v>961400000</v>
          </cell>
          <cell r="HP56">
            <v>10307.4</v>
          </cell>
          <cell r="HQ56" t="str">
            <v>dic18 nov19</v>
          </cell>
          <cell r="HU56">
            <v>650000</v>
          </cell>
          <cell r="HV56" t="str">
            <v>2018-19</v>
          </cell>
          <cell r="HW56">
            <v>1300000</v>
          </cell>
          <cell r="HX56" t="str">
            <v>2019-20</v>
          </cell>
          <cell r="HY56">
            <v>3890000</v>
          </cell>
          <cell r="HZ56" t="str">
            <v>2018-19</v>
          </cell>
          <cell r="IA56">
            <v>21220000.000000004</v>
          </cell>
          <cell r="IB56" t="str">
            <v>2018-19</v>
          </cell>
          <cell r="IC56">
            <v>48900000</v>
          </cell>
          <cell r="ID56" t="str">
            <v>2018-19</v>
          </cell>
          <cell r="IE56">
            <v>1150000</v>
          </cell>
          <cell r="IF56" t="str">
            <v>2018-19</v>
          </cell>
          <cell r="IG56">
            <v>7500000</v>
          </cell>
          <cell r="IH56" t="str">
            <v>2019-20</v>
          </cell>
          <cell r="II56">
            <v>83960000</v>
          </cell>
          <cell r="IJ56">
            <v>1.6426981485239711</v>
          </cell>
          <cell r="IK56" t="str">
            <v>2018-19</v>
          </cell>
          <cell r="IL56">
            <v>42.92</v>
          </cell>
          <cell r="IM56">
            <v>50.63</v>
          </cell>
          <cell r="IN56">
            <v>182</v>
          </cell>
          <cell r="IO56">
            <v>13.61</v>
          </cell>
          <cell r="IP56">
            <v>5.9691690133321123</v>
          </cell>
          <cell r="IQ56">
            <v>19.7</v>
          </cell>
          <cell r="IR56">
            <v>5.93</v>
          </cell>
          <cell r="IS56">
            <v>5.67</v>
          </cell>
          <cell r="IT56">
            <v>11.35</v>
          </cell>
          <cell r="IU56">
            <v>0.88</v>
          </cell>
          <cell r="IV56">
            <v>17.899999999999999</v>
          </cell>
          <cell r="IY56">
            <v>1.84</v>
          </cell>
          <cell r="IZ56">
            <v>0.5</v>
          </cell>
          <cell r="JA56">
            <v>1000</v>
          </cell>
          <cell r="JF56">
            <v>8.5645236300000018</v>
          </cell>
          <cell r="JG56">
            <v>17.27749524</v>
          </cell>
          <cell r="JH56">
            <v>71.832789610000006</v>
          </cell>
          <cell r="JI56">
            <v>54.788541360000004</v>
          </cell>
          <cell r="JJ56">
            <v>465.64123405999999</v>
          </cell>
          <cell r="JK56">
            <v>72.364698230000002</v>
          </cell>
          <cell r="JL56">
            <v>1441.1809405399997</v>
          </cell>
          <cell r="JM56">
            <v>0.38628690000000004</v>
          </cell>
          <cell r="JN56">
            <v>141.89225017999999</v>
          </cell>
          <cell r="JO56">
            <v>19.642082009999999</v>
          </cell>
          <cell r="JP56">
            <v>0</v>
          </cell>
          <cell r="JQ56">
            <v>0</v>
          </cell>
          <cell r="JR56">
            <v>0.78629897999999998</v>
          </cell>
          <cell r="JS56">
            <v>0</v>
          </cell>
          <cell r="JT56">
            <v>2.145E-2</v>
          </cell>
          <cell r="JU56">
            <v>81.212688410000013</v>
          </cell>
          <cell r="JV56">
            <v>5.696247829999999</v>
          </cell>
          <cell r="JW56">
            <v>9.1689206000000016</v>
          </cell>
          <cell r="JX56">
            <v>13.14365409</v>
          </cell>
          <cell r="JY56">
            <v>0</v>
          </cell>
          <cell r="JZ56">
            <v>0.85344297000000002</v>
          </cell>
          <cell r="KA56">
            <v>0.41899791999999997</v>
          </cell>
          <cell r="KB56">
            <v>2.85584244</v>
          </cell>
          <cell r="KC56">
            <v>21.386114970000001</v>
          </cell>
          <cell r="KD56">
            <v>6.0458748900000003</v>
          </cell>
          <cell r="KE56">
            <v>8.5085350999999996</v>
          </cell>
          <cell r="KF56">
            <v>42.985513989999994</v>
          </cell>
          <cell r="KG56">
            <v>399.58625792999999</v>
          </cell>
          <cell r="KH56">
            <v>94.650793309999997</v>
          </cell>
          <cell r="KI56">
            <v>17.914882290000001</v>
          </cell>
          <cell r="KJ56">
            <v>2.5306769399999998</v>
          </cell>
          <cell r="KK56">
            <v>5.3203691200000014</v>
          </cell>
          <cell r="KL56">
            <v>0.35644386</v>
          </cell>
          <cell r="KM56">
            <v>4.8440515600000005</v>
          </cell>
          <cell r="KN56">
            <v>0.11576</v>
          </cell>
          <cell r="KO56">
            <v>3.9409963900000005</v>
          </cell>
          <cell r="KP56">
            <v>3.1729359999999998E-2</v>
          </cell>
          <cell r="KQ56">
            <v>49.662889440000001</v>
          </cell>
          <cell r="KR56">
            <v>8.5758899999999992E-3</v>
          </cell>
          <cell r="KS56">
            <v>0.35538434999999996</v>
          </cell>
          <cell r="KT56">
            <v>1.76121635</v>
          </cell>
          <cell r="KU56">
            <v>8.7846020000000011E-2</v>
          </cell>
          <cell r="KV56">
            <v>0.10863861999999999</v>
          </cell>
          <cell r="KW56">
            <v>3.2900252000000005</v>
          </cell>
          <cell r="KX56">
            <v>0</v>
          </cell>
          <cell r="KY56">
            <v>1.5851729999999998E-2</v>
          </cell>
          <cell r="KZ56">
            <v>1.1969108299999998</v>
          </cell>
          <cell r="LA56">
            <v>0.36656882000000002</v>
          </cell>
          <cell r="LB56">
            <v>0</v>
          </cell>
          <cell r="LC56">
            <v>3.0067549999999998E-2</v>
          </cell>
          <cell r="LD56">
            <v>0</v>
          </cell>
          <cell r="LE56">
            <v>0.13610636000000004</v>
          </cell>
          <cell r="LF56">
            <v>7.949479000000001E-2</v>
          </cell>
          <cell r="LG56">
            <v>15.01376232</v>
          </cell>
          <cell r="LH56">
            <v>4.2344466499999998</v>
          </cell>
          <cell r="LI56">
            <v>0.56017530000000004</v>
          </cell>
          <cell r="LJ56">
            <v>9.9394999999999996E-4</v>
          </cell>
          <cell r="LK56">
            <v>1.34919261</v>
          </cell>
          <cell r="LL56">
            <v>5.3801612799999994</v>
          </cell>
          <cell r="LM56">
            <v>1.11891293</v>
          </cell>
          <cell r="LN56">
            <v>0.26260070000000002</v>
          </cell>
          <cell r="LO56">
            <v>6.4622778499999987</v>
          </cell>
          <cell r="LQ56">
            <v>2175.7220426499994</v>
          </cell>
          <cell r="LR56">
            <v>0.80774897999999995</v>
          </cell>
          <cell r="LS56">
            <v>14.865168430000001</v>
          </cell>
          <cell r="LT56">
            <v>1.2724408899999999</v>
          </cell>
          <cell r="LU56">
            <v>58.927657630000006</v>
          </cell>
          <cell r="LV56">
            <v>3.4145155500000004</v>
          </cell>
          <cell r="LW56">
            <v>0.36656882000000002</v>
          </cell>
          <cell r="LX56">
            <v>0.21560115000000005</v>
          </cell>
          <cell r="LZ56">
            <v>71.86</v>
          </cell>
          <cell r="MA56">
            <v>54.75</v>
          </cell>
          <cell r="MH56">
            <v>106.12</v>
          </cell>
          <cell r="MI56">
            <v>39.479999999999997</v>
          </cell>
          <cell r="MJ56">
            <v>28.35</v>
          </cell>
          <cell r="ML56">
            <v>38.69</v>
          </cell>
          <cell r="MM56">
            <v>66.349999999999994</v>
          </cell>
          <cell r="MO56">
            <v>50.4</v>
          </cell>
          <cell r="MP56">
            <v>61.27</v>
          </cell>
          <cell r="MQ56">
            <v>68.67</v>
          </cell>
          <cell r="MU56">
            <v>24.17</v>
          </cell>
          <cell r="MY56">
            <v>92.17</v>
          </cell>
          <cell r="MZ56">
            <v>215</v>
          </cell>
          <cell r="NA56">
            <v>101.21</v>
          </cell>
          <cell r="NB56">
            <v>266.82</v>
          </cell>
          <cell r="NC56">
            <v>50.04</v>
          </cell>
          <cell r="NE56">
            <v>242.91</v>
          </cell>
        </row>
        <row r="57">
          <cell r="A57">
            <v>43800</v>
          </cell>
          <cell r="B57">
            <v>12</v>
          </cell>
          <cell r="C57">
            <v>2019</v>
          </cell>
          <cell r="D57">
            <v>57</v>
          </cell>
          <cell r="E57">
            <v>43800</v>
          </cell>
          <cell r="F57">
            <v>62.785714285714285</v>
          </cell>
          <cell r="G57">
            <v>283.44420000000002</v>
          </cell>
          <cell r="H57">
            <v>26112</v>
          </cell>
          <cell r="I57">
            <v>87</v>
          </cell>
          <cell r="J57">
            <v>390</v>
          </cell>
          <cell r="K57">
            <v>3.3</v>
          </cell>
          <cell r="L57">
            <v>23.8</v>
          </cell>
          <cell r="N57">
            <v>1.345</v>
          </cell>
          <cell r="O57">
            <v>1.1240000000000001</v>
          </cell>
          <cell r="P57">
            <v>73.805464285714294</v>
          </cell>
          <cell r="Q57">
            <v>1370</v>
          </cell>
          <cell r="R57">
            <v>13700</v>
          </cell>
          <cell r="S57">
            <v>146.31</v>
          </cell>
          <cell r="T57">
            <v>237.63</v>
          </cell>
          <cell r="U57">
            <v>137.37368421052631</v>
          </cell>
          <cell r="V57">
            <v>246.78</v>
          </cell>
          <cell r="W57">
            <v>135.94</v>
          </cell>
          <cell r="X57">
            <v>174.65263157894736</v>
          </cell>
          <cell r="Y57">
            <v>9186.1778571428567</v>
          </cell>
          <cell r="Z57">
            <v>14919.769285714285</v>
          </cell>
          <cell r="AA57">
            <v>8625.1048872180436</v>
          </cell>
          <cell r="AB57">
            <v>15494.258571428571</v>
          </cell>
          <cell r="AC57">
            <v>8535.09</v>
          </cell>
          <cell r="AD57">
            <v>10965.690225563909</v>
          </cell>
          <cell r="AE57">
            <v>11287.681804511278</v>
          </cell>
          <cell r="AF57">
            <v>34119.166666666664</v>
          </cell>
          <cell r="AG57">
            <v>15250</v>
          </cell>
          <cell r="AH57">
            <v>58100</v>
          </cell>
          <cell r="AI57">
            <v>9.1393000000000004</v>
          </cell>
          <cell r="AJ57">
            <v>7.3724999999999996</v>
          </cell>
          <cell r="AK57">
            <v>7.7718999999999996</v>
          </cell>
          <cell r="AL57">
            <v>8.9619999999999997</v>
          </cell>
          <cell r="AM57">
            <v>8.6705520000000007</v>
          </cell>
          <cell r="AN57">
            <v>49.632631578947375</v>
          </cell>
          <cell r="AO57">
            <v>48.004736842105274</v>
          </cell>
          <cell r="AP57">
            <v>48.818684210526328</v>
          </cell>
          <cell r="AQ57">
            <v>28.71222222222222</v>
          </cell>
          <cell r="AR57">
            <v>30.218888888888884</v>
          </cell>
          <cell r="AS57">
            <v>11.642192982456145</v>
          </cell>
          <cell r="AT57">
            <v>25.394210526315788</v>
          </cell>
          <cell r="AU57">
            <v>22.418430799220271</v>
          </cell>
          <cell r="AV57">
            <v>10.358472222222225</v>
          </cell>
          <cell r="AW57">
            <v>18.337894736842102</v>
          </cell>
          <cell r="AX57">
            <v>9.3073684210526313</v>
          </cell>
          <cell r="AY57">
            <v>34.622631578947363</v>
          </cell>
          <cell r="AZ57">
            <v>27.412105263157891</v>
          </cell>
          <cell r="BA57">
            <v>23.459642857142857</v>
          </cell>
          <cell r="BB57">
            <v>23.700437030075186</v>
          </cell>
          <cell r="BC57">
            <v>1029</v>
          </cell>
          <cell r="BD57">
            <v>1162.3499999999999</v>
          </cell>
          <cell r="BE57">
            <v>940</v>
          </cell>
          <cell r="BF57">
            <v>550</v>
          </cell>
          <cell r="BG57">
            <v>920.33749999999998</v>
          </cell>
          <cell r="BH57">
            <v>87.63</v>
          </cell>
          <cell r="BI57">
            <v>31.36</v>
          </cell>
          <cell r="BJ57">
            <v>118.99</v>
          </cell>
          <cell r="BK57">
            <v>86.153999999999996</v>
          </cell>
          <cell r="BL57">
            <v>96.34</v>
          </cell>
          <cell r="BM57">
            <v>91.247</v>
          </cell>
          <cell r="BN57">
            <v>16.82</v>
          </cell>
          <cell r="BO57">
            <v>69.811904761904771</v>
          </cell>
          <cell r="BP57">
            <v>48.48</v>
          </cell>
          <cell r="BQ57">
            <v>67.678714285714292</v>
          </cell>
          <cell r="BR57">
            <v>61.080000000000005</v>
          </cell>
          <cell r="BS57">
            <v>190</v>
          </cell>
          <cell r="BT57">
            <v>177.05571428571426</v>
          </cell>
          <cell r="BU57">
            <v>2811.1671428571426</v>
          </cell>
          <cell r="BV57">
            <v>97</v>
          </cell>
          <cell r="BW57">
            <v>120</v>
          </cell>
          <cell r="BY57">
            <v>447.74605454218397</v>
          </cell>
          <cell r="BZ57">
            <v>427.28811954887885</v>
          </cell>
          <cell r="CA57">
            <v>438.43314549045277</v>
          </cell>
          <cell r="CB57">
            <v>424.47872802898104</v>
          </cell>
          <cell r="CC57">
            <v>421.76031786940962</v>
          </cell>
          <cell r="CD57">
            <v>453.39735398761292</v>
          </cell>
          <cell r="CE57">
            <v>416.67925992664851</v>
          </cell>
          <cell r="CF57">
            <v>459.33065069752593</v>
          </cell>
          <cell r="CG57">
            <v>435.67990933343845</v>
          </cell>
          <cell r="CH57">
            <v>467.95559739701514</v>
          </cell>
          <cell r="CI57">
            <v>404.19241373858341</v>
          </cell>
          <cell r="CJ57">
            <v>369.17903673612972</v>
          </cell>
          <cell r="CK57">
            <v>366.78660953227171</v>
          </cell>
          <cell r="CL57">
            <v>455.50927224692828</v>
          </cell>
          <cell r="CM57">
            <v>388.87365934318774</v>
          </cell>
          <cell r="CN57">
            <v>392.95482094057883</v>
          </cell>
          <cell r="CO57">
            <v>401.03109051574165</v>
          </cell>
          <cell r="CP57">
            <v>411.62094437864278</v>
          </cell>
          <cell r="CQ57">
            <v>362.60762407025896</v>
          </cell>
          <cell r="CR57">
            <v>390.19341232030865</v>
          </cell>
          <cell r="CS57">
            <v>376.40051819528378</v>
          </cell>
          <cell r="CT57">
            <v>364.67287759858664</v>
          </cell>
          <cell r="CU57">
            <v>384.42193513088455</v>
          </cell>
          <cell r="CV57">
            <v>358.83444700905511</v>
          </cell>
          <cell r="CW57">
            <v>358.83444700905511</v>
          </cell>
          <cell r="CX57">
            <v>367.36360971633161</v>
          </cell>
          <cell r="CY57">
            <v>357.91159661877441</v>
          </cell>
          <cell r="CZ57">
            <v>442.23101645943387</v>
          </cell>
          <cell r="DA57">
            <v>367.63293712371154</v>
          </cell>
          <cell r="DB57">
            <v>383.36761780175544</v>
          </cell>
          <cell r="DC57">
            <v>421.83832761005442</v>
          </cell>
          <cell r="DD57">
            <v>409.20531595747104</v>
          </cell>
          <cell r="DE57">
            <v>367.64134751892959</v>
          </cell>
          <cell r="DF57">
            <v>415.69306281799498</v>
          </cell>
          <cell r="DG57">
            <v>391.66720516846226</v>
          </cell>
          <cell r="DH57">
            <v>383.58449600715073</v>
          </cell>
          <cell r="DI57">
            <v>360.17099614169905</v>
          </cell>
          <cell r="DK57">
            <v>450000</v>
          </cell>
          <cell r="DL57" t="str">
            <v>2019-20</v>
          </cell>
          <cell r="DM57">
            <v>190000</v>
          </cell>
          <cell r="DN57" t="str">
            <v>2019-20</v>
          </cell>
          <cell r="DO57">
            <v>1270000</v>
          </cell>
          <cell r="DP57" t="str">
            <v>2019-20</v>
          </cell>
          <cell r="DQ57">
            <v>1600000</v>
          </cell>
          <cell r="DR57" t="str">
            <v>2019-20</v>
          </cell>
          <cell r="DS57">
            <v>6300000</v>
          </cell>
          <cell r="DT57" t="str">
            <v>2019-20</v>
          </cell>
          <cell r="DU57">
            <v>17200000</v>
          </cell>
          <cell r="DV57" t="str">
            <v>2019-20</v>
          </cell>
          <cell r="DW57">
            <v>510000</v>
          </cell>
          <cell r="DX57" t="str">
            <v>2019-20</v>
          </cell>
          <cell r="DY57">
            <v>6600000</v>
          </cell>
          <cell r="DZ57" t="str">
            <v>2019-20</v>
          </cell>
          <cell r="EA57">
            <v>33480000</v>
          </cell>
          <cell r="EB57">
            <v>370000</v>
          </cell>
          <cell r="EC57" t="str">
            <v>2019-20</v>
          </cell>
          <cell r="ED57">
            <v>170782</v>
          </cell>
          <cell r="EE57">
            <v>2019</v>
          </cell>
          <cell r="EF57">
            <v>215169</v>
          </cell>
          <cell r="EG57">
            <v>2019</v>
          </cell>
          <cell r="EH57">
            <v>55007853</v>
          </cell>
          <cell r="EI57">
            <v>2019</v>
          </cell>
          <cell r="EJ57">
            <v>5128954</v>
          </cell>
          <cell r="EK57">
            <v>2019</v>
          </cell>
          <cell r="EL57">
            <v>14339908</v>
          </cell>
          <cell r="EM57">
            <v>2018</v>
          </cell>
          <cell r="EN57">
            <v>3201657</v>
          </cell>
          <cell r="EO57">
            <v>2019</v>
          </cell>
          <cell r="EP57">
            <v>6552</v>
          </cell>
          <cell r="EQ57">
            <v>3038588</v>
          </cell>
          <cell r="ER57">
            <v>33739</v>
          </cell>
          <cell r="ET57">
            <v>20884</v>
          </cell>
          <cell r="EU57">
            <v>17312</v>
          </cell>
          <cell r="EV57">
            <v>9130</v>
          </cell>
          <cell r="EW57">
            <v>17152</v>
          </cell>
          <cell r="EX57">
            <v>64478</v>
          </cell>
          <cell r="EY57">
            <v>19636</v>
          </cell>
          <cell r="EZ57">
            <v>76171</v>
          </cell>
          <cell r="FA57">
            <v>20432</v>
          </cell>
          <cell r="FB57">
            <v>18034</v>
          </cell>
          <cell r="FC57">
            <v>38466</v>
          </cell>
          <cell r="FD57">
            <v>61643.420000000013</v>
          </cell>
          <cell r="FF57">
            <v>870000</v>
          </cell>
          <cell r="FG57" t="str">
            <v>2018-19</v>
          </cell>
          <cell r="FH57">
            <v>1200000</v>
          </cell>
          <cell r="FI57" t="str">
            <v>2018-19</v>
          </cell>
          <cell r="FJ57">
            <v>4000000</v>
          </cell>
          <cell r="FK57" t="str">
            <v>2019-20</v>
          </cell>
          <cell r="FL57">
            <v>3800000</v>
          </cell>
          <cell r="FM57" t="str">
            <v>2018-19</v>
          </cell>
          <cell r="FN57">
            <v>48000000</v>
          </cell>
          <cell r="FO57" t="str">
            <v>2018-19</v>
          </cell>
          <cell r="FP57">
            <v>55300000</v>
          </cell>
          <cell r="FQ57" t="str">
            <v>2018-19</v>
          </cell>
          <cell r="FR57">
            <v>1600000</v>
          </cell>
          <cell r="FS57" t="str">
            <v>2018-19</v>
          </cell>
          <cell r="FT57">
            <v>19000000</v>
          </cell>
          <cell r="FU57" t="str">
            <v>2019-20</v>
          </cell>
          <cell r="FV57">
            <v>131700000</v>
          </cell>
          <cell r="FW57">
            <v>1300000</v>
          </cell>
          <cell r="FX57" t="str">
            <v>2018-19</v>
          </cell>
          <cell r="FY57">
            <v>41459.773000000001</v>
          </cell>
          <cell r="FZ57">
            <v>832306.12700000021</v>
          </cell>
          <cell r="GA57" t="str">
            <v>ene19 dic19</v>
          </cell>
          <cell r="GB57">
            <v>25198862</v>
          </cell>
          <cell r="GC57">
            <v>2019</v>
          </cell>
          <cell r="GD57">
            <v>2061660</v>
          </cell>
          <cell r="GE57">
            <v>421371</v>
          </cell>
          <cell r="GF57">
            <v>1038352</v>
          </cell>
          <cell r="GG57">
            <v>114695</v>
          </cell>
          <cell r="GH57">
            <v>1574418</v>
          </cell>
          <cell r="GI57">
            <v>1302556</v>
          </cell>
          <cell r="GJ57">
            <v>673662.3</v>
          </cell>
          <cell r="GK57">
            <v>1162000</v>
          </cell>
          <cell r="GL57">
            <v>290589.5</v>
          </cell>
          <cell r="GM57">
            <v>258882.47</v>
          </cell>
          <cell r="GN57">
            <v>2385134.27</v>
          </cell>
          <cell r="GO57">
            <v>196709</v>
          </cell>
          <cell r="GP57">
            <v>71194.64</v>
          </cell>
          <cell r="GQ57">
            <v>205767</v>
          </cell>
          <cell r="GR57">
            <v>43750</v>
          </cell>
          <cell r="GS57">
            <v>49923.01</v>
          </cell>
          <cell r="GT57">
            <v>2600000</v>
          </cell>
          <cell r="GU57">
            <v>11064</v>
          </cell>
          <cell r="GV57">
            <v>35555</v>
          </cell>
          <cell r="GW57">
            <v>1082821</v>
          </cell>
          <cell r="GX57">
            <v>32193.503000000001</v>
          </cell>
          <cell r="GY57" t="str">
            <v>2018-2019</v>
          </cell>
          <cell r="GZ57">
            <v>107349</v>
          </cell>
          <cell r="HA57">
            <v>277742</v>
          </cell>
          <cell r="HB57">
            <v>3117843</v>
          </cell>
          <cell r="HC57" t="str">
            <v>ene19 dic19</v>
          </cell>
          <cell r="HD57">
            <v>54801</v>
          </cell>
          <cell r="HE57">
            <v>629515</v>
          </cell>
          <cell r="HF57" t="str">
            <v>ene19 dic19</v>
          </cell>
          <cell r="HG57">
            <v>191000</v>
          </cell>
          <cell r="HH57">
            <v>2192000</v>
          </cell>
          <cell r="HI57" t="str">
            <v>ene19 dic19</v>
          </cell>
          <cell r="HJ57">
            <v>77726.16</v>
          </cell>
          <cell r="HK57">
            <v>59636.315999999999</v>
          </cell>
          <cell r="HL57" t="str">
            <v>ene19 dic19</v>
          </cell>
          <cell r="HM57">
            <v>2251636.3160000001</v>
          </cell>
          <cell r="HN57">
            <v>3.8875466725236008E-2</v>
          </cell>
          <cell r="HO57">
            <v>946000000</v>
          </cell>
          <cell r="HP57">
            <v>10342.799999999999</v>
          </cell>
          <cell r="HQ57" t="str">
            <v>ene19 dic19</v>
          </cell>
          <cell r="HU57">
            <v>650000</v>
          </cell>
          <cell r="HV57" t="str">
            <v>2018-19</v>
          </cell>
          <cell r="HW57">
            <v>1300000</v>
          </cell>
          <cell r="HX57" t="str">
            <v>2019-20</v>
          </cell>
          <cell r="HY57">
            <v>3890000</v>
          </cell>
          <cell r="HZ57" t="str">
            <v>2018-19</v>
          </cell>
          <cell r="IA57">
            <v>21220000.000000004</v>
          </cell>
          <cell r="IB57" t="str">
            <v>2018-19</v>
          </cell>
          <cell r="IC57">
            <v>48900000</v>
          </cell>
          <cell r="ID57" t="str">
            <v>2018-19</v>
          </cell>
          <cell r="IE57">
            <v>1150000</v>
          </cell>
          <cell r="IF57" t="str">
            <v>2018-19</v>
          </cell>
          <cell r="IG57">
            <v>7500000</v>
          </cell>
          <cell r="IH57" t="str">
            <v>2019-20</v>
          </cell>
          <cell r="II57">
            <v>83960000</v>
          </cell>
          <cell r="IJ57">
            <v>1.6426981485239711</v>
          </cell>
          <cell r="IK57" t="str">
            <v>2018-19</v>
          </cell>
          <cell r="IL57">
            <v>43.64</v>
          </cell>
          <cell r="IM57">
            <v>50.63</v>
          </cell>
          <cell r="IN57">
            <v>182</v>
          </cell>
          <cell r="IO57">
            <v>14.82</v>
          </cell>
          <cell r="IP57">
            <v>5.9691690133321123</v>
          </cell>
          <cell r="IQ57">
            <v>19.7</v>
          </cell>
          <cell r="IR57">
            <v>5.93</v>
          </cell>
          <cell r="IS57">
            <v>5.67</v>
          </cell>
          <cell r="IT57">
            <v>11.35</v>
          </cell>
          <cell r="IU57">
            <v>0.88</v>
          </cell>
          <cell r="IV57">
            <v>17.899999999999999</v>
          </cell>
          <cell r="IY57">
            <v>1.84</v>
          </cell>
          <cell r="IZ57">
            <v>0.5</v>
          </cell>
          <cell r="JA57">
            <v>1000</v>
          </cell>
          <cell r="JF57">
            <v>11.925358599999999</v>
          </cell>
          <cell r="JG57">
            <v>8.3764541199999982</v>
          </cell>
          <cell r="JH57">
            <v>83.081179810000009</v>
          </cell>
          <cell r="JI57">
            <v>45.28163828000001</v>
          </cell>
          <cell r="JJ57">
            <v>325.10560617999988</v>
          </cell>
          <cell r="JK57">
            <v>86.287054049999995</v>
          </cell>
          <cell r="JL57">
            <v>1038.4340064099999</v>
          </cell>
          <cell r="JM57">
            <v>0.89740894000000004</v>
          </cell>
          <cell r="JN57">
            <v>424.74104921999998</v>
          </cell>
          <cell r="JO57">
            <v>18.909281449999998</v>
          </cell>
          <cell r="JP57">
            <v>0</v>
          </cell>
          <cell r="JQ57">
            <v>3.6758609999999997E-2</v>
          </cell>
          <cell r="JR57">
            <v>0.54452363999999998</v>
          </cell>
          <cell r="JS57">
            <v>0</v>
          </cell>
          <cell r="JT57">
            <v>0.14896826000000002</v>
          </cell>
          <cell r="JU57">
            <v>80.871632140000003</v>
          </cell>
          <cell r="JV57">
            <v>6.8016282199999996</v>
          </cell>
          <cell r="JW57">
            <v>6.7216163099999999</v>
          </cell>
          <cell r="JX57">
            <v>24.434561039999998</v>
          </cell>
          <cell r="JY57">
            <v>0</v>
          </cell>
          <cell r="JZ57">
            <v>0.89376078000000003</v>
          </cell>
          <cell r="KA57">
            <v>0</v>
          </cell>
          <cell r="KB57">
            <v>3.3886581399999995</v>
          </cell>
          <cell r="KC57">
            <v>22.224456929999999</v>
          </cell>
          <cell r="KD57">
            <v>6.8106529299999998</v>
          </cell>
          <cell r="KE57">
            <v>10.57919965</v>
          </cell>
          <cell r="KF57">
            <v>42.558104459999996</v>
          </cell>
          <cell r="KG57">
            <v>436.52999095999996</v>
          </cell>
          <cell r="KH57">
            <v>96.312561459999998</v>
          </cell>
          <cell r="KI57">
            <v>26.523506670000003</v>
          </cell>
          <cell r="KJ57">
            <v>2.6432018099999999</v>
          </cell>
          <cell r="KK57">
            <v>7.2096251899999997</v>
          </cell>
          <cell r="KL57">
            <v>0.45069485999999997</v>
          </cell>
          <cell r="KM57">
            <v>3.25283386</v>
          </cell>
          <cell r="KN57">
            <v>4.7581599999999991E-3</v>
          </cell>
          <cell r="KO57">
            <v>1.9807656899999999</v>
          </cell>
          <cell r="KP57">
            <v>6.6326160000000009E-2</v>
          </cell>
          <cell r="KQ57">
            <v>23.89841904</v>
          </cell>
          <cell r="KR57">
            <v>2.6225419999999999E-2</v>
          </cell>
          <cell r="KS57">
            <v>9.5630950000000006E-2</v>
          </cell>
          <cell r="KT57">
            <v>2.89968307</v>
          </cell>
          <cell r="KU57">
            <v>0.38162946999999997</v>
          </cell>
          <cell r="KV57">
            <v>0</v>
          </cell>
          <cell r="KW57">
            <v>3.7276128100000001</v>
          </cell>
          <cell r="KX57">
            <v>0</v>
          </cell>
          <cell r="KY57">
            <v>0</v>
          </cell>
          <cell r="KZ57">
            <v>0.11361388</v>
          </cell>
          <cell r="LA57">
            <v>0.55411265999999992</v>
          </cell>
          <cell r="LB57">
            <v>5.5881279999999998E-2</v>
          </cell>
          <cell r="LC57">
            <v>3.695068E-2</v>
          </cell>
          <cell r="LD57">
            <v>0</v>
          </cell>
          <cell r="LE57">
            <v>0.21031573000000001</v>
          </cell>
          <cell r="LF57">
            <v>0.18576481</v>
          </cell>
          <cell r="LG57">
            <v>14.842639470000002</v>
          </cell>
          <cell r="LH57">
            <v>4.8963615899999997</v>
          </cell>
          <cell r="LI57">
            <v>0.91681120999999999</v>
          </cell>
          <cell r="LJ57">
            <v>0</v>
          </cell>
          <cell r="LK57">
            <v>2.1953239199999999</v>
          </cell>
          <cell r="LL57">
            <v>5.8694276600000013</v>
          </cell>
          <cell r="LM57">
            <v>0.96665031000000001</v>
          </cell>
          <cell r="LN57">
            <v>0.38132934999999996</v>
          </cell>
          <cell r="LO57">
            <v>7.8358684300000006</v>
          </cell>
          <cell r="LQ57">
            <v>1917.5408888399998</v>
          </cell>
          <cell r="LR57">
            <v>0.73025051000000007</v>
          </cell>
          <cell r="LS57">
            <v>13.523244529999999</v>
          </cell>
          <cell r="LT57">
            <v>0.89376078000000003</v>
          </cell>
          <cell r="LU57">
            <v>29.258633119999999</v>
          </cell>
          <cell r="LV57">
            <v>3.7276128100000001</v>
          </cell>
          <cell r="LW57">
            <v>0.60999393999999996</v>
          </cell>
          <cell r="LX57">
            <v>0.39608054000000004</v>
          </cell>
          <cell r="LZ57">
            <v>74.349999999999994</v>
          </cell>
          <cell r="MA57">
            <v>57.46</v>
          </cell>
          <cell r="MH57">
            <v>108.02</v>
          </cell>
          <cell r="MI57">
            <v>40.24</v>
          </cell>
          <cell r="MJ57">
            <v>27.6</v>
          </cell>
          <cell r="ML57">
            <v>32.72</v>
          </cell>
          <cell r="MM57">
            <v>54.07</v>
          </cell>
          <cell r="MO57">
            <v>51.28</v>
          </cell>
          <cell r="MP57">
            <v>62.05</v>
          </cell>
          <cell r="MQ57">
            <v>72.989999999999995</v>
          </cell>
          <cell r="MU57">
            <v>26.41</v>
          </cell>
          <cell r="MY57">
            <v>97.47</v>
          </cell>
          <cell r="MZ57">
            <v>234</v>
          </cell>
          <cell r="NA57">
            <v>99.67</v>
          </cell>
          <cell r="NB57">
            <v>290.47000000000003</v>
          </cell>
          <cell r="NC57">
            <v>50.98</v>
          </cell>
          <cell r="NE57">
            <v>256.20999999999998</v>
          </cell>
        </row>
        <row r="58">
          <cell r="A58">
            <v>43831</v>
          </cell>
          <cell r="B58">
            <v>1</v>
          </cell>
          <cell r="C58">
            <v>2020</v>
          </cell>
          <cell r="D58">
            <v>58</v>
          </cell>
          <cell r="E58">
            <v>43831</v>
          </cell>
          <cell r="F58">
            <v>63</v>
          </cell>
          <cell r="G58">
            <v>289.82990000000001</v>
          </cell>
          <cell r="H58">
            <v>26112</v>
          </cell>
          <cell r="I58">
            <v>86</v>
          </cell>
          <cell r="J58">
            <v>390</v>
          </cell>
          <cell r="K58">
            <v>3.3</v>
          </cell>
          <cell r="L58">
            <v>23.8</v>
          </cell>
          <cell r="N58">
            <v>1.363</v>
          </cell>
          <cell r="O58">
            <v>1.1419999999999999</v>
          </cell>
          <cell r="P58">
            <v>71.805824999999999</v>
          </cell>
          <cell r="Q58">
            <v>1450</v>
          </cell>
          <cell r="R58">
            <v>14500</v>
          </cell>
          <cell r="S58">
            <v>145.38095238095238</v>
          </cell>
          <cell r="T58">
            <v>239.9</v>
          </cell>
          <cell r="U58">
            <v>146.01363636363635</v>
          </cell>
          <cell r="V58">
            <v>260.89999999999998</v>
          </cell>
          <cell r="W58">
            <v>120.24000000000001</v>
          </cell>
          <cell r="X58">
            <v>197.76470588235293</v>
          </cell>
          <cell r="Y58">
            <v>9159</v>
          </cell>
          <cell r="Z58">
            <v>15113.7</v>
          </cell>
          <cell r="AA58">
            <v>9198.8590909090908</v>
          </cell>
          <cell r="AB58">
            <v>16436.699999999997</v>
          </cell>
          <cell r="AC58">
            <v>7575.1200000000008</v>
          </cell>
          <cell r="AD58">
            <v>12459.176470588234</v>
          </cell>
          <cell r="AE58">
            <v>11657.092593582887</v>
          </cell>
          <cell r="AF58">
            <v>34374</v>
          </cell>
          <cell r="AG58">
            <v>15250</v>
          </cell>
          <cell r="AH58">
            <v>58100</v>
          </cell>
          <cell r="AI58">
            <v>9.4125999999999994</v>
          </cell>
          <cell r="AJ58">
            <v>6.8308</v>
          </cell>
          <cell r="AK58">
            <v>7.4142000000000001</v>
          </cell>
          <cell r="AL58">
            <v>9.5665999999999993</v>
          </cell>
          <cell r="AM58">
            <v>8.8267039999999994</v>
          </cell>
          <cell r="AN58">
            <v>49.811827956989248</v>
          </cell>
          <cell r="AO58">
            <v>51.471363636363634</v>
          </cell>
          <cell r="AP58">
            <v>50.641595796676441</v>
          </cell>
          <cell r="AQ58">
            <v>29.363636363636363</v>
          </cell>
          <cell r="AR58">
            <v>37.114761904761906</v>
          </cell>
          <cell r="AS58">
            <v>11.97939393939393</v>
          </cell>
          <cell r="AT58">
            <v>41.081363636363648</v>
          </cell>
          <cell r="AU58">
            <v>30.058506493506496</v>
          </cell>
          <cell r="AV58">
            <v>13.114526315789471</v>
          </cell>
          <cell r="AW58">
            <v>19.824999999999996</v>
          </cell>
          <cell r="AX58">
            <v>12.898636363636363</v>
          </cell>
          <cell r="AY58">
            <v>25.644545454545451</v>
          </cell>
          <cell r="AZ58">
            <v>29.132272727272731</v>
          </cell>
          <cell r="BA58">
            <v>15.991333333333337</v>
          </cell>
          <cell r="BB58">
            <v>20.916696969696972</v>
          </cell>
          <cell r="BC58">
            <v>1120</v>
          </cell>
          <cell r="BD58">
            <v>1162.3499999999999</v>
          </cell>
          <cell r="BE58">
            <v>940</v>
          </cell>
          <cell r="BF58">
            <v>550</v>
          </cell>
          <cell r="BG58">
            <v>943.08749999999998</v>
          </cell>
          <cell r="BH58">
            <v>87.63</v>
          </cell>
          <cell r="BI58">
            <v>31.36</v>
          </cell>
          <cell r="BJ58">
            <v>118.99</v>
          </cell>
          <cell r="BK58">
            <v>87.268000000000001</v>
          </cell>
          <cell r="BL58">
            <v>98.635000000000005</v>
          </cell>
          <cell r="BM58">
            <v>92.95150000000001</v>
          </cell>
          <cell r="BN58">
            <v>17.260000000000002</v>
          </cell>
          <cell r="BO58">
            <v>63.432352941176468</v>
          </cell>
          <cell r="BP58">
            <v>49.33</v>
          </cell>
          <cell r="BQ58">
            <v>62.02211764705882</v>
          </cell>
          <cell r="BR58">
            <v>66.72</v>
          </cell>
          <cell r="BS58">
            <v>190</v>
          </cell>
          <cell r="BT58">
            <v>182.07000000000002</v>
          </cell>
          <cell r="BU58">
            <v>2826.21</v>
          </cell>
          <cell r="BV58">
            <v>102.4</v>
          </cell>
          <cell r="BW58">
            <v>200</v>
          </cell>
          <cell r="BY58">
            <v>456.47684048983973</v>
          </cell>
          <cell r="BZ58">
            <v>433.02150160172204</v>
          </cell>
          <cell r="CA58">
            <v>448.37951131394692</v>
          </cell>
          <cell r="CB58">
            <v>436.04226857335016</v>
          </cell>
          <cell r="CC58">
            <v>438.29805562805541</v>
          </cell>
          <cell r="CD58">
            <v>473.03709821959973</v>
          </cell>
          <cell r="CE58">
            <v>407.57013236656337</v>
          </cell>
          <cell r="CF58">
            <v>484.3635758011514</v>
          </cell>
          <cell r="CG58">
            <v>447.94844031711119</v>
          </cell>
          <cell r="CH58">
            <v>477.9880290859939</v>
          </cell>
          <cell r="CI58">
            <v>419.08155422610156</v>
          </cell>
          <cell r="CJ58">
            <v>375.37111505211794</v>
          </cell>
          <cell r="CK58">
            <v>387.09979804193716</v>
          </cell>
          <cell r="CL58">
            <v>423.93534721692765</v>
          </cell>
          <cell r="CM58">
            <v>397.35701911403396</v>
          </cell>
          <cell r="CN58">
            <v>365.9895026349123</v>
          </cell>
          <cell r="CO58">
            <v>393.59541675195271</v>
          </cell>
          <cell r="CP58">
            <v>412.78495624236598</v>
          </cell>
          <cell r="CQ58">
            <v>364.56342101840244</v>
          </cell>
          <cell r="CR58">
            <v>397.23359148448856</v>
          </cell>
          <cell r="CS58">
            <v>380.8985062514455</v>
          </cell>
          <cell r="CT58">
            <v>367.29845491891149</v>
          </cell>
          <cell r="CU58">
            <v>396.58936317502503</v>
          </cell>
          <cell r="CV58">
            <v>362.05716649017268</v>
          </cell>
          <cell r="CW58">
            <v>362.05716649017268</v>
          </cell>
          <cell r="CX58">
            <v>373.56789871845677</v>
          </cell>
          <cell r="CY58">
            <v>358.86039031440146</v>
          </cell>
          <cell r="CZ58">
            <v>443.29032327863553</v>
          </cell>
          <cell r="DA58">
            <v>369.01311026699426</v>
          </cell>
          <cell r="DB58">
            <v>387.1843245313558</v>
          </cell>
          <cell r="DC58">
            <v>440.57835398534201</v>
          </cell>
          <cell r="DD58">
            <v>429.55652059909221</v>
          </cell>
          <cell r="DE58">
            <v>386.70913628685241</v>
          </cell>
          <cell r="DF58">
            <v>438.05034209674591</v>
          </cell>
          <cell r="DG58">
            <v>412.37973919179916</v>
          </cell>
          <cell r="DH58">
            <v>388.05458006388363</v>
          </cell>
          <cell r="DI58">
            <v>361.54917479417225</v>
          </cell>
          <cell r="DK58">
            <v>450000</v>
          </cell>
          <cell r="DL58" t="str">
            <v>2019-20</v>
          </cell>
          <cell r="DM58">
            <v>190000</v>
          </cell>
          <cell r="DN58" t="str">
            <v>2019-20</v>
          </cell>
          <cell r="DO58">
            <v>1270000</v>
          </cell>
          <cell r="DP58" t="str">
            <v>2019-20</v>
          </cell>
          <cell r="DQ58">
            <v>1600000</v>
          </cell>
          <cell r="DR58" t="str">
            <v>2019-20</v>
          </cell>
          <cell r="DS58">
            <v>6300000</v>
          </cell>
          <cell r="DT58" t="str">
            <v>2019-20</v>
          </cell>
          <cell r="DU58">
            <v>17400000</v>
          </cell>
          <cell r="DV58" t="str">
            <v>2019-20</v>
          </cell>
          <cell r="DW58">
            <v>510000</v>
          </cell>
          <cell r="DX58" t="str">
            <v>2019-20</v>
          </cell>
          <cell r="DY58">
            <v>6750000</v>
          </cell>
          <cell r="DZ58" t="str">
            <v>2019-20</v>
          </cell>
          <cell r="EA58">
            <v>33830000</v>
          </cell>
          <cell r="EB58">
            <v>370000</v>
          </cell>
          <cell r="EC58" t="str">
            <v>2019-20</v>
          </cell>
          <cell r="ED58">
            <v>174820</v>
          </cell>
          <cell r="EE58">
            <v>2020</v>
          </cell>
          <cell r="EF58">
            <v>214798</v>
          </cell>
          <cell r="EG58">
            <v>2020</v>
          </cell>
          <cell r="EH58">
            <v>54460799</v>
          </cell>
          <cell r="EI58">
            <v>2020</v>
          </cell>
          <cell r="EJ58">
            <v>5128954</v>
          </cell>
          <cell r="EK58">
            <v>2019</v>
          </cell>
          <cell r="EL58">
            <v>14339908</v>
          </cell>
          <cell r="EM58">
            <v>2018</v>
          </cell>
          <cell r="EN58">
            <v>3201657</v>
          </cell>
          <cell r="EO58">
            <v>2019</v>
          </cell>
          <cell r="EP58">
            <v>6552</v>
          </cell>
          <cell r="EQ58">
            <v>3257556</v>
          </cell>
          <cell r="ER58">
            <v>33739</v>
          </cell>
          <cell r="ET58">
            <v>19456</v>
          </cell>
          <cell r="EU58">
            <v>17935</v>
          </cell>
          <cell r="EV58">
            <v>9101</v>
          </cell>
          <cell r="EW58">
            <v>17303</v>
          </cell>
          <cell r="EX58">
            <v>63795</v>
          </cell>
          <cell r="EY58">
            <v>19804</v>
          </cell>
          <cell r="EZ58">
            <v>79940</v>
          </cell>
          <cell r="FA58">
            <v>20476</v>
          </cell>
          <cell r="FB58">
            <v>18080</v>
          </cell>
          <cell r="FC58">
            <v>38556</v>
          </cell>
          <cell r="FD58">
            <v>59152.38</v>
          </cell>
          <cell r="FF58">
            <v>870000</v>
          </cell>
          <cell r="FG58" t="str">
            <v>2018-19</v>
          </cell>
          <cell r="FH58">
            <v>1200000</v>
          </cell>
          <cell r="FI58" t="str">
            <v>2018-19</v>
          </cell>
          <cell r="FJ58">
            <v>3800000</v>
          </cell>
          <cell r="FK58" t="str">
            <v>2019-20</v>
          </cell>
          <cell r="FL58">
            <v>3800000</v>
          </cell>
          <cell r="FM58" t="str">
            <v>2018-19</v>
          </cell>
          <cell r="FN58">
            <v>48000000</v>
          </cell>
          <cell r="FO58" t="str">
            <v>2018-19</v>
          </cell>
          <cell r="FP58">
            <v>53100000</v>
          </cell>
          <cell r="FQ58" t="str">
            <v>2019-20</v>
          </cell>
          <cell r="FR58">
            <v>1600000</v>
          </cell>
          <cell r="FS58" t="str">
            <v>2018-19</v>
          </cell>
          <cell r="FT58">
            <v>19500000</v>
          </cell>
          <cell r="FU58" t="str">
            <v>2019-20</v>
          </cell>
          <cell r="FV58">
            <v>129800000</v>
          </cell>
          <cell r="FW58">
            <v>1300000</v>
          </cell>
          <cell r="FX58" t="str">
            <v>2018-19</v>
          </cell>
          <cell r="FY58">
            <v>23380</v>
          </cell>
          <cell r="FZ58">
            <v>835565.12700000009</v>
          </cell>
          <cell r="GA58" t="str">
            <v>feb19 ene20</v>
          </cell>
          <cell r="GB58">
            <v>20557455</v>
          </cell>
          <cell r="GC58">
            <v>2020</v>
          </cell>
          <cell r="GD58">
            <v>1974652</v>
          </cell>
          <cell r="GE58">
            <v>367136</v>
          </cell>
          <cell r="GF58">
            <v>957160</v>
          </cell>
          <cell r="GG58">
            <v>89049</v>
          </cell>
          <cell r="GH58">
            <v>1413345</v>
          </cell>
          <cell r="GI58">
            <v>1302556</v>
          </cell>
          <cell r="GJ58">
            <v>666015</v>
          </cell>
          <cell r="GK58">
            <v>1221000</v>
          </cell>
          <cell r="GL58">
            <v>294346.89</v>
          </cell>
          <cell r="GM58">
            <v>260133.24</v>
          </cell>
          <cell r="GN58">
            <v>2441495.13</v>
          </cell>
          <cell r="GO58">
            <v>198452.81</v>
          </cell>
          <cell r="GP58">
            <v>73538</v>
          </cell>
          <cell r="GQ58">
            <v>190993</v>
          </cell>
          <cell r="GR58">
            <v>42000</v>
          </cell>
          <cell r="GS58">
            <v>47729.79</v>
          </cell>
          <cell r="GT58">
            <v>2884000</v>
          </cell>
          <cell r="GU58">
            <v>26991</v>
          </cell>
          <cell r="GV58">
            <v>25998</v>
          </cell>
          <cell r="GW58">
            <v>1098001</v>
          </cell>
          <cell r="GX58">
            <v>34954.608</v>
          </cell>
          <cell r="GY58" t="str">
            <v>2019-2020</v>
          </cell>
          <cell r="GZ58">
            <v>112856</v>
          </cell>
          <cell r="HA58">
            <v>254959.087</v>
          </cell>
          <cell r="HB58">
            <v>3119229.0869999998</v>
          </cell>
          <cell r="HC58" t="str">
            <v>feb19 ene20</v>
          </cell>
          <cell r="HD58">
            <v>51896</v>
          </cell>
          <cell r="HE58">
            <v>630060</v>
          </cell>
          <cell r="HF58" t="str">
            <v>feb19 ene20</v>
          </cell>
          <cell r="HG58">
            <v>196000</v>
          </cell>
          <cell r="HH58">
            <v>2201000</v>
          </cell>
          <cell r="HI58" t="str">
            <v>feb19 ene20</v>
          </cell>
          <cell r="HJ58">
            <v>78633.36</v>
          </cell>
          <cell r="HK58">
            <v>58844.337599999999</v>
          </cell>
          <cell r="HL58" t="str">
            <v>feb19 ene20</v>
          </cell>
          <cell r="HM58">
            <v>2259844.3376000002</v>
          </cell>
          <cell r="HN58">
            <v>5.4884742041712453E-2</v>
          </cell>
          <cell r="HO58">
            <v>864900000</v>
          </cell>
          <cell r="HP58">
            <v>10387.799999999999</v>
          </cell>
          <cell r="HQ58" t="str">
            <v>feb19 ene20</v>
          </cell>
          <cell r="HU58">
            <v>650000</v>
          </cell>
          <cell r="HV58" t="str">
            <v>2018-19</v>
          </cell>
          <cell r="HW58">
            <v>1300000</v>
          </cell>
          <cell r="HX58" t="str">
            <v>2019-20</v>
          </cell>
          <cell r="HY58">
            <v>3890000</v>
          </cell>
          <cell r="HZ58" t="str">
            <v>2018-19</v>
          </cell>
          <cell r="IA58">
            <v>21220000.000000004</v>
          </cell>
          <cell r="IB58" t="str">
            <v>2018-19</v>
          </cell>
          <cell r="IC58">
            <v>48900000</v>
          </cell>
          <cell r="ID58" t="str">
            <v>2018-19</v>
          </cell>
          <cell r="IE58">
            <v>1150000</v>
          </cell>
          <cell r="IF58" t="str">
            <v>2018-19</v>
          </cell>
          <cell r="IG58">
            <v>7500000</v>
          </cell>
          <cell r="IH58" t="str">
            <v>2019-20</v>
          </cell>
          <cell r="II58">
            <v>83960000</v>
          </cell>
          <cell r="IJ58">
            <v>1.6426981485239711</v>
          </cell>
          <cell r="IK58" t="str">
            <v>2018-19</v>
          </cell>
          <cell r="IL58">
            <v>43.4</v>
          </cell>
          <cell r="IM58">
            <v>51.5</v>
          </cell>
          <cell r="IN58">
            <v>182</v>
          </cell>
          <cell r="IO58">
            <v>13.87</v>
          </cell>
          <cell r="IP58">
            <v>5.7952865471342916</v>
          </cell>
          <cell r="IQ58">
            <v>20.7</v>
          </cell>
          <cell r="IR58">
            <v>4.79</v>
          </cell>
          <cell r="IS58">
            <v>5.29</v>
          </cell>
          <cell r="IT58">
            <v>12.22</v>
          </cell>
          <cell r="IU58">
            <v>0.38</v>
          </cell>
          <cell r="IV58">
            <v>17.89</v>
          </cell>
          <cell r="IY58">
            <v>1.86</v>
          </cell>
          <cell r="IZ58">
            <v>0.1</v>
          </cell>
          <cell r="JA58">
            <v>1000</v>
          </cell>
          <cell r="JF58">
            <v>7.0614755100000028</v>
          </cell>
          <cell r="JG58">
            <v>7.23950227</v>
          </cell>
          <cell r="JH58">
            <v>148.21162293999998</v>
          </cell>
          <cell r="JI58">
            <v>37.72692782</v>
          </cell>
          <cell r="JJ58">
            <v>340.62905886999988</v>
          </cell>
          <cell r="JK58">
            <v>96.868464340000003</v>
          </cell>
          <cell r="JL58">
            <v>1442.1312596800003</v>
          </cell>
          <cell r="JM58">
            <v>0.33261797999999998</v>
          </cell>
          <cell r="JN58">
            <v>780.83497943000009</v>
          </cell>
          <cell r="JO58">
            <v>15.180852270000001</v>
          </cell>
          <cell r="JP58">
            <v>0</v>
          </cell>
          <cell r="JQ58">
            <v>8.0499999999999999E-3</v>
          </cell>
          <cell r="JR58">
            <v>0.84395861000000005</v>
          </cell>
          <cell r="JS58">
            <v>0</v>
          </cell>
          <cell r="JT58">
            <v>1.05084372</v>
          </cell>
          <cell r="JU58">
            <v>62.104194450000001</v>
          </cell>
          <cell r="JV58">
            <v>4.3820518399999999</v>
          </cell>
          <cell r="JW58">
            <v>9.5442717599999991</v>
          </cell>
          <cell r="JX58">
            <v>10.5532244</v>
          </cell>
          <cell r="JY58">
            <v>0</v>
          </cell>
          <cell r="JZ58">
            <v>1.0545855500000001</v>
          </cell>
          <cell r="KA58">
            <v>0.26250000000000001</v>
          </cell>
          <cell r="KB58">
            <v>16.925506079999998</v>
          </cell>
          <cell r="KC58">
            <v>11.622826179999999</v>
          </cell>
          <cell r="KD58">
            <v>7.7044002899999997</v>
          </cell>
          <cell r="KE58">
            <v>9.4750100199999991</v>
          </cell>
          <cell r="KF58">
            <v>48.009471770000005</v>
          </cell>
          <cell r="KG58">
            <v>319.21240940000001</v>
          </cell>
          <cell r="KH58">
            <v>122.53941547000001</v>
          </cell>
          <cell r="KI58">
            <v>20.725700500000002</v>
          </cell>
          <cell r="KJ58">
            <v>4.6427472500000002</v>
          </cell>
          <cell r="KK58">
            <v>5.6501804400000006</v>
          </cell>
          <cell r="KL58">
            <v>0.53948817999999998</v>
          </cell>
          <cell r="KM58">
            <v>11.19641519</v>
          </cell>
          <cell r="KN58">
            <v>0.12656154999999999</v>
          </cell>
          <cell r="KO58">
            <v>0.68803263000000014</v>
          </cell>
          <cell r="KP58">
            <v>4.3337199999999992E-3</v>
          </cell>
          <cell r="KQ58">
            <v>0.19200833</v>
          </cell>
          <cell r="KR58">
            <v>2.2499999999999999E-2</v>
          </cell>
          <cell r="KS58">
            <v>0.43749645000000004</v>
          </cell>
          <cell r="KT58">
            <v>1.5250491899999998</v>
          </cell>
          <cell r="KU58">
            <v>0.15308558999999999</v>
          </cell>
          <cell r="KV58">
            <v>0</v>
          </cell>
          <cell r="KW58">
            <v>2.6067808200000004</v>
          </cell>
          <cell r="KX58">
            <v>0</v>
          </cell>
          <cell r="KY58">
            <v>0</v>
          </cell>
          <cell r="KZ58">
            <v>1.0160282299999999</v>
          </cell>
          <cell r="LA58">
            <v>5.2776989999999996E-2</v>
          </cell>
          <cell r="LB58">
            <v>2.8419939999999998E-2</v>
          </cell>
          <cell r="LC58">
            <v>1.3750999999999999E-2</v>
          </cell>
          <cell r="LD58">
            <v>0</v>
          </cell>
          <cell r="LE58">
            <v>9.3451659999999992E-2</v>
          </cell>
          <cell r="LF58">
            <v>0.22502831000000001</v>
          </cell>
          <cell r="LG58">
            <v>15.587128460000001</v>
          </cell>
          <cell r="LH58">
            <v>3.1637681700000004</v>
          </cell>
          <cell r="LI58">
            <v>1.0170245200000001</v>
          </cell>
          <cell r="LJ58">
            <v>0</v>
          </cell>
          <cell r="LK58">
            <v>2.0127047600000001</v>
          </cell>
          <cell r="LL58">
            <v>3.6556383799999996</v>
          </cell>
          <cell r="LM58">
            <v>0.69165471999999995</v>
          </cell>
          <cell r="LN58">
            <v>0.34877517000000002</v>
          </cell>
          <cell r="LO58">
            <v>6.2699597499999999</v>
          </cell>
          <cell r="LQ58">
            <v>2749.8664667200001</v>
          </cell>
          <cell r="LR58">
            <v>1.90285233</v>
          </cell>
          <cell r="LS58">
            <v>13.9263236</v>
          </cell>
          <cell r="LT58">
            <v>1.31708555</v>
          </cell>
          <cell r="LU58">
            <v>12.66301415</v>
          </cell>
          <cell r="LV58">
            <v>2.6067808200000004</v>
          </cell>
          <cell r="LW58">
            <v>8.119693E-2</v>
          </cell>
          <cell r="LX58">
            <v>0.31847997</v>
          </cell>
          <cell r="LZ58">
            <v>74.28</v>
          </cell>
          <cell r="MA58">
            <v>63.84</v>
          </cell>
          <cell r="MH58">
            <v>111.25</v>
          </cell>
          <cell r="MI58">
            <v>42.07</v>
          </cell>
          <cell r="MJ58">
            <v>31.24</v>
          </cell>
          <cell r="ML58">
            <v>34.15</v>
          </cell>
          <cell r="MM58">
            <v>46.99</v>
          </cell>
          <cell r="MO58">
            <v>44.39</v>
          </cell>
          <cell r="MP58">
            <v>62.68</v>
          </cell>
          <cell r="MQ58">
            <v>76.33</v>
          </cell>
          <cell r="MU58">
            <v>27.79</v>
          </cell>
          <cell r="MY58">
            <v>106.98</v>
          </cell>
          <cell r="MZ58">
            <v>237</v>
          </cell>
          <cell r="NA58">
            <v>106.74</v>
          </cell>
          <cell r="NB58">
            <v>322.99</v>
          </cell>
          <cell r="NC58">
            <v>55.02</v>
          </cell>
          <cell r="NE58">
            <v>267.54000000000002</v>
          </cell>
        </row>
        <row r="59">
          <cell r="A59">
            <v>43862</v>
          </cell>
          <cell r="B59">
            <v>2</v>
          </cell>
          <cell r="C59">
            <v>2020</v>
          </cell>
          <cell r="D59">
            <v>59</v>
          </cell>
          <cell r="E59">
            <v>43862</v>
          </cell>
          <cell r="F59">
            <v>63.3</v>
          </cell>
          <cell r="G59">
            <v>295.666</v>
          </cell>
          <cell r="H59">
            <v>29371.74</v>
          </cell>
          <cell r="I59">
            <v>86</v>
          </cell>
          <cell r="J59">
            <v>380</v>
          </cell>
          <cell r="K59">
            <v>3.3</v>
          </cell>
          <cell r="L59">
            <v>23.7</v>
          </cell>
          <cell r="N59">
            <v>1.367</v>
          </cell>
          <cell r="O59">
            <v>1.1459999999999999</v>
          </cell>
          <cell r="P59">
            <v>72.378169499999998</v>
          </cell>
          <cell r="Q59">
            <v>1450</v>
          </cell>
          <cell r="R59">
            <v>14500</v>
          </cell>
          <cell r="S59">
            <v>143.69668246445499</v>
          </cell>
          <cell r="T59">
            <v>245.22</v>
          </cell>
          <cell r="U59">
            <v>143.73333333333332</v>
          </cell>
          <cell r="V59">
            <v>245.3</v>
          </cell>
          <cell r="W59">
            <v>120.24000000000001</v>
          </cell>
          <cell r="X59">
            <v>167.30555555555554</v>
          </cell>
          <cell r="Y59">
            <v>9096</v>
          </cell>
          <cell r="Z59">
            <v>15522.425999999999</v>
          </cell>
          <cell r="AA59">
            <v>9098.3199999999979</v>
          </cell>
          <cell r="AB59">
            <v>15527.49</v>
          </cell>
          <cell r="AC59">
            <v>7611.192</v>
          </cell>
          <cell r="AD59">
            <v>10590.441666666666</v>
          </cell>
          <cell r="AE59">
            <v>11240.97827777778</v>
          </cell>
          <cell r="AF59">
            <v>34465.25</v>
          </cell>
          <cell r="AG59">
            <v>15250</v>
          </cell>
          <cell r="AH59">
            <v>58100</v>
          </cell>
          <cell r="AI59">
            <v>10.4</v>
          </cell>
          <cell r="AJ59">
            <v>7.25</v>
          </cell>
          <cell r="AK59">
            <v>7.34</v>
          </cell>
          <cell r="AL59">
            <v>9.35</v>
          </cell>
          <cell r="AM59">
            <v>9.2264000000000017</v>
          </cell>
          <cell r="AN59">
            <v>49.04</v>
          </cell>
          <cell r="AO59">
            <v>45.08</v>
          </cell>
          <cell r="AP59">
            <v>47.06</v>
          </cell>
          <cell r="AQ59">
            <v>28.2</v>
          </cell>
          <cell r="AR59">
            <v>40.94</v>
          </cell>
          <cell r="AS59">
            <v>11.94</v>
          </cell>
          <cell r="AT59">
            <v>53.72</v>
          </cell>
          <cell r="AU59">
            <v>35.533333333333331</v>
          </cell>
          <cell r="AV59">
            <v>15.38</v>
          </cell>
          <cell r="AW59">
            <v>18.399999999999999</v>
          </cell>
          <cell r="AX59">
            <v>10.73</v>
          </cell>
          <cell r="AY59">
            <v>29.79</v>
          </cell>
          <cell r="AZ59">
            <v>38.020000000000003</v>
          </cell>
          <cell r="BA59">
            <v>12.42</v>
          </cell>
          <cell r="BB59">
            <v>22.74</v>
          </cell>
          <cell r="BC59">
            <v>1120</v>
          </cell>
          <cell r="BD59">
            <v>1162.3499999999999</v>
          </cell>
          <cell r="BE59">
            <v>940</v>
          </cell>
          <cell r="BF59">
            <v>550</v>
          </cell>
          <cell r="BG59">
            <v>943.08749999999998</v>
          </cell>
          <cell r="BH59">
            <v>87.63</v>
          </cell>
          <cell r="BI59">
            <v>31.36</v>
          </cell>
          <cell r="BJ59">
            <v>118.99</v>
          </cell>
          <cell r="BK59">
            <v>92.460999999999999</v>
          </cell>
          <cell r="BL59">
            <v>100.93</v>
          </cell>
          <cell r="BM59">
            <v>96.69550000000001</v>
          </cell>
          <cell r="BN59">
            <v>17.57</v>
          </cell>
          <cell r="BO59">
            <v>83.341666666666669</v>
          </cell>
          <cell r="BP59">
            <v>50.16</v>
          </cell>
          <cell r="BQ59">
            <v>80.023500000000013</v>
          </cell>
          <cell r="BR59">
            <v>68.09</v>
          </cell>
          <cell r="BS59">
            <v>190</v>
          </cell>
          <cell r="BT59">
            <v>165.21299999999999</v>
          </cell>
          <cell r="BU59">
            <v>2775.6390000000001</v>
          </cell>
          <cell r="BV59">
            <v>101.6</v>
          </cell>
          <cell r="BW59">
            <v>185</v>
          </cell>
          <cell r="BY59">
            <v>459.10252879046925</v>
          </cell>
          <cell r="BZ59">
            <v>428.72258936817127</v>
          </cell>
          <cell r="CA59">
            <v>439.34337481258802</v>
          </cell>
          <cell r="CB59">
            <v>430.02678631936215</v>
          </cell>
          <cell r="CC59">
            <v>430.71071316296263</v>
          </cell>
          <cell r="CD59">
            <v>455.18688940208102</v>
          </cell>
          <cell r="CE59">
            <v>403.54996819732207</v>
          </cell>
          <cell r="CF59">
            <v>457.44935998321046</v>
          </cell>
          <cell r="CG59">
            <v>436.04451531292108</v>
          </cell>
          <cell r="CH59">
            <v>471.31517390132626</v>
          </cell>
          <cell r="CI59">
            <v>431.59960363324751</v>
          </cell>
          <cell r="CJ59">
            <v>391.94189950173745</v>
          </cell>
          <cell r="CK59">
            <v>385.06062343316046</v>
          </cell>
          <cell r="CL59">
            <v>447.23616656460888</v>
          </cell>
          <cell r="CM59">
            <v>449.16226841695294</v>
          </cell>
          <cell r="CN59">
            <v>370.94046912539613</v>
          </cell>
          <cell r="CO59">
            <v>413.09988188502962</v>
          </cell>
          <cell r="CP59">
            <v>433.2670341194177</v>
          </cell>
          <cell r="CQ59">
            <v>382.51119687825036</v>
          </cell>
          <cell r="CR59">
            <v>406.2082810592056</v>
          </cell>
          <cell r="CS59">
            <v>394.35973896872798</v>
          </cell>
          <cell r="CT59">
            <v>380.97097207494721</v>
          </cell>
          <cell r="CU59">
            <v>414.94962660771517</v>
          </cell>
          <cell r="CV59">
            <v>375.15247740518555</v>
          </cell>
          <cell r="CW59">
            <v>375.15247740518555</v>
          </cell>
          <cell r="CX59">
            <v>388.41819380602874</v>
          </cell>
          <cell r="CY59">
            <v>387.41008986531966</v>
          </cell>
          <cell r="CZ59">
            <v>470.8175094395034</v>
          </cell>
          <cell r="DA59">
            <v>396.21021404820709</v>
          </cell>
          <cell r="DB59">
            <v>405.11280405721993</v>
          </cell>
          <cell r="DC59">
            <v>442.95675138277346</v>
          </cell>
          <cell r="DD59">
            <v>432.90670291944019</v>
          </cell>
          <cell r="DE59">
            <v>391.85678919867934</v>
          </cell>
          <cell r="DF59">
            <v>438.11945354735576</v>
          </cell>
          <cell r="DG59">
            <v>414.98812137301752</v>
          </cell>
          <cell r="DH59">
            <v>408.34744032562645</v>
          </cell>
          <cell r="DI59">
            <v>387.43228165426314</v>
          </cell>
          <cell r="DK59">
            <v>450000</v>
          </cell>
          <cell r="DL59" t="str">
            <v>2019-20</v>
          </cell>
          <cell r="DM59">
            <v>190000</v>
          </cell>
          <cell r="DN59" t="str">
            <v>2019-20</v>
          </cell>
          <cell r="DO59">
            <v>1270000</v>
          </cell>
          <cell r="DP59" t="str">
            <v>2019-20</v>
          </cell>
          <cell r="DQ59">
            <v>1600000</v>
          </cell>
          <cell r="DR59" t="str">
            <v>2019-20</v>
          </cell>
          <cell r="DS59">
            <v>6300000</v>
          </cell>
          <cell r="DT59" t="str">
            <v>2019-20</v>
          </cell>
          <cell r="DU59">
            <v>17400000</v>
          </cell>
          <cell r="DV59" t="str">
            <v>2019-20</v>
          </cell>
          <cell r="DW59">
            <v>510000</v>
          </cell>
          <cell r="DX59" t="str">
            <v>2019-20</v>
          </cell>
          <cell r="DY59">
            <v>6900000</v>
          </cell>
          <cell r="DZ59" t="str">
            <v>2019-20</v>
          </cell>
          <cell r="EA59">
            <v>33980000</v>
          </cell>
          <cell r="EB59">
            <v>370000</v>
          </cell>
          <cell r="EC59" t="str">
            <v>2019-20</v>
          </cell>
          <cell r="ED59">
            <v>174820</v>
          </cell>
          <cell r="EE59">
            <v>2020</v>
          </cell>
          <cell r="EF59">
            <v>214798</v>
          </cell>
          <cell r="EG59">
            <v>2020</v>
          </cell>
          <cell r="EH59">
            <v>54460799</v>
          </cell>
          <cell r="EI59">
            <v>2020</v>
          </cell>
          <cell r="EJ59">
            <v>5128954</v>
          </cell>
          <cell r="EK59">
            <v>2019</v>
          </cell>
          <cell r="EL59">
            <v>14339908</v>
          </cell>
          <cell r="EM59">
            <v>2018</v>
          </cell>
          <cell r="EN59">
            <v>3201657</v>
          </cell>
          <cell r="EO59">
            <v>2019</v>
          </cell>
          <cell r="EP59">
            <v>6552</v>
          </cell>
          <cell r="EQ59">
            <v>3257556</v>
          </cell>
          <cell r="ER59">
            <v>33739</v>
          </cell>
          <cell r="ET59">
            <v>19456</v>
          </cell>
          <cell r="EU59">
            <v>17935</v>
          </cell>
          <cell r="EV59">
            <v>9101</v>
          </cell>
          <cell r="EW59">
            <v>17303</v>
          </cell>
          <cell r="EX59">
            <v>63795</v>
          </cell>
          <cell r="EY59">
            <v>19804</v>
          </cell>
          <cell r="EZ59">
            <v>79940</v>
          </cell>
          <cell r="FA59">
            <v>20476</v>
          </cell>
          <cell r="FB59">
            <v>18080</v>
          </cell>
          <cell r="FC59">
            <v>38556</v>
          </cell>
          <cell r="FD59">
            <v>59152.38</v>
          </cell>
          <cell r="FF59">
            <v>870000</v>
          </cell>
          <cell r="FG59" t="str">
            <v>2018-19</v>
          </cell>
          <cell r="FH59">
            <v>1200000</v>
          </cell>
          <cell r="FI59" t="str">
            <v>2018-19</v>
          </cell>
          <cell r="FJ59">
            <v>3800000</v>
          </cell>
          <cell r="FK59" t="str">
            <v>2019-20</v>
          </cell>
          <cell r="FL59">
            <v>3500000</v>
          </cell>
          <cell r="FM59" t="str">
            <v>2019-20</v>
          </cell>
          <cell r="FN59">
            <v>50000000</v>
          </cell>
          <cell r="FO59" t="str">
            <v>2019-20</v>
          </cell>
          <cell r="FP59">
            <v>54500000</v>
          </cell>
          <cell r="FQ59" t="str">
            <v>2019-20</v>
          </cell>
          <cell r="FR59">
            <v>1600000</v>
          </cell>
          <cell r="FS59" t="str">
            <v>2018-19</v>
          </cell>
          <cell r="FT59">
            <v>19750000</v>
          </cell>
          <cell r="FU59" t="str">
            <v>2019-20</v>
          </cell>
          <cell r="FV59">
            <v>133150000</v>
          </cell>
          <cell r="FW59">
            <v>1300000</v>
          </cell>
          <cell r="FX59" t="str">
            <v>2018-19</v>
          </cell>
          <cell r="FY59">
            <v>37349</v>
          </cell>
          <cell r="FZ59">
            <v>839205.57400000014</v>
          </cell>
          <cell r="GA59" t="str">
            <v>mar19 feb20</v>
          </cell>
          <cell r="GB59">
            <v>20557455</v>
          </cell>
          <cell r="GC59">
            <v>2020</v>
          </cell>
          <cell r="GD59">
            <v>1974652</v>
          </cell>
          <cell r="GE59">
            <v>367136</v>
          </cell>
          <cell r="GF59">
            <v>957160</v>
          </cell>
          <cell r="GG59">
            <v>89049</v>
          </cell>
          <cell r="GH59">
            <v>1413345</v>
          </cell>
          <cell r="GI59">
            <v>1302556</v>
          </cell>
          <cell r="GJ59">
            <v>666015</v>
          </cell>
          <cell r="GK59">
            <v>1221000</v>
          </cell>
          <cell r="GL59">
            <v>294346.89</v>
          </cell>
          <cell r="GM59">
            <v>260133.24</v>
          </cell>
          <cell r="GN59">
            <v>2441495.13</v>
          </cell>
          <cell r="GO59">
            <v>198452.81</v>
          </cell>
          <cell r="GP59">
            <v>73538</v>
          </cell>
          <cell r="GQ59">
            <v>150763</v>
          </cell>
          <cell r="GR59">
            <v>42000</v>
          </cell>
          <cell r="GS59">
            <v>46522.89</v>
          </cell>
          <cell r="GT59">
            <v>2884000</v>
          </cell>
          <cell r="GU59">
            <v>127191</v>
          </cell>
          <cell r="GV59">
            <v>39394</v>
          </cell>
          <cell r="GW59">
            <v>1120444</v>
          </cell>
          <cell r="GX59">
            <v>34954.608</v>
          </cell>
          <cell r="GY59" t="str">
            <v>2019-2020</v>
          </cell>
          <cell r="GZ59">
            <v>112856</v>
          </cell>
          <cell r="HA59">
            <v>224000</v>
          </cell>
          <cell r="HB59">
            <v>3118914.0869999998</v>
          </cell>
          <cell r="HC59" t="str">
            <v>mar19 feb20</v>
          </cell>
          <cell r="HD59">
            <v>47793</v>
          </cell>
          <cell r="HE59">
            <v>631347</v>
          </cell>
          <cell r="HF59" t="str">
            <v>mar19 feb20</v>
          </cell>
          <cell r="HG59">
            <v>167000</v>
          </cell>
          <cell r="HH59">
            <v>2210000</v>
          </cell>
          <cell r="HI59" t="str">
            <v>mar19 feb20</v>
          </cell>
          <cell r="HJ59">
            <v>69776</v>
          </cell>
          <cell r="HK59">
            <v>58662.717600000004</v>
          </cell>
          <cell r="HL59" t="str">
            <v>mar19 feb20</v>
          </cell>
          <cell r="HM59">
            <v>2268662.7176000001</v>
          </cell>
          <cell r="HN59">
            <v>0.15397276672153226</v>
          </cell>
          <cell r="HO59">
            <v>771200000</v>
          </cell>
          <cell r="HP59">
            <v>10490.7</v>
          </cell>
          <cell r="HQ59" t="str">
            <v>mar19 feb20</v>
          </cell>
          <cell r="HU59">
            <v>650000</v>
          </cell>
          <cell r="HV59" t="str">
            <v>2018-19</v>
          </cell>
          <cell r="HW59">
            <v>1300000</v>
          </cell>
          <cell r="HX59" t="str">
            <v>2019-20</v>
          </cell>
          <cell r="HY59">
            <v>3500000</v>
          </cell>
          <cell r="HZ59" t="str">
            <v>2019-20</v>
          </cell>
          <cell r="IA59">
            <v>21220000.000000004</v>
          </cell>
          <cell r="IB59" t="str">
            <v>2018-19</v>
          </cell>
          <cell r="IC59">
            <v>48900000</v>
          </cell>
          <cell r="ID59" t="str">
            <v>2018-19</v>
          </cell>
          <cell r="IE59">
            <v>1150000</v>
          </cell>
          <cell r="IF59" t="str">
            <v>2018-19</v>
          </cell>
          <cell r="IG59">
            <v>7500000</v>
          </cell>
          <cell r="IH59" t="str">
            <v>2019-20</v>
          </cell>
          <cell r="II59">
            <v>83570000</v>
          </cell>
          <cell r="IJ59">
            <v>1.6426981485239711</v>
          </cell>
          <cell r="IK59" t="str">
            <v>2018-19</v>
          </cell>
          <cell r="IL59">
            <v>38.4</v>
          </cell>
          <cell r="IM59">
            <v>49.14</v>
          </cell>
          <cell r="IN59">
            <v>182</v>
          </cell>
          <cell r="IO59">
            <v>13.86</v>
          </cell>
          <cell r="IP59">
            <v>5.7952865471342916</v>
          </cell>
          <cell r="IQ59">
            <v>20.7</v>
          </cell>
          <cell r="IR59">
            <v>4.79</v>
          </cell>
          <cell r="IS59">
            <v>5.29</v>
          </cell>
          <cell r="IT59">
            <v>12.22</v>
          </cell>
          <cell r="IU59">
            <v>0.38</v>
          </cell>
          <cell r="IV59">
            <v>17.89</v>
          </cell>
          <cell r="IY59">
            <v>1.86</v>
          </cell>
          <cell r="IZ59">
            <v>0.1</v>
          </cell>
          <cell r="JA59">
            <v>1000</v>
          </cell>
          <cell r="JF59">
            <v>8.3359060599999975</v>
          </cell>
          <cell r="JG59">
            <v>20.995961339999997</v>
          </cell>
          <cell r="JH59">
            <v>114.79685448999999</v>
          </cell>
          <cell r="JI59">
            <v>66.148637149999999</v>
          </cell>
          <cell r="JJ59">
            <v>308.49678085000005</v>
          </cell>
          <cell r="JK59">
            <v>77.116674409999987</v>
          </cell>
          <cell r="JL59">
            <v>1166.30501931</v>
          </cell>
          <cell r="JM59">
            <v>0.76036999999999999</v>
          </cell>
          <cell r="JN59">
            <v>540.20769413999994</v>
          </cell>
          <cell r="JO59">
            <v>18.609693640000003</v>
          </cell>
          <cell r="JP59">
            <v>0</v>
          </cell>
          <cell r="JQ59">
            <v>0.14490235000000001</v>
          </cell>
          <cell r="JR59">
            <v>1.4193711</v>
          </cell>
          <cell r="JS59">
            <v>0</v>
          </cell>
          <cell r="JT59">
            <v>0.99619522999999999</v>
          </cell>
          <cell r="JU59">
            <v>74.84858914000003</v>
          </cell>
          <cell r="JV59">
            <v>11.781496920000002</v>
          </cell>
          <cell r="JW59">
            <v>51.544083159999992</v>
          </cell>
          <cell r="JX59">
            <v>9.7449825099999998</v>
          </cell>
          <cell r="JY59">
            <v>0</v>
          </cell>
          <cell r="JZ59">
            <v>2.9534803899999997</v>
          </cell>
          <cell r="KA59">
            <v>0.88588001000000005</v>
          </cell>
          <cell r="KB59">
            <v>14.196498070000001</v>
          </cell>
          <cell r="KC59">
            <v>29.931534000000003</v>
          </cell>
          <cell r="KD59">
            <v>7.6046125600000005</v>
          </cell>
          <cell r="KE59">
            <v>13.870933989999997</v>
          </cell>
          <cell r="KF59">
            <v>46.655842550000003</v>
          </cell>
          <cell r="KG59">
            <v>261.23217963000013</v>
          </cell>
          <cell r="KH59">
            <v>108.29074420999999</v>
          </cell>
          <cell r="KI59">
            <v>24.22105174</v>
          </cell>
          <cell r="KJ59">
            <v>5.0733414000000003</v>
          </cell>
          <cell r="KK59">
            <v>4.6347864300000001</v>
          </cell>
          <cell r="KL59">
            <v>0.36344711999999996</v>
          </cell>
          <cell r="KM59">
            <v>4.607304759999999</v>
          </cell>
          <cell r="KN59">
            <v>6.3329999999999992E-5</v>
          </cell>
          <cell r="KO59">
            <v>0.16374398000000001</v>
          </cell>
          <cell r="KP59">
            <v>4.5893969999999999E-2</v>
          </cell>
          <cell r="KQ59">
            <v>211.20476477999998</v>
          </cell>
          <cell r="KR59">
            <v>0</v>
          </cell>
          <cell r="KS59">
            <v>0.32714451999999999</v>
          </cell>
          <cell r="KT59">
            <v>2.1096150300000001</v>
          </cell>
          <cell r="KU59">
            <v>0.3905169</v>
          </cell>
          <cell r="KV59">
            <v>0</v>
          </cell>
          <cell r="KW59">
            <v>0.63872328</v>
          </cell>
          <cell r="KX59">
            <v>0</v>
          </cell>
          <cell r="KY59">
            <v>0</v>
          </cell>
          <cell r="KZ59">
            <v>0.38385280999999999</v>
          </cell>
          <cell r="LA59">
            <v>0.49327887999999998</v>
          </cell>
          <cell r="LB59">
            <v>1.9958689999999998E-2</v>
          </cell>
          <cell r="LC59">
            <v>7.6258300000000001E-3</v>
          </cell>
          <cell r="LD59">
            <v>0</v>
          </cell>
          <cell r="LE59">
            <v>0.23112358999999999</v>
          </cell>
          <cell r="LF59">
            <v>0.26897578999999999</v>
          </cell>
          <cell r="LG59">
            <v>11.845314869999999</v>
          </cell>
          <cell r="LH59">
            <v>3.1139034799999998</v>
          </cell>
          <cell r="LI59">
            <v>1.2841839799999999</v>
          </cell>
          <cell r="LJ59">
            <v>8.6147399999999992E-3</v>
          </cell>
          <cell r="LK59">
            <v>2.8002097799999999</v>
          </cell>
          <cell r="LL59">
            <v>3.3597020299999993</v>
          </cell>
          <cell r="LM59">
            <v>0.56234101999999997</v>
          </cell>
          <cell r="LN59">
            <v>0.45697652999999999</v>
          </cell>
          <cell r="LO59">
            <v>5.9340322200000006</v>
          </cell>
          <cell r="LQ59">
            <v>2196.7153559399999</v>
          </cell>
          <cell r="LR59">
            <v>2.5604686800000001</v>
          </cell>
          <cell r="LS59">
            <v>63.325580079999995</v>
          </cell>
          <cell r="LT59">
            <v>3.8393603999999999</v>
          </cell>
          <cell r="LU59">
            <v>216.30302136999995</v>
          </cell>
          <cell r="LV59">
            <v>0.63872328</v>
          </cell>
          <cell r="LW59">
            <v>0.51323756999999992</v>
          </cell>
          <cell r="LX59">
            <v>0.50009937999999998</v>
          </cell>
          <cell r="LZ59">
            <v>75.03</v>
          </cell>
          <cell r="MA59">
            <v>66.040000000000006</v>
          </cell>
          <cell r="MH59">
            <v>112.99</v>
          </cell>
          <cell r="MI59">
            <v>43.62</v>
          </cell>
          <cell r="MJ59">
            <v>33.229999999999997</v>
          </cell>
          <cell r="ML59">
            <v>35.14</v>
          </cell>
          <cell r="MM59">
            <v>52.95</v>
          </cell>
          <cell r="MO59">
            <v>37.93</v>
          </cell>
          <cell r="MP59">
            <v>63.33</v>
          </cell>
          <cell r="MQ59">
            <v>76.97</v>
          </cell>
          <cell r="MU59">
            <v>30.27</v>
          </cell>
          <cell r="MY59">
            <v>112.5</v>
          </cell>
          <cell r="MZ59">
            <v>341</v>
          </cell>
          <cell r="NA59">
            <v>105.33</v>
          </cell>
          <cell r="NB59">
            <v>322.44</v>
          </cell>
          <cell r="NC59">
            <v>54.01</v>
          </cell>
          <cell r="NE59">
            <v>270.98</v>
          </cell>
        </row>
        <row r="60">
          <cell r="A60">
            <v>43891</v>
          </cell>
          <cell r="B60">
            <v>3</v>
          </cell>
          <cell r="C60">
            <v>2020</v>
          </cell>
          <cell r="D60">
            <v>60</v>
          </cell>
          <cell r="E60">
            <v>43891</v>
          </cell>
          <cell r="F60">
            <v>64.56</v>
          </cell>
          <cell r="G60">
            <v>305.55149999999998</v>
          </cell>
          <cell r="H60">
            <v>30171.74</v>
          </cell>
          <cell r="I60">
            <v>85</v>
          </cell>
          <cell r="J60">
            <v>380</v>
          </cell>
          <cell r="K60">
            <v>3.3</v>
          </cell>
          <cell r="L60">
            <v>24.1</v>
          </cell>
          <cell r="N60">
            <v>1.2609999999999999</v>
          </cell>
          <cell r="O60">
            <v>1.048</v>
          </cell>
          <cell r="P60">
            <v>70.807794000000001</v>
          </cell>
          <cell r="Q60">
            <v>1350</v>
          </cell>
          <cell r="R60">
            <v>13500</v>
          </cell>
          <cell r="S60">
            <v>133.26827757125153</v>
          </cell>
          <cell r="T60">
            <v>224.94</v>
          </cell>
          <cell r="U60">
            <v>142.0736842105263</v>
          </cell>
          <cell r="V60">
            <v>220.36</v>
          </cell>
          <cell r="W60">
            <v>120.24000000000001</v>
          </cell>
          <cell r="X60">
            <v>165.68421052631578</v>
          </cell>
          <cell r="Y60">
            <v>8603.7999999999993</v>
          </cell>
          <cell r="Z60">
            <v>14522.126400000001</v>
          </cell>
          <cell r="AA60">
            <v>9172.277052631578</v>
          </cell>
          <cell r="AB60">
            <v>14226.441600000002</v>
          </cell>
          <cell r="AC60">
            <v>7762.6944000000012</v>
          </cell>
          <cell r="AD60">
            <v>10696.572631578947</v>
          </cell>
          <cell r="AE60">
            <v>10830.652014035088</v>
          </cell>
          <cell r="AF60">
            <v>34978</v>
          </cell>
          <cell r="AG60">
            <v>15250</v>
          </cell>
          <cell r="AH60">
            <v>58100</v>
          </cell>
          <cell r="AI60">
            <v>10.443899999999999</v>
          </cell>
          <cell r="AJ60">
            <v>8.9084000000000003</v>
          </cell>
          <cell r="AK60">
            <v>9.8363999999999994</v>
          </cell>
          <cell r="AL60">
            <v>8.8211999999999993</v>
          </cell>
          <cell r="AM60">
            <v>9.8350819999999999</v>
          </cell>
          <cell r="AN60">
            <v>47.068977272727267</v>
          </cell>
          <cell r="AO60">
            <v>37.355789473684219</v>
          </cell>
          <cell r="AP60">
            <v>42.212383373205739</v>
          </cell>
          <cell r="AQ60">
            <v>25.028947368421058</v>
          </cell>
          <cell r="AR60">
            <v>26.953157894736844</v>
          </cell>
          <cell r="AS60">
            <v>14.745684210526312</v>
          </cell>
          <cell r="AT60">
            <v>62.856842105263169</v>
          </cell>
          <cell r="AU60">
            <v>34.851894736842105</v>
          </cell>
          <cell r="AV60">
            <v>13.302307692307695</v>
          </cell>
          <cell r="AW60">
            <v>18.597894736842104</v>
          </cell>
          <cell r="AX60">
            <v>12.373157894736842</v>
          </cell>
          <cell r="AY60">
            <v>36.916315789473686</v>
          </cell>
          <cell r="AZ60">
            <v>48.285789473684211</v>
          </cell>
          <cell r="BA60">
            <v>9.5868421052631572</v>
          </cell>
          <cell r="BB60">
            <v>26.790526315789474</v>
          </cell>
          <cell r="BC60">
            <v>1121</v>
          </cell>
          <cell r="BD60">
            <v>1352</v>
          </cell>
          <cell r="BE60">
            <v>940</v>
          </cell>
          <cell r="BF60">
            <v>550</v>
          </cell>
          <cell r="BG60">
            <v>990.75</v>
          </cell>
          <cell r="BH60">
            <v>87.63</v>
          </cell>
          <cell r="BI60">
            <v>25</v>
          </cell>
          <cell r="BJ60">
            <v>112.63</v>
          </cell>
          <cell r="BK60">
            <v>97.239000000000004</v>
          </cell>
          <cell r="BL60">
            <v>106.02</v>
          </cell>
          <cell r="BM60">
            <v>101.62950000000001</v>
          </cell>
          <cell r="BN60">
            <v>18.079999999999998</v>
          </cell>
          <cell r="BO60">
            <v>82.879411764705878</v>
          </cell>
          <cell r="BP60">
            <v>51.28</v>
          </cell>
          <cell r="BQ60">
            <v>79.719470588235296</v>
          </cell>
          <cell r="BR60">
            <v>68.765000000000001</v>
          </cell>
          <cell r="BS60">
            <v>190</v>
          </cell>
          <cell r="BT60">
            <v>147.8424</v>
          </cell>
          <cell r="BU60">
            <v>2723.5272</v>
          </cell>
          <cell r="BV60">
            <v>105.3</v>
          </cell>
          <cell r="BW60">
            <v>235</v>
          </cell>
          <cell r="BY60">
            <v>447.96425717866521</v>
          </cell>
          <cell r="BZ60">
            <v>424.64504641505101</v>
          </cell>
          <cell r="CA60">
            <v>427.0927107774088</v>
          </cell>
          <cell r="CB60">
            <v>414.06332495200246</v>
          </cell>
          <cell r="CC60">
            <v>428.57644912304602</v>
          </cell>
          <cell r="CD60">
            <v>433.32360111225159</v>
          </cell>
          <cell r="CE60">
            <v>404.87803443663478</v>
          </cell>
          <cell r="CF60">
            <v>450.81048896511453</v>
          </cell>
          <cell r="CG60">
            <v>426.45743489440969</v>
          </cell>
          <cell r="CH60">
            <v>467.3433832223065</v>
          </cell>
          <cell r="CI60">
            <v>428.42959993363951</v>
          </cell>
          <cell r="CJ60">
            <v>399.9802862073542</v>
          </cell>
          <cell r="CK60">
            <v>399.79671524330797</v>
          </cell>
          <cell r="CL60">
            <v>480.68142452527195</v>
          </cell>
          <cell r="CM60">
            <v>498.67735435695704</v>
          </cell>
          <cell r="CN60">
            <v>368.00723479741339</v>
          </cell>
          <cell r="CO60">
            <v>436.79068223073762</v>
          </cell>
          <cell r="CP60">
            <v>446.06287948317276</v>
          </cell>
          <cell r="CQ60">
            <v>388.03924215053377</v>
          </cell>
          <cell r="CR60">
            <v>401.83489734713334</v>
          </cell>
          <cell r="CS60">
            <v>394.93706974883355</v>
          </cell>
          <cell r="CT60">
            <v>383.97297713154302</v>
          </cell>
          <cell r="CU60">
            <v>403.34880502460084</v>
          </cell>
          <cell r="CV60">
            <v>386.36655570793425</v>
          </cell>
          <cell r="CW60">
            <v>386.36655570793425</v>
          </cell>
          <cell r="CX60">
            <v>392.02730548015643</v>
          </cell>
          <cell r="CY60">
            <v>396.47698635092257</v>
          </cell>
          <cell r="CZ60">
            <v>480.94898087428231</v>
          </cell>
          <cell r="DA60">
            <v>404.34293783937818</v>
          </cell>
          <cell r="DB60">
            <v>415.35806447986755</v>
          </cell>
          <cell r="DC60">
            <v>448.10114884739403</v>
          </cell>
          <cell r="DD60">
            <v>437.78942248806948</v>
          </cell>
          <cell r="DE60">
            <v>396.39796501648613</v>
          </cell>
          <cell r="DF60">
            <v>443.05540749966588</v>
          </cell>
          <cell r="DG60">
            <v>419.72668625807603</v>
          </cell>
          <cell r="DH60">
            <v>418.32067441109916</v>
          </cell>
          <cell r="DI60">
            <v>394.53081653216549</v>
          </cell>
          <cell r="DK60">
            <v>450000</v>
          </cell>
          <cell r="DL60" t="str">
            <v>2019-20</v>
          </cell>
          <cell r="DM60">
            <v>190000</v>
          </cell>
          <cell r="DN60" t="str">
            <v>2019-20</v>
          </cell>
          <cell r="DO60">
            <v>1270000</v>
          </cell>
          <cell r="DP60" t="str">
            <v>2019-20</v>
          </cell>
          <cell r="DQ60">
            <v>1600000</v>
          </cell>
          <cell r="DR60" t="str">
            <v>2019-20</v>
          </cell>
          <cell r="DS60">
            <v>6300000</v>
          </cell>
          <cell r="DT60" t="str">
            <v>2019-20</v>
          </cell>
          <cell r="DU60">
            <v>17300000</v>
          </cell>
          <cell r="DV60" t="str">
            <v>2019-20</v>
          </cell>
          <cell r="DW60">
            <v>510000</v>
          </cell>
          <cell r="DX60" t="str">
            <v>2019-20</v>
          </cell>
          <cell r="DY60">
            <v>6900000</v>
          </cell>
          <cell r="DZ60" t="str">
            <v>2019-20</v>
          </cell>
          <cell r="EA60">
            <v>33880000</v>
          </cell>
          <cell r="EB60">
            <v>351733</v>
          </cell>
          <cell r="EC60" t="str">
            <v>2019-20</v>
          </cell>
          <cell r="ED60">
            <v>174820</v>
          </cell>
          <cell r="EE60">
            <v>2020</v>
          </cell>
          <cell r="EF60">
            <v>214798</v>
          </cell>
          <cell r="EG60">
            <v>2020</v>
          </cell>
          <cell r="EH60">
            <v>54460799</v>
          </cell>
          <cell r="EI60">
            <v>2020</v>
          </cell>
          <cell r="EJ60">
            <v>5377071</v>
          </cell>
          <cell r="EK60">
            <v>2020</v>
          </cell>
          <cell r="EL60">
            <v>14339908</v>
          </cell>
          <cell r="EM60">
            <v>2018</v>
          </cell>
          <cell r="EN60">
            <v>3201657</v>
          </cell>
          <cell r="EO60">
            <v>2019</v>
          </cell>
          <cell r="EP60">
            <v>6552</v>
          </cell>
          <cell r="EQ60">
            <v>3257556</v>
          </cell>
          <cell r="ER60">
            <v>33739</v>
          </cell>
          <cell r="ET60">
            <v>19456</v>
          </cell>
          <cell r="EU60">
            <v>17935</v>
          </cell>
          <cell r="EV60">
            <v>9101</v>
          </cell>
          <cell r="EW60">
            <v>17303</v>
          </cell>
          <cell r="EX60">
            <v>63795</v>
          </cell>
          <cell r="EY60">
            <v>19804</v>
          </cell>
          <cell r="EZ60">
            <v>79940</v>
          </cell>
          <cell r="FA60">
            <v>20476</v>
          </cell>
          <cell r="FB60">
            <v>18080</v>
          </cell>
          <cell r="FC60">
            <v>38556</v>
          </cell>
          <cell r="FD60">
            <v>59152.38</v>
          </cell>
          <cell r="FF60">
            <v>870000</v>
          </cell>
          <cell r="FG60" t="str">
            <v>2018-19</v>
          </cell>
          <cell r="FH60">
            <v>1200000</v>
          </cell>
          <cell r="FI60" t="str">
            <v>2018-19</v>
          </cell>
          <cell r="FJ60">
            <v>3800000</v>
          </cell>
          <cell r="FK60" t="str">
            <v>2019-20</v>
          </cell>
          <cell r="FL60">
            <v>3500000</v>
          </cell>
          <cell r="FM60" t="str">
            <v>2019-20</v>
          </cell>
          <cell r="FN60">
            <v>50000000</v>
          </cell>
          <cell r="FO60" t="str">
            <v>2019-20</v>
          </cell>
          <cell r="FP60">
            <v>54500000</v>
          </cell>
          <cell r="FQ60" t="str">
            <v>2019-20</v>
          </cell>
          <cell r="FR60">
            <v>1600000</v>
          </cell>
          <cell r="FS60" t="str">
            <v>2018-19</v>
          </cell>
          <cell r="FT60">
            <v>19750000</v>
          </cell>
          <cell r="FU60" t="str">
            <v>2019-20</v>
          </cell>
          <cell r="FV60">
            <v>133150000</v>
          </cell>
          <cell r="FW60">
            <v>1261214</v>
          </cell>
          <cell r="FX60" t="str">
            <v>2019-20</v>
          </cell>
          <cell r="FY60">
            <v>60770</v>
          </cell>
          <cell r="FZ60">
            <v>826660.57400000014</v>
          </cell>
          <cell r="GA60" t="str">
            <v>abr19 mar20</v>
          </cell>
          <cell r="GB60">
            <v>20557455</v>
          </cell>
          <cell r="GC60">
            <v>2020</v>
          </cell>
          <cell r="GD60">
            <v>1974652</v>
          </cell>
          <cell r="GE60">
            <v>367136</v>
          </cell>
          <cell r="GF60">
            <v>957160</v>
          </cell>
          <cell r="GG60">
            <v>89049</v>
          </cell>
          <cell r="GH60">
            <v>1413345</v>
          </cell>
          <cell r="GI60">
            <v>1302556</v>
          </cell>
          <cell r="GJ60">
            <v>666015</v>
          </cell>
          <cell r="GK60">
            <v>1221000</v>
          </cell>
          <cell r="GL60">
            <v>294346.89</v>
          </cell>
          <cell r="GM60">
            <v>260133.24</v>
          </cell>
          <cell r="GN60">
            <v>2441495.13</v>
          </cell>
          <cell r="GO60">
            <v>198452.81</v>
          </cell>
          <cell r="GP60">
            <v>73538</v>
          </cell>
          <cell r="GQ60">
            <v>93028</v>
          </cell>
          <cell r="GR60">
            <v>42000</v>
          </cell>
          <cell r="GS60">
            <v>44790.84</v>
          </cell>
          <cell r="GT60">
            <v>2884000</v>
          </cell>
          <cell r="GU60">
            <v>123257</v>
          </cell>
          <cell r="GV60">
            <v>78517</v>
          </cell>
          <cell r="GW60">
            <v>1158431</v>
          </cell>
          <cell r="GX60">
            <v>34954.608</v>
          </cell>
          <cell r="GY60" t="str">
            <v>2019-2020</v>
          </cell>
          <cell r="GZ60">
            <v>112856</v>
          </cell>
          <cell r="HA60">
            <v>238000</v>
          </cell>
          <cell r="HB60">
            <v>3127916.0869999998</v>
          </cell>
          <cell r="HC60" t="str">
            <v>abr19 mar20</v>
          </cell>
          <cell r="HD60">
            <v>50476</v>
          </cell>
          <cell r="HE60">
            <v>630334</v>
          </cell>
          <cell r="HF60" t="str">
            <v>abr19 mar20</v>
          </cell>
          <cell r="HG60">
            <v>181000</v>
          </cell>
          <cell r="HH60">
            <v>2223000</v>
          </cell>
          <cell r="HI60" t="str">
            <v>abr19 mar20</v>
          </cell>
          <cell r="HJ60">
            <v>84617</v>
          </cell>
          <cell r="HK60">
            <v>59015.217600000004</v>
          </cell>
          <cell r="HL60" t="str">
            <v>abr19 mar20</v>
          </cell>
          <cell r="HM60">
            <v>2282015.2176000001</v>
          </cell>
          <cell r="HN60">
            <v>6.4654594232059104E-2</v>
          </cell>
          <cell r="HO60">
            <v>793700000</v>
          </cell>
          <cell r="HP60">
            <v>10538.9</v>
          </cell>
          <cell r="HQ60" t="str">
            <v>abr19 mar20</v>
          </cell>
          <cell r="HU60">
            <v>650000</v>
          </cell>
          <cell r="HV60" t="str">
            <v>2018-19</v>
          </cell>
          <cell r="HW60">
            <v>1300000</v>
          </cell>
          <cell r="HX60" t="str">
            <v>2019-20</v>
          </cell>
          <cell r="HY60">
            <v>3500000</v>
          </cell>
          <cell r="HZ60" t="str">
            <v>2019-20</v>
          </cell>
          <cell r="IA60">
            <v>21220000.000000004</v>
          </cell>
          <cell r="IB60" t="str">
            <v>2018-19</v>
          </cell>
          <cell r="IC60">
            <v>48900000</v>
          </cell>
          <cell r="ID60" t="str">
            <v>2018-19</v>
          </cell>
          <cell r="IE60">
            <v>1150000</v>
          </cell>
          <cell r="IF60" t="str">
            <v>2018-19</v>
          </cell>
          <cell r="IG60">
            <v>7500000</v>
          </cell>
          <cell r="IH60" t="str">
            <v>2019-20</v>
          </cell>
          <cell r="II60">
            <v>83570000</v>
          </cell>
          <cell r="IJ60">
            <v>1.6815020417961908</v>
          </cell>
          <cell r="IK60" t="str">
            <v>2019-20</v>
          </cell>
          <cell r="IL60">
            <v>42.74</v>
          </cell>
          <cell r="IM60">
            <v>47.42</v>
          </cell>
          <cell r="IN60">
            <v>182</v>
          </cell>
          <cell r="IO60">
            <v>13.51</v>
          </cell>
          <cell r="IP60">
            <v>5.7952865471342916</v>
          </cell>
          <cell r="IQ60">
            <v>20.7</v>
          </cell>
          <cell r="IR60">
            <v>4.79</v>
          </cell>
          <cell r="IS60">
            <v>5.29</v>
          </cell>
          <cell r="IT60">
            <v>12.22</v>
          </cell>
          <cell r="IU60">
            <v>0.38</v>
          </cell>
          <cell r="IV60">
            <v>17.89</v>
          </cell>
          <cell r="IY60">
            <v>1.86</v>
          </cell>
          <cell r="IZ60">
            <v>0.1</v>
          </cell>
          <cell r="JA60">
            <v>1000</v>
          </cell>
          <cell r="JF60">
            <v>3.3030898899999999</v>
          </cell>
          <cell r="JG60">
            <v>7.8512765899999994</v>
          </cell>
          <cell r="JH60">
            <v>56.91594491</v>
          </cell>
          <cell r="JI60">
            <v>88.230056460000029</v>
          </cell>
          <cell r="JJ60">
            <v>657.38837753999996</v>
          </cell>
          <cell r="JK60">
            <v>85.176910079999999</v>
          </cell>
          <cell r="JL60">
            <v>991.61427975999993</v>
          </cell>
          <cell r="JM60">
            <v>0.75294240000000001</v>
          </cell>
          <cell r="JN60">
            <v>316.79154198999993</v>
          </cell>
          <cell r="JO60">
            <v>16.928083139999998</v>
          </cell>
          <cell r="JP60">
            <v>0</v>
          </cell>
          <cell r="JQ60">
            <v>2.0897332099999999</v>
          </cell>
          <cell r="JR60">
            <v>1.4755553699999999</v>
          </cell>
          <cell r="JS60">
            <v>0</v>
          </cell>
          <cell r="JT60">
            <v>1.0442151000000002</v>
          </cell>
          <cell r="JU60">
            <v>72.54816323</v>
          </cell>
          <cell r="JV60">
            <v>13.720755330000001</v>
          </cell>
          <cell r="JW60">
            <v>59.346277619999995</v>
          </cell>
          <cell r="JX60">
            <v>10.05985166</v>
          </cell>
          <cell r="JY60">
            <v>0</v>
          </cell>
          <cell r="JZ60">
            <v>1.9303131300000003</v>
          </cell>
          <cell r="KA60">
            <v>0.79066515999999987</v>
          </cell>
          <cell r="KB60">
            <v>17.480590579999998</v>
          </cell>
          <cell r="KC60">
            <v>18.08845771</v>
          </cell>
          <cell r="KD60">
            <v>9.1432866899999983</v>
          </cell>
          <cell r="KE60">
            <v>18.306018520000002</v>
          </cell>
          <cell r="KF60">
            <v>38.788405180000012</v>
          </cell>
          <cell r="KG60">
            <v>294.33371626000002</v>
          </cell>
          <cell r="KH60">
            <v>92.141892330000005</v>
          </cell>
          <cell r="KI60">
            <v>26.56918349</v>
          </cell>
          <cell r="KJ60">
            <v>4.6732894700000003</v>
          </cell>
          <cell r="KK60">
            <v>3.8005900600000007</v>
          </cell>
          <cell r="KL60">
            <v>0.67932121999999995</v>
          </cell>
          <cell r="KM60">
            <v>5.4672518999999991</v>
          </cell>
          <cell r="KN60">
            <v>7.0970000000000007E-4</v>
          </cell>
          <cell r="KO60">
            <v>0.17052787</v>
          </cell>
          <cell r="KP60">
            <v>6.5579940000000003E-2</v>
          </cell>
          <cell r="KQ60">
            <v>259.73058470000001</v>
          </cell>
          <cell r="KR60">
            <v>0</v>
          </cell>
          <cell r="KS60">
            <v>0.38554642</v>
          </cell>
          <cell r="KT60">
            <v>2.34585321</v>
          </cell>
          <cell r="KU60">
            <v>9.1607880000000003E-2</v>
          </cell>
          <cell r="KV60">
            <v>0</v>
          </cell>
          <cell r="KW60">
            <v>0.89855814000000001</v>
          </cell>
          <cell r="KX60">
            <v>0</v>
          </cell>
          <cell r="KY60">
            <v>0</v>
          </cell>
          <cell r="KZ60">
            <v>0.11190266999999998</v>
          </cell>
          <cell r="LA60">
            <v>0.33169051000000005</v>
          </cell>
          <cell r="LB60">
            <v>0</v>
          </cell>
          <cell r="LC60">
            <v>2.0507849999999998E-2</v>
          </cell>
          <cell r="LD60">
            <v>0</v>
          </cell>
          <cell r="LE60">
            <v>0.23140799000000001</v>
          </cell>
          <cell r="LF60">
            <v>9.1931850000000009E-2</v>
          </cell>
          <cell r="LG60">
            <v>17.098193030000001</v>
          </cell>
          <cell r="LH60">
            <v>3.0692578899999998</v>
          </cell>
          <cell r="LI60">
            <v>1.2015918000000001</v>
          </cell>
          <cell r="LJ60">
            <v>0</v>
          </cell>
          <cell r="LK60">
            <v>1.9749177099999997</v>
          </cell>
          <cell r="LL60">
            <v>4.5652763200000006</v>
          </cell>
          <cell r="LM60">
            <v>0.78141130999999997</v>
          </cell>
          <cell r="LN60">
            <v>0.41152039999999995</v>
          </cell>
          <cell r="LO60">
            <v>6.4818975699999992</v>
          </cell>
          <cell r="LQ60">
            <v>2111.6931430599998</v>
          </cell>
          <cell r="LR60">
            <v>4.6095036799999995</v>
          </cell>
          <cell r="LS60">
            <v>73.067032949999998</v>
          </cell>
          <cell r="LT60">
            <v>2.7209782900000001</v>
          </cell>
          <cell r="LU60">
            <v>265.75462059000006</v>
          </cell>
          <cell r="LV60">
            <v>0.89855814000000001</v>
          </cell>
          <cell r="LW60">
            <v>0.33169051000000005</v>
          </cell>
          <cell r="LX60">
            <v>0.32333984000000004</v>
          </cell>
          <cell r="LZ60">
            <v>78.11</v>
          </cell>
          <cell r="MA60">
            <v>67.75</v>
          </cell>
          <cell r="MH60">
            <v>116.37</v>
          </cell>
          <cell r="MI60">
            <v>43.43</v>
          </cell>
          <cell r="MJ60">
            <v>32.840000000000003</v>
          </cell>
          <cell r="ML60">
            <v>32.22</v>
          </cell>
          <cell r="MM60">
            <v>77.14</v>
          </cell>
          <cell r="MO60">
            <v>35.18</v>
          </cell>
          <cell r="MP60">
            <v>64.12</v>
          </cell>
          <cell r="MQ60">
            <v>77.97</v>
          </cell>
          <cell r="MU60">
            <v>34.909999999999997</v>
          </cell>
          <cell r="MY60">
            <v>114.5</v>
          </cell>
          <cell r="MZ60">
            <v>248</v>
          </cell>
          <cell r="NA60">
            <v>114.96</v>
          </cell>
          <cell r="NB60">
            <v>340.02</v>
          </cell>
          <cell r="NC60">
            <v>55.72</v>
          </cell>
          <cell r="NE60">
            <v>278.14</v>
          </cell>
        </row>
        <row r="61">
          <cell r="A61">
            <v>43922</v>
          </cell>
          <cell r="B61">
            <v>4</v>
          </cell>
          <cell r="C61">
            <v>2020</v>
          </cell>
          <cell r="D61">
            <v>61</v>
          </cell>
          <cell r="E61">
            <v>43922</v>
          </cell>
          <cell r="F61">
            <v>67.25</v>
          </cell>
          <cell r="G61">
            <v>310.12430000000001</v>
          </cell>
          <cell r="H61">
            <v>30971.74</v>
          </cell>
          <cell r="I61">
            <v>82</v>
          </cell>
          <cell r="J61">
            <v>380</v>
          </cell>
          <cell r="K61">
            <v>3.3</v>
          </cell>
          <cell r="L61">
            <v>23.3</v>
          </cell>
          <cell r="N61">
            <v>1.014</v>
          </cell>
          <cell r="O61">
            <v>0.81599999999999995</v>
          </cell>
          <cell r="P61">
            <v>58.457062499999999</v>
          </cell>
          <cell r="Q61">
            <v>1350</v>
          </cell>
          <cell r="R61">
            <v>13500</v>
          </cell>
          <cell r="S61">
            <v>137.38855018587358</v>
          </cell>
          <cell r="T61">
            <v>237.2</v>
          </cell>
          <cell r="U61">
            <v>134.91333333333336</v>
          </cell>
          <cell r="V61">
            <v>214.17</v>
          </cell>
          <cell r="W61">
            <v>120.24000000000001</v>
          </cell>
          <cell r="X61">
            <v>168.22</v>
          </cell>
          <cell r="Y61">
            <v>9239.3799999999992</v>
          </cell>
          <cell r="Z61">
            <v>15951.699999999999</v>
          </cell>
          <cell r="AA61">
            <v>9072.9216666666689</v>
          </cell>
          <cell r="AB61">
            <v>14402.932499999999</v>
          </cell>
          <cell r="AC61">
            <v>8086.14</v>
          </cell>
          <cell r="AD61">
            <v>11312.795</v>
          </cell>
          <cell r="AE61">
            <v>11344.311527777778</v>
          </cell>
          <cell r="AF61">
            <v>42471.5</v>
          </cell>
          <cell r="AG61">
            <v>20000</v>
          </cell>
          <cell r="AH61">
            <v>76000</v>
          </cell>
          <cell r="AI61">
            <v>12.27</v>
          </cell>
          <cell r="AJ61">
            <v>13.86</v>
          </cell>
          <cell r="AK61">
            <v>12.27</v>
          </cell>
          <cell r="AL61">
            <v>11.89</v>
          </cell>
          <cell r="AM61">
            <v>12.2424</v>
          </cell>
          <cell r="AN61">
            <v>49.25</v>
          </cell>
          <cell r="AO61">
            <v>39.409999999999997</v>
          </cell>
          <cell r="AP61">
            <v>44.33</v>
          </cell>
          <cell r="AQ61">
            <v>32.909999999999997</v>
          </cell>
          <cell r="AR61">
            <v>28.34</v>
          </cell>
          <cell r="AS61">
            <v>40.33</v>
          </cell>
          <cell r="AT61">
            <v>52.33</v>
          </cell>
          <cell r="AU61">
            <v>40.333333333333336</v>
          </cell>
          <cell r="AV61">
            <v>16.95</v>
          </cell>
          <cell r="AW61">
            <v>23.01</v>
          </cell>
          <cell r="AX61">
            <v>13.73</v>
          </cell>
          <cell r="AY61">
            <v>42.35</v>
          </cell>
          <cell r="AZ61">
            <v>61.73</v>
          </cell>
          <cell r="BA61">
            <v>10.29</v>
          </cell>
          <cell r="BB61">
            <v>32.024999999999999</v>
          </cell>
          <cell r="BC61">
            <v>1121</v>
          </cell>
          <cell r="BD61">
            <v>1352</v>
          </cell>
          <cell r="BE61">
            <v>940</v>
          </cell>
          <cell r="BF61">
            <v>550</v>
          </cell>
          <cell r="BG61">
            <v>990.75</v>
          </cell>
          <cell r="BH61">
            <v>87.63</v>
          </cell>
          <cell r="BI61">
            <v>25</v>
          </cell>
          <cell r="BJ61">
            <v>112.63</v>
          </cell>
          <cell r="BK61">
            <v>94.305000000000007</v>
          </cell>
          <cell r="BL61">
            <v>103.95</v>
          </cell>
          <cell r="BM61">
            <v>99.127499999999998</v>
          </cell>
          <cell r="BN61">
            <v>18.22</v>
          </cell>
          <cell r="BO61">
            <v>76.67</v>
          </cell>
          <cell r="BP61">
            <v>61.65</v>
          </cell>
          <cell r="BQ61">
            <v>75.168000000000006</v>
          </cell>
          <cell r="BR61">
            <v>63.11</v>
          </cell>
          <cell r="BS61">
            <v>190</v>
          </cell>
          <cell r="BT61">
            <v>116.62</v>
          </cell>
          <cell r="BU61">
            <v>2629.86</v>
          </cell>
          <cell r="BV61">
            <v>110.8</v>
          </cell>
          <cell r="BW61">
            <v>235</v>
          </cell>
          <cell r="BY61">
            <v>428.45727319686011</v>
          </cell>
          <cell r="BZ61">
            <v>428.92243560694538</v>
          </cell>
          <cell r="CA61">
            <v>438.28227117753721</v>
          </cell>
          <cell r="CB61">
            <v>427.9696064312908</v>
          </cell>
          <cell r="CC61">
            <v>430.66787828850028</v>
          </cell>
          <cell r="CD61">
            <v>438.9341226758022</v>
          </cell>
          <cell r="CE61">
            <v>413.41286628607577</v>
          </cell>
          <cell r="CF61">
            <v>461.35326722183015</v>
          </cell>
          <cell r="CG61">
            <v>435.10333534683946</v>
          </cell>
          <cell r="CH61">
            <v>514.2827777593609</v>
          </cell>
          <cell r="CI61">
            <v>447.99475387984262</v>
          </cell>
          <cell r="CJ61">
            <v>421.92399346392762</v>
          </cell>
          <cell r="CK61">
            <v>412.4843044387344</v>
          </cell>
          <cell r="CL61">
            <v>508.76867631115152</v>
          </cell>
          <cell r="CM61">
            <v>560.20504401937455</v>
          </cell>
          <cell r="CN61">
            <v>377.56814709484792</v>
          </cell>
          <cell r="CO61">
            <v>464.7565429660271</v>
          </cell>
          <cell r="CP61">
            <v>472.02324036797779</v>
          </cell>
          <cell r="CQ61">
            <v>397.23971300161389</v>
          </cell>
          <cell r="CR61">
            <v>412.1639113935542</v>
          </cell>
          <cell r="CS61">
            <v>404.70181219758405</v>
          </cell>
          <cell r="CT61">
            <v>400.5884041590586</v>
          </cell>
          <cell r="CU61">
            <v>412.31087951511256</v>
          </cell>
          <cell r="CV61">
            <v>427.6949643847334</v>
          </cell>
          <cell r="CW61">
            <v>427.6949643847334</v>
          </cell>
          <cell r="CX61">
            <v>422.56693609485978</v>
          </cell>
          <cell r="CY61">
            <v>413.0406910067581</v>
          </cell>
          <cell r="CZ61">
            <v>490.5062067672377</v>
          </cell>
          <cell r="DA61">
            <v>413.20178363292115</v>
          </cell>
          <cell r="DB61">
            <v>421.07346090178794</v>
          </cell>
          <cell r="DC61">
            <v>446.6823313892977</v>
          </cell>
          <cell r="DD61">
            <v>434.38102430120205</v>
          </cell>
          <cell r="DE61">
            <v>395.17938352227344</v>
          </cell>
          <cell r="DF61">
            <v>444.6493245276929</v>
          </cell>
          <cell r="DG61">
            <v>419.91435402498314</v>
          </cell>
          <cell r="DH61">
            <v>428.70876883590984</v>
          </cell>
          <cell r="DI61">
            <v>400.89405337299644</v>
          </cell>
          <cell r="DK61">
            <v>450000</v>
          </cell>
          <cell r="DL61" t="str">
            <v>2019-20</v>
          </cell>
          <cell r="DM61">
            <v>190000</v>
          </cell>
          <cell r="DN61" t="str">
            <v>2019-20</v>
          </cell>
          <cell r="DO61">
            <v>1270000</v>
          </cell>
          <cell r="DP61" t="str">
            <v>2019-20</v>
          </cell>
          <cell r="DQ61">
            <v>1600000</v>
          </cell>
          <cell r="DR61" t="str">
            <v>2019-20</v>
          </cell>
          <cell r="DS61">
            <v>6300000</v>
          </cell>
          <cell r="DT61" t="str">
            <v>2019-20</v>
          </cell>
          <cell r="DU61">
            <v>17200000</v>
          </cell>
          <cell r="DV61" t="str">
            <v>2019-20</v>
          </cell>
          <cell r="DW61">
            <v>510000</v>
          </cell>
          <cell r="DX61" t="str">
            <v>2019-20</v>
          </cell>
          <cell r="DY61">
            <v>6900000</v>
          </cell>
          <cell r="DZ61" t="str">
            <v>2019-20</v>
          </cell>
          <cell r="EA61">
            <v>33780000</v>
          </cell>
          <cell r="EB61">
            <v>351733</v>
          </cell>
          <cell r="EC61" t="str">
            <v>2019-20</v>
          </cell>
          <cell r="ED61">
            <v>174820</v>
          </cell>
          <cell r="EE61">
            <v>2020</v>
          </cell>
          <cell r="EF61">
            <v>214798</v>
          </cell>
          <cell r="EG61">
            <v>2020</v>
          </cell>
          <cell r="EH61">
            <v>54460799</v>
          </cell>
          <cell r="EI61">
            <v>2020</v>
          </cell>
          <cell r="EJ61">
            <v>5377071</v>
          </cell>
          <cell r="EK61">
            <v>2020</v>
          </cell>
          <cell r="EL61">
            <v>14339908</v>
          </cell>
          <cell r="EM61">
            <v>2018</v>
          </cell>
          <cell r="EN61">
            <v>3201657</v>
          </cell>
          <cell r="EO61">
            <v>2019</v>
          </cell>
          <cell r="EP61">
            <v>6552</v>
          </cell>
          <cell r="EQ61">
            <v>3257556</v>
          </cell>
          <cell r="ER61">
            <v>33739</v>
          </cell>
          <cell r="ET61">
            <v>19456</v>
          </cell>
          <cell r="EU61">
            <v>17935</v>
          </cell>
          <cell r="EV61">
            <v>9101</v>
          </cell>
          <cell r="EW61">
            <v>17303</v>
          </cell>
          <cell r="EX61">
            <v>63795</v>
          </cell>
          <cell r="EY61">
            <v>19804</v>
          </cell>
          <cell r="EZ61">
            <v>79940</v>
          </cell>
          <cell r="FA61">
            <v>20476</v>
          </cell>
          <cell r="FB61">
            <v>18080</v>
          </cell>
          <cell r="FC61">
            <v>38556</v>
          </cell>
          <cell r="FD61">
            <v>59152.38</v>
          </cell>
          <cell r="FF61">
            <v>1080000</v>
          </cell>
          <cell r="FG61" t="str">
            <v>2019-20</v>
          </cell>
          <cell r="FH61">
            <v>1200000</v>
          </cell>
          <cell r="FI61" t="str">
            <v>2019-20</v>
          </cell>
          <cell r="FJ61">
            <v>3800000</v>
          </cell>
          <cell r="FK61" t="str">
            <v>2019-20</v>
          </cell>
          <cell r="FL61">
            <v>3300000</v>
          </cell>
          <cell r="FM61" t="str">
            <v>2019-20</v>
          </cell>
          <cell r="FN61">
            <v>50000000</v>
          </cell>
          <cell r="FO61" t="str">
            <v>2019-20</v>
          </cell>
          <cell r="FP61">
            <v>50000000</v>
          </cell>
          <cell r="FQ61" t="str">
            <v>2019-20</v>
          </cell>
          <cell r="FR61">
            <v>1600000</v>
          </cell>
          <cell r="FS61" t="str">
            <v>2019-20</v>
          </cell>
          <cell r="FT61">
            <v>19750000</v>
          </cell>
          <cell r="FU61" t="str">
            <v>2019-20</v>
          </cell>
          <cell r="FV61">
            <v>128450000</v>
          </cell>
          <cell r="FW61">
            <v>1261214</v>
          </cell>
          <cell r="FX61" t="str">
            <v>2019-20</v>
          </cell>
          <cell r="FY61">
            <v>120080</v>
          </cell>
          <cell r="FZ61">
            <v>825483.57400000014</v>
          </cell>
          <cell r="GA61" t="str">
            <v>may19 abr20</v>
          </cell>
          <cell r="GB61">
            <v>20557455</v>
          </cell>
          <cell r="GC61">
            <v>2020</v>
          </cell>
          <cell r="GD61">
            <v>1974652</v>
          </cell>
          <cell r="GE61">
            <v>367136</v>
          </cell>
          <cell r="GF61">
            <v>957160</v>
          </cell>
          <cell r="GG61">
            <v>89049</v>
          </cell>
          <cell r="GH61">
            <v>1413345</v>
          </cell>
          <cell r="GI61">
            <v>1302556</v>
          </cell>
          <cell r="GJ61">
            <v>666015</v>
          </cell>
          <cell r="GK61">
            <v>1221000</v>
          </cell>
          <cell r="GL61">
            <v>294346.89</v>
          </cell>
          <cell r="GM61">
            <v>260133.24</v>
          </cell>
          <cell r="GN61">
            <v>2441495.13</v>
          </cell>
          <cell r="GO61">
            <v>198452.81</v>
          </cell>
          <cell r="GP61">
            <v>73538</v>
          </cell>
          <cell r="GQ61">
            <v>75621</v>
          </cell>
          <cell r="GR61">
            <v>42000</v>
          </cell>
          <cell r="GS61">
            <v>44268.63</v>
          </cell>
          <cell r="GT61">
            <v>2884000</v>
          </cell>
          <cell r="GU61">
            <v>87281</v>
          </cell>
          <cell r="GV61">
            <v>98586</v>
          </cell>
          <cell r="GW61">
            <v>1181443</v>
          </cell>
          <cell r="GX61">
            <v>34954.608</v>
          </cell>
          <cell r="GY61" t="str">
            <v>2019-2020</v>
          </cell>
          <cell r="GZ61">
            <v>112856</v>
          </cell>
          <cell r="HA61">
            <v>260198</v>
          </cell>
          <cell r="HB61">
            <v>3143076.0869999998</v>
          </cell>
          <cell r="HC61" t="str">
            <v>may19 abr20</v>
          </cell>
          <cell r="HD61">
            <v>49121</v>
          </cell>
          <cell r="HE61">
            <v>625890</v>
          </cell>
          <cell r="HF61" t="str">
            <v>may19 abr20</v>
          </cell>
          <cell r="HG61">
            <v>201000</v>
          </cell>
          <cell r="HH61">
            <v>2246000</v>
          </cell>
          <cell r="HI61" t="str">
            <v>may19 abr20</v>
          </cell>
          <cell r="HJ61">
            <v>65243</v>
          </cell>
          <cell r="HK61">
            <v>58032.777600000001</v>
          </cell>
          <cell r="HL61" t="str">
            <v>may19 abr20</v>
          </cell>
          <cell r="HM61">
            <v>2304032.7776000001</v>
          </cell>
          <cell r="HN61">
            <v>7.6943954403582593E-2</v>
          </cell>
          <cell r="HO61">
            <v>793600000</v>
          </cell>
          <cell r="HP61">
            <v>10595.6</v>
          </cell>
          <cell r="HQ61" t="str">
            <v>may19 abr20</v>
          </cell>
          <cell r="HU61">
            <v>650000</v>
          </cell>
          <cell r="HV61" t="str">
            <v>2019-20</v>
          </cell>
          <cell r="HW61">
            <v>1300000</v>
          </cell>
          <cell r="HX61" t="str">
            <v>2019-20</v>
          </cell>
          <cell r="HY61">
            <v>3000000</v>
          </cell>
          <cell r="HZ61" t="str">
            <v>2019-20</v>
          </cell>
          <cell r="IA61">
            <v>21420000</v>
          </cell>
          <cell r="IB61" t="str">
            <v>2019-20</v>
          </cell>
          <cell r="IC61">
            <v>46000000</v>
          </cell>
          <cell r="ID61" t="str">
            <v>2019-20</v>
          </cell>
          <cell r="IE61">
            <v>1150000</v>
          </cell>
          <cell r="IF61" t="str">
            <v>2019-20</v>
          </cell>
          <cell r="IG61">
            <v>7500000</v>
          </cell>
          <cell r="IH61" t="str">
            <v>2019-20</v>
          </cell>
          <cell r="II61">
            <v>80370000</v>
          </cell>
          <cell r="IJ61">
            <v>1.6815020417961908</v>
          </cell>
          <cell r="IK61" t="str">
            <v>2019-20</v>
          </cell>
          <cell r="IL61">
            <v>50.01</v>
          </cell>
          <cell r="IM61">
            <v>53.11</v>
          </cell>
          <cell r="IN61">
            <v>182</v>
          </cell>
          <cell r="IO61">
            <v>13.37</v>
          </cell>
          <cell r="IP61">
            <v>5.7952865471342916</v>
          </cell>
          <cell r="IQ61">
            <v>20.7</v>
          </cell>
          <cell r="IR61">
            <v>4.79</v>
          </cell>
          <cell r="IS61">
            <v>5.29</v>
          </cell>
          <cell r="IT61">
            <v>12.22</v>
          </cell>
          <cell r="IU61">
            <v>0.38</v>
          </cell>
          <cell r="IV61">
            <v>17.89</v>
          </cell>
          <cell r="IY61">
            <v>1.86</v>
          </cell>
          <cell r="IZ61">
            <v>0.1</v>
          </cell>
          <cell r="JA61">
            <v>1000</v>
          </cell>
          <cell r="JF61">
            <v>4.1815804999999999</v>
          </cell>
          <cell r="JG61">
            <v>17.37468273</v>
          </cell>
          <cell r="JH61">
            <v>113.56215294</v>
          </cell>
          <cell r="JI61">
            <v>119.96912813</v>
          </cell>
          <cell r="JJ61">
            <v>789.59483255000009</v>
          </cell>
          <cell r="JK61">
            <v>91.713663970000013</v>
          </cell>
          <cell r="JL61">
            <v>1614.3755280600001</v>
          </cell>
          <cell r="JM61">
            <v>0.31806361999999999</v>
          </cell>
          <cell r="JN61">
            <v>178.15587208999997</v>
          </cell>
          <cell r="JO61">
            <v>7.9642058900000015</v>
          </cell>
          <cell r="JP61">
            <v>2.5000000000000001E-3</v>
          </cell>
          <cell r="JQ61">
            <v>7.5841782800000006</v>
          </cell>
          <cell r="JR61">
            <v>1.74036872</v>
          </cell>
          <cell r="JS61">
            <v>0</v>
          </cell>
          <cell r="JT61">
            <v>1.07819256</v>
          </cell>
          <cell r="JU61">
            <v>79.732539270000032</v>
          </cell>
          <cell r="JV61">
            <v>17.445282329999998</v>
          </cell>
          <cell r="JW61">
            <v>34.728695289999997</v>
          </cell>
          <cell r="JX61">
            <v>44.360388380000003</v>
          </cell>
          <cell r="JY61">
            <v>0</v>
          </cell>
          <cell r="JZ61">
            <v>2.28266649</v>
          </cell>
          <cell r="KA61">
            <v>0.19</v>
          </cell>
          <cell r="KB61">
            <v>12.288541390000002</v>
          </cell>
          <cell r="KC61">
            <v>7.9021752000000012</v>
          </cell>
          <cell r="KD61">
            <v>9.496012679999998</v>
          </cell>
          <cell r="KE61">
            <v>21.827149019999997</v>
          </cell>
          <cell r="KF61">
            <v>37.347412769999998</v>
          </cell>
          <cell r="KG61">
            <v>269.10584264000005</v>
          </cell>
          <cell r="KH61">
            <v>76.785908429999992</v>
          </cell>
          <cell r="KI61">
            <v>17.840212600000001</v>
          </cell>
          <cell r="KJ61">
            <v>5.2826976200000004</v>
          </cell>
          <cell r="KK61">
            <v>2.6196968699999998</v>
          </cell>
          <cell r="KL61">
            <v>0.18711781000000002</v>
          </cell>
          <cell r="KM61">
            <v>7.48203891</v>
          </cell>
          <cell r="KN61">
            <v>1.0049140000000002E-2</v>
          </cell>
          <cell r="KO61">
            <v>0.51085855000000002</v>
          </cell>
          <cell r="KP61">
            <v>6.11204E-3</v>
          </cell>
          <cell r="KQ61">
            <v>133.77880707</v>
          </cell>
          <cell r="KR61">
            <v>0</v>
          </cell>
          <cell r="KS61">
            <v>0.28701381999999998</v>
          </cell>
          <cell r="KT61">
            <v>2.6714297199999999</v>
          </cell>
          <cell r="KU61">
            <v>0.41988554</v>
          </cell>
          <cell r="KV61">
            <v>0</v>
          </cell>
          <cell r="KW61">
            <v>3.0954254400000001</v>
          </cell>
          <cell r="KX61">
            <v>0</v>
          </cell>
          <cell r="KY61">
            <v>0</v>
          </cell>
          <cell r="KZ61">
            <v>0.35275089999999998</v>
          </cell>
          <cell r="LA61">
            <v>0.37646387999999997</v>
          </cell>
          <cell r="LB61">
            <v>0</v>
          </cell>
          <cell r="LC61">
            <v>5.5610299999999998E-3</v>
          </cell>
          <cell r="LD61">
            <v>0</v>
          </cell>
          <cell r="LE61">
            <v>0.15733821000000001</v>
          </cell>
          <cell r="LF61">
            <v>0.32970769999999999</v>
          </cell>
          <cell r="LG61">
            <v>16.599078539999997</v>
          </cell>
          <cell r="LH61">
            <v>0.83761540000000001</v>
          </cell>
          <cell r="LI61">
            <v>1.9110141399999998</v>
          </cell>
          <cell r="LJ61">
            <v>0</v>
          </cell>
          <cell r="LK61">
            <v>2.10778986</v>
          </cell>
          <cell r="LL61">
            <v>4.1773285500000004</v>
          </cell>
          <cell r="LM61">
            <v>0.65097482000000007</v>
          </cell>
          <cell r="LN61">
            <v>0.15020849999999999</v>
          </cell>
          <cell r="LO61">
            <v>5.26046557</v>
          </cell>
          <cell r="LQ61">
            <v>2815.9755773899997</v>
          </cell>
          <cell r="LR61">
            <v>10.402739560000001</v>
          </cell>
          <cell r="LS61">
            <v>52.173977619999995</v>
          </cell>
          <cell r="LT61">
            <v>2.4726664899999999</v>
          </cell>
          <cell r="LU61">
            <v>142.06876749</v>
          </cell>
          <cell r="LV61">
            <v>3.0954254400000001</v>
          </cell>
          <cell r="LW61">
            <v>0.37646387999999997</v>
          </cell>
          <cell r="LX61">
            <v>0.48704590999999997</v>
          </cell>
          <cell r="LZ61">
            <v>78.97</v>
          </cell>
          <cell r="MA61">
            <v>70.13</v>
          </cell>
          <cell r="MH61">
            <v>116.52</v>
          </cell>
          <cell r="MI61">
            <v>43.7</v>
          </cell>
          <cell r="MJ61">
            <v>36.65</v>
          </cell>
          <cell r="ML61">
            <v>42.39</v>
          </cell>
          <cell r="MM61">
            <v>82.85</v>
          </cell>
          <cell r="MO61">
            <v>38.54</v>
          </cell>
          <cell r="MP61">
            <v>64.27</v>
          </cell>
          <cell r="MQ61">
            <v>82.09</v>
          </cell>
          <cell r="MU61">
            <v>54.89</v>
          </cell>
          <cell r="MY61">
            <v>113.61</v>
          </cell>
          <cell r="MZ61">
            <v>264</v>
          </cell>
          <cell r="NA61">
            <v>120.74</v>
          </cell>
          <cell r="NB61">
            <v>350.72</v>
          </cell>
          <cell r="NC61">
            <v>54.84</v>
          </cell>
          <cell r="NE61">
            <v>281.27999999999997</v>
          </cell>
        </row>
        <row r="62">
          <cell r="A62">
            <v>43952</v>
          </cell>
          <cell r="B62">
            <v>5</v>
          </cell>
          <cell r="C62">
            <v>2020</v>
          </cell>
          <cell r="D62">
            <v>62</v>
          </cell>
          <cell r="E62">
            <v>43952</v>
          </cell>
          <cell r="F62">
            <v>69.709999999999994</v>
          </cell>
          <cell r="G62">
            <v>314.90870000000001</v>
          </cell>
          <cell r="H62">
            <v>31771.74</v>
          </cell>
          <cell r="I62">
            <v>79</v>
          </cell>
          <cell r="J62">
            <v>370</v>
          </cell>
          <cell r="K62">
            <v>3.3</v>
          </cell>
          <cell r="L62">
            <v>22.5</v>
          </cell>
          <cell r="N62">
            <v>1.0821000000000001</v>
          </cell>
          <cell r="O62">
            <v>0.81599999999999995</v>
          </cell>
          <cell r="P62">
            <v>62.850361724999992</v>
          </cell>
          <cell r="Q62">
            <v>1475</v>
          </cell>
          <cell r="R62">
            <v>14750</v>
          </cell>
          <cell r="S62">
            <v>128.6561468942763</v>
          </cell>
          <cell r="T62">
            <v>247.63</v>
          </cell>
          <cell r="U62">
            <v>121.32105263157894</v>
          </cell>
          <cell r="V62">
            <v>218.41</v>
          </cell>
          <cell r="W62">
            <v>120.24000000000001</v>
          </cell>
          <cell r="X62">
            <v>162.88947368421054</v>
          </cell>
          <cell r="Y62">
            <v>8968.6200000000008</v>
          </cell>
          <cell r="Z62">
            <v>17262.287299999996</v>
          </cell>
          <cell r="AA62">
            <v>8457.2905789473662</v>
          </cell>
          <cell r="AB62">
            <v>15225.361099999998</v>
          </cell>
          <cell r="AC62">
            <v>8381.9303999999993</v>
          </cell>
          <cell r="AD62">
            <v>11355.025210526315</v>
          </cell>
          <cell r="AE62">
            <v>11608.419098245613</v>
          </cell>
          <cell r="AF62">
            <v>43466.75</v>
          </cell>
          <cell r="AG62">
            <v>20000</v>
          </cell>
          <cell r="AH62">
            <v>76000</v>
          </cell>
          <cell r="AI62">
            <v>12.34</v>
          </cell>
          <cell r="AJ62">
            <v>13.36</v>
          </cell>
          <cell r="AK62">
            <v>12.6</v>
          </cell>
          <cell r="AL62">
            <v>11.28</v>
          </cell>
          <cell r="AM62">
            <v>12.193999999999999</v>
          </cell>
          <cell r="AN62">
            <v>48.59</v>
          </cell>
          <cell r="AO62">
            <v>44.81</v>
          </cell>
          <cell r="AP62">
            <v>46.7</v>
          </cell>
          <cell r="AQ62">
            <v>18.38</v>
          </cell>
          <cell r="AR62">
            <v>31.43</v>
          </cell>
          <cell r="AS62">
            <v>35.29</v>
          </cell>
          <cell r="AT62">
            <v>38.68</v>
          </cell>
          <cell r="AU62">
            <v>35.133333333333333</v>
          </cell>
          <cell r="AV62">
            <v>16.649999999999999</v>
          </cell>
          <cell r="AW62">
            <v>21.32</v>
          </cell>
          <cell r="AX62">
            <v>23.43</v>
          </cell>
          <cell r="AY62">
            <v>56.53</v>
          </cell>
          <cell r="AZ62">
            <v>65.290000000000006</v>
          </cell>
          <cell r="BA62">
            <v>10.66</v>
          </cell>
          <cell r="BB62">
            <v>38.977499999999999</v>
          </cell>
          <cell r="BC62">
            <v>1200</v>
          </cell>
          <cell r="BD62">
            <v>1420.02</v>
          </cell>
          <cell r="BE62">
            <v>940</v>
          </cell>
          <cell r="BF62">
            <v>550</v>
          </cell>
          <cell r="BG62">
            <v>1027.5050000000001</v>
          </cell>
          <cell r="BH62">
            <v>127.93</v>
          </cell>
          <cell r="BI62">
            <v>25</v>
          </cell>
          <cell r="BJ62">
            <v>152.93</v>
          </cell>
          <cell r="BK62">
            <v>95.099000000000004</v>
          </cell>
          <cell r="BL62">
            <v>113.71</v>
          </cell>
          <cell r="BM62">
            <v>104.4045</v>
          </cell>
          <cell r="BN62">
            <v>18.239999999999998</v>
          </cell>
          <cell r="BO62">
            <v>67.39</v>
          </cell>
          <cell r="BP62">
            <v>73.489999999999995</v>
          </cell>
          <cell r="BQ62">
            <v>68</v>
          </cell>
          <cell r="BR62">
            <v>57.15</v>
          </cell>
          <cell r="BS62">
            <v>200</v>
          </cell>
          <cell r="BT62">
            <v>109.4447</v>
          </cell>
          <cell r="BU62">
            <v>2728.3341</v>
          </cell>
          <cell r="BV62">
            <v>115.2</v>
          </cell>
          <cell r="BW62">
            <v>220</v>
          </cell>
          <cell r="BY62">
            <v>446.18558806780391</v>
          </cell>
          <cell r="BZ62">
            <v>433.47730675233737</v>
          </cell>
          <cell r="CA62">
            <v>441.81865244774377</v>
          </cell>
          <cell r="CB62">
            <v>444.83916937425533</v>
          </cell>
          <cell r="CC62">
            <v>425.6881822655572</v>
          </cell>
          <cell r="CD62">
            <v>454.21033068252001</v>
          </cell>
          <cell r="CE62">
            <v>421.47141256256225</v>
          </cell>
          <cell r="CF62">
            <v>468.53840087692316</v>
          </cell>
          <cell r="CG62">
            <v>442.76102470159361</v>
          </cell>
          <cell r="CH62">
            <v>525.68252135341072</v>
          </cell>
          <cell r="CI62">
            <v>448.88633133211044</v>
          </cell>
          <cell r="CJ62">
            <v>421.12133522873523</v>
          </cell>
          <cell r="CK62">
            <v>461.01132124573223</v>
          </cell>
          <cell r="CL62">
            <v>568.6809118341456</v>
          </cell>
          <cell r="CM62">
            <v>578.3127411906944</v>
          </cell>
          <cell r="CN62">
            <v>383.2267414232507</v>
          </cell>
          <cell r="CO62">
            <v>497.80792892345573</v>
          </cell>
          <cell r="CP62">
            <v>474.92142408000484</v>
          </cell>
          <cell r="CQ62">
            <v>400.71199089393235</v>
          </cell>
          <cell r="CR62">
            <v>424.40907507488748</v>
          </cell>
          <cell r="CS62">
            <v>412.56053298440992</v>
          </cell>
          <cell r="CT62">
            <v>385.43871453965738</v>
          </cell>
          <cell r="CU62">
            <v>419.06543496503872</v>
          </cell>
          <cell r="CV62">
            <v>423.49084812194587</v>
          </cell>
          <cell r="CW62">
            <v>423.49084812194587</v>
          </cell>
          <cell r="CX62">
            <v>422.01571040297682</v>
          </cell>
          <cell r="CY62">
            <v>419.8097341539393</v>
          </cell>
          <cell r="CZ62">
            <v>496.75186612987278</v>
          </cell>
          <cell r="DA62">
            <v>422.49546290330812</v>
          </cell>
          <cell r="DB62">
            <v>424.493485121015</v>
          </cell>
          <cell r="DC62">
            <v>427.91395527602702</v>
          </cell>
          <cell r="DD62">
            <v>413.59955057192985</v>
          </cell>
          <cell r="DE62">
            <v>376.80321788534872</v>
          </cell>
          <cell r="DF62">
            <v>426.7537570306132</v>
          </cell>
          <cell r="DG62">
            <v>401.77848745798099</v>
          </cell>
          <cell r="DH62">
            <v>435.41861420640515</v>
          </cell>
          <cell r="DI62">
            <v>409.03319902895527</v>
          </cell>
          <cell r="DK62">
            <v>450000</v>
          </cell>
          <cell r="DL62" t="str">
            <v>2019-20</v>
          </cell>
          <cell r="DM62">
            <v>190000</v>
          </cell>
          <cell r="DN62" t="str">
            <v>2019-20</v>
          </cell>
          <cell r="DO62">
            <v>1250000</v>
          </cell>
          <cell r="DP62" t="str">
            <v>2020-21</v>
          </cell>
          <cell r="DQ62">
            <v>1600000</v>
          </cell>
          <cell r="DR62" t="str">
            <v>2019-20</v>
          </cell>
          <cell r="DS62">
            <v>6300000</v>
          </cell>
          <cell r="DT62" t="str">
            <v>2019-20</v>
          </cell>
          <cell r="DU62">
            <v>17200000</v>
          </cell>
          <cell r="DV62" t="str">
            <v>2019-20</v>
          </cell>
          <cell r="DW62">
            <v>510000</v>
          </cell>
          <cell r="DX62" t="str">
            <v>2019-20</v>
          </cell>
          <cell r="DY62">
            <v>7000000</v>
          </cell>
          <cell r="DZ62" t="str">
            <v>2020-21</v>
          </cell>
          <cell r="EA62">
            <v>33860000</v>
          </cell>
          <cell r="EB62">
            <v>351733</v>
          </cell>
          <cell r="EC62" t="str">
            <v>2019-20</v>
          </cell>
          <cell r="ED62">
            <v>174820</v>
          </cell>
          <cell r="EE62">
            <v>2020</v>
          </cell>
          <cell r="EF62">
            <v>214798</v>
          </cell>
          <cell r="EG62">
            <v>2020</v>
          </cell>
          <cell r="EH62">
            <v>54460799</v>
          </cell>
          <cell r="EI62">
            <v>2020</v>
          </cell>
          <cell r="EJ62">
            <v>5377071</v>
          </cell>
          <cell r="EK62">
            <v>2020</v>
          </cell>
          <cell r="EL62">
            <v>14774196</v>
          </cell>
          <cell r="EM62">
            <v>2019</v>
          </cell>
          <cell r="EN62">
            <v>3201657</v>
          </cell>
          <cell r="EO62">
            <v>2019</v>
          </cell>
          <cell r="EP62">
            <v>6552</v>
          </cell>
          <cell r="EQ62">
            <v>3257556</v>
          </cell>
          <cell r="ER62">
            <v>33739</v>
          </cell>
          <cell r="ET62">
            <v>19456</v>
          </cell>
          <cell r="EU62">
            <v>17935</v>
          </cell>
          <cell r="EV62">
            <v>9101</v>
          </cell>
          <cell r="EW62">
            <v>17303</v>
          </cell>
          <cell r="EX62">
            <v>63795</v>
          </cell>
          <cell r="EY62">
            <v>19804</v>
          </cell>
          <cell r="EZ62">
            <v>79940</v>
          </cell>
          <cell r="FA62">
            <v>20476</v>
          </cell>
          <cell r="FB62">
            <v>18080</v>
          </cell>
          <cell r="FC62">
            <v>38556</v>
          </cell>
          <cell r="FD62">
            <v>59152.38</v>
          </cell>
          <cell r="FF62">
            <v>1100000</v>
          </cell>
          <cell r="FG62" t="str">
            <v>2019-20</v>
          </cell>
          <cell r="FH62">
            <v>1200000</v>
          </cell>
          <cell r="FI62" t="str">
            <v>2019-20</v>
          </cell>
          <cell r="FJ62">
            <v>3800000</v>
          </cell>
          <cell r="FK62" t="str">
            <v>2019-20</v>
          </cell>
          <cell r="FL62">
            <v>3300000</v>
          </cell>
          <cell r="FM62" t="str">
            <v>2019-20</v>
          </cell>
          <cell r="FN62">
            <v>50000000</v>
          </cell>
          <cell r="FO62" t="str">
            <v>2019-20</v>
          </cell>
          <cell r="FP62">
            <v>50000000</v>
          </cell>
          <cell r="FQ62" t="str">
            <v>2019-20</v>
          </cell>
          <cell r="FR62">
            <v>1600000</v>
          </cell>
          <cell r="FS62" t="str">
            <v>2019-20</v>
          </cell>
          <cell r="FT62">
            <v>19750000</v>
          </cell>
          <cell r="FU62" t="str">
            <v>2019-20</v>
          </cell>
          <cell r="FV62">
            <v>128450000</v>
          </cell>
          <cell r="FW62">
            <v>1263869</v>
          </cell>
          <cell r="FX62" t="str">
            <v>2019-20</v>
          </cell>
          <cell r="FY62">
            <v>128625</v>
          </cell>
          <cell r="FZ62">
            <v>827488.57400000002</v>
          </cell>
          <cell r="GA62" t="str">
            <v>jun19 may20</v>
          </cell>
          <cell r="GB62">
            <v>20557455</v>
          </cell>
          <cell r="GC62">
            <v>2020</v>
          </cell>
          <cell r="GD62">
            <v>1974652</v>
          </cell>
          <cell r="GE62">
            <v>367136</v>
          </cell>
          <cell r="GF62">
            <v>957160</v>
          </cell>
          <cell r="GG62">
            <v>89049</v>
          </cell>
          <cell r="GH62">
            <v>1413345</v>
          </cell>
          <cell r="GI62">
            <v>1302556</v>
          </cell>
          <cell r="GJ62">
            <v>666015</v>
          </cell>
          <cell r="GK62">
            <v>1221000</v>
          </cell>
          <cell r="GL62">
            <v>294346.89</v>
          </cell>
          <cell r="GM62">
            <v>260133.24</v>
          </cell>
          <cell r="GN62">
            <v>2441495.13</v>
          </cell>
          <cell r="GO62">
            <v>198452.81</v>
          </cell>
          <cell r="GP62">
            <v>73538</v>
          </cell>
          <cell r="GQ62">
            <v>43959</v>
          </cell>
          <cell r="GR62">
            <v>42000</v>
          </cell>
          <cell r="GS62">
            <v>43318.77</v>
          </cell>
          <cell r="GT62">
            <v>2884000</v>
          </cell>
          <cell r="GU62">
            <v>62843</v>
          </cell>
          <cell r="GV62">
            <v>83577</v>
          </cell>
          <cell r="GW62">
            <v>1188705</v>
          </cell>
          <cell r="GX62">
            <v>34954.608</v>
          </cell>
          <cell r="GY62" t="str">
            <v>2019-2020</v>
          </cell>
          <cell r="GZ62">
            <v>112856</v>
          </cell>
          <cell r="HA62">
            <v>254948</v>
          </cell>
          <cell r="HB62">
            <v>3137935.0869999998</v>
          </cell>
          <cell r="HC62" t="str">
            <v>jun19 may20</v>
          </cell>
          <cell r="HD62">
            <v>58366</v>
          </cell>
          <cell r="HE62">
            <v>626518</v>
          </cell>
          <cell r="HF62" t="str">
            <v>jun19 may20</v>
          </cell>
          <cell r="HG62">
            <v>178000</v>
          </cell>
          <cell r="HH62">
            <v>2230000</v>
          </cell>
          <cell r="HI62" t="str">
            <v>jun19 may20</v>
          </cell>
          <cell r="HJ62">
            <v>65325</v>
          </cell>
          <cell r="HK62">
            <v>56671.437600000005</v>
          </cell>
          <cell r="HL62" t="str">
            <v>jun19 may20</v>
          </cell>
          <cell r="HM62">
            <v>2286671.4375999998</v>
          </cell>
          <cell r="HN62">
            <v>0.10905847878710673</v>
          </cell>
          <cell r="HO62">
            <v>870500000</v>
          </cell>
          <cell r="HP62">
            <v>10681.2</v>
          </cell>
          <cell r="HQ62" t="str">
            <v>jun19 may20</v>
          </cell>
          <cell r="HU62">
            <v>650000</v>
          </cell>
          <cell r="HV62" t="str">
            <v>2019-20</v>
          </cell>
          <cell r="HW62">
            <v>1300000</v>
          </cell>
          <cell r="HX62" t="str">
            <v>2019-20</v>
          </cell>
          <cell r="HY62">
            <v>2980000</v>
          </cell>
          <cell r="HZ62" t="str">
            <v>2019-20</v>
          </cell>
          <cell r="IA62">
            <v>21140000</v>
          </cell>
          <cell r="IB62" t="str">
            <v>2019-20</v>
          </cell>
          <cell r="IC62">
            <v>46000000</v>
          </cell>
          <cell r="ID62" t="str">
            <v>2019-20</v>
          </cell>
          <cell r="IE62">
            <v>1150000</v>
          </cell>
          <cell r="IF62" t="str">
            <v>2019-20</v>
          </cell>
          <cell r="IG62">
            <v>7500000</v>
          </cell>
          <cell r="IH62" t="str">
            <v>2019-20</v>
          </cell>
          <cell r="II62">
            <v>80070000</v>
          </cell>
          <cell r="IJ62">
            <v>1.6815020417961908</v>
          </cell>
          <cell r="IK62" t="str">
            <v>2019-20</v>
          </cell>
          <cell r="IL62">
            <v>41.1</v>
          </cell>
          <cell r="IM62">
            <v>45.66</v>
          </cell>
          <cell r="IN62">
            <v>179.3</v>
          </cell>
          <cell r="IO62">
            <v>14.94</v>
          </cell>
          <cell r="IP62">
            <v>5.7952865471342916</v>
          </cell>
          <cell r="IQ62">
            <v>20.7</v>
          </cell>
          <cell r="IR62">
            <v>4.79</v>
          </cell>
          <cell r="IS62">
            <v>5.29</v>
          </cell>
          <cell r="IT62">
            <v>12.22</v>
          </cell>
          <cell r="IU62">
            <v>0.38</v>
          </cell>
          <cell r="IV62">
            <v>17.89</v>
          </cell>
          <cell r="IY62">
            <v>1.86</v>
          </cell>
          <cell r="IZ62">
            <v>0.1</v>
          </cell>
          <cell r="JA62">
            <v>1000</v>
          </cell>
          <cell r="JF62">
            <v>8.5560228499999962</v>
          </cell>
          <cell r="JG62">
            <v>26.474292439999992</v>
          </cell>
          <cell r="JH62">
            <v>40.716246459999994</v>
          </cell>
          <cell r="JI62">
            <v>264.98974874999999</v>
          </cell>
          <cell r="JJ62">
            <v>734.37390987000003</v>
          </cell>
          <cell r="JK62">
            <v>94.698978299999993</v>
          </cell>
          <cell r="JL62">
            <v>2548.8801181700001</v>
          </cell>
          <cell r="JM62">
            <v>3.9472347999999999</v>
          </cell>
          <cell r="JN62">
            <v>108.91818299000001</v>
          </cell>
          <cell r="JO62">
            <v>10.00194035</v>
          </cell>
          <cell r="JP62">
            <v>0</v>
          </cell>
          <cell r="JQ62">
            <v>9.7818457900000002</v>
          </cell>
          <cell r="JR62">
            <v>1.8357320100000001</v>
          </cell>
          <cell r="JS62">
            <v>0</v>
          </cell>
          <cell r="JT62">
            <v>0.26668026</v>
          </cell>
          <cell r="JU62">
            <v>85.671901359999993</v>
          </cell>
          <cell r="JV62">
            <v>17.414269730000004</v>
          </cell>
          <cell r="JW62">
            <v>27.220560329999994</v>
          </cell>
          <cell r="JX62">
            <v>98.197857169999978</v>
          </cell>
          <cell r="JY62">
            <v>0</v>
          </cell>
          <cell r="JZ62">
            <v>3.0921802099999995</v>
          </cell>
          <cell r="KA62">
            <v>0.13425920999999999</v>
          </cell>
          <cell r="KB62">
            <v>18.9898338</v>
          </cell>
          <cell r="KC62">
            <v>17.46237451</v>
          </cell>
          <cell r="KD62">
            <v>8.5670128499999993</v>
          </cell>
          <cell r="KE62">
            <v>24.155609029999997</v>
          </cell>
          <cell r="KF62">
            <v>43.879566570000001</v>
          </cell>
          <cell r="KG62">
            <v>329.97688649999992</v>
          </cell>
          <cell r="KH62">
            <v>76.92803266</v>
          </cell>
          <cell r="KI62">
            <v>15.636760559999999</v>
          </cell>
          <cell r="KJ62">
            <v>8.0029263900000025</v>
          </cell>
          <cell r="KK62">
            <v>4.5641868099999998</v>
          </cell>
          <cell r="KL62">
            <v>0.48980314000000003</v>
          </cell>
          <cell r="KM62">
            <v>1.62096226</v>
          </cell>
          <cell r="KN62">
            <v>1.8090000000000001E-5</v>
          </cell>
          <cell r="KO62">
            <v>1.2357395599999998</v>
          </cell>
          <cell r="KP62">
            <v>4.8110010000000002E-2</v>
          </cell>
          <cell r="KQ62">
            <v>221.95998875999999</v>
          </cell>
          <cell r="KR62">
            <v>0</v>
          </cell>
          <cell r="KS62">
            <v>0.12006443999999999</v>
          </cell>
          <cell r="KT62">
            <v>1.44822053</v>
          </cell>
          <cell r="KU62">
            <v>8.6397669999999996E-2</v>
          </cell>
          <cell r="KV62">
            <v>0</v>
          </cell>
          <cell r="KW62">
            <v>5.4781427899999988</v>
          </cell>
          <cell r="KX62">
            <v>0</v>
          </cell>
          <cell r="KY62">
            <v>0</v>
          </cell>
          <cell r="KZ62">
            <v>0.73759291999999999</v>
          </cell>
          <cell r="LA62">
            <v>0.50616179000000006</v>
          </cell>
          <cell r="LB62">
            <v>0</v>
          </cell>
          <cell r="LC62">
            <v>7.4517300000000002E-3</v>
          </cell>
          <cell r="LD62">
            <v>0</v>
          </cell>
          <cell r="LE62">
            <v>8.4792510000000001E-2</v>
          </cell>
          <cell r="LF62">
            <v>0</v>
          </cell>
          <cell r="LG62">
            <v>17.446923340000001</v>
          </cell>
          <cell r="LH62">
            <v>3.2240931199999996</v>
          </cell>
          <cell r="LI62">
            <v>3.8749126999999999</v>
          </cell>
          <cell r="LJ62">
            <v>0</v>
          </cell>
          <cell r="LK62">
            <v>2.18377993</v>
          </cell>
          <cell r="LL62">
            <v>10.97230602</v>
          </cell>
          <cell r="LM62">
            <v>1.9128927099999999</v>
          </cell>
          <cell r="LN62">
            <v>0.20650916999999999</v>
          </cell>
          <cell r="LO62">
            <v>4.3578507700000007</v>
          </cell>
          <cell r="LQ62">
            <v>3701.82544104</v>
          </cell>
          <cell r="LR62">
            <v>11.884258059999999</v>
          </cell>
          <cell r="LS62">
            <v>44.634830059999999</v>
          </cell>
          <cell r="LT62">
            <v>3.2264394199999997</v>
          </cell>
          <cell r="LU62">
            <v>224.93677310999999</v>
          </cell>
          <cell r="LV62">
            <v>5.4781427899999988</v>
          </cell>
          <cell r="LW62">
            <v>0.50616179000000006</v>
          </cell>
          <cell r="LX62">
            <v>8.4792510000000001E-2</v>
          </cell>
          <cell r="LZ62">
            <v>79.459999999999994</v>
          </cell>
          <cell r="MA62">
            <v>70.22</v>
          </cell>
          <cell r="MH62">
            <v>113.97</v>
          </cell>
          <cell r="MI62">
            <v>44.22</v>
          </cell>
          <cell r="MJ62">
            <v>34.58</v>
          </cell>
          <cell r="ML62">
            <v>49.41</v>
          </cell>
          <cell r="MM62">
            <v>96.52</v>
          </cell>
          <cell r="MO62">
            <v>36.49</v>
          </cell>
          <cell r="MP62">
            <v>64.760000000000005</v>
          </cell>
          <cell r="MQ62">
            <v>84.68</v>
          </cell>
          <cell r="MU62">
            <v>51.76</v>
          </cell>
          <cell r="MY62">
            <v>113.66</v>
          </cell>
          <cell r="MZ62">
            <v>275</v>
          </cell>
          <cell r="NA62">
            <v>111.52</v>
          </cell>
          <cell r="NB62">
            <v>348.61</v>
          </cell>
          <cell r="NC62">
            <v>54.58</v>
          </cell>
          <cell r="NE62">
            <v>277.44</v>
          </cell>
        </row>
        <row r="63">
          <cell r="A63">
            <v>43983</v>
          </cell>
          <cell r="B63">
            <v>6</v>
          </cell>
          <cell r="C63">
            <v>2020</v>
          </cell>
          <cell r="D63">
            <v>63</v>
          </cell>
          <cell r="E63">
            <v>43983</v>
          </cell>
          <cell r="F63">
            <v>71.959999999999994</v>
          </cell>
          <cell r="G63">
            <v>321.97379999999998</v>
          </cell>
          <cell r="H63">
            <v>32571.74</v>
          </cell>
          <cell r="I63">
            <v>77</v>
          </cell>
          <cell r="J63">
            <v>365</v>
          </cell>
          <cell r="K63">
            <v>3.3</v>
          </cell>
          <cell r="L63">
            <v>22</v>
          </cell>
          <cell r="N63">
            <v>1.014</v>
          </cell>
          <cell r="O63">
            <v>0.83399999999999996</v>
          </cell>
          <cell r="P63">
            <v>63.166487999999987</v>
          </cell>
          <cell r="Q63">
            <v>1715</v>
          </cell>
          <cell r="R63">
            <v>17150</v>
          </cell>
          <cell r="S63">
            <v>137.50500277932187</v>
          </cell>
          <cell r="T63">
            <v>250</v>
          </cell>
          <cell r="U63">
            <v>127.69999999999999</v>
          </cell>
          <cell r="V63">
            <v>218.62380952380954</v>
          </cell>
          <cell r="W63">
            <v>120.24000000000001</v>
          </cell>
          <cell r="X63">
            <v>165.83333333333334</v>
          </cell>
          <cell r="Y63">
            <v>9894.86</v>
          </cell>
          <cell r="Z63">
            <v>17990</v>
          </cell>
          <cell r="AA63">
            <v>9189.2919999999976</v>
          </cell>
          <cell r="AB63">
            <v>15732.169333333333</v>
          </cell>
          <cell r="AC63">
            <v>8652.4704000000002</v>
          </cell>
          <cell r="AD63">
            <v>11933.366666666667</v>
          </cell>
          <cell r="AE63">
            <v>12232.026399999999</v>
          </cell>
          <cell r="AF63">
            <v>44417.75</v>
          </cell>
          <cell r="AG63">
            <v>20000</v>
          </cell>
          <cell r="AH63">
            <v>76000</v>
          </cell>
          <cell r="AI63">
            <v>13.69</v>
          </cell>
          <cell r="AJ63">
            <v>11.73</v>
          </cell>
          <cell r="AK63">
            <v>13.18</v>
          </cell>
          <cell r="AL63">
            <v>11.79</v>
          </cell>
          <cell r="AM63">
            <v>13.023</v>
          </cell>
          <cell r="AN63">
            <v>51.24</v>
          </cell>
          <cell r="AO63">
            <v>48.55</v>
          </cell>
          <cell r="AP63">
            <v>49.894999999999996</v>
          </cell>
          <cell r="AQ63">
            <v>16.78</v>
          </cell>
          <cell r="AR63">
            <v>32.549999999999997</v>
          </cell>
          <cell r="AS63">
            <v>31.67</v>
          </cell>
          <cell r="AT63">
            <v>33.78</v>
          </cell>
          <cell r="AU63">
            <v>32.666666666666664</v>
          </cell>
          <cell r="AV63">
            <v>15.1</v>
          </cell>
          <cell r="AW63">
            <v>21.27</v>
          </cell>
          <cell r="AX63">
            <v>26.51</v>
          </cell>
          <cell r="AY63">
            <v>57.48</v>
          </cell>
          <cell r="AZ63">
            <v>57.12</v>
          </cell>
          <cell r="BA63">
            <v>11.91</v>
          </cell>
          <cell r="BB63">
            <v>38.254999999999995</v>
          </cell>
          <cell r="BC63">
            <v>1262</v>
          </cell>
          <cell r="BD63">
            <v>1484</v>
          </cell>
          <cell r="BE63">
            <v>1120</v>
          </cell>
          <cell r="BF63">
            <v>720</v>
          </cell>
          <cell r="BG63">
            <v>1146.5</v>
          </cell>
          <cell r="BH63">
            <v>127.93</v>
          </cell>
          <cell r="BI63">
            <v>25</v>
          </cell>
          <cell r="BJ63">
            <v>152.93</v>
          </cell>
          <cell r="BK63">
            <v>97.677000000000007</v>
          </cell>
          <cell r="BL63">
            <v>125.49</v>
          </cell>
          <cell r="BM63">
            <v>111.5835</v>
          </cell>
          <cell r="BN63">
            <v>18.25</v>
          </cell>
          <cell r="BO63">
            <v>71.27</v>
          </cell>
          <cell r="BP63">
            <v>78.599999999999994</v>
          </cell>
          <cell r="BQ63">
            <v>72.003</v>
          </cell>
          <cell r="BR63">
            <v>54.08</v>
          </cell>
          <cell r="BS63">
            <v>200</v>
          </cell>
          <cell r="BT63">
            <v>140.32199999999997</v>
          </cell>
          <cell r="BU63">
            <v>2820.9659999999999</v>
          </cell>
          <cell r="BV63">
            <v>121.1</v>
          </cell>
          <cell r="BW63">
            <v>225</v>
          </cell>
          <cell r="BY63">
            <v>450.38621386794142</v>
          </cell>
          <cell r="BZ63">
            <v>441.69657498956843</v>
          </cell>
          <cell r="CA63">
            <v>461.26391175574446</v>
          </cell>
          <cell r="CB63">
            <v>458.3304739774581</v>
          </cell>
          <cell r="CC63">
            <v>444.60317256443835</v>
          </cell>
          <cell r="CD63">
            <v>467.89444433501649</v>
          </cell>
          <cell r="CE63">
            <v>432.55531656787747</v>
          </cell>
          <cell r="CF63">
            <v>483.97848728681987</v>
          </cell>
          <cell r="CG63">
            <v>458.10430108122574</v>
          </cell>
          <cell r="CH63">
            <v>538.94135635137741</v>
          </cell>
          <cell r="CI63">
            <v>454.57476649918948</v>
          </cell>
          <cell r="CJ63">
            <v>429.75544935887535</v>
          </cell>
          <cell r="CK63">
            <v>485.16844328069845</v>
          </cell>
          <cell r="CL63">
            <v>582.24157659827279</v>
          </cell>
          <cell r="CM63">
            <v>551.73673214176381</v>
          </cell>
          <cell r="CN63">
            <v>396.58607775492828</v>
          </cell>
          <cell r="CO63">
            <v>503.93320744391588</v>
          </cell>
          <cell r="CP63">
            <v>485.39470724763413</v>
          </cell>
          <cell r="CQ63">
            <v>412.40225241977316</v>
          </cell>
          <cell r="CR63">
            <v>439.35359892757128</v>
          </cell>
          <cell r="CS63">
            <v>425.87792567367222</v>
          </cell>
          <cell r="CT63">
            <v>392.43018586906697</v>
          </cell>
          <cell r="CU63">
            <v>430.66279712193449</v>
          </cell>
          <cell r="CV63">
            <v>428.71513157687087</v>
          </cell>
          <cell r="CW63">
            <v>428.71513157687087</v>
          </cell>
          <cell r="CX63">
            <v>429.36435342522537</v>
          </cell>
          <cell r="CY63">
            <v>429.34658313976257</v>
          </cell>
          <cell r="CZ63">
            <v>508.96743882354275</v>
          </cell>
          <cell r="DA63">
            <v>433.07987745724006</v>
          </cell>
          <cell r="DB63">
            <v>436.7467386744334</v>
          </cell>
          <cell r="DC63">
            <v>453.17802255876654</v>
          </cell>
          <cell r="DD63">
            <v>438.37473944337199</v>
          </cell>
          <cell r="DE63">
            <v>403.21342914769627</v>
          </cell>
          <cell r="DF63">
            <v>458.22427931580989</v>
          </cell>
          <cell r="DG63">
            <v>430.71885423175308</v>
          </cell>
          <cell r="DH63">
            <v>448.0655673317213</v>
          </cell>
          <cell r="DI63">
            <v>420.10320215446433</v>
          </cell>
          <cell r="DK63">
            <v>450000</v>
          </cell>
          <cell r="DL63" t="str">
            <v>2019-20</v>
          </cell>
          <cell r="DM63">
            <v>190000</v>
          </cell>
          <cell r="DN63" t="str">
            <v>2019-20</v>
          </cell>
          <cell r="DO63">
            <v>1250000</v>
          </cell>
          <cell r="DP63" t="str">
            <v>2020-21</v>
          </cell>
          <cell r="DQ63">
            <v>1600000</v>
          </cell>
          <cell r="DR63" t="str">
            <v>2019-20</v>
          </cell>
          <cell r="DS63">
            <v>6300000</v>
          </cell>
          <cell r="DT63" t="str">
            <v>2019-20</v>
          </cell>
          <cell r="DU63">
            <v>17200000</v>
          </cell>
          <cell r="DV63" t="str">
            <v>2019-20</v>
          </cell>
          <cell r="DW63">
            <v>510000</v>
          </cell>
          <cell r="DX63" t="str">
            <v>2019-20</v>
          </cell>
          <cell r="DY63">
            <v>7000000</v>
          </cell>
          <cell r="DZ63" t="str">
            <v>2020-21</v>
          </cell>
          <cell r="EA63">
            <v>33860000</v>
          </cell>
          <cell r="EB63">
            <v>351733</v>
          </cell>
          <cell r="EC63" t="str">
            <v>2019-20</v>
          </cell>
          <cell r="ED63">
            <v>174820</v>
          </cell>
          <cell r="EE63">
            <v>2020</v>
          </cell>
          <cell r="EF63">
            <v>214798</v>
          </cell>
          <cell r="EG63">
            <v>2020</v>
          </cell>
          <cell r="EH63">
            <v>54460799</v>
          </cell>
          <cell r="EI63">
            <v>2020</v>
          </cell>
          <cell r="EJ63">
            <v>5377071</v>
          </cell>
          <cell r="EK63">
            <v>2020</v>
          </cell>
          <cell r="EL63">
            <v>14774196</v>
          </cell>
          <cell r="EM63">
            <v>2019</v>
          </cell>
          <cell r="EN63">
            <v>3201657</v>
          </cell>
          <cell r="EO63">
            <v>2019</v>
          </cell>
          <cell r="EP63">
            <v>6552</v>
          </cell>
          <cell r="EQ63">
            <v>3257556</v>
          </cell>
          <cell r="ER63">
            <v>33739</v>
          </cell>
          <cell r="ET63">
            <v>19456</v>
          </cell>
          <cell r="EU63">
            <v>17935</v>
          </cell>
          <cell r="EV63">
            <v>9101</v>
          </cell>
          <cell r="EW63">
            <v>17303</v>
          </cell>
          <cell r="EX63">
            <v>63795</v>
          </cell>
          <cell r="EY63">
            <v>19804</v>
          </cell>
          <cell r="EZ63">
            <v>79940</v>
          </cell>
          <cell r="FA63">
            <v>20476</v>
          </cell>
          <cell r="FB63">
            <v>18080</v>
          </cell>
          <cell r="FC63">
            <v>38556</v>
          </cell>
          <cell r="FD63">
            <v>59152.38</v>
          </cell>
          <cell r="FF63">
            <v>1100000</v>
          </cell>
          <cell r="FG63" t="str">
            <v>2019-20</v>
          </cell>
          <cell r="FH63">
            <v>1200000</v>
          </cell>
          <cell r="FI63" t="str">
            <v>2019-20</v>
          </cell>
          <cell r="FJ63">
            <v>3800000</v>
          </cell>
          <cell r="FK63" t="str">
            <v>2019-20</v>
          </cell>
          <cell r="FL63">
            <v>3300000</v>
          </cell>
          <cell r="FM63" t="str">
            <v>2019-20</v>
          </cell>
          <cell r="FN63">
            <v>50000000</v>
          </cell>
          <cell r="FO63" t="str">
            <v>2019-20</v>
          </cell>
          <cell r="FP63">
            <v>50000000</v>
          </cell>
          <cell r="FQ63" t="str">
            <v>2019-20</v>
          </cell>
          <cell r="FR63">
            <v>1600000</v>
          </cell>
          <cell r="FS63" t="str">
            <v>2019-20</v>
          </cell>
          <cell r="FT63">
            <v>19750000</v>
          </cell>
          <cell r="FU63" t="str">
            <v>2019-20</v>
          </cell>
          <cell r="FV63">
            <v>128450000</v>
          </cell>
          <cell r="FW63">
            <v>1263869</v>
          </cell>
          <cell r="FX63" t="str">
            <v>2019-20</v>
          </cell>
          <cell r="FY63">
            <v>104101</v>
          </cell>
          <cell r="FZ63">
            <v>782155.57400000002</v>
          </cell>
          <cell r="GA63" t="str">
            <v>jul19 jun20</v>
          </cell>
          <cell r="GB63">
            <v>20557455</v>
          </cell>
          <cell r="GC63">
            <v>2020</v>
          </cell>
          <cell r="GD63">
            <v>1974652</v>
          </cell>
          <cell r="GE63">
            <v>367136</v>
          </cell>
          <cell r="GF63">
            <v>957160</v>
          </cell>
          <cell r="GG63">
            <v>89049</v>
          </cell>
          <cell r="GH63">
            <v>1413345</v>
          </cell>
          <cell r="GI63">
            <v>1302556</v>
          </cell>
          <cell r="GJ63">
            <v>666015</v>
          </cell>
          <cell r="GK63">
            <v>1221000</v>
          </cell>
          <cell r="GL63">
            <v>294346.89</v>
          </cell>
          <cell r="GM63">
            <v>260133.24</v>
          </cell>
          <cell r="GN63">
            <v>2441495.13</v>
          </cell>
          <cell r="GO63">
            <v>198452.81</v>
          </cell>
          <cell r="GP63">
            <v>73538</v>
          </cell>
          <cell r="GQ63">
            <v>24646</v>
          </cell>
          <cell r="GR63">
            <v>42000</v>
          </cell>
          <cell r="GS63">
            <v>42739.38</v>
          </cell>
          <cell r="GT63">
            <v>2884000</v>
          </cell>
          <cell r="GU63">
            <v>51402</v>
          </cell>
          <cell r="GV63">
            <v>49977</v>
          </cell>
          <cell r="GW63">
            <v>1212066</v>
          </cell>
          <cell r="GX63">
            <v>34954.608</v>
          </cell>
          <cell r="GY63" t="str">
            <v>2019-2020</v>
          </cell>
          <cell r="GZ63">
            <v>112856</v>
          </cell>
          <cell r="HA63">
            <v>269433</v>
          </cell>
          <cell r="HB63">
            <v>3167469.0870000003</v>
          </cell>
          <cell r="HC63" t="str">
            <v>jul19 jun20</v>
          </cell>
          <cell r="HD63">
            <v>62483</v>
          </cell>
          <cell r="HE63">
            <v>635449</v>
          </cell>
          <cell r="HF63" t="str">
            <v>jul19 jun20</v>
          </cell>
          <cell r="HG63">
            <v>184000</v>
          </cell>
          <cell r="HH63">
            <v>2247000</v>
          </cell>
          <cell r="HI63" t="str">
            <v>jul19 jun20</v>
          </cell>
          <cell r="HJ63">
            <v>68503</v>
          </cell>
          <cell r="HK63">
            <v>56034.537600000003</v>
          </cell>
          <cell r="HL63" t="str">
            <v>jul19 jun20</v>
          </cell>
          <cell r="HM63">
            <v>2303034.5375999999</v>
          </cell>
          <cell r="HN63">
            <v>0.10631188118811874</v>
          </cell>
          <cell r="HO63">
            <v>893900000</v>
          </cell>
          <cell r="HP63">
            <v>10767.1</v>
          </cell>
          <cell r="HQ63" t="str">
            <v>jul19 jun20</v>
          </cell>
          <cell r="HU63">
            <v>650000</v>
          </cell>
          <cell r="HV63" t="str">
            <v>2019-20</v>
          </cell>
          <cell r="HW63">
            <v>1300000</v>
          </cell>
          <cell r="HX63" t="str">
            <v>2019-20</v>
          </cell>
          <cell r="HY63">
            <v>2980000</v>
          </cell>
          <cell r="HZ63" t="str">
            <v>2019-20</v>
          </cell>
          <cell r="IA63">
            <v>21140000</v>
          </cell>
          <cell r="IB63" t="str">
            <v>2019-20</v>
          </cell>
          <cell r="IC63">
            <v>45000000</v>
          </cell>
          <cell r="ID63" t="str">
            <v>2019-20</v>
          </cell>
          <cell r="IE63">
            <v>1150000</v>
          </cell>
          <cell r="IF63" t="str">
            <v>2019-20</v>
          </cell>
          <cell r="IG63">
            <v>7500000</v>
          </cell>
          <cell r="IH63" t="str">
            <v>2019-20</v>
          </cell>
          <cell r="II63">
            <v>79070000</v>
          </cell>
          <cell r="IJ63">
            <v>1.6815020417961908</v>
          </cell>
          <cell r="IK63" t="str">
            <v>2019-20</v>
          </cell>
          <cell r="IL63">
            <v>44.65</v>
          </cell>
          <cell r="IM63">
            <v>54.17</v>
          </cell>
          <cell r="IN63">
            <v>179.3</v>
          </cell>
          <cell r="IO63">
            <v>16.16</v>
          </cell>
          <cell r="IP63">
            <v>5.7952865471342916</v>
          </cell>
          <cell r="IQ63">
            <v>20.7</v>
          </cell>
          <cell r="IR63">
            <v>4.79</v>
          </cell>
          <cell r="IS63">
            <v>5.29</v>
          </cell>
          <cell r="IT63">
            <v>12.22</v>
          </cell>
          <cell r="IU63">
            <v>0.38</v>
          </cell>
          <cell r="IV63">
            <v>17.89</v>
          </cell>
          <cell r="IY63">
            <v>1.86</v>
          </cell>
          <cell r="IZ63">
            <v>0.1</v>
          </cell>
          <cell r="JA63">
            <v>1000</v>
          </cell>
          <cell r="JF63">
            <v>9.5502929499999993</v>
          </cell>
          <cell r="JG63">
            <v>19.68299167</v>
          </cell>
          <cell r="JH63">
            <v>28.812829230000002</v>
          </cell>
          <cell r="JI63">
            <v>79.871763459999997</v>
          </cell>
          <cell r="JJ63">
            <v>729.50383697999985</v>
          </cell>
          <cell r="JK63">
            <v>110.11008171999998</v>
          </cell>
          <cell r="JL63">
            <v>2355.2590625800003</v>
          </cell>
          <cell r="JM63">
            <v>98.240435870000013</v>
          </cell>
          <cell r="JN63">
            <v>84.304234520000009</v>
          </cell>
          <cell r="JO63">
            <v>15.489879129999998</v>
          </cell>
          <cell r="JP63">
            <v>0</v>
          </cell>
          <cell r="JQ63">
            <v>7.2074989699999996</v>
          </cell>
          <cell r="JR63">
            <v>1.5739355399999999</v>
          </cell>
          <cell r="JS63">
            <v>0</v>
          </cell>
          <cell r="JT63">
            <v>0.14220168</v>
          </cell>
          <cell r="JU63">
            <v>57.344988190000002</v>
          </cell>
          <cell r="JV63">
            <v>9.7397240400000005</v>
          </cell>
          <cell r="JW63">
            <v>19.27893727</v>
          </cell>
          <cell r="JX63">
            <v>77.535035399999998</v>
          </cell>
          <cell r="JY63">
            <v>0</v>
          </cell>
          <cell r="JZ63">
            <v>3.6902135600000001</v>
          </cell>
          <cell r="KA63">
            <v>0.32750000000000001</v>
          </cell>
          <cell r="KB63">
            <v>17.631225969999999</v>
          </cell>
          <cell r="KC63">
            <v>32.826864629999996</v>
          </cell>
          <cell r="KD63">
            <v>7.8508492499999996</v>
          </cell>
          <cell r="KE63">
            <v>24.392327029999997</v>
          </cell>
          <cell r="KF63">
            <v>37.302044709999997</v>
          </cell>
          <cell r="KG63">
            <v>277.66392208999997</v>
          </cell>
          <cell r="KH63">
            <v>79.487940089999995</v>
          </cell>
          <cell r="KI63">
            <v>12.37667298</v>
          </cell>
          <cell r="KJ63">
            <v>7.9872750300000002</v>
          </cell>
          <cell r="KK63">
            <v>3.8763114700000001</v>
          </cell>
          <cell r="KL63">
            <v>0.19334087999999999</v>
          </cell>
          <cell r="KM63">
            <v>1.0315885199999999</v>
          </cell>
          <cell r="KN63">
            <v>0.25815978999999994</v>
          </cell>
          <cell r="KO63">
            <v>0.50044129000000004</v>
          </cell>
          <cell r="KP63">
            <v>7.1622210000000006E-2</v>
          </cell>
          <cell r="KQ63">
            <v>205.19962316999997</v>
          </cell>
          <cell r="KR63">
            <v>0.25879832999999997</v>
          </cell>
          <cell r="KS63">
            <v>0.25184392999999999</v>
          </cell>
          <cell r="KT63">
            <v>1.49405359</v>
          </cell>
          <cell r="KU63">
            <v>8.478405E-2</v>
          </cell>
          <cell r="KV63">
            <v>0</v>
          </cell>
          <cell r="KW63">
            <v>4.2392860199999998</v>
          </cell>
          <cell r="KX63">
            <v>0</v>
          </cell>
          <cell r="KY63">
            <v>0</v>
          </cell>
          <cell r="KZ63">
            <v>0.92527935000000006</v>
          </cell>
          <cell r="LA63">
            <v>8.4648730000000005E-2</v>
          </cell>
          <cell r="LB63">
            <v>3.8103769999999995E-2</v>
          </cell>
          <cell r="LC63">
            <v>1.2120000000000001E-2</v>
          </cell>
          <cell r="LD63">
            <v>0</v>
          </cell>
          <cell r="LE63">
            <v>0</v>
          </cell>
          <cell r="LF63">
            <v>0</v>
          </cell>
          <cell r="LG63">
            <v>16.878989830000002</v>
          </cell>
          <cell r="LH63">
            <v>6.7586806399999997</v>
          </cell>
          <cell r="LI63">
            <v>4.9403821599999995</v>
          </cell>
          <cell r="LJ63">
            <v>0</v>
          </cell>
          <cell r="LK63">
            <v>1.7210603500000001</v>
          </cell>
          <cell r="LL63">
            <v>7.1575996599999998</v>
          </cell>
          <cell r="LM63">
            <v>0.78434152000000001</v>
          </cell>
          <cell r="LN63">
            <v>1.9164360000000002E-2</v>
          </cell>
          <cell r="LO63">
            <v>3.3873133300000005</v>
          </cell>
          <cell r="LQ63">
            <v>3375.9921626400005</v>
          </cell>
          <cell r="LR63">
            <v>8.9236361899999999</v>
          </cell>
          <cell r="LS63">
            <v>29.018661309999999</v>
          </cell>
          <cell r="LT63">
            <v>4.0177135599999998</v>
          </cell>
          <cell r="LU63">
            <v>207.50045502999996</v>
          </cell>
          <cell r="LV63">
            <v>4.2392860199999998</v>
          </cell>
          <cell r="LW63">
            <v>0.1227525</v>
          </cell>
          <cell r="LX63">
            <v>0</v>
          </cell>
          <cell r="LZ63">
            <v>79.36</v>
          </cell>
          <cell r="MA63">
            <v>72.56</v>
          </cell>
          <cell r="MH63">
            <v>116.46</v>
          </cell>
          <cell r="MI63">
            <v>44.41</v>
          </cell>
          <cell r="MJ63">
            <v>33.85</v>
          </cell>
          <cell r="ML63">
            <v>51.22</v>
          </cell>
          <cell r="MM63">
            <v>107.22</v>
          </cell>
          <cell r="MO63">
            <v>38.32</v>
          </cell>
          <cell r="MP63">
            <v>65.53</v>
          </cell>
          <cell r="MQ63">
            <v>84.35</v>
          </cell>
          <cell r="MU63">
            <v>44.38</v>
          </cell>
          <cell r="MY63">
            <v>115.09</v>
          </cell>
          <cell r="MZ63">
            <v>283</v>
          </cell>
          <cell r="NA63">
            <v>110.9</v>
          </cell>
          <cell r="NB63">
            <v>348.32</v>
          </cell>
          <cell r="NC63">
            <v>54.87</v>
          </cell>
          <cell r="NE63">
            <v>277.94</v>
          </cell>
        </row>
        <row r="64">
          <cell r="A64">
            <v>44013</v>
          </cell>
          <cell r="B64">
            <v>7</v>
          </cell>
          <cell r="C64">
            <v>2020</v>
          </cell>
          <cell r="D64">
            <v>64</v>
          </cell>
          <cell r="E64">
            <v>44013</v>
          </cell>
          <cell r="F64">
            <v>75.8</v>
          </cell>
          <cell r="G64">
            <v>328.20139999999998</v>
          </cell>
          <cell r="H64">
            <v>35246.080000000002</v>
          </cell>
          <cell r="I64">
            <v>74</v>
          </cell>
          <cell r="J64">
            <v>365</v>
          </cell>
          <cell r="K64">
            <v>3.3</v>
          </cell>
          <cell r="L64">
            <v>21.1</v>
          </cell>
          <cell r="N64">
            <v>1.0369999999999999</v>
          </cell>
          <cell r="O64">
            <v>0.874</v>
          </cell>
          <cell r="P64">
            <v>68.805554999999998</v>
          </cell>
          <cell r="Q64">
            <v>1900</v>
          </cell>
          <cell r="R64">
            <v>19000</v>
          </cell>
          <cell r="S64">
            <v>130.91464379947229</v>
          </cell>
          <cell r="T64">
            <v>263.52</v>
          </cell>
          <cell r="U64">
            <v>135.77142857142857</v>
          </cell>
          <cell r="V64">
            <v>222.18571428571425</v>
          </cell>
          <cell r="W64">
            <v>120.24000000000001</v>
          </cell>
          <cell r="X64">
            <v>171.31904761904761</v>
          </cell>
          <cell r="Y64">
            <v>9923.3299999999981</v>
          </cell>
          <cell r="Z64">
            <v>19974.815999999999</v>
          </cell>
          <cell r="AA64">
            <v>10291.474285714285</v>
          </cell>
          <cell r="AB64">
            <v>16841.677142857141</v>
          </cell>
          <cell r="AC64">
            <v>9114.1920000000009</v>
          </cell>
          <cell r="AD64">
            <v>12985.983809523808</v>
          </cell>
          <cell r="AE64">
            <v>13188.578873015871</v>
          </cell>
          <cell r="AF64">
            <v>45260.74545454546</v>
          </cell>
          <cell r="AG64">
            <v>20000</v>
          </cell>
          <cell r="AH64">
            <v>76000</v>
          </cell>
          <cell r="AI64">
            <v>13.28</v>
          </cell>
          <cell r="AJ64">
            <v>12.49</v>
          </cell>
          <cell r="AK64">
            <v>13.88</v>
          </cell>
          <cell r="AL64">
            <v>12.54</v>
          </cell>
          <cell r="AM64">
            <v>13.226800000000001</v>
          </cell>
          <cell r="AN64">
            <v>53.45</v>
          </cell>
          <cell r="AO64">
            <v>44.76</v>
          </cell>
          <cell r="AP64">
            <v>49.105000000000004</v>
          </cell>
          <cell r="AQ64">
            <v>17.96</v>
          </cell>
          <cell r="AR64">
            <v>33.08</v>
          </cell>
          <cell r="AS64">
            <v>25.84</v>
          </cell>
          <cell r="AT64">
            <v>32.35</v>
          </cell>
          <cell r="AU64">
            <v>30.423333333333336</v>
          </cell>
          <cell r="AV64">
            <v>18.03</v>
          </cell>
          <cell r="AW64">
            <v>19.91</v>
          </cell>
          <cell r="AX64">
            <v>31.92</v>
          </cell>
          <cell r="AY64">
            <v>31</v>
          </cell>
          <cell r="AZ64">
            <v>45.85</v>
          </cell>
          <cell r="BA64">
            <v>13.53</v>
          </cell>
          <cell r="BB64">
            <v>30.575000000000003</v>
          </cell>
          <cell r="BC64">
            <v>1262</v>
          </cell>
          <cell r="BD64">
            <v>1520</v>
          </cell>
          <cell r="BE64">
            <v>1120</v>
          </cell>
          <cell r="BF64">
            <v>720</v>
          </cell>
          <cell r="BG64">
            <v>1155.5</v>
          </cell>
          <cell r="BH64">
            <v>127.93</v>
          </cell>
          <cell r="BI64">
            <v>25</v>
          </cell>
          <cell r="BJ64">
            <v>152.93</v>
          </cell>
          <cell r="BK64">
            <v>102.449</v>
          </cell>
          <cell r="BL64">
            <v>139.97</v>
          </cell>
          <cell r="BM64">
            <v>121.20949999999999</v>
          </cell>
          <cell r="BN64">
            <v>18.329999999999998</v>
          </cell>
          <cell r="BO64">
            <v>69.215476190476195</v>
          </cell>
          <cell r="BP64">
            <v>79.760000000000005</v>
          </cell>
          <cell r="BQ64">
            <v>70.269928571428579</v>
          </cell>
          <cell r="BR64">
            <v>57.28</v>
          </cell>
          <cell r="BS64">
            <v>265</v>
          </cell>
          <cell r="BT64">
            <v>119.006</v>
          </cell>
          <cell r="BU64">
            <v>3537.018</v>
          </cell>
          <cell r="BV64">
            <v>134.1</v>
          </cell>
          <cell r="BW64">
            <v>225</v>
          </cell>
          <cell r="BY64">
            <v>479.48511159276546</v>
          </cell>
          <cell r="BZ64">
            <v>458.02775613651772</v>
          </cell>
          <cell r="CA64">
            <v>480.25199874990301</v>
          </cell>
          <cell r="CB64">
            <v>488.8171872572708</v>
          </cell>
          <cell r="CC64">
            <v>475.77049921125433</v>
          </cell>
          <cell r="CD64">
            <v>495.88504420291457</v>
          </cell>
          <cell r="CE64">
            <v>452.2673177582945</v>
          </cell>
          <cell r="CF64">
            <v>513.12819397589453</v>
          </cell>
          <cell r="CG64">
            <v>484.353373525922</v>
          </cell>
          <cell r="CH64">
            <v>558.8994810207962</v>
          </cell>
          <cell r="CI64">
            <v>487.47128897466501</v>
          </cell>
          <cell r="CJ64">
            <v>449.05462215638528</v>
          </cell>
          <cell r="CK64">
            <v>530.94650730370267</v>
          </cell>
          <cell r="CL64">
            <v>495.88966971076968</v>
          </cell>
          <cell r="CM64">
            <v>523.48451545064472</v>
          </cell>
          <cell r="CN64">
            <v>424.96422930044736</v>
          </cell>
          <cell r="CO64">
            <v>493.82123044139115</v>
          </cell>
          <cell r="CP64">
            <v>511.83298963043012</v>
          </cell>
          <cell r="CQ64">
            <v>438.08177743934823</v>
          </cell>
          <cell r="CR64">
            <v>457.28949321964461</v>
          </cell>
          <cell r="CS64">
            <v>447.68563532949645</v>
          </cell>
          <cell r="CT64">
            <v>415.70613000996366</v>
          </cell>
          <cell r="CU64">
            <v>454.28613116187381</v>
          </cell>
          <cell r="CV64">
            <v>443.81024006251198</v>
          </cell>
          <cell r="CW64">
            <v>443.81024006251198</v>
          </cell>
          <cell r="CX64">
            <v>447.30220376229926</v>
          </cell>
          <cell r="CY64">
            <v>457.1446767395438</v>
          </cell>
          <cell r="CZ64">
            <v>540.19348673776562</v>
          </cell>
          <cell r="DA64">
            <v>462.42466298386927</v>
          </cell>
          <cell r="DB64">
            <v>464.38037635519345</v>
          </cell>
          <cell r="DC64">
            <v>493.68270933703025</v>
          </cell>
          <cell r="DD64">
            <v>481.1364765027281</v>
          </cell>
          <cell r="DE64">
            <v>446.80709375564584</v>
          </cell>
          <cell r="DF64">
            <v>504.44169582611789</v>
          </cell>
          <cell r="DG64">
            <v>475.62439479088187</v>
          </cell>
          <cell r="DH64">
            <v>479.61552987027341</v>
          </cell>
          <cell r="DI64">
            <v>460.44705662978822</v>
          </cell>
          <cell r="DK64">
            <v>450000</v>
          </cell>
          <cell r="DL64" t="str">
            <v>2019-20</v>
          </cell>
          <cell r="DM64">
            <v>190000</v>
          </cell>
          <cell r="DN64" t="str">
            <v>2019-20</v>
          </cell>
          <cell r="DO64">
            <v>1250000</v>
          </cell>
          <cell r="DP64" t="str">
            <v>2020-21</v>
          </cell>
          <cell r="DQ64">
            <v>1600000</v>
          </cell>
          <cell r="DR64" t="str">
            <v>2019-20</v>
          </cell>
          <cell r="DS64">
            <v>6300000</v>
          </cell>
          <cell r="DT64" t="str">
            <v>2019-20</v>
          </cell>
          <cell r="DU64">
            <v>16900000</v>
          </cell>
          <cell r="DV64" t="str">
            <v>2019-20</v>
          </cell>
          <cell r="DW64">
            <v>520000</v>
          </cell>
          <cell r="DX64" t="str">
            <v>2019-20</v>
          </cell>
          <cell r="DY64">
            <v>6800000</v>
          </cell>
          <cell r="DZ64" t="str">
            <v>2020-21</v>
          </cell>
          <cell r="EA64">
            <v>33370000</v>
          </cell>
          <cell r="EB64">
            <v>351733</v>
          </cell>
          <cell r="EC64" t="str">
            <v>2019-20</v>
          </cell>
          <cell r="ED64">
            <v>174820</v>
          </cell>
          <cell r="EE64">
            <v>2020</v>
          </cell>
          <cell r="EF64">
            <v>214798</v>
          </cell>
          <cell r="EG64">
            <v>2020</v>
          </cell>
          <cell r="EH64">
            <v>54460799</v>
          </cell>
          <cell r="EI64">
            <v>2020</v>
          </cell>
          <cell r="EJ64">
            <v>5377071</v>
          </cell>
          <cell r="EK64">
            <v>2020</v>
          </cell>
          <cell r="EL64">
            <v>14774196</v>
          </cell>
          <cell r="EM64">
            <v>2019</v>
          </cell>
          <cell r="EN64">
            <v>3201657</v>
          </cell>
          <cell r="EO64">
            <v>2019</v>
          </cell>
          <cell r="EP64">
            <v>6552</v>
          </cell>
          <cell r="EQ64">
            <v>3366686</v>
          </cell>
          <cell r="ER64">
            <v>33739</v>
          </cell>
          <cell r="ET64">
            <v>19456</v>
          </cell>
          <cell r="EU64">
            <v>17935</v>
          </cell>
          <cell r="EV64">
            <v>9101</v>
          </cell>
          <cell r="EW64">
            <v>17303</v>
          </cell>
          <cell r="EX64">
            <v>63795</v>
          </cell>
          <cell r="EY64">
            <v>19804</v>
          </cell>
          <cell r="EZ64">
            <v>79940</v>
          </cell>
          <cell r="FA64">
            <v>20476</v>
          </cell>
          <cell r="FB64">
            <v>18080</v>
          </cell>
          <cell r="FC64">
            <v>38556</v>
          </cell>
          <cell r="FD64">
            <v>59152.38</v>
          </cell>
          <cell r="FF64">
            <v>1100000</v>
          </cell>
          <cell r="FG64" t="str">
            <v>2019-20</v>
          </cell>
          <cell r="FH64">
            <v>1200000</v>
          </cell>
          <cell r="FI64" t="str">
            <v>2019-20</v>
          </cell>
          <cell r="FJ64">
            <v>3800000</v>
          </cell>
          <cell r="FK64" t="str">
            <v>2019-20</v>
          </cell>
          <cell r="FL64">
            <v>3300000</v>
          </cell>
          <cell r="FM64" t="str">
            <v>2019-20</v>
          </cell>
          <cell r="FN64">
            <v>50000000</v>
          </cell>
          <cell r="FO64" t="str">
            <v>2019-20</v>
          </cell>
          <cell r="FP64">
            <v>49000000</v>
          </cell>
          <cell r="FQ64" t="str">
            <v>2019-20</v>
          </cell>
          <cell r="FR64">
            <v>1850000</v>
          </cell>
          <cell r="FS64" t="str">
            <v>2019-20</v>
          </cell>
          <cell r="FT64">
            <v>19750000</v>
          </cell>
          <cell r="FU64" t="str">
            <v>2019-20</v>
          </cell>
          <cell r="FV64">
            <v>127700000</v>
          </cell>
          <cell r="FW64">
            <v>1263869</v>
          </cell>
          <cell r="FX64" t="str">
            <v>2019-20</v>
          </cell>
          <cell r="FY64">
            <v>125676</v>
          </cell>
          <cell r="FZ64">
            <v>792631.64199999999</v>
          </cell>
          <cell r="GA64" t="str">
            <v>ago19 jul20</v>
          </cell>
          <cell r="GB64">
            <v>20557455</v>
          </cell>
          <cell r="GC64">
            <v>2020</v>
          </cell>
          <cell r="GD64">
            <v>1974652</v>
          </cell>
          <cell r="GE64">
            <v>367136</v>
          </cell>
          <cell r="GF64">
            <v>957160</v>
          </cell>
          <cell r="GG64">
            <v>89049</v>
          </cell>
          <cell r="GH64">
            <v>1413345</v>
          </cell>
          <cell r="GI64">
            <v>1302556</v>
          </cell>
          <cell r="GJ64">
            <v>666015</v>
          </cell>
          <cell r="GK64">
            <v>1221000</v>
          </cell>
          <cell r="GL64">
            <v>294346.89</v>
          </cell>
          <cell r="GM64">
            <v>260133.24</v>
          </cell>
          <cell r="GN64">
            <v>2441495.13</v>
          </cell>
          <cell r="GO64">
            <v>198452.81</v>
          </cell>
          <cell r="GP64">
            <v>73538</v>
          </cell>
          <cell r="GQ64">
            <v>16611</v>
          </cell>
          <cell r="GR64">
            <v>44610</v>
          </cell>
          <cell r="GS64">
            <v>45108.33</v>
          </cell>
          <cell r="GT64">
            <v>2884000</v>
          </cell>
          <cell r="GU64">
            <v>32576</v>
          </cell>
          <cell r="GV64">
            <v>38241</v>
          </cell>
          <cell r="GW64">
            <v>1217383</v>
          </cell>
          <cell r="GX64">
            <v>34954.608</v>
          </cell>
          <cell r="GY64" t="str">
            <v>2019-2020</v>
          </cell>
          <cell r="GZ64">
            <v>112856</v>
          </cell>
          <cell r="HA64">
            <v>276190</v>
          </cell>
          <cell r="HB64">
            <v>3162327.0870000003</v>
          </cell>
          <cell r="HC64" t="str">
            <v>ago19 jul20</v>
          </cell>
          <cell r="HD64">
            <v>58720</v>
          </cell>
          <cell r="HE64">
            <v>637461</v>
          </cell>
          <cell r="HF64" t="str">
            <v>ago19 jul20</v>
          </cell>
          <cell r="HG64">
            <v>190000</v>
          </cell>
          <cell r="HH64">
            <v>2238000</v>
          </cell>
          <cell r="HI64" t="str">
            <v>ago19 jul20</v>
          </cell>
          <cell r="HJ64">
            <v>69105</v>
          </cell>
          <cell r="HK64">
            <v>55066.951200000003</v>
          </cell>
          <cell r="HL64" t="str">
            <v>ago19 jul20</v>
          </cell>
          <cell r="HM64">
            <v>2293066.9512</v>
          </cell>
          <cell r="HN64">
            <v>7.5774459549810658E-2</v>
          </cell>
          <cell r="HO64">
            <v>965400000</v>
          </cell>
          <cell r="HP64">
            <v>10835.1</v>
          </cell>
          <cell r="HQ64" t="str">
            <v>ago19 jul20</v>
          </cell>
          <cell r="HU64">
            <v>650000</v>
          </cell>
          <cell r="HV64" t="str">
            <v>2019-20</v>
          </cell>
          <cell r="HW64">
            <v>1200000</v>
          </cell>
          <cell r="HX64" t="str">
            <v>2019-20</v>
          </cell>
          <cell r="HY64">
            <v>2980000</v>
          </cell>
          <cell r="HZ64" t="str">
            <v>2019-20</v>
          </cell>
          <cell r="IA64">
            <v>21140000</v>
          </cell>
          <cell r="IB64" t="str">
            <v>2019-20</v>
          </cell>
          <cell r="IC64">
            <v>44000000</v>
          </cell>
          <cell r="ID64" t="str">
            <v>2019-20</v>
          </cell>
          <cell r="IE64">
            <v>1150000</v>
          </cell>
          <cell r="IF64" t="str">
            <v>2019-20</v>
          </cell>
          <cell r="IG64">
            <v>7400000</v>
          </cell>
          <cell r="IH64" t="str">
            <v>2019-20</v>
          </cell>
          <cell r="II64">
            <v>77870000</v>
          </cell>
          <cell r="IJ64">
            <v>1.6815020417961908</v>
          </cell>
          <cell r="IK64" t="str">
            <v>2019-20</v>
          </cell>
          <cell r="IL64">
            <v>44.17</v>
          </cell>
          <cell r="IM64">
            <v>51.86</v>
          </cell>
          <cell r="IN64">
            <v>182.6</v>
          </cell>
          <cell r="IO64">
            <v>14.6</v>
          </cell>
          <cell r="IP64">
            <v>5.7952865471342916</v>
          </cell>
          <cell r="IQ64">
            <v>20.7</v>
          </cell>
          <cell r="IR64">
            <v>4.79</v>
          </cell>
          <cell r="IS64">
            <v>5.29</v>
          </cell>
          <cell r="IT64">
            <v>12.22</v>
          </cell>
          <cell r="IU64">
            <v>0.38</v>
          </cell>
          <cell r="IV64">
            <v>17.89</v>
          </cell>
          <cell r="IY64">
            <v>1.86</v>
          </cell>
          <cell r="IZ64">
            <v>0.1</v>
          </cell>
          <cell r="JA64">
            <v>2810</v>
          </cell>
          <cell r="JF64">
            <v>18.052925780000002</v>
          </cell>
          <cell r="JG64">
            <v>13.35073034</v>
          </cell>
          <cell r="JH64">
            <v>70.738487340000006</v>
          </cell>
          <cell r="JI64">
            <v>189.25780645999998</v>
          </cell>
          <cell r="JJ64">
            <v>720.88952773999972</v>
          </cell>
          <cell r="JK64">
            <v>107.98811556000001</v>
          </cell>
          <cell r="JL64">
            <v>2326.0385460799998</v>
          </cell>
          <cell r="JM64">
            <v>18.920261029999999</v>
          </cell>
          <cell r="JN64">
            <v>91.397497030000011</v>
          </cell>
          <cell r="JO64">
            <v>21.513338910000002</v>
          </cell>
          <cell r="JP64">
            <v>0</v>
          </cell>
          <cell r="JQ64">
            <v>1.45154779</v>
          </cell>
          <cell r="JR64">
            <v>1.3114868100000001</v>
          </cell>
          <cell r="JS64">
            <v>0</v>
          </cell>
          <cell r="JT64">
            <v>0.10401145999999999</v>
          </cell>
          <cell r="JU64">
            <v>91.875694549999992</v>
          </cell>
          <cell r="JV64">
            <v>13.246973310000001</v>
          </cell>
          <cell r="JW64">
            <v>14.475970939999998</v>
          </cell>
          <cell r="JX64">
            <v>45.609271579999998</v>
          </cell>
          <cell r="JY64">
            <v>0</v>
          </cell>
          <cell r="JZ64">
            <v>11.077383710000001</v>
          </cell>
          <cell r="KA64">
            <v>0.84322752000000001</v>
          </cell>
          <cell r="KB64">
            <v>16.127502849999999</v>
          </cell>
          <cell r="KC64">
            <v>64.842057670000003</v>
          </cell>
          <cell r="KD64">
            <v>9.9896128100000023</v>
          </cell>
          <cell r="KE64">
            <v>16.94434643</v>
          </cell>
          <cell r="KF64">
            <v>37.538903820000002</v>
          </cell>
          <cell r="KG64">
            <v>291.26248626</v>
          </cell>
          <cell r="KH64">
            <v>113.80739579999999</v>
          </cell>
          <cell r="KI64">
            <v>5.23575722</v>
          </cell>
          <cell r="KJ64">
            <v>9.2252940099999972</v>
          </cell>
          <cell r="KK64">
            <v>3.0966205700000002</v>
          </cell>
          <cell r="KL64">
            <v>0.30019366000000003</v>
          </cell>
          <cell r="KM64">
            <v>0.69775629999999988</v>
          </cell>
          <cell r="KN64">
            <v>0.31372700000000003</v>
          </cell>
          <cell r="KO64">
            <v>0.88154953000000014</v>
          </cell>
          <cell r="KP64">
            <v>6.5727099999999998E-3</v>
          </cell>
          <cell r="KQ64">
            <v>209.79924849</v>
          </cell>
          <cell r="KR64">
            <v>0</v>
          </cell>
          <cell r="KS64">
            <v>0.17238696999999997</v>
          </cell>
          <cell r="KT64">
            <v>1.3560046099999998</v>
          </cell>
          <cell r="KU64">
            <v>0.12220355000000001</v>
          </cell>
          <cell r="KV64">
            <v>0.33140570000000003</v>
          </cell>
          <cell r="KW64">
            <v>4.3829580699999999</v>
          </cell>
          <cell r="KX64">
            <v>0</v>
          </cell>
          <cell r="KY64">
            <v>0</v>
          </cell>
          <cell r="KZ64">
            <v>0.51339013</v>
          </cell>
          <cell r="LA64">
            <v>0.24709742000000001</v>
          </cell>
          <cell r="LB64">
            <v>1.2000819999999999E-2</v>
          </cell>
          <cell r="LC64">
            <v>2.9471799999999998E-3</v>
          </cell>
          <cell r="LD64">
            <v>0</v>
          </cell>
          <cell r="LE64">
            <v>2.4812479999999998E-2</v>
          </cell>
          <cell r="LF64">
            <v>0</v>
          </cell>
          <cell r="LG64">
            <v>14.66310747</v>
          </cell>
          <cell r="LH64">
            <v>7.6986755100000011</v>
          </cell>
          <cell r="LI64">
            <v>7.1930203400000012</v>
          </cell>
          <cell r="LJ64">
            <v>0</v>
          </cell>
          <cell r="LK64">
            <v>4.3895540699999991</v>
          </cell>
          <cell r="LL64">
            <v>4.4692109999999996</v>
          </cell>
          <cell r="LM64">
            <v>1.2710057699999997</v>
          </cell>
          <cell r="LN64">
            <v>0.15224657999999999</v>
          </cell>
          <cell r="LO64">
            <v>3.8968559900000002</v>
          </cell>
          <cell r="LQ64">
            <v>3417.2421256799994</v>
          </cell>
          <cell r="LR64">
            <v>2.8670460600000003</v>
          </cell>
          <cell r="LS64">
            <v>27.722944249999998</v>
          </cell>
          <cell r="LT64">
            <v>11.92061123</v>
          </cell>
          <cell r="LU64">
            <v>211.86466829</v>
          </cell>
          <cell r="LV64">
            <v>4.7143637700000003</v>
          </cell>
          <cell r="LW64">
            <v>0.25909824000000004</v>
          </cell>
          <cell r="LX64">
            <v>2.4812479999999998E-2</v>
          </cell>
          <cell r="LZ64">
            <v>79.040000000000006</v>
          </cell>
          <cell r="MA64">
            <v>73.25</v>
          </cell>
          <cell r="MH64">
            <v>116.71</v>
          </cell>
          <cell r="MI64">
            <v>45.62</v>
          </cell>
          <cell r="MJ64">
            <v>36.479999999999997</v>
          </cell>
          <cell r="ML64">
            <v>59.36</v>
          </cell>
          <cell r="MM64">
            <v>74.040000000000006</v>
          </cell>
          <cell r="MO64">
            <v>36.49</v>
          </cell>
          <cell r="MP64">
            <v>67.3</v>
          </cell>
          <cell r="MQ64">
            <v>87.23</v>
          </cell>
          <cell r="MU64">
            <v>41.23</v>
          </cell>
          <cell r="MY64">
            <v>119.62</v>
          </cell>
          <cell r="MZ64">
            <v>295</v>
          </cell>
          <cell r="NA64">
            <v>115.08</v>
          </cell>
          <cell r="NB64">
            <v>363.74</v>
          </cell>
          <cell r="NC64">
            <v>55.89</v>
          </cell>
          <cell r="NE64">
            <v>282.16000000000003</v>
          </cell>
        </row>
        <row r="65">
          <cell r="A65">
            <v>44044</v>
          </cell>
          <cell r="B65">
            <v>8</v>
          </cell>
          <cell r="C65">
            <v>2020</v>
          </cell>
          <cell r="D65">
            <v>65</v>
          </cell>
          <cell r="E65">
            <v>44044</v>
          </cell>
          <cell r="F65">
            <v>77.28</v>
          </cell>
          <cell r="G65">
            <v>337.06319999999999</v>
          </cell>
          <cell r="H65">
            <v>35246.080000000002</v>
          </cell>
          <cell r="I65">
            <v>71</v>
          </cell>
          <cell r="J65">
            <v>365</v>
          </cell>
          <cell r="K65">
            <v>3.3</v>
          </cell>
          <cell r="L65">
            <v>20.3</v>
          </cell>
          <cell r="N65">
            <v>1.0646</v>
          </cell>
          <cell r="O65">
            <v>0.91</v>
          </cell>
          <cell r="P65">
            <v>72.483616800000007</v>
          </cell>
          <cell r="Q65">
            <v>1925</v>
          </cell>
          <cell r="R65">
            <v>19250</v>
          </cell>
          <cell r="S65">
            <v>155.88768115942028</v>
          </cell>
          <cell r="T65">
            <v>270.10000000000002</v>
          </cell>
          <cell r="U65">
            <v>141.78000000000003</v>
          </cell>
          <cell r="V65">
            <v>231.44</v>
          </cell>
          <cell r="W65">
            <v>120.24000000000001</v>
          </cell>
          <cell r="X65">
            <v>177.98000000000002</v>
          </cell>
          <cell r="Y65">
            <v>12047</v>
          </cell>
          <cell r="Z65">
            <v>20873.328000000001</v>
          </cell>
          <cell r="AA65">
            <v>10956.758400000002</v>
          </cell>
          <cell r="AB65">
            <v>17885.683199999999</v>
          </cell>
          <cell r="AC65">
            <v>9292.1472000000012</v>
          </cell>
          <cell r="AD65">
            <v>13754.294400000002</v>
          </cell>
          <cell r="AE65">
            <v>14134.868533333336</v>
          </cell>
          <cell r="AF65">
            <v>46060.373863636363</v>
          </cell>
          <cell r="AG65">
            <v>20000</v>
          </cell>
          <cell r="AH65">
            <v>76000</v>
          </cell>
          <cell r="AI65">
            <v>15.83</v>
          </cell>
          <cell r="AJ65">
            <v>13.79</v>
          </cell>
          <cell r="AK65">
            <v>13.55</v>
          </cell>
          <cell r="AL65">
            <v>13.73</v>
          </cell>
          <cell r="AM65">
            <v>14.6516</v>
          </cell>
          <cell r="AN65">
            <v>59.87</v>
          </cell>
          <cell r="AO65">
            <v>49.27</v>
          </cell>
          <cell r="AP65">
            <v>54.57</v>
          </cell>
          <cell r="AQ65">
            <v>21.43</v>
          </cell>
          <cell r="AR65">
            <v>36.56</v>
          </cell>
          <cell r="AS65">
            <v>28.71</v>
          </cell>
          <cell r="AT65">
            <v>35.35</v>
          </cell>
          <cell r="AU65">
            <v>33.54</v>
          </cell>
          <cell r="AV65">
            <v>14.73</v>
          </cell>
          <cell r="AW65">
            <v>19.170000000000002</v>
          </cell>
          <cell r="AX65">
            <v>39.369999999999997</v>
          </cell>
          <cell r="AY65">
            <v>32.57</v>
          </cell>
          <cell r="AZ65">
            <v>31.15</v>
          </cell>
          <cell r="BA65">
            <v>15.45</v>
          </cell>
          <cell r="BB65">
            <v>29.635000000000002</v>
          </cell>
          <cell r="BC65">
            <v>1262</v>
          </cell>
          <cell r="BD65">
            <v>1520</v>
          </cell>
          <cell r="BE65">
            <v>1120</v>
          </cell>
          <cell r="BF65">
            <v>720</v>
          </cell>
          <cell r="BG65">
            <v>1155.5</v>
          </cell>
          <cell r="BH65">
            <v>127.93</v>
          </cell>
          <cell r="BI65">
            <v>25</v>
          </cell>
          <cell r="BJ65">
            <v>152.93</v>
          </cell>
          <cell r="BK65">
            <v>107.274</v>
          </cell>
          <cell r="BL65">
            <v>141.61000000000001</v>
          </cell>
          <cell r="BM65">
            <v>124.44200000000001</v>
          </cell>
          <cell r="BN65">
            <v>18.649999999999999</v>
          </cell>
          <cell r="BO65">
            <v>85.97</v>
          </cell>
          <cell r="BP65">
            <v>79.760000000000005</v>
          </cell>
          <cell r="BQ65">
            <v>85.349000000000004</v>
          </cell>
          <cell r="BR65">
            <v>69.739999999999995</v>
          </cell>
          <cell r="BS65">
            <v>265</v>
          </cell>
          <cell r="BT65">
            <v>124.42080000000001</v>
          </cell>
          <cell r="BU65">
            <v>3553.2624000000001</v>
          </cell>
          <cell r="BV65">
            <v>147.4</v>
          </cell>
          <cell r="BW65">
            <v>200</v>
          </cell>
          <cell r="BY65">
            <v>493.31962271571751</v>
          </cell>
          <cell r="BZ65">
            <v>461.70594081045459</v>
          </cell>
          <cell r="CA65">
            <v>513.14794362573787</v>
          </cell>
          <cell r="CB65">
            <v>505.04984261871232</v>
          </cell>
          <cell r="CC65">
            <v>493.06598569927331</v>
          </cell>
          <cell r="CD65">
            <v>517.06497832410628</v>
          </cell>
          <cell r="CE65">
            <v>459.95026193688011</v>
          </cell>
          <cell r="CF65">
            <v>531.36772206493799</v>
          </cell>
          <cell r="CG65">
            <v>503.27445571160797</v>
          </cell>
          <cell r="CH65">
            <v>572.59105692348271</v>
          </cell>
          <cell r="CI65">
            <v>482.03235419543029</v>
          </cell>
          <cell r="CJ65">
            <v>447.79103437264104</v>
          </cell>
          <cell r="CK65">
            <v>570.091183489733</v>
          </cell>
          <cell r="CL65">
            <v>507.39169983042575</v>
          </cell>
          <cell r="CM65">
            <v>463.11101155816965</v>
          </cell>
          <cell r="CN65">
            <v>433.52571838156513</v>
          </cell>
          <cell r="CO65">
            <v>493.52990331497335</v>
          </cell>
          <cell r="CP65">
            <v>519.83660327427833</v>
          </cell>
          <cell r="CQ65">
            <v>445.90699096440164</v>
          </cell>
          <cell r="CR65">
            <v>466.11066237775054</v>
          </cell>
          <cell r="CS65">
            <v>456.00882667107612</v>
          </cell>
          <cell r="CT65">
            <v>421.71585673177958</v>
          </cell>
          <cell r="CU65">
            <v>462.0940501747798</v>
          </cell>
          <cell r="CV65">
            <v>450.71914422265974</v>
          </cell>
          <cell r="CW65">
            <v>450.71914422265974</v>
          </cell>
          <cell r="CX65">
            <v>454.51077954003307</v>
          </cell>
          <cell r="CY65">
            <v>457.73781876866116</v>
          </cell>
          <cell r="CZ65">
            <v>540.07294463445692</v>
          </cell>
          <cell r="DA65">
            <v>464.10042040628275</v>
          </cell>
          <cell r="DB65">
            <v>471.6092048426475</v>
          </cell>
          <cell r="DC65">
            <v>514.06566019843581</v>
          </cell>
          <cell r="DD65">
            <v>505.87455483889164</v>
          </cell>
          <cell r="DE65">
            <v>468.91673039141591</v>
          </cell>
          <cell r="DF65">
            <v>529.30862950928918</v>
          </cell>
          <cell r="DG65">
            <v>499.11267995035257</v>
          </cell>
          <cell r="DH65">
            <v>487.88119637101062</v>
          </cell>
          <cell r="DI65">
            <v>462.10602289536035</v>
          </cell>
          <cell r="DK65">
            <v>450000</v>
          </cell>
          <cell r="DL65" t="str">
            <v>2019-20</v>
          </cell>
          <cell r="DM65">
            <v>190000</v>
          </cell>
          <cell r="DN65" t="str">
            <v>2019-20</v>
          </cell>
          <cell r="DO65">
            <v>1250000</v>
          </cell>
          <cell r="DP65" t="str">
            <v>2020-21</v>
          </cell>
          <cell r="DQ65">
            <v>1600000</v>
          </cell>
          <cell r="DR65" t="str">
            <v>2019-20</v>
          </cell>
          <cell r="DS65">
            <v>6200000</v>
          </cell>
          <cell r="DT65" t="str">
            <v>2020-21</v>
          </cell>
          <cell r="DU65">
            <v>16900000</v>
          </cell>
          <cell r="DV65" t="str">
            <v>2019-20</v>
          </cell>
          <cell r="DW65">
            <v>520000</v>
          </cell>
          <cell r="DX65" t="str">
            <v>2019-20</v>
          </cell>
          <cell r="DY65">
            <v>6700000</v>
          </cell>
          <cell r="DZ65" t="str">
            <v>2020-21</v>
          </cell>
          <cell r="EA65">
            <v>33170000</v>
          </cell>
          <cell r="EB65">
            <v>351733</v>
          </cell>
          <cell r="EC65" t="str">
            <v>2019-20</v>
          </cell>
          <cell r="ED65">
            <v>174820</v>
          </cell>
          <cell r="EE65">
            <v>2020</v>
          </cell>
          <cell r="EF65">
            <v>214798</v>
          </cell>
          <cell r="EG65">
            <v>2020</v>
          </cell>
          <cell r="EH65">
            <v>54460799</v>
          </cell>
          <cell r="EI65">
            <v>2020</v>
          </cell>
          <cell r="EJ65">
            <v>5377071</v>
          </cell>
          <cell r="EK65">
            <v>2020</v>
          </cell>
          <cell r="EL65">
            <v>14774196</v>
          </cell>
          <cell r="EM65">
            <v>2019</v>
          </cell>
          <cell r="EN65">
            <v>3201657</v>
          </cell>
          <cell r="EO65">
            <v>2019</v>
          </cell>
          <cell r="EP65">
            <v>6552</v>
          </cell>
          <cell r="EQ65">
            <v>3366686</v>
          </cell>
          <cell r="ER65">
            <v>76657</v>
          </cell>
          <cell r="ET65">
            <v>19456</v>
          </cell>
          <cell r="EU65">
            <v>17935</v>
          </cell>
          <cell r="EV65">
            <v>9101</v>
          </cell>
          <cell r="EW65">
            <v>17303</v>
          </cell>
          <cell r="EX65">
            <v>63795</v>
          </cell>
          <cell r="EY65">
            <v>19804</v>
          </cell>
          <cell r="EZ65">
            <v>79940</v>
          </cell>
          <cell r="FA65">
            <v>22244</v>
          </cell>
          <cell r="FB65">
            <v>18080</v>
          </cell>
          <cell r="FC65">
            <v>40324</v>
          </cell>
          <cell r="FD65">
            <v>59152.38</v>
          </cell>
          <cell r="FF65">
            <v>1100000</v>
          </cell>
          <cell r="FG65" t="str">
            <v>2019-20</v>
          </cell>
          <cell r="FH65">
            <v>1200000</v>
          </cell>
          <cell r="FI65" t="str">
            <v>2019-20</v>
          </cell>
          <cell r="FJ65">
            <v>3800000</v>
          </cell>
          <cell r="FK65" t="str">
            <v>2019-20</v>
          </cell>
          <cell r="FL65">
            <v>3300000</v>
          </cell>
          <cell r="FM65" t="str">
            <v>2019-20</v>
          </cell>
          <cell r="FN65">
            <v>50000000</v>
          </cell>
          <cell r="FO65" t="str">
            <v>2019-20</v>
          </cell>
          <cell r="FP65">
            <v>49000000</v>
          </cell>
          <cell r="FQ65" t="str">
            <v>2019-20</v>
          </cell>
          <cell r="FR65">
            <v>1850000</v>
          </cell>
          <cell r="FS65" t="str">
            <v>2019-20</v>
          </cell>
          <cell r="FT65">
            <v>19750000</v>
          </cell>
          <cell r="FU65" t="str">
            <v>2019-20</v>
          </cell>
          <cell r="FV65">
            <v>127700000</v>
          </cell>
          <cell r="FW65">
            <v>1263869</v>
          </cell>
          <cell r="FX65" t="str">
            <v>2019-20</v>
          </cell>
          <cell r="FY65">
            <v>111123</v>
          </cell>
          <cell r="FZ65">
            <v>802985.18799999997</v>
          </cell>
          <cell r="GA65" t="str">
            <v>sept19 ago20</v>
          </cell>
          <cell r="GB65">
            <v>20557455</v>
          </cell>
          <cell r="GC65">
            <v>2020</v>
          </cell>
          <cell r="GD65">
            <v>1974652</v>
          </cell>
          <cell r="GE65">
            <v>367136</v>
          </cell>
          <cell r="GF65">
            <v>957160</v>
          </cell>
          <cell r="GG65">
            <v>89049</v>
          </cell>
          <cell r="GH65">
            <v>1413345</v>
          </cell>
          <cell r="GI65">
            <v>1302556</v>
          </cell>
          <cell r="GJ65">
            <v>666015</v>
          </cell>
          <cell r="GK65">
            <v>1221000</v>
          </cell>
          <cell r="GL65">
            <v>294346.89</v>
          </cell>
          <cell r="GM65">
            <v>260133.24</v>
          </cell>
          <cell r="GN65">
            <v>2441495.13</v>
          </cell>
          <cell r="GO65">
            <v>198452.81</v>
          </cell>
          <cell r="GP65">
            <v>73538</v>
          </cell>
          <cell r="GQ65">
            <v>20802</v>
          </cell>
          <cell r="GR65">
            <v>44610</v>
          </cell>
          <cell r="GS65">
            <v>45234.06</v>
          </cell>
          <cell r="GT65">
            <v>2884000</v>
          </cell>
          <cell r="GU65">
            <v>32948</v>
          </cell>
          <cell r="GV65">
            <v>39023</v>
          </cell>
          <cell r="GW65">
            <v>1225177</v>
          </cell>
          <cell r="GX65">
            <v>34954.608</v>
          </cell>
          <cell r="GY65" t="str">
            <v>2019-2020</v>
          </cell>
          <cell r="GZ65">
            <v>112856</v>
          </cell>
          <cell r="HA65">
            <v>263696</v>
          </cell>
          <cell r="HB65">
            <v>3156024.0870000003</v>
          </cell>
          <cell r="HC65" t="str">
            <v>sept19 ago20</v>
          </cell>
          <cell r="HD65">
            <v>55848</v>
          </cell>
          <cell r="HE65">
            <v>642264</v>
          </cell>
          <cell r="HF65" t="str">
            <v>sept19 ago20</v>
          </cell>
          <cell r="HG65">
            <v>178000</v>
          </cell>
          <cell r="HH65">
            <v>2224000</v>
          </cell>
          <cell r="HI65" t="str">
            <v>sept19 ago20</v>
          </cell>
          <cell r="HJ65">
            <v>81150</v>
          </cell>
          <cell r="HK65">
            <v>54868.831200000001</v>
          </cell>
          <cell r="HL65" t="str">
            <v>sept19 ago20</v>
          </cell>
          <cell r="HM65">
            <v>2278868.8311999999</v>
          </cell>
          <cell r="HN65">
            <v>5.0568769389865542E-2</v>
          </cell>
          <cell r="HO65">
            <v>1015900000</v>
          </cell>
          <cell r="HP65">
            <v>10884</v>
          </cell>
          <cell r="HQ65" t="str">
            <v>sept19 ago20</v>
          </cell>
          <cell r="HU65">
            <v>650000</v>
          </cell>
          <cell r="HV65" t="str">
            <v>2019-20</v>
          </cell>
          <cell r="HW65">
            <v>1200000</v>
          </cell>
          <cell r="HX65" t="str">
            <v>2019-20</v>
          </cell>
          <cell r="HY65">
            <v>2980000</v>
          </cell>
          <cell r="HZ65" t="str">
            <v>2019-20</v>
          </cell>
          <cell r="IA65">
            <v>21140000</v>
          </cell>
          <cell r="IB65" t="str">
            <v>2019-20</v>
          </cell>
          <cell r="IC65">
            <v>44000000</v>
          </cell>
          <cell r="ID65" t="str">
            <v>2019-20</v>
          </cell>
          <cell r="IE65">
            <v>1150000</v>
          </cell>
          <cell r="IF65" t="str">
            <v>2019-20</v>
          </cell>
          <cell r="IG65">
            <v>7400000</v>
          </cell>
          <cell r="IH65" t="str">
            <v>2019-20</v>
          </cell>
          <cell r="II65">
            <v>77870000</v>
          </cell>
          <cell r="IJ65">
            <v>1.6815020417961908</v>
          </cell>
          <cell r="IK65" t="str">
            <v>2019-20</v>
          </cell>
          <cell r="IL65">
            <v>42</v>
          </cell>
          <cell r="IM65">
            <v>48.66</v>
          </cell>
          <cell r="IN65">
            <v>182.5</v>
          </cell>
          <cell r="IO65">
            <v>14.08</v>
          </cell>
          <cell r="IP65">
            <v>5.7952865471342916</v>
          </cell>
          <cell r="IQ65">
            <v>20.7</v>
          </cell>
          <cell r="IR65">
            <v>4.79</v>
          </cell>
          <cell r="IS65">
            <v>5.29</v>
          </cell>
          <cell r="IT65">
            <v>12.22</v>
          </cell>
          <cell r="IU65">
            <v>0.38</v>
          </cell>
          <cell r="IV65">
            <v>17.89</v>
          </cell>
          <cell r="IY65">
            <v>1.86</v>
          </cell>
          <cell r="IZ65">
            <v>0.1</v>
          </cell>
          <cell r="JA65">
            <v>2810</v>
          </cell>
          <cell r="JF65">
            <v>19.443981660000006</v>
          </cell>
          <cell r="JG65">
            <v>19.076793430000002</v>
          </cell>
          <cell r="JH65">
            <v>139.99821710999998</v>
          </cell>
          <cell r="JI65">
            <v>94.126476359999998</v>
          </cell>
          <cell r="JJ65">
            <v>756.75162622999994</v>
          </cell>
          <cell r="JK65">
            <v>112.95003618000001</v>
          </cell>
          <cell r="JL65">
            <v>1650.62800444</v>
          </cell>
          <cell r="JM65">
            <v>58.857464999999998</v>
          </cell>
          <cell r="JN65">
            <v>71.407447029999986</v>
          </cell>
          <cell r="JO65">
            <v>23.383617489999999</v>
          </cell>
          <cell r="JP65">
            <v>0</v>
          </cell>
          <cell r="JQ65">
            <v>6.4297300000000002E-2</v>
          </cell>
          <cell r="JR65">
            <v>1.2477110899999999</v>
          </cell>
          <cell r="JS65">
            <v>0</v>
          </cell>
          <cell r="JT65">
            <v>5.9422250000000003E-2</v>
          </cell>
          <cell r="JU65">
            <v>106.25096956</v>
          </cell>
          <cell r="JV65">
            <v>8.5407670600000003</v>
          </cell>
          <cell r="JW65">
            <v>13.384086410000002</v>
          </cell>
          <cell r="JX65">
            <v>24.131844400000002</v>
          </cell>
          <cell r="JY65">
            <v>0</v>
          </cell>
          <cell r="JZ65">
            <v>13.64625436</v>
          </cell>
          <cell r="KA65">
            <v>0.7358905</v>
          </cell>
          <cell r="KB65">
            <v>16.814666639999999</v>
          </cell>
          <cell r="KC65">
            <v>17.002841179999997</v>
          </cell>
          <cell r="KD65">
            <v>12.855441149999999</v>
          </cell>
          <cell r="KE65">
            <v>16.584271619999999</v>
          </cell>
          <cell r="KF65">
            <v>37.29157446</v>
          </cell>
          <cell r="KG65">
            <v>322.32935910999981</v>
          </cell>
          <cell r="KH65">
            <v>113.62792897999999</v>
          </cell>
          <cell r="KI65">
            <v>14.825139280000002</v>
          </cell>
          <cell r="KJ65">
            <v>7.7727499299999998</v>
          </cell>
          <cell r="KK65">
            <v>4.3166837699999983</v>
          </cell>
          <cell r="KL65">
            <v>0.54441731000000004</v>
          </cell>
          <cell r="KM65">
            <v>1.0513036599999999</v>
          </cell>
          <cell r="KN65">
            <v>9.1013540000000004E-2</v>
          </cell>
          <cell r="KO65">
            <v>2.8909279299999997</v>
          </cell>
          <cell r="KP65">
            <v>3.2950569999999998E-2</v>
          </cell>
          <cell r="KQ65">
            <v>175.21359783999998</v>
          </cell>
          <cell r="KR65">
            <v>0</v>
          </cell>
          <cell r="KS65">
            <v>0.12263531999999999</v>
          </cell>
          <cell r="KT65">
            <v>0.76013449</v>
          </cell>
          <cell r="KU65">
            <v>0.25916665</v>
          </cell>
          <cell r="KV65">
            <v>1.4899484999999999</v>
          </cell>
          <cell r="KW65">
            <v>5.2437671600000009</v>
          </cell>
          <cell r="KX65">
            <v>0</v>
          </cell>
          <cell r="KY65">
            <v>0</v>
          </cell>
          <cell r="KZ65">
            <v>1.1405222399999999</v>
          </cell>
          <cell r="LA65">
            <v>0.34520812000000001</v>
          </cell>
          <cell r="LB65">
            <v>0</v>
          </cell>
          <cell r="LC65">
            <v>0.20501606</v>
          </cell>
          <cell r="LD65">
            <v>0</v>
          </cell>
          <cell r="LE65">
            <v>0</v>
          </cell>
          <cell r="LF65">
            <v>1.5445190000000001E-2</v>
          </cell>
          <cell r="LG65">
            <v>14.034553279999999</v>
          </cell>
          <cell r="LH65">
            <v>7.8407787799999999</v>
          </cell>
          <cell r="LI65">
            <v>5.1180943299999999</v>
          </cell>
          <cell r="LJ65">
            <v>0</v>
          </cell>
          <cell r="LK65">
            <v>1.4382507399999997</v>
          </cell>
          <cell r="LL65">
            <v>2.6961430500000003</v>
          </cell>
          <cell r="LM65">
            <v>0.84093810000000002</v>
          </cell>
          <cell r="LN65">
            <v>1.3134819999999998E-2</v>
          </cell>
          <cell r="LO65">
            <v>4.2264317400000007</v>
          </cell>
          <cell r="LQ65">
            <v>2771.7692361700001</v>
          </cell>
          <cell r="LR65">
            <v>1.3714306399999998</v>
          </cell>
          <cell r="LS65">
            <v>21.924853470000002</v>
          </cell>
          <cell r="LT65">
            <v>14.38214486</v>
          </cell>
          <cell r="LU65">
            <v>179.36947828999999</v>
          </cell>
          <cell r="LV65">
            <v>6.7337156600000005</v>
          </cell>
          <cell r="LW65">
            <v>0.34520812000000001</v>
          </cell>
          <cell r="LX65">
            <v>1.5445190000000001E-2</v>
          </cell>
          <cell r="LZ65">
            <v>80.59</v>
          </cell>
          <cell r="MA65">
            <v>73.8</v>
          </cell>
          <cell r="MH65">
            <v>116.91</v>
          </cell>
          <cell r="MI65">
            <v>46.04</v>
          </cell>
          <cell r="MJ65">
            <v>38.04</v>
          </cell>
          <cell r="ML65">
            <v>78.39</v>
          </cell>
          <cell r="MM65">
            <v>75.44</v>
          </cell>
          <cell r="MO65">
            <v>35.659999999999997</v>
          </cell>
          <cell r="MP65">
            <v>69.67</v>
          </cell>
          <cell r="MQ65">
            <v>95.8</v>
          </cell>
          <cell r="MU65">
            <v>43.28</v>
          </cell>
          <cell r="MY65">
            <v>124.33</v>
          </cell>
          <cell r="MZ65">
            <v>303</v>
          </cell>
          <cell r="NA65">
            <v>114.92</v>
          </cell>
          <cell r="NB65">
            <v>369.9</v>
          </cell>
          <cell r="NC65">
            <v>56</v>
          </cell>
          <cell r="NE65">
            <v>294.27</v>
          </cell>
        </row>
        <row r="66">
          <cell r="A66">
            <v>44075</v>
          </cell>
          <cell r="B66">
            <v>9</v>
          </cell>
          <cell r="C66">
            <v>2020</v>
          </cell>
          <cell r="D66">
            <v>66</v>
          </cell>
          <cell r="E66">
            <v>44075</v>
          </cell>
          <cell r="F66">
            <v>79.13</v>
          </cell>
          <cell r="G66">
            <v>346.6207</v>
          </cell>
          <cell r="H66">
            <v>35246.080000000002</v>
          </cell>
          <cell r="I66">
            <v>71</v>
          </cell>
          <cell r="J66">
            <v>420</v>
          </cell>
          <cell r="K66">
            <v>3.3</v>
          </cell>
          <cell r="L66">
            <v>21.8</v>
          </cell>
          <cell r="N66">
            <v>1.1160000000000001</v>
          </cell>
          <cell r="O66">
            <v>0.99399999999999999</v>
          </cell>
          <cell r="P66">
            <v>79.308042499999999</v>
          </cell>
          <cell r="Q66">
            <v>2020</v>
          </cell>
          <cell r="R66">
            <v>20200</v>
          </cell>
          <cell r="S66">
            <v>166.42234297990649</v>
          </cell>
          <cell r="T66">
            <v>285.13</v>
          </cell>
          <cell r="U66">
            <v>152.48636363636362</v>
          </cell>
          <cell r="V66">
            <v>246.72272727272727</v>
          </cell>
          <cell r="W66">
            <v>157.4376</v>
          </cell>
          <cell r="X66">
            <v>191.28181818181818</v>
          </cell>
          <cell r="Y66">
            <v>13169</v>
          </cell>
          <cell r="Z66">
            <v>22562.336899999998</v>
          </cell>
          <cell r="AA66">
            <v>12066.245954545453</v>
          </cell>
          <cell r="AB66">
            <v>19523.169409090908</v>
          </cell>
          <cell r="AC66">
            <v>12458.037288</v>
          </cell>
          <cell r="AD66">
            <v>15136.130272727272</v>
          </cell>
          <cell r="AE66">
            <v>15819.153304060606</v>
          </cell>
          <cell r="AF66">
            <v>46848.181818181816</v>
          </cell>
          <cell r="AG66">
            <v>20000</v>
          </cell>
          <cell r="AH66">
            <v>76000</v>
          </cell>
          <cell r="AI66">
            <v>15.44</v>
          </cell>
          <cell r="AJ66">
            <v>12.75</v>
          </cell>
          <cell r="AK66">
            <v>14.33</v>
          </cell>
          <cell r="AL66">
            <v>15.73</v>
          </cell>
          <cell r="AM66">
            <v>15.1134</v>
          </cell>
          <cell r="AN66">
            <v>72.56</v>
          </cell>
          <cell r="AO66">
            <v>54.88</v>
          </cell>
          <cell r="AP66">
            <v>63.72</v>
          </cell>
          <cell r="AQ66">
            <v>27.68</v>
          </cell>
          <cell r="AR66">
            <v>39.89</v>
          </cell>
          <cell r="AS66">
            <v>36.979999999999997</v>
          </cell>
          <cell r="AT66">
            <v>40.630000000000003</v>
          </cell>
          <cell r="AU66">
            <v>39.166666666666664</v>
          </cell>
          <cell r="AV66">
            <v>17.829999999999998</v>
          </cell>
          <cell r="AW66">
            <v>19.170000000000002</v>
          </cell>
          <cell r="AX66">
            <v>40.549999999999997</v>
          </cell>
          <cell r="AY66">
            <v>62.47</v>
          </cell>
          <cell r="AZ66">
            <v>31.59</v>
          </cell>
          <cell r="BA66">
            <v>19.73</v>
          </cell>
          <cell r="BB66">
            <v>38.584999999999994</v>
          </cell>
          <cell r="BC66">
            <v>1262</v>
          </cell>
          <cell r="BD66">
            <v>1520</v>
          </cell>
          <cell r="BE66">
            <v>1120</v>
          </cell>
          <cell r="BF66">
            <v>720</v>
          </cell>
          <cell r="BG66">
            <v>1155.5</v>
          </cell>
          <cell r="BH66">
            <v>127.93</v>
          </cell>
          <cell r="BI66">
            <v>55</v>
          </cell>
          <cell r="BJ66">
            <v>182.93</v>
          </cell>
          <cell r="BK66">
            <v>104.964</v>
          </cell>
          <cell r="BL66">
            <v>136.08000000000001</v>
          </cell>
          <cell r="BM66">
            <v>120.52200000000001</v>
          </cell>
          <cell r="BN66">
            <v>19.07</v>
          </cell>
          <cell r="BO66">
            <v>89.394047619047626</v>
          </cell>
          <cell r="BP66">
            <v>80.33</v>
          </cell>
          <cell r="BQ66">
            <v>88.487642857142873</v>
          </cell>
          <cell r="BR66">
            <v>82.75</v>
          </cell>
          <cell r="BS66">
            <v>265</v>
          </cell>
          <cell r="BT66">
            <v>117.90369999999999</v>
          </cell>
          <cell r="BU66">
            <v>3533.7111</v>
          </cell>
          <cell r="BV66">
            <v>160.9</v>
          </cell>
          <cell r="BW66">
            <v>210</v>
          </cell>
          <cell r="BY66">
            <v>526.02898275684481</v>
          </cell>
          <cell r="BZ66">
            <v>487.82105788630457</v>
          </cell>
          <cell r="CA66">
            <v>557.36193326378225</v>
          </cell>
          <cell r="CB66">
            <v>546.9812979958723</v>
          </cell>
          <cell r="CC66">
            <v>538.72969503004106</v>
          </cell>
          <cell r="CD66">
            <v>562.2336394824149</v>
          </cell>
          <cell r="CE66">
            <v>536.67084479084212</v>
          </cell>
          <cell r="CF66">
            <v>577.76910696565653</v>
          </cell>
          <cell r="CG66">
            <v>553.29108625476829</v>
          </cell>
          <cell r="CH66">
            <v>602.44072084744369</v>
          </cell>
          <cell r="CI66">
            <v>520.64383568502262</v>
          </cell>
          <cell r="CJ66">
            <v>458.32619226831434</v>
          </cell>
          <cell r="CK66">
            <v>597.74908099343691</v>
          </cell>
          <cell r="CL66">
            <v>652.64047638343379</v>
          </cell>
          <cell r="CM66">
            <v>478.30888706456875</v>
          </cell>
          <cell r="CN66">
            <v>464.02225724594075</v>
          </cell>
          <cell r="CO66">
            <v>548.18017542184509</v>
          </cell>
          <cell r="CP66">
            <v>535.0866756729165</v>
          </cell>
          <cell r="CQ66">
            <v>471.10627210289505</v>
          </cell>
          <cell r="CR66">
            <v>488.27666830554921</v>
          </cell>
          <cell r="CS66">
            <v>479.69147020422213</v>
          </cell>
          <cell r="CT66">
            <v>445.40216908900499</v>
          </cell>
          <cell r="CU66">
            <v>487.11150930984337</v>
          </cell>
          <cell r="CV66">
            <v>482.27228548094547</v>
          </cell>
          <cell r="CW66">
            <v>482.27228548094547</v>
          </cell>
          <cell r="CX66">
            <v>483.88536009057816</v>
          </cell>
          <cell r="CY66">
            <v>466.51285364453832</v>
          </cell>
          <cell r="CZ66">
            <v>554.88175751838071</v>
          </cell>
          <cell r="DA66">
            <v>476.94682787007156</v>
          </cell>
          <cell r="DB66">
            <v>489.66827543159252</v>
          </cell>
          <cell r="DC66">
            <v>552.61328796504222</v>
          </cell>
          <cell r="DD66">
            <v>548.87417216273082</v>
          </cell>
          <cell r="DE66">
            <v>505.78874665659617</v>
          </cell>
          <cell r="DF66">
            <v>574.44054661897655</v>
          </cell>
          <cell r="DG66">
            <v>540.11464663778634</v>
          </cell>
          <cell r="DH66">
            <v>509.02058018846407</v>
          </cell>
          <cell r="DI66">
            <v>469.45830775790245</v>
          </cell>
          <cell r="DK66">
            <v>450000</v>
          </cell>
          <cell r="DL66" t="str">
            <v>2019-20</v>
          </cell>
          <cell r="DM66">
            <v>190000</v>
          </cell>
          <cell r="DN66" t="str">
            <v>2019-20</v>
          </cell>
          <cell r="DO66">
            <v>1250000</v>
          </cell>
          <cell r="DP66" t="str">
            <v>2020-21</v>
          </cell>
          <cell r="DQ66">
            <v>1400000</v>
          </cell>
          <cell r="DR66" t="str">
            <v>2020-21</v>
          </cell>
          <cell r="DS66">
            <v>6300000</v>
          </cell>
          <cell r="DT66" t="str">
            <v>2020-21</v>
          </cell>
          <cell r="DU66">
            <v>16900000</v>
          </cell>
          <cell r="DV66" t="str">
            <v>2019-20</v>
          </cell>
          <cell r="DW66">
            <v>570000</v>
          </cell>
          <cell r="DX66" t="str">
            <v>2020-21</v>
          </cell>
          <cell r="DY66">
            <v>6700000</v>
          </cell>
          <cell r="DZ66" t="str">
            <v>2020-21</v>
          </cell>
          <cell r="EA66">
            <v>33120000</v>
          </cell>
          <cell r="EB66">
            <v>351733</v>
          </cell>
          <cell r="EC66" t="str">
            <v>2019-20</v>
          </cell>
          <cell r="ED66">
            <v>174820</v>
          </cell>
          <cell r="EE66">
            <v>2020</v>
          </cell>
          <cell r="EF66">
            <v>214798</v>
          </cell>
          <cell r="EG66">
            <v>2020</v>
          </cell>
          <cell r="EH66">
            <v>54460799</v>
          </cell>
          <cell r="EI66">
            <v>2020</v>
          </cell>
          <cell r="EJ66">
            <v>5377071</v>
          </cell>
          <cell r="EK66">
            <v>2020</v>
          </cell>
          <cell r="EL66">
            <v>14774196</v>
          </cell>
          <cell r="EM66">
            <v>2019</v>
          </cell>
          <cell r="EN66">
            <v>3201657</v>
          </cell>
          <cell r="EO66">
            <v>2019</v>
          </cell>
          <cell r="EP66">
            <v>6552</v>
          </cell>
          <cell r="EQ66">
            <v>3366686</v>
          </cell>
          <cell r="ER66">
            <v>76657</v>
          </cell>
          <cell r="ET66">
            <v>19456</v>
          </cell>
          <cell r="EU66">
            <v>17935</v>
          </cell>
          <cell r="EV66">
            <v>9101</v>
          </cell>
          <cell r="EW66">
            <v>17303</v>
          </cell>
          <cell r="EX66">
            <v>63795</v>
          </cell>
          <cell r="EY66">
            <v>19804</v>
          </cell>
          <cell r="EZ66">
            <v>79940</v>
          </cell>
          <cell r="FA66">
            <v>22244</v>
          </cell>
          <cell r="FB66">
            <v>18080</v>
          </cell>
          <cell r="FC66">
            <v>40324</v>
          </cell>
          <cell r="FD66">
            <v>59152.38</v>
          </cell>
          <cell r="FF66">
            <v>1100000</v>
          </cell>
          <cell r="FG66" t="str">
            <v>2019-20</v>
          </cell>
          <cell r="FH66">
            <v>1200000</v>
          </cell>
          <cell r="FI66" t="str">
            <v>2019-20</v>
          </cell>
          <cell r="FJ66">
            <v>3800000</v>
          </cell>
          <cell r="FK66" t="str">
            <v>2019-20</v>
          </cell>
          <cell r="FL66">
            <v>3300000</v>
          </cell>
          <cell r="FM66" t="str">
            <v>2019-20</v>
          </cell>
          <cell r="FN66">
            <v>50000000</v>
          </cell>
          <cell r="FO66" t="str">
            <v>2019-20</v>
          </cell>
          <cell r="FP66">
            <v>49000000</v>
          </cell>
          <cell r="FQ66" t="str">
            <v>2019-20</v>
          </cell>
          <cell r="FR66">
            <v>1850000</v>
          </cell>
          <cell r="FS66" t="str">
            <v>2019-20</v>
          </cell>
          <cell r="FT66">
            <v>19750000</v>
          </cell>
          <cell r="FU66" t="str">
            <v>2019-20</v>
          </cell>
          <cell r="FV66">
            <v>127700000</v>
          </cell>
          <cell r="FW66">
            <v>1394794</v>
          </cell>
          <cell r="FX66" t="str">
            <v>2019-20</v>
          </cell>
          <cell r="FY66">
            <v>68902</v>
          </cell>
          <cell r="FZ66">
            <v>821492.27300000004</v>
          </cell>
          <cell r="GA66" t="str">
            <v>oct19 sept20</v>
          </cell>
          <cell r="GB66">
            <v>20557455</v>
          </cell>
          <cell r="GC66">
            <v>2020</v>
          </cell>
          <cell r="GD66">
            <v>1974652</v>
          </cell>
          <cell r="GE66">
            <v>367136</v>
          </cell>
          <cell r="GF66">
            <v>957160</v>
          </cell>
          <cell r="GG66">
            <v>89049</v>
          </cell>
          <cell r="GH66">
            <v>1413345</v>
          </cell>
          <cell r="GI66">
            <v>1302556</v>
          </cell>
          <cell r="GJ66">
            <v>666015</v>
          </cell>
          <cell r="GK66">
            <v>1221000</v>
          </cell>
          <cell r="GL66">
            <v>294346.89</v>
          </cell>
          <cell r="GM66">
            <v>260133.24</v>
          </cell>
          <cell r="GN66">
            <v>2441495.13</v>
          </cell>
          <cell r="GO66">
            <v>198452.81</v>
          </cell>
          <cell r="GP66">
            <v>73538</v>
          </cell>
          <cell r="GQ66">
            <v>23482</v>
          </cell>
          <cell r="GR66">
            <v>44610</v>
          </cell>
          <cell r="GS66">
            <v>45314.46</v>
          </cell>
          <cell r="GT66">
            <v>2884000</v>
          </cell>
          <cell r="GU66">
            <v>25893</v>
          </cell>
          <cell r="GV66">
            <v>30709</v>
          </cell>
          <cell r="GW66">
            <v>1221328</v>
          </cell>
          <cell r="GX66">
            <v>34954.608</v>
          </cell>
          <cell r="GY66" t="str">
            <v>2019-2020</v>
          </cell>
          <cell r="GZ66">
            <v>112856</v>
          </cell>
          <cell r="HA66">
            <v>276650</v>
          </cell>
          <cell r="HB66">
            <v>3156898.0870000003</v>
          </cell>
          <cell r="HC66" t="str">
            <v>oct19 sept20</v>
          </cell>
          <cell r="HD66">
            <v>54868</v>
          </cell>
          <cell r="HE66">
            <v>645889</v>
          </cell>
          <cell r="HF66" t="str">
            <v>oct19 sept20</v>
          </cell>
          <cell r="HG66">
            <v>191000</v>
          </cell>
          <cell r="HH66">
            <v>2237000</v>
          </cell>
          <cell r="HI66" t="str">
            <v>oct19 sept20</v>
          </cell>
          <cell r="HJ66">
            <v>82647</v>
          </cell>
          <cell r="HK66">
            <v>54924.811200000004</v>
          </cell>
          <cell r="HL66" t="str">
            <v>oct19 sept20</v>
          </cell>
          <cell r="HM66">
            <v>2291924.8111999999</v>
          </cell>
          <cell r="HN66">
            <v>3.6289913836796694E-2</v>
          </cell>
          <cell r="HO66">
            <v>1022300000</v>
          </cell>
          <cell r="HP66">
            <v>10919.8</v>
          </cell>
          <cell r="HQ66" t="str">
            <v>oct19 sept20</v>
          </cell>
          <cell r="HU66">
            <v>650000</v>
          </cell>
          <cell r="HV66" t="str">
            <v>2019-20</v>
          </cell>
          <cell r="HW66">
            <v>1200000</v>
          </cell>
          <cell r="HX66" t="str">
            <v>2019-20</v>
          </cell>
          <cell r="HY66">
            <v>2980000</v>
          </cell>
          <cell r="HZ66" t="str">
            <v>2019-20</v>
          </cell>
          <cell r="IA66">
            <v>21140000</v>
          </cell>
          <cell r="IB66" t="str">
            <v>2019-20</v>
          </cell>
          <cell r="IC66">
            <v>44000000</v>
          </cell>
          <cell r="ID66" t="str">
            <v>2019-20</v>
          </cell>
          <cell r="IE66">
            <v>1150000</v>
          </cell>
          <cell r="IF66" t="str">
            <v>2019-20</v>
          </cell>
          <cell r="IG66">
            <v>7400000</v>
          </cell>
          <cell r="IH66" t="str">
            <v>2019-20</v>
          </cell>
          <cell r="II66">
            <v>77870000</v>
          </cell>
          <cell r="IJ66">
            <v>1.9073407006405101</v>
          </cell>
          <cell r="IK66" t="str">
            <v>2019-20</v>
          </cell>
          <cell r="IL66">
            <v>46.22</v>
          </cell>
          <cell r="IM66">
            <v>51.9</v>
          </cell>
          <cell r="IN66">
            <v>182.5</v>
          </cell>
          <cell r="IO66">
            <v>14.72</v>
          </cell>
          <cell r="IP66">
            <v>5.7952865471342916</v>
          </cell>
          <cell r="IQ66">
            <v>20.7</v>
          </cell>
          <cell r="IR66">
            <v>4.79</v>
          </cell>
          <cell r="IS66">
            <v>5.29</v>
          </cell>
          <cell r="IT66">
            <v>12.22</v>
          </cell>
          <cell r="IU66">
            <v>0.38</v>
          </cell>
          <cell r="IV66">
            <v>17.89</v>
          </cell>
          <cell r="IY66">
            <v>1.86</v>
          </cell>
          <cell r="IZ66">
            <v>0.1</v>
          </cell>
          <cell r="JA66">
            <v>2810</v>
          </cell>
          <cell r="JF66">
            <v>17.190799020000007</v>
          </cell>
          <cell r="JG66">
            <v>26.762126590000001</v>
          </cell>
          <cell r="JH66">
            <v>57.705184659999993</v>
          </cell>
          <cell r="JI66">
            <v>74.583001400000001</v>
          </cell>
          <cell r="JJ66">
            <v>515.87889826999992</v>
          </cell>
          <cell r="JK66">
            <v>119.60823176000001</v>
          </cell>
          <cell r="JL66">
            <v>1838.1989062500002</v>
          </cell>
          <cell r="JM66">
            <v>13.91277608</v>
          </cell>
          <cell r="JN66">
            <v>72.373880509999992</v>
          </cell>
          <cell r="JO66">
            <v>23.375214829999997</v>
          </cell>
          <cell r="JP66">
            <v>0</v>
          </cell>
          <cell r="JQ66">
            <v>1.4999999999999999E-2</v>
          </cell>
          <cell r="JR66">
            <v>1.5475726599999997</v>
          </cell>
          <cell r="JS66">
            <v>0</v>
          </cell>
          <cell r="JT66">
            <v>4.5123999999999997E-2</v>
          </cell>
          <cell r="JU66">
            <v>89.203902580000033</v>
          </cell>
          <cell r="JV66">
            <v>8.7171245600000002</v>
          </cell>
          <cell r="JW66">
            <v>12.40580518</v>
          </cell>
          <cell r="JX66">
            <v>14.260917450000001</v>
          </cell>
          <cell r="JY66">
            <v>0</v>
          </cell>
          <cell r="JZ66">
            <v>7.7996099400000007</v>
          </cell>
          <cell r="KA66">
            <v>0.41756149999999997</v>
          </cell>
          <cell r="KB66">
            <v>14.855503799999997</v>
          </cell>
          <cell r="KC66">
            <v>47.465868119999996</v>
          </cell>
          <cell r="KD66">
            <v>7.8537846800000004</v>
          </cell>
          <cell r="KE66">
            <v>13.028596780000001</v>
          </cell>
          <cell r="KF66">
            <v>38.398884400000014</v>
          </cell>
          <cell r="KG66">
            <v>326.14127028000001</v>
          </cell>
          <cell r="KH66">
            <v>129.37043675000001</v>
          </cell>
          <cell r="KI66">
            <v>8.8065849400000005</v>
          </cell>
          <cell r="KJ66">
            <v>7.7665300800000008</v>
          </cell>
          <cell r="KK66">
            <v>5.7201691699999992</v>
          </cell>
          <cell r="KL66">
            <v>0.84709422999999995</v>
          </cell>
          <cell r="KM66">
            <v>0.43274314999999997</v>
          </cell>
          <cell r="KN66">
            <v>0.26895362</v>
          </cell>
          <cell r="KO66">
            <v>1.2580194999999998</v>
          </cell>
          <cell r="KP66">
            <v>4.66617E-2</v>
          </cell>
          <cell r="KQ66">
            <v>230.80484488999997</v>
          </cell>
          <cell r="KR66">
            <v>0.19975322000000001</v>
          </cell>
          <cell r="KS66">
            <v>0.28588244000000002</v>
          </cell>
          <cell r="KT66">
            <v>0.86795281999999996</v>
          </cell>
          <cell r="KU66">
            <v>0.19240884999999999</v>
          </cell>
          <cell r="KV66">
            <v>2.6766983</v>
          </cell>
          <cell r="KW66">
            <v>4.4583832999999995</v>
          </cell>
          <cell r="KX66">
            <v>0</v>
          </cell>
          <cell r="KY66">
            <v>0</v>
          </cell>
          <cell r="KZ66">
            <v>1.8270945700000001</v>
          </cell>
          <cell r="LA66">
            <v>0.23579948000000001</v>
          </cell>
          <cell r="LB66">
            <v>2.1654400000000001E-2</v>
          </cell>
          <cell r="LC66">
            <v>0.11404497</v>
          </cell>
          <cell r="LD66">
            <v>0</v>
          </cell>
          <cell r="LE66">
            <v>7.8014400000000012E-2</v>
          </cell>
          <cell r="LF66">
            <v>0.19170557999999999</v>
          </cell>
          <cell r="LG66">
            <v>16.059199500000002</v>
          </cell>
          <cell r="LH66">
            <v>6.3762995500000006</v>
          </cell>
          <cell r="LI66">
            <v>3.9798228399999998</v>
          </cell>
          <cell r="LJ66">
            <v>2.6198600000000003E-3</v>
          </cell>
          <cell r="LK66">
            <v>3.6161679400000004</v>
          </cell>
          <cell r="LL66">
            <v>3.8341723400000003</v>
          </cell>
          <cell r="LM66">
            <v>0.90610210999999996</v>
          </cell>
          <cell r="LN66">
            <v>0.22353752999999998</v>
          </cell>
          <cell r="LO66">
            <v>7.1929237800000001</v>
          </cell>
          <cell r="LQ66">
            <v>2572.6526471700004</v>
          </cell>
          <cell r="LR66">
            <v>1.6076966599999996</v>
          </cell>
          <cell r="LS66">
            <v>21.12292974</v>
          </cell>
          <cell r="LT66">
            <v>8.2171714400000013</v>
          </cell>
          <cell r="LU66">
            <v>233.25019681999996</v>
          </cell>
          <cell r="LV66">
            <v>7.1350815999999995</v>
          </cell>
          <cell r="LW66">
            <v>0.25745388000000002</v>
          </cell>
          <cell r="LX66">
            <v>0.26971997999999997</v>
          </cell>
          <cell r="LZ66">
            <v>82.87</v>
          </cell>
          <cell r="MA66">
            <v>75.75</v>
          </cell>
          <cell r="MH66">
            <v>127.31</v>
          </cell>
          <cell r="MI66">
            <v>46.12</v>
          </cell>
          <cell r="MJ66">
            <v>36.68</v>
          </cell>
          <cell r="ML66">
            <v>75.760000000000005</v>
          </cell>
          <cell r="MM66">
            <v>114.07</v>
          </cell>
          <cell r="MO66">
            <v>40.18</v>
          </cell>
          <cell r="MP66">
            <v>68.53</v>
          </cell>
          <cell r="MQ66">
            <v>115.08</v>
          </cell>
          <cell r="MU66">
            <v>46.4</v>
          </cell>
          <cell r="MY66">
            <v>124.27</v>
          </cell>
          <cell r="MZ66">
            <v>330</v>
          </cell>
          <cell r="NA66">
            <v>123.4</v>
          </cell>
          <cell r="NB66">
            <v>382.7</v>
          </cell>
          <cell r="NC66">
            <v>55.94</v>
          </cell>
          <cell r="NE66">
            <v>330.09</v>
          </cell>
        </row>
        <row r="67">
          <cell r="A67">
            <v>44105</v>
          </cell>
          <cell r="B67">
            <v>10</v>
          </cell>
          <cell r="C67">
            <v>2020</v>
          </cell>
          <cell r="D67">
            <v>67</v>
          </cell>
          <cell r="E67">
            <v>44105</v>
          </cell>
          <cell r="F67">
            <v>82.54</v>
          </cell>
          <cell r="G67">
            <v>359.65699999999998</v>
          </cell>
          <cell r="H67">
            <v>35246.080000000002</v>
          </cell>
          <cell r="I67">
            <v>72</v>
          </cell>
          <cell r="J67">
            <v>410</v>
          </cell>
          <cell r="K67">
            <v>3.3</v>
          </cell>
          <cell r="L67">
            <v>21.9</v>
          </cell>
          <cell r="N67">
            <v>1.2709999999999999</v>
          </cell>
          <cell r="O67">
            <v>1.0680000000000001</v>
          </cell>
          <cell r="P67">
            <v>91.704003499999999</v>
          </cell>
          <cell r="Q67">
            <v>2175</v>
          </cell>
          <cell r="R67">
            <v>21750</v>
          </cell>
          <cell r="S67">
            <v>189.35061788223891</v>
          </cell>
          <cell r="T67">
            <v>327</v>
          </cell>
          <cell r="U67">
            <v>171.98571428571429</v>
          </cell>
          <cell r="V67">
            <v>271.02857142857147</v>
          </cell>
          <cell r="W67">
            <v>194.072</v>
          </cell>
          <cell r="X67">
            <v>213.37619047619052</v>
          </cell>
          <cell r="Y67">
            <v>15629</v>
          </cell>
          <cell r="Z67">
            <v>26990.58</v>
          </cell>
          <cell r="AA67">
            <v>14195.70085714286</v>
          </cell>
          <cell r="AB67">
            <v>22370.69828571429</v>
          </cell>
          <cell r="AC67">
            <v>16018.702880000001</v>
          </cell>
          <cell r="AD67">
            <v>17612.070761904768</v>
          </cell>
          <cell r="AE67">
            <v>18802.792130793652</v>
          </cell>
          <cell r="AF67">
            <v>48583.470588235294</v>
          </cell>
          <cell r="AG67">
            <v>24390</v>
          </cell>
          <cell r="AH67">
            <v>92690</v>
          </cell>
          <cell r="AI67">
            <v>16.16</v>
          </cell>
          <cell r="AJ67">
            <v>14.57</v>
          </cell>
          <cell r="AK67">
            <v>15.81</v>
          </cell>
          <cell r="AL67">
            <v>18.89</v>
          </cell>
          <cell r="AM67">
            <v>16.660600000000002</v>
          </cell>
          <cell r="AN67">
            <v>81.180000000000007</v>
          </cell>
          <cell r="AO67">
            <v>58.02</v>
          </cell>
          <cell r="AP67">
            <v>69.600000000000009</v>
          </cell>
          <cell r="AQ67">
            <v>52.52</v>
          </cell>
          <cell r="AR67">
            <v>50.64</v>
          </cell>
          <cell r="AS67">
            <v>35.08</v>
          </cell>
          <cell r="AT67">
            <v>57.78</v>
          </cell>
          <cell r="AU67">
            <v>47.833333333333336</v>
          </cell>
          <cell r="AV67">
            <v>27.62</v>
          </cell>
          <cell r="AW67">
            <v>19.68</v>
          </cell>
          <cell r="AX67">
            <v>30.57</v>
          </cell>
          <cell r="AY67">
            <v>93.65</v>
          </cell>
          <cell r="AZ67">
            <v>30</v>
          </cell>
          <cell r="BA67">
            <v>23.57</v>
          </cell>
          <cell r="BB67">
            <v>44.447499999999998</v>
          </cell>
          <cell r="BC67">
            <v>1262</v>
          </cell>
          <cell r="BD67">
            <v>1520</v>
          </cell>
          <cell r="BE67">
            <v>1120</v>
          </cell>
          <cell r="BF67">
            <v>720</v>
          </cell>
          <cell r="BG67">
            <v>1155.5</v>
          </cell>
          <cell r="BH67">
            <v>127.93</v>
          </cell>
          <cell r="BI67">
            <v>55</v>
          </cell>
          <cell r="BJ67">
            <v>182.93</v>
          </cell>
          <cell r="BK67">
            <v>108.98399999999999</v>
          </cell>
          <cell r="BL67">
            <v>143.09</v>
          </cell>
          <cell r="BM67">
            <v>126.03700000000001</v>
          </cell>
          <cell r="BN67">
            <v>19.59</v>
          </cell>
          <cell r="BO67">
            <v>88.776315789473685</v>
          </cell>
          <cell r="BP67">
            <v>79.62</v>
          </cell>
          <cell r="BQ67">
            <v>87.860684210526315</v>
          </cell>
          <cell r="BR67">
            <v>94.44</v>
          </cell>
          <cell r="BS67">
            <v>265</v>
          </cell>
          <cell r="BT67">
            <v>152.33000000000001</v>
          </cell>
          <cell r="BU67">
            <v>3636.99</v>
          </cell>
          <cell r="BV67">
            <v>167.9</v>
          </cell>
          <cell r="BW67">
            <v>225</v>
          </cell>
          <cell r="BY67">
            <v>584.04403084208263</v>
          </cell>
          <cell r="BZ67">
            <v>527.8780206136862</v>
          </cell>
          <cell r="CA67">
            <v>624.08927188913594</v>
          </cell>
          <cell r="CB67">
            <v>618.08635734784639</v>
          </cell>
          <cell r="CC67">
            <v>603.60617337690701</v>
          </cell>
          <cell r="CD67">
            <v>629.09885640061179</v>
          </cell>
          <cell r="CE67">
            <v>621.41245700294348</v>
          </cell>
          <cell r="CF67">
            <v>644.12619813719391</v>
          </cell>
          <cell r="CG67">
            <v>623.40321902577318</v>
          </cell>
          <cell r="CH67">
            <v>646.03289635357874</v>
          </cell>
          <cell r="CI67">
            <v>584.13095264430717</v>
          </cell>
          <cell r="CJ67">
            <v>470.85528588313889</v>
          </cell>
          <cell r="CK67">
            <v>569.49577086752925</v>
          </cell>
          <cell r="CL67">
            <v>801.46597242745656</v>
          </cell>
          <cell r="CM67">
            <v>483.28423136895424</v>
          </cell>
          <cell r="CN67">
            <v>490.53009127727705</v>
          </cell>
          <cell r="CO67">
            <v>586.19401648530425</v>
          </cell>
          <cell r="CP67">
            <v>561.62000304441779</v>
          </cell>
          <cell r="CQ67">
            <v>492.48135244917029</v>
          </cell>
          <cell r="CR67">
            <v>506.57609235036176</v>
          </cell>
          <cell r="CS67">
            <v>499.52872239976602</v>
          </cell>
          <cell r="CT67">
            <v>492.86694401141267</v>
          </cell>
          <cell r="CU67">
            <v>520.98227850836065</v>
          </cell>
          <cell r="CV67">
            <v>498.95128473142358</v>
          </cell>
          <cell r="CW67">
            <v>498.95128473142358</v>
          </cell>
          <cell r="CX67">
            <v>506.29494932373592</v>
          </cell>
          <cell r="CY67">
            <v>481.83558379324342</v>
          </cell>
          <cell r="CZ67">
            <v>572.82917372684562</v>
          </cell>
          <cell r="DA67">
            <v>488.37488505692102</v>
          </cell>
          <cell r="DB67">
            <v>510.23928462778463</v>
          </cell>
          <cell r="DC67">
            <v>626.72060462120351</v>
          </cell>
          <cell r="DD67">
            <v>626.00023518750834</v>
          </cell>
          <cell r="DE67">
            <v>576.5577205696992</v>
          </cell>
          <cell r="DF67">
            <v>658.17985914540463</v>
          </cell>
          <cell r="DG67">
            <v>617.36878985755197</v>
          </cell>
          <cell r="DH67">
            <v>526.02361002894895</v>
          </cell>
          <cell r="DI67">
            <v>479.01033284845573</v>
          </cell>
          <cell r="DK67">
            <v>410000</v>
          </cell>
          <cell r="DL67" t="str">
            <v>2020-21</v>
          </cell>
          <cell r="DM67">
            <v>195000</v>
          </cell>
          <cell r="DN67" t="str">
            <v>2020-21</v>
          </cell>
          <cell r="DO67">
            <v>1250000</v>
          </cell>
          <cell r="DP67" t="str">
            <v>2020-21</v>
          </cell>
          <cell r="DQ67">
            <v>1400000</v>
          </cell>
          <cell r="DR67" t="str">
            <v>2020-21</v>
          </cell>
          <cell r="DS67">
            <v>6300000</v>
          </cell>
          <cell r="DT67" t="str">
            <v>2020-21</v>
          </cell>
          <cell r="DU67">
            <v>16900000</v>
          </cell>
          <cell r="DV67" t="str">
            <v>2020-21</v>
          </cell>
          <cell r="DW67">
            <v>630000</v>
          </cell>
          <cell r="DX67" t="str">
            <v>2020-21</v>
          </cell>
          <cell r="DY67">
            <v>6700000</v>
          </cell>
          <cell r="DZ67" t="str">
            <v>2020-21</v>
          </cell>
          <cell r="EA67">
            <v>33180000</v>
          </cell>
          <cell r="EB67">
            <v>385592</v>
          </cell>
          <cell r="EC67" t="str">
            <v>2020-21</v>
          </cell>
          <cell r="ED67">
            <v>174820</v>
          </cell>
          <cell r="EE67">
            <v>2020</v>
          </cell>
          <cell r="EF67">
            <v>214798</v>
          </cell>
          <cell r="EG67">
            <v>2020</v>
          </cell>
          <cell r="EH67">
            <v>54460799</v>
          </cell>
          <cell r="EI67">
            <v>2020</v>
          </cell>
          <cell r="EJ67">
            <v>5377071</v>
          </cell>
          <cell r="EK67">
            <v>2020</v>
          </cell>
          <cell r="EL67">
            <v>14774196</v>
          </cell>
          <cell r="EM67">
            <v>2019</v>
          </cell>
          <cell r="EN67">
            <v>3201657</v>
          </cell>
          <cell r="EO67">
            <v>2019</v>
          </cell>
          <cell r="EP67">
            <v>6552</v>
          </cell>
          <cell r="EQ67">
            <v>3366686</v>
          </cell>
          <cell r="ER67">
            <v>76657</v>
          </cell>
          <cell r="ET67">
            <v>19456</v>
          </cell>
          <cell r="EU67">
            <v>17935</v>
          </cell>
          <cell r="EV67">
            <v>9101</v>
          </cell>
          <cell r="EW67">
            <v>17303</v>
          </cell>
          <cell r="EX67">
            <v>63795</v>
          </cell>
          <cell r="EY67">
            <v>19804</v>
          </cell>
          <cell r="EZ67">
            <v>79940</v>
          </cell>
          <cell r="FA67">
            <v>22244</v>
          </cell>
          <cell r="FB67">
            <v>18080</v>
          </cell>
          <cell r="FC67">
            <v>40324</v>
          </cell>
          <cell r="FD67">
            <v>59152.38</v>
          </cell>
          <cell r="FF67">
            <v>1100000</v>
          </cell>
          <cell r="FG67" t="str">
            <v>2019-20</v>
          </cell>
          <cell r="FH67">
            <v>1200000</v>
          </cell>
          <cell r="FI67" t="str">
            <v>2019-20</v>
          </cell>
          <cell r="FJ67">
            <v>3800000</v>
          </cell>
          <cell r="FK67" t="str">
            <v>2019-20</v>
          </cell>
          <cell r="FL67">
            <v>3300000</v>
          </cell>
          <cell r="FM67" t="str">
            <v>2019-20</v>
          </cell>
          <cell r="FN67">
            <v>50000000</v>
          </cell>
          <cell r="FO67" t="str">
            <v>2019-20</v>
          </cell>
          <cell r="FP67">
            <v>49000000</v>
          </cell>
          <cell r="FQ67" t="str">
            <v>2019-20</v>
          </cell>
          <cell r="FR67">
            <v>1850000</v>
          </cell>
          <cell r="FS67" t="str">
            <v>2019-20</v>
          </cell>
          <cell r="FT67">
            <v>19750000</v>
          </cell>
          <cell r="FU67" t="str">
            <v>2019-20</v>
          </cell>
          <cell r="FV67">
            <v>127700000</v>
          </cell>
          <cell r="FW67">
            <v>1394794</v>
          </cell>
          <cell r="FX67" t="str">
            <v>2019-20</v>
          </cell>
          <cell r="FY67">
            <v>0</v>
          </cell>
          <cell r="FZ67">
            <v>821465.77300000004</v>
          </cell>
          <cell r="GA67" t="str">
            <v>nov19 oct20</v>
          </cell>
          <cell r="GB67">
            <v>20557455</v>
          </cell>
          <cell r="GC67">
            <v>2020</v>
          </cell>
          <cell r="GD67">
            <v>1974652</v>
          </cell>
          <cell r="GE67">
            <v>367136</v>
          </cell>
          <cell r="GF67">
            <v>957160</v>
          </cell>
          <cell r="GG67">
            <v>89049</v>
          </cell>
          <cell r="GH67">
            <v>1413345</v>
          </cell>
          <cell r="GI67">
            <v>1302556</v>
          </cell>
          <cell r="GJ67">
            <v>666015</v>
          </cell>
          <cell r="GK67">
            <v>1221000</v>
          </cell>
          <cell r="GL67">
            <v>294346.89</v>
          </cell>
          <cell r="GM67">
            <v>260133.24</v>
          </cell>
          <cell r="GN67">
            <v>2441495.13</v>
          </cell>
          <cell r="GO67">
            <v>198452.81</v>
          </cell>
          <cell r="GP67">
            <v>73538</v>
          </cell>
          <cell r="GQ67">
            <v>39144</v>
          </cell>
          <cell r="GR67">
            <v>44610</v>
          </cell>
          <cell r="GS67">
            <v>45784.32</v>
          </cell>
          <cell r="GT67">
            <v>2884000</v>
          </cell>
          <cell r="GU67">
            <v>27244</v>
          </cell>
          <cell r="GV67">
            <v>33659</v>
          </cell>
          <cell r="GW67">
            <v>1223001</v>
          </cell>
          <cell r="GX67">
            <v>34954.608</v>
          </cell>
          <cell r="GY67" t="str">
            <v>2019-2020</v>
          </cell>
          <cell r="GZ67">
            <v>112856</v>
          </cell>
          <cell r="HA67">
            <v>275923</v>
          </cell>
          <cell r="HB67">
            <v>3139898.0870000003</v>
          </cell>
          <cell r="HC67" t="str">
            <v>nov19 oct20</v>
          </cell>
          <cell r="HD67">
            <v>54387</v>
          </cell>
          <cell r="HE67">
            <v>647465</v>
          </cell>
          <cell r="HF67" t="str">
            <v>nov19 oct20</v>
          </cell>
          <cell r="HG67">
            <v>186000</v>
          </cell>
          <cell r="HH67">
            <v>2227000</v>
          </cell>
          <cell r="HI67" t="str">
            <v>nov19 oct20</v>
          </cell>
          <cell r="HJ67">
            <v>82047</v>
          </cell>
          <cell r="HK67">
            <v>54387.1512</v>
          </cell>
          <cell r="HL67" t="str">
            <v>nov19 oct20</v>
          </cell>
          <cell r="HM67">
            <v>2281387.1512000002</v>
          </cell>
          <cell r="HN67">
            <v>5.7002938295788397E-2</v>
          </cell>
          <cell r="HO67">
            <v>1079200000</v>
          </cell>
          <cell r="HP67">
            <v>10978</v>
          </cell>
          <cell r="HQ67" t="str">
            <v>nov19 oct20</v>
          </cell>
          <cell r="HU67">
            <v>650000</v>
          </cell>
          <cell r="HV67" t="str">
            <v>2019-20</v>
          </cell>
          <cell r="HW67">
            <v>1200000</v>
          </cell>
          <cell r="HX67" t="str">
            <v>2019-20</v>
          </cell>
          <cell r="HY67">
            <v>2980000</v>
          </cell>
          <cell r="HZ67" t="str">
            <v>2019-20</v>
          </cell>
          <cell r="IA67">
            <v>21140000</v>
          </cell>
          <cell r="IB67" t="str">
            <v>2019-20</v>
          </cell>
          <cell r="IC67">
            <v>44000000</v>
          </cell>
          <cell r="ID67" t="str">
            <v>2019-20</v>
          </cell>
          <cell r="IE67">
            <v>1150000</v>
          </cell>
          <cell r="IF67" t="str">
            <v>2019-20</v>
          </cell>
          <cell r="IG67">
            <v>7400000</v>
          </cell>
          <cell r="IH67" t="str">
            <v>2019-20</v>
          </cell>
          <cell r="II67">
            <v>77870000</v>
          </cell>
          <cell r="IJ67">
            <v>1.9073407006405101</v>
          </cell>
          <cell r="IK67" t="str">
            <v>2019-20</v>
          </cell>
          <cell r="IL67">
            <v>42.94</v>
          </cell>
          <cell r="IM67">
            <v>50.53</v>
          </cell>
          <cell r="IN67">
            <v>184.4</v>
          </cell>
          <cell r="IO67">
            <v>14.18</v>
          </cell>
          <cell r="IP67">
            <v>5.7952865471342916</v>
          </cell>
          <cell r="IQ67">
            <v>20.7</v>
          </cell>
          <cell r="IR67">
            <v>4.79</v>
          </cell>
          <cell r="IS67">
            <v>5.29</v>
          </cell>
          <cell r="IT67">
            <v>12.22</v>
          </cell>
          <cell r="IU67">
            <v>0.38</v>
          </cell>
          <cell r="IV67">
            <v>17.89</v>
          </cell>
          <cell r="IY67">
            <v>1.86</v>
          </cell>
          <cell r="IZ67">
            <v>0.1</v>
          </cell>
          <cell r="JA67">
            <v>2810</v>
          </cell>
          <cell r="JF67">
            <v>14.600652269999999</v>
          </cell>
          <cell r="JG67">
            <v>20.569837410000002</v>
          </cell>
          <cell r="JH67">
            <v>76.199537879999994</v>
          </cell>
          <cell r="JI67">
            <v>53.975852250000003</v>
          </cell>
          <cell r="JJ67">
            <v>514.32812687000001</v>
          </cell>
          <cell r="JK67">
            <v>114.06903802000002</v>
          </cell>
          <cell r="JL67">
            <v>2101.86735125</v>
          </cell>
          <cell r="JM67">
            <v>24.539425060000003</v>
          </cell>
          <cell r="JN67">
            <v>34.592016450000003</v>
          </cell>
          <cell r="JO67">
            <v>20.610882570000001</v>
          </cell>
          <cell r="JP67">
            <v>0</v>
          </cell>
          <cell r="JQ67">
            <v>2.5000000000000001E-3</v>
          </cell>
          <cell r="JR67">
            <v>1.3541383899999999</v>
          </cell>
          <cell r="JS67">
            <v>0</v>
          </cell>
          <cell r="JT67">
            <v>3.7723E-2</v>
          </cell>
          <cell r="JU67">
            <v>86.849624890000001</v>
          </cell>
          <cell r="JV67">
            <v>8.1706046299999997</v>
          </cell>
          <cell r="JW67">
            <v>11.772604429999999</v>
          </cell>
          <cell r="JX67">
            <v>12.046990409999999</v>
          </cell>
          <cell r="JY67">
            <v>0</v>
          </cell>
          <cell r="JZ67">
            <v>3.1227452200000001</v>
          </cell>
          <cell r="KA67">
            <v>0.27954800000000002</v>
          </cell>
          <cell r="KB67">
            <v>14.465632909999998</v>
          </cell>
          <cell r="KC67">
            <v>60.413738970000004</v>
          </cell>
          <cell r="KD67">
            <v>8.6526960899999992</v>
          </cell>
          <cell r="KE67">
            <v>14.859447000000001</v>
          </cell>
          <cell r="KF67">
            <v>44.289269140000002</v>
          </cell>
          <cell r="KG67">
            <v>322.32074379000011</v>
          </cell>
          <cell r="KH67">
            <v>143.72598087000003</v>
          </cell>
          <cell r="KI67">
            <v>18.990118450000004</v>
          </cell>
          <cell r="KJ67">
            <v>8.7723233599999979</v>
          </cell>
          <cell r="KK67">
            <v>6.7739812199999996</v>
          </cell>
          <cell r="KL67">
            <v>0.38150462999999996</v>
          </cell>
          <cell r="KM67">
            <v>0.49817543000000003</v>
          </cell>
          <cell r="KN67">
            <v>0.38631715999999994</v>
          </cell>
          <cell r="KO67">
            <v>3.7236344100000003</v>
          </cell>
          <cell r="KP67">
            <v>0.11971561</v>
          </cell>
          <cell r="KQ67">
            <v>177.79785346</v>
          </cell>
          <cell r="KR67">
            <v>0.15841553999999997</v>
          </cell>
          <cell r="KS67">
            <v>9.6584530000000002E-2</v>
          </cell>
          <cell r="KT67">
            <v>1.86683014</v>
          </cell>
          <cell r="KU67">
            <v>0.35297535999999996</v>
          </cell>
          <cell r="KV67">
            <v>0.70443442000000001</v>
          </cell>
          <cell r="KW67">
            <v>4.6343885300000007</v>
          </cell>
          <cell r="KX67">
            <v>0</v>
          </cell>
          <cell r="KY67">
            <v>5.3170439999999999E-2</v>
          </cell>
          <cell r="KZ67">
            <v>1.8665689699999999</v>
          </cell>
          <cell r="LA67">
            <v>0.37085003999999999</v>
          </cell>
          <cell r="LB67">
            <v>1.920616E-2</v>
          </cell>
          <cell r="LC67">
            <v>0.25257934999999998</v>
          </cell>
          <cell r="LD67">
            <v>0</v>
          </cell>
          <cell r="LE67">
            <v>6.0376440000000003E-2</v>
          </cell>
          <cell r="LF67">
            <v>0.63725359000000004</v>
          </cell>
          <cell r="LG67">
            <v>17.141275230000002</v>
          </cell>
          <cell r="LH67">
            <v>5.1698001300000005</v>
          </cell>
          <cell r="LI67">
            <v>2.7798770200000003</v>
          </cell>
          <cell r="LJ67">
            <v>0</v>
          </cell>
          <cell r="LK67">
            <v>1.25618969</v>
          </cell>
          <cell r="LL67">
            <v>3.7486796499999997</v>
          </cell>
          <cell r="LM67">
            <v>0.53096231000000005</v>
          </cell>
          <cell r="LN67">
            <v>0.55328473999999994</v>
          </cell>
          <cell r="LO67">
            <v>8.4282255500000005</v>
          </cell>
          <cell r="LQ67">
            <v>2805.5023097600001</v>
          </cell>
          <cell r="LR67">
            <v>1.3943613899999998</v>
          </cell>
          <cell r="LS67">
            <v>19.943209060000001</v>
          </cell>
          <cell r="LT67">
            <v>3.4022932200000002</v>
          </cell>
          <cell r="LU67">
            <v>182.66098052999999</v>
          </cell>
          <cell r="LV67">
            <v>5.3919933900000006</v>
          </cell>
          <cell r="LW67">
            <v>0.39005619999999996</v>
          </cell>
          <cell r="LX67">
            <v>0.69763003000000001</v>
          </cell>
          <cell r="LZ67">
            <v>84.13</v>
          </cell>
          <cell r="MA67">
            <v>80.55</v>
          </cell>
          <cell r="MH67">
            <v>132.1</v>
          </cell>
          <cell r="MI67">
            <v>47.66</v>
          </cell>
          <cell r="MJ67">
            <v>49.21</v>
          </cell>
          <cell r="ML67">
            <v>73.88</v>
          </cell>
          <cell r="MM67">
            <v>174</v>
          </cell>
          <cell r="MO67">
            <v>42.85</v>
          </cell>
          <cell r="MP67">
            <v>71.77</v>
          </cell>
          <cell r="MQ67">
            <v>151.5</v>
          </cell>
          <cell r="MU67">
            <v>52.26</v>
          </cell>
          <cell r="MY67">
            <v>130.63999999999999</v>
          </cell>
          <cell r="MZ67">
            <v>327</v>
          </cell>
          <cell r="NA67">
            <v>127.87</v>
          </cell>
          <cell r="NB67">
            <v>390.91</v>
          </cell>
          <cell r="NC67">
            <v>57.05</v>
          </cell>
          <cell r="NE67">
            <v>377.94</v>
          </cell>
        </row>
        <row r="68">
          <cell r="A68">
            <v>44136</v>
          </cell>
          <cell r="B68">
            <v>11</v>
          </cell>
          <cell r="C68">
            <v>2020</v>
          </cell>
          <cell r="D68">
            <v>68</v>
          </cell>
          <cell r="E68">
            <v>44136</v>
          </cell>
          <cell r="F68">
            <v>85.11</v>
          </cell>
          <cell r="G68">
            <v>371</v>
          </cell>
          <cell r="H68">
            <v>38770.699999999997</v>
          </cell>
          <cell r="I68">
            <v>72</v>
          </cell>
          <cell r="J68">
            <v>410</v>
          </cell>
          <cell r="K68">
            <v>3.3</v>
          </cell>
          <cell r="L68">
            <v>21</v>
          </cell>
          <cell r="N68">
            <v>1.373</v>
          </cell>
          <cell r="O68">
            <v>1.1739999999999999</v>
          </cell>
          <cell r="P68">
            <v>102.96820574999997</v>
          </cell>
          <cell r="Q68">
            <v>2345</v>
          </cell>
          <cell r="R68">
            <v>23450</v>
          </cell>
          <cell r="S68">
            <v>204.83</v>
          </cell>
          <cell r="T68">
            <v>361.1</v>
          </cell>
          <cell r="U68">
            <v>181.91499999999999</v>
          </cell>
          <cell r="V68">
            <v>296.89500000000004</v>
          </cell>
          <cell r="W68">
            <v>201.2</v>
          </cell>
          <cell r="X68">
            <v>218.36500000000001</v>
          </cell>
          <cell r="Y68">
            <v>17433.081300000002</v>
          </cell>
          <cell r="Z68">
            <v>30733.221000000001</v>
          </cell>
          <cell r="AA68">
            <v>15482.78565</v>
          </cell>
          <cell r="AB68">
            <v>25268.733450000003</v>
          </cell>
          <cell r="AC68">
            <v>17124.131999999998</v>
          </cell>
          <cell r="AD68">
            <v>18585.045150000002</v>
          </cell>
          <cell r="AE68">
            <v>20771.166424999999</v>
          </cell>
          <cell r="AF68">
            <v>51521</v>
          </cell>
          <cell r="AG68">
            <v>24390</v>
          </cell>
          <cell r="AH68">
            <v>92690</v>
          </cell>
          <cell r="AI68">
            <v>19.4023</v>
          </cell>
          <cell r="AJ68">
            <v>16.081700000000001</v>
          </cell>
          <cell r="AK68">
            <v>17.614899999999999</v>
          </cell>
          <cell r="AL68">
            <v>18.694400000000002</v>
          </cell>
          <cell r="AM68">
            <v>18.634855999999999</v>
          </cell>
          <cell r="AN68">
            <v>92.69</v>
          </cell>
          <cell r="AO68">
            <v>62.86</v>
          </cell>
          <cell r="AP68">
            <v>77.775000000000006</v>
          </cell>
          <cell r="AQ68">
            <v>79.92</v>
          </cell>
          <cell r="AR68">
            <v>53.99</v>
          </cell>
          <cell r="AS68">
            <v>37.74</v>
          </cell>
          <cell r="AT68">
            <v>72.790000000000006</v>
          </cell>
          <cell r="AU68">
            <v>54.84</v>
          </cell>
          <cell r="AV68">
            <v>35.14</v>
          </cell>
          <cell r="AW68">
            <v>23.56</v>
          </cell>
          <cell r="AX68">
            <v>25.31</v>
          </cell>
          <cell r="AY68">
            <v>64.87</v>
          </cell>
          <cell r="AZ68">
            <v>29.41</v>
          </cell>
          <cell r="BA68">
            <v>50.64</v>
          </cell>
          <cell r="BB68">
            <v>42.557500000000005</v>
          </cell>
          <cell r="BC68">
            <v>1779</v>
          </cell>
          <cell r="BD68">
            <v>1520</v>
          </cell>
          <cell r="BE68">
            <v>1120</v>
          </cell>
          <cell r="BF68">
            <v>720</v>
          </cell>
          <cell r="BG68">
            <v>1284.75</v>
          </cell>
          <cell r="BH68">
            <v>127.93</v>
          </cell>
          <cell r="BI68">
            <v>61</v>
          </cell>
          <cell r="BJ68">
            <v>188.93</v>
          </cell>
          <cell r="BK68">
            <v>123.256</v>
          </cell>
          <cell r="BL68">
            <v>156.72</v>
          </cell>
          <cell r="BM68">
            <v>139.988</v>
          </cell>
          <cell r="BN68">
            <v>20.37</v>
          </cell>
          <cell r="BO68">
            <v>81.223333333333343</v>
          </cell>
          <cell r="BP68">
            <v>79.62</v>
          </cell>
          <cell r="BQ68">
            <v>81.063000000000017</v>
          </cell>
          <cell r="BR68">
            <v>98.1</v>
          </cell>
          <cell r="BS68">
            <v>300</v>
          </cell>
          <cell r="BT68">
            <v>144.38</v>
          </cell>
          <cell r="BU68">
            <v>4033.14</v>
          </cell>
          <cell r="BV68">
            <v>182.5</v>
          </cell>
          <cell r="BW68">
            <v>225</v>
          </cell>
          <cell r="BY68">
            <v>634.5816298918611</v>
          </cell>
          <cell r="BZ68">
            <v>559.5792481878068</v>
          </cell>
          <cell r="CA68">
            <v>676.21838962039783</v>
          </cell>
          <cell r="CB68">
            <v>677.44827917118505</v>
          </cell>
          <cell r="CC68">
            <v>646.65875703598817</v>
          </cell>
          <cell r="CD68">
            <v>690.74387473848822</v>
          </cell>
          <cell r="CE68">
            <v>657.82949512250127</v>
          </cell>
          <cell r="CF68">
            <v>688.02414201663873</v>
          </cell>
          <cell r="CG68">
            <v>672.8204896175331</v>
          </cell>
          <cell r="CH68">
            <v>691.24221515690783</v>
          </cell>
          <cell r="CI68">
            <v>637.930448865416</v>
          </cell>
          <cell r="CJ68">
            <v>513.56645967186603</v>
          </cell>
          <cell r="CK68">
            <v>565.2055680129605</v>
          </cell>
          <cell r="CL68">
            <v>709.30901016599114</v>
          </cell>
          <cell r="CM68">
            <v>502.5301211776661</v>
          </cell>
          <cell r="CN68">
            <v>620.35794135851529</v>
          </cell>
          <cell r="CO68">
            <v>599.3506601787833</v>
          </cell>
          <cell r="CP68">
            <v>601.53107530635225</v>
          </cell>
          <cell r="CQ68">
            <v>531.70503366522962</v>
          </cell>
          <cell r="CR68">
            <v>542.6726545118828</v>
          </cell>
          <cell r="CS68">
            <v>537.18884408855615</v>
          </cell>
          <cell r="CT68">
            <v>553.62962956219576</v>
          </cell>
          <cell r="CU68">
            <v>551.64111413466264</v>
          </cell>
          <cell r="CV68">
            <v>528.6070626534231</v>
          </cell>
          <cell r="CW68">
            <v>528.6070626534231</v>
          </cell>
          <cell r="CX68">
            <v>536.28507981383632</v>
          </cell>
          <cell r="CY68">
            <v>516.76209545177073</v>
          </cell>
          <cell r="CZ68">
            <v>613.92700633013487</v>
          </cell>
          <cell r="DA68">
            <v>525.98985988604704</v>
          </cell>
          <cell r="DB68">
            <v>547.2254476824661</v>
          </cell>
          <cell r="DC68">
            <v>677.20845485289976</v>
          </cell>
          <cell r="DD68">
            <v>677.29312084697108</v>
          </cell>
          <cell r="DE68">
            <v>628.51059042048712</v>
          </cell>
          <cell r="DF68">
            <v>711.94636001008485</v>
          </cell>
          <cell r="DG68">
            <v>670.22847521528593</v>
          </cell>
          <cell r="DH68">
            <v>563.49523520122466</v>
          </cell>
          <cell r="DI68">
            <v>520.4717228677074</v>
          </cell>
          <cell r="DK68">
            <v>410000</v>
          </cell>
          <cell r="DL68" t="str">
            <v>2020-21</v>
          </cell>
          <cell r="DM68">
            <v>195000</v>
          </cell>
          <cell r="DN68" t="str">
            <v>2020-21</v>
          </cell>
          <cell r="DO68">
            <v>1250000</v>
          </cell>
          <cell r="DP68" t="str">
            <v>2020-21</v>
          </cell>
          <cell r="DQ68">
            <v>1400000</v>
          </cell>
          <cell r="DR68" t="str">
            <v>2020-21</v>
          </cell>
          <cell r="DS68">
            <v>6300000</v>
          </cell>
          <cell r="DT68" t="str">
            <v>2020-21</v>
          </cell>
          <cell r="DU68">
            <v>16900000</v>
          </cell>
          <cell r="DV68" t="str">
            <v>2020-21</v>
          </cell>
          <cell r="DW68">
            <v>630000</v>
          </cell>
          <cell r="DX68" t="str">
            <v>2020-21</v>
          </cell>
          <cell r="DY68">
            <v>6700000</v>
          </cell>
          <cell r="DZ68" t="str">
            <v>2020-21</v>
          </cell>
          <cell r="EA68">
            <v>33180000</v>
          </cell>
          <cell r="EB68">
            <v>385592</v>
          </cell>
          <cell r="EC68" t="str">
            <v>2020-21</v>
          </cell>
          <cell r="ED68">
            <v>174820</v>
          </cell>
          <cell r="EE68">
            <v>2020</v>
          </cell>
          <cell r="EF68">
            <v>214798</v>
          </cell>
          <cell r="EG68">
            <v>2020</v>
          </cell>
          <cell r="EH68">
            <v>54460799</v>
          </cell>
          <cell r="EI68">
            <v>2020</v>
          </cell>
          <cell r="EJ68">
            <v>5377071</v>
          </cell>
          <cell r="EK68">
            <v>2020</v>
          </cell>
          <cell r="EL68">
            <v>14571766</v>
          </cell>
          <cell r="EM68">
            <v>2020</v>
          </cell>
          <cell r="EN68">
            <v>3132657</v>
          </cell>
          <cell r="EO68">
            <v>2020</v>
          </cell>
          <cell r="EP68">
            <v>6552</v>
          </cell>
          <cell r="EQ68">
            <v>3366686</v>
          </cell>
          <cell r="ER68">
            <v>76657</v>
          </cell>
          <cell r="ET68">
            <v>19456</v>
          </cell>
          <cell r="EU68">
            <v>17935</v>
          </cell>
          <cell r="EV68">
            <v>9101</v>
          </cell>
          <cell r="EW68">
            <v>17303</v>
          </cell>
          <cell r="EX68">
            <v>63795</v>
          </cell>
          <cell r="EY68">
            <v>19804</v>
          </cell>
          <cell r="EZ68">
            <v>79940</v>
          </cell>
          <cell r="FA68">
            <v>22244</v>
          </cell>
          <cell r="FB68">
            <v>18080</v>
          </cell>
          <cell r="FC68">
            <v>40324</v>
          </cell>
          <cell r="FD68">
            <v>59152.38</v>
          </cell>
          <cell r="FF68">
            <v>1100000</v>
          </cell>
          <cell r="FG68" t="str">
            <v>2019-20</v>
          </cell>
          <cell r="FH68">
            <v>1200000</v>
          </cell>
          <cell r="FI68" t="str">
            <v>2019-20</v>
          </cell>
          <cell r="FJ68">
            <v>4200000</v>
          </cell>
          <cell r="FK68" t="str">
            <v>2020-21</v>
          </cell>
          <cell r="FL68">
            <v>3300000</v>
          </cell>
          <cell r="FM68" t="str">
            <v>2019-20</v>
          </cell>
          <cell r="FN68">
            <v>50000000</v>
          </cell>
          <cell r="FO68" t="str">
            <v>2019-20</v>
          </cell>
          <cell r="FP68">
            <v>49000000</v>
          </cell>
          <cell r="FQ68" t="str">
            <v>2019-20</v>
          </cell>
          <cell r="FR68">
            <v>1850000</v>
          </cell>
          <cell r="FS68" t="str">
            <v>2019-20</v>
          </cell>
          <cell r="FT68">
            <v>17000000</v>
          </cell>
          <cell r="FU68" t="str">
            <v>2020-21</v>
          </cell>
          <cell r="FV68">
            <v>125350000</v>
          </cell>
          <cell r="FW68">
            <v>1394794</v>
          </cell>
          <cell r="FX68" t="str">
            <v>2019-20</v>
          </cell>
          <cell r="FY68">
            <v>0</v>
          </cell>
          <cell r="FZ68">
            <v>821465.77300000004</v>
          </cell>
          <cell r="GA68" t="str">
            <v>dic19 nov20</v>
          </cell>
          <cell r="GB68">
            <v>20557455</v>
          </cell>
          <cell r="GC68">
            <v>2020</v>
          </cell>
          <cell r="GD68">
            <v>1974652</v>
          </cell>
          <cell r="GE68">
            <v>367136</v>
          </cell>
          <cell r="GF68">
            <v>957160</v>
          </cell>
          <cell r="GG68">
            <v>89049</v>
          </cell>
          <cell r="GH68">
            <v>1413345</v>
          </cell>
          <cell r="GI68">
            <v>1302556</v>
          </cell>
          <cell r="GJ68">
            <v>666015</v>
          </cell>
          <cell r="GK68">
            <v>1221000</v>
          </cell>
          <cell r="GL68">
            <v>294346.89</v>
          </cell>
          <cell r="GM68">
            <v>260133.24</v>
          </cell>
          <cell r="GN68">
            <v>2441495.13</v>
          </cell>
          <cell r="GO68">
            <v>198452.81</v>
          </cell>
          <cell r="GP68">
            <v>73538</v>
          </cell>
          <cell r="GQ68">
            <v>60525</v>
          </cell>
          <cell r="GR68">
            <v>44610</v>
          </cell>
          <cell r="GS68">
            <v>46425.75</v>
          </cell>
          <cell r="GT68">
            <v>2884000</v>
          </cell>
          <cell r="GU68">
            <v>18935</v>
          </cell>
          <cell r="GV68">
            <v>27101</v>
          </cell>
          <cell r="GW68">
            <v>1207962</v>
          </cell>
          <cell r="GX68">
            <v>34954.608</v>
          </cell>
          <cell r="GY68" t="str">
            <v>2019-2020</v>
          </cell>
          <cell r="GZ68">
            <v>112856</v>
          </cell>
          <cell r="HA68">
            <v>275983</v>
          </cell>
          <cell r="HB68">
            <v>3147722.0870000003</v>
          </cell>
          <cell r="HC68" t="str">
            <v>dic19 nov20</v>
          </cell>
          <cell r="HD68">
            <v>53466</v>
          </cell>
          <cell r="HE68">
            <v>652225</v>
          </cell>
          <cell r="HF68" t="str">
            <v>dic19 nov20</v>
          </cell>
          <cell r="HG68">
            <v>182000</v>
          </cell>
          <cell r="HH68">
            <v>2225000</v>
          </cell>
          <cell r="HI68" t="str">
            <v>dic19 nov20</v>
          </cell>
          <cell r="HJ68">
            <v>95163</v>
          </cell>
          <cell r="HK68">
            <v>55196.131200000003</v>
          </cell>
          <cell r="HL68" t="str">
            <v>dic19 nov20</v>
          </cell>
          <cell r="HM68">
            <v>2280196.1312000002</v>
          </cell>
          <cell r="HN68">
            <v>7.1770334928229707E-2</v>
          </cell>
          <cell r="HO68">
            <v>1030400000</v>
          </cell>
          <cell r="HP68">
            <v>11047</v>
          </cell>
          <cell r="HQ68" t="str">
            <v>dic19 nov20</v>
          </cell>
          <cell r="HU68">
            <v>650000</v>
          </cell>
          <cell r="HV68" t="str">
            <v>2019-20</v>
          </cell>
          <cell r="HW68">
            <v>1200000</v>
          </cell>
          <cell r="HX68" t="str">
            <v>2020-21</v>
          </cell>
          <cell r="HY68">
            <v>2980000</v>
          </cell>
          <cell r="HZ68" t="str">
            <v>2019-20</v>
          </cell>
          <cell r="IA68">
            <v>21140000</v>
          </cell>
          <cell r="IB68" t="str">
            <v>2019-20</v>
          </cell>
          <cell r="IC68">
            <v>43000000</v>
          </cell>
          <cell r="ID68" t="str">
            <v>2019-20</v>
          </cell>
          <cell r="IE68">
            <v>1150000</v>
          </cell>
          <cell r="IF68" t="str">
            <v>2019-20</v>
          </cell>
          <cell r="IG68">
            <v>7300000</v>
          </cell>
          <cell r="IH68" t="str">
            <v>2020-21</v>
          </cell>
          <cell r="II68">
            <v>76770000</v>
          </cell>
          <cell r="IJ68">
            <v>1.9073407006405101</v>
          </cell>
          <cell r="IK68" t="str">
            <v>2019-20</v>
          </cell>
          <cell r="IL68">
            <v>43.93</v>
          </cell>
          <cell r="IM68">
            <v>49.31</v>
          </cell>
          <cell r="IN68">
            <v>184.4</v>
          </cell>
          <cell r="IO68">
            <v>14.25</v>
          </cell>
          <cell r="IP68">
            <v>5.7952865471342916</v>
          </cell>
          <cell r="IQ68">
            <v>20.7</v>
          </cell>
          <cell r="IR68">
            <v>4.79</v>
          </cell>
          <cell r="IS68">
            <v>5.29</v>
          </cell>
          <cell r="IT68">
            <v>12.22</v>
          </cell>
          <cell r="IU68">
            <v>0.38</v>
          </cell>
          <cell r="IV68">
            <v>17.89</v>
          </cell>
          <cell r="IY68">
            <v>1.86</v>
          </cell>
          <cell r="IZ68">
            <v>0.1</v>
          </cell>
          <cell r="JA68">
            <v>2810</v>
          </cell>
          <cell r="JF68">
            <v>28.081154179999999</v>
          </cell>
          <cell r="JG68">
            <v>16.070402479999998</v>
          </cell>
          <cell r="JH68">
            <v>41.654969489999999</v>
          </cell>
          <cell r="JI68">
            <v>43.350304940000001</v>
          </cell>
          <cell r="JJ68">
            <v>311.43682783999998</v>
          </cell>
          <cell r="JK68">
            <v>118.99235775000002</v>
          </cell>
          <cell r="JL68">
            <v>1630.94947759</v>
          </cell>
          <cell r="JM68">
            <v>0.53199319999999994</v>
          </cell>
          <cell r="JN68">
            <v>88.520597859999995</v>
          </cell>
          <cell r="JO68">
            <v>18.757994520000004</v>
          </cell>
          <cell r="JP68">
            <v>0</v>
          </cell>
          <cell r="JQ68">
            <v>7.6430649999999989E-2</v>
          </cell>
          <cell r="JR68">
            <v>1.32736575</v>
          </cell>
          <cell r="JS68">
            <v>0</v>
          </cell>
          <cell r="JT68">
            <v>2.5000000000000001E-3</v>
          </cell>
          <cell r="JU68">
            <v>93.366261870000017</v>
          </cell>
          <cell r="JV68">
            <v>12.896794960000001</v>
          </cell>
          <cell r="JW68">
            <v>10.109798179999999</v>
          </cell>
          <cell r="JX68">
            <v>11.775851820000002</v>
          </cell>
          <cell r="JY68">
            <v>0</v>
          </cell>
          <cell r="JZ68">
            <v>1.3196989299999999</v>
          </cell>
          <cell r="KA68">
            <v>0.47290113</v>
          </cell>
          <cell r="KB68">
            <v>17.625443539999999</v>
          </cell>
          <cell r="KC68">
            <v>65.345402379999996</v>
          </cell>
          <cell r="KD68">
            <v>10.461004670000001</v>
          </cell>
          <cell r="KE68">
            <v>14.310721749999997</v>
          </cell>
          <cell r="KF68">
            <v>36.185511689999998</v>
          </cell>
          <cell r="KG68">
            <v>356.38263971999993</v>
          </cell>
          <cell r="KH68">
            <v>148.81629056999998</v>
          </cell>
          <cell r="KI68">
            <v>10.733154770000002</v>
          </cell>
          <cell r="KJ68">
            <v>9.3330679799999992</v>
          </cell>
          <cell r="KK68">
            <v>4.9009079899999994</v>
          </cell>
          <cell r="KL68">
            <v>0.42296613999999999</v>
          </cell>
          <cell r="KM68">
            <v>0.86710677999999997</v>
          </cell>
          <cell r="KN68">
            <v>0.15136082999999997</v>
          </cell>
          <cell r="KO68">
            <v>7.8054693099999994</v>
          </cell>
          <cell r="KP68">
            <v>0.24445627</v>
          </cell>
          <cell r="KQ68">
            <v>81.672113900000014</v>
          </cell>
          <cell r="KR68">
            <v>3.2506180000000003E-2</v>
          </cell>
          <cell r="KS68">
            <v>0.30688968999999994</v>
          </cell>
          <cell r="KT68">
            <v>1.88557606</v>
          </cell>
          <cell r="KU68">
            <v>0.42440298999999998</v>
          </cell>
          <cell r="KV68">
            <v>0.21306520000000001</v>
          </cell>
          <cell r="KW68">
            <v>3.8119852499999993</v>
          </cell>
          <cell r="KX68">
            <v>0</v>
          </cell>
          <cell r="KY68">
            <v>1.0281403099999999</v>
          </cell>
          <cell r="KZ68">
            <v>1.7386936</v>
          </cell>
          <cell r="LA68">
            <v>0.90570605000000004</v>
          </cell>
          <cell r="LB68">
            <v>0</v>
          </cell>
          <cell r="LC68">
            <v>1.50993982</v>
          </cell>
          <cell r="LD68">
            <v>0</v>
          </cell>
          <cell r="LE68">
            <v>0.13064046000000001</v>
          </cell>
          <cell r="LF68">
            <v>0.36056479000000002</v>
          </cell>
          <cell r="LG68">
            <v>17.13326502</v>
          </cell>
          <cell r="LH68">
            <v>7.4107142600000024</v>
          </cell>
          <cell r="LI68">
            <v>2.5019997099999998</v>
          </cell>
          <cell r="LJ68">
            <v>0</v>
          </cell>
          <cell r="LK68">
            <v>4.5073918900000001</v>
          </cell>
          <cell r="LL68">
            <v>6.0047575400000008</v>
          </cell>
          <cell r="LM68">
            <v>0.82564050000000011</v>
          </cell>
          <cell r="LN68">
            <v>0.28006708000000002</v>
          </cell>
          <cell r="LO68">
            <v>8.8865891699999988</v>
          </cell>
          <cell r="LQ68">
            <v>2116.44417092</v>
          </cell>
          <cell r="LR68">
            <v>1.4062964</v>
          </cell>
          <cell r="LS68">
            <v>23.00659314</v>
          </cell>
          <cell r="LT68">
            <v>1.7926000599999998</v>
          </cell>
          <cell r="LU68">
            <v>90.835446690000012</v>
          </cell>
          <cell r="LV68">
            <v>5.0531907599999997</v>
          </cell>
          <cell r="LW68">
            <v>0.90570605000000004</v>
          </cell>
          <cell r="LX68">
            <v>0.49120525000000004</v>
          </cell>
          <cell r="LZ68">
            <v>86.41</v>
          </cell>
          <cell r="MA68">
            <v>80.900000000000006</v>
          </cell>
          <cell r="MH68">
            <v>138.31</v>
          </cell>
          <cell r="MI68">
            <v>45.17</v>
          </cell>
          <cell r="MJ68">
            <v>57.26</v>
          </cell>
          <cell r="ML68">
            <v>62.18</v>
          </cell>
          <cell r="MM68">
            <v>138.38</v>
          </cell>
          <cell r="MO68">
            <v>60.64</v>
          </cell>
          <cell r="MP68">
            <v>73.8</v>
          </cell>
          <cell r="MQ68">
            <v>172.76</v>
          </cell>
          <cell r="MU68">
            <v>60.21</v>
          </cell>
          <cell r="MY68">
            <v>137.99</v>
          </cell>
          <cell r="MZ68">
            <v>355</v>
          </cell>
          <cell r="NA68">
            <v>132.12</v>
          </cell>
          <cell r="NB68">
            <v>433.62</v>
          </cell>
          <cell r="NC68">
            <v>57.45</v>
          </cell>
          <cell r="NE68">
            <v>391.18</v>
          </cell>
        </row>
        <row r="69">
          <cell r="A69">
            <v>44166</v>
          </cell>
          <cell r="B69">
            <v>12</v>
          </cell>
          <cell r="C69">
            <v>2020</v>
          </cell>
          <cell r="D69">
            <v>69</v>
          </cell>
          <cell r="E69">
            <v>44166</v>
          </cell>
          <cell r="F69">
            <v>84.82</v>
          </cell>
          <cell r="G69">
            <v>385.9</v>
          </cell>
          <cell r="H69">
            <v>42104.03</v>
          </cell>
          <cell r="I69">
            <v>73</v>
          </cell>
          <cell r="J69">
            <v>410</v>
          </cell>
          <cell r="K69">
            <v>3.3</v>
          </cell>
          <cell r="L69">
            <v>22.7</v>
          </cell>
          <cell r="N69">
            <v>1.4359999999999999</v>
          </cell>
          <cell r="O69">
            <v>1.238</v>
          </cell>
          <cell r="P69">
            <v>107.73412299999998</v>
          </cell>
          <cell r="Q69">
            <v>2460</v>
          </cell>
          <cell r="R69">
            <v>24600</v>
          </cell>
          <cell r="S69">
            <v>198.71</v>
          </cell>
          <cell r="T69">
            <v>402</v>
          </cell>
          <cell r="U69">
            <v>188.05555555555554</v>
          </cell>
          <cell r="V69">
            <v>310.61666666666662</v>
          </cell>
          <cell r="W69">
            <v>201.2</v>
          </cell>
          <cell r="X69">
            <v>226.09444444444443</v>
          </cell>
          <cell r="Y69">
            <v>16854.582200000001</v>
          </cell>
          <cell r="Z69">
            <v>34097.64</v>
          </cell>
          <cell r="AA69">
            <v>15950.87222222222</v>
          </cell>
          <cell r="AB69">
            <v>26346.505666666661</v>
          </cell>
          <cell r="AC69">
            <v>17065.783999999996</v>
          </cell>
          <cell r="AD69">
            <v>19177.330777777774</v>
          </cell>
          <cell r="AE69">
            <v>21582.119144444445</v>
          </cell>
          <cell r="AF69">
            <v>54616.294117647056</v>
          </cell>
          <cell r="AG69">
            <v>24390</v>
          </cell>
          <cell r="AH69">
            <v>92690</v>
          </cell>
          <cell r="AI69">
            <v>20.387599999999999</v>
          </cell>
          <cell r="AJ69">
            <v>18.391100000000002</v>
          </cell>
          <cell r="AK69">
            <v>19.1708</v>
          </cell>
          <cell r="AL69">
            <v>19.970500000000001</v>
          </cell>
          <cell r="AM69">
            <v>19.891268000000004</v>
          </cell>
          <cell r="AN69">
            <v>104.32</v>
          </cell>
          <cell r="AO69">
            <v>76.78</v>
          </cell>
          <cell r="AP69">
            <v>90.55</v>
          </cell>
          <cell r="AQ69">
            <v>86.505499999999984</v>
          </cell>
          <cell r="AR69">
            <v>50.543999999999997</v>
          </cell>
          <cell r="AS69">
            <v>49.557500000000005</v>
          </cell>
          <cell r="AT69">
            <v>75.558999999999997</v>
          </cell>
          <cell r="AU69">
            <v>58.553500000000007</v>
          </cell>
          <cell r="AV69">
            <v>30.018556701030935</v>
          </cell>
          <cell r="AW69">
            <v>27.783499999999997</v>
          </cell>
          <cell r="AX69">
            <v>24.238000000000007</v>
          </cell>
          <cell r="AY69">
            <v>24.557000000000002</v>
          </cell>
          <cell r="AZ69">
            <v>28.3505</v>
          </cell>
          <cell r="BA69">
            <v>54.539666666666669</v>
          </cell>
          <cell r="BB69">
            <v>32.921291666666669</v>
          </cell>
          <cell r="BC69">
            <v>1868</v>
          </cell>
          <cell r="BD69">
            <v>1520</v>
          </cell>
          <cell r="BE69">
            <v>1600</v>
          </cell>
          <cell r="BF69">
            <v>850</v>
          </cell>
          <cell r="BG69">
            <v>1459.5</v>
          </cell>
          <cell r="BH69">
            <v>127.93</v>
          </cell>
          <cell r="BI69">
            <v>61</v>
          </cell>
          <cell r="BJ69">
            <v>188.93</v>
          </cell>
          <cell r="BK69">
            <v>151.404</v>
          </cell>
          <cell r="BL69">
            <v>183.25</v>
          </cell>
          <cell r="BM69">
            <v>167.327</v>
          </cell>
          <cell r="BN69">
            <v>21.36</v>
          </cell>
          <cell r="BO69">
            <v>115.82250000000003</v>
          </cell>
          <cell r="BP69">
            <v>79.62</v>
          </cell>
          <cell r="BQ69">
            <v>112.20225000000003</v>
          </cell>
          <cell r="BR69">
            <v>98.74</v>
          </cell>
          <cell r="BS69">
            <v>310</v>
          </cell>
          <cell r="BT69">
            <v>142.72</v>
          </cell>
          <cell r="BU69">
            <v>4148.16</v>
          </cell>
          <cell r="BV69">
            <v>200.3</v>
          </cell>
          <cell r="BW69">
            <v>225</v>
          </cell>
          <cell r="BY69">
            <v>657.92071810594894</v>
          </cell>
          <cell r="BZ69">
            <v>572.93202772001268</v>
          </cell>
          <cell r="CA69">
            <v>686.58455937525366</v>
          </cell>
          <cell r="CB69">
            <v>719.09054213529885</v>
          </cell>
          <cell r="CC69">
            <v>670.07080620186446</v>
          </cell>
          <cell r="CD69">
            <v>716.9527479708463</v>
          </cell>
          <cell r="CE69">
            <v>672.14540113345288</v>
          </cell>
          <cell r="CF69">
            <v>710.83391426510457</v>
          </cell>
          <cell r="CG69">
            <v>695.94632851363679</v>
          </cell>
          <cell r="CH69">
            <v>721.97962237425509</v>
          </cell>
          <cell r="CI69">
            <v>635.65099095994299</v>
          </cell>
          <cell r="CJ69">
            <v>552.89358633887218</v>
          </cell>
          <cell r="CK69">
            <v>576.93024352894167</v>
          </cell>
          <cell r="CL69">
            <v>565.4167280320022</v>
          </cell>
          <cell r="CM69">
            <v>519.89114278295574</v>
          </cell>
          <cell r="CN69">
            <v>660.95138282027483</v>
          </cell>
          <cell r="CO69">
            <v>580.79737429104364</v>
          </cell>
          <cell r="CP69">
            <v>633.72076675313485</v>
          </cell>
          <cell r="CQ69">
            <v>565.7926482782633</v>
          </cell>
          <cell r="CR69">
            <v>587.26775241465782</v>
          </cell>
          <cell r="CS69">
            <v>576.53020034646056</v>
          </cell>
          <cell r="CT69">
            <v>582.72908913232436</v>
          </cell>
          <cell r="CU69">
            <v>567.64774499677105</v>
          </cell>
          <cell r="CV69">
            <v>565.13215278131747</v>
          </cell>
          <cell r="CW69">
            <v>565.13215278131747</v>
          </cell>
          <cell r="CX69">
            <v>565.97068351980204</v>
          </cell>
          <cell r="CY69">
            <v>549.88374636197454</v>
          </cell>
          <cell r="CZ69">
            <v>647.63628043849292</v>
          </cell>
          <cell r="DA69">
            <v>556.53778150741107</v>
          </cell>
          <cell r="DB69">
            <v>585.55001708807936</v>
          </cell>
          <cell r="DC69">
            <v>699.99983030185012</v>
          </cell>
          <cell r="DD69">
            <v>700.4363152523589</v>
          </cell>
          <cell r="DE69">
            <v>652.74723401219262</v>
          </cell>
          <cell r="DF69">
            <v>735.27951674567908</v>
          </cell>
          <cell r="DG69">
            <v>694.01337537893585</v>
          </cell>
          <cell r="DH69">
            <v>598.66808853911505</v>
          </cell>
          <cell r="DI69">
            <v>552.41512347662183</v>
          </cell>
          <cell r="DK69">
            <v>410000</v>
          </cell>
          <cell r="DL69" t="str">
            <v>2020-21</v>
          </cell>
          <cell r="DM69">
            <v>195000</v>
          </cell>
          <cell r="DN69" t="str">
            <v>2020-21</v>
          </cell>
          <cell r="DO69">
            <v>1250000</v>
          </cell>
          <cell r="DP69" t="str">
            <v>2020-21</v>
          </cell>
          <cell r="DQ69">
            <v>1400000</v>
          </cell>
          <cell r="DR69" t="str">
            <v>2020-21</v>
          </cell>
          <cell r="DS69">
            <v>6300000</v>
          </cell>
          <cell r="DT69" t="str">
            <v>2020-21</v>
          </cell>
          <cell r="DU69">
            <v>16900000</v>
          </cell>
          <cell r="DV69" t="str">
            <v>2020-21</v>
          </cell>
          <cell r="DW69">
            <v>630000</v>
          </cell>
          <cell r="DX69" t="str">
            <v>2020-21</v>
          </cell>
          <cell r="DY69">
            <v>6700000</v>
          </cell>
          <cell r="DZ69" t="str">
            <v>2020-21</v>
          </cell>
          <cell r="EA69">
            <v>33180000</v>
          </cell>
          <cell r="EB69">
            <v>385592</v>
          </cell>
          <cell r="EC69" t="str">
            <v>2020-21</v>
          </cell>
          <cell r="ED69">
            <v>174820</v>
          </cell>
          <cell r="EE69">
            <v>2020</v>
          </cell>
          <cell r="EF69">
            <v>214798</v>
          </cell>
          <cell r="EG69">
            <v>2020</v>
          </cell>
          <cell r="EH69">
            <v>54460799</v>
          </cell>
          <cell r="EI69">
            <v>2020</v>
          </cell>
          <cell r="EJ69">
            <v>5377071</v>
          </cell>
          <cell r="EK69">
            <v>2020</v>
          </cell>
          <cell r="EL69">
            <v>14571766</v>
          </cell>
          <cell r="EM69">
            <v>2020</v>
          </cell>
          <cell r="EN69">
            <v>3132657</v>
          </cell>
          <cell r="EO69">
            <v>2020</v>
          </cell>
          <cell r="EP69">
            <v>6552</v>
          </cell>
          <cell r="EQ69">
            <v>3366686</v>
          </cell>
          <cell r="ER69">
            <v>76657</v>
          </cell>
          <cell r="ET69">
            <v>19456</v>
          </cell>
          <cell r="EU69">
            <v>17935</v>
          </cell>
          <cell r="EV69">
            <v>9101</v>
          </cell>
          <cell r="EW69">
            <v>17303</v>
          </cell>
          <cell r="EX69">
            <v>63795</v>
          </cell>
          <cell r="EY69">
            <v>19804</v>
          </cell>
          <cell r="EZ69">
            <v>79940</v>
          </cell>
          <cell r="FA69">
            <v>22244</v>
          </cell>
          <cell r="FB69">
            <v>18080</v>
          </cell>
          <cell r="FC69">
            <v>40324</v>
          </cell>
          <cell r="FD69">
            <v>59152.38</v>
          </cell>
          <cell r="FF69">
            <v>1100000</v>
          </cell>
          <cell r="FG69" t="str">
            <v>2019-20</v>
          </cell>
          <cell r="FH69">
            <v>1200000</v>
          </cell>
          <cell r="FI69" t="str">
            <v>2019-20</v>
          </cell>
          <cell r="FJ69">
            <v>4500000</v>
          </cell>
          <cell r="FK69" t="str">
            <v>2020-21</v>
          </cell>
          <cell r="FL69">
            <v>3300000</v>
          </cell>
          <cell r="FM69" t="str">
            <v>2019-20</v>
          </cell>
          <cell r="FN69">
            <v>47000000</v>
          </cell>
          <cell r="FO69" t="str">
            <v>2020-21</v>
          </cell>
          <cell r="FP69">
            <v>49000000</v>
          </cell>
          <cell r="FQ69" t="str">
            <v>2019-20</v>
          </cell>
          <cell r="FR69">
            <v>1850000</v>
          </cell>
          <cell r="FS69" t="str">
            <v>2019-20</v>
          </cell>
          <cell r="FT69">
            <v>17000000</v>
          </cell>
          <cell r="FU69" t="str">
            <v>2020-21</v>
          </cell>
          <cell r="FV69">
            <v>122650000</v>
          </cell>
          <cell r="FW69">
            <v>1394794</v>
          </cell>
          <cell r="FX69" t="str">
            <v>2019-20</v>
          </cell>
          <cell r="FY69">
            <v>32689.84</v>
          </cell>
          <cell r="FZ69">
            <v>812695.84</v>
          </cell>
          <cell r="GA69" t="str">
            <v>ene20 dic20</v>
          </cell>
          <cell r="GB69">
            <v>20557455</v>
          </cell>
          <cell r="GC69">
            <v>2020</v>
          </cell>
          <cell r="GD69">
            <v>1974652</v>
          </cell>
          <cell r="GE69">
            <v>367136</v>
          </cell>
          <cell r="GF69">
            <v>957160</v>
          </cell>
          <cell r="GG69">
            <v>89049</v>
          </cell>
          <cell r="GH69">
            <v>1413345</v>
          </cell>
          <cell r="GI69">
            <v>1302556</v>
          </cell>
          <cell r="GJ69">
            <v>666015</v>
          </cell>
          <cell r="GK69">
            <v>1221000</v>
          </cell>
          <cell r="GL69">
            <v>294346.89</v>
          </cell>
          <cell r="GM69">
            <v>260133.24</v>
          </cell>
          <cell r="GN69">
            <v>2441495.13</v>
          </cell>
          <cell r="GO69">
            <v>198452.81</v>
          </cell>
          <cell r="GP69">
            <v>73538</v>
          </cell>
          <cell r="GQ69">
            <v>198944</v>
          </cell>
          <cell r="GR69">
            <v>44610</v>
          </cell>
          <cell r="GS69">
            <v>50578.32</v>
          </cell>
          <cell r="GT69">
            <v>2884000</v>
          </cell>
          <cell r="GU69">
            <v>13262</v>
          </cell>
          <cell r="GV69">
            <v>30537</v>
          </cell>
          <cell r="GW69">
            <v>1205142</v>
          </cell>
          <cell r="GX69">
            <v>34954.608</v>
          </cell>
          <cell r="GY69" t="str">
            <v>2019-2020</v>
          </cell>
          <cell r="GZ69">
            <v>112856</v>
          </cell>
          <cell r="HA69">
            <v>264307</v>
          </cell>
          <cell r="HB69">
            <v>3134287.0870000003</v>
          </cell>
          <cell r="HC69" t="str">
            <v>ene20 dic20</v>
          </cell>
          <cell r="HD69">
            <v>59032</v>
          </cell>
          <cell r="HE69">
            <v>656456</v>
          </cell>
          <cell r="HF69" t="str">
            <v>ene20 dic20</v>
          </cell>
          <cell r="HG69">
            <v>188000</v>
          </cell>
          <cell r="HH69">
            <v>2222000</v>
          </cell>
          <cell r="HI69" t="str">
            <v>ene20 dic20</v>
          </cell>
          <cell r="HJ69">
            <v>78861</v>
          </cell>
          <cell r="HK69">
            <v>55264.221600000004</v>
          </cell>
          <cell r="HL69" t="str">
            <v>ene20 dic20</v>
          </cell>
          <cell r="HM69">
            <v>2277264.2215999998</v>
          </cell>
          <cell r="HN69">
            <v>7.0084566596194442E-2</v>
          </cell>
          <cell r="HO69">
            <v>1012300000</v>
          </cell>
          <cell r="HP69">
            <v>11113.3</v>
          </cell>
          <cell r="HQ69" t="str">
            <v>ene20 dic20</v>
          </cell>
          <cell r="HU69">
            <v>650000</v>
          </cell>
          <cell r="HV69" t="str">
            <v>2019-20</v>
          </cell>
          <cell r="HW69">
            <v>1200000</v>
          </cell>
          <cell r="HX69" t="str">
            <v>2020-21</v>
          </cell>
          <cell r="HY69">
            <v>3190000</v>
          </cell>
          <cell r="HZ69" t="str">
            <v>2020-21</v>
          </cell>
          <cell r="IA69">
            <v>21140000</v>
          </cell>
          <cell r="IB69" t="str">
            <v>2019-20</v>
          </cell>
          <cell r="IC69">
            <v>41400000</v>
          </cell>
          <cell r="ID69" t="str">
            <v>2019-20</v>
          </cell>
          <cell r="IE69">
            <v>1000000</v>
          </cell>
          <cell r="IF69" t="str">
            <v>2019-20</v>
          </cell>
          <cell r="IG69">
            <v>7400000</v>
          </cell>
          <cell r="IH69" t="str">
            <v>2020-21</v>
          </cell>
          <cell r="II69">
            <v>75330000</v>
          </cell>
          <cell r="IJ69">
            <v>1.9073407006405101</v>
          </cell>
          <cell r="IK69" t="str">
            <v>2019-20</v>
          </cell>
          <cell r="IL69">
            <v>44.2</v>
          </cell>
          <cell r="IM69">
            <v>51.06</v>
          </cell>
          <cell r="IN69">
            <v>184.4</v>
          </cell>
          <cell r="IO69">
            <v>15.5</v>
          </cell>
          <cell r="IP69">
            <v>5.7952865471342916</v>
          </cell>
          <cell r="IQ69">
            <v>20.7</v>
          </cell>
          <cell r="IR69">
            <v>4.79</v>
          </cell>
          <cell r="IS69">
            <v>5.29</v>
          </cell>
          <cell r="IT69">
            <v>12.22</v>
          </cell>
          <cell r="IU69">
            <v>0.38</v>
          </cell>
          <cell r="IV69">
            <v>17.89</v>
          </cell>
          <cell r="IY69">
            <v>1.86</v>
          </cell>
          <cell r="IZ69">
            <v>0.1</v>
          </cell>
          <cell r="JA69">
            <v>2811</v>
          </cell>
          <cell r="JF69">
            <v>13.234704230000002</v>
          </cell>
          <cell r="JG69">
            <v>14.736551480000001</v>
          </cell>
          <cell r="JH69">
            <v>37.845213440000002</v>
          </cell>
          <cell r="JI69">
            <v>18.563111020000001</v>
          </cell>
          <cell r="JJ69">
            <v>201.00479876999995</v>
          </cell>
          <cell r="JK69">
            <v>105.27348302000001</v>
          </cell>
          <cell r="JL69">
            <v>626.45625271999995</v>
          </cell>
          <cell r="JM69">
            <v>3.8947799999999999</v>
          </cell>
          <cell r="JN69">
            <v>271.30949773000003</v>
          </cell>
          <cell r="JO69">
            <v>22.31250902</v>
          </cell>
          <cell r="JP69">
            <v>0</v>
          </cell>
          <cell r="JQ69">
            <v>0.31068417999999998</v>
          </cell>
          <cell r="JR69">
            <v>0.64457814000000002</v>
          </cell>
          <cell r="JS69">
            <v>0</v>
          </cell>
          <cell r="JT69">
            <v>0.24216499999999999</v>
          </cell>
          <cell r="JU69">
            <v>75.938263660000004</v>
          </cell>
          <cell r="JV69">
            <v>4.9251607500000008</v>
          </cell>
          <cell r="JW69">
            <v>6.7510286300000013</v>
          </cell>
          <cell r="JX69">
            <v>9.74316447</v>
          </cell>
          <cell r="JY69">
            <v>0</v>
          </cell>
          <cell r="JZ69">
            <v>0.87319469999999999</v>
          </cell>
          <cell r="KA69">
            <v>0.99185108000000011</v>
          </cell>
          <cell r="KB69">
            <v>21.355262920000001</v>
          </cell>
          <cell r="KC69">
            <v>38.253392029999993</v>
          </cell>
          <cell r="KD69">
            <v>13.147616679999999</v>
          </cell>
          <cell r="KE69">
            <v>10.654152130000002</v>
          </cell>
          <cell r="KF69">
            <v>34.076291170000005</v>
          </cell>
          <cell r="KG69">
            <v>279.22645599999998</v>
          </cell>
          <cell r="KH69">
            <v>98.034045439999986</v>
          </cell>
          <cell r="KI69">
            <v>20.922303999999997</v>
          </cell>
          <cell r="KJ69">
            <v>5.2608896599999992</v>
          </cell>
          <cell r="KK69">
            <v>5.415997149999999</v>
          </cell>
          <cell r="KL69">
            <v>0.32620170999999998</v>
          </cell>
          <cell r="KM69">
            <v>1.0019098899999999</v>
          </cell>
          <cell r="KN69">
            <v>0.21516445000000001</v>
          </cell>
          <cell r="KO69">
            <v>0.62005452000000005</v>
          </cell>
          <cell r="KP69">
            <v>1.10653E-2</v>
          </cell>
          <cell r="KQ69">
            <v>76.335034870000001</v>
          </cell>
          <cell r="KR69">
            <v>4.8559249999999998E-2</v>
          </cell>
          <cell r="KS69">
            <v>5.4327100000000003E-3</v>
          </cell>
          <cell r="KT69">
            <v>1.3921771000000001</v>
          </cell>
          <cell r="KU69">
            <v>0.40978040000000004</v>
          </cell>
          <cell r="KV69">
            <v>0</v>
          </cell>
          <cell r="KW69">
            <v>1.8622188599999998</v>
          </cell>
          <cell r="KX69">
            <v>0</v>
          </cell>
          <cell r="KY69">
            <v>0.57732942000000009</v>
          </cell>
          <cell r="KZ69">
            <v>0.70775787000000001</v>
          </cell>
          <cell r="LA69">
            <v>0.12897227999999999</v>
          </cell>
          <cell r="LB69">
            <v>0</v>
          </cell>
          <cell r="LC69">
            <v>0.93330407999999998</v>
          </cell>
          <cell r="LD69">
            <v>0</v>
          </cell>
          <cell r="LE69">
            <v>1.2255415099999998</v>
          </cell>
          <cell r="LF69">
            <v>0.25662665999999995</v>
          </cell>
          <cell r="LG69">
            <v>17.753412970000003</v>
          </cell>
          <cell r="LH69">
            <v>5.3225239900000005</v>
          </cell>
          <cell r="LI69">
            <v>1.3203298900000002</v>
          </cell>
          <cell r="LJ69">
            <v>1.947049E-2</v>
          </cell>
          <cell r="LK69">
            <v>1.5119941899999998</v>
          </cell>
          <cell r="LL69">
            <v>7.6302594600000013</v>
          </cell>
          <cell r="LM69">
            <v>0.92060591000000003</v>
          </cell>
          <cell r="LN69">
            <v>0.43344345000000001</v>
          </cell>
          <cell r="LO69">
            <v>8.1520610799999993</v>
          </cell>
          <cell r="LQ69">
            <v>1159.07365368</v>
          </cell>
          <cell r="LR69">
            <v>1.1974273200000001</v>
          </cell>
          <cell r="LS69">
            <v>11.676189380000002</v>
          </cell>
          <cell r="LT69">
            <v>1.86504578</v>
          </cell>
          <cell r="LU69">
            <v>78.226155689999985</v>
          </cell>
          <cell r="LV69">
            <v>2.4395482799999999</v>
          </cell>
          <cell r="LW69">
            <v>0.12897227999999999</v>
          </cell>
          <cell r="LX69">
            <v>1.4821681699999998</v>
          </cell>
          <cell r="LZ69">
            <v>88.3</v>
          </cell>
          <cell r="MA69">
            <v>81.760000000000005</v>
          </cell>
          <cell r="MH69">
            <v>140.13</v>
          </cell>
          <cell r="MI69">
            <v>42.55</v>
          </cell>
          <cell r="MJ69">
            <v>61.1</v>
          </cell>
          <cell r="ML69">
            <v>56.49</v>
          </cell>
          <cell r="MM69">
            <v>53.77</v>
          </cell>
          <cell r="MO69">
            <v>99.86</v>
          </cell>
          <cell r="MP69">
            <v>75.180000000000007</v>
          </cell>
          <cell r="MQ69">
            <v>185.56</v>
          </cell>
          <cell r="MU69">
            <v>73.489999999999995</v>
          </cell>
          <cell r="MY69">
            <v>142.87</v>
          </cell>
          <cell r="MZ69">
            <v>376</v>
          </cell>
          <cell r="NA69">
            <v>157.41999999999999</v>
          </cell>
          <cell r="NB69">
            <v>560.97</v>
          </cell>
          <cell r="NC69">
            <v>57.3</v>
          </cell>
          <cell r="NE69">
            <v>408.2</v>
          </cell>
        </row>
        <row r="70">
          <cell r="A70">
            <v>44197</v>
          </cell>
          <cell r="B70">
            <v>1</v>
          </cell>
          <cell r="C70">
            <v>2021</v>
          </cell>
          <cell r="D70">
            <v>70</v>
          </cell>
          <cell r="E70">
            <v>44197</v>
          </cell>
          <cell r="F70">
            <v>90.23</v>
          </cell>
          <cell r="G70">
            <v>401.5</v>
          </cell>
          <cell r="H70">
            <v>42104.03</v>
          </cell>
          <cell r="I70">
            <v>76</v>
          </cell>
          <cell r="J70">
            <v>410</v>
          </cell>
          <cell r="K70">
            <v>3.3</v>
          </cell>
          <cell r="L70">
            <v>23.7</v>
          </cell>
          <cell r="N70">
            <v>1.571</v>
          </cell>
          <cell r="O70">
            <v>1.391</v>
          </cell>
          <cell r="P70">
            <v>126.94909850000001</v>
          </cell>
          <cell r="Q70">
            <v>2550</v>
          </cell>
          <cell r="R70">
            <v>25500</v>
          </cell>
          <cell r="S70">
            <v>213.06</v>
          </cell>
          <cell r="T70">
            <v>454.35</v>
          </cell>
          <cell r="U70">
            <v>204.215</v>
          </cell>
          <cell r="V70">
            <v>334.07499999999999</v>
          </cell>
          <cell r="W70">
            <v>201.2</v>
          </cell>
          <cell r="X70">
            <v>234.31333333333333</v>
          </cell>
          <cell r="Y70">
            <v>19224.4038</v>
          </cell>
          <cell r="Z70">
            <v>40996.000500000002</v>
          </cell>
          <cell r="AA70">
            <v>18426.319450000003</v>
          </cell>
          <cell r="AB70">
            <v>30143.58725</v>
          </cell>
          <cell r="AC70">
            <v>18154.275999999998</v>
          </cell>
          <cell r="AD70">
            <v>21142.092066666668</v>
          </cell>
          <cell r="AE70">
            <v>24681.113177777781</v>
          </cell>
          <cell r="AF70">
            <v>57721.15</v>
          </cell>
          <cell r="AG70">
            <v>24390</v>
          </cell>
          <cell r="AH70">
            <v>92690</v>
          </cell>
          <cell r="AI70">
            <v>22.5093</v>
          </cell>
          <cell r="AJ70">
            <v>22.327999999999999</v>
          </cell>
          <cell r="AK70">
            <v>20.951699999999999</v>
          </cell>
          <cell r="AL70">
            <v>18.058700000000002</v>
          </cell>
          <cell r="AM70">
            <v>21.028928000000001</v>
          </cell>
          <cell r="AN70">
            <v>120.41</v>
          </cell>
          <cell r="AO70">
            <v>82.07</v>
          </cell>
          <cell r="AP70">
            <v>101.24</v>
          </cell>
          <cell r="AQ70">
            <v>133.50349999999997</v>
          </cell>
          <cell r="AR70">
            <v>48.302500000000009</v>
          </cell>
          <cell r="AS70">
            <v>71.133499999999998</v>
          </cell>
          <cell r="AT70">
            <v>97.358500000000035</v>
          </cell>
          <cell r="AU70">
            <v>72.264833333333343</v>
          </cell>
          <cell r="AV70">
            <v>28.541666666666668</v>
          </cell>
          <cell r="AW70">
            <v>28.5</v>
          </cell>
          <cell r="AX70">
            <v>31.270999999999997</v>
          </cell>
          <cell r="AY70">
            <v>26.458500000000004</v>
          </cell>
          <cell r="AZ70">
            <v>24.981000000000002</v>
          </cell>
          <cell r="BA70">
            <v>38.097499999999997</v>
          </cell>
          <cell r="BB70">
            <v>30.201999999999998</v>
          </cell>
          <cell r="BC70">
            <v>2077</v>
          </cell>
          <cell r="BD70">
            <v>1520</v>
          </cell>
          <cell r="BE70">
            <v>1600</v>
          </cell>
          <cell r="BF70">
            <v>850</v>
          </cell>
          <cell r="BG70">
            <v>1511.75</v>
          </cell>
          <cell r="BH70">
            <v>127.93</v>
          </cell>
          <cell r="BI70">
            <v>61</v>
          </cell>
          <cell r="BJ70">
            <v>188.93</v>
          </cell>
          <cell r="BK70">
            <v>154.64500000000001</v>
          </cell>
          <cell r="BL70">
            <v>196.45</v>
          </cell>
          <cell r="BM70">
            <v>175.54750000000001</v>
          </cell>
          <cell r="BN70">
            <v>22.74</v>
          </cell>
          <cell r="BO70">
            <v>119.5325</v>
          </cell>
          <cell r="BP70">
            <v>68.7</v>
          </cell>
          <cell r="BQ70">
            <v>114.44925000000001</v>
          </cell>
          <cell r="BR70">
            <v>100.44</v>
          </cell>
          <cell r="BS70">
            <v>300</v>
          </cell>
          <cell r="BT70">
            <v>170.77</v>
          </cell>
          <cell r="BU70">
            <v>4112.3100000000004</v>
          </cell>
          <cell r="BV70">
            <v>225.5</v>
          </cell>
          <cell r="BW70">
            <v>225</v>
          </cell>
          <cell r="BY70">
            <v>735.44725663214786</v>
          </cell>
          <cell r="BZ70">
            <v>638.29788467848857</v>
          </cell>
          <cell r="CA70">
            <v>772.8372441453082</v>
          </cell>
          <cell r="CB70">
            <v>827.92237435317975</v>
          </cell>
          <cell r="CC70">
            <v>758.771512982285</v>
          </cell>
          <cell r="CD70">
            <v>811.32516462725835</v>
          </cell>
          <cell r="CE70">
            <v>736.1036647976124</v>
          </cell>
          <cell r="CF70">
            <v>793.45466748413287</v>
          </cell>
          <cell r="CG70">
            <v>783.40243806496289</v>
          </cell>
          <cell r="CH70">
            <v>789.52896130345005</v>
          </cell>
          <cell r="CI70">
            <v>676.01717261437375</v>
          </cell>
          <cell r="CJ70">
            <v>573.53379577004205</v>
          </cell>
          <cell r="CK70">
            <v>645.2139501634241</v>
          </cell>
          <cell r="CL70">
            <v>609.9736701938034</v>
          </cell>
          <cell r="CM70">
            <v>526.99889312812275</v>
          </cell>
          <cell r="CN70">
            <v>618.87818681247836</v>
          </cell>
          <cell r="CO70">
            <v>600.26617507445712</v>
          </cell>
          <cell r="CP70">
            <v>669.37582112888526</v>
          </cell>
          <cell r="CQ70">
            <v>602.84088750657338</v>
          </cell>
          <cell r="CR70">
            <v>617.71059592466906</v>
          </cell>
          <cell r="CS70">
            <v>610.27574171562128</v>
          </cell>
          <cell r="CT70">
            <v>669.36770876400726</v>
          </cell>
          <cell r="CU70">
            <v>596.54320934131454</v>
          </cell>
          <cell r="CV70">
            <v>625.97095106777908</v>
          </cell>
          <cell r="CW70">
            <v>625.97095106777908</v>
          </cell>
          <cell r="CX70">
            <v>616.16170382562416</v>
          </cell>
          <cell r="CY70">
            <v>563.82742645543078</v>
          </cell>
          <cell r="CZ70">
            <v>679.66660163096003</v>
          </cell>
          <cell r="DA70">
            <v>575.1175853990427</v>
          </cell>
          <cell r="DB70">
            <v>616.08975524644541</v>
          </cell>
          <cell r="DC70">
            <v>791.58169577744081</v>
          </cell>
          <cell r="DD70">
            <v>789.39041147116973</v>
          </cell>
          <cell r="DE70">
            <v>735.01470071091785</v>
          </cell>
          <cell r="DF70">
            <v>830.66399664709922</v>
          </cell>
          <cell r="DG70">
            <v>782.83934867900848</v>
          </cell>
          <cell r="DH70">
            <v>633.78916567279919</v>
          </cell>
          <cell r="DI70">
            <v>564.09621071854224</v>
          </cell>
          <cell r="DK70">
            <v>410000</v>
          </cell>
          <cell r="DL70" t="str">
            <v>2020-21</v>
          </cell>
          <cell r="DM70">
            <v>195000</v>
          </cell>
          <cell r="DN70" t="str">
            <v>2020-21</v>
          </cell>
          <cell r="DO70">
            <v>1250000</v>
          </cell>
          <cell r="DP70" t="str">
            <v>2020-21</v>
          </cell>
          <cell r="DQ70">
            <v>1400000</v>
          </cell>
          <cell r="DR70" t="str">
            <v>2020-21</v>
          </cell>
          <cell r="DS70">
            <v>6300000</v>
          </cell>
          <cell r="DT70" t="str">
            <v>2020-21</v>
          </cell>
          <cell r="DU70">
            <v>16900000</v>
          </cell>
          <cell r="DV70" t="str">
            <v>2020-21</v>
          </cell>
          <cell r="DW70">
            <v>800000</v>
          </cell>
          <cell r="DX70" t="str">
            <v>2020-21</v>
          </cell>
          <cell r="DY70">
            <v>6700000</v>
          </cell>
          <cell r="DZ70" t="str">
            <v>2020-21</v>
          </cell>
          <cell r="EA70">
            <v>33350000</v>
          </cell>
          <cell r="EB70">
            <v>390000</v>
          </cell>
          <cell r="EC70" t="str">
            <v>2020-21</v>
          </cell>
          <cell r="ED70">
            <v>191392</v>
          </cell>
          <cell r="EE70">
            <v>2021</v>
          </cell>
          <cell r="EF70">
            <v>211099</v>
          </cell>
          <cell r="EG70">
            <v>2021</v>
          </cell>
          <cell r="EH70">
            <v>53517534</v>
          </cell>
          <cell r="EI70">
            <v>2021</v>
          </cell>
          <cell r="EJ70">
            <v>5377072</v>
          </cell>
          <cell r="EK70">
            <v>2020</v>
          </cell>
          <cell r="EL70">
            <v>14571766</v>
          </cell>
          <cell r="EM70">
            <v>2020</v>
          </cell>
          <cell r="EN70">
            <v>3132657</v>
          </cell>
          <cell r="EO70">
            <v>2020</v>
          </cell>
          <cell r="EP70">
            <v>6552</v>
          </cell>
          <cell r="EQ70">
            <v>3366686</v>
          </cell>
          <cell r="ER70">
            <v>76133.333333333328</v>
          </cell>
          <cell r="ET70">
            <v>16000</v>
          </cell>
          <cell r="EU70">
            <v>19131</v>
          </cell>
          <cell r="EV70">
            <v>9000</v>
          </cell>
          <cell r="EW70">
            <v>17492</v>
          </cell>
          <cell r="EX70">
            <v>61623</v>
          </cell>
          <cell r="EY70">
            <v>19904</v>
          </cell>
          <cell r="EZ70">
            <v>80798</v>
          </cell>
          <cell r="FA70">
            <v>20331</v>
          </cell>
          <cell r="FB70">
            <v>17550</v>
          </cell>
          <cell r="FC70">
            <v>37881</v>
          </cell>
          <cell r="FD70">
            <v>59807.5</v>
          </cell>
          <cell r="FF70">
            <v>1100000</v>
          </cell>
          <cell r="FG70" t="str">
            <v>2019-20</v>
          </cell>
          <cell r="FH70">
            <v>1200000</v>
          </cell>
          <cell r="FI70" t="str">
            <v>2019-20</v>
          </cell>
          <cell r="FJ70">
            <v>4500000</v>
          </cell>
          <cell r="FK70" t="str">
            <v>2020-21</v>
          </cell>
          <cell r="FL70">
            <v>3300000</v>
          </cell>
          <cell r="FM70" t="str">
            <v>2019-20</v>
          </cell>
          <cell r="FN70">
            <v>46000000</v>
          </cell>
          <cell r="FO70" t="str">
            <v>2020-21</v>
          </cell>
          <cell r="FP70">
            <v>49000000</v>
          </cell>
          <cell r="FQ70" t="str">
            <v>2019-20</v>
          </cell>
          <cell r="FR70">
            <v>1850000</v>
          </cell>
          <cell r="FS70" t="str">
            <v>2019-20</v>
          </cell>
          <cell r="FT70">
            <v>17200000</v>
          </cell>
          <cell r="FU70" t="str">
            <v>2020-21</v>
          </cell>
          <cell r="FV70">
            <v>121850000</v>
          </cell>
          <cell r="FW70">
            <v>1394794</v>
          </cell>
          <cell r="FX70" t="str">
            <v>2019-20</v>
          </cell>
          <cell r="FY70">
            <v>13346</v>
          </cell>
          <cell r="FZ70">
            <v>802661.84</v>
          </cell>
          <cell r="GA70" t="str">
            <v>feb20 ene21</v>
          </cell>
          <cell r="GB70">
            <v>22248266</v>
          </cell>
          <cell r="GC70">
            <v>2021</v>
          </cell>
          <cell r="GD70">
            <v>2015989</v>
          </cell>
          <cell r="GE70">
            <v>421371</v>
          </cell>
          <cell r="GF70">
            <v>1038163</v>
          </cell>
          <cell r="GG70">
            <v>89478</v>
          </cell>
          <cell r="GH70">
            <v>1549012</v>
          </cell>
          <cell r="GI70">
            <v>1302556</v>
          </cell>
          <cell r="GJ70">
            <v>600000</v>
          </cell>
          <cell r="GK70">
            <v>1362000</v>
          </cell>
          <cell r="GL70">
            <v>300000</v>
          </cell>
          <cell r="GM70">
            <v>261011.3</v>
          </cell>
          <cell r="GN70">
            <v>2523011.2999999998</v>
          </cell>
          <cell r="GO70">
            <v>199477</v>
          </cell>
          <cell r="GP70">
            <v>72919</v>
          </cell>
          <cell r="GQ70">
            <v>165258</v>
          </cell>
          <cell r="GR70">
            <v>44610</v>
          </cell>
          <cell r="GS70">
            <v>49567.74</v>
          </cell>
          <cell r="GT70">
            <v>2871705.88</v>
          </cell>
          <cell r="GU70">
            <v>28162</v>
          </cell>
          <cell r="GV70">
            <v>19891</v>
          </cell>
          <cell r="GW70">
            <v>1200206</v>
          </cell>
          <cell r="GX70">
            <v>37480.696000000004</v>
          </cell>
          <cell r="GY70" t="str">
            <v>2020-2021</v>
          </cell>
          <cell r="GZ70">
            <v>97886.411999999997</v>
          </cell>
          <cell r="HA70">
            <v>224897</v>
          </cell>
          <cell r="HB70">
            <v>3104225</v>
          </cell>
          <cell r="HC70" t="str">
            <v>feb20 ene21</v>
          </cell>
          <cell r="HD70">
            <v>50617</v>
          </cell>
          <cell r="HE70">
            <v>655177</v>
          </cell>
          <cell r="HF70" t="str">
            <v>feb20 ene21</v>
          </cell>
          <cell r="HG70">
            <v>166000</v>
          </cell>
          <cell r="HH70">
            <v>2192000</v>
          </cell>
          <cell r="HI70" t="str">
            <v>feb20 ene21</v>
          </cell>
          <cell r="HJ70">
            <v>94675</v>
          </cell>
          <cell r="HK70">
            <v>56226.720000000001</v>
          </cell>
          <cell r="HL70" t="str">
            <v>feb20 ene21</v>
          </cell>
          <cell r="HM70">
            <v>2248226.7200000002</v>
          </cell>
          <cell r="HN70">
            <v>7.677188114232858E-2</v>
          </cell>
          <cell r="HO70">
            <v>931300000</v>
          </cell>
          <cell r="HP70">
            <v>11179.7</v>
          </cell>
          <cell r="HQ70" t="str">
            <v>feb20 ene21</v>
          </cell>
          <cell r="HU70">
            <v>650000</v>
          </cell>
          <cell r="HV70" t="str">
            <v>2019-20</v>
          </cell>
          <cell r="HW70">
            <v>1510000</v>
          </cell>
          <cell r="HX70" t="str">
            <v>2021-22</v>
          </cell>
          <cell r="HY70">
            <v>3190000</v>
          </cell>
          <cell r="HZ70" t="str">
            <v>2020-21</v>
          </cell>
          <cell r="IA70">
            <v>21140000</v>
          </cell>
          <cell r="IB70" t="str">
            <v>2019-20</v>
          </cell>
          <cell r="IC70">
            <v>41400000</v>
          </cell>
          <cell r="ID70" t="str">
            <v>2019-20</v>
          </cell>
          <cell r="IE70">
            <v>1000000</v>
          </cell>
          <cell r="IF70" t="str">
            <v>2019-20</v>
          </cell>
          <cell r="IG70">
            <v>7200000</v>
          </cell>
          <cell r="IH70" t="str">
            <v>2021-22</v>
          </cell>
          <cell r="II70">
            <v>75440000</v>
          </cell>
          <cell r="IJ70">
            <v>1.9073407006405101</v>
          </cell>
          <cell r="IK70" t="str">
            <v>2019-20</v>
          </cell>
          <cell r="IL70">
            <v>39.9</v>
          </cell>
          <cell r="IM70">
            <v>40.82</v>
          </cell>
          <cell r="IN70">
            <v>188.6</v>
          </cell>
          <cell r="IO70">
            <v>14.41</v>
          </cell>
          <cell r="IP70">
            <v>6.1006169215414161</v>
          </cell>
          <cell r="IQ70">
            <v>18.2</v>
          </cell>
          <cell r="IR70">
            <v>5.93</v>
          </cell>
          <cell r="IS70">
            <v>5.67</v>
          </cell>
          <cell r="IT70">
            <v>13.17</v>
          </cell>
          <cell r="IU70">
            <v>1.55</v>
          </cell>
          <cell r="IV70">
            <v>20.39</v>
          </cell>
          <cell r="IY70">
            <v>1.86</v>
          </cell>
          <cell r="IZ70">
            <v>0.3</v>
          </cell>
          <cell r="JA70">
            <v>2812</v>
          </cell>
          <cell r="JF70">
            <v>4.4444976800000022</v>
          </cell>
          <cell r="JG70">
            <v>12.888986790000001</v>
          </cell>
          <cell r="JH70">
            <v>109.99933886000001</v>
          </cell>
          <cell r="JI70">
            <v>53.758054790000003</v>
          </cell>
          <cell r="JJ70">
            <v>478.07631371000008</v>
          </cell>
          <cell r="JK70">
            <v>86.914604609999998</v>
          </cell>
          <cell r="JL70">
            <v>2267.7138709999999</v>
          </cell>
          <cell r="JM70">
            <v>1.0241973</v>
          </cell>
          <cell r="JN70">
            <v>569.06285874999992</v>
          </cell>
          <cell r="JO70">
            <v>20.357452959999996</v>
          </cell>
          <cell r="JP70">
            <v>0</v>
          </cell>
          <cell r="JQ70">
            <v>0.64360976999999997</v>
          </cell>
          <cell r="JR70">
            <v>1.11376454</v>
          </cell>
          <cell r="JS70">
            <v>0</v>
          </cell>
          <cell r="JT70">
            <v>0.85850099999999996</v>
          </cell>
          <cell r="JU70">
            <v>64.62965508000002</v>
          </cell>
          <cell r="JV70">
            <v>4.8666657500000001</v>
          </cell>
          <cell r="JW70">
            <v>12.366792269999998</v>
          </cell>
          <cell r="JX70">
            <v>8.2663877899999996</v>
          </cell>
          <cell r="JY70">
            <v>0</v>
          </cell>
          <cell r="JZ70">
            <v>1.1064788100000003</v>
          </cell>
          <cell r="KA70">
            <v>8.7499999999999994E-2</v>
          </cell>
          <cell r="KB70">
            <v>25.058323600000001</v>
          </cell>
          <cell r="KC70">
            <v>13.882031089999998</v>
          </cell>
          <cell r="KD70">
            <v>4.7207457799999997</v>
          </cell>
          <cell r="KE70">
            <v>12.083271440000001</v>
          </cell>
          <cell r="KF70">
            <v>36.65627082999999</v>
          </cell>
          <cell r="KG70">
            <v>288.33975021999993</v>
          </cell>
          <cell r="KH70">
            <v>157.42332673000001</v>
          </cell>
          <cell r="KI70">
            <v>18.839075780000002</v>
          </cell>
          <cell r="KJ70">
            <v>6.7393640899999987</v>
          </cell>
          <cell r="KK70">
            <v>5.8795776399999999</v>
          </cell>
          <cell r="KL70">
            <v>0.20815128999999999</v>
          </cell>
          <cell r="KM70">
            <v>3.1464762399999997</v>
          </cell>
          <cell r="KN70">
            <v>3.2449840000000001E-2</v>
          </cell>
          <cell r="KO70">
            <v>0.26687994999999998</v>
          </cell>
          <cell r="KP70">
            <v>0</v>
          </cell>
          <cell r="KQ70">
            <v>31.423224390000005</v>
          </cell>
          <cell r="KR70">
            <v>0</v>
          </cell>
          <cell r="KS70">
            <v>3.1178199999999999E-3</v>
          </cell>
          <cell r="KT70">
            <v>0.69878229999999997</v>
          </cell>
          <cell r="KU70">
            <v>0.53379935000000001</v>
          </cell>
          <cell r="KV70">
            <v>1.081143E-2</v>
          </cell>
          <cell r="KW70">
            <v>1.4455942500000001</v>
          </cell>
          <cell r="KX70">
            <v>0</v>
          </cell>
          <cell r="KY70">
            <v>0</v>
          </cell>
          <cell r="KZ70">
            <v>0.53333410999999997</v>
          </cell>
          <cell r="LA70">
            <v>0.78198513000000003</v>
          </cell>
          <cell r="LB70">
            <v>0</v>
          </cell>
          <cell r="LC70">
            <v>0.50501131999999993</v>
          </cell>
          <cell r="LD70">
            <v>0</v>
          </cell>
          <cell r="LE70">
            <v>1.6485917999999999</v>
          </cell>
          <cell r="LF70">
            <v>0.23501552000000001</v>
          </cell>
          <cell r="LG70">
            <v>14.843761429999999</v>
          </cell>
          <cell r="LH70">
            <v>3.9505363400000002</v>
          </cell>
          <cell r="LI70">
            <v>2.1178164000000002</v>
          </cell>
          <cell r="LJ70">
            <v>1.19999E-3</v>
          </cell>
          <cell r="LK70">
            <v>3.5959555700000001</v>
          </cell>
          <cell r="LL70">
            <v>5.66306273</v>
          </cell>
          <cell r="LM70">
            <v>0.63756142000000005</v>
          </cell>
          <cell r="LN70">
            <v>0.52902473000000005</v>
          </cell>
          <cell r="LO70">
            <v>9.0364930799999996</v>
          </cell>
          <cell r="LQ70">
            <v>3479.6346344100002</v>
          </cell>
          <cell r="LR70">
            <v>2.6158753099999998</v>
          </cell>
          <cell r="LS70">
            <v>17.233458019999997</v>
          </cell>
          <cell r="LT70">
            <v>1.1939788100000002</v>
          </cell>
          <cell r="LU70">
            <v>34.872148240000001</v>
          </cell>
          <cell r="LV70">
            <v>1.45640568</v>
          </cell>
          <cell r="LW70">
            <v>0.78198513000000003</v>
          </cell>
          <cell r="LX70">
            <v>1.8836073199999999</v>
          </cell>
          <cell r="LZ70">
            <v>88.93</v>
          </cell>
          <cell r="MA70">
            <v>81.53</v>
          </cell>
          <cell r="MH70">
            <v>145.61000000000001</v>
          </cell>
          <cell r="MI70">
            <v>43.62</v>
          </cell>
          <cell r="MJ70">
            <v>59.7</v>
          </cell>
          <cell r="ML70">
            <v>62.6</v>
          </cell>
          <cell r="MM70">
            <v>51.75</v>
          </cell>
          <cell r="MO70">
            <v>77.599999999999994</v>
          </cell>
          <cell r="MP70">
            <v>79.48</v>
          </cell>
          <cell r="MQ70">
            <v>201.39</v>
          </cell>
          <cell r="MU70">
            <v>90.47</v>
          </cell>
          <cell r="MY70">
            <v>146.79</v>
          </cell>
          <cell r="MZ70">
            <v>395</v>
          </cell>
          <cell r="NA70">
            <v>163.47999999999999</v>
          </cell>
          <cell r="NB70">
            <v>604.07000000000005</v>
          </cell>
          <cell r="NC70">
            <v>58</v>
          </cell>
          <cell r="NE70">
            <v>413.35</v>
          </cell>
        </row>
        <row r="71">
          <cell r="A71">
            <v>44228</v>
          </cell>
          <cell r="B71">
            <v>2</v>
          </cell>
          <cell r="C71">
            <v>2021</v>
          </cell>
          <cell r="D71">
            <v>71</v>
          </cell>
          <cell r="E71">
            <v>44228</v>
          </cell>
          <cell r="F71">
            <v>93.52</v>
          </cell>
          <cell r="G71">
            <v>415.85950000000003</v>
          </cell>
          <cell r="H71">
            <v>42104.03</v>
          </cell>
          <cell r="I71">
            <v>81</v>
          </cell>
          <cell r="J71">
            <v>510</v>
          </cell>
          <cell r="K71">
            <v>3.3</v>
          </cell>
          <cell r="L71">
            <v>23</v>
          </cell>
          <cell r="N71">
            <v>1.6850000000000001</v>
          </cell>
          <cell r="O71">
            <v>1.53</v>
          </cell>
          <cell r="P71">
            <v>142.81672999999998</v>
          </cell>
          <cell r="Q71">
            <v>2550</v>
          </cell>
          <cell r="R71">
            <v>25500</v>
          </cell>
          <cell r="S71">
            <v>222.42</v>
          </cell>
          <cell r="T71">
            <v>455</v>
          </cell>
          <cell r="U71">
            <v>204.43333333333331</v>
          </cell>
          <cell r="V71">
            <v>325.34444444444438</v>
          </cell>
          <cell r="W71">
            <v>206.48</v>
          </cell>
          <cell r="X71">
            <v>201.125</v>
          </cell>
          <cell r="Y71">
            <v>20800.718399999998</v>
          </cell>
          <cell r="Z71">
            <v>42551.6</v>
          </cell>
          <cell r="AA71">
            <v>19118.605333333329</v>
          </cell>
          <cell r="AB71">
            <v>30426.212444444438</v>
          </cell>
          <cell r="AC71">
            <v>19310.009599999998</v>
          </cell>
          <cell r="AD71">
            <v>18809.21</v>
          </cell>
          <cell r="AE71">
            <v>25169.392629629627</v>
          </cell>
          <cell r="AF71">
            <v>60369.75294117647</v>
          </cell>
          <cell r="AG71">
            <v>24390</v>
          </cell>
          <cell r="AH71">
            <v>92690</v>
          </cell>
          <cell r="AI71">
            <v>23.159600000000001</v>
          </cell>
          <cell r="AJ71">
            <v>20.510300000000001</v>
          </cell>
          <cell r="AK71">
            <v>22.546299999999999</v>
          </cell>
          <cell r="AL71">
            <v>17.3553</v>
          </cell>
          <cell r="AM71">
            <v>21.501138000000005</v>
          </cell>
          <cell r="AN71">
            <v>129.27000000000001</v>
          </cell>
          <cell r="AO71">
            <v>79.150000000000006</v>
          </cell>
          <cell r="AP71">
            <v>104.21000000000001</v>
          </cell>
          <cell r="AQ71">
            <v>96.764736842105293</v>
          </cell>
          <cell r="AR71">
            <v>81.635000000000005</v>
          </cell>
          <cell r="AS71">
            <v>87.742631578947382</v>
          </cell>
          <cell r="AT71">
            <v>115.07210526315791</v>
          </cell>
          <cell r="AU71">
            <v>94.816578947368427</v>
          </cell>
          <cell r="AV71">
            <v>24.649137931034492</v>
          </cell>
          <cell r="AW71">
            <v>27.268421052631581</v>
          </cell>
          <cell r="AX71">
            <v>32.42526315789474</v>
          </cell>
          <cell r="AY71">
            <v>43.748421052631585</v>
          </cell>
          <cell r="AZ71">
            <v>26.908421052631585</v>
          </cell>
          <cell r="BA71">
            <v>25.469473684210527</v>
          </cell>
          <cell r="BB71">
            <v>32.137894736842107</v>
          </cell>
          <cell r="BC71">
            <v>2261</v>
          </cell>
          <cell r="BD71">
            <v>1520</v>
          </cell>
          <cell r="BE71">
            <v>1600</v>
          </cell>
          <cell r="BF71">
            <v>850</v>
          </cell>
          <cell r="BG71">
            <v>1557.75</v>
          </cell>
          <cell r="BH71">
            <v>127.93</v>
          </cell>
          <cell r="BI71">
            <v>61</v>
          </cell>
          <cell r="BJ71">
            <v>188.93</v>
          </cell>
          <cell r="BK71">
            <v>164.554</v>
          </cell>
          <cell r="BL71">
            <v>207.68</v>
          </cell>
          <cell r="BM71">
            <v>186.11700000000002</v>
          </cell>
          <cell r="BN71">
            <v>24.2</v>
          </cell>
          <cell r="BO71">
            <v>121.19166666666666</v>
          </cell>
          <cell r="BP71">
            <v>66.39</v>
          </cell>
          <cell r="BQ71">
            <v>115.7115</v>
          </cell>
          <cell r="BR71">
            <v>120.07</v>
          </cell>
          <cell r="BS71">
            <v>310</v>
          </cell>
          <cell r="BT71">
            <v>154.30799999999999</v>
          </cell>
          <cell r="BU71">
            <v>4182.924</v>
          </cell>
          <cell r="BV71">
            <v>259.8</v>
          </cell>
          <cell r="BW71">
            <v>250</v>
          </cell>
          <cell r="BY71">
            <v>791.49500504011121</v>
          </cell>
          <cell r="BZ71">
            <v>682.93472982547405</v>
          </cell>
          <cell r="CA71">
            <v>816.36124039337369</v>
          </cell>
          <cell r="CB71">
            <v>858.24519641339771</v>
          </cell>
          <cell r="CC71">
            <v>788.71521611446133</v>
          </cell>
          <cell r="CD71">
            <v>834.74220436999713</v>
          </cell>
          <cell r="CE71">
            <v>774.48530756107539</v>
          </cell>
          <cell r="CF71">
            <v>797.95242269851929</v>
          </cell>
          <cell r="CG71">
            <v>811.75026459180401</v>
          </cell>
          <cell r="CH71">
            <v>825.95852667660415</v>
          </cell>
          <cell r="CI71">
            <v>702.35028181874702</v>
          </cell>
          <cell r="CJ71">
            <v>587.61203767700249</v>
          </cell>
          <cell r="CK71">
            <v>682.07296077138244</v>
          </cell>
          <cell r="CL71">
            <v>706.42921681945711</v>
          </cell>
          <cell r="CM71">
            <v>551.10375406766104</v>
          </cell>
          <cell r="CN71">
            <v>586.58053478633769</v>
          </cell>
          <cell r="CO71">
            <v>631.54661661120963</v>
          </cell>
          <cell r="CP71">
            <v>697.38443021132775</v>
          </cell>
          <cell r="CQ71">
            <v>633.1959961674537</v>
          </cell>
          <cell r="CR71">
            <v>635.59960945816374</v>
          </cell>
          <cell r="CS71">
            <v>634.39780281280878</v>
          </cell>
          <cell r="CT71">
            <v>650.33383171202934</v>
          </cell>
          <cell r="CU71">
            <v>672.25029153126036</v>
          </cell>
          <cell r="CV71">
            <v>678.49845367898797</v>
          </cell>
          <cell r="CW71">
            <v>678.49845367898797</v>
          </cell>
          <cell r="CX71">
            <v>676.41573296307877</v>
          </cell>
          <cell r="CY71">
            <v>575.23507370030882</v>
          </cell>
          <cell r="CZ71">
            <v>712.59777024552375</v>
          </cell>
          <cell r="DA71">
            <v>595.29997069894307</v>
          </cell>
          <cell r="DB71">
            <v>651.14801033678873</v>
          </cell>
          <cell r="DC71">
            <v>826.17528377538929</v>
          </cell>
          <cell r="DD71">
            <v>825.13879193975049</v>
          </cell>
          <cell r="DE71">
            <v>758.02169727058538</v>
          </cell>
          <cell r="DF71">
            <v>858.96835424544622</v>
          </cell>
          <cell r="DG71">
            <v>808.4950257580158</v>
          </cell>
          <cell r="DH71">
            <v>671.3844127215026</v>
          </cell>
          <cell r="DI71">
            <v>578.04266028272082</v>
          </cell>
          <cell r="DK71">
            <v>410000</v>
          </cell>
          <cell r="DL71" t="str">
            <v>2020-21</v>
          </cell>
          <cell r="DM71">
            <v>195000</v>
          </cell>
          <cell r="DN71" t="str">
            <v>2020-21</v>
          </cell>
          <cell r="DO71">
            <v>1250000</v>
          </cell>
          <cell r="DP71" t="str">
            <v>2020-21</v>
          </cell>
          <cell r="DQ71">
            <v>1400000</v>
          </cell>
          <cell r="DR71" t="str">
            <v>2020-21</v>
          </cell>
          <cell r="DS71">
            <v>6300000</v>
          </cell>
          <cell r="DT71" t="str">
            <v>2020-21</v>
          </cell>
          <cell r="DU71">
            <v>17000000</v>
          </cell>
          <cell r="DV71" t="str">
            <v>2020-21</v>
          </cell>
          <cell r="DW71">
            <v>800000</v>
          </cell>
          <cell r="DX71" t="str">
            <v>2020-21</v>
          </cell>
          <cell r="DY71">
            <v>6700000</v>
          </cell>
          <cell r="DZ71" t="str">
            <v>2020-21</v>
          </cell>
          <cell r="EA71">
            <v>33450000</v>
          </cell>
          <cell r="EB71">
            <v>390000</v>
          </cell>
          <cell r="EC71" t="str">
            <v>2020-21</v>
          </cell>
          <cell r="ED71">
            <v>191392</v>
          </cell>
          <cell r="EE71">
            <v>2021</v>
          </cell>
          <cell r="EF71">
            <v>211099</v>
          </cell>
          <cell r="EG71">
            <v>2021</v>
          </cell>
          <cell r="EH71">
            <v>53517534</v>
          </cell>
          <cell r="EI71">
            <v>2021</v>
          </cell>
          <cell r="EJ71">
            <v>5377073</v>
          </cell>
          <cell r="EK71">
            <v>2020</v>
          </cell>
          <cell r="EL71">
            <v>14571766</v>
          </cell>
          <cell r="EM71">
            <v>2020</v>
          </cell>
          <cell r="EN71">
            <v>3132657</v>
          </cell>
          <cell r="EO71">
            <v>2020</v>
          </cell>
          <cell r="EP71">
            <v>6552</v>
          </cell>
          <cell r="EQ71">
            <v>3366686</v>
          </cell>
          <cell r="ER71">
            <v>76133.333333333328</v>
          </cell>
          <cell r="ET71">
            <v>16000</v>
          </cell>
          <cell r="EU71">
            <v>19131</v>
          </cell>
          <cell r="EV71">
            <v>9000</v>
          </cell>
          <cell r="EW71">
            <v>17492</v>
          </cell>
          <cell r="EX71">
            <v>61623</v>
          </cell>
          <cell r="EY71">
            <v>19904</v>
          </cell>
          <cell r="EZ71">
            <v>80798</v>
          </cell>
          <cell r="FA71">
            <v>20331</v>
          </cell>
          <cell r="FB71">
            <v>17550</v>
          </cell>
          <cell r="FC71">
            <v>37881</v>
          </cell>
          <cell r="FD71">
            <v>59807.5</v>
          </cell>
          <cell r="FF71">
            <v>1100000</v>
          </cell>
          <cell r="FG71" t="str">
            <v>2019-20</v>
          </cell>
          <cell r="FH71">
            <v>1200000</v>
          </cell>
          <cell r="FI71" t="str">
            <v>2019-20</v>
          </cell>
          <cell r="FJ71">
            <v>4500000</v>
          </cell>
          <cell r="FK71" t="str">
            <v>2020-21</v>
          </cell>
          <cell r="FL71">
            <v>3300000</v>
          </cell>
          <cell r="FM71" t="str">
            <v>2020-21</v>
          </cell>
          <cell r="FN71">
            <v>45000000</v>
          </cell>
          <cell r="FO71" t="str">
            <v>2020-21</v>
          </cell>
          <cell r="FP71">
            <v>49000000</v>
          </cell>
          <cell r="FQ71" t="str">
            <v>2019-20</v>
          </cell>
          <cell r="FR71">
            <v>1850000</v>
          </cell>
          <cell r="FS71" t="str">
            <v>2019-20</v>
          </cell>
          <cell r="FT71">
            <v>17600000</v>
          </cell>
          <cell r="FU71" t="str">
            <v>2020-21</v>
          </cell>
          <cell r="FV71">
            <v>121250000</v>
          </cell>
          <cell r="FW71">
            <v>1394794</v>
          </cell>
          <cell r="FX71" t="str">
            <v>2019-20</v>
          </cell>
          <cell r="FY71">
            <v>33945</v>
          </cell>
          <cell r="FZ71">
            <v>799257.84</v>
          </cell>
          <cell r="GA71" t="str">
            <v>mar20 feb21</v>
          </cell>
          <cell r="GB71">
            <v>22248266</v>
          </cell>
          <cell r="GC71">
            <v>2021</v>
          </cell>
          <cell r="GD71">
            <v>2015989</v>
          </cell>
          <cell r="GE71">
            <v>421371</v>
          </cell>
          <cell r="GF71">
            <v>1038163</v>
          </cell>
          <cell r="GG71">
            <v>89478</v>
          </cell>
          <cell r="GH71">
            <v>1549012</v>
          </cell>
          <cell r="GI71">
            <v>1302556</v>
          </cell>
          <cell r="GJ71">
            <v>600000</v>
          </cell>
          <cell r="GK71">
            <v>1362000</v>
          </cell>
          <cell r="GL71">
            <v>300000</v>
          </cell>
          <cell r="GM71">
            <v>261011.3</v>
          </cell>
          <cell r="GN71">
            <v>2523011.2999999998</v>
          </cell>
          <cell r="GO71">
            <v>199477</v>
          </cell>
          <cell r="GP71">
            <v>72919</v>
          </cell>
          <cell r="GQ71">
            <v>138454</v>
          </cell>
          <cell r="GR71">
            <v>44610</v>
          </cell>
          <cell r="GS71">
            <v>48763.62</v>
          </cell>
          <cell r="GT71">
            <v>2871705.88</v>
          </cell>
          <cell r="GU71">
            <v>106056</v>
          </cell>
          <cell r="GV71">
            <v>32300</v>
          </cell>
          <cell r="GW71">
            <v>1171977</v>
          </cell>
          <cell r="GX71">
            <v>37480.696000000004</v>
          </cell>
          <cell r="GY71" t="str">
            <v>2020-2021</v>
          </cell>
          <cell r="GZ71">
            <v>97886.411999999997</v>
          </cell>
          <cell r="HA71">
            <v>223000</v>
          </cell>
          <cell r="HB71">
            <v>3103225</v>
          </cell>
          <cell r="HC71" t="str">
            <v>mar20 feb21</v>
          </cell>
          <cell r="HD71">
            <v>50342</v>
          </cell>
          <cell r="HE71">
            <v>657726</v>
          </cell>
          <cell r="HF71" t="str">
            <v>mar20 feb21</v>
          </cell>
          <cell r="HG71">
            <v>154000</v>
          </cell>
          <cell r="HH71">
            <v>2179000</v>
          </cell>
          <cell r="HI71" t="str">
            <v>mar20 feb21</v>
          </cell>
          <cell r="HJ71">
            <v>75888</v>
          </cell>
          <cell r="HK71">
            <v>56593.440000000002</v>
          </cell>
          <cell r="HL71" t="str">
            <v>mar20 feb21</v>
          </cell>
          <cell r="HM71">
            <v>2235593.44</v>
          </cell>
          <cell r="HN71">
            <v>2.0617219917012486E-2</v>
          </cell>
          <cell r="HO71">
            <v>787100000</v>
          </cell>
          <cell r="HP71">
            <v>11195.6</v>
          </cell>
          <cell r="HQ71" t="str">
            <v>mar20 feb21</v>
          </cell>
          <cell r="HU71">
            <v>650000</v>
          </cell>
          <cell r="HV71" t="str">
            <v>2019-20</v>
          </cell>
          <cell r="HW71">
            <v>1510000</v>
          </cell>
          <cell r="HX71" t="str">
            <v>2021-22</v>
          </cell>
          <cell r="HY71">
            <v>3190000</v>
          </cell>
          <cell r="HZ71" t="str">
            <v>2020-21</v>
          </cell>
          <cell r="IA71">
            <v>21410000</v>
          </cell>
          <cell r="IB71" t="str">
            <v>2020-21</v>
          </cell>
          <cell r="IC71">
            <v>41400000</v>
          </cell>
          <cell r="ID71" t="str">
            <v>2019-20</v>
          </cell>
          <cell r="IE71">
            <v>1000000</v>
          </cell>
          <cell r="IF71" t="str">
            <v>2019-20</v>
          </cell>
          <cell r="IG71">
            <v>7200000</v>
          </cell>
          <cell r="IH71" t="str">
            <v>2021-22</v>
          </cell>
          <cell r="II71">
            <v>75710000</v>
          </cell>
          <cell r="IJ71">
            <v>1.9073407006405101</v>
          </cell>
          <cell r="IK71" t="str">
            <v>2019-20</v>
          </cell>
          <cell r="IL71">
            <v>40.04</v>
          </cell>
          <cell r="IM71">
            <v>45.54</v>
          </cell>
          <cell r="IN71">
            <v>188.6</v>
          </cell>
          <cell r="IO71">
            <v>14.53</v>
          </cell>
          <cell r="IP71">
            <v>6.1006169215414161</v>
          </cell>
          <cell r="IQ71">
            <v>18.2</v>
          </cell>
          <cell r="IR71">
            <v>5.93</v>
          </cell>
          <cell r="IS71">
            <v>5.67</v>
          </cell>
          <cell r="IT71">
            <v>13.17</v>
          </cell>
          <cell r="IU71">
            <v>1.55</v>
          </cell>
          <cell r="IV71">
            <v>20.39</v>
          </cell>
          <cell r="IY71">
            <v>1.86</v>
          </cell>
          <cell r="IZ71">
            <v>0.3</v>
          </cell>
          <cell r="JA71">
            <v>2813</v>
          </cell>
          <cell r="JF71">
            <v>10.05654614</v>
          </cell>
          <cell r="JG71">
            <v>12.189730310000002</v>
          </cell>
          <cell r="JH71">
            <v>130.36039815000001</v>
          </cell>
          <cell r="JI71">
            <v>78.649009329999984</v>
          </cell>
          <cell r="JJ71">
            <v>286.71248238999993</v>
          </cell>
          <cell r="JK71">
            <v>98.255405109999998</v>
          </cell>
          <cell r="JL71">
            <v>2371.8134552800002</v>
          </cell>
          <cell r="JM71">
            <v>0.84070519999999993</v>
          </cell>
          <cell r="JN71">
            <v>550.10306810999987</v>
          </cell>
          <cell r="JO71">
            <v>19.720261569999998</v>
          </cell>
          <cell r="JP71">
            <v>0</v>
          </cell>
          <cell r="JQ71">
            <v>2.5161780499999997</v>
          </cell>
          <cell r="JR71">
            <v>1.1778370300000001</v>
          </cell>
          <cell r="JS71">
            <v>0</v>
          </cell>
          <cell r="JT71">
            <v>0.69120945999999994</v>
          </cell>
          <cell r="JU71">
            <v>72.034941490000008</v>
          </cell>
          <cell r="JV71">
            <v>7.6761245900000006</v>
          </cell>
          <cell r="JW71">
            <v>41.036492810000006</v>
          </cell>
          <cell r="JX71">
            <v>8.7030926000000015</v>
          </cell>
          <cell r="JY71">
            <v>0</v>
          </cell>
          <cell r="JZ71">
            <v>0.93735780000000002</v>
          </cell>
          <cell r="KA71">
            <v>0.10249999999999999</v>
          </cell>
          <cell r="KB71">
            <v>23.675136080000005</v>
          </cell>
          <cell r="KC71">
            <v>21.699005200000002</v>
          </cell>
          <cell r="KD71">
            <v>9.9533570599999983</v>
          </cell>
          <cell r="KE71">
            <v>19.58702134</v>
          </cell>
          <cell r="KF71">
            <v>30.518568050000003</v>
          </cell>
          <cell r="KG71">
            <v>276.21356580999998</v>
          </cell>
          <cell r="KH71">
            <v>101.20607356999999</v>
          </cell>
          <cell r="KI71">
            <v>29.10492283</v>
          </cell>
          <cell r="KJ71">
            <v>7.5020628099999982</v>
          </cell>
          <cell r="KK71">
            <v>6.7706235200000027</v>
          </cell>
          <cell r="KL71">
            <v>6.8539130000000004E-2</v>
          </cell>
          <cell r="KM71">
            <v>4.2958892300000002</v>
          </cell>
          <cell r="KN71">
            <v>3.7286999999999997E-4</v>
          </cell>
          <cell r="KO71">
            <v>0.16095712000000001</v>
          </cell>
          <cell r="KP71">
            <v>3.9928799999999999E-3</v>
          </cell>
          <cell r="KQ71">
            <v>12.72793851</v>
          </cell>
          <cell r="KR71">
            <v>0</v>
          </cell>
          <cell r="KS71">
            <v>3.5095169999999995E-2</v>
          </cell>
          <cell r="KT71">
            <v>0.77479954000000006</v>
          </cell>
          <cell r="KU71">
            <v>0.26706852000000003</v>
          </cell>
          <cell r="KV71">
            <v>5.6546599999999997E-3</v>
          </cell>
          <cell r="KW71">
            <v>0.99296868999999988</v>
          </cell>
          <cell r="KX71">
            <v>0</v>
          </cell>
          <cell r="KY71">
            <v>0</v>
          </cell>
          <cell r="KZ71">
            <v>0.58092498000000004</v>
          </cell>
          <cell r="LA71">
            <v>0.64185830999999993</v>
          </cell>
          <cell r="LB71">
            <v>0</v>
          </cell>
          <cell r="LC71">
            <v>0.50010718999999992</v>
          </cell>
          <cell r="LD71">
            <v>0</v>
          </cell>
          <cell r="LE71">
            <v>2.3188508799999998</v>
          </cell>
          <cell r="LF71">
            <v>0.32247816000000001</v>
          </cell>
          <cell r="LG71">
            <v>13.893276139999998</v>
          </cell>
          <cell r="LH71">
            <v>6.2632844699999994</v>
          </cell>
          <cell r="LI71">
            <v>2.90712927</v>
          </cell>
          <cell r="LJ71">
            <v>0</v>
          </cell>
          <cell r="LK71">
            <v>1.3608959</v>
          </cell>
          <cell r="LL71">
            <v>3.3646967399999994</v>
          </cell>
          <cell r="LM71">
            <v>1.5596798700000001</v>
          </cell>
          <cell r="LN71">
            <v>0.35294348000000003</v>
          </cell>
          <cell r="LO71">
            <v>7.4128681899999993</v>
          </cell>
          <cell r="LQ71">
            <v>3418.4791184599999</v>
          </cell>
          <cell r="LR71">
            <v>4.3852245399999994</v>
          </cell>
          <cell r="LS71">
            <v>48.712617400000006</v>
          </cell>
          <cell r="LT71">
            <v>1.0398578000000001</v>
          </cell>
          <cell r="LU71">
            <v>17.220252900000002</v>
          </cell>
          <cell r="LV71">
            <v>0.99862334999999991</v>
          </cell>
          <cell r="LW71">
            <v>0.64185830999999993</v>
          </cell>
          <cell r="LX71">
            <v>2.64132904</v>
          </cell>
          <cell r="LZ71">
            <v>89.07</v>
          </cell>
          <cell r="MA71">
            <v>81.61</v>
          </cell>
          <cell r="MH71">
            <v>151.12</v>
          </cell>
          <cell r="MI71">
            <v>45.06</v>
          </cell>
          <cell r="MJ71">
            <v>59.67</v>
          </cell>
          <cell r="ML71">
            <v>71.819999999999993</v>
          </cell>
          <cell r="MM71">
            <v>70.81</v>
          </cell>
          <cell r="MO71">
            <v>65.3</v>
          </cell>
          <cell r="MP71">
            <v>86.54</v>
          </cell>
          <cell r="MQ71">
            <v>195.89</v>
          </cell>
          <cell r="MU71">
            <v>112.28</v>
          </cell>
          <cell r="MY71">
            <v>155.71</v>
          </cell>
          <cell r="MZ71">
            <v>425</v>
          </cell>
          <cell r="NA71">
            <v>172.75</v>
          </cell>
          <cell r="NB71">
            <v>594.05999999999995</v>
          </cell>
          <cell r="NC71">
            <v>62.05</v>
          </cell>
          <cell r="NE71">
            <v>420.47</v>
          </cell>
        </row>
        <row r="72">
          <cell r="A72">
            <v>44256</v>
          </cell>
          <cell r="B72">
            <v>3</v>
          </cell>
          <cell r="C72">
            <v>2021</v>
          </cell>
          <cell r="D72">
            <v>72</v>
          </cell>
          <cell r="E72">
            <v>44256</v>
          </cell>
          <cell r="F72">
            <v>93.09</v>
          </cell>
          <cell r="G72">
            <v>435.8657</v>
          </cell>
          <cell r="H72">
            <v>38770.699999999997</v>
          </cell>
          <cell r="I72">
            <v>81</v>
          </cell>
          <cell r="J72">
            <v>540</v>
          </cell>
          <cell r="K72">
            <v>3.3</v>
          </cell>
          <cell r="L72">
            <v>24.1</v>
          </cell>
          <cell r="N72">
            <v>1.706</v>
          </cell>
          <cell r="O72">
            <v>1.538</v>
          </cell>
          <cell r="P72">
            <v>143.44238099999998</v>
          </cell>
          <cell r="Q72">
            <v>2510</v>
          </cell>
          <cell r="R72">
            <v>25100</v>
          </cell>
          <cell r="S72">
            <v>211.11</v>
          </cell>
          <cell r="T72">
            <v>452</v>
          </cell>
          <cell r="U72">
            <v>198.4727272727273</v>
          </cell>
          <cell r="V72">
            <v>333.45</v>
          </cell>
          <cell r="W72">
            <v>218.8</v>
          </cell>
          <cell r="X72">
            <v>199.94545454545457</v>
          </cell>
          <cell r="Y72">
            <v>19652.229900000002</v>
          </cell>
          <cell r="Z72">
            <v>42076.68</v>
          </cell>
          <cell r="AA72">
            <v>18475.826181818185</v>
          </cell>
          <cell r="AB72">
            <v>31040.860499999999</v>
          </cell>
          <cell r="AC72">
            <v>20368.092000000001</v>
          </cell>
          <cell r="AD72">
            <v>18612.922363636368</v>
          </cell>
          <cell r="AE72">
            <v>25037.768490909089</v>
          </cell>
          <cell r="AF72">
            <v>62105.291666666664</v>
          </cell>
          <cell r="AG72">
            <v>24390</v>
          </cell>
          <cell r="AH72">
            <v>92690</v>
          </cell>
          <cell r="AI72">
            <v>29.86</v>
          </cell>
          <cell r="AJ72">
            <v>22.57</v>
          </cell>
          <cell r="AK72">
            <v>29.18</v>
          </cell>
          <cell r="AL72">
            <v>17.77</v>
          </cell>
          <cell r="AM72">
            <v>26.490000000000002</v>
          </cell>
          <cell r="AN72">
            <v>95.39</v>
          </cell>
          <cell r="AO72">
            <v>56.79</v>
          </cell>
          <cell r="AP72">
            <v>76.09</v>
          </cell>
          <cell r="AQ72">
            <v>61.34</v>
          </cell>
          <cell r="AR72">
            <v>49.75</v>
          </cell>
          <cell r="AS72">
            <v>74.89</v>
          </cell>
          <cell r="AT72">
            <v>85.07</v>
          </cell>
          <cell r="AU72">
            <v>69.903333333333322</v>
          </cell>
          <cell r="AV72">
            <v>20.22</v>
          </cell>
          <cell r="AW72">
            <v>27.39</v>
          </cell>
          <cell r="AX72">
            <v>34.04</v>
          </cell>
          <cell r="AY72">
            <v>72.13</v>
          </cell>
          <cell r="AZ72">
            <v>29.08</v>
          </cell>
          <cell r="BA72">
            <v>16.850000000000001</v>
          </cell>
          <cell r="BB72">
            <v>38.024999999999999</v>
          </cell>
          <cell r="BC72">
            <v>2513</v>
          </cell>
          <cell r="BD72">
            <v>1596</v>
          </cell>
          <cell r="BE72">
            <v>1800</v>
          </cell>
          <cell r="BF72">
            <v>950</v>
          </cell>
          <cell r="BG72">
            <v>1714.75</v>
          </cell>
          <cell r="BH72">
            <v>191.89</v>
          </cell>
          <cell r="BI72">
            <v>25</v>
          </cell>
          <cell r="BJ72">
            <v>216.89</v>
          </cell>
          <cell r="BK72">
            <v>173.43100000000001</v>
          </cell>
          <cell r="BL72">
            <v>217.39</v>
          </cell>
          <cell r="BM72">
            <v>195.41050000000001</v>
          </cell>
          <cell r="BN72">
            <v>26.09</v>
          </cell>
          <cell r="BO72">
            <v>118.54642857142855</v>
          </cell>
          <cell r="BP72">
            <v>71.45</v>
          </cell>
          <cell r="BQ72">
            <v>113.8367857142857</v>
          </cell>
          <cell r="BR72">
            <v>120.18</v>
          </cell>
          <cell r="BS72">
            <v>300</v>
          </cell>
          <cell r="BT72">
            <v>138.70410000000001</v>
          </cell>
          <cell r="BU72">
            <v>4016.1122999999998</v>
          </cell>
          <cell r="BV72">
            <v>285</v>
          </cell>
          <cell r="BW72">
            <v>215</v>
          </cell>
          <cell r="BY72">
            <v>791.44158592532801</v>
          </cell>
          <cell r="BZ72">
            <v>686.2083064083937</v>
          </cell>
          <cell r="CA72">
            <v>813.31521696305083</v>
          </cell>
          <cell r="CB72">
            <v>864.75222356767176</v>
          </cell>
          <cell r="CC72">
            <v>788.19861558528714</v>
          </cell>
          <cell r="CD72">
            <v>849.42915133961242</v>
          </cell>
          <cell r="CE72">
            <v>800.06463255534777</v>
          </cell>
          <cell r="CF72">
            <v>805.30110668106045</v>
          </cell>
          <cell r="CG72">
            <v>820.17682444867171</v>
          </cell>
          <cell r="CH72">
            <v>842.87699217483589</v>
          </cell>
          <cell r="CI72">
            <v>683.21584060629823</v>
          </cell>
          <cell r="CJ72">
            <v>567.02099652619677</v>
          </cell>
          <cell r="CK72">
            <v>683.97972087757501</v>
          </cell>
          <cell r="CL72">
            <v>817.2275563541433</v>
          </cell>
          <cell r="CM72">
            <v>547.82476995704201</v>
          </cell>
          <cell r="CN72">
            <v>537.48211367990564</v>
          </cell>
          <cell r="CO72">
            <v>646.62854021716646</v>
          </cell>
          <cell r="CP72">
            <v>702.52642835066717</v>
          </cell>
          <cell r="CQ72">
            <v>584.40261895942831</v>
          </cell>
          <cell r="CR72">
            <v>583.73057594867555</v>
          </cell>
          <cell r="CS72">
            <v>584.06659745405193</v>
          </cell>
          <cell r="CT72">
            <v>591.66604929783762</v>
          </cell>
          <cell r="CU72">
            <v>617.51584348886763</v>
          </cell>
          <cell r="CV72">
            <v>650.00099704400463</v>
          </cell>
          <cell r="CW72">
            <v>650.00099704400463</v>
          </cell>
          <cell r="CX72">
            <v>639.1726125256256</v>
          </cell>
          <cell r="CY72">
            <v>547.71561688253564</v>
          </cell>
          <cell r="CZ72">
            <v>686.01053901890657</v>
          </cell>
          <cell r="DA72">
            <v>569.7461377201173</v>
          </cell>
          <cell r="DB72">
            <v>642.75895048092821</v>
          </cell>
          <cell r="DC72">
            <v>803.77240315777044</v>
          </cell>
          <cell r="DD72">
            <v>798.3958512573588</v>
          </cell>
          <cell r="DE72">
            <v>727.97942963316086</v>
          </cell>
          <cell r="DF72">
            <v>833.65157037095253</v>
          </cell>
          <cell r="DG72">
            <v>780.81550000205675</v>
          </cell>
          <cell r="DH72">
            <v>664.12933213209465</v>
          </cell>
          <cell r="DI72">
            <v>547.92701294045276</v>
          </cell>
          <cell r="DK72">
            <v>410000</v>
          </cell>
          <cell r="DL72" t="str">
            <v>2020-21</v>
          </cell>
          <cell r="DM72">
            <v>195000</v>
          </cell>
          <cell r="DN72" t="str">
            <v>2020-21</v>
          </cell>
          <cell r="DO72">
            <v>1250000</v>
          </cell>
          <cell r="DP72" t="str">
            <v>2020-21</v>
          </cell>
          <cell r="DQ72">
            <v>1500000</v>
          </cell>
          <cell r="DR72" t="str">
            <v>2020-21</v>
          </cell>
          <cell r="DS72">
            <v>6300000</v>
          </cell>
          <cell r="DT72" t="str">
            <v>2020-21</v>
          </cell>
          <cell r="DU72">
            <v>17000000</v>
          </cell>
          <cell r="DV72" t="str">
            <v>2020-21</v>
          </cell>
          <cell r="DW72">
            <v>800000</v>
          </cell>
          <cell r="DX72" t="str">
            <v>2020-21</v>
          </cell>
          <cell r="DY72">
            <v>6700000</v>
          </cell>
          <cell r="DZ72" t="str">
            <v>2020-21</v>
          </cell>
          <cell r="EA72">
            <v>33550000</v>
          </cell>
          <cell r="EB72">
            <v>390000</v>
          </cell>
          <cell r="EC72" t="str">
            <v>2020-21</v>
          </cell>
          <cell r="ED72">
            <v>191392</v>
          </cell>
          <cell r="EE72">
            <v>2021</v>
          </cell>
          <cell r="EF72">
            <v>211099</v>
          </cell>
          <cell r="EG72">
            <v>2021</v>
          </cell>
          <cell r="EH72">
            <v>53517534</v>
          </cell>
          <cell r="EI72">
            <v>2021</v>
          </cell>
          <cell r="EJ72">
            <v>5350999</v>
          </cell>
          <cell r="EK72">
            <v>2021</v>
          </cell>
          <cell r="EL72">
            <v>14571766</v>
          </cell>
          <cell r="EM72">
            <v>2020</v>
          </cell>
          <cell r="EN72">
            <v>3132657</v>
          </cell>
          <cell r="EO72">
            <v>2020</v>
          </cell>
          <cell r="EP72">
            <v>6552</v>
          </cell>
          <cell r="EQ72">
            <v>3366686</v>
          </cell>
          <cell r="ER72">
            <v>76133.333333333328</v>
          </cell>
          <cell r="ET72">
            <v>16000</v>
          </cell>
          <cell r="EU72">
            <v>19131</v>
          </cell>
          <cell r="EV72">
            <v>9000</v>
          </cell>
          <cell r="EW72">
            <v>17492</v>
          </cell>
          <cell r="EX72">
            <v>61623</v>
          </cell>
          <cell r="EY72">
            <v>19904</v>
          </cell>
          <cell r="EZ72">
            <v>80798</v>
          </cell>
          <cell r="FA72">
            <v>20331</v>
          </cell>
          <cell r="FB72">
            <v>17550</v>
          </cell>
          <cell r="FC72">
            <v>37881</v>
          </cell>
          <cell r="FD72">
            <v>59807.5</v>
          </cell>
          <cell r="FF72">
            <v>1100000</v>
          </cell>
          <cell r="FG72" t="str">
            <v>2019-20</v>
          </cell>
          <cell r="FH72">
            <v>1200000</v>
          </cell>
          <cell r="FI72" t="str">
            <v>2019-20</v>
          </cell>
          <cell r="FJ72">
            <v>4500000</v>
          </cell>
          <cell r="FK72" t="str">
            <v>2020-21</v>
          </cell>
          <cell r="FL72">
            <v>3300000</v>
          </cell>
          <cell r="FM72" t="str">
            <v>2020-21</v>
          </cell>
          <cell r="FN72">
            <v>45000000</v>
          </cell>
          <cell r="FO72" t="str">
            <v>2020-21</v>
          </cell>
          <cell r="FP72">
            <v>49000000</v>
          </cell>
          <cell r="FQ72" t="str">
            <v>2019-20</v>
          </cell>
          <cell r="FR72">
            <v>1850000</v>
          </cell>
          <cell r="FS72" t="str">
            <v>2019-20</v>
          </cell>
          <cell r="FT72">
            <v>17600000</v>
          </cell>
          <cell r="FU72" t="str">
            <v>2020-21</v>
          </cell>
          <cell r="FV72">
            <v>121250000</v>
          </cell>
          <cell r="FW72">
            <v>1394794</v>
          </cell>
          <cell r="FX72" t="str">
            <v>2019-20</v>
          </cell>
          <cell r="FY72">
            <v>96012</v>
          </cell>
          <cell r="FZ72">
            <v>834499.84</v>
          </cell>
          <cell r="GA72" t="str">
            <v>abr20 mar21</v>
          </cell>
          <cell r="GB72">
            <v>22248266</v>
          </cell>
          <cell r="GC72">
            <v>2021</v>
          </cell>
          <cell r="GD72">
            <v>2015989</v>
          </cell>
          <cell r="GE72">
            <v>421371</v>
          </cell>
          <cell r="GF72">
            <v>1038163</v>
          </cell>
          <cell r="GG72">
            <v>89478</v>
          </cell>
          <cell r="GH72">
            <v>1549012</v>
          </cell>
          <cell r="GI72">
            <v>1302556</v>
          </cell>
          <cell r="GJ72">
            <v>600000</v>
          </cell>
          <cell r="GK72">
            <v>1362000</v>
          </cell>
          <cell r="GL72">
            <v>300000</v>
          </cell>
          <cell r="GM72">
            <v>261011.3</v>
          </cell>
          <cell r="GN72">
            <v>2523011.2999999998</v>
          </cell>
          <cell r="GO72">
            <v>199477</v>
          </cell>
          <cell r="GP72">
            <v>72919</v>
          </cell>
          <cell r="GQ72">
            <v>107325</v>
          </cell>
          <cell r="GR72">
            <v>44610</v>
          </cell>
          <cell r="GS72">
            <v>47829.75</v>
          </cell>
          <cell r="GT72">
            <v>2871705.88</v>
          </cell>
          <cell r="GU72">
            <v>143333</v>
          </cell>
          <cell r="GV72">
            <v>83866</v>
          </cell>
          <cell r="GW72">
            <v>1197402</v>
          </cell>
          <cell r="GX72">
            <v>37480.696000000004</v>
          </cell>
          <cell r="GY72" t="str">
            <v>2020-2021</v>
          </cell>
          <cell r="GZ72">
            <v>97886.411999999997</v>
          </cell>
          <cell r="HA72">
            <v>260967</v>
          </cell>
          <cell r="HB72">
            <v>3126192</v>
          </cell>
          <cell r="HC72" t="str">
            <v>abr20 mar21</v>
          </cell>
          <cell r="HD72">
            <v>62739</v>
          </cell>
          <cell r="HE72">
            <v>669989</v>
          </cell>
          <cell r="HF72" t="str">
            <v>abr20 mar21</v>
          </cell>
          <cell r="HG72">
            <v>202000</v>
          </cell>
          <cell r="HH72">
            <v>2200000</v>
          </cell>
          <cell r="HI72" t="str">
            <v>abr20 mar21</v>
          </cell>
          <cell r="HJ72">
            <v>86608</v>
          </cell>
          <cell r="HK72">
            <v>56712.9</v>
          </cell>
          <cell r="HL72" t="str">
            <v>abr20 mar21</v>
          </cell>
          <cell r="HM72">
            <v>2256712.9</v>
          </cell>
          <cell r="HN72">
            <v>4.3593297215572591E-2</v>
          </cell>
          <cell r="HO72">
            <v>828300000</v>
          </cell>
          <cell r="HP72">
            <v>11230.2</v>
          </cell>
          <cell r="HQ72" t="str">
            <v>abr20 mar21</v>
          </cell>
          <cell r="HU72">
            <v>700000</v>
          </cell>
          <cell r="HV72" t="str">
            <v>2020-21</v>
          </cell>
          <cell r="HW72">
            <v>1510000</v>
          </cell>
          <cell r="HX72" t="str">
            <v>2021-22</v>
          </cell>
          <cell r="HY72">
            <v>3190000</v>
          </cell>
          <cell r="HZ72" t="str">
            <v>2020-21</v>
          </cell>
          <cell r="IA72">
            <v>21410000</v>
          </cell>
          <cell r="IB72" t="str">
            <v>2020-21</v>
          </cell>
          <cell r="IC72">
            <v>41400000</v>
          </cell>
          <cell r="ID72" t="str">
            <v>2019-20</v>
          </cell>
          <cell r="IE72">
            <v>1000000</v>
          </cell>
          <cell r="IF72" t="str">
            <v>2019-20</v>
          </cell>
          <cell r="IG72">
            <v>7200000</v>
          </cell>
          <cell r="IH72" t="str">
            <v>2021-22</v>
          </cell>
          <cell r="II72">
            <v>75710000</v>
          </cell>
          <cell r="IJ72">
            <v>1.9073407006405101</v>
          </cell>
          <cell r="IK72" t="str">
            <v>2019-20</v>
          </cell>
          <cell r="IL72">
            <v>48.14</v>
          </cell>
          <cell r="IM72">
            <v>48.62</v>
          </cell>
          <cell r="IN72">
            <v>184</v>
          </cell>
          <cell r="IO72">
            <v>14.84</v>
          </cell>
          <cell r="IP72">
            <v>6.1006169215414161</v>
          </cell>
          <cell r="IQ72">
            <v>18.2</v>
          </cell>
          <cell r="IR72">
            <v>5.93</v>
          </cell>
          <cell r="IS72">
            <v>5.67</v>
          </cell>
          <cell r="IT72">
            <v>13.17</v>
          </cell>
          <cell r="IU72">
            <v>1.55</v>
          </cell>
          <cell r="IV72">
            <v>20.39</v>
          </cell>
          <cell r="IY72">
            <v>1.86</v>
          </cell>
          <cell r="IZ72">
            <v>0.3</v>
          </cell>
          <cell r="JA72">
            <v>2813</v>
          </cell>
          <cell r="JF72">
            <v>9.1760140200000002</v>
          </cell>
          <cell r="JG72">
            <v>39.023247859999998</v>
          </cell>
          <cell r="JH72">
            <v>208.55599622999998</v>
          </cell>
          <cell r="JI72">
            <v>177.18463636999999</v>
          </cell>
          <cell r="JJ72">
            <v>617.88220013000023</v>
          </cell>
          <cell r="JK72">
            <v>113.19198033000001</v>
          </cell>
          <cell r="JL72">
            <v>2685.3502487299997</v>
          </cell>
          <cell r="JM72">
            <v>0.14419899999999999</v>
          </cell>
          <cell r="JN72">
            <v>393.55483766999993</v>
          </cell>
          <cell r="JO72">
            <v>23.790442099999996</v>
          </cell>
          <cell r="JP72">
            <v>0</v>
          </cell>
          <cell r="JQ72">
            <v>4.5062867000000004</v>
          </cell>
          <cell r="JR72">
            <v>2.2716504799999999</v>
          </cell>
          <cell r="JS72">
            <v>0</v>
          </cell>
          <cell r="JT72">
            <v>0.48777620999999999</v>
          </cell>
          <cell r="JU72">
            <v>80.243381749999998</v>
          </cell>
          <cell r="JV72">
            <v>10.164258850000003</v>
          </cell>
          <cell r="JW72">
            <v>44.341661550000005</v>
          </cell>
          <cell r="JX72">
            <v>10.958664919999999</v>
          </cell>
          <cell r="JY72">
            <v>0</v>
          </cell>
          <cell r="JZ72">
            <v>1.1888776899999998</v>
          </cell>
          <cell r="KA72">
            <v>0.19</v>
          </cell>
          <cell r="KB72">
            <v>28.89773229</v>
          </cell>
          <cell r="KC72">
            <v>35.951522419999996</v>
          </cell>
          <cell r="KD72">
            <v>11.338860919999998</v>
          </cell>
          <cell r="KE72">
            <v>26.588134409999999</v>
          </cell>
          <cell r="KF72">
            <v>34.918475269999995</v>
          </cell>
          <cell r="KG72">
            <v>328.96913445999991</v>
          </cell>
          <cell r="KH72">
            <v>112.44423956</v>
          </cell>
          <cell r="KI72">
            <v>26.9007346</v>
          </cell>
          <cell r="KJ72">
            <v>8.3703445199999997</v>
          </cell>
          <cell r="KK72">
            <v>7.4212680600000027</v>
          </cell>
          <cell r="KL72">
            <v>9.1060700000000008E-2</v>
          </cell>
          <cell r="KM72">
            <v>1.2051009300000002</v>
          </cell>
          <cell r="KN72">
            <v>9.4366999999999997E-4</v>
          </cell>
          <cell r="KO72">
            <v>2.8552501400000003</v>
          </cell>
          <cell r="KP72">
            <v>0</v>
          </cell>
          <cell r="KQ72">
            <v>468.97433162000004</v>
          </cell>
          <cell r="KR72">
            <v>1.0423000000000001E-4</v>
          </cell>
          <cell r="KS72">
            <v>0.23612585999999997</v>
          </cell>
          <cell r="KT72">
            <v>1.1484200900000001</v>
          </cell>
          <cell r="KU72">
            <v>0.49421152000000002</v>
          </cell>
          <cell r="KV72">
            <v>0</v>
          </cell>
          <cell r="KW72">
            <v>2.35768076</v>
          </cell>
          <cell r="KX72">
            <v>0</v>
          </cell>
          <cell r="KY72">
            <v>0</v>
          </cell>
          <cell r="KZ72">
            <v>0.75386863999999998</v>
          </cell>
          <cell r="LA72">
            <v>0.31138930000000004</v>
          </cell>
          <cell r="LB72">
            <v>9.4474819999999987E-2</v>
          </cell>
          <cell r="LC72">
            <v>4.9037660000000004E-2</v>
          </cell>
          <cell r="LD72">
            <v>0</v>
          </cell>
          <cell r="LE72">
            <v>2.1731689000000003</v>
          </cell>
          <cell r="LF72">
            <v>6.8849979999999991E-2</v>
          </cell>
          <cell r="LG72">
            <v>18.539774880000003</v>
          </cell>
          <cell r="LH72">
            <v>5.7195846499999998</v>
          </cell>
          <cell r="LI72">
            <v>3.0889995000000003</v>
          </cell>
          <cell r="LJ72">
            <v>0</v>
          </cell>
          <cell r="LK72">
            <v>3.4102486400000003</v>
          </cell>
          <cell r="LL72">
            <v>4.797574720000001</v>
          </cell>
          <cell r="LM72">
            <v>1.40141373</v>
          </cell>
          <cell r="LN72">
            <v>0.33682803</v>
          </cell>
          <cell r="LO72">
            <v>11.149788789999999</v>
          </cell>
          <cell r="LQ72">
            <v>4082.6721181299995</v>
          </cell>
          <cell r="LR72">
            <v>7.2657133900000002</v>
          </cell>
          <cell r="LS72">
            <v>54.505920400000008</v>
          </cell>
          <cell r="LT72">
            <v>1.3788776899999997</v>
          </cell>
          <cell r="LU72">
            <v>473.27185645000003</v>
          </cell>
          <cell r="LV72">
            <v>2.35768076</v>
          </cell>
          <cell r="LW72">
            <v>0.40586412000000005</v>
          </cell>
          <cell r="LX72">
            <v>2.2420188800000003</v>
          </cell>
          <cell r="LZ72">
            <v>91.51</v>
          </cell>
          <cell r="MA72">
            <v>84.36</v>
          </cell>
          <cell r="MH72">
            <v>157.27000000000001</v>
          </cell>
          <cell r="MI72">
            <v>45.12</v>
          </cell>
          <cell r="MJ72">
            <v>55.86</v>
          </cell>
          <cell r="ML72">
            <v>73.760000000000005</v>
          </cell>
          <cell r="MM72">
            <v>96.86</v>
          </cell>
          <cell r="MO72">
            <v>58.36</v>
          </cell>
          <cell r="MP72">
            <v>91.23</v>
          </cell>
          <cell r="MQ72">
            <v>184.29</v>
          </cell>
          <cell r="MU72">
            <v>114.89</v>
          </cell>
          <cell r="MY72">
            <v>160.38</v>
          </cell>
          <cell r="MZ72">
            <v>447</v>
          </cell>
          <cell r="NA72">
            <v>173.95</v>
          </cell>
          <cell r="NB72">
            <v>615.87</v>
          </cell>
          <cell r="NC72">
            <v>69.52</v>
          </cell>
          <cell r="NE72">
            <v>424.23</v>
          </cell>
        </row>
        <row r="73">
          <cell r="A73">
            <v>44287</v>
          </cell>
          <cell r="B73">
            <v>4</v>
          </cell>
          <cell r="C73">
            <v>2021</v>
          </cell>
          <cell r="D73">
            <v>73</v>
          </cell>
          <cell r="E73">
            <v>44287</v>
          </cell>
          <cell r="F73">
            <v>95.14</v>
          </cell>
          <cell r="G73">
            <v>453.65030000000002</v>
          </cell>
          <cell r="H73">
            <v>38770.699999999997</v>
          </cell>
          <cell r="I73">
            <v>83</v>
          </cell>
          <cell r="J73">
            <v>540</v>
          </cell>
          <cell r="K73">
            <v>4.8</v>
          </cell>
          <cell r="L73">
            <v>23.3</v>
          </cell>
          <cell r="N73">
            <v>1.633</v>
          </cell>
          <cell r="O73">
            <v>1.4790000000000001</v>
          </cell>
          <cell r="P73">
            <v>140.63594799999998</v>
          </cell>
          <cell r="Q73">
            <v>2470</v>
          </cell>
          <cell r="R73">
            <v>24700</v>
          </cell>
          <cell r="S73">
            <v>197.47</v>
          </cell>
          <cell r="T73">
            <v>460.65</v>
          </cell>
          <cell r="U73">
            <v>210.83333333333334</v>
          </cell>
          <cell r="V73">
            <v>339.45</v>
          </cell>
          <cell r="W73">
            <v>227.6</v>
          </cell>
          <cell r="X73">
            <v>207.61999999999998</v>
          </cell>
          <cell r="Y73">
            <v>18787.2958</v>
          </cell>
          <cell r="Z73">
            <v>43826.240999999995</v>
          </cell>
          <cell r="AA73">
            <v>20058.683333333334</v>
          </cell>
          <cell r="AB73">
            <v>32295.272999999997</v>
          </cell>
          <cell r="AC73">
            <v>21653.864000000001</v>
          </cell>
          <cell r="AD73">
            <v>19752.966799999998</v>
          </cell>
          <cell r="AE73">
            <v>26062.387322222221</v>
          </cell>
          <cell r="AF73">
            <v>64093.25</v>
          </cell>
          <cell r="AG73">
            <v>24390</v>
          </cell>
          <cell r="AH73">
            <v>92690</v>
          </cell>
          <cell r="AI73">
            <v>34.96</v>
          </cell>
          <cell r="AJ73">
            <v>32.5</v>
          </cell>
          <cell r="AK73">
            <v>33.369999999999997</v>
          </cell>
          <cell r="AL73">
            <v>29.74</v>
          </cell>
          <cell r="AM73">
            <v>33.195399999999999</v>
          </cell>
          <cell r="AN73">
            <v>83.416054421768706</v>
          </cell>
          <cell r="AO73">
            <v>53.279047619047617</v>
          </cell>
          <cell r="AP73">
            <v>68.347551020408162</v>
          </cell>
          <cell r="AQ73">
            <v>45.472857142857137</v>
          </cell>
          <cell r="AR73">
            <v>42.577619047619045</v>
          </cell>
          <cell r="AS73">
            <v>78.850476190476186</v>
          </cell>
          <cell r="AT73">
            <v>73.28619047619047</v>
          </cell>
          <cell r="AU73">
            <v>64.904761904761912</v>
          </cell>
          <cell r="AV73">
            <v>20.554761904761904</v>
          </cell>
          <cell r="AW73">
            <v>28.073333333333331</v>
          </cell>
          <cell r="AX73">
            <v>27.774285714285707</v>
          </cell>
          <cell r="AY73">
            <v>69.474285714285713</v>
          </cell>
          <cell r="AZ73">
            <v>27.860476190476188</v>
          </cell>
          <cell r="BA73">
            <v>14.084999999999999</v>
          </cell>
          <cell r="BB73">
            <v>34.798511904761902</v>
          </cell>
          <cell r="BC73">
            <v>2513</v>
          </cell>
          <cell r="BD73">
            <v>1596</v>
          </cell>
          <cell r="BE73">
            <v>1800</v>
          </cell>
          <cell r="BF73">
            <v>950</v>
          </cell>
          <cell r="BG73">
            <v>1714.75</v>
          </cell>
          <cell r="BH73">
            <v>191.89</v>
          </cell>
          <cell r="BI73">
            <v>25</v>
          </cell>
          <cell r="BJ73">
            <v>216.89</v>
          </cell>
          <cell r="BK73">
            <v>184.512</v>
          </cell>
          <cell r="BL73">
            <v>213.83</v>
          </cell>
          <cell r="BM73">
            <v>199.17099999999999</v>
          </cell>
          <cell r="BN73">
            <v>28.17</v>
          </cell>
          <cell r="BO73">
            <v>124.5</v>
          </cell>
          <cell r="BP73">
            <v>73.2</v>
          </cell>
          <cell r="BQ73">
            <v>119.37</v>
          </cell>
          <cell r="BR73">
            <v>120.04</v>
          </cell>
          <cell r="BS73">
            <v>300</v>
          </cell>
          <cell r="BT73">
            <v>143.66140000000001</v>
          </cell>
          <cell r="BU73">
            <v>4030.9841999999999</v>
          </cell>
          <cell r="BV73">
            <v>275.5</v>
          </cell>
          <cell r="BW73">
            <v>275</v>
          </cell>
          <cell r="BY73">
            <v>826.49674467099851</v>
          </cell>
          <cell r="BZ73">
            <v>731.25210011426361</v>
          </cell>
          <cell r="CA73">
            <v>849.27786900999479</v>
          </cell>
          <cell r="CB73">
            <v>908.90110737253383</v>
          </cell>
          <cell r="CC73">
            <v>844.62697727825855</v>
          </cell>
          <cell r="CD73">
            <v>898.371273510989</v>
          </cell>
          <cell r="CE73">
            <v>850.23253812124176</v>
          </cell>
          <cell r="CF73">
            <v>860.81657805356451</v>
          </cell>
          <cell r="CG73">
            <v>868.70439055776376</v>
          </cell>
          <cell r="CH73">
            <v>889.59287414977621</v>
          </cell>
          <cell r="CI73">
            <v>744.99673140285449</v>
          </cell>
          <cell r="CJ73">
            <v>593.37710656041907</v>
          </cell>
          <cell r="CK73">
            <v>698.77273195461305</v>
          </cell>
          <cell r="CL73">
            <v>850.72074955992548</v>
          </cell>
          <cell r="CM73">
            <v>564.02704329464063</v>
          </cell>
          <cell r="CN73">
            <v>550.19614474837977</v>
          </cell>
          <cell r="CO73">
            <v>665.9291673893897</v>
          </cell>
          <cell r="CP73">
            <v>783.53126355214101</v>
          </cell>
          <cell r="CQ73">
            <v>604.85842223217844</v>
          </cell>
          <cell r="CR73">
            <v>609.74649826080747</v>
          </cell>
          <cell r="CS73">
            <v>607.30246024649296</v>
          </cell>
          <cell r="CT73">
            <v>607.28062186305749</v>
          </cell>
          <cell r="CU73">
            <v>651.96739769409044</v>
          </cell>
          <cell r="CV73">
            <v>699.52838341985387</v>
          </cell>
          <cell r="CW73">
            <v>699.52838341985387</v>
          </cell>
          <cell r="CX73">
            <v>683.67472151126606</v>
          </cell>
          <cell r="CY73">
            <v>563.06842909780812</v>
          </cell>
          <cell r="CZ73">
            <v>721.22553624161094</v>
          </cell>
          <cell r="DA73">
            <v>597.10792544792503</v>
          </cell>
          <cell r="DB73">
            <v>695.74514398216706</v>
          </cell>
          <cell r="DC73">
            <v>863.3774354264325</v>
          </cell>
          <cell r="DD73">
            <v>853.11213279555534</v>
          </cell>
          <cell r="DE73">
            <v>780.58311535907649</v>
          </cell>
          <cell r="DF73">
            <v>896.28458503486388</v>
          </cell>
          <cell r="DG73">
            <v>838.43385019697018</v>
          </cell>
          <cell r="DH73">
            <v>689.91800136059021</v>
          </cell>
          <cell r="DI73">
            <v>566.59239992343407</v>
          </cell>
          <cell r="DK73">
            <v>410000</v>
          </cell>
          <cell r="DL73" t="str">
            <v>2020-21</v>
          </cell>
          <cell r="DM73">
            <v>198000</v>
          </cell>
          <cell r="DN73" t="str">
            <v>2020-21</v>
          </cell>
          <cell r="DO73">
            <v>1250000</v>
          </cell>
          <cell r="DP73" t="str">
            <v>2020-21</v>
          </cell>
          <cell r="DQ73">
            <v>1500000</v>
          </cell>
          <cell r="DR73" t="str">
            <v>2020-21</v>
          </cell>
          <cell r="DS73">
            <v>6300000</v>
          </cell>
          <cell r="DT73" t="str">
            <v>2020-21</v>
          </cell>
          <cell r="DU73">
            <v>17000000</v>
          </cell>
          <cell r="DV73" t="str">
            <v>2020-21</v>
          </cell>
          <cell r="DW73">
            <v>900000</v>
          </cell>
          <cell r="DX73" t="str">
            <v>2020-21</v>
          </cell>
          <cell r="DY73">
            <v>6700000</v>
          </cell>
          <cell r="DZ73" t="str">
            <v>2020-21</v>
          </cell>
          <cell r="EA73">
            <v>33650000</v>
          </cell>
          <cell r="EB73">
            <v>390000</v>
          </cell>
          <cell r="EC73" t="str">
            <v>2020-21</v>
          </cell>
          <cell r="ED73">
            <v>191392</v>
          </cell>
          <cell r="EE73">
            <v>2021</v>
          </cell>
          <cell r="EF73">
            <v>211099</v>
          </cell>
          <cell r="EG73">
            <v>2021</v>
          </cell>
          <cell r="EH73">
            <v>53517534</v>
          </cell>
          <cell r="EI73">
            <v>2021</v>
          </cell>
          <cell r="EJ73">
            <v>5350999</v>
          </cell>
          <cell r="EK73">
            <v>2021</v>
          </cell>
          <cell r="EL73">
            <v>14571766</v>
          </cell>
          <cell r="EM73">
            <v>2020</v>
          </cell>
          <cell r="EN73">
            <v>3132657</v>
          </cell>
          <cell r="EO73">
            <v>2020</v>
          </cell>
          <cell r="EP73">
            <v>6552</v>
          </cell>
          <cell r="EQ73">
            <v>3366686</v>
          </cell>
          <cell r="ER73">
            <v>76133.333333333328</v>
          </cell>
          <cell r="ET73">
            <v>16000</v>
          </cell>
          <cell r="EU73">
            <v>19131</v>
          </cell>
          <cell r="EV73">
            <v>9000</v>
          </cell>
          <cell r="EW73">
            <v>17492</v>
          </cell>
          <cell r="EX73">
            <v>61623</v>
          </cell>
          <cell r="EY73">
            <v>19904</v>
          </cell>
          <cell r="EZ73">
            <v>80798</v>
          </cell>
          <cell r="FA73">
            <v>20331</v>
          </cell>
          <cell r="FB73">
            <v>17550</v>
          </cell>
          <cell r="FC73">
            <v>37881</v>
          </cell>
          <cell r="FD73">
            <v>59807.5</v>
          </cell>
          <cell r="FF73">
            <v>1050000</v>
          </cell>
          <cell r="FG73" t="str">
            <v>2020-21</v>
          </cell>
          <cell r="FH73">
            <v>1400000</v>
          </cell>
          <cell r="FI73" t="str">
            <v>2020-21</v>
          </cell>
          <cell r="FJ73">
            <v>4500000</v>
          </cell>
          <cell r="FK73" t="str">
            <v>2020-21</v>
          </cell>
          <cell r="FL73">
            <v>3300000</v>
          </cell>
          <cell r="FM73" t="str">
            <v>2020-21</v>
          </cell>
          <cell r="FN73">
            <v>46000000</v>
          </cell>
          <cell r="FO73" t="str">
            <v>2020-21</v>
          </cell>
          <cell r="FP73">
            <v>47000000</v>
          </cell>
          <cell r="FQ73" t="str">
            <v>2020-21</v>
          </cell>
          <cell r="FR73">
            <v>3000000</v>
          </cell>
          <cell r="FS73" t="str">
            <v>2020-21</v>
          </cell>
          <cell r="FT73">
            <v>17600000</v>
          </cell>
          <cell r="FU73" t="str">
            <v>2020-21</v>
          </cell>
          <cell r="FV73">
            <v>121400000</v>
          </cell>
          <cell r="FW73">
            <v>1300000</v>
          </cell>
          <cell r="FX73" t="str">
            <v>2020-21</v>
          </cell>
          <cell r="FY73">
            <v>126979</v>
          </cell>
          <cell r="FZ73">
            <v>841398.84</v>
          </cell>
          <cell r="GA73" t="str">
            <v>may20 abr21</v>
          </cell>
          <cell r="GB73">
            <v>22248266</v>
          </cell>
          <cell r="GC73">
            <v>2021</v>
          </cell>
          <cell r="GD73">
            <v>2015989</v>
          </cell>
          <cell r="GE73">
            <v>421371</v>
          </cell>
          <cell r="GF73">
            <v>1038163</v>
          </cell>
          <cell r="GG73">
            <v>89478</v>
          </cell>
          <cell r="GH73">
            <v>1549012</v>
          </cell>
          <cell r="GI73">
            <v>1302556</v>
          </cell>
          <cell r="GJ73">
            <v>600000</v>
          </cell>
          <cell r="GK73">
            <v>1362000</v>
          </cell>
          <cell r="GL73">
            <v>300000</v>
          </cell>
          <cell r="GM73">
            <v>261011.3</v>
          </cell>
          <cell r="GN73">
            <v>2523011.2999999998</v>
          </cell>
          <cell r="GO73">
            <v>199477</v>
          </cell>
          <cell r="GP73">
            <v>72919</v>
          </cell>
          <cell r="GQ73">
            <v>60713.75</v>
          </cell>
          <cell r="GR73">
            <v>44610</v>
          </cell>
          <cell r="GS73">
            <v>46431.412499999999</v>
          </cell>
          <cell r="GT73">
            <v>2871705.88</v>
          </cell>
          <cell r="GU73">
            <v>92219</v>
          </cell>
          <cell r="GV73">
            <v>68450</v>
          </cell>
          <cell r="GW73">
            <v>1172204</v>
          </cell>
          <cell r="GX73">
            <v>37480.696000000004</v>
          </cell>
          <cell r="GY73" t="str">
            <v>2020-2021</v>
          </cell>
          <cell r="GZ73">
            <v>97886.411999999997</v>
          </cell>
          <cell r="HA73">
            <v>246462</v>
          </cell>
          <cell r="HB73">
            <v>3112456</v>
          </cell>
          <cell r="HC73" t="str">
            <v>may20 abr21</v>
          </cell>
          <cell r="HD73">
            <v>57429</v>
          </cell>
          <cell r="HE73">
            <v>678297</v>
          </cell>
          <cell r="HF73" t="str">
            <v>may20 abr21</v>
          </cell>
          <cell r="HG73">
            <v>195000</v>
          </cell>
          <cell r="HH73">
            <v>2194000</v>
          </cell>
          <cell r="HI73" t="str">
            <v>may20 abr21</v>
          </cell>
          <cell r="HJ73">
            <v>75345</v>
          </cell>
          <cell r="HK73">
            <v>57319.020000000004</v>
          </cell>
          <cell r="HL73" t="str">
            <v>may20 abr21</v>
          </cell>
          <cell r="HM73">
            <v>2251319.02</v>
          </cell>
          <cell r="HN73">
            <v>3.4778225806451513E-2</v>
          </cell>
          <cell r="HO73">
            <v>821200000</v>
          </cell>
          <cell r="HP73">
            <v>11257.8</v>
          </cell>
          <cell r="HQ73" t="str">
            <v>may20 abr21</v>
          </cell>
          <cell r="HU73">
            <v>700000</v>
          </cell>
          <cell r="HV73" t="str">
            <v>2020-21</v>
          </cell>
          <cell r="HW73">
            <v>1510000</v>
          </cell>
          <cell r="HX73" t="str">
            <v>2021-22</v>
          </cell>
          <cell r="HY73">
            <v>3190000</v>
          </cell>
          <cell r="HZ73" t="str">
            <v>2020-21</v>
          </cell>
          <cell r="IA73">
            <v>21410000</v>
          </cell>
          <cell r="IB73" t="str">
            <v>2020-21</v>
          </cell>
          <cell r="IC73">
            <v>45150000</v>
          </cell>
          <cell r="ID73" t="str">
            <v>2020-21</v>
          </cell>
          <cell r="IE73">
            <v>1200000</v>
          </cell>
          <cell r="IF73" t="str">
            <v>2020-21</v>
          </cell>
          <cell r="IG73">
            <v>7200000</v>
          </cell>
          <cell r="IH73" t="str">
            <v>2021-22</v>
          </cell>
          <cell r="II73">
            <v>79660000</v>
          </cell>
          <cell r="IJ73">
            <v>1.9073407006405101</v>
          </cell>
          <cell r="IK73" t="str">
            <v>2020-21</v>
          </cell>
          <cell r="IL73">
            <v>48.3</v>
          </cell>
          <cell r="IM73">
            <v>47.43</v>
          </cell>
          <cell r="IN73">
            <v>184</v>
          </cell>
          <cell r="IO73">
            <v>14.9</v>
          </cell>
          <cell r="IP73">
            <v>6.1006169215414161</v>
          </cell>
          <cell r="IQ73">
            <v>18.2</v>
          </cell>
          <cell r="IR73">
            <v>5.93</v>
          </cell>
          <cell r="IS73">
            <v>5.67</v>
          </cell>
          <cell r="IT73">
            <v>13.17</v>
          </cell>
          <cell r="IU73">
            <v>1.55</v>
          </cell>
          <cell r="IV73">
            <v>20.39</v>
          </cell>
          <cell r="IY73">
            <v>1.86</v>
          </cell>
          <cell r="IZ73">
            <v>0.3</v>
          </cell>
          <cell r="JA73">
            <v>2813</v>
          </cell>
          <cell r="JF73">
            <v>7.7153011500000019</v>
          </cell>
          <cell r="JG73">
            <v>14.593371639999999</v>
          </cell>
          <cell r="JH73">
            <v>122.94807085000002</v>
          </cell>
          <cell r="JI73">
            <v>325.75376351</v>
          </cell>
          <cell r="JJ73">
            <v>1002.7686231999996</v>
          </cell>
          <cell r="JK73">
            <v>90.171479009999999</v>
          </cell>
          <cell r="JL73">
            <v>3112.9292309299999</v>
          </cell>
          <cell r="JM73">
            <v>43.608217209999999</v>
          </cell>
          <cell r="JN73">
            <v>441.21345681999998</v>
          </cell>
          <cell r="JO73">
            <v>15.576587770000001</v>
          </cell>
          <cell r="JP73">
            <v>0</v>
          </cell>
          <cell r="JQ73">
            <v>8.94275749</v>
          </cell>
          <cell r="JR73">
            <v>2.00216993</v>
          </cell>
          <cell r="JS73">
            <v>0</v>
          </cell>
          <cell r="JT73">
            <v>0.31829205999999999</v>
          </cell>
          <cell r="JU73">
            <v>81.731667529999996</v>
          </cell>
          <cell r="JV73">
            <v>19.889218230000001</v>
          </cell>
          <cell r="JW73">
            <v>34.743991369999996</v>
          </cell>
          <cell r="JX73">
            <v>17.949189340000004</v>
          </cell>
          <cell r="JY73">
            <v>0</v>
          </cell>
          <cell r="JZ73">
            <v>0.73858164000000004</v>
          </cell>
          <cell r="KA73">
            <v>0.29250000000000004</v>
          </cell>
          <cell r="KB73">
            <v>36.345545600000001</v>
          </cell>
          <cell r="KC73">
            <v>14.933827540000001</v>
          </cell>
          <cell r="KD73">
            <v>6.1749373100000007</v>
          </cell>
          <cell r="KE73">
            <v>24.764688639999999</v>
          </cell>
          <cell r="KF73">
            <v>29.538907699999996</v>
          </cell>
          <cell r="KG73">
            <v>302.72541766000001</v>
          </cell>
          <cell r="KH73">
            <v>88.811885839999988</v>
          </cell>
          <cell r="KI73">
            <v>29.908121860000001</v>
          </cell>
          <cell r="KJ73">
            <v>8.910188800000002</v>
          </cell>
          <cell r="KK73">
            <v>6.5740413099999984</v>
          </cell>
          <cell r="KL73">
            <v>0.15021649999999998</v>
          </cell>
          <cell r="KM73">
            <v>0.49609318000000002</v>
          </cell>
          <cell r="KN73">
            <v>0.13506762000000003</v>
          </cell>
          <cell r="KO73">
            <v>0.30269764999999998</v>
          </cell>
          <cell r="KP73">
            <v>6.087679E-2</v>
          </cell>
          <cell r="KQ73">
            <v>379.35376100000002</v>
          </cell>
          <cell r="KR73">
            <v>0.10290597</v>
          </cell>
          <cell r="KS73">
            <v>8.2253170000000014E-2</v>
          </cell>
          <cell r="KT73">
            <v>1.17334267</v>
          </cell>
          <cell r="KU73">
            <v>0.18508399</v>
          </cell>
          <cell r="KV73">
            <v>0</v>
          </cell>
          <cell r="KW73">
            <v>2.2608221900000003</v>
          </cell>
          <cell r="KX73">
            <v>0</v>
          </cell>
          <cell r="KY73">
            <v>0</v>
          </cell>
          <cell r="KZ73">
            <v>1.0081080200000001</v>
          </cell>
          <cell r="LA73">
            <v>0.5038435</v>
          </cell>
          <cell r="LB73">
            <v>6.738922E-2</v>
          </cell>
          <cell r="LC73">
            <v>6.4353939999999998E-2</v>
          </cell>
          <cell r="LD73">
            <v>0</v>
          </cell>
          <cell r="LE73">
            <v>1.2187275400000002</v>
          </cell>
          <cell r="LF73">
            <v>0</v>
          </cell>
          <cell r="LG73">
            <v>16.465788359999998</v>
          </cell>
          <cell r="LH73">
            <v>6.2991539800000007</v>
          </cell>
          <cell r="LI73">
            <v>2.9169426100000004</v>
          </cell>
          <cell r="LJ73">
            <v>2.5631999999999999E-3</v>
          </cell>
          <cell r="LK73">
            <v>2.1885420099999999</v>
          </cell>
          <cell r="LL73">
            <v>5.7699305299999999</v>
          </cell>
          <cell r="LM73">
            <v>1.6868669400000003</v>
          </cell>
          <cell r="LN73">
            <v>0.23282769</v>
          </cell>
          <cell r="LO73">
            <v>8.9270354399999992</v>
          </cell>
          <cell r="LQ73">
            <v>5049.2213625199993</v>
          </cell>
          <cell r="LR73">
            <v>11.263219479999998</v>
          </cell>
          <cell r="LS73">
            <v>54.633209600000001</v>
          </cell>
          <cell r="LT73">
            <v>1.03108164</v>
          </cell>
          <cell r="LU73">
            <v>380.47277859000002</v>
          </cell>
          <cell r="LV73">
            <v>2.2608221900000003</v>
          </cell>
          <cell r="LW73">
            <v>0.57123272000000003</v>
          </cell>
          <cell r="LX73">
            <v>1.2187275400000002</v>
          </cell>
          <cell r="LZ73">
            <v>95.02</v>
          </cell>
          <cell r="MA73">
            <v>96.38</v>
          </cell>
          <cell r="MH73">
            <v>164.72</v>
          </cell>
          <cell r="MI73">
            <v>46.4</v>
          </cell>
          <cell r="MJ73">
            <v>54.35</v>
          </cell>
          <cell r="ML73">
            <v>67.569999999999993</v>
          </cell>
          <cell r="MM73">
            <v>85.09</v>
          </cell>
          <cell r="MO73">
            <v>58.5</v>
          </cell>
          <cell r="MP73">
            <v>107.54</v>
          </cell>
          <cell r="MQ73">
            <v>170.45</v>
          </cell>
          <cell r="MU73">
            <v>130.5</v>
          </cell>
          <cell r="MY73">
            <v>175.93</v>
          </cell>
          <cell r="MZ73">
            <v>480</v>
          </cell>
          <cell r="NA73">
            <v>174.14</v>
          </cell>
          <cell r="NB73">
            <v>636.54999999999995</v>
          </cell>
          <cell r="NC73">
            <v>76.349999999999994</v>
          </cell>
          <cell r="NE73">
            <v>446.36</v>
          </cell>
        </row>
        <row r="74">
          <cell r="A74">
            <v>44317</v>
          </cell>
          <cell r="B74">
            <v>5</v>
          </cell>
          <cell r="C74">
            <v>2021</v>
          </cell>
          <cell r="D74">
            <v>74</v>
          </cell>
          <cell r="E74">
            <v>44317</v>
          </cell>
          <cell r="F74">
            <v>96.17</v>
          </cell>
          <cell r="G74">
            <v>468.72500000000002</v>
          </cell>
          <cell r="H74">
            <v>38770.699999999997</v>
          </cell>
          <cell r="I74">
            <v>87</v>
          </cell>
          <cell r="J74">
            <v>525</v>
          </cell>
          <cell r="K74">
            <v>4.8</v>
          </cell>
          <cell r="L74">
            <v>23.1</v>
          </cell>
          <cell r="N74">
            <v>1.673</v>
          </cell>
          <cell r="O74">
            <v>1.518</v>
          </cell>
          <cell r="P74">
            <v>145.76727324999999</v>
          </cell>
          <cell r="Q74">
            <v>2500</v>
          </cell>
          <cell r="R74">
            <v>25000</v>
          </cell>
          <cell r="S74">
            <v>213.24</v>
          </cell>
          <cell r="T74">
            <v>450</v>
          </cell>
          <cell r="U74">
            <v>197.55263157894737</v>
          </cell>
          <cell r="V74">
            <v>353.67857142857144</v>
          </cell>
          <cell r="W74">
            <v>227.6</v>
          </cell>
          <cell r="X74">
            <v>219.62105263157892</v>
          </cell>
          <cell r="Y74">
            <v>20507.290800000002</v>
          </cell>
          <cell r="Z74">
            <v>43276.5</v>
          </cell>
          <cell r="AA74">
            <v>18998.636578947368</v>
          </cell>
          <cell r="AB74">
            <v>34013.268214285716</v>
          </cell>
          <cell r="AC74">
            <v>21888.292000000001</v>
          </cell>
          <cell r="AD74">
            <v>21120.956631578945</v>
          </cell>
          <cell r="AE74">
            <v>26634.157370802004</v>
          </cell>
          <cell r="AF74">
            <v>65969.941176470587</v>
          </cell>
          <cell r="AG74">
            <v>29700</v>
          </cell>
          <cell r="AH74">
            <v>112860</v>
          </cell>
          <cell r="AI74">
            <v>37.869999999999997</v>
          </cell>
          <cell r="AJ74">
            <v>29.85</v>
          </cell>
          <cell r="AK74">
            <v>37.36</v>
          </cell>
          <cell r="AL74">
            <v>32.04</v>
          </cell>
          <cell r="AM74">
            <v>36.017400000000002</v>
          </cell>
          <cell r="AN74">
            <v>86.01</v>
          </cell>
          <cell r="AO74">
            <v>61.69</v>
          </cell>
          <cell r="AP74">
            <v>73.849999999999994</v>
          </cell>
          <cell r="AQ74">
            <v>35.83</v>
          </cell>
          <cell r="AR74">
            <v>42.73</v>
          </cell>
          <cell r="AS74">
            <v>48.361499999999999</v>
          </cell>
          <cell r="AT74">
            <v>57.08</v>
          </cell>
          <cell r="AU74">
            <v>49.390499999999996</v>
          </cell>
          <cell r="AV74">
            <v>20.103750000000002</v>
          </cell>
          <cell r="AW74">
            <v>27.5</v>
          </cell>
          <cell r="AX74">
            <v>23.849500000000003</v>
          </cell>
          <cell r="AY74">
            <v>82.32050000000001</v>
          </cell>
          <cell r="AZ74">
            <v>26.860999999999997</v>
          </cell>
          <cell r="BA74">
            <v>18.812750000000001</v>
          </cell>
          <cell r="BB74">
            <v>37.9609375</v>
          </cell>
          <cell r="BC74">
            <v>3163</v>
          </cell>
          <cell r="BD74">
            <v>2350</v>
          </cell>
          <cell r="BE74">
            <v>1800</v>
          </cell>
          <cell r="BF74">
            <v>950</v>
          </cell>
          <cell r="BG74">
            <v>2065.75</v>
          </cell>
          <cell r="BH74">
            <v>191.89</v>
          </cell>
          <cell r="BI74">
            <v>25</v>
          </cell>
          <cell r="BJ74">
            <v>216.89</v>
          </cell>
          <cell r="BK74">
            <v>190.86600000000001</v>
          </cell>
          <cell r="BL74">
            <v>231.27</v>
          </cell>
          <cell r="BM74">
            <v>211.06800000000001</v>
          </cell>
          <cell r="BN74">
            <v>29.77</v>
          </cell>
          <cell r="BO74">
            <v>125.91</v>
          </cell>
          <cell r="BP74">
            <v>76.510000000000005</v>
          </cell>
          <cell r="BQ74">
            <v>120.97</v>
          </cell>
          <cell r="BR74">
            <v>106.85</v>
          </cell>
          <cell r="BS74">
            <v>350</v>
          </cell>
          <cell r="BT74">
            <v>125.021</v>
          </cell>
          <cell r="BU74">
            <v>4575.0630000000001</v>
          </cell>
          <cell r="BV74">
            <v>270.7</v>
          </cell>
          <cell r="BW74">
            <v>300</v>
          </cell>
          <cell r="BY74">
            <v>844.76105104453097</v>
          </cell>
          <cell r="BZ74">
            <v>758.75591236679941</v>
          </cell>
          <cell r="CA74">
            <v>882.13757330791827</v>
          </cell>
          <cell r="CB74">
            <v>923.37565790895371</v>
          </cell>
          <cell r="CC74">
            <v>838.02900515195938</v>
          </cell>
          <cell r="CD74">
            <v>931.46702719854295</v>
          </cell>
          <cell r="CE74">
            <v>862.59799660041642</v>
          </cell>
          <cell r="CF74">
            <v>890.62552776700591</v>
          </cell>
          <cell r="CG74">
            <v>888.03879798913283</v>
          </cell>
          <cell r="CH74">
            <v>913.97786456274196</v>
          </cell>
          <cell r="CI74">
            <v>745.16547808845064</v>
          </cell>
          <cell r="CJ74">
            <v>592.83868702966981</v>
          </cell>
          <cell r="CK74">
            <v>679.05519829678553</v>
          </cell>
          <cell r="CL74">
            <v>901.52139755465532</v>
          </cell>
          <cell r="CM74">
            <v>560.51913428774776</v>
          </cell>
          <cell r="CN74">
            <v>567.54338250190926</v>
          </cell>
          <cell r="CO74">
            <v>677.15977816027453</v>
          </cell>
          <cell r="CP74">
            <v>798.79167866280386</v>
          </cell>
          <cell r="CQ74">
            <v>607.66569805242591</v>
          </cell>
          <cell r="CR74">
            <v>622.92894517051172</v>
          </cell>
          <cell r="CS74">
            <v>615.29732161146876</v>
          </cell>
          <cell r="CT74">
            <v>597.43818698717689</v>
          </cell>
          <cell r="CU74">
            <v>651.434098324042</v>
          </cell>
          <cell r="CV74">
            <v>657.96435360109081</v>
          </cell>
          <cell r="CW74">
            <v>657.96435360109081</v>
          </cell>
          <cell r="CX74">
            <v>655.78760184207454</v>
          </cell>
          <cell r="CY74">
            <v>572.49589337098303</v>
          </cell>
          <cell r="CZ74">
            <v>731.21350373292591</v>
          </cell>
          <cell r="DA74">
            <v>598.41473628760355</v>
          </cell>
          <cell r="DB74">
            <v>696.53360291980937</v>
          </cell>
          <cell r="DC74">
            <v>838.38311798805125</v>
          </cell>
          <cell r="DD74">
            <v>818.07878470208095</v>
          </cell>
          <cell r="DE74">
            <v>745.35418375958307</v>
          </cell>
          <cell r="DF74">
            <v>858.51820674615954</v>
          </cell>
          <cell r="DG74">
            <v>801.93619525287136</v>
          </cell>
          <cell r="DH74">
            <v>687.42045667177115</v>
          </cell>
          <cell r="DI74">
            <v>576.63540483287863</v>
          </cell>
          <cell r="DK74">
            <v>410000</v>
          </cell>
          <cell r="DL74" t="str">
            <v>2020-21</v>
          </cell>
          <cell r="DM74">
            <v>200000</v>
          </cell>
          <cell r="DN74" t="str">
            <v>2020-21</v>
          </cell>
          <cell r="DO74">
            <v>1300000</v>
          </cell>
          <cell r="DP74" t="str">
            <v>2021-22</v>
          </cell>
          <cell r="DQ74">
            <v>1600000</v>
          </cell>
          <cell r="DR74" t="str">
            <v>2020-21</v>
          </cell>
          <cell r="DS74">
            <v>6230000</v>
          </cell>
          <cell r="DT74" t="str">
            <v>2020-21</v>
          </cell>
          <cell r="DU74">
            <v>17000000</v>
          </cell>
          <cell r="DV74" t="str">
            <v>2020-21</v>
          </cell>
          <cell r="DW74">
            <v>900000</v>
          </cell>
          <cell r="DX74" t="str">
            <v>2020-21</v>
          </cell>
          <cell r="DY74">
            <v>6950000</v>
          </cell>
          <cell r="DZ74" t="str">
            <v>2021-22</v>
          </cell>
          <cell r="EA74">
            <v>33980000</v>
          </cell>
          <cell r="EB74">
            <v>395000</v>
          </cell>
          <cell r="EC74" t="str">
            <v>2020-21</v>
          </cell>
          <cell r="ED74">
            <v>191392</v>
          </cell>
          <cell r="EE74">
            <v>2021</v>
          </cell>
          <cell r="EF74">
            <v>211099</v>
          </cell>
          <cell r="EG74">
            <v>2021</v>
          </cell>
          <cell r="EH74">
            <v>53517534</v>
          </cell>
          <cell r="EI74">
            <v>2021</v>
          </cell>
          <cell r="EJ74">
            <v>5350999</v>
          </cell>
          <cell r="EK74">
            <v>2021</v>
          </cell>
          <cell r="EL74">
            <v>14571766</v>
          </cell>
          <cell r="EM74">
            <v>2020</v>
          </cell>
          <cell r="EN74">
            <v>3132657</v>
          </cell>
          <cell r="EO74">
            <v>2020</v>
          </cell>
          <cell r="EP74">
            <v>6552</v>
          </cell>
          <cell r="EQ74">
            <v>3500000</v>
          </cell>
          <cell r="ER74">
            <v>76133.333333333328</v>
          </cell>
          <cell r="ET74">
            <v>16000</v>
          </cell>
          <cell r="EU74">
            <v>19131</v>
          </cell>
          <cell r="EV74">
            <v>9000</v>
          </cell>
          <cell r="EW74">
            <v>17492</v>
          </cell>
          <cell r="EX74">
            <v>61623</v>
          </cell>
          <cell r="EY74">
            <v>19904</v>
          </cell>
          <cell r="EZ74">
            <v>80798</v>
          </cell>
          <cell r="FA74">
            <v>20331</v>
          </cell>
          <cell r="FB74">
            <v>17550</v>
          </cell>
          <cell r="FC74">
            <v>37881</v>
          </cell>
          <cell r="FD74">
            <v>59807.5</v>
          </cell>
          <cell r="FF74">
            <v>1050000</v>
          </cell>
          <cell r="FG74" t="str">
            <v>2020-21</v>
          </cell>
          <cell r="FH74">
            <v>1400000</v>
          </cell>
          <cell r="FI74" t="str">
            <v>2020-21</v>
          </cell>
          <cell r="FJ74">
            <v>4500000</v>
          </cell>
          <cell r="FK74" t="str">
            <v>2020-21</v>
          </cell>
          <cell r="FL74">
            <v>3300000</v>
          </cell>
          <cell r="FM74" t="str">
            <v>2020-21</v>
          </cell>
          <cell r="FN74">
            <v>46000000</v>
          </cell>
          <cell r="FO74" t="str">
            <v>2020-21</v>
          </cell>
          <cell r="FP74">
            <v>47000000</v>
          </cell>
          <cell r="FQ74" t="str">
            <v>2020-21</v>
          </cell>
          <cell r="FR74">
            <v>3200000</v>
          </cell>
          <cell r="FS74" t="str">
            <v>2020-21</v>
          </cell>
          <cell r="FT74">
            <v>17600000</v>
          </cell>
          <cell r="FU74" t="str">
            <v>2020-21</v>
          </cell>
          <cell r="FV74">
            <v>121600000</v>
          </cell>
          <cell r="FW74">
            <v>1300000</v>
          </cell>
          <cell r="FX74" t="str">
            <v>2020-21</v>
          </cell>
          <cell r="FY74">
            <v>118082</v>
          </cell>
          <cell r="FZ74">
            <v>830855.84000000008</v>
          </cell>
          <cell r="GA74" t="str">
            <v>jun20 may21</v>
          </cell>
          <cell r="GB74">
            <v>22248266</v>
          </cell>
          <cell r="GC74">
            <v>2021</v>
          </cell>
          <cell r="GD74">
            <v>2015989</v>
          </cell>
          <cell r="GE74">
            <v>421371</v>
          </cell>
          <cell r="GF74">
            <v>1038163</v>
          </cell>
          <cell r="GG74">
            <v>89478</v>
          </cell>
          <cell r="GH74">
            <v>1549012</v>
          </cell>
          <cell r="GI74">
            <v>1302556</v>
          </cell>
          <cell r="GJ74">
            <v>600000</v>
          </cell>
          <cell r="GK74">
            <v>1362000</v>
          </cell>
          <cell r="GL74">
            <v>300000</v>
          </cell>
          <cell r="GM74">
            <v>261011.3</v>
          </cell>
          <cell r="GN74">
            <v>2523011.2999999998</v>
          </cell>
          <cell r="GO74">
            <v>199477</v>
          </cell>
          <cell r="GP74">
            <v>72919</v>
          </cell>
          <cell r="GQ74">
            <v>36781</v>
          </cell>
          <cell r="GR74">
            <v>44610</v>
          </cell>
          <cell r="GS74">
            <v>45713.43</v>
          </cell>
          <cell r="GT74">
            <v>2871705.88</v>
          </cell>
          <cell r="GU74">
            <v>62571</v>
          </cell>
          <cell r="GV74">
            <v>49390</v>
          </cell>
          <cell r="GW74">
            <v>1137745</v>
          </cell>
          <cell r="GX74">
            <v>37480.696000000004</v>
          </cell>
          <cell r="GY74" t="str">
            <v>2020-2021</v>
          </cell>
          <cell r="GZ74">
            <v>97886.411999999997</v>
          </cell>
          <cell r="HA74">
            <v>218170</v>
          </cell>
          <cell r="HB74">
            <v>3075678</v>
          </cell>
          <cell r="HC74" t="str">
            <v>jun20 may21</v>
          </cell>
          <cell r="HD74">
            <v>58468</v>
          </cell>
          <cell r="HE74">
            <v>678399</v>
          </cell>
          <cell r="HF74" t="str">
            <v>jun20 may21</v>
          </cell>
          <cell r="HG74">
            <v>177000</v>
          </cell>
          <cell r="HH74">
            <v>2193000</v>
          </cell>
          <cell r="HI74" t="str">
            <v>jun20 may21</v>
          </cell>
          <cell r="HJ74">
            <v>83052</v>
          </cell>
          <cell r="HK74">
            <v>58382.64</v>
          </cell>
          <cell r="HL74" t="str">
            <v>jun20 may21</v>
          </cell>
          <cell r="HM74">
            <v>2251382.64</v>
          </cell>
          <cell r="HN74">
            <v>3.4131799143051866E-2</v>
          </cell>
          <cell r="HO74">
            <v>900211731.15402663</v>
          </cell>
          <cell r="HP74">
            <v>11287.511731154025</v>
          </cell>
          <cell r="HQ74" t="str">
            <v>jun20 may21</v>
          </cell>
          <cell r="HU74">
            <v>700000</v>
          </cell>
          <cell r="HV74" t="str">
            <v>2020-21</v>
          </cell>
          <cell r="HW74">
            <v>1510000</v>
          </cell>
          <cell r="HX74" t="str">
            <v>2021-22</v>
          </cell>
          <cell r="HY74">
            <v>3190000</v>
          </cell>
          <cell r="HZ74" t="str">
            <v>2020-21</v>
          </cell>
          <cell r="IA74">
            <v>21410000</v>
          </cell>
          <cell r="IB74" t="str">
            <v>2020-21</v>
          </cell>
          <cell r="IC74">
            <v>45150000</v>
          </cell>
          <cell r="ID74" t="str">
            <v>2020-21</v>
          </cell>
          <cell r="IE74">
            <v>1200000</v>
          </cell>
          <cell r="IF74" t="str">
            <v>2020-21</v>
          </cell>
          <cell r="IG74">
            <v>7200000</v>
          </cell>
          <cell r="IH74" t="str">
            <v>2021-22</v>
          </cell>
          <cell r="II74">
            <v>79660000</v>
          </cell>
          <cell r="IJ74">
            <v>1.9073407006405101</v>
          </cell>
          <cell r="IK74" t="str">
            <v>2020-21</v>
          </cell>
          <cell r="IL74">
            <v>41.76</v>
          </cell>
          <cell r="IM74">
            <v>34.39</v>
          </cell>
          <cell r="IN74">
            <v>184</v>
          </cell>
          <cell r="IO74">
            <v>14.99</v>
          </cell>
          <cell r="IP74">
            <v>6.1006169215414161</v>
          </cell>
          <cell r="IQ74">
            <v>18.2</v>
          </cell>
          <cell r="IR74">
            <v>5.93</v>
          </cell>
          <cell r="IS74">
            <v>5.67</v>
          </cell>
          <cell r="IT74">
            <v>13.17</v>
          </cell>
          <cell r="IU74">
            <v>1.55</v>
          </cell>
          <cell r="IV74">
            <v>20.39</v>
          </cell>
          <cell r="IY74">
            <v>1.86</v>
          </cell>
          <cell r="IZ74">
            <v>0.3</v>
          </cell>
          <cell r="JA74">
            <v>2813</v>
          </cell>
          <cell r="JF74">
            <v>9.6150420299999997</v>
          </cell>
          <cell r="JG74">
            <v>25.037584840000001</v>
          </cell>
          <cell r="JH74">
            <v>78.274895519999987</v>
          </cell>
          <cell r="JI74">
            <v>354.88572108</v>
          </cell>
          <cell r="JJ74">
            <v>910.93948165999984</v>
          </cell>
          <cell r="JK74">
            <v>85.120705880000003</v>
          </cell>
          <cell r="JL74">
            <v>3297.05304609</v>
          </cell>
          <cell r="JM74">
            <v>74.321380809999994</v>
          </cell>
          <cell r="JN74">
            <v>298.27317977000001</v>
          </cell>
          <cell r="JO74">
            <v>22.113811960000003</v>
          </cell>
          <cell r="JP74">
            <v>0</v>
          </cell>
          <cell r="JQ74">
            <v>4.7940264000000008</v>
          </cell>
          <cell r="JR74">
            <v>1.27037048</v>
          </cell>
          <cell r="JS74">
            <v>0</v>
          </cell>
          <cell r="JT74">
            <v>0.26401228999999998</v>
          </cell>
          <cell r="JU74">
            <v>95.377984670000018</v>
          </cell>
          <cell r="JV74">
            <v>18.91269007</v>
          </cell>
          <cell r="JW74">
            <v>31.395724860000005</v>
          </cell>
          <cell r="JX74">
            <v>39.602195699999996</v>
          </cell>
          <cell r="JY74">
            <v>0</v>
          </cell>
          <cell r="JZ74">
            <v>0.6586924999999999</v>
          </cell>
          <cell r="KA74">
            <v>0.20499999999999999</v>
          </cell>
          <cell r="KB74">
            <v>24.790478520000001</v>
          </cell>
          <cell r="KC74">
            <v>5.2157630299999997</v>
          </cell>
          <cell r="KD74">
            <v>11.59124134</v>
          </cell>
          <cell r="KE74">
            <v>26.714968299999995</v>
          </cell>
          <cell r="KF74">
            <v>40.179445039999997</v>
          </cell>
          <cell r="KG74">
            <v>380.27310050999989</v>
          </cell>
          <cell r="KH74">
            <v>124.4193315</v>
          </cell>
          <cell r="KI74">
            <v>25.559541460000002</v>
          </cell>
          <cell r="KJ74">
            <v>8.3395388599999993</v>
          </cell>
          <cell r="KK74">
            <v>6.6092582099999984</v>
          </cell>
          <cell r="KL74">
            <v>0.20999200000000001</v>
          </cell>
          <cell r="KM74">
            <v>3.73296831</v>
          </cell>
          <cell r="KN74">
            <v>0.46877478</v>
          </cell>
          <cell r="KO74">
            <v>0.83974000000000015</v>
          </cell>
          <cell r="KP74">
            <v>1.4869170000000001E-2</v>
          </cell>
          <cell r="KQ74">
            <v>365.40920871000009</v>
          </cell>
          <cell r="KR74">
            <v>0</v>
          </cell>
          <cell r="KS74">
            <v>0.25443374000000002</v>
          </cell>
          <cell r="KT74">
            <v>0.86696507999999994</v>
          </cell>
          <cell r="KU74">
            <v>0.18787526000000002</v>
          </cell>
          <cell r="KV74">
            <v>0</v>
          </cell>
          <cell r="KW74">
            <v>1.7339618999999997</v>
          </cell>
          <cell r="KX74">
            <v>0</v>
          </cell>
          <cell r="KY74">
            <v>0</v>
          </cell>
          <cell r="KZ74">
            <v>1.4538980599999998</v>
          </cell>
          <cell r="LA74">
            <v>1.0086831000000001</v>
          </cell>
          <cell r="LB74">
            <v>7.0166419999999993E-2</v>
          </cell>
          <cell r="LC74">
            <v>3.0943470000000001E-2</v>
          </cell>
          <cell r="LD74">
            <v>0</v>
          </cell>
          <cell r="LE74">
            <v>1.2604846199999999</v>
          </cell>
          <cell r="LF74">
            <v>0</v>
          </cell>
          <cell r="LG74">
            <v>22.208911499999999</v>
          </cell>
          <cell r="LH74">
            <v>5.3765226199999994</v>
          </cell>
          <cell r="LI74">
            <v>3.2706675499999998</v>
          </cell>
          <cell r="LJ74">
            <v>0</v>
          </cell>
          <cell r="LK74">
            <v>2.2479538299999997</v>
          </cell>
          <cell r="LL74">
            <v>7.8024150700000012</v>
          </cell>
          <cell r="LM74">
            <v>1.2424360699999999</v>
          </cell>
          <cell r="LN74">
            <v>0.34898129999999994</v>
          </cell>
          <cell r="LO74">
            <v>7.872352310000001</v>
          </cell>
          <cell r="LQ74">
            <v>5013.7477049299996</v>
          </cell>
          <cell r="LR74">
            <v>6.3284091700000005</v>
          </cell>
          <cell r="LS74">
            <v>50.308414930000005</v>
          </cell>
          <cell r="LT74">
            <v>0.86369249999999986</v>
          </cell>
          <cell r="LU74">
            <v>370.7051255400001</v>
          </cell>
          <cell r="LV74">
            <v>1.7339618999999997</v>
          </cell>
          <cell r="LW74">
            <v>1.0788495200000001</v>
          </cell>
          <cell r="LX74">
            <v>1.2604846199999999</v>
          </cell>
          <cell r="LZ74">
            <v>98.62</v>
          </cell>
          <cell r="MA74">
            <v>108.97</v>
          </cell>
          <cell r="MH74">
            <v>172.29</v>
          </cell>
          <cell r="MI74">
            <v>49.51</v>
          </cell>
          <cell r="MJ74">
            <v>55.95</v>
          </cell>
          <cell r="ML74">
            <v>63.4</v>
          </cell>
          <cell r="MM74">
            <v>116.75</v>
          </cell>
          <cell r="MO74">
            <v>56.16</v>
          </cell>
          <cell r="MP74">
            <v>112.41</v>
          </cell>
          <cell r="MQ74">
            <v>164.73</v>
          </cell>
          <cell r="MU74">
            <v>93.25</v>
          </cell>
          <cell r="MY74">
            <v>184.25</v>
          </cell>
          <cell r="MZ74">
            <v>504</v>
          </cell>
          <cell r="NA74">
            <v>177.13</v>
          </cell>
          <cell r="NB74">
            <v>671.4</v>
          </cell>
          <cell r="NC74">
            <v>77.209999999999994</v>
          </cell>
          <cell r="NE74">
            <v>463.43</v>
          </cell>
        </row>
        <row r="75">
          <cell r="A75">
            <v>44348</v>
          </cell>
          <cell r="B75">
            <v>6</v>
          </cell>
          <cell r="C75">
            <v>2021</v>
          </cell>
          <cell r="D75">
            <v>75</v>
          </cell>
          <cell r="E75">
            <v>44348</v>
          </cell>
          <cell r="F75">
            <v>97.23</v>
          </cell>
          <cell r="G75">
            <v>483.60489999999999</v>
          </cell>
          <cell r="H75">
            <v>38770.699999999997</v>
          </cell>
          <cell r="I75">
            <v>92</v>
          </cell>
          <cell r="J75">
            <v>550</v>
          </cell>
          <cell r="K75">
            <v>6</v>
          </cell>
          <cell r="L75">
            <v>22.9</v>
          </cell>
          <cell r="N75">
            <v>1.679</v>
          </cell>
          <cell r="O75">
            <v>1.5249999999999999</v>
          </cell>
          <cell r="P75">
            <v>147.97433699999999</v>
          </cell>
          <cell r="Q75">
            <v>2550</v>
          </cell>
          <cell r="R75">
            <v>25500</v>
          </cell>
          <cell r="S75">
            <v>213.62</v>
          </cell>
          <cell r="T75">
            <v>414.04</v>
          </cell>
          <cell r="U75">
            <v>188.00476190476192</v>
          </cell>
          <cell r="V75">
            <v>305.42857142857144</v>
          </cell>
          <cell r="W75">
            <v>217.04</v>
          </cell>
          <cell r="X75">
            <v>207.62380952380948</v>
          </cell>
          <cell r="Y75">
            <v>20770.2726</v>
          </cell>
          <cell r="Z75">
            <v>40257.109200000006</v>
          </cell>
          <cell r="AA75">
            <v>18279.703000000001</v>
          </cell>
          <cell r="AB75">
            <v>29696.820000000003</v>
          </cell>
          <cell r="AC75">
            <v>21102.799200000001</v>
          </cell>
          <cell r="AD75">
            <v>20187.262999999995</v>
          </cell>
          <cell r="AE75">
            <v>25048.994500000004</v>
          </cell>
          <cell r="AF75">
            <v>68562.476190476184</v>
          </cell>
          <cell r="AG75">
            <v>29700</v>
          </cell>
          <cell r="AH75">
            <v>112860</v>
          </cell>
          <cell r="AI75">
            <v>37.617699999999999</v>
          </cell>
          <cell r="AJ75">
            <v>32.770000000000003</v>
          </cell>
          <cell r="AK75">
            <v>33.35</v>
          </cell>
          <cell r="AL75">
            <v>29.54</v>
          </cell>
          <cell r="AM75">
            <v>34.375541999999996</v>
          </cell>
          <cell r="AN75">
            <v>92.163896103896121</v>
          </cell>
          <cell r="AO75">
            <v>73.126818181818194</v>
          </cell>
          <cell r="AP75">
            <v>82.645357142857165</v>
          </cell>
          <cell r="AQ75">
            <v>29.16954545454546</v>
          </cell>
          <cell r="AR75">
            <v>36.464545454545458</v>
          </cell>
          <cell r="AS75">
            <v>36.589090909090913</v>
          </cell>
          <cell r="AT75">
            <v>50.52272727272728</v>
          </cell>
          <cell r="AU75">
            <v>41.192121212121215</v>
          </cell>
          <cell r="AV75">
            <v>19.398148148148149</v>
          </cell>
          <cell r="AW75">
            <v>27.899090909090908</v>
          </cell>
          <cell r="AX75">
            <v>20.990454545454551</v>
          </cell>
          <cell r="AY75">
            <v>62.227727272727272</v>
          </cell>
          <cell r="AZ75">
            <v>24.757272727272721</v>
          </cell>
          <cell r="BA75">
            <v>20.925454545454549</v>
          </cell>
          <cell r="BB75">
            <v>32.225227272727274</v>
          </cell>
          <cell r="BC75">
            <v>3479</v>
          </cell>
          <cell r="BD75">
            <v>2350</v>
          </cell>
          <cell r="BE75">
            <v>1800</v>
          </cell>
          <cell r="BF75">
            <v>1500</v>
          </cell>
          <cell r="BG75">
            <v>2282.25</v>
          </cell>
          <cell r="BH75">
            <v>191.89</v>
          </cell>
          <cell r="BI75">
            <v>25</v>
          </cell>
          <cell r="BJ75">
            <v>216.89</v>
          </cell>
          <cell r="BK75">
            <v>191.791</v>
          </cell>
          <cell r="BL75">
            <v>232.4</v>
          </cell>
          <cell r="BM75">
            <v>212.09550000000002</v>
          </cell>
          <cell r="BN75">
            <v>31.32</v>
          </cell>
          <cell r="BO75">
            <v>134.5</v>
          </cell>
          <cell r="BP75">
            <v>76.510000000000005</v>
          </cell>
          <cell r="BQ75">
            <v>128.70099999999999</v>
          </cell>
          <cell r="BR75">
            <v>107.33</v>
          </cell>
          <cell r="BS75">
            <v>380</v>
          </cell>
          <cell r="BT75">
            <v>140.98349999999999</v>
          </cell>
          <cell r="BU75">
            <v>4982.9504999999999</v>
          </cell>
          <cell r="BV75">
            <v>271</v>
          </cell>
          <cell r="BW75">
            <v>310</v>
          </cell>
          <cell r="BY75">
            <v>857.91259430963828</v>
          </cell>
          <cell r="BZ75">
            <v>771.36732635444594</v>
          </cell>
          <cell r="CA75">
            <v>874.52006552733985</v>
          </cell>
          <cell r="CB75">
            <v>877.38693181041003</v>
          </cell>
          <cell r="CC75">
            <v>819.44104739645934</v>
          </cell>
          <cell r="CD75">
            <v>868.15387426148527</v>
          </cell>
          <cell r="CE75">
            <v>849.98566515691186</v>
          </cell>
          <cell r="CF75">
            <v>868.87051444528095</v>
          </cell>
          <cell r="CG75">
            <v>859.72634976631446</v>
          </cell>
          <cell r="CH75">
            <v>917.0373372990822</v>
          </cell>
          <cell r="CI75">
            <v>779.05125313795781</v>
          </cell>
          <cell r="CJ75">
            <v>613.3648831610202</v>
          </cell>
          <cell r="CK75">
            <v>699.37869548817218</v>
          </cell>
          <cell r="CL75">
            <v>843.64203306130503</v>
          </cell>
          <cell r="CM75">
            <v>568.90182029714276</v>
          </cell>
          <cell r="CN75">
            <v>593.34988969380117</v>
          </cell>
          <cell r="CO75">
            <v>676.31810963510532</v>
          </cell>
          <cell r="CP75">
            <v>821.65282350086954</v>
          </cell>
          <cell r="CQ75">
            <v>637.34562822251849</v>
          </cell>
          <cell r="CR75">
            <v>664.33100147805305</v>
          </cell>
          <cell r="CS75">
            <v>650.83831485028577</v>
          </cell>
          <cell r="CT75">
            <v>617.61743631182571</v>
          </cell>
          <cell r="CU75">
            <v>676.14701929725163</v>
          </cell>
          <cell r="CV75">
            <v>675.45185692876134</v>
          </cell>
          <cell r="CW75">
            <v>675.45185692876134</v>
          </cell>
          <cell r="CX75">
            <v>675.68357771825811</v>
          </cell>
          <cell r="CY75">
            <v>584.67397691972633</v>
          </cell>
          <cell r="CZ75">
            <v>764.40689384522602</v>
          </cell>
          <cell r="DA75">
            <v>619.87416501870143</v>
          </cell>
          <cell r="DB75">
            <v>730.01274338550616</v>
          </cell>
          <cell r="DC75">
            <v>825.74346975877916</v>
          </cell>
          <cell r="DD75">
            <v>799.82458979326771</v>
          </cell>
          <cell r="DE75">
            <v>721.4615943313114</v>
          </cell>
          <cell r="DF75">
            <v>832.87728555263027</v>
          </cell>
          <cell r="DG75">
            <v>777.16943994197084</v>
          </cell>
          <cell r="DH75">
            <v>710.65742708817777</v>
          </cell>
          <cell r="DI75">
            <v>598.10068036519124</v>
          </cell>
          <cell r="DK75">
            <v>410000</v>
          </cell>
          <cell r="DL75" t="str">
            <v>2020-21</v>
          </cell>
          <cell r="DM75">
            <v>200000</v>
          </cell>
          <cell r="DN75" t="str">
            <v>2020-21</v>
          </cell>
          <cell r="DO75">
            <v>1300000</v>
          </cell>
          <cell r="DP75" t="str">
            <v>2021-22</v>
          </cell>
          <cell r="DQ75">
            <v>1700000</v>
          </cell>
          <cell r="DR75" t="str">
            <v>2020-21</v>
          </cell>
          <cell r="DS75">
            <v>6200000</v>
          </cell>
          <cell r="DT75" t="str">
            <v>2020-21</v>
          </cell>
          <cell r="DU75">
            <v>16800000</v>
          </cell>
          <cell r="DV75" t="str">
            <v>2020-21</v>
          </cell>
          <cell r="DW75">
            <v>950000</v>
          </cell>
          <cell r="DX75" t="str">
            <v>2020-21</v>
          </cell>
          <cell r="DY75">
            <v>6950000</v>
          </cell>
          <cell r="DZ75" t="str">
            <v>2021-22</v>
          </cell>
          <cell r="EA75">
            <v>33900000</v>
          </cell>
          <cell r="EB75">
            <v>400000</v>
          </cell>
          <cell r="EC75" t="str">
            <v>2020-21</v>
          </cell>
          <cell r="ED75">
            <v>191392</v>
          </cell>
          <cell r="EE75">
            <v>2021</v>
          </cell>
          <cell r="EF75">
            <v>211099</v>
          </cell>
          <cell r="EG75">
            <v>2021</v>
          </cell>
          <cell r="EH75">
            <v>53517534</v>
          </cell>
          <cell r="EI75">
            <v>2021</v>
          </cell>
          <cell r="EJ75">
            <v>5350999</v>
          </cell>
          <cell r="EK75">
            <v>2021</v>
          </cell>
          <cell r="EL75">
            <v>14571766</v>
          </cell>
          <cell r="EM75">
            <v>2020</v>
          </cell>
          <cell r="EN75">
            <v>3132657</v>
          </cell>
          <cell r="EO75">
            <v>2020</v>
          </cell>
          <cell r="EP75">
            <v>6552</v>
          </cell>
          <cell r="EQ75">
            <v>3500000</v>
          </cell>
          <cell r="ER75">
            <v>76133.333333333328</v>
          </cell>
          <cell r="ET75">
            <v>16000</v>
          </cell>
          <cell r="EU75">
            <v>19131</v>
          </cell>
          <cell r="EV75">
            <v>9000</v>
          </cell>
          <cell r="EW75">
            <v>17492</v>
          </cell>
          <cell r="EX75">
            <v>61623</v>
          </cell>
          <cell r="EY75">
            <v>19904</v>
          </cell>
          <cell r="EZ75">
            <v>80798</v>
          </cell>
          <cell r="FA75">
            <v>20331</v>
          </cell>
          <cell r="FB75">
            <v>17550</v>
          </cell>
          <cell r="FC75">
            <v>37881</v>
          </cell>
          <cell r="FD75">
            <v>59807.5</v>
          </cell>
          <cell r="FF75">
            <v>1050000</v>
          </cell>
          <cell r="FG75" t="str">
            <v>2020-21</v>
          </cell>
          <cell r="FH75">
            <v>1400000</v>
          </cell>
          <cell r="FI75" t="str">
            <v>2020-21</v>
          </cell>
          <cell r="FJ75">
            <v>4500000</v>
          </cell>
          <cell r="FK75" t="str">
            <v>2020-21</v>
          </cell>
          <cell r="FL75">
            <v>3400000</v>
          </cell>
          <cell r="FM75" t="str">
            <v>2020-21</v>
          </cell>
          <cell r="FN75">
            <v>48000000</v>
          </cell>
          <cell r="FO75" t="str">
            <v>2020-21</v>
          </cell>
          <cell r="FP75">
            <v>46500000</v>
          </cell>
          <cell r="FQ75" t="str">
            <v>2020-21</v>
          </cell>
          <cell r="FR75">
            <v>3200000</v>
          </cell>
          <cell r="FS75" t="str">
            <v>2020-21</v>
          </cell>
          <cell r="FT75">
            <v>17600000</v>
          </cell>
          <cell r="FU75" t="str">
            <v>2020-21</v>
          </cell>
          <cell r="FV75">
            <v>123200000</v>
          </cell>
          <cell r="FW75">
            <v>1250000</v>
          </cell>
          <cell r="FX75" t="str">
            <v>2020-21</v>
          </cell>
          <cell r="FY75">
            <v>113459</v>
          </cell>
          <cell r="FZ75">
            <v>840213.84000000008</v>
          </cell>
          <cell r="GA75" t="str">
            <v>jul20 jun21</v>
          </cell>
          <cell r="GB75">
            <v>22248266</v>
          </cell>
          <cell r="GC75">
            <v>2021</v>
          </cell>
          <cell r="GD75">
            <v>2015989</v>
          </cell>
          <cell r="GE75">
            <v>421371</v>
          </cell>
          <cell r="GF75">
            <v>1038163</v>
          </cell>
          <cell r="GG75">
            <v>89478</v>
          </cell>
          <cell r="GH75">
            <v>1549012</v>
          </cell>
          <cell r="GI75">
            <v>1302556</v>
          </cell>
          <cell r="GJ75">
            <v>600000</v>
          </cell>
          <cell r="GK75">
            <v>1362000</v>
          </cell>
          <cell r="GL75">
            <v>300000</v>
          </cell>
          <cell r="GM75">
            <v>261011.3</v>
          </cell>
          <cell r="GN75">
            <v>2523011.2999999998</v>
          </cell>
          <cell r="GO75">
            <v>199477</v>
          </cell>
          <cell r="GP75">
            <v>72919</v>
          </cell>
          <cell r="GQ75">
            <v>22250</v>
          </cell>
          <cell r="GR75">
            <v>42288</v>
          </cell>
          <cell r="GS75">
            <v>42955.5</v>
          </cell>
          <cell r="GT75">
            <v>2871705.88</v>
          </cell>
          <cell r="GU75">
            <v>41260</v>
          </cell>
          <cell r="GV75">
            <v>32720</v>
          </cell>
          <cell r="GW75">
            <v>1110346</v>
          </cell>
          <cell r="GX75">
            <v>37480.696000000004</v>
          </cell>
          <cell r="GY75" t="str">
            <v>2020-2021</v>
          </cell>
          <cell r="GZ75">
            <v>97886.411999999997</v>
          </cell>
          <cell r="HA75">
            <v>251000</v>
          </cell>
          <cell r="HB75">
            <v>3057245</v>
          </cell>
          <cell r="HC75" t="str">
            <v>jul20 jun21</v>
          </cell>
          <cell r="HD75">
            <v>63000</v>
          </cell>
          <cell r="HE75">
            <v>678916</v>
          </cell>
          <cell r="HF75" t="str">
            <v>jul20 jun21</v>
          </cell>
          <cell r="HG75">
            <v>198253</v>
          </cell>
          <cell r="HH75">
            <v>2207253</v>
          </cell>
          <cell r="HI75" t="str">
            <v>jul20 jun21</v>
          </cell>
          <cell r="HJ75">
            <v>86275</v>
          </cell>
          <cell r="HK75">
            <v>59448.959999999999</v>
          </cell>
          <cell r="HL75" t="str">
            <v>jul20 jun21</v>
          </cell>
          <cell r="HM75">
            <v>2266701.96</v>
          </cell>
          <cell r="HN75">
            <v>2.9995666181899638E-2</v>
          </cell>
          <cell r="HO75">
            <v>920713126</v>
          </cell>
          <cell r="HP75">
            <v>11314.324857154026</v>
          </cell>
          <cell r="HQ75" t="str">
            <v>jul20 jun21</v>
          </cell>
          <cell r="HU75">
            <v>700000</v>
          </cell>
          <cell r="HV75" t="str">
            <v>2020-21</v>
          </cell>
          <cell r="HW75">
            <v>1510000</v>
          </cell>
          <cell r="HX75" t="str">
            <v>2021-22</v>
          </cell>
          <cell r="HY75">
            <v>3190000</v>
          </cell>
          <cell r="HZ75" t="str">
            <v>2020-21</v>
          </cell>
          <cell r="IA75">
            <v>21410000</v>
          </cell>
          <cell r="IB75" t="str">
            <v>2020-21</v>
          </cell>
          <cell r="IC75">
            <v>45150000</v>
          </cell>
          <cell r="ID75" t="str">
            <v>2020-21</v>
          </cell>
          <cell r="IE75">
            <v>1200000</v>
          </cell>
          <cell r="IF75" t="str">
            <v>2020-21</v>
          </cell>
          <cell r="IG75">
            <v>7200000</v>
          </cell>
          <cell r="IH75" t="str">
            <v>2021-22</v>
          </cell>
          <cell r="II75">
            <v>79660000</v>
          </cell>
          <cell r="IJ75">
            <v>1.9073407006405101</v>
          </cell>
          <cell r="IK75" t="str">
            <v>2020-21</v>
          </cell>
          <cell r="IL75">
            <v>48.32</v>
          </cell>
          <cell r="IM75">
            <v>53.85</v>
          </cell>
          <cell r="IN75">
            <v>191.4</v>
          </cell>
          <cell r="IO75">
            <v>15.01</v>
          </cell>
          <cell r="IP75">
            <v>6.1006169215414161</v>
          </cell>
          <cell r="IQ75">
            <v>18.2</v>
          </cell>
          <cell r="IR75">
            <v>5.93</v>
          </cell>
          <cell r="IS75">
            <v>5.67</v>
          </cell>
          <cell r="IT75">
            <v>13.17</v>
          </cell>
          <cell r="IU75">
            <v>1.55</v>
          </cell>
          <cell r="IV75">
            <v>20.39</v>
          </cell>
          <cell r="IY75">
            <v>1.86</v>
          </cell>
          <cell r="IZ75">
            <v>0.3</v>
          </cell>
          <cell r="JA75">
            <v>2813</v>
          </cell>
          <cell r="JF75">
            <v>16.198793210000002</v>
          </cell>
          <cell r="JG75">
            <v>35.436243250000004</v>
          </cell>
          <cell r="JH75">
            <v>126.38118942</v>
          </cell>
          <cell r="JI75">
            <v>289.48988453999999</v>
          </cell>
          <cell r="JJ75">
            <v>1094.8459049000001</v>
          </cell>
          <cell r="JK75">
            <v>71.314274389999994</v>
          </cell>
          <cell r="JL75">
            <v>3214.5317811199998</v>
          </cell>
          <cell r="JM75">
            <v>78.326844620000003</v>
          </cell>
          <cell r="JN75">
            <v>211.03173322000001</v>
          </cell>
          <cell r="JO75">
            <v>25.296241349999999</v>
          </cell>
          <cell r="JP75">
            <v>0</v>
          </cell>
          <cell r="JQ75">
            <v>1.05133236</v>
          </cell>
          <cell r="JR75">
            <v>0.91624802000000005</v>
          </cell>
          <cell r="JS75">
            <v>0</v>
          </cell>
          <cell r="JT75">
            <v>2.5440000000000001E-2</v>
          </cell>
          <cell r="JU75">
            <v>81.893478630000004</v>
          </cell>
          <cell r="JV75">
            <v>25.826087690000001</v>
          </cell>
          <cell r="JW75">
            <v>19.383884059999996</v>
          </cell>
          <cell r="JX75">
            <v>67.750553279999991</v>
          </cell>
          <cell r="JY75">
            <v>0</v>
          </cell>
          <cell r="JZ75">
            <v>3.39401405</v>
          </cell>
          <cell r="KA75">
            <v>0.48321958999999998</v>
          </cell>
          <cell r="KB75">
            <v>32.134948460000004</v>
          </cell>
          <cell r="KC75">
            <v>10.597406970000002</v>
          </cell>
          <cell r="KD75">
            <v>9.7806411700000009</v>
          </cell>
          <cell r="KE75">
            <v>26.64633826</v>
          </cell>
          <cell r="KF75">
            <v>39.126780149999995</v>
          </cell>
          <cell r="KG75">
            <v>253.74870389000006</v>
          </cell>
          <cell r="KH75">
            <v>88.190113580000016</v>
          </cell>
          <cell r="KI75">
            <v>27.240637330000002</v>
          </cell>
          <cell r="KJ75">
            <v>10.847779999999997</v>
          </cell>
          <cell r="KK75">
            <v>6.6603100399999997</v>
          </cell>
          <cell r="KL75">
            <v>0.21468284000000001</v>
          </cell>
          <cell r="KM75">
            <v>1.51678114</v>
          </cell>
          <cell r="KN75">
            <v>7.338887999999999E-2</v>
          </cell>
          <cell r="KO75">
            <v>1.1625277999999999</v>
          </cell>
          <cell r="KP75">
            <v>0.18804257999999999</v>
          </cell>
          <cell r="KQ75">
            <v>337.78776054000002</v>
          </cell>
          <cell r="KR75">
            <v>0.36596083999999995</v>
          </cell>
          <cell r="KS75">
            <v>0.22839721000000002</v>
          </cell>
          <cell r="KT75">
            <v>0.82773235999999994</v>
          </cell>
          <cell r="KU75">
            <v>9.6263029999999999E-2</v>
          </cell>
          <cell r="KV75">
            <v>8.924350000000001E-3</v>
          </cell>
          <cell r="KW75">
            <v>2.97583383</v>
          </cell>
          <cell r="KX75">
            <v>0</v>
          </cell>
          <cell r="KY75">
            <v>0</v>
          </cell>
          <cell r="KZ75">
            <v>1.6535229599999999</v>
          </cell>
          <cell r="LA75">
            <v>0.93975511</v>
          </cell>
          <cell r="LB75">
            <v>1.042473E-2</v>
          </cell>
          <cell r="LC75">
            <v>7.198736E-2</v>
          </cell>
          <cell r="LD75">
            <v>0</v>
          </cell>
          <cell r="LE75">
            <v>1.0120167900000001</v>
          </cell>
          <cell r="LF75">
            <v>0.13701888000000001</v>
          </cell>
          <cell r="LG75">
            <v>18.996845619999998</v>
          </cell>
          <cell r="LH75">
            <v>7.4379812199999993</v>
          </cell>
          <cell r="LI75">
            <v>4.7457782000000002</v>
          </cell>
          <cell r="LJ75">
            <v>9.8459999999999989E-5</v>
          </cell>
          <cell r="LK75">
            <v>3.0977583200000001</v>
          </cell>
          <cell r="LL75">
            <v>9.4404878099999987</v>
          </cell>
          <cell r="LM75">
            <v>0.8815407799999998</v>
          </cell>
          <cell r="LN75">
            <v>1.8496220000000001E-2</v>
          </cell>
          <cell r="LO75">
            <v>7.5606034900000001</v>
          </cell>
          <cell r="LQ75">
            <v>5014.6073378199999</v>
          </cell>
          <cell r="LR75">
            <v>1.9930203799999999</v>
          </cell>
          <cell r="LS75">
            <v>45.209971749999994</v>
          </cell>
          <cell r="LT75">
            <v>3.87723364</v>
          </cell>
          <cell r="LU75">
            <v>341.13481641000004</v>
          </cell>
          <cell r="LV75">
            <v>2.98475818</v>
          </cell>
          <cell r="LW75">
            <v>0.95017984</v>
          </cell>
          <cell r="LX75">
            <v>1.1490356700000002</v>
          </cell>
          <cell r="LZ75">
            <v>103.47</v>
          </cell>
          <cell r="MA75">
            <v>111.68</v>
          </cell>
          <cell r="MH75">
            <v>182.91</v>
          </cell>
          <cell r="MI75">
            <v>50.94</v>
          </cell>
          <cell r="MJ75">
            <v>53.33</v>
          </cell>
          <cell r="ML75">
            <v>57.81</v>
          </cell>
          <cell r="MM75">
            <v>106.9</v>
          </cell>
          <cell r="MO75">
            <v>54.6</v>
          </cell>
          <cell r="MP75">
            <v>121.42</v>
          </cell>
          <cell r="MQ75">
            <v>164.77</v>
          </cell>
          <cell r="MU75">
            <v>76.31</v>
          </cell>
          <cell r="MY75">
            <v>190.03</v>
          </cell>
          <cell r="MZ75">
            <v>507</v>
          </cell>
          <cell r="NA75">
            <v>182.8</v>
          </cell>
          <cell r="NB75">
            <v>701.91</v>
          </cell>
          <cell r="NC75">
            <v>84.1</v>
          </cell>
          <cell r="NE75">
            <v>455.11</v>
          </cell>
        </row>
        <row r="76">
          <cell r="A76">
            <v>44378</v>
          </cell>
          <cell r="B76">
            <v>7</v>
          </cell>
          <cell r="C76">
            <v>2021</v>
          </cell>
          <cell r="D76">
            <v>76</v>
          </cell>
          <cell r="E76">
            <v>44378</v>
          </cell>
          <cell r="F76">
            <v>98.31</v>
          </cell>
          <cell r="G76">
            <v>498.09870000000001</v>
          </cell>
          <cell r="H76">
            <v>38770.699999999997</v>
          </cell>
          <cell r="I76">
            <v>91</v>
          </cell>
          <cell r="J76">
            <v>620</v>
          </cell>
          <cell r="K76">
            <v>8.8000000000000007</v>
          </cell>
          <cell r="L76">
            <v>27.2</v>
          </cell>
          <cell r="N76">
            <v>1.768</v>
          </cell>
          <cell r="O76">
            <v>1.613</v>
          </cell>
          <cell r="P76">
            <v>157.88340224999999</v>
          </cell>
          <cell r="Q76">
            <v>2510</v>
          </cell>
          <cell r="R76">
            <v>25100</v>
          </cell>
          <cell r="S76">
            <v>213.62</v>
          </cell>
          <cell r="T76">
            <v>346.09</v>
          </cell>
          <cell r="U76">
            <v>187.73333333333335</v>
          </cell>
          <cell r="V76">
            <v>305.86190476190473</v>
          </cell>
          <cell r="W76">
            <v>201.2</v>
          </cell>
          <cell r="X76">
            <v>204.10476190476189</v>
          </cell>
          <cell r="Y76">
            <v>21000.982200000002</v>
          </cell>
          <cell r="Z76">
            <v>34024.107899999995</v>
          </cell>
          <cell r="AA76">
            <v>18456.064000000002</v>
          </cell>
          <cell r="AB76">
            <v>30069.283857142855</v>
          </cell>
          <cell r="AC76">
            <v>19779.971999999998</v>
          </cell>
          <cell r="AD76">
            <v>20065.539142857142</v>
          </cell>
          <cell r="AE76">
            <v>23899.324850000001</v>
          </cell>
          <cell r="AF76">
            <v>69831.71428571429</v>
          </cell>
          <cell r="AG76">
            <v>29700</v>
          </cell>
          <cell r="AH76">
            <v>112860</v>
          </cell>
          <cell r="AI76">
            <v>39.520000000000003</v>
          </cell>
          <cell r="AJ76">
            <v>35.049999999999997</v>
          </cell>
          <cell r="AK76">
            <v>37.71</v>
          </cell>
          <cell r="AL76">
            <v>31.39</v>
          </cell>
          <cell r="AM76">
            <v>36.919400000000003</v>
          </cell>
          <cell r="AN76">
            <v>101.02696629213483</v>
          </cell>
          <cell r="AO76">
            <v>81.945238095238096</v>
          </cell>
          <cell r="AP76">
            <v>91.486102193686463</v>
          </cell>
          <cell r="AQ76">
            <v>25.797619047619047</v>
          </cell>
          <cell r="AR76">
            <v>27.675238095238093</v>
          </cell>
          <cell r="AS76">
            <v>27.258095238095247</v>
          </cell>
          <cell r="AT76">
            <v>41.417142857142863</v>
          </cell>
          <cell r="AU76">
            <v>32.116825396825398</v>
          </cell>
          <cell r="AV76">
            <v>19.344078947368423</v>
          </cell>
          <cell r="AW76">
            <v>26.936190476190475</v>
          </cell>
          <cell r="AX76">
            <v>18.812380952380952</v>
          </cell>
          <cell r="AY76">
            <v>100.31571428571429</v>
          </cell>
          <cell r="AZ76">
            <v>23.506190476190479</v>
          </cell>
          <cell r="BA76">
            <v>25.172083333333333</v>
          </cell>
          <cell r="BB76">
            <v>41.951592261904764</v>
          </cell>
          <cell r="BC76">
            <v>3827</v>
          </cell>
          <cell r="BD76">
            <v>2426</v>
          </cell>
          <cell r="BE76">
            <v>1800</v>
          </cell>
          <cell r="BF76">
            <v>1500</v>
          </cell>
          <cell r="BG76">
            <v>2388.25</v>
          </cell>
          <cell r="BH76">
            <v>191.89</v>
          </cell>
          <cell r="BI76">
            <v>85</v>
          </cell>
          <cell r="BJ76">
            <v>276.89</v>
          </cell>
          <cell r="BK76">
            <v>183.74600000000001</v>
          </cell>
          <cell r="BL76">
            <v>224.42</v>
          </cell>
          <cell r="BM76">
            <v>204.083</v>
          </cell>
          <cell r="BN76">
            <v>32.15</v>
          </cell>
          <cell r="BO76">
            <v>132.5</v>
          </cell>
          <cell r="BP76">
            <v>76.510000000000005</v>
          </cell>
          <cell r="BQ76">
            <v>126.901</v>
          </cell>
          <cell r="BR76">
            <v>108.99</v>
          </cell>
          <cell r="BS76">
            <v>375</v>
          </cell>
          <cell r="BT76">
            <v>142.54949999999999</v>
          </cell>
          <cell r="BU76">
            <v>4927.6485000000002</v>
          </cell>
          <cell r="BV76">
            <v>273.2</v>
          </cell>
          <cell r="BW76">
            <v>335</v>
          </cell>
          <cell r="BY76">
            <v>940.87036392531616</v>
          </cell>
          <cell r="BZ76">
            <v>820.53502108497719</v>
          </cell>
          <cell r="CA76">
            <v>953.5647845662437</v>
          </cell>
          <cell r="CB76">
            <v>887.11993559278972</v>
          </cell>
          <cell r="CC76">
            <v>893.31681700089621</v>
          </cell>
          <cell r="CD76">
            <v>929.71449919914858</v>
          </cell>
          <cell r="CE76">
            <v>899.8765613060034</v>
          </cell>
          <cell r="CF76">
            <v>941.97859104743213</v>
          </cell>
          <cell r="CG76">
            <v>917.59519811875225</v>
          </cell>
          <cell r="CH76">
            <v>979.2596380606202</v>
          </cell>
          <cell r="CI76">
            <v>886.91140325112451</v>
          </cell>
          <cell r="CJ76">
            <v>652.91621243717248</v>
          </cell>
          <cell r="CK76">
            <v>779.5033083018302</v>
          </cell>
          <cell r="CL76">
            <v>1091.0867698560273</v>
          </cell>
          <cell r="CM76">
            <v>614.36542241273139</v>
          </cell>
          <cell r="CN76">
            <v>665.28096988970344</v>
          </cell>
          <cell r="CO76">
            <v>787.55911761507309</v>
          </cell>
          <cell r="CP76">
            <v>888.39633617112986</v>
          </cell>
          <cell r="CQ76">
            <v>702.58321260284549</v>
          </cell>
          <cell r="CR76">
            <v>734.86709676920509</v>
          </cell>
          <cell r="CS76">
            <v>718.72515468602523</v>
          </cell>
          <cell r="CT76">
            <v>677.02451118093893</v>
          </cell>
          <cell r="CU76">
            <v>750.13060646785607</v>
          </cell>
          <cell r="CV76">
            <v>748.91790775994127</v>
          </cell>
          <cell r="CW76">
            <v>748.91790775994127</v>
          </cell>
          <cell r="CX76">
            <v>749.3221406625795</v>
          </cell>
          <cell r="CY76">
            <v>618.7211608819664</v>
          </cell>
          <cell r="CZ76">
            <v>818.04833307715921</v>
          </cell>
          <cell r="DA76">
            <v>669.11184406311224</v>
          </cell>
          <cell r="DB76">
            <v>812.02644020222488</v>
          </cell>
          <cell r="DC76">
            <v>833.62748838480945</v>
          </cell>
          <cell r="DD76">
            <v>809.29278785330894</v>
          </cell>
          <cell r="DE76">
            <v>727.32266562850828</v>
          </cell>
          <cell r="DF76">
            <v>844.56685165789236</v>
          </cell>
          <cell r="DG76">
            <v>785.94475864320032</v>
          </cell>
          <cell r="DH76">
            <v>772.18297276147712</v>
          </cell>
          <cell r="DI76">
            <v>630.22839874861097</v>
          </cell>
          <cell r="DK76">
            <v>410000</v>
          </cell>
          <cell r="DL76" t="str">
            <v>2020-21</v>
          </cell>
          <cell r="DM76">
            <v>200000</v>
          </cell>
          <cell r="DN76" t="str">
            <v>2020-21</v>
          </cell>
          <cell r="DO76">
            <v>1300000</v>
          </cell>
          <cell r="DP76" t="str">
            <v>2021-22</v>
          </cell>
          <cell r="DQ76">
            <v>1700000</v>
          </cell>
          <cell r="DR76" t="str">
            <v>2020-21</v>
          </cell>
          <cell r="DS76">
            <v>6200000</v>
          </cell>
          <cell r="DT76" t="str">
            <v>2020-21</v>
          </cell>
          <cell r="DU76">
            <v>16600000</v>
          </cell>
          <cell r="DV76" t="str">
            <v>2020-21</v>
          </cell>
          <cell r="DW76">
            <v>980000</v>
          </cell>
          <cell r="DX76" t="str">
            <v>2020-21</v>
          </cell>
          <cell r="DY76">
            <v>6950000</v>
          </cell>
          <cell r="DZ76" t="str">
            <v>2021-22</v>
          </cell>
          <cell r="EA76">
            <v>33730000</v>
          </cell>
          <cell r="EB76">
            <v>400000</v>
          </cell>
          <cell r="EC76" t="str">
            <v>2020-21</v>
          </cell>
          <cell r="ED76">
            <v>191392</v>
          </cell>
          <cell r="EE76">
            <v>2021</v>
          </cell>
          <cell r="EF76">
            <v>211099</v>
          </cell>
          <cell r="EG76">
            <v>2021</v>
          </cell>
          <cell r="EH76">
            <v>53517534</v>
          </cell>
          <cell r="EI76">
            <v>2021</v>
          </cell>
          <cell r="EJ76">
            <v>5350999</v>
          </cell>
          <cell r="EK76">
            <v>2021</v>
          </cell>
          <cell r="EL76">
            <v>14571766</v>
          </cell>
          <cell r="EM76">
            <v>2020</v>
          </cell>
          <cell r="EN76">
            <v>3132657</v>
          </cell>
          <cell r="EO76">
            <v>2020</v>
          </cell>
          <cell r="EP76">
            <v>6552</v>
          </cell>
          <cell r="EQ76">
            <v>3500000</v>
          </cell>
          <cell r="ER76">
            <v>76133.333333333328</v>
          </cell>
          <cell r="ET76">
            <v>16000</v>
          </cell>
          <cell r="EU76">
            <v>19131</v>
          </cell>
          <cell r="EV76">
            <v>9000</v>
          </cell>
          <cell r="EW76">
            <v>17492</v>
          </cell>
          <cell r="EX76">
            <v>61623</v>
          </cell>
          <cell r="EY76">
            <v>19904</v>
          </cell>
          <cell r="EZ76">
            <v>80798</v>
          </cell>
          <cell r="FA76">
            <v>20331</v>
          </cell>
          <cell r="FB76">
            <v>17550</v>
          </cell>
          <cell r="FC76">
            <v>37881</v>
          </cell>
          <cell r="FD76">
            <v>59807.5</v>
          </cell>
          <cell r="FF76">
            <v>1050000</v>
          </cell>
          <cell r="FG76" t="str">
            <v>2020-21</v>
          </cell>
          <cell r="FH76">
            <v>1400000</v>
          </cell>
          <cell r="FI76" t="str">
            <v>2020-21</v>
          </cell>
          <cell r="FJ76">
            <v>4500000</v>
          </cell>
          <cell r="FK76" t="str">
            <v>2020-21</v>
          </cell>
          <cell r="FL76">
            <v>3400000</v>
          </cell>
          <cell r="FM76" t="str">
            <v>2020-21</v>
          </cell>
          <cell r="FN76">
            <v>48000000</v>
          </cell>
          <cell r="FO76" t="str">
            <v>2020-21</v>
          </cell>
          <cell r="FP76">
            <v>46000000</v>
          </cell>
          <cell r="FQ76" t="str">
            <v>2020-21</v>
          </cell>
          <cell r="FR76">
            <v>3300000</v>
          </cell>
          <cell r="FS76" t="str">
            <v>2020-21</v>
          </cell>
          <cell r="FT76">
            <v>17600000</v>
          </cell>
          <cell r="FU76" t="str">
            <v>2020-21</v>
          </cell>
          <cell r="FV76">
            <v>122800000</v>
          </cell>
          <cell r="FW76">
            <v>1250000</v>
          </cell>
          <cell r="FX76" t="str">
            <v>2020-21</v>
          </cell>
          <cell r="FY76">
            <v>136090</v>
          </cell>
          <cell r="FZ76">
            <v>850627.84</v>
          </cell>
          <cell r="GA76" t="str">
            <v>ago20 jul21</v>
          </cell>
          <cell r="GB76">
            <v>22248266</v>
          </cell>
          <cell r="GC76">
            <v>2021</v>
          </cell>
          <cell r="GD76">
            <v>2015989</v>
          </cell>
          <cell r="GE76">
            <v>421371</v>
          </cell>
          <cell r="GF76">
            <v>1038163</v>
          </cell>
          <cell r="GG76">
            <v>89478</v>
          </cell>
          <cell r="GH76">
            <v>1549012</v>
          </cell>
          <cell r="GI76">
            <v>1302556</v>
          </cell>
          <cell r="GJ76">
            <v>600000</v>
          </cell>
          <cell r="GK76">
            <v>1362000</v>
          </cell>
          <cell r="GL76">
            <v>300000</v>
          </cell>
          <cell r="GM76">
            <v>261011.3</v>
          </cell>
          <cell r="GN76">
            <v>2523011.2999999998</v>
          </cell>
          <cell r="GO76">
            <v>199477</v>
          </cell>
          <cell r="GP76">
            <v>72919</v>
          </cell>
          <cell r="GQ76">
            <v>23028</v>
          </cell>
          <cell r="GR76">
            <v>42288</v>
          </cell>
          <cell r="GS76">
            <v>42978.84</v>
          </cell>
          <cell r="GT76">
            <v>2871705.88</v>
          </cell>
          <cell r="GU76">
            <v>26435</v>
          </cell>
          <cell r="GV76">
            <v>36018</v>
          </cell>
          <cell r="GW76">
            <v>1101982</v>
          </cell>
          <cell r="GX76">
            <v>37480.696000000004</v>
          </cell>
          <cell r="GY76" t="str">
            <v>2020-2021</v>
          </cell>
          <cell r="GZ76">
            <v>97886.411999999997</v>
          </cell>
          <cell r="HA76">
            <v>248325</v>
          </cell>
          <cell r="HB76">
            <v>3029380</v>
          </cell>
          <cell r="HC76" t="str">
            <v>ago20 jul21</v>
          </cell>
          <cell r="HD76">
            <v>60112</v>
          </cell>
          <cell r="HE76">
            <v>680308</v>
          </cell>
          <cell r="HF76" t="str">
            <v>ago20 jul21</v>
          </cell>
          <cell r="HG76">
            <v>191836</v>
          </cell>
          <cell r="HH76">
            <v>2209089</v>
          </cell>
          <cell r="HI76" t="str">
            <v>ago20 jul21</v>
          </cell>
          <cell r="HJ76">
            <v>83510</v>
          </cell>
          <cell r="HK76">
            <v>60313.26</v>
          </cell>
          <cell r="HL76" t="str">
            <v>ago20 jul21</v>
          </cell>
          <cell r="HM76">
            <v>2269402.2599999998</v>
          </cell>
          <cell r="HN76">
            <v>3.5114978247358541E-2</v>
          </cell>
          <cell r="HO76">
            <v>999300000</v>
          </cell>
          <cell r="HP76">
            <v>11348.224857154026</v>
          </cell>
          <cell r="HQ76" t="str">
            <v>ago20 jul21</v>
          </cell>
          <cell r="HU76">
            <v>700000</v>
          </cell>
          <cell r="HV76" t="str">
            <v>2020-21</v>
          </cell>
          <cell r="HW76">
            <v>1510000</v>
          </cell>
          <cell r="HX76" t="str">
            <v>2021-22</v>
          </cell>
          <cell r="HY76">
            <v>3190000</v>
          </cell>
          <cell r="HZ76" t="str">
            <v>2020-21</v>
          </cell>
          <cell r="IA76">
            <v>21410000</v>
          </cell>
          <cell r="IB76" t="str">
            <v>2020-21</v>
          </cell>
          <cell r="IC76">
            <v>45150000</v>
          </cell>
          <cell r="ID76" t="str">
            <v>2020-21</v>
          </cell>
          <cell r="IE76">
            <v>1200000</v>
          </cell>
          <cell r="IF76" t="str">
            <v>2020-21</v>
          </cell>
          <cell r="IG76">
            <v>7200000</v>
          </cell>
          <cell r="IH76" t="str">
            <v>2021-22</v>
          </cell>
          <cell r="II76">
            <v>79660000</v>
          </cell>
          <cell r="IJ76">
            <v>1.9073407006405101</v>
          </cell>
          <cell r="IK76" t="str">
            <v>2020-21</v>
          </cell>
          <cell r="IL76">
            <v>45.56</v>
          </cell>
          <cell r="IM76">
            <v>48.14</v>
          </cell>
          <cell r="IN76">
            <v>191.4</v>
          </cell>
          <cell r="IO76">
            <v>15.12</v>
          </cell>
          <cell r="IP76">
            <v>6.1006169215414161</v>
          </cell>
          <cell r="IQ76">
            <v>18.2</v>
          </cell>
          <cell r="IR76">
            <v>5.93</v>
          </cell>
          <cell r="IS76">
            <v>5.67</v>
          </cell>
          <cell r="IT76">
            <v>13.17</v>
          </cell>
          <cell r="IU76">
            <v>1.55</v>
          </cell>
          <cell r="IV76">
            <v>20.39</v>
          </cell>
          <cell r="IY76">
            <v>1.86</v>
          </cell>
          <cell r="IZ76">
            <v>0.3</v>
          </cell>
          <cell r="JA76">
            <v>2813</v>
          </cell>
          <cell r="JF76">
            <v>29.647088559999997</v>
          </cell>
          <cell r="JG76">
            <v>30.650786349999994</v>
          </cell>
          <cell r="JH76">
            <v>81.116033320000014</v>
          </cell>
          <cell r="JI76">
            <v>452.46297623999999</v>
          </cell>
          <cell r="JJ76">
            <v>1254.4111869800008</v>
          </cell>
          <cell r="JK76">
            <v>124.10400462000003</v>
          </cell>
          <cell r="JL76">
            <v>3306.5044750099996</v>
          </cell>
          <cell r="JM76">
            <v>63.175313729999999</v>
          </cell>
          <cell r="JN76">
            <v>182.58158635999993</v>
          </cell>
          <cell r="JO76">
            <v>29.538217599999999</v>
          </cell>
          <cell r="JP76">
            <v>0</v>
          </cell>
          <cell r="JQ76">
            <v>0.46847344000000002</v>
          </cell>
          <cell r="JR76">
            <v>1.4873321099999999</v>
          </cell>
          <cell r="JS76">
            <v>0</v>
          </cell>
          <cell r="JT76">
            <v>5.3366999999999998E-2</v>
          </cell>
          <cell r="JU76">
            <v>94.921667509999978</v>
          </cell>
          <cell r="JV76">
            <v>11.418158909999999</v>
          </cell>
          <cell r="JW76">
            <v>12.728613079999997</v>
          </cell>
          <cell r="JX76">
            <v>72.304552969999989</v>
          </cell>
          <cell r="JY76">
            <v>0</v>
          </cell>
          <cell r="JZ76">
            <v>8.8202314199999989</v>
          </cell>
          <cell r="KA76">
            <v>0.27999999999999997</v>
          </cell>
          <cell r="KB76">
            <v>39.659327480000002</v>
          </cell>
          <cell r="KC76">
            <v>44.98770545</v>
          </cell>
          <cell r="KD76">
            <v>11.981582150000001</v>
          </cell>
          <cell r="KE76">
            <v>23.634029939999998</v>
          </cell>
          <cell r="KF76">
            <v>37.124165879999993</v>
          </cell>
          <cell r="KG76">
            <v>300.71600581000001</v>
          </cell>
          <cell r="KH76">
            <v>131.31991306999998</v>
          </cell>
          <cell r="KI76">
            <v>24.718844839999999</v>
          </cell>
          <cell r="KJ76">
            <v>3.3974056899999998</v>
          </cell>
          <cell r="KK76">
            <v>8.211777810000001</v>
          </cell>
          <cell r="KL76">
            <v>4.979836E-2</v>
          </cell>
          <cell r="KM76">
            <v>1.0393767599999999</v>
          </cell>
          <cell r="KN76">
            <v>0.78291013999999992</v>
          </cell>
          <cell r="KO76">
            <v>3.6194808400000005</v>
          </cell>
          <cell r="KP76">
            <v>9.511008E-2</v>
          </cell>
          <cell r="KQ76">
            <v>265.30398278999996</v>
          </cell>
          <cell r="KR76">
            <v>4.8801199999999996E-2</v>
          </cell>
          <cell r="KS76">
            <v>0.16161515000000001</v>
          </cell>
          <cell r="KT76">
            <v>0.89805444999999995</v>
          </cell>
          <cell r="KU76">
            <v>0.44975297999999997</v>
          </cell>
          <cell r="KV76">
            <v>0.20049918</v>
          </cell>
          <cell r="KW76">
            <v>1.8239179100000003</v>
          </cell>
          <cell r="KX76">
            <v>0</v>
          </cell>
          <cell r="KY76">
            <v>0</v>
          </cell>
          <cell r="KZ76">
            <v>1.77741726</v>
          </cell>
          <cell r="LA76">
            <v>0.34752026999999996</v>
          </cell>
          <cell r="LB76">
            <v>2.2949729999999998E-2</v>
          </cell>
          <cell r="LC76">
            <v>7.2732210000000005E-2</v>
          </cell>
          <cell r="LD76">
            <v>0</v>
          </cell>
          <cell r="LE76">
            <v>0.67878653</v>
          </cell>
          <cell r="LF76">
            <v>2.2175999999999999E-4</v>
          </cell>
          <cell r="LG76">
            <v>21.528850539999997</v>
          </cell>
          <cell r="LH76">
            <v>6.1563174299999996</v>
          </cell>
          <cell r="LI76">
            <v>5.1207257000000004</v>
          </cell>
          <cell r="LJ76">
            <v>2.3136429999999999E-2</v>
          </cell>
          <cell r="LK76">
            <v>2.9180297899999998</v>
          </cell>
          <cell r="LL76">
            <v>8.3442980000000002</v>
          </cell>
          <cell r="LM76">
            <v>1.95153943</v>
          </cell>
          <cell r="LN76">
            <v>6.773912E-2</v>
          </cell>
          <cell r="LO76">
            <v>6.6215767999999997</v>
          </cell>
          <cell r="LQ76">
            <v>5340.2515716400012</v>
          </cell>
          <cell r="LR76">
            <v>2.0091725500000002</v>
          </cell>
          <cell r="LS76">
            <v>24.146771989999998</v>
          </cell>
          <cell r="LT76">
            <v>9.1002314199999983</v>
          </cell>
          <cell r="LU76">
            <v>270.95616687999996</v>
          </cell>
          <cell r="LV76">
            <v>2.02441709</v>
          </cell>
          <cell r="LW76">
            <v>0.37046999999999997</v>
          </cell>
          <cell r="LX76">
            <v>0.67900828999999996</v>
          </cell>
          <cell r="LZ76">
            <v>110.38</v>
          </cell>
          <cell r="MA76">
            <v>111.74</v>
          </cell>
          <cell r="MH76">
            <v>185.12</v>
          </cell>
          <cell r="MI76">
            <v>52.71</v>
          </cell>
          <cell r="MJ76">
            <v>52.36</v>
          </cell>
          <cell r="ML76">
            <v>56.45</v>
          </cell>
          <cell r="MM76">
            <v>161.55000000000001</v>
          </cell>
          <cell r="MO76">
            <v>55.73</v>
          </cell>
          <cell r="MP76">
            <v>138.99</v>
          </cell>
          <cell r="MQ76">
            <v>166.23</v>
          </cell>
          <cell r="MU76">
            <v>67.790000000000006</v>
          </cell>
          <cell r="MY76">
            <v>203.38</v>
          </cell>
          <cell r="MZ76">
            <v>528</v>
          </cell>
          <cell r="NA76">
            <v>190.07</v>
          </cell>
          <cell r="NB76">
            <v>695.22</v>
          </cell>
          <cell r="NC76">
            <v>84.92</v>
          </cell>
          <cell r="NE76">
            <v>455.4</v>
          </cell>
        </row>
        <row r="77">
          <cell r="A77">
            <v>44409</v>
          </cell>
          <cell r="B77">
            <v>8</v>
          </cell>
          <cell r="C77">
            <v>2021</v>
          </cell>
          <cell r="D77">
            <v>77</v>
          </cell>
          <cell r="E77">
            <v>44409</v>
          </cell>
          <cell r="F77">
            <v>99.26</v>
          </cell>
          <cell r="G77">
            <v>510.39420000000001</v>
          </cell>
          <cell r="H77">
            <v>51660</v>
          </cell>
          <cell r="I77">
            <v>90</v>
          </cell>
          <cell r="J77">
            <v>620</v>
          </cell>
          <cell r="K77">
            <v>8.8000000000000007</v>
          </cell>
          <cell r="L77">
            <v>26.9</v>
          </cell>
          <cell r="N77">
            <v>1.82</v>
          </cell>
          <cell r="O77">
            <v>1.665</v>
          </cell>
          <cell r="P77">
            <v>164.3125225</v>
          </cell>
          <cell r="Q77">
            <v>2516</v>
          </cell>
          <cell r="R77">
            <v>25160</v>
          </cell>
          <cell r="S77">
            <v>213.62</v>
          </cell>
          <cell r="T77">
            <v>382.21</v>
          </cell>
          <cell r="U77">
            <v>192.72380952380951</v>
          </cell>
          <cell r="V77">
            <v>316.0809523809524</v>
          </cell>
          <cell r="W77">
            <v>189.76</v>
          </cell>
          <cell r="X77">
            <v>228.39523809523811</v>
          </cell>
          <cell r="Y77">
            <v>21203.921200000001</v>
          </cell>
          <cell r="Z77">
            <v>37938.164599999996</v>
          </cell>
          <cell r="AA77">
            <v>19129.765333333333</v>
          </cell>
          <cell r="AB77">
            <v>31374.195333333337</v>
          </cell>
          <cell r="AC77">
            <v>18835.577600000001</v>
          </cell>
          <cell r="AD77">
            <v>22670.511333333336</v>
          </cell>
          <cell r="AE77">
            <v>25192.022566666663</v>
          </cell>
          <cell r="AF77">
            <v>70565.666666666672</v>
          </cell>
          <cell r="AG77">
            <v>29700</v>
          </cell>
          <cell r="AH77">
            <v>112860</v>
          </cell>
          <cell r="AI77">
            <v>39.167499999999997</v>
          </cell>
          <cell r="AJ77">
            <v>32.398299999999999</v>
          </cell>
          <cell r="AK77">
            <v>38.61</v>
          </cell>
          <cell r="AL77">
            <v>28</v>
          </cell>
          <cell r="AM77">
            <v>36.071581999999999</v>
          </cell>
          <cell r="AN77">
            <v>104.58170731707317</v>
          </cell>
          <cell r="AO77">
            <v>86.786818181818163</v>
          </cell>
          <cell r="AP77">
            <v>95.684262749445665</v>
          </cell>
          <cell r="AQ77">
            <v>26.030909090909095</v>
          </cell>
          <cell r="AR77">
            <v>30.633181818181814</v>
          </cell>
          <cell r="AS77">
            <v>30.424545454545463</v>
          </cell>
          <cell r="AT77">
            <v>42.505909090909086</v>
          </cell>
          <cell r="AU77">
            <v>34.521212121212123</v>
          </cell>
          <cell r="AV77">
            <v>19.027976190476188</v>
          </cell>
          <cell r="AW77">
            <v>25.952272727272728</v>
          </cell>
          <cell r="AX77">
            <v>14.904090909090909</v>
          </cell>
          <cell r="AY77">
            <v>83.628181818181829</v>
          </cell>
          <cell r="AZ77">
            <v>22.858181818181816</v>
          </cell>
          <cell r="BA77">
            <v>25.39090909090908</v>
          </cell>
          <cell r="BB77">
            <v>36.695340909090909</v>
          </cell>
          <cell r="BC77">
            <v>4209</v>
          </cell>
          <cell r="BD77">
            <v>2426</v>
          </cell>
          <cell r="BE77">
            <v>1800</v>
          </cell>
          <cell r="BF77">
            <v>1500</v>
          </cell>
          <cell r="BG77">
            <v>2483.75</v>
          </cell>
          <cell r="BH77">
            <v>191.89</v>
          </cell>
          <cell r="BI77">
            <v>85</v>
          </cell>
          <cell r="BJ77">
            <v>276.89</v>
          </cell>
          <cell r="BK77">
            <v>185.80199999999999</v>
          </cell>
          <cell r="BL77">
            <v>230.77</v>
          </cell>
          <cell r="BM77">
            <v>208.286</v>
          </cell>
          <cell r="BN77">
            <v>32.51</v>
          </cell>
          <cell r="BO77">
            <v>136.08000000000001</v>
          </cell>
          <cell r="BP77">
            <v>76.510000000000005</v>
          </cell>
          <cell r="BQ77">
            <v>130.12300000000002</v>
          </cell>
          <cell r="BR77">
            <v>115.22</v>
          </cell>
          <cell r="BS77">
            <v>380</v>
          </cell>
          <cell r="BT77">
            <v>127.0528</v>
          </cell>
          <cell r="BU77">
            <v>4941.1584000000003</v>
          </cell>
          <cell r="BV77">
            <v>278</v>
          </cell>
          <cell r="BW77">
            <v>300</v>
          </cell>
          <cell r="BY77">
            <v>987.27049709465393</v>
          </cell>
          <cell r="BZ77">
            <v>834.66994994529227</v>
          </cell>
          <cell r="CA77">
            <v>971.23896491916287</v>
          </cell>
          <cell r="CB77">
            <v>929.82863624748563</v>
          </cell>
          <cell r="CC77">
            <v>914.9426510182742</v>
          </cell>
          <cell r="CD77">
            <v>957.89470423425871</v>
          </cell>
          <cell r="CE77">
            <v>893.98956923216315</v>
          </cell>
          <cell r="CF77">
            <v>983.23979784802168</v>
          </cell>
          <cell r="CG77">
            <v>941.85572058322759</v>
          </cell>
          <cell r="CH77">
            <v>996.48929340401207</v>
          </cell>
          <cell r="CI77">
            <v>923.91666759489817</v>
          </cell>
          <cell r="CJ77">
            <v>738.14835508167869</v>
          </cell>
          <cell r="CK77">
            <v>803.31473264457179</v>
          </cell>
          <cell r="CL77">
            <v>1067.2963031674415</v>
          </cell>
          <cell r="CM77">
            <v>674.74484404737836</v>
          </cell>
          <cell r="CN77">
            <v>744.7289041507488</v>
          </cell>
          <cell r="CO77">
            <v>822.52119600253502</v>
          </cell>
          <cell r="CP77">
            <v>958.82131266766407</v>
          </cell>
          <cell r="CQ77">
            <v>785.56547823146764</v>
          </cell>
          <cell r="CR77">
            <v>821.94933253674196</v>
          </cell>
          <cell r="CS77">
            <v>803.7574053841048</v>
          </cell>
          <cell r="CT77">
            <v>743.29476653628069</v>
          </cell>
          <cell r="CU77">
            <v>815.18378049296666</v>
          </cell>
          <cell r="CV77">
            <v>814.18034306923528</v>
          </cell>
          <cell r="CW77">
            <v>814.18034306923528</v>
          </cell>
          <cell r="CX77">
            <v>814.514822210479</v>
          </cell>
          <cell r="CY77">
            <v>734.49823835998541</v>
          </cell>
          <cell r="CZ77">
            <v>931.13011472178084</v>
          </cell>
          <cell r="DA77">
            <v>781.54528543262836</v>
          </cell>
          <cell r="DB77">
            <v>881.90764487147021</v>
          </cell>
          <cell r="DC77">
            <v>874.46447285556098</v>
          </cell>
          <cell r="DD77">
            <v>856.82745190580113</v>
          </cell>
          <cell r="DE77">
            <v>783.2779202803415</v>
          </cell>
          <cell r="DF77">
            <v>884.24817643753966</v>
          </cell>
          <cell r="DG77">
            <v>833.76304835894052</v>
          </cell>
          <cell r="DH77">
            <v>862.30850990131546</v>
          </cell>
          <cell r="DI77">
            <v>740.26838393343519</v>
          </cell>
          <cell r="DK77">
            <v>410000</v>
          </cell>
          <cell r="DL77" t="str">
            <v>2020-21</v>
          </cell>
          <cell r="DM77">
            <v>200000</v>
          </cell>
          <cell r="DN77" t="str">
            <v>2020-21</v>
          </cell>
          <cell r="DO77">
            <v>1300000</v>
          </cell>
          <cell r="DP77" t="str">
            <v>2021-22</v>
          </cell>
          <cell r="DQ77">
            <v>1700000</v>
          </cell>
          <cell r="DR77" t="str">
            <v>2020-21</v>
          </cell>
          <cell r="DS77">
            <v>6600000</v>
          </cell>
          <cell r="DT77" t="str">
            <v>2020-21</v>
          </cell>
          <cell r="DU77">
            <v>16600000</v>
          </cell>
          <cell r="DV77" t="str">
            <v>2020-21</v>
          </cell>
          <cell r="DW77">
            <v>980000</v>
          </cell>
          <cell r="DX77" t="str">
            <v>2020-21</v>
          </cell>
          <cell r="DY77">
            <v>6950000</v>
          </cell>
          <cell r="DZ77" t="str">
            <v>2021-22</v>
          </cell>
          <cell r="EA77">
            <v>34130000</v>
          </cell>
          <cell r="EB77">
            <v>410000</v>
          </cell>
          <cell r="EC77" t="str">
            <v>2020-21</v>
          </cell>
          <cell r="ED77">
            <v>191392</v>
          </cell>
          <cell r="EE77">
            <v>2021</v>
          </cell>
          <cell r="EF77">
            <v>211099</v>
          </cell>
          <cell r="EG77">
            <v>2021</v>
          </cell>
          <cell r="EH77">
            <v>53517534</v>
          </cell>
          <cell r="EI77">
            <v>2021</v>
          </cell>
          <cell r="EJ77">
            <v>5350999</v>
          </cell>
          <cell r="EK77">
            <v>2021</v>
          </cell>
          <cell r="EL77">
            <v>14571766</v>
          </cell>
          <cell r="EM77">
            <v>2020</v>
          </cell>
          <cell r="EN77">
            <v>3132657</v>
          </cell>
          <cell r="EO77">
            <v>2020</v>
          </cell>
          <cell r="EP77">
            <v>6552</v>
          </cell>
          <cell r="EQ77">
            <v>3500000</v>
          </cell>
          <cell r="ER77">
            <v>76133.333333333328</v>
          </cell>
          <cell r="ET77">
            <v>16000</v>
          </cell>
          <cell r="EU77">
            <v>19131</v>
          </cell>
          <cell r="EV77">
            <v>9000</v>
          </cell>
          <cell r="EW77">
            <v>17492</v>
          </cell>
          <cell r="EX77">
            <v>61623</v>
          </cell>
          <cell r="EY77">
            <v>19904</v>
          </cell>
          <cell r="EZ77">
            <v>80798</v>
          </cell>
          <cell r="FA77">
            <v>20331</v>
          </cell>
          <cell r="FB77">
            <v>17550</v>
          </cell>
          <cell r="FC77">
            <v>37881</v>
          </cell>
          <cell r="FD77">
            <v>59807.5</v>
          </cell>
          <cell r="FF77">
            <v>1050000</v>
          </cell>
          <cell r="FG77" t="str">
            <v>2020-21</v>
          </cell>
          <cell r="FH77">
            <v>1400000</v>
          </cell>
          <cell r="FI77" t="str">
            <v>2020-21</v>
          </cell>
          <cell r="FJ77">
            <v>4500000</v>
          </cell>
          <cell r="FK77" t="str">
            <v>2020-21</v>
          </cell>
          <cell r="FL77">
            <v>3400000</v>
          </cell>
          <cell r="FM77" t="str">
            <v>2020-21</v>
          </cell>
          <cell r="FN77">
            <v>50500000</v>
          </cell>
          <cell r="FO77" t="str">
            <v>2020-21</v>
          </cell>
          <cell r="FP77">
            <v>46000000</v>
          </cell>
          <cell r="FQ77" t="str">
            <v>2020-21</v>
          </cell>
          <cell r="FR77">
            <v>3300000</v>
          </cell>
          <cell r="FS77" t="str">
            <v>2020-21</v>
          </cell>
          <cell r="FT77">
            <v>17600000</v>
          </cell>
          <cell r="FU77" t="str">
            <v>2020-21</v>
          </cell>
          <cell r="FV77">
            <v>125300000</v>
          </cell>
          <cell r="FW77">
            <v>1280000</v>
          </cell>
          <cell r="FX77" t="str">
            <v>2020-21</v>
          </cell>
          <cell r="FY77">
            <v>131030</v>
          </cell>
          <cell r="FZ77">
            <v>870534.84</v>
          </cell>
          <cell r="GA77" t="str">
            <v>sept20 ago21</v>
          </cell>
          <cell r="GB77">
            <v>22248266</v>
          </cell>
          <cell r="GC77">
            <v>2021</v>
          </cell>
          <cell r="GD77">
            <v>2015989</v>
          </cell>
          <cell r="GE77">
            <v>421371</v>
          </cell>
          <cell r="GF77">
            <v>1038163</v>
          </cell>
          <cell r="GG77">
            <v>89478</v>
          </cell>
          <cell r="GH77">
            <v>1549012</v>
          </cell>
          <cell r="GI77">
            <v>1302556</v>
          </cell>
          <cell r="GJ77">
            <v>600000</v>
          </cell>
          <cell r="GK77">
            <v>1362000</v>
          </cell>
          <cell r="GL77">
            <v>300000</v>
          </cell>
          <cell r="GM77">
            <v>261011.3</v>
          </cell>
          <cell r="GN77">
            <v>2523011.2999999998</v>
          </cell>
          <cell r="GO77">
            <v>199477</v>
          </cell>
          <cell r="GP77">
            <v>72919</v>
          </cell>
          <cell r="GQ77">
            <v>29317.5</v>
          </cell>
          <cell r="GR77">
            <v>42288</v>
          </cell>
          <cell r="GS77">
            <v>43167.525000000001</v>
          </cell>
          <cell r="GT77">
            <v>2871705.88</v>
          </cell>
          <cell r="GU77">
            <v>23514</v>
          </cell>
          <cell r="GV77">
            <v>32005</v>
          </cell>
          <cell r="GW77">
            <v>1085530</v>
          </cell>
          <cell r="GX77">
            <v>37480.696000000004</v>
          </cell>
          <cell r="GY77" t="str">
            <v>2020-2021</v>
          </cell>
          <cell r="GZ77">
            <v>97886.411999999997</v>
          </cell>
          <cell r="HA77">
            <v>267000</v>
          </cell>
          <cell r="HB77">
            <v>3032684</v>
          </cell>
          <cell r="HC77" t="str">
            <v>sept20 ago21</v>
          </cell>
          <cell r="HD77">
            <v>59355</v>
          </cell>
          <cell r="HE77">
            <v>683815</v>
          </cell>
          <cell r="HF77" t="str">
            <v>sept20 ago21</v>
          </cell>
          <cell r="HG77">
            <v>197796</v>
          </cell>
          <cell r="HH77">
            <v>2228885</v>
          </cell>
          <cell r="HI77" t="str">
            <v>sept20 ago21</v>
          </cell>
          <cell r="HJ77">
            <v>87737</v>
          </cell>
          <cell r="HK77">
            <v>60708.480000000003</v>
          </cell>
          <cell r="HL77" t="str">
            <v>sept20 ago21</v>
          </cell>
          <cell r="HM77">
            <v>2289593.48</v>
          </cell>
          <cell r="HN77">
            <v>3.856071668111305E-2</v>
          </cell>
          <cell r="HO77">
            <v>1055073832.0763427</v>
          </cell>
          <cell r="HP77">
            <v>11387.398689230369</v>
          </cell>
          <cell r="HQ77" t="str">
            <v>sept20 ago21</v>
          </cell>
          <cell r="HU77">
            <v>700000</v>
          </cell>
          <cell r="HV77" t="str">
            <v>2020-21</v>
          </cell>
          <cell r="HW77">
            <v>1510000</v>
          </cell>
          <cell r="HX77" t="str">
            <v>2021-22</v>
          </cell>
          <cell r="HY77">
            <v>3190000</v>
          </cell>
          <cell r="HZ77" t="str">
            <v>2020-21</v>
          </cell>
          <cell r="IA77">
            <v>21410000</v>
          </cell>
          <cell r="IB77" t="str">
            <v>2020-21</v>
          </cell>
          <cell r="IC77">
            <v>45150000</v>
          </cell>
          <cell r="ID77" t="str">
            <v>2020-21</v>
          </cell>
          <cell r="IE77">
            <v>1200000</v>
          </cell>
          <cell r="IF77" t="str">
            <v>2020-21</v>
          </cell>
          <cell r="IG77">
            <v>7200000</v>
          </cell>
          <cell r="IH77" t="str">
            <v>2021-22</v>
          </cell>
          <cell r="II77">
            <v>79660000</v>
          </cell>
          <cell r="IJ77">
            <v>1.9073407006405101</v>
          </cell>
          <cell r="IK77" t="str">
            <v>2020-21</v>
          </cell>
          <cell r="IL77">
            <v>45.809515235056594</v>
          </cell>
          <cell r="IM77">
            <v>51.53</v>
          </cell>
          <cell r="IN77">
            <v>191.4</v>
          </cell>
          <cell r="IO77">
            <v>15.29</v>
          </cell>
          <cell r="IP77">
            <v>6.1006169215414161</v>
          </cell>
          <cell r="IQ77">
            <v>18.2</v>
          </cell>
          <cell r="IR77">
            <v>5.93</v>
          </cell>
          <cell r="IS77">
            <v>5.67</v>
          </cell>
          <cell r="IT77">
            <v>13.17</v>
          </cell>
          <cell r="IU77">
            <v>1.55</v>
          </cell>
          <cell r="IV77">
            <v>20.39</v>
          </cell>
          <cell r="IY77">
            <v>1.86</v>
          </cell>
          <cell r="IZ77">
            <v>0.3</v>
          </cell>
          <cell r="JA77">
            <v>2813</v>
          </cell>
          <cell r="JF77">
            <v>24.758504510000005</v>
          </cell>
          <cell r="JG77">
            <v>16.929236590000002</v>
          </cell>
          <cell r="JH77">
            <v>35.899030250000003</v>
          </cell>
          <cell r="JI77">
            <v>503.93763073000002</v>
          </cell>
          <cell r="JJ77">
            <v>1252.4607558199996</v>
          </cell>
          <cell r="JK77">
            <v>114.44712016999999</v>
          </cell>
          <cell r="JL77">
            <v>3527.93024823</v>
          </cell>
          <cell r="JM77">
            <v>92.37747933</v>
          </cell>
          <cell r="JN77">
            <v>215.55642007</v>
          </cell>
          <cell r="JO77">
            <v>28.105212380000005</v>
          </cell>
          <cell r="JP77">
            <v>0</v>
          </cell>
          <cell r="JQ77">
            <v>8.3243049999999999E-2</v>
          </cell>
          <cell r="JR77">
            <v>1.54071756</v>
          </cell>
          <cell r="JS77">
            <v>0</v>
          </cell>
          <cell r="JT77">
            <v>4.4124749999999997E-2</v>
          </cell>
          <cell r="JU77">
            <v>84.672443939999994</v>
          </cell>
          <cell r="JV77">
            <v>10.86667389</v>
          </cell>
          <cell r="JW77">
            <v>10.798088249999998</v>
          </cell>
          <cell r="JX77">
            <v>53.520508219999996</v>
          </cell>
          <cell r="JY77">
            <v>0</v>
          </cell>
          <cell r="JZ77">
            <v>14.2080418</v>
          </cell>
          <cell r="KA77">
            <v>0.22593089999999999</v>
          </cell>
          <cell r="KB77">
            <v>36.736059280000006</v>
          </cell>
          <cell r="KC77">
            <v>28.466182999999997</v>
          </cell>
          <cell r="KD77">
            <v>10.284496969999999</v>
          </cell>
          <cell r="KE77">
            <v>25.232013280000007</v>
          </cell>
          <cell r="KF77">
            <v>47.347816129999984</v>
          </cell>
          <cell r="KG77">
            <v>356.59501136</v>
          </cell>
          <cell r="KH77">
            <v>146.49539926</v>
          </cell>
          <cell r="KI77">
            <v>15.562784859999997</v>
          </cell>
          <cell r="KJ77">
            <v>3.1159173400000002</v>
          </cell>
          <cell r="KK77">
            <v>6.4802101800000012</v>
          </cell>
          <cell r="KL77">
            <v>0.21985927</v>
          </cell>
          <cell r="KM77">
            <v>1.4839536600000001</v>
          </cell>
          <cell r="KN77">
            <v>7.936159000000001E-2</v>
          </cell>
          <cell r="KO77">
            <v>1.1701893800000003</v>
          </cell>
          <cell r="KP77">
            <v>2.67352E-3</v>
          </cell>
          <cell r="KQ77">
            <v>210.80975518</v>
          </cell>
          <cell r="KR77">
            <v>0.36704738999999997</v>
          </cell>
          <cell r="KS77">
            <v>0.24093403999999999</v>
          </cell>
          <cell r="KT77">
            <v>0.80256123000000001</v>
          </cell>
          <cell r="KU77">
            <v>6.1152309999999994E-2</v>
          </cell>
          <cell r="KV77">
            <v>0.33014441</v>
          </cell>
          <cell r="KW77">
            <v>1.6147713600000002</v>
          </cell>
          <cell r="KX77">
            <v>0</v>
          </cell>
          <cell r="KY77">
            <v>4.8176999999999998E-2</v>
          </cell>
          <cell r="KZ77">
            <v>2.2507227700000003</v>
          </cell>
          <cell r="LA77">
            <v>0.81239716999999989</v>
          </cell>
          <cell r="LB77">
            <v>0</v>
          </cell>
          <cell r="LC77">
            <v>0.10019561</v>
          </cell>
          <cell r="LD77">
            <v>0</v>
          </cell>
          <cell r="LE77">
            <v>0.35609138000000001</v>
          </cell>
          <cell r="LF77">
            <v>0</v>
          </cell>
          <cell r="LG77">
            <v>20.291786850000001</v>
          </cell>
          <cell r="LH77">
            <v>3.7836088099999996</v>
          </cell>
          <cell r="LI77">
            <v>5.7336636299999997</v>
          </cell>
          <cell r="LJ77">
            <v>0</v>
          </cell>
          <cell r="LK77">
            <v>2.0435083600000001</v>
          </cell>
          <cell r="LL77">
            <v>4.8355749000000001</v>
          </cell>
          <cell r="LM77">
            <v>2.0252943399999999</v>
          </cell>
          <cell r="LN77">
            <v>6.9963239999999996E-2</v>
          </cell>
          <cell r="LO77">
            <v>9.3916634099999996</v>
          </cell>
          <cell r="LQ77">
            <v>5628.1615644299991</v>
          </cell>
          <cell r="LR77">
            <v>1.6680853600000001</v>
          </cell>
          <cell r="LS77">
            <v>21.664762139999997</v>
          </cell>
          <cell r="LT77">
            <v>14.4339727</v>
          </cell>
          <cell r="LU77">
            <v>214.15124124000002</v>
          </cell>
          <cell r="LV77">
            <v>1.9930927700000001</v>
          </cell>
          <cell r="LW77">
            <v>0.81239716999999989</v>
          </cell>
          <cell r="LX77">
            <v>0.35609138000000001</v>
          </cell>
          <cell r="LZ77">
            <v>113.93</v>
          </cell>
          <cell r="MA77">
            <v>117.36</v>
          </cell>
          <cell r="MH77">
            <v>188.62</v>
          </cell>
          <cell r="MI77">
            <v>53.55</v>
          </cell>
          <cell r="MJ77">
            <v>50.19</v>
          </cell>
          <cell r="ML77">
            <v>55.35</v>
          </cell>
          <cell r="MM77">
            <v>142.63999999999999</v>
          </cell>
          <cell r="MO77">
            <v>56.98</v>
          </cell>
          <cell r="MP77">
            <v>145.94999999999999</v>
          </cell>
          <cell r="MQ77">
            <v>163.07</v>
          </cell>
          <cell r="MU77">
            <v>62.75</v>
          </cell>
          <cell r="MY77">
            <v>211.06</v>
          </cell>
          <cell r="MZ77">
            <v>565</v>
          </cell>
          <cell r="NA77">
            <v>188.8</v>
          </cell>
          <cell r="NB77">
            <v>675.43</v>
          </cell>
          <cell r="NC77">
            <v>86.7</v>
          </cell>
          <cell r="ND77">
            <v>849</v>
          </cell>
          <cell r="NE77">
            <v>460.12</v>
          </cell>
        </row>
        <row r="78">
          <cell r="A78">
            <v>44440</v>
          </cell>
          <cell r="B78">
            <v>9</v>
          </cell>
          <cell r="C78">
            <v>2021</v>
          </cell>
          <cell r="D78">
            <v>78</v>
          </cell>
          <cell r="E78">
            <v>44440</v>
          </cell>
          <cell r="F78">
            <v>100.44</v>
          </cell>
          <cell r="G78">
            <v>528.49680000000001</v>
          </cell>
          <cell r="H78">
            <v>51660</v>
          </cell>
          <cell r="I78">
            <v>89</v>
          </cell>
          <cell r="J78">
            <v>630</v>
          </cell>
          <cell r="K78">
            <v>8.8000000000000007</v>
          </cell>
          <cell r="L78">
            <v>26.7</v>
          </cell>
          <cell r="N78">
            <v>1.84</v>
          </cell>
          <cell r="O78">
            <v>1.6850000000000001</v>
          </cell>
          <cell r="P78">
            <v>168.17422500000001</v>
          </cell>
          <cell r="Q78">
            <v>2533</v>
          </cell>
          <cell r="R78">
            <v>25330</v>
          </cell>
          <cell r="S78">
            <v>213.62</v>
          </cell>
          <cell r="T78">
            <v>431.95</v>
          </cell>
          <cell r="U78">
            <v>190.87727272727273</v>
          </cell>
          <cell r="V78">
            <v>316.5272727272727</v>
          </cell>
          <cell r="W78">
            <v>195.92</v>
          </cell>
          <cell r="X78">
            <v>238.68636363636361</v>
          </cell>
          <cell r="Y78">
            <v>21455.9928</v>
          </cell>
          <cell r="Z78">
            <v>43385.057999999997</v>
          </cell>
          <cell r="AA78">
            <v>19171.713272727273</v>
          </cell>
          <cell r="AB78">
            <v>31791.999272727269</v>
          </cell>
          <cell r="AC78">
            <v>19678.2048</v>
          </cell>
          <cell r="AD78">
            <v>23973.658363636361</v>
          </cell>
          <cell r="AE78">
            <v>26576.104418181822</v>
          </cell>
          <cell r="AF78">
            <v>71679.047619047618</v>
          </cell>
          <cell r="AG78">
            <v>29700</v>
          </cell>
          <cell r="AH78">
            <v>112860</v>
          </cell>
          <cell r="AI78">
            <v>37.142000000000003</v>
          </cell>
          <cell r="AJ78">
            <v>32.07</v>
          </cell>
          <cell r="AK78">
            <v>35.76</v>
          </cell>
          <cell r="AL78">
            <v>26.47</v>
          </cell>
          <cell r="AM78">
            <v>34.018520000000002</v>
          </cell>
          <cell r="AN78">
            <v>116.91158536585365</v>
          </cell>
          <cell r="AO78">
            <v>87.612272727272753</v>
          </cell>
          <cell r="AP78">
            <v>102.26192904656321</v>
          </cell>
          <cell r="AQ78">
            <v>28.498181818181809</v>
          </cell>
          <cell r="AR78">
            <v>36.673636363636362</v>
          </cell>
          <cell r="AS78">
            <v>33.513636363636373</v>
          </cell>
          <cell r="AT78">
            <v>40.344090909090909</v>
          </cell>
          <cell r="AU78">
            <v>36.843787878787879</v>
          </cell>
          <cell r="AV78">
            <v>20.772970297029708</v>
          </cell>
          <cell r="AW78">
            <v>30.25</v>
          </cell>
          <cell r="AX78">
            <v>16.958636363636369</v>
          </cell>
          <cell r="AY78">
            <v>119.72227272727272</v>
          </cell>
          <cell r="AZ78">
            <v>27.852727272727272</v>
          </cell>
          <cell r="BA78">
            <v>32.090454545454548</v>
          </cell>
          <cell r="BB78">
            <v>49.156022727272727</v>
          </cell>
          <cell r="BC78">
            <v>4420</v>
          </cell>
          <cell r="BD78">
            <v>2426</v>
          </cell>
          <cell r="BE78">
            <v>1800</v>
          </cell>
          <cell r="BF78">
            <v>1500</v>
          </cell>
          <cell r="BG78">
            <v>2536.5</v>
          </cell>
          <cell r="BH78">
            <v>191.89</v>
          </cell>
          <cell r="BI78">
            <v>85</v>
          </cell>
          <cell r="BJ78">
            <v>276.89</v>
          </cell>
          <cell r="BK78">
            <v>188.48599999999999</v>
          </cell>
          <cell r="BL78">
            <v>240.93</v>
          </cell>
          <cell r="BM78">
            <v>214.708</v>
          </cell>
          <cell r="BN78">
            <v>33.03</v>
          </cell>
          <cell r="BO78">
            <v>145.06</v>
          </cell>
          <cell r="BP78">
            <v>73.55</v>
          </cell>
          <cell r="BQ78">
            <v>137.90899999999999</v>
          </cell>
          <cell r="BR78">
            <v>127.51</v>
          </cell>
          <cell r="BS78">
            <v>410</v>
          </cell>
          <cell r="BT78">
            <v>108.4752</v>
          </cell>
          <cell r="BU78">
            <v>5245.4256000000005</v>
          </cell>
          <cell r="BV78">
            <v>279</v>
          </cell>
          <cell r="BW78">
            <v>300</v>
          </cell>
          <cell r="BY78">
            <v>1001.0645857525681</v>
          </cell>
          <cell r="BZ78">
            <v>840.53447301763742</v>
          </cell>
          <cell r="CA78">
            <v>981.98036400669343</v>
          </cell>
          <cell r="CB78">
            <v>975.46567968844681</v>
          </cell>
          <cell r="CC78">
            <v>921.8873885964955</v>
          </cell>
          <cell r="CD78">
            <v>969.21959125261435</v>
          </cell>
          <cell r="CE78">
            <v>912.93805651779928</v>
          </cell>
          <cell r="CF78">
            <v>1004.0369107464526</v>
          </cell>
          <cell r="CG78">
            <v>960.92133180141684</v>
          </cell>
          <cell r="CH78">
            <v>1009.3499102242449</v>
          </cell>
          <cell r="CI78">
            <v>938.00168937336002</v>
          </cell>
          <cell r="CJ78">
            <v>755.3242922455679</v>
          </cell>
          <cell r="CK78">
            <v>819.11449938648138</v>
          </cell>
          <cell r="CL78">
            <v>1219.4431635391352</v>
          </cell>
          <cell r="CM78">
            <v>698.39709866169915</v>
          </cell>
          <cell r="CN78">
            <v>773.69022911492254</v>
          </cell>
          <cell r="CO78">
            <v>877.66124767555959</v>
          </cell>
          <cell r="CP78">
            <v>952.14496927525477</v>
          </cell>
          <cell r="CQ78">
            <v>800.58474333827019</v>
          </cell>
          <cell r="CR78">
            <v>827.02043534241238</v>
          </cell>
          <cell r="CS78">
            <v>813.80258934034123</v>
          </cell>
          <cell r="CT78">
            <v>750.62688039966213</v>
          </cell>
          <cell r="CU78">
            <v>829.02150682260162</v>
          </cell>
          <cell r="CV78">
            <v>823.92357247616724</v>
          </cell>
          <cell r="CW78">
            <v>823.92357247616724</v>
          </cell>
          <cell r="CX78">
            <v>825.62288392497874</v>
          </cell>
          <cell r="CY78">
            <v>736.5486400809782</v>
          </cell>
          <cell r="CZ78">
            <v>935.06287094180095</v>
          </cell>
          <cell r="DA78">
            <v>784.68637837084907</v>
          </cell>
          <cell r="DB78">
            <v>889.41820506865986</v>
          </cell>
          <cell r="DC78">
            <v>876.86889714636573</v>
          </cell>
          <cell r="DD78">
            <v>862.52140775973419</v>
          </cell>
          <cell r="DE78">
            <v>784.67199189231019</v>
          </cell>
          <cell r="DF78">
            <v>884.76960147935768</v>
          </cell>
          <cell r="DG78">
            <v>834.72079668583388</v>
          </cell>
          <cell r="DH78">
            <v>866.66715249818833</v>
          </cell>
          <cell r="DI78">
            <v>748.21761247770496</v>
          </cell>
          <cell r="DK78">
            <v>500000</v>
          </cell>
          <cell r="DL78" t="str">
            <v>2021-22</v>
          </cell>
          <cell r="DM78">
            <v>200000</v>
          </cell>
          <cell r="DN78" t="str">
            <v>2020-21</v>
          </cell>
          <cell r="DO78">
            <v>1300000</v>
          </cell>
          <cell r="DP78" t="str">
            <v>2021-22</v>
          </cell>
          <cell r="DQ78">
            <v>1800000</v>
          </cell>
          <cell r="DR78" t="str">
            <v>2021-22</v>
          </cell>
          <cell r="DS78">
            <v>7100000</v>
          </cell>
          <cell r="DT78" t="str">
            <v>2021-22</v>
          </cell>
          <cell r="DU78">
            <v>16300000</v>
          </cell>
          <cell r="DV78" t="str">
            <v>2021-22</v>
          </cell>
          <cell r="DW78">
            <v>1000000</v>
          </cell>
          <cell r="DX78" t="str">
            <v>2021-22</v>
          </cell>
          <cell r="DY78">
            <v>6950000</v>
          </cell>
          <cell r="DZ78" t="str">
            <v>2021-22</v>
          </cell>
          <cell r="EA78">
            <v>34450000</v>
          </cell>
          <cell r="EB78">
            <v>395000</v>
          </cell>
          <cell r="EC78" t="str">
            <v>2021-22</v>
          </cell>
          <cell r="ED78">
            <v>191392</v>
          </cell>
          <cell r="EE78">
            <v>2021</v>
          </cell>
          <cell r="EF78">
            <v>211099</v>
          </cell>
          <cell r="EG78">
            <v>2021</v>
          </cell>
          <cell r="EH78">
            <v>53517534</v>
          </cell>
          <cell r="EI78">
            <v>2021</v>
          </cell>
          <cell r="EJ78">
            <v>5350999</v>
          </cell>
          <cell r="EK78">
            <v>2021</v>
          </cell>
          <cell r="EL78">
            <v>14571766</v>
          </cell>
          <cell r="EM78">
            <v>2020</v>
          </cell>
          <cell r="EN78">
            <v>3132657</v>
          </cell>
          <cell r="EO78">
            <v>2020</v>
          </cell>
          <cell r="EP78">
            <v>6552</v>
          </cell>
          <cell r="EQ78">
            <v>3500000</v>
          </cell>
          <cell r="ER78">
            <v>76133.333333333328</v>
          </cell>
          <cell r="ET78">
            <v>16000</v>
          </cell>
          <cell r="EU78">
            <v>19131</v>
          </cell>
          <cell r="EV78">
            <v>9000</v>
          </cell>
          <cell r="EW78">
            <v>17492</v>
          </cell>
          <cell r="EX78">
            <v>61623</v>
          </cell>
          <cell r="EY78">
            <v>19904</v>
          </cell>
          <cell r="EZ78">
            <v>80798</v>
          </cell>
          <cell r="FA78">
            <v>20331</v>
          </cell>
          <cell r="FB78">
            <v>17550</v>
          </cell>
          <cell r="FC78">
            <v>37881</v>
          </cell>
          <cell r="FD78">
            <v>59807.5</v>
          </cell>
          <cell r="FF78">
            <v>1050000</v>
          </cell>
          <cell r="FG78" t="str">
            <v>2020-21</v>
          </cell>
          <cell r="FH78">
            <v>1400000</v>
          </cell>
          <cell r="FI78" t="str">
            <v>2020-21</v>
          </cell>
          <cell r="FJ78">
            <v>4500000</v>
          </cell>
          <cell r="FK78" t="str">
            <v>2020-21</v>
          </cell>
          <cell r="FL78">
            <v>3400000</v>
          </cell>
          <cell r="FM78" t="str">
            <v>2020-21</v>
          </cell>
          <cell r="FN78">
            <v>55000000</v>
          </cell>
          <cell r="FO78" t="str">
            <v>2021-22</v>
          </cell>
          <cell r="FP78">
            <v>46000000</v>
          </cell>
          <cell r="FQ78" t="str">
            <v>2020-21</v>
          </cell>
          <cell r="FR78">
            <v>3300000</v>
          </cell>
          <cell r="FS78" t="str">
            <v>2020-21</v>
          </cell>
          <cell r="FT78">
            <v>17600000</v>
          </cell>
          <cell r="FU78" t="str">
            <v>2020-21</v>
          </cell>
          <cell r="FV78">
            <v>129800000</v>
          </cell>
          <cell r="FW78">
            <v>1280000</v>
          </cell>
          <cell r="FX78" t="str">
            <v>2020-21</v>
          </cell>
          <cell r="FY78">
            <v>81119</v>
          </cell>
          <cell r="FZ78">
            <v>882751.84</v>
          </cell>
          <cell r="GA78" t="str">
            <v>oct20 sept21</v>
          </cell>
          <cell r="GB78">
            <v>22248266</v>
          </cell>
          <cell r="GC78">
            <v>2021</v>
          </cell>
          <cell r="GD78">
            <v>2015989</v>
          </cell>
          <cell r="GE78">
            <v>421371</v>
          </cell>
          <cell r="GF78">
            <v>1038163</v>
          </cell>
          <cell r="GG78">
            <v>89478</v>
          </cell>
          <cell r="GH78">
            <v>1549012</v>
          </cell>
          <cell r="GI78">
            <v>1302556</v>
          </cell>
          <cell r="GJ78">
            <v>600000</v>
          </cell>
          <cell r="GK78">
            <v>1362000</v>
          </cell>
          <cell r="GL78">
            <v>300000</v>
          </cell>
          <cell r="GM78">
            <v>261011.3</v>
          </cell>
          <cell r="GN78">
            <v>2523011.2999999998</v>
          </cell>
          <cell r="GO78">
            <v>199477</v>
          </cell>
          <cell r="GP78">
            <v>72919</v>
          </cell>
          <cell r="GQ78">
            <v>23823</v>
          </cell>
          <cell r="GR78">
            <v>42288</v>
          </cell>
          <cell r="GS78">
            <v>43002.69</v>
          </cell>
          <cell r="GT78">
            <v>2871705.88</v>
          </cell>
          <cell r="GU78">
            <v>21284</v>
          </cell>
          <cell r="GV78">
            <v>34629</v>
          </cell>
          <cell r="GW78">
            <v>1084841</v>
          </cell>
          <cell r="GX78">
            <v>37480.696000000004</v>
          </cell>
          <cell r="GY78" t="str">
            <v>2020-2021</v>
          </cell>
          <cell r="GZ78">
            <v>97886.411999999997</v>
          </cell>
          <cell r="HA78">
            <v>256000</v>
          </cell>
          <cell r="HB78">
            <v>3012034</v>
          </cell>
          <cell r="HC78" t="str">
            <v>oct20 sept21</v>
          </cell>
          <cell r="HD78">
            <v>55815.630840000194</v>
          </cell>
          <cell r="HE78">
            <v>684762.63084000023</v>
          </cell>
          <cell r="HF78" t="str">
            <v>oct20 sept21</v>
          </cell>
          <cell r="HG78">
            <v>197726</v>
          </cell>
          <cell r="HH78">
            <v>2235611</v>
          </cell>
          <cell r="HI78" t="str">
            <v>oct20 sept21</v>
          </cell>
          <cell r="HJ78">
            <v>93866</v>
          </cell>
          <cell r="HK78">
            <v>61381.62</v>
          </cell>
          <cell r="HL78" t="str">
            <v>oct20 sept21</v>
          </cell>
          <cell r="HM78">
            <v>2296992.62</v>
          </cell>
          <cell r="HN78">
            <v>4.6067970880878439E-2</v>
          </cell>
          <cell r="HO78">
            <v>1069395286.6315219</v>
          </cell>
          <cell r="HP78">
            <v>11434.493975861891</v>
          </cell>
          <cell r="HQ78" t="str">
            <v>oct20 sept21</v>
          </cell>
          <cell r="HU78">
            <v>700000</v>
          </cell>
          <cell r="HV78" t="str">
            <v>2020-21</v>
          </cell>
          <cell r="HW78">
            <v>1510000</v>
          </cell>
          <cell r="HX78" t="str">
            <v>2021-22</v>
          </cell>
          <cell r="HY78">
            <v>3190000</v>
          </cell>
          <cell r="HZ78" t="str">
            <v>2020-21</v>
          </cell>
          <cell r="IA78">
            <v>21410000</v>
          </cell>
          <cell r="IB78" t="str">
            <v>2020-21</v>
          </cell>
          <cell r="IC78">
            <v>45150000</v>
          </cell>
          <cell r="ID78" t="str">
            <v>2020-21</v>
          </cell>
          <cell r="IE78">
            <v>1100000</v>
          </cell>
          <cell r="IF78" t="str">
            <v>2020-21</v>
          </cell>
          <cell r="IG78">
            <v>7200000</v>
          </cell>
          <cell r="IH78" t="str">
            <v>2021-22</v>
          </cell>
          <cell r="II78">
            <v>79560000</v>
          </cell>
          <cell r="IJ78">
            <v>1.9073407006405101</v>
          </cell>
          <cell r="IK78" t="str">
            <v>2020-21</v>
          </cell>
          <cell r="IL78">
            <v>47.633008619792371</v>
          </cell>
          <cell r="IM78">
            <v>47.23</v>
          </cell>
          <cell r="IN78">
            <v>189</v>
          </cell>
          <cell r="IO78">
            <v>15.4</v>
          </cell>
          <cell r="IP78">
            <v>6.1006169215414161</v>
          </cell>
          <cell r="IQ78">
            <v>18.2</v>
          </cell>
          <cell r="IR78">
            <v>5.93</v>
          </cell>
          <cell r="IS78">
            <v>5.67</v>
          </cell>
          <cell r="IT78">
            <v>13.17</v>
          </cell>
          <cell r="IU78">
            <v>1.55</v>
          </cell>
          <cell r="IV78">
            <v>20.39</v>
          </cell>
          <cell r="IY78">
            <v>1.86</v>
          </cell>
          <cell r="IZ78">
            <v>0.3</v>
          </cell>
          <cell r="JA78">
            <v>2813</v>
          </cell>
          <cell r="JF78">
            <v>27.777383770000004</v>
          </cell>
          <cell r="JG78">
            <v>17.748618759999999</v>
          </cell>
          <cell r="JH78">
            <v>61.442567140000008</v>
          </cell>
          <cell r="JI78">
            <v>256.92739762000002</v>
          </cell>
          <cell r="JJ78">
            <v>1192.28323918</v>
          </cell>
          <cell r="JK78">
            <v>132.73172683999999</v>
          </cell>
          <cell r="JL78">
            <v>3236.3511492099997</v>
          </cell>
          <cell r="JM78">
            <v>105.56609014</v>
          </cell>
          <cell r="JN78">
            <v>146.29297120999999</v>
          </cell>
          <cell r="JO78">
            <v>24.040494089999999</v>
          </cell>
          <cell r="JP78">
            <v>0</v>
          </cell>
          <cell r="JQ78">
            <v>0.14316300000000001</v>
          </cell>
          <cell r="JR78">
            <v>1.4106125899999999</v>
          </cell>
          <cell r="JS78">
            <v>0</v>
          </cell>
          <cell r="JT78">
            <v>4.5085E-2</v>
          </cell>
          <cell r="JU78">
            <v>112.38492801000001</v>
          </cell>
          <cell r="JV78">
            <v>12.783564630000001</v>
          </cell>
          <cell r="JW78">
            <v>8.9240231699999999</v>
          </cell>
          <cell r="JX78">
            <v>23.291910300000005</v>
          </cell>
          <cell r="JY78">
            <v>0</v>
          </cell>
          <cell r="JZ78">
            <v>10.799703020000001</v>
          </cell>
          <cell r="KA78">
            <v>0.38000431000000001</v>
          </cell>
          <cell r="KB78">
            <v>40.574908070000006</v>
          </cell>
          <cell r="KC78">
            <v>49.565090359999999</v>
          </cell>
          <cell r="KD78">
            <v>9.9784312200000009</v>
          </cell>
          <cell r="KE78">
            <v>23.425376759999999</v>
          </cell>
          <cell r="KF78">
            <v>45.729107250000006</v>
          </cell>
          <cell r="KG78">
            <v>442.14956753000001</v>
          </cell>
          <cell r="KH78">
            <v>138.99229828999998</v>
          </cell>
          <cell r="KI78">
            <v>19.129747980000001</v>
          </cell>
          <cell r="KJ78">
            <v>2.5404610299999999</v>
          </cell>
          <cell r="KK78">
            <v>11.98240345</v>
          </cell>
          <cell r="KL78">
            <v>0.16383265999999999</v>
          </cell>
          <cell r="KM78">
            <v>2.9688101599999999</v>
          </cell>
          <cell r="KN78">
            <v>0.15070480999999999</v>
          </cell>
          <cell r="KO78">
            <v>1.6096092299999998</v>
          </cell>
          <cell r="KP78">
            <v>0</v>
          </cell>
          <cell r="KQ78">
            <v>136.5529645</v>
          </cell>
          <cell r="KR78">
            <v>4.3255099999999998E-2</v>
          </cell>
          <cell r="KS78">
            <v>0.36818326999999995</v>
          </cell>
          <cell r="KT78">
            <v>0.90143034999999994</v>
          </cell>
          <cell r="KU78">
            <v>0.12698055</v>
          </cell>
          <cell r="KV78">
            <v>0.55717090000000002</v>
          </cell>
          <cell r="KW78">
            <v>1.7068833999999997</v>
          </cell>
          <cell r="KX78">
            <v>0</v>
          </cell>
          <cell r="KY78">
            <v>7.4058250000000006E-2</v>
          </cell>
          <cell r="KZ78">
            <v>2.5211609699999999</v>
          </cell>
          <cell r="LA78">
            <v>0.9791538099999999</v>
          </cell>
          <cell r="LB78">
            <v>2.4684400000000001E-3</v>
          </cell>
          <cell r="LC78">
            <v>0.18467699000000001</v>
          </cell>
          <cell r="LD78">
            <v>0</v>
          </cell>
          <cell r="LE78">
            <v>0.22773348000000002</v>
          </cell>
          <cell r="LF78">
            <v>0.17527447000000002</v>
          </cell>
          <cell r="LG78">
            <v>20.510318979999997</v>
          </cell>
          <cell r="LH78">
            <v>4.4899481699999999</v>
          </cell>
          <cell r="LI78">
            <v>3.3907665700000003</v>
          </cell>
          <cell r="LJ78">
            <v>1.3851900000000001E-3</v>
          </cell>
          <cell r="LK78">
            <v>4.0152229999999998</v>
          </cell>
          <cell r="LL78">
            <v>4.2310140299999999</v>
          </cell>
          <cell r="LM78">
            <v>2.7502495700000003</v>
          </cell>
          <cell r="LN78">
            <v>0.11493397</v>
          </cell>
          <cell r="LO78">
            <v>11.242025369999999</v>
          </cell>
          <cell r="LQ78">
            <v>4998.8634144999996</v>
          </cell>
          <cell r="LR78">
            <v>1.5988605899999999</v>
          </cell>
          <cell r="LS78">
            <v>21.707587799999999</v>
          </cell>
          <cell r="LT78">
            <v>11.179707330000001</v>
          </cell>
          <cell r="LU78">
            <v>141.69352707000002</v>
          </cell>
          <cell r="LV78">
            <v>2.33811255</v>
          </cell>
          <cell r="LW78">
            <v>0.98162224999999992</v>
          </cell>
          <cell r="LX78">
            <v>0.40300795</v>
          </cell>
          <cell r="LZ78">
            <v>115.63</v>
          </cell>
          <cell r="MA78">
            <v>115.14</v>
          </cell>
          <cell r="MH78">
            <v>190.09</v>
          </cell>
          <cell r="MI78">
            <v>56.83</v>
          </cell>
          <cell r="MJ78">
            <v>51.18</v>
          </cell>
          <cell r="ML78">
            <v>53.57</v>
          </cell>
          <cell r="MM78">
            <v>172.2</v>
          </cell>
          <cell r="MO78">
            <v>74.08</v>
          </cell>
          <cell r="MP78">
            <v>151.16999999999999</v>
          </cell>
          <cell r="MQ78">
            <v>166</v>
          </cell>
          <cell r="MU78">
            <v>63.62</v>
          </cell>
          <cell r="MY78">
            <v>211.81</v>
          </cell>
          <cell r="MZ78">
            <v>582</v>
          </cell>
          <cell r="NA78">
            <v>199.69</v>
          </cell>
          <cell r="NB78">
            <v>672.89</v>
          </cell>
          <cell r="NC78">
            <v>93.73</v>
          </cell>
          <cell r="ND78">
            <v>919</v>
          </cell>
          <cell r="NE78">
            <v>494.21</v>
          </cell>
        </row>
        <row r="79">
          <cell r="A79">
            <v>44470</v>
          </cell>
          <cell r="B79">
            <v>10</v>
          </cell>
          <cell r="C79">
            <v>2021</v>
          </cell>
          <cell r="D79">
            <v>79</v>
          </cell>
          <cell r="E79">
            <v>44470</v>
          </cell>
          <cell r="F79">
            <v>101.52</v>
          </cell>
          <cell r="G79">
            <v>547.1</v>
          </cell>
          <cell r="H79">
            <v>59450</v>
          </cell>
          <cell r="I79">
            <v>88</v>
          </cell>
          <cell r="J79">
            <v>780</v>
          </cell>
          <cell r="K79">
            <v>8.8000000000000007</v>
          </cell>
          <cell r="L79">
            <v>26.3</v>
          </cell>
          <cell r="N79">
            <v>1.8360000000000001</v>
          </cell>
          <cell r="O79">
            <v>1.6819999999999999</v>
          </cell>
          <cell r="P79">
            <v>169.64499599999999</v>
          </cell>
          <cell r="Q79">
            <v>2550</v>
          </cell>
          <cell r="R79">
            <v>25500</v>
          </cell>
          <cell r="S79">
            <v>220</v>
          </cell>
          <cell r="T79">
            <v>470.35</v>
          </cell>
          <cell r="U79">
            <v>190.95789473684209</v>
          </cell>
          <cell r="V79">
            <v>318.54210526315791</v>
          </cell>
          <cell r="W79">
            <v>200.32</v>
          </cell>
          <cell r="X79">
            <v>244.16315789473683</v>
          </cell>
          <cell r="Y79">
            <v>22334.399999999998</v>
          </cell>
          <cell r="Z79">
            <v>47749.932000000001</v>
          </cell>
          <cell r="AA79">
            <v>19386.045473684208</v>
          </cell>
          <cell r="AB79">
            <v>32338.394526315791</v>
          </cell>
          <cell r="AC79">
            <v>20336.486399999998</v>
          </cell>
          <cell r="AD79">
            <v>24787.44378947368</v>
          </cell>
          <cell r="AE79">
            <v>27822.117031578942</v>
          </cell>
          <cell r="AF79">
            <v>72284.526315789481</v>
          </cell>
          <cell r="AG79">
            <v>29700</v>
          </cell>
          <cell r="AH79">
            <v>112860</v>
          </cell>
          <cell r="AI79">
            <v>40.869999999999997</v>
          </cell>
          <cell r="AJ79">
            <v>23</v>
          </cell>
          <cell r="AK79">
            <v>34.33</v>
          </cell>
          <cell r="AL79">
            <v>27.14</v>
          </cell>
          <cell r="AM79">
            <v>35.159599999999998</v>
          </cell>
          <cell r="AN79">
            <v>104.51628787878788</v>
          </cell>
          <cell r="AO79">
            <v>78.58</v>
          </cell>
          <cell r="AP79">
            <v>91.548143939393938</v>
          </cell>
          <cell r="AQ79">
            <v>29.378571428571426</v>
          </cell>
          <cell r="AR79">
            <v>39.882857142857141</v>
          </cell>
          <cell r="AS79">
            <v>35.148571428571429</v>
          </cell>
          <cell r="AT79">
            <v>39.617142857142845</v>
          </cell>
          <cell r="AU79">
            <v>38.216190476190469</v>
          </cell>
          <cell r="AV79">
            <v>20.615753424657537</v>
          </cell>
          <cell r="AW79">
            <v>40.152142857142856</v>
          </cell>
          <cell r="AX79">
            <v>19.320714285714285</v>
          </cell>
          <cell r="AY79">
            <v>133.59285714285713</v>
          </cell>
          <cell r="AZ79">
            <v>26.424999999999994</v>
          </cell>
          <cell r="BA79">
            <v>58.391666666666659</v>
          </cell>
          <cell r="BB79">
            <v>59.432559523809509</v>
          </cell>
          <cell r="BC79">
            <v>4492</v>
          </cell>
          <cell r="BD79">
            <v>2426</v>
          </cell>
          <cell r="BE79">
            <v>3000</v>
          </cell>
          <cell r="BF79">
            <v>1500</v>
          </cell>
          <cell r="BG79">
            <v>2854.5</v>
          </cell>
          <cell r="BH79">
            <v>191.89</v>
          </cell>
          <cell r="BI79">
            <v>85</v>
          </cell>
          <cell r="BJ79">
            <v>276.89</v>
          </cell>
          <cell r="BK79">
            <v>188.69300000000001</v>
          </cell>
          <cell r="BL79">
            <v>263.55</v>
          </cell>
          <cell r="BM79">
            <v>226.12150000000003</v>
          </cell>
          <cell r="BN79">
            <v>33.270000000000003</v>
          </cell>
          <cell r="BO79">
            <v>151.07</v>
          </cell>
          <cell r="BP79">
            <v>72.91</v>
          </cell>
          <cell r="BQ79">
            <v>143.25399999999999</v>
          </cell>
          <cell r="BR79">
            <v>134.58000000000001</v>
          </cell>
          <cell r="BS79">
            <v>450</v>
          </cell>
          <cell r="BT79">
            <v>107.6112</v>
          </cell>
          <cell r="BU79">
            <v>5722.8335999999999</v>
          </cell>
          <cell r="BV79">
            <v>282.5</v>
          </cell>
          <cell r="BW79">
            <v>325</v>
          </cell>
          <cell r="BY79">
            <v>1042.9237390756066</v>
          </cell>
          <cell r="BZ79">
            <v>861.21279531786388</v>
          </cell>
          <cell r="CA79">
            <v>1017.5244212993114</v>
          </cell>
          <cell r="CB79">
            <v>1023.5187301167374</v>
          </cell>
          <cell r="CC79">
            <v>944.42718393164921</v>
          </cell>
          <cell r="CD79">
            <v>995.4204198005533</v>
          </cell>
          <cell r="CE79">
            <v>941.04971187712567</v>
          </cell>
          <cell r="CF79">
            <v>1037.4199599757385</v>
          </cell>
          <cell r="CG79">
            <v>993.22673783351922</v>
          </cell>
          <cell r="CH79">
            <v>1032.9562122754303</v>
          </cell>
          <cell r="CI79">
            <v>992.82830787668956</v>
          </cell>
          <cell r="CJ79">
            <v>854.53700338079898</v>
          </cell>
          <cell r="CK79">
            <v>881.81242959022848</v>
          </cell>
          <cell r="CL79">
            <v>1326.3990210047825</v>
          </cell>
          <cell r="CM79">
            <v>742.2525712710725</v>
          </cell>
          <cell r="CN79">
            <v>935.36443625682</v>
          </cell>
          <cell r="CO79">
            <v>971.4571145307259</v>
          </cell>
          <cell r="CP79">
            <v>1006.7219196282255</v>
          </cell>
          <cell r="CQ79">
            <v>854.64973282067729</v>
          </cell>
          <cell r="CR79">
            <v>878.67107362629224</v>
          </cell>
          <cell r="CS79">
            <v>866.66040322348476</v>
          </cell>
          <cell r="CT79">
            <v>810.32666559818085</v>
          </cell>
          <cell r="CU79">
            <v>895.06016984392841</v>
          </cell>
          <cell r="CV79">
            <v>887.77849443544972</v>
          </cell>
          <cell r="CW79">
            <v>887.77849443544972</v>
          </cell>
          <cell r="CX79">
            <v>890.20571957160928</v>
          </cell>
          <cell r="CY79">
            <v>814.94028316224455</v>
          </cell>
          <cell r="CZ79">
            <v>1020.8221306668737</v>
          </cell>
          <cell r="DA79">
            <v>867.15447934510394</v>
          </cell>
          <cell r="DB79">
            <v>957.77380252206785</v>
          </cell>
          <cell r="DC79">
            <v>895.38648154636371</v>
          </cell>
          <cell r="DD79">
            <v>886.01874817759972</v>
          </cell>
          <cell r="DE79">
            <v>812.08143269395418</v>
          </cell>
          <cell r="DF79">
            <v>900.96197593648299</v>
          </cell>
          <cell r="DG79">
            <v>856.52170431521859</v>
          </cell>
          <cell r="DH79">
            <v>938.32510158994</v>
          </cell>
          <cell r="DI79">
            <v>833.72390929055859</v>
          </cell>
          <cell r="DK79">
            <v>500000</v>
          </cell>
          <cell r="DL79" t="str">
            <v>2021-22</v>
          </cell>
          <cell r="DM79">
            <v>200000</v>
          </cell>
          <cell r="DN79" t="str">
            <v>2020-21</v>
          </cell>
          <cell r="DO79">
            <v>1350000</v>
          </cell>
          <cell r="DP79" t="str">
            <v>2021-22</v>
          </cell>
          <cell r="DQ79">
            <v>1800000</v>
          </cell>
          <cell r="DR79" t="str">
            <v>2021-22</v>
          </cell>
          <cell r="DS79">
            <v>7100000</v>
          </cell>
          <cell r="DT79" t="str">
            <v>2021-22</v>
          </cell>
          <cell r="DU79">
            <v>16300000</v>
          </cell>
          <cell r="DV79" t="str">
            <v>2021-22</v>
          </cell>
          <cell r="DW79">
            <v>1000000</v>
          </cell>
          <cell r="DX79" t="str">
            <v>2021-22</v>
          </cell>
          <cell r="DY79">
            <v>6900000</v>
          </cell>
          <cell r="DZ79" t="str">
            <v>2021-22</v>
          </cell>
          <cell r="EA79">
            <v>34450000</v>
          </cell>
          <cell r="EB79">
            <v>395000</v>
          </cell>
          <cell r="EC79" t="str">
            <v>2021-22</v>
          </cell>
          <cell r="ED79">
            <v>191392</v>
          </cell>
          <cell r="EE79">
            <v>2021</v>
          </cell>
          <cell r="EF79">
            <v>211099</v>
          </cell>
          <cell r="EG79">
            <v>2021</v>
          </cell>
          <cell r="EH79">
            <v>53517534</v>
          </cell>
          <cell r="EI79">
            <v>2021</v>
          </cell>
          <cell r="EJ79">
            <v>5350999</v>
          </cell>
          <cell r="EK79">
            <v>2021</v>
          </cell>
          <cell r="EL79">
            <v>14571766</v>
          </cell>
          <cell r="EM79">
            <v>2020</v>
          </cell>
          <cell r="EN79">
            <v>3132657</v>
          </cell>
          <cell r="EO79">
            <v>2020</v>
          </cell>
          <cell r="EP79">
            <v>6552</v>
          </cell>
          <cell r="EQ79">
            <v>3500000</v>
          </cell>
          <cell r="ER79">
            <v>76133.333333333328</v>
          </cell>
          <cell r="ET79">
            <v>16000</v>
          </cell>
          <cell r="EU79">
            <v>19131</v>
          </cell>
          <cell r="EV79">
            <v>9000</v>
          </cell>
          <cell r="EW79">
            <v>17492</v>
          </cell>
          <cell r="EX79">
            <v>61623</v>
          </cell>
          <cell r="EY79">
            <v>19904</v>
          </cell>
          <cell r="EZ79">
            <v>80798</v>
          </cell>
          <cell r="FA79">
            <v>20331</v>
          </cell>
          <cell r="FB79">
            <v>17550</v>
          </cell>
          <cell r="FC79">
            <v>37881</v>
          </cell>
          <cell r="FD79">
            <v>59807.5</v>
          </cell>
          <cell r="FF79">
            <v>1050000</v>
          </cell>
          <cell r="FG79" t="str">
            <v>2020-21</v>
          </cell>
          <cell r="FH79">
            <v>1400000</v>
          </cell>
          <cell r="FI79" t="str">
            <v>2020-21</v>
          </cell>
          <cell r="FJ79">
            <v>4500000</v>
          </cell>
          <cell r="FK79" t="str">
            <v>2020-21</v>
          </cell>
          <cell r="FL79">
            <v>3400000</v>
          </cell>
          <cell r="FM79" t="str">
            <v>2020-21</v>
          </cell>
          <cell r="FN79">
            <v>55000000</v>
          </cell>
          <cell r="FO79" t="str">
            <v>2021-22</v>
          </cell>
          <cell r="FP79">
            <v>46000000</v>
          </cell>
          <cell r="FQ79" t="str">
            <v>2020-21</v>
          </cell>
          <cell r="FR79">
            <v>3300000</v>
          </cell>
          <cell r="FS79" t="str">
            <v>2020-21</v>
          </cell>
          <cell r="FT79">
            <v>17600000</v>
          </cell>
          <cell r="FU79" t="str">
            <v>2020-21</v>
          </cell>
          <cell r="FV79">
            <v>129800000</v>
          </cell>
          <cell r="FW79">
            <v>1280000</v>
          </cell>
          <cell r="FX79" t="str">
            <v>2020-21</v>
          </cell>
          <cell r="FY79">
            <v>27</v>
          </cell>
          <cell r="FZ79">
            <v>882778.84</v>
          </cell>
          <cell r="GA79" t="str">
            <v>nov20 oct21</v>
          </cell>
          <cell r="GB79">
            <v>22248266</v>
          </cell>
          <cell r="GC79">
            <v>2021</v>
          </cell>
          <cell r="GD79">
            <v>2015989</v>
          </cell>
          <cell r="GE79">
            <v>421371</v>
          </cell>
          <cell r="GF79">
            <v>1038163</v>
          </cell>
          <cell r="GG79">
            <v>89478</v>
          </cell>
          <cell r="GH79">
            <v>1549012</v>
          </cell>
          <cell r="GI79">
            <v>1302556</v>
          </cell>
          <cell r="GJ79">
            <v>600000</v>
          </cell>
          <cell r="GK79">
            <v>1362000</v>
          </cell>
          <cell r="GL79">
            <v>300000</v>
          </cell>
          <cell r="GM79">
            <v>261011.3</v>
          </cell>
          <cell r="GN79">
            <v>2523011.2999999998</v>
          </cell>
          <cell r="GO79">
            <v>199477</v>
          </cell>
          <cell r="GP79">
            <v>72919</v>
          </cell>
          <cell r="GQ79">
            <v>47334</v>
          </cell>
          <cell r="GR79">
            <v>42288</v>
          </cell>
          <cell r="GS79">
            <v>43708.02</v>
          </cell>
          <cell r="GT79">
            <v>2871705.88</v>
          </cell>
          <cell r="GU79">
            <v>18110</v>
          </cell>
          <cell r="GV79">
            <v>35027</v>
          </cell>
          <cell r="GW79">
            <v>1077075</v>
          </cell>
          <cell r="GX79">
            <v>37480.696000000004</v>
          </cell>
          <cell r="GY79" t="str">
            <v>2020-2021</v>
          </cell>
          <cell r="GZ79">
            <v>97886.411999999997</v>
          </cell>
          <cell r="HA79">
            <v>246080</v>
          </cell>
          <cell r="HB79">
            <v>2982191</v>
          </cell>
          <cell r="HC79" t="str">
            <v>nov20 oct21</v>
          </cell>
          <cell r="HD79">
            <v>54640.323649999991</v>
          </cell>
          <cell r="HE79">
            <v>685015.95449000027</v>
          </cell>
          <cell r="HF79" t="str">
            <v>nov20 oct21</v>
          </cell>
          <cell r="HG79">
            <v>186648</v>
          </cell>
          <cell r="HH79">
            <v>2236259</v>
          </cell>
          <cell r="HI79" t="str">
            <v>nov20 oct21</v>
          </cell>
          <cell r="HJ79">
            <v>97298</v>
          </cell>
          <cell r="HK79">
            <v>62296.68</v>
          </cell>
          <cell r="HL79" t="str">
            <v>nov20 oct21</v>
          </cell>
          <cell r="HM79">
            <v>2298555.6800000002</v>
          </cell>
          <cell r="HN79">
            <v>3.4429890659747997E-2</v>
          </cell>
          <cell r="HO79">
            <v>1116356738</v>
          </cell>
          <cell r="HP79">
            <v>11471.650713861891</v>
          </cell>
          <cell r="HQ79" t="str">
            <v>nov20 oct21</v>
          </cell>
          <cell r="HU79">
            <v>700000</v>
          </cell>
          <cell r="HV79" t="str">
            <v>2020-21</v>
          </cell>
          <cell r="HW79">
            <v>1510000</v>
          </cell>
          <cell r="HX79" t="str">
            <v>2021-22</v>
          </cell>
          <cell r="HY79">
            <v>3190000</v>
          </cell>
          <cell r="HZ79" t="str">
            <v>2020-21</v>
          </cell>
          <cell r="IA79">
            <v>21410000</v>
          </cell>
          <cell r="IB79" t="str">
            <v>2020-21</v>
          </cell>
          <cell r="IC79">
            <v>45150000</v>
          </cell>
          <cell r="ID79" t="str">
            <v>2020-21</v>
          </cell>
          <cell r="IE79">
            <v>1100000</v>
          </cell>
          <cell r="IF79" t="str">
            <v>2020-21</v>
          </cell>
          <cell r="IG79">
            <v>7200000</v>
          </cell>
          <cell r="IH79" t="str">
            <v>2021-22</v>
          </cell>
          <cell r="II79">
            <v>79560000</v>
          </cell>
          <cell r="IJ79">
            <v>1.9073407006405101</v>
          </cell>
          <cell r="IK79" t="str">
            <v>2020-21</v>
          </cell>
          <cell r="IL79">
            <v>43.62</v>
          </cell>
          <cell r="IM79">
            <v>48.8</v>
          </cell>
          <cell r="IN79">
            <v>189</v>
          </cell>
          <cell r="IO79">
            <v>15.52</v>
          </cell>
          <cell r="IP79">
            <v>6.1006169215414161</v>
          </cell>
          <cell r="IQ79">
            <v>18.2</v>
          </cell>
          <cell r="IR79">
            <v>5.93</v>
          </cell>
          <cell r="IS79">
            <v>5.67</v>
          </cell>
          <cell r="IT79">
            <v>13.17</v>
          </cell>
          <cell r="IU79">
            <v>1.55</v>
          </cell>
          <cell r="IV79">
            <v>20.39</v>
          </cell>
          <cell r="IY79">
            <v>1.86</v>
          </cell>
          <cell r="IZ79">
            <v>0.3</v>
          </cell>
          <cell r="JA79">
            <v>2813</v>
          </cell>
          <cell r="JF79">
            <v>16.934461240000001</v>
          </cell>
          <cell r="JG79">
            <v>40.137181029999994</v>
          </cell>
          <cell r="JH79">
            <v>33.16483685</v>
          </cell>
          <cell r="JI79">
            <v>77.278852499999999</v>
          </cell>
          <cell r="JJ79">
            <v>1062.8656648200001</v>
          </cell>
          <cell r="JK79">
            <v>93.310893970000009</v>
          </cell>
          <cell r="JL79">
            <v>2819.2204159899998</v>
          </cell>
          <cell r="JM79">
            <v>85.693349120000008</v>
          </cell>
          <cell r="JN79">
            <v>210.39703749999995</v>
          </cell>
          <cell r="JO79">
            <v>27.152497830000001</v>
          </cell>
          <cell r="JP79">
            <v>0</v>
          </cell>
          <cell r="JQ79">
            <v>0.1157036</v>
          </cell>
          <cell r="JR79">
            <v>1.5405922400000001</v>
          </cell>
          <cell r="JS79">
            <v>0</v>
          </cell>
          <cell r="JT79">
            <v>2.0865000000000002E-2</v>
          </cell>
          <cell r="JU79">
            <v>102.75041211000001</v>
          </cell>
          <cell r="JV79">
            <v>6.9118383200000002</v>
          </cell>
          <cell r="JW79">
            <v>8.0638578900000013</v>
          </cell>
          <cell r="JX79">
            <v>14.24713382</v>
          </cell>
          <cell r="JY79">
            <v>0</v>
          </cell>
          <cell r="JZ79">
            <v>5.7992805399999998</v>
          </cell>
          <cell r="KA79">
            <v>0.84119321000000002</v>
          </cell>
          <cell r="KB79">
            <v>40.723061620000003</v>
          </cell>
          <cell r="KC79">
            <v>48.34611907</v>
          </cell>
          <cell r="KD79">
            <v>9.2726552600000023</v>
          </cell>
          <cell r="KE79">
            <v>13.0330052</v>
          </cell>
          <cell r="KF79">
            <v>40.480088059999993</v>
          </cell>
          <cell r="KG79">
            <v>365.58654654999992</v>
          </cell>
          <cell r="KH79">
            <v>132.7623127</v>
          </cell>
          <cell r="KI79">
            <v>16.804192950000001</v>
          </cell>
          <cell r="KJ79">
            <v>1.2992627199999998</v>
          </cell>
          <cell r="KK79">
            <v>7.1918054500000013</v>
          </cell>
          <cell r="KL79">
            <v>0.27300023000000001</v>
          </cell>
          <cell r="KM79">
            <v>3.4667927900000004</v>
          </cell>
          <cell r="KN79">
            <v>0.13726192999999998</v>
          </cell>
          <cell r="KO79">
            <v>5.0954181900000002</v>
          </cell>
          <cell r="KP79">
            <v>4.7758720000000005E-2</v>
          </cell>
          <cell r="KQ79">
            <v>142.80964357999997</v>
          </cell>
          <cell r="KR79">
            <v>0.11704147999999999</v>
          </cell>
          <cell r="KS79">
            <v>0.14634162000000001</v>
          </cell>
          <cell r="KT79">
            <v>0.87010926999999993</v>
          </cell>
          <cell r="KU79">
            <v>7.5055029999999995E-2</v>
          </cell>
          <cell r="KV79">
            <v>0.53962951999999997</v>
          </cell>
          <cell r="KW79">
            <v>2.07458784</v>
          </cell>
          <cell r="KX79">
            <v>0</v>
          </cell>
          <cell r="KY79">
            <v>0.84374329000000003</v>
          </cell>
          <cell r="KZ79">
            <v>2.25420401</v>
          </cell>
          <cell r="LA79">
            <v>1.2823005699999999</v>
          </cell>
          <cell r="LB79">
            <v>1.7281099999999997E-2</v>
          </cell>
          <cell r="LC79">
            <v>0.15244513000000001</v>
          </cell>
          <cell r="LD79">
            <v>0</v>
          </cell>
          <cell r="LE79">
            <v>0.54734632000000005</v>
          </cell>
          <cell r="LF79">
            <v>0.10934497</v>
          </cell>
          <cell r="LG79">
            <v>21.702796599999999</v>
          </cell>
          <cell r="LH79">
            <v>5.07858301</v>
          </cell>
          <cell r="LI79">
            <v>1.4972392299999999</v>
          </cell>
          <cell r="LJ79">
            <v>0</v>
          </cell>
          <cell r="LK79">
            <v>1.49948678</v>
          </cell>
          <cell r="LL79">
            <v>4.3706271000000001</v>
          </cell>
          <cell r="LM79">
            <v>1.6696967700000001</v>
          </cell>
          <cell r="LN79">
            <v>0.53588648999999999</v>
          </cell>
          <cell r="LO79">
            <v>14.04140366</v>
          </cell>
          <cell r="LQ79">
            <v>4288.6201567799999</v>
          </cell>
          <cell r="LR79">
            <v>1.67716084</v>
          </cell>
          <cell r="LS79">
            <v>14.975696210000002</v>
          </cell>
          <cell r="LT79">
            <v>6.64047375</v>
          </cell>
          <cell r="LU79">
            <v>151.77249958999997</v>
          </cell>
          <cell r="LV79">
            <v>3.45796065</v>
          </cell>
          <cell r="LW79">
            <v>1.2995816699999998</v>
          </cell>
          <cell r="LX79">
            <v>0.65669129000000004</v>
          </cell>
          <cell r="LZ79">
            <v>118.69</v>
          </cell>
          <cell r="MA79">
            <v>116.74</v>
          </cell>
          <cell r="MH79">
            <v>197.99</v>
          </cell>
          <cell r="MI79">
            <v>59.29</v>
          </cell>
          <cell r="MJ79">
            <v>52.86</v>
          </cell>
          <cell r="ML79">
            <v>56.67</v>
          </cell>
          <cell r="MM79">
            <v>209.56</v>
          </cell>
          <cell r="MO79">
            <v>99.38</v>
          </cell>
          <cell r="MP79">
            <v>151.76</v>
          </cell>
          <cell r="MQ79">
            <v>172.07</v>
          </cell>
          <cell r="MU79">
            <v>60.66</v>
          </cell>
          <cell r="MY79">
            <v>217.35</v>
          </cell>
          <cell r="MZ79">
            <v>590</v>
          </cell>
          <cell r="NA79">
            <v>202.18</v>
          </cell>
          <cell r="NB79">
            <v>676.49</v>
          </cell>
          <cell r="NC79">
            <v>93.28</v>
          </cell>
          <cell r="ND79">
            <v>989</v>
          </cell>
          <cell r="NE79">
            <v>521.54</v>
          </cell>
        </row>
        <row r="80">
          <cell r="A80">
            <v>44501</v>
          </cell>
          <cell r="B80">
            <v>11</v>
          </cell>
          <cell r="C80">
            <v>2021</v>
          </cell>
          <cell r="D80">
            <v>80</v>
          </cell>
          <cell r="E80">
            <v>44501</v>
          </cell>
          <cell r="F80">
            <v>102.42</v>
          </cell>
          <cell r="G80">
            <v>560.9</v>
          </cell>
          <cell r="H80">
            <v>59450</v>
          </cell>
          <cell r="I80">
            <v>87</v>
          </cell>
          <cell r="J80">
            <v>980</v>
          </cell>
          <cell r="K80">
            <v>9.9</v>
          </cell>
          <cell r="L80">
            <v>26.1</v>
          </cell>
          <cell r="N80">
            <v>1.9890000000000001</v>
          </cell>
          <cell r="O80">
            <v>1.835</v>
          </cell>
          <cell r="P80">
            <v>186.03568799999999</v>
          </cell>
          <cell r="Q80">
            <v>2537.5</v>
          </cell>
          <cell r="R80">
            <v>25375</v>
          </cell>
          <cell r="S80">
            <v>227.67</v>
          </cell>
          <cell r="T80">
            <v>471.71</v>
          </cell>
          <cell r="U80">
            <v>196.46190476190475</v>
          </cell>
          <cell r="V80">
            <v>318.23333333333329</v>
          </cell>
          <cell r="W80">
            <v>196.8</v>
          </cell>
          <cell r="X80">
            <v>249.86666666666665</v>
          </cell>
          <cell r="Y80">
            <v>23317.9614</v>
          </cell>
          <cell r="Z80">
            <v>48312.538199999995</v>
          </cell>
          <cell r="AA80">
            <v>20121.628285714283</v>
          </cell>
          <cell r="AB80">
            <v>32593.457999999995</v>
          </cell>
          <cell r="AC80">
            <v>20156.256000000001</v>
          </cell>
          <cell r="AD80">
            <v>25591.343999999997</v>
          </cell>
          <cell r="AE80">
            <v>28348.864314285714</v>
          </cell>
          <cell r="AF80">
            <v>73006.428571428565</v>
          </cell>
          <cell r="AG80">
            <v>36830</v>
          </cell>
          <cell r="AH80">
            <v>139954</v>
          </cell>
          <cell r="AI80">
            <v>39.24</v>
          </cell>
          <cell r="AJ80">
            <v>27.89</v>
          </cell>
          <cell r="AK80">
            <v>28.12</v>
          </cell>
          <cell r="AL80">
            <v>24.33</v>
          </cell>
          <cell r="AM80">
            <v>32.316400000000002</v>
          </cell>
          <cell r="AN80">
            <v>106.49</v>
          </cell>
          <cell r="AO80">
            <v>85.28</v>
          </cell>
          <cell r="AP80">
            <v>95.884999999999991</v>
          </cell>
          <cell r="AQ80">
            <v>38.299999999999997</v>
          </cell>
          <cell r="AR80">
            <v>43.71</v>
          </cell>
          <cell r="AS80">
            <v>34.06</v>
          </cell>
          <cell r="AT80">
            <v>56.39</v>
          </cell>
          <cell r="AU80">
            <v>44.720000000000006</v>
          </cell>
          <cell r="AV80">
            <v>21.91</v>
          </cell>
          <cell r="AW80">
            <v>46.2</v>
          </cell>
          <cell r="AX80">
            <v>28.79</v>
          </cell>
          <cell r="AY80">
            <v>76.48</v>
          </cell>
          <cell r="AZ80">
            <v>29.68</v>
          </cell>
          <cell r="BA80">
            <v>44.88</v>
          </cell>
          <cell r="BB80">
            <v>44.957500000000003</v>
          </cell>
          <cell r="BC80">
            <v>4780</v>
          </cell>
          <cell r="BD80">
            <v>2426</v>
          </cell>
          <cell r="BE80">
            <v>3000</v>
          </cell>
          <cell r="BF80">
            <v>1500</v>
          </cell>
          <cell r="BG80">
            <v>2926.5</v>
          </cell>
          <cell r="BH80">
            <v>191.89</v>
          </cell>
          <cell r="BI80">
            <v>85</v>
          </cell>
          <cell r="BJ80">
            <v>276.89</v>
          </cell>
          <cell r="BK80">
            <v>225.75299999999999</v>
          </cell>
          <cell r="BL80">
            <v>286.87</v>
          </cell>
          <cell r="BM80">
            <v>256.31150000000002</v>
          </cell>
          <cell r="BN80">
            <v>33.700000000000003</v>
          </cell>
          <cell r="BO80">
            <v>155.1</v>
          </cell>
          <cell r="BP80">
            <v>72.849999999999994</v>
          </cell>
          <cell r="BQ80">
            <v>146.875</v>
          </cell>
          <cell r="BR80">
            <v>142.62</v>
          </cell>
          <cell r="BS80">
            <v>450</v>
          </cell>
          <cell r="BT80">
            <v>102.42</v>
          </cell>
          <cell r="BU80">
            <v>5707.26</v>
          </cell>
          <cell r="BV80">
            <v>285.5</v>
          </cell>
          <cell r="BW80">
            <v>375</v>
          </cell>
          <cell r="BY80">
            <v>1125.8340104333256</v>
          </cell>
          <cell r="BZ80">
            <v>896.56537986414389</v>
          </cell>
          <cell r="CA80">
            <v>1079.0036794716584</v>
          </cell>
          <cell r="CB80">
            <v>1057.0217896781501</v>
          </cell>
          <cell r="CC80">
            <v>994.24319731401772</v>
          </cell>
          <cell r="CD80">
            <v>1035.9409561727248</v>
          </cell>
          <cell r="CE80">
            <v>974.74719164653879</v>
          </cell>
          <cell r="CF80">
            <v>1094.0286395498131</v>
          </cell>
          <cell r="CG80">
            <v>1039.1642423054839</v>
          </cell>
          <cell r="CH80">
            <v>1075.1083234901762</v>
          </cell>
          <cell r="CI80">
            <v>1081.1599337490638</v>
          </cell>
          <cell r="CJ80">
            <v>907.04345612222767</v>
          </cell>
          <cell r="CK80">
            <v>992.75939616121639</v>
          </cell>
          <cell r="CL80">
            <v>1160.7983788785343</v>
          </cell>
          <cell r="CM80">
            <v>786.06931221883224</v>
          </cell>
          <cell r="CN80">
            <v>918.28835671386616</v>
          </cell>
          <cell r="CO80">
            <v>964.47886099311222</v>
          </cell>
          <cell r="CP80">
            <v>1038.80962464559</v>
          </cell>
          <cell r="CQ80">
            <v>900.00706363934069</v>
          </cell>
          <cell r="CR80">
            <v>932.37713532392854</v>
          </cell>
          <cell r="CS80">
            <v>916.19209948163461</v>
          </cell>
          <cell r="CT80">
            <v>869.12531204346828</v>
          </cell>
          <cell r="CU80">
            <v>963.609875094372</v>
          </cell>
          <cell r="CV80">
            <v>949.65585956331415</v>
          </cell>
          <cell r="CW80">
            <v>949.65585956331415</v>
          </cell>
          <cell r="CX80">
            <v>954.30719807366677</v>
          </cell>
          <cell r="CY80">
            <v>848.85331871847427</v>
          </cell>
          <cell r="CZ80">
            <v>1061.5711697926577</v>
          </cell>
          <cell r="DA80">
            <v>903.81529336641188</v>
          </cell>
          <cell r="DB80">
            <v>1048.7538137009019</v>
          </cell>
          <cell r="DC80">
            <v>919.60819168637897</v>
          </cell>
          <cell r="DD80">
            <v>912.65821094380635</v>
          </cell>
          <cell r="DE80">
            <v>836.52733233333481</v>
          </cell>
          <cell r="DF80">
            <v>929.22225511109934</v>
          </cell>
          <cell r="DG80">
            <v>882.87479372221708</v>
          </cell>
          <cell r="DH80">
            <v>983.03752749207831</v>
          </cell>
          <cell r="DI80">
            <v>859.37603892947902</v>
          </cell>
          <cell r="DK80">
            <v>500000</v>
          </cell>
          <cell r="DL80" t="str">
            <v>2021-22</v>
          </cell>
          <cell r="DM80">
            <v>200000</v>
          </cell>
          <cell r="DN80" t="str">
            <v>2021-22</v>
          </cell>
          <cell r="DO80">
            <v>1350000</v>
          </cell>
          <cell r="DP80" t="str">
            <v>2021-22</v>
          </cell>
          <cell r="DQ80">
            <v>1800000</v>
          </cell>
          <cell r="DR80" t="str">
            <v>2021-22</v>
          </cell>
          <cell r="DS80">
            <v>7300000</v>
          </cell>
          <cell r="DT80" t="str">
            <v>2021-22</v>
          </cell>
          <cell r="DU80">
            <v>16300000</v>
          </cell>
          <cell r="DV80" t="str">
            <v>2021-22</v>
          </cell>
          <cell r="DW80">
            <v>1000000</v>
          </cell>
          <cell r="DX80" t="str">
            <v>2021-22</v>
          </cell>
          <cell r="DY80">
            <v>6805000</v>
          </cell>
          <cell r="DZ80" t="str">
            <v>2021-22</v>
          </cell>
          <cell r="EA80">
            <v>34555000</v>
          </cell>
          <cell r="EB80">
            <v>395000</v>
          </cell>
          <cell r="EC80" t="str">
            <v>2021-22</v>
          </cell>
          <cell r="ED80">
            <v>191392</v>
          </cell>
          <cell r="EE80">
            <v>2021</v>
          </cell>
          <cell r="EF80">
            <v>211099</v>
          </cell>
          <cell r="EG80">
            <v>2021</v>
          </cell>
          <cell r="EH80">
            <v>53517534</v>
          </cell>
          <cell r="EI80">
            <v>2021</v>
          </cell>
          <cell r="EJ80">
            <v>5350999</v>
          </cell>
          <cell r="EK80">
            <v>2021</v>
          </cell>
          <cell r="EL80">
            <v>14571766</v>
          </cell>
          <cell r="EM80">
            <v>2020</v>
          </cell>
          <cell r="EN80">
            <v>3132657</v>
          </cell>
          <cell r="EO80">
            <v>2020</v>
          </cell>
          <cell r="EP80">
            <v>6552</v>
          </cell>
          <cell r="EQ80">
            <v>3500000</v>
          </cell>
          <cell r="ER80">
            <v>76133.333333333328</v>
          </cell>
          <cell r="ET80">
            <v>16000</v>
          </cell>
          <cell r="EU80">
            <v>19131</v>
          </cell>
          <cell r="EV80">
            <v>9000</v>
          </cell>
          <cell r="EW80">
            <v>17492</v>
          </cell>
          <cell r="EX80">
            <v>61623</v>
          </cell>
          <cell r="EY80">
            <v>19904</v>
          </cell>
          <cell r="EZ80">
            <v>80798</v>
          </cell>
          <cell r="FA80">
            <v>20331</v>
          </cell>
          <cell r="FB80">
            <v>17550</v>
          </cell>
          <cell r="FC80">
            <v>37881</v>
          </cell>
          <cell r="FD80">
            <v>59807.5</v>
          </cell>
          <cell r="FF80">
            <v>1050000</v>
          </cell>
          <cell r="FG80" t="str">
            <v>2020-21</v>
          </cell>
          <cell r="FH80">
            <v>1400000</v>
          </cell>
          <cell r="FI80" t="str">
            <v>2020-21</v>
          </cell>
          <cell r="FJ80">
            <v>4200000</v>
          </cell>
          <cell r="FK80" t="str">
            <v>2021-22</v>
          </cell>
          <cell r="FL80">
            <v>3400000</v>
          </cell>
          <cell r="FM80" t="str">
            <v>2020-21</v>
          </cell>
          <cell r="FN80">
            <v>57000000</v>
          </cell>
          <cell r="FO80" t="str">
            <v>2021-22</v>
          </cell>
          <cell r="FP80">
            <v>46000000</v>
          </cell>
          <cell r="FQ80" t="str">
            <v>2020-21</v>
          </cell>
          <cell r="FR80">
            <v>3300000</v>
          </cell>
          <cell r="FS80" t="str">
            <v>2020-21</v>
          </cell>
          <cell r="FT80">
            <v>19900000</v>
          </cell>
          <cell r="FU80" t="str">
            <v>2021-22</v>
          </cell>
          <cell r="FV80">
            <v>133800000</v>
          </cell>
          <cell r="FW80">
            <v>1280000</v>
          </cell>
          <cell r="FX80" t="str">
            <v>2020-21</v>
          </cell>
          <cell r="FY80">
            <v>0</v>
          </cell>
          <cell r="FZ80">
            <v>882778.84</v>
          </cell>
          <cell r="GA80" t="str">
            <v>dic20 nov21</v>
          </cell>
          <cell r="GB80">
            <v>22248266</v>
          </cell>
          <cell r="GC80">
            <v>2021</v>
          </cell>
          <cell r="GD80">
            <v>2015989</v>
          </cell>
          <cell r="GE80">
            <v>421371</v>
          </cell>
          <cell r="GF80">
            <v>1038163</v>
          </cell>
          <cell r="GG80">
            <v>89478</v>
          </cell>
          <cell r="GH80">
            <v>1549012</v>
          </cell>
          <cell r="GI80">
            <v>1302556</v>
          </cell>
          <cell r="GJ80">
            <v>600000</v>
          </cell>
          <cell r="GK80">
            <v>1362000</v>
          </cell>
          <cell r="GL80">
            <v>300000</v>
          </cell>
          <cell r="GM80">
            <v>261011.3</v>
          </cell>
          <cell r="GN80">
            <v>2523011.2999999998</v>
          </cell>
          <cell r="GO80">
            <v>199477</v>
          </cell>
          <cell r="GP80">
            <v>72919</v>
          </cell>
          <cell r="GQ80">
            <v>85859.5</v>
          </cell>
          <cell r="GR80">
            <v>42288</v>
          </cell>
          <cell r="GS80">
            <v>44863.785000000003</v>
          </cell>
          <cell r="GT80">
            <v>2871705.88</v>
          </cell>
          <cell r="GU80">
            <v>15000</v>
          </cell>
          <cell r="GV80">
            <v>35844</v>
          </cell>
          <cell r="GW80">
            <v>1081883</v>
          </cell>
          <cell r="GX80">
            <v>37480.696000000004</v>
          </cell>
          <cell r="GY80" t="str">
            <v>2020-2021</v>
          </cell>
          <cell r="GZ80">
            <v>97886.411999999997</v>
          </cell>
          <cell r="HA80">
            <v>252781</v>
          </cell>
          <cell r="HB80">
            <v>2958989</v>
          </cell>
          <cell r="HC80" t="str">
            <v>dic20 nov21</v>
          </cell>
          <cell r="HD80">
            <v>57727</v>
          </cell>
          <cell r="HE80">
            <v>689276.95449000027</v>
          </cell>
          <cell r="HF80" t="str">
            <v>dic20 nov21</v>
          </cell>
          <cell r="HG80">
            <v>199000</v>
          </cell>
          <cell r="HH80">
            <v>2253259</v>
          </cell>
          <cell r="HI80" t="str">
            <v>dic20 nov21</v>
          </cell>
          <cell r="HJ80">
            <v>101196</v>
          </cell>
          <cell r="HK80">
            <v>62658.66</v>
          </cell>
          <cell r="HL80" t="str">
            <v>dic20 nov21</v>
          </cell>
          <cell r="HM80">
            <v>2315917.66</v>
          </cell>
          <cell r="HN80">
            <v>4.5246259048919546E-2</v>
          </cell>
          <cell r="HO80">
            <v>1077021745.3240068</v>
          </cell>
          <cell r="HP80">
            <v>11518.272459185899</v>
          </cell>
          <cell r="HQ80" t="str">
            <v>dic20 nov21</v>
          </cell>
          <cell r="HU80">
            <v>700000</v>
          </cell>
          <cell r="HV80" t="str">
            <v>2020-21</v>
          </cell>
          <cell r="HW80">
            <v>1510000</v>
          </cell>
          <cell r="HX80" t="str">
            <v>2021-22</v>
          </cell>
          <cell r="HY80">
            <v>3190000</v>
          </cell>
          <cell r="HZ80" t="str">
            <v>2020-21</v>
          </cell>
          <cell r="IA80">
            <v>21410000</v>
          </cell>
          <cell r="IB80" t="str">
            <v>2020-21</v>
          </cell>
          <cell r="IC80">
            <v>45150000</v>
          </cell>
          <cell r="ID80" t="str">
            <v>2020-21</v>
          </cell>
          <cell r="IE80">
            <v>950000</v>
          </cell>
          <cell r="IF80" t="str">
            <v>2020-21</v>
          </cell>
          <cell r="IG80">
            <v>7200000</v>
          </cell>
          <cell r="IH80" t="str">
            <v>2021-22</v>
          </cell>
          <cell r="II80">
            <v>79410000</v>
          </cell>
          <cell r="IJ80">
            <v>1.9073407006405101</v>
          </cell>
          <cell r="IK80" t="str">
            <v>2020-21</v>
          </cell>
          <cell r="IL80">
            <v>45.51</v>
          </cell>
          <cell r="IM80">
            <v>50.49</v>
          </cell>
          <cell r="IN80">
            <v>189</v>
          </cell>
          <cell r="IO80">
            <v>15.75</v>
          </cell>
          <cell r="IP80">
            <v>6.1006169215414161</v>
          </cell>
          <cell r="IQ80">
            <v>18.2</v>
          </cell>
          <cell r="IR80">
            <v>5.93</v>
          </cell>
          <cell r="IS80">
            <v>5.67</v>
          </cell>
          <cell r="IT80">
            <v>13.17</v>
          </cell>
          <cell r="IU80">
            <v>1.55</v>
          </cell>
          <cell r="IV80">
            <v>20.39</v>
          </cell>
          <cell r="IY80">
            <v>1.86</v>
          </cell>
          <cell r="IZ80">
            <v>0.3</v>
          </cell>
          <cell r="JA80">
            <v>2813</v>
          </cell>
          <cell r="JF80">
            <v>28.490697219999994</v>
          </cell>
          <cell r="JG80">
            <v>27.4374045</v>
          </cell>
          <cell r="JH80">
            <v>68.85841597000001</v>
          </cell>
          <cell r="JI80">
            <v>88.536475519999996</v>
          </cell>
          <cell r="JJ80">
            <v>681.94303855999976</v>
          </cell>
          <cell r="JK80">
            <v>140.94788607999999</v>
          </cell>
          <cell r="JL80">
            <v>2360.3149534999998</v>
          </cell>
          <cell r="JM80">
            <v>58.585697600000003</v>
          </cell>
          <cell r="JN80">
            <v>451.61318115999995</v>
          </cell>
          <cell r="JO80">
            <v>25.32053939</v>
          </cell>
          <cell r="JP80">
            <v>0</v>
          </cell>
          <cell r="JQ80">
            <v>7.6960000000000001E-2</v>
          </cell>
          <cell r="JR80">
            <v>1.5032038999999999</v>
          </cell>
          <cell r="JS80">
            <v>0</v>
          </cell>
          <cell r="JT80">
            <v>1.0574999999999999E-2</v>
          </cell>
          <cell r="JU80">
            <v>98.129440210000013</v>
          </cell>
          <cell r="JV80">
            <v>23.182605830000004</v>
          </cell>
          <cell r="JW80">
            <v>7.4731666200000006</v>
          </cell>
          <cell r="JX80">
            <v>12.403564199999998</v>
          </cell>
          <cell r="JY80">
            <v>0</v>
          </cell>
          <cell r="JZ80">
            <v>3.8473387400000001</v>
          </cell>
          <cell r="KA80">
            <v>0.18282899999999999</v>
          </cell>
          <cell r="KB80">
            <v>39.89963478</v>
          </cell>
          <cell r="KC80">
            <v>66.458807830000012</v>
          </cell>
          <cell r="KD80">
            <v>7.7876478199999992</v>
          </cell>
          <cell r="KE80">
            <v>14.147276309999997</v>
          </cell>
          <cell r="KF80">
            <v>47.392165119999987</v>
          </cell>
          <cell r="KG80">
            <v>359.39803177000005</v>
          </cell>
          <cell r="KH80">
            <v>151.57627656000005</v>
          </cell>
          <cell r="KI80">
            <v>30.02316635</v>
          </cell>
          <cell r="KJ80">
            <v>1.8083928099999997</v>
          </cell>
          <cell r="KK80">
            <v>8.22009319</v>
          </cell>
          <cell r="KL80">
            <v>0.15463169999999998</v>
          </cell>
          <cell r="KM80">
            <v>2.4690545100000003</v>
          </cell>
          <cell r="KN80">
            <v>4.6151440000000002E-2</v>
          </cell>
          <cell r="KO80">
            <v>10.613510229999999</v>
          </cell>
          <cell r="KP80">
            <v>5.4840730000000004E-2</v>
          </cell>
          <cell r="KQ80">
            <v>164.87509822000001</v>
          </cell>
          <cell r="KR80">
            <v>0.12215575999999999</v>
          </cell>
          <cell r="KS80">
            <v>6.6214499999999996E-2</v>
          </cell>
          <cell r="KT80">
            <v>0.91119861999999996</v>
          </cell>
          <cell r="KU80">
            <v>0.27166317000000006</v>
          </cell>
          <cell r="KV80">
            <v>6.7619699999999991E-2</v>
          </cell>
          <cell r="KW80">
            <v>0.97057207999999995</v>
          </cell>
          <cell r="KX80">
            <v>0</v>
          </cell>
          <cell r="KY80">
            <v>1.1295264700000001</v>
          </cell>
          <cell r="KZ80">
            <v>1.9802399400000001</v>
          </cell>
          <cell r="LA80">
            <v>1.72975729</v>
          </cell>
          <cell r="LB80">
            <v>0</v>
          </cell>
          <cell r="LC80">
            <v>0.16734705</v>
          </cell>
          <cell r="LD80">
            <v>0</v>
          </cell>
          <cell r="LE80">
            <v>0.41798414</v>
          </cell>
          <cell r="LF80">
            <v>0.24400611999999999</v>
          </cell>
          <cell r="LG80">
            <v>26.601675920000002</v>
          </cell>
          <cell r="LH80">
            <v>4.3283026800000002</v>
          </cell>
          <cell r="LI80">
            <v>1.4854178499999999</v>
          </cell>
          <cell r="LJ80">
            <v>0</v>
          </cell>
          <cell r="LK80">
            <v>3.5409662799999997</v>
          </cell>
          <cell r="LL80">
            <v>4.7880417100000008</v>
          </cell>
          <cell r="LM80">
            <v>2.7719063999999998</v>
          </cell>
          <cell r="LN80">
            <v>0.86009315000000008</v>
          </cell>
          <cell r="LO80">
            <v>16.2664157</v>
          </cell>
          <cell r="LQ80">
            <v>3709.8517623099992</v>
          </cell>
          <cell r="LR80">
            <v>1.5907388999999998</v>
          </cell>
          <cell r="LS80">
            <v>30.655772450000004</v>
          </cell>
          <cell r="LT80">
            <v>4.0301677400000004</v>
          </cell>
          <cell r="LU80">
            <v>178.19218466000001</v>
          </cell>
          <cell r="LV80">
            <v>2.1677182500000001</v>
          </cell>
          <cell r="LW80">
            <v>1.72975729</v>
          </cell>
          <cell r="LX80">
            <v>0.66199026000000005</v>
          </cell>
          <cell r="LZ80">
            <v>119.16</v>
          </cell>
          <cell r="MA80">
            <v>114.43</v>
          </cell>
          <cell r="MH80">
            <v>204.32</v>
          </cell>
          <cell r="MI80">
            <v>59.37</v>
          </cell>
          <cell r="MJ80">
            <v>55.84</v>
          </cell>
          <cell r="ML80">
            <v>57.75</v>
          </cell>
          <cell r="MM80">
            <v>139.19</v>
          </cell>
          <cell r="MO80">
            <v>99.58</v>
          </cell>
          <cell r="MP80">
            <v>156.12</v>
          </cell>
          <cell r="MQ80">
            <v>181.45</v>
          </cell>
          <cell r="MU80">
            <v>65.72</v>
          </cell>
          <cell r="MY80">
            <v>216.6</v>
          </cell>
          <cell r="MZ80">
            <v>584</v>
          </cell>
          <cell r="NA80">
            <v>210.04</v>
          </cell>
          <cell r="NB80">
            <v>786.63</v>
          </cell>
          <cell r="NC80">
            <v>89.46</v>
          </cell>
          <cell r="ND80">
            <v>1019</v>
          </cell>
          <cell r="NE80">
            <v>568.08000000000004</v>
          </cell>
        </row>
        <row r="81">
          <cell r="A81">
            <v>44531</v>
          </cell>
          <cell r="B81">
            <v>12</v>
          </cell>
          <cell r="C81">
            <v>2021</v>
          </cell>
          <cell r="D81">
            <v>81</v>
          </cell>
          <cell r="E81">
            <v>44531</v>
          </cell>
          <cell r="F81">
            <v>103.95</v>
          </cell>
          <cell r="G81">
            <v>582.5</v>
          </cell>
          <cell r="H81">
            <v>59450</v>
          </cell>
          <cell r="I81">
            <v>86</v>
          </cell>
          <cell r="J81">
            <v>1080</v>
          </cell>
          <cell r="K81">
            <v>9.9</v>
          </cell>
          <cell r="L81">
            <v>28.4</v>
          </cell>
          <cell r="N81">
            <v>2.016</v>
          </cell>
          <cell r="O81">
            <v>1.8580000000000001</v>
          </cell>
          <cell r="P81">
            <v>191.2835925</v>
          </cell>
          <cell r="Q81">
            <v>2500</v>
          </cell>
          <cell r="R81">
            <v>25000</v>
          </cell>
          <cell r="S81">
            <v>230</v>
          </cell>
          <cell r="T81">
            <v>464.63</v>
          </cell>
          <cell r="U81">
            <v>203.78</v>
          </cell>
          <cell r="V81">
            <v>327.62</v>
          </cell>
          <cell r="W81">
            <v>198.56</v>
          </cell>
          <cell r="X81">
            <v>244.60500000000002</v>
          </cell>
          <cell r="Y81">
            <v>23908.5</v>
          </cell>
          <cell r="Z81">
            <v>48298.288500000002</v>
          </cell>
          <cell r="AA81">
            <v>21182.931</v>
          </cell>
          <cell r="AB81">
            <v>34056.099000000002</v>
          </cell>
          <cell r="AC81">
            <v>20640.312000000002</v>
          </cell>
          <cell r="AD81">
            <v>25426.689750000001</v>
          </cell>
          <cell r="AE81">
            <v>28918.803375</v>
          </cell>
          <cell r="AF81">
            <v>74145.25</v>
          </cell>
          <cell r="AG81">
            <v>36830</v>
          </cell>
          <cell r="AH81">
            <v>139954</v>
          </cell>
          <cell r="AI81">
            <v>34.832700000000003</v>
          </cell>
          <cell r="AJ81">
            <v>29.659800000000001</v>
          </cell>
          <cell r="AK81">
            <v>35.084499999999998</v>
          </cell>
          <cell r="AL81">
            <v>31.3292</v>
          </cell>
          <cell r="AM81">
            <v>33.850411999999999</v>
          </cell>
          <cell r="AN81">
            <v>124.25796680497928</v>
          </cell>
          <cell r="AO81">
            <v>94.763750000000016</v>
          </cell>
          <cell r="AP81">
            <v>109.51085840248965</v>
          </cell>
          <cell r="AQ81">
            <v>41.574166666666663</v>
          </cell>
          <cell r="AR81">
            <v>44.74541666666665</v>
          </cell>
          <cell r="AS81">
            <v>33.585479452054784</v>
          </cell>
          <cell r="AT81">
            <v>62.21666666666669</v>
          </cell>
          <cell r="AU81">
            <v>46.849187595129372</v>
          </cell>
          <cell r="AV81">
            <v>18.587796610169491</v>
          </cell>
          <cell r="AW81">
            <v>42.467391304347828</v>
          </cell>
          <cell r="AX81">
            <v>24.14521739130435</v>
          </cell>
          <cell r="AY81">
            <v>62.643913043478257</v>
          </cell>
          <cell r="AZ81">
            <v>30.914347826086949</v>
          </cell>
          <cell r="BA81">
            <v>34.174583333333331</v>
          </cell>
          <cell r="BB81">
            <v>37.969515398550726</v>
          </cell>
          <cell r="BC81">
            <v>4972</v>
          </cell>
          <cell r="BD81">
            <v>2426</v>
          </cell>
          <cell r="BE81">
            <v>3000</v>
          </cell>
          <cell r="BF81">
            <v>1500</v>
          </cell>
          <cell r="BG81">
            <v>2974.5</v>
          </cell>
          <cell r="BH81">
            <v>191.89</v>
          </cell>
          <cell r="BI81">
            <v>111.89</v>
          </cell>
          <cell r="BJ81">
            <v>303.77999999999997</v>
          </cell>
          <cell r="BK81">
            <v>236.90600000000001</v>
          </cell>
          <cell r="BL81">
            <v>325.86</v>
          </cell>
          <cell r="BM81">
            <v>281.38300000000004</v>
          </cell>
          <cell r="BN81">
            <v>34.35</v>
          </cell>
          <cell r="BO81">
            <v>166.3</v>
          </cell>
          <cell r="BP81">
            <v>72.849999999999994</v>
          </cell>
          <cell r="BQ81">
            <v>156.95500000000001</v>
          </cell>
          <cell r="BR81">
            <v>148.83000000000001</v>
          </cell>
          <cell r="BS81">
            <v>460</v>
          </cell>
          <cell r="BT81">
            <v>104.98950000000001</v>
          </cell>
          <cell r="BU81">
            <v>5834.9684999999999</v>
          </cell>
          <cell r="BV81">
            <v>299.3</v>
          </cell>
          <cell r="BW81">
            <v>390</v>
          </cell>
          <cell r="BY81">
            <v>1167.5473063776644</v>
          </cell>
          <cell r="BZ81">
            <v>926.12004680499376</v>
          </cell>
          <cell r="CA81">
            <v>1129.6992004976939</v>
          </cell>
          <cell r="CB81">
            <v>1094.988942945291</v>
          </cell>
          <cell r="CC81">
            <v>1052.2272738479098</v>
          </cell>
          <cell r="CD81">
            <v>1087.8740451188357</v>
          </cell>
          <cell r="CE81">
            <v>1022.3523386261082</v>
          </cell>
          <cell r="CF81">
            <v>1136.7998875591238</v>
          </cell>
          <cell r="CG81">
            <v>1087.3236147658272</v>
          </cell>
          <cell r="CH81">
            <v>1114.9775241163386</v>
          </cell>
          <cell r="CI81">
            <v>1115.3132585467822</v>
          </cell>
          <cell r="CJ81">
            <v>912.20741864499394</v>
          </cell>
          <cell r="CK81">
            <v>1008.4098151868507</v>
          </cell>
          <cell r="CL81">
            <v>1146.9803039675035</v>
          </cell>
          <cell r="CM81">
            <v>814.26424125777169</v>
          </cell>
          <cell r="CN81">
            <v>902.15186431563041</v>
          </cell>
          <cell r="CO81">
            <v>967.95155618193905</v>
          </cell>
          <cell r="CP81">
            <v>1076.5262049535208</v>
          </cell>
          <cell r="CQ81">
            <v>939.53377427755629</v>
          </cell>
          <cell r="CR81">
            <v>970.1222810055732</v>
          </cell>
          <cell r="CS81">
            <v>954.82802764156474</v>
          </cell>
          <cell r="CT81">
            <v>899.6099552508465</v>
          </cell>
          <cell r="CU81">
            <v>1000.7227726381402</v>
          </cell>
          <cell r="CV81">
            <v>984.72255800220603</v>
          </cell>
          <cell r="CW81">
            <v>984.72255800220603</v>
          </cell>
          <cell r="CX81">
            <v>990.05596288085064</v>
          </cell>
          <cell r="CY81">
            <v>863.97249181282677</v>
          </cell>
          <cell r="CZ81">
            <v>1083.9154906240383</v>
          </cell>
          <cell r="DA81">
            <v>923.42507690938885</v>
          </cell>
          <cell r="DB81">
            <v>1090.4539688519101</v>
          </cell>
          <cell r="DC81">
            <v>955.84334730332239</v>
          </cell>
          <cell r="DD81">
            <v>951.72052688596796</v>
          </cell>
          <cell r="DE81">
            <v>871.79800371950944</v>
          </cell>
          <cell r="DF81">
            <v>973.24968158267711</v>
          </cell>
          <cell r="DG81">
            <v>922.52384265109322</v>
          </cell>
          <cell r="DH81">
            <v>1015.135285075878</v>
          </cell>
          <cell r="DI81">
            <v>875.12116538405303</v>
          </cell>
          <cell r="DK81">
            <v>500000</v>
          </cell>
          <cell r="DL81" t="str">
            <v>2021-22</v>
          </cell>
          <cell r="DM81">
            <v>200000</v>
          </cell>
          <cell r="DN81" t="str">
            <v>2021-22</v>
          </cell>
          <cell r="DO81">
            <v>1500000</v>
          </cell>
          <cell r="DP81" t="str">
            <v>2021-22</v>
          </cell>
          <cell r="DQ81">
            <v>1800000</v>
          </cell>
          <cell r="DR81" t="str">
            <v>2021-22</v>
          </cell>
          <cell r="DS81">
            <v>7300000</v>
          </cell>
          <cell r="DT81" t="str">
            <v>2021-22</v>
          </cell>
          <cell r="DU81">
            <v>16300000</v>
          </cell>
          <cell r="DV81" t="str">
            <v>2021-22</v>
          </cell>
          <cell r="DW81">
            <v>1000000</v>
          </cell>
          <cell r="DX81" t="str">
            <v>2021-22</v>
          </cell>
          <cell r="DY81">
            <v>6750000</v>
          </cell>
          <cell r="DZ81" t="str">
            <v>2021-22</v>
          </cell>
          <cell r="EA81">
            <v>34650000</v>
          </cell>
          <cell r="EB81">
            <v>395000</v>
          </cell>
          <cell r="EC81" t="str">
            <v>2021-22</v>
          </cell>
          <cell r="ED81">
            <v>191392</v>
          </cell>
          <cell r="EE81">
            <v>2021</v>
          </cell>
          <cell r="EF81">
            <v>211099</v>
          </cell>
          <cell r="EG81">
            <v>2021</v>
          </cell>
          <cell r="EH81">
            <v>53517534</v>
          </cell>
          <cell r="EI81">
            <v>2021</v>
          </cell>
          <cell r="EJ81">
            <v>5350999</v>
          </cell>
          <cell r="EK81">
            <v>2021</v>
          </cell>
          <cell r="EL81">
            <v>14571766</v>
          </cell>
          <cell r="EM81">
            <v>2020</v>
          </cell>
          <cell r="EN81">
            <v>3169981</v>
          </cell>
          <cell r="EO81">
            <v>2021</v>
          </cell>
          <cell r="EP81">
            <v>6552</v>
          </cell>
          <cell r="EQ81">
            <v>3500000</v>
          </cell>
          <cell r="ER81">
            <v>76133.333333333328</v>
          </cell>
          <cell r="ET81">
            <v>16000</v>
          </cell>
          <cell r="EU81">
            <v>19131</v>
          </cell>
          <cell r="EV81">
            <v>9000</v>
          </cell>
          <cell r="EW81">
            <v>17492</v>
          </cell>
          <cell r="EX81">
            <v>61623</v>
          </cell>
          <cell r="EY81">
            <v>19904</v>
          </cell>
          <cell r="EZ81">
            <v>80798</v>
          </cell>
          <cell r="FA81">
            <v>20331</v>
          </cell>
          <cell r="FB81">
            <v>17550</v>
          </cell>
          <cell r="FC81">
            <v>37881</v>
          </cell>
          <cell r="FD81">
            <v>59807.5</v>
          </cell>
          <cell r="FF81">
            <v>1050000</v>
          </cell>
          <cell r="FG81" t="str">
            <v>2020-21</v>
          </cell>
          <cell r="FH81">
            <v>1400000</v>
          </cell>
          <cell r="FI81" t="str">
            <v>2020-21</v>
          </cell>
          <cell r="FJ81">
            <v>4500000</v>
          </cell>
          <cell r="FK81" t="str">
            <v>2021-22</v>
          </cell>
          <cell r="FL81">
            <v>3400000</v>
          </cell>
          <cell r="FM81" t="str">
            <v>2020-21</v>
          </cell>
          <cell r="FN81">
            <v>57000000</v>
          </cell>
          <cell r="FO81" t="str">
            <v>2021-22</v>
          </cell>
          <cell r="FP81">
            <v>46000000</v>
          </cell>
          <cell r="FQ81" t="str">
            <v>2020-21</v>
          </cell>
          <cell r="FR81">
            <v>3300000</v>
          </cell>
          <cell r="FS81" t="str">
            <v>2020-21</v>
          </cell>
          <cell r="FT81">
            <v>22100000</v>
          </cell>
          <cell r="FU81" t="str">
            <v>2021-22</v>
          </cell>
          <cell r="FV81">
            <v>136300000</v>
          </cell>
          <cell r="FW81">
            <v>1280000</v>
          </cell>
          <cell r="FX81" t="str">
            <v>2020-21</v>
          </cell>
          <cell r="FY81">
            <v>32004</v>
          </cell>
          <cell r="FZ81">
            <v>882093</v>
          </cell>
          <cell r="GA81" t="str">
            <v>ene21 dic21</v>
          </cell>
          <cell r="GB81">
            <v>22248266</v>
          </cell>
          <cell r="GC81">
            <v>2021</v>
          </cell>
          <cell r="GD81">
            <v>2015989</v>
          </cell>
          <cell r="GE81">
            <v>421371</v>
          </cell>
          <cell r="GF81">
            <v>1038163</v>
          </cell>
          <cell r="GG81">
            <v>89478</v>
          </cell>
          <cell r="GH81">
            <v>1549012</v>
          </cell>
          <cell r="GI81">
            <v>1302556</v>
          </cell>
          <cell r="GJ81">
            <v>600000</v>
          </cell>
          <cell r="GK81">
            <v>1362000</v>
          </cell>
          <cell r="GL81">
            <v>300000</v>
          </cell>
          <cell r="GM81">
            <v>261011.3</v>
          </cell>
          <cell r="GN81">
            <v>2523011.2999999998</v>
          </cell>
          <cell r="GO81">
            <v>199477</v>
          </cell>
          <cell r="GP81">
            <v>72919</v>
          </cell>
          <cell r="GQ81">
            <v>198554.5</v>
          </cell>
          <cell r="GR81">
            <v>42288</v>
          </cell>
          <cell r="GS81">
            <v>48244.635000000002</v>
          </cell>
          <cell r="GT81">
            <v>2871705.88</v>
          </cell>
          <cell r="GU81">
            <v>15808</v>
          </cell>
          <cell r="GV81">
            <v>33781</v>
          </cell>
          <cell r="GW81">
            <v>1087673</v>
          </cell>
          <cell r="GX81">
            <v>37480.696000000004</v>
          </cell>
          <cell r="GY81" t="str">
            <v>2020-2021</v>
          </cell>
          <cell r="GZ81">
            <v>97886.411999999997</v>
          </cell>
          <cell r="HA81">
            <v>260031</v>
          </cell>
          <cell r="HB81">
            <v>2954713</v>
          </cell>
          <cell r="HC81" t="str">
            <v>ene21 dic21</v>
          </cell>
          <cell r="HD81">
            <v>60367</v>
          </cell>
          <cell r="HE81">
            <v>690611.95449000015</v>
          </cell>
          <cell r="HF81" t="str">
            <v>ene21 dic21</v>
          </cell>
          <cell r="HG81">
            <v>206000</v>
          </cell>
          <cell r="HH81">
            <v>2271259</v>
          </cell>
          <cell r="HI81" t="str">
            <v>ene21 dic21</v>
          </cell>
          <cell r="HJ81">
            <v>92750</v>
          </cell>
          <cell r="HK81">
            <v>63492</v>
          </cell>
          <cell r="HL81" t="str">
            <v>ene21 dic21</v>
          </cell>
          <cell r="HM81">
            <v>2334751</v>
          </cell>
          <cell r="HN81">
            <v>3.4080806085152515E-2</v>
          </cell>
          <cell r="HO81">
            <v>1046800000</v>
          </cell>
          <cell r="HP81">
            <v>11552.772459185899</v>
          </cell>
          <cell r="HQ81" t="str">
            <v>ene21 dic21</v>
          </cell>
          <cell r="HU81">
            <v>700000</v>
          </cell>
          <cell r="HV81" t="str">
            <v>2020-21</v>
          </cell>
          <cell r="HW81">
            <v>1510000</v>
          </cell>
          <cell r="HX81" t="str">
            <v>2021-22</v>
          </cell>
          <cell r="HY81">
            <v>3190000</v>
          </cell>
          <cell r="HZ81" t="str">
            <v>2020-21</v>
          </cell>
          <cell r="IA81">
            <v>21410000</v>
          </cell>
          <cell r="IB81" t="str">
            <v>2020-21</v>
          </cell>
          <cell r="IC81">
            <v>45150000</v>
          </cell>
          <cell r="ID81" t="str">
            <v>2020-21</v>
          </cell>
          <cell r="IE81">
            <v>950000</v>
          </cell>
          <cell r="IF81" t="str">
            <v>2020-21</v>
          </cell>
          <cell r="IG81">
            <v>7200000</v>
          </cell>
          <cell r="IH81" t="str">
            <v>2021-22</v>
          </cell>
          <cell r="II81">
            <v>79610000</v>
          </cell>
          <cell r="IJ81">
            <v>1.9073407006405101</v>
          </cell>
          <cell r="IK81" t="str">
            <v>2020-22</v>
          </cell>
          <cell r="IL81">
            <v>45.78</v>
          </cell>
          <cell r="IM81">
            <v>50.01</v>
          </cell>
          <cell r="IN81">
            <v>189</v>
          </cell>
          <cell r="IO81">
            <v>15.92</v>
          </cell>
          <cell r="IP81">
            <v>6.1006169215414161</v>
          </cell>
          <cell r="IQ81">
            <v>18.2</v>
          </cell>
          <cell r="IR81">
            <v>5.93</v>
          </cell>
          <cell r="IS81">
            <v>5.67</v>
          </cell>
          <cell r="IT81">
            <v>13.17</v>
          </cell>
          <cell r="IU81">
            <v>1.55</v>
          </cell>
          <cell r="IV81">
            <v>20.39</v>
          </cell>
          <cell r="IY81">
            <v>1.86</v>
          </cell>
          <cell r="IZ81">
            <v>0.3</v>
          </cell>
          <cell r="JA81">
            <v>2813</v>
          </cell>
          <cell r="JF81">
            <v>36.966978780000005</v>
          </cell>
          <cell r="JG81">
            <v>18.615418300000002</v>
          </cell>
          <cell r="JH81">
            <v>170.25123102999999</v>
          </cell>
          <cell r="JI81">
            <v>90.518450589999986</v>
          </cell>
          <cell r="JJ81">
            <v>772.05307218999997</v>
          </cell>
          <cell r="JK81">
            <v>101.04323145000002</v>
          </cell>
          <cell r="JL81">
            <v>2013.9351056799999</v>
          </cell>
          <cell r="JM81">
            <v>11.06087209</v>
          </cell>
          <cell r="JN81">
            <v>906.26920074999998</v>
          </cell>
          <cell r="JO81">
            <v>27.584707179999995</v>
          </cell>
          <cell r="JP81">
            <v>0</v>
          </cell>
          <cell r="JQ81">
            <v>0.42310799999999998</v>
          </cell>
          <cell r="JR81">
            <v>1.0038783</v>
          </cell>
          <cell r="JS81">
            <v>0</v>
          </cell>
          <cell r="JT81">
            <v>0.02</v>
          </cell>
          <cell r="JU81">
            <v>87.368185959999991</v>
          </cell>
          <cell r="JV81">
            <v>6.2900145800000011</v>
          </cell>
          <cell r="JW81">
            <v>7.2003783799999992</v>
          </cell>
          <cell r="JX81">
            <v>18.104494939999999</v>
          </cell>
          <cell r="JY81">
            <v>0</v>
          </cell>
          <cell r="JZ81">
            <v>2.3588369599999996</v>
          </cell>
          <cell r="KA81">
            <v>0.46656687000000002</v>
          </cell>
          <cell r="KB81">
            <v>37.50049885</v>
          </cell>
          <cell r="KC81">
            <v>107.27319134</v>
          </cell>
          <cell r="KD81">
            <v>12.037536670000001</v>
          </cell>
          <cell r="KE81">
            <v>12.158764520000002</v>
          </cell>
          <cell r="KF81">
            <v>41.20036829</v>
          </cell>
          <cell r="KG81">
            <v>376.8992246699998</v>
          </cell>
          <cell r="KH81">
            <v>160.17101445999995</v>
          </cell>
          <cell r="KI81">
            <v>23.426737739999997</v>
          </cell>
          <cell r="KJ81">
            <v>1.1447193399999998</v>
          </cell>
          <cell r="KK81">
            <v>8.2974750999999998</v>
          </cell>
          <cell r="KL81">
            <v>0.22456356</v>
          </cell>
          <cell r="KM81">
            <v>4.5627996899999994</v>
          </cell>
          <cell r="KN81">
            <v>0.24860429999999997</v>
          </cell>
          <cell r="KO81">
            <v>0.89269492000000017</v>
          </cell>
          <cell r="KP81">
            <v>9.1035300000000003E-3</v>
          </cell>
          <cell r="KQ81">
            <v>108.68376224999999</v>
          </cell>
          <cell r="KR81">
            <v>0.82354441</v>
          </cell>
          <cell r="KS81">
            <v>3.2486799999999999E-3</v>
          </cell>
          <cell r="KT81">
            <v>0.76797819</v>
          </cell>
          <cell r="KU81">
            <v>0.54888028</v>
          </cell>
          <cell r="KV81">
            <v>9.3158530000000003E-2</v>
          </cell>
          <cell r="KW81">
            <v>1.1462133699999999</v>
          </cell>
          <cell r="KX81">
            <v>0</v>
          </cell>
          <cell r="KY81">
            <v>0.15998566</v>
          </cell>
          <cell r="KZ81">
            <v>1.2487294999999998</v>
          </cell>
          <cell r="LA81">
            <v>1.2317533300000001</v>
          </cell>
          <cell r="LB81">
            <v>4.723513E-2</v>
          </cell>
          <cell r="LC81">
            <v>0.27748396000000003</v>
          </cell>
          <cell r="LD81">
            <v>0</v>
          </cell>
          <cell r="LE81">
            <v>0.25902568000000004</v>
          </cell>
          <cell r="LF81">
            <v>6.5727449999999993E-2</v>
          </cell>
          <cell r="LG81">
            <v>25.432942619999999</v>
          </cell>
          <cell r="LH81">
            <v>4.1819459200000004</v>
          </cell>
          <cell r="LI81">
            <v>1.98388981</v>
          </cell>
          <cell r="LJ81">
            <v>0</v>
          </cell>
          <cell r="LK81">
            <v>3.9152765500000002</v>
          </cell>
          <cell r="LL81">
            <v>5.3320271000000012</v>
          </cell>
          <cell r="LM81">
            <v>2.39777795</v>
          </cell>
          <cell r="LN81">
            <v>0.82918597999999999</v>
          </cell>
          <cell r="LO81">
            <v>17.52391695</v>
          </cell>
          <cell r="LQ81">
            <v>3964.0879323299996</v>
          </cell>
          <cell r="LR81">
            <v>1.4469863000000001</v>
          </cell>
          <cell r="LS81">
            <v>13.490392960000001</v>
          </cell>
          <cell r="LT81">
            <v>2.8254038299999995</v>
          </cell>
          <cell r="LU81">
            <v>115.21465424999998</v>
          </cell>
          <cell r="LV81">
            <v>1.3993575599999999</v>
          </cell>
          <cell r="LW81">
            <v>1.2789884600000001</v>
          </cell>
          <cell r="LX81">
            <v>0.32475313000000006</v>
          </cell>
          <cell r="LZ81">
            <v>121.41</v>
          </cell>
          <cell r="MA81">
            <v>114.82</v>
          </cell>
          <cell r="MH81">
            <v>207.97</v>
          </cell>
          <cell r="MI81">
            <v>59.46</v>
          </cell>
          <cell r="MJ81">
            <v>53.71</v>
          </cell>
          <cell r="ML81">
            <v>58.38</v>
          </cell>
          <cell r="MM81">
            <v>113.26</v>
          </cell>
          <cell r="MO81">
            <v>93.93</v>
          </cell>
          <cell r="MP81">
            <v>163.25</v>
          </cell>
          <cell r="MQ81">
            <v>184.72</v>
          </cell>
          <cell r="MU81">
            <v>64.349999999999994</v>
          </cell>
          <cell r="MY81">
            <v>216.78</v>
          </cell>
          <cell r="MZ81">
            <v>639</v>
          </cell>
          <cell r="NA81">
            <v>215.43</v>
          </cell>
          <cell r="NB81">
            <v>870.68</v>
          </cell>
          <cell r="NC81">
            <v>90.29</v>
          </cell>
          <cell r="ND81">
            <v>1019</v>
          </cell>
          <cell r="NE81">
            <v>593.57000000000005</v>
          </cell>
        </row>
        <row r="82">
          <cell r="A82">
            <v>44562</v>
          </cell>
          <cell r="B82">
            <v>1</v>
          </cell>
          <cell r="C82">
            <v>2022</v>
          </cell>
          <cell r="D82">
            <v>82</v>
          </cell>
          <cell r="E82">
            <v>44562</v>
          </cell>
          <cell r="F82">
            <v>108.96</v>
          </cell>
          <cell r="G82">
            <v>605</v>
          </cell>
          <cell r="H82">
            <v>59450</v>
          </cell>
          <cell r="I82">
            <v>85</v>
          </cell>
          <cell r="J82">
            <v>1050</v>
          </cell>
          <cell r="K82">
            <v>9.9</v>
          </cell>
          <cell r="L82">
            <v>29.1</v>
          </cell>
          <cell r="N82">
            <v>2.25</v>
          </cell>
          <cell r="O82">
            <v>2.02</v>
          </cell>
          <cell r="P82">
            <v>220.99811999999997</v>
          </cell>
          <cell r="Q82">
            <v>2400</v>
          </cell>
          <cell r="R82">
            <v>24000</v>
          </cell>
          <cell r="S82">
            <v>240.63</v>
          </cell>
          <cell r="T82">
            <v>470.95</v>
          </cell>
          <cell r="U82">
            <v>221.9238095238095</v>
          </cell>
          <cell r="V82">
            <v>363.17619047619053</v>
          </cell>
          <cell r="W82">
            <v>215.28</v>
          </cell>
          <cell r="X82">
            <v>239.98124999999999</v>
          </cell>
          <cell r="Y82">
            <v>26219.0448</v>
          </cell>
          <cell r="Z82">
            <v>51314.711999999992</v>
          </cell>
          <cell r="AA82">
            <v>24180.818285714282</v>
          </cell>
          <cell r="AB82">
            <v>39571.677714285717</v>
          </cell>
          <cell r="AC82">
            <v>23456.908799999997</v>
          </cell>
          <cell r="AD82">
            <v>26148.356999999996</v>
          </cell>
          <cell r="AE82">
            <v>31815.253099999998</v>
          </cell>
          <cell r="AF82">
            <v>75611.55</v>
          </cell>
          <cell r="AG82">
            <v>36830</v>
          </cell>
          <cell r="AH82">
            <v>139954</v>
          </cell>
          <cell r="AI82">
            <v>44.58</v>
          </cell>
          <cell r="AJ82">
            <v>38</v>
          </cell>
          <cell r="AK82">
            <v>34.46</v>
          </cell>
          <cell r="AL82">
            <v>30.44</v>
          </cell>
          <cell r="AM82">
            <v>38.291999999999994</v>
          </cell>
          <cell r="AN82">
            <v>134.29214285714286</v>
          </cell>
          <cell r="AO82">
            <v>104.91</v>
          </cell>
          <cell r="AP82">
            <v>119.60107142857143</v>
          </cell>
          <cell r="AQ82">
            <v>50.95</v>
          </cell>
          <cell r="AR82">
            <v>45.84</v>
          </cell>
          <cell r="AS82">
            <v>41.44</v>
          </cell>
          <cell r="AT82">
            <v>63.89</v>
          </cell>
          <cell r="AU82">
            <v>50.390000000000008</v>
          </cell>
          <cell r="AV82">
            <v>23.91</v>
          </cell>
          <cell r="AW82">
            <v>39.43</v>
          </cell>
          <cell r="AX82">
            <v>29.35</v>
          </cell>
          <cell r="AY82">
            <v>116.64</v>
          </cell>
          <cell r="AZ82">
            <v>59.7</v>
          </cell>
          <cell r="BA82">
            <v>35.729999999999997</v>
          </cell>
          <cell r="BB82">
            <v>60.354999999999997</v>
          </cell>
          <cell r="BC82">
            <v>5102</v>
          </cell>
          <cell r="BD82">
            <v>3157</v>
          </cell>
          <cell r="BE82">
            <v>3000</v>
          </cell>
          <cell r="BF82">
            <v>1500</v>
          </cell>
          <cell r="BG82">
            <v>3189.75</v>
          </cell>
          <cell r="BH82">
            <v>191.89</v>
          </cell>
          <cell r="BI82">
            <v>111.89</v>
          </cell>
          <cell r="BJ82">
            <v>303.77999999999997</v>
          </cell>
          <cell r="BK82">
            <v>235.023</v>
          </cell>
          <cell r="BL82">
            <v>304.92</v>
          </cell>
          <cell r="BM82">
            <v>269.97149999999999</v>
          </cell>
          <cell r="BN82">
            <v>35.82</v>
          </cell>
          <cell r="BO82">
            <v>155.6</v>
          </cell>
          <cell r="BP82">
            <v>85.45</v>
          </cell>
          <cell r="BQ82">
            <v>148.58499999999998</v>
          </cell>
          <cell r="BR82">
            <v>155</v>
          </cell>
          <cell r="BS82">
            <v>460</v>
          </cell>
          <cell r="BT82">
            <v>123.12479999999998</v>
          </cell>
          <cell r="BU82">
            <v>5889.3743999999997</v>
          </cell>
          <cell r="BV82">
            <v>298.3</v>
          </cell>
          <cell r="BW82">
            <v>375</v>
          </cell>
          <cell r="BY82">
            <v>1285.3269960162716</v>
          </cell>
          <cell r="BZ82">
            <v>992.8107246345819</v>
          </cell>
          <cell r="CA82">
            <v>1234.2921657224808</v>
          </cell>
          <cell r="CB82">
            <v>1193.81009575382</v>
          </cell>
          <cell r="CC82">
            <v>1163.5498139744805</v>
          </cell>
          <cell r="CD82">
            <v>1218.2417132260316</v>
          </cell>
          <cell r="CE82">
            <v>1124.5648912694476</v>
          </cell>
          <cell r="CF82">
            <v>1226.2545312401469</v>
          </cell>
          <cell r="CG82">
            <v>1193.4522018644013</v>
          </cell>
          <cell r="CH82">
            <v>1188.5492224255586</v>
          </cell>
          <cell r="CI82">
            <v>1190.4119532939251</v>
          </cell>
          <cell r="CJ82">
            <v>922.10830282307654</v>
          </cell>
          <cell r="CK82">
            <v>1073.918750638212</v>
          </cell>
          <cell r="CL82">
            <v>1412.9158557217893</v>
          </cell>
          <cell r="CM82">
            <v>957.04333759564213</v>
          </cell>
          <cell r="CN82">
            <v>932.77170503159664</v>
          </cell>
          <cell r="CO82">
            <v>1094.1624122468099</v>
          </cell>
          <cell r="CP82">
            <v>1127.9927387940909</v>
          </cell>
          <cell r="CQ82">
            <v>974.46468035458906</v>
          </cell>
          <cell r="CR82">
            <v>1011.2979566031878</v>
          </cell>
          <cell r="CS82">
            <v>992.88131847888849</v>
          </cell>
          <cell r="CT82">
            <v>941.37899697770195</v>
          </cell>
          <cell r="CU82">
            <v>1040.1541915340374</v>
          </cell>
          <cell r="CV82">
            <v>1033.1792961618364</v>
          </cell>
          <cell r="CW82">
            <v>1033.1792961618364</v>
          </cell>
          <cell r="CX82">
            <v>1035.5042612859033</v>
          </cell>
          <cell r="CY82">
            <v>879.60732127989763</v>
          </cell>
          <cell r="CZ82">
            <v>1114.2828680700202</v>
          </cell>
          <cell r="DA82">
            <v>944.10791201477582</v>
          </cell>
          <cell r="DB82">
            <v>1125.8721093276038</v>
          </cell>
          <cell r="DC82">
            <v>1059.8819707473074</v>
          </cell>
          <cell r="DD82">
            <v>1056.3191115139794</v>
          </cell>
          <cell r="DE82">
            <v>971.42791692328638</v>
          </cell>
          <cell r="DF82">
            <v>1097.4961586975292</v>
          </cell>
          <cell r="DG82">
            <v>1034.4620378104078</v>
          </cell>
          <cell r="DH82">
            <v>1041.6254206181197</v>
          </cell>
          <cell r="DI82">
            <v>890.79825769430215</v>
          </cell>
          <cell r="DK82">
            <v>500000</v>
          </cell>
          <cell r="DL82" t="str">
            <v>2021-22</v>
          </cell>
          <cell r="DM82">
            <v>200000</v>
          </cell>
          <cell r="DN82" t="str">
            <v>2021-22</v>
          </cell>
          <cell r="DO82">
            <v>1600000</v>
          </cell>
          <cell r="DP82" t="str">
            <v>2021-22</v>
          </cell>
          <cell r="DQ82">
            <v>1800000</v>
          </cell>
          <cell r="DR82" t="str">
            <v>2021-22</v>
          </cell>
          <cell r="DS82">
            <v>7300000</v>
          </cell>
          <cell r="DT82" t="str">
            <v>2021-22</v>
          </cell>
          <cell r="DU82">
            <v>16300000</v>
          </cell>
          <cell r="DV82" t="str">
            <v>2021-22</v>
          </cell>
          <cell r="DW82">
            <v>1000000</v>
          </cell>
          <cell r="DX82" t="str">
            <v>2021-22</v>
          </cell>
          <cell r="DY82">
            <v>6750000</v>
          </cell>
          <cell r="DZ82" t="str">
            <v>2021-22</v>
          </cell>
          <cell r="EA82">
            <v>34750000</v>
          </cell>
          <cell r="EB82">
            <v>395000</v>
          </cell>
          <cell r="EC82" t="str">
            <v>2021-22</v>
          </cell>
          <cell r="ED82">
            <v>209277</v>
          </cell>
          <cell r="EE82">
            <v>2022</v>
          </cell>
          <cell r="EF82">
            <v>207047</v>
          </cell>
          <cell r="EG82">
            <v>2022</v>
          </cell>
          <cell r="EH82">
            <v>53416435</v>
          </cell>
          <cell r="EI82">
            <v>2022</v>
          </cell>
          <cell r="EJ82">
            <v>5350999</v>
          </cell>
          <cell r="EK82">
            <v>2021</v>
          </cell>
          <cell r="EL82">
            <v>14571766</v>
          </cell>
          <cell r="EM82">
            <v>2020</v>
          </cell>
          <cell r="EN82">
            <v>3169981</v>
          </cell>
          <cell r="EO82">
            <v>2021</v>
          </cell>
          <cell r="EP82">
            <v>6552</v>
          </cell>
          <cell r="EQ82">
            <v>3500000</v>
          </cell>
          <cell r="ER82">
            <v>74633.333333333328</v>
          </cell>
          <cell r="ET82">
            <v>17456</v>
          </cell>
          <cell r="EU82">
            <v>19445</v>
          </cell>
          <cell r="EV82">
            <v>9018</v>
          </cell>
          <cell r="EW82">
            <v>17386</v>
          </cell>
          <cell r="EX82">
            <v>63305</v>
          </cell>
          <cell r="EY82">
            <v>20049</v>
          </cell>
          <cell r="EZ82">
            <v>33638</v>
          </cell>
          <cell r="FA82">
            <v>19948</v>
          </cell>
          <cell r="FB82">
            <v>15432</v>
          </cell>
          <cell r="FC82">
            <v>35380</v>
          </cell>
          <cell r="FD82">
            <v>53669</v>
          </cell>
          <cell r="FF82">
            <v>1050000</v>
          </cell>
          <cell r="FG82" t="str">
            <v>2020-21</v>
          </cell>
          <cell r="FH82">
            <v>1400000</v>
          </cell>
          <cell r="FI82" t="str">
            <v>2020-21</v>
          </cell>
          <cell r="FJ82">
            <v>5200000</v>
          </cell>
          <cell r="FK82" t="str">
            <v>2021-22</v>
          </cell>
          <cell r="FL82">
            <v>3600000</v>
          </cell>
          <cell r="FM82" t="str">
            <v>2021-22</v>
          </cell>
          <cell r="FN82">
            <v>51000000</v>
          </cell>
          <cell r="FO82" t="str">
            <v>2021-22</v>
          </cell>
          <cell r="FP82">
            <v>46000000</v>
          </cell>
          <cell r="FQ82" t="str">
            <v>2020-21</v>
          </cell>
          <cell r="FR82">
            <v>3300000</v>
          </cell>
          <cell r="FS82" t="str">
            <v>2020-21</v>
          </cell>
          <cell r="FT82">
            <v>22100000</v>
          </cell>
          <cell r="FU82" t="str">
            <v>2021-22</v>
          </cell>
          <cell r="FV82">
            <v>131200000</v>
          </cell>
          <cell r="FW82">
            <v>1280000</v>
          </cell>
          <cell r="FX82" t="str">
            <v>2020-21</v>
          </cell>
          <cell r="FY82">
            <v>11256</v>
          </cell>
          <cell r="FZ82">
            <v>880003</v>
          </cell>
          <cell r="GA82" t="str">
            <v>feb21 ene22</v>
          </cell>
          <cell r="GB82">
            <v>19368031</v>
          </cell>
          <cell r="GC82">
            <v>2022</v>
          </cell>
          <cell r="GD82">
            <v>2141365</v>
          </cell>
          <cell r="GE82">
            <v>369608</v>
          </cell>
          <cell r="GF82">
            <v>1008563</v>
          </cell>
          <cell r="GG82">
            <v>94581</v>
          </cell>
          <cell r="GH82">
            <v>1472752</v>
          </cell>
          <cell r="GI82">
            <v>1302556</v>
          </cell>
          <cell r="GJ82">
            <v>665558</v>
          </cell>
          <cell r="GK82">
            <v>1393000</v>
          </cell>
          <cell r="GL82">
            <v>300028.90000000002</v>
          </cell>
          <cell r="GM82">
            <v>259304.56</v>
          </cell>
          <cell r="GN82">
            <v>2617891.46</v>
          </cell>
          <cell r="GO82">
            <v>200935</v>
          </cell>
          <cell r="GP82">
            <v>73046</v>
          </cell>
          <cell r="GQ82">
            <v>150722</v>
          </cell>
          <cell r="GR82">
            <v>42288</v>
          </cell>
          <cell r="GS82">
            <v>46809.66</v>
          </cell>
          <cell r="GT82">
            <v>2410599</v>
          </cell>
          <cell r="GU82">
            <v>25828</v>
          </cell>
          <cell r="GV82">
            <v>27745</v>
          </cell>
          <cell r="GW82">
            <v>1093193</v>
          </cell>
          <cell r="GX82">
            <v>33063.449999999997</v>
          </cell>
          <cell r="GY82" t="str">
            <v>2021-2022</v>
          </cell>
          <cell r="GZ82">
            <v>91610</v>
          </cell>
          <cell r="HA82">
            <v>222630</v>
          </cell>
          <cell r="HB82">
            <v>2952446</v>
          </cell>
          <cell r="HC82" t="str">
            <v>feb21 ene22</v>
          </cell>
          <cell r="HD82">
            <v>48651</v>
          </cell>
          <cell r="HE82">
            <v>688645.95449000015</v>
          </cell>
          <cell r="HF82" t="str">
            <v>feb21 ene22</v>
          </cell>
          <cell r="HG82">
            <v>183350</v>
          </cell>
          <cell r="HH82">
            <v>2288609</v>
          </cell>
          <cell r="HI82" t="str">
            <v>feb21 ene22</v>
          </cell>
          <cell r="HJ82">
            <v>101953</v>
          </cell>
          <cell r="HK82">
            <v>63928.68</v>
          </cell>
          <cell r="HL82" t="str">
            <v>feb21 ene22</v>
          </cell>
          <cell r="HM82">
            <v>2352537.6800000002</v>
          </cell>
          <cell r="HN82">
            <v>-9.1270267368195324E-3</v>
          </cell>
          <cell r="HO82">
            <v>922800000</v>
          </cell>
          <cell r="HP82">
            <v>11544.272459185899</v>
          </cell>
          <cell r="HQ82" t="str">
            <v>feb21 ene22</v>
          </cell>
          <cell r="HU82">
            <v>700000</v>
          </cell>
          <cell r="HV82" t="str">
            <v>2020-21</v>
          </cell>
          <cell r="HW82">
            <v>1500000</v>
          </cell>
          <cell r="HX82" t="str">
            <v>2022-23</v>
          </cell>
          <cell r="HY82">
            <v>3850000</v>
          </cell>
          <cell r="HZ82" t="str">
            <v>2021-22</v>
          </cell>
          <cell r="IA82">
            <v>21410000</v>
          </cell>
          <cell r="IB82" t="str">
            <v>2020-21</v>
          </cell>
          <cell r="IC82">
            <v>45150000</v>
          </cell>
          <cell r="ID82" t="str">
            <v>2020-21</v>
          </cell>
          <cell r="IE82">
            <v>950000</v>
          </cell>
          <cell r="IF82" t="str">
            <v>2020-21</v>
          </cell>
          <cell r="IG82">
            <v>7400000</v>
          </cell>
          <cell r="IH82" t="str">
            <v>2022-23</v>
          </cell>
          <cell r="II82">
            <v>80260000</v>
          </cell>
          <cell r="IJ82">
            <v>1.9073407006405101</v>
          </cell>
          <cell r="IK82" t="str">
            <v>2020-22</v>
          </cell>
          <cell r="IL82">
            <v>43.11</v>
          </cell>
          <cell r="IM82">
            <v>43.19</v>
          </cell>
          <cell r="IN82">
            <v>189</v>
          </cell>
          <cell r="IO82">
            <v>15.92</v>
          </cell>
          <cell r="IP82">
            <v>5.945790982656427</v>
          </cell>
          <cell r="IQ82">
            <v>18</v>
          </cell>
          <cell r="IR82">
            <v>7.01</v>
          </cell>
          <cell r="IS82">
            <v>4.3099999999999996</v>
          </cell>
          <cell r="IT82">
            <v>13.02</v>
          </cell>
          <cell r="IU82">
            <v>1.44</v>
          </cell>
          <cell r="IV82">
            <v>18.77</v>
          </cell>
          <cell r="IY82">
            <v>1.88</v>
          </cell>
          <cell r="IZ82">
            <v>0.3</v>
          </cell>
          <cell r="JA82">
            <v>2813</v>
          </cell>
          <cell r="JF82">
            <v>29.607061230000014</v>
          </cell>
          <cell r="JG82">
            <v>9.4211813300000014</v>
          </cell>
          <cell r="JH82">
            <v>275.31950662999998</v>
          </cell>
          <cell r="JI82">
            <v>270.14558024999997</v>
          </cell>
          <cell r="JJ82">
            <v>606.6397604399998</v>
          </cell>
          <cell r="JK82">
            <v>98.751018079999994</v>
          </cell>
          <cell r="JL82">
            <v>1847.74274472</v>
          </cell>
          <cell r="JM82">
            <v>19.621450599999999</v>
          </cell>
          <cell r="JN82">
            <v>1248.9021595800002</v>
          </cell>
          <cell r="JO82">
            <v>21.389280870000007</v>
          </cell>
          <cell r="JP82">
            <v>0</v>
          </cell>
          <cell r="JQ82">
            <v>0.55945149999999999</v>
          </cell>
          <cell r="JR82">
            <v>1.4769704299999999</v>
          </cell>
          <cell r="JS82">
            <v>0</v>
          </cell>
          <cell r="JT82">
            <v>0.76385754000000006</v>
          </cell>
          <cell r="JU82">
            <v>48.113062809999988</v>
          </cell>
          <cell r="JV82">
            <v>2.6433944999999999</v>
          </cell>
          <cell r="JW82">
            <v>9.8497971999999994</v>
          </cell>
          <cell r="JX82">
            <v>8.4756852800000004</v>
          </cell>
          <cell r="JY82">
            <v>0</v>
          </cell>
          <cell r="JZ82">
            <v>2.6908262700000001</v>
          </cell>
          <cell r="KA82">
            <v>0.99400769999999994</v>
          </cell>
          <cell r="KB82">
            <v>32.459644299999994</v>
          </cell>
          <cell r="KC82">
            <v>32.485260930000003</v>
          </cell>
          <cell r="KD82">
            <v>7.8469968100000003</v>
          </cell>
          <cell r="KE82">
            <v>15.882019199999998</v>
          </cell>
          <cell r="KF82">
            <v>36.97376294</v>
          </cell>
          <cell r="KG82">
            <v>318.13535340999994</v>
          </cell>
          <cell r="KH82">
            <v>161.60135248999998</v>
          </cell>
          <cell r="KI82">
            <v>14.789253089999999</v>
          </cell>
          <cell r="KJ82">
            <v>1.47433864</v>
          </cell>
          <cell r="KK82">
            <v>7.4320293600000014</v>
          </cell>
          <cell r="KL82">
            <v>0.20655000000000001</v>
          </cell>
          <cell r="KM82">
            <v>3.6587118699999999</v>
          </cell>
          <cell r="KN82">
            <v>1.9972299999999998E-2</v>
          </cell>
          <cell r="KO82">
            <v>1.5650097999999999</v>
          </cell>
          <cell r="KP82">
            <v>0</v>
          </cell>
          <cell r="KQ82">
            <v>3.0845557499999998</v>
          </cell>
          <cell r="KR82">
            <v>5.986412E-2</v>
          </cell>
          <cell r="KS82">
            <v>4.5099559999999997E-2</v>
          </cell>
          <cell r="KT82">
            <v>0.63629354000000005</v>
          </cell>
          <cell r="KU82">
            <v>0.82768005</v>
          </cell>
          <cell r="KV82">
            <v>0.17635347000000001</v>
          </cell>
          <cell r="KW82">
            <v>1.00212116</v>
          </cell>
          <cell r="KX82">
            <v>0</v>
          </cell>
          <cell r="KY82">
            <v>0</v>
          </cell>
          <cell r="KZ82">
            <v>0.36427643999999998</v>
          </cell>
          <cell r="LA82">
            <v>0.29131570000000001</v>
          </cell>
          <cell r="LB82">
            <v>1.5122E-2</v>
          </cell>
          <cell r="LC82">
            <v>0.11080708</v>
          </cell>
          <cell r="LD82">
            <v>0</v>
          </cell>
          <cell r="LE82">
            <v>0.1419348</v>
          </cell>
          <cell r="LF82">
            <v>0.21673893</v>
          </cell>
          <cell r="LG82">
            <v>23.984862789999998</v>
          </cell>
          <cell r="LH82">
            <v>2.9560001099999997</v>
          </cell>
          <cell r="LI82">
            <v>1.4466763899999999</v>
          </cell>
          <cell r="LJ82">
            <v>2.5000620000000001E-2</v>
          </cell>
          <cell r="LK82">
            <v>3.12508477</v>
          </cell>
          <cell r="LL82">
            <v>5.2284191199999999</v>
          </cell>
          <cell r="LM82">
            <v>2.7897930800000004</v>
          </cell>
          <cell r="LN82">
            <v>4.755094E-2</v>
          </cell>
          <cell r="LO82">
            <v>12.238436049999999</v>
          </cell>
          <cell r="LQ82">
            <v>4268.3712022199998</v>
          </cell>
          <cell r="LR82">
            <v>2.80027947</v>
          </cell>
          <cell r="LS82">
            <v>12.493191699999999</v>
          </cell>
          <cell r="LT82">
            <v>3.6848339700000001</v>
          </cell>
          <cell r="LU82">
            <v>8.4332133999999996</v>
          </cell>
          <cell r="LV82">
            <v>1.17847463</v>
          </cell>
          <cell r="LW82">
            <v>0.30643770000000004</v>
          </cell>
          <cell r="LX82">
            <v>0.35867373000000002</v>
          </cell>
          <cell r="LZ82">
            <v>126.27</v>
          </cell>
          <cell r="MA82">
            <v>120.6</v>
          </cell>
          <cell r="MH82">
            <v>209.92</v>
          </cell>
          <cell r="MI82">
            <v>62.82</v>
          </cell>
          <cell r="MJ82">
            <v>61.33</v>
          </cell>
          <cell r="ML82">
            <v>64.959999999999994</v>
          </cell>
          <cell r="MM82">
            <v>206.33</v>
          </cell>
          <cell r="MO82">
            <v>89.6</v>
          </cell>
          <cell r="MP82">
            <v>167.31</v>
          </cell>
          <cell r="MQ82">
            <v>201.28</v>
          </cell>
          <cell r="MU82">
            <v>74.12</v>
          </cell>
          <cell r="MY82">
            <v>225.18</v>
          </cell>
          <cell r="MZ82">
            <v>639</v>
          </cell>
          <cell r="NA82">
            <v>225.9</v>
          </cell>
          <cell r="NB82">
            <v>898.19</v>
          </cell>
          <cell r="NC82">
            <v>91.22</v>
          </cell>
          <cell r="ND82">
            <v>1019</v>
          </cell>
          <cell r="NE82">
            <v>611</v>
          </cell>
        </row>
        <row r="83">
          <cell r="A83">
            <v>44593</v>
          </cell>
          <cell r="B83">
            <v>2</v>
          </cell>
          <cell r="C83">
            <v>2022</v>
          </cell>
          <cell r="D83">
            <v>83</v>
          </cell>
          <cell r="E83">
            <v>44593</v>
          </cell>
          <cell r="F83">
            <v>111.54</v>
          </cell>
          <cell r="G83">
            <v>633.4</v>
          </cell>
          <cell r="H83">
            <v>59450</v>
          </cell>
          <cell r="I83">
            <v>90</v>
          </cell>
          <cell r="J83">
            <v>900</v>
          </cell>
          <cell r="K83">
            <v>9.9</v>
          </cell>
          <cell r="L83">
            <v>29.7</v>
          </cell>
          <cell r="N83">
            <v>2.42</v>
          </cell>
          <cell r="O83">
            <v>2.19</v>
          </cell>
          <cell r="P83">
            <v>244.24471499999999</v>
          </cell>
          <cell r="Q83">
            <v>2350</v>
          </cell>
          <cell r="R83">
            <v>23500</v>
          </cell>
          <cell r="S83">
            <v>250</v>
          </cell>
          <cell r="T83">
            <v>502.63</v>
          </cell>
          <cell r="U83">
            <v>239.2684210526316</v>
          </cell>
          <cell r="V83">
            <v>409.56315789473689</v>
          </cell>
          <cell r="W83">
            <v>224.96</v>
          </cell>
          <cell r="X83">
            <v>245.0736842105263</v>
          </cell>
          <cell r="Y83">
            <v>27885</v>
          </cell>
          <cell r="Z83">
            <v>56063.350200000001</v>
          </cell>
          <cell r="AA83">
            <v>26687.999684210528</v>
          </cell>
          <cell r="AB83">
            <v>45682.674631578957</v>
          </cell>
          <cell r="AC83">
            <v>25092.038400000001</v>
          </cell>
          <cell r="AD83">
            <v>27335.518736842103</v>
          </cell>
          <cell r="AE83">
            <v>34791.096942105265</v>
          </cell>
          <cell r="AF83">
            <v>77424.421052631573</v>
          </cell>
          <cell r="AG83">
            <v>36830</v>
          </cell>
          <cell r="AH83">
            <v>139954</v>
          </cell>
          <cell r="AI83">
            <v>46.28</v>
          </cell>
          <cell r="AJ83">
            <v>44.85</v>
          </cell>
          <cell r="AK83">
            <v>36.42</v>
          </cell>
          <cell r="AL83">
            <v>26.97</v>
          </cell>
          <cell r="AM83">
            <v>39.024800000000006</v>
          </cell>
          <cell r="AN83">
            <v>139.28421052631583</v>
          </cell>
          <cell r="AO83">
            <v>96.73</v>
          </cell>
          <cell r="AP83">
            <v>118.00710526315791</v>
          </cell>
          <cell r="AQ83">
            <v>68.66</v>
          </cell>
          <cell r="AR83">
            <v>89</v>
          </cell>
          <cell r="AS83">
            <v>59.783684210526324</v>
          </cell>
          <cell r="AT83">
            <v>133.36000000000001</v>
          </cell>
          <cell r="AU83">
            <v>94.04789473684211</v>
          </cell>
          <cell r="AV83">
            <v>25.86</v>
          </cell>
          <cell r="AW83">
            <v>48.86</v>
          </cell>
          <cell r="AX83">
            <v>35.049999999999997</v>
          </cell>
          <cell r="AY83">
            <v>153.58000000000001</v>
          </cell>
          <cell r="AZ83">
            <v>96.8</v>
          </cell>
          <cell r="BA83">
            <v>32.39</v>
          </cell>
          <cell r="BB83">
            <v>79.454999999999998</v>
          </cell>
          <cell r="BC83">
            <v>5306.08</v>
          </cell>
          <cell r="BD83">
            <v>3157</v>
          </cell>
          <cell r="BE83">
            <v>3000</v>
          </cell>
          <cell r="BF83">
            <v>1500</v>
          </cell>
          <cell r="BG83">
            <v>3240.77</v>
          </cell>
          <cell r="BH83">
            <v>191.89</v>
          </cell>
          <cell r="BI83">
            <v>111.89</v>
          </cell>
          <cell r="BJ83">
            <v>303.77999999999997</v>
          </cell>
          <cell r="BK83">
            <v>266.95299999999997</v>
          </cell>
          <cell r="BL83">
            <v>316.88</v>
          </cell>
          <cell r="BM83">
            <v>291.91649999999998</v>
          </cell>
          <cell r="BN83">
            <v>37.69</v>
          </cell>
          <cell r="BO83">
            <v>174.9</v>
          </cell>
          <cell r="BP83">
            <v>119.23</v>
          </cell>
          <cell r="BQ83">
            <v>169.333</v>
          </cell>
          <cell r="BR83">
            <v>152.4</v>
          </cell>
          <cell r="BS83">
            <v>460</v>
          </cell>
          <cell r="BT83">
            <v>124.92480000000002</v>
          </cell>
          <cell r="BU83">
            <v>5894.7744000000002</v>
          </cell>
          <cell r="BV83">
            <v>302</v>
          </cell>
          <cell r="BW83">
            <v>375</v>
          </cell>
          <cell r="BY83">
            <v>1363.2162575597577</v>
          </cell>
          <cell r="BZ83">
            <v>1062.8560688731975</v>
          </cell>
          <cell r="CA83">
            <v>1312.5242478917387</v>
          </cell>
          <cell r="CB83">
            <v>1297.0079542563924</v>
          </cell>
          <cell r="CC83">
            <v>1249.1560246645683</v>
          </cell>
          <cell r="CD83">
            <v>1341.9296926973457</v>
          </cell>
          <cell r="CE83">
            <v>1190.6914681868884</v>
          </cell>
          <cell r="CF83">
            <v>1302.7579819640259</v>
          </cell>
          <cell r="CG83">
            <v>1282.3445616101599</v>
          </cell>
          <cell r="CH83">
            <v>1251.2870303431496</v>
          </cell>
          <cell r="CI83">
            <v>1214.4169486227793</v>
          </cell>
          <cell r="CJ83">
            <v>959.46472237541866</v>
          </cell>
          <cell r="CK83">
            <v>1109.4717895591191</v>
          </cell>
          <cell r="CL83">
            <v>1575.2741582456431</v>
          </cell>
          <cell r="CM83">
            <v>1118.5962996864748</v>
          </cell>
          <cell r="CN83">
            <v>925.63575014139644</v>
          </cell>
          <cell r="CO83">
            <v>1182.2444994081584</v>
          </cell>
          <cell r="CP83">
            <v>1151.107479077142</v>
          </cell>
          <cell r="CQ83">
            <v>984.6092466984677</v>
          </cell>
          <cell r="CR83">
            <v>1004.5275627224713</v>
          </cell>
          <cell r="CS83">
            <v>994.56840471046951</v>
          </cell>
          <cell r="CT83">
            <v>973.04664766263511</v>
          </cell>
          <cell r="CU83">
            <v>1105.682870706622</v>
          </cell>
          <cell r="CV83">
            <v>1064.4600794673051</v>
          </cell>
          <cell r="CW83">
            <v>1064.4600794673051</v>
          </cell>
          <cell r="CX83">
            <v>1078.2010098804108</v>
          </cell>
          <cell r="CY83">
            <v>884.30509577697069</v>
          </cell>
          <cell r="CZ83">
            <v>1132.4696148590413</v>
          </cell>
          <cell r="DA83">
            <v>949.29722918183631</v>
          </cell>
          <cell r="DB83">
            <v>1147.2582420839749</v>
          </cell>
          <cell r="DC83">
            <v>1154.7686284401602</v>
          </cell>
          <cell r="DD83">
            <v>1145.3301612487235</v>
          </cell>
          <cell r="DE83">
            <v>1054.7500172265973</v>
          </cell>
          <cell r="DF83">
            <v>1212.4579308203317</v>
          </cell>
          <cell r="DG83">
            <v>1133.6039740234646</v>
          </cell>
          <cell r="DH83">
            <v>1049.0116821320867</v>
          </cell>
          <cell r="DI83">
            <v>893.27901985104711</v>
          </cell>
          <cell r="DK83">
            <v>500000</v>
          </cell>
          <cell r="DL83" t="str">
            <v>2021-22</v>
          </cell>
          <cell r="DM83">
            <v>200000</v>
          </cell>
          <cell r="DN83" t="str">
            <v>2021-22</v>
          </cell>
          <cell r="DO83">
            <v>1600000</v>
          </cell>
          <cell r="DP83" t="str">
            <v>2021-22</v>
          </cell>
          <cell r="DQ83">
            <v>1800000</v>
          </cell>
          <cell r="DR83" t="str">
            <v>2021-22</v>
          </cell>
          <cell r="DS83">
            <v>7300000</v>
          </cell>
          <cell r="DT83" t="str">
            <v>2021-22</v>
          </cell>
          <cell r="DU83">
            <v>16300000</v>
          </cell>
          <cell r="DV83" t="str">
            <v>2021-22</v>
          </cell>
          <cell r="DW83">
            <v>1000000</v>
          </cell>
          <cell r="DX83" t="str">
            <v>2021-22</v>
          </cell>
          <cell r="DY83">
            <v>6750000</v>
          </cell>
          <cell r="DZ83" t="str">
            <v>2021-22</v>
          </cell>
          <cell r="EA83">
            <v>34750000</v>
          </cell>
          <cell r="EB83">
            <v>395000</v>
          </cell>
          <cell r="EC83" t="str">
            <v>2021-22</v>
          </cell>
          <cell r="ED83">
            <v>209277</v>
          </cell>
          <cell r="EE83">
            <v>2022</v>
          </cell>
          <cell r="EF83">
            <v>207047</v>
          </cell>
          <cell r="EG83">
            <v>2022</v>
          </cell>
          <cell r="EH83">
            <v>53416435</v>
          </cell>
          <cell r="EI83">
            <v>2022</v>
          </cell>
          <cell r="EJ83">
            <v>5350999</v>
          </cell>
          <cell r="EK83">
            <v>2021</v>
          </cell>
          <cell r="EL83">
            <v>14571766</v>
          </cell>
          <cell r="EM83">
            <v>2020</v>
          </cell>
          <cell r="EN83">
            <v>3169981</v>
          </cell>
          <cell r="EO83">
            <v>2021</v>
          </cell>
          <cell r="EP83">
            <v>6552</v>
          </cell>
          <cell r="EQ83">
            <v>3500000</v>
          </cell>
          <cell r="ER83">
            <v>74633.333333333328</v>
          </cell>
          <cell r="ET83">
            <v>17456</v>
          </cell>
          <cell r="EU83">
            <v>19445</v>
          </cell>
          <cell r="EV83">
            <v>9018</v>
          </cell>
          <cell r="EW83">
            <v>17386</v>
          </cell>
          <cell r="EX83">
            <v>63305</v>
          </cell>
          <cell r="EY83">
            <v>20049</v>
          </cell>
          <cell r="EZ83">
            <v>33638</v>
          </cell>
          <cell r="FA83">
            <v>19948</v>
          </cell>
          <cell r="FB83">
            <v>15432</v>
          </cell>
          <cell r="FC83">
            <v>35380</v>
          </cell>
          <cell r="FD83">
            <v>56856.849999999991</v>
          </cell>
          <cell r="FF83">
            <v>1050000</v>
          </cell>
          <cell r="FG83" t="str">
            <v>2020-21</v>
          </cell>
          <cell r="FH83">
            <v>1400000</v>
          </cell>
          <cell r="FI83" t="str">
            <v>2021-22</v>
          </cell>
          <cell r="FJ83">
            <v>5200000</v>
          </cell>
          <cell r="FK83" t="str">
            <v>2021-22</v>
          </cell>
          <cell r="FL83">
            <v>3600000</v>
          </cell>
          <cell r="FM83" t="str">
            <v>2021-22</v>
          </cell>
          <cell r="FN83">
            <v>51000000</v>
          </cell>
          <cell r="FO83" t="str">
            <v>2021-22</v>
          </cell>
          <cell r="FP83">
            <v>46000000</v>
          </cell>
          <cell r="FQ83" t="str">
            <v>2020-21</v>
          </cell>
          <cell r="FR83">
            <v>3300000</v>
          </cell>
          <cell r="FS83" t="str">
            <v>2020-21</v>
          </cell>
          <cell r="FT83">
            <v>22100000</v>
          </cell>
          <cell r="FU83" t="str">
            <v>2021-22</v>
          </cell>
          <cell r="FV83">
            <v>131200000</v>
          </cell>
          <cell r="FW83">
            <v>1280000</v>
          </cell>
          <cell r="FX83" t="str">
            <v>2021-22</v>
          </cell>
          <cell r="FY83">
            <v>19177</v>
          </cell>
          <cell r="FZ83">
            <v>865235</v>
          </cell>
          <cell r="GA83" t="str">
            <v>mar21 feb22</v>
          </cell>
          <cell r="GB83">
            <v>19368031</v>
          </cell>
          <cell r="GC83">
            <v>2022</v>
          </cell>
          <cell r="GD83">
            <v>2141365</v>
          </cell>
          <cell r="GE83">
            <v>369608</v>
          </cell>
          <cell r="GF83">
            <v>1038163</v>
          </cell>
          <cell r="GG83">
            <v>94581</v>
          </cell>
          <cell r="GH83">
            <v>1502352</v>
          </cell>
          <cell r="GI83">
            <v>1302556</v>
          </cell>
          <cell r="GJ83">
            <v>665558</v>
          </cell>
          <cell r="GK83">
            <v>1393000</v>
          </cell>
          <cell r="GL83">
            <v>300028.90000000002</v>
          </cell>
          <cell r="GM83">
            <v>259304.56</v>
          </cell>
          <cell r="GN83">
            <v>2617891.46</v>
          </cell>
          <cell r="GO83">
            <v>200935</v>
          </cell>
          <cell r="GP83">
            <v>73046</v>
          </cell>
          <cell r="GQ83">
            <v>154783.75</v>
          </cell>
          <cell r="GR83">
            <v>42288</v>
          </cell>
          <cell r="GS83">
            <v>46931.512499999997</v>
          </cell>
          <cell r="GT83">
            <v>2410599</v>
          </cell>
          <cell r="GU83">
            <v>103330</v>
          </cell>
          <cell r="GV83">
            <v>28202</v>
          </cell>
          <cell r="GW83">
            <v>1086369</v>
          </cell>
          <cell r="GX83">
            <v>33063.449999999997</v>
          </cell>
          <cell r="GY83" t="str">
            <v>2021-2022</v>
          </cell>
          <cell r="GZ83">
            <v>91610</v>
          </cell>
          <cell r="HA83">
            <v>231726</v>
          </cell>
          <cell r="HB83">
            <v>2961172</v>
          </cell>
          <cell r="HC83" t="str">
            <v>mar21 feb22</v>
          </cell>
          <cell r="HD83">
            <v>50437</v>
          </cell>
          <cell r="HE83">
            <v>688740.95449000015</v>
          </cell>
          <cell r="HF83" t="str">
            <v>mar21 feb22</v>
          </cell>
          <cell r="HG83">
            <v>175985</v>
          </cell>
          <cell r="HH83">
            <v>2310594</v>
          </cell>
          <cell r="HI83" t="str">
            <v>mar21 feb22</v>
          </cell>
          <cell r="HJ83">
            <v>87260</v>
          </cell>
          <cell r="HK83">
            <v>64611</v>
          </cell>
          <cell r="HL83" t="str">
            <v>mar21 feb22</v>
          </cell>
          <cell r="HM83">
            <v>2375205</v>
          </cell>
          <cell r="HN83">
            <v>3.6590013975352553E-2</v>
          </cell>
          <cell r="HO83">
            <v>815900000</v>
          </cell>
          <cell r="HP83">
            <v>11573.072459185898</v>
          </cell>
          <cell r="HQ83" t="str">
            <v>mar21 feb22</v>
          </cell>
          <cell r="HU83">
            <v>700000</v>
          </cell>
          <cell r="HV83" t="str">
            <v>2020-21</v>
          </cell>
          <cell r="HW83">
            <v>1500000</v>
          </cell>
          <cell r="HX83" t="str">
            <v>2022-23</v>
          </cell>
          <cell r="HY83">
            <v>3850000</v>
          </cell>
          <cell r="HZ83" t="str">
            <v>2021-22</v>
          </cell>
          <cell r="IA83">
            <v>21410000</v>
          </cell>
          <cell r="IB83" t="str">
            <v>2020-21</v>
          </cell>
          <cell r="IC83">
            <v>45150000</v>
          </cell>
          <cell r="ID83" t="str">
            <v>2020-21</v>
          </cell>
          <cell r="IE83">
            <v>950000</v>
          </cell>
          <cell r="IF83" t="str">
            <v>2020-21</v>
          </cell>
          <cell r="IG83">
            <v>7400000</v>
          </cell>
          <cell r="IH83" t="str">
            <v>2022-23</v>
          </cell>
          <cell r="II83">
            <v>80260000</v>
          </cell>
          <cell r="IJ83">
            <v>1.9073407006405101</v>
          </cell>
          <cell r="IK83" t="str">
            <v>2020-22</v>
          </cell>
          <cell r="IL83">
            <v>45.48</v>
          </cell>
          <cell r="IM83">
            <v>46.96</v>
          </cell>
          <cell r="IN83">
            <v>189</v>
          </cell>
          <cell r="IO83">
            <v>16.04</v>
          </cell>
          <cell r="IP83">
            <v>5.945790982656427</v>
          </cell>
          <cell r="IQ83">
            <v>18</v>
          </cell>
          <cell r="IR83">
            <v>7.01</v>
          </cell>
          <cell r="IS83">
            <v>4.3099999999999996</v>
          </cell>
          <cell r="IT83">
            <v>13.02</v>
          </cell>
          <cell r="IU83">
            <v>1.44</v>
          </cell>
          <cell r="IV83">
            <v>18.77</v>
          </cell>
          <cell r="IY83">
            <v>1.88</v>
          </cell>
          <cell r="IZ83">
            <v>0.3</v>
          </cell>
          <cell r="JA83">
            <v>2813</v>
          </cell>
          <cell r="JF83">
            <v>24.995459990000008</v>
          </cell>
          <cell r="JG83">
            <v>14.4671748</v>
          </cell>
          <cell r="JH83">
            <v>234.08297163</v>
          </cell>
          <cell r="JI83">
            <v>106.68771143000001</v>
          </cell>
          <cell r="JJ83">
            <v>632.33318969999993</v>
          </cell>
          <cell r="JK83">
            <v>110.88364111000001</v>
          </cell>
          <cell r="JL83">
            <v>1920.1115209600002</v>
          </cell>
          <cell r="JM83">
            <v>10.649999999999999</v>
          </cell>
          <cell r="JN83">
            <v>1281.4349895599998</v>
          </cell>
          <cell r="JO83">
            <v>22.255492239999995</v>
          </cell>
          <cell r="JP83">
            <v>0</v>
          </cell>
          <cell r="JQ83">
            <v>0.81392439999999999</v>
          </cell>
          <cell r="JR83">
            <v>1.2930101600000001</v>
          </cell>
          <cell r="JS83">
            <v>0</v>
          </cell>
          <cell r="JT83">
            <v>0.40690719000000003</v>
          </cell>
          <cell r="JU83">
            <v>83.832958109999993</v>
          </cell>
          <cell r="JV83">
            <v>6.1809931300000009</v>
          </cell>
          <cell r="JW83">
            <v>44.76117249</v>
          </cell>
          <cell r="JX83">
            <v>9.2304249800000004</v>
          </cell>
          <cell r="JY83">
            <v>0</v>
          </cell>
          <cell r="JZ83">
            <v>1.7852962800000001</v>
          </cell>
          <cell r="KA83">
            <v>0.17877358999999998</v>
          </cell>
          <cell r="KB83">
            <v>34.194236830000001</v>
          </cell>
          <cell r="KC83">
            <v>28.857247229999995</v>
          </cell>
          <cell r="KD83">
            <v>6.4766682399999995</v>
          </cell>
          <cell r="KE83">
            <v>23.986469650000004</v>
          </cell>
          <cell r="KF83">
            <v>38.467503409999999</v>
          </cell>
          <cell r="KG83">
            <v>367.95183931999992</v>
          </cell>
          <cell r="KH83">
            <v>146.77464456000001</v>
          </cell>
          <cell r="KI83">
            <v>29.506416549999997</v>
          </cell>
          <cell r="KJ83">
            <v>0.78701670999999995</v>
          </cell>
          <cell r="KK83">
            <v>8.9263620900000014</v>
          </cell>
          <cell r="KL83">
            <v>2.0000000000000001E-4</v>
          </cell>
          <cell r="KM83">
            <v>1.7460929199999999</v>
          </cell>
          <cell r="KN83">
            <v>0.26560532999999997</v>
          </cell>
          <cell r="KO83">
            <v>9.0287679999999995E-2</v>
          </cell>
          <cell r="KP83">
            <v>8.2102000000000008E-3</v>
          </cell>
          <cell r="KQ83">
            <v>98.758324050000013</v>
          </cell>
          <cell r="KR83">
            <v>1.2313600000000001E-2</v>
          </cell>
          <cell r="KS83">
            <v>3.5446999999999996E-3</v>
          </cell>
          <cell r="KT83">
            <v>0.70206774000000005</v>
          </cell>
          <cell r="KU83">
            <v>1.1247584300000002</v>
          </cell>
          <cell r="KV83">
            <v>0.13972432000000001</v>
          </cell>
          <cell r="KW83">
            <v>1.2112308599999999</v>
          </cell>
          <cell r="KX83">
            <v>0</v>
          </cell>
          <cell r="KY83">
            <v>0</v>
          </cell>
          <cell r="KZ83">
            <v>0.59419704000000007</v>
          </cell>
          <cell r="LA83">
            <v>2.8615189999999999E-2</v>
          </cell>
          <cell r="LB83">
            <v>0</v>
          </cell>
          <cell r="LC83">
            <v>8.0751160000000002E-2</v>
          </cell>
          <cell r="LD83">
            <v>0</v>
          </cell>
          <cell r="LE83">
            <v>0.21217849999999999</v>
          </cell>
          <cell r="LF83">
            <v>0.33608992999999998</v>
          </cell>
          <cell r="LG83">
            <v>20.827774680000001</v>
          </cell>
          <cell r="LH83">
            <v>3.9768056000000001</v>
          </cell>
          <cell r="LI83">
            <v>2.69919916</v>
          </cell>
          <cell r="LJ83">
            <v>0</v>
          </cell>
          <cell r="LK83">
            <v>4.87628489</v>
          </cell>
          <cell r="LL83">
            <v>3.9629320999999997</v>
          </cell>
          <cell r="LM83">
            <v>2.24095515</v>
          </cell>
          <cell r="LN83">
            <v>0.23393874000000003</v>
          </cell>
          <cell r="LO83">
            <v>11.404167620000001</v>
          </cell>
          <cell r="LQ83">
            <v>4185.3003832800005</v>
          </cell>
          <cell r="LR83">
            <v>2.5138417500000001</v>
          </cell>
          <cell r="LS83">
            <v>50.942165619999997</v>
          </cell>
          <cell r="LT83">
            <v>1.9640698700000001</v>
          </cell>
          <cell r="LU83">
            <v>100.87616828000002</v>
          </cell>
          <cell r="LV83">
            <v>1.3509551799999999</v>
          </cell>
          <cell r="LW83">
            <v>2.8615189999999999E-2</v>
          </cell>
          <cell r="LX83">
            <v>0.54826843000000003</v>
          </cell>
          <cell r="LZ83">
            <v>129.30000000000001</v>
          </cell>
          <cell r="MA83">
            <v>120.62</v>
          </cell>
          <cell r="MH83">
            <v>225.82</v>
          </cell>
          <cell r="MI83">
            <v>65.55</v>
          </cell>
          <cell r="MJ83">
            <v>71.349999999999994</v>
          </cell>
          <cell r="ML83">
            <v>84.96</v>
          </cell>
          <cell r="MM83">
            <v>290.45</v>
          </cell>
          <cell r="MO83">
            <v>86.7</v>
          </cell>
          <cell r="MP83">
            <v>173.7</v>
          </cell>
          <cell r="MQ83">
            <v>223.19</v>
          </cell>
          <cell r="MU83">
            <v>88.82</v>
          </cell>
          <cell r="MY83">
            <v>239.21</v>
          </cell>
          <cell r="MZ83">
            <v>643</v>
          </cell>
          <cell r="NA83">
            <v>230.59</v>
          </cell>
          <cell r="NB83">
            <v>907.24</v>
          </cell>
          <cell r="NC83">
            <v>95.44</v>
          </cell>
          <cell r="ND83">
            <v>1019</v>
          </cell>
          <cell r="NE83">
            <v>612.61</v>
          </cell>
        </row>
        <row r="84">
          <cell r="A84">
            <v>44621</v>
          </cell>
          <cell r="B84">
            <v>3</v>
          </cell>
          <cell r="C84">
            <v>2022</v>
          </cell>
          <cell r="D84">
            <v>84</v>
          </cell>
          <cell r="E84">
            <v>44621</v>
          </cell>
          <cell r="F84">
            <v>114.583</v>
          </cell>
          <cell r="G84">
            <v>676.1</v>
          </cell>
          <cell r="H84">
            <v>59450</v>
          </cell>
          <cell r="I84">
            <v>89</v>
          </cell>
          <cell r="J84">
            <v>1200</v>
          </cell>
          <cell r="K84">
            <v>12</v>
          </cell>
          <cell r="L84">
            <v>30.3</v>
          </cell>
          <cell r="N84">
            <v>2.67</v>
          </cell>
          <cell r="O84">
            <v>2.42</v>
          </cell>
          <cell r="P84">
            <v>277.03304824999998</v>
          </cell>
          <cell r="Q84">
            <v>2495</v>
          </cell>
          <cell r="R84">
            <v>24950</v>
          </cell>
          <cell r="S84">
            <v>300.75</v>
          </cell>
          <cell r="T84">
            <v>603.9</v>
          </cell>
          <cell r="U84">
            <v>276.55238095238093</v>
          </cell>
          <cell r="V84">
            <v>446.21428571428572</v>
          </cell>
          <cell r="W84">
            <v>243.44</v>
          </cell>
          <cell r="X84">
            <v>279.89999999999998</v>
          </cell>
          <cell r="Y84">
            <v>34460.837249999997</v>
          </cell>
          <cell r="Z84">
            <v>69196.673699999999</v>
          </cell>
          <cell r="AA84">
            <v>31688.201466666662</v>
          </cell>
          <cell r="AB84">
            <v>51128.571499999998</v>
          </cell>
          <cell r="AC84">
            <v>27894.085520000001</v>
          </cell>
          <cell r="AD84">
            <v>32071.781699999996</v>
          </cell>
          <cell r="AE84">
            <v>41073.35852277778</v>
          </cell>
          <cell r="AF84">
            <v>78844.800000000003</v>
          </cell>
          <cell r="AG84">
            <v>36830</v>
          </cell>
          <cell r="AH84">
            <v>139954</v>
          </cell>
          <cell r="AI84">
            <v>51.573999999999998</v>
          </cell>
          <cell r="AJ84">
            <v>53.633000000000003</v>
          </cell>
          <cell r="AK84">
            <v>41.11</v>
          </cell>
          <cell r="AL84">
            <v>28.077000000000002</v>
          </cell>
          <cell r="AM84">
            <v>43.296440000000004</v>
          </cell>
          <cell r="AN84">
            <v>127.2318181818182</v>
          </cell>
          <cell r="AO84">
            <v>74.55</v>
          </cell>
          <cell r="AP84">
            <v>100.8909090909091</v>
          </cell>
          <cell r="AQ84">
            <v>64.2</v>
          </cell>
          <cell r="AR84">
            <v>63.98</v>
          </cell>
          <cell r="AS84">
            <v>100.24863636363634</v>
          </cell>
          <cell r="AT84">
            <v>125.64</v>
          </cell>
          <cell r="AU84">
            <v>96.622878787878776</v>
          </cell>
          <cell r="AV84">
            <v>27.86</v>
          </cell>
          <cell r="AW84">
            <v>45.76</v>
          </cell>
          <cell r="AX84">
            <v>37.619999999999997</v>
          </cell>
          <cell r="AY84">
            <v>129.28</v>
          </cell>
          <cell r="AZ84">
            <v>101.02</v>
          </cell>
          <cell r="BA84">
            <v>28.44</v>
          </cell>
          <cell r="BB84">
            <v>74.09</v>
          </cell>
          <cell r="BC84">
            <v>5306.08</v>
          </cell>
          <cell r="BD84">
            <v>3280</v>
          </cell>
          <cell r="BE84">
            <v>3000</v>
          </cell>
          <cell r="BF84">
            <v>1500</v>
          </cell>
          <cell r="BG84">
            <v>3271.52</v>
          </cell>
          <cell r="BH84">
            <v>191.89</v>
          </cell>
          <cell r="BI84">
            <v>111.89</v>
          </cell>
          <cell r="BJ84">
            <v>303.77999999999997</v>
          </cell>
          <cell r="BK84">
            <v>283.45</v>
          </cell>
          <cell r="BL84">
            <v>368.7</v>
          </cell>
          <cell r="BM84">
            <v>326.07499999999999</v>
          </cell>
          <cell r="BN84">
            <v>40.42</v>
          </cell>
          <cell r="BO84">
            <v>199.4</v>
          </cell>
          <cell r="BP84">
            <v>144.5</v>
          </cell>
          <cell r="BQ84">
            <v>193.91</v>
          </cell>
          <cell r="BR84">
            <v>153.24</v>
          </cell>
          <cell r="BS84">
            <v>500</v>
          </cell>
          <cell r="BT84">
            <v>118.02049</v>
          </cell>
          <cell r="BU84">
            <v>6354.0614699999996</v>
          </cell>
          <cell r="BV84">
            <v>302.3</v>
          </cell>
          <cell r="BW84">
            <v>375</v>
          </cell>
          <cell r="BY84">
            <v>1568.2954273246894</v>
          </cell>
          <cell r="BZ84">
            <v>1183.3289217078636</v>
          </cell>
          <cell r="CA84">
            <v>1545.1271969774659</v>
          </cell>
          <cell r="CB84">
            <v>1511.746231697427</v>
          </cell>
          <cell r="CC84">
            <v>1452.4866263975659</v>
          </cell>
          <cell r="CD84">
            <v>1531.854059502954</v>
          </cell>
          <cell r="CE84">
            <v>1350.4871180833209</v>
          </cell>
          <cell r="CF84">
            <v>1509.922766401676</v>
          </cell>
          <cell r="CG84">
            <v>1483.6039998434014</v>
          </cell>
          <cell r="CH84">
            <v>1386.0076506887151</v>
          </cell>
          <cell r="CI84">
            <v>1423.3402208392886</v>
          </cell>
          <cell r="CJ84">
            <v>1025.1172741700846</v>
          </cell>
          <cell r="CK84">
            <v>1274.5982434688024</v>
          </cell>
          <cell r="CL84">
            <v>1637.1225262106898</v>
          </cell>
          <cell r="CM84">
            <v>1210.5726751403445</v>
          </cell>
          <cell r="CN84">
            <v>994.32173723786889</v>
          </cell>
          <cell r="CO84">
            <v>1279.1537955144263</v>
          </cell>
          <cell r="CP84">
            <v>1277.8271096706565</v>
          </cell>
          <cell r="CQ84">
            <v>1075.2145460664626</v>
          </cell>
          <cell r="CR84">
            <v>1072.5065594875084</v>
          </cell>
          <cell r="CS84">
            <v>1073.8605527769855</v>
          </cell>
          <cell r="CT84">
            <v>1079.530542299075</v>
          </cell>
          <cell r="CU84">
            <v>1219.5757243785879</v>
          </cell>
          <cell r="CV84">
            <v>1266.6251650124282</v>
          </cell>
          <cell r="CW84">
            <v>1266.6251650124282</v>
          </cell>
          <cell r="CX84">
            <v>1250.9420181344815</v>
          </cell>
          <cell r="CY84">
            <v>936.92651843493252</v>
          </cell>
          <cell r="CZ84">
            <v>1230.1178385258841</v>
          </cell>
          <cell r="DA84">
            <v>1033.9794750679744</v>
          </cell>
          <cell r="DB84">
            <v>1313.8365885548631</v>
          </cell>
          <cell r="DC84">
            <v>1323.4834070477029</v>
          </cell>
          <cell r="DD84">
            <v>1311.8191330855673</v>
          </cell>
          <cell r="DE84">
            <v>1220.9235995228314</v>
          </cell>
          <cell r="DF84">
            <v>1417.9262958959278</v>
          </cell>
          <cell r="DG84">
            <v>1319.4249477093795</v>
          </cell>
          <cell r="DH84">
            <v>1150.9916373116162</v>
          </cell>
          <cell r="DI84">
            <v>961.87913322861152</v>
          </cell>
          <cell r="DK84">
            <v>500000</v>
          </cell>
          <cell r="DL84" t="str">
            <v>2021-22</v>
          </cell>
          <cell r="DM84">
            <v>200000</v>
          </cell>
          <cell r="DN84" t="str">
            <v>2021-22</v>
          </cell>
          <cell r="DO84">
            <v>1600000</v>
          </cell>
          <cell r="DP84" t="str">
            <v>2021-22</v>
          </cell>
          <cell r="DQ84">
            <v>1800000</v>
          </cell>
          <cell r="DR84" t="str">
            <v>2021-22</v>
          </cell>
          <cell r="DS84">
            <v>7300000</v>
          </cell>
          <cell r="DT84" t="str">
            <v>2021-22</v>
          </cell>
          <cell r="DU84">
            <v>16300000</v>
          </cell>
          <cell r="DV84" t="str">
            <v>2021-22</v>
          </cell>
          <cell r="DW84">
            <v>1000000</v>
          </cell>
          <cell r="DX84" t="str">
            <v>2021-22</v>
          </cell>
          <cell r="DY84">
            <v>6750000</v>
          </cell>
          <cell r="DZ84" t="str">
            <v>2021-22</v>
          </cell>
          <cell r="EA84">
            <v>34750000</v>
          </cell>
          <cell r="EB84">
            <v>395000</v>
          </cell>
          <cell r="EC84" t="str">
            <v>2021-22</v>
          </cell>
          <cell r="ED84">
            <v>209277</v>
          </cell>
          <cell r="EE84">
            <v>2022</v>
          </cell>
          <cell r="EF84">
            <v>207047</v>
          </cell>
          <cell r="EG84">
            <v>2022</v>
          </cell>
          <cell r="EH84">
            <v>53416435</v>
          </cell>
          <cell r="EI84">
            <v>2022</v>
          </cell>
          <cell r="EJ84">
            <v>5477107</v>
          </cell>
          <cell r="EK84">
            <v>2022</v>
          </cell>
          <cell r="EL84">
            <v>14571766</v>
          </cell>
          <cell r="EM84">
            <v>2020</v>
          </cell>
          <cell r="EN84">
            <v>3169981</v>
          </cell>
          <cell r="EO84">
            <v>2021</v>
          </cell>
          <cell r="EP84">
            <v>6552</v>
          </cell>
          <cell r="EQ84">
            <v>3500000</v>
          </cell>
          <cell r="ER84">
            <v>74633.333333333328</v>
          </cell>
          <cell r="ET84">
            <v>17456</v>
          </cell>
          <cell r="EU84">
            <v>19445</v>
          </cell>
          <cell r="EV84">
            <v>9018</v>
          </cell>
          <cell r="EW84">
            <v>17386</v>
          </cell>
          <cell r="EX84">
            <v>63305</v>
          </cell>
          <cell r="EY84">
            <v>20049</v>
          </cell>
          <cell r="EZ84">
            <v>33638</v>
          </cell>
          <cell r="FA84">
            <v>19948</v>
          </cell>
          <cell r="FB84">
            <v>15432</v>
          </cell>
          <cell r="FC84">
            <v>35380</v>
          </cell>
          <cell r="FD84">
            <v>56856.849999999991</v>
          </cell>
          <cell r="FF84">
            <v>1050000</v>
          </cell>
          <cell r="FG84" t="str">
            <v>2020-21</v>
          </cell>
          <cell r="FH84">
            <v>1400000</v>
          </cell>
          <cell r="FI84" t="str">
            <v>2021-22</v>
          </cell>
          <cell r="FJ84">
            <v>5200000</v>
          </cell>
          <cell r="FK84" t="str">
            <v>2021-22</v>
          </cell>
          <cell r="FL84">
            <v>3600000</v>
          </cell>
          <cell r="FM84" t="str">
            <v>2021-22</v>
          </cell>
          <cell r="FN84">
            <v>49000000</v>
          </cell>
          <cell r="FO84" t="str">
            <v>2021-22</v>
          </cell>
          <cell r="FP84">
            <v>46000000</v>
          </cell>
          <cell r="FQ84" t="str">
            <v>2020-21</v>
          </cell>
          <cell r="FR84">
            <v>3300000</v>
          </cell>
          <cell r="FS84" t="str">
            <v>2020-21</v>
          </cell>
          <cell r="FT84">
            <v>22100000</v>
          </cell>
          <cell r="FU84" t="str">
            <v>2021-22</v>
          </cell>
          <cell r="FV84">
            <v>129200000</v>
          </cell>
          <cell r="FW84">
            <v>1280000</v>
          </cell>
          <cell r="FX84" t="str">
            <v>2021-22</v>
          </cell>
          <cell r="FY84">
            <v>43167</v>
          </cell>
          <cell r="FZ84">
            <v>812390</v>
          </cell>
          <cell r="GA84" t="str">
            <v>abr21 mar22</v>
          </cell>
          <cell r="GB84">
            <v>19368031</v>
          </cell>
          <cell r="GC84">
            <v>2022</v>
          </cell>
          <cell r="GD84">
            <v>2141365</v>
          </cell>
          <cell r="GE84">
            <v>369608</v>
          </cell>
          <cell r="GF84">
            <v>1038163</v>
          </cell>
          <cell r="GG84">
            <v>94581</v>
          </cell>
          <cell r="GH84">
            <v>1502352</v>
          </cell>
          <cell r="GI84">
            <v>1302556</v>
          </cell>
          <cell r="GJ84">
            <v>665558</v>
          </cell>
          <cell r="GK84">
            <v>1393000</v>
          </cell>
          <cell r="GL84">
            <v>300028.90000000002</v>
          </cell>
          <cell r="GM84">
            <v>259304.56</v>
          </cell>
          <cell r="GN84">
            <v>2617891.46</v>
          </cell>
          <cell r="GO84">
            <v>200935</v>
          </cell>
          <cell r="GP84">
            <v>73046</v>
          </cell>
          <cell r="GQ84">
            <v>128834.75</v>
          </cell>
          <cell r="GR84">
            <v>42288</v>
          </cell>
          <cell r="GS84">
            <v>46153.042500000003</v>
          </cell>
          <cell r="GT84">
            <v>2410599</v>
          </cell>
          <cell r="GU84">
            <v>124676</v>
          </cell>
          <cell r="GV84">
            <v>58189</v>
          </cell>
          <cell r="GW84">
            <v>1042035</v>
          </cell>
          <cell r="GX84">
            <v>33063.449999999997</v>
          </cell>
          <cell r="GY84" t="str">
            <v>2021-2022</v>
          </cell>
          <cell r="GZ84">
            <v>91610</v>
          </cell>
          <cell r="HA84">
            <v>260135</v>
          </cell>
          <cell r="HB84">
            <v>2960340</v>
          </cell>
          <cell r="HC84" t="str">
            <v>abr21 mar22</v>
          </cell>
          <cell r="HD84">
            <v>62117</v>
          </cell>
          <cell r="HE84">
            <v>688118.95449000015</v>
          </cell>
          <cell r="HF84" t="str">
            <v>abr21 mar22</v>
          </cell>
          <cell r="HG84">
            <v>200000</v>
          </cell>
          <cell r="HH84">
            <v>2308594</v>
          </cell>
          <cell r="HI84" t="str">
            <v>abr21 mar22</v>
          </cell>
          <cell r="HJ84">
            <v>84993</v>
          </cell>
          <cell r="HK84">
            <v>64514.1</v>
          </cell>
          <cell r="HL84" t="str">
            <v>abr21 mar22</v>
          </cell>
          <cell r="HM84">
            <v>2373108.1</v>
          </cell>
          <cell r="HN84">
            <v>2.4928073071681878E-2</v>
          </cell>
          <cell r="HO84">
            <v>848947922.92527413</v>
          </cell>
          <cell r="HP84">
            <v>11593.720382111173</v>
          </cell>
          <cell r="HQ84" t="str">
            <v>abr21 mar22</v>
          </cell>
          <cell r="HU84">
            <v>650000</v>
          </cell>
          <cell r="HV84" t="str">
            <v>2021-22</v>
          </cell>
          <cell r="HW84">
            <v>1500000</v>
          </cell>
          <cell r="HX84" t="str">
            <v>2022-23</v>
          </cell>
          <cell r="HY84">
            <v>3850000</v>
          </cell>
          <cell r="HZ84" t="str">
            <v>2021-22</v>
          </cell>
          <cell r="IA84">
            <v>21570000</v>
          </cell>
          <cell r="IB84" t="str">
            <v>2021-22</v>
          </cell>
          <cell r="IC84">
            <v>45150000</v>
          </cell>
          <cell r="ID84" t="str">
            <v>2020-21</v>
          </cell>
          <cell r="IE84">
            <v>800000</v>
          </cell>
          <cell r="IF84" t="str">
            <v>2021-22</v>
          </cell>
          <cell r="IG84">
            <v>7400000</v>
          </cell>
          <cell r="IH84" t="str">
            <v>2022-23</v>
          </cell>
          <cell r="II84">
            <v>80270000</v>
          </cell>
          <cell r="IJ84">
            <v>1.9073407006405101</v>
          </cell>
          <cell r="IK84" t="str">
            <v>2021-22</v>
          </cell>
          <cell r="IL84">
            <v>46.9</v>
          </cell>
          <cell r="IM84">
            <v>47.93</v>
          </cell>
          <cell r="IN84">
            <v>189</v>
          </cell>
          <cell r="IO84">
            <v>16.149999999999999</v>
          </cell>
          <cell r="IP84">
            <v>5.945790982656427</v>
          </cell>
          <cell r="IQ84">
            <v>18</v>
          </cell>
          <cell r="IR84">
            <v>7.01</v>
          </cell>
          <cell r="IS84">
            <v>4.3099999999999996</v>
          </cell>
          <cell r="IT84">
            <v>13.02</v>
          </cell>
          <cell r="IU84">
            <v>1.44</v>
          </cell>
          <cell r="IV84">
            <v>18.77</v>
          </cell>
          <cell r="IY84">
            <v>1.88</v>
          </cell>
          <cell r="IZ84">
            <v>0.3</v>
          </cell>
          <cell r="JA84">
            <v>2813</v>
          </cell>
          <cell r="JF84">
            <v>21.366391749999998</v>
          </cell>
          <cell r="JG84">
            <v>22.796151390000002</v>
          </cell>
          <cell r="JH84">
            <v>215.37002174</v>
          </cell>
          <cell r="JI84">
            <v>184.35044262000002</v>
          </cell>
          <cell r="JJ84">
            <v>878.1107409399998</v>
          </cell>
          <cell r="JK84">
            <v>108.09958798000001</v>
          </cell>
          <cell r="JL84">
            <v>2494.5833324599998</v>
          </cell>
          <cell r="JM84">
            <v>77.035858080000011</v>
          </cell>
          <cell r="JN84">
            <v>920.65458210999998</v>
          </cell>
          <cell r="JO84">
            <v>23.736113960000001</v>
          </cell>
          <cell r="JP84">
            <v>0</v>
          </cell>
          <cell r="JQ84">
            <v>4.9385526999999998</v>
          </cell>
          <cell r="JR84">
            <v>2.2904272199999998</v>
          </cell>
          <cell r="JS84">
            <v>0</v>
          </cell>
          <cell r="JT84">
            <v>0.56372798000000002</v>
          </cell>
          <cell r="JU84">
            <v>82.193372090000025</v>
          </cell>
          <cell r="JV84">
            <v>6.9779687300000006</v>
          </cell>
          <cell r="JW84">
            <v>35.952336960000004</v>
          </cell>
          <cell r="JX84">
            <v>9.9365377600000002</v>
          </cell>
          <cell r="JY84">
            <v>0</v>
          </cell>
          <cell r="JZ84">
            <v>1.1262353300000001</v>
          </cell>
          <cell r="KA84">
            <v>0.1925</v>
          </cell>
          <cell r="KB84">
            <v>38.714139049999993</v>
          </cell>
          <cell r="KC84">
            <v>43.210508609999991</v>
          </cell>
          <cell r="KD84">
            <v>3.7984465600000004</v>
          </cell>
          <cell r="KE84">
            <v>21.121535039999998</v>
          </cell>
          <cell r="KF84">
            <v>44.812522269999995</v>
          </cell>
          <cell r="KG84">
            <v>406.87993106999983</v>
          </cell>
          <cell r="KH84">
            <v>150.63131442000002</v>
          </cell>
          <cell r="KI84">
            <v>31.821546949999998</v>
          </cell>
          <cell r="KJ84">
            <v>1.4229088099999998</v>
          </cell>
          <cell r="KK84">
            <v>14.274599060000003</v>
          </cell>
          <cell r="KL84">
            <v>7.7786450000000007E-2</v>
          </cell>
          <cell r="KM84">
            <v>2.41159284</v>
          </cell>
          <cell r="KN84">
            <v>1.7286549999999998E-2</v>
          </cell>
          <cell r="KO84">
            <v>0.50523337999999995</v>
          </cell>
          <cell r="KP84">
            <v>3.0447999999999999E-4</v>
          </cell>
          <cell r="KQ84">
            <v>279.53931059999996</v>
          </cell>
          <cell r="KR84">
            <v>8.3249100000000006E-2</v>
          </cell>
          <cell r="KS84">
            <v>2.9886779999999998E-2</v>
          </cell>
          <cell r="KT84">
            <v>0.59454408000000003</v>
          </cell>
          <cell r="KU84">
            <v>1.07159906</v>
          </cell>
          <cell r="KV84">
            <v>5.3200000000000001E-3</v>
          </cell>
          <cell r="KW84">
            <v>1.9628659399999997</v>
          </cell>
          <cell r="KX84">
            <v>0</v>
          </cell>
          <cell r="KY84">
            <v>0</v>
          </cell>
          <cell r="KZ84">
            <v>0.80692414999999995</v>
          </cell>
          <cell r="LA84">
            <v>0.16199859999999999</v>
          </cell>
          <cell r="LB84">
            <v>0.47766530000000001</v>
          </cell>
          <cell r="LC84">
            <v>0.10305723</v>
          </cell>
          <cell r="LD84">
            <v>0</v>
          </cell>
          <cell r="LE84">
            <v>0.66014136999999995</v>
          </cell>
          <cell r="LF84">
            <v>0.18013407000000001</v>
          </cell>
          <cell r="LG84">
            <v>28.413189390000003</v>
          </cell>
          <cell r="LH84">
            <v>3.9442662400000001</v>
          </cell>
          <cell r="LI84">
            <v>3.4489870700000003</v>
          </cell>
          <cell r="LJ84">
            <v>0</v>
          </cell>
          <cell r="LK84">
            <v>6.0188496399999991</v>
          </cell>
          <cell r="LL84">
            <v>8.9778956500000007</v>
          </cell>
          <cell r="LM84">
            <v>3.3109050799999999</v>
          </cell>
          <cell r="LN84">
            <v>0.22824644999999999</v>
          </cell>
          <cell r="LO84">
            <v>13.174662569999999</v>
          </cell>
          <cell r="LQ84">
            <v>4770.1049779499999</v>
          </cell>
          <cell r="LR84">
            <v>7.7927078999999999</v>
          </cell>
          <cell r="LS84">
            <v>42.930305690000004</v>
          </cell>
          <cell r="LT84">
            <v>1.31873533</v>
          </cell>
          <cell r="LU84">
            <v>282.58655924999999</v>
          </cell>
          <cell r="LV84">
            <v>1.9681859399999997</v>
          </cell>
          <cell r="LW84">
            <v>0.63966389999999995</v>
          </cell>
          <cell r="LX84">
            <v>0.84027543999999998</v>
          </cell>
          <cell r="LZ84">
            <v>135.91</v>
          </cell>
          <cell r="MA84">
            <v>124.5</v>
          </cell>
          <cell r="MH84">
            <v>265.70999999999998</v>
          </cell>
          <cell r="MI84">
            <v>74.22</v>
          </cell>
          <cell r="MJ84">
            <v>67.239999999999995</v>
          </cell>
          <cell r="ML84">
            <v>84.77</v>
          </cell>
          <cell r="MM84">
            <v>258.72000000000003</v>
          </cell>
          <cell r="MO84">
            <v>80.13</v>
          </cell>
          <cell r="MP84">
            <v>185.68</v>
          </cell>
          <cell r="MQ84">
            <v>221.48</v>
          </cell>
          <cell r="MU84">
            <v>96.32</v>
          </cell>
          <cell r="MY84">
            <v>249.24</v>
          </cell>
          <cell r="MZ84">
            <v>663</v>
          </cell>
          <cell r="NA84">
            <v>265.5</v>
          </cell>
          <cell r="NB84">
            <v>978.01</v>
          </cell>
          <cell r="NC84">
            <v>108.75</v>
          </cell>
          <cell r="ND84">
            <v>1069</v>
          </cell>
          <cell r="NE84">
            <v>641.21</v>
          </cell>
        </row>
        <row r="85">
          <cell r="A85">
            <v>44652</v>
          </cell>
          <cell r="B85">
            <v>4</v>
          </cell>
          <cell r="C85">
            <v>2022</v>
          </cell>
          <cell r="D85">
            <v>85</v>
          </cell>
          <cell r="E85">
            <v>44652</v>
          </cell>
          <cell r="F85">
            <v>118.355</v>
          </cell>
          <cell r="G85">
            <v>716.9</v>
          </cell>
          <cell r="H85">
            <v>60360</v>
          </cell>
          <cell r="I85">
            <v>96</v>
          </cell>
          <cell r="J85">
            <v>1350</v>
          </cell>
          <cell r="K85">
            <v>12</v>
          </cell>
          <cell r="L85">
            <v>29.5</v>
          </cell>
          <cell r="N85">
            <v>2.91</v>
          </cell>
          <cell r="O85">
            <v>2.68</v>
          </cell>
          <cell r="P85">
            <v>314.26211374999997</v>
          </cell>
          <cell r="Q85">
            <v>2675</v>
          </cell>
          <cell r="R85">
            <v>26750</v>
          </cell>
          <cell r="S85">
            <v>300.75</v>
          </cell>
          <cell r="T85">
            <v>582</v>
          </cell>
          <cell r="U85">
            <v>264.15714285714284</v>
          </cell>
          <cell r="V85">
            <v>439.01052631578943</v>
          </cell>
          <cell r="W85">
            <v>244.32</v>
          </cell>
          <cell r="X85">
            <v>308.92105263157896</v>
          </cell>
          <cell r="Y85">
            <v>35595.266250000001</v>
          </cell>
          <cell r="Z85">
            <v>68882.61</v>
          </cell>
          <cell r="AA85">
            <v>31264.318642857143</v>
          </cell>
          <cell r="AB85">
            <v>51959.090842105259</v>
          </cell>
          <cell r="AC85">
            <v>28916.493600000002</v>
          </cell>
          <cell r="AD85">
            <v>36562.351184210529</v>
          </cell>
          <cell r="AE85">
            <v>42196.688419862148</v>
          </cell>
          <cell r="AF85">
            <v>81089.052631578947</v>
          </cell>
          <cell r="AG85">
            <v>46890</v>
          </cell>
          <cell r="AH85">
            <v>178180</v>
          </cell>
          <cell r="AI85">
            <v>66.118499999999997</v>
          </cell>
          <cell r="AJ85">
            <v>74.682299999999998</v>
          </cell>
          <cell r="AK85">
            <v>56.610300000000002</v>
          </cell>
          <cell r="AL85">
            <v>39.854500000000002</v>
          </cell>
          <cell r="AM85">
            <v>57.685560000000002</v>
          </cell>
          <cell r="AN85">
            <v>124.79000000000003</v>
          </cell>
          <cell r="AO85">
            <v>78.209999999999994</v>
          </cell>
          <cell r="AP85">
            <v>101.50000000000001</v>
          </cell>
          <cell r="AQ85">
            <v>42.58</v>
          </cell>
          <cell r="AR85">
            <v>51.43</v>
          </cell>
          <cell r="AS85">
            <v>86.159000000000006</v>
          </cell>
          <cell r="AT85">
            <v>98.48</v>
          </cell>
          <cell r="AU85">
            <v>78.689666666666668</v>
          </cell>
          <cell r="AV85">
            <v>27.43</v>
          </cell>
          <cell r="AW85">
            <v>43.75</v>
          </cell>
          <cell r="AX85">
            <v>45.19</v>
          </cell>
          <cell r="AY85">
            <v>69.12</v>
          </cell>
          <cell r="AZ85">
            <v>91.98</v>
          </cell>
          <cell r="BA85">
            <v>25.67</v>
          </cell>
          <cell r="BB85">
            <v>57.990000000000009</v>
          </cell>
          <cell r="BC85">
            <v>5625</v>
          </cell>
          <cell r="BD85">
            <v>3280</v>
          </cell>
          <cell r="BE85">
            <v>3400</v>
          </cell>
          <cell r="BF85">
            <v>2100</v>
          </cell>
          <cell r="BG85">
            <v>3601.25</v>
          </cell>
          <cell r="BH85">
            <v>287.83</v>
          </cell>
          <cell r="BI85">
            <v>60</v>
          </cell>
          <cell r="BJ85">
            <v>347.83</v>
          </cell>
          <cell r="BK85">
            <v>305.82900000000001</v>
          </cell>
          <cell r="BL85">
            <v>386.33</v>
          </cell>
          <cell r="BM85">
            <v>346.0795</v>
          </cell>
          <cell r="BN85">
            <v>43.38</v>
          </cell>
          <cell r="BO85">
            <v>224.6</v>
          </cell>
          <cell r="BP85">
            <v>144.51</v>
          </cell>
          <cell r="BQ85">
            <v>216.59099999999998</v>
          </cell>
          <cell r="BR85">
            <v>159.26</v>
          </cell>
          <cell r="BS85">
            <v>500</v>
          </cell>
          <cell r="BT85">
            <v>119.53855</v>
          </cell>
          <cell r="BU85">
            <v>6358.6156499999997</v>
          </cell>
          <cell r="BV85">
            <v>300</v>
          </cell>
          <cell r="BW85">
            <v>450</v>
          </cell>
          <cell r="BY85">
            <v>1691.2153955166559</v>
          </cell>
          <cell r="BZ85">
            <v>1261.7488460063755</v>
          </cell>
          <cell r="CA85">
            <v>1608.9138732313613</v>
          </cell>
          <cell r="CB85">
            <v>1546.9488830721452</v>
          </cell>
          <cell r="CC85">
            <v>1482.9345672407244</v>
          </cell>
          <cell r="CD85">
            <v>1580.5240329710425</v>
          </cell>
          <cell r="CE85">
            <v>1404.4882542028824</v>
          </cell>
          <cell r="CF85">
            <v>1605.7948979837447</v>
          </cell>
          <cell r="CG85">
            <v>1538.2674181169834</v>
          </cell>
          <cell r="CH85">
            <v>1439.6007804452763</v>
          </cell>
          <cell r="CI85">
            <v>1497.7790242677588</v>
          </cell>
          <cell r="CJ85">
            <v>1057.2061242715924</v>
          </cell>
          <cell r="CK85">
            <v>1371.1729346497759</v>
          </cell>
          <cell r="CL85">
            <v>1447.1084059038617</v>
          </cell>
          <cell r="CM85">
            <v>1206.504834780364</v>
          </cell>
          <cell r="CN85">
            <v>1018.603631281094</v>
          </cell>
          <cell r="CO85">
            <v>1260.847451653774</v>
          </cell>
          <cell r="CP85">
            <v>1429.2081320623738</v>
          </cell>
          <cell r="CQ85">
            <v>1118.9040471523879</v>
          </cell>
          <cell r="CR85">
            <v>1123.9534513953406</v>
          </cell>
          <cell r="CS85">
            <v>1121.4287492738642</v>
          </cell>
          <cell r="CT85">
            <v>1105.5207447357486</v>
          </cell>
          <cell r="CU85">
            <v>1261.845744566486</v>
          </cell>
          <cell r="CV85">
            <v>1307.1303425920985</v>
          </cell>
          <cell r="CW85">
            <v>1307.1303425920985</v>
          </cell>
          <cell r="CX85">
            <v>1292.0354765835609</v>
          </cell>
          <cell r="CY85">
            <v>982.79712110844741</v>
          </cell>
          <cell r="CZ85">
            <v>1296.6493147673145</v>
          </cell>
          <cell r="DA85">
            <v>1081.4795192101774</v>
          </cell>
          <cell r="DB85">
            <v>1385.8056960703618</v>
          </cell>
          <cell r="DC85">
            <v>1332.0909254010794</v>
          </cell>
          <cell r="DD85">
            <v>1312.0212953144271</v>
          </cell>
          <cell r="DE85">
            <v>1209.2063342324345</v>
          </cell>
          <cell r="DF85">
            <v>1406.807460184792</v>
          </cell>
          <cell r="DG85">
            <v>1308.0068972086133</v>
          </cell>
          <cell r="DH85">
            <v>1194.5058966085451</v>
          </cell>
          <cell r="DI85">
            <v>992.6252745893828</v>
          </cell>
          <cell r="DK85">
            <v>500000</v>
          </cell>
          <cell r="DL85" t="str">
            <v>2021-22</v>
          </cell>
          <cell r="DM85">
            <v>200000</v>
          </cell>
          <cell r="DN85" t="str">
            <v>2021-22</v>
          </cell>
          <cell r="DO85">
            <v>1600000</v>
          </cell>
          <cell r="DP85" t="str">
            <v>2021-22</v>
          </cell>
          <cell r="DQ85">
            <v>1800000</v>
          </cell>
          <cell r="DR85" t="str">
            <v>2021-22</v>
          </cell>
          <cell r="DS85">
            <v>7300000</v>
          </cell>
          <cell r="DT85" t="str">
            <v>2021-22</v>
          </cell>
          <cell r="DU85">
            <v>16100000</v>
          </cell>
          <cell r="DV85" t="str">
            <v>2021-22</v>
          </cell>
          <cell r="DW85">
            <v>950000</v>
          </cell>
          <cell r="DX85" t="str">
            <v>2021-22</v>
          </cell>
          <cell r="DY85">
            <v>6750000</v>
          </cell>
          <cell r="DZ85" t="str">
            <v>2021-22</v>
          </cell>
          <cell r="EA85">
            <v>34500000</v>
          </cell>
          <cell r="EB85">
            <v>395000</v>
          </cell>
          <cell r="EC85" t="str">
            <v>2021-22</v>
          </cell>
          <cell r="ED85">
            <v>209277</v>
          </cell>
          <cell r="EE85">
            <v>2022</v>
          </cell>
          <cell r="EF85">
            <v>207047</v>
          </cell>
          <cell r="EG85">
            <v>2022</v>
          </cell>
          <cell r="EH85">
            <v>53416435</v>
          </cell>
          <cell r="EI85">
            <v>2022</v>
          </cell>
          <cell r="EJ85">
            <v>5477107</v>
          </cell>
          <cell r="EK85">
            <v>2022</v>
          </cell>
          <cell r="EL85">
            <v>14571766</v>
          </cell>
          <cell r="EM85">
            <v>2020</v>
          </cell>
          <cell r="EN85">
            <v>3169981</v>
          </cell>
          <cell r="EO85">
            <v>2021</v>
          </cell>
          <cell r="EP85">
            <v>6552</v>
          </cell>
          <cell r="EQ85">
            <v>3500000</v>
          </cell>
          <cell r="ER85">
            <v>74633.333333333328</v>
          </cell>
          <cell r="ET85">
            <v>17456</v>
          </cell>
          <cell r="EU85">
            <v>19445</v>
          </cell>
          <cell r="EV85">
            <v>9018</v>
          </cell>
          <cell r="EW85">
            <v>17386</v>
          </cell>
          <cell r="EX85">
            <v>63305</v>
          </cell>
          <cell r="EY85">
            <v>20049</v>
          </cell>
          <cell r="EZ85">
            <v>33638</v>
          </cell>
          <cell r="FA85">
            <v>19948</v>
          </cell>
          <cell r="FB85">
            <v>15432</v>
          </cell>
          <cell r="FC85">
            <v>35380</v>
          </cell>
          <cell r="FD85">
            <v>56856.849999999991</v>
          </cell>
          <cell r="FF85">
            <v>1100000</v>
          </cell>
          <cell r="FG85" t="str">
            <v>2021-22</v>
          </cell>
          <cell r="FH85">
            <v>1200000</v>
          </cell>
          <cell r="FI85" t="str">
            <v>2021-22</v>
          </cell>
          <cell r="FJ85">
            <v>5200000</v>
          </cell>
          <cell r="FK85" t="str">
            <v>2021-22</v>
          </cell>
          <cell r="FL85">
            <v>3600000</v>
          </cell>
          <cell r="FM85" t="str">
            <v>2021-22</v>
          </cell>
          <cell r="FN85">
            <v>49000000</v>
          </cell>
          <cell r="FO85" t="str">
            <v>2021-22</v>
          </cell>
          <cell r="FP85">
            <v>42000000</v>
          </cell>
          <cell r="FQ85" t="str">
            <v>2021-22</v>
          </cell>
          <cell r="FR85">
            <v>3000000</v>
          </cell>
          <cell r="FS85" t="str">
            <v>2021-22</v>
          </cell>
          <cell r="FT85">
            <v>22100000</v>
          </cell>
          <cell r="FU85" t="str">
            <v>2021-22</v>
          </cell>
          <cell r="FV85">
            <v>124900000</v>
          </cell>
          <cell r="FW85">
            <v>1300000</v>
          </cell>
          <cell r="FX85" t="str">
            <v>2021-22</v>
          </cell>
          <cell r="FY85">
            <v>55163</v>
          </cell>
          <cell r="FZ85">
            <v>740574</v>
          </cell>
          <cell r="GA85" t="str">
            <v>may21 abr22</v>
          </cell>
          <cell r="GB85">
            <v>19368031</v>
          </cell>
          <cell r="GC85">
            <v>2022</v>
          </cell>
          <cell r="GD85">
            <v>2141365</v>
          </cell>
          <cell r="GE85">
            <v>369608</v>
          </cell>
          <cell r="GF85">
            <v>1038163</v>
          </cell>
          <cell r="GG85">
            <v>94581</v>
          </cell>
          <cell r="GH85">
            <v>1502352</v>
          </cell>
          <cell r="GI85">
            <v>1302556</v>
          </cell>
          <cell r="GJ85">
            <v>665558</v>
          </cell>
          <cell r="GK85">
            <v>1393000</v>
          </cell>
          <cell r="GL85">
            <v>300028.90000000002</v>
          </cell>
          <cell r="GM85">
            <v>259304.56</v>
          </cell>
          <cell r="GN85">
            <v>2617891.46</v>
          </cell>
          <cell r="GO85">
            <v>200935</v>
          </cell>
          <cell r="GP85">
            <v>73046</v>
          </cell>
          <cell r="GQ85">
            <v>77737</v>
          </cell>
          <cell r="GR85">
            <v>42288</v>
          </cell>
          <cell r="GS85">
            <v>44620.11</v>
          </cell>
          <cell r="GT85">
            <v>2410599</v>
          </cell>
          <cell r="GU85">
            <v>73325</v>
          </cell>
          <cell r="GV85">
            <v>57543</v>
          </cell>
          <cell r="GW85">
            <v>1012234</v>
          </cell>
          <cell r="GX85">
            <v>33063.449999999997</v>
          </cell>
          <cell r="GY85" t="str">
            <v>2021-2022</v>
          </cell>
          <cell r="GZ85">
            <v>91610</v>
          </cell>
          <cell r="HA85">
            <v>240360</v>
          </cell>
          <cell r="HB85">
            <v>2954238</v>
          </cell>
          <cell r="HC85" t="str">
            <v>may21 abr22</v>
          </cell>
          <cell r="HD85">
            <v>59245</v>
          </cell>
          <cell r="HE85">
            <v>689934.95449000015</v>
          </cell>
          <cell r="HF85" t="str">
            <v>may21 abr22</v>
          </cell>
          <cell r="HG85">
            <v>184000</v>
          </cell>
          <cell r="HH85">
            <v>2297594</v>
          </cell>
          <cell r="HI85" t="str">
            <v>may21 abr22</v>
          </cell>
          <cell r="HJ85">
            <v>78774</v>
          </cell>
          <cell r="HK85">
            <v>64719.840000000004</v>
          </cell>
          <cell r="HL85" t="str">
            <v>may21 abr22</v>
          </cell>
          <cell r="HM85">
            <v>2362313.84</v>
          </cell>
          <cell r="HN85">
            <v>1.970835351416822E-2</v>
          </cell>
          <cell r="HO85">
            <v>837384499.90583503</v>
          </cell>
          <cell r="HP85">
            <v>11609.904882017006</v>
          </cell>
          <cell r="HQ85" t="str">
            <v>may21 abr22</v>
          </cell>
          <cell r="HU85">
            <v>650000</v>
          </cell>
          <cell r="HV85" t="str">
            <v>2021-22</v>
          </cell>
          <cell r="HW85">
            <v>1500000</v>
          </cell>
          <cell r="HX85" t="str">
            <v>2022-23</v>
          </cell>
          <cell r="HY85">
            <v>3850000</v>
          </cell>
          <cell r="HZ85" t="str">
            <v>2021-22</v>
          </cell>
          <cell r="IA85">
            <v>21570000</v>
          </cell>
          <cell r="IB85" t="str">
            <v>2021-22</v>
          </cell>
          <cell r="IC85">
            <v>39940000</v>
          </cell>
          <cell r="ID85" t="str">
            <v>2021-22</v>
          </cell>
          <cell r="IE85">
            <v>800000</v>
          </cell>
          <cell r="IF85" t="str">
            <v>2021-22</v>
          </cell>
          <cell r="IG85">
            <v>7400000</v>
          </cell>
          <cell r="IH85" t="str">
            <v>2022-23</v>
          </cell>
          <cell r="II85">
            <v>75060000</v>
          </cell>
          <cell r="IJ85">
            <v>1.9073407006405101</v>
          </cell>
          <cell r="IK85" t="str">
            <v>2021-22</v>
          </cell>
          <cell r="IL85">
            <v>44.13</v>
          </cell>
          <cell r="IM85">
            <v>47.84</v>
          </cell>
          <cell r="IN85">
            <v>189</v>
          </cell>
          <cell r="IO85">
            <v>16.329999999999998</v>
          </cell>
          <cell r="IP85">
            <v>5.945790982656427</v>
          </cell>
          <cell r="IQ85">
            <v>18</v>
          </cell>
          <cell r="IR85">
            <v>7.01</v>
          </cell>
          <cell r="IS85">
            <v>4.3099999999999996</v>
          </cell>
          <cell r="IT85">
            <v>13.02</v>
          </cell>
          <cell r="IU85">
            <v>1.44</v>
          </cell>
          <cell r="IV85">
            <v>18.77</v>
          </cell>
          <cell r="IY85">
            <v>1.88</v>
          </cell>
          <cell r="IZ85">
            <v>0.3</v>
          </cell>
          <cell r="JA85">
            <v>2813</v>
          </cell>
          <cell r="JF85">
            <v>11.570507999999998</v>
          </cell>
          <cell r="JG85">
            <v>34.242525930000006</v>
          </cell>
          <cell r="JH85">
            <v>212.06838499</v>
          </cell>
          <cell r="JI85">
            <v>345.71946558999997</v>
          </cell>
          <cell r="JJ85">
            <v>1076.2299785499999</v>
          </cell>
          <cell r="JK85">
            <v>86.016299079999982</v>
          </cell>
          <cell r="JL85">
            <v>3213.7343950799996</v>
          </cell>
          <cell r="JM85">
            <v>57.54342123</v>
          </cell>
          <cell r="JN85">
            <v>1079.5716109800001</v>
          </cell>
          <cell r="JO85">
            <v>25.069733259999996</v>
          </cell>
          <cell r="JP85">
            <v>0</v>
          </cell>
          <cell r="JQ85">
            <v>5.4952942</v>
          </cell>
          <cell r="JR85">
            <v>3.08549586</v>
          </cell>
          <cell r="JS85">
            <v>0</v>
          </cell>
          <cell r="JT85">
            <v>0.36837054999999996</v>
          </cell>
          <cell r="JU85">
            <v>90.029722969999995</v>
          </cell>
          <cell r="JV85">
            <v>10.594823679999999</v>
          </cell>
          <cell r="JW85">
            <v>27.387434369999998</v>
          </cell>
          <cell r="JX85">
            <v>20.859672110000002</v>
          </cell>
          <cell r="JY85">
            <v>0</v>
          </cell>
          <cell r="JZ85">
            <v>1.1739503500000001</v>
          </cell>
          <cell r="KA85">
            <v>0.24589899999999998</v>
          </cell>
          <cell r="KB85">
            <v>29.416825530000004</v>
          </cell>
          <cell r="KC85">
            <v>34.829088259999999</v>
          </cell>
          <cell r="KD85">
            <v>9.5434502200000004</v>
          </cell>
          <cell r="KE85">
            <v>27.139910580000002</v>
          </cell>
          <cell r="KF85">
            <v>46.530829869999998</v>
          </cell>
          <cell r="KG85">
            <v>405.16040881999982</v>
          </cell>
          <cell r="KH85">
            <v>143.54288933999999</v>
          </cell>
          <cell r="KI85">
            <v>28.473251640000001</v>
          </cell>
          <cell r="KJ85">
            <v>1.3895762900000002</v>
          </cell>
          <cell r="KK85">
            <v>11.903523750000003</v>
          </cell>
          <cell r="KL85">
            <v>4.6643610000000002E-2</v>
          </cell>
          <cell r="KM85">
            <v>3.2724942300000004</v>
          </cell>
          <cell r="KN85">
            <v>0.86704966000000006</v>
          </cell>
          <cell r="KO85">
            <v>0.41913426999999998</v>
          </cell>
          <cell r="KP85">
            <v>4.9965000000000001E-3</v>
          </cell>
          <cell r="KQ85">
            <v>263.63027543000004</v>
          </cell>
          <cell r="KR85">
            <v>9.6976000000000007E-2</v>
          </cell>
          <cell r="KS85">
            <v>5.4493420000000001E-2</v>
          </cell>
          <cell r="KT85">
            <v>0.58227790999999995</v>
          </cell>
          <cell r="KU85">
            <v>0.412966</v>
          </cell>
          <cell r="KV85">
            <v>0</v>
          </cell>
          <cell r="KW85">
            <v>2.5763999899999996</v>
          </cell>
          <cell r="KX85">
            <v>0</v>
          </cell>
          <cell r="KY85">
            <v>0</v>
          </cell>
          <cell r="KZ85">
            <v>2.9708612100000003</v>
          </cell>
          <cell r="LA85">
            <v>0.63251843000000008</v>
          </cell>
          <cell r="LB85">
            <v>5.0330529999999998E-2</v>
          </cell>
          <cell r="LC85">
            <v>0.14695530000000001</v>
          </cell>
          <cell r="LD85">
            <v>0</v>
          </cell>
          <cell r="LE85">
            <v>0.56815696000000004</v>
          </cell>
          <cell r="LF85">
            <v>0</v>
          </cell>
          <cell r="LG85">
            <v>23.828582620000002</v>
          </cell>
          <cell r="LH85">
            <v>3.4249882400000002</v>
          </cell>
          <cell r="LI85">
            <v>2.4006859300000003</v>
          </cell>
          <cell r="LJ85">
            <v>0</v>
          </cell>
          <cell r="LK85">
            <v>6.7897798000000007</v>
          </cell>
          <cell r="LL85">
            <v>6.5691069199999994</v>
          </cell>
          <cell r="LM85">
            <v>3.2917525699999999</v>
          </cell>
          <cell r="LN85">
            <v>2.9313999999999998E-3</v>
          </cell>
          <cell r="LO85">
            <v>12.89114653</v>
          </cell>
          <cell r="LQ85">
            <v>5984.8672564199987</v>
          </cell>
          <cell r="LR85">
            <v>8.9491606099999998</v>
          </cell>
          <cell r="LS85">
            <v>37.982258049999999</v>
          </cell>
          <cell r="LT85">
            <v>1.4198493500000002</v>
          </cell>
          <cell r="LU85">
            <v>268.34042300999999</v>
          </cell>
          <cell r="LV85">
            <v>2.5763999899999996</v>
          </cell>
          <cell r="LW85">
            <v>0.68284896000000006</v>
          </cell>
          <cell r="LX85">
            <v>0.56815696000000004</v>
          </cell>
          <cell r="LZ85">
            <v>145.88</v>
          </cell>
          <cell r="MA85">
            <v>127.08</v>
          </cell>
          <cell r="MH85">
            <v>295.24</v>
          </cell>
          <cell r="MI85">
            <v>86.18</v>
          </cell>
          <cell r="MJ85">
            <v>68.2</v>
          </cell>
          <cell r="ML85">
            <v>90.86</v>
          </cell>
          <cell r="MM85">
            <v>192.78</v>
          </cell>
          <cell r="MO85">
            <v>82.15</v>
          </cell>
          <cell r="MP85">
            <v>206.89</v>
          </cell>
          <cell r="MQ85">
            <v>227.93</v>
          </cell>
          <cell r="MU85">
            <v>100.02</v>
          </cell>
          <cell r="MY85">
            <v>274.13</v>
          </cell>
          <cell r="MZ85">
            <v>727</v>
          </cell>
          <cell r="NA85">
            <v>293.89</v>
          </cell>
          <cell r="NB85">
            <v>1049.47</v>
          </cell>
          <cell r="NC85">
            <v>117.5</v>
          </cell>
          <cell r="ND85">
            <v>1069</v>
          </cell>
          <cell r="NE85">
            <v>689.83</v>
          </cell>
        </row>
        <row r="86">
          <cell r="A86">
            <v>44682</v>
          </cell>
          <cell r="B86">
            <v>5</v>
          </cell>
          <cell r="C86">
            <v>2022</v>
          </cell>
          <cell r="D86">
            <v>86</v>
          </cell>
          <cell r="E86">
            <v>44682</v>
          </cell>
          <cell r="F86">
            <v>122.9</v>
          </cell>
          <cell r="G86">
            <v>753.1</v>
          </cell>
          <cell r="H86">
            <v>60360</v>
          </cell>
          <cell r="I86">
            <v>93</v>
          </cell>
          <cell r="J86">
            <v>1280</v>
          </cell>
          <cell r="K86">
            <v>12.5</v>
          </cell>
          <cell r="L86">
            <v>34</v>
          </cell>
          <cell r="N86">
            <v>3.07</v>
          </cell>
          <cell r="O86">
            <v>2.81</v>
          </cell>
          <cell r="P86">
            <v>343.25969999999995</v>
          </cell>
          <cell r="Q86">
            <v>2650</v>
          </cell>
          <cell r="R86">
            <v>26500</v>
          </cell>
          <cell r="S86">
            <v>298.5</v>
          </cell>
          <cell r="T86">
            <v>654.1</v>
          </cell>
          <cell r="U86">
            <v>245.67500000000001</v>
          </cell>
          <cell r="V86">
            <v>427.32666666666665</v>
          </cell>
          <cell r="W86">
            <v>273.36</v>
          </cell>
          <cell r="X86">
            <v>348.995</v>
          </cell>
          <cell r="Y86">
            <v>36685.65</v>
          </cell>
          <cell r="Z86">
            <v>80388.89</v>
          </cell>
          <cell r="AA86">
            <v>30193.457500000004</v>
          </cell>
          <cell r="AB86">
            <v>52518.447333333337</v>
          </cell>
          <cell r="AC86">
            <v>33595.944000000003</v>
          </cell>
          <cell r="AD86">
            <v>42891.485500000003</v>
          </cell>
          <cell r="AE86">
            <v>46045.645722222223</v>
          </cell>
          <cell r="AF86">
            <v>84875.8</v>
          </cell>
          <cell r="AG86">
            <v>46890</v>
          </cell>
          <cell r="AH86">
            <v>178180</v>
          </cell>
          <cell r="AI86">
            <v>63.398000000000003</v>
          </cell>
          <cell r="AJ86">
            <v>73.281199999999998</v>
          </cell>
          <cell r="AK86">
            <v>52.253599999999999</v>
          </cell>
          <cell r="AL86">
            <v>48.6417</v>
          </cell>
          <cell r="AM86">
            <v>57.354272000000009</v>
          </cell>
          <cell r="AN86">
            <v>142.81894736842105</v>
          </cell>
          <cell r="AO86">
            <v>86.66</v>
          </cell>
          <cell r="AP86">
            <v>114.73947368421052</v>
          </cell>
          <cell r="AQ86">
            <v>42.61</v>
          </cell>
          <cell r="AR86">
            <v>57.6</v>
          </cell>
          <cell r="AS86">
            <v>65.328421052631569</v>
          </cell>
          <cell r="AT86">
            <v>95.111999999999995</v>
          </cell>
          <cell r="AU86">
            <v>72.680140350877181</v>
          </cell>
          <cell r="AV86">
            <v>31.74</v>
          </cell>
          <cell r="AW86">
            <v>45.5</v>
          </cell>
          <cell r="AX86">
            <v>40.6</v>
          </cell>
          <cell r="AY86">
            <v>110.09</v>
          </cell>
          <cell r="AZ86">
            <v>83.2</v>
          </cell>
          <cell r="BA86">
            <v>25.44</v>
          </cell>
          <cell r="BB86">
            <v>64.832499999999996</v>
          </cell>
          <cell r="BC86">
            <v>5906</v>
          </cell>
          <cell r="BD86">
            <v>3280</v>
          </cell>
          <cell r="BE86">
            <v>3400</v>
          </cell>
          <cell r="BF86">
            <v>2100</v>
          </cell>
          <cell r="BG86">
            <v>3671.5</v>
          </cell>
          <cell r="BH86">
            <v>287.83</v>
          </cell>
          <cell r="BI86">
            <v>60</v>
          </cell>
          <cell r="BJ86">
            <v>347.83</v>
          </cell>
          <cell r="BK86">
            <v>315.35599999999999</v>
          </cell>
          <cell r="BL86">
            <v>376.39</v>
          </cell>
          <cell r="BM86">
            <v>345.87299999999999</v>
          </cell>
          <cell r="BN86">
            <v>45.52</v>
          </cell>
          <cell r="BO86">
            <v>243.7</v>
          </cell>
          <cell r="BP86">
            <v>144.51</v>
          </cell>
          <cell r="BQ86">
            <v>233.78099999999998</v>
          </cell>
          <cell r="BR86">
            <v>158.56</v>
          </cell>
          <cell r="BS86">
            <v>510</v>
          </cell>
          <cell r="BT86">
            <v>131.50300000000001</v>
          </cell>
          <cell r="BU86">
            <v>6514.509</v>
          </cell>
          <cell r="BV86">
            <v>305.8</v>
          </cell>
          <cell r="BW86">
            <v>500</v>
          </cell>
          <cell r="BY86">
            <v>1774.0817048571998</v>
          </cell>
          <cell r="BZ86">
            <v>1287.0333460381491</v>
          </cell>
          <cell r="CA86">
            <v>1663.6232265763845</v>
          </cell>
          <cell r="CB86">
            <v>1671.3369809053809</v>
          </cell>
          <cell r="CC86">
            <v>1519.7265331195049</v>
          </cell>
          <cell r="CD86">
            <v>1620.8218138369041</v>
          </cell>
          <cell r="CE86">
            <v>1533.7709490406301</v>
          </cell>
          <cell r="CF86">
            <v>1711.0183377062829</v>
          </cell>
          <cell r="CG86">
            <v>1620.0496401975142</v>
          </cell>
          <cell r="CH86">
            <v>1491.0544368694912</v>
          </cell>
          <cell r="CI86">
            <v>1552.2954626719334</v>
          </cell>
          <cell r="CJ86">
            <v>1079.6665855677425</v>
          </cell>
          <cell r="CK86">
            <v>1389.6208405677316</v>
          </cell>
          <cell r="CL86">
            <v>1658.2975745521355</v>
          </cell>
          <cell r="CM86">
            <v>1202.0109640939945</v>
          </cell>
          <cell r="CN86">
            <v>1050.5617834391867</v>
          </cell>
          <cell r="CO86">
            <v>1325.1227906632621</v>
          </cell>
          <cell r="CP86">
            <v>1446.1328385833726</v>
          </cell>
          <cell r="CQ86">
            <v>1157.0028188041383</v>
          </cell>
          <cell r="CR86">
            <v>1158.4689496208634</v>
          </cell>
          <cell r="CS86">
            <v>1157.7358842125009</v>
          </cell>
          <cell r="CT86">
            <v>1131.2273793252639</v>
          </cell>
          <cell r="CU86">
            <v>1306.1044232390832</v>
          </cell>
          <cell r="CV86">
            <v>1315.0908568897742</v>
          </cell>
          <cell r="CW86">
            <v>1315.0908568897742</v>
          </cell>
          <cell r="CX86">
            <v>1312.0953790062104</v>
          </cell>
          <cell r="CY86">
            <v>1002.1452225327188</v>
          </cell>
          <cell r="CZ86">
            <v>1317.7893232606905</v>
          </cell>
          <cell r="DA86">
            <v>1094.4440642432976</v>
          </cell>
          <cell r="DB86">
            <v>1421.4872937638067</v>
          </cell>
          <cell r="DC86">
            <v>1303.3783543891802</v>
          </cell>
          <cell r="DD86">
            <v>1282.1102907091208</v>
          </cell>
          <cell r="DE86">
            <v>1173.6180040024892</v>
          </cell>
          <cell r="DF86">
            <v>1373.3112325547741</v>
          </cell>
          <cell r="DG86">
            <v>1273.4646182786316</v>
          </cell>
          <cell r="DH86">
            <v>1224.4822011610399</v>
          </cell>
          <cell r="DI86">
            <v>1007.0771798495564</v>
          </cell>
          <cell r="DK86">
            <v>500000</v>
          </cell>
          <cell r="DL86" t="str">
            <v>2021-22</v>
          </cell>
          <cell r="DM86">
            <v>200000</v>
          </cell>
          <cell r="DN86" t="str">
            <v>2021-22</v>
          </cell>
          <cell r="DO86">
            <v>1600000</v>
          </cell>
          <cell r="DP86" t="str">
            <v>2021-22</v>
          </cell>
          <cell r="DQ86">
            <v>1900000</v>
          </cell>
          <cell r="DR86" t="str">
            <v>2021-22</v>
          </cell>
          <cell r="DS86">
            <v>7300000</v>
          </cell>
          <cell r="DT86" t="str">
            <v>2021-22</v>
          </cell>
          <cell r="DU86">
            <v>16100000</v>
          </cell>
          <cell r="DV86" t="str">
            <v>2021-22</v>
          </cell>
          <cell r="DW86">
            <v>950000</v>
          </cell>
          <cell r="DX86" t="str">
            <v>2021-22</v>
          </cell>
          <cell r="DY86">
            <v>6750000</v>
          </cell>
          <cell r="DZ86" t="str">
            <v>2021-22</v>
          </cell>
          <cell r="EA86">
            <v>34600000</v>
          </cell>
          <cell r="EB86">
            <v>395000</v>
          </cell>
          <cell r="EC86" t="str">
            <v>2021-22</v>
          </cell>
          <cell r="ED86">
            <v>209277</v>
          </cell>
          <cell r="EE86">
            <v>2022</v>
          </cell>
          <cell r="EF86">
            <v>207047</v>
          </cell>
          <cell r="EG86">
            <v>2022</v>
          </cell>
          <cell r="EH86">
            <v>53416435</v>
          </cell>
          <cell r="EI86">
            <v>2022</v>
          </cell>
          <cell r="EJ86">
            <v>5477107</v>
          </cell>
          <cell r="EK86">
            <v>2022</v>
          </cell>
          <cell r="EL86">
            <v>12461845</v>
          </cell>
          <cell r="EM86">
            <v>2022</v>
          </cell>
          <cell r="EN86">
            <v>3169981</v>
          </cell>
          <cell r="EO86">
            <v>2021</v>
          </cell>
          <cell r="EP86">
            <v>6552</v>
          </cell>
          <cell r="EQ86">
            <v>3500000</v>
          </cell>
          <cell r="ER86">
            <v>74633.333333333328</v>
          </cell>
          <cell r="ET86">
            <v>17456</v>
          </cell>
          <cell r="EU86">
            <v>19445</v>
          </cell>
          <cell r="EV86">
            <v>9018</v>
          </cell>
          <cell r="EW86">
            <v>17386</v>
          </cell>
          <cell r="EX86">
            <v>63305</v>
          </cell>
          <cell r="EY86">
            <v>20049</v>
          </cell>
          <cell r="EZ86">
            <v>33638</v>
          </cell>
          <cell r="FA86">
            <v>19948</v>
          </cell>
          <cell r="FB86">
            <v>15432</v>
          </cell>
          <cell r="FC86">
            <v>35380</v>
          </cell>
          <cell r="FD86">
            <v>56856.849999999991</v>
          </cell>
          <cell r="FF86">
            <v>1100000</v>
          </cell>
          <cell r="FG86" t="str">
            <v>2021-22</v>
          </cell>
          <cell r="FH86">
            <v>1200000</v>
          </cell>
          <cell r="FI86" t="str">
            <v>2021-22</v>
          </cell>
          <cell r="FJ86">
            <v>5200000</v>
          </cell>
          <cell r="FK86" t="str">
            <v>2021-22</v>
          </cell>
          <cell r="FL86">
            <v>3800000</v>
          </cell>
          <cell r="FM86" t="str">
            <v>2021-22</v>
          </cell>
          <cell r="FN86">
            <v>49000000</v>
          </cell>
          <cell r="FO86" t="str">
            <v>2021-22</v>
          </cell>
          <cell r="FP86">
            <v>43500000</v>
          </cell>
          <cell r="FQ86" t="str">
            <v>2021-22</v>
          </cell>
          <cell r="FR86">
            <v>2800000</v>
          </cell>
          <cell r="FS86" t="str">
            <v>2021-22</v>
          </cell>
          <cell r="FT86">
            <v>22100000</v>
          </cell>
          <cell r="FU86" t="str">
            <v>2021-22</v>
          </cell>
          <cell r="FV86">
            <v>126400000</v>
          </cell>
          <cell r="FW86">
            <v>1300000</v>
          </cell>
          <cell r="FX86" t="str">
            <v>2021-22</v>
          </cell>
          <cell r="FY86">
            <v>111132</v>
          </cell>
          <cell r="FZ86">
            <v>733624</v>
          </cell>
          <cell r="GA86" t="str">
            <v>jun21 may22</v>
          </cell>
          <cell r="GB86">
            <v>19368031</v>
          </cell>
          <cell r="GC86">
            <v>2022</v>
          </cell>
          <cell r="GD86">
            <v>2141365</v>
          </cell>
          <cell r="GE86">
            <v>369608</v>
          </cell>
          <cell r="GF86">
            <v>1038163</v>
          </cell>
          <cell r="GG86">
            <v>94581</v>
          </cell>
          <cell r="GH86">
            <v>1502352</v>
          </cell>
          <cell r="GI86">
            <v>1302556</v>
          </cell>
          <cell r="GJ86">
            <v>665558</v>
          </cell>
          <cell r="GK86">
            <v>1393000</v>
          </cell>
          <cell r="GL86">
            <v>300028.90000000002</v>
          </cell>
          <cell r="GM86">
            <v>259304.56</v>
          </cell>
          <cell r="GN86">
            <v>2617891.46</v>
          </cell>
          <cell r="GO86">
            <v>200935</v>
          </cell>
          <cell r="GP86">
            <v>73046</v>
          </cell>
          <cell r="GQ86">
            <v>54749.25</v>
          </cell>
          <cell r="GR86">
            <v>42288</v>
          </cell>
          <cell r="GS86">
            <v>43930.477500000001</v>
          </cell>
          <cell r="GT86">
            <v>2410599</v>
          </cell>
          <cell r="GU86">
            <v>57935</v>
          </cell>
          <cell r="GV86">
            <v>45671</v>
          </cell>
          <cell r="GW86">
            <v>1003879</v>
          </cell>
          <cell r="GX86">
            <v>33063.449999999997</v>
          </cell>
          <cell r="GY86" t="str">
            <v>2021-2022</v>
          </cell>
          <cell r="GZ86">
            <v>91610</v>
          </cell>
          <cell r="HA86">
            <v>267293</v>
          </cell>
          <cell r="HB86">
            <v>3003361</v>
          </cell>
          <cell r="HC86" t="str">
            <v>jun21 may22</v>
          </cell>
          <cell r="HD86">
            <v>64253</v>
          </cell>
          <cell r="HE86">
            <v>695719.95449000015</v>
          </cell>
          <cell r="HF86" t="str">
            <v>jun21 may22</v>
          </cell>
          <cell r="HG86">
            <v>189000</v>
          </cell>
          <cell r="HH86">
            <v>2309594</v>
          </cell>
          <cell r="HI86" t="str">
            <v>jun21 may22</v>
          </cell>
          <cell r="HJ86">
            <v>98084</v>
          </cell>
          <cell r="HK86">
            <v>65621.759999999995</v>
          </cell>
          <cell r="HL86" t="str">
            <v>jun21 may22</v>
          </cell>
          <cell r="HM86">
            <v>2375215.7599999998</v>
          </cell>
          <cell r="HN86">
            <v>4.1163523005141034E-3</v>
          </cell>
          <cell r="HO86">
            <v>903917319.78451228</v>
          </cell>
          <cell r="HP86">
            <v>11613.610470647491</v>
          </cell>
          <cell r="HQ86" t="str">
            <v>jun21 may22</v>
          </cell>
          <cell r="HU86">
            <v>650000</v>
          </cell>
          <cell r="HV86" t="str">
            <v>2021-22</v>
          </cell>
          <cell r="HW86">
            <v>1500000</v>
          </cell>
          <cell r="HX86" t="str">
            <v>2022-23</v>
          </cell>
          <cell r="HY86">
            <v>3850000</v>
          </cell>
          <cell r="HZ86" t="str">
            <v>2021-22</v>
          </cell>
          <cell r="IA86">
            <v>21570000</v>
          </cell>
          <cell r="IB86" t="str">
            <v>2021-22</v>
          </cell>
          <cell r="IC86">
            <v>39940000</v>
          </cell>
          <cell r="ID86" t="str">
            <v>2021-22</v>
          </cell>
          <cell r="IE86">
            <v>800000</v>
          </cell>
          <cell r="IF86" t="str">
            <v>2021-22</v>
          </cell>
          <cell r="IG86">
            <v>7400000</v>
          </cell>
          <cell r="IH86" t="str">
            <v>2022-23</v>
          </cell>
          <cell r="II86">
            <v>75060000</v>
          </cell>
          <cell r="IJ86">
            <v>1.9073407006405101</v>
          </cell>
          <cell r="IK86" t="str">
            <v>2021-22</v>
          </cell>
          <cell r="IL86">
            <v>44.361936471267661</v>
          </cell>
          <cell r="IM86">
            <v>49.05</v>
          </cell>
          <cell r="IN86">
            <v>189</v>
          </cell>
          <cell r="IO86">
            <v>16.57</v>
          </cell>
          <cell r="IP86">
            <v>5.945790982656427</v>
          </cell>
          <cell r="IQ86">
            <v>18</v>
          </cell>
          <cell r="IR86">
            <v>7.01</v>
          </cell>
          <cell r="IS86">
            <v>4.3099999999999996</v>
          </cell>
          <cell r="IT86">
            <v>13.02</v>
          </cell>
          <cell r="IU86">
            <v>1.44</v>
          </cell>
          <cell r="IV86">
            <v>18.77</v>
          </cell>
          <cell r="IY86">
            <v>1.88</v>
          </cell>
          <cell r="IZ86">
            <v>0.3</v>
          </cell>
          <cell r="JA86">
            <v>2813</v>
          </cell>
          <cell r="JF86">
            <v>15.95050312</v>
          </cell>
          <cell r="JG86">
            <v>20.76359953</v>
          </cell>
          <cell r="JH86">
            <v>180.04840300999996</v>
          </cell>
          <cell r="JI86">
            <v>650.40134902999989</v>
          </cell>
          <cell r="JJ86">
            <v>1058.9323495300002</v>
          </cell>
          <cell r="JK86">
            <v>92.158742689999997</v>
          </cell>
          <cell r="JL86">
            <v>3678.2664514499997</v>
          </cell>
          <cell r="JM86">
            <v>102.62731307999999</v>
          </cell>
          <cell r="JN86">
            <v>876.57335135999995</v>
          </cell>
          <cell r="JO86">
            <v>27.118801100000006</v>
          </cell>
          <cell r="JP86">
            <v>0</v>
          </cell>
          <cell r="JQ86">
            <v>8.7600300999999998</v>
          </cell>
          <cell r="JR86">
            <v>2.2753896600000001</v>
          </cell>
          <cell r="JS86">
            <v>0</v>
          </cell>
          <cell r="JT86">
            <v>0.19556223</v>
          </cell>
          <cell r="JU86">
            <v>126.06507717000002</v>
          </cell>
          <cell r="JV86">
            <v>13.427123129999998</v>
          </cell>
          <cell r="JW86">
            <v>25.409563940000002</v>
          </cell>
          <cell r="JX86">
            <v>53.553253949999998</v>
          </cell>
          <cell r="JY86">
            <v>0</v>
          </cell>
          <cell r="JZ86">
            <v>2.0375075499999999</v>
          </cell>
          <cell r="KA86">
            <v>0.26750000000000002</v>
          </cell>
          <cell r="KB86">
            <v>32.281321340000005</v>
          </cell>
          <cell r="KC86">
            <v>15.52836033</v>
          </cell>
          <cell r="KD86">
            <v>11.08275927</v>
          </cell>
          <cell r="KE86">
            <v>34.55168742</v>
          </cell>
          <cell r="KF86">
            <v>47.642593229999996</v>
          </cell>
          <cell r="KG86">
            <v>463.06945083000005</v>
          </cell>
          <cell r="KH86">
            <v>151.50018190000003</v>
          </cell>
          <cell r="KI86">
            <v>23.71802637</v>
          </cell>
          <cell r="KJ86">
            <v>0.90610126000000002</v>
          </cell>
          <cell r="KK86">
            <v>10.17732034</v>
          </cell>
          <cell r="KL86">
            <v>1.6701199999999999E-2</v>
          </cell>
          <cell r="KM86">
            <v>2.09555442</v>
          </cell>
          <cell r="KN86">
            <v>0.19077712000000005</v>
          </cell>
          <cell r="KO86">
            <v>0.58513781999999992</v>
          </cell>
          <cell r="KP86">
            <v>0.51386323</v>
          </cell>
          <cell r="KQ86">
            <v>369.41675496000005</v>
          </cell>
          <cell r="KR86">
            <v>0.13678923999999998</v>
          </cell>
          <cell r="KS86">
            <v>2.7202870000000001E-2</v>
          </cell>
          <cell r="KT86">
            <v>0.7180453</v>
          </cell>
          <cell r="KU86">
            <v>0.71853049999999996</v>
          </cell>
          <cell r="KV86">
            <v>0</v>
          </cell>
          <cell r="KW86">
            <v>1.35731402</v>
          </cell>
          <cell r="KX86">
            <v>0</v>
          </cell>
          <cell r="KY86">
            <v>0</v>
          </cell>
          <cell r="KZ86">
            <v>1.62026545</v>
          </cell>
          <cell r="LA86">
            <v>1.1158689799999999</v>
          </cell>
          <cell r="LB86">
            <v>3.9100999999999997E-2</v>
          </cell>
          <cell r="LC86">
            <v>7.9908520000000011E-2</v>
          </cell>
          <cell r="LD86">
            <v>0</v>
          </cell>
          <cell r="LE86">
            <v>0.13254960000000002</v>
          </cell>
          <cell r="LF86">
            <v>1.6805520000000001E-2</v>
          </cell>
          <cell r="LG86">
            <v>26.685130170000001</v>
          </cell>
          <cell r="LH86">
            <v>5.2735966400000001</v>
          </cell>
          <cell r="LI86">
            <v>4.0283530399999998</v>
          </cell>
          <cell r="LJ86">
            <v>0</v>
          </cell>
          <cell r="LK86">
            <v>3.7076194099999999</v>
          </cell>
          <cell r="LL86">
            <v>11.561262900000001</v>
          </cell>
          <cell r="LM86">
            <v>4.5194618700000007</v>
          </cell>
          <cell r="LN86">
            <v>0.28659749000000001</v>
          </cell>
          <cell r="LO86">
            <v>12.050233429999999</v>
          </cell>
          <cell r="LQ86">
            <v>6546.8492174599996</v>
          </cell>
          <cell r="LR86">
            <v>11.23098199</v>
          </cell>
          <cell r="LS86">
            <v>38.836687069999996</v>
          </cell>
          <cell r="LT86">
            <v>2.30500755</v>
          </cell>
          <cell r="LU86">
            <v>372.45221643000002</v>
          </cell>
          <cell r="LV86">
            <v>1.35731402</v>
          </cell>
          <cell r="LW86">
            <v>1.15496998</v>
          </cell>
          <cell r="LX86">
            <v>0.14935512000000001</v>
          </cell>
          <cell r="LZ86">
            <v>158.24</v>
          </cell>
          <cell r="MA86">
            <v>131.18</v>
          </cell>
          <cell r="MH86">
            <v>301.62</v>
          </cell>
          <cell r="MI86">
            <v>95.25</v>
          </cell>
          <cell r="MJ86">
            <v>71.28</v>
          </cell>
          <cell r="ML86">
            <v>106.92</v>
          </cell>
          <cell r="MM86">
            <v>180.83</v>
          </cell>
          <cell r="MO86">
            <v>81.180000000000007</v>
          </cell>
          <cell r="MP86">
            <v>223.37</v>
          </cell>
          <cell r="MQ86">
            <v>238.3</v>
          </cell>
          <cell r="MU86">
            <v>96.67</v>
          </cell>
          <cell r="MY86">
            <v>294.12</v>
          </cell>
          <cell r="MZ86">
            <v>724</v>
          </cell>
          <cell r="NA86">
            <v>312.37</v>
          </cell>
          <cell r="NB86">
            <v>1095.95</v>
          </cell>
          <cell r="NC86">
            <v>125.69</v>
          </cell>
          <cell r="ND86">
            <v>1130</v>
          </cell>
          <cell r="NE86">
            <v>701.15</v>
          </cell>
        </row>
        <row r="87">
          <cell r="A87">
            <v>44713</v>
          </cell>
          <cell r="B87">
            <v>6</v>
          </cell>
          <cell r="C87">
            <v>2022</v>
          </cell>
          <cell r="D87">
            <v>87</v>
          </cell>
          <cell r="E87">
            <v>44713</v>
          </cell>
          <cell r="F87">
            <v>127.675</v>
          </cell>
          <cell r="G87">
            <v>793</v>
          </cell>
          <cell r="H87">
            <v>60360</v>
          </cell>
          <cell r="I87">
            <v>100</v>
          </cell>
          <cell r="J87">
            <v>985</v>
          </cell>
          <cell r="K87">
            <v>12.5</v>
          </cell>
          <cell r="L87">
            <v>32.700000000000003</v>
          </cell>
          <cell r="N87">
            <v>3.04</v>
          </cell>
          <cell r="O87">
            <v>2.79</v>
          </cell>
          <cell r="P87">
            <v>353.56399375000001</v>
          </cell>
          <cell r="Q87">
            <v>2775</v>
          </cell>
          <cell r="R87">
            <v>27750</v>
          </cell>
          <cell r="S87">
            <v>291.14</v>
          </cell>
          <cell r="T87">
            <v>540.75</v>
          </cell>
          <cell r="U87">
            <v>236.65</v>
          </cell>
          <cell r="V87">
            <v>375.12</v>
          </cell>
          <cell r="W87">
            <v>255.76</v>
          </cell>
          <cell r="X87">
            <v>321.32</v>
          </cell>
          <cell r="Y87">
            <v>37171.299500000001</v>
          </cell>
          <cell r="Z87">
            <v>69040.256249999991</v>
          </cell>
          <cell r="AA87">
            <v>30214.28875</v>
          </cell>
          <cell r="AB87">
            <v>47893.445999999996</v>
          </cell>
          <cell r="AC87">
            <v>32654.157999999999</v>
          </cell>
          <cell r="AD87">
            <v>41024.530999999995</v>
          </cell>
          <cell r="AE87">
            <v>42999.663249999998</v>
          </cell>
          <cell r="AF87">
            <v>89228</v>
          </cell>
          <cell r="AG87">
            <v>46890</v>
          </cell>
          <cell r="AH87">
            <v>178180</v>
          </cell>
          <cell r="AI87">
            <v>71.959999999999994</v>
          </cell>
          <cell r="AJ87">
            <v>59.485900000000001</v>
          </cell>
          <cell r="AK87">
            <v>55.603999999999999</v>
          </cell>
          <cell r="AL87">
            <v>52.398000000000003</v>
          </cell>
          <cell r="AM87">
            <v>62.513595999999993</v>
          </cell>
          <cell r="AN87">
            <v>148.11999999999998</v>
          </cell>
          <cell r="AO87">
            <v>97.45</v>
          </cell>
          <cell r="AP87">
            <v>122.785</v>
          </cell>
          <cell r="AQ87">
            <v>39.39</v>
          </cell>
          <cell r="AR87">
            <v>54.42</v>
          </cell>
          <cell r="AS87">
            <v>46.53</v>
          </cell>
          <cell r="AT87">
            <v>85.96</v>
          </cell>
          <cell r="AU87">
            <v>62.303333333333335</v>
          </cell>
          <cell r="AV87">
            <v>38.119999999999997</v>
          </cell>
          <cell r="AW87">
            <v>48.41</v>
          </cell>
          <cell r="AX87">
            <v>43.85</v>
          </cell>
          <cell r="AY87">
            <v>120.9</v>
          </cell>
          <cell r="AZ87">
            <v>68.59</v>
          </cell>
          <cell r="BA87">
            <v>33.26</v>
          </cell>
          <cell r="BB87">
            <v>66.650000000000006</v>
          </cell>
          <cell r="BC87">
            <v>6260</v>
          </cell>
          <cell r="BD87">
            <v>3580</v>
          </cell>
          <cell r="BE87">
            <v>3200</v>
          </cell>
          <cell r="BF87">
            <v>2100</v>
          </cell>
          <cell r="BG87">
            <v>3785</v>
          </cell>
          <cell r="BH87">
            <v>287.83</v>
          </cell>
          <cell r="BI87">
            <v>60</v>
          </cell>
          <cell r="BJ87">
            <v>347.83</v>
          </cell>
          <cell r="BK87">
            <v>310.54599999999999</v>
          </cell>
          <cell r="BL87">
            <v>371.81</v>
          </cell>
          <cell r="BM87">
            <v>341.178</v>
          </cell>
          <cell r="BN87">
            <v>47.81</v>
          </cell>
          <cell r="BO87">
            <v>254.5</v>
          </cell>
          <cell r="BP87">
            <v>144.51</v>
          </cell>
          <cell r="BQ87">
            <v>243.501</v>
          </cell>
          <cell r="BR87">
            <v>155.23000000000002</v>
          </cell>
          <cell r="BS87">
            <v>620</v>
          </cell>
          <cell r="BT87">
            <v>128.95175</v>
          </cell>
          <cell r="BU87">
            <v>7826.8552499999996</v>
          </cell>
          <cell r="BV87">
            <v>312.5</v>
          </cell>
          <cell r="BW87">
            <v>500</v>
          </cell>
          <cell r="BY87">
            <v>1758.028094984124</v>
          </cell>
          <cell r="BZ87">
            <v>1293.8639985895866</v>
          </cell>
          <cell r="CA87">
            <v>1611.7083336208118</v>
          </cell>
          <cell r="CB87">
            <v>1541.3022656466915</v>
          </cell>
          <cell r="CC87">
            <v>1476.1215043122011</v>
          </cell>
          <cell r="CD87">
            <v>1519.6805035145892</v>
          </cell>
          <cell r="CE87">
            <v>1485.9475429342451</v>
          </cell>
          <cell r="CF87">
            <v>1636.9660386489088</v>
          </cell>
          <cell r="CG87">
            <v>1545.2876981129077</v>
          </cell>
          <cell r="CH87">
            <v>1470.5810889316747</v>
          </cell>
          <cell r="CI87">
            <v>1534.2136408642332</v>
          </cell>
          <cell r="CJ87">
            <v>1081.6819555817269</v>
          </cell>
          <cell r="CK87">
            <v>1380.2196693995149</v>
          </cell>
          <cell r="CL87">
            <v>1660.6300242259149</v>
          </cell>
          <cell r="CM87">
            <v>1132.019379319677</v>
          </cell>
          <cell r="CN87">
            <v>1065.5991487222529</v>
          </cell>
          <cell r="CO87">
            <v>1309.6170554168398</v>
          </cell>
          <cell r="CP87">
            <v>1449.4395004678029</v>
          </cell>
          <cell r="CQ87">
            <v>1147.5500083173713</v>
          </cell>
          <cell r="CR87">
            <v>1160.5337581962824</v>
          </cell>
          <cell r="CS87">
            <v>1154.0418832568268</v>
          </cell>
          <cell r="CT87">
            <v>1116.6046004479324</v>
          </cell>
          <cell r="CU87">
            <v>1276.9734759000207</v>
          </cell>
          <cell r="CV87">
            <v>1265.122850592699</v>
          </cell>
          <cell r="CW87">
            <v>1265.122850592699</v>
          </cell>
          <cell r="CX87">
            <v>1269.0730590284729</v>
          </cell>
          <cell r="CY87">
            <v>995.23447957674853</v>
          </cell>
          <cell r="CZ87">
            <v>1327.0877601542741</v>
          </cell>
          <cell r="DA87">
            <v>1085.1864740071658</v>
          </cell>
          <cell r="DB87">
            <v>1385.4608238799478</v>
          </cell>
          <cell r="DC87">
            <v>1326.064057307404</v>
          </cell>
          <cell r="DD87">
            <v>1293.3893563529527</v>
          </cell>
          <cell r="DE87">
            <v>1174.3102967512243</v>
          </cell>
          <cell r="DF87">
            <v>1378.6845993626039</v>
          </cell>
          <cell r="DG87">
            <v>1276.497448056914</v>
          </cell>
          <cell r="DH87">
            <v>1211.545123027659</v>
          </cell>
          <cell r="DI87">
            <v>1022.0118948231313</v>
          </cell>
          <cell r="DK87">
            <v>500000</v>
          </cell>
          <cell r="DL87" t="str">
            <v>2021-22</v>
          </cell>
          <cell r="DM87">
            <v>200000</v>
          </cell>
          <cell r="DN87" t="str">
            <v>2021-22</v>
          </cell>
          <cell r="DO87">
            <v>1600000</v>
          </cell>
          <cell r="DP87" t="str">
            <v>2021-22</v>
          </cell>
          <cell r="DQ87">
            <v>2000000</v>
          </cell>
          <cell r="DR87" t="str">
            <v>2021-22</v>
          </cell>
          <cell r="DS87">
            <v>7300000</v>
          </cell>
          <cell r="DT87" t="str">
            <v>2021-22</v>
          </cell>
          <cell r="DU87">
            <v>16100000</v>
          </cell>
          <cell r="DV87" t="str">
            <v>2021-22</v>
          </cell>
          <cell r="DW87">
            <v>950000</v>
          </cell>
          <cell r="DX87" t="str">
            <v>2021-22</v>
          </cell>
          <cell r="DY87">
            <v>6450000</v>
          </cell>
          <cell r="DZ87" t="str">
            <v>2022-23</v>
          </cell>
          <cell r="EA87">
            <v>34400000</v>
          </cell>
          <cell r="EB87">
            <v>395000</v>
          </cell>
          <cell r="EC87" t="str">
            <v>2021-22</v>
          </cell>
          <cell r="ED87">
            <v>209277</v>
          </cell>
          <cell r="EE87">
            <v>2022</v>
          </cell>
          <cell r="EF87">
            <v>207047</v>
          </cell>
          <cell r="EG87">
            <v>2022</v>
          </cell>
          <cell r="EH87">
            <v>53416435</v>
          </cell>
          <cell r="EI87">
            <v>2022</v>
          </cell>
          <cell r="EJ87">
            <v>5477107</v>
          </cell>
          <cell r="EK87">
            <v>2022</v>
          </cell>
          <cell r="EL87">
            <v>12461845</v>
          </cell>
          <cell r="EM87">
            <v>2022</v>
          </cell>
          <cell r="EN87">
            <v>3169981</v>
          </cell>
          <cell r="EO87">
            <v>2021</v>
          </cell>
          <cell r="EP87">
            <v>6552</v>
          </cell>
          <cell r="EQ87">
            <v>3500000</v>
          </cell>
          <cell r="ER87">
            <v>74633.333333333328</v>
          </cell>
          <cell r="ET87">
            <v>17456</v>
          </cell>
          <cell r="EU87">
            <v>19445</v>
          </cell>
          <cell r="EV87">
            <v>9018</v>
          </cell>
          <cell r="EW87">
            <v>17386</v>
          </cell>
          <cell r="EX87">
            <v>63305</v>
          </cell>
          <cell r="EY87">
            <v>20049</v>
          </cell>
          <cell r="EZ87">
            <v>33638</v>
          </cell>
          <cell r="FA87">
            <v>19948</v>
          </cell>
          <cell r="FB87">
            <v>15432</v>
          </cell>
          <cell r="FC87">
            <v>35380</v>
          </cell>
          <cell r="FD87">
            <v>56856.849999999991</v>
          </cell>
          <cell r="FF87">
            <v>1100000</v>
          </cell>
          <cell r="FG87" t="str">
            <v>2021-22</v>
          </cell>
          <cell r="FH87">
            <v>1200000</v>
          </cell>
          <cell r="FI87" t="str">
            <v>2021-22</v>
          </cell>
          <cell r="FJ87">
            <v>5200000</v>
          </cell>
          <cell r="FK87" t="str">
            <v>2021-22</v>
          </cell>
          <cell r="FL87">
            <v>4000000</v>
          </cell>
          <cell r="FM87" t="str">
            <v>2021-22</v>
          </cell>
          <cell r="FN87">
            <v>49000000</v>
          </cell>
          <cell r="FO87" t="str">
            <v>2021-22</v>
          </cell>
          <cell r="FP87">
            <v>44000000</v>
          </cell>
          <cell r="FQ87" t="str">
            <v>2021-22</v>
          </cell>
          <cell r="FR87">
            <v>2800000</v>
          </cell>
          <cell r="FS87" t="str">
            <v>2021-22</v>
          </cell>
          <cell r="FT87">
            <v>22100000</v>
          </cell>
          <cell r="FU87" t="str">
            <v>2021-22</v>
          </cell>
          <cell r="FV87">
            <v>127100000</v>
          </cell>
          <cell r="FW87">
            <v>1300000</v>
          </cell>
          <cell r="FX87" t="str">
            <v>2021-22</v>
          </cell>
          <cell r="FY87">
            <v>141646</v>
          </cell>
          <cell r="FZ87">
            <v>761811</v>
          </cell>
          <cell r="GA87" t="str">
            <v>jul21 jun22</v>
          </cell>
          <cell r="GB87">
            <v>19368031</v>
          </cell>
          <cell r="GC87">
            <v>2022</v>
          </cell>
          <cell r="GD87">
            <v>2141365</v>
          </cell>
          <cell r="GE87">
            <v>369608</v>
          </cell>
          <cell r="GF87">
            <v>1038163</v>
          </cell>
          <cell r="GG87">
            <v>94581</v>
          </cell>
          <cell r="GH87">
            <v>1502352</v>
          </cell>
          <cell r="GI87">
            <v>1302556</v>
          </cell>
          <cell r="GJ87">
            <v>665558</v>
          </cell>
          <cell r="GK87">
            <v>1393000</v>
          </cell>
          <cell r="GL87">
            <v>300028.90000000002</v>
          </cell>
          <cell r="GM87">
            <v>259304.56</v>
          </cell>
          <cell r="GN87">
            <v>2617891.46</v>
          </cell>
          <cell r="GO87">
            <v>200935</v>
          </cell>
          <cell r="GP87">
            <v>73046</v>
          </cell>
          <cell r="GQ87">
            <v>31492</v>
          </cell>
          <cell r="GR87">
            <v>42288</v>
          </cell>
          <cell r="GS87">
            <v>43232.76</v>
          </cell>
          <cell r="GT87">
            <v>2410599</v>
          </cell>
          <cell r="GU87">
            <v>41043</v>
          </cell>
          <cell r="GV87">
            <v>35840</v>
          </cell>
          <cell r="GW87">
            <v>1006782</v>
          </cell>
          <cell r="GX87">
            <v>33063.449999999997</v>
          </cell>
          <cell r="GY87" t="str">
            <v>2021-2022</v>
          </cell>
          <cell r="GZ87">
            <v>91610</v>
          </cell>
          <cell r="HA87">
            <v>264744</v>
          </cell>
          <cell r="HB87">
            <v>3017105</v>
          </cell>
          <cell r="HC87" t="str">
            <v>jul21 jun22</v>
          </cell>
          <cell r="HD87">
            <v>59552</v>
          </cell>
          <cell r="HE87">
            <v>692271.95449000015</v>
          </cell>
          <cell r="HF87" t="str">
            <v>jul21 jun22</v>
          </cell>
          <cell r="HG87">
            <v>196000</v>
          </cell>
          <cell r="HH87">
            <v>2307341</v>
          </cell>
          <cell r="HI87" t="str">
            <v>jul21 jun22</v>
          </cell>
          <cell r="HJ87">
            <v>89562</v>
          </cell>
          <cell r="HK87">
            <v>65818.98</v>
          </cell>
          <cell r="HL87" t="str">
            <v>jul21 jun22</v>
          </cell>
          <cell r="HM87">
            <v>2373159.98</v>
          </cell>
          <cell r="HN87">
            <v>-7.0740014626444747E-3</v>
          </cell>
          <cell r="HO87">
            <v>914200000</v>
          </cell>
          <cell r="HP87">
            <v>11607.097344647491</v>
          </cell>
          <cell r="HQ87" t="str">
            <v>jul21 jun22</v>
          </cell>
          <cell r="HU87">
            <v>650000</v>
          </cell>
          <cell r="HV87" t="str">
            <v>2021-22</v>
          </cell>
          <cell r="HW87">
            <v>1500000</v>
          </cell>
          <cell r="HX87" t="str">
            <v>2022-23</v>
          </cell>
          <cell r="HY87">
            <v>3850000</v>
          </cell>
          <cell r="HZ87" t="str">
            <v>2021-22</v>
          </cell>
          <cell r="IA87">
            <v>21570000</v>
          </cell>
          <cell r="IB87" t="str">
            <v>2021-22</v>
          </cell>
          <cell r="IC87">
            <v>39940000</v>
          </cell>
          <cell r="ID87" t="str">
            <v>2021-22</v>
          </cell>
          <cell r="IE87">
            <v>800000</v>
          </cell>
          <cell r="IF87" t="str">
            <v>2021-22</v>
          </cell>
          <cell r="IG87">
            <v>7400000</v>
          </cell>
          <cell r="IH87" t="str">
            <v>2022-23</v>
          </cell>
          <cell r="II87">
            <v>75060000</v>
          </cell>
          <cell r="IJ87">
            <v>1.9073407006405101</v>
          </cell>
          <cell r="IK87" t="str">
            <v>2021-22</v>
          </cell>
          <cell r="IL87">
            <v>45.91</v>
          </cell>
          <cell r="IM87">
            <v>48.58</v>
          </cell>
          <cell r="IN87">
            <v>189</v>
          </cell>
          <cell r="IO87">
            <v>16.71</v>
          </cell>
          <cell r="IP87">
            <v>5.945790982656427</v>
          </cell>
          <cell r="IQ87">
            <v>18</v>
          </cell>
          <cell r="IR87">
            <v>7.01</v>
          </cell>
          <cell r="IS87">
            <v>4.3099999999999996</v>
          </cell>
          <cell r="IT87">
            <v>13.02</v>
          </cell>
          <cell r="IU87">
            <v>1.44</v>
          </cell>
          <cell r="IV87">
            <v>18.77</v>
          </cell>
          <cell r="IY87">
            <v>1.88</v>
          </cell>
          <cell r="IZ87">
            <v>0.3</v>
          </cell>
          <cell r="JA87">
            <v>2813</v>
          </cell>
          <cell r="JF87">
            <v>16.607050090000005</v>
          </cell>
          <cell r="JG87">
            <v>23.805809289999999</v>
          </cell>
          <cell r="JH87">
            <v>262.91201098000005</v>
          </cell>
          <cell r="JI87">
            <v>434.80009145999992</v>
          </cell>
          <cell r="JJ87">
            <v>1035.65314027</v>
          </cell>
          <cell r="JK87">
            <v>82.179019859999997</v>
          </cell>
          <cell r="JL87">
            <v>3620.4473621200004</v>
          </cell>
          <cell r="JM87">
            <v>78.188918950000016</v>
          </cell>
          <cell r="JN87">
            <v>314.45281605000002</v>
          </cell>
          <cell r="JO87">
            <v>28.903680499999997</v>
          </cell>
          <cell r="JP87">
            <v>0</v>
          </cell>
          <cell r="JQ87">
            <v>2.6635128199999998</v>
          </cell>
          <cell r="JR87">
            <v>1.1483088800000001</v>
          </cell>
          <cell r="JS87">
            <v>0</v>
          </cell>
          <cell r="JT87">
            <v>1.5998969999999998E-2</v>
          </cell>
          <cell r="JU87">
            <v>84.697328929999998</v>
          </cell>
          <cell r="JV87">
            <v>8.9380987800000025</v>
          </cell>
          <cell r="JW87">
            <v>19.641265430000001</v>
          </cell>
          <cell r="JX87">
            <v>63.327845620000005</v>
          </cell>
          <cell r="JY87">
            <v>0</v>
          </cell>
          <cell r="JZ87">
            <v>4.0376329900000005</v>
          </cell>
          <cell r="KA87">
            <v>0.26750000000000002</v>
          </cell>
          <cell r="KB87">
            <v>32.140367229999995</v>
          </cell>
          <cell r="KC87">
            <v>15.063954900000001</v>
          </cell>
          <cell r="KD87">
            <v>10.989036779999999</v>
          </cell>
          <cell r="KE87">
            <v>34.492792039999998</v>
          </cell>
          <cell r="KF87">
            <v>52.931487239999996</v>
          </cell>
          <cell r="KG87">
            <v>455.63660227999975</v>
          </cell>
          <cell r="KH87">
            <v>152.44279752</v>
          </cell>
          <cell r="KI87">
            <v>25.793182220000006</v>
          </cell>
          <cell r="KJ87">
            <v>1.1355260499999997</v>
          </cell>
          <cell r="KK87">
            <v>10.549588929999999</v>
          </cell>
          <cell r="KL87">
            <v>1.4073269999999999E-2</v>
          </cell>
          <cell r="KM87">
            <v>0.65185740999999997</v>
          </cell>
          <cell r="KN87">
            <v>3.0550339999999999E-2</v>
          </cell>
          <cell r="KO87">
            <v>3.1024927</v>
          </cell>
          <cell r="KP87">
            <v>8.3099999999999997E-3</v>
          </cell>
          <cell r="KQ87">
            <v>439.78181661999997</v>
          </cell>
          <cell r="KR87">
            <v>0.42382783000000002</v>
          </cell>
          <cell r="KS87">
            <v>9.618583E-2</v>
          </cell>
          <cell r="KT87">
            <v>0.83261881999999998</v>
          </cell>
          <cell r="KU87">
            <v>0.35384690000000002</v>
          </cell>
          <cell r="KV87">
            <v>5.4590769999999997E-2</v>
          </cell>
          <cell r="KW87">
            <v>1.9133048800000001</v>
          </cell>
          <cell r="KX87">
            <v>0</v>
          </cell>
          <cell r="KY87">
            <v>0</v>
          </cell>
          <cell r="KZ87">
            <v>1.8150842000000003</v>
          </cell>
          <cell r="LA87">
            <v>0.72611420999999998</v>
          </cell>
          <cell r="LB87">
            <v>0</v>
          </cell>
          <cell r="LC87">
            <v>9.5043399999999986E-2</v>
          </cell>
          <cell r="LD87">
            <v>0</v>
          </cell>
          <cell r="LE87">
            <v>0.40531137999999994</v>
          </cell>
          <cell r="LF87">
            <v>0.21195844</v>
          </cell>
          <cell r="LG87">
            <v>28.392692970000002</v>
          </cell>
          <cell r="LH87">
            <v>5.6909223499999992</v>
          </cell>
          <cell r="LI87">
            <v>4.0244654899999999</v>
          </cell>
          <cell r="LJ87">
            <v>9.3185999999999998E-3</v>
          </cell>
          <cell r="LK87">
            <v>6.8785433699999992</v>
          </cell>
          <cell r="LL87">
            <v>9.8886848400000016</v>
          </cell>
          <cell r="LM87">
            <v>3.7249795299999997</v>
          </cell>
          <cell r="LN87">
            <v>0.51168631000000009</v>
          </cell>
          <cell r="LO87">
            <v>8.8922827299999998</v>
          </cell>
          <cell r="LQ87">
            <v>5746.4543398300002</v>
          </cell>
          <cell r="LR87">
            <v>3.8278206699999999</v>
          </cell>
          <cell r="LS87">
            <v>28.579364210000001</v>
          </cell>
          <cell r="LT87">
            <v>4.3051329900000006</v>
          </cell>
          <cell r="LU87">
            <v>444.08673073</v>
          </cell>
          <cell r="LV87">
            <v>1.96789565</v>
          </cell>
          <cell r="LW87">
            <v>0.72611420999999998</v>
          </cell>
          <cell r="LX87">
            <v>0.61726981999999997</v>
          </cell>
          <cell r="LZ87">
            <v>167.6</v>
          </cell>
          <cell r="MA87">
            <v>136.94999999999999</v>
          </cell>
          <cell r="MH87">
            <v>311.8</v>
          </cell>
          <cell r="MI87">
            <v>95.24</v>
          </cell>
          <cell r="MJ87">
            <v>86.64</v>
          </cell>
          <cell r="ML87">
            <v>108.35</v>
          </cell>
          <cell r="MM87">
            <v>217.73</v>
          </cell>
          <cell r="MO87">
            <v>87.14</v>
          </cell>
          <cell r="MP87">
            <v>245.18</v>
          </cell>
          <cell r="MQ87">
            <v>244.64</v>
          </cell>
          <cell r="MU87">
            <v>87.35</v>
          </cell>
          <cell r="MY87">
            <v>304.91000000000003</v>
          </cell>
          <cell r="MZ87">
            <v>763</v>
          </cell>
          <cell r="NA87">
            <v>338.59</v>
          </cell>
          <cell r="NB87">
            <v>1108.8399999999999</v>
          </cell>
          <cell r="NC87">
            <v>132.51</v>
          </cell>
          <cell r="ND87">
            <v>1210</v>
          </cell>
          <cell r="NE87">
            <v>699.51</v>
          </cell>
        </row>
        <row r="88">
          <cell r="A88">
            <v>44743</v>
          </cell>
          <cell r="B88">
            <v>7</v>
          </cell>
          <cell r="C88">
            <v>2022</v>
          </cell>
          <cell r="D88">
            <v>88</v>
          </cell>
          <cell r="E88">
            <v>44743</v>
          </cell>
          <cell r="F88">
            <v>134.72999999999999</v>
          </cell>
          <cell r="G88">
            <v>851.8</v>
          </cell>
          <cell r="H88">
            <v>69414</v>
          </cell>
          <cell r="I88">
            <v>142</v>
          </cell>
          <cell r="J88">
            <v>950</v>
          </cell>
          <cell r="K88">
            <v>12.5</v>
          </cell>
          <cell r="L88">
            <v>39.4</v>
          </cell>
          <cell r="N88">
            <v>2.84</v>
          </cell>
          <cell r="O88">
            <v>2.5099999999999998</v>
          </cell>
          <cell r="P88">
            <v>342.38261249999994</v>
          </cell>
          <cell r="Q88">
            <v>3200</v>
          </cell>
          <cell r="R88">
            <v>32000</v>
          </cell>
          <cell r="S88">
            <v>267.14</v>
          </cell>
          <cell r="T88">
            <v>518.19000000000005</v>
          </cell>
          <cell r="U88">
            <v>209.78095238095236</v>
          </cell>
          <cell r="V88">
            <v>353.59523809523807</v>
          </cell>
          <cell r="W88">
            <v>272</v>
          </cell>
          <cell r="X88">
            <v>289.39047619047625</v>
          </cell>
          <cell r="Y88">
            <v>35991.772199999992</v>
          </cell>
          <cell r="Z88">
            <v>69815.738700000002</v>
          </cell>
          <cell r="AA88">
            <v>28263.787714285711</v>
          </cell>
          <cell r="AB88">
            <v>47639.886428571423</v>
          </cell>
          <cell r="AC88">
            <v>36646.559999999998</v>
          </cell>
          <cell r="AD88">
            <v>38989.578857142864</v>
          </cell>
          <cell r="AE88">
            <v>42891.220649999996</v>
          </cell>
          <cell r="AF88">
            <v>93433.619047619053</v>
          </cell>
          <cell r="AG88">
            <v>46890</v>
          </cell>
          <cell r="AH88">
            <v>178180</v>
          </cell>
          <cell r="AI88">
            <v>73.606499999999997</v>
          </cell>
          <cell r="AJ88">
            <v>67.340599999999995</v>
          </cell>
          <cell r="AK88">
            <v>59.837200000000003</v>
          </cell>
          <cell r="AL88">
            <v>53.401699999999998</v>
          </cell>
          <cell r="AM88">
            <v>64.926693999999998</v>
          </cell>
          <cell r="AN88">
            <v>145.8857142857143</v>
          </cell>
          <cell r="AO88">
            <v>99.89</v>
          </cell>
          <cell r="AP88">
            <v>122.88785714285714</v>
          </cell>
          <cell r="AQ88">
            <v>36.659999999999997</v>
          </cell>
          <cell r="AR88">
            <v>52.08</v>
          </cell>
          <cell r="AS88">
            <v>37.44</v>
          </cell>
          <cell r="AT88">
            <v>73.11</v>
          </cell>
          <cell r="AU88">
            <v>54.21</v>
          </cell>
          <cell r="AV88">
            <v>42.57</v>
          </cell>
          <cell r="AW88">
            <v>46.82</v>
          </cell>
          <cell r="AX88">
            <v>92.76</v>
          </cell>
          <cell r="AY88">
            <v>74.84</v>
          </cell>
          <cell r="AZ88">
            <v>59.78</v>
          </cell>
          <cell r="BA88">
            <v>43.34</v>
          </cell>
          <cell r="BB88">
            <v>67.680000000000007</v>
          </cell>
          <cell r="BC88">
            <v>6886</v>
          </cell>
          <cell r="BD88">
            <v>4203</v>
          </cell>
          <cell r="BE88">
            <v>3200</v>
          </cell>
          <cell r="BF88">
            <v>2100</v>
          </cell>
          <cell r="BG88">
            <v>4097.25</v>
          </cell>
          <cell r="BH88">
            <v>287.83</v>
          </cell>
          <cell r="BI88">
            <v>60</v>
          </cell>
          <cell r="BJ88">
            <v>347.83</v>
          </cell>
          <cell r="BK88">
            <v>305.24</v>
          </cell>
          <cell r="BL88">
            <v>376.76</v>
          </cell>
          <cell r="BM88">
            <v>341</v>
          </cell>
          <cell r="BN88">
            <v>50.51</v>
          </cell>
          <cell r="BO88">
            <v>248.3</v>
          </cell>
          <cell r="BP88">
            <v>176.1</v>
          </cell>
          <cell r="BQ88">
            <v>241.08000000000004</v>
          </cell>
          <cell r="BR88">
            <v>209.535</v>
          </cell>
          <cell r="BS88">
            <v>680</v>
          </cell>
          <cell r="BT88">
            <v>187.27469999999997</v>
          </cell>
          <cell r="BU88">
            <v>8721.8240999999998</v>
          </cell>
          <cell r="BV88">
            <v>313.60000000000002</v>
          </cell>
          <cell r="BW88">
            <v>725</v>
          </cell>
          <cell r="BY88">
            <v>1849.2810938936198</v>
          </cell>
          <cell r="BZ88">
            <v>1586.5870197647716</v>
          </cell>
          <cell r="CA88">
            <v>1706.8450725872417</v>
          </cell>
          <cell r="CB88">
            <v>1653.9320164092501</v>
          </cell>
          <cell r="CC88">
            <v>1549.5364147204082</v>
          </cell>
          <cell r="CD88">
            <v>1597.8755453533036</v>
          </cell>
          <cell r="CE88">
            <v>1673.5122694287988</v>
          </cell>
          <cell r="CF88">
            <v>1733.3585994710877</v>
          </cell>
          <cell r="CG88">
            <v>1652.5099863283483</v>
          </cell>
          <cell r="CH88">
            <v>1576.6961229368519</v>
          </cell>
          <cell r="CI88">
            <v>1695.5020743402699</v>
          </cell>
          <cell r="CJ88">
            <v>1212.3029588376876</v>
          </cell>
          <cell r="CK88">
            <v>1761.9704355849301</v>
          </cell>
          <cell r="CL88">
            <v>1581.8988973201374</v>
          </cell>
          <cell r="CM88">
            <v>1225.6297536577365</v>
          </cell>
          <cell r="CN88">
            <v>1231.8932095018292</v>
          </cell>
          <cell r="CO88">
            <v>1450.3480740161583</v>
          </cell>
          <cell r="CP88">
            <v>1660.7233175578947</v>
          </cell>
          <cell r="CQ88">
            <v>1281.1312790684221</v>
          </cell>
          <cell r="CR88">
            <v>1299.8373411212583</v>
          </cell>
          <cell r="CS88">
            <v>1290.4843100948401</v>
          </cell>
          <cell r="CT88">
            <v>1273.339005574514</v>
          </cell>
          <cell r="CU88">
            <v>1420.3049023476215</v>
          </cell>
          <cell r="CV88">
            <v>1399.4717014128785</v>
          </cell>
          <cell r="CW88">
            <v>1399.4717014128785</v>
          </cell>
          <cell r="CX88">
            <v>1406.4161017244594</v>
          </cell>
          <cell r="CY88">
            <v>1131.4719404766777</v>
          </cell>
          <cell r="CZ88">
            <v>1586.2293187042105</v>
          </cell>
          <cell r="DA88">
            <v>1235.259508021782</v>
          </cell>
          <cell r="DB88">
            <v>1497.2669897440453</v>
          </cell>
          <cell r="DC88">
            <v>1367.5163232142322</v>
          </cell>
          <cell r="DD88">
            <v>1328.382267055543</v>
          </cell>
          <cell r="DE88">
            <v>1133.0666888534877</v>
          </cell>
          <cell r="DF88">
            <v>1360.8489109346604</v>
          </cell>
          <cell r="DG88">
            <v>1246.957799894074</v>
          </cell>
          <cell r="DH88">
            <v>1352.8872493577346</v>
          </cell>
          <cell r="DI88">
            <v>1155.4554374095346</v>
          </cell>
          <cell r="DK88">
            <v>500000</v>
          </cell>
          <cell r="DL88" t="str">
            <v>2021-22</v>
          </cell>
          <cell r="DM88">
            <v>200000</v>
          </cell>
          <cell r="DN88" t="str">
            <v>2021-22</v>
          </cell>
          <cell r="DO88">
            <v>1750000</v>
          </cell>
          <cell r="DP88" t="str">
            <v>2022-23</v>
          </cell>
          <cell r="DQ88">
            <v>2000000</v>
          </cell>
          <cell r="DR88" t="str">
            <v>2022-23</v>
          </cell>
          <cell r="DS88">
            <v>7300000</v>
          </cell>
          <cell r="DT88" t="str">
            <v>2021-22</v>
          </cell>
          <cell r="DU88">
            <v>16100000</v>
          </cell>
          <cell r="DV88" t="str">
            <v>2021-22</v>
          </cell>
          <cell r="DW88">
            <v>950000</v>
          </cell>
          <cell r="DX88" t="str">
            <v>2021-22</v>
          </cell>
          <cell r="DY88">
            <v>6100000</v>
          </cell>
          <cell r="DZ88" t="str">
            <v>2022-23</v>
          </cell>
          <cell r="EA88">
            <v>34200000</v>
          </cell>
          <cell r="EB88">
            <v>395000</v>
          </cell>
          <cell r="EC88" t="str">
            <v>2021-22</v>
          </cell>
          <cell r="ED88">
            <v>209277</v>
          </cell>
          <cell r="EE88">
            <v>2022</v>
          </cell>
          <cell r="EF88">
            <v>207047</v>
          </cell>
          <cell r="EG88">
            <v>2022</v>
          </cell>
          <cell r="EH88">
            <v>53416435</v>
          </cell>
          <cell r="EI88">
            <v>2022</v>
          </cell>
          <cell r="EJ88">
            <v>5477107</v>
          </cell>
          <cell r="EK88">
            <v>2022</v>
          </cell>
          <cell r="EL88">
            <v>12461845</v>
          </cell>
          <cell r="EM88">
            <v>2022</v>
          </cell>
          <cell r="EN88">
            <v>3169981</v>
          </cell>
          <cell r="EO88">
            <v>2021</v>
          </cell>
          <cell r="EP88">
            <v>6552</v>
          </cell>
          <cell r="EQ88">
            <v>3500000</v>
          </cell>
          <cell r="ER88">
            <v>74633.333333333328</v>
          </cell>
          <cell r="ET88">
            <v>17456</v>
          </cell>
          <cell r="EU88">
            <v>19445</v>
          </cell>
          <cell r="EV88">
            <v>9018</v>
          </cell>
          <cell r="EW88">
            <v>17386</v>
          </cell>
          <cell r="EX88">
            <v>63305</v>
          </cell>
          <cell r="EY88">
            <v>20049</v>
          </cell>
          <cell r="EZ88">
            <v>33638</v>
          </cell>
          <cell r="FA88">
            <v>19948</v>
          </cell>
          <cell r="FB88">
            <v>15432</v>
          </cell>
          <cell r="FC88">
            <v>35380</v>
          </cell>
          <cell r="FD88">
            <v>56856.849999999991</v>
          </cell>
          <cell r="FF88">
            <v>1100000</v>
          </cell>
          <cell r="FG88" t="str">
            <v>2021-22</v>
          </cell>
          <cell r="FH88">
            <v>1200000</v>
          </cell>
          <cell r="FI88" t="str">
            <v>2021-22</v>
          </cell>
          <cell r="FJ88">
            <v>5200000</v>
          </cell>
          <cell r="FK88" t="str">
            <v>2022-23</v>
          </cell>
          <cell r="FL88">
            <v>4000000</v>
          </cell>
          <cell r="FM88" t="str">
            <v>2021-22</v>
          </cell>
          <cell r="FN88">
            <v>52000000</v>
          </cell>
          <cell r="FO88" t="str">
            <v>2021-22</v>
          </cell>
          <cell r="FP88">
            <v>44000000</v>
          </cell>
          <cell r="FQ88" t="str">
            <v>2021-22</v>
          </cell>
          <cell r="FR88">
            <v>2800000</v>
          </cell>
          <cell r="FS88" t="str">
            <v>2021-22</v>
          </cell>
          <cell r="FT88">
            <v>22100000</v>
          </cell>
          <cell r="FU88" t="str">
            <v>2021-22</v>
          </cell>
          <cell r="FV88">
            <v>130100000</v>
          </cell>
          <cell r="FW88">
            <v>1350000</v>
          </cell>
          <cell r="FX88" t="str">
            <v>2021-22</v>
          </cell>
          <cell r="FY88">
            <v>167736</v>
          </cell>
          <cell r="FZ88">
            <v>793457</v>
          </cell>
          <cell r="GA88" t="str">
            <v>ago21 jul22</v>
          </cell>
          <cell r="GB88">
            <v>19368031</v>
          </cell>
          <cell r="GC88">
            <v>2022</v>
          </cell>
          <cell r="GD88">
            <v>2141365</v>
          </cell>
          <cell r="GE88">
            <v>369608</v>
          </cell>
          <cell r="GF88">
            <v>1038163</v>
          </cell>
          <cell r="GG88">
            <v>94581</v>
          </cell>
          <cell r="GH88">
            <v>1502352</v>
          </cell>
          <cell r="GI88">
            <v>1302556</v>
          </cell>
          <cell r="GJ88">
            <v>665558</v>
          </cell>
          <cell r="GK88">
            <v>1393000</v>
          </cell>
          <cell r="GL88">
            <v>300028.90000000002</v>
          </cell>
          <cell r="GM88">
            <v>259304.56</v>
          </cell>
          <cell r="GN88">
            <v>2617891.46</v>
          </cell>
          <cell r="GO88">
            <v>200935</v>
          </cell>
          <cell r="GP88">
            <v>73046</v>
          </cell>
          <cell r="GQ88">
            <v>22616.75</v>
          </cell>
          <cell r="GR88">
            <v>42288</v>
          </cell>
          <cell r="GS88">
            <v>42966.502500000002</v>
          </cell>
          <cell r="GT88">
            <v>2410599</v>
          </cell>
          <cell r="GU88">
            <v>28284</v>
          </cell>
          <cell r="GV88">
            <v>29695</v>
          </cell>
          <cell r="GW88">
            <v>1002308</v>
          </cell>
          <cell r="GX88">
            <v>33063.449999999997</v>
          </cell>
          <cell r="GY88" t="str">
            <v>2021-2022</v>
          </cell>
          <cell r="GZ88">
            <v>91610</v>
          </cell>
          <cell r="HA88">
            <v>260846</v>
          </cell>
          <cell r="HB88">
            <v>3029626</v>
          </cell>
          <cell r="HC88" t="str">
            <v>ago21 jul22</v>
          </cell>
          <cell r="HD88">
            <v>56980</v>
          </cell>
          <cell r="HE88">
            <v>689139.95449000015</v>
          </cell>
          <cell r="HF88" t="str">
            <v>ago21 jul22</v>
          </cell>
          <cell r="HG88">
            <v>193000</v>
          </cell>
          <cell r="HH88">
            <v>2308505</v>
          </cell>
          <cell r="HI88" t="str">
            <v>ago21 jul22</v>
          </cell>
          <cell r="HJ88">
            <v>83925</v>
          </cell>
          <cell r="HK88">
            <v>65843.88</v>
          </cell>
          <cell r="HL88" t="str">
            <v>ago21 jul22</v>
          </cell>
          <cell r="HM88">
            <v>2374348.88</v>
          </cell>
          <cell r="HN88">
            <v>-9.9069348543980862E-3</v>
          </cell>
          <cell r="HO88">
            <v>989400000</v>
          </cell>
          <cell r="HP88">
            <v>11597.197344647491</v>
          </cell>
          <cell r="HQ88" t="str">
            <v>ago21 jul22</v>
          </cell>
          <cell r="HU88">
            <v>650000</v>
          </cell>
          <cell r="HV88" t="str">
            <v>2021-22</v>
          </cell>
          <cell r="HW88">
            <v>1500000</v>
          </cell>
          <cell r="HX88" t="str">
            <v>2022-23</v>
          </cell>
          <cell r="HY88">
            <v>3850000</v>
          </cell>
          <cell r="HZ88" t="str">
            <v>2021-22</v>
          </cell>
          <cell r="IA88">
            <v>21570000</v>
          </cell>
          <cell r="IB88" t="str">
            <v>2021-22</v>
          </cell>
          <cell r="IC88">
            <v>39940000</v>
          </cell>
          <cell r="ID88" t="str">
            <v>2021-22</v>
          </cell>
          <cell r="IE88">
            <v>800000</v>
          </cell>
          <cell r="IF88" t="str">
            <v>2021-22</v>
          </cell>
          <cell r="IG88">
            <v>7400000</v>
          </cell>
          <cell r="IH88" t="str">
            <v>2022-23</v>
          </cell>
          <cell r="II88">
            <v>75060000</v>
          </cell>
          <cell r="IJ88">
            <v>1.9073407006405101</v>
          </cell>
          <cell r="IK88" t="str">
            <v>2021-22</v>
          </cell>
          <cell r="IL88">
            <v>45.75</v>
          </cell>
          <cell r="IM88">
            <v>48.03</v>
          </cell>
          <cell r="IN88">
            <v>189</v>
          </cell>
          <cell r="IO88">
            <v>16.75</v>
          </cell>
          <cell r="IP88">
            <v>5.945790982656427</v>
          </cell>
          <cell r="IQ88">
            <v>18</v>
          </cell>
          <cell r="IR88">
            <v>7.01</v>
          </cell>
          <cell r="IS88">
            <v>4.3099999999999996</v>
          </cell>
          <cell r="IT88">
            <v>13.02</v>
          </cell>
          <cell r="IU88">
            <v>1.44</v>
          </cell>
          <cell r="IV88">
            <v>18.77</v>
          </cell>
          <cell r="IY88">
            <v>1.88</v>
          </cell>
          <cell r="IZ88">
            <v>0.3</v>
          </cell>
          <cell r="JA88">
            <v>2813</v>
          </cell>
          <cell r="JF88">
            <v>25.470338789999996</v>
          </cell>
          <cell r="JG88">
            <v>27.47614467</v>
          </cell>
          <cell r="JH88">
            <v>114.85580788999998</v>
          </cell>
          <cell r="JI88">
            <v>277.40202591000002</v>
          </cell>
          <cell r="JJ88">
            <v>1506.0506618900001</v>
          </cell>
          <cell r="JK88">
            <v>94.841677119999986</v>
          </cell>
          <cell r="JL88">
            <v>2956.2211988399999</v>
          </cell>
          <cell r="JM88">
            <v>81.599618770000006</v>
          </cell>
          <cell r="JN88">
            <v>259.80581418999992</v>
          </cell>
          <cell r="JO88">
            <v>26.64714219</v>
          </cell>
          <cell r="JP88">
            <v>0</v>
          </cell>
          <cell r="JQ88">
            <v>0.49211517999999999</v>
          </cell>
          <cell r="JR88">
            <v>1.7803756800000001</v>
          </cell>
          <cell r="JS88">
            <v>0</v>
          </cell>
          <cell r="JT88">
            <v>2.5941990000000002E-2</v>
          </cell>
          <cell r="JU88">
            <v>78.75545163000001</v>
          </cell>
          <cell r="JV88">
            <v>6.3224566299999996</v>
          </cell>
          <cell r="JW88">
            <v>10.49385208</v>
          </cell>
          <cell r="JX88">
            <v>40.142925219999995</v>
          </cell>
          <cell r="JY88">
            <v>0</v>
          </cell>
          <cell r="JZ88">
            <v>7.1294078800000005</v>
          </cell>
          <cell r="KA88">
            <v>0.70306007000000004</v>
          </cell>
          <cell r="KB88">
            <v>36.275852910000005</v>
          </cell>
          <cell r="KC88">
            <v>27.075978119999998</v>
          </cell>
          <cell r="KD88">
            <v>7.6485664300000016</v>
          </cell>
          <cell r="KE88">
            <v>25.709158449999997</v>
          </cell>
          <cell r="KF88">
            <v>52.541029930000001</v>
          </cell>
          <cell r="KG88">
            <v>462.76323376000011</v>
          </cell>
          <cell r="KH88">
            <v>192.10888658000002</v>
          </cell>
          <cell r="KI88">
            <v>19.858191740000002</v>
          </cell>
          <cell r="KJ88">
            <v>1.9574107099999998</v>
          </cell>
          <cell r="KK88">
            <v>1.0941888799999999</v>
          </cell>
          <cell r="KL88">
            <v>1.8151110000000002E-2</v>
          </cell>
          <cell r="KM88">
            <v>0.61800074000000005</v>
          </cell>
          <cell r="KN88">
            <v>0.97514743000000004</v>
          </cell>
          <cell r="KO88">
            <v>1.4457998400000001</v>
          </cell>
          <cell r="KP88">
            <v>6.1101999999999997E-2</v>
          </cell>
          <cell r="KQ88">
            <v>261.77861790999998</v>
          </cell>
          <cell r="KR88">
            <v>0</v>
          </cell>
          <cell r="KS88">
            <v>0.26980394000000002</v>
          </cell>
          <cell r="KT88">
            <v>0.47927648999999994</v>
          </cell>
          <cell r="KU88">
            <v>0.96282131000000004</v>
          </cell>
          <cell r="KV88">
            <v>1.0814278700000002</v>
          </cell>
          <cell r="KW88">
            <v>0.92342647</v>
          </cell>
          <cell r="KX88">
            <v>0</v>
          </cell>
          <cell r="KY88">
            <v>0</v>
          </cell>
          <cell r="KZ88">
            <v>1.0900325</v>
          </cell>
          <cell r="LA88">
            <v>0.57011290000000003</v>
          </cell>
          <cell r="LB88">
            <v>0</v>
          </cell>
          <cell r="LC88">
            <v>7.3051290000000005E-2</v>
          </cell>
          <cell r="LD88">
            <v>0</v>
          </cell>
          <cell r="LE88">
            <v>0.39703065999999998</v>
          </cell>
          <cell r="LF88">
            <v>0.1993376</v>
          </cell>
          <cell r="LG88">
            <v>0</v>
          </cell>
          <cell r="LH88">
            <v>3.7131778499999992</v>
          </cell>
          <cell r="LI88">
            <v>3.3605493799999997</v>
          </cell>
          <cell r="LJ88">
            <v>4.7031800000000006E-2</v>
          </cell>
          <cell r="LK88">
            <v>2.4988292100000002</v>
          </cell>
          <cell r="LL88">
            <v>5.3105555200000003</v>
          </cell>
          <cell r="LM88">
            <v>1.9338399900000003</v>
          </cell>
          <cell r="LN88">
            <v>0</v>
          </cell>
          <cell r="LO88">
            <v>6.6386870500000015</v>
          </cell>
          <cell r="LQ88">
            <v>5195.93512749</v>
          </cell>
          <cell r="LR88">
            <v>2.2984328500000002</v>
          </cell>
          <cell r="LS88">
            <v>16.816308710000001</v>
          </cell>
          <cell r="LT88">
            <v>7.8324679500000007</v>
          </cell>
          <cell r="LU88">
            <v>265.08736985999997</v>
          </cell>
          <cell r="LV88">
            <v>2.0048543400000001</v>
          </cell>
          <cell r="LW88">
            <v>0.57011290000000003</v>
          </cell>
          <cell r="LX88">
            <v>0.59636825999999998</v>
          </cell>
          <cell r="LZ88">
            <v>187.26</v>
          </cell>
          <cell r="MA88">
            <v>137.75</v>
          </cell>
          <cell r="MH88">
            <v>327.39</v>
          </cell>
          <cell r="MI88">
            <v>107.06</v>
          </cell>
          <cell r="MJ88">
            <v>91.32</v>
          </cell>
          <cell r="ML88">
            <v>171.06</v>
          </cell>
          <cell r="MM88">
            <v>175.3</v>
          </cell>
          <cell r="MO88">
            <v>103.15</v>
          </cell>
          <cell r="MP88">
            <v>265.85000000000002</v>
          </cell>
          <cell r="MQ88">
            <v>268.36</v>
          </cell>
          <cell r="MU88">
            <v>87.9</v>
          </cell>
          <cell r="MY88">
            <v>318.01</v>
          </cell>
          <cell r="MZ88">
            <v>775</v>
          </cell>
          <cell r="NA88">
            <v>353.12</v>
          </cell>
          <cell r="NB88">
            <v>1108.17</v>
          </cell>
          <cell r="NC88">
            <v>142.41999999999999</v>
          </cell>
          <cell r="ND88">
            <v>1400</v>
          </cell>
          <cell r="NE88">
            <v>755.06</v>
          </cell>
        </row>
        <row r="89">
          <cell r="A89">
            <v>44774</v>
          </cell>
          <cell r="B89">
            <v>8</v>
          </cell>
          <cell r="C89">
            <v>2022</v>
          </cell>
          <cell r="D89">
            <v>89</v>
          </cell>
          <cell r="E89">
            <v>44774</v>
          </cell>
          <cell r="F89">
            <v>141.47999999999999</v>
          </cell>
          <cell r="G89">
            <v>911.1</v>
          </cell>
          <cell r="H89">
            <v>90238.2</v>
          </cell>
          <cell r="I89">
            <v>132</v>
          </cell>
          <cell r="J89">
            <v>950</v>
          </cell>
          <cell r="K89">
            <v>12.5</v>
          </cell>
          <cell r="L89">
            <v>34.200000000000003</v>
          </cell>
          <cell r="N89">
            <v>2.75</v>
          </cell>
          <cell r="O89">
            <v>2.31</v>
          </cell>
          <cell r="P89">
            <v>340.04718000000003</v>
          </cell>
          <cell r="Q89">
            <v>3400</v>
          </cell>
          <cell r="R89">
            <v>34000</v>
          </cell>
          <cell r="S89">
            <v>240</v>
          </cell>
          <cell r="T89">
            <v>508</v>
          </cell>
          <cell r="U89">
            <v>222.25</v>
          </cell>
          <cell r="V89">
            <v>361.56818181818181</v>
          </cell>
          <cell r="W89">
            <v>282</v>
          </cell>
          <cell r="X89">
            <v>283.42272727272729</v>
          </cell>
          <cell r="Y89">
            <v>33955.199999999997</v>
          </cell>
          <cell r="Z89">
            <v>71871.839999999997</v>
          </cell>
          <cell r="AA89">
            <v>31443.929999999997</v>
          </cell>
          <cell r="AB89">
            <v>51154.666363636359</v>
          </cell>
          <cell r="AC89">
            <v>39897.360000000001</v>
          </cell>
          <cell r="AD89">
            <v>40098.647454545455</v>
          </cell>
          <cell r="AE89">
            <v>44736.94063636363</v>
          </cell>
          <cell r="AF89">
            <v>98257.181818181823</v>
          </cell>
          <cell r="AG89">
            <v>46890</v>
          </cell>
          <cell r="AH89">
            <v>178180</v>
          </cell>
          <cell r="AI89">
            <v>78.4221</v>
          </cell>
          <cell r="AJ89">
            <v>55.575800000000001</v>
          </cell>
          <cell r="AK89">
            <v>52.671300000000002</v>
          </cell>
          <cell r="AL89">
            <v>44.778300000000002</v>
          </cell>
          <cell r="AM89">
            <v>62.738528000000009</v>
          </cell>
          <cell r="AN89">
            <v>161.38142857142853</v>
          </cell>
          <cell r="AO89">
            <v>91.72</v>
          </cell>
          <cell r="AP89">
            <v>126.55071428571426</v>
          </cell>
          <cell r="AQ89">
            <v>39.36</v>
          </cell>
          <cell r="AR89">
            <v>61</v>
          </cell>
          <cell r="AS89">
            <v>54.68</v>
          </cell>
          <cell r="AT89">
            <v>72.31</v>
          </cell>
          <cell r="AU89">
            <v>62.663333333333334</v>
          </cell>
          <cell r="AV89">
            <v>61.55</v>
          </cell>
          <cell r="AW89">
            <v>55.66</v>
          </cell>
          <cell r="AX89">
            <v>152.99</v>
          </cell>
          <cell r="AY89">
            <v>103.97</v>
          </cell>
          <cell r="AZ89">
            <v>60.99</v>
          </cell>
          <cell r="BA89">
            <v>62.56</v>
          </cell>
          <cell r="BB89">
            <v>95.127500000000012</v>
          </cell>
          <cell r="BC89">
            <v>7231</v>
          </cell>
          <cell r="BD89">
            <v>4203</v>
          </cell>
          <cell r="BE89">
            <v>4200</v>
          </cell>
          <cell r="BF89">
            <v>2500</v>
          </cell>
          <cell r="BG89">
            <v>4533.5</v>
          </cell>
          <cell r="BH89">
            <v>287.83</v>
          </cell>
          <cell r="BI89">
            <v>60</v>
          </cell>
          <cell r="BJ89">
            <v>347.83</v>
          </cell>
          <cell r="BK89">
            <v>317.37200000000001</v>
          </cell>
          <cell r="BL89">
            <v>416.11</v>
          </cell>
          <cell r="BM89">
            <v>366.74099999999999</v>
          </cell>
          <cell r="BN89">
            <v>52.58</v>
          </cell>
          <cell r="BO89">
            <v>266.3</v>
          </cell>
          <cell r="BP89">
            <v>211.77</v>
          </cell>
          <cell r="BQ89">
            <v>260.84700000000004</v>
          </cell>
          <cell r="BR89">
            <v>210.1</v>
          </cell>
          <cell r="BS89">
            <v>700</v>
          </cell>
          <cell r="BT89">
            <v>135.82079999999999</v>
          </cell>
          <cell r="BU89">
            <v>8807.4624000000003</v>
          </cell>
          <cell r="BV89">
            <v>319</v>
          </cell>
          <cell r="BW89">
            <v>725</v>
          </cell>
          <cell r="BY89">
            <v>1939.8117953897377</v>
          </cell>
          <cell r="BZ89">
            <v>1611.4679755524294</v>
          </cell>
          <cell r="CA89">
            <v>1727.7897107395017</v>
          </cell>
          <cell r="CB89">
            <v>1696.7716353224901</v>
          </cell>
          <cell r="CC89">
            <v>1615.8414066575683</v>
          </cell>
          <cell r="CD89">
            <v>1672.955335915173</v>
          </cell>
          <cell r="CE89">
            <v>1732.5527602348302</v>
          </cell>
          <cell r="CF89">
            <v>1785.3274911359827</v>
          </cell>
          <cell r="CG89">
            <v>1705.2063900009243</v>
          </cell>
          <cell r="CH89">
            <v>1641.4294218318812</v>
          </cell>
          <cell r="CI89">
            <v>1854.3569399757941</v>
          </cell>
          <cell r="CJ89">
            <v>1393.0043887314757</v>
          </cell>
          <cell r="CK89">
            <v>2138.1287829399389</v>
          </cell>
          <cell r="CL89">
            <v>1785.8024782628909</v>
          </cell>
          <cell r="CM89">
            <v>1329.8229597830427</v>
          </cell>
          <cell r="CN89">
            <v>1433.1276216898641</v>
          </cell>
          <cell r="CO89">
            <v>1671.7204606689343</v>
          </cell>
          <cell r="CP89">
            <v>1764.0305541231219</v>
          </cell>
          <cell r="CQ89">
            <v>1436.7347625457066</v>
          </cell>
          <cell r="CR89">
            <v>1429.0019433209518</v>
          </cell>
          <cell r="CS89">
            <v>1432.8683529333293</v>
          </cell>
          <cell r="CT89">
            <v>1394.447887338235</v>
          </cell>
          <cell r="CU89">
            <v>1547.7305587120145</v>
          </cell>
          <cell r="CV89">
            <v>1537.826545745151</v>
          </cell>
          <cell r="CW89">
            <v>1537.826545745151</v>
          </cell>
          <cell r="CX89">
            <v>1541.1278834007719</v>
          </cell>
          <cell r="CY89">
            <v>1319.0276782679316</v>
          </cell>
          <cell r="CZ89">
            <v>1775.517992199708</v>
          </cell>
          <cell r="DA89">
            <v>1430.410974064841</v>
          </cell>
          <cell r="DB89">
            <v>1641.2962036189533</v>
          </cell>
          <cell r="DC89">
            <v>1497.2529084009821</v>
          </cell>
          <cell r="DD89">
            <v>1463.3599008013075</v>
          </cell>
          <cell r="DE89">
            <v>1292.9832383683433</v>
          </cell>
          <cell r="DF89">
            <v>1513.9113731152324</v>
          </cell>
          <cell r="DG89">
            <v>1403.4473057417879</v>
          </cell>
          <cell r="DH89">
            <v>1506.7077041108976</v>
          </cell>
          <cell r="DI89">
            <v>1343.2678492299697</v>
          </cell>
          <cell r="DK89">
            <v>500000</v>
          </cell>
          <cell r="DL89" t="str">
            <v>2021-22</v>
          </cell>
          <cell r="DM89">
            <v>200000</v>
          </cell>
          <cell r="DN89" t="str">
            <v>2022-23</v>
          </cell>
          <cell r="DO89">
            <v>1750000</v>
          </cell>
          <cell r="DP89" t="str">
            <v>2022-23</v>
          </cell>
          <cell r="DQ89">
            <v>2200000</v>
          </cell>
          <cell r="DR89" t="str">
            <v>2022-23</v>
          </cell>
          <cell r="DS89">
            <v>7440000</v>
          </cell>
          <cell r="DT89" t="str">
            <v>2021-22</v>
          </cell>
          <cell r="DU89">
            <v>16100000</v>
          </cell>
          <cell r="DV89" t="str">
            <v>2021-22</v>
          </cell>
          <cell r="DW89">
            <v>950000</v>
          </cell>
          <cell r="DX89" t="str">
            <v>2021-22</v>
          </cell>
          <cell r="DY89">
            <v>6100000</v>
          </cell>
          <cell r="DZ89" t="str">
            <v>2022-23</v>
          </cell>
          <cell r="EA89">
            <v>34540000</v>
          </cell>
          <cell r="EB89">
            <v>395000</v>
          </cell>
          <cell r="EC89" t="str">
            <v>2021-22</v>
          </cell>
          <cell r="ED89">
            <v>209277</v>
          </cell>
          <cell r="EE89">
            <v>2022</v>
          </cell>
          <cell r="EF89">
            <v>207047</v>
          </cell>
          <cell r="EG89">
            <v>2022</v>
          </cell>
          <cell r="EH89">
            <v>53416435</v>
          </cell>
          <cell r="EI89">
            <v>2022</v>
          </cell>
          <cell r="EJ89">
            <v>5477107</v>
          </cell>
          <cell r="EK89">
            <v>2022</v>
          </cell>
          <cell r="EL89">
            <v>12461845</v>
          </cell>
          <cell r="EM89">
            <v>2022</v>
          </cell>
          <cell r="EN89">
            <v>3169981</v>
          </cell>
          <cell r="EO89">
            <v>2021</v>
          </cell>
          <cell r="EP89">
            <v>6552</v>
          </cell>
          <cell r="EQ89">
            <v>3500000</v>
          </cell>
          <cell r="ER89">
            <v>74633.333333333328</v>
          </cell>
          <cell r="ET89">
            <v>17456</v>
          </cell>
          <cell r="EU89">
            <v>19445</v>
          </cell>
          <cell r="EV89">
            <v>9018</v>
          </cell>
          <cell r="EW89">
            <v>17386</v>
          </cell>
          <cell r="EX89">
            <v>63305</v>
          </cell>
          <cell r="EY89">
            <v>20049</v>
          </cell>
          <cell r="EZ89">
            <v>33638</v>
          </cell>
          <cell r="FA89">
            <v>19948</v>
          </cell>
          <cell r="FB89">
            <v>15432</v>
          </cell>
          <cell r="FC89">
            <v>35380</v>
          </cell>
          <cell r="FD89">
            <v>56856.849999999991</v>
          </cell>
          <cell r="FF89">
            <v>1100000</v>
          </cell>
          <cell r="FG89" t="str">
            <v>2021-22</v>
          </cell>
          <cell r="FH89">
            <v>1200000</v>
          </cell>
          <cell r="FI89" t="str">
            <v>2021-22</v>
          </cell>
          <cell r="FJ89">
            <v>5200000</v>
          </cell>
          <cell r="FK89" t="str">
            <v>2021-22</v>
          </cell>
          <cell r="FL89">
            <v>4000000</v>
          </cell>
          <cell r="FM89" t="str">
            <v>2021-22</v>
          </cell>
          <cell r="FN89">
            <v>52000000</v>
          </cell>
          <cell r="FO89" t="str">
            <v>2021-22</v>
          </cell>
          <cell r="FP89">
            <v>44000000</v>
          </cell>
          <cell r="FQ89" t="str">
            <v>2021-22</v>
          </cell>
          <cell r="FR89">
            <v>2800000</v>
          </cell>
          <cell r="FS89" t="str">
            <v>2021-22</v>
          </cell>
          <cell r="FT89">
            <v>22100000</v>
          </cell>
          <cell r="FU89" t="str">
            <v>2021-22</v>
          </cell>
          <cell r="FV89">
            <v>130100000</v>
          </cell>
          <cell r="FW89">
            <v>1350000</v>
          </cell>
          <cell r="FX89" t="str">
            <v>2021-22</v>
          </cell>
          <cell r="FY89">
            <v>168552</v>
          </cell>
          <cell r="FZ89">
            <v>830979</v>
          </cell>
          <cell r="GA89" t="str">
            <v>sept21 ago22</v>
          </cell>
          <cell r="GB89">
            <v>19368031</v>
          </cell>
          <cell r="GC89">
            <v>2022</v>
          </cell>
          <cell r="GD89">
            <v>2141365</v>
          </cell>
          <cell r="GE89">
            <v>369608</v>
          </cell>
          <cell r="GF89">
            <v>1038163</v>
          </cell>
          <cell r="GG89">
            <v>94581</v>
          </cell>
          <cell r="GH89">
            <v>1502352</v>
          </cell>
          <cell r="GI89">
            <v>1302556</v>
          </cell>
          <cell r="GJ89">
            <v>665558</v>
          </cell>
          <cell r="GK89">
            <v>1393000</v>
          </cell>
          <cell r="GL89">
            <v>300028.90000000002</v>
          </cell>
          <cell r="GM89">
            <v>259304.56</v>
          </cell>
          <cell r="GN89">
            <v>2617891.46</v>
          </cell>
          <cell r="GO89">
            <v>200935</v>
          </cell>
          <cell r="GP89">
            <v>73046</v>
          </cell>
          <cell r="GQ89">
            <v>28617.25</v>
          </cell>
          <cell r="GR89">
            <v>42288</v>
          </cell>
          <cell r="GS89">
            <v>43146.517500000002</v>
          </cell>
          <cell r="GT89">
            <v>2410599</v>
          </cell>
          <cell r="GU89">
            <v>26652</v>
          </cell>
          <cell r="GV89">
            <v>28139</v>
          </cell>
          <cell r="GW89">
            <v>1001580</v>
          </cell>
          <cell r="GX89">
            <v>33063.449999999997</v>
          </cell>
          <cell r="GY89" t="str">
            <v>2021-2022</v>
          </cell>
          <cell r="GZ89">
            <v>91610</v>
          </cell>
          <cell r="HA89">
            <v>289967</v>
          </cell>
          <cell r="HB89">
            <v>3052593</v>
          </cell>
          <cell r="HC89" t="str">
            <v>sept21 ago22</v>
          </cell>
          <cell r="HD89">
            <v>57705</v>
          </cell>
          <cell r="HE89">
            <v>687489.95449000015</v>
          </cell>
          <cell r="HF89" t="str">
            <v>sept21 ago22</v>
          </cell>
          <cell r="HG89">
            <v>206000</v>
          </cell>
          <cell r="HH89">
            <v>2316709</v>
          </cell>
          <cell r="HI89" t="str">
            <v>sept21 ago22</v>
          </cell>
          <cell r="HJ89">
            <v>94247</v>
          </cell>
          <cell r="HK89">
            <v>66234.48</v>
          </cell>
          <cell r="HL89" t="str">
            <v>sept21 ago22</v>
          </cell>
          <cell r="HM89">
            <v>2382943.48</v>
          </cell>
          <cell r="HN89">
            <v>6.5646286668175069E-3</v>
          </cell>
          <cell r="HO89">
            <v>1062000000</v>
          </cell>
          <cell r="HP89">
            <v>11604.12351257115</v>
          </cell>
          <cell r="HQ89" t="str">
            <v>sept21 ago22</v>
          </cell>
          <cell r="HU89">
            <v>650000</v>
          </cell>
          <cell r="HV89" t="str">
            <v>2021-22</v>
          </cell>
          <cell r="HW89">
            <v>1500000</v>
          </cell>
          <cell r="HX89" t="str">
            <v>2022-23</v>
          </cell>
          <cell r="HY89">
            <v>3850000</v>
          </cell>
          <cell r="HZ89" t="str">
            <v>2021-22</v>
          </cell>
          <cell r="IA89">
            <v>21570000</v>
          </cell>
          <cell r="IB89" t="str">
            <v>2021-22</v>
          </cell>
          <cell r="IC89">
            <v>39940000</v>
          </cell>
          <cell r="ID89" t="str">
            <v>2021-22</v>
          </cell>
          <cell r="IE89">
            <v>800000</v>
          </cell>
          <cell r="IF89" t="str">
            <v>2021-22</v>
          </cell>
          <cell r="IG89">
            <v>7400000</v>
          </cell>
          <cell r="IH89" t="str">
            <v>2022-23</v>
          </cell>
          <cell r="II89">
            <v>75060000</v>
          </cell>
          <cell r="IJ89">
            <v>1.9073407006405101</v>
          </cell>
          <cell r="IK89" t="str">
            <v>2021-22</v>
          </cell>
          <cell r="IL89">
            <v>47.03</v>
          </cell>
          <cell r="IM89">
            <v>48.17</v>
          </cell>
          <cell r="IN89">
            <v>189</v>
          </cell>
          <cell r="IO89">
            <v>16.84</v>
          </cell>
          <cell r="IP89">
            <v>5.945790982656427</v>
          </cell>
          <cell r="IQ89">
            <v>18</v>
          </cell>
          <cell r="IR89">
            <v>7.01</v>
          </cell>
          <cell r="IS89">
            <v>4.3099999999999996</v>
          </cell>
          <cell r="IT89">
            <v>13.02</v>
          </cell>
          <cell r="IU89">
            <v>1.44</v>
          </cell>
          <cell r="IV89">
            <v>18.77</v>
          </cell>
          <cell r="IY89">
            <v>1.88</v>
          </cell>
          <cell r="IZ89">
            <v>0.3</v>
          </cell>
          <cell r="JA89">
            <v>2813</v>
          </cell>
          <cell r="JF89">
            <v>23.329000269999998</v>
          </cell>
          <cell r="JG89">
            <v>19.108820979999997</v>
          </cell>
          <cell r="JH89">
            <v>169.11540915</v>
          </cell>
          <cell r="JI89">
            <v>296.48310724999999</v>
          </cell>
          <cell r="JJ89">
            <v>1240.42297536</v>
          </cell>
          <cell r="JK89">
            <v>127.03001287000001</v>
          </cell>
          <cell r="JL89">
            <v>2621.1182807500004</v>
          </cell>
          <cell r="JM89">
            <v>63.320832899999999</v>
          </cell>
          <cell r="JN89">
            <v>222.06458826999994</v>
          </cell>
          <cell r="JO89">
            <v>29.175893349999999</v>
          </cell>
          <cell r="JP89">
            <v>0</v>
          </cell>
          <cell r="JQ89">
            <v>0.09</v>
          </cell>
          <cell r="JR89">
            <v>2.4180452200000002</v>
          </cell>
          <cell r="JS89">
            <v>0</v>
          </cell>
          <cell r="JT89">
            <v>2.5000000000000001E-3</v>
          </cell>
          <cell r="JU89">
            <v>110.27898059000003</v>
          </cell>
          <cell r="JV89">
            <v>7.1786638400000014</v>
          </cell>
          <cell r="JW89">
            <v>11.40793408</v>
          </cell>
          <cell r="JX89">
            <v>28.613354270000002</v>
          </cell>
          <cell r="JY89">
            <v>0</v>
          </cell>
          <cell r="JZ89">
            <v>10.484147370000001</v>
          </cell>
          <cell r="KA89">
            <v>0.43</v>
          </cell>
          <cell r="KB89">
            <v>25.822628249999998</v>
          </cell>
          <cell r="KC89">
            <v>50.373202669999998</v>
          </cell>
          <cell r="KD89">
            <v>9.5575243299999997</v>
          </cell>
          <cell r="KE89">
            <v>28.34616364</v>
          </cell>
          <cell r="KF89">
            <v>63.168661010000001</v>
          </cell>
          <cell r="KG89">
            <v>444.66007973000006</v>
          </cell>
          <cell r="KH89">
            <v>146.24437125</v>
          </cell>
          <cell r="KI89">
            <v>17.39120926</v>
          </cell>
          <cell r="KJ89">
            <v>1.1669562900000001</v>
          </cell>
          <cell r="KK89">
            <v>11.783992419999999</v>
          </cell>
          <cell r="KL89">
            <v>0.13118235</v>
          </cell>
          <cell r="KM89">
            <v>0.72074908999999998</v>
          </cell>
          <cell r="KN89">
            <v>0.80737526000000004</v>
          </cell>
          <cell r="KO89">
            <v>0.89051382000000012</v>
          </cell>
          <cell r="KP89">
            <v>1.9724599999999998E-2</v>
          </cell>
          <cell r="KQ89">
            <v>224.5477277</v>
          </cell>
          <cell r="KR89">
            <v>0.24020184000000003</v>
          </cell>
          <cell r="KS89">
            <v>0.21892792</v>
          </cell>
          <cell r="KT89">
            <v>0.66552862999999995</v>
          </cell>
          <cell r="KU89">
            <v>0.90545438</v>
          </cell>
          <cell r="KV89">
            <v>3.3594815800000002</v>
          </cell>
          <cell r="KW89">
            <v>2.0751915899999998</v>
          </cell>
          <cell r="KX89">
            <v>0</v>
          </cell>
          <cell r="KY89">
            <v>7.8E-2</v>
          </cell>
          <cell r="KZ89">
            <v>1.8506322900000001</v>
          </cell>
          <cell r="LA89">
            <v>0.72330915000000007</v>
          </cell>
          <cell r="LB89">
            <v>0</v>
          </cell>
          <cell r="LC89">
            <v>0.16657689000000001</v>
          </cell>
          <cell r="LD89">
            <v>0</v>
          </cell>
          <cell r="LE89">
            <v>5.6926980000000002E-2</v>
          </cell>
          <cell r="LF89">
            <v>0</v>
          </cell>
          <cell r="LG89">
            <v>24.868573239999996</v>
          </cell>
          <cell r="LH89">
            <v>5.2497219499999996</v>
          </cell>
          <cell r="LI89">
            <v>5.4787536300000008</v>
          </cell>
          <cell r="LJ89">
            <v>0</v>
          </cell>
          <cell r="LK89">
            <v>3.76265019</v>
          </cell>
          <cell r="LL89">
            <v>13.413963769999999</v>
          </cell>
          <cell r="LM89">
            <v>4.1067614599999995</v>
          </cell>
          <cell r="LN89">
            <v>0.17288594000000002</v>
          </cell>
          <cell r="LO89">
            <v>4.9460771399999999</v>
          </cell>
          <cell r="LQ89">
            <v>4612.5251936800005</v>
          </cell>
          <cell r="LR89">
            <v>2.51054522</v>
          </cell>
          <cell r="LS89">
            <v>18.586597920000003</v>
          </cell>
          <cell r="LT89">
            <v>10.91414737</v>
          </cell>
          <cell r="LU89">
            <v>227.42549563</v>
          </cell>
          <cell r="LV89">
            <v>5.5126731700000002</v>
          </cell>
          <cell r="LW89">
            <v>0.72330915000000007</v>
          </cell>
          <cell r="LX89">
            <v>5.6926980000000002E-2</v>
          </cell>
          <cell r="LZ89">
            <v>215.9</v>
          </cell>
          <cell r="MA89">
            <v>143.83000000000001</v>
          </cell>
          <cell r="MH89">
            <v>343.1</v>
          </cell>
          <cell r="MI89">
            <v>114.41</v>
          </cell>
          <cell r="MJ89">
            <v>120.84</v>
          </cell>
          <cell r="ML89">
            <v>273.74</v>
          </cell>
          <cell r="MM89">
            <v>209.39</v>
          </cell>
          <cell r="MO89">
            <v>117.83</v>
          </cell>
          <cell r="MP89">
            <v>280.89</v>
          </cell>
          <cell r="MQ89">
            <v>290.95999999999998</v>
          </cell>
          <cell r="MU89">
            <v>98.34</v>
          </cell>
          <cell r="MY89">
            <v>331.84</v>
          </cell>
          <cell r="MZ89">
            <v>811</v>
          </cell>
          <cell r="NA89">
            <v>365.8</v>
          </cell>
          <cell r="NB89">
            <v>1113.06</v>
          </cell>
          <cell r="NC89">
            <v>153.88999999999999</v>
          </cell>
          <cell r="ND89">
            <v>1390</v>
          </cell>
          <cell r="NE89">
            <v>821.93</v>
          </cell>
        </row>
        <row r="90">
          <cell r="A90">
            <v>44805</v>
          </cell>
          <cell r="B90">
            <v>9</v>
          </cell>
          <cell r="C90">
            <v>2022</v>
          </cell>
          <cell r="D90">
            <v>90</v>
          </cell>
          <cell r="E90">
            <v>44805</v>
          </cell>
          <cell r="F90">
            <v>149.62</v>
          </cell>
          <cell r="G90">
            <v>967.3</v>
          </cell>
          <cell r="H90">
            <v>90238.2</v>
          </cell>
          <cell r="I90">
            <v>120</v>
          </cell>
          <cell r="J90">
            <v>950</v>
          </cell>
          <cell r="K90">
            <v>12.5</v>
          </cell>
          <cell r="L90">
            <v>32.700000000000003</v>
          </cell>
          <cell r="N90">
            <v>2.68</v>
          </cell>
          <cell r="O90">
            <v>2.23</v>
          </cell>
          <cell r="P90">
            <v>348.95124500000003</v>
          </cell>
          <cell r="Q90">
            <v>3600</v>
          </cell>
          <cell r="R90">
            <v>36000</v>
          </cell>
          <cell r="S90">
            <v>240</v>
          </cell>
          <cell r="T90">
            <v>435</v>
          </cell>
          <cell r="U90">
            <v>245.35714285714286</v>
          </cell>
          <cell r="V90">
            <v>370.18571428571437</v>
          </cell>
          <cell r="W90">
            <v>286</v>
          </cell>
          <cell r="X90">
            <v>307.7285714285714</v>
          </cell>
          <cell r="Y90">
            <v>35908.800000000003</v>
          </cell>
          <cell r="Z90">
            <v>65084.700000000004</v>
          </cell>
          <cell r="AA90">
            <v>36710.335714285713</v>
          </cell>
          <cell r="AB90">
            <v>55387.186571428589</v>
          </cell>
          <cell r="AC90">
            <v>42791.32</v>
          </cell>
          <cell r="AD90">
            <v>46042.348857142853</v>
          </cell>
          <cell r="AE90">
            <v>46987.448523809529</v>
          </cell>
          <cell r="AF90">
            <v>104656.28571428571</v>
          </cell>
          <cell r="AG90">
            <v>46890</v>
          </cell>
          <cell r="AH90">
            <v>178180</v>
          </cell>
          <cell r="AI90">
            <v>79.05</v>
          </cell>
          <cell r="AJ90">
            <v>62.366199999999999</v>
          </cell>
          <cell r="AK90">
            <v>61.744500000000002</v>
          </cell>
          <cell r="AL90">
            <v>40.85</v>
          </cell>
          <cell r="AM90">
            <v>64.715217999999993</v>
          </cell>
          <cell r="AN90">
            <v>197.37190476190474</v>
          </cell>
          <cell r="AO90">
            <v>97.81</v>
          </cell>
          <cell r="AP90">
            <v>147.59095238095239</v>
          </cell>
          <cell r="AQ90">
            <v>45.57</v>
          </cell>
          <cell r="AR90">
            <v>67.89</v>
          </cell>
          <cell r="AS90">
            <v>63.8</v>
          </cell>
          <cell r="AT90">
            <v>66.790000000000006</v>
          </cell>
          <cell r="AU90">
            <v>66.160000000000011</v>
          </cell>
          <cell r="AV90">
            <v>76.05</v>
          </cell>
          <cell r="AW90">
            <v>77.02</v>
          </cell>
          <cell r="AX90">
            <v>196.49</v>
          </cell>
          <cell r="AY90">
            <v>171.45</v>
          </cell>
          <cell r="AZ90">
            <v>46.02</v>
          </cell>
          <cell r="BA90">
            <v>69.25</v>
          </cell>
          <cell r="BB90">
            <v>120.80249999999999</v>
          </cell>
          <cell r="BC90">
            <v>7231</v>
          </cell>
          <cell r="BD90">
            <v>4908</v>
          </cell>
          <cell r="BE90">
            <v>4200</v>
          </cell>
          <cell r="BF90">
            <v>2500</v>
          </cell>
          <cell r="BG90">
            <v>4709.75</v>
          </cell>
          <cell r="BH90">
            <v>287.83</v>
          </cell>
          <cell r="BI90">
            <v>60</v>
          </cell>
          <cell r="BJ90">
            <v>347.83</v>
          </cell>
          <cell r="BK90">
            <v>311.92200000000003</v>
          </cell>
          <cell r="BL90">
            <v>405.74</v>
          </cell>
          <cell r="BM90">
            <v>358.83100000000002</v>
          </cell>
          <cell r="BN90">
            <v>55.5</v>
          </cell>
          <cell r="BO90">
            <v>275.8</v>
          </cell>
          <cell r="BP90">
            <v>215.04</v>
          </cell>
          <cell r="BQ90">
            <v>269.72400000000005</v>
          </cell>
          <cell r="BR90">
            <v>230.94</v>
          </cell>
          <cell r="BS90">
            <v>750</v>
          </cell>
          <cell r="BT90">
            <v>125.6808</v>
          </cell>
          <cell r="BU90">
            <v>9377.0424000000003</v>
          </cell>
          <cell r="BV90">
            <v>324</v>
          </cell>
          <cell r="BW90">
            <v>675</v>
          </cell>
          <cell r="BY90">
            <v>2020.3379787668616</v>
          </cell>
          <cell r="BZ90">
            <v>1640.8743632532176</v>
          </cell>
          <cell r="CA90">
            <v>1826.2268757483355</v>
          </cell>
          <cell r="CB90">
            <v>1710.5490955887192</v>
          </cell>
          <cell r="CC90">
            <v>1757.8425568297387</v>
          </cell>
          <cell r="CD90">
            <v>1784.4656853737877</v>
          </cell>
          <cell r="CE90">
            <v>1829.3219462792208</v>
          </cell>
          <cell r="CF90">
            <v>1919.8856678575808</v>
          </cell>
          <cell r="CG90">
            <v>1804.7153046128972</v>
          </cell>
          <cell r="CH90">
            <v>1739.738282278975</v>
          </cell>
          <cell r="CI90">
            <v>1983.339121305961</v>
          </cell>
          <cell r="CJ90">
            <v>1489.0510409543349</v>
          </cell>
          <cell r="CK90">
            <v>2405.2219063133598</v>
          </cell>
          <cell r="CL90">
            <v>2125.2858543512652</v>
          </cell>
          <cell r="CM90">
            <v>1293.4460622933041</v>
          </cell>
          <cell r="CN90">
            <v>1490.1323540396475</v>
          </cell>
          <cell r="CO90">
            <v>1828.5215442493941</v>
          </cell>
          <cell r="CP90">
            <v>1808.895552133476</v>
          </cell>
          <cell r="CQ90">
            <v>1504.9865317257193</v>
          </cell>
          <cell r="CR90">
            <v>1473.7862646383555</v>
          </cell>
          <cell r="CS90">
            <v>1489.3863981820373</v>
          </cell>
          <cell r="CT90">
            <v>1438.5785219063982</v>
          </cell>
          <cell r="CU90">
            <v>1611.2949252690648</v>
          </cell>
          <cell r="CV90">
            <v>1604.2139015805183</v>
          </cell>
          <cell r="CW90">
            <v>1604.2139015805183</v>
          </cell>
          <cell r="CX90">
            <v>1606.5742428100336</v>
          </cell>
          <cell r="CY90">
            <v>1337.2925333288688</v>
          </cell>
          <cell r="CZ90">
            <v>1797.7706074599312</v>
          </cell>
          <cell r="DA90">
            <v>1458.4907882563148</v>
          </cell>
          <cell r="DB90">
            <v>1699.0185027232976</v>
          </cell>
          <cell r="DC90">
            <v>1663.0396708380733</v>
          </cell>
          <cell r="DD90">
            <v>1636.9109877063572</v>
          </cell>
          <cell r="DE90">
            <v>1468.0036758312378</v>
          </cell>
          <cell r="DF90">
            <v>1716.2213358808413</v>
          </cell>
          <cell r="DG90">
            <v>1592.1125058560397</v>
          </cell>
          <cell r="DH90">
            <v>1545.8894027455765</v>
          </cell>
          <cell r="DI90">
            <v>1375.6399700554327</v>
          </cell>
          <cell r="DK90">
            <v>500000</v>
          </cell>
          <cell r="DL90" t="str">
            <v>2021-22</v>
          </cell>
          <cell r="DM90">
            <v>200000</v>
          </cell>
          <cell r="DN90" t="str">
            <v>2022-23</v>
          </cell>
          <cell r="DO90">
            <v>1750000</v>
          </cell>
          <cell r="DP90" t="str">
            <v>2022-23</v>
          </cell>
          <cell r="DQ90">
            <v>2200000</v>
          </cell>
          <cell r="DR90" t="str">
            <v>2022-23</v>
          </cell>
          <cell r="DS90">
            <v>7500000</v>
          </cell>
          <cell r="DT90" t="str">
            <v>2022-23</v>
          </cell>
          <cell r="DU90">
            <v>16100000</v>
          </cell>
          <cell r="DV90" t="str">
            <v>2021-22</v>
          </cell>
          <cell r="DW90">
            <v>950000</v>
          </cell>
          <cell r="DX90" t="str">
            <v>2021-22</v>
          </cell>
          <cell r="DY90">
            <v>6100000</v>
          </cell>
          <cell r="DZ90" t="str">
            <v>2022-23</v>
          </cell>
          <cell r="EA90">
            <v>34400000</v>
          </cell>
          <cell r="EB90">
            <v>373795</v>
          </cell>
          <cell r="EC90" t="str">
            <v>2022-23</v>
          </cell>
          <cell r="ED90">
            <v>209277</v>
          </cell>
          <cell r="EE90">
            <v>2022</v>
          </cell>
          <cell r="EF90">
            <v>207047</v>
          </cell>
          <cell r="EG90">
            <v>2022</v>
          </cell>
          <cell r="EH90">
            <v>53416435</v>
          </cell>
          <cell r="EI90">
            <v>2022</v>
          </cell>
          <cell r="EJ90">
            <v>5477107</v>
          </cell>
          <cell r="EK90">
            <v>2022</v>
          </cell>
          <cell r="EL90">
            <v>12461845</v>
          </cell>
          <cell r="EM90">
            <v>2022</v>
          </cell>
          <cell r="EN90">
            <v>3169981</v>
          </cell>
          <cell r="EO90">
            <v>2021</v>
          </cell>
          <cell r="EP90">
            <v>6552</v>
          </cell>
          <cell r="EQ90">
            <v>3500000</v>
          </cell>
          <cell r="ER90">
            <v>74633.333333333328</v>
          </cell>
          <cell r="ET90">
            <v>17456</v>
          </cell>
          <cell r="EU90">
            <v>19445</v>
          </cell>
          <cell r="EV90">
            <v>9018</v>
          </cell>
          <cell r="EW90">
            <v>17386</v>
          </cell>
          <cell r="EX90">
            <v>63305</v>
          </cell>
          <cell r="EY90">
            <v>20049</v>
          </cell>
          <cell r="EZ90">
            <v>33638</v>
          </cell>
          <cell r="FA90">
            <v>19948</v>
          </cell>
          <cell r="FB90">
            <v>15432</v>
          </cell>
          <cell r="FC90">
            <v>35380</v>
          </cell>
          <cell r="FD90">
            <v>56856.849999999991</v>
          </cell>
          <cell r="FF90">
            <v>1100000</v>
          </cell>
          <cell r="FG90" t="str">
            <v>2021-22</v>
          </cell>
          <cell r="FH90">
            <v>1200000</v>
          </cell>
          <cell r="FI90" t="str">
            <v>2021-22</v>
          </cell>
          <cell r="FJ90">
            <v>5200000</v>
          </cell>
          <cell r="FK90" t="str">
            <v>2021-22</v>
          </cell>
          <cell r="FL90">
            <v>4000000</v>
          </cell>
          <cell r="FM90" t="str">
            <v>2021-22</v>
          </cell>
          <cell r="FN90">
            <v>52000000</v>
          </cell>
          <cell r="FO90" t="str">
            <v>2021-22</v>
          </cell>
          <cell r="FP90">
            <v>44000000</v>
          </cell>
          <cell r="FQ90" t="str">
            <v>2021-22</v>
          </cell>
          <cell r="FR90">
            <v>2800000</v>
          </cell>
          <cell r="FS90" t="str">
            <v>2021-22</v>
          </cell>
          <cell r="FT90">
            <v>22100000</v>
          </cell>
          <cell r="FU90" t="str">
            <v>2021-22</v>
          </cell>
          <cell r="FV90">
            <v>130100000</v>
          </cell>
          <cell r="FW90">
            <v>1350000</v>
          </cell>
          <cell r="FX90" t="str">
            <v>2021-22</v>
          </cell>
          <cell r="FY90">
            <v>94367</v>
          </cell>
          <cell r="FZ90">
            <v>844227</v>
          </cell>
          <cell r="GA90" t="str">
            <v>oct21 sept22</v>
          </cell>
          <cell r="GB90">
            <v>19368031</v>
          </cell>
          <cell r="GC90">
            <v>2022</v>
          </cell>
          <cell r="GD90">
            <v>2141365</v>
          </cell>
          <cell r="GE90">
            <v>369608</v>
          </cell>
          <cell r="GF90">
            <v>1038163</v>
          </cell>
          <cell r="GG90">
            <v>94581</v>
          </cell>
          <cell r="GH90">
            <v>1502352</v>
          </cell>
          <cell r="GI90">
            <v>1302556</v>
          </cell>
          <cell r="GJ90">
            <v>665558</v>
          </cell>
          <cell r="GK90">
            <v>1393000</v>
          </cell>
          <cell r="GL90">
            <v>300028.90000000002</v>
          </cell>
          <cell r="GM90">
            <v>259304.56</v>
          </cell>
          <cell r="GN90">
            <v>2617891.46</v>
          </cell>
          <cell r="GO90">
            <v>200935</v>
          </cell>
          <cell r="GP90">
            <v>73046</v>
          </cell>
          <cell r="GQ90">
            <v>28499</v>
          </cell>
          <cell r="GR90">
            <v>42288</v>
          </cell>
          <cell r="GS90">
            <v>43142.97</v>
          </cell>
          <cell r="GT90">
            <v>2410599</v>
          </cell>
          <cell r="GU90">
            <v>24094</v>
          </cell>
          <cell r="GV90">
            <v>29601</v>
          </cell>
          <cell r="GW90">
            <v>999362</v>
          </cell>
          <cell r="GX90">
            <v>33063.449999999997</v>
          </cell>
          <cell r="GY90" t="str">
            <v>2021-2022</v>
          </cell>
          <cell r="GZ90">
            <v>91610</v>
          </cell>
          <cell r="HA90">
            <v>276473</v>
          </cell>
          <cell r="HB90">
            <v>3073066</v>
          </cell>
          <cell r="HC90" t="str">
            <v>oct21 sept22</v>
          </cell>
          <cell r="HD90">
            <v>52932</v>
          </cell>
          <cell r="HE90">
            <v>684606.32364999992</v>
          </cell>
          <cell r="HF90" t="str">
            <v>oct21 sept22</v>
          </cell>
          <cell r="HG90">
            <v>202000</v>
          </cell>
          <cell r="HH90">
            <v>2320983</v>
          </cell>
          <cell r="HI90" t="str">
            <v>oct21 sept22</v>
          </cell>
          <cell r="HJ90">
            <v>91090</v>
          </cell>
          <cell r="HK90">
            <v>66067.92</v>
          </cell>
          <cell r="HL90" t="str">
            <v>oct21 sept22</v>
          </cell>
          <cell r="HM90">
            <v>2387050.92</v>
          </cell>
          <cell r="HN90">
            <v>3.3707960129809589E-3</v>
          </cell>
          <cell r="HO90">
            <v>1073000000</v>
          </cell>
          <cell r="HP90">
            <v>11607.728225939629</v>
          </cell>
          <cell r="HQ90" t="str">
            <v>oct21 sept22</v>
          </cell>
          <cell r="HU90">
            <v>650000</v>
          </cell>
          <cell r="HV90" t="str">
            <v>2021-22</v>
          </cell>
          <cell r="HW90">
            <v>1500000</v>
          </cell>
          <cell r="HX90" t="str">
            <v>2022-23</v>
          </cell>
          <cell r="HY90">
            <v>3850000</v>
          </cell>
          <cell r="HZ90" t="str">
            <v>2021-22</v>
          </cell>
          <cell r="IA90">
            <v>21570000</v>
          </cell>
          <cell r="IB90" t="str">
            <v>2021-22</v>
          </cell>
          <cell r="IC90">
            <v>39940000</v>
          </cell>
          <cell r="ID90" t="str">
            <v>2021-22</v>
          </cell>
          <cell r="IE90">
            <v>800000</v>
          </cell>
          <cell r="IF90" t="str">
            <v>2021-22</v>
          </cell>
          <cell r="IG90">
            <v>7400000</v>
          </cell>
          <cell r="IH90" t="str">
            <v>2022-23</v>
          </cell>
          <cell r="II90">
            <v>75060000</v>
          </cell>
          <cell r="IJ90">
            <v>1.9073407006405101</v>
          </cell>
          <cell r="IK90" t="str">
            <v>2021-22</v>
          </cell>
          <cell r="IL90">
            <v>48.39</v>
          </cell>
          <cell r="IM90">
            <v>48.62</v>
          </cell>
          <cell r="IN90">
            <v>185.6</v>
          </cell>
          <cell r="IO90">
            <v>16.899999999999999</v>
          </cell>
          <cell r="IP90">
            <v>5.945790982656427</v>
          </cell>
          <cell r="IQ90">
            <v>18</v>
          </cell>
          <cell r="IR90">
            <v>7.01</v>
          </cell>
          <cell r="IS90">
            <v>4.3099999999999996</v>
          </cell>
          <cell r="IT90">
            <v>13.02</v>
          </cell>
          <cell r="IU90">
            <v>1.44</v>
          </cell>
          <cell r="IV90">
            <v>18.77</v>
          </cell>
          <cell r="IY90">
            <v>1.88</v>
          </cell>
          <cell r="IZ90">
            <v>0.3</v>
          </cell>
          <cell r="JA90">
            <v>2813</v>
          </cell>
          <cell r="JF90">
            <v>23.97822360000001</v>
          </cell>
          <cell r="JG90">
            <v>24.494655209999998</v>
          </cell>
          <cell r="JH90">
            <v>187.76462793999997</v>
          </cell>
          <cell r="JI90">
            <v>249.70999648999998</v>
          </cell>
          <cell r="JJ90">
            <v>964.18400298999995</v>
          </cell>
          <cell r="JK90">
            <v>103.23507013999998</v>
          </cell>
          <cell r="JL90">
            <v>2946.1694566799997</v>
          </cell>
          <cell r="JM90">
            <v>58.663607599999999</v>
          </cell>
          <cell r="JN90">
            <v>72.362009299999997</v>
          </cell>
          <cell r="JO90">
            <v>25.561633730000004</v>
          </cell>
          <cell r="JP90">
            <v>0</v>
          </cell>
          <cell r="JQ90">
            <v>1.4999999999999999E-2</v>
          </cell>
          <cell r="JR90">
            <v>2.0454542399999998</v>
          </cell>
          <cell r="JS90">
            <v>0</v>
          </cell>
          <cell r="JT90">
            <v>2.5000000000000001E-3</v>
          </cell>
          <cell r="JU90">
            <v>101.4021353</v>
          </cell>
          <cell r="JV90">
            <v>8.4445478800000018</v>
          </cell>
          <cell r="JW90">
            <v>10.759884059999997</v>
          </cell>
          <cell r="JX90">
            <v>15.85469387</v>
          </cell>
          <cell r="JY90">
            <v>0</v>
          </cell>
          <cell r="JZ90">
            <v>3.6143448099999995</v>
          </cell>
          <cell r="KA90">
            <v>0.67471947999999993</v>
          </cell>
          <cell r="KB90">
            <v>28.322168269999992</v>
          </cell>
          <cell r="KC90">
            <v>57.086864629999994</v>
          </cell>
          <cell r="KD90">
            <v>10.47783802</v>
          </cell>
          <cell r="KE90">
            <v>17.949190340000005</v>
          </cell>
          <cell r="KF90">
            <v>57.828382590000011</v>
          </cell>
          <cell r="KG90">
            <v>421.96396532</v>
          </cell>
          <cell r="KH90">
            <v>153.24721415000002</v>
          </cell>
          <cell r="KI90">
            <v>14.78060634</v>
          </cell>
          <cell r="KJ90">
            <v>1.83911538</v>
          </cell>
          <cell r="KK90">
            <v>10.864187659999995</v>
          </cell>
          <cell r="KL90">
            <v>0.38784603000000006</v>
          </cell>
          <cell r="KM90">
            <v>0.52593398000000002</v>
          </cell>
          <cell r="KN90">
            <v>0.33861597000000004</v>
          </cell>
          <cell r="KO90">
            <v>4.0362059199999996</v>
          </cell>
          <cell r="KP90">
            <v>6.0353800000000006E-2</v>
          </cell>
          <cell r="KQ90">
            <v>151.33123662999995</v>
          </cell>
          <cell r="KR90">
            <v>1.0168397499999999</v>
          </cell>
          <cell r="KS90">
            <v>0.26431020000000005</v>
          </cell>
          <cell r="KT90">
            <v>0.52785406000000001</v>
          </cell>
          <cell r="KU90">
            <v>1.7451778999999998</v>
          </cell>
          <cell r="KV90">
            <v>4.1352823399999998</v>
          </cell>
          <cell r="KW90">
            <v>1.4644452000000001</v>
          </cell>
          <cell r="KX90">
            <v>0</v>
          </cell>
          <cell r="KY90">
            <v>0.25431999999999999</v>
          </cell>
          <cell r="KZ90">
            <v>2.7470526999999998</v>
          </cell>
          <cell r="LA90">
            <v>0.54729116</v>
          </cell>
          <cell r="LB90">
            <v>4.9318999999999995E-3</v>
          </cell>
          <cell r="LC90">
            <v>0.23595114</v>
          </cell>
          <cell r="LD90">
            <v>0</v>
          </cell>
          <cell r="LE90">
            <v>2.7328829999999998E-2</v>
          </cell>
          <cell r="LF90">
            <v>0</v>
          </cell>
          <cell r="LG90">
            <v>21.937275429999996</v>
          </cell>
          <cell r="LH90">
            <v>4.5847165599999995</v>
          </cell>
          <cell r="LI90">
            <v>2.5187011699999999</v>
          </cell>
          <cell r="LJ90">
            <v>1.3661339999999999E-2</v>
          </cell>
          <cell r="LK90">
            <v>3.9990310300000003</v>
          </cell>
          <cell r="LL90">
            <v>6.5255502400000012</v>
          </cell>
          <cell r="LM90">
            <v>2.4256843100000003</v>
          </cell>
          <cell r="LN90">
            <v>0.25118170000000001</v>
          </cell>
          <cell r="LO90">
            <v>7.276038279999999</v>
          </cell>
          <cell r="LQ90">
            <v>4478.853701</v>
          </cell>
          <cell r="LR90">
            <v>2.0629542399999998</v>
          </cell>
          <cell r="LS90">
            <v>19.204431939999999</v>
          </cell>
          <cell r="LT90">
            <v>4.2890642899999998</v>
          </cell>
          <cell r="LU90">
            <v>157.51314244999998</v>
          </cell>
          <cell r="LV90">
            <v>5.8540475399999998</v>
          </cell>
          <cell r="LW90">
            <v>0.55222305999999999</v>
          </cell>
          <cell r="LX90">
            <v>2.7328829999999998E-2</v>
          </cell>
          <cell r="LZ90">
            <v>235.41</v>
          </cell>
          <cell r="MA90">
            <v>154.33000000000001</v>
          </cell>
          <cell r="MH90">
            <v>366.54</v>
          </cell>
          <cell r="MI90">
            <v>123.46</v>
          </cell>
          <cell r="MJ90">
            <v>142.16</v>
          </cell>
          <cell r="ML90">
            <v>348.66</v>
          </cell>
          <cell r="MM90">
            <v>306.69</v>
          </cell>
          <cell r="MO90">
            <v>136.81</v>
          </cell>
          <cell r="MP90">
            <v>300.58</v>
          </cell>
          <cell r="MQ90">
            <v>328.33</v>
          </cell>
          <cell r="MU90">
            <v>102.3</v>
          </cell>
          <cell r="MY90">
            <v>339.48</v>
          </cell>
          <cell r="MZ90">
            <v>864</v>
          </cell>
          <cell r="NA90">
            <v>376.6</v>
          </cell>
          <cell r="NB90">
            <v>1158.68</v>
          </cell>
          <cell r="NC90">
            <v>171.06</v>
          </cell>
          <cell r="ND90">
            <v>1490</v>
          </cell>
          <cell r="NE90">
            <v>873.33</v>
          </cell>
        </row>
        <row r="91">
          <cell r="A91">
            <v>44835</v>
          </cell>
          <cell r="B91">
            <v>10</v>
          </cell>
          <cell r="C91">
            <v>2022</v>
          </cell>
          <cell r="D91">
            <v>91</v>
          </cell>
          <cell r="E91">
            <v>44835</v>
          </cell>
          <cell r="F91">
            <v>158.62</v>
          </cell>
          <cell r="G91">
            <v>1028.7</v>
          </cell>
          <cell r="H91">
            <v>98914.95</v>
          </cell>
          <cell r="I91">
            <v>118</v>
          </cell>
          <cell r="J91">
            <v>950</v>
          </cell>
          <cell r="K91">
            <v>10</v>
          </cell>
          <cell r="L91">
            <v>30.8</v>
          </cell>
          <cell r="N91">
            <v>2.56</v>
          </cell>
          <cell r="O91">
            <v>2.08</v>
          </cell>
          <cell r="P91">
            <v>349.59848000000005</v>
          </cell>
          <cell r="Q91">
            <v>4000</v>
          </cell>
          <cell r="R91">
            <v>40000</v>
          </cell>
          <cell r="S91">
            <v>290</v>
          </cell>
          <cell r="T91">
            <v>420</v>
          </cell>
          <cell r="U91">
            <v>261.46315789473681</v>
          </cell>
          <cell r="V91">
            <v>368.28947368421052</v>
          </cell>
          <cell r="W91">
            <v>286</v>
          </cell>
          <cell r="X91">
            <v>348.98421052631579</v>
          </cell>
          <cell r="Y91">
            <v>45999.8</v>
          </cell>
          <cell r="Z91">
            <v>66620.400000000009</v>
          </cell>
          <cell r="AA91">
            <v>41473.286105263156</v>
          </cell>
          <cell r="AB91">
            <v>58418.076315789476</v>
          </cell>
          <cell r="AC91">
            <v>45365.32</v>
          </cell>
          <cell r="AD91">
            <v>55355.875473684209</v>
          </cell>
          <cell r="AE91">
            <v>52205.459649122808</v>
          </cell>
          <cell r="AF91">
            <v>111189.57894736843</v>
          </cell>
          <cell r="AG91">
            <v>70080</v>
          </cell>
          <cell r="AH91">
            <v>266000</v>
          </cell>
          <cell r="AI91">
            <v>77.849999999999994</v>
          </cell>
          <cell r="AJ91">
            <v>73.81</v>
          </cell>
          <cell r="AK91">
            <v>54.954000000000001</v>
          </cell>
          <cell r="AL91">
            <v>48.45</v>
          </cell>
          <cell r="AM91">
            <v>64.67944</v>
          </cell>
          <cell r="AN91">
            <v>214.28149999999999</v>
          </cell>
          <cell r="AO91">
            <v>116.32</v>
          </cell>
          <cell r="AP91">
            <v>165.30074999999999</v>
          </cell>
          <cell r="AQ91">
            <v>55.13</v>
          </cell>
          <cell r="AR91">
            <v>73.95</v>
          </cell>
          <cell r="AS91">
            <v>70.66</v>
          </cell>
          <cell r="AT91">
            <v>75.510000000000005</v>
          </cell>
          <cell r="AU91">
            <v>73.373333333333335</v>
          </cell>
          <cell r="AV91">
            <v>98.06</v>
          </cell>
          <cell r="AW91">
            <v>118.2</v>
          </cell>
          <cell r="AX91">
            <v>193.32</v>
          </cell>
          <cell r="AY91">
            <v>120.26</v>
          </cell>
          <cell r="AZ91">
            <v>52.06</v>
          </cell>
          <cell r="BA91">
            <v>97.63</v>
          </cell>
          <cell r="BB91">
            <v>115.8175</v>
          </cell>
          <cell r="BC91">
            <v>7231</v>
          </cell>
          <cell r="BD91">
            <v>4908</v>
          </cell>
          <cell r="BE91">
            <v>4200</v>
          </cell>
          <cell r="BF91">
            <v>2500</v>
          </cell>
          <cell r="BG91">
            <v>4709.75</v>
          </cell>
          <cell r="BH91">
            <v>287.83</v>
          </cell>
          <cell r="BI91">
            <v>60</v>
          </cell>
          <cell r="BJ91">
            <v>347.83</v>
          </cell>
          <cell r="BK91">
            <v>295.17500000000001</v>
          </cell>
          <cell r="BL91">
            <v>373.81</v>
          </cell>
          <cell r="BM91">
            <v>334.49250000000001</v>
          </cell>
          <cell r="BN91">
            <v>58.39</v>
          </cell>
          <cell r="BO91">
            <v>286.89999999999998</v>
          </cell>
          <cell r="BP91">
            <v>219.77</v>
          </cell>
          <cell r="BQ91">
            <v>280.18700000000001</v>
          </cell>
          <cell r="BR91">
            <v>255.23</v>
          </cell>
          <cell r="BS91">
            <v>857</v>
          </cell>
          <cell r="BT91">
            <v>112.6202</v>
          </cell>
          <cell r="BU91">
            <v>10621.8606</v>
          </cell>
          <cell r="BV91">
            <v>333</v>
          </cell>
          <cell r="BW91">
            <v>675</v>
          </cell>
          <cell r="BY91">
            <v>2047.5766113703635</v>
          </cell>
          <cell r="BZ91">
            <v>1680.7462961376373</v>
          </cell>
          <cell r="CA91">
            <v>1945.7504573915912</v>
          </cell>
          <cell r="CB91">
            <v>1746.5618199123462</v>
          </cell>
          <cell r="CC91">
            <v>1839.7105086981369</v>
          </cell>
          <cell r="CD91">
            <v>1833.8577797383236</v>
          </cell>
          <cell r="CE91">
            <v>1875.8211854907163</v>
          </cell>
          <cell r="CF91">
            <v>2027.8192227326961</v>
          </cell>
          <cell r="CG91">
            <v>1878.2534956606353</v>
          </cell>
          <cell r="CH91">
            <v>1792.3383097181827</v>
          </cell>
          <cell r="CI91">
            <v>2062.9303089394243</v>
          </cell>
          <cell r="CJ91">
            <v>1678.1039165712641</v>
          </cell>
          <cell r="CK91">
            <v>2397.5540126076671</v>
          </cell>
          <cell r="CL91">
            <v>1925.311424947686</v>
          </cell>
          <cell r="CM91">
            <v>1352.4220473256819</v>
          </cell>
          <cell r="CN91">
            <v>1639.6745473364301</v>
          </cell>
          <cell r="CO91">
            <v>1828.7405080543663</v>
          </cell>
          <cell r="CP91">
            <v>1874.9270204928114</v>
          </cell>
          <cell r="CQ91">
            <v>1561.4224459967695</v>
          </cell>
          <cell r="CR91">
            <v>1542.8823837571106</v>
          </cell>
          <cell r="CS91">
            <v>1552.1524148769399</v>
          </cell>
          <cell r="CT91">
            <v>1484.1099958771629</v>
          </cell>
          <cell r="CU91">
            <v>1639.954754236589</v>
          </cell>
          <cell r="CV91">
            <v>1633.80164569422</v>
          </cell>
          <cell r="CW91">
            <v>1633.80164569422</v>
          </cell>
          <cell r="CX91">
            <v>1635.8526818750097</v>
          </cell>
          <cell r="CY91">
            <v>1448.5857572387495</v>
          </cell>
          <cell r="CZ91">
            <v>1874.4853381246653</v>
          </cell>
          <cell r="DA91">
            <v>1525.1633299502751</v>
          </cell>
          <cell r="DB91">
            <v>1709.0110667581807</v>
          </cell>
          <cell r="DC91">
            <v>1844.712199817885</v>
          </cell>
          <cell r="DD91">
            <v>1823.5874097100289</v>
          </cell>
          <cell r="DE91">
            <v>1648.8882967245108</v>
          </cell>
          <cell r="DF91">
            <v>1913.5035700947697</v>
          </cell>
          <cell r="DG91">
            <v>1781.1959334096402</v>
          </cell>
          <cell r="DH91">
            <v>1595.6445849788572</v>
          </cell>
          <cell r="DI91">
            <v>1464.7009397575787</v>
          </cell>
          <cell r="DK91">
            <v>580000</v>
          </cell>
          <cell r="DL91" t="str">
            <v>2022-23</v>
          </cell>
          <cell r="DM91">
            <v>200000</v>
          </cell>
          <cell r="DN91" t="str">
            <v>2022-23</v>
          </cell>
          <cell r="DO91">
            <v>1750000</v>
          </cell>
          <cell r="DP91" t="str">
            <v>2022-23</v>
          </cell>
          <cell r="DQ91">
            <v>2200000</v>
          </cell>
          <cell r="DR91" t="str">
            <v>2022-23</v>
          </cell>
          <cell r="DS91">
            <v>7300000</v>
          </cell>
          <cell r="DT91" t="str">
            <v>2022-23</v>
          </cell>
          <cell r="DU91">
            <v>16300000</v>
          </cell>
          <cell r="DV91" t="str">
            <v>2022-23</v>
          </cell>
          <cell r="DW91">
            <v>950000</v>
          </cell>
          <cell r="DX91" t="str">
            <v>2022-23</v>
          </cell>
          <cell r="DY91">
            <v>6100000</v>
          </cell>
          <cell r="DZ91" t="str">
            <v>2022-23</v>
          </cell>
          <cell r="EA91">
            <v>34600000</v>
          </cell>
          <cell r="EB91">
            <v>373795</v>
          </cell>
          <cell r="EC91" t="str">
            <v>2022-23</v>
          </cell>
          <cell r="ED91">
            <v>209277</v>
          </cell>
          <cell r="EE91">
            <v>2022</v>
          </cell>
          <cell r="EF91">
            <v>207047</v>
          </cell>
          <cell r="EG91">
            <v>2022</v>
          </cell>
          <cell r="EH91">
            <v>53416435</v>
          </cell>
          <cell r="EI91">
            <v>2022</v>
          </cell>
          <cell r="EJ91">
            <v>5477107</v>
          </cell>
          <cell r="EK91">
            <v>2022</v>
          </cell>
          <cell r="EL91">
            <v>12461845</v>
          </cell>
          <cell r="EM91">
            <v>2022</v>
          </cell>
          <cell r="EN91">
            <v>3169981</v>
          </cell>
          <cell r="EO91">
            <v>2021</v>
          </cell>
          <cell r="EP91">
            <v>6552</v>
          </cell>
          <cell r="EQ91">
            <v>3500000</v>
          </cell>
          <cell r="ER91">
            <v>74633.333333333328</v>
          </cell>
          <cell r="ET91">
            <v>17456</v>
          </cell>
          <cell r="EU91">
            <v>19445</v>
          </cell>
          <cell r="EV91">
            <v>9018</v>
          </cell>
          <cell r="EW91">
            <v>17386</v>
          </cell>
          <cell r="EX91">
            <v>63305</v>
          </cell>
          <cell r="EY91">
            <v>20049</v>
          </cell>
          <cell r="EZ91">
            <v>33638</v>
          </cell>
          <cell r="FA91">
            <v>19948</v>
          </cell>
          <cell r="FB91">
            <v>15432</v>
          </cell>
          <cell r="FC91">
            <v>35380</v>
          </cell>
          <cell r="FD91">
            <v>56856.849999999991</v>
          </cell>
          <cell r="FF91">
            <v>1100000</v>
          </cell>
          <cell r="FG91" t="str">
            <v>2021-22</v>
          </cell>
          <cell r="FH91">
            <v>1200000</v>
          </cell>
          <cell r="FI91" t="str">
            <v>2021-22</v>
          </cell>
          <cell r="FJ91">
            <v>5200000</v>
          </cell>
          <cell r="FK91" t="str">
            <v>2021-22</v>
          </cell>
          <cell r="FL91">
            <v>4000000</v>
          </cell>
          <cell r="FM91" t="str">
            <v>2021-22</v>
          </cell>
          <cell r="FN91">
            <v>52000000</v>
          </cell>
          <cell r="FO91" t="str">
            <v>2021-22</v>
          </cell>
          <cell r="FP91">
            <v>44000000</v>
          </cell>
          <cell r="FQ91" t="str">
            <v>2021-22</v>
          </cell>
          <cell r="FR91">
            <v>2800000</v>
          </cell>
          <cell r="FS91" t="str">
            <v>2021-22</v>
          </cell>
          <cell r="FT91">
            <v>22100000</v>
          </cell>
          <cell r="FU91" t="str">
            <v>2021-22</v>
          </cell>
          <cell r="FV91">
            <v>130100000</v>
          </cell>
          <cell r="FW91">
            <v>1350000</v>
          </cell>
          <cell r="FX91" t="str">
            <v>2021-22</v>
          </cell>
          <cell r="FY91">
            <v>0</v>
          </cell>
          <cell r="FZ91">
            <v>844200</v>
          </cell>
          <cell r="GA91" t="str">
            <v>nov21 oct22</v>
          </cell>
          <cell r="GB91">
            <v>19368031</v>
          </cell>
          <cell r="GC91">
            <v>2022</v>
          </cell>
          <cell r="GD91">
            <v>2141365</v>
          </cell>
          <cell r="GE91">
            <v>369608</v>
          </cell>
          <cell r="GF91">
            <v>1038163</v>
          </cell>
          <cell r="GG91">
            <v>94581</v>
          </cell>
          <cell r="GH91">
            <v>1502352</v>
          </cell>
          <cell r="GI91">
            <v>1302556</v>
          </cell>
          <cell r="GJ91">
            <v>665558</v>
          </cell>
          <cell r="GK91">
            <v>1393000</v>
          </cell>
          <cell r="GL91">
            <v>300028.90000000002</v>
          </cell>
          <cell r="GM91">
            <v>259304.56</v>
          </cell>
          <cell r="GN91">
            <v>2617891.46</v>
          </cell>
          <cell r="GO91">
            <v>200935</v>
          </cell>
          <cell r="GP91">
            <v>73046</v>
          </cell>
          <cell r="GQ91">
            <v>44070</v>
          </cell>
          <cell r="GR91">
            <v>42288</v>
          </cell>
          <cell r="GS91">
            <v>43610.1</v>
          </cell>
          <cell r="GT91">
            <v>2410599</v>
          </cell>
          <cell r="GU91">
            <v>20545</v>
          </cell>
          <cell r="GV91">
            <v>27634</v>
          </cell>
          <cell r="GW91">
            <v>994404</v>
          </cell>
          <cell r="GX91">
            <v>33063.449999999997</v>
          </cell>
          <cell r="GY91" t="str">
            <v>2021-2022</v>
          </cell>
          <cell r="GZ91">
            <v>91610</v>
          </cell>
          <cell r="HA91">
            <v>254255</v>
          </cell>
          <cell r="HB91">
            <v>3081241</v>
          </cell>
          <cell r="HC91" t="str">
            <v>nov21 oct22</v>
          </cell>
          <cell r="HD91">
            <v>59843</v>
          </cell>
          <cell r="HE91">
            <v>689809</v>
          </cell>
          <cell r="HF91" t="str">
            <v>nov21 oct22</v>
          </cell>
          <cell r="HG91">
            <v>191000</v>
          </cell>
          <cell r="HH91">
            <v>2325335</v>
          </cell>
          <cell r="HI91" t="str">
            <v>nov21 oct22</v>
          </cell>
          <cell r="HJ91">
            <v>99699</v>
          </cell>
          <cell r="HK91">
            <v>66211.98</v>
          </cell>
          <cell r="HL91" t="str">
            <v>nov21 oct22</v>
          </cell>
          <cell r="HM91">
            <v>2391546.98</v>
          </cell>
          <cell r="HN91">
            <v>-2.1110975728262371E-3</v>
          </cell>
          <cell r="HO91">
            <v>1114000000</v>
          </cell>
          <cell r="HP91">
            <v>11605.371487939628</v>
          </cell>
          <cell r="HQ91" t="str">
            <v>nov21 oct22</v>
          </cell>
          <cell r="HU91">
            <v>650000</v>
          </cell>
          <cell r="HV91" t="str">
            <v>2021-22</v>
          </cell>
          <cell r="HW91">
            <v>1500000</v>
          </cell>
          <cell r="HX91" t="str">
            <v>2022-23</v>
          </cell>
          <cell r="HY91">
            <v>3850000</v>
          </cell>
          <cell r="HZ91" t="str">
            <v>2021-22</v>
          </cell>
          <cell r="IA91">
            <v>21570000</v>
          </cell>
          <cell r="IB91" t="str">
            <v>2021-22</v>
          </cell>
          <cell r="IC91">
            <v>39940000</v>
          </cell>
          <cell r="ID91" t="str">
            <v>2021-22</v>
          </cell>
          <cell r="IE91">
            <v>800000</v>
          </cell>
          <cell r="IF91" t="str">
            <v>2021-22</v>
          </cell>
          <cell r="IG91">
            <v>7400000</v>
          </cell>
          <cell r="IH91" t="str">
            <v>2022-23</v>
          </cell>
          <cell r="II91">
            <v>75060000</v>
          </cell>
          <cell r="IJ91">
            <v>1.9073407006405101</v>
          </cell>
          <cell r="IK91" t="str">
            <v>2021-22</v>
          </cell>
          <cell r="IL91">
            <v>45.9</v>
          </cell>
          <cell r="IM91">
            <v>48.39</v>
          </cell>
          <cell r="IN91">
            <v>185.6</v>
          </cell>
          <cell r="IO91">
            <v>16.920000000000002</v>
          </cell>
          <cell r="IP91">
            <v>5.945790982656427</v>
          </cell>
          <cell r="IQ91">
            <v>18</v>
          </cell>
          <cell r="IR91">
            <v>7.01</v>
          </cell>
          <cell r="IS91">
            <v>4.3099999999999996</v>
          </cell>
          <cell r="IT91">
            <v>13.02</v>
          </cell>
          <cell r="IU91">
            <v>1.44</v>
          </cell>
          <cell r="IV91">
            <v>18.77</v>
          </cell>
          <cell r="IY91">
            <v>1.88</v>
          </cell>
          <cell r="IZ91">
            <v>0.3</v>
          </cell>
          <cell r="JA91">
            <v>2813</v>
          </cell>
          <cell r="JF91">
            <v>16.749589410000009</v>
          </cell>
          <cell r="JG91">
            <v>15.997414339999999</v>
          </cell>
          <cell r="JH91">
            <v>55.512481150000006</v>
          </cell>
          <cell r="JI91">
            <v>140.28181512</v>
          </cell>
          <cell r="JJ91">
            <v>740.08129785000028</v>
          </cell>
          <cell r="JK91">
            <v>136.66063392000001</v>
          </cell>
          <cell r="JL91">
            <v>3760.1654528899999</v>
          </cell>
          <cell r="JM91">
            <v>21.543690779999999</v>
          </cell>
          <cell r="JN91">
            <v>96.125698620000009</v>
          </cell>
          <cell r="JO91">
            <v>25.68249277</v>
          </cell>
          <cell r="JP91">
            <v>0</v>
          </cell>
          <cell r="JQ91">
            <v>1.4999999999999999E-2</v>
          </cell>
          <cell r="JR91">
            <v>1.8751125399999999</v>
          </cell>
          <cell r="JS91">
            <v>0</v>
          </cell>
          <cell r="JT91">
            <v>0.18008199999999999</v>
          </cell>
          <cell r="JU91">
            <v>104.26238703999999</v>
          </cell>
          <cell r="JV91">
            <v>9.0570118900000001</v>
          </cell>
          <cell r="JW91">
            <v>8.5317717799999997</v>
          </cell>
          <cell r="JX91">
            <v>12.855313240000001</v>
          </cell>
          <cell r="JY91">
            <v>0</v>
          </cell>
          <cell r="JZ91">
            <v>4.2474773299999997</v>
          </cell>
          <cell r="KA91">
            <v>0.54362899999999992</v>
          </cell>
          <cell r="KB91">
            <v>29.99355989</v>
          </cell>
          <cell r="KC91">
            <v>67.887772890000008</v>
          </cell>
          <cell r="KD91">
            <v>17.188054299999997</v>
          </cell>
          <cell r="KE91">
            <v>21.851292619999999</v>
          </cell>
          <cell r="KF91">
            <v>52.265948369999997</v>
          </cell>
          <cell r="KG91">
            <v>391.68086485999982</v>
          </cell>
          <cell r="KH91">
            <v>194.12902524000003</v>
          </cell>
          <cell r="KI91">
            <v>11.15247257</v>
          </cell>
          <cell r="KJ91">
            <v>1.9138006200000002</v>
          </cell>
          <cell r="KK91">
            <v>10.901897520000004</v>
          </cell>
          <cell r="KL91">
            <v>2.6976839999999998E-2</v>
          </cell>
          <cell r="KM91">
            <v>5.1798810000000001E-2</v>
          </cell>
          <cell r="KN91">
            <v>0</v>
          </cell>
          <cell r="KO91">
            <v>7.3772347499999986</v>
          </cell>
          <cell r="KP91">
            <v>0</v>
          </cell>
          <cell r="KQ91">
            <v>0</v>
          </cell>
          <cell r="KR91">
            <v>6.7233850000000012E-2</v>
          </cell>
          <cell r="KS91">
            <v>3.5580119999999993E-2</v>
          </cell>
          <cell r="KT91">
            <v>0.19325807</v>
          </cell>
          <cell r="KU91">
            <v>0</v>
          </cell>
          <cell r="KV91">
            <v>0.65296894999999999</v>
          </cell>
          <cell r="KW91">
            <v>0</v>
          </cell>
          <cell r="KX91">
            <v>0</v>
          </cell>
          <cell r="KY91">
            <v>0.78564774999999998</v>
          </cell>
          <cell r="KZ91">
            <v>1.35471261</v>
          </cell>
          <cell r="LA91">
            <v>0.56255571999999998</v>
          </cell>
          <cell r="LB91">
            <v>1.316E-2</v>
          </cell>
          <cell r="LC91">
            <v>0.17769704</v>
          </cell>
          <cell r="LD91">
            <v>0</v>
          </cell>
          <cell r="LE91">
            <v>0</v>
          </cell>
          <cell r="LF91">
            <v>1.4227200000000001E-2</v>
          </cell>
          <cell r="LG91">
            <v>26.50290536</v>
          </cell>
          <cell r="LH91">
            <v>0</v>
          </cell>
          <cell r="LI91">
            <v>0.73566756000000011</v>
          </cell>
          <cell r="LJ91">
            <v>0</v>
          </cell>
          <cell r="LK91">
            <v>1.02297792</v>
          </cell>
          <cell r="LL91">
            <v>6.877667439999998</v>
          </cell>
          <cell r="LM91">
            <v>1.42944377</v>
          </cell>
          <cell r="LN91">
            <v>0.51198889000000003</v>
          </cell>
          <cell r="LO91">
            <v>7.3381374299999997</v>
          </cell>
          <cell r="LQ91">
            <v>4813.7104364100005</v>
          </cell>
          <cell r="LR91">
            <v>2.0701945399999997</v>
          </cell>
          <cell r="LS91">
            <v>17.588783669999998</v>
          </cell>
          <cell r="LT91">
            <v>4.7911063299999999</v>
          </cell>
          <cell r="LU91">
            <v>7.5318475299999985</v>
          </cell>
          <cell r="LV91">
            <v>1.4386166999999999</v>
          </cell>
          <cell r="LW91">
            <v>0.57571571999999993</v>
          </cell>
          <cell r="LX91">
            <v>1.4227200000000001E-2</v>
          </cell>
          <cell r="LZ91">
            <v>246.9</v>
          </cell>
          <cell r="MA91">
            <v>167.76</v>
          </cell>
          <cell r="MH91">
            <v>385.2</v>
          </cell>
          <cell r="MI91">
            <v>132.37</v>
          </cell>
          <cell r="MJ91">
            <v>224.06</v>
          </cell>
          <cell r="ML91">
            <v>380.97</v>
          </cell>
          <cell r="MM91">
            <v>251.55</v>
          </cell>
          <cell r="MO91">
            <v>197.26</v>
          </cell>
          <cell r="MP91">
            <v>317.44</v>
          </cell>
          <cell r="MQ91">
            <v>375.09</v>
          </cell>
          <cell r="MU91">
            <v>105.65</v>
          </cell>
          <cell r="MY91">
            <v>351.2</v>
          </cell>
          <cell r="MZ91">
            <v>882</v>
          </cell>
          <cell r="NA91">
            <v>401.64</v>
          </cell>
          <cell r="NB91">
            <v>1203.51</v>
          </cell>
          <cell r="NC91">
            <v>200.61</v>
          </cell>
          <cell r="ND91">
            <v>1490</v>
          </cell>
          <cell r="NE91">
            <v>929.54</v>
          </cell>
        </row>
        <row r="92">
          <cell r="A92">
            <v>44866</v>
          </cell>
          <cell r="B92">
            <v>11</v>
          </cell>
          <cell r="C92">
            <v>2022</v>
          </cell>
          <cell r="D92">
            <v>92</v>
          </cell>
          <cell r="E92">
            <v>44866</v>
          </cell>
          <cell r="F92">
            <v>168.39</v>
          </cell>
          <cell r="G92">
            <v>1079.3</v>
          </cell>
          <cell r="H92">
            <v>98914.95</v>
          </cell>
          <cell r="I92">
            <v>111</v>
          </cell>
          <cell r="J92">
            <v>890</v>
          </cell>
          <cell r="K92">
            <v>10</v>
          </cell>
          <cell r="L92">
            <v>29.1</v>
          </cell>
          <cell r="N92">
            <v>2.48</v>
          </cell>
          <cell r="O92">
            <v>2.06</v>
          </cell>
          <cell r="P92">
            <v>363.13303499999995</v>
          </cell>
          <cell r="Q92">
            <v>4400</v>
          </cell>
          <cell r="R92">
            <v>44000</v>
          </cell>
          <cell r="S92">
            <v>280</v>
          </cell>
          <cell r="T92">
            <v>477.42063067878144</v>
          </cell>
          <cell r="U92">
            <v>259.40000000000003</v>
          </cell>
          <cell r="V92">
            <v>374.97142857142853</v>
          </cell>
          <cell r="W92">
            <v>294</v>
          </cell>
          <cell r="X92">
            <v>348.0809523809524</v>
          </cell>
          <cell r="Y92">
            <v>47149.2</v>
          </cell>
          <cell r="Z92">
            <v>80392.86</v>
          </cell>
          <cell r="AA92">
            <v>43680.366000000002</v>
          </cell>
          <cell r="AB92">
            <v>63141.438857142843</v>
          </cell>
          <cell r="AC92">
            <v>49506.659999999996</v>
          </cell>
          <cell r="AD92">
            <v>58613.351571428568</v>
          </cell>
          <cell r="AE92">
            <v>57080.646071428571</v>
          </cell>
          <cell r="AF92">
            <v>118624.80952380953</v>
          </cell>
          <cell r="AG92">
            <v>70080</v>
          </cell>
          <cell r="AH92">
            <v>266000</v>
          </cell>
          <cell r="AI92">
            <v>87.667100000000005</v>
          </cell>
          <cell r="AJ92">
            <v>81.768000000000001</v>
          </cell>
          <cell r="AK92">
            <v>52.183</v>
          </cell>
          <cell r="AL92">
            <v>49.130400000000002</v>
          </cell>
          <cell r="AM92">
            <v>68.956462000000002</v>
          </cell>
          <cell r="AN92">
            <v>233.44727272727278</v>
          </cell>
          <cell r="AO92">
            <v>136.33000000000001</v>
          </cell>
          <cell r="AP92">
            <v>184.88863636363641</v>
          </cell>
          <cell r="AQ92">
            <v>76.3</v>
          </cell>
          <cell r="AR92">
            <v>79.12</v>
          </cell>
          <cell r="AS92">
            <v>73.67</v>
          </cell>
          <cell r="AT92">
            <v>76.25</v>
          </cell>
          <cell r="AU92">
            <v>76.346666666666678</v>
          </cell>
          <cell r="AV92">
            <v>94.8</v>
          </cell>
          <cell r="AW92">
            <v>132.63</v>
          </cell>
          <cell r="AX92">
            <v>139.37</v>
          </cell>
          <cell r="AY92">
            <v>104.47</v>
          </cell>
          <cell r="AZ92">
            <v>50.55</v>
          </cell>
          <cell r="BA92">
            <v>120.53</v>
          </cell>
          <cell r="BB92">
            <v>103.72999999999999</v>
          </cell>
          <cell r="BC92">
            <v>7746</v>
          </cell>
          <cell r="BD92">
            <v>5850</v>
          </cell>
          <cell r="BE92">
            <v>4200</v>
          </cell>
          <cell r="BF92">
            <v>2500</v>
          </cell>
          <cell r="BG92">
            <v>5074</v>
          </cell>
          <cell r="BH92">
            <v>287.83</v>
          </cell>
          <cell r="BI92">
            <v>100</v>
          </cell>
          <cell r="BJ92">
            <v>387.83</v>
          </cell>
          <cell r="BK92">
            <v>299.904</v>
          </cell>
          <cell r="BL92">
            <v>360.35</v>
          </cell>
          <cell r="BM92">
            <v>330.12700000000001</v>
          </cell>
          <cell r="BN92">
            <v>61.59</v>
          </cell>
          <cell r="BO92">
            <v>269.60000000000002</v>
          </cell>
          <cell r="BP92">
            <v>219.77</v>
          </cell>
          <cell r="BQ92">
            <v>264.61700000000002</v>
          </cell>
          <cell r="BR92">
            <v>250.24</v>
          </cell>
          <cell r="BS92">
            <v>800</v>
          </cell>
          <cell r="BT92">
            <v>126.29249999999999</v>
          </cell>
          <cell r="BU92">
            <v>9978.8775000000005</v>
          </cell>
          <cell r="BV92">
            <v>342.3</v>
          </cell>
          <cell r="BW92">
            <v>675</v>
          </cell>
          <cell r="BY92">
            <v>2113.1811513605317</v>
          </cell>
          <cell r="BZ92">
            <v>1725.7529852342132</v>
          </cell>
          <cell r="CA92">
            <v>2021.9749318444844</v>
          </cell>
          <cell r="CB92">
            <v>1903.4272835144307</v>
          </cell>
          <cell r="CC92">
            <v>1921.1693230204737</v>
          </cell>
          <cell r="CD92">
            <v>1941.6790615582493</v>
          </cell>
          <cell r="CE92">
            <v>1980.8247986804886</v>
          </cell>
          <cell r="CF92">
            <v>2124.6933509226524</v>
          </cell>
          <cell r="CG92">
            <v>1982.2947915901298</v>
          </cell>
          <cell r="CH92">
            <v>1888.1061722609015</v>
          </cell>
          <cell r="CI92">
            <v>2099.2658423489429</v>
          </cell>
          <cell r="CJ92">
            <v>1741.6386618140998</v>
          </cell>
          <cell r="CK92">
            <v>2166.6974976171296</v>
          </cell>
          <cell r="CL92">
            <v>1900.3495642142657</v>
          </cell>
          <cell r="CM92">
            <v>1360.9949845499521</v>
          </cell>
          <cell r="CN92">
            <v>1744.4008650692479</v>
          </cell>
          <cell r="CO92">
            <v>1793.1107278626487</v>
          </cell>
          <cell r="CP92">
            <v>1918.1604679094228</v>
          </cell>
          <cell r="CQ92">
            <v>1599.6916897139263</v>
          </cell>
          <cell r="CR92">
            <v>1594.0332636925971</v>
          </cell>
          <cell r="CS92">
            <v>1596.8624767032616</v>
          </cell>
          <cell r="CT92">
            <v>1533.4835414424224</v>
          </cell>
          <cell r="CU92">
            <v>1677.4619610575326</v>
          </cell>
          <cell r="CV92">
            <v>1668.2945240853951</v>
          </cell>
          <cell r="CW92">
            <v>1668.2945240853951</v>
          </cell>
          <cell r="CX92">
            <v>1671.3503364094411</v>
          </cell>
          <cell r="CY92">
            <v>1459.1626956421667</v>
          </cell>
          <cell r="CZ92">
            <v>1895.4529626860608</v>
          </cell>
          <cell r="DA92">
            <v>1545.6461855240207</v>
          </cell>
          <cell r="DB92">
            <v>1744.6252868477841</v>
          </cell>
          <cell r="DC92">
            <v>1921.4944327693452</v>
          </cell>
          <cell r="DD92">
            <v>1894.015413233456</v>
          </cell>
          <cell r="DE92">
            <v>1722.2370111322448</v>
          </cell>
          <cell r="DF92">
            <v>1998.5793103987078</v>
          </cell>
          <cell r="DG92">
            <v>1860.4081607654762</v>
          </cell>
          <cell r="DH92">
            <v>1620.9514548186726</v>
          </cell>
          <cell r="DI92">
            <v>1465.062688878734</v>
          </cell>
          <cell r="DK92">
            <v>580000</v>
          </cell>
          <cell r="DL92" t="str">
            <v>2022-23</v>
          </cell>
          <cell r="DM92">
            <v>200000</v>
          </cell>
          <cell r="DN92" t="str">
            <v>2022-23</v>
          </cell>
          <cell r="DO92">
            <v>1750000</v>
          </cell>
          <cell r="DP92" t="str">
            <v>2022-23</v>
          </cell>
          <cell r="DQ92">
            <v>2200000</v>
          </cell>
          <cell r="DR92" t="str">
            <v>2022-23</v>
          </cell>
          <cell r="DS92">
            <v>7300000</v>
          </cell>
          <cell r="DT92" t="str">
            <v>2022-23</v>
          </cell>
          <cell r="DU92">
            <v>16500000</v>
          </cell>
          <cell r="DV92" t="str">
            <v>2022-23</v>
          </cell>
          <cell r="DW92">
            <v>950000</v>
          </cell>
          <cell r="DX92" t="str">
            <v>2022-23</v>
          </cell>
          <cell r="DY92">
            <v>6100000</v>
          </cell>
          <cell r="DZ92" t="str">
            <v>2022-23</v>
          </cell>
          <cell r="EA92">
            <v>34800000</v>
          </cell>
          <cell r="EB92">
            <v>373795</v>
          </cell>
          <cell r="EC92" t="str">
            <v>2022-23</v>
          </cell>
          <cell r="ED92">
            <v>209277</v>
          </cell>
          <cell r="EE92">
            <v>2022</v>
          </cell>
          <cell r="EF92">
            <v>207047</v>
          </cell>
          <cell r="EG92">
            <v>2022</v>
          </cell>
          <cell r="EH92">
            <v>53416435</v>
          </cell>
          <cell r="EI92">
            <v>2022</v>
          </cell>
          <cell r="EJ92">
            <v>5477107</v>
          </cell>
          <cell r="EK92">
            <v>2022</v>
          </cell>
          <cell r="EL92">
            <v>12461845</v>
          </cell>
          <cell r="EM92">
            <v>2022</v>
          </cell>
          <cell r="EN92">
            <v>3169981</v>
          </cell>
          <cell r="EO92">
            <v>2021</v>
          </cell>
          <cell r="EP92">
            <v>6552</v>
          </cell>
          <cell r="EQ92">
            <v>3500000</v>
          </cell>
          <cell r="ER92">
            <v>74633.333333333328</v>
          </cell>
          <cell r="ET92">
            <v>17456</v>
          </cell>
          <cell r="EU92">
            <v>19445</v>
          </cell>
          <cell r="EV92">
            <v>9018</v>
          </cell>
          <cell r="EW92">
            <v>17386</v>
          </cell>
          <cell r="EX92">
            <v>63305</v>
          </cell>
          <cell r="EY92">
            <v>20049</v>
          </cell>
          <cell r="EZ92">
            <v>33638</v>
          </cell>
          <cell r="FA92">
            <v>19948</v>
          </cell>
          <cell r="FB92">
            <v>15432</v>
          </cell>
          <cell r="FC92">
            <v>35380</v>
          </cell>
          <cell r="FD92">
            <v>56856.849999999991</v>
          </cell>
          <cell r="FF92">
            <v>1100000</v>
          </cell>
          <cell r="FG92" t="str">
            <v>2021-22</v>
          </cell>
          <cell r="FH92">
            <v>1200000</v>
          </cell>
          <cell r="FI92" t="str">
            <v>2021-22</v>
          </cell>
          <cell r="FJ92">
            <v>4700000</v>
          </cell>
          <cell r="FK92" t="str">
            <v>2022-23</v>
          </cell>
          <cell r="FL92">
            <v>4000000</v>
          </cell>
          <cell r="FM92" t="str">
            <v>2021-22</v>
          </cell>
          <cell r="FN92">
            <v>52000000</v>
          </cell>
          <cell r="FO92" t="str">
            <v>2021-22</v>
          </cell>
          <cell r="FP92">
            <v>44000000</v>
          </cell>
          <cell r="FQ92" t="str">
            <v>2021-22</v>
          </cell>
          <cell r="FR92">
            <v>2800000</v>
          </cell>
          <cell r="FS92" t="str">
            <v>2021-22</v>
          </cell>
          <cell r="FT92">
            <v>13400000</v>
          </cell>
          <cell r="FU92" t="str">
            <v>2022-23</v>
          </cell>
          <cell r="FV92">
            <v>120900000</v>
          </cell>
          <cell r="FW92">
            <v>1350000</v>
          </cell>
          <cell r="FX92" t="str">
            <v>2021-22</v>
          </cell>
          <cell r="FY92">
            <v>0</v>
          </cell>
          <cell r="FZ92">
            <v>844200</v>
          </cell>
          <cell r="GA92" t="str">
            <v>dic21 nov22</v>
          </cell>
          <cell r="GB92">
            <v>19368031</v>
          </cell>
          <cell r="GC92">
            <v>2022</v>
          </cell>
          <cell r="GD92">
            <v>1770000</v>
          </cell>
          <cell r="GE92">
            <v>380000</v>
          </cell>
          <cell r="GF92">
            <v>800000</v>
          </cell>
          <cell r="GG92">
            <v>94581</v>
          </cell>
          <cell r="GH92">
            <v>1274581</v>
          </cell>
          <cell r="GI92">
            <v>1302556</v>
          </cell>
          <cell r="GJ92">
            <v>665558</v>
          </cell>
          <cell r="GK92">
            <v>1393000</v>
          </cell>
          <cell r="GL92">
            <v>300028.90000000002</v>
          </cell>
          <cell r="GM92">
            <v>259304.56</v>
          </cell>
          <cell r="GN92">
            <v>2617891.46</v>
          </cell>
          <cell r="GO92">
            <v>200935</v>
          </cell>
          <cell r="GP92">
            <v>73046</v>
          </cell>
          <cell r="GQ92">
            <v>69397</v>
          </cell>
          <cell r="GR92">
            <v>42288</v>
          </cell>
          <cell r="GS92">
            <v>44369.91</v>
          </cell>
          <cell r="GT92">
            <v>2410599</v>
          </cell>
          <cell r="GU92">
            <v>22824</v>
          </cell>
          <cell r="GV92">
            <v>27576</v>
          </cell>
          <cell r="GW92">
            <v>993960</v>
          </cell>
          <cell r="GX92">
            <v>33063.449999999997</v>
          </cell>
          <cell r="GY92" t="str">
            <v>2021-2022</v>
          </cell>
          <cell r="GZ92">
            <v>91610</v>
          </cell>
          <cell r="HA92">
            <v>269217</v>
          </cell>
          <cell r="HB92">
            <v>3097677</v>
          </cell>
          <cell r="HC92" t="str">
            <v>dic21 nov22</v>
          </cell>
          <cell r="HD92">
            <v>60637</v>
          </cell>
          <cell r="HE92">
            <v>692719</v>
          </cell>
          <cell r="HF92" t="str">
            <v>dic21 nov22</v>
          </cell>
          <cell r="HG92">
            <v>205000</v>
          </cell>
          <cell r="HH92">
            <v>2331335</v>
          </cell>
          <cell r="HI92" t="str">
            <v>dic21 nov22</v>
          </cell>
          <cell r="HJ92">
            <v>114709</v>
          </cell>
          <cell r="HK92">
            <v>67022.759999999995</v>
          </cell>
          <cell r="HL92" t="str">
            <v>dic21 nov22</v>
          </cell>
          <cell r="HM92">
            <v>2398357.7599999998</v>
          </cell>
          <cell r="HN92">
            <v>-2.8803267397980337E-2</v>
          </cell>
          <cell r="HO92">
            <v>1046000000</v>
          </cell>
          <cell r="HP92">
            <v>11574.349742615621</v>
          </cell>
          <cell r="HQ92" t="str">
            <v>dic21 nov22</v>
          </cell>
          <cell r="HU92">
            <v>650000</v>
          </cell>
          <cell r="HV92" t="str">
            <v>2021-22</v>
          </cell>
          <cell r="HW92">
            <v>1500000</v>
          </cell>
          <cell r="HX92" t="str">
            <v>2022-23</v>
          </cell>
          <cell r="HY92">
            <v>3850000</v>
          </cell>
          <cell r="HZ92" t="str">
            <v>2021-22</v>
          </cell>
          <cell r="IA92">
            <v>21570000</v>
          </cell>
          <cell r="IB92" t="str">
            <v>2021-22</v>
          </cell>
          <cell r="IC92">
            <v>39940000</v>
          </cell>
          <cell r="ID92" t="str">
            <v>2021-22</v>
          </cell>
          <cell r="IE92">
            <v>800000</v>
          </cell>
          <cell r="IF92" t="str">
            <v>2021-22</v>
          </cell>
          <cell r="IG92">
            <v>7400000</v>
          </cell>
          <cell r="IH92" t="str">
            <v>2022-23</v>
          </cell>
          <cell r="II92">
            <v>75060000</v>
          </cell>
          <cell r="IJ92">
            <v>1.9073407006405101</v>
          </cell>
          <cell r="IK92" t="str">
            <v>2021-22</v>
          </cell>
          <cell r="IL92">
            <v>46.04</v>
          </cell>
          <cell r="IM92">
            <v>48.3</v>
          </cell>
          <cell r="IN92">
            <v>188.6</v>
          </cell>
          <cell r="IO92">
            <v>16.89</v>
          </cell>
          <cell r="IP92">
            <v>5.945790982656427</v>
          </cell>
          <cell r="IQ92">
            <v>18</v>
          </cell>
          <cell r="IR92">
            <v>7.01</v>
          </cell>
          <cell r="IS92">
            <v>4.3099999999999996</v>
          </cell>
          <cell r="IT92">
            <v>13.02</v>
          </cell>
          <cell r="IU92">
            <v>1.44</v>
          </cell>
          <cell r="IV92">
            <v>18.77</v>
          </cell>
          <cell r="IY92">
            <v>1.88</v>
          </cell>
          <cell r="IZ92">
            <v>0.3</v>
          </cell>
          <cell r="JA92">
            <v>2813</v>
          </cell>
          <cell r="JF92">
            <v>14.835861399999999</v>
          </cell>
          <cell r="JG92">
            <v>22.47426432</v>
          </cell>
          <cell r="JH92">
            <v>85.099139799999989</v>
          </cell>
          <cell r="JI92">
            <v>203.39629721</v>
          </cell>
          <cell r="JJ92">
            <v>579.47806146000005</v>
          </cell>
          <cell r="JK92">
            <v>106.58558735000001</v>
          </cell>
          <cell r="JL92">
            <v>3413.9943260600003</v>
          </cell>
          <cell r="JM92">
            <v>10.65554</v>
          </cell>
          <cell r="JN92">
            <v>158.19321539000003</v>
          </cell>
          <cell r="JO92">
            <v>16.985680380000005</v>
          </cell>
          <cell r="JP92">
            <v>0</v>
          </cell>
          <cell r="JQ92">
            <v>0.68748600000000004</v>
          </cell>
          <cell r="JR92">
            <v>2.2659872500000002</v>
          </cell>
          <cell r="JS92">
            <v>0</v>
          </cell>
          <cell r="JT92">
            <v>0.16093199999999999</v>
          </cell>
          <cell r="JU92">
            <v>77.449795309999999</v>
          </cell>
          <cell r="JV92">
            <v>8.0370945900000006</v>
          </cell>
          <cell r="JW92">
            <v>10.172265399999999</v>
          </cell>
          <cell r="JX92">
            <v>11.531533580000001</v>
          </cell>
          <cell r="JY92">
            <v>0</v>
          </cell>
          <cell r="JZ92">
            <v>2.5939215799999999</v>
          </cell>
          <cell r="KA92">
            <v>0.17749999999999999</v>
          </cell>
          <cell r="KB92">
            <v>28.769997110000002</v>
          </cell>
          <cell r="KC92">
            <v>136.09986096</v>
          </cell>
          <cell r="KD92">
            <v>11.086418249999999</v>
          </cell>
          <cell r="KE92">
            <v>12.97807542</v>
          </cell>
          <cell r="KF92">
            <v>53.715518810000006</v>
          </cell>
          <cell r="KG92">
            <v>342.68232461000008</v>
          </cell>
          <cell r="KH92">
            <v>167.62191332</v>
          </cell>
          <cell r="KI92">
            <v>19.069193389999999</v>
          </cell>
          <cell r="KJ92">
            <v>1.0656519800000002</v>
          </cell>
          <cell r="KK92">
            <v>13.016290730000001</v>
          </cell>
          <cell r="KL92">
            <v>4.3800639999999995E-2</v>
          </cell>
          <cell r="KM92">
            <v>0.36097794</v>
          </cell>
          <cell r="KN92">
            <v>5.5431869000000003</v>
          </cell>
          <cell r="KO92">
            <v>16.725979240000004</v>
          </cell>
          <cell r="KP92">
            <v>0.21936422</v>
          </cell>
          <cell r="KQ92">
            <v>117.89752109</v>
          </cell>
          <cell r="KR92">
            <v>2.3155990000000001E-2</v>
          </cell>
          <cell r="KS92">
            <v>0.15503899999999998</v>
          </cell>
          <cell r="KT92">
            <v>1.0036533000000001</v>
          </cell>
          <cell r="KU92">
            <v>1.4896021499999998</v>
          </cell>
          <cell r="KV92">
            <v>2.7300000000000001E-2</v>
          </cell>
          <cell r="KW92">
            <v>0.69046918999999995</v>
          </cell>
          <cell r="KX92">
            <v>0</v>
          </cell>
          <cell r="KY92">
            <v>0.16014</v>
          </cell>
          <cell r="KZ92">
            <v>2.89069318</v>
          </cell>
          <cell r="LA92">
            <v>0.38693978000000001</v>
          </cell>
          <cell r="LB92">
            <v>5.4328000000000001E-2</v>
          </cell>
          <cell r="LC92">
            <v>0.12479487</v>
          </cell>
          <cell r="LD92">
            <v>0</v>
          </cell>
          <cell r="LE92">
            <v>0</v>
          </cell>
          <cell r="LF92">
            <v>4.77876E-2</v>
          </cell>
          <cell r="LG92">
            <v>18.931102379999999</v>
          </cell>
          <cell r="LH92">
            <v>4.23429112</v>
          </cell>
          <cell r="LI92">
            <v>0.77264063999999999</v>
          </cell>
          <cell r="LJ92">
            <v>5.9353800000000005E-2</v>
          </cell>
          <cell r="LK92">
            <v>5.9863547400000003</v>
          </cell>
          <cell r="LL92">
            <v>2.6207546900000001</v>
          </cell>
          <cell r="LM92">
            <v>2.4168714900000001</v>
          </cell>
          <cell r="LN92">
            <v>0.68639446999999998</v>
          </cell>
          <cell r="LO92">
            <v>7.2061905900000003</v>
          </cell>
          <cell r="LQ92">
            <v>4450.8165799199996</v>
          </cell>
          <cell r="LR92">
            <v>3.1144052499999999</v>
          </cell>
          <cell r="LS92">
            <v>18.209359989999999</v>
          </cell>
          <cell r="LT92">
            <v>2.7714215800000002</v>
          </cell>
          <cell r="LU92">
            <v>140.70586015999999</v>
          </cell>
          <cell r="LV92">
            <v>0.87790919000000001</v>
          </cell>
          <cell r="LW92">
            <v>0.44126778</v>
          </cell>
          <cell r="LX92">
            <v>4.77876E-2</v>
          </cell>
          <cell r="LZ92">
            <v>257.31</v>
          </cell>
          <cell r="MA92">
            <v>173.27</v>
          </cell>
          <cell r="MH92">
            <v>407.77</v>
          </cell>
          <cell r="MI92">
            <v>140.69999999999999</v>
          </cell>
          <cell r="MJ92">
            <v>206.65</v>
          </cell>
          <cell r="ML92">
            <v>327.27999999999997</v>
          </cell>
          <cell r="MM92">
            <v>215.5</v>
          </cell>
          <cell r="MO92">
            <v>227.07</v>
          </cell>
          <cell r="MP92">
            <v>336.02</v>
          </cell>
          <cell r="MQ92">
            <v>423.17</v>
          </cell>
          <cell r="MU92">
            <v>110.58</v>
          </cell>
          <cell r="MY92">
            <v>369.28</v>
          </cell>
          <cell r="MZ92">
            <v>877</v>
          </cell>
          <cell r="NA92">
            <v>412.71</v>
          </cell>
          <cell r="NB92">
            <v>1208.9000000000001</v>
          </cell>
          <cell r="NC92">
            <v>210.21</v>
          </cell>
          <cell r="ND92">
            <v>1690</v>
          </cell>
          <cell r="NE92">
            <v>946.84</v>
          </cell>
        </row>
        <row r="93">
          <cell r="A93">
            <v>44896</v>
          </cell>
          <cell r="B93">
            <v>12</v>
          </cell>
          <cell r="C93">
            <v>2022</v>
          </cell>
          <cell r="D93">
            <v>93</v>
          </cell>
          <cell r="E93">
            <v>44896</v>
          </cell>
          <cell r="F93">
            <v>179.29</v>
          </cell>
          <cell r="G93">
            <v>1134.5999999999999</v>
          </cell>
          <cell r="H93">
            <v>131591.70000000001</v>
          </cell>
          <cell r="I93">
            <v>116</v>
          </cell>
          <cell r="J93">
            <v>820</v>
          </cell>
          <cell r="K93">
            <v>10</v>
          </cell>
          <cell r="L93">
            <v>36.9</v>
          </cell>
          <cell r="N93">
            <v>2.4700000000000002</v>
          </cell>
          <cell r="O93">
            <v>2.08</v>
          </cell>
          <cell r="P93">
            <v>387.49051250000002</v>
          </cell>
          <cell r="Q93">
            <v>4400</v>
          </cell>
          <cell r="R93">
            <v>44000</v>
          </cell>
          <cell r="S93">
            <v>265.29000000000002</v>
          </cell>
          <cell r="T93">
            <v>409.33822299068549</v>
          </cell>
          <cell r="U93">
            <v>263.10500000000002</v>
          </cell>
          <cell r="V93">
            <v>394.51</v>
          </cell>
          <cell r="W93">
            <v>291</v>
          </cell>
          <cell r="X93">
            <v>327.755</v>
          </cell>
          <cell r="Y93">
            <v>47563.844100000002</v>
          </cell>
          <cell r="Z93">
            <v>73390.25</v>
          </cell>
          <cell r="AA93">
            <v>47172.095450000001</v>
          </cell>
          <cell r="AB93">
            <v>70731.697899999999</v>
          </cell>
          <cell r="AC93">
            <v>52173.39</v>
          </cell>
          <cell r="AD93">
            <v>58763.193949999993</v>
          </cell>
          <cell r="AE93">
            <v>58299.078566666663</v>
          </cell>
          <cell r="AF93">
            <v>126614.2</v>
          </cell>
          <cell r="AG93">
            <v>70080</v>
          </cell>
          <cell r="AH93">
            <v>266000</v>
          </cell>
          <cell r="AI93">
            <v>104.8064</v>
          </cell>
          <cell r="AJ93">
            <v>77.892499999999998</v>
          </cell>
          <cell r="AK93">
            <v>63.311500000000002</v>
          </cell>
          <cell r="AL93">
            <v>62.825400000000002</v>
          </cell>
          <cell r="AM93">
            <v>82.865729999999999</v>
          </cell>
          <cell r="AN93">
            <v>268.02750000000003</v>
          </cell>
          <cell r="AO93">
            <v>160.12</v>
          </cell>
          <cell r="AP93">
            <v>214.07375000000002</v>
          </cell>
          <cell r="AQ93">
            <v>171.49</v>
          </cell>
          <cell r="AR93">
            <v>92.48</v>
          </cell>
          <cell r="AS93">
            <v>82.74</v>
          </cell>
          <cell r="AT93">
            <v>101.97</v>
          </cell>
          <cell r="AU93">
            <v>92.396666666666661</v>
          </cell>
          <cell r="AV93">
            <v>104.59</v>
          </cell>
          <cell r="AW93">
            <v>139.97</v>
          </cell>
          <cell r="AX93">
            <v>109.81</v>
          </cell>
          <cell r="AY93">
            <v>102.02</v>
          </cell>
          <cell r="AZ93">
            <v>95.25</v>
          </cell>
          <cell r="BA93">
            <v>109.88</v>
          </cell>
          <cell r="BB93">
            <v>104.24</v>
          </cell>
          <cell r="BC93">
            <v>8133</v>
          </cell>
          <cell r="BD93">
            <v>5850</v>
          </cell>
          <cell r="BE93">
            <v>4200</v>
          </cell>
          <cell r="BF93">
            <v>2500</v>
          </cell>
          <cell r="BG93">
            <v>5170.75</v>
          </cell>
          <cell r="BH93">
            <v>287.33</v>
          </cell>
          <cell r="BI93">
            <v>100</v>
          </cell>
          <cell r="BJ93">
            <v>387.33</v>
          </cell>
          <cell r="BK93">
            <v>306.21800000000002</v>
          </cell>
          <cell r="BL93">
            <v>366.77</v>
          </cell>
          <cell r="BM93">
            <v>336.49400000000003</v>
          </cell>
          <cell r="BN93">
            <v>66.239999999999995</v>
          </cell>
          <cell r="BO93">
            <v>291.60000000000002</v>
          </cell>
          <cell r="BP93">
            <v>219.77</v>
          </cell>
          <cell r="BQ93">
            <v>284.41700000000003</v>
          </cell>
          <cell r="BR93">
            <v>258.88</v>
          </cell>
          <cell r="BS93">
            <v>850</v>
          </cell>
          <cell r="BT93">
            <v>145.22489999999999</v>
          </cell>
          <cell r="BU93">
            <v>10635.6747</v>
          </cell>
          <cell r="BV93">
            <v>361.3</v>
          </cell>
          <cell r="BW93">
            <v>900</v>
          </cell>
          <cell r="BY93">
            <v>2318.116849213859</v>
          </cell>
          <cell r="BZ93">
            <v>1915.3758203523416</v>
          </cell>
          <cell r="CA93">
            <v>2202.0788739521167</v>
          </cell>
          <cell r="CB93">
            <v>2033.7698570791567</v>
          </cell>
          <cell r="CC93">
            <v>2154.0199010966976</v>
          </cell>
          <cell r="CD93">
            <v>2171.8552406448835</v>
          </cell>
          <cell r="CE93">
            <v>2201.9763304142534</v>
          </cell>
          <cell r="CF93">
            <v>2308.2049071105116</v>
          </cell>
          <cell r="CG93">
            <v>2178.6508517162702</v>
          </cell>
          <cell r="CH93">
            <v>2067.5842972640298</v>
          </cell>
          <cell r="CI93">
            <v>2334.1112428432498</v>
          </cell>
          <cell r="CJ93">
            <v>2039.8133587293798</v>
          </cell>
          <cell r="CK93">
            <v>2234.6356778965455</v>
          </cell>
          <cell r="CL93">
            <v>2108.0300439533453</v>
          </cell>
          <cell r="CM93">
            <v>1790.282323957269</v>
          </cell>
          <cell r="CN93">
            <v>1983.6164509368884</v>
          </cell>
          <cell r="CO93">
            <v>2029.1411241860121</v>
          </cell>
          <cell r="CP93">
            <v>2241.8751420529074</v>
          </cell>
          <cell r="CQ93">
            <v>1892.209972028231</v>
          </cell>
          <cell r="CR93">
            <v>1891.1557423953723</v>
          </cell>
          <cell r="CS93">
            <v>1891.6828572118015</v>
          </cell>
          <cell r="CT93">
            <v>1897.0520656020324</v>
          </cell>
          <cell r="CU93">
            <v>1940.7594035900863</v>
          </cell>
          <cell r="CV93">
            <v>1925.5320936116846</v>
          </cell>
          <cell r="CW93">
            <v>1925.5320936116846</v>
          </cell>
          <cell r="CX93">
            <v>1930.6078636044851</v>
          </cell>
          <cell r="CY93">
            <v>1803.8059291730481</v>
          </cell>
          <cell r="CZ93">
            <v>2270.1031768410089</v>
          </cell>
          <cell r="DA93">
            <v>1870.9219133692159</v>
          </cell>
          <cell r="DB93">
            <v>1988.2525848343416</v>
          </cell>
          <cell r="DC93">
            <v>2120.4350628398388</v>
          </cell>
          <cell r="DD93">
            <v>2101.3100367459197</v>
          </cell>
          <cell r="DE93">
            <v>1923.3746694342508</v>
          </cell>
          <cell r="DF93">
            <v>2194.1229960796686</v>
          </cell>
          <cell r="DG93">
            <v>2058.7488327569599</v>
          </cell>
          <cell r="DH93">
            <v>1922.459957074436</v>
          </cell>
          <cell r="DI93">
            <v>1785.524163639019</v>
          </cell>
          <cell r="DK93">
            <v>580000</v>
          </cell>
          <cell r="DL93" t="str">
            <v>2022-23</v>
          </cell>
          <cell r="DM93">
            <v>200000</v>
          </cell>
          <cell r="DN93" t="str">
            <v>2022-23</v>
          </cell>
          <cell r="DO93">
            <v>1800000</v>
          </cell>
          <cell r="DP93" t="str">
            <v>2022-23</v>
          </cell>
          <cell r="DQ93">
            <v>2200000</v>
          </cell>
          <cell r="DR93" t="str">
            <v>2022-23</v>
          </cell>
          <cell r="DS93">
            <v>7300000</v>
          </cell>
          <cell r="DT93" t="str">
            <v>2022-23</v>
          </cell>
          <cell r="DU93">
            <v>16500000</v>
          </cell>
          <cell r="DV93" t="str">
            <v>2022-23</v>
          </cell>
          <cell r="DW93">
            <v>930000</v>
          </cell>
          <cell r="DX93" t="str">
            <v>2022-23</v>
          </cell>
          <cell r="DY93">
            <v>5900000</v>
          </cell>
          <cell r="DZ93" t="str">
            <v>2022-23</v>
          </cell>
          <cell r="EA93">
            <v>34630000</v>
          </cell>
          <cell r="EB93">
            <v>373795</v>
          </cell>
          <cell r="EC93" t="str">
            <v>2022-23</v>
          </cell>
          <cell r="ED93">
            <v>209277</v>
          </cell>
          <cell r="EE93">
            <v>2022</v>
          </cell>
          <cell r="EF93">
            <v>207047</v>
          </cell>
          <cell r="EG93">
            <v>2022</v>
          </cell>
          <cell r="EH93">
            <v>53416435</v>
          </cell>
          <cell r="EI93">
            <v>2022</v>
          </cell>
          <cell r="EJ93">
            <v>5477107</v>
          </cell>
          <cell r="EK93">
            <v>2022</v>
          </cell>
          <cell r="EL93">
            <v>12461845</v>
          </cell>
          <cell r="EM93">
            <v>2022</v>
          </cell>
          <cell r="EN93">
            <v>3169981</v>
          </cell>
          <cell r="EO93">
            <v>2021</v>
          </cell>
          <cell r="EP93">
            <v>6552</v>
          </cell>
          <cell r="EQ93">
            <v>3500000</v>
          </cell>
          <cell r="ER93">
            <v>74633.333333333328</v>
          </cell>
          <cell r="ET93">
            <v>17456</v>
          </cell>
          <cell r="EU93">
            <v>19445</v>
          </cell>
          <cell r="EV93">
            <v>9018</v>
          </cell>
          <cell r="EW93">
            <v>17386</v>
          </cell>
          <cell r="EX93">
            <v>63305</v>
          </cell>
          <cell r="EY93">
            <v>20049</v>
          </cell>
          <cell r="EZ93">
            <v>33638</v>
          </cell>
          <cell r="FA93">
            <v>19948</v>
          </cell>
          <cell r="FB93">
            <v>15432</v>
          </cell>
          <cell r="FC93">
            <v>35380</v>
          </cell>
          <cell r="FD93">
            <v>56856.849999999991</v>
          </cell>
          <cell r="FF93">
            <v>1100000</v>
          </cell>
          <cell r="FG93" t="str">
            <v>2021-22</v>
          </cell>
          <cell r="FH93">
            <v>1200000</v>
          </cell>
          <cell r="FI93" t="str">
            <v>2021-22</v>
          </cell>
          <cell r="FJ93">
            <v>4700000</v>
          </cell>
          <cell r="FK93" t="str">
            <v>2022-23</v>
          </cell>
          <cell r="FL93">
            <v>4000000</v>
          </cell>
          <cell r="FM93" t="str">
            <v>2021-22</v>
          </cell>
          <cell r="FN93">
            <v>50000000</v>
          </cell>
          <cell r="FO93" t="str">
            <v>2022-23</v>
          </cell>
          <cell r="FP93">
            <v>44000000</v>
          </cell>
          <cell r="FQ93" t="str">
            <v>2021-22</v>
          </cell>
          <cell r="FR93">
            <v>2800000</v>
          </cell>
          <cell r="FS93" t="str">
            <v>2021-22</v>
          </cell>
          <cell r="FT93">
            <v>13300000</v>
          </cell>
          <cell r="FU93" t="str">
            <v>2022-23</v>
          </cell>
          <cell r="FV93">
            <v>118800000</v>
          </cell>
          <cell r="FW93">
            <v>1350000</v>
          </cell>
          <cell r="FX93" t="str">
            <v>2021-22</v>
          </cell>
          <cell r="FY93">
            <v>17040.787</v>
          </cell>
          <cell r="FZ93">
            <v>829236.78700000001</v>
          </cell>
          <cell r="GA93" t="str">
            <v>ene22 dic22</v>
          </cell>
          <cell r="GB93">
            <v>19368031</v>
          </cell>
          <cell r="GC93">
            <v>2022</v>
          </cell>
          <cell r="GD93">
            <v>1770000</v>
          </cell>
          <cell r="GE93">
            <v>380000</v>
          </cell>
          <cell r="GF93">
            <v>800000</v>
          </cell>
          <cell r="GG93">
            <v>94581</v>
          </cell>
          <cell r="GH93">
            <v>1274581</v>
          </cell>
          <cell r="GI93">
            <v>1302556</v>
          </cell>
          <cell r="GJ93">
            <v>665558</v>
          </cell>
          <cell r="GK93">
            <v>1393000</v>
          </cell>
          <cell r="GL93">
            <v>300028.90000000002</v>
          </cell>
          <cell r="GM93">
            <v>259304.56</v>
          </cell>
          <cell r="GN93">
            <v>2617891.46</v>
          </cell>
          <cell r="GO93">
            <v>200935</v>
          </cell>
          <cell r="GP93">
            <v>73046</v>
          </cell>
          <cell r="GQ93">
            <v>184142</v>
          </cell>
          <cell r="GR93">
            <v>42288</v>
          </cell>
          <cell r="GS93">
            <v>47812.26</v>
          </cell>
          <cell r="GT93">
            <v>2410599</v>
          </cell>
          <cell r="GU93">
            <v>17631</v>
          </cell>
          <cell r="GV93">
            <v>27508</v>
          </cell>
          <cell r="GW93">
            <v>989510</v>
          </cell>
          <cell r="GX93">
            <v>33063.449999999997</v>
          </cell>
          <cell r="GY93" t="str">
            <v>2021-2022</v>
          </cell>
          <cell r="GZ93">
            <v>91610</v>
          </cell>
          <cell r="HA93">
            <v>277425</v>
          </cell>
          <cell r="HB93">
            <v>3115071</v>
          </cell>
          <cell r="HC93" t="str">
            <v>ene22 dic22</v>
          </cell>
          <cell r="HD93">
            <v>61223</v>
          </cell>
          <cell r="HE93">
            <v>693575</v>
          </cell>
          <cell r="HF93" t="str">
            <v>ene22 dic22</v>
          </cell>
          <cell r="HG93">
            <v>197000</v>
          </cell>
          <cell r="HH93">
            <v>2322335</v>
          </cell>
          <cell r="HI93" t="str">
            <v>ene22 dic22</v>
          </cell>
          <cell r="HJ93">
            <v>101696</v>
          </cell>
          <cell r="HK93">
            <v>67559.520000000004</v>
          </cell>
          <cell r="HL93" t="str">
            <v>ene22 dic22</v>
          </cell>
          <cell r="HM93">
            <v>2389894.52</v>
          </cell>
          <cell r="HN93">
            <v>-1.6048910966755869E-2</v>
          </cell>
          <cell r="HO93">
            <v>1030000000</v>
          </cell>
          <cell r="HP93">
            <v>11557.549742615622</v>
          </cell>
          <cell r="HQ93" t="str">
            <v>ene22 dic22</v>
          </cell>
          <cell r="HU93">
            <v>650000</v>
          </cell>
          <cell r="HV93" t="str">
            <v>2021-22</v>
          </cell>
          <cell r="HW93">
            <v>1500000</v>
          </cell>
          <cell r="HX93" t="str">
            <v>2022-23</v>
          </cell>
          <cell r="HY93">
            <v>3850000</v>
          </cell>
          <cell r="HZ93" t="str">
            <v>2021-22</v>
          </cell>
          <cell r="IA93">
            <v>21570000</v>
          </cell>
          <cell r="IB93" t="str">
            <v>2021-22</v>
          </cell>
          <cell r="IC93">
            <v>39940000</v>
          </cell>
          <cell r="ID93" t="str">
            <v>2021-22</v>
          </cell>
          <cell r="IE93">
            <v>800000</v>
          </cell>
          <cell r="IF93" t="str">
            <v>2021-22</v>
          </cell>
          <cell r="IG93">
            <v>7400000</v>
          </cell>
          <cell r="IH93" t="str">
            <v>2022-23</v>
          </cell>
          <cell r="II93">
            <v>75060000</v>
          </cell>
          <cell r="IJ93">
            <v>1.9073407006405101</v>
          </cell>
          <cell r="IK93" t="str">
            <v>2021-22</v>
          </cell>
          <cell r="IL93">
            <v>45.71</v>
          </cell>
          <cell r="IM93">
            <v>48.66</v>
          </cell>
          <cell r="IN93">
            <v>188.6</v>
          </cell>
          <cell r="IO93">
            <v>16.760000000000002</v>
          </cell>
          <cell r="IP93">
            <v>5.945790982656427</v>
          </cell>
          <cell r="IQ93">
            <v>18</v>
          </cell>
          <cell r="IR93">
            <v>7.01</v>
          </cell>
          <cell r="IS93">
            <v>4.3099999999999996</v>
          </cell>
          <cell r="IT93">
            <v>13.02</v>
          </cell>
          <cell r="IU93">
            <v>1.44</v>
          </cell>
          <cell r="IV93">
            <v>18.77</v>
          </cell>
          <cell r="IY93">
            <v>1.88</v>
          </cell>
          <cell r="IZ93">
            <v>0.3</v>
          </cell>
          <cell r="JA93">
            <v>2813</v>
          </cell>
          <cell r="JF93">
            <v>13.370618389999997</v>
          </cell>
          <cell r="JG93">
            <v>29.656605189999997</v>
          </cell>
          <cell r="JH93">
            <v>187.31142105000001</v>
          </cell>
          <cell r="JI93">
            <v>187.97071968999998</v>
          </cell>
          <cell r="JJ93">
            <v>572.21409252999979</v>
          </cell>
          <cell r="JK93">
            <v>105.24839114999997</v>
          </cell>
          <cell r="JL93">
            <v>2781.3884775000006</v>
          </cell>
          <cell r="JM93">
            <v>27.185629390000003</v>
          </cell>
          <cell r="JN93">
            <v>395.43912432999997</v>
          </cell>
          <cell r="JO93">
            <v>21.056863770000003</v>
          </cell>
          <cell r="JP93">
            <v>0</v>
          </cell>
          <cell r="JQ93">
            <v>0.90131790000000001</v>
          </cell>
          <cell r="JR93">
            <v>2.6966734799999998</v>
          </cell>
          <cell r="JS93">
            <v>0</v>
          </cell>
          <cell r="JT93">
            <v>0.105</v>
          </cell>
          <cell r="JU93">
            <v>76.334805869999997</v>
          </cell>
          <cell r="JV93">
            <v>4.9679329499999998</v>
          </cell>
          <cell r="JW93">
            <v>7.9138857700000003</v>
          </cell>
          <cell r="JX93">
            <v>9.8306596499999994</v>
          </cell>
          <cell r="JY93">
            <v>0</v>
          </cell>
          <cell r="JZ93">
            <v>1.78564474</v>
          </cell>
          <cell r="KA93">
            <v>0.20062840000000001</v>
          </cell>
          <cell r="KB93">
            <v>27.46490245</v>
          </cell>
          <cell r="KC93">
            <v>57.64022373000001</v>
          </cell>
          <cell r="KD93">
            <v>8.5781493200000014</v>
          </cell>
          <cell r="KE93">
            <v>13.663636670000002</v>
          </cell>
          <cell r="KF93">
            <v>47.273016750000004</v>
          </cell>
          <cell r="KG93">
            <v>285.58164063999999</v>
          </cell>
          <cell r="KH93">
            <v>152.11245593000001</v>
          </cell>
          <cell r="KI93">
            <v>20.44206312</v>
          </cell>
          <cell r="KJ93">
            <v>2.01275629</v>
          </cell>
          <cell r="KK93">
            <v>11.833805730000002</v>
          </cell>
          <cell r="KL93">
            <v>2.9352990000000002E-2</v>
          </cell>
          <cell r="KM93">
            <v>5.9926369999999993E-2</v>
          </cell>
          <cell r="KN93">
            <v>0</v>
          </cell>
          <cell r="KO93">
            <v>0</v>
          </cell>
          <cell r="KP93">
            <v>2.016E-3</v>
          </cell>
          <cell r="KQ93">
            <v>2.485938E-2</v>
          </cell>
          <cell r="KR93">
            <v>0</v>
          </cell>
          <cell r="KS93">
            <v>0</v>
          </cell>
          <cell r="KT93">
            <v>2.8427559999999998E-2</v>
          </cell>
          <cell r="KU93">
            <v>0</v>
          </cell>
          <cell r="KV93">
            <v>0</v>
          </cell>
          <cell r="KW93">
            <v>0.60248590000000002</v>
          </cell>
          <cell r="KX93">
            <v>0</v>
          </cell>
          <cell r="KY93">
            <v>0</v>
          </cell>
          <cell r="KZ93">
            <v>0.47826376000000004</v>
          </cell>
          <cell r="LA93">
            <v>2.5551390000000004E-2</v>
          </cell>
          <cell r="LB93">
            <v>0</v>
          </cell>
          <cell r="LC93">
            <v>9.9750000000000005E-2</v>
          </cell>
          <cell r="LD93">
            <v>0</v>
          </cell>
          <cell r="LE93">
            <v>0</v>
          </cell>
          <cell r="LF93">
            <v>0</v>
          </cell>
          <cell r="LG93">
            <v>19.891111379999998</v>
          </cell>
          <cell r="LH93">
            <v>4.0127527599999997</v>
          </cell>
          <cell r="LI93">
            <v>0.25391999999999998</v>
          </cell>
          <cell r="LJ93">
            <v>0</v>
          </cell>
          <cell r="LK93">
            <v>0.59472115000000003</v>
          </cell>
          <cell r="LL93">
            <v>1.58647798</v>
          </cell>
          <cell r="LM93">
            <v>0</v>
          </cell>
          <cell r="LN93">
            <v>0.86735239999999991</v>
          </cell>
          <cell r="LO93">
            <v>3.658397E-2</v>
          </cell>
          <cell r="LQ93">
            <v>4151.50946449</v>
          </cell>
          <cell r="LR93">
            <v>3.7029913799999998</v>
          </cell>
          <cell r="LS93">
            <v>12.88181872</v>
          </cell>
          <cell r="LT93">
            <v>1.98627314</v>
          </cell>
          <cell r="LU93">
            <v>8.4785749999999993E-2</v>
          </cell>
          <cell r="LV93">
            <v>0.60248590000000002</v>
          </cell>
          <cell r="LW93">
            <v>2.5551390000000004E-2</v>
          </cell>
          <cell r="LX93">
            <v>0</v>
          </cell>
          <cell r="LZ93">
            <v>266.52</v>
          </cell>
          <cell r="MA93">
            <v>183.52</v>
          </cell>
          <cell r="MH93">
            <v>428.42</v>
          </cell>
          <cell r="MI93">
            <v>146.91</v>
          </cell>
          <cell r="MJ93">
            <v>210.94</v>
          </cell>
          <cell r="ML93">
            <v>255.06</v>
          </cell>
          <cell r="MM93">
            <v>231.77</v>
          </cell>
          <cell r="MO93">
            <v>261.27</v>
          </cell>
          <cell r="MP93">
            <v>358.15</v>
          </cell>
          <cell r="MQ93">
            <v>477.11</v>
          </cell>
          <cell r="MU93">
            <v>136.5</v>
          </cell>
          <cell r="MY93">
            <v>377.13</v>
          </cell>
          <cell r="MZ93">
            <v>969</v>
          </cell>
          <cell r="NA93">
            <v>426.32</v>
          </cell>
          <cell r="NB93">
            <v>1239.2</v>
          </cell>
          <cell r="NC93">
            <v>216.31</v>
          </cell>
          <cell r="ND93">
            <v>1690</v>
          </cell>
          <cell r="NE93">
            <v>957.8</v>
          </cell>
        </row>
        <row r="94">
          <cell r="A94">
            <v>44927</v>
          </cell>
          <cell r="B94">
            <v>1</v>
          </cell>
          <cell r="C94">
            <v>2023</v>
          </cell>
          <cell r="D94">
            <v>94</v>
          </cell>
          <cell r="E94">
            <v>44927</v>
          </cell>
          <cell r="F94">
            <v>189.02</v>
          </cell>
          <cell r="G94">
            <v>1203</v>
          </cell>
          <cell r="H94">
            <v>120591.7</v>
          </cell>
          <cell r="I94">
            <v>113</v>
          </cell>
          <cell r="J94">
            <v>730</v>
          </cell>
          <cell r="K94">
            <v>10</v>
          </cell>
          <cell r="L94">
            <v>34.799999999999997</v>
          </cell>
          <cell r="N94">
            <v>2.52</v>
          </cell>
          <cell r="O94">
            <v>2.13</v>
          </cell>
          <cell r="P94">
            <v>417.49792500000007</v>
          </cell>
          <cell r="Q94">
            <v>5150</v>
          </cell>
          <cell r="R94">
            <v>51500</v>
          </cell>
          <cell r="S94">
            <v>263.63</v>
          </cell>
          <cell r="T94">
            <v>431.39514337107181</v>
          </cell>
          <cell r="U94">
            <v>261.53636363636366</v>
          </cell>
          <cell r="V94">
            <v>398.33181818181816</v>
          </cell>
          <cell r="W94">
            <v>296</v>
          </cell>
          <cell r="X94">
            <v>309.50588235294117</v>
          </cell>
          <cell r="Y94">
            <v>49831.342600000004</v>
          </cell>
          <cell r="Z94">
            <v>81542.31</v>
          </cell>
          <cell r="AA94">
            <v>49435.60345454546</v>
          </cell>
          <cell r="AB94">
            <v>75292.680272727273</v>
          </cell>
          <cell r="AC94">
            <v>55949.920000000006</v>
          </cell>
          <cell r="AD94">
            <v>58502.801882352942</v>
          </cell>
          <cell r="AE94">
            <v>61759.109701604284</v>
          </cell>
          <cell r="AF94">
            <v>133907.5</v>
          </cell>
          <cell r="AG94">
            <v>70080</v>
          </cell>
          <cell r="AH94">
            <v>266000</v>
          </cell>
          <cell r="AI94">
            <v>112.5087</v>
          </cell>
          <cell r="AJ94">
            <v>77.225200000000001</v>
          </cell>
          <cell r="AK94">
            <v>66.253500000000003</v>
          </cell>
          <cell r="AL94">
            <v>59.247100000000003</v>
          </cell>
          <cell r="AM94">
            <v>86.288224000000014</v>
          </cell>
          <cell r="AN94">
            <v>360.67857142857144</v>
          </cell>
          <cell r="AO94">
            <v>161.38888888888889</v>
          </cell>
          <cell r="AP94">
            <v>261.03373015873018</v>
          </cell>
          <cell r="AQ94">
            <v>180.04</v>
          </cell>
          <cell r="AR94">
            <v>89.49</v>
          </cell>
          <cell r="AS94">
            <v>132.47999999999999</v>
          </cell>
          <cell r="AT94">
            <v>163.91</v>
          </cell>
          <cell r="AU94">
            <v>128.62666666666667</v>
          </cell>
          <cell r="AV94">
            <v>130.22</v>
          </cell>
          <cell r="AW94">
            <v>135.6</v>
          </cell>
          <cell r="AX94">
            <v>127.29</v>
          </cell>
          <cell r="AY94">
            <v>181.51</v>
          </cell>
          <cell r="AZ94">
            <v>145.03</v>
          </cell>
          <cell r="BA94">
            <v>149.35</v>
          </cell>
          <cell r="BB94">
            <v>150.79500000000002</v>
          </cell>
          <cell r="BC94">
            <v>8133</v>
          </cell>
          <cell r="BD94">
            <v>5850</v>
          </cell>
          <cell r="BE94">
            <v>4200</v>
          </cell>
          <cell r="BF94">
            <v>2500</v>
          </cell>
          <cell r="BG94">
            <v>5170.75</v>
          </cell>
          <cell r="BH94">
            <v>431.74</v>
          </cell>
          <cell r="BI94">
            <v>0</v>
          </cell>
          <cell r="BJ94">
            <v>431.74</v>
          </cell>
          <cell r="BK94">
            <v>346.98</v>
          </cell>
          <cell r="BL94">
            <v>358.9</v>
          </cell>
          <cell r="BM94">
            <v>352.94</v>
          </cell>
          <cell r="BN94">
            <v>69.98</v>
          </cell>
          <cell r="BO94">
            <v>272.8</v>
          </cell>
          <cell r="BP94">
            <v>227.71438435240711</v>
          </cell>
          <cell r="BQ94">
            <v>268.29143843524071</v>
          </cell>
          <cell r="BR94">
            <v>267</v>
          </cell>
          <cell r="BS94">
            <v>950</v>
          </cell>
          <cell r="BT94">
            <v>156.88659999999999</v>
          </cell>
          <cell r="BU94">
            <v>11870.659799999999</v>
          </cell>
          <cell r="BV94">
            <v>401.6</v>
          </cell>
          <cell r="BW94">
            <v>900</v>
          </cell>
          <cell r="BY94">
            <v>2398.9750603434823</v>
          </cell>
          <cell r="BZ94">
            <v>1973.3113245730522</v>
          </cell>
          <cell r="CA94">
            <v>2281.8510322720622</v>
          </cell>
          <cell r="CB94">
            <v>2146.2438191710912</v>
          </cell>
          <cell r="CC94">
            <v>2227.5625296043509</v>
          </cell>
          <cell r="CD94">
            <v>2271.5925118937039</v>
          </cell>
          <cell r="CE94">
            <v>2294.1982151017924</v>
          </cell>
          <cell r="CF94">
            <v>2363.8369549875692</v>
          </cell>
          <cell r="CG94">
            <v>2264.2141771717615</v>
          </cell>
          <cell r="CH94">
            <v>2157.3075965266498</v>
          </cell>
          <cell r="CI94">
            <v>2436.9843294403959</v>
          </cell>
          <cell r="CJ94">
            <v>1965.5655362092659</v>
          </cell>
          <cell r="CK94">
            <v>2310.2214035547781</v>
          </cell>
          <cell r="CL94">
            <v>2423.5739821091547</v>
          </cell>
          <cell r="CM94">
            <v>1955.7929398624599</v>
          </cell>
          <cell r="CN94">
            <v>2081.028410047641</v>
          </cell>
          <cell r="CO94">
            <v>2192.6541838935082</v>
          </cell>
          <cell r="CP94">
            <v>2208.9784396928258</v>
          </cell>
          <cell r="CQ94">
            <v>1927.9828688430853</v>
          </cell>
          <cell r="CR94">
            <v>1844.7066682953794</v>
          </cell>
          <cell r="CS94">
            <v>1886.3447685692322</v>
          </cell>
          <cell r="CT94">
            <v>1875.0172424496266</v>
          </cell>
          <cell r="CU94">
            <v>1911.2535824393258</v>
          </cell>
          <cell r="CV94">
            <v>1966.6995807794515</v>
          </cell>
          <cell r="CW94">
            <v>1966.6995807794515</v>
          </cell>
          <cell r="CX94">
            <v>1948.2175813327431</v>
          </cell>
          <cell r="CY94">
            <v>1714.4071871746632</v>
          </cell>
          <cell r="CZ94">
            <v>2201.5650738357972</v>
          </cell>
          <cell r="DA94">
            <v>1796.4324053950136</v>
          </cell>
          <cell r="DB94">
            <v>1981.2748420447597</v>
          </cell>
          <cell r="DC94">
            <v>2191.8893063337114</v>
          </cell>
          <cell r="DD94">
            <v>2162.7983513912177</v>
          </cell>
          <cell r="DE94">
            <v>1969.9528470580831</v>
          </cell>
          <cell r="DF94">
            <v>2274.3587328536228</v>
          </cell>
          <cell r="DG94">
            <v>2122.1557899558529</v>
          </cell>
          <cell r="DH94">
            <v>1885.171861147601</v>
          </cell>
          <cell r="DI94">
            <v>1726.2935400928804</v>
          </cell>
          <cell r="DK94">
            <v>580000</v>
          </cell>
          <cell r="DL94" t="str">
            <v>2022-23</v>
          </cell>
          <cell r="DM94">
            <v>190000</v>
          </cell>
          <cell r="DN94" t="str">
            <v>2022-23</v>
          </cell>
          <cell r="DO94">
            <v>1800000</v>
          </cell>
          <cell r="DP94" t="str">
            <v>2022-23</v>
          </cell>
          <cell r="DQ94">
            <v>2200000</v>
          </cell>
          <cell r="DR94" t="str">
            <v>2022-23</v>
          </cell>
          <cell r="DS94">
            <v>7100000</v>
          </cell>
          <cell r="DT94" t="str">
            <v>2022-23</v>
          </cell>
          <cell r="DU94">
            <v>16300000</v>
          </cell>
          <cell r="DV94" t="str">
            <v>2022-23</v>
          </cell>
          <cell r="DW94">
            <v>930000</v>
          </cell>
          <cell r="DX94" t="str">
            <v>2022-23</v>
          </cell>
          <cell r="DY94">
            <v>5900000</v>
          </cell>
          <cell r="DZ94" t="str">
            <v>2022-23</v>
          </cell>
          <cell r="EA94">
            <v>34230000</v>
          </cell>
          <cell r="EB94">
            <v>373795</v>
          </cell>
          <cell r="EC94" t="str">
            <v>2022-23</v>
          </cell>
          <cell r="ED94">
            <v>222162</v>
          </cell>
          <cell r="EE94">
            <v>2023</v>
          </cell>
          <cell r="EF94">
            <v>204847</v>
          </cell>
          <cell r="EG94">
            <v>2023</v>
          </cell>
          <cell r="EH94">
            <v>54242595</v>
          </cell>
          <cell r="EI94">
            <v>2023</v>
          </cell>
          <cell r="EJ94">
            <v>5477107</v>
          </cell>
          <cell r="EK94">
            <v>2022</v>
          </cell>
          <cell r="EL94">
            <v>12461845</v>
          </cell>
          <cell r="EM94">
            <v>2022</v>
          </cell>
          <cell r="EN94">
            <v>3169981</v>
          </cell>
          <cell r="EO94">
            <v>2021</v>
          </cell>
          <cell r="EP94">
            <v>9328</v>
          </cell>
          <cell r="EQ94">
            <v>3500000</v>
          </cell>
          <cell r="ER94">
            <v>79916</v>
          </cell>
          <cell r="ET94">
            <v>20677</v>
          </cell>
          <cell r="EU94">
            <v>19532</v>
          </cell>
          <cell r="EV94">
            <v>9103</v>
          </cell>
          <cell r="EW94">
            <v>17281</v>
          </cell>
          <cell r="EX94">
            <v>66593</v>
          </cell>
          <cell r="EY94">
            <v>20193</v>
          </cell>
          <cell r="EZ94">
            <v>32682</v>
          </cell>
          <cell r="FA94">
            <v>19526</v>
          </cell>
          <cell r="FB94">
            <v>19463</v>
          </cell>
          <cell r="FC94">
            <v>38989</v>
          </cell>
          <cell r="FD94">
            <v>54743</v>
          </cell>
          <cell r="FF94">
            <v>1100000</v>
          </cell>
          <cell r="FG94" t="str">
            <v>2021-22</v>
          </cell>
          <cell r="FH94">
            <v>1200000</v>
          </cell>
          <cell r="FI94" t="str">
            <v>2021-22</v>
          </cell>
          <cell r="FJ94">
            <v>4600000</v>
          </cell>
          <cell r="FK94" t="str">
            <v>2022-23</v>
          </cell>
          <cell r="FL94">
            <v>4000000</v>
          </cell>
          <cell r="FM94" t="str">
            <v>2021-22</v>
          </cell>
          <cell r="FN94">
            <v>44500000</v>
          </cell>
          <cell r="FO94" t="str">
            <v>2022-23</v>
          </cell>
          <cell r="FP94">
            <v>44000000</v>
          </cell>
          <cell r="FQ94" t="str">
            <v>2021-22</v>
          </cell>
          <cell r="FR94">
            <v>2800000</v>
          </cell>
          <cell r="FS94" t="str">
            <v>2021-22</v>
          </cell>
          <cell r="FT94">
            <v>12900000</v>
          </cell>
          <cell r="FU94" t="str">
            <v>2022-23</v>
          </cell>
          <cell r="FV94">
            <v>112800000</v>
          </cell>
          <cell r="FW94">
            <v>1350000</v>
          </cell>
          <cell r="FX94" t="str">
            <v>2021-22</v>
          </cell>
          <cell r="FY94">
            <v>9506.5630000000001</v>
          </cell>
          <cell r="FZ94">
            <v>827487.35</v>
          </cell>
          <cell r="GA94" t="str">
            <v>feb22 ene23</v>
          </cell>
          <cell r="GB94">
            <v>14553117</v>
          </cell>
          <cell r="GC94">
            <v>2023</v>
          </cell>
          <cell r="GD94">
            <v>2315000</v>
          </cell>
          <cell r="GE94">
            <v>377000</v>
          </cell>
          <cell r="GF94">
            <v>1061000</v>
          </cell>
          <cell r="GG94">
            <v>127000</v>
          </cell>
          <cell r="GH94">
            <v>1565000</v>
          </cell>
          <cell r="GI94">
            <v>1302556</v>
          </cell>
          <cell r="GJ94">
            <v>687701</v>
          </cell>
          <cell r="GK94">
            <v>1430078.41</v>
          </cell>
          <cell r="GL94">
            <v>302535.34000000003</v>
          </cell>
          <cell r="GM94">
            <v>257597.81</v>
          </cell>
          <cell r="GN94">
            <v>2677912.56</v>
          </cell>
          <cell r="GO94">
            <v>202394.36</v>
          </cell>
          <cell r="GP94">
            <v>73395</v>
          </cell>
          <cell r="GQ94">
            <v>181042.75</v>
          </cell>
          <cell r="GR94">
            <v>37995</v>
          </cell>
          <cell r="GS94">
            <v>43426.282500000001</v>
          </cell>
          <cell r="GT94">
            <v>2365997</v>
          </cell>
          <cell r="GU94">
            <v>24117</v>
          </cell>
          <cell r="GV94">
            <v>20042</v>
          </cell>
          <cell r="GW94">
            <v>980096</v>
          </cell>
          <cell r="GX94">
            <v>33126.813000000002</v>
          </cell>
          <cell r="GY94" t="str">
            <v>2022-2023</v>
          </cell>
          <cell r="GZ94">
            <v>87408</v>
          </cell>
          <cell r="HA94">
            <v>270955</v>
          </cell>
          <cell r="HB94">
            <v>3163396</v>
          </cell>
          <cell r="HC94" t="str">
            <v>feb22 ene23</v>
          </cell>
          <cell r="HD94">
            <v>61223</v>
          </cell>
          <cell r="HE94">
            <v>706147</v>
          </cell>
          <cell r="HF94" t="str">
            <v>feb22 ene23</v>
          </cell>
          <cell r="HG94">
            <v>197000</v>
          </cell>
          <cell r="HH94">
            <v>2335985</v>
          </cell>
          <cell r="HI94" t="str">
            <v>feb22 ene23</v>
          </cell>
          <cell r="HJ94">
            <v>102509</v>
          </cell>
          <cell r="HK94">
            <v>67592.88</v>
          </cell>
          <cell r="HL94" t="str">
            <v>feb22 ene23</v>
          </cell>
          <cell r="HM94">
            <v>2403577.88</v>
          </cell>
          <cell r="HN94">
            <v>3.489380147377541E-2</v>
          </cell>
          <cell r="HO94">
            <v>955000000</v>
          </cell>
          <cell r="HP94">
            <v>11589.749742615622</v>
          </cell>
          <cell r="HQ94" t="str">
            <v>feb22 ene23</v>
          </cell>
          <cell r="HU94">
            <v>650000</v>
          </cell>
          <cell r="HV94" t="str">
            <v>2021-22</v>
          </cell>
          <cell r="HW94">
            <v>1500000</v>
          </cell>
          <cell r="HX94" t="str">
            <v>2023-24</v>
          </cell>
          <cell r="HY94">
            <v>4300000</v>
          </cell>
          <cell r="HZ94" t="str">
            <v>2022-23</v>
          </cell>
          <cell r="IA94">
            <v>21570000</v>
          </cell>
          <cell r="IB94" t="str">
            <v>2021-22</v>
          </cell>
          <cell r="IC94">
            <v>39940000</v>
          </cell>
          <cell r="ID94" t="str">
            <v>2021-22</v>
          </cell>
          <cell r="IE94">
            <v>800000</v>
          </cell>
          <cell r="IF94" t="str">
            <v>2021-22</v>
          </cell>
          <cell r="IG94">
            <v>7400000</v>
          </cell>
          <cell r="IH94" t="str">
            <v>2023-24</v>
          </cell>
          <cell r="II94">
            <v>75510000</v>
          </cell>
          <cell r="IJ94">
            <v>1.9073407006405101</v>
          </cell>
          <cell r="IK94" t="str">
            <v>2021-22</v>
          </cell>
          <cell r="IL94">
            <v>45.71</v>
          </cell>
          <cell r="IM94">
            <v>48.66</v>
          </cell>
          <cell r="IN94">
            <v>188.6</v>
          </cell>
          <cell r="IO94">
            <v>16.97</v>
          </cell>
          <cell r="IP94">
            <v>6.1504299104893345</v>
          </cell>
          <cell r="IQ94">
            <v>16.7</v>
          </cell>
          <cell r="IR94">
            <v>6.92</v>
          </cell>
          <cell r="IS94">
            <v>4.57</v>
          </cell>
          <cell r="IT94">
            <v>13.61</v>
          </cell>
          <cell r="IU94">
            <v>1.56</v>
          </cell>
          <cell r="IV94">
            <v>19.739999999999998</v>
          </cell>
          <cell r="IY94">
            <v>1.88</v>
          </cell>
          <cell r="IZ94">
            <v>0.3</v>
          </cell>
          <cell r="JA94">
            <v>2813</v>
          </cell>
          <cell r="JF94">
            <v>1.2234686099999996</v>
          </cell>
          <cell r="JG94">
            <v>28.8463791</v>
          </cell>
          <cell r="JH94">
            <v>280.04253470999998</v>
          </cell>
          <cell r="JI94">
            <v>59.348691090000003</v>
          </cell>
          <cell r="JJ94">
            <v>398.06677914999983</v>
          </cell>
          <cell r="JK94">
            <v>130.05927615000002</v>
          </cell>
          <cell r="JL94">
            <v>1701.8489056200001</v>
          </cell>
          <cell r="JM94">
            <v>20.821188500000002</v>
          </cell>
          <cell r="JN94">
            <v>258.16347123999998</v>
          </cell>
          <cell r="JO94">
            <v>21.159077390000004</v>
          </cell>
          <cell r="JP94">
            <v>0</v>
          </cell>
          <cell r="JQ94">
            <v>0.231049</v>
          </cell>
          <cell r="JR94">
            <v>1.2642906699999998</v>
          </cell>
          <cell r="JS94">
            <v>0</v>
          </cell>
          <cell r="JT94">
            <v>0.44066711999999997</v>
          </cell>
          <cell r="JU94">
            <v>66.649594010000001</v>
          </cell>
          <cell r="JV94">
            <v>1.8633979099999998</v>
          </cell>
          <cell r="JW94">
            <v>9.9457108200000004</v>
          </cell>
          <cell r="JX94">
            <v>8.3946768800000005</v>
          </cell>
          <cell r="JY94">
            <v>0</v>
          </cell>
          <cell r="JZ94">
            <v>2.0891778199999997</v>
          </cell>
          <cell r="KA94">
            <v>0.51749999999999996</v>
          </cell>
          <cell r="KB94">
            <v>29.568283169999997</v>
          </cell>
          <cell r="KC94">
            <v>36.311671529999998</v>
          </cell>
          <cell r="KD94">
            <v>3.3752363299999999</v>
          </cell>
          <cell r="KE94">
            <v>18.752158659999996</v>
          </cell>
          <cell r="KF94">
            <v>45.90045215</v>
          </cell>
          <cell r="KG94">
            <v>285.75014393999987</v>
          </cell>
          <cell r="KH94">
            <v>135.61809928</v>
          </cell>
          <cell r="KI94">
            <v>14.681416690000001</v>
          </cell>
          <cell r="KJ94">
            <v>1.8299806799999998</v>
          </cell>
          <cell r="KK94">
            <v>9.8858098699999992</v>
          </cell>
          <cell r="KL94">
            <v>2.7127990000000001E-2</v>
          </cell>
          <cell r="KM94">
            <v>0.20624160000000002</v>
          </cell>
          <cell r="KN94">
            <v>1.4671300000000002E-2</v>
          </cell>
          <cell r="KO94">
            <v>2.5272250099999995</v>
          </cell>
          <cell r="KP94">
            <v>9.1243839999999993E-2</v>
          </cell>
          <cell r="KQ94">
            <v>10.698251959999999</v>
          </cell>
          <cell r="KR94">
            <v>1.856783E-2</v>
          </cell>
          <cell r="KS94">
            <v>0.13833000000000001</v>
          </cell>
          <cell r="KT94">
            <v>1.03402496</v>
          </cell>
          <cell r="KU94">
            <v>0.11168649999999999</v>
          </cell>
          <cell r="KV94">
            <v>0.15597438</v>
          </cell>
          <cell r="KW94">
            <v>1.77521255</v>
          </cell>
          <cell r="KX94">
            <v>0</v>
          </cell>
          <cell r="KY94">
            <v>0</v>
          </cell>
          <cell r="KZ94">
            <v>0.12503209999999998</v>
          </cell>
          <cell r="LA94">
            <v>0.23405334</v>
          </cell>
          <cell r="LB94">
            <v>0</v>
          </cell>
          <cell r="LC94">
            <v>0.17131807000000002</v>
          </cell>
          <cell r="LD94">
            <v>0</v>
          </cell>
          <cell r="LE94">
            <v>0.18301057000000001</v>
          </cell>
          <cell r="LF94">
            <v>0.27579606000000001</v>
          </cell>
          <cell r="LG94">
            <v>23.096508839999995</v>
          </cell>
          <cell r="LH94">
            <v>3.6075394200000002</v>
          </cell>
          <cell r="LI94">
            <v>0.75479300000000005</v>
          </cell>
          <cell r="LJ94">
            <v>0</v>
          </cell>
          <cell r="LK94">
            <v>3.7432468400000003</v>
          </cell>
          <cell r="LL94">
            <v>4.3987828499999999</v>
          </cell>
          <cell r="LM94">
            <v>2.4321035299999991</v>
          </cell>
          <cell r="LN94">
            <v>0.85465582000000007</v>
          </cell>
          <cell r="LO94">
            <v>7.6286560299999993</v>
          </cell>
          <cell r="LQ94">
            <v>2718.2915703099998</v>
          </cell>
          <cell r="LR94">
            <v>1.93600679</v>
          </cell>
          <cell r="LS94">
            <v>11.80910873</v>
          </cell>
          <cell r="LT94">
            <v>2.6066778199999998</v>
          </cell>
          <cell r="LU94">
            <v>13.603287699999997</v>
          </cell>
          <cell r="LV94">
            <v>1.93118693</v>
          </cell>
          <cell r="LW94">
            <v>0.23405334</v>
          </cell>
          <cell r="LX94">
            <v>0.45880662999999999</v>
          </cell>
          <cell r="LZ94">
            <v>278.67</v>
          </cell>
          <cell r="MA94">
            <v>198.02</v>
          </cell>
          <cell r="MH94">
            <v>435.66</v>
          </cell>
          <cell r="MI94">
            <v>160.13999999999999</v>
          </cell>
          <cell r="MJ94">
            <v>263.02</v>
          </cell>
          <cell r="ML94">
            <v>277.64</v>
          </cell>
          <cell r="MM94">
            <v>381.92</v>
          </cell>
          <cell r="MO94">
            <v>267.76</v>
          </cell>
          <cell r="MP94">
            <v>386.94</v>
          </cell>
          <cell r="MQ94">
            <v>624.80999999999995</v>
          </cell>
          <cell r="MU94">
            <v>203.25</v>
          </cell>
          <cell r="MY94">
            <v>393.1</v>
          </cell>
          <cell r="MZ94">
            <v>1078</v>
          </cell>
          <cell r="NA94">
            <v>444.98</v>
          </cell>
          <cell r="NB94">
            <v>1276.95</v>
          </cell>
          <cell r="NC94">
            <v>225.27</v>
          </cell>
          <cell r="ND94">
            <v>1770</v>
          </cell>
          <cell r="NE94">
            <v>992.29</v>
          </cell>
        </row>
        <row r="95">
          <cell r="A95">
            <v>44958</v>
          </cell>
          <cell r="B95">
            <v>2</v>
          </cell>
          <cell r="C95">
            <v>2023</v>
          </cell>
          <cell r="D95">
            <v>95</v>
          </cell>
          <cell r="E95">
            <v>44958</v>
          </cell>
          <cell r="F95">
            <v>198.33</v>
          </cell>
          <cell r="G95">
            <v>1287.7</v>
          </cell>
          <cell r="H95">
            <v>120591.7</v>
          </cell>
          <cell r="I95">
            <v>112</v>
          </cell>
          <cell r="J95">
            <v>630</v>
          </cell>
          <cell r="K95">
            <v>8.3000000000000007</v>
          </cell>
          <cell r="L95">
            <v>33.200000000000003</v>
          </cell>
          <cell r="N95">
            <v>2.66</v>
          </cell>
          <cell r="O95">
            <v>2.2400000000000002</v>
          </cell>
          <cell r="P95">
            <v>461.61307500000004</v>
          </cell>
          <cell r="Q95">
            <v>5500</v>
          </cell>
          <cell r="R95">
            <v>55000</v>
          </cell>
          <cell r="S95">
            <v>254.75</v>
          </cell>
          <cell r="T95">
            <v>400.67901981545907</v>
          </cell>
          <cell r="U95">
            <v>259.45000000000005</v>
          </cell>
          <cell r="V95">
            <v>383.93888888888887</v>
          </cell>
          <cell r="W95">
            <v>327</v>
          </cell>
          <cell r="X95">
            <v>303.05500000000001</v>
          </cell>
          <cell r="Y95">
            <v>50524.567500000005</v>
          </cell>
          <cell r="Z95">
            <v>79466.67</v>
          </cell>
          <cell r="AA95">
            <v>51456.71850000001</v>
          </cell>
          <cell r="AB95">
            <v>76146.599833333341</v>
          </cell>
          <cell r="AC95">
            <v>64853.91</v>
          </cell>
          <cell r="AD95">
            <v>60104.898150000008</v>
          </cell>
          <cell r="AE95">
            <v>63758.893997222222</v>
          </cell>
          <cell r="AF95">
            <v>140622.38888888888</v>
          </cell>
          <cell r="AG95">
            <v>70080</v>
          </cell>
          <cell r="AH95">
            <v>266000</v>
          </cell>
          <cell r="AI95">
            <v>137</v>
          </cell>
          <cell r="AJ95">
            <v>69.895700000000005</v>
          </cell>
          <cell r="AK95">
            <v>62.844499999999996</v>
          </cell>
          <cell r="AL95">
            <v>65.000399999999999</v>
          </cell>
          <cell r="AM95">
            <v>97.755493999999999</v>
          </cell>
          <cell r="AN95">
            <v>368.51</v>
          </cell>
          <cell r="AO95">
            <v>159.9336956521739</v>
          </cell>
          <cell r="AP95">
            <v>264.22184782608696</v>
          </cell>
          <cell r="AQ95">
            <v>165.35</v>
          </cell>
          <cell r="AR95">
            <v>212.49</v>
          </cell>
          <cell r="AS95">
            <v>234.92000000000002</v>
          </cell>
          <cell r="AT95">
            <v>298.93</v>
          </cell>
          <cell r="AU95">
            <v>227.92250000000001</v>
          </cell>
          <cell r="AV95">
            <v>115.03</v>
          </cell>
          <cell r="AW95">
            <v>157.57</v>
          </cell>
          <cell r="AX95">
            <v>115.62</v>
          </cell>
          <cell r="AY95">
            <v>137.30000000000001</v>
          </cell>
          <cell r="AZ95">
            <v>120.34</v>
          </cell>
          <cell r="BA95">
            <v>128.46</v>
          </cell>
          <cell r="BB95">
            <v>125.43</v>
          </cell>
          <cell r="BC95">
            <v>8133</v>
          </cell>
          <cell r="BD95">
            <v>6050</v>
          </cell>
          <cell r="BE95">
            <v>5900</v>
          </cell>
          <cell r="BF95">
            <v>3500</v>
          </cell>
          <cell r="BG95">
            <v>5895.75</v>
          </cell>
          <cell r="BH95">
            <v>633.33000000000004</v>
          </cell>
          <cell r="BI95">
            <v>0</v>
          </cell>
          <cell r="BJ95">
            <v>633.33000000000004</v>
          </cell>
          <cell r="BK95">
            <v>462.017</v>
          </cell>
          <cell r="BL95">
            <v>496.56</v>
          </cell>
          <cell r="BM95">
            <v>479.2885</v>
          </cell>
          <cell r="BN95">
            <v>74.040000000000006</v>
          </cell>
          <cell r="BO95">
            <v>313.89999999999998</v>
          </cell>
          <cell r="BP95">
            <v>258.44</v>
          </cell>
          <cell r="BQ95">
            <v>308.35399999999998</v>
          </cell>
          <cell r="BR95">
            <v>281.11199999999997</v>
          </cell>
          <cell r="BS95">
            <v>1000</v>
          </cell>
          <cell r="BT95">
            <v>168.5805</v>
          </cell>
          <cell r="BU95">
            <v>12505.7415</v>
          </cell>
          <cell r="BV95">
            <v>402.4</v>
          </cell>
          <cell r="BW95">
            <v>850</v>
          </cell>
          <cell r="BY95">
            <v>2456.62283319472</v>
          </cell>
          <cell r="BZ95">
            <v>1979.9058450899295</v>
          </cell>
          <cell r="CA95">
            <v>2255.2181830602058</v>
          </cell>
          <cell r="CB95">
            <v>2120.1768748671748</v>
          </cell>
          <cell r="CC95">
            <v>2231.9484037522557</v>
          </cell>
          <cell r="CD95">
            <v>2258.1140893743841</v>
          </cell>
          <cell r="CE95">
            <v>2410.3074296546743</v>
          </cell>
          <cell r="CF95">
            <v>2349.5703168814925</v>
          </cell>
          <cell r="CG95">
            <v>2270.8892162650313</v>
          </cell>
          <cell r="CH95">
            <v>2173.2668159143432</v>
          </cell>
          <cell r="CI95">
            <v>2312.3093463124142</v>
          </cell>
          <cell r="CJ95">
            <v>2013.7792790429626</v>
          </cell>
          <cell r="CK95">
            <v>2197.4136108234698</v>
          </cell>
          <cell r="CL95">
            <v>2185.2252680829351</v>
          </cell>
          <cell r="CM95">
            <v>1828.8965291115921</v>
          </cell>
          <cell r="CN95">
            <v>1970.2390490072971</v>
          </cell>
          <cell r="CO95">
            <v>2045.4436142563236</v>
          </cell>
          <cell r="CP95">
            <v>2213.4701952600276</v>
          </cell>
          <cell r="CQ95">
            <v>1899.0185001063087</v>
          </cell>
          <cell r="CR95">
            <v>1806.4274649968652</v>
          </cell>
          <cell r="CS95">
            <v>1852.7229825515869</v>
          </cell>
          <cell r="CT95">
            <v>1820.3151874793598</v>
          </cell>
          <cell r="CU95">
            <v>2023.9300264137303</v>
          </cell>
          <cell r="CV95">
            <v>2048.9399076870518</v>
          </cell>
          <cell r="CW95">
            <v>2048.9399076870518</v>
          </cell>
          <cell r="CX95">
            <v>2040.6032805959446</v>
          </cell>
          <cell r="CY95">
            <v>1696.6628055946842</v>
          </cell>
          <cell r="CZ95">
            <v>2185.6341112525906</v>
          </cell>
          <cell r="DA95">
            <v>1783.1362564433605</v>
          </cell>
          <cell r="DB95">
            <v>1988.7770144599031</v>
          </cell>
          <cell r="DC95">
            <v>2275.9477977888464</v>
          </cell>
          <cell r="DD95">
            <v>2241.3233715217143</v>
          </cell>
          <cell r="DE95">
            <v>2037.1213218413195</v>
          </cell>
          <cell r="DF95">
            <v>2368.1030624453642</v>
          </cell>
          <cell r="DG95">
            <v>2202.6121921433419</v>
          </cell>
          <cell r="DH95">
            <v>1848.5718906196003</v>
          </cell>
          <cell r="DI95">
            <v>1715.9597381770204</v>
          </cell>
          <cell r="DK95">
            <v>580000</v>
          </cell>
          <cell r="DL95" t="str">
            <v>2022-23</v>
          </cell>
          <cell r="DM95">
            <v>190000</v>
          </cell>
          <cell r="DN95" t="str">
            <v>2022-23</v>
          </cell>
          <cell r="DO95">
            <v>1800000</v>
          </cell>
          <cell r="DP95" t="str">
            <v>2022-23</v>
          </cell>
          <cell r="DQ95">
            <v>2300000</v>
          </cell>
          <cell r="DR95" t="str">
            <v>2022-23</v>
          </cell>
          <cell r="DS95">
            <v>7100000</v>
          </cell>
          <cell r="DT95" t="str">
            <v>2022-23</v>
          </cell>
          <cell r="DU95">
            <v>16200000</v>
          </cell>
          <cell r="DV95" t="str">
            <v>2022-23</v>
          </cell>
          <cell r="DW95">
            <v>930000</v>
          </cell>
          <cell r="DX95" t="str">
            <v>2022-23</v>
          </cell>
          <cell r="DY95">
            <v>5900000</v>
          </cell>
          <cell r="DZ95" t="str">
            <v>2022-23</v>
          </cell>
          <cell r="EA95">
            <v>34230000</v>
          </cell>
          <cell r="EB95">
            <v>373795</v>
          </cell>
          <cell r="EC95" t="str">
            <v>2022-23</v>
          </cell>
          <cell r="ED95">
            <v>222162</v>
          </cell>
          <cell r="EE95">
            <v>2023</v>
          </cell>
          <cell r="EF95">
            <v>204847</v>
          </cell>
          <cell r="EG95">
            <v>2023</v>
          </cell>
          <cell r="EH95">
            <v>54242595</v>
          </cell>
          <cell r="EI95">
            <v>2023</v>
          </cell>
          <cell r="EJ95">
            <v>5477107</v>
          </cell>
          <cell r="EK95">
            <v>2022</v>
          </cell>
          <cell r="EL95">
            <v>12461845</v>
          </cell>
          <cell r="EM95">
            <v>2022</v>
          </cell>
          <cell r="EN95">
            <v>3169981</v>
          </cell>
          <cell r="EO95">
            <v>2021</v>
          </cell>
          <cell r="EP95">
            <v>9310</v>
          </cell>
          <cell r="EQ95">
            <v>3500000</v>
          </cell>
          <cell r="ER95">
            <v>79916</v>
          </cell>
          <cell r="ET95">
            <v>20677</v>
          </cell>
          <cell r="EU95">
            <v>19532</v>
          </cell>
          <cell r="EV95">
            <v>9103</v>
          </cell>
          <cell r="EW95">
            <v>17281</v>
          </cell>
          <cell r="EX95">
            <v>66593</v>
          </cell>
          <cell r="EY95">
            <v>20193</v>
          </cell>
          <cell r="EZ95">
            <v>32682</v>
          </cell>
          <cell r="FA95">
            <v>19526</v>
          </cell>
          <cell r="FB95">
            <v>19463</v>
          </cell>
          <cell r="FC95">
            <v>38989</v>
          </cell>
          <cell r="FD95">
            <v>54743</v>
          </cell>
          <cell r="FF95">
            <v>1100000</v>
          </cell>
          <cell r="FG95" t="str">
            <v>2021-22</v>
          </cell>
          <cell r="FH95">
            <v>1200000</v>
          </cell>
          <cell r="FI95" t="str">
            <v>2021-22</v>
          </cell>
          <cell r="FJ95">
            <v>4600000</v>
          </cell>
          <cell r="FK95" t="str">
            <v>2022-23</v>
          </cell>
          <cell r="FL95">
            <v>4000000</v>
          </cell>
          <cell r="FM95" t="str">
            <v>2021-22</v>
          </cell>
          <cell r="FN95">
            <v>41000000</v>
          </cell>
          <cell r="FO95" t="str">
            <v>2022-23</v>
          </cell>
          <cell r="FP95">
            <v>44000000</v>
          </cell>
          <cell r="FQ95" t="str">
            <v>2021-22</v>
          </cell>
          <cell r="FR95">
            <v>2800000</v>
          </cell>
          <cell r="FS95" t="str">
            <v>2021-22</v>
          </cell>
          <cell r="FT95">
            <v>12900000</v>
          </cell>
          <cell r="FU95" t="str">
            <v>2022-23</v>
          </cell>
          <cell r="FV95">
            <v>109300000</v>
          </cell>
          <cell r="FW95">
            <v>1350000</v>
          </cell>
          <cell r="FX95" t="str">
            <v>2021-22</v>
          </cell>
          <cell r="FY95">
            <v>13846.919</v>
          </cell>
          <cell r="FZ95">
            <v>822157.26899999997</v>
          </cell>
          <cell r="GA95" t="str">
            <v>mar22 feb23</v>
          </cell>
          <cell r="GB95">
            <v>14553117</v>
          </cell>
          <cell r="GC95">
            <v>2023</v>
          </cell>
          <cell r="GD95">
            <v>2315000</v>
          </cell>
          <cell r="GE95">
            <v>377000</v>
          </cell>
          <cell r="GF95">
            <v>1061000</v>
          </cell>
          <cell r="GG95">
            <v>127000</v>
          </cell>
          <cell r="GH95">
            <v>1565000</v>
          </cell>
          <cell r="GI95">
            <v>1302556</v>
          </cell>
          <cell r="GJ95">
            <v>687701</v>
          </cell>
          <cell r="GK95">
            <v>1430078.41</v>
          </cell>
          <cell r="GL95">
            <v>302535.34000000003</v>
          </cell>
          <cell r="GM95">
            <v>257597.81</v>
          </cell>
          <cell r="GN95">
            <v>2677912.56</v>
          </cell>
          <cell r="GO95">
            <v>202394.36</v>
          </cell>
          <cell r="GP95">
            <v>73395</v>
          </cell>
          <cell r="GQ95">
            <v>141440.5</v>
          </cell>
          <cell r="GR95">
            <v>37995</v>
          </cell>
          <cell r="GS95">
            <v>42238.214999999997</v>
          </cell>
          <cell r="GT95">
            <v>2365997</v>
          </cell>
          <cell r="GU95">
            <v>53148</v>
          </cell>
          <cell r="GV95">
            <v>34394</v>
          </cell>
          <cell r="GW95">
            <v>936106</v>
          </cell>
          <cell r="GX95">
            <v>33126.813000000002</v>
          </cell>
          <cell r="GY95" t="str">
            <v>2022-2023</v>
          </cell>
          <cell r="GZ95">
            <v>87408</v>
          </cell>
          <cell r="HA95">
            <v>238150</v>
          </cell>
          <cell r="HB95">
            <v>3169820</v>
          </cell>
          <cell r="HC95" t="str">
            <v>mar22 feb23</v>
          </cell>
          <cell r="HD95">
            <v>53378</v>
          </cell>
          <cell r="HE95">
            <v>709088</v>
          </cell>
          <cell r="HF95" t="str">
            <v>mar22 feb23</v>
          </cell>
          <cell r="HG95">
            <v>166000</v>
          </cell>
          <cell r="HH95">
            <v>2326000</v>
          </cell>
          <cell r="HI95" t="str">
            <v>mar22 feb23</v>
          </cell>
          <cell r="HJ95">
            <v>78632</v>
          </cell>
          <cell r="HK95">
            <v>67075.199999999997</v>
          </cell>
          <cell r="HL95" t="str">
            <v>mar22 feb23</v>
          </cell>
          <cell r="HM95">
            <v>2393075.2000000002</v>
          </cell>
          <cell r="HN95">
            <v>-1.3359480328471673E-2</v>
          </cell>
          <cell r="HO95">
            <v>805000000</v>
          </cell>
          <cell r="HP95">
            <v>11578.849742615621</v>
          </cell>
          <cell r="HQ95" t="str">
            <v>mar22 feb23</v>
          </cell>
          <cell r="HU95">
            <v>650000</v>
          </cell>
          <cell r="HV95" t="str">
            <v>2021-22</v>
          </cell>
          <cell r="HW95">
            <v>1500000</v>
          </cell>
          <cell r="HX95" t="str">
            <v>2023-24</v>
          </cell>
          <cell r="HY95">
            <v>4300000</v>
          </cell>
          <cell r="HZ95" t="str">
            <v>2022-23</v>
          </cell>
          <cell r="IA95">
            <v>21570000</v>
          </cell>
          <cell r="IB95" t="str">
            <v>2021-22</v>
          </cell>
          <cell r="IC95">
            <v>39940000</v>
          </cell>
          <cell r="ID95" t="str">
            <v>2021-22</v>
          </cell>
          <cell r="IE95">
            <v>800000</v>
          </cell>
          <cell r="IF95" t="str">
            <v>2021-22</v>
          </cell>
          <cell r="IG95">
            <v>7400000</v>
          </cell>
          <cell r="IH95" t="str">
            <v>2023-24</v>
          </cell>
          <cell r="II95">
            <v>75510000</v>
          </cell>
          <cell r="IJ95">
            <v>1.9073407006405101</v>
          </cell>
          <cell r="IK95" t="str">
            <v>2021-22</v>
          </cell>
          <cell r="IL95">
            <v>45.56</v>
          </cell>
          <cell r="IM95">
            <v>49.14</v>
          </cell>
          <cell r="IN95">
            <v>188.6</v>
          </cell>
          <cell r="IO95">
            <v>16.93</v>
          </cell>
          <cell r="IP95">
            <v>6.1504299104893345</v>
          </cell>
          <cell r="IQ95">
            <v>16.7</v>
          </cell>
          <cell r="IR95">
            <v>6.92</v>
          </cell>
          <cell r="IS95">
            <v>4.57</v>
          </cell>
          <cell r="IT95">
            <v>13.61</v>
          </cell>
          <cell r="IU95">
            <v>1.56</v>
          </cell>
          <cell r="IV95">
            <v>19.739999999999998</v>
          </cell>
          <cell r="IY95">
            <v>1.88</v>
          </cell>
          <cell r="IZ95">
            <v>0.3</v>
          </cell>
          <cell r="JA95">
            <v>2813</v>
          </cell>
          <cell r="JF95">
            <v>2.2053805500000006</v>
          </cell>
          <cell r="JG95">
            <v>17.134564559999998</v>
          </cell>
          <cell r="JH95">
            <v>159.59072807000001</v>
          </cell>
          <cell r="JI95">
            <v>118.71822146000001</v>
          </cell>
          <cell r="JJ95">
            <v>610.82641348000016</v>
          </cell>
          <cell r="JK95">
            <v>116.52197384999999</v>
          </cell>
          <cell r="JL95">
            <v>1781.4186872500002</v>
          </cell>
          <cell r="JM95">
            <v>19.6916431</v>
          </cell>
          <cell r="JN95">
            <v>106.41429246999998</v>
          </cell>
          <cell r="JO95">
            <v>25.884569989999999</v>
          </cell>
          <cell r="JP95">
            <v>0</v>
          </cell>
          <cell r="JQ95">
            <v>0.98901187999999995</v>
          </cell>
          <cell r="JR95">
            <v>1.1964005499999999</v>
          </cell>
          <cell r="JS95">
            <v>0</v>
          </cell>
          <cell r="JT95">
            <v>0.33343552000000004</v>
          </cell>
          <cell r="JU95">
            <v>58.070113270000007</v>
          </cell>
          <cell r="JV95">
            <v>4.0804375500000001</v>
          </cell>
          <cell r="JW95">
            <v>33.196537290000002</v>
          </cell>
          <cell r="JX95">
            <v>8.8018886399999996</v>
          </cell>
          <cell r="JY95">
            <v>0</v>
          </cell>
          <cell r="JZ95">
            <v>4.3313326700000001</v>
          </cell>
          <cell r="KA95">
            <v>0.17499999999999999</v>
          </cell>
          <cell r="KB95">
            <v>31.026984670000001</v>
          </cell>
          <cell r="KC95">
            <v>99.771490689999993</v>
          </cell>
          <cell r="KD95">
            <v>8.9774099899999982</v>
          </cell>
          <cell r="KE95">
            <v>15.47450873</v>
          </cell>
          <cell r="KF95">
            <v>50.712421620000008</v>
          </cell>
          <cell r="KG95">
            <v>296.44265344999985</v>
          </cell>
          <cell r="KH95">
            <v>163.45053632000003</v>
          </cell>
          <cell r="KI95">
            <v>28.978678630000001</v>
          </cell>
          <cell r="KJ95">
            <v>2.1116566699999999</v>
          </cell>
          <cell r="KK95">
            <v>8.0897496800000006</v>
          </cell>
          <cell r="KL95">
            <v>1.0492100000000001E-3</v>
          </cell>
          <cell r="KM95">
            <v>0.59512326000000004</v>
          </cell>
          <cell r="KN95">
            <v>4.6575000000000002E-4</v>
          </cell>
          <cell r="KO95">
            <v>2.2221749999999998E-2</v>
          </cell>
          <cell r="KP95">
            <v>0.10975939999999999</v>
          </cell>
          <cell r="KQ95">
            <v>235.38016359</v>
          </cell>
          <cell r="KR95">
            <v>0.1585288</v>
          </cell>
          <cell r="KS95">
            <v>0.13433506000000001</v>
          </cell>
          <cell r="KT95">
            <v>0.41620179000000002</v>
          </cell>
          <cell r="KU95">
            <v>0.68698649000000001</v>
          </cell>
          <cell r="KV95">
            <v>1.7639999999999999E-2</v>
          </cell>
          <cell r="KW95">
            <v>1.11572855</v>
          </cell>
          <cell r="KX95">
            <v>0</v>
          </cell>
          <cell r="KY95">
            <v>0</v>
          </cell>
          <cell r="KZ95">
            <v>0.32453726999999999</v>
          </cell>
          <cell r="LA95">
            <v>0.53282898000000001</v>
          </cell>
          <cell r="LB95">
            <v>2.6474000000000001E-2</v>
          </cell>
          <cell r="LC95">
            <v>8.1154000000000004E-2</v>
          </cell>
          <cell r="LD95">
            <v>0</v>
          </cell>
          <cell r="LE95">
            <v>0.41722744000000006</v>
          </cell>
          <cell r="LF95">
            <v>0.23480627000000001</v>
          </cell>
          <cell r="LG95">
            <v>19.314417040000002</v>
          </cell>
          <cell r="LH95">
            <v>3.8674547000000001</v>
          </cell>
          <cell r="LI95">
            <v>0.38311624</v>
          </cell>
          <cell r="LJ95">
            <v>0</v>
          </cell>
          <cell r="LK95">
            <v>1.80858622</v>
          </cell>
          <cell r="LL95">
            <v>4.398381099999999</v>
          </cell>
          <cell r="LM95">
            <v>2.3068511200000001</v>
          </cell>
          <cell r="LN95">
            <v>0.27087241000000001</v>
          </cell>
          <cell r="LO95">
            <v>4.6739966500000012</v>
          </cell>
          <cell r="LQ95">
            <v>2796.6599858300006</v>
          </cell>
          <cell r="LR95">
            <v>2.5188479500000001</v>
          </cell>
          <cell r="LS95">
            <v>37.276974840000001</v>
          </cell>
          <cell r="LT95">
            <v>4.5063326699999999</v>
          </cell>
          <cell r="LU95">
            <v>236.29083821</v>
          </cell>
          <cell r="LV95">
            <v>1.1333685500000001</v>
          </cell>
          <cell r="LW95">
            <v>0.55930298000000001</v>
          </cell>
          <cell r="LX95">
            <v>0.6520337100000001</v>
          </cell>
          <cell r="LZ95">
            <v>290.01</v>
          </cell>
          <cell r="MA95">
            <v>226.87</v>
          </cell>
          <cell r="MH95">
            <v>459.15</v>
          </cell>
          <cell r="MI95">
            <v>172.29</v>
          </cell>
          <cell r="MJ95">
            <v>256.7</v>
          </cell>
          <cell r="ML95">
            <v>277.08999999999997</v>
          </cell>
          <cell r="MM95">
            <v>310.64</v>
          </cell>
          <cell r="MO95">
            <v>267.33</v>
          </cell>
          <cell r="MP95">
            <v>414.26</v>
          </cell>
          <cell r="MQ95">
            <v>653.26</v>
          </cell>
          <cell r="MU95">
            <v>350.32</v>
          </cell>
          <cell r="MY95">
            <v>413.83</v>
          </cell>
          <cell r="MZ95">
            <v>1055</v>
          </cell>
          <cell r="NA95">
            <v>444.2</v>
          </cell>
          <cell r="NB95">
            <v>1587.5</v>
          </cell>
          <cell r="NC95">
            <v>236.04</v>
          </cell>
          <cell r="ND95">
            <v>1890</v>
          </cell>
          <cell r="NE95">
            <v>1105.4000000000001</v>
          </cell>
        </row>
        <row r="96">
          <cell r="A96">
            <v>44986</v>
          </cell>
          <cell r="B96">
            <v>3</v>
          </cell>
          <cell r="C96">
            <v>2023</v>
          </cell>
          <cell r="D96">
            <v>96</v>
          </cell>
          <cell r="E96">
            <v>44986</v>
          </cell>
          <cell r="F96">
            <v>209.75</v>
          </cell>
          <cell r="G96">
            <v>1381.2</v>
          </cell>
          <cell r="H96">
            <v>107591.7</v>
          </cell>
          <cell r="I96">
            <v>111</v>
          </cell>
          <cell r="J96">
            <v>600</v>
          </cell>
          <cell r="K96">
            <v>9.3000000000000007</v>
          </cell>
          <cell r="L96">
            <v>37.9</v>
          </cell>
          <cell r="N96">
            <v>2.6</v>
          </cell>
          <cell r="O96">
            <v>2.1800000000000002</v>
          </cell>
          <cell r="P96">
            <v>476.23737500000004</v>
          </cell>
          <cell r="Q96">
            <v>6400</v>
          </cell>
          <cell r="R96">
            <v>64000</v>
          </cell>
          <cell r="S96">
            <v>247.38</v>
          </cell>
          <cell r="T96">
            <v>359.22264600715135</v>
          </cell>
          <cell r="U96">
            <v>249.7318181818182</v>
          </cell>
          <cell r="V96">
            <v>386.7</v>
          </cell>
          <cell r="W96">
            <v>316.39999999999998</v>
          </cell>
          <cell r="X96">
            <v>288.63600000000002</v>
          </cell>
          <cell r="Y96">
            <v>51887.955000000002</v>
          </cell>
          <cell r="Z96">
            <v>75346.95</v>
          </cell>
          <cell r="AA96">
            <v>52381.248863636371</v>
          </cell>
          <cell r="AB96">
            <v>81110.324999999997</v>
          </cell>
          <cell r="AC96">
            <v>66364.899999999994</v>
          </cell>
          <cell r="AD96">
            <v>60541.401000000005</v>
          </cell>
          <cell r="AE96">
            <v>64605.463310606072</v>
          </cell>
          <cell r="AF96">
            <v>149474.81818181818</v>
          </cell>
          <cell r="AG96">
            <v>70080</v>
          </cell>
          <cell r="AH96">
            <v>266000</v>
          </cell>
          <cell r="AI96">
            <v>139.81788</v>
          </cell>
          <cell r="AJ96">
            <v>132.4188</v>
          </cell>
          <cell r="AK96">
            <v>114.1875</v>
          </cell>
          <cell r="AL96">
            <v>104.80410000000001</v>
          </cell>
          <cell r="AM96">
            <v>124.4547108</v>
          </cell>
          <cell r="AN96">
            <v>315.54000000000002</v>
          </cell>
          <cell r="AO96">
            <v>240.67</v>
          </cell>
          <cell r="AP96">
            <v>278.10500000000002</v>
          </cell>
          <cell r="AQ96">
            <v>166.41</v>
          </cell>
          <cell r="AR96">
            <v>196.01</v>
          </cell>
          <cell r="AS96">
            <v>251.68</v>
          </cell>
          <cell r="AT96">
            <v>412.4</v>
          </cell>
          <cell r="AU96">
            <v>286.69666666666666</v>
          </cell>
          <cell r="AV96">
            <v>104.94</v>
          </cell>
          <cell r="AW96">
            <v>126.93</v>
          </cell>
          <cell r="AX96">
            <v>91.8</v>
          </cell>
          <cell r="AY96">
            <v>210.44</v>
          </cell>
          <cell r="AZ96">
            <v>124.28</v>
          </cell>
          <cell r="BA96">
            <v>90.85</v>
          </cell>
          <cell r="BB96">
            <v>129.3425</v>
          </cell>
          <cell r="BC96">
            <v>8445</v>
          </cell>
          <cell r="BD96">
            <v>6050</v>
          </cell>
          <cell r="BE96">
            <v>5900</v>
          </cell>
          <cell r="BF96">
            <v>4000</v>
          </cell>
          <cell r="BG96">
            <v>6098.75</v>
          </cell>
          <cell r="BH96">
            <v>633.33000000000004</v>
          </cell>
          <cell r="BI96">
            <v>83</v>
          </cell>
          <cell r="BJ96">
            <v>716.33</v>
          </cell>
          <cell r="BK96">
            <v>474.24900000000002</v>
          </cell>
          <cell r="BL96">
            <v>486.67</v>
          </cell>
          <cell r="BM96">
            <v>480.45950000000005</v>
          </cell>
          <cell r="BN96">
            <v>81.53</v>
          </cell>
          <cell r="BO96">
            <v>420.8</v>
          </cell>
          <cell r="BP96">
            <v>356</v>
          </cell>
          <cell r="BQ96">
            <v>414.32000000000005</v>
          </cell>
          <cell r="BR96">
            <v>298.44</v>
          </cell>
          <cell r="BS96">
            <v>1000</v>
          </cell>
          <cell r="BT96">
            <v>165.70250000000001</v>
          </cell>
          <cell r="BU96">
            <v>12497.1075</v>
          </cell>
          <cell r="BV96">
            <v>430.4</v>
          </cell>
          <cell r="BW96">
            <v>850</v>
          </cell>
          <cell r="BY96">
            <v>2567.0939315953228</v>
          </cell>
          <cell r="BZ96">
            <v>2111.8385462513033</v>
          </cell>
          <cell r="CA96">
            <v>2427.7946988510125</v>
          </cell>
          <cell r="CB96">
            <v>2236.9646334474546</v>
          </cell>
          <cell r="CC96">
            <v>2403.6854303722398</v>
          </cell>
          <cell r="CD96">
            <v>2440.6896879968913</v>
          </cell>
          <cell r="CE96">
            <v>2590.9982157885424</v>
          </cell>
          <cell r="CF96">
            <v>2514.151054808191</v>
          </cell>
          <cell r="CG96">
            <v>2435.7139535440551</v>
          </cell>
          <cell r="CH96">
            <v>2342.1153703067498</v>
          </cell>
          <cell r="CI96">
            <v>2397.3133320994016</v>
          </cell>
          <cell r="CJ96">
            <v>1887.1475030237916</v>
          </cell>
          <cell r="CK96">
            <v>2175.9529459627379</v>
          </cell>
          <cell r="CL96">
            <v>2585.460520442221</v>
          </cell>
          <cell r="CM96">
            <v>1872.9851816549615</v>
          </cell>
          <cell r="CN96">
            <v>1841.1308728760987</v>
          </cell>
          <cell r="CO96">
            <v>2118.8823802340048</v>
          </cell>
          <cell r="CP96">
            <v>2452.3982544404598</v>
          </cell>
          <cell r="CQ96">
            <v>1853.4543911713031</v>
          </cell>
          <cell r="CR96">
            <v>1931.172229977851</v>
          </cell>
          <cell r="CS96">
            <v>1892.3133105745769</v>
          </cell>
          <cell r="CT96">
            <v>1853.1321106173864</v>
          </cell>
          <cell r="CU96">
            <v>2066.1316743130742</v>
          </cell>
          <cell r="CV96">
            <v>2136.0376692195132</v>
          </cell>
          <cell r="CW96">
            <v>2136.0376692195132</v>
          </cell>
          <cell r="CX96">
            <v>2112.7356709173669</v>
          </cell>
          <cell r="CY96">
            <v>1638.2980812733799</v>
          </cell>
          <cell r="CZ96">
            <v>2166.8693969066658</v>
          </cell>
          <cell r="DA96">
            <v>1737.3437816011935</v>
          </cell>
          <cell r="DB96">
            <v>2041.0744929430155</v>
          </cell>
          <cell r="DC96">
            <v>2317.0124793107939</v>
          </cell>
          <cell r="DD96">
            <v>2272.711776717545</v>
          </cell>
          <cell r="DE96">
            <v>2033.992419704203</v>
          </cell>
          <cell r="DF96">
            <v>2449.3021330055931</v>
          </cell>
          <cell r="DG96">
            <v>2241.6472763548982</v>
          </cell>
          <cell r="DH96">
            <v>1865.5412082367284</v>
          </cell>
          <cell r="DI96">
            <v>1650.8729850525124</v>
          </cell>
          <cell r="DK96">
            <v>580000</v>
          </cell>
          <cell r="DL96" t="str">
            <v>2022-23</v>
          </cell>
          <cell r="DM96">
            <v>190000</v>
          </cell>
          <cell r="DN96" t="str">
            <v>2022-23</v>
          </cell>
          <cell r="DO96">
            <v>1800000</v>
          </cell>
          <cell r="DP96" t="str">
            <v>2022-23</v>
          </cell>
          <cell r="DQ96">
            <v>2300000</v>
          </cell>
          <cell r="DR96" t="str">
            <v>2022-23</v>
          </cell>
          <cell r="DS96">
            <v>7100000</v>
          </cell>
          <cell r="DT96" t="str">
            <v>2022-23</v>
          </cell>
          <cell r="DU96">
            <v>16000000</v>
          </cell>
          <cell r="DV96" t="str">
            <v>2022-23</v>
          </cell>
          <cell r="DW96">
            <v>900000</v>
          </cell>
          <cell r="DX96" t="str">
            <v>2022-23</v>
          </cell>
          <cell r="DY96">
            <v>5900000</v>
          </cell>
          <cell r="DZ96" t="str">
            <v>2022-23</v>
          </cell>
          <cell r="EA96">
            <v>34000000</v>
          </cell>
          <cell r="EB96">
            <v>373795</v>
          </cell>
          <cell r="EC96" t="str">
            <v>2022-23</v>
          </cell>
          <cell r="ED96">
            <v>222162</v>
          </cell>
          <cell r="EE96">
            <v>2023</v>
          </cell>
          <cell r="EF96">
            <v>204847</v>
          </cell>
          <cell r="EG96">
            <v>2023</v>
          </cell>
          <cell r="EH96">
            <v>54242595</v>
          </cell>
          <cell r="EI96">
            <v>2023</v>
          </cell>
          <cell r="EJ96">
            <v>5887401</v>
          </cell>
          <cell r="EK96">
            <v>2023</v>
          </cell>
          <cell r="EL96">
            <v>12461845</v>
          </cell>
          <cell r="EM96">
            <v>2022</v>
          </cell>
          <cell r="EN96">
            <v>3169981</v>
          </cell>
          <cell r="EO96">
            <v>2021</v>
          </cell>
          <cell r="EP96">
            <v>9302</v>
          </cell>
          <cell r="EQ96">
            <v>3500000</v>
          </cell>
          <cell r="ER96">
            <v>79916</v>
          </cell>
          <cell r="ET96">
            <v>20677</v>
          </cell>
          <cell r="EU96">
            <v>19532</v>
          </cell>
          <cell r="EV96">
            <v>9103</v>
          </cell>
          <cell r="EW96">
            <v>17281</v>
          </cell>
          <cell r="EX96">
            <v>66593</v>
          </cell>
          <cell r="EY96">
            <v>20193</v>
          </cell>
          <cell r="EZ96">
            <v>32682</v>
          </cell>
          <cell r="FA96">
            <v>19526</v>
          </cell>
          <cell r="FB96">
            <v>19463</v>
          </cell>
          <cell r="FC96">
            <v>38989</v>
          </cell>
          <cell r="FD96">
            <v>54743</v>
          </cell>
          <cell r="FF96">
            <v>1100000</v>
          </cell>
          <cell r="FG96" t="str">
            <v>2021-22</v>
          </cell>
          <cell r="FH96">
            <v>1200000</v>
          </cell>
          <cell r="FI96" t="str">
            <v>2021-22</v>
          </cell>
          <cell r="FJ96">
            <v>4600000</v>
          </cell>
          <cell r="FK96" t="str">
            <v>2022-23</v>
          </cell>
          <cell r="FL96">
            <v>5000000</v>
          </cell>
          <cell r="FM96" t="str">
            <v>2022-23</v>
          </cell>
          <cell r="FN96">
            <v>36000000</v>
          </cell>
          <cell r="FO96" t="str">
            <v>2022-23</v>
          </cell>
          <cell r="FP96">
            <v>44000000</v>
          </cell>
          <cell r="FQ96" t="str">
            <v>2021-22</v>
          </cell>
          <cell r="FR96">
            <v>2800000</v>
          </cell>
          <cell r="FS96" t="str">
            <v>2021-22</v>
          </cell>
          <cell r="FT96">
            <v>12600000</v>
          </cell>
          <cell r="FU96" t="str">
            <v>2022-23</v>
          </cell>
          <cell r="FV96">
            <v>105000000</v>
          </cell>
          <cell r="FW96">
            <v>1350000</v>
          </cell>
          <cell r="FX96" t="str">
            <v>2021-22</v>
          </cell>
          <cell r="FY96">
            <v>40120</v>
          </cell>
          <cell r="FZ96">
            <v>819110.26899999997</v>
          </cell>
          <cell r="GA96" t="str">
            <v>abr22 mar23</v>
          </cell>
          <cell r="GB96">
            <v>14553117</v>
          </cell>
          <cell r="GC96">
            <v>2023</v>
          </cell>
          <cell r="GD96">
            <v>2315000</v>
          </cell>
          <cell r="GE96">
            <v>377000</v>
          </cell>
          <cell r="GF96">
            <v>1061000</v>
          </cell>
          <cell r="GG96">
            <v>127000</v>
          </cell>
          <cell r="GH96">
            <v>1565000</v>
          </cell>
          <cell r="GI96">
            <v>1302556</v>
          </cell>
          <cell r="GJ96">
            <v>687701</v>
          </cell>
          <cell r="GK96">
            <v>1430078.41</v>
          </cell>
          <cell r="GL96">
            <v>302535.34000000003</v>
          </cell>
          <cell r="GM96">
            <v>257597.81</v>
          </cell>
          <cell r="GN96">
            <v>2677912.56</v>
          </cell>
          <cell r="GO96">
            <v>202394.36</v>
          </cell>
          <cell r="GP96">
            <v>73395</v>
          </cell>
          <cell r="GQ96">
            <v>118858</v>
          </cell>
          <cell r="GR96">
            <v>37995</v>
          </cell>
          <cell r="GS96">
            <v>41560.74</v>
          </cell>
          <cell r="GT96">
            <v>2365997</v>
          </cell>
          <cell r="GU96">
            <v>79670</v>
          </cell>
          <cell r="GV96">
            <v>30081</v>
          </cell>
          <cell r="GW96">
            <v>862992</v>
          </cell>
          <cell r="GX96">
            <v>33126.813000000002</v>
          </cell>
          <cell r="GY96" t="str">
            <v>2022-2023</v>
          </cell>
          <cell r="GZ96">
            <v>87408</v>
          </cell>
          <cell r="HA96">
            <v>292439</v>
          </cell>
          <cell r="HB96">
            <v>3202124</v>
          </cell>
          <cell r="HC96" t="str">
            <v>abr22 mar23</v>
          </cell>
          <cell r="HD96">
            <v>65243</v>
          </cell>
          <cell r="HE96">
            <v>712214</v>
          </cell>
          <cell r="HF96" t="str">
            <v>abr22 mar23</v>
          </cell>
          <cell r="HG96">
            <v>185000</v>
          </cell>
          <cell r="HH96">
            <v>2311000</v>
          </cell>
          <cell r="HI96" t="str">
            <v>abr22 mar23</v>
          </cell>
          <cell r="HJ96">
            <v>95614</v>
          </cell>
          <cell r="HK96">
            <v>67712.460000000006</v>
          </cell>
          <cell r="HL96" t="str">
            <v>abr22 mar23</v>
          </cell>
          <cell r="HM96">
            <v>2378712.46</v>
          </cell>
          <cell r="HN96">
            <v>-3.1742727907759005E-2</v>
          </cell>
          <cell r="HO96">
            <v>822000000</v>
          </cell>
          <cell r="HP96">
            <v>11551.901819690347</v>
          </cell>
          <cell r="HQ96" t="str">
            <v>abr22 mar23</v>
          </cell>
          <cell r="HU96">
            <v>700000</v>
          </cell>
          <cell r="HV96" t="str">
            <v>2022-23</v>
          </cell>
          <cell r="HW96">
            <v>1500000</v>
          </cell>
          <cell r="HX96" t="str">
            <v>2023-24</v>
          </cell>
          <cell r="HY96">
            <v>4300000</v>
          </cell>
          <cell r="HZ96" t="str">
            <v>2022-23</v>
          </cell>
          <cell r="IA96">
            <v>21000000</v>
          </cell>
          <cell r="IB96" t="str">
            <v>2022-23</v>
          </cell>
          <cell r="IC96">
            <v>39940000</v>
          </cell>
          <cell r="ID96" t="str">
            <v>2021-22</v>
          </cell>
          <cell r="IE96">
            <v>750000</v>
          </cell>
          <cell r="IF96" t="str">
            <v>2022-23</v>
          </cell>
          <cell r="IG96">
            <v>7400000</v>
          </cell>
          <cell r="IH96" t="str">
            <v>2023-24</v>
          </cell>
          <cell r="II96">
            <v>74890000</v>
          </cell>
          <cell r="IJ96">
            <v>1.991933187973949</v>
          </cell>
          <cell r="IK96" t="str">
            <v>2022-23</v>
          </cell>
          <cell r="IL96">
            <v>45.46</v>
          </cell>
          <cell r="IM96">
            <v>50.29</v>
          </cell>
          <cell r="IN96">
            <v>188.6</v>
          </cell>
          <cell r="IO96">
            <v>16.88</v>
          </cell>
          <cell r="IP96">
            <v>6.1504299104893345</v>
          </cell>
          <cell r="IQ96">
            <v>16.7</v>
          </cell>
          <cell r="IR96">
            <v>6.92</v>
          </cell>
          <cell r="IS96">
            <v>4.57</v>
          </cell>
          <cell r="IT96">
            <v>13.61</v>
          </cell>
          <cell r="IU96">
            <v>1.56</v>
          </cell>
          <cell r="IV96">
            <v>19.739999999999998</v>
          </cell>
          <cell r="IY96">
            <v>1.88</v>
          </cell>
          <cell r="IZ96">
            <v>0.3</v>
          </cell>
          <cell r="JA96">
            <v>2813</v>
          </cell>
          <cell r="JF96">
            <v>0.81365803999999953</v>
          </cell>
          <cell r="JG96">
            <v>20.357260950000001</v>
          </cell>
          <cell r="JH96">
            <v>156.00446097</v>
          </cell>
          <cell r="JI96">
            <v>203.62266692999998</v>
          </cell>
          <cell r="JJ96">
            <v>747.39118572999985</v>
          </cell>
          <cell r="JK96">
            <v>134.53858048999999</v>
          </cell>
          <cell r="JL96">
            <v>1567.2380915599997</v>
          </cell>
          <cell r="JM96">
            <v>0.62071278000000008</v>
          </cell>
          <cell r="JN96">
            <v>193.97652653999998</v>
          </cell>
          <cell r="JO96">
            <v>30.470799569999997</v>
          </cell>
          <cell r="JP96">
            <v>0</v>
          </cell>
          <cell r="JQ96">
            <v>3.9830953099999995</v>
          </cell>
          <cell r="JR96">
            <v>2.3365247600000001</v>
          </cell>
          <cell r="JS96">
            <v>0</v>
          </cell>
          <cell r="JT96">
            <v>0.48277442000000004</v>
          </cell>
          <cell r="JU96">
            <v>70.498219510000013</v>
          </cell>
          <cell r="JV96">
            <v>7.4502019900000001</v>
          </cell>
          <cell r="JW96">
            <v>39.305204359999998</v>
          </cell>
          <cell r="JX96">
            <v>9.7874413199999992</v>
          </cell>
          <cell r="JY96">
            <v>0</v>
          </cell>
          <cell r="JZ96">
            <v>1.3700925799999997</v>
          </cell>
          <cell r="KA96">
            <v>0.36330100000000004</v>
          </cell>
          <cell r="KB96">
            <v>19.140443850000004</v>
          </cell>
          <cell r="KC96">
            <v>41.736807310000003</v>
          </cell>
          <cell r="KD96">
            <v>12.484662230000001</v>
          </cell>
          <cell r="KE96">
            <v>18.814354810000005</v>
          </cell>
          <cell r="KF96">
            <v>18.061317600000002</v>
          </cell>
          <cell r="KG96">
            <v>339.25205494000011</v>
          </cell>
          <cell r="KH96">
            <v>138.26089648999999</v>
          </cell>
          <cell r="KI96">
            <v>22.417077500000001</v>
          </cell>
          <cell r="KJ96">
            <v>1.32254655</v>
          </cell>
          <cell r="KK96">
            <v>8.39418884</v>
          </cell>
          <cell r="KL96">
            <v>2.0500000000000002E-3</v>
          </cell>
          <cell r="KM96">
            <v>0.56751175000000009</v>
          </cell>
          <cell r="KN96">
            <v>0.33323190999999996</v>
          </cell>
          <cell r="KO96">
            <v>0.53875484000000007</v>
          </cell>
          <cell r="KP96">
            <v>5.2170000000000003E-3</v>
          </cell>
          <cell r="KQ96">
            <v>815.22615770999994</v>
          </cell>
          <cell r="KR96">
            <v>6.9176109999999999E-2</v>
          </cell>
          <cell r="KS96">
            <v>0.26443719999999998</v>
          </cell>
          <cell r="KT96">
            <v>1.2023484900000001</v>
          </cell>
          <cell r="KU96">
            <v>1.7463627799999999</v>
          </cell>
          <cell r="KV96">
            <v>0</v>
          </cell>
          <cell r="KW96">
            <v>0.56045690999999997</v>
          </cell>
          <cell r="KX96">
            <v>0</v>
          </cell>
          <cell r="KY96">
            <v>0</v>
          </cell>
          <cell r="KZ96">
            <v>1.1160735099999999</v>
          </cell>
          <cell r="LA96">
            <v>0.90025571000000004</v>
          </cell>
          <cell r="LB96">
            <v>2.2540000000000001E-2</v>
          </cell>
          <cell r="LC96">
            <v>7.5782760000000005E-2</v>
          </cell>
          <cell r="LD96">
            <v>0</v>
          </cell>
          <cell r="LE96">
            <v>0.81195925000000002</v>
          </cell>
          <cell r="LF96">
            <v>0.39616097</v>
          </cell>
          <cell r="LG96">
            <v>30.845388820000004</v>
          </cell>
          <cell r="LH96">
            <v>6.0969073500000004</v>
          </cell>
          <cell r="LI96">
            <v>0.74918092999999997</v>
          </cell>
          <cell r="LJ96">
            <v>0</v>
          </cell>
          <cell r="LK96">
            <v>6.4691643499999998</v>
          </cell>
          <cell r="LL96">
            <v>5.3486285699999998</v>
          </cell>
          <cell r="LM96">
            <v>3.2446467999999999</v>
          </cell>
          <cell r="LN96">
            <v>0.28431688999999999</v>
          </cell>
          <cell r="LO96">
            <v>6.8596205599999998</v>
          </cell>
          <cell r="LQ96">
            <v>2868.8536445099994</v>
          </cell>
          <cell r="LR96">
            <v>6.8023944899999993</v>
          </cell>
          <cell r="LS96">
            <v>46.755406350000001</v>
          </cell>
          <cell r="LT96">
            <v>1.7333935799999998</v>
          </cell>
          <cell r="LU96">
            <v>816.99926951999987</v>
          </cell>
          <cell r="LV96">
            <v>0.56045690999999997</v>
          </cell>
          <cell r="LW96">
            <v>0.92279571000000005</v>
          </cell>
          <cell r="LX96">
            <v>1.2081202200000001</v>
          </cell>
          <cell r="LZ96">
            <v>302.77999999999997</v>
          </cell>
          <cell r="MA96">
            <v>242.47</v>
          </cell>
          <cell r="MH96">
            <v>505.58</v>
          </cell>
          <cell r="MI96">
            <v>176.24</v>
          </cell>
          <cell r="MJ96">
            <v>246.9</v>
          </cell>
          <cell r="ML96">
            <v>229.54</v>
          </cell>
          <cell r="MM96">
            <v>426.62</v>
          </cell>
          <cell r="MO96">
            <v>251.23</v>
          </cell>
          <cell r="MP96">
            <v>433.03</v>
          </cell>
          <cell r="MQ96">
            <v>600.34</v>
          </cell>
          <cell r="MU96">
            <v>503.01</v>
          </cell>
          <cell r="MY96">
            <v>439.37</v>
          </cell>
          <cell r="MZ96">
            <v>1131</v>
          </cell>
          <cell r="NA96">
            <v>582.29999999999995</v>
          </cell>
          <cell r="NB96">
            <v>1801.2</v>
          </cell>
          <cell r="NC96">
            <v>251.87</v>
          </cell>
          <cell r="ND96">
            <v>1950</v>
          </cell>
          <cell r="NE96">
            <v>1202.5999999999999</v>
          </cell>
        </row>
        <row r="97">
          <cell r="A97">
            <v>45017</v>
          </cell>
          <cell r="B97">
            <v>4</v>
          </cell>
          <cell r="C97">
            <v>2023</v>
          </cell>
          <cell r="D97">
            <v>97</v>
          </cell>
          <cell r="E97">
            <v>45017</v>
          </cell>
          <cell r="F97">
            <v>222.916</v>
          </cell>
          <cell r="G97">
            <v>1497.2</v>
          </cell>
          <cell r="H97">
            <v>107591.7</v>
          </cell>
          <cell r="I97">
            <v>109</v>
          </cell>
          <cell r="J97">
            <v>530</v>
          </cell>
          <cell r="K97">
            <v>6.8</v>
          </cell>
          <cell r="L97">
            <v>36.200000000000003</v>
          </cell>
          <cell r="N97">
            <v>2.5299999999999998</v>
          </cell>
          <cell r="O97">
            <v>2.06</v>
          </cell>
          <cell r="P97">
            <v>486.012609</v>
          </cell>
          <cell r="Q97">
            <v>6400</v>
          </cell>
          <cell r="R97">
            <v>64000</v>
          </cell>
          <cell r="S97">
            <v>255.70169929480164</v>
          </cell>
          <cell r="T97">
            <v>330.94928134364517</v>
          </cell>
          <cell r="U97">
            <v>242.9153846153846</v>
          </cell>
          <cell r="V97">
            <v>359.15000000000003</v>
          </cell>
          <cell r="W97">
            <v>310</v>
          </cell>
          <cell r="X97">
            <v>232.6875</v>
          </cell>
          <cell r="Y97">
            <v>57000</v>
          </cell>
          <cell r="Z97">
            <v>73773.89</v>
          </cell>
          <cell r="AA97">
            <v>54149.725876923068</v>
          </cell>
          <cell r="AB97">
            <v>80060.281400000007</v>
          </cell>
          <cell r="AC97">
            <v>69103.959999999992</v>
          </cell>
          <cell r="AD97">
            <v>51869.766750000003</v>
          </cell>
          <cell r="AE97">
            <v>64326.270671153841</v>
          </cell>
          <cell r="AF97">
            <v>159843</v>
          </cell>
          <cell r="AG97">
            <v>107000</v>
          </cell>
          <cell r="AH97">
            <v>406600</v>
          </cell>
          <cell r="AI97">
            <v>183.57640000000001</v>
          </cell>
          <cell r="AJ97">
            <v>141.9057</v>
          </cell>
          <cell r="AK97">
            <v>133.7046</v>
          </cell>
          <cell r="AL97">
            <v>112.8237</v>
          </cell>
          <cell r="AM97">
            <v>151.962256</v>
          </cell>
          <cell r="AN97">
            <v>349.1</v>
          </cell>
          <cell r="AO97">
            <v>233.25</v>
          </cell>
          <cell r="AP97">
            <v>291.17500000000001</v>
          </cell>
          <cell r="AQ97">
            <v>121.93</v>
          </cell>
          <cell r="AR97">
            <v>177.55</v>
          </cell>
          <cell r="AS97">
            <v>382.91</v>
          </cell>
          <cell r="AT97">
            <v>378.97</v>
          </cell>
          <cell r="AU97">
            <v>313.14333333333337</v>
          </cell>
          <cell r="AV97">
            <v>95.83</v>
          </cell>
          <cell r="AW97">
            <v>129.74</v>
          </cell>
          <cell r="AX97">
            <v>79.489999999999995</v>
          </cell>
          <cell r="AY97">
            <v>351.96</v>
          </cell>
          <cell r="AZ97">
            <v>126.68</v>
          </cell>
          <cell r="BA97">
            <v>72.62</v>
          </cell>
          <cell r="BB97">
            <v>157.6875</v>
          </cell>
          <cell r="BC97">
            <v>8782</v>
          </cell>
          <cell r="BD97">
            <v>6050</v>
          </cell>
          <cell r="BE97">
            <v>5900</v>
          </cell>
          <cell r="BF97">
            <v>4000</v>
          </cell>
          <cell r="BG97">
            <v>6183</v>
          </cell>
          <cell r="BH97">
            <v>633.33000000000004</v>
          </cell>
          <cell r="BI97">
            <v>83</v>
          </cell>
          <cell r="BJ97">
            <v>716.33</v>
          </cell>
          <cell r="BK97">
            <v>488.17399999999998</v>
          </cell>
          <cell r="BL97">
            <v>481.85</v>
          </cell>
          <cell r="BM97">
            <v>485.012</v>
          </cell>
          <cell r="BN97">
            <v>89.36</v>
          </cell>
          <cell r="BO97">
            <v>470.2</v>
          </cell>
          <cell r="BP97">
            <v>427.5</v>
          </cell>
          <cell r="BQ97">
            <v>465.93</v>
          </cell>
          <cell r="BR97">
            <v>311.01499999999999</v>
          </cell>
          <cell r="BS97">
            <v>1100</v>
          </cell>
          <cell r="BT97">
            <v>167.18700000000001</v>
          </cell>
          <cell r="BU97">
            <v>13701.561</v>
          </cell>
          <cell r="BV97">
            <v>424</v>
          </cell>
          <cell r="BW97">
            <v>850</v>
          </cell>
          <cell r="BY97">
            <v>2532.3553936895437</v>
          </cell>
          <cell r="BZ97">
            <v>2096.8030919609473</v>
          </cell>
          <cell r="CA97">
            <v>2410.8717445795232</v>
          </cell>
          <cell r="CB97">
            <v>2188.1954647109696</v>
          </cell>
          <cell r="CC97">
            <v>2380.5636580769942</v>
          </cell>
          <cell r="CD97">
            <v>2376.2825061209915</v>
          </cell>
          <cell r="CE97">
            <v>2590.4628206071343</v>
          </cell>
          <cell r="CF97">
            <v>2364.0448197465948</v>
          </cell>
          <cell r="CG97">
            <v>2385.0701689737011</v>
          </cell>
          <cell r="CH97">
            <v>2349.7814878351091</v>
          </cell>
          <cell r="CI97">
            <v>2251.5733676626614</v>
          </cell>
          <cell r="CJ97">
            <v>1857.0931584372274</v>
          </cell>
          <cell r="CK97">
            <v>2031.2639042837682</v>
          </cell>
          <cell r="CL97">
            <v>3064.9529290770693</v>
          </cell>
          <cell r="CM97">
            <v>1847.3973385682593</v>
          </cell>
          <cell r="CN97">
            <v>1726.861691376768</v>
          </cell>
          <cell r="CO97">
            <v>2167.6189658264661</v>
          </cell>
          <cell r="CP97">
            <v>2532.3254762635697</v>
          </cell>
          <cell r="CQ97">
            <v>1827.8828961808338</v>
          </cell>
          <cell r="CR97">
            <v>1863.8916872299471</v>
          </cell>
          <cell r="CS97">
            <v>1845.8872917053905</v>
          </cell>
          <cell r="CT97">
            <v>1740.0153615592362</v>
          </cell>
          <cell r="CU97">
            <v>1957.3159955227432</v>
          </cell>
          <cell r="CV97">
            <v>2228.0851903412399</v>
          </cell>
          <cell r="CW97">
            <v>2228.0851903412399</v>
          </cell>
          <cell r="CX97">
            <v>2137.8287920684074</v>
          </cell>
          <cell r="CY97">
            <v>1675.0022333399961</v>
          </cell>
          <cell r="CZ97">
            <v>2131.4899800429603</v>
          </cell>
          <cell r="DA97">
            <v>1691.2058642476993</v>
          </cell>
          <cell r="DB97">
            <v>1953.3068233906217</v>
          </cell>
          <cell r="DC97">
            <v>2402.179261205973</v>
          </cell>
          <cell r="DD97">
            <v>2344.6554686488407</v>
          </cell>
          <cell r="DE97">
            <v>2092.7648799552062</v>
          </cell>
          <cell r="DF97">
            <v>2552.2156124568473</v>
          </cell>
          <cell r="DG97">
            <v>2322.4902462060268</v>
          </cell>
          <cell r="DH97">
            <v>1806.394457431988</v>
          </cell>
          <cell r="DI97">
            <v>1638.9584744046492</v>
          </cell>
          <cell r="DK97">
            <v>580000</v>
          </cell>
          <cell r="DL97" t="str">
            <v>2022-23</v>
          </cell>
          <cell r="DM97">
            <v>190000</v>
          </cell>
          <cell r="DN97" t="str">
            <v>2022-23</v>
          </cell>
          <cell r="DO97">
            <v>1800000</v>
          </cell>
          <cell r="DP97" t="str">
            <v>2022-23</v>
          </cell>
          <cell r="DQ97">
            <v>2300000</v>
          </cell>
          <cell r="DR97" t="str">
            <v>2022-23</v>
          </cell>
          <cell r="DS97">
            <v>7100000</v>
          </cell>
          <cell r="DT97" t="str">
            <v>2022-23</v>
          </cell>
          <cell r="DU97">
            <v>16000000</v>
          </cell>
          <cell r="DV97" t="str">
            <v>2022-23</v>
          </cell>
          <cell r="DW97">
            <v>900000</v>
          </cell>
          <cell r="DX97" t="str">
            <v>2022-23</v>
          </cell>
          <cell r="DY97">
            <v>5900000</v>
          </cell>
          <cell r="DZ97" t="str">
            <v>2022-23</v>
          </cell>
          <cell r="EA97">
            <v>34000000</v>
          </cell>
          <cell r="EB97">
            <v>373795</v>
          </cell>
          <cell r="EC97" t="str">
            <v>2022-23</v>
          </cell>
          <cell r="ED97">
            <v>222162</v>
          </cell>
          <cell r="EE97">
            <v>2023</v>
          </cell>
          <cell r="EF97">
            <v>204847</v>
          </cell>
          <cell r="EG97">
            <v>2023</v>
          </cell>
          <cell r="EH97">
            <v>54242595</v>
          </cell>
          <cell r="EI97">
            <v>2023</v>
          </cell>
          <cell r="EJ97">
            <v>5887401</v>
          </cell>
          <cell r="EK97">
            <v>2023</v>
          </cell>
          <cell r="EL97">
            <v>12461845</v>
          </cell>
          <cell r="EM97">
            <v>2022</v>
          </cell>
          <cell r="EN97">
            <v>3169981</v>
          </cell>
          <cell r="EO97">
            <v>2021</v>
          </cell>
          <cell r="EP97">
            <v>9305</v>
          </cell>
          <cell r="EQ97">
            <v>3500000</v>
          </cell>
          <cell r="ER97">
            <v>79916</v>
          </cell>
          <cell r="ET97">
            <v>20677</v>
          </cell>
          <cell r="EU97">
            <v>19532</v>
          </cell>
          <cell r="EV97">
            <v>9103</v>
          </cell>
          <cell r="EW97">
            <v>17281</v>
          </cell>
          <cell r="EX97">
            <v>66593</v>
          </cell>
          <cell r="EY97">
            <v>20193</v>
          </cell>
          <cell r="EZ97">
            <v>32682</v>
          </cell>
          <cell r="FA97">
            <v>19526</v>
          </cell>
          <cell r="FB97">
            <v>19463</v>
          </cell>
          <cell r="FC97">
            <v>38989</v>
          </cell>
          <cell r="FD97">
            <v>54743</v>
          </cell>
          <cell r="FF97">
            <v>900000</v>
          </cell>
          <cell r="FG97" t="str">
            <v>2022-23</v>
          </cell>
          <cell r="FH97">
            <v>1170000</v>
          </cell>
          <cell r="FI97" t="str">
            <v>2022-23</v>
          </cell>
          <cell r="FJ97">
            <v>4600000</v>
          </cell>
          <cell r="FK97" t="str">
            <v>2022-23</v>
          </cell>
          <cell r="FL97">
            <v>4900000</v>
          </cell>
          <cell r="FM97" t="str">
            <v>2022-23</v>
          </cell>
          <cell r="FN97">
            <v>36000000</v>
          </cell>
          <cell r="FO97" t="str">
            <v>2022-23</v>
          </cell>
          <cell r="FP97">
            <v>27700000</v>
          </cell>
          <cell r="FQ97" t="str">
            <v>2022-23</v>
          </cell>
          <cell r="FR97">
            <v>2000000</v>
          </cell>
          <cell r="FS97" t="str">
            <v>2022-23</v>
          </cell>
          <cell r="FT97">
            <v>12600000</v>
          </cell>
          <cell r="FU97" t="str">
            <v>2022-23</v>
          </cell>
          <cell r="FV97">
            <v>87800000</v>
          </cell>
          <cell r="FW97">
            <v>940426</v>
          </cell>
          <cell r="FX97" t="str">
            <v>2022-23</v>
          </cell>
          <cell r="FY97">
            <v>61645</v>
          </cell>
          <cell r="FZ97">
            <v>825592.26899999997</v>
          </cell>
          <cell r="GA97" t="str">
            <v>may22 abr23</v>
          </cell>
          <cell r="GB97">
            <v>14553117</v>
          </cell>
          <cell r="GC97">
            <v>2023</v>
          </cell>
          <cell r="GD97">
            <v>2315000</v>
          </cell>
          <cell r="GE97">
            <v>377000</v>
          </cell>
          <cell r="GF97">
            <v>1061000</v>
          </cell>
          <cell r="GG97">
            <v>127000</v>
          </cell>
          <cell r="GH97">
            <v>1565000</v>
          </cell>
          <cell r="GI97">
            <v>1302556</v>
          </cell>
          <cell r="GJ97">
            <v>687701</v>
          </cell>
          <cell r="GK97">
            <v>1430078.41</v>
          </cell>
          <cell r="GL97">
            <v>302535.34000000003</v>
          </cell>
          <cell r="GM97">
            <v>257597.81</v>
          </cell>
          <cell r="GN97">
            <v>2677912.56</v>
          </cell>
          <cell r="GO97">
            <v>202394.36</v>
          </cell>
          <cell r="GP97">
            <v>73395</v>
          </cell>
          <cell r="GQ97">
            <v>87868</v>
          </cell>
          <cell r="GR97">
            <v>37995</v>
          </cell>
          <cell r="GS97">
            <v>40631.040000000001</v>
          </cell>
          <cell r="GT97">
            <v>2365997</v>
          </cell>
          <cell r="GU97">
            <v>62857</v>
          </cell>
          <cell r="GV97">
            <v>25921</v>
          </cell>
          <cell r="GW97">
            <v>820902</v>
          </cell>
          <cell r="GX97">
            <v>33126.813000000002</v>
          </cell>
          <cell r="GY97" t="str">
            <v>2022-2023</v>
          </cell>
          <cell r="GZ97">
            <v>87408</v>
          </cell>
          <cell r="HA97">
            <v>262381</v>
          </cell>
          <cell r="HB97">
            <v>3224145</v>
          </cell>
          <cell r="HC97" t="str">
            <v>may22 abr23</v>
          </cell>
          <cell r="HD97">
            <v>60317</v>
          </cell>
          <cell r="HE97">
            <v>713286</v>
          </cell>
          <cell r="HF97" t="str">
            <v>may22 abr23</v>
          </cell>
          <cell r="HG97">
            <v>184000</v>
          </cell>
          <cell r="HH97">
            <v>2311000</v>
          </cell>
          <cell r="HI97" t="str">
            <v>may22 abr23</v>
          </cell>
          <cell r="HJ97">
            <v>87787</v>
          </cell>
          <cell r="HK97">
            <v>68253.240000000005</v>
          </cell>
          <cell r="HL97" t="str">
            <v>may22 abr23</v>
          </cell>
          <cell r="HM97">
            <v>2379253.2400000002</v>
          </cell>
          <cell r="HN97">
            <v>1.8647944995304977E-2</v>
          </cell>
          <cell r="HO97">
            <v>853000000</v>
          </cell>
          <cell r="HP97">
            <v>11567.517319784512</v>
          </cell>
          <cell r="HQ97" t="str">
            <v>may22 abr23</v>
          </cell>
          <cell r="HU97">
            <v>700000</v>
          </cell>
          <cell r="HV97" t="str">
            <v>2022-23</v>
          </cell>
          <cell r="HW97">
            <v>1500000</v>
          </cell>
          <cell r="HX97" t="str">
            <v>2023-24</v>
          </cell>
          <cell r="HY97">
            <v>4300000</v>
          </cell>
          <cell r="HZ97" t="str">
            <v>2022-23</v>
          </cell>
          <cell r="IA97">
            <v>21000000</v>
          </cell>
          <cell r="IB97" t="str">
            <v>2022-23</v>
          </cell>
          <cell r="IC97">
            <v>38500000</v>
          </cell>
          <cell r="ID97" t="str">
            <v>2022-23</v>
          </cell>
          <cell r="IE97">
            <v>750000</v>
          </cell>
          <cell r="IF97" t="str">
            <v>2022-23</v>
          </cell>
          <cell r="IG97">
            <v>7400000</v>
          </cell>
          <cell r="IH97" t="str">
            <v>2023-24</v>
          </cell>
          <cell r="II97">
            <v>73450000</v>
          </cell>
          <cell r="IJ97">
            <v>1.991933187973949</v>
          </cell>
          <cell r="IK97" t="str">
            <v>2022-23</v>
          </cell>
          <cell r="IL97">
            <v>45.74</v>
          </cell>
          <cell r="IM97">
            <v>50.29</v>
          </cell>
          <cell r="IN97">
            <v>188.6</v>
          </cell>
          <cell r="IO97">
            <v>16.77</v>
          </cell>
          <cell r="IP97">
            <v>6.1504299104893345</v>
          </cell>
          <cell r="IQ97">
            <v>16.7</v>
          </cell>
          <cell r="IR97">
            <v>6.92</v>
          </cell>
          <cell r="IS97">
            <v>4.57</v>
          </cell>
          <cell r="IT97">
            <v>13.61</v>
          </cell>
          <cell r="IU97">
            <v>1.56</v>
          </cell>
          <cell r="IV97">
            <v>19.739999999999998</v>
          </cell>
          <cell r="IY97">
            <v>1.88</v>
          </cell>
          <cell r="IZ97">
            <v>0.3</v>
          </cell>
          <cell r="JA97">
            <v>2813</v>
          </cell>
          <cell r="JF97">
            <v>1.1182586999999999</v>
          </cell>
          <cell r="JG97">
            <v>44.848914040000004</v>
          </cell>
          <cell r="JH97">
            <v>159.70446779</v>
          </cell>
          <cell r="JI97">
            <v>258.19948132000002</v>
          </cell>
          <cell r="JJ97">
            <v>579.71756881999977</v>
          </cell>
          <cell r="JK97">
            <v>98.470728969999996</v>
          </cell>
          <cell r="JL97">
            <v>2013.2375782500001</v>
          </cell>
          <cell r="JM97">
            <v>10.183817489999999</v>
          </cell>
          <cell r="JN97">
            <v>95.92656224000001</v>
          </cell>
          <cell r="JO97">
            <v>27.637267510000001</v>
          </cell>
          <cell r="JP97">
            <v>0</v>
          </cell>
          <cell r="JQ97">
            <v>6.6461530899999994</v>
          </cell>
          <cell r="JR97">
            <v>2.0321734899999999</v>
          </cell>
          <cell r="JS97">
            <v>0</v>
          </cell>
          <cell r="JT97">
            <v>0.55967083000000006</v>
          </cell>
          <cell r="JU97">
            <v>73.17738731</v>
          </cell>
          <cell r="JV97">
            <v>12.9621689</v>
          </cell>
          <cell r="JW97">
            <v>35.250037780000007</v>
          </cell>
          <cell r="JX97">
            <v>12.728419699999998</v>
          </cell>
          <cell r="JY97">
            <v>0</v>
          </cell>
          <cell r="JZ97">
            <v>0.79067076000000003</v>
          </cell>
          <cell r="KA97">
            <v>1.1764019999999999</v>
          </cell>
          <cell r="KB97">
            <v>20.56411928</v>
          </cell>
          <cell r="KC97">
            <v>13.328405800000001</v>
          </cell>
          <cell r="KD97">
            <v>10.5511423</v>
          </cell>
          <cell r="KE97">
            <v>23.512884059999998</v>
          </cell>
          <cell r="KF97">
            <v>18.00257775</v>
          </cell>
          <cell r="KG97">
            <v>337.45013477999998</v>
          </cell>
          <cell r="KH97">
            <v>115.47027065</v>
          </cell>
          <cell r="KI97">
            <v>21.006605250000003</v>
          </cell>
          <cell r="KJ97">
            <v>1.5228158499999997</v>
          </cell>
          <cell r="KK97">
            <v>6.8489806600000005</v>
          </cell>
          <cell r="KL97">
            <v>1.8036480000000001E-2</v>
          </cell>
          <cell r="KM97">
            <v>0.11981778</v>
          </cell>
          <cell r="KN97">
            <v>4.0018999999999997E-4</v>
          </cell>
          <cell r="KO97">
            <v>6.0448908500000007</v>
          </cell>
          <cell r="KP97">
            <v>0</v>
          </cell>
          <cell r="KQ97">
            <v>672.18301242000007</v>
          </cell>
          <cell r="KR97">
            <v>0</v>
          </cell>
          <cell r="KS97">
            <v>7.9469009999999993E-2</v>
          </cell>
          <cell r="KT97">
            <v>0.73241972</v>
          </cell>
          <cell r="KU97">
            <v>1.36422954</v>
          </cell>
          <cell r="KV97">
            <v>0</v>
          </cell>
          <cell r="KW97">
            <v>2.0483479400000002</v>
          </cell>
          <cell r="KX97">
            <v>0</v>
          </cell>
          <cell r="KY97">
            <v>0</v>
          </cell>
          <cell r="KZ97">
            <v>1.8665371000000002</v>
          </cell>
          <cell r="LA97">
            <v>1.255846</v>
          </cell>
          <cell r="LB97">
            <v>1.7836000000000001E-2</v>
          </cell>
          <cell r="LC97">
            <v>0.12078066</v>
          </cell>
          <cell r="LD97">
            <v>0</v>
          </cell>
          <cell r="LE97">
            <v>1.2758325500000001</v>
          </cell>
          <cell r="LF97">
            <v>4.5211800000000003E-2</v>
          </cell>
          <cell r="LG97">
            <v>25.77809422</v>
          </cell>
          <cell r="LH97">
            <v>5.5724239500000001</v>
          </cell>
          <cell r="LI97">
            <v>0.94532128999999998</v>
          </cell>
          <cell r="LJ97">
            <v>0</v>
          </cell>
          <cell r="LK97">
            <v>1.73014019</v>
          </cell>
          <cell r="LL97">
            <v>3.8261937100000005</v>
          </cell>
          <cell r="LM97">
            <v>2.2926081099999998</v>
          </cell>
          <cell r="LN97">
            <v>0.21283820000000001</v>
          </cell>
          <cell r="LO97">
            <v>5.5541627499999997</v>
          </cell>
          <cell r="LQ97">
            <v>3116.9694759099998</v>
          </cell>
          <cell r="LR97">
            <v>9.2379974100000002</v>
          </cell>
          <cell r="LS97">
            <v>48.212206680000008</v>
          </cell>
          <cell r="LT97">
            <v>1.96707276</v>
          </cell>
          <cell r="LU97">
            <v>678.42759025000009</v>
          </cell>
          <cell r="LV97">
            <v>2.0483479400000002</v>
          </cell>
          <cell r="LW97">
            <v>1.273682</v>
          </cell>
          <cell r="LX97">
            <v>1.32104435</v>
          </cell>
          <cell r="LZ97">
            <v>318.07</v>
          </cell>
          <cell r="MA97">
            <v>269.86</v>
          </cell>
          <cell r="MH97">
            <v>545.94000000000005</v>
          </cell>
          <cell r="MI97">
            <v>185.36</v>
          </cell>
          <cell r="MJ97">
            <v>240.82</v>
          </cell>
          <cell r="ML97">
            <v>202.09</v>
          </cell>
          <cell r="MM97">
            <v>697</v>
          </cell>
          <cell r="MO97">
            <v>238.53</v>
          </cell>
          <cell r="MP97">
            <v>465.77</v>
          </cell>
          <cell r="MQ97">
            <v>587.48</v>
          </cell>
          <cell r="MU97">
            <v>602.48</v>
          </cell>
          <cell r="MY97">
            <v>474.11</v>
          </cell>
          <cell r="MZ97">
            <v>1153</v>
          </cell>
          <cell r="NA97">
            <v>739.07</v>
          </cell>
          <cell r="NB97">
            <v>1860.7</v>
          </cell>
          <cell r="NC97">
            <v>271.29000000000002</v>
          </cell>
          <cell r="ND97">
            <v>1979</v>
          </cell>
          <cell r="NE97">
            <v>1259.1199999999999</v>
          </cell>
        </row>
        <row r="98">
          <cell r="A98">
            <v>45047</v>
          </cell>
          <cell r="B98">
            <v>5</v>
          </cell>
          <cell r="C98">
            <v>2023</v>
          </cell>
          <cell r="D98">
            <v>98</v>
          </cell>
          <cell r="E98">
            <v>45047</v>
          </cell>
          <cell r="F98">
            <v>239.97499999999999</v>
          </cell>
          <cell r="G98">
            <v>1613.6</v>
          </cell>
          <cell r="H98">
            <v>124314.16363636362</v>
          </cell>
          <cell r="I98">
            <v>106</v>
          </cell>
          <cell r="J98">
            <v>595</v>
          </cell>
          <cell r="K98">
            <v>6.5</v>
          </cell>
          <cell r="L98">
            <v>34.1</v>
          </cell>
          <cell r="N98">
            <v>2.46</v>
          </cell>
          <cell r="O98">
            <v>1.96</v>
          </cell>
          <cell r="P98">
            <v>503.82751249999995</v>
          </cell>
          <cell r="Q98">
            <v>8500</v>
          </cell>
          <cell r="R98">
            <v>85000</v>
          </cell>
          <cell r="S98">
            <v>234.05217210126054</v>
          </cell>
          <cell r="T98">
            <v>386.29023856651736</v>
          </cell>
          <cell r="U98">
            <v>193.5</v>
          </cell>
          <cell r="V98">
            <v>361.78000000000003</v>
          </cell>
          <cell r="W98">
            <v>283.75</v>
          </cell>
          <cell r="X98">
            <v>238.81</v>
          </cell>
          <cell r="Y98">
            <v>56166.67</v>
          </cell>
          <cell r="Z98">
            <v>92700</v>
          </cell>
          <cell r="AA98">
            <v>46435.162499999999</v>
          </cell>
          <cell r="AB98">
            <v>86818.155500000008</v>
          </cell>
          <cell r="AC98">
            <v>68092.90625</v>
          </cell>
          <cell r="AD98">
            <v>57308.429749999996</v>
          </cell>
          <cell r="AE98">
            <v>67920.220666666661</v>
          </cell>
          <cell r="AF98">
            <v>202453.4</v>
          </cell>
          <cell r="AG98">
            <v>112000</v>
          </cell>
          <cell r="AH98">
            <v>425600</v>
          </cell>
          <cell r="AI98">
            <v>164.22370000000001</v>
          </cell>
          <cell r="AJ98">
            <v>163.41460000000001</v>
          </cell>
          <cell r="AK98">
            <v>133.24019999999999</v>
          </cell>
          <cell r="AL98">
            <v>127.4751</v>
          </cell>
          <cell r="AM98">
            <v>147.31596200000001</v>
          </cell>
          <cell r="AN98">
            <v>380.01</v>
          </cell>
          <cell r="AO98">
            <v>200.97</v>
          </cell>
          <cell r="AP98">
            <v>290.49</v>
          </cell>
          <cell r="AQ98">
            <v>122.35</v>
          </cell>
          <cell r="AR98">
            <v>235.41</v>
          </cell>
          <cell r="AS98">
            <v>328.49</v>
          </cell>
          <cell r="AT98">
            <v>314.02999999999997</v>
          </cell>
          <cell r="AU98">
            <v>292.64333333333332</v>
          </cell>
          <cell r="AV98">
            <v>114.79</v>
          </cell>
          <cell r="AW98">
            <v>129.69999999999999</v>
          </cell>
          <cell r="AX98">
            <v>80.62</v>
          </cell>
          <cell r="AY98">
            <v>486.69</v>
          </cell>
          <cell r="AZ98">
            <v>119.89</v>
          </cell>
          <cell r="BA98">
            <v>74.98</v>
          </cell>
          <cell r="BB98">
            <v>190.54499999999999</v>
          </cell>
          <cell r="BC98">
            <v>8634</v>
          </cell>
          <cell r="BD98">
            <v>6202.12</v>
          </cell>
          <cell r="BE98">
            <v>5900</v>
          </cell>
          <cell r="BF98">
            <v>4000</v>
          </cell>
          <cell r="BG98">
            <v>6184.03</v>
          </cell>
          <cell r="BH98">
            <v>633.33000000000004</v>
          </cell>
          <cell r="BI98">
            <v>83</v>
          </cell>
          <cell r="BJ98">
            <v>716.33</v>
          </cell>
          <cell r="BK98">
            <v>489.875</v>
          </cell>
          <cell r="BL98">
            <v>482.82</v>
          </cell>
          <cell r="BM98">
            <v>486.34749999999997</v>
          </cell>
          <cell r="BN98">
            <v>96.58</v>
          </cell>
          <cell r="BO98">
            <v>391.4</v>
          </cell>
          <cell r="BP98">
            <v>432.9</v>
          </cell>
          <cell r="BQ98">
            <v>395.55</v>
          </cell>
          <cell r="BR98">
            <v>327.16250000000002</v>
          </cell>
          <cell r="BS98">
            <v>1200</v>
          </cell>
          <cell r="BT98">
            <v>182.381</v>
          </cell>
          <cell r="BU98">
            <v>14947.143</v>
          </cell>
          <cell r="BV98">
            <v>427</v>
          </cell>
          <cell r="BW98">
            <v>1250</v>
          </cell>
          <cell r="BY98">
            <v>2663.0386919381508</v>
          </cell>
          <cell r="BZ98">
            <v>2199.1418004885068</v>
          </cell>
          <cell r="CA98">
            <v>2483.5515264328965</v>
          </cell>
          <cell r="CB98">
            <v>2407.7356388136764</v>
          </cell>
          <cell r="CC98">
            <v>2320.9940076758089</v>
          </cell>
          <cell r="CD98">
            <v>2523.301928436098</v>
          </cell>
          <cell r="CE98">
            <v>2627.876643806208</v>
          </cell>
          <cell r="CF98">
            <v>2502.6576558351485</v>
          </cell>
          <cell r="CG98">
            <v>2477.6862334999728</v>
          </cell>
          <cell r="CH98">
            <v>2665.3697183616523</v>
          </cell>
          <cell r="CI98">
            <v>2399.2201688281689</v>
          </cell>
          <cell r="CJ98">
            <v>1985.3484673128858</v>
          </cell>
          <cell r="CK98">
            <v>2112.3140053934167</v>
          </cell>
          <cell r="CL98">
            <v>3686.1957548472419</v>
          </cell>
          <cell r="CM98">
            <v>1914.704107471553</v>
          </cell>
          <cell r="CN98">
            <v>1849.2633085666475</v>
          </cell>
          <cell r="CO98">
            <v>2390.6192940697147</v>
          </cell>
          <cell r="CP98">
            <v>2684.5659078239992</v>
          </cell>
          <cell r="CQ98">
            <v>1974.1602981601936</v>
          </cell>
          <cell r="CR98">
            <v>1933.2383278027394</v>
          </cell>
          <cell r="CS98">
            <v>1953.6993129814664</v>
          </cell>
          <cell r="CT98">
            <v>1846.9039878205288</v>
          </cell>
          <cell r="CU98">
            <v>2133.9843347339647</v>
          </cell>
          <cell r="CV98">
            <v>2253.0489986842013</v>
          </cell>
          <cell r="CW98">
            <v>2253.0489986842013</v>
          </cell>
          <cell r="CX98">
            <v>2213.3607773674557</v>
          </cell>
          <cell r="CY98">
            <v>1842.7652996040224</v>
          </cell>
          <cell r="CZ98">
            <v>2310.2962460475114</v>
          </cell>
          <cell r="DA98">
            <v>1850.9215675030373</v>
          </cell>
          <cell r="DB98">
            <v>2056.4203463383128</v>
          </cell>
          <cell r="DC98">
            <v>2206.0289000847229</v>
          </cell>
          <cell r="DD98">
            <v>2138.8948536815428</v>
          </cell>
          <cell r="DE98">
            <v>1879.9319825394032</v>
          </cell>
          <cell r="DF98">
            <v>2280.4587319774864</v>
          </cell>
          <cell r="DG98">
            <v>2080.1953572584448</v>
          </cell>
          <cell r="DH98">
            <v>1935.6938803449602</v>
          </cell>
          <cell r="DI98">
            <v>1812.2605852852921</v>
          </cell>
          <cell r="DK98">
            <v>580000</v>
          </cell>
          <cell r="DL98" t="str">
            <v>2022-23</v>
          </cell>
          <cell r="DM98">
            <v>190000</v>
          </cell>
          <cell r="DN98" t="str">
            <v>2022-23</v>
          </cell>
          <cell r="DO98">
            <v>1600000</v>
          </cell>
          <cell r="DP98" t="str">
            <v>2023-24</v>
          </cell>
          <cell r="DQ98">
            <v>2300000</v>
          </cell>
          <cell r="DR98" t="str">
            <v>2022-23</v>
          </cell>
          <cell r="DS98">
            <v>7100000</v>
          </cell>
          <cell r="DT98" t="str">
            <v>2022-23</v>
          </cell>
          <cell r="DU98">
            <v>16000000</v>
          </cell>
          <cell r="DV98" t="str">
            <v>2022-23</v>
          </cell>
          <cell r="DW98">
            <v>900000</v>
          </cell>
          <cell r="DX98" t="str">
            <v>2022-23</v>
          </cell>
          <cell r="DY98">
            <v>6100000</v>
          </cell>
          <cell r="DZ98" t="str">
            <v>2023-24</v>
          </cell>
          <cell r="EA98">
            <v>34000000</v>
          </cell>
          <cell r="EB98">
            <v>373795</v>
          </cell>
          <cell r="EC98" t="str">
            <v>2022-23</v>
          </cell>
          <cell r="ED98">
            <v>222162</v>
          </cell>
          <cell r="EE98">
            <v>2023</v>
          </cell>
          <cell r="EF98">
            <v>204847</v>
          </cell>
          <cell r="EG98">
            <v>2023</v>
          </cell>
          <cell r="EH98">
            <v>54242595</v>
          </cell>
          <cell r="EI98">
            <v>2023</v>
          </cell>
          <cell r="EJ98">
            <v>5887401</v>
          </cell>
          <cell r="EK98">
            <v>2023</v>
          </cell>
          <cell r="EL98">
            <v>12461845</v>
          </cell>
          <cell r="EM98">
            <v>2022</v>
          </cell>
          <cell r="EN98">
            <v>3169981</v>
          </cell>
          <cell r="EO98">
            <v>2021</v>
          </cell>
          <cell r="EP98">
            <v>9228</v>
          </cell>
          <cell r="EQ98">
            <v>3500000</v>
          </cell>
          <cell r="ER98">
            <v>79916</v>
          </cell>
          <cell r="ET98">
            <v>20677</v>
          </cell>
          <cell r="EU98">
            <v>19532</v>
          </cell>
          <cell r="EV98">
            <v>9103</v>
          </cell>
          <cell r="EW98">
            <v>17281</v>
          </cell>
          <cell r="EX98">
            <v>66593</v>
          </cell>
          <cell r="EY98">
            <v>20193</v>
          </cell>
          <cell r="EZ98">
            <v>32682</v>
          </cell>
          <cell r="FA98">
            <v>19526</v>
          </cell>
          <cell r="FB98">
            <v>19463</v>
          </cell>
          <cell r="FC98">
            <v>38989</v>
          </cell>
          <cell r="FD98">
            <v>54743</v>
          </cell>
          <cell r="FF98">
            <v>900000</v>
          </cell>
          <cell r="FG98" t="str">
            <v>2022-23</v>
          </cell>
          <cell r="FH98">
            <v>1100000</v>
          </cell>
          <cell r="FI98" t="str">
            <v>2022-23</v>
          </cell>
          <cell r="FJ98">
            <v>4600000</v>
          </cell>
          <cell r="FK98" t="str">
            <v>2022-23</v>
          </cell>
          <cell r="FL98">
            <v>4900000</v>
          </cell>
          <cell r="FM98" t="str">
            <v>2022-23</v>
          </cell>
          <cell r="FN98">
            <v>36000000</v>
          </cell>
          <cell r="FO98" t="str">
            <v>2022-23</v>
          </cell>
          <cell r="FP98">
            <v>25500000</v>
          </cell>
          <cell r="FQ98" t="str">
            <v>2022-23</v>
          </cell>
          <cell r="FR98">
            <v>2000000</v>
          </cell>
          <cell r="FS98" t="str">
            <v>2022-23</v>
          </cell>
          <cell r="FT98">
            <v>12600000</v>
          </cell>
          <cell r="FU98" t="str">
            <v>2022-23</v>
          </cell>
          <cell r="FV98">
            <v>85600000</v>
          </cell>
          <cell r="FW98">
            <v>940426</v>
          </cell>
          <cell r="FX98" t="str">
            <v>2022-23</v>
          </cell>
          <cell r="FY98">
            <v>122379</v>
          </cell>
          <cell r="FZ98">
            <v>836839.26899999997</v>
          </cell>
          <cell r="GA98" t="str">
            <v>jun22 may23</v>
          </cell>
          <cell r="GB98">
            <v>14553117</v>
          </cell>
          <cell r="GC98">
            <v>2023</v>
          </cell>
          <cell r="GD98">
            <v>2315000</v>
          </cell>
          <cell r="GE98">
            <v>377000</v>
          </cell>
          <cell r="GF98">
            <v>1061000</v>
          </cell>
          <cell r="GG98">
            <v>127000</v>
          </cell>
          <cell r="GH98">
            <v>1565000</v>
          </cell>
          <cell r="GI98">
            <v>1302556</v>
          </cell>
          <cell r="GJ98">
            <v>687701</v>
          </cell>
          <cell r="GK98">
            <v>1430078.41</v>
          </cell>
          <cell r="GL98">
            <v>302535.34000000003</v>
          </cell>
          <cell r="GM98">
            <v>257597.81</v>
          </cell>
          <cell r="GN98">
            <v>2677912.56</v>
          </cell>
          <cell r="GO98">
            <v>202394.36</v>
          </cell>
          <cell r="GP98">
            <v>73395</v>
          </cell>
          <cell r="GQ98">
            <v>64081.5</v>
          </cell>
          <cell r="GR98">
            <v>37995</v>
          </cell>
          <cell r="GS98">
            <v>39917.445</v>
          </cell>
          <cell r="GT98">
            <v>2365997</v>
          </cell>
          <cell r="GU98">
            <v>49139</v>
          </cell>
          <cell r="GV98">
            <v>28019</v>
          </cell>
          <cell r="GW98">
            <v>794454</v>
          </cell>
          <cell r="GX98">
            <v>33126.813000000002</v>
          </cell>
          <cell r="GY98" t="str">
            <v>2022-2023</v>
          </cell>
          <cell r="GZ98">
            <v>87408</v>
          </cell>
          <cell r="HA98">
            <v>288219</v>
          </cell>
          <cell r="HB98">
            <v>3245071</v>
          </cell>
          <cell r="HC98" t="str">
            <v>jun22 may23</v>
          </cell>
          <cell r="HD98">
            <v>67147</v>
          </cell>
          <cell r="HE98">
            <v>716180</v>
          </cell>
          <cell r="HF98" t="str">
            <v>jun22 may23</v>
          </cell>
          <cell r="HG98">
            <v>196000</v>
          </cell>
          <cell r="HH98">
            <v>2318000</v>
          </cell>
          <cell r="HI98" t="str">
            <v>jun22 may23</v>
          </cell>
          <cell r="HJ98">
            <v>100299</v>
          </cell>
          <cell r="HK98">
            <v>68386.14</v>
          </cell>
          <cell r="HL98" t="str">
            <v>jun22 may23</v>
          </cell>
          <cell r="HM98">
            <v>2386386.14</v>
          </cell>
          <cell r="HN98">
            <v>-2.4247040414865806E-2</v>
          </cell>
          <cell r="HO98">
            <v>882000000</v>
          </cell>
          <cell r="HP98">
            <v>11545.6</v>
          </cell>
          <cell r="HQ98" t="str">
            <v>jun22 may23</v>
          </cell>
          <cell r="HU98">
            <v>700000</v>
          </cell>
          <cell r="HV98" t="str">
            <v>2022-23</v>
          </cell>
          <cell r="HW98">
            <v>1500000</v>
          </cell>
          <cell r="HX98" t="str">
            <v>2023-24</v>
          </cell>
          <cell r="HY98">
            <v>4300000</v>
          </cell>
          <cell r="HZ98" t="str">
            <v>2022-23</v>
          </cell>
          <cell r="IA98">
            <v>21000000</v>
          </cell>
          <cell r="IB98" t="str">
            <v>2022-23</v>
          </cell>
          <cell r="IC98">
            <v>38500000</v>
          </cell>
          <cell r="ID98" t="str">
            <v>2022-23</v>
          </cell>
          <cell r="IE98">
            <v>750000</v>
          </cell>
          <cell r="IF98" t="str">
            <v>2022-23</v>
          </cell>
          <cell r="IG98">
            <v>7400000</v>
          </cell>
          <cell r="IH98" t="str">
            <v>2023-24</v>
          </cell>
          <cell r="II98">
            <v>73450000</v>
          </cell>
          <cell r="IJ98">
            <v>1.991933187973949</v>
          </cell>
          <cell r="IK98" t="str">
            <v>2022-23</v>
          </cell>
          <cell r="IL98">
            <v>45.99</v>
          </cell>
          <cell r="IM98">
            <v>50.44</v>
          </cell>
          <cell r="IN98">
            <v>188.6</v>
          </cell>
          <cell r="IO98">
            <v>16.72</v>
          </cell>
          <cell r="IP98">
            <v>6.1504299104893345</v>
          </cell>
          <cell r="IQ98">
            <v>16.7</v>
          </cell>
          <cell r="IR98">
            <v>6.92</v>
          </cell>
          <cell r="IS98">
            <v>4.57</v>
          </cell>
          <cell r="IT98">
            <v>13.61</v>
          </cell>
          <cell r="IU98">
            <v>1.56</v>
          </cell>
          <cell r="IV98">
            <v>19.739999999999998</v>
          </cell>
          <cell r="IY98">
            <v>1.88</v>
          </cell>
          <cell r="IZ98">
            <v>0.3</v>
          </cell>
          <cell r="JA98">
            <v>2813</v>
          </cell>
          <cell r="JF98">
            <v>5.3927380000000005</v>
          </cell>
          <cell r="JG98">
            <v>22.255101539999998</v>
          </cell>
          <cell r="JH98">
            <v>123.20283649000001</v>
          </cell>
          <cell r="JI98">
            <v>215.20485632</v>
          </cell>
          <cell r="JJ98">
            <v>605.68918315999997</v>
          </cell>
          <cell r="JK98">
            <v>102.39153366000001</v>
          </cell>
          <cell r="JL98">
            <v>2690.5606663499998</v>
          </cell>
          <cell r="JM98">
            <v>80.942818269999989</v>
          </cell>
          <cell r="JN98">
            <v>77.229926210000016</v>
          </cell>
          <cell r="JO98">
            <v>30.80704394</v>
          </cell>
          <cell r="JP98">
            <v>0</v>
          </cell>
          <cell r="JQ98">
            <v>7.8726735100000012</v>
          </cell>
          <cell r="JR98">
            <v>2.43753748</v>
          </cell>
          <cell r="JS98">
            <v>0</v>
          </cell>
          <cell r="JT98">
            <v>0.33089286000000001</v>
          </cell>
          <cell r="JU98">
            <v>82.508437450000031</v>
          </cell>
          <cell r="JV98">
            <v>12.807594879999998</v>
          </cell>
          <cell r="JW98">
            <v>27.022428790000003</v>
          </cell>
          <cell r="JX98">
            <v>36.673678940000002</v>
          </cell>
          <cell r="JY98">
            <v>0</v>
          </cell>
          <cell r="JZ98">
            <v>0.68785399999999997</v>
          </cell>
          <cell r="KA98">
            <v>0.09</v>
          </cell>
          <cell r="KB98">
            <v>23.814064600000002</v>
          </cell>
          <cell r="KC98">
            <v>19.014000799999998</v>
          </cell>
          <cell r="KD98">
            <v>8.6499339499999994</v>
          </cell>
          <cell r="KE98">
            <v>17.476901599999998</v>
          </cell>
          <cell r="KF98">
            <v>20.776878260000004</v>
          </cell>
          <cell r="KG98">
            <v>390.63577031</v>
          </cell>
          <cell r="KH98">
            <v>116.29617616</v>
          </cell>
          <cell r="KI98">
            <v>21.704121750000002</v>
          </cell>
          <cell r="KJ98">
            <v>1.2719750699999999</v>
          </cell>
          <cell r="KK98">
            <v>9.1724036200000008</v>
          </cell>
          <cell r="KL98">
            <v>0.10892111</v>
          </cell>
          <cell r="KM98">
            <v>0.12315501</v>
          </cell>
          <cell r="KN98">
            <v>1.36020242</v>
          </cell>
          <cell r="KO98">
            <v>0.58063414000000002</v>
          </cell>
          <cell r="KP98">
            <v>6.1200000000000002E-4</v>
          </cell>
          <cell r="KQ98">
            <v>677.33989417999987</v>
          </cell>
          <cell r="KR98">
            <v>0</v>
          </cell>
          <cell r="KS98">
            <v>0.34380327999999993</v>
          </cell>
          <cell r="KT98">
            <v>1.1348675200000002</v>
          </cell>
          <cell r="KU98">
            <v>1.11559404</v>
          </cell>
          <cell r="KV98">
            <v>0</v>
          </cell>
          <cell r="KW98">
            <v>1.7301791</v>
          </cell>
          <cell r="KX98">
            <v>0</v>
          </cell>
          <cell r="KY98">
            <v>0</v>
          </cell>
          <cell r="KZ98">
            <v>2.6711612799999997</v>
          </cell>
          <cell r="LA98">
            <v>1.1946952400000002</v>
          </cell>
          <cell r="LB98">
            <v>6.0014289999999998E-2</v>
          </cell>
          <cell r="LC98">
            <v>5.560843E-2</v>
          </cell>
          <cell r="LD98">
            <v>0</v>
          </cell>
          <cell r="LE98">
            <v>0.18255869</v>
          </cell>
          <cell r="LF98">
            <v>0.12916800000000001</v>
          </cell>
          <cell r="LG98">
            <v>26.663923630000003</v>
          </cell>
          <cell r="LH98">
            <v>6.4262316399999984</v>
          </cell>
          <cell r="LI98">
            <v>1.06290057</v>
          </cell>
          <cell r="LJ98">
            <v>7.038E-3</v>
          </cell>
          <cell r="LK98">
            <v>6.8027163900000005</v>
          </cell>
          <cell r="LL98">
            <v>7.3409295600000002</v>
          </cell>
          <cell r="LM98">
            <v>3.0093188999999998</v>
          </cell>
          <cell r="LN98">
            <v>0.12834936</v>
          </cell>
          <cell r="LO98">
            <v>6.3615663699999985</v>
          </cell>
          <cell r="LQ98">
            <v>3792.8302867999996</v>
          </cell>
          <cell r="LR98">
            <v>10.641103850000002</v>
          </cell>
          <cell r="LS98">
            <v>39.830023670000003</v>
          </cell>
          <cell r="LT98">
            <v>0.77785399999999993</v>
          </cell>
          <cell r="LU98">
            <v>679.74768902999983</v>
          </cell>
          <cell r="LV98">
            <v>1.7301791</v>
          </cell>
          <cell r="LW98">
            <v>1.2547095300000002</v>
          </cell>
          <cell r="LX98">
            <v>0.31172668999999997</v>
          </cell>
          <cell r="LZ98">
            <v>341.15</v>
          </cell>
          <cell r="MA98">
            <v>318.44</v>
          </cell>
          <cell r="MH98">
            <v>617.19000000000005</v>
          </cell>
          <cell r="MI98">
            <v>193.13</v>
          </cell>
          <cell r="MJ98">
            <v>251.59</v>
          </cell>
          <cell r="ML98">
            <v>194.87</v>
          </cell>
          <cell r="MM98">
            <v>964.66</v>
          </cell>
          <cell r="MO98">
            <v>236.99</v>
          </cell>
          <cell r="MP98">
            <v>506.03</v>
          </cell>
          <cell r="MQ98">
            <v>604.74</v>
          </cell>
          <cell r="MU98">
            <v>462.43</v>
          </cell>
          <cell r="MY98">
            <v>540.39</v>
          </cell>
          <cell r="MZ98">
            <v>1285</v>
          </cell>
          <cell r="NA98">
            <v>727.32</v>
          </cell>
          <cell r="NB98">
            <v>1873.54</v>
          </cell>
          <cell r="NC98">
            <v>293.3</v>
          </cell>
          <cell r="ND98">
            <v>1980</v>
          </cell>
          <cell r="NE98">
            <v>1333.52</v>
          </cell>
        </row>
        <row r="99">
          <cell r="A99">
            <v>45078</v>
          </cell>
          <cell r="B99">
            <v>6</v>
          </cell>
          <cell r="C99">
            <v>2023</v>
          </cell>
          <cell r="D99">
            <v>99</v>
          </cell>
          <cell r="E99">
            <v>45078</v>
          </cell>
          <cell r="F99">
            <v>258.67500000000001</v>
          </cell>
          <cell r="G99">
            <v>1709.6</v>
          </cell>
          <cell r="H99">
            <v>136745.57999999999</v>
          </cell>
          <cell r="I99">
            <v>102</v>
          </cell>
          <cell r="J99">
            <v>580</v>
          </cell>
          <cell r="K99">
            <v>6</v>
          </cell>
          <cell r="L99">
            <v>31.5</v>
          </cell>
          <cell r="N99">
            <v>2.2799999999999998</v>
          </cell>
          <cell r="O99">
            <v>1.77</v>
          </cell>
          <cell r="P99">
            <v>497.62603124999998</v>
          </cell>
          <cell r="Q99">
            <v>9500</v>
          </cell>
          <cell r="R99">
            <v>95000</v>
          </cell>
          <cell r="S99">
            <v>180</v>
          </cell>
          <cell r="T99">
            <v>261.09983570116941</v>
          </cell>
          <cell r="U99">
            <v>193.28</v>
          </cell>
          <cell r="V99">
            <v>331.48500000000001</v>
          </cell>
          <cell r="W99">
            <v>269</v>
          </cell>
          <cell r="X99">
            <v>231.05500000000001</v>
          </cell>
          <cell r="Y99">
            <v>46561.5</v>
          </cell>
          <cell r="Z99">
            <v>67540</v>
          </cell>
          <cell r="AA99">
            <v>49996.704000000005</v>
          </cell>
          <cell r="AB99">
            <v>85746.882375000001</v>
          </cell>
          <cell r="AC99">
            <v>69583.574999999997</v>
          </cell>
          <cell r="AD99">
            <v>59768.152125000008</v>
          </cell>
          <cell r="AE99">
            <v>63199.468916666672</v>
          </cell>
          <cell r="AF99">
            <v>234860.4</v>
          </cell>
          <cell r="AG99">
            <v>112000</v>
          </cell>
          <cell r="AH99">
            <v>425600</v>
          </cell>
          <cell r="AI99">
            <v>152.512</v>
          </cell>
          <cell r="AJ99">
            <v>124.9592</v>
          </cell>
          <cell r="AK99">
            <v>125.8098</v>
          </cell>
          <cell r="AL99">
            <v>124.5791</v>
          </cell>
          <cell r="AM99">
            <v>137.76342</v>
          </cell>
          <cell r="AN99">
            <v>410.73</v>
          </cell>
          <cell r="AO99">
            <v>197.7</v>
          </cell>
          <cell r="AP99">
            <v>304.21500000000003</v>
          </cell>
          <cell r="AQ99">
            <v>105.67</v>
          </cell>
          <cell r="AR99">
            <v>248.72</v>
          </cell>
          <cell r="AS99">
            <v>222.64</v>
          </cell>
          <cell r="AT99">
            <v>253.55</v>
          </cell>
          <cell r="AU99">
            <v>241.63666666666668</v>
          </cell>
          <cell r="AV99">
            <v>174.1</v>
          </cell>
          <cell r="AW99">
            <v>123.03</v>
          </cell>
          <cell r="AX99">
            <v>81.93</v>
          </cell>
          <cell r="AY99">
            <v>305.5</v>
          </cell>
          <cell r="AZ99">
            <v>121.32</v>
          </cell>
          <cell r="BA99">
            <v>78.92</v>
          </cell>
          <cell r="BB99">
            <v>146.91749999999999</v>
          </cell>
          <cell r="BC99">
            <v>9499</v>
          </cell>
          <cell r="BD99">
            <v>6202.12</v>
          </cell>
          <cell r="BE99">
            <v>6491.0933518647207</v>
          </cell>
          <cell r="BF99">
            <v>4000</v>
          </cell>
          <cell r="BG99">
            <v>6548.0533379661802</v>
          </cell>
          <cell r="BH99">
            <v>633.33000000000004</v>
          </cell>
          <cell r="BI99">
            <v>83</v>
          </cell>
          <cell r="BJ99">
            <v>716.33</v>
          </cell>
          <cell r="BK99">
            <v>484.31900000000002</v>
          </cell>
          <cell r="BL99">
            <v>495.86</v>
          </cell>
          <cell r="BM99">
            <v>490.08950000000004</v>
          </cell>
          <cell r="BN99">
            <v>102.2</v>
          </cell>
          <cell r="BO99">
            <v>374.4</v>
          </cell>
          <cell r="BP99">
            <v>437.3</v>
          </cell>
          <cell r="BQ99">
            <v>380.69</v>
          </cell>
          <cell r="BR99">
            <v>335.05500000000001</v>
          </cell>
          <cell r="BS99">
            <v>1200</v>
          </cell>
          <cell r="BT99">
            <v>248.328</v>
          </cell>
          <cell r="BU99">
            <v>15144.984</v>
          </cell>
          <cell r="BV99">
            <v>419</v>
          </cell>
          <cell r="BW99">
            <v>1150</v>
          </cell>
          <cell r="BY99">
            <v>2710.7883852551704</v>
          </cell>
          <cell r="BZ99">
            <v>2249.9363075011302</v>
          </cell>
          <cell r="CA99">
            <v>2402.078717665132</v>
          </cell>
          <cell r="CB99">
            <v>2236.3262366065219</v>
          </cell>
          <cell r="CC99">
            <v>2388.0709379728883</v>
          </cell>
          <cell r="CD99">
            <v>2523.3351247545993</v>
          </cell>
          <cell r="CE99">
            <v>2666.37859290192</v>
          </cell>
          <cell r="CF99">
            <v>2545.343369612141</v>
          </cell>
          <cell r="CG99">
            <v>2460.2554965855338</v>
          </cell>
          <cell r="CH99">
            <v>2867.2480082291613</v>
          </cell>
          <cell r="CI99">
            <v>2680.945658876522</v>
          </cell>
          <cell r="CJ99">
            <v>2067.555728355228</v>
          </cell>
          <cell r="CK99">
            <v>2190.6874894029856</v>
          </cell>
          <cell r="CL99">
            <v>3016.9897150171382</v>
          </cell>
          <cell r="CM99">
            <v>1996.9545721243283</v>
          </cell>
          <cell r="CN99">
            <v>1955.0301518764272</v>
          </cell>
          <cell r="CO99">
            <v>2289.9154821052198</v>
          </cell>
          <cell r="CP99">
            <v>2700.0743037639782</v>
          </cell>
          <cell r="CQ99">
            <v>2101.7804832904058</v>
          </cell>
          <cell r="CR99">
            <v>2028.0101403668368</v>
          </cell>
          <cell r="CS99">
            <v>2064.8953118286213</v>
          </cell>
          <cell r="CT99">
            <v>1918.0623215331793</v>
          </cell>
          <cell r="CU99">
            <v>2240.9557988043284</v>
          </cell>
          <cell r="CV99">
            <v>2200.1570221014772</v>
          </cell>
          <cell r="CW99">
            <v>2200.1570221014772</v>
          </cell>
          <cell r="CX99">
            <v>2213.7566143357612</v>
          </cell>
          <cell r="CY99">
            <v>1965.5871959261049</v>
          </cell>
          <cell r="CZ99">
            <v>2457.9582864140525</v>
          </cell>
          <cell r="DA99">
            <v>1980.8031751780341</v>
          </cell>
          <cell r="DB99">
            <v>2147.1803441585939</v>
          </cell>
          <cell r="DC99">
            <v>2361.8022309441635</v>
          </cell>
          <cell r="DD99">
            <v>2288.9257241052478</v>
          </cell>
          <cell r="DE99">
            <v>2030.6675078865408</v>
          </cell>
          <cell r="DF99">
            <v>2435.689605622319</v>
          </cell>
          <cell r="DG99">
            <v>2233.1785567544298</v>
          </cell>
          <cell r="DH99">
            <v>2037.5270686071999</v>
          </cell>
          <cell r="DI99">
            <v>1934.6430772027973</v>
          </cell>
          <cell r="DK99">
            <v>580000</v>
          </cell>
          <cell r="DL99" t="str">
            <v>2022-23</v>
          </cell>
          <cell r="DM99">
            <v>190000</v>
          </cell>
          <cell r="DN99" t="str">
            <v>2022-23</v>
          </cell>
          <cell r="DO99">
            <v>1600000</v>
          </cell>
          <cell r="DP99" t="str">
            <v>2023-24</v>
          </cell>
          <cell r="DQ99">
            <v>2300000</v>
          </cell>
          <cell r="DR99" t="str">
            <v>2022-23</v>
          </cell>
          <cell r="DS99">
            <v>7100000</v>
          </cell>
          <cell r="DT99" t="str">
            <v>2022-23</v>
          </cell>
          <cell r="DU99">
            <v>16000000</v>
          </cell>
          <cell r="DV99" t="str">
            <v>2022-23</v>
          </cell>
          <cell r="DW99">
            <v>800000</v>
          </cell>
          <cell r="DX99" t="str">
            <v>2022-23</v>
          </cell>
          <cell r="DY99">
            <v>6100000</v>
          </cell>
          <cell r="DZ99" t="str">
            <v>2023-24</v>
          </cell>
          <cell r="EA99">
            <v>33900000</v>
          </cell>
          <cell r="EB99">
            <v>373795</v>
          </cell>
          <cell r="EC99" t="str">
            <v>2022-23</v>
          </cell>
          <cell r="ED99">
            <v>222162</v>
          </cell>
          <cell r="EE99">
            <v>2023</v>
          </cell>
          <cell r="EF99">
            <v>204847</v>
          </cell>
          <cell r="EG99">
            <v>2023</v>
          </cell>
          <cell r="EH99">
            <v>54242595</v>
          </cell>
          <cell r="EI99">
            <v>2023</v>
          </cell>
          <cell r="EJ99">
            <v>5887401</v>
          </cell>
          <cell r="EK99">
            <v>2023</v>
          </cell>
          <cell r="EL99">
            <v>12461845</v>
          </cell>
          <cell r="EM99">
            <v>2022</v>
          </cell>
          <cell r="EN99">
            <v>3169981</v>
          </cell>
          <cell r="EO99">
            <v>2021</v>
          </cell>
          <cell r="EP99">
            <v>9326</v>
          </cell>
          <cell r="EQ99">
            <v>3500000</v>
          </cell>
          <cell r="ER99">
            <v>79916</v>
          </cell>
          <cell r="ET99">
            <v>20677</v>
          </cell>
          <cell r="EU99">
            <v>19532</v>
          </cell>
          <cell r="EV99">
            <v>9103</v>
          </cell>
          <cell r="EW99">
            <v>17281</v>
          </cell>
          <cell r="EX99">
            <v>66593</v>
          </cell>
          <cell r="EY99">
            <v>20193</v>
          </cell>
          <cell r="EZ99">
            <v>32682</v>
          </cell>
          <cell r="FA99">
            <v>19526</v>
          </cell>
          <cell r="FB99">
            <v>19463</v>
          </cell>
          <cell r="FC99">
            <v>38989</v>
          </cell>
          <cell r="FD99">
            <v>54743</v>
          </cell>
          <cell r="FF99">
            <v>900000</v>
          </cell>
          <cell r="FG99" t="str">
            <v>2022-23</v>
          </cell>
          <cell r="FH99">
            <v>1100000</v>
          </cell>
          <cell r="FI99" t="str">
            <v>2022-23</v>
          </cell>
          <cell r="FJ99">
            <v>4600000</v>
          </cell>
          <cell r="FK99" t="str">
            <v>2022-23</v>
          </cell>
          <cell r="FL99">
            <v>4900000</v>
          </cell>
          <cell r="FM99" t="str">
            <v>2022-23</v>
          </cell>
          <cell r="FN99">
            <v>36000000</v>
          </cell>
          <cell r="FO99" t="str">
            <v>2022-23</v>
          </cell>
          <cell r="FP99">
            <v>25000000</v>
          </cell>
          <cell r="FQ99" t="str">
            <v>2022-23</v>
          </cell>
          <cell r="FR99">
            <v>1700000</v>
          </cell>
          <cell r="FS99" t="str">
            <v>2022-23</v>
          </cell>
          <cell r="FT99">
            <v>12600000</v>
          </cell>
          <cell r="FU99" t="str">
            <v>2022-23</v>
          </cell>
          <cell r="FV99">
            <v>84800000</v>
          </cell>
          <cell r="FW99">
            <v>940426</v>
          </cell>
          <cell r="FX99" t="str">
            <v>2022-23</v>
          </cell>
          <cell r="FY99">
            <v>138993</v>
          </cell>
          <cell r="FZ99">
            <v>834186.26900000009</v>
          </cell>
          <cell r="GA99" t="str">
            <v>jul22 jun23</v>
          </cell>
          <cell r="GB99">
            <v>14553117</v>
          </cell>
          <cell r="GC99">
            <v>2023</v>
          </cell>
          <cell r="GD99">
            <v>2315000</v>
          </cell>
          <cell r="GE99">
            <v>377000</v>
          </cell>
          <cell r="GF99">
            <v>1061000</v>
          </cell>
          <cell r="GG99">
            <v>127000</v>
          </cell>
          <cell r="GH99">
            <v>1565000</v>
          </cell>
          <cell r="GI99">
            <v>1302556</v>
          </cell>
          <cell r="GJ99">
            <v>687701</v>
          </cell>
          <cell r="GK99">
            <v>1430078.41</v>
          </cell>
          <cell r="GL99">
            <v>302535.34000000003</v>
          </cell>
          <cell r="GM99">
            <v>257597.81</v>
          </cell>
          <cell r="GN99">
            <v>2677912.56</v>
          </cell>
          <cell r="GO99">
            <v>202394.36</v>
          </cell>
          <cell r="GP99">
            <v>73395</v>
          </cell>
          <cell r="GQ99">
            <v>37273</v>
          </cell>
          <cell r="GR99">
            <v>36622</v>
          </cell>
          <cell r="GS99">
            <v>37740.19</v>
          </cell>
          <cell r="GT99">
            <v>2365997</v>
          </cell>
          <cell r="GU99">
            <v>44132</v>
          </cell>
          <cell r="GV99">
            <v>26997</v>
          </cell>
          <cell r="GW99">
            <v>788700</v>
          </cell>
          <cell r="GX99">
            <v>33126.813000000002</v>
          </cell>
          <cell r="GY99" t="str">
            <v>2022-2023</v>
          </cell>
          <cell r="GZ99">
            <v>87408</v>
          </cell>
          <cell r="HA99">
            <v>297185</v>
          </cell>
          <cell r="HB99">
            <v>3277512</v>
          </cell>
          <cell r="HC99" t="str">
            <v>jul22 jun23</v>
          </cell>
          <cell r="HD99">
            <v>64703</v>
          </cell>
          <cell r="HE99">
            <v>721331</v>
          </cell>
          <cell r="HF99" t="str">
            <v>jul22 jun23</v>
          </cell>
          <cell r="HG99">
            <v>192000</v>
          </cell>
          <cell r="HH99">
            <v>2314000</v>
          </cell>
          <cell r="HI99" t="str">
            <v>jul22 jun23</v>
          </cell>
          <cell r="HJ99">
            <v>91698</v>
          </cell>
          <cell r="HK99">
            <v>68514.3</v>
          </cell>
          <cell r="HL99" t="str">
            <v>jul22 jun23</v>
          </cell>
          <cell r="HM99">
            <v>2382514.2999999998</v>
          </cell>
          <cell r="HN99">
            <v>-8.6596674688251829E-3</v>
          </cell>
          <cell r="HO99">
            <v>906283332</v>
          </cell>
          <cell r="HP99">
            <v>11537.683332000001</v>
          </cell>
          <cell r="HQ99" t="str">
            <v>jul22 jun23</v>
          </cell>
          <cell r="HU99">
            <v>700000</v>
          </cell>
          <cell r="HV99" t="str">
            <v>2022-23</v>
          </cell>
          <cell r="HW99">
            <v>1500000</v>
          </cell>
          <cell r="HX99" t="str">
            <v>2023-24</v>
          </cell>
          <cell r="HY99">
            <v>4300000</v>
          </cell>
          <cell r="HZ99" t="str">
            <v>2022-23</v>
          </cell>
          <cell r="IA99">
            <v>21000000</v>
          </cell>
          <cell r="IB99" t="str">
            <v>2022-23</v>
          </cell>
          <cell r="IC99">
            <v>38500000</v>
          </cell>
          <cell r="ID99" t="str">
            <v>2022-23</v>
          </cell>
          <cell r="IE99">
            <v>750000</v>
          </cell>
          <cell r="IF99" t="str">
            <v>2022-23</v>
          </cell>
          <cell r="IG99">
            <v>7400000</v>
          </cell>
          <cell r="IH99" t="str">
            <v>2023-24</v>
          </cell>
          <cell r="II99">
            <v>73450000</v>
          </cell>
          <cell r="IJ99">
            <v>1.991933187973949</v>
          </cell>
          <cell r="IK99" t="str">
            <v>2022-23</v>
          </cell>
          <cell r="IL99">
            <v>46</v>
          </cell>
          <cell r="IM99">
            <v>51.32</v>
          </cell>
          <cell r="IN99">
            <v>188.6</v>
          </cell>
          <cell r="IO99">
            <v>16.670000000000002</v>
          </cell>
          <cell r="IP99">
            <v>6.1504299104893345</v>
          </cell>
          <cell r="IQ99">
            <v>16.7</v>
          </cell>
          <cell r="IR99">
            <v>6.92</v>
          </cell>
          <cell r="IS99">
            <v>4.57</v>
          </cell>
          <cell r="IT99">
            <v>13.61</v>
          </cell>
          <cell r="IU99">
            <v>1.56</v>
          </cell>
          <cell r="IV99">
            <v>19.739999999999998</v>
          </cell>
          <cell r="IY99">
            <v>1.88</v>
          </cell>
          <cell r="IZ99">
            <v>0.3</v>
          </cell>
          <cell r="JA99">
            <v>2813</v>
          </cell>
          <cell r="JF99">
            <v>2.3595063199999995</v>
          </cell>
          <cell r="JG99">
            <v>21.418726320000001</v>
          </cell>
          <cell r="JH99">
            <v>140.62514052</v>
          </cell>
          <cell r="JI99">
            <v>151.45746105000001</v>
          </cell>
          <cell r="JJ99">
            <v>750.5849572300001</v>
          </cell>
          <cell r="JK99">
            <v>89.79279253</v>
          </cell>
          <cell r="JL99">
            <v>2249.1007870399994</v>
          </cell>
          <cell r="JM99">
            <v>10.328057080000001</v>
          </cell>
          <cell r="JN99">
            <v>86.076339700000005</v>
          </cell>
          <cell r="JO99">
            <v>26.2743097</v>
          </cell>
          <cell r="JP99">
            <v>0</v>
          </cell>
          <cell r="JQ99">
            <v>4.6827897799999993</v>
          </cell>
          <cell r="JR99">
            <v>3.0590236400000004</v>
          </cell>
          <cell r="JS99">
            <v>0</v>
          </cell>
          <cell r="JT99">
            <v>1.387384E-2</v>
          </cell>
          <cell r="JU99">
            <v>61.526627820000002</v>
          </cell>
          <cell r="JV99">
            <v>8.7651813800000014</v>
          </cell>
          <cell r="JW99">
            <v>21.551970270000002</v>
          </cell>
          <cell r="JX99">
            <v>48.639479369999997</v>
          </cell>
          <cell r="JY99">
            <v>0</v>
          </cell>
          <cell r="JZ99">
            <v>1.24879154</v>
          </cell>
          <cell r="KA99">
            <v>2.5000000000000001E-3</v>
          </cell>
          <cell r="KB99">
            <v>26.5668471</v>
          </cell>
          <cell r="KC99">
            <v>34.825160650000001</v>
          </cell>
          <cell r="KD99">
            <v>9.3876240000000006</v>
          </cell>
          <cell r="KE99">
            <v>14.837575590000002</v>
          </cell>
          <cell r="KF99">
            <v>20.281404040000002</v>
          </cell>
          <cell r="KG99">
            <v>308.34921994000001</v>
          </cell>
          <cell r="KH99">
            <v>100.85116919999999</v>
          </cell>
          <cell r="KI99">
            <v>12.26162961</v>
          </cell>
          <cell r="KJ99">
            <v>1.8176867299999997</v>
          </cell>
          <cell r="KK99">
            <v>7.1486482300000009</v>
          </cell>
          <cell r="KL99">
            <v>3.9243889999999997E-2</v>
          </cell>
          <cell r="KM99">
            <v>0.35539929000000003</v>
          </cell>
          <cell r="KN99">
            <v>0.51010381999999999</v>
          </cell>
          <cell r="KO99">
            <v>2.0827674800000002</v>
          </cell>
          <cell r="KP99">
            <v>0.13456720999999999</v>
          </cell>
          <cell r="KQ99">
            <v>825.26774868999996</v>
          </cell>
          <cell r="KR99">
            <v>0.58970502000000002</v>
          </cell>
          <cell r="KS99">
            <v>3.6820550000000001E-2</v>
          </cell>
          <cell r="KT99">
            <v>1.6364950999999999</v>
          </cell>
          <cell r="KU99">
            <v>1.1944894100000001</v>
          </cell>
          <cell r="KV99">
            <v>0</v>
          </cell>
          <cell r="KW99">
            <v>0.42388491999999994</v>
          </cell>
          <cell r="KX99">
            <v>0</v>
          </cell>
          <cell r="KY99">
            <v>0</v>
          </cell>
          <cell r="KZ99">
            <v>1.2618213600000001</v>
          </cell>
          <cell r="LA99">
            <v>0.34636184000000003</v>
          </cell>
          <cell r="LB99">
            <v>0</v>
          </cell>
          <cell r="LC99">
            <v>9.3519190000000002E-2</v>
          </cell>
          <cell r="LD99">
            <v>0</v>
          </cell>
          <cell r="LE99">
            <v>0</v>
          </cell>
          <cell r="LF99">
            <v>0</v>
          </cell>
          <cell r="LG99">
            <v>25.979397770000002</v>
          </cell>
          <cell r="LH99">
            <v>8.5152603000000013</v>
          </cell>
          <cell r="LI99">
            <v>1.1220479999999999</v>
          </cell>
          <cell r="LJ99">
            <v>0</v>
          </cell>
          <cell r="LK99">
            <v>4.2620939999999994</v>
          </cell>
          <cell r="LL99">
            <v>3.8355995800000002</v>
          </cell>
          <cell r="LM99">
            <v>1.8108909100000001</v>
          </cell>
          <cell r="LN99">
            <v>0.16069122999999999</v>
          </cell>
          <cell r="LO99">
            <v>4.5685913500000002</v>
          </cell>
          <cell r="LQ99">
            <v>3388.1727426199996</v>
          </cell>
          <cell r="LR99">
            <v>7.7556872599999993</v>
          </cell>
          <cell r="LS99">
            <v>30.317151650000003</v>
          </cell>
          <cell r="LT99">
            <v>1.25129154</v>
          </cell>
          <cell r="LU99">
            <v>828.84254484999997</v>
          </cell>
          <cell r="LV99">
            <v>0.42388491999999994</v>
          </cell>
          <cell r="LW99">
            <v>0.34636184000000003</v>
          </cell>
          <cell r="LX99">
            <v>0</v>
          </cell>
          <cell r="LZ99">
            <v>355.05</v>
          </cell>
          <cell r="MA99">
            <v>358.85</v>
          </cell>
          <cell r="MH99">
            <v>698.16</v>
          </cell>
          <cell r="MI99">
            <v>196.65</v>
          </cell>
          <cell r="MJ99">
            <v>313.8</v>
          </cell>
          <cell r="ML99">
            <v>203.67</v>
          </cell>
          <cell r="MM99">
            <v>710.44</v>
          </cell>
          <cell r="MO99">
            <v>235.1</v>
          </cell>
          <cell r="MP99">
            <v>570.53</v>
          </cell>
          <cell r="MQ99">
            <v>607.28</v>
          </cell>
          <cell r="MU99">
            <v>342.64</v>
          </cell>
          <cell r="MY99">
            <v>630.17999999999995</v>
          </cell>
          <cell r="MZ99">
            <v>1404</v>
          </cell>
          <cell r="NA99">
            <v>678.86</v>
          </cell>
          <cell r="NB99">
            <v>1907.21</v>
          </cell>
          <cell r="NC99">
            <v>309.63</v>
          </cell>
          <cell r="ND99">
            <v>2100</v>
          </cell>
          <cell r="NE99">
            <v>1372.65</v>
          </cell>
        </row>
        <row r="100">
          <cell r="A100">
            <v>45108</v>
          </cell>
          <cell r="B100">
            <v>7</v>
          </cell>
          <cell r="C100">
            <v>2023</v>
          </cell>
          <cell r="D100">
            <v>100</v>
          </cell>
          <cell r="E100">
            <v>45108</v>
          </cell>
          <cell r="F100">
            <v>278.14</v>
          </cell>
          <cell r="G100">
            <v>1818.1</v>
          </cell>
          <cell r="H100">
            <v>141604.56</v>
          </cell>
          <cell r="I100">
            <v>98</v>
          </cell>
          <cell r="J100">
            <v>570</v>
          </cell>
          <cell r="K100">
            <v>5.8</v>
          </cell>
          <cell r="L100">
            <v>29</v>
          </cell>
          <cell r="N100">
            <v>1.87</v>
          </cell>
          <cell r="O100">
            <v>1.42</v>
          </cell>
          <cell r="P100">
            <v>434.66328499999992</v>
          </cell>
          <cell r="Q100">
            <v>11500</v>
          </cell>
          <cell r="R100">
            <v>115000</v>
          </cell>
          <cell r="S100">
            <v>182.5</v>
          </cell>
          <cell r="T100">
            <v>313.16962680664415</v>
          </cell>
          <cell r="U100">
            <v>186.86</v>
          </cell>
          <cell r="V100">
            <v>332.94761904761907</v>
          </cell>
          <cell r="W100">
            <v>272</v>
          </cell>
          <cell r="X100">
            <v>232.92857142857142</v>
          </cell>
          <cell r="Y100">
            <v>50760.549999999996</v>
          </cell>
          <cell r="Z100">
            <v>87105</v>
          </cell>
          <cell r="AA100">
            <v>51973.240400000002</v>
          </cell>
          <cell r="AB100">
            <v>92606.050761904757</v>
          </cell>
          <cell r="AC100">
            <v>75654.080000000002</v>
          </cell>
          <cell r="AD100">
            <v>64786.752857142848</v>
          </cell>
          <cell r="AE100">
            <v>70480.945669841269</v>
          </cell>
          <cell r="AF100">
            <v>250426</v>
          </cell>
          <cell r="AG100">
            <v>120000</v>
          </cell>
          <cell r="AH100">
            <v>456000</v>
          </cell>
          <cell r="AI100">
            <v>188.45089999999999</v>
          </cell>
          <cell r="AJ100">
            <v>145.46109999999999</v>
          </cell>
          <cell r="AK100">
            <v>121.57340000000001</v>
          </cell>
          <cell r="AL100">
            <v>127.4179</v>
          </cell>
          <cell r="AM100">
            <v>154.69523800000002</v>
          </cell>
          <cell r="AN100">
            <v>471.08</v>
          </cell>
          <cell r="AO100">
            <v>290.25</v>
          </cell>
          <cell r="AP100">
            <v>380.66499999999996</v>
          </cell>
          <cell r="AQ100">
            <v>84.62</v>
          </cell>
          <cell r="AR100">
            <v>235.41</v>
          </cell>
          <cell r="AS100">
            <v>201.05</v>
          </cell>
          <cell r="AT100">
            <v>223.55</v>
          </cell>
          <cell r="AU100">
            <v>220.00333333333333</v>
          </cell>
          <cell r="AV100">
            <v>267.67</v>
          </cell>
          <cell r="AW100">
            <v>118.33</v>
          </cell>
          <cell r="AX100">
            <v>101.7</v>
          </cell>
          <cell r="AY100">
            <v>199.23</v>
          </cell>
          <cell r="AZ100">
            <v>117.57</v>
          </cell>
          <cell r="BA100">
            <v>85.87</v>
          </cell>
          <cell r="BB100">
            <v>126.0925</v>
          </cell>
          <cell r="BC100">
            <v>9879</v>
          </cell>
          <cell r="BD100">
            <v>7197</v>
          </cell>
          <cell r="BE100">
            <v>6750.7644197359277</v>
          </cell>
          <cell r="BF100">
            <v>4641.6386654885746</v>
          </cell>
          <cell r="BG100">
            <v>7117.1007713061254</v>
          </cell>
          <cell r="BH100">
            <v>633.33000000000004</v>
          </cell>
          <cell r="BI100">
            <v>83</v>
          </cell>
          <cell r="BJ100">
            <v>716.33</v>
          </cell>
          <cell r="BK100">
            <v>506.85</v>
          </cell>
          <cell r="BL100">
            <v>546.98</v>
          </cell>
          <cell r="BM100">
            <v>526.91499999999996</v>
          </cell>
          <cell r="BN100">
            <v>106.74</v>
          </cell>
          <cell r="BO100">
            <v>437.4</v>
          </cell>
          <cell r="BP100">
            <v>468.1</v>
          </cell>
          <cell r="BQ100">
            <v>440.46999999999997</v>
          </cell>
          <cell r="BR100">
            <v>356.83249999999998</v>
          </cell>
          <cell r="BS100">
            <v>1200</v>
          </cell>
          <cell r="BT100">
            <v>275.35859999999997</v>
          </cell>
          <cell r="BU100">
            <v>15226.075800000001</v>
          </cell>
          <cell r="BV100">
            <v>427.6</v>
          </cell>
          <cell r="BW100">
            <v>1300</v>
          </cell>
          <cell r="BY100">
            <v>2656.9869867902939</v>
          </cell>
          <cell r="BZ100">
            <v>2349.1095057840816</v>
          </cell>
          <cell r="CA100">
            <v>2537.627391473512</v>
          </cell>
          <cell r="CB100">
            <v>2461.1584352681002</v>
          </cell>
          <cell r="CC100">
            <v>2481.1329808052319</v>
          </cell>
          <cell r="CD100">
            <v>2678.5973908794826</v>
          </cell>
          <cell r="CE100">
            <v>2815.635395435897</v>
          </cell>
          <cell r="CF100">
            <v>2688.623127503015</v>
          </cell>
          <cell r="CG100">
            <v>2610.4624535608732</v>
          </cell>
          <cell r="CH100">
            <v>3034.3576225291072</v>
          </cell>
          <cell r="CI100">
            <v>3090.0758204781509</v>
          </cell>
          <cell r="CJ100">
            <v>2109.5166384902541</v>
          </cell>
          <cell r="CK100">
            <v>2344.0248710579881</v>
          </cell>
          <cell r="CL100">
            <v>2648.832585730886</v>
          </cell>
          <cell r="CM100">
            <v>2024.4591403997808</v>
          </cell>
          <cell r="CN100">
            <v>2030.9814993845962</v>
          </cell>
          <cell r="CO100">
            <v>2262.0745241433128</v>
          </cell>
          <cell r="CP100">
            <v>2851.7238697587431</v>
          </cell>
          <cell r="CQ100">
            <v>2216.7053261540227</v>
          </cell>
          <cell r="CR100">
            <v>2228.2117922975854</v>
          </cell>
          <cell r="CS100">
            <v>2222.458559225804</v>
          </cell>
          <cell r="CT100">
            <v>1952.4715799017124</v>
          </cell>
          <cell r="CU100">
            <v>2286.2540300601681</v>
          </cell>
          <cell r="CV100">
            <v>2234.6833908194276</v>
          </cell>
          <cell r="CW100">
            <v>2234.6833908194276</v>
          </cell>
          <cell r="CX100">
            <v>2251.8736038996744</v>
          </cell>
          <cell r="CY100">
            <v>2037.0203879771075</v>
          </cell>
          <cell r="CZ100">
            <v>2546.0160359479546</v>
          </cell>
          <cell r="DA100">
            <v>2050.9726890775573</v>
          </cell>
          <cell r="DB100">
            <v>2227.1451820371317</v>
          </cell>
          <cell r="DC100">
            <v>2452.4482806673673</v>
          </cell>
          <cell r="DD100">
            <v>2377.0104711776339</v>
          </cell>
          <cell r="DE100">
            <v>2109.0080775660531</v>
          </cell>
          <cell r="DF100">
            <v>2532.0527784828228</v>
          </cell>
          <cell r="DG100">
            <v>2320.5304280244382</v>
          </cell>
          <cell r="DH100">
            <v>2102.6016514802782</v>
          </cell>
          <cell r="DI100">
            <v>1994.8228972586562</v>
          </cell>
          <cell r="DK100">
            <v>580000</v>
          </cell>
          <cell r="DL100" t="str">
            <v>2022-23</v>
          </cell>
          <cell r="DM100">
            <v>190000</v>
          </cell>
          <cell r="DN100" t="str">
            <v>2022-23</v>
          </cell>
          <cell r="DO100">
            <v>1600000</v>
          </cell>
          <cell r="DP100" t="str">
            <v>2023-24</v>
          </cell>
          <cell r="DQ100">
            <v>2450000</v>
          </cell>
          <cell r="DR100" t="str">
            <v>2023-24</v>
          </cell>
          <cell r="DS100">
            <v>7100000</v>
          </cell>
          <cell r="DT100" t="str">
            <v>2022-23</v>
          </cell>
          <cell r="DU100">
            <v>16000000</v>
          </cell>
          <cell r="DV100" t="str">
            <v>2022-23</v>
          </cell>
          <cell r="DW100">
            <v>740000</v>
          </cell>
          <cell r="DX100" t="str">
            <v>2023-24</v>
          </cell>
          <cell r="DY100">
            <v>6100000</v>
          </cell>
          <cell r="DZ100" t="str">
            <v>2023-24</v>
          </cell>
          <cell r="EA100">
            <v>33990000</v>
          </cell>
          <cell r="EB100">
            <v>373795</v>
          </cell>
          <cell r="EC100" t="str">
            <v>2022-23</v>
          </cell>
          <cell r="ED100">
            <v>222162</v>
          </cell>
          <cell r="EE100">
            <v>2023</v>
          </cell>
          <cell r="EF100">
            <v>204847</v>
          </cell>
          <cell r="EG100">
            <v>2023</v>
          </cell>
          <cell r="EH100">
            <v>54242595</v>
          </cell>
          <cell r="EI100">
            <v>2023</v>
          </cell>
          <cell r="EJ100">
            <v>5887401</v>
          </cell>
          <cell r="EK100">
            <v>2023</v>
          </cell>
          <cell r="EL100">
            <v>12461845</v>
          </cell>
          <cell r="EM100">
            <v>2022</v>
          </cell>
          <cell r="EN100">
            <v>3169981</v>
          </cell>
          <cell r="EO100">
            <v>2021</v>
          </cell>
          <cell r="EP100">
            <v>9374</v>
          </cell>
          <cell r="EQ100">
            <v>3500000</v>
          </cell>
          <cell r="ER100">
            <v>79916</v>
          </cell>
          <cell r="ET100">
            <v>20677</v>
          </cell>
          <cell r="EU100">
            <v>19532</v>
          </cell>
          <cell r="EV100">
            <v>9103</v>
          </cell>
          <cell r="EW100">
            <v>17281</v>
          </cell>
          <cell r="EX100">
            <v>66593</v>
          </cell>
          <cell r="EY100">
            <v>20193</v>
          </cell>
          <cell r="EZ100">
            <v>32682</v>
          </cell>
          <cell r="FA100">
            <v>19526</v>
          </cell>
          <cell r="FB100">
            <v>19463</v>
          </cell>
          <cell r="FC100">
            <v>38989</v>
          </cell>
          <cell r="FD100">
            <v>54743</v>
          </cell>
          <cell r="FF100">
            <v>900000</v>
          </cell>
          <cell r="FG100" t="str">
            <v>2022-23</v>
          </cell>
          <cell r="FH100">
            <v>1100000</v>
          </cell>
          <cell r="FI100" t="str">
            <v>2022-23</v>
          </cell>
          <cell r="FJ100">
            <v>4600000</v>
          </cell>
          <cell r="FK100" t="str">
            <v>2022-23</v>
          </cell>
          <cell r="FL100">
            <v>4900000</v>
          </cell>
          <cell r="FM100" t="str">
            <v>2022-23</v>
          </cell>
          <cell r="FN100">
            <v>34000000</v>
          </cell>
          <cell r="FO100" t="str">
            <v>2022-23</v>
          </cell>
          <cell r="FP100">
            <v>25000000</v>
          </cell>
          <cell r="FQ100" t="str">
            <v>2022-23</v>
          </cell>
          <cell r="FR100">
            <v>1600000</v>
          </cell>
          <cell r="FS100" t="str">
            <v>2022-23</v>
          </cell>
          <cell r="FT100">
            <v>12600000</v>
          </cell>
          <cell r="FU100" t="str">
            <v>2022-23</v>
          </cell>
          <cell r="FV100">
            <v>82700000</v>
          </cell>
          <cell r="FW100">
            <v>940426</v>
          </cell>
          <cell r="FX100" t="str">
            <v>2022-23</v>
          </cell>
          <cell r="FY100">
            <v>135409</v>
          </cell>
          <cell r="FZ100">
            <v>801859.26900000009</v>
          </cell>
          <cell r="GA100" t="str">
            <v>ago22 jul23</v>
          </cell>
          <cell r="GB100">
            <v>14553117</v>
          </cell>
          <cell r="GC100">
            <v>2023</v>
          </cell>
          <cell r="GD100">
            <v>2315000</v>
          </cell>
          <cell r="GE100">
            <v>377000</v>
          </cell>
          <cell r="GF100">
            <v>1061000</v>
          </cell>
          <cell r="GG100">
            <v>127000</v>
          </cell>
          <cell r="GH100">
            <v>1565000</v>
          </cell>
          <cell r="GI100">
            <v>1302556</v>
          </cell>
          <cell r="GJ100">
            <v>687701</v>
          </cell>
          <cell r="GK100">
            <v>1430078.41</v>
          </cell>
          <cell r="GL100">
            <v>302535.34000000003</v>
          </cell>
          <cell r="GM100">
            <v>257597.81</v>
          </cell>
          <cell r="GN100">
            <v>2677912.56</v>
          </cell>
          <cell r="GO100">
            <v>202394.36</v>
          </cell>
          <cell r="GP100">
            <v>73395</v>
          </cell>
          <cell r="GQ100">
            <v>22839</v>
          </cell>
          <cell r="GR100">
            <v>35181</v>
          </cell>
          <cell r="GS100">
            <v>35866.17</v>
          </cell>
          <cell r="GT100">
            <v>2365997</v>
          </cell>
          <cell r="GU100">
            <v>28597</v>
          </cell>
          <cell r="GV100">
            <v>26236</v>
          </cell>
          <cell r="GW100">
            <v>785554</v>
          </cell>
          <cell r="GX100">
            <v>33126.813000000002</v>
          </cell>
          <cell r="GY100" t="str">
            <v>2022-2023</v>
          </cell>
          <cell r="GZ100">
            <v>87408</v>
          </cell>
          <cell r="HA100">
            <v>290121</v>
          </cell>
          <cell r="HB100">
            <v>3306787</v>
          </cell>
          <cell r="HC100" t="str">
            <v>ago22 jul23</v>
          </cell>
          <cell r="HD100">
            <v>64756</v>
          </cell>
          <cell r="HE100">
            <v>729107</v>
          </cell>
          <cell r="HF100" t="str">
            <v>ago22 jul23</v>
          </cell>
          <cell r="HG100">
            <v>187000</v>
          </cell>
          <cell r="HH100">
            <v>2308000</v>
          </cell>
          <cell r="HI100" t="str">
            <v>ago22 jul23</v>
          </cell>
          <cell r="HJ100">
            <v>99098</v>
          </cell>
          <cell r="HK100">
            <v>69424.680000000008</v>
          </cell>
          <cell r="HL100" t="str">
            <v>ago22 jul23</v>
          </cell>
          <cell r="HM100">
            <v>2377424.6800000002</v>
          </cell>
          <cell r="HN100">
            <v>-1.4149989892864312E-3</v>
          </cell>
          <cell r="HO100">
            <v>988000000</v>
          </cell>
          <cell r="HP100">
            <v>11536.283332000001</v>
          </cell>
          <cell r="HQ100" t="str">
            <v>ago22 jul23</v>
          </cell>
          <cell r="HU100">
            <v>700000</v>
          </cell>
          <cell r="HV100" t="str">
            <v>2022-23</v>
          </cell>
          <cell r="HW100">
            <v>1500000</v>
          </cell>
          <cell r="HX100" t="str">
            <v>2023-24</v>
          </cell>
          <cell r="HY100">
            <v>4300000</v>
          </cell>
          <cell r="HZ100" t="str">
            <v>2022-23</v>
          </cell>
          <cell r="IA100">
            <v>21000000</v>
          </cell>
          <cell r="IB100" t="str">
            <v>2022-23</v>
          </cell>
          <cell r="IC100">
            <v>38500000</v>
          </cell>
          <cell r="ID100" t="str">
            <v>2022-23</v>
          </cell>
          <cell r="IE100">
            <v>750000</v>
          </cell>
          <cell r="IF100" t="str">
            <v>2022-23</v>
          </cell>
          <cell r="IG100">
            <v>7400000</v>
          </cell>
          <cell r="IH100" t="str">
            <v>2023-24</v>
          </cell>
          <cell r="II100">
            <v>73450000</v>
          </cell>
          <cell r="IJ100">
            <v>1.991933187973949</v>
          </cell>
          <cell r="IK100" t="str">
            <v>2022-23</v>
          </cell>
          <cell r="IL100">
            <v>45.9</v>
          </cell>
          <cell r="IM100">
            <v>51.72</v>
          </cell>
          <cell r="IN100">
            <v>188.6</v>
          </cell>
          <cell r="IO100">
            <v>16.670000000000002</v>
          </cell>
          <cell r="IP100">
            <v>6.1504299104893345</v>
          </cell>
          <cell r="IQ100">
            <v>16.7</v>
          </cell>
          <cell r="IR100">
            <v>6.92</v>
          </cell>
          <cell r="IS100">
            <v>4.57</v>
          </cell>
          <cell r="IT100">
            <v>13.61</v>
          </cell>
          <cell r="IU100">
            <v>1.56</v>
          </cell>
          <cell r="IV100">
            <v>19.739999999999998</v>
          </cell>
          <cell r="IY100">
            <v>1.88</v>
          </cell>
          <cell r="IZ100">
            <v>0.3</v>
          </cell>
          <cell r="JA100">
            <v>2813</v>
          </cell>
          <cell r="JF100">
            <v>3.12980459</v>
          </cell>
          <cell r="JG100">
            <v>26.338491399999999</v>
          </cell>
          <cell r="JH100">
            <v>132.62170833999997</v>
          </cell>
          <cell r="JI100">
            <v>192.53945115999994</v>
          </cell>
          <cell r="JJ100">
            <v>883.00150006000013</v>
          </cell>
          <cell r="JK100">
            <v>100.03941109999997</v>
          </cell>
          <cell r="JL100">
            <v>1994.72660649</v>
          </cell>
          <cell r="JM100">
            <v>23.516337899999996</v>
          </cell>
          <cell r="JN100">
            <v>79.031750100000011</v>
          </cell>
          <cell r="JO100">
            <v>30.386509889999999</v>
          </cell>
          <cell r="JP100">
            <v>0</v>
          </cell>
          <cell r="JQ100">
            <v>1.9867826200000001</v>
          </cell>
          <cell r="JR100">
            <v>2.9761328199999992</v>
          </cell>
          <cell r="JS100">
            <v>0</v>
          </cell>
          <cell r="JT100">
            <v>2.5000000000000001E-3</v>
          </cell>
          <cell r="JU100">
            <v>79.411450110000018</v>
          </cell>
          <cell r="JV100">
            <v>29.149014759999996</v>
          </cell>
          <cell r="JW100">
            <v>18.893336139999999</v>
          </cell>
          <cell r="JX100">
            <v>45.13221532</v>
          </cell>
          <cell r="JY100">
            <v>0</v>
          </cell>
          <cell r="JZ100">
            <v>7.5775361799999992</v>
          </cell>
          <cell r="KA100">
            <v>0</v>
          </cell>
          <cell r="KB100">
            <v>25.088845019999997</v>
          </cell>
          <cell r="KC100">
            <v>55.773078730000002</v>
          </cell>
          <cell r="KD100">
            <v>8.6995030900000003</v>
          </cell>
          <cell r="KE100">
            <v>17.230385739999999</v>
          </cell>
          <cell r="KF100">
            <v>25.827296739999998</v>
          </cell>
          <cell r="KG100">
            <v>378.12790802000001</v>
          </cell>
          <cell r="KH100">
            <v>118.84770241</v>
          </cell>
          <cell r="KI100">
            <v>11.898747670000001</v>
          </cell>
          <cell r="KJ100">
            <v>2.0502103900000002</v>
          </cell>
          <cell r="KK100">
            <v>7.69051375</v>
          </cell>
          <cell r="KL100">
            <v>8.7189080000000002E-2</v>
          </cell>
          <cell r="KM100">
            <v>0.15519941999999998</v>
          </cell>
          <cell r="KN100">
            <v>2.4387953199999997</v>
          </cell>
          <cell r="KO100">
            <v>1.59886222</v>
          </cell>
          <cell r="KP100">
            <v>0.12031510000000001</v>
          </cell>
          <cell r="KQ100">
            <v>534.69433853999999</v>
          </cell>
          <cell r="KR100">
            <v>3.2166790000000001E-2</v>
          </cell>
          <cell r="KS100">
            <v>0.14674573999999999</v>
          </cell>
          <cell r="KT100">
            <v>1.3747401999999997</v>
          </cell>
          <cell r="KU100">
            <v>0.91695114999999994</v>
          </cell>
          <cell r="KV100">
            <v>0</v>
          </cell>
          <cell r="KW100">
            <v>1.6528733800000002</v>
          </cell>
          <cell r="KX100">
            <v>0</v>
          </cell>
          <cell r="KY100">
            <v>0</v>
          </cell>
          <cell r="KZ100">
            <v>1.2166211999999998</v>
          </cell>
          <cell r="LA100">
            <v>0.92880831000000008</v>
          </cell>
          <cell r="LB100">
            <v>2.9482700000000001E-2</v>
          </cell>
          <cell r="LC100">
            <v>3.8225599999999998E-2</v>
          </cell>
          <cell r="LD100">
            <v>0</v>
          </cell>
          <cell r="LE100">
            <v>7.7426949999999994E-2</v>
          </cell>
          <cell r="LF100">
            <v>0.25659999999999999</v>
          </cell>
          <cell r="LG100">
            <v>24.97777258</v>
          </cell>
          <cell r="LH100">
            <v>8.0901624599999984</v>
          </cell>
          <cell r="LI100">
            <v>1.25031731</v>
          </cell>
          <cell r="LJ100">
            <v>0</v>
          </cell>
          <cell r="LK100">
            <v>4.0034089300000009</v>
          </cell>
          <cell r="LL100">
            <v>3.8179622399999995</v>
          </cell>
          <cell r="LM100">
            <v>2.29115132</v>
          </cell>
          <cell r="LN100">
            <v>8.1248630000000002E-2</v>
          </cell>
          <cell r="LO100">
            <v>4.1641835499999997</v>
          </cell>
          <cell r="LQ100">
            <v>3305.4373540500001</v>
          </cell>
          <cell r="LR100">
            <v>4.9654154400000001</v>
          </cell>
          <cell r="LS100">
            <v>48.042350899999995</v>
          </cell>
          <cell r="LT100">
            <v>7.5775361799999992</v>
          </cell>
          <cell r="LU100">
            <v>539.06610803000001</v>
          </cell>
          <cell r="LV100">
            <v>1.6528733800000002</v>
          </cell>
          <cell r="LW100">
            <v>0.95829101000000005</v>
          </cell>
          <cell r="LX100">
            <v>0.33402694999999999</v>
          </cell>
          <cell r="LZ100">
            <v>375.43</v>
          </cell>
          <cell r="MA100">
            <v>403.18</v>
          </cell>
          <cell r="MH100">
            <v>756.05</v>
          </cell>
          <cell r="MI100">
            <v>207.44</v>
          </cell>
          <cell r="MJ100">
            <v>420.69</v>
          </cell>
          <cell r="ML100">
            <v>243.76</v>
          </cell>
          <cell r="MM100">
            <v>538.54999999999995</v>
          </cell>
          <cell r="MO100">
            <v>245.23</v>
          </cell>
          <cell r="MP100">
            <v>614.51</v>
          </cell>
          <cell r="MQ100">
            <v>654.30999999999995</v>
          </cell>
          <cell r="MU100">
            <v>334.91</v>
          </cell>
          <cell r="MY100">
            <v>681.82</v>
          </cell>
          <cell r="MZ100">
            <v>1500</v>
          </cell>
          <cell r="NA100">
            <v>687.3</v>
          </cell>
          <cell r="NB100">
            <v>1906.5</v>
          </cell>
          <cell r="NC100">
            <v>330.57</v>
          </cell>
          <cell r="ND100">
            <v>2229</v>
          </cell>
          <cell r="NE100">
            <v>1411.2</v>
          </cell>
        </row>
        <row r="101">
          <cell r="A101">
            <v>45139</v>
          </cell>
          <cell r="B101">
            <v>8</v>
          </cell>
          <cell r="C101">
            <v>2023</v>
          </cell>
          <cell r="D101">
            <v>101</v>
          </cell>
          <cell r="E101">
            <v>45139</v>
          </cell>
          <cell r="F101">
            <v>356.5</v>
          </cell>
          <cell r="G101">
            <v>2044.3</v>
          </cell>
          <cell r="H101">
            <v>208421.74</v>
          </cell>
          <cell r="I101">
            <v>97</v>
          </cell>
          <cell r="J101">
            <v>750</v>
          </cell>
          <cell r="K101">
            <v>5.8</v>
          </cell>
          <cell r="L101">
            <v>35.5</v>
          </cell>
          <cell r="N101">
            <v>1.79</v>
          </cell>
          <cell r="O101">
            <v>1.4</v>
          </cell>
          <cell r="P101">
            <v>540.18662500000005</v>
          </cell>
          <cell r="Q101">
            <v>10277</v>
          </cell>
          <cell r="R101">
            <v>102770</v>
          </cell>
          <cell r="S101">
            <v>189.49859747545582</v>
          </cell>
          <cell r="T101">
            <v>323.9305750350631</v>
          </cell>
          <cell r="U101">
            <v>185</v>
          </cell>
          <cell r="V101">
            <v>332.06363636363636</v>
          </cell>
          <cell r="W101">
            <v>282.5</v>
          </cell>
          <cell r="X101">
            <v>234.97727272727272</v>
          </cell>
          <cell r="Y101">
            <v>67556.25</v>
          </cell>
          <cell r="Z101">
            <v>115481.25</v>
          </cell>
          <cell r="AA101">
            <v>65952.5</v>
          </cell>
          <cell r="AB101">
            <v>118380.68636363637</v>
          </cell>
          <cell r="AC101">
            <v>100711.25</v>
          </cell>
          <cell r="AD101">
            <v>83769.397727272721</v>
          </cell>
          <cell r="AE101">
            <v>91975.222348484851</v>
          </cell>
          <cell r="AF101">
            <v>300147.90000000002</v>
          </cell>
          <cell r="AG101">
            <v>120000</v>
          </cell>
          <cell r="AH101">
            <v>456000</v>
          </cell>
          <cell r="AI101">
            <v>178.91909999999999</v>
          </cell>
          <cell r="AJ101">
            <v>137.95339999999999</v>
          </cell>
          <cell r="AK101">
            <v>131.64420000000001</v>
          </cell>
          <cell r="AL101">
            <v>82.423299999999998</v>
          </cell>
          <cell r="AM101">
            <v>141.830006</v>
          </cell>
          <cell r="AN101">
            <v>553.80999999999995</v>
          </cell>
          <cell r="AO101">
            <v>263.73</v>
          </cell>
          <cell r="AP101">
            <v>408.77</v>
          </cell>
          <cell r="AQ101">
            <v>93.7</v>
          </cell>
          <cell r="AR101">
            <v>137.27000000000001</v>
          </cell>
          <cell r="AS101">
            <v>228.5</v>
          </cell>
          <cell r="AT101">
            <v>212</v>
          </cell>
          <cell r="AU101">
            <v>192.59</v>
          </cell>
          <cell r="AV101">
            <v>303.02999999999997</v>
          </cell>
          <cell r="AW101">
            <v>137.27000000000001</v>
          </cell>
          <cell r="AX101">
            <v>103.91</v>
          </cell>
          <cell r="AY101">
            <v>270.43</v>
          </cell>
          <cell r="AZ101">
            <v>119.44</v>
          </cell>
          <cell r="BA101">
            <v>96.29</v>
          </cell>
          <cell r="BB101">
            <v>147.51750000000001</v>
          </cell>
          <cell r="BC101">
            <v>10300</v>
          </cell>
          <cell r="BD101">
            <v>7197</v>
          </cell>
          <cell r="BE101">
            <v>7038.4526291406064</v>
          </cell>
          <cell r="BF101">
            <v>4641.6386654885746</v>
          </cell>
          <cell r="BG101">
            <v>7294.2728236572957</v>
          </cell>
          <cell r="BH101">
            <v>633.33000000000004</v>
          </cell>
          <cell r="BI101">
            <v>233</v>
          </cell>
          <cell r="BJ101">
            <v>866.33</v>
          </cell>
          <cell r="BK101">
            <v>743.64700000000005</v>
          </cell>
          <cell r="BL101">
            <v>714.07</v>
          </cell>
          <cell r="BM101">
            <v>728.85850000000005</v>
          </cell>
          <cell r="BN101">
            <v>111.1</v>
          </cell>
          <cell r="BO101">
            <v>769</v>
          </cell>
          <cell r="BP101">
            <v>566</v>
          </cell>
          <cell r="BQ101">
            <v>748.7</v>
          </cell>
          <cell r="BR101">
            <v>408.07749999999999</v>
          </cell>
          <cell r="BS101">
            <v>1400</v>
          </cell>
          <cell r="BT101">
            <v>349.37</v>
          </cell>
          <cell r="BU101">
            <v>17848.11</v>
          </cell>
          <cell r="BV101">
            <v>434</v>
          </cell>
          <cell r="BW101">
            <v>1100</v>
          </cell>
          <cell r="BY101">
            <v>3494.6307094029094</v>
          </cell>
          <cell r="BZ101">
            <v>3089.6776125644337</v>
          </cell>
          <cell r="CA101">
            <v>3434.7902761168143</v>
          </cell>
          <cell r="CB101">
            <v>3317.3525898090743</v>
          </cell>
          <cell r="CC101">
            <v>3359.3566830334621</v>
          </cell>
          <cell r="CD101">
            <v>3547.9359069681977</v>
          </cell>
          <cell r="CE101">
            <v>3864.6241914321708</v>
          </cell>
          <cell r="CF101">
            <v>3606.7939976135067</v>
          </cell>
          <cell r="CG101">
            <v>3521.8089408288706</v>
          </cell>
          <cell r="CH101">
            <v>3872.2656778956766</v>
          </cell>
          <cell r="CI101">
            <v>4058.1716496909366</v>
          </cell>
          <cell r="CJ101">
            <v>2908.2813010331629</v>
          </cell>
          <cell r="CK101">
            <v>3129.812605224065</v>
          </cell>
          <cell r="CL101">
            <v>3724.1654771687117</v>
          </cell>
          <cell r="CM101">
            <v>2716.3437234674157</v>
          </cell>
          <cell r="CN101">
            <v>2840.4967222258165</v>
          </cell>
          <cell r="CO101">
            <v>3102.7046320215022</v>
          </cell>
          <cell r="CP101">
            <v>3553.8289544743293</v>
          </cell>
          <cell r="CQ101">
            <v>3052.6923817960842</v>
          </cell>
          <cell r="CR101">
            <v>2948.9253082709461</v>
          </cell>
          <cell r="CS101">
            <v>3000.8088450335154</v>
          </cell>
          <cell r="CT101">
            <v>2724.9010363001616</v>
          </cell>
          <cell r="CU101">
            <v>2981.0858412237612</v>
          </cell>
          <cell r="CV101">
            <v>3099.9932156487098</v>
          </cell>
          <cell r="CW101">
            <v>3099.9932156487098</v>
          </cell>
          <cell r="CX101">
            <v>3060.3574241737274</v>
          </cell>
          <cell r="CY101">
            <v>2868.810641297865</v>
          </cell>
          <cell r="CZ101">
            <v>3572.9920551198766</v>
          </cell>
          <cell r="DA101">
            <v>2916.5372938169467</v>
          </cell>
          <cell r="DB101">
            <v>3187.3460599781902</v>
          </cell>
          <cell r="DC101">
            <v>3112.1513496823441</v>
          </cell>
          <cell r="DD101">
            <v>3070.2773662424265</v>
          </cell>
          <cell r="DE101">
            <v>2747.5891308617347</v>
          </cell>
          <cell r="DF101">
            <v>3258.597830346534</v>
          </cell>
          <cell r="DG101">
            <v>3003.0934806041341</v>
          </cell>
          <cell r="DH101">
            <v>2933.3437310541035</v>
          </cell>
          <cell r="DI101">
            <v>2804.3784672599868</v>
          </cell>
          <cell r="DK101">
            <v>580000</v>
          </cell>
          <cell r="DL101" t="str">
            <v>2022-23</v>
          </cell>
          <cell r="DM101">
            <v>190000</v>
          </cell>
          <cell r="DN101" t="str">
            <v>2022-23</v>
          </cell>
          <cell r="DO101">
            <v>1600000</v>
          </cell>
          <cell r="DP101" t="str">
            <v>2023-24</v>
          </cell>
          <cell r="DQ101">
            <v>2450000</v>
          </cell>
          <cell r="DR101" t="str">
            <v>2023-24</v>
          </cell>
          <cell r="DS101">
            <v>7300000</v>
          </cell>
          <cell r="DT101" t="str">
            <v>2023-24</v>
          </cell>
          <cell r="DU101">
            <v>16000000</v>
          </cell>
          <cell r="DV101" t="str">
            <v>2022-23</v>
          </cell>
          <cell r="DW101">
            <v>740000</v>
          </cell>
          <cell r="DX101" t="str">
            <v>2023-24</v>
          </cell>
          <cell r="DY101">
            <v>5800000</v>
          </cell>
          <cell r="DZ101" t="str">
            <v>2023-24</v>
          </cell>
          <cell r="EA101">
            <v>33890000</v>
          </cell>
          <cell r="EB101">
            <v>373795</v>
          </cell>
          <cell r="EC101" t="str">
            <v>2022-23</v>
          </cell>
          <cell r="ED101">
            <v>222162</v>
          </cell>
          <cell r="EE101">
            <v>2023</v>
          </cell>
          <cell r="EF101">
            <v>204847</v>
          </cell>
          <cell r="EG101">
            <v>2023</v>
          </cell>
          <cell r="EH101">
            <v>54242595</v>
          </cell>
          <cell r="EI101">
            <v>2023</v>
          </cell>
          <cell r="EJ101">
            <v>5887401</v>
          </cell>
          <cell r="EK101">
            <v>2023</v>
          </cell>
          <cell r="EL101">
            <v>12461845</v>
          </cell>
          <cell r="EM101">
            <v>2022</v>
          </cell>
          <cell r="EN101">
            <v>3169981</v>
          </cell>
          <cell r="EO101">
            <v>2021</v>
          </cell>
          <cell r="EP101">
            <v>9295</v>
          </cell>
          <cell r="EQ101">
            <v>3500000</v>
          </cell>
          <cell r="ER101">
            <v>79916</v>
          </cell>
          <cell r="ET101">
            <v>20677</v>
          </cell>
          <cell r="EU101">
            <v>19532</v>
          </cell>
          <cell r="EV101">
            <v>9103</v>
          </cell>
          <cell r="EW101">
            <v>17281</v>
          </cell>
          <cell r="EX101">
            <v>66593</v>
          </cell>
          <cell r="EY101">
            <v>20193</v>
          </cell>
          <cell r="EZ101">
            <v>32682</v>
          </cell>
          <cell r="FA101">
            <v>19526</v>
          </cell>
          <cell r="FB101">
            <v>19463</v>
          </cell>
          <cell r="FC101">
            <v>38989</v>
          </cell>
          <cell r="FD101">
            <v>54743</v>
          </cell>
          <cell r="FF101">
            <v>900000</v>
          </cell>
          <cell r="FG101" t="str">
            <v>2022-23</v>
          </cell>
          <cell r="FH101">
            <v>1100000</v>
          </cell>
          <cell r="FI101" t="str">
            <v>2022-23</v>
          </cell>
          <cell r="FJ101">
            <v>4600000</v>
          </cell>
          <cell r="FK101" t="str">
            <v>2022-23</v>
          </cell>
          <cell r="FL101">
            <v>5000000</v>
          </cell>
          <cell r="FM101" t="str">
            <v>2022-23</v>
          </cell>
          <cell r="FN101">
            <v>54000000</v>
          </cell>
          <cell r="FO101" t="str">
            <v>2023-24</v>
          </cell>
          <cell r="FP101">
            <v>25000000</v>
          </cell>
          <cell r="FQ101" t="str">
            <v>2022-23</v>
          </cell>
          <cell r="FR101">
            <v>1600000</v>
          </cell>
          <cell r="FS101" t="str">
            <v>2022-23</v>
          </cell>
          <cell r="FT101">
            <v>12600000</v>
          </cell>
          <cell r="FU101" t="str">
            <v>2022-23</v>
          </cell>
          <cell r="FV101">
            <v>102800000</v>
          </cell>
          <cell r="FW101">
            <v>940426</v>
          </cell>
          <cell r="FX101" t="str">
            <v>2022-23</v>
          </cell>
          <cell r="FY101">
            <v>144582</v>
          </cell>
          <cell r="FZ101">
            <v>777889.26899999997</v>
          </cell>
          <cell r="GA101" t="str">
            <v>sept22 ago23</v>
          </cell>
          <cell r="GB101">
            <v>14553117</v>
          </cell>
          <cell r="GC101">
            <v>2023</v>
          </cell>
          <cell r="GD101">
            <v>2315000</v>
          </cell>
          <cell r="GE101">
            <v>377000</v>
          </cell>
          <cell r="GF101">
            <v>1061000</v>
          </cell>
          <cell r="GG101">
            <v>127000</v>
          </cell>
          <cell r="GH101">
            <v>1565000</v>
          </cell>
          <cell r="GI101">
            <v>1302556</v>
          </cell>
          <cell r="GJ101">
            <v>687701</v>
          </cell>
          <cell r="GK101">
            <v>1430078.41</v>
          </cell>
          <cell r="GL101">
            <v>302535.34000000003</v>
          </cell>
          <cell r="GM101">
            <v>257597.81</v>
          </cell>
          <cell r="GN101">
            <v>2677912.56</v>
          </cell>
          <cell r="GO101">
            <v>202394.36</v>
          </cell>
          <cell r="GP101">
            <v>73395</v>
          </cell>
          <cell r="GQ101">
            <v>26758</v>
          </cell>
          <cell r="GR101">
            <v>35181</v>
          </cell>
          <cell r="GS101">
            <v>35983.74</v>
          </cell>
          <cell r="GT101">
            <v>2365997</v>
          </cell>
          <cell r="GU101">
            <v>25867</v>
          </cell>
          <cell r="GV101">
            <v>28765</v>
          </cell>
          <cell r="GW101">
            <v>785395</v>
          </cell>
          <cell r="GX101">
            <v>33126.813000000002</v>
          </cell>
          <cell r="GY101" t="str">
            <v>2022-2023</v>
          </cell>
          <cell r="GZ101">
            <v>87408</v>
          </cell>
          <cell r="HA101">
            <v>278725</v>
          </cell>
          <cell r="HB101">
            <v>3295545</v>
          </cell>
          <cell r="HC101" t="str">
            <v>sept22 ago23</v>
          </cell>
          <cell r="HD101">
            <v>68563</v>
          </cell>
          <cell r="HE101">
            <v>739965</v>
          </cell>
          <cell r="HF101" t="str">
            <v>sept22 ago23</v>
          </cell>
          <cell r="HG101">
            <v>208000</v>
          </cell>
          <cell r="HH101">
            <v>2310000</v>
          </cell>
          <cell r="HI101" t="str">
            <v>sept22 ago23</v>
          </cell>
          <cell r="HJ101">
            <v>102499</v>
          </cell>
          <cell r="HK101">
            <v>69919.8</v>
          </cell>
          <cell r="HL101" t="str">
            <v>sept22 ago23</v>
          </cell>
          <cell r="HM101">
            <v>2379919.7999999998</v>
          </cell>
          <cell r="HN101">
            <v>-3.7664783427495685E-3</v>
          </cell>
          <cell r="HO101">
            <v>1058000000</v>
          </cell>
          <cell r="HP101">
            <v>11532.283332000001</v>
          </cell>
          <cell r="HQ101" t="str">
            <v>sept22 ago23</v>
          </cell>
          <cell r="HU101">
            <v>700000</v>
          </cell>
          <cell r="HV101" t="str">
            <v>2022-23</v>
          </cell>
          <cell r="HW101">
            <v>1500000</v>
          </cell>
          <cell r="HX101" t="str">
            <v>2023-24</v>
          </cell>
          <cell r="HY101">
            <v>4300000</v>
          </cell>
          <cell r="HZ101" t="str">
            <v>2022-23</v>
          </cell>
          <cell r="IA101">
            <v>21000000</v>
          </cell>
          <cell r="IB101" t="str">
            <v>2022-23</v>
          </cell>
          <cell r="IC101">
            <v>38500000</v>
          </cell>
          <cell r="ID101" t="str">
            <v>2022-23</v>
          </cell>
          <cell r="IE101">
            <v>750000</v>
          </cell>
          <cell r="IF101" t="str">
            <v>2022-23</v>
          </cell>
          <cell r="IG101">
            <v>7400000</v>
          </cell>
          <cell r="IH101" t="str">
            <v>2023-24</v>
          </cell>
          <cell r="II101">
            <v>73450000</v>
          </cell>
          <cell r="IJ101">
            <v>1.991933187973949</v>
          </cell>
          <cell r="IK101" t="str">
            <v>2022-23</v>
          </cell>
          <cell r="IL101">
            <v>46.09</v>
          </cell>
          <cell r="IM101">
            <v>51.15</v>
          </cell>
          <cell r="IN101">
            <v>188.6</v>
          </cell>
          <cell r="IO101">
            <v>16.68</v>
          </cell>
          <cell r="IP101">
            <v>6.1504299104893345</v>
          </cell>
          <cell r="IQ101">
            <v>16.7</v>
          </cell>
          <cell r="IR101">
            <v>6.92</v>
          </cell>
          <cell r="IS101">
            <v>4.57</v>
          </cell>
          <cell r="IT101">
            <v>13.61</v>
          </cell>
          <cell r="IU101">
            <v>1.56</v>
          </cell>
          <cell r="IV101">
            <v>19.739999999999998</v>
          </cell>
          <cell r="IY101">
            <v>1.88</v>
          </cell>
          <cell r="IZ101">
            <v>0.3</v>
          </cell>
          <cell r="JA101">
            <v>2813</v>
          </cell>
          <cell r="JF101">
            <v>14.3155891</v>
          </cell>
          <cell r="JG101">
            <v>9.600226039999999</v>
          </cell>
          <cell r="JH101">
            <v>82.610017839999998</v>
          </cell>
          <cell r="JI101">
            <v>187.0933091</v>
          </cell>
          <cell r="JJ101">
            <v>1022.3658666199999</v>
          </cell>
          <cell r="JK101">
            <v>102.43695814</v>
          </cell>
          <cell r="JL101">
            <v>2038.98087906</v>
          </cell>
          <cell r="JM101">
            <v>44.094731449999998</v>
          </cell>
          <cell r="JN101">
            <v>47.661471349999999</v>
          </cell>
          <cell r="JO101">
            <v>26.11967611</v>
          </cell>
          <cell r="JP101">
            <v>0</v>
          </cell>
          <cell r="JQ101">
            <v>0.62197731999999994</v>
          </cell>
          <cell r="JR101">
            <v>2.3646109300000004</v>
          </cell>
          <cell r="JS101">
            <v>0</v>
          </cell>
          <cell r="JT101">
            <v>1.2503999999999999E-2</v>
          </cell>
          <cell r="JU101">
            <v>67.769583350000005</v>
          </cell>
          <cell r="JV101">
            <v>10.57193655</v>
          </cell>
          <cell r="JW101">
            <v>14.728663150000001</v>
          </cell>
          <cell r="JX101">
            <v>34.656822310000003</v>
          </cell>
          <cell r="JY101">
            <v>0</v>
          </cell>
          <cell r="JZ101">
            <v>10.604759649999997</v>
          </cell>
          <cell r="KA101">
            <v>0.1190962</v>
          </cell>
          <cell r="KB101">
            <v>23.667757810000001</v>
          </cell>
          <cell r="KC101">
            <v>60.888504160000004</v>
          </cell>
          <cell r="KD101">
            <v>8.6649559600000003</v>
          </cell>
          <cell r="KE101">
            <v>21.325973759999997</v>
          </cell>
          <cell r="KF101">
            <v>32.053320659999997</v>
          </cell>
          <cell r="KG101">
            <v>371.72573624</v>
          </cell>
          <cell r="KH101">
            <v>120.47507141999999</v>
          </cell>
          <cell r="KI101">
            <v>12.745889309999999</v>
          </cell>
          <cell r="KJ101">
            <v>1.4694087300000001</v>
          </cell>
          <cell r="KK101">
            <v>9.2876289100000005</v>
          </cell>
          <cell r="KL101">
            <v>5.5773490000000002E-2</v>
          </cell>
          <cell r="KM101">
            <v>0.31660917999999999</v>
          </cell>
          <cell r="KN101">
            <v>1.1927203100000001</v>
          </cell>
          <cell r="KO101">
            <v>2.5805131200000004</v>
          </cell>
          <cell r="KP101">
            <v>2.7416000000000002E-4</v>
          </cell>
          <cell r="KQ101">
            <v>490.08395410000008</v>
          </cell>
          <cell r="KR101">
            <v>0.81674226999999999</v>
          </cell>
          <cell r="KS101">
            <v>9.884219000000001E-2</v>
          </cell>
          <cell r="KT101">
            <v>2.8868213899999997</v>
          </cell>
          <cell r="KU101">
            <v>0.88368341000000006</v>
          </cell>
          <cell r="KV101">
            <v>0</v>
          </cell>
          <cell r="KW101">
            <v>2.5091586699999997</v>
          </cell>
          <cell r="KX101">
            <v>0</v>
          </cell>
          <cell r="KY101">
            <v>0</v>
          </cell>
          <cell r="KZ101">
            <v>1.8704580099999999</v>
          </cell>
          <cell r="LA101">
            <v>0.35746821000000001</v>
          </cell>
          <cell r="LB101">
            <v>0</v>
          </cell>
          <cell r="LC101">
            <v>7.2436600000000004E-2</v>
          </cell>
          <cell r="LD101">
            <v>0</v>
          </cell>
          <cell r="LE101">
            <v>3.0606999999999997E-4</v>
          </cell>
          <cell r="LF101">
            <v>0</v>
          </cell>
          <cell r="LG101">
            <v>23.390239519999994</v>
          </cell>
          <cell r="LH101">
            <v>7.0989514199999997</v>
          </cell>
          <cell r="LI101">
            <v>1.1317222</v>
          </cell>
          <cell r="LJ101">
            <v>0</v>
          </cell>
          <cell r="LK101">
            <v>1.3237541899999998</v>
          </cell>
          <cell r="LL101">
            <v>2.4632922899999996</v>
          </cell>
          <cell r="LM101">
            <v>1.3202370399999999</v>
          </cell>
          <cell r="LN101">
            <v>0.46645720000000002</v>
          </cell>
          <cell r="LO101">
            <v>2.84758625</v>
          </cell>
          <cell r="LQ101">
            <v>3422.8062754199996</v>
          </cell>
          <cell r="LR101">
            <v>2.9990922500000003</v>
          </cell>
          <cell r="LS101">
            <v>25.300599699999999</v>
          </cell>
          <cell r="LT101">
            <v>10.723855849999996</v>
          </cell>
          <cell r="LU101">
            <v>495.08938117000014</v>
          </cell>
          <cell r="LV101">
            <v>2.5091586699999997</v>
          </cell>
          <cell r="LW101">
            <v>0.35746821000000001</v>
          </cell>
          <cell r="LX101">
            <v>3.0606999999999997E-4</v>
          </cell>
          <cell r="LZ101">
            <v>423.47</v>
          </cell>
          <cell r="MA101">
            <v>460.4</v>
          </cell>
          <cell r="MH101">
            <v>861.81</v>
          </cell>
          <cell r="MI101">
            <v>222.91</v>
          </cell>
          <cell r="MJ101">
            <v>539.83000000000004</v>
          </cell>
          <cell r="ML101">
            <v>260.93</v>
          </cell>
          <cell r="MM101">
            <v>709.89</v>
          </cell>
          <cell r="MO101">
            <v>256.42</v>
          </cell>
          <cell r="MP101">
            <v>671.9</v>
          </cell>
          <cell r="MQ101">
            <v>721.2</v>
          </cell>
          <cell r="MU101">
            <v>381.08</v>
          </cell>
          <cell r="MY101">
            <v>765.02</v>
          </cell>
          <cell r="MZ101">
            <v>1476</v>
          </cell>
          <cell r="NA101">
            <v>798.1</v>
          </cell>
          <cell r="NB101">
            <v>2509.5</v>
          </cell>
          <cell r="NC101">
            <v>357.21</v>
          </cell>
          <cell r="ND101">
            <v>2750</v>
          </cell>
          <cell r="NE101">
            <v>1688</v>
          </cell>
        </row>
        <row r="102">
          <cell r="A102">
            <v>45170</v>
          </cell>
          <cell r="B102">
            <v>9</v>
          </cell>
          <cell r="C102">
            <v>2023</v>
          </cell>
          <cell r="D102">
            <v>102</v>
          </cell>
          <cell r="E102">
            <v>45170</v>
          </cell>
          <cell r="F102">
            <v>365.5</v>
          </cell>
          <cell r="G102">
            <v>2304.9</v>
          </cell>
          <cell r="H102">
            <v>226263.92</v>
          </cell>
          <cell r="I102">
            <v>88</v>
          </cell>
          <cell r="J102">
            <v>770</v>
          </cell>
          <cell r="K102">
            <v>6.2</v>
          </cell>
          <cell r="L102">
            <v>28</v>
          </cell>
          <cell r="N102">
            <v>1.88</v>
          </cell>
          <cell r="O102">
            <v>1.51</v>
          </cell>
          <cell r="P102">
            <v>588.5463749999999</v>
          </cell>
          <cell r="Q102">
            <v>16000</v>
          </cell>
          <cell r="R102">
            <v>160000</v>
          </cell>
          <cell r="S102">
            <v>181.94254445964432</v>
          </cell>
          <cell r="T102">
            <v>322.84541723666212</v>
          </cell>
          <cell r="U102">
            <v>186.6</v>
          </cell>
          <cell r="V102">
            <v>342.2285714285714</v>
          </cell>
          <cell r="W102">
            <v>282.08999999999997</v>
          </cell>
          <cell r="X102">
            <v>231.54285714285717</v>
          </cell>
          <cell r="Y102">
            <v>66500</v>
          </cell>
          <cell r="Z102">
            <v>118000</v>
          </cell>
          <cell r="AA102">
            <v>68202.3</v>
          </cell>
          <cell r="AB102">
            <v>125084.54285714285</v>
          </cell>
          <cell r="AC102">
            <v>103103.89499999999</v>
          </cell>
          <cell r="AD102">
            <v>84628.914285714302</v>
          </cell>
          <cell r="AE102">
            <v>94253.275357142862</v>
          </cell>
          <cell r="AF102">
            <v>333158.59999999998</v>
          </cell>
          <cell r="AG102">
            <v>120000</v>
          </cell>
          <cell r="AH102">
            <v>456000</v>
          </cell>
          <cell r="AI102">
            <v>197.53739999999999</v>
          </cell>
          <cell r="AJ102">
            <v>142.4777</v>
          </cell>
          <cell r="AK102">
            <v>164.76509999999999</v>
          </cell>
          <cell r="AL102">
            <v>100.9194</v>
          </cell>
          <cell r="AM102">
            <v>163.62589399999999</v>
          </cell>
          <cell r="AN102">
            <v>650.54999999999995</v>
          </cell>
          <cell r="AO102">
            <v>271.60000000000002</v>
          </cell>
          <cell r="AP102">
            <v>461.07499999999999</v>
          </cell>
          <cell r="AQ102">
            <v>123.05</v>
          </cell>
          <cell r="AR102">
            <v>258.08</v>
          </cell>
          <cell r="AS102">
            <v>262.64999999999998</v>
          </cell>
          <cell r="AT102">
            <v>405.6</v>
          </cell>
          <cell r="AU102">
            <v>308.7766666666667</v>
          </cell>
          <cell r="AV102">
            <v>275.77</v>
          </cell>
          <cell r="AW102">
            <v>151.72999999999999</v>
          </cell>
          <cell r="AX102">
            <v>114.45</v>
          </cell>
          <cell r="AY102">
            <v>327.78</v>
          </cell>
          <cell r="AZ102">
            <v>113.75</v>
          </cell>
          <cell r="BA102">
            <v>95.81</v>
          </cell>
          <cell r="BB102">
            <v>162.94749999999999</v>
          </cell>
          <cell r="BC102">
            <v>12579</v>
          </cell>
          <cell r="BD102">
            <v>9149</v>
          </cell>
          <cell r="BE102">
            <v>8595.7956914523966</v>
          </cell>
          <cell r="BF102">
            <v>5900.5630332853925</v>
          </cell>
          <cell r="BG102">
            <v>9056.0896811844468</v>
          </cell>
          <cell r="BH102">
            <v>633.33000000000004</v>
          </cell>
          <cell r="BI102">
            <v>233</v>
          </cell>
          <cell r="BJ102">
            <v>866.33</v>
          </cell>
          <cell r="BK102">
            <v>732.57899999999995</v>
          </cell>
          <cell r="BL102">
            <v>883.59</v>
          </cell>
          <cell r="BM102">
            <v>808.08449999999993</v>
          </cell>
          <cell r="BN102">
            <v>118.36</v>
          </cell>
          <cell r="BO102">
            <v>769</v>
          </cell>
          <cell r="BP102">
            <v>639.70000000000005</v>
          </cell>
          <cell r="BQ102">
            <v>756.07</v>
          </cell>
          <cell r="BR102">
            <v>478</v>
          </cell>
          <cell r="BS102">
            <v>1400</v>
          </cell>
          <cell r="BT102">
            <v>402.05</v>
          </cell>
          <cell r="BU102">
            <v>18006.150000000001</v>
          </cell>
          <cell r="BV102">
            <v>501</v>
          </cell>
          <cell r="BW102">
            <v>1450</v>
          </cell>
          <cell r="BY102">
            <v>3659.6259591223097</v>
          </cell>
          <cell r="BZ102">
            <v>3039.2597921375805</v>
          </cell>
          <cell r="CA102">
            <v>3427.5059972890558</v>
          </cell>
          <cell r="CB102">
            <v>3306.619570577147</v>
          </cell>
          <cell r="CC102">
            <v>3324.581391707889</v>
          </cell>
          <cell r="CD102">
            <v>3631.601465922337</v>
          </cell>
          <cell r="CE102">
            <v>3805.0421302978784</v>
          </cell>
          <cell r="CF102">
            <v>3613.8424058313099</v>
          </cell>
          <cell r="CG102">
            <v>3518.1988269376029</v>
          </cell>
          <cell r="CH102">
            <v>4082.0298612760075</v>
          </cell>
          <cell r="CI102">
            <v>4022.3674848976011</v>
          </cell>
          <cell r="CJ102">
            <v>3064.5113510275355</v>
          </cell>
          <cell r="CK102">
            <v>3200.8680393122545</v>
          </cell>
          <cell r="CL102">
            <v>3983.0756265681484</v>
          </cell>
          <cell r="CM102">
            <v>2712.401452102471</v>
          </cell>
          <cell r="CN102">
            <v>2889.7228549104375</v>
          </cell>
          <cell r="CO102">
            <v>3196.5169932233275</v>
          </cell>
          <cell r="CP102">
            <v>3758.4506443143232</v>
          </cell>
          <cell r="CQ102">
            <v>3240.1170927522471</v>
          </cell>
          <cell r="CR102">
            <v>3060.4061317912865</v>
          </cell>
          <cell r="CS102">
            <v>3150.2616122717668</v>
          </cell>
          <cell r="CT102">
            <v>2826.4469530761089</v>
          </cell>
          <cell r="CU102">
            <v>3205.8438263850371</v>
          </cell>
          <cell r="CV102">
            <v>3205.8625058064904</v>
          </cell>
          <cell r="CW102">
            <v>3205.8625058064904</v>
          </cell>
          <cell r="CX102">
            <v>3205.8562793326728</v>
          </cell>
          <cell r="CY102">
            <v>2993.3252425528212</v>
          </cell>
          <cell r="CZ102">
            <v>3690.6308758024543</v>
          </cell>
          <cell r="DA102">
            <v>3077.43877080946</v>
          </cell>
          <cell r="DB102">
            <v>3290.4816573508824</v>
          </cell>
          <cell r="DC102">
            <v>3188.1897776219221</v>
          </cell>
          <cell r="DD102">
            <v>3162.1651232164591</v>
          </cell>
          <cell r="DE102">
            <v>2868.8215889762123</v>
          </cell>
          <cell r="DF102">
            <v>3360.4784830116882</v>
          </cell>
          <cell r="DG102">
            <v>3114.65003599395</v>
          </cell>
          <cell r="DH102">
            <v>3059.5330604640758</v>
          </cell>
          <cell r="DI102">
            <v>2959.6920555103034</v>
          </cell>
          <cell r="DK102">
            <v>580000</v>
          </cell>
          <cell r="DL102" t="str">
            <v>2022-23</v>
          </cell>
          <cell r="DM102">
            <v>200000</v>
          </cell>
          <cell r="DN102" t="str">
            <v>2022-23</v>
          </cell>
          <cell r="DO102">
            <v>1600000</v>
          </cell>
          <cell r="DP102" t="str">
            <v>2023-24</v>
          </cell>
          <cell r="DQ102">
            <v>2400000</v>
          </cell>
          <cell r="DR102" t="str">
            <v>2023-24</v>
          </cell>
          <cell r="DS102">
            <v>7300000</v>
          </cell>
          <cell r="DT102" t="str">
            <v>2023-24</v>
          </cell>
          <cell r="DU102">
            <v>16000000</v>
          </cell>
          <cell r="DV102" t="str">
            <v>2022-23</v>
          </cell>
          <cell r="DW102">
            <v>750000</v>
          </cell>
          <cell r="DX102" t="str">
            <v>2023-24</v>
          </cell>
          <cell r="DY102">
            <v>5600000</v>
          </cell>
          <cell r="DZ102" t="str">
            <v>2023-24</v>
          </cell>
          <cell r="EA102">
            <v>33650000</v>
          </cell>
          <cell r="EB102">
            <v>416490</v>
          </cell>
          <cell r="EC102" t="str">
            <v>2023-24</v>
          </cell>
          <cell r="ED102">
            <v>222162</v>
          </cell>
          <cell r="EE102">
            <v>2023</v>
          </cell>
          <cell r="EF102">
            <v>204847</v>
          </cell>
          <cell r="EG102">
            <v>2023</v>
          </cell>
          <cell r="EH102">
            <v>54242595</v>
          </cell>
          <cell r="EI102">
            <v>2023</v>
          </cell>
          <cell r="EJ102">
            <v>5887401</v>
          </cell>
          <cell r="EK102">
            <v>2023</v>
          </cell>
          <cell r="EL102">
            <v>12461845</v>
          </cell>
          <cell r="EM102">
            <v>2022</v>
          </cell>
          <cell r="EN102">
            <v>3169981</v>
          </cell>
          <cell r="EO102">
            <v>2021</v>
          </cell>
          <cell r="EP102">
            <v>9372</v>
          </cell>
          <cell r="EQ102">
            <v>3500000</v>
          </cell>
          <cell r="ER102">
            <v>79916</v>
          </cell>
          <cell r="ET102">
            <v>20677</v>
          </cell>
          <cell r="EU102">
            <v>19532</v>
          </cell>
          <cell r="EV102">
            <v>9103</v>
          </cell>
          <cell r="EW102">
            <v>17281</v>
          </cell>
          <cell r="EX102">
            <v>66593</v>
          </cell>
          <cell r="EY102">
            <v>20193</v>
          </cell>
          <cell r="EZ102">
            <v>32682</v>
          </cell>
          <cell r="FA102">
            <v>19526</v>
          </cell>
          <cell r="FB102">
            <v>19463</v>
          </cell>
          <cell r="FC102">
            <v>38989</v>
          </cell>
          <cell r="FD102">
            <v>54743</v>
          </cell>
          <cell r="FF102">
            <v>900000</v>
          </cell>
          <cell r="FG102" t="str">
            <v>2022-23</v>
          </cell>
          <cell r="FH102">
            <v>1200000</v>
          </cell>
          <cell r="FI102" t="str">
            <v>2022-23</v>
          </cell>
          <cell r="FJ102">
            <v>4600000</v>
          </cell>
          <cell r="FK102" t="str">
            <v>2022-23</v>
          </cell>
          <cell r="FL102">
            <v>5000000</v>
          </cell>
          <cell r="FM102" t="str">
            <v>2022-23</v>
          </cell>
          <cell r="FN102">
            <v>54000000</v>
          </cell>
          <cell r="FO102" t="str">
            <v>2023-24</v>
          </cell>
          <cell r="FP102">
            <v>25000000</v>
          </cell>
          <cell r="FQ102" t="str">
            <v>2022-23</v>
          </cell>
          <cell r="FR102">
            <v>1600000</v>
          </cell>
          <cell r="FS102" t="str">
            <v>2022-23</v>
          </cell>
          <cell r="FT102">
            <v>12600000</v>
          </cell>
          <cell r="FU102" t="str">
            <v>2022-23</v>
          </cell>
          <cell r="FV102">
            <v>102800000</v>
          </cell>
          <cell r="FW102">
            <v>940426</v>
          </cell>
          <cell r="FX102" t="str">
            <v>2022-23</v>
          </cell>
          <cell r="FY102">
            <v>68633</v>
          </cell>
          <cell r="FZ102">
            <v>752155.26899999997</v>
          </cell>
          <cell r="GA102" t="str">
            <v>oct22 sept23</v>
          </cell>
          <cell r="GB102">
            <v>14553117</v>
          </cell>
          <cell r="GC102">
            <v>2023</v>
          </cell>
          <cell r="GD102">
            <v>2315000</v>
          </cell>
          <cell r="GE102">
            <v>377000</v>
          </cell>
          <cell r="GF102">
            <v>1061000</v>
          </cell>
          <cell r="GG102">
            <v>127000</v>
          </cell>
          <cell r="GH102">
            <v>1565000</v>
          </cell>
          <cell r="GI102">
            <v>1302556</v>
          </cell>
          <cell r="GJ102">
            <v>687701</v>
          </cell>
          <cell r="GK102">
            <v>1430078.41</v>
          </cell>
          <cell r="GL102">
            <v>302535.34000000003</v>
          </cell>
          <cell r="GM102">
            <v>257597.81</v>
          </cell>
          <cell r="GN102">
            <v>2677912.56</v>
          </cell>
          <cell r="GO102">
            <v>202394.36</v>
          </cell>
          <cell r="GP102">
            <v>73395</v>
          </cell>
          <cell r="GQ102">
            <v>30795</v>
          </cell>
          <cell r="GR102">
            <v>35181</v>
          </cell>
          <cell r="GS102">
            <v>36104.85</v>
          </cell>
          <cell r="GT102">
            <v>2365997</v>
          </cell>
          <cell r="GU102">
            <v>24271</v>
          </cell>
          <cell r="GV102">
            <v>30660</v>
          </cell>
          <cell r="GW102">
            <v>786631</v>
          </cell>
          <cell r="GX102">
            <v>33126.813000000002</v>
          </cell>
          <cell r="GY102" t="str">
            <v>2022-2023</v>
          </cell>
          <cell r="GZ102">
            <v>87408</v>
          </cell>
          <cell r="HA102">
            <v>265186</v>
          </cell>
          <cell r="HB102">
            <v>3284258</v>
          </cell>
          <cell r="HC102" t="str">
            <v>oct22 sept23</v>
          </cell>
          <cell r="HD102">
            <v>64529</v>
          </cell>
          <cell r="HE102">
            <v>751562</v>
          </cell>
          <cell r="HF102" t="str">
            <v>oct22 sept23</v>
          </cell>
          <cell r="HG102">
            <v>188000</v>
          </cell>
          <cell r="HH102">
            <v>2296000</v>
          </cell>
          <cell r="HI102" t="str">
            <v>oct22 sept23</v>
          </cell>
          <cell r="HJ102">
            <v>93886</v>
          </cell>
          <cell r="HK102">
            <v>70087.56</v>
          </cell>
          <cell r="HL102" t="str">
            <v>oct22 sept23</v>
          </cell>
          <cell r="HM102">
            <v>2366087.56</v>
          </cell>
          <cell r="HN102">
            <v>-3.6346691519105301E-2</v>
          </cell>
          <cell r="HO102">
            <v>1034000000</v>
          </cell>
          <cell r="HP102">
            <v>11493.283332000001</v>
          </cell>
          <cell r="HQ102" t="str">
            <v>oct22 sept23</v>
          </cell>
          <cell r="HU102">
            <v>700000</v>
          </cell>
          <cell r="HV102" t="str">
            <v>2022-23</v>
          </cell>
          <cell r="HW102">
            <v>1500000</v>
          </cell>
          <cell r="HX102" t="str">
            <v>2023-24</v>
          </cell>
          <cell r="HY102">
            <v>4300000</v>
          </cell>
          <cell r="HZ102" t="str">
            <v>2022-23</v>
          </cell>
          <cell r="IA102">
            <v>21000000</v>
          </cell>
          <cell r="IB102" t="str">
            <v>2022-23</v>
          </cell>
          <cell r="IC102">
            <v>38500000</v>
          </cell>
          <cell r="ID102" t="str">
            <v>2022-23</v>
          </cell>
          <cell r="IE102">
            <v>750000</v>
          </cell>
          <cell r="IF102" t="str">
            <v>2022-23</v>
          </cell>
          <cell r="IG102">
            <v>7400000</v>
          </cell>
          <cell r="IH102" t="str">
            <v>2023-24</v>
          </cell>
          <cell r="II102">
            <v>73450000</v>
          </cell>
          <cell r="IJ102">
            <v>1.991933187973949</v>
          </cell>
          <cell r="IK102" t="str">
            <v>2022-23</v>
          </cell>
          <cell r="IL102">
            <v>45.88</v>
          </cell>
          <cell r="IM102">
            <v>51.01</v>
          </cell>
          <cell r="IN102">
            <v>188.6</v>
          </cell>
          <cell r="IO102">
            <v>16.71</v>
          </cell>
          <cell r="IP102">
            <v>6.1504299104893345</v>
          </cell>
          <cell r="IQ102">
            <v>16.7</v>
          </cell>
          <cell r="IR102">
            <v>6.92</v>
          </cell>
          <cell r="IS102">
            <v>4.57</v>
          </cell>
          <cell r="IT102">
            <v>13.61</v>
          </cell>
          <cell r="IU102">
            <v>1.56</v>
          </cell>
          <cell r="IV102">
            <v>19.739999999999998</v>
          </cell>
          <cell r="IY102">
            <v>1.88</v>
          </cell>
          <cell r="IZ102">
            <v>0.3</v>
          </cell>
          <cell r="JA102">
            <v>2813</v>
          </cell>
          <cell r="JF102">
            <v>16.61514231</v>
          </cell>
          <cell r="JG102">
            <v>12.24327484</v>
          </cell>
          <cell r="JH102">
            <v>153.58045444000001</v>
          </cell>
          <cell r="JI102">
            <v>225.57921037999998</v>
          </cell>
          <cell r="JJ102">
            <v>807.54438919000017</v>
          </cell>
          <cell r="JK102">
            <v>102.74257099999998</v>
          </cell>
          <cell r="JL102">
            <v>1643.3799617700001</v>
          </cell>
          <cell r="JM102">
            <v>36.555526460000003</v>
          </cell>
          <cell r="JN102">
            <v>71.305439109999995</v>
          </cell>
          <cell r="JO102">
            <v>29.35689408</v>
          </cell>
          <cell r="JP102">
            <v>0</v>
          </cell>
          <cell r="JQ102">
            <v>0.36234388000000001</v>
          </cell>
          <cell r="JR102">
            <v>1.9638612699999998</v>
          </cell>
          <cell r="JS102">
            <v>0</v>
          </cell>
          <cell r="JT102">
            <v>3.0883000000000001E-2</v>
          </cell>
          <cell r="JU102">
            <v>86.673250950000011</v>
          </cell>
          <cell r="JV102">
            <v>11.844286239999999</v>
          </cell>
          <cell r="JW102">
            <v>12.35980846</v>
          </cell>
          <cell r="JX102">
            <v>12.875708500000002</v>
          </cell>
          <cell r="JY102">
            <v>0</v>
          </cell>
          <cell r="JZ102">
            <v>3.3735687800000003</v>
          </cell>
          <cell r="KA102">
            <v>0.52830180000000004</v>
          </cell>
          <cell r="KB102">
            <v>25.649224320000002</v>
          </cell>
          <cell r="KC102">
            <v>33.051481680000002</v>
          </cell>
          <cell r="KD102">
            <v>11.833514059999999</v>
          </cell>
          <cell r="KE102">
            <v>16.805607889999997</v>
          </cell>
          <cell r="KF102">
            <v>24.343011479999998</v>
          </cell>
          <cell r="KG102">
            <v>292.91820976000002</v>
          </cell>
          <cell r="KH102">
            <v>114.82793965999997</v>
          </cell>
          <cell r="KI102">
            <v>10.49137048</v>
          </cell>
          <cell r="KJ102">
            <v>1.8830951399999996</v>
          </cell>
          <cell r="KK102">
            <v>8.1137987799999998</v>
          </cell>
          <cell r="KL102">
            <v>0.10767879</v>
          </cell>
          <cell r="KM102">
            <v>0.66085614999999998</v>
          </cell>
          <cell r="KN102">
            <v>5.4130949999999997E-2</v>
          </cell>
          <cell r="KO102">
            <v>2.5698116099999999</v>
          </cell>
          <cell r="KP102">
            <v>5.563009E-2</v>
          </cell>
          <cell r="KQ102">
            <v>319.16022236000003</v>
          </cell>
          <cell r="KR102">
            <v>1.7862099999999999E-2</v>
          </cell>
          <cell r="KS102">
            <v>0.11961441</v>
          </cell>
          <cell r="KT102">
            <v>1.9864389700000002</v>
          </cell>
          <cell r="KU102">
            <v>0.13955175</v>
          </cell>
          <cell r="KV102">
            <v>0</v>
          </cell>
          <cell r="KW102">
            <v>1.3263511099999998</v>
          </cell>
          <cell r="KX102">
            <v>0</v>
          </cell>
          <cell r="KY102">
            <v>0</v>
          </cell>
          <cell r="KZ102">
            <v>1.3147188099999998</v>
          </cell>
          <cell r="LA102">
            <v>0.35373779999999999</v>
          </cell>
          <cell r="LB102">
            <v>2.0368599999999997E-2</v>
          </cell>
          <cell r="LC102">
            <v>9.2476799999999998E-2</v>
          </cell>
          <cell r="LD102">
            <v>0</v>
          </cell>
          <cell r="LE102">
            <v>0</v>
          </cell>
          <cell r="LF102">
            <v>0.36129600000000001</v>
          </cell>
          <cell r="LG102">
            <v>16.68359323</v>
          </cell>
          <cell r="LH102">
            <v>5.9427570699999999</v>
          </cell>
          <cell r="LI102">
            <v>1.6581343500000001</v>
          </cell>
          <cell r="LJ102">
            <v>0</v>
          </cell>
          <cell r="LK102">
            <v>2.66724104</v>
          </cell>
          <cell r="LL102">
            <v>2.3401237999999998</v>
          </cell>
          <cell r="LM102">
            <v>1.2699740900000001</v>
          </cell>
          <cell r="LN102">
            <v>0.29250390000000004</v>
          </cell>
          <cell r="LO102">
            <v>3.3244473500000002</v>
          </cell>
          <cell r="LQ102">
            <v>2937.94498135</v>
          </cell>
          <cell r="LR102">
            <v>2.35708815</v>
          </cell>
          <cell r="LS102">
            <v>24.204094699999999</v>
          </cell>
          <cell r="LT102">
            <v>3.9018705800000002</v>
          </cell>
          <cell r="LU102">
            <v>322.58249758000005</v>
          </cell>
          <cell r="LV102">
            <v>1.3263511099999998</v>
          </cell>
          <cell r="LW102">
            <v>0.37410640000000001</v>
          </cell>
          <cell r="LX102">
            <v>0.36129600000000001</v>
          </cell>
          <cell r="LZ102">
            <v>471.34</v>
          </cell>
          <cell r="MA102">
            <v>582.04</v>
          </cell>
          <cell r="MH102">
            <v>980.2</v>
          </cell>
          <cell r="MI102">
            <v>241.22</v>
          </cell>
          <cell r="MJ102">
            <v>616.41999999999996</v>
          </cell>
          <cell r="ML102">
            <v>280.61</v>
          </cell>
          <cell r="MM102">
            <v>702.43</v>
          </cell>
          <cell r="MO102">
            <v>262.2</v>
          </cell>
          <cell r="MP102">
            <v>734.03</v>
          </cell>
          <cell r="MQ102">
            <v>832.47</v>
          </cell>
          <cell r="MU102">
            <v>449.05</v>
          </cell>
          <cell r="MY102">
            <v>855.92</v>
          </cell>
          <cell r="MZ102">
            <v>1616</v>
          </cell>
          <cell r="NA102">
            <v>945</v>
          </cell>
          <cell r="NB102">
            <v>2953.9</v>
          </cell>
          <cell r="NC102">
            <v>381.93</v>
          </cell>
          <cell r="ND102">
            <v>3000</v>
          </cell>
          <cell r="NE102">
            <v>1868.5</v>
          </cell>
        </row>
        <row r="103">
          <cell r="A103">
            <v>45200</v>
          </cell>
          <cell r="B103">
            <v>10</v>
          </cell>
          <cell r="C103">
            <v>2023</v>
          </cell>
          <cell r="D103">
            <v>103</v>
          </cell>
          <cell r="E103">
            <v>45200</v>
          </cell>
          <cell r="F103">
            <v>365.5</v>
          </cell>
          <cell r="G103">
            <v>2496.3000000000002</v>
          </cell>
          <cell r="H103">
            <v>226802.58</v>
          </cell>
          <cell r="I103">
            <v>87</v>
          </cell>
          <cell r="J103">
            <v>840</v>
          </cell>
          <cell r="K103">
            <v>5.8</v>
          </cell>
          <cell r="L103">
            <v>27.9</v>
          </cell>
          <cell r="N103">
            <v>2.16</v>
          </cell>
          <cell r="O103">
            <v>1.78</v>
          </cell>
          <cell r="P103">
            <v>684.03325000000007</v>
          </cell>
          <cell r="Q103">
            <v>21000</v>
          </cell>
          <cell r="R103">
            <v>210000</v>
          </cell>
          <cell r="S103">
            <v>232.55813953488371</v>
          </cell>
          <cell r="T103">
            <v>363.33789329685362</v>
          </cell>
          <cell r="U103">
            <v>192.68</v>
          </cell>
          <cell r="V103">
            <v>340.96499999999997</v>
          </cell>
          <cell r="W103">
            <v>286.25</v>
          </cell>
          <cell r="X103">
            <v>239.03000000000003</v>
          </cell>
          <cell r="Y103">
            <v>85000</v>
          </cell>
          <cell r="Z103">
            <v>132800</v>
          </cell>
          <cell r="AA103">
            <v>70424.540000000008</v>
          </cell>
          <cell r="AB103">
            <v>124622.70749999999</v>
          </cell>
          <cell r="AC103">
            <v>104624.375</v>
          </cell>
          <cell r="AD103">
            <v>87365.465000000011</v>
          </cell>
          <cell r="AE103">
            <v>100806.18124999999</v>
          </cell>
          <cell r="AF103">
            <v>333851.7</v>
          </cell>
          <cell r="AG103">
            <v>169360</v>
          </cell>
          <cell r="AH103">
            <v>643570</v>
          </cell>
          <cell r="AI103">
            <v>188.75120000000001</v>
          </cell>
          <cell r="AJ103">
            <v>132.50489999999999</v>
          </cell>
          <cell r="AK103">
            <v>180.58449999999999</v>
          </cell>
          <cell r="AL103">
            <v>110.59910000000001</v>
          </cell>
          <cell r="AM103">
            <v>165.62150200000002</v>
          </cell>
          <cell r="AN103">
            <v>766.93</v>
          </cell>
          <cell r="AO103">
            <v>268.37</v>
          </cell>
          <cell r="AP103">
            <v>517.65</v>
          </cell>
          <cell r="AQ103">
            <v>165.22</v>
          </cell>
          <cell r="AR103">
            <v>264.39999999999998</v>
          </cell>
          <cell r="AS103">
            <v>249.15</v>
          </cell>
          <cell r="AT103">
            <v>455.44</v>
          </cell>
          <cell r="AU103">
            <v>322.99666666666667</v>
          </cell>
          <cell r="AV103">
            <v>239.45</v>
          </cell>
          <cell r="AW103">
            <v>175.23</v>
          </cell>
          <cell r="AX103">
            <v>114.76</v>
          </cell>
          <cell r="AY103">
            <v>474.51</v>
          </cell>
          <cell r="AZ103">
            <v>113.06</v>
          </cell>
          <cell r="BA103">
            <v>89.33</v>
          </cell>
          <cell r="BB103">
            <v>197.91499999999999</v>
          </cell>
          <cell r="BC103">
            <v>13887</v>
          </cell>
          <cell r="BD103">
            <v>9149</v>
          </cell>
          <cell r="BE103">
            <v>9489.6108408617074</v>
          </cell>
          <cell r="BF103">
            <v>5900.5630332853925</v>
          </cell>
          <cell r="BG103">
            <v>9606.5434685367745</v>
          </cell>
          <cell r="BH103">
            <v>633.33000000000004</v>
          </cell>
          <cell r="BI103">
            <v>233</v>
          </cell>
          <cell r="BJ103">
            <v>866.33</v>
          </cell>
          <cell r="BK103">
            <v>877.39400000000001</v>
          </cell>
          <cell r="BL103">
            <v>1003.75</v>
          </cell>
          <cell r="BM103">
            <v>940.572</v>
          </cell>
          <cell r="BN103">
            <v>130.16999999999999</v>
          </cell>
          <cell r="BO103">
            <v>819.9</v>
          </cell>
          <cell r="BP103">
            <v>640.79999999999995</v>
          </cell>
          <cell r="BQ103">
            <v>801.99</v>
          </cell>
          <cell r="BR103">
            <v>680</v>
          </cell>
          <cell r="BS103">
            <v>1700</v>
          </cell>
          <cell r="BT103">
            <v>402.05</v>
          </cell>
          <cell r="BU103">
            <v>21606.15</v>
          </cell>
          <cell r="BV103">
            <v>564</v>
          </cell>
          <cell r="BW103">
            <v>1450</v>
          </cell>
          <cell r="BY103">
            <v>3860.4974875791049</v>
          </cell>
          <cell r="BZ103">
            <v>3031.8453078623156</v>
          </cell>
          <cell r="CA103">
            <v>3628.4489724738696</v>
          </cell>
          <cell r="CB103">
            <v>3411.7900689280268</v>
          </cell>
          <cell r="CC103">
            <v>3364.2668359192221</v>
          </cell>
          <cell r="CD103">
            <v>3630.8033895230819</v>
          </cell>
          <cell r="CE103">
            <v>3833.3966512290035</v>
          </cell>
          <cell r="CF103">
            <v>3646.2511820655463</v>
          </cell>
          <cell r="CG103">
            <v>3585.8261833564579</v>
          </cell>
          <cell r="CH103">
            <v>4090.5894958629337</v>
          </cell>
          <cell r="CI103">
            <v>3916.1883980423868</v>
          </cell>
          <cell r="CJ103">
            <v>3153.2573753107599</v>
          </cell>
          <cell r="CK103">
            <v>3219.9637150585795</v>
          </cell>
          <cell r="CL103">
            <v>4594.1284042544585</v>
          </cell>
          <cell r="CM103">
            <v>2718.21362417111</v>
          </cell>
          <cell r="CN103">
            <v>2876.4004635956449</v>
          </cell>
          <cell r="CO103">
            <v>3352.1765517699482</v>
          </cell>
          <cell r="CP103">
            <v>3778.1145650824415</v>
          </cell>
          <cell r="CQ103">
            <v>3359.3494296987428</v>
          </cell>
          <cell r="CR103">
            <v>3069.0571212612731</v>
          </cell>
          <cell r="CS103">
            <v>3214.203275480008</v>
          </cell>
          <cell r="CT103">
            <v>2891.9130046782207</v>
          </cell>
          <cell r="CU103">
            <v>3232.6921067519129</v>
          </cell>
          <cell r="CV103">
            <v>3206.0234850741977</v>
          </cell>
          <cell r="CW103">
            <v>3206.0234850741977</v>
          </cell>
          <cell r="CX103">
            <v>3214.9130256334361</v>
          </cell>
          <cell r="CY103">
            <v>3086.9239064803373</v>
          </cell>
          <cell r="CZ103">
            <v>3701.7563377024771</v>
          </cell>
          <cell r="DA103">
            <v>3090.2864425464886</v>
          </cell>
          <cell r="DB103">
            <v>3401.4977976538348</v>
          </cell>
          <cell r="DC103">
            <v>3277.4954873529623</v>
          </cell>
          <cell r="DD103">
            <v>3301.2782610883755</v>
          </cell>
          <cell r="DE103">
            <v>2944.076885268059</v>
          </cell>
          <cell r="DF103">
            <v>3445.446583316852</v>
          </cell>
          <cell r="DG103">
            <v>3194.7617342924555</v>
          </cell>
          <cell r="DH103">
            <v>3103.7025420888258</v>
          </cell>
          <cell r="DI103">
            <v>3038.2159245319308</v>
          </cell>
          <cell r="DK103">
            <v>580000</v>
          </cell>
          <cell r="DL103" t="str">
            <v>2022-23</v>
          </cell>
          <cell r="DM103">
            <v>190000</v>
          </cell>
          <cell r="DN103" t="str">
            <v>2022-23</v>
          </cell>
          <cell r="DO103">
            <v>1600000</v>
          </cell>
          <cell r="DP103" t="str">
            <v>2023-24</v>
          </cell>
          <cell r="DQ103">
            <v>2200000</v>
          </cell>
          <cell r="DR103" t="str">
            <v>2023-24</v>
          </cell>
          <cell r="DS103">
            <v>7100000</v>
          </cell>
          <cell r="DT103" t="str">
            <v>2023-24</v>
          </cell>
          <cell r="DU103">
            <v>16500000</v>
          </cell>
          <cell r="DV103" t="str">
            <v>2023-24</v>
          </cell>
          <cell r="DW103">
            <v>750000</v>
          </cell>
          <cell r="DX103" t="str">
            <v>2023-24</v>
          </cell>
          <cell r="DY103">
            <v>5600000</v>
          </cell>
          <cell r="DZ103" t="str">
            <v>2023-24</v>
          </cell>
          <cell r="EA103">
            <v>33750000</v>
          </cell>
          <cell r="EB103">
            <v>416490</v>
          </cell>
          <cell r="EC103" t="str">
            <v>2023-24</v>
          </cell>
          <cell r="ED103">
            <v>222162</v>
          </cell>
          <cell r="EE103">
            <v>2023</v>
          </cell>
          <cell r="EF103">
            <v>204847</v>
          </cell>
          <cell r="EG103">
            <v>2023</v>
          </cell>
          <cell r="EH103">
            <v>54242595</v>
          </cell>
          <cell r="EI103">
            <v>2023</v>
          </cell>
          <cell r="EJ103">
            <v>5887401</v>
          </cell>
          <cell r="EK103">
            <v>2023</v>
          </cell>
          <cell r="EL103">
            <v>12461845</v>
          </cell>
          <cell r="EM103">
            <v>2022</v>
          </cell>
          <cell r="EN103">
            <v>3169981</v>
          </cell>
          <cell r="EO103">
            <v>2021</v>
          </cell>
          <cell r="EP103">
            <v>9418</v>
          </cell>
          <cell r="EQ103">
            <v>3500000</v>
          </cell>
          <cell r="ER103">
            <v>79916</v>
          </cell>
          <cell r="ET103">
            <v>20677</v>
          </cell>
          <cell r="EU103">
            <v>19532</v>
          </cell>
          <cell r="EV103">
            <v>9103</v>
          </cell>
          <cell r="EW103">
            <v>17281</v>
          </cell>
          <cell r="EX103">
            <v>66593</v>
          </cell>
          <cell r="EY103">
            <v>20193</v>
          </cell>
          <cell r="EZ103">
            <v>32682</v>
          </cell>
          <cell r="FA103">
            <v>19526</v>
          </cell>
          <cell r="FB103">
            <v>19463</v>
          </cell>
          <cell r="FC103">
            <v>38989</v>
          </cell>
          <cell r="FD103">
            <v>54743</v>
          </cell>
          <cell r="FF103">
            <v>900000</v>
          </cell>
          <cell r="FG103" t="str">
            <v>2022-23</v>
          </cell>
          <cell r="FH103">
            <v>1200000</v>
          </cell>
          <cell r="FI103" t="str">
            <v>2022-23</v>
          </cell>
          <cell r="FJ103">
            <v>4600000</v>
          </cell>
          <cell r="FK103" t="str">
            <v>2022-23</v>
          </cell>
          <cell r="FL103">
            <v>5000000</v>
          </cell>
          <cell r="FM103" t="str">
            <v>2022-23</v>
          </cell>
          <cell r="FN103">
            <v>55000000</v>
          </cell>
          <cell r="FO103" t="str">
            <v>2023-24</v>
          </cell>
          <cell r="FP103">
            <v>25000000</v>
          </cell>
          <cell r="FQ103" t="str">
            <v>2022-23</v>
          </cell>
          <cell r="FR103">
            <v>1600000</v>
          </cell>
          <cell r="FS103" t="str">
            <v>2022-23</v>
          </cell>
          <cell r="FT103">
            <v>12600000</v>
          </cell>
          <cell r="FU103" t="str">
            <v>2022-23</v>
          </cell>
          <cell r="FV103">
            <v>103800000</v>
          </cell>
          <cell r="FW103">
            <v>940426</v>
          </cell>
          <cell r="FX103" t="str">
            <v>2022-23</v>
          </cell>
          <cell r="FY103">
            <v>0</v>
          </cell>
          <cell r="FZ103">
            <v>752155.26899999997</v>
          </cell>
          <cell r="GA103" t="str">
            <v>nov22 oct23</v>
          </cell>
          <cell r="GB103">
            <v>14553117</v>
          </cell>
          <cell r="GC103">
            <v>2023</v>
          </cell>
          <cell r="GD103">
            <v>2315000</v>
          </cell>
          <cell r="GE103">
            <v>377000</v>
          </cell>
          <cell r="GF103">
            <v>1061000</v>
          </cell>
          <cell r="GG103">
            <v>127000</v>
          </cell>
          <cell r="GH103">
            <v>1565000</v>
          </cell>
          <cell r="GI103">
            <v>1302556</v>
          </cell>
          <cell r="GJ103">
            <v>687701</v>
          </cell>
          <cell r="GK103">
            <v>1430078.41</v>
          </cell>
          <cell r="GL103">
            <v>302535.34000000003</v>
          </cell>
          <cell r="GM103">
            <v>257597.81</v>
          </cell>
          <cell r="GN103">
            <v>2677912.56</v>
          </cell>
          <cell r="GO103">
            <v>202394.36</v>
          </cell>
          <cell r="GP103">
            <v>73395</v>
          </cell>
          <cell r="GQ103">
            <v>37918</v>
          </cell>
          <cell r="GR103">
            <v>35181</v>
          </cell>
          <cell r="GS103">
            <v>36318.54</v>
          </cell>
          <cell r="GT103">
            <v>2365997</v>
          </cell>
          <cell r="GU103">
            <v>18098</v>
          </cell>
          <cell r="GV103">
            <v>27708</v>
          </cell>
          <cell r="GW103">
            <v>784258</v>
          </cell>
          <cell r="GX103">
            <v>33126.813000000002</v>
          </cell>
          <cell r="GY103" t="str">
            <v>2022-2023</v>
          </cell>
          <cell r="GZ103">
            <v>87408</v>
          </cell>
          <cell r="HA103">
            <v>259000</v>
          </cell>
          <cell r="HB103">
            <v>3289003</v>
          </cell>
          <cell r="HC103" t="str">
            <v>nov22 oct23</v>
          </cell>
          <cell r="HD103">
            <v>65971</v>
          </cell>
          <cell r="HE103">
            <v>757690</v>
          </cell>
          <cell r="HF103" t="str">
            <v>nov22 oct23</v>
          </cell>
          <cell r="HG103">
            <v>199000</v>
          </cell>
          <cell r="HH103">
            <v>2304000</v>
          </cell>
          <cell r="HI103" t="str">
            <v>nov22 oct23</v>
          </cell>
          <cell r="HJ103">
            <v>92710</v>
          </cell>
          <cell r="HK103">
            <v>69668.22</v>
          </cell>
          <cell r="HL103" t="str">
            <v>nov22 oct23</v>
          </cell>
          <cell r="HM103">
            <v>2373668.2200000002</v>
          </cell>
          <cell r="HN103">
            <v>-4.3087971274685777E-2</v>
          </cell>
          <cell r="HO103">
            <v>1066000000</v>
          </cell>
          <cell r="HP103">
            <v>11445.283332000001</v>
          </cell>
          <cell r="HQ103" t="str">
            <v>nov22 oct23</v>
          </cell>
          <cell r="HU103">
            <v>700000</v>
          </cell>
          <cell r="HV103" t="str">
            <v>2022-23</v>
          </cell>
          <cell r="HW103">
            <v>1500000</v>
          </cell>
          <cell r="HX103" t="str">
            <v>2023-24</v>
          </cell>
          <cell r="HY103">
            <v>4300000</v>
          </cell>
          <cell r="HZ103" t="str">
            <v>2022-23</v>
          </cell>
          <cell r="IA103">
            <v>21000000</v>
          </cell>
          <cell r="IB103" t="str">
            <v>2022-23</v>
          </cell>
          <cell r="IC103">
            <v>38500000</v>
          </cell>
          <cell r="ID103" t="str">
            <v>2022-23</v>
          </cell>
          <cell r="IE103">
            <v>750000</v>
          </cell>
          <cell r="IF103" t="str">
            <v>2022-23</v>
          </cell>
          <cell r="IG103">
            <v>7400000</v>
          </cell>
          <cell r="IH103" t="str">
            <v>2023-24</v>
          </cell>
          <cell r="II103">
            <v>73450000</v>
          </cell>
          <cell r="IJ103">
            <v>1.991933187973949</v>
          </cell>
          <cell r="IK103" t="str">
            <v>2022-23</v>
          </cell>
          <cell r="IL103">
            <v>46.13</v>
          </cell>
          <cell r="IM103">
            <v>51.15</v>
          </cell>
          <cell r="IN103">
            <v>188.6</v>
          </cell>
          <cell r="IO103">
            <v>16.760000000000002</v>
          </cell>
          <cell r="IP103">
            <v>6.1504299104893345</v>
          </cell>
          <cell r="IQ103">
            <v>16.7</v>
          </cell>
          <cell r="IR103">
            <v>6.92</v>
          </cell>
          <cell r="IS103">
            <v>4.57</v>
          </cell>
          <cell r="IT103">
            <v>13.61</v>
          </cell>
          <cell r="IU103">
            <v>1.56</v>
          </cell>
          <cell r="IV103">
            <v>19.739999999999998</v>
          </cell>
          <cell r="IY103">
            <v>1.88</v>
          </cell>
          <cell r="IZ103">
            <v>0.3</v>
          </cell>
          <cell r="JA103">
            <v>2813</v>
          </cell>
          <cell r="JF103">
            <v>14.398572559999998</v>
          </cell>
          <cell r="JG103">
            <v>11.823193960000001</v>
          </cell>
          <cell r="JH103">
            <v>46.257881820000001</v>
          </cell>
          <cell r="JI103">
            <v>176.75811727000001</v>
          </cell>
          <cell r="JJ103">
            <v>417.15981240000002</v>
          </cell>
          <cell r="JK103">
            <v>89.024842150000026</v>
          </cell>
          <cell r="JL103">
            <v>1748.2723919199998</v>
          </cell>
          <cell r="JM103">
            <v>12.25969731</v>
          </cell>
          <cell r="JN103">
            <v>38.899187259999991</v>
          </cell>
          <cell r="JO103">
            <v>23.44114875</v>
          </cell>
          <cell r="JP103">
            <v>0</v>
          </cell>
          <cell r="JQ103">
            <v>0.91333360000000008</v>
          </cell>
          <cell r="JR103">
            <v>3.37192253</v>
          </cell>
          <cell r="JS103">
            <v>0</v>
          </cell>
          <cell r="JT103">
            <v>7.0888999999999994E-2</v>
          </cell>
          <cell r="JU103">
            <v>81.396405279999982</v>
          </cell>
          <cell r="JV103">
            <v>7.6947181300000009</v>
          </cell>
          <cell r="JW103">
            <v>9.1856411099999988</v>
          </cell>
          <cell r="JX103">
            <v>12.223117719999999</v>
          </cell>
          <cell r="JY103">
            <v>0</v>
          </cell>
          <cell r="JZ103">
            <v>4.3002710999999998</v>
          </cell>
          <cell r="KA103">
            <v>0.1925</v>
          </cell>
          <cell r="KB103">
            <v>24.373047020000001</v>
          </cell>
          <cell r="KC103">
            <v>51.381121719999996</v>
          </cell>
          <cell r="KD103">
            <v>10.17972451</v>
          </cell>
          <cell r="KE103">
            <v>17.891480939999997</v>
          </cell>
          <cell r="KF103">
            <v>35.017556320000004</v>
          </cell>
          <cell r="KG103">
            <v>273.58963931999995</v>
          </cell>
          <cell r="KH103">
            <v>134.16752365000002</v>
          </cell>
          <cell r="KI103">
            <v>9.5091132299999988</v>
          </cell>
          <cell r="KJ103">
            <v>1.4110336399999999</v>
          </cell>
          <cell r="KK103">
            <v>7.5746309199999997</v>
          </cell>
          <cell r="KL103">
            <v>0.19098301000000001</v>
          </cell>
          <cell r="KM103">
            <v>0.10987036999999999</v>
          </cell>
          <cell r="KN103">
            <v>0.26450879999999999</v>
          </cell>
          <cell r="KO103">
            <v>21.069347470000004</v>
          </cell>
          <cell r="KP103">
            <v>0.45286999999999999</v>
          </cell>
          <cell r="KQ103">
            <v>222.59716574000001</v>
          </cell>
          <cell r="KR103">
            <v>0.3972678</v>
          </cell>
          <cell r="KS103">
            <v>0.23926624000000002</v>
          </cell>
          <cell r="KT103">
            <v>1.0171737099999998</v>
          </cell>
          <cell r="KU103">
            <v>0.47948613000000001</v>
          </cell>
          <cell r="KV103">
            <v>0</v>
          </cell>
          <cell r="KW103">
            <v>1.5225679400000001</v>
          </cell>
          <cell r="KX103">
            <v>0</v>
          </cell>
          <cell r="KY103">
            <v>0</v>
          </cell>
          <cell r="KZ103">
            <v>1.7214946800000002</v>
          </cell>
          <cell r="LA103">
            <v>0.27525109999999997</v>
          </cell>
          <cell r="LB103">
            <v>3.2034E-2</v>
          </cell>
          <cell r="LC103">
            <v>0.11566295</v>
          </cell>
          <cell r="LD103">
            <v>0</v>
          </cell>
          <cell r="LE103">
            <v>1.956285E-2</v>
          </cell>
          <cell r="LF103">
            <v>0.25025035000000001</v>
          </cell>
          <cell r="LG103">
            <v>21.937746180000001</v>
          </cell>
          <cell r="LH103">
            <v>5.4312745199999997</v>
          </cell>
          <cell r="LI103">
            <v>2.31537419</v>
          </cell>
          <cell r="LJ103">
            <v>0</v>
          </cell>
          <cell r="LK103">
            <v>3.9253711099999995</v>
          </cell>
          <cell r="LL103">
            <v>2.53051044</v>
          </cell>
          <cell r="LM103">
            <v>2.0947676</v>
          </cell>
          <cell r="LN103">
            <v>0.58632921999999998</v>
          </cell>
          <cell r="LO103">
            <v>2.01592043</v>
          </cell>
          <cell r="LQ103">
            <v>2439.6070879799995</v>
          </cell>
          <cell r="LR103">
            <v>4.3561451300000007</v>
          </cell>
          <cell r="LS103">
            <v>16.880359240000001</v>
          </cell>
          <cell r="LT103">
            <v>4.4927710999999997</v>
          </cell>
          <cell r="LU103">
            <v>244.67742642000002</v>
          </cell>
          <cell r="LV103">
            <v>1.5225679400000001</v>
          </cell>
          <cell r="LW103">
            <v>0.30728509999999998</v>
          </cell>
          <cell r="LX103">
            <v>0.26981320000000003</v>
          </cell>
          <cell r="LZ103">
            <v>523.03</v>
          </cell>
          <cell r="MA103">
            <v>789.18</v>
          </cell>
          <cell r="MH103">
            <v>1076.98</v>
          </cell>
          <cell r="MI103">
            <v>269.52</v>
          </cell>
          <cell r="MJ103">
            <v>604.95000000000005</v>
          </cell>
          <cell r="ML103">
            <v>286.68</v>
          </cell>
          <cell r="MM103">
            <v>874.29</v>
          </cell>
          <cell r="MO103">
            <v>267.64</v>
          </cell>
          <cell r="MP103">
            <v>799.13</v>
          </cell>
          <cell r="MQ103">
            <v>909.44</v>
          </cell>
          <cell r="MU103">
            <v>458.72</v>
          </cell>
          <cell r="MY103">
            <v>917.2</v>
          </cell>
          <cell r="MZ103">
            <v>1753</v>
          </cell>
          <cell r="NA103">
            <v>1039</v>
          </cell>
          <cell r="NB103">
            <v>3028</v>
          </cell>
          <cell r="NC103">
            <v>413.3</v>
          </cell>
          <cell r="ND103">
            <v>3800</v>
          </cell>
          <cell r="NE103">
            <v>2083</v>
          </cell>
        </row>
        <row r="104">
          <cell r="A104">
            <v>45231</v>
          </cell>
          <cell r="B104">
            <v>11</v>
          </cell>
          <cell r="C104">
            <v>2023</v>
          </cell>
          <cell r="D104">
            <v>104</v>
          </cell>
          <cell r="E104">
            <v>45231</v>
          </cell>
          <cell r="F104">
            <v>366.5</v>
          </cell>
          <cell r="G104">
            <v>2816.0628000000002</v>
          </cell>
          <cell r="H104">
            <v>260822.97</v>
          </cell>
          <cell r="I104">
            <v>124</v>
          </cell>
          <cell r="J104">
            <v>840</v>
          </cell>
          <cell r="K104">
            <v>7.8</v>
          </cell>
          <cell r="L104">
            <v>38.1</v>
          </cell>
          <cell r="N104">
            <v>2.665</v>
          </cell>
          <cell r="O104">
            <v>2.2874999999999996</v>
          </cell>
          <cell r="P104">
            <v>862.16834374999985</v>
          </cell>
          <cell r="Q104">
            <v>28000</v>
          </cell>
          <cell r="R104">
            <v>280000</v>
          </cell>
          <cell r="S104">
            <v>259.68894952251026</v>
          </cell>
          <cell r="T104">
            <v>290</v>
          </cell>
          <cell r="U104">
            <v>190.25</v>
          </cell>
          <cell r="V104">
            <v>340.8047619047619</v>
          </cell>
          <cell r="W104">
            <v>282</v>
          </cell>
          <cell r="X104">
            <v>235.14761904761906</v>
          </cell>
          <cell r="Y104">
            <v>95176.000000000015</v>
          </cell>
          <cell r="Z104">
            <v>106285</v>
          </cell>
          <cell r="AA104">
            <v>69726.625</v>
          </cell>
          <cell r="AB104">
            <v>124904.94523809524</v>
          </cell>
          <cell r="AC104">
            <v>103353</v>
          </cell>
          <cell r="AD104">
            <v>86181.60238095239</v>
          </cell>
          <cell r="AE104">
            <v>97604.528769841272</v>
          </cell>
          <cell r="AF104">
            <v>336294</v>
          </cell>
          <cell r="AG104">
            <v>169360</v>
          </cell>
          <cell r="AH104">
            <v>643570</v>
          </cell>
          <cell r="AI104">
            <v>216.46</v>
          </cell>
          <cell r="AJ104">
            <v>162.19999999999999</v>
          </cell>
          <cell r="AK104">
            <v>142.35</v>
          </cell>
          <cell r="AL104">
            <v>132.31</v>
          </cell>
          <cell r="AM104">
            <v>174.82500000000002</v>
          </cell>
          <cell r="AN104">
            <v>876.8</v>
          </cell>
          <cell r="AO104">
            <v>287.83</v>
          </cell>
          <cell r="AP104">
            <v>582.31499999999994</v>
          </cell>
          <cell r="AQ104">
            <v>246.13</v>
          </cell>
          <cell r="AR104">
            <v>308.67</v>
          </cell>
          <cell r="AS104">
            <v>268.39999999999998</v>
          </cell>
          <cell r="AT104">
            <v>609.24</v>
          </cell>
          <cell r="AU104">
            <v>395.43666666666667</v>
          </cell>
          <cell r="AV104">
            <v>257.10000000000002</v>
          </cell>
          <cell r="AW104">
            <v>213.18</v>
          </cell>
          <cell r="AX104">
            <v>154.03</v>
          </cell>
          <cell r="AY104">
            <v>439.32</v>
          </cell>
          <cell r="AZ104">
            <v>167.9</v>
          </cell>
          <cell r="BA104">
            <v>110.29</v>
          </cell>
          <cell r="BB104">
            <v>217.88499999999999</v>
          </cell>
          <cell r="BC104">
            <v>15636</v>
          </cell>
          <cell r="BD104">
            <v>10797</v>
          </cell>
          <cell r="BE104">
            <v>10684.781097984711</v>
          </cell>
          <cell r="BF104">
            <v>6963.4254093761492</v>
          </cell>
          <cell r="BG104">
            <v>11020.301626840215</v>
          </cell>
          <cell r="BH104">
            <v>633.33000000000004</v>
          </cell>
          <cell r="BI104">
            <v>233</v>
          </cell>
          <cell r="BJ104">
            <v>866.33</v>
          </cell>
          <cell r="BK104">
            <v>981.06799999999998</v>
          </cell>
          <cell r="BL104">
            <v>1180.8399999999999</v>
          </cell>
          <cell r="BM104">
            <v>1080.954</v>
          </cell>
          <cell r="BN104">
            <v>150.01</v>
          </cell>
          <cell r="BO104">
            <v>915.2</v>
          </cell>
          <cell r="BP104">
            <v>681.78933901918981</v>
          </cell>
          <cell r="BQ104">
            <v>891.85893390191904</v>
          </cell>
          <cell r="BR104">
            <v>675.05799999999999</v>
          </cell>
          <cell r="BS104">
            <v>2100</v>
          </cell>
          <cell r="BT104">
            <v>370.16500000000002</v>
          </cell>
          <cell r="BU104">
            <v>26310.494999999999</v>
          </cell>
          <cell r="BV104">
            <v>715</v>
          </cell>
          <cell r="BW104">
            <v>1450</v>
          </cell>
          <cell r="BY104">
            <v>4568.854852039557</v>
          </cell>
          <cell r="BZ104">
            <v>3758.8346418695623</v>
          </cell>
          <cell r="CA104">
            <v>4121.8371743307234</v>
          </cell>
          <cell r="CB104">
            <v>3572.7373884329736</v>
          </cell>
          <cell r="CC104">
            <v>3734.113971734665</v>
          </cell>
          <cell r="CD104">
            <v>3925.9343271150315</v>
          </cell>
          <cell r="CE104">
            <v>4239.8348207445615</v>
          </cell>
          <cell r="CF104">
            <v>4036.7433911685866</v>
          </cell>
          <cell r="CG104">
            <v>3938.5335122544238</v>
          </cell>
          <cell r="CH104">
            <v>4390.1794444812858</v>
          </cell>
          <cell r="CI104">
            <v>4525.7685946073752</v>
          </cell>
          <cell r="CJ104">
            <v>3749.4023621331294</v>
          </cell>
          <cell r="CK104">
            <v>3939.7086133528483</v>
          </cell>
          <cell r="CL104">
            <v>4909.8037260837991</v>
          </cell>
          <cell r="CM104">
            <v>3401.1141065234397</v>
          </cell>
          <cell r="CN104">
            <v>3432.7888430564881</v>
          </cell>
          <cell r="CO104">
            <v>3920.8538222541438</v>
          </cell>
          <cell r="CP104">
            <v>4423.6265691587359</v>
          </cell>
          <cell r="CQ104">
            <v>3944.2515332189628</v>
          </cell>
          <cell r="CR104">
            <v>3583.6338590932241</v>
          </cell>
          <cell r="CS104">
            <v>3763.9426961560935</v>
          </cell>
          <cell r="CT104">
            <v>3528.8225773535914</v>
          </cell>
          <cell r="CU104">
            <v>3836.0270658207746</v>
          </cell>
          <cell r="CV104">
            <v>3774.8115887157965</v>
          </cell>
          <cell r="CW104">
            <v>3774.8115887157965</v>
          </cell>
          <cell r="CX104">
            <v>3795.2167477507887</v>
          </cell>
          <cell r="CY104">
            <v>3578.6702016509212</v>
          </cell>
          <cell r="CZ104">
            <v>4485.0919898514776</v>
          </cell>
          <cell r="DA104">
            <v>3616.4684063569853</v>
          </cell>
          <cell r="DB104">
            <v>3945.0158139341893</v>
          </cell>
          <cell r="DC104">
            <v>3527.7285723548275</v>
          </cell>
          <cell r="DD104">
            <v>3484.9613474693938</v>
          </cell>
          <cell r="DE104">
            <v>3009.477579786731</v>
          </cell>
          <cell r="DF104">
            <v>3560.4619982712775</v>
          </cell>
          <cell r="DG104">
            <v>3284.9697890290045</v>
          </cell>
          <cell r="DH104">
            <v>3691.7447600309797</v>
          </cell>
          <cell r="DI104">
            <v>3560.2119065162697</v>
          </cell>
          <cell r="DK104">
            <v>650000</v>
          </cell>
          <cell r="DL104" t="str">
            <v>2023-24</v>
          </cell>
          <cell r="DM104">
            <v>200000</v>
          </cell>
          <cell r="DN104" t="str">
            <v>2023-24</v>
          </cell>
          <cell r="DO104">
            <v>1600000</v>
          </cell>
          <cell r="DP104" t="str">
            <v>2023-24</v>
          </cell>
          <cell r="DQ104">
            <v>2150000</v>
          </cell>
          <cell r="DR104" t="str">
            <v>2023-24</v>
          </cell>
          <cell r="DS104">
            <v>7100000</v>
          </cell>
          <cell r="DT104" t="str">
            <v>2023-24</v>
          </cell>
          <cell r="DU104">
            <v>16600000</v>
          </cell>
          <cell r="DV104" t="str">
            <v>2023-24</v>
          </cell>
          <cell r="DW104">
            <v>750000</v>
          </cell>
          <cell r="DX104" t="str">
            <v>2023-24</v>
          </cell>
          <cell r="DY104">
            <v>5600000</v>
          </cell>
          <cell r="DZ104" t="str">
            <v>2023-24</v>
          </cell>
          <cell r="EA104">
            <v>33800000</v>
          </cell>
          <cell r="EB104">
            <v>416490</v>
          </cell>
          <cell r="EC104" t="str">
            <v>2023-24</v>
          </cell>
          <cell r="ED104">
            <v>222162</v>
          </cell>
          <cell r="EE104">
            <v>2023</v>
          </cell>
          <cell r="EF104">
            <v>204847</v>
          </cell>
          <cell r="EG104">
            <v>2023</v>
          </cell>
          <cell r="EH104">
            <v>54242595</v>
          </cell>
          <cell r="EI104">
            <v>2023</v>
          </cell>
          <cell r="EJ104">
            <v>5887401</v>
          </cell>
          <cell r="EK104">
            <v>2023</v>
          </cell>
          <cell r="EL104">
            <v>12461845</v>
          </cell>
          <cell r="EM104">
            <v>2022</v>
          </cell>
          <cell r="EN104">
            <v>3169981</v>
          </cell>
          <cell r="EO104">
            <v>2021</v>
          </cell>
          <cell r="EP104">
            <v>9375</v>
          </cell>
          <cell r="EQ104">
            <v>3500000</v>
          </cell>
          <cell r="ER104">
            <v>79916</v>
          </cell>
          <cell r="ET104">
            <v>20677</v>
          </cell>
          <cell r="EU104">
            <v>19532</v>
          </cell>
          <cell r="EV104">
            <v>9103</v>
          </cell>
          <cell r="EW104">
            <v>17281</v>
          </cell>
          <cell r="EX104">
            <v>66593</v>
          </cell>
          <cell r="EY104">
            <v>20193</v>
          </cell>
          <cell r="EZ104">
            <v>32682</v>
          </cell>
          <cell r="FA104">
            <v>19526</v>
          </cell>
          <cell r="FB104">
            <v>19463</v>
          </cell>
          <cell r="FC104">
            <v>38989</v>
          </cell>
          <cell r="FD104">
            <v>54743</v>
          </cell>
          <cell r="FF104">
            <v>900000</v>
          </cell>
          <cell r="FG104" t="str">
            <v>2022-23</v>
          </cell>
          <cell r="FH104">
            <v>1200000</v>
          </cell>
          <cell r="FI104" t="str">
            <v>2022-23</v>
          </cell>
          <cell r="FJ104">
            <v>5600000</v>
          </cell>
          <cell r="FK104" t="str">
            <v>2023-24</v>
          </cell>
          <cell r="FL104">
            <v>5000000</v>
          </cell>
          <cell r="FM104" t="str">
            <v>2022-23</v>
          </cell>
          <cell r="FN104">
            <v>55000000</v>
          </cell>
          <cell r="FO104" t="str">
            <v>2023-24</v>
          </cell>
          <cell r="FP104">
            <v>25000000</v>
          </cell>
          <cell r="FQ104" t="str">
            <v>2022-23</v>
          </cell>
          <cell r="FR104">
            <v>1600000</v>
          </cell>
          <cell r="FS104" t="str">
            <v>2022-23</v>
          </cell>
          <cell r="FT104">
            <v>15500000</v>
          </cell>
          <cell r="FU104" t="str">
            <v>2023-24</v>
          </cell>
          <cell r="FV104">
            <v>107700000</v>
          </cell>
          <cell r="FW104">
            <v>940426</v>
          </cell>
          <cell r="FX104" t="str">
            <v>2022-23</v>
          </cell>
          <cell r="FY104">
            <v>6.5</v>
          </cell>
          <cell r="FZ104">
            <v>752161.76899999997</v>
          </cell>
          <cell r="GA104" t="str">
            <v>dic22 nov23</v>
          </cell>
          <cell r="GB104">
            <v>14553117</v>
          </cell>
          <cell r="GC104">
            <v>2023</v>
          </cell>
          <cell r="GD104">
            <v>2315000</v>
          </cell>
          <cell r="GE104">
            <v>377000</v>
          </cell>
          <cell r="GF104">
            <v>1061000</v>
          </cell>
          <cell r="GG104">
            <v>127000</v>
          </cell>
          <cell r="GH104">
            <v>1565000</v>
          </cell>
          <cell r="GI104">
            <v>1302556</v>
          </cell>
          <cell r="GJ104">
            <v>687701</v>
          </cell>
          <cell r="GK104">
            <v>1430078.41</v>
          </cell>
          <cell r="GL104">
            <v>302535.34000000003</v>
          </cell>
          <cell r="GM104">
            <v>257597.81</v>
          </cell>
          <cell r="GN104">
            <v>2677912.56</v>
          </cell>
          <cell r="GO104">
            <v>202394.36</v>
          </cell>
          <cell r="GP104">
            <v>73395</v>
          </cell>
          <cell r="GQ104">
            <v>57195</v>
          </cell>
          <cell r="GR104">
            <v>35181</v>
          </cell>
          <cell r="GS104">
            <v>36896.85</v>
          </cell>
          <cell r="GT104">
            <v>2365997</v>
          </cell>
          <cell r="GU104">
            <v>18034</v>
          </cell>
          <cell r="GV104">
            <v>26268</v>
          </cell>
          <cell r="GW104">
            <v>778160</v>
          </cell>
          <cell r="GX104">
            <v>33126.813000000002</v>
          </cell>
          <cell r="GY104" t="str">
            <v>2022-2023</v>
          </cell>
          <cell r="GZ104">
            <v>87408</v>
          </cell>
          <cell r="HA104">
            <v>283354</v>
          </cell>
          <cell r="HB104">
            <v>3303140</v>
          </cell>
          <cell r="HC104" t="str">
            <v>dic22 nov23</v>
          </cell>
          <cell r="HD104">
            <v>64252</v>
          </cell>
          <cell r="HE104">
            <v>761305</v>
          </cell>
          <cell r="HF104" t="str">
            <v>dic22 nov23</v>
          </cell>
          <cell r="HG104">
            <v>194000</v>
          </cell>
          <cell r="HH104">
            <v>2293000</v>
          </cell>
          <cell r="HI104" t="str">
            <v>dic22 nov23</v>
          </cell>
          <cell r="HJ104">
            <v>90101</v>
          </cell>
          <cell r="HK104">
            <v>68191.740000000005</v>
          </cell>
          <cell r="HL104" t="str">
            <v>dic22 nov23</v>
          </cell>
          <cell r="HM104">
            <v>2361191.7400000002</v>
          </cell>
          <cell r="HN104">
            <v>-4.3594646271510551E-2</v>
          </cell>
          <cell r="HO104">
            <v>1000400000</v>
          </cell>
          <cell r="HP104">
            <v>11399.683332000001</v>
          </cell>
          <cell r="HQ104" t="str">
            <v>dic22 nov23</v>
          </cell>
          <cell r="HU104">
            <v>700000</v>
          </cell>
          <cell r="HV104" t="str">
            <v>2022-23</v>
          </cell>
          <cell r="HW104">
            <v>1500000</v>
          </cell>
          <cell r="HX104" t="str">
            <v>2023-24</v>
          </cell>
          <cell r="HY104">
            <v>4300000</v>
          </cell>
          <cell r="HZ104" t="str">
            <v>2022-23</v>
          </cell>
          <cell r="IA104">
            <v>21000000</v>
          </cell>
          <cell r="IB104" t="str">
            <v>2022-23</v>
          </cell>
          <cell r="IC104">
            <v>38500000</v>
          </cell>
          <cell r="ID104" t="str">
            <v>2022-23</v>
          </cell>
          <cell r="IE104">
            <v>750000</v>
          </cell>
          <cell r="IF104" t="str">
            <v>2022-23</v>
          </cell>
          <cell r="IG104">
            <v>7400000</v>
          </cell>
          <cell r="IH104" t="str">
            <v>2023-24</v>
          </cell>
          <cell r="II104">
            <v>73450000</v>
          </cell>
          <cell r="IJ104">
            <v>1.991933187973949</v>
          </cell>
          <cell r="IK104" t="str">
            <v>2022-23</v>
          </cell>
          <cell r="IL104">
            <v>46.03</v>
          </cell>
          <cell r="IM104">
            <v>51.3</v>
          </cell>
          <cell r="IN104">
            <v>196.8</v>
          </cell>
          <cell r="IO104">
            <v>16.75</v>
          </cell>
          <cell r="IP104">
            <v>6.1504299104893345</v>
          </cell>
          <cell r="IQ104">
            <v>16.7</v>
          </cell>
          <cell r="IR104">
            <v>6.92</v>
          </cell>
          <cell r="IS104">
            <v>4.57</v>
          </cell>
          <cell r="IT104">
            <v>13.61</v>
          </cell>
          <cell r="IU104">
            <v>1.56</v>
          </cell>
          <cell r="IV104">
            <v>19.739999999999998</v>
          </cell>
          <cell r="IY104">
            <v>1.88</v>
          </cell>
          <cell r="IZ104">
            <v>0.3</v>
          </cell>
          <cell r="JA104">
            <v>2813</v>
          </cell>
          <cell r="JF104">
            <v>15.019774559999998</v>
          </cell>
          <cell r="JG104">
            <v>16.180063639999997</v>
          </cell>
          <cell r="JH104">
            <v>88.632958180000003</v>
          </cell>
          <cell r="JI104">
            <v>137.55607605</v>
          </cell>
          <cell r="JJ104">
            <v>365.44781301000006</v>
          </cell>
          <cell r="JK104">
            <v>96.183340330000021</v>
          </cell>
          <cell r="JL104">
            <v>1768.4178617100001</v>
          </cell>
          <cell r="JM104">
            <v>10.5025</v>
          </cell>
          <cell r="JN104">
            <v>71.37895859999999</v>
          </cell>
          <cell r="JO104">
            <v>22.013274209999999</v>
          </cell>
          <cell r="JP104">
            <v>0</v>
          </cell>
          <cell r="JQ104">
            <v>1.8026764400000002</v>
          </cell>
          <cell r="JR104">
            <v>1.91385483</v>
          </cell>
          <cell r="JS104">
            <v>0</v>
          </cell>
          <cell r="JT104">
            <v>5.2676000000000001E-2</v>
          </cell>
          <cell r="JU104">
            <v>76.246675170000003</v>
          </cell>
          <cell r="JV104">
            <v>6.0435801600000003</v>
          </cell>
          <cell r="JW104">
            <v>9.5758461100000005</v>
          </cell>
          <cell r="JX104">
            <v>11.925228279999999</v>
          </cell>
          <cell r="JY104">
            <v>0</v>
          </cell>
          <cell r="JZ104">
            <v>7.5427843799999996</v>
          </cell>
          <cell r="KA104">
            <v>0.34250000000000003</v>
          </cell>
          <cell r="KB104">
            <v>26.00374025</v>
          </cell>
          <cell r="KC104">
            <v>36.8257318</v>
          </cell>
          <cell r="KD104">
            <v>8.6156523299999996</v>
          </cell>
          <cell r="KE104">
            <v>13.943876809999997</v>
          </cell>
          <cell r="KF104">
            <v>30.603465830000005</v>
          </cell>
          <cell r="KG104">
            <v>321.39038838999994</v>
          </cell>
          <cell r="KH104">
            <v>136.81239812999999</v>
          </cell>
          <cell r="KI104">
            <v>13.412348609999999</v>
          </cell>
          <cell r="KJ104">
            <v>1.3743196699999998</v>
          </cell>
          <cell r="KK104">
            <v>6.9479693099999986</v>
          </cell>
          <cell r="KL104">
            <v>3.3462720000000001E-2</v>
          </cell>
          <cell r="KM104">
            <v>0.14247557</v>
          </cell>
          <cell r="KN104">
            <v>0.10491911000000001</v>
          </cell>
          <cell r="KO104">
            <v>23.661512440000003</v>
          </cell>
          <cell r="KP104">
            <v>0.11713932000000001</v>
          </cell>
          <cell r="KQ104">
            <v>236.51797877000001</v>
          </cell>
          <cell r="KR104">
            <v>0.18231122999999999</v>
          </cell>
          <cell r="KS104">
            <v>0.15912052999999998</v>
          </cell>
          <cell r="KT104">
            <v>2.7337765599999999</v>
          </cell>
          <cell r="KU104">
            <v>0.39667624000000001</v>
          </cell>
          <cell r="KV104">
            <v>0</v>
          </cell>
          <cell r="KW104">
            <v>1.9475411499999997</v>
          </cell>
          <cell r="KX104">
            <v>0</v>
          </cell>
          <cell r="KY104">
            <v>1.559984E-2</v>
          </cell>
          <cell r="KZ104">
            <v>1.2280305999999999</v>
          </cell>
          <cell r="LA104">
            <v>0.99056763999999997</v>
          </cell>
          <cell r="LB104">
            <v>2.7972E-2</v>
          </cell>
          <cell r="LC104">
            <v>9.1006570000000009E-2</v>
          </cell>
          <cell r="LD104">
            <v>0</v>
          </cell>
          <cell r="LE104">
            <v>1.8223369999999999E-2</v>
          </cell>
          <cell r="LF104">
            <v>0</v>
          </cell>
          <cell r="LG104">
            <v>12.114691449999999</v>
          </cell>
          <cell r="LH104">
            <v>4.9563280900000004</v>
          </cell>
          <cell r="LI104">
            <v>2.4189343299999999</v>
          </cell>
          <cell r="LJ104">
            <v>0</v>
          </cell>
          <cell r="LK104">
            <v>4.3280037599999996</v>
          </cell>
          <cell r="LL104">
            <v>3.5927978000000009</v>
          </cell>
          <cell r="LM104">
            <v>2.1288867499999999</v>
          </cell>
          <cell r="LN104">
            <v>0.74167351000000015</v>
          </cell>
          <cell r="LO104">
            <v>1.8536983500000002</v>
          </cell>
          <cell r="LQ104">
            <v>2441.9361675499999</v>
          </cell>
          <cell r="LR104">
            <v>3.7692072699999999</v>
          </cell>
          <cell r="LS104">
            <v>15.619426270000002</v>
          </cell>
          <cell r="LT104">
            <v>7.8852843799999999</v>
          </cell>
          <cell r="LU104">
            <v>260.76831764999997</v>
          </cell>
          <cell r="LV104">
            <v>1.9631409899999996</v>
          </cell>
          <cell r="LW104">
            <v>1.01853964</v>
          </cell>
          <cell r="LX104">
            <v>1.8223369999999999E-2</v>
          </cell>
          <cell r="LZ104">
            <v>622.87</v>
          </cell>
          <cell r="MA104">
            <v>1020.69</v>
          </cell>
          <cell r="MH104">
            <v>1244.72</v>
          </cell>
          <cell r="MI104">
            <v>323.26</v>
          </cell>
          <cell r="MJ104">
            <v>621.42999999999995</v>
          </cell>
          <cell r="ML104">
            <v>349.77</v>
          </cell>
          <cell r="MM104">
            <v>1187.8399999999999</v>
          </cell>
          <cell r="MO104">
            <v>279.55</v>
          </cell>
          <cell r="MP104">
            <v>906.93</v>
          </cell>
          <cell r="MQ104">
            <v>1066.79</v>
          </cell>
          <cell r="MU104">
            <v>505.71</v>
          </cell>
          <cell r="MY104">
            <v>1069.27</v>
          </cell>
          <cell r="MZ104">
            <v>2067</v>
          </cell>
          <cell r="NA104">
            <v>1190</v>
          </cell>
          <cell r="NB104">
            <v>3475</v>
          </cell>
          <cell r="NC104">
            <v>457.1</v>
          </cell>
          <cell r="ND104">
            <v>5250</v>
          </cell>
          <cell r="NE104">
            <v>2442</v>
          </cell>
        </row>
        <row r="105">
          <cell r="A105">
            <v>45261</v>
          </cell>
          <cell r="B105">
            <v>12</v>
          </cell>
          <cell r="C105">
            <v>2023</v>
          </cell>
          <cell r="D105">
            <v>105</v>
          </cell>
          <cell r="E105">
            <v>45261</v>
          </cell>
          <cell r="F105">
            <v>806.75</v>
          </cell>
          <cell r="G105">
            <v>3533.1922</v>
          </cell>
          <cell r="H105">
            <v>294729.26</v>
          </cell>
          <cell r="I105">
            <v>99</v>
          </cell>
          <cell r="J105">
            <v>890</v>
          </cell>
          <cell r="K105">
            <v>7.8</v>
          </cell>
          <cell r="L105">
            <v>23.9</v>
          </cell>
          <cell r="N105">
            <v>2.2466666666666666</v>
          </cell>
          <cell r="O105">
            <v>1.9366666666666668</v>
          </cell>
          <cell r="P105">
            <v>1603.0794791666667</v>
          </cell>
          <cell r="Q105">
            <v>36000</v>
          </cell>
          <cell r="R105">
            <v>360000</v>
          </cell>
          <cell r="S105">
            <v>181.5</v>
          </cell>
          <cell r="T105">
            <v>251.62689804772234</v>
          </cell>
          <cell r="U105">
            <v>186.32</v>
          </cell>
          <cell r="V105">
            <v>313.92000000000007</v>
          </cell>
          <cell r="W105">
            <v>281</v>
          </cell>
          <cell r="X105">
            <v>223.90666666666669</v>
          </cell>
          <cell r="Y105">
            <v>146425.125</v>
          </cell>
          <cell r="Z105">
            <v>203000</v>
          </cell>
          <cell r="AA105">
            <v>150313.66</v>
          </cell>
          <cell r="AB105">
            <v>253254.96000000005</v>
          </cell>
          <cell r="AC105">
            <v>226696.75</v>
          </cell>
          <cell r="AD105">
            <v>180636.70333333337</v>
          </cell>
          <cell r="AE105">
            <v>193387.86638888888</v>
          </cell>
          <cell r="AF105">
            <v>434893</v>
          </cell>
          <cell r="AG105">
            <v>210000</v>
          </cell>
          <cell r="AH105">
            <v>798000</v>
          </cell>
          <cell r="AI105">
            <v>247.58</v>
          </cell>
          <cell r="AJ105">
            <v>181.24</v>
          </cell>
          <cell r="AK105">
            <v>164.99</v>
          </cell>
          <cell r="AL105">
            <v>147.77000000000001</v>
          </cell>
          <cell r="AM105">
            <v>199.49860000000001</v>
          </cell>
          <cell r="AN105">
            <v>941.58</v>
          </cell>
          <cell r="AO105">
            <v>484.06</v>
          </cell>
          <cell r="AP105">
            <v>712.82</v>
          </cell>
          <cell r="AQ105">
            <v>484.51</v>
          </cell>
          <cell r="AR105">
            <v>412.58</v>
          </cell>
          <cell r="AS105">
            <v>370.7</v>
          </cell>
          <cell r="AT105">
            <v>653.51</v>
          </cell>
          <cell r="AU105">
            <v>478.93</v>
          </cell>
          <cell r="AV105">
            <v>354.77</v>
          </cell>
          <cell r="AW105">
            <v>234.34</v>
          </cell>
          <cell r="AX105">
            <v>197.37</v>
          </cell>
          <cell r="AY105">
            <v>395.47</v>
          </cell>
          <cell r="AZ105">
            <v>371.11</v>
          </cell>
          <cell r="BA105">
            <v>159.82</v>
          </cell>
          <cell r="BB105">
            <v>280.9425</v>
          </cell>
          <cell r="BC105">
            <v>19981</v>
          </cell>
          <cell r="BD105">
            <v>13496.25</v>
          </cell>
          <cell r="BE105">
            <v>13500</v>
          </cell>
          <cell r="BF105">
            <v>11000</v>
          </cell>
          <cell r="BG105">
            <v>14494.3125</v>
          </cell>
          <cell r="BH105">
            <v>1400</v>
          </cell>
          <cell r="BI105">
            <v>0</v>
          </cell>
          <cell r="BJ105">
            <v>1400</v>
          </cell>
          <cell r="BK105">
            <v>1426.2280000000001</v>
          </cell>
          <cell r="BL105">
            <v>2046.28</v>
          </cell>
          <cell r="BM105">
            <v>1736.2539999999999</v>
          </cell>
          <cell r="BN105">
            <v>193.65</v>
          </cell>
          <cell r="BO105">
            <v>1019</v>
          </cell>
          <cell r="BP105">
            <v>839.7</v>
          </cell>
          <cell r="BQ105">
            <v>1001.07</v>
          </cell>
          <cell r="BR105">
            <v>932.35</v>
          </cell>
          <cell r="BS105">
            <v>3000</v>
          </cell>
          <cell r="BT105">
            <v>830.95249999999999</v>
          </cell>
          <cell r="BU105">
            <v>38492.857499999998</v>
          </cell>
          <cell r="BV105">
            <v>1031</v>
          </cell>
          <cell r="BW105">
            <v>1450</v>
          </cell>
          <cell r="BY105">
            <v>8543.9610084435772</v>
          </cell>
          <cell r="BZ105">
            <v>7068.3326657494517</v>
          </cell>
          <cell r="CA105">
            <v>7646.1739116571653</v>
          </cell>
          <cell r="CB105">
            <v>6782.8758310038193</v>
          </cell>
          <cell r="CC105">
            <v>7285.4456878777564</v>
          </cell>
          <cell r="CD105">
            <v>7775.2771268288625</v>
          </cell>
          <cell r="CE105">
            <v>8368.3532791346443</v>
          </cell>
          <cell r="CF105">
            <v>7983.2568628916706</v>
          </cell>
          <cell r="CG105">
            <v>7640.230449898987</v>
          </cell>
          <cell r="CH105">
            <v>7331.4438171353841</v>
          </cell>
          <cell r="CI105">
            <v>8079.6751149753563</v>
          </cell>
          <cell r="CJ105">
            <v>5324.4478082152382</v>
          </cell>
          <cell r="CK105">
            <v>6615.9429776921115</v>
          </cell>
          <cell r="CL105">
            <v>7183.5041571462116</v>
          </cell>
          <cell r="CM105">
            <v>5669.0558786549682</v>
          </cell>
          <cell r="CN105">
            <v>5134.013661914295</v>
          </cell>
          <cell r="CO105">
            <v>6150.6291688518959</v>
          </cell>
          <cell r="CP105">
            <v>6601.0168531473737</v>
          </cell>
          <cell r="CQ105">
            <v>5817.1231433603552</v>
          </cell>
          <cell r="CR105">
            <v>5694.6902265725994</v>
          </cell>
          <cell r="CS105">
            <v>5755.9066849664778</v>
          </cell>
          <cell r="CT105">
            <v>5899.8638390620517</v>
          </cell>
          <cell r="CU105">
            <v>6397.4264498568655</v>
          </cell>
          <cell r="CV105">
            <v>6331.5991214354153</v>
          </cell>
          <cell r="CW105">
            <v>6331.5991214354153</v>
          </cell>
          <cell r="CX105">
            <v>6353.5415642425651</v>
          </cell>
          <cell r="CY105">
            <v>4824.5436152526036</v>
          </cell>
          <cell r="CZ105">
            <v>6863.1838706389999</v>
          </cell>
          <cell r="DA105">
            <v>5333.831908053392</v>
          </cell>
          <cell r="DB105">
            <v>6597.8469598284501</v>
          </cell>
          <cell r="DC105">
            <v>6723.0911272649091</v>
          </cell>
          <cell r="DD105">
            <v>6612.2653520391668</v>
          </cell>
          <cell r="DE105">
            <v>5775.9543865970227</v>
          </cell>
          <cell r="DF105">
            <v>6943.6133419551606</v>
          </cell>
          <cell r="DG105">
            <v>6359.7838642760917</v>
          </cell>
          <cell r="DH105">
            <v>5659.494088300411</v>
          </cell>
          <cell r="DI105">
            <v>4991.4901768781792</v>
          </cell>
          <cell r="DK105">
            <v>650000</v>
          </cell>
          <cell r="DL105" t="str">
            <v>2023-24</v>
          </cell>
          <cell r="DM105">
            <v>200000</v>
          </cell>
          <cell r="DN105" t="str">
            <v>2023-24</v>
          </cell>
          <cell r="DO105">
            <v>1530000</v>
          </cell>
          <cell r="DP105" t="str">
            <v>2023-24</v>
          </cell>
          <cell r="DQ105">
            <v>2060000</v>
          </cell>
          <cell r="DR105" t="str">
            <v>2023-24</v>
          </cell>
          <cell r="DS105">
            <v>7100000</v>
          </cell>
          <cell r="DT105" t="str">
            <v>2023-24</v>
          </cell>
          <cell r="DU105">
            <v>16700000</v>
          </cell>
          <cell r="DV105" t="str">
            <v>2023-24</v>
          </cell>
          <cell r="DW105">
            <v>760000</v>
          </cell>
          <cell r="DX105" t="str">
            <v>2023-24</v>
          </cell>
          <cell r="DY105">
            <v>5700000</v>
          </cell>
          <cell r="DZ105" t="str">
            <v>2023-24</v>
          </cell>
          <cell r="EA105">
            <v>33850000</v>
          </cell>
          <cell r="EB105">
            <v>416490</v>
          </cell>
          <cell r="EC105" t="str">
            <v>2023-24</v>
          </cell>
          <cell r="ED105">
            <v>222162</v>
          </cell>
          <cell r="EE105">
            <v>2023</v>
          </cell>
          <cell r="EF105">
            <v>204847</v>
          </cell>
          <cell r="EG105">
            <v>2023</v>
          </cell>
          <cell r="EH105">
            <v>54242595</v>
          </cell>
          <cell r="EI105">
            <v>2023</v>
          </cell>
          <cell r="EJ105">
            <v>5887401</v>
          </cell>
          <cell r="EK105">
            <v>2023</v>
          </cell>
          <cell r="EL105">
            <v>12461845</v>
          </cell>
          <cell r="EM105">
            <v>2022</v>
          </cell>
          <cell r="EN105">
            <v>3169981</v>
          </cell>
          <cell r="EO105">
            <v>2021</v>
          </cell>
          <cell r="EP105">
            <v>9356</v>
          </cell>
          <cell r="EQ105">
            <v>3500000</v>
          </cell>
          <cell r="ER105">
            <v>79916</v>
          </cell>
          <cell r="ET105">
            <v>20677</v>
          </cell>
          <cell r="EU105">
            <v>19532</v>
          </cell>
          <cell r="EV105">
            <v>9103</v>
          </cell>
          <cell r="EW105">
            <v>17281</v>
          </cell>
          <cell r="EX105">
            <v>66593</v>
          </cell>
          <cell r="EY105">
            <v>20193</v>
          </cell>
          <cell r="EZ105">
            <v>32682</v>
          </cell>
          <cell r="FA105">
            <v>19526</v>
          </cell>
          <cell r="FB105">
            <v>19463</v>
          </cell>
          <cell r="FC105">
            <v>38989</v>
          </cell>
          <cell r="FD105">
            <v>54743</v>
          </cell>
          <cell r="FF105">
            <v>900000</v>
          </cell>
          <cell r="FG105" t="str">
            <v>2022-23</v>
          </cell>
          <cell r="FH105">
            <v>1200000</v>
          </cell>
          <cell r="FI105" t="str">
            <v>2022-23</v>
          </cell>
          <cell r="FJ105">
            <v>5570000</v>
          </cell>
          <cell r="FK105" t="str">
            <v>2023-24</v>
          </cell>
          <cell r="FL105">
            <v>5000000</v>
          </cell>
          <cell r="FM105" t="str">
            <v>2022-23</v>
          </cell>
          <cell r="FN105">
            <v>55000000</v>
          </cell>
          <cell r="FO105" t="str">
            <v>2023-24</v>
          </cell>
          <cell r="FP105">
            <v>25000000</v>
          </cell>
          <cell r="FQ105" t="str">
            <v>2022-23</v>
          </cell>
          <cell r="FR105">
            <v>1600000</v>
          </cell>
          <cell r="FS105" t="str">
            <v>2022-23</v>
          </cell>
          <cell r="FT105">
            <v>15500000</v>
          </cell>
          <cell r="FU105" t="str">
            <v>2023-24</v>
          </cell>
          <cell r="FV105">
            <v>107670000</v>
          </cell>
          <cell r="FW105">
            <v>940426</v>
          </cell>
          <cell r="FX105" t="str">
            <v>2022-23</v>
          </cell>
          <cell r="FY105">
            <v>39045</v>
          </cell>
          <cell r="FZ105">
            <v>774165.98200000008</v>
          </cell>
          <cell r="GA105" t="str">
            <v>ene23 dic23</v>
          </cell>
          <cell r="GB105">
            <v>14553117</v>
          </cell>
          <cell r="GC105">
            <v>2023</v>
          </cell>
          <cell r="GD105">
            <v>2315000</v>
          </cell>
          <cell r="GE105">
            <v>377000</v>
          </cell>
          <cell r="GF105">
            <v>1061000</v>
          </cell>
          <cell r="GG105">
            <v>127000</v>
          </cell>
          <cell r="GH105">
            <v>1565000</v>
          </cell>
          <cell r="GI105">
            <v>1302556</v>
          </cell>
          <cell r="GJ105">
            <v>687701</v>
          </cell>
          <cell r="GK105">
            <v>1430078.41</v>
          </cell>
          <cell r="GL105">
            <v>302535.34000000003</v>
          </cell>
          <cell r="GM105">
            <v>257597.81</v>
          </cell>
          <cell r="GN105">
            <v>2677912.56</v>
          </cell>
          <cell r="GO105">
            <v>202394.36</v>
          </cell>
          <cell r="GP105">
            <v>73395</v>
          </cell>
          <cell r="GQ105">
            <v>150162.75</v>
          </cell>
          <cell r="GR105">
            <v>35181</v>
          </cell>
          <cell r="GS105">
            <v>39685.8825</v>
          </cell>
          <cell r="GT105">
            <v>2365997</v>
          </cell>
          <cell r="GU105">
            <v>11805</v>
          </cell>
          <cell r="GV105">
            <v>26571</v>
          </cell>
          <cell r="GW105">
            <v>771397</v>
          </cell>
          <cell r="GX105">
            <v>33126.813000000002</v>
          </cell>
          <cell r="GY105" t="str">
            <v>2022-2023</v>
          </cell>
          <cell r="GZ105">
            <v>87408</v>
          </cell>
          <cell r="HA105">
            <v>245281</v>
          </cell>
          <cell r="HB105">
            <v>3270996</v>
          </cell>
          <cell r="HC105" t="str">
            <v>ene23 dic23</v>
          </cell>
          <cell r="HD105">
            <v>62354</v>
          </cell>
          <cell r="HE105">
            <v>762436</v>
          </cell>
          <cell r="HF105" t="str">
            <v>ene23 dic23</v>
          </cell>
          <cell r="HG105">
            <v>188000</v>
          </cell>
          <cell r="HH105">
            <v>2284000</v>
          </cell>
          <cell r="HI105" t="str">
            <v>ene23 dic23</v>
          </cell>
          <cell r="HJ105">
            <v>88530</v>
          </cell>
          <cell r="HK105">
            <v>67401.78</v>
          </cell>
          <cell r="HL105" t="str">
            <v>ene23 dic23</v>
          </cell>
          <cell r="HM105">
            <v>2351401.7799999998</v>
          </cell>
          <cell r="HN105">
            <v>-7.6699029126213625E-2</v>
          </cell>
          <cell r="HO105">
            <v>951000000</v>
          </cell>
          <cell r="HP105">
            <v>11320.683332000001</v>
          </cell>
          <cell r="HQ105" t="str">
            <v>ene23 dic23</v>
          </cell>
          <cell r="HU105">
            <v>700000</v>
          </cell>
          <cell r="HV105" t="str">
            <v>2022-23</v>
          </cell>
          <cell r="HW105">
            <v>1500000</v>
          </cell>
          <cell r="HX105" t="str">
            <v>2023-24</v>
          </cell>
          <cell r="HY105">
            <v>4300000</v>
          </cell>
          <cell r="HZ105" t="str">
            <v>2022-23</v>
          </cell>
          <cell r="IA105">
            <v>21000000</v>
          </cell>
          <cell r="IB105" t="str">
            <v>2022-23</v>
          </cell>
          <cell r="IC105">
            <v>38500000</v>
          </cell>
          <cell r="ID105" t="str">
            <v>2022-23</v>
          </cell>
          <cell r="IE105">
            <v>750000</v>
          </cell>
          <cell r="IF105" t="str">
            <v>2022-23</v>
          </cell>
          <cell r="IG105">
            <v>7400000</v>
          </cell>
          <cell r="IH105" t="str">
            <v>2023-24</v>
          </cell>
          <cell r="II105">
            <v>73450000</v>
          </cell>
          <cell r="IJ105">
            <v>1.991933187973949</v>
          </cell>
          <cell r="IK105" t="str">
            <v>2022-23</v>
          </cell>
          <cell r="IL105">
            <v>45.85</v>
          </cell>
          <cell r="IM105">
            <v>42.59</v>
          </cell>
          <cell r="IN105">
            <v>196.8</v>
          </cell>
          <cell r="IO105">
            <v>16.72</v>
          </cell>
          <cell r="IP105">
            <v>6.1504299104893345</v>
          </cell>
          <cell r="IQ105">
            <v>16.7</v>
          </cell>
          <cell r="IR105">
            <v>6.92</v>
          </cell>
          <cell r="IS105">
            <v>4.57</v>
          </cell>
          <cell r="IT105">
            <v>13.61</v>
          </cell>
          <cell r="IU105">
            <v>1.56</v>
          </cell>
          <cell r="IV105">
            <v>19.739999999999998</v>
          </cell>
          <cell r="IY105">
            <v>1.88</v>
          </cell>
          <cell r="IZ105">
            <v>0.3</v>
          </cell>
          <cell r="JA105">
            <v>2813</v>
          </cell>
          <cell r="JF105">
            <v>8.4463773399999997</v>
          </cell>
          <cell r="JG105">
            <v>15.82785018</v>
          </cell>
          <cell r="JH105">
            <v>52.283356619999999</v>
          </cell>
          <cell r="JI105">
            <v>116.40345418999999</v>
          </cell>
          <cell r="JJ105">
            <v>325.28621910999988</v>
          </cell>
          <cell r="JK105">
            <v>90.064767340000003</v>
          </cell>
          <cell r="JL105">
            <v>2077.0509025600004</v>
          </cell>
          <cell r="JM105">
            <v>1.4289939199999999</v>
          </cell>
          <cell r="JN105">
            <v>383.21689906</v>
          </cell>
          <cell r="JO105">
            <v>26.000694290000002</v>
          </cell>
          <cell r="JP105">
            <v>0</v>
          </cell>
          <cell r="JQ105">
            <v>2.1414712699999998</v>
          </cell>
          <cell r="JR105">
            <v>2.04962292</v>
          </cell>
          <cell r="JS105">
            <v>0</v>
          </cell>
          <cell r="JT105">
            <v>5.33888E-2</v>
          </cell>
          <cell r="JU105">
            <v>71.762443020000006</v>
          </cell>
          <cell r="JV105">
            <v>4.7040095199999996</v>
          </cell>
          <cell r="JW105">
            <v>7.0498702700000004</v>
          </cell>
          <cell r="JX105">
            <v>12.105150140000001</v>
          </cell>
          <cell r="JY105">
            <v>0</v>
          </cell>
          <cell r="JZ105">
            <v>3.4682140500000003</v>
          </cell>
          <cell r="KA105">
            <v>0.18</v>
          </cell>
          <cell r="KB105">
            <v>24.797754910000005</v>
          </cell>
          <cell r="KC105">
            <v>56.890802439999995</v>
          </cell>
          <cell r="KD105">
            <v>7.1224329199999996</v>
          </cell>
          <cell r="KE105">
            <v>12.805239539999999</v>
          </cell>
          <cell r="KF105">
            <v>35.210116300000003</v>
          </cell>
          <cell r="KG105">
            <v>325.97502911999987</v>
          </cell>
          <cell r="KH105">
            <v>153.04661877999999</v>
          </cell>
          <cell r="KI105">
            <v>15.83663735</v>
          </cell>
          <cell r="KJ105">
            <v>1.5576121499999998</v>
          </cell>
          <cell r="KK105">
            <v>3.5587731599999999</v>
          </cell>
          <cell r="KL105">
            <v>3.973985E-2</v>
          </cell>
          <cell r="KM105">
            <v>0.11384013000000001</v>
          </cell>
          <cell r="KN105">
            <v>1.7440000000000001E-4</v>
          </cell>
          <cell r="KO105">
            <v>16.080303620000002</v>
          </cell>
          <cell r="KP105">
            <v>0.24194792999999998</v>
          </cell>
          <cell r="KQ105">
            <v>285.68010467000005</v>
          </cell>
          <cell r="KR105">
            <v>2.1714290000000001E-2</v>
          </cell>
          <cell r="KS105">
            <v>2.4895050000000002E-2</v>
          </cell>
          <cell r="KT105">
            <v>2.1384397699999997</v>
          </cell>
          <cell r="KU105">
            <v>0.24099903000000003</v>
          </cell>
          <cell r="KV105">
            <v>3.4589599999999998E-2</v>
          </cell>
          <cell r="KW105">
            <v>1.3307838300000001</v>
          </cell>
          <cell r="KX105">
            <v>0</v>
          </cell>
          <cell r="KY105">
            <v>2.323414E-2</v>
          </cell>
          <cell r="KZ105">
            <v>1.01193058</v>
          </cell>
          <cell r="LA105">
            <v>0.22142464000000001</v>
          </cell>
          <cell r="LB105">
            <v>0</v>
          </cell>
          <cell r="LC105">
            <v>6.66268E-2</v>
          </cell>
          <cell r="LD105">
            <v>0</v>
          </cell>
          <cell r="LE105">
            <v>0.24456166000000001</v>
          </cell>
          <cell r="LF105">
            <v>0.129132</v>
          </cell>
          <cell r="LG105">
            <v>9.5859924200000002</v>
          </cell>
          <cell r="LH105">
            <v>2.2553329799999999</v>
          </cell>
          <cell r="LI105">
            <v>1.8796713600000001</v>
          </cell>
          <cell r="LJ105">
            <v>4.0599999999999997E-2</v>
          </cell>
          <cell r="LK105">
            <v>2.60999925</v>
          </cell>
          <cell r="LL105">
            <v>3.3410357400000001</v>
          </cell>
          <cell r="LM105">
            <v>1.8227840799999999</v>
          </cell>
          <cell r="LN105">
            <v>0.34283965</v>
          </cell>
          <cell r="LO105">
            <v>3.3747357299999998</v>
          </cell>
          <cell r="LQ105">
            <v>2955.6698254600001</v>
          </cell>
          <cell r="LR105">
            <v>4.244482989999999</v>
          </cell>
          <cell r="LS105">
            <v>11.753879789999999</v>
          </cell>
          <cell r="LT105">
            <v>3.6482140500000004</v>
          </cell>
          <cell r="LU105">
            <v>301.92103216000004</v>
          </cell>
          <cell r="LV105">
            <v>1.38860757</v>
          </cell>
          <cell r="LW105">
            <v>0.22142464000000001</v>
          </cell>
          <cell r="LX105">
            <v>0.37369366000000004</v>
          </cell>
          <cell r="LZ105">
            <v>846.3</v>
          </cell>
          <cell r="MA105">
            <v>1557.53</v>
          </cell>
          <cell r="MH105">
            <v>1534.79</v>
          </cell>
          <cell r="MI105">
            <v>492.38</v>
          </cell>
          <cell r="MJ105">
            <v>715.39</v>
          </cell>
          <cell r="ML105">
            <v>393.08</v>
          </cell>
          <cell r="MM105">
            <v>896.42</v>
          </cell>
          <cell r="MO105">
            <v>380.62</v>
          </cell>
          <cell r="MP105">
            <v>1189.79</v>
          </cell>
          <cell r="MQ105">
            <v>1336.87</v>
          </cell>
          <cell r="MU105">
            <v>692.39</v>
          </cell>
          <cell r="MY105">
            <v>1397.19</v>
          </cell>
          <cell r="MZ105">
            <v>2505</v>
          </cell>
          <cell r="NA105">
            <v>1448</v>
          </cell>
          <cell r="NB105">
            <v>5052</v>
          </cell>
          <cell r="NC105">
            <v>614.66</v>
          </cell>
          <cell r="ND105">
            <v>6240</v>
          </cell>
          <cell r="NE105">
            <v>3395</v>
          </cell>
        </row>
        <row r="106">
          <cell r="A106">
            <v>45292</v>
          </cell>
          <cell r="B106">
            <v>1</v>
          </cell>
          <cell r="C106">
            <v>2024</v>
          </cell>
          <cell r="D106">
            <v>106</v>
          </cell>
          <cell r="E106">
            <v>45292</v>
          </cell>
          <cell r="F106">
            <v>817.83</v>
          </cell>
          <cell r="G106">
            <v>4261.5324000000001</v>
          </cell>
          <cell r="H106">
            <v>333044.86</v>
          </cell>
          <cell r="I106">
            <v>99</v>
          </cell>
          <cell r="J106">
            <v>950</v>
          </cell>
          <cell r="K106">
            <v>7.8</v>
          </cell>
          <cell r="L106">
            <v>23.9</v>
          </cell>
          <cell r="N106">
            <v>1.5549999999999999</v>
          </cell>
          <cell r="O106">
            <v>1.2475000000000001</v>
          </cell>
          <cell r="P106">
            <v>1088.6850731249999</v>
          </cell>
          <cell r="Q106">
            <v>43000</v>
          </cell>
          <cell r="R106">
            <v>430000</v>
          </cell>
          <cell r="S106">
            <v>196.6</v>
          </cell>
          <cell r="T106">
            <v>337.72788965922012</v>
          </cell>
          <cell r="U106">
            <v>191.97143660662974</v>
          </cell>
          <cell r="V106">
            <v>287</v>
          </cell>
          <cell r="W106">
            <v>190.74868860276584</v>
          </cell>
          <cell r="X106">
            <v>222.24</v>
          </cell>
          <cell r="Y106">
            <v>160785.378</v>
          </cell>
          <cell r="Z106">
            <v>276204</v>
          </cell>
          <cell r="AA106">
            <v>157000</v>
          </cell>
          <cell r="AB106">
            <v>234717.21000000002</v>
          </cell>
          <cell r="AC106">
            <v>156000</v>
          </cell>
          <cell r="AD106">
            <v>181754.53920000003</v>
          </cell>
          <cell r="AE106">
            <v>194410.18786666665</v>
          </cell>
          <cell r="AF106">
            <v>748864</v>
          </cell>
          <cell r="AG106">
            <v>250000</v>
          </cell>
          <cell r="AH106">
            <v>798000</v>
          </cell>
          <cell r="AI106">
            <v>325.14999999999998</v>
          </cell>
          <cell r="AJ106">
            <v>189.53</v>
          </cell>
          <cell r="AK106">
            <v>173.73</v>
          </cell>
          <cell r="AL106">
            <v>198.35</v>
          </cell>
          <cell r="AM106">
            <v>249.92399999999998</v>
          </cell>
          <cell r="AN106">
            <v>1068</v>
          </cell>
          <cell r="AO106">
            <v>681.02</v>
          </cell>
          <cell r="AP106">
            <v>874.51</v>
          </cell>
          <cell r="AQ106">
            <v>454.55</v>
          </cell>
          <cell r="AR106">
            <v>483.72</v>
          </cell>
          <cell r="AS106">
            <v>588.89</v>
          </cell>
          <cell r="AT106">
            <v>1432.95</v>
          </cell>
          <cell r="AU106">
            <v>835.18666666666684</v>
          </cell>
          <cell r="AV106">
            <v>297</v>
          </cell>
          <cell r="AW106">
            <v>254.32</v>
          </cell>
          <cell r="AX106">
            <v>248.13</v>
          </cell>
          <cell r="AY106">
            <v>262.51</v>
          </cell>
          <cell r="AZ106">
            <v>407.91</v>
          </cell>
          <cell r="BA106">
            <v>237.02</v>
          </cell>
          <cell r="BB106">
            <v>288.89249999999998</v>
          </cell>
          <cell r="BC106">
            <v>29130</v>
          </cell>
          <cell r="BD106">
            <v>18219.939999999999</v>
          </cell>
          <cell r="BE106">
            <v>20500</v>
          </cell>
          <cell r="BF106">
            <v>15500</v>
          </cell>
          <cell r="BG106">
            <v>20837.485000000001</v>
          </cell>
          <cell r="BH106">
            <v>2820</v>
          </cell>
          <cell r="BI106">
            <v>0</v>
          </cell>
          <cell r="BJ106">
            <v>2820</v>
          </cell>
          <cell r="BK106">
            <v>1479.296</v>
          </cell>
          <cell r="BL106">
            <v>1965.38</v>
          </cell>
          <cell r="BM106">
            <v>1722.3380000000002</v>
          </cell>
          <cell r="BN106">
            <v>243.92</v>
          </cell>
          <cell r="BO106">
            <v>1112.5898323130159</v>
          </cell>
          <cell r="BP106">
            <v>800</v>
          </cell>
          <cell r="BQ106">
            <v>1081.3308490817144</v>
          </cell>
          <cell r="BR106">
            <v>1132.7375000000002</v>
          </cell>
          <cell r="BS106">
            <v>3200</v>
          </cell>
          <cell r="BT106">
            <v>850.54320000000007</v>
          </cell>
          <cell r="BU106">
            <v>40951.6296</v>
          </cell>
          <cell r="BV106">
            <v>1228</v>
          </cell>
          <cell r="BW106">
            <v>1746.4</v>
          </cell>
          <cell r="BY106">
            <v>7658.3635126694307</v>
          </cell>
          <cell r="BZ106">
            <v>7093.0367633145497</v>
          </cell>
          <cell r="CA106">
            <v>7770.1678505081982</v>
          </cell>
          <cell r="CB106">
            <v>7210.3721114001955</v>
          </cell>
          <cell r="CC106">
            <v>7381.2944153274511</v>
          </cell>
          <cell r="CD106">
            <v>7517.0083651780415</v>
          </cell>
          <cell r="CE106">
            <v>7270.1975667921261</v>
          </cell>
          <cell r="CF106">
            <v>7955.2450303415399</v>
          </cell>
          <cell r="CG106">
            <v>7517.3808899245923</v>
          </cell>
          <cell r="CH106">
            <v>9109.3956392506079</v>
          </cell>
          <cell r="CI106">
            <v>8141.2045815931551</v>
          </cell>
          <cell r="CJ106">
            <v>5732.7926137704399</v>
          </cell>
          <cell r="CK106">
            <v>7142.1193361860442</v>
          </cell>
          <cell r="CL106">
            <v>6886.1442699861636</v>
          </cell>
          <cell r="CM106">
            <v>6087.3852795375315</v>
          </cell>
          <cell r="CN106">
            <v>5748.0558082199896</v>
          </cell>
          <cell r="CO106">
            <v>6465.9261734824322</v>
          </cell>
          <cell r="CP106">
            <v>7162.9412417398644</v>
          </cell>
          <cell r="CQ106">
            <v>6271.2548170810715</v>
          </cell>
          <cell r="CR106">
            <v>6332.132226748804</v>
          </cell>
          <cell r="CS106">
            <v>6301.6935219149382</v>
          </cell>
          <cell r="CT106">
            <v>6175.1362985055684</v>
          </cell>
          <cell r="CU106">
            <v>6822.5538558095423</v>
          </cell>
          <cell r="CV106">
            <v>6951.9370106276856</v>
          </cell>
          <cell r="CW106">
            <v>6951.9370106276856</v>
          </cell>
          <cell r="CX106">
            <v>6908.8092923549702</v>
          </cell>
          <cell r="CY106">
            <v>5291.5326380109673</v>
          </cell>
          <cell r="CZ106">
            <v>7344.8368209473201</v>
          </cell>
          <cell r="DA106">
            <v>5863.0466211419016</v>
          </cell>
          <cell r="DB106">
            <v>6983.4763055484127</v>
          </cell>
          <cell r="DC106">
            <v>7101.6915664552998</v>
          </cell>
          <cell r="DD106">
            <v>6980.7895446424627</v>
          </cell>
          <cell r="DE106">
            <v>6097.9442413788292</v>
          </cell>
          <cell r="DF106">
            <v>7232.2461741771494</v>
          </cell>
          <cell r="DG106">
            <v>6665.0952077779893</v>
          </cell>
          <cell r="DH106">
            <v>6116.9107470388808</v>
          </cell>
          <cell r="DI106">
            <v>5423.2459740443819</v>
          </cell>
          <cell r="DK106">
            <v>650000</v>
          </cell>
          <cell r="DL106" t="str">
            <v>2023-24</v>
          </cell>
          <cell r="DM106">
            <v>200000</v>
          </cell>
          <cell r="DN106" t="str">
            <v>2023-24</v>
          </cell>
          <cell r="DO106">
            <v>1500000</v>
          </cell>
          <cell r="DP106" t="str">
            <v>2023-24</v>
          </cell>
          <cell r="DQ106">
            <v>2060000</v>
          </cell>
          <cell r="DR106" t="str">
            <v>2023-24</v>
          </cell>
          <cell r="DS106">
            <v>7200000</v>
          </cell>
          <cell r="DT106" t="str">
            <v>2023-24</v>
          </cell>
          <cell r="DU106">
            <v>16700000</v>
          </cell>
          <cell r="DV106" t="str">
            <v>2023-24</v>
          </cell>
          <cell r="DW106">
            <v>760000</v>
          </cell>
          <cell r="DX106" t="str">
            <v>2023-24</v>
          </cell>
          <cell r="DY106">
            <v>5800000</v>
          </cell>
          <cell r="DZ106" t="str">
            <v>2023-24</v>
          </cell>
          <cell r="EA106">
            <v>34020000</v>
          </cell>
          <cell r="EB106">
            <v>416490</v>
          </cell>
          <cell r="EC106" t="str">
            <v>2023-24</v>
          </cell>
          <cell r="ED106">
            <v>230256</v>
          </cell>
          <cell r="EE106">
            <v>2024</v>
          </cell>
          <cell r="EF106">
            <v>199946</v>
          </cell>
          <cell r="EG106">
            <v>2024</v>
          </cell>
          <cell r="EH106">
            <v>52783892</v>
          </cell>
          <cell r="EI106">
            <v>2024</v>
          </cell>
          <cell r="EJ106">
            <v>5887401</v>
          </cell>
          <cell r="EK106">
            <v>2023</v>
          </cell>
          <cell r="EL106">
            <v>12461845</v>
          </cell>
          <cell r="EM106">
            <v>2022</v>
          </cell>
          <cell r="EN106">
            <v>3169981</v>
          </cell>
          <cell r="EO106">
            <v>2021</v>
          </cell>
          <cell r="EP106">
            <v>9171</v>
          </cell>
          <cell r="EQ106">
            <v>3500000</v>
          </cell>
          <cell r="ER106">
            <v>80248</v>
          </cell>
          <cell r="ET106">
            <v>19357</v>
          </cell>
          <cell r="EU106">
            <v>18703</v>
          </cell>
          <cell r="EV106">
            <v>8927</v>
          </cell>
          <cell r="EW106">
            <v>17408</v>
          </cell>
          <cell r="EX106">
            <v>64395</v>
          </cell>
          <cell r="EY106">
            <v>20031</v>
          </cell>
          <cell r="EZ106">
            <v>34815</v>
          </cell>
          <cell r="FA106">
            <v>19900</v>
          </cell>
          <cell r="FB106">
            <v>18184</v>
          </cell>
          <cell r="FC106">
            <v>38084</v>
          </cell>
          <cell r="FD106">
            <v>54743</v>
          </cell>
          <cell r="FF106">
            <v>900000</v>
          </cell>
          <cell r="FG106" t="str">
            <v>2022-23</v>
          </cell>
          <cell r="FH106">
            <v>1200000</v>
          </cell>
          <cell r="FI106" t="str">
            <v>2022-23</v>
          </cell>
          <cell r="FJ106">
            <v>5100000</v>
          </cell>
          <cell r="FK106" t="str">
            <v>2023-24</v>
          </cell>
          <cell r="FL106">
            <v>5000000</v>
          </cell>
          <cell r="FM106" t="str">
            <v>2022-23</v>
          </cell>
          <cell r="FN106">
            <v>56500000</v>
          </cell>
          <cell r="FO106" t="str">
            <v>2023-24</v>
          </cell>
          <cell r="FP106">
            <v>25000000</v>
          </cell>
          <cell r="FQ106" t="str">
            <v>2022-23</v>
          </cell>
          <cell r="FR106">
            <v>1600000</v>
          </cell>
          <cell r="FS106" t="str">
            <v>2022-23</v>
          </cell>
          <cell r="FT106">
            <v>15500000</v>
          </cell>
          <cell r="FU106" t="str">
            <v>2023-24</v>
          </cell>
          <cell r="FV106">
            <v>108700000</v>
          </cell>
          <cell r="FW106">
            <v>940426</v>
          </cell>
          <cell r="FX106" t="str">
            <v>2022-23</v>
          </cell>
          <cell r="FY106">
            <v>21143</v>
          </cell>
          <cell r="FZ106">
            <v>785802.41899999999</v>
          </cell>
          <cell r="GA106" t="str">
            <v>feb23 ene24</v>
          </cell>
          <cell r="GB106">
            <v>19189740</v>
          </cell>
          <cell r="GC106">
            <v>2024</v>
          </cell>
          <cell r="GD106">
            <v>1714000</v>
          </cell>
          <cell r="GE106">
            <v>424000</v>
          </cell>
          <cell r="GF106">
            <v>1165000</v>
          </cell>
          <cell r="GG106">
            <v>145000</v>
          </cell>
          <cell r="GH106">
            <v>1734000</v>
          </cell>
          <cell r="GI106">
            <v>1302556</v>
          </cell>
          <cell r="GJ106">
            <v>682423</v>
          </cell>
          <cell r="GK106">
            <v>1391495</v>
          </cell>
          <cell r="GL106">
            <v>305049</v>
          </cell>
          <cell r="GM106">
            <v>260419</v>
          </cell>
          <cell r="GN106">
            <v>2639386</v>
          </cell>
          <cell r="GO106">
            <v>201734</v>
          </cell>
          <cell r="GP106">
            <v>69297</v>
          </cell>
          <cell r="GQ106">
            <v>167998</v>
          </cell>
          <cell r="GR106">
            <v>34035</v>
          </cell>
          <cell r="GS106">
            <v>39074.94</v>
          </cell>
          <cell r="GT106">
            <v>2111561</v>
          </cell>
          <cell r="GU106">
            <v>16103</v>
          </cell>
          <cell r="GV106">
            <v>20248</v>
          </cell>
          <cell r="GW106">
            <v>763589</v>
          </cell>
          <cell r="GX106">
            <v>30804.553</v>
          </cell>
          <cell r="GY106" t="str">
            <v>2023-2024</v>
          </cell>
          <cell r="GZ106">
            <v>80786</v>
          </cell>
          <cell r="HA106">
            <v>266622</v>
          </cell>
          <cell r="HB106">
            <v>3266663</v>
          </cell>
          <cell r="HC106" t="str">
            <v>feb23 ene24</v>
          </cell>
          <cell r="HD106">
            <v>58951</v>
          </cell>
          <cell r="HE106">
            <v>760164</v>
          </cell>
          <cell r="HF106" t="str">
            <v>feb23 ene24</v>
          </cell>
          <cell r="HG106">
            <v>206000</v>
          </cell>
          <cell r="HH106">
            <v>2293000</v>
          </cell>
          <cell r="HI106" t="str">
            <v>feb23 ene24</v>
          </cell>
          <cell r="HJ106">
            <v>105272</v>
          </cell>
          <cell r="HK106">
            <v>67567.56</v>
          </cell>
          <cell r="HL106" t="str">
            <v>feb23 ene24</v>
          </cell>
          <cell r="HM106">
            <v>2360567.56</v>
          </cell>
          <cell r="HN106">
            <v>-0.12637072984293196</v>
          </cell>
          <cell r="HO106">
            <v>834315953</v>
          </cell>
          <cell r="HP106">
            <v>11199.999285</v>
          </cell>
          <cell r="HQ106" t="str">
            <v>feb23 ene24</v>
          </cell>
          <cell r="HU106">
            <v>700000</v>
          </cell>
          <cell r="HV106" t="str">
            <v>2022-23</v>
          </cell>
          <cell r="HW106">
            <v>1500000</v>
          </cell>
          <cell r="HX106" t="str">
            <v>2023-24</v>
          </cell>
          <cell r="HY106">
            <v>4300000</v>
          </cell>
          <cell r="HZ106" t="str">
            <v>2022-23</v>
          </cell>
          <cell r="IA106">
            <v>21000000</v>
          </cell>
          <cell r="IB106" t="str">
            <v>2022-23</v>
          </cell>
          <cell r="IC106">
            <v>38500000</v>
          </cell>
          <cell r="ID106" t="str">
            <v>2022-23</v>
          </cell>
          <cell r="IE106">
            <v>750000</v>
          </cell>
          <cell r="IF106" t="str">
            <v>2022-23</v>
          </cell>
          <cell r="IG106">
            <v>7400000</v>
          </cell>
          <cell r="IH106" t="str">
            <v>2023-24</v>
          </cell>
          <cell r="II106">
            <v>73450000</v>
          </cell>
          <cell r="IJ106">
            <v>1.991933187973949</v>
          </cell>
          <cell r="IK106" t="str">
            <v>2022-23</v>
          </cell>
          <cell r="IL106">
            <v>48.52</v>
          </cell>
          <cell r="IM106">
            <v>52.06</v>
          </cell>
          <cell r="IN106">
            <v>187.7</v>
          </cell>
          <cell r="IO106">
            <v>16.68</v>
          </cell>
          <cell r="IP106">
            <v>5.5789164694027633</v>
          </cell>
          <cell r="IQ106">
            <v>16.3</v>
          </cell>
          <cell r="IR106">
            <v>6.09</v>
          </cell>
          <cell r="IS106">
            <v>4.03</v>
          </cell>
          <cell r="IT106">
            <v>11.98</v>
          </cell>
          <cell r="IU106">
            <v>1.38</v>
          </cell>
          <cell r="IV106">
            <v>17.39</v>
          </cell>
          <cell r="IY106">
            <v>1.88</v>
          </cell>
          <cell r="IZ106">
            <v>0.3</v>
          </cell>
          <cell r="JA106">
            <v>2813</v>
          </cell>
          <cell r="JF106">
            <v>8.1062574399999985</v>
          </cell>
          <cell r="JG106">
            <v>10.68224592</v>
          </cell>
          <cell r="JH106">
            <v>309.68664117999998</v>
          </cell>
          <cell r="JI106">
            <v>186.90200711000003</v>
          </cell>
          <cell r="JJ106">
            <v>603.88383887999998</v>
          </cell>
          <cell r="JK106">
            <v>100.80321882999999</v>
          </cell>
          <cell r="JL106">
            <v>2069.0570584700004</v>
          </cell>
          <cell r="JM106">
            <v>12.112857649999999</v>
          </cell>
          <cell r="JN106">
            <v>747.53387028000009</v>
          </cell>
          <cell r="JO106">
            <v>24.143815810000007</v>
          </cell>
          <cell r="JP106">
            <v>0</v>
          </cell>
          <cell r="JQ106">
            <v>1.6278383000000001</v>
          </cell>
          <cell r="JR106">
            <v>1.8773617400000002</v>
          </cell>
          <cell r="JS106">
            <v>0</v>
          </cell>
          <cell r="JT106">
            <v>0.46482000000000001</v>
          </cell>
          <cell r="JU106">
            <v>57.397509530000008</v>
          </cell>
          <cell r="JV106">
            <v>4.2287171700000004</v>
          </cell>
          <cell r="JW106">
            <v>7.280486390000001</v>
          </cell>
          <cell r="JX106">
            <v>6.86283741</v>
          </cell>
          <cell r="JY106">
            <v>0</v>
          </cell>
          <cell r="JZ106">
            <v>4.2619123000000005</v>
          </cell>
          <cell r="KA106">
            <v>0.09</v>
          </cell>
          <cell r="KB106">
            <v>23.104867779999999</v>
          </cell>
          <cell r="KC106">
            <v>40.108989959999995</v>
          </cell>
          <cell r="KD106">
            <v>9.2397224899999983</v>
          </cell>
          <cell r="KE106">
            <v>10.971998660000001</v>
          </cell>
          <cell r="KF106">
            <v>32.51792974</v>
          </cell>
          <cell r="KG106">
            <v>324.84866957999998</v>
          </cell>
          <cell r="KH106">
            <v>139.44218023000002</v>
          </cell>
          <cell r="KI106">
            <v>16.644595240000001</v>
          </cell>
          <cell r="KJ106">
            <v>1.2009935999999999</v>
          </cell>
          <cell r="KK106">
            <v>7.4159317900000001</v>
          </cell>
          <cell r="KL106">
            <v>0.8256</v>
          </cell>
          <cell r="KM106">
            <v>0.19568537000000003</v>
          </cell>
          <cell r="KN106">
            <v>4.1572700000000002E-3</v>
          </cell>
          <cell r="KO106">
            <v>2.7708389499999995</v>
          </cell>
          <cell r="KP106">
            <v>0.79684906</v>
          </cell>
          <cell r="KQ106">
            <v>60.271596720000005</v>
          </cell>
          <cell r="KR106">
            <v>0</v>
          </cell>
          <cell r="KS106">
            <v>0.28351377</v>
          </cell>
          <cell r="KT106">
            <v>1.5496506000000003</v>
          </cell>
          <cell r="KU106">
            <v>0.21358802999999996</v>
          </cell>
          <cell r="KV106">
            <v>6.3600000000000002E-3</v>
          </cell>
          <cell r="KW106">
            <v>6.2062739999999998E-2</v>
          </cell>
          <cell r="KX106">
            <v>0</v>
          </cell>
          <cell r="KY106">
            <v>0</v>
          </cell>
          <cell r="KZ106">
            <v>0.41683354000000006</v>
          </cell>
          <cell r="LA106">
            <v>8.4911199999999992E-2</v>
          </cell>
          <cell r="LB106">
            <v>0</v>
          </cell>
          <cell r="LC106">
            <v>0.11405444000000001</v>
          </cell>
          <cell r="LD106">
            <v>0</v>
          </cell>
          <cell r="LE106">
            <v>0.21045872000000002</v>
          </cell>
          <cell r="LF106">
            <v>0.29545924999999995</v>
          </cell>
          <cell r="LG106">
            <v>9.0834929199999994</v>
          </cell>
          <cell r="LH106">
            <v>3.2870284000000001</v>
          </cell>
          <cell r="LI106">
            <v>1.0621514699999999</v>
          </cell>
          <cell r="LJ106">
            <v>0</v>
          </cell>
          <cell r="LK106">
            <v>4.07849503</v>
          </cell>
          <cell r="LL106">
            <v>1.4792882700000001</v>
          </cell>
          <cell r="LM106">
            <v>3.0425877200000002</v>
          </cell>
          <cell r="LN106">
            <v>0.90541722000000002</v>
          </cell>
          <cell r="LO106">
            <v>3.1162246899999997</v>
          </cell>
          <cell r="LQ106">
            <v>3929.1762735700004</v>
          </cell>
          <cell r="LR106">
            <v>3.9700200400000001</v>
          </cell>
          <cell r="LS106">
            <v>11.509203560000001</v>
          </cell>
          <cell r="LT106">
            <v>4.3519123000000004</v>
          </cell>
          <cell r="LU106">
            <v>63.525792080000002</v>
          </cell>
          <cell r="LV106">
            <v>6.8422739999999996E-2</v>
          </cell>
          <cell r="LW106">
            <v>8.4911199999999992E-2</v>
          </cell>
          <cell r="LX106">
            <v>0.50591796999999994</v>
          </cell>
          <cell r="LZ106">
            <v>1093.0999999999999</v>
          </cell>
          <cell r="MA106">
            <v>2046.61</v>
          </cell>
          <cell r="MH106">
            <v>1790.62</v>
          </cell>
          <cell r="MI106">
            <v>665.79</v>
          </cell>
          <cell r="MJ106">
            <v>721.76</v>
          </cell>
          <cell r="ML106">
            <v>476.72</v>
          </cell>
          <cell r="MM106">
            <v>745.25</v>
          </cell>
          <cell r="MO106">
            <v>516.97</v>
          </cell>
          <cell r="MP106">
            <v>1442.1</v>
          </cell>
          <cell r="MQ106">
            <v>1625.11</v>
          </cell>
          <cell r="MU106">
            <v>1096.93</v>
          </cell>
          <cell r="MY106">
            <v>1699.22</v>
          </cell>
          <cell r="MZ106">
            <v>2995</v>
          </cell>
          <cell r="NA106">
            <v>1835</v>
          </cell>
          <cell r="NB106">
            <v>5864</v>
          </cell>
          <cell r="NC106">
            <v>842.24</v>
          </cell>
          <cell r="ND106">
            <v>7000</v>
          </cell>
          <cell r="NE106">
            <v>4429</v>
          </cell>
        </row>
        <row r="107">
          <cell r="A107">
            <v>45323</v>
          </cell>
          <cell r="B107">
            <v>2</v>
          </cell>
          <cell r="C107">
            <v>2024</v>
          </cell>
          <cell r="D107">
            <v>107</v>
          </cell>
          <cell r="E107">
            <v>45323</v>
          </cell>
          <cell r="F107">
            <v>834.57</v>
          </cell>
          <cell r="G107">
            <v>4825.7880999999998</v>
          </cell>
          <cell r="H107">
            <v>425231.68</v>
          </cell>
          <cell r="I107">
            <v>101</v>
          </cell>
          <cell r="J107">
            <v>830</v>
          </cell>
          <cell r="K107">
            <v>7</v>
          </cell>
          <cell r="L107">
            <v>29.1</v>
          </cell>
          <cell r="N107">
            <v>1.6050000000000002</v>
          </cell>
          <cell r="O107">
            <v>1.2199999999999998</v>
          </cell>
          <cell r="P107">
            <v>1119.88861875</v>
          </cell>
          <cell r="Q107">
            <v>43000</v>
          </cell>
          <cell r="R107">
            <v>430000</v>
          </cell>
          <cell r="S107">
            <v>196</v>
          </cell>
          <cell r="T107">
            <v>333.55740081718727</v>
          </cell>
          <cell r="U107">
            <v>177.3368321411026</v>
          </cell>
          <cell r="V107">
            <v>279.89999999999998</v>
          </cell>
          <cell r="W107">
            <v>189.55869489677318</v>
          </cell>
          <cell r="X107">
            <v>212.07</v>
          </cell>
          <cell r="Y107">
            <v>163575.72</v>
          </cell>
          <cell r="Z107">
            <v>278377</v>
          </cell>
          <cell r="AA107">
            <v>148000</v>
          </cell>
          <cell r="AB107">
            <v>233596.14299999998</v>
          </cell>
          <cell r="AC107">
            <v>158200</v>
          </cell>
          <cell r="AD107">
            <v>176987.2599</v>
          </cell>
          <cell r="AE107">
            <v>193122.68714999998</v>
          </cell>
          <cell r="AF107">
            <v>758115.42857142852</v>
          </cell>
          <cell r="AG107">
            <v>300000</v>
          </cell>
          <cell r="AH107">
            <v>912000</v>
          </cell>
          <cell r="AI107">
            <v>362.46</v>
          </cell>
          <cell r="AJ107">
            <v>314.62</v>
          </cell>
          <cell r="AK107">
            <v>216.84</v>
          </cell>
          <cell r="AL107">
            <v>217.67</v>
          </cell>
          <cell r="AM107">
            <v>287.93559999999997</v>
          </cell>
          <cell r="AN107">
            <v>1185.5355000000002</v>
          </cell>
          <cell r="AO107">
            <v>745.34400000000005</v>
          </cell>
          <cell r="AP107">
            <v>965.43975000000012</v>
          </cell>
          <cell r="AQ107">
            <v>405.46449999999999</v>
          </cell>
          <cell r="AR107">
            <v>707.6728571428572</v>
          </cell>
          <cell r="AS107">
            <v>703.94</v>
          </cell>
          <cell r="AT107">
            <v>1346.17</v>
          </cell>
          <cell r="AU107">
            <v>919.2609523809524</v>
          </cell>
          <cell r="AV107">
            <v>355.19</v>
          </cell>
          <cell r="AW107">
            <v>263.5</v>
          </cell>
          <cell r="AX107">
            <v>325</v>
          </cell>
          <cell r="AY107">
            <v>254.99</v>
          </cell>
          <cell r="AZ107">
            <v>476.81</v>
          </cell>
          <cell r="BA107">
            <v>193.83</v>
          </cell>
          <cell r="BB107">
            <v>312.65749999999997</v>
          </cell>
          <cell r="BC107">
            <v>32625</v>
          </cell>
          <cell r="BD107">
            <v>21963</v>
          </cell>
          <cell r="BE107">
            <v>22959.577754891863</v>
          </cell>
          <cell r="BF107">
            <v>18684.282165583423</v>
          </cell>
          <cell r="BG107">
            <v>24057.964980118821</v>
          </cell>
          <cell r="BH107">
            <v>2820</v>
          </cell>
          <cell r="BI107">
            <v>0</v>
          </cell>
          <cell r="BJ107">
            <v>2820</v>
          </cell>
          <cell r="BK107">
            <v>1738.1969999999999</v>
          </cell>
          <cell r="BL107">
            <v>2087.0700000000002</v>
          </cell>
          <cell r="BM107">
            <v>1912.6334999999999</v>
          </cell>
          <cell r="BN107">
            <v>291.69</v>
          </cell>
          <cell r="BO107">
            <v>1452.72</v>
          </cell>
          <cell r="BP107">
            <v>916.83</v>
          </cell>
          <cell r="BQ107">
            <v>1399.1310000000001</v>
          </cell>
          <cell r="BR107">
            <v>1044.7925</v>
          </cell>
          <cell r="BS107">
            <v>3200</v>
          </cell>
          <cell r="BT107">
            <v>842.91570000000002</v>
          </cell>
          <cell r="BU107">
            <v>40928.747100000001</v>
          </cell>
          <cell r="BV107">
            <v>1404</v>
          </cell>
          <cell r="BW107">
            <v>1954</v>
          </cell>
          <cell r="BY107">
            <v>7794.2506394201946</v>
          </cell>
          <cell r="BZ107">
            <v>7160.7983389681094</v>
          </cell>
          <cell r="CA107">
            <v>7769.7372369163277</v>
          </cell>
          <cell r="CB107">
            <v>7322.87828074972</v>
          </cell>
          <cell r="CC107">
            <v>7360.3429050567611</v>
          </cell>
          <cell r="CD107">
            <v>7492.1802193758222</v>
          </cell>
          <cell r="CE107">
            <v>7460.1073676882861</v>
          </cell>
          <cell r="CF107">
            <v>7898.5216448599485</v>
          </cell>
          <cell r="CG107">
            <v>7550.6279424411441</v>
          </cell>
          <cell r="CH107">
            <v>9122.4847796304839</v>
          </cell>
          <cell r="CI107">
            <v>8318.2375714625923</v>
          </cell>
          <cell r="CJ107">
            <v>6309.1086293079179</v>
          </cell>
          <cell r="CK107">
            <v>7677.5698686649494</v>
          </cell>
          <cell r="CL107">
            <v>7019.8580692925307</v>
          </cell>
          <cell r="CM107">
            <v>6851.6734096020837</v>
          </cell>
          <cell r="CN107">
            <v>6141.7315198993083</v>
          </cell>
          <cell r="CO107">
            <v>6922.7082168647185</v>
          </cell>
          <cell r="CP107">
            <v>7948.5670558608663</v>
          </cell>
          <cell r="CQ107">
            <v>6818.0068805416449</v>
          </cell>
          <cell r="CR107">
            <v>6869.5039925730325</v>
          </cell>
          <cell r="CS107">
            <v>6843.7554365573387</v>
          </cell>
          <cell r="CT107">
            <v>6466.9324107936891</v>
          </cell>
          <cell r="CU107">
            <v>7395.8137224454986</v>
          </cell>
          <cell r="CV107">
            <v>7374.0881785211013</v>
          </cell>
          <cell r="CW107">
            <v>7374.0881785211013</v>
          </cell>
          <cell r="CX107">
            <v>7381.3300264959007</v>
          </cell>
          <cell r="CY107">
            <v>6199.5183517242122</v>
          </cell>
          <cell r="CZ107">
            <v>8096.4783029255559</v>
          </cell>
          <cell r="DA107">
            <v>6526.1272066228858</v>
          </cell>
          <cell r="DB107">
            <v>7377.639321914452</v>
          </cell>
          <cell r="DC107">
            <v>7083.5284745327026</v>
          </cell>
          <cell r="DD107">
            <v>6886.5070107810316</v>
          </cell>
          <cell r="DE107">
            <v>6038.9137076373672</v>
          </cell>
          <cell r="DF107">
            <v>7096.7679140486225</v>
          </cell>
          <cell r="DG107">
            <v>6567.8408108429949</v>
          </cell>
          <cell r="DH107">
            <v>6734.8110926300169</v>
          </cell>
          <cell r="DI107">
            <v>6118.1048843049712</v>
          </cell>
          <cell r="DK107">
            <v>650000</v>
          </cell>
          <cell r="DL107" t="str">
            <v>2023-24</v>
          </cell>
          <cell r="DM107">
            <v>200000</v>
          </cell>
          <cell r="DN107" t="str">
            <v>2023-24</v>
          </cell>
          <cell r="DO107">
            <v>1500000</v>
          </cell>
          <cell r="DP107" t="str">
            <v>2023-24</v>
          </cell>
          <cell r="DQ107">
            <v>2000000</v>
          </cell>
          <cell r="DR107" t="str">
            <v>2023-24</v>
          </cell>
          <cell r="DS107">
            <v>7200000</v>
          </cell>
          <cell r="DT107" t="str">
            <v>2023-24</v>
          </cell>
          <cell r="DU107">
            <v>16700000</v>
          </cell>
          <cell r="DV107" t="str">
            <v>2023-24</v>
          </cell>
          <cell r="DW107">
            <v>770000</v>
          </cell>
          <cell r="DX107" t="str">
            <v>2023-24</v>
          </cell>
          <cell r="DY107">
            <v>5900000</v>
          </cell>
          <cell r="DZ107" t="str">
            <v>2023-24</v>
          </cell>
          <cell r="EA107">
            <v>34070000</v>
          </cell>
          <cell r="EB107">
            <v>416490</v>
          </cell>
          <cell r="EC107" t="str">
            <v>2023-24</v>
          </cell>
          <cell r="ED107">
            <v>230256</v>
          </cell>
          <cell r="EE107">
            <v>2024</v>
          </cell>
          <cell r="EF107">
            <v>199946</v>
          </cell>
          <cell r="EG107">
            <v>2024</v>
          </cell>
          <cell r="EH107">
            <v>52783892</v>
          </cell>
          <cell r="EI107">
            <v>2024</v>
          </cell>
          <cell r="EJ107">
            <v>5887401</v>
          </cell>
          <cell r="EK107">
            <v>2023</v>
          </cell>
          <cell r="EL107">
            <v>12461845</v>
          </cell>
          <cell r="EM107">
            <v>2022</v>
          </cell>
          <cell r="EN107">
            <v>3169981</v>
          </cell>
          <cell r="EO107">
            <v>2021</v>
          </cell>
          <cell r="EP107">
            <v>9163</v>
          </cell>
          <cell r="EQ107">
            <v>3500000</v>
          </cell>
          <cell r="ER107">
            <v>80248</v>
          </cell>
          <cell r="ET107">
            <v>19357</v>
          </cell>
          <cell r="EU107">
            <v>18703</v>
          </cell>
          <cell r="EV107">
            <v>8927</v>
          </cell>
          <cell r="EW107">
            <v>17408</v>
          </cell>
          <cell r="EX107">
            <v>64395</v>
          </cell>
          <cell r="EY107">
            <v>20031</v>
          </cell>
          <cell r="EZ107">
            <v>34815</v>
          </cell>
          <cell r="FA107">
            <v>19900</v>
          </cell>
          <cell r="FB107">
            <v>18184</v>
          </cell>
          <cell r="FC107">
            <v>38084</v>
          </cell>
          <cell r="FD107">
            <v>54743</v>
          </cell>
          <cell r="FF107">
            <v>900000</v>
          </cell>
          <cell r="FG107" t="str">
            <v>2022-23</v>
          </cell>
          <cell r="FH107">
            <v>1200000</v>
          </cell>
          <cell r="FI107" t="str">
            <v>2022-23</v>
          </cell>
          <cell r="FJ107">
            <v>5100000</v>
          </cell>
          <cell r="FK107" t="str">
            <v>2023-24</v>
          </cell>
          <cell r="FL107">
            <v>4500000</v>
          </cell>
          <cell r="FM107" t="str">
            <v>2023-24</v>
          </cell>
          <cell r="FN107">
            <v>54000000</v>
          </cell>
          <cell r="FO107" t="str">
            <v>2023-24</v>
          </cell>
          <cell r="FP107">
            <v>25000000</v>
          </cell>
          <cell r="FQ107" t="str">
            <v>2022-23</v>
          </cell>
          <cell r="FR107">
            <v>1600000</v>
          </cell>
          <cell r="FS107" t="str">
            <v>2022-23</v>
          </cell>
          <cell r="FT107">
            <v>15900000</v>
          </cell>
          <cell r="FU107" t="str">
            <v>2023-24</v>
          </cell>
          <cell r="FV107">
            <v>106100000</v>
          </cell>
          <cell r="FW107">
            <v>940426</v>
          </cell>
          <cell r="FX107" t="str">
            <v>2022-23</v>
          </cell>
          <cell r="FY107">
            <v>33794</v>
          </cell>
          <cell r="FZ107">
            <v>805749.5</v>
          </cell>
          <cell r="GA107" t="str">
            <v>mar23 feb24</v>
          </cell>
          <cell r="GB107">
            <v>19189740</v>
          </cell>
          <cell r="GC107">
            <v>2024</v>
          </cell>
          <cell r="GD107">
            <v>1714000</v>
          </cell>
          <cell r="GE107">
            <v>424000</v>
          </cell>
          <cell r="GF107">
            <v>1165000</v>
          </cell>
          <cell r="GG107">
            <v>145000</v>
          </cell>
          <cell r="GH107">
            <v>1734000</v>
          </cell>
          <cell r="GI107">
            <v>1302556</v>
          </cell>
          <cell r="GJ107">
            <v>682423</v>
          </cell>
          <cell r="GK107">
            <v>1391495</v>
          </cell>
          <cell r="GL107">
            <v>305049</v>
          </cell>
          <cell r="GM107">
            <v>260419</v>
          </cell>
          <cell r="GN107">
            <v>2639386</v>
          </cell>
          <cell r="GO107">
            <v>201734</v>
          </cell>
          <cell r="GP107">
            <v>69297</v>
          </cell>
          <cell r="GQ107">
            <v>159131.5</v>
          </cell>
          <cell r="GR107">
            <v>34035</v>
          </cell>
          <cell r="GS107">
            <v>38808.945</v>
          </cell>
          <cell r="GT107">
            <v>2111561</v>
          </cell>
          <cell r="GU107">
            <v>56156</v>
          </cell>
          <cell r="GV107">
            <v>19888</v>
          </cell>
          <cell r="GW107">
            <v>752091</v>
          </cell>
          <cell r="GX107">
            <v>30804.553</v>
          </cell>
          <cell r="GY107" t="str">
            <v>2023-2024</v>
          </cell>
          <cell r="GZ107">
            <v>80786</v>
          </cell>
          <cell r="HA107">
            <v>237641</v>
          </cell>
          <cell r="HB107">
            <v>3266154</v>
          </cell>
          <cell r="HC107" t="str">
            <v>mar23 feb24</v>
          </cell>
          <cell r="HD107">
            <v>54781</v>
          </cell>
          <cell r="HE107">
            <v>761567</v>
          </cell>
          <cell r="HF107" t="str">
            <v>mar23 feb24</v>
          </cell>
          <cell r="HG107">
            <v>175000</v>
          </cell>
          <cell r="HH107">
            <v>2302000</v>
          </cell>
          <cell r="HI107" t="str">
            <v>mar23 feb24</v>
          </cell>
          <cell r="HJ107">
            <v>92257</v>
          </cell>
          <cell r="HK107">
            <v>68385.06</v>
          </cell>
          <cell r="HL107" t="str">
            <v>mar23 feb24</v>
          </cell>
          <cell r="HM107">
            <v>2370385.06</v>
          </cell>
          <cell r="HN107">
            <v>-0.14782608695652177</v>
          </cell>
          <cell r="HO107">
            <v>686000000</v>
          </cell>
          <cell r="HP107">
            <v>11080.999285</v>
          </cell>
          <cell r="HQ107" t="str">
            <v>mar23 feb24</v>
          </cell>
          <cell r="HU107">
            <v>700000</v>
          </cell>
          <cell r="HV107" t="str">
            <v>2022-23</v>
          </cell>
          <cell r="HW107">
            <v>1500000</v>
          </cell>
          <cell r="HX107" t="str">
            <v>2023-24</v>
          </cell>
          <cell r="HY107">
            <v>4600000</v>
          </cell>
          <cell r="HZ107" t="str">
            <v>2023-24</v>
          </cell>
          <cell r="IA107">
            <v>21000000</v>
          </cell>
          <cell r="IB107" t="str">
            <v>2022-23</v>
          </cell>
          <cell r="IC107">
            <v>38500000</v>
          </cell>
          <cell r="ID107" t="str">
            <v>2022-23</v>
          </cell>
          <cell r="IE107">
            <v>750000</v>
          </cell>
          <cell r="IF107" t="str">
            <v>2022-23</v>
          </cell>
          <cell r="IG107">
            <v>7400000</v>
          </cell>
          <cell r="IH107" t="str">
            <v>2023-24</v>
          </cell>
          <cell r="II107">
            <v>73750000</v>
          </cell>
          <cell r="IJ107">
            <v>1.991933187973949</v>
          </cell>
          <cell r="IK107" t="str">
            <v>2022-23</v>
          </cell>
          <cell r="IL107">
            <v>46.23</v>
          </cell>
          <cell r="IM107">
            <v>51.48</v>
          </cell>
          <cell r="IN107">
            <v>170.8</v>
          </cell>
          <cell r="IO107">
            <v>16.64</v>
          </cell>
          <cell r="IP107">
            <v>5.5789164694027633</v>
          </cell>
          <cell r="IQ107">
            <v>16.3</v>
          </cell>
          <cell r="IR107">
            <v>6.09</v>
          </cell>
          <cell r="IS107">
            <v>4.03</v>
          </cell>
          <cell r="IT107">
            <v>11.98</v>
          </cell>
          <cell r="IU107">
            <v>1.38</v>
          </cell>
          <cell r="IV107">
            <v>17.39</v>
          </cell>
          <cell r="IY107">
            <v>1.88</v>
          </cell>
          <cell r="IZ107">
            <v>0.3</v>
          </cell>
          <cell r="JA107">
            <v>2813</v>
          </cell>
          <cell r="JF107">
            <v>7.7064561400000011</v>
          </cell>
          <cell r="JG107">
            <v>13.355622539999999</v>
          </cell>
          <cell r="JH107">
            <v>191.36627730999999</v>
          </cell>
          <cell r="JI107">
            <v>111.98081332999999</v>
          </cell>
          <cell r="JJ107">
            <v>553.42208759999994</v>
          </cell>
          <cell r="JK107">
            <v>111.62267066999999</v>
          </cell>
          <cell r="JL107">
            <v>1669.0314365499999</v>
          </cell>
          <cell r="JM107">
            <v>0.25929000000000002</v>
          </cell>
          <cell r="JN107">
            <v>563.4256187200001</v>
          </cell>
          <cell r="JO107">
            <v>27.954086790000002</v>
          </cell>
          <cell r="JP107">
            <v>0</v>
          </cell>
          <cell r="JQ107">
            <v>5.5873405999999992</v>
          </cell>
          <cell r="JR107">
            <v>1.2655557900000001</v>
          </cell>
          <cell r="JS107">
            <v>0</v>
          </cell>
          <cell r="JT107">
            <v>0.80853788000000004</v>
          </cell>
          <cell r="JU107">
            <v>59.429446169999991</v>
          </cell>
          <cell r="JV107">
            <v>4.7423584100000005</v>
          </cell>
          <cell r="JW107">
            <v>38.002211629999998</v>
          </cell>
          <cell r="JX107">
            <v>8.5632738799999988</v>
          </cell>
          <cell r="JY107">
            <v>0</v>
          </cell>
          <cell r="JZ107">
            <v>3.2681509099999997</v>
          </cell>
          <cell r="KA107">
            <v>0.09</v>
          </cell>
          <cell r="KB107">
            <v>23.932255000000001</v>
          </cell>
          <cell r="KC107">
            <v>36.249269399999989</v>
          </cell>
          <cell r="KD107">
            <v>8.8663402400000013</v>
          </cell>
          <cell r="KE107">
            <v>13.392344960000001</v>
          </cell>
          <cell r="KF107">
            <v>35.607742460000011</v>
          </cell>
          <cell r="KG107">
            <v>342.85888695999995</v>
          </cell>
          <cell r="KH107">
            <v>140.50614890000003</v>
          </cell>
          <cell r="KI107">
            <v>15.322430800000003</v>
          </cell>
          <cell r="KJ107">
            <v>1.56892272</v>
          </cell>
          <cell r="KK107">
            <v>5.2295233099999994</v>
          </cell>
          <cell r="KL107">
            <v>0.22536</v>
          </cell>
          <cell r="KM107">
            <v>5.6479760000000004E-2</v>
          </cell>
          <cell r="KN107">
            <v>0</v>
          </cell>
          <cell r="KO107">
            <v>2.4515551900000001</v>
          </cell>
          <cell r="KP107">
            <v>0.69674917999999986</v>
          </cell>
          <cell r="KQ107">
            <v>277.79311703999997</v>
          </cell>
          <cell r="KR107">
            <v>1.2535299999999999E-3</v>
          </cell>
          <cell r="KS107">
            <v>0.24156551999999998</v>
          </cell>
          <cell r="KT107">
            <v>1.6300787399999999</v>
          </cell>
          <cell r="KU107">
            <v>4.9277770000000005E-2</v>
          </cell>
          <cell r="KV107">
            <v>3.8300000000000001E-2</v>
          </cell>
          <cell r="KW107">
            <v>0.19044177000000001</v>
          </cell>
          <cell r="KX107">
            <v>0</v>
          </cell>
          <cell r="KY107">
            <v>0</v>
          </cell>
          <cell r="KZ107">
            <v>0.76659119999999992</v>
          </cell>
          <cell r="LA107">
            <v>0.12479459999999999</v>
          </cell>
          <cell r="LB107">
            <v>0</v>
          </cell>
          <cell r="LC107">
            <v>3.388998E-2</v>
          </cell>
          <cell r="LD107">
            <v>0</v>
          </cell>
          <cell r="LE107">
            <v>0.38930320999999996</v>
          </cell>
          <cell r="LF107">
            <v>0.18346335999999999</v>
          </cell>
          <cell r="LG107">
            <v>13.107541810000001</v>
          </cell>
          <cell r="LH107">
            <v>4.5019780499999991</v>
          </cell>
          <cell r="LI107">
            <v>2.4176205400000002</v>
          </cell>
          <cell r="LJ107">
            <v>0</v>
          </cell>
          <cell r="LK107">
            <v>1.8857013599999999</v>
          </cell>
          <cell r="LL107">
            <v>1.2696953500000001</v>
          </cell>
          <cell r="LM107">
            <v>0.38991597</v>
          </cell>
          <cell r="LN107">
            <v>0.31075020000000003</v>
          </cell>
          <cell r="LO107">
            <v>5.2341166499999998</v>
          </cell>
          <cell r="LQ107">
            <v>3089.4855235099994</v>
          </cell>
          <cell r="LR107">
            <v>7.66143427</v>
          </cell>
          <cell r="LS107">
            <v>42.744570039999999</v>
          </cell>
          <cell r="LT107">
            <v>3.3581509099999995</v>
          </cell>
          <cell r="LU107">
            <v>280.54397103999997</v>
          </cell>
          <cell r="LV107">
            <v>0.22874177000000001</v>
          </cell>
          <cell r="LW107">
            <v>0.12479459999999999</v>
          </cell>
          <cell r="LX107">
            <v>0.57276656999999997</v>
          </cell>
          <cell r="LZ107">
            <v>1172.99</v>
          </cell>
          <cell r="MA107">
            <v>2355.31</v>
          </cell>
          <cell r="MH107">
            <v>1942.55</v>
          </cell>
          <cell r="MI107">
            <v>741.12</v>
          </cell>
          <cell r="MJ107">
            <v>749.73</v>
          </cell>
          <cell r="ML107">
            <v>764.95</v>
          </cell>
          <cell r="MM107">
            <v>804.33</v>
          </cell>
          <cell r="MO107">
            <v>553.36</v>
          </cell>
          <cell r="MP107">
            <v>1674.35</v>
          </cell>
          <cell r="MQ107">
            <v>1958.52</v>
          </cell>
          <cell r="MU107">
            <v>1397</v>
          </cell>
          <cell r="MY107">
            <v>1833.75</v>
          </cell>
          <cell r="MZ107">
            <v>3666</v>
          </cell>
          <cell r="NA107">
            <v>1934</v>
          </cell>
          <cell r="NB107">
            <v>6058</v>
          </cell>
          <cell r="NC107">
            <v>1018.87</v>
          </cell>
          <cell r="ND107">
            <v>7350</v>
          </cell>
          <cell r="NE107">
            <v>4331</v>
          </cell>
        </row>
        <row r="108">
          <cell r="A108">
            <v>45352</v>
          </cell>
          <cell r="B108">
            <v>3</v>
          </cell>
          <cell r="C108">
            <v>2024</v>
          </cell>
          <cell r="D108">
            <v>108</v>
          </cell>
          <cell r="E108">
            <v>45352</v>
          </cell>
          <cell r="F108">
            <v>849.05</v>
          </cell>
          <cell r="G108">
            <v>5357.09</v>
          </cell>
          <cell r="H108">
            <v>472007.16</v>
          </cell>
          <cell r="I108">
            <v>105</v>
          </cell>
          <cell r="J108">
            <v>780</v>
          </cell>
          <cell r="K108">
            <v>6.6</v>
          </cell>
          <cell r="L108">
            <v>28.584449195454031</v>
          </cell>
          <cell r="N108">
            <v>1.6050000000000002</v>
          </cell>
          <cell r="O108">
            <v>1.21</v>
          </cell>
          <cell r="P108">
            <v>1135.2859812500001</v>
          </cell>
          <cell r="Q108">
            <v>35000</v>
          </cell>
          <cell r="R108">
            <v>350000</v>
          </cell>
          <cell r="S108">
            <v>165.6392438607856</v>
          </cell>
          <cell r="T108">
            <v>292.00047111477534</v>
          </cell>
          <cell r="U108">
            <v>169.54736842105262</v>
          </cell>
          <cell r="V108">
            <v>289.23684210526312</v>
          </cell>
          <cell r="W108">
            <v>178.31694246510807</v>
          </cell>
          <cell r="X108">
            <v>207.15</v>
          </cell>
          <cell r="Y108">
            <v>140636</v>
          </cell>
          <cell r="Z108">
            <v>247923</v>
          </cell>
          <cell r="AA108">
            <v>143954.19315789471</v>
          </cell>
          <cell r="AB108">
            <v>245576.54078947363</v>
          </cell>
          <cell r="AC108">
            <v>151400</v>
          </cell>
          <cell r="AD108">
            <v>175880.70749999999</v>
          </cell>
          <cell r="AE108">
            <v>184228.40690789474</v>
          </cell>
          <cell r="AF108">
            <v>772706.07692307688</v>
          </cell>
          <cell r="AG108">
            <v>370000</v>
          </cell>
          <cell r="AH108">
            <v>950000</v>
          </cell>
          <cell r="AI108">
            <v>417.6</v>
          </cell>
          <cell r="AJ108">
            <v>347.78</v>
          </cell>
          <cell r="AK108">
            <v>225.72</v>
          </cell>
          <cell r="AL108">
            <v>249.76</v>
          </cell>
          <cell r="AM108">
            <v>324.63679999999999</v>
          </cell>
          <cell r="AN108">
            <v>1184.5299999999997</v>
          </cell>
          <cell r="AO108">
            <v>783.66</v>
          </cell>
          <cell r="AP108">
            <v>984.0949999999998</v>
          </cell>
          <cell r="AQ108">
            <v>309.25</v>
          </cell>
          <cell r="AR108">
            <v>553.36</v>
          </cell>
          <cell r="AS108">
            <v>730.91</v>
          </cell>
          <cell r="AT108">
            <v>1234.24</v>
          </cell>
          <cell r="AU108">
            <v>839.50333333333344</v>
          </cell>
          <cell r="AV108">
            <v>379.49</v>
          </cell>
          <cell r="AW108">
            <v>239.38</v>
          </cell>
          <cell r="AX108">
            <v>420</v>
          </cell>
          <cell r="AY108">
            <v>444.52</v>
          </cell>
          <cell r="AZ108">
            <v>547.29999999999995</v>
          </cell>
          <cell r="BA108">
            <v>204.83</v>
          </cell>
          <cell r="BB108">
            <v>404.16249999999997</v>
          </cell>
          <cell r="BC108">
            <v>34582</v>
          </cell>
          <cell r="BD108">
            <v>23170</v>
          </cell>
          <cell r="BE108">
            <v>24336.80054926193</v>
          </cell>
          <cell r="BF108">
            <v>19711.096743457994</v>
          </cell>
          <cell r="BG108">
            <v>25449.97432317998</v>
          </cell>
          <cell r="BH108">
            <v>2820</v>
          </cell>
          <cell r="BI108">
            <v>0</v>
          </cell>
          <cell r="BJ108">
            <v>2820</v>
          </cell>
          <cell r="BK108">
            <v>1835.2349999999999</v>
          </cell>
          <cell r="BL108">
            <v>1979.58</v>
          </cell>
          <cell r="BM108">
            <v>1907.4074999999998</v>
          </cell>
          <cell r="BN108">
            <v>331.68</v>
          </cell>
          <cell r="BO108">
            <v>1610.79</v>
          </cell>
          <cell r="BP108">
            <v>1191.25</v>
          </cell>
          <cell r="BQ108">
            <v>1568.836</v>
          </cell>
          <cell r="BR108">
            <v>1100</v>
          </cell>
          <cell r="BS108">
            <v>3200</v>
          </cell>
          <cell r="BT108">
            <v>857.54049999999995</v>
          </cell>
          <cell r="BU108">
            <v>40972.621500000001</v>
          </cell>
          <cell r="BV108">
            <v>1465</v>
          </cell>
          <cell r="BW108">
            <v>2275</v>
          </cell>
          <cell r="BY108">
            <v>7930.3545331826772</v>
          </cell>
          <cell r="BZ108">
            <v>7386.0563168761782</v>
          </cell>
          <cell r="CA108">
            <v>7582.6749908090842</v>
          </cell>
          <cell r="CB108">
            <v>7210.7638535531078</v>
          </cell>
          <cell r="CC108">
            <v>7323.9937285366041</v>
          </cell>
          <cell r="CD108">
            <v>7686.2965841477699</v>
          </cell>
          <cell r="CE108">
            <v>7376.1587620560103</v>
          </cell>
          <cell r="CF108">
            <v>7957.4277843676055</v>
          </cell>
          <cell r="CG108">
            <v>7522.885950578363</v>
          </cell>
          <cell r="CH108">
            <v>9266.2126900284002</v>
          </cell>
          <cell r="CI108">
            <v>8430.8508689177725</v>
          </cell>
          <cell r="CJ108">
            <v>6520.6125701756719</v>
          </cell>
          <cell r="CK108">
            <v>8199.8697876446677</v>
          </cell>
          <cell r="CL108">
            <v>7827.5796233169431</v>
          </cell>
          <cell r="CM108">
            <v>7337.4894715202245</v>
          </cell>
          <cell r="CN108">
            <v>6413.3701259746404</v>
          </cell>
          <cell r="CO108">
            <v>7444.5772521141189</v>
          </cell>
          <cell r="CP108">
            <v>8431.5937238134557</v>
          </cell>
          <cell r="CQ108">
            <v>7052.5743804816084</v>
          </cell>
          <cell r="CR108">
            <v>7162.9801491535063</v>
          </cell>
          <cell r="CS108">
            <v>7107.7772648175578</v>
          </cell>
          <cell r="CT108">
            <v>6544.8912651206083</v>
          </cell>
          <cell r="CU108">
            <v>7313.776489408815</v>
          </cell>
          <cell r="CV108">
            <v>7538.4264709208846</v>
          </cell>
          <cell r="CW108">
            <v>7538.4264709208846</v>
          </cell>
          <cell r="CX108">
            <v>7463.5431437501948</v>
          </cell>
          <cell r="CY108">
            <v>6713.0534817214884</v>
          </cell>
          <cell r="CZ108">
            <v>8542.6658354702249</v>
          </cell>
          <cell r="DA108">
            <v>6898.7366361772729</v>
          </cell>
          <cell r="DB108">
            <v>7562.4790633919629</v>
          </cell>
          <cell r="DC108">
            <v>7158.7855428976663</v>
          </cell>
          <cell r="DD108">
            <v>6900.7291081083922</v>
          </cell>
          <cell r="DE108">
            <v>6026.2690363894526</v>
          </cell>
          <cell r="DF108">
            <v>7122.7666020995412</v>
          </cell>
          <cell r="DG108">
            <v>6574.5178192444964</v>
          </cell>
          <cell r="DH108">
            <v>7022.0117193066217</v>
          </cell>
          <cell r="DI108">
            <v>6480.9285712717692</v>
          </cell>
          <cell r="DK108">
            <v>650000</v>
          </cell>
          <cell r="DL108" t="str">
            <v>2023-24</v>
          </cell>
          <cell r="DM108">
            <v>200000</v>
          </cell>
          <cell r="DN108" t="str">
            <v>2023-24</v>
          </cell>
          <cell r="DO108">
            <v>1500000</v>
          </cell>
          <cell r="DP108" t="str">
            <v>2023-24</v>
          </cell>
          <cell r="DQ108">
            <v>2000000</v>
          </cell>
          <cell r="DR108" t="str">
            <v>2023-24</v>
          </cell>
          <cell r="DS108">
            <v>7200000</v>
          </cell>
          <cell r="DT108" t="str">
            <v>2023-24</v>
          </cell>
          <cell r="DU108">
            <v>16700000</v>
          </cell>
          <cell r="DV108" t="str">
            <v>2023-24</v>
          </cell>
          <cell r="DW108">
            <v>770000</v>
          </cell>
          <cell r="DX108" t="str">
            <v>2023-24</v>
          </cell>
          <cell r="DY108">
            <v>5900000</v>
          </cell>
          <cell r="DZ108" t="str">
            <v>2023-24</v>
          </cell>
          <cell r="EA108">
            <v>34070000</v>
          </cell>
          <cell r="EB108">
            <v>416490</v>
          </cell>
          <cell r="EC108" t="str">
            <v>2023-24</v>
          </cell>
          <cell r="ED108">
            <v>230256</v>
          </cell>
          <cell r="EE108">
            <v>2024</v>
          </cell>
          <cell r="EF108">
            <v>199946</v>
          </cell>
          <cell r="EG108">
            <v>2024</v>
          </cell>
          <cell r="EH108">
            <v>52783892</v>
          </cell>
          <cell r="EI108">
            <v>2024</v>
          </cell>
          <cell r="EJ108">
            <v>6115215</v>
          </cell>
          <cell r="EK108">
            <v>2024</v>
          </cell>
          <cell r="EL108">
            <v>12461845</v>
          </cell>
          <cell r="EM108">
            <v>2022</v>
          </cell>
          <cell r="EN108">
            <v>3169981</v>
          </cell>
          <cell r="EO108">
            <v>2021</v>
          </cell>
          <cell r="EP108">
            <v>9218</v>
          </cell>
          <cell r="EQ108">
            <v>3500000</v>
          </cell>
          <cell r="ER108">
            <v>80248</v>
          </cell>
          <cell r="ET108">
            <v>19357</v>
          </cell>
          <cell r="EU108">
            <v>18703</v>
          </cell>
          <cell r="EV108">
            <v>8927</v>
          </cell>
          <cell r="EW108">
            <v>17408</v>
          </cell>
          <cell r="EX108">
            <v>64395</v>
          </cell>
          <cell r="EY108">
            <v>20031</v>
          </cell>
          <cell r="EZ108">
            <v>34815</v>
          </cell>
          <cell r="FA108">
            <v>19900</v>
          </cell>
          <cell r="FB108">
            <v>18184</v>
          </cell>
          <cell r="FC108">
            <v>38084</v>
          </cell>
          <cell r="FD108">
            <v>54743</v>
          </cell>
          <cell r="FF108">
            <v>900000</v>
          </cell>
          <cell r="FG108" t="str">
            <v>2022-23</v>
          </cell>
          <cell r="FH108">
            <v>1200000</v>
          </cell>
          <cell r="FI108" t="str">
            <v>2022-23</v>
          </cell>
          <cell r="FJ108">
            <v>5100000</v>
          </cell>
          <cell r="FK108" t="str">
            <v>2023-24</v>
          </cell>
          <cell r="FL108">
            <v>4400000</v>
          </cell>
          <cell r="FM108" t="str">
            <v>2023-24</v>
          </cell>
          <cell r="FN108">
            <v>54000000</v>
          </cell>
          <cell r="FO108" t="str">
            <v>2023-24</v>
          </cell>
          <cell r="FP108">
            <v>25000000</v>
          </cell>
          <cell r="FQ108" t="str">
            <v>2022-23</v>
          </cell>
          <cell r="FR108">
            <v>1600000</v>
          </cell>
          <cell r="FS108" t="str">
            <v>2022-23</v>
          </cell>
          <cell r="FT108">
            <v>15900000</v>
          </cell>
          <cell r="FU108" t="str">
            <v>2023-24</v>
          </cell>
          <cell r="FV108">
            <v>106000000</v>
          </cell>
          <cell r="FW108">
            <v>940426</v>
          </cell>
          <cell r="FX108" t="str">
            <v>2022-23</v>
          </cell>
          <cell r="FY108">
            <v>80513</v>
          </cell>
          <cell r="FZ108">
            <v>846142.5</v>
          </cell>
          <cell r="GA108" t="str">
            <v>abr23 mar24</v>
          </cell>
          <cell r="GB108">
            <v>19189740</v>
          </cell>
          <cell r="GC108">
            <v>2024</v>
          </cell>
          <cell r="GD108">
            <v>1714000</v>
          </cell>
          <cell r="GE108">
            <v>424000</v>
          </cell>
          <cell r="GF108">
            <v>1165000</v>
          </cell>
          <cell r="GG108">
            <v>145000</v>
          </cell>
          <cell r="GH108">
            <v>1734000</v>
          </cell>
          <cell r="GI108">
            <v>1302556</v>
          </cell>
          <cell r="GJ108">
            <v>682423</v>
          </cell>
          <cell r="GK108">
            <v>1391495</v>
          </cell>
          <cell r="GL108">
            <v>305049</v>
          </cell>
          <cell r="GM108">
            <v>260419</v>
          </cell>
          <cell r="GN108">
            <v>2639386</v>
          </cell>
          <cell r="GO108">
            <v>201734</v>
          </cell>
          <cell r="GP108">
            <v>69297</v>
          </cell>
          <cell r="GQ108">
            <v>106336.75</v>
          </cell>
          <cell r="GR108">
            <v>34035</v>
          </cell>
          <cell r="GS108">
            <v>37225.102500000001</v>
          </cell>
          <cell r="GT108">
            <v>2111561</v>
          </cell>
          <cell r="GU108">
            <v>74286</v>
          </cell>
          <cell r="GV108">
            <v>28984</v>
          </cell>
          <cell r="GW108">
            <v>745610</v>
          </cell>
          <cell r="GX108">
            <v>30804.553</v>
          </cell>
          <cell r="GY108" t="str">
            <v>2023-2024</v>
          </cell>
          <cell r="GZ108">
            <v>80786</v>
          </cell>
          <cell r="HA108">
            <v>238857</v>
          </cell>
          <cell r="HB108">
            <v>3212572</v>
          </cell>
          <cell r="HC108" t="str">
            <v>abr23 mar24</v>
          </cell>
          <cell r="HD108">
            <v>60897</v>
          </cell>
          <cell r="HE108">
            <v>757221</v>
          </cell>
          <cell r="HF108" t="str">
            <v>abr23 mar24</v>
          </cell>
          <cell r="HG108">
            <v>175000</v>
          </cell>
          <cell r="HH108">
            <v>2292000</v>
          </cell>
          <cell r="HI108" t="str">
            <v>abr23 mar24</v>
          </cell>
          <cell r="HJ108">
            <v>91813</v>
          </cell>
          <cell r="HK108">
            <v>68157</v>
          </cell>
          <cell r="HL108" t="str">
            <v>abr23 mar24</v>
          </cell>
          <cell r="HM108">
            <v>2360157</v>
          </cell>
          <cell r="HN108">
            <v>-0.14317786009732358</v>
          </cell>
          <cell r="HO108">
            <v>704307799</v>
          </cell>
          <cell r="HP108">
            <v>10963.307084</v>
          </cell>
          <cell r="HQ108" t="str">
            <v>abr23 mar24</v>
          </cell>
          <cell r="HU108">
            <v>700000</v>
          </cell>
          <cell r="HV108" t="str">
            <v>2022-23</v>
          </cell>
          <cell r="HW108">
            <v>1500000</v>
          </cell>
          <cell r="HX108" t="str">
            <v>2023-24</v>
          </cell>
          <cell r="HY108">
            <v>4600000</v>
          </cell>
          <cell r="HZ108" t="str">
            <v>2023-24</v>
          </cell>
          <cell r="IA108">
            <v>21000000</v>
          </cell>
          <cell r="IB108" t="str">
            <v>2022-23</v>
          </cell>
          <cell r="IC108">
            <v>38500000</v>
          </cell>
          <cell r="ID108" t="str">
            <v>2022-23</v>
          </cell>
          <cell r="IE108">
            <v>750000</v>
          </cell>
          <cell r="IF108" t="str">
            <v>2022-23</v>
          </cell>
          <cell r="IG108">
            <v>7400000</v>
          </cell>
          <cell r="IH108" t="str">
            <v>2023-24</v>
          </cell>
          <cell r="II108">
            <v>73750000</v>
          </cell>
          <cell r="IJ108">
            <v>1.991933187973949</v>
          </cell>
          <cell r="IK108" t="str">
            <v>2022-23</v>
          </cell>
          <cell r="IL108">
            <v>46.23</v>
          </cell>
          <cell r="IM108">
            <v>49.38</v>
          </cell>
          <cell r="IN108">
            <v>170.8</v>
          </cell>
          <cell r="IO108">
            <v>16.5</v>
          </cell>
          <cell r="IP108">
            <v>5.5789164694027633</v>
          </cell>
          <cell r="IQ108">
            <v>16.3</v>
          </cell>
          <cell r="IR108">
            <v>6.09</v>
          </cell>
          <cell r="IS108">
            <v>4.03</v>
          </cell>
          <cell r="IT108">
            <v>11.98</v>
          </cell>
          <cell r="IU108">
            <v>1.38</v>
          </cell>
          <cell r="IV108">
            <v>17.39</v>
          </cell>
          <cell r="IY108">
            <v>1.88</v>
          </cell>
          <cell r="IZ108">
            <v>0.3</v>
          </cell>
          <cell r="JA108">
            <v>2813</v>
          </cell>
          <cell r="JF108">
            <v>18.510441480000001</v>
          </cell>
          <cell r="JG108">
            <v>34.376458229999997</v>
          </cell>
          <cell r="JH108">
            <v>166.7703664</v>
          </cell>
          <cell r="JI108">
            <v>200.80891638</v>
          </cell>
          <cell r="JJ108">
            <v>860.66885179000008</v>
          </cell>
          <cell r="JK108">
            <v>70.784594500000011</v>
          </cell>
          <cell r="JL108">
            <v>2109.94812938</v>
          </cell>
          <cell r="JM108">
            <v>0.77272859999999999</v>
          </cell>
          <cell r="JN108">
            <v>537.97496276999993</v>
          </cell>
          <cell r="JO108">
            <v>28.924508010000004</v>
          </cell>
          <cell r="JP108">
            <v>0</v>
          </cell>
          <cell r="JQ108">
            <v>9.5808307899999985</v>
          </cell>
          <cell r="JR108">
            <v>2.0511114500000001</v>
          </cell>
          <cell r="JS108">
            <v>0</v>
          </cell>
          <cell r="JT108">
            <v>0.72431360999999994</v>
          </cell>
          <cell r="JU108">
            <v>83.547570889999989</v>
          </cell>
          <cell r="JV108">
            <v>7.7245630600000004</v>
          </cell>
          <cell r="JW108">
            <v>52.351719089999996</v>
          </cell>
          <cell r="JX108">
            <v>8.3944111100000018</v>
          </cell>
          <cell r="JY108">
            <v>0</v>
          </cell>
          <cell r="JZ108">
            <v>2.6761317</v>
          </cell>
          <cell r="KA108">
            <v>0.19</v>
          </cell>
          <cell r="KB108">
            <v>26.653198490000001</v>
          </cell>
          <cell r="KC108">
            <v>30.191481329999998</v>
          </cell>
          <cell r="KD108">
            <v>12.408222910000001</v>
          </cell>
          <cell r="KE108">
            <v>22.082734950000003</v>
          </cell>
          <cell r="KF108">
            <v>40.013868680000002</v>
          </cell>
          <cell r="KG108">
            <v>350.14414257999977</v>
          </cell>
          <cell r="KH108">
            <v>126.46519539000002</v>
          </cell>
          <cell r="KI108">
            <v>22.437193859999997</v>
          </cell>
          <cell r="KJ108">
            <v>1.55421593</v>
          </cell>
          <cell r="KK108">
            <v>4.8118603300000009</v>
          </cell>
          <cell r="KL108">
            <v>8.6091799999999996E-2</v>
          </cell>
          <cell r="KM108">
            <v>0.28265035999999999</v>
          </cell>
          <cell r="KN108">
            <v>4.9590309999999992E-2</v>
          </cell>
          <cell r="KO108">
            <v>7.6849773199999989</v>
          </cell>
          <cell r="KP108">
            <v>0.12514284000000001</v>
          </cell>
          <cell r="KQ108">
            <v>381.70856877999995</v>
          </cell>
          <cell r="KR108">
            <v>0</v>
          </cell>
          <cell r="KS108">
            <v>0.1315422</v>
          </cell>
          <cell r="KT108">
            <v>0.5838748800000001</v>
          </cell>
          <cell r="KU108">
            <v>2.8195380000000003E-2</v>
          </cell>
          <cell r="KV108">
            <v>5.3200000000000001E-3</v>
          </cell>
          <cell r="KW108">
            <v>5.280178E-2</v>
          </cell>
          <cell r="KX108">
            <v>0</v>
          </cell>
          <cell r="KY108">
            <v>0</v>
          </cell>
          <cell r="KZ108">
            <v>0.49471243999999998</v>
          </cell>
          <cell r="LA108">
            <v>5.6721800000000003E-2</v>
          </cell>
          <cell r="LB108">
            <v>2.1092400000000001E-2</v>
          </cell>
          <cell r="LC108">
            <v>5.780979E-2</v>
          </cell>
          <cell r="LD108">
            <v>0</v>
          </cell>
          <cell r="LE108">
            <v>0.87382958999999993</v>
          </cell>
          <cell r="LF108">
            <v>0.19332849000000002</v>
          </cell>
          <cell r="LG108">
            <v>14.580088280000002</v>
          </cell>
          <cell r="LH108">
            <v>4.8853449399999995</v>
          </cell>
          <cell r="LI108">
            <v>3.1775986299999999</v>
          </cell>
          <cell r="LJ108">
            <v>5.2539300000000004E-2</v>
          </cell>
          <cell r="LK108">
            <v>1.27466579</v>
          </cell>
          <cell r="LL108">
            <v>2.2940615100000001</v>
          </cell>
          <cell r="LM108">
            <v>1.92660527</v>
          </cell>
          <cell r="LN108">
            <v>4.8750000000000002E-2</v>
          </cell>
          <cell r="LO108">
            <v>2.2524288500000003</v>
          </cell>
          <cell r="LQ108">
            <v>3876.9439553199995</v>
          </cell>
          <cell r="LR108">
            <v>12.356255849999998</v>
          </cell>
          <cell r="LS108">
            <v>60.076282149999997</v>
          </cell>
          <cell r="LT108">
            <v>2.8661316999999999</v>
          </cell>
          <cell r="LU108">
            <v>389.85732896999997</v>
          </cell>
          <cell r="LV108">
            <v>5.8121779999999998E-2</v>
          </cell>
          <cell r="LW108">
            <v>7.78142E-2</v>
          </cell>
          <cell r="LX108">
            <v>1.06715808</v>
          </cell>
          <cell r="LZ108">
            <v>1223.48</v>
          </cell>
          <cell r="MA108">
            <v>2445.35</v>
          </cell>
          <cell r="MH108">
            <v>2214.0700000000002</v>
          </cell>
          <cell r="MI108">
            <v>818.97</v>
          </cell>
          <cell r="MJ108">
            <v>748.7</v>
          </cell>
          <cell r="ML108">
            <v>950.73</v>
          </cell>
          <cell r="MM108">
            <v>1257.3</v>
          </cell>
          <cell r="MO108">
            <v>533.12</v>
          </cell>
          <cell r="MP108">
            <v>1771.02</v>
          </cell>
          <cell r="MQ108">
            <v>1913.59</v>
          </cell>
          <cell r="MU108">
            <v>1494.21</v>
          </cell>
          <cell r="MY108">
            <v>1980.3</v>
          </cell>
          <cell r="MZ108">
            <v>3743</v>
          </cell>
          <cell r="NA108">
            <v>2234</v>
          </cell>
          <cell r="NB108">
            <v>6572</v>
          </cell>
          <cell r="NC108">
            <v>1210.72</v>
          </cell>
          <cell r="ND108">
            <v>7350</v>
          </cell>
          <cell r="NE108">
            <v>4469</v>
          </cell>
        </row>
        <row r="109">
          <cell r="A109">
            <v>45383</v>
          </cell>
          <cell r="B109">
            <v>4</v>
          </cell>
          <cell r="C109">
            <v>2024</v>
          </cell>
          <cell r="D109">
            <v>109</v>
          </cell>
          <cell r="E109">
            <v>45383</v>
          </cell>
          <cell r="F109">
            <v>867.93</v>
          </cell>
          <cell r="G109">
            <v>5830.2271000000001</v>
          </cell>
          <cell r="H109">
            <v>514487.8</v>
          </cell>
          <cell r="I109">
            <v>107</v>
          </cell>
          <cell r="J109">
            <v>650</v>
          </cell>
          <cell r="K109">
            <v>5.4</v>
          </cell>
          <cell r="L109">
            <v>34.968518723075228</v>
          </cell>
          <cell r="N109">
            <v>1.5249999999999999</v>
          </cell>
          <cell r="O109">
            <v>1.1174999999999999</v>
          </cell>
          <cell r="P109">
            <v>1089.4148868749999</v>
          </cell>
          <cell r="Q109">
            <v>30657.871738148988</v>
          </cell>
          <cell r="R109">
            <v>306578.71738148987</v>
          </cell>
          <cell r="S109">
            <v>164.37500720104157</v>
          </cell>
          <cell r="T109">
            <v>299.56332883988341</v>
          </cell>
          <cell r="U109">
            <v>176.93333333333334</v>
          </cell>
          <cell r="V109">
            <v>291.23333333333335</v>
          </cell>
          <cell r="W109">
            <v>163.60766421255173</v>
          </cell>
          <cell r="X109">
            <v>219</v>
          </cell>
          <cell r="Y109">
            <v>142666</v>
          </cell>
          <cell r="Z109">
            <v>260000</v>
          </cell>
          <cell r="AA109">
            <v>153565.74799999999</v>
          </cell>
          <cell r="AB109">
            <v>252770.147</v>
          </cell>
          <cell r="AC109">
            <v>142000</v>
          </cell>
          <cell r="AD109">
            <v>190076.66999999998</v>
          </cell>
          <cell r="AE109">
            <v>190179.76083333333</v>
          </cell>
          <cell r="AF109">
            <v>781633.4</v>
          </cell>
          <cell r="AG109">
            <v>375000</v>
          </cell>
          <cell r="AH109">
            <v>962837.83783783787</v>
          </cell>
          <cell r="AI109">
            <v>410.59</v>
          </cell>
          <cell r="AJ109">
            <v>393.51</v>
          </cell>
          <cell r="AK109">
            <v>214.61</v>
          </cell>
          <cell r="AL109">
            <v>261.99</v>
          </cell>
          <cell r="AM109">
            <v>323.28800000000001</v>
          </cell>
          <cell r="AN109">
            <v>1236.9471428571428</v>
          </cell>
          <cell r="AO109">
            <v>728.05</v>
          </cell>
          <cell r="AP109">
            <v>982.49857142857138</v>
          </cell>
          <cell r="AQ109">
            <v>302.89999999999998</v>
          </cell>
          <cell r="AR109">
            <v>404.96</v>
          </cell>
          <cell r="AS109">
            <v>686.74</v>
          </cell>
          <cell r="AT109">
            <v>709</v>
          </cell>
          <cell r="AU109">
            <v>600.23333333333335</v>
          </cell>
          <cell r="AV109">
            <v>345</v>
          </cell>
          <cell r="AW109">
            <v>254</v>
          </cell>
          <cell r="AX109">
            <v>508</v>
          </cell>
          <cell r="AY109">
            <v>923</v>
          </cell>
          <cell r="AZ109">
            <v>502</v>
          </cell>
          <cell r="BA109">
            <v>227</v>
          </cell>
          <cell r="BB109">
            <v>540</v>
          </cell>
          <cell r="BC109">
            <v>36657</v>
          </cell>
          <cell r="BD109">
            <v>29226</v>
          </cell>
          <cell r="BE109">
            <v>25000</v>
          </cell>
          <cell r="BF109">
            <v>20500</v>
          </cell>
          <cell r="BG109">
            <v>27845.75</v>
          </cell>
          <cell r="BH109">
            <v>2820</v>
          </cell>
          <cell r="BI109">
            <v>0</v>
          </cell>
          <cell r="BJ109">
            <v>2820</v>
          </cell>
          <cell r="BK109">
            <v>1955.3679999999999</v>
          </cell>
          <cell r="BL109">
            <v>2086.38</v>
          </cell>
          <cell r="BM109">
            <v>2020.874</v>
          </cell>
          <cell r="BN109">
            <v>354.87</v>
          </cell>
          <cell r="BO109">
            <v>1789.61</v>
          </cell>
          <cell r="BP109">
            <v>1191.25</v>
          </cell>
          <cell r="BQ109">
            <v>1729.7739999999999</v>
          </cell>
          <cell r="BR109">
            <v>962.43</v>
          </cell>
          <cell r="BS109">
            <v>3500</v>
          </cell>
          <cell r="BT109">
            <v>867.93</v>
          </cell>
          <cell r="BU109">
            <v>44603.79</v>
          </cell>
          <cell r="BV109">
            <v>1472</v>
          </cell>
          <cell r="BW109">
            <v>2200</v>
          </cell>
          <cell r="BY109">
            <v>7819.2385163736617</v>
          </cell>
          <cell r="BZ109">
            <v>7521.7462421177743</v>
          </cell>
          <cell r="CA109">
            <v>7688.6832781323374</v>
          </cell>
          <cell r="CB109">
            <v>7529.070477505883</v>
          </cell>
          <cell r="CC109">
            <v>7716.3007683026881</v>
          </cell>
          <cell r="CD109">
            <v>7855.3440239626598</v>
          </cell>
          <cell r="CE109">
            <v>7501.2248371207834</v>
          </cell>
          <cell r="CF109">
            <v>8205.7458271200976</v>
          </cell>
          <cell r="CG109">
            <v>7749.3948686907415</v>
          </cell>
          <cell r="CH109">
            <v>9365.7945385033108</v>
          </cell>
          <cell r="CI109">
            <v>8205.73187637302</v>
          </cell>
          <cell r="CJ109">
            <v>6797.0017021645945</v>
          </cell>
          <cell r="CK109">
            <v>8683.7943733619668</v>
          </cell>
          <cell r="CL109">
            <v>9842.2431798238485</v>
          </cell>
          <cell r="CM109">
            <v>7438.0200353751416</v>
          </cell>
          <cell r="CN109">
            <v>6807.2952128080115</v>
          </cell>
          <cell r="CO109">
            <v>8192.838200342243</v>
          </cell>
          <cell r="CP109">
            <v>8653.5605787510412</v>
          </cell>
          <cell r="CQ109">
            <v>7262.0771699020706</v>
          </cell>
          <cell r="CR109">
            <v>7240.7075860324849</v>
          </cell>
          <cell r="CS109">
            <v>7251.3923779672778</v>
          </cell>
          <cell r="CT109">
            <v>6672.6543998269444</v>
          </cell>
          <cell r="CU109">
            <v>7194.7775419961436</v>
          </cell>
          <cell r="CV109">
            <v>7562.4936552426861</v>
          </cell>
          <cell r="CW109">
            <v>7562.4936552426861</v>
          </cell>
          <cell r="CX109">
            <v>7439.9216174938383</v>
          </cell>
          <cell r="CY109">
            <v>7128.9573420789593</v>
          </cell>
          <cell r="CZ109">
            <v>8887.772013922644</v>
          </cell>
          <cell r="DA109">
            <v>7143.1688394136099</v>
          </cell>
          <cell r="DB109">
            <v>7643.0374255289335</v>
          </cell>
          <cell r="DC109">
            <v>7631.2848969855568</v>
          </cell>
          <cell r="DD109">
            <v>7321.006869075195</v>
          </cell>
          <cell r="DE109">
            <v>6456.3201121176289</v>
          </cell>
          <cell r="DF109">
            <v>7617.8158680657289</v>
          </cell>
          <cell r="DG109">
            <v>7037.0679900916784</v>
          </cell>
          <cell r="DH109">
            <v>7260.152304966412</v>
          </cell>
          <cell r="DI109">
            <v>6835.5294329982999</v>
          </cell>
          <cell r="DK109">
            <v>650000</v>
          </cell>
          <cell r="DL109" t="str">
            <v>2023-24</v>
          </cell>
          <cell r="DM109">
            <v>200000</v>
          </cell>
          <cell r="DN109" t="str">
            <v>2023-24</v>
          </cell>
          <cell r="DO109">
            <v>1500000</v>
          </cell>
          <cell r="DP109" t="str">
            <v>2023-24</v>
          </cell>
          <cell r="DQ109">
            <v>2000000</v>
          </cell>
          <cell r="DR109" t="str">
            <v>2023-24</v>
          </cell>
          <cell r="DS109">
            <v>7167000</v>
          </cell>
          <cell r="DT109" t="str">
            <v>2023-24</v>
          </cell>
          <cell r="DU109">
            <v>16550000</v>
          </cell>
          <cell r="DV109" t="str">
            <v>2023-24</v>
          </cell>
          <cell r="DW109">
            <v>770000</v>
          </cell>
          <cell r="DX109" t="str">
            <v>2023-24</v>
          </cell>
          <cell r="DY109">
            <v>5900000</v>
          </cell>
          <cell r="DZ109" t="str">
            <v>2023-24</v>
          </cell>
          <cell r="EA109">
            <v>33887000</v>
          </cell>
          <cell r="EB109">
            <v>416490</v>
          </cell>
          <cell r="EC109" t="str">
            <v>2023-24</v>
          </cell>
          <cell r="ED109">
            <v>230256</v>
          </cell>
          <cell r="EE109">
            <v>2024</v>
          </cell>
          <cell r="EF109">
            <v>199946</v>
          </cell>
          <cell r="EG109">
            <v>2024</v>
          </cell>
          <cell r="EH109">
            <v>52783892</v>
          </cell>
          <cell r="EI109">
            <v>2024</v>
          </cell>
          <cell r="EJ109">
            <v>6115215</v>
          </cell>
          <cell r="EK109">
            <v>2024</v>
          </cell>
          <cell r="EL109">
            <v>12609460</v>
          </cell>
          <cell r="EM109">
            <v>2023</v>
          </cell>
          <cell r="EN109">
            <v>3169981</v>
          </cell>
          <cell r="EO109">
            <v>2021</v>
          </cell>
          <cell r="EP109">
            <v>9215</v>
          </cell>
          <cell r="EQ109">
            <v>3500000</v>
          </cell>
          <cell r="ER109">
            <v>80248</v>
          </cell>
          <cell r="ET109">
            <v>19357</v>
          </cell>
          <cell r="EU109">
            <v>18703</v>
          </cell>
          <cell r="EV109">
            <v>8927</v>
          </cell>
          <cell r="EW109">
            <v>17408</v>
          </cell>
          <cell r="EX109">
            <v>64395</v>
          </cell>
          <cell r="EY109">
            <v>20031</v>
          </cell>
          <cell r="EZ109">
            <v>34815</v>
          </cell>
          <cell r="FA109">
            <v>19900</v>
          </cell>
          <cell r="FB109">
            <v>18184</v>
          </cell>
          <cell r="FC109">
            <v>38084</v>
          </cell>
          <cell r="FD109">
            <v>54743</v>
          </cell>
          <cell r="FF109">
            <v>1300000</v>
          </cell>
          <cell r="FG109" t="str">
            <v>2023-24</v>
          </cell>
          <cell r="FH109">
            <v>1300000</v>
          </cell>
          <cell r="FI109" t="str">
            <v>2023-24</v>
          </cell>
          <cell r="FJ109">
            <v>5100000</v>
          </cell>
          <cell r="FK109" t="str">
            <v>2023-24</v>
          </cell>
          <cell r="FL109">
            <v>4300000</v>
          </cell>
          <cell r="FM109" t="str">
            <v>2023-24</v>
          </cell>
          <cell r="FN109">
            <v>49500000</v>
          </cell>
          <cell r="FO109" t="str">
            <v>2023-24</v>
          </cell>
          <cell r="FP109">
            <v>49700000</v>
          </cell>
          <cell r="FQ109" t="str">
            <v>2023-24</v>
          </cell>
          <cell r="FR109">
            <v>1600000</v>
          </cell>
          <cell r="FS109" t="str">
            <v>2022-23</v>
          </cell>
          <cell r="FT109">
            <v>15900000</v>
          </cell>
          <cell r="FU109" t="str">
            <v>2023-24</v>
          </cell>
          <cell r="FV109">
            <v>126100000</v>
          </cell>
          <cell r="FW109">
            <v>1604722</v>
          </cell>
          <cell r="FX109" t="str">
            <v>2023-24</v>
          </cell>
          <cell r="FY109">
            <v>132580</v>
          </cell>
          <cell r="FZ109">
            <v>917077.5</v>
          </cell>
          <cell r="GA109" t="str">
            <v>may23 abr24</v>
          </cell>
          <cell r="GB109">
            <v>19189740</v>
          </cell>
          <cell r="GC109">
            <v>2024</v>
          </cell>
          <cell r="GD109">
            <v>1714000</v>
          </cell>
          <cell r="GE109">
            <v>424000</v>
          </cell>
          <cell r="GF109">
            <v>1165000</v>
          </cell>
          <cell r="GG109">
            <v>145000</v>
          </cell>
          <cell r="GH109">
            <v>1734000</v>
          </cell>
          <cell r="GI109">
            <v>1302556</v>
          </cell>
          <cell r="GJ109">
            <v>682423</v>
          </cell>
          <cell r="GK109">
            <v>1391495</v>
          </cell>
          <cell r="GL109">
            <v>305049</v>
          </cell>
          <cell r="GM109">
            <v>260419</v>
          </cell>
          <cell r="GN109">
            <v>2639386</v>
          </cell>
          <cell r="GO109">
            <v>201734</v>
          </cell>
          <cell r="GP109">
            <v>69297</v>
          </cell>
          <cell r="GQ109">
            <v>57442</v>
          </cell>
          <cell r="GR109">
            <v>34035</v>
          </cell>
          <cell r="GS109">
            <v>35758.26</v>
          </cell>
          <cell r="GT109">
            <v>2111561</v>
          </cell>
          <cell r="GU109">
            <v>63319</v>
          </cell>
          <cell r="GV109">
            <v>29238</v>
          </cell>
          <cell r="GW109">
            <v>749389</v>
          </cell>
          <cell r="GX109">
            <v>30804.553</v>
          </cell>
          <cell r="GY109" t="str">
            <v>2023-2024</v>
          </cell>
          <cell r="GZ109">
            <v>80786</v>
          </cell>
          <cell r="HA109">
            <v>242199</v>
          </cell>
          <cell r="HB109">
            <v>3192390</v>
          </cell>
          <cell r="HC109" t="str">
            <v>may23 abr24</v>
          </cell>
          <cell r="HD109">
            <v>68442</v>
          </cell>
          <cell r="HE109">
            <v>765346</v>
          </cell>
          <cell r="HF109" t="str">
            <v>may23 abr24</v>
          </cell>
          <cell r="HG109">
            <v>189000</v>
          </cell>
          <cell r="HH109">
            <v>2297000</v>
          </cell>
          <cell r="HI109" t="str">
            <v>may23 abr24</v>
          </cell>
          <cell r="HJ109">
            <v>92795</v>
          </cell>
          <cell r="HK109">
            <v>68457.48</v>
          </cell>
          <cell r="HL109" t="str">
            <v>may23 abr24</v>
          </cell>
          <cell r="HM109">
            <v>2365457.48</v>
          </cell>
          <cell r="HN109">
            <v>-0.16295427901524029</v>
          </cell>
          <cell r="HO109">
            <v>714000000</v>
          </cell>
          <cell r="HP109">
            <v>10824.307084</v>
          </cell>
          <cell r="HQ109" t="str">
            <v>may23 abr24</v>
          </cell>
          <cell r="HU109">
            <v>700000</v>
          </cell>
          <cell r="HV109" t="str">
            <v>2022-23</v>
          </cell>
          <cell r="HW109">
            <v>1500000</v>
          </cell>
          <cell r="HX109" t="str">
            <v>2023-24</v>
          </cell>
          <cell r="HY109">
            <v>4600000</v>
          </cell>
          <cell r="HZ109" t="str">
            <v>2023-24</v>
          </cell>
          <cell r="IA109">
            <v>21600000</v>
          </cell>
          <cell r="IB109" t="str">
            <v>2023-24</v>
          </cell>
          <cell r="IC109">
            <v>45000000</v>
          </cell>
          <cell r="ID109" t="str">
            <v>2023-24</v>
          </cell>
          <cell r="IE109">
            <v>1500000</v>
          </cell>
          <cell r="IF109" t="str">
            <v>2023-24</v>
          </cell>
          <cell r="IG109">
            <v>7400000</v>
          </cell>
          <cell r="IH109" t="str">
            <v>2023-24</v>
          </cell>
          <cell r="II109">
            <v>81600000</v>
          </cell>
          <cell r="IJ109">
            <v>2.160083392153568</v>
          </cell>
          <cell r="IK109" t="str">
            <v>2022-23</v>
          </cell>
          <cell r="IL109">
            <v>46.23</v>
          </cell>
          <cell r="IM109">
            <v>49.37</v>
          </cell>
          <cell r="IN109">
            <v>159.5</v>
          </cell>
          <cell r="IO109">
            <v>16.62</v>
          </cell>
          <cell r="IP109">
            <v>5.5789164694027633</v>
          </cell>
          <cell r="IQ109">
            <v>16.3</v>
          </cell>
          <cell r="IR109">
            <v>6.09</v>
          </cell>
          <cell r="IS109">
            <v>4.03</v>
          </cell>
          <cell r="IT109">
            <v>11.98</v>
          </cell>
          <cell r="IU109">
            <v>1.38</v>
          </cell>
          <cell r="IV109">
            <v>17.39</v>
          </cell>
          <cell r="IY109">
            <v>1.88</v>
          </cell>
          <cell r="IZ109">
            <v>0.3</v>
          </cell>
          <cell r="JA109">
            <v>2813</v>
          </cell>
          <cell r="JF109">
            <v>18.258202080000007</v>
          </cell>
          <cell r="JG109">
            <v>22.35722878</v>
          </cell>
          <cell r="JH109">
            <v>95.042432099999999</v>
          </cell>
          <cell r="JI109">
            <v>146.95185445999999</v>
          </cell>
          <cell r="JJ109">
            <v>910.51869054999997</v>
          </cell>
          <cell r="JK109">
            <v>65.127016839999982</v>
          </cell>
          <cell r="JL109">
            <v>2445.0359502000001</v>
          </cell>
          <cell r="JM109">
            <v>0.09</v>
          </cell>
          <cell r="JN109">
            <v>220.44888877999998</v>
          </cell>
          <cell r="JO109">
            <v>33.675059580000003</v>
          </cell>
          <cell r="JP109">
            <v>0</v>
          </cell>
          <cell r="JQ109">
            <v>13.063914</v>
          </cell>
          <cell r="JR109">
            <v>1.41104976</v>
          </cell>
          <cell r="JS109">
            <v>0</v>
          </cell>
          <cell r="JT109">
            <v>0.39963144</v>
          </cell>
          <cell r="JU109">
            <v>70.799436420000006</v>
          </cell>
          <cell r="JV109">
            <v>10.309276389999999</v>
          </cell>
          <cell r="JW109">
            <v>36.54701326</v>
          </cell>
          <cell r="JX109">
            <v>15.35654993</v>
          </cell>
          <cell r="JY109">
            <v>0</v>
          </cell>
          <cell r="JZ109">
            <v>3.2760219999999998</v>
          </cell>
          <cell r="KA109">
            <v>2.5000000000000001E-3</v>
          </cell>
          <cell r="KB109">
            <v>32.635385889999995</v>
          </cell>
          <cell r="KC109">
            <v>17.697801470000002</v>
          </cell>
          <cell r="KD109">
            <v>8.852789640000001</v>
          </cell>
          <cell r="KE109">
            <v>16.174522229999997</v>
          </cell>
          <cell r="KF109">
            <v>39.062197300000001</v>
          </cell>
          <cell r="KG109">
            <v>316.28118749999999</v>
          </cell>
          <cell r="KH109">
            <v>118.3786056</v>
          </cell>
          <cell r="KI109">
            <v>22.502102959999998</v>
          </cell>
          <cell r="KJ109">
            <v>2.2533318799999997</v>
          </cell>
          <cell r="KK109">
            <v>3.9375346699999998</v>
          </cell>
          <cell r="KL109">
            <v>0.50080292000000004</v>
          </cell>
          <cell r="KM109">
            <v>0.14310648000000001</v>
          </cell>
          <cell r="KN109">
            <v>2.9990557599999996</v>
          </cell>
          <cell r="KO109">
            <v>1.4645786699999996</v>
          </cell>
          <cell r="KP109">
            <v>0.111375</v>
          </cell>
          <cell r="KQ109">
            <v>296.11216481000002</v>
          </cell>
          <cell r="KR109">
            <v>0.03</v>
          </cell>
          <cell r="KS109">
            <v>0.20538020000000001</v>
          </cell>
          <cell r="KT109">
            <v>1.4070700599999999</v>
          </cell>
          <cell r="KU109">
            <v>1.6812999999999999E-3</v>
          </cell>
          <cell r="KV109">
            <v>6.5636E-2</v>
          </cell>
          <cell r="KW109">
            <v>0.10505866</v>
          </cell>
          <cell r="KX109">
            <v>0</v>
          </cell>
          <cell r="KY109">
            <v>0</v>
          </cell>
          <cell r="KZ109">
            <v>1.01985657</v>
          </cell>
          <cell r="LA109">
            <v>0.23997390000000002</v>
          </cell>
          <cell r="LB109">
            <v>5.4900499999999998E-2</v>
          </cell>
          <cell r="LC109">
            <v>6.1385419999999996E-2</v>
          </cell>
          <cell r="LD109">
            <v>0</v>
          </cell>
          <cell r="LE109">
            <v>0.51376160000000004</v>
          </cell>
          <cell r="LF109">
            <v>0.31574400000000002</v>
          </cell>
          <cell r="LG109">
            <v>17.561880160000001</v>
          </cell>
          <cell r="LH109">
            <v>5.1284923700000009</v>
          </cell>
          <cell r="LI109">
            <v>3.2398820599999998</v>
          </cell>
          <cell r="LJ109">
            <v>0</v>
          </cell>
          <cell r="LK109">
            <v>4.2232492399999995</v>
          </cell>
          <cell r="LL109">
            <v>3.6004889900000006</v>
          </cell>
          <cell r="LM109">
            <v>1.6724867599999997</v>
          </cell>
          <cell r="LN109">
            <v>0.23010199000000001</v>
          </cell>
          <cell r="LO109">
            <v>3.5088459899999997</v>
          </cell>
          <cell r="LQ109">
            <v>3818.0878160900002</v>
          </cell>
          <cell r="LR109">
            <v>14.874595200000002</v>
          </cell>
          <cell r="LS109">
            <v>46.856289650000001</v>
          </cell>
          <cell r="LT109">
            <v>3.2785219999999997</v>
          </cell>
          <cell r="LU109">
            <v>300.95428591999996</v>
          </cell>
          <cell r="LV109">
            <v>0.17069466</v>
          </cell>
          <cell r="LW109">
            <v>0.29487440000000004</v>
          </cell>
          <cell r="LX109">
            <v>0.82950560000000007</v>
          </cell>
          <cell r="LZ109">
            <v>1282.05</v>
          </cell>
          <cell r="MA109">
            <v>2422.83</v>
          </cell>
          <cell r="MH109">
            <v>2376.84</v>
          </cell>
          <cell r="MI109">
            <v>816.97</v>
          </cell>
          <cell r="MJ109">
            <v>734.05</v>
          </cell>
          <cell r="ML109">
            <v>1056.1600000000001</v>
          </cell>
          <cell r="MM109">
            <v>2171.36</v>
          </cell>
          <cell r="MO109">
            <v>535.46</v>
          </cell>
          <cell r="MP109">
            <v>1957.46</v>
          </cell>
          <cell r="MQ109">
            <v>2000.46</v>
          </cell>
          <cell r="MU109">
            <v>1656.48</v>
          </cell>
          <cell r="MY109">
            <v>1988.45</v>
          </cell>
          <cell r="MZ109">
            <v>4171</v>
          </cell>
          <cell r="NA109">
            <v>2425</v>
          </cell>
          <cell r="NB109">
            <v>6795</v>
          </cell>
          <cell r="NC109">
            <v>1276.28</v>
          </cell>
          <cell r="ND109">
            <v>7000</v>
          </cell>
          <cell r="NE109">
            <v>4462</v>
          </cell>
        </row>
        <row r="110">
          <cell r="A110">
            <v>45413</v>
          </cell>
          <cell r="B110">
            <v>5</v>
          </cell>
          <cell r="C110">
            <v>2024</v>
          </cell>
          <cell r="D110">
            <v>110</v>
          </cell>
          <cell r="E110">
            <v>45413</v>
          </cell>
          <cell r="F110">
            <v>885.65</v>
          </cell>
          <cell r="G110">
            <v>6073.7165000000005</v>
          </cell>
          <cell r="H110">
            <v>550501.94999999995</v>
          </cell>
          <cell r="I110">
            <v>109</v>
          </cell>
          <cell r="J110">
            <v>555</v>
          </cell>
          <cell r="K110">
            <v>5.3</v>
          </cell>
          <cell r="L110">
            <v>35.744368542878114</v>
          </cell>
          <cell r="N110">
            <v>1.488</v>
          </cell>
          <cell r="O110">
            <v>1.1439999999999999</v>
          </cell>
          <cell r="P110">
            <v>1107.2396299999998</v>
          </cell>
          <cell r="Q110">
            <v>32037.611533742329</v>
          </cell>
          <cell r="R110">
            <v>320376.11533742328</v>
          </cell>
          <cell r="S110">
            <v>185.97075594196355</v>
          </cell>
          <cell r="T110">
            <v>301.62705357646928</v>
          </cell>
          <cell r="U110">
            <v>183.55</v>
          </cell>
          <cell r="V110">
            <v>303.95999999999998</v>
          </cell>
          <cell r="W110">
            <v>165.72235081578503</v>
          </cell>
          <cell r="X110">
            <v>243</v>
          </cell>
          <cell r="Y110">
            <v>164705</v>
          </cell>
          <cell r="Z110">
            <v>267136</v>
          </cell>
          <cell r="AA110">
            <v>162561.0575</v>
          </cell>
          <cell r="AB110">
            <v>269202.174</v>
          </cell>
          <cell r="AC110">
            <v>146772</v>
          </cell>
          <cell r="AD110">
            <v>215212.94999999998</v>
          </cell>
          <cell r="AE110">
            <v>204264.86358333332</v>
          </cell>
          <cell r="AF110">
            <v>788537.04761904757</v>
          </cell>
          <cell r="AG110">
            <v>330000</v>
          </cell>
          <cell r="AH110">
            <v>847297.29729729728</v>
          </cell>
          <cell r="AI110">
            <v>420.76</v>
          </cell>
          <cell r="AJ110">
            <v>333.76</v>
          </cell>
          <cell r="AK110">
            <v>232.91</v>
          </cell>
          <cell r="AL110">
            <v>270.01</v>
          </cell>
          <cell r="AM110">
            <v>332.25899999999996</v>
          </cell>
          <cell r="AN110">
            <v>1287.51</v>
          </cell>
          <cell r="AO110">
            <v>724.52</v>
          </cell>
          <cell r="AP110">
            <v>1006.015</v>
          </cell>
          <cell r="AQ110">
            <v>326.31</v>
          </cell>
          <cell r="AR110">
            <v>418.51</v>
          </cell>
          <cell r="AS110">
            <v>766.26</v>
          </cell>
          <cell r="AT110">
            <v>614.19000000000005</v>
          </cell>
          <cell r="AU110">
            <v>599.65333333333331</v>
          </cell>
          <cell r="AV110">
            <v>358.46</v>
          </cell>
          <cell r="AW110">
            <v>259.2</v>
          </cell>
          <cell r="AX110">
            <v>563.11</v>
          </cell>
          <cell r="AY110">
            <v>2100</v>
          </cell>
          <cell r="AZ110">
            <v>515.39</v>
          </cell>
          <cell r="BA110">
            <v>238.48</v>
          </cell>
          <cell r="BB110">
            <v>854.245</v>
          </cell>
          <cell r="BC110">
            <v>36657</v>
          </cell>
          <cell r="BD110">
            <v>29226</v>
          </cell>
          <cell r="BE110">
            <v>25000</v>
          </cell>
          <cell r="BF110">
            <v>20500</v>
          </cell>
          <cell r="BG110">
            <v>27845.75</v>
          </cell>
          <cell r="BH110">
            <v>2820</v>
          </cell>
          <cell r="BI110">
            <v>600</v>
          </cell>
          <cell r="BJ110">
            <v>3420</v>
          </cell>
          <cell r="BK110">
            <v>1983.422</v>
          </cell>
          <cell r="BL110">
            <v>2069.7800000000002</v>
          </cell>
          <cell r="BM110">
            <v>2026.6010000000001</v>
          </cell>
          <cell r="BN110">
            <v>389.33</v>
          </cell>
          <cell r="BO110">
            <v>1687.68</v>
          </cell>
          <cell r="BP110">
            <v>1191.25</v>
          </cell>
          <cell r="BQ110">
            <v>1439.4650000000001</v>
          </cell>
          <cell r="BR110">
            <v>927.35</v>
          </cell>
          <cell r="BS110">
            <v>3500</v>
          </cell>
          <cell r="BT110">
            <v>929.9325</v>
          </cell>
          <cell r="BU110">
            <v>44789.797500000001</v>
          </cell>
          <cell r="BV110">
            <v>1481</v>
          </cell>
          <cell r="BW110">
            <v>2182</v>
          </cell>
          <cell r="BY110">
            <v>7939.0023743079464</v>
          </cell>
          <cell r="BZ110">
            <v>7767.87548706295</v>
          </cell>
          <cell r="CA110">
            <v>8086.4718844302433</v>
          </cell>
          <cell r="CB110">
            <v>7795.0067963937163</v>
          </cell>
          <cell r="CC110">
            <v>8009.9488242731495</v>
          </cell>
          <cell r="CD110">
            <v>8192.865603127937</v>
          </cell>
          <cell r="CE110">
            <v>7722.4931400092928</v>
          </cell>
          <cell r="CF110">
            <v>8633.916870409188</v>
          </cell>
          <cell r="CG110">
            <v>8073.45051977392</v>
          </cell>
          <cell r="CH110">
            <v>9546.6960696593742</v>
          </cell>
          <cell r="CI110">
            <v>8344.1881491746753</v>
          </cell>
          <cell r="CJ110">
            <v>7064.1419233580791</v>
          </cell>
          <cell r="CK110">
            <v>9064.4110243342548</v>
          </cell>
          <cell r="CL110">
            <v>14712.652219989575</v>
          </cell>
          <cell r="CM110">
            <v>7697.7856256667892</v>
          </cell>
          <cell r="CN110">
            <v>7084.7795403957207</v>
          </cell>
          <cell r="CO110">
            <v>9639.9071025965841</v>
          </cell>
          <cell r="CP110">
            <v>8859.7082387472219</v>
          </cell>
          <cell r="CQ110">
            <v>7522.4601851809548</v>
          </cell>
          <cell r="CR110">
            <v>7449.8280772665876</v>
          </cell>
          <cell r="CS110">
            <v>7486.1441312237712</v>
          </cell>
          <cell r="CT110">
            <v>6894.3712674152157</v>
          </cell>
          <cell r="CU110">
            <v>7369.0014817748734</v>
          </cell>
          <cell r="CV110">
            <v>7824.7275906512159</v>
          </cell>
          <cell r="CW110">
            <v>7824.7275906512159</v>
          </cell>
          <cell r="CX110">
            <v>7672.8188876924351</v>
          </cell>
          <cell r="CY110">
            <v>7388.5156081342957</v>
          </cell>
          <cell r="CZ110">
            <v>9254.2882611110999</v>
          </cell>
          <cell r="DA110">
            <v>7493.2291273489373</v>
          </cell>
          <cell r="DB110">
            <v>7802.1975869942144</v>
          </cell>
          <cell r="DC110">
            <v>8087.6814746374821</v>
          </cell>
          <cell r="DD110">
            <v>7710.5250940941769</v>
          </cell>
          <cell r="DE110">
            <v>6849.0514574206873</v>
          </cell>
          <cell r="DF110">
            <v>8029.8145413442671</v>
          </cell>
          <cell r="DG110">
            <v>7439.4329993824776</v>
          </cell>
          <cell r="DH110">
            <v>7507.1516849967438</v>
          </cell>
          <cell r="DI110">
            <v>7134.9585522672241</v>
          </cell>
          <cell r="DK110">
            <v>650000</v>
          </cell>
          <cell r="DL110" t="str">
            <v>2023-24</v>
          </cell>
          <cell r="DM110">
            <v>200000</v>
          </cell>
          <cell r="DN110" t="str">
            <v>2023-24</v>
          </cell>
          <cell r="DO110">
            <v>1500000</v>
          </cell>
          <cell r="DP110" t="str">
            <v>2024-25</v>
          </cell>
          <cell r="DQ110">
            <v>1900000</v>
          </cell>
          <cell r="DR110" t="str">
            <v>2023-24</v>
          </cell>
          <cell r="DS110">
            <v>7544000</v>
          </cell>
          <cell r="DT110" t="str">
            <v>2023-24</v>
          </cell>
          <cell r="DU110">
            <v>16550000</v>
          </cell>
          <cell r="DV110" t="str">
            <v>2023-24</v>
          </cell>
          <cell r="DW110">
            <v>770000</v>
          </cell>
          <cell r="DX110" t="str">
            <v>2023-24</v>
          </cell>
          <cell r="DY110">
            <v>6150000</v>
          </cell>
          <cell r="DZ110" t="str">
            <v>2024-25</v>
          </cell>
          <cell r="EA110">
            <v>34414000</v>
          </cell>
          <cell r="EB110">
            <v>416490</v>
          </cell>
          <cell r="EC110" t="str">
            <v>2023-24</v>
          </cell>
          <cell r="ED110">
            <v>230256</v>
          </cell>
          <cell r="EE110">
            <v>2024</v>
          </cell>
          <cell r="EF110">
            <v>199946</v>
          </cell>
          <cell r="EG110">
            <v>2024</v>
          </cell>
          <cell r="EH110">
            <v>52783892</v>
          </cell>
          <cell r="EI110">
            <v>2024</v>
          </cell>
          <cell r="EJ110">
            <v>6115215</v>
          </cell>
          <cell r="EK110">
            <v>2024</v>
          </cell>
          <cell r="EL110">
            <v>12609460</v>
          </cell>
          <cell r="EM110">
            <v>2023</v>
          </cell>
          <cell r="EN110">
            <v>3169981</v>
          </cell>
          <cell r="EO110">
            <v>2021</v>
          </cell>
          <cell r="EP110">
            <v>9147</v>
          </cell>
          <cell r="EQ110">
            <v>3500000</v>
          </cell>
          <cell r="ER110">
            <v>80248</v>
          </cell>
          <cell r="ET110">
            <v>19357</v>
          </cell>
          <cell r="EU110">
            <v>18703</v>
          </cell>
          <cell r="EV110">
            <v>8927</v>
          </cell>
          <cell r="EW110">
            <v>17408</v>
          </cell>
          <cell r="EX110">
            <v>64395</v>
          </cell>
          <cell r="EY110">
            <v>20031</v>
          </cell>
          <cell r="EZ110">
            <v>34815</v>
          </cell>
          <cell r="FA110">
            <v>19900</v>
          </cell>
          <cell r="FB110">
            <v>18184</v>
          </cell>
          <cell r="FC110">
            <v>38084</v>
          </cell>
          <cell r="FD110">
            <v>54743</v>
          </cell>
          <cell r="FF110">
            <v>1300000</v>
          </cell>
          <cell r="FG110" t="str">
            <v>2023-24</v>
          </cell>
          <cell r="FH110">
            <v>1300000</v>
          </cell>
          <cell r="FI110" t="str">
            <v>2023-24</v>
          </cell>
          <cell r="FJ110">
            <v>5100000</v>
          </cell>
          <cell r="FK110" t="str">
            <v>2023-24</v>
          </cell>
          <cell r="FL110">
            <v>4200000</v>
          </cell>
          <cell r="FM110" t="str">
            <v>2023-24</v>
          </cell>
          <cell r="FN110">
            <v>46500000</v>
          </cell>
          <cell r="FO110" t="str">
            <v>2023-24</v>
          </cell>
          <cell r="FP110">
            <v>49700000</v>
          </cell>
          <cell r="FQ110" t="str">
            <v>2023-24</v>
          </cell>
          <cell r="FR110">
            <v>2600000</v>
          </cell>
          <cell r="FS110" t="str">
            <v>2023-24</v>
          </cell>
          <cell r="FT110">
            <v>15900000</v>
          </cell>
          <cell r="FU110" t="str">
            <v>2023-24</v>
          </cell>
          <cell r="FV110">
            <v>124000000</v>
          </cell>
          <cell r="FW110">
            <v>1604722</v>
          </cell>
          <cell r="FX110" t="str">
            <v>2023-24</v>
          </cell>
          <cell r="FY110">
            <v>157336</v>
          </cell>
          <cell r="FZ110">
            <v>952034.5</v>
          </cell>
          <cell r="GA110" t="str">
            <v>jun23 may24</v>
          </cell>
          <cell r="GB110">
            <v>19189740</v>
          </cell>
          <cell r="GC110">
            <v>2024</v>
          </cell>
          <cell r="GD110">
            <v>1714000</v>
          </cell>
          <cell r="GE110">
            <v>424000</v>
          </cell>
          <cell r="GF110">
            <v>1165000</v>
          </cell>
          <cell r="GG110">
            <v>145000</v>
          </cell>
          <cell r="GH110">
            <v>1734000</v>
          </cell>
          <cell r="GI110">
            <v>1302556</v>
          </cell>
          <cell r="GJ110">
            <v>682423</v>
          </cell>
          <cell r="GK110">
            <v>1391495</v>
          </cell>
          <cell r="GL110">
            <v>305049</v>
          </cell>
          <cell r="GM110">
            <v>260419</v>
          </cell>
          <cell r="GN110">
            <v>2639386</v>
          </cell>
          <cell r="GO110">
            <v>201734</v>
          </cell>
          <cell r="GP110">
            <v>69297</v>
          </cell>
          <cell r="GQ110">
            <v>38944</v>
          </cell>
          <cell r="GR110">
            <v>34035</v>
          </cell>
          <cell r="GS110">
            <v>35203.32</v>
          </cell>
          <cell r="GT110">
            <v>2111561</v>
          </cell>
          <cell r="GU110">
            <v>54595</v>
          </cell>
          <cell r="GV110">
            <v>26617</v>
          </cell>
          <cell r="GW110">
            <v>753443</v>
          </cell>
          <cell r="GX110">
            <v>30804.553</v>
          </cell>
          <cell r="GY110" t="str">
            <v>2023-2024</v>
          </cell>
          <cell r="GZ110">
            <v>80786</v>
          </cell>
          <cell r="HA110">
            <v>265678</v>
          </cell>
          <cell r="HB110">
            <v>3169849</v>
          </cell>
          <cell r="HC110" t="str">
            <v>jun23 may24</v>
          </cell>
          <cell r="HD110">
            <v>73278</v>
          </cell>
          <cell r="HE110">
            <v>771477</v>
          </cell>
          <cell r="HF110" t="str">
            <v>jun23 may24</v>
          </cell>
          <cell r="HG110">
            <v>196000</v>
          </cell>
          <cell r="HH110">
            <v>2297000</v>
          </cell>
          <cell r="HI110" t="str">
            <v>jun23 may24</v>
          </cell>
          <cell r="HJ110">
            <v>94943</v>
          </cell>
          <cell r="HK110">
            <v>68136.12</v>
          </cell>
          <cell r="HL110" t="str">
            <v>jun23 may24</v>
          </cell>
          <cell r="HM110">
            <v>2365136.12</v>
          </cell>
          <cell r="HN110">
            <v>-0.10755395476085794</v>
          </cell>
          <cell r="HO110">
            <v>787137411.90092325</v>
          </cell>
          <cell r="HP110">
            <v>10729.444495900923</v>
          </cell>
          <cell r="HQ110" t="str">
            <v>jun23 may24</v>
          </cell>
          <cell r="HU110">
            <v>700000</v>
          </cell>
          <cell r="HV110" t="str">
            <v>2023-24</v>
          </cell>
          <cell r="HW110">
            <v>1500000</v>
          </cell>
          <cell r="HX110" t="str">
            <v>2023-24</v>
          </cell>
          <cell r="HY110">
            <v>4600000</v>
          </cell>
          <cell r="HZ110" t="str">
            <v>2023-24</v>
          </cell>
          <cell r="IA110">
            <v>21600000</v>
          </cell>
          <cell r="IB110" t="str">
            <v>2023-24</v>
          </cell>
          <cell r="IC110">
            <v>45000000</v>
          </cell>
          <cell r="ID110" t="str">
            <v>2023-24</v>
          </cell>
          <cell r="IE110">
            <v>1500000</v>
          </cell>
          <cell r="IF110" t="str">
            <v>2023-24</v>
          </cell>
          <cell r="IG110">
            <v>7400000</v>
          </cell>
          <cell r="IH110" t="str">
            <v>2023-24</v>
          </cell>
          <cell r="II110">
            <v>81600000</v>
          </cell>
          <cell r="IJ110">
            <v>2.160083392153568</v>
          </cell>
          <cell r="IK110" t="str">
            <v>2023-24</v>
          </cell>
          <cell r="IL110">
            <v>45.52</v>
          </cell>
          <cell r="IM110">
            <v>49.18</v>
          </cell>
          <cell r="IN110">
            <v>155.80000000000001</v>
          </cell>
          <cell r="IO110">
            <v>16.68</v>
          </cell>
          <cell r="IP110">
            <v>5.5789164694027633</v>
          </cell>
          <cell r="IQ110">
            <v>16.3</v>
          </cell>
          <cell r="IR110">
            <v>6.09</v>
          </cell>
          <cell r="IS110">
            <v>4.03</v>
          </cell>
          <cell r="IT110">
            <v>11.98</v>
          </cell>
          <cell r="IU110">
            <v>1.38</v>
          </cell>
          <cell r="IV110">
            <v>17.39</v>
          </cell>
          <cell r="IY110">
            <v>1.88</v>
          </cell>
          <cell r="IZ110">
            <v>0.3</v>
          </cell>
          <cell r="JA110">
            <v>2813</v>
          </cell>
          <cell r="JF110">
            <v>14.529816729999997</v>
          </cell>
          <cell r="JG110">
            <v>32.785113670000001</v>
          </cell>
          <cell r="JH110">
            <v>84.825069659999983</v>
          </cell>
          <cell r="JI110">
            <v>273.41087562000001</v>
          </cell>
          <cell r="JJ110">
            <v>730.02034002999994</v>
          </cell>
          <cell r="JK110">
            <v>63.473924160000003</v>
          </cell>
          <cell r="JL110">
            <v>3483.5287146800006</v>
          </cell>
          <cell r="JM110">
            <v>49.940609049999999</v>
          </cell>
          <cell r="JN110">
            <v>183.34017652000003</v>
          </cell>
          <cell r="JO110">
            <v>34.45773063</v>
          </cell>
          <cell r="JP110">
            <v>0</v>
          </cell>
          <cell r="JQ110">
            <v>10.070773300000001</v>
          </cell>
          <cell r="JR110">
            <v>1.7009031500000003</v>
          </cell>
          <cell r="JS110">
            <v>0</v>
          </cell>
          <cell r="JT110">
            <v>0.19261201</v>
          </cell>
          <cell r="JU110">
            <v>84.428757199999993</v>
          </cell>
          <cell r="JV110">
            <v>12.39432347</v>
          </cell>
          <cell r="JW110">
            <v>32.908446089999998</v>
          </cell>
          <cell r="JX110">
            <v>34.939358250000005</v>
          </cell>
          <cell r="JY110">
            <v>0</v>
          </cell>
          <cell r="JZ110">
            <v>2.1988176799999999</v>
          </cell>
          <cell r="KA110">
            <v>0.1075</v>
          </cell>
          <cell r="KB110">
            <v>19.29025034</v>
          </cell>
          <cell r="KC110">
            <v>31.625168280000004</v>
          </cell>
          <cell r="KD110">
            <v>7.2906957700000001</v>
          </cell>
          <cell r="KE110">
            <v>19.199801710000003</v>
          </cell>
          <cell r="KF110">
            <v>22.778743510000002</v>
          </cell>
          <cell r="KG110">
            <v>309.32423856999998</v>
          </cell>
          <cell r="KH110">
            <v>113.57779348999999</v>
          </cell>
          <cell r="KI110">
            <v>17.774232269999999</v>
          </cell>
          <cell r="KJ110">
            <v>1.9296841299999996</v>
          </cell>
          <cell r="KK110">
            <v>4.5516111999999991</v>
          </cell>
          <cell r="KL110">
            <v>0.23845672000000001</v>
          </cell>
          <cell r="KM110">
            <v>0.61797058000000005</v>
          </cell>
          <cell r="KN110">
            <v>0.38608139000000002</v>
          </cell>
          <cell r="KO110">
            <v>5.5839339999999993</v>
          </cell>
          <cell r="KP110">
            <v>8.714181E-2</v>
          </cell>
          <cell r="KQ110">
            <v>329.41429038000001</v>
          </cell>
          <cell r="KR110">
            <v>0.38584553000000005</v>
          </cell>
          <cell r="KS110">
            <v>0.16040794999999999</v>
          </cell>
          <cell r="KT110">
            <v>1.9938344900000002</v>
          </cell>
          <cell r="KU110">
            <v>0.12198517</v>
          </cell>
          <cell r="KV110">
            <v>0.1114098</v>
          </cell>
          <cell r="KW110">
            <v>1.4514015200000001</v>
          </cell>
          <cell r="KX110">
            <v>0</v>
          </cell>
          <cell r="KY110">
            <v>1.7099999999999999E-3</v>
          </cell>
          <cell r="KZ110">
            <v>1.3068112300000001</v>
          </cell>
          <cell r="LA110">
            <v>0.32288670000000003</v>
          </cell>
          <cell r="LB110">
            <v>0</v>
          </cell>
          <cell r="LC110">
            <v>3.755054E-2</v>
          </cell>
          <cell r="LD110">
            <v>0</v>
          </cell>
          <cell r="LE110">
            <v>0.14963789999999999</v>
          </cell>
          <cell r="LF110">
            <v>0.15787200000000001</v>
          </cell>
          <cell r="LG110">
            <v>19.941855059999995</v>
          </cell>
          <cell r="LH110">
            <v>5.5991701699999998</v>
          </cell>
          <cell r="LI110">
            <v>1.50586095</v>
          </cell>
          <cell r="LJ110">
            <v>0</v>
          </cell>
          <cell r="LK110">
            <v>1.7294530099999998</v>
          </cell>
          <cell r="LL110">
            <v>3.3189943100000003</v>
          </cell>
          <cell r="LM110">
            <v>1.6658761100000001</v>
          </cell>
          <cell r="LN110">
            <v>0.13589592</v>
          </cell>
          <cell r="LO110">
            <v>2.7920763000000002</v>
          </cell>
          <cell r="LQ110">
            <v>4805.0657855600002</v>
          </cell>
          <cell r="LR110">
            <v>11.964288460000001</v>
          </cell>
          <cell r="LS110">
            <v>45.302769560000002</v>
          </cell>
          <cell r="LT110">
            <v>2.3063176799999998</v>
          </cell>
          <cell r="LU110">
            <v>336.54852982999995</v>
          </cell>
          <cell r="LV110">
            <v>1.5645213200000003</v>
          </cell>
          <cell r="LW110">
            <v>0.32288670000000003</v>
          </cell>
          <cell r="LX110">
            <v>0.3075099</v>
          </cell>
          <cell r="LZ110">
            <v>1266.4000000000001</v>
          </cell>
          <cell r="MA110">
            <v>2351.11</v>
          </cell>
          <cell r="MH110">
            <v>2501.86</v>
          </cell>
          <cell r="MI110">
            <v>786.85</v>
          </cell>
          <cell r="MJ110">
            <v>714.83</v>
          </cell>
          <cell r="ML110">
            <v>1138.07</v>
          </cell>
          <cell r="MM110">
            <v>3750.92</v>
          </cell>
          <cell r="MO110">
            <v>553.88</v>
          </cell>
          <cell r="MP110">
            <v>2005.07</v>
          </cell>
          <cell r="MQ110">
            <v>2051.4699999999998</v>
          </cell>
          <cell r="MU110">
            <v>1091.94</v>
          </cell>
          <cell r="MY110">
            <v>2120.84</v>
          </cell>
          <cell r="MZ110">
            <v>4327</v>
          </cell>
          <cell r="NA110">
            <v>2539</v>
          </cell>
          <cell r="NB110">
            <v>6833</v>
          </cell>
          <cell r="NC110">
            <v>1320.05</v>
          </cell>
          <cell r="ND110">
            <v>7400</v>
          </cell>
          <cell r="NE110">
            <v>4420</v>
          </cell>
        </row>
        <row r="111">
          <cell r="A111">
            <v>45444</v>
          </cell>
          <cell r="B111">
            <v>6</v>
          </cell>
          <cell r="C111">
            <v>2024</v>
          </cell>
          <cell r="D111">
            <v>111</v>
          </cell>
          <cell r="E111">
            <v>45444</v>
          </cell>
          <cell r="F111">
            <v>902.5</v>
          </cell>
          <cell r="G111">
            <v>6351.7</v>
          </cell>
          <cell r="H111">
            <v>578027.04</v>
          </cell>
          <cell r="I111">
            <v>110</v>
          </cell>
          <cell r="J111">
            <v>534</v>
          </cell>
          <cell r="K111">
            <v>4.9000000000000004</v>
          </cell>
          <cell r="L111">
            <v>35.077008310249305</v>
          </cell>
          <cell r="N111">
            <v>1.5175000000000001</v>
          </cell>
          <cell r="O111">
            <v>1.2</v>
          </cell>
          <cell r="P111">
            <v>1164.95828125</v>
          </cell>
          <cell r="Q111">
            <v>38184.457925925926</v>
          </cell>
          <cell r="R111">
            <v>381844.57925925928</v>
          </cell>
          <cell r="S111">
            <v>193.82049861495844</v>
          </cell>
          <cell r="T111">
            <v>324.65373961218836</v>
          </cell>
          <cell r="U111">
            <v>182.42</v>
          </cell>
          <cell r="V111">
            <v>300.27999999999997</v>
          </cell>
          <cell r="W111">
            <v>184.20720221606649</v>
          </cell>
          <cell r="X111">
            <v>229</v>
          </cell>
          <cell r="Y111">
            <v>174923</v>
          </cell>
          <cell r="Z111">
            <v>293000</v>
          </cell>
          <cell r="AA111">
            <v>164634.04999999999</v>
          </cell>
          <cell r="AB111">
            <v>271002.69999999995</v>
          </cell>
          <cell r="AC111">
            <v>166247</v>
          </cell>
          <cell r="AD111">
            <v>206672.5</v>
          </cell>
          <cell r="AE111">
            <v>212746.54166666666</v>
          </cell>
          <cell r="AF111">
            <v>809674.3529411765</v>
          </cell>
          <cell r="AG111">
            <v>300000</v>
          </cell>
          <cell r="AH111">
            <v>770270.27027027018</v>
          </cell>
          <cell r="AI111">
            <v>467.16</v>
          </cell>
          <cell r="AJ111">
            <v>315.54000000000002</v>
          </cell>
          <cell r="AK111">
            <v>270.86</v>
          </cell>
          <cell r="AL111">
            <v>272.95</v>
          </cell>
          <cell r="AM111">
            <v>363.4468</v>
          </cell>
          <cell r="AN111">
            <v>1299.3499999999999</v>
          </cell>
          <cell r="AO111">
            <v>686.27</v>
          </cell>
          <cell r="AP111">
            <v>992.81</v>
          </cell>
          <cell r="AQ111">
            <v>321.95999999999998</v>
          </cell>
          <cell r="AR111">
            <v>415.82</v>
          </cell>
          <cell r="AS111">
            <v>438.97</v>
          </cell>
          <cell r="AT111">
            <v>548.27</v>
          </cell>
          <cell r="AU111">
            <v>467.68666666666667</v>
          </cell>
          <cell r="AV111">
            <v>392.01</v>
          </cell>
          <cell r="AW111">
            <v>208.65</v>
          </cell>
          <cell r="AX111">
            <v>632.46</v>
          </cell>
          <cell r="AY111">
            <v>1821.92</v>
          </cell>
          <cell r="AZ111">
            <v>546.99</v>
          </cell>
          <cell r="BA111">
            <v>235</v>
          </cell>
          <cell r="BB111">
            <v>809.09249999999997</v>
          </cell>
          <cell r="BC111">
            <v>32387</v>
          </cell>
          <cell r="BD111">
            <v>29148</v>
          </cell>
          <cell r="BE111">
            <v>22087.868619908884</v>
          </cell>
          <cell r="BF111">
            <v>20500</v>
          </cell>
          <cell r="BG111">
            <v>26030.717154977221</v>
          </cell>
          <cell r="BH111">
            <v>2820</v>
          </cell>
          <cell r="BI111">
            <v>600</v>
          </cell>
          <cell r="BJ111">
            <v>3420</v>
          </cell>
          <cell r="BK111">
            <v>2007.6969999999999</v>
          </cell>
          <cell r="BL111">
            <v>2052.06</v>
          </cell>
          <cell r="BM111">
            <v>2029.8784999999998</v>
          </cell>
          <cell r="BN111">
            <v>403.38</v>
          </cell>
          <cell r="BO111">
            <v>1680.85</v>
          </cell>
          <cell r="BP111">
            <v>1226.81</v>
          </cell>
          <cell r="BQ111">
            <v>1453.83</v>
          </cell>
          <cell r="BR111">
            <v>924.03</v>
          </cell>
          <cell r="BS111">
            <v>3900</v>
          </cell>
          <cell r="BT111">
            <v>1010.8000000000001</v>
          </cell>
          <cell r="BU111">
            <v>49832.4</v>
          </cell>
          <cell r="BV111">
            <v>1461</v>
          </cell>
          <cell r="BW111">
            <v>2167</v>
          </cell>
          <cell r="BY111">
            <v>8070.9621348695746</v>
          </cell>
          <cell r="BZ111">
            <v>7866.6337127258457</v>
          </cell>
          <cell r="CA111">
            <v>8184.1938671080325</v>
          </cell>
          <cell r="CB111">
            <v>7993.2409945169284</v>
          </cell>
          <cell r="CC111">
            <v>8029.5639936109437</v>
          </cell>
          <cell r="CD111">
            <v>8209.7628130406247</v>
          </cell>
          <cell r="CE111">
            <v>8023.495640653452</v>
          </cell>
          <cell r="CF111">
            <v>8548.4677219333353</v>
          </cell>
          <cell r="CG111">
            <v>8164.7875051438868</v>
          </cell>
          <cell r="CH111">
            <v>9667.8663664984506</v>
          </cell>
          <cell r="CI111">
            <v>8477.111158805852</v>
          </cell>
          <cell r="CJ111">
            <v>7070.0129383623253</v>
          </cell>
          <cell r="CK111">
            <v>9443.1031084690367</v>
          </cell>
          <cell r="CL111">
            <v>13613.991076052849</v>
          </cell>
          <cell r="CM111">
            <v>7945.457556452533</v>
          </cell>
          <cell r="CN111">
            <v>7209.9662461274902</v>
          </cell>
          <cell r="CO111">
            <v>9553.1294967754766</v>
          </cell>
          <cell r="CP111">
            <v>9135.4726564681187</v>
          </cell>
          <cell r="CQ111">
            <v>7675.4966350077339</v>
          </cell>
          <cell r="CR111">
            <v>7534.2162417112122</v>
          </cell>
          <cell r="CS111">
            <v>7604.856438359473</v>
          </cell>
          <cell r="CT111">
            <v>7009.5773944627381</v>
          </cell>
          <cell r="CU111">
            <v>7446.6118663291254</v>
          </cell>
          <cell r="CV111">
            <v>7467.7796242893037</v>
          </cell>
          <cell r="CW111">
            <v>7467.7796242893037</v>
          </cell>
          <cell r="CX111">
            <v>7460.723704969244</v>
          </cell>
          <cell r="CY111">
            <v>7571.2287480117711</v>
          </cell>
          <cell r="CZ111">
            <v>9504.6893641736297</v>
          </cell>
          <cell r="DA111">
            <v>7715.3010602962722</v>
          </cell>
          <cell r="DB111">
            <v>7897.4941701526914</v>
          </cell>
          <cell r="DC111">
            <v>8256.6337164080869</v>
          </cell>
          <cell r="DD111">
            <v>7851.5070133063855</v>
          </cell>
          <cell r="DE111">
            <v>6989.6239169942392</v>
          </cell>
          <cell r="DF111">
            <v>8163.5251767063364</v>
          </cell>
          <cell r="DG111">
            <v>7576.5745468502882</v>
          </cell>
          <cell r="DH111">
            <v>7653.3523709150868</v>
          </cell>
          <cell r="DI111">
            <v>7444.7815460716629</v>
          </cell>
          <cell r="DK111">
            <v>650000</v>
          </cell>
          <cell r="DL111" t="str">
            <v>2023-24</v>
          </cell>
          <cell r="DM111">
            <v>200000</v>
          </cell>
          <cell r="DN111" t="str">
            <v>2023-24</v>
          </cell>
          <cell r="DO111">
            <v>1500000</v>
          </cell>
          <cell r="DP111" t="str">
            <v>2024-25</v>
          </cell>
          <cell r="DQ111">
            <v>1900000</v>
          </cell>
          <cell r="DR111" t="str">
            <v>2023-24</v>
          </cell>
          <cell r="DS111">
            <v>7600000</v>
          </cell>
          <cell r="DT111" t="str">
            <v>2023-24</v>
          </cell>
          <cell r="DU111">
            <v>16700000</v>
          </cell>
          <cell r="DV111" t="str">
            <v>2023-24</v>
          </cell>
          <cell r="DW111">
            <v>800000</v>
          </cell>
          <cell r="DX111" t="str">
            <v>2023-24</v>
          </cell>
          <cell r="DY111">
            <v>6300000</v>
          </cell>
          <cell r="DZ111" t="str">
            <v>2024-25</v>
          </cell>
          <cell r="EA111">
            <v>34800000</v>
          </cell>
          <cell r="EB111">
            <v>416490</v>
          </cell>
          <cell r="EC111" t="str">
            <v>2023-24</v>
          </cell>
          <cell r="ED111">
            <v>230256</v>
          </cell>
          <cell r="EE111">
            <v>2024</v>
          </cell>
          <cell r="EF111">
            <v>199946</v>
          </cell>
          <cell r="EG111">
            <v>2024</v>
          </cell>
          <cell r="EH111">
            <v>52783892</v>
          </cell>
          <cell r="EI111">
            <v>2024</v>
          </cell>
          <cell r="EJ111">
            <v>6115215</v>
          </cell>
          <cell r="EK111">
            <v>2024</v>
          </cell>
          <cell r="EL111">
            <v>12609460</v>
          </cell>
          <cell r="EM111">
            <v>2023</v>
          </cell>
          <cell r="EN111">
            <v>3169981</v>
          </cell>
          <cell r="EO111">
            <v>2021</v>
          </cell>
          <cell r="EP111">
            <v>9143</v>
          </cell>
          <cell r="EQ111">
            <v>3500000</v>
          </cell>
          <cell r="ER111">
            <v>80248</v>
          </cell>
          <cell r="ET111">
            <v>19357</v>
          </cell>
          <cell r="EU111">
            <v>18703</v>
          </cell>
          <cell r="EV111">
            <v>8927</v>
          </cell>
          <cell r="EW111">
            <v>17408</v>
          </cell>
          <cell r="EX111">
            <v>64395</v>
          </cell>
          <cell r="EY111">
            <v>20031</v>
          </cell>
          <cell r="EZ111">
            <v>34815</v>
          </cell>
          <cell r="FA111">
            <v>19900</v>
          </cell>
          <cell r="FB111">
            <v>18184</v>
          </cell>
          <cell r="FC111">
            <v>38084</v>
          </cell>
          <cell r="FD111">
            <v>54743</v>
          </cell>
          <cell r="FF111">
            <v>1300000</v>
          </cell>
          <cell r="FG111" t="str">
            <v>2023-24</v>
          </cell>
          <cell r="FH111">
            <v>1300000</v>
          </cell>
          <cell r="FI111" t="str">
            <v>2023-24</v>
          </cell>
          <cell r="FJ111">
            <v>5100000</v>
          </cell>
          <cell r="FK111" t="str">
            <v>2023-24</v>
          </cell>
          <cell r="FL111">
            <v>4100000</v>
          </cell>
          <cell r="FM111" t="str">
            <v>2023-24</v>
          </cell>
          <cell r="FN111">
            <v>46500000</v>
          </cell>
          <cell r="FO111" t="str">
            <v>2023-24</v>
          </cell>
          <cell r="FP111">
            <v>49200000</v>
          </cell>
          <cell r="FQ111" t="str">
            <v>2023-24</v>
          </cell>
          <cell r="FR111">
            <v>2600000</v>
          </cell>
          <cell r="FS111" t="str">
            <v>2023-24</v>
          </cell>
          <cell r="FT111">
            <v>15900000</v>
          </cell>
          <cell r="FU111" t="str">
            <v>2023-24</v>
          </cell>
          <cell r="FV111">
            <v>123400000</v>
          </cell>
          <cell r="FW111">
            <v>1604722</v>
          </cell>
          <cell r="FX111" t="str">
            <v>2023-24</v>
          </cell>
          <cell r="FY111">
            <v>137571</v>
          </cell>
          <cell r="FZ111">
            <v>950612.5</v>
          </cell>
          <cell r="GA111" t="str">
            <v>jul23 jun24</v>
          </cell>
          <cell r="GB111">
            <v>19189740</v>
          </cell>
          <cell r="GC111">
            <v>2024</v>
          </cell>
          <cell r="GD111">
            <v>1714000</v>
          </cell>
          <cell r="GE111">
            <v>424000</v>
          </cell>
          <cell r="GF111">
            <v>1165000</v>
          </cell>
          <cell r="GG111">
            <v>145000</v>
          </cell>
          <cell r="GH111">
            <v>1734000</v>
          </cell>
          <cell r="GI111">
            <v>1302556</v>
          </cell>
          <cell r="GJ111">
            <v>682423</v>
          </cell>
          <cell r="GK111">
            <v>1391495</v>
          </cell>
          <cell r="GL111">
            <v>305049</v>
          </cell>
          <cell r="GM111">
            <v>260419</v>
          </cell>
          <cell r="GN111">
            <v>2639386</v>
          </cell>
          <cell r="GO111">
            <v>201734</v>
          </cell>
          <cell r="GP111">
            <v>69297</v>
          </cell>
          <cell r="GQ111">
            <v>19936</v>
          </cell>
          <cell r="GR111">
            <v>34035</v>
          </cell>
          <cell r="GS111">
            <v>34633.08</v>
          </cell>
          <cell r="GT111">
            <v>2111561</v>
          </cell>
          <cell r="GU111">
            <v>35348</v>
          </cell>
          <cell r="GV111">
            <v>24863</v>
          </cell>
          <cell r="GW111">
            <v>742525</v>
          </cell>
          <cell r="GX111">
            <v>30804.553</v>
          </cell>
          <cell r="GY111" t="str">
            <v>2023-2024</v>
          </cell>
          <cell r="GZ111">
            <v>80786</v>
          </cell>
          <cell r="HA111">
            <v>232250</v>
          </cell>
          <cell r="HB111">
            <v>3104914</v>
          </cell>
          <cell r="HC111" t="str">
            <v>jul23 jun24</v>
          </cell>
          <cell r="HD111">
            <v>65067</v>
          </cell>
          <cell r="HE111">
            <v>771841</v>
          </cell>
          <cell r="HF111" t="str">
            <v>jul23 jun24</v>
          </cell>
          <cell r="HG111">
            <v>167000</v>
          </cell>
          <cell r="HH111">
            <v>2272000</v>
          </cell>
          <cell r="HI111" t="str">
            <v>jul23 jun24</v>
          </cell>
          <cell r="HJ111">
            <v>74850</v>
          </cell>
          <cell r="HK111">
            <v>67125.240000000005</v>
          </cell>
          <cell r="HL111" t="str">
            <v>jul23 jun24</v>
          </cell>
          <cell r="HM111">
            <v>2339125.2400000002</v>
          </cell>
          <cell r="HN111">
            <v>-7.1438849986485198E-2</v>
          </cell>
          <cell r="HO111">
            <v>841539493</v>
          </cell>
          <cell r="HP111">
            <v>10664.700656900923</v>
          </cell>
          <cell r="HQ111" t="str">
            <v>jul23 jun24</v>
          </cell>
          <cell r="HU111">
            <v>700000</v>
          </cell>
          <cell r="HV111" t="str">
            <v>2023-24</v>
          </cell>
          <cell r="HW111">
            <v>1500000</v>
          </cell>
          <cell r="HX111" t="str">
            <v>2023-24</v>
          </cell>
          <cell r="HY111">
            <v>4600000</v>
          </cell>
          <cell r="HZ111" t="str">
            <v>2023-24</v>
          </cell>
          <cell r="IA111">
            <v>21600000</v>
          </cell>
          <cell r="IB111" t="str">
            <v>2023-24</v>
          </cell>
          <cell r="IC111">
            <v>45000000</v>
          </cell>
          <cell r="ID111" t="str">
            <v>2023-24</v>
          </cell>
          <cell r="IE111">
            <v>1500000</v>
          </cell>
          <cell r="IF111" t="str">
            <v>2023-24</v>
          </cell>
          <cell r="IG111">
            <v>7400000</v>
          </cell>
          <cell r="IH111" t="str">
            <v>2023-24</v>
          </cell>
          <cell r="II111">
            <v>81600000</v>
          </cell>
          <cell r="IJ111">
            <v>2.160083392153568</v>
          </cell>
          <cell r="IK111" t="str">
            <v>2023-24</v>
          </cell>
          <cell r="IL111">
            <v>44.85</v>
          </cell>
          <cell r="IM111">
            <v>47.58</v>
          </cell>
          <cell r="IN111">
            <v>156.30000000000001</v>
          </cell>
          <cell r="IO111">
            <v>16.64</v>
          </cell>
          <cell r="IP111">
            <v>5.5789164694027633</v>
          </cell>
          <cell r="IQ111">
            <v>16.3</v>
          </cell>
          <cell r="IR111">
            <v>6.09</v>
          </cell>
          <cell r="IS111">
            <v>4.03</v>
          </cell>
          <cell r="IT111">
            <v>11.98</v>
          </cell>
          <cell r="IU111">
            <v>1.38</v>
          </cell>
          <cell r="IV111">
            <v>17.39</v>
          </cell>
          <cell r="IY111">
            <v>1.88</v>
          </cell>
          <cell r="IZ111">
            <v>0.3</v>
          </cell>
          <cell r="JA111">
            <v>2813</v>
          </cell>
          <cell r="JF111">
            <v>21.439575039999998</v>
          </cell>
          <cell r="JG111">
            <v>35.598317799999997</v>
          </cell>
          <cell r="JH111">
            <v>103.05695759</v>
          </cell>
          <cell r="JI111">
            <v>133.7857564</v>
          </cell>
          <cell r="JJ111">
            <v>599.92056376999983</v>
          </cell>
          <cell r="JK111">
            <v>98.487414479999984</v>
          </cell>
          <cell r="JL111">
            <v>3224.2360384699996</v>
          </cell>
          <cell r="JM111">
            <v>85.621992520000006</v>
          </cell>
          <cell r="JN111">
            <v>109.99468967999999</v>
          </cell>
          <cell r="JO111">
            <v>30.986019150000001</v>
          </cell>
          <cell r="JP111">
            <v>0</v>
          </cell>
          <cell r="JQ111">
            <v>4.5602030600000001</v>
          </cell>
          <cell r="JR111">
            <v>1.0288099500000001</v>
          </cell>
          <cell r="JS111">
            <v>0</v>
          </cell>
          <cell r="JT111">
            <v>4.7935999999999999E-2</v>
          </cell>
          <cell r="JU111">
            <v>55.887516779999999</v>
          </cell>
          <cell r="JV111">
            <v>26.14942551</v>
          </cell>
          <cell r="JW111">
            <v>20.513283869999999</v>
          </cell>
          <cell r="JX111">
            <v>48.881386450000008</v>
          </cell>
          <cell r="JY111">
            <v>0</v>
          </cell>
          <cell r="JZ111">
            <v>6.0914225200000001</v>
          </cell>
          <cell r="KA111">
            <v>1.0126399999999999E-2</v>
          </cell>
          <cell r="KB111">
            <v>16.38459563</v>
          </cell>
          <cell r="KC111">
            <v>58.671597329999997</v>
          </cell>
          <cell r="KD111">
            <v>11.077079630000002</v>
          </cell>
          <cell r="KE111">
            <v>20.702965450000001</v>
          </cell>
          <cell r="KF111">
            <v>19.314763240000005</v>
          </cell>
          <cell r="KG111">
            <v>311.98041742999999</v>
          </cell>
          <cell r="KH111">
            <v>102.41564730000002</v>
          </cell>
          <cell r="KI111">
            <v>19.03918719</v>
          </cell>
          <cell r="KJ111">
            <v>2.7596131099999996</v>
          </cell>
          <cell r="KK111">
            <v>3.2956469100000003</v>
          </cell>
          <cell r="KL111">
            <v>0.48301414000000004</v>
          </cell>
          <cell r="KM111">
            <v>0.60092099999999993</v>
          </cell>
          <cell r="KN111">
            <v>0.48928885999999999</v>
          </cell>
          <cell r="KO111">
            <v>2.0819342700000001</v>
          </cell>
          <cell r="KP111">
            <v>8.4906640000000005E-2</v>
          </cell>
          <cell r="KQ111">
            <v>289.91090764</v>
          </cell>
          <cell r="KR111">
            <v>0.20466999999999999</v>
          </cell>
          <cell r="KS111">
            <v>8.7640489999999988E-2</v>
          </cell>
          <cell r="KT111">
            <v>1.8725515799999999</v>
          </cell>
          <cell r="KU111">
            <v>0.1712014</v>
          </cell>
          <cell r="KV111">
            <v>7.195E-2</v>
          </cell>
          <cell r="KW111">
            <v>1.44153033</v>
          </cell>
          <cell r="KX111">
            <v>0</v>
          </cell>
          <cell r="KY111">
            <v>0</v>
          </cell>
          <cell r="KZ111">
            <v>0.34545517000000003</v>
          </cell>
          <cell r="LA111">
            <v>0.21821550000000001</v>
          </cell>
          <cell r="LB111">
            <v>0.1554111</v>
          </cell>
          <cell r="LC111">
            <v>2.2996290000000003E-2</v>
          </cell>
          <cell r="LD111">
            <v>0</v>
          </cell>
          <cell r="LE111">
            <v>0</v>
          </cell>
          <cell r="LF111">
            <v>0</v>
          </cell>
          <cell r="LG111">
            <v>13.53170609</v>
          </cell>
          <cell r="LH111">
            <v>4.3331795800000004</v>
          </cell>
          <cell r="LI111">
            <v>1.1554743999999999</v>
          </cell>
          <cell r="LJ111">
            <v>0</v>
          </cell>
          <cell r="LK111">
            <v>5.6916922899999998</v>
          </cell>
          <cell r="LL111">
            <v>2.3751918999999999</v>
          </cell>
          <cell r="LM111">
            <v>0.83472519000000012</v>
          </cell>
          <cell r="LN111">
            <v>0.24821200999999998</v>
          </cell>
          <cell r="LO111">
            <v>1.7163214500000001</v>
          </cell>
          <cell r="LQ111">
            <v>4256.6159984299993</v>
          </cell>
          <cell r="LR111">
            <v>5.6369490100000004</v>
          </cell>
          <cell r="LS111">
            <v>46.662709379999995</v>
          </cell>
          <cell r="LT111">
            <v>6.1015489199999999</v>
          </cell>
          <cell r="LU111">
            <v>293.37536226000003</v>
          </cell>
          <cell r="LV111">
            <v>1.5134803299999999</v>
          </cell>
          <cell r="LW111">
            <v>0.37362660000000003</v>
          </cell>
          <cell r="LX111">
            <v>0</v>
          </cell>
          <cell r="LZ111">
            <v>1303.0999999999999</v>
          </cell>
          <cell r="MA111">
            <v>2336.91</v>
          </cell>
          <cell r="MH111">
            <v>2597.5</v>
          </cell>
          <cell r="MI111">
            <v>828.26</v>
          </cell>
          <cell r="MJ111">
            <v>708.8</v>
          </cell>
          <cell r="ML111">
            <v>1145.95</v>
          </cell>
          <cell r="MM111">
            <v>3458.52</v>
          </cell>
          <cell r="MO111">
            <v>595.57000000000005</v>
          </cell>
          <cell r="MP111">
            <v>2008</v>
          </cell>
          <cell r="MQ111">
            <v>2081.4699999999998</v>
          </cell>
          <cell r="MU111">
            <v>890.09</v>
          </cell>
          <cell r="MY111">
            <v>2230.3000000000002</v>
          </cell>
          <cell r="MZ111">
            <v>4690</v>
          </cell>
          <cell r="NA111">
            <v>2504</v>
          </cell>
          <cell r="NB111">
            <v>7062</v>
          </cell>
          <cell r="NC111">
            <v>1355.43</v>
          </cell>
          <cell r="ND111">
            <v>7400</v>
          </cell>
          <cell r="NE111">
            <v>4495</v>
          </cell>
        </row>
        <row r="112">
          <cell r="A112">
            <v>45474</v>
          </cell>
          <cell r="B112">
            <v>7</v>
          </cell>
          <cell r="C112">
            <v>2024</v>
          </cell>
          <cell r="D112">
            <v>112</v>
          </cell>
          <cell r="E112">
            <v>45474</v>
          </cell>
          <cell r="F112">
            <v>921.77</v>
          </cell>
          <cell r="G112">
            <v>6607.7479000000003</v>
          </cell>
          <cell r="H112">
            <v>618488.93000000005</v>
          </cell>
          <cell r="I112">
            <v>112</v>
          </cell>
          <cell r="J112">
            <v>570</v>
          </cell>
          <cell r="K112">
            <v>4.9000000000000004</v>
          </cell>
          <cell r="L112">
            <v>33.200000000000003</v>
          </cell>
          <cell r="N112">
            <v>1.54</v>
          </cell>
          <cell r="O112">
            <v>1.25</v>
          </cell>
          <cell r="P112">
            <v>1221.5756925000001</v>
          </cell>
          <cell r="Q112">
            <v>38704</v>
          </cell>
          <cell r="R112">
            <v>387040</v>
          </cell>
          <cell r="S112">
            <v>195.27647894811071</v>
          </cell>
          <cell r="T112">
            <v>331.42757954804347</v>
          </cell>
          <cell r="U112">
            <v>176</v>
          </cell>
          <cell r="V112">
            <v>293.39999999999998</v>
          </cell>
          <cell r="W112">
            <v>184.69900300508803</v>
          </cell>
          <cell r="X112">
            <v>221</v>
          </cell>
          <cell r="Y112">
            <v>180000</v>
          </cell>
          <cell r="Z112">
            <v>305500</v>
          </cell>
          <cell r="AA112">
            <v>162231.51999999999</v>
          </cell>
          <cell r="AB112">
            <v>270447.31799999997</v>
          </cell>
          <cell r="AC112">
            <v>170250</v>
          </cell>
          <cell r="AD112">
            <v>203711.16999999998</v>
          </cell>
          <cell r="AE112">
            <v>215356.66800000001</v>
          </cell>
          <cell r="AF112">
            <v>827769.5</v>
          </cell>
          <cell r="AG112">
            <v>280000</v>
          </cell>
          <cell r="AH112">
            <v>718918.91891891882</v>
          </cell>
          <cell r="AI112">
            <v>444.93</v>
          </cell>
          <cell r="AJ112">
            <v>333.98</v>
          </cell>
          <cell r="AK112">
            <v>282.2</v>
          </cell>
          <cell r="AL112">
            <v>300.68</v>
          </cell>
          <cell r="AM112">
            <v>363.56220000000002</v>
          </cell>
          <cell r="AN112">
            <v>1260.93</v>
          </cell>
          <cell r="AO112">
            <v>555.55999999999995</v>
          </cell>
          <cell r="AP112">
            <v>908.245</v>
          </cell>
          <cell r="AQ112">
            <v>303.20999999999998</v>
          </cell>
          <cell r="AR112">
            <v>330.86</v>
          </cell>
          <cell r="AS112">
            <v>396.59</v>
          </cell>
          <cell r="AT112">
            <v>554.54999999999995</v>
          </cell>
          <cell r="AU112">
            <v>427.33333333333331</v>
          </cell>
          <cell r="AV112">
            <v>536.09</v>
          </cell>
          <cell r="AW112">
            <v>232.16</v>
          </cell>
          <cell r="AX112">
            <v>1039.71</v>
          </cell>
          <cell r="AY112">
            <v>2063</v>
          </cell>
          <cell r="AZ112">
            <v>748.13</v>
          </cell>
          <cell r="BA112">
            <v>252.88</v>
          </cell>
          <cell r="BB112">
            <v>1025.93</v>
          </cell>
          <cell r="BC112">
            <v>33520</v>
          </cell>
          <cell r="BD112">
            <v>30168</v>
          </cell>
          <cell r="BE112">
            <v>26000</v>
          </cell>
          <cell r="BF112">
            <v>20500</v>
          </cell>
          <cell r="BG112">
            <v>27547</v>
          </cell>
          <cell r="BH112">
            <v>2820</v>
          </cell>
          <cell r="BI112">
            <v>600</v>
          </cell>
          <cell r="BJ112">
            <v>3420</v>
          </cell>
          <cell r="BK112">
            <v>2067.8110000000001</v>
          </cell>
          <cell r="BL112">
            <v>2303.2199999999998</v>
          </cell>
          <cell r="BM112">
            <v>2185.5155</v>
          </cell>
          <cell r="BN112">
            <v>411.7</v>
          </cell>
          <cell r="BO112">
            <v>1716.38</v>
          </cell>
          <cell r="BP112">
            <v>1313.31</v>
          </cell>
          <cell r="BQ112">
            <v>1514.845</v>
          </cell>
          <cell r="BR112">
            <v>1010.0150000000001</v>
          </cell>
          <cell r="BS112">
            <v>4500</v>
          </cell>
          <cell r="BT112">
            <v>1041.6000999999999</v>
          </cell>
          <cell r="BU112">
            <v>57124.800300000003</v>
          </cell>
          <cell r="BV112">
            <v>1573</v>
          </cell>
          <cell r="BW112">
            <v>2357</v>
          </cell>
          <cell r="BY112">
            <v>8327.558200024112</v>
          </cell>
          <cell r="BZ112">
            <v>8067.4189958667685</v>
          </cell>
          <cell r="CA112">
            <v>8289.3543631521643</v>
          </cell>
          <cell r="CB112">
            <v>8099.3590160133708</v>
          </cell>
          <cell r="CC112">
            <v>7991.1780607200144</v>
          </cell>
          <cell r="CD112">
            <v>8238.4414340986696</v>
          </cell>
          <cell r="CE112">
            <v>8090.3539937791902</v>
          </cell>
          <cell r="CF112">
            <v>8572.685550738739</v>
          </cell>
          <cell r="CG112">
            <v>8213.5620697503564</v>
          </cell>
          <cell r="CH112">
            <v>9820.1383287531244</v>
          </cell>
          <cell r="CI112">
            <v>9201.2300919023019</v>
          </cell>
          <cell r="CJ112">
            <v>7479.8318378580507</v>
          </cell>
          <cell r="CK112">
            <v>11622.340814522318</v>
          </cell>
          <cell r="CL112">
            <v>14747.137773554041</v>
          </cell>
          <cell r="CM112">
            <v>8996.1275377904367</v>
          </cell>
          <cell r="CN112">
            <v>7539.1618355123537</v>
          </cell>
          <cell r="CO112">
            <v>10726.191990344789</v>
          </cell>
          <cell r="CP112">
            <v>9542.9663861078243</v>
          </cell>
          <cell r="CQ112">
            <v>7951.9279435245098</v>
          </cell>
          <cell r="CR112">
            <v>7647.695283445074</v>
          </cell>
          <cell r="CS112">
            <v>7799.8116134847915</v>
          </cell>
          <cell r="CT112">
            <v>7272.4214853862231</v>
          </cell>
          <cell r="CU112">
            <v>7591.8978025787301</v>
          </cell>
          <cell r="CV112">
            <v>7672.0861113732935</v>
          </cell>
          <cell r="CW112">
            <v>7672.0861113732935</v>
          </cell>
          <cell r="CX112">
            <v>7645.356675108439</v>
          </cell>
          <cell r="CY112">
            <v>7918.790029173957</v>
          </cell>
          <cell r="CZ112">
            <v>9990.029498383803</v>
          </cell>
          <cell r="DA112">
            <v>8136.1911124898907</v>
          </cell>
          <cell r="DB112">
            <v>8218.0653386338854</v>
          </cell>
          <cell r="DC112">
            <v>8304.0651420190443</v>
          </cell>
          <cell r="DD112">
            <v>7903.4010275740966</v>
          </cell>
          <cell r="DE112">
            <v>7015.1492410987321</v>
          </cell>
          <cell r="DF112">
            <v>8152.7902200890567</v>
          </cell>
          <cell r="DG112">
            <v>7583.9697305938944</v>
          </cell>
          <cell r="DH112">
            <v>8028.5444246065836</v>
          </cell>
          <cell r="DI112">
            <v>7960.8909525009467</v>
          </cell>
          <cell r="DK112">
            <v>650000</v>
          </cell>
          <cell r="DL112" t="str">
            <v>2023-24</v>
          </cell>
          <cell r="DM112">
            <v>200000</v>
          </cell>
          <cell r="DN112" t="str">
            <v>2023-24</v>
          </cell>
          <cell r="DO112">
            <v>1500000</v>
          </cell>
          <cell r="DP112" t="str">
            <v>2024-25</v>
          </cell>
          <cell r="DQ112">
            <v>1900000</v>
          </cell>
          <cell r="DR112" t="str">
            <v>2023-24</v>
          </cell>
          <cell r="DS112">
            <v>7600000</v>
          </cell>
          <cell r="DT112" t="str">
            <v>2023-24</v>
          </cell>
          <cell r="DU112">
            <v>16700000</v>
          </cell>
          <cell r="DV112" t="str">
            <v>2023-24</v>
          </cell>
          <cell r="DW112">
            <v>800000</v>
          </cell>
          <cell r="DX112" t="str">
            <v>2023-24</v>
          </cell>
          <cell r="DY112">
            <v>6300000</v>
          </cell>
          <cell r="DZ112" t="str">
            <v>2024-25</v>
          </cell>
          <cell r="EA112">
            <v>34800000</v>
          </cell>
          <cell r="EB112">
            <v>416490</v>
          </cell>
          <cell r="EC112" t="str">
            <v>2023-24</v>
          </cell>
          <cell r="ED112">
            <v>230256</v>
          </cell>
          <cell r="EE112">
            <v>2024</v>
          </cell>
          <cell r="EF112">
            <v>199946</v>
          </cell>
          <cell r="EG112">
            <v>2024</v>
          </cell>
          <cell r="EH112">
            <v>52783892</v>
          </cell>
          <cell r="EI112">
            <v>2024</v>
          </cell>
          <cell r="EJ112">
            <v>6115215</v>
          </cell>
          <cell r="EK112">
            <v>2024</v>
          </cell>
          <cell r="EL112">
            <v>12609460</v>
          </cell>
          <cell r="EM112">
            <v>2023</v>
          </cell>
          <cell r="EN112">
            <v>3169981</v>
          </cell>
          <cell r="EO112">
            <v>2021</v>
          </cell>
          <cell r="EP112">
            <v>9100</v>
          </cell>
          <cell r="EQ112">
            <v>3500000</v>
          </cell>
          <cell r="ER112">
            <v>80248</v>
          </cell>
          <cell r="ET112">
            <v>19357</v>
          </cell>
          <cell r="EU112">
            <v>18703</v>
          </cell>
          <cell r="EV112">
            <v>8927</v>
          </cell>
          <cell r="EW112">
            <v>17408</v>
          </cell>
          <cell r="EX112">
            <v>64395</v>
          </cell>
          <cell r="EY112">
            <v>20031</v>
          </cell>
          <cell r="EZ112">
            <v>34815</v>
          </cell>
          <cell r="FA112">
            <v>19900</v>
          </cell>
          <cell r="FB112">
            <v>18184</v>
          </cell>
          <cell r="FC112">
            <v>38084</v>
          </cell>
          <cell r="FD112">
            <v>60376</v>
          </cell>
          <cell r="FF112">
            <v>1300000</v>
          </cell>
          <cell r="FG112" t="str">
            <v>2023-24</v>
          </cell>
          <cell r="FH112">
            <v>1300000</v>
          </cell>
          <cell r="FI112" t="str">
            <v>2023-24</v>
          </cell>
          <cell r="FJ112">
            <v>5100000</v>
          </cell>
          <cell r="FK112" t="str">
            <v>2023-24</v>
          </cell>
          <cell r="FL112">
            <v>3900000</v>
          </cell>
          <cell r="FM112" t="str">
            <v>2023-24</v>
          </cell>
          <cell r="FN112">
            <v>46500000</v>
          </cell>
          <cell r="FO112" t="str">
            <v>2023-24</v>
          </cell>
          <cell r="FP112">
            <v>49000000</v>
          </cell>
          <cell r="FQ112" t="str">
            <v>2023-24</v>
          </cell>
          <cell r="FR112">
            <v>2500000</v>
          </cell>
          <cell r="FS112" t="str">
            <v>2023-24</v>
          </cell>
          <cell r="FT112">
            <v>15900000</v>
          </cell>
          <cell r="FU112" t="str">
            <v>2023-24</v>
          </cell>
          <cell r="FV112">
            <v>122900000</v>
          </cell>
          <cell r="FW112">
            <v>1604722</v>
          </cell>
          <cell r="FX112" t="str">
            <v>2023-24</v>
          </cell>
          <cell r="FY112">
            <v>175998</v>
          </cell>
          <cell r="FZ112">
            <v>991201.5</v>
          </cell>
          <cell r="GA112" t="str">
            <v>ago23 jul24</v>
          </cell>
          <cell r="GB112">
            <v>19189740</v>
          </cell>
          <cell r="GC112">
            <v>2024</v>
          </cell>
          <cell r="GD112">
            <v>1714000</v>
          </cell>
          <cell r="GE112">
            <v>424000</v>
          </cell>
          <cell r="GF112">
            <v>1165000</v>
          </cell>
          <cell r="GG112">
            <v>145000</v>
          </cell>
          <cell r="GH112">
            <v>1734000</v>
          </cell>
          <cell r="GI112">
            <v>1302556</v>
          </cell>
          <cell r="GJ112">
            <v>682423</v>
          </cell>
          <cell r="GK112">
            <v>1391495</v>
          </cell>
          <cell r="GL112">
            <v>305049</v>
          </cell>
          <cell r="GM112">
            <v>260419</v>
          </cell>
          <cell r="GN112">
            <v>2639386</v>
          </cell>
          <cell r="GO112">
            <v>201734</v>
          </cell>
          <cell r="GP112">
            <v>69297</v>
          </cell>
          <cell r="GQ112">
            <v>12215.767552920344</v>
          </cell>
          <cell r="GR112">
            <v>34035</v>
          </cell>
          <cell r="GS112">
            <v>34401.473026587613</v>
          </cell>
          <cell r="GT112">
            <v>2111561</v>
          </cell>
          <cell r="GU112">
            <v>32119</v>
          </cell>
          <cell r="GV112">
            <v>24476</v>
          </cell>
          <cell r="GW112">
            <v>744287</v>
          </cell>
          <cell r="GX112">
            <v>30804.553</v>
          </cell>
          <cell r="GY112" t="str">
            <v>2023-2024</v>
          </cell>
          <cell r="GZ112">
            <v>80786</v>
          </cell>
          <cell r="HA112">
            <v>287642</v>
          </cell>
          <cell r="HB112">
            <v>3102435</v>
          </cell>
          <cell r="HC112" t="str">
            <v>ago23 jul24</v>
          </cell>
          <cell r="HD112">
            <v>77076</v>
          </cell>
          <cell r="HE112">
            <v>784161</v>
          </cell>
          <cell r="HF112" t="str">
            <v>ago23 jul24</v>
          </cell>
          <cell r="HG112">
            <v>212000</v>
          </cell>
          <cell r="HH112">
            <v>2297000</v>
          </cell>
          <cell r="HI112" t="str">
            <v>ago23 jul24</v>
          </cell>
          <cell r="HJ112">
            <v>80890.371654779825</v>
          </cell>
          <cell r="HK112">
            <v>66032.782299286802</v>
          </cell>
          <cell r="HL112" t="str">
            <v>ago23 jul24</v>
          </cell>
          <cell r="HM112">
            <v>2363032.7822992867</v>
          </cell>
          <cell r="HN112">
            <v>-0.14777327935222673</v>
          </cell>
          <cell r="HO112">
            <v>842000000</v>
          </cell>
          <cell r="HP112">
            <v>10518.700656900923</v>
          </cell>
          <cell r="HQ112" t="str">
            <v>ago23 jul24</v>
          </cell>
          <cell r="HU112">
            <v>700000</v>
          </cell>
          <cell r="HV112" t="str">
            <v>2023-24</v>
          </cell>
          <cell r="HW112">
            <v>1500000</v>
          </cell>
          <cell r="HX112" t="str">
            <v>2023-24</v>
          </cell>
          <cell r="HY112">
            <v>4600000</v>
          </cell>
          <cell r="HZ112" t="str">
            <v>2023-24</v>
          </cell>
          <cell r="IA112">
            <v>21600000</v>
          </cell>
          <cell r="IB112" t="str">
            <v>2023-24</v>
          </cell>
          <cell r="IC112">
            <v>45000000</v>
          </cell>
          <cell r="ID112" t="str">
            <v>2023-24</v>
          </cell>
          <cell r="IE112">
            <v>1500000</v>
          </cell>
          <cell r="IF112" t="str">
            <v>2023-24</v>
          </cell>
          <cell r="IG112">
            <v>7400000</v>
          </cell>
          <cell r="IH112" t="str">
            <v>2023-24</v>
          </cell>
          <cell r="II112">
            <v>81600000</v>
          </cell>
          <cell r="IJ112">
            <v>2.160083392153568</v>
          </cell>
          <cell r="IK112" t="str">
            <v>2023-24</v>
          </cell>
          <cell r="IL112">
            <v>45.32</v>
          </cell>
          <cell r="IM112">
            <v>47.8</v>
          </cell>
          <cell r="IN112">
            <v>160.6</v>
          </cell>
          <cell r="IO112">
            <v>16.84</v>
          </cell>
          <cell r="IP112">
            <v>5.5789164694027633</v>
          </cell>
          <cell r="IQ112">
            <v>16.3</v>
          </cell>
          <cell r="IR112">
            <v>6.09</v>
          </cell>
          <cell r="IS112">
            <v>4.03</v>
          </cell>
          <cell r="IT112">
            <v>11.98</v>
          </cell>
          <cell r="IU112">
            <v>1.38</v>
          </cell>
          <cell r="IV112">
            <v>17.39</v>
          </cell>
          <cell r="IY112">
            <v>1.88</v>
          </cell>
          <cell r="IZ112">
            <v>0.3</v>
          </cell>
          <cell r="JA112">
            <v>2813</v>
          </cell>
          <cell r="JF112">
            <v>24.496622440000007</v>
          </cell>
          <cell r="JG112">
            <v>38.799980059999996</v>
          </cell>
          <cell r="JH112">
            <v>93.81418816</v>
          </cell>
          <cell r="JI112">
            <v>232.17708469999999</v>
          </cell>
          <cell r="JJ112">
            <v>973.64204068000004</v>
          </cell>
          <cell r="JK112">
            <v>115.53726275000001</v>
          </cell>
          <cell r="JL112">
            <v>2761.3654172900001</v>
          </cell>
          <cell r="JM112">
            <v>27.27165325</v>
          </cell>
          <cell r="JN112">
            <v>112.39676863999998</v>
          </cell>
          <cell r="JO112">
            <v>34.87822036</v>
          </cell>
          <cell r="JP112">
            <v>0</v>
          </cell>
          <cell r="JQ112">
            <v>0.89796284000000004</v>
          </cell>
          <cell r="JR112">
            <v>1.3093243399999999</v>
          </cell>
          <cell r="JS112">
            <v>0</v>
          </cell>
          <cell r="JT112">
            <v>1.36375E-2</v>
          </cell>
          <cell r="JU112">
            <v>115.95052356999999</v>
          </cell>
          <cell r="JV112">
            <v>11.32793485</v>
          </cell>
          <cell r="JW112">
            <v>24.008634539999999</v>
          </cell>
          <cell r="JX112">
            <v>45.106675070000009</v>
          </cell>
          <cell r="JY112">
            <v>0</v>
          </cell>
          <cell r="JZ112">
            <v>13.926532509999999</v>
          </cell>
          <cell r="KA112">
            <v>0.11473</v>
          </cell>
          <cell r="KB112">
            <v>18.147427050000005</v>
          </cell>
          <cell r="KC112">
            <v>56.365947810000002</v>
          </cell>
          <cell r="KD112">
            <v>8.3006057400000017</v>
          </cell>
          <cell r="KE112">
            <v>18.049853030000005</v>
          </cell>
          <cell r="KF112">
            <v>23.157032140000002</v>
          </cell>
          <cell r="KG112">
            <v>307.7105307999999</v>
          </cell>
          <cell r="KH112">
            <v>131.64359017999999</v>
          </cell>
          <cell r="KI112">
            <v>15.60716012</v>
          </cell>
          <cell r="KJ112">
            <v>4.3175895799999999</v>
          </cell>
          <cell r="KK112">
            <v>4.5361736000000006</v>
          </cell>
          <cell r="KL112">
            <v>0.18557204999999999</v>
          </cell>
          <cell r="KM112">
            <v>0.75760321999999991</v>
          </cell>
          <cell r="KN112">
            <v>1.29292125</v>
          </cell>
          <cell r="KO112">
            <v>1.2509573199999999</v>
          </cell>
          <cell r="KP112">
            <v>8.6628999999999998E-2</v>
          </cell>
          <cell r="KQ112">
            <v>387.36397040999998</v>
          </cell>
          <cell r="KR112">
            <v>7.9366850000000003E-2</v>
          </cell>
          <cell r="KS112">
            <v>0.19191552000000001</v>
          </cell>
          <cell r="KT112">
            <v>1.6294275100000002</v>
          </cell>
          <cell r="KU112">
            <v>0.15569543999999999</v>
          </cell>
          <cell r="KV112">
            <v>2.6282507400000004</v>
          </cell>
          <cell r="KW112">
            <v>2.4243124699999998</v>
          </cell>
          <cell r="KX112">
            <v>0</v>
          </cell>
          <cell r="KY112">
            <v>0</v>
          </cell>
          <cell r="KZ112">
            <v>2.3161338599999999</v>
          </cell>
          <cell r="LA112">
            <v>0.49785052000000002</v>
          </cell>
          <cell r="LB112">
            <v>2.0091999999999999E-2</v>
          </cell>
          <cell r="LC112">
            <v>6.9104790000000013E-2</v>
          </cell>
          <cell r="LD112">
            <v>0</v>
          </cell>
          <cell r="LE112">
            <v>0</v>
          </cell>
          <cell r="LF112">
            <v>0.23680799999999999</v>
          </cell>
          <cell r="LG112">
            <v>11.46589975</v>
          </cell>
          <cell r="LH112">
            <v>1.1636776099999999</v>
          </cell>
          <cell r="LI112">
            <v>1.7316709800000001</v>
          </cell>
          <cell r="LJ112">
            <v>0</v>
          </cell>
          <cell r="LK112">
            <v>1.5903026900000001</v>
          </cell>
          <cell r="LL112">
            <v>3.9954732900000005</v>
          </cell>
          <cell r="LM112">
            <v>2.5429137699999997</v>
          </cell>
          <cell r="LN112">
            <v>0.1577527</v>
          </cell>
          <cell r="LO112">
            <v>2.5935797799999998</v>
          </cell>
          <cell r="LQ112">
            <v>4200.6671527199996</v>
          </cell>
          <cell r="LR112">
            <v>2.22092468</v>
          </cell>
          <cell r="LS112">
            <v>35.336569390000001</v>
          </cell>
          <cell r="LT112">
            <v>14.041262509999999</v>
          </cell>
          <cell r="LU112">
            <v>390.93673457</v>
          </cell>
          <cell r="LV112">
            <v>5.0525632100000006</v>
          </cell>
          <cell r="LW112">
            <v>0.51794252000000007</v>
          </cell>
          <cell r="LX112">
            <v>0.23680799999999999</v>
          </cell>
          <cell r="LZ112">
            <v>1321.22</v>
          </cell>
          <cell r="MA112">
            <v>2301.88</v>
          </cell>
          <cell r="MH112">
            <v>2663.51</v>
          </cell>
          <cell r="MI112">
            <v>851.77</v>
          </cell>
          <cell r="MJ112">
            <v>913.17</v>
          </cell>
          <cell r="ML112">
            <v>1800.1</v>
          </cell>
          <cell r="MM112">
            <v>3640.04</v>
          </cell>
          <cell r="MO112">
            <v>609.23</v>
          </cell>
          <cell r="MP112">
            <v>2047.63</v>
          </cell>
          <cell r="MQ112">
            <v>2119.85</v>
          </cell>
          <cell r="MU112">
            <v>820.11</v>
          </cell>
          <cell r="MY112">
            <v>2256.08</v>
          </cell>
          <cell r="MZ112">
            <v>4525</v>
          </cell>
          <cell r="NA112">
            <v>2553</v>
          </cell>
          <cell r="NB112">
            <v>7106</v>
          </cell>
          <cell r="NC112">
            <v>1305.07</v>
          </cell>
          <cell r="ND112">
            <v>8690</v>
          </cell>
          <cell r="NE112">
            <v>4593</v>
          </cell>
        </row>
        <row r="113">
          <cell r="A113">
            <v>45505</v>
          </cell>
          <cell r="B113">
            <v>8</v>
          </cell>
          <cell r="C113">
            <v>2024</v>
          </cell>
          <cell r="D113">
            <v>113</v>
          </cell>
          <cell r="E113">
            <v>45505</v>
          </cell>
          <cell r="F113">
            <v>940.73</v>
          </cell>
          <cell r="G113">
            <v>6883.4</v>
          </cell>
          <cell r="H113">
            <v>640136.05000000005</v>
          </cell>
          <cell r="I113">
            <v>113</v>
          </cell>
          <cell r="J113">
            <v>580</v>
          </cell>
          <cell r="K113">
            <v>4.9000000000000004</v>
          </cell>
          <cell r="L113">
            <v>32.6</v>
          </cell>
          <cell r="N113">
            <v>1.5566666666666666</v>
          </cell>
          <cell r="O113">
            <v>1.3066666666666666</v>
          </cell>
          <cell r="P113">
            <v>1279.4711941666667</v>
          </cell>
          <cell r="Q113">
            <v>40000</v>
          </cell>
          <cell r="R113">
            <v>400000</v>
          </cell>
          <cell r="S113">
            <v>170.41616616882635</v>
          </cell>
          <cell r="T113">
            <v>338.92</v>
          </cell>
          <cell r="U113">
            <v>173</v>
          </cell>
          <cell r="V113">
            <v>307.95</v>
          </cell>
          <cell r="W113">
            <v>207</v>
          </cell>
          <cell r="X113">
            <v>249</v>
          </cell>
          <cell r="Y113">
            <v>160315.6</v>
          </cell>
          <cell r="Z113">
            <v>318832.21160000004</v>
          </cell>
          <cell r="AA113">
            <v>162746.29</v>
          </cell>
          <cell r="AB113">
            <v>289697.80349999998</v>
          </cell>
          <cell r="AC113">
            <v>194731.11000000002</v>
          </cell>
          <cell r="AD113">
            <v>234241.77000000002</v>
          </cell>
          <cell r="AE113">
            <v>226760.79751666667</v>
          </cell>
          <cell r="AF113">
            <v>844774.7</v>
          </cell>
          <cell r="AG113">
            <v>210000</v>
          </cell>
          <cell r="AH113">
            <v>718918.91891891882</v>
          </cell>
          <cell r="AI113">
            <v>464.92</v>
          </cell>
          <cell r="AJ113">
            <v>313.95</v>
          </cell>
          <cell r="AK113">
            <v>273.08999999999997</v>
          </cell>
          <cell r="AL113">
            <v>297.33999999999997</v>
          </cell>
          <cell r="AM113">
            <v>357.99060000000003</v>
          </cell>
          <cell r="AN113">
            <v>1316</v>
          </cell>
          <cell r="AO113">
            <v>948.93</v>
          </cell>
          <cell r="AP113">
            <v>1132.4649999999999</v>
          </cell>
          <cell r="AQ113">
            <v>352.47</v>
          </cell>
          <cell r="AR113">
            <v>388.87</v>
          </cell>
          <cell r="AS113">
            <v>373.42</v>
          </cell>
          <cell r="AT113">
            <v>494.32</v>
          </cell>
          <cell r="AU113">
            <v>418.86999999999995</v>
          </cell>
          <cell r="AV113">
            <v>751.63</v>
          </cell>
          <cell r="AW113">
            <v>238.52</v>
          </cell>
          <cell r="AX113">
            <v>1001.91</v>
          </cell>
          <cell r="AY113">
            <v>1666.31</v>
          </cell>
          <cell r="AZ113">
            <v>678.84</v>
          </cell>
          <cell r="BA113">
            <v>316.89</v>
          </cell>
          <cell r="BB113">
            <v>915.98749999999995</v>
          </cell>
          <cell r="BC113">
            <v>34425</v>
          </cell>
          <cell r="BD113">
            <v>30982</v>
          </cell>
          <cell r="BE113">
            <v>26000</v>
          </cell>
          <cell r="BF113">
            <v>20500</v>
          </cell>
          <cell r="BG113">
            <v>27976.75</v>
          </cell>
          <cell r="BH113">
            <v>2820</v>
          </cell>
          <cell r="BI113">
            <v>855</v>
          </cell>
          <cell r="BJ113">
            <v>3675</v>
          </cell>
          <cell r="BK113">
            <v>2053.288</v>
          </cell>
          <cell r="BL113">
            <v>2460.12</v>
          </cell>
          <cell r="BM113">
            <v>2256.7039999999997</v>
          </cell>
          <cell r="BN113">
            <v>418.74</v>
          </cell>
          <cell r="BO113">
            <v>2033.71</v>
          </cell>
          <cell r="BP113">
            <v>1326.89</v>
          </cell>
          <cell r="BQ113">
            <v>1680.3000000000002</v>
          </cell>
          <cell r="BR113">
            <v>1230.69</v>
          </cell>
          <cell r="BS113">
            <v>4600</v>
          </cell>
          <cell r="BT113">
            <v>1063.0248999999999</v>
          </cell>
          <cell r="BU113">
            <v>58389.074699999997</v>
          </cell>
          <cell r="BV113">
            <v>1606</v>
          </cell>
          <cell r="BW113">
            <v>2365</v>
          </cell>
          <cell r="BY113">
            <v>8609.0497415877107</v>
          </cell>
          <cell r="BZ113">
            <v>8352.3899678025628</v>
          </cell>
          <cell r="CA113">
            <v>8320.5196561054818</v>
          </cell>
          <cell r="CB113">
            <v>8431.767409697497</v>
          </cell>
          <cell r="CC113">
            <v>8167.3093133920902</v>
          </cell>
          <cell r="CD113">
            <v>8660.5029413964621</v>
          </cell>
          <cell r="CE113">
            <v>8623.9439301402545</v>
          </cell>
          <cell r="CF113">
            <v>9118.0070072707003</v>
          </cell>
          <cell r="CG113">
            <v>8553.675043000414</v>
          </cell>
          <cell r="CH113">
            <v>10119.386348658754</v>
          </cell>
          <cell r="CI113">
            <v>10154.108575187571</v>
          </cell>
          <cell r="CJ113">
            <v>7700.5926369963863</v>
          </cell>
          <cell r="CK113">
            <v>11590.635597666878</v>
          </cell>
          <cell r="CL113">
            <v>13305.353415417499</v>
          </cell>
          <cell r="CM113">
            <v>8859.0011288868845</v>
          </cell>
          <cell r="CN113">
            <v>7957.0682860224888</v>
          </cell>
          <cell r="CO113">
            <v>10428.014606998438</v>
          </cell>
          <cell r="CP113">
            <v>9743.8075364400229</v>
          </cell>
          <cell r="CQ113">
            <v>8195.180345692439</v>
          </cell>
          <cell r="CR113">
            <v>8436.3438882672708</v>
          </cell>
          <cell r="CS113">
            <v>8315.7621169798549</v>
          </cell>
          <cell r="CT113">
            <v>7521.8231379006966</v>
          </cell>
          <cell r="CU113">
            <v>7850.6073485823608</v>
          </cell>
          <cell r="CV113">
            <v>7820.7288076082432</v>
          </cell>
          <cell r="CW113">
            <v>7820.7288076082432</v>
          </cell>
          <cell r="CX113">
            <v>7830.6883212662824</v>
          </cell>
          <cell r="CY113">
            <v>8024.8529235247433</v>
          </cell>
          <cell r="CZ113">
            <v>10287.627300414726</v>
          </cell>
          <cell r="DA113">
            <v>8400.2856637566074</v>
          </cell>
          <cell r="DB113">
            <v>8391.6321467030575</v>
          </cell>
          <cell r="DC113">
            <v>8405.767299087729</v>
          </cell>
          <cell r="DD113">
            <v>8062.310961580295</v>
          </cell>
          <cell r="DE113">
            <v>7088.6294940233201</v>
          </cell>
          <cell r="DF113">
            <v>8212.7965092689265</v>
          </cell>
          <cell r="DG113">
            <v>7650.7130016461233</v>
          </cell>
          <cell r="DH113">
            <v>8246.7402487432937</v>
          </cell>
          <cell r="DI113">
            <v>8201.4091550867906</v>
          </cell>
          <cell r="DK113">
            <v>650000</v>
          </cell>
          <cell r="DL113" t="str">
            <v>2023-24</v>
          </cell>
          <cell r="DM113">
            <v>200000</v>
          </cell>
          <cell r="DN113" t="str">
            <v>2023-24</v>
          </cell>
          <cell r="DO113">
            <v>1500000</v>
          </cell>
          <cell r="DP113" t="str">
            <v>2024-25</v>
          </cell>
          <cell r="DQ113">
            <v>1900000</v>
          </cell>
          <cell r="DR113" t="str">
            <v>2023-24</v>
          </cell>
          <cell r="DS113">
            <v>7600000</v>
          </cell>
          <cell r="DT113" t="str">
            <v>2023-24</v>
          </cell>
          <cell r="DU113">
            <v>16600000</v>
          </cell>
          <cell r="DV113" t="str">
            <v>2023-24</v>
          </cell>
          <cell r="DW113">
            <v>800000</v>
          </cell>
          <cell r="DX113" t="str">
            <v>2023-24</v>
          </cell>
          <cell r="DY113">
            <v>6300000</v>
          </cell>
          <cell r="DZ113" t="str">
            <v>2024-25</v>
          </cell>
          <cell r="EA113">
            <v>34700000</v>
          </cell>
          <cell r="EB113">
            <v>416490</v>
          </cell>
          <cell r="EC113" t="str">
            <v>2023-24</v>
          </cell>
          <cell r="ED113">
            <v>230256</v>
          </cell>
          <cell r="EE113">
            <v>2024</v>
          </cell>
          <cell r="EF113">
            <v>199946</v>
          </cell>
          <cell r="EG113">
            <v>2024</v>
          </cell>
          <cell r="EH113">
            <v>52783892</v>
          </cell>
          <cell r="EI113">
            <v>2024</v>
          </cell>
          <cell r="EJ113">
            <v>6115215</v>
          </cell>
          <cell r="EK113">
            <v>2024</v>
          </cell>
          <cell r="EL113">
            <v>12440906</v>
          </cell>
          <cell r="EM113">
            <v>2024</v>
          </cell>
          <cell r="EN113">
            <v>3169981</v>
          </cell>
          <cell r="EO113">
            <v>2021</v>
          </cell>
          <cell r="EP113">
            <v>9115</v>
          </cell>
          <cell r="EQ113">
            <v>3500000</v>
          </cell>
          <cell r="ER113">
            <v>80248</v>
          </cell>
          <cell r="ET113">
            <v>19357</v>
          </cell>
          <cell r="EU113">
            <v>18703</v>
          </cell>
          <cell r="EV113">
            <v>8927</v>
          </cell>
          <cell r="EW113">
            <v>17408</v>
          </cell>
          <cell r="EX113">
            <v>64395</v>
          </cell>
          <cell r="EY113">
            <v>20031</v>
          </cell>
          <cell r="EZ113">
            <v>34815</v>
          </cell>
          <cell r="FA113">
            <v>19900</v>
          </cell>
          <cell r="FB113">
            <v>18184</v>
          </cell>
          <cell r="FC113">
            <v>38084</v>
          </cell>
          <cell r="FD113">
            <v>60376</v>
          </cell>
          <cell r="FF113">
            <v>1300000</v>
          </cell>
          <cell r="FG113" t="str">
            <v>2023-24</v>
          </cell>
          <cell r="FH113">
            <v>1300000</v>
          </cell>
          <cell r="FI113" t="str">
            <v>2023-24</v>
          </cell>
          <cell r="FJ113">
            <v>5100000</v>
          </cell>
          <cell r="FK113" t="str">
            <v>2023-24</v>
          </cell>
          <cell r="FL113">
            <v>3900000</v>
          </cell>
          <cell r="FM113" t="str">
            <v>2023-24</v>
          </cell>
          <cell r="FN113">
            <v>46500000</v>
          </cell>
          <cell r="FO113" t="str">
            <v>2023-24</v>
          </cell>
          <cell r="FP113">
            <v>48200000</v>
          </cell>
          <cell r="FQ113" t="str">
            <v>2023-24</v>
          </cell>
          <cell r="FR113">
            <v>2500000</v>
          </cell>
          <cell r="FS113" t="str">
            <v>2023-24</v>
          </cell>
          <cell r="FT113">
            <v>15900000</v>
          </cell>
          <cell r="FU113" t="str">
            <v>2023-24</v>
          </cell>
          <cell r="FV113">
            <v>122100000</v>
          </cell>
          <cell r="FW113">
            <v>1604722</v>
          </cell>
          <cell r="FX113" t="str">
            <v>2023-24</v>
          </cell>
          <cell r="FY113">
            <v>149402</v>
          </cell>
          <cell r="FZ113">
            <v>996021.5</v>
          </cell>
          <cell r="GA113" t="str">
            <v>sept23 ago24</v>
          </cell>
          <cell r="GB113">
            <v>19189740</v>
          </cell>
          <cell r="GC113">
            <v>2024</v>
          </cell>
          <cell r="GD113">
            <v>1714000</v>
          </cell>
          <cell r="GE113">
            <v>424000</v>
          </cell>
          <cell r="GF113">
            <v>1165000</v>
          </cell>
          <cell r="GG113">
            <v>145000</v>
          </cell>
          <cell r="GH113">
            <v>1734000</v>
          </cell>
          <cell r="GI113">
            <v>1302556</v>
          </cell>
          <cell r="GJ113">
            <v>682423</v>
          </cell>
          <cell r="GK113">
            <v>1391495</v>
          </cell>
          <cell r="GL113">
            <v>305049</v>
          </cell>
          <cell r="GM113">
            <v>260419</v>
          </cell>
          <cell r="GN113">
            <v>2639386</v>
          </cell>
          <cell r="GO113">
            <v>201734</v>
          </cell>
          <cell r="GP113">
            <v>69297</v>
          </cell>
          <cell r="GQ113">
            <v>21997</v>
          </cell>
          <cell r="GR113">
            <v>34035</v>
          </cell>
          <cell r="GS113">
            <v>34694.910000000003</v>
          </cell>
          <cell r="GT113">
            <v>2111561</v>
          </cell>
          <cell r="GU113">
            <v>27704</v>
          </cell>
          <cell r="GV113">
            <v>27999</v>
          </cell>
          <cell r="GW113">
            <v>745358</v>
          </cell>
          <cell r="GX113">
            <v>30804.553</v>
          </cell>
          <cell r="GY113" t="str">
            <v>2023-2024</v>
          </cell>
          <cell r="GZ113">
            <v>80786</v>
          </cell>
          <cell r="HA113">
            <v>280000</v>
          </cell>
          <cell r="HB113">
            <v>3103710</v>
          </cell>
          <cell r="HC113" t="str">
            <v>sept23 ago24</v>
          </cell>
          <cell r="HD113">
            <v>66891</v>
          </cell>
          <cell r="HE113">
            <v>782489</v>
          </cell>
          <cell r="HF113" t="str">
            <v>sept23 ago24</v>
          </cell>
          <cell r="HG113">
            <v>199000</v>
          </cell>
          <cell r="HH113">
            <v>2288000</v>
          </cell>
          <cell r="HI113" t="str">
            <v>sept23 ago24</v>
          </cell>
          <cell r="HJ113">
            <v>90701</v>
          </cell>
          <cell r="HK113">
            <v>65324.902299286798</v>
          </cell>
          <cell r="HL113" t="str">
            <v>sept23 ago24</v>
          </cell>
          <cell r="HM113">
            <v>2353324.9022992868</v>
          </cell>
          <cell r="HN113">
            <v>-0.1089347826086956</v>
          </cell>
          <cell r="HO113">
            <v>942747000</v>
          </cell>
          <cell r="HP113">
            <v>10403.447656900922</v>
          </cell>
          <cell r="HQ113" t="str">
            <v>sept23 ago24</v>
          </cell>
          <cell r="HU113">
            <v>700000</v>
          </cell>
          <cell r="HV113" t="str">
            <v>2023-24</v>
          </cell>
          <cell r="HW113">
            <v>1500000</v>
          </cell>
          <cell r="HX113" t="str">
            <v>2023-24</v>
          </cell>
          <cell r="HY113">
            <v>4600000</v>
          </cell>
          <cell r="HZ113" t="str">
            <v>2023-24</v>
          </cell>
          <cell r="IA113">
            <v>21600000</v>
          </cell>
          <cell r="IB113" t="str">
            <v>2023-24</v>
          </cell>
          <cell r="IC113">
            <v>45000000</v>
          </cell>
          <cell r="ID113" t="str">
            <v>2023-24</v>
          </cell>
          <cell r="IE113">
            <v>1500000</v>
          </cell>
          <cell r="IF113" t="str">
            <v>2023-24</v>
          </cell>
          <cell r="IG113">
            <v>7400000</v>
          </cell>
          <cell r="IH113" t="str">
            <v>2023-24</v>
          </cell>
          <cell r="II113">
            <v>81600000</v>
          </cell>
          <cell r="IJ113">
            <v>2.160083392153568</v>
          </cell>
          <cell r="IK113" t="str">
            <v>2023-24</v>
          </cell>
          <cell r="IL113">
            <v>45.39</v>
          </cell>
          <cell r="IM113">
            <v>47.74</v>
          </cell>
          <cell r="IN113">
            <v>160.6</v>
          </cell>
          <cell r="IO113">
            <v>16.760000000000002</v>
          </cell>
          <cell r="IP113">
            <v>5.5789164694027633</v>
          </cell>
          <cell r="IQ113">
            <v>16.3</v>
          </cell>
          <cell r="IR113">
            <v>6.09</v>
          </cell>
          <cell r="IS113">
            <v>4.03</v>
          </cell>
          <cell r="IT113">
            <v>11.98</v>
          </cell>
          <cell r="IU113">
            <v>1.38</v>
          </cell>
          <cell r="IV113">
            <v>17.39</v>
          </cell>
          <cell r="IY113">
            <v>1.88</v>
          </cell>
          <cell r="IZ113">
            <v>0.3</v>
          </cell>
          <cell r="JA113">
            <v>2813</v>
          </cell>
          <cell r="JF113">
            <v>19.20970509</v>
          </cell>
          <cell r="JG113">
            <v>16.658344929999998</v>
          </cell>
          <cell r="JH113">
            <v>104.22374323000001</v>
          </cell>
          <cell r="JI113">
            <v>244.83043373000001</v>
          </cell>
          <cell r="JJ113">
            <v>630.33453010999995</v>
          </cell>
          <cell r="JK113">
            <v>156.99934678</v>
          </cell>
          <cell r="JL113">
            <v>2269.7811649299997</v>
          </cell>
          <cell r="JM113">
            <v>22.316766399999999</v>
          </cell>
          <cell r="JN113">
            <v>77.140213490000008</v>
          </cell>
          <cell r="JO113">
            <v>30.584450140000001</v>
          </cell>
          <cell r="JP113">
            <v>0</v>
          </cell>
          <cell r="JQ113">
            <v>0.03</v>
          </cell>
          <cell r="JR113">
            <v>0.83142303000000006</v>
          </cell>
          <cell r="JS113">
            <v>0</v>
          </cell>
          <cell r="JT113">
            <v>3.0099999999999998E-2</v>
          </cell>
          <cell r="JU113">
            <v>99.074693340000039</v>
          </cell>
          <cell r="JV113">
            <v>8.5673280399999996</v>
          </cell>
          <cell r="JW113">
            <v>16.79143195</v>
          </cell>
          <cell r="JX113">
            <v>24.639493720000001</v>
          </cell>
          <cell r="JY113">
            <v>0</v>
          </cell>
          <cell r="JZ113">
            <v>10.140829510000001</v>
          </cell>
          <cell r="KA113">
            <v>0.1311068</v>
          </cell>
          <cell r="KB113">
            <v>13.62277192</v>
          </cell>
          <cell r="KC113">
            <v>45.888815350000002</v>
          </cell>
          <cell r="KD113">
            <v>9.4659040999999995</v>
          </cell>
          <cell r="KE113">
            <v>18.934177090000006</v>
          </cell>
          <cell r="KF113">
            <v>20.944876220000001</v>
          </cell>
          <cell r="KG113">
            <v>370.00520762000008</v>
          </cell>
          <cell r="KH113">
            <v>114.33182424</v>
          </cell>
          <cell r="KI113">
            <v>13.430479930000001</v>
          </cell>
          <cell r="KJ113">
            <v>2.3778769799999995</v>
          </cell>
          <cell r="KK113">
            <v>3.7690183000000008</v>
          </cell>
          <cell r="KL113">
            <v>0.23587240000000001</v>
          </cell>
          <cell r="KM113">
            <v>0.73281007999999992</v>
          </cell>
          <cell r="KN113">
            <v>6.5031200000000003E-3</v>
          </cell>
          <cell r="KO113">
            <v>1.5366670500000004</v>
          </cell>
          <cell r="KP113">
            <v>4.2737620000000004E-2</v>
          </cell>
          <cell r="KQ113">
            <v>211.96061081000005</v>
          </cell>
          <cell r="KR113">
            <v>0.33026</v>
          </cell>
          <cell r="KS113">
            <v>3.9651539999999999E-2</v>
          </cell>
          <cell r="KT113">
            <v>0.79104531999999994</v>
          </cell>
          <cell r="KU113">
            <v>0.18175015000000003</v>
          </cell>
          <cell r="KV113">
            <v>8.392309599999999</v>
          </cell>
          <cell r="KW113">
            <v>1.68573394</v>
          </cell>
          <cell r="KX113">
            <v>0</v>
          </cell>
          <cell r="KY113">
            <v>0</v>
          </cell>
          <cell r="KZ113">
            <v>2.4186424700000004</v>
          </cell>
          <cell r="LA113">
            <v>0.50068734000000004</v>
          </cell>
          <cell r="LB113">
            <v>3.5279999999999999E-2</v>
          </cell>
          <cell r="LC113">
            <v>0.10206799000000001</v>
          </cell>
          <cell r="LD113">
            <v>0</v>
          </cell>
          <cell r="LE113">
            <v>7.2500000000000004E-3</v>
          </cell>
          <cell r="LF113">
            <v>0</v>
          </cell>
          <cell r="LG113">
            <v>10.998476289999999</v>
          </cell>
          <cell r="LH113">
            <v>5.0602291599999996</v>
          </cell>
          <cell r="LI113">
            <v>0.60028256999999996</v>
          </cell>
          <cell r="LJ113">
            <v>0</v>
          </cell>
          <cell r="LK113">
            <v>2.1766254799999998</v>
          </cell>
          <cell r="LL113">
            <v>3.5031505699999994</v>
          </cell>
          <cell r="LM113">
            <v>0.81005326000000022</v>
          </cell>
          <cell r="LN113">
            <v>0.18624962</v>
          </cell>
          <cell r="LO113">
            <v>4.9251834299999988</v>
          </cell>
          <cell r="LQ113">
            <v>3348.6268518899992</v>
          </cell>
          <cell r="LR113">
            <v>0.89152303000000011</v>
          </cell>
          <cell r="LS113">
            <v>14.93334776</v>
          </cell>
          <cell r="LT113">
            <v>10.271936310000001</v>
          </cell>
          <cell r="LU113">
            <v>214.60650260000006</v>
          </cell>
          <cell r="LV113">
            <v>10.078043539999999</v>
          </cell>
          <cell r="LW113">
            <v>0.3865221499999999</v>
          </cell>
          <cell r="LX113">
            <v>7.2500000000000004E-3</v>
          </cell>
          <cell r="LZ113">
            <v>1325.89</v>
          </cell>
          <cell r="MA113">
            <v>2288.2600000000002</v>
          </cell>
          <cell r="MH113">
            <v>2774.95</v>
          </cell>
          <cell r="MI113">
            <v>829.47</v>
          </cell>
          <cell r="MJ113">
            <v>1274.1500000000001</v>
          </cell>
          <cell r="ML113">
            <v>1781.74</v>
          </cell>
          <cell r="MM113">
            <v>2844.48</v>
          </cell>
          <cell r="MO113">
            <v>664.06</v>
          </cell>
          <cell r="MP113">
            <v>2061.98</v>
          </cell>
          <cell r="MQ113">
            <v>2140.4899999999998</v>
          </cell>
          <cell r="MU113">
            <v>801.84</v>
          </cell>
          <cell r="MY113">
            <v>2240.42</v>
          </cell>
          <cell r="MZ113">
            <v>5094</v>
          </cell>
          <cell r="NA113">
            <v>2717</v>
          </cell>
          <cell r="NB113">
            <v>7233</v>
          </cell>
          <cell r="NC113">
            <v>1353.44</v>
          </cell>
          <cell r="ND113">
            <v>8700</v>
          </cell>
          <cell r="NE113">
            <v>4961</v>
          </cell>
        </row>
        <row r="114">
          <cell r="A114">
            <v>45536</v>
          </cell>
          <cell r="B114">
            <v>9</v>
          </cell>
          <cell r="C114">
            <v>2024</v>
          </cell>
          <cell r="D114">
            <v>114</v>
          </cell>
          <cell r="E114">
            <v>45536</v>
          </cell>
          <cell r="F114">
            <v>961.1</v>
          </cell>
          <cell r="G114">
            <v>7122.2</v>
          </cell>
          <cell r="H114">
            <v>659340.13</v>
          </cell>
          <cell r="I114">
            <v>114</v>
          </cell>
          <cell r="J114">
            <v>550</v>
          </cell>
          <cell r="K114">
            <v>4.5</v>
          </cell>
          <cell r="L114">
            <v>37.4</v>
          </cell>
          <cell r="N114">
            <v>1.57</v>
          </cell>
          <cell r="O114">
            <v>1.2949999999999999</v>
          </cell>
          <cell r="P114">
            <v>1307.9369625000002</v>
          </cell>
          <cell r="Q114">
            <v>40000</v>
          </cell>
          <cell r="R114">
            <v>400000</v>
          </cell>
          <cell r="S114">
            <v>165.9556757881594</v>
          </cell>
          <cell r="T114">
            <v>338.94</v>
          </cell>
          <cell r="U114">
            <v>177</v>
          </cell>
          <cell r="V114">
            <v>213.14</v>
          </cell>
          <cell r="W114">
            <v>197</v>
          </cell>
          <cell r="X114">
            <v>226</v>
          </cell>
          <cell r="Y114">
            <v>159500</v>
          </cell>
          <cell r="Z114">
            <v>325755.234</v>
          </cell>
          <cell r="AA114">
            <v>170114.7</v>
          </cell>
          <cell r="AB114">
            <v>204848.85399999999</v>
          </cell>
          <cell r="AC114">
            <v>189336.7</v>
          </cell>
          <cell r="AD114">
            <v>217208.6</v>
          </cell>
          <cell r="AE114">
            <v>211127.34800000003</v>
          </cell>
          <cell r="AF114">
            <v>860913.1</v>
          </cell>
          <cell r="AG114">
            <v>210000</v>
          </cell>
          <cell r="AH114">
            <v>718918.91891891882</v>
          </cell>
          <cell r="AI114">
            <v>410.52</v>
          </cell>
          <cell r="AJ114">
            <v>270.38</v>
          </cell>
          <cell r="AK114">
            <v>306.89</v>
          </cell>
          <cell r="AL114">
            <v>327.27</v>
          </cell>
          <cell r="AM114">
            <v>378.56420000000003</v>
          </cell>
          <cell r="AN114">
            <v>1476.99</v>
          </cell>
          <cell r="AO114">
            <v>1132.1099999999999</v>
          </cell>
          <cell r="AP114">
            <v>1304.55</v>
          </cell>
          <cell r="AQ114">
            <v>411.67</v>
          </cell>
          <cell r="AR114">
            <v>455.67</v>
          </cell>
          <cell r="AS114">
            <v>407.9</v>
          </cell>
          <cell r="AT114">
            <v>571.46</v>
          </cell>
          <cell r="AU114">
            <v>478.34333333333331</v>
          </cell>
          <cell r="AV114">
            <v>681.81</v>
          </cell>
          <cell r="AW114">
            <v>227.98</v>
          </cell>
          <cell r="AX114">
            <v>697.49</v>
          </cell>
          <cell r="AY114">
            <v>1705.4</v>
          </cell>
          <cell r="AZ114">
            <v>570.87</v>
          </cell>
          <cell r="BA114">
            <v>402.62</v>
          </cell>
          <cell r="BB114">
            <v>844.09500000000003</v>
          </cell>
          <cell r="BC114">
            <v>35492</v>
          </cell>
          <cell r="BD114">
            <v>31943</v>
          </cell>
          <cell r="BE114">
            <v>26000</v>
          </cell>
          <cell r="BF114">
            <v>20500</v>
          </cell>
          <cell r="BG114">
            <v>28483.75</v>
          </cell>
          <cell r="BH114">
            <v>2820</v>
          </cell>
          <cell r="BI114">
            <v>855</v>
          </cell>
          <cell r="BJ114">
            <v>3675</v>
          </cell>
          <cell r="BK114">
            <v>1995.079</v>
          </cell>
          <cell r="BL114">
            <v>2561.85</v>
          </cell>
          <cell r="BM114">
            <v>2278.4645</v>
          </cell>
          <cell r="BN114">
            <v>426.18</v>
          </cell>
          <cell r="BO114">
            <v>1975.88</v>
          </cell>
          <cell r="BP114">
            <v>1417.47</v>
          </cell>
          <cell r="BQ114">
            <v>1696.6750000000002</v>
          </cell>
          <cell r="BR114">
            <v>1350.35</v>
          </cell>
          <cell r="BS114">
            <v>4500</v>
          </cell>
          <cell r="BT114">
            <v>1047.5990000000002</v>
          </cell>
          <cell r="BU114">
            <v>57142.796999999999</v>
          </cell>
          <cell r="BV114">
            <v>1703</v>
          </cell>
          <cell r="BW114">
            <v>2664</v>
          </cell>
          <cell r="BY114">
            <v>8399.185506726948</v>
          </cell>
          <cell r="BZ114">
            <v>8019.0376218867796</v>
          </cell>
          <cell r="CA114">
            <v>7771.7503102377177</v>
          </cell>
          <cell r="CB114">
            <v>7901.1616545997258</v>
          </cell>
          <cell r="CC114">
            <v>8060.0945443338087</v>
          </cell>
          <cell r="CD114">
            <v>7182.2823180509249</v>
          </cell>
          <cell r="CE114">
            <v>8473.368335762485</v>
          </cell>
          <cell r="CF114">
            <v>8383.6192393628735</v>
          </cell>
          <cell r="CG114">
            <v>7962.0460670579232</v>
          </cell>
          <cell r="CH114">
            <v>9696.2187175991567</v>
          </cell>
          <cell r="CI114">
            <v>9909.3753711878271</v>
          </cell>
          <cell r="CJ114">
            <v>7855.9922535116339</v>
          </cell>
          <cell r="CK114">
            <v>10329.748374577159</v>
          </cell>
          <cell r="CL114">
            <v>13560.479558723466</v>
          </cell>
          <cell r="CM114">
            <v>8681.5485683498082</v>
          </cell>
          <cell r="CN114">
            <v>8567.6321606144102</v>
          </cell>
          <cell r="CO114">
            <v>10284.85216556621</v>
          </cell>
          <cell r="CP114">
            <v>9868.6542603496528</v>
          </cell>
          <cell r="CQ114">
            <v>8526.0288727816751</v>
          </cell>
          <cell r="CR114">
            <v>8898.2498841155884</v>
          </cell>
          <cell r="CS114">
            <v>8712.1393784486318</v>
          </cell>
          <cell r="CT114">
            <v>7791.5536668687682</v>
          </cell>
          <cell r="CU114">
            <v>8152.8623419911028</v>
          </cell>
          <cell r="CV114">
            <v>8078.1300908374706</v>
          </cell>
          <cell r="CW114">
            <v>8078.1300908374706</v>
          </cell>
          <cell r="CX114">
            <v>8103.0408412220158</v>
          </cell>
          <cell r="CY114">
            <v>8296.1630970628157</v>
          </cell>
          <cell r="CZ114">
            <v>10568.566191340444</v>
          </cell>
          <cell r="DA114">
            <v>8587.7936791966931</v>
          </cell>
          <cell r="DB114">
            <v>8506.9924338267319</v>
          </cell>
          <cell r="DC114">
            <v>8736.0521404920892</v>
          </cell>
          <cell r="DD114">
            <v>8444.7930219762929</v>
          </cell>
          <cell r="DE114">
            <v>7383.5172537468598</v>
          </cell>
          <cell r="DF114">
            <v>8624.1297230045238</v>
          </cell>
          <cell r="DG114">
            <v>8003.8234883756922</v>
          </cell>
          <cell r="DH114">
            <v>8528.6913330051848</v>
          </cell>
          <cell r="DI114">
            <v>8367.6019675357365</v>
          </cell>
          <cell r="DK114">
            <v>650000</v>
          </cell>
          <cell r="DL114" t="str">
            <v>2023-24</v>
          </cell>
          <cell r="DM114">
            <v>215000</v>
          </cell>
          <cell r="DN114" t="str">
            <v>2024-25</v>
          </cell>
          <cell r="DO114">
            <v>1500000</v>
          </cell>
          <cell r="DP114" t="str">
            <v>2024-25</v>
          </cell>
          <cell r="DQ114">
            <v>2100000</v>
          </cell>
          <cell r="DR114" t="str">
            <v>2024-25</v>
          </cell>
          <cell r="DS114">
            <v>7600000</v>
          </cell>
          <cell r="DT114" t="str">
            <v>2023-24</v>
          </cell>
          <cell r="DU114">
            <v>16600000</v>
          </cell>
          <cell r="DV114" t="str">
            <v>2023-24</v>
          </cell>
          <cell r="DW114">
            <v>1100000</v>
          </cell>
          <cell r="DX114" t="str">
            <v>2024-25</v>
          </cell>
          <cell r="DY114">
            <v>6300000</v>
          </cell>
          <cell r="DZ114" t="str">
            <v>2024-25</v>
          </cell>
          <cell r="EA114">
            <v>35200000</v>
          </cell>
          <cell r="EB114">
            <v>521230</v>
          </cell>
          <cell r="EC114" t="str">
            <v>2024-25</v>
          </cell>
          <cell r="ED114">
            <v>230256</v>
          </cell>
          <cell r="EE114">
            <v>2024</v>
          </cell>
          <cell r="EF114">
            <v>199946</v>
          </cell>
          <cell r="EG114">
            <v>2024</v>
          </cell>
          <cell r="EH114">
            <v>52783892</v>
          </cell>
          <cell r="EI114">
            <v>2024</v>
          </cell>
          <cell r="EJ114">
            <v>6115215</v>
          </cell>
          <cell r="EK114">
            <v>2024</v>
          </cell>
          <cell r="EL114">
            <v>12440906</v>
          </cell>
          <cell r="EM114">
            <v>2024</v>
          </cell>
          <cell r="EN114">
            <v>3169981</v>
          </cell>
          <cell r="EO114">
            <v>2021</v>
          </cell>
          <cell r="EP114">
            <v>9125</v>
          </cell>
          <cell r="EQ114">
            <v>3500000</v>
          </cell>
          <cell r="ER114">
            <v>80248</v>
          </cell>
          <cell r="ET114">
            <v>19357</v>
          </cell>
          <cell r="EU114">
            <v>18703</v>
          </cell>
          <cell r="EV114">
            <v>8927</v>
          </cell>
          <cell r="EW114">
            <v>17408</v>
          </cell>
          <cell r="EX114">
            <v>64395</v>
          </cell>
          <cell r="EY114">
            <v>20031</v>
          </cell>
          <cell r="EZ114">
            <v>34815</v>
          </cell>
          <cell r="FA114">
            <v>19900</v>
          </cell>
          <cell r="FB114">
            <v>18184</v>
          </cell>
          <cell r="FC114">
            <v>38084</v>
          </cell>
          <cell r="FD114">
            <v>60376</v>
          </cell>
          <cell r="FF114">
            <v>1300000</v>
          </cell>
          <cell r="FG114" t="str">
            <v>2023-24</v>
          </cell>
          <cell r="FH114">
            <v>1300000</v>
          </cell>
          <cell r="FI114" t="str">
            <v>2023-24</v>
          </cell>
          <cell r="FJ114">
            <v>5100000</v>
          </cell>
          <cell r="FK114" t="str">
            <v>2023-24</v>
          </cell>
          <cell r="FL114">
            <v>3900000</v>
          </cell>
          <cell r="FM114" t="str">
            <v>2023-24</v>
          </cell>
          <cell r="FN114">
            <v>46500000</v>
          </cell>
          <cell r="FO114" t="str">
            <v>2023-24</v>
          </cell>
          <cell r="FP114">
            <v>48200000</v>
          </cell>
          <cell r="FQ114" t="str">
            <v>2023-24</v>
          </cell>
          <cell r="FR114">
            <v>2500000</v>
          </cell>
          <cell r="FS114" t="str">
            <v>2023-24</v>
          </cell>
          <cell r="FT114">
            <v>15900000</v>
          </cell>
          <cell r="FU114" t="str">
            <v>2023-24</v>
          </cell>
          <cell r="FV114">
            <v>122100000</v>
          </cell>
          <cell r="FW114">
            <v>1604722</v>
          </cell>
          <cell r="FX114" t="str">
            <v>2023-24</v>
          </cell>
          <cell r="FY114">
            <v>79183</v>
          </cell>
          <cell r="FZ114">
            <v>1006571.5</v>
          </cell>
          <cell r="GA114" t="str">
            <v>oct23 sept24</v>
          </cell>
          <cell r="GB114">
            <v>19189740</v>
          </cell>
          <cell r="GC114">
            <v>2024</v>
          </cell>
          <cell r="GD114">
            <v>1714000</v>
          </cell>
          <cell r="GE114">
            <v>424000</v>
          </cell>
          <cell r="GF114">
            <v>1165000</v>
          </cell>
          <cell r="GG114">
            <v>145000</v>
          </cell>
          <cell r="GH114">
            <v>1734000</v>
          </cell>
          <cell r="GI114">
            <v>1302556</v>
          </cell>
          <cell r="GJ114">
            <v>682423</v>
          </cell>
          <cell r="GK114">
            <v>1391495</v>
          </cell>
          <cell r="GL114">
            <v>305049</v>
          </cell>
          <cell r="GM114">
            <v>260419</v>
          </cell>
          <cell r="GN114">
            <v>2639386</v>
          </cell>
          <cell r="GO114">
            <v>201734</v>
          </cell>
          <cell r="GP114">
            <v>69297</v>
          </cell>
          <cell r="GQ114">
            <v>21799</v>
          </cell>
          <cell r="GR114">
            <v>34035</v>
          </cell>
          <cell r="GS114">
            <v>34688.97</v>
          </cell>
          <cell r="GT114">
            <v>2111561</v>
          </cell>
          <cell r="GU114">
            <v>24071</v>
          </cell>
          <cell r="GV114">
            <v>28621</v>
          </cell>
          <cell r="GW114">
            <v>743119</v>
          </cell>
          <cell r="GX114">
            <v>30804.553</v>
          </cell>
          <cell r="GY114" t="str">
            <v>2023-2024</v>
          </cell>
          <cell r="GZ114">
            <v>80786</v>
          </cell>
          <cell r="HA114">
            <v>279000</v>
          </cell>
          <cell r="HB114">
            <v>3117524</v>
          </cell>
          <cell r="HC114" t="str">
            <v>oct23 sept24</v>
          </cell>
          <cell r="HD114">
            <v>63587</v>
          </cell>
          <cell r="HE114">
            <v>781547</v>
          </cell>
          <cell r="HF114" t="str">
            <v>oct23 sept24</v>
          </cell>
          <cell r="HG114">
            <v>192000</v>
          </cell>
          <cell r="HH114">
            <v>2292000</v>
          </cell>
          <cell r="HI114" t="str">
            <v>oct23 sept24</v>
          </cell>
          <cell r="HJ114">
            <v>86250</v>
          </cell>
          <cell r="HK114">
            <v>64866.742299286794</v>
          </cell>
          <cell r="HL114" t="str">
            <v>oct23 sept24</v>
          </cell>
          <cell r="HM114">
            <v>2356866.7422992866</v>
          </cell>
          <cell r="HN114">
            <v>-3.9846228239845294E-2</v>
          </cell>
          <cell r="HO114">
            <v>992799000</v>
          </cell>
          <cell r="HP114">
            <v>10362.246656900923</v>
          </cell>
          <cell r="HQ114" t="str">
            <v>oct23 sept24</v>
          </cell>
          <cell r="HU114">
            <v>700000</v>
          </cell>
          <cell r="HV114" t="str">
            <v>2023-24</v>
          </cell>
          <cell r="HW114">
            <v>1500000</v>
          </cell>
          <cell r="HX114" t="str">
            <v>2023-24</v>
          </cell>
          <cell r="HY114">
            <v>4600000</v>
          </cell>
          <cell r="HZ114" t="str">
            <v>2023-24</v>
          </cell>
          <cell r="IA114">
            <v>21600000</v>
          </cell>
          <cell r="IB114" t="str">
            <v>2023-24</v>
          </cell>
          <cell r="IC114">
            <v>45000000</v>
          </cell>
          <cell r="ID114" t="str">
            <v>2023-24</v>
          </cell>
          <cell r="IE114">
            <v>1500000</v>
          </cell>
          <cell r="IF114" t="str">
            <v>2023-24</v>
          </cell>
          <cell r="IG114">
            <v>7400000</v>
          </cell>
          <cell r="IH114" t="str">
            <v>2023-24</v>
          </cell>
          <cell r="II114">
            <v>81600000</v>
          </cell>
          <cell r="IJ114">
            <v>2.160083392153568</v>
          </cell>
          <cell r="IK114" t="str">
            <v>2023-24</v>
          </cell>
          <cell r="IL114">
            <v>42.29</v>
          </cell>
          <cell r="IM114">
            <v>47.38</v>
          </cell>
          <cell r="IN114">
            <v>160.6</v>
          </cell>
          <cell r="IO114">
            <v>16.8</v>
          </cell>
          <cell r="IP114">
            <v>5.5789164694027633</v>
          </cell>
          <cell r="IQ114">
            <v>16.3</v>
          </cell>
          <cell r="IR114">
            <v>6.09</v>
          </cell>
          <cell r="IS114">
            <v>4.03</v>
          </cell>
          <cell r="IT114">
            <v>11.98</v>
          </cell>
          <cell r="IU114">
            <v>1.38</v>
          </cell>
          <cell r="IV114">
            <v>17.39</v>
          </cell>
          <cell r="IY114">
            <v>1.88</v>
          </cell>
          <cell r="IZ114">
            <v>0.3</v>
          </cell>
          <cell r="JA114">
            <v>2813</v>
          </cell>
          <cell r="JF114">
            <v>21.922029789999996</v>
          </cell>
          <cell r="JG114">
            <v>26.198510359999997</v>
          </cell>
          <cell r="JH114">
            <v>150.10930296999999</v>
          </cell>
          <cell r="JI114">
            <v>206.09606002999999</v>
          </cell>
          <cell r="JJ114">
            <v>669.48603334999973</v>
          </cell>
          <cell r="JK114">
            <v>155.33708399000002</v>
          </cell>
          <cell r="JL114">
            <v>2292.97216592</v>
          </cell>
          <cell r="JM114">
            <v>32.4602687</v>
          </cell>
          <cell r="JN114">
            <v>59.680487890000002</v>
          </cell>
          <cell r="JO114">
            <v>36.879687310000008</v>
          </cell>
          <cell r="JP114">
            <v>0</v>
          </cell>
          <cell r="JQ114">
            <v>0</v>
          </cell>
          <cell r="JR114">
            <v>2.0161257399999997</v>
          </cell>
          <cell r="JS114">
            <v>0</v>
          </cell>
          <cell r="JT114">
            <v>0.16388376000000002</v>
          </cell>
          <cell r="JU114">
            <v>106.11166329999998</v>
          </cell>
          <cell r="JV114">
            <v>20.213999190000003</v>
          </cell>
          <cell r="JW114">
            <v>13.78311628</v>
          </cell>
          <cell r="JX114">
            <v>19.684849620000001</v>
          </cell>
          <cell r="JY114">
            <v>0</v>
          </cell>
          <cell r="JZ114">
            <v>14.709445869999998</v>
          </cell>
          <cell r="KA114">
            <v>0.54611279999999995</v>
          </cell>
          <cell r="KB114">
            <v>18.158715399999995</v>
          </cell>
          <cell r="KC114">
            <v>54.488227269999996</v>
          </cell>
          <cell r="KD114">
            <v>10.05873476</v>
          </cell>
          <cell r="KE114">
            <v>22.211636389999995</v>
          </cell>
          <cell r="KF114">
            <v>22.566015059999998</v>
          </cell>
          <cell r="KG114">
            <v>392.24577093999977</v>
          </cell>
          <cell r="KH114">
            <v>136.36151781000004</v>
          </cell>
          <cell r="KI114">
            <v>12.657815750000001</v>
          </cell>
          <cell r="KJ114">
            <v>2.1279038099999998</v>
          </cell>
          <cell r="KK114">
            <v>6.3060080799999998</v>
          </cell>
          <cell r="KL114">
            <v>0.40961613000000002</v>
          </cell>
          <cell r="KM114">
            <v>0.89763188000000005</v>
          </cell>
          <cell r="KN114">
            <v>1.7077387299999998</v>
          </cell>
          <cell r="KO114">
            <v>8.564410109999999</v>
          </cell>
          <cell r="KP114">
            <v>0.13444175</v>
          </cell>
          <cell r="KQ114">
            <v>254.02724699999999</v>
          </cell>
          <cell r="KR114">
            <v>6.9929160000000004E-2</v>
          </cell>
          <cell r="KS114">
            <v>1.6713000000000002E-2</v>
          </cell>
          <cell r="KT114">
            <v>2.0286618900000004</v>
          </cell>
          <cell r="KU114">
            <v>0.14711371000000001</v>
          </cell>
          <cell r="KV114">
            <v>7.6778486899999994</v>
          </cell>
          <cell r="KW114">
            <v>2.3911333300000002</v>
          </cell>
          <cell r="KX114">
            <v>0</v>
          </cell>
          <cell r="KY114">
            <v>0.21197170000000001</v>
          </cell>
          <cell r="KZ114">
            <v>2.4415022799999999</v>
          </cell>
          <cell r="LA114">
            <v>0.4035049</v>
          </cell>
          <cell r="LB114">
            <v>2.8527E-2</v>
          </cell>
          <cell r="LC114">
            <v>9.9244270000000009E-2</v>
          </cell>
          <cell r="LD114">
            <v>0</v>
          </cell>
          <cell r="LE114">
            <v>1.6801E-2</v>
          </cell>
          <cell r="LF114">
            <v>0.15787200000000001</v>
          </cell>
          <cell r="LG114">
            <v>16.942532470000003</v>
          </cell>
          <cell r="LH114">
            <v>5.3893107900000006</v>
          </cell>
          <cell r="LI114">
            <v>1.2494588400000002</v>
          </cell>
          <cell r="LJ114">
            <v>4.0664E-4</v>
          </cell>
          <cell r="LK114">
            <v>3.59052696</v>
          </cell>
          <cell r="LL114">
            <v>2.7432327000000001</v>
          </cell>
          <cell r="LM114">
            <v>1.0080099199999999</v>
          </cell>
          <cell r="LN114">
            <v>0.26088905000000001</v>
          </cell>
          <cell r="LO114">
            <v>7.3519509899999989</v>
          </cell>
          <cell r="LQ114">
            <v>3410.80431886</v>
          </cell>
          <cell r="LR114">
            <v>2.1800094999999997</v>
          </cell>
          <cell r="LS114">
            <v>22.303018159999997</v>
          </cell>
          <cell r="LT114">
            <v>15.255558669999997</v>
          </cell>
          <cell r="LU114">
            <v>265.28366987999999</v>
          </cell>
          <cell r="LV114">
            <v>10.280953719999999</v>
          </cell>
          <cell r="LW114">
            <v>0.14837025000000001</v>
          </cell>
          <cell r="LX114">
            <v>0.17467300000000002</v>
          </cell>
          <cell r="LZ114">
            <v>1329.9</v>
          </cell>
          <cell r="MA114">
            <v>2262</v>
          </cell>
          <cell r="MH114">
            <v>2878.01</v>
          </cell>
          <cell r="MI114">
            <v>829.22</v>
          </cell>
          <cell r="MJ114">
            <v>1326.9</v>
          </cell>
          <cell r="ML114">
            <v>1605.65</v>
          </cell>
          <cell r="MM114">
            <v>3076.63</v>
          </cell>
          <cell r="MO114">
            <v>849.07</v>
          </cell>
          <cell r="MP114">
            <v>2122.36</v>
          </cell>
          <cell r="MQ114">
            <v>2235.7800000000002</v>
          </cell>
          <cell r="MU114">
            <v>811.45</v>
          </cell>
          <cell r="MY114">
            <v>2195.85</v>
          </cell>
          <cell r="MZ114">
            <v>5239</v>
          </cell>
          <cell r="NA114">
            <v>2834</v>
          </cell>
          <cell r="NB114">
            <v>7271</v>
          </cell>
          <cell r="NC114">
            <v>1358.1</v>
          </cell>
          <cell r="ND114">
            <v>8700</v>
          </cell>
          <cell r="NE114">
            <v>5368</v>
          </cell>
        </row>
        <row r="115">
          <cell r="A115">
            <v>45566</v>
          </cell>
          <cell r="B115">
            <v>10</v>
          </cell>
          <cell r="C115">
            <v>2024</v>
          </cell>
          <cell r="D115">
            <v>115</v>
          </cell>
          <cell r="E115">
            <v>45566</v>
          </cell>
          <cell r="F115">
            <v>981</v>
          </cell>
          <cell r="G115">
            <v>7314</v>
          </cell>
          <cell r="H115">
            <v>675823.63</v>
          </cell>
          <cell r="I115">
            <v>110</v>
          </cell>
          <cell r="J115">
            <v>530</v>
          </cell>
          <cell r="K115">
            <v>4.5</v>
          </cell>
          <cell r="L115">
            <v>36.9</v>
          </cell>
          <cell r="N115">
            <v>1.6025</v>
          </cell>
          <cell r="O115">
            <v>1.3125</v>
          </cell>
          <cell r="P115">
            <v>1358.317125</v>
          </cell>
          <cell r="Q115">
            <v>38000</v>
          </cell>
          <cell r="R115">
            <v>380000</v>
          </cell>
          <cell r="S115">
            <v>172.43002038735983</v>
          </cell>
          <cell r="T115">
            <v>329.06</v>
          </cell>
          <cell r="U115">
            <v>187</v>
          </cell>
          <cell r="V115">
            <v>314.86</v>
          </cell>
          <cell r="W115">
            <v>197</v>
          </cell>
          <cell r="X115">
            <v>217</v>
          </cell>
          <cell r="Y115">
            <v>169153.85</v>
          </cell>
          <cell r="Z115">
            <v>322807.86</v>
          </cell>
          <cell r="AA115">
            <v>183447</v>
          </cell>
          <cell r="AB115">
            <v>308877.66000000003</v>
          </cell>
          <cell r="AC115">
            <v>193257</v>
          </cell>
          <cell r="AD115">
            <v>212877</v>
          </cell>
          <cell r="AE115">
            <v>231736.72833333336</v>
          </cell>
          <cell r="AF115">
            <v>876141.3</v>
          </cell>
          <cell r="AG115">
            <v>210000</v>
          </cell>
          <cell r="AH115">
            <v>718918.91891891882</v>
          </cell>
          <cell r="AI115">
            <v>458.45</v>
          </cell>
          <cell r="AJ115">
            <v>349.19</v>
          </cell>
          <cell r="AK115">
            <v>287.12</v>
          </cell>
          <cell r="AL115">
            <v>329.41</v>
          </cell>
          <cell r="AM115">
            <v>346.4</v>
          </cell>
          <cell r="AN115">
            <v>1658.12</v>
          </cell>
          <cell r="AO115">
            <v>1099.3599999999999</v>
          </cell>
          <cell r="AP115">
            <v>1378.7399999999998</v>
          </cell>
          <cell r="AQ115">
            <v>987.15</v>
          </cell>
          <cell r="AR115">
            <v>656.96</v>
          </cell>
          <cell r="AS115">
            <v>521.87</v>
          </cell>
          <cell r="AT115">
            <v>704.79</v>
          </cell>
          <cell r="AU115">
            <v>627.87333333333333</v>
          </cell>
          <cell r="AV115">
            <v>761.85</v>
          </cell>
          <cell r="AW115">
            <v>230.71</v>
          </cell>
          <cell r="AX115">
            <v>383.27</v>
          </cell>
          <cell r="AY115">
            <v>1292.6400000000001</v>
          </cell>
          <cell r="AZ115">
            <v>655.87</v>
          </cell>
          <cell r="BA115">
            <v>485.72</v>
          </cell>
          <cell r="BB115">
            <v>704.375</v>
          </cell>
          <cell r="BC115">
            <v>36237</v>
          </cell>
          <cell r="BD115">
            <v>32614</v>
          </cell>
          <cell r="BE115">
            <v>25300</v>
          </cell>
          <cell r="BF115">
            <v>19000</v>
          </cell>
          <cell r="BG115">
            <v>28287.75</v>
          </cell>
          <cell r="BH115">
            <v>2820</v>
          </cell>
          <cell r="BI115">
            <v>855</v>
          </cell>
          <cell r="BJ115">
            <v>3675</v>
          </cell>
          <cell r="BK115">
            <v>1956.0429999999999</v>
          </cell>
          <cell r="BL115">
            <v>2685.2</v>
          </cell>
          <cell r="BM115">
            <v>2320.6214999999997</v>
          </cell>
          <cell r="BN115">
            <v>434.86</v>
          </cell>
          <cell r="BO115">
            <v>1973.26</v>
          </cell>
          <cell r="BP115">
            <v>1454.17</v>
          </cell>
          <cell r="BQ115">
            <v>1713.7150000000001</v>
          </cell>
          <cell r="BR115">
            <v>1428.22</v>
          </cell>
          <cell r="BS115">
            <v>4850</v>
          </cell>
          <cell r="BT115">
            <v>1098.72</v>
          </cell>
          <cell r="BU115">
            <v>61496.160000000003</v>
          </cell>
          <cell r="BV115">
            <v>1717</v>
          </cell>
          <cell r="BW115">
            <v>2455</v>
          </cell>
          <cell r="BY115">
            <v>9038.3856669641136</v>
          </cell>
          <cell r="BZ115">
            <v>8641.1762134165219</v>
          </cell>
          <cell r="CA115">
            <v>8812.1092002175519</v>
          </cell>
          <cell r="CB115">
            <v>8903.9676827009262</v>
          </cell>
          <cell r="CC115">
            <v>8950.6251186951995</v>
          </cell>
          <cell r="CD115">
            <v>9211.6799911874277</v>
          </cell>
          <cell r="CE115">
            <v>9060.5421722560095</v>
          </cell>
          <cell r="CF115">
            <v>9323.864128960251</v>
          </cell>
          <cell r="CG115">
            <v>9043.7980490028949</v>
          </cell>
          <cell r="CH115">
            <v>10594.356323761589</v>
          </cell>
          <cell r="CI115">
            <v>10479.057132066253</v>
          </cell>
          <cell r="CJ115">
            <v>7998.7002391173082</v>
          </cell>
          <cell r="CK115">
            <v>8913.4476462715575</v>
          </cell>
          <cell r="CL115">
            <v>12180.484379843383</v>
          </cell>
          <cell r="CM115">
            <v>9142.5921037537119</v>
          </cell>
          <cell r="CN115">
            <v>9022.4058117830991</v>
          </cell>
          <cell r="CO115">
            <v>9814.7324854129383</v>
          </cell>
          <cell r="CP115">
            <v>10147.248853849986</v>
          </cell>
          <cell r="CQ115">
            <v>8824.6498869681345</v>
          </cell>
          <cell r="CR115">
            <v>8982.804008831934</v>
          </cell>
          <cell r="CS115">
            <v>8903.7269479000352</v>
          </cell>
          <cell r="CT115">
            <v>8628.8529521517994</v>
          </cell>
          <cell r="CU115">
            <v>8558.4999229251625</v>
          </cell>
          <cell r="CV115">
            <v>8362.0929453967783</v>
          </cell>
          <cell r="CW115">
            <v>8362.0929453967783</v>
          </cell>
          <cell r="CX115">
            <v>8427.5619379062391</v>
          </cell>
          <cell r="CY115">
            <v>8463.143958188195</v>
          </cell>
          <cell r="CZ115">
            <v>10714.323719447264</v>
          </cell>
          <cell r="DA115">
            <v>8753.2425735106644</v>
          </cell>
          <cell r="DB115">
            <v>8632.8057599920248</v>
          </cell>
          <cell r="DC115">
            <v>9184.3571246056163</v>
          </cell>
          <cell r="DD115">
            <v>8925.0663856491065</v>
          </cell>
          <cell r="DE115">
            <v>7869.520364200127</v>
          </cell>
          <cell r="DF115">
            <v>9167.7548442256611</v>
          </cell>
          <cell r="DG115">
            <v>8518.6376042128941</v>
          </cell>
          <cell r="DH115">
            <v>8684.1502061930187</v>
          </cell>
          <cell r="DI115">
            <v>8609.6506611685127</v>
          </cell>
          <cell r="DK115">
            <v>690000</v>
          </cell>
          <cell r="DL115" t="str">
            <v>2024-25</v>
          </cell>
          <cell r="DM115">
            <v>220000</v>
          </cell>
          <cell r="DN115" t="str">
            <v>2024-25</v>
          </cell>
          <cell r="DO115">
            <v>1500000</v>
          </cell>
          <cell r="DP115" t="str">
            <v>2024-25</v>
          </cell>
          <cell r="DQ115">
            <v>2000000</v>
          </cell>
          <cell r="DR115" t="str">
            <v>2024-25</v>
          </cell>
          <cell r="DS115">
            <v>6600000</v>
          </cell>
          <cell r="DT115" t="str">
            <v>2024-25</v>
          </cell>
          <cell r="DU115">
            <v>17800000</v>
          </cell>
          <cell r="DV115" t="str">
            <v>2024-25</v>
          </cell>
          <cell r="DW115">
            <v>1100000</v>
          </cell>
          <cell r="DX115" t="str">
            <v>2024-25</v>
          </cell>
          <cell r="DY115">
            <v>6300000</v>
          </cell>
          <cell r="DZ115" t="str">
            <v>2024-25</v>
          </cell>
          <cell r="EA115">
            <v>35300000</v>
          </cell>
          <cell r="EB115">
            <v>521230</v>
          </cell>
          <cell r="EC115" t="str">
            <v>2024-25</v>
          </cell>
          <cell r="ED115">
            <v>230256</v>
          </cell>
          <cell r="EE115">
            <v>2024</v>
          </cell>
          <cell r="EF115">
            <v>199946</v>
          </cell>
          <cell r="EG115">
            <v>2024</v>
          </cell>
          <cell r="EH115">
            <v>52783892</v>
          </cell>
          <cell r="EI115">
            <v>2024</v>
          </cell>
          <cell r="EJ115">
            <v>6115215</v>
          </cell>
          <cell r="EK115">
            <v>2024</v>
          </cell>
          <cell r="EL115">
            <v>12440906</v>
          </cell>
          <cell r="EM115">
            <v>2024</v>
          </cell>
          <cell r="EN115">
            <v>3169981</v>
          </cell>
          <cell r="EO115">
            <v>2021</v>
          </cell>
          <cell r="EP115">
            <v>9082</v>
          </cell>
          <cell r="EQ115">
            <v>3500000</v>
          </cell>
          <cell r="ER115">
            <v>80248</v>
          </cell>
          <cell r="ET115">
            <v>19357</v>
          </cell>
          <cell r="EU115">
            <v>18703</v>
          </cell>
          <cell r="EV115">
            <v>8927</v>
          </cell>
          <cell r="EW115">
            <v>17408</v>
          </cell>
          <cell r="EX115">
            <v>64395</v>
          </cell>
          <cell r="EY115">
            <v>20031</v>
          </cell>
          <cell r="EZ115">
            <v>34815</v>
          </cell>
          <cell r="FA115">
            <v>19900</v>
          </cell>
          <cell r="FB115">
            <v>18184</v>
          </cell>
          <cell r="FC115">
            <v>38084</v>
          </cell>
          <cell r="FD115">
            <v>60376</v>
          </cell>
          <cell r="FF115">
            <v>1300000</v>
          </cell>
          <cell r="FG115" t="str">
            <v>2023-24</v>
          </cell>
          <cell r="FH115">
            <v>1300000</v>
          </cell>
          <cell r="FI115" t="str">
            <v>2023-24</v>
          </cell>
          <cell r="FJ115">
            <v>5100000</v>
          </cell>
          <cell r="FK115" t="str">
            <v>2023-24</v>
          </cell>
          <cell r="FL115">
            <v>3900000</v>
          </cell>
          <cell r="FM115" t="str">
            <v>2023-24</v>
          </cell>
          <cell r="FN115">
            <v>46500000</v>
          </cell>
          <cell r="FO115" t="str">
            <v>2023-24</v>
          </cell>
          <cell r="FP115">
            <v>48200000</v>
          </cell>
          <cell r="FQ115" t="str">
            <v>2023-24</v>
          </cell>
          <cell r="FR115">
            <v>2500000</v>
          </cell>
          <cell r="FS115" t="str">
            <v>2023-24</v>
          </cell>
          <cell r="FT115">
            <v>15900000</v>
          </cell>
          <cell r="FU115" t="str">
            <v>2023-24</v>
          </cell>
          <cell r="FV115">
            <v>122100000</v>
          </cell>
          <cell r="FW115">
            <v>1604722</v>
          </cell>
          <cell r="FX115" t="str">
            <v>2023-24</v>
          </cell>
          <cell r="FY115">
            <v>0</v>
          </cell>
          <cell r="FZ115">
            <v>1006571.5</v>
          </cell>
          <cell r="GA115" t="str">
            <v>nov23 oct24</v>
          </cell>
          <cell r="GB115">
            <v>19189740</v>
          </cell>
          <cell r="GC115">
            <v>2024</v>
          </cell>
          <cell r="GD115">
            <v>1714000</v>
          </cell>
          <cell r="GE115">
            <v>424000</v>
          </cell>
          <cell r="GF115">
            <v>1165000</v>
          </cell>
          <cell r="GG115">
            <v>145000</v>
          </cell>
          <cell r="GH115">
            <v>1734000</v>
          </cell>
          <cell r="GI115">
            <v>1302556</v>
          </cell>
          <cell r="GJ115">
            <v>682423</v>
          </cell>
          <cell r="GK115">
            <v>1391495</v>
          </cell>
          <cell r="GL115">
            <v>305049</v>
          </cell>
          <cell r="GM115">
            <v>260419</v>
          </cell>
          <cell r="GN115">
            <v>2639386</v>
          </cell>
          <cell r="GO115">
            <v>201734</v>
          </cell>
          <cell r="GP115">
            <v>69297</v>
          </cell>
          <cell r="GQ115">
            <v>36514</v>
          </cell>
          <cell r="GR115">
            <v>34035</v>
          </cell>
          <cell r="GS115">
            <v>35130.42</v>
          </cell>
          <cell r="GT115">
            <v>2111561</v>
          </cell>
          <cell r="GU115">
            <v>22733</v>
          </cell>
          <cell r="GV115">
            <v>29584</v>
          </cell>
          <cell r="GW115">
            <v>749630</v>
          </cell>
          <cell r="GX115">
            <v>30804.553</v>
          </cell>
          <cell r="GY115" t="str">
            <v>2023-2024</v>
          </cell>
          <cell r="GZ115">
            <v>80786</v>
          </cell>
          <cell r="HA115">
            <v>293000</v>
          </cell>
          <cell r="HB115">
            <v>3151524</v>
          </cell>
          <cell r="HC115" t="str">
            <v>nov23 oct24</v>
          </cell>
          <cell r="HD115">
            <v>66745</v>
          </cell>
          <cell r="HE115">
            <v>782321</v>
          </cell>
          <cell r="HF115" t="str">
            <v>nov23 oct24</v>
          </cell>
          <cell r="HG115">
            <v>205000</v>
          </cell>
          <cell r="HH115">
            <v>2298000</v>
          </cell>
          <cell r="HI115" t="str">
            <v>nov23 oct24</v>
          </cell>
          <cell r="HJ115">
            <v>88170</v>
          </cell>
          <cell r="HK115">
            <v>64594.342299286793</v>
          </cell>
          <cell r="HL115" t="str">
            <v>nov23 oct24</v>
          </cell>
          <cell r="HM115">
            <v>2362594.3422992867</v>
          </cell>
          <cell r="HN115">
            <v>-4.7887429643527213E-2</v>
          </cell>
          <cell r="HO115">
            <v>1014952000</v>
          </cell>
          <cell r="HP115">
            <v>10311.198656900922</v>
          </cell>
          <cell r="HQ115" t="str">
            <v>nov23 oct24</v>
          </cell>
          <cell r="HU115">
            <v>700000</v>
          </cell>
          <cell r="HV115" t="str">
            <v>2023-24</v>
          </cell>
          <cell r="HW115">
            <v>1500000</v>
          </cell>
          <cell r="HX115" t="str">
            <v>2023-24</v>
          </cell>
          <cell r="HY115">
            <v>4600000</v>
          </cell>
          <cell r="HZ115" t="str">
            <v>2023-24</v>
          </cell>
          <cell r="IA115">
            <v>21600000</v>
          </cell>
          <cell r="IB115" t="str">
            <v>2023-24</v>
          </cell>
          <cell r="IC115">
            <v>45000000</v>
          </cell>
          <cell r="ID115" t="str">
            <v>2023-24</v>
          </cell>
          <cell r="IE115">
            <v>1500000</v>
          </cell>
          <cell r="IF115" t="str">
            <v>2023-24</v>
          </cell>
          <cell r="IG115">
            <v>7400000</v>
          </cell>
          <cell r="IH115" t="str">
            <v>2023-24</v>
          </cell>
          <cell r="II115">
            <v>81600000</v>
          </cell>
          <cell r="IJ115">
            <v>2.160083392153568</v>
          </cell>
          <cell r="IK115" t="str">
            <v>2023-24</v>
          </cell>
          <cell r="IL115">
            <v>44.44</v>
          </cell>
          <cell r="IM115">
            <v>47.74</v>
          </cell>
          <cell r="IN115">
            <v>160.6</v>
          </cell>
          <cell r="IO115">
            <v>16.87</v>
          </cell>
          <cell r="IP115">
            <v>5.5789164694027633</v>
          </cell>
          <cell r="IQ115">
            <v>16.3</v>
          </cell>
          <cell r="IR115">
            <v>6.09</v>
          </cell>
          <cell r="IS115">
            <v>4.03</v>
          </cell>
          <cell r="IT115">
            <v>11.98</v>
          </cell>
          <cell r="IU115">
            <v>1.38</v>
          </cell>
          <cell r="IV115">
            <v>17.39</v>
          </cell>
          <cell r="IY115">
            <v>1.88</v>
          </cell>
          <cell r="IZ115">
            <v>0.3</v>
          </cell>
          <cell r="JA115">
            <v>2813</v>
          </cell>
          <cell r="JF115">
            <v>17.696202909999993</v>
          </cell>
          <cell r="JG115">
            <v>22.506187060000002</v>
          </cell>
          <cell r="JH115">
            <v>93.94871624000001</v>
          </cell>
          <cell r="JI115">
            <v>194.06991567</v>
          </cell>
          <cell r="JJ115">
            <v>622.13819530000001</v>
          </cell>
          <cell r="JK115">
            <v>142.09253510999997</v>
          </cell>
          <cell r="JL115">
            <v>2463.2463241800001</v>
          </cell>
          <cell r="JM115">
            <v>19.034479449999999</v>
          </cell>
          <cell r="JN115">
            <v>93.279693350000002</v>
          </cell>
          <cell r="JO115">
            <v>38.158354570000007</v>
          </cell>
          <cell r="JP115">
            <v>0</v>
          </cell>
          <cell r="JQ115">
            <v>2.5000000000000001E-3</v>
          </cell>
          <cell r="JR115">
            <v>1.6822322700000001</v>
          </cell>
          <cell r="JS115">
            <v>0</v>
          </cell>
          <cell r="JT115">
            <v>1.7500000000000002E-2</v>
          </cell>
          <cell r="JU115">
            <v>88.790830600000021</v>
          </cell>
          <cell r="JV115">
            <v>9.5181649300000011</v>
          </cell>
          <cell r="JW115">
            <v>11.455335140000001</v>
          </cell>
          <cell r="JX115">
            <v>13.125980849999999</v>
          </cell>
          <cell r="JY115">
            <v>0</v>
          </cell>
          <cell r="JZ115">
            <v>16.937422650000002</v>
          </cell>
          <cell r="KA115">
            <v>0.1825</v>
          </cell>
          <cell r="KB115">
            <v>17.7783984</v>
          </cell>
          <cell r="KC115">
            <v>41.640055749999995</v>
          </cell>
          <cell r="KD115">
            <v>11.361751129999998</v>
          </cell>
          <cell r="KE115">
            <v>24.378519029999993</v>
          </cell>
          <cell r="KF115">
            <v>20.968439010000004</v>
          </cell>
          <cell r="KG115">
            <v>373.60267999999996</v>
          </cell>
          <cell r="KH115">
            <v>162.27196751000002</v>
          </cell>
          <cell r="KI115">
            <v>15.390557059999999</v>
          </cell>
          <cell r="KJ115">
            <v>3.1723580499999997</v>
          </cell>
          <cell r="KK115">
            <v>5.8112020999999991</v>
          </cell>
          <cell r="KL115">
            <v>0.50490091999999998</v>
          </cell>
          <cell r="KM115">
            <v>0.17006911999999999</v>
          </cell>
          <cell r="KN115">
            <v>4.6644499999999997E-3</v>
          </cell>
          <cell r="KO115">
            <v>3.9101114900000002</v>
          </cell>
          <cell r="KP115">
            <v>1.6271E-3</v>
          </cell>
          <cell r="KQ115">
            <v>294.08894190000001</v>
          </cell>
          <cell r="KR115">
            <v>0.95043706000000006</v>
          </cell>
          <cell r="KS115">
            <v>6.2662639999999992E-2</v>
          </cell>
          <cell r="KT115">
            <v>1.0529063700000001</v>
          </cell>
          <cell r="KU115">
            <v>0.15169276000000001</v>
          </cell>
          <cell r="KV115">
            <v>1.9386618</v>
          </cell>
          <cell r="KW115">
            <v>1.86195746</v>
          </cell>
          <cell r="KX115">
            <v>0</v>
          </cell>
          <cell r="KY115">
            <v>0.91323979</v>
          </cell>
          <cell r="KZ115">
            <v>2.9628047099999995</v>
          </cell>
          <cell r="LA115">
            <v>0.32242746</v>
          </cell>
          <cell r="LB115">
            <v>0</v>
          </cell>
          <cell r="LC115">
            <v>0.72071558999999996</v>
          </cell>
          <cell r="LD115">
            <v>0</v>
          </cell>
          <cell r="LE115">
            <v>1.6639999999999999E-3</v>
          </cell>
          <cell r="LF115">
            <v>0.22323465000000001</v>
          </cell>
          <cell r="LG115">
            <v>15.589800310000003</v>
          </cell>
          <cell r="LH115">
            <v>5.7062324599999998</v>
          </cell>
          <cell r="LI115">
            <v>2.6101839400000002</v>
          </cell>
          <cell r="LJ115">
            <v>0</v>
          </cell>
          <cell r="LK115">
            <v>4.0425458900000004</v>
          </cell>
          <cell r="LL115">
            <v>3.9160438699999998</v>
          </cell>
          <cell r="LM115">
            <v>0.92402921999999987</v>
          </cell>
          <cell r="LN115">
            <v>0.29342396000000004</v>
          </cell>
          <cell r="LO115">
            <v>10.87912704</v>
          </cell>
          <cell r="LQ115">
            <v>3485.71732419</v>
          </cell>
          <cell r="LR115">
            <v>1.7022322700000001</v>
          </cell>
          <cell r="LS115">
            <v>25.188374430000003</v>
          </cell>
          <cell r="LT115">
            <v>17.119922650000003</v>
          </cell>
          <cell r="LU115">
            <v>299.18688666000003</v>
          </cell>
          <cell r="LV115">
            <v>4.7138590499999999</v>
          </cell>
          <cell r="LW115">
            <v>7.9820000000000002E-2</v>
          </cell>
          <cell r="LX115">
            <v>0.22489865000000001</v>
          </cell>
          <cell r="LZ115">
            <v>1344.39</v>
          </cell>
          <cell r="MA115">
            <v>2285.88</v>
          </cell>
          <cell r="MH115">
            <v>2948.01</v>
          </cell>
          <cell r="MI115">
            <v>815.9</v>
          </cell>
          <cell r="MJ115">
            <v>1393.92</v>
          </cell>
          <cell r="ML115">
            <v>1301.44</v>
          </cell>
          <cell r="MM115">
            <v>2953.78</v>
          </cell>
          <cell r="MO115">
            <v>1158.6300000000001</v>
          </cell>
          <cell r="MP115">
            <v>2162.88</v>
          </cell>
          <cell r="MQ115">
            <v>2293.34</v>
          </cell>
          <cell r="MU115">
            <v>841.26</v>
          </cell>
          <cell r="MY115">
            <v>2199.79</v>
          </cell>
          <cell r="MZ115">
            <v>5353</v>
          </cell>
          <cell r="NA115">
            <v>2862</v>
          </cell>
          <cell r="NB115">
            <v>7585</v>
          </cell>
          <cell r="NC115">
            <v>1390.63</v>
          </cell>
          <cell r="ND115">
            <v>9800</v>
          </cell>
          <cell r="NE115">
            <v>5682</v>
          </cell>
        </row>
        <row r="116">
          <cell r="A116">
            <v>45597</v>
          </cell>
          <cell r="B116">
            <v>11</v>
          </cell>
          <cell r="C116">
            <v>2024</v>
          </cell>
          <cell r="D116">
            <v>116</v>
          </cell>
          <cell r="E116">
            <v>45597</v>
          </cell>
          <cell r="F116">
            <v>1001.245</v>
          </cell>
          <cell r="G116">
            <v>7491.4</v>
          </cell>
          <cell r="H116">
            <v>702180.75</v>
          </cell>
          <cell r="I116">
            <v>111</v>
          </cell>
          <cell r="J116">
            <v>550</v>
          </cell>
          <cell r="K116">
            <v>4.5</v>
          </cell>
          <cell r="L116">
            <v>36.299999999999997</v>
          </cell>
          <cell r="N116">
            <v>1.6566666666666665</v>
          </cell>
          <cell r="O116">
            <v>1.2733333333333334</v>
          </cell>
          <cell r="P116">
            <v>1393.4827287499998</v>
          </cell>
          <cell r="Q116">
            <v>35000</v>
          </cell>
          <cell r="R116">
            <v>350000</v>
          </cell>
          <cell r="S116">
            <v>173.48401240455632</v>
          </cell>
          <cell r="T116">
            <v>360.56</v>
          </cell>
          <cell r="U116">
            <v>185</v>
          </cell>
          <cell r="V116">
            <v>302.10000000000002</v>
          </cell>
          <cell r="W116">
            <v>213</v>
          </cell>
          <cell r="X116">
            <v>195</v>
          </cell>
          <cell r="Y116">
            <v>173700</v>
          </cell>
          <cell r="Z116">
            <v>361008.89720000001</v>
          </cell>
          <cell r="AA116">
            <v>185230.32500000001</v>
          </cell>
          <cell r="AB116">
            <v>302476.11450000003</v>
          </cell>
          <cell r="AC116">
            <v>213265.185</v>
          </cell>
          <cell r="AD116">
            <v>195242.77499999999</v>
          </cell>
          <cell r="AE116">
            <v>238487.21611666665</v>
          </cell>
          <cell r="AF116">
            <v>886336.5</v>
          </cell>
          <cell r="AG116">
            <v>165000</v>
          </cell>
          <cell r="AH116">
            <v>950000</v>
          </cell>
          <cell r="AI116">
            <v>422.87</v>
          </cell>
          <cell r="AJ116">
            <v>371</v>
          </cell>
          <cell r="AK116">
            <v>282.23</v>
          </cell>
          <cell r="AL116">
            <v>265.25</v>
          </cell>
          <cell r="AM116">
            <v>346.4</v>
          </cell>
          <cell r="AN116">
            <v>1758.49</v>
          </cell>
          <cell r="AO116">
            <v>1130.22</v>
          </cell>
          <cell r="AP116">
            <v>1444.355</v>
          </cell>
          <cell r="AQ116">
            <v>1422.44</v>
          </cell>
          <cell r="AR116">
            <v>765.78</v>
          </cell>
          <cell r="AS116">
            <v>554.4</v>
          </cell>
          <cell r="AT116">
            <v>862.48</v>
          </cell>
          <cell r="AU116">
            <v>727.55333333333328</v>
          </cell>
          <cell r="AV116">
            <v>692.92</v>
          </cell>
          <cell r="AW116">
            <v>231.25</v>
          </cell>
          <cell r="AX116">
            <v>274.7</v>
          </cell>
          <cell r="AY116">
            <v>626.46</v>
          </cell>
          <cell r="AZ116">
            <v>677.94</v>
          </cell>
          <cell r="BA116">
            <v>749.52</v>
          </cell>
          <cell r="BB116">
            <v>582.15499999999997</v>
          </cell>
          <cell r="BC116">
            <v>36962</v>
          </cell>
          <cell r="BD116">
            <v>33266</v>
          </cell>
          <cell r="BE116">
            <v>26500</v>
          </cell>
          <cell r="BF116">
            <v>19000</v>
          </cell>
          <cell r="BG116">
            <v>28932</v>
          </cell>
          <cell r="BH116">
            <v>2820</v>
          </cell>
          <cell r="BI116">
            <v>855</v>
          </cell>
          <cell r="BJ116">
            <v>3675</v>
          </cell>
          <cell r="BK116">
            <v>2130.9299999999998</v>
          </cell>
          <cell r="BL116">
            <v>2770.06</v>
          </cell>
          <cell r="BM116">
            <v>2450.4949999999999</v>
          </cell>
          <cell r="BN116">
            <v>439.73</v>
          </cell>
          <cell r="BO116">
            <v>2137.7600000000002</v>
          </cell>
          <cell r="BP116">
            <v>1477.77</v>
          </cell>
          <cell r="BQ116">
            <v>1807.7650000000001</v>
          </cell>
          <cell r="BR116">
            <v>1464.03</v>
          </cell>
          <cell r="BS116">
            <v>4850</v>
          </cell>
          <cell r="BT116">
            <v>1091.3570500000001</v>
          </cell>
          <cell r="BU116">
            <v>61474.071150000003</v>
          </cell>
          <cell r="BV116">
            <v>1776</v>
          </cell>
          <cell r="BW116">
            <v>2588.5</v>
          </cell>
          <cell r="BY116">
            <v>9314.8522826377266</v>
          </cell>
          <cell r="BZ116">
            <v>8788.734865680779</v>
          </cell>
          <cell r="CA116">
            <v>8899.3479314401575</v>
          </cell>
          <cell r="CB116">
            <v>9182.4263435215089</v>
          </cell>
          <cell r="CC116">
            <v>9008.3866839156017</v>
          </cell>
          <cell r="CD116">
            <v>9158.386298788364</v>
          </cell>
          <cell r="CE116">
            <v>9423.4085409474974</v>
          </cell>
          <cell r="CF116">
            <v>9190.1960175436434</v>
          </cell>
          <cell r="CG116">
            <v>9143.6919693594609</v>
          </cell>
          <cell r="CH116">
            <v>10678.578185153177</v>
          </cell>
          <cell r="CI116">
            <v>10430.040362155096</v>
          </cell>
          <cell r="CJ116">
            <v>8245.3727196223281</v>
          </cell>
          <cell r="CK116">
            <v>8579.1212369104887</v>
          </cell>
          <cell r="CL116">
            <v>9650.4660401360597</v>
          </cell>
          <cell r="CM116">
            <v>9421.1608241736394</v>
          </cell>
          <cell r="CN116">
            <v>10249.568867726779</v>
          </cell>
          <cell r="CO116">
            <v>9475.0792422367413</v>
          </cell>
          <cell r="CP116">
            <v>10286.786146248443</v>
          </cell>
          <cell r="CQ116">
            <v>9155.0467959855632</v>
          </cell>
          <cell r="CR116">
            <v>9268.7582897373795</v>
          </cell>
          <cell r="CS116">
            <v>9211.9025428614714</v>
          </cell>
          <cell r="CT116">
            <v>9406.8513559118201</v>
          </cell>
          <cell r="CU116">
            <v>8933.2500291714186</v>
          </cell>
          <cell r="CV116">
            <v>8632.1226394666264</v>
          </cell>
          <cell r="CW116">
            <v>8632.1226394666264</v>
          </cell>
          <cell r="CX116">
            <v>8732.4984360348917</v>
          </cell>
          <cell r="CY116">
            <v>8663.6144450184565</v>
          </cell>
          <cell r="CZ116">
            <v>11072.650298416973</v>
          </cell>
          <cell r="DA116">
            <v>9052.8109899177543</v>
          </cell>
          <cell r="DB116">
            <v>8972.4855316092762</v>
          </cell>
          <cell r="DC116">
            <v>9332.0973083325007</v>
          </cell>
          <cell r="DD116">
            <v>9073.0909149358995</v>
          </cell>
          <cell r="DE116">
            <v>7997.4246064990111</v>
          </cell>
          <cell r="DF116">
            <v>9287.325762503915</v>
          </cell>
          <cell r="DG116">
            <v>8642.3751845014631</v>
          </cell>
          <cell r="DH116">
            <v>8964.0515048821417</v>
          </cell>
          <cell r="DI116">
            <v>8875.9049174428073</v>
          </cell>
          <cell r="DK116">
            <v>690000</v>
          </cell>
          <cell r="DL116" t="str">
            <v>2024-25</v>
          </cell>
          <cell r="DM116">
            <v>230000</v>
          </cell>
          <cell r="DN116" t="str">
            <v>2024-25</v>
          </cell>
          <cell r="DO116">
            <v>1600000</v>
          </cell>
          <cell r="DP116" t="str">
            <v>2024-25</v>
          </cell>
          <cell r="DQ116">
            <v>2000000</v>
          </cell>
          <cell r="DR116" t="str">
            <v>2024-25</v>
          </cell>
          <cell r="DS116">
            <v>6600000</v>
          </cell>
          <cell r="DT116" t="str">
            <v>2024-25</v>
          </cell>
          <cell r="DU116">
            <v>17900000</v>
          </cell>
          <cell r="DV116" t="str">
            <v>2024-25</v>
          </cell>
          <cell r="DW116">
            <v>1100000</v>
          </cell>
          <cell r="DX116" t="str">
            <v>2024-25</v>
          </cell>
          <cell r="DY116">
            <v>6300000</v>
          </cell>
          <cell r="DZ116" t="str">
            <v>2024-25</v>
          </cell>
          <cell r="EA116">
            <v>35500000</v>
          </cell>
          <cell r="EB116">
            <v>521230</v>
          </cell>
          <cell r="EC116" t="str">
            <v>2024-25</v>
          </cell>
          <cell r="ED116">
            <v>230256</v>
          </cell>
          <cell r="EE116">
            <v>2024</v>
          </cell>
          <cell r="EF116">
            <v>199946</v>
          </cell>
          <cell r="EG116">
            <v>2024</v>
          </cell>
          <cell r="EH116">
            <v>52783892</v>
          </cell>
          <cell r="EI116">
            <v>2024</v>
          </cell>
          <cell r="EJ116">
            <v>6115215</v>
          </cell>
          <cell r="EK116">
            <v>2024</v>
          </cell>
          <cell r="EL116">
            <v>12440906</v>
          </cell>
          <cell r="EM116">
            <v>2024</v>
          </cell>
          <cell r="EN116">
            <v>3169981</v>
          </cell>
          <cell r="EO116">
            <v>2021</v>
          </cell>
          <cell r="EP116">
            <v>9119</v>
          </cell>
          <cell r="EQ116">
            <v>3500000</v>
          </cell>
          <cell r="ER116">
            <v>80248</v>
          </cell>
          <cell r="ET116">
            <v>19357</v>
          </cell>
          <cell r="EU116">
            <v>18703</v>
          </cell>
          <cell r="EV116">
            <v>8927</v>
          </cell>
          <cell r="EW116">
            <v>17408</v>
          </cell>
          <cell r="EX116">
            <v>64395</v>
          </cell>
          <cell r="EY116">
            <v>20031</v>
          </cell>
          <cell r="EZ116">
            <v>34815</v>
          </cell>
          <cell r="FA116">
            <v>19900</v>
          </cell>
          <cell r="FB116">
            <v>18184</v>
          </cell>
          <cell r="FC116">
            <v>38084</v>
          </cell>
          <cell r="FD116">
            <v>60376</v>
          </cell>
          <cell r="FF116">
            <v>1300000</v>
          </cell>
          <cell r="FG116" t="str">
            <v>2023-24</v>
          </cell>
          <cell r="FH116">
            <v>1300000</v>
          </cell>
          <cell r="FI116" t="str">
            <v>2023-24</v>
          </cell>
          <cell r="FJ116">
            <v>5100000</v>
          </cell>
          <cell r="FK116" t="str">
            <v>2023-24</v>
          </cell>
          <cell r="FL116">
            <v>3900000</v>
          </cell>
          <cell r="FM116" t="str">
            <v>2023-24</v>
          </cell>
          <cell r="FN116">
            <v>46500000</v>
          </cell>
          <cell r="FO116" t="str">
            <v>2023-24</v>
          </cell>
          <cell r="FP116">
            <v>48200000</v>
          </cell>
          <cell r="FQ116" t="str">
            <v>2023-24</v>
          </cell>
          <cell r="FR116">
            <v>2500000</v>
          </cell>
          <cell r="FS116" t="str">
            <v>2023-24</v>
          </cell>
          <cell r="FT116">
            <v>15900000</v>
          </cell>
          <cell r="FU116" t="str">
            <v>2023-24</v>
          </cell>
          <cell r="FV116">
            <v>122100000</v>
          </cell>
          <cell r="FW116">
            <v>1604722</v>
          </cell>
          <cell r="FX116" t="str">
            <v>2023-24</v>
          </cell>
          <cell r="FY116">
            <v>0</v>
          </cell>
          <cell r="FZ116">
            <v>1006565</v>
          </cell>
          <cell r="GA116" t="str">
            <v>dic23 nov24</v>
          </cell>
          <cell r="GB116">
            <v>19189740</v>
          </cell>
          <cell r="GC116">
            <v>2024</v>
          </cell>
          <cell r="GD116">
            <v>1714000</v>
          </cell>
          <cell r="GE116">
            <v>424000</v>
          </cell>
          <cell r="GF116">
            <v>1165000</v>
          </cell>
          <cell r="GG116">
            <v>145000</v>
          </cell>
          <cell r="GH116">
            <v>1734000</v>
          </cell>
          <cell r="GI116">
            <v>1302556</v>
          </cell>
          <cell r="GJ116">
            <v>682423</v>
          </cell>
          <cell r="GK116">
            <v>1391495</v>
          </cell>
          <cell r="GL116">
            <v>305049</v>
          </cell>
          <cell r="GM116">
            <v>260419</v>
          </cell>
          <cell r="GN116">
            <v>2639386</v>
          </cell>
          <cell r="GO116">
            <v>201734</v>
          </cell>
          <cell r="GP116">
            <v>69297</v>
          </cell>
          <cell r="GQ116">
            <v>58810</v>
          </cell>
          <cell r="GR116">
            <v>34035</v>
          </cell>
          <cell r="GS116">
            <v>35799.300000000003</v>
          </cell>
          <cell r="GT116">
            <v>2111561</v>
          </cell>
          <cell r="GU116">
            <v>21585</v>
          </cell>
          <cell r="GV116">
            <v>29316</v>
          </cell>
          <cell r="GW116">
            <v>756229</v>
          </cell>
          <cell r="GX116">
            <v>30804.553</v>
          </cell>
          <cell r="GY116" t="str">
            <v>2023-2024</v>
          </cell>
          <cell r="GZ116">
            <v>80786</v>
          </cell>
          <cell r="HA116">
            <v>259749</v>
          </cell>
          <cell r="HB116">
            <v>3127919</v>
          </cell>
          <cell r="HC116" t="str">
            <v>dic23 nov24</v>
          </cell>
          <cell r="HD116">
            <v>61492</v>
          </cell>
          <cell r="HE116">
            <v>779561</v>
          </cell>
          <cell r="HF116" t="str">
            <v>dic23 nov24</v>
          </cell>
          <cell r="HG116">
            <v>188000</v>
          </cell>
          <cell r="HH116">
            <v>2292000</v>
          </cell>
          <cell r="HI116" t="str">
            <v>dic23 nov24</v>
          </cell>
          <cell r="HJ116">
            <v>92954</v>
          </cell>
          <cell r="HK116">
            <v>64765.522299286793</v>
          </cell>
          <cell r="HL116" t="str">
            <v>dic23 nov24</v>
          </cell>
          <cell r="HM116">
            <v>2356765.5222992869</v>
          </cell>
          <cell r="HN116">
            <v>6.1720311875249845E-2</v>
          </cell>
          <cell r="HO116">
            <v>1062145000</v>
          </cell>
          <cell r="HP116">
            <v>10372.943656900923</v>
          </cell>
          <cell r="HQ116" t="str">
            <v>dic23 nov24</v>
          </cell>
          <cell r="HU116">
            <v>700000</v>
          </cell>
          <cell r="HV116" t="str">
            <v>2023-24</v>
          </cell>
          <cell r="HW116">
            <v>1500000</v>
          </cell>
          <cell r="HX116" t="str">
            <v>2023-24</v>
          </cell>
          <cell r="HY116">
            <v>4600000</v>
          </cell>
          <cell r="HZ116" t="str">
            <v>2023-24</v>
          </cell>
          <cell r="IA116">
            <v>21600000</v>
          </cell>
          <cell r="IB116" t="str">
            <v>2023-24</v>
          </cell>
          <cell r="IC116">
            <v>45000000</v>
          </cell>
          <cell r="ID116" t="str">
            <v>2023-24</v>
          </cell>
          <cell r="IE116">
            <v>1500000</v>
          </cell>
          <cell r="IF116" t="str">
            <v>2023-24</v>
          </cell>
          <cell r="IG116">
            <v>7400000</v>
          </cell>
          <cell r="IH116" t="str">
            <v>2023-24</v>
          </cell>
          <cell r="II116">
            <v>81600000</v>
          </cell>
          <cell r="IJ116">
            <v>2.160083392153568</v>
          </cell>
          <cell r="IK116" t="str">
            <v>2023-24</v>
          </cell>
          <cell r="IL116">
            <v>46.01</v>
          </cell>
          <cell r="IM116">
            <v>46.91</v>
          </cell>
          <cell r="IN116">
            <v>168.7</v>
          </cell>
          <cell r="IO116">
            <v>16.89</v>
          </cell>
          <cell r="IP116">
            <v>5.5789164694027633</v>
          </cell>
          <cell r="IQ116">
            <v>16.3</v>
          </cell>
          <cell r="IR116">
            <v>6.09</v>
          </cell>
          <cell r="IS116">
            <v>4.03</v>
          </cell>
          <cell r="IT116">
            <v>11.98</v>
          </cell>
          <cell r="IU116">
            <v>1.38</v>
          </cell>
          <cell r="IV116">
            <v>17.39</v>
          </cell>
          <cell r="IY116">
            <v>1.88</v>
          </cell>
          <cell r="IZ116">
            <v>0.3</v>
          </cell>
          <cell r="JA116">
            <v>2813</v>
          </cell>
          <cell r="JF116">
            <v>14.805583519999997</v>
          </cell>
          <cell r="JG116">
            <v>21.789652239999999</v>
          </cell>
          <cell r="JH116">
            <v>43.447707440000009</v>
          </cell>
          <cell r="JI116">
            <v>251.82818717000001</v>
          </cell>
          <cell r="JJ116">
            <v>535.75406972999997</v>
          </cell>
          <cell r="JK116">
            <v>153.43391492999999</v>
          </cell>
          <cell r="JL116">
            <v>2336.6383089699998</v>
          </cell>
          <cell r="JM116">
            <v>25.062819999999999</v>
          </cell>
          <cell r="JN116">
            <v>147.26872287999998</v>
          </cell>
          <cell r="JO116">
            <v>43.313690020000003</v>
          </cell>
          <cell r="JP116">
            <v>0</v>
          </cell>
          <cell r="JQ116">
            <v>2.5000000000000001E-3</v>
          </cell>
          <cell r="JR116">
            <v>1.61705648</v>
          </cell>
          <cell r="JS116">
            <v>0</v>
          </cell>
          <cell r="JT116">
            <v>2.5000000000000001E-3</v>
          </cell>
          <cell r="JU116">
            <v>87.09478919</v>
          </cell>
          <cell r="JV116">
            <v>10.972190839999998</v>
          </cell>
          <cell r="JW116">
            <v>12.62190637</v>
          </cell>
          <cell r="JX116">
            <v>12.926938</v>
          </cell>
          <cell r="JY116">
            <v>0</v>
          </cell>
          <cell r="JZ116">
            <v>12.04598908</v>
          </cell>
          <cell r="KA116">
            <v>0.18431999999999998</v>
          </cell>
          <cell r="KB116">
            <v>13.50721221</v>
          </cell>
          <cell r="KC116">
            <v>34.962073999999994</v>
          </cell>
          <cell r="KD116">
            <v>10.476429469999998</v>
          </cell>
          <cell r="KE116">
            <v>14.349162859999998</v>
          </cell>
          <cell r="KF116">
            <v>8.1147673099999995</v>
          </cell>
          <cell r="KG116">
            <v>363.37275483999991</v>
          </cell>
          <cell r="KH116">
            <v>173.78517034999999</v>
          </cell>
          <cell r="KI116">
            <v>15.79353798</v>
          </cell>
          <cell r="KJ116">
            <v>1.6096260199999999</v>
          </cell>
          <cell r="KK116">
            <v>5.6011509000000004</v>
          </cell>
          <cell r="KL116">
            <v>0.7620908099999999</v>
          </cell>
          <cell r="KM116">
            <v>0.39954752999999998</v>
          </cell>
          <cell r="KN116">
            <v>1.6645399999999999E-3</v>
          </cell>
          <cell r="KO116">
            <v>2.2207496900000003</v>
          </cell>
          <cell r="KP116">
            <v>2.6527899999999999E-3</v>
          </cell>
          <cell r="KQ116">
            <v>197.41856232000001</v>
          </cell>
          <cell r="KR116">
            <v>1.3097352899999999</v>
          </cell>
          <cell r="KS116">
            <v>6.5411780000000003E-2</v>
          </cell>
          <cell r="KT116">
            <v>1.8442369199999997</v>
          </cell>
          <cell r="KU116">
            <v>0.28059129999999999</v>
          </cell>
          <cell r="KV116">
            <v>0.34741094</v>
          </cell>
          <cell r="KW116">
            <v>1.0715197300000001</v>
          </cell>
          <cell r="KX116">
            <v>0</v>
          </cell>
          <cell r="KY116">
            <v>0.41178147999999998</v>
          </cell>
          <cell r="KZ116">
            <v>4.1008112300000006</v>
          </cell>
          <cell r="LA116">
            <v>0.17100739999999998</v>
          </cell>
          <cell r="LB116">
            <v>2.8586E-2</v>
          </cell>
          <cell r="LC116">
            <v>2.9499416699999998</v>
          </cell>
          <cell r="LD116">
            <v>0</v>
          </cell>
          <cell r="LE116">
            <v>2.0124220000000002E-2</v>
          </cell>
          <cell r="LF116">
            <v>0.33621902000000004</v>
          </cell>
          <cell r="LG116">
            <v>13.365554540000002</v>
          </cell>
          <cell r="LH116">
            <v>4.9762964800000002</v>
          </cell>
          <cell r="LI116">
            <v>2.1750064099999999</v>
          </cell>
          <cell r="LJ116">
            <v>0</v>
          </cell>
          <cell r="LK116">
            <v>3.7585351000000005</v>
          </cell>
          <cell r="LL116">
            <v>2.8647302900000002</v>
          </cell>
          <cell r="LM116">
            <v>2.6289957100000003</v>
          </cell>
          <cell r="LN116">
            <v>0.25055533999999996</v>
          </cell>
          <cell r="LO116">
            <v>10.919699229999997</v>
          </cell>
          <cell r="LQ116">
            <v>3339.9998161899998</v>
          </cell>
          <cell r="LR116">
            <v>1.6220564799999999</v>
          </cell>
          <cell r="LS116">
            <v>23.934850630000003</v>
          </cell>
          <cell r="LT116">
            <v>12.23030908</v>
          </cell>
          <cell r="LU116">
            <v>201.41567115000001</v>
          </cell>
          <cell r="LV116">
            <v>1.8307121500000001</v>
          </cell>
          <cell r="LW116">
            <v>0.21798748000000001</v>
          </cell>
          <cell r="LX116">
            <v>0.35634324000000006</v>
          </cell>
          <cell r="LZ116">
            <v>1336.85</v>
          </cell>
          <cell r="MA116">
            <v>2273.69</v>
          </cell>
          <cell r="MH116">
            <v>3040.97</v>
          </cell>
          <cell r="MI116">
            <v>830.61</v>
          </cell>
          <cell r="MJ116">
            <v>1197.23</v>
          </cell>
          <cell r="ML116">
            <v>1057.72</v>
          </cell>
          <cell r="MM116">
            <v>2018.04</v>
          </cell>
          <cell r="MO116">
            <v>1402.12</v>
          </cell>
          <cell r="MP116">
            <v>2153.7800000000002</v>
          </cell>
          <cell r="MQ116">
            <v>2406.75</v>
          </cell>
          <cell r="MU116">
            <v>875.01</v>
          </cell>
          <cell r="MY116">
            <v>2235.7399999999998</v>
          </cell>
          <cell r="MZ116">
            <v>5589</v>
          </cell>
          <cell r="NA116">
            <v>2889</v>
          </cell>
          <cell r="NB116">
            <v>7696</v>
          </cell>
          <cell r="NC116">
            <v>1428.74</v>
          </cell>
          <cell r="ND116">
            <v>9800</v>
          </cell>
          <cell r="NE116">
            <v>5803</v>
          </cell>
        </row>
        <row r="117">
          <cell r="A117">
            <v>45627</v>
          </cell>
          <cell r="B117">
            <v>12</v>
          </cell>
          <cell r="C117">
            <v>2024</v>
          </cell>
          <cell r="D117">
            <v>117</v>
          </cell>
          <cell r="E117">
            <v>45627</v>
          </cell>
          <cell r="F117">
            <v>1020.3900000000001</v>
          </cell>
          <cell r="G117">
            <v>7694</v>
          </cell>
          <cell r="H117">
            <v>727459.26</v>
          </cell>
          <cell r="I117">
            <v>110</v>
          </cell>
          <cell r="J117">
            <v>540</v>
          </cell>
          <cell r="K117">
            <v>4.4000000000000004</v>
          </cell>
          <cell r="L117">
            <v>35.5</v>
          </cell>
          <cell r="N117">
            <v>1.63</v>
          </cell>
          <cell r="O117">
            <v>1.23</v>
          </cell>
          <cell r="P117">
            <v>1386.1998149999999</v>
          </cell>
          <cell r="Q117">
            <v>30000</v>
          </cell>
          <cell r="R117">
            <v>300000</v>
          </cell>
          <cell r="S117">
            <v>168.61745019061337</v>
          </cell>
          <cell r="T117">
            <v>370.95</v>
          </cell>
          <cell r="U117">
            <v>181</v>
          </cell>
          <cell r="V117">
            <v>285.66000000000003</v>
          </cell>
          <cell r="W117">
            <v>204</v>
          </cell>
          <cell r="X117">
            <v>196</v>
          </cell>
          <cell r="Y117">
            <v>172055.56</v>
          </cell>
          <cell r="Z117">
            <v>378513.67050000001</v>
          </cell>
          <cell r="AA117">
            <v>184690.59000000003</v>
          </cell>
          <cell r="AB117">
            <v>291484.60740000004</v>
          </cell>
          <cell r="AC117">
            <v>208159.56000000003</v>
          </cell>
          <cell r="AD117">
            <v>199996.44000000003</v>
          </cell>
          <cell r="AE117">
            <v>239150.0713166667</v>
          </cell>
          <cell r="AF117">
            <v>891457.9</v>
          </cell>
          <cell r="AG117">
            <v>165000</v>
          </cell>
          <cell r="AH117">
            <v>950000</v>
          </cell>
          <cell r="AI117">
            <v>425.56</v>
          </cell>
          <cell r="AJ117">
            <v>353.11</v>
          </cell>
          <cell r="AK117">
            <v>276.61</v>
          </cell>
          <cell r="AL117">
            <v>319.68</v>
          </cell>
          <cell r="AM117">
            <v>358.52380000000005</v>
          </cell>
          <cell r="AN117">
            <v>1820.54</v>
          </cell>
          <cell r="AO117">
            <v>1191.9100000000001</v>
          </cell>
          <cell r="AP117">
            <v>1506.2249999999999</v>
          </cell>
          <cell r="AQ117">
            <v>1715.24</v>
          </cell>
          <cell r="AR117">
            <v>840.28</v>
          </cell>
          <cell r="AS117">
            <v>564.34</v>
          </cell>
          <cell r="AT117">
            <v>1141.8399999999999</v>
          </cell>
          <cell r="AU117">
            <v>848.82</v>
          </cell>
          <cell r="AV117">
            <v>298.97000000000003</v>
          </cell>
          <cell r="AW117">
            <v>233.95</v>
          </cell>
          <cell r="AX117">
            <v>397.26</v>
          </cell>
          <cell r="AY117">
            <v>515.35</v>
          </cell>
          <cell r="AZ117">
            <v>654.63</v>
          </cell>
          <cell r="BA117">
            <v>905.56</v>
          </cell>
          <cell r="BB117">
            <v>618.20000000000005</v>
          </cell>
          <cell r="BC117">
            <v>37405</v>
          </cell>
          <cell r="BD117">
            <v>33665</v>
          </cell>
          <cell r="BE117">
            <v>20500</v>
          </cell>
          <cell r="BF117">
            <v>15500</v>
          </cell>
          <cell r="BG117">
            <v>26767.5</v>
          </cell>
          <cell r="BH117">
            <v>2820</v>
          </cell>
          <cell r="BI117">
            <v>855</v>
          </cell>
          <cell r="BJ117">
            <v>3675</v>
          </cell>
          <cell r="BK117">
            <v>2362.1869999999999</v>
          </cell>
          <cell r="BL117">
            <v>2700</v>
          </cell>
          <cell r="BM117">
            <v>2531.0934999999999</v>
          </cell>
          <cell r="BN117">
            <v>441.1</v>
          </cell>
          <cell r="BO117">
            <v>2154.79</v>
          </cell>
          <cell r="BP117">
            <v>1477.77</v>
          </cell>
          <cell r="BQ117">
            <v>1816.28</v>
          </cell>
          <cell r="BR117">
            <v>1549.88</v>
          </cell>
          <cell r="BS117">
            <v>6000</v>
          </cell>
          <cell r="BT117">
            <v>1122.4290000000001</v>
          </cell>
          <cell r="BU117">
            <v>75367.286999999997</v>
          </cell>
          <cell r="BV117">
            <v>1780</v>
          </cell>
          <cell r="BW117">
            <v>2657</v>
          </cell>
          <cell r="BY117">
            <v>9327.4322178928287</v>
          </cell>
          <cell r="BZ117">
            <v>8768.7437817329937</v>
          </cell>
          <cell r="CA117">
            <v>8789.1396567637894</v>
          </cell>
          <cell r="CB117">
            <v>9203.859964056197</v>
          </cell>
          <cell r="CC117">
            <v>8927.796246237147</v>
          </cell>
          <cell r="CD117">
            <v>8948.3989025263236</v>
          </cell>
          <cell r="CE117">
            <v>9289.0640018409795</v>
          </cell>
          <cell r="CF117">
            <v>9140.0147483990531</v>
          </cell>
          <cell r="CG117">
            <v>9049.7122533039164</v>
          </cell>
          <cell r="CH117">
            <v>10628.872719150137</v>
          </cell>
          <cell r="CI117">
            <v>9081.6877685562868</v>
          </cell>
          <cell r="CJ117">
            <v>8427.7142268246716</v>
          </cell>
          <cell r="CK117">
            <v>9248.5599778453143</v>
          </cell>
          <cell r="CL117">
            <v>9247.6118480113</v>
          </cell>
          <cell r="CM117">
            <v>9443.4174759524722</v>
          </cell>
          <cell r="CN117">
            <v>10993.330616953899</v>
          </cell>
          <cell r="CO117">
            <v>9733.2299796907464</v>
          </cell>
          <cell r="CP117">
            <v>10501.695210587659</v>
          </cell>
          <cell r="CQ117">
            <v>9364.2293427805162</v>
          </cell>
          <cell r="CR117">
            <v>9514.9637465391133</v>
          </cell>
          <cell r="CS117">
            <v>9439.5965446598148</v>
          </cell>
          <cell r="CT117">
            <v>9904.3369639923603</v>
          </cell>
          <cell r="CU117">
            <v>9145.0612104664197</v>
          </cell>
          <cell r="CV117">
            <v>8755.7304783090967</v>
          </cell>
          <cell r="CW117">
            <v>8755.7304783090967</v>
          </cell>
          <cell r="CX117">
            <v>8885.5073890282056</v>
          </cell>
          <cell r="CY117">
            <v>8887.6919968872262</v>
          </cell>
          <cell r="CZ117">
            <v>11297.627033405979</v>
          </cell>
          <cell r="DA117">
            <v>9273.5198636603309</v>
          </cell>
          <cell r="DB117">
            <v>9235.1642476010547</v>
          </cell>
          <cell r="DC117">
            <v>9368.231788243249</v>
          </cell>
          <cell r="DD117">
            <v>9139.625214918482</v>
          </cell>
          <cell r="DE117">
            <v>8045.3168438189732</v>
          </cell>
          <cell r="DF117">
            <v>9296.1246647196876</v>
          </cell>
          <cell r="DG117">
            <v>8670.7207542693304</v>
          </cell>
          <cell r="DH117">
            <v>9132.0558839975056</v>
          </cell>
          <cell r="DI117">
            <v>9348.6926692613615</v>
          </cell>
          <cell r="DK117">
            <v>690000</v>
          </cell>
          <cell r="DL117" t="str">
            <v>2024-25</v>
          </cell>
          <cell r="DM117">
            <v>230000</v>
          </cell>
          <cell r="DN117" t="str">
            <v>2024-25</v>
          </cell>
          <cell r="DO117">
            <v>1600000</v>
          </cell>
          <cell r="DP117" t="str">
            <v>2024-25</v>
          </cell>
          <cell r="DQ117">
            <v>2000000</v>
          </cell>
          <cell r="DR117" t="str">
            <v>2024-25</v>
          </cell>
          <cell r="DS117">
            <v>6600000</v>
          </cell>
          <cell r="DT117" t="str">
            <v>2024-25</v>
          </cell>
          <cell r="DU117">
            <v>18000000</v>
          </cell>
          <cell r="DV117" t="str">
            <v>2024-25</v>
          </cell>
          <cell r="DW117">
            <v>1100000</v>
          </cell>
          <cell r="DX117" t="str">
            <v>2024-25</v>
          </cell>
          <cell r="DY117">
            <v>6300000</v>
          </cell>
          <cell r="DZ117" t="str">
            <v>2024-25</v>
          </cell>
          <cell r="EA117">
            <v>35600000</v>
          </cell>
          <cell r="EB117">
            <v>521230</v>
          </cell>
          <cell r="EC117" t="str">
            <v>2024-25</v>
          </cell>
          <cell r="ED117">
            <v>230256</v>
          </cell>
          <cell r="EE117">
            <v>2024</v>
          </cell>
          <cell r="EF117">
            <v>199946</v>
          </cell>
          <cell r="EG117">
            <v>2024</v>
          </cell>
          <cell r="EH117">
            <v>52783892</v>
          </cell>
          <cell r="EI117">
            <v>2024</v>
          </cell>
          <cell r="EJ117">
            <v>6115215</v>
          </cell>
          <cell r="EK117">
            <v>2024</v>
          </cell>
          <cell r="EL117">
            <v>12440906</v>
          </cell>
          <cell r="EM117">
            <v>2024</v>
          </cell>
          <cell r="EN117">
            <v>3169981</v>
          </cell>
          <cell r="EO117">
            <v>2021</v>
          </cell>
          <cell r="EP117">
            <v>9173</v>
          </cell>
          <cell r="EQ117">
            <v>3500000</v>
          </cell>
          <cell r="ER117">
            <v>80248</v>
          </cell>
          <cell r="ET117">
            <v>19357</v>
          </cell>
          <cell r="EU117">
            <v>18703</v>
          </cell>
          <cell r="EV117">
            <v>8927</v>
          </cell>
          <cell r="EW117">
            <v>17408</v>
          </cell>
          <cell r="EX117">
            <v>64395</v>
          </cell>
          <cell r="EY117">
            <v>20031</v>
          </cell>
          <cell r="EZ117">
            <v>34815</v>
          </cell>
          <cell r="FA117">
            <v>19900</v>
          </cell>
          <cell r="FB117">
            <v>18184</v>
          </cell>
          <cell r="FC117">
            <v>38084</v>
          </cell>
          <cell r="FD117">
            <v>60376</v>
          </cell>
          <cell r="FF117">
            <v>1300000</v>
          </cell>
          <cell r="FG117" t="str">
            <v>2023-24</v>
          </cell>
          <cell r="FH117">
            <v>1300000</v>
          </cell>
          <cell r="FI117" t="str">
            <v>2023-24</v>
          </cell>
          <cell r="FJ117">
            <v>5100000</v>
          </cell>
          <cell r="FK117" t="str">
            <v>2024-25</v>
          </cell>
          <cell r="FL117">
            <v>3900000</v>
          </cell>
          <cell r="FM117" t="str">
            <v>2023-24</v>
          </cell>
          <cell r="FN117">
            <v>46500000</v>
          </cell>
          <cell r="FO117" t="str">
            <v>2023-24</v>
          </cell>
          <cell r="FP117">
            <v>48200000</v>
          </cell>
          <cell r="FQ117" t="str">
            <v>2023-24</v>
          </cell>
          <cell r="FR117">
            <v>2500000</v>
          </cell>
          <cell r="FS117" t="str">
            <v>2023-24</v>
          </cell>
          <cell r="FT117">
            <v>15900000</v>
          </cell>
          <cell r="FU117" t="str">
            <v>2023-24</v>
          </cell>
          <cell r="FV117">
            <v>122100000</v>
          </cell>
          <cell r="FW117">
            <v>1604722</v>
          </cell>
          <cell r="FX117" t="str">
            <v>2023-24</v>
          </cell>
          <cell r="FY117">
            <v>18211</v>
          </cell>
          <cell r="FZ117">
            <v>985731</v>
          </cell>
          <cell r="GA117" t="str">
            <v>ene24 dic24</v>
          </cell>
          <cell r="GB117">
            <v>19189740</v>
          </cell>
          <cell r="GC117">
            <v>2024</v>
          </cell>
          <cell r="GD117">
            <v>1714000</v>
          </cell>
          <cell r="GE117">
            <v>424000</v>
          </cell>
          <cell r="GF117">
            <v>1165000</v>
          </cell>
          <cell r="GG117">
            <v>145000</v>
          </cell>
          <cell r="GH117">
            <v>1734000</v>
          </cell>
          <cell r="GI117">
            <v>1302556</v>
          </cell>
          <cell r="GJ117">
            <v>682423</v>
          </cell>
          <cell r="GK117">
            <v>1391495</v>
          </cell>
          <cell r="GL117">
            <v>305049</v>
          </cell>
          <cell r="GM117">
            <v>260419</v>
          </cell>
          <cell r="GN117">
            <v>2639386</v>
          </cell>
          <cell r="GO117">
            <v>201734</v>
          </cell>
          <cell r="GP117">
            <v>69297</v>
          </cell>
          <cell r="GQ117">
            <v>143810</v>
          </cell>
          <cell r="GR117">
            <v>34035</v>
          </cell>
          <cell r="GS117">
            <v>38349.300000000003</v>
          </cell>
          <cell r="GT117">
            <v>2111561</v>
          </cell>
          <cell r="GU117">
            <v>18225</v>
          </cell>
          <cell r="GV117">
            <v>26311</v>
          </cell>
          <cell r="GW117">
            <v>762389</v>
          </cell>
          <cell r="GX117">
            <v>30804.553</v>
          </cell>
          <cell r="GY117" t="str">
            <v>2023-2024</v>
          </cell>
          <cell r="GZ117">
            <v>80786</v>
          </cell>
          <cell r="HA117">
            <v>280798</v>
          </cell>
          <cell r="HB117">
            <v>3163436</v>
          </cell>
          <cell r="HC117" t="str">
            <v>ene24 dic24</v>
          </cell>
          <cell r="HD117">
            <v>68570</v>
          </cell>
          <cell r="HE117">
            <v>785777</v>
          </cell>
          <cell r="HF117" t="str">
            <v>ene24 dic24</v>
          </cell>
          <cell r="HG117">
            <v>201000</v>
          </cell>
          <cell r="HH117">
            <v>2305000</v>
          </cell>
          <cell r="HI117" t="str">
            <v>ene24 dic24</v>
          </cell>
          <cell r="HJ117">
            <v>82963.399999999994</v>
          </cell>
          <cell r="HK117">
            <v>64431.526299286779</v>
          </cell>
          <cell r="HL117" t="str">
            <v>ene24 dic24</v>
          </cell>
          <cell r="HM117">
            <v>2369431.5262992866</v>
          </cell>
          <cell r="HN117">
            <v>7.1312302839116715E-2</v>
          </cell>
          <cell r="HO117">
            <v>1018818000</v>
          </cell>
          <cell r="HP117">
            <v>10440.761656900922</v>
          </cell>
          <cell r="HQ117" t="str">
            <v>ene24 dic24</v>
          </cell>
          <cell r="HU117">
            <v>700000</v>
          </cell>
          <cell r="HV117" t="str">
            <v>2023-24</v>
          </cell>
          <cell r="HW117">
            <v>1400000</v>
          </cell>
          <cell r="HX117" t="str">
            <v>2024-25</v>
          </cell>
          <cell r="HY117">
            <v>4600000</v>
          </cell>
          <cell r="HZ117" t="str">
            <v>2023-24</v>
          </cell>
          <cell r="IA117">
            <v>21600000</v>
          </cell>
          <cell r="IB117" t="str">
            <v>2023-24</v>
          </cell>
          <cell r="IC117">
            <v>45000000</v>
          </cell>
          <cell r="ID117" t="str">
            <v>2023-24</v>
          </cell>
          <cell r="IE117">
            <v>1500000</v>
          </cell>
          <cell r="IF117" t="str">
            <v>2023-24</v>
          </cell>
          <cell r="IG117">
            <v>7480000</v>
          </cell>
          <cell r="IH117" t="str">
            <v>2024-25</v>
          </cell>
          <cell r="II117">
            <v>81580000</v>
          </cell>
          <cell r="IJ117">
            <v>2.160083392153568</v>
          </cell>
          <cell r="IK117" t="str">
            <v>2023-24</v>
          </cell>
          <cell r="IL117">
            <v>45.2</v>
          </cell>
          <cell r="IM117">
            <v>47.81</v>
          </cell>
          <cell r="IN117">
            <v>170.9</v>
          </cell>
          <cell r="IO117">
            <v>17.13</v>
          </cell>
          <cell r="IP117">
            <v>5.5789164694027633</v>
          </cell>
          <cell r="IQ117">
            <v>16.3</v>
          </cell>
          <cell r="IR117">
            <v>6.09</v>
          </cell>
          <cell r="IS117">
            <v>4.03</v>
          </cell>
          <cell r="IT117">
            <v>11.98</v>
          </cell>
          <cell r="IU117">
            <v>1.38</v>
          </cell>
          <cell r="IV117">
            <v>17.39</v>
          </cell>
          <cell r="IY117">
            <v>1.88</v>
          </cell>
          <cell r="IZ117">
            <v>0.3</v>
          </cell>
          <cell r="JA117">
            <v>2813</v>
          </cell>
          <cell r="JF117">
            <v>10.78045292</v>
          </cell>
          <cell r="JG117">
            <v>13.652213600000001</v>
          </cell>
          <cell r="JH117">
            <v>130.70557184</v>
          </cell>
          <cell r="JI117">
            <v>131.15903594</v>
          </cell>
          <cell r="JJ117">
            <v>595.42616701999987</v>
          </cell>
          <cell r="JK117">
            <v>142.99991008000001</v>
          </cell>
          <cell r="JL117">
            <v>2059.43945932</v>
          </cell>
          <cell r="JM117">
            <v>1.9799975699999997</v>
          </cell>
          <cell r="JN117">
            <v>395.13405054000003</v>
          </cell>
          <cell r="JO117">
            <v>35.227965569999995</v>
          </cell>
          <cell r="JP117">
            <v>0</v>
          </cell>
          <cell r="JQ117">
            <v>1.4999999999999999E-2</v>
          </cell>
          <cell r="JR117">
            <v>1.0553474899999999</v>
          </cell>
          <cell r="JS117">
            <v>0</v>
          </cell>
          <cell r="JT117">
            <v>0.09</v>
          </cell>
          <cell r="JU117">
            <v>85.381089520000018</v>
          </cell>
          <cell r="JV117">
            <v>7.2787885399999999</v>
          </cell>
          <cell r="JW117">
            <v>10.384642059999999</v>
          </cell>
          <cell r="JX117">
            <v>12.796723269999999</v>
          </cell>
          <cell r="JY117">
            <v>0</v>
          </cell>
          <cell r="JZ117">
            <v>17.64231771</v>
          </cell>
          <cell r="KA117">
            <v>0.41499999999999998</v>
          </cell>
          <cell r="KB117">
            <v>11.119065489999999</v>
          </cell>
          <cell r="KC117">
            <v>65.18720725</v>
          </cell>
          <cell r="KD117">
            <v>10.805856030000001</v>
          </cell>
          <cell r="KE117">
            <v>12.184475789999999</v>
          </cell>
          <cell r="KF117">
            <v>10.456415849999999</v>
          </cell>
          <cell r="KG117">
            <v>372.02787432000008</v>
          </cell>
          <cell r="KH117">
            <v>150.81206259999999</v>
          </cell>
          <cell r="KI117">
            <v>18.538380959999998</v>
          </cell>
          <cell r="KJ117">
            <v>1.9463367499999997</v>
          </cell>
          <cell r="KK117">
            <v>8.003268180000001</v>
          </cell>
          <cell r="KL117">
            <v>0.25440681999999998</v>
          </cell>
          <cell r="KM117">
            <v>0.42843596</v>
          </cell>
          <cell r="KN117">
            <v>3.4892920000000001E-2</v>
          </cell>
          <cell r="KO117">
            <v>2.5946599900000002</v>
          </cell>
          <cell r="KP117">
            <v>0.22862400000000002</v>
          </cell>
          <cell r="KQ117">
            <v>46.068522559999998</v>
          </cell>
          <cell r="KR117">
            <v>3.0428676100000005</v>
          </cell>
          <cell r="KS117">
            <v>2.3318100000000001E-2</v>
          </cell>
          <cell r="KT117">
            <v>1.1318278900000001</v>
          </cell>
          <cell r="KU117">
            <v>7.4560410000000008E-2</v>
          </cell>
          <cell r="KV117">
            <v>1.9726270000000001E-2</v>
          </cell>
          <cell r="KW117">
            <v>0.23190816</v>
          </cell>
          <cell r="KX117">
            <v>0</v>
          </cell>
          <cell r="KY117">
            <v>0</v>
          </cell>
          <cell r="KZ117">
            <v>1.6918772199999998</v>
          </cell>
          <cell r="LA117">
            <v>6.8745290000000001E-2</v>
          </cell>
          <cell r="LB117">
            <v>0</v>
          </cell>
          <cell r="LC117">
            <v>5.22547316</v>
          </cell>
          <cell r="LD117">
            <v>0</v>
          </cell>
          <cell r="LE117">
            <v>0.14311852</v>
          </cell>
          <cell r="LF117">
            <v>0.56385777999999998</v>
          </cell>
          <cell r="LG117">
            <v>14.036730870000001</v>
          </cell>
          <cell r="LH117">
            <v>6.9241559000000006</v>
          </cell>
          <cell r="LI117">
            <v>1.1744757299999999</v>
          </cell>
          <cell r="LJ117">
            <v>0</v>
          </cell>
          <cell r="LK117">
            <v>2.5011971499999999</v>
          </cell>
          <cell r="LL117">
            <v>6.7460545699999992</v>
          </cell>
          <cell r="LM117">
            <v>1.6254967600000001</v>
          </cell>
          <cell r="LN117">
            <v>0.18164933</v>
          </cell>
          <cell r="LO117">
            <v>16.354180840000001</v>
          </cell>
          <cell r="LQ117">
            <v>3313.8442822299994</v>
          </cell>
          <cell r="LR117">
            <v>1.1603474899999999</v>
          </cell>
          <cell r="LS117">
            <v>23.934850630000003</v>
          </cell>
          <cell r="LT117">
            <v>18.05731771</v>
          </cell>
          <cell r="LU117">
            <v>52.19269714</v>
          </cell>
          <cell r="LV117">
            <v>0.25163443000000002</v>
          </cell>
          <cell r="LW117">
            <v>6.8745290000000001E-2</v>
          </cell>
          <cell r="LX117">
            <v>0.7069763</v>
          </cell>
          <cell r="LZ117">
            <v>1400.23</v>
          </cell>
          <cell r="MA117">
            <v>2190.58</v>
          </cell>
          <cell r="MH117">
            <v>3095.49</v>
          </cell>
          <cell r="MI117">
            <v>822.88</v>
          </cell>
          <cell r="MJ117">
            <v>1046.6199999999999</v>
          </cell>
          <cell r="ML117">
            <v>885.38</v>
          </cell>
          <cell r="MM117">
            <v>1261.57</v>
          </cell>
          <cell r="MO117">
            <v>1512.76</v>
          </cell>
          <cell r="MP117">
            <v>2166.11</v>
          </cell>
          <cell r="MQ117">
            <v>2407.09</v>
          </cell>
          <cell r="MU117">
            <v>906.13</v>
          </cell>
          <cell r="MY117">
            <v>2238.0500000000002</v>
          </cell>
          <cell r="MZ117">
            <v>6049</v>
          </cell>
          <cell r="NA117">
            <v>3071</v>
          </cell>
          <cell r="NB117">
            <v>8995</v>
          </cell>
          <cell r="NC117">
            <v>1454.57</v>
          </cell>
          <cell r="ND117">
            <v>10990</v>
          </cell>
          <cell r="NE117">
            <v>6416</v>
          </cell>
        </row>
        <row r="118">
          <cell r="A118">
            <v>45658</v>
          </cell>
          <cell r="B118">
            <v>1</v>
          </cell>
          <cell r="C118">
            <v>2025</v>
          </cell>
          <cell r="D118">
            <v>118</v>
          </cell>
          <cell r="E118">
            <v>45658</v>
          </cell>
          <cell r="F118">
            <v>1043.25</v>
          </cell>
          <cell r="G118">
            <v>7864.1</v>
          </cell>
          <cell r="H118">
            <v>752192.87691157556</v>
          </cell>
          <cell r="I118">
            <v>110</v>
          </cell>
          <cell r="J118">
            <v>510</v>
          </cell>
          <cell r="K118">
            <v>4.4000000000000004</v>
          </cell>
          <cell r="L118">
            <v>34.9</v>
          </cell>
          <cell r="N118">
            <v>1.585</v>
          </cell>
          <cell r="O118">
            <v>1.1575</v>
          </cell>
          <cell r="P118">
            <v>1359.0287343749997</v>
          </cell>
          <cell r="Q118">
            <v>25000</v>
          </cell>
          <cell r="R118">
            <v>250000</v>
          </cell>
          <cell r="S118">
            <v>179.2727725856698</v>
          </cell>
          <cell r="T118">
            <v>329.15321351545651</v>
          </cell>
          <cell r="U118">
            <v>199.07</v>
          </cell>
          <cell r="V118">
            <v>284.32</v>
          </cell>
          <cell r="W118">
            <v>206.6</v>
          </cell>
          <cell r="X118">
            <v>195.77</v>
          </cell>
          <cell r="Y118">
            <v>187026.32</v>
          </cell>
          <cell r="Z118">
            <v>343389.09</v>
          </cell>
          <cell r="AA118">
            <v>207679.7775</v>
          </cell>
          <cell r="AB118">
            <v>296616.83999999997</v>
          </cell>
          <cell r="AC118">
            <v>215535.44999999998</v>
          </cell>
          <cell r="AD118">
            <v>204237.05250000002</v>
          </cell>
          <cell r="AE118">
            <v>242414.08833333332</v>
          </cell>
          <cell r="AF118">
            <v>909714</v>
          </cell>
          <cell r="AG118">
            <v>240000</v>
          </cell>
          <cell r="AH118">
            <v>900000</v>
          </cell>
          <cell r="AI118">
            <v>416.9</v>
          </cell>
          <cell r="AJ118">
            <v>320.88</v>
          </cell>
          <cell r="AK118">
            <v>287.56</v>
          </cell>
          <cell r="AL118">
            <v>312.93</v>
          </cell>
          <cell r="AM118">
            <v>354.47800000000001</v>
          </cell>
          <cell r="AN118">
            <v>1836.3635714285713</v>
          </cell>
          <cell r="AO118">
            <v>1057.2299999999998</v>
          </cell>
          <cell r="AP118">
            <v>1446.7967857142855</v>
          </cell>
          <cell r="AQ118">
            <v>2696.8877272727277</v>
          </cell>
          <cell r="AR118">
            <v>2534.375</v>
          </cell>
          <cell r="AS118">
            <v>928.61636363636353</v>
          </cell>
          <cell r="AT118">
            <v>1329.5777272727273</v>
          </cell>
          <cell r="AU118">
            <v>1597.5230303030303</v>
          </cell>
          <cell r="AV118">
            <v>214.07253333333335</v>
          </cell>
          <cell r="AW118">
            <v>222.35294117647058</v>
          </cell>
          <cell r="AX118">
            <v>274.09823529411767</v>
          </cell>
          <cell r="AY118">
            <v>554.12941176470576</v>
          </cell>
          <cell r="AZ118">
            <v>739.07117647058828</v>
          </cell>
          <cell r="BA118">
            <v>905.56</v>
          </cell>
          <cell r="BB118">
            <v>618.21470588235297</v>
          </cell>
          <cell r="BC118">
            <v>37929</v>
          </cell>
          <cell r="BD118">
            <v>34137</v>
          </cell>
          <cell r="BE118">
            <v>20500</v>
          </cell>
          <cell r="BF118">
            <v>15500</v>
          </cell>
          <cell r="BG118">
            <v>27016.5</v>
          </cell>
          <cell r="BH118">
            <v>2820</v>
          </cell>
          <cell r="BI118">
            <v>855</v>
          </cell>
          <cell r="BJ118">
            <v>3675</v>
          </cell>
          <cell r="BK118">
            <v>2479.7080000000001</v>
          </cell>
          <cell r="BL118">
            <v>3042</v>
          </cell>
          <cell r="BM118">
            <v>2760.8540000000003</v>
          </cell>
          <cell r="BN118">
            <v>444.11</v>
          </cell>
          <cell r="BO118">
            <v>1765.3</v>
          </cell>
          <cell r="BP118">
            <v>1477.77</v>
          </cell>
          <cell r="BQ118">
            <v>1621.5349999999999</v>
          </cell>
          <cell r="BR118">
            <v>1602.3059999999998</v>
          </cell>
          <cell r="BS118">
            <v>5200</v>
          </cell>
          <cell r="BT118">
            <v>1158.0075000000002</v>
          </cell>
          <cell r="BU118">
            <v>65874.022500000006</v>
          </cell>
          <cell r="BV118">
            <v>1812</v>
          </cell>
          <cell r="BW118">
            <v>2693</v>
          </cell>
          <cell r="BY118">
            <v>9484.7744080586726</v>
          </cell>
          <cell r="BZ118">
            <v>8971.5428490126978</v>
          </cell>
          <cell r="CA118">
            <v>9098.4435162174868</v>
          </cell>
          <cell r="CB118">
            <v>9076.0054751844727</v>
          </cell>
          <cell r="CC118">
            <v>9398.8005556607877</v>
          </cell>
          <cell r="CD118">
            <v>9126.4720619394466</v>
          </cell>
          <cell r="CE118">
            <v>9516.6566683959081</v>
          </cell>
          <cell r="CF118">
            <v>9335.7282786143351</v>
          </cell>
          <cell r="CG118">
            <v>9258.6844260020735</v>
          </cell>
          <cell r="CH118">
            <v>10855.356874001103</v>
          </cell>
          <cell r="CI118">
            <v>9016.5263471766302</v>
          </cell>
          <cell r="CJ118">
            <v>8630.0372881429121</v>
          </cell>
          <cell r="CK118">
            <v>8858.0729909019701</v>
          </cell>
          <cell r="CL118">
            <v>9600.906665368062</v>
          </cell>
          <cell r="CM118">
            <v>9981.5053609873667</v>
          </cell>
          <cell r="CN118">
            <v>11211.716379955255</v>
          </cell>
          <cell r="CO118">
            <v>9913.0503493031647</v>
          </cell>
          <cell r="CP118">
            <v>10705.058605675815</v>
          </cell>
          <cell r="CQ118">
            <v>9619.5961898324094</v>
          </cell>
          <cell r="CR118">
            <v>9552.107113774784</v>
          </cell>
          <cell r="CS118">
            <v>9585.8516518035976</v>
          </cell>
          <cell r="CT118">
            <v>11371.054081664821</v>
          </cell>
          <cell r="CU118">
            <v>11691.748351528429</v>
          </cell>
          <cell r="CV118">
            <v>9481.8182469950953</v>
          </cell>
          <cell r="CW118">
            <v>9481.8182469950953</v>
          </cell>
          <cell r="CX118">
            <v>10218.461615172873</v>
          </cell>
          <cell r="CY118">
            <v>9284.4842147512882</v>
          </cell>
          <cell r="CZ118">
            <v>11638.934261436856</v>
          </cell>
          <cell r="DA118">
            <v>9567.0975633731305</v>
          </cell>
          <cell r="DB118">
            <v>9554.9143787938156</v>
          </cell>
          <cell r="DC118">
            <v>10184.99682110822</v>
          </cell>
          <cell r="DD118">
            <v>9978.5797412305801</v>
          </cell>
          <cell r="DE118">
            <v>8873.7356000230866</v>
          </cell>
          <cell r="DF118">
            <v>10218.760567658119</v>
          </cell>
          <cell r="DG118">
            <v>9546.2480838406027</v>
          </cell>
          <cell r="DH118">
            <v>9401.0513287052163</v>
          </cell>
          <cell r="DI118">
            <v>9431.1908831525234</v>
          </cell>
          <cell r="DK118">
            <v>690000</v>
          </cell>
          <cell r="DL118" t="str">
            <v>2024-25</v>
          </cell>
          <cell r="DM118">
            <v>230000</v>
          </cell>
          <cell r="DN118" t="str">
            <v>2024-25</v>
          </cell>
          <cell r="DO118">
            <v>1600000</v>
          </cell>
          <cell r="DP118" t="str">
            <v>2024-25</v>
          </cell>
          <cell r="DQ118">
            <v>2000000</v>
          </cell>
          <cell r="DR118" t="str">
            <v>2024-25</v>
          </cell>
          <cell r="DS118">
            <v>6600000</v>
          </cell>
          <cell r="DT118" t="str">
            <v>2024-25</v>
          </cell>
          <cell r="DU118">
            <v>18000000</v>
          </cell>
          <cell r="DV118" t="str">
            <v>2024-25</v>
          </cell>
          <cell r="DW118">
            <v>1100000</v>
          </cell>
          <cell r="DX118" t="str">
            <v>2024-25</v>
          </cell>
          <cell r="DY118">
            <v>6300000</v>
          </cell>
          <cell r="DZ118" t="str">
            <v>2024-25</v>
          </cell>
          <cell r="EA118">
            <v>35600000</v>
          </cell>
          <cell r="EB118">
            <v>521230</v>
          </cell>
          <cell r="EC118" t="str">
            <v>2024-25</v>
          </cell>
          <cell r="ED118">
            <v>231352</v>
          </cell>
          <cell r="EE118">
            <v>2025</v>
          </cell>
          <cell r="EF118">
            <v>196220</v>
          </cell>
          <cell r="EG118">
            <v>2025</v>
          </cell>
          <cell r="EH118">
            <v>51624909</v>
          </cell>
          <cell r="EI118">
            <v>2025</v>
          </cell>
          <cell r="EJ118">
            <v>6115215</v>
          </cell>
          <cell r="EK118">
            <v>2024</v>
          </cell>
          <cell r="EL118">
            <v>12440906</v>
          </cell>
          <cell r="EM118">
            <v>2024</v>
          </cell>
          <cell r="EN118">
            <v>3169981</v>
          </cell>
          <cell r="EO118">
            <v>2021</v>
          </cell>
          <cell r="EP118">
            <v>9090</v>
          </cell>
          <cell r="EQ118">
            <v>4000000</v>
          </cell>
          <cell r="ER118">
            <v>80248</v>
          </cell>
          <cell r="ET118">
            <v>19357</v>
          </cell>
          <cell r="EU118">
            <v>18703</v>
          </cell>
          <cell r="EV118">
            <v>8927</v>
          </cell>
          <cell r="EW118">
            <v>17408</v>
          </cell>
          <cell r="EX118">
            <v>64395</v>
          </cell>
          <cell r="EY118">
            <v>20031</v>
          </cell>
          <cell r="EZ118">
            <v>38177</v>
          </cell>
          <cell r="FA118">
            <v>19900</v>
          </cell>
          <cell r="FB118">
            <v>18184</v>
          </cell>
          <cell r="FC118">
            <v>38084</v>
          </cell>
          <cell r="FD118">
            <v>60376</v>
          </cell>
          <cell r="FF118">
            <v>1300000</v>
          </cell>
          <cell r="FG118" t="str">
            <v>2023-24</v>
          </cell>
          <cell r="FH118">
            <v>1300000</v>
          </cell>
          <cell r="FI118" t="str">
            <v>2023-24</v>
          </cell>
          <cell r="FJ118">
            <v>5100000</v>
          </cell>
          <cell r="FK118" t="str">
            <v>2024-25</v>
          </cell>
          <cell r="FL118">
            <v>3900000</v>
          </cell>
          <cell r="FM118" t="str">
            <v>2023-24</v>
          </cell>
          <cell r="FN118">
            <v>46500000</v>
          </cell>
          <cell r="FO118" t="str">
            <v>2023-24</v>
          </cell>
          <cell r="FP118">
            <v>48200000</v>
          </cell>
          <cell r="FQ118" t="str">
            <v>2023-24</v>
          </cell>
          <cell r="FR118">
            <v>2500000</v>
          </cell>
          <cell r="FS118" t="str">
            <v>2023-24</v>
          </cell>
          <cell r="FT118">
            <v>17700000</v>
          </cell>
          <cell r="FU118" t="str">
            <v>2024-25</v>
          </cell>
          <cell r="FV118">
            <v>123900000</v>
          </cell>
          <cell r="FW118">
            <v>1604722</v>
          </cell>
          <cell r="FX118" t="str">
            <v>2023-24</v>
          </cell>
          <cell r="FY118">
            <v>16962</v>
          </cell>
          <cell r="FZ118">
            <v>981550</v>
          </cell>
          <cell r="GA118" t="str">
            <v>feb24 ene25</v>
          </cell>
          <cell r="GB118">
            <v>19908335</v>
          </cell>
          <cell r="GC118">
            <v>2025</v>
          </cell>
          <cell r="GD118">
            <v>1714000</v>
          </cell>
          <cell r="GE118">
            <v>424000</v>
          </cell>
          <cell r="GF118">
            <v>1165000</v>
          </cell>
          <cell r="GG118">
            <v>145000</v>
          </cell>
          <cell r="GH118">
            <v>1734000</v>
          </cell>
          <cell r="GI118">
            <v>1302556</v>
          </cell>
          <cell r="GJ118">
            <v>682423</v>
          </cell>
          <cell r="GK118">
            <v>1391495</v>
          </cell>
          <cell r="GL118">
            <v>305049</v>
          </cell>
          <cell r="GM118">
            <v>260419</v>
          </cell>
          <cell r="GN118">
            <v>2639386</v>
          </cell>
          <cell r="GO118">
            <v>201734</v>
          </cell>
          <cell r="GP118">
            <v>75000</v>
          </cell>
          <cell r="GQ118">
            <v>167500</v>
          </cell>
          <cell r="GR118">
            <v>34035</v>
          </cell>
          <cell r="GS118">
            <v>39060</v>
          </cell>
          <cell r="GT118">
            <v>2111561</v>
          </cell>
          <cell r="GU118">
            <v>26123</v>
          </cell>
          <cell r="GV118">
            <v>21293</v>
          </cell>
          <cell r="GW118">
            <v>773454</v>
          </cell>
          <cell r="GX118">
            <v>36041.686000000002</v>
          </cell>
          <cell r="GY118" t="str">
            <v>2024-2025</v>
          </cell>
          <cell r="GZ118">
            <v>119643</v>
          </cell>
          <cell r="HA118">
            <v>263854</v>
          </cell>
          <cell r="HB118">
            <v>3160668</v>
          </cell>
          <cell r="HC118" t="str">
            <v>feb24 ene25</v>
          </cell>
          <cell r="HD118">
            <v>61071</v>
          </cell>
          <cell r="HE118">
            <v>787897</v>
          </cell>
          <cell r="HF118" t="str">
            <v>feb24 ene25</v>
          </cell>
          <cell r="HG118">
            <v>206000</v>
          </cell>
          <cell r="HH118">
            <v>2305000</v>
          </cell>
          <cell r="HI118" t="str">
            <v>feb24 ene25</v>
          </cell>
          <cell r="HJ118">
            <v>105594</v>
          </cell>
          <cell r="HK118">
            <v>64450.846299286794</v>
          </cell>
          <cell r="HL118" t="str">
            <v>feb24 ene25</v>
          </cell>
          <cell r="HM118">
            <v>2369450.8462992869</v>
          </cell>
          <cell r="HN118">
            <v>0.19139517400550043</v>
          </cell>
          <cell r="HO118">
            <v>994000000</v>
          </cell>
          <cell r="HP118">
            <v>10600.445703900923</v>
          </cell>
          <cell r="HQ118" t="str">
            <v>feb24 ene25</v>
          </cell>
          <cell r="HU118">
            <v>700000</v>
          </cell>
          <cell r="HV118" t="str">
            <v>2023-24</v>
          </cell>
          <cell r="HW118">
            <v>1400000</v>
          </cell>
          <cell r="HX118" t="str">
            <v>2024-25</v>
          </cell>
          <cell r="HY118">
            <v>4600000</v>
          </cell>
          <cell r="HZ118" t="str">
            <v>2023-24</v>
          </cell>
          <cell r="IA118">
            <v>21600000</v>
          </cell>
          <cell r="IB118" t="str">
            <v>2023-24</v>
          </cell>
          <cell r="IC118">
            <v>47000000</v>
          </cell>
          <cell r="ID118" t="str">
            <v>2023-24</v>
          </cell>
          <cell r="IE118">
            <v>1250000</v>
          </cell>
          <cell r="IF118" t="str">
            <v>2023-24</v>
          </cell>
          <cell r="IG118">
            <v>7480000</v>
          </cell>
          <cell r="IH118" t="str">
            <v>2024-25</v>
          </cell>
          <cell r="II118">
            <v>83330000</v>
          </cell>
          <cell r="IJ118">
            <v>2.160083392153568</v>
          </cell>
          <cell r="IK118" t="str">
            <v>2023-24</v>
          </cell>
          <cell r="IL118">
            <v>45.23</v>
          </cell>
          <cell r="IM118">
            <v>48.18</v>
          </cell>
          <cell r="IN118">
            <v>170.3</v>
          </cell>
          <cell r="IO118">
            <v>17.510000000000002</v>
          </cell>
          <cell r="IP118">
            <v>5.7523267137771796</v>
          </cell>
          <cell r="IQ118">
            <v>16.079999999999998</v>
          </cell>
          <cell r="IR118">
            <v>6.09</v>
          </cell>
          <cell r="IS118">
            <v>4.03</v>
          </cell>
          <cell r="IT118">
            <v>11.98</v>
          </cell>
          <cell r="IU118">
            <v>1.38</v>
          </cell>
          <cell r="IV118">
            <v>17.39</v>
          </cell>
          <cell r="IY118">
            <v>1.88</v>
          </cell>
          <cell r="IZ118">
            <v>0.3</v>
          </cell>
          <cell r="JA118">
            <v>2813</v>
          </cell>
          <cell r="JF118">
            <v>6.462363250000001</v>
          </cell>
          <cell r="JG118">
            <v>22.007364089999996</v>
          </cell>
          <cell r="JH118">
            <v>230.24518530999995</v>
          </cell>
          <cell r="JI118">
            <v>140.89307301000002</v>
          </cell>
          <cell r="JJ118">
            <v>661.92712743000004</v>
          </cell>
          <cell r="JK118">
            <v>100.29183523999998</v>
          </cell>
          <cell r="JL118">
            <v>1569.6201865100002</v>
          </cell>
          <cell r="JM118">
            <v>20.584755779999998</v>
          </cell>
          <cell r="JN118">
            <v>607.95598188000008</v>
          </cell>
          <cell r="JO118">
            <v>28.030286839999999</v>
          </cell>
          <cell r="JP118">
            <v>0</v>
          </cell>
          <cell r="JQ118">
            <v>0.27331899999999998</v>
          </cell>
          <cell r="JR118">
            <v>1.24576486</v>
          </cell>
          <cell r="JS118">
            <v>0</v>
          </cell>
          <cell r="JT118">
            <v>0.20749999999999999</v>
          </cell>
          <cell r="JU118">
            <v>50.923025279999997</v>
          </cell>
          <cell r="JV118">
            <v>6.4234904199999994</v>
          </cell>
          <cell r="JW118">
            <v>13.925724349999998</v>
          </cell>
          <cell r="JX118">
            <v>6.679100720000001</v>
          </cell>
          <cell r="JY118">
            <v>0</v>
          </cell>
          <cell r="JZ118">
            <v>10.588218640000001</v>
          </cell>
          <cell r="KA118">
            <v>0.41499999999999998</v>
          </cell>
          <cell r="KB118">
            <v>10.200287200000002</v>
          </cell>
          <cell r="KC118">
            <v>6.2035308000000002</v>
          </cell>
          <cell r="KD118">
            <v>7.1690497699999991</v>
          </cell>
          <cell r="KE118">
            <v>9.6274282100000015</v>
          </cell>
          <cell r="KF118">
            <v>5.62476749</v>
          </cell>
          <cell r="KG118">
            <v>330.34833823999992</v>
          </cell>
          <cell r="KH118">
            <v>133.12937443000001</v>
          </cell>
          <cell r="KI118">
            <v>14.881609229999999</v>
          </cell>
          <cell r="KJ118">
            <v>1.4111442899999997</v>
          </cell>
          <cell r="KK118">
            <v>7.6983577599999995</v>
          </cell>
          <cell r="KL118">
            <v>0.84812041999999999</v>
          </cell>
          <cell r="KM118">
            <v>0.35551689999999997</v>
          </cell>
          <cell r="KN118">
            <v>0.90930934000000008</v>
          </cell>
          <cell r="KO118">
            <v>3.1964405900000008</v>
          </cell>
          <cell r="KP118">
            <v>5.2225250000000001E-2</v>
          </cell>
          <cell r="KQ118">
            <v>26.978239100000003</v>
          </cell>
          <cell r="KR118">
            <v>0.17571323999999999</v>
          </cell>
          <cell r="KS118">
            <v>0.26818175</v>
          </cell>
          <cell r="KT118">
            <v>0.79831189000000002</v>
          </cell>
          <cell r="KU118">
            <v>0.14172798</v>
          </cell>
          <cell r="KV118">
            <v>5.0753019999999996E-2</v>
          </cell>
          <cell r="KW118">
            <v>0.38512786999999993</v>
          </cell>
          <cell r="KX118">
            <v>0</v>
          </cell>
          <cell r="KY118">
            <v>0</v>
          </cell>
          <cell r="KZ118">
            <v>0.41117072999999998</v>
          </cell>
          <cell r="LA118">
            <v>0.18245199000000001</v>
          </cell>
          <cell r="LB118">
            <v>0</v>
          </cell>
          <cell r="LC118">
            <v>8.163788649999999</v>
          </cell>
          <cell r="LD118">
            <v>0</v>
          </cell>
          <cell r="LE118">
            <v>1.0502936200000001</v>
          </cell>
          <cell r="LF118">
            <v>0.43684469999999997</v>
          </cell>
          <cell r="LG118">
            <v>14.09144206</v>
          </cell>
          <cell r="LH118">
            <v>4.1108512499999996</v>
          </cell>
          <cell r="LI118">
            <v>1.1839526999999999</v>
          </cell>
          <cell r="LJ118">
            <v>0</v>
          </cell>
          <cell r="LK118">
            <v>2.5037689800000003</v>
          </cell>
          <cell r="LL118">
            <v>5.8644577399999989</v>
          </cell>
          <cell r="LM118">
            <v>2.9139955600000005</v>
          </cell>
          <cell r="LN118">
            <v>0.16347327</v>
          </cell>
          <cell r="LO118">
            <v>14.265215759999998</v>
          </cell>
          <cell r="LQ118">
            <v>3231.2263099199999</v>
          </cell>
          <cell r="LR118">
            <v>1.7265838599999999</v>
          </cell>
          <cell r="LS118">
            <v>23.934850630000003</v>
          </cell>
          <cell r="LT118">
            <v>11.00321864</v>
          </cell>
          <cell r="LU118">
            <v>31.883400920000003</v>
          </cell>
          <cell r="LV118">
            <v>0.43588088999999991</v>
          </cell>
          <cell r="LW118">
            <v>0.18245199000000001</v>
          </cell>
          <cell r="LX118">
            <v>1.4871383200000001</v>
          </cell>
          <cell r="LZ118">
            <v>1448.77</v>
          </cell>
          <cell r="MA118">
            <v>2110.7600000000002</v>
          </cell>
          <cell r="MH118">
            <v>3154.17</v>
          </cell>
          <cell r="MI118">
            <v>818.77</v>
          </cell>
          <cell r="MJ118">
            <v>842.73</v>
          </cell>
          <cell r="ML118">
            <v>849.14</v>
          </cell>
          <cell r="MM118">
            <v>1554.1</v>
          </cell>
          <cell r="MO118">
            <v>1353.17</v>
          </cell>
          <cell r="MP118">
            <v>2189.77</v>
          </cell>
          <cell r="MQ118">
            <v>2419.2600000000002</v>
          </cell>
          <cell r="MU118">
            <v>984.23</v>
          </cell>
          <cell r="MY118">
            <v>2261.65</v>
          </cell>
          <cell r="MZ118">
            <v>6129</v>
          </cell>
          <cell r="NA118">
            <v>3097</v>
          </cell>
          <cell r="NB118">
            <v>9609</v>
          </cell>
          <cell r="NC118">
            <v>1483.06</v>
          </cell>
          <cell r="ND118">
            <v>11490</v>
          </cell>
          <cell r="NE118">
            <v>6714</v>
          </cell>
        </row>
        <row r="119">
          <cell r="A119">
            <v>45689</v>
          </cell>
          <cell r="B119">
            <v>2</v>
          </cell>
          <cell r="C119">
            <v>2025</v>
          </cell>
          <cell r="D119">
            <v>119</v>
          </cell>
          <cell r="E119">
            <v>45689</v>
          </cell>
          <cell r="F119">
            <v>1058.1125</v>
          </cell>
          <cell r="G119">
            <v>8053</v>
          </cell>
          <cell r="H119">
            <v>773254.2774650997</v>
          </cell>
          <cell r="I119">
            <v>113</v>
          </cell>
          <cell r="J119">
            <v>550</v>
          </cell>
          <cell r="K119">
            <v>4.4000000000000004</v>
          </cell>
          <cell r="L119">
            <v>37.9</v>
          </cell>
          <cell r="N119">
            <v>1.4975000000000001</v>
          </cell>
          <cell r="O119">
            <v>1.1000000000000001</v>
          </cell>
          <cell r="P119">
            <v>1305.5124289062499</v>
          </cell>
          <cell r="Q119">
            <v>24000</v>
          </cell>
          <cell r="R119">
            <v>240000</v>
          </cell>
          <cell r="S119">
            <v>194.89893560467343</v>
          </cell>
          <cell r="T119">
            <v>345.50437689754165</v>
          </cell>
          <cell r="U119">
            <v>207.05</v>
          </cell>
          <cell r="V119">
            <v>308.14999999999998</v>
          </cell>
          <cell r="W119">
            <v>213.5</v>
          </cell>
          <cell r="X119">
            <v>210.76</v>
          </cell>
          <cell r="Y119">
            <v>206225</v>
          </cell>
          <cell r="Z119">
            <v>365582.5</v>
          </cell>
          <cell r="AA119">
            <v>219082.19312499999</v>
          </cell>
          <cell r="AB119">
            <v>326057.36687499995</v>
          </cell>
          <cell r="AC119">
            <v>225907.01874999999</v>
          </cell>
          <cell r="AD119">
            <v>223007.79049999997</v>
          </cell>
          <cell r="AE119">
            <v>260976.97820833331</v>
          </cell>
          <cell r="AF119">
            <v>914844.0675</v>
          </cell>
          <cell r="AG119">
            <v>300000</v>
          </cell>
          <cell r="AH119">
            <v>1140000</v>
          </cell>
          <cell r="AI119">
            <v>432.61900000000003</v>
          </cell>
          <cell r="AJ119">
            <v>346.80829999999997</v>
          </cell>
          <cell r="AK119">
            <v>264.9486</v>
          </cell>
          <cell r="AL119">
            <v>289.6651</v>
          </cell>
          <cell r="AM119">
            <v>351.28333199999997</v>
          </cell>
          <cell r="AN119">
            <v>1784.921142857143</v>
          </cell>
          <cell r="AO119">
            <v>997.03666666666641</v>
          </cell>
          <cell r="AP119">
            <v>1390.9789047619047</v>
          </cell>
          <cell r="AQ119">
            <v>1566.43</v>
          </cell>
          <cell r="AR119">
            <v>1711.8058333333331</v>
          </cell>
          <cell r="AS119">
            <v>983.60000000000014</v>
          </cell>
          <cell r="AT119">
            <v>1485.0106666666668</v>
          </cell>
          <cell r="AU119">
            <v>1393.4721666666667</v>
          </cell>
          <cell r="AV119">
            <v>300.17377049180328</v>
          </cell>
          <cell r="AW119">
            <v>230.33333333333334</v>
          </cell>
          <cell r="AX119">
            <v>407.04</v>
          </cell>
          <cell r="AY119">
            <v>499.89533333333327</v>
          </cell>
          <cell r="AZ119">
            <v>619.15266666666673</v>
          </cell>
          <cell r="BA119">
            <v>302.13</v>
          </cell>
          <cell r="BB119">
            <v>457.05450000000008</v>
          </cell>
          <cell r="BC119">
            <v>38232</v>
          </cell>
          <cell r="BD119">
            <v>34410</v>
          </cell>
          <cell r="BE119">
            <v>20500</v>
          </cell>
          <cell r="BF119">
            <v>15500</v>
          </cell>
          <cell r="BG119">
            <v>27160.5</v>
          </cell>
          <cell r="BH119">
            <v>2820</v>
          </cell>
          <cell r="BI119">
            <v>712</v>
          </cell>
          <cell r="BJ119">
            <v>3532</v>
          </cell>
          <cell r="BK119">
            <v>2802.5360000000001</v>
          </cell>
          <cell r="BL119">
            <v>3285</v>
          </cell>
          <cell r="BM119">
            <v>3043.768</v>
          </cell>
          <cell r="BN119">
            <v>447.42</v>
          </cell>
          <cell r="BO119">
            <v>2018.12</v>
          </cell>
          <cell r="BP119">
            <v>1507.93</v>
          </cell>
          <cell r="BQ119">
            <v>1763.0250000000001</v>
          </cell>
          <cell r="BR119">
            <v>1655.3233333333335</v>
          </cell>
          <cell r="BS119">
            <v>5800</v>
          </cell>
          <cell r="BT119">
            <v>1290.89725</v>
          </cell>
          <cell r="BU119">
            <v>73472.691749999998</v>
          </cell>
          <cell r="BV119">
            <v>1821</v>
          </cell>
          <cell r="BW119">
            <v>3091</v>
          </cell>
          <cell r="BY119">
            <v>9724.0774007818709</v>
          </cell>
          <cell r="BZ119">
            <v>9499.4641194322558</v>
          </cell>
          <cell r="CA119">
            <v>9848.5702947464451</v>
          </cell>
          <cell r="CB119">
            <v>9781.3926862778844</v>
          </cell>
          <cell r="CC119">
            <v>10083.900639746751</v>
          </cell>
          <cell r="CD119">
            <v>9915.7048861048024</v>
          </cell>
          <cell r="CE119">
            <v>10169.154193703906</v>
          </cell>
          <cell r="CF119">
            <v>10084.754136615567</v>
          </cell>
          <cell r="CG119">
            <v>9980.579472865893</v>
          </cell>
          <cell r="CH119">
            <v>11313.252615466728</v>
          </cell>
          <cell r="CI119">
            <v>9764.2765591215248</v>
          </cell>
          <cell r="CJ119">
            <v>8958.2438472329704</v>
          </cell>
          <cell r="CK119">
            <v>9895.6337126168601</v>
          </cell>
          <cell r="CL119">
            <v>9809.6232428396925</v>
          </cell>
          <cell r="CM119">
            <v>9814.8764558150669</v>
          </cell>
          <cell r="CN119">
            <v>9254.0350138380181</v>
          </cell>
          <cell r="CO119">
            <v>9693.5421062774094</v>
          </cell>
          <cell r="CP119">
            <v>11035.496307876245</v>
          </cell>
          <cell r="CQ119">
            <v>9897.6438688021863</v>
          </cell>
          <cell r="CR119">
            <v>9785.7638147850339</v>
          </cell>
          <cell r="CS119">
            <v>9841.7038417936092</v>
          </cell>
          <cell r="CT119">
            <v>10297.779847213636</v>
          </cell>
          <cell r="CU119">
            <v>10962.57680185792</v>
          </cell>
          <cell r="CV119">
            <v>9947.0859678198085</v>
          </cell>
          <cell r="CW119">
            <v>9947.0859678198085</v>
          </cell>
          <cell r="CX119">
            <v>10285.58291249918</v>
          </cell>
          <cell r="CY119">
            <v>9719.6170766107443</v>
          </cell>
          <cell r="CZ119">
            <v>12081.630754566766</v>
          </cell>
          <cell r="DA119">
            <v>9884.1611577513395</v>
          </cell>
          <cell r="DB119">
            <v>10111.023722735721</v>
          </cell>
          <cell r="DC119">
            <v>10658.793380833098</v>
          </cell>
          <cell r="DD119">
            <v>10476.340787581477</v>
          </cell>
          <cell r="DE119">
            <v>9307.5237548258938</v>
          </cell>
          <cell r="DF119">
            <v>10750.115308653076</v>
          </cell>
          <cell r="DG119">
            <v>10028.819531739486</v>
          </cell>
          <cell r="DH119">
            <v>9765.6375014764453</v>
          </cell>
          <cell r="DI119">
            <v>9857.2618132846819</v>
          </cell>
          <cell r="DK119">
            <v>690000</v>
          </cell>
          <cell r="DL119" t="str">
            <v>2024-25</v>
          </cell>
          <cell r="DM119">
            <v>230000</v>
          </cell>
          <cell r="DN119" t="str">
            <v>2024-25</v>
          </cell>
          <cell r="DO119">
            <v>1700000</v>
          </cell>
          <cell r="DP119" t="str">
            <v>2024-25</v>
          </cell>
          <cell r="DQ119">
            <v>2000000</v>
          </cell>
          <cell r="DR119" t="str">
            <v>2024-25</v>
          </cell>
          <cell r="DS119">
            <v>6600000</v>
          </cell>
          <cell r="DT119" t="str">
            <v>2024-25</v>
          </cell>
          <cell r="DU119">
            <v>18000000</v>
          </cell>
          <cell r="DV119" t="str">
            <v>2024-25</v>
          </cell>
          <cell r="DW119">
            <v>1100000</v>
          </cell>
          <cell r="DX119" t="str">
            <v>2024-25</v>
          </cell>
          <cell r="DY119">
            <v>6500000</v>
          </cell>
          <cell r="DZ119" t="str">
            <v>2024-25</v>
          </cell>
          <cell r="EA119">
            <v>35900000</v>
          </cell>
          <cell r="EB119">
            <v>521230</v>
          </cell>
          <cell r="EC119" t="str">
            <v>2024-25</v>
          </cell>
          <cell r="ED119">
            <v>231352</v>
          </cell>
          <cell r="EE119">
            <v>2025</v>
          </cell>
          <cell r="EF119">
            <v>196220</v>
          </cell>
          <cell r="EG119">
            <v>2025</v>
          </cell>
          <cell r="EH119">
            <v>51624909</v>
          </cell>
          <cell r="EI119">
            <v>2025</v>
          </cell>
          <cell r="EJ119">
            <v>6115215</v>
          </cell>
          <cell r="EK119">
            <v>2024</v>
          </cell>
          <cell r="EL119">
            <v>12440906</v>
          </cell>
          <cell r="EM119">
            <v>2024</v>
          </cell>
          <cell r="EN119">
            <v>2840826</v>
          </cell>
          <cell r="EO119">
            <v>2025</v>
          </cell>
          <cell r="EP119">
            <v>9156</v>
          </cell>
          <cell r="EQ119">
            <v>4000000</v>
          </cell>
          <cell r="ER119">
            <v>80248</v>
          </cell>
          <cell r="ET119">
            <v>19357</v>
          </cell>
          <cell r="EU119">
            <v>18703</v>
          </cell>
          <cell r="EV119">
            <v>8927</v>
          </cell>
          <cell r="EW119">
            <v>17408</v>
          </cell>
          <cell r="EX119">
            <v>64395</v>
          </cell>
          <cell r="EY119">
            <v>20031</v>
          </cell>
          <cell r="EZ119">
            <v>38177</v>
          </cell>
          <cell r="FA119">
            <v>19900</v>
          </cell>
          <cell r="FB119">
            <v>18184</v>
          </cell>
          <cell r="FC119">
            <v>38084</v>
          </cell>
          <cell r="FD119">
            <v>60376</v>
          </cell>
          <cell r="FF119">
            <v>1300000</v>
          </cell>
          <cell r="FG119" t="str">
            <v>2023-24</v>
          </cell>
          <cell r="FH119">
            <v>1300000</v>
          </cell>
          <cell r="FI119" t="str">
            <v>2023-24</v>
          </cell>
          <cell r="FJ119">
            <v>4800000</v>
          </cell>
          <cell r="FK119" t="str">
            <v>2024-25</v>
          </cell>
          <cell r="FL119">
            <v>4400000</v>
          </cell>
          <cell r="FM119" t="str">
            <v>2024-25</v>
          </cell>
          <cell r="FN119">
            <v>46500000</v>
          </cell>
          <cell r="FO119" t="str">
            <v>2023-24</v>
          </cell>
          <cell r="FP119">
            <v>48200000</v>
          </cell>
          <cell r="FQ119" t="str">
            <v>2023-24</v>
          </cell>
          <cell r="FR119">
            <v>2500000</v>
          </cell>
          <cell r="FS119" t="str">
            <v>2023-24</v>
          </cell>
          <cell r="FT119">
            <v>18500000</v>
          </cell>
          <cell r="FU119" t="str">
            <v>2024-25</v>
          </cell>
          <cell r="FV119">
            <v>124900000</v>
          </cell>
          <cell r="FW119">
            <v>1604722</v>
          </cell>
          <cell r="FX119" t="str">
            <v>2023-24</v>
          </cell>
          <cell r="FY119">
            <v>16661</v>
          </cell>
          <cell r="FZ119">
            <v>964417</v>
          </cell>
          <cell r="GA119" t="str">
            <v>mar24 feb25</v>
          </cell>
          <cell r="GB119">
            <v>19908335</v>
          </cell>
          <cell r="GC119">
            <v>2025</v>
          </cell>
          <cell r="GD119">
            <v>1714000</v>
          </cell>
          <cell r="GE119">
            <v>424000</v>
          </cell>
          <cell r="GF119">
            <v>1165000</v>
          </cell>
          <cell r="GG119">
            <v>145000</v>
          </cell>
          <cell r="GH119">
            <v>1734000</v>
          </cell>
          <cell r="GI119">
            <v>1302556</v>
          </cell>
          <cell r="GJ119">
            <v>682423</v>
          </cell>
          <cell r="GK119">
            <v>1391495</v>
          </cell>
          <cell r="GL119">
            <v>305049</v>
          </cell>
          <cell r="GM119">
            <v>260419</v>
          </cell>
          <cell r="GN119">
            <v>2639386</v>
          </cell>
          <cell r="GO119">
            <v>201734</v>
          </cell>
          <cell r="GP119">
            <v>75000</v>
          </cell>
          <cell r="GQ119">
            <v>164506</v>
          </cell>
          <cell r="GR119">
            <v>34035</v>
          </cell>
          <cell r="GS119">
            <v>38970.18</v>
          </cell>
          <cell r="GT119">
            <v>2111561</v>
          </cell>
          <cell r="GU119">
            <v>59085</v>
          </cell>
          <cell r="GV119">
            <v>21666</v>
          </cell>
          <cell r="GW119">
            <v>778161</v>
          </cell>
          <cell r="GX119">
            <v>36041.686000000002</v>
          </cell>
          <cell r="GY119" t="str">
            <v>2024-2025</v>
          </cell>
          <cell r="GZ119">
            <v>119643</v>
          </cell>
          <cell r="HA119">
            <v>234614</v>
          </cell>
          <cell r="HB119">
            <v>3157641</v>
          </cell>
          <cell r="HC119" t="str">
            <v>mar24 feb25</v>
          </cell>
          <cell r="HD119">
            <v>57138</v>
          </cell>
          <cell r="HE119">
            <v>790254</v>
          </cell>
          <cell r="HF119" t="str">
            <v>mar24 feb25</v>
          </cell>
          <cell r="HG119">
            <v>184000</v>
          </cell>
          <cell r="HH119">
            <v>2314000</v>
          </cell>
          <cell r="HI119" t="str">
            <v>mar24 feb25</v>
          </cell>
          <cell r="HJ119">
            <v>84436</v>
          </cell>
          <cell r="HK119">
            <v>63981.586299286806</v>
          </cell>
          <cell r="HL119" t="str">
            <v>mar24 feb25</v>
          </cell>
          <cell r="HM119">
            <v>2377981.5862992867</v>
          </cell>
          <cell r="HN119">
            <v>8.163265306122458E-2</v>
          </cell>
          <cell r="HO119">
            <v>742000000</v>
          </cell>
          <cell r="HP119">
            <v>10656.445703900923</v>
          </cell>
          <cell r="HQ119" t="str">
            <v>mar24 feb25</v>
          </cell>
          <cell r="HU119">
            <v>700000</v>
          </cell>
          <cell r="HV119" t="str">
            <v>2023-24</v>
          </cell>
          <cell r="HW119">
            <v>1400000</v>
          </cell>
          <cell r="HX119" t="str">
            <v>2024-25</v>
          </cell>
          <cell r="HY119">
            <v>4600001</v>
          </cell>
          <cell r="HZ119" t="str">
            <v>2023-24</v>
          </cell>
          <cell r="IA119">
            <v>21600000</v>
          </cell>
          <cell r="IB119" t="str">
            <v>2023-24</v>
          </cell>
          <cell r="IC119">
            <v>47000000</v>
          </cell>
          <cell r="ID119" t="str">
            <v>2023-24</v>
          </cell>
          <cell r="IE119">
            <v>1250000</v>
          </cell>
          <cell r="IF119" t="str">
            <v>2023-24</v>
          </cell>
          <cell r="IG119">
            <v>7480000</v>
          </cell>
          <cell r="IH119" t="str">
            <v>2024-25</v>
          </cell>
          <cell r="II119">
            <v>83330001</v>
          </cell>
          <cell r="IJ119">
            <v>2.160083392153568</v>
          </cell>
          <cell r="IK119" t="str">
            <v>2023-24</v>
          </cell>
          <cell r="IL119">
            <v>45.61</v>
          </cell>
          <cell r="IM119">
            <v>48.75</v>
          </cell>
          <cell r="IN119">
            <v>181.1</v>
          </cell>
          <cell r="IO119">
            <v>17.73</v>
          </cell>
          <cell r="IP119">
            <v>5.7523267137771796</v>
          </cell>
          <cell r="IQ119">
            <v>16.079999999999998</v>
          </cell>
          <cell r="IR119">
            <v>6.09</v>
          </cell>
          <cell r="IS119">
            <v>4.03</v>
          </cell>
          <cell r="IT119">
            <v>11.98</v>
          </cell>
          <cell r="IU119">
            <v>1.38</v>
          </cell>
          <cell r="IV119">
            <v>17.39</v>
          </cell>
          <cell r="IY119">
            <v>1.88</v>
          </cell>
          <cell r="IZ119">
            <v>0.3</v>
          </cell>
          <cell r="JA119">
            <v>2813</v>
          </cell>
          <cell r="JF119">
            <v>8.6490729999999978</v>
          </cell>
          <cell r="JG119">
            <v>94.896967090000004</v>
          </cell>
          <cell r="JH119">
            <v>179.07920426999999</v>
          </cell>
          <cell r="JI119">
            <v>129.19613618999998</v>
          </cell>
          <cell r="JJ119">
            <v>649.03009867000026</v>
          </cell>
          <cell r="JK119">
            <v>129.66034791999999</v>
          </cell>
          <cell r="JL119">
            <v>1640.2530088200001</v>
          </cell>
          <cell r="JM119">
            <v>16.174937150000002</v>
          </cell>
          <cell r="JN119">
            <v>579.37786552</v>
          </cell>
          <cell r="JO119">
            <v>30.959664470000003</v>
          </cell>
          <cell r="JP119">
            <v>0</v>
          </cell>
          <cell r="JQ119">
            <v>0.90505519999999995</v>
          </cell>
          <cell r="JR119">
            <v>2.0880639599999999</v>
          </cell>
          <cell r="JS119">
            <v>0</v>
          </cell>
          <cell r="JT119">
            <v>0.68768700000000005</v>
          </cell>
          <cell r="JU119">
            <v>63.754065359999977</v>
          </cell>
          <cell r="JV119">
            <v>8.6503282699999993</v>
          </cell>
          <cell r="JW119">
            <v>37.746528730000009</v>
          </cell>
          <cell r="JX119">
            <v>7.26098439</v>
          </cell>
          <cell r="JY119">
            <v>0</v>
          </cell>
          <cell r="JZ119">
            <v>11.070028969999997</v>
          </cell>
          <cell r="KA119">
            <v>0.41249999999999998</v>
          </cell>
          <cell r="KB119">
            <v>14.484437890000001</v>
          </cell>
          <cell r="KC119">
            <v>9.7228914799999995</v>
          </cell>
          <cell r="KD119">
            <v>9.8166064800000008</v>
          </cell>
          <cell r="KE119">
            <v>15.906782769999998</v>
          </cell>
          <cell r="KF119">
            <v>8.0094020700000002</v>
          </cell>
          <cell r="KG119">
            <v>345.87150417999976</v>
          </cell>
          <cell r="KH119">
            <v>158.22857195999995</v>
          </cell>
          <cell r="KI119">
            <v>31.610464650000004</v>
          </cell>
          <cell r="KJ119">
            <v>3.87511991</v>
          </cell>
          <cell r="KK119">
            <v>9.7355070900000005</v>
          </cell>
          <cell r="KL119">
            <v>0.47281664000000007</v>
          </cell>
          <cell r="KM119">
            <v>0.25029460999999997</v>
          </cell>
          <cell r="KN119">
            <v>0.14861942999999997</v>
          </cell>
          <cell r="KO119">
            <v>3.8082863800000002</v>
          </cell>
          <cell r="KP119">
            <v>0</v>
          </cell>
          <cell r="KQ119">
            <v>283.81782139000001</v>
          </cell>
          <cell r="KR119">
            <v>0</v>
          </cell>
          <cell r="KS119">
            <v>0.11789339</v>
          </cell>
          <cell r="KT119">
            <v>0.86551083000000006</v>
          </cell>
          <cell r="KU119">
            <v>4.4833160000000004E-2</v>
          </cell>
          <cell r="KV119">
            <v>0</v>
          </cell>
          <cell r="KW119">
            <v>0.27889262000000004</v>
          </cell>
          <cell r="KX119">
            <v>0</v>
          </cell>
          <cell r="KY119">
            <v>0</v>
          </cell>
          <cell r="KZ119">
            <v>1.94679845</v>
          </cell>
          <cell r="LA119">
            <v>4.7323499999999998E-2</v>
          </cell>
          <cell r="LB119">
            <v>0</v>
          </cell>
          <cell r="LC119">
            <v>2.6899458300000001</v>
          </cell>
          <cell r="LD119">
            <v>0</v>
          </cell>
          <cell r="LE119">
            <v>1.0991278</v>
          </cell>
          <cell r="LF119">
            <v>0.46851831999999993</v>
          </cell>
          <cell r="LG119">
            <v>16.998994660000001</v>
          </cell>
          <cell r="LH119">
            <v>5.6310443999999995</v>
          </cell>
          <cell r="LI119">
            <v>2.0218665100000002</v>
          </cell>
          <cell r="LJ119">
            <v>3.5298E-3</v>
          </cell>
          <cell r="LK119">
            <v>4.5240591299999995</v>
          </cell>
          <cell r="LL119">
            <v>7.0677003599999999</v>
          </cell>
          <cell r="LM119">
            <v>2.90139879</v>
          </cell>
          <cell r="LN119">
            <v>0.19393855000000002</v>
          </cell>
          <cell r="LO119">
            <v>14.447589379999997</v>
          </cell>
          <cell r="LQ119">
            <v>3193.1112506200002</v>
          </cell>
          <cell r="LR119">
            <v>3.6808061599999999</v>
          </cell>
          <cell r="LS119">
            <v>46.396857000000011</v>
          </cell>
          <cell r="LT119">
            <v>11.482528969999997</v>
          </cell>
          <cell r="LU119">
            <v>288.1429152</v>
          </cell>
          <cell r="LV119">
            <v>0.27889262000000004</v>
          </cell>
          <cell r="LW119">
            <v>4.7323499999999998E-2</v>
          </cell>
          <cell r="LX119">
            <v>1.56764612</v>
          </cell>
          <cell r="LZ119">
            <v>1467.17</v>
          </cell>
          <cell r="MA119">
            <v>1937.98</v>
          </cell>
          <cell r="MH119">
            <v>3212.93</v>
          </cell>
          <cell r="MI119">
            <v>824.92</v>
          </cell>
          <cell r="MJ119">
            <v>790.79</v>
          </cell>
          <cell r="ML119">
            <v>798.26</v>
          </cell>
          <cell r="MM119">
            <v>1268.6500000000001</v>
          </cell>
          <cell r="MO119">
            <v>1184.25</v>
          </cell>
          <cell r="MP119">
            <v>2176.3000000000002</v>
          </cell>
          <cell r="MQ119">
            <v>2414.1999999999998</v>
          </cell>
          <cell r="MU119">
            <v>1110.3</v>
          </cell>
          <cell r="MY119">
            <v>2250.62</v>
          </cell>
          <cell r="MZ119">
            <v>6520</v>
          </cell>
          <cell r="NA119">
            <v>3100</v>
          </cell>
          <cell r="NB119">
            <v>9866</v>
          </cell>
          <cell r="NC119">
            <v>1496.62</v>
          </cell>
          <cell r="ND119">
            <v>11700</v>
          </cell>
          <cell r="NE119">
            <v>6734</v>
          </cell>
        </row>
        <row r="120">
          <cell r="A120">
            <v>45717</v>
          </cell>
          <cell r="B120">
            <v>3</v>
          </cell>
          <cell r="C120">
            <v>2025</v>
          </cell>
          <cell r="D120">
            <v>120</v>
          </cell>
          <cell r="E120">
            <v>45717</v>
          </cell>
          <cell r="F120">
            <v>1068.652</v>
          </cell>
          <cell r="G120">
            <v>8352.2999999999993</v>
          </cell>
          <cell r="H120">
            <v>802533.3274651001</v>
          </cell>
          <cell r="I120">
            <v>113</v>
          </cell>
          <cell r="J120">
            <v>550</v>
          </cell>
          <cell r="K120">
            <v>4.4000000000000004</v>
          </cell>
          <cell r="L120">
            <v>37.9</v>
          </cell>
          <cell r="N120">
            <v>1.4624999999999999</v>
          </cell>
          <cell r="O120">
            <v>1.07</v>
          </cell>
          <cell r="P120">
            <v>1285.5215652499999</v>
          </cell>
          <cell r="Q120">
            <v>25000</v>
          </cell>
          <cell r="R120">
            <v>250000</v>
          </cell>
          <cell r="S120">
            <v>198.200808120885</v>
          </cell>
          <cell r="T120">
            <v>312.16897549436112</v>
          </cell>
          <cell r="U120">
            <v>196.33</v>
          </cell>
          <cell r="V120">
            <v>309.19</v>
          </cell>
          <cell r="W120">
            <v>225.83</v>
          </cell>
          <cell r="X120">
            <v>216.89</v>
          </cell>
          <cell r="Y120">
            <v>211807.69</v>
          </cell>
          <cell r="Z120">
            <v>333600</v>
          </cell>
          <cell r="AA120">
            <v>209808.44716000001</v>
          </cell>
          <cell r="AB120">
            <v>330416.51188000001</v>
          </cell>
          <cell r="AC120">
            <v>241333.68116000004</v>
          </cell>
          <cell r="AD120">
            <v>231779.93228000001</v>
          </cell>
          <cell r="AE120">
            <v>259791.04374666669</v>
          </cell>
          <cell r="AF120">
            <v>894141.12840000005</v>
          </cell>
          <cell r="AG120">
            <v>285000</v>
          </cell>
          <cell r="AH120">
            <v>1150000</v>
          </cell>
          <cell r="AI120">
            <v>432.10340000000002</v>
          </cell>
          <cell r="AJ120">
            <v>269.69580000000002</v>
          </cell>
          <cell r="AK120">
            <v>267.14030000000002</v>
          </cell>
          <cell r="AL120">
            <v>305.86369999999999</v>
          </cell>
          <cell r="AM120">
            <v>352.41916200000003</v>
          </cell>
          <cell r="AN120">
            <v>1607.5031818181817</v>
          </cell>
          <cell r="AO120">
            <v>1022.4747368421055</v>
          </cell>
          <cell r="AP120">
            <v>1314.9889593301436</v>
          </cell>
          <cell r="AQ120">
            <v>960.13263157894721</v>
          </cell>
          <cell r="AR120">
            <v>815.26263157894732</v>
          </cell>
          <cell r="AS120">
            <v>880.05473684210517</v>
          </cell>
          <cell r="AT120">
            <v>1170.4178947368423</v>
          </cell>
          <cell r="AU120">
            <v>955.24508771929823</v>
          </cell>
          <cell r="AV120">
            <v>446.57058823529422</v>
          </cell>
          <cell r="AW120">
            <v>290.13157894736844</v>
          </cell>
          <cell r="AX120">
            <v>431.07842105263165</v>
          </cell>
          <cell r="AY120">
            <v>1169.5689473684208</v>
          </cell>
          <cell r="AZ120">
            <v>658.34421052631581</v>
          </cell>
          <cell r="BA120">
            <v>302.32035714285712</v>
          </cell>
          <cell r="BB120">
            <v>640.32798402255639</v>
          </cell>
          <cell r="BC120">
            <v>38806</v>
          </cell>
          <cell r="BD120">
            <v>34926</v>
          </cell>
          <cell r="BE120">
            <v>27200</v>
          </cell>
          <cell r="BF120">
            <v>19000</v>
          </cell>
          <cell r="BG120">
            <v>29983</v>
          </cell>
          <cell r="BH120">
            <v>3807</v>
          </cell>
          <cell r="BI120">
            <v>712</v>
          </cell>
          <cell r="BJ120">
            <v>4519</v>
          </cell>
          <cell r="BK120">
            <v>2949.971</v>
          </cell>
          <cell r="BL120">
            <v>3485</v>
          </cell>
          <cell r="BM120">
            <v>3217.4854999999998</v>
          </cell>
          <cell r="BN120">
            <v>453.14</v>
          </cell>
          <cell r="BO120">
            <v>2390.14</v>
          </cell>
          <cell r="BP120">
            <v>1718.71</v>
          </cell>
          <cell r="BQ120">
            <v>2054.4250000000002</v>
          </cell>
          <cell r="BR120">
            <v>1645.51</v>
          </cell>
          <cell r="BS120">
            <v>6300</v>
          </cell>
          <cell r="BT120">
            <v>1346.50152</v>
          </cell>
          <cell r="BU120">
            <v>79639.504560000001</v>
          </cell>
          <cell r="BV120">
            <v>1829</v>
          </cell>
          <cell r="BW120">
            <v>3182</v>
          </cell>
          <cell r="BY120">
            <v>9752.0759990099123</v>
          </cell>
          <cell r="BZ120">
            <v>9576.2603554872785</v>
          </cell>
          <cell r="CA120">
            <v>9950.1695358055822</v>
          </cell>
          <cell r="CB120">
            <v>9611.6785078438224</v>
          </cell>
          <cell r="CC120">
            <v>9980.9540523734122</v>
          </cell>
          <cell r="CD120">
            <v>10004.542404025191</v>
          </cell>
          <cell r="CE120">
            <v>10453.066748616195</v>
          </cell>
          <cell r="CF120">
            <v>10218.254204126024</v>
          </cell>
          <cell r="CG120">
            <v>10036.444242131704</v>
          </cell>
          <cell r="CH120">
            <v>11229.883936212187</v>
          </cell>
          <cell r="CI120">
            <v>10343.401884939087</v>
          </cell>
          <cell r="CJ120">
            <v>9353.8261118268074</v>
          </cell>
          <cell r="CK120">
            <v>10096.195316609132</v>
          </cell>
          <cell r="CL120">
            <v>12595.050329807989</v>
          </cell>
          <cell r="CM120">
            <v>10124.159848241292</v>
          </cell>
          <cell r="CN120">
            <v>9431.4753872439178</v>
          </cell>
          <cell r="CO120">
            <v>10561.720220475581</v>
          </cell>
          <cell r="CP120">
            <v>11124.512624880866</v>
          </cell>
          <cell r="CQ120">
            <v>9907.5850895718759</v>
          </cell>
          <cell r="CR120">
            <v>9995.3333636794468</v>
          </cell>
          <cell r="CS120">
            <v>9951.4592266256623</v>
          </cell>
          <cell r="CT120">
            <v>9680.1130639937419</v>
          </cell>
          <cell r="CU120">
            <v>9863.8960435962017</v>
          </cell>
          <cell r="CV120">
            <v>9931.3786096663589</v>
          </cell>
          <cell r="CW120">
            <v>9931.3786096663589</v>
          </cell>
          <cell r="CX120">
            <v>9908.8844209763065</v>
          </cell>
          <cell r="CY120">
            <v>9957.273842636605</v>
          </cell>
          <cell r="CZ120">
            <v>12362.27170472832</v>
          </cell>
          <cell r="DA120">
            <v>10205.810374048006</v>
          </cell>
          <cell r="DB120">
            <v>10329.838028045871</v>
          </cell>
          <cell r="DC120">
            <v>10428.805901437217</v>
          </cell>
          <cell r="DD120">
            <v>10236.023159757069</v>
          </cell>
          <cell r="DE120">
            <v>9075.5734009907392</v>
          </cell>
          <cell r="DF120">
            <v>10521.215513199373</v>
          </cell>
          <cell r="DG120">
            <v>9798.3944570950553</v>
          </cell>
          <cell r="DH120">
            <v>9960.5846168951593</v>
          </cell>
          <cell r="DI120">
            <v>10214.343683543455</v>
          </cell>
          <cell r="DK120">
            <v>690000</v>
          </cell>
          <cell r="DL120" t="str">
            <v>2024-25</v>
          </cell>
          <cell r="DM120">
            <v>230000</v>
          </cell>
          <cell r="DN120" t="str">
            <v>2024-25</v>
          </cell>
          <cell r="DO120">
            <v>1700000</v>
          </cell>
          <cell r="DP120" t="str">
            <v>2024-25</v>
          </cell>
          <cell r="DQ120">
            <v>2000000</v>
          </cell>
          <cell r="DR120" t="str">
            <v>2024-25</v>
          </cell>
          <cell r="DS120">
            <v>6600000</v>
          </cell>
          <cell r="DT120" t="str">
            <v>2024-25</v>
          </cell>
          <cell r="DU120">
            <v>18000000</v>
          </cell>
          <cell r="DV120" t="str">
            <v>2024-25</v>
          </cell>
          <cell r="DW120">
            <v>1100000</v>
          </cell>
          <cell r="DX120" t="str">
            <v>2024-25</v>
          </cell>
          <cell r="DY120">
            <v>6500000</v>
          </cell>
          <cell r="DZ120" t="str">
            <v>2024-25</v>
          </cell>
          <cell r="EA120">
            <v>35900000</v>
          </cell>
          <cell r="EB120">
            <v>521230</v>
          </cell>
          <cell r="EC120" t="str">
            <v>2024-25</v>
          </cell>
          <cell r="ED120">
            <v>231352</v>
          </cell>
          <cell r="EE120">
            <v>2025</v>
          </cell>
          <cell r="EF120">
            <v>196220</v>
          </cell>
          <cell r="EG120">
            <v>2025</v>
          </cell>
          <cell r="EH120">
            <v>51624909</v>
          </cell>
          <cell r="EI120">
            <v>2025</v>
          </cell>
          <cell r="EJ120">
            <v>5987778</v>
          </cell>
          <cell r="EK120">
            <v>2025</v>
          </cell>
          <cell r="EL120">
            <v>12440906</v>
          </cell>
          <cell r="EM120">
            <v>2024</v>
          </cell>
          <cell r="EN120">
            <v>2908156</v>
          </cell>
          <cell r="EO120">
            <v>2025</v>
          </cell>
          <cell r="EP120">
            <v>9256</v>
          </cell>
          <cell r="EQ120">
            <v>4000000</v>
          </cell>
          <cell r="ER120">
            <v>80248</v>
          </cell>
          <cell r="ET120">
            <v>19357</v>
          </cell>
          <cell r="EU120">
            <v>18703</v>
          </cell>
          <cell r="EV120">
            <v>8927</v>
          </cell>
          <cell r="EW120">
            <v>17408</v>
          </cell>
          <cell r="EX120">
            <v>64395</v>
          </cell>
          <cell r="EY120">
            <v>20031</v>
          </cell>
          <cell r="EZ120">
            <v>38177</v>
          </cell>
          <cell r="FA120">
            <v>19900</v>
          </cell>
          <cell r="FB120">
            <v>18184</v>
          </cell>
          <cell r="FC120">
            <v>38084</v>
          </cell>
          <cell r="FD120">
            <v>60376</v>
          </cell>
          <cell r="FF120">
            <v>1300000</v>
          </cell>
          <cell r="FG120" t="str">
            <v>2023-24</v>
          </cell>
          <cell r="FH120">
            <v>1300000</v>
          </cell>
          <cell r="FI120" t="str">
            <v>2023-24</v>
          </cell>
          <cell r="FJ120">
            <v>4800000</v>
          </cell>
          <cell r="FK120" t="str">
            <v>2024-25</v>
          </cell>
          <cell r="FL120">
            <v>4500000</v>
          </cell>
          <cell r="FM120" t="str">
            <v>2024-25</v>
          </cell>
          <cell r="FN120">
            <v>46500000</v>
          </cell>
          <cell r="FO120" t="str">
            <v>2023-24</v>
          </cell>
          <cell r="FP120">
            <v>48000000</v>
          </cell>
          <cell r="FQ120" t="str">
            <v>2023-24</v>
          </cell>
          <cell r="FR120">
            <v>2500000</v>
          </cell>
          <cell r="FS120" t="str">
            <v>2023-24</v>
          </cell>
          <cell r="FT120">
            <v>18500000</v>
          </cell>
          <cell r="FU120" t="str">
            <v>2024-25</v>
          </cell>
          <cell r="FV120">
            <v>124800000</v>
          </cell>
          <cell r="FW120">
            <v>1895131</v>
          </cell>
          <cell r="FX120" t="str">
            <v>2024-25</v>
          </cell>
          <cell r="FY120">
            <v>31394</v>
          </cell>
          <cell r="FZ120">
            <v>915298</v>
          </cell>
          <cell r="GA120" t="str">
            <v>abr24 mar25</v>
          </cell>
          <cell r="GB120">
            <v>19908335</v>
          </cell>
          <cell r="GC120">
            <v>2025</v>
          </cell>
          <cell r="GD120">
            <v>1714000</v>
          </cell>
          <cell r="GE120">
            <v>424000</v>
          </cell>
          <cell r="GF120">
            <v>1165000</v>
          </cell>
          <cell r="GG120">
            <v>145000</v>
          </cell>
          <cell r="GH120">
            <v>1734000</v>
          </cell>
          <cell r="GI120">
            <v>1302556</v>
          </cell>
          <cell r="GJ120">
            <v>682423</v>
          </cell>
          <cell r="GK120">
            <v>1391495</v>
          </cell>
          <cell r="GL120">
            <v>305049</v>
          </cell>
          <cell r="GM120">
            <v>260419</v>
          </cell>
          <cell r="GN120">
            <v>2639386</v>
          </cell>
          <cell r="GO120">
            <v>201734</v>
          </cell>
          <cell r="GP120">
            <v>75000</v>
          </cell>
          <cell r="GQ120">
            <v>108022</v>
          </cell>
          <cell r="GR120">
            <v>34035</v>
          </cell>
          <cell r="GS120">
            <v>37275.660000000003</v>
          </cell>
          <cell r="GT120">
            <v>2111561</v>
          </cell>
          <cell r="GU120">
            <v>71821</v>
          </cell>
          <cell r="GV120">
            <v>30082</v>
          </cell>
          <cell r="GW120">
            <v>776794</v>
          </cell>
          <cell r="GX120">
            <v>36041.686000000002</v>
          </cell>
          <cell r="GY120" t="str">
            <v>2024-2025</v>
          </cell>
          <cell r="GZ120">
            <v>119643</v>
          </cell>
          <cell r="HA120">
            <v>234006</v>
          </cell>
          <cell r="HB120">
            <v>3152790</v>
          </cell>
          <cell r="HC120" t="str">
            <v>abr24 mar25</v>
          </cell>
          <cell r="HD120">
            <v>61322</v>
          </cell>
          <cell r="HE120">
            <v>790679</v>
          </cell>
          <cell r="HF120" t="str">
            <v>abr24 mar25</v>
          </cell>
          <cell r="HG120">
            <v>180000</v>
          </cell>
          <cell r="HH120">
            <v>2319000</v>
          </cell>
          <cell r="HI120" t="str">
            <v>abr24 mar25</v>
          </cell>
          <cell r="HJ120">
            <v>83485</v>
          </cell>
          <cell r="HK120">
            <v>63481.906299286806</v>
          </cell>
          <cell r="HL120" t="str">
            <v>abr24 mar25</v>
          </cell>
          <cell r="HM120">
            <v>2382481.906299287</v>
          </cell>
          <cell r="HN120">
            <v>0.15858435922274938</v>
          </cell>
          <cell r="HO120">
            <v>816000000</v>
          </cell>
          <cell r="HP120">
            <v>10768.137904900923</v>
          </cell>
          <cell r="HQ120" t="str">
            <v>abr24 mar25</v>
          </cell>
          <cell r="HU120">
            <v>700000</v>
          </cell>
          <cell r="HV120" t="str">
            <v>2024-25</v>
          </cell>
          <cell r="HW120">
            <v>1400000</v>
          </cell>
          <cell r="HX120" t="str">
            <v>2024-25</v>
          </cell>
          <cell r="HY120">
            <v>4730000</v>
          </cell>
          <cell r="HZ120" t="str">
            <v>2024-25</v>
          </cell>
          <cell r="IA120">
            <v>20800000</v>
          </cell>
          <cell r="IB120" t="str">
            <v>2024-25</v>
          </cell>
          <cell r="IC120">
            <v>47000000</v>
          </cell>
          <cell r="ID120" t="str">
            <v>2023-24</v>
          </cell>
          <cell r="IE120">
            <v>1250000</v>
          </cell>
          <cell r="IF120" t="str">
            <v>2023-24</v>
          </cell>
          <cell r="IG120">
            <v>7480000</v>
          </cell>
          <cell r="IH120" t="str">
            <v>2024-25</v>
          </cell>
          <cell r="II120">
            <v>82660000</v>
          </cell>
          <cell r="IJ120">
            <v>2.160083392153568</v>
          </cell>
          <cell r="IK120" t="str">
            <v>2023-24</v>
          </cell>
          <cell r="IL120">
            <v>45.61</v>
          </cell>
          <cell r="IM120">
            <v>49.86</v>
          </cell>
          <cell r="IN120">
            <v>191</v>
          </cell>
          <cell r="IO120">
            <v>17.850000000000001</v>
          </cell>
          <cell r="IP120">
            <v>5.7523267137771796</v>
          </cell>
          <cell r="IQ120">
            <v>16.079999999999998</v>
          </cell>
          <cell r="IR120">
            <v>6.09</v>
          </cell>
          <cell r="IS120">
            <v>4.03</v>
          </cell>
          <cell r="IT120">
            <v>11.98</v>
          </cell>
          <cell r="IU120">
            <v>1.38</v>
          </cell>
          <cell r="IV120">
            <v>17.39</v>
          </cell>
          <cell r="IY120">
            <v>1.88</v>
          </cell>
          <cell r="IZ120">
            <v>0.3</v>
          </cell>
          <cell r="JA120">
            <v>2813</v>
          </cell>
          <cell r="JF120">
            <v>6.7908860800000017</v>
          </cell>
          <cell r="JG120">
            <v>30.652184479999995</v>
          </cell>
          <cell r="JH120">
            <v>110.20249394</v>
          </cell>
          <cell r="JI120">
            <v>163.60897796</v>
          </cell>
          <cell r="JJ120">
            <v>686.64043340000023</v>
          </cell>
          <cell r="JK120">
            <v>104.16408064999997</v>
          </cell>
          <cell r="JL120">
            <v>1397.7491891700001</v>
          </cell>
          <cell r="JM120">
            <v>10.210000000000001</v>
          </cell>
          <cell r="JN120">
            <v>351.10835200000002</v>
          </cell>
          <cell r="JO120">
            <v>26.866894470000005</v>
          </cell>
          <cell r="JP120">
            <v>0</v>
          </cell>
          <cell r="JQ120">
            <v>3.0016233999999997</v>
          </cell>
          <cell r="JR120">
            <v>1.5393351500000003</v>
          </cell>
          <cell r="JS120">
            <v>0</v>
          </cell>
          <cell r="JT120">
            <v>0.25629176000000004</v>
          </cell>
          <cell r="JU120">
            <v>74.722979570000021</v>
          </cell>
          <cell r="JV120">
            <v>7.6647612399999998</v>
          </cell>
          <cell r="JW120">
            <v>51.50918861000001</v>
          </cell>
          <cell r="JX120">
            <v>4.9392217400000007</v>
          </cell>
          <cell r="JY120">
            <v>0</v>
          </cell>
          <cell r="JZ120">
            <v>3.4904505000000001</v>
          </cell>
          <cell r="KA120">
            <v>0.1075</v>
          </cell>
          <cell r="KB120">
            <v>9.9284284400000011</v>
          </cell>
          <cell r="KC120">
            <v>5.5120895000000001</v>
          </cell>
          <cell r="KD120">
            <v>7.8719914600000003</v>
          </cell>
          <cell r="KE120">
            <v>18.014525360000007</v>
          </cell>
          <cell r="KF120">
            <v>5.9149876199999998</v>
          </cell>
          <cell r="KG120">
            <v>275.41226476999998</v>
          </cell>
          <cell r="KH120">
            <v>90.118424640000015</v>
          </cell>
          <cell r="KI120">
            <v>18.662799830000001</v>
          </cell>
          <cell r="KJ120">
            <v>1.0764735399999998</v>
          </cell>
          <cell r="KK120">
            <v>7.9836210200000002</v>
          </cell>
          <cell r="KL120">
            <v>0.15613090000000002</v>
          </cell>
          <cell r="KM120">
            <v>0.68776546000000005</v>
          </cell>
          <cell r="KN120">
            <v>0.41219696999999994</v>
          </cell>
          <cell r="KO120">
            <v>0.30342928999999996</v>
          </cell>
          <cell r="KP120">
            <v>3.8992409999999998E-2</v>
          </cell>
          <cell r="KQ120">
            <v>237.84582385999997</v>
          </cell>
          <cell r="KR120">
            <v>0</v>
          </cell>
          <cell r="KS120">
            <v>0.15517225000000001</v>
          </cell>
          <cell r="KT120">
            <v>1.19924761</v>
          </cell>
          <cell r="KU120">
            <v>0.10344400999999999</v>
          </cell>
          <cell r="KV120">
            <v>0</v>
          </cell>
          <cell r="KW120">
            <v>0.52205221000000002</v>
          </cell>
          <cell r="KX120">
            <v>0</v>
          </cell>
          <cell r="KY120">
            <v>0</v>
          </cell>
          <cell r="KZ120">
            <v>3.23844815</v>
          </cell>
          <cell r="LA120">
            <v>0.1682236</v>
          </cell>
          <cell r="LB120">
            <v>3.2848000000000002E-2</v>
          </cell>
          <cell r="LC120">
            <v>0.30918252999999996</v>
          </cell>
          <cell r="LD120">
            <v>0</v>
          </cell>
          <cell r="LE120">
            <v>1.54161901</v>
          </cell>
          <cell r="LF120">
            <v>0.25309567999999999</v>
          </cell>
          <cell r="LG120">
            <v>12.082023640000001</v>
          </cell>
          <cell r="LH120">
            <v>5.7823087099999997</v>
          </cell>
          <cell r="LI120">
            <v>2.4041640299999996</v>
          </cell>
          <cell r="LJ120">
            <v>0</v>
          </cell>
          <cell r="LK120">
            <v>1.41927303</v>
          </cell>
          <cell r="LL120">
            <v>8.7569028099999997</v>
          </cell>
          <cell r="LM120">
            <v>2.6840408</v>
          </cell>
          <cell r="LN120">
            <v>0.15047392000000001</v>
          </cell>
          <cell r="LO120">
            <v>14.031594299999998</v>
          </cell>
          <cell r="LQ120">
            <v>2719.5194464700007</v>
          </cell>
          <cell r="LR120">
            <v>4.7972503099999999</v>
          </cell>
          <cell r="LS120">
            <v>59.173949850000007</v>
          </cell>
          <cell r="LT120">
            <v>3.5979505000000001</v>
          </cell>
          <cell r="LU120">
            <v>239.40438782999996</v>
          </cell>
          <cell r="LV120">
            <v>0.52205221000000002</v>
          </cell>
          <cell r="LW120">
            <v>0.20107160000000002</v>
          </cell>
          <cell r="LX120">
            <v>1.7947146899999999</v>
          </cell>
          <cell r="LZ120">
            <v>1495.63</v>
          </cell>
          <cell r="MA120">
            <v>1920</v>
          </cell>
          <cell r="MH120">
            <v>3333.96</v>
          </cell>
          <cell r="MI120">
            <v>824.81</v>
          </cell>
          <cell r="MJ120">
            <v>1013.58</v>
          </cell>
          <cell r="ML120">
            <v>794.92</v>
          </cell>
          <cell r="MM120">
            <v>2608.11</v>
          </cell>
          <cell r="MO120">
            <v>1032.24</v>
          </cell>
          <cell r="MP120">
            <v>2158.11</v>
          </cell>
          <cell r="MQ120">
            <v>2358.9</v>
          </cell>
          <cell r="MU120">
            <v>1240.8499999999999</v>
          </cell>
          <cell r="MY120">
            <v>2225.8200000000002</v>
          </cell>
          <cell r="MZ120">
            <v>6590</v>
          </cell>
          <cell r="NA120">
            <v>3234</v>
          </cell>
          <cell r="NB120">
            <v>10622</v>
          </cell>
          <cell r="NC120">
            <v>1486.19</v>
          </cell>
          <cell r="ND120">
            <v>11790</v>
          </cell>
          <cell r="NE120">
            <v>6980</v>
          </cell>
        </row>
        <row r="121">
          <cell r="A121">
            <v>45748</v>
          </cell>
          <cell r="B121">
            <v>4</v>
          </cell>
          <cell r="C121">
            <v>2025</v>
          </cell>
          <cell r="D121">
            <v>121</v>
          </cell>
          <cell r="E121">
            <v>45748</v>
          </cell>
          <cell r="F121">
            <v>1119.039</v>
          </cell>
          <cell r="G121">
            <v>8585.6</v>
          </cell>
          <cell r="H121">
            <v>820558.66</v>
          </cell>
          <cell r="I121">
            <v>113</v>
          </cell>
          <cell r="J121">
            <v>530</v>
          </cell>
          <cell r="K121">
            <v>4.0999999999999996</v>
          </cell>
          <cell r="L121">
            <v>37.6</v>
          </cell>
          <cell r="N121">
            <v>1.39</v>
          </cell>
          <cell r="O121">
            <v>1.02</v>
          </cell>
          <cell r="P121">
            <v>1281.01989525</v>
          </cell>
          <cell r="Q121">
            <v>23000</v>
          </cell>
          <cell r="R121">
            <v>230000</v>
          </cell>
          <cell r="S121">
            <v>197.23556551648335</v>
          </cell>
          <cell r="T121">
            <v>299.06770005334931</v>
          </cell>
          <cell r="U121">
            <v>202.55</v>
          </cell>
          <cell r="V121">
            <v>284.33</v>
          </cell>
          <cell r="W121">
            <v>226.05199999999999</v>
          </cell>
          <cell r="X121">
            <v>215.56</v>
          </cell>
          <cell r="Y121">
            <v>220714.29</v>
          </cell>
          <cell r="Z121">
            <v>334668.42</v>
          </cell>
          <cell r="AA121">
            <v>226661.34945000001</v>
          </cell>
          <cell r="AB121">
            <v>318176.35887</v>
          </cell>
          <cell r="AC121">
            <v>252961.004028</v>
          </cell>
          <cell r="AD121">
            <v>241220.04684</v>
          </cell>
          <cell r="AE121">
            <v>265733.57819799997</v>
          </cell>
          <cell r="AF121">
            <v>833482.62797999999</v>
          </cell>
          <cell r="AG121">
            <v>290000</v>
          </cell>
          <cell r="AH121">
            <v>1150000</v>
          </cell>
          <cell r="AI121">
            <v>418.84910000000002</v>
          </cell>
          <cell r="AJ121">
            <v>294.25880000000001</v>
          </cell>
          <cell r="AK121">
            <v>255.65299999999999</v>
          </cell>
          <cell r="AL121">
            <v>259.226</v>
          </cell>
          <cell r="AM121">
            <v>333.12495800000005</v>
          </cell>
          <cell r="AN121">
            <v>1510.2639024390246</v>
          </cell>
          <cell r="AO121">
            <v>1068.6236842105263</v>
          </cell>
          <cell r="AP121">
            <v>1289.4437933247755</v>
          </cell>
          <cell r="AQ121">
            <v>606.57578947368427</v>
          </cell>
          <cell r="AR121">
            <v>628.11105263157879</v>
          </cell>
          <cell r="AS121">
            <v>785.12368421052622</v>
          </cell>
          <cell r="AT121">
            <v>934.69894736842105</v>
          </cell>
          <cell r="AU121">
            <v>782.64456140350876</v>
          </cell>
          <cell r="AV121">
            <v>326.37687500000004</v>
          </cell>
          <cell r="AW121">
            <v>294.07894736842104</v>
          </cell>
          <cell r="AX121">
            <v>308.37052631578945</v>
          </cell>
          <cell r="AY121">
            <v>1764.2889473684208</v>
          </cell>
          <cell r="AZ121">
            <v>633.7421052631579</v>
          </cell>
          <cell r="BA121">
            <v>295.26368421052632</v>
          </cell>
          <cell r="BB121">
            <v>750.41631578947363</v>
          </cell>
          <cell r="BC121">
            <v>38806</v>
          </cell>
          <cell r="BD121">
            <v>34926</v>
          </cell>
          <cell r="BE121">
            <v>27200</v>
          </cell>
          <cell r="BF121">
            <v>19000</v>
          </cell>
          <cell r="BG121">
            <v>29983</v>
          </cell>
          <cell r="BH121">
            <v>3807</v>
          </cell>
          <cell r="BI121">
            <v>712</v>
          </cell>
          <cell r="BJ121">
            <v>4519</v>
          </cell>
          <cell r="BK121">
            <v>2944</v>
          </cell>
          <cell r="BL121">
            <v>3611.08</v>
          </cell>
          <cell r="BM121">
            <v>3277.54</v>
          </cell>
          <cell r="BN121">
            <v>461.01</v>
          </cell>
          <cell r="BO121">
            <v>2557.7399999999998</v>
          </cell>
          <cell r="BP121">
            <v>2180.15</v>
          </cell>
          <cell r="BQ121">
            <v>2368.9449999999997</v>
          </cell>
          <cell r="BR121">
            <v>1641.2139999999999</v>
          </cell>
          <cell r="BS121">
            <v>6800</v>
          </cell>
          <cell r="BT121">
            <v>1454.7507000000001</v>
          </cell>
          <cell r="BU121">
            <v>85964.252099999998</v>
          </cell>
          <cell r="BV121">
            <v>1815</v>
          </cell>
          <cell r="BW121">
            <v>3052.6</v>
          </cell>
          <cell r="BY121">
            <v>9842.602212857244</v>
          </cell>
          <cell r="BZ121">
            <v>9804.1719506496211</v>
          </cell>
          <cell r="CA121">
            <v>10099.454818796359</v>
          </cell>
          <cell r="CB121">
            <v>9647.1760793239391</v>
          </cell>
          <cell r="CC121">
            <v>10326.55989758704</v>
          </cell>
          <cell r="CD121">
            <v>9891.1793188638858</v>
          </cell>
          <cell r="CE121">
            <v>10758.022937329195</v>
          </cell>
          <cell r="CF121">
            <v>10366.857838586093</v>
          </cell>
          <cell r="CG121">
            <v>10181.541815081086</v>
          </cell>
          <cell r="CH121">
            <v>10905.580906715928</v>
          </cell>
          <cell r="CI121">
            <v>10136.256582629303</v>
          </cell>
          <cell r="CJ121">
            <v>9588.6677916827284</v>
          </cell>
          <cell r="CK121">
            <v>9732.1296141489202</v>
          </cell>
          <cell r="CL121">
            <v>15177.941639785549</v>
          </cell>
          <cell r="CM121">
            <v>10230.452764969799</v>
          </cell>
          <cell r="CN121">
            <v>9625.8441739708978</v>
          </cell>
          <cell r="CO121">
            <v>11191.59204821879</v>
          </cell>
          <cell r="CP121">
            <v>11319.13733979933</v>
          </cell>
          <cell r="CQ121">
            <v>10044.563231456816</v>
          </cell>
          <cell r="CR121">
            <v>10290.472461372889</v>
          </cell>
          <cell r="CS121">
            <v>10167.517846414852</v>
          </cell>
          <cell r="CT121">
            <v>9477.7591727033905</v>
          </cell>
          <cell r="CU121">
            <v>9852.4025831740655</v>
          </cell>
          <cell r="CV121">
            <v>10047.787223117788</v>
          </cell>
          <cell r="CW121">
            <v>10047.787223117788</v>
          </cell>
          <cell r="CX121">
            <v>9982.6590098032157</v>
          </cell>
          <cell r="CY121">
            <v>10205.02100880455</v>
          </cell>
          <cell r="CZ121">
            <v>12718.791042803339</v>
          </cell>
          <cell r="DA121">
            <v>10458.048796636511</v>
          </cell>
          <cell r="DB121">
            <v>10545.390869428205</v>
          </cell>
          <cell r="DC121">
            <v>11091.164885000075</v>
          </cell>
          <cell r="DD121">
            <v>10880.150052570489</v>
          </cell>
          <cell r="DE121">
            <v>9682.5931974410105</v>
          </cell>
          <cell r="DF121">
            <v>11419.998860949692</v>
          </cell>
          <cell r="DG121">
            <v>10551.296029195351</v>
          </cell>
          <cell r="DH121">
            <v>10194.403802892444</v>
          </cell>
          <cell r="DI121">
            <v>10546.015012963209</v>
          </cell>
          <cell r="DK121">
            <v>690000</v>
          </cell>
          <cell r="DL121" t="str">
            <v>2024-25</v>
          </cell>
          <cell r="DM121">
            <v>230000</v>
          </cell>
          <cell r="DN121" t="str">
            <v>2024-25</v>
          </cell>
          <cell r="DO121">
            <v>1700000</v>
          </cell>
          <cell r="DP121" t="str">
            <v>2024-25</v>
          </cell>
          <cell r="DQ121">
            <v>2200000</v>
          </cell>
          <cell r="DR121" t="str">
            <v>2024-25</v>
          </cell>
          <cell r="DS121">
            <v>6600000</v>
          </cell>
          <cell r="DT121" t="str">
            <v>2024-25</v>
          </cell>
          <cell r="DU121">
            <v>17900000</v>
          </cell>
          <cell r="DV121" t="str">
            <v>2024-25</v>
          </cell>
          <cell r="DW121">
            <v>1000000</v>
          </cell>
          <cell r="DX121" t="str">
            <v>2024-25</v>
          </cell>
          <cell r="DY121">
            <v>6500000</v>
          </cell>
          <cell r="DZ121" t="str">
            <v>2024-25</v>
          </cell>
          <cell r="EA121">
            <v>35900000</v>
          </cell>
          <cell r="EB121">
            <v>521230</v>
          </cell>
          <cell r="EC121" t="str">
            <v>2024-25</v>
          </cell>
          <cell r="ED121">
            <v>231352</v>
          </cell>
          <cell r="EE121">
            <v>2025</v>
          </cell>
          <cell r="EF121">
            <v>196220</v>
          </cell>
          <cell r="EG121">
            <v>2025</v>
          </cell>
          <cell r="EH121">
            <v>51624909</v>
          </cell>
          <cell r="EI121">
            <v>2025</v>
          </cell>
          <cell r="EJ121">
            <v>5987778</v>
          </cell>
          <cell r="EK121">
            <v>2025</v>
          </cell>
          <cell r="EL121">
            <v>12440906</v>
          </cell>
          <cell r="EM121">
            <v>2024</v>
          </cell>
          <cell r="EN121">
            <v>3011480</v>
          </cell>
          <cell r="EO121">
            <v>2025</v>
          </cell>
          <cell r="EP121">
            <v>9347</v>
          </cell>
          <cell r="EQ121">
            <v>4000000</v>
          </cell>
          <cell r="ER121">
            <v>80248</v>
          </cell>
          <cell r="ET121">
            <v>19357</v>
          </cell>
          <cell r="EU121">
            <v>18703</v>
          </cell>
          <cell r="EV121">
            <v>8927</v>
          </cell>
          <cell r="EW121">
            <v>17408</v>
          </cell>
          <cell r="EX121">
            <v>64395</v>
          </cell>
          <cell r="EY121">
            <v>20031</v>
          </cell>
          <cell r="EZ121">
            <v>38177</v>
          </cell>
          <cell r="FA121">
            <v>19900</v>
          </cell>
          <cell r="FB121">
            <v>18184</v>
          </cell>
          <cell r="FC121">
            <v>38084</v>
          </cell>
          <cell r="FD121">
            <v>60376</v>
          </cell>
          <cell r="FF121">
            <v>1100000</v>
          </cell>
          <cell r="FG121" t="str">
            <v>2024-25</v>
          </cell>
          <cell r="FH121">
            <v>1600000</v>
          </cell>
          <cell r="FI121" t="str">
            <v>2024-25</v>
          </cell>
          <cell r="FJ121">
            <v>4800000</v>
          </cell>
          <cell r="FK121" t="str">
            <v>2024-25</v>
          </cell>
          <cell r="FL121">
            <v>4900000</v>
          </cell>
          <cell r="FM121" t="str">
            <v>2024-25</v>
          </cell>
          <cell r="FN121">
            <v>49000000</v>
          </cell>
          <cell r="FO121" t="str">
            <v>2024-25</v>
          </cell>
          <cell r="FP121">
            <v>49000000</v>
          </cell>
          <cell r="FQ121" t="str">
            <v>2024-25</v>
          </cell>
          <cell r="FR121">
            <v>2900000</v>
          </cell>
          <cell r="FS121" t="str">
            <v>2024-25</v>
          </cell>
          <cell r="FT121">
            <v>18500000</v>
          </cell>
          <cell r="FU121" t="str">
            <v>2024-25</v>
          </cell>
          <cell r="FV121">
            <v>129100000</v>
          </cell>
          <cell r="FW121">
            <v>1895131</v>
          </cell>
          <cell r="FX121" t="str">
            <v>2024-25</v>
          </cell>
          <cell r="FY121">
            <v>109656</v>
          </cell>
          <cell r="FZ121">
            <v>892374</v>
          </cell>
          <cell r="GA121" t="str">
            <v>may24 abr25</v>
          </cell>
          <cell r="GB121">
            <v>19908335</v>
          </cell>
          <cell r="GC121">
            <v>2025</v>
          </cell>
          <cell r="GD121">
            <v>1714000</v>
          </cell>
          <cell r="GE121">
            <v>424000</v>
          </cell>
          <cell r="GF121">
            <v>1165000</v>
          </cell>
          <cell r="GG121">
            <v>145000</v>
          </cell>
          <cell r="GH121">
            <v>1734000</v>
          </cell>
          <cell r="GI121">
            <v>1302556</v>
          </cell>
          <cell r="GJ121">
            <v>682423</v>
          </cell>
          <cell r="GK121">
            <v>1391495</v>
          </cell>
          <cell r="GL121">
            <v>305049</v>
          </cell>
          <cell r="GM121">
            <v>260419</v>
          </cell>
          <cell r="GN121">
            <v>2639386</v>
          </cell>
          <cell r="GO121">
            <v>201734</v>
          </cell>
          <cell r="GP121">
            <v>75000</v>
          </cell>
          <cell r="GQ121">
            <v>78770</v>
          </cell>
          <cell r="GR121">
            <v>34035</v>
          </cell>
          <cell r="GS121">
            <v>36398.1</v>
          </cell>
          <cell r="GT121">
            <v>2111561</v>
          </cell>
          <cell r="GU121">
            <v>61124</v>
          </cell>
          <cell r="GV121">
            <v>29240</v>
          </cell>
          <cell r="GW121">
            <v>774601</v>
          </cell>
          <cell r="GX121">
            <v>36041.686000000002</v>
          </cell>
          <cell r="GY121" t="str">
            <v>2024-2025</v>
          </cell>
          <cell r="GZ121">
            <v>119643</v>
          </cell>
          <cell r="HA121">
            <v>257149</v>
          </cell>
          <cell r="HB121">
            <v>3167740</v>
          </cell>
          <cell r="HC121" t="str">
            <v>may24 abr25</v>
          </cell>
          <cell r="HD121">
            <v>67767</v>
          </cell>
          <cell r="HE121">
            <v>790004</v>
          </cell>
          <cell r="HF121" t="str">
            <v>may24 abr25</v>
          </cell>
          <cell r="HG121">
            <v>192000</v>
          </cell>
          <cell r="HH121">
            <v>2322000</v>
          </cell>
          <cell r="HI121" t="str">
            <v>may24 abr25</v>
          </cell>
          <cell r="HJ121">
            <v>81835</v>
          </cell>
          <cell r="HK121">
            <v>62824.306299286793</v>
          </cell>
          <cell r="HL121" t="str">
            <v>may24 abr25</v>
          </cell>
          <cell r="HM121">
            <v>2384824.3062992869</v>
          </cell>
          <cell r="HN121">
            <v>0.15272489775910358</v>
          </cell>
          <cell r="HO121">
            <v>823045577</v>
          </cell>
          <cell r="HP121">
            <v>10877.183481900924</v>
          </cell>
          <cell r="HQ121" t="str">
            <v>may24 abr25</v>
          </cell>
          <cell r="HU121">
            <v>700000</v>
          </cell>
          <cell r="HV121" t="str">
            <v>2024-25</v>
          </cell>
          <cell r="HW121">
            <v>1400000</v>
          </cell>
          <cell r="HX121" t="str">
            <v>2024-25</v>
          </cell>
          <cell r="HY121">
            <v>4730000</v>
          </cell>
          <cell r="HZ121" t="str">
            <v>2024-25</v>
          </cell>
          <cell r="IA121">
            <v>20800000</v>
          </cell>
          <cell r="IB121" t="str">
            <v>2024-25</v>
          </cell>
          <cell r="IC121">
            <v>48000000</v>
          </cell>
          <cell r="ID121" t="str">
            <v>2024-25</v>
          </cell>
          <cell r="IE121">
            <v>850000.00000000012</v>
          </cell>
          <cell r="IF121" t="str">
            <v>2024-25</v>
          </cell>
          <cell r="IG121">
            <v>7480000</v>
          </cell>
          <cell r="IH121" t="str">
            <v>2024-25</v>
          </cell>
          <cell r="II121">
            <v>83260000</v>
          </cell>
          <cell r="IJ121">
            <v>2.3929067517868869</v>
          </cell>
          <cell r="IK121" t="str">
            <v>2024-25</v>
          </cell>
          <cell r="IL121">
            <v>45.91</v>
          </cell>
          <cell r="IM121">
            <v>49.86</v>
          </cell>
          <cell r="IN121">
            <v>194.1</v>
          </cell>
          <cell r="IO121">
            <v>17.989999999999998</v>
          </cell>
          <cell r="IP121">
            <v>5.7523267137771796</v>
          </cell>
          <cell r="IQ121">
            <v>16.079999999999998</v>
          </cell>
          <cell r="IR121">
            <v>6.09</v>
          </cell>
          <cell r="IS121">
            <v>4.03</v>
          </cell>
          <cell r="IT121">
            <v>11.98</v>
          </cell>
          <cell r="IU121">
            <v>1.38</v>
          </cell>
          <cell r="IV121">
            <v>17.39</v>
          </cell>
          <cell r="IY121">
            <v>1.88</v>
          </cell>
          <cell r="IZ121">
            <v>0.3</v>
          </cell>
          <cell r="JA121">
            <v>2813</v>
          </cell>
          <cell r="JF121">
            <v>7.3093251500000047</v>
          </cell>
          <cell r="JG121">
            <v>35.910188569999995</v>
          </cell>
          <cell r="JH121">
            <v>195.49146324</v>
          </cell>
          <cell r="JI121">
            <v>216.20265409000004</v>
          </cell>
          <cell r="JJ121">
            <v>870.00196454000002</v>
          </cell>
          <cell r="JK121">
            <v>94.262180470000018</v>
          </cell>
          <cell r="JL121">
            <v>2137.9029577099996</v>
          </cell>
          <cell r="JM121">
            <v>10.01</v>
          </cell>
          <cell r="JN121">
            <v>269.94272436</v>
          </cell>
          <cell r="JO121">
            <v>33.403797109999999</v>
          </cell>
          <cell r="JP121">
            <v>0</v>
          </cell>
          <cell r="JQ121">
            <v>4.3878572499999997</v>
          </cell>
          <cell r="JR121">
            <v>1.6768672000000002</v>
          </cell>
          <cell r="JS121">
            <v>0</v>
          </cell>
          <cell r="JT121">
            <v>0.59424897999999993</v>
          </cell>
          <cell r="JU121">
            <v>77.155977009999987</v>
          </cell>
          <cell r="JV121">
            <v>12.388887200000001</v>
          </cell>
          <cell r="JW121">
            <v>38.762098629999997</v>
          </cell>
          <cell r="JX121">
            <v>19.628316519999998</v>
          </cell>
          <cell r="JY121">
            <v>0</v>
          </cell>
          <cell r="JZ121">
            <v>5.5883096999999999</v>
          </cell>
          <cell r="KA121">
            <v>0.09</v>
          </cell>
          <cell r="KB121">
            <v>13.968637820000001</v>
          </cell>
          <cell r="KC121">
            <v>27.891120319999999</v>
          </cell>
          <cell r="KD121">
            <v>7.4906505000000001</v>
          </cell>
          <cell r="KE121">
            <v>23.185079629999997</v>
          </cell>
          <cell r="KF121">
            <v>9.0051498100000007</v>
          </cell>
          <cell r="KG121">
            <v>350.95842742999997</v>
          </cell>
          <cell r="KH121">
            <v>121.87302321000003</v>
          </cell>
          <cell r="KI121">
            <v>23.746863359999999</v>
          </cell>
          <cell r="KJ121">
            <v>1.76811707</v>
          </cell>
          <cell r="KK121">
            <v>10.467826709999999</v>
          </cell>
          <cell r="KL121">
            <v>0.34624290000000002</v>
          </cell>
          <cell r="KM121">
            <v>0.59761942999999995</v>
          </cell>
          <cell r="KN121">
            <v>1.6502030300000001</v>
          </cell>
          <cell r="KO121">
            <v>2.1689311999999998</v>
          </cell>
          <cell r="KP121">
            <v>1.0560452</v>
          </cell>
          <cell r="KQ121">
            <v>333.77584047999994</v>
          </cell>
          <cell r="KR121">
            <v>0</v>
          </cell>
          <cell r="KS121">
            <v>0.13839495999999998</v>
          </cell>
          <cell r="KT121">
            <v>0.62052411000000007</v>
          </cell>
          <cell r="KU121">
            <v>0.28762799999999999</v>
          </cell>
          <cell r="KV121">
            <v>8.7799999999999996E-3</v>
          </cell>
          <cell r="KW121">
            <v>0.72261702999999999</v>
          </cell>
          <cell r="KX121">
            <v>0</v>
          </cell>
          <cell r="KY121">
            <v>0</v>
          </cell>
          <cell r="KZ121">
            <v>3.476448889999999</v>
          </cell>
          <cell r="LA121">
            <v>0.29993478000000001</v>
          </cell>
          <cell r="LB121">
            <v>0.133299</v>
          </cell>
          <cell r="LC121">
            <v>0.12302177</v>
          </cell>
          <cell r="LD121">
            <v>0</v>
          </cell>
          <cell r="LE121">
            <v>0.50952913999999994</v>
          </cell>
          <cell r="LF121">
            <v>0.21778984000000001</v>
          </cell>
          <cell r="LG121">
            <v>13.20675994</v>
          </cell>
          <cell r="LH121">
            <v>5.1774083700000002</v>
          </cell>
          <cell r="LI121">
            <v>2.2730154199999997</v>
          </cell>
          <cell r="LJ121">
            <v>0</v>
          </cell>
          <cell r="LK121">
            <v>3.52939004</v>
          </cell>
          <cell r="LL121">
            <v>11.009236750000001</v>
          </cell>
          <cell r="LM121">
            <v>1.8496573299999999</v>
          </cell>
          <cell r="LN121">
            <v>0.19639201000000001</v>
          </cell>
          <cell r="LO121">
            <v>18.318769970000002</v>
          </cell>
          <cell r="LQ121">
            <v>3699.5517639399995</v>
          </cell>
          <cell r="LR121">
            <v>6.6589734299999996</v>
          </cell>
          <cell r="LS121">
            <v>51.150985829999996</v>
          </cell>
          <cell r="LT121">
            <v>5.6783096999999998</v>
          </cell>
          <cell r="LU121">
            <v>338.33098909999995</v>
          </cell>
          <cell r="LV121">
            <v>0.73139703</v>
          </cell>
          <cell r="LW121">
            <v>0.43323378000000001</v>
          </cell>
          <cell r="LX121">
            <v>0.72731897999999995</v>
          </cell>
          <cell r="LZ121">
            <v>1513</v>
          </cell>
          <cell r="MA121">
            <v>1851.68</v>
          </cell>
          <cell r="MH121">
            <v>3415.26</v>
          </cell>
          <cell r="MI121">
            <v>840.48</v>
          </cell>
          <cell r="MJ121">
            <v>897.46</v>
          </cell>
          <cell r="ML121">
            <v>753.46</v>
          </cell>
          <cell r="MM121">
            <v>3029.36</v>
          </cell>
          <cell r="MO121">
            <v>949.95</v>
          </cell>
          <cell r="MP121">
            <v>2220.1</v>
          </cell>
          <cell r="MQ121">
            <v>2414.64</v>
          </cell>
          <cell r="MU121">
            <v>1256.97</v>
          </cell>
          <cell r="MY121">
            <v>2164.08</v>
          </cell>
          <cell r="MZ121">
            <v>7066</v>
          </cell>
          <cell r="NA121">
            <v>3580</v>
          </cell>
          <cell r="NB121">
            <v>10980</v>
          </cell>
          <cell r="NC121">
            <v>1536.03</v>
          </cell>
          <cell r="ND121">
            <v>11790</v>
          </cell>
          <cell r="NE121">
            <v>7196</v>
          </cell>
        </row>
        <row r="122">
          <cell r="A122">
            <v>45778</v>
          </cell>
          <cell r="B122">
            <v>5</v>
          </cell>
          <cell r="C122">
            <v>2025</v>
          </cell>
          <cell r="D122">
            <v>122</v>
          </cell>
          <cell r="E122">
            <v>45778</v>
          </cell>
          <cell r="F122">
            <v>1139.25</v>
          </cell>
          <cell r="G122">
            <v>8714.4871000000003</v>
          </cell>
          <cell r="H122">
            <v>828764.25</v>
          </cell>
          <cell r="I122">
            <v>100</v>
          </cell>
          <cell r="J122">
            <v>560</v>
          </cell>
          <cell r="K122">
            <v>4</v>
          </cell>
          <cell r="L122">
            <v>36.299999999999997</v>
          </cell>
          <cell r="N122">
            <v>1.45</v>
          </cell>
          <cell r="O122">
            <v>1.0449999999999999</v>
          </cell>
          <cell r="P122">
            <v>1350.15365625</v>
          </cell>
          <cell r="Q122">
            <v>23000</v>
          </cell>
          <cell r="R122">
            <v>230000</v>
          </cell>
          <cell r="S122">
            <v>180.83</v>
          </cell>
          <cell r="T122">
            <v>324.77507131885011</v>
          </cell>
          <cell r="U122">
            <v>180.25</v>
          </cell>
          <cell r="V122">
            <v>287.52999999999997</v>
          </cell>
          <cell r="W122">
            <v>215</v>
          </cell>
          <cell r="X122">
            <v>201.85</v>
          </cell>
          <cell r="Y122">
            <v>206010.57750000001</v>
          </cell>
          <cell r="Z122">
            <v>370000</v>
          </cell>
          <cell r="AA122">
            <v>205349.8125</v>
          </cell>
          <cell r="AB122">
            <v>327568.55249999999</v>
          </cell>
          <cell r="AC122">
            <v>244938.75</v>
          </cell>
          <cell r="AD122">
            <v>229957.61249999999</v>
          </cell>
          <cell r="AE122">
            <v>263970.88416666666</v>
          </cell>
          <cell r="AF122">
            <v>693600</v>
          </cell>
          <cell r="AG122">
            <v>300000</v>
          </cell>
          <cell r="AH122">
            <v>1050000</v>
          </cell>
          <cell r="AI122">
            <v>430.27</v>
          </cell>
          <cell r="AJ122">
            <v>301.42</v>
          </cell>
          <cell r="AK122">
            <v>274.06</v>
          </cell>
          <cell r="AL122">
            <v>298.45999999999998</v>
          </cell>
          <cell r="AM122">
            <v>352.86700000000002</v>
          </cell>
          <cell r="AN122">
            <v>1460.1606217616577</v>
          </cell>
          <cell r="AO122">
            <v>1080.3989999999999</v>
          </cell>
          <cell r="AP122">
            <v>1270.2798108808288</v>
          </cell>
          <cell r="AQ122">
            <v>555.01300000000003</v>
          </cell>
          <cell r="AR122">
            <v>622.9575000000001</v>
          </cell>
          <cell r="AS122">
            <v>687.52750000000003</v>
          </cell>
          <cell r="AT122">
            <v>776.10850000000005</v>
          </cell>
          <cell r="AU122">
            <v>695.53116666666665</v>
          </cell>
          <cell r="AV122">
            <v>301.9278787878788</v>
          </cell>
          <cell r="AW122">
            <v>306.0625</v>
          </cell>
          <cell r="AX122">
            <v>300.29149999999998</v>
          </cell>
          <cell r="AY122">
            <v>1063.5940000000001</v>
          </cell>
          <cell r="AZ122">
            <v>606.82650000000024</v>
          </cell>
          <cell r="BA122">
            <v>289.83224999999999</v>
          </cell>
          <cell r="BB122">
            <v>565.13606250000009</v>
          </cell>
          <cell r="BC122">
            <v>40018</v>
          </cell>
          <cell r="BD122">
            <v>36017</v>
          </cell>
          <cell r="BE122">
            <v>27200</v>
          </cell>
          <cell r="BF122">
            <v>19000</v>
          </cell>
          <cell r="BG122">
            <v>30558.75</v>
          </cell>
          <cell r="BH122">
            <v>3807</v>
          </cell>
          <cell r="BI122">
            <v>712</v>
          </cell>
          <cell r="BJ122">
            <v>4519</v>
          </cell>
          <cell r="BK122">
            <v>2930</v>
          </cell>
          <cell r="BL122">
            <v>3505</v>
          </cell>
          <cell r="BM122">
            <v>3217.5</v>
          </cell>
          <cell r="BN122">
            <v>467.92</v>
          </cell>
          <cell r="BO122">
            <v>2466.0749999999998</v>
          </cell>
          <cell r="BP122">
            <v>2201.58</v>
          </cell>
          <cell r="BQ122">
            <v>2333.8274999999999</v>
          </cell>
          <cell r="BR122">
            <v>1636.05</v>
          </cell>
          <cell r="BS122">
            <v>6700</v>
          </cell>
          <cell r="BT122">
            <v>1481.0250000000001</v>
          </cell>
          <cell r="BU122">
            <v>84843.074999999997</v>
          </cell>
          <cell r="BV122">
            <v>1957</v>
          </cell>
          <cell r="BW122">
            <v>3230.5</v>
          </cell>
          <cell r="BY122">
            <v>9912.5619392841691</v>
          </cell>
          <cell r="BZ122">
            <v>9306.2658047078057</v>
          </cell>
          <cell r="CA122">
            <v>9857.487122840741</v>
          </cell>
          <cell r="CB122">
            <v>9833.7231715058406</v>
          </cell>
          <cell r="CC122">
            <v>9927.8596678006634</v>
          </cell>
          <cell r="CD122">
            <v>9945.5904738723912</v>
          </cell>
          <cell r="CE122">
            <v>10516.306842460424</v>
          </cell>
          <cell r="CF122">
            <v>10157.755334146666</v>
          </cell>
          <cell r="CG122">
            <v>10039.787102104456</v>
          </cell>
          <cell r="CH122">
            <v>10028.863980684835</v>
          </cell>
          <cell r="CI122">
            <v>9856.7957431434425</v>
          </cell>
          <cell r="CJ122">
            <v>9545.3286056593279</v>
          </cell>
          <cell r="CK122">
            <v>9524.252302215802</v>
          </cell>
          <cell r="CL122">
            <v>12276.040150711517</v>
          </cell>
          <cell r="CM122">
            <v>10031.611287005717</v>
          </cell>
          <cell r="CN122">
            <v>9552.3666914244095</v>
          </cell>
          <cell r="CO122">
            <v>10346.067607839361</v>
          </cell>
          <cell r="CP122">
            <v>11218.607774098165</v>
          </cell>
          <cell r="CQ122">
            <v>9899.6170936357576</v>
          </cell>
          <cell r="CR122">
            <v>10208.851671373281</v>
          </cell>
          <cell r="CS122">
            <v>10054.234382504519</v>
          </cell>
          <cell r="CT122">
            <v>9241.688455371097</v>
          </cell>
          <cell r="CU122">
            <v>9699.4471741576344</v>
          </cell>
          <cell r="CV122">
            <v>9771.1779200963811</v>
          </cell>
          <cell r="CW122">
            <v>9771.1779200963811</v>
          </cell>
          <cell r="CX122">
            <v>9747.2676714501304</v>
          </cell>
          <cell r="CY122">
            <v>10209.702636474818</v>
          </cell>
          <cell r="CZ122">
            <v>12447.208589965954</v>
          </cell>
          <cell r="DA122">
            <v>10383.036946934373</v>
          </cell>
          <cell r="DB122">
            <v>10450.837050958657</v>
          </cell>
          <cell r="DC122">
            <v>10260.345395493228</v>
          </cell>
          <cell r="DD122">
            <v>10080.54816462403</v>
          </cell>
          <cell r="DE122">
            <v>8995.707616213982</v>
          </cell>
          <cell r="DF122">
            <v>10565.923798776284</v>
          </cell>
          <cell r="DG122">
            <v>9780.8157074951341</v>
          </cell>
          <cell r="DH122">
            <v>10181.56931290182</v>
          </cell>
          <cell r="DI122">
            <v>10517.890488312598</v>
          </cell>
          <cell r="DK122">
            <v>690000</v>
          </cell>
          <cell r="DL122" t="str">
            <v>2024-25</v>
          </cell>
          <cell r="DM122">
            <v>230000</v>
          </cell>
          <cell r="DN122" t="str">
            <v>2024-25</v>
          </cell>
          <cell r="DO122">
            <v>1600000</v>
          </cell>
          <cell r="DP122" t="str">
            <v>2025-26</v>
          </cell>
          <cell r="DQ122">
            <v>2200000</v>
          </cell>
          <cell r="DR122" t="str">
            <v>2024-25</v>
          </cell>
          <cell r="DS122">
            <v>7100000</v>
          </cell>
          <cell r="DT122" t="str">
            <v>2024-25</v>
          </cell>
          <cell r="DU122">
            <v>17900000</v>
          </cell>
          <cell r="DV122" t="str">
            <v>2024-25</v>
          </cell>
          <cell r="DW122">
            <v>1000000</v>
          </cell>
          <cell r="DX122" t="str">
            <v>2024-25</v>
          </cell>
          <cell r="DY122">
            <v>6900000</v>
          </cell>
          <cell r="DZ122" t="str">
            <v>2025-26</v>
          </cell>
          <cell r="EA122">
            <v>36700000</v>
          </cell>
          <cell r="EB122">
            <v>521230</v>
          </cell>
          <cell r="EC122" t="str">
            <v>2024-25</v>
          </cell>
          <cell r="ED122">
            <v>231352</v>
          </cell>
          <cell r="EE122">
            <v>2025</v>
          </cell>
          <cell r="EF122">
            <v>196220</v>
          </cell>
          <cell r="EG122">
            <v>2025</v>
          </cell>
          <cell r="EH122">
            <v>51624909</v>
          </cell>
          <cell r="EI122">
            <v>2025</v>
          </cell>
          <cell r="EJ122">
            <v>5987778</v>
          </cell>
          <cell r="EK122">
            <v>2025</v>
          </cell>
          <cell r="EL122">
            <v>11967429</v>
          </cell>
          <cell r="EM122">
            <v>2025</v>
          </cell>
          <cell r="EN122">
            <v>3017148</v>
          </cell>
          <cell r="EO122">
            <v>2025</v>
          </cell>
          <cell r="EP122">
            <v>9370</v>
          </cell>
          <cell r="EQ122">
            <v>4000000</v>
          </cell>
          <cell r="ER122">
            <v>80248</v>
          </cell>
          <cell r="ET122">
            <v>19357</v>
          </cell>
          <cell r="EU122">
            <v>18703</v>
          </cell>
          <cell r="EV122">
            <v>8927</v>
          </cell>
          <cell r="EW122">
            <v>17408</v>
          </cell>
          <cell r="EX122">
            <v>64395</v>
          </cell>
          <cell r="EY122">
            <v>20031</v>
          </cell>
          <cell r="EZ122">
            <v>38177</v>
          </cell>
          <cell r="FA122">
            <v>19900</v>
          </cell>
          <cell r="FB122">
            <v>18184</v>
          </cell>
          <cell r="FC122">
            <v>38084</v>
          </cell>
          <cell r="FD122">
            <v>60376</v>
          </cell>
          <cell r="FF122">
            <v>1050000</v>
          </cell>
          <cell r="FG122" t="str">
            <v>2024-25</v>
          </cell>
          <cell r="FH122">
            <v>1600000</v>
          </cell>
          <cell r="FI122" t="str">
            <v>2024-25</v>
          </cell>
          <cell r="FJ122">
            <v>5000000</v>
          </cell>
          <cell r="FK122" t="str">
            <v>2024-25</v>
          </cell>
          <cell r="FL122">
            <v>5000000</v>
          </cell>
          <cell r="FM122" t="str">
            <v>2024-25</v>
          </cell>
          <cell r="FN122">
            <v>49000000</v>
          </cell>
          <cell r="FO122" t="str">
            <v>2024-25</v>
          </cell>
          <cell r="FP122">
            <v>50300000</v>
          </cell>
          <cell r="FQ122" t="str">
            <v>2024-25</v>
          </cell>
          <cell r="FR122">
            <v>3000000</v>
          </cell>
          <cell r="FS122" t="str">
            <v>2024-25</v>
          </cell>
          <cell r="FT122">
            <v>18600000</v>
          </cell>
          <cell r="FU122" t="str">
            <v>2024-25</v>
          </cell>
          <cell r="FV122">
            <v>130900000</v>
          </cell>
          <cell r="FW122">
            <v>1895131</v>
          </cell>
          <cell r="FX122" t="str">
            <v>2024-25</v>
          </cell>
          <cell r="FY122">
            <v>141821</v>
          </cell>
          <cell r="FZ122">
            <v>876859</v>
          </cell>
          <cell r="GA122" t="str">
            <v>jun24 may25</v>
          </cell>
          <cell r="GB122">
            <v>19908335</v>
          </cell>
          <cell r="GC122">
            <v>2025</v>
          </cell>
          <cell r="GD122">
            <v>1714000</v>
          </cell>
          <cell r="GE122">
            <v>424000</v>
          </cell>
          <cell r="GF122">
            <v>1165000</v>
          </cell>
          <cell r="GG122">
            <v>145000</v>
          </cell>
          <cell r="GH122">
            <v>1734000</v>
          </cell>
          <cell r="GI122">
            <v>1302556</v>
          </cell>
          <cell r="GJ122">
            <v>682423</v>
          </cell>
          <cell r="GK122">
            <v>1391495</v>
          </cell>
          <cell r="GL122">
            <v>305049</v>
          </cell>
          <cell r="GM122">
            <v>260419</v>
          </cell>
          <cell r="GN122">
            <v>2639386</v>
          </cell>
          <cell r="GO122">
            <v>201734</v>
          </cell>
          <cell r="GP122">
            <v>75000</v>
          </cell>
          <cell r="GQ122">
            <v>49484</v>
          </cell>
          <cell r="GR122">
            <v>34035</v>
          </cell>
          <cell r="GS122">
            <v>35519.519999999997</v>
          </cell>
          <cell r="GT122">
            <v>2111561</v>
          </cell>
          <cell r="GU122">
            <v>58312</v>
          </cell>
          <cell r="GV122">
            <v>33939</v>
          </cell>
          <cell r="GW122">
            <v>785640</v>
          </cell>
          <cell r="GX122">
            <v>36041.686000000002</v>
          </cell>
          <cell r="GY122" t="str">
            <v>2024-2025</v>
          </cell>
          <cell r="GZ122">
            <v>119643</v>
          </cell>
          <cell r="HA122">
            <v>259682</v>
          </cell>
          <cell r="HB122">
            <v>3161744</v>
          </cell>
          <cell r="HC122" t="str">
            <v>jun24 may25</v>
          </cell>
          <cell r="HD122">
            <v>69929</v>
          </cell>
          <cell r="HE122">
            <v>786655</v>
          </cell>
          <cell r="HF122" t="str">
            <v>jun24 may25</v>
          </cell>
          <cell r="HG122">
            <v>189000</v>
          </cell>
          <cell r="HH122">
            <v>2315000</v>
          </cell>
          <cell r="HI122" t="str">
            <v>jun24 may25</v>
          </cell>
          <cell r="HJ122">
            <v>92953</v>
          </cell>
          <cell r="HK122">
            <v>62704.906299286791</v>
          </cell>
          <cell r="HL122" t="str">
            <v>jun24 may25</v>
          </cell>
          <cell r="HM122">
            <v>2377704.906299287</v>
          </cell>
          <cell r="HN122">
            <v>0.14067950071342161</v>
          </cell>
          <cell r="HO122">
            <v>897871510</v>
          </cell>
          <cell r="HP122">
            <v>10987.917579999999</v>
          </cell>
          <cell r="HQ122" t="str">
            <v>jun24 may25</v>
          </cell>
          <cell r="HU122">
            <v>700000</v>
          </cell>
          <cell r="HV122" t="str">
            <v>2024-25</v>
          </cell>
          <cell r="HW122">
            <v>1460000</v>
          </cell>
          <cell r="HX122" t="str">
            <v>2024-25</v>
          </cell>
          <cell r="HY122">
            <v>4730000</v>
          </cell>
          <cell r="HZ122" t="str">
            <v>2024-25</v>
          </cell>
          <cell r="IA122">
            <v>20900000</v>
          </cell>
          <cell r="IB122" t="str">
            <v>2024-25</v>
          </cell>
          <cell r="IC122">
            <v>48000000</v>
          </cell>
          <cell r="ID122" t="str">
            <v>2024-25</v>
          </cell>
          <cell r="IE122">
            <v>850000.00000000012</v>
          </cell>
          <cell r="IF122" t="str">
            <v>2024-25</v>
          </cell>
          <cell r="IG122">
            <v>7480000</v>
          </cell>
          <cell r="IH122" t="str">
            <v>2024-25</v>
          </cell>
          <cell r="II122">
            <v>83420000</v>
          </cell>
          <cell r="IJ122">
            <v>2.3929067517868869</v>
          </cell>
          <cell r="IK122" t="str">
            <v>2024-25</v>
          </cell>
          <cell r="IL122">
            <v>45.78</v>
          </cell>
          <cell r="IM122">
            <v>49.79</v>
          </cell>
          <cell r="IN122">
            <v>195.7</v>
          </cell>
          <cell r="IO122">
            <v>18.079999999999998</v>
          </cell>
          <cell r="IP122">
            <v>5.7523267137771796</v>
          </cell>
          <cell r="IQ122">
            <v>16.079999999999998</v>
          </cell>
          <cell r="IR122">
            <v>6.09</v>
          </cell>
          <cell r="IS122">
            <v>4.03</v>
          </cell>
          <cell r="IT122">
            <v>11.98</v>
          </cell>
          <cell r="IU122">
            <v>1.38</v>
          </cell>
          <cell r="IV122">
            <v>17.39</v>
          </cell>
          <cell r="IY122">
            <v>1.88</v>
          </cell>
          <cell r="IZ122">
            <v>0.3</v>
          </cell>
          <cell r="JA122">
            <v>3735</v>
          </cell>
          <cell r="JF122">
            <v>5.0945514700000007</v>
          </cell>
          <cell r="JG122">
            <v>39.974175860000003</v>
          </cell>
          <cell r="JH122">
            <v>73.149309850000009</v>
          </cell>
          <cell r="JI122">
            <v>363.51179731000008</v>
          </cell>
          <cell r="JJ122">
            <v>867.87367843000004</v>
          </cell>
          <cell r="JK122">
            <v>97.139552130000013</v>
          </cell>
          <cell r="JL122">
            <v>2538.7161489700002</v>
          </cell>
          <cell r="JM122">
            <v>57.607500000000002</v>
          </cell>
          <cell r="JN122">
            <v>319.38206723000002</v>
          </cell>
          <cell r="JO122">
            <v>32.790200410000004</v>
          </cell>
          <cell r="JP122">
            <v>0</v>
          </cell>
          <cell r="JQ122">
            <v>9.2251040999999994</v>
          </cell>
          <cell r="JR122">
            <v>1.20985733</v>
          </cell>
          <cell r="JS122">
            <v>0</v>
          </cell>
          <cell r="JT122">
            <v>0.35223209999999999</v>
          </cell>
          <cell r="JU122">
            <v>88.994061629999976</v>
          </cell>
          <cell r="JV122">
            <v>14.423782259999999</v>
          </cell>
          <cell r="JW122">
            <v>40.435607170000004</v>
          </cell>
          <cell r="JX122">
            <v>57.18443159000001</v>
          </cell>
          <cell r="JY122">
            <v>0</v>
          </cell>
          <cell r="JZ122">
            <v>9.4385622600000012</v>
          </cell>
          <cell r="KA122">
            <v>0.123332</v>
          </cell>
          <cell r="KB122">
            <v>14.949040589999999</v>
          </cell>
          <cell r="KC122">
            <v>121.04017274</v>
          </cell>
          <cell r="KD122">
            <v>10.492918690000002</v>
          </cell>
          <cell r="KE122">
            <v>25.223589140000001</v>
          </cell>
          <cell r="KF122">
            <v>7.3007548499999997</v>
          </cell>
          <cell r="KG122">
            <v>389.02912699999996</v>
          </cell>
          <cell r="KH122">
            <v>135.14119298</v>
          </cell>
          <cell r="KI122">
            <v>21.131437869999999</v>
          </cell>
          <cell r="KJ122">
            <v>2.2921349499999994</v>
          </cell>
          <cell r="KK122">
            <v>9.66008332</v>
          </cell>
          <cell r="KL122">
            <v>0.20050375000000001</v>
          </cell>
          <cell r="KM122">
            <v>0.40179747000000005</v>
          </cell>
          <cell r="KN122">
            <v>2.5809895999999997</v>
          </cell>
          <cell r="KO122">
            <v>1.58498063</v>
          </cell>
          <cell r="KP122">
            <v>1.9420499999999999E-3</v>
          </cell>
          <cell r="KQ122">
            <v>299.47377626000002</v>
          </cell>
          <cell r="KR122">
            <v>0</v>
          </cell>
          <cell r="KS122">
            <v>0.15581638</v>
          </cell>
          <cell r="KT122">
            <v>0.8744752400000001</v>
          </cell>
          <cell r="KU122">
            <v>0.33740116000000003</v>
          </cell>
          <cell r="KV122">
            <v>1.43476E-2</v>
          </cell>
          <cell r="KW122">
            <v>2.7343552499999997</v>
          </cell>
          <cell r="KX122">
            <v>0</v>
          </cell>
          <cell r="KY122">
            <v>0</v>
          </cell>
          <cell r="KZ122">
            <v>4.0554375800000004</v>
          </cell>
          <cell r="LA122">
            <v>0.55814960000000002</v>
          </cell>
          <cell r="LB122">
            <v>8.6400000000000001E-3</v>
          </cell>
          <cell r="LC122">
            <v>6.6228579999999995E-2</v>
          </cell>
          <cell r="LD122">
            <v>0</v>
          </cell>
          <cell r="LE122">
            <v>0.23953321999999996</v>
          </cell>
          <cell r="LF122">
            <v>0</v>
          </cell>
          <cell r="LG122">
            <v>16.050718710000002</v>
          </cell>
          <cell r="LH122">
            <v>4.00557768</v>
          </cell>
          <cell r="LI122">
            <v>3.5033770500000001</v>
          </cell>
          <cell r="LJ122">
            <v>1.5264E-3</v>
          </cell>
          <cell r="LK122">
            <v>5.2475744900000008</v>
          </cell>
          <cell r="LL122">
            <v>10.16779666</v>
          </cell>
          <cell r="LM122">
            <v>2.3449699800000001</v>
          </cell>
          <cell r="LN122">
            <v>0.18211829000000002</v>
          </cell>
          <cell r="LO122">
            <v>19.3334501</v>
          </cell>
          <cell r="LQ122">
            <v>4220.2405017900001</v>
          </cell>
          <cell r="LR122">
            <v>10.78719353</v>
          </cell>
          <cell r="LS122">
            <v>54.859389430000007</v>
          </cell>
          <cell r="LT122">
            <v>9.5618942600000008</v>
          </cell>
          <cell r="LU122">
            <v>304.19736033999999</v>
          </cell>
          <cell r="LV122">
            <v>2.7487028499999995</v>
          </cell>
          <cell r="LW122">
            <v>0.5667896</v>
          </cell>
          <cell r="LX122">
            <v>0.23953321999999996</v>
          </cell>
          <cell r="LZ122">
            <v>1525.34</v>
          </cell>
          <cell r="MA122">
            <v>1860.08</v>
          </cell>
          <cell r="MH122">
            <v>3491.53</v>
          </cell>
          <cell r="MI122">
            <v>858.57</v>
          </cell>
          <cell r="MJ122">
            <v>824.36</v>
          </cell>
          <cell r="ML122">
            <v>740.13</v>
          </cell>
          <cell r="MM122">
            <v>2758.44</v>
          </cell>
          <cell r="MO122">
            <v>909.8</v>
          </cell>
          <cell r="MP122">
            <v>2208.5500000000002</v>
          </cell>
          <cell r="MQ122">
            <v>2342.54</v>
          </cell>
          <cell r="MU122">
            <v>1124.8399999999999</v>
          </cell>
          <cell r="MY122">
            <v>2225.85</v>
          </cell>
          <cell r="MZ122">
            <v>7056</v>
          </cell>
          <cell r="NA122">
            <v>3634</v>
          </cell>
          <cell r="NB122">
            <v>11252</v>
          </cell>
          <cell r="NC122">
            <v>1543.94</v>
          </cell>
          <cell r="ND122">
            <v>11790</v>
          </cell>
          <cell r="NE122">
            <v>7401</v>
          </cell>
        </row>
        <row r="123">
          <cell r="A123">
            <v>45809</v>
          </cell>
          <cell r="B123">
            <v>6</v>
          </cell>
          <cell r="C123">
            <v>2025</v>
          </cell>
          <cell r="D123">
            <v>123</v>
          </cell>
          <cell r="E123">
            <v>45809</v>
          </cell>
          <cell r="F123">
            <v>1171.8421052631579</v>
          </cell>
          <cell r="G123">
            <v>8855.5681000000004</v>
          </cell>
          <cell r="H123">
            <v>828764.25</v>
          </cell>
          <cell r="I123">
            <v>104</v>
          </cell>
          <cell r="J123">
            <v>550</v>
          </cell>
          <cell r="K123">
            <v>4</v>
          </cell>
          <cell r="L123">
            <v>36.700000000000003</v>
          </cell>
          <cell r="N123">
            <v>1.38</v>
          </cell>
          <cell r="O123">
            <v>1.0449999999999999</v>
          </cell>
          <cell r="P123">
            <v>1349.8156249999997</v>
          </cell>
          <cell r="Q123">
            <v>20000</v>
          </cell>
          <cell r="R123">
            <v>200000</v>
          </cell>
          <cell r="S123">
            <v>180</v>
          </cell>
          <cell r="T123">
            <v>337.99263417920503</v>
          </cell>
          <cell r="U123">
            <v>178.6</v>
          </cell>
          <cell r="V123">
            <v>287.59473684210525</v>
          </cell>
          <cell r="W123">
            <v>206</v>
          </cell>
          <cell r="X123">
            <v>204.10526315789474</v>
          </cell>
          <cell r="Y123">
            <v>210931.57894736843</v>
          </cell>
          <cell r="Z123">
            <v>396074</v>
          </cell>
          <cell r="AA123">
            <v>209291</v>
          </cell>
          <cell r="AB123">
            <v>337015.62188365648</v>
          </cell>
          <cell r="AC123">
            <v>241399.47368421053</v>
          </cell>
          <cell r="AD123">
            <v>239179.14127423824</v>
          </cell>
          <cell r="AE123">
            <v>272315.1359649123</v>
          </cell>
          <cell r="AF123">
            <v>679118.3175</v>
          </cell>
          <cell r="AG123">
            <v>300000</v>
          </cell>
          <cell r="AH123">
            <v>1050000</v>
          </cell>
          <cell r="AI123">
            <v>350.32</v>
          </cell>
          <cell r="AJ123">
            <v>274.7</v>
          </cell>
          <cell r="AK123">
            <v>244.43</v>
          </cell>
          <cell r="AL123">
            <v>300</v>
          </cell>
          <cell r="AM123">
            <v>307.68700000000001</v>
          </cell>
          <cell r="AN123">
            <v>1490.9625358851667</v>
          </cell>
          <cell r="AO123">
            <v>1368.7694736842102</v>
          </cell>
          <cell r="AP123">
            <v>1429.8660047846884</v>
          </cell>
          <cell r="AQ123">
            <v>462.48368421052623</v>
          </cell>
          <cell r="AR123">
            <v>644.42263157894718</v>
          </cell>
          <cell r="AS123">
            <v>538.22052631578947</v>
          </cell>
          <cell r="AT123">
            <v>697.07631578947371</v>
          </cell>
          <cell r="AU123">
            <v>626.57315789473682</v>
          </cell>
          <cell r="AV123">
            <v>301.94375000000008</v>
          </cell>
          <cell r="AW123">
            <v>297.76315789473682</v>
          </cell>
          <cell r="AX123">
            <v>295.52263157894737</v>
          </cell>
          <cell r="AY123">
            <v>853.2273684210528</v>
          </cell>
          <cell r="AZ123">
            <v>522.00368421052644</v>
          </cell>
          <cell r="BA123">
            <v>267.36789473684212</v>
          </cell>
          <cell r="BB123">
            <v>484.5303947368422</v>
          </cell>
          <cell r="BC123">
            <v>41139</v>
          </cell>
          <cell r="BD123">
            <v>37026</v>
          </cell>
          <cell r="BE123">
            <v>27200</v>
          </cell>
          <cell r="BF123">
            <v>19000</v>
          </cell>
          <cell r="BG123">
            <v>31091.25</v>
          </cell>
          <cell r="BH123">
            <v>3807</v>
          </cell>
          <cell r="BI123">
            <v>712</v>
          </cell>
          <cell r="BJ123">
            <v>4519</v>
          </cell>
          <cell r="BK123">
            <v>2960</v>
          </cell>
          <cell r="BL123">
            <v>3688</v>
          </cell>
          <cell r="BM123">
            <v>3324</v>
          </cell>
          <cell r="BN123">
            <v>472.87</v>
          </cell>
          <cell r="BO123">
            <v>2519.9</v>
          </cell>
          <cell r="BP123">
            <v>2433</v>
          </cell>
          <cell r="BQ123">
            <v>2476.4499999999998</v>
          </cell>
          <cell r="BR123">
            <v>1628.29</v>
          </cell>
          <cell r="BS123">
            <v>6500</v>
          </cell>
          <cell r="BT123">
            <v>1523.3947368421054</v>
          </cell>
          <cell r="BU123">
            <v>82570.18421052632</v>
          </cell>
          <cell r="BV123">
            <v>1935.5</v>
          </cell>
          <cell r="BW123">
            <v>3206</v>
          </cell>
          <cell r="BY123">
            <v>10031.13655561282</v>
          </cell>
          <cell r="BZ123">
            <v>9755.5208336160122</v>
          </cell>
          <cell r="CA123">
            <v>10167.548498928738</v>
          </cell>
          <cell r="CB123">
            <v>10274.84944056645</v>
          </cell>
          <cell r="CC123">
            <v>10216.156556173873</v>
          </cell>
          <cell r="CD123">
            <v>10260.511715368357</v>
          </cell>
          <cell r="CE123">
            <v>10698.883972680322</v>
          </cell>
          <cell r="CF123">
            <v>10520.065297735246</v>
          </cell>
          <cell r="CG123">
            <v>10356.335913575498</v>
          </cell>
          <cell r="CH123">
            <v>10148.964413382118</v>
          </cell>
          <cell r="CI123">
            <v>10090.24682027589</v>
          </cell>
          <cell r="CJ123">
            <v>9636.1986637168593</v>
          </cell>
          <cell r="CK123">
            <v>9699.0986489246043</v>
          </cell>
          <cell r="CL123">
            <v>11596.779082060211</v>
          </cell>
          <cell r="CM123">
            <v>9817.3485934600103</v>
          </cell>
          <cell r="CN123">
            <v>9590.2174966873954</v>
          </cell>
          <cell r="CO123">
            <v>10175.860955283055</v>
          </cell>
          <cell r="CP123">
            <v>11211.567302520887</v>
          </cell>
          <cell r="CQ123">
            <v>10062.382451682581</v>
          </cell>
          <cell r="CR123">
            <v>10780.124314744902</v>
          </cell>
          <cell r="CS123">
            <v>10421.253383213741</v>
          </cell>
          <cell r="CT123">
            <v>9306.7726879891325</v>
          </cell>
          <cell r="CU123">
            <v>9911.1031652403963</v>
          </cell>
          <cell r="CV123">
            <v>9753.6718735419872</v>
          </cell>
          <cell r="CW123">
            <v>9753.6718735419872</v>
          </cell>
          <cell r="CX123">
            <v>9806.1489707747896</v>
          </cell>
          <cell r="CY123">
            <v>10298.80509480927</v>
          </cell>
          <cell r="CZ123">
            <v>12705.498256874474</v>
          </cell>
          <cell r="DA123">
            <v>10499.784339555225</v>
          </cell>
          <cell r="DB123">
            <v>10606.96407236973</v>
          </cell>
          <cell r="DC123">
            <v>10504.781115858304</v>
          </cell>
          <cell r="DD123">
            <v>10288.282608386113</v>
          </cell>
          <cell r="DE123">
            <v>9126.68657943783</v>
          </cell>
          <cell r="DF123">
            <v>10860.231123396537</v>
          </cell>
          <cell r="DG123">
            <v>9993.4588514171846</v>
          </cell>
          <cell r="DH123">
            <v>10307.17543562585</v>
          </cell>
          <cell r="DI123">
            <v>10545.313325382322</v>
          </cell>
          <cell r="DK123">
            <v>690000</v>
          </cell>
          <cell r="DL123" t="str">
            <v>2024-25</v>
          </cell>
          <cell r="DM123">
            <v>230000</v>
          </cell>
          <cell r="DN123" t="str">
            <v>2024-25</v>
          </cell>
          <cell r="DO123">
            <v>1600000</v>
          </cell>
          <cell r="DP123" t="str">
            <v>2025-26</v>
          </cell>
          <cell r="DQ123">
            <v>2300000</v>
          </cell>
          <cell r="DR123" t="str">
            <v>2024-25</v>
          </cell>
          <cell r="DS123">
            <v>7100000</v>
          </cell>
          <cell r="DT123" t="str">
            <v>2024-25</v>
          </cell>
          <cell r="DU123">
            <v>17800000</v>
          </cell>
          <cell r="DV123" t="str">
            <v>2024-25</v>
          </cell>
          <cell r="DW123">
            <v>1000000</v>
          </cell>
          <cell r="DX123" t="str">
            <v>2024-25</v>
          </cell>
          <cell r="DY123">
            <v>6900000</v>
          </cell>
          <cell r="DZ123" t="str">
            <v>2025-26</v>
          </cell>
          <cell r="EA123">
            <v>36700000</v>
          </cell>
          <cell r="EB123">
            <v>521230</v>
          </cell>
          <cell r="EC123" t="str">
            <v>2024-25</v>
          </cell>
          <cell r="ED123">
            <v>231352</v>
          </cell>
          <cell r="EE123">
            <v>2025</v>
          </cell>
          <cell r="EF123">
            <v>196220</v>
          </cell>
          <cell r="EG123">
            <v>2025</v>
          </cell>
          <cell r="EH123">
            <v>51624909</v>
          </cell>
          <cell r="EI123">
            <v>2025</v>
          </cell>
          <cell r="EJ123">
            <v>5987778</v>
          </cell>
          <cell r="EK123">
            <v>2025</v>
          </cell>
          <cell r="EL123">
            <v>11967429</v>
          </cell>
          <cell r="EM123">
            <v>2025</v>
          </cell>
          <cell r="EN123">
            <v>2970570</v>
          </cell>
          <cell r="EO123">
            <v>2025</v>
          </cell>
          <cell r="EP123">
            <v>9358</v>
          </cell>
          <cell r="EQ123">
            <v>4000000</v>
          </cell>
          <cell r="ER123">
            <v>80248</v>
          </cell>
          <cell r="ET123">
            <v>19357</v>
          </cell>
          <cell r="EU123">
            <v>18703</v>
          </cell>
          <cell r="EV123">
            <v>8927</v>
          </cell>
          <cell r="EW123">
            <v>17408</v>
          </cell>
          <cell r="EX123">
            <v>64395</v>
          </cell>
          <cell r="EY123">
            <v>20031</v>
          </cell>
          <cell r="EZ123">
            <v>38177</v>
          </cell>
          <cell r="FA123">
            <v>19900</v>
          </cell>
          <cell r="FB123">
            <v>18184</v>
          </cell>
          <cell r="FC123">
            <v>38084</v>
          </cell>
          <cell r="FD123">
            <v>60376</v>
          </cell>
          <cell r="FF123">
            <v>1000000</v>
          </cell>
          <cell r="FG123" t="str">
            <v>2024-25</v>
          </cell>
          <cell r="FH123">
            <v>1600000</v>
          </cell>
          <cell r="FI123" t="str">
            <v>2024-25</v>
          </cell>
          <cell r="FJ123">
            <v>4800000</v>
          </cell>
          <cell r="FK123" t="str">
            <v>2024-25</v>
          </cell>
          <cell r="FL123">
            <v>5100000</v>
          </cell>
          <cell r="FM123" t="str">
            <v>2024-25</v>
          </cell>
          <cell r="FN123">
            <v>49000000</v>
          </cell>
          <cell r="FO123" t="str">
            <v>2024-25</v>
          </cell>
          <cell r="FP123">
            <v>50300000</v>
          </cell>
          <cell r="FQ123" t="str">
            <v>2024-25</v>
          </cell>
          <cell r="FR123">
            <v>3000000</v>
          </cell>
          <cell r="FS123" t="str">
            <v>2024-25</v>
          </cell>
          <cell r="FT123">
            <v>18600000</v>
          </cell>
          <cell r="FU123" t="str">
            <v>2024-25</v>
          </cell>
          <cell r="FV123">
            <v>130800000</v>
          </cell>
          <cell r="FW123">
            <v>1895131</v>
          </cell>
          <cell r="FX123" t="str">
            <v>2024-25</v>
          </cell>
          <cell r="FY123">
            <v>133369</v>
          </cell>
          <cell r="FZ123">
            <v>872657</v>
          </cell>
          <cell r="GA123" t="str">
            <v>jul24 jun25</v>
          </cell>
          <cell r="GB123">
            <v>19908335</v>
          </cell>
          <cell r="GC123">
            <v>2025</v>
          </cell>
          <cell r="GD123">
            <v>1714000</v>
          </cell>
          <cell r="GE123">
            <v>424000</v>
          </cell>
          <cell r="GF123">
            <v>1165000</v>
          </cell>
          <cell r="GG123">
            <v>145000</v>
          </cell>
          <cell r="GH123">
            <v>1734000</v>
          </cell>
          <cell r="GI123">
            <v>1302556</v>
          </cell>
          <cell r="GJ123">
            <v>682423</v>
          </cell>
          <cell r="GK123">
            <v>1391495</v>
          </cell>
          <cell r="GL123">
            <v>305049</v>
          </cell>
          <cell r="GM123">
            <v>260419</v>
          </cell>
          <cell r="GN123">
            <v>2639386</v>
          </cell>
          <cell r="GO123">
            <v>201734</v>
          </cell>
          <cell r="GP123">
            <v>75000</v>
          </cell>
          <cell r="GQ123">
            <v>27442</v>
          </cell>
          <cell r="GR123">
            <v>34035</v>
          </cell>
          <cell r="GS123">
            <v>34858.26</v>
          </cell>
          <cell r="GT123">
            <v>2111561</v>
          </cell>
          <cell r="GU123">
            <v>40119</v>
          </cell>
          <cell r="GV123">
            <v>27169</v>
          </cell>
          <cell r="GW123">
            <v>792717</v>
          </cell>
          <cell r="GX123">
            <v>36041.686000000002</v>
          </cell>
          <cell r="GY123" t="str">
            <v>2024-2025</v>
          </cell>
          <cell r="GZ123">
            <v>119643</v>
          </cell>
          <cell r="HA123">
            <v>260304</v>
          </cell>
          <cell r="HB123">
            <v>3189798</v>
          </cell>
          <cell r="HC123" t="str">
            <v>jul24 jun25</v>
          </cell>
          <cell r="HD123">
            <v>66995</v>
          </cell>
          <cell r="HE123">
            <v>788583</v>
          </cell>
          <cell r="HF123" t="str">
            <v>jul24 jun25</v>
          </cell>
          <cell r="HG123">
            <v>174000</v>
          </cell>
          <cell r="HH123">
            <v>2322000</v>
          </cell>
          <cell r="HI123" t="str">
            <v>jul24 jun25</v>
          </cell>
          <cell r="HJ123">
            <v>85725</v>
          </cell>
          <cell r="HK123">
            <v>63357.406299286791</v>
          </cell>
          <cell r="HL123" t="str">
            <v>jul24 jun25</v>
          </cell>
          <cell r="HM123">
            <v>2385357.406299287</v>
          </cell>
          <cell r="HN123">
            <v>0.10345181981851437</v>
          </cell>
          <cell r="HO123">
            <v>928598285</v>
          </cell>
          <cell r="HP123">
            <v>11074.976371999999</v>
          </cell>
          <cell r="HQ123" t="str">
            <v>jul24 jun25</v>
          </cell>
          <cell r="HU123">
            <v>990000</v>
          </cell>
          <cell r="HV123" t="str">
            <v>2024-25</v>
          </cell>
          <cell r="HW123">
            <v>1460000</v>
          </cell>
          <cell r="HX123" t="str">
            <v>2024-25</v>
          </cell>
          <cell r="HY123">
            <v>4730000</v>
          </cell>
          <cell r="HZ123" t="str">
            <v>2024-25</v>
          </cell>
          <cell r="IA123">
            <v>20600000</v>
          </cell>
          <cell r="IB123" t="str">
            <v>2024-25</v>
          </cell>
          <cell r="IC123">
            <v>48000000</v>
          </cell>
          <cell r="ID123" t="str">
            <v>2024-25</v>
          </cell>
          <cell r="IE123">
            <v>850000.00000000012</v>
          </cell>
          <cell r="IF123" t="str">
            <v>2024-25</v>
          </cell>
          <cell r="IG123">
            <v>7480000</v>
          </cell>
          <cell r="IH123" t="str">
            <v>2024-25</v>
          </cell>
          <cell r="II123">
            <v>83120000</v>
          </cell>
          <cell r="IJ123">
            <v>2.3929067517868869</v>
          </cell>
          <cell r="IK123" t="str">
            <v>2024-25</v>
          </cell>
          <cell r="IL123">
            <v>45.9</v>
          </cell>
          <cell r="IM123">
            <v>50.33</v>
          </cell>
          <cell r="IN123">
            <v>191.3</v>
          </cell>
          <cell r="IO123">
            <v>18.239999999999998</v>
          </cell>
          <cell r="IP123">
            <v>5.7523267137771796</v>
          </cell>
          <cell r="IQ123">
            <v>16.079999999999998</v>
          </cell>
          <cell r="IR123">
            <v>6.09</v>
          </cell>
          <cell r="IS123">
            <v>4.03</v>
          </cell>
          <cell r="IT123">
            <v>11.98</v>
          </cell>
          <cell r="IU123">
            <v>1.38</v>
          </cell>
          <cell r="IV123">
            <v>17.39</v>
          </cell>
          <cell r="IY123">
            <v>1.88</v>
          </cell>
          <cell r="IZ123">
            <v>0.3</v>
          </cell>
          <cell r="JA123">
            <v>3555</v>
          </cell>
          <cell r="JF123">
            <v>8.2931694499999988</v>
          </cell>
          <cell r="JG123">
            <v>31.537173230000004</v>
          </cell>
          <cell r="JH123">
            <v>93.147664890000001</v>
          </cell>
          <cell r="JI123">
            <v>261.44643857999995</v>
          </cell>
          <cell r="JJ123">
            <v>779.75587634999988</v>
          </cell>
          <cell r="JK123">
            <v>110.53778464999999</v>
          </cell>
          <cell r="JL123">
            <v>2319.5958480200002</v>
          </cell>
          <cell r="JM123">
            <v>71.619691849999995</v>
          </cell>
          <cell r="JN123">
            <v>236.97397905</v>
          </cell>
          <cell r="JO123">
            <v>34.03841525</v>
          </cell>
          <cell r="JP123">
            <v>0</v>
          </cell>
          <cell r="JQ123">
            <v>3.9518212999999998</v>
          </cell>
          <cell r="JR123">
            <v>1.66073888</v>
          </cell>
          <cell r="JS123">
            <v>0</v>
          </cell>
          <cell r="JT123">
            <v>1.7500000000000002E-2</v>
          </cell>
          <cell r="JU123">
            <v>71.170798900000008</v>
          </cell>
          <cell r="JV123">
            <v>13.992141960000001</v>
          </cell>
          <cell r="JW123">
            <v>28.994005870000006</v>
          </cell>
          <cell r="JX123">
            <v>59.92536432</v>
          </cell>
          <cell r="JY123">
            <v>0</v>
          </cell>
          <cell r="JZ123">
            <v>10.128860850000001</v>
          </cell>
          <cell r="KA123">
            <v>0.3278411</v>
          </cell>
          <cell r="KB123">
            <v>13.812450910000003</v>
          </cell>
          <cell r="KC123">
            <v>93.57534471000001</v>
          </cell>
          <cell r="KD123">
            <v>10.79513302</v>
          </cell>
          <cell r="KE123">
            <v>22.120083830000002</v>
          </cell>
          <cell r="KF123">
            <v>8.66231011</v>
          </cell>
          <cell r="KG123">
            <v>430.01977605999991</v>
          </cell>
          <cell r="KH123">
            <v>161.52973046</v>
          </cell>
          <cell r="KI123">
            <v>18.748166940000001</v>
          </cell>
          <cell r="KJ123">
            <v>2.3754365900000001</v>
          </cell>
          <cell r="KK123">
            <v>9.4337625599999999</v>
          </cell>
          <cell r="KL123">
            <v>0.4195122</v>
          </cell>
          <cell r="KM123">
            <v>0.44146342000000005</v>
          </cell>
          <cell r="KN123">
            <v>1.1723032399999997</v>
          </cell>
          <cell r="KO123">
            <v>2.9999802899999999</v>
          </cell>
          <cell r="KP123">
            <v>5.4312239999999998E-2</v>
          </cell>
          <cell r="KQ123">
            <v>268.97309851</v>
          </cell>
          <cell r="KR123">
            <v>4.1750000000000002E-2</v>
          </cell>
          <cell r="KS123">
            <v>0.12341389</v>
          </cell>
          <cell r="KT123">
            <v>0.75058031000000003</v>
          </cell>
          <cell r="KU123">
            <v>0.43177300000000002</v>
          </cell>
          <cell r="KV123">
            <v>2.4320000000000001E-2</v>
          </cell>
          <cell r="KW123">
            <v>1.7702334399999997</v>
          </cell>
          <cell r="KX123">
            <v>0</v>
          </cell>
          <cell r="KY123">
            <v>0</v>
          </cell>
          <cell r="KZ123">
            <v>5.0584831100000001</v>
          </cell>
          <cell r="LA123">
            <v>1.03656288</v>
          </cell>
          <cell r="LB123">
            <v>5.50152E-2</v>
          </cell>
          <cell r="LC123">
            <v>5.6088829999999999E-2</v>
          </cell>
          <cell r="LD123">
            <v>0</v>
          </cell>
          <cell r="LE123">
            <v>3.0819160000000002E-2</v>
          </cell>
          <cell r="LF123">
            <v>1.6020799999999998E-2</v>
          </cell>
          <cell r="LG123">
            <v>16.453753389999996</v>
          </cell>
          <cell r="LH123">
            <v>3.5013919399999995</v>
          </cell>
          <cell r="LI123">
            <v>1.6709123100000001</v>
          </cell>
          <cell r="LJ123">
            <v>0</v>
          </cell>
          <cell r="LK123">
            <v>3.4373023600000003</v>
          </cell>
          <cell r="LL123">
            <v>8.1579769499999983</v>
          </cell>
          <cell r="LM123">
            <v>3.2200157200000006</v>
          </cell>
          <cell r="LN123">
            <v>0.19937177999999997</v>
          </cell>
          <cell r="LO123">
            <v>13.531613630000001</v>
          </cell>
          <cell r="LQ123">
            <v>3762.5394987399995</v>
          </cell>
          <cell r="LR123">
            <v>5.6300601800000001</v>
          </cell>
          <cell r="LS123">
            <v>42.986147830000007</v>
          </cell>
          <cell r="LT123">
            <v>10.456701950000001</v>
          </cell>
          <cell r="LU123">
            <v>273.75200934999998</v>
          </cell>
          <cell r="LV123">
            <v>1.7945534399999996</v>
          </cell>
          <cell r="LW123">
            <v>1.0915780799999999</v>
          </cell>
          <cell r="LX123">
            <v>4.683996E-2</v>
          </cell>
          <cell r="LZ123">
            <v>1526.74</v>
          </cell>
          <cell r="MA123">
            <v>1844.34</v>
          </cell>
          <cell r="MH123">
            <v>3554.08</v>
          </cell>
          <cell r="MI123">
            <v>892.12</v>
          </cell>
          <cell r="MJ123">
            <v>828.41</v>
          </cell>
          <cell r="ML123">
            <v>719.03</v>
          </cell>
          <cell r="MM123">
            <v>2174.02</v>
          </cell>
          <cell r="MO123">
            <v>852.48</v>
          </cell>
          <cell r="MP123">
            <v>2221.89</v>
          </cell>
          <cell r="MQ123">
            <v>2352.9899999999998</v>
          </cell>
          <cell r="MU123">
            <v>974.67</v>
          </cell>
          <cell r="MY123">
            <v>2259.63</v>
          </cell>
          <cell r="MZ123">
            <v>7053</v>
          </cell>
          <cell r="NA123">
            <v>3711</v>
          </cell>
          <cell r="NB123">
            <v>11390</v>
          </cell>
          <cell r="NC123">
            <v>1574.27</v>
          </cell>
          <cell r="ND123">
            <v>11790</v>
          </cell>
          <cell r="NE123">
            <v>7281</v>
          </cell>
        </row>
        <row r="124">
          <cell r="A124">
            <v>45839</v>
          </cell>
          <cell r="B124">
            <v>7</v>
          </cell>
          <cell r="C124">
            <v>2025</v>
          </cell>
          <cell r="D124">
            <v>124</v>
          </cell>
          <cell r="E124">
            <v>45839</v>
          </cell>
          <cell r="F124">
            <v>1267.0227</v>
          </cell>
          <cell r="G124">
            <v>9023.973</v>
          </cell>
          <cell r="H124">
            <v>861195.71</v>
          </cell>
          <cell r="I124">
            <v>108</v>
          </cell>
          <cell r="J124">
            <v>610</v>
          </cell>
          <cell r="K124">
            <v>4</v>
          </cell>
          <cell r="L124">
            <v>37.9</v>
          </cell>
          <cell r="N124">
            <v>1.2625</v>
          </cell>
          <cell r="O124">
            <v>0.99249999999999994</v>
          </cell>
          <cell r="P124">
            <v>1357.1396895374999</v>
          </cell>
          <cell r="Q124">
            <v>20000</v>
          </cell>
          <cell r="R124">
            <v>200000</v>
          </cell>
          <cell r="S124">
            <v>183.75</v>
          </cell>
          <cell r="T124">
            <v>381.5874806347195</v>
          </cell>
          <cell r="U124">
            <v>176.3</v>
          </cell>
          <cell r="V124">
            <v>284.8</v>
          </cell>
          <cell r="W124">
            <v>197</v>
          </cell>
          <cell r="X124">
            <v>204.1</v>
          </cell>
          <cell r="Y124">
            <v>232815.42112499999</v>
          </cell>
          <cell r="Z124">
            <v>483480</v>
          </cell>
          <cell r="AA124">
            <v>223376.10201</v>
          </cell>
          <cell r="AB124">
            <v>360848.06495999999</v>
          </cell>
          <cell r="AC124">
            <v>249603.4719</v>
          </cell>
          <cell r="AD124">
            <v>258599.33306999999</v>
          </cell>
          <cell r="AE124">
            <v>301453.73217749991</v>
          </cell>
          <cell r="AF124">
            <v>695945.30789473688</v>
          </cell>
          <cell r="AG124">
            <v>300000</v>
          </cell>
          <cell r="AH124">
            <v>1050000</v>
          </cell>
          <cell r="AI124">
            <v>393.79</v>
          </cell>
          <cell r="AJ124">
            <v>212.16</v>
          </cell>
          <cell r="AK124">
            <v>131.94</v>
          </cell>
          <cell r="AL124">
            <v>240.13</v>
          </cell>
          <cell r="AM124">
            <v>281.56540000000001</v>
          </cell>
          <cell r="AN124">
            <v>1513.9765919282518</v>
          </cell>
          <cell r="AO124">
            <v>1856.765909090909</v>
          </cell>
          <cell r="AP124">
            <v>1685.3712505095805</v>
          </cell>
          <cell r="AQ124">
            <v>500.16590909090888</v>
          </cell>
          <cell r="AR124">
            <v>614.0159090909093</v>
          </cell>
          <cell r="AS124">
            <v>565.94545454545471</v>
          </cell>
          <cell r="AT124">
            <v>757.40863636363645</v>
          </cell>
          <cell r="AU124">
            <v>645.79000000000008</v>
          </cell>
          <cell r="AV124">
            <v>379.09359649122803</v>
          </cell>
          <cell r="AW124">
            <v>289.20454545454544</v>
          </cell>
          <cell r="AX124">
            <v>285.83272727272725</v>
          </cell>
          <cell r="AY124">
            <v>923.8727272727275</v>
          </cell>
          <cell r="AZ124">
            <v>480.10409090909093</v>
          </cell>
          <cell r="BA124">
            <v>241.66704545454547</v>
          </cell>
          <cell r="BB124">
            <v>482.86914772727278</v>
          </cell>
          <cell r="BC124">
            <v>41015</v>
          </cell>
          <cell r="BD124">
            <v>36915</v>
          </cell>
          <cell r="BE124">
            <v>25700</v>
          </cell>
          <cell r="BF124">
            <v>19000</v>
          </cell>
          <cell r="BG124">
            <v>30657.5</v>
          </cell>
          <cell r="BH124">
            <v>3807</v>
          </cell>
          <cell r="BI124">
            <v>712</v>
          </cell>
          <cell r="BJ124">
            <v>4519</v>
          </cell>
          <cell r="BK124">
            <v>2978</v>
          </cell>
          <cell r="BL124">
            <v>3749</v>
          </cell>
          <cell r="BM124">
            <v>3363.5</v>
          </cell>
          <cell r="BN124">
            <v>473.26</v>
          </cell>
          <cell r="BO124">
            <v>2526</v>
          </cell>
          <cell r="BP124">
            <v>2366</v>
          </cell>
          <cell r="BQ124">
            <v>2446</v>
          </cell>
          <cell r="BR124">
            <v>1637.5600000000002</v>
          </cell>
          <cell r="BS124">
            <v>6500</v>
          </cell>
          <cell r="BT124">
            <v>1799.1722339999999</v>
          </cell>
          <cell r="BU124">
            <v>83397.516701999994</v>
          </cell>
          <cell r="BV124">
            <v>1926</v>
          </cell>
          <cell r="BW124">
            <v>3507.8</v>
          </cell>
          <cell r="BY124">
            <v>10641.228774787414</v>
          </cell>
          <cell r="BZ124">
            <v>10811.809214634</v>
          </cell>
          <cell r="CA124">
            <v>11198.255286402635</v>
          </cell>
          <cell r="CB124">
            <v>11624.712243676282</v>
          </cell>
          <cell r="CC124">
            <v>11155.473204249622</v>
          </cell>
          <cell r="CD124">
            <v>11164.942641718781</v>
          </cell>
          <cell r="CE124">
            <v>11564.172037877202</v>
          </cell>
          <cell r="CF124">
            <v>11531.719129052646</v>
          </cell>
          <cell r="CG124">
            <v>11373.212423829527</v>
          </cell>
          <cell r="CH124">
            <v>10860.899786694172</v>
          </cell>
          <cell r="CI124">
            <v>11256.095852787475</v>
          </cell>
          <cell r="CJ124">
            <v>10195.393620442359</v>
          </cell>
          <cell r="CK124">
            <v>10438.227508079837</v>
          </cell>
          <cell r="CL124">
            <v>12632.149089554308</v>
          </cell>
          <cell r="CM124">
            <v>10239.417124701629</v>
          </cell>
          <cell r="CN124">
            <v>10116.994054557674</v>
          </cell>
          <cell r="CO124">
            <v>10856.696944223362</v>
          </cell>
          <cell r="CP124">
            <v>11657.452820400305</v>
          </cell>
          <cell r="CQ124">
            <v>10727.112583159429</v>
          </cell>
          <cell r="CR124">
            <v>12162.590329959594</v>
          </cell>
          <cell r="CS124">
            <v>11444.851456559511</v>
          </cell>
          <cell r="CT124">
            <v>10073.56765014846</v>
          </cell>
          <cell r="CU124">
            <v>10654.028423298545</v>
          </cell>
          <cell r="CV124">
            <v>10575.151015863084</v>
          </cell>
          <cell r="CW124">
            <v>10575.151015863084</v>
          </cell>
          <cell r="CX124">
            <v>10601.443485008238</v>
          </cell>
          <cell r="CY124">
            <v>10875.971523073436</v>
          </cell>
          <cell r="CZ124">
            <v>13643.595200176569</v>
          </cell>
          <cell r="DA124">
            <v>11146.953028632286</v>
          </cell>
          <cell r="DB124">
            <v>11335.355339114154</v>
          </cell>
          <cell r="DC124">
            <v>11213.278729002963</v>
          </cell>
          <cell r="DD124">
            <v>10978.161593386281</v>
          </cell>
          <cell r="DE124">
            <v>9679.2389874319124</v>
          </cell>
          <cell r="DF124">
            <v>11515.799275731149</v>
          </cell>
          <cell r="DG124">
            <v>10597.519131581532</v>
          </cell>
          <cell r="DH124">
            <v>10983.288429690827</v>
          </cell>
          <cell r="DI124">
            <v>11077.837423666198</v>
          </cell>
          <cell r="DK124">
            <v>690000</v>
          </cell>
          <cell r="DL124" t="str">
            <v>2024-25</v>
          </cell>
          <cell r="DM124">
            <v>230000</v>
          </cell>
          <cell r="DN124" t="str">
            <v>2024-25</v>
          </cell>
          <cell r="DO124">
            <v>1500000</v>
          </cell>
          <cell r="DP124" t="str">
            <v>2025-26</v>
          </cell>
          <cell r="DQ124">
            <v>2300000</v>
          </cell>
          <cell r="DR124" t="str">
            <v>2024-25</v>
          </cell>
          <cell r="DS124">
            <v>7100000</v>
          </cell>
          <cell r="DT124" t="str">
            <v>2024-25</v>
          </cell>
          <cell r="DU124">
            <v>18000000</v>
          </cell>
          <cell r="DV124" t="str">
            <v>2024-25</v>
          </cell>
          <cell r="DW124">
            <v>1000000</v>
          </cell>
          <cell r="DX124" t="str">
            <v>2024-25</v>
          </cell>
          <cell r="DY124">
            <v>6800000</v>
          </cell>
          <cell r="DZ124" t="str">
            <v>2025-26</v>
          </cell>
          <cell r="EA124">
            <v>36700000</v>
          </cell>
          <cell r="EB124">
            <v>521230</v>
          </cell>
          <cell r="EC124" t="str">
            <v>2024-25</v>
          </cell>
          <cell r="ED124">
            <v>231352</v>
          </cell>
          <cell r="EE124">
            <v>2025</v>
          </cell>
          <cell r="EF124">
            <v>196220</v>
          </cell>
          <cell r="EG124">
            <v>2025</v>
          </cell>
          <cell r="EH124">
            <v>51624909</v>
          </cell>
          <cell r="EI124">
            <v>2025</v>
          </cell>
          <cell r="EJ124">
            <v>5987778</v>
          </cell>
          <cell r="EK124">
            <v>2025</v>
          </cell>
          <cell r="EL124">
            <v>11967429</v>
          </cell>
          <cell r="EM124">
            <v>2025</v>
          </cell>
          <cell r="EN124">
            <v>2921701</v>
          </cell>
          <cell r="EO124">
            <v>2025</v>
          </cell>
          <cell r="EP124">
            <v>9245</v>
          </cell>
          <cell r="EQ124">
            <v>4000000</v>
          </cell>
          <cell r="ER124">
            <v>80248</v>
          </cell>
          <cell r="ET124">
            <v>19357</v>
          </cell>
          <cell r="EU124">
            <v>18703</v>
          </cell>
          <cell r="EV124">
            <v>8927</v>
          </cell>
          <cell r="EW124">
            <v>17408</v>
          </cell>
          <cell r="EX124">
            <v>64395</v>
          </cell>
          <cell r="EY124">
            <v>20031</v>
          </cell>
          <cell r="EZ124">
            <v>38177</v>
          </cell>
          <cell r="FA124">
            <v>19900</v>
          </cell>
          <cell r="FB124">
            <v>18184</v>
          </cell>
          <cell r="FC124">
            <v>38084</v>
          </cell>
          <cell r="FD124">
            <v>60376</v>
          </cell>
          <cell r="FF124">
            <v>1050000</v>
          </cell>
          <cell r="FG124" t="str">
            <v>2024-25</v>
          </cell>
          <cell r="FH124">
            <v>1600000</v>
          </cell>
          <cell r="FI124" t="str">
            <v>2024-25</v>
          </cell>
          <cell r="FJ124">
            <v>5000000</v>
          </cell>
          <cell r="FK124" t="str">
            <v>2024-25</v>
          </cell>
          <cell r="FL124">
            <v>5000000</v>
          </cell>
          <cell r="FM124" t="str">
            <v>2024-25</v>
          </cell>
          <cell r="FN124">
            <v>49000000</v>
          </cell>
          <cell r="FO124" t="str">
            <v>2024-25</v>
          </cell>
          <cell r="FP124">
            <v>50300000</v>
          </cell>
          <cell r="FQ124" t="str">
            <v>2024-25</v>
          </cell>
          <cell r="FR124">
            <v>3100000</v>
          </cell>
          <cell r="FS124" t="str">
            <v>2024-25</v>
          </cell>
          <cell r="FT124">
            <v>18600000</v>
          </cell>
          <cell r="FU124" t="str">
            <v>2024-25</v>
          </cell>
          <cell r="FV124">
            <v>131000000</v>
          </cell>
          <cell r="FW124">
            <v>1895131</v>
          </cell>
          <cell r="FX124" t="str">
            <v>2024-25</v>
          </cell>
          <cell r="FY124">
            <v>190454</v>
          </cell>
          <cell r="FZ124">
            <v>887113</v>
          </cell>
          <cell r="GA124" t="str">
            <v>ago24 jul25</v>
          </cell>
          <cell r="GB124">
            <v>19908335</v>
          </cell>
          <cell r="GC124">
            <v>2025</v>
          </cell>
          <cell r="GD124">
            <v>1714000</v>
          </cell>
          <cell r="GE124">
            <v>424000</v>
          </cell>
          <cell r="GF124">
            <v>1165000</v>
          </cell>
          <cell r="GG124">
            <v>145000</v>
          </cell>
          <cell r="GH124">
            <v>1734000</v>
          </cell>
          <cell r="GI124">
            <v>1302556</v>
          </cell>
          <cell r="GJ124">
            <v>682423</v>
          </cell>
          <cell r="GK124">
            <v>1391495</v>
          </cell>
          <cell r="GL124">
            <v>305049</v>
          </cell>
          <cell r="GM124">
            <v>260419</v>
          </cell>
          <cell r="GN124">
            <v>2639386</v>
          </cell>
          <cell r="GO124">
            <v>201734</v>
          </cell>
          <cell r="GP124">
            <v>75000</v>
          </cell>
          <cell r="GQ124">
            <v>23052</v>
          </cell>
          <cell r="GR124">
            <v>32041</v>
          </cell>
          <cell r="GS124">
            <v>32732.560000000001</v>
          </cell>
          <cell r="GT124">
            <v>2111561</v>
          </cell>
          <cell r="GU124">
            <v>29586</v>
          </cell>
          <cell r="GV124">
            <v>28004</v>
          </cell>
          <cell r="GW124">
            <v>793712</v>
          </cell>
          <cell r="GX124">
            <v>36041.686000000002</v>
          </cell>
          <cell r="GY124" t="str">
            <v>2024-2025</v>
          </cell>
          <cell r="GZ124">
            <v>119643</v>
          </cell>
          <cell r="HA124">
            <v>290607</v>
          </cell>
          <cell r="HB124">
            <v>3192763</v>
          </cell>
          <cell r="HC124" t="str">
            <v>ago24 jul25</v>
          </cell>
          <cell r="HD124">
            <v>73740</v>
          </cell>
          <cell r="HE124">
            <v>785247</v>
          </cell>
          <cell r="HF124" t="str">
            <v>ago24 jul25</v>
          </cell>
          <cell r="HG124">
            <v>209000</v>
          </cell>
          <cell r="HH124">
            <v>2319000</v>
          </cell>
          <cell r="HI124" t="str">
            <v>ago24 jul25</v>
          </cell>
          <cell r="HJ124">
            <v>89464</v>
          </cell>
          <cell r="HK124">
            <v>63871.823999999993</v>
          </cell>
          <cell r="HL124" t="str">
            <v>ago24 jul25</v>
          </cell>
          <cell r="HM124">
            <v>2382871.824</v>
          </cell>
          <cell r="HN124">
            <v>0.20365040380047517</v>
          </cell>
          <cell r="HO124">
            <v>1013473640</v>
          </cell>
          <cell r="HP124">
            <v>11246.450011999999</v>
          </cell>
          <cell r="HQ124" t="str">
            <v>ago24 jul25</v>
          </cell>
          <cell r="HU124">
            <v>990000</v>
          </cell>
          <cell r="HV124" t="str">
            <v>2024-25</v>
          </cell>
          <cell r="HW124">
            <v>1460000</v>
          </cell>
          <cell r="HX124" t="str">
            <v>2024-25</v>
          </cell>
          <cell r="HY124">
            <v>4730000</v>
          </cell>
          <cell r="HZ124" t="str">
            <v>2024-25</v>
          </cell>
          <cell r="IA124">
            <v>20600000</v>
          </cell>
          <cell r="IB124" t="str">
            <v>2024-25</v>
          </cell>
          <cell r="IC124">
            <v>48000000</v>
          </cell>
          <cell r="ID124" t="str">
            <v>2024-25</v>
          </cell>
          <cell r="IE124">
            <v>850000.00000000012</v>
          </cell>
          <cell r="IF124" t="str">
            <v>2024-25</v>
          </cell>
          <cell r="IG124">
            <v>7680000</v>
          </cell>
          <cell r="IH124" t="str">
            <v>2024-25</v>
          </cell>
          <cell r="II124">
            <v>83320000</v>
          </cell>
          <cell r="IJ124">
            <v>2.3929067517868869</v>
          </cell>
          <cell r="IK124" t="str">
            <v>2024-25</v>
          </cell>
          <cell r="IL124">
            <v>45.79</v>
          </cell>
          <cell r="IM124">
            <v>50.15</v>
          </cell>
          <cell r="IN124">
            <v>188.7</v>
          </cell>
          <cell r="IO124">
            <v>18.28</v>
          </cell>
          <cell r="IP124">
            <v>5.7523267137771796</v>
          </cell>
          <cell r="IQ124">
            <v>16.079999999999998</v>
          </cell>
          <cell r="IR124">
            <v>6.09</v>
          </cell>
          <cell r="IS124">
            <v>4.03</v>
          </cell>
          <cell r="IT124">
            <v>11.98</v>
          </cell>
          <cell r="IU124">
            <v>1.38</v>
          </cell>
          <cell r="IV124">
            <v>17.39</v>
          </cell>
          <cell r="IY124">
            <v>1.88</v>
          </cell>
          <cell r="IZ124">
            <v>0.3</v>
          </cell>
          <cell r="JA124">
            <v>3555</v>
          </cell>
          <cell r="JF124">
            <v>9.0263359399999974</v>
          </cell>
          <cell r="JG124">
            <v>16.08135906</v>
          </cell>
          <cell r="JH124">
            <v>75.145225080000003</v>
          </cell>
          <cell r="JI124">
            <v>394.79732302000002</v>
          </cell>
          <cell r="JJ124">
            <v>893.39434483000002</v>
          </cell>
          <cell r="JK124">
            <v>108.38462631999997</v>
          </cell>
          <cell r="JL124">
            <v>2888.41461097</v>
          </cell>
          <cell r="JM124">
            <v>67.478873699999994</v>
          </cell>
          <cell r="JN124">
            <v>238.52347214999995</v>
          </cell>
          <cell r="JO124">
            <v>33.254909299999994</v>
          </cell>
          <cell r="JP124">
            <v>0</v>
          </cell>
          <cell r="JQ124">
            <v>1.1801919999999999</v>
          </cell>
          <cell r="JR124">
            <v>0.71544037000000005</v>
          </cell>
          <cell r="JS124">
            <v>0</v>
          </cell>
          <cell r="JT124">
            <v>5.0000000000000001E-3</v>
          </cell>
          <cell r="JU124">
            <v>101.39273792999998</v>
          </cell>
          <cell r="JV124">
            <v>12.693340749999999</v>
          </cell>
          <cell r="JW124">
            <v>18.621494700000003</v>
          </cell>
          <cell r="JX124">
            <v>57.773616530000005</v>
          </cell>
          <cell r="JY124">
            <v>0</v>
          </cell>
          <cell r="JZ124">
            <v>16.861554870000003</v>
          </cell>
          <cell r="KA124">
            <v>3.6291999999999998E-2</v>
          </cell>
          <cell r="KB124">
            <v>14.879273850000001</v>
          </cell>
          <cell r="KC124">
            <v>54.830270300000002</v>
          </cell>
          <cell r="KD124">
            <v>12.502816449999999</v>
          </cell>
          <cell r="KE124">
            <v>25.565397789999999</v>
          </cell>
          <cell r="KF124">
            <v>6.7443728600000004</v>
          </cell>
          <cell r="KG124">
            <v>434.66638176999993</v>
          </cell>
          <cell r="KH124">
            <v>145.54293837</v>
          </cell>
          <cell r="KI124">
            <v>19.636014689999996</v>
          </cell>
          <cell r="KJ124">
            <v>2.1371287799999998</v>
          </cell>
          <cell r="KK124">
            <v>11.035692889999996</v>
          </cell>
          <cell r="KL124">
            <v>0.13893236</v>
          </cell>
          <cell r="KM124">
            <v>0.81445039000000008</v>
          </cell>
          <cell r="KN124">
            <v>1.0879600200000001</v>
          </cell>
          <cell r="KO124">
            <v>6.2033861399999992</v>
          </cell>
          <cell r="KP124">
            <v>0.14424532000000001</v>
          </cell>
          <cell r="KQ124">
            <v>233.24182337000002</v>
          </cell>
          <cell r="KR124">
            <v>6.1606000000000001E-2</v>
          </cell>
          <cell r="KS124">
            <v>0.10286677000000001</v>
          </cell>
          <cell r="KT124">
            <v>1.2444918700000001</v>
          </cell>
          <cell r="KU124">
            <v>0.53543670999999993</v>
          </cell>
          <cell r="KV124">
            <v>6.5586799999999999E-3</v>
          </cell>
          <cell r="KW124">
            <v>1.5890697199999997</v>
          </cell>
          <cell r="KX124">
            <v>0</v>
          </cell>
          <cell r="KY124">
            <v>0</v>
          </cell>
          <cell r="KZ124">
            <v>3.10878063</v>
          </cell>
          <cell r="LA124">
            <v>1.1488402600000001</v>
          </cell>
          <cell r="LB124">
            <v>4.3395080000000003E-2</v>
          </cell>
          <cell r="LC124">
            <v>0.10281458</v>
          </cell>
          <cell r="LD124">
            <v>0</v>
          </cell>
          <cell r="LE124">
            <v>9.9999999999999995E-7</v>
          </cell>
          <cell r="LF124">
            <v>4.9905399999999999E-3</v>
          </cell>
          <cell r="LG124">
            <v>13.839856769999999</v>
          </cell>
          <cell r="LH124">
            <v>2.5223350999999994</v>
          </cell>
          <cell r="LI124">
            <v>2.3219247899999997</v>
          </cell>
          <cell r="LJ124">
            <v>0</v>
          </cell>
          <cell r="LK124">
            <v>2.0550383299999999</v>
          </cell>
          <cell r="LL124">
            <v>6.816705279999999</v>
          </cell>
          <cell r="LM124">
            <v>2.3716850700000007</v>
          </cell>
          <cell r="LN124">
            <v>7.1441070000000009E-2</v>
          </cell>
          <cell r="LO124">
            <v>11.837628230000002</v>
          </cell>
          <cell r="LQ124">
            <v>4557.75384975</v>
          </cell>
          <cell r="LR124">
            <v>1.9006323699999998</v>
          </cell>
          <cell r="LS124">
            <v>31.314835450000004</v>
          </cell>
          <cell r="LT124">
            <v>16.897846870000002</v>
          </cell>
          <cell r="LU124">
            <v>241.51209269000003</v>
          </cell>
          <cell r="LV124">
            <v>1.5956283999999996</v>
          </cell>
          <cell r="LW124">
            <v>1.1922353400000001</v>
          </cell>
          <cell r="LX124">
            <v>4.99154E-3</v>
          </cell>
          <cell r="LZ124">
            <v>1553.69</v>
          </cell>
          <cell r="MA124">
            <v>1848.08</v>
          </cell>
          <cell r="MH124">
            <v>3661.28</v>
          </cell>
          <cell r="MI124">
            <v>905.23</v>
          </cell>
          <cell r="MJ124">
            <v>870.54</v>
          </cell>
          <cell r="ML124">
            <v>703.69</v>
          </cell>
          <cell r="MM124">
            <v>2175.9299999999998</v>
          </cell>
          <cell r="MO124">
            <v>855.05</v>
          </cell>
          <cell r="MP124">
            <v>2194.58</v>
          </cell>
          <cell r="MQ124">
            <v>2390.62</v>
          </cell>
          <cell r="MU124">
            <v>971.05</v>
          </cell>
          <cell r="MY124">
            <v>2286.0100000000002</v>
          </cell>
          <cell r="MZ124">
            <v>7141</v>
          </cell>
          <cell r="NA124">
            <v>3872</v>
          </cell>
          <cell r="NB124">
            <v>11375</v>
          </cell>
          <cell r="NC124">
            <v>1584.36</v>
          </cell>
          <cell r="ND124">
            <v>11790</v>
          </cell>
          <cell r="NE124">
            <v>7251</v>
          </cell>
        </row>
        <row r="125">
          <cell r="A125">
            <v>45870</v>
          </cell>
          <cell r="B125">
            <v>8</v>
          </cell>
          <cell r="C125">
            <v>2025</v>
          </cell>
          <cell r="D125">
            <v>125</v>
          </cell>
          <cell r="E125">
            <v>45870</v>
          </cell>
          <cell r="F125">
            <v>1319.5</v>
          </cell>
          <cell r="G125">
            <v>9193.2000000000007</v>
          </cell>
          <cell r="H125">
            <v>891530.07</v>
          </cell>
          <cell r="I125">
            <v>98</v>
          </cell>
          <cell r="J125">
            <v>620</v>
          </cell>
          <cell r="K125">
            <v>4</v>
          </cell>
          <cell r="L125">
            <v>33.6</v>
          </cell>
          <cell r="N125">
            <v>1.2625</v>
          </cell>
          <cell r="O125">
            <v>0.99249999999999994</v>
          </cell>
          <cell r="P125">
            <v>1413.3494374999998</v>
          </cell>
          <cell r="Q125">
            <v>20000</v>
          </cell>
          <cell r="R125">
            <v>200000</v>
          </cell>
          <cell r="S125">
            <v>185.74</v>
          </cell>
          <cell r="T125">
            <v>321.71276998863203</v>
          </cell>
          <cell r="U125">
            <v>174.53</v>
          </cell>
          <cell r="V125">
            <v>294.77</v>
          </cell>
          <cell r="W125">
            <v>203</v>
          </cell>
          <cell r="X125">
            <v>195.29</v>
          </cell>
          <cell r="Y125">
            <v>245083.93000000002</v>
          </cell>
          <cell r="Z125">
            <v>424499.99999999994</v>
          </cell>
          <cell r="AA125">
            <v>230292.33499999999</v>
          </cell>
          <cell r="AB125">
            <v>388949.01499999996</v>
          </cell>
          <cell r="AC125">
            <v>267858.5</v>
          </cell>
          <cell r="AD125">
            <v>257685.155</v>
          </cell>
          <cell r="AE125">
            <v>302394.82250000001</v>
          </cell>
          <cell r="AF125">
            <v>748810.41570000001</v>
          </cell>
          <cell r="AG125">
            <v>290000</v>
          </cell>
          <cell r="AH125">
            <v>950000</v>
          </cell>
          <cell r="AI125">
            <v>389.21</v>
          </cell>
          <cell r="AJ125">
            <v>252.69</v>
          </cell>
          <cell r="AK125">
            <v>225.91</v>
          </cell>
          <cell r="AL125">
            <v>235.19</v>
          </cell>
          <cell r="AM125">
            <v>304.32639999999998</v>
          </cell>
          <cell r="AN125">
            <v>1555.4175500000001</v>
          </cell>
          <cell r="AO125">
            <v>1547.9950000000001</v>
          </cell>
          <cell r="AP125">
            <v>1551.706275</v>
          </cell>
          <cell r="AQ125">
            <v>567.47600000000011</v>
          </cell>
          <cell r="AR125">
            <v>671.16799999999989</v>
          </cell>
          <cell r="AS125">
            <v>563.64899999999989</v>
          </cell>
          <cell r="AT125">
            <v>754.07500000000005</v>
          </cell>
          <cell r="AU125">
            <v>662.96399999999994</v>
          </cell>
          <cell r="AV125">
            <v>286.74028301886773</v>
          </cell>
          <cell r="AW125">
            <v>294.375</v>
          </cell>
          <cell r="AX125">
            <v>285.72750000000002</v>
          </cell>
          <cell r="AY125">
            <v>1462.116</v>
          </cell>
          <cell r="AZ125">
            <v>446.76500000000004</v>
          </cell>
          <cell r="BA125">
            <v>231.35027027027024</v>
          </cell>
          <cell r="BB125">
            <v>606.48969256756754</v>
          </cell>
          <cell r="BC125">
            <v>41672</v>
          </cell>
          <cell r="BD125">
            <v>37505</v>
          </cell>
          <cell r="BE125">
            <v>25700</v>
          </cell>
          <cell r="BF125">
            <v>19000</v>
          </cell>
          <cell r="BG125">
            <v>30969.25</v>
          </cell>
          <cell r="BH125">
            <v>3807</v>
          </cell>
          <cell r="BI125">
            <v>822</v>
          </cell>
          <cell r="BJ125">
            <v>4629</v>
          </cell>
          <cell r="BK125">
            <v>3056</v>
          </cell>
          <cell r="BL125">
            <v>3831</v>
          </cell>
          <cell r="BM125">
            <v>3443.5</v>
          </cell>
          <cell r="BN125">
            <v>473.74</v>
          </cell>
          <cell r="BO125">
            <v>2262</v>
          </cell>
          <cell r="BP125">
            <v>1877.75</v>
          </cell>
          <cell r="BQ125">
            <v>2069.875</v>
          </cell>
          <cell r="BR125">
            <v>1661.5</v>
          </cell>
          <cell r="BS125">
            <v>6500</v>
          </cell>
          <cell r="BT125">
            <v>1926.47</v>
          </cell>
          <cell r="BU125">
            <v>83779.41</v>
          </cell>
          <cell r="BV125">
            <v>1945</v>
          </cell>
          <cell r="BW125">
            <v>3345.6</v>
          </cell>
          <cell r="BY125">
            <v>10948.820509054232</v>
          </cell>
          <cell r="BZ125">
            <v>10704.433817355681</v>
          </cell>
          <cell r="CA125">
            <v>11478.574164919231</v>
          </cell>
          <cell r="CB125">
            <v>11313.862920761831</v>
          </cell>
          <cell r="CC125">
            <v>11268.195026569118</v>
          </cell>
          <cell r="CD125">
            <v>11629.691542872573</v>
          </cell>
          <cell r="CE125">
            <v>11779.152268539809</v>
          </cell>
          <cell r="CF125">
            <v>11668.707877062494</v>
          </cell>
          <cell r="CG125">
            <v>11523.030633454176</v>
          </cell>
          <cell r="CH125">
            <v>11319.032527081681</v>
          </cell>
          <cell r="CI125">
            <v>11056.75979526324</v>
          </cell>
          <cell r="CJ125">
            <v>10382.546823080225</v>
          </cell>
          <cell r="CK125">
            <v>10473.909198565525</v>
          </cell>
          <cell r="CL125">
            <v>14906.203419631893</v>
          </cell>
          <cell r="CM125">
            <v>10137.593546229133</v>
          </cell>
          <cell r="CN125">
            <v>10176.295367652654</v>
          </cell>
          <cell r="CO125">
            <v>11423.5003830198</v>
          </cell>
          <cell r="CP125">
            <v>11955.362529600978</v>
          </cell>
          <cell r="CQ125">
            <v>10925.308589798093</v>
          </cell>
          <cell r="CR125">
            <v>11855.792203452069</v>
          </cell>
          <cell r="CS125">
            <v>11390.55039662508</v>
          </cell>
          <cell r="CT125">
            <v>10246.69878877993</v>
          </cell>
          <cell r="CU125">
            <v>10834.72242133794</v>
          </cell>
          <cell r="CV125">
            <v>10674.895691148673</v>
          </cell>
          <cell r="CW125">
            <v>10674.895691148673</v>
          </cell>
          <cell r="CX125">
            <v>10728.17126787843</v>
          </cell>
          <cell r="CY125">
            <v>11070.984345801633</v>
          </cell>
          <cell r="CZ125">
            <v>13764.746955366722</v>
          </cell>
          <cell r="DA125">
            <v>11411.105699658588</v>
          </cell>
          <cell r="DB125">
            <v>11582.039826128084</v>
          </cell>
          <cell r="DC125">
            <v>11375.588366374526</v>
          </cell>
          <cell r="DD125">
            <v>11176.191180626571</v>
          </cell>
          <cell r="DE125">
            <v>9988.084483057235</v>
          </cell>
          <cell r="DF125">
            <v>11543.678873334471</v>
          </cell>
          <cell r="DG125">
            <v>10765.881678195852</v>
          </cell>
          <cell r="DH125">
            <v>11152.391831199298</v>
          </cell>
          <cell r="DI125">
            <v>11340.985328453446</v>
          </cell>
          <cell r="DK125">
            <v>690000</v>
          </cell>
          <cell r="DL125" t="str">
            <v>2024-25</v>
          </cell>
          <cell r="DM125">
            <v>230000</v>
          </cell>
          <cell r="DN125" t="str">
            <v>2024-25</v>
          </cell>
          <cell r="DO125">
            <v>1500000</v>
          </cell>
          <cell r="DP125" t="str">
            <v>2025-26</v>
          </cell>
          <cell r="DQ125">
            <v>2700000</v>
          </cell>
          <cell r="DR125" t="str">
            <v>2025-26</v>
          </cell>
          <cell r="DS125">
            <v>7800000</v>
          </cell>
          <cell r="DT125" t="str">
            <v>2025-26</v>
          </cell>
          <cell r="DU125">
            <v>18000000</v>
          </cell>
          <cell r="DV125" t="str">
            <v>2025-26</v>
          </cell>
          <cell r="DW125">
            <v>955000</v>
          </cell>
          <cell r="DX125" t="str">
            <v>2025-26</v>
          </cell>
          <cell r="DY125">
            <v>6600000</v>
          </cell>
          <cell r="DZ125" t="str">
            <v>2025-26</v>
          </cell>
          <cell r="EA125">
            <v>37555000</v>
          </cell>
          <cell r="EB125">
            <v>521230</v>
          </cell>
          <cell r="EC125" t="str">
            <v>2024-25</v>
          </cell>
          <cell r="ED125">
            <v>231352</v>
          </cell>
          <cell r="EE125">
            <v>2025</v>
          </cell>
          <cell r="EF125">
            <v>196220</v>
          </cell>
          <cell r="EG125">
            <v>2025</v>
          </cell>
          <cell r="EH125">
            <v>51624909</v>
          </cell>
          <cell r="EI125">
            <v>2025</v>
          </cell>
          <cell r="EJ125">
            <v>5987778</v>
          </cell>
          <cell r="EK125">
            <v>2025</v>
          </cell>
          <cell r="EL125">
            <v>11967429</v>
          </cell>
          <cell r="EM125">
            <v>2025</v>
          </cell>
          <cell r="EN125">
            <v>2872225</v>
          </cell>
          <cell r="EO125">
            <v>2025</v>
          </cell>
          <cell r="EP125">
            <v>9329</v>
          </cell>
          <cell r="EQ125">
            <v>4000000</v>
          </cell>
          <cell r="ER125">
            <v>80248</v>
          </cell>
          <cell r="ET125">
            <v>19357</v>
          </cell>
          <cell r="EU125">
            <v>18703</v>
          </cell>
          <cell r="EV125">
            <v>8927</v>
          </cell>
          <cell r="EW125">
            <v>17408</v>
          </cell>
          <cell r="EX125">
            <v>64395</v>
          </cell>
          <cell r="EY125">
            <v>20031</v>
          </cell>
          <cell r="EZ125">
            <v>38177</v>
          </cell>
          <cell r="FA125">
            <v>19900</v>
          </cell>
          <cell r="FB125">
            <v>18184</v>
          </cell>
          <cell r="FC125">
            <v>38084</v>
          </cell>
          <cell r="FD125">
            <v>60376</v>
          </cell>
          <cell r="FF125">
            <v>1100000</v>
          </cell>
          <cell r="FG125" t="str">
            <v>2024-25</v>
          </cell>
          <cell r="FH125">
            <v>1600000</v>
          </cell>
          <cell r="FI125" t="str">
            <v>2024-25</v>
          </cell>
          <cell r="FJ125">
            <v>5000000</v>
          </cell>
          <cell r="FK125" t="str">
            <v>2024-25</v>
          </cell>
          <cell r="FL125">
            <v>5000000</v>
          </cell>
          <cell r="FM125" t="str">
            <v>2024-25</v>
          </cell>
          <cell r="FN125">
            <v>49000000</v>
          </cell>
          <cell r="FO125" t="str">
            <v>2024-25</v>
          </cell>
          <cell r="FP125">
            <v>50300000</v>
          </cell>
          <cell r="FQ125" t="str">
            <v>2024-25</v>
          </cell>
          <cell r="FR125">
            <v>3100000</v>
          </cell>
          <cell r="FS125" t="str">
            <v>2024-25</v>
          </cell>
          <cell r="FT125">
            <v>18600000</v>
          </cell>
          <cell r="FU125" t="str">
            <v>2024-25</v>
          </cell>
          <cell r="FV125">
            <v>131000000</v>
          </cell>
          <cell r="FW125">
            <v>1895131</v>
          </cell>
          <cell r="FX125" t="str">
            <v>2024-25</v>
          </cell>
          <cell r="FY125">
            <v>147213</v>
          </cell>
          <cell r="FZ125">
            <v>884924</v>
          </cell>
          <cell r="GA125" t="str">
            <v>sept24 ago25</v>
          </cell>
          <cell r="GB125">
            <v>19908335</v>
          </cell>
          <cell r="GC125">
            <v>2025</v>
          </cell>
          <cell r="GD125">
            <v>1714000</v>
          </cell>
          <cell r="GE125">
            <v>424000</v>
          </cell>
          <cell r="GF125">
            <v>1165000</v>
          </cell>
          <cell r="GG125">
            <v>145000</v>
          </cell>
          <cell r="GH125">
            <v>1734000</v>
          </cell>
          <cell r="GI125">
            <v>1302556</v>
          </cell>
          <cell r="GJ125">
            <v>682423</v>
          </cell>
          <cell r="GK125">
            <v>1391495</v>
          </cell>
          <cell r="GL125">
            <v>305049</v>
          </cell>
          <cell r="GM125">
            <v>260419</v>
          </cell>
          <cell r="GN125">
            <v>2639386</v>
          </cell>
          <cell r="GO125">
            <v>201734</v>
          </cell>
          <cell r="GP125">
            <v>75000</v>
          </cell>
          <cell r="GQ125">
            <v>22313</v>
          </cell>
          <cell r="GR125">
            <v>31107</v>
          </cell>
          <cell r="GS125">
            <v>31776.39</v>
          </cell>
          <cell r="GT125">
            <v>2111561</v>
          </cell>
          <cell r="GU125">
            <v>26316</v>
          </cell>
          <cell r="GV125">
            <v>33625</v>
          </cell>
          <cell r="GW125">
            <v>797950</v>
          </cell>
          <cell r="GX125">
            <v>36041.686000000002</v>
          </cell>
          <cell r="GY125" t="str">
            <v>2024-2025</v>
          </cell>
          <cell r="GZ125">
            <v>119643</v>
          </cell>
          <cell r="HA125">
            <v>270798</v>
          </cell>
          <cell r="HB125">
            <v>3183561</v>
          </cell>
          <cell r="HC125" t="str">
            <v>sept24 ago25</v>
          </cell>
          <cell r="HD125">
            <v>68814</v>
          </cell>
          <cell r="HE125">
            <v>787170</v>
          </cell>
          <cell r="HF125" t="str">
            <v>sept24 ago25</v>
          </cell>
          <cell r="HG125">
            <v>191000</v>
          </cell>
          <cell r="HH125">
            <v>2311000</v>
          </cell>
          <cell r="HI125" t="str">
            <v>sept24 ago25</v>
          </cell>
          <cell r="HJ125">
            <v>91407</v>
          </cell>
          <cell r="HK125">
            <v>63914.183999999994</v>
          </cell>
          <cell r="HL125" t="str">
            <v>sept24 ago25</v>
          </cell>
          <cell r="HM125">
            <v>2374914.1839999999</v>
          </cell>
          <cell r="HN125">
            <v>0.15666843596426183</v>
          </cell>
          <cell r="HO125">
            <v>1090445698</v>
          </cell>
          <cell r="HP125">
            <v>11394.148709999999</v>
          </cell>
          <cell r="HQ125" t="str">
            <v>sept24 ago25</v>
          </cell>
          <cell r="HU125">
            <v>990000</v>
          </cell>
          <cell r="HV125" t="str">
            <v>2024-25</v>
          </cell>
          <cell r="HW125">
            <v>1460000</v>
          </cell>
          <cell r="HX125" t="str">
            <v>2024-25</v>
          </cell>
          <cell r="HY125">
            <v>4730000</v>
          </cell>
          <cell r="HZ125" t="str">
            <v>2024-25</v>
          </cell>
          <cell r="IA125">
            <v>20600000</v>
          </cell>
          <cell r="IB125" t="str">
            <v>2024-25</v>
          </cell>
          <cell r="IC125">
            <v>50500000</v>
          </cell>
          <cell r="ID125" t="str">
            <v>2024-25</v>
          </cell>
          <cell r="IE125">
            <v>850000.00000000012</v>
          </cell>
          <cell r="IF125" t="str">
            <v>2024-25</v>
          </cell>
          <cell r="IG125">
            <v>7680000</v>
          </cell>
          <cell r="IH125" t="str">
            <v>2024-25</v>
          </cell>
          <cell r="II125">
            <v>85820000</v>
          </cell>
          <cell r="IJ125">
            <v>2.3929067517868869</v>
          </cell>
          <cell r="IK125" t="str">
            <v>2025-26</v>
          </cell>
          <cell r="IL125">
            <v>45.67</v>
          </cell>
          <cell r="IM125">
            <v>49.93</v>
          </cell>
          <cell r="IN125">
            <v>185.2</v>
          </cell>
          <cell r="IO125">
            <v>18.38</v>
          </cell>
          <cell r="IP125">
            <v>5.7523267137771796</v>
          </cell>
          <cell r="IQ125">
            <v>16.079999999999998</v>
          </cell>
          <cell r="IR125">
            <v>6.09</v>
          </cell>
          <cell r="IS125">
            <v>4.03</v>
          </cell>
          <cell r="IT125">
            <v>11.98</v>
          </cell>
          <cell r="IU125">
            <v>1.38</v>
          </cell>
          <cell r="IV125">
            <v>17.39</v>
          </cell>
          <cell r="IY125">
            <v>1.88</v>
          </cell>
          <cell r="IZ125">
            <v>0.3</v>
          </cell>
          <cell r="JA125">
            <v>3555</v>
          </cell>
          <cell r="JF125">
            <v>16.211576590000004</v>
          </cell>
          <cell r="JG125">
            <v>54.436744560000001</v>
          </cell>
          <cell r="JH125">
            <v>95.462297129999996</v>
          </cell>
          <cell r="JI125">
            <v>272.40413046999998</v>
          </cell>
          <cell r="JJ125">
            <v>610.61588126999993</v>
          </cell>
          <cell r="JK125">
            <v>119.79773589000003</v>
          </cell>
          <cell r="JL125">
            <v>3032.2939938299996</v>
          </cell>
          <cell r="JM125">
            <v>51.685727319999998</v>
          </cell>
          <cell r="JN125">
            <v>273.77466587999999</v>
          </cell>
          <cell r="JO125">
            <v>30.172516640000001</v>
          </cell>
          <cell r="JP125">
            <v>0</v>
          </cell>
          <cell r="JQ125">
            <v>0.53083819999999993</v>
          </cell>
          <cell r="JR125">
            <v>1.5314290399999999</v>
          </cell>
          <cell r="JS125">
            <v>0</v>
          </cell>
          <cell r="JT125">
            <v>0.32203109999999996</v>
          </cell>
          <cell r="JU125">
            <v>82.138745600000007</v>
          </cell>
          <cell r="JV125">
            <v>15.669595409999999</v>
          </cell>
          <cell r="JW125">
            <v>15.514393670000004</v>
          </cell>
          <cell r="JX125">
            <v>38.020287749999994</v>
          </cell>
          <cell r="JY125">
            <v>0</v>
          </cell>
          <cell r="JZ125">
            <v>14.222288370000001</v>
          </cell>
          <cell r="KA125">
            <v>0.12784000000000001</v>
          </cell>
          <cell r="KB125">
            <v>12.702036029999997</v>
          </cell>
          <cell r="KC125">
            <v>45.834687599999995</v>
          </cell>
          <cell r="KD125">
            <v>8.5848558799999992</v>
          </cell>
          <cell r="KE125">
            <v>20.973477770000002</v>
          </cell>
          <cell r="KF125">
            <v>6.5346210099999995</v>
          </cell>
          <cell r="KG125">
            <v>505.86158855000002</v>
          </cell>
          <cell r="KH125">
            <v>166.18279023000005</v>
          </cell>
          <cell r="KI125">
            <v>17.8919189</v>
          </cell>
          <cell r="KJ125">
            <v>2.08934314</v>
          </cell>
          <cell r="KK125">
            <v>10.908765819999998</v>
          </cell>
          <cell r="KL125">
            <v>0.26679149000000002</v>
          </cell>
          <cell r="KM125">
            <v>0.60080207000000008</v>
          </cell>
          <cell r="KN125">
            <v>0.12162415</v>
          </cell>
          <cell r="KO125">
            <v>0.76005977999999996</v>
          </cell>
          <cell r="KP125">
            <v>0.19844290000000001</v>
          </cell>
          <cell r="KQ125">
            <v>173.69860212000003</v>
          </cell>
          <cell r="KR125">
            <v>3.0000000000000001E-3</v>
          </cell>
          <cell r="KS125">
            <v>0.16156112</v>
          </cell>
          <cell r="KT125">
            <v>0.74439149999999998</v>
          </cell>
          <cell r="KU125">
            <v>0.30456642</v>
          </cell>
          <cell r="KV125">
            <v>9.4613000000000003E-2</v>
          </cell>
          <cell r="KW125">
            <v>1.3125597900000001</v>
          </cell>
          <cell r="KX125">
            <v>0</v>
          </cell>
          <cell r="KY125">
            <v>8.3700000000000007E-3</v>
          </cell>
          <cell r="KZ125">
            <v>3.3465065500000004</v>
          </cell>
          <cell r="LA125">
            <v>0.72520266</v>
          </cell>
          <cell r="LB125">
            <v>0</v>
          </cell>
          <cell r="LC125">
            <v>0.14496750999999999</v>
          </cell>
          <cell r="LD125">
            <v>0</v>
          </cell>
          <cell r="LE125">
            <v>2.631816E-2</v>
          </cell>
          <cell r="LF125">
            <v>0</v>
          </cell>
          <cell r="LG125">
            <v>17.838312650000002</v>
          </cell>
          <cell r="LH125">
            <v>3.4339864000000002</v>
          </cell>
          <cell r="LI125">
            <v>1.7438363500000003</v>
          </cell>
          <cell r="LJ125">
            <v>4.0170669999999999E-2</v>
          </cell>
          <cell r="LK125">
            <v>3.4351580800000003</v>
          </cell>
          <cell r="LL125">
            <v>9.6599299699999985</v>
          </cell>
          <cell r="LM125">
            <v>1.95823569</v>
          </cell>
          <cell r="LN125">
            <v>6.2847730000000004E-2</v>
          </cell>
          <cell r="LO125">
            <v>11.75892646</v>
          </cell>
          <cell r="LQ125">
            <v>4336.2366958999992</v>
          </cell>
          <cell r="LR125">
            <v>2.3842983399999995</v>
          </cell>
          <cell r="LS125">
            <v>31.183989080000003</v>
          </cell>
          <cell r="LT125">
            <v>14.350128370000002</v>
          </cell>
          <cell r="LU125">
            <v>175.34564924</v>
          </cell>
          <cell r="LV125">
            <v>1.4155427900000002</v>
          </cell>
          <cell r="LW125">
            <v>0.72520266</v>
          </cell>
          <cell r="LX125">
            <v>2.631816E-2</v>
          </cell>
          <cell r="LZ125">
            <v>1585.77</v>
          </cell>
          <cell r="MA125">
            <v>1811.63</v>
          </cell>
          <cell r="MH125">
            <v>3759.76</v>
          </cell>
          <cell r="MI125">
            <v>869.85</v>
          </cell>
          <cell r="MJ125">
            <v>855.43</v>
          </cell>
          <cell r="ML125">
            <v>716.66</v>
          </cell>
          <cell r="MM125">
            <v>2529.0100000000002</v>
          </cell>
          <cell r="MO125">
            <v>860.69</v>
          </cell>
          <cell r="MP125">
            <v>2218.63</v>
          </cell>
          <cell r="MQ125">
            <v>2487.5100000000002</v>
          </cell>
          <cell r="MU125">
            <v>1014.18</v>
          </cell>
          <cell r="MY125">
            <v>2322.0500000000002</v>
          </cell>
          <cell r="MZ125">
            <v>7206</v>
          </cell>
          <cell r="NA125">
            <v>3835</v>
          </cell>
          <cell r="NB125">
            <v>11281</v>
          </cell>
          <cell r="NC125">
            <v>1616.51</v>
          </cell>
          <cell r="ND125">
            <v>12290</v>
          </cell>
          <cell r="NE125">
            <v>7173</v>
          </cell>
        </row>
        <row r="126">
          <cell r="A126">
            <v>45901</v>
          </cell>
          <cell r="B126">
            <v>9</v>
          </cell>
          <cell r="C126">
            <v>2025</v>
          </cell>
          <cell r="D126">
            <v>126</v>
          </cell>
          <cell r="E126">
            <v>45901</v>
          </cell>
          <cell r="F126">
            <v>1393.8636363636363</v>
          </cell>
          <cell r="G126">
            <v>9384.0921999999991</v>
          </cell>
          <cell r="H126">
            <v>922903.02</v>
          </cell>
          <cell r="I126">
            <v>99</v>
          </cell>
          <cell r="J126">
            <v>650</v>
          </cell>
          <cell r="K126">
            <v>4</v>
          </cell>
          <cell r="L126">
            <v>35.4</v>
          </cell>
          <cell r="N126">
            <v>1.2075</v>
          </cell>
          <cell r="O126">
            <v>0.96499999999999986</v>
          </cell>
          <cell r="P126">
            <v>1438.3801562499998</v>
          </cell>
          <cell r="Q126">
            <v>22500</v>
          </cell>
          <cell r="R126">
            <v>225000</v>
          </cell>
          <cell r="S126">
            <v>187.78</v>
          </cell>
          <cell r="T126">
            <v>304.54916028045005</v>
          </cell>
          <cell r="U126">
            <v>176.09545454545454</v>
          </cell>
          <cell r="V126">
            <v>303.27727272727276</v>
          </cell>
          <cell r="W126">
            <v>198</v>
          </cell>
          <cell r="X126">
            <v>190.87727272727273</v>
          </cell>
          <cell r="Y126">
            <v>261739.71363636362</v>
          </cell>
          <cell r="Z126">
            <v>424500</v>
          </cell>
          <cell r="AA126">
            <v>245453.05061983468</v>
          </cell>
          <cell r="AB126">
            <v>422727.16219008266</v>
          </cell>
          <cell r="AC126">
            <v>275985</v>
          </cell>
          <cell r="AD126">
            <v>266056.88946280989</v>
          </cell>
          <cell r="AE126">
            <v>316076.9693181818</v>
          </cell>
          <cell r="AF126">
            <v>779824.5</v>
          </cell>
          <cell r="AG126">
            <v>280000</v>
          </cell>
          <cell r="AH126">
            <v>950000</v>
          </cell>
          <cell r="AI126">
            <v>372.98</v>
          </cell>
          <cell r="AJ126">
            <v>214.49</v>
          </cell>
          <cell r="AK126">
            <v>254.55</v>
          </cell>
          <cell r="AL126">
            <v>250.3</v>
          </cell>
          <cell r="AM126">
            <v>306.40540000000004</v>
          </cell>
          <cell r="AN126">
            <v>1522.9366513761495</v>
          </cell>
          <cell r="AO126">
            <v>1250.4363636363635</v>
          </cell>
          <cell r="AP126">
            <v>1386.6865075062565</v>
          </cell>
          <cell r="AQ126">
            <v>762.7045454545455</v>
          </cell>
          <cell r="AR126">
            <v>813.07318181818187</v>
          </cell>
          <cell r="AS126">
            <v>577.41045454545463</v>
          </cell>
          <cell r="AT126">
            <v>751.01136363636385</v>
          </cell>
          <cell r="AU126">
            <v>713.83166666666682</v>
          </cell>
          <cell r="AV126">
            <v>282.92007518797004</v>
          </cell>
          <cell r="AW126">
            <v>331.81818181818181</v>
          </cell>
          <cell r="AX126">
            <v>404.74954545454528</v>
          </cell>
          <cell r="AY126">
            <v>2299.2254545454543</v>
          </cell>
          <cell r="AZ126">
            <v>409.11772727272728</v>
          </cell>
          <cell r="BA126">
            <v>256.96954545454543</v>
          </cell>
          <cell r="BB126">
            <v>842.51556818181803</v>
          </cell>
          <cell r="BC126">
            <v>42838</v>
          </cell>
          <cell r="BD126">
            <v>38555</v>
          </cell>
          <cell r="BE126">
            <v>25700</v>
          </cell>
          <cell r="BF126">
            <v>19000</v>
          </cell>
          <cell r="BG126">
            <v>31523.25</v>
          </cell>
          <cell r="BH126">
            <v>3807</v>
          </cell>
          <cell r="BI126">
            <v>1129.2</v>
          </cell>
          <cell r="BJ126">
            <v>4936.2</v>
          </cell>
          <cell r="BK126">
            <v>3183.3333333333335</v>
          </cell>
          <cell r="BL126">
            <v>4186.2</v>
          </cell>
          <cell r="BM126">
            <v>3684.7666666666664</v>
          </cell>
          <cell r="BN126">
            <v>474.6</v>
          </cell>
          <cell r="BO126">
            <v>1991</v>
          </cell>
          <cell r="BP126">
            <v>2033</v>
          </cell>
          <cell r="BQ126">
            <v>2012</v>
          </cell>
          <cell r="BR126">
            <v>1734.5</v>
          </cell>
          <cell r="BS126">
            <v>6500</v>
          </cell>
          <cell r="BT126">
            <v>2258.0590909090911</v>
          </cell>
          <cell r="BU126">
            <v>84774.177272727276</v>
          </cell>
          <cell r="BV126">
            <v>2034</v>
          </cell>
          <cell r="BW126">
            <v>3551.6</v>
          </cell>
          <cell r="BY126">
            <v>11539.087835291699</v>
          </cell>
          <cell r="BZ126">
            <v>11515.235473010544</v>
          </cell>
          <cell r="CA126">
            <v>12423.026183115018</v>
          </cell>
          <cell r="CB126">
            <v>12047.895087710329</v>
          </cell>
          <cell r="CC126">
            <v>12209.311441994705</v>
          </cell>
          <cell r="CD126">
            <v>12639.149378110056</v>
          </cell>
          <cell r="CE126">
            <v>12599.613772947201</v>
          </cell>
          <cell r="CF126">
            <v>12540.544871115711</v>
          </cell>
          <cell r="CG126">
            <v>12409.923455832171</v>
          </cell>
          <cell r="CH126">
            <v>12093.614515505673</v>
          </cell>
          <cell r="CI126">
            <v>11747.915196705595</v>
          </cell>
          <cell r="CJ126">
            <v>10992.809897718589</v>
          </cell>
          <cell r="CK126">
            <v>11691.180056969184</v>
          </cell>
          <cell r="CL126">
            <v>18947.14808570785</v>
          </cell>
          <cell r="CM126">
            <v>10493.536725716236</v>
          </cell>
          <cell r="CN126">
            <v>10823.259055686707</v>
          </cell>
          <cell r="CO126">
            <v>12988.780981019994</v>
          </cell>
          <cell r="CP126">
            <v>12502.147098951411</v>
          </cell>
          <cell r="CQ126">
            <v>11424.129083964235</v>
          </cell>
          <cell r="CR126">
            <v>11933.722910871798</v>
          </cell>
          <cell r="CS126">
            <v>11678.925997418017</v>
          </cell>
          <cell r="CT126">
            <v>11063.1685308051</v>
          </cell>
          <cell r="CU126">
            <v>11668.294225837488</v>
          </cell>
          <cell r="CV126">
            <v>11333.535689476797</v>
          </cell>
          <cell r="CW126">
            <v>11333.535689476797</v>
          </cell>
          <cell r="CX126">
            <v>11445.121868263695</v>
          </cell>
          <cell r="CY126">
            <v>11566.035274498079</v>
          </cell>
          <cell r="CZ126">
            <v>14493.12792248171</v>
          </cell>
          <cell r="DA126">
            <v>11967.831630953066</v>
          </cell>
          <cell r="DB126">
            <v>12252.78084543916</v>
          </cell>
          <cell r="DC126">
            <v>12034.476164000749</v>
          </cell>
          <cell r="DD126">
            <v>11865.793314837641</v>
          </cell>
          <cell r="DE126">
            <v>10573.626625341487</v>
          </cell>
          <cell r="DF126">
            <v>12311.026658485998</v>
          </cell>
          <cell r="DG126">
            <v>11442.326641913744</v>
          </cell>
          <cell r="DH126">
            <v>11769.486943616865</v>
          </cell>
          <cell r="DI126">
            <v>11808.314731800294</v>
          </cell>
          <cell r="DK126">
            <v>750000</v>
          </cell>
          <cell r="DL126" t="str">
            <v>2025-26</v>
          </cell>
          <cell r="DM126">
            <v>210000</v>
          </cell>
          <cell r="DN126" t="str">
            <v>2025-26</v>
          </cell>
          <cell r="DO126">
            <v>1500000</v>
          </cell>
          <cell r="DP126" t="str">
            <v>2025-26</v>
          </cell>
          <cell r="DQ126">
            <v>2700000</v>
          </cell>
          <cell r="DR126" t="str">
            <v>2025-26</v>
          </cell>
          <cell r="DS126">
            <v>7800000</v>
          </cell>
          <cell r="DT126" t="str">
            <v>2025-26</v>
          </cell>
          <cell r="DU126">
            <v>17600000</v>
          </cell>
          <cell r="DV126" t="str">
            <v>2025-26</v>
          </cell>
          <cell r="DW126">
            <v>950000</v>
          </cell>
          <cell r="DX126" t="str">
            <v>2025-26</v>
          </cell>
          <cell r="DY126">
            <v>6600000</v>
          </cell>
          <cell r="DZ126" t="str">
            <v>2025-26</v>
          </cell>
          <cell r="EA126">
            <v>37150000</v>
          </cell>
          <cell r="EB126">
            <v>389000</v>
          </cell>
          <cell r="EC126" t="str">
            <v>2025-26</v>
          </cell>
          <cell r="ED126">
            <v>231352</v>
          </cell>
          <cell r="EE126">
            <v>2025</v>
          </cell>
          <cell r="EF126">
            <v>196220</v>
          </cell>
          <cell r="EG126">
            <v>2025</v>
          </cell>
          <cell r="EH126">
            <v>51624909</v>
          </cell>
          <cell r="EI126">
            <v>2025</v>
          </cell>
          <cell r="EJ126">
            <v>5987778</v>
          </cell>
          <cell r="EK126">
            <v>2025</v>
          </cell>
          <cell r="EL126">
            <v>11967429</v>
          </cell>
          <cell r="EM126">
            <v>2025</v>
          </cell>
          <cell r="EN126">
            <v>2820421</v>
          </cell>
          <cell r="EO126">
            <v>2025</v>
          </cell>
          <cell r="EP126">
            <v>9402</v>
          </cell>
          <cell r="EQ126">
            <v>4000000</v>
          </cell>
          <cell r="ER126">
            <v>80248</v>
          </cell>
          <cell r="ET126">
            <v>19357</v>
          </cell>
          <cell r="EU126">
            <v>18703</v>
          </cell>
          <cell r="EV126">
            <v>8927</v>
          </cell>
          <cell r="EW126">
            <v>17408</v>
          </cell>
          <cell r="EX126">
            <v>64395</v>
          </cell>
          <cell r="EY126">
            <v>20031</v>
          </cell>
          <cell r="EZ126">
            <v>38177</v>
          </cell>
          <cell r="FA126">
            <v>19900</v>
          </cell>
          <cell r="FB126">
            <v>18184</v>
          </cell>
          <cell r="FC126">
            <v>38084</v>
          </cell>
          <cell r="FD126">
            <v>60376</v>
          </cell>
          <cell r="FF126">
            <v>1100000</v>
          </cell>
          <cell r="FG126" t="str">
            <v>2024-25</v>
          </cell>
          <cell r="FH126">
            <v>1600000</v>
          </cell>
          <cell r="FI126" t="str">
            <v>2024-25</v>
          </cell>
          <cell r="FJ126">
            <v>5300000</v>
          </cell>
          <cell r="FK126" t="str">
            <v>2025-26</v>
          </cell>
          <cell r="FL126">
            <v>5800000</v>
          </cell>
          <cell r="FM126" t="str">
            <v>2025-26</v>
          </cell>
          <cell r="FN126">
            <v>58000000</v>
          </cell>
          <cell r="FO126" t="str">
            <v>2025-26</v>
          </cell>
          <cell r="FP126">
            <v>48500000</v>
          </cell>
          <cell r="FQ126" t="str">
            <v>2025-26</v>
          </cell>
          <cell r="FR126">
            <v>3000000</v>
          </cell>
          <cell r="FS126" t="str">
            <v>2025-26</v>
          </cell>
          <cell r="FT126">
            <v>22000000</v>
          </cell>
          <cell r="FU126" t="str">
            <v>2025-26</v>
          </cell>
          <cell r="FV126">
            <v>142600000</v>
          </cell>
          <cell r="FW126">
            <v>1389286</v>
          </cell>
          <cell r="FX126" t="str">
            <v>2025-26</v>
          </cell>
          <cell r="FY126">
            <v>77375</v>
          </cell>
          <cell r="FZ126">
            <v>883116</v>
          </cell>
          <cell r="GA126" t="str">
            <v>oct24 sept25</v>
          </cell>
          <cell r="GB126">
            <v>19908335</v>
          </cell>
          <cell r="GC126">
            <v>2025</v>
          </cell>
          <cell r="GD126">
            <v>1714000</v>
          </cell>
          <cell r="GE126">
            <v>424000</v>
          </cell>
          <cell r="GF126">
            <v>1165000</v>
          </cell>
          <cell r="GG126">
            <v>145000</v>
          </cell>
          <cell r="GH126">
            <v>1734000</v>
          </cell>
          <cell r="GI126">
            <v>1302556</v>
          </cell>
          <cell r="GJ126">
            <v>682423</v>
          </cell>
          <cell r="GK126">
            <v>1391495</v>
          </cell>
          <cell r="GL126">
            <v>305049</v>
          </cell>
          <cell r="GM126">
            <v>260419</v>
          </cell>
          <cell r="GN126">
            <v>2639386</v>
          </cell>
          <cell r="GO126">
            <v>201734</v>
          </cell>
          <cell r="GP126">
            <v>75000</v>
          </cell>
          <cell r="GQ126">
            <v>23861</v>
          </cell>
          <cell r="GR126">
            <v>31107</v>
          </cell>
          <cell r="GS126">
            <v>31822.83</v>
          </cell>
          <cell r="GT126">
            <v>2111561</v>
          </cell>
          <cell r="GU126">
            <v>26773</v>
          </cell>
          <cell r="GV126">
            <v>34307</v>
          </cell>
          <cell r="GW126">
            <v>806338</v>
          </cell>
          <cell r="GX126">
            <v>36041.686000000002</v>
          </cell>
          <cell r="GY126" t="str">
            <v>2024-2025</v>
          </cell>
          <cell r="GZ126">
            <v>119643</v>
          </cell>
          <cell r="HA126">
            <v>271798</v>
          </cell>
          <cell r="HB126">
            <v>3176359</v>
          </cell>
          <cell r="HC126" t="str">
            <v>oct24 sept25</v>
          </cell>
          <cell r="HD126">
            <v>70839</v>
          </cell>
          <cell r="HE126">
            <v>794422</v>
          </cell>
          <cell r="HF126" t="str">
            <v>oct24 sept25</v>
          </cell>
          <cell r="HG126">
            <v>203000</v>
          </cell>
          <cell r="HH126">
            <v>2322000</v>
          </cell>
          <cell r="HI126" t="str">
            <v>oct24 sept25</v>
          </cell>
          <cell r="HJ126">
            <v>96459</v>
          </cell>
          <cell r="HK126">
            <v>64526.724000000002</v>
          </cell>
          <cell r="HL126" t="str">
            <v>oct24 sept25</v>
          </cell>
          <cell r="HM126">
            <v>2386526.7239999999</v>
          </cell>
          <cell r="HN126">
            <v>0.1234910520659267</v>
          </cell>
          <cell r="HO126">
            <v>1115400793</v>
          </cell>
          <cell r="HP126">
            <v>11516.750502999999</v>
          </cell>
          <cell r="HQ126" t="str">
            <v>oct24 sept25</v>
          </cell>
          <cell r="HU126">
            <v>990000</v>
          </cell>
          <cell r="HV126" t="str">
            <v>2024-25</v>
          </cell>
          <cell r="HW126">
            <v>1460000</v>
          </cell>
          <cell r="HX126" t="str">
            <v>2024-25</v>
          </cell>
          <cell r="HY126">
            <v>4730000</v>
          </cell>
          <cell r="HZ126" t="str">
            <v>2024-25</v>
          </cell>
          <cell r="IA126">
            <v>20600000</v>
          </cell>
          <cell r="IB126" t="str">
            <v>2024-25</v>
          </cell>
          <cell r="IC126">
            <v>50500000</v>
          </cell>
          <cell r="ID126" t="str">
            <v>2024-25</v>
          </cell>
          <cell r="IE126">
            <v>850000.00000000012</v>
          </cell>
          <cell r="IF126" t="str">
            <v>2024-25</v>
          </cell>
          <cell r="IG126">
            <v>7710000.0000000009</v>
          </cell>
          <cell r="IH126" t="str">
            <v>2024-25</v>
          </cell>
          <cell r="II126">
            <v>85850000</v>
          </cell>
          <cell r="IJ126">
            <v>2.3929067517868869</v>
          </cell>
          <cell r="IK126" t="str">
            <v>2025-26</v>
          </cell>
          <cell r="IL126">
            <v>46.08</v>
          </cell>
          <cell r="IM126">
            <v>49.84</v>
          </cell>
          <cell r="IN126">
            <v>182.6</v>
          </cell>
          <cell r="IO126">
            <v>18.600000000000001</v>
          </cell>
          <cell r="IP126">
            <v>5.7523267137771796</v>
          </cell>
          <cell r="IQ126">
            <v>16.079999999999998</v>
          </cell>
          <cell r="IR126">
            <v>6.09</v>
          </cell>
          <cell r="IS126">
            <v>4.03</v>
          </cell>
          <cell r="IT126">
            <v>11.98</v>
          </cell>
          <cell r="IU126">
            <v>1.38</v>
          </cell>
          <cell r="IV126">
            <v>17.39</v>
          </cell>
          <cell r="IY126">
            <v>1.88</v>
          </cell>
          <cell r="IZ126">
            <v>0.3</v>
          </cell>
          <cell r="JA126">
            <v>3555</v>
          </cell>
          <cell r="JF126">
            <v>18.652099290000002</v>
          </cell>
          <cell r="JG126">
            <v>15.634826659999996</v>
          </cell>
          <cell r="JH126">
            <v>83.235661800000003</v>
          </cell>
          <cell r="JI126">
            <v>272.31538105000004</v>
          </cell>
          <cell r="JJ126">
            <v>483.44685553999989</v>
          </cell>
          <cell r="JK126">
            <v>137.05460552</v>
          </cell>
          <cell r="JL126">
            <v>3325.4566029700004</v>
          </cell>
          <cell r="JM126">
            <v>11.546835339999999</v>
          </cell>
          <cell r="JN126">
            <v>220.93591489000002</v>
          </cell>
          <cell r="JO126">
            <v>31.771959519999999</v>
          </cell>
          <cell r="JP126">
            <v>0</v>
          </cell>
          <cell r="JQ126">
            <v>0.15442800000000001</v>
          </cell>
          <cell r="JR126">
            <v>0.79042484000000002</v>
          </cell>
          <cell r="JS126">
            <v>0</v>
          </cell>
          <cell r="JT126">
            <v>5.0340000000000003E-2</v>
          </cell>
          <cell r="JU126">
            <v>103.29015631000003</v>
          </cell>
          <cell r="JV126">
            <v>23.96789236</v>
          </cell>
          <cell r="JW126">
            <v>17.078364690000001</v>
          </cell>
          <cell r="JX126">
            <v>27.617871260000001</v>
          </cell>
          <cell r="JY126">
            <v>0</v>
          </cell>
          <cell r="JZ126">
            <v>7.8217500800000002</v>
          </cell>
          <cell r="KA126">
            <v>0.53492799999999996</v>
          </cell>
          <cell r="KB126">
            <v>16.167947309999995</v>
          </cell>
          <cell r="KC126">
            <v>72.4463358</v>
          </cell>
          <cell r="KD126">
            <v>12.267837869999999</v>
          </cell>
          <cell r="KE126">
            <v>25.714133060000005</v>
          </cell>
          <cell r="KF126">
            <v>9.7942580100000001</v>
          </cell>
          <cell r="KG126">
            <v>536.17235368000001</v>
          </cell>
          <cell r="KH126">
            <v>202.06812983999998</v>
          </cell>
          <cell r="KI126">
            <v>19.550070639999998</v>
          </cell>
          <cell r="KJ126">
            <v>2.8298719000000001</v>
          </cell>
          <cell r="KK126">
            <v>9.0858989999999995</v>
          </cell>
          <cell r="KL126">
            <v>0.30085145999999996</v>
          </cell>
          <cell r="KM126">
            <v>1.3684569100000001</v>
          </cell>
          <cell r="KN126">
            <v>0.32615031999999999</v>
          </cell>
          <cell r="KO126">
            <v>2.4363805799999994</v>
          </cell>
          <cell r="KP126">
            <v>0.27773459</v>
          </cell>
          <cell r="KQ126">
            <v>175.41038189999995</v>
          </cell>
          <cell r="KR126">
            <v>1.5561E-2</v>
          </cell>
          <cell r="KS126">
            <v>0.21311633000000002</v>
          </cell>
          <cell r="KT126">
            <v>1.1250931100000001</v>
          </cell>
          <cell r="KU126">
            <v>0.45279353000000006</v>
          </cell>
          <cell r="KV126">
            <v>0.73196410999999995</v>
          </cell>
          <cell r="KW126">
            <v>1.7865804299999999</v>
          </cell>
          <cell r="KX126">
            <v>0</v>
          </cell>
          <cell r="KY126">
            <v>0</v>
          </cell>
          <cell r="KZ126">
            <v>6.2238594599999999</v>
          </cell>
          <cell r="LA126">
            <v>0.43976497000000003</v>
          </cell>
          <cell r="LB126">
            <v>0</v>
          </cell>
          <cell r="LC126">
            <v>0.21231149999999999</v>
          </cell>
          <cell r="LD126">
            <v>0</v>
          </cell>
          <cell r="LE126">
            <v>3.6450160000000002E-2</v>
          </cell>
          <cell r="LF126">
            <v>8.4655999999999995E-2</v>
          </cell>
          <cell r="LG126">
            <v>18.176691299999998</v>
          </cell>
          <cell r="LH126">
            <v>4.1999923900000002</v>
          </cell>
          <cell r="LI126">
            <v>2.1093840299999997</v>
          </cell>
          <cell r="LJ126">
            <v>0</v>
          </cell>
          <cell r="LK126">
            <v>5.5193633599999998</v>
          </cell>
          <cell r="LL126">
            <v>13.331294830000001</v>
          </cell>
          <cell r="LM126">
            <v>2.7814752500000006</v>
          </cell>
          <cell r="LN126">
            <v>0.12164886</v>
          </cell>
          <cell r="LO126">
            <v>13.92452713</v>
          </cell>
          <cell r="LQ126">
            <v>4396.9372515900004</v>
          </cell>
          <cell r="LR126">
            <v>0.99519284000000008</v>
          </cell>
          <cell r="LS126">
            <v>41.046257050000001</v>
          </cell>
          <cell r="LT126">
            <v>8.35667808</v>
          </cell>
          <cell r="LU126">
            <v>179.77004703999992</v>
          </cell>
          <cell r="LV126">
            <v>2.5185445399999997</v>
          </cell>
          <cell r="LW126">
            <v>0.43976497000000003</v>
          </cell>
          <cell r="LX126">
            <v>0.12110615999999999</v>
          </cell>
          <cell r="LZ126">
            <v>1635.68</v>
          </cell>
          <cell r="MA126">
            <v>1745.29</v>
          </cell>
          <cell r="MH126">
            <v>3833.99</v>
          </cell>
          <cell r="MI126">
            <v>914.65</v>
          </cell>
          <cell r="MJ126">
            <v>823</v>
          </cell>
          <cell r="ML126">
            <v>753.4</v>
          </cell>
          <cell r="MM126">
            <v>3310.32</v>
          </cell>
          <cell r="MO126">
            <v>922.05</v>
          </cell>
          <cell r="MP126">
            <v>2215.06</v>
          </cell>
          <cell r="MQ126">
            <v>2602.0700000000002</v>
          </cell>
          <cell r="MU126">
            <v>1060.5999999999999</v>
          </cell>
          <cell r="MY126">
            <v>2353.86</v>
          </cell>
          <cell r="MZ126">
            <v>7218</v>
          </cell>
          <cell r="NA126">
            <v>3808</v>
          </cell>
          <cell r="NB126">
            <v>11542</v>
          </cell>
          <cell r="NC126">
            <v>1580.18</v>
          </cell>
          <cell r="ND126">
            <v>12290</v>
          </cell>
          <cell r="NE126">
            <v>7394</v>
          </cell>
        </row>
        <row r="127">
          <cell r="A127">
            <v>45931</v>
          </cell>
          <cell r="B127">
            <v>10</v>
          </cell>
          <cell r="C127">
            <v>2025</v>
          </cell>
          <cell r="D127">
            <v>127</v>
          </cell>
          <cell r="E127">
            <v>45931</v>
          </cell>
          <cell r="F127">
            <v>1432.0227</v>
          </cell>
          <cell r="G127">
            <v>9603.8623000000007</v>
          </cell>
          <cell r="H127">
            <v>954746.56</v>
          </cell>
          <cell r="I127">
            <v>96</v>
          </cell>
          <cell r="J127">
            <v>600</v>
          </cell>
          <cell r="K127">
            <v>4</v>
          </cell>
          <cell r="L127">
            <v>33.799999999999997</v>
          </cell>
          <cell r="N127">
            <v>1.1940000000000002</v>
          </cell>
          <cell r="O127">
            <v>0.96599999999999997</v>
          </cell>
          <cell r="P127">
            <v>1469.2552902</v>
          </cell>
          <cell r="Q127">
            <v>22550</v>
          </cell>
          <cell r="R127">
            <v>225500</v>
          </cell>
          <cell r="S127">
            <v>180</v>
          </cell>
          <cell r="T127">
            <v>296.43384842991668</v>
          </cell>
          <cell r="U127">
            <v>175.87</v>
          </cell>
          <cell r="V127">
            <v>311.43</v>
          </cell>
          <cell r="W127">
            <v>194</v>
          </cell>
          <cell r="X127">
            <v>187.85</v>
          </cell>
          <cell r="Y127">
            <v>257764.08600000001</v>
          </cell>
          <cell r="Z127">
            <v>424500.00000000006</v>
          </cell>
          <cell r="AA127">
            <v>251849.832249</v>
          </cell>
          <cell r="AB127">
            <v>445974.82946099999</v>
          </cell>
          <cell r="AC127">
            <v>277812.40379999997</v>
          </cell>
          <cell r="AD127">
            <v>269005.46419500001</v>
          </cell>
          <cell r="AE127">
            <v>321151.1026175</v>
          </cell>
          <cell r="AF127">
            <v>825167.27272727271</v>
          </cell>
          <cell r="AG127">
            <v>280000</v>
          </cell>
          <cell r="AH127">
            <v>950000</v>
          </cell>
          <cell r="AI127">
            <v>473.53</v>
          </cell>
          <cell r="AJ127">
            <v>298.3</v>
          </cell>
          <cell r="AK127">
            <v>417.51</v>
          </cell>
          <cell r="AL127">
            <v>273.52999999999997</v>
          </cell>
          <cell r="AM127">
            <v>403.9556</v>
          </cell>
          <cell r="AN127">
            <v>1649.5</v>
          </cell>
          <cell r="AO127">
            <v>1607.5</v>
          </cell>
          <cell r="AP127">
            <v>1628.5</v>
          </cell>
          <cell r="AQ127">
            <v>1688.375</v>
          </cell>
          <cell r="AR127">
            <v>1035.25</v>
          </cell>
          <cell r="AS127">
            <v>573.75</v>
          </cell>
          <cell r="AT127">
            <v>914.5</v>
          </cell>
          <cell r="AU127">
            <v>841.16666666666663</v>
          </cell>
          <cell r="AV127">
            <v>277</v>
          </cell>
          <cell r="AW127">
            <v>306</v>
          </cell>
          <cell r="AX127">
            <v>522.75</v>
          </cell>
          <cell r="AY127">
            <v>1498</v>
          </cell>
          <cell r="AZ127">
            <v>428.25</v>
          </cell>
          <cell r="BA127">
            <v>301.75</v>
          </cell>
          <cell r="BB127">
            <v>687.6875</v>
          </cell>
          <cell r="BC127">
            <v>44166</v>
          </cell>
          <cell r="BD127">
            <v>39751</v>
          </cell>
          <cell r="BE127">
            <v>25000</v>
          </cell>
          <cell r="BF127">
            <v>19000</v>
          </cell>
          <cell r="BG127">
            <v>31979.25</v>
          </cell>
          <cell r="BH127">
            <v>3807</v>
          </cell>
          <cell r="BI127">
            <v>1129.2</v>
          </cell>
          <cell r="BJ127">
            <v>4936.2</v>
          </cell>
          <cell r="BK127">
            <v>3376.6120000000001</v>
          </cell>
          <cell r="BL127">
            <v>4506.8</v>
          </cell>
          <cell r="BM127">
            <v>3941.7060000000001</v>
          </cell>
          <cell r="BN127">
            <v>475.43</v>
          </cell>
          <cell r="BO127">
            <v>2002.2574999999999</v>
          </cell>
          <cell r="BP127">
            <v>2100</v>
          </cell>
          <cell r="BQ127">
            <v>2051.1287499999999</v>
          </cell>
          <cell r="BR127">
            <v>1779.79</v>
          </cell>
          <cell r="BS127">
            <v>6500</v>
          </cell>
          <cell r="BT127">
            <v>2749.4835840000001</v>
          </cell>
          <cell r="BU127">
            <v>86248.450752000004</v>
          </cell>
          <cell r="BV127">
            <v>2195</v>
          </cell>
          <cell r="BW127">
            <v>3819</v>
          </cell>
          <cell r="BY127">
            <v>11724.57051728266</v>
          </cell>
          <cell r="BZ127">
            <v>11625.447521355494</v>
          </cell>
          <cell r="CA127">
            <v>12531.619279693745</v>
          </cell>
          <cell r="CB127">
            <v>12220.763782456197</v>
          </cell>
          <cell r="CC127">
            <v>12386.083237313575</v>
          </cell>
          <cell r="CD127">
            <v>13046.95796041253</v>
          </cell>
          <cell r="CE127">
            <v>12666.627428012018</v>
          </cell>
          <cell r="CF127">
            <v>12729.151517215005</v>
          </cell>
          <cell r="CG127">
            <v>12596.867200850511</v>
          </cell>
          <cell r="CH127">
            <v>12497.616793266192</v>
          </cell>
          <cell r="CI127">
            <v>11948.544296767925</v>
          </cell>
          <cell r="CJ127">
            <v>11096.863859767585</v>
          </cell>
          <cell r="CK127">
            <v>12305.843531446877</v>
          </cell>
          <cell r="CL127">
            <v>15785.241688924862</v>
          </cell>
          <cell r="CM127">
            <v>10680.405954253089</v>
          </cell>
          <cell r="CN127">
            <v>11140.07784165782</v>
          </cell>
          <cell r="CO127">
            <v>12477.892254070661</v>
          </cell>
          <cell r="CP127">
            <v>13228.591666886283</v>
          </cell>
          <cell r="CQ127">
            <v>11699.657695327849</v>
          </cell>
          <cell r="CR127">
            <v>12634.766190920216</v>
          </cell>
          <cell r="CS127">
            <v>12167.211943124032</v>
          </cell>
          <cell r="CT127">
            <v>12345.716015818183</v>
          </cell>
          <cell r="CU127">
            <v>12064.235630186819</v>
          </cell>
          <cell r="CV127">
            <v>11421.841484879411</v>
          </cell>
          <cell r="CW127">
            <v>11421.841484879411</v>
          </cell>
          <cell r="CX127">
            <v>11635.972866648546</v>
          </cell>
          <cell r="CY127">
            <v>11822.28850084903</v>
          </cell>
          <cell r="CZ127">
            <v>14732.417872874668</v>
          </cell>
          <cell r="DA127">
            <v>12221.312630721703</v>
          </cell>
          <cell r="DB127">
            <v>12493.026543355083</v>
          </cell>
          <cell r="DC127">
            <v>12280.120365260345</v>
          </cell>
          <cell r="DD127">
            <v>12137.5798680919</v>
          </cell>
          <cell r="DE127">
            <v>10869.13915520413</v>
          </cell>
          <cell r="DF127">
            <v>12607.572075943644</v>
          </cell>
          <cell r="DG127">
            <v>11738.355615573888</v>
          </cell>
          <cell r="DH127">
            <v>12020.276248962509</v>
          </cell>
          <cell r="DI127">
            <v>12087.728309142445</v>
          </cell>
          <cell r="DK127">
            <v>700000</v>
          </cell>
          <cell r="DL127" t="str">
            <v>2025-26</v>
          </cell>
          <cell r="DM127">
            <v>200000</v>
          </cell>
          <cell r="DN127" t="str">
            <v>2025-26</v>
          </cell>
          <cell r="DO127">
            <v>1500000</v>
          </cell>
          <cell r="DP127" t="str">
            <v>2025-26</v>
          </cell>
          <cell r="DQ127">
            <v>2800000</v>
          </cell>
          <cell r="DR127" t="str">
            <v>2025-26</v>
          </cell>
          <cell r="DS127">
            <v>7800000</v>
          </cell>
          <cell r="DT127" t="str">
            <v>2025-26</v>
          </cell>
          <cell r="DU127">
            <v>17600000</v>
          </cell>
          <cell r="DV127" t="str">
            <v>2025-26</v>
          </cell>
          <cell r="DW127">
            <v>930000</v>
          </cell>
          <cell r="DX127" t="str">
            <v>2025-26</v>
          </cell>
          <cell r="DY127">
            <v>6600000</v>
          </cell>
          <cell r="DZ127" t="str">
            <v>2025-26</v>
          </cell>
          <cell r="EA127">
            <v>37230000</v>
          </cell>
          <cell r="EB127">
            <v>389000</v>
          </cell>
          <cell r="EC127" t="str">
            <v>2025-26</v>
          </cell>
          <cell r="ED127">
            <v>231352</v>
          </cell>
          <cell r="EE127">
            <v>2025</v>
          </cell>
          <cell r="EF127">
            <v>196220</v>
          </cell>
          <cell r="EG127">
            <v>2025</v>
          </cell>
          <cell r="EH127">
            <v>51624909</v>
          </cell>
          <cell r="EI127">
            <v>2025</v>
          </cell>
          <cell r="EJ127">
            <v>5987778</v>
          </cell>
          <cell r="EK127">
            <v>2025</v>
          </cell>
          <cell r="EL127">
            <v>11967429</v>
          </cell>
          <cell r="EM127">
            <v>2025</v>
          </cell>
          <cell r="EN127">
            <v>2898684</v>
          </cell>
          <cell r="EO127">
            <v>2025</v>
          </cell>
          <cell r="EP127">
            <v>9455</v>
          </cell>
          <cell r="EQ127">
            <v>4000000</v>
          </cell>
          <cell r="ER127">
            <v>80248</v>
          </cell>
          <cell r="ET127">
            <v>19357</v>
          </cell>
          <cell r="EU127">
            <v>18703</v>
          </cell>
          <cell r="EV127">
            <v>8927</v>
          </cell>
          <cell r="EW127">
            <v>17408</v>
          </cell>
          <cell r="EX127">
            <v>64395</v>
          </cell>
          <cell r="EY127">
            <v>20031</v>
          </cell>
          <cell r="EZ127">
            <v>38177</v>
          </cell>
          <cell r="FA127">
            <v>19900</v>
          </cell>
          <cell r="FB127">
            <v>18184</v>
          </cell>
          <cell r="FC127">
            <v>38084</v>
          </cell>
          <cell r="FD127">
            <v>60376</v>
          </cell>
          <cell r="FF127">
            <v>1100000</v>
          </cell>
          <cell r="FG127" t="str">
            <v>2024-25</v>
          </cell>
          <cell r="FH127">
            <v>1600000</v>
          </cell>
          <cell r="FI127" t="str">
            <v>2024-25</v>
          </cell>
          <cell r="FJ127">
            <v>5300000</v>
          </cell>
          <cell r="FK127" t="str">
            <v>2025-26</v>
          </cell>
          <cell r="FL127">
            <v>5800000</v>
          </cell>
          <cell r="FM127" t="str">
            <v>2025-26</v>
          </cell>
          <cell r="FN127">
            <v>58000000</v>
          </cell>
          <cell r="FO127" t="str">
            <v>2025-26</v>
          </cell>
          <cell r="FP127">
            <v>48500000</v>
          </cell>
          <cell r="FQ127" t="str">
            <v>2025-26</v>
          </cell>
          <cell r="FR127">
            <v>3000000</v>
          </cell>
          <cell r="FS127" t="str">
            <v>2025-26</v>
          </cell>
          <cell r="FT127">
            <v>22000000</v>
          </cell>
          <cell r="FU127" t="str">
            <v>2025-26</v>
          </cell>
          <cell r="FV127">
            <v>142600000</v>
          </cell>
          <cell r="FW127">
            <v>1389286</v>
          </cell>
          <cell r="FX127" t="str">
            <v>2025-26</v>
          </cell>
          <cell r="FY127">
            <v>2371</v>
          </cell>
          <cell r="FZ127">
            <v>885487</v>
          </cell>
          <cell r="GA127" t="str">
            <v>nov24 oct25</v>
          </cell>
          <cell r="GB127">
            <v>19908335</v>
          </cell>
          <cell r="GC127">
            <v>2025</v>
          </cell>
          <cell r="GD127">
            <v>1714000</v>
          </cell>
          <cell r="GE127">
            <v>424000</v>
          </cell>
          <cell r="GF127">
            <v>1165000</v>
          </cell>
          <cell r="GG127">
            <v>145000</v>
          </cell>
          <cell r="GH127">
            <v>1734000</v>
          </cell>
          <cell r="GI127">
            <v>1302556</v>
          </cell>
          <cell r="GJ127">
            <v>682423</v>
          </cell>
          <cell r="GK127">
            <v>1391495</v>
          </cell>
          <cell r="GL127">
            <v>305049</v>
          </cell>
          <cell r="GM127">
            <v>260419</v>
          </cell>
          <cell r="GN127">
            <v>2639386</v>
          </cell>
          <cell r="GO127">
            <v>201734</v>
          </cell>
          <cell r="GP127">
            <v>75000</v>
          </cell>
          <cell r="GQ127">
            <v>37226</v>
          </cell>
          <cell r="GR127">
            <v>31107</v>
          </cell>
          <cell r="GS127">
            <v>32223.78</v>
          </cell>
          <cell r="GT127">
            <v>2111561</v>
          </cell>
          <cell r="GU127">
            <v>20823</v>
          </cell>
          <cell r="GV127">
            <v>35258</v>
          </cell>
          <cell r="GW127">
            <v>810102</v>
          </cell>
          <cell r="GX127">
            <v>36041.686000000002</v>
          </cell>
          <cell r="GY127" t="str">
            <v>2024-2025</v>
          </cell>
          <cell r="GZ127">
            <v>119643</v>
          </cell>
          <cell r="HA127">
            <v>278573</v>
          </cell>
          <cell r="HB127">
            <v>3161932</v>
          </cell>
          <cell r="HC127" t="str">
            <v>nov24 oct25</v>
          </cell>
          <cell r="HD127">
            <v>72036</v>
          </cell>
          <cell r="HE127">
            <v>799713</v>
          </cell>
          <cell r="HF127" t="str">
            <v>nov24 oct25</v>
          </cell>
          <cell r="HG127">
            <v>219000</v>
          </cell>
          <cell r="HH127">
            <v>2336000</v>
          </cell>
          <cell r="HI127" t="str">
            <v>nov24 oct25</v>
          </cell>
          <cell r="HJ127">
            <v>103423</v>
          </cell>
          <cell r="HK127">
            <v>65441.904000000002</v>
          </cell>
          <cell r="HL127" t="str">
            <v>nov24 oct25</v>
          </cell>
          <cell r="HM127">
            <v>2401441.9040000001</v>
          </cell>
          <cell r="HN127">
            <v>0.14520025084930133</v>
          </cell>
          <cell r="HO127">
            <v>1162323285</v>
          </cell>
          <cell r="HP127">
            <v>11664.121788</v>
          </cell>
          <cell r="HQ127" t="str">
            <v>nov24 oct25</v>
          </cell>
          <cell r="HU127">
            <v>990000</v>
          </cell>
          <cell r="HV127" t="str">
            <v>2024-25</v>
          </cell>
          <cell r="HW127">
            <v>1460000</v>
          </cell>
          <cell r="HX127" t="str">
            <v>2024-25</v>
          </cell>
          <cell r="HY127">
            <v>4730000</v>
          </cell>
          <cell r="HZ127" t="str">
            <v>2024-25</v>
          </cell>
          <cell r="IA127">
            <v>20600000</v>
          </cell>
          <cell r="IB127" t="str">
            <v>2024-25</v>
          </cell>
          <cell r="IC127">
            <v>50500000</v>
          </cell>
          <cell r="ID127" t="str">
            <v>2024-25</v>
          </cell>
          <cell r="IE127">
            <v>850000.00000000012</v>
          </cell>
          <cell r="IF127" t="str">
            <v>2024-25</v>
          </cell>
          <cell r="IG127">
            <v>7710000.0000000009</v>
          </cell>
          <cell r="IH127" t="str">
            <v>2024-25</v>
          </cell>
          <cell r="II127">
            <v>85850000</v>
          </cell>
          <cell r="IJ127">
            <v>2.4834491694220664</v>
          </cell>
          <cell r="IK127" t="str">
            <v>2025-26</v>
          </cell>
          <cell r="IL127">
            <v>46.5</v>
          </cell>
          <cell r="IM127">
            <v>49.56</v>
          </cell>
          <cell r="IN127">
            <v>179.9</v>
          </cell>
          <cell r="IO127">
            <v>18.72</v>
          </cell>
          <cell r="IP127">
            <v>5.7523267137771796</v>
          </cell>
          <cell r="IQ127">
            <v>16.079999999999998</v>
          </cell>
          <cell r="IR127">
            <v>6.09</v>
          </cell>
          <cell r="IS127">
            <v>4.03</v>
          </cell>
          <cell r="IT127">
            <v>11.98</v>
          </cell>
          <cell r="IU127">
            <v>1.38</v>
          </cell>
          <cell r="IV127">
            <v>17.39</v>
          </cell>
          <cell r="IY127">
            <v>1.88</v>
          </cell>
          <cell r="IZ127">
            <v>0.3</v>
          </cell>
          <cell r="JA127">
            <v>3555</v>
          </cell>
          <cell r="JF127">
            <v>21.754931440000004</v>
          </cell>
          <cell r="JG127">
            <v>36.299912110000001</v>
          </cell>
          <cell r="JH127">
            <v>58.011658899999993</v>
          </cell>
          <cell r="JI127">
            <v>296.92994139999996</v>
          </cell>
          <cell r="JJ127">
            <v>408.78474411000002</v>
          </cell>
          <cell r="JK127">
            <v>153.65977728999999</v>
          </cell>
          <cell r="JL127">
            <v>2781.22633124</v>
          </cell>
          <cell r="JM127">
            <v>11.724220500000001</v>
          </cell>
          <cell r="JN127">
            <v>225.69280114</v>
          </cell>
          <cell r="JO127">
            <v>32.137001479999995</v>
          </cell>
          <cell r="JP127">
            <v>0</v>
          </cell>
          <cell r="JQ127">
            <v>2.5000000000000001E-3</v>
          </cell>
          <cell r="JR127">
            <v>1.4706078</v>
          </cell>
          <cell r="JS127">
            <v>0</v>
          </cell>
          <cell r="JT127">
            <v>5.5674419999999995E-2</v>
          </cell>
          <cell r="JU127">
            <v>79.565238250000007</v>
          </cell>
          <cell r="JV127">
            <v>10.66720278</v>
          </cell>
          <cell r="JW127">
            <v>14.240029049999999</v>
          </cell>
          <cell r="JX127">
            <v>15.59745008</v>
          </cell>
          <cell r="JY127">
            <v>0</v>
          </cell>
          <cell r="JZ127">
            <v>9.8384057999999985</v>
          </cell>
          <cell r="KA127">
            <v>0.27058500000000002</v>
          </cell>
          <cell r="KB127">
            <v>13.77020325</v>
          </cell>
          <cell r="KC127">
            <v>81.464957519999999</v>
          </cell>
          <cell r="KD127">
            <v>19.294760099999998</v>
          </cell>
          <cell r="KE127">
            <v>22.033355530000001</v>
          </cell>
          <cell r="KF127">
            <v>8.6585168299999999</v>
          </cell>
          <cell r="KG127">
            <v>535.90919134000001</v>
          </cell>
          <cell r="KH127">
            <v>210.64847638000006</v>
          </cell>
          <cell r="KI127">
            <v>21.077032079999999</v>
          </cell>
          <cell r="KJ127">
            <v>3.9252467499999995</v>
          </cell>
          <cell r="KK127">
            <v>10.164854930000002</v>
          </cell>
          <cell r="KL127">
            <v>0.17706282000000001</v>
          </cell>
          <cell r="KM127">
            <v>0.43971851000000001</v>
          </cell>
          <cell r="KN127">
            <v>0.24297491000000002</v>
          </cell>
          <cell r="KO127">
            <v>2.5887492900000009</v>
          </cell>
          <cell r="KP127">
            <v>9.9999999999999995E-7</v>
          </cell>
          <cell r="KQ127">
            <v>122.67470971000002</v>
          </cell>
          <cell r="KR127">
            <v>1.1928270000000001E-2</v>
          </cell>
          <cell r="KS127">
            <v>0.15760623999999998</v>
          </cell>
          <cell r="KT127">
            <v>1.1078551999999999</v>
          </cell>
          <cell r="KU127">
            <v>0.43603392000000002</v>
          </cell>
          <cell r="KV127">
            <v>0.72899765000000005</v>
          </cell>
          <cell r="KW127">
            <v>1.2801294799999998</v>
          </cell>
          <cell r="KX127">
            <v>0</v>
          </cell>
          <cell r="KY127">
            <v>1.9461599999999999E-2</v>
          </cell>
          <cell r="KZ127">
            <v>5.8187882499999999</v>
          </cell>
          <cell r="LA127">
            <v>0.16991200000000001</v>
          </cell>
          <cell r="LB127">
            <v>2.324273E-2</v>
          </cell>
          <cell r="LC127">
            <v>2.7039509800000006</v>
          </cell>
          <cell r="LD127">
            <v>0</v>
          </cell>
          <cell r="LE127">
            <v>0.34342195999999992</v>
          </cell>
          <cell r="LF127">
            <v>0.2089239</v>
          </cell>
          <cell r="LG127">
            <v>17.652505269999999</v>
          </cell>
          <cell r="LH127">
            <v>4.4276183800000002</v>
          </cell>
          <cell r="LI127">
            <v>1.9397561100000003</v>
          </cell>
          <cell r="LJ127">
            <v>0</v>
          </cell>
          <cell r="LK127">
            <v>2.9900732700000003</v>
          </cell>
          <cell r="LL127">
            <v>5.7331222099999994</v>
          </cell>
          <cell r="LM127">
            <v>2.2980596799999997</v>
          </cell>
          <cell r="LN127">
            <v>5.7726630000000001E-2</v>
          </cell>
          <cell r="LO127">
            <v>12.329496939999999</v>
          </cell>
          <cell r="LQ127">
            <v>3782.3696972900002</v>
          </cell>
          <cell r="LR127">
            <v>1.5287822199999999</v>
          </cell>
          <cell r="LS127">
            <v>24.907231830000001</v>
          </cell>
          <cell r="LT127">
            <v>10.108990799999999</v>
          </cell>
          <cell r="LU127">
            <v>126.11568693000002</v>
          </cell>
          <cell r="LV127">
            <v>2.0285887300000001</v>
          </cell>
          <cell r="LW127">
            <v>0.19315473</v>
          </cell>
          <cell r="LX127">
            <v>0.55234585999999997</v>
          </cell>
          <cell r="LZ127">
            <v>1648.05</v>
          </cell>
          <cell r="MA127">
            <v>1702.33</v>
          </cell>
          <cell r="MH127">
            <v>3908.68</v>
          </cell>
          <cell r="MI127">
            <v>914.61</v>
          </cell>
          <cell r="MJ127">
            <v>829.02</v>
          </cell>
          <cell r="ML127">
            <v>922.48</v>
          </cell>
          <cell r="MM127">
            <v>2998.37</v>
          </cell>
          <cell r="MO127">
            <v>991.28</v>
          </cell>
          <cell r="MP127">
            <v>2197.14</v>
          </cell>
          <cell r="MQ127">
            <v>2890.3</v>
          </cell>
          <cell r="MU127">
            <v>1071.0999999999999</v>
          </cell>
          <cell r="MY127">
            <v>2420.79</v>
          </cell>
          <cell r="MZ127">
            <v>7322</v>
          </cell>
          <cell r="NA127">
            <v>3775</v>
          </cell>
          <cell r="NB127">
            <v>12492</v>
          </cell>
          <cell r="NC127">
            <v>1591.71</v>
          </cell>
          <cell r="ND127">
            <v>13990</v>
          </cell>
          <cell r="NE127">
            <v>7565</v>
          </cell>
        </row>
        <row r="128">
          <cell r="A128">
            <v>45962</v>
          </cell>
          <cell r="B128">
            <v>11</v>
          </cell>
          <cell r="C128">
            <v>2025</v>
          </cell>
          <cell r="D128">
            <v>128</v>
          </cell>
          <cell r="E128">
            <v>45962</v>
          </cell>
          <cell r="F128">
            <v>1427.6176</v>
          </cell>
          <cell r="G128">
            <v>9841.3580999999995</v>
          </cell>
          <cell r="H128">
            <v>979158.27</v>
          </cell>
          <cell r="I128">
            <v>103</v>
          </cell>
          <cell r="J128">
            <v>570</v>
          </cell>
          <cell r="K128">
            <v>4.0999999999999996</v>
          </cell>
          <cell r="L128">
            <v>33.1</v>
          </cell>
          <cell r="N128">
            <v>1.2266666666666668</v>
          </cell>
          <cell r="O128">
            <v>0.96666666666666667</v>
          </cell>
          <cell r="P128">
            <v>1487.3396029333335</v>
          </cell>
          <cell r="Q128">
            <v>22550</v>
          </cell>
          <cell r="R128">
            <v>225500</v>
          </cell>
          <cell r="S128">
            <v>181.5</v>
          </cell>
          <cell r="T128">
            <v>344.68754097735973</v>
          </cell>
          <cell r="U128">
            <v>181.2</v>
          </cell>
          <cell r="V128">
            <v>322.7</v>
          </cell>
          <cell r="W128">
            <v>187</v>
          </cell>
          <cell r="X128">
            <v>185.5</v>
          </cell>
          <cell r="Y128">
            <v>259112.5944</v>
          </cell>
          <cell r="Z128">
            <v>492081.99999999994</v>
          </cell>
          <cell r="AA128">
            <v>258684.30911999999</v>
          </cell>
          <cell r="AB128">
            <v>460692.19952000002</v>
          </cell>
          <cell r="AC128">
            <v>266964.49119999999</v>
          </cell>
          <cell r="AD128">
            <v>264823.06479999999</v>
          </cell>
          <cell r="AE128">
            <v>333726.44317333336</v>
          </cell>
          <cell r="AF128">
            <v>847757.43839999998</v>
          </cell>
          <cell r="AG128">
            <v>195000</v>
          </cell>
          <cell r="AH128">
            <v>950000</v>
          </cell>
          <cell r="AI128">
            <v>499.75</v>
          </cell>
          <cell r="AJ128">
            <v>326.36</v>
          </cell>
          <cell r="AK128">
            <v>278.36</v>
          </cell>
          <cell r="AL128">
            <v>288.52999999999997</v>
          </cell>
          <cell r="AM128">
            <v>384.56020000000001</v>
          </cell>
          <cell r="AN128">
            <v>2080.75</v>
          </cell>
          <cell r="AO128">
            <v>2029.75</v>
          </cell>
          <cell r="AP128">
            <v>2055.25</v>
          </cell>
          <cell r="AQ128">
            <v>1661.25</v>
          </cell>
          <cell r="AR128">
            <v>1451</v>
          </cell>
          <cell r="AS128">
            <v>640</v>
          </cell>
          <cell r="AT128">
            <v>1285.5</v>
          </cell>
          <cell r="AU128">
            <v>1125.5</v>
          </cell>
          <cell r="AV128">
            <v>315.75</v>
          </cell>
          <cell r="AW128">
            <v>281.25</v>
          </cell>
          <cell r="AX128">
            <v>712.25</v>
          </cell>
          <cell r="AY128">
            <v>1018.75</v>
          </cell>
          <cell r="AZ128">
            <v>463.75</v>
          </cell>
          <cell r="BA128">
            <v>605.25</v>
          </cell>
          <cell r="BB128">
            <v>700</v>
          </cell>
          <cell r="BC128">
            <v>44166</v>
          </cell>
          <cell r="BD128">
            <v>39751</v>
          </cell>
          <cell r="BE128">
            <v>25000</v>
          </cell>
          <cell r="BF128">
            <v>19000</v>
          </cell>
          <cell r="BG128">
            <v>31979.25</v>
          </cell>
          <cell r="BH128">
            <v>3807</v>
          </cell>
          <cell r="BI128">
            <v>1129.2</v>
          </cell>
          <cell r="BJ128">
            <v>4936.2</v>
          </cell>
          <cell r="BK128">
            <v>3913.5070000000001</v>
          </cell>
          <cell r="BL128">
            <v>4896</v>
          </cell>
          <cell r="BM128">
            <v>4404.7534999999998</v>
          </cell>
          <cell r="BN128">
            <v>475.44</v>
          </cell>
          <cell r="BO128">
            <v>2086.75</v>
          </cell>
          <cell r="BP128">
            <v>2100</v>
          </cell>
          <cell r="BQ128">
            <v>2093.375</v>
          </cell>
          <cell r="BR128">
            <v>1844</v>
          </cell>
          <cell r="BS128">
            <v>6500</v>
          </cell>
          <cell r="BT128">
            <v>2755.3019679999998</v>
          </cell>
          <cell r="BU128">
            <v>86265.905903999999</v>
          </cell>
          <cell r="BV128">
            <v>2303</v>
          </cell>
          <cell r="BW128">
            <v>3865.6</v>
          </cell>
          <cell r="BY128">
            <v>11986.813643987394</v>
          </cell>
          <cell r="BZ128">
            <v>12101.095904354501</v>
          </cell>
          <cell r="CA128">
            <v>12704.347400757621</v>
          </cell>
          <cell r="CB128">
            <v>12871.418468909178</v>
          </cell>
          <cell r="CC128">
            <v>12553.054513247518</v>
          </cell>
          <cell r="CD128">
            <v>13351.187308303432</v>
          </cell>
          <cell r="CE128">
            <v>12553.570523124832</v>
          </cell>
          <cell r="CF128">
            <v>12866.043104529506</v>
          </cell>
          <cell r="CG128">
            <v>12816.603553145347</v>
          </cell>
          <cell r="CH128">
            <v>12779.708207832618</v>
          </cell>
          <cell r="CI128">
            <v>13149.24882317702</v>
          </cell>
          <cell r="CJ128">
            <v>11240.532579684212</v>
          </cell>
          <cell r="CK128">
            <v>13341.173069747359</v>
          </cell>
          <cell r="CL128">
            <v>13913.098586420574</v>
          </cell>
          <cell r="CM128">
            <v>10958.780134181176</v>
          </cell>
          <cell r="CN128">
            <v>12441.085137890153</v>
          </cell>
          <cell r="CO128">
            <v>12663.534232059817</v>
          </cell>
          <cell r="CP128">
            <v>13427.022735175615</v>
          </cell>
          <cell r="CQ128">
            <v>12293.323632634952</v>
          </cell>
          <cell r="CR128">
            <v>13475.907426105843</v>
          </cell>
          <cell r="CS128">
            <v>12884.615529370398</v>
          </cell>
          <cell r="CT128">
            <v>12525.785012966124</v>
          </cell>
          <cell r="CU128">
            <v>12783.659263944061</v>
          </cell>
          <cell r="CV128">
            <v>11663.476231345525</v>
          </cell>
          <cell r="CW128">
            <v>11663.476231345525</v>
          </cell>
          <cell r="CX128">
            <v>12036.870575545036</v>
          </cell>
          <cell r="CY128">
            <v>11909.638721724985</v>
          </cell>
          <cell r="CZ128">
            <v>15152.633872726032</v>
          </cell>
          <cell r="DA128">
            <v>12506.028355910183</v>
          </cell>
          <cell r="DB128">
            <v>12961.142323141605</v>
          </cell>
          <cell r="DC128">
            <v>12661.601289432889</v>
          </cell>
          <cell r="DD128">
            <v>12503.813321707197</v>
          </cell>
          <cell r="DE128">
            <v>11159.844051337213</v>
          </cell>
          <cell r="DF128">
            <v>12917.403065987131</v>
          </cell>
          <cell r="DG128">
            <v>12038.623558662173</v>
          </cell>
          <cell r="DH128">
            <v>12265.258215444739</v>
          </cell>
          <cell r="DI128">
            <v>12320.117603064004</v>
          </cell>
          <cell r="DK128">
            <v>600000</v>
          </cell>
          <cell r="DL128" t="str">
            <v>2025-26</v>
          </cell>
          <cell r="DM128">
            <v>190000</v>
          </cell>
          <cell r="DN128" t="str">
            <v>2025-26</v>
          </cell>
          <cell r="DO128">
            <v>1450000</v>
          </cell>
          <cell r="DP128" t="str">
            <v>2025-26</v>
          </cell>
          <cell r="DQ128">
            <v>2800000</v>
          </cell>
          <cell r="DR128" t="str">
            <v>2025-26</v>
          </cell>
          <cell r="DS128">
            <v>7800000</v>
          </cell>
          <cell r="DT128" t="str">
            <v>2025-26</v>
          </cell>
          <cell r="DU128">
            <v>17600000</v>
          </cell>
          <cell r="DV128" t="str">
            <v>2025-26</v>
          </cell>
          <cell r="DW128">
            <v>900000</v>
          </cell>
          <cell r="DX128" t="str">
            <v>2025-26</v>
          </cell>
          <cell r="DY128">
            <v>6900000</v>
          </cell>
          <cell r="DZ128" t="str">
            <v>2025-26</v>
          </cell>
          <cell r="EA128">
            <v>37450000</v>
          </cell>
          <cell r="EB128">
            <v>389000</v>
          </cell>
          <cell r="EC128" t="str">
            <v>2025-26</v>
          </cell>
          <cell r="ED128">
            <v>231352</v>
          </cell>
          <cell r="EE128">
            <v>2025</v>
          </cell>
          <cell r="EF128">
            <v>196220</v>
          </cell>
          <cell r="EG128">
            <v>2025</v>
          </cell>
          <cell r="EH128">
            <v>51624909</v>
          </cell>
          <cell r="EI128">
            <v>2025</v>
          </cell>
          <cell r="EJ128">
            <v>5987778</v>
          </cell>
          <cell r="EK128">
            <v>2025</v>
          </cell>
          <cell r="EL128">
            <v>11967429</v>
          </cell>
          <cell r="EM128">
            <v>2025</v>
          </cell>
          <cell r="EN128">
            <v>2961733</v>
          </cell>
          <cell r="EO128">
            <v>2025</v>
          </cell>
          <cell r="EP128">
            <v>9478</v>
          </cell>
          <cell r="EQ128">
            <v>4000000</v>
          </cell>
          <cell r="ER128">
            <v>80248</v>
          </cell>
          <cell r="ET128">
            <v>19357</v>
          </cell>
          <cell r="EU128">
            <v>18703</v>
          </cell>
          <cell r="EV128">
            <v>8927</v>
          </cell>
          <cell r="EW128">
            <v>17408</v>
          </cell>
          <cell r="EX128">
            <v>64395</v>
          </cell>
          <cell r="EY128">
            <v>20031</v>
          </cell>
          <cell r="EZ128">
            <v>38177</v>
          </cell>
          <cell r="FA128">
            <v>19900</v>
          </cell>
          <cell r="FB128">
            <v>18184</v>
          </cell>
          <cell r="FC128">
            <v>38084</v>
          </cell>
          <cell r="FD128">
            <v>60376</v>
          </cell>
          <cell r="FF128">
            <v>1100000</v>
          </cell>
          <cell r="FG128" t="str">
            <v>2024-25</v>
          </cell>
          <cell r="FH128">
            <v>1600000</v>
          </cell>
          <cell r="FI128" t="str">
            <v>2024-25</v>
          </cell>
          <cell r="FJ128">
            <v>5300000</v>
          </cell>
          <cell r="FK128" t="str">
            <v>2025-26</v>
          </cell>
          <cell r="FL128">
            <v>5800000</v>
          </cell>
          <cell r="FM128" t="str">
            <v>2025-26</v>
          </cell>
          <cell r="FN128">
            <v>58000000</v>
          </cell>
          <cell r="FO128" t="str">
            <v>2025-26</v>
          </cell>
          <cell r="FP128">
            <v>48500000</v>
          </cell>
          <cell r="FQ128" t="str">
            <v>2025-26</v>
          </cell>
          <cell r="FR128">
            <v>3000000</v>
          </cell>
          <cell r="FS128" t="str">
            <v>2025-26</v>
          </cell>
          <cell r="FT128">
            <v>27100000</v>
          </cell>
          <cell r="FU128" t="str">
            <v>2025-26</v>
          </cell>
          <cell r="FV128">
            <v>147700000</v>
          </cell>
          <cell r="FW128">
            <v>1389286</v>
          </cell>
          <cell r="FX128" t="str">
            <v>2025-26</v>
          </cell>
          <cell r="FY128">
            <v>28.76</v>
          </cell>
          <cell r="FZ128">
            <v>885515.76</v>
          </cell>
          <cell r="GA128" t="str">
            <v>dic24 nov25</v>
          </cell>
          <cell r="GB128">
            <v>19908335</v>
          </cell>
          <cell r="GC128">
            <v>2025</v>
          </cell>
          <cell r="GD128">
            <v>1714000</v>
          </cell>
          <cell r="GE128">
            <v>424000</v>
          </cell>
          <cell r="GF128">
            <v>1165000</v>
          </cell>
          <cell r="GG128">
            <v>145000</v>
          </cell>
          <cell r="GH128">
            <v>1734000</v>
          </cell>
          <cell r="GI128">
            <v>1302556</v>
          </cell>
          <cell r="GJ128">
            <v>682423</v>
          </cell>
          <cell r="GK128">
            <v>1391495</v>
          </cell>
          <cell r="GL128">
            <v>305049</v>
          </cell>
          <cell r="GM128">
            <v>260419</v>
          </cell>
          <cell r="GN128">
            <v>2639386</v>
          </cell>
          <cell r="GO128">
            <v>201734</v>
          </cell>
          <cell r="GP128">
            <v>75000</v>
          </cell>
          <cell r="GQ128">
            <v>53426</v>
          </cell>
          <cell r="GR128">
            <v>31107</v>
          </cell>
          <cell r="GS128">
            <v>32709.78</v>
          </cell>
          <cell r="GT128">
            <v>2111561</v>
          </cell>
          <cell r="GU128">
            <v>13378</v>
          </cell>
          <cell r="GV128">
            <v>26809</v>
          </cell>
          <cell r="GW128">
            <v>799388</v>
          </cell>
          <cell r="GX128">
            <v>36041.686000000002</v>
          </cell>
          <cell r="GY128" t="str">
            <v>2024-2025</v>
          </cell>
          <cell r="GZ128">
            <v>119643</v>
          </cell>
          <cell r="HA128">
            <v>245024</v>
          </cell>
          <cell r="HB128">
            <v>3147207</v>
          </cell>
          <cell r="HC128" t="str">
            <v>dic24 nov25</v>
          </cell>
          <cell r="HD128">
            <v>65340</v>
          </cell>
          <cell r="HE128">
            <v>803561</v>
          </cell>
          <cell r="HF128" t="str">
            <v>dic24 nov25</v>
          </cell>
          <cell r="HG128">
            <v>187000</v>
          </cell>
          <cell r="HH128">
            <v>2335000</v>
          </cell>
          <cell r="HI128" t="str">
            <v>dic24 nov25</v>
          </cell>
          <cell r="HJ128">
            <v>91912</v>
          </cell>
          <cell r="HK128">
            <v>65379.383999999998</v>
          </cell>
          <cell r="HL128" t="str">
            <v>dic24 nov25</v>
          </cell>
          <cell r="HM128">
            <v>2400379.3840000001</v>
          </cell>
          <cell r="HN128">
            <v>3.7105276521266051E-2</v>
          </cell>
          <cell r="HO128">
            <v>1101556183.93068</v>
          </cell>
          <cell r="HP128">
            <v>11703.532971930679</v>
          </cell>
          <cell r="HQ128" t="str">
            <v>dic24 nov25</v>
          </cell>
          <cell r="HU128">
            <v>990000</v>
          </cell>
          <cell r="HV128" t="str">
            <v>2024-25</v>
          </cell>
          <cell r="HW128">
            <v>1600000</v>
          </cell>
          <cell r="HX128" t="str">
            <v>2025-26</v>
          </cell>
          <cell r="HY128">
            <v>4730000</v>
          </cell>
          <cell r="HZ128" t="str">
            <v>2024-25</v>
          </cell>
          <cell r="IA128">
            <v>20800000</v>
          </cell>
          <cell r="IB128" t="str">
            <v>2024-25</v>
          </cell>
          <cell r="IC128">
            <v>50500000</v>
          </cell>
          <cell r="ID128" t="str">
            <v>2024-25</v>
          </cell>
          <cell r="IE128">
            <v>1050000</v>
          </cell>
          <cell r="IF128" t="str">
            <v>2024-25</v>
          </cell>
          <cell r="IG128">
            <v>8000000</v>
          </cell>
          <cell r="IH128" t="str">
            <v>2025-26</v>
          </cell>
          <cell r="II128">
            <v>86680000</v>
          </cell>
          <cell r="IJ128">
            <v>2.4834491694220664</v>
          </cell>
          <cell r="IK128" t="str">
            <v>2025-26</v>
          </cell>
          <cell r="IL128">
            <v>47.68</v>
          </cell>
          <cell r="IM128">
            <v>49.25</v>
          </cell>
          <cell r="IN128">
            <v>182.5</v>
          </cell>
          <cell r="IO128">
            <v>18.78</v>
          </cell>
          <cell r="IP128">
            <v>5.7523267137771796</v>
          </cell>
          <cell r="IQ128">
            <v>16.079999999999998</v>
          </cell>
          <cell r="IR128">
            <v>6.09</v>
          </cell>
          <cell r="IS128">
            <v>4.03</v>
          </cell>
          <cell r="IT128">
            <v>11.98</v>
          </cell>
          <cell r="IU128">
            <v>1.38</v>
          </cell>
          <cell r="IV128">
            <v>17.39</v>
          </cell>
          <cell r="IY128">
            <v>1.88</v>
          </cell>
          <cell r="IZ128">
            <v>0.3</v>
          </cell>
          <cell r="JA128">
            <v>3555</v>
          </cell>
          <cell r="JF128">
            <v>19.935607340000004</v>
          </cell>
          <cell r="JG128">
            <v>36.759837599999997</v>
          </cell>
          <cell r="JH128">
            <v>90.729927210000014</v>
          </cell>
          <cell r="JI128">
            <v>320.81153310000008</v>
          </cell>
          <cell r="JJ128">
            <v>374.39541358999992</v>
          </cell>
          <cell r="JK128">
            <v>107.51173679000001</v>
          </cell>
          <cell r="JL128">
            <v>3355.4966808400004</v>
          </cell>
          <cell r="JM128">
            <v>73.120459960000005</v>
          </cell>
          <cell r="JN128">
            <v>448.82412109000012</v>
          </cell>
          <cell r="JO128">
            <v>29.033049210000001</v>
          </cell>
          <cell r="JP128">
            <v>0</v>
          </cell>
          <cell r="JQ128">
            <v>0.17102500000000001</v>
          </cell>
          <cell r="JR128">
            <v>0.96521789999999996</v>
          </cell>
          <cell r="JS128">
            <v>0</v>
          </cell>
          <cell r="JT128">
            <v>1.7500000000000002E-2</v>
          </cell>
          <cell r="JU128">
            <v>78.044882909999998</v>
          </cell>
          <cell r="JV128">
            <v>9.1395205299999986</v>
          </cell>
          <cell r="JW128">
            <v>11.43153491</v>
          </cell>
          <cell r="JX128">
            <v>17.524467369999996</v>
          </cell>
          <cell r="JY128">
            <v>0</v>
          </cell>
          <cell r="JZ128">
            <v>9.0535029500000004</v>
          </cell>
          <cell r="KA128">
            <v>0.26500000000000001</v>
          </cell>
          <cell r="KB128">
            <v>13.327102919999998</v>
          </cell>
          <cell r="KC128">
            <v>71.370433359999993</v>
          </cell>
          <cell r="KD128">
            <v>9.2986503200000001</v>
          </cell>
          <cell r="KE128">
            <v>18.275047940000004</v>
          </cell>
          <cell r="KF128">
            <v>10.343166379999998</v>
          </cell>
          <cell r="KG128">
            <v>474.71184945000005</v>
          </cell>
          <cell r="KH128">
            <v>166.84903940999999</v>
          </cell>
          <cell r="KI128">
            <v>22.774238799999999</v>
          </cell>
          <cell r="KJ128">
            <v>3.17480787</v>
          </cell>
          <cell r="KK128">
            <v>7.4817210700000008</v>
          </cell>
          <cell r="KL128">
            <v>3.2780709999999998E-2</v>
          </cell>
          <cell r="KM128">
            <v>0.77082344999999997</v>
          </cell>
          <cell r="KN128">
            <v>1.9662289999999999E-2</v>
          </cell>
          <cell r="KO128">
            <v>1.8397197200000002</v>
          </cell>
          <cell r="KP128">
            <v>2.1048300000000002E-3</v>
          </cell>
          <cell r="KQ128">
            <v>137.59478850999997</v>
          </cell>
          <cell r="KR128">
            <v>0.12224964999999999</v>
          </cell>
          <cell r="KS128">
            <v>0.14943831000000002</v>
          </cell>
          <cell r="KT128">
            <v>0.94273901999999998</v>
          </cell>
          <cell r="KU128">
            <v>0.27804433999999995</v>
          </cell>
          <cell r="KV128">
            <v>0.26440790999999997</v>
          </cell>
          <cell r="KW128">
            <v>0.43240662000000002</v>
          </cell>
          <cell r="KX128">
            <v>0</v>
          </cell>
          <cell r="KY128">
            <v>0.17914601999999999</v>
          </cell>
          <cell r="KZ128">
            <v>4.0370959900000001</v>
          </cell>
          <cell r="LA128">
            <v>0.52514642999999994</v>
          </cell>
          <cell r="LB128">
            <v>2.1363189999999997E-2</v>
          </cell>
          <cell r="LC128">
            <v>3.0500884099999999</v>
          </cell>
          <cell r="LD128">
            <v>0</v>
          </cell>
          <cell r="LE128">
            <v>8.0707830000000008E-2</v>
          </cell>
          <cell r="LF128">
            <v>0.29525990000000002</v>
          </cell>
          <cell r="LG128">
            <v>13.907008520000002</v>
          </cell>
          <cell r="LH128">
            <v>4.1345480800000001</v>
          </cell>
          <cell r="LI128">
            <v>1.0549183800000002</v>
          </cell>
          <cell r="LJ128">
            <v>0</v>
          </cell>
          <cell r="LK128">
            <v>3.1609685399999994</v>
          </cell>
          <cell r="LL128">
            <v>8.8931998399999994</v>
          </cell>
          <cell r="LM128">
            <v>1.7294343599999999</v>
          </cell>
          <cell r="LN128">
            <v>4.9819790000000003E-2</v>
          </cell>
          <cell r="LO128">
            <v>10.181194250000003</v>
          </cell>
          <cell r="LQ128">
            <v>4663.3781357900007</v>
          </cell>
          <cell r="LR128">
            <v>1.1537429000000001</v>
          </cell>
          <cell r="LS128">
            <v>20.571055439999999</v>
          </cell>
          <cell r="LT128">
            <v>9.318502950000001</v>
          </cell>
          <cell r="LU128">
            <v>140.49668192999997</v>
          </cell>
          <cell r="LV128">
            <v>0.87596054999999995</v>
          </cell>
          <cell r="LW128">
            <v>0.54650961999999992</v>
          </cell>
          <cell r="LX128">
            <v>0.37596773000000006</v>
          </cell>
          <cell r="LZ128">
            <v>1718.75</v>
          </cell>
          <cell r="MA128">
            <v>1684.46</v>
          </cell>
          <cell r="MH128">
            <v>3952.81</v>
          </cell>
          <cell r="MI128">
            <v>940.07</v>
          </cell>
          <cell r="MJ128">
            <v>940.91</v>
          </cell>
          <cell r="ML128">
            <v>1041.72</v>
          </cell>
          <cell r="MM128">
            <v>2202.7800000000002</v>
          </cell>
          <cell r="MO128">
            <v>1137.76</v>
          </cell>
          <cell r="MP128">
            <v>2199.0700000000002</v>
          </cell>
          <cell r="MQ128">
            <v>3443.9</v>
          </cell>
          <cell r="MU128">
            <v>1132.3599999999999</v>
          </cell>
          <cell r="MY128">
            <v>2430.54</v>
          </cell>
          <cell r="MZ128">
            <v>7732</v>
          </cell>
          <cell r="NA128">
            <v>3813</v>
          </cell>
          <cell r="NB128">
            <v>13405</v>
          </cell>
          <cell r="NC128">
            <v>1561.92</v>
          </cell>
          <cell r="ND128">
            <v>13990</v>
          </cell>
          <cell r="NE128">
            <v>7760</v>
          </cell>
        </row>
        <row r="129">
          <cell r="A129">
            <v>45992</v>
          </cell>
          <cell r="B129">
            <v>12</v>
          </cell>
          <cell r="C129">
            <v>2025</v>
          </cell>
          <cell r="D129">
            <v>129</v>
          </cell>
          <cell r="E129">
            <v>45992</v>
          </cell>
          <cell r="F129">
            <v>1447.8377</v>
          </cell>
          <cell r="G129">
            <v>10121.371499999999</v>
          </cell>
          <cell r="H129">
            <v>1000908.17</v>
          </cell>
          <cell r="I129">
            <v>107</v>
          </cell>
          <cell r="J129">
            <v>560</v>
          </cell>
          <cell r="K129">
            <v>4.0999999999999996</v>
          </cell>
          <cell r="L129">
            <v>33.4</v>
          </cell>
          <cell r="N129">
            <v>1.2250000000000001</v>
          </cell>
          <cell r="O129">
            <v>0.96499999999999986</v>
          </cell>
          <cell r="P129">
            <v>1506.1131674249998</v>
          </cell>
          <cell r="Q129">
            <v>24500</v>
          </cell>
          <cell r="R129">
            <v>245000</v>
          </cell>
          <cell r="S129">
            <v>182.86</v>
          </cell>
          <cell r="T129">
            <v>341.71712754820516</v>
          </cell>
          <cell r="U129">
            <v>181.78</v>
          </cell>
          <cell r="V129">
            <v>321.27999999999997</v>
          </cell>
          <cell r="W129">
            <v>196</v>
          </cell>
          <cell r="X129">
            <v>181.97</v>
          </cell>
          <cell r="Y129">
            <v>264751.60182200006</v>
          </cell>
          <cell r="Z129">
            <v>494750.94</v>
          </cell>
          <cell r="AA129">
            <v>263187.93710600003</v>
          </cell>
          <cell r="AB129">
            <v>465161.296256</v>
          </cell>
          <cell r="AC129">
            <v>283776.18920000002</v>
          </cell>
          <cell r="AD129">
            <v>263463.02626900002</v>
          </cell>
          <cell r="AE129">
            <v>339181.83177550003</v>
          </cell>
          <cell r="AF129">
            <v>848004.85440000007</v>
          </cell>
          <cell r="AG129">
            <v>190000</v>
          </cell>
          <cell r="AH129">
            <v>950000</v>
          </cell>
          <cell r="AI129">
            <v>463.2</v>
          </cell>
          <cell r="AJ129">
            <v>324.48</v>
          </cell>
          <cell r="AK129">
            <v>149.11000000000001</v>
          </cell>
          <cell r="AL129">
            <v>328.18</v>
          </cell>
          <cell r="AM129">
            <v>343.58299999999997</v>
          </cell>
          <cell r="AN129">
            <v>2413.25</v>
          </cell>
          <cell r="AO129">
            <v>3363.4250000000002</v>
          </cell>
          <cell r="AP129">
            <v>2888.3375000000001</v>
          </cell>
          <cell r="AQ129">
            <v>5000</v>
          </cell>
          <cell r="AR129">
            <v>3357.54</v>
          </cell>
          <cell r="AS129">
            <v>1814.5649999999998</v>
          </cell>
          <cell r="AT129">
            <v>1955.3575000000001</v>
          </cell>
          <cell r="AU129">
            <v>2375.8208333333332</v>
          </cell>
          <cell r="AV129">
            <v>612.31499999999994</v>
          </cell>
          <cell r="AW129">
            <v>659.375</v>
          </cell>
          <cell r="AX129">
            <v>760.20749999999998</v>
          </cell>
          <cell r="AY129">
            <v>411.45</v>
          </cell>
          <cell r="AZ129">
            <v>530.49333333333334</v>
          </cell>
          <cell r="BA129">
            <v>783.33500000000004</v>
          </cell>
          <cell r="BB129">
            <v>621.37145833333329</v>
          </cell>
          <cell r="BC129">
            <v>44166</v>
          </cell>
          <cell r="BD129">
            <v>39751</v>
          </cell>
          <cell r="BE129">
            <v>25000</v>
          </cell>
          <cell r="BF129">
            <v>19000</v>
          </cell>
          <cell r="BG129">
            <v>31979.25</v>
          </cell>
          <cell r="BH129">
            <v>3807</v>
          </cell>
          <cell r="BI129">
            <v>1129.2</v>
          </cell>
          <cell r="BJ129">
            <v>4936.2</v>
          </cell>
          <cell r="BK129">
            <v>4281.3159999999998</v>
          </cell>
          <cell r="BL129">
            <v>5699.9</v>
          </cell>
          <cell r="BM129">
            <v>4990.6080000000002</v>
          </cell>
          <cell r="BN129">
            <v>476.6</v>
          </cell>
          <cell r="BO129">
            <v>2601.8200000000002</v>
          </cell>
          <cell r="BP129">
            <v>1916.65</v>
          </cell>
          <cell r="BQ129">
            <v>2259.2350000000001</v>
          </cell>
          <cell r="BR129">
            <v>1816.5959250000001</v>
          </cell>
          <cell r="BS129">
            <v>8100</v>
          </cell>
          <cell r="BT129">
            <v>2852.2402689999999</v>
          </cell>
          <cell r="BU129">
            <v>105756.72080700001</v>
          </cell>
          <cell r="BV129">
            <v>2054.6999999999998</v>
          </cell>
          <cell r="BW129">
            <v>3916</v>
          </cell>
          <cell r="BY129">
            <v>12205.759365581729</v>
          </cell>
          <cell r="BZ129">
            <v>12501.381479786864</v>
          </cell>
          <cell r="CA129">
            <v>12940.550817595496</v>
          </cell>
          <cell r="CB129">
            <v>13063.895686585021</v>
          </cell>
          <cell r="CC129">
            <v>12773.780734866061</v>
          </cell>
          <cell r="CD129">
            <v>13541.268764544237</v>
          </cell>
          <cell r="CE129">
            <v>12987.077025774024</v>
          </cell>
          <cell r="CF129">
            <v>13041.992232228655</v>
          </cell>
          <cell r="CG129">
            <v>13058.094210265583</v>
          </cell>
          <cell r="CH129">
            <v>12921.775537639334</v>
          </cell>
          <cell r="CI129">
            <v>13142.805914803022</v>
          </cell>
          <cell r="CJ129">
            <v>12744.263088121252</v>
          </cell>
          <cell r="CK129">
            <v>13791.412257516384</v>
          </cell>
          <cell r="CL129">
            <v>11637.765560916747</v>
          </cell>
          <cell r="CM129">
            <v>11444.525621397534</v>
          </cell>
          <cell r="CN129">
            <v>13343.142648760097</v>
          </cell>
          <cell r="CO129">
            <v>12554.211522147691</v>
          </cell>
          <cell r="CP129">
            <v>13536.988848693409</v>
          </cell>
          <cell r="CQ129">
            <v>12833.475991830244</v>
          </cell>
          <cell r="CR129">
            <v>15732.758843230033</v>
          </cell>
          <cell r="CS129">
            <v>14283.117417530138</v>
          </cell>
          <cell r="CT129">
            <v>16979.413544532734</v>
          </cell>
          <cell r="CU129">
            <v>15618.181843456568</v>
          </cell>
          <cell r="CV129">
            <v>13472.858282844674</v>
          </cell>
          <cell r="CW129">
            <v>13472.858282844674</v>
          </cell>
          <cell r="CX129">
            <v>14187.966136381971</v>
          </cell>
          <cell r="CY129">
            <v>12163.321313427909</v>
          </cell>
          <cell r="CZ129">
            <v>15568.655208789152</v>
          </cell>
          <cell r="DA129">
            <v>12790.429926405761</v>
          </cell>
          <cell r="DB129">
            <v>13395.365556967934</v>
          </cell>
          <cell r="DC129">
            <v>12946.851493992119</v>
          </cell>
          <cell r="DD129">
            <v>12758.453983753841</v>
          </cell>
          <cell r="DE129">
            <v>11366.155174886519</v>
          </cell>
          <cell r="DF129">
            <v>13076.487439006078</v>
          </cell>
          <cell r="DG129">
            <v>12221.321306946298</v>
          </cell>
          <cell r="DH129">
            <v>12395.161976852933</v>
          </cell>
          <cell r="DI129">
            <v>12923.220375801395</v>
          </cell>
          <cell r="DK129">
            <v>560000</v>
          </cell>
          <cell r="DL129" t="str">
            <v>2025-26</v>
          </cell>
          <cell r="DM129">
            <v>200000</v>
          </cell>
          <cell r="DN129" t="str">
            <v>2025-26</v>
          </cell>
          <cell r="DO129">
            <v>1400000</v>
          </cell>
          <cell r="DP129" t="str">
            <v>2025-26</v>
          </cell>
          <cell r="DQ129">
            <v>2900000</v>
          </cell>
          <cell r="DR129" t="str">
            <v>2025-26</v>
          </cell>
          <cell r="DS129">
            <v>7800000</v>
          </cell>
          <cell r="DT129" t="str">
            <v>2025-26</v>
          </cell>
          <cell r="DU129">
            <v>17400000</v>
          </cell>
          <cell r="DV129" t="str">
            <v>2025-26</v>
          </cell>
          <cell r="DW129">
            <v>900000</v>
          </cell>
          <cell r="DX129" t="str">
            <v>2025-26</v>
          </cell>
          <cell r="DY129">
            <v>6800000</v>
          </cell>
          <cell r="DZ129" t="str">
            <v>2025-26</v>
          </cell>
          <cell r="EA129">
            <v>37200000</v>
          </cell>
          <cell r="EB129">
            <v>389000</v>
          </cell>
          <cell r="EC129" t="str">
            <v>2025-26</v>
          </cell>
          <cell r="ED129">
            <v>231352</v>
          </cell>
          <cell r="EE129">
            <v>2025</v>
          </cell>
          <cell r="EF129">
            <v>196220</v>
          </cell>
          <cell r="EG129">
            <v>2025</v>
          </cell>
          <cell r="EH129">
            <v>51624909</v>
          </cell>
          <cell r="EI129">
            <v>2025</v>
          </cell>
          <cell r="EJ129">
            <v>5987778</v>
          </cell>
          <cell r="EK129">
            <v>2025</v>
          </cell>
          <cell r="EL129">
            <v>11967429</v>
          </cell>
          <cell r="EM129">
            <v>2025</v>
          </cell>
          <cell r="EN129">
            <v>2927559</v>
          </cell>
          <cell r="EO129">
            <v>2025</v>
          </cell>
          <cell r="EP129">
            <v>9409</v>
          </cell>
          <cell r="EQ129">
            <v>4000000</v>
          </cell>
          <cell r="ER129">
            <v>80248</v>
          </cell>
          <cell r="ET129">
            <v>19357</v>
          </cell>
          <cell r="EU129">
            <v>18703</v>
          </cell>
          <cell r="EV129">
            <v>8927</v>
          </cell>
          <cell r="EW129">
            <v>17408</v>
          </cell>
          <cell r="EX129">
            <v>64395</v>
          </cell>
          <cell r="EY129">
            <v>20031</v>
          </cell>
          <cell r="EZ129">
            <v>38177</v>
          </cell>
          <cell r="FA129">
            <v>19900</v>
          </cell>
          <cell r="FB129">
            <v>18184</v>
          </cell>
          <cell r="FC129">
            <v>38084</v>
          </cell>
          <cell r="FD129">
            <v>60376</v>
          </cell>
          <cell r="FF129">
            <v>1100000</v>
          </cell>
          <cell r="FG129" t="str">
            <v>2024-25</v>
          </cell>
          <cell r="FH129">
            <v>1600000</v>
          </cell>
          <cell r="FI129" t="str">
            <v>2024-25</v>
          </cell>
          <cell r="FJ129">
            <v>5400000</v>
          </cell>
          <cell r="FK129" t="str">
            <v>2025-26</v>
          </cell>
          <cell r="FL129">
            <v>5800000</v>
          </cell>
          <cell r="FM129" t="str">
            <v>2025-26</v>
          </cell>
          <cell r="FN129">
            <v>58000000</v>
          </cell>
          <cell r="FO129" t="str">
            <v>2025-26</v>
          </cell>
          <cell r="FP129">
            <v>48500000</v>
          </cell>
          <cell r="FQ129" t="str">
            <v>2025-26</v>
          </cell>
          <cell r="FR129">
            <v>3000000</v>
          </cell>
          <cell r="FS129" t="str">
            <v>2025-26</v>
          </cell>
          <cell r="FT129">
            <v>27800000</v>
          </cell>
          <cell r="FU129" t="str">
            <v>2025-26</v>
          </cell>
          <cell r="FV129">
            <v>148500000</v>
          </cell>
          <cell r="FW129">
            <v>1389286</v>
          </cell>
          <cell r="FX129" t="str">
            <v>2025-26</v>
          </cell>
          <cell r="FY129">
            <v>21033</v>
          </cell>
          <cell r="FZ129">
            <v>888337.76</v>
          </cell>
          <cell r="GA129" t="str">
            <v>ene25 dic25</v>
          </cell>
          <cell r="GB129">
            <v>19908335</v>
          </cell>
          <cell r="GC129">
            <v>2025</v>
          </cell>
          <cell r="GD129">
            <v>1714000</v>
          </cell>
          <cell r="GE129">
            <v>424000</v>
          </cell>
          <cell r="GF129">
            <v>1165000</v>
          </cell>
          <cell r="GG129">
            <v>145000</v>
          </cell>
          <cell r="GH129">
            <v>1734000</v>
          </cell>
          <cell r="GI129">
            <v>1302556</v>
          </cell>
          <cell r="GJ129">
            <v>682423</v>
          </cell>
          <cell r="GK129">
            <v>1391495</v>
          </cell>
          <cell r="GL129">
            <v>305049</v>
          </cell>
          <cell r="GM129">
            <v>260419</v>
          </cell>
          <cell r="GN129">
            <v>2639386</v>
          </cell>
          <cell r="GO129">
            <v>201734</v>
          </cell>
          <cell r="GP129">
            <v>75000</v>
          </cell>
          <cell r="GQ129">
            <v>177417</v>
          </cell>
          <cell r="GR129">
            <v>31107</v>
          </cell>
          <cell r="GS129">
            <v>36429.51</v>
          </cell>
          <cell r="GT129">
            <v>2111561</v>
          </cell>
          <cell r="GU129">
            <v>7293</v>
          </cell>
          <cell r="GV129">
            <v>24482</v>
          </cell>
          <cell r="GW129">
            <v>786627</v>
          </cell>
          <cell r="GX129">
            <v>36041.686000000002</v>
          </cell>
          <cell r="GY129" t="str">
            <v>2024-2025</v>
          </cell>
          <cell r="GZ129">
            <v>119643</v>
          </cell>
          <cell r="HA129">
            <v>260573</v>
          </cell>
          <cell r="HB129">
            <v>3126982</v>
          </cell>
          <cell r="HC129" t="str">
            <v>ene25 dic25</v>
          </cell>
          <cell r="HD129">
            <v>76921</v>
          </cell>
          <cell r="HE129">
            <v>811912</v>
          </cell>
          <cell r="HF129" t="str">
            <v>ene25 dic25</v>
          </cell>
          <cell r="HG129">
            <v>202000</v>
          </cell>
          <cell r="HH129">
            <v>2336000</v>
          </cell>
          <cell r="HI129" t="str">
            <v>ene25 dic25</v>
          </cell>
          <cell r="HJ129">
            <v>94094</v>
          </cell>
          <cell r="HK129">
            <v>66047.22</v>
          </cell>
          <cell r="HL129" t="str">
            <v>ene25 dic25</v>
          </cell>
          <cell r="HM129">
            <v>2402047.2200000002</v>
          </cell>
          <cell r="HN129">
            <v>2.5964019088787094E-2</v>
          </cell>
          <cell r="HO129">
            <v>1045270610</v>
          </cell>
          <cell r="HP129">
            <v>11729.985581930679</v>
          </cell>
          <cell r="HQ129" t="str">
            <v>ene25 dic25</v>
          </cell>
          <cell r="HU129">
            <v>990000</v>
          </cell>
          <cell r="HV129" t="str">
            <v>2024-25</v>
          </cell>
          <cell r="HW129">
            <v>1600000</v>
          </cell>
          <cell r="HX129" t="str">
            <v>2025-26</v>
          </cell>
          <cell r="HY129">
            <v>4730000</v>
          </cell>
          <cell r="HZ129" t="str">
            <v>2024-25</v>
          </cell>
          <cell r="IA129">
            <v>20800000</v>
          </cell>
          <cell r="IB129" t="str">
            <v>2024-25</v>
          </cell>
          <cell r="IC129">
            <v>50500000</v>
          </cell>
          <cell r="ID129" t="str">
            <v>2024-25</v>
          </cell>
          <cell r="IE129">
            <v>1150000.0000000002</v>
          </cell>
          <cell r="IF129" t="str">
            <v>2024-25</v>
          </cell>
          <cell r="IG129">
            <v>8000000</v>
          </cell>
          <cell r="IH129" t="str">
            <v>2025-26</v>
          </cell>
          <cell r="II129">
            <v>86780000</v>
          </cell>
          <cell r="IJ129">
            <v>2.4834491694220664</v>
          </cell>
          <cell r="IK129" t="str">
            <v>2025-26</v>
          </cell>
          <cell r="IL129">
            <v>47.7</v>
          </cell>
          <cell r="IM129">
            <v>49.95</v>
          </cell>
          <cell r="IN129">
            <v>181.1</v>
          </cell>
          <cell r="IO129">
            <v>18.899999999999999</v>
          </cell>
          <cell r="IP129">
            <v>5.7523267137771796</v>
          </cell>
          <cell r="IQ129">
            <v>16.079999999999998</v>
          </cell>
          <cell r="IR129">
            <v>6.09</v>
          </cell>
          <cell r="IS129">
            <v>4.03</v>
          </cell>
          <cell r="IT129">
            <v>11.98</v>
          </cell>
          <cell r="IU129">
            <v>1.38</v>
          </cell>
          <cell r="IV129">
            <v>17.39</v>
          </cell>
          <cell r="IY129">
            <v>1.88</v>
          </cell>
          <cell r="IZ129">
            <v>0.3</v>
          </cell>
          <cell r="JA129">
            <v>3555</v>
          </cell>
          <cell r="JF129">
            <v>14.028435419999997</v>
          </cell>
          <cell r="JG129">
            <v>12.625558100000001</v>
          </cell>
          <cell r="JH129">
            <v>124.52352689000001</v>
          </cell>
          <cell r="JI129">
            <v>305.84269829999994</v>
          </cell>
          <cell r="JJ129">
            <v>318.67968741999999</v>
          </cell>
          <cell r="JK129">
            <v>109.63040427999998</v>
          </cell>
          <cell r="JL129">
            <v>2372.8407975999999</v>
          </cell>
          <cell r="JM129">
            <v>31.986789179999999</v>
          </cell>
          <cell r="JN129">
            <v>748.11855557000013</v>
          </cell>
          <cell r="JO129">
            <v>34.54170027</v>
          </cell>
          <cell r="JP129">
            <v>2.5000000000000001E-3</v>
          </cell>
          <cell r="JQ129">
            <v>0.27025500000000002</v>
          </cell>
          <cell r="JR129">
            <v>1.1825811799999999</v>
          </cell>
          <cell r="JS129">
            <v>0</v>
          </cell>
          <cell r="JT129">
            <v>0.23027998</v>
          </cell>
          <cell r="JU129">
            <v>78.732425000000021</v>
          </cell>
          <cell r="JV129">
            <v>8.5222114300000005</v>
          </cell>
          <cell r="JW129">
            <v>5.7498950999999998</v>
          </cell>
          <cell r="JX129">
            <v>15.131830649999998</v>
          </cell>
          <cell r="JY129">
            <v>0</v>
          </cell>
          <cell r="JZ129">
            <v>5.94807328</v>
          </cell>
          <cell r="KA129">
            <v>0.17749999999999999</v>
          </cell>
          <cell r="KB129">
            <v>18.231882050000007</v>
          </cell>
          <cell r="KC129">
            <v>30.603557829999996</v>
          </cell>
          <cell r="KD129">
            <v>11.742414109999999</v>
          </cell>
          <cell r="KE129">
            <v>13.599247020000002</v>
          </cell>
          <cell r="KF129">
            <v>10.33831614</v>
          </cell>
          <cell r="KG129">
            <v>452.44590436999982</v>
          </cell>
          <cell r="KH129">
            <v>210.79864256000005</v>
          </cell>
          <cell r="KI129">
            <v>27.303396169999999</v>
          </cell>
          <cell r="KJ129">
            <v>3.0562051500000003</v>
          </cell>
          <cell r="KK129">
            <v>5.8762837499999998</v>
          </cell>
          <cell r="KL129">
            <v>0.22953033</v>
          </cell>
          <cell r="KM129">
            <v>0.59022839000000005</v>
          </cell>
          <cell r="KN129">
            <v>0.10519574</v>
          </cell>
          <cell r="KO129">
            <v>1.30451473</v>
          </cell>
          <cell r="KP129">
            <v>4.2275489999999999E-2</v>
          </cell>
          <cell r="KQ129">
            <v>49.770840689999993</v>
          </cell>
          <cell r="KR129">
            <v>2.389432E-2</v>
          </cell>
          <cell r="KS129">
            <v>0.19992615999999999</v>
          </cell>
          <cell r="KT129">
            <v>1.06092366</v>
          </cell>
          <cell r="KU129">
            <v>0.46571231000000002</v>
          </cell>
          <cell r="KV129">
            <v>5.9149609999999998E-2</v>
          </cell>
          <cell r="KW129">
            <v>0.46372708000000001</v>
          </cell>
          <cell r="KX129">
            <v>0</v>
          </cell>
          <cell r="KY129">
            <v>1.0309850000000001E-2</v>
          </cell>
          <cell r="KZ129">
            <v>2.0960773500000003</v>
          </cell>
          <cell r="LA129">
            <v>0.22248392</v>
          </cell>
          <cell r="LB129">
            <v>0.17298643</v>
          </cell>
          <cell r="LC129">
            <v>4.0663539399999999</v>
          </cell>
          <cell r="LD129">
            <v>0</v>
          </cell>
          <cell r="LE129">
            <v>0.40245102000000005</v>
          </cell>
          <cell r="LF129">
            <v>0.51372958000000002</v>
          </cell>
          <cell r="LG129">
            <v>16.564446050000001</v>
          </cell>
          <cell r="LH129">
            <v>3.7941515599999995</v>
          </cell>
          <cell r="LI129">
            <v>1.20972141</v>
          </cell>
          <cell r="LJ129">
            <v>2.9789999999999999E-3</v>
          </cell>
          <cell r="LK129">
            <v>4.8166289400000002</v>
          </cell>
          <cell r="LL129">
            <v>11.988372569999999</v>
          </cell>
          <cell r="LM129">
            <v>1.7114282299999999</v>
          </cell>
          <cell r="LN129">
            <v>0.37141849000000005</v>
          </cell>
          <cell r="LO129">
            <v>10.975213970000002</v>
          </cell>
          <cell r="LQ129">
            <v>3901.9920549600001</v>
          </cell>
          <cell r="LR129">
            <v>1.6831161599999998</v>
          </cell>
          <cell r="LS129">
            <v>14.27210653</v>
          </cell>
          <cell r="LT129">
            <v>6.1255732800000002</v>
          </cell>
          <cell r="LU129">
            <v>51.994600029999987</v>
          </cell>
          <cell r="LV129">
            <v>0.53318653999999999</v>
          </cell>
          <cell r="LW129">
            <v>0.39547034999999997</v>
          </cell>
          <cell r="LX129">
            <v>0.91618060000000012</v>
          </cell>
          <cell r="LZ129">
            <v>1738.93</v>
          </cell>
          <cell r="MA129">
            <v>1701.36</v>
          </cell>
          <cell r="MH129">
            <v>4024</v>
          </cell>
          <cell r="MI129">
            <v>960.82</v>
          </cell>
          <cell r="MJ129">
            <v>930.53</v>
          </cell>
          <cell r="ML129">
            <v>1010.45</v>
          </cell>
          <cell r="MM129">
            <v>1460</v>
          </cell>
          <cell r="MO129">
            <v>1244.78</v>
          </cell>
          <cell r="MP129">
            <v>2253.4</v>
          </cell>
          <cell r="MQ129">
            <v>4009.31</v>
          </cell>
          <cell r="MU129">
            <v>1241.67</v>
          </cell>
          <cell r="MY129">
            <v>2446.02</v>
          </cell>
          <cell r="MZ129">
            <v>7820</v>
          </cell>
          <cell r="NA129">
            <v>3858</v>
          </cell>
          <cell r="NB129">
            <v>15340</v>
          </cell>
          <cell r="NC129">
            <v>1616.31</v>
          </cell>
          <cell r="ND129">
            <v>14990</v>
          </cell>
          <cell r="NE129">
            <v>8162</v>
          </cell>
        </row>
        <row r="130">
          <cell r="A130">
            <v>46023</v>
          </cell>
          <cell r="B130">
            <v>1</v>
          </cell>
          <cell r="C130">
            <v>2026</v>
          </cell>
          <cell r="D130">
            <v>130</v>
          </cell>
          <cell r="E130">
            <v>46023</v>
          </cell>
          <cell r="F130">
            <v>1449.3347000000001</v>
          </cell>
          <cell r="G130">
            <v>10413.0309</v>
          </cell>
          <cell r="H130">
            <v>1000908.17</v>
          </cell>
          <cell r="I130">
            <v>114</v>
          </cell>
          <cell r="J130">
            <v>545</v>
          </cell>
          <cell r="K130">
            <v>4.0999999999999996</v>
          </cell>
          <cell r="L130">
            <v>32.9</v>
          </cell>
          <cell r="N130">
            <v>1.2179999999999997</v>
          </cell>
          <cell r="O130">
            <v>0.97599999999999998</v>
          </cell>
          <cell r="P130">
            <v>1510.4241576049999</v>
          </cell>
          <cell r="Q130">
            <v>25000</v>
          </cell>
          <cell r="R130">
            <v>250000</v>
          </cell>
          <cell r="S130">
            <v>194.48</v>
          </cell>
          <cell r="T130">
            <v>345.76554332135976</v>
          </cell>
          <cell r="U130">
            <v>181.28095238095236</v>
          </cell>
          <cell r="V130">
            <v>316.87142857142857</v>
          </cell>
          <cell r="W130">
            <v>202</v>
          </cell>
          <cell r="X130">
            <v>180.97647058823529</v>
          </cell>
          <cell r="Y130">
            <v>281866.612456</v>
          </cell>
          <cell r="Z130">
            <v>501130</v>
          </cell>
          <cell r="AA130">
            <v>262736.77473476192</v>
          </cell>
          <cell r="AB130">
            <v>459252.75686714286</v>
          </cell>
          <cell r="AC130">
            <v>292765.60940000002</v>
          </cell>
          <cell r="AD130">
            <v>262295.47870705882</v>
          </cell>
          <cell r="AE130">
            <v>343341.20536082733</v>
          </cell>
          <cell r="AF130">
            <v>860015.59380000003</v>
          </cell>
          <cell r="AG130">
            <v>190000</v>
          </cell>
          <cell r="AH130">
            <v>950000</v>
          </cell>
          <cell r="AI130">
            <v>432.44</v>
          </cell>
          <cell r="AJ130">
            <v>132.1</v>
          </cell>
          <cell r="AK130">
            <v>202.26</v>
          </cell>
          <cell r="AL130">
            <v>232.99</v>
          </cell>
          <cell r="AM130">
            <v>312.71159999999998</v>
          </cell>
          <cell r="AN130">
            <v>2996.51</v>
          </cell>
          <cell r="AO130">
            <v>2304.48</v>
          </cell>
          <cell r="AP130">
            <v>2650.4949999999999</v>
          </cell>
          <cell r="AQ130">
            <v>2171.38</v>
          </cell>
          <cell r="AR130">
            <v>2641.8519999999999</v>
          </cell>
          <cell r="AS130">
            <v>1584.58</v>
          </cell>
          <cell r="AT130">
            <v>2053.0100000000002</v>
          </cell>
          <cell r="AU130">
            <v>2093.1473333333333</v>
          </cell>
          <cell r="AV130">
            <v>458.78423728813618</v>
          </cell>
          <cell r="AW130">
            <v>403.57142857142856</v>
          </cell>
          <cell r="AX130">
            <v>529.40523809523813</v>
          </cell>
          <cell r="AY130">
            <v>1207.8328571428567</v>
          </cell>
          <cell r="AZ130">
            <v>979.9571428571428</v>
          </cell>
          <cell r="BA130">
            <v>761.48388888888894</v>
          </cell>
          <cell r="BB130">
            <v>869.66978174603173</v>
          </cell>
          <cell r="BC130">
            <v>44166</v>
          </cell>
          <cell r="BD130">
            <v>39751</v>
          </cell>
          <cell r="BE130">
            <v>25000</v>
          </cell>
          <cell r="BF130">
            <v>19000</v>
          </cell>
          <cell r="BG130">
            <v>31979.25</v>
          </cell>
          <cell r="BH130">
            <v>3807</v>
          </cell>
          <cell r="BI130">
            <v>1129.2</v>
          </cell>
          <cell r="BJ130">
            <v>4936.2</v>
          </cell>
          <cell r="BK130">
            <v>4318.8329999999996</v>
          </cell>
          <cell r="BL130">
            <v>5662.3</v>
          </cell>
          <cell r="BM130">
            <v>4990.5664999999999</v>
          </cell>
          <cell r="BN130">
            <v>478.19</v>
          </cell>
          <cell r="BO130">
            <v>2839.3825000000002</v>
          </cell>
          <cell r="BP130">
            <v>1866</v>
          </cell>
          <cell r="BQ130">
            <v>2352.6912499999999</v>
          </cell>
          <cell r="BR130">
            <v>1886.096</v>
          </cell>
          <cell r="BS130">
            <v>8000</v>
          </cell>
          <cell r="BT130">
            <v>2956.6427880000001</v>
          </cell>
          <cell r="BU130">
            <v>104869.92836399999</v>
          </cell>
          <cell r="BV130">
            <v>2570.6999999999998</v>
          </cell>
          <cell r="BW130">
            <v>3815</v>
          </cell>
          <cell r="BY130">
            <v>12236.980546446246</v>
          </cell>
          <cell r="BZ130">
            <v>12869.138078795053</v>
          </cell>
          <cell r="CA130">
            <v>13109.613364756624</v>
          </cell>
          <cell r="CB130">
            <v>13097.998097540869</v>
          </cell>
          <cell r="CC130">
            <v>12720.655971376907</v>
          </cell>
          <cell r="CD130">
            <v>13457.122709052061</v>
          </cell>
          <cell r="CE130">
            <v>13115.584015458606</v>
          </cell>
          <cell r="CF130">
            <v>13032.252444658339</v>
          </cell>
          <cell r="CG130">
            <v>13088.871100473902</v>
          </cell>
          <cell r="CH130">
            <v>12993.051809481914</v>
          </cell>
          <cell r="CI130">
            <v>13003.900837209874</v>
          </cell>
          <cell r="CJ130">
            <v>12111.955963412089</v>
          </cell>
          <cell r="CK130">
            <v>12557.1859013788</v>
          </cell>
          <cell r="CL130">
            <v>13600.14568076457</v>
          </cell>
          <cell r="CM130">
            <v>12535.49987960919</v>
          </cell>
          <cell r="CN130">
            <v>11840.817265959506</v>
          </cell>
          <cell r="CO130">
            <v>12633.412181928017</v>
          </cell>
          <cell r="CP130">
            <v>13298.751078474981</v>
          </cell>
          <cell r="CQ130">
            <v>13362.429592929453</v>
          </cell>
          <cell r="CR130">
            <v>13887.460175820357</v>
          </cell>
          <cell r="CS130">
            <v>13624.944884374905</v>
          </cell>
          <cell r="CT130">
            <v>12490.375532649039</v>
          </cell>
          <cell r="CU130">
            <v>14690.648775307642</v>
          </cell>
          <cell r="CV130">
            <v>13341.160977264784</v>
          </cell>
          <cell r="CW130">
            <v>13341.160977264784</v>
          </cell>
          <cell r="CX130">
            <v>13790.99024327907</v>
          </cell>
          <cell r="CY130">
            <v>12185.498372963753</v>
          </cell>
          <cell r="CZ130">
            <v>15792.956169624005</v>
          </cell>
          <cell r="DA130">
            <v>12865.387806211356</v>
          </cell>
          <cell r="DB130">
            <v>13428.302514486819</v>
          </cell>
          <cell r="DC130">
            <v>13071.381654178194</v>
          </cell>
          <cell r="DD130">
            <v>12853.239280350483</v>
          </cell>
          <cell r="DE130">
            <v>11351.161526492377</v>
          </cell>
          <cell r="DF130">
            <v>13066.007384848559</v>
          </cell>
          <cell r="DG130">
            <v>12208.584455670469</v>
          </cell>
          <cell r="DH130">
            <v>12678.290372866004</v>
          </cell>
          <cell r="DI130">
            <v>12933.047357982356</v>
          </cell>
          <cell r="DK130">
            <v>520000</v>
          </cell>
          <cell r="DL130" t="str">
            <v>2025-26</v>
          </cell>
          <cell r="DM130">
            <v>200000</v>
          </cell>
          <cell r="DN130" t="str">
            <v>2025-26</v>
          </cell>
          <cell r="DO130">
            <v>1350000</v>
          </cell>
          <cell r="DP130" t="str">
            <v>2025-26</v>
          </cell>
          <cell r="DQ130">
            <v>3000000</v>
          </cell>
          <cell r="DR130" t="str">
            <v>2025-26</v>
          </cell>
          <cell r="DS130">
            <v>7800000</v>
          </cell>
          <cell r="DT130" t="str">
            <v>2025-26</v>
          </cell>
          <cell r="DU130">
            <v>17400000</v>
          </cell>
          <cell r="DV130" t="str">
            <v>2025-26</v>
          </cell>
          <cell r="DW130">
            <v>900000</v>
          </cell>
          <cell r="DX130" t="str">
            <v>2025-26</v>
          </cell>
          <cell r="DY130">
            <v>6900000</v>
          </cell>
          <cell r="DZ130" t="str">
            <v>2025-26</v>
          </cell>
          <cell r="EA130">
            <v>37350000</v>
          </cell>
          <cell r="EB130">
            <v>389000</v>
          </cell>
          <cell r="EC130" t="str">
            <v>2025-26</v>
          </cell>
          <cell r="ED130">
            <v>231352</v>
          </cell>
          <cell r="EE130">
            <v>2025</v>
          </cell>
          <cell r="EF130">
            <v>196220</v>
          </cell>
          <cell r="EG130">
            <v>2025</v>
          </cell>
          <cell r="EH130">
            <v>50920790</v>
          </cell>
          <cell r="EI130">
            <v>2026</v>
          </cell>
          <cell r="EJ130">
            <v>5987778</v>
          </cell>
          <cell r="EK130">
            <v>2025</v>
          </cell>
          <cell r="EL130">
            <v>11967429</v>
          </cell>
          <cell r="EM130">
            <v>2025</v>
          </cell>
          <cell r="EN130">
            <v>2867103</v>
          </cell>
          <cell r="EO130">
            <v>2026</v>
          </cell>
          <cell r="EP130">
            <v>9429</v>
          </cell>
          <cell r="EQ130">
            <v>4000000</v>
          </cell>
          <cell r="ER130">
            <v>80248</v>
          </cell>
          <cell r="ET130">
            <v>19357</v>
          </cell>
          <cell r="EU130">
            <v>18703</v>
          </cell>
          <cell r="EV130">
            <v>8927</v>
          </cell>
          <cell r="EW130">
            <v>17408</v>
          </cell>
          <cell r="EX130">
            <v>64395</v>
          </cell>
          <cell r="EY130">
            <v>20031</v>
          </cell>
          <cell r="EZ130">
            <v>33722</v>
          </cell>
          <cell r="FA130">
            <v>19900</v>
          </cell>
          <cell r="FB130">
            <v>18184</v>
          </cell>
          <cell r="FC130">
            <v>38084</v>
          </cell>
          <cell r="FD130">
            <v>60376</v>
          </cell>
          <cell r="FF130">
            <v>1100000</v>
          </cell>
          <cell r="FG130" t="str">
            <v>2024-25</v>
          </cell>
          <cell r="FH130">
            <v>1600000</v>
          </cell>
          <cell r="FI130" t="str">
            <v>2024-25</v>
          </cell>
          <cell r="FJ130">
            <v>5400000</v>
          </cell>
          <cell r="FK130" t="str">
            <v>2025-26</v>
          </cell>
          <cell r="FL130">
            <v>6200000</v>
          </cell>
          <cell r="FM130" t="str">
            <v>2025-26</v>
          </cell>
          <cell r="FN130">
            <v>57000000</v>
          </cell>
          <cell r="FO130" t="str">
            <v>2025-26</v>
          </cell>
          <cell r="FP130">
            <v>48500000</v>
          </cell>
          <cell r="FQ130" t="str">
            <v>2025-26</v>
          </cell>
          <cell r="FR130">
            <v>3000000</v>
          </cell>
          <cell r="FS130" t="str">
            <v>2025-26</v>
          </cell>
          <cell r="FT130">
            <v>27800000</v>
          </cell>
          <cell r="FU130" t="str">
            <v>2025-26</v>
          </cell>
          <cell r="FV130">
            <v>147900000</v>
          </cell>
          <cell r="FW130">
            <v>1389286</v>
          </cell>
          <cell r="FX130" t="str">
            <v>2025-26</v>
          </cell>
          <cell r="FY130">
            <v>16903</v>
          </cell>
          <cell r="FZ130">
            <v>888278.76</v>
          </cell>
          <cell r="GA130" t="str">
            <v>feb25 ene26</v>
          </cell>
          <cell r="GB130">
            <v>18391299</v>
          </cell>
          <cell r="GC130">
            <v>2026</v>
          </cell>
          <cell r="GD130">
            <v>1714000</v>
          </cell>
          <cell r="GE130">
            <v>424000</v>
          </cell>
          <cell r="GF130">
            <v>1165000</v>
          </cell>
          <cell r="GG130">
            <v>145000</v>
          </cell>
          <cell r="GH130">
            <v>1734000</v>
          </cell>
          <cell r="GI130">
            <v>1302556</v>
          </cell>
          <cell r="GJ130">
            <v>682423</v>
          </cell>
          <cell r="GK130">
            <v>1391495</v>
          </cell>
          <cell r="GL130">
            <v>305049</v>
          </cell>
          <cell r="GM130">
            <v>260419</v>
          </cell>
          <cell r="GN130">
            <v>2639386</v>
          </cell>
          <cell r="GO130">
            <v>201734</v>
          </cell>
          <cell r="GP130">
            <v>75000</v>
          </cell>
          <cell r="GQ130">
            <v>174895</v>
          </cell>
          <cell r="GR130">
            <v>31107</v>
          </cell>
          <cell r="GS130">
            <v>36353.85</v>
          </cell>
          <cell r="GT130">
            <v>2111561</v>
          </cell>
          <cell r="GU130">
            <v>28332</v>
          </cell>
          <cell r="GV130">
            <v>17790</v>
          </cell>
          <cell r="GW130">
            <v>785333</v>
          </cell>
          <cell r="GX130">
            <v>36041.686000000002</v>
          </cell>
          <cell r="GY130" t="str">
            <v>2024-2025</v>
          </cell>
          <cell r="GZ130">
            <v>119643</v>
          </cell>
          <cell r="HA130">
            <v>239055</v>
          </cell>
          <cell r="HB130">
            <v>3102183</v>
          </cell>
          <cell r="HC130" t="str">
            <v>feb25 ene26</v>
          </cell>
          <cell r="HD130">
            <v>67334</v>
          </cell>
          <cell r="HE130">
            <v>818175</v>
          </cell>
          <cell r="HF130" t="str">
            <v>feb25 ene26</v>
          </cell>
          <cell r="HG130">
            <v>181000</v>
          </cell>
          <cell r="HH130">
            <v>2311000</v>
          </cell>
          <cell r="HI130" t="str">
            <v>feb25 ene26</v>
          </cell>
          <cell r="HJ130">
            <v>107910</v>
          </cell>
          <cell r="HK130">
            <v>66186.180000000008</v>
          </cell>
          <cell r="HL130" t="str">
            <v>feb25 ene26</v>
          </cell>
          <cell r="HM130">
            <v>2377186.1800000002</v>
          </cell>
          <cell r="HN130">
            <v>-2.8178999999999954E-2</v>
          </cell>
          <cell r="HO130">
            <v>965990074</v>
          </cell>
          <cell r="HP130">
            <v>11701.975655930679</v>
          </cell>
          <cell r="HQ130" t="str">
            <v>feb25 ene26</v>
          </cell>
          <cell r="HU130">
            <v>990000</v>
          </cell>
          <cell r="HV130" t="str">
            <v>2024-25</v>
          </cell>
          <cell r="HW130">
            <v>1600000</v>
          </cell>
          <cell r="HX130" t="str">
            <v>2025-26</v>
          </cell>
          <cell r="HY130">
            <v>4730000</v>
          </cell>
          <cell r="HZ130" t="str">
            <v>2024-25</v>
          </cell>
          <cell r="IA130">
            <v>20800000</v>
          </cell>
          <cell r="IB130" t="str">
            <v>2024-25</v>
          </cell>
          <cell r="IC130">
            <v>50500000</v>
          </cell>
          <cell r="ID130" t="str">
            <v>2024-25</v>
          </cell>
          <cell r="IE130">
            <v>1150000.0000000002</v>
          </cell>
          <cell r="IF130" t="str">
            <v>2024-25</v>
          </cell>
          <cell r="IG130">
            <v>8000000</v>
          </cell>
          <cell r="IH130" t="str">
            <v>2025-26</v>
          </cell>
          <cell r="II130">
            <v>86780000</v>
          </cell>
          <cell r="IJ130">
            <v>2.4834491694220664</v>
          </cell>
          <cell r="IK130" t="str">
            <v>2025-26</v>
          </cell>
          <cell r="IL130">
            <v>47.2</v>
          </cell>
          <cell r="IM130">
            <v>49.28</v>
          </cell>
          <cell r="IN130">
            <v>200</v>
          </cell>
          <cell r="IO130">
            <v>18.97</v>
          </cell>
          <cell r="IP130">
            <v>5.536232682630847</v>
          </cell>
          <cell r="IQ130">
            <v>14.399999999999999</v>
          </cell>
          <cell r="IR130">
            <v>6.09</v>
          </cell>
          <cell r="IS130">
            <v>4.03</v>
          </cell>
          <cell r="IT130">
            <v>11.98</v>
          </cell>
          <cell r="IU130">
            <v>1.38</v>
          </cell>
          <cell r="IV130">
            <v>17.39</v>
          </cell>
          <cell r="IY130">
            <v>1.88</v>
          </cell>
          <cell r="IZ130">
            <v>0.3</v>
          </cell>
          <cell r="JA130">
            <v>3555</v>
          </cell>
          <cell r="JF130">
            <v>12.342095660000002</v>
          </cell>
          <cell r="JG130">
            <v>25.485538569999999</v>
          </cell>
          <cell r="JH130">
            <v>388.69634743</v>
          </cell>
          <cell r="JI130">
            <v>397.79450831000003</v>
          </cell>
          <cell r="JJ130">
            <v>380.95256652</v>
          </cell>
          <cell r="JK130">
            <v>106.44432842999998</v>
          </cell>
          <cell r="JL130">
            <v>1888.3363997900003</v>
          </cell>
          <cell r="JM130">
            <v>11.146608329999999</v>
          </cell>
          <cell r="JN130">
            <v>1004.7103323100001</v>
          </cell>
          <cell r="JO130">
            <v>27.589055210000001</v>
          </cell>
          <cell r="JP130">
            <v>0</v>
          </cell>
          <cell r="JQ130">
            <v>0.14949000000000001</v>
          </cell>
          <cell r="JR130">
            <v>0.9370956800000001</v>
          </cell>
          <cell r="JS130">
            <v>0</v>
          </cell>
          <cell r="JT130">
            <v>0.62257050000000003</v>
          </cell>
          <cell r="JU130">
            <v>51.281836970000001</v>
          </cell>
          <cell r="JV130">
            <v>4.5167526199999992</v>
          </cell>
          <cell r="JW130">
            <v>21.288851679999997</v>
          </cell>
          <cell r="JX130">
            <v>11.93462152</v>
          </cell>
          <cell r="JY130">
            <v>0</v>
          </cell>
          <cell r="JZ130">
            <v>5.6907229299999997</v>
          </cell>
          <cell r="KA130">
            <v>0.5</v>
          </cell>
          <cell r="KB130">
            <v>13.84098623</v>
          </cell>
          <cell r="KC130">
            <v>13.8144042</v>
          </cell>
          <cell r="KD130">
            <v>7.9660401599999986</v>
          </cell>
          <cell r="KE130">
            <v>15.491239590000003</v>
          </cell>
          <cell r="KF130">
            <v>8.3583028800000001</v>
          </cell>
          <cell r="KG130">
            <v>435.35705272999991</v>
          </cell>
          <cell r="KH130">
            <v>160.91833684000002</v>
          </cell>
          <cell r="KI130">
            <v>31.916470830000002</v>
          </cell>
          <cell r="KJ130">
            <v>3.9903958900000003</v>
          </cell>
          <cell r="KK130">
            <v>5.6046989700000003</v>
          </cell>
          <cell r="KL130">
            <v>1.9795769999999997E-2</v>
          </cell>
          <cell r="KM130">
            <v>0.59943345000000003</v>
          </cell>
          <cell r="KN130">
            <v>3.6951200000000001E-3</v>
          </cell>
          <cell r="KO130">
            <v>2.1848609100000003</v>
          </cell>
          <cell r="KP130">
            <v>3.5242930000000006E-2</v>
          </cell>
          <cell r="KQ130">
            <v>24.497339740000005</v>
          </cell>
          <cell r="KR130">
            <v>0</v>
          </cell>
          <cell r="KS130">
            <v>0.27200588000000003</v>
          </cell>
          <cell r="KT130">
            <v>2.2861269800000001</v>
          </cell>
          <cell r="KU130">
            <v>0.35343590000000003</v>
          </cell>
          <cell r="KV130">
            <v>0.13204644000000001</v>
          </cell>
          <cell r="KW130">
            <v>0.46733760000000002</v>
          </cell>
          <cell r="KX130">
            <v>0</v>
          </cell>
          <cell r="KY130">
            <v>0</v>
          </cell>
          <cell r="KZ130">
            <v>0.82771172999999998</v>
          </cell>
          <cell r="LA130">
            <v>5.1857800000000009E-3</v>
          </cell>
          <cell r="LB130">
            <v>0</v>
          </cell>
          <cell r="LC130">
            <v>1.7304835599999999</v>
          </cell>
          <cell r="LD130">
            <v>0</v>
          </cell>
          <cell r="LE130">
            <v>0.59877593000000007</v>
          </cell>
          <cell r="LF130">
            <v>0.62677358000000005</v>
          </cell>
          <cell r="LG130">
            <v>15.974673770000001</v>
          </cell>
          <cell r="LH130">
            <v>2.54586113</v>
          </cell>
          <cell r="LI130">
            <v>1.1258133800000001</v>
          </cell>
          <cell r="LJ130">
            <v>0</v>
          </cell>
          <cell r="LK130">
            <v>1.1051948</v>
          </cell>
          <cell r="LL130">
            <v>9.2870214400000002</v>
          </cell>
          <cell r="LM130">
            <v>2.4748885299999999</v>
          </cell>
          <cell r="LN130">
            <v>0.11824628</v>
          </cell>
          <cell r="LO130">
            <v>9.4713607899999985</v>
          </cell>
          <cell r="LQ130">
            <v>4071.6367626900005</v>
          </cell>
          <cell r="LR130">
            <v>1.7091561800000004</v>
          </cell>
          <cell r="LS130">
            <v>25.805604299999995</v>
          </cell>
          <cell r="LT130">
            <v>6.1907229299999997</v>
          </cell>
          <cell r="LU130">
            <v>27.557335100000003</v>
          </cell>
          <cell r="LV130">
            <v>0.59938404000000001</v>
          </cell>
          <cell r="LW130">
            <v>5.1857800000000009E-3</v>
          </cell>
          <cell r="LX130">
            <v>1.22554951</v>
          </cell>
          <cell r="LZ130">
            <v>1790.17</v>
          </cell>
          <cell r="MA130">
            <v>1711.31</v>
          </cell>
          <cell r="MH130">
            <v>4122.18</v>
          </cell>
          <cell r="MI130">
            <v>957.29</v>
          </cell>
          <cell r="MJ130">
            <v>1205.82</v>
          </cell>
          <cell r="ML130">
            <v>1004.69</v>
          </cell>
          <cell r="MM130">
            <v>2812.21</v>
          </cell>
          <cell r="MO130">
            <v>1305.99</v>
          </cell>
          <cell r="MP130">
            <v>2263.2600000000002</v>
          </cell>
          <cell r="MQ130">
            <v>4754.59</v>
          </cell>
          <cell r="MU130">
            <v>1615.69</v>
          </cell>
          <cell r="MY130">
            <v>2479.56</v>
          </cell>
          <cell r="MZ130">
            <v>7926</v>
          </cell>
          <cell r="NA130">
            <v>4069</v>
          </cell>
          <cell r="NB130">
            <v>16322</v>
          </cell>
          <cell r="NC130">
            <v>1655.28</v>
          </cell>
          <cell r="ND130">
            <v>14990</v>
          </cell>
          <cell r="NE130">
            <v>8241</v>
          </cell>
        </row>
        <row r="131">
          <cell r="A131">
            <v>46054</v>
          </cell>
          <cell r="B131">
            <v>2</v>
          </cell>
          <cell r="C131">
            <v>2026</v>
          </cell>
          <cell r="D131">
            <v>131</v>
          </cell>
          <cell r="E131">
            <v>46054</v>
          </cell>
          <cell r="F131">
            <v>1409.6570999999999</v>
          </cell>
          <cell r="G131">
            <v>10714.6255</v>
          </cell>
          <cell r="H131">
            <v>1000908.17</v>
          </cell>
          <cell r="I131">
            <v>120</v>
          </cell>
          <cell r="J131">
            <v>580</v>
          </cell>
          <cell r="K131">
            <v>4.0999999999999996</v>
          </cell>
          <cell r="L131">
            <v>35.4</v>
          </cell>
          <cell r="N131">
            <v>1.31</v>
          </cell>
          <cell r="O131">
            <v>0.97599999999999998</v>
          </cell>
          <cell r="P131">
            <v>1530.6761620349998</v>
          </cell>
          <cell r="Q131">
            <v>27000</v>
          </cell>
          <cell r="R131">
            <v>270000</v>
          </cell>
          <cell r="S131">
            <v>195.58</v>
          </cell>
          <cell r="T131">
            <v>371.68258862385755</v>
          </cell>
          <cell r="U131">
            <v>182.9388888888889</v>
          </cell>
          <cell r="V131">
            <v>318.91111111111104</v>
          </cell>
          <cell r="W131">
            <v>201</v>
          </cell>
          <cell r="X131">
            <v>180.97647058823529</v>
          </cell>
          <cell r="Y131">
            <v>275700.73561799998</v>
          </cell>
          <cell r="Z131">
            <v>523945</v>
          </cell>
          <cell r="AA131">
            <v>257881.10358833332</v>
          </cell>
          <cell r="AB131">
            <v>449555.31204666651</v>
          </cell>
          <cell r="AC131">
            <v>283341.07709999999</v>
          </cell>
          <cell r="AD131">
            <v>255114.76669764702</v>
          </cell>
          <cell r="AE131">
            <v>340922.99917510781</v>
          </cell>
          <cell r="AF131">
            <v>858006.14240000001</v>
          </cell>
          <cell r="AG131">
            <v>220000</v>
          </cell>
          <cell r="AH131">
            <v>950000</v>
          </cell>
          <cell r="AI131">
            <v>318.93</v>
          </cell>
          <cell r="AJ131">
            <v>170.68</v>
          </cell>
          <cell r="AK131">
            <v>202.61</v>
          </cell>
          <cell r="AL131">
            <v>249.44</v>
          </cell>
          <cell r="AM131">
            <v>266.07920000000001</v>
          </cell>
          <cell r="AN131">
            <v>2932.4459171597618</v>
          </cell>
          <cell r="AO131">
            <v>2106.3405555555555</v>
          </cell>
          <cell r="AP131">
            <v>2519.3932363576587</v>
          </cell>
          <cell r="AQ131">
            <v>1348.9</v>
          </cell>
          <cell r="AR131">
            <v>2641.8519999999999</v>
          </cell>
          <cell r="AS131">
            <v>1680.6172222222222</v>
          </cell>
          <cell r="AT131">
            <v>2099.0244444444443</v>
          </cell>
          <cell r="AU131">
            <v>2140.4978888888886</v>
          </cell>
          <cell r="AV131">
            <v>545.67888888888899</v>
          </cell>
          <cell r="AW131">
            <v>450</v>
          </cell>
          <cell r="AX131">
            <v>496.58368421052631</v>
          </cell>
          <cell r="AY131">
            <v>906.87947368421067</v>
          </cell>
          <cell r="AZ131">
            <v>786.85315789473668</v>
          </cell>
          <cell r="BA131">
            <v>390.57730769230773</v>
          </cell>
          <cell r="BB131">
            <v>645.22340587044539</v>
          </cell>
          <cell r="BC131">
            <v>44166</v>
          </cell>
          <cell r="BD131">
            <v>39751</v>
          </cell>
          <cell r="BE131">
            <v>25000</v>
          </cell>
          <cell r="BF131">
            <v>19000</v>
          </cell>
          <cell r="BG131">
            <v>31979.25</v>
          </cell>
          <cell r="BH131">
            <v>3807</v>
          </cell>
          <cell r="BI131">
            <v>1129.2</v>
          </cell>
          <cell r="BJ131">
            <v>4936.2</v>
          </cell>
          <cell r="BK131">
            <v>4745.0150000000003</v>
          </cell>
          <cell r="BL131">
            <v>6269</v>
          </cell>
          <cell r="BM131">
            <v>5507.0074999999997</v>
          </cell>
          <cell r="BN131">
            <v>481.03</v>
          </cell>
          <cell r="BO131">
            <v>2918</v>
          </cell>
          <cell r="BP131">
            <v>1933</v>
          </cell>
          <cell r="BQ131">
            <v>2425.5</v>
          </cell>
          <cell r="BR131">
            <v>1935.11</v>
          </cell>
          <cell r="BS131">
            <v>8000</v>
          </cell>
          <cell r="BT131">
            <v>3228.114759</v>
          </cell>
          <cell r="BU131">
            <v>105684.344277</v>
          </cell>
          <cell r="BV131">
            <v>2721</v>
          </cell>
          <cell r="BW131">
            <v>3805.5</v>
          </cell>
          <cell r="BY131">
            <v>12395.895087528943</v>
          </cell>
          <cell r="BZ131">
            <v>13000.428425713466</v>
          </cell>
          <cell r="CA131">
            <v>13069.797846435615</v>
          </cell>
          <cell r="CB131">
            <v>13291.652320426449</v>
          </cell>
          <cell r="CC131">
            <v>12728.004574825663</v>
          </cell>
          <cell r="CD131">
            <v>13355.15365919708</v>
          </cell>
          <cell r="CE131">
            <v>13083.011943846521</v>
          </cell>
          <cell r="CF131">
            <v>12990.168797447317</v>
          </cell>
          <cell r="CG131">
            <v>13086.298190363108</v>
          </cell>
          <cell r="CH131">
            <v>12983.215645928487</v>
          </cell>
          <cell r="CI131">
            <v>13252.069830340008</v>
          </cell>
          <cell r="CJ131">
            <v>12914.653357123689</v>
          </cell>
          <cell r="CK131">
            <v>13136.338968557231</v>
          </cell>
          <cell r="CL131">
            <v>12808.650870165855</v>
          </cell>
          <cell r="CM131">
            <v>12282.985851362364</v>
          </cell>
          <cell r="CN131">
            <v>11497.894235461961</v>
          </cell>
          <cell r="CO131">
            <v>12431.467481386851</v>
          </cell>
          <cell r="CP131">
            <v>13290.989010627422</v>
          </cell>
          <cell r="CQ131">
            <v>12855.178030826806</v>
          </cell>
          <cell r="CR131">
            <v>12964.587843865653</v>
          </cell>
          <cell r="CS131">
            <v>12909.882937346229</v>
          </cell>
          <cell r="CT131">
            <v>12430.516049552394</v>
          </cell>
          <cell r="CU131">
            <v>12841.068577306958</v>
          </cell>
          <cell r="CV131">
            <v>12962.687082901781</v>
          </cell>
          <cell r="CW131">
            <v>12962.687082901781</v>
          </cell>
          <cell r="CX131">
            <v>12922.147581036841</v>
          </cell>
          <cell r="CY131">
            <v>12294.074812146788</v>
          </cell>
          <cell r="CZ131">
            <v>15910.517344220651</v>
          </cell>
          <cell r="DA131">
            <v>12905.142719568252</v>
          </cell>
          <cell r="DB131">
            <v>13738.690476926211</v>
          </cell>
          <cell r="DC131">
            <v>12975.52834767931</v>
          </cell>
          <cell r="DD131">
            <v>12761.031855709267</v>
          </cell>
          <cell r="DE131">
            <v>11189.791185062244</v>
          </cell>
          <cell r="DF131">
            <v>12944.919776736257</v>
          </cell>
          <cell r="DG131">
            <v>12067.35548089925</v>
          </cell>
          <cell r="DH131">
            <v>12821.148142679169</v>
          </cell>
          <cell r="DI131">
            <v>12975.408450578894</v>
          </cell>
          <cell r="DK131">
            <v>480000</v>
          </cell>
          <cell r="DL131" t="str">
            <v>2025-26</v>
          </cell>
          <cell r="DM131">
            <v>200000</v>
          </cell>
          <cell r="DN131" t="str">
            <v>2025-26</v>
          </cell>
          <cell r="DO131">
            <v>1360000</v>
          </cell>
          <cell r="DP131" t="str">
            <v>2025-26</v>
          </cell>
          <cell r="DQ131">
            <v>3100000</v>
          </cell>
          <cell r="DR131" t="str">
            <v>2025-26</v>
          </cell>
          <cell r="DS131">
            <v>7800000</v>
          </cell>
          <cell r="DT131" t="str">
            <v>2025-26</v>
          </cell>
          <cell r="DU131">
            <v>17300000</v>
          </cell>
          <cell r="DV131" t="str">
            <v>2025-26</v>
          </cell>
          <cell r="DW131">
            <v>900000</v>
          </cell>
          <cell r="DX131" t="str">
            <v>2025-26</v>
          </cell>
          <cell r="DY131">
            <v>7000000</v>
          </cell>
          <cell r="DZ131" t="str">
            <v>2025-26</v>
          </cell>
          <cell r="EA131">
            <v>37460000</v>
          </cell>
          <cell r="EB131">
            <v>381590</v>
          </cell>
          <cell r="EC131" t="str">
            <v>2025-26</v>
          </cell>
          <cell r="ED131">
            <v>231352</v>
          </cell>
          <cell r="EE131">
            <v>2025</v>
          </cell>
          <cell r="EF131">
            <v>196220</v>
          </cell>
          <cell r="EG131">
            <v>2025</v>
          </cell>
          <cell r="EH131">
            <v>50920790</v>
          </cell>
          <cell r="EI131">
            <v>2026</v>
          </cell>
          <cell r="EJ131">
            <v>5987778</v>
          </cell>
          <cell r="EK131">
            <v>2025</v>
          </cell>
          <cell r="EL131">
            <v>11967429</v>
          </cell>
          <cell r="EM131">
            <v>2025</v>
          </cell>
          <cell r="EN131">
            <v>2819145</v>
          </cell>
          <cell r="EO131">
            <v>2026</v>
          </cell>
          <cell r="EP131">
            <v>9483</v>
          </cell>
          <cell r="EQ131">
            <v>4000000</v>
          </cell>
          <cell r="ER131">
            <v>80248</v>
          </cell>
          <cell r="ET131">
            <v>19357</v>
          </cell>
          <cell r="EU131">
            <v>18703</v>
          </cell>
          <cell r="EV131">
            <v>8927</v>
          </cell>
          <cell r="EW131">
            <v>17408</v>
          </cell>
          <cell r="EX131">
            <v>64395</v>
          </cell>
          <cell r="EY131">
            <v>20031</v>
          </cell>
          <cell r="EZ131">
            <v>33722</v>
          </cell>
          <cell r="FA131">
            <v>19900</v>
          </cell>
          <cell r="FB131">
            <v>18184</v>
          </cell>
          <cell r="FC131">
            <v>38084</v>
          </cell>
          <cell r="FD131">
            <v>60376</v>
          </cell>
          <cell r="FF131">
            <v>1100000</v>
          </cell>
          <cell r="FG131" t="str">
            <v>2024-25</v>
          </cell>
          <cell r="FH131">
            <v>1600000</v>
          </cell>
          <cell r="FI131" t="str">
            <v>2024-25</v>
          </cell>
          <cell r="FJ131">
            <v>5400000</v>
          </cell>
          <cell r="FK131" t="str">
            <v>2025-26</v>
          </cell>
          <cell r="FL131">
            <v>6400000</v>
          </cell>
          <cell r="FM131" t="str">
            <v>2025-26</v>
          </cell>
          <cell r="FN131">
            <v>57000000</v>
          </cell>
          <cell r="FO131" t="str">
            <v>2025-26</v>
          </cell>
          <cell r="FP131">
            <v>48500000</v>
          </cell>
          <cell r="FQ131" t="str">
            <v>2025-26</v>
          </cell>
          <cell r="FR131">
            <v>2900000</v>
          </cell>
          <cell r="FS131" t="str">
            <v>2025-26</v>
          </cell>
          <cell r="FT131">
            <v>27800000</v>
          </cell>
          <cell r="FU131" t="str">
            <v>2025-26</v>
          </cell>
          <cell r="FV131">
            <v>148000000</v>
          </cell>
          <cell r="FW131">
            <v>1311996</v>
          </cell>
          <cell r="FX131" t="str">
            <v>2025-26</v>
          </cell>
          <cell r="FY131">
            <v>18959</v>
          </cell>
          <cell r="FZ131">
            <v>890576.76</v>
          </cell>
          <cell r="GA131" t="str">
            <v>mar25 feb26</v>
          </cell>
          <cell r="GB131">
            <v>18391299</v>
          </cell>
          <cell r="GC131">
            <v>2026</v>
          </cell>
          <cell r="GD131">
            <v>1714000</v>
          </cell>
          <cell r="GE131">
            <v>424000</v>
          </cell>
          <cell r="GF131">
            <v>1165000</v>
          </cell>
          <cell r="GG131">
            <v>145000</v>
          </cell>
          <cell r="GH131">
            <v>1734000</v>
          </cell>
          <cell r="GI131">
            <v>1302556</v>
          </cell>
          <cell r="GJ131">
            <v>682423</v>
          </cell>
          <cell r="GK131">
            <v>1391495</v>
          </cell>
          <cell r="GL131">
            <v>305049</v>
          </cell>
          <cell r="GM131">
            <v>260419</v>
          </cell>
          <cell r="GN131">
            <v>2639386</v>
          </cell>
          <cell r="GO131">
            <v>201734</v>
          </cell>
          <cell r="GP131">
            <v>75000</v>
          </cell>
          <cell r="GQ131">
            <v>153226</v>
          </cell>
          <cell r="GR131">
            <v>31107</v>
          </cell>
          <cell r="GS131">
            <v>35703.78</v>
          </cell>
          <cell r="GT131">
            <v>2111561</v>
          </cell>
          <cell r="GU131">
            <v>55785</v>
          </cell>
          <cell r="GV131">
            <v>20829</v>
          </cell>
          <cell r="GW131">
            <v>781196</v>
          </cell>
          <cell r="GX131">
            <v>36041.686000000002</v>
          </cell>
          <cell r="GY131" t="str">
            <v>2024-2025</v>
          </cell>
          <cell r="GZ131">
            <v>119643</v>
          </cell>
          <cell r="HA131">
            <v>216715</v>
          </cell>
          <cell r="HB131">
            <v>3084284</v>
          </cell>
          <cell r="HC131" t="str">
            <v>mar25 feb26</v>
          </cell>
          <cell r="HD131">
            <v>63824</v>
          </cell>
          <cell r="HE131">
            <v>824861</v>
          </cell>
          <cell r="HF131" t="str">
            <v>mar25 feb26</v>
          </cell>
          <cell r="HG131">
            <v>165000</v>
          </cell>
          <cell r="HH131">
            <v>2292000</v>
          </cell>
          <cell r="HI131" t="str">
            <v>mar25 feb26</v>
          </cell>
          <cell r="HJ131">
            <v>86630</v>
          </cell>
          <cell r="HK131">
            <v>66317.820000000007</v>
          </cell>
          <cell r="HL131" t="str">
            <v>mar25 feb26</v>
          </cell>
          <cell r="HM131">
            <v>2358317.8199999998</v>
          </cell>
          <cell r="HN131">
            <v>0.1061819690026955</v>
          </cell>
          <cell r="HO131">
            <v>820787021</v>
          </cell>
          <cell r="HP131">
            <v>11780.762676930679</v>
          </cell>
          <cell r="HQ131" t="str">
            <v>mar25 feb26</v>
          </cell>
          <cell r="HU131">
            <v>990000</v>
          </cell>
          <cell r="HV131" t="str">
            <v>2024-25</v>
          </cell>
          <cell r="HW131">
            <v>1600000</v>
          </cell>
          <cell r="HX131" t="str">
            <v>2025-26</v>
          </cell>
          <cell r="HY131">
            <v>6000000</v>
          </cell>
          <cell r="HZ131" t="str">
            <v>2025-26</v>
          </cell>
          <cell r="IA131">
            <v>20800000</v>
          </cell>
          <cell r="IB131" t="str">
            <v>2024-25</v>
          </cell>
          <cell r="IC131">
            <v>50500000</v>
          </cell>
          <cell r="ID131" t="str">
            <v>2024-25</v>
          </cell>
          <cell r="IE131">
            <v>1150000.0000000002</v>
          </cell>
          <cell r="IF131" t="str">
            <v>2024-25</v>
          </cell>
          <cell r="IG131">
            <v>8000000</v>
          </cell>
          <cell r="IH131" t="str">
            <v>2025-26</v>
          </cell>
          <cell r="II131">
            <v>88050000</v>
          </cell>
          <cell r="IJ131">
            <v>2.2758742096778719</v>
          </cell>
          <cell r="IK131" t="str">
            <v>2025-26</v>
          </cell>
          <cell r="IL131">
            <v>47</v>
          </cell>
          <cell r="IM131">
            <v>48.84</v>
          </cell>
          <cell r="IN131">
            <v>198.5</v>
          </cell>
          <cell r="IO131">
            <v>19.100000000000001</v>
          </cell>
          <cell r="IP131">
            <v>4.9828896819542363</v>
          </cell>
          <cell r="IQ131">
            <v>13.74</v>
          </cell>
          <cell r="IR131">
            <v>6.09</v>
          </cell>
          <cell r="IS131">
            <v>4.03</v>
          </cell>
          <cell r="IT131">
            <v>11.98</v>
          </cell>
          <cell r="IU131">
            <v>1.38</v>
          </cell>
          <cell r="IV131">
            <v>17.39</v>
          </cell>
          <cell r="IY131">
            <v>1.88</v>
          </cell>
          <cell r="IZ131">
            <v>0.3</v>
          </cell>
          <cell r="JA131">
            <v>3555</v>
          </cell>
          <cell r="JF131">
            <v>12.588257429999995</v>
          </cell>
          <cell r="JG131">
            <v>90.314876920000003</v>
          </cell>
          <cell r="JH131">
            <v>473.28640142</v>
          </cell>
          <cell r="JI131">
            <v>416.08443222</v>
          </cell>
          <cell r="JJ131">
            <v>306.46308260999996</v>
          </cell>
          <cell r="JK131">
            <v>89.696667719999979</v>
          </cell>
          <cell r="JL131">
            <v>1186.5463193000003</v>
          </cell>
          <cell r="JM131">
            <v>2.5000000000000001E-3</v>
          </cell>
          <cell r="JN131">
            <v>851.94796606999989</v>
          </cell>
          <cell r="JO131">
            <v>27.540207300000002</v>
          </cell>
          <cell r="JP131">
            <v>0</v>
          </cell>
          <cell r="JQ131">
            <v>0.30518450000000003</v>
          </cell>
          <cell r="JR131">
            <v>0.57754092999999995</v>
          </cell>
          <cell r="JS131">
            <v>0</v>
          </cell>
          <cell r="JT131">
            <v>0.41702</v>
          </cell>
          <cell r="JU131">
            <v>62.074398439999996</v>
          </cell>
          <cell r="JV131">
            <v>6.9604206299999989</v>
          </cell>
          <cell r="JW131">
            <v>42.574454779999996</v>
          </cell>
          <cell r="JX131">
            <v>10.29842607</v>
          </cell>
          <cell r="JY131">
            <v>0</v>
          </cell>
          <cell r="JZ131">
            <v>4.6995593400000004</v>
          </cell>
          <cell r="KA131">
            <v>0.19</v>
          </cell>
          <cell r="KB131">
            <v>15.133510020000001</v>
          </cell>
          <cell r="KC131">
            <v>86.187029549999991</v>
          </cell>
          <cell r="KD131">
            <v>6.4893821299999992</v>
          </cell>
          <cell r="KE131">
            <v>22.465511939999999</v>
          </cell>
          <cell r="KF131">
            <v>9.221842539999999</v>
          </cell>
          <cell r="KG131">
            <v>393.3327183799999</v>
          </cell>
          <cell r="KH131">
            <v>139.65871150000001</v>
          </cell>
          <cell r="KI131">
            <v>32.255325069999998</v>
          </cell>
          <cell r="KJ131">
            <v>2.83989907</v>
          </cell>
          <cell r="KK131">
            <v>4.1096809499999996</v>
          </cell>
          <cell r="KL131">
            <v>0.15253662999999998</v>
          </cell>
          <cell r="KM131">
            <v>0.55439156999999994</v>
          </cell>
          <cell r="KN131">
            <v>6.0789000000000004E-4</v>
          </cell>
          <cell r="KO131">
            <v>0.47479638999999996</v>
          </cell>
          <cell r="KP131">
            <v>3.3E-4</v>
          </cell>
          <cell r="KQ131">
            <v>344.28677282000012</v>
          </cell>
          <cell r="KR131">
            <v>0</v>
          </cell>
          <cell r="KS131">
            <v>0.33267221999999996</v>
          </cell>
          <cell r="KT131">
            <v>1.0022204700000001</v>
          </cell>
          <cell r="KU131">
            <v>0.36896875000000001</v>
          </cell>
          <cell r="KV131">
            <v>2.177401E-2</v>
          </cell>
          <cell r="KW131">
            <v>0.20939272999999997</v>
          </cell>
          <cell r="KX131">
            <v>0</v>
          </cell>
          <cell r="KY131">
            <v>0</v>
          </cell>
          <cell r="KZ131">
            <v>1.8929445199999999</v>
          </cell>
          <cell r="LA131">
            <v>0.21133246</v>
          </cell>
          <cell r="LB131">
            <v>0.104633</v>
          </cell>
          <cell r="LC131">
            <v>0.39304520999999998</v>
          </cell>
          <cell r="LD131">
            <v>0</v>
          </cell>
          <cell r="LE131">
            <v>0.97754305999999991</v>
          </cell>
          <cell r="LF131">
            <v>0.22877140999999998</v>
          </cell>
          <cell r="LG131">
            <v>13.973435009999999</v>
          </cell>
          <cell r="LH131">
            <v>4.1810604400000004</v>
          </cell>
          <cell r="LI131">
            <v>1.2853964200000001</v>
          </cell>
          <cell r="LJ131">
            <v>0</v>
          </cell>
          <cell r="LK131">
            <v>1.5958006899999999</v>
          </cell>
          <cell r="LL131">
            <v>8.3972474800000008</v>
          </cell>
          <cell r="LM131">
            <v>2.0159010200000003</v>
          </cell>
          <cell r="LN131">
            <v>0.25499293999999995</v>
          </cell>
          <cell r="LO131">
            <v>12.802625309999998</v>
          </cell>
          <cell r="LQ131">
            <v>3234.3307016200001</v>
          </cell>
          <cell r="LR131">
            <v>1.29974543</v>
          </cell>
          <cell r="LS131">
            <v>49.534875409999998</v>
          </cell>
          <cell r="LT131">
            <v>4.8895593400000008</v>
          </cell>
          <cell r="LU131">
            <v>345.64924089000016</v>
          </cell>
          <cell r="LV131">
            <v>0.23116673999999998</v>
          </cell>
          <cell r="LW131">
            <v>0.31596546000000003</v>
          </cell>
          <cell r="LX131">
            <v>1.2063144699999999</v>
          </cell>
          <cell r="LZ131">
            <v>1803.28</v>
          </cell>
          <cell r="MA131">
            <v>1739.93</v>
          </cell>
          <cell r="MH131">
            <v>4201.87</v>
          </cell>
          <cell r="MI131">
            <v>972.65</v>
          </cell>
          <cell r="MJ131">
            <v>1303.25</v>
          </cell>
          <cell r="MK131">
            <v>2290</v>
          </cell>
          <cell r="ML131">
            <v>1004.54</v>
          </cell>
          <cell r="MM131">
            <v>2186.85</v>
          </cell>
          <cell r="MN131">
            <v>1699</v>
          </cell>
          <cell r="MO131">
            <v>1264.56</v>
          </cell>
          <cell r="MP131">
            <v>2266.39</v>
          </cell>
          <cell r="MQ131">
            <v>4651.5200000000004</v>
          </cell>
          <cell r="MR131">
            <v>5500</v>
          </cell>
          <cell r="MS131">
            <v>4500</v>
          </cell>
          <cell r="MT131">
            <v>5000</v>
          </cell>
          <cell r="MU131">
            <v>1756.28</v>
          </cell>
          <cell r="MV131">
            <v>3000</v>
          </cell>
          <cell r="MY131">
            <v>2524.87</v>
          </cell>
          <cell r="MZ131">
            <v>7876</v>
          </cell>
          <cell r="NA131">
            <v>4347</v>
          </cell>
          <cell r="NB131">
            <v>16853</v>
          </cell>
          <cell r="NC131">
            <v>1692.46</v>
          </cell>
          <cell r="ND131">
            <v>14990</v>
          </cell>
          <cell r="NE131">
            <v>8416</v>
          </cell>
        </row>
        <row r="132">
          <cell r="A132">
            <v>46082</v>
          </cell>
          <cell r="B132">
            <v>3</v>
          </cell>
          <cell r="C132">
            <v>2026</v>
          </cell>
          <cell r="D132">
            <v>132</v>
          </cell>
          <cell r="E132">
            <v>46082</v>
          </cell>
          <cell r="F132">
            <v>1396.3387</v>
          </cell>
          <cell r="G132">
            <v>11077.060799999999</v>
          </cell>
          <cell r="H132">
            <v>1035939.62</v>
          </cell>
          <cell r="I132">
            <v>161</v>
          </cell>
          <cell r="J132">
            <v>890</v>
          </cell>
          <cell r="K132">
            <v>5</v>
          </cell>
          <cell r="L132">
            <v>37.200000000000003</v>
          </cell>
          <cell r="N132">
            <v>1.31</v>
          </cell>
          <cell r="O132">
            <v>1.08</v>
          </cell>
          <cell r="P132">
            <v>1585.1935091750001</v>
          </cell>
          <cell r="Q132">
            <v>25000</v>
          </cell>
          <cell r="R132">
            <v>250000</v>
          </cell>
          <cell r="S132">
            <v>201</v>
          </cell>
          <cell r="T132">
            <v>383.96393367884161</v>
          </cell>
          <cell r="U132">
            <v>184.17499999999998</v>
          </cell>
          <cell r="V132">
            <v>325.61500000000001</v>
          </cell>
          <cell r="W132">
            <v>221</v>
          </cell>
          <cell r="X132">
            <v>218.34736842105261</v>
          </cell>
          <cell r="Y132">
            <v>280664.07870000001</v>
          </cell>
          <cell r="Z132">
            <v>536143.69999999995</v>
          </cell>
          <cell r="AA132">
            <v>257170.68007249999</v>
          </cell>
          <cell r="AB132">
            <v>454668.8258005</v>
          </cell>
          <cell r="AC132">
            <v>308590.85269999999</v>
          </cell>
          <cell r="AD132">
            <v>304886.88056947367</v>
          </cell>
          <cell r="AE132">
            <v>357020.83630707895</v>
          </cell>
          <cell r="AF132">
            <v>845794.25999999989</v>
          </cell>
          <cell r="AG132">
            <v>240000</v>
          </cell>
          <cell r="AH132">
            <v>950000</v>
          </cell>
          <cell r="AI132">
            <v>393.41</v>
          </cell>
          <cell r="AJ132">
            <v>208.98</v>
          </cell>
          <cell r="AK132">
            <v>145.43</v>
          </cell>
          <cell r="AL132">
            <v>201.26</v>
          </cell>
          <cell r="AM132">
            <v>275.44200000000001</v>
          </cell>
          <cell r="AN132">
            <v>2309.36</v>
          </cell>
          <cell r="AO132">
            <v>1457.9</v>
          </cell>
          <cell r="AP132">
            <v>1883.63</v>
          </cell>
          <cell r="AQ132">
            <v>1234.23</v>
          </cell>
          <cell r="AR132">
            <v>1220.06</v>
          </cell>
          <cell r="AS132">
            <v>1332.43</v>
          </cell>
          <cell r="AT132">
            <v>2013.78125</v>
          </cell>
          <cell r="AU132">
            <v>1522.0904166666667</v>
          </cell>
          <cell r="AV132">
            <v>489.37217391304347</v>
          </cell>
          <cell r="AW132">
            <v>675</v>
          </cell>
          <cell r="AX132">
            <v>594.46105263157892</v>
          </cell>
          <cell r="AY132">
            <v>691.69157894736861</v>
          </cell>
          <cell r="AZ132">
            <v>702.64526315789487</v>
          </cell>
          <cell r="BA132">
            <v>278.37710526315789</v>
          </cell>
          <cell r="BB132">
            <v>566.79375000000005</v>
          </cell>
          <cell r="BC132">
            <v>44166</v>
          </cell>
          <cell r="BD132">
            <v>39751</v>
          </cell>
          <cell r="BE132">
            <v>25000</v>
          </cell>
          <cell r="BF132">
            <v>19000</v>
          </cell>
          <cell r="BG132">
            <v>31979.25</v>
          </cell>
          <cell r="BH132">
            <v>5139.45</v>
          </cell>
          <cell r="BI132">
            <v>1129.2</v>
          </cell>
          <cell r="BJ132">
            <v>6268.65</v>
          </cell>
          <cell r="BK132">
            <v>4768.0469999999996</v>
          </cell>
          <cell r="BL132">
            <v>6808.88</v>
          </cell>
          <cell r="BM132">
            <v>5788.4634999999998</v>
          </cell>
          <cell r="BN132">
            <v>489.16</v>
          </cell>
          <cell r="BO132">
            <v>2737.57</v>
          </cell>
          <cell r="BP132">
            <v>1833</v>
          </cell>
          <cell r="BQ132">
            <v>2285.2849999999999</v>
          </cell>
          <cell r="BR132">
            <v>2041.25</v>
          </cell>
          <cell r="BS132">
            <v>8000</v>
          </cell>
          <cell r="BT132">
            <v>3030.054979</v>
          </cell>
          <cell r="BU132">
            <v>105090.16493699999</v>
          </cell>
          <cell r="BV132">
            <v>2781</v>
          </cell>
          <cell r="BW132">
            <v>3859</v>
          </cell>
          <cell r="BY132">
            <v>13776.182057558521</v>
          </cell>
          <cell r="BZ132">
            <v>15925.556429481843</v>
          </cell>
          <cell r="CA132">
            <v>14466.564487839403</v>
          </cell>
          <cell r="CB132">
            <v>14397.541801694872</v>
          </cell>
          <cell r="CC132">
            <v>13680.878374858226</v>
          </cell>
          <cell r="CD132">
            <v>14410.197757672029</v>
          </cell>
          <cell r="CE132">
            <v>14565.400849490956</v>
          </cell>
          <cell r="CF132">
            <v>14860.505259259691</v>
          </cell>
          <cell r="CG132">
            <v>14396.848088469196</v>
          </cell>
          <cell r="CH132">
            <v>13970.032731695304</v>
          </cell>
          <cell r="CI132">
            <v>15916.955289514513</v>
          </cell>
          <cell r="CJ132">
            <v>14390.554677992892</v>
          </cell>
          <cell r="CK132">
            <v>15026.963381211701</v>
          </cell>
          <cell r="CL132">
            <v>13834.980854080988</v>
          </cell>
          <cell r="CM132">
            <v>13404.350975355521</v>
          </cell>
          <cell r="CN132">
            <v>12646.375390575722</v>
          </cell>
          <cell r="CO132">
            <v>13728.167650305983</v>
          </cell>
          <cell r="CP132">
            <v>15174.819134028798</v>
          </cell>
          <cell r="CQ132">
            <v>14233.518029646182</v>
          </cell>
          <cell r="CR132">
            <v>14108.472621334648</v>
          </cell>
          <cell r="CS132">
            <v>14170.995325490414</v>
          </cell>
          <cell r="CT132">
            <v>13749.590921258619</v>
          </cell>
          <cell r="CU132">
            <v>13549.88312938367</v>
          </cell>
          <cell r="CV132">
            <v>14380.562856864588</v>
          </cell>
          <cell r="CW132">
            <v>14380.562856864588</v>
          </cell>
          <cell r="CX132">
            <v>14103.669614370949</v>
          </cell>
          <cell r="CY132">
            <v>13256.222349468711</v>
          </cell>
          <cell r="CZ132">
            <v>18216.966945774944</v>
          </cell>
          <cell r="DA132">
            <v>14387.670108413087</v>
          </cell>
          <cell r="DB132">
            <v>15287.945573489849</v>
          </cell>
          <cell r="DC132">
            <v>13761.728044599837</v>
          </cell>
          <cell r="DD132">
            <v>13341.144891834019</v>
          </cell>
          <cell r="DE132">
            <v>11257.409148130069</v>
          </cell>
          <cell r="DF132">
            <v>13127.314931148076</v>
          </cell>
          <cell r="DG132">
            <v>12192.362039639072</v>
          </cell>
          <cell r="DH132">
            <v>14173.815536870743</v>
          </cell>
          <cell r="DI132">
            <v>13899.499637892481</v>
          </cell>
          <cell r="DK132">
            <v>450000</v>
          </cell>
          <cell r="DL132" t="str">
            <v>2025-26</v>
          </cell>
          <cell r="DM132">
            <v>200000</v>
          </cell>
          <cell r="DN132" t="str">
            <v>2025-26</v>
          </cell>
          <cell r="DO132">
            <v>1360000</v>
          </cell>
          <cell r="DP132" t="str">
            <v>2025-26</v>
          </cell>
          <cell r="DQ132">
            <v>3100000</v>
          </cell>
          <cell r="DR132" t="str">
            <v>2025-26</v>
          </cell>
          <cell r="DS132">
            <v>8100000</v>
          </cell>
          <cell r="DT132" t="str">
            <v>2025-26</v>
          </cell>
          <cell r="DU132">
            <v>17300000</v>
          </cell>
          <cell r="DV132" t="str">
            <v>2025-26</v>
          </cell>
          <cell r="DW132">
            <v>870000</v>
          </cell>
          <cell r="DX132" t="str">
            <v>2025-26</v>
          </cell>
          <cell r="DY132">
            <v>7000000</v>
          </cell>
          <cell r="DZ132" t="str">
            <v>2025-26</v>
          </cell>
          <cell r="EA132">
            <v>37730000</v>
          </cell>
          <cell r="EB132">
            <v>381590</v>
          </cell>
          <cell r="EC132" t="str">
            <v>2025-26</v>
          </cell>
          <cell r="ED132">
            <v>231352</v>
          </cell>
          <cell r="EE132">
            <v>2025</v>
          </cell>
          <cell r="EF132">
            <v>196220</v>
          </cell>
          <cell r="EG132">
            <v>2025</v>
          </cell>
          <cell r="EH132">
            <v>50920790</v>
          </cell>
          <cell r="EI132">
            <v>2026</v>
          </cell>
          <cell r="EJ132">
            <v>5987778</v>
          </cell>
          <cell r="EK132">
            <v>2025</v>
          </cell>
          <cell r="EL132">
            <v>11967429</v>
          </cell>
          <cell r="EM132">
            <v>2025</v>
          </cell>
          <cell r="EN132">
            <v>2920089</v>
          </cell>
          <cell r="EO132">
            <v>2026</v>
          </cell>
          <cell r="EP132">
            <v>9481</v>
          </cell>
          <cell r="EQ132">
            <v>4000000</v>
          </cell>
          <cell r="ER132">
            <v>80248</v>
          </cell>
          <cell r="ET132">
            <v>19357</v>
          </cell>
          <cell r="EU132">
            <v>18703</v>
          </cell>
          <cell r="EV132">
            <v>8927</v>
          </cell>
          <cell r="EW132">
            <v>17408</v>
          </cell>
          <cell r="EX132">
            <v>64395</v>
          </cell>
          <cell r="EY132">
            <v>20031</v>
          </cell>
          <cell r="EZ132">
            <v>33722</v>
          </cell>
          <cell r="FA132">
            <v>19900</v>
          </cell>
          <cell r="FB132">
            <v>18184</v>
          </cell>
          <cell r="FC132">
            <v>38084</v>
          </cell>
          <cell r="FD132">
            <v>60376</v>
          </cell>
          <cell r="FF132">
            <v>1100000</v>
          </cell>
          <cell r="FG132" t="str">
            <v>2024-25</v>
          </cell>
          <cell r="FH132">
            <v>1600000</v>
          </cell>
          <cell r="FI132" t="str">
            <v>2024-25</v>
          </cell>
          <cell r="FJ132">
            <v>5400000</v>
          </cell>
          <cell r="FK132" t="str">
            <v>2025-26</v>
          </cell>
          <cell r="FL132">
            <v>6400000</v>
          </cell>
          <cell r="FM132" t="str">
            <v>2025-26</v>
          </cell>
          <cell r="FN132">
            <v>61000000</v>
          </cell>
          <cell r="FO132" t="str">
            <v>2025-26</v>
          </cell>
          <cell r="FP132">
            <v>48600000</v>
          </cell>
          <cell r="FQ132" t="str">
            <v>2025-26</v>
          </cell>
          <cell r="FR132">
            <v>2900000</v>
          </cell>
          <cell r="FS132" t="str">
            <v>2025-26</v>
          </cell>
          <cell r="FT132">
            <v>27800000</v>
          </cell>
          <cell r="FU132" t="str">
            <v>2025-26</v>
          </cell>
          <cell r="FV132">
            <v>152100000</v>
          </cell>
          <cell r="FW132">
            <v>1311996</v>
          </cell>
          <cell r="FX132" t="str">
            <v>2025-26</v>
          </cell>
          <cell r="FY132">
            <v>45045</v>
          </cell>
          <cell r="FZ132">
            <v>904227.76</v>
          </cell>
          <cell r="GA132" t="str">
            <v>abr25 mar26</v>
          </cell>
          <cell r="GB132">
            <v>18391299</v>
          </cell>
          <cell r="GC132">
            <v>2026</v>
          </cell>
          <cell r="GD132">
            <v>1714000</v>
          </cell>
          <cell r="GE132">
            <v>424000</v>
          </cell>
          <cell r="GF132">
            <v>1165000</v>
          </cell>
          <cell r="GG132">
            <v>145000</v>
          </cell>
          <cell r="GH132">
            <v>1734000</v>
          </cell>
          <cell r="GI132">
            <v>1302556</v>
          </cell>
          <cell r="GJ132">
            <v>682423</v>
          </cell>
          <cell r="GK132">
            <v>1391495</v>
          </cell>
          <cell r="GL132">
            <v>305049</v>
          </cell>
          <cell r="GM132">
            <v>260419</v>
          </cell>
          <cell r="GN132">
            <v>2639386</v>
          </cell>
          <cell r="GO132">
            <v>201734</v>
          </cell>
          <cell r="GP132">
            <v>75000</v>
          </cell>
          <cell r="GQ132">
            <v>116327</v>
          </cell>
          <cell r="GR132">
            <v>31107</v>
          </cell>
          <cell r="GS132">
            <v>34596.81</v>
          </cell>
          <cell r="GT132">
            <v>2111561</v>
          </cell>
          <cell r="GU132">
            <v>64272</v>
          </cell>
          <cell r="GV132">
            <v>24419</v>
          </cell>
          <cell r="GW132">
            <v>767984</v>
          </cell>
          <cell r="GX132">
            <v>36041.686000000002</v>
          </cell>
          <cell r="GY132" t="str">
            <v>2024-2025</v>
          </cell>
          <cell r="GZ132">
            <v>119643</v>
          </cell>
          <cell r="HA132">
            <v>243271</v>
          </cell>
          <cell r="HB132">
            <v>3093549</v>
          </cell>
          <cell r="HC132" t="str">
            <v>abr25 mar26</v>
          </cell>
          <cell r="HD132">
            <v>76637</v>
          </cell>
          <cell r="HE132">
            <v>840176</v>
          </cell>
          <cell r="HF132" t="str">
            <v>abr25 mar26</v>
          </cell>
          <cell r="HG132">
            <v>191000</v>
          </cell>
          <cell r="HH132">
            <v>2303000</v>
          </cell>
          <cell r="HI132" t="str">
            <v>abr25 mar26</v>
          </cell>
          <cell r="HJ132">
            <v>94045</v>
          </cell>
          <cell r="HK132">
            <v>66951.42</v>
          </cell>
          <cell r="HL132" t="str">
            <v>abr25 mar26</v>
          </cell>
          <cell r="HM132">
            <v>2369951.42</v>
          </cell>
          <cell r="HN132">
            <v>7.982536151960784E-2</v>
          </cell>
          <cell r="HO132">
            <v>881137495</v>
          </cell>
          <cell r="HP132">
            <v>11845.90017193068</v>
          </cell>
          <cell r="HQ132" t="str">
            <v>abr25 mar26</v>
          </cell>
          <cell r="HU132">
            <v>990000</v>
          </cell>
          <cell r="HV132" t="str">
            <v>2024-25</v>
          </cell>
          <cell r="HW132">
            <v>1600000</v>
          </cell>
          <cell r="HX132" t="str">
            <v>2025-26</v>
          </cell>
          <cell r="HY132">
            <v>6000000</v>
          </cell>
          <cell r="HZ132" t="str">
            <v>2025-26</v>
          </cell>
          <cell r="IA132">
            <v>20800000</v>
          </cell>
          <cell r="IB132" t="str">
            <v>2024-25</v>
          </cell>
          <cell r="IC132">
            <v>50500000</v>
          </cell>
          <cell r="ID132" t="str">
            <v>2024-25</v>
          </cell>
          <cell r="IE132">
            <v>1150000.0000000002</v>
          </cell>
          <cell r="IF132" t="str">
            <v>2024-25</v>
          </cell>
          <cell r="IG132">
            <v>8000000</v>
          </cell>
          <cell r="IH132" t="str">
            <v>2025-26</v>
          </cell>
          <cell r="II132">
            <v>88050000</v>
          </cell>
          <cell r="IJ132">
            <v>2.2758742096778719</v>
          </cell>
          <cell r="IK132" t="str">
            <v>2025-26</v>
          </cell>
          <cell r="IL132">
            <v>47.16</v>
          </cell>
          <cell r="IM132">
            <v>48.54</v>
          </cell>
          <cell r="IN132">
            <v>205</v>
          </cell>
          <cell r="IO132">
            <v>19.43</v>
          </cell>
          <cell r="IP132">
            <v>6.2806726991199149</v>
          </cell>
          <cell r="IQ132">
            <v>14.399999999999999</v>
          </cell>
          <cell r="IR132">
            <v>6.09</v>
          </cell>
          <cell r="IS132">
            <v>4.03</v>
          </cell>
          <cell r="IT132">
            <v>11.98</v>
          </cell>
          <cell r="IU132">
            <v>1.38</v>
          </cell>
          <cell r="IV132">
            <v>17.39</v>
          </cell>
          <cell r="IY132">
            <v>1.88</v>
          </cell>
          <cell r="IZ132">
            <v>0.3</v>
          </cell>
          <cell r="JA132">
            <v>3555</v>
          </cell>
          <cell r="JF132">
            <v>12.781845520000003</v>
          </cell>
          <cell r="JG132">
            <v>21.288385250000005</v>
          </cell>
          <cell r="JH132">
            <v>173.12739558000001</v>
          </cell>
          <cell r="JI132">
            <v>557.47611791000008</v>
          </cell>
          <cell r="JJ132">
            <v>1158.9095312100001</v>
          </cell>
          <cell r="JK132">
            <v>125.25923582999999</v>
          </cell>
          <cell r="JL132">
            <v>1853.5526039800002</v>
          </cell>
          <cell r="JM132">
            <v>57.697366350000003</v>
          </cell>
          <cell r="JN132">
            <v>402.67543766999989</v>
          </cell>
          <cell r="JO132">
            <v>32.026461749999996</v>
          </cell>
          <cell r="JP132">
            <v>0</v>
          </cell>
          <cell r="JQ132">
            <v>4.9839162199999993</v>
          </cell>
          <cell r="JR132">
            <v>1.46589675</v>
          </cell>
          <cell r="JS132">
            <v>0</v>
          </cell>
          <cell r="JT132">
            <v>1.0533798999999999</v>
          </cell>
          <cell r="JU132">
            <v>79.896688470000015</v>
          </cell>
          <cell r="JV132">
            <v>9.9735822599999988</v>
          </cell>
          <cell r="JW132">
            <v>46.745874669999992</v>
          </cell>
          <cell r="JX132">
            <v>11.974438899999997</v>
          </cell>
          <cell r="JY132">
            <v>0</v>
          </cell>
          <cell r="JZ132">
            <v>4.5963070799999999</v>
          </cell>
          <cell r="KA132">
            <v>0.17499999999999999</v>
          </cell>
          <cell r="KB132">
            <v>16.76578641</v>
          </cell>
          <cell r="KC132">
            <v>10.172513039999997</v>
          </cell>
          <cell r="KD132">
            <v>11.30577291</v>
          </cell>
          <cell r="KE132">
            <v>42.687100790000002</v>
          </cell>
          <cell r="KF132">
            <v>9.6066541700000005</v>
          </cell>
          <cell r="KG132">
            <v>536.74004446000004</v>
          </cell>
          <cell r="KH132">
            <v>152.49764859000004</v>
          </cell>
          <cell r="KI132">
            <v>34.165160209999996</v>
          </cell>
          <cell r="KJ132">
            <v>3.2559529299999999</v>
          </cell>
          <cell r="KK132">
            <v>5.0269418100000003</v>
          </cell>
          <cell r="KL132">
            <v>0.19125684999999998</v>
          </cell>
          <cell r="KM132">
            <v>1.48627069</v>
          </cell>
          <cell r="KN132">
            <v>3.99045819</v>
          </cell>
          <cell r="KO132">
            <v>1.3040944899999998</v>
          </cell>
          <cell r="KP132">
            <v>7.5985750000000005E-2</v>
          </cell>
          <cell r="KQ132">
            <v>393.41884747999995</v>
          </cell>
          <cell r="KR132">
            <v>0.79866800000000004</v>
          </cell>
          <cell r="KS132">
            <v>0.52143158999999994</v>
          </cell>
          <cell r="KT132">
            <v>2.0004345900000002</v>
          </cell>
          <cell r="KU132">
            <v>0.85632428999999999</v>
          </cell>
          <cell r="KV132">
            <v>7.7990000000000004E-2</v>
          </cell>
          <cell r="KW132">
            <v>0.31329717000000001</v>
          </cell>
          <cell r="KX132">
            <v>0</v>
          </cell>
          <cell r="KY132">
            <v>0</v>
          </cell>
          <cell r="KZ132">
            <v>2.3774346500000001</v>
          </cell>
          <cell r="LA132">
            <v>0.57109239999999994</v>
          </cell>
          <cell r="LB132">
            <v>2.4233299999999999E-2</v>
          </cell>
          <cell r="LC132">
            <v>0.14656539999999998</v>
          </cell>
          <cell r="LD132">
            <v>0</v>
          </cell>
          <cell r="LE132">
            <v>0.81326339999999997</v>
          </cell>
          <cell r="LF132">
            <v>0.11491991999999999</v>
          </cell>
          <cell r="LG132">
            <v>15.225690909999999</v>
          </cell>
          <cell r="LH132">
            <v>3.8621701900000001</v>
          </cell>
          <cell r="LI132">
            <v>1.08154503</v>
          </cell>
          <cell r="LJ132">
            <v>0</v>
          </cell>
          <cell r="LK132">
            <v>5.3810388700000003</v>
          </cell>
          <cell r="LL132">
            <v>12.219695360000001</v>
          </cell>
          <cell r="LM132">
            <v>2.2584035399999993</v>
          </cell>
          <cell r="LN132">
            <v>0.18636467000000001</v>
          </cell>
          <cell r="LO132">
            <v>16.162930539999998</v>
          </cell>
          <cell r="LQ132">
            <v>4203.4384527000002</v>
          </cell>
          <cell r="LR132">
            <v>7.5031928699999995</v>
          </cell>
          <cell r="LS132">
            <v>56.719456929999993</v>
          </cell>
          <cell r="LT132">
            <v>4.7713070799999997</v>
          </cell>
          <cell r="LU132">
            <v>401.51977044</v>
          </cell>
          <cell r="LV132">
            <v>0.39128717000000002</v>
          </cell>
          <cell r="LW132">
            <v>0.59532569999999996</v>
          </cell>
          <cell r="LX132">
            <v>0.92818331999999992</v>
          </cell>
          <cell r="LZ132">
            <v>1826.18</v>
          </cell>
          <cell r="MA132">
            <v>1719.46</v>
          </cell>
          <cell r="MH132">
            <v>4268.7</v>
          </cell>
          <cell r="MI132">
            <v>955.88</v>
          </cell>
          <cell r="MJ132">
            <v>1270.56</v>
          </cell>
          <cell r="MK132">
            <v>3490</v>
          </cell>
          <cell r="ML132">
            <v>1002.39</v>
          </cell>
          <cell r="MM132" t="str">
            <v>2040,75</v>
          </cell>
          <cell r="MN132">
            <v>1450</v>
          </cell>
          <cell r="MO132">
            <v>1157.44</v>
          </cell>
          <cell r="MP132">
            <v>2291.75</v>
          </cell>
          <cell r="MQ132">
            <v>4072.72</v>
          </cell>
          <cell r="MR132">
            <v>3500</v>
          </cell>
          <cell r="MS132">
            <v>3500</v>
          </cell>
          <cell r="MT132">
            <v>2500</v>
          </cell>
          <cell r="MU132">
            <v>1905.07</v>
          </cell>
          <cell r="MV132">
            <v>3990</v>
          </cell>
          <cell r="MY132">
            <v>2511.8200000000002</v>
          </cell>
          <cell r="MZ132">
            <v>8013</v>
          </cell>
          <cell r="NA132">
            <v>4822</v>
          </cell>
          <cell r="NB132">
            <v>18617</v>
          </cell>
          <cell r="NC132">
            <v>1735.73</v>
          </cell>
          <cell r="ND132">
            <v>14990</v>
          </cell>
          <cell r="NE132">
            <v>8944</v>
          </cell>
        </row>
        <row r="133">
          <cell r="A133">
            <v>46113</v>
          </cell>
          <cell r="B133">
            <v>4</v>
          </cell>
          <cell r="C133">
            <v>2026</v>
          </cell>
          <cell r="D133">
            <v>133</v>
          </cell>
          <cell r="E133">
            <v>46113</v>
          </cell>
          <cell r="F133">
            <v>1381.4522999999999</v>
          </cell>
          <cell r="G133">
            <v>11363.090399999999</v>
          </cell>
          <cell r="H133">
            <v>1067017.3999999999</v>
          </cell>
          <cell r="I133">
            <v>163</v>
          </cell>
          <cell r="J133">
            <v>950</v>
          </cell>
          <cell r="K133">
            <v>5</v>
          </cell>
          <cell r="L133">
            <v>40.1</v>
          </cell>
          <cell r="N133">
            <v>1.3950000000000002</v>
          </cell>
          <cell r="O133">
            <v>1.23</v>
          </cell>
          <cell r="P133">
            <v>1722.4983365624998</v>
          </cell>
          <cell r="Q133">
            <v>25000</v>
          </cell>
          <cell r="R133">
            <v>250000</v>
          </cell>
          <cell r="S133">
            <v>205.4</v>
          </cell>
          <cell r="T133">
            <v>401.41704494610491</v>
          </cell>
          <cell r="U133">
            <v>188.13125000000002</v>
          </cell>
          <cell r="V133">
            <v>320.40000000000003</v>
          </cell>
          <cell r="W133">
            <v>223</v>
          </cell>
          <cell r="X133">
            <v>221.25499999999997</v>
          </cell>
          <cell r="Y133">
            <v>283750.30241999996</v>
          </cell>
          <cell r="Z133">
            <v>554538.5</v>
          </cell>
          <cell r="AA133">
            <v>259894.34801437502</v>
          </cell>
          <cell r="AB133">
            <v>442617.31692000001</v>
          </cell>
          <cell r="AC133">
            <v>308063.86290000001</v>
          </cell>
          <cell r="AD133">
            <v>305653.22863649996</v>
          </cell>
          <cell r="AE133">
            <v>359086.25981514581</v>
          </cell>
          <cell r="AF133">
            <v>903431.13890000002</v>
          </cell>
          <cell r="AG133">
            <v>240000</v>
          </cell>
          <cell r="AH133">
            <v>1050000</v>
          </cell>
          <cell r="AI133">
            <v>285.66000000000003</v>
          </cell>
          <cell r="AJ133">
            <v>265.66000000000003</v>
          </cell>
          <cell r="AK133">
            <v>317.05</v>
          </cell>
          <cell r="AL133">
            <v>202.74</v>
          </cell>
          <cell r="AM133">
            <v>273.12060000000002</v>
          </cell>
          <cell r="AN133">
            <v>2312.29</v>
          </cell>
          <cell r="AO133">
            <v>1304.76</v>
          </cell>
          <cell r="AP133">
            <v>1808.5250000000001</v>
          </cell>
          <cell r="AQ133">
            <v>961.29</v>
          </cell>
          <cell r="AR133">
            <v>498.02</v>
          </cell>
          <cell r="AS133">
            <v>1127.21</v>
          </cell>
          <cell r="AT133">
            <v>1449.52</v>
          </cell>
          <cell r="AU133">
            <v>1024.9166666666667</v>
          </cell>
          <cell r="AV133">
            <v>539.85825396825396</v>
          </cell>
          <cell r="AW133">
            <v>750</v>
          </cell>
          <cell r="AX133">
            <v>632.98428571428576</v>
          </cell>
          <cell r="AY133">
            <v>615.50761904761907</v>
          </cell>
          <cell r="AZ133">
            <v>719.65952380952376</v>
          </cell>
          <cell r="BA133">
            <v>308.33309523809521</v>
          </cell>
          <cell r="BB133">
            <v>569.12113095238101</v>
          </cell>
          <cell r="BC133">
            <v>44166</v>
          </cell>
          <cell r="BD133">
            <v>39751</v>
          </cell>
          <cell r="BE133">
            <v>25000</v>
          </cell>
          <cell r="BF133">
            <v>19000</v>
          </cell>
          <cell r="BG133">
            <v>31979.25</v>
          </cell>
          <cell r="BH133">
            <v>5139.45</v>
          </cell>
          <cell r="BI133">
            <v>735.97</v>
          </cell>
          <cell r="BJ133">
            <v>5875.42</v>
          </cell>
          <cell r="BK133">
            <v>4674.8</v>
          </cell>
          <cell r="BL133">
            <v>6409.68</v>
          </cell>
          <cell r="BM133">
            <v>5542.24</v>
          </cell>
          <cell r="BN133">
            <v>498.18</v>
          </cell>
          <cell r="BO133">
            <v>2882.3420000000001</v>
          </cell>
          <cell r="BP133">
            <v>1833</v>
          </cell>
          <cell r="BQ133">
            <v>2357.6710000000003</v>
          </cell>
          <cell r="BR133">
            <v>2043.4</v>
          </cell>
          <cell r="BS133">
            <v>8500</v>
          </cell>
          <cell r="BT133">
            <v>2914.8643529999995</v>
          </cell>
          <cell r="BU133">
            <v>110744.59305900001</v>
          </cell>
          <cell r="BV133">
            <v>2872</v>
          </cell>
          <cell r="BW133">
            <v>4092.6</v>
          </cell>
          <cell r="BY133">
            <v>14083.784191268574</v>
          </cell>
          <cell r="BZ133">
            <v>15986.117857140351</v>
          </cell>
          <cell r="CA133">
            <v>14612.787853099062</v>
          </cell>
          <cell r="CB133">
            <v>14612.037804888729</v>
          </cell>
          <cell r="CC133">
            <v>13918.462664563467</v>
          </cell>
          <cell r="CD133">
            <v>14345.033307803425</v>
          </cell>
          <cell r="CE133">
            <v>14782.919414208027</v>
          </cell>
          <cell r="CF133">
            <v>14975.381682776122</v>
          </cell>
          <cell r="CG133">
            <v>14541.103787889806</v>
          </cell>
          <cell r="CH133">
            <v>14358.609961741113</v>
          </cell>
          <cell r="CI133">
            <v>13709.308256132756</v>
          </cell>
          <cell r="CJ133">
            <v>14735.671843844028</v>
          </cell>
          <cell r="CK133">
            <v>15418.376756843327</v>
          </cell>
          <cell r="CL133">
            <v>17325.142941114969</v>
          </cell>
          <cell r="CM133">
            <v>14745.244452851091</v>
          </cell>
          <cell r="CN133">
            <v>13030.464185961531</v>
          </cell>
          <cell r="CO133">
            <v>15129.807084192729</v>
          </cell>
          <cell r="CP133">
            <v>15644.888814230122</v>
          </cell>
          <cell r="CQ133">
            <v>14682.589670752537</v>
          </cell>
          <cell r="CR133">
            <v>14620.057240382672</v>
          </cell>
          <cell r="CS133">
            <v>14651.323455567604</v>
          </cell>
          <cell r="CT133">
            <v>13737.906568666636</v>
          </cell>
          <cell r="CU133">
            <v>14201.265669298289</v>
          </cell>
          <cell r="CV133">
            <v>14454.415213420216</v>
          </cell>
          <cell r="CW133">
            <v>14454.415213420216</v>
          </cell>
          <cell r="CX133">
            <v>14370.03203204624</v>
          </cell>
          <cell r="CY133">
            <v>13638.46062913666</v>
          </cell>
          <cell r="CZ133">
            <v>18604.532537938427</v>
          </cell>
          <cell r="DA133">
            <v>14703.566400221947</v>
          </cell>
          <cell r="DB133">
            <v>15563.343375250664</v>
          </cell>
          <cell r="DC133">
            <v>13920.993741206092</v>
          </cell>
          <cell r="DD133">
            <v>13514.983293441663</v>
          </cell>
          <cell r="DE133">
            <v>11428.857545721872</v>
          </cell>
          <cell r="DF133">
            <v>13304.558570303379</v>
          </cell>
          <cell r="DG133">
            <v>12366.708058012626</v>
          </cell>
          <cell r="DH133">
            <v>14577.218162322135</v>
          </cell>
          <cell r="DI133">
            <v>14334.902849449974</v>
          </cell>
          <cell r="DK133">
            <v>390000</v>
          </cell>
          <cell r="DL133" t="str">
            <v>2025-26</v>
          </cell>
          <cell r="DM133">
            <v>200000</v>
          </cell>
          <cell r="DN133" t="str">
            <v>2025-26</v>
          </cell>
          <cell r="DO133">
            <v>1330000</v>
          </cell>
          <cell r="DP133" t="str">
            <v>2025-26</v>
          </cell>
          <cell r="DQ133">
            <v>3100000</v>
          </cell>
          <cell r="DR133" t="str">
            <v>2025-26</v>
          </cell>
          <cell r="DS133">
            <v>8400000</v>
          </cell>
          <cell r="DT133" t="str">
            <v>2025-26</v>
          </cell>
          <cell r="DU133">
            <v>16500000</v>
          </cell>
          <cell r="DV133" t="str">
            <v>2025-26</v>
          </cell>
          <cell r="DW133">
            <v>810000</v>
          </cell>
          <cell r="DX133" t="str">
            <v>2025-26</v>
          </cell>
          <cell r="DY133">
            <v>6970000</v>
          </cell>
          <cell r="DZ133" t="str">
            <v>2025-26</v>
          </cell>
          <cell r="EA133">
            <v>37110000</v>
          </cell>
          <cell r="EB133">
            <v>381590</v>
          </cell>
          <cell r="EC133" t="str">
            <v>2025-26</v>
          </cell>
          <cell r="ED133">
            <v>231352</v>
          </cell>
          <cell r="EE133">
            <v>2025</v>
          </cell>
          <cell r="EF133">
            <v>196220</v>
          </cell>
          <cell r="EG133">
            <v>2025</v>
          </cell>
          <cell r="EH133">
            <v>50920790</v>
          </cell>
          <cell r="EI133">
            <v>2026</v>
          </cell>
          <cell r="EJ133">
            <v>5987778</v>
          </cell>
          <cell r="EK133">
            <v>2025</v>
          </cell>
          <cell r="EL133">
            <v>11967429</v>
          </cell>
          <cell r="EM133">
            <v>2025</v>
          </cell>
          <cell r="EN133">
            <v>2995493</v>
          </cell>
          <cell r="EO133">
            <v>2026</v>
          </cell>
          <cell r="EP133">
            <v>9492</v>
          </cell>
          <cell r="EQ133">
            <v>4000000</v>
          </cell>
          <cell r="ER133">
            <v>80248</v>
          </cell>
          <cell r="ET133">
            <v>19357</v>
          </cell>
          <cell r="EU133">
            <v>18703</v>
          </cell>
          <cell r="EV133">
            <v>8927</v>
          </cell>
          <cell r="EW133">
            <v>17408</v>
          </cell>
          <cell r="EX133">
            <v>64395</v>
          </cell>
          <cell r="EY133">
            <v>20031</v>
          </cell>
          <cell r="EZ133">
            <v>33722</v>
          </cell>
          <cell r="FA133">
            <v>19900</v>
          </cell>
          <cell r="FB133">
            <v>18184</v>
          </cell>
          <cell r="FC133">
            <v>38084</v>
          </cell>
          <cell r="FD133">
            <v>60376</v>
          </cell>
          <cell r="FF133">
            <v>795000</v>
          </cell>
          <cell r="FG133" t="str">
            <v>2025-26</v>
          </cell>
          <cell r="FH133">
            <v>1400000</v>
          </cell>
          <cell r="FI133" t="str">
            <v>2025-26</v>
          </cell>
          <cell r="FJ133">
            <v>5400000</v>
          </cell>
          <cell r="FK133" t="str">
            <v>2025-26</v>
          </cell>
          <cell r="FL133">
            <v>6600000</v>
          </cell>
          <cell r="FM133" t="str">
            <v>2025-26</v>
          </cell>
          <cell r="FN133">
            <v>64000000</v>
          </cell>
          <cell r="FO133" t="str">
            <v>2025-26</v>
          </cell>
          <cell r="FP133">
            <v>50100000</v>
          </cell>
          <cell r="FQ133" t="str">
            <v>2025-26</v>
          </cell>
          <cell r="FR133">
            <v>2900000</v>
          </cell>
          <cell r="FS133" t="str">
            <v>2025-26</v>
          </cell>
          <cell r="FT133">
            <v>27800000</v>
          </cell>
          <cell r="FU133" t="str">
            <v>2025-26</v>
          </cell>
          <cell r="FV133">
            <v>156800000</v>
          </cell>
          <cell r="FW133">
            <v>1311996</v>
          </cell>
          <cell r="FX133" t="str">
            <v>2025-26</v>
          </cell>
          <cell r="FY133">
            <v>71525</v>
          </cell>
          <cell r="FZ133">
            <v>866096.76</v>
          </cell>
          <cell r="GA133" t="str">
            <v>may25 abr26</v>
          </cell>
          <cell r="GB133">
            <v>18391299</v>
          </cell>
          <cell r="GC133">
            <v>2026</v>
          </cell>
          <cell r="GD133">
            <v>1714000</v>
          </cell>
          <cell r="GE133">
            <v>424000</v>
          </cell>
          <cell r="GF133">
            <v>1165000</v>
          </cell>
          <cell r="GG133">
            <v>145000</v>
          </cell>
          <cell r="GH133">
            <v>1734000</v>
          </cell>
          <cell r="GI133">
            <v>1302556</v>
          </cell>
          <cell r="GJ133">
            <v>682423</v>
          </cell>
          <cell r="GK133">
            <v>1391495</v>
          </cell>
          <cell r="GL133">
            <v>305049</v>
          </cell>
          <cell r="GM133">
            <v>260419</v>
          </cell>
          <cell r="GN133">
            <v>2639386</v>
          </cell>
          <cell r="GO133">
            <v>201734</v>
          </cell>
          <cell r="GP133">
            <v>75000</v>
          </cell>
          <cell r="GQ133">
            <v>93354</v>
          </cell>
          <cell r="GR133">
            <v>31107</v>
          </cell>
          <cell r="GS133">
            <v>33907.620000000003</v>
          </cell>
          <cell r="GT133">
            <v>2111561</v>
          </cell>
          <cell r="GU133">
            <v>52496</v>
          </cell>
          <cell r="GV133">
            <v>24119</v>
          </cell>
          <cell r="GW133">
            <v>754235</v>
          </cell>
          <cell r="GX133">
            <v>36041.686000000002</v>
          </cell>
          <cell r="GY133" t="str">
            <v>2024-2025</v>
          </cell>
          <cell r="GZ133">
            <v>119643</v>
          </cell>
          <cell r="HA133">
            <v>226053</v>
          </cell>
          <cell r="HB133">
            <v>3062453</v>
          </cell>
          <cell r="HC133" t="str">
            <v>may25 abr26</v>
          </cell>
          <cell r="HD133">
            <v>73186</v>
          </cell>
          <cell r="HE133">
            <v>845595</v>
          </cell>
          <cell r="HF133" t="str">
            <v>may25 abr26</v>
          </cell>
          <cell r="HG133">
            <v>179000</v>
          </cell>
          <cell r="HH133">
            <v>2290000</v>
          </cell>
          <cell r="HI133" t="str">
            <v>may25 abr26</v>
          </cell>
          <cell r="HJ133">
            <v>84972</v>
          </cell>
          <cell r="HK133">
            <v>67139.64</v>
          </cell>
          <cell r="HL133" t="str">
            <v>may25 abr26</v>
          </cell>
          <cell r="HM133">
            <v>2357139.64</v>
          </cell>
          <cell r="HN133">
            <v>5.1235497982635714E-3</v>
          </cell>
          <cell r="HO133">
            <v>827262492</v>
          </cell>
          <cell r="HP133">
            <v>11850.117086930679</v>
          </cell>
          <cell r="HQ133" t="str">
            <v>may25 abr26</v>
          </cell>
          <cell r="HU133">
            <v>950000</v>
          </cell>
          <cell r="HV133" t="str">
            <v>2025-26</v>
          </cell>
          <cell r="HW133">
            <v>1600000</v>
          </cell>
          <cell r="HX133" t="str">
            <v>2025-26</v>
          </cell>
          <cell r="HY133">
            <v>6000000</v>
          </cell>
          <cell r="HZ133" t="str">
            <v>2025-26</v>
          </cell>
          <cell r="IA133">
            <v>21300000</v>
          </cell>
          <cell r="IB133" t="str">
            <v>2025-26</v>
          </cell>
          <cell r="IC133">
            <v>48500000</v>
          </cell>
          <cell r="ID133" t="str">
            <v>2024-25</v>
          </cell>
          <cell r="IE133">
            <v>1500000</v>
          </cell>
          <cell r="IF133" t="str">
            <v>2024-25</v>
          </cell>
          <cell r="IG133">
            <v>8400000</v>
          </cell>
          <cell r="IH133" t="str">
            <v>2025-26</v>
          </cell>
          <cell r="II133">
            <v>87300000</v>
          </cell>
          <cell r="IJ133">
            <v>2.2758742096778719</v>
          </cell>
          <cell r="IK133" t="str">
            <v>2025-26</v>
          </cell>
          <cell r="IL133">
            <v>47.02</v>
          </cell>
          <cell r="IM133">
            <v>47.94</v>
          </cell>
          <cell r="IN133">
            <v>196.9</v>
          </cell>
          <cell r="IO133">
            <v>19.53</v>
          </cell>
          <cell r="IP133">
            <v>6.3738995700916661</v>
          </cell>
          <cell r="IQ133">
            <v>14.52</v>
          </cell>
          <cell r="IR133">
            <v>6.09</v>
          </cell>
          <cell r="IS133">
            <v>4.03</v>
          </cell>
          <cell r="IT133">
            <v>11.98</v>
          </cell>
          <cell r="IU133">
            <v>1.38</v>
          </cell>
          <cell r="IV133">
            <v>17.39</v>
          </cell>
          <cell r="IY133">
            <v>2.88</v>
          </cell>
          <cell r="IZ133">
            <v>1.3</v>
          </cell>
          <cell r="JA133">
            <v>3555</v>
          </cell>
          <cell r="JF133">
            <v>12.094188589999995</v>
          </cell>
          <cell r="JG133">
            <v>63.44953374</v>
          </cell>
          <cell r="JH133">
            <v>87.822151730000002</v>
          </cell>
          <cell r="JI133">
            <v>389.51761714000003</v>
          </cell>
          <cell r="JJ133">
            <v>1170.1952704599998</v>
          </cell>
          <cell r="JK133">
            <v>100.29180120999997</v>
          </cell>
          <cell r="JL133">
            <v>2024.3919844999998</v>
          </cell>
          <cell r="JM133">
            <v>18.046057000000001</v>
          </cell>
          <cell r="JN133">
            <v>374.09148374999995</v>
          </cell>
          <cell r="JO133">
            <v>34.584187569999997</v>
          </cell>
          <cell r="JP133">
            <v>0</v>
          </cell>
          <cell r="JQ133">
            <v>10.010579249999999</v>
          </cell>
          <cell r="JR133">
            <v>1.2368303300000001</v>
          </cell>
          <cell r="JS133">
            <v>0</v>
          </cell>
          <cell r="JT133">
            <v>0.41961826000000002</v>
          </cell>
          <cell r="JU133">
            <v>77.857583390000002</v>
          </cell>
          <cell r="JV133">
            <v>11.042345079999999</v>
          </cell>
          <cell r="JW133">
            <v>40.017775420000007</v>
          </cell>
          <cell r="JX133">
            <v>37.259813820000005</v>
          </cell>
          <cell r="JY133">
            <v>0</v>
          </cell>
          <cell r="JZ133">
            <v>4.84808518</v>
          </cell>
          <cell r="KA133">
            <v>0.26249999999999996</v>
          </cell>
          <cell r="KB133">
            <v>18.593073950000004</v>
          </cell>
          <cell r="KC133">
            <v>37.459973120000001</v>
          </cell>
          <cell r="KD133">
            <v>6.8683825000000009</v>
          </cell>
          <cell r="KE133">
            <v>42.320391119999996</v>
          </cell>
          <cell r="KF133">
            <v>8.5791291300000001</v>
          </cell>
          <cell r="KG133">
            <v>424.30922868999994</v>
          </cell>
          <cell r="KH133">
            <v>134.67876954000002</v>
          </cell>
          <cell r="KI133">
            <v>37.632095870000001</v>
          </cell>
          <cell r="KJ133">
            <v>3.3258325500000003</v>
          </cell>
          <cell r="KK133">
            <v>6.0731055099999995</v>
          </cell>
          <cell r="KL133">
            <v>0.16027804000000001</v>
          </cell>
          <cell r="KM133">
            <v>1.1713477600000002</v>
          </cell>
          <cell r="KN133">
            <v>11.341059719999999</v>
          </cell>
          <cell r="KO133">
            <v>2.44398984</v>
          </cell>
          <cell r="KP133">
            <v>1.1297919999999999E-2</v>
          </cell>
          <cell r="KQ133">
            <v>414.85043602000002</v>
          </cell>
          <cell r="KR133">
            <v>0</v>
          </cell>
          <cell r="KS133">
            <v>0.94296634000000001</v>
          </cell>
          <cell r="KT133">
            <v>1.7409876799999999</v>
          </cell>
          <cell r="KU133">
            <v>0.95051858999999994</v>
          </cell>
          <cell r="KV133">
            <v>0.10097299999999999</v>
          </cell>
          <cell r="KW133">
            <v>0.47610129000000001</v>
          </cell>
          <cell r="KX133">
            <v>0</v>
          </cell>
          <cell r="KY133">
            <v>0</v>
          </cell>
          <cell r="KZ133">
            <v>4.4863890000000008</v>
          </cell>
          <cell r="LA133">
            <v>1.4265586299999999</v>
          </cell>
          <cell r="LB133">
            <v>2.3959999999999999E-2</v>
          </cell>
          <cell r="LC133">
            <v>0.11303278</v>
          </cell>
          <cell r="LD133">
            <v>0</v>
          </cell>
          <cell r="LE133">
            <v>0.33546076000000002</v>
          </cell>
          <cell r="LF133">
            <v>2.2308000000000001E-2</v>
          </cell>
          <cell r="LG133">
            <v>15.17794868</v>
          </cell>
          <cell r="LH133">
            <v>5.1064074300000009</v>
          </cell>
          <cell r="LI133">
            <v>1.8068878900000003</v>
          </cell>
          <cell r="LJ133">
            <v>3.6741E-3</v>
          </cell>
          <cell r="LK133">
            <v>3.2517762100000001</v>
          </cell>
          <cell r="LL133">
            <v>16.804039660000001</v>
          </cell>
          <cell r="LM133">
            <v>2.6208630999999998</v>
          </cell>
          <cell r="LN133">
            <v>0.15590026000000001</v>
          </cell>
          <cell r="LO133">
            <v>18.533270270000003</v>
          </cell>
          <cell r="LQ133">
            <v>4064.0645645799996</v>
          </cell>
          <cell r="LR133">
            <v>11.667027839999999</v>
          </cell>
          <cell r="LS133">
            <v>51.060120500000004</v>
          </cell>
          <cell r="LT133">
            <v>5.1105851800000002</v>
          </cell>
          <cell r="LU133">
            <v>430.74979968000002</v>
          </cell>
          <cell r="LV133">
            <v>0.57707428999999999</v>
          </cell>
          <cell r="LW133">
            <v>1.4505186299999999</v>
          </cell>
          <cell r="LX133">
            <v>0.35776876000000002</v>
          </cell>
          <cell r="LZ133">
            <v>1792.78</v>
          </cell>
          <cell r="MA133">
            <v>1713.73</v>
          </cell>
          <cell r="MH133">
            <v>4383.37</v>
          </cell>
          <cell r="MI133">
            <v>969.13</v>
          </cell>
          <cell r="MJ133">
            <v>1305.47</v>
          </cell>
          <cell r="MK133">
            <v>3790</v>
          </cell>
          <cell r="ML133">
            <v>1131.3599999999999</v>
          </cell>
          <cell r="MM133">
            <v>1704.85</v>
          </cell>
          <cell r="MN133">
            <v>1499</v>
          </cell>
          <cell r="MO133">
            <v>1167.54</v>
          </cell>
          <cell r="MP133">
            <v>2285.5500000000002</v>
          </cell>
          <cell r="MQ133">
            <v>3970.94</v>
          </cell>
          <cell r="MR133">
            <v>2490</v>
          </cell>
          <cell r="MS133">
            <v>2000</v>
          </cell>
          <cell r="MT133">
            <v>1000</v>
          </cell>
          <cell r="MU133">
            <v>2086.35</v>
          </cell>
          <cell r="MV133">
            <v>3000</v>
          </cell>
          <cell r="MY133">
            <v>2568.0300000000002</v>
          </cell>
          <cell r="MZ133">
            <v>8119</v>
          </cell>
          <cell r="NA133">
            <v>4936</v>
          </cell>
          <cell r="NB133">
            <v>18091</v>
          </cell>
          <cell r="NC133">
            <v>1819.68</v>
          </cell>
          <cell r="ND133">
            <v>14990</v>
          </cell>
          <cell r="NE133">
            <v>8903</v>
          </cell>
        </row>
        <row r="134">
          <cell r="A134">
            <v>46143</v>
          </cell>
          <cell r="B134">
            <v>5</v>
          </cell>
          <cell r="C134">
            <v>2026</v>
          </cell>
          <cell r="D134">
            <v>134</v>
          </cell>
          <cell r="E134">
            <v>46143</v>
          </cell>
          <cell r="F134">
            <v>1397.2372</v>
          </cell>
          <cell r="G134">
            <v>11607.393700000001</v>
          </cell>
          <cell r="H134">
            <v>1093693.6100000001</v>
          </cell>
          <cell r="I134">
            <v>164</v>
          </cell>
          <cell r="J134">
            <v>810</v>
          </cell>
          <cell r="K134">
            <v>5.4</v>
          </cell>
          <cell r="L134">
            <v>39.6</v>
          </cell>
          <cell r="N134">
            <v>1.5525000000000002</v>
          </cell>
          <cell r="O134">
            <v>1.395</v>
          </cell>
          <cell r="P134">
            <v>1956.219407325</v>
          </cell>
          <cell r="Q134">
            <v>28000</v>
          </cell>
          <cell r="R134">
            <v>280000</v>
          </cell>
          <cell r="S134">
            <v>205.25</v>
          </cell>
          <cell r="T134">
            <v>421.43166528918641</v>
          </cell>
          <cell r="U134">
            <v>195.2421052631579</v>
          </cell>
          <cell r="V134">
            <v>331.36249999999995</v>
          </cell>
          <cell r="W134">
            <v>230</v>
          </cell>
          <cell r="X134">
            <v>231.27368421052631</v>
          </cell>
          <cell r="Y134">
            <v>286782.93530000001</v>
          </cell>
          <cell r="Z134">
            <v>588840</v>
          </cell>
          <cell r="AA134">
            <v>272799.53247999999</v>
          </cell>
          <cell r="AB134">
            <v>462992.01168499992</v>
          </cell>
          <cell r="AC134">
            <v>321364.55599999998</v>
          </cell>
          <cell r="AD134">
            <v>323144.19495999999</v>
          </cell>
          <cell r="AE134">
            <v>375987.20507083338</v>
          </cell>
          <cell r="AF134">
            <v>907614.16109999991</v>
          </cell>
          <cell r="AI134">
            <v>311.85000000000002</v>
          </cell>
          <cell r="AJ134">
            <v>220.93</v>
          </cell>
          <cell r="AK134">
            <v>200.64</v>
          </cell>
          <cell r="AL134">
            <v>287.45</v>
          </cell>
          <cell r="AM134">
            <v>273.44260000000003</v>
          </cell>
          <cell r="AN134">
            <v>2462.1469377990402</v>
          </cell>
          <cell r="AO134">
            <v>1435.9747368421054</v>
          </cell>
          <cell r="AP134">
            <v>1949.0608373205728</v>
          </cell>
          <cell r="AQ134">
            <v>712.60157894736847</v>
          </cell>
          <cell r="AR134">
            <v>723.69526315789471</v>
          </cell>
          <cell r="AS134">
            <v>925.53736842105263</v>
          </cell>
          <cell r="AT134">
            <v>1160.8200000000002</v>
          </cell>
          <cell r="AU134">
            <v>936.68421052631584</v>
          </cell>
          <cell r="AV134">
            <v>705.67673913043473</v>
          </cell>
          <cell r="AW134">
            <v>761.84210526315792</v>
          </cell>
          <cell r="AX134">
            <v>646.64</v>
          </cell>
          <cell r="AY134">
            <v>1400.1178947368423</v>
          </cell>
          <cell r="AZ134">
            <v>965.68999999999983</v>
          </cell>
          <cell r="BA134">
            <v>313.64052631578949</v>
          </cell>
          <cell r="BB134">
            <v>831.52210526315798</v>
          </cell>
          <cell r="BC134">
            <v>44166</v>
          </cell>
          <cell r="BD134">
            <v>39751</v>
          </cell>
          <cell r="BE134">
            <v>25000</v>
          </cell>
          <cell r="BF134">
            <v>19000</v>
          </cell>
          <cell r="BG134">
            <v>31979.25</v>
          </cell>
          <cell r="BH134">
            <v>5139.45</v>
          </cell>
          <cell r="BI134">
            <v>735.97</v>
          </cell>
          <cell r="BJ134">
            <v>5875.42</v>
          </cell>
          <cell r="BK134">
            <v>4612.201</v>
          </cell>
          <cell r="BL134">
            <v>6284.77</v>
          </cell>
          <cell r="BM134">
            <v>5448.4855000000007</v>
          </cell>
          <cell r="BN134">
            <v>508.74</v>
          </cell>
          <cell r="BO134">
            <v>2918.57</v>
          </cell>
          <cell r="BP134">
            <v>1833</v>
          </cell>
          <cell r="BQ134">
            <v>2375.7849999999999</v>
          </cell>
          <cell r="BR134">
            <v>2039.77</v>
          </cell>
          <cell r="BS134">
            <v>8800</v>
          </cell>
          <cell r="BT134">
            <v>3395.2863960000004</v>
          </cell>
          <cell r="BU134">
            <v>115785.859188</v>
          </cell>
          <cell r="BV134">
            <v>2928</v>
          </cell>
          <cell r="BW134">
            <v>4147</v>
          </cell>
          <cell r="BY134">
            <v>14638.345133679992</v>
          </cell>
          <cell r="BZ134">
            <v>16235.604095248649</v>
          </cell>
          <cell r="CA134">
            <v>14781.562533073546</v>
          </cell>
          <cell r="CB134">
            <v>15044.553623230289</v>
          </cell>
          <cell r="CC134">
            <v>14206.055103289551</v>
          </cell>
          <cell r="CD134">
            <v>14708.604358857698</v>
          </cell>
          <cell r="CE134">
            <v>15061.92804451311</v>
          </cell>
          <cell r="CF134">
            <v>15300.890701600303</v>
          </cell>
          <cell r="CG134">
            <v>14850.599060760751</v>
          </cell>
          <cell r="CH134">
            <v>14512.798200032801</v>
          </cell>
          <cell r="CI134">
            <v>13730.925089983504</v>
          </cell>
          <cell r="CJ134">
            <v>12362.699126606225</v>
          </cell>
          <cell r="CK134">
            <v>12297.441128174476</v>
          </cell>
          <cell r="CL134">
            <v>11698.379243614489</v>
          </cell>
          <cell r="CM134">
            <v>10846.066256093254</v>
          </cell>
          <cell r="CN134">
            <v>11950.015887750598</v>
          </cell>
          <cell r="CO134">
            <v>11697.975628908203</v>
          </cell>
          <cell r="CP134">
            <v>15738.50885315521</v>
          </cell>
          <cell r="CQ134">
            <v>12574.749826498628</v>
          </cell>
          <cell r="CR134">
            <v>12574.749826498628</v>
          </cell>
          <cell r="CS134">
            <v>12574.749826498628</v>
          </cell>
          <cell r="CT134">
            <v>12953.37287210879</v>
          </cell>
          <cell r="CU134">
            <v>13275.436277635381</v>
          </cell>
          <cell r="CV134">
            <v>13275.436277635381</v>
          </cell>
          <cell r="CW134">
            <v>13275.436277635381</v>
          </cell>
          <cell r="CX134">
            <v>13275.436277635381</v>
          </cell>
          <cell r="CY134">
            <v>13450.375132760291</v>
          </cell>
          <cell r="CZ134">
            <v>18869.003915447145</v>
          </cell>
          <cell r="DA134">
            <v>14913.835643514374</v>
          </cell>
          <cell r="DB134">
            <v>15577.293005627536</v>
          </cell>
          <cell r="DC134">
            <v>14448.095366973066</v>
          </cell>
          <cell r="DD134">
            <v>14019.290748560587</v>
          </cell>
          <cell r="DE134">
            <v>11927.209680959691</v>
          </cell>
          <cell r="DF134">
            <v>13843.166090449116</v>
          </cell>
          <cell r="DG134">
            <v>12885.187885704403</v>
          </cell>
          <cell r="DH134">
            <v>14742.883155308551</v>
          </cell>
          <cell r="DI134">
            <v>14631.260789606358</v>
          </cell>
          <cell r="DK134">
            <v>390000</v>
          </cell>
          <cell r="DL134" t="str">
            <v>2025-26</v>
          </cell>
          <cell r="DM134">
            <v>200000</v>
          </cell>
          <cell r="DN134" t="str">
            <v>2025-26</v>
          </cell>
          <cell r="DO134">
            <v>1320000</v>
          </cell>
          <cell r="DP134" t="str">
            <v>2026-27</v>
          </cell>
          <cell r="DQ134">
            <v>3200000</v>
          </cell>
          <cell r="DR134" t="str">
            <v>2025-26</v>
          </cell>
          <cell r="DS134">
            <v>8400000</v>
          </cell>
          <cell r="DT134" t="str">
            <v>2025-26</v>
          </cell>
          <cell r="DU134">
            <v>16400000</v>
          </cell>
          <cell r="DV134" t="str">
            <v>2025-26</v>
          </cell>
          <cell r="DW134">
            <v>7700000</v>
          </cell>
          <cell r="DX134" t="str">
            <v>2025-26</v>
          </cell>
          <cell r="DY134">
            <v>6600000</v>
          </cell>
          <cell r="DZ134" t="str">
            <v>2026-27</v>
          </cell>
          <cell r="EA134">
            <v>43620000</v>
          </cell>
          <cell r="EB134">
            <v>381590</v>
          </cell>
          <cell r="EC134" t="str">
            <v>2025-26</v>
          </cell>
          <cell r="ED134">
            <v>231352</v>
          </cell>
          <cell r="EE134">
            <v>2025</v>
          </cell>
          <cell r="EF134">
            <v>196220</v>
          </cell>
          <cell r="EG134">
            <v>2025</v>
          </cell>
          <cell r="EH134">
            <v>50920790</v>
          </cell>
          <cell r="EI134">
            <v>2026</v>
          </cell>
          <cell r="EJ134">
            <v>5987778</v>
          </cell>
          <cell r="EK134">
            <v>2025</v>
          </cell>
          <cell r="EL134">
            <v>11967429</v>
          </cell>
          <cell r="EM134">
            <v>2025</v>
          </cell>
          <cell r="EN134">
            <v>3001543</v>
          </cell>
          <cell r="EO134">
            <v>2026</v>
          </cell>
          <cell r="EP134">
            <v>9492</v>
          </cell>
          <cell r="EQ134">
            <v>4000000</v>
          </cell>
          <cell r="ER134">
            <v>80248</v>
          </cell>
          <cell r="ET134">
            <v>19357</v>
          </cell>
          <cell r="EU134">
            <v>18703</v>
          </cell>
          <cell r="EV134">
            <v>8927</v>
          </cell>
          <cell r="EW134">
            <v>17408</v>
          </cell>
          <cell r="EX134">
            <v>64395</v>
          </cell>
          <cell r="EY134">
            <v>20031</v>
          </cell>
          <cell r="EZ134">
            <v>33722</v>
          </cell>
          <cell r="FA134">
            <v>19900</v>
          </cell>
          <cell r="FB134">
            <v>18184</v>
          </cell>
          <cell r="FC134">
            <v>38084</v>
          </cell>
          <cell r="FD134">
            <v>60376</v>
          </cell>
          <cell r="FF134">
            <v>750000</v>
          </cell>
          <cell r="FG134" t="str">
            <v>2025-26</v>
          </cell>
          <cell r="FH134">
            <v>1400000</v>
          </cell>
          <cell r="FI134" t="str">
            <v>2025-26</v>
          </cell>
          <cell r="FJ134">
            <v>5400000</v>
          </cell>
          <cell r="FK134" t="str">
            <v>2025-26</v>
          </cell>
          <cell r="FL134">
            <v>6600000</v>
          </cell>
          <cell r="FM134" t="str">
            <v>2025-26</v>
          </cell>
          <cell r="FN134">
            <v>64000000</v>
          </cell>
          <cell r="FO134" t="str">
            <v>2025-26</v>
          </cell>
          <cell r="FP134">
            <v>50100000</v>
          </cell>
          <cell r="FQ134" t="str">
            <v>2025-26</v>
          </cell>
          <cell r="FR134">
            <v>2900000</v>
          </cell>
          <cell r="FS134" t="str">
            <v>2025-26</v>
          </cell>
          <cell r="FT134">
            <v>27800000</v>
          </cell>
          <cell r="FU134" t="str">
            <v>2025-26</v>
          </cell>
          <cell r="FV134">
            <v>156800000</v>
          </cell>
          <cell r="FW134">
            <v>1311996</v>
          </cell>
          <cell r="FX134" t="str">
            <v>2025-26</v>
          </cell>
          <cell r="FY134">
            <v>122738</v>
          </cell>
          <cell r="FZ134">
            <v>847013.76</v>
          </cell>
          <cell r="GA134" t="str">
            <v>jun25 may26</v>
          </cell>
          <cell r="GB134">
            <v>18391299</v>
          </cell>
          <cell r="GC134">
            <v>2026</v>
          </cell>
          <cell r="GD134">
            <v>1714000</v>
          </cell>
          <cell r="GE134">
            <v>424000</v>
          </cell>
          <cell r="GF134">
            <v>1165000</v>
          </cell>
          <cell r="GG134">
            <v>145000</v>
          </cell>
          <cell r="GH134">
            <v>1734000</v>
          </cell>
          <cell r="GI134">
            <v>1302556</v>
          </cell>
          <cell r="GJ134">
            <v>682423</v>
          </cell>
          <cell r="GK134">
            <v>1391495</v>
          </cell>
          <cell r="GL134">
            <v>305049</v>
          </cell>
          <cell r="GM134">
            <v>260419</v>
          </cell>
          <cell r="GN134">
            <v>2639386</v>
          </cell>
          <cell r="GO134">
            <v>201734</v>
          </cell>
          <cell r="GP134">
            <v>75000</v>
          </cell>
          <cell r="GQ134">
            <v>58859</v>
          </cell>
          <cell r="GR134">
            <v>31107</v>
          </cell>
          <cell r="GS134">
            <v>32872.769999999997</v>
          </cell>
          <cell r="GT134">
            <v>2111561</v>
          </cell>
          <cell r="GU134">
            <v>46847</v>
          </cell>
          <cell r="GV134">
            <v>23201</v>
          </cell>
          <cell r="GW134">
            <v>732032</v>
          </cell>
          <cell r="GX134">
            <v>36041.686000000002</v>
          </cell>
          <cell r="GY134" t="str">
            <v>2024-2025</v>
          </cell>
          <cell r="GZ134">
            <v>119643</v>
          </cell>
          <cell r="HA134">
            <v>293803</v>
          </cell>
          <cell r="HB134">
            <v>3096574</v>
          </cell>
          <cell r="HC134" t="str">
            <v>jun25 may26</v>
          </cell>
          <cell r="HD134">
            <v>73607</v>
          </cell>
          <cell r="HE134">
            <v>849273</v>
          </cell>
          <cell r="HF134" t="str">
            <v>jun25 may26</v>
          </cell>
          <cell r="HG134">
            <v>166000</v>
          </cell>
          <cell r="HH134">
            <v>2267000</v>
          </cell>
          <cell r="HI134" t="str">
            <v>jun25 may26</v>
          </cell>
          <cell r="HJ134">
            <v>89492</v>
          </cell>
          <cell r="HK134">
            <v>66931.98</v>
          </cell>
          <cell r="HL134" t="str">
            <v>jun25 may26</v>
          </cell>
          <cell r="HM134">
            <v>2333931.98</v>
          </cell>
          <cell r="HN134">
            <v>1.972602293617709E-2</v>
          </cell>
          <cell r="HO134">
            <v>915582944</v>
          </cell>
          <cell r="HP134">
            <v>11867.82852093068</v>
          </cell>
          <cell r="HQ134" t="str">
            <v>jun25 may26</v>
          </cell>
          <cell r="HU134">
            <v>950000</v>
          </cell>
          <cell r="HV134" t="str">
            <v>2025-26</v>
          </cell>
          <cell r="HW134">
            <v>1600000</v>
          </cell>
          <cell r="HX134" t="str">
            <v>2025-26</v>
          </cell>
          <cell r="HY134">
            <v>6000000</v>
          </cell>
          <cell r="HZ134" t="str">
            <v>2025-26</v>
          </cell>
          <cell r="IA134">
            <v>21300000</v>
          </cell>
          <cell r="IB134" t="str">
            <v>2025-26</v>
          </cell>
          <cell r="IC134">
            <v>48500000</v>
          </cell>
          <cell r="ID134" t="str">
            <v>2025-26</v>
          </cell>
          <cell r="IE134">
            <v>1500000</v>
          </cell>
          <cell r="IF134" t="str">
            <v>2025-26</v>
          </cell>
          <cell r="IG134">
            <v>8400000</v>
          </cell>
          <cell r="IH134" t="str">
            <v>2025-26</v>
          </cell>
          <cell r="II134">
            <v>87300000</v>
          </cell>
          <cell r="IJ134">
            <v>2.2758742096778719</v>
          </cell>
          <cell r="IK134" t="str">
            <v>2025-26</v>
          </cell>
          <cell r="IL134">
            <v>46.71</v>
          </cell>
          <cell r="IM134">
            <v>47.94</v>
          </cell>
          <cell r="IN134">
            <v>196.9</v>
          </cell>
          <cell r="IO134">
            <v>19.59</v>
          </cell>
          <cell r="IP134">
            <v>6.0769882177151935</v>
          </cell>
          <cell r="IQ134">
            <v>14.52</v>
          </cell>
          <cell r="IR134">
            <v>6.09</v>
          </cell>
          <cell r="IS134">
            <v>4.03</v>
          </cell>
          <cell r="IT134">
            <v>11.98</v>
          </cell>
          <cell r="IU134">
            <v>1.38</v>
          </cell>
          <cell r="IV134">
            <v>17.39</v>
          </cell>
          <cell r="IY134">
            <v>3.88</v>
          </cell>
          <cell r="IZ134">
            <v>2.2999999999999998</v>
          </cell>
          <cell r="JA134">
            <v>3556</v>
          </cell>
          <cell r="JF134">
            <v>11.103674589999992</v>
          </cell>
          <cell r="JG134">
            <v>29.390449220000004</v>
          </cell>
          <cell r="JH134">
            <v>149.06502700999999</v>
          </cell>
          <cell r="JI134">
            <v>625.93683610999994</v>
          </cell>
          <cell r="JJ134">
            <v>994.11549667999986</v>
          </cell>
          <cell r="JK134">
            <v>126.60490711</v>
          </cell>
          <cell r="JL134">
            <v>2960.9080640899997</v>
          </cell>
          <cell r="JM134">
            <v>50.847639960000002</v>
          </cell>
          <cell r="JN134">
            <v>254.85744094</v>
          </cell>
          <cell r="JO134">
            <v>33.508485159999992</v>
          </cell>
          <cell r="JP134">
            <v>0</v>
          </cell>
          <cell r="JQ134">
            <v>10.341737069999999</v>
          </cell>
          <cell r="JR134">
            <v>1.3816687600000002</v>
          </cell>
          <cell r="JS134">
            <v>0</v>
          </cell>
          <cell r="JT134">
            <v>4.4999999999999998E-2</v>
          </cell>
          <cell r="JU134">
            <v>85.65420979999999</v>
          </cell>
          <cell r="JV134">
            <v>10.8495004</v>
          </cell>
          <cell r="JW134">
            <v>33.739374860000005</v>
          </cell>
          <cell r="JX134">
            <v>87.398151779999992</v>
          </cell>
          <cell r="JY134">
            <v>0</v>
          </cell>
          <cell r="JZ134">
            <v>4.7348313300000004</v>
          </cell>
          <cell r="KA134">
            <v>0.32750000000000001</v>
          </cell>
          <cell r="KB134">
            <v>16.951944609999998</v>
          </cell>
          <cell r="KC134">
            <v>56.707234039999996</v>
          </cell>
          <cell r="KD134">
            <v>10.248770849999998</v>
          </cell>
          <cell r="KE134">
            <v>41.621749510000001</v>
          </cell>
          <cell r="KF134">
            <v>9.8196206999999998</v>
          </cell>
          <cell r="KG134">
            <v>533.24077936000003</v>
          </cell>
          <cell r="KH134">
            <v>138.91731654</v>
          </cell>
          <cell r="KI134">
            <v>33.523126529999999</v>
          </cell>
          <cell r="KJ134">
            <v>4.62689489</v>
          </cell>
          <cell r="KK134">
            <v>4.6022526900000003</v>
          </cell>
          <cell r="KL134">
            <v>0.10270198</v>
          </cell>
          <cell r="KM134">
            <v>0.98902888000000022</v>
          </cell>
          <cell r="KN134">
            <v>3.98790135</v>
          </cell>
          <cell r="KO134">
            <v>0.82546257999999995</v>
          </cell>
          <cell r="KP134">
            <v>2.3628E-3</v>
          </cell>
          <cell r="KQ134">
            <v>454.82634113</v>
          </cell>
          <cell r="KR134">
            <v>0.1096</v>
          </cell>
          <cell r="KS134">
            <v>1.1515315699999999</v>
          </cell>
          <cell r="KT134">
            <v>1.05636789</v>
          </cell>
          <cell r="KU134">
            <v>1.0932718399999999</v>
          </cell>
          <cell r="KV134">
            <v>4.8120000000000003E-2</v>
          </cell>
          <cell r="KW134">
            <v>1.3884899599999998</v>
          </cell>
          <cell r="KX134">
            <v>0</v>
          </cell>
          <cell r="KY134">
            <v>0</v>
          </cell>
          <cell r="KZ134">
            <v>3.0241928699999998</v>
          </cell>
          <cell r="LA134">
            <v>1.2048406600000001</v>
          </cell>
          <cell r="LB134">
            <v>1.9751999999999999E-2</v>
          </cell>
          <cell r="LC134">
            <v>5.13464E-2</v>
          </cell>
          <cell r="LD134">
            <v>0</v>
          </cell>
          <cell r="LE134">
            <v>0.13906177</v>
          </cell>
          <cell r="LF134">
            <v>2.2308000000000001E-2</v>
          </cell>
          <cell r="LG134">
            <v>16.655697739999997</v>
          </cell>
          <cell r="LH134">
            <v>4.24949917</v>
          </cell>
          <cell r="LI134">
            <v>3.1947428599999999</v>
          </cell>
          <cell r="LJ134">
            <v>0</v>
          </cell>
          <cell r="LK134">
            <v>4.64961936</v>
          </cell>
          <cell r="LL134">
            <v>20.679241180000002</v>
          </cell>
          <cell r="LM134">
            <v>2.0152277500000002</v>
          </cell>
          <cell r="LN134">
            <v>0.32285518000000002</v>
          </cell>
          <cell r="LO134">
            <v>17.106185659999998</v>
          </cell>
          <cell r="LZ134">
            <v>1792.53</v>
          </cell>
          <cell r="MA134">
            <v>1750.9</v>
          </cell>
          <cell r="MH134">
            <v>4471.54</v>
          </cell>
          <cell r="MI134">
            <v>977.06</v>
          </cell>
          <cell r="MJ134">
            <v>1473.32</v>
          </cell>
          <cell r="MK134">
            <v>3790</v>
          </cell>
          <cell r="ML134">
            <v>1247.32</v>
          </cell>
          <cell r="MM134">
            <v>2775.52</v>
          </cell>
          <cell r="MN134">
            <v>1499</v>
          </cell>
          <cell r="MO134">
            <v>1139.6199999999999</v>
          </cell>
          <cell r="MP134">
            <v>2317.5300000000002</v>
          </cell>
          <cell r="MQ134">
            <v>3980.16</v>
          </cell>
          <cell r="MR134">
            <v>2999</v>
          </cell>
          <cell r="MS134">
            <v>1499</v>
          </cell>
          <cell r="MT134">
            <v>999</v>
          </cell>
          <cell r="MU134">
            <v>1577.62</v>
          </cell>
          <cell r="MV134">
            <v>2490</v>
          </cell>
          <cell r="MY134">
            <v>2614.73</v>
          </cell>
          <cell r="MZ134">
            <v>8207</v>
          </cell>
          <cell r="NA134">
            <v>5048</v>
          </cell>
          <cell r="NB134">
            <v>18154</v>
          </cell>
          <cell r="NC134">
            <v>1918.61</v>
          </cell>
          <cell r="ND134">
            <v>14990</v>
          </cell>
          <cell r="NE134">
            <v>9151</v>
          </cell>
        </row>
        <row r="135">
          <cell r="A135">
            <v>46174</v>
          </cell>
          <cell r="B135">
            <v>6</v>
          </cell>
          <cell r="C135">
            <v>2026</v>
          </cell>
          <cell r="D135">
            <v>135</v>
          </cell>
          <cell r="E135">
            <v>46174</v>
          </cell>
          <cell r="AM135">
            <v>0</v>
          </cell>
          <cell r="AP135" t="str">
            <v/>
          </cell>
          <cell r="AU135" t="str">
            <v/>
          </cell>
          <cell r="BB135" t="str">
            <v/>
          </cell>
          <cell r="BC135">
            <v>44166</v>
          </cell>
          <cell r="BD135">
            <v>39751</v>
          </cell>
          <cell r="BJ135">
            <v>0</v>
          </cell>
          <cell r="BQ135" t="str">
            <v/>
          </cell>
          <cell r="BU135">
            <v>0</v>
          </cell>
          <cell r="EA135">
            <v>0</v>
          </cell>
          <cell r="FZ135">
            <v>713644.76</v>
          </cell>
          <cell r="GA135" t="str">
            <v>jul25 jun26</v>
          </cell>
          <cell r="HC135" t="str">
            <v>jul25 jun26</v>
          </cell>
          <cell r="HF135" t="str">
            <v>jul25 jun26</v>
          </cell>
          <cell r="HI135" t="str">
            <v>jul25 jun26</v>
          </cell>
          <cell r="HL135" t="str">
            <v>jul25 jun26</v>
          </cell>
          <cell r="HQ135" t="str">
            <v>jul25 jun26</v>
          </cell>
          <cell r="MK135">
            <v>3790</v>
          </cell>
          <cell r="MN135">
            <v>1559</v>
          </cell>
          <cell r="MR135">
            <v>2999</v>
          </cell>
          <cell r="MT135">
            <v>999</v>
          </cell>
          <cell r="MV135">
            <v>1799</v>
          </cell>
        </row>
        <row r="136">
          <cell r="A136">
            <v>46204</v>
          </cell>
          <cell r="B136">
            <v>7</v>
          </cell>
          <cell r="C136">
            <v>2026</v>
          </cell>
          <cell r="D136">
            <v>136</v>
          </cell>
          <cell r="E136">
            <v>46204</v>
          </cell>
          <cell r="AM136">
            <v>0</v>
          </cell>
          <cell r="AP136" t="str">
            <v/>
          </cell>
          <cell r="AU136" t="str">
            <v/>
          </cell>
          <cell r="BC136">
            <v>44166</v>
          </cell>
          <cell r="BD136">
            <v>39751</v>
          </cell>
          <cell r="BJ136">
            <v>0</v>
          </cell>
          <cell r="BQ136" t="str">
            <v/>
          </cell>
          <cell r="BU136">
            <v>0</v>
          </cell>
          <cell r="EA136">
            <v>0</v>
          </cell>
          <cell r="FZ136">
            <v>523190.76</v>
          </cell>
          <cell r="GA136" t="str">
            <v>ago25 jul26</v>
          </cell>
          <cell r="HC136" t="str">
            <v>ago25 jul26</v>
          </cell>
          <cell r="HF136" t="str">
            <v>ago25 jul26</v>
          </cell>
          <cell r="HI136" t="str">
            <v>ago25 jul26</v>
          </cell>
          <cell r="HL136" t="str">
            <v>ago25 jul26</v>
          </cell>
          <cell r="HQ136" t="str">
            <v>ago25 jul26</v>
          </cell>
        </row>
        <row r="137">
          <cell r="A137">
            <v>46235</v>
          </cell>
          <cell r="B137">
            <v>8</v>
          </cell>
          <cell r="C137">
            <v>2026</v>
          </cell>
          <cell r="D137">
            <v>137</v>
          </cell>
          <cell r="E137">
            <v>46235</v>
          </cell>
          <cell r="AM137">
            <v>0</v>
          </cell>
          <cell r="AP137" t="str">
            <v/>
          </cell>
          <cell r="AU137" t="str">
            <v/>
          </cell>
          <cell r="BC137">
            <v>44166</v>
          </cell>
          <cell r="BD137">
            <v>39751</v>
          </cell>
          <cell r="BJ137">
            <v>0</v>
          </cell>
          <cell r="BQ137" t="str">
            <v/>
          </cell>
          <cell r="BU137">
            <v>0</v>
          </cell>
          <cell r="EA137">
            <v>0</v>
          </cell>
          <cell r="FZ137">
            <v>375977.76</v>
          </cell>
          <cell r="GA137" t="str">
            <v>sept25 ago26</v>
          </cell>
          <cell r="HC137" t="str">
            <v>sept25 ago26</v>
          </cell>
          <cell r="HF137" t="str">
            <v>sept25 ago26</v>
          </cell>
          <cell r="HI137" t="str">
            <v>sept25 ago26</v>
          </cell>
          <cell r="HL137" t="str">
            <v>sept25 ago26</v>
          </cell>
          <cell r="HQ137" t="str">
            <v>sept25 ago26</v>
          </cell>
        </row>
        <row r="138">
          <cell r="A138">
            <v>46266</v>
          </cell>
          <cell r="B138">
            <v>9</v>
          </cell>
          <cell r="C138">
            <v>2026</v>
          </cell>
          <cell r="D138">
            <v>138</v>
          </cell>
          <cell r="E138">
            <v>46266</v>
          </cell>
          <cell r="AM138">
            <v>0</v>
          </cell>
          <cell r="AP138" t="str">
            <v/>
          </cell>
          <cell r="AU138" t="str">
            <v/>
          </cell>
          <cell r="BC138">
            <v>44166</v>
          </cell>
          <cell r="BD138">
            <v>39751</v>
          </cell>
          <cell r="BJ138">
            <v>0</v>
          </cell>
          <cell r="BQ138" t="str">
            <v/>
          </cell>
          <cell r="BU138">
            <v>0</v>
          </cell>
          <cell r="EA138">
            <v>0</v>
          </cell>
          <cell r="FZ138">
            <v>298602.76</v>
          </cell>
          <cell r="GA138" t="str">
            <v>oct25 sept26</v>
          </cell>
          <cell r="HC138" t="str">
            <v>oct25 sept26</v>
          </cell>
          <cell r="HF138" t="str">
            <v>oct25 sept26</v>
          </cell>
          <cell r="HI138" t="str">
            <v>oct25 sept26</v>
          </cell>
          <cell r="HL138" t="str">
            <v>oct25 sept26</v>
          </cell>
          <cell r="HQ138" t="str">
            <v>oct25 sept26</v>
          </cell>
        </row>
        <row r="139">
          <cell r="A139">
            <v>46296</v>
          </cell>
          <cell r="B139">
            <v>10</v>
          </cell>
          <cell r="C139">
            <v>2026</v>
          </cell>
          <cell r="D139">
            <v>139</v>
          </cell>
          <cell r="E139">
            <v>46296</v>
          </cell>
          <cell r="AM139">
            <v>0</v>
          </cell>
          <cell r="AP139" t="str">
            <v/>
          </cell>
          <cell r="AU139" t="str">
            <v/>
          </cell>
          <cell r="BC139">
            <v>44166</v>
          </cell>
          <cell r="BD139">
            <v>39751</v>
          </cell>
          <cell r="BJ139">
            <v>0</v>
          </cell>
          <cell r="BQ139" t="str">
            <v/>
          </cell>
          <cell r="BU139">
            <v>0</v>
          </cell>
          <cell r="EA139">
            <v>0</v>
          </cell>
          <cell r="FZ139">
            <v>296231.76</v>
          </cell>
          <cell r="GA139" t="str">
            <v>nov25 oct26</v>
          </cell>
          <cell r="HC139" t="str">
            <v>nov25 oct26</v>
          </cell>
          <cell r="HF139" t="str">
            <v>nov25 oct26</v>
          </cell>
          <cell r="HI139" t="str">
            <v>nov25 oct26</v>
          </cell>
          <cell r="HL139" t="str">
            <v>nov25 oct26</v>
          </cell>
          <cell r="HQ139" t="str">
            <v>nov25 oct26</v>
          </cell>
        </row>
        <row r="140">
          <cell r="A140">
            <v>46327</v>
          </cell>
          <cell r="B140">
            <v>11</v>
          </cell>
          <cell r="C140">
            <v>2026</v>
          </cell>
          <cell r="D140">
            <v>140</v>
          </cell>
          <cell r="E140">
            <v>46327</v>
          </cell>
          <cell r="AM140">
            <v>0</v>
          </cell>
          <cell r="AP140" t="str">
            <v/>
          </cell>
          <cell r="AU140" t="str">
            <v/>
          </cell>
          <cell r="BJ140">
            <v>0</v>
          </cell>
          <cell r="BQ140" t="str">
            <v/>
          </cell>
          <cell r="BU140">
            <v>0</v>
          </cell>
          <cell r="EA140">
            <v>0</v>
          </cell>
          <cell r="FZ140">
            <v>296203</v>
          </cell>
          <cell r="GA140" t="str">
            <v>dic25 nov26</v>
          </cell>
          <cell r="HC140" t="str">
            <v>dic25 nov26</v>
          </cell>
          <cell r="HF140" t="str">
            <v>dic25 nov26</v>
          </cell>
          <cell r="HI140" t="str">
            <v>dic25 nov26</v>
          </cell>
          <cell r="HL140" t="str">
            <v>dic25 nov26</v>
          </cell>
          <cell r="HQ140" t="str">
            <v>dic25 nov26</v>
          </cell>
        </row>
        <row r="141">
          <cell r="A141">
            <v>46357</v>
          </cell>
          <cell r="B141">
            <v>12</v>
          </cell>
          <cell r="C141">
            <v>2026</v>
          </cell>
          <cell r="D141">
            <v>141</v>
          </cell>
          <cell r="E141">
            <v>46357</v>
          </cell>
          <cell r="AM141">
            <v>0</v>
          </cell>
          <cell r="AP141" t="str">
            <v/>
          </cell>
          <cell r="AU141" t="str">
            <v/>
          </cell>
          <cell r="BJ141">
            <v>0</v>
          </cell>
          <cell r="BQ141" t="str">
            <v/>
          </cell>
          <cell r="BU141">
            <v>0</v>
          </cell>
          <cell r="EA141">
            <v>0</v>
          </cell>
          <cell r="FZ141">
            <v>275170</v>
          </cell>
          <cell r="GA141" t="str">
            <v>ene26 dic26</v>
          </cell>
          <cell r="HC141" t="str">
            <v>ene26 dic26</v>
          </cell>
          <cell r="HF141" t="str">
            <v>ene26 dic26</v>
          </cell>
          <cell r="HI141" t="str">
            <v>ene26 dic26</v>
          </cell>
          <cell r="HL141" t="str">
            <v>ene26 dic26</v>
          </cell>
          <cell r="HQ141" t="str">
            <v>ene26 dic26</v>
          </cell>
        </row>
        <row r="142">
          <cell r="B142" t="str">
            <v>x</v>
          </cell>
          <cell r="C142" t="str">
            <v>x</v>
          </cell>
          <cell r="D142" t="str">
            <v>x</v>
          </cell>
          <cell r="E142" t="str">
            <v>x</v>
          </cell>
          <cell r="F142" t="str">
            <v>x</v>
          </cell>
          <cell r="G142" t="str">
            <v>x</v>
          </cell>
          <cell r="H142" t="str">
            <v>x</v>
          </cell>
          <cell r="I142" t="str">
            <v>x</v>
          </cell>
          <cell r="J142" t="str">
            <v>x</v>
          </cell>
          <cell r="K142" t="str">
            <v>x</v>
          </cell>
          <cell r="L142" t="str">
            <v>x</v>
          </cell>
          <cell r="M142" t="str">
            <v>x</v>
          </cell>
          <cell r="N142" t="str">
            <v>x</v>
          </cell>
          <cell r="O142" t="str">
            <v>x</v>
          </cell>
          <cell r="P142" t="str">
            <v>x</v>
          </cell>
          <cell r="Q142" t="str">
            <v>x</v>
          </cell>
          <cell r="R142" t="str">
            <v>x</v>
          </cell>
          <cell r="S142" t="str">
            <v>x</v>
          </cell>
          <cell r="T142" t="str">
            <v>x</v>
          </cell>
          <cell r="U142" t="str">
            <v>x</v>
          </cell>
          <cell r="V142" t="str">
            <v>x</v>
          </cell>
          <cell r="W142" t="str">
            <v>x</v>
          </cell>
          <cell r="X142" t="str">
            <v>x</v>
          </cell>
          <cell r="Y142" t="str">
            <v>x</v>
          </cell>
          <cell r="Z142" t="str">
            <v>x</v>
          </cell>
          <cell r="AA142" t="str">
            <v>x</v>
          </cell>
          <cell r="AB142" t="str">
            <v>x</v>
          </cell>
          <cell r="AC142" t="str">
            <v>x</v>
          </cell>
          <cell r="AD142" t="str">
            <v>x</v>
          </cell>
          <cell r="AE142" t="str">
            <v>x</v>
          </cell>
          <cell r="AF142" t="str">
            <v>x</v>
          </cell>
          <cell r="AG142" t="str">
            <v>x</v>
          </cell>
          <cell r="AH142" t="str">
            <v>x</v>
          </cell>
          <cell r="AI142" t="str">
            <v>x</v>
          </cell>
          <cell r="AJ142" t="str">
            <v>x</v>
          </cell>
          <cell r="AK142" t="str">
            <v>x</v>
          </cell>
          <cell r="AL142" t="str">
            <v>x</v>
          </cell>
          <cell r="AM142" t="str">
            <v>x</v>
          </cell>
          <cell r="AN142" t="str">
            <v>x</v>
          </cell>
          <cell r="AO142" t="str">
            <v>x</v>
          </cell>
          <cell r="AP142" t="str">
            <v>x</v>
          </cell>
          <cell r="AQ142" t="str">
            <v>x</v>
          </cell>
          <cell r="AR142" t="str">
            <v>x</v>
          </cell>
          <cell r="AS142" t="str">
            <v>x</v>
          </cell>
          <cell r="AT142" t="str">
            <v>x</v>
          </cell>
          <cell r="AU142" t="str">
            <v>x</v>
          </cell>
          <cell r="AV142" t="str">
            <v>x</v>
          </cell>
          <cell r="AW142" t="str">
            <v>x</v>
          </cell>
          <cell r="AX142" t="str">
            <v>x</v>
          </cell>
          <cell r="AY142" t="str">
            <v>x</v>
          </cell>
          <cell r="AZ142" t="str">
            <v>x</v>
          </cell>
          <cell r="BA142" t="str">
            <v>x</v>
          </cell>
          <cell r="BB142" t="str">
            <v>x</v>
          </cell>
          <cell r="BC142" t="str">
            <v>x</v>
          </cell>
          <cell r="BD142" t="str">
            <v>x</v>
          </cell>
          <cell r="BE142" t="str">
            <v>x</v>
          </cell>
          <cell r="BF142" t="str">
            <v>x</v>
          </cell>
          <cell r="BG142" t="str">
            <v/>
          </cell>
          <cell r="BH142" t="str">
            <v>x</v>
          </cell>
          <cell r="BI142" t="str">
            <v>x</v>
          </cell>
          <cell r="BJ142" t="str">
            <v>x</v>
          </cell>
          <cell r="BK142" t="str">
            <v>x</v>
          </cell>
          <cell r="BL142" t="str">
            <v>x</v>
          </cell>
          <cell r="BM142" t="str">
            <v>x</v>
          </cell>
          <cell r="BN142" t="str">
            <v>x</v>
          </cell>
          <cell r="BO142" t="str">
            <v>x</v>
          </cell>
          <cell r="BP142" t="str">
            <v>x</v>
          </cell>
          <cell r="BQ142" t="str">
            <v>x</v>
          </cell>
          <cell r="BR142" t="str">
            <v>x</v>
          </cell>
          <cell r="BS142" t="str">
            <v>x</v>
          </cell>
          <cell r="BT142" t="str">
            <v>x</v>
          </cell>
          <cell r="BU142" t="str">
            <v>x</v>
          </cell>
          <cell r="BV142" t="str">
            <v>x</v>
          </cell>
          <cell r="BX142" t="str">
            <v>x</v>
          </cell>
          <cell r="BY142" t="str">
            <v>x</v>
          </cell>
          <cell r="BZ142" t="str">
            <v>x</v>
          </cell>
          <cell r="CA142" t="str">
            <v>x</v>
          </cell>
          <cell r="CB142" t="str">
            <v>x</v>
          </cell>
          <cell r="CC142" t="str">
            <v>x</v>
          </cell>
          <cell r="CD142" t="str">
            <v>x</v>
          </cell>
          <cell r="CE142" t="str">
            <v>x</v>
          </cell>
          <cell r="CF142" t="str">
            <v>x</v>
          </cell>
          <cell r="CG142" t="str">
            <v>x</v>
          </cell>
          <cell r="CH142" t="str">
            <v>x</v>
          </cell>
          <cell r="CI142" t="str">
            <v>x</v>
          </cell>
          <cell r="CJ142" t="str">
            <v>x</v>
          </cell>
          <cell r="CK142" t="str">
            <v>x</v>
          </cell>
          <cell r="CL142" t="str">
            <v>x</v>
          </cell>
          <cell r="CM142" t="str">
            <v>x</v>
          </cell>
          <cell r="CN142" t="str">
            <v>x</v>
          </cell>
          <cell r="CO142" t="str">
            <v>x</v>
          </cell>
          <cell r="CP142" t="str">
            <v>x</v>
          </cell>
          <cell r="CQ142" t="str">
            <v>x</v>
          </cell>
          <cell r="CR142" t="str">
            <v>x</v>
          </cell>
          <cell r="CS142" t="str">
            <v>x</v>
          </cell>
          <cell r="CT142" t="str">
            <v>x</v>
          </cell>
          <cell r="CU142" t="str">
            <v>x</v>
          </cell>
          <cell r="CV142" t="str">
            <v>x</v>
          </cell>
          <cell r="CW142" t="str">
            <v>x</v>
          </cell>
          <cell r="CX142" t="str">
            <v>x</v>
          </cell>
          <cell r="CY142" t="str">
            <v>x</v>
          </cell>
          <cell r="CZ142" t="str">
            <v>x</v>
          </cell>
          <cell r="DA142" t="str">
            <v>x</v>
          </cell>
          <cell r="DB142" t="str">
            <v>x</v>
          </cell>
          <cell r="DC142" t="str">
            <v>x</v>
          </cell>
          <cell r="DD142" t="str">
            <v>x</v>
          </cell>
          <cell r="DE142" t="str">
            <v>x</v>
          </cell>
          <cell r="DF142" t="str">
            <v>x</v>
          </cell>
          <cell r="DG142" t="str">
            <v>x</v>
          </cell>
          <cell r="DH142" t="str">
            <v>x</v>
          </cell>
          <cell r="DI142" t="str">
            <v>x</v>
          </cell>
          <cell r="DJ142" t="str">
            <v>x</v>
          </cell>
          <cell r="DK142" t="str">
            <v>x</v>
          </cell>
          <cell r="DL142" t="str">
            <v>x</v>
          </cell>
          <cell r="DM142" t="str">
            <v>x</v>
          </cell>
          <cell r="DN142" t="str">
            <v>x</v>
          </cell>
          <cell r="DO142" t="str">
            <v>x</v>
          </cell>
          <cell r="DP142" t="str">
            <v>x</v>
          </cell>
          <cell r="DQ142" t="str">
            <v>x</v>
          </cell>
          <cell r="DR142" t="str">
            <v>x</v>
          </cell>
          <cell r="DS142" t="str">
            <v>x</v>
          </cell>
          <cell r="DT142" t="str">
            <v>x</v>
          </cell>
          <cell r="DU142" t="str">
            <v>x</v>
          </cell>
          <cell r="DV142" t="str">
            <v>x</v>
          </cell>
          <cell r="DW142" t="str">
            <v>x</v>
          </cell>
          <cell r="DX142" t="str">
            <v>x</v>
          </cell>
          <cell r="DY142" t="str">
            <v>x</v>
          </cell>
          <cell r="DZ142" t="str">
            <v>x</v>
          </cell>
          <cell r="EA142" t="str">
            <v>x</v>
          </cell>
          <cell r="EB142" t="str">
            <v>x</v>
          </cell>
          <cell r="EC142" t="str">
            <v>x</v>
          </cell>
          <cell r="ED142" t="str">
            <v>x</v>
          </cell>
          <cell r="EE142" t="str">
            <v>x</v>
          </cell>
          <cell r="EF142" t="str">
            <v>x</v>
          </cell>
          <cell r="EG142" t="str">
            <v>x</v>
          </cell>
          <cell r="EH142" t="str">
            <v>x</v>
          </cell>
          <cell r="EI142" t="str">
            <v>x</v>
          </cell>
          <cell r="EJ142" t="str">
            <v>x</v>
          </cell>
          <cell r="EK142" t="str">
            <v>x</v>
          </cell>
          <cell r="EL142" t="str">
            <v>x</v>
          </cell>
          <cell r="EM142" t="str">
            <v>x</v>
          </cell>
          <cell r="EN142" t="str">
            <v>x</v>
          </cell>
          <cell r="EO142" t="str">
            <v>x</v>
          </cell>
          <cell r="EP142" t="str">
            <v>x</v>
          </cell>
          <cell r="EQ142" t="str">
            <v>x</v>
          </cell>
          <cell r="ER142" t="str">
            <v>x</v>
          </cell>
          <cell r="ES142" t="str">
            <v>x</v>
          </cell>
          <cell r="ET142" t="str">
            <v>x</v>
          </cell>
          <cell r="EU142" t="str">
            <v>x</v>
          </cell>
          <cell r="EV142" t="str">
            <v>x</v>
          </cell>
          <cell r="EW142" t="str">
            <v>x</v>
          </cell>
          <cell r="EX142" t="str">
            <v>x</v>
          </cell>
          <cell r="EY142" t="str">
            <v>x</v>
          </cell>
          <cell r="EZ142" t="str">
            <v>x</v>
          </cell>
          <cell r="FA142" t="str">
            <v>x</v>
          </cell>
          <cell r="FB142" t="str">
            <v>x</v>
          </cell>
          <cell r="FC142" t="str">
            <v>x</v>
          </cell>
          <cell r="FD142" t="str">
            <v>x</v>
          </cell>
          <cell r="FE142" t="str">
            <v>x</v>
          </cell>
          <cell r="FF142" t="str">
            <v>x</v>
          </cell>
          <cell r="FG142" t="str">
            <v>x</v>
          </cell>
          <cell r="FH142" t="str">
            <v>x</v>
          </cell>
          <cell r="FI142" t="str">
            <v>x</v>
          </cell>
          <cell r="FJ142" t="str">
            <v>x</v>
          </cell>
          <cell r="FK142" t="str">
            <v>x</v>
          </cell>
          <cell r="FL142" t="str">
            <v>x</v>
          </cell>
          <cell r="FM142" t="str">
            <v>x</v>
          </cell>
          <cell r="FN142" t="str">
            <v>x</v>
          </cell>
          <cell r="FO142" t="str">
            <v>x</v>
          </cell>
          <cell r="FP142" t="str">
            <v>x</v>
          </cell>
          <cell r="FQ142" t="str">
            <v>x</v>
          </cell>
          <cell r="FR142" t="str">
            <v>x</v>
          </cell>
          <cell r="FS142" t="str">
            <v>x</v>
          </cell>
          <cell r="FT142" t="str">
            <v>x</v>
          </cell>
          <cell r="FU142" t="str">
            <v>x</v>
          </cell>
          <cell r="FV142" t="str">
            <v>x</v>
          </cell>
          <cell r="FW142" t="str">
            <v>x</v>
          </cell>
          <cell r="FX142" t="str">
            <v>x</v>
          </cell>
          <cell r="FY142" t="str">
            <v>x</v>
          </cell>
          <cell r="FZ142" t="str">
            <v>x</v>
          </cell>
          <cell r="GA142" t="str">
            <v>x</v>
          </cell>
          <cell r="GB142" t="str">
            <v>x</v>
          </cell>
          <cell r="GC142" t="str">
            <v>x</v>
          </cell>
          <cell r="GD142" t="str">
            <v>x</v>
          </cell>
          <cell r="GE142" t="str">
            <v>x</v>
          </cell>
          <cell r="GF142" t="str">
            <v>x</v>
          </cell>
          <cell r="GG142" t="str">
            <v>x</v>
          </cell>
          <cell r="GH142" t="str">
            <v>x</v>
          </cell>
          <cell r="GI142" t="str">
            <v>x</v>
          </cell>
          <cell r="GJ142" t="str">
            <v>x</v>
          </cell>
          <cell r="GK142" t="str">
            <v>x</v>
          </cell>
          <cell r="GL142" t="str">
            <v>x</v>
          </cell>
          <cell r="GM142" t="str">
            <v>x</v>
          </cell>
          <cell r="GN142" t="str">
            <v>x</v>
          </cell>
          <cell r="GO142" t="str">
            <v>x</v>
          </cell>
          <cell r="GP142" t="str">
            <v>x</v>
          </cell>
          <cell r="GQ142" t="str">
            <v>x</v>
          </cell>
          <cell r="GR142" t="str">
            <v>x</v>
          </cell>
          <cell r="GS142" t="str">
            <v>x</v>
          </cell>
          <cell r="GT142" t="str">
            <v>x</v>
          </cell>
          <cell r="GU142" t="str">
            <v>x</v>
          </cell>
          <cell r="GV142" t="str">
            <v>x</v>
          </cell>
          <cell r="GW142" t="str">
            <v>x</v>
          </cell>
          <cell r="GX142" t="str">
            <v>x</v>
          </cell>
          <cell r="GY142" t="str">
            <v>x</v>
          </cell>
          <cell r="GZ142" t="str">
            <v>x</v>
          </cell>
          <cell r="HA142" t="str">
            <v>x</v>
          </cell>
          <cell r="HB142" t="str">
            <v>x</v>
          </cell>
          <cell r="HC142" t="str">
            <v>x</v>
          </cell>
          <cell r="HD142" t="str">
            <v>x</v>
          </cell>
          <cell r="HE142" t="str">
            <v>x</v>
          </cell>
          <cell r="HF142" t="str">
            <v>x</v>
          </cell>
          <cell r="HG142" t="str">
            <v>x</v>
          </cell>
          <cell r="HH142" t="str">
            <v>x</v>
          </cell>
          <cell r="HI142" t="str">
            <v>x</v>
          </cell>
          <cell r="HJ142" t="str">
            <v>x</v>
          </cell>
          <cell r="HK142" t="str">
            <v>x</v>
          </cell>
          <cell r="HL142" t="str">
            <v>x</v>
          </cell>
          <cell r="HM142" t="str">
            <v>x</v>
          </cell>
          <cell r="HN142" t="str">
            <v>x</v>
          </cell>
          <cell r="HO142" t="str">
            <v>x</v>
          </cell>
          <cell r="HP142" t="str">
            <v>x</v>
          </cell>
          <cell r="HQ142" t="str">
            <v>x</v>
          </cell>
          <cell r="HR142" t="str">
            <v>x</v>
          </cell>
          <cell r="HS142" t="str">
            <v>x</v>
          </cell>
          <cell r="HT142" t="str">
            <v>x</v>
          </cell>
          <cell r="HU142" t="str">
            <v>x</v>
          </cell>
          <cell r="HV142" t="str">
            <v>x</v>
          </cell>
          <cell r="HW142" t="str">
            <v>x</v>
          </cell>
          <cell r="HX142" t="str">
            <v>x</v>
          </cell>
          <cell r="HY142" t="str">
            <v>x</v>
          </cell>
          <cell r="HZ142" t="str">
            <v>x</v>
          </cell>
          <cell r="IA142" t="str">
            <v>x</v>
          </cell>
          <cell r="IB142" t="str">
            <v>x</v>
          </cell>
          <cell r="IC142" t="str">
            <v>x</v>
          </cell>
          <cell r="ID142" t="str">
            <v>x</v>
          </cell>
          <cell r="IE142" t="str">
            <v>x</v>
          </cell>
          <cell r="IF142" t="str">
            <v>x</v>
          </cell>
          <cell r="IG142" t="str">
            <v>x</v>
          </cell>
          <cell r="IH142" t="str">
            <v>x</v>
          </cell>
          <cell r="II142" t="str">
            <v>x</v>
          </cell>
          <cell r="IJ142" t="str">
            <v>x</v>
          </cell>
          <cell r="IK142" t="str">
            <v>x</v>
          </cell>
          <cell r="IL142" t="str">
            <v>x</v>
          </cell>
          <cell r="IM142" t="str">
            <v>x</v>
          </cell>
          <cell r="IN142" t="str">
            <v>x</v>
          </cell>
          <cell r="IO142" t="str">
            <v>x</v>
          </cell>
          <cell r="IP142" t="str">
            <v>x</v>
          </cell>
          <cell r="IQ142" t="str">
            <v>x</v>
          </cell>
          <cell r="IR142" t="str">
            <v>x</v>
          </cell>
          <cell r="IS142" t="str">
            <v>x</v>
          </cell>
          <cell r="IT142" t="str">
            <v>x</v>
          </cell>
          <cell r="IU142" t="str">
            <v>x</v>
          </cell>
          <cell r="IV142" t="str">
            <v>x</v>
          </cell>
          <cell r="IW142" t="str">
            <v>x</v>
          </cell>
          <cell r="IX142" t="str">
            <v>x</v>
          </cell>
          <cell r="IY142" t="str">
            <v>x</v>
          </cell>
          <cell r="IZ142" t="str">
            <v>x</v>
          </cell>
          <cell r="JA142" t="str">
            <v>x</v>
          </cell>
          <cell r="JB142" t="str">
            <v>x</v>
          </cell>
          <cell r="JC142" t="str">
            <v>x</v>
          </cell>
          <cell r="JD142" t="str">
            <v>x</v>
          </cell>
          <cell r="JE142" t="str">
            <v>x</v>
          </cell>
          <cell r="JF142" t="str">
            <v>x</v>
          </cell>
          <cell r="JG142" t="str">
            <v>x</v>
          </cell>
          <cell r="JH142" t="str">
            <v>x</v>
          </cell>
          <cell r="JI142" t="str">
            <v>x</v>
          </cell>
          <cell r="JJ142" t="str">
            <v>x</v>
          </cell>
          <cell r="JK142" t="str">
            <v>x</v>
          </cell>
          <cell r="JL142" t="str">
            <v>x</v>
          </cell>
          <cell r="JM142" t="str">
            <v>x</v>
          </cell>
          <cell r="JN142" t="str">
            <v>x</v>
          </cell>
          <cell r="JO142" t="str">
            <v>x</v>
          </cell>
          <cell r="JP142" t="str">
            <v>x</v>
          </cell>
          <cell r="JQ142" t="str">
            <v>x</v>
          </cell>
          <cell r="JR142" t="str">
            <v>x</v>
          </cell>
          <cell r="JS142" t="str">
            <v>x</v>
          </cell>
          <cell r="JT142" t="str">
            <v>x</v>
          </cell>
          <cell r="JU142" t="str">
            <v>x</v>
          </cell>
          <cell r="JV142" t="str">
            <v>x</v>
          </cell>
          <cell r="JW142" t="str">
            <v>x</v>
          </cell>
          <cell r="JX142" t="str">
            <v>x</v>
          </cell>
          <cell r="JY142" t="str">
            <v>x</v>
          </cell>
          <cell r="JZ142" t="str">
            <v>x</v>
          </cell>
          <cell r="KA142" t="str">
            <v>x</v>
          </cell>
          <cell r="KB142" t="str">
            <v>x</v>
          </cell>
          <cell r="KC142" t="str">
            <v>x</v>
          </cell>
          <cell r="KD142" t="str">
            <v>x</v>
          </cell>
          <cell r="KE142" t="str">
            <v>x</v>
          </cell>
          <cell r="KF142" t="str">
            <v>x</v>
          </cell>
          <cell r="KG142" t="str">
            <v>x</v>
          </cell>
          <cell r="KH142" t="str">
            <v>x</v>
          </cell>
          <cell r="KI142" t="str">
            <v>x</v>
          </cell>
          <cell r="KJ142" t="str">
            <v>x</v>
          </cell>
          <cell r="KK142" t="str">
            <v>x</v>
          </cell>
          <cell r="KL142" t="str">
            <v>x</v>
          </cell>
          <cell r="KM142" t="str">
            <v>x</v>
          </cell>
          <cell r="KN142" t="str">
            <v>x</v>
          </cell>
          <cell r="KO142" t="str">
            <v>x</v>
          </cell>
          <cell r="KP142" t="str">
            <v>x</v>
          </cell>
          <cell r="KQ142" t="str">
            <v>x</v>
          </cell>
          <cell r="KR142" t="str">
            <v>x</v>
          </cell>
          <cell r="KS142" t="str">
            <v>x</v>
          </cell>
          <cell r="KT142" t="str">
            <v>x</v>
          </cell>
          <cell r="KU142" t="str">
            <v>x</v>
          </cell>
          <cell r="KV142" t="str">
            <v>x</v>
          </cell>
          <cell r="KW142" t="str">
            <v>x</v>
          </cell>
          <cell r="KX142" t="str">
            <v>x</v>
          </cell>
          <cell r="KY142" t="str">
            <v>x</v>
          </cell>
          <cell r="KZ142" t="str">
            <v>x</v>
          </cell>
          <cell r="LA142" t="str">
            <v>x</v>
          </cell>
          <cell r="LB142" t="str">
            <v>x</v>
          </cell>
          <cell r="LC142" t="str">
            <v>x</v>
          </cell>
          <cell r="LD142" t="str">
            <v>x</v>
          </cell>
          <cell r="LE142" t="str">
            <v>x</v>
          </cell>
          <cell r="LF142" t="str">
            <v>x</v>
          </cell>
          <cell r="LG142" t="str">
            <v>x</v>
          </cell>
          <cell r="LH142" t="str">
            <v>x</v>
          </cell>
          <cell r="LI142" t="str">
            <v>x</v>
          </cell>
          <cell r="LJ142" t="str">
            <v>x</v>
          </cell>
          <cell r="LK142" t="str">
            <v>x</v>
          </cell>
          <cell r="LL142" t="str">
            <v>x</v>
          </cell>
          <cell r="LM142" t="str">
            <v>x</v>
          </cell>
          <cell r="LN142" t="str">
            <v>x</v>
          </cell>
          <cell r="LO142" t="str">
            <v>x</v>
          </cell>
          <cell r="LP142" t="str">
            <v>x</v>
          </cell>
          <cell r="LQ142" t="str">
            <v>x</v>
          </cell>
          <cell r="LR142" t="str">
            <v>x</v>
          </cell>
          <cell r="LS142" t="str">
            <v>x</v>
          </cell>
          <cell r="LT142" t="str">
            <v>x</v>
          </cell>
          <cell r="LU142" t="str">
            <v>x</v>
          </cell>
          <cell r="LV142" t="str">
            <v>x</v>
          </cell>
          <cell r="LW142" t="str">
            <v>x</v>
          </cell>
          <cell r="LX142" t="str">
            <v>x</v>
          </cell>
          <cell r="LY142" t="str">
            <v>x</v>
          </cell>
          <cell r="LZ142" t="str">
            <v>x</v>
          </cell>
          <cell r="MA142" t="str">
            <v>x</v>
          </cell>
          <cell r="MB142" t="str">
            <v>x</v>
          </cell>
          <cell r="MC142" t="str">
            <v>x</v>
          </cell>
          <cell r="MD142" t="str">
            <v>x</v>
          </cell>
          <cell r="ME142" t="str">
            <v>x</v>
          </cell>
          <cell r="MF142" t="str">
            <v>x</v>
          </cell>
          <cell r="MG142" t="str">
            <v>x</v>
          </cell>
          <cell r="MH142" t="str">
            <v>x</v>
          </cell>
          <cell r="MI142" t="str">
            <v>x</v>
          </cell>
          <cell r="MJ142" t="str">
            <v>x</v>
          </cell>
          <cell r="MK142" t="str">
            <v>x</v>
          </cell>
          <cell r="ML142" t="str">
            <v>x</v>
          </cell>
          <cell r="MM142" t="str">
            <v>x</v>
          </cell>
          <cell r="MN142" t="str">
            <v>x</v>
          </cell>
          <cell r="MO142" t="str">
            <v>x</v>
          </cell>
          <cell r="MP142" t="str">
            <v>x</v>
          </cell>
          <cell r="MQ142" t="str">
            <v>x</v>
          </cell>
          <cell r="MR142" t="str">
            <v>x</v>
          </cell>
          <cell r="MS142" t="str">
            <v>x</v>
          </cell>
          <cell r="MT142" t="str">
            <v>x</v>
          </cell>
          <cell r="MU142" t="str">
            <v>x</v>
          </cell>
          <cell r="MV142" t="str">
            <v>x</v>
          </cell>
          <cell r="MW142" t="str">
            <v>x</v>
          </cell>
          <cell r="MX142" t="str">
            <v>x</v>
          </cell>
          <cell r="MY142" t="str">
            <v>x</v>
          </cell>
          <cell r="MZ142" t="str">
            <v>x</v>
          </cell>
          <cell r="NA142" t="str">
            <v>x</v>
          </cell>
          <cell r="NB142" t="str">
            <v>x</v>
          </cell>
          <cell r="NC142" t="str">
            <v>x</v>
          </cell>
          <cell r="ND142" t="str">
            <v>x</v>
          </cell>
          <cell r="NE142" t="str">
            <v>x</v>
          </cell>
        </row>
        <row r="144">
          <cell r="A144" t="str">
            <v>Precio</v>
          </cell>
          <cell r="AF144">
            <v>592</v>
          </cell>
          <cell r="BG144">
            <v>0.17741757331418784</v>
          </cell>
          <cell r="BK144">
            <v>0.58790760869565228</v>
          </cell>
          <cell r="BL144">
            <v>0.77500360003101587</v>
          </cell>
          <cell r="BM144">
            <v>0.69097554873472178</v>
          </cell>
          <cell r="BN144">
            <v>7.9489782407203169E-2</v>
          </cell>
          <cell r="BO144">
            <v>5.2883396588945697E-2</v>
          </cell>
          <cell r="BP144">
            <v>0</v>
          </cell>
          <cell r="BR144">
            <v>5.4849595113456218E-2</v>
          </cell>
          <cell r="BS144">
            <v>6.25E-2</v>
          </cell>
          <cell r="BT144">
            <v>-3.8016018454561706E-2</v>
          </cell>
          <cell r="EF144">
            <v>-1.8635031458493767E-2</v>
          </cell>
          <cell r="EJ144">
            <v>-2.0839332713567749E-2</v>
          </cell>
          <cell r="EN144">
            <v>3.0031745202114379E-2</v>
          </cell>
          <cell r="GB144">
            <v>-7.6201048455332931E-2</v>
          </cell>
          <cell r="GQ144">
            <v>952023</v>
          </cell>
          <cell r="HJ144">
            <v>1047071.7716547799</v>
          </cell>
          <cell r="HP144">
            <v>972.9336050297552</v>
          </cell>
        </row>
        <row r="145">
          <cell r="A145" t="str">
            <v>Costo</v>
          </cell>
          <cell r="G145">
            <v>1.220285117782109</v>
          </cell>
          <cell r="AF145">
            <v>864</v>
          </cell>
          <cell r="BK145">
            <v>-1.9556644470996032E-2</v>
          </cell>
          <cell r="BL145">
            <v>-5.8629319359424725E-2</v>
          </cell>
          <cell r="BM145">
            <v>-4.2536935751603222E-2</v>
          </cell>
          <cell r="BN145">
            <v>1.6901232771344921E-2</v>
          </cell>
          <cell r="BO145">
            <v>0.12690969371398197</v>
          </cell>
          <cell r="BP145">
            <v>-0.15923216292456943</v>
          </cell>
          <cell r="BR145">
            <v>0.24049686723265129</v>
          </cell>
          <cell r="BS145">
            <v>0.25</v>
          </cell>
          <cell r="BT145">
            <v>1.0036865099978982</v>
          </cell>
          <cell r="EN145">
            <v>3316740.1428571427</v>
          </cell>
          <cell r="GQ145">
            <v>872823.76755292038</v>
          </cell>
          <cell r="HJ145">
            <v>1118994</v>
          </cell>
        </row>
        <row r="146">
          <cell r="A146" t="str">
            <v>Área/Stock</v>
          </cell>
          <cell r="AF146">
            <v>0.45945945945945943</v>
          </cell>
          <cell r="EN146">
            <v>-9.6856289314365962E-2</v>
          </cell>
          <cell r="GQ146">
            <v>9.0739087764676096E-2</v>
          </cell>
          <cell r="HJ146">
            <v>6.868891922428122E-2</v>
          </cell>
        </row>
        <row r="147">
          <cell r="A147" t="str">
            <v>Producción</v>
          </cell>
          <cell r="BN147">
            <v>470</v>
          </cell>
        </row>
        <row r="148">
          <cell r="A148" t="str">
            <v>Consumo</v>
          </cell>
          <cell r="BN148">
            <v>490</v>
          </cell>
          <cell r="GB148" t="str">
            <v xml:space="preserve">Proyeccion San juan y mendoza </v>
          </cell>
        </row>
        <row r="149">
          <cell r="A149" t="str">
            <v>Exportación</v>
          </cell>
          <cell r="BN149">
            <v>4.2553191489361764E-2</v>
          </cell>
          <cell r="GA149">
            <v>2021</v>
          </cell>
          <cell r="GB149">
            <v>20938101</v>
          </cell>
        </row>
        <row r="150">
          <cell r="A150" t="str">
            <v>Importación</v>
          </cell>
          <cell r="GA150">
            <v>2022</v>
          </cell>
          <cell r="GB150">
            <v>17924671</v>
          </cell>
        </row>
        <row r="151">
          <cell r="A151" t="str">
            <v>Consumidor</v>
          </cell>
          <cell r="GA151">
            <v>2023</v>
          </cell>
          <cell r="GB151">
            <v>13474338</v>
          </cell>
        </row>
        <row r="152">
          <cell r="GA152">
            <v>2024</v>
          </cell>
          <cell r="GB152">
            <v>18048194</v>
          </cell>
        </row>
        <row r="153">
          <cell r="GA153">
            <v>2025</v>
          </cell>
          <cell r="GB153">
            <v>18759846</v>
          </cell>
        </row>
        <row r="154">
          <cell r="GA154">
            <v>2026</v>
          </cell>
          <cell r="GB154">
            <v>17245125</v>
          </cell>
        </row>
        <row r="156">
          <cell r="GB156">
            <v>17829030</v>
          </cell>
        </row>
        <row r="157">
          <cell r="GB157">
            <v>-8.0742720382672606E-2</v>
          </cell>
        </row>
      </sheetData>
      <sheetData sheetId="4" refreshError="1"/>
      <sheetData sheetId="5">
        <row r="27">
          <cell r="S27">
            <v>0.21052631578947367</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11">
          <cell r="J11" t="str">
            <v>Precio</v>
          </cell>
          <cell r="L11" t="str">
            <v>Algodón</v>
          </cell>
          <cell r="M11">
            <v>16</v>
          </cell>
          <cell r="N11">
            <v>77</v>
          </cell>
          <cell r="Q11" t="str">
            <v>Arroz</v>
          </cell>
          <cell r="R11">
            <v>18</v>
          </cell>
          <cell r="S11">
            <v>1000</v>
          </cell>
          <cell r="T11" t="str">
            <v>Arroz blanco simple</v>
          </cell>
          <cell r="U11">
            <v>338</v>
          </cell>
          <cell r="V11">
            <v>1</v>
          </cell>
        </row>
        <row r="12">
          <cell r="B12">
            <v>42370</v>
          </cell>
          <cell r="C12">
            <v>1</v>
          </cell>
          <cell r="D12">
            <v>42370</v>
          </cell>
          <cell r="E12">
            <v>1</v>
          </cell>
          <cell r="F12">
            <v>2016</v>
          </cell>
          <cell r="J12" t="str">
            <v>Costo</v>
          </cell>
          <cell r="L12" t="str">
            <v>Arroz</v>
          </cell>
          <cell r="M12">
            <v>18</v>
          </cell>
          <cell r="N12">
            <v>78</v>
          </cell>
          <cell r="Q12" t="str">
            <v>Leche</v>
          </cell>
          <cell r="R12">
            <v>66</v>
          </cell>
          <cell r="S12">
            <v>1</v>
          </cell>
          <cell r="T12" t="str">
            <v>Leche fresca entera en sachet</v>
          </cell>
          <cell r="U12">
            <v>351</v>
          </cell>
          <cell r="V12">
            <v>1</v>
          </cell>
        </row>
        <row r="13">
          <cell r="B13">
            <v>42401</v>
          </cell>
          <cell r="C13">
            <v>2</v>
          </cell>
          <cell r="D13">
            <v>42401</v>
          </cell>
          <cell r="E13">
            <v>2</v>
          </cell>
          <cell r="F13">
            <v>2016</v>
          </cell>
          <cell r="J13" t="str">
            <v>Área/Stock</v>
          </cell>
          <cell r="L13" t="str">
            <v>Aves</v>
          </cell>
          <cell r="M13">
            <v>69</v>
          </cell>
          <cell r="N13">
            <v>111</v>
          </cell>
          <cell r="Q13" t="str">
            <v>Trigo</v>
          </cell>
          <cell r="R13">
            <v>30</v>
          </cell>
          <cell r="S13">
            <v>760</v>
          </cell>
          <cell r="T13" t="str">
            <v>Harina de trigo</v>
          </cell>
          <cell r="U13">
            <v>345</v>
          </cell>
          <cell r="V13">
            <v>1</v>
          </cell>
        </row>
        <row r="14">
          <cell r="B14">
            <v>42430</v>
          </cell>
          <cell r="C14">
            <v>3</v>
          </cell>
          <cell r="D14">
            <v>42430</v>
          </cell>
          <cell r="E14">
            <v>3</v>
          </cell>
          <cell r="F14">
            <v>2016</v>
          </cell>
          <cell r="J14" t="str">
            <v>Producción</v>
          </cell>
          <cell r="L14" t="str">
            <v>Bovinos</v>
          </cell>
          <cell r="M14">
            <v>65</v>
          </cell>
          <cell r="N14">
            <v>106</v>
          </cell>
          <cell r="Q14" t="str">
            <v>Vino Blanco</v>
          </cell>
          <cell r="R14">
            <v>37</v>
          </cell>
          <cell r="S14">
            <v>1</v>
          </cell>
          <cell r="T14" t="str">
            <v>Vino Común</v>
          </cell>
          <cell r="U14">
            <v>358</v>
          </cell>
          <cell r="V14">
            <v>1</v>
          </cell>
        </row>
        <row r="15">
          <cell r="B15">
            <v>42461</v>
          </cell>
          <cell r="C15">
            <v>4</v>
          </cell>
          <cell r="D15">
            <v>42461</v>
          </cell>
          <cell r="E15">
            <v>4</v>
          </cell>
          <cell r="F15">
            <v>2016</v>
          </cell>
          <cell r="J15" t="str">
            <v>Exportación</v>
          </cell>
          <cell r="L15" t="str">
            <v>Cítricos Dulces</v>
          </cell>
          <cell r="M15">
            <v>47</v>
          </cell>
          <cell r="N15">
            <v>102</v>
          </cell>
          <cell r="Q15" t="str">
            <v>Manzana</v>
          </cell>
          <cell r="R15">
            <v>40</v>
          </cell>
          <cell r="S15">
            <v>1</v>
          </cell>
          <cell r="T15" t="str">
            <v>Manzana Red Delicius</v>
          </cell>
          <cell r="U15">
            <v>356</v>
          </cell>
          <cell r="V15">
            <v>1</v>
          </cell>
        </row>
        <row r="16">
          <cell r="B16">
            <v>42491</v>
          </cell>
          <cell r="C16">
            <v>5</v>
          </cell>
          <cell r="D16">
            <v>42491</v>
          </cell>
          <cell r="E16">
            <v>5</v>
          </cell>
          <cell r="F16">
            <v>2016</v>
          </cell>
          <cell r="J16" t="str">
            <v>Importación</v>
          </cell>
          <cell r="L16" t="str">
            <v>Forestal</v>
          </cell>
          <cell r="M16">
            <v>59</v>
          </cell>
          <cell r="N16">
            <v>104</v>
          </cell>
          <cell r="Q16" t="str">
            <v>Yerba Mate</v>
          </cell>
          <cell r="R16">
            <v>34</v>
          </cell>
          <cell r="S16">
            <v>1000</v>
          </cell>
          <cell r="T16" t="str">
            <v>Yerba Mate</v>
          </cell>
          <cell r="U16">
            <v>360</v>
          </cell>
          <cell r="V16">
            <v>0.5</v>
          </cell>
        </row>
        <row r="17">
          <cell r="B17">
            <v>42522</v>
          </cell>
          <cell r="C17">
            <v>6</v>
          </cell>
          <cell r="D17">
            <v>42522</v>
          </cell>
          <cell r="E17">
            <v>6</v>
          </cell>
          <cell r="F17">
            <v>2016</v>
          </cell>
          <cell r="J17" t="str">
            <v>Consumo</v>
          </cell>
          <cell r="L17" t="str">
            <v>Granos</v>
          </cell>
          <cell r="M17">
            <v>31</v>
          </cell>
          <cell r="N17">
            <v>85</v>
          </cell>
          <cell r="Q17" t="str">
            <v>Naranja</v>
          </cell>
          <cell r="R17">
            <v>45</v>
          </cell>
          <cell r="S17">
            <v>1</v>
          </cell>
          <cell r="T17">
            <v>0</v>
          </cell>
          <cell r="U17">
            <v>342</v>
          </cell>
          <cell r="V17">
            <v>1</v>
          </cell>
        </row>
        <row r="18">
          <cell r="B18">
            <v>42552</v>
          </cell>
          <cell r="C18">
            <v>7</v>
          </cell>
          <cell r="D18">
            <v>42552</v>
          </cell>
          <cell r="E18">
            <v>7</v>
          </cell>
          <cell r="F18">
            <v>2016</v>
          </cell>
          <cell r="J18" t="str">
            <v>Campaña</v>
          </cell>
          <cell r="L18" t="str">
            <v>Hortalizas</v>
          </cell>
          <cell r="M18">
            <v>54</v>
          </cell>
          <cell r="N18">
            <v>93</v>
          </cell>
          <cell r="Q18" t="str">
            <v>Algodón</v>
          </cell>
          <cell r="R18">
            <v>16</v>
          </cell>
          <cell r="S18">
            <v>1</v>
          </cell>
          <cell r="T18">
            <v>0</v>
          </cell>
          <cell r="U18">
            <v>361</v>
          </cell>
          <cell r="V18">
            <v>0.1</v>
          </cell>
        </row>
        <row r="19">
          <cell r="B19">
            <v>42583</v>
          </cell>
          <cell r="C19">
            <v>8</v>
          </cell>
          <cell r="D19">
            <v>42583</v>
          </cell>
          <cell r="E19">
            <v>8</v>
          </cell>
          <cell r="F19">
            <v>2016</v>
          </cell>
          <cell r="J19" t="str">
            <v>Consumidor</v>
          </cell>
          <cell r="L19" t="str">
            <v>Leche</v>
          </cell>
          <cell r="M19">
            <v>66</v>
          </cell>
          <cell r="N19">
            <v>107</v>
          </cell>
          <cell r="Q19" t="str">
            <v>Papa</v>
          </cell>
          <cell r="R19">
            <v>48</v>
          </cell>
          <cell r="S19">
            <v>1</v>
          </cell>
          <cell r="T19" t="str">
            <v>Papa</v>
          </cell>
          <cell r="U19">
            <v>354</v>
          </cell>
          <cell r="V19">
            <v>1</v>
          </cell>
        </row>
        <row r="20">
          <cell r="B20">
            <v>42614</v>
          </cell>
          <cell r="C20">
            <v>9</v>
          </cell>
          <cell r="D20">
            <v>42614</v>
          </cell>
          <cell r="E20">
            <v>9</v>
          </cell>
          <cell r="F20">
            <v>2016</v>
          </cell>
          <cell r="L20" t="str">
            <v>Mandioca</v>
          </cell>
          <cell r="M20">
            <v>49</v>
          </cell>
          <cell r="N20">
            <v>88</v>
          </cell>
          <cell r="Q20" t="str">
            <v>Cebolla</v>
          </cell>
          <cell r="R20">
            <v>50</v>
          </cell>
          <cell r="S20">
            <v>1</v>
          </cell>
          <cell r="T20" t="str">
            <v>Cebolla</v>
          </cell>
          <cell r="U20">
            <v>348</v>
          </cell>
          <cell r="V20">
            <v>1</v>
          </cell>
        </row>
        <row r="21">
          <cell r="B21">
            <v>42644</v>
          </cell>
          <cell r="C21">
            <v>10</v>
          </cell>
          <cell r="D21">
            <v>42644</v>
          </cell>
          <cell r="E21">
            <v>10</v>
          </cell>
          <cell r="F21">
            <v>2016</v>
          </cell>
          <cell r="L21" t="str">
            <v>Maní</v>
          </cell>
          <cell r="M21">
            <v>32</v>
          </cell>
          <cell r="N21">
            <v>86</v>
          </cell>
          <cell r="Q21" t="str">
            <v>Tomate</v>
          </cell>
          <cell r="R21">
            <v>51</v>
          </cell>
          <cell r="S21">
            <v>1</v>
          </cell>
          <cell r="T21" t="str">
            <v>Redondo</v>
          </cell>
          <cell r="U21">
            <v>347</v>
          </cell>
          <cell r="V21">
            <v>1</v>
          </cell>
        </row>
        <row r="22">
          <cell r="B22">
            <v>42675</v>
          </cell>
          <cell r="C22">
            <v>11</v>
          </cell>
          <cell r="D22">
            <v>42675</v>
          </cell>
          <cell r="E22">
            <v>11</v>
          </cell>
          <cell r="F22">
            <v>2016</v>
          </cell>
          <cell r="L22" t="str">
            <v>Miel</v>
          </cell>
          <cell r="M22">
            <v>74</v>
          </cell>
          <cell r="N22">
            <v>112</v>
          </cell>
          <cell r="Q22" t="str">
            <v>Zapallo</v>
          </cell>
          <cell r="R22">
            <v>53</v>
          </cell>
          <cell r="S22">
            <v>1</v>
          </cell>
          <cell r="T22" t="str">
            <v>Zapallo Anco</v>
          </cell>
          <cell r="U22">
            <v>349</v>
          </cell>
          <cell r="V22">
            <v>1</v>
          </cell>
        </row>
        <row r="23">
          <cell r="B23">
            <v>42705</v>
          </cell>
          <cell r="C23">
            <v>12</v>
          </cell>
          <cell r="D23">
            <v>42705</v>
          </cell>
          <cell r="E23">
            <v>12</v>
          </cell>
          <cell r="F23">
            <v>2016</v>
          </cell>
          <cell r="L23" t="str">
            <v>Ovino</v>
          </cell>
          <cell r="M23">
            <v>73</v>
          </cell>
          <cell r="N23">
            <v>113</v>
          </cell>
          <cell r="Q23" t="str">
            <v>Novillito</v>
          </cell>
          <cell r="R23">
            <v>63</v>
          </cell>
          <cell r="S23">
            <v>0.55000000000000004</v>
          </cell>
          <cell r="T23" t="str">
            <v>Asado</v>
          </cell>
          <cell r="U23">
            <v>340</v>
          </cell>
          <cell r="V23">
            <v>1</v>
          </cell>
        </row>
        <row r="24">
          <cell r="B24">
            <v>42736</v>
          </cell>
          <cell r="C24">
            <v>13</v>
          </cell>
          <cell r="D24">
            <v>42736</v>
          </cell>
          <cell r="E24">
            <v>1</v>
          </cell>
          <cell r="F24">
            <v>2017</v>
          </cell>
          <cell r="G24">
            <v>42370</v>
          </cell>
          <cell r="L24" t="str">
            <v>Papa</v>
          </cell>
          <cell r="M24">
            <v>48</v>
          </cell>
          <cell r="N24">
            <v>87</v>
          </cell>
          <cell r="Q24" t="str">
            <v>Pollo</v>
          </cell>
          <cell r="R24">
            <v>67</v>
          </cell>
          <cell r="S24">
            <v>1</v>
          </cell>
          <cell r="T24" t="str">
            <v>Pollo entero</v>
          </cell>
          <cell r="U24">
            <v>339</v>
          </cell>
          <cell r="V24">
            <v>1</v>
          </cell>
        </row>
        <row r="25">
          <cell r="B25">
            <v>42767</v>
          </cell>
          <cell r="C25">
            <v>14</v>
          </cell>
          <cell r="D25">
            <v>42767</v>
          </cell>
          <cell r="E25">
            <v>2</v>
          </cell>
          <cell r="F25">
            <v>2017</v>
          </cell>
          <cell r="G25">
            <v>42401</v>
          </cell>
          <cell r="L25" t="str">
            <v>Peras y Manzanas</v>
          </cell>
          <cell r="M25">
            <v>42</v>
          </cell>
          <cell r="N25">
            <v>97</v>
          </cell>
        </row>
        <row r="26">
          <cell r="B26">
            <v>42795</v>
          </cell>
          <cell r="C26">
            <v>15</v>
          </cell>
          <cell r="D26">
            <v>42795</v>
          </cell>
          <cell r="E26">
            <v>3</v>
          </cell>
          <cell r="F26">
            <v>2017</v>
          </cell>
          <cell r="G26">
            <v>42430</v>
          </cell>
          <cell r="L26" t="str">
            <v>Porcinos</v>
          </cell>
          <cell r="M26">
            <v>70</v>
          </cell>
          <cell r="N26">
            <v>108</v>
          </cell>
        </row>
        <row r="27">
          <cell r="B27">
            <v>42826</v>
          </cell>
          <cell r="C27">
            <v>16</v>
          </cell>
          <cell r="D27">
            <v>42826</v>
          </cell>
          <cell r="E27">
            <v>4</v>
          </cell>
          <cell r="F27">
            <v>2017</v>
          </cell>
          <cell r="G27">
            <v>42461</v>
          </cell>
          <cell r="L27" t="str">
            <v>Tabaco</v>
          </cell>
          <cell r="M27">
            <v>62</v>
          </cell>
          <cell r="N27">
            <v>105</v>
          </cell>
        </row>
        <row r="28">
          <cell r="B28">
            <v>42856</v>
          </cell>
          <cell r="C28">
            <v>17</v>
          </cell>
          <cell r="D28">
            <v>42856</v>
          </cell>
          <cell r="E28">
            <v>5</v>
          </cell>
          <cell r="F28">
            <v>2017</v>
          </cell>
          <cell r="G28">
            <v>42491</v>
          </cell>
          <cell r="L28" t="str">
            <v>Vino y Mosto</v>
          </cell>
          <cell r="M28">
            <v>39</v>
          </cell>
          <cell r="N28">
            <v>94</v>
          </cell>
        </row>
        <row r="29">
          <cell r="B29">
            <v>42887</v>
          </cell>
          <cell r="C29">
            <v>18</v>
          </cell>
          <cell r="D29">
            <v>42887</v>
          </cell>
          <cell r="E29">
            <v>6</v>
          </cell>
          <cell r="F29">
            <v>2017</v>
          </cell>
          <cell r="G29">
            <v>42522</v>
          </cell>
          <cell r="L29" t="str">
            <v>Yerba Mate</v>
          </cell>
          <cell r="M29">
            <v>33</v>
          </cell>
          <cell r="N29">
            <v>103</v>
          </cell>
        </row>
        <row r="30">
          <cell r="B30">
            <v>42917</v>
          </cell>
          <cell r="C30">
            <v>19</v>
          </cell>
          <cell r="D30">
            <v>42917</v>
          </cell>
          <cell r="E30">
            <v>7</v>
          </cell>
          <cell r="F30">
            <v>2017</v>
          </cell>
          <cell r="G30">
            <v>42552</v>
          </cell>
        </row>
        <row r="31">
          <cell r="B31">
            <v>42948</v>
          </cell>
          <cell r="C31">
            <v>20</v>
          </cell>
          <cell r="D31">
            <v>42948</v>
          </cell>
          <cell r="E31">
            <v>8</v>
          </cell>
          <cell r="F31">
            <v>2017</v>
          </cell>
          <cell r="G31">
            <v>42583</v>
          </cell>
        </row>
        <row r="32">
          <cell r="B32">
            <v>42979</v>
          </cell>
          <cell r="C32">
            <v>21</v>
          </cell>
          <cell r="D32">
            <v>42979</v>
          </cell>
          <cell r="E32">
            <v>9</v>
          </cell>
          <cell r="F32">
            <v>2017</v>
          </cell>
          <cell r="G32">
            <v>42614</v>
          </cell>
        </row>
        <row r="33">
          <cell r="B33">
            <v>43009</v>
          </cell>
          <cell r="C33">
            <v>22</v>
          </cell>
          <cell r="D33">
            <v>43009</v>
          </cell>
          <cell r="E33">
            <v>10</v>
          </cell>
          <cell r="F33">
            <v>2017</v>
          </cell>
          <cell r="G33">
            <v>42644</v>
          </cell>
        </row>
        <row r="34">
          <cell r="B34">
            <v>43040</v>
          </cell>
          <cell r="C34">
            <v>23</v>
          </cell>
          <cell r="D34">
            <v>43040</v>
          </cell>
          <cell r="E34">
            <v>11</v>
          </cell>
          <cell r="F34">
            <v>2017</v>
          </cell>
          <cell r="G34">
            <v>42675</v>
          </cell>
        </row>
        <row r="35">
          <cell r="B35">
            <v>43070</v>
          </cell>
          <cell r="C35">
            <v>24</v>
          </cell>
          <cell r="D35">
            <v>43070</v>
          </cell>
          <cell r="E35">
            <v>12</v>
          </cell>
          <cell r="F35">
            <v>2017</v>
          </cell>
          <cell r="G35">
            <v>42705</v>
          </cell>
        </row>
        <row r="36">
          <cell r="B36">
            <v>43101</v>
          </cell>
          <cell r="C36">
            <v>25</v>
          </cell>
          <cell r="D36">
            <v>43101</v>
          </cell>
          <cell r="E36">
            <v>1</v>
          </cell>
          <cell r="F36">
            <v>2018</v>
          </cell>
          <cell r="G36">
            <v>42736</v>
          </cell>
        </row>
        <row r="37">
          <cell r="B37">
            <v>43132</v>
          </cell>
          <cell r="C37">
            <v>26</v>
          </cell>
          <cell r="D37">
            <v>43132</v>
          </cell>
          <cell r="E37">
            <v>2</v>
          </cell>
          <cell r="F37">
            <v>2018</v>
          </cell>
          <cell r="G37">
            <v>42767</v>
          </cell>
        </row>
        <row r="38">
          <cell r="B38">
            <v>43160</v>
          </cell>
          <cell r="C38">
            <v>27</v>
          </cell>
          <cell r="D38">
            <v>43160</v>
          </cell>
          <cell r="E38">
            <v>3</v>
          </cell>
          <cell r="F38">
            <v>2018</v>
          </cell>
          <cell r="G38">
            <v>42795</v>
          </cell>
        </row>
        <row r="39">
          <cell r="B39">
            <v>43191</v>
          </cell>
          <cell r="C39">
            <v>28</v>
          </cell>
          <cell r="D39">
            <v>43191</v>
          </cell>
          <cell r="E39">
            <v>4</v>
          </cell>
          <cell r="F39">
            <v>2018</v>
          </cell>
          <cell r="G39">
            <v>42826</v>
          </cell>
        </row>
        <row r="40">
          <cell r="B40">
            <v>43221</v>
          </cell>
          <cell r="C40">
            <v>29</v>
          </cell>
          <cell r="D40">
            <v>43221</v>
          </cell>
          <cell r="E40">
            <v>5</v>
          </cell>
          <cell r="F40">
            <v>2018</v>
          </cell>
          <cell r="G40">
            <v>42856</v>
          </cell>
        </row>
        <row r="41">
          <cell r="B41">
            <v>43252</v>
          </cell>
          <cell r="C41">
            <v>30</v>
          </cell>
          <cell r="D41">
            <v>43252</v>
          </cell>
          <cell r="E41">
            <v>6</v>
          </cell>
          <cell r="F41">
            <v>2018</v>
          </cell>
          <cell r="G41">
            <v>42887</v>
          </cell>
        </row>
        <row r="42">
          <cell r="B42">
            <v>43282</v>
          </cell>
          <cell r="C42">
            <v>31</v>
          </cell>
          <cell r="D42">
            <v>43282</v>
          </cell>
          <cell r="E42">
            <v>7</v>
          </cell>
          <cell r="F42">
            <v>2018</v>
          </cell>
          <cell r="G42">
            <v>42917</v>
          </cell>
        </row>
        <row r="43">
          <cell r="B43">
            <v>43313</v>
          </cell>
          <cell r="C43">
            <v>32</v>
          </cell>
          <cell r="D43">
            <v>43313</v>
          </cell>
          <cell r="E43">
            <v>8</v>
          </cell>
          <cell r="F43">
            <v>2018</v>
          </cell>
          <cell r="G43">
            <v>42948</v>
          </cell>
        </row>
        <row r="44">
          <cell r="B44">
            <v>43344</v>
          </cell>
          <cell r="C44">
            <v>33</v>
          </cell>
          <cell r="D44">
            <v>43344</v>
          </cell>
          <cell r="E44">
            <v>9</v>
          </cell>
          <cell r="F44">
            <v>2018</v>
          </cell>
          <cell r="G44">
            <v>42979</v>
          </cell>
        </row>
        <row r="45">
          <cell r="B45">
            <v>43374</v>
          </cell>
          <cell r="C45">
            <v>34</v>
          </cell>
          <cell r="D45">
            <v>43374</v>
          </cell>
          <cell r="E45">
            <v>10</v>
          </cell>
          <cell r="F45">
            <v>2018</v>
          </cell>
          <cell r="G45">
            <v>43009</v>
          </cell>
        </row>
        <row r="46">
          <cell r="B46">
            <v>43405</v>
          </cell>
          <cell r="C46">
            <v>35</v>
          </cell>
          <cell r="D46">
            <v>43405</v>
          </cell>
          <cell r="E46">
            <v>11</v>
          </cell>
          <cell r="F46">
            <v>2018</v>
          </cell>
          <cell r="G46">
            <v>43040</v>
          </cell>
        </row>
        <row r="47">
          <cell r="B47">
            <v>43435</v>
          </cell>
          <cell r="C47">
            <v>36</v>
          </cell>
          <cell r="D47">
            <v>43435</v>
          </cell>
          <cell r="E47">
            <v>12</v>
          </cell>
          <cell r="F47">
            <v>2018</v>
          </cell>
          <cell r="G47">
            <v>43070</v>
          </cell>
        </row>
        <row r="48">
          <cell r="B48">
            <v>43466</v>
          </cell>
          <cell r="C48">
            <v>37</v>
          </cell>
          <cell r="D48">
            <v>43466</v>
          </cell>
          <cell r="E48">
            <v>1</v>
          </cell>
          <cell r="F48">
            <v>2019</v>
          </cell>
          <cell r="G48">
            <v>43101</v>
          </cell>
        </row>
        <row r="49">
          <cell r="B49">
            <v>43497</v>
          </cell>
          <cell r="C49">
            <v>38</v>
          </cell>
          <cell r="D49">
            <v>43497</v>
          </cell>
          <cell r="E49">
            <v>2</v>
          </cell>
          <cell r="F49">
            <v>2019</v>
          </cell>
          <cell r="G49">
            <v>43132</v>
          </cell>
        </row>
        <row r="50">
          <cell r="B50">
            <v>43525</v>
          </cell>
          <cell r="C50">
            <v>39</v>
          </cell>
          <cell r="D50">
            <v>43525</v>
          </cell>
          <cell r="E50">
            <v>3</v>
          </cell>
          <cell r="F50">
            <v>2019</v>
          </cell>
          <cell r="G50">
            <v>43160</v>
          </cell>
        </row>
        <row r="51">
          <cell r="B51">
            <v>43556</v>
          </cell>
          <cell r="C51">
            <v>40</v>
          </cell>
          <cell r="D51">
            <v>43556</v>
          </cell>
          <cell r="E51">
            <v>4</v>
          </cell>
          <cell r="F51">
            <v>2019</v>
          </cell>
          <cell r="G51">
            <v>43191</v>
          </cell>
        </row>
        <row r="52">
          <cell r="B52">
            <v>43586</v>
          </cell>
          <cell r="C52">
            <v>41</v>
          </cell>
          <cell r="D52">
            <v>43586</v>
          </cell>
          <cell r="E52">
            <v>5</v>
          </cell>
          <cell r="F52">
            <v>2019</v>
          </cell>
          <cell r="G52">
            <v>43221</v>
          </cell>
        </row>
        <row r="53">
          <cell r="B53">
            <v>43617</v>
          </cell>
          <cell r="C53">
            <v>42</v>
          </cell>
          <cell r="D53">
            <v>43617</v>
          </cell>
          <cell r="E53">
            <v>6</v>
          </cell>
          <cell r="F53">
            <v>2019</v>
          </cell>
          <cell r="G53">
            <v>43252</v>
          </cell>
        </row>
        <row r="54">
          <cell r="B54">
            <v>43647</v>
          </cell>
          <cell r="C54">
            <v>43</v>
          </cell>
          <cell r="D54">
            <v>43647</v>
          </cell>
          <cell r="E54">
            <v>7</v>
          </cell>
          <cell r="F54">
            <v>2019</v>
          </cell>
          <cell r="G54">
            <v>43282</v>
          </cell>
        </row>
        <row r="55">
          <cell r="B55">
            <v>43678</v>
          </cell>
          <cell r="C55">
            <v>44</v>
          </cell>
          <cell r="D55">
            <v>43678</v>
          </cell>
          <cell r="E55">
            <v>8</v>
          </cell>
          <cell r="F55">
            <v>2019</v>
          </cell>
          <cell r="G55">
            <v>43313</v>
          </cell>
        </row>
        <row r="56">
          <cell r="B56">
            <v>43709</v>
          </cell>
          <cell r="C56">
            <v>45</v>
          </cell>
          <cell r="D56">
            <v>43709</v>
          </cell>
          <cell r="E56">
            <v>9</v>
          </cell>
          <cell r="F56">
            <v>2019</v>
          </cell>
          <cell r="G56">
            <v>43344</v>
          </cell>
        </row>
        <row r="57">
          <cell r="B57">
            <v>43739</v>
          </cell>
          <cell r="C57">
            <v>46</v>
          </cell>
          <cell r="D57">
            <v>43739</v>
          </cell>
          <cell r="E57">
            <v>10</v>
          </cell>
          <cell r="F57">
            <v>2019</v>
          </cell>
          <cell r="G57">
            <v>43374</v>
          </cell>
        </row>
        <row r="58">
          <cell r="B58">
            <v>43770</v>
          </cell>
          <cell r="C58">
            <v>47</v>
          </cell>
          <cell r="D58">
            <v>43770</v>
          </cell>
          <cell r="E58">
            <v>11</v>
          </cell>
          <cell r="F58">
            <v>2019</v>
          </cell>
          <cell r="G58">
            <v>43405</v>
          </cell>
        </row>
        <row r="59">
          <cell r="B59">
            <v>43800</v>
          </cell>
          <cell r="C59">
            <v>48</v>
          </cell>
          <cell r="D59">
            <v>43800</v>
          </cell>
          <cell r="E59">
            <v>12</v>
          </cell>
          <cell r="F59">
            <v>2019</v>
          </cell>
          <cell r="G59">
            <v>43435</v>
          </cell>
        </row>
        <row r="60">
          <cell r="B60">
            <v>43831</v>
          </cell>
          <cell r="C60">
            <v>49</v>
          </cell>
          <cell r="D60">
            <v>43831</v>
          </cell>
          <cell r="E60">
            <v>1</v>
          </cell>
          <cell r="F60">
            <v>2020</v>
          </cell>
          <cell r="G60">
            <v>43466</v>
          </cell>
        </row>
        <row r="61">
          <cell r="B61">
            <v>43862</v>
          </cell>
          <cell r="C61">
            <v>50</v>
          </cell>
          <cell r="D61">
            <v>43862</v>
          </cell>
          <cell r="E61">
            <v>2</v>
          </cell>
          <cell r="F61">
            <v>2020</v>
          </cell>
          <cell r="G61">
            <v>43497</v>
          </cell>
        </row>
        <row r="62">
          <cell r="B62">
            <v>43891</v>
          </cell>
          <cell r="C62">
            <v>51</v>
          </cell>
          <cell r="D62">
            <v>43891</v>
          </cell>
          <cell r="E62">
            <v>3</v>
          </cell>
          <cell r="F62">
            <v>2020</v>
          </cell>
          <cell r="G62">
            <v>43525</v>
          </cell>
        </row>
        <row r="63">
          <cell r="B63">
            <v>43922</v>
          </cell>
          <cell r="C63">
            <v>52</v>
          </cell>
          <cell r="D63">
            <v>43922</v>
          </cell>
          <cell r="E63">
            <v>4</v>
          </cell>
          <cell r="F63">
            <v>2020</v>
          </cell>
          <cell r="G63">
            <v>43556</v>
          </cell>
        </row>
        <row r="64">
          <cell r="B64">
            <v>43952</v>
          </cell>
          <cell r="C64">
            <v>53</v>
          </cell>
          <cell r="D64">
            <v>43952</v>
          </cell>
          <cell r="E64">
            <v>5</v>
          </cell>
          <cell r="F64">
            <v>2020</v>
          </cell>
          <cell r="G64">
            <v>43586</v>
          </cell>
        </row>
        <row r="65">
          <cell r="B65">
            <v>43983</v>
          </cell>
          <cell r="C65">
            <v>54</v>
          </cell>
          <cell r="D65">
            <v>43983</v>
          </cell>
          <cell r="E65">
            <v>6</v>
          </cell>
          <cell r="F65">
            <v>2020</v>
          </cell>
          <cell r="G65">
            <v>43617</v>
          </cell>
        </row>
        <row r="66">
          <cell r="B66">
            <v>44013</v>
          </cell>
          <cell r="C66">
            <v>55</v>
          </cell>
          <cell r="D66">
            <v>44013</v>
          </cell>
          <cell r="E66">
            <v>7</v>
          </cell>
          <cell r="F66">
            <v>2020</v>
          </cell>
          <cell r="G66">
            <v>43647</v>
          </cell>
        </row>
        <row r="67">
          <cell r="B67">
            <v>44044</v>
          </cell>
          <cell r="C67">
            <v>56</v>
          </cell>
          <cell r="D67">
            <v>44044</v>
          </cell>
          <cell r="E67">
            <v>8</v>
          </cell>
          <cell r="F67">
            <v>2020</v>
          </cell>
          <cell r="G67">
            <v>43678</v>
          </cell>
        </row>
        <row r="68">
          <cell r="B68">
            <v>44075</v>
          </cell>
          <cell r="C68">
            <v>57</v>
          </cell>
          <cell r="D68">
            <v>44075</v>
          </cell>
          <cell r="E68">
            <v>9</v>
          </cell>
          <cell r="F68">
            <v>2020</v>
          </cell>
          <cell r="G68">
            <v>43709</v>
          </cell>
        </row>
        <row r="69">
          <cell r="B69">
            <v>44105</v>
          </cell>
          <cell r="C69">
            <v>58</v>
          </cell>
          <cell r="D69">
            <v>44105</v>
          </cell>
          <cell r="E69">
            <v>10</v>
          </cell>
          <cell r="F69">
            <v>2020</v>
          </cell>
          <cell r="G69">
            <v>43739</v>
          </cell>
        </row>
        <row r="70">
          <cell r="B70">
            <v>44136</v>
          </cell>
          <cell r="C70">
            <v>59</v>
          </cell>
          <cell r="D70">
            <v>44136</v>
          </cell>
          <cell r="E70">
            <v>11</v>
          </cell>
          <cell r="F70">
            <v>2020</v>
          </cell>
          <cell r="G70">
            <v>43770</v>
          </cell>
        </row>
        <row r="71">
          <cell r="B71">
            <v>44166</v>
          </cell>
          <cell r="C71">
            <v>60</v>
          </cell>
          <cell r="D71">
            <v>44166</v>
          </cell>
          <cell r="E71">
            <v>12</v>
          </cell>
          <cell r="F71">
            <v>2020</v>
          </cell>
          <cell r="G71">
            <v>43800</v>
          </cell>
        </row>
        <row r="72">
          <cell r="B72">
            <v>44197</v>
          </cell>
          <cell r="C72">
            <v>61</v>
          </cell>
          <cell r="D72">
            <v>44197</v>
          </cell>
          <cell r="E72">
            <v>1</v>
          </cell>
          <cell r="F72">
            <v>2021</v>
          </cell>
          <cell r="G72">
            <v>43831</v>
          </cell>
        </row>
        <row r="73">
          <cell r="B73">
            <v>44228</v>
          </cell>
          <cell r="C73">
            <v>62</v>
          </cell>
          <cell r="D73">
            <v>44228</v>
          </cell>
          <cell r="E73">
            <v>2</v>
          </cell>
          <cell r="F73">
            <v>2021</v>
          </cell>
          <cell r="G73">
            <v>43862</v>
          </cell>
        </row>
        <row r="74">
          <cell r="B74">
            <v>44256</v>
          </cell>
          <cell r="C74">
            <v>63</v>
          </cell>
          <cell r="D74">
            <v>44256</v>
          </cell>
          <cell r="E74">
            <v>3</v>
          </cell>
          <cell r="F74">
            <v>2021</v>
          </cell>
          <cell r="G74">
            <v>43891</v>
          </cell>
        </row>
        <row r="75">
          <cell r="B75">
            <v>44287</v>
          </cell>
          <cell r="C75">
            <v>64</v>
          </cell>
          <cell r="D75">
            <v>44287</v>
          </cell>
          <cell r="E75">
            <v>4</v>
          </cell>
          <cell r="F75">
            <v>2021</v>
          </cell>
          <cell r="G75">
            <v>43922</v>
          </cell>
        </row>
        <row r="76">
          <cell r="B76">
            <v>44317</v>
          </cell>
          <cell r="C76">
            <v>65</v>
          </cell>
          <cell r="D76">
            <v>44317</v>
          </cell>
          <cell r="E76">
            <v>5</v>
          </cell>
          <cell r="F76">
            <v>2021</v>
          </cell>
          <cell r="G76">
            <v>43952</v>
          </cell>
        </row>
        <row r="77">
          <cell r="B77">
            <v>44348</v>
          </cell>
          <cell r="C77">
            <v>66</v>
          </cell>
          <cell r="D77">
            <v>44348</v>
          </cell>
          <cell r="E77">
            <v>6</v>
          </cell>
          <cell r="F77">
            <v>2021</v>
          </cell>
          <cell r="G77">
            <v>43983</v>
          </cell>
        </row>
        <row r="78">
          <cell r="B78">
            <v>44378</v>
          </cell>
          <cell r="C78">
            <v>67</v>
          </cell>
          <cell r="D78">
            <v>44378</v>
          </cell>
          <cell r="E78">
            <v>7</v>
          </cell>
          <cell r="F78">
            <v>2021</v>
          </cell>
          <cell r="G78">
            <v>44013</v>
          </cell>
        </row>
        <row r="79">
          <cell r="B79">
            <v>44409</v>
          </cell>
          <cell r="C79">
            <v>68</v>
          </cell>
          <cell r="D79">
            <v>44409</v>
          </cell>
          <cell r="E79">
            <v>8</v>
          </cell>
          <cell r="F79">
            <v>2021</v>
          </cell>
          <cell r="G79">
            <v>44044</v>
          </cell>
        </row>
        <row r="80">
          <cell r="B80">
            <v>44440</v>
          </cell>
          <cell r="C80">
            <v>69</v>
          </cell>
          <cell r="D80">
            <v>44440</v>
          </cell>
          <cell r="E80">
            <v>9</v>
          </cell>
          <cell r="F80">
            <v>2021</v>
          </cell>
          <cell r="G80">
            <v>44075</v>
          </cell>
        </row>
        <row r="81">
          <cell r="B81">
            <v>44470</v>
          </cell>
          <cell r="C81">
            <v>70</v>
          </cell>
          <cell r="D81">
            <v>44470</v>
          </cell>
          <cell r="E81">
            <v>10</v>
          </cell>
          <cell r="F81">
            <v>2021</v>
          </cell>
          <cell r="G81">
            <v>44105</v>
          </cell>
        </row>
        <row r="82">
          <cell r="B82">
            <v>44501</v>
          </cell>
          <cell r="C82">
            <v>71</v>
          </cell>
          <cell r="D82">
            <v>44501</v>
          </cell>
          <cell r="E82">
            <v>11</v>
          </cell>
          <cell r="F82">
            <v>2021</v>
          </cell>
          <cell r="G82">
            <v>44136</v>
          </cell>
        </row>
        <row r="83">
          <cell r="B83">
            <v>44531</v>
          </cell>
          <cell r="C83">
            <v>72</v>
          </cell>
          <cell r="D83">
            <v>44531</v>
          </cell>
          <cell r="E83">
            <v>12</v>
          </cell>
          <cell r="F83">
            <v>2021</v>
          </cell>
          <cell r="G83">
            <v>44166</v>
          </cell>
        </row>
        <row r="84">
          <cell r="B84">
            <v>44562</v>
          </cell>
          <cell r="C84">
            <v>73</v>
          </cell>
          <cell r="D84">
            <v>44562</v>
          </cell>
          <cell r="E84">
            <v>1</v>
          </cell>
          <cell r="F84">
            <v>2022</v>
          </cell>
          <cell r="G84">
            <v>44197</v>
          </cell>
        </row>
        <row r="85">
          <cell r="B85">
            <v>44593</v>
          </cell>
          <cell r="C85">
            <v>74</v>
          </cell>
          <cell r="D85">
            <v>44593</v>
          </cell>
          <cell r="E85">
            <v>2</v>
          </cell>
          <cell r="F85">
            <v>2022</v>
          </cell>
          <cell r="G85">
            <v>44228</v>
          </cell>
        </row>
        <row r="86">
          <cell r="B86">
            <v>44621</v>
          </cell>
          <cell r="C86">
            <v>75</v>
          </cell>
          <cell r="D86">
            <v>44621</v>
          </cell>
          <cell r="E86">
            <v>3</v>
          </cell>
          <cell r="F86">
            <v>2022</v>
          </cell>
          <cell r="G86">
            <v>44256</v>
          </cell>
        </row>
        <row r="87">
          <cell r="B87">
            <v>44652</v>
          </cell>
          <cell r="C87">
            <v>76</v>
          </cell>
          <cell r="D87">
            <v>44652</v>
          </cell>
          <cell r="E87">
            <v>4</v>
          </cell>
          <cell r="F87">
            <v>2022</v>
          </cell>
          <cell r="G87">
            <v>44287</v>
          </cell>
        </row>
        <row r="88">
          <cell r="B88">
            <v>44682</v>
          </cell>
          <cell r="C88">
            <v>77</v>
          </cell>
          <cell r="D88">
            <v>44682</v>
          </cell>
          <cell r="E88">
            <v>5</v>
          </cell>
          <cell r="F88">
            <v>2022</v>
          </cell>
          <cell r="G88">
            <v>44317</v>
          </cell>
        </row>
        <row r="89">
          <cell r="B89">
            <v>44713</v>
          </cell>
          <cell r="C89">
            <v>78</v>
          </cell>
          <cell r="D89">
            <v>44713</v>
          </cell>
          <cell r="E89">
            <v>6</v>
          </cell>
          <cell r="F89">
            <v>2022</v>
          </cell>
          <cell r="G89">
            <v>44348</v>
          </cell>
        </row>
        <row r="90">
          <cell r="B90">
            <v>44743</v>
          </cell>
          <cell r="C90">
            <v>79</v>
          </cell>
          <cell r="D90">
            <v>44743</v>
          </cell>
          <cell r="E90">
            <v>7</v>
          </cell>
          <cell r="F90">
            <v>2022</v>
          </cell>
          <cell r="G90">
            <v>44378</v>
          </cell>
        </row>
        <row r="91">
          <cell r="B91">
            <v>44774</v>
          </cell>
          <cell r="C91">
            <v>80</v>
          </cell>
          <cell r="D91">
            <v>44774</v>
          </cell>
          <cell r="E91">
            <v>8</v>
          </cell>
          <cell r="F91">
            <v>2022</v>
          </cell>
          <cell r="G91">
            <v>44409</v>
          </cell>
        </row>
        <row r="92">
          <cell r="B92">
            <v>44805</v>
          </cell>
          <cell r="C92">
            <v>81</v>
          </cell>
          <cell r="D92">
            <v>44805</v>
          </cell>
          <cell r="E92">
            <v>9</v>
          </cell>
          <cell r="F92">
            <v>2022</v>
          </cell>
          <cell r="G92">
            <v>44440</v>
          </cell>
        </row>
        <row r="93">
          <cell r="B93">
            <v>44835</v>
          </cell>
          <cell r="C93">
            <v>82</v>
          </cell>
          <cell r="D93">
            <v>44835</v>
          </cell>
          <cell r="E93">
            <v>10</v>
          </cell>
          <cell r="F93">
            <v>2022</v>
          </cell>
          <cell r="G93">
            <v>44470</v>
          </cell>
        </row>
        <row r="94">
          <cell r="B94">
            <v>44866</v>
          </cell>
          <cell r="C94">
            <v>83</v>
          </cell>
          <cell r="D94">
            <v>44866</v>
          </cell>
          <cell r="E94">
            <v>11</v>
          </cell>
          <cell r="F94">
            <v>2022</v>
          </cell>
          <cell r="G94">
            <v>44501</v>
          </cell>
        </row>
        <row r="95">
          <cell r="B95">
            <v>44896</v>
          </cell>
          <cell r="C95">
            <v>84</v>
          </cell>
          <cell r="D95">
            <v>44896</v>
          </cell>
          <cell r="E95">
            <v>12</v>
          </cell>
          <cell r="F95">
            <v>2022</v>
          </cell>
          <cell r="G95">
            <v>44531</v>
          </cell>
        </row>
        <row r="96">
          <cell r="B96">
            <v>44927</v>
          </cell>
          <cell r="C96">
            <v>85</v>
          </cell>
          <cell r="D96">
            <v>44927</v>
          </cell>
          <cell r="E96">
            <v>1</v>
          </cell>
          <cell r="F96">
            <v>2023</v>
          </cell>
          <cell r="G96">
            <v>44562</v>
          </cell>
        </row>
        <row r="97">
          <cell r="B97">
            <v>44958</v>
          </cell>
          <cell r="C97">
            <v>86</v>
          </cell>
          <cell r="D97">
            <v>44958</v>
          </cell>
          <cell r="E97">
            <v>2</v>
          </cell>
          <cell r="F97">
            <v>2023</v>
          </cell>
          <cell r="G97">
            <v>44593</v>
          </cell>
        </row>
        <row r="98">
          <cell r="B98">
            <v>44986</v>
          </cell>
          <cell r="C98">
            <v>87</v>
          </cell>
          <cell r="D98">
            <v>44986</v>
          </cell>
          <cell r="E98">
            <v>3</v>
          </cell>
          <cell r="F98">
            <v>2023</v>
          </cell>
          <cell r="G98">
            <v>44621</v>
          </cell>
        </row>
        <row r="99">
          <cell r="B99">
            <v>45017</v>
          </cell>
          <cell r="C99">
            <v>88</v>
          </cell>
          <cell r="D99">
            <v>45017</v>
          </cell>
          <cell r="E99">
            <v>4</v>
          </cell>
          <cell r="F99">
            <v>2023</v>
          </cell>
          <cell r="G99">
            <v>44652</v>
          </cell>
        </row>
        <row r="100">
          <cell r="B100">
            <v>45047</v>
          </cell>
          <cell r="C100">
            <v>89</v>
          </cell>
          <cell r="D100">
            <v>45047</v>
          </cell>
          <cell r="E100">
            <v>5</v>
          </cell>
          <cell r="F100">
            <v>2023</v>
          </cell>
          <cell r="G100">
            <v>44682</v>
          </cell>
        </row>
        <row r="101">
          <cell r="B101">
            <v>45078</v>
          </cell>
          <cell r="C101">
            <v>90</v>
          </cell>
          <cell r="D101">
            <v>45078</v>
          </cell>
          <cell r="E101">
            <v>6</v>
          </cell>
          <cell r="F101">
            <v>2023</v>
          </cell>
          <cell r="G101">
            <v>44713</v>
          </cell>
        </row>
        <row r="102">
          <cell r="B102">
            <v>45108</v>
          </cell>
          <cell r="C102">
            <v>91</v>
          </cell>
          <cell r="D102">
            <v>45108</v>
          </cell>
          <cell r="E102">
            <v>7</v>
          </cell>
          <cell r="F102">
            <v>2023</v>
          </cell>
          <cell r="G102">
            <v>44743</v>
          </cell>
        </row>
        <row r="103">
          <cell r="B103">
            <v>45139</v>
          </cell>
          <cell r="C103">
            <v>92</v>
          </cell>
          <cell r="D103">
            <v>45139</v>
          </cell>
          <cell r="E103">
            <v>8</v>
          </cell>
          <cell r="F103">
            <v>2023</v>
          </cell>
          <cell r="G103">
            <v>44774</v>
          </cell>
        </row>
        <row r="104">
          <cell r="B104">
            <v>45170</v>
          </cell>
          <cell r="C104">
            <v>93</v>
          </cell>
          <cell r="D104">
            <v>45170</v>
          </cell>
          <cell r="E104">
            <v>9</v>
          </cell>
          <cell r="F104">
            <v>2023</v>
          </cell>
          <cell r="G104">
            <v>44805</v>
          </cell>
        </row>
        <row r="105">
          <cell r="B105">
            <v>45200</v>
          </cell>
          <cell r="C105">
            <v>94</v>
          </cell>
          <cell r="D105">
            <v>45200</v>
          </cell>
          <cell r="E105">
            <v>10</v>
          </cell>
          <cell r="F105">
            <v>2023</v>
          </cell>
          <cell r="G105">
            <v>44835</v>
          </cell>
        </row>
        <row r="106">
          <cell r="B106">
            <v>45231</v>
          </cell>
          <cell r="C106">
            <v>95</v>
          </cell>
          <cell r="D106">
            <v>45231</v>
          </cell>
          <cell r="E106">
            <v>11</v>
          </cell>
          <cell r="F106">
            <v>2023</v>
          </cell>
          <cell r="G106">
            <v>44866</v>
          </cell>
        </row>
        <row r="107">
          <cell r="B107">
            <v>45261</v>
          </cell>
          <cell r="C107">
            <v>96</v>
          </cell>
          <cell r="D107">
            <v>45261</v>
          </cell>
          <cell r="E107">
            <v>12</v>
          </cell>
          <cell r="F107">
            <v>2023</v>
          </cell>
          <cell r="G107">
            <v>44896</v>
          </cell>
        </row>
        <row r="108">
          <cell r="B108">
            <v>45292</v>
          </cell>
          <cell r="C108">
            <v>97</v>
          </cell>
          <cell r="D108">
            <v>45292</v>
          </cell>
          <cell r="E108">
            <v>1</v>
          </cell>
          <cell r="F108">
            <v>2024</v>
          </cell>
          <cell r="G108">
            <v>44927</v>
          </cell>
        </row>
        <row r="109">
          <cell r="B109">
            <v>45323</v>
          </cell>
          <cell r="C109">
            <v>98</v>
          </cell>
          <cell r="D109">
            <v>45323</v>
          </cell>
          <cell r="E109">
            <v>2</v>
          </cell>
          <cell r="F109">
            <v>2024</v>
          </cell>
          <cell r="G109">
            <v>44958</v>
          </cell>
        </row>
        <row r="110">
          <cell r="B110">
            <v>45352</v>
          </cell>
          <cell r="C110">
            <v>99</v>
          </cell>
          <cell r="D110">
            <v>45352</v>
          </cell>
          <cell r="E110">
            <v>3</v>
          </cell>
          <cell r="F110">
            <v>2024</v>
          </cell>
          <cell r="G110">
            <v>44986</v>
          </cell>
        </row>
        <row r="111">
          <cell r="B111">
            <v>45383</v>
          </cell>
          <cell r="C111">
            <v>100</v>
          </cell>
          <cell r="D111">
            <v>45383</v>
          </cell>
          <cell r="E111">
            <v>4</v>
          </cell>
          <cell r="F111">
            <v>2024</v>
          </cell>
          <cell r="G111">
            <v>45017</v>
          </cell>
        </row>
        <row r="112">
          <cell r="B112">
            <v>45413</v>
          </cell>
          <cell r="C112">
            <v>101</v>
          </cell>
          <cell r="D112">
            <v>45413</v>
          </cell>
          <cell r="E112">
            <v>5</v>
          </cell>
          <cell r="F112">
            <v>2024</v>
          </cell>
          <cell r="G112">
            <v>45047</v>
          </cell>
        </row>
        <row r="113">
          <cell r="B113">
            <v>45444</v>
          </cell>
          <cell r="C113">
            <v>102</v>
          </cell>
          <cell r="D113">
            <v>45444</v>
          </cell>
          <cell r="E113">
            <v>6</v>
          </cell>
          <cell r="F113">
            <v>2024</v>
          </cell>
          <cell r="G113">
            <v>45078</v>
          </cell>
        </row>
        <row r="114">
          <cell r="B114">
            <v>45474</v>
          </cell>
          <cell r="C114">
            <v>103</v>
          </cell>
          <cell r="D114">
            <v>45474</v>
          </cell>
          <cell r="E114">
            <v>7</v>
          </cell>
          <cell r="F114">
            <v>2024</v>
          </cell>
          <cell r="G114">
            <v>45108</v>
          </cell>
        </row>
        <row r="115">
          <cell r="B115">
            <v>45505</v>
          </cell>
          <cell r="C115">
            <v>104</v>
          </cell>
          <cell r="D115">
            <v>45505</v>
          </cell>
          <cell r="E115">
            <v>8</v>
          </cell>
          <cell r="F115">
            <v>2024</v>
          </cell>
          <cell r="G115">
            <v>45139</v>
          </cell>
        </row>
        <row r="116">
          <cell r="B116">
            <v>45536</v>
          </cell>
          <cell r="C116">
            <v>105</v>
          </cell>
          <cell r="D116">
            <v>45536</v>
          </cell>
          <cell r="E116">
            <v>9</v>
          </cell>
          <cell r="F116">
            <v>2024</v>
          </cell>
          <cell r="G116">
            <v>45170</v>
          </cell>
        </row>
        <row r="117">
          <cell r="B117">
            <v>45566</v>
          </cell>
          <cell r="C117">
            <v>106</v>
          </cell>
          <cell r="D117">
            <v>45566</v>
          </cell>
          <cell r="E117">
            <v>10</v>
          </cell>
          <cell r="F117">
            <v>2024</v>
          </cell>
          <cell r="G117">
            <v>45200</v>
          </cell>
        </row>
        <row r="118">
          <cell r="B118">
            <v>45597</v>
          </cell>
          <cell r="C118">
            <v>107</v>
          </cell>
          <cell r="D118">
            <v>45597</v>
          </cell>
          <cell r="E118">
            <v>11</v>
          </cell>
          <cell r="F118">
            <v>2024</v>
          </cell>
          <cell r="G118">
            <v>45231</v>
          </cell>
        </row>
        <row r="119">
          <cell r="B119">
            <v>45627</v>
          </cell>
          <cell r="C119">
            <v>108</v>
          </cell>
          <cell r="D119">
            <v>45627</v>
          </cell>
          <cell r="E119">
            <v>12</v>
          </cell>
          <cell r="F119">
            <v>2024</v>
          </cell>
          <cell r="G119">
            <v>45261</v>
          </cell>
        </row>
        <row r="120">
          <cell r="B120">
            <v>45658</v>
          </cell>
          <cell r="C120">
            <v>109</v>
          </cell>
          <cell r="D120">
            <v>45658</v>
          </cell>
          <cell r="E120">
            <v>1</v>
          </cell>
          <cell r="F120">
            <v>2025</v>
          </cell>
          <cell r="G120">
            <v>45292</v>
          </cell>
        </row>
        <row r="121">
          <cell r="B121">
            <v>45689</v>
          </cell>
          <cell r="C121">
            <v>110</v>
          </cell>
          <cell r="D121">
            <v>45689</v>
          </cell>
          <cell r="E121">
            <v>2</v>
          </cell>
          <cell r="F121">
            <v>2025</v>
          </cell>
          <cell r="G121">
            <v>45323</v>
          </cell>
        </row>
        <row r="122">
          <cell r="B122">
            <v>45717</v>
          </cell>
          <cell r="C122">
            <v>111</v>
          </cell>
          <cell r="D122">
            <v>45717</v>
          </cell>
          <cell r="E122">
            <v>3</v>
          </cell>
          <cell r="F122">
            <v>2025</v>
          </cell>
          <cell r="G122">
            <v>45352</v>
          </cell>
        </row>
        <row r="123">
          <cell r="B123">
            <v>45748</v>
          </cell>
          <cell r="C123">
            <v>112</v>
          </cell>
          <cell r="D123">
            <v>45748</v>
          </cell>
          <cell r="E123">
            <v>4</v>
          </cell>
          <cell r="F123">
            <v>2025</v>
          </cell>
          <cell r="G123">
            <v>45383</v>
          </cell>
        </row>
        <row r="124">
          <cell r="B124">
            <v>45778</v>
          </cell>
          <cell r="C124">
            <v>113</v>
          </cell>
          <cell r="D124">
            <v>45778</v>
          </cell>
          <cell r="E124">
            <v>5</v>
          </cell>
          <cell r="F124">
            <v>2025</v>
          </cell>
          <cell r="G124">
            <v>45413</v>
          </cell>
        </row>
        <row r="125">
          <cell r="B125">
            <v>45809</v>
          </cell>
          <cell r="C125">
            <v>114</v>
          </cell>
          <cell r="D125">
            <v>45809</v>
          </cell>
          <cell r="E125">
            <v>6</v>
          </cell>
          <cell r="F125">
            <v>2025</v>
          </cell>
          <cell r="G125">
            <v>45444</v>
          </cell>
        </row>
        <row r="126">
          <cell r="B126">
            <v>45839</v>
          </cell>
          <cell r="C126">
            <v>115</v>
          </cell>
          <cell r="D126">
            <v>45839</v>
          </cell>
          <cell r="E126">
            <v>7</v>
          </cell>
          <cell r="F126">
            <v>2025</v>
          </cell>
          <cell r="G126">
            <v>45474</v>
          </cell>
        </row>
        <row r="127">
          <cell r="B127">
            <v>45870</v>
          </cell>
          <cell r="C127">
            <v>116</v>
          </cell>
          <cell r="D127">
            <v>45870</v>
          </cell>
          <cell r="E127">
            <v>8</v>
          </cell>
          <cell r="F127">
            <v>2025</v>
          </cell>
          <cell r="G127">
            <v>45505</v>
          </cell>
        </row>
        <row r="128">
          <cell r="B128">
            <v>45901</v>
          </cell>
          <cell r="C128">
            <v>117</v>
          </cell>
          <cell r="D128">
            <v>45901</v>
          </cell>
          <cell r="E128">
            <v>9</v>
          </cell>
          <cell r="F128">
            <v>2025</v>
          </cell>
          <cell r="G128">
            <v>45536</v>
          </cell>
        </row>
        <row r="129">
          <cell r="B129">
            <v>45931</v>
          </cell>
          <cell r="C129">
            <v>118</v>
          </cell>
          <cell r="D129">
            <v>45931</v>
          </cell>
          <cell r="E129">
            <v>10</v>
          </cell>
          <cell r="F129">
            <v>2025</v>
          </cell>
          <cell r="G129">
            <v>45566</v>
          </cell>
        </row>
        <row r="130">
          <cell r="B130">
            <v>45962</v>
          </cell>
          <cell r="C130">
            <v>119</v>
          </cell>
          <cell r="D130">
            <v>45962</v>
          </cell>
          <cell r="E130">
            <v>11</v>
          </cell>
          <cell r="F130">
            <v>2025</v>
          </cell>
          <cell r="G130">
            <v>45597</v>
          </cell>
        </row>
        <row r="131">
          <cell r="B131">
            <v>45992</v>
          </cell>
          <cell r="C131">
            <v>120</v>
          </cell>
          <cell r="D131">
            <v>45992</v>
          </cell>
          <cell r="E131">
            <v>12</v>
          </cell>
          <cell r="F131">
            <v>2025</v>
          </cell>
          <cell r="G131">
            <v>45627</v>
          </cell>
        </row>
        <row r="132">
          <cell r="B132">
            <v>46023</v>
          </cell>
          <cell r="C132">
            <v>121</v>
          </cell>
          <cell r="D132">
            <v>46023</v>
          </cell>
          <cell r="E132">
            <v>1</v>
          </cell>
          <cell r="F132">
            <v>2026</v>
          </cell>
          <cell r="G132">
            <v>45658</v>
          </cell>
        </row>
        <row r="133">
          <cell r="B133">
            <v>46054</v>
          </cell>
          <cell r="C133">
            <v>122</v>
          </cell>
          <cell r="D133">
            <v>46054</v>
          </cell>
          <cell r="E133">
            <v>2</v>
          </cell>
          <cell r="F133">
            <v>2026</v>
          </cell>
          <cell r="G133">
            <v>45689</v>
          </cell>
        </row>
        <row r="134">
          <cell r="B134">
            <v>46082</v>
          </cell>
          <cell r="C134">
            <v>123</v>
          </cell>
          <cell r="D134">
            <v>46082</v>
          </cell>
          <cell r="E134">
            <v>3</v>
          </cell>
          <cell r="F134">
            <v>2026</v>
          </cell>
          <cell r="G134">
            <v>45717</v>
          </cell>
        </row>
        <row r="135">
          <cell r="B135">
            <v>46113</v>
          </cell>
          <cell r="C135">
            <v>124</v>
          </cell>
          <cell r="D135">
            <v>46113</v>
          </cell>
          <cell r="E135">
            <v>4</v>
          </cell>
          <cell r="F135">
            <v>2026</v>
          </cell>
          <cell r="G135">
            <v>45748</v>
          </cell>
        </row>
        <row r="136">
          <cell r="B136">
            <v>46143</v>
          </cell>
          <cell r="C136">
            <v>125</v>
          </cell>
          <cell r="D136">
            <v>46143</v>
          </cell>
          <cell r="E136">
            <v>5</v>
          </cell>
          <cell r="F136">
            <v>2026</v>
          </cell>
          <cell r="G136">
            <v>45778</v>
          </cell>
        </row>
        <row r="137">
          <cell r="B137">
            <v>46174</v>
          </cell>
          <cell r="C137">
            <v>126</v>
          </cell>
          <cell r="D137">
            <v>46174</v>
          </cell>
          <cell r="E137">
            <v>6</v>
          </cell>
          <cell r="F137">
            <v>2026</v>
          </cell>
          <cell r="G137">
            <v>45809</v>
          </cell>
        </row>
        <row r="138">
          <cell r="B138">
            <v>46204</v>
          </cell>
          <cell r="C138">
            <v>127</v>
          </cell>
          <cell r="D138">
            <v>46204</v>
          </cell>
          <cell r="E138">
            <v>7</v>
          </cell>
          <cell r="F138">
            <v>2026</v>
          </cell>
          <cell r="G138">
            <v>45839</v>
          </cell>
        </row>
        <row r="139">
          <cell r="B139">
            <v>46235</v>
          </cell>
          <cell r="C139">
            <v>128</v>
          </cell>
          <cell r="D139">
            <v>46235</v>
          </cell>
          <cell r="E139">
            <v>8</v>
          </cell>
          <cell r="F139">
            <v>2026</v>
          </cell>
          <cell r="G139">
            <v>45870</v>
          </cell>
        </row>
        <row r="140">
          <cell r="B140">
            <v>46266</v>
          </cell>
          <cell r="C140">
            <v>129</v>
          </cell>
          <cell r="D140">
            <v>46266</v>
          </cell>
          <cell r="E140">
            <v>9</v>
          </cell>
          <cell r="F140">
            <v>2026</v>
          </cell>
          <cell r="G140">
            <v>45901</v>
          </cell>
        </row>
        <row r="141">
          <cell r="B141">
            <v>46296</v>
          </cell>
          <cell r="C141">
            <v>130</v>
          </cell>
          <cell r="D141">
            <v>46296</v>
          </cell>
          <cell r="E141">
            <v>10</v>
          </cell>
          <cell r="F141">
            <v>2026</v>
          </cell>
          <cell r="G141">
            <v>45931</v>
          </cell>
        </row>
        <row r="142">
          <cell r="B142">
            <v>46327</v>
          </cell>
          <cell r="C142">
            <v>131</v>
          </cell>
          <cell r="D142">
            <v>46327</v>
          </cell>
          <cell r="E142">
            <v>11</v>
          </cell>
          <cell r="F142">
            <v>2026</v>
          </cell>
          <cell r="G142">
            <v>45962</v>
          </cell>
        </row>
        <row r="143">
          <cell r="B143">
            <v>46357</v>
          </cell>
          <cell r="C143">
            <v>132</v>
          </cell>
          <cell r="D143">
            <v>46357</v>
          </cell>
          <cell r="E143">
            <v>12</v>
          </cell>
          <cell r="F143">
            <v>2026</v>
          </cell>
          <cell r="G143">
            <v>45992</v>
          </cell>
        </row>
      </sheetData>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RS + ACTS"/>
      <sheetName val="VID"/>
      <sheetName val="CAR 1"/>
      <sheetName val="CAR 2"/>
      <sheetName val="CAR 3"/>
      <sheetName val="CAR 4"/>
      <sheetName val="CAR 5"/>
      <sheetName val="CAR 7"/>
      <sheetName val="CAR 9"/>
      <sheetName val="CAR 15"/>
      <sheetName val="NACIONALES"/>
      <sheetName val="Hoja3"/>
      <sheetName val="IPC 2.0"/>
      <sheetName val="SIMULADOR PEON"/>
      <sheetName val="ZONA CENTRO"/>
      <sheetName val="SIMULADOR granos"/>
      <sheetName val="Hoja2"/>
      <sheetName val="INDUSTRIAS A FINES"/>
      <sheetName val="Hoja1"/>
      <sheetName val="IP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5">
          <cell r="D5">
            <v>9216</v>
          </cell>
        </row>
        <row r="6">
          <cell r="D6">
            <v>9216</v>
          </cell>
        </row>
        <row r="7">
          <cell r="D7">
            <v>10368</v>
          </cell>
        </row>
        <row r="8">
          <cell r="D8">
            <v>10368</v>
          </cell>
        </row>
        <row r="9">
          <cell r="D9">
            <v>10368</v>
          </cell>
        </row>
        <row r="10">
          <cell r="D10">
            <v>10368</v>
          </cell>
        </row>
        <row r="11">
          <cell r="D11">
            <v>10368</v>
          </cell>
        </row>
        <row r="12">
          <cell r="D12">
            <v>10368</v>
          </cell>
        </row>
        <row r="13">
          <cell r="D13">
            <v>10368</v>
          </cell>
        </row>
        <row r="14">
          <cell r="D14">
            <v>10368</v>
          </cell>
        </row>
        <row r="15">
          <cell r="D15">
            <v>10368</v>
          </cell>
        </row>
        <row r="16">
          <cell r="D16">
            <v>10368</v>
          </cell>
        </row>
        <row r="17">
          <cell r="D17">
            <v>12648.96</v>
          </cell>
        </row>
        <row r="18">
          <cell r="D18">
            <v>12648.96</v>
          </cell>
        </row>
        <row r="19">
          <cell r="D19">
            <v>12648.96</v>
          </cell>
        </row>
        <row r="20">
          <cell r="D20">
            <v>12648.96</v>
          </cell>
        </row>
        <row r="21">
          <cell r="D21">
            <v>12648.96</v>
          </cell>
        </row>
        <row r="22">
          <cell r="D22">
            <v>12648.96</v>
          </cell>
        </row>
        <row r="23">
          <cell r="D23">
            <v>12648.96</v>
          </cell>
        </row>
        <row r="24">
          <cell r="D24">
            <v>12648.96</v>
          </cell>
        </row>
        <row r="25">
          <cell r="D25">
            <v>12648.96</v>
          </cell>
        </row>
        <row r="26">
          <cell r="D26">
            <v>12648.96</v>
          </cell>
        </row>
        <row r="27">
          <cell r="D27">
            <v>12648.96</v>
          </cell>
        </row>
        <row r="28">
          <cell r="D28">
            <v>12939.26</v>
          </cell>
        </row>
        <row r="29">
          <cell r="D29">
            <v>15268.33</v>
          </cell>
        </row>
        <row r="30">
          <cell r="D30">
            <v>15268.33</v>
          </cell>
        </row>
        <row r="31">
          <cell r="D31">
            <v>15915.29</v>
          </cell>
        </row>
        <row r="32">
          <cell r="D32">
            <v>15915.29</v>
          </cell>
        </row>
        <row r="33">
          <cell r="D33">
            <v>15915.29</v>
          </cell>
        </row>
        <row r="34">
          <cell r="D34">
            <v>16562.259999999998</v>
          </cell>
        </row>
        <row r="35">
          <cell r="D35">
            <v>19098</v>
          </cell>
        </row>
        <row r="36">
          <cell r="D36">
            <v>19098</v>
          </cell>
        </row>
        <row r="37">
          <cell r="D37">
            <v>19098</v>
          </cell>
        </row>
        <row r="38">
          <cell r="D38">
            <v>19098</v>
          </cell>
        </row>
        <row r="39">
          <cell r="D39">
            <v>19098</v>
          </cell>
        </row>
        <row r="40">
          <cell r="D40">
            <v>19098</v>
          </cell>
        </row>
        <row r="41">
          <cell r="D41">
            <v>23490.98</v>
          </cell>
        </row>
        <row r="42">
          <cell r="D42">
            <v>23490.98</v>
          </cell>
        </row>
        <row r="43">
          <cell r="D43">
            <v>24445.89</v>
          </cell>
        </row>
        <row r="44">
          <cell r="D44">
            <v>24445.89</v>
          </cell>
        </row>
        <row r="45">
          <cell r="D45">
            <v>24445.89</v>
          </cell>
        </row>
        <row r="46">
          <cell r="D46">
            <v>24445.89</v>
          </cell>
        </row>
        <row r="47">
          <cell r="D47">
            <v>29371.74</v>
          </cell>
        </row>
        <row r="48">
          <cell r="D48">
            <v>30171.74</v>
          </cell>
        </row>
        <row r="49">
          <cell r="D49">
            <v>30971.74</v>
          </cell>
        </row>
        <row r="50">
          <cell r="D50">
            <v>31771.74</v>
          </cell>
        </row>
        <row r="51">
          <cell r="D51">
            <v>32571.74</v>
          </cell>
        </row>
        <row r="52">
          <cell r="D52">
            <v>35246.089999999997</v>
          </cell>
        </row>
        <row r="53">
          <cell r="D53">
            <v>35246.089999999997</v>
          </cell>
        </row>
        <row r="54">
          <cell r="D54">
            <v>35246.089999999997</v>
          </cell>
        </row>
        <row r="55">
          <cell r="D55">
            <v>35246.089999999997</v>
          </cell>
        </row>
        <row r="56">
          <cell r="D56">
            <v>38770.699999999997</v>
          </cell>
        </row>
        <row r="57">
          <cell r="D57">
            <v>38770.699999999997</v>
          </cell>
        </row>
        <row r="58">
          <cell r="D58">
            <v>40000</v>
          </cell>
        </row>
        <row r="59">
          <cell r="D59">
            <v>40000</v>
          </cell>
        </row>
        <row r="60">
          <cell r="D60">
            <v>40000</v>
          </cell>
        </row>
        <row r="61">
          <cell r="D61">
            <v>40000</v>
          </cell>
        </row>
        <row r="62">
          <cell r="D62">
            <v>40000</v>
          </cell>
        </row>
        <row r="63">
          <cell r="D63">
            <v>40000</v>
          </cell>
        </row>
        <row r="64">
          <cell r="D64">
            <v>40000</v>
          </cell>
        </row>
        <row r="65">
          <cell r="D65">
            <v>51660</v>
          </cell>
        </row>
        <row r="66">
          <cell r="D66">
            <v>51660</v>
          </cell>
        </row>
        <row r="67">
          <cell r="D67">
            <v>51660</v>
          </cell>
        </row>
        <row r="68">
          <cell r="D68">
            <v>51660</v>
          </cell>
        </row>
        <row r="69">
          <cell r="D69">
            <v>51660</v>
          </cell>
        </row>
        <row r="70">
          <cell r="D70">
            <v>60360</v>
          </cell>
        </row>
        <row r="71">
          <cell r="D71">
            <v>60360</v>
          </cell>
        </row>
        <row r="72">
          <cell r="D72">
            <v>60360</v>
          </cell>
        </row>
        <row r="73">
          <cell r="D73">
            <v>60360</v>
          </cell>
        </row>
        <row r="74">
          <cell r="D74">
            <v>60360</v>
          </cell>
        </row>
        <row r="75">
          <cell r="D75">
            <v>69414</v>
          </cell>
        </row>
        <row r="76">
          <cell r="D76">
            <v>69414</v>
          </cell>
        </row>
        <row r="77">
          <cell r="D77">
            <v>90238.2</v>
          </cell>
        </row>
        <row r="78">
          <cell r="D78">
            <v>90238.2</v>
          </cell>
        </row>
        <row r="79">
          <cell r="D79">
            <v>98914.95</v>
          </cell>
        </row>
        <row r="80">
          <cell r="D80">
            <v>98914.95</v>
          </cell>
        </row>
        <row r="81">
          <cell r="D81">
            <v>107591.7</v>
          </cell>
        </row>
        <row r="82">
          <cell r="D82">
            <v>107591.7</v>
          </cell>
        </row>
        <row r="83">
          <cell r="D83">
            <v>118003.8</v>
          </cell>
        </row>
        <row r="84">
          <cell r="D84">
            <v>118003.8</v>
          </cell>
        </row>
        <row r="85">
          <cell r="D85">
            <v>124945.2</v>
          </cell>
        </row>
        <row r="86">
          <cell r="D86">
            <v>124945.2</v>
          </cell>
        </row>
        <row r="87">
          <cell r="D87">
            <v>136745.57999999996</v>
          </cell>
        </row>
        <row r="88">
          <cell r="D88">
            <v>141604.55999999997</v>
          </cell>
        </row>
        <row r="89">
          <cell r="D89">
            <v>196263.92015999998</v>
          </cell>
        </row>
        <row r="90">
          <cell r="D90">
            <v>211965.0337728</v>
          </cell>
        </row>
        <row r="91">
          <cell r="D91">
            <v>226802.58613689602</v>
          </cell>
        </row>
        <row r="92">
          <cell r="D92">
            <v>260822.9740574304</v>
          </cell>
        </row>
        <row r="93">
          <cell r="D93">
            <v>294729.96068489633</v>
          </cell>
        </row>
        <row r="94">
          <cell r="D94">
            <v>333044.85557393281</v>
          </cell>
        </row>
        <row r="95">
          <cell r="D95">
            <v>379671.13535428338</v>
          </cell>
        </row>
        <row r="96">
          <cell r="D96">
            <v>472007.14999999997</v>
          </cell>
        </row>
        <row r="97">
          <cell r="D97">
            <v>514487.7994649653</v>
          </cell>
        </row>
        <row r="98">
          <cell r="D98">
            <v>550501.94542751287</v>
          </cell>
        </row>
        <row r="99">
          <cell r="D99">
            <v>578027.04269888857</v>
          </cell>
        </row>
        <row r="100">
          <cell r="D100">
            <v>618488.93568781076</v>
          </cell>
        </row>
        <row r="101">
          <cell r="D101">
            <v>640136.04843688407</v>
          </cell>
        </row>
        <row r="102">
          <cell r="D102">
            <v>659340.12988999055</v>
          </cell>
        </row>
        <row r="103">
          <cell r="D103">
            <v>675823.63313724031</v>
          </cell>
        </row>
        <row r="104">
          <cell r="D104">
            <v>702180.75482959265</v>
          </cell>
        </row>
        <row r="105">
          <cell r="D105">
            <v>727459.26200345799</v>
          </cell>
        </row>
        <row r="106">
          <cell r="D106">
            <v>752192.87691157556</v>
          </cell>
        </row>
        <row r="107">
          <cell r="D107">
            <v>773254.2774650997</v>
          </cell>
        </row>
        <row r="108">
          <cell r="D108">
            <v>802533.3274651001</v>
          </cell>
        </row>
        <row r="109">
          <cell r="D109">
            <v>820558.66</v>
          </cell>
        </row>
        <row r="110">
          <cell r="D110">
            <v>828764.25</v>
          </cell>
        </row>
        <row r="111">
          <cell r="D111">
            <v>828764.25</v>
          </cell>
        </row>
        <row r="112">
          <cell r="D112">
            <v>861195.71</v>
          </cell>
        </row>
        <row r="113">
          <cell r="D113">
            <v>891530.07</v>
          </cell>
        </row>
        <row r="114">
          <cell r="D114">
            <v>922903.02</v>
          </cell>
        </row>
        <row r="115">
          <cell r="D115">
            <v>954746.56</v>
          </cell>
        </row>
        <row r="116">
          <cell r="D116">
            <v>979158.27</v>
          </cell>
        </row>
        <row r="117">
          <cell r="D117">
            <v>1000908.17</v>
          </cell>
        </row>
        <row r="118">
          <cell r="D118">
            <v>1000908.17</v>
          </cell>
        </row>
        <row r="119">
          <cell r="D119">
            <v>1000908.17</v>
          </cell>
        </row>
        <row r="120">
          <cell r="D120">
            <v>1035939.62</v>
          </cell>
        </row>
        <row r="121">
          <cell r="D121">
            <v>1067017.3999999999</v>
          </cell>
        </row>
        <row r="122">
          <cell r="D122">
            <v>1093693.6100000001</v>
          </cell>
        </row>
        <row r="123">
          <cell r="D123">
            <v>1093693.6100000001</v>
          </cell>
        </row>
        <row r="124">
          <cell r="D124">
            <v>1144473.79</v>
          </cell>
        </row>
        <row r="125">
          <cell r="D125">
            <v>1183074.32</v>
          </cell>
        </row>
        <row r="126">
          <cell r="D126">
            <v>1216707.58</v>
          </cell>
        </row>
        <row r="127">
          <cell r="D127">
            <v>1248298.53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persons/person.xml><?xml version="1.0" encoding="utf-8"?>
<personList xmlns="http://schemas.microsoft.com/office/spreadsheetml/2018/threadedcomments" xmlns:x="http://schemas.openxmlformats.org/spreadsheetml/2006/main">
  <person displayName="CONINAGRO - Laura Zamanillo" id="{BE4421B4-AE33-467F-B182-0742C4523CF1}" userId="cf80506ac09c7bd6"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11:G143" totalsRowShown="0">
  <autoFilter ref="B11:G143" xr:uid="{00000000-0009-0000-0100-000001000000}"/>
  <tableColumns count="6">
    <tableColumn id="1" xr3:uid="{00000000-0010-0000-0000-000001000000}" name="Columna1" dataDxfId="476"/>
    <tableColumn id="2" xr3:uid="{00000000-0010-0000-0000-000002000000}" name="Columna2">
      <calculatedColumnFormula>+C11+1</calculatedColumnFormula>
    </tableColumn>
    <tableColumn id="3" xr3:uid="{00000000-0010-0000-0000-000003000000}" name="Columna3" dataDxfId="475">
      <calculatedColumnFormula>(E12&amp;"-"&amp;F12)+0</calculatedColumnFormula>
    </tableColumn>
    <tableColumn id="4" xr3:uid="{00000000-0010-0000-0000-000004000000}" name="Columna4"/>
    <tableColumn id="5" xr3:uid="{00000000-0010-0000-0000-000005000000}" name="Columna5"/>
    <tableColumn id="6" xr3:uid="{00000000-0010-0000-0000-000006000000}" name="Columna6" dataDxfId="474"/>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D1" dT="2026-04-30T15:16:41.82" personId="{BE4421B4-AE33-467F-B182-0742C4523CF1}" id="{F61B25C0-C229-43CC-B311-13A0C762EAAE}">
    <text xml:space="preserve">El puntaje del componente de mercado se construye de la siguiente manera:
La variación de cada variable (X, M y C) se pondera según su participación o importancia relativa dentro del componente. La variación final del componente de mercado (VFcm) se obtiene como la suma ponderada de las tres variaciones individuales.
Sobre esta variación final (VFcm) se asigna el siguiente puntaje:
1 si VFcm &gt; +15%
2 si +15% ≥ VFcm &gt; +3%
3 si +3% ≥ VFcm ≥ -3%
4 si -3% &gt; VFcm ≥ -15%
5 si VFcm &lt; -15%
</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fenapp.org.ar/la-superficie-sembrada-de-papa-en-el-sudeste-bonaerense-aumento-un-97/" TargetMode="External"/><Relationship Id="rId117" Type="http://schemas.openxmlformats.org/officeDocument/2006/relationships/hyperlink" Target="https://www.argentina.gob.ar/agricultura/subsecretaria-agricultura/informes-sectoriales-de-hortalizas" TargetMode="External"/><Relationship Id="rId21" Type="http://schemas.openxmlformats.org/officeDocument/2006/relationships/hyperlink" Target="https://www.magyp.gob.ar/sitio/areas/estimaciones/" TargetMode="External"/><Relationship Id="rId42" Type="http://schemas.openxmlformats.org/officeDocument/2006/relationships/hyperlink" Target="https://dinem.magyp.gob.ar/dinem_fob.WP_ConsProdf.aspx" TargetMode="External"/><Relationship Id="rId47" Type="http://schemas.openxmlformats.org/officeDocument/2006/relationships/hyperlink" Target="https://sipan.inta.gob.ar/economia/informes/?Y=MjAyNg==" TargetMode="External"/><Relationship Id="rId63" Type="http://schemas.openxmlformats.org/officeDocument/2006/relationships/hyperlink" Target="https://www.ocla.org.ar/" TargetMode="External"/><Relationship Id="rId68" Type="http://schemas.openxmlformats.org/officeDocument/2006/relationships/hyperlink" Target="https://www.magyp.gob.ar/sitio/areas/estimaciones/" TargetMode="External"/><Relationship Id="rId84" Type="http://schemas.openxmlformats.org/officeDocument/2006/relationships/hyperlink" Target="https://www.fao.org/faostat/es/" TargetMode="External"/><Relationship Id="rId89" Type="http://schemas.openxmlformats.org/officeDocument/2006/relationships/hyperlink" Target="https://www.fao.org/faostat/es/" TargetMode="External"/><Relationship Id="rId112" Type="http://schemas.openxmlformats.org/officeDocument/2006/relationships/hyperlink" Target="https://inym.org.ar/descargar/publicaciones/estadisticas/2026.html" TargetMode="External"/><Relationship Id="rId16" Type="http://schemas.openxmlformats.org/officeDocument/2006/relationships/hyperlink" Target="https://www.magyp.gob.ar/sitio/areas/estimaciones/" TargetMode="External"/><Relationship Id="rId107" Type="http://schemas.openxmlformats.org/officeDocument/2006/relationships/hyperlink" Target="https://repositorio.inta.gob.ar/handle/20.500.12123/225" TargetMode="External"/><Relationship Id="rId11" Type="http://schemas.openxmlformats.org/officeDocument/2006/relationships/hyperlink" Target="https://infopro.misiones.gob.ar/index.php/category/precios-materia-prima/" TargetMode="External"/><Relationship Id="rId32" Type="http://schemas.openxmlformats.org/officeDocument/2006/relationships/hyperlink" Target="../../../../../ZamanilloL/AppData/Roaming/Microsoft/Excel/0%20Precios%20MCBA.xlsx" TargetMode="External"/><Relationship Id="rId37" Type="http://schemas.openxmlformats.org/officeDocument/2006/relationships/hyperlink" Target="https://comex.indec.gob.ar/" TargetMode="External"/><Relationship Id="rId53" Type="http://schemas.openxmlformats.org/officeDocument/2006/relationships/hyperlink" Target="https://www.argentina.gob.ar/inv" TargetMode="External"/><Relationship Id="rId58" Type="http://schemas.openxmlformats.org/officeDocument/2006/relationships/hyperlink" Target="https://www.magyp.gob.ar/sitio/areas/aves/estadistica/huevos/index.php" TargetMode="External"/><Relationship Id="rId74" Type="http://schemas.openxmlformats.org/officeDocument/2006/relationships/hyperlink" Target="https://www.federcitrus.org/estadisticas/" TargetMode="External"/><Relationship Id="rId79" Type="http://schemas.openxmlformats.org/officeDocument/2006/relationships/hyperlink" Target="https://www.magyp.gob.ar/sitio/areas/estimaciones/" TargetMode="External"/><Relationship Id="rId102" Type="http://schemas.openxmlformats.org/officeDocument/2006/relationships/hyperlink" Target="https://www.indec.gob.ar/indec/web/Nivel4-Tema-3-5-31" TargetMode="External"/><Relationship Id="rId123" Type="http://schemas.openxmlformats.org/officeDocument/2006/relationships/vmlDrawing" Target="../drawings/vmlDrawing1.vml"/><Relationship Id="rId5" Type="http://schemas.openxmlformats.org/officeDocument/2006/relationships/hyperlink" Target="https://www.margenes.com/" TargetMode="External"/><Relationship Id="rId90" Type="http://schemas.openxmlformats.org/officeDocument/2006/relationships/hyperlink" Target="https://www.argentina.gob.ar/senasa/patagonia-norte-mensuarios-estadisticos" TargetMode="External"/><Relationship Id="rId95" Type="http://schemas.openxmlformats.org/officeDocument/2006/relationships/hyperlink" Target="https://www.fao.org/faostat/es/" TargetMode="External"/><Relationship Id="rId22" Type="http://schemas.openxmlformats.org/officeDocument/2006/relationships/hyperlink" Target="https://www.magyp.gob.ar/sitio/areas/estimaciones/" TargetMode="External"/><Relationship Id="rId27" Type="http://schemas.openxmlformats.org/officeDocument/2006/relationships/hyperlink" Target="https://www.magyp.gob.ar/sitio/areas/bovinos/informacion_interes/informes/index.php" TargetMode="External"/><Relationship Id="rId43" Type="http://schemas.openxmlformats.org/officeDocument/2006/relationships/hyperlink" Target="https://bolsamza.com.ar/estadisticas-de-uvas-del-mercado-vitivinicola/" TargetMode="External"/><Relationship Id="rId48" Type="http://schemas.openxmlformats.org/officeDocument/2006/relationships/hyperlink" Target="https://www.magyp.gob.ar/sitio/areas/prolana/calculadora/" TargetMode="External"/><Relationship Id="rId64" Type="http://schemas.openxmlformats.org/officeDocument/2006/relationships/hyperlink" Target="https://www.magyp.gob.ar/sitio/areas/porcinos/estadistica/" TargetMode="External"/><Relationship Id="rId69" Type="http://schemas.openxmlformats.org/officeDocument/2006/relationships/hyperlink" Target="https://www.federcitrus.org/estadisticas/" TargetMode="External"/><Relationship Id="rId113" Type="http://schemas.openxmlformats.org/officeDocument/2006/relationships/hyperlink" Target="https://bccba.org.ar/" TargetMode="External"/><Relationship Id="rId118" Type="http://schemas.openxmlformats.org/officeDocument/2006/relationships/hyperlink" Target="https://www.indec.gob.ar/indec/web/Nivel4-Tema-3-5-31" TargetMode="External"/><Relationship Id="rId80" Type="http://schemas.openxmlformats.org/officeDocument/2006/relationships/hyperlink" Target="https://www.mercadocentral.gob.ar/informaci%C3%B3n/precios-mayoristas" TargetMode="External"/><Relationship Id="rId85" Type="http://schemas.openxmlformats.org/officeDocument/2006/relationships/hyperlink" Target="https://www.fao.org/faostat/es/" TargetMode="External"/><Relationship Id="rId12" Type="http://schemas.openxmlformats.org/officeDocument/2006/relationships/hyperlink" Target="https://drive.google.com/drive/folders/1Gl3471K-NMJGDsoWq2Y00Eix3W-1qWhM" TargetMode="External"/><Relationship Id="rId17" Type="http://schemas.openxmlformats.org/officeDocument/2006/relationships/hyperlink" Target="https://www.magyp.gob.ar/sitio/areas/estimaciones/" TargetMode="External"/><Relationship Id="rId33" Type="http://schemas.openxmlformats.org/officeDocument/2006/relationships/hyperlink" Target="../../../../../ZamanilloL/AppData/Roaming/Microsoft/Excel/Precios%20Pollo.xlsx" TargetMode="External"/><Relationship Id="rId38" Type="http://schemas.openxmlformats.org/officeDocument/2006/relationships/hyperlink" Target="https://www.catedraavicola.com.ar/cotizaciones/" TargetMode="External"/><Relationship Id="rId59" Type="http://schemas.openxmlformats.org/officeDocument/2006/relationships/hyperlink" Target="https://www.magyp.gob.ar/sitio/areas/ss_lecheria/estadisticas/_01_primaria/index.php" TargetMode="External"/><Relationship Id="rId103" Type="http://schemas.openxmlformats.org/officeDocument/2006/relationships/hyperlink" Target="https://ipgsantacruz.org.ar/web/informes-mensuales/" TargetMode="External"/><Relationship Id="rId108" Type="http://schemas.openxmlformats.org/officeDocument/2006/relationships/hyperlink" Target="https://cem.matbarofex.com.ar/" TargetMode="External"/><Relationship Id="rId124" Type="http://schemas.openxmlformats.org/officeDocument/2006/relationships/comments" Target="../comments1.xml"/><Relationship Id="rId54" Type="http://schemas.openxmlformats.org/officeDocument/2006/relationships/hyperlink" Target="https://www.argentina.gob.ar/senasa/patagonia-norte-mensuarios-estadisticos" TargetMode="External"/><Relationship Id="rId70" Type="http://schemas.openxmlformats.org/officeDocument/2006/relationships/hyperlink" Target="https://x.com/DatosAlfa" TargetMode="External"/><Relationship Id="rId75" Type="http://schemas.openxmlformats.org/officeDocument/2006/relationships/hyperlink" Target="https://www.bolsadecereales.com/" TargetMode="External"/><Relationship Id="rId91" Type="http://schemas.openxmlformats.org/officeDocument/2006/relationships/hyperlink" Target="https://www.magyp.gob.ar/sitio/areas/tabaco/produccion_mercados/interno/index.php" TargetMode="External"/><Relationship Id="rId96" Type="http://schemas.openxmlformats.org/officeDocument/2006/relationships/hyperlink" Target="https://www.magyp.gob.ar/sitio/areas/estimaciones/" TargetMode="External"/><Relationship Id="rId1" Type="http://schemas.openxmlformats.org/officeDocument/2006/relationships/hyperlink" Target="https://www.bna.com.ar/Personas" TargetMode="External"/><Relationship Id="rId6" Type="http://schemas.openxmlformats.org/officeDocument/2006/relationships/hyperlink" Target="https://www.margenes.com/" TargetMode="External"/><Relationship Id="rId23" Type="http://schemas.openxmlformats.org/officeDocument/2006/relationships/hyperlink" Target="https://camaradelmani.org.ar/estadisticas/" TargetMode="External"/><Relationship Id="rId28" Type="http://schemas.openxmlformats.org/officeDocument/2006/relationships/hyperlink" Target="https://www.magyp.gob.ar/sitio/areas/porcinos/estadistica/" TargetMode="External"/><Relationship Id="rId49" Type="http://schemas.openxmlformats.org/officeDocument/2006/relationships/hyperlink" Target="https://www.bolsadecereales.com/pas" TargetMode="External"/><Relationship Id="rId114" Type="http://schemas.openxmlformats.org/officeDocument/2006/relationships/hyperlink" Target="https://public.tableau.com/views/Miel-PreciosZonales-vs2/Panel_Evolucion?:language=es-ES&amp;:display_count=n&amp;:origin=viz_share_link&amp;:showVizHome=no" TargetMode="External"/><Relationship Id="rId119" Type="http://schemas.openxmlformats.org/officeDocument/2006/relationships/hyperlink" Target="https://preciosdelcentral.com/buenosaires" TargetMode="External"/><Relationship Id="rId44" Type="http://schemas.openxmlformats.org/officeDocument/2006/relationships/hyperlink" Target="https://www.ctsalta.com.ar/category/precios/" TargetMode="External"/><Relationship Id="rId60" Type="http://schemas.openxmlformats.org/officeDocument/2006/relationships/hyperlink" Target="https://camaradelmani.org.ar/estadisticas/" TargetMode="External"/><Relationship Id="rId65" Type="http://schemas.openxmlformats.org/officeDocument/2006/relationships/hyperlink" Target="https://www.argentina.gob.ar/inv/vinos/estadisticas/mercado-interno/informes" TargetMode="External"/><Relationship Id="rId81" Type="http://schemas.openxmlformats.org/officeDocument/2006/relationships/hyperlink" Target="https://www.catedraavicola.com.ar/cotizaciones/" TargetMode="External"/><Relationship Id="rId86" Type="http://schemas.openxmlformats.org/officeDocument/2006/relationships/hyperlink" Target="https://www.fao.org/faostat/es/" TargetMode="External"/><Relationship Id="rId4" Type="http://schemas.openxmlformats.org/officeDocument/2006/relationships/hyperlink" Target="https://www.margenes.com/" TargetMode="External"/><Relationship Id="rId9" Type="http://schemas.openxmlformats.org/officeDocument/2006/relationships/hyperlink" Target="https://www.magyp.gob.ar/sitio/areas/ss_mercados_agropecuarios/areas/regionales/index.php" TargetMode="External"/><Relationship Id="rId13" Type="http://schemas.openxmlformats.org/officeDocument/2006/relationships/hyperlink" Target="https://drive.google.com/drive/folders/1Gl3471K-NMJGDsoWq2Y00Eix3W-1qWhM" TargetMode="External"/><Relationship Id="rId18" Type="http://schemas.openxmlformats.org/officeDocument/2006/relationships/hyperlink" Target="https://www.magyp.gob.ar/sitio/areas/estimaciones/" TargetMode="External"/><Relationship Id="rId39" Type="http://schemas.openxmlformats.org/officeDocument/2006/relationships/hyperlink" Target="https://www.magyp.gob.ar/sitio/areas/ss_mercados_agropecuarios/areas/regionales/index.php" TargetMode="External"/><Relationship Id="rId109" Type="http://schemas.openxmlformats.org/officeDocument/2006/relationships/hyperlink" Target="https://cem.matbarofex.com.ar/" TargetMode="External"/><Relationship Id="rId34" Type="http://schemas.openxmlformats.org/officeDocument/2006/relationships/hyperlink" Target="../../../../../ZamanilloL/AppData/Roaming/Microsoft/Excel/CONI_comercio_exterior.xlsx" TargetMode="External"/><Relationship Id="rId50" Type="http://schemas.openxmlformats.org/officeDocument/2006/relationships/hyperlink" Target="https://www.magyp.gob.ar/sitio/areas/estimaciones/" TargetMode="External"/><Relationship Id="rId55" Type="http://schemas.openxmlformats.org/officeDocument/2006/relationships/hyperlink" Target="https://www.magyp.gob.ar/sitio/areas/bovinos/informacion_sectorial/" TargetMode="External"/><Relationship Id="rId76" Type="http://schemas.openxmlformats.org/officeDocument/2006/relationships/hyperlink" Target="https://www.magyp.gob.ar/sitio/areas/estimaciones/" TargetMode="External"/><Relationship Id="rId97" Type="http://schemas.openxmlformats.org/officeDocument/2006/relationships/hyperlink" Target="https://www.federcitrus.org/estadisticas/" TargetMode="External"/><Relationship Id="rId104" Type="http://schemas.openxmlformats.org/officeDocument/2006/relationships/hyperlink" Target="https://www.mercadocentral.gob.ar/informaci%C3%B3n/precios-mayoristas" TargetMode="External"/><Relationship Id="rId120" Type="http://schemas.openxmlformats.org/officeDocument/2006/relationships/hyperlink" Target="https://ipcva.agrositio.com/estadisticas/vista_precios_consumidor2.php" TargetMode="External"/><Relationship Id="rId7" Type="http://schemas.openxmlformats.org/officeDocument/2006/relationships/hyperlink" Target="https://www.margenes.com/" TargetMode="External"/><Relationship Id="rId71" Type="http://schemas.openxmlformats.org/officeDocument/2006/relationships/hyperlink" Target="https://www.mercadocentral.gob.ar/informaci%C3%B3n/precios-mayoristas" TargetMode="External"/><Relationship Id="rId92" Type="http://schemas.openxmlformats.org/officeDocument/2006/relationships/hyperlink" Target="https://www.mercadocentral.gob.ar/informaci%C3%B3n/precios-mayoristas" TargetMode="External"/><Relationship Id="rId2" Type="http://schemas.openxmlformats.org/officeDocument/2006/relationships/hyperlink" Target="https://www.indec.gob.ar/indec/web/Nivel4-Tema-3-5-31" TargetMode="External"/><Relationship Id="rId29" Type="http://schemas.openxmlformats.org/officeDocument/2006/relationships/hyperlink" Target="https://www.magyp.gob.ar/sitio/areas/d_ovinos/estadistica/existencias/index.php" TargetMode="External"/><Relationship Id="rId24" Type="http://schemas.openxmlformats.org/officeDocument/2006/relationships/hyperlink" Target="https://www.argentina.gob.ar/inv/principales-datos-vitivinicolas" TargetMode="External"/><Relationship Id="rId40" Type="http://schemas.openxmlformats.org/officeDocument/2006/relationships/hyperlink" Target="https://www.bcp.org.ar/cotizaciones.asp" TargetMode="External"/><Relationship Id="rId45" Type="http://schemas.openxmlformats.org/officeDocument/2006/relationships/hyperlink" Target="https://www.magyp.gob.ar/sitio/areas/tabaco/normativa/precios/index.php" TargetMode="External"/><Relationship Id="rId66" Type="http://schemas.openxmlformats.org/officeDocument/2006/relationships/hyperlink" Target="https://www.flasite.com/index.php/es/" TargetMode="External"/><Relationship Id="rId87" Type="http://schemas.openxmlformats.org/officeDocument/2006/relationships/hyperlink" Target="https://www.fao.org/faostat/es/" TargetMode="External"/><Relationship Id="rId110" Type="http://schemas.openxmlformats.org/officeDocument/2006/relationships/hyperlink" Target="https://preciosdelcentral.com/buenosaires" TargetMode="External"/><Relationship Id="rId115" Type="http://schemas.openxmlformats.org/officeDocument/2006/relationships/hyperlink" Target="https://inym.org.ar/descargar/publicaciones/estadisticas/2026.html" TargetMode="External"/><Relationship Id="rId61" Type="http://schemas.openxmlformats.org/officeDocument/2006/relationships/hyperlink" Target="https://www.magyp.gob.ar/sitio/areas/aves/estadistica/tablero/index.php" TargetMode="External"/><Relationship Id="rId82" Type="http://schemas.openxmlformats.org/officeDocument/2006/relationships/hyperlink" Target="https://qliksensebycores.senasa.gob.ar/hub/stream/aaec8d41-5201-43ab-809f-3063750dfafd" TargetMode="External"/><Relationship Id="rId19" Type="http://schemas.openxmlformats.org/officeDocument/2006/relationships/hyperlink" Target="https://www.magyp.gob.ar/sitio/areas/estimaciones/" TargetMode="External"/><Relationship Id="rId14" Type="http://schemas.openxmlformats.org/officeDocument/2006/relationships/hyperlink" Target="https://www.magyp.gob.ar/sitio/areas/ss_lecheria/mercado_futuro/" TargetMode="External"/><Relationship Id="rId30" Type="http://schemas.openxmlformats.org/officeDocument/2006/relationships/hyperlink" Target="https://www.magyp.gob.ar/sitio/areas/aves/renavi/" TargetMode="External"/><Relationship Id="rId35" Type="http://schemas.openxmlformats.org/officeDocument/2006/relationships/hyperlink" Target="https://www.magyp.gob.ar/sitio/areas/d_ovinos/estadistica/indicadores/index.php" TargetMode="External"/><Relationship Id="rId56" Type="http://schemas.openxmlformats.org/officeDocument/2006/relationships/hyperlink" Target="https://www.magyp.gob.ar/sitio/areas/porcinos/estadistica/" TargetMode="External"/><Relationship Id="rId77" Type="http://schemas.openxmlformats.org/officeDocument/2006/relationships/hyperlink" Target="https://www.magyp.gob.ar/sitio/areas/estimaciones/" TargetMode="External"/><Relationship Id="rId100" Type="http://schemas.openxmlformats.org/officeDocument/2006/relationships/hyperlink" Target="https://ipcva.agrositio.com/estadisticas/vista_precios_consumidor2.php" TargetMode="External"/><Relationship Id="rId105" Type="http://schemas.openxmlformats.org/officeDocument/2006/relationships/hyperlink" Target="https://www.magyp.gob.ar/sitio/areas/tabaco/produccion_mercados/interno/index.php" TargetMode="External"/><Relationship Id="rId8" Type="http://schemas.openxmlformats.org/officeDocument/2006/relationships/hyperlink" Target="https://www.magyp.gob.ar/sitio/areas/ss_mercados_agropecuarios/areas/regionales/index.php" TargetMode="External"/><Relationship Id="rId51" Type="http://schemas.openxmlformats.org/officeDocument/2006/relationships/hyperlink" Target="https://www.bolsadecereales.com/" TargetMode="External"/><Relationship Id="rId72" Type="http://schemas.openxmlformats.org/officeDocument/2006/relationships/hyperlink" Target="https://www.catedraavicola.com.ar/cotizaciones/" TargetMode="External"/><Relationship Id="rId93" Type="http://schemas.openxmlformats.org/officeDocument/2006/relationships/hyperlink" Target="https://www.fao.org/faostat/es/" TargetMode="External"/><Relationship Id="rId98" Type="http://schemas.openxmlformats.org/officeDocument/2006/relationships/hyperlink" Target="https://www.mercadocentral.gob.ar/informaci%C3%B3n/precios-mayoristas" TargetMode="External"/><Relationship Id="rId121" Type="http://schemas.openxmlformats.org/officeDocument/2006/relationships/hyperlink" Target="https://bolsamza.com.ar/estadisticas-de-uvas-del-mercado-vitivinicola/" TargetMode="External"/><Relationship Id="rId3" Type="http://schemas.openxmlformats.org/officeDocument/2006/relationships/hyperlink" Target="http://trabajoagrarioweb.trabajo.gob.ar/Consultas/Consulta.asp" TargetMode="External"/><Relationship Id="rId25" Type="http://schemas.openxmlformats.org/officeDocument/2006/relationships/hyperlink" Target="https://inym.org.ar/descargar/publicaciones/estadisticas/superficie-cultivada-por-departamento.html" TargetMode="External"/><Relationship Id="rId46" Type="http://schemas.openxmlformats.org/officeDocument/2006/relationships/hyperlink" Target="https://www.mercadoagroganadero.com.ar/dll/hacienda1.dll/haciinfo000502" TargetMode="External"/><Relationship Id="rId67" Type="http://schemas.openxmlformats.org/officeDocument/2006/relationships/hyperlink" Target="https://cem.matbarofex.com.ar/" TargetMode="External"/><Relationship Id="rId116" Type="http://schemas.openxmlformats.org/officeDocument/2006/relationships/hyperlink" Target="https://preciosdelcentral.com/buenosaires" TargetMode="External"/><Relationship Id="rId20" Type="http://schemas.openxmlformats.org/officeDocument/2006/relationships/hyperlink" Target="https://www.magyp.gob.ar/sitio/areas/estimaciones/" TargetMode="External"/><Relationship Id="rId41" Type="http://schemas.openxmlformats.org/officeDocument/2006/relationships/hyperlink" Target="https://www.cac.bcr.com.ar/es/precios-de-pizarra/consultas" TargetMode="External"/><Relationship Id="rId62" Type="http://schemas.openxmlformats.org/officeDocument/2006/relationships/hyperlink" Target="https://www.magyp.gob.ar/sitio/areas/bovinos/informacion_sectorial/" TargetMode="External"/><Relationship Id="rId83" Type="http://schemas.openxmlformats.org/officeDocument/2006/relationships/hyperlink" Target="https://www.fao.org/faostat/es/" TargetMode="External"/><Relationship Id="rId88" Type="http://schemas.openxmlformats.org/officeDocument/2006/relationships/hyperlink" Target="https://www.fao.org/faostat/es/" TargetMode="External"/><Relationship Id="rId111" Type="http://schemas.openxmlformats.org/officeDocument/2006/relationships/hyperlink" Target="https://www.rosgan.com.ar/indices" TargetMode="External"/><Relationship Id="rId15" Type="http://schemas.openxmlformats.org/officeDocument/2006/relationships/hyperlink" Target="https://www.magyp.gob.ar/sitio/areas/porcinos/informes/" TargetMode="External"/><Relationship Id="rId36" Type="http://schemas.openxmlformats.org/officeDocument/2006/relationships/hyperlink" Target="https://www.mercadocentral.gob.ar/informaci%C3%B3n/precios-mayoristas" TargetMode="External"/><Relationship Id="rId57" Type="http://schemas.openxmlformats.org/officeDocument/2006/relationships/hyperlink" Target="https://www.magyp.gob.ar/sitio/areas/aves/estadistica/carne/index.php" TargetMode="External"/><Relationship Id="rId106" Type="http://schemas.openxmlformats.org/officeDocument/2006/relationships/hyperlink" Target="https://www.fao.org/faostat/es/" TargetMode="External"/><Relationship Id="rId10" Type="http://schemas.openxmlformats.org/officeDocument/2006/relationships/hyperlink" Target="https://infopro.misiones.gob.ar/index.php/category/precios-materia-prima/" TargetMode="External"/><Relationship Id="rId31" Type="http://schemas.openxmlformats.org/officeDocument/2006/relationships/hyperlink" Target="https://www.flasite.com/index.php/es/" TargetMode="External"/><Relationship Id="rId52" Type="http://schemas.openxmlformats.org/officeDocument/2006/relationships/hyperlink" Target="https://camaradelmani.org.ar/2025/04/16/tabla-de-oferta-y-demanda-2025/" TargetMode="External"/><Relationship Id="rId73" Type="http://schemas.openxmlformats.org/officeDocument/2006/relationships/hyperlink" Target="https://repositorio.inta.gob.ar/handle/20.500.12123/225" TargetMode="External"/><Relationship Id="rId78" Type="http://schemas.openxmlformats.org/officeDocument/2006/relationships/hyperlink" Target="https://www.magyp.gob.ar/sitio/areas/estimaciones/" TargetMode="External"/><Relationship Id="rId94" Type="http://schemas.openxmlformats.org/officeDocument/2006/relationships/hyperlink" Target="https://www.fao.org/faostat/es/" TargetMode="External"/><Relationship Id="rId99" Type="http://schemas.openxmlformats.org/officeDocument/2006/relationships/hyperlink" Target="https://ipcva.agrositio.com/estadisticas/vista_precios_consumidor2.php" TargetMode="External"/><Relationship Id="rId101" Type="http://schemas.openxmlformats.org/officeDocument/2006/relationships/hyperlink" Target="https://www.indec.gob.ar/indec/web/Nivel4-Tema-3-5-31" TargetMode="External"/><Relationship Id="rId122" Type="http://schemas.openxmlformats.org/officeDocument/2006/relationships/hyperlink" Target="https://www.fao.org/faostat/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fetra.org.ar/tarifas.php?anio=2026"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4.vml"/><Relationship Id="rId3" Type="http://schemas.openxmlformats.org/officeDocument/2006/relationships/hyperlink" Target="https://www.magyp.gob.ar/sitio/areas/algodon/informes/" TargetMode="External"/><Relationship Id="rId7" Type="http://schemas.openxmlformats.org/officeDocument/2006/relationships/drawing" Target="../drawings/drawing5.xml"/><Relationship Id="rId2" Type="http://schemas.openxmlformats.org/officeDocument/2006/relationships/hyperlink" Target="https://www.argenpapa.com.ar/" TargetMode="External"/><Relationship Id="rId1" Type="http://schemas.openxmlformats.org/officeDocument/2006/relationships/hyperlink" Target="https://agrovalle.com.ar/" TargetMode="External"/><Relationship Id="rId6" Type="http://schemas.openxmlformats.org/officeDocument/2006/relationships/hyperlink" Target="https://inym.org.ar/noticias.html" TargetMode="External"/><Relationship Id="rId5" Type="http://schemas.openxmlformats.org/officeDocument/2006/relationships/hyperlink" Target="https://www.observatoriova.com/category/noticias/" TargetMode="External"/><Relationship Id="rId10" Type="http://schemas.microsoft.com/office/2017/10/relationships/threadedComment" Target="../threadedComments/threadedComment1.xml"/><Relationship Id="rId4" Type="http://schemas.openxmlformats.org/officeDocument/2006/relationships/hyperlink" Target="https://www.argentina.gob.ar/inv" TargetMode="External"/><Relationship Id="rId9"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7.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3E1A-9086-49E5-97D5-FE997D0B4E0D}">
  <dimension ref="A1:AR177"/>
  <sheetViews>
    <sheetView topLeftCell="A2" zoomScale="70" zoomScaleNormal="70" workbookViewId="0">
      <pane ySplit="1" topLeftCell="A60" activePane="bottomLeft" state="frozen"/>
      <selection activeCell="A2" sqref="A2"/>
      <selection pane="bottomLeft" activeCell="E79" sqref="E79"/>
    </sheetView>
  </sheetViews>
  <sheetFormatPr baseColWidth="10" defaultColWidth="11.5546875" defaultRowHeight="14.4"/>
  <cols>
    <col min="1" max="1" width="4" style="291" customWidth="1"/>
    <col min="2" max="2" width="14.6640625" style="291" customWidth="1"/>
    <col min="3" max="3" width="10.109375" style="291" customWidth="1"/>
    <col min="4" max="4" width="16.6640625" style="291" customWidth="1"/>
    <col min="5" max="5" width="8.88671875" style="291" customWidth="1"/>
    <col min="6" max="6" width="20" style="291" customWidth="1"/>
    <col min="7" max="7" width="7.5546875" style="356" customWidth="1"/>
    <col min="8" max="8" width="6.6640625" style="386" customWidth="1"/>
    <col min="9" max="9" width="6.33203125" style="291" customWidth="1"/>
    <col min="10" max="10" width="7.109375" style="291" customWidth="1"/>
    <col min="11" max="11" width="7.33203125" style="291" customWidth="1"/>
    <col min="12" max="13" width="7.109375" style="291" customWidth="1"/>
    <col min="14" max="14" width="6.6640625" style="291" customWidth="1"/>
    <col min="15" max="15" width="6.88671875" style="291" bestFit="1" customWidth="1"/>
    <col min="16" max="16" width="6.88671875" style="291" customWidth="1"/>
    <col min="17" max="17" width="7.44140625" style="291" bestFit="1" customWidth="1"/>
    <col min="18" max="18" width="7.44140625" style="291" customWidth="1"/>
    <col min="19" max="19" width="7.5546875" style="291" bestFit="1" customWidth="1"/>
    <col min="20" max="24" width="7.109375" style="291" customWidth="1"/>
    <col min="25" max="25" width="17.109375" style="291" customWidth="1"/>
    <col min="26" max="26" width="6.33203125" style="291" bestFit="1" customWidth="1"/>
    <col min="27" max="27" width="7.33203125" style="291" bestFit="1" customWidth="1"/>
    <col min="28" max="28" width="6.6640625" style="291" bestFit="1" customWidth="1"/>
    <col min="29" max="29" width="7.44140625" style="291" bestFit="1" customWidth="1"/>
    <col min="30" max="30" width="6.6640625" style="291" bestFit="1" customWidth="1"/>
    <col min="31" max="31" width="7.5546875" style="291" bestFit="1" customWidth="1"/>
    <col min="32" max="32" width="6.6640625" style="291" bestFit="1" customWidth="1"/>
    <col min="33" max="33" width="6" style="291" bestFit="1" customWidth="1"/>
    <col min="34" max="44" width="11.5546875" style="291"/>
    <col min="45" max="16384" width="11.5546875" style="384"/>
  </cols>
  <sheetData>
    <row r="1" spans="1:33" hidden="1">
      <c r="G1" s="1028" t="s">
        <v>667</v>
      </c>
      <c r="H1" s="1028"/>
      <c r="I1" s="1028"/>
      <c r="J1" s="1028"/>
      <c r="K1" s="1028"/>
      <c r="L1" s="1028"/>
    </row>
    <row r="2" spans="1:33">
      <c r="B2" s="287" t="s">
        <v>522</v>
      </c>
      <c r="C2" s="288"/>
      <c r="D2" s="289"/>
      <c r="E2" s="289"/>
      <c r="F2" s="290"/>
      <c r="G2" s="433">
        <v>45778</v>
      </c>
      <c r="H2" s="434">
        <v>45809</v>
      </c>
      <c r="I2" s="434">
        <v>45839</v>
      </c>
      <c r="J2" s="434">
        <v>45870</v>
      </c>
      <c r="K2" s="434">
        <v>45901</v>
      </c>
      <c r="L2" s="434">
        <v>45931</v>
      </c>
      <c r="M2" s="434">
        <v>45962</v>
      </c>
      <c r="N2" s="434">
        <v>45992</v>
      </c>
      <c r="O2" s="434">
        <v>46023</v>
      </c>
      <c r="P2" s="434">
        <v>46054</v>
      </c>
      <c r="Q2" s="434">
        <v>46082</v>
      </c>
      <c r="R2" s="434">
        <v>46113</v>
      </c>
      <c r="S2" s="434">
        <v>46143</v>
      </c>
      <c r="T2" s="434">
        <v>46174</v>
      </c>
      <c r="U2" s="434">
        <v>46204</v>
      </c>
      <c r="V2" s="434">
        <v>46235</v>
      </c>
      <c r="W2" s="434">
        <v>46266</v>
      </c>
    </row>
    <row r="3" spans="1:33">
      <c r="A3" s="432" t="s">
        <v>666</v>
      </c>
      <c r="B3" s="292" t="s">
        <v>523</v>
      </c>
      <c r="C3" s="393" t="s">
        <v>570</v>
      </c>
      <c r="D3" s="293" t="s">
        <v>524</v>
      </c>
      <c r="E3" s="294"/>
      <c r="F3" s="294"/>
      <c r="G3" s="401"/>
      <c r="H3" s="401"/>
      <c r="I3" s="401"/>
      <c r="J3" s="401"/>
      <c r="K3" s="401"/>
      <c r="L3" s="441"/>
      <c r="M3" s="441"/>
      <c r="N3" s="441"/>
      <c r="O3" s="481"/>
      <c r="P3" s="481"/>
      <c r="Q3" s="481"/>
      <c r="R3" s="481"/>
      <c r="S3" s="481"/>
      <c r="T3" s="481"/>
      <c r="U3" s="481"/>
      <c r="V3" s="481"/>
      <c r="W3" s="683"/>
      <c r="X3" s="827"/>
      <c r="Y3" s="563"/>
      <c r="Z3" s="594">
        <v>45992</v>
      </c>
      <c r="AA3" s="564">
        <v>46023</v>
      </c>
      <c r="AB3" s="566">
        <v>46054</v>
      </c>
      <c r="AC3" s="565">
        <v>46082</v>
      </c>
      <c r="AD3" s="566">
        <v>46113</v>
      </c>
      <c r="AE3" s="565">
        <v>46143</v>
      </c>
      <c r="AF3" s="566">
        <v>46174</v>
      </c>
      <c r="AG3" s="565">
        <v>46204</v>
      </c>
    </row>
    <row r="4" spans="1:33">
      <c r="B4" s="295" t="s">
        <v>525</v>
      </c>
      <c r="C4" s="388" t="s">
        <v>589</v>
      </c>
      <c r="D4" s="296" t="s">
        <v>526</v>
      </c>
      <c r="E4" s="297"/>
      <c r="F4" s="297"/>
      <c r="G4" s="402"/>
      <c r="H4" s="402"/>
      <c r="I4" s="442"/>
      <c r="J4" s="442"/>
      <c r="K4" s="442"/>
      <c r="L4" s="442"/>
      <c r="M4" s="442"/>
      <c r="N4" s="442"/>
      <c r="O4" s="442"/>
      <c r="P4" s="442"/>
      <c r="Q4" s="442"/>
      <c r="R4" s="442"/>
      <c r="S4" s="442"/>
      <c r="T4" s="442"/>
      <c r="U4" s="442"/>
      <c r="V4" s="442"/>
      <c r="W4" s="442"/>
      <c r="X4" s="828"/>
      <c r="Y4" s="560" t="s">
        <v>28</v>
      </c>
      <c r="Z4" s="586"/>
      <c r="AA4" s="561"/>
      <c r="AB4" s="567"/>
      <c r="AC4" s="560"/>
      <c r="AD4" s="567"/>
      <c r="AE4" s="560"/>
      <c r="AF4" s="567"/>
      <c r="AG4" s="560"/>
    </row>
    <row r="5" spans="1:33">
      <c r="B5" s="298" t="s">
        <v>527</v>
      </c>
      <c r="C5" s="387" t="s">
        <v>519</v>
      </c>
      <c r="D5" s="299" t="s">
        <v>528</v>
      </c>
      <c r="E5" s="300"/>
      <c r="F5" s="300"/>
      <c r="G5" s="403"/>
      <c r="H5" s="424"/>
      <c r="I5" s="424"/>
      <c r="J5" s="424"/>
      <c r="K5" s="424"/>
      <c r="L5" s="424"/>
      <c r="M5" s="424"/>
      <c r="N5" s="424"/>
      <c r="O5" s="424"/>
      <c r="P5" s="424"/>
      <c r="Q5" s="424"/>
      <c r="R5" s="424"/>
      <c r="S5" s="424"/>
      <c r="T5" s="424"/>
      <c r="U5" s="424"/>
      <c r="V5" s="424"/>
      <c r="W5" s="443"/>
      <c r="X5" s="828"/>
      <c r="Y5" s="244" t="s">
        <v>13</v>
      </c>
      <c r="Z5" s="587"/>
      <c r="AA5" s="562"/>
      <c r="AB5" s="568"/>
      <c r="AC5" s="244"/>
      <c r="AD5" s="568"/>
      <c r="AE5" s="244"/>
      <c r="AF5" s="568"/>
      <c r="AG5" s="244"/>
    </row>
    <row r="6" spans="1:33">
      <c r="Y6" s="243" t="s">
        <v>215</v>
      </c>
      <c r="Z6" s="588"/>
      <c r="AA6" s="561"/>
      <c r="AB6" s="567"/>
      <c r="AC6" s="560"/>
      <c r="AD6" s="567"/>
      <c r="AE6" s="560"/>
      <c r="AF6" s="567"/>
      <c r="AG6" s="560"/>
    </row>
    <row r="7" spans="1:33">
      <c r="B7" s="287" t="s">
        <v>529</v>
      </c>
      <c r="C7" s="301"/>
      <c r="D7" s="302" t="s">
        <v>26</v>
      </c>
      <c r="E7" s="302" t="s">
        <v>168</v>
      </c>
      <c r="F7" s="291" t="s">
        <v>530</v>
      </c>
      <c r="Y7" s="244" t="s">
        <v>77</v>
      </c>
      <c r="Z7" s="587"/>
      <c r="AA7" s="562"/>
      <c r="AB7" s="568"/>
      <c r="AC7" s="244"/>
      <c r="AD7" s="568"/>
      <c r="AE7" s="244"/>
      <c r="AF7" s="568"/>
      <c r="AG7" s="244"/>
    </row>
    <row r="8" spans="1:33">
      <c r="B8" s="303" t="s">
        <v>383</v>
      </c>
      <c r="C8" s="294"/>
      <c r="D8" s="304" t="s">
        <v>531</v>
      </c>
      <c r="E8" s="305" t="s">
        <v>532</v>
      </c>
      <c r="F8" s="306" t="s">
        <v>533</v>
      </c>
      <c r="G8" s="401"/>
      <c r="H8" s="401"/>
      <c r="I8" s="401"/>
      <c r="J8" s="401"/>
      <c r="K8" s="481"/>
      <c r="L8" s="401"/>
      <c r="M8" s="401"/>
      <c r="N8" s="401"/>
      <c r="O8" s="481"/>
      <c r="P8" s="481"/>
      <c r="Q8" s="481"/>
      <c r="R8" s="481"/>
      <c r="S8" s="481"/>
      <c r="T8" s="481"/>
      <c r="U8" s="481"/>
      <c r="V8" s="481"/>
      <c r="W8" s="683"/>
      <c r="X8" s="827"/>
      <c r="Y8" s="243" t="s">
        <v>221</v>
      </c>
      <c r="Z8" s="588"/>
      <c r="AA8" s="561"/>
      <c r="AB8" s="567"/>
      <c r="AC8" s="560"/>
      <c r="AD8" s="567"/>
      <c r="AE8" s="560"/>
      <c r="AF8" s="567"/>
      <c r="AG8" s="560"/>
    </row>
    <row r="9" spans="1:33">
      <c r="B9" s="307" t="s">
        <v>534</v>
      </c>
      <c r="C9" s="297"/>
      <c r="D9" s="308" t="s">
        <v>16</v>
      </c>
      <c r="E9" s="309" t="s">
        <v>535</v>
      </c>
      <c r="F9" s="310" t="s">
        <v>536</v>
      </c>
      <c r="G9" s="402"/>
      <c r="H9" s="402"/>
      <c r="I9" s="402"/>
      <c r="J9" s="402"/>
      <c r="K9" s="421"/>
      <c r="L9" s="402"/>
      <c r="M9" s="402"/>
      <c r="N9" s="402"/>
      <c r="O9" s="421"/>
      <c r="P9" s="421"/>
      <c r="Q9" s="421"/>
      <c r="R9" s="421"/>
      <c r="S9" s="421"/>
      <c r="T9" s="421"/>
      <c r="U9" s="421"/>
      <c r="V9" s="421"/>
      <c r="W9" s="450"/>
      <c r="X9" s="827"/>
      <c r="Y9" s="244" t="s">
        <v>116</v>
      </c>
      <c r="Z9" s="587"/>
      <c r="AA9" s="562"/>
      <c r="AB9" s="568"/>
      <c r="AC9" s="244"/>
      <c r="AD9" s="568"/>
      <c r="AE9" s="244"/>
      <c r="AF9" s="568"/>
      <c r="AG9" s="244"/>
    </row>
    <row r="10" spans="1:33">
      <c r="B10" s="311" t="s">
        <v>537</v>
      </c>
      <c r="C10" s="312"/>
      <c r="D10" s="313" t="s">
        <v>179</v>
      </c>
      <c r="E10" s="314" t="s">
        <v>384</v>
      </c>
      <c r="F10" s="315" t="s">
        <v>669</v>
      </c>
      <c r="G10" s="403"/>
      <c r="H10" s="403"/>
      <c r="I10" s="403"/>
      <c r="J10" s="403"/>
      <c r="K10" s="424"/>
      <c r="L10" s="403"/>
      <c r="M10" s="403"/>
      <c r="N10" s="403"/>
      <c r="O10" s="424"/>
      <c r="P10" s="424"/>
      <c r="Q10" s="424"/>
      <c r="R10" s="424"/>
      <c r="S10" s="424"/>
      <c r="T10" s="424"/>
      <c r="U10" s="424"/>
      <c r="V10" s="424"/>
      <c r="W10" s="451"/>
      <c r="X10" s="827"/>
      <c r="Y10" s="243" t="s">
        <v>216</v>
      </c>
      <c r="Z10" s="588"/>
      <c r="AA10" s="561"/>
      <c r="AB10" s="567"/>
      <c r="AC10" s="560"/>
      <c r="AD10" s="567"/>
      <c r="AE10" s="560"/>
      <c r="AF10" s="567"/>
      <c r="AG10" s="560"/>
    </row>
    <row r="11" spans="1:33">
      <c r="B11" s="316" t="s">
        <v>171</v>
      </c>
      <c r="C11" s="317"/>
      <c r="D11" s="317"/>
      <c r="E11" s="317"/>
      <c r="F11" s="317"/>
      <c r="G11" s="404"/>
      <c r="S11" s="683"/>
      <c r="T11" s="683"/>
      <c r="Y11" s="244" t="s">
        <v>217</v>
      </c>
      <c r="Z11" s="587"/>
      <c r="AA11" s="562"/>
      <c r="AB11" s="568"/>
      <c r="AC11" s="244"/>
      <c r="AD11" s="568"/>
      <c r="AE11" s="244"/>
      <c r="AF11" s="568"/>
      <c r="AG11" s="244"/>
    </row>
    <row r="12" spans="1:33">
      <c r="B12" s="318" t="s">
        <v>250</v>
      </c>
      <c r="C12" s="319"/>
      <c r="D12" s="320" t="s">
        <v>538</v>
      </c>
      <c r="E12" s="321" t="s">
        <v>539</v>
      </c>
      <c r="F12" s="322" t="s">
        <v>540</v>
      </c>
      <c r="G12" s="405"/>
      <c r="H12" s="435"/>
      <c r="I12" s="435"/>
      <c r="J12" s="435"/>
      <c r="K12" s="435"/>
      <c r="L12" s="435"/>
      <c r="M12" s="435"/>
      <c r="N12" s="435"/>
      <c r="O12" s="684"/>
      <c r="P12" s="684"/>
      <c r="Q12" s="684"/>
      <c r="R12" s="684"/>
      <c r="S12" s="684"/>
      <c r="T12" s="684"/>
      <c r="U12" s="684"/>
      <c r="V12" s="684"/>
      <c r="W12" s="543"/>
      <c r="X12" s="828"/>
      <c r="Y12" s="243" t="s">
        <v>65</v>
      </c>
      <c r="Z12" s="592">
        <v>3</v>
      </c>
      <c r="AA12" s="561"/>
      <c r="AB12" s="567"/>
      <c r="AC12" s="560"/>
      <c r="AD12" s="567"/>
      <c r="AE12" s="560"/>
      <c r="AF12" s="567"/>
      <c r="AG12" s="560"/>
    </row>
    <row r="13" spans="1:33">
      <c r="B13" s="323" t="s">
        <v>203</v>
      </c>
      <c r="C13" s="324"/>
      <c r="D13" s="308" t="s">
        <v>538</v>
      </c>
      <c r="E13" s="309" t="s">
        <v>539</v>
      </c>
      <c r="F13" s="310" t="s">
        <v>541</v>
      </c>
      <c r="G13" s="402"/>
      <c r="H13" s="402"/>
      <c r="I13" s="402"/>
      <c r="J13" s="402"/>
      <c r="K13" s="402"/>
      <c r="L13" s="402"/>
      <c r="M13" s="402"/>
      <c r="N13" s="402"/>
      <c r="O13" s="421"/>
      <c r="P13" s="421"/>
      <c r="Q13" s="421"/>
      <c r="R13" s="421"/>
      <c r="S13" s="421"/>
      <c r="T13" s="421"/>
      <c r="U13" s="421"/>
      <c r="V13" s="421"/>
      <c r="W13" s="442"/>
      <c r="X13" s="828"/>
      <c r="Y13" s="244" t="s">
        <v>68</v>
      </c>
      <c r="Z13" s="592" t="s">
        <v>775</v>
      </c>
      <c r="AA13" s="562"/>
      <c r="AB13" s="568"/>
      <c r="AC13" s="244"/>
      <c r="AD13" s="568"/>
      <c r="AE13" s="244"/>
      <c r="AF13" s="568"/>
      <c r="AG13" s="244"/>
    </row>
    <row r="14" spans="1:33">
      <c r="B14" s="323" t="s">
        <v>204</v>
      </c>
      <c r="C14" s="324"/>
      <c r="D14" s="308" t="s">
        <v>538</v>
      </c>
      <c r="E14" s="309" t="s">
        <v>539</v>
      </c>
      <c r="F14" s="310" t="s">
        <v>542</v>
      </c>
      <c r="G14" s="402"/>
      <c r="H14" s="402"/>
      <c r="I14" s="402"/>
      <c r="J14" s="402"/>
      <c r="K14" s="402"/>
      <c r="L14" s="402"/>
      <c r="M14" s="402"/>
      <c r="N14" s="402"/>
      <c r="O14" s="421"/>
      <c r="P14" s="421"/>
      <c r="Q14" s="421"/>
      <c r="R14" s="421"/>
      <c r="S14" s="421"/>
      <c r="T14" s="421"/>
      <c r="U14" s="421"/>
      <c r="V14" s="421"/>
      <c r="W14" s="442"/>
      <c r="X14" s="828"/>
      <c r="Y14" s="243" t="s">
        <v>25</v>
      </c>
      <c r="Z14" s="589" t="s">
        <v>768</v>
      </c>
      <c r="AA14" s="561"/>
      <c r="AB14" s="567"/>
      <c r="AC14" s="560"/>
      <c r="AD14" s="567"/>
      <c r="AE14" s="560"/>
      <c r="AF14" s="567"/>
      <c r="AG14" s="560"/>
    </row>
    <row r="15" spans="1:33">
      <c r="B15" s="325" t="s">
        <v>172</v>
      </c>
      <c r="C15" s="326"/>
      <c r="D15" s="327" t="s">
        <v>538</v>
      </c>
      <c r="E15" s="328" t="s">
        <v>539</v>
      </c>
      <c r="F15" s="329" t="s">
        <v>543</v>
      </c>
      <c r="G15" s="403"/>
      <c r="H15" s="403"/>
      <c r="I15" s="403"/>
      <c r="J15" s="403"/>
      <c r="K15" s="403"/>
      <c r="L15" s="403"/>
      <c r="M15" s="403"/>
      <c r="N15" s="403"/>
      <c r="O15" s="424"/>
      <c r="P15" s="424"/>
      <c r="Q15" s="424"/>
      <c r="R15" s="424"/>
      <c r="S15" s="424"/>
      <c r="T15" s="424"/>
      <c r="U15" s="424"/>
      <c r="V15" s="424"/>
      <c r="W15" s="443"/>
      <c r="X15" s="828"/>
      <c r="Y15" s="244" t="s">
        <v>76</v>
      </c>
      <c r="Z15" s="587"/>
      <c r="AA15" s="562"/>
      <c r="AB15" s="568"/>
      <c r="AC15" s="244"/>
      <c r="AD15" s="568"/>
      <c r="AE15" s="244"/>
      <c r="AF15" s="568"/>
      <c r="AG15" s="244"/>
    </row>
    <row r="16" spans="1:33">
      <c r="Y16" s="243" t="s">
        <v>222</v>
      </c>
      <c r="Z16" s="588"/>
      <c r="AA16" s="561"/>
      <c r="AB16" s="567"/>
      <c r="AC16" s="560"/>
      <c r="AD16" s="567"/>
      <c r="AE16" s="560"/>
      <c r="AF16" s="567"/>
      <c r="AG16" s="560"/>
    </row>
    <row r="17" spans="1:33">
      <c r="B17" s="287" t="s">
        <v>750</v>
      </c>
      <c r="D17" s="302" t="s">
        <v>26</v>
      </c>
      <c r="E17" s="302" t="s">
        <v>168</v>
      </c>
      <c r="F17" s="291" t="s">
        <v>530</v>
      </c>
      <c r="Y17" s="244" t="s">
        <v>66</v>
      </c>
      <c r="Z17" s="591" t="s">
        <v>769</v>
      </c>
      <c r="AA17" s="562"/>
      <c r="AB17" s="568"/>
      <c r="AC17" s="244"/>
      <c r="AD17" s="568"/>
      <c r="AE17" s="244"/>
      <c r="AF17" s="568"/>
      <c r="AG17" s="244"/>
    </row>
    <row r="18" spans="1:33">
      <c r="B18" s="1032" t="s">
        <v>28</v>
      </c>
      <c r="C18" s="391" t="s">
        <v>29</v>
      </c>
      <c r="D18" s="597" t="s">
        <v>412</v>
      </c>
      <c r="E18" s="542" t="s">
        <v>418</v>
      </c>
      <c r="F18" s="392" t="s">
        <v>544</v>
      </c>
      <c r="G18" s="406"/>
      <c r="H18" s="406"/>
      <c r="I18" s="406"/>
      <c r="J18" s="406"/>
      <c r="K18" s="480"/>
      <c r="L18" s="480"/>
      <c r="M18" s="480"/>
      <c r="N18" s="480"/>
      <c r="O18" s="480"/>
      <c r="P18" s="480"/>
      <c r="Q18" s="480"/>
      <c r="R18" s="480"/>
      <c r="S18" s="480"/>
      <c r="T18" s="480"/>
      <c r="U18" s="480"/>
      <c r="V18" s="480"/>
      <c r="W18" s="968"/>
      <c r="X18" s="827"/>
      <c r="Y18" s="243" t="s">
        <v>218</v>
      </c>
      <c r="Z18" s="590" t="s">
        <v>770</v>
      </c>
      <c r="AA18" s="561"/>
      <c r="AB18" s="567"/>
      <c r="AC18" s="560"/>
      <c r="AD18" s="567"/>
      <c r="AE18" s="560"/>
      <c r="AF18" s="567"/>
      <c r="AG18" s="560"/>
    </row>
    <row r="19" spans="1:33">
      <c r="B19" s="1018"/>
      <c r="C19" s="389" t="s">
        <v>30</v>
      </c>
      <c r="D19" s="598" t="s">
        <v>412</v>
      </c>
      <c r="E19" s="347" t="s">
        <v>418</v>
      </c>
      <c r="F19" s="390" t="s">
        <v>545</v>
      </c>
      <c r="G19" s="407"/>
      <c r="H19" s="407"/>
      <c r="I19" s="407"/>
      <c r="J19" s="407"/>
      <c r="K19" s="479"/>
      <c r="L19" s="479"/>
      <c r="M19" s="479"/>
      <c r="N19" s="479"/>
      <c r="O19" s="479"/>
      <c r="P19" s="479"/>
      <c r="Q19" s="479"/>
      <c r="R19" s="479"/>
      <c r="S19" s="479"/>
      <c r="T19" s="479"/>
      <c r="U19" s="479"/>
      <c r="V19" s="479"/>
      <c r="W19" s="969"/>
      <c r="X19" s="827"/>
      <c r="Y19" s="244" t="s">
        <v>121</v>
      </c>
      <c r="Z19" s="587"/>
      <c r="AA19" s="562"/>
      <c r="AB19" s="568"/>
      <c r="AC19" s="244"/>
      <c r="AD19" s="568"/>
      <c r="AE19" s="244"/>
      <c r="AF19" s="568"/>
      <c r="AG19" s="244"/>
    </row>
    <row r="20" spans="1:33" s="291" customFormat="1">
      <c r="B20" s="307" t="s">
        <v>13</v>
      </c>
      <c r="C20" s="331"/>
      <c r="D20" s="599" t="s">
        <v>412</v>
      </c>
      <c r="E20" s="393" t="s">
        <v>418</v>
      </c>
      <c r="F20" s="310" t="s">
        <v>546</v>
      </c>
      <c r="G20" s="402"/>
      <c r="H20" s="402"/>
      <c r="I20" s="402"/>
      <c r="J20" s="402"/>
      <c r="K20" s="421"/>
      <c r="L20" s="421"/>
      <c r="M20" s="421"/>
      <c r="N20" s="421"/>
      <c r="O20" s="421"/>
      <c r="P20" s="421"/>
      <c r="Q20" s="421"/>
      <c r="R20" s="421"/>
      <c r="S20" s="421"/>
      <c r="T20" s="421"/>
      <c r="U20" s="421"/>
      <c r="V20" s="421"/>
      <c r="W20" s="450"/>
      <c r="X20" s="827"/>
      <c r="Y20" s="243" t="s">
        <v>75</v>
      </c>
      <c r="Z20" s="588"/>
      <c r="AA20" s="561"/>
      <c r="AB20" s="567"/>
      <c r="AC20" s="560"/>
      <c r="AD20" s="567"/>
      <c r="AE20" s="560"/>
      <c r="AF20" s="567"/>
      <c r="AG20" s="560"/>
    </row>
    <row r="21" spans="1:33" s="291" customFormat="1">
      <c r="B21" s="1017" t="s">
        <v>216</v>
      </c>
      <c r="C21" s="332" t="s">
        <v>23</v>
      </c>
      <c r="D21" s="600" t="s">
        <v>547</v>
      </c>
      <c r="E21" s="385" t="s">
        <v>548</v>
      </c>
      <c r="F21" s="334" t="s">
        <v>549</v>
      </c>
      <c r="G21" s="408"/>
      <c r="H21" s="408"/>
      <c r="I21" s="408"/>
      <c r="J21" s="408"/>
      <c r="K21" s="408"/>
      <c r="L21" s="408"/>
      <c r="M21" s="408"/>
      <c r="N21" s="408"/>
      <c r="O21" s="685"/>
      <c r="P21" s="685"/>
      <c r="Q21" s="685"/>
      <c r="R21" s="685"/>
      <c r="S21" s="685"/>
      <c r="T21" s="685"/>
      <c r="U21" s="685"/>
      <c r="V21" s="685"/>
      <c r="W21" s="970"/>
      <c r="X21" s="828"/>
      <c r="Y21" s="244" t="s">
        <v>219</v>
      </c>
      <c r="Z21" s="587"/>
      <c r="AA21" s="562"/>
      <c r="AB21" s="568"/>
      <c r="AC21" s="244"/>
      <c r="AD21" s="568"/>
      <c r="AE21" s="244"/>
      <c r="AF21" s="568"/>
      <c r="AG21" s="244"/>
    </row>
    <row r="22" spans="1:33">
      <c r="B22" s="1022"/>
      <c r="C22" s="335" t="s">
        <v>24</v>
      </c>
      <c r="D22" s="601" t="s">
        <v>550</v>
      </c>
      <c r="E22" s="394" t="s">
        <v>517</v>
      </c>
      <c r="F22" s="337" t="s">
        <v>551</v>
      </c>
      <c r="G22" s="409"/>
      <c r="H22" s="409"/>
      <c r="I22" s="409"/>
      <c r="J22" s="409"/>
      <c r="K22" s="409"/>
      <c r="L22" s="409"/>
      <c r="M22" s="409"/>
      <c r="N22" s="409"/>
      <c r="O22" s="419"/>
      <c r="P22" s="419"/>
      <c r="Q22" s="419"/>
      <c r="R22" s="419"/>
      <c r="S22" s="419"/>
      <c r="T22" s="419"/>
      <c r="U22" s="419"/>
      <c r="V22" s="419"/>
      <c r="W22" s="971"/>
      <c r="X22" s="828"/>
      <c r="Y22" s="243" t="s">
        <v>39</v>
      </c>
      <c r="Z22" s="593" t="s">
        <v>775</v>
      </c>
      <c r="AA22" s="560"/>
      <c r="AB22" s="567"/>
      <c r="AC22" s="560"/>
      <c r="AD22" s="567"/>
      <c r="AE22" s="560"/>
      <c r="AF22" s="567"/>
      <c r="AG22" s="560"/>
    </row>
    <row r="23" spans="1:33">
      <c r="B23" s="1022"/>
      <c r="C23" s="431" t="s">
        <v>0</v>
      </c>
      <c r="D23" s="601" t="s">
        <v>553</v>
      </c>
      <c r="E23" s="394" t="s">
        <v>494</v>
      </c>
      <c r="F23" s="337" t="s">
        <v>851</v>
      </c>
      <c r="G23" s="419"/>
      <c r="H23" s="419"/>
      <c r="I23" s="409"/>
      <c r="J23" s="409"/>
      <c r="K23" s="409"/>
      <c r="L23" s="409"/>
      <c r="M23" s="409"/>
      <c r="N23" s="409"/>
      <c r="O23" s="419"/>
      <c r="P23" s="419"/>
      <c r="Q23" s="419"/>
      <c r="R23" s="419"/>
      <c r="S23" s="419"/>
      <c r="T23" s="419"/>
      <c r="U23" s="419"/>
      <c r="V23" s="419"/>
      <c r="W23" s="971"/>
      <c r="X23" s="827"/>
    </row>
    <row r="24" spans="1:33">
      <c r="B24" s="1022"/>
      <c r="C24" s="335" t="s">
        <v>12</v>
      </c>
      <c r="D24" s="601" t="s">
        <v>553</v>
      </c>
      <c r="E24" s="394" t="s">
        <v>494</v>
      </c>
      <c r="F24" s="337" t="s">
        <v>850</v>
      </c>
      <c r="G24" s="409"/>
      <c r="H24" s="409"/>
      <c r="I24" s="409"/>
      <c r="J24" s="409"/>
      <c r="K24" s="409"/>
      <c r="L24" s="409"/>
      <c r="M24" s="409"/>
      <c r="N24" s="409"/>
      <c r="O24" s="419"/>
      <c r="P24" s="419"/>
      <c r="Q24" s="419"/>
      <c r="R24" s="419"/>
      <c r="S24" s="419"/>
      <c r="T24" s="419"/>
      <c r="U24" s="419"/>
      <c r="V24" s="419"/>
      <c r="W24" s="971"/>
      <c r="X24" s="828"/>
    </row>
    <row r="25" spans="1:33">
      <c r="B25" s="1022"/>
      <c r="C25" s="335" t="s">
        <v>22</v>
      </c>
      <c r="D25" s="601" t="s">
        <v>412</v>
      </c>
      <c r="E25" s="394" t="s">
        <v>520</v>
      </c>
      <c r="F25" s="337" t="s">
        <v>554</v>
      </c>
      <c r="G25" s="409" t="s">
        <v>273</v>
      </c>
      <c r="H25" s="409"/>
      <c r="I25" s="409"/>
      <c r="J25" s="409"/>
      <c r="K25" s="409"/>
      <c r="L25" s="409"/>
      <c r="M25" s="409"/>
      <c r="N25" s="409"/>
      <c r="O25" s="419" t="s">
        <v>273</v>
      </c>
      <c r="P25" s="419" t="s">
        <v>273</v>
      </c>
      <c r="Q25" s="419" t="s">
        <v>273</v>
      </c>
      <c r="R25" s="419" t="s">
        <v>273</v>
      </c>
      <c r="S25" s="419" t="s">
        <v>273</v>
      </c>
      <c r="T25" s="419" t="s">
        <v>273</v>
      </c>
      <c r="U25" s="419" t="s">
        <v>273</v>
      </c>
      <c r="V25" s="419" t="s">
        <v>273</v>
      </c>
      <c r="W25" s="971" t="s">
        <v>273</v>
      </c>
      <c r="X25" s="828"/>
    </row>
    <row r="26" spans="1:33">
      <c r="B26" s="1018"/>
      <c r="C26" s="430" t="s">
        <v>21</v>
      </c>
      <c r="D26" s="601" t="s">
        <v>553</v>
      </c>
      <c r="E26" s="394" t="s">
        <v>494</v>
      </c>
      <c r="F26" s="337" t="s">
        <v>852</v>
      </c>
      <c r="G26" s="429"/>
      <c r="H26" s="429"/>
      <c r="I26" s="429"/>
      <c r="J26" s="429"/>
      <c r="K26" s="429"/>
      <c r="L26" s="429"/>
      <c r="M26" s="429"/>
      <c r="N26" s="429"/>
      <c r="O26" s="686"/>
      <c r="P26" s="686"/>
      <c r="Q26" s="686"/>
      <c r="R26" s="686"/>
      <c r="S26" s="686"/>
      <c r="T26" s="686"/>
      <c r="U26" s="686"/>
      <c r="V26" s="686"/>
      <c r="W26" s="972"/>
      <c r="X26" s="828"/>
    </row>
    <row r="27" spans="1:33">
      <c r="A27" s="356"/>
      <c r="B27" s="307" t="s">
        <v>556</v>
      </c>
      <c r="C27" s="493"/>
      <c r="D27" s="599" t="s">
        <v>286</v>
      </c>
      <c r="E27" s="393" t="s">
        <v>804</v>
      </c>
      <c r="F27" s="310" t="s">
        <v>557</v>
      </c>
      <c r="G27" s="402"/>
      <c r="H27" s="402"/>
      <c r="I27" s="402"/>
      <c r="J27" s="402"/>
      <c r="K27" s="402"/>
      <c r="L27" s="402"/>
      <c r="M27" s="402"/>
      <c r="N27" s="402"/>
      <c r="O27" s="402"/>
      <c r="P27" s="402"/>
      <c r="Q27" s="402"/>
      <c r="R27" s="402"/>
      <c r="S27" s="402"/>
      <c r="T27" s="421"/>
      <c r="U27" s="421"/>
      <c r="V27" s="421"/>
      <c r="W27" s="421"/>
    </row>
    <row r="28" spans="1:33">
      <c r="B28" s="1017" t="s">
        <v>39</v>
      </c>
      <c r="C28" s="341" t="s">
        <v>40</v>
      </c>
      <c r="D28" s="602" t="s">
        <v>558</v>
      </c>
      <c r="E28" s="342" t="s">
        <v>559</v>
      </c>
      <c r="F28" s="315" t="s">
        <v>668</v>
      </c>
      <c r="G28" s="408"/>
      <c r="H28" s="685"/>
      <c r="I28" s="685"/>
      <c r="J28" s="685"/>
      <c r="K28" s="685"/>
      <c r="L28" s="685"/>
      <c r="M28" s="685"/>
      <c r="N28" s="685"/>
      <c r="O28" s="685"/>
      <c r="P28" s="685"/>
      <c r="Q28" s="685"/>
      <c r="R28" s="685"/>
      <c r="S28" s="685"/>
      <c r="T28" s="685"/>
      <c r="U28" s="685"/>
      <c r="V28" s="685"/>
      <c r="W28" s="445"/>
      <c r="X28" s="828"/>
    </row>
    <row r="29" spans="1:33">
      <c r="B29" s="1018"/>
      <c r="C29" s="343" t="s">
        <v>41</v>
      </c>
      <c r="D29" s="602" t="s">
        <v>558</v>
      </c>
      <c r="E29" s="344" t="s">
        <v>559</v>
      </c>
      <c r="F29" s="315" t="s">
        <v>668</v>
      </c>
      <c r="G29" s="407"/>
      <c r="H29" s="479"/>
      <c r="I29" s="479"/>
      <c r="J29" s="479"/>
      <c r="K29" s="479"/>
      <c r="L29" s="479"/>
      <c r="M29" s="479"/>
      <c r="N29" s="479"/>
      <c r="O29" s="479"/>
      <c r="P29" s="479"/>
      <c r="Q29" s="479"/>
      <c r="R29" s="479"/>
      <c r="S29" s="479"/>
      <c r="T29" s="479"/>
      <c r="U29" s="479"/>
      <c r="V29" s="479"/>
      <c r="W29" s="444"/>
      <c r="X29" s="828"/>
    </row>
    <row r="30" spans="1:33">
      <c r="B30" s="1017" t="s">
        <v>235</v>
      </c>
      <c r="C30" s="341" t="s">
        <v>560</v>
      </c>
      <c r="D30" s="602" t="s">
        <v>561</v>
      </c>
      <c r="E30" s="388" t="s">
        <v>562</v>
      </c>
      <c r="F30" s="315" t="s">
        <v>563</v>
      </c>
      <c r="G30" s="410"/>
      <c r="H30" s="410"/>
      <c r="I30" s="410"/>
      <c r="J30" s="410"/>
      <c r="K30" s="410"/>
      <c r="L30" s="410"/>
      <c r="M30" s="410"/>
      <c r="N30" s="410"/>
      <c r="O30" s="410"/>
      <c r="P30" s="410"/>
      <c r="Q30" s="410"/>
      <c r="R30" s="410"/>
      <c r="S30" s="410"/>
      <c r="T30" s="410"/>
      <c r="U30" s="410"/>
      <c r="V30" s="410"/>
      <c r="W30" s="450"/>
      <c r="X30" s="828"/>
    </row>
    <row r="31" spans="1:33">
      <c r="B31" s="1022"/>
      <c r="C31" s="345" t="s">
        <v>564</v>
      </c>
      <c r="D31" s="601" t="s">
        <v>561</v>
      </c>
      <c r="E31" s="394" t="s">
        <v>562</v>
      </c>
      <c r="F31" s="337" t="s">
        <v>565</v>
      </c>
      <c r="G31" s="397"/>
      <c r="H31" s="397"/>
      <c r="I31" s="397"/>
      <c r="J31" s="397"/>
      <c r="K31" s="397"/>
      <c r="L31" s="397"/>
      <c r="M31" s="397"/>
      <c r="N31" s="397"/>
      <c r="O31" s="397"/>
      <c r="P31" s="397"/>
      <c r="Q31" s="397"/>
      <c r="R31" s="397"/>
      <c r="S31" s="397"/>
      <c r="T31" s="397"/>
      <c r="U31" s="397"/>
      <c r="V31" s="397"/>
      <c r="W31" s="450"/>
      <c r="X31" s="828"/>
    </row>
    <row r="32" spans="1:33">
      <c r="B32" s="1018"/>
      <c r="C32" s="346" t="s">
        <v>566</v>
      </c>
      <c r="D32" s="598" t="s">
        <v>561</v>
      </c>
      <c r="E32" s="347" t="s">
        <v>562</v>
      </c>
      <c r="F32" s="348" t="s">
        <v>567</v>
      </c>
      <c r="G32" s="407"/>
      <c r="H32" s="407"/>
      <c r="I32" s="407"/>
      <c r="J32" s="407"/>
      <c r="K32" s="407"/>
      <c r="L32" s="407"/>
      <c r="M32" s="407"/>
      <c r="N32" s="407"/>
      <c r="O32" s="407"/>
      <c r="P32" s="407"/>
      <c r="Q32" s="407"/>
      <c r="R32" s="407"/>
      <c r="S32" s="407"/>
      <c r="T32" s="407"/>
      <c r="U32" s="407"/>
      <c r="V32" s="407"/>
      <c r="W32" s="450"/>
      <c r="X32" s="828"/>
    </row>
    <row r="33" spans="2:24">
      <c r="B33" s="307" t="s">
        <v>49</v>
      </c>
      <c r="C33" s="331"/>
      <c r="D33" s="599" t="s">
        <v>561</v>
      </c>
      <c r="E33" s="309" t="s">
        <v>562</v>
      </c>
      <c r="F33" s="310" t="s">
        <v>662</v>
      </c>
      <c r="G33" s="402"/>
      <c r="H33" s="402"/>
      <c r="I33" s="402"/>
      <c r="J33" s="402"/>
      <c r="K33" s="407"/>
      <c r="L33" s="407"/>
      <c r="M33" s="407"/>
      <c r="N33" s="407"/>
      <c r="O33" s="407"/>
      <c r="P33" s="407"/>
      <c r="Q33" s="407"/>
      <c r="R33" s="407"/>
      <c r="S33" s="407"/>
      <c r="T33" s="407"/>
      <c r="U33" s="407"/>
      <c r="V33" s="421"/>
      <c r="W33" s="450"/>
      <c r="X33" s="828"/>
    </row>
    <row r="34" spans="2:24">
      <c r="B34" s="307" t="s">
        <v>568</v>
      </c>
      <c r="C34" s="331"/>
      <c r="D34" s="599" t="s">
        <v>569</v>
      </c>
      <c r="E34" s="393" t="s">
        <v>570</v>
      </c>
      <c r="F34" s="310" t="s">
        <v>834</v>
      </c>
      <c r="G34" s="402"/>
      <c r="H34" s="402"/>
      <c r="I34" s="402"/>
      <c r="J34" s="402"/>
      <c r="K34" s="402"/>
      <c r="L34" s="421"/>
      <c r="M34" s="421"/>
      <c r="N34" s="421"/>
      <c r="O34" s="421"/>
      <c r="P34" s="421"/>
      <c r="Q34" s="421"/>
      <c r="R34" s="421"/>
      <c r="S34" s="421"/>
      <c r="T34" s="421"/>
      <c r="U34" s="421"/>
      <c r="V34" s="421"/>
      <c r="W34" s="450"/>
      <c r="X34" s="827"/>
    </row>
    <row r="35" spans="2:24">
      <c r="B35" s="307" t="s">
        <v>230</v>
      </c>
      <c r="C35" s="331"/>
      <c r="D35" s="599" t="s">
        <v>569</v>
      </c>
      <c r="E35" s="393" t="s">
        <v>570</v>
      </c>
      <c r="F35" s="310" t="s">
        <v>835</v>
      </c>
      <c r="G35" s="402"/>
      <c r="H35" s="402"/>
      <c r="I35" s="402"/>
      <c r="J35" s="402"/>
      <c r="K35" s="402"/>
      <c r="L35" s="421"/>
      <c r="M35" s="421"/>
      <c r="N35" s="421"/>
      <c r="O35" s="421"/>
      <c r="P35" s="421"/>
      <c r="Q35" s="421"/>
      <c r="R35" s="421"/>
      <c r="S35" s="421"/>
      <c r="T35" s="421"/>
      <c r="U35" s="421"/>
      <c r="V35" s="421"/>
      <c r="W35" s="450"/>
      <c r="X35" s="827"/>
    </row>
    <row r="36" spans="2:24">
      <c r="B36" s="307" t="s">
        <v>214</v>
      </c>
      <c r="C36" s="331"/>
      <c r="D36" s="599" t="s">
        <v>569</v>
      </c>
      <c r="E36" s="393" t="s">
        <v>570</v>
      </c>
      <c r="F36" s="310" t="s">
        <v>836</v>
      </c>
      <c r="G36" s="402"/>
      <c r="H36" s="402"/>
      <c r="I36" s="402"/>
      <c r="J36" s="402"/>
      <c r="K36" s="402"/>
      <c r="L36" s="421"/>
      <c r="M36" s="421"/>
      <c r="N36" s="421"/>
      <c r="O36" s="421"/>
      <c r="P36" s="421"/>
      <c r="Q36" s="421"/>
      <c r="R36" s="421"/>
      <c r="S36" s="421"/>
      <c r="T36" s="421"/>
      <c r="U36" s="421"/>
      <c r="V36" s="421"/>
      <c r="W36" s="450"/>
      <c r="X36" s="827"/>
    </row>
    <row r="37" spans="2:24">
      <c r="B37" s="1029" t="s">
        <v>264</v>
      </c>
      <c r="C37" s="349" t="s">
        <v>73</v>
      </c>
      <c r="D37" s="602" t="s">
        <v>569</v>
      </c>
      <c r="E37" s="388" t="s">
        <v>570</v>
      </c>
      <c r="F37" s="315" t="s">
        <v>835</v>
      </c>
      <c r="G37" s="410"/>
      <c r="H37" s="410"/>
      <c r="I37" s="410"/>
      <c r="J37" s="410"/>
      <c r="K37" s="410"/>
      <c r="L37" s="494"/>
      <c r="M37" s="494"/>
      <c r="N37" s="494"/>
      <c r="O37" s="494"/>
      <c r="P37" s="494"/>
      <c r="Q37" s="494"/>
      <c r="R37" s="494"/>
      <c r="S37" s="494"/>
      <c r="T37" s="494"/>
      <c r="U37" s="494"/>
      <c r="V37" s="494"/>
      <c r="W37" s="988"/>
      <c r="X37" s="827"/>
    </row>
    <row r="38" spans="2:24">
      <c r="B38" s="1030"/>
      <c r="C38" s="350" t="s">
        <v>72</v>
      </c>
      <c r="D38" s="601" t="s">
        <v>569</v>
      </c>
      <c r="E38" s="336" t="s">
        <v>570</v>
      </c>
      <c r="F38" s="337" t="s">
        <v>837</v>
      </c>
      <c r="G38" s="397"/>
      <c r="H38" s="397"/>
      <c r="I38" s="397"/>
      <c r="J38" s="397"/>
      <c r="K38" s="397"/>
      <c r="L38" s="495"/>
      <c r="M38" s="495"/>
      <c r="N38" s="495"/>
      <c r="O38" s="495"/>
      <c r="P38" s="495"/>
      <c r="Q38" s="495"/>
      <c r="R38" s="495"/>
      <c r="S38" s="495"/>
      <c r="T38" s="495"/>
      <c r="U38" s="495"/>
      <c r="V38" s="495"/>
      <c r="W38" s="755"/>
      <c r="X38" s="827"/>
    </row>
    <row r="39" spans="2:24">
      <c r="B39" s="1031"/>
      <c r="C39" s="351" t="s">
        <v>115</v>
      </c>
      <c r="D39" s="598" t="s">
        <v>569</v>
      </c>
      <c r="E39" s="347" t="s">
        <v>570</v>
      </c>
      <c r="F39" s="348" t="s">
        <v>835</v>
      </c>
      <c r="G39" s="407"/>
      <c r="H39" s="407"/>
      <c r="I39" s="407"/>
      <c r="J39" s="407"/>
      <c r="K39" s="407"/>
      <c r="L39" s="479"/>
      <c r="M39" s="479"/>
      <c r="N39" s="479"/>
      <c r="O39" s="479"/>
      <c r="P39" s="479"/>
      <c r="Q39" s="479"/>
      <c r="R39" s="479"/>
      <c r="S39" s="479"/>
      <c r="T39" s="479"/>
      <c r="U39" s="479"/>
      <c r="V39" s="479"/>
      <c r="W39" s="969"/>
      <c r="X39" s="827"/>
    </row>
    <row r="40" spans="2:24">
      <c r="B40" s="1029" t="s">
        <v>217</v>
      </c>
      <c r="C40" s="352" t="s">
        <v>66</v>
      </c>
      <c r="D40" s="600" t="s">
        <v>569</v>
      </c>
      <c r="E40" s="385" t="s">
        <v>570</v>
      </c>
      <c r="F40" s="334" t="s">
        <v>838</v>
      </c>
      <c r="G40" s="410"/>
      <c r="H40" s="410"/>
      <c r="I40" s="410"/>
      <c r="J40" s="410"/>
      <c r="K40" s="410"/>
      <c r="L40" s="494"/>
      <c r="M40" s="494"/>
      <c r="N40" s="494"/>
      <c r="O40" s="494"/>
      <c r="P40" s="494"/>
      <c r="Q40" s="494"/>
      <c r="R40" s="494"/>
      <c r="S40" s="494"/>
      <c r="T40" s="494"/>
      <c r="U40" s="494"/>
      <c r="V40" s="494"/>
      <c r="W40" s="988"/>
      <c r="X40" s="827"/>
    </row>
    <row r="41" spans="2:24">
      <c r="B41" s="1030"/>
      <c r="C41" s="350" t="s">
        <v>68</v>
      </c>
      <c r="D41" s="601" t="s">
        <v>569</v>
      </c>
      <c r="E41" s="336" t="s">
        <v>570</v>
      </c>
      <c r="F41" s="337" t="s">
        <v>835</v>
      </c>
      <c r="G41" s="409"/>
      <c r="H41" s="409"/>
      <c r="I41" s="409"/>
      <c r="J41" s="409"/>
      <c r="K41" s="409"/>
      <c r="L41" s="419"/>
      <c r="M41" s="419"/>
      <c r="N41" s="419"/>
      <c r="O41" s="419"/>
      <c r="P41" s="419"/>
      <c r="Q41" s="419"/>
      <c r="R41" s="419"/>
      <c r="S41" s="419"/>
      <c r="T41" s="419"/>
      <c r="U41" s="419"/>
      <c r="V41" s="419"/>
      <c r="W41" s="971"/>
      <c r="X41" s="827"/>
    </row>
    <row r="42" spans="2:24">
      <c r="B42" s="1030"/>
      <c r="C42" s="350" t="s">
        <v>112</v>
      </c>
      <c r="D42" s="601" t="s">
        <v>569</v>
      </c>
      <c r="E42" s="336" t="s">
        <v>570</v>
      </c>
      <c r="F42" s="337" t="s">
        <v>835</v>
      </c>
      <c r="G42" s="409"/>
      <c r="H42" s="409"/>
      <c r="I42" s="409"/>
      <c r="J42" s="409"/>
      <c r="K42" s="409"/>
      <c r="L42" s="419"/>
      <c r="M42" s="419"/>
      <c r="N42" s="419"/>
      <c r="O42" s="419"/>
      <c r="P42" s="419"/>
      <c r="Q42" s="419"/>
      <c r="R42" s="419"/>
      <c r="S42" s="419"/>
      <c r="T42" s="419"/>
      <c r="U42" s="419"/>
      <c r="V42" s="419"/>
      <c r="W42" s="971"/>
      <c r="X42" s="827"/>
    </row>
    <row r="43" spans="2:24">
      <c r="B43" s="1030"/>
      <c r="C43" s="350" t="s">
        <v>69</v>
      </c>
      <c r="D43" s="601" t="s">
        <v>569</v>
      </c>
      <c r="E43" s="336" t="s">
        <v>570</v>
      </c>
      <c r="F43" s="337" t="s">
        <v>839</v>
      </c>
      <c r="G43" s="409"/>
      <c r="H43" s="409"/>
      <c r="I43" s="409"/>
      <c r="J43" s="409"/>
      <c r="K43" s="409"/>
      <c r="L43" s="419"/>
      <c r="M43" s="419"/>
      <c r="N43" s="419"/>
      <c r="O43" s="419"/>
      <c r="P43" s="419"/>
      <c r="Q43" s="419"/>
      <c r="R43" s="419"/>
      <c r="S43" s="419"/>
      <c r="T43" s="419"/>
      <c r="U43" s="419"/>
      <c r="V43" s="419"/>
      <c r="W43" s="971"/>
      <c r="X43" s="827"/>
    </row>
    <row r="44" spans="2:24">
      <c r="B44" s="1030"/>
      <c r="C44" s="350" t="s">
        <v>113</v>
      </c>
      <c r="D44" s="601" t="s">
        <v>569</v>
      </c>
      <c r="E44" s="336" t="s">
        <v>570</v>
      </c>
      <c r="F44" s="337" t="s">
        <v>835</v>
      </c>
      <c r="G44" s="409"/>
      <c r="H44" s="409"/>
      <c r="I44" s="409"/>
      <c r="J44" s="409"/>
      <c r="K44" s="409"/>
      <c r="L44" s="419"/>
      <c r="M44" s="419"/>
      <c r="N44" s="419"/>
      <c r="O44" s="419"/>
      <c r="P44" s="419"/>
      <c r="Q44" s="419"/>
      <c r="R44" s="419"/>
      <c r="S44" s="419"/>
      <c r="T44" s="419"/>
      <c r="U44" s="419"/>
      <c r="V44" s="419"/>
      <c r="W44" s="971"/>
      <c r="X44" s="827"/>
    </row>
    <row r="45" spans="2:24">
      <c r="B45" s="1031"/>
      <c r="C45" s="353" t="s">
        <v>114</v>
      </c>
      <c r="D45" s="603" t="s">
        <v>569</v>
      </c>
      <c r="E45" s="339" t="s">
        <v>570</v>
      </c>
      <c r="F45" s="340" t="s">
        <v>840</v>
      </c>
      <c r="G45" s="407"/>
      <c r="H45" s="407"/>
      <c r="I45" s="407"/>
      <c r="J45" s="407"/>
      <c r="K45" s="407"/>
      <c r="L45" s="479"/>
      <c r="M45" s="479"/>
      <c r="N45" s="479"/>
      <c r="O45" s="479"/>
      <c r="P45" s="479"/>
      <c r="Q45" s="479"/>
      <c r="R45" s="479"/>
      <c r="S45" s="479"/>
      <c r="T45" s="479"/>
      <c r="U45" s="479"/>
      <c r="V45" s="479"/>
      <c r="W45" s="969"/>
      <c r="X45" s="827"/>
    </row>
    <row r="46" spans="2:24">
      <c r="B46" s="1017" t="s">
        <v>571</v>
      </c>
      <c r="C46" s="354" t="s">
        <v>331</v>
      </c>
      <c r="D46" s="600" t="s">
        <v>572</v>
      </c>
      <c r="E46" s="395" t="s">
        <v>521</v>
      </c>
      <c r="F46" s="334" t="s">
        <v>573</v>
      </c>
      <c r="G46" s="399"/>
      <c r="H46" s="399"/>
      <c r="I46" s="399"/>
      <c r="J46" s="399"/>
      <c r="K46" s="399"/>
      <c r="L46" s="688">
        <v>45931</v>
      </c>
      <c r="M46" s="687"/>
      <c r="N46" s="687"/>
      <c r="O46" s="687"/>
      <c r="P46" s="687"/>
      <c r="Q46" s="687"/>
      <c r="R46" s="687"/>
      <c r="S46" s="687"/>
      <c r="T46" s="687"/>
      <c r="U46" s="687"/>
      <c r="V46" s="687"/>
      <c r="W46" s="856"/>
      <c r="X46" s="827"/>
    </row>
    <row r="47" spans="2:24">
      <c r="B47" s="1022"/>
      <c r="C47" s="345" t="s">
        <v>574</v>
      </c>
      <c r="D47" s="601" t="s">
        <v>318</v>
      </c>
      <c r="E47" s="355" t="s">
        <v>518</v>
      </c>
      <c r="F47" s="337" t="s">
        <v>575</v>
      </c>
      <c r="G47" s="396">
        <v>45717</v>
      </c>
      <c r="H47" s="396"/>
      <c r="I47" s="463">
        <v>45839</v>
      </c>
      <c r="J47" s="396"/>
      <c r="K47" s="396"/>
      <c r="L47" s="688">
        <v>45931</v>
      </c>
      <c r="M47" s="689"/>
      <c r="N47" s="689"/>
      <c r="O47" s="689"/>
      <c r="P47" s="689"/>
      <c r="Q47" s="757">
        <v>46082</v>
      </c>
      <c r="R47" s="757"/>
      <c r="S47" s="757"/>
      <c r="T47" s="757"/>
      <c r="U47" s="757"/>
      <c r="V47" s="757"/>
      <c r="W47" s="754"/>
      <c r="X47" s="829"/>
    </row>
    <row r="48" spans="2:24">
      <c r="B48" s="1022"/>
      <c r="C48" s="345" t="s">
        <v>332</v>
      </c>
      <c r="D48" s="601" t="s">
        <v>572</v>
      </c>
      <c r="E48" s="347" t="s">
        <v>521</v>
      </c>
      <c r="F48" s="337" t="s">
        <v>576</v>
      </c>
      <c r="G48" s="397"/>
      <c r="H48" s="397"/>
      <c r="I48" s="397"/>
      <c r="J48" s="397"/>
      <c r="K48" s="397"/>
      <c r="L48" s="463">
        <v>45931</v>
      </c>
      <c r="M48" s="495"/>
      <c r="N48" s="495"/>
      <c r="O48" s="495"/>
      <c r="P48" s="495"/>
      <c r="Q48" s="495"/>
      <c r="R48" s="495"/>
      <c r="S48" s="495"/>
      <c r="T48" s="495"/>
      <c r="U48" s="495"/>
      <c r="V48" s="495"/>
      <c r="W48" s="755"/>
      <c r="X48" s="827"/>
    </row>
    <row r="49" spans="1:24">
      <c r="B49" s="1018"/>
      <c r="C49" s="343" t="s">
        <v>577</v>
      </c>
      <c r="D49" s="603" t="s">
        <v>318</v>
      </c>
      <c r="E49" s="355" t="s">
        <v>518</v>
      </c>
      <c r="F49" s="337" t="s">
        <v>578</v>
      </c>
      <c r="G49" s="396">
        <v>45717</v>
      </c>
      <c r="H49" s="396"/>
      <c r="I49" s="463">
        <v>45839</v>
      </c>
      <c r="J49" s="396"/>
      <c r="K49" s="396"/>
      <c r="L49" s="757">
        <v>45931</v>
      </c>
      <c r="M49" s="396"/>
      <c r="N49" s="396"/>
      <c r="O49" s="396"/>
      <c r="P49" s="396"/>
      <c r="Q49" s="757">
        <v>46082</v>
      </c>
      <c r="R49" s="757"/>
      <c r="S49" s="757"/>
      <c r="T49" s="757"/>
      <c r="U49" s="757"/>
      <c r="V49" s="757"/>
      <c r="W49" s="756"/>
      <c r="X49" s="830"/>
    </row>
    <row r="50" spans="1:24">
      <c r="B50" s="1017" t="s">
        <v>75</v>
      </c>
      <c r="C50" s="1033" t="s">
        <v>579</v>
      </c>
      <c r="D50" s="602" t="s">
        <v>580</v>
      </c>
      <c r="E50" s="388" t="s">
        <v>309</v>
      </c>
      <c r="F50" s="315" t="s">
        <v>581</v>
      </c>
      <c r="G50" s="464">
        <v>45717</v>
      </c>
      <c r="H50" s="464"/>
      <c r="I50" s="464"/>
      <c r="J50" s="464"/>
      <c r="K50" s="464"/>
      <c r="L50" s="464"/>
      <c r="M50" s="464"/>
      <c r="N50" s="464"/>
      <c r="O50" s="464"/>
      <c r="P50" s="758" t="s">
        <v>664</v>
      </c>
      <c r="Q50" s="758"/>
      <c r="R50" s="758"/>
      <c r="S50" s="758"/>
      <c r="T50" s="758"/>
      <c r="U50" s="758"/>
      <c r="V50" s="758"/>
      <c r="W50" s="708"/>
      <c r="X50" s="830"/>
    </row>
    <row r="51" spans="1:24">
      <c r="B51" s="1018"/>
      <c r="C51" s="1034"/>
      <c r="D51" s="603" t="s">
        <v>412</v>
      </c>
      <c r="E51" s="398" t="s">
        <v>582</v>
      </c>
      <c r="F51" s="340" t="s">
        <v>705</v>
      </c>
      <c r="G51" s="465">
        <v>45717</v>
      </c>
      <c r="H51" s="465"/>
      <c r="I51" s="465"/>
      <c r="J51" s="465"/>
      <c r="K51" s="465"/>
      <c r="L51" s="465"/>
      <c r="M51" s="465"/>
      <c r="N51" s="465"/>
      <c r="O51" s="465"/>
      <c r="P51" s="465"/>
      <c r="Q51" s="757">
        <v>46082</v>
      </c>
      <c r="R51" s="844"/>
      <c r="S51" s="844"/>
      <c r="T51" s="844"/>
      <c r="U51" s="844"/>
      <c r="V51" s="844"/>
      <c r="W51" s="709"/>
      <c r="X51" s="830"/>
    </row>
    <row r="52" spans="1:24">
      <c r="B52" s="1017" t="s">
        <v>583</v>
      </c>
      <c r="C52" s="571" t="s">
        <v>767</v>
      </c>
      <c r="D52" s="602" t="s">
        <v>584</v>
      </c>
      <c r="E52" s="388" t="s">
        <v>458</v>
      </c>
      <c r="F52" s="315" t="s">
        <v>585</v>
      </c>
      <c r="G52" s="410"/>
      <c r="H52" s="410"/>
      <c r="I52" s="410"/>
      <c r="J52" s="410"/>
      <c r="K52" s="410"/>
      <c r="L52" s="410"/>
      <c r="M52" s="410"/>
      <c r="N52" s="410"/>
      <c r="O52" s="410"/>
      <c r="P52" s="410"/>
      <c r="Q52" s="410"/>
      <c r="R52" s="410"/>
      <c r="S52" s="410"/>
      <c r="T52" s="410"/>
      <c r="U52" s="410"/>
      <c r="V52" s="410"/>
      <c r="W52" s="410"/>
    </row>
    <row r="53" spans="1:24">
      <c r="B53" s="1018"/>
      <c r="C53" s="343" t="s">
        <v>56</v>
      </c>
      <c r="D53" s="603" t="s">
        <v>586</v>
      </c>
      <c r="E53" s="398" t="s">
        <v>801</v>
      </c>
      <c r="F53" s="340" t="s">
        <v>587</v>
      </c>
      <c r="G53" s="411"/>
      <c r="H53" s="411"/>
      <c r="I53" s="411"/>
      <c r="J53" s="411"/>
      <c r="K53" s="411"/>
      <c r="L53" s="411"/>
      <c r="M53" s="411"/>
      <c r="N53" s="411"/>
      <c r="O53" s="411"/>
      <c r="P53" s="411"/>
      <c r="Q53" s="411"/>
      <c r="R53" s="411"/>
      <c r="S53" s="411"/>
      <c r="T53" s="411"/>
      <c r="U53" s="411"/>
      <c r="V53" s="411"/>
      <c r="W53" s="411"/>
    </row>
    <row r="54" spans="1:24">
      <c r="B54" s="307" t="s">
        <v>65</v>
      </c>
      <c r="C54" s="331"/>
      <c r="D54" s="604" t="s">
        <v>600</v>
      </c>
      <c r="E54" s="309" t="s">
        <v>601</v>
      </c>
      <c r="F54" s="310" t="s">
        <v>602</v>
      </c>
      <c r="G54" s="402"/>
      <c r="H54" s="402"/>
      <c r="I54" s="402"/>
      <c r="J54" s="402"/>
      <c r="K54" s="402"/>
      <c r="L54" s="402"/>
      <c r="M54" s="402"/>
      <c r="N54" s="402"/>
      <c r="O54" s="402"/>
      <c r="P54" s="402"/>
      <c r="Q54" s="402"/>
      <c r="R54" s="402"/>
      <c r="S54" s="402"/>
      <c r="T54" s="402"/>
      <c r="U54" s="402"/>
      <c r="V54" s="410"/>
      <c r="W54" s="967"/>
    </row>
    <row r="55" spans="1:24">
      <c r="A55" s="356"/>
      <c r="B55" s="1017" t="s">
        <v>215</v>
      </c>
      <c r="C55" s="341" t="s">
        <v>60</v>
      </c>
      <c r="D55" s="602" t="s">
        <v>588</v>
      </c>
      <c r="E55" s="388" t="s">
        <v>589</v>
      </c>
      <c r="F55" s="315" t="s">
        <v>590</v>
      </c>
      <c r="G55" s="410" t="s">
        <v>273</v>
      </c>
      <c r="H55" s="410"/>
      <c r="I55" s="410"/>
      <c r="J55" s="410"/>
      <c r="K55" s="410"/>
      <c r="L55" s="410"/>
      <c r="M55" s="410"/>
      <c r="N55" s="410"/>
      <c r="O55" s="410"/>
      <c r="P55" s="410"/>
      <c r="Q55" s="410"/>
      <c r="R55" s="410"/>
      <c r="S55" s="410"/>
      <c r="T55" s="410"/>
      <c r="U55" s="410"/>
      <c r="V55" s="410"/>
      <c r="W55" s="967"/>
      <c r="X55" s="828"/>
    </row>
    <row r="56" spans="1:24">
      <c r="B56" s="1018"/>
      <c r="C56" s="343" t="s">
        <v>591</v>
      </c>
      <c r="D56" s="603" t="s">
        <v>588</v>
      </c>
      <c r="E56" s="388" t="s">
        <v>589</v>
      </c>
      <c r="F56" s="340" t="s">
        <v>592</v>
      </c>
      <c r="G56" s="411" t="s">
        <v>273</v>
      </c>
      <c r="H56" s="411"/>
      <c r="I56" s="411"/>
      <c r="J56" s="411"/>
      <c r="K56" s="411"/>
      <c r="L56" s="411"/>
      <c r="M56" s="411"/>
      <c r="N56" s="411"/>
      <c r="O56" s="411"/>
      <c r="P56" s="411"/>
      <c r="Q56" s="411"/>
      <c r="R56" s="411"/>
      <c r="S56" s="411"/>
      <c r="T56" s="411"/>
      <c r="U56" s="411"/>
      <c r="V56" s="411"/>
      <c r="W56" s="989"/>
      <c r="X56" s="828"/>
    </row>
    <row r="57" spans="1:24">
      <c r="B57" s="307" t="s">
        <v>257</v>
      </c>
      <c r="C57" s="331"/>
      <c r="D57" s="599" t="s">
        <v>412</v>
      </c>
      <c r="E57" s="393" t="s">
        <v>598</v>
      </c>
      <c r="F57" s="310" t="s">
        <v>599</v>
      </c>
      <c r="G57" s="402"/>
      <c r="H57" s="402"/>
      <c r="I57" s="402"/>
      <c r="J57" s="402"/>
      <c r="K57" s="402"/>
      <c r="L57" s="402"/>
      <c r="M57" s="402"/>
      <c r="N57" s="402"/>
      <c r="O57" s="402"/>
      <c r="P57" s="402"/>
      <c r="Q57" s="402"/>
      <c r="R57" s="402"/>
      <c r="S57" s="402"/>
      <c r="T57" s="402"/>
      <c r="U57" s="411"/>
      <c r="V57" s="410"/>
      <c r="W57" s="967"/>
      <c r="X57" s="828"/>
    </row>
    <row r="58" spans="1:24">
      <c r="B58" s="1017" t="s">
        <v>120</v>
      </c>
      <c r="C58" s="341" t="s">
        <v>63</v>
      </c>
      <c r="D58" s="602" t="s">
        <v>593</v>
      </c>
      <c r="E58" s="388" t="s">
        <v>771</v>
      </c>
      <c r="F58" s="357" t="s">
        <v>594</v>
      </c>
      <c r="G58" s="402" t="s">
        <v>273</v>
      </c>
      <c r="H58" s="483"/>
      <c r="I58" s="483"/>
      <c r="J58" s="483"/>
      <c r="K58" s="483"/>
      <c r="L58" s="483"/>
      <c r="M58" s="483"/>
      <c r="N58" s="483"/>
      <c r="O58" s="483"/>
      <c r="P58" s="483"/>
      <c r="Q58" s="483"/>
      <c r="R58" s="483"/>
      <c r="S58" s="483"/>
      <c r="T58" s="402"/>
      <c r="U58" s="402"/>
      <c r="V58" s="410"/>
      <c r="W58" s="967"/>
      <c r="X58" s="830"/>
    </row>
    <row r="59" spans="1:24">
      <c r="B59" s="1018"/>
      <c r="C59" s="343" t="s">
        <v>64</v>
      </c>
      <c r="D59" s="603" t="s">
        <v>595</v>
      </c>
      <c r="E59" s="398" t="s">
        <v>596</v>
      </c>
      <c r="F59" s="310" t="s">
        <v>597</v>
      </c>
      <c r="G59" s="402"/>
      <c r="H59" s="414"/>
      <c r="I59" s="402"/>
      <c r="J59" s="402"/>
      <c r="K59" s="402"/>
      <c r="L59" s="402"/>
      <c r="M59" s="402"/>
      <c r="N59" s="402"/>
      <c r="O59" s="402"/>
      <c r="P59" s="402"/>
      <c r="Q59" s="402"/>
      <c r="R59" s="402"/>
      <c r="S59" s="402"/>
      <c r="T59" s="402"/>
      <c r="U59" s="402"/>
      <c r="V59" s="410"/>
      <c r="W59" s="967"/>
      <c r="X59" s="831"/>
    </row>
    <row r="60" spans="1:24">
      <c r="B60" s="1017" t="s">
        <v>76</v>
      </c>
      <c r="C60" s="436"/>
      <c r="D60" s="605" t="s">
        <v>670</v>
      </c>
      <c r="E60" s="388" t="s">
        <v>671</v>
      </c>
      <c r="F60" s="315" t="s">
        <v>807</v>
      </c>
      <c r="G60" s="458" t="s">
        <v>559</v>
      </c>
      <c r="H60" s="410"/>
      <c r="I60" s="410"/>
      <c r="J60" s="410"/>
      <c r="K60" s="410"/>
      <c r="L60" s="410"/>
      <c r="M60" s="410"/>
      <c r="N60" s="410"/>
      <c r="O60" s="410"/>
      <c r="P60" s="410"/>
      <c r="Q60" s="410"/>
      <c r="R60" s="410"/>
      <c r="S60" s="410"/>
      <c r="T60" s="410"/>
      <c r="U60" s="410"/>
      <c r="V60" s="410"/>
      <c r="W60" s="967"/>
      <c r="X60" s="828"/>
    </row>
    <row r="61" spans="1:24">
      <c r="B61" s="1023"/>
      <c r="C61" s="437"/>
      <c r="D61" s="606" t="s">
        <v>806</v>
      </c>
      <c r="E61" s="438" t="s">
        <v>805</v>
      </c>
      <c r="F61" s="439" t="s">
        <v>808</v>
      </c>
      <c r="G61" s="440" t="s">
        <v>273</v>
      </c>
      <c r="H61" s="718"/>
      <c r="I61" s="718"/>
      <c r="J61" s="718"/>
      <c r="K61" s="718"/>
      <c r="L61" s="718"/>
      <c r="M61" s="718"/>
      <c r="N61" s="718"/>
      <c r="O61" s="718"/>
      <c r="P61" s="718"/>
      <c r="Q61" s="718"/>
      <c r="R61" s="718"/>
      <c r="S61" s="718"/>
      <c r="T61" s="718"/>
      <c r="U61" s="718"/>
      <c r="V61" s="693"/>
      <c r="W61" s="973"/>
      <c r="X61" s="828"/>
    </row>
    <row r="63" spans="1:24">
      <c r="B63" s="362" t="s">
        <v>225</v>
      </c>
      <c r="C63" s="290"/>
      <c r="D63" s="363" t="s">
        <v>26</v>
      </c>
      <c r="E63" s="363" t="s">
        <v>168</v>
      </c>
      <c r="F63" s="290" t="s">
        <v>530</v>
      </c>
    </row>
    <row r="64" spans="1:24">
      <c r="B64" s="303" t="s">
        <v>28</v>
      </c>
      <c r="C64" s="364"/>
      <c r="D64" s="607" t="s">
        <v>412</v>
      </c>
      <c r="E64" s="305" t="s">
        <v>511</v>
      </c>
      <c r="F64" s="310" t="s">
        <v>603</v>
      </c>
      <c r="G64" s="401" t="s">
        <v>665</v>
      </c>
      <c r="H64" s="401"/>
      <c r="I64" s="401"/>
      <c r="J64" s="401"/>
      <c r="K64" s="401" t="s">
        <v>703</v>
      </c>
      <c r="L64" s="401"/>
      <c r="M64" s="401"/>
      <c r="N64" s="401"/>
      <c r="O64" s="401"/>
      <c r="P64" s="401"/>
      <c r="Q64" s="401"/>
      <c r="R64" s="401"/>
      <c r="S64" s="481"/>
      <c r="T64" s="481"/>
      <c r="U64" s="481"/>
      <c r="V64" s="481"/>
      <c r="W64" s="683"/>
      <c r="X64" s="828"/>
    </row>
    <row r="65" spans="1:24">
      <c r="B65" s="307" t="s">
        <v>13</v>
      </c>
      <c r="C65" s="324"/>
      <c r="D65" s="604" t="s">
        <v>412</v>
      </c>
      <c r="E65" s="309" t="s">
        <v>511</v>
      </c>
      <c r="F65" s="310" t="s">
        <v>603</v>
      </c>
      <c r="G65" s="402" t="s">
        <v>665</v>
      </c>
      <c r="H65" s="402"/>
      <c r="I65" s="402"/>
      <c r="J65" s="402"/>
      <c r="K65" s="402" t="s">
        <v>703</v>
      </c>
      <c r="L65" s="402"/>
      <c r="M65" s="402"/>
      <c r="N65" s="402"/>
      <c r="O65" s="402"/>
      <c r="P65" s="402"/>
      <c r="Q65" s="402"/>
      <c r="R65" s="402"/>
      <c r="S65" s="421"/>
      <c r="T65" s="421"/>
      <c r="U65" s="421"/>
      <c r="V65" s="421"/>
      <c r="W65" s="450"/>
      <c r="X65" s="828"/>
    </row>
    <row r="66" spans="1:24">
      <c r="B66" s="1017" t="s">
        <v>216</v>
      </c>
      <c r="C66" s="352" t="s">
        <v>23</v>
      </c>
      <c r="D66" s="600" t="s">
        <v>412</v>
      </c>
      <c r="E66" s="333" t="s">
        <v>511</v>
      </c>
      <c r="F66" s="337" t="s">
        <v>603</v>
      </c>
      <c r="G66" s="405" t="s">
        <v>664</v>
      </c>
      <c r="H66" s="405"/>
      <c r="I66" s="405"/>
      <c r="J66" s="405"/>
      <c r="K66" s="405"/>
      <c r="L66" s="422"/>
      <c r="M66" s="422"/>
      <c r="N66" s="422"/>
      <c r="O66" s="422"/>
      <c r="P66" s="422"/>
      <c r="Q66" s="422"/>
      <c r="R66" s="422"/>
      <c r="S66" s="422" t="s">
        <v>833</v>
      </c>
      <c r="T66" s="422"/>
      <c r="U66" s="422"/>
      <c r="V66" s="422"/>
      <c r="W66" s="976"/>
      <c r="X66" s="827"/>
    </row>
    <row r="67" spans="1:24">
      <c r="B67" s="1022"/>
      <c r="C67" s="350" t="s">
        <v>24</v>
      </c>
      <c r="D67" s="601" t="s">
        <v>412</v>
      </c>
      <c r="E67" s="336" t="s">
        <v>511</v>
      </c>
      <c r="F67" s="337" t="s">
        <v>603</v>
      </c>
      <c r="G67" s="409" t="s">
        <v>665</v>
      </c>
      <c r="H67" s="409"/>
      <c r="I67" s="409"/>
      <c r="J67" s="409" t="s">
        <v>703</v>
      </c>
      <c r="K67" s="409"/>
      <c r="L67" s="419"/>
      <c r="M67" s="419"/>
      <c r="N67" s="419"/>
      <c r="O67" s="419"/>
      <c r="P67" s="419"/>
      <c r="Q67" s="419"/>
      <c r="R67" s="419"/>
      <c r="S67" s="419"/>
      <c r="T67" s="419"/>
      <c r="U67" s="419"/>
      <c r="V67" s="419"/>
      <c r="W67" s="971"/>
      <c r="X67" s="827"/>
    </row>
    <row r="68" spans="1:24">
      <c r="B68" s="1022"/>
      <c r="C68" s="350" t="s">
        <v>552</v>
      </c>
      <c r="D68" s="601" t="s">
        <v>409</v>
      </c>
      <c r="E68" s="394" t="s">
        <v>604</v>
      </c>
      <c r="F68" s="337" t="s">
        <v>605</v>
      </c>
      <c r="G68" s="419" t="s">
        <v>665</v>
      </c>
      <c r="H68" s="419"/>
      <c r="I68" s="409"/>
      <c r="J68" s="409" t="s">
        <v>664</v>
      </c>
      <c r="K68" s="409"/>
      <c r="L68" s="419"/>
      <c r="M68" s="419"/>
      <c r="N68" s="419"/>
      <c r="O68" s="419"/>
      <c r="P68" s="419"/>
      <c r="Q68" s="419"/>
      <c r="R68" s="419"/>
      <c r="S68" s="419"/>
      <c r="T68" s="419"/>
      <c r="U68" s="419" t="s">
        <v>833</v>
      </c>
      <c r="V68" s="419"/>
      <c r="W68" s="971"/>
      <c r="X68" s="827"/>
    </row>
    <row r="69" spans="1:24">
      <c r="B69" s="1022"/>
      <c r="C69" s="350" t="s">
        <v>12</v>
      </c>
      <c r="D69" s="601" t="s">
        <v>412</v>
      </c>
      <c r="E69" s="336" t="s">
        <v>511</v>
      </c>
      <c r="F69" s="337" t="s">
        <v>603</v>
      </c>
      <c r="G69" s="409" t="s">
        <v>665</v>
      </c>
      <c r="H69" s="409"/>
      <c r="I69" s="409"/>
      <c r="J69" s="409" t="s">
        <v>703</v>
      </c>
      <c r="K69" s="409"/>
      <c r="L69" s="419"/>
      <c r="M69" s="419"/>
      <c r="N69" s="419"/>
      <c r="O69" s="419"/>
      <c r="P69" s="419"/>
      <c r="Q69" s="419"/>
      <c r="R69" s="419"/>
      <c r="S69" s="419"/>
      <c r="T69" s="419"/>
      <c r="U69" s="419"/>
      <c r="V69" s="419"/>
      <c r="W69" s="971"/>
      <c r="X69" s="827"/>
    </row>
    <row r="70" spans="1:24">
      <c r="B70" s="1022"/>
      <c r="C70" s="350" t="s">
        <v>22</v>
      </c>
      <c r="D70" s="601" t="s">
        <v>412</v>
      </c>
      <c r="E70" s="336" t="s">
        <v>511</v>
      </c>
      <c r="F70" s="337" t="s">
        <v>603</v>
      </c>
      <c r="G70" s="409" t="s">
        <v>665</v>
      </c>
      <c r="H70" s="409"/>
      <c r="I70" s="409"/>
      <c r="J70" s="409" t="s">
        <v>703</v>
      </c>
      <c r="K70" s="409"/>
      <c r="L70" s="419"/>
      <c r="M70" s="419"/>
      <c r="N70" s="419"/>
      <c r="O70" s="419"/>
      <c r="P70" s="419"/>
      <c r="Q70" s="419"/>
      <c r="R70" s="419"/>
      <c r="S70" s="419"/>
      <c r="T70" s="419"/>
      <c r="U70" s="419"/>
      <c r="V70" s="419"/>
      <c r="W70" s="971"/>
      <c r="X70" s="827"/>
    </row>
    <row r="71" spans="1:24">
      <c r="B71" s="1018"/>
      <c r="C71" s="353" t="s">
        <v>21</v>
      </c>
      <c r="D71" s="608" t="s">
        <v>412</v>
      </c>
      <c r="E71" s="336" t="s">
        <v>511</v>
      </c>
      <c r="F71" s="365" t="s">
        <v>603</v>
      </c>
      <c r="G71" s="405" t="s">
        <v>664</v>
      </c>
      <c r="H71" s="405"/>
      <c r="I71" s="405"/>
      <c r="J71" s="405"/>
      <c r="K71" s="405"/>
      <c r="L71" s="422"/>
      <c r="M71" s="422"/>
      <c r="N71" s="422"/>
      <c r="O71" s="422"/>
      <c r="P71" s="422"/>
      <c r="Q71" s="422"/>
      <c r="R71" s="422"/>
      <c r="S71" s="422" t="s">
        <v>833</v>
      </c>
      <c r="T71" s="422"/>
      <c r="U71" s="422"/>
      <c r="V71" s="422"/>
      <c r="W71" s="976"/>
      <c r="X71" s="827"/>
    </row>
    <row r="72" spans="1:24">
      <c r="B72" s="307" t="s">
        <v>556</v>
      </c>
      <c r="C72" s="324"/>
      <c r="D72" s="604" t="s">
        <v>606</v>
      </c>
      <c r="E72" s="393" t="s">
        <v>391</v>
      </c>
      <c r="F72" s="366" t="s">
        <v>607</v>
      </c>
      <c r="G72" s="413">
        <v>45689</v>
      </c>
      <c r="H72" s="414"/>
      <c r="I72" s="414"/>
      <c r="J72" s="414"/>
      <c r="K72" s="402" t="s">
        <v>703</v>
      </c>
      <c r="L72" s="421"/>
      <c r="M72" s="421"/>
      <c r="N72" s="421"/>
      <c r="O72" s="421"/>
      <c r="P72" s="421"/>
      <c r="Q72" s="421"/>
      <c r="R72" s="421"/>
      <c r="S72" s="421"/>
      <c r="T72" s="421"/>
      <c r="U72" s="421"/>
      <c r="V72" s="421"/>
      <c r="W72" s="450"/>
      <c r="X72" s="828"/>
    </row>
    <row r="73" spans="1:24">
      <c r="B73" s="307" t="s">
        <v>39</v>
      </c>
      <c r="C73" s="324"/>
      <c r="D73" s="604" t="s">
        <v>42</v>
      </c>
      <c r="E73" s="309" t="s">
        <v>608</v>
      </c>
      <c r="F73" s="366" t="s">
        <v>609</v>
      </c>
      <c r="G73" s="491">
        <v>2024</v>
      </c>
      <c r="H73" s="483"/>
      <c r="I73" s="483"/>
      <c r="J73" s="483"/>
      <c r="K73" s="483"/>
      <c r="L73" s="496">
        <v>2025</v>
      </c>
      <c r="M73" s="415"/>
      <c r="N73" s="415"/>
      <c r="O73" s="485"/>
      <c r="P73" s="485"/>
      <c r="Q73" s="485"/>
      <c r="R73" s="485"/>
      <c r="S73" s="485"/>
      <c r="T73" s="485"/>
      <c r="U73" s="485"/>
      <c r="V73" s="485"/>
      <c r="W73" s="449"/>
      <c r="X73" s="830"/>
    </row>
    <row r="74" spans="1:24">
      <c r="B74" s="307" t="s">
        <v>226</v>
      </c>
      <c r="C74" s="324"/>
      <c r="D74" s="604" t="s">
        <v>610</v>
      </c>
      <c r="E74" s="393" t="s">
        <v>228</v>
      </c>
      <c r="F74" s="366" t="s">
        <v>611</v>
      </c>
      <c r="G74" s="414">
        <v>2024</v>
      </c>
      <c r="H74" s="421"/>
      <c r="I74" s="421"/>
      <c r="J74" s="421"/>
      <c r="K74" s="483"/>
      <c r="L74" s="483"/>
      <c r="M74" s="483"/>
      <c r="N74" s="483"/>
      <c r="O74" s="467">
        <v>2025</v>
      </c>
      <c r="P74" s="467"/>
      <c r="Q74" s="467"/>
      <c r="R74" s="467"/>
      <c r="S74" s="467"/>
      <c r="T74" s="467"/>
      <c r="U74" s="467"/>
      <c r="V74" s="467"/>
      <c r="W74" s="452"/>
      <c r="X74" s="831"/>
    </row>
    <row r="75" spans="1:24">
      <c r="B75" s="753" t="s">
        <v>77</v>
      </c>
      <c r="C75" s="719"/>
      <c r="D75" s="720" t="s">
        <v>612</v>
      </c>
      <c r="E75" s="721" t="s">
        <v>613</v>
      </c>
      <c r="F75" s="722" t="s">
        <v>614</v>
      </c>
      <c r="G75" s="723">
        <v>2024</v>
      </c>
      <c r="H75" s="724"/>
      <c r="I75" s="723"/>
      <c r="J75" s="723"/>
      <c r="K75" s="723"/>
      <c r="L75" s="723"/>
      <c r="M75" s="723"/>
      <c r="N75" s="723"/>
      <c r="O75" s="760">
        <v>46387</v>
      </c>
      <c r="P75" s="759"/>
      <c r="Q75" s="759"/>
      <c r="R75" s="759"/>
      <c r="S75" s="759"/>
      <c r="T75" s="759"/>
      <c r="U75" s="759"/>
      <c r="V75" s="759"/>
      <c r="W75" s="974"/>
      <c r="X75" s="832"/>
    </row>
    <row r="76" spans="1:24">
      <c r="B76" s="307" t="s">
        <v>121</v>
      </c>
      <c r="C76" s="324"/>
      <c r="D76" s="604" t="s">
        <v>612</v>
      </c>
      <c r="E76" s="393" t="s">
        <v>386</v>
      </c>
      <c r="F76" s="366" t="s">
        <v>615</v>
      </c>
      <c r="G76" s="415">
        <v>45717</v>
      </c>
      <c r="H76" s="483"/>
      <c r="I76" s="483"/>
      <c r="J76" s="483"/>
      <c r="K76" s="483"/>
      <c r="L76" s="483"/>
      <c r="M76" s="483"/>
      <c r="N76" s="483"/>
      <c r="O76" s="483"/>
      <c r="P76" s="483"/>
      <c r="Q76" s="483"/>
      <c r="R76" s="421">
        <v>2026</v>
      </c>
      <c r="S76" s="483"/>
      <c r="T76" s="483"/>
      <c r="U76" s="483"/>
      <c r="V76" s="759"/>
      <c r="W76" s="974"/>
      <c r="X76" s="830"/>
    </row>
    <row r="77" spans="1:24">
      <c r="B77" s="307" t="s">
        <v>120</v>
      </c>
      <c r="C77" s="324"/>
      <c r="D77" s="604" t="s">
        <v>612</v>
      </c>
      <c r="E77" s="309" t="s">
        <v>616</v>
      </c>
      <c r="F77" s="366" t="s">
        <v>615</v>
      </c>
      <c r="G77" s="483">
        <v>45717</v>
      </c>
      <c r="H77" s="483"/>
      <c r="I77" s="483"/>
      <c r="J77" s="483"/>
      <c r="K77" s="483"/>
      <c r="L77" s="483"/>
      <c r="M77" s="483"/>
      <c r="N77" s="483"/>
      <c r="O77" s="483"/>
      <c r="P77" s="483"/>
      <c r="Q77" s="421">
        <v>2026</v>
      </c>
      <c r="R77" s="483"/>
      <c r="S77" s="483"/>
      <c r="T77" s="483"/>
      <c r="U77" s="483"/>
      <c r="V77" s="759"/>
      <c r="W77" s="974"/>
      <c r="X77" s="832"/>
    </row>
    <row r="78" spans="1:24">
      <c r="A78" s="823"/>
      <c r="B78" s="822" t="s">
        <v>65</v>
      </c>
      <c r="C78" s="353"/>
      <c r="D78" s="603" t="s">
        <v>311</v>
      </c>
      <c r="E78" s="398" t="s">
        <v>672</v>
      </c>
      <c r="F78" s="454" t="s">
        <v>673</v>
      </c>
      <c r="G78" s="447" t="s">
        <v>559</v>
      </c>
      <c r="H78" s="400">
        <v>45809</v>
      </c>
      <c r="I78" s="415">
        <v>45839</v>
      </c>
      <c r="J78" s="415">
        <v>45870</v>
      </c>
      <c r="K78" s="415">
        <v>45901</v>
      </c>
      <c r="L78" s="483">
        <v>45931</v>
      </c>
      <c r="M78" s="483">
        <v>45962</v>
      </c>
      <c r="N78" s="483">
        <v>45992</v>
      </c>
      <c r="O78" s="483">
        <v>46023</v>
      </c>
      <c r="P78" s="483">
        <v>46054</v>
      </c>
      <c r="Q78" s="483">
        <v>46082</v>
      </c>
      <c r="R78" s="483">
        <v>46113</v>
      </c>
      <c r="S78" s="483">
        <v>46143</v>
      </c>
      <c r="T78" s="483">
        <v>46174</v>
      </c>
      <c r="U78" s="483">
        <v>46204</v>
      </c>
      <c r="V78" s="759"/>
      <c r="W78" s="974"/>
      <c r="X78" s="833"/>
    </row>
    <row r="79" spans="1:24">
      <c r="A79" s="356"/>
      <c r="B79" s="307" t="s">
        <v>215</v>
      </c>
      <c r="C79" s="324"/>
      <c r="D79" s="604" t="s">
        <v>617</v>
      </c>
      <c r="E79" s="393" t="s">
        <v>618</v>
      </c>
      <c r="F79" s="366" t="s">
        <v>682</v>
      </c>
      <c r="G79" s="483"/>
      <c r="H79" s="483"/>
      <c r="I79" s="483"/>
      <c r="J79" s="483"/>
      <c r="K79" s="483"/>
      <c r="L79" s="483"/>
      <c r="M79" s="483"/>
      <c r="N79" s="483"/>
      <c r="O79" s="483"/>
      <c r="P79" s="483"/>
      <c r="Q79" s="483"/>
      <c r="R79" s="483"/>
      <c r="S79" s="483"/>
      <c r="T79" s="483"/>
      <c r="U79" s="483"/>
      <c r="V79" s="759"/>
      <c r="W79" s="974"/>
      <c r="X79" s="834"/>
    </row>
    <row r="80" spans="1:24">
      <c r="B80" s="307" t="s">
        <v>76</v>
      </c>
      <c r="C80" s="324"/>
      <c r="D80" s="604" t="s">
        <v>619</v>
      </c>
      <c r="E80" s="324"/>
      <c r="F80" s="366" t="s">
        <v>620</v>
      </c>
      <c r="G80" s="416">
        <v>43831</v>
      </c>
      <c r="H80" s="485"/>
      <c r="I80" s="466">
        <v>2025</v>
      </c>
      <c r="J80" s="466"/>
      <c r="K80" s="466"/>
      <c r="L80" s="466"/>
      <c r="M80" s="466"/>
      <c r="N80" s="466"/>
      <c r="O80" s="466"/>
      <c r="P80" s="466"/>
      <c r="Q80" s="466"/>
      <c r="R80" s="466"/>
      <c r="S80" s="466"/>
      <c r="T80" s="466"/>
      <c r="U80" s="466"/>
      <c r="V80" s="466"/>
      <c r="W80" s="557"/>
      <c r="X80" s="834"/>
    </row>
    <row r="81" spans="1:24">
      <c r="B81" s="307" t="s">
        <v>264</v>
      </c>
      <c r="C81" s="324"/>
      <c r="D81" s="604" t="s">
        <v>249</v>
      </c>
      <c r="E81" s="393" t="s">
        <v>635</v>
      </c>
      <c r="F81" s="366" t="s">
        <v>621</v>
      </c>
      <c r="G81" s="413">
        <v>44927</v>
      </c>
      <c r="H81" s="413"/>
      <c r="I81" s="413"/>
      <c r="J81" s="413"/>
      <c r="K81" s="466">
        <v>2024</v>
      </c>
      <c r="L81" s="485"/>
      <c r="M81" s="485"/>
      <c r="N81" s="485"/>
      <c r="O81" s="485"/>
      <c r="P81" s="485"/>
      <c r="Q81" s="485"/>
      <c r="R81" s="485"/>
      <c r="S81" s="485"/>
      <c r="T81" s="485"/>
      <c r="U81" s="485"/>
      <c r="V81" s="485"/>
      <c r="W81" s="449"/>
      <c r="X81" s="830"/>
    </row>
    <row r="82" spans="1:24">
      <c r="A82" s="824"/>
      <c r="B82" s="368" t="s">
        <v>116</v>
      </c>
      <c r="C82" s="349"/>
      <c r="D82" s="605"/>
      <c r="E82" s="314"/>
      <c r="F82" s="369"/>
      <c r="G82" s="456"/>
      <c r="H82" s="457"/>
      <c r="I82" s="457"/>
      <c r="J82" s="457"/>
      <c r="K82" s="457"/>
      <c r="L82" s="457"/>
      <c r="M82" s="457"/>
      <c r="N82" s="457"/>
      <c r="O82" s="457"/>
      <c r="P82" s="456"/>
      <c r="Q82" s="456"/>
      <c r="R82" s="456"/>
      <c r="S82" s="456"/>
      <c r="T82" s="456"/>
      <c r="U82" s="456"/>
      <c r="V82" s="456"/>
      <c r="W82" s="456"/>
      <c r="X82" s="835"/>
    </row>
    <row r="83" spans="1:24">
      <c r="A83" s="356"/>
      <c r="B83" s="1024" t="s">
        <v>217</v>
      </c>
      <c r="C83" s="719" t="s">
        <v>112</v>
      </c>
      <c r="D83" s="720" t="s">
        <v>297</v>
      </c>
      <c r="E83" s="730" t="s">
        <v>683</v>
      </c>
      <c r="F83" s="731" t="s">
        <v>684</v>
      </c>
      <c r="G83" s="732">
        <v>2024</v>
      </c>
      <c r="H83" s="733"/>
      <c r="I83" s="733"/>
      <c r="J83" s="733"/>
      <c r="K83" s="733"/>
      <c r="L83" s="733"/>
      <c r="M83" s="733"/>
      <c r="N83" s="732">
        <v>2024</v>
      </c>
      <c r="O83" s="734"/>
      <c r="P83" s="734"/>
      <c r="Q83" s="734"/>
      <c r="R83" s="734"/>
      <c r="S83" s="734"/>
      <c r="T83" s="734"/>
      <c r="U83" s="734"/>
      <c r="V83" s="734"/>
      <c r="W83" s="975"/>
      <c r="X83" s="834"/>
    </row>
    <row r="84" spans="1:24">
      <c r="A84" s="824" t="s">
        <v>622</v>
      </c>
      <c r="B84" s="1025"/>
      <c r="C84" s="735" t="s">
        <v>69</v>
      </c>
      <c r="D84" s="736" t="s">
        <v>297</v>
      </c>
      <c r="E84" s="737" t="s">
        <v>683</v>
      </c>
      <c r="F84" s="738" t="s">
        <v>685</v>
      </c>
      <c r="G84" s="739">
        <v>2024</v>
      </c>
      <c r="H84" s="740"/>
      <c r="I84" s="740"/>
      <c r="J84" s="740"/>
      <c r="K84" s="740"/>
      <c r="L84" s="740"/>
      <c r="M84" s="740"/>
      <c r="N84" s="739">
        <v>2024</v>
      </c>
      <c r="O84" s="741"/>
      <c r="P84" s="741"/>
      <c r="Q84" s="741"/>
      <c r="R84" s="741"/>
      <c r="S84" s="741"/>
      <c r="T84" s="741"/>
      <c r="U84" s="741"/>
      <c r="V84" s="741"/>
      <c r="W84" s="985"/>
      <c r="X84" s="834"/>
    </row>
    <row r="85" spans="1:24">
      <c r="B85" s="1025"/>
      <c r="C85" s="735" t="s">
        <v>113</v>
      </c>
      <c r="D85" s="736" t="s">
        <v>297</v>
      </c>
      <c r="E85" s="737" t="s">
        <v>683</v>
      </c>
      <c r="F85" s="738" t="s">
        <v>686</v>
      </c>
      <c r="G85" s="739">
        <v>2024</v>
      </c>
      <c r="H85" s="740"/>
      <c r="I85" s="740"/>
      <c r="J85" s="740"/>
      <c r="K85" s="740"/>
      <c r="L85" s="740"/>
      <c r="M85" s="740"/>
      <c r="N85" s="739">
        <v>2024</v>
      </c>
      <c r="O85" s="741"/>
      <c r="P85" s="741"/>
      <c r="Q85" s="741"/>
      <c r="R85" s="741"/>
      <c r="S85" s="741"/>
      <c r="T85" s="741"/>
      <c r="U85" s="741"/>
      <c r="V85" s="741"/>
      <c r="W85" s="985"/>
      <c r="X85" s="834"/>
    </row>
    <row r="86" spans="1:24">
      <c r="B86" s="1026"/>
      <c r="C86" s="725" t="s">
        <v>114</v>
      </c>
      <c r="D86" s="726" t="s">
        <v>297</v>
      </c>
      <c r="E86" s="742" t="s">
        <v>683</v>
      </c>
      <c r="F86" s="743" t="s">
        <v>687</v>
      </c>
      <c r="G86" s="744">
        <v>2024</v>
      </c>
      <c r="H86" s="745"/>
      <c r="I86" s="745"/>
      <c r="J86" s="745"/>
      <c r="K86" s="745"/>
      <c r="L86" s="745"/>
      <c r="M86" s="745"/>
      <c r="N86" s="744">
        <v>2024</v>
      </c>
      <c r="O86" s="727"/>
      <c r="P86" s="727"/>
      <c r="Q86" s="727"/>
      <c r="R86" s="727"/>
      <c r="S86" s="727"/>
      <c r="T86" s="727"/>
      <c r="U86" s="727"/>
      <c r="V86" s="727"/>
      <c r="W86" s="986"/>
      <c r="X86" s="834"/>
    </row>
    <row r="87" spans="1:24">
      <c r="B87" s="307" t="s">
        <v>68</v>
      </c>
      <c r="C87" s="324"/>
      <c r="D87" s="604" t="s">
        <v>297</v>
      </c>
      <c r="E87" s="398" t="s">
        <v>683</v>
      </c>
      <c r="F87" s="370" t="s">
        <v>688</v>
      </c>
      <c r="G87" s="466">
        <v>2024</v>
      </c>
      <c r="H87" s="413"/>
      <c r="I87" s="413"/>
      <c r="J87" s="413"/>
      <c r="K87" s="413"/>
      <c r="L87" s="413"/>
      <c r="M87" s="413"/>
      <c r="N87" s="466">
        <v>2024</v>
      </c>
      <c r="O87" s="485"/>
      <c r="P87" s="485"/>
      <c r="Q87" s="485"/>
      <c r="R87" s="485"/>
      <c r="S87" s="485"/>
      <c r="T87" s="485"/>
      <c r="U87" s="485"/>
      <c r="V87" s="485"/>
      <c r="W87" s="449"/>
      <c r="X87" s="834"/>
    </row>
    <row r="88" spans="1:24">
      <c r="B88" s="307" t="s">
        <v>66</v>
      </c>
      <c r="C88" s="324"/>
      <c r="D88" s="604" t="s">
        <v>297</v>
      </c>
      <c r="E88" s="309" t="s">
        <v>623</v>
      </c>
      <c r="F88" s="370" t="s">
        <v>691</v>
      </c>
      <c r="G88" s="466">
        <v>2024</v>
      </c>
      <c r="H88" s="413"/>
      <c r="I88" s="413"/>
      <c r="J88" s="413"/>
      <c r="K88" s="413"/>
      <c r="L88" s="413"/>
      <c r="M88" s="413"/>
      <c r="N88" s="466">
        <v>2024</v>
      </c>
      <c r="O88" s="485"/>
      <c r="P88" s="485"/>
      <c r="Q88" s="485"/>
      <c r="R88" s="485"/>
      <c r="S88" s="485"/>
      <c r="T88" s="485"/>
      <c r="U88" s="485"/>
      <c r="V88" s="485"/>
      <c r="W88" s="449"/>
      <c r="X88" s="832"/>
    </row>
    <row r="89" spans="1:24">
      <c r="A89" s="356"/>
      <c r="B89" s="307" t="s">
        <v>230</v>
      </c>
      <c r="C89" s="324"/>
      <c r="D89" s="604" t="s">
        <v>297</v>
      </c>
      <c r="E89" s="393" t="s">
        <v>683</v>
      </c>
      <c r="F89" s="367" t="s">
        <v>689</v>
      </c>
      <c r="G89" s="466">
        <v>2024</v>
      </c>
      <c r="H89" s="413"/>
      <c r="I89" s="413"/>
      <c r="J89" s="413"/>
      <c r="K89" s="413"/>
      <c r="L89" s="413"/>
      <c r="M89" s="413"/>
      <c r="N89" s="466">
        <v>2024</v>
      </c>
      <c r="O89" s="485"/>
      <c r="P89" s="485"/>
      <c r="Q89" s="485"/>
      <c r="R89" s="485"/>
      <c r="S89" s="485"/>
      <c r="T89" s="485"/>
      <c r="U89" s="485"/>
      <c r="V89" s="485"/>
      <c r="W89" s="449"/>
      <c r="X89" s="834"/>
    </row>
    <row r="90" spans="1:24">
      <c r="A90" s="356"/>
      <c r="B90" s="307" t="s">
        <v>231</v>
      </c>
      <c r="C90" s="324"/>
      <c r="D90" s="604" t="s">
        <v>297</v>
      </c>
      <c r="E90" s="393" t="s">
        <v>683</v>
      </c>
      <c r="F90" s="367" t="s">
        <v>690</v>
      </c>
      <c r="G90" s="466">
        <v>2024</v>
      </c>
      <c r="H90" s="413"/>
      <c r="I90" s="413"/>
      <c r="J90" s="413"/>
      <c r="K90" s="413"/>
      <c r="L90" s="413"/>
      <c r="M90" s="413"/>
      <c r="N90" s="466">
        <v>2024</v>
      </c>
      <c r="O90" s="485"/>
      <c r="P90" s="485"/>
      <c r="Q90" s="485"/>
      <c r="R90" s="485"/>
      <c r="S90" s="485"/>
      <c r="T90" s="485"/>
      <c r="U90" s="485"/>
      <c r="V90" s="485"/>
      <c r="W90" s="449"/>
      <c r="X90" s="834"/>
    </row>
    <row r="91" spans="1:24">
      <c r="B91" s="358" t="s">
        <v>75</v>
      </c>
      <c r="C91" s="371"/>
      <c r="D91" s="610" t="s">
        <v>698</v>
      </c>
      <c r="E91" s="387" t="s">
        <v>699</v>
      </c>
      <c r="F91" s="372" t="s">
        <v>701</v>
      </c>
      <c r="G91" s="728" t="s">
        <v>762</v>
      </c>
      <c r="H91" s="728"/>
      <c r="I91" s="728"/>
      <c r="J91" s="728"/>
      <c r="K91" s="729"/>
      <c r="L91" s="729"/>
      <c r="M91" s="729"/>
      <c r="N91" s="729"/>
      <c r="O91" s="691"/>
      <c r="P91" s="691"/>
      <c r="Q91" s="691"/>
      <c r="R91" s="691"/>
      <c r="S91" s="691"/>
      <c r="T91" s="691"/>
      <c r="U91" s="691"/>
      <c r="V91" s="691"/>
      <c r="W91" s="987"/>
      <c r="X91" s="834"/>
    </row>
    <row r="93" spans="1:24">
      <c r="B93" s="362" t="s">
        <v>624</v>
      </c>
      <c r="C93" s="290"/>
      <c r="D93" s="363" t="s">
        <v>26</v>
      </c>
      <c r="E93" s="363" t="s">
        <v>168</v>
      </c>
      <c r="F93" s="290" t="s">
        <v>530</v>
      </c>
    </row>
    <row r="94" spans="1:24">
      <c r="B94" s="373" t="s">
        <v>28</v>
      </c>
      <c r="C94" s="374"/>
      <c r="D94" s="609" t="s">
        <v>412</v>
      </c>
      <c r="E94" s="417" t="s">
        <v>511</v>
      </c>
      <c r="F94" s="315" t="s">
        <v>625</v>
      </c>
      <c r="G94" s="401" t="s">
        <v>665</v>
      </c>
      <c r="H94" s="401"/>
      <c r="I94" s="401"/>
      <c r="J94" s="401"/>
      <c r="K94" s="435"/>
      <c r="L94" s="401"/>
      <c r="M94" s="401"/>
      <c r="N94" s="481"/>
      <c r="O94" s="481"/>
      <c r="P94" s="481"/>
      <c r="Q94" s="481"/>
      <c r="R94" s="481" t="s">
        <v>664</v>
      </c>
      <c r="S94" s="481"/>
      <c r="T94" s="481"/>
      <c r="U94" s="481"/>
      <c r="V94" s="481"/>
      <c r="W94" s="683"/>
      <c r="X94" s="827"/>
    </row>
    <row r="95" spans="1:24">
      <c r="B95" s="307" t="s">
        <v>13</v>
      </c>
      <c r="C95" s="324"/>
      <c r="D95" s="604" t="s">
        <v>412</v>
      </c>
      <c r="E95" s="417" t="s">
        <v>511</v>
      </c>
      <c r="F95" s="315" t="s">
        <v>625</v>
      </c>
      <c r="G95" s="402" t="s">
        <v>665</v>
      </c>
      <c r="H95" s="402"/>
      <c r="I95" s="402"/>
      <c r="J95" s="402"/>
      <c r="K95" s="402"/>
      <c r="L95" s="402"/>
      <c r="M95" s="402"/>
      <c r="N95" s="402"/>
      <c r="O95" s="402"/>
      <c r="P95" s="402"/>
      <c r="Q95" s="402"/>
      <c r="R95" s="421" t="s">
        <v>664</v>
      </c>
      <c r="S95" s="421"/>
      <c r="T95" s="421"/>
      <c r="U95" s="421"/>
      <c r="V95" s="421"/>
      <c r="W95" s="450"/>
      <c r="X95" s="827"/>
    </row>
    <row r="96" spans="1:24">
      <c r="B96" s="1017" t="s">
        <v>216</v>
      </c>
      <c r="C96" s="352" t="s">
        <v>23</v>
      </c>
      <c r="D96" s="600" t="s">
        <v>626</v>
      </c>
      <c r="E96" s="385" t="s">
        <v>627</v>
      </c>
      <c r="F96" s="334" t="s">
        <v>625</v>
      </c>
      <c r="G96" s="405" t="s">
        <v>665</v>
      </c>
      <c r="H96" s="405"/>
      <c r="I96" s="405"/>
      <c r="J96" s="405"/>
      <c r="K96" s="405" t="s">
        <v>703</v>
      </c>
      <c r="L96" s="422"/>
      <c r="M96" s="422"/>
      <c r="N96" s="422"/>
      <c r="O96" s="422"/>
      <c r="P96" s="422"/>
      <c r="Q96" s="422"/>
      <c r="R96" s="422"/>
      <c r="S96" s="422"/>
      <c r="T96" s="422"/>
      <c r="U96" s="422"/>
      <c r="V96" s="422" t="s">
        <v>833</v>
      </c>
      <c r="W96" s="976"/>
      <c r="X96" s="827"/>
    </row>
    <row r="97" spans="1:24">
      <c r="B97" s="1022"/>
      <c r="C97" s="350" t="s">
        <v>24</v>
      </c>
      <c r="D97" s="601" t="s">
        <v>626</v>
      </c>
      <c r="E97" s="333" t="s">
        <v>627</v>
      </c>
      <c r="F97" s="337" t="s">
        <v>625</v>
      </c>
      <c r="G97" s="409" t="s">
        <v>665</v>
      </c>
      <c r="H97" s="409"/>
      <c r="I97" s="409"/>
      <c r="J97" s="409"/>
      <c r="K97" s="409" t="s">
        <v>703</v>
      </c>
      <c r="L97" s="419"/>
      <c r="M97" s="419"/>
      <c r="N97" s="419"/>
      <c r="O97" s="419"/>
      <c r="P97" s="419"/>
      <c r="Q97" s="419"/>
      <c r="R97" s="419"/>
      <c r="S97" s="419"/>
      <c r="T97" s="419"/>
      <c r="U97" s="419"/>
      <c r="V97" s="419" t="s">
        <v>833</v>
      </c>
      <c r="W97" s="971"/>
      <c r="X97" s="827"/>
    </row>
    <row r="98" spans="1:24">
      <c r="B98" s="1022"/>
      <c r="C98" s="455" t="s">
        <v>0</v>
      </c>
      <c r="D98" s="601" t="s">
        <v>626</v>
      </c>
      <c r="E98" s="385" t="s">
        <v>627</v>
      </c>
      <c r="F98" s="337" t="s">
        <v>625</v>
      </c>
      <c r="G98" s="409" t="s">
        <v>665</v>
      </c>
      <c r="H98" s="409"/>
      <c r="I98" s="409"/>
      <c r="J98" s="409"/>
      <c r="K98" s="409" t="s">
        <v>703</v>
      </c>
      <c r="L98" s="419"/>
      <c r="M98" s="419"/>
      <c r="N98" s="419"/>
      <c r="O98" s="419"/>
      <c r="P98" s="419"/>
      <c r="Q98" s="419"/>
      <c r="R98" s="419"/>
      <c r="S98" s="419"/>
      <c r="T98" s="419"/>
      <c r="U98" s="419"/>
      <c r="V98" s="419" t="s">
        <v>833</v>
      </c>
      <c r="W98" s="971"/>
      <c r="X98" s="827"/>
    </row>
    <row r="99" spans="1:24">
      <c r="B99" s="1022"/>
      <c r="C99" s="350" t="s">
        <v>12</v>
      </c>
      <c r="D99" s="601" t="s">
        <v>626</v>
      </c>
      <c r="E99" s="333" t="s">
        <v>627</v>
      </c>
      <c r="F99" s="337" t="s">
        <v>625</v>
      </c>
      <c r="G99" s="409" t="s">
        <v>665</v>
      </c>
      <c r="H99" s="409"/>
      <c r="I99" s="409"/>
      <c r="J99" s="409"/>
      <c r="K99" s="409" t="s">
        <v>703</v>
      </c>
      <c r="L99" s="419"/>
      <c r="M99" s="419"/>
      <c r="N99" s="419"/>
      <c r="O99" s="419"/>
      <c r="P99" s="419"/>
      <c r="Q99" s="419"/>
      <c r="R99" s="419"/>
      <c r="S99" s="419"/>
      <c r="T99" s="419"/>
      <c r="U99" s="419"/>
      <c r="V99" s="419" t="s">
        <v>833</v>
      </c>
      <c r="W99" s="971"/>
      <c r="X99" s="827"/>
    </row>
    <row r="100" spans="1:24">
      <c r="B100" s="1022"/>
      <c r="C100" s="350" t="s">
        <v>22</v>
      </c>
      <c r="D100" s="601" t="s">
        <v>626</v>
      </c>
      <c r="E100" s="333" t="s">
        <v>627</v>
      </c>
      <c r="F100" s="337" t="s">
        <v>625</v>
      </c>
      <c r="G100" s="409" t="s">
        <v>665</v>
      </c>
      <c r="H100" s="409"/>
      <c r="I100" s="409"/>
      <c r="J100" s="409"/>
      <c r="K100" s="409" t="s">
        <v>703</v>
      </c>
      <c r="L100" s="419"/>
      <c r="M100" s="419"/>
      <c r="N100" s="419"/>
      <c r="O100" s="419"/>
      <c r="P100" s="419"/>
      <c r="Q100" s="419"/>
      <c r="R100" s="419"/>
      <c r="S100" s="419"/>
      <c r="T100" s="419"/>
      <c r="U100" s="419"/>
      <c r="V100" s="419" t="s">
        <v>833</v>
      </c>
      <c r="W100" s="971"/>
      <c r="X100" s="827"/>
    </row>
    <row r="101" spans="1:24">
      <c r="B101" s="1018"/>
      <c r="C101" s="353" t="s">
        <v>21</v>
      </c>
      <c r="D101" s="603" t="s">
        <v>626</v>
      </c>
      <c r="E101" s="333" t="s">
        <v>627</v>
      </c>
      <c r="F101" s="340" t="s">
        <v>625</v>
      </c>
      <c r="G101" s="405" t="s">
        <v>665</v>
      </c>
      <c r="H101" s="409"/>
      <c r="I101" s="405"/>
      <c r="J101" s="405"/>
      <c r="K101" s="405" t="s">
        <v>703</v>
      </c>
      <c r="L101" s="422"/>
      <c r="M101" s="422"/>
      <c r="N101" s="422"/>
      <c r="O101" s="422"/>
      <c r="P101" s="422"/>
      <c r="Q101" s="422"/>
      <c r="R101" s="422"/>
      <c r="S101" s="422"/>
      <c r="T101" s="422"/>
      <c r="U101" s="422"/>
      <c r="V101" s="422" t="s">
        <v>833</v>
      </c>
      <c r="W101" s="976"/>
      <c r="X101" s="827"/>
    </row>
    <row r="102" spans="1:24">
      <c r="B102" s="307" t="s">
        <v>556</v>
      </c>
      <c r="C102" s="324"/>
      <c r="D102" s="604" t="s">
        <v>606</v>
      </c>
      <c r="E102" s="393" t="s">
        <v>628</v>
      </c>
      <c r="F102" s="310" t="s">
        <v>625</v>
      </c>
      <c r="G102" s="421" t="s">
        <v>665</v>
      </c>
      <c r="H102" s="421"/>
      <c r="I102" s="421"/>
      <c r="J102" s="421"/>
      <c r="K102" s="405" t="s">
        <v>703</v>
      </c>
      <c r="L102" s="421"/>
      <c r="M102" s="421"/>
      <c r="N102" s="421"/>
      <c r="O102" s="421"/>
      <c r="P102" s="421"/>
      <c r="Q102" s="421"/>
      <c r="R102" s="421"/>
      <c r="S102" s="421"/>
      <c r="T102" s="421"/>
      <c r="U102" s="421"/>
      <c r="V102" s="421" t="s">
        <v>833</v>
      </c>
      <c r="W102" s="450"/>
      <c r="X102" s="831"/>
    </row>
    <row r="103" spans="1:24">
      <c r="B103" s="307" t="s">
        <v>39</v>
      </c>
      <c r="C103" s="324"/>
      <c r="D103" s="604" t="s">
        <v>42</v>
      </c>
      <c r="E103" s="393" t="s">
        <v>809</v>
      </c>
      <c r="F103" s="310" t="s">
        <v>629</v>
      </c>
      <c r="G103" s="402"/>
      <c r="H103" s="402"/>
      <c r="I103" s="402"/>
      <c r="J103" s="402"/>
      <c r="K103" s="402"/>
      <c r="L103" s="402"/>
      <c r="M103" s="402"/>
      <c r="N103" s="402"/>
      <c r="O103" s="421"/>
      <c r="P103" s="421"/>
      <c r="Q103" s="421"/>
      <c r="R103" s="421"/>
      <c r="S103" s="421"/>
      <c r="T103" s="421"/>
      <c r="U103" s="467"/>
      <c r="V103" s="467"/>
      <c r="W103" s="452"/>
      <c r="X103" s="827"/>
    </row>
    <row r="104" spans="1:24">
      <c r="A104" s="821"/>
      <c r="B104" s="307" t="s">
        <v>630</v>
      </c>
      <c r="C104" s="324" t="s">
        <v>631</v>
      </c>
      <c r="D104" s="604" t="s">
        <v>632</v>
      </c>
      <c r="E104" s="393" t="s">
        <v>633</v>
      </c>
      <c r="F104" s="310" t="s">
        <v>634</v>
      </c>
      <c r="G104" s="402">
        <v>2025</v>
      </c>
      <c r="H104" s="483"/>
      <c r="I104" s="483"/>
      <c r="J104" s="483"/>
      <c r="K104" s="483"/>
      <c r="L104" s="483"/>
      <c r="M104" s="483"/>
      <c r="N104" s="483"/>
      <c r="O104" s="402">
        <v>2026</v>
      </c>
      <c r="P104" s="483"/>
      <c r="Q104" s="483"/>
      <c r="R104" s="483"/>
      <c r="S104" s="483"/>
      <c r="T104" s="483"/>
      <c r="U104" s="483"/>
      <c r="V104" s="483"/>
      <c r="W104" s="977"/>
      <c r="X104" s="830"/>
    </row>
    <row r="105" spans="1:24">
      <c r="B105" s="307" t="s">
        <v>264</v>
      </c>
      <c r="C105" s="324"/>
      <c r="D105" s="604" t="s">
        <v>249</v>
      </c>
      <c r="E105" s="393" t="s">
        <v>635</v>
      </c>
      <c r="F105" s="310" t="s">
        <v>636</v>
      </c>
      <c r="G105" s="492">
        <v>2023</v>
      </c>
      <c r="H105" s="416"/>
      <c r="I105" s="416"/>
      <c r="J105" s="416"/>
      <c r="K105" s="491">
        <v>2024</v>
      </c>
      <c r="L105" s="490"/>
      <c r="M105" s="490"/>
      <c r="N105" s="490"/>
      <c r="O105" s="490"/>
      <c r="P105" s="490"/>
      <c r="Q105" s="490"/>
      <c r="R105" s="490"/>
      <c r="S105" s="490"/>
      <c r="T105" s="490"/>
      <c r="U105" s="490"/>
      <c r="V105" s="490"/>
      <c r="W105" s="978"/>
      <c r="X105" s="831"/>
    </row>
    <row r="106" spans="1:24">
      <c r="A106" s="824"/>
      <c r="B106" s="307" t="s">
        <v>116</v>
      </c>
      <c r="C106" s="324"/>
      <c r="D106" s="604"/>
      <c r="E106" s="309"/>
      <c r="F106" s="310"/>
      <c r="G106" s="557"/>
      <c r="H106" s="449"/>
      <c r="I106" s="449"/>
      <c r="J106" s="449"/>
      <c r="K106" s="449"/>
      <c r="L106" s="449"/>
      <c r="M106" s="449"/>
      <c r="N106" s="558"/>
      <c r="O106" s="448"/>
      <c r="P106" s="448"/>
      <c r="Q106" s="448"/>
      <c r="R106" s="448"/>
      <c r="S106" s="448"/>
      <c r="T106" s="448"/>
      <c r="U106" s="448"/>
      <c r="V106" s="448"/>
      <c r="W106" s="448"/>
      <c r="X106" s="834"/>
    </row>
    <row r="107" spans="1:24">
      <c r="B107" s="1019" t="s">
        <v>217</v>
      </c>
      <c r="C107" s="352" t="s">
        <v>112</v>
      </c>
      <c r="D107" s="600" t="s">
        <v>297</v>
      </c>
      <c r="E107" s="398" t="s">
        <v>683</v>
      </c>
      <c r="F107" s="370" t="s">
        <v>692</v>
      </c>
      <c r="G107" s="466">
        <v>2024</v>
      </c>
      <c r="H107" s="485"/>
      <c r="I107" s="485"/>
      <c r="J107" s="485"/>
      <c r="K107" s="485"/>
      <c r="L107" s="485"/>
      <c r="M107" s="485"/>
      <c r="N107" s="491">
        <v>2024</v>
      </c>
      <c r="O107" s="418"/>
      <c r="P107" s="418"/>
      <c r="Q107" s="418"/>
      <c r="R107" s="418"/>
      <c r="S107" s="418"/>
      <c r="T107" s="418"/>
      <c r="U107" s="418"/>
      <c r="V107" s="418"/>
      <c r="W107" s="979"/>
      <c r="X107" s="834"/>
    </row>
    <row r="108" spans="1:24">
      <c r="B108" s="1027"/>
      <c r="C108" s="350" t="s">
        <v>69</v>
      </c>
      <c r="D108" s="601" t="s">
        <v>297</v>
      </c>
      <c r="E108" s="398" t="s">
        <v>683</v>
      </c>
      <c r="F108" s="370" t="s">
        <v>693</v>
      </c>
      <c r="G108" s="466">
        <v>2024</v>
      </c>
      <c r="H108" s="485"/>
      <c r="I108" s="485"/>
      <c r="J108" s="485"/>
      <c r="K108" s="485"/>
      <c r="L108" s="485"/>
      <c r="M108" s="485"/>
      <c r="N108" s="491">
        <v>2024</v>
      </c>
      <c r="O108" s="690"/>
      <c r="P108" s="690"/>
      <c r="Q108" s="690"/>
      <c r="R108" s="690"/>
      <c r="S108" s="690"/>
      <c r="T108" s="690"/>
      <c r="U108" s="690"/>
      <c r="V108" s="690"/>
      <c r="W108" s="984"/>
      <c r="X108" s="834"/>
    </row>
    <row r="109" spans="1:24">
      <c r="B109" s="1027"/>
      <c r="C109" s="350" t="s">
        <v>113</v>
      </c>
      <c r="D109" s="601" t="s">
        <v>297</v>
      </c>
      <c r="E109" s="394" t="s">
        <v>683</v>
      </c>
      <c r="F109" s="370" t="s">
        <v>694</v>
      </c>
      <c r="G109" s="466">
        <v>2024</v>
      </c>
      <c r="H109" s="485"/>
      <c r="I109" s="485"/>
      <c r="J109" s="485"/>
      <c r="K109" s="485"/>
      <c r="L109" s="485"/>
      <c r="M109" s="485"/>
      <c r="N109" s="491">
        <v>2024</v>
      </c>
      <c r="O109" s="690"/>
      <c r="P109" s="690"/>
      <c r="Q109" s="690"/>
      <c r="R109" s="690"/>
      <c r="S109" s="690"/>
      <c r="T109" s="690"/>
      <c r="U109" s="690"/>
      <c r="V109" s="690"/>
      <c r="W109" s="984"/>
      <c r="X109" s="834"/>
    </row>
    <row r="110" spans="1:24">
      <c r="B110" s="1020"/>
      <c r="C110" s="353" t="s">
        <v>114</v>
      </c>
      <c r="D110" s="603" t="s">
        <v>297</v>
      </c>
      <c r="E110" s="336" t="s">
        <v>683</v>
      </c>
      <c r="F110" s="370" t="s">
        <v>763</v>
      </c>
      <c r="G110" s="466">
        <v>2024</v>
      </c>
      <c r="H110" s="485"/>
      <c r="I110" s="485"/>
      <c r="J110" s="485"/>
      <c r="K110" s="485"/>
      <c r="L110" s="485"/>
      <c r="M110" s="485"/>
      <c r="N110" s="491">
        <v>2024</v>
      </c>
      <c r="O110" s="418"/>
      <c r="P110" s="418"/>
      <c r="Q110" s="418"/>
      <c r="R110" s="418"/>
      <c r="S110" s="418"/>
      <c r="T110" s="418"/>
      <c r="U110" s="418"/>
      <c r="V110" s="418"/>
      <c r="W110" s="979"/>
      <c r="X110" s="834"/>
    </row>
    <row r="111" spans="1:24">
      <c r="B111" s="307" t="s">
        <v>68</v>
      </c>
      <c r="C111" s="324"/>
      <c r="D111" s="604" t="s">
        <v>297</v>
      </c>
      <c r="E111" s="394" t="s">
        <v>683</v>
      </c>
      <c r="F111" s="370" t="s">
        <v>695</v>
      </c>
      <c r="G111" s="466">
        <v>2024</v>
      </c>
      <c r="H111" s="485"/>
      <c r="I111" s="485"/>
      <c r="J111" s="485"/>
      <c r="K111" s="485"/>
      <c r="L111" s="485"/>
      <c r="M111" s="485"/>
      <c r="N111" s="491">
        <v>2024</v>
      </c>
      <c r="O111" s="485"/>
      <c r="P111" s="485"/>
      <c r="Q111" s="485"/>
      <c r="R111" s="485"/>
      <c r="S111" s="485"/>
      <c r="T111" s="485"/>
      <c r="U111" s="485"/>
      <c r="V111" s="485"/>
      <c r="W111" s="449"/>
      <c r="X111" s="836"/>
    </row>
    <row r="112" spans="1:24">
      <c r="A112" s="356" t="s">
        <v>555</v>
      </c>
      <c r="B112" s="307" t="s">
        <v>76</v>
      </c>
      <c r="C112" s="324"/>
      <c r="D112" s="604" t="s">
        <v>297</v>
      </c>
      <c r="E112" s="394" t="s">
        <v>683</v>
      </c>
      <c r="F112" s="375" t="s">
        <v>696</v>
      </c>
      <c r="G112" s="466">
        <v>2024</v>
      </c>
      <c r="H112" s="485"/>
      <c r="I112" s="485"/>
      <c r="J112" s="485"/>
      <c r="K112" s="485"/>
      <c r="L112" s="485"/>
      <c r="M112" s="485"/>
      <c r="N112" s="491">
        <v>2024</v>
      </c>
      <c r="O112" s="485"/>
      <c r="P112" s="485"/>
      <c r="Q112" s="485"/>
      <c r="R112" s="485"/>
      <c r="S112" s="485"/>
      <c r="T112" s="485"/>
      <c r="U112" s="485"/>
      <c r="V112" s="485"/>
      <c r="W112" s="449"/>
      <c r="X112" s="836"/>
    </row>
    <row r="113" spans="1:24">
      <c r="A113" s="356"/>
      <c r="B113" s="1019" t="s">
        <v>222</v>
      </c>
      <c r="C113" s="352" t="s">
        <v>240</v>
      </c>
      <c r="D113" s="600" t="s">
        <v>412</v>
      </c>
      <c r="E113" s="333" t="s">
        <v>382</v>
      </c>
      <c r="F113" s="334" t="s">
        <v>637</v>
      </c>
      <c r="G113" s="419"/>
      <c r="H113" s="419"/>
      <c r="I113" s="409"/>
      <c r="J113" s="409"/>
      <c r="K113" s="409"/>
      <c r="L113" s="409"/>
      <c r="M113" s="409"/>
      <c r="N113" s="409"/>
      <c r="O113" s="409"/>
      <c r="P113" s="409"/>
      <c r="Q113" s="409"/>
      <c r="R113" s="409"/>
      <c r="S113" s="409"/>
      <c r="T113" s="409"/>
      <c r="U113" s="409"/>
      <c r="V113" s="409"/>
      <c r="W113" s="446"/>
      <c r="X113" s="827"/>
    </row>
    <row r="114" spans="1:24">
      <c r="A114" s="356"/>
      <c r="B114" s="1020"/>
      <c r="C114" s="353" t="s">
        <v>64</v>
      </c>
      <c r="D114" s="603" t="s">
        <v>302</v>
      </c>
      <c r="E114" s="339" t="s">
        <v>638</v>
      </c>
      <c r="F114" s="340" t="s">
        <v>639</v>
      </c>
      <c r="G114" s="761"/>
      <c r="H114" s="761"/>
      <c r="I114" s="761"/>
      <c r="J114" s="419"/>
      <c r="K114" s="761"/>
      <c r="L114" s="761"/>
      <c r="M114" s="761"/>
      <c r="N114" s="761"/>
      <c r="O114" s="761"/>
      <c r="P114" s="761"/>
      <c r="Q114" s="761"/>
      <c r="R114" s="761"/>
      <c r="S114" s="761"/>
      <c r="T114" s="761"/>
      <c r="U114" s="761"/>
      <c r="V114" s="761"/>
      <c r="W114" s="980"/>
      <c r="X114" s="829"/>
    </row>
    <row r="115" spans="1:24">
      <c r="A115" s="825"/>
      <c r="B115" s="307" t="s">
        <v>66</v>
      </c>
      <c r="C115" s="324"/>
      <c r="D115" s="604" t="s">
        <v>297</v>
      </c>
      <c r="E115" s="394" t="s">
        <v>683</v>
      </c>
      <c r="F115" s="375" t="s">
        <v>697</v>
      </c>
      <c r="G115" s="416">
        <v>44927</v>
      </c>
      <c r="H115" s="416"/>
      <c r="I115" s="416"/>
      <c r="J115" s="416"/>
      <c r="K115" s="416"/>
      <c r="L115" s="416"/>
      <c r="M115" s="416"/>
      <c r="N115" s="491">
        <v>2024</v>
      </c>
      <c r="O115" s="485"/>
      <c r="P115" s="485"/>
      <c r="Q115" s="485"/>
      <c r="R115" s="485"/>
      <c r="S115" s="485"/>
      <c r="T115" s="485"/>
      <c r="U115" s="485"/>
      <c r="V115" s="485"/>
      <c r="W115" s="449"/>
      <c r="X115" s="829"/>
    </row>
    <row r="116" spans="1:24">
      <c r="B116" s="307" t="s">
        <v>71</v>
      </c>
      <c r="C116" s="324"/>
      <c r="D116" s="604" t="s">
        <v>612</v>
      </c>
      <c r="E116" s="393" t="s">
        <v>640</v>
      </c>
      <c r="F116" s="310" t="s">
        <v>641</v>
      </c>
      <c r="G116" s="415"/>
      <c r="H116" s="415"/>
      <c r="I116" s="415"/>
      <c r="J116" s="415"/>
      <c r="K116" s="415"/>
      <c r="L116" s="415"/>
      <c r="M116" s="415"/>
      <c r="N116" s="415"/>
      <c r="O116" s="415"/>
      <c r="P116" s="415"/>
      <c r="Q116" s="415"/>
      <c r="R116" s="415"/>
      <c r="S116" s="415"/>
      <c r="T116" s="415"/>
      <c r="U116" s="415"/>
      <c r="V116" s="415"/>
      <c r="W116" s="981"/>
      <c r="X116" s="832"/>
    </row>
    <row r="117" spans="1:24">
      <c r="B117" s="307" t="s">
        <v>70</v>
      </c>
      <c r="C117" s="324"/>
      <c r="D117" s="604" t="s">
        <v>612</v>
      </c>
      <c r="E117" s="393" t="s">
        <v>640</v>
      </c>
      <c r="F117" s="310" t="s">
        <v>642</v>
      </c>
      <c r="G117" s="415"/>
      <c r="H117" s="415"/>
      <c r="I117" s="415"/>
      <c r="J117" s="415"/>
      <c r="K117" s="415"/>
      <c r="L117" s="415"/>
      <c r="M117" s="415"/>
      <c r="N117" s="415"/>
      <c r="O117" s="415"/>
      <c r="P117" s="415"/>
      <c r="Q117" s="415"/>
      <c r="R117" s="415"/>
      <c r="S117" s="415"/>
      <c r="T117" s="415"/>
      <c r="U117" s="415"/>
      <c r="V117" s="415"/>
      <c r="W117" s="981"/>
      <c r="X117" s="832"/>
    </row>
    <row r="118" spans="1:24">
      <c r="B118" s="826" t="s">
        <v>75</v>
      </c>
      <c r="C118" s="353"/>
      <c r="D118" s="603" t="s">
        <v>698</v>
      </c>
      <c r="E118" s="398" t="s">
        <v>699</v>
      </c>
      <c r="F118" s="340" t="s">
        <v>700</v>
      </c>
      <c r="G118" s="420">
        <v>45261</v>
      </c>
      <c r="H118" s="694"/>
      <c r="I118" s="694"/>
      <c r="J118" s="694"/>
      <c r="K118" s="694"/>
      <c r="L118" s="694"/>
      <c r="M118" s="694"/>
      <c r="N118" s="496" t="s">
        <v>665</v>
      </c>
      <c r="O118" s="692"/>
      <c r="P118" s="692"/>
      <c r="Q118" s="692"/>
      <c r="R118" s="692"/>
      <c r="S118" s="692"/>
      <c r="T118" s="692"/>
      <c r="U118" s="692"/>
      <c r="V118" s="692"/>
      <c r="W118" s="982"/>
      <c r="X118" s="836"/>
    </row>
    <row r="119" spans="1:24">
      <c r="B119" s="307" t="s">
        <v>583</v>
      </c>
      <c r="C119" s="324"/>
      <c r="D119" s="604" t="s">
        <v>412</v>
      </c>
      <c r="E119" s="393" t="s">
        <v>643</v>
      </c>
      <c r="F119" s="310" t="s">
        <v>644</v>
      </c>
      <c r="G119" s="421"/>
      <c r="H119" s="421"/>
      <c r="I119" s="402"/>
      <c r="J119" s="402"/>
      <c r="K119" s="402"/>
      <c r="L119" s="402"/>
      <c r="M119" s="402"/>
      <c r="N119" s="402"/>
      <c r="O119" s="402"/>
      <c r="P119" s="402"/>
      <c r="Q119" s="402"/>
      <c r="R119" s="402"/>
      <c r="S119" s="402"/>
      <c r="T119" s="402"/>
      <c r="U119" s="402"/>
      <c r="V119" s="402"/>
      <c r="W119" s="442"/>
      <c r="X119" s="827"/>
    </row>
    <row r="120" spans="1:24">
      <c r="B120" s="307" t="s">
        <v>257</v>
      </c>
      <c r="C120" s="324"/>
      <c r="D120" s="604" t="s">
        <v>412</v>
      </c>
      <c r="E120" s="393" t="s">
        <v>386</v>
      </c>
      <c r="F120" s="310" t="s">
        <v>644</v>
      </c>
      <c r="G120" s="421"/>
      <c r="H120" s="421"/>
      <c r="I120" s="402"/>
      <c r="J120" s="402"/>
      <c r="K120" s="402"/>
      <c r="L120" s="402"/>
      <c r="M120" s="402"/>
      <c r="N120" s="402"/>
      <c r="O120" s="402"/>
      <c r="P120" s="402"/>
      <c r="Q120" s="402"/>
      <c r="R120" s="402"/>
      <c r="S120" s="402"/>
      <c r="T120" s="402"/>
      <c r="U120" s="402"/>
      <c r="V120" s="402"/>
      <c r="W120" s="442"/>
      <c r="X120" s="827"/>
    </row>
    <row r="121" spans="1:24">
      <c r="B121" s="1019" t="s">
        <v>118</v>
      </c>
      <c r="C121" s="352" t="s">
        <v>240</v>
      </c>
      <c r="D121" s="600" t="s">
        <v>412</v>
      </c>
      <c r="E121" s="385" t="s">
        <v>645</v>
      </c>
      <c r="F121" s="334" t="s">
        <v>644</v>
      </c>
      <c r="G121" s="422"/>
      <c r="H121" s="422"/>
      <c r="I121" s="405"/>
      <c r="J121" s="405"/>
      <c r="K121" s="405"/>
      <c r="L121" s="405"/>
      <c r="M121" s="405"/>
      <c r="N121" s="405"/>
      <c r="O121" s="405"/>
      <c r="P121" s="405"/>
      <c r="Q121" s="405"/>
      <c r="R121" s="405"/>
      <c r="S121" s="405"/>
      <c r="T121" s="405"/>
      <c r="U121" s="405"/>
      <c r="V121" s="405"/>
      <c r="W121" s="983"/>
      <c r="X121" s="827"/>
    </row>
    <row r="122" spans="1:24">
      <c r="B122" s="1020"/>
      <c r="C122" s="353" t="s">
        <v>591</v>
      </c>
      <c r="D122" s="603" t="s">
        <v>412</v>
      </c>
      <c r="E122" s="398" t="s">
        <v>387</v>
      </c>
      <c r="F122" s="340" t="s">
        <v>646</v>
      </c>
      <c r="G122" s="423"/>
      <c r="H122" s="423"/>
      <c r="I122" s="411"/>
      <c r="J122" s="411"/>
      <c r="K122" s="411"/>
      <c r="L122" s="411"/>
      <c r="M122" s="411"/>
      <c r="N122" s="411"/>
      <c r="O122" s="411"/>
      <c r="P122" s="411"/>
      <c r="Q122" s="411"/>
      <c r="R122" s="411"/>
      <c r="S122" s="411"/>
      <c r="T122" s="411"/>
      <c r="U122" s="411"/>
      <c r="V122" s="411"/>
      <c r="W122" s="989"/>
      <c r="X122" s="827"/>
    </row>
    <row r="123" spans="1:24">
      <c r="B123" s="358" t="s">
        <v>65</v>
      </c>
      <c r="C123" s="371"/>
      <c r="D123" s="610" t="s">
        <v>412</v>
      </c>
      <c r="E123" s="387" t="s">
        <v>647</v>
      </c>
      <c r="F123" s="361" t="s">
        <v>648</v>
      </c>
      <c r="G123" s="424"/>
      <c r="H123" s="424"/>
      <c r="I123" s="403"/>
      <c r="J123" s="403"/>
      <c r="K123" s="403"/>
      <c r="L123" s="403"/>
      <c r="M123" s="403"/>
      <c r="N123" s="693"/>
      <c r="O123" s="693"/>
      <c r="P123" s="693"/>
      <c r="Q123" s="693"/>
      <c r="R123" s="693"/>
      <c r="S123" s="693"/>
      <c r="T123" s="693"/>
      <c r="U123" s="693"/>
      <c r="V123" s="693"/>
      <c r="W123" s="973"/>
      <c r="X123" s="827"/>
    </row>
    <row r="125" spans="1:24">
      <c r="B125" s="362" t="s">
        <v>9</v>
      </c>
      <c r="C125" s="290"/>
      <c r="D125" s="363" t="s">
        <v>26</v>
      </c>
      <c r="E125" s="363" t="s">
        <v>168</v>
      </c>
      <c r="F125" s="290" t="s">
        <v>530</v>
      </c>
    </row>
    <row r="126" spans="1:24">
      <c r="B126" s="376" t="s">
        <v>28</v>
      </c>
      <c r="C126" s="364"/>
      <c r="D126" s="330"/>
      <c r="E126" s="305"/>
      <c r="G126" s="460" t="s">
        <v>559</v>
      </c>
      <c r="H126" s="460"/>
      <c r="I126" s="460"/>
      <c r="J126" s="460"/>
      <c r="K126" s="460"/>
      <c r="L126" s="460"/>
      <c r="M126" s="460"/>
      <c r="N126" s="412"/>
      <c r="O126" s="412"/>
      <c r="P126" s="412"/>
      <c r="Q126" s="412"/>
      <c r="R126" s="412"/>
      <c r="S126" s="412"/>
      <c r="T126" s="412"/>
      <c r="U126" s="412"/>
      <c r="V126" s="412"/>
      <c r="W126" s="412"/>
      <c r="X126" s="356"/>
    </row>
    <row r="127" spans="1:24">
      <c r="B127" s="377" t="s">
        <v>649</v>
      </c>
      <c r="C127" s="378"/>
      <c r="D127" s="308" t="s">
        <v>412</v>
      </c>
      <c r="E127" s="459" t="s">
        <v>511</v>
      </c>
      <c r="F127" s="315" t="s">
        <v>675</v>
      </c>
      <c r="G127" s="421"/>
      <c r="H127" s="421"/>
      <c r="I127" s="402"/>
      <c r="J127" s="402"/>
      <c r="K127" s="402"/>
      <c r="L127" s="402"/>
      <c r="M127" s="402"/>
      <c r="N127" s="402"/>
      <c r="O127" s="402"/>
      <c r="P127" s="402"/>
      <c r="Q127" s="402"/>
      <c r="R127" s="402" t="s">
        <v>703</v>
      </c>
      <c r="S127" s="402"/>
      <c r="T127" s="402"/>
      <c r="U127" s="402"/>
      <c r="V127" s="402"/>
      <c r="W127" s="442"/>
      <c r="X127" s="828"/>
    </row>
    <row r="128" spans="1:24">
      <c r="B128" s="1021" t="s">
        <v>216</v>
      </c>
      <c r="C128" s="352" t="s">
        <v>23</v>
      </c>
      <c r="D128" s="425" t="s">
        <v>412</v>
      </c>
      <c r="E128" s="385" t="s">
        <v>511</v>
      </c>
      <c r="F128" s="334" t="s">
        <v>674</v>
      </c>
      <c r="G128" s="422" t="s">
        <v>273</v>
      </c>
      <c r="H128" s="422"/>
      <c r="I128" s="405"/>
      <c r="J128" s="405"/>
      <c r="K128" s="405"/>
      <c r="L128" s="405"/>
      <c r="M128" s="405" t="s">
        <v>664</v>
      </c>
      <c r="N128" s="405"/>
      <c r="O128" s="405"/>
      <c r="P128" s="405"/>
      <c r="Q128" s="405"/>
      <c r="R128" s="405"/>
      <c r="S128" s="405"/>
      <c r="T128" s="405"/>
      <c r="U128" s="405"/>
      <c r="V128" s="405"/>
      <c r="W128" s="983"/>
      <c r="X128" s="828"/>
    </row>
    <row r="129" spans="1:24">
      <c r="B129" s="1022"/>
      <c r="C129" s="350" t="s">
        <v>24</v>
      </c>
      <c r="D129" s="425" t="s">
        <v>412</v>
      </c>
      <c r="E129" s="336" t="s">
        <v>511</v>
      </c>
      <c r="F129" s="334" t="s">
        <v>674</v>
      </c>
      <c r="G129" s="419" t="s">
        <v>273</v>
      </c>
      <c r="H129" s="419"/>
      <c r="I129" s="409"/>
      <c r="J129" s="409"/>
      <c r="K129" s="409"/>
      <c r="L129" s="409"/>
      <c r="M129" s="409"/>
      <c r="N129" s="409"/>
      <c r="O129" s="409"/>
      <c r="P129" s="409"/>
      <c r="Q129" s="409"/>
      <c r="R129" s="409"/>
      <c r="S129" s="409"/>
      <c r="T129" s="409"/>
      <c r="U129" s="409"/>
      <c r="V129" s="409"/>
      <c r="W129" s="446"/>
      <c r="X129" s="828"/>
    </row>
    <row r="130" spans="1:24">
      <c r="A130" s="356"/>
      <c r="B130" s="1022"/>
      <c r="C130" s="350" t="s">
        <v>552</v>
      </c>
      <c r="D130" s="425" t="s">
        <v>412</v>
      </c>
      <c r="E130" s="394" t="s">
        <v>511</v>
      </c>
      <c r="F130" s="334" t="s">
        <v>676</v>
      </c>
      <c r="G130" s="419" t="s">
        <v>273</v>
      </c>
      <c r="H130" s="419"/>
      <c r="I130" s="409"/>
      <c r="J130" s="409"/>
      <c r="K130" s="409"/>
      <c r="L130" s="409"/>
      <c r="M130" s="409"/>
      <c r="N130" s="409"/>
      <c r="O130" s="409"/>
      <c r="P130" s="409"/>
      <c r="Q130" s="409"/>
      <c r="R130" s="409" t="s">
        <v>703</v>
      </c>
      <c r="S130" s="409"/>
      <c r="T130" s="409"/>
      <c r="U130" s="409" t="s">
        <v>833</v>
      </c>
      <c r="V130" s="409"/>
      <c r="W130" s="446"/>
      <c r="X130" s="828"/>
    </row>
    <row r="131" spans="1:24">
      <c r="B131" s="1022"/>
      <c r="C131" s="350" t="s">
        <v>12</v>
      </c>
      <c r="D131" s="425" t="s">
        <v>412</v>
      </c>
      <c r="E131" s="394" t="s">
        <v>511</v>
      </c>
      <c r="F131" s="334" t="s">
        <v>674</v>
      </c>
      <c r="G131" s="419" t="s">
        <v>273</v>
      </c>
      <c r="H131" s="419"/>
      <c r="I131" s="409"/>
      <c r="J131" s="409"/>
      <c r="K131" s="409"/>
      <c r="L131" s="409"/>
      <c r="M131" s="409"/>
      <c r="N131" s="409"/>
      <c r="O131" s="409"/>
      <c r="P131" s="409"/>
      <c r="Q131" s="409"/>
      <c r="R131" s="409"/>
      <c r="S131" s="409" t="s">
        <v>703</v>
      </c>
      <c r="T131" s="409"/>
      <c r="U131" s="409" t="s">
        <v>833</v>
      </c>
      <c r="V131" s="409"/>
      <c r="W131" s="446"/>
      <c r="X131" s="828"/>
    </row>
    <row r="132" spans="1:24">
      <c r="B132" s="1022"/>
      <c r="C132" s="350" t="s">
        <v>22</v>
      </c>
      <c r="D132" s="425" t="s">
        <v>412</v>
      </c>
      <c r="E132" s="394" t="s">
        <v>511</v>
      </c>
      <c r="F132" s="337" t="s">
        <v>677</v>
      </c>
      <c r="G132" s="419" t="s">
        <v>273</v>
      </c>
      <c r="H132" s="419"/>
      <c r="I132" s="409"/>
      <c r="J132" s="409"/>
      <c r="K132" s="409"/>
      <c r="L132" s="409"/>
      <c r="M132" s="409"/>
      <c r="N132" s="409"/>
      <c r="O132" s="409"/>
      <c r="P132" s="409"/>
      <c r="Q132" s="409"/>
      <c r="R132" s="409"/>
      <c r="S132" s="409" t="s">
        <v>703</v>
      </c>
      <c r="T132" s="409"/>
      <c r="U132" s="409" t="s">
        <v>833</v>
      </c>
      <c r="V132" s="409"/>
      <c r="W132" s="446"/>
      <c r="X132" s="828"/>
    </row>
    <row r="133" spans="1:24">
      <c r="B133" s="1018"/>
      <c r="C133" s="353" t="s">
        <v>21</v>
      </c>
      <c r="D133" s="425" t="s">
        <v>412</v>
      </c>
      <c r="E133" s="339" t="s">
        <v>511</v>
      </c>
      <c r="F133" s="340" t="s">
        <v>678</v>
      </c>
      <c r="G133" s="422" t="s">
        <v>273</v>
      </c>
      <c r="H133" s="422"/>
      <c r="I133" s="405"/>
      <c r="J133" s="405"/>
      <c r="K133" s="405"/>
      <c r="L133" s="405"/>
      <c r="M133" s="405" t="s">
        <v>664</v>
      </c>
      <c r="N133" s="409"/>
      <c r="O133" s="409"/>
      <c r="P133" s="409"/>
      <c r="Q133" s="409"/>
      <c r="R133" s="409"/>
      <c r="S133" s="409"/>
      <c r="T133" s="409"/>
      <c r="U133" s="409"/>
      <c r="V133" s="409"/>
      <c r="W133" s="446"/>
      <c r="X133" s="828"/>
    </row>
    <row r="134" spans="1:24">
      <c r="B134" s="307" t="s">
        <v>556</v>
      </c>
      <c r="C134" s="324"/>
      <c r="D134" s="497" t="s">
        <v>606</v>
      </c>
      <c r="E134" s="393" t="s">
        <v>391</v>
      </c>
      <c r="F134" s="315" t="s">
        <v>650</v>
      </c>
      <c r="G134" s="421" t="s">
        <v>273</v>
      </c>
      <c r="H134" s="414"/>
      <c r="I134" s="467" t="s">
        <v>273</v>
      </c>
      <c r="J134" s="409"/>
      <c r="K134" s="409"/>
      <c r="L134" s="409"/>
      <c r="M134" s="409"/>
      <c r="N134" s="405"/>
      <c r="O134" s="405"/>
      <c r="P134" s="405"/>
      <c r="Q134" s="405"/>
      <c r="R134" s="405"/>
      <c r="S134" s="405"/>
      <c r="T134" s="405"/>
      <c r="U134" s="405"/>
      <c r="V134" s="405"/>
      <c r="W134" s="983"/>
      <c r="X134" s="828"/>
    </row>
    <row r="135" spans="1:24">
      <c r="B135" s="752" t="s">
        <v>215</v>
      </c>
      <c r="C135" s="352" t="s">
        <v>240</v>
      </c>
      <c r="D135" s="569" t="s">
        <v>412</v>
      </c>
      <c r="E135" s="385" t="s">
        <v>651</v>
      </c>
      <c r="F135" s="357" t="s">
        <v>652</v>
      </c>
      <c r="G135" s="419" t="s">
        <v>273</v>
      </c>
      <c r="H135" s="419"/>
      <c r="I135" s="409"/>
      <c r="J135" s="409"/>
      <c r="K135" s="409"/>
      <c r="L135" s="409"/>
      <c r="M135" s="409"/>
      <c r="N135" s="409"/>
      <c r="O135" s="409"/>
      <c r="P135" s="409"/>
      <c r="Q135" s="409"/>
      <c r="R135" s="409"/>
      <c r="S135" s="409"/>
      <c r="T135" s="409"/>
      <c r="U135" s="409"/>
      <c r="V135" s="409"/>
      <c r="W135" s="446"/>
      <c r="X135" s="828"/>
    </row>
    <row r="136" spans="1:24">
      <c r="B136" s="307" t="s">
        <v>77</v>
      </c>
      <c r="C136" s="324"/>
      <c r="D136" s="308" t="s">
        <v>412</v>
      </c>
      <c r="E136" s="393" t="s">
        <v>643</v>
      </c>
      <c r="F136" s="315" t="s">
        <v>653</v>
      </c>
      <c r="G136" s="421"/>
      <c r="H136" s="421"/>
      <c r="I136" s="402"/>
      <c r="J136" s="402"/>
      <c r="K136" s="402"/>
      <c r="L136" s="402"/>
      <c r="M136" s="402"/>
      <c r="N136" s="402"/>
      <c r="O136" s="402"/>
      <c r="P136" s="402"/>
      <c r="Q136" s="402"/>
      <c r="R136" s="402"/>
      <c r="S136" s="402"/>
      <c r="T136" s="402"/>
      <c r="U136" s="402"/>
      <c r="V136" s="402"/>
      <c r="W136" s="442"/>
      <c r="X136" s="828"/>
    </row>
    <row r="137" spans="1:24">
      <c r="A137" s="356"/>
      <c r="B137" s="307" t="s">
        <v>654</v>
      </c>
      <c r="C137" s="324"/>
      <c r="D137" s="308" t="s">
        <v>655</v>
      </c>
      <c r="E137" s="393" t="s">
        <v>656</v>
      </c>
      <c r="F137" s="315" t="s">
        <v>657</v>
      </c>
      <c r="G137" s="402"/>
      <c r="H137" s="402"/>
      <c r="I137" s="402"/>
      <c r="J137" s="402"/>
      <c r="K137" s="402"/>
      <c r="L137" s="402"/>
      <c r="M137" s="402"/>
      <c r="N137" s="402"/>
      <c r="O137" s="402"/>
      <c r="P137" s="402"/>
      <c r="Q137" s="402"/>
      <c r="R137" s="402"/>
      <c r="S137" s="402"/>
      <c r="T137" s="402"/>
      <c r="U137" s="402"/>
      <c r="V137" s="402"/>
      <c r="W137" s="452"/>
      <c r="X137" s="837"/>
    </row>
    <row r="138" spans="1:24">
      <c r="B138" s="307" t="s">
        <v>121</v>
      </c>
      <c r="C138" s="324"/>
      <c r="D138" s="308" t="s">
        <v>412</v>
      </c>
      <c r="E138" s="393" t="s">
        <v>386</v>
      </c>
      <c r="F138" s="315" t="s">
        <v>653</v>
      </c>
      <c r="G138" s="421"/>
      <c r="H138" s="421"/>
      <c r="I138" s="402"/>
      <c r="J138" s="402"/>
      <c r="K138" s="402"/>
      <c r="L138" s="402"/>
      <c r="M138" s="467"/>
      <c r="N138" s="402"/>
      <c r="O138" s="402"/>
      <c r="P138" s="402"/>
      <c r="Q138" s="402"/>
      <c r="R138" s="402"/>
      <c r="S138" s="402"/>
      <c r="T138" s="402"/>
      <c r="U138" s="402"/>
      <c r="V138" s="402"/>
      <c r="W138" s="442"/>
      <c r="X138" s="828"/>
    </row>
    <row r="139" spans="1:24">
      <c r="B139" s="307" t="s">
        <v>39</v>
      </c>
      <c r="C139" s="324"/>
      <c r="D139" s="308" t="s">
        <v>42</v>
      </c>
      <c r="E139" s="393" t="s">
        <v>809</v>
      </c>
      <c r="F139" s="315" t="s">
        <v>658</v>
      </c>
      <c r="G139" s="421"/>
      <c r="H139" s="421"/>
      <c r="I139" s="402"/>
      <c r="J139" s="402"/>
      <c r="K139" s="402"/>
      <c r="L139" s="402"/>
      <c r="M139" s="402"/>
      <c r="N139" s="402"/>
      <c r="O139" s="402"/>
      <c r="P139" s="402"/>
      <c r="Q139" s="402"/>
      <c r="R139" s="402"/>
      <c r="S139" s="402"/>
      <c r="T139" s="402"/>
      <c r="U139" s="402"/>
      <c r="V139" s="402"/>
      <c r="W139" s="452"/>
      <c r="X139" s="837"/>
    </row>
    <row r="140" spans="1:24">
      <c r="B140" s="697" t="s">
        <v>226</v>
      </c>
      <c r="C140" s="324"/>
      <c r="D140" s="461" t="s">
        <v>659</v>
      </c>
      <c r="E140" s="393" t="s">
        <v>335</v>
      </c>
      <c r="F140" s="315" t="s">
        <v>811</v>
      </c>
      <c r="G140" s="421"/>
      <c r="H140" s="421"/>
      <c r="I140" s="402"/>
      <c r="J140" s="402"/>
      <c r="K140" s="402"/>
      <c r="L140" s="402"/>
      <c r="M140" s="402"/>
      <c r="N140" s="402"/>
      <c r="O140" s="402"/>
      <c r="P140" s="402"/>
      <c r="Q140" s="402"/>
      <c r="R140" s="402"/>
      <c r="S140" s="402"/>
      <c r="T140" s="402"/>
      <c r="U140" s="402"/>
      <c r="V140" s="402"/>
      <c r="W140" s="442"/>
      <c r="X140" s="828"/>
    </row>
    <row r="141" spans="1:24">
      <c r="B141" s="307" t="s">
        <v>264</v>
      </c>
      <c r="C141" s="324"/>
      <c r="D141" s="308" t="s">
        <v>249</v>
      </c>
      <c r="E141" s="393" t="s">
        <v>635</v>
      </c>
      <c r="F141" s="381" t="s">
        <v>660</v>
      </c>
      <c r="G141" s="484" t="s">
        <v>762</v>
      </c>
      <c r="H141" s="485"/>
      <c r="I141" s="485"/>
      <c r="J141" s="485"/>
      <c r="K141" s="485"/>
      <c r="L141" s="485"/>
      <c r="M141" s="485"/>
      <c r="N141" s="485"/>
      <c r="O141" s="485"/>
      <c r="P141" s="485"/>
      <c r="Q141" s="485"/>
      <c r="R141" s="485"/>
      <c r="S141" s="485"/>
      <c r="T141" s="485"/>
      <c r="U141" s="485" t="s">
        <v>703</v>
      </c>
      <c r="V141" s="413"/>
      <c r="W141" s="449"/>
      <c r="X141" s="829"/>
    </row>
    <row r="142" spans="1:24">
      <c r="B142" s="382" t="s">
        <v>116</v>
      </c>
      <c r="C142" s="324"/>
      <c r="D142" s="308"/>
      <c r="E142" s="309"/>
      <c r="F142" s="315"/>
      <c r="G142" s="426" t="s">
        <v>559</v>
      </c>
      <c r="H142" s="426"/>
      <c r="I142" s="426"/>
      <c r="J142" s="426"/>
      <c r="K142" s="426"/>
      <c r="L142" s="426"/>
      <c r="M142" s="426"/>
      <c r="N142" s="426"/>
      <c r="O142" s="426"/>
      <c r="P142" s="426"/>
      <c r="Q142" s="426"/>
      <c r="R142" s="426"/>
      <c r="S142" s="426"/>
      <c r="T142" s="426"/>
      <c r="U142" s="426"/>
      <c r="V142" s="426"/>
      <c r="W142" s="426"/>
      <c r="X142" s="838"/>
    </row>
    <row r="143" spans="1:24">
      <c r="B143" s="382" t="s">
        <v>217</v>
      </c>
      <c r="C143" s="324"/>
      <c r="D143" s="308"/>
      <c r="E143" s="309"/>
      <c r="F143" s="315"/>
      <c r="G143" s="426" t="s">
        <v>559</v>
      </c>
      <c r="H143" s="426"/>
      <c r="I143" s="426"/>
      <c r="J143" s="426"/>
      <c r="K143" s="426"/>
      <c r="L143" s="426"/>
      <c r="M143" s="426"/>
      <c r="N143" s="426"/>
      <c r="O143" s="426"/>
      <c r="P143" s="426"/>
      <c r="Q143" s="426"/>
      <c r="R143" s="426"/>
      <c r="S143" s="426"/>
      <c r="T143" s="426"/>
      <c r="U143" s="426"/>
      <c r="V143" s="426"/>
      <c r="W143" s="426"/>
      <c r="X143" s="838"/>
    </row>
    <row r="144" spans="1:24">
      <c r="B144" s="307" t="s">
        <v>68</v>
      </c>
      <c r="C144" s="324"/>
      <c r="D144" s="308" t="s">
        <v>297</v>
      </c>
      <c r="E144" s="309" t="s">
        <v>764</v>
      </c>
      <c r="F144" s="381" t="s">
        <v>765</v>
      </c>
      <c r="G144" s="428">
        <v>2023</v>
      </c>
      <c r="H144" s="462"/>
      <c r="I144" s="428"/>
      <c r="J144" s="428"/>
      <c r="K144" s="428"/>
      <c r="L144" s="428"/>
      <c r="M144" s="428"/>
      <c r="N144" s="428"/>
      <c r="O144" s="428"/>
      <c r="P144" s="428"/>
      <c r="Q144" s="428"/>
      <c r="R144" s="428"/>
      <c r="S144" s="428"/>
      <c r="T144" s="428"/>
      <c r="U144" s="428"/>
      <c r="V144" s="428"/>
      <c r="W144" s="453"/>
      <c r="X144" s="839"/>
    </row>
    <row r="145" spans="1:44">
      <c r="B145" s="307" t="s">
        <v>76</v>
      </c>
      <c r="C145" s="324"/>
      <c r="D145" s="308" t="s">
        <v>297</v>
      </c>
      <c r="E145" s="393" t="s">
        <v>764</v>
      </c>
      <c r="F145" s="381" t="s">
        <v>766</v>
      </c>
      <c r="G145" s="428">
        <v>2023</v>
      </c>
      <c r="H145" s="462"/>
      <c r="I145" s="428"/>
      <c r="J145" s="428"/>
      <c r="K145" s="428"/>
      <c r="L145" s="428"/>
      <c r="M145" s="428"/>
      <c r="N145" s="428"/>
      <c r="O145" s="428"/>
      <c r="P145" s="428"/>
      <c r="Q145" s="428"/>
      <c r="R145" s="428"/>
      <c r="S145" s="428"/>
      <c r="T145" s="428"/>
      <c r="U145" s="428"/>
      <c r="V145" s="428"/>
      <c r="W145" s="453"/>
      <c r="X145" s="839"/>
    </row>
    <row r="146" spans="1:44">
      <c r="A146" s="356"/>
      <c r="B146" s="307" t="s">
        <v>222</v>
      </c>
      <c r="C146" s="324" t="s">
        <v>64</v>
      </c>
      <c r="D146" s="338" t="s">
        <v>302</v>
      </c>
      <c r="E146" s="393" t="s">
        <v>638</v>
      </c>
      <c r="F146" s="315" t="s">
        <v>661</v>
      </c>
      <c r="G146" s="421">
        <v>2024</v>
      </c>
      <c r="H146" s="402">
        <v>2025</v>
      </c>
      <c r="I146" s="467"/>
      <c r="J146" s="467"/>
      <c r="K146" s="467"/>
      <c r="L146" s="467"/>
      <c r="M146" s="467"/>
      <c r="N146" s="467"/>
      <c r="O146" s="467"/>
      <c r="P146" s="467"/>
      <c r="Q146" s="467"/>
      <c r="R146" s="467"/>
      <c r="S146" s="467"/>
      <c r="T146" s="467"/>
      <c r="U146" s="467"/>
      <c r="V146" s="421"/>
      <c r="W146" s="452"/>
      <c r="X146" s="837"/>
    </row>
    <row r="147" spans="1:44">
      <c r="B147" s="382" t="s">
        <v>66</v>
      </c>
      <c r="C147" s="324"/>
      <c r="D147" s="990" t="s">
        <v>297</v>
      </c>
      <c r="E147" s="309" t="s">
        <v>764</v>
      </c>
      <c r="F147" s="381" t="s">
        <v>898</v>
      </c>
      <c r="G147" s="428">
        <v>2023</v>
      </c>
      <c r="H147" s="462"/>
      <c r="I147" s="428"/>
      <c r="J147" s="428"/>
      <c r="K147" s="428"/>
      <c r="L147" s="428"/>
      <c r="M147" s="428"/>
      <c r="N147" s="428"/>
      <c r="O147" s="428"/>
      <c r="P147" s="428"/>
      <c r="Q147" s="428"/>
      <c r="R147" s="428"/>
      <c r="S147" s="428"/>
      <c r="T147" s="428"/>
      <c r="U147" s="428"/>
      <c r="V147" s="428"/>
      <c r="W147" s="426"/>
      <c r="X147" s="838"/>
    </row>
    <row r="148" spans="1:44">
      <c r="B148" s="382" t="s">
        <v>218</v>
      </c>
      <c r="C148" s="324"/>
      <c r="D148" s="308"/>
      <c r="E148" s="309"/>
      <c r="F148" s="315"/>
      <c r="G148" s="426" t="s">
        <v>559</v>
      </c>
      <c r="H148" s="426"/>
      <c r="I148" s="426"/>
      <c r="J148" s="426"/>
      <c r="K148" s="426"/>
      <c r="L148" s="426"/>
      <c r="M148" s="426"/>
      <c r="N148" s="426"/>
      <c r="O148" s="426"/>
      <c r="P148" s="426"/>
      <c r="Q148" s="426"/>
      <c r="R148" s="426"/>
      <c r="S148" s="426"/>
      <c r="T148" s="426"/>
      <c r="U148" s="426"/>
      <c r="V148" s="426"/>
      <c r="W148" s="426"/>
      <c r="X148" s="838"/>
    </row>
    <row r="149" spans="1:44">
      <c r="B149" s="383" t="s">
        <v>75</v>
      </c>
      <c r="C149" s="371"/>
      <c r="D149" s="359"/>
      <c r="E149" s="360"/>
      <c r="F149" s="361"/>
      <c r="G149" s="427" t="s">
        <v>559</v>
      </c>
      <c r="H149" s="427"/>
      <c r="I149" s="427"/>
      <c r="J149" s="427"/>
      <c r="K149" s="427"/>
      <c r="L149" s="427"/>
      <c r="M149" s="427"/>
      <c r="N149" s="427"/>
      <c r="O149" s="427"/>
      <c r="P149" s="427"/>
      <c r="Q149" s="427"/>
      <c r="R149" s="427"/>
      <c r="S149" s="427"/>
      <c r="T149" s="427"/>
      <c r="U149" s="427"/>
      <c r="V149" s="427"/>
      <c r="W149" s="427"/>
      <c r="X149" s="838"/>
    </row>
    <row r="150" spans="1:44">
      <c r="F150" s="380"/>
    </row>
    <row r="151" spans="1:44">
      <c r="B151" s="287" t="s">
        <v>716</v>
      </c>
      <c r="F151" s="498"/>
    </row>
    <row r="152" spans="1:44">
      <c r="B152" s="628" t="s">
        <v>28</v>
      </c>
      <c r="C152" s="646"/>
      <c r="D152" s="635" t="s">
        <v>16</v>
      </c>
      <c r="E152" s="842" t="s">
        <v>535</v>
      </c>
      <c r="F152" s="611" t="s">
        <v>726</v>
      </c>
      <c r="G152" s="667"/>
      <c r="H152" s="667"/>
      <c r="I152" s="667"/>
      <c r="J152" s="667"/>
      <c r="K152" s="667"/>
      <c r="L152" s="667"/>
      <c r="M152" s="667"/>
      <c r="N152" s="667"/>
      <c r="O152" s="667"/>
      <c r="P152" s="667"/>
      <c r="Q152" s="667"/>
      <c r="R152" s="667"/>
      <c r="S152" s="667"/>
      <c r="T152" s="667"/>
      <c r="U152" s="667"/>
      <c r="V152" s="667"/>
      <c r="W152" s="612"/>
      <c r="X152" s="380"/>
      <c r="AR152" s="384"/>
    </row>
    <row r="153" spans="1:44">
      <c r="B153" s="629" t="s">
        <v>13</v>
      </c>
      <c r="C153" s="647"/>
      <c r="D153" s="636" t="s">
        <v>16</v>
      </c>
      <c r="E153" s="347" t="s">
        <v>535</v>
      </c>
      <c r="F153" s="348" t="s">
        <v>739</v>
      </c>
      <c r="G153" s="595"/>
      <c r="H153" s="595"/>
      <c r="I153" s="595"/>
      <c r="J153" s="595"/>
      <c r="K153" s="595"/>
      <c r="L153" s="595"/>
      <c r="M153" s="595"/>
      <c r="N153" s="595"/>
      <c r="O153" s="595"/>
      <c r="P153" s="595"/>
      <c r="Q153" s="595"/>
      <c r="R153" s="595"/>
      <c r="S153" s="595"/>
      <c r="T153" s="595"/>
      <c r="U153" s="595"/>
      <c r="V153" s="595"/>
      <c r="W153" s="499"/>
      <c r="X153" s="380"/>
      <c r="AR153" s="384"/>
    </row>
    <row r="154" spans="1:44">
      <c r="B154" s="1012" t="s">
        <v>21</v>
      </c>
      <c r="C154" s="661" t="s">
        <v>724</v>
      </c>
      <c r="D154" s="644" t="s">
        <v>16</v>
      </c>
      <c r="E154" s="716" t="s">
        <v>535</v>
      </c>
      <c r="F154" s="501" t="s">
        <v>273</v>
      </c>
      <c r="G154" s="549" t="s">
        <v>273</v>
      </c>
      <c r="H154" s="549" t="s">
        <v>273</v>
      </c>
      <c r="I154" s="549" t="s">
        <v>273</v>
      </c>
      <c r="J154" s="549" t="s">
        <v>273</v>
      </c>
      <c r="K154" s="549" t="s">
        <v>273</v>
      </c>
      <c r="L154" s="549" t="s">
        <v>273</v>
      </c>
      <c r="M154" s="549" t="s">
        <v>273</v>
      </c>
      <c r="N154" s="549" t="s">
        <v>273</v>
      </c>
      <c r="O154" s="549" t="s">
        <v>273</v>
      </c>
      <c r="P154" s="549" t="s">
        <v>273</v>
      </c>
      <c r="Q154" s="549" t="s">
        <v>273</v>
      </c>
      <c r="R154" s="549" t="s">
        <v>273</v>
      </c>
      <c r="S154" s="549" t="s">
        <v>273</v>
      </c>
      <c r="T154" s="549" t="s">
        <v>273</v>
      </c>
      <c r="U154" s="549" t="s">
        <v>273</v>
      </c>
      <c r="V154" s="549" t="s">
        <v>273</v>
      </c>
      <c r="W154" s="502" t="s">
        <v>273</v>
      </c>
      <c r="X154" s="380"/>
      <c r="AR154" s="384"/>
    </row>
    <row r="155" spans="1:44">
      <c r="B155" s="1013"/>
      <c r="C155" s="710" t="s">
        <v>725</v>
      </c>
      <c r="D155" s="711" t="s">
        <v>16</v>
      </c>
      <c r="E155" s="712" t="s">
        <v>535</v>
      </c>
      <c r="F155" s="713" t="s">
        <v>273</v>
      </c>
      <c r="G155" s="714"/>
      <c r="H155" s="714"/>
      <c r="I155" s="714"/>
      <c r="J155" s="714"/>
      <c r="K155" s="714"/>
      <c r="L155" s="714"/>
      <c r="M155" s="714"/>
      <c r="N155" s="714"/>
      <c r="O155" s="714"/>
      <c r="P155" s="714"/>
      <c r="Q155" s="714"/>
      <c r="R155" s="714"/>
      <c r="S155" s="714"/>
      <c r="T155" s="714"/>
      <c r="U155" s="714"/>
      <c r="V155" s="714"/>
      <c r="W155" s="715"/>
      <c r="X155" s="380"/>
      <c r="AR155" s="384"/>
    </row>
    <row r="156" spans="1:44">
      <c r="B156" s="631" t="s">
        <v>66</v>
      </c>
      <c r="C156" s="649"/>
      <c r="D156" s="638" t="s">
        <v>16</v>
      </c>
      <c r="E156" s="379" t="s">
        <v>535</v>
      </c>
      <c r="F156" s="380" t="s">
        <v>729</v>
      </c>
      <c r="G156" s="552"/>
      <c r="H156" s="552"/>
      <c r="I156" s="552"/>
      <c r="J156" s="552"/>
      <c r="K156" s="552"/>
      <c r="L156" s="552"/>
      <c r="M156" s="552"/>
      <c r="N156" s="552"/>
      <c r="O156" s="552"/>
      <c r="P156" s="552"/>
      <c r="Q156" s="552"/>
      <c r="R156" s="552"/>
      <c r="S156" s="552"/>
      <c r="T156" s="552"/>
      <c r="U156" s="552"/>
      <c r="V156" s="552"/>
      <c r="W156" s="508"/>
      <c r="X156" s="380"/>
      <c r="AR156" s="384"/>
    </row>
    <row r="157" spans="1:44">
      <c r="B157" s="630" t="s">
        <v>68</v>
      </c>
      <c r="C157" s="648"/>
      <c r="D157" s="637" t="s">
        <v>776</v>
      </c>
      <c r="E157" s="843" t="s">
        <v>778</v>
      </c>
      <c r="F157" s="506" t="s">
        <v>779</v>
      </c>
      <c r="G157" s="596"/>
      <c r="H157" s="596"/>
      <c r="I157" s="596"/>
      <c r="J157" s="596"/>
      <c r="K157" s="596"/>
      <c r="L157" s="596"/>
      <c r="M157" s="596"/>
      <c r="N157" s="596"/>
      <c r="O157" s="596"/>
      <c r="P157" s="551"/>
      <c r="Q157" s="551"/>
      <c r="R157" s="551"/>
      <c r="S157" s="551"/>
      <c r="T157" s="551"/>
      <c r="U157" s="551"/>
      <c r="V157" s="551"/>
      <c r="W157" s="551"/>
      <c r="X157" s="840"/>
      <c r="AR157" s="384"/>
    </row>
    <row r="158" spans="1:44">
      <c r="B158" s="1008" t="s">
        <v>217</v>
      </c>
      <c r="C158" s="650" t="s">
        <v>112</v>
      </c>
      <c r="D158" s="639" t="s">
        <v>16</v>
      </c>
      <c r="E158" s="613" t="s">
        <v>735</v>
      </c>
      <c r="F158" s="614" t="s">
        <v>736</v>
      </c>
      <c r="G158" s="615"/>
      <c r="H158" s="615"/>
      <c r="I158" s="615"/>
      <c r="J158" s="615"/>
      <c r="K158" s="615"/>
      <c r="L158" s="615"/>
      <c r="M158" s="615"/>
      <c r="N158" s="615"/>
      <c r="O158" s="615"/>
      <c r="P158" s="615"/>
      <c r="Q158" s="615"/>
      <c r="R158" s="615"/>
      <c r="S158" s="615"/>
      <c r="T158" s="615"/>
      <c r="U158" s="615"/>
      <c r="V158" s="615"/>
      <c r="W158" s="616"/>
      <c r="X158" s="380"/>
    </row>
    <row r="159" spans="1:44">
      <c r="B159" s="1009"/>
      <c r="C159" s="651" t="s">
        <v>69</v>
      </c>
      <c r="D159" s="640" t="s">
        <v>16</v>
      </c>
      <c r="E159" s="617" t="s">
        <v>535</v>
      </c>
      <c r="F159" s="618" t="s">
        <v>737</v>
      </c>
      <c r="G159" s="619"/>
      <c r="H159" s="619"/>
      <c r="I159" s="619"/>
      <c r="J159" s="619"/>
      <c r="K159" s="619"/>
      <c r="L159" s="619"/>
      <c r="M159" s="619"/>
      <c r="N159" s="619"/>
      <c r="O159" s="619"/>
      <c r="P159" s="619"/>
      <c r="Q159" s="619"/>
      <c r="R159" s="619"/>
      <c r="S159" s="619"/>
      <c r="T159" s="619"/>
      <c r="U159" s="619"/>
      <c r="V159" s="619"/>
      <c r="W159" s="620"/>
      <c r="X159" s="380"/>
    </row>
    <row r="160" spans="1:44">
      <c r="B160" s="1010"/>
      <c r="C160" s="651" t="s">
        <v>113</v>
      </c>
      <c r="D160" s="637" t="s">
        <v>776</v>
      </c>
      <c r="E160" s="617" t="s">
        <v>778</v>
      </c>
      <c r="F160" s="506" t="s">
        <v>779</v>
      </c>
      <c r="G160" s="621"/>
      <c r="H160" s="621"/>
      <c r="I160" s="621"/>
      <c r="J160" s="621"/>
      <c r="K160" s="621"/>
      <c r="L160" s="621"/>
      <c r="M160" s="621"/>
      <c r="N160" s="621"/>
      <c r="O160" s="621"/>
      <c r="P160" s="619"/>
      <c r="Q160" s="619"/>
      <c r="R160" s="619"/>
      <c r="S160" s="619"/>
      <c r="T160" s="619"/>
      <c r="U160" s="619"/>
      <c r="V160" s="619"/>
      <c r="W160" s="619"/>
      <c r="X160" s="840"/>
    </row>
    <row r="161" spans="2:44">
      <c r="B161" s="1011"/>
      <c r="C161" s="652" t="s">
        <v>114</v>
      </c>
      <c r="D161" s="641" t="s">
        <v>16</v>
      </c>
      <c r="E161" s="622" t="s">
        <v>535</v>
      </c>
      <c r="F161" s="623" t="s">
        <v>738</v>
      </c>
      <c r="G161" s="624"/>
      <c r="H161" s="624"/>
      <c r="I161" s="624"/>
      <c r="J161" s="624"/>
      <c r="K161" s="624"/>
      <c r="L161" s="624"/>
      <c r="M161" s="624"/>
      <c r="N161" s="624"/>
      <c r="O161" s="624"/>
      <c r="P161" s="624"/>
      <c r="Q161" s="624"/>
      <c r="R161" s="624"/>
      <c r="S161" s="624"/>
      <c r="T161" s="624"/>
      <c r="U161" s="624"/>
      <c r="V161" s="624"/>
      <c r="W161" s="625"/>
      <c r="X161" s="380"/>
    </row>
    <row r="162" spans="2:44">
      <c r="B162" s="632" t="s">
        <v>235</v>
      </c>
      <c r="C162" s="653"/>
      <c r="D162" s="642" t="s">
        <v>16</v>
      </c>
      <c r="E162" s="314" t="s">
        <v>535</v>
      </c>
      <c r="F162" s="315" t="s">
        <v>733</v>
      </c>
      <c r="G162" s="553"/>
      <c r="H162" s="553"/>
      <c r="I162" s="553"/>
      <c r="J162" s="553"/>
      <c r="K162" s="553"/>
      <c r="L162" s="553"/>
      <c r="M162" s="553"/>
      <c r="N162" s="553"/>
      <c r="O162" s="553"/>
      <c r="P162" s="553"/>
      <c r="Q162" s="553"/>
      <c r="R162" s="553"/>
      <c r="S162" s="553"/>
      <c r="T162" s="553"/>
      <c r="U162" s="553"/>
      <c r="V162" s="553"/>
      <c r="W162" s="500"/>
      <c r="X162" s="380"/>
      <c r="AR162" s="384"/>
    </row>
    <row r="163" spans="2:44">
      <c r="B163" s="1014" t="s">
        <v>218</v>
      </c>
      <c r="C163" s="654" t="s">
        <v>230</v>
      </c>
      <c r="D163" s="637" t="s">
        <v>776</v>
      </c>
      <c r="E163" s="613" t="s">
        <v>778</v>
      </c>
      <c r="F163" s="506" t="s">
        <v>779</v>
      </c>
      <c r="G163" s="626"/>
      <c r="H163" s="626"/>
      <c r="I163" s="626"/>
      <c r="J163" s="626"/>
      <c r="K163" s="626"/>
      <c r="L163" s="626"/>
      <c r="M163" s="626"/>
      <c r="N163" s="626"/>
      <c r="O163" s="626"/>
      <c r="P163" s="615"/>
      <c r="Q163" s="615"/>
      <c r="R163" s="615"/>
      <c r="S163" s="615"/>
      <c r="T163" s="615"/>
      <c r="U163" s="615"/>
      <c r="V163" s="615"/>
      <c r="W163" s="615"/>
      <c r="X163" s="840"/>
      <c r="AR163" s="384"/>
    </row>
    <row r="164" spans="2:44">
      <c r="B164" s="1015"/>
      <c r="C164" s="655" t="s">
        <v>231</v>
      </c>
      <c r="D164" s="641" t="s">
        <v>16</v>
      </c>
      <c r="E164" s="309" t="s">
        <v>535</v>
      </c>
      <c r="F164" s="310" t="s">
        <v>734</v>
      </c>
      <c r="G164" s="624"/>
      <c r="H164" s="624"/>
      <c r="I164" s="624"/>
      <c r="J164" s="624"/>
      <c r="K164" s="624"/>
      <c r="L164" s="624"/>
      <c r="M164" s="624"/>
      <c r="N164" s="624"/>
      <c r="O164" s="624"/>
      <c r="P164" s="624"/>
      <c r="Q164" s="624"/>
      <c r="R164" s="624"/>
      <c r="S164" s="624"/>
      <c r="T164" s="624"/>
      <c r="U164" s="624"/>
      <c r="V164" s="624"/>
      <c r="W164" s="625"/>
      <c r="X164" s="380"/>
      <c r="AR164" s="384"/>
    </row>
    <row r="165" spans="2:44">
      <c r="B165" s="1016" t="s">
        <v>727</v>
      </c>
      <c r="C165" s="656" t="s">
        <v>72</v>
      </c>
      <c r="D165" s="639" t="s">
        <v>16</v>
      </c>
      <c r="E165" s="613" t="s">
        <v>535</v>
      </c>
      <c r="F165" s="614" t="s">
        <v>728</v>
      </c>
      <c r="G165" s="615"/>
      <c r="H165" s="615"/>
      <c r="I165" s="615"/>
      <c r="J165" s="615"/>
      <c r="K165" s="615"/>
      <c r="L165" s="615"/>
      <c r="M165" s="615"/>
      <c r="N165" s="615"/>
      <c r="O165" s="615"/>
      <c r="P165" s="615"/>
      <c r="Q165" s="615"/>
      <c r="R165" s="615"/>
      <c r="S165" s="615"/>
      <c r="T165" s="615"/>
      <c r="U165" s="615"/>
      <c r="V165" s="615"/>
      <c r="W165" s="616"/>
      <c r="X165" s="380"/>
      <c r="AR165" s="384"/>
    </row>
    <row r="166" spans="2:44">
      <c r="B166" s="1016"/>
      <c r="C166" s="657" t="s">
        <v>73</v>
      </c>
      <c r="D166" s="637" t="s">
        <v>776</v>
      </c>
      <c r="E166" s="766" t="s">
        <v>778</v>
      </c>
      <c r="F166" s="506" t="s">
        <v>779</v>
      </c>
      <c r="G166" s="621"/>
      <c r="H166" s="621"/>
      <c r="I166" s="621"/>
      <c r="J166" s="621"/>
      <c r="K166" s="621"/>
      <c r="L166" s="621"/>
      <c r="M166" s="621"/>
      <c r="N166" s="621"/>
      <c r="O166" s="621"/>
      <c r="P166" s="619"/>
      <c r="Q166" s="619"/>
      <c r="R166" s="619"/>
      <c r="S166" s="619"/>
      <c r="T166" s="619"/>
      <c r="U166" s="619"/>
      <c r="V166" s="619"/>
      <c r="W166" s="619"/>
      <c r="X166" s="840"/>
      <c r="AR166" s="384"/>
    </row>
    <row r="167" spans="2:44">
      <c r="B167" s="1016"/>
      <c r="C167" s="658" t="s">
        <v>115</v>
      </c>
      <c r="D167" s="637" t="s">
        <v>776</v>
      </c>
      <c r="E167" s="717" t="s">
        <v>778</v>
      </c>
      <c r="F167" s="506" t="s">
        <v>779</v>
      </c>
      <c r="G167" s="627"/>
      <c r="H167" s="627"/>
      <c r="I167" s="627"/>
      <c r="J167" s="627"/>
      <c r="K167" s="627"/>
      <c r="L167" s="627"/>
      <c r="M167" s="627"/>
      <c r="N167" s="627"/>
      <c r="O167" s="627"/>
      <c r="P167" s="624"/>
      <c r="Q167" s="624"/>
      <c r="R167" s="624"/>
      <c r="S167" s="624"/>
      <c r="T167" s="624"/>
      <c r="U167" s="624"/>
      <c r="V167" s="624"/>
      <c r="W167" s="624"/>
      <c r="X167" s="840"/>
      <c r="AR167" s="384"/>
    </row>
    <row r="168" spans="2:44">
      <c r="B168" s="633" t="s">
        <v>39</v>
      </c>
      <c r="C168" s="659"/>
      <c r="D168" s="638" t="s">
        <v>16</v>
      </c>
      <c r="E168" s="379" t="s">
        <v>535</v>
      </c>
      <c r="F168" s="380" t="s">
        <v>732</v>
      </c>
      <c r="G168" s="552"/>
      <c r="H168" s="552"/>
      <c r="I168" s="552"/>
      <c r="J168" s="552"/>
      <c r="K168" s="552"/>
      <c r="L168" s="552"/>
      <c r="M168" s="552"/>
      <c r="N168" s="552"/>
      <c r="O168" s="552"/>
      <c r="P168" s="552"/>
      <c r="Q168" s="552"/>
      <c r="R168" s="552"/>
      <c r="S168" s="552"/>
      <c r="T168" s="552"/>
      <c r="U168" s="552"/>
      <c r="V168" s="552"/>
      <c r="W168" s="508"/>
      <c r="X168" s="380"/>
      <c r="AR168" s="384"/>
    </row>
    <row r="169" spans="2:44">
      <c r="B169" s="630" t="s">
        <v>76</v>
      </c>
      <c r="C169" s="660"/>
      <c r="D169" s="643" t="s">
        <v>670</v>
      </c>
      <c r="E169" s="388" t="s">
        <v>671</v>
      </c>
      <c r="F169" s="315" t="s">
        <v>777</v>
      </c>
      <c r="G169" s="551"/>
      <c r="H169" s="551"/>
      <c r="I169" s="551"/>
      <c r="J169" s="551"/>
      <c r="K169" s="551"/>
      <c r="L169" s="551"/>
      <c r="M169" s="551"/>
      <c r="N169" s="551"/>
      <c r="O169" s="551"/>
      <c r="P169" s="551"/>
      <c r="Q169" s="551"/>
      <c r="R169" s="551"/>
      <c r="S169" s="551"/>
      <c r="T169" s="551"/>
      <c r="U169" s="551"/>
      <c r="V169" s="551"/>
      <c r="W169" s="596"/>
      <c r="X169" s="840"/>
      <c r="AR169" s="384"/>
    </row>
    <row r="170" spans="2:44">
      <c r="B170" s="1008" t="s">
        <v>118</v>
      </c>
      <c r="C170" s="661" t="s">
        <v>240</v>
      </c>
      <c r="D170" s="644" t="s">
        <v>717</v>
      </c>
      <c r="E170" s="716" t="s">
        <v>718</v>
      </c>
      <c r="F170" s="501" t="s">
        <v>722</v>
      </c>
      <c r="G170" s="549"/>
      <c r="H170" s="549"/>
      <c r="I170" s="549"/>
      <c r="J170" s="549"/>
      <c r="K170" s="549"/>
      <c r="L170" s="549"/>
      <c r="M170" s="549"/>
      <c r="N170" s="549"/>
      <c r="O170" s="549"/>
      <c r="P170" s="549"/>
      <c r="Q170" s="549"/>
      <c r="R170" s="549"/>
      <c r="S170" s="549"/>
      <c r="T170" s="549"/>
      <c r="U170" s="549"/>
      <c r="V170" s="549"/>
      <c r="W170" s="502"/>
      <c r="X170" s="380"/>
      <c r="AR170" s="384"/>
    </row>
    <row r="171" spans="2:44">
      <c r="B171" s="1011"/>
      <c r="C171" s="662" t="s">
        <v>591</v>
      </c>
      <c r="D171" s="645" t="s">
        <v>16</v>
      </c>
      <c r="E171" s="503" t="s">
        <v>535</v>
      </c>
      <c r="F171" s="504" t="s">
        <v>731</v>
      </c>
      <c r="G171" s="765"/>
      <c r="H171" s="765"/>
      <c r="I171" s="765"/>
      <c r="J171" s="765"/>
      <c r="K171" s="765"/>
      <c r="L171" s="765"/>
      <c r="M171" s="765"/>
      <c r="N171" s="765"/>
      <c r="O171" s="505"/>
      <c r="P171" s="505"/>
      <c r="Q171" s="505"/>
      <c r="R171" s="505"/>
      <c r="S171" s="505"/>
      <c r="T171" s="505"/>
      <c r="U171" s="505"/>
      <c r="V171" s="505"/>
      <c r="W171" s="505"/>
      <c r="X171" s="380"/>
      <c r="AR171" s="384"/>
    </row>
    <row r="172" spans="2:44">
      <c r="B172" s="666" t="s">
        <v>583</v>
      </c>
      <c r="C172" s="663"/>
      <c r="D172" s="636" t="s">
        <v>717</v>
      </c>
      <c r="E172" s="546" t="s">
        <v>718</v>
      </c>
      <c r="F172" s="547" t="s">
        <v>719</v>
      </c>
      <c r="G172" s="550"/>
      <c r="H172" s="550"/>
      <c r="I172" s="550"/>
      <c r="J172" s="550"/>
      <c r="K172" s="550"/>
      <c r="L172" s="550"/>
      <c r="M172" s="550"/>
      <c r="N172" s="550"/>
      <c r="O172" s="550"/>
      <c r="P172" s="550"/>
      <c r="Q172" s="550"/>
      <c r="R172" s="550"/>
      <c r="S172" s="550"/>
      <c r="T172" s="550"/>
      <c r="U172" s="550"/>
      <c r="V172" s="550"/>
      <c r="W172" s="548"/>
      <c r="X172" s="380"/>
      <c r="AR172" s="384"/>
    </row>
    <row r="173" spans="2:44">
      <c r="B173" s="634" t="s">
        <v>65</v>
      </c>
      <c r="C173" s="664"/>
      <c r="D173" s="638" t="s">
        <v>16</v>
      </c>
      <c r="E173" s="459" t="s">
        <v>535</v>
      </c>
      <c r="F173" s="380" t="s">
        <v>723</v>
      </c>
      <c r="G173" s="552"/>
      <c r="H173" s="552"/>
      <c r="I173" s="552"/>
      <c r="J173" s="552"/>
      <c r="K173" s="552"/>
      <c r="L173" s="552"/>
      <c r="M173" s="552"/>
      <c r="N173" s="552"/>
      <c r="O173" s="552"/>
      <c r="P173" s="552"/>
      <c r="Q173" s="552"/>
      <c r="R173" s="552"/>
      <c r="S173" s="552"/>
      <c r="T173" s="552"/>
      <c r="U173" s="552"/>
      <c r="V173" s="552"/>
      <c r="W173" s="508"/>
      <c r="X173" s="380"/>
      <c r="AR173" s="384"/>
    </row>
    <row r="174" spans="2:44">
      <c r="B174" s="630" t="s">
        <v>222</v>
      </c>
      <c r="C174" s="665"/>
      <c r="D174" s="637" t="s">
        <v>721</v>
      </c>
      <c r="E174" s="515" t="s">
        <v>730</v>
      </c>
      <c r="F174" s="506" t="s">
        <v>252</v>
      </c>
      <c r="G174" s="551"/>
      <c r="H174" s="551"/>
      <c r="I174" s="551"/>
      <c r="J174" s="551"/>
      <c r="K174" s="551"/>
      <c r="L174" s="551"/>
      <c r="M174" s="551"/>
      <c r="N174" s="551"/>
      <c r="O174" s="551"/>
      <c r="P174" s="551"/>
      <c r="Q174" s="551"/>
      <c r="R174" s="551"/>
      <c r="S174" s="551"/>
      <c r="T174" s="551"/>
      <c r="U174" s="467"/>
      <c r="V174" s="467"/>
      <c r="W174" s="507"/>
      <c r="X174" s="380"/>
      <c r="AR174" s="384"/>
    </row>
    <row r="175" spans="2:44">
      <c r="B175" s="630" t="s">
        <v>257</v>
      </c>
      <c r="C175" s="648"/>
      <c r="D175" s="637" t="s">
        <v>717</v>
      </c>
      <c r="E175" s="515" t="s">
        <v>718</v>
      </c>
      <c r="F175" s="506" t="s">
        <v>720</v>
      </c>
      <c r="G175" s="551"/>
      <c r="H175" s="551"/>
      <c r="I175" s="551"/>
      <c r="J175" s="551"/>
      <c r="K175" s="551"/>
      <c r="L175" s="551"/>
      <c r="M175" s="551"/>
      <c r="N175" s="551"/>
      <c r="O175" s="551"/>
      <c r="P175" s="551"/>
      <c r="Q175" s="551"/>
      <c r="R175" s="551"/>
      <c r="S175" s="551"/>
      <c r="T175" s="551"/>
      <c r="U175" s="551"/>
      <c r="V175" s="551"/>
      <c r="W175" s="507"/>
      <c r="X175" s="380"/>
      <c r="AR175" s="384"/>
    </row>
    <row r="176" spans="2:44">
      <c r="B176" s="629"/>
      <c r="C176" s="647"/>
      <c r="D176" s="647"/>
      <c r="E176" s="347"/>
      <c r="F176" s="348"/>
      <c r="G176" s="499"/>
      <c r="H176" s="499"/>
      <c r="I176" s="499"/>
      <c r="J176" s="499"/>
      <c r="K176" s="499"/>
      <c r="L176" s="499"/>
      <c r="M176" s="499"/>
      <c r="N176" s="499"/>
      <c r="O176" s="499"/>
      <c r="P176" s="499"/>
      <c r="Q176" s="499"/>
      <c r="R176" s="499"/>
      <c r="S176" s="499"/>
      <c r="T176" s="499"/>
      <c r="U176" s="499"/>
      <c r="V176" s="499"/>
      <c r="W176" s="499"/>
      <c r="X176" s="380"/>
    </row>
    <row r="177" spans="2:24">
      <c r="B177" s="762"/>
      <c r="C177" s="763"/>
      <c r="D177" s="763"/>
      <c r="E177" s="360"/>
      <c r="F177" s="361"/>
      <c r="G177" s="764"/>
      <c r="H177" s="764"/>
      <c r="I177" s="764"/>
      <c r="J177" s="764"/>
      <c r="K177" s="764"/>
      <c r="L177" s="764"/>
      <c r="M177" s="764"/>
      <c r="N177" s="764"/>
      <c r="O177" s="764"/>
      <c r="P177" s="764"/>
      <c r="Q177" s="764"/>
      <c r="R177" s="764"/>
      <c r="S177" s="764"/>
      <c r="T177" s="764"/>
      <c r="U177" s="764"/>
      <c r="V177" s="764"/>
      <c r="W177" s="764"/>
      <c r="X177" s="380"/>
    </row>
  </sheetData>
  <mergeCells count="26">
    <mergeCell ref="G1:L1"/>
    <mergeCell ref="B40:B45"/>
    <mergeCell ref="B46:B49"/>
    <mergeCell ref="B50:B51"/>
    <mergeCell ref="B18:B19"/>
    <mergeCell ref="B21:B26"/>
    <mergeCell ref="B28:B29"/>
    <mergeCell ref="B30:B32"/>
    <mergeCell ref="B37:B39"/>
    <mergeCell ref="C50:C51"/>
    <mergeCell ref="B52:B53"/>
    <mergeCell ref="B55:B56"/>
    <mergeCell ref="B121:B122"/>
    <mergeCell ref="B128:B133"/>
    <mergeCell ref="B58:B59"/>
    <mergeCell ref="B60:B61"/>
    <mergeCell ref="B66:B71"/>
    <mergeCell ref="B83:B86"/>
    <mergeCell ref="B96:B101"/>
    <mergeCell ref="B107:B110"/>
    <mergeCell ref="B113:B114"/>
    <mergeCell ref="B158:B161"/>
    <mergeCell ref="B170:B171"/>
    <mergeCell ref="B154:B155"/>
    <mergeCell ref="B163:B164"/>
    <mergeCell ref="B165:B167"/>
  </mergeCells>
  <phoneticPr fontId="87" type="noConversion"/>
  <hyperlinks>
    <hyperlink ref="E8" r:id="rId1" xr:uid="{D6BDAC98-64D2-47F3-B52B-1591C6247C03}"/>
    <hyperlink ref="E9" r:id="rId2" xr:uid="{B28F5F13-683B-46DB-84DB-6D5166911780}"/>
    <hyperlink ref="E10" r:id="rId3" xr:uid="{054F2B4B-9B49-42BA-A79D-1FCA38F2EB77}"/>
    <hyperlink ref="E12" r:id="rId4" xr:uid="{3A8DD6DA-84ED-4F49-8C5E-3EE97BE923B6}"/>
    <hyperlink ref="E13" r:id="rId5" xr:uid="{9781CBDF-12AC-4E8E-88F6-BFD21AB45C19}"/>
    <hyperlink ref="E14" r:id="rId6" xr:uid="{D35C1E9B-8653-4FFD-A135-B81B3E9C5FEB}"/>
    <hyperlink ref="E15" r:id="rId7" xr:uid="{7C20B349-0429-486E-92F9-EAD109F2F067}"/>
    <hyperlink ref="E18" r:id="rId8" xr:uid="{6B082D39-ADB7-4CCF-BA15-859529A79609}"/>
    <hyperlink ref="E19" r:id="rId9" xr:uid="{09BEF48C-681F-423A-B053-D45A3C3458CC}"/>
    <hyperlink ref="E46" r:id="rId10" xr:uid="{18F4D195-8A13-4C8A-8742-C0B2F60B438D}"/>
    <hyperlink ref="E48" r:id="rId11" xr:uid="{555D79F9-4041-4F55-A536-83E078ED2493}"/>
    <hyperlink ref="E47" r:id="rId12" xr:uid="{EA49D981-DAA7-4003-982B-DC3F47C3F536}"/>
    <hyperlink ref="E49" r:id="rId13" xr:uid="{CD91E3EB-2FB3-436F-8812-94ECDA28BB6D}"/>
    <hyperlink ref="E54" r:id="rId14" xr:uid="{5AE7AF00-8986-455B-8ED6-EB4DB8BB0DAE}"/>
    <hyperlink ref="E57" r:id="rId15" xr:uid="{15220B6C-92C5-445A-80FD-E655C0D2C15C}"/>
    <hyperlink ref="E64" r:id="rId16" xr:uid="{250A8570-5065-4C23-A388-65D41BD773C9}"/>
    <hyperlink ref="E65" r:id="rId17" xr:uid="{FB45B8B4-CA3A-4A82-9687-B8003934B7A2}"/>
    <hyperlink ref="E66" r:id="rId18" xr:uid="{7E0BE3CA-3127-4C8B-96E1-9619452E4879}"/>
    <hyperlink ref="E67" r:id="rId19" xr:uid="{43990CCB-1B6D-48B1-AAB0-C5C626316EE1}"/>
    <hyperlink ref="E69" r:id="rId20" xr:uid="{90FB2B11-3D47-4143-B99B-6795D96C3AB7}"/>
    <hyperlink ref="E70" r:id="rId21" xr:uid="{F17E62F9-BF92-41F5-A5A1-587DC282C677}"/>
    <hyperlink ref="E71" r:id="rId22" xr:uid="{4C7C9DB1-034B-4026-B0D7-A7652F977106}"/>
    <hyperlink ref="E72" r:id="rId23" xr:uid="{265DBF3F-030B-4079-BA33-7E24EF9DE883}"/>
    <hyperlink ref="E74" r:id="rId24" xr:uid="{546963E3-C387-424E-A481-9DC9B26C8833}"/>
    <hyperlink ref="E73" r:id="rId25" xr:uid="{E6245AC5-E864-4AA2-8ACC-70AE6E6E015C}"/>
    <hyperlink ref="E88" r:id="rId26" xr:uid="{3F1F4D37-1AA4-4AD6-B9F5-C2BE9B8CE8DB}"/>
    <hyperlink ref="E75" r:id="rId27" xr:uid="{3C1B85AB-B8D7-4E50-AA5B-C422BA29702E}"/>
    <hyperlink ref="E76" r:id="rId28" xr:uid="{45142BB5-E4F9-4288-95F9-F4E94822A0ED}"/>
    <hyperlink ref="E77" r:id="rId29" xr:uid="{E1412995-A4C0-4E1C-AC85-CA99AEC7A221}"/>
    <hyperlink ref="E79" r:id="rId30" xr:uid="{3A704464-F7DD-4567-AE4E-EE10B914AF1E}"/>
    <hyperlink ref="E114" r:id="rId31" xr:uid="{2ED45A47-5F19-4C27-AD81-DCDE6A1DE53C}"/>
    <hyperlink ref="B3" r:id="rId32" xr:uid="{289D5349-2EDC-4B45-A75B-C59DF3A8D606}"/>
    <hyperlink ref="B4" r:id="rId33" xr:uid="{831513CD-5495-4641-A2BC-14B0E195D8D6}"/>
    <hyperlink ref="B5" r:id="rId34" xr:uid="{0274F4B0-8233-4D37-B344-347B049B5114}"/>
    <hyperlink ref="E113" r:id="rId35" xr:uid="{C6BBD6CC-6995-4F27-9D76-D1DC980B36A8}"/>
    <hyperlink ref="E40" r:id="rId36" xr:uid="{F7E52677-8BFA-486D-BDDD-CC1F6F66D8A3}"/>
    <hyperlink ref="C5" r:id="rId37" location="/database" xr:uid="{ECFC8055-8187-4471-B752-58042FCF73F3}"/>
    <hyperlink ref="C4" r:id="rId38" xr:uid="{1791766B-4028-45FE-AEB4-01612A60FF1B}"/>
    <hyperlink ref="E20" r:id="rId39" xr:uid="{C0E3000E-D239-47F6-B6A7-C2E44B48BDFD}"/>
    <hyperlink ref="E21" r:id="rId40" xr:uid="{DB119E55-2C64-4065-AD74-BDEE164219EE}"/>
    <hyperlink ref="E22" r:id="rId41" xr:uid="{0EBF13A2-2D15-41BA-9E9B-05BB961CFDAD}"/>
    <hyperlink ref="E25" r:id="rId42" xr:uid="{654A0C26-83E7-4282-8FA6-8625129C6186}"/>
    <hyperlink ref="E30" r:id="rId43" xr:uid="{6E1E65FE-B8DB-470D-AE3C-ACEDA3BDEAA9}"/>
    <hyperlink ref="E50" r:id="rId44" xr:uid="{7C3B40C4-A69D-4320-AC2F-6CB7E0D35FD3}"/>
    <hyperlink ref="E51" r:id="rId45" xr:uid="{98E6A341-464B-44D1-BAFD-B5E5056B382D}"/>
    <hyperlink ref="E52" r:id="rId46" xr:uid="{507024A8-ABEE-4C1B-8E66-34798AB5B645}"/>
    <hyperlink ref="E58" r:id="rId47" xr:uid="{AC4A8D5A-AD0A-4040-AE2B-2ED07B925509}"/>
    <hyperlink ref="E59" r:id="rId48" xr:uid="{D0B64372-7B52-40BC-9BCE-C9233D4E996A}"/>
    <hyperlink ref="E68" r:id="rId49" xr:uid="{B7D7B5BD-4034-4568-A449-C2509CE33B8C}"/>
    <hyperlink ref="E94" r:id="rId50" xr:uid="{B7A26496-9016-48BB-A089-D4176C92D75E}"/>
    <hyperlink ref="E96" r:id="rId51" xr:uid="{DC580DE9-1270-403B-8992-1FC30707BF4A}"/>
    <hyperlink ref="E102" r:id="rId52" xr:uid="{FC816708-7A5F-47F0-9410-052D9F7B319C}"/>
    <hyperlink ref="E104" r:id="rId53" xr:uid="{F3C399C1-864B-4D0E-9175-C7AC59357A76}"/>
    <hyperlink ref="E116" r:id="rId54" xr:uid="{24D8A87F-B163-487F-AFBD-7B74FA47D680}"/>
    <hyperlink ref="E119" r:id="rId55" xr:uid="{0002B5A0-12C3-4569-B0C3-D55C428CA6BA}"/>
    <hyperlink ref="E120" r:id="rId56" xr:uid="{6D9AC91F-4D19-4961-B3E7-191C22B300FF}"/>
    <hyperlink ref="E121" r:id="rId57" xr:uid="{2B7C37AC-F49A-4FD6-88B1-3ECEFB54E078}"/>
    <hyperlink ref="E122" r:id="rId58" xr:uid="{4DEF08D2-7555-4EB0-8DA1-C30F5DEDA485}"/>
    <hyperlink ref="E123" r:id="rId59" xr:uid="{11A073DE-3FFF-4CA3-A60B-AD5F0C78B1F2}"/>
    <hyperlink ref="E134" r:id="rId60" xr:uid="{FDB96EFD-D8F5-43FC-801D-69CF6E2ACC22}"/>
    <hyperlink ref="E135" r:id="rId61" xr:uid="{2149DEE6-C5A0-4F58-9AA7-C60F47168A35}"/>
    <hyperlink ref="E136" r:id="rId62" xr:uid="{C1407906-097C-41FC-BC52-490BE7348FC3}"/>
    <hyperlink ref="E137" r:id="rId63" xr:uid="{D42B0AC4-13C7-4F87-B188-D4949815AE9A}"/>
    <hyperlink ref="E138" r:id="rId64" xr:uid="{B90A43D9-BC22-46CF-96AB-4632F0A6CAA3}"/>
    <hyperlink ref="E140" r:id="rId65" xr:uid="{1D042B48-98E5-4F57-ADA0-0AEEDDFDD64D}"/>
    <hyperlink ref="E146" r:id="rId66" xr:uid="{C4D64A38-CFF5-4BAF-A2B5-587B55C0ADB1}"/>
    <hyperlink ref="E23" r:id="rId67" xr:uid="{D9200DA9-12CE-4A26-9648-0411D4873B42}"/>
    <hyperlink ref="E95" r:id="rId68" xr:uid="{A6FE5DB4-A3E2-44DD-9BED-F9A06B4F0AA5}"/>
    <hyperlink ref="E105" r:id="rId69" xr:uid="{0205EC57-4580-4573-870C-9368322E58F6}"/>
    <hyperlink ref="A3" r:id="rId70" xr:uid="{CA00F892-F181-42F5-BC42-1FAF18BF7235}"/>
    <hyperlink ref="E37" r:id="rId71" xr:uid="{D1865F65-04B6-4002-AFCA-34E78CE981FF}"/>
    <hyperlink ref="E56" r:id="rId72" xr:uid="{F660C16C-C8A7-4711-8BE7-6BA92FDAA649}"/>
    <hyperlink ref="E60" r:id="rId73" xr:uid="{0A0F69A3-1E36-4A4D-82AA-EB090B58D0C5}"/>
    <hyperlink ref="E81" r:id="rId74" xr:uid="{DC6091BF-1726-48F1-BA65-FBE217AE3F53}"/>
    <hyperlink ref="E98" r:id="rId75" xr:uid="{8D191523-1504-455A-9918-0CFB8CE75955}"/>
    <hyperlink ref="E127" r:id="rId76" xr:uid="{64B29CCD-4FB5-42B0-81C8-4825F764F15F}"/>
    <hyperlink ref="E130" r:id="rId77" xr:uid="{38C965D8-D139-48AF-8E38-58188F6874B0}"/>
    <hyperlink ref="E131" r:id="rId78" xr:uid="{0BE385DD-25AF-449E-ACE8-BC091F88203B}"/>
    <hyperlink ref="E128" r:id="rId79" xr:uid="{0AC2C4C3-2185-41BE-9C8F-4FC0F3765EED}"/>
    <hyperlink ref="E34" r:id="rId80" xr:uid="{77CC3B62-1CDB-4E19-924D-15894745871E}"/>
    <hyperlink ref="E55" r:id="rId81" xr:uid="{35CDF107-7961-4AC4-9A43-DF2C95B6D016}"/>
    <hyperlink ref="E78" r:id="rId82" xr:uid="{1E51C6C5-B0BD-49E9-AF99-DC8378AF32B7}"/>
    <hyperlink ref="E86" r:id="rId83" location="data/QCL" xr:uid="{D290C537-4BE5-4954-B27C-BD2E02E06476}"/>
    <hyperlink ref="E83:E85" r:id="rId84" location="data/QCL" display="https://www.fao.org/faostat/es/#data/QCL" xr:uid="{CB9CE5FE-BF8F-496E-86EA-781ABB1D75E8}"/>
    <hyperlink ref="E87" r:id="rId85" location="data/QCL" xr:uid="{C21D405B-EAFA-4AAA-91FF-03F63664AE68}"/>
    <hyperlink ref="E90" r:id="rId86" location="data/QCL" xr:uid="{317E1F6B-5816-4DD5-BA7A-02233FD40690}"/>
    <hyperlink ref="E89" r:id="rId87" location="data/QCL" xr:uid="{25309F78-0F6F-4C39-A127-CDC3A78FFD53}"/>
    <hyperlink ref="E107" r:id="rId88" location="data/QCL" xr:uid="{EB8347F0-5741-41C1-B85D-EB2ADD928F42}"/>
    <hyperlink ref="E108" r:id="rId89" location="data/QCL" xr:uid="{F22BD1C8-D228-4993-983A-77941492B4B3}"/>
    <hyperlink ref="E117" r:id="rId90" xr:uid="{E7EBE743-665E-460F-8553-32E5400A8DB5}"/>
    <hyperlink ref="E118" r:id="rId91" xr:uid="{6BD376EB-10C4-4C02-A72D-95E2181438ED}"/>
    <hyperlink ref="C3" r:id="rId92" xr:uid="{110221B1-F540-4FBE-802A-2F635124DE3C}"/>
    <hyperlink ref="E109" r:id="rId93" location="data/QCL" xr:uid="{01114425-CD2C-4ABB-AD24-8177C7545ABB}"/>
    <hyperlink ref="E112" r:id="rId94" location="data/QCL" xr:uid="{15292DEE-4228-4EEF-8BD2-2D22AAB41F16}"/>
    <hyperlink ref="E115" r:id="rId95" location="data/QCL" xr:uid="{9772CE98-7F17-4690-B16A-729D144E9DED}"/>
    <hyperlink ref="E132" r:id="rId96" xr:uid="{743C49E8-370C-4305-BEF1-DFC0109A6337}"/>
    <hyperlink ref="E141" r:id="rId97" xr:uid="{8E4CB695-0ACA-4490-9C22-8944EFF7A8AC}"/>
    <hyperlink ref="E36" r:id="rId98" xr:uid="{5FB87DD5-548A-43C9-880B-0A50366E37D6}"/>
    <hyperlink ref="E172" r:id="rId99" xr:uid="{324149D0-60AE-4E16-A325-DDDA290F3759}"/>
    <hyperlink ref="E170" r:id="rId100" xr:uid="{9D8F9FF7-522B-4CE6-8C3A-B4037216B8F5}"/>
    <hyperlink ref="E173" r:id="rId101" xr:uid="{11AEB18D-447A-44BE-B1A2-05E25ACA2824}"/>
    <hyperlink ref="E154" r:id="rId102" xr:uid="{722CC0AA-E47C-4B67-B7E6-073B5F1ACBFA}"/>
    <hyperlink ref="E174" r:id="rId103" xr:uid="{F9CADFBB-0835-4953-8E01-D14531DB8D6E}"/>
    <hyperlink ref="E35" r:id="rId104" xr:uid="{2C0C617C-8DB2-45C0-910B-E2D63CDAE4DF}"/>
    <hyperlink ref="E91" r:id="rId105" xr:uid="{9F088AA5-44D9-443E-915C-A2E6726B5AB4}"/>
    <hyperlink ref="E111" r:id="rId106" location="data/QCL" xr:uid="{EE0484B8-F3CC-469C-9E0C-F3588CBB4152}"/>
    <hyperlink ref="E169" r:id="rId107" xr:uid="{B4EE1A72-CC93-4C64-ADF9-F1716E13CED7}"/>
    <hyperlink ref="E24" r:id="rId108" xr:uid="{B1C434DF-26C2-46AB-86C1-91B5F178C910}"/>
    <hyperlink ref="E26" r:id="rId109" xr:uid="{2744F920-019F-4838-A22A-00EAAF911891}"/>
    <hyperlink ref="E167" r:id="rId110" xr:uid="{21D70460-25BC-4FF3-B8B6-7308D87CBB87}"/>
    <hyperlink ref="E53" r:id="rId111" xr:uid="{7B935B66-6669-42C1-93A5-22241A5DE7F7}"/>
    <hyperlink ref="E103" r:id="rId112" xr:uid="{A644C459-2FE9-443B-ACCF-AC3F9FFDC6F8}"/>
    <hyperlink ref="E27" r:id="rId113" xr:uid="{6C9E8A5A-3392-4715-9EC5-97C20F291F8F}"/>
    <hyperlink ref="E61" r:id="rId114" xr:uid="{A13FB09D-C07A-43E3-AE57-2A6F91EE6EB0}"/>
    <hyperlink ref="E139" r:id="rId115" xr:uid="{D8A7AD22-F447-4F4E-86FB-1F7CD665F008}"/>
    <hyperlink ref="E166" r:id="rId116" xr:uid="{5B9A54B2-1315-4B7C-8F3E-B6C3D6EBE006}"/>
    <hyperlink ref="A84" r:id="rId117" location=":~:text=Nuestro%20pa%C3%ADs%20produce%20unas%207,distribuidas%20en%20todo%20el%20pa%C3%ADs." xr:uid="{10DCFFBE-D83A-4FB7-944F-5DD9F23F9F08}"/>
    <hyperlink ref="E152" r:id="rId118" xr:uid="{E6DE4D4F-D3A0-40B7-92FE-83F831786030}"/>
    <hyperlink ref="E157" r:id="rId119" xr:uid="{62123D04-8D56-4C27-9171-615D71981655}"/>
    <hyperlink ref="E175" r:id="rId120" xr:uid="{31AC2A1F-1343-4EF6-B4AA-EEFEDFAB58DE}"/>
    <hyperlink ref="E31" r:id="rId121" xr:uid="{2BA5C519-2C20-4B76-B7F1-4B8FF0AAC24B}"/>
    <hyperlink ref="E145" r:id="rId122" location="data/FBS" xr:uid="{8B097F2D-0D5A-4B27-9347-96420D3B4696}"/>
  </hyperlinks>
  <pageMargins left="0.7" right="0.7" top="0.75" bottom="0.75" header="0.3" footer="0.3"/>
  <legacyDrawing r:id="rId1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E63D-4D82-4D08-96EE-8B86BAD8D12E}">
  <sheetPr>
    <tabColor rgb="FF7030A0"/>
  </sheetPr>
  <dimension ref="A1:EO37"/>
  <sheetViews>
    <sheetView zoomScale="70" zoomScaleNormal="70" workbookViewId="0">
      <pane xSplit="1" ySplit="2" topLeftCell="CT3" activePane="bottomRight" state="frozen"/>
      <selection pane="topRight" activeCell="B1" sqref="B1"/>
      <selection pane="bottomLeft" activeCell="A3" sqref="A3"/>
      <selection pane="bottomRight" activeCell="DC19" sqref="DC19"/>
    </sheetView>
  </sheetViews>
  <sheetFormatPr baseColWidth="10" defaultRowHeight="13.8"/>
  <cols>
    <col min="1" max="1" width="9.44140625" bestFit="1" customWidth="1"/>
    <col min="2" max="2" width="10.6640625" style="141" bestFit="1" customWidth="1"/>
    <col min="3" max="32" width="10.33203125" style="141" bestFit="1" customWidth="1"/>
    <col min="33" max="56" width="9.44140625" bestFit="1" customWidth="1"/>
    <col min="57" max="57" width="9.88671875" bestFit="1" customWidth="1"/>
    <col min="58" max="63" width="9.44140625" bestFit="1" customWidth="1"/>
    <col min="64" max="64" width="9.44140625" customWidth="1"/>
    <col min="65" max="65" width="7.5546875" bestFit="1" customWidth="1"/>
    <col min="66" max="66" width="8.21875" bestFit="1" customWidth="1"/>
    <col min="67" max="67" width="5.33203125" bestFit="1" customWidth="1"/>
    <col min="68" max="68" width="7.21875" bestFit="1" customWidth="1"/>
    <col min="69" max="69" width="5.5546875" bestFit="1" customWidth="1"/>
    <col min="70" max="70" width="5.33203125" bestFit="1" customWidth="1"/>
    <col min="71" max="71" width="8.6640625" bestFit="1" customWidth="1"/>
    <col min="72" max="72" width="10" bestFit="1" customWidth="1"/>
    <col min="73" max="73" width="10.88671875" customWidth="1"/>
    <col min="74" max="74" width="10" bestFit="1" customWidth="1"/>
    <col min="75" max="75" width="7.44140625" bestFit="1" customWidth="1"/>
    <col min="76" max="76" width="8.21875" bestFit="1" customWidth="1"/>
    <col min="77" max="77" width="7.21875" bestFit="1" customWidth="1"/>
    <col min="78" max="78" width="6" bestFit="1" customWidth="1"/>
    <col min="79" max="79" width="7.44140625" bestFit="1" customWidth="1"/>
    <col min="80" max="80" width="5.33203125" bestFit="1" customWidth="1"/>
    <col min="81" max="81" width="7.88671875" bestFit="1" customWidth="1"/>
    <col min="82" max="82" width="8.21875" bestFit="1" customWidth="1"/>
    <col min="83" max="83" width="6.88671875" bestFit="1" customWidth="1"/>
    <col min="84" max="84" width="8.33203125" bestFit="1" customWidth="1"/>
    <col min="85" max="85" width="6.44140625" bestFit="1" customWidth="1"/>
    <col min="86" max="86" width="12.33203125" bestFit="1" customWidth="1"/>
    <col min="87" max="87" width="8.21875" bestFit="1" customWidth="1"/>
    <col min="88" max="88" width="5.33203125" bestFit="1" customWidth="1"/>
    <col min="89" max="89" width="7.21875" bestFit="1" customWidth="1"/>
    <col min="90" max="90" width="5.77734375" bestFit="1" customWidth="1"/>
    <col min="91" max="91" width="5.33203125" bestFit="1" customWidth="1"/>
    <col min="92" max="92" width="9.6640625" bestFit="1" customWidth="1"/>
    <col min="93" max="93" width="10" bestFit="1" customWidth="1"/>
    <col min="94" max="94" width="10.88671875" bestFit="1" customWidth="1"/>
    <col min="95" max="95" width="10" bestFit="1" customWidth="1"/>
    <col min="96" max="96" width="7.44140625" bestFit="1" customWidth="1"/>
    <col min="97" max="97" width="8.21875" bestFit="1" customWidth="1"/>
    <col min="98" max="98" width="7.21875" bestFit="1" customWidth="1"/>
    <col min="99" max="99" width="10.88671875" bestFit="1" customWidth="1"/>
    <col min="100" max="100" width="7.44140625" bestFit="1" customWidth="1"/>
    <col min="101" max="101" width="5.33203125" bestFit="1" customWidth="1"/>
    <col min="102" max="102" width="7.88671875" bestFit="1" customWidth="1"/>
    <col min="103" max="103" width="8.21875" bestFit="1" customWidth="1"/>
    <col min="104" max="104" width="6.88671875" bestFit="1" customWidth="1"/>
    <col min="105" max="105" width="8.33203125" bestFit="1" customWidth="1"/>
    <col min="106" max="107" width="11.5546875" customWidth="1"/>
    <col min="109" max="109" width="7.109375" bestFit="1" customWidth="1"/>
    <col min="110" max="110" width="7.33203125" bestFit="1" customWidth="1"/>
    <col min="111" max="111" width="5" bestFit="1" customWidth="1"/>
    <col min="112" max="112" width="6.33203125" bestFit="1" customWidth="1"/>
    <col min="113" max="113" width="7.6640625" bestFit="1" customWidth="1"/>
    <col min="114" max="115" width="9.88671875" bestFit="1" customWidth="1"/>
    <col min="116" max="116" width="7.44140625" bestFit="1" customWidth="1"/>
    <col min="117" max="117" width="8.88671875" bestFit="1" customWidth="1"/>
    <col min="118" max="118" width="6.88671875" bestFit="1" customWidth="1"/>
    <col min="119" max="119" width="7.33203125" bestFit="1" customWidth="1"/>
    <col min="120" max="120" width="6.5546875" bestFit="1" customWidth="1"/>
    <col min="121" max="121" width="6.6640625" bestFit="1" customWidth="1"/>
    <col min="122" max="122" width="5.33203125" bestFit="1" customWidth="1"/>
    <col min="123" max="123" width="5" bestFit="1" customWidth="1"/>
    <col min="124" max="124" width="4.88671875" bestFit="1" customWidth="1"/>
    <col min="125" max="125" width="8.88671875" bestFit="1" customWidth="1"/>
    <col min="126" max="126" width="8.6640625" bestFit="1" customWidth="1"/>
    <col min="128" max="145" width="9.44140625" customWidth="1"/>
  </cols>
  <sheetData>
    <row r="1" spans="1:145" ht="14.4">
      <c r="A1" s="474" t="s">
        <v>897</v>
      </c>
      <c r="B1" s="473" t="s">
        <v>237</v>
      </c>
      <c r="C1" s="469"/>
      <c r="D1" s="469"/>
      <c r="E1" s="469"/>
      <c r="F1" s="469"/>
      <c r="G1" s="469"/>
      <c r="H1" s="469"/>
      <c r="I1" s="469"/>
      <c r="J1" s="469"/>
      <c r="K1" s="469"/>
      <c r="L1" s="469"/>
      <c r="M1" s="469"/>
      <c r="N1" s="469"/>
      <c r="O1" s="469"/>
      <c r="P1" s="469"/>
      <c r="Q1" s="469"/>
      <c r="R1" s="469"/>
      <c r="S1" s="469"/>
      <c r="T1" s="469"/>
      <c r="U1" s="469"/>
      <c r="V1" s="469"/>
      <c r="W1" s="469"/>
      <c r="X1" s="469"/>
      <c r="Y1" s="469"/>
      <c r="Z1" s="469"/>
      <c r="AA1" s="469"/>
      <c r="AB1" s="469"/>
      <c r="AC1" s="469"/>
      <c r="AD1" s="469"/>
      <c r="AE1" s="469"/>
      <c r="AF1" s="469"/>
      <c r="AG1" s="106" t="s">
        <v>238</v>
      </c>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t="str">
        <f>A1</f>
        <v>Ene -Ago</v>
      </c>
      <c r="BN1" s="468" t="s">
        <v>237</v>
      </c>
      <c r="BO1" s="468"/>
      <c r="BP1" s="468"/>
      <c r="BQ1" s="468"/>
      <c r="BR1" s="468"/>
      <c r="BS1" s="468"/>
      <c r="BT1" s="468"/>
      <c r="BU1" s="468"/>
      <c r="BV1" s="468"/>
      <c r="BW1" s="468"/>
      <c r="BX1" s="468"/>
      <c r="BY1" s="468"/>
      <c r="BZ1" s="468"/>
      <c r="CA1" s="468"/>
      <c r="CB1" s="468"/>
      <c r="CC1" s="468"/>
      <c r="CD1" s="468"/>
      <c r="CE1" s="468"/>
      <c r="CF1" s="468"/>
      <c r="CG1" s="513" t="s">
        <v>742</v>
      </c>
      <c r="CH1" s="135" t="s">
        <v>741</v>
      </c>
      <c r="CI1" s="106" t="s">
        <v>238</v>
      </c>
      <c r="CJ1" s="106"/>
      <c r="CK1" s="106"/>
      <c r="CL1" s="106"/>
      <c r="CM1" s="106"/>
      <c r="CN1" s="106"/>
      <c r="CO1" s="106"/>
      <c r="CP1" s="106"/>
      <c r="CQ1" s="106"/>
      <c r="CR1" s="106"/>
      <c r="CS1" s="106"/>
      <c r="CT1" s="106"/>
      <c r="CU1" s="106"/>
      <c r="CV1" s="106"/>
      <c r="CW1" s="106"/>
      <c r="CX1" s="106"/>
      <c r="CY1" s="106"/>
      <c r="CZ1" s="106"/>
      <c r="DA1" s="106"/>
      <c r="DB1" s="513" t="s">
        <v>742</v>
      </c>
      <c r="DC1" s="135" t="s">
        <v>741</v>
      </c>
      <c r="DE1" t="s">
        <v>878</v>
      </c>
      <c r="DX1" t="s">
        <v>879</v>
      </c>
    </row>
    <row r="2" spans="1:145" ht="27.6">
      <c r="B2" s="141" t="s">
        <v>28</v>
      </c>
      <c r="C2" s="141" t="s">
        <v>13</v>
      </c>
      <c r="D2" s="141" t="s">
        <v>23</v>
      </c>
      <c r="E2" s="141" t="s">
        <v>24</v>
      </c>
      <c r="F2" s="141" t="s">
        <v>0</v>
      </c>
      <c r="G2" s="141" t="s">
        <v>25</v>
      </c>
      <c r="H2" s="141" t="s">
        <v>12</v>
      </c>
      <c r="I2" s="141" t="s">
        <v>22</v>
      </c>
      <c r="J2" s="141" t="s">
        <v>21</v>
      </c>
      <c r="K2" s="141" t="s">
        <v>66</v>
      </c>
      <c r="L2" s="141" t="s">
        <v>68</v>
      </c>
      <c r="M2" s="141" t="s">
        <v>112</v>
      </c>
      <c r="N2" s="141" t="s">
        <v>69</v>
      </c>
      <c r="O2" s="141" t="s">
        <v>113</v>
      </c>
      <c r="P2" s="141" t="s">
        <v>114</v>
      </c>
      <c r="Q2" s="141" t="s">
        <v>159</v>
      </c>
      <c r="R2" s="141" t="s">
        <v>70</v>
      </c>
      <c r="S2" s="141" t="s">
        <v>71</v>
      </c>
      <c r="T2" s="141" t="s">
        <v>74</v>
      </c>
      <c r="U2" s="141" t="s">
        <v>73</v>
      </c>
      <c r="V2" s="141" t="s">
        <v>72</v>
      </c>
      <c r="W2" s="141" t="s">
        <v>115</v>
      </c>
      <c r="X2" s="141" t="s">
        <v>116</v>
      </c>
      <c r="Y2" s="141" t="s">
        <v>75</v>
      </c>
      <c r="Z2" s="141" t="s">
        <v>39</v>
      </c>
      <c r="AA2" s="141" t="s">
        <v>117</v>
      </c>
      <c r="AB2" s="141" t="s">
        <v>118</v>
      </c>
      <c r="AC2" s="141" t="s">
        <v>77</v>
      </c>
      <c r="AD2" s="141" t="s">
        <v>119</v>
      </c>
      <c r="AE2" s="141" t="s">
        <v>120</v>
      </c>
      <c r="AF2" s="141" t="s">
        <v>121</v>
      </c>
      <c r="AG2" s="141" t="s">
        <v>28</v>
      </c>
      <c r="AH2" s="141" t="s">
        <v>13</v>
      </c>
      <c r="AI2" s="141" t="s">
        <v>23</v>
      </c>
      <c r="AJ2" s="141" t="s">
        <v>24</v>
      </c>
      <c r="AK2" s="141" t="s">
        <v>0</v>
      </c>
      <c r="AL2" s="141" t="s">
        <v>25</v>
      </c>
      <c r="AM2" s="141" t="s">
        <v>12</v>
      </c>
      <c r="AN2" s="141" t="s">
        <v>22</v>
      </c>
      <c r="AO2" s="141" t="s">
        <v>21</v>
      </c>
      <c r="AP2" s="141" t="s">
        <v>66</v>
      </c>
      <c r="AQ2" s="141" t="s">
        <v>68</v>
      </c>
      <c r="AR2" s="141" t="s">
        <v>112</v>
      </c>
      <c r="AS2" s="141" t="s">
        <v>69</v>
      </c>
      <c r="AT2" s="141" t="s">
        <v>113</v>
      </c>
      <c r="AU2" s="141" t="s">
        <v>114</v>
      </c>
      <c r="AV2" s="141" t="s">
        <v>159</v>
      </c>
      <c r="AW2" s="141" t="s">
        <v>70</v>
      </c>
      <c r="AX2" s="141" t="s">
        <v>71</v>
      </c>
      <c r="AY2" s="141" t="s">
        <v>74</v>
      </c>
      <c r="AZ2" s="141" t="s">
        <v>73</v>
      </c>
      <c r="BA2" s="141" t="s">
        <v>72</v>
      </c>
      <c r="BB2" s="141" t="s">
        <v>115</v>
      </c>
      <c r="BC2" s="141" t="s">
        <v>116</v>
      </c>
      <c r="BD2" s="141" t="s">
        <v>75</v>
      </c>
      <c r="BE2" s="141" t="s">
        <v>39</v>
      </c>
      <c r="BF2" s="141" t="s">
        <v>117</v>
      </c>
      <c r="BG2" s="141" t="s">
        <v>118</v>
      </c>
      <c r="BH2" s="141" t="s">
        <v>77</v>
      </c>
      <c r="BI2" s="141" t="s">
        <v>119</v>
      </c>
      <c r="BJ2" s="141" t="s">
        <v>120</v>
      </c>
      <c r="BK2" s="141" t="s">
        <v>121</v>
      </c>
      <c r="BL2" s="141"/>
      <c r="BN2" s="476" t="s">
        <v>28</v>
      </c>
      <c r="BO2" s="476" t="s">
        <v>13</v>
      </c>
      <c r="BP2" s="476" t="s">
        <v>216</v>
      </c>
      <c r="BQ2" s="476" t="s">
        <v>556</v>
      </c>
      <c r="BR2" s="476" t="s">
        <v>66</v>
      </c>
      <c r="BS2" s="476" t="s">
        <v>68</v>
      </c>
      <c r="BT2" s="476" t="s">
        <v>217</v>
      </c>
      <c r="BU2" s="476" t="s">
        <v>702</v>
      </c>
      <c r="BV2" s="476" t="s">
        <v>218</v>
      </c>
      <c r="BW2" s="476" t="s">
        <v>264</v>
      </c>
      <c r="BX2" s="476" t="s">
        <v>116</v>
      </c>
      <c r="BY2" s="476" t="s">
        <v>75</v>
      </c>
      <c r="BZ2" s="476" t="s">
        <v>39</v>
      </c>
      <c r="CA2" s="476" t="s">
        <v>117</v>
      </c>
      <c r="CB2" s="476" t="s">
        <v>118</v>
      </c>
      <c r="CC2" s="476" t="s">
        <v>77</v>
      </c>
      <c r="CD2" s="476" t="s">
        <v>119</v>
      </c>
      <c r="CE2" s="476" t="s">
        <v>120</v>
      </c>
      <c r="CF2" s="476" t="s">
        <v>121</v>
      </c>
      <c r="CG2" s="476"/>
      <c r="CH2" s="476"/>
      <c r="CI2" s="476" t="s">
        <v>28</v>
      </c>
      <c r="CJ2" s="476" t="s">
        <v>13</v>
      </c>
      <c r="CK2" s="476" t="s">
        <v>216</v>
      </c>
      <c r="CL2" s="476" t="s">
        <v>556</v>
      </c>
      <c r="CM2" s="476" t="s">
        <v>66</v>
      </c>
      <c r="CN2" s="476" t="s">
        <v>68</v>
      </c>
      <c r="CO2" s="476" t="s">
        <v>217</v>
      </c>
      <c r="CP2" s="476" t="s">
        <v>702</v>
      </c>
      <c r="CQ2" s="476" t="s">
        <v>218</v>
      </c>
      <c r="CR2" s="476" t="s">
        <v>264</v>
      </c>
      <c r="CS2" s="476" t="s">
        <v>116</v>
      </c>
      <c r="CT2" s="476" t="s">
        <v>75</v>
      </c>
      <c r="CU2" s="476" t="s">
        <v>39</v>
      </c>
      <c r="CV2" s="476" t="s">
        <v>117</v>
      </c>
      <c r="CW2" s="476" t="s">
        <v>118</v>
      </c>
      <c r="CX2" s="476" t="s">
        <v>77</v>
      </c>
      <c r="CY2" s="476" t="s">
        <v>119</v>
      </c>
      <c r="CZ2" s="476" t="s">
        <v>120</v>
      </c>
      <c r="DA2" s="476" t="s">
        <v>121</v>
      </c>
      <c r="DB2" s="476"/>
      <c r="DC2" s="476"/>
      <c r="DE2" s="900" t="s">
        <v>77</v>
      </c>
      <c r="DF2" s="901" t="s">
        <v>119</v>
      </c>
      <c r="DG2" s="902" t="s">
        <v>118</v>
      </c>
      <c r="DH2" s="903" t="s">
        <v>120</v>
      </c>
      <c r="DI2" s="904" t="s">
        <v>121</v>
      </c>
      <c r="DJ2" s="905" t="s">
        <v>702</v>
      </c>
      <c r="DK2" s="906" t="s">
        <v>39</v>
      </c>
      <c r="DL2" s="907" t="s">
        <v>28</v>
      </c>
      <c r="DM2" s="908" t="s">
        <v>218</v>
      </c>
      <c r="DN2" s="909" t="s">
        <v>264</v>
      </c>
      <c r="DO2" s="910" t="s">
        <v>116</v>
      </c>
      <c r="DP2" s="911" t="s">
        <v>75</v>
      </c>
      <c r="DQ2" s="912" t="s">
        <v>117</v>
      </c>
      <c r="DR2" s="913" t="s">
        <v>13</v>
      </c>
      <c r="DS2" s="914" t="s">
        <v>556</v>
      </c>
      <c r="DT2" s="917" t="s">
        <v>66</v>
      </c>
      <c r="DU2" s="916" t="s">
        <v>217</v>
      </c>
      <c r="DV2" s="915" t="s">
        <v>68</v>
      </c>
      <c r="DX2" s="900" t="s">
        <v>77</v>
      </c>
      <c r="DY2" s="901" t="s">
        <v>119</v>
      </c>
      <c r="DZ2" s="902" t="s">
        <v>118</v>
      </c>
      <c r="EA2" s="903" t="s">
        <v>120</v>
      </c>
      <c r="EB2" s="904" t="s">
        <v>121</v>
      </c>
      <c r="EC2" s="905" t="s">
        <v>702</v>
      </c>
      <c r="ED2" s="906" t="s">
        <v>39</v>
      </c>
      <c r="EE2" s="907" t="s">
        <v>28</v>
      </c>
      <c r="EF2" s="908" t="s">
        <v>218</v>
      </c>
      <c r="EG2" s="909" t="s">
        <v>264</v>
      </c>
      <c r="EH2" s="910" t="s">
        <v>116</v>
      </c>
      <c r="EI2" s="911" t="s">
        <v>75</v>
      </c>
      <c r="EJ2" s="912" t="s">
        <v>117</v>
      </c>
      <c r="EK2" s="913" t="s">
        <v>13</v>
      </c>
      <c r="EL2" s="914" t="s">
        <v>556</v>
      </c>
      <c r="EM2" s="917" t="s">
        <v>66</v>
      </c>
      <c r="EN2" s="916" t="s">
        <v>217</v>
      </c>
      <c r="EO2" s="915" t="s">
        <v>68</v>
      </c>
    </row>
    <row r="3" spans="1:145" ht="14.4">
      <c r="A3" s="474">
        <v>2016</v>
      </c>
      <c r="B3" s="471">
        <f>SUM(datos!JF10:JF17)</f>
        <v>54.409826999999993</v>
      </c>
      <c r="C3" s="471">
        <f>SUM(datos!JG10:JG17)</f>
        <v>149.46793971</v>
      </c>
      <c r="D3" s="471">
        <f>SUM(datos!JH10:JH17)</f>
        <v>640.51607839000008</v>
      </c>
      <c r="E3" s="471">
        <f>SUM(datos!JI10:JI17)</f>
        <v>626.62949217000005</v>
      </c>
      <c r="F3" s="471">
        <f>SUM(datos!JJ10:JJ17)</f>
        <v>3033.8295873399998</v>
      </c>
      <c r="G3" s="471">
        <f>SUM(datos!JK10:JK17)</f>
        <v>604.07055116000004</v>
      </c>
      <c r="H3" s="471">
        <f>SUM(datos!JL10:JL17)</f>
        <v>12368.02541251</v>
      </c>
      <c r="I3" s="471">
        <f>SUM(datos!JM10:JM17)</f>
        <v>57.116446369999991</v>
      </c>
      <c r="J3" s="471">
        <f>SUM(datos!JN10:JN17)</f>
        <v>1483.1200131100002</v>
      </c>
      <c r="K3" s="471">
        <f>SUM(datos!JO10:JO17)</f>
        <v>145.68573626</v>
      </c>
      <c r="L3" s="471">
        <f>SUM(datos!JP10:JP17)</f>
        <v>0</v>
      </c>
      <c r="M3" s="471">
        <f>SUM(datos!JQ10:JQ17)</f>
        <v>19.309278559999999</v>
      </c>
      <c r="N3" s="471">
        <f>SUM(datos!JR10:JR17)</f>
        <v>5.9090022300000005</v>
      </c>
      <c r="O3" s="471">
        <f>SUM(datos!JS10:JS17)</f>
        <v>0</v>
      </c>
      <c r="P3" s="471">
        <f>SUM(datos!JT10:JT17)</f>
        <v>3.2710767499999998</v>
      </c>
      <c r="Q3" s="471">
        <f>SUM(datos!JU10:JU17)</f>
        <v>648.49006539000004</v>
      </c>
      <c r="R3" s="471">
        <f>SUM(datos!JV10:JV17)</f>
        <v>102.3445337</v>
      </c>
      <c r="S3" s="471">
        <f>SUM(datos!JW10:JW17)</f>
        <v>239.04372377999999</v>
      </c>
      <c r="T3" s="471">
        <f>SUM(datos!JX10:JX17)</f>
        <v>447.18101940000008</v>
      </c>
      <c r="U3" s="471">
        <f>SUM(datos!JY10:JY17)</f>
        <v>41.025452379999997</v>
      </c>
      <c r="V3" s="471">
        <f>SUM(datos!JZ10:JZ17)</f>
        <v>24.724117669999998</v>
      </c>
      <c r="W3" s="471">
        <f>SUM(datos!KA10:KA17)</f>
        <v>0.91996289000000009</v>
      </c>
      <c r="X3" s="471">
        <f>SUM(datos!KB10:KB17)</f>
        <v>129.46429534999999</v>
      </c>
      <c r="Y3" s="471">
        <f>SUM(datos!KC10:KC17)</f>
        <v>232.85714189000004</v>
      </c>
      <c r="Z3" s="471">
        <f>SUM(datos!KD10:KD17)</f>
        <v>42.31110752</v>
      </c>
      <c r="AA3" s="471">
        <f>SUM(datos!KE10:KE17)</f>
        <v>123.20438830000001</v>
      </c>
      <c r="AB3" s="471">
        <f>SUM(datos!KF10:KF17)</f>
        <v>179.52155086000002</v>
      </c>
      <c r="AC3" s="471">
        <f>SUM(datos!KG10:KG17)</f>
        <v>1287.31462057</v>
      </c>
      <c r="AD3" s="471">
        <f>SUM(datos!KH10:KH17)</f>
        <v>387.09513541000001</v>
      </c>
      <c r="AE3" s="471">
        <f>SUM(datos!KI10:KI17)</f>
        <v>156.29587697999997</v>
      </c>
      <c r="AF3" s="471">
        <f>SUM(datos!KJ10:KJ17)</f>
        <v>7.0322253799999999</v>
      </c>
      <c r="AG3" s="471">
        <f>SUM(datos!KK10:KK17)</f>
        <v>86.194496480000012</v>
      </c>
      <c r="AH3" s="471">
        <f>SUM(datos!KL10:KL17)</f>
        <v>4.0060255800000002</v>
      </c>
      <c r="AI3" s="471">
        <f>SUM(datos!KM10:KM17)</f>
        <v>9.3210817800000001</v>
      </c>
      <c r="AJ3" s="471">
        <f>SUM(datos!KN10:KN17)</f>
        <v>1.5711605399999999</v>
      </c>
      <c r="AK3" s="471">
        <f>SUM(datos!KO10:KO17)</f>
        <v>2.6080183900000002</v>
      </c>
      <c r="AL3" s="471">
        <f>SUM(datos!KP10:KP17)</f>
        <v>0.12216077</v>
      </c>
      <c r="AM3" s="471">
        <f>SUM(datos!KQ10:KQ17)</f>
        <v>228.81879263000002</v>
      </c>
      <c r="AN3" s="471">
        <f>SUM(datos!KR10:KR17)</f>
        <v>1.80963E-3</v>
      </c>
      <c r="AO3" s="471">
        <f>SUM(datos!KS10:KS17)</f>
        <v>2.9598083599999998</v>
      </c>
      <c r="AP3" s="471">
        <f>SUM(datos!KT10:KT17)</f>
        <v>17.887523380000001</v>
      </c>
      <c r="AQ3" s="471">
        <f>SUM(datos!KU10:KU17)</f>
        <v>0.83185262000000004</v>
      </c>
      <c r="AR3" s="471">
        <f>SUM(datos!KV10:KV17)</f>
        <v>2.2095439900000002</v>
      </c>
      <c r="AS3" s="471">
        <f>SUM(datos!KW10:KW17)</f>
        <v>25.603419299999999</v>
      </c>
      <c r="AT3" s="471">
        <f>SUM(datos!KX10:KX17)</f>
        <v>0</v>
      </c>
      <c r="AU3" s="471">
        <f>SUM(datos!KY10:KY17)</f>
        <v>4.3383940000000003E-2</v>
      </c>
      <c r="AV3" s="471">
        <f>SUM(datos!KZ10:KZ17)</f>
        <v>2.7151343099999998</v>
      </c>
      <c r="AW3" s="471">
        <f>SUM(datos!LA10:LA17)</f>
        <v>3.9303516500000004</v>
      </c>
      <c r="AX3" s="471">
        <f>SUM(datos!LB10:LB17)</f>
        <v>0.50177472000000001</v>
      </c>
      <c r="AY3" s="471">
        <f>SUM(datos!LC10:LC17)</f>
        <v>0.49603370999999991</v>
      </c>
      <c r="AZ3" s="471">
        <f>SUM(datos!LD10:LD17)</f>
        <v>2.921122E-2</v>
      </c>
      <c r="BA3" s="471">
        <f>SUM(datos!LE10:LE17)</f>
        <v>6.8441316999999984</v>
      </c>
      <c r="BB3" s="471">
        <f>SUM(datos!LF10:LF17)</f>
        <v>2.4366566400000003</v>
      </c>
      <c r="BC3" s="471">
        <f>SUM(datos!LG10:LG17)</f>
        <v>154.22261244000001</v>
      </c>
      <c r="BD3" s="471">
        <f>SUM(datos!LH10:LH17)</f>
        <v>34.735091679999996</v>
      </c>
      <c r="BE3" s="471">
        <f>SUM(datos!LI10:LI17)</f>
        <v>0.50848095000000004</v>
      </c>
      <c r="BF3" s="471">
        <f>SUM(datos!LJ10:LJ17)</f>
        <v>1.4780130000000001E-2</v>
      </c>
      <c r="BG3" s="471">
        <f>SUM(datos!LK10:LK17)</f>
        <v>28.210152479999998</v>
      </c>
      <c r="BH3" s="471">
        <f>SUM(datos!LL10:LL17)</f>
        <v>29.801982159999998</v>
      </c>
      <c r="BI3" s="471">
        <f>SUM(datos!LM10:LM17)</f>
        <v>9.2453237599999998</v>
      </c>
      <c r="BJ3" s="471">
        <f>SUM(datos!LN10:LN17)</f>
        <v>5.3927472099999996</v>
      </c>
      <c r="BK3" s="471">
        <f>SUM(datos!LO10:LO17)</f>
        <v>44.470736729999999</v>
      </c>
      <c r="BL3" s="471"/>
      <c r="BM3">
        <v>2016</v>
      </c>
      <c r="BN3" s="1">
        <f>B3</f>
        <v>54.409826999999993</v>
      </c>
      <c r="BO3" s="1">
        <f>C3</f>
        <v>149.46793971</v>
      </c>
      <c r="BP3" s="1">
        <f>SUM(D3:F3,H3:J3)</f>
        <v>18209.237029890002</v>
      </c>
      <c r="BQ3" s="1">
        <f>G3</f>
        <v>604.07055116000004</v>
      </c>
      <c r="BR3" s="1">
        <f>K3</f>
        <v>145.68573626</v>
      </c>
      <c r="BS3" s="559">
        <f>L3</f>
        <v>0</v>
      </c>
      <c r="BT3" s="1">
        <f>SUM(M3:P3)</f>
        <v>28.48935754</v>
      </c>
      <c r="BU3" s="1">
        <f>Q3</f>
        <v>648.49006539000004</v>
      </c>
      <c r="BV3" s="1">
        <f>SUM(R3:S3)</f>
        <v>341.38825747999999</v>
      </c>
      <c r="BW3" s="1">
        <f>SUM(T3:W3)</f>
        <v>513.85055234000004</v>
      </c>
      <c r="BX3" s="1">
        <f t="shared" ref="BX3:CF3" si="0">X3</f>
        <v>129.46429534999999</v>
      </c>
      <c r="BY3" s="1">
        <f t="shared" si="0"/>
        <v>232.85714189000004</v>
      </c>
      <c r="BZ3" s="1">
        <f t="shared" si="0"/>
        <v>42.31110752</v>
      </c>
      <c r="CA3" s="1">
        <f t="shared" si="0"/>
        <v>123.20438830000001</v>
      </c>
      <c r="CB3" s="1">
        <f t="shared" si="0"/>
        <v>179.52155086000002</v>
      </c>
      <c r="CC3" s="1">
        <f t="shared" si="0"/>
        <v>1287.31462057</v>
      </c>
      <c r="CD3" s="1">
        <f t="shared" si="0"/>
        <v>387.09513541000001</v>
      </c>
      <c r="CE3" s="1">
        <f t="shared" si="0"/>
        <v>156.29587697999997</v>
      </c>
      <c r="CF3" s="1">
        <f t="shared" si="0"/>
        <v>7.0322253799999999</v>
      </c>
      <c r="CG3" s="1">
        <f>SUM(BN3:CF3)</f>
        <v>23240.185659030001</v>
      </c>
      <c r="CH3" s="1">
        <f>CG3-BP3</f>
        <v>5030.948629139999</v>
      </c>
      <c r="CI3" s="1">
        <f t="shared" ref="CI3:CI13" si="1">AG3</f>
        <v>86.194496480000012</v>
      </c>
      <c r="CJ3" s="1">
        <f t="shared" ref="CJ3:CJ13" si="2">AH3</f>
        <v>4.0060255800000002</v>
      </c>
      <c r="CK3" s="1">
        <f t="shared" ref="CK3:CK13" si="3">SUM(AI3:AK3,AM3:AO3)</f>
        <v>245.28067133000002</v>
      </c>
      <c r="CL3" s="7">
        <f t="shared" ref="CL3:CL13" si="4">AL3</f>
        <v>0.12216077</v>
      </c>
      <c r="CM3" s="1">
        <f t="shared" ref="CM3:CM13" si="5">AP3</f>
        <v>17.887523380000001</v>
      </c>
      <c r="CN3" s="7">
        <f t="shared" ref="CN3:CN13" si="6">AQ3</f>
        <v>0.83185262000000004</v>
      </c>
      <c r="CO3" s="2">
        <f t="shared" ref="CO3:CO13" si="7">SUM(AR3:AU3)</f>
        <v>27.856347229999997</v>
      </c>
      <c r="CP3" s="1">
        <f t="shared" ref="CP3:CP13" si="8">AV3</f>
        <v>2.7151343099999998</v>
      </c>
      <c r="CQ3" s="2">
        <f t="shared" ref="CQ3:CQ13" si="9">SUM(AW3:AX3)</f>
        <v>4.4321263700000006</v>
      </c>
      <c r="CR3" s="2">
        <f t="shared" ref="CR3:CR13" si="10">SUM(AY3:BB3)</f>
        <v>9.8060332699999986</v>
      </c>
      <c r="CS3" s="1">
        <f t="shared" ref="CS3:CS13" si="11">BC3</f>
        <v>154.22261244000001</v>
      </c>
      <c r="CT3" s="1">
        <f t="shared" ref="CT3:CT13" si="12">BD3</f>
        <v>34.735091679999996</v>
      </c>
      <c r="CU3" s="1">
        <f t="shared" ref="CU3:CU13" si="13">BE3</f>
        <v>0.50848095000000004</v>
      </c>
      <c r="CV3" s="514">
        <f t="shared" ref="CV3:CV13" si="14">BF3</f>
        <v>1.4780130000000001E-2</v>
      </c>
      <c r="CW3" s="1">
        <f t="shared" ref="CW3:CW13" si="15">BG3</f>
        <v>28.210152479999998</v>
      </c>
      <c r="CX3" s="1">
        <f t="shared" ref="CX3:CX13" si="16">BH3</f>
        <v>29.801982159999998</v>
      </c>
      <c r="CY3" s="1">
        <f t="shared" ref="CY3:CY13" si="17">BI3</f>
        <v>9.2453237599999998</v>
      </c>
      <c r="CZ3" s="1">
        <f t="shared" ref="CZ3:CZ13" si="18">BJ3</f>
        <v>5.3927472099999996</v>
      </c>
      <c r="DA3" s="1">
        <f t="shared" ref="DA3:DA13" si="19">BK3</f>
        <v>44.470736729999999</v>
      </c>
      <c r="DB3" s="1">
        <f>SUM(CI3:DA3)</f>
        <v>705.73427888000003</v>
      </c>
      <c r="DC3" s="1">
        <f>DB3-CK3</f>
        <v>460.45360755000002</v>
      </c>
      <c r="DD3">
        <v>2016</v>
      </c>
      <c r="DE3" s="1">
        <f>CC3</f>
        <v>1287.31462057</v>
      </c>
      <c r="DF3" s="1">
        <f>CD3</f>
        <v>387.09513541000001</v>
      </c>
      <c r="DG3" s="1">
        <f>CB3</f>
        <v>179.52155086000002</v>
      </c>
      <c r="DH3" s="1">
        <f>CE3</f>
        <v>156.29587697999997</v>
      </c>
      <c r="DI3" s="1">
        <f>CF3</f>
        <v>7.0322253799999999</v>
      </c>
      <c r="DJ3" s="1">
        <f>BU3</f>
        <v>648.49006539000004</v>
      </c>
      <c r="DK3" s="1">
        <f>BZ3</f>
        <v>42.31110752</v>
      </c>
      <c r="DL3" s="1">
        <f>BN3</f>
        <v>54.409826999999993</v>
      </c>
      <c r="DM3" s="1">
        <f>BV3</f>
        <v>341.38825747999999</v>
      </c>
      <c r="DN3" s="1">
        <f>BW3</f>
        <v>513.85055234000004</v>
      </c>
      <c r="DO3" s="1">
        <f>BX3</f>
        <v>129.46429534999999</v>
      </c>
      <c r="DP3" s="1">
        <f>BY3</f>
        <v>232.85714189000004</v>
      </c>
      <c r="DQ3" s="1">
        <f>CA3</f>
        <v>123.20438830000001</v>
      </c>
      <c r="DR3" s="1">
        <f>BO3</f>
        <v>149.46793971</v>
      </c>
      <c r="DS3" s="1">
        <f>BQ3</f>
        <v>604.07055116000004</v>
      </c>
      <c r="DT3" s="1">
        <f>BR3</f>
        <v>145.68573626</v>
      </c>
      <c r="DU3" s="1">
        <f>BT3</f>
        <v>28.48935754</v>
      </c>
      <c r="DV3" s="559">
        <f>BS3</f>
        <v>0</v>
      </c>
      <c r="DX3" s="1">
        <f>CX3</f>
        <v>29.801982159999998</v>
      </c>
      <c r="DY3" s="1">
        <f>CY3</f>
        <v>9.2453237599999998</v>
      </c>
      <c r="DZ3" s="1">
        <f>CW3</f>
        <v>28.210152479999998</v>
      </c>
      <c r="EA3" s="1">
        <f>CZ3</f>
        <v>5.3927472099999996</v>
      </c>
      <c r="EB3" s="1">
        <f>DA3</f>
        <v>44.470736729999999</v>
      </c>
      <c r="EC3" s="1">
        <f>CP3</f>
        <v>2.7151343099999998</v>
      </c>
      <c r="ED3" s="1">
        <f>CU3</f>
        <v>0.50848095000000004</v>
      </c>
      <c r="EE3" s="1">
        <f>CI3</f>
        <v>86.194496480000012</v>
      </c>
      <c r="EF3" s="2">
        <f>CQ3</f>
        <v>4.4321263700000006</v>
      </c>
      <c r="EG3" s="2">
        <f>CR3</f>
        <v>9.8060332699999986</v>
      </c>
      <c r="EH3" s="1">
        <f>CS3</f>
        <v>154.22261244000001</v>
      </c>
      <c r="EI3" s="1">
        <f>CT3</f>
        <v>34.735091679999996</v>
      </c>
      <c r="EJ3" s="514">
        <f>CV3</f>
        <v>1.4780130000000001E-2</v>
      </c>
      <c r="EK3" s="1">
        <f>CJ3</f>
        <v>4.0060255800000002</v>
      </c>
      <c r="EL3" s="7">
        <f>CL3</f>
        <v>0.12216077</v>
      </c>
      <c r="EM3" s="1">
        <f>CM3</f>
        <v>17.887523380000001</v>
      </c>
      <c r="EN3" s="2">
        <f>CO3</f>
        <v>27.856347229999997</v>
      </c>
      <c r="EO3" s="7">
        <f>CN3</f>
        <v>0.83185262000000004</v>
      </c>
    </row>
    <row r="4" spans="1:145" ht="14.4">
      <c r="A4" s="474">
        <v>2017</v>
      </c>
      <c r="B4" s="471">
        <f>SUM(datos!JF22:JF29)</f>
        <v>49.565385720000002</v>
      </c>
      <c r="C4" s="471">
        <f>SUM(datos!JG22:JG29)</f>
        <v>126.87512896999998</v>
      </c>
      <c r="D4" s="471">
        <f>SUM(datos!JH22:JH29)</f>
        <v>523.96339725999997</v>
      </c>
      <c r="E4" s="471">
        <f>SUM(datos!JI22:JI29)</f>
        <v>571.33696612000006</v>
      </c>
      <c r="F4" s="471">
        <f>SUM(datos!JJ22:JJ29)</f>
        <v>2727.6091797099998</v>
      </c>
      <c r="G4" s="471">
        <f>SUM(datos!JK22:JK29)</f>
        <v>560.18411261999995</v>
      </c>
      <c r="H4" s="471">
        <f>SUM(datos!JL22:JL29)</f>
        <v>11308.75473929</v>
      </c>
      <c r="I4" s="471">
        <f>SUM(datos!JM22:JM29)</f>
        <v>43.107363030000002</v>
      </c>
      <c r="J4" s="471">
        <f>SUM(datos!JN22:JN29)</f>
        <v>1750.6162726099999</v>
      </c>
      <c r="K4" s="471">
        <f>SUM(datos!JO22:JO29)</f>
        <v>125.01639012</v>
      </c>
      <c r="L4" s="471">
        <f>SUM(datos!JP22:JP29)</f>
        <v>1.6640000000000001E-3</v>
      </c>
      <c r="M4" s="471">
        <f>SUM(datos!JQ22:JQ29)</f>
        <v>6.02563651</v>
      </c>
      <c r="N4" s="471">
        <f>SUM(datos!JR22:JR29)</f>
        <v>6.4348864400000005</v>
      </c>
      <c r="O4" s="471">
        <f>SUM(datos!JS22:JS29)</f>
        <v>0</v>
      </c>
      <c r="P4" s="471">
        <f>SUM(datos!JT22:JT29)</f>
        <v>4.1380675600000014</v>
      </c>
      <c r="Q4" s="471">
        <f>SUM(datos!JU22:JU29)</f>
        <v>614.54182077999997</v>
      </c>
      <c r="R4" s="471">
        <f>SUM(datos!JV22:JV29)</f>
        <v>96.55252836999999</v>
      </c>
      <c r="S4" s="471">
        <f>SUM(datos!JW22:JW29)</f>
        <v>232.02442886</v>
      </c>
      <c r="T4" s="471">
        <f>SUM(datos!JX22:JX29)</f>
        <v>343.24648259999992</v>
      </c>
      <c r="U4" s="471">
        <f>SUM(datos!JY22:JY29)</f>
        <v>36.934788470000001</v>
      </c>
      <c r="V4" s="471">
        <f>SUM(datos!JZ22:JZ29)</f>
        <v>32.271393780000004</v>
      </c>
      <c r="W4" s="471">
        <f>SUM(datos!KA22:KA29)</f>
        <v>2.9561742</v>
      </c>
      <c r="X4" s="471">
        <f>SUM(datos!KB22:KB29)</f>
        <v>158.43166237</v>
      </c>
      <c r="Y4" s="471">
        <f>SUM(datos!KC22:KC29)</f>
        <v>214.27715092999998</v>
      </c>
      <c r="Z4" s="471">
        <f>SUM(datos!KD22:KD29)</f>
        <v>55.5537682</v>
      </c>
      <c r="AA4" s="471">
        <f>SUM(datos!KE22:KE29)</f>
        <v>134.11464745000001</v>
      </c>
      <c r="AB4" s="471">
        <f>SUM(datos!KF22:KF29)</f>
        <v>213.07472012999997</v>
      </c>
      <c r="AC4" s="471">
        <f>SUM(datos!KG22:KG29)</f>
        <v>1475.5045843100002</v>
      </c>
      <c r="AD4" s="471">
        <f>SUM(datos!KH22:KH29)</f>
        <v>357.2788405</v>
      </c>
      <c r="AE4" s="471">
        <f>SUM(datos!KI22:KI29)</f>
        <v>144.58607935999999</v>
      </c>
      <c r="AF4" s="471">
        <f>SUM(datos!KJ22:KJ29)</f>
        <v>12.538792029999998</v>
      </c>
      <c r="AG4" s="471">
        <f>SUM(datos!KK22:KK29)</f>
        <v>66.5044228</v>
      </c>
      <c r="AH4" s="471">
        <f>SUM(datos!KL22:KL29)</f>
        <v>3.7127876500000001</v>
      </c>
      <c r="AI4" s="471">
        <f>SUM(datos!KM22:KM29)</f>
        <v>38.192510230000003</v>
      </c>
      <c r="AJ4" s="471">
        <f>SUM(datos!KN22:KN29)</f>
        <v>0.77814280999999996</v>
      </c>
      <c r="AK4" s="471">
        <f>SUM(datos!KO22:KO29)</f>
        <v>14.295274610000002</v>
      </c>
      <c r="AL4" s="471">
        <f>SUM(datos!KP22:KP29)</f>
        <v>0.67187737999999997</v>
      </c>
      <c r="AM4" s="471">
        <f>SUM(datos!KQ22:KQ29)</f>
        <v>521.23444893999999</v>
      </c>
      <c r="AN4" s="471">
        <f>SUM(datos!KR22:KR29)</f>
        <v>6.7545369999999993E-2</v>
      </c>
      <c r="AO4" s="471">
        <f>SUM(datos!KS22:KS29)</f>
        <v>0.69530589999999992</v>
      </c>
      <c r="AP4" s="471">
        <f>SUM(datos!KT22:KT29)</f>
        <v>23.607515830000004</v>
      </c>
      <c r="AQ4" s="471">
        <f>SUM(datos!KU22:KU29)</f>
        <v>4.4833475599999995</v>
      </c>
      <c r="AR4" s="471">
        <f>SUM(datos!KV22:KV29)</f>
        <v>7.6849699999999993E-2</v>
      </c>
      <c r="AS4" s="471">
        <f>SUM(datos!KW22:KW29)</f>
        <v>31.986337699999996</v>
      </c>
      <c r="AT4" s="471">
        <f>SUM(datos!KX22:KX29)</f>
        <v>0</v>
      </c>
      <c r="AU4" s="471">
        <f>SUM(datos!KY22:KY29)</f>
        <v>0</v>
      </c>
      <c r="AV4" s="471">
        <f>SUM(datos!KZ22:KZ29)</f>
        <v>50.990597520000001</v>
      </c>
      <c r="AW4" s="471">
        <f>SUM(datos!LA22:LA29)</f>
        <v>10.606979239999999</v>
      </c>
      <c r="AX4" s="471">
        <f>SUM(datos!LB22:LB29)</f>
        <v>0.37633050000000001</v>
      </c>
      <c r="AY4" s="471">
        <f>SUM(datos!LC22:LC29)</f>
        <v>2.4268223700000005</v>
      </c>
      <c r="AZ4" s="471">
        <f>SUM(datos!LD22:LD29)</f>
        <v>6.2396699999999999E-2</v>
      </c>
      <c r="BA4" s="471">
        <f>SUM(datos!LE22:LE29)</f>
        <v>6.23210555</v>
      </c>
      <c r="BB4" s="471">
        <f>SUM(datos!LF22:LF29)</f>
        <v>2.8371751100000004</v>
      </c>
      <c r="BC4" s="471">
        <f>SUM(datos!LG22:LG29)</f>
        <v>152.61876864000004</v>
      </c>
      <c r="BD4" s="471">
        <f>SUM(datos!LH22:LH29)</f>
        <v>34.65563401</v>
      </c>
      <c r="BE4" s="471">
        <f>SUM(datos!LI22:LI29)</f>
        <v>0.68021238000000006</v>
      </c>
      <c r="BF4" s="471">
        <f>SUM(datos!LJ22:LJ29)</f>
        <v>0.22386681</v>
      </c>
      <c r="BG4" s="471">
        <f>SUM(datos!LK22:LK29)</f>
        <v>22.281796279999995</v>
      </c>
      <c r="BH4" s="471">
        <f>SUM(datos!LL22:LL29)</f>
        <v>28.894063780000003</v>
      </c>
      <c r="BI4" s="471">
        <f>SUM(datos!LM22:LM29)</f>
        <v>19.887670429999996</v>
      </c>
      <c r="BJ4" s="471">
        <f>SUM(datos!LN22:LN29)</f>
        <v>2.3918064900000005</v>
      </c>
      <c r="BK4" s="471">
        <f>SUM(datos!LO22:LO29)</f>
        <v>80.561475049999984</v>
      </c>
      <c r="BL4" s="471"/>
      <c r="BM4">
        <v>2017</v>
      </c>
      <c r="BN4" s="1">
        <f t="shared" ref="BN4:BN12" si="20">B4</f>
        <v>49.565385720000002</v>
      </c>
      <c r="BO4" s="1">
        <f t="shared" ref="BO4:BO12" si="21">C4</f>
        <v>126.87512896999998</v>
      </c>
      <c r="BP4" s="1">
        <f t="shared" ref="BP4:BP12" si="22">SUM(D4:F4,H4:J4)</f>
        <v>16925.387918019998</v>
      </c>
      <c r="BQ4" s="1">
        <f t="shared" ref="BQ4:BQ12" si="23">G4</f>
        <v>560.18411261999995</v>
      </c>
      <c r="BR4" s="1">
        <f t="shared" ref="BR4:BR12" si="24">K4</f>
        <v>125.01639012</v>
      </c>
      <c r="BS4" s="559">
        <f t="shared" ref="BS4:BS12" si="25">L4</f>
        <v>1.6640000000000001E-3</v>
      </c>
      <c r="BT4" s="1">
        <f t="shared" ref="BT4:BT12" si="26">SUM(M4:P4)</f>
        <v>16.598590510000001</v>
      </c>
      <c r="BU4" s="1">
        <f t="shared" ref="BU4:BU12" si="27">Q4</f>
        <v>614.54182077999997</v>
      </c>
      <c r="BV4" s="1">
        <f t="shared" ref="BV4:BV12" si="28">SUM(R4:S4)</f>
        <v>328.57695723</v>
      </c>
      <c r="BW4" s="1">
        <f t="shared" ref="BW4:BW12" si="29">SUM(T4:W4)</f>
        <v>415.40883904999993</v>
      </c>
      <c r="BX4" s="1">
        <f t="shared" ref="BX4:BX12" si="30">X4</f>
        <v>158.43166237</v>
      </c>
      <c r="BY4" s="1">
        <f t="shared" ref="BY4:BY12" si="31">Y4</f>
        <v>214.27715092999998</v>
      </c>
      <c r="BZ4" s="1">
        <f t="shared" ref="BZ4:BZ12" si="32">Z4</f>
        <v>55.5537682</v>
      </c>
      <c r="CA4" s="1">
        <f t="shared" ref="CA4:CA12" si="33">AA4</f>
        <v>134.11464745000001</v>
      </c>
      <c r="CB4" s="1">
        <f t="shared" ref="CB4:CB12" si="34">AB4</f>
        <v>213.07472012999997</v>
      </c>
      <c r="CC4" s="1">
        <f t="shared" ref="CC4:CC12" si="35">AC4</f>
        <v>1475.5045843100002</v>
      </c>
      <c r="CD4" s="1">
        <f t="shared" ref="CD4:CD12" si="36">AD4</f>
        <v>357.2788405</v>
      </c>
      <c r="CE4" s="1">
        <f t="shared" ref="CE4:CE12" si="37">AE4</f>
        <v>144.58607935999999</v>
      </c>
      <c r="CF4" s="1">
        <f t="shared" ref="CF4:CF12" si="38">AF4</f>
        <v>12.538792029999998</v>
      </c>
      <c r="CG4" s="1">
        <f t="shared" ref="CG4:CG13" si="39">SUM(BN4:CF4)</f>
        <v>21927.517052299998</v>
      </c>
      <c r="CH4" s="1">
        <f t="shared" ref="CH4:CH13" si="40">CG4-BP4</f>
        <v>5002.1291342799996</v>
      </c>
      <c r="CI4" s="1">
        <f t="shared" si="1"/>
        <v>66.5044228</v>
      </c>
      <c r="CJ4" s="1">
        <f t="shared" si="2"/>
        <v>3.7127876500000001</v>
      </c>
      <c r="CK4" s="1">
        <f t="shared" si="3"/>
        <v>575.26322785999992</v>
      </c>
      <c r="CL4" s="7">
        <f t="shared" si="4"/>
        <v>0.67187737999999997</v>
      </c>
      <c r="CM4" s="1">
        <f t="shared" si="5"/>
        <v>23.607515830000004</v>
      </c>
      <c r="CN4" s="7">
        <f t="shared" si="6"/>
        <v>4.4833475599999995</v>
      </c>
      <c r="CO4" s="2">
        <f t="shared" si="7"/>
        <v>32.063187399999997</v>
      </c>
      <c r="CP4" s="1">
        <f t="shared" si="8"/>
        <v>50.990597520000001</v>
      </c>
      <c r="CQ4" s="2">
        <f t="shared" si="9"/>
        <v>10.983309739999999</v>
      </c>
      <c r="CR4" s="2">
        <f t="shared" si="10"/>
        <v>11.558499730000001</v>
      </c>
      <c r="CS4" s="1">
        <f t="shared" si="11"/>
        <v>152.61876864000004</v>
      </c>
      <c r="CT4" s="1">
        <f t="shared" si="12"/>
        <v>34.65563401</v>
      </c>
      <c r="CU4" s="1">
        <f t="shared" si="13"/>
        <v>0.68021238000000006</v>
      </c>
      <c r="CV4" s="514">
        <f t="shared" si="14"/>
        <v>0.22386681</v>
      </c>
      <c r="CW4" s="1">
        <f t="shared" si="15"/>
        <v>22.281796279999995</v>
      </c>
      <c r="CX4" s="1">
        <f t="shared" si="16"/>
        <v>28.894063780000003</v>
      </c>
      <c r="CY4" s="1">
        <f t="shared" si="17"/>
        <v>19.887670429999996</v>
      </c>
      <c r="CZ4" s="1">
        <f t="shared" si="18"/>
        <v>2.3918064900000005</v>
      </c>
      <c r="DA4" s="1">
        <f t="shared" si="19"/>
        <v>80.561475049999984</v>
      </c>
      <c r="DB4" s="1">
        <f t="shared" ref="DB4:DB12" si="41">SUM(CI4:DA4)</f>
        <v>1122.0340673399996</v>
      </c>
      <c r="DC4" s="1">
        <f t="shared" ref="DC4:DC12" si="42">DB4-CK4</f>
        <v>546.77083947999972</v>
      </c>
      <c r="DD4">
        <v>2017</v>
      </c>
      <c r="DE4" s="1">
        <f t="shared" ref="DE4:DE13" si="43">CC4</f>
        <v>1475.5045843100002</v>
      </c>
      <c r="DF4" s="1">
        <f t="shared" ref="DF4:DF13" si="44">CD4</f>
        <v>357.2788405</v>
      </c>
      <c r="DG4" s="1">
        <f t="shared" ref="DG4:DG13" si="45">CB4</f>
        <v>213.07472012999997</v>
      </c>
      <c r="DH4" s="1">
        <f t="shared" ref="DH4:DH13" si="46">CE4</f>
        <v>144.58607935999999</v>
      </c>
      <c r="DI4" s="1">
        <f t="shared" ref="DI4:DI13" si="47">CF4</f>
        <v>12.538792029999998</v>
      </c>
      <c r="DJ4" s="1">
        <f t="shared" ref="DJ4:DJ13" si="48">BU4</f>
        <v>614.54182077999997</v>
      </c>
      <c r="DK4" s="1">
        <f t="shared" ref="DK4:DK13" si="49">BZ4</f>
        <v>55.5537682</v>
      </c>
      <c r="DL4" s="1">
        <f t="shared" ref="DL4:DL13" si="50">BN4</f>
        <v>49.565385720000002</v>
      </c>
      <c r="DM4" s="1">
        <f t="shared" ref="DM4:DM13" si="51">BV4</f>
        <v>328.57695723</v>
      </c>
      <c r="DN4" s="1">
        <f t="shared" ref="DN4:DN13" si="52">BW4</f>
        <v>415.40883904999993</v>
      </c>
      <c r="DO4" s="1">
        <f t="shared" ref="DO4:DO13" si="53">BX4</f>
        <v>158.43166237</v>
      </c>
      <c r="DP4" s="1">
        <f t="shared" ref="DP4:DP13" si="54">BY4</f>
        <v>214.27715092999998</v>
      </c>
      <c r="DQ4" s="1">
        <f t="shared" ref="DQ4:DQ13" si="55">CA4</f>
        <v>134.11464745000001</v>
      </c>
      <c r="DR4" s="1">
        <f t="shared" ref="DR4:DR13" si="56">BO4</f>
        <v>126.87512896999998</v>
      </c>
      <c r="DS4" s="1">
        <f t="shared" ref="DS4:DS13" si="57">BQ4</f>
        <v>560.18411261999995</v>
      </c>
      <c r="DT4" s="1">
        <f t="shared" ref="DT4:DT13" si="58">BR4</f>
        <v>125.01639012</v>
      </c>
      <c r="DU4" s="1">
        <f t="shared" ref="DU4:DU13" si="59">BT4</f>
        <v>16.598590510000001</v>
      </c>
      <c r="DV4" s="559">
        <f t="shared" ref="DV4:DV13" si="60">BS4</f>
        <v>1.6640000000000001E-3</v>
      </c>
      <c r="DX4" s="1">
        <f t="shared" ref="DX4:DX13" si="61">CX4</f>
        <v>28.894063780000003</v>
      </c>
      <c r="DY4" s="1">
        <f t="shared" ref="DY4:DY13" si="62">CY4</f>
        <v>19.887670429999996</v>
      </c>
      <c r="DZ4" s="1">
        <f t="shared" ref="DZ4:DZ13" si="63">CW4</f>
        <v>22.281796279999995</v>
      </c>
      <c r="EA4" s="1">
        <f t="shared" ref="EA4:EA13" si="64">CZ4</f>
        <v>2.3918064900000005</v>
      </c>
      <c r="EB4" s="1">
        <f t="shared" ref="EB4:EB13" si="65">DA4</f>
        <v>80.561475049999984</v>
      </c>
      <c r="EC4" s="1">
        <f t="shared" ref="EC4:EC13" si="66">CP4</f>
        <v>50.990597520000001</v>
      </c>
      <c r="ED4" s="1">
        <f t="shared" ref="ED4:ED13" si="67">CU4</f>
        <v>0.68021238000000006</v>
      </c>
      <c r="EE4" s="1">
        <f t="shared" ref="EE4:EE13" si="68">CI4</f>
        <v>66.5044228</v>
      </c>
      <c r="EF4" s="2">
        <f t="shared" ref="EF4:EF13" si="69">CQ4</f>
        <v>10.983309739999999</v>
      </c>
      <c r="EG4" s="2">
        <f t="shared" ref="EG4:EG13" si="70">CR4</f>
        <v>11.558499730000001</v>
      </c>
      <c r="EH4" s="1">
        <f t="shared" ref="EH4:EH13" si="71">CS4</f>
        <v>152.61876864000004</v>
      </c>
      <c r="EI4" s="1">
        <f t="shared" ref="EI4:EI13" si="72">CT4</f>
        <v>34.65563401</v>
      </c>
      <c r="EJ4" s="514">
        <f t="shared" ref="EJ4:EJ13" si="73">CV4</f>
        <v>0.22386681</v>
      </c>
      <c r="EK4" s="1">
        <f t="shared" ref="EK4:EK13" si="74">CJ4</f>
        <v>3.7127876500000001</v>
      </c>
      <c r="EL4" s="7">
        <f t="shared" ref="EL4:EL13" si="75">CL4</f>
        <v>0.67187737999999997</v>
      </c>
      <c r="EM4" s="1">
        <f t="shared" ref="EM4:EM13" si="76">CM4</f>
        <v>23.607515830000004</v>
      </c>
      <c r="EN4" s="2">
        <f t="shared" ref="EN4:EN13" si="77">CO4</f>
        <v>32.063187399999997</v>
      </c>
      <c r="EO4" s="7">
        <f t="shared" ref="EO4:EO13" si="78">CN4</f>
        <v>4.4833475599999995</v>
      </c>
    </row>
    <row r="5" spans="1:145" ht="14.4">
      <c r="A5" s="474">
        <v>2018</v>
      </c>
      <c r="B5" s="471">
        <f>SUM(datos!JF34:JF41)</f>
        <v>66.392230699999999</v>
      </c>
      <c r="C5" s="471">
        <f>SUM(datos!JG34:JG41)</f>
        <v>123.09375689999999</v>
      </c>
      <c r="D5" s="471">
        <f>SUM(datos!JH34:JH41)</f>
        <v>540.71462946000008</v>
      </c>
      <c r="E5" s="471">
        <f>SUM(datos!JI34:JI41)</f>
        <v>580.10943178000002</v>
      </c>
      <c r="F5" s="471">
        <f>SUM(datos!JJ34:JJ41)</f>
        <v>3130.3466429800001</v>
      </c>
      <c r="G5" s="471">
        <f>SUM(datos!JK34:JK41)</f>
        <v>463.90970751999993</v>
      </c>
      <c r="H5" s="471">
        <f>SUM(datos!JL34:JL41)</f>
        <v>9076.2721164899995</v>
      </c>
      <c r="I5" s="471">
        <f>SUM(datos!JM34:JM41)</f>
        <v>27.12204723</v>
      </c>
      <c r="J5" s="471">
        <f>SUM(datos!JN34:JN41)</f>
        <v>1815.08146999</v>
      </c>
      <c r="K5" s="471">
        <f>SUM(datos!JO34:JO41)</f>
        <v>112.84753033999999</v>
      </c>
      <c r="L5" s="471">
        <f>SUM(datos!JP34:JP41)</f>
        <v>0</v>
      </c>
      <c r="M5" s="471">
        <f>SUM(datos!JQ34:JQ41)</f>
        <v>20.836294540000001</v>
      </c>
      <c r="N5" s="471">
        <f>SUM(datos!JR34:JR41)</f>
        <v>6.5265815199999997</v>
      </c>
      <c r="O5" s="471">
        <f>SUM(datos!JS34:JS41)</f>
        <v>0</v>
      </c>
      <c r="P5" s="471">
        <f>SUM(datos!JT34:JT41)</f>
        <v>3.6554084599999999</v>
      </c>
      <c r="Q5" s="471">
        <f>SUM(datos!JU34:JU41)</f>
        <v>638.19388834000017</v>
      </c>
      <c r="R5" s="471">
        <f>SUM(datos!JV34:JV41)</f>
        <v>98.884987390000006</v>
      </c>
      <c r="S5" s="471">
        <f>SUM(datos!JW34:JW41)</f>
        <v>263.07488561999998</v>
      </c>
      <c r="T5" s="471">
        <f>SUM(datos!JX34:JX41)</f>
        <v>405.24646963000004</v>
      </c>
      <c r="U5" s="471">
        <f>SUM(datos!JY34:JY41)</f>
        <v>0</v>
      </c>
      <c r="V5" s="471">
        <f>SUM(datos!JZ34:JZ41)</f>
        <v>25.450975140000001</v>
      </c>
      <c r="W5" s="471">
        <f>SUM(datos!KA34:KA41)</f>
        <v>2.41172751</v>
      </c>
      <c r="X5" s="471">
        <f>SUM(datos!KB34:KB41)</f>
        <v>50.234010600000005</v>
      </c>
      <c r="Y5" s="471">
        <f>SUM(datos!KC34:KC41)</f>
        <v>191.74421916</v>
      </c>
      <c r="Z5" s="471">
        <f>SUM(datos!KD34:KD41)</f>
        <v>69.072689050000008</v>
      </c>
      <c r="AA5" s="471">
        <f>SUM(datos!KE34:KE41)</f>
        <v>125.53561703</v>
      </c>
      <c r="AB5" s="471">
        <f>SUM(datos!KF34:KF41)</f>
        <v>203.32060024999998</v>
      </c>
      <c r="AC5" s="471">
        <f>SUM(datos!KG34:KG41)</f>
        <v>1949.4436133500001</v>
      </c>
      <c r="AD5" s="471">
        <f>SUM(datos!KH34:KH41)</f>
        <v>462.15820546000009</v>
      </c>
      <c r="AE5" s="471">
        <f>SUM(datos!KI34:KI41)</f>
        <v>196.13031033000001</v>
      </c>
      <c r="AF5" s="471">
        <f>SUM(datos!KJ34:KJ41)</f>
        <v>14.42498226</v>
      </c>
      <c r="AG5" s="471">
        <f>SUM(datos!KK34:KK41)</f>
        <v>68.738868799999992</v>
      </c>
      <c r="AH5" s="471">
        <f>SUM(datos!KL34:KL41)</f>
        <v>3.25275844</v>
      </c>
      <c r="AI5" s="471">
        <f>SUM(datos!KM34:KM41)</f>
        <v>47.901460270000001</v>
      </c>
      <c r="AJ5" s="471">
        <f>SUM(datos!KN34:KN41)</f>
        <v>0.38425430999999999</v>
      </c>
      <c r="AK5" s="471">
        <f>SUM(datos!KO34:KO41)</f>
        <v>11.17976951</v>
      </c>
      <c r="AL5" s="471">
        <f>SUM(datos!KP34:KP41)</f>
        <v>0.20511525</v>
      </c>
      <c r="AM5" s="471">
        <f>SUM(datos!KQ34:KQ41)</f>
        <v>1585.53937907</v>
      </c>
      <c r="AN5" s="471">
        <f>SUM(datos!KR34:KR41)</f>
        <v>0</v>
      </c>
      <c r="AO5" s="471">
        <f>SUM(datos!KS34:KS41)</f>
        <v>1.50401914</v>
      </c>
      <c r="AP5" s="471">
        <f>SUM(datos!KT34:KT41)</f>
        <v>34.349134260000007</v>
      </c>
      <c r="AQ5" s="471">
        <f>SUM(datos!KU34:KU41)</f>
        <v>4.1272483600000003</v>
      </c>
      <c r="AR5" s="471">
        <f>SUM(datos!KV34:KV41)</f>
        <v>0.81356445000000011</v>
      </c>
      <c r="AS5" s="471">
        <f>SUM(datos!KW34:KW41)</f>
        <v>24.700064340000001</v>
      </c>
      <c r="AT5" s="471">
        <f>SUM(datos!KX34:KX41)</f>
        <v>0</v>
      </c>
      <c r="AU5" s="471">
        <f>SUM(datos!KY34:KY41)</f>
        <v>0</v>
      </c>
      <c r="AV5" s="471">
        <f>SUM(datos!KZ34:KZ41)</f>
        <v>7.0511016500000006</v>
      </c>
      <c r="AW5" s="471">
        <f>SUM(datos!LA34:LA41)</f>
        <v>6.5012360899999999</v>
      </c>
      <c r="AX5" s="471">
        <f>SUM(datos!LB34:LB41)</f>
        <v>0</v>
      </c>
      <c r="AY5" s="471">
        <f>SUM(datos!LC34:LC41)</f>
        <v>0.77789613000000002</v>
      </c>
      <c r="AZ5" s="471">
        <f>SUM(datos!LD34:LD41)</f>
        <v>0</v>
      </c>
      <c r="BA5" s="471">
        <f>SUM(datos!LE34:LE41)</f>
        <v>7.04453028</v>
      </c>
      <c r="BB5" s="471">
        <f>SUM(datos!LF34:LF41)</f>
        <v>1.5182835499999998</v>
      </c>
      <c r="BC5" s="471">
        <f>SUM(datos!LG34:LG41)</f>
        <v>167.11321046</v>
      </c>
      <c r="BD5" s="471">
        <f>SUM(datos!LH34:LH41)</f>
        <v>19.971597770000002</v>
      </c>
      <c r="BE5" s="471">
        <f>SUM(datos!LI34:LI41)</f>
        <v>0.40205220999999997</v>
      </c>
      <c r="BF5" s="471">
        <f>SUM(datos!LJ34:LJ41)</f>
        <v>0</v>
      </c>
      <c r="BG5" s="471">
        <f>SUM(datos!LK34:LK41)</f>
        <v>19.208995849999997</v>
      </c>
      <c r="BH5" s="471">
        <f>SUM(datos!LL34:LL41)</f>
        <v>24.27934102</v>
      </c>
      <c r="BI5" s="471">
        <f>SUM(datos!LM34:LM41)</f>
        <v>14.19974552</v>
      </c>
      <c r="BJ5" s="471">
        <f>SUM(datos!LN34:LN41)</f>
        <v>0.77257660000000006</v>
      </c>
      <c r="BK5" s="471">
        <f>SUM(datos!LO34:LO41)</f>
        <v>76.963964739999994</v>
      </c>
      <c r="BL5" s="471"/>
      <c r="BM5">
        <v>2018</v>
      </c>
      <c r="BN5" s="1">
        <f t="shared" si="20"/>
        <v>66.392230699999999</v>
      </c>
      <c r="BO5" s="1">
        <f t="shared" si="21"/>
        <v>123.09375689999999</v>
      </c>
      <c r="BP5" s="1">
        <f t="shared" si="22"/>
        <v>15169.646337929998</v>
      </c>
      <c r="BQ5" s="1">
        <f t="shared" si="23"/>
        <v>463.90970751999993</v>
      </c>
      <c r="BR5" s="1">
        <f t="shared" si="24"/>
        <v>112.84753033999999</v>
      </c>
      <c r="BS5" s="559">
        <f t="shared" si="25"/>
        <v>0</v>
      </c>
      <c r="BT5" s="1">
        <f t="shared" si="26"/>
        <v>31.018284520000002</v>
      </c>
      <c r="BU5" s="1">
        <f t="shared" si="27"/>
        <v>638.19388834000017</v>
      </c>
      <c r="BV5" s="1">
        <f t="shared" si="28"/>
        <v>361.95987300999997</v>
      </c>
      <c r="BW5" s="1">
        <f t="shared" si="29"/>
        <v>433.10917228000005</v>
      </c>
      <c r="BX5" s="1">
        <f t="shared" si="30"/>
        <v>50.234010600000005</v>
      </c>
      <c r="BY5" s="1">
        <f t="shared" si="31"/>
        <v>191.74421916</v>
      </c>
      <c r="BZ5" s="1">
        <f t="shared" si="32"/>
        <v>69.072689050000008</v>
      </c>
      <c r="CA5" s="1">
        <f t="shared" si="33"/>
        <v>125.53561703</v>
      </c>
      <c r="CB5" s="1">
        <f t="shared" si="34"/>
        <v>203.32060024999998</v>
      </c>
      <c r="CC5" s="1">
        <f t="shared" si="35"/>
        <v>1949.4436133500001</v>
      </c>
      <c r="CD5" s="1">
        <f t="shared" si="36"/>
        <v>462.15820546000009</v>
      </c>
      <c r="CE5" s="1">
        <f t="shared" si="37"/>
        <v>196.13031033000001</v>
      </c>
      <c r="CF5" s="1">
        <f t="shared" si="38"/>
        <v>14.42498226</v>
      </c>
      <c r="CG5" s="1">
        <f t="shared" si="39"/>
        <v>20662.235029030002</v>
      </c>
      <c r="CH5" s="1">
        <f t="shared" si="40"/>
        <v>5492.5886911000034</v>
      </c>
      <c r="CI5" s="1">
        <f t="shared" si="1"/>
        <v>68.738868799999992</v>
      </c>
      <c r="CJ5" s="7">
        <f t="shared" si="2"/>
        <v>3.25275844</v>
      </c>
      <c r="CK5" s="1">
        <f t="shared" si="3"/>
        <v>1646.5088823000001</v>
      </c>
      <c r="CL5" s="7">
        <f t="shared" si="4"/>
        <v>0.20511525</v>
      </c>
      <c r="CM5" s="1">
        <f t="shared" si="5"/>
        <v>34.349134260000007</v>
      </c>
      <c r="CN5" s="7">
        <f t="shared" si="6"/>
        <v>4.1272483600000003</v>
      </c>
      <c r="CO5" s="2">
        <f t="shared" si="7"/>
        <v>25.513628790000002</v>
      </c>
      <c r="CP5" s="1">
        <f t="shared" si="8"/>
        <v>7.0511016500000006</v>
      </c>
      <c r="CQ5" s="2">
        <f t="shared" si="9"/>
        <v>6.5012360899999999</v>
      </c>
      <c r="CR5" s="2">
        <f t="shared" si="10"/>
        <v>9.3407099599999999</v>
      </c>
      <c r="CS5" s="1">
        <f t="shared" si="11"/>
        <v>167.11321046</v>
      </c>
      <c r="CT5" s="1">
        <f t="shared" si="12"/>
        <v>19.971597770000002</v>
      </c>
      <c r="CU5" s="1">
        <f t="shared" si="13"/>
        <v>0.40205220999999997</v>
      </c>
      <c r="CV5" s="514">
        <f t="shared" si="14"/>
        <v>0</v>
      </c>
      <c r="CW5" s="1">
        <f t="shared" si="15"/>
        <v>19.208995849999997</v>
      </c>
      <c r="CX5" s="1">
        <f t="shared" si="16"/>
        <v>24.27934102</v>
      </c>
      <c r="CY5" s="1">
        <f t="shared" si="17"/>
        <v>14.19974552</v>
      </c>
      <c r="CZ5" s="1">
        <f t="shared" si="18"/>
        <v>0.77257660000000006</v>
      </c>
      <c r="DA5" s="1">
        <f t="shared" si="19"/>
        <v>76.963964739999994</v>
      </c>
      <c r="DB5" s="1">
        <f t="shared" si="41"/>
        <v>2128.5001680699997</v>
      </c>
      <c r="DC5" s="1">
        <f t="shared" si="42"/>
        <v>481.99128576999965</v>
      </c>
      <c r="DD5">
        <v>2018</v>
      </c>
      <c r="DE5" s="1">
        <f t="shared" si="43"/>
        <v>1949.4436133500001</v>
      </c>
      <c r="DF5" s="1">
        <f t="shared" si="44"/>
        <v>462.15820546000009</v>
      </c>
      <c r="DG5" s="1">
        <f t="shared" si="45"/>
        <v>203.32060024999998</v>
      </c>
      <c r="DH5" s="1">
        <f t="shared" si="46"/>
        <v>196.13031033000001</v>
      </c>
      <c r="DI5" s="1">
        <f t="shared" si="47"/>
        <v>14.42498226</v>
      </c>
      <c r="DJ5" s="1">
        <f t="shared" si="48"/>
        <v>638.19388834000017</v>
      </c>
      <c r="DK5" s="1">
        <f t="shared" si="49"/>
        <v>69.072689050000008</v>
      </c>
      <c r="DL5" s="1">
        <f t="shared" si="50"/>
        <v>66.392230699999999</v>
      </c>
      <c r="DM5" s="1">
        <f t="shared" si="51"/>
        <v>361.95987300999997</v>
      </c>
      <c r="DN5" s="1">
        <f t="shared" si="52"/>
        <v>433.10917228000005</v>
      </c>
      <c r="DO5" s="1">
        <f t="shared" si="53"/>
        <v>50.234010600000005</v>
      </c>
      <c r="DP5" s="1">
        <f t="shared" si="54"/>
        <v>191.74421916</v>
      </c>
      <c r="DQ5" s="1">
        <f t="shared" si="55"/>
        <v>125.53561703</v>
      </c>
      <c r="DR5" s="1">
        <f t="shared" si="56"/>
        <v>123.09375689999999</v>
      </c>
      <c r="DS5" s="1">
        <f t="shared" si="57"/>
        <v>463.90970751999993</v>
      </c>
      <c r="DT5" s="1">
        <f t="shared" si="58"/>
        <v>112.84753033999999</v>
      </c>
      <c r="DU5" s="1">
        <f t="shared" si="59"/>
        <v>31.018284520000002</v>
      </c>
      <c r="DV5" s="559">
        <f t="shared" si="60"/>
        <v>0</v>
      </c>
      <c r="DX5" s="1">
        <f t="shared" si="61"/>
        <v>24.27934102</v>
      </c>
      <c r="DY5" s="1">
        <f t="shared" si="62"/>
        <v>14.19974552</v>
      </c>
      <c r="DZ5" s="1">
        <f t="shared" si="63"/>
        <v>19.208995849999997</v>
      </c>
      <c r="EA5" s="1">
        <f t="shared" si="64"/>
        <v>0.77257660000000006</v>
      </c>
      <c r="EB5" s="1">
        <f t="shared" si="65"/>
        <v>76.963964739999994</v>
      </c>
      <c r="EC5" s="1">
        <f t="shared" si="66"/>
        <v>7.0511016500000006</v>
      </c>
      <c r="ED5" s="1">
        <f t="shared" si="67"/>
        <v>0.40205220999999997</v>
      </c>
      <c r="EE5" s="1">
        <f t="shared" si="68"/>
        <v>68.738868799999992</v>
      </c>
      <c r="EF5" s="2">
        <f t="shared" si="69"/>
        <v>6.5012360899999999</v>
      </c>
      <c r="EG5" s="2">
        <f t="shared" si="70"/>
        <v>9.3407099599999999</v>
      </c>
      <c r="EH5" s="1">
        <f t="shared" si="71"/>
        <v>167.11321046</v>
      </c>
      <c r="EI5" s="1">
        <f t="shared" si="72"/>
        <v>19.971597770000002</v>
      </c>
      <c r="EJ5" s="514">
        <f t="shared" si="73"/>
        <v>0</v>
      </c>
      <c r="EK5" s="1">
        <f t="shared" si="74"/>
        <v>3.25275844</v>
      </c>
      <c r="EL5" s="7">
        <f t="shared" si="75"/>
        <v>0.20511525</v>
      </c>
      <c r="EM5" s="1">
        <f t="shared" si="76"/>
        <v>34.349134260000007</v>
      </c>
      <c r="EN5" s="2">
        <f t="shared" si="77"/>
        <v>25.513628790000002</v>
      </c>
      <c r="EO5" s="7">
        <f t="shared" si="78"/>
        <v>4.1272483600000003</v>
      </c>
    </row>
    <row r="6" spans="1:145" ht="14.4">
      <c r="A6" s="474">
        <v>2019</v>
      </c>
      <c r="B6" s="471">
        <f>SUM(datos!JF46:JF53)</f>
        <v>77.070064130000006</v>
      </c>
      <c r="C6" s="471">
        <f>SUM(datos!JG46:JG53)</f>
        <v>109.70648091999999</v>
      </c>
      <c r="D6" s="471">
        <f>SUM(datos!JH46:JH53)</f>
        <v>740.64457739999989</v>
      </c>
      <c r="E6" s="471">
        <f>SUM(datos!JI46:JI53)</f>
        <v>735.96175081000001</v>
      </c>
      <c r="F6" s="471">
        <f>SUM(datos!JJ46:JJ53)</f>
        <v>4187.1007999900003</v>
      </c>
      <c r="G6" s="471">
        <f>SUM(datos!JK46:JK53)</f>
        <v>489.30622735999998</v>
      </c>
      <c r="H6" s="471">
        <f>SUM(datos!JL46:JL53)</f>
        <v>10207.491908100001</v>
      </c>
      <c r="I6" s="471">
        <f>SUM(datos!JM46:JM53)</f>
        <v>34.797800260000002</v>
      </c>
      <c r="J6" s="471">
        <f>SUM(datos!JN46:JN53)</f>
        <v>1942.0495190199999</v>
      </c>
      <c r="K6" s="471">
        <f>SUM(datos!JO46:JO53)</f>
        <v>147.41111305000001</v>
      </c>
      <c r="L6" s="471">
        <f>SUM(datos!JP46:JP53)</f>
        <v>0</v>
      </c>
      <c r="M6" s="471">
        <f>SUM(datos!JQ46:JQ53)</f>
        <v>31.978307389999998</v>
      </c>
      <c r="N6" s="471">
        <f>SUM(datos!JR46:JR53)</f>
        <v>5.24932526</v>
      </c>
      <c r="O6" s="471">
        <f>SUM(datos!JS46:JS53)</f>
        <v>0</v>
      </c>
      <c r="P6" s="471">
        <f>SUM(datos!JT46:JT53)</f>
        <v>2.11070862</v>
      </c>
      <c r="Q6" s="471">
        <f>SUM(datos!JU46:JU53)</f>
        <v>631.23456520000002</v>
      </c>
      <c r="R6" s="471">
        <f>SUM(datos!JV46:JV53)</f>
        <v>79.279531140000003</v>
      </c>
      <c r="S6" s="471">
        <f>SUM(datos!JW46:JW53)</f>
        <v>209.56785430999997</v>
      </c>
      <c r="T6" s="471">
        <f>SUM(datos!JX46:JX53)</f>
        <v>289.60527199000001</v>
      </c>
      <c r="U6" s="471">
        <f>SUM(datos!JY46:JY53)</f>
        <v>0</v>
      </c>
      <c r="V6" s="471">
        <f>SUM(datos!JZ46:JZ53)</f>
        <v>28.313589919999998</v>
      </c>
      <c r="W6" s="471">
        <f>SUM(datos!KA46:KA53)</f>
        <v>1.8736421599999999</v>
      </c>
      <c r="X6" s="471">
        <f>SUM(datos!KB46:KB53)</f>
        <v>30.672147939999999</v>
      </c>
      <c r="Y6" s="471">
        <f>SUM(datos!KC46:KC53)</f>
        <v>152.46961209</v>
      </c>
      <c r="Z6" s="471">
        <f>SUM(datos!KD46:KD53)</f>
        <v>58.250137790000004</v>
      </c>
      <c r="AA6" s="471">
        <f>SUM(datos!KE46:KE53)</f>
        <v>104.95142697000001</v>
      </c>
      <c r="AB6" s="471">
        <f>SUM(datos!KF46:KF53)</f>
        <v>272.49847516</v>
      </c>
      <c r="AC6" s="471">
        <f>SUM(datos!KG46:KG53)</f>
        <v>2345.5506396399996</v>
      </c>
      <c r="AD6" s="471">
        <f>SUM(datos!KH46:KH53)</f>
        <v>394.36482410000008</v>
      </c>
      <c r="AE6" s="471">
        <f>SUM(datos!KI46:KI53)</f>
        <v>175.64852985999997</v>
      </c>
      <c r="AF6" s="471">
        <f>SUM(datos!KJ46:KJ53)</f>
        <v>13.156129090000002</v>
      </c>
      <c r="AG6" s="471">
        <f>SUM(datos!KK46:KK53)</f>
        <v>51.377996649999993</v>
      </c>
      <c r="AH6" s="471">
        <f>SUM(datos!KL46:KL53)</f>
        <v>2.5394805800000002</v>
      </c>
      <c r="AI6" s="471">
        <f>SUM(datos!KM46:KM53)</f>
        <v>34.276759429999998</v>
      </c>
      <c r="AJ6" s="471">
        <f>SUM(datos!KN46:KN53)</f>
        <v>1.059509</v>
      </c>
      <c r="AK6" s="471">
        <f>SUM(datos!KO46:KO53)</f>
        <v>12.491396089999999</v>
      </c>
      <c r="AL6" s="471">
        <f>SUM(datos!KP46:KP53)</f>
        <v>0.18448530000000002</v>
      </c>
      <c r="AM6" s="471">
        <f>SUM(datos!KQ46:KQ53)</f>
        <v>1470.91736956</v>
      </c>
      <c r="AN6" s="471">
        <f>SUM(datos!KR46:KR53)</f>
        <v>0.19459287</v>
      </c>
      <c r="AO6" s="471">
        <f>SUM(datos!KS46:KS53)</f>
        <v>2.8928485800000003</v>
      </c>
      <c r="AP6" s="471">
        <f>SUM(datos!KT46:KT53)</f>
        <v>14.437342940000001</v>
      </c>
      <c r="AQ6" s="471">
        <f>SUM(datos!KU46:KU53)</f>
        <v>1.6483422099999998</v>
      </c>
      <c r="AR6" s="471">
        <f>SUM(datos!KV46:KV53)</f>
        <v>2.0444340000000002E-2</v>
      </c>
      <c r="AS6" s="471">
        <f>SUM(datos!KW46:KW53)</f>
        <v>14.359910640000001</v>
      </c>
      <c r="AT6" s="471">
        <f>SUM(datos!KX46:KX53)</f>
        <v>0</v>
      </c>
      <c r="AU6" s="471">
        <f>SUM(datos!KY46:KY53)</f>
        <v>0</v>
      </c>
      <c r="AV6" s="471">
        <f>SUM(datos!KZ46:KZ53)</f>
        <v>5.6318892999999992</v>
      </c>
      <c r="AW6" s="471">
        <f>SUM(datos!LA46:LA53)</f>
        <v>2.7117674099999998</v>
      </c>
      <c r="AX6" s="471">
        <f>SUM(datos!LB46:LB53)</f>
        <v>0.70087473</v>
      </c>
      <c r="AY6" s="471">
        <f>SUM(datos!LC46:LC53)</f>
        <v>0.24149213999999999</v>
      </c>
      <c r="AZ6" s="471">
        <f>SUM(datos!LD46:LD53)</f>
        <v>0</v>
      </c>
      <c r="BA6" s="471">
        <f>SUM(datos!LE46:LE53)</f>
        <v>3.5581083800000002</v>
      </c>
      <c r="BB6" s="471">
        <f>SUM(datos!LF46:LF53)</f>
        <v>1.0038716600000002</v>
      </c>
      <c r="BC6" s="471">
        <f>SUM(datos!LG46:LG53)</f>
        <v>154.62789918999999</v>
      </c>
      <c r="BD6" s="471">
        <f>SUM(datos!LH46:LH53)</f>
        <v>34.935695989999999</v>
      </c>
      <c r="BE6" s="471">
        <f>SUM(datos!LI46:LI53)</f>
        <v>0.74095647999999992</v>
      </c>
      <c r="BF6" s="471">
        <f>SUM(datos!LJ46:LJ53)</f>
        <v>0.33565781</v>
      </c>
      <c r="BG6" s="471">
        <f>SUM(datos!LK46:LK53)</f>
        <v>18.45558252</v>
      </c>
      <c r="BH6" s="471">
        <f>SUM(datos!LL46:LL53)</f>
        <v>46.287423129999993</v>
      </c>
      <c r="BI6" s="471">
        <f>SUM(datos!LM46:LM53)</f>
        <v>18.368854170000002</v>
      </c>
      <c r="BJ6" s="471">
        <f>SUM(datos!LN46:LN53)</f>
        <v>0.88820651999999989</v>
      </c>
      <c r="BK6" s="471">
        <f>SUM(datos!LO46:LO53)</f>
        <v>67.506336020000006</v>
      </c>
      <c r="BL6" s="471"/>
      <c r="BM6">
        <v>2019</v>
      </c>
      <c r="BN6" s="1">
        <f t="shared" si="20"/>
        <v>77.070064130000006</v>
      </c>
      <c r="BO6" s="1">
        <f t="shared" si="21"/>
        <v>109.70648091999999</v>
      </c>
      <c r="BP6" s="1">
        <f t="shared" si="22"/>
        <v>17848.046355580002</v>
      </c>
      <c r="BQ6" s="1">
        <f t="shared" si="23"/>
        <v>489.30622735999998</v>
      </c>
      <c r="BR6" s="1">
        <f t="shared" si="24"/>
        <v>147.41111305000001</v>
      </c>
      <c r="BS6" s="559">
        <f t="shared" si="25"/>
        <v>0</v>
      </c>
      <c r="BT6" s="1">
        <f t="shared" si="26"/>
        <v>39.338341269999994</v>
      </c>
      <c r="BU6" s="1">
        <f t="shared" si="27"/>
        <v>631.23456520000002</v>
      </c>
      <c r="BV6" s="1">
        <f t="shared" si="28"/>
        <v>288.84738544999999</v>
      </c>
      <c r="BW6" s="1">
        <f t="shared" si="29"/>
        <v>319.79250407000001</v>
      </c>
      <c r="BX6" s="1">
        <f t="shared" si="30"/>
        <v>30.672147939999999</v>
      </c>
      <c r="BY6" s="1">
        <f t="shared" si="31"/>
        <v>152.46961209</v>
      </c>
      <c r="BZ6" s="1">
        <f t="shared" si="32"/>
        <v>58.250137790000004</v>
      </c>
      <c r="CA6" s="1">
        <f t="shared" si="33"/>
        <v>104.95142697000001</v>
      </c>
      <c r="CB6" s="1">
        <f t="shared" si="34"/>
        <v>272.49847516</v>
      </c>
      <c r="CC6" s="1">
        <f t="shared" si="35"/>
        <v>2345.5506396399996</v>
      </c>
      <c r="CD6" s="1">
        <f t="shared" si="36"/>
        <v>394.36482410000008</v>
      </c>
      <c r="CE6" s="1">
        <f t="shared" si="37"/>
        <v>175.64852985999997</v>
      </c>
      <c r="CF6" s="1">
        <f t="shared" si="38"/>
        <v>13.156129090000002</v>
      </c>
      <c r="CG6" s="1">
        <f t="shared" si="39"/>
        <v>23498.314959670002</v>
      </c>
      <c r="CH6" s="1">
        <f t="shared" si="40"/>
        <v>5650.2686040900007</v>
      </c>
      <c r="CI6" s="1">
        <f t="shared" si="1"/>
        <v>51.377996649999993</v>
      </c>
      <c r="CJ6" s="7">
        <f t="shared" si="2"/>
        <v>2.5394805800000002</v>
      </c>
      <c r="CK6" s="1">
        <f t="shared" si="3"/>
        <v>1521.83247553</v>
      </c>
      <c r="CL6" s="7">
        <f t="shared" si="4"/>
        <v>0.18448530000000002</v>
      </c>
      <c r="CM6" s="1">
        <f t="shared" si="5"/>
        <v>14.437342940000001</v>
      </c>
      <c r="CN6" s="7">
        <f t="shared" si="6"/>
        <v>1.6483422099999998</v>
      </c>
      <c r="CO6" s="2">
        <f t="shared" si="7"/>
        <v>14.38035498</v>
      </c>
      <c r="CP6" s="1">
        <f t="shared" si="8"/>
        <v>5.6318892999999992</v>
      </c>
      <c r="CQ6" s="2">
        <f t="shared" si="9"/>
        <v>3.41264214</v>
      </c>
      <c r="CR6" s="2">
        <f t="shared" si="10"/>
        <v>4.80347218</v>
      </c>
      <c r="CS6" s="1">
        <f t="shared" si="11"/>
        <v>154.62789918999999</v>
      </c>
      <c r="CT6" s="1">
        <f t="shared" si="12"/>
        <v>34.935695989999999</v>
      </c>
      <c r="CU6" s="1">
        <f t="shared" si="13"/>
        <v>0.74095647999999992</v>
      </c>
      <c r="CV6" s="514">
        <f t="shared" si="14"/>
        <v>0.33565781</v>
      </c>
      <c r="CW6" s="1">
        <f t="shared" si="15"/>
        <v>18.45558252</v>
      </c>
      <c r="CX6" s="1">
        <f t="shared" si="16"/>
        <v>46.287423129999993</v>
      </c>
      <c r="CY6" s="1">
        <f t="shared" si="17"/>
        <v>18.368854170000002</v>
      </c>
      <c r="CZ6" s="1">
        <f t="shared" si="18"/>
        <v>0.88820651999999989</v>
      </c>
      <c r="DA6" s="1">
        <f t="shared" si="19"/>
        <v>67.506336020000006</v>
      </c>
      <c r="DB6" s="1">
        <f t="shared" si="41"/>
        <v>1962.3950936400001</v>
      </c>
      <c r="DC6" s="1">
        <f t="shared" si="42"/>
        <v>440.56261811000013</v>
      </c>
      <c r="DD6">
        <v>2019</v>
      </c>
      <c r="DE6" s="1">
        <f t="shared" si="43"/>
        <v>2345.5506396399996</v>
      </c>
      <c r="DF6" s="1">
        <f t="shared" si="44"/>
        <v>394.36482410000008</v>
      </c>
      <c r="DG6" s="1">
        <f t="shared" si="45"/>
        <v>272.49847516</v>
      </c>
      <c r="DH6" s="1">
        <f t="shared" si="46"/>
        <v>175.64852985999997</v>
      </c>
      <c r="DI6" s="1">
        <f t="shared" si="47"/>
        <v>13.156129090000002</v>
      </c>
      <c r="DJ6" s="1">
        <f t="shared" si="48"/>
        <v>631.23456520000002</v>
      </c>
      <c r="DK6" s="1">
        <f t="shared" si="49"/>
        <v>58.250137790000004</v>
      </c>
      <c r="DL6" s="1">
        <f t="shared" si="50"/>
        <v>77.070064130000006</v>
      </c>
      <c r="DM6" s="1">
        <f t="shared" si="51"/>
        <v>288.84738544999999</v>
      </c>
      <c r="DN6" s="1">
        <f t="shared" si="52"/>
        <v>319.79250407000001</v>
      </c>
      <c r="DO6" s="1">
        <f t="shared" si="53"/>
        <v>30.672147939999999</v>
      </c>
      <c r="DP6" s="1">
        <f t="shared" si="54"/>
        <v>152.46961209</v>
      </c>
      <c r="DQ6" s="1">
        <f t="shared" si="55"/>
        <v>104.95142697000001</v>
      </c>
      <c r="DR6" s="1">
        <f t="shared" si="56"/>
        <v>109.70648091999999</v>
      </c>
      <c r="DS6" s="1">
        <f t="shared" si="57"/>
        <v>489.30622735999998</v>
      </c>
      <c r="DT6" s="1">
        <f t="shared" si="58"/>
        <v>147.41111305000001</v>
      </c>
      <c r="DU6" s="1">
        <f t="shared" si="59"/>
        <v>39.338341269999994</v>
      </c>
      <c r="DV6" s="559">
        <f t="shared" si="60"/>
        <v>0</v>
      </c>
      <c r="DX6" s="1">
        <f t="shared" si="61"/>
        <v>46.287423129999993</v>
      </c>
      <c r="DY6" s="1">
        <f t="shared" si="62"/>
        <v>18.368854170000002</v>
      </c>
      <c r="DZ6" s="1">
        <f t="shared" si="63"/>
        <v>18.45558252</v>
      </c>
      <c r="EA6" s="1">
        <f t="shared" si="64"/>
        <v>0.88820651999999989</v>
      </c>
      <c r="EB6" s="1">
        <f t="shared" si="65"/>
        <v>67.506336020000006</v>
      </c>
      <c r="EC6" s="1">
        <f t="shared" si="66"/>
        <v>5.6318892999999992</v>
      </c>
      <c r="ED6" s="1">
        <f t="shared" si="67"/>
        <v>0.74095647999999992</v>
      </c>
      <c r="EE6" s="1">
        <f t="shared" si="68"/>
        <v>51.377996649999993</v>
      </c>
      <c r="EF6" s="2">
        <f t="shared" si="69"/>
        <v>3.41264214</v>
      </c>
      <c r="EG6" s="2">
        <f t="shared" si="70"/>
        <v>4.80347218</v>
      </c>
      <c r="EH6" s="1">
        <f t="shared" si="71"/>
        <v>154.62789918999999</v>
      </c>
      <c r="EI6" s="1">
        <f t="shared" si="72"/>
        <v>34.935695989999999</v>
      </c>
      <c r="EJ6" s="514">
        <f t="shared" si="73"/>
        <v>0.33565781</v>
      </c>
      <c r="EK6" s="1">
        <f t="shared" si="74"/>
        <v>2.5394805800000002</v>
      </c>
      <c r="EL6" s="7">
        <f t="shared" si="75"/>
        <v>0.18448530000000002</v>
      </c>
      <c r="EM6" s="1">
        <f t="shared" si="76"/>
        <v>14.437342940000001</v>
      </c>
      <c r="EN6" s="2">
        <f t="shared" si="77"/>
        <v>14.38035498</v>
      </c>
      <c r="EO6" s="7">
        <f t="shared" si="78"/>
        <v>1.6483422099999998</v>
      </c>
    </row>
    <row r="7" spans="1:145" ht="14.4">
      <c r="A7" s="474">
        <v>2020</v>
      </c>
      <c r="B7" s="471">
        <f>SUM(datos!JF58:JF65)</f>
        <v>78.485275200000004</v>
      </c>
      <c r="C7" s="471">
        <f>SUM(datos!JG58:JG65)</f>
        <v>132.04623081</v>
      </c>
      <c r="D7" s="471">
        <f>SUM(datos!JH58:JH65)</f>
        <v>713.75235541999996</v>
      </c>
      <c r="E7" s="471">
        <f>SUM(datos!JI58:JI65)</f>
        <v>940.32054459000005</v>
      </c>
      <c r="F7" s="471">
        <f>SUM(datos!JJ58:JJ65)</f>
        <v>5037.6279506299998</v>
      </c>
      <c r="G7" s="471">
        <f>SUM(datos!JK58:JK65)</f>
        <v>776.62292456</v>
      </c>
      <c r="H7" s="471">
        <f>SUM(datos!JL58:JL65)</f>
        <v>14095.231818080003</v>
      </c>
      <c r="I7" s="471">
        <f>SUM(datos!JM58:JM65)</f>
        <v>182.12939070000002</v>
      </c>
      <c r="J7" s="471">
        <f>SUM(datos!JN58:JN65)</f>
        <v>2172.0174492199999</v>
      </c>
      <c r="K7" s="471">
        <f>SUM(datos!JO58:JO65)</f>
        <v>129.07161081999999</v>
      </c>
      <c r="L7" s="471">
        <f>SUM(datos!JP58:JP65)</f>
        <v>2.5000000000000001E-3</v>
      </c>
      <c r="M7" s="471">
        <f>SUM(datos!JQ58:JQ65)</f>
        <v>28.332053689999999</v>
      </c>
      <c r="N7" s="471">
        <f>SUM(datos!JR58:JR65)</f>
        <v>11.44811925</v>
      </c>
      <c r="O7" s="471">
        <f>SUM(datos!JS58:JS65)</f>
        <v>0</v>
      </c>
      <c r="P7" s="471">
        <f>SUM(datos!JT58:JT65)</f>
        <v>4.7417622600000007</v>
      </c>
      <c r="Q7" s="471">
        <f>SUM(datos!JU58:JU65)</f>
        <v>630.37703975000011</v>
      </c>
      <c r="R7" s="471">
        <f>SUM(datos!JV58:JV65)</f>
        <v>96.271320559999992</v>
      </c>
      <c r="S7" s="471">
        <f>SUM(datos!JW58:JW65)</f>
        <v>229.52288277999997</v>
      </c>
      <c r="T7" s="471">
        <f>SUM(datos!JX58:JX65)</f>
        <v>320.19245549999994</v>
      </c>
      <c r="U7" s="471">
        <f>SUM(datos!JY58:JY65)</f>
        <v>0</v>
      </c>
      <c r="V7" s="471">
        <f>SUM(datos!JZ58:JZ65)</f>
        <v>39.727077399999999</v>
      </c>
      <c r="W7" s="471">
        <f>SUM(datos!KA58:KA65)</f>
        <v>4.1699224000000008</v>
      </c>
      <c r="X7" s="471">
        <f>SUM(datos!KB58:KB65)</f>
        <v>130.45436538000001</v>
      </c>
      <c r="Y7" s="471">
        <f>SUM(datos!KC58:KC65)</f>
        <v>199.67913107999999</v>
      </c>
      <c r="Z7" s="471">
        <f>SUM(datos!KD58:KD65)</f>
        <v>73.21122828</v>
      </c>
      <c r="AA7" s="471">
        <f>SUM(datos!KE58:KE65)</f>
        <v>145.55566565999999</v>
      </c>
      <c r="AB7" s="471">
        <f>SUM(datos!KF58:KF65)</f>
        <v>326.81322183000003</v>
      </c>
      <c r="AC7" s="471">
        <f>SUM(datos!KG58:KG65)</f>
        <v>2365.1168018899998</v>
      </c>
      <c r="AD7" s="471">
        <f>SUM(datos!KH58:KH65)</f>
        <v>783.60925797000004</v>
      </c>
      <c r="AE7" s="471">
        <f>SUM(datos!KI58:KI65)</f>
        <v>137.43047837</v>
      </c>
      <c r="AF7" s="471">
        <f>SUM(datos!KJ58:KJ65)</f>
        <v>52.660321100000004</v>
      </c>
      <c r="AG7" s="471">
        <f>SUM(datos!KK58:KK65)</f>
        <v>32.559056419999997</v>
      </c>
      <c r="AH7" s="471">
        <f>SUM(datos!KL58:KL65)</f>
        <v>3.2971293200000003</v>
      </c>
      <c r="AI7" s="471">
        <f>SUM(datos!KM58:KM65)</f>
        <v>33.154621499999998</v>
      </c>
      <c r="AJ7" s="471">
        <f>SUM(datos!KN58:KN65)</f>
        <v>0.80030214000000011</v>
      </c>
      <c r="AK7" s="471">
        <f>SUM(datos!KO58:KO65)</f>
        <v>7.0418213400000003</v>
      </c>
      <c r="AL7" s="471">
        <f>SUM(datos!KP58:KP65)</f>
        <v>0.28117516999999997</v>
      </c>
      <c r="AM7" s="471">
        <f>SUM(datos!KQ58:KQ65)</f>
        <v>1417.07862314</v>
      </c>
      <c r="AN7" s="471">
        <f>SUM(datos!KR58:KR65)</f>
        <v>0.28129832999999999</v>
      </c>
      <c r="AO7" s="471">
        <f>SUM(datos!KS58:KS65)</f>
        <v>2.1041318699999998</v>
      </c>
      <c r="AP7" s="471">
        <f>SUM(datos!KT58:KT65)</f>
        <v>13.71036037</v>
      </c>
      <c r="AQ7" s="471">
        <f>SUM(datos!KU58:KU65)</f>
        <v>1.6076478299999999</v>
      </c>
      <c r="AR7" s="471">
        <f>SUM(datos!KV58:KV65)</f>
        <v>1.8213542</v>
      </c>
      <c r="AS7" s="471">
        <f>SUM(datos!KW58:KW65)</f>
        <v>26.583641719999999</v>
      </c>
      <c r="AT7" s="471">
        <f>SUM(datos!KX58:KX65)</f>
        <v>0</v>
      </c>
      <c r="AU7" s="471">
        <f>SUM(datos!KY58:KY65)</f>
        <v>0</v>
      </c>
      <c r="AV7" s="471">
        <f>SUM(datos!KZ58:KZ65)</f>
        <v>5.1813192500000005</v>
      </c>
      <c r="AW7" s="471">
        <f>SUM(datos!LA58:LA65)</f>
        <v>2.4373263199999999</v>
      </c>
      <c r="AX7" s="471">
        <f>SUM(datos!LB58:LB65)</f>
        <v>9.8483219999999982E-2</v>
      </c>
      <c r="AY7" s="471">
        <f>SUM(datos!LC58:LC65)</f>
        <v>0.27498067999999998</v>
      </c>
      <c r="AZ7" s="471">
        <f>SUM(datos!LD58:LD65)</f>
        <v>0</v>
      </c>
      <c r="BA7" s="471">
        <f>SUM(datos!LE58:LE65)</f>
        <v>0.82292644000000004</v>
      </c>
      <c r="BB7" s="471">
        <f>SUM(datos!LF58:LF65)</f>
        <v>0.93108884000000003</v>
      </c>
      <c r="BC7" s="471">
        <f>SUM(datos!LG58:LG65)</f>
        <v>124.15328881999999</v>
      </c>
      <c r="BD7" s="471">
        <f>SUM(datos!LH58:LH65)</f>
        <v>35.706772989999997</v>
      </c>
      <c r="BE7" s="471">
        <f>SUM(datos!LI58:LI65)</f>
        <v>26.54022397</v>
      </c>
      <c r="BF7" s="471">
        <f>SUM(datos!LJ58:LJ65)</f>
        <v>8.6147399999999992E-3</v>
      </c>
      <c r="BG7" s="471">
        <f>SUM(datos!LK58:LK65)</f>
        <v>18.6282672</v>
      </c>
      <c r="BH7" s="471">
        <f>SUM(datos!LL58:LL65)</f>
        <v>41.053205010000006</v>
      </c>
      <c r="BI7" s="471">
        <f>SUM(datos!LM58:LM65)</f>
        <v>7.4955599699999986</v>
      </c>
      <c r="BJ7" s="471">
        <f>SUM(datos!LN58:LN65)</f>
        <v>1.7585355299999998</v>
      </c>
      <c r="BK7" s="471">
        <f>SUM(datos!LO58:LO65)</f>
        <v>39.814806940000004</v>
      </c>
      <c r="BL7" s="471"/>
      <c r="BM7">
        <v>2020</v>
      </c>
      <c r="BN7" s="1">
        <f t="shared" si="20"/>
        <v>78.485275200000004</v>
      </c>
      <c r="BO7" s="1">
        <f t="shared" si="21"/>
        <v>132.04623081</v>
      </c>
      <c r="BP7" s="1">
        <f t="shared" si="22"/>
        <v>23141.079508639999</v>
      </c>
      <c r="BQ7" s="1">
        <f t="shared" si="23"/>
        <v>776.62292456</v>
      </c>
      <c r="BR7" s="1">
        <f t="shared" si="24"/>
        <v>129.07161081999999</v>
      </c>
      <c r="BS7" s="559">
        <f t="shared" si="25"/>
        <v>2.5000000000000001E-3</v>
      </c>
      <c r="BT7" s="1">
        <f t="shared" si="26"/>
        <v>44.521935200000001</v>
      </c>
      <c r="BU7" s="1">
        <f t="shared" si="27"/>
        <v>630.37703975000011</v>
      </c>
      <c r="BV7" s="1">
        <f t="shared" si="28"/>
        <v>325.79420333999997</v>
      </c>
      <c r="BW7" s="1">
        <f t="shared" si="29"/>
        <v>364.08945529999994</v>
      </c>
      <c r="BX7" s="1">
        <f t="shared" si="30"/>
        <v>130.45436538000001</v>
      </c>
      <c r="BY7" s="1">
        <f t="shared" si="31"/>
        <v>199.67913107999999</v>
      </c>
      <c r="BZ7" s="1">
        <f t="shared" si="32"/>
        <v>73.21122828</v>
      </c>
      <c r="CA7" s="1">
        <f t="shared" si="33"/>
        <v>145.55566565999999</v>
      </c>
      <c r="CB7" s="1">
        <f t="shared" si="34"/>
        <v>326.81322183000003</v>
      </c>
      <c r="CC7" s="1">
        <f t="shared" si="35"/>
        <v>2365.1168018899998</v>
      </c>
      <c r="CD7" s="1">
        <f t="shared" si="36"/>
        <v>783.60925797000004</v>
      </c>
      <c r="CE7" s="1">
        <f t="shared" si="37"/>
        <v>137.43047837</v>
      </c>
      <c r="CF7" s="1">
        <f t="shared" si="38"/>
        <v>52.660321100000004</v>
      </c>
      <c r="CG7" s="1">
        <f t="shared" si="39"/>
        <v>29836.621155179997</v>
      </c>
      <c r="CH7" s="1">
        <f t="shared" si="40"/>
        <v>6695.5416465399976</v>
      </c>
      <c r="CI7" s="1">
        <f t="shared" si="1"/>
        <v>32.559056419999997</v>
      </c>
      <c r="CJ7" s="7">
        <f t="shared" si="2"/>
        <v>3.2971293200000003</v>
      </c>
      <c r="CK7" s="1">
        <f t="shared" si="3"/>
        <v>1460.4607983199999</v>
      </c>
      <c r="CL7" s="7">
        <f t="shared" si="4"/>
        <v>0.28117516999999997</v>
      </c>
      <c r="CM7" s="1">
        <f t="shared" si="5"/>
        <v>13.71036037</v>
      </c>
      <c r="CN7" s="7">
        <f t="shared" si="6"/>
        <v>1.6076478299999999</v>
      </c>
      <c r="CO7" s="2">
        <f t="shared" si="7"/>
        <v>28.404995919999998</v>
      </c>
      <c r="CP7" s="1">
        <f t="shared" si="8"/>
        <v>5.1813192500000005</v>
      </c>
      <c r="CQ7" s="2">
        <f t="shared" si="9"/>
        <v>2.5358095399999998</v>
      </c>
      <c r="CR7" s="2">
        <f t="shared" si="10"/>
        <v>2.02899596</v>
      </c>
      <c r="CS7" s="1">
        <f t="shared" si="11"/>
        <v>124.15328881999999</v>
      </c>
      <c r="CT7" s="1">
        <f t="shared" si="12"/>
        <v>35.706772989999997</v>
      </c>
      <c r="CU7" s="1">
        <f t="shared" si="13"/>
        <v>26.54022397</v>
      </c>
      <c r="CV7" s="514">
        <f t="shared" si="14"/>
        <v>8.6147399999999992E-3</v>
      </c>
      <c r="CW7" s="1">
        <f t="shared" si="15"/>
        <v>18.6282672</v>
      </c>
      <c r="CX7" s="1">
        <f t="shared" si="16"/>
        <v>41.053205010000006</v>
      </c>
      <c r="CY7" s="1">
        <f t="shared" si="17"/>
        <v>7.4955599699999986</v>
      </c>
      <c r="CZ7" s="1">
        <f t="shared" si="18"/>
        <v>1.7585355299999998</v>
      </c>
      <c r="DA7" s="1">
        <f t="shared" si="19"/>
        <v>39.814806940000004</v>
      </c>
      <c r="DB7" s="1">
        <f t="shared" si="41"/>
        <v>1845.2265632699994</v>
      </c>
      <c r="DC7" s="1">
        <f t="shared" si="42"/>
        <v>384.76576494999949</v>
      </c>
      <c r="DD7">
        <v>2020</v>
      </c>
      <c r="DE7" s="1">
        <f t="shared" si="43"/>
        <v>2365.1168018899998</v>
      </c>
      <c r="DF7" s="1">
        <f t="shared" si="44"/>
        <v>783.60925797000004</v>
      </c>
      <c r="DG7" s="1">
        <f t="shared" si="45"/>
        <v>326.81322183000003</v>
      </c>
      <c r="DH7" s="1">
        <f t="shared" si="46"/>
        <v>137.43047837</v>
      </c>
      <c r="DI7" s="1">
        <f t="shared" si="47"/>
        <v>52.660321100000004</v>
      </c>
      <c r="DJ7" s="1">
        <f t="shared" si="48"/>
        <v>630.37703975000011</v>
      </c>
      <c r="DK7" s="1">
        <f t="shared" si="49"/>
        <v>73.21122828</v>
      </c>
      <c r="DL7" s="1">
        <f t="shared" si="50"/>
        <v>78.485275200000004</v>
      </c>
      <c r="DM7" s="1">
        <f t="shared" si="51"/>
        <v>325.79420333999997</v>
      </c>
      <c r="DN7" s="1">
        <f t="shared" si="52"/>
        <v>364.08945529999994</v>
      </c>
      <c r="DO7" s="1">
        <f t="shared" si="53"/>
        <v>130.45436538000001</v>
      </c>
      <c r="DP7" s="1">
        <f t="shared" si="54"/>
        <v>199.67913107999999</v>
      </c>
      <c r="DQ7" s="1">
        <f t="shared" si="55"/>
        <v>145.55566565999999</v>
      </c>
      <c r="DR7" s="1">
        <f t="shared" si="56"/>
        <v>132.04623081</v>
      </c>
      <c r="DS7" s="1">
        <f t="shared" si="57"/>
        <v>776.62292456</v>
      </c>
      <c r="DT7" s="1">
        <f t="shared" si="58"/>
        <v>129.07161081999999</v>
      </c>
      <c r="DU7" s="1">
        <f t="shared" si="59"/>
        <v>44.521935200000001</v>
      </c>
      <c r="DV7" s="559">
        <f t="shared" si="60"/>
        <v>2.5000000000000001E-3</v>
      </c>
      <c r="DX7" s="1">
        <f t="shared" si="61"/>
        <v>41.053205010000006</v>
      </c>
      <c r="DY7" s="1">
        <f t="shared" si="62"/>
        <v>7.4955599699999986</v>
      </c>
      <c r="DZ7" s="1">
        <f t="shared" si="63"/>
        <v>18.6282672</v>
      </c>
      <c r="EA7" s="1">
        <f t="shared" si="64"/>
        <v>1.7585355299999998</v>
      </c>
      <c r="EB7" s="1">
        <f t="shared" si="65"/>
        <v>39.814806940000004</v>
      </c>
      <c r="EC7" s="1">
        <f t="shared" si="66"/>
        <v>5.1813192500000005</v>
      </c>
      <c r="ED7" s="1">
        <f t="shared" si="67"/>
        <v>26.54022397</v>
      </c>
      <c r="EE7" s="1">
        <f t="shared" si="68"/>
        <v>32.559056419999997</v>
      </c>
      <c r="EF7" s="2">
        <f t="shared" si="69"/>
        <v>2.5358095399999998</v>
      </c>
      <c r="EG7" s="2">
        <f t="shared" si="70"/>
        <v>2.02899596</v>
      </c>
      <c r="EH7" s="1">
        <f t="shared" si="71"/>
        <v>124.15328881999999</v>
      </c>
      <c r="EI7" s="1">
        <f t="shared" si="72"/>
        <v>35.706772989999997</v>
      </c>
      <c r="EJ7" s="514">
        <f t="shared" si="73"/>
        <v>8.6147399999999992E-3</v>
      </c>
      <c r="EK7" s="1">
        <f t="shared" si="74"/>
        <v>3.2971293200000003</v>
      </c>
      <c r="EL7" s="7">
        <f t="shared" si="75"/>
        <v>0.28117516999999997</v>
      </c>
      <c r="EM7" s="1">
        <f t="shared" si="76"/>
        <v>13.71036037</v>
      </c>
      <c r="EN7" s="2">
        <f t="shared" si="77"/>
        <v>28.404995919999998</v>
      </c>
      <c r="EO7" s="7">
        <f t="shared" si="78"/>
        <v>1.6076478299999999</v>
      </c>
    </row>
    <row r="8" spans="1:145" ht="14.4">
      <c r="A8" s="474">
        <v>2021</v>
      </c>
      <c r="B8" s="471">
        <f>SUM(datos!JF70:JF77)</f>
        <v>111.61178730000002</v>
      </c>
      <c r="C8" s="471">
        <f>SUM(datos!JG70:JG77)</f>
        <v>186.74918762999999</v>
      </c>
      <c r="D8" s="471">
        <f>SUM(datos!JH70:JH77)</f>
        <v>893.53495260000011</v>
      </c>
      <c r="E8" s="471">
        <f>SUM(datos!JI70:JI77)</f>
        <v>2236.1216765899999</v>
      </c>
      <c r="F8" s="471">
        <f>SUM(datos!JJ70:JJ77)</f>
        <v>6898.0969487900002</v>
      </c>
      <c r="G8" s="471">
        <f>SUM(datos!JK70:JK77)</f>
        <v>783.51957412000002</v>
      </c>
      <c r="H8" s="471">
        <f>SUM(datos!JL70:JL77)</f>
        <v>23783.82635639</v>
      </c>
      <c r="I8" s="471">
        <f>SUM(datos!JM70:JM77)</f>
        <v>353.81833719999997</v>
      </c>
      <c r="J8" s="471">
        <f>SUM(datos!JN70:JN77)</f>
        <v>2861.3771407699996</v>
      </c>
      <c r="K8" s="471">
        <f>SUM(datos!JO70:JO77)</f>
        <v>184.49822769000002</v>
      </c>
      <c r="L8" s="471">
        <f>SUM(datos!JP70:JP77)</f>
        <v>0</v>
      </c>
      <c r="M8" s="471">
        <f>SUM(datos!JQ70:JQ77)</f>
        <v>23.005907260000001</v>
      </c>
      <c r="N8" s="471">
        <f>SUM(datos!JR70:JR77)</f>
        <v>11.780090149999999</v>
      </c>
      <c r="O8" s="471">
        <f>SUM(datos!JS70:JS77)</f>
        <v>0</v>
      </c>
      <c r="P8" s="471">
        <f>SUM(datos!JT70:JT77)</f>
        <v>2.7427227700000003</v>
      </c>
      <c r="Q8" s="471">
        <f>SUM(datos!JU70:JU77)</f>
        <v>655.50522060000003</v>
      </c>
      <c r="R8" s="471">
        <f>SUM(datos!JV70:JV77)</f>
        <v>109.61987798000001</v>
      </c>
      <c r="S8" s="471">
        <f>SUM(datos!JW70:JW77)</f>
        <v>206.79524825000001</v>
      </c>
      <c r="T8" s="471">
        <f>SUM(datos!JX70:JX77)</f>
        <v>279.05514482000001</v>
      </c>
      <c r="U8" s="471">
        <f>SUM(datos!JY70:JY77)</f>
        <v>0</v>
      </c>
      <c r="V8" s="471">
        <f>SUM(datos!JZ70:JZ77)</f>
        <v>31.05227571</v>
      </c>
      <c r="W8" s="471">
        <f>SUM(datos!KA70:KA77)</f>
        <v>1.8666504900000001</v>
      </c>
      <c r="X8" s="471">
        <f>SUM(datos!KB70:KB77)</f>
        <v>247.29755131000002</v>
      </c>
      <c r="Y8" s="471">
        <f>SUM(datos!KC70:KC77)</f>
        <v>175.73344469999998</v>
      </c>
      <c r="Z8" s="471">
        <f>SUM(datos!KD70:KD77)</f>
        <v>75.825862699999988</v>
      </c>
      <c r="AA8" s="471">
        <f>SUM(datos!KE70:KE77)</f>
        <v>185.25046561000002</v>
      </c>
      <c r="AB8" s="471">
        <f>SUM(datos!KF70:KF77)</f>
        <v>295.41042904999995</v>
      </c>
      <c r="AC8" s="471">
        <f>SUM(datos!KG70:KG77)</f>
        <v>2487.58068972</v>
      </c>
      <c r="AD8" s="471">
        <f>SUM(datos!KH70:KH77)</f>
        <v>950.31028311</v>
      </c>
      <c r="AE8" s="471">
        <f>SUM(datos!KI70:KI77)</f>
        <v>197.83466356</v>
      </c>
      <c r="AF8" s="471">
        <f>SUM(datos!KJ70:KJ77)</f>
        <v>57.22260210999999</v>
      </c>
      <c r="AG8" s="471">
        <f>SUM(datos!KK70:KK77)</f>
        <v>54.607066770000003</v>
      </c>
      <c r="AH8" s="471">
        <f>SUM(datos!KL70:KL77)</f>
        <v>1.2123000900000001</v>
      </c>
      <c r="AI8" s="471">
        <f>SUM(datos!KM70:KM77)</f>
        <v>16.916639450000002</v>
      </c>
      <c r="AJ8" s="471">
        <f>SUM(datos!KN70:KN77)</f>
        <v>1.5732693900000001</v>
      </c>
      <c r="AK8" s="471">
        <f>SUM(datos!KO70:KO77)</f>
        <v>10.37772288</v>
      </c>
      <c r="AL8" s="471">
        <f>SUM(datos!KP70:KP77)</f>
        <v>0.36556501999999996</v>
      </c>
      <c r="AM8" s="471">
        <f>SUM(datos!KQ70:KQ77)</f>
        <v>2071.7899627400002</v>
      </c>
      <c r="AN8" s="471">
        <f>SUM(datos!KR70:KR77)</f>
        <v>0.88481962999999997</v>
      </c>
      <c r="AO8" s="471">
        <f>SUM(datos!KS70:KS77)</f>
        <v>1.24197216</v>
      </c>
      <c r="AP8" s="471">
        <f>SUM(datos!KT70:KT77)</f>
        <v>7.1906577199999999</v>
      </c>
      <c r="AQ8" s="471">
        <f>SUM(datos!KU70:KU77)</f>
        <v>2.2752069600000007</v>
      </c>
      <c r="AR8" s="471">
        <f>SUM(datos!KV70:KV77)</f>
        <v>0.55603402999999996</v>
      </c>
      <c r="AS8" s="471">
        <f>SUM(datos!KW70:KW77)</f>
        <v>15.205550890000001</v>
      </c>
      <c r="AT8" s="471">
        <f>SUM(datos!KX70:KX77)</f>
        <v>0</v>
      </c>
      <c r="AU8" s="471">
        <f>SUM(datos!KY70:KY77)</f>
        <v>4.8176999999999998E-2</v>
      </c>
      <c r="AV8" s="471">
        <f>SUM(datos!KZ70:KZ77)</f>
        <v>10.011796799999999</v>
      </c>
      <c r="AW8" s="471">
        <f>SUM(datos!LA70:LA77)</f>
        <v>5.3474318900000002</v>
      </c>
      <c r="AX8" s="471">
        <f>SUM(datos!LB70:LB77)</f>
        <v>0.26540491999999999</v>
      </c>
      <c r="AY8" s="471">
        <f>SUM(datos!LC70:LC77)</f>
        <v>1.3943687600000001</v>
      </c>
      <c r="AZ8" s="471">
        <f>SUM(datos!LD70:LD77)</f>
        <v>0</v>
      </c>
      <c r="BA8" s="471">
        <f>SUM(datos!LE70:LE77)</f>
        <v>10.66671844</v>
      </c>
      <c r="BB8" s="471">
        <f>SUM(datos!LF70:LF77)</f>
        <v>0.76358429999999988</v>
      </c>
      <c r="BC8" s="471">
        <f>SUM(datos!LG70:LG77)</f>
        <v>146.76899531999999</v>
      </c>
      <c r="BD8" s="471">
        <f>SUM(datos!LH70:LH77)</f>
        <v>44.986989519999995</v>
      </c>
      <c r="BE8" s="471">
        <f>SUM(datos!LI70:LI77)</f>
        <v>29.90172286</v>
      </c>
      <c r="BF8" s="471">
        <f>SUM(datos!LJ70:LJ77)</f>
        <v>2.6998080000000001E-2</v>
      </c>
      <c r="BG8" s="471">
        <f>SUM(datos!LK70:LK77)</f>
        <v>20.862892420000001</v>
      </c>
      <c r="BH8" s="471">
        <f>SUM(datos!LL70:LL77)</f>
        <v>50.018040499999998</v>
      </c>
      <c r="BI8" s="471">
        <f>SUM(datos!LM70:LM77)</f>
        <v>11.386332580000001</v>
      </c>
      <c r="BJ8" s="471">
        <f>SUM(datos!LN70:LN77)</f>
        <v>1.95680381</v>
      </c>
      <c r="BK8" s="471">
        <f>SUM(datos!LO70:LO77)</f>
        <v>67.972381509999991</v>
      </c>
      <c r="BL8" s="471"/>
      <c r="BM8">
        <v>2021</v>
      </c>
      <c r="BN8" s="1">
        <f t="shared" si="20"/>
        <v>111.61178730000002</v>
      </c>
      <c r="BO8" s="1">
        <f t="shared" si="21"/>
        <v>186.74918762999999</v>
      </c>
      <c r="BP8" s="1">
        <f t="shared" si="22"/>
        <v>37026.775412339994</v>
      </c>
      <c r="BQ8" s="1">
        <f t="shared" si="23"/>
        <v>783.51957412000002</v>
      </c>
      <c r="BR8" s="1">
        <f t="shared" si="24"/>
        <v>184.49822769000002</v>
      </c>
      <c r="BS8" s="559">
        <f t="shared" si="25"/>
        <v>0</v>
      </c>
      <c r="BT8" s="1">
        <f t="shared" si="26"/>
        <v>37.528720180000001</v>
      </c>
      <c r="BU8" s="1">
        <f t="shared" si="27"/>
        <v>655.50522060000003</v>
      </c>
      <c r="BV8" s="1">
        <f t="shared" si="28"/>
        <v>316.41512623000006</v>
      </c>
      <c r="BW8" s="1">
        <f t="shared" si="29"/>
        <v>311.97407102</v>
      </c>
      <c r="BX8" s="1">
        <f t="shared" si="30"/>
        <v>247.29755131000002</v>
      </c>
      <c r="BY8" s="1">
        <f t="shared" si="31"/>
        <v>175.73344469999998</v>
      </c>
      <c r="BZ8" s="1">
        <f t="shared" si="32"/>
        <v>75.825862699999988</v>
      </c>
      <c r="CA8" s="1">
        <f t="shared" si="33"/>
        <v>185.25046561000002</v>
      </c>
      <c r="CB8" s="1">
        <f t="shared" si="34"/>
        <v>295.41042904999995</v>
      </c>
      <c r="CC8" s="1">
        <f t="shared" si="35"/>
        <v>2487.58068972</v>
      </c>
      <c r="CD8" s="1">
        <f t="shared" si="36"/>
        <v>950.31028311</v>
      </c>
      <c r="CE8" s="1">
        <f t="shared" si="37"/>
        <v>197.83466356</v>
      </c>
      <c r="CF8" s="1">
        <f t="shared" si="38"/>
        <v>57.22260210999999</v>
      </c>
      <c r="CG8" s="1">
        <f t="shared" si="39"/>
        <v>44287.043318979995</v>
      </c>
      <c r="CH8" s="1">
        <f t="shared" si="40"/>
        <v>7260.2679066400015</v>
      </c>
      <c r="CI8" s="1">
        <f t="shared" si="1"/>
        <v>54.607066770000003</v>
      </c>
      <c r="CJ8" s="7">
        <f t="shared" si="2"/>
        <v>1.2123000900000001</v>
      </c>
      <c r="CK8" s="1">
        <f t="shared" si="3"/>
        <v>2102.7843862500004</v>
      </c>
      <c r="CL8" s="7">
        <f t="shared" si="4"/>
        <v>0.36556501999999996</v>
      </c>
      <c r="CM8" s="1">
        <f t="shared" si="5"/>
        <v>7.1906577199999999</v>
      </c>
      <c r="CN8" s="7">
        <f t="shared" si="6"/>
        <v>2.2752069600000007</v>
      </c>
      <c r="CO8" s="2">
        <f t="shared" si="7"/>
        <v>15.809761920000001</v>
      </c>
      <c r="CP8" s="1">
        <f t="shared" si="8"/>
        <v>10.011796799999999</v>
      </c>
      <c r="CQ8" s="2">
        <f t="shared" si="9"/>
        <v>5.6128368100000001</v>
      </c>
      <c r="CR8" s="2">
        <f t="shared" si="10"/>
        <v>12.824671500000001</v>
      </c>
      <c r="CS8" s="1">
        <f t="shared" si="11"/>
        <v>146.76899531999999</v>
      </c>
      <c r="CT8" s="1">
        <f t="shared" si="12"/>
        <v>44.986989519999995</v>
      </c>
      <c r="CU8" s="1">
        <f t="shared" si="13"/>
        <v>29.90172286</v>
      </c>
      <c r="CV8" s="514">
        <f t="shared" si="14"/>
        <v>2.6998080000000001E-2</v>
      </c>
      <c r="CW8" s="1">
        <f t="shared" si="15"/>
        <v>20.862892420000001</v>
      </c>
      <c r="CX8" s="1">
        <f t="shared" si="16"/>
        <v>50.018040499999998</v>
      </c>
      <c r="CY8" s="1">
        <f t="shared" si="17"/>
        <v>11.386332580000001</v>
      </c>
      <c r="CZ8" s="1">
        <f t="shared" si="18"/>
        <v>1.95680381</v>
      </c>
      <c r="DA8" s="1">
        <f t="shared" si="19"/>
        <v>67.972381509999991</v>
      </c>
      <c r="DB8" s="1">
        <f t="shared" si="41"/>
        <v>2586.5754064400007</v>
      </c>
      <c r="DC8" s="1">
        <f t="shared" si="42"/>
        <v>483.79102019000038</v>
      </c>
      <c r="DD8">
        <v>2021</v>
      </c>
      <c r="DE8" s="1">
        <f t="shared" si="43"/>
        <v>2487.58068972</v>
      </c>
      <c r="DF8" s="1">
        <f t="shared" si="44"/>
        <v>950.31028311</v>
      </c>
      <c r="DG8" s="1">
        <f t="shared" si="45"/>
        <v>295.41042904999995</v>
      </c>
      <c r="DH8" s="1">
        <f t="shared" si="46"/>
        <v>197.83466356</v>
      </c>
      <c r="DI8" s="1">
        <f t="shared" si="47"/>
        <v>57.22260210999999</v>
      </c>
      <c r="DJ8" s="1">
        <f t="shared" si="48"/>
        <v>655.50522060000003</v>
      </c>
      <c r="DK8" s="1">
        <f t="shared" si="49"/>
        <v>75.825862699999988</v>
      </c>
      <c r="DL8" s="1">
        <f t="shared" si="50"/>
        <v>111.61178730000002</v>
      </c>
      <c r="DM8" s="1">
        <f t="shared" si="51"/>
        <v>316.41512623000006</v>
      </c>
      <c r="DN8" s="1">
        <f t="shared" si="52"/>
        <v>311.97407102</v>
      </c>
      <c r="DO8" s="1">
        <f t="shared" si="53"/>
        <v>247.29755131000002</v>
      </c>
      <c r="DP8" s="1">
        <f t="shared" si="54"/>
        <v>175.73344469999998</v>
      </c>
      <c r="DQ8" s="1">
        <f t="shared" si="55"/>
        <v>185.25046561000002</v>
      </c>
      <c r="DR8" s="1">
        <f t="shared" si="56"/>
        <v>186.74918762999999</v>
      </c>
      <c r="DS8" s="1">
        <f t="shared" si="57"/>
        <v>783.51957412000002</v>
      </c>
      <c r="DT8" s="1">
        <f t="shared" si="58"/>
        <v>184.49822769000002</v>
      </c>
      <c r="DU8" s="1">
        <f t="shared" si="59"/>
        <v>37.528720180000001</v>
      </c>
      <c r="DV8" s="559">
        <f t="shared" si="60"/>
        <v>0</v>
      </c>
      <c r="DX8" s="1">
        <f t="shared" si="61"/>
        <v>50.018040499999998</v>
      </c>
      <c r="DY8" s="1">
        <f t="shared" si="62"/>
        <v>11.386332580000001</v>
      </c>
      <c r="DZ8" s="1">
        <f t="shared" si="63"/>
        <v>20.862892420000001</v>
      </c>
      <c r="EA8" s="1">
        <f t="shared" si="64"/>
        <v>1.95680381</v>
      </c>
      <c r="EB8" s="1">
        <f t="shared" si="65"/>
        <v>67.972381509999991</v>
      </c>
      <c r="EC8" s="1">
        <f t="shared" si="66"/>
        <v>10.011796799999999</v>
      </c>
      <c r="ED8" s="1">
        <f t="shared" si="67"/>
        <v>29.90172286</v>
      </c>
      <c r="EE8" s="1">
        <f t="shared" si="68"/>
        <v>54.607066770000003</v>
      </c>
      <c r="EF8" s="2">
        <f t="shared" si="69"/>
        <v>5.6128368100000001</v>
      </c>
      <c r="EG8" s="2">
        <f t="shared" si="70"/>
        <v>12.824671500000001</v>
      </c>
      <c r="EH8" s="1">
        <f t="shared" si="71"/>
        <v>146.76899531999999</v>
      </c>
      <c r="EI8" s="1">
        <f t="shared" si="72"/>
        <v>44.986989519999995</v>
      </c>
      <c r="EJ8" s="514">
        <f t="shared" si="73"/>
        <v>2.6998080000000001E-2</v>
      </c>
      <c r="EK8" s="1">
        <f t="shared" si="74"/>
        <v>1.2123000900000001</v>
      </c>
      <c r="EL8" s="7">
        <f t="shared" si="75"/>
        <v>0.36556501999999996</v>
      </c>
      <c r="EM8" s="1">
        <f t="shared" si="76"/>
        <v>7.1906577199999999</v>
      </c>
      <c r="EN8" s="2">
        <f t="shared" si="77"/>
        <v>15.809761920000001</v>
      </c>
      <c r="EO8" s="7">
        <f t="shared" si="78"/>
        <v>2.2752069600000007</v>
      </c>
    </row>
    <row r="9" spans="1:145" ht="14.4">
      <c r="A9" s="474">
        <v>2022</v>
      </c>
      <c r="B9" s="471">
        <f>SUM(datos!JF82:JF89)</f>
        <v>168.89631324000001</v>
      </c>
      <c r="C9" s="471">
        <f>SUM(datos!JG82:JG89)</f>
        <v>172.08140792</v>
      </c>
      <c r="D9" s="471">
        <f>SUM(datos!JH82:JH89)</f>
        <v>1663.77251602</v>
      </c>
      <c r="E9" s="471">
        <f>SUM(datos!JI82:JI89)</f>
        <v>2565.98977354</v>
      </c>
      <c r="F9" s="471">
        <f>SUM(datos!JJ82:JJ89)</f>
        <v>8034.3727966799997</v>
      </c>
      <c r="G9" s="471">
        <f>SUM(datos!JK82:JK89)</f>
        <v>799.95999878999987</v>
      </c>
      <c r="H9" s="471">
        <f>SUM(datos!JL82:JL89)</f>
        <v>22352.225286380002</v>
      </c>
      <c r="I9" s="471">
        <f>SUM(datos!JM82:JM89)</f>
        <v>490.58741361</v>
      </c>
      <c r="J9" s="471">
        <f>SUM(datos!JN82:JN89)</f>
        <v>6203.4599121000001</v>
      </c>
      <c r="K9" s="471">
        <f>SUM(datos!JO82:JO89)</f>
        <v>204.29613747000002</v>
      </c>
      <c r="L9" s="471">
        <f>SUM(datos!JP82:JP89)</f>
        <v>0</v>
      </c>
      <c r="M9" s="471">
        <f>SUM(datos!JQ82:JQ89)</f>
        <v>23.8128809</v>
      </c>
      <c r="N9" s="471">
        <f>SUM(datos!JR82:JR89)</f>
        <v>15.76802311</v>
      </c>
      <c r="O9" s="471">
        <f>SUM(datos!JS82:JS89)</f>
        <v>0</v>
      </c>
      <c r="P9" s="471">
        <f>SUM(datos!JT82:JT89)</f>
        <v>2.3428664500000003</v>
      </c>
      <c r="Q9" s="471">
        <f>SUM(datos!JU82:JU89)</f>
        <v>703.96595430000013</v>
      </c>
      <c r="R9" s="471">
        <f>SUM(datos!JV82:JV89)</f>
        <v>62.263522420000001</v>
      </c>
      <c r="S9" s="471">
        <f>SUM(datos!JW82:JW89)</f>
        <v>184.90335655000001</v>
      </c>
      <c r="T9" s="471">
        <f>SUM(datos!JX82:JX89)</f>
        <v>234.13969918999999</v>
      </c>
      <c r="U9" s="471">
        <f>SUM(datos!JY82:JY89)</f>
        <v>0</v>
      </c>
      <c r="V9" s="471">
        <f>SUM(datos!JZ82:JZ89)</f>
        <v>30.465004020000002</v>
      </c>
      <c r="W9" s="471">
        <f>SUM(datos!KA82:KA89)</f>
        <v>3.2792403600000006</v>
      </c>
      <c r="X9" s="471">
        <f>SUM(datos!KB82:KB89)</f>
        <v>261.30501544000003</v>
      </c>
      <c r="Y9" s="471">
        <f>SUM(datos!KC82:KC89)</f>
        <v>247.42360105</v>
      </c>
      <c r="Z9" s="471">
        <f>SUM(datos!KD82:KD89)</f>
        <v>66.94344864</v>
      </c>
      <c r="AA9" s="471">
        <f>SUM(datos!KE82:KE89)</f>
        <v>211.22973602000002</v>
      </c>
      <c r="AB9" s="471">
        <f>SUM(datos!KF82:KF89)</f>
        <v>383.06838989999994</v>
      </c>
      <c r="AC9" s="471">
        <f>SUM(datos!KG82:KG89)</f>
        <v>3324.2568992199995</v>
      </c>
      <c r="AD9" s="471">
        <f>SUM(datos!KH82:KH89)</f>
        <v>1244.8464380600001</v>
      </c>
      <c r="AE9" s="471">
        <f>SUM(datos!KI82:KI89)</f>
        <v>191.35107782</v>
      </c>
      <c r="AF9" s="471">
        <f>SUM(datos!KJ82:KJ89)</f>
        <v>10.239834759999999</v>
      </c>
      <c r="AG9" s="471">
        <f>SUM(datos!KK82:KK89)</f>
        <v>76.14160483000002</v>
      </c>
      <c r="AH9" s="471">
        <f>SUM(datos!KL82:KL89)</f>
        <v>0.51128799000000014</v>
      </c>
      <c r="AI9" s="471">
        <f>SUM(datos!KM82:KM89)</f>
        <v>15.175053519999999</v>
      </c>
      <c r="AJ9" s="471">
        <f>SUM(datos!KN82:KN89)</f>
        <v>3.1737639900000003</v>
      </c>
      <c r="AK9" s="471">
        <f>SUM(datos!KO82:KO89)</f>
        <v>8.6036093099999995</v>
      </c>
      <c r="AL9" s="471">
        <f>SUM(datos!KP82:KP89)</f>
        <v>0.61651100999999997</v>
      </c>
      <c r="AM9" s="471">
        <f>SUM(datos!KQ82:KQ89)</f>
        <v>1940.5373830200001</v>
      </c>
      <c r="AN9" s="471">
        <f>SUM(datos!KR82:KR89)</f>
        <v>1.0532217300000002</v>
      </c>
      <c r="AO9" s="471">
        <f>SUM(datos!KS82:KS89)</f>
        <v>0.74514502000000005</v>
      </c>
      <c r="AP9" s="471">
        <f>SUM(datos!KT82:KT89)</f>
        <v>5.2106525100000001</v>
      </c>
      <c r="AQ9" s="471">
        <f>SUM(datos!KU82:KU89)</f>
        <v>6.3776566299999997</v>
      </c>
      <c r="AR9" s="471">
        <f>SUM(datos!KV82:KV89)</f>
        <v>4.816898010000001</v>
      </c>
      <c r="AS9" s="471">
        <f>SUM(datos!KW82:KW89)</f>
        <v>13.02185491</v>
      </c>
      <c r="AT9" s="471">
        <f>SUM(datos!KX82:KX89)</f>
        <v>0</v>
      </c>
      <c r="AU9" s="471">
        <f>SUM(datos!KY82:KY89)</f>
        <v>7.8E-2</v>
      </c>
      <c r="AV9" s="471">
        <f>SUM(datos!KZ82:KZ89)</f>
        <v>11.11227328</v>
      </c>
      <c r="AW9" s="471">
        <f>SUM(datos!LA82:LA89)</f>
        <v>4.2498531600000007</v>
      </c>
      <c r="AX9" s="471">
        <f>SUM(datos!LB82:LB89)</f>
        <v>0.58221882999999996</v>
      </c>
      <c r="AY9" s="471">
        <f>SUM(datos!LC82:LC89)</f>
        <v>0.85615087000000001</v>
      </c>
      <c r="AZ9" s="471">
        <f>SUM(datos!LD82:LD89)</f>
        <v>0</v>
      </c>
      <c r="BA9" s="471">
        <f>SUM(datos!LE82:LE89)</f>
        <v>2.5742302499999998</v>
      </c>
      <c r="BB9" s="471">
        <f>SUM(datos!LF82:LF89)</f>
        <v>1.16106449</v>
      </c>
      <c r="BC9" s="471">
        <f>SUM(datos!LG82:LG89)</f>
        <v>177.00080586000001</v>
      </c>
      <c r="BD9" s="471">
        <f>SUM(datos!LH82:LH89)</f>
        <v>34.229478980000003</v>
      </c>
      <c r="BE9" s="471">
        <f>SUM(datos!LI82:LI89)</f>
        <v>26.88767009</v>
      </c>
      <c r="BF9" s="471">
        <f>SUM(datos!LJ82:LJ89)</f>
        <v>8.1351019999999996E-2</v>
      </c>
      <c r="BG9" s="471">
        <f>SUM(datos!LK82:LK89)</f>
        <v>37.65764128</v>
      </c>
      <c r="BH9" s="471">
        <f>SUM(datos!LL82:LL89)</f>
        <v>64.912820820000007</v>
      </c>
      <c r="BI9" s="471">
        <f>SUM(datos!LM82:LM89)</f>
        <v>25.918448729999994</v>
      </c>
      <c r="BJ9" s="471">
        <f>SUM(datos!LN82:LN89)</f>
        <v>1.4838372700000002</v>
      </c>
      <c r="BK9" s="471">
        <f>SUM(datos!LO82:LO89)</f>
        <v>82.235693119999993</v>
      </c>
      <c r="BL9" s="471"/>
      <c r="BM9">
        <v>2022</v>
      </c>
      <c r="BN9" s="1">
        <f t="shared" si="20"/>
        <v>168.89631324000001</v>
      </c>
      <c r="BO9" s="1">
        <f t="shared" si="21"/>
        <v>172.08140792</v>
      </c>
      <c r="BP9" s="1">
        <f t="shared" si="22"/>
        <v>41310.407698330004</v>
      </c>
      <c r="BQ9" s="1">
        <f t="shared" si="23"/>
        <v>799.95999878999987</v>
      </c>
      <c r="BR9" s="1">
        <f t="shared" si="24"/>
        <v>204.29613747000002</v>
      </c>
      <c r="BS9" s="559">
        <f t="shared" si="25"/>
        <v>0</v>
      </c>
      <c r="BT9" s="1">
        <f t="shared" si="26"/>
        <v>41.92377046</v>
      </c>
      <c r="BU9" s="1">
        <f t="shared" si="27"/>
        <v>703.96595430000013</v>
      </c>
      <c r="BV9" s="1">
        <f t="shared" si="28"/>
        <v>247.16687897000003</v>
      </c>
      <c r="BW9" s="1">
        <f t="shared" si="29"/>
        <v>267.88394356999999</v>
      </c>
      <c r="BX9" s="1">
        <f t="shared" si="30"/>
        <v>261.30501544000003</v>
      </c>
      <c r="BY9" s="1">
        <f t="shared" si="31"/>
        <v>247.42360105</v>
      </c>
      <c r="BZ9" s="1">
        <f t="shared" si="32"/>
        <v>66.94344864</v>
      </c>
      <c r="CA9" s="1">
        <f t="shared" si="33"/>
        <v>211.22973602000002</v>
      </c>
      <c r="CB9" s="1">
        <f t="shared" si="34"/>
        <v>383.06838989999994</v>
      </c>
      <c r="CC9" s="1">
        <f t="shared" si="35"/>
        <v>3324.2568992199995</v>
      </c>
      <c r="CD9" s="1">
        <f t="shared" si="36"/>
        <v>1244.8464380600001</v>
      </c>
      <c r="CE9" s="1">
        <f t="shared" si="37"/>
        <v>191.35107782</v>
      </c>
      <c r="CF9" s="1">
        <f t="shared" si="38"/>
        <v>10.239834759999999</v>
      </c>
      <c r="CG9" s="1">
        <f t="shared" si="39"/>
        <v>49857.246543960006</v>
      </c>
      <c r="CH9" s="1">
        <f t="shared" si="40"/>
        <v>8546.8388456300017</v>
      </c>
      <c r="CI9" s="1">
        <f t="shared" si="1"/>
        <v>76.14160483000002</v>
      </c>
      <c r="CJ9" s="7">
        <f t="shared" si="2"/>
        <v>0.51128799000000014</v>
      </c>
      <c r="CK9" s="1">
        <f t="shared" si="3"/>
        <v>1969.2881765900001</v>
      </c>
      <c r="CL9" s="7">
        <f t="shared" si="4"/>
        <v>0.61651100999999997</v>
      </c>
      <c r="CM9" s="1">
        <f t="shared" si="5"/>
        <v>5.2106525100000001</v>
      </c>
      <c r="CN9" s="7">
        <f t="shared" si="6"/>
        <v>6.3776566299999997</v>
      </c>
      <c r="CO9" s="2">
        <f t="shared" si="7"/>
        <v>17.91675292</v>
      </c>
      <c r="CP9" s="1">
        <f t="shared" si="8"/>
        <v>11.11227328</v>
      </c>
      <c r="CQ9" s="2">
        <f t="shared" si="9"/>
        <v>4.8320719900000011</v>
      </c>
      <c r="CR9" s="2">
        <f t="shared" si="10"/>
        <v>4.5914456100000001</v>
      </c>
      <c r="CS9" s="1">
        <f t="shared" si="11"/>
        <v>177.00080586000001</v>
      </c>
      <c r="CT9" s="1">
        <f t="shared" si="12"/>
        <v>34.229478980000003</v>
      </c>
      <c r="CU9" s="1">
        <f t="shared" si="13"/>
        <v>26.88767009</v>
      </c>
      <c r="CV9" s="514">
        <f t="shared" si="14"/>
        <v>8.1351019999999996E-2</v>
      </c>
      <c r="CW9" s="1">
        <f t="shared" si="15"/>
        <v>37.65764128</v>
      </c>
      <c r="CX9" s="1">
        <f t="shared" si="16"/>
        <v>64.912820820000007</v>
      </c>
      <c r="CY9" s="1">
        <f t="shared" si="17"/>
        <v>25.918448729999994</v>
      </c>
      <c r="CZ9" s="1">
        <f t="shared" si="18"/>
        <v>1.4838372700000002</v>
      </c>
      <c r="DA9" s="1">
        <f t="shared" si="19"/>
        <v>82.235693119999993</v>
      </c>
      <c r="DB9" s="1">
        <f t="shared" si="41"/>
        <v>2547.0061805299997</v>
      </c>
      <c r="DC9" s="1">
        <f t="shared" si="42"/>
        <v>577.71800393999956</v>
      </c>
      <c r="DD9">
        <v>2022</v>
      </c>
      <c r="DE9" s="1">
        <f t="shared" si="43"/>
        <v>3324.2568992199995</v>
      </c>
      <c r="DF9" s="1">
        <f t="shared" si="44"/>
        <v>1244.8464380600001</v>
      </c>
      <c r="DG9" s="1">
        <f t="shared" si="45"/>
        <v>383.06838989999994</v>
      </c>
      <c r="DH9" s="1">
        <f t="shared" si="46"/>
        <v>191.35107782</v>
      </c>
      <c r="DI9" s="1">
        <f t="shared" si="47"/>
        <v>10.239834759999999</v>
      </c>
      <c r="DJ9" s="1">
        <f t="shared" si="48"/>
        <v>703.96595430000013</v>
      </c>
      <c r="DK9" s="1">
        <f t="shared" si="49"/>
        <v>66.94344864</v>
      </c>
      <c r="DL9" s="1">
        <f t="shared" si="50"/>
        <v>168.89631324000001</v>
      </c>
      <c r="DM9" s="1">
        <f t="shared" si="51"/>
        <v>247.16687897000003</v>
      </c>
      <c r="DN9" s="1">
        <f t="shared" si="52"/>
        <v>267.88394356999999</v>
      </c>
      <c r="DO9" s="1">
        <f t="shared" si="53"/>
        <v>261.30501544000003</v>
      </c>
      <c r="DP9" s="1">
        <f t="shared" si="54"/>
        <v>247.42360105</v>
      </c>
      <c r="DQ9" s="1">
        <f t="shared" si="55"/>
        <v>211.22973602000002</v>
      </c>
      <c r="DR9" s="1">
        <f t="shared" si="56"/>
        <v>172.08140792</v>
      </c>
      <c r="DS9" s="1">
        <f t="shared" si="57"/>
        <v>799.95999878999987</v>
      </c>
      <c r="DT9" s="1">
        <f t="shared" si="58"/>
        <v>204.29613747000002</v>
      </c>
      <c r="DU9" s="1">
        <f t="shared" si="59"/>
        <v>41.92377046</v>
      </c>
      <c r="DV9" s="559">
        <f t="shared" si="60"/>
        <v>0</v>
      </c>
      <c r="DX9" s="1">
        <f t="shared" si="61"/>
        <v>64.912820820000007</v>
      </c>
      <c r="DY9" s="1">
        <f t="shared" si="62"/>
        <v>25.918448729999994</v>
      </c>
      <c r="DZ9" s="1">
        <f t="shared" si="63"/>
        <v>37.65764128</v>
      </c>
      <c r="EA9" s="1">
        <f t="shared" si="64"/>
        <v>1.4838372700000002</v>
      </c>
      <c r="EB9" s="1">
        <f t="shared" si="65"/>
        <v>82.235693119999993</v>
      </c>
      <c r="EC9" s="1">
        <f t="shared" si="66"/>
        <v>11.11227328</v>
      </c>
      <c r="ED9" s="1">
        <f t="shared" si="67"/>
        <v>26.88767009</v>
      </c>
      <c r="EE9" s="1">
        <f t="shared" si="68"/>
        <v>76.14160483000002</v>
      </c>
      <c r="EF9" s="2">
        <f t="shared" si="69"/>
        <v>4.8320719900000011</v>
      </c>
      <c r="EG9" s="2">
        <f t="shared" si="70"/>
        <v>4.5914456100000001</v>
      </c>
      <c r="EH9" s="1">
        <f t="shared" si="71"/>
        <v>177.00080586000001</v>
      </c>
      <c r="EI9" s="1">
        <f t="shared" si="72"/>
        <v>34.229478980000003</v>
      </c>
      <c r="EJ9" s="514">
        <f t="shared" si="73"/>
        <v>8.1351019999999996E-2</v>
      </c>
      <c r="EK9" s="1">
        <f t="shared" si="74"/>
        <v>0.51128799000000014</v>
      </c>
      <c r="EL9" s="7">
        <f t="shared" si="75"/>
        <v>0.61651100999999997</v>
      </c>
      <c r="EM9" s="1">
        <f t="shared" si="76"/>
        <v>5.2106525100000001</v>
      </c>
      <c r="EN9" s="2">
        <f t="shared" si="77"/>
        <v>17.91675292</v>
      </c>
      <c r="EO9" s="7">
        <f t="shared" si="78"/>
        <v>6.3776566299999997</v>
      </c>
    </row>
    <row r="10" spans="1:145" ht="14.4">
      <c r="A10" s="474">
        <v>2023</v>
      </c>
      <c r="B10" s="471">
        <f>SUM(datos!JF94:JF101)</f>
        <v>30.558403910000003</v>
      </c>
      <c r="C10" s="471">
        <f>SUM(datos!JG94:JG101)</f>
        <v>190.79966395</v>
      </c>
      <c r="D10" s="471">
        <f>SUM(datos!JH94:JH101)</f>
        <v>1234.4018947299999</v>
      </c>
      <c r="E10" s="471">
        <f>SUM(datos!JI94:JI101)</f>
        <v>1386.1841384299998</v>
      </c>
      <c r="F10" s="471">
        <f>SUM(datos!JJ94:JJ101)</f>
        <v>5597.6434542500001</v>
      </c>
      <c r="G10" s="471">
        <f>SUM(datos!JK94:JK101)</f>
        <v>874.25125489000004</v>
      </c>
      <c r="H10" s="471">
        <f>SUM(datos!JL94:JL101)</f>
        <v>16037.112201619999</v>
      </c>
      <c r="I10" s="471">
        <f>SUM(datos!JM94:JM101)</f>
        <v>210.19930656999998</v>
      </c>
      <c r="J10" s="471">
        <f>SUM(datos!JN94:JN101)</f>
        <v>944.48033985000006</v>
      </c>
      <c r="K10" s="471">
        <f>SUM(datos!JO94:JO101)</f>
        <v>218.73925410000004</v>
      </c>
      <c r="L10" s="471">
        <f>SUM(datos!JP94:JP101)</f>
        <v>0</v>
      </c>
      <c r="M10" s="471">
        <f>SUM(datos!JQ94:JQ101)</f>
        <v>27.013532510000001</v>
      </c>
      <c r="N10" s="471">
        <f>SUM(datos!JR94:JR101)</f>
        <v>17.666694340000003</v>
      </c>
      <c r="O10" s="471">
        <f>SUM(datos!JS94:JS101)</f>
        <v>0</v>
      </c>
      <c r="P10" s="471">
        <f>SUM(datos!JT94:JT101)</f>
        <v>2.1763185899999997</v>
      </c>
      <c r="Q10" s="471">
        <f>SUM(datos!JU94:JU101)</f>
        <v>559.61141283000006</v>
      </c>
      <c r="R10" s="471">
        <f>SUM(datos!JV94:JV101)</f>
        <v>87.649933919999995</v>
      </c>
      <c r="S10" s="471">
        <f>SUM(datos!JW94:JW101)</f>
        <v>199.8938886</v>
      </c>
      <c r="T10" s="471">
        <f>SUM(datos!JX94:JX101)</f>
        <v>204.81462248</v>
      </c>
      <c r="U10" s="471">
        <f>SUM(datos!JY94:JY101)</f>
        <v>0</v>
      </c>
      <c r="V10" s="471">
        <f>SUM(datos!JZ94:JZ101)</f>
        <v>28.700215199999995</v>
      </c>
      <c r="W10" s="471">
        <f>SUM(datos!KA94:KA101)</f>
        <v>2.4437991999999999</v>
      </c>
      <c r="X10" s="471">
        <f>SUM(datos!KB94:KB101)</f>
        <v>199.43734550000002</v>
      </c>
      <c r="Y10" s="471">
        <f>SUM(datos!KC94:KC101)</f>
        <v>361.64911967</v>
      </c>
      <c r="Z10" s="471">
        <f>SUM(datos!KD94:KD101)</f>
        <v>70.790467849999999</v>
      </c>
      <c r="AA10" s="471">
        <f>SUM(datos!KE94:KE101)</f>
        <v>147.42474295</v>
      </c>
      <c r="AB10" s="471">
        <f>SUM(datos!KF94:KF101)</f>
        <v>231.61566882000002</v>
      </c>
      <c r="AC10" s="471">
        <f>SUM(datos!KG94:KG101)</f>
        <v>2707.7336216200001</v>
      </c>
      <c r="AD10" s="471">
        <f>SUM(datos!KH94:KH101)</f>
        <v>1009.2699219299999</v>
      </c>
      <c r="AE10" s="471">
        <f>SUM(datos!KI94:KI101)</f>
        <v>145.69416641000001</v>
      </c>
      <c r="AF10" s="471">
        <f>SUM(datos!KJ94:KJ101)</f>
        <v>13.396280669999999</v>
      </c>
      <c r="AG10" s="471">
        <f>SUM(datos!KK94:KK101)</f>
        <v>66.51792356</v>
      </c>
      <c r="AH10" s="471">
        <f>SUM(datos!KL94:KL101)</f>
        <v>0.33939125000000003</v>
      </c>
      <c r="AI10" s="471">
        <f>SUM(datos!KM94:KM101)</f>
        <v>2.43905729</v>
      </c>
      <c r="AJ10" s="471">
        <f>SUM(datos!KN94:KN101)</f>
        <v>5.8505910199999995</v>
      </c>
      <c r="AK10" s="471">
        <f>SUM(datos!KO94:KO101)</f>
        <v>15.975869410000003</v>
      </c>
      <c r="AL10" s="471">
        <f>SUM(datos!KP94:KP101)</f>
        <v>0.46198870999999997</v>
      </c>
      <c r="AM10" s="471">
        <f>SUM(datos!KQ94:KQ101)</f>
        <v>4260.8735211900002</v>
      </c>
      <c r="AN10" s="471">
        <f>SUM(datos!KR94:KR101)</f>
        <v>1.68488682</v>
      </c>
      <c r="AO10" s="471">
        <f>SUM(datos!KS94:KS101)</f>
        <v>1.2427830299999998</v>
      </c>
      <c r="AP10" s="471">
        <f>SUM(datos!KT94:KT101)</f>
        <v>10.417919169999999</v>
      </c>
      <c r="AQ10" s="471">
        <f>SUM(datos!KU94:KU101)</f>
        <v>8.0199833199999997</v>
      </c>
      <c r="AR10" s="471">
        <f>SUM(datos!KV94:KV101)</f>
        <v>0.17361437999999998</v>
      </c>
      <c r="AS10" s="471">
        <f>SUM(datos!KW94:KW101)</f>
        <v>11.81584202</v>
      </c>
      <c r="AT10" s="471">
        <f>SUM(datos!KX94:KX101)</f>
        <v>0</v>
      </c>
      <c r="AU10" s="471">
        <f>SUM(datos!KY94:KY101)</f>
        <v>0</v>
      </c>
      <c r="AV10" s="471">
        <f>SUM(datos!KZ94:KZ101)</f>
        <v>10.45224183</v>
      </c>
      <c r="AW10" s="471">
        <f>SUM(datos!LA94:LA101)</f>
        <v>5.7503176300000005</v>
      </c>
      <c r="AX10" s="471">
        <f>SUM(datos!LB94:LB101)</f>
        <v>0.15634698999999999</v>
      </c>
      <c r="AY10" s="471">
        <f>SUM(datos!LC94:LC101)</f>
        <v>0.70882530999999993</v>
      </c>
      <c r="AZ10" s="471">
        <f>SUM(datos!LD94:LD101)</f>
        <v>0</v>
      </c>
      <c r="BA10" s="471">
        <f>SUM(datos!LE94:LE101)</f>
        <v>2.9483215200000004</v>
      </c>
      <c r="BB10" s="471">
        <f>SUM(datos!LF94:LF101)</f>
        <v>1.3377431</v>
      </c>
      <c r="BC10" s="471">
        <f>SUM(datos!LG94:LG101)</f>
        <v>200.04574241999998</v>
      </c>
      <c r="BD10" s="471">
        <f>SUM(datos!LH94:LH101)</f>
        <v>49.274931239999994</v>
      </c>
      <c r="BE10" s="471">
        <f>SUM(datos!LI94:LI101)</f>
        <v>7.3993995399999992</v>
      </c>
      <c r="BF10" s="471">
        <f>SUM(datos!LJ94:LJ101)</f>
        <v>7.038E-3</v>
      </c>
      <c r="BG10" s="471">
        <f>SUM(datos!LK94:LK101)</f>
        <v>30.143111109999996</v>
      </c>
      <c r="BH10" s="471">
        <f>SUM(datos!LL94:LL101)</f>
        <v>35.429769899999997</v>
      </c>
      <c r="BI10" s="471">
        <f>SUM(datos!LM94:LM101)</f>
        <v>18.707807729999995</v>
      </c>
      <c r="BJ10" s="471">
        <f>SUM(datos!LN94:LN101)</f>
        <v>2.45942974</v>
      </c>
      <c r="BK10" s="471">
        <f>SUM(datos!LO94:LO101)</f>
        <v>42.658363509999994</v>
      </c>
      <c r="BL10" s="471"/>
      <c r="BM10">
        <v>2023</v>
      </c>
      <c r="BN10" s="1">
        <f t="shared" si="20"/>
        <v>30.558403910000003</v>
      </c>
      <c r="BO10" s="1">
        <f t="shared" si="21"/>
        <v>190.79966395</v>
      </c>
      <c r="BP10" s="1">
        <f t="shared" si="22"/>
        <v>25410.021335450001</v>
      </c>
      <c r="BQ10" s="1">
        <f t="shared" si="23"/>
        <v>874.25125489000004</v>
      </c>
      <c r="BR10" s="1">
        <f t="shared" si="24"/>
        <v>218.73925410000004</v>
      </c>
      <c r="BS10" s="559">
        <f t="shared" si="25"/>
        <v>0</v>
      </c>
      <c r="BT10" s="1">
        <f t="shared" si="26"/>
        <v>46.856545440000005</v>
      </c>
      <c r="BU10" s="1">
        <f t="shared" si="27"/>
        <v>559.61141283000006</v>
      </c>
      <c r="BV10" s="1">
        <f t="shared" si="28"/>
        <v>287.54382251999999</v>
      </c>
      <c r="BW10" s="1">
        <f t="shared" si="29"/>
        <v>235.95863688</v>
      </c>
      <c r="BX10" s="1">
        <f t="shared" si="30"/>
        <v>199.43734550000002</v>
      </c>
      <c r="BY10" s="1">
        <f t="shared" si="31"/>
        <v>361.64911967</v>
      </c>
      <c r="BZ10" s="1">
        <f t="shared" si="32"/>
        <v>70.790467849999999</v>
      </c>
      <c r="CA10" s="1">
        <f t="shared" si="33"/>
        <v>147.42474295</v>
      </c>
      <c r="CB10" s="1">
        <f t="shared" si="34"/>
        <v>231.61566882000002</v>
      </c>
      <c r="CC10" s="1">
        <f t="shared" si="35"/>
        <v>2707.7336216200001</v>
      </c>
      <c r="CD10" s="1">
        <f t="shared" si="36"/>
        <v>1009.2699219299999</v>
      </c>
      <c r="CE10" s="1">
        <f t="shared" si="37"/>
        <v>145.69416641000001</v>
      </c>
      <c r="CF10" s="1">
        <f t="shared" si="38"/>
        <v>13.396280669999999</v>
      </c>
      <c r="CG10" s="1">
        <f t="shared" si="39"/>
        <v>32741.351665390011</v>
      </c>
      <c r="CH10" s="1">
        <f t="shared" si="40"/>
        <v>7331.3303299400104</v>
      </c>
      <c r="CI10" s="1">
        <f t="shared" si="1"/>
        <v>66.51792356</v>
      </c>
      <c r="CJ10" s="7">
        <f t="shared" si="2"/>
        <v>0.33939125000000003</v>
      </c>
      <c r="CK10" s="1">
        <f t="shared" si="3"/>
        <v>4288.0667087600013</v>
      </c>
      <c r="CL10" s="7">
        <f t="shared" si="4"/>
        <v>0.46198870999999997</v>
      </c>
      <c r="CM10" s="1">
        <f t="shared" si="5"/>
        <v>10.417919169999999</v>
      </c>
      <c r="CN10" s="7">
        <f t="shared" si="6"/>
        <v>8.0199833199999997</v>
      </c>
      <c r="CO10" s="2">
        <f t="shared" si="7"/>
        <v>11.9894564</v>
      </c>
      <c r="CP10" s="1">
        <f t="shared" si="8"/>
        <v>10.45224183</v>
      </c>
      <c r="CQ10" s="2">
        <f t="shared" si="9"/>
        <v>5.9066646200000008</v>
      </c>
      <c r="CR10" s="2">
        <f t="shared" si="10"/>
        <v>4.9948899300000003</v>
      </c>
      <c r="CS10" s="1">
        <f t="shared" si="11"/>
        <v>200.04574241999998</v>
      </c>
      <c r="CT10" s="1">
        <f t="shared" si="12"/>
        <v>49.274931239999994</v>
      </c>
      <c r="CU10" s="1">
        <f t="shared" si="13"/>
        <v>7.3993995399999992</v>
      </c>
      <c r="CV10" s="514">
        <f t="shared" si="14"/>
        <v>7.038E-3</v>
      </c>
      <c r="CW10" s="1">
        <f t="shared" si="15"/>
        <v>30.143111109999996</v>
      </c>
      <c r="CX10" s="1">
        <f t="shared" si="16"/>
        <v>35.429769899999997</v>
      </c>
      <c r="CY10" s="1">
        <f t="shared" si="17"/>
        <v>18.707807729999995</v>
      </c>
      <c r="CZ10" s="1">
        <f t="shared" si="18"/>
        <v>2.45942974</v>
      </c>
      <c r="DA10" s="1">
        <f t="shared" si="19"/>
        <v>42.658363509999994</v>
      </c>
      <c r="DB10" s="1">
        <f t="shared" si="41"/>
        <v>4793.2927607400006</v>
      </c>
      <c r="DC10" s="1">
        <f t="shared" si="42"/>
        <v>505.22605197999928</v>
      </c>
      <c r="DD10">
        <v>2023</v>
      </c>
      <c r="DE10" s="1">
        <f t="shared" si="43"/>
        <v>2707.7336216200001</v>
      </c>
      <c r="DF10" s="1">
        <f t="shared" si="44"/>
        <v>1009.2699219299999</v>
      </c>
      <c r="DG10" s="1">
        <f t="shared" si="45"/>
        <v>231.61566882000002</v>
      </c>
      <c r="DH10" s="1">
        <f t="shared" si="46"/>
        <v>145.69416641000001</v>
      </c>
      <c r="DI10" s="1">
        <f t="shared" si="47"/>
        <v>13.396280669999999</v>
      </c>
      <c r="DJ10" s="1">
        <f t="shared" si="48"/>
        <v>559.61141283000006</v>
      </c>
      <c r="DK10" s="1">
        <f t="shared" si="49"/>
        <v>70.790467849999999</v>
      </c>
      <c r="DL10" s="1">
        <f t="shared" si="50"/>
        <v>30.558403910000003</v>
      </c>
      <c r="DM10" s="1">
        <f t="shared" si="51"/>
        <v>287.54382251999999</v>
      </c>
      <c r="DN10" s="1">
        <f t="shared" si="52"/>
        <v>235.95863688</v>
      </c>
      <c r="DO10" s="1">
        <f t="shared" si="53"/>
        <v>199.43734550000002</v>
      </c>
      <c r="DP10" s="1">
        <f t="shared" si="54"/>
        <v>361.64911967</v>
      </c>
      <c r="DQ10" s="1">
        <f t="shared" si="55"/>
        <v>147.42474295</v>
      </c>
      <c r="DR10" s="1">
        <f t="shared" si="56"/>
        <v>190.79966395</v>
      </c>
      <c r="DS10" s="1">
        <f t="shared" si="57"/>
        <v>874.25125489000004</v>
      </c>
      <c r="DT10" s="1">
        <f t="shared" si="58"/>
        <v>218.73925410000004</v>
      </c>
      <c r="DU10" s="1">
        <f t="shared" si="59"/>
        <v>46.856545440000005</v>
      </c>
      <c r="DV10" s="559">
        <f t="shared" si="60"/>
        <v>0</v>
      </c>
      <c r="DX10" s="1">
        <f t="shared" si="61"/>
        <v>35.429769899999997</v>
      </c>
      <c r="DY10" s="1">
        <f t="shared" si="62"/>
        <v>18.707807729999995</v>
      </c>
      <c r="DZ10" s="1">
        <f t="shared" si="63"/>
        <v>30.143111109999996</v>
      </c>
      <c r="EA10" s="1">
        <f t="shared" si="64"/>
        <v>2.45942974</v>
      </c>
      <c r="EB10" s="1">
        <f t="shared" si="65"/>
        <v>42.658363509999994</v>
      </c>
      <c r="EC10" s="1">
        <f t="shared" si="66"/>
        <v>10.45224183</v>
      </c>
      <c r="ED10" s="1">
        <f t="shared" si="67"/>
        <v>7.3993995399999992</v>
      </c>
      <c r="EE10" s="1">
        <f t="shared" si="68"/>
        <v>66.51792356</v>
      </c>
      <c r="EF10" s="2">
        <f t="shared" si="69"/>
        <v>5.9066646200000008</v>
      </c>
      <c r="EG10" s="2">
        <f t="shared" si="70"/>
        <v>4.9948899300000003</v>
      </c>
      <c r="EH10" s="1">
        <f t="shared" si="71"/>
        <v>200.04574241999998</v>
      </c>
      <c r="EI10" s="1">
        <f t="shared" si="72"/>
        <v>49.274931239999994</v>
      </c>
      <c r="EJ10" s="514">
        <f t="shared" si="73"/>
        <v>7.038E-3</v>
      </c>
      <c r="EK10" s="1">
        <f t="shared" si="74"/>
        <v>0.33939125000000003</v>
      </c>
      <c r="EL10" s="7">
        <f t="shared" si="75"/>
        <v>0.46198870999999997</v>
      </c>
      <c r="EM10" s="1">
        <f t="shared" si="76"/>
        <v>10.417919169999999</v>
      </c>
      <c r="EN10" s="2">
        <f t="shared" si="77"/>
        <v>11.9894564</v>
      </c>
      <c r="EO10" s="7">
        <f t="shared" si="78"/>
        <v>8.0199833199999997</v>
      </c>
    </row>
    <row r="11" spans="1:145" ht="14.4">
      <c r="A11" s="474">
        <v>2024</v>
      </c>
      <c r="B11" s="471">
        <f>SUM(datos!JF106:JF113)</f>
        <v>132.25707643999999</v>
      </c>
      <c r="C11" s="471">
        <f>SUM(datos!JG106:JG113)</f>
        <v>204.61331192999998</v>
      </c>
      <c r="D11" s="471">
        <f>SUM(datos!JH106:JH113)</f>
        <v>1148.78567563</v>
      </c>
      <c r="E11" s="471">
        <f>SUM(datos!JI106:JI113)</f>
        <v>1530.8477417300003</v>
      </c>
      <c r="F11" s="471">
        <f>SUM(datos!JJ106:JJ113)</f>
        <v>5862.4109434099992</v>
      </c>
      <c r="G11" s="471">
        <f>SUM(datos!JK106:JK113)</f>
        <v>782.83544900999993</v>
      </c>
      <c r="H11" s="471">
        <f>SUM(datos!JL106:JL113)</f>
        <v>20031.983909969997</v>
      </c>
      <c r="I11" s="471">
        <f>SUM(datos!JM106:JM113)</f>
        <v>198.38589747000003</v>
      </c>
      <c r="J11" s="471">
        <f>SUM(datos!JN106:JN113)</f>
        <v>2552.2551888800003</v>
      </c>
      <c r="K11" s="471">
        <f>SUM(datos!JO106:JO113)</f>
        <v>245.60389047000001</v>
      </c>
      <c r="L11" s="471">
        <f>SUM(datos!JP106:JP113)</f>
        <v>0</v>
      </c>
      <c r="M11" s="471">
        <f>SUM(datos!JQ106:JQ113)</f>
        <v>45.41886289</v>
      </c>
      <c r="N11" s="471">
        <f>SUM(datos!JR106:JR113)</f>
        <v>11.475539210000001</v>
      </c>
      <c r="O11" s="471">
        <f>SUM(datos!JS106:JS113)</f>
        <v>0</v>
      </c>
      <c r="P11" s="471">
        <f>SUM(datos!JT106:JT113)</f>
        <v>2.6815884400000001</v>
      </c>
      <c r="Q11" s="471">
        <f>SUM(datos!JU106:JU113)</f>
        <v>626.51545390000001</v>
      </c>
      <c r="R11" s="471">
        <f>SUM(datos!JV106:JV113)</f>
        <v>85.443926900000008</v>
      </c>
      <c r="S11" s="471">
        <f>SUM(datos!JW106:JW113)</f>
        <v>228.40322681999999</v>
      </c>
      <c r="T11" s="471">
        <f>SUM(datos!JX106:JX113)</f>
        <v>192.74398582000001</v>
      </c>
      <c r="U11" s="471">
        <f>SUM(datos!JY106:JY113)</f>
        <v>0</v>
      </c>
      <c r="V11" s="471">
        <f>SUM(datos!JZ106:JZ113)</f>
        <v>45.839819130000002</v>
      </c>
      <c r="W11" s="471">
        <f>SUM(datos!KA106:KA113)</f>
        <v>0.73596319999999993</v>
      </c>
      <c r="X11" s="471">
        <f>SUM(datos!KB106:KB113)</f>
        <v>173.77075209999998</v>
      </c>
      <c r="Y11" s="471">
        <f>SUM(datos!KC106:KC113)</f>
        <v>316.79907093000003</v>
      </c>
      <c r="Z11" s="471">
        <f>SUM(datos!KD106:KD113)</f>
        <v>75.501360520000006</v>
      </c>
      <c r="AA11" s="471">
        <f>SUM(datos!KE106:KE113)</f>
        <v>139.50839808000001</v>
      </c>
      <c r="AB11" s="471">
        <f>SUM(datos!KF106:KF113)</f>
        <v>233.39715329000003</v>
      </c>
      <c r="AC11" s="471">
        <f>SUM(datos!KG106:KG113)</f>
        <v>2633.1532810399995</v>
      </c>
      <c r="AD11" s="471">
        <f>SUM(datos!KH106:KH113)</f>
        <v>986.76098533000004</v>
      </c>
      <c r="AE11" s="471">
        <f>SUM(datos!KI106:KI113)</f>
        <v>142.75738236999999</v>
      </c>
      <c r="AF11" s="471">
        <f>SUM(datos!KJ106:KJ113)</f>
        <v>17.962227929999997</v>
      </c>
      <c r="AG11" s="471">
        <f>SUM(datos!KK106:KK113)</f>
        <v>37.547300109999995</v>
      </c>
      <c r="AH11" s="471">
        <f>SUM(datos!KL106:KL113)</f>
        <v>2.7807700300000002</v>
      </c>
      <c r="AI11" s="471">
        <f>SUM(datos!KM106:KM113)</f>
        <v>3.3872268500000002</v>
      </c>
      <c r="AJ11" s="471">
        <f>SUM(datos!KN106:KN113)</f>
        <v>5.2275979599999989</v>
      </c>
      <c r="AK11" s="471">
        <f>SUM(datos!KO106:KO113)</f>
        <v>24.825442770000002</v>
      </c>
      <c r="AL11" s="471">
        <f>SUM(datos!KP106:KP113)</f>
        <v>2.0315311500000002</v>
      </c>
      <c r="AM11" s="471">
        <f>SUM(datos!KQ106:KQ113)</f>
        <v>2234.5352265900001</v>
      </c>
      <c r="AN11" s="471">
        <f>SUM(datos!KR106:KR113)</f>
        <v>1.0313959100000001</v>
      </c>
      <c r="AO11" s="471">
        <f>SUM(datos!KS106:KS113)</f>
        <v>1.34161719</v>
      </c>
      <c r="AP11" s="471">
        <f>SUM(datos!KT106:KT113)</f>
        <v>11.45753318</v>
      </c>
      <c r="AQ11" s="471">
        <f>SUM(datos!KU106:KU113)</f>
        <v>0.92337464000000014</v>
      </c>
      <c r="AR11" s="471">
        <f>SUM(datos!KV106:KV113)</f>
        <v>11.31953614</v>
      </c>
      <c r="AS11" s="471">
        <f>SUM(datos!KW106:KW113)</f>
        <v>7.4133432100000007</v>
      </c>
      <c r="AT11" s="471">
        <f>SUM(datos!KX106:KX113)</f>
        <v>0</v>
      </c>
      <c r="AU11" s="471">
        <f>SUM(datos!KY106:KY113)</f>
        <v>1.7099999999999999E-3</v>
      </c>
      <c r="AV11" s="471">
        <f>SUM(datos!KZ106:KZ113)</f>
        <v>9.0850364800000012</v>
      </c>
      <c r="AW11" s="471">
        <f>SUM(datos!LA106:LA113)</f>
        <v>2.0460415599999999</v>
      </c>
      <c r="AX11" s="471">
        <f>SUM(datos!LB106:LB113)</f>
        <v>0.28677599999999998</v>
      </c>
      <c r="AY11" s="471">
        <f>SUM(datos!LC106:LC113)</f>
        <v>0.49885924000000004</v>
      </c>
      <c r="AZ11" s="471">
        <f>SUM(datos!LD106:LD113)</f>
        <v>0</v>
      </c>
      <c r="BA11" s="471">
        <f>SUM(datos!LE106:LE113)</f>
        <v>2.1442410199999999</v>
      </c>
      <c r="BB11" s="471">
        <f>SUM(datos!LF106:LF113)</f>
        <v>1.3826750999999999</v>
      </c>
      <c r="BC11" s="471">
        <f>SUM(datos!LG106:LG113)</f>
        <v>110.27094036</v>
      </c>
      <c r="BD11" s="471">
        <f>SUM(datos!LH106:LH113)</f>
        <v>33.959100280000001</v>
      </c>
      <c r="BE11" s="471">
        <f>SUM(datos!LI106:LI113)</f>
        <v>14.890541599999999</v>
      </c>
      <c r="BF11" s="471">
        <f>SUM(datos!LJ106:LJ113)</f>
        <v>5.2539300000000004E-2</v>
      </c>
      <c r="BG11" s="471">
        <f>SUM(datos!LK106:LK113)</f>
        <v>22.650184889999998</v>
      </c>
      <c r="BH11" s="471">
        <f>SUM(datos!LL106:LL113)</f>
        <v>21.836344190000002</v>
      </c>
      <c r="BI11" s="471">
        <f>SUM(datos!LM106:LM113)</f>
        <v>12.885164050000002</v>
      </c>
      <c r="BJ11" s="471">
        <f>SUM(datos!LN106:LN113)</f>
        <v>2.2231296600000001</v>
      </c>
      <c r="BK11" s="471">
        <f>SUM(datos!LO106:LO113)</f>
        <v>26.138777139999995</v>
      </c>
      <c r="BL11" s="471"/>
      <c r="BM11">
        <v>2024</v>
      </c>
      <c r="BN11" s="1">
        <f t="shared" si="20"/>
        <v>132.25707643999999</v>
      </c>
      <c r="BO11" s="1">
        <f t="shared" si="21"/>
        <v>204.61331192999998</v>
      </c>
      <c r="BP11" s="1">
        <f t="shared" si="22"/>
        <v>31324.669357089999</v>
      </c>
      <c r="BQ11" s="1">
        <f t="shared" si="23"/>
        <v>782.83544900999993</v>
      </c>
      <c r="BR11" s="1">
        <f t="shared" si="24"/>
        <v>245.60389047000001</v>
      </c>
      <c r="BS11" s="559">
        <f t="shared" si="25"/>
        <v>0</v>
      </c>
      <c r="BT11" s="1">
        <f t="shared" si="26"/>
        <v>59.575990539999999</v>
      </c>
      <c r="BU11" s="1">
        <f t="shared" si="27"/>
        <v>626.51545390000001</v>
      </c>
      <c r="BV11" s="1">
        <f t="shared" si="28"/>
        <v>313.84715371999999</v>
      </c>
      <c r="BW11" s="1">
        <f t="shared" si="29"/>
        <v>239.31976814999999</v>
      </c>
      <c r="BX11" s="1">
        <f t="shared" si="30"/>
        <v>173.77075209999998</v>
      </c>
      <c r="BY11" s="1">
        <f t="shared" si="31"/>
        <v>316.79907093000003</v>
      </c>
      <c r="BZ11" s="1">
        <f t="shared" si="32"/>
        <v>75.501360520000006</v>
      </c>
      <c r="CA11" s="1">
        <f t="shared" si="33"/>
        <v>139.50839808000001</v>
      </c>
      <c r="CB11" s="1">
        <f t="shared" si="34"/>
        <v>233.39715329000003</v>
      </c>
      <c r="CC11" s="1">
        <f t="shared" si="35"/>
        <v>2633.1532810399995</v>
      </c>
      <c r="CD11" s="1">
        <f t="shared" si="36"/>
        <v>986.76098533000004</v>
      </c>
      <c r="CE11" s="1">
        <f t="shared" si="37"/>
        <v>142.75738236999999</v>
      </c>
      <c r="CF11" s="1">
        <f t="shared" si="38"/>
        <v>17.962227929999997</v>
      </c>
      <c r="CG11" s="1">
        <f t="shared" si="39"/>
        <v>38648.848062840007</v>
      </c>
      <c r="CH11" s="1">
        <f t="shared" si="40"/>
        <v>7324.1787057500078</v>
      </c>
      <c r="CI11" s="1">
        <f t="shared" si="1"/>
        <v>37.547300109999995</v>
      </c>
      <c r="CJ11" s="7">
        <f t="shared" si="2"/>
        <v>2.7807700300000002</v>
      </c>
      <c r="CK11" s="1">
        <f t="shared" si="3"/>
        <v>2270.34850727</v>
      </c>
      <c r="CL11" s="7">
        <f t="shared" si="4"/>
        <v>2.0315311500000002</v>
      </c>
      <c r="CM11" s="1">
        <f t="shared" si="5"/>
        <v>11.45753318</v>
      </c>
      <c r="CN11" s="7">
        <f t="shared" si="6"/>
        <v>0.92337464000000014</v>
      </c>
      <c r="CO11" s="2">
        <f t="shared" si="7"/>
        <v>18.73458935</v>
      </c>
      <c r="CP11" s="1">
        <f t="shared" si="8"/>
        <v>9.0850364800000012</v>
      </c>
      <c r="CQ11" s="2">
        <f t="shared" si="9"/>
        <v>2.3328175600000001</v>
      </c>
      <c r="CR11" s="2">
        <f t="shared" si="10"/>
        <v>4.0257753599999999</v>
      </c>
      <c r="CS11" s="1">
        <f t="shared" si="11"/>
        <v>110.27094036</v>
      </c>
      <c r="CT11" s="1">
        <f t="shared" si="12"/>
        <v>33.959100280000001</v>
      </c>
      <c r="CU11" s="1">
        <f t="shared" si="13"/>
        <v>14.890541599999999</v>
      </c>
      <c r="CV11" s="514">
        <f t="shared" si="14"/>
        <v>5.2539300000000004E-2</v>
      </c>
      <c r="CW11" s="1">
        <f t="shared" si="15"/>
        <v>22.650184889999998</v>
      </c>
      <c r="CX11" s="1">
        <f t="shared" si="16"/>
        <v>21.836344190000002</v>
      </c>
      <c r="CY11" s="1">
        <f t="shared" si="17"/>
        <v>12.885164050000002</v>
      </c>
      <c r="CZ11" s="1">
        <f t="shared" si="18"/>
        <v>2.2231296600000001</v>
      </c>
      <c r="DA11" s="1">
        <f t="shared" si="19"/>
        <v>26.138777139999995</v>
      </c>
      <c r="DB11" s="1">
        <f t="shared" si="41"/>
        <v>2604.1739565999997</v>
      </c>
      <c r="DC11" s="1">
        <f t="shared" si="42"/>
        <v>333.82544932999963</v>
      </c>
      <c r="DD11">
        <v>2024</v>
      </c>
      <c r="DE11" s="1">
        <f t="shared" si="43"/>
        <v>2633.1532810399995</v>
      </c>
      <c r="DF11" s="1">
        <f t="shared" si="44"/>
        <v>986.76098533000004</v>
      </c>
      <c r="DG11" s="1">
        <f t="shared" si="45"/>
        <v>233.39715329000003</v>
      </c>
      <c r="DH11" s="1">
        <f t="shared" si="46"/>
        <v>142.75738236999999</v>
      </c>
      <c r="DI11" s="1">
        <f t="shared" si="47"/>
        <v>17.962227929999997</v>
      </c>
      <c r="DJ11" s="1">
        <f t="shared" si="48"/>
        <v>626.51545390000001</v>
      </c>
      <c r="DK11" s="1">
        <f t="shared" si="49"/>
        <v>75.501360520000006</v>
      </c>
      <c r="DL11" s="1">
        <f t="shared" si="50"/>
        <v>132.25707643999999</v>
      </c>
      <c r="DM11" s="1">
        <f t="shared" si="51"/>
        <v>313.84715371999999</v>
      </c>
      <c r="DN11" s="1">
        <f t="shared" si="52"/>
        <v>239.31976814999999</v>
      </c>
      <c r="DO11" s="1">
        <f t="shared" si="53"/>
        <v>173.77075209999998</v>
      </c>
      <c r="DP11" s="1">
        <f t="shared" si="54"/>
        <v>316.79907093000003</v>
      </c>
      <c r="DQ11" s="1">
        <f t="shared" si="55"/>
        <v>139.50839808000001</v>
      </c>
      <c r="DR11" s="1">
        <f t="shared" si="56"/>
        <v>204.61331192999998</v>
      </c>
      <c r="DS11" s="1">
        <f t="shared" si="57"/>
        <v>782.83544900999993</v>
      </c>
      <c r="DT11" s="1">
        <f t="shared" si="58"/>
        <v>245.60389047000001</v>
      </c>
      <c r="DU11" s="1">
        <f t="shared" si="59"/>
        <v>59.575990539999999</v>
      </c>
      <c r="DV11" s="559">
        <f t="shared" si="60"/>
        <v>0</v>
      </c>
      <c r="DX11" s="1">
        <f t="shared" si="61"/>
        <v>21.836344190000002</v>
      </c>
      <c r="DY11" s="1">
        <f t="shared" si="62"/>
        <v>12.885164050000002</v>
      </c>
      <c r="DZ11" s="1">
        <f t="shared" si="63"/>
        <v>22.650184889999998</v>
      </c>
      <c r="EA11" s="1">
        <f t="shared" si="64"/>
        <v>2.2231296600000001</v>
      </c>
      <c r="EB11" s="1">
        <f t="shared" si="65"/>
        <v>26.138777139999995</v>
      </c>
      <c r="EC11" s="1">
        <f t="shared" si="66"/>
        <v>9.0850364800000012</v>
      </c>
      <c r="ED11" s="1">
        <f t="shared" si="67"/>
        <v>14.890541599999999</v>
      </c>
      <c r="EE11" s="1">
        <f t="shared" si="68"/>
        <v>37.547300109999995</v>
      </c>
      <c r="EF11" s="2">
        <f t="shared" si="69"/>
        <v>2.3328175600000001</v>
      </c>
      <c r="EG11" s="2">
        <f t="shared" si="70"/>
        <v>4.0257753599999999</v>
      </c>
      <c r="EH11" s="1">
        <f t="shared" si="71"/>
        <v>110.27094036</v>
      </c>
      <c r="EI11" s="1">
        <f t="shared" si="72"/>
        <v>33.959100280000001</v>
      </c>
      <c r="EJ11" s="514">
        <f t="shared" si="73"/>
        <v>5.2539300000000004E-2</v>
      </c>
      <c r="EK11" s="1">
        <f t="shared" si="74"/>
        <v>2.7807700300000002</v>
      </c>
      <c r="EL11" s="7">
        <f t="shared" si="75"/>
        <v>2.0315311500000002</v>
      </c>
      <c r="EM11" s="1">
        <f t="shared" si="76"/>
        <v>11.45753318</v>
      </c>
      <c r="EN11" s="2">
        <f t="shared" si="77"/>
        <v>18.73458935</v>
      </c>
      <c r="EO11" s="7">
        <f t="shared" si="78"/>
        <v>0.92337464000000014</v>
      </c>
    </row>
    <row r="12" spans="1:145" ht="14.4">
      <c r="A12" s="474">
        <v>2025</v>
      </c>
      <c r="B12" s="471">
        <f>SUM(datos!JF118:JF125)</f>
        <v>67.837280930000006</v>
      </c>
      <c r="C12" s="471">
        <f>SUM(datos!JG118:JG125)</f>
        <v>325.49615694000005</v>
      </c>
      <c r="D12" s="471">
        <f>SUM(datos!JH118:JH125)</f>
        <v>1051.9228437100001</v>
      </c>
      <c r="E12" s="471">
        <f>SUM(datos!JI118:JI125)</f>
        <v>1942.0605306300001</v>
      </c>
      <c r="F12" s="471">
        <f>SUM(datos!JJ118:JJ125)</f>
        <v>6019.2394049200002</v>
      </c>
      <c r="G12" s="471">
        <f>SUM(datos!JK118:JK125)</f>
        <v>864.23814327000002</v>
      </c>
      <c r="H12" s="471">
        <f>SUM(datos!JL118:JL125)</f>
        <v>17524.545944000001</v>
      </c>
      <c r="I12" s="471">
        <f>SUM(datos!JM118:JM125)</f>
        <v>305.37148580000002</v>
      </c>
      <c r="J12" s="471">
        <f>SUM(datos!JN118:JN125)</f>
        <v>2877.0391080700001</v>
      </c>
      <c r="K12" s="471">
        <f>SUM(datos!JO118:JO125)</f>
        <v>249.51668449000002</v>
      </c>
      <c r="L12" s="471">
        <f>SUM(datos!JP118:JP125)</f>
        <v>0</v>
      </c>
      <c r="M12" s="471">
        <f>SUM(datos!JQ118:JQ125)</f>
        <v>23.455810449999998</v>
      </c>
      <c r="N12" s="471">
        <f>SUM(datos!JR118:JR125)</f>
        <v>11.667496790000001</v>
      </c>
      <c r="O12" s="471">
        <f>SUM(datos!JS118:JS125)</f>
        <v>0</v>
      </c>
      <c r="P12" s="471">
        <f>SUM(datos!JT118:JT125)</f>
        <v>2.4424909399999999</v>
      </c>
      <c r="Q12" s="471">
        <f>SUM(datos!JU118:JU125)</f>
        <v>610.25239127999998</v>
      </c>
      <c r="R12" s="471">
        <f>SUM(datos!JV118:JV125)</f>
        <v>91.906327509999997</v>
      </c>
      <c r="S12" s="471">
        <f>SUM(datos!JW118:JW125)</f>
        <v>245.50904173000001</v>
      </c>
      <c r="T12" s="471">
        <f>SUM(datos!JX118:JX125)</f>
        <v>251.41132356</v>
      </c>
      <c r="U12" s="471">
        <f>SUM(datos!JY118:JY125)</f>
        <v>0</v>
      </c>
      <c r="V12" s="471">
        <f>SUM(datos!JZ118:JZ125)</f>
        <v>81.388274160000009</v>
      </c>
      <c r="W12" s="471">
        <f>SUM(datos!KA118:KA125)</f>
        <v>1.6403051</v>
      </c>
      <c r="X12" s="471">
        <f>SUM(datos!KB118:KB125)</f>
        <v>104.92459273000001</v>
      </c>
      <c r="Y12" s="471">
        <f>SUM(datos!KC118:KC125)</f>
        <v>364.61010744999999</v>
      </c>
      <c r="Z12" s="471">
        <f>SUM(datos!KD118:KD125)</f>
        <v>74.72402224999999</v>
      </c>
      <c r="AA12" s="471">
        <f>SUM(datos!KE118:KE125)</f>
        <v>160.61636449999997</v>
      </c>
      <c r="AB12" s="471">
        <f>SUM(datos!KF118:KF125)</f>
        <v>57.796365819999998</v>
      </c>
      <c r="AC12" s="471">
        <f>SUM(datos!KG118:KG125)</f>
        <v>3062.1674079999993</v>
      </c>
      <c r="AD12" s="471">
        <f>SUM(datos!KH118:KH125)</f>
        <v>1111.74604628</v>
      </c>
      <c r="AE12" s="471">
        <f>SUM(datos!KI118:KI125)</f>
        <v>166.30927546999999</v>
      </c>
      <c r="AF12" s="471">
        <f>SUM(datos!KJ118:KJ125)</f>
        <v>17.024898269999998</v>
      </c>
      <c r="AG12" s="471">
        <f>SUM(datos!KK118:KK125)</f>
        <v>76.923617169999986</v>
      </c>
      <c r="AH12" s="471">
        <f>SUM(datos!KL118:KL125)</f>
        <v>2.8490506600000005</v>
      </c>
      <c r="AI12" s="471">
        <f>SUM(datos!KM118:KM125)</f>
        <v>4.1497097500000004</v>
      </c>
      <c r="AJ12" s="471">
        <f>SUM(datos!KN118:KN125)</f>
        <v>8.0832057800000001</v>
      </c>
      <c r="AK12" s="471">
        <f>SUM(datos!KO118:KO125)</f>
        <v>21.025494299999998</v>
      </c>
      <c r="AL12" s="471">
        <f>SUM(datos!KP118:KP125)</f>
        <v>1.5462053700000002</v>
      </c>
      <c r="AM12" s="471">
        <f>SUM(datos!KQ118:KQ125)</f>
        <v>1857.8050250900001</v>
      </c>
      <c r="AN12" s="471">
        <f>SUM(datos!KR118:KR125)</f>
        <v>0.28206924</v>
      </c>
      <c r="AO12" s="471">
        <f>SUM(datos!KS118:KS125)</f>
        <v>1.2233005100000001</v>
      </c>
      <c r="AP12" s="471">
        <f>SUM(datos!KT118:KT125)</f>
        <v>7.0975333599999999</v>
      </c>
      <c r="AQ12" s="471">
        <f>SUM(datos!KU118:KU125)</f>
        <v>2.1868104399999999</v>
      </c>
      <c r="AR12" s="471">
        <f>SUM(datos!KV118:KV125)</f>
        <v>0.1993723</v>
      </c>
      <c r="AS12" s="471">
        <f>SUM(datos!KW118:KW125)</f>
        <v>9.3149079299999986</v>
      </c>
      <c r="AT12" s="471">
        <f>SUM(datos!KX118:KX125)</f>
        <v>0</v>
      </c>
      <c r="AU12" s="471">
        <f>SUM(datos!KY118:KY125)</f>
        <v>8.3700000000000007E-3</v>
      </c>
      <c r="AV12" s="471">
        <f>SUM(datos!KZ118:KZ125)</f>
        <v>24.642074090000001</v>
      </c>
      <c r="AW12" s="471">
        <f>SUM(datos!LA118:LA125)</f>
        <v>4.16668927</v>
      </c>
      <c r="AX12" s="471">
        <f>SUM(datos!LB118:LB125)</f>
        <v>0.27319727999999999</v>
      </c>
      <c r="AY12" s="471">
        <f>SUM(datos!LC118:LC125)</f>
        <v>11.656038280000001</v>
      </c>
      <c r="AZ12" s="471">
        <f>SUM(datos!LD118:LD125)</f>
        <v>0</v>
      </c>
      <c r="BA12" s="471">
        <f>SUM(datos!LE118:LE125)</f>
        <v>4.49724111</v>
      </c>
      <c r="BB12" s="471">
        <f>SUM(datos!LF118:LF125)</f>
        <v>1.39725988</v>
      </c>
      <c r="BC12" s="471">
        <f>SUM(datos!LG118:LG125)</f>
        <v>120.56186182</v>
      </c>
      <c r="BD12" s="471">
        <f>SUM(datos!LH118:LH125)</f>
        <v>34.164903850000002</v>
      </c>
      <c r="BE12" s="471">
        <f>SUM(datos!LI118:LI125)</f>
        <v>17.123049159999997</v>
      </c>
      <c r="BF12" s="471">
        <f>SUM(datos!LJ118:LJ125)</f>
        <v>4.5226870000000002E-2</v>
      </c>
      <c r="BG12" s="471">
        <f>SUM(datos!LK118:LK125)</f>
        <v>26.151564440000001</v>
      </c>
      <c r="BH12" s="471">
        <f>SUM(datos!LL118:LL125)</f>
        <v>67.500706519999994</v>
      </c>
      <c r="BI12" s="471">
        <f>SUM(datos!LM118:LM125)</f>
        <v>20.243998940000001</v>
      </c>
      <c r="BJ12" s="471">
        <f>SUM(datos!LN118:LN125)</f>
        <v>1.2200566200000003</v>
      </c>
      <c r="BK12" s="471">
        <f>SUM(datos!LO118:LO125)</f>
        <v>117.52478782999999</v>
      </c>
      <c r="BL12" s="471"/>
      <c r="BM12">
        <v>2025</v>
      </c>
      <c r="BN12" s="1">
        <f t="shared" si="20"/>
        <v>67.837280930000006</v>
      </c>
      <c r="BO12" s="1">
        <f t="shared" si="21"/>
        <v>325.49615694000005</v>
      </c>
      <c r="BP12" s="1">
        <f t="shared" si="22"/>
        <v>29720.179317129998</v>
      </c>
      <c r="BQ12" s="1">
        <f t="shared" si="23"/>
        <v>864.23814327000002</v>
      </c>
      <c r="BR12" s="1">
        <f t="shared" si="24"/>
        <v>249.51668449000002</v>
      </c>
      <c r="BS12" s="559">
        <f t="shared" si="25"/>
        <v>0</v>
      </c>
      <c r="BT12" s="1">
        <f t="shared" si="26"/>
        <v>37.565798180000002</v>
      </c>
      <c r="BU12" s="1">
        <f t="shared" si="27"/>
        <v>610.25239127999998</v>
      </c>
      <c r="BV12" s="1">
        <f t="shared" si="28"/>
        <v>337.41536924000002</v>
      </c>
      <c r="BW12" s="1">
        <f t="shared" si="29"/>
        <v>334.43990281999999</v>
      </c>
      <c r="BX12" s="1">
        <f t="shared" si="30"/>
        <v>104.92459273000001</v>
      </c>
      <c r="BY12" s="1">
        <f t="shared" si="31"/>
        <v>364.61010744999999</v>
      </c>
      <c r="BZ12" s="1">
        <f t="shared" si="32"/>
        <v>74.72402224999999</v>
      </c>
      <c r="CA12" s="1">
        <f t="shared" si="33"/>
        <v>160.61636449999997</v>
      </c>
      <c r="CB12" s="1">
        <f t="shared" si="34"/>
        <v>57.796365819999998</v>
      </c>
      <c r="CC12" s="1">
        <f t="shared" si="35"/>
        <v>3062.1674079999993</v>
      </c>
      <c r="CD12" s="1">
        <f t="shared" si="36"/>
        <v>1111.74604628</v>
      </c>
      <c r="CE12" s="1">
        <f t="shared" si="37"/>
        <v>166.30927546999999</v>
      </c>
      <c r="CF12" s="1">
        <f t="shared" si="38"/>
        <v>17.024898269999998</v>
      </c>
      <c r="CG12" s="1">
        <f t="shared" si="39"/>
        <v>37666.860125049985</v>
      </c>
      <c r="CH12" s="1">
        <f t="shared" si="40"/>
        <v>7946.6808079199873</v>
      </c>
      <c r="CI12" s="1">
        <f t="shared" si="1"/>
        <v>76.923617169999986</v>
      </c>
      <c r="CJ12" s="7">
        <f t="shared" si="2"/>
        <v>2.8490506600000005</v>
      </c>
      <c r="CK12" s="1">
        <f t="shared" si="3"/>
        <v>1892.56880467</v>
      </c>
      <c r="CL12" s="7">
        <f t="shared" si="4"/>
        <v>1.5462053700000002</v>
      </c>
      <c r="CM12" s="1">
        <f t="shared" si="5"/>
        <v>7.0975333599999999</v>
      </c>
      <c r="CN12" s="7">
        <f t="shared" si="6"/>
        <v>2.1868104399999999</v>
      </c>
      <c r="CO12" s="2">
        <f t="shared" si="7"/>
        <v>9.5226502299999982</v>
      </c>
      <c r="CP12" s="1">
        <f t="shared" si="8"/>
        <v>24.642074090000001</v>
      </c>
      <c r="CQ12" s="2">
        <f t="shared" si="9"/>
        <v>4.4398865499999998</v>
      </c>
      <c r="CR12" s="2">
        <f t="shared" si="10"/>
        <v>17.550539270000002</v>
      </c>
      <c r="CS12" s="1">
        <f t="shared" si="11"/>
        <v>120.56186182</v>
      </c>
      <c r="CT12" s="1">
        <f t="shared" si="12"/>
        <v>34.164903850000002</v>
      </c>
      <c r="CU12" s="1">
        <f t="shared" si="13"/>
        <v>17.123049159999997</v>
      </c>
      <c r="CV12" s="514">
        <f t="shared" si="14"/>
        <v>4.5226870000000002E-2</v>
      </c>
      <c r="CW12" s="1">
        <f t="shared" si="15"/>
        <v>26.151564440000001</v>
      </c>
      <c r="CX12" s="1">
        <f t="shared" si="16"/>
        <v>67.500706519999994</v>
      </c>
      <c r="CY12" s="1">
        <f t="shared" si="17"/>
        <v>20.243998940000001</v>
      </c>
      <c r="CZ12" s="1">
        <f t="shared" si="18"/>
        <v>1.2200566200000003</v>
      </c>
      <c r="DA12" s="1">
        <f t="shared" si="19"/>
        <v>117.52478782999999</v>
      </c>
      <c r="DB12" s="1">
        <f t="shared" si="41"/>
        <v>2443.8633278600005</v>
      </c>
      <c r="DC12" s="1">
        <f t="shared" si="42"/>
        <v>551.29452319000052</v>
      </c>
      <c r="DD12">
        <v>2025</v>
      </c>
      <c r="DE12" s="1">
        <f t="shared" si="43"/>
        <v>3062.1674079999993</v>
      </c>
      <c r="DF12" s="1">
        <f t="shared" si="44"/>
        <v>1111.74604628</v>
      </c>
      <c r="DG12" s="1">
        <f t="shared" si="45"/>
        <v>57.796365819999998</v>
      </c>
      <c r="DH12" s="1">
        <f t="shared" si="46"/>
        <v>166.30927546999999</v>
      </c>
      <c r="DI12" s="1">
        <f t="shared" si="47"/>
        <v>17.024898269999998</v>
      </c>
      <c r="DJ12" s="1">
        <f t="shared" si="48"/>
        <v>610.25239127999998</v>
      </c>
      <c r="DK12" s="1">
        <f t="shared" si="49"/>
        <v>74.72402224999999</v>
      </c>
      <c r="DL12" s="1">
        <f t="shared" si="50"/>
        <v>67.837280930000006</v>
      </c>
      <c r="DM12" s="1">
        <f t="shared" si="51"/>
        <v>337.41536924000002</v>
      </c>
      <c r="DN12" s="1">
        <f t="shared" si="52"/>
        <v>334.43990281999999</v>
      </c>
      <c r="DO12" s="1">
        <f t="shared" si="53"/>
        <v>104.92459273000001</v>
      </c>
      <c r="DP12" s="1">
        <f t="shared" si="54"/>
        <v>364.61010744999999</v>
      </c>
      <c r="DQ12" s="1">
        <f t="shared" si="55"/>
        <v>160.61636449999997</v>
      </c>
      <c r="DR12" s="1">
        <f t="shared" si="56"/>
        <v>325.49615694000005</v>
      </c>
      <c r="DS12" s="1">
        <f t="shared" si="57"/>
        <v>864.23814327000002</v>
      </c>
      <c r="DT12" s="1">
        <f t="shared" si="58"/>
        <v>249.51668449000002</v>
      </c>
      <c r="DU12" s="1">
        <f t="shared" si="59"/>
        <v>37.565798180000002</v>
      </c>
      <c r="DV12" s="559">
        <f t="shared" si="60"/>
        <v>0</v>
      </c>
      <c r="DX12" s="1">
        <f t="shared" si="61"/>
        <v>67.500706519999994</v>
      </c>
      <c r="DY12" s="1">
        <f t="shared" si="62"/>
        <v>20.243998940000001</v>
      </c>
      <c r="DZ12" s="1">
        <f t="shared" si="63"/>
        <v>26.151564440000001</v>
      </c>
      <c r="EA12" s="1">
        <f t="shared" si="64"/>
        <v>1.2200566200000003</v>
      </c>
      <c r="EB12" s="1">
        <f t="shared" si="65"/>
        <v>117.52478782999999</v>
      </c>
      <c r="EC12" s="1">
        <f t="shared" si="66"/>
        <v>24.642074090000001</v>
      </c>
      <c r="ED12" s="1">
        <f t="shared" si="67"/>
        <v>17.123049159999997</v>
      </c>
      <c r="EE12" s="1">
        <f t="shared" si="68"/>
        <v>76.923617169999986</v>
      </c>
      <c r="EF12" s="2">
        <f t="shared" si="69"/>
        <v>4.4398865499999998</v>
      </c>
      <c r="EG12" s="2">
        <f t="shared" si="70"/>
        <v>17.550539270000002</v>
      </c>
      <c r="EH12" s="1">
        <f t="shared" si="71"/>
        <v>120.56186182</v>
      </c>
      <c r="EI12" s="1">
        <f t="shared" si="72"/>
        <v>34.164903850000002</v>
      </c>
      <c r="EJ12" s="514">
        <f t="shared" si="73"/>
        <v>4.5226870000000002E-2</v>
      </c>
      <c r="EK12" s="1">
        <f t="shared" si="74"/>
        <v>2.8490506600000005</v>
      </c>
      <c r="EL12" s="7">
        <f t="shared" si="75"/>
        <v>1.5462053700000002</v>
      </c>
      <c r="EM12" s="1">
        <f t="shared" si="76"/>
        <v>7.0975333599999999</v>
      </c>
      <c r="EN12" s="2">
        <f t="shared" si="77"/>
        <v>9.5226502299999982</v>
      </c>
      <c r="EO12" s="7">
        <f t="shared" si="78"/>
        <v>2.1868104399999999</v>
      </c>
    </row>
    <row r="13" spans="1:145" ht="14.4">
      <c r="A13" s="474">
        <v>2026</v>
      </c>
      <c r="B13" s="471">
        <f>SUM(datos!JF130:JF137)</f>
        <v>120.85209735999999</v>
      </c>
      <c r="C13" s="471">
        <f>SUM(datos!JG130:JG137)</f>
        <v>293.97749709999999</v>
      </c>
      <c r="D13" s="471">
        <f>SUM(datos!JH130:JH137)</f>
        <v>1506.6423092299999</v>
      </c>
      <c r="E13" s="471">
        <f>SUM(datos!JI130:JI137)</f>
        <v>3878.3830515200002</v>
      </c>
      <c r="F13" s="471">
        <f>SUM(datos!JJ130:JJ137)</f>
        <v>6943.3568341099999</v>
      </c>
      <c r="G13" s="471">
        <f>SUM(datos!JK130:JK137)</f>
        <v>867.33654065999997</v>
      </c>
      <c r="H13" s="471">
        <f>SUM(datos!JL130:JL137)</f>
        <v>17983.64716335</v>
      </c>
      <c r="I13" s="471">
        <f>SUM(datos!JM130:JM137)</f>
        <v>251.89072631000002</v>
      </c>
      <c r="J13" s="471">
        <f>SUM(datos!JN130:JN137)</f>
        <v>3496.6112906699996</v>
      </c>
      <c r="K13" s="471">
        <f>SUM(datos!JO130:JO137)</f>
        <v>259.05938040000001</v>
      </c>
      <c r="L13" s="471">
        <f>SUM(datos!JP130:JP137)</f>
        <v>0</v>
      </c>
      <c r="M13" s="471">
        <f>SUM(datos!JQ130:JQ137)</f>
        <v>35.992725480000004</v>
      </c>
      <c r="N13" s="471">
        <f>SUM(datos!JR130:JR137)</f>
        <v>9.4562229600000016</v>
      </c>
      <c r="O13" s="471">
        <f>SUM(datos!JS130:JS137)</f>
        <v>0</v>
      </c>
      <c r="P13" s="471">
        <f>SUM(datos!JT130:JT137)</f>
        <v>2.63152016</v>
      </c>
      <c r="Q13" s="471">
        <f>SUM(datos!JU130:JU137)</f>
        <v>546.33288755000001</v>
      </c>
      <c r="R13" s="471">
        <f>SUM(datos!JV130:JV137)</f>
        <v>70.921214249999991</v>
      </c>
      <c r="S13" s="471">
        <f>SUM(datos!JW130:JW137)</f>
        <v>257.02516697999999</v>
      </c>
      <c r="T13" s="471">
        <f>SUM(datos!JX130:JX137)</f>
        <v>378.91407606999996</v>
      </c>
      <c r="U13" s="471">
        <f>SUM(datos!JY130:JY137)</f>
        <v>0</v>
      </c>
      <c r="V13" s="471">
        <f>SUM(datos!JZ130:JZ137)</f>
        <v>50.371074339999993</v>
      </c>
      <c r="W13" s="471">
        <f>SUM(datos!KA130:KA137)</f>
        <v>5.5566309599999997</v>
      </c>
      <c r="X13" s="471">
        <f>SUM(datos!KB130:KB137)</f>
        <v>134.14277116000002</v>
      </c>
      <c r="Y13" s="471">
        <f>SUM(datos!KC130:KC137)</f>
        <v>402.16041238999998</v>
      </c>
      <c r="Z13" s="471">
        <f>SUM(datos!KD130:KD137)</f>
        <v>78.96588319</v>
      </c>
      <c r="AA13" s="471">
        <f>SUM(datos!KE130:KE137)</f>
        <v>244.39321285</v>
      </c>
      <c r="AB13" s="471">
        <f>SUM(datos!KF130:KF137)</f>
        <v>67.080907800000006</v>
      </c>
      <c r="AC13" s="471">
        <f>SUM(datos!KG130:KG137)</f>
        <v>4123.6159224400008</v>
      </c>
      <c r="AD13" s="471">
        <f>SUM(datos!KH130:KH137)</f>
        <v>1202.1986905900001</v>
      </c>
      <c r="AE13" s="471">
        <f>SUM(datos!KI130:KI137)</f>
        <v>271.10130197000001</v>
      </c>
      <c r="AF13" s="471">
        <f>SUM(datos!KJ130:KJ137)</f>
        <v>26.464584509999998</v>
      </c>
      <c r="AG13" s="471">
        <f>SUM(datos!KK130:KK137)</f>
        <v>46.811962360000003</v>
      </c>
      <c r="AH13" s="471">
        <f>SUM(datos!KL130:KL137)</f>
        <v>1.29669575</v>
      </c>
      <c r="AI13" s="471">
        <f>SUM(datos!KM130:KM137)</f>
        <v>7.4292676799999997</v>
      </c>
      <c r="AJ13" s="471">
        <f>SUM(datos!KN130:KN137)</f>
        <v>22.081725490000004</v>
      </c>
      <c r="AK13" s="471">
        <f>SUM(datos!KO130:KO137)</f>
        <v>12.949784380000001</v>
      </c>
      <c r="AL13" s="471">
        <f>SUM(datos!KP130:KP137)</f>
        <v>0.56651940000000001</v>
      </c>
      <c r="AM13" s="471">
        <f>SUM(datos!KQ130:KQ137)</f>
        <v>2728.7972215200002</v>
      </c>
      <c r="AN13" s="471">
        <f>SUM(datos!KR130:KR137)</f>
        <v>0.90826800000000008</v>
      </c>
      <c r="AO13" s="471">
        <f>SUM(datos!KS130:KS137)</f>
        <v>6.8774044199999995</v>
      </c>
      <c r="AP13" s="471">
        <f>SUM(datos!KT130:KT137)</f>
        <v>17.760966970000002</v>
      </c>
      <c r="AQ13" s="471">
        <f>SUM(datos!KU130:KU137)</f>
        <v>7.17635106</v>
      </c>
      <c r="AR13" s="471">
        <f>SUM(datos!KV130:KV137)</f>
        <v>4.6977096100000004</v>
      </c>
      <c r="AS13" s="471">
        <f>SUM(datos!KW130:KW137)</f>
        <v>9.670017249999999</v>
      </c>
      <c r="AT13" s="471">
        <f>SUM(datos!KX130:KX137)</f>
        <v>0</v>
      </c>
      <c r="AU13" s="471">
        <f>SUM(datos!KY130:KY137)</f>
        <v>0</v>
      </c>
      <c r="AV13" s="471">
        <f>SUM(datos!KZ130:KZ137)</f>
        <v>25.2653523</v>
      </c>
      <c r="AW13" s="471">
        <f>SUM(datos!LA130:LA137)</f>
        <v>5.7967527299999997</v>
      </c>
      <c r="AX13" s="471">
        <f>SUM(datos!LB130:LB137)</f>
        <v>0.31346319999999994</v>
      </c>
      <c r="AY13" s="471">
        <f>SUM(datos!LC130:LC137)</f>
        <v>2.8013896800000002</v>
      </c>
      <c r="AZ13" s="471">
        <f>SUM(datos!LD130:LD137)</f>
        <v>0</v>
      </c>
      <c r="BA13" s="471">
        <f>SUM(datos!LE130:LE137)</f>
        <v>2.9208750399999999</v>
      </c>
      <c r="BB13" s="471">
        <f>SUM(datos!LF130:LF137)</f>
        <v>1.01508091</v>
      </c>
      <c r="BC13" s="471">
        <f>SUM(datos!LG130:LG137)</f>
        <v>128.30660132999998</v>
      </c>
      <c r="BD13" s="471">
        <f>SUM(datos!LH130:LH137)</f>
        <v>35.879581709999997</v>
      </c>
      <c r="BE13" s="471">
        <f>SUM(datos!LI130:LI137)</f>
        <v>15.531359689999999</v>
      </c>
      <c r="BF13" s="471">
        <f>SUM(datos!LJ130:LJ137)</f>
        <v>6.2559E-3</v>
      </c>
      <c r="BG13" s="471">
        <f>SUM(datos!LK130:LK137)</f>
        <v>29.704679079999995</v>
      </c>
      <c r="BH13" s="471">
        <f>SUM(datos!LL130:LL137)</f>
        <v>123.26888067</v>
      </c>
      <c r="BI13" s="471">
        <f>SUM(datos!LM130:LM137)</f>
        <v>21.562200539999999</v>
      </c>
      <c r="BJ13" s="471">
        <f>SUM(datos!LN130:LN137)</f>
        <v>1.5229212299999999</v>
      </c>
      <c r="BK13" s="471">
        <f>SUM(datos!LO130:LO137)</f>
        <v>126.85550133999999</v>
      </c>
      <c r="BL13" s="471"/>
      <c r="BM13">
        <v>2026</v>
      </c>
      <c r="BN13" s="1">
        <f t="shared" ref="BN13" si="79">B13</f>
        <v>120.85209735999999</v>
      </c>
      <c r="BO13" s="1">
        <f>C13</f>
        <v>293.97749709999999</v>
      </c>
      <c r="BP13" s="1">
        <f t="shared" ref="BP13" si="80">SUM(D13:F13,H13:J13)</f>
        <v>34060.531375189996</v>
      </c>
      <c r="BQ13" s="1">
        <f t="shared" ref="BQ13" si="81">G13</f>
        <v>867.33654065999997</v>
      </c>
      <c r="BR13" s="1">
        <f t="shared" ref="BR13" si="82">K13</f>
        <v>259.05938040000001</v>
      </c>
      <c r="BS13" s="559">
        <f t="shared" ref="BS13" si="83">L13</f>
        <v>0</v>
      </c>
      <c r="BT13" s="1">
        <f t="shared" ref="BT13" si="84">SUM(M13:P13)</f>
        <v>48.08046860000001</v>
      </c>
      <c r="BU13" s="1">
        <f t="shared" ref="BU13" si="85">Q13</f>
        <v>546.33288755000001</v>
      </c>
      <c r="BV13" s="1">
        <f t="shared" ref="BV13" si="86">SUM(R13:S13)</f>
        <v>327.94638122999999</v>
      </c>
      <c r="BW13" s="1">
        <f t="shared" ref="BW13" si="87">SUM(T13:W13)</f>
        <v>434.84178136999998</v>
      </c>
      <c r="BX13" s="1">
        <f t="shared" ref="BX13" si="88">X13</f>
        <v>134.14277116000002</v>
      </c>
      <c r="BY13" s="1">
        <f t="shared" ref="BY13" si="89">Y13</f>
        <v>402.16041238999998</v>
      </c>
      <c r="BZ13" s="1">
        <f t="shared" ref="BZ13" si="90">Z13</f>
        <v>78.96588319</v>
      </c>
      <c r="CA13" s="1">
        <f t="shared" ref="CA13" si="91">AA13</f>
        <v>244.39321285</v>
      </c>
      <c r="CB13" s="1">
        <f t="shared" ref="CB13" si="92">AB13</f>
        <v>67.080907800000006</v>
      </c>
      <c r="CC13" s="1">
        <f t="shared" ref="CC13" si="93">AC13</f>
        <v>4123.6159224400008</v>
      </c>
      <c r="CD13" s="1">
        <f t="shared" ref="CD13" si="94">AD13</f>
        <v>1202.1986905900001</v>
      </c>
      <c r="CE13" s="1">
        <f t="shared" ref="CE13" si="95">AE13</f>
        <v>271.10130197000001</v>
      </c>
      <c r="CF13" s="1">
        <f t="shared" ref="CF13" si="96">AF13</f>
        <v>26.464584509999998</v>
      </c>
      <c r="CG13" s="1">
        <f t="shared" si="39"/>
        <v>43509.082096360005</v>
      </c>
      <c r="CH13" s="1">
        <f t="shared" si="40"/>
        <v>9448.5507211700096</v>
      </c>
      <c r="CI13" s="1">
        <f t="shared" si="1"/>
        <v>46.811962360000003</v>
      </c>
      <c r="CJ13" s="7">
        <f t="shared" si="2"/>
        <v>1.29669575</v>
      </c>
      <c r="CK13" s="1">
        <f t="shared" si="3"/>
        <v>2779.0436714900002</v>
      </c>
      <c r="CL13" s="7">
        <f t="shared" si="4"/>
        <v>0.56651940000000001</v>
      </c>
      <c r="CM13" s="1">
        <f t="shared" si="5"/>
        <v>17.760966970000002</v>
      </c>
      <c r="CN13" s="7">
        <f t="shared" si="6"/>
        <v>7.17635106</v>
      </c>
      <c r="CO13" s="2">
        <f t="shared" si="7"/>
        <v>14.367726859999999</v>
      </c>
      <c r="CP13" s="1">
        <f t="shared" si="8"/>
        <v>25.2653523</v>
      </c>
      <c r="CQ13" s="2">
        <f t="shared" si="9"/>
        <v>6.1102159299999999</v>
      </c>
      <c r="CR13" s="2">
        <f t="shared" si="10"/>
        <v>6.7373456300000001</v>
      </c>
      <c r="CS13" s="1">
        <f t="shared" si="11"/>
        <v>128.30660132999998</v>
      </c>
      <c r="CT13" s="1">
        <f t="shared" si="12"/>
        <v>35.879581709999997</v>
      </c>
      <c r="CU13" s="1">
        <f t="shared" si="13"/>
        <v>15.531359689999999</v>
      </c>
      <c r="CV13" s="559">
        <f t="shared" si="14"/>
        <v>6.2559E-3</v>
      </c>
      <c r="CW13" s="1">
        <f t="shared" si="15"/>
        <v>29.704679079999995</v>
      </c>
      <c r="CX13" s="1">
        <f t="shared" si="16"/>
        <v>123.26888067</v>
      </c>
      <c r="CY13" s="1">
        <f t="shared" si="17"/>
        <v>21.562200539999999</v>
      </c>
      <c r="CZ13" s="1">
        <f t="shared" si="18"/>
        <v>1.5229212299999999</v>
      </c>
      <c r="DA13" s="1">
        <f t="shared" si="19"/>
        <v>126.85550133999999</v>
      </c>
      <c r="DB13" s="1">
        <f t="shared" ref="DB13" si="97">SUM(CI13:DA13)</f>
        <v>3387.7747892399993</v>
      </c>
      <c r="DC13" s="1">
        <f t="shared" ref="DC13" si="98">DB13-CK13</f>
        <v>608.73111774999916</v>
      </c>
      <c r="DD13">
        <v>2026</v>
      </c>
      <c r="DE13" s="1">
        <f t="shared" si="43"/>
        <v>4123.6159224400008</v>
      </c>
      <c r="DF13" s="1">
        <f t="shared" si="44"/>
        <v>1202.1986905900001</v>
      </c>
      <c r="DG13" s="1">
        <f t="shared" si="45"/>
        <v>67.080907800000006</v>
      </c>
      <c r="DH13" s="1">
        <f t="shared" si="46"/>
        <v>271.10130197000001</v>
      </c>
      <c r="DI13" s="1">
        <f t="shared" si="47"/>
        <v>26.464584509999998</v>
      </c>
      <c r="DJ13" s="1">
        <f t="shared" si="48"/>
        <v>546.33288755000001</v>
      </c>
      <c r="DK13" s="1">
        <f t="shared" si="49"/>
        <v>78.96588319</v>
      </c>
      <c r="DL13" s="1">
        <f t="shared" si="50"/>
        <v>120.85209735999999</v>
      </c>
      <c r="DM13" s="1">
        <f t="shared" si="51"/>
        <v>327.94638122999999</v>
      </c>
      <c r="DN13" s="1">
        <f t="shared" si="52"/>
        <v>434.84178136999998</v>
      </c>
      <c r="DO13" s="1">
        <f t="shared" si="53"/>
        <v>134.14277116000002</v>
      </c>
      <c r="DP13" s="1">
        <f t="shared" si="54"/>
        <v>402.16041238999998</v>
      </c>
      <c r="DQ13" s="1">
        <f t="shared" si="55"/>
        <v>244.39321285</v>
      </c>
      <c r="DR13" s="1">
        <f t="shared" si="56"/>
        <v>293.97749709999999</v>
      </c>
      <c r="DS13" s="1">
        <f t="shared" si="57"/>
        <v>867.33654065999997</v>
      </c>
      <c r="DT13" s="1">
        <f t="shared" si="58"/>
        <v>259.05938040000001</v>
      </c>
      <c r="DU13" s="1">
        <f t="shared" si="59"/>
        <v>48.08046860000001</v>
      </c>
      <c r="DV13" s="559">
        <f t="shared" si="60"/>
        <v>0</v>
      </c>
      <c r="DX13" s="1">
        <f t="shared" si="61"/>
        <v>123.26888067</v>
      </c>
      <c r="DY13" s="1">
        <f t="shared" si="62"/>
        <v>21.562200539999999</v>
      </c>
      <c r="DZ13" s="1">
        <f t="shared" si="63"/>
        <v>29.704679079999995</v>
      </c>
      <c r="EA13" s="1">
        <f t="shared" si="64"/>
        <v>1.5229212299999999</v>
      </c>
      <c r="EB13" s="1">
        <f t="shared" si="65"/>
        <v>126.85550133999999</v>
      </c>
      <c r="EC13" s="1">
        <f t="shared" si="66"/>
        <v>25.2653523</v>
      </c>
      <c r="ED13" s="1">
        <f t="shared" si="67"/>
        <v>15.531359689999999</v>
      </c>
      <c r="EE13" s="1">
        <f t="shared" si="68"/>
        <v>46.811962360000003</v>
      </c>
      <c r="EF13" s="2">
        <f t="shared" si="69"/>
        <v>6.1102159299999999</v>
      </c>
      <c r="EG13" s="2">
        <f t="shared" si="70"/>
        <v>6.7373456300000001</v>
      </c>
      <c r="EH13" s="1">
        <f t="shared" si="71"/>
        <v>128.30660132999998</v>
      </c>
      <c r="EI13" s="1">
        <f t="shared" si="72"/>
        <v>35.879581709999997</v>
      </c>
      <c r="EJ13" s="514">
        <f t="shared" si="73"/>
        <v>6.2559E-3</v>
      </c>
      <c r="EK13" s="1">
        <f t="shared" si="74"/>
        <v>1.29669575</v>
      </c>
      <c r="EL13" s="7">
        <f t="shared" si="75"/>
        <v>0.56651940000000001</v>
      </c>
      <c r="EM13" s="1">
        <f t="shared" si="76"/>
        <v>17.760966970000002</v>
      </c>
      <c r="EN13" s="2">
        <f t="shared" si="77"/>
        <v>14.367726859999999</v>
      </c>
      <c r="EO13" s="7">
        <f t="shared" si="78"/>
        <v>7.17635106</v>
      </c>
    </row>
    <row r="14" spans="1:145" ht="14.4">
      <c r="A14" s="474"/>
      <c r="B14" s="471"/>
      <c r="C14" s="471"/>
      <c r="D14" s="471"/>
      <c r="E14" s="471"/>
      <c r="F14" s="471"/>
      <c r="G14" s="471"/>
      <c r="H14" s="471"/>
      <c r="I14" s="471"/>
      <c r="J14" s="471"/>
      <c r="K14" s="471"/>
      <c r="L14" s="471"/>
      <c r="M14" s="471"/>
      <c r="N14" s="471"/>
      <c r="O14" s="471"/>
      <c r="P14" s="471"/>
      <c r="Q14" s="471"/>
      <c r="R14" s="471"/>
      <c r="S14" s="471"/>
      <c r="T14" s="471"/>
      <c r="U14" s="471"/>
      <c r="V14" s="471"/>
      <c r="W14" s="471"/>
      <c r="X14" s="471"/>
      <c r="Y14" s="471"/>
      <c r="Z14" s="471"/>
      <c r="AA14" s="471"/>
      <c r="AB14" s="471"/>
      <c r="AC14" s="471"/>
      <c r="AD14" s="471"/>
      <c r="AE14" s="471"/>
      <c r="AF14" s="471"/>
      <c r="AG14" s="471"/>
      <c r="AH14" s="471"/>
      <c r="AI14" s="471"/>
      <c r="AJ14" s="471"/>
      <c r="AK14" s="471"/>
      <c r="AL14" s="471"/>
      <c r="AM14" s="471"/>
      <c r="AN14" s="471"/>
      <c r="AO14" s="471"/>
      <c r="AP14" s="471"/>
      <c r="AQ14" s="471"/>
      <c r="AR14" s="471"/>
      <c r="AS14" s="471"/>
      <c r="AT14" s="471"/>
      <c r="AU14" s="471"/>
      <c r="AV14" s="471"/>
      <c r="AW14" s="471"/>
      <c r="AX14" s="471"/>
      <c r="AY14" s="471"/>
      <c r="AZ14" s="471"/>
      <c r="BA14" s="471"/>
      <c r="BB14" s="471"/>
      <c r="BC14" s="471"/>
      <c r="BD14" s="471"/>
      <c r="BE14" s="471"/>
      <c r="BF14" s="471"/>
      <c r="BG14" s="471"/>
      <c r="BH14" s="471"/>
      <c r="BI14" s="471"/>
      <c r="BJ14" s="471"/>
      <c r="BK14" s="471"/>
      <c r="BL14" s="471"/>
      <c r="BN14" s="1"/>
      <c r="BO14" s="1"/>
      <c r="BP14" s="1"/>
      <c r="BQ14" s="1"/>
      <c r="BR14" s="1"/>
      <c r="BS14" s="559"/>
      <c r="BT14" s="1"/>
      <c r="BU14" s="1"/>
      <c r="BV14" s="1"/>
      <c r="BW14" s="1"/>
      <c r="BX14" s="1"/>
      <c r="BY14" s="1"/>
      <c r="BZ14" s="1"/>
      <c r="CA14" s="1"/>
      <c r="CB14" s="1"/>
      <c r="CC14" s="1"/>
      <c r="CD14" s="1"/>
      <c r="CE14" s="1"/>
      <c r="CF14" s="1"/>
      <c r="CG14" s="12">
        <f>CG13/CG12-1</f>
        <v>0.15510244156041852</v>
      </c>
      <c r="CH14" s="1"/>
      <c r="CI14" s="1"/>
      <c r="CJ14" s="7"/>
      <c r="CK14" s="1"/>
      <c r="CL14" s="7"/>
      <c r="CM14" s="1"/>
      <c r="CN14" s="7"/>
      <c r="CO14" s="2"/>
      <c r="CP14" s="1"/>
      <c r="CQ14" s="2"/>
      <c r="CR14" s="2"/>
      <c r="CS14" s="1"/>
      <c r="CT14" s="1"/>
      <c r="CU14" s="1"/>
      <c r="CV14" s="559"/>
      <c r="CW14" s="1"/>
      <c r="CX14" s="12"/>
      <c r="CY14" s="1"/>
      <c r="CZ14" s="1"/>
      <c r="DA14" s="12">
        <f>DA13/DA12-1</f>
        <v>7.9393578855014857E-2</v>
      </c>
      <c r="DB14" s="1"/>
      <c r="DC14" s="1"/>
    </row>
    <row r="15" spans="1:145" ht="14.4">
      <c r="A15" s="472"/>
      <c r="B15" s="471"/>
      <c r="C15" s="471"/>
      <c r="D15" s="471"/>
      <c r="E15" s="471"/>
      <c r="F15" s="471"/>
      <c r="G15" s="471"/>
      <c r="H15" s="471"/>
      <c r="I15" s="471"/>
      <c r="J15" s="471"/>
      <c r="K15" s="471"/>
      <c r="L15" s="471"/>
      <c r="M15" s="471"/>
      <c r="N15" s="471"/>
      <c r="O15" s="471"/>
      <c r="P15" s="471"/>
      <c r="Q15" s="471"/>
      <c r="R15" s="471"/>
      <c r="S15" s="471"/>
      <c r="T15" s="471"/>
      <c r="U15" s="471"/>
      <c r="V15" s="471"/>
      <c r="W15" s="471"/>
      <c r="X15" s="471"/>
      <c r="Y15" s="471"/>
      <c r="Z15" s="471"/>
      <c r="AA15" s="471"/>
      <c r="AB15" s="471"/>
      <c r="AC15" s="471"/>
      <c r="AD15" s="471"/>
      <c r="AE15" s="471"/>
      <c r="AF15" s="471"/>
      <c r="AG15" s="471"/>
      <c r="AH15" s="471"/>
      <c r="AI15" s="471"/>
      <c r="AJ15" s="471"/>
      <c r="AK15" s="471"/>
      <c r="AL15" s="471"/>
      <c r="AM15" s="471"/>
      <c r="AN15" s="471"/>
      <c r="AO15" s="471"/>
      <c r="AP15" s="471"/>
      <c r="AQ15" s="471"/>
      <c r="AR15" s="471"/>
      <c r="AS15" s="471"/>
      <c r="AT15" s="471"/>
      <c r="AU15" s="471"/>
      <c r="AV15" s="471"/>
      <c r="AW15" s="471"/>
      <c r="AX15" s="471"/>
      <c r="AY15" s="471"/>
      <c r="AZ15" s="471"/>
      <c r="BA15" s="471"/>
      <c r="BB15" s="471"/>
      <c r="BC15" s="471"/>
      <c r="BD15" s="471"/>
      <c r="BE15" s="471"/>
      <c r="BF15" s="471"/>
      <c r="BG15" s="471"/>
      <c r="BH15" s="471"/>
      <c r="BI15" s="471"/>
      <c r="BJ15" s="471"/>
      <c r="BK15" s="471"/>
      <c r="BL15" s="471"/>
      <c r="BN15" s="18">
        <f>BN13/$CH13</f>
        <v>1.2790543325255593E-2</v>
      </c>
      <c r="BO15" s="18">
        <f>BO13/$CH13</f>
        <v>3.1113501506778905E-2</v>
      </c>
      <c r="BP15" s="18"/>
      <c r="BQ15" s="18">
        <f t="shared" ref="BQ15:CF15" si="99">BQ13/$CH13</f>
        <v>9.1795722566920618E-2</v>
      </c>
      <c r="BR15" s="18">
        <f t="shared" si="99"/>
        <v>2.7417895933983069E-2</v>
      </c>
      <c r="BS15" s="18">
        <f t="shared" si="99"/>
        <v>0</v>
      </c>
      <c r="BT15" s="18">
        <f t="shared" si="99"/>
        <v>5.0886606865826536E-3</v>
      </c>
      <c r="BU15" s="18">
        <f t="shared" si="99"/>
        <v>5.7821871699953988E-2</v>
      </c>
      <c r="BV15" s="18">
        <f t="shared" si="99"/>
        <v>3.4708643781232784E-2</v>
      </c>
      <c r="BW15" s="18">
        <f t="shared" si="99"/>
        <v>4.6022061393575682E-2</v>
      </c>
      <c r="BX15" s="18">
        <f t="shared" si="99"/>
        <v>1.4197179558918555E-2</v>
      </c>
      <c r="BY15" s="18">
        <f t="shared" si="99"/>
        <v>4.2563185006663187E-2</v>
      </c>
      <c r="BZ15" s="18">
        <f t="shared" si="99"/>
        <v>8.3574598391129434E-3</v>
      </c>
      <c r="CA15" s="18">
        <f t="shared" si="99"/>
        <v>2.5865682480004395E-2</v>
      </c>
      <c r="CB15" s="18">
        <f t="shared" si="99"/>
        <v>7.0995975763459103E-3</v>
      </c>
      <c r="CC15" s="18">
        <f t="shared" si="99"/>
        <v>0.43642840517337833</v>
      </c>
      <c r="CD15" s="18">
        <f t="shared" si="99"/>
        <v>0.12723630597615423</v>
      </c>
      <c r="CE15" s="18">
        <f t="shared" si="99"/>
        <v>2.8692368805575894E-2</v>
      </c>
      <c r="CF15" s="18">
        <f t="shared" si="99"/>
        <v>2.800914689562348E-3</v>
      </c>
      <c r="CG15" s="12"/>
      <c r="CH15" s="12"/>
      <c r="CI15" s="18">
        <f>CI13/$DC13</f>
        <v>7.6900886113769024E-2</v>
      </c>
      <c r="CJ15" s="854">
        <f>CJ13/$DC13</f>
        <v>2.1301617613912458E-3</v>
      </c>
      <c r="CK15" s="18"/>
      <c r="CL15" s="855">
        <f t="shared" ref="CL15:DA15" si="100">CL13/$DC13</f>
        <v>9.3065621828891762E-4</v>
      </c>
      <c r="CM15" s="18">
        <f t="shared" si="100"/>
        <v>2.9177031454623754E-2</v>
      </c>
      <c r="CN15" s="18">
        <f t="shared" si="100"/>
        <v>1.1789032712054106E-2</v>
      </c>
      <c r="CO15" s="18">
        <f t="shared" si="100"/>
        <v>2.3602747487439447E-2</v>
      </c>
      <c r="CP15" s="18">
        <f t="shared" si="100"/>
        <v>4.1504946212354253E-2</v>
      </c>
      <c r="CQ15" s="18">
        <f t="shared" si="100"/>
        <v>1.0037627043915004E-2</v>
      </c>
      <c r="CR15" s="18">
        <f t="shared" si="100"/>
        <v>1.1067851525157241E-2</v>
      </c>
      <c r="CS15" s="18">
        <f t="shared" si="100"/>
        <v>0.21077713556725786</v>
      </c>
      <c r="CT15" s="18">
        <f t="shared" si="100"/>
        <v>5.8941592870459178E-2</v>
      </c>
      <c r="CU15" s="18">
        <f t="shared" si="100"/>
        <v>2.5514318616415139E-2</v>
      </c>
      <c r="CV15" s="855">
        <f t="shared" si="100"/>
        <v>1.0276951214722108E-5</v>
      </c>
      <c r="CW15" s="18">
        <f t="shared" si="100"/>
        <v>4.8797701010907517E-2</v>
      </c>
      <c r="CX15" s="18">
        <f t="shared" si="100"/>
        <v>0.20250136238414793</v>
      </c>
      <c r="CY15" s="18">
        <f t="shared" si="100"/>
        <v>3.5421551340596026E-2</v>
      </c>
      <c r="CZ15" s="854">
        <f t="shared" si="100"/>
        <v>2.501796253868282E-3</v>
      </c>
      <c r="DA15" s="18">
        <f t="shared" si="100"/>
        <v>0.2083933244761417</v>
      </c>
      <c r="DC15" s="559"/>
      <c r="DD15" s="10"/>
    </row>
    <row r="16" spans="1:145">
      <c r="A16" t="s">
        <v>848</v>
      </c>
      <c r="B16" s="846">
        <f>AVERAGE(B7:B12)</f>
        <v>98.274356170000019</v>
      </c>
      <c r="C16" s="846">
        <f t="shared" ref="C16:BK16" si="101">AVERAGE(C7:C12)</f>
        <v>201.96432652999999</v>
      </c>
      <c r="D16" s="846">
        <f t="shared" si="101"/>
        <v>1117.695039685</v>
      </c>
      <c r="E16" s="846">
        <f t="shared" si="101"/>
        <v>1766.9207342516668</v>
      </c>
      <c r="F16" s="846">
        <f t="shared" si="101"/>
        <v>6241.5652497799992</v>
      </c>
      <c r="G16" s="846">
        <f t="shared" si="101"/>
        <v>813.5712241066667</v>
      </c>
      <c r="H16" s="846">
        <f t="shared" si="101"/>
        <v>18970.820919406666</v>
      </c>
      <c r="I16" s="846">
        <f t="shared" si="101"/>
        <v>290.08197189166668</v>
      </c>
      <c r="J16" s="846">
        <f t="shared" si="101"/>
        <v>2935.1048564816665</v>
      </c>
      <c r="K16" s="846">
        <f t="shared" si="101"/>
        <v>205.28763417333334</v>
      </c>
      <c r="L16" s="846">
        <f t="shared" si="101"/>
        <v>4.1666666666666669E-4</v>
      </c>
      <c r="M16" s="846">
        <f t="shared" si="101"/>
        <v>28.50650795</v>
      </c>
      <c r="N16" s="846">
        <f t="shared" si="101"/>
        <v>13.300993808333336</v>
      </c>
      <c r="O16" s="846">
        <f t="shared" si="101"/>
        <v>0</v>
      </c>
      <c r="P16" s="846">
        <f t="shared" si="101"/>
        <v>2.8546249083333333</v>
      </c>
      <c r="Q16" s="846">
        <f t="shared" si="101"/>
        <v>631.03791211000009</v>
      </c>
      <c r="R16" s="846">
        <f t="shared" si="101"/>
        <v>88.859151548333344</v>
      </c>
      <c r="S16" s="846">
        <f t="shared" si="101"/>
        <v>215.83794078833333</v>
      </c>
      <c r="T16" s="846">
        <f t="shared" si="101"/>
        <v>247.05953856166664</v>
      </c>
      <c r="U16" s="846">
        <f t="shared" si="101"/>
        <v>0</v>
      </c>
      <c r="V16" s="846">
        <f t="shared" si="101"/>
        <v>42.86211093666666</v>
      </c>
      <c r="W16" s="846">
        <f t="shared" si="101"/>
        <v>2.3559801250000003</v>
      </c>
      <c r="X16" s="846">
        <f t="shared" si="101"/>
        <v>186.19827040999999</v>
      </c>
      <c r="Y16" s="846">
        <f t="shared" si="101"/>
        <v>277.64907914666668</v>
      </c>
      <c r="Z16" s="846">
        <f t="shared" si="101"/>
        <v>72.832731706666664</v>
      </c>
      <c r="AA16" s="846">
        <f t="shared" si="101"/>
        <v>164.93089547</v>
      </c>
      <c r="AB16" s="846">
        <f t="shared" si="101"/>
        <v>254.6835381183333</v>
      </c>
      <c r="AC16" s="846">
        <f t="shared" si="101"/>
        <v>2763.3347835816662</v>
      </c>
      <c r="AD16" s="846">
        <f t="shared" si="101"/>
        <v>1014.4238221133332</v>
      </c>
      <c r="AE16" s="846">
        <f t="shared" si="101"/>
        <v>163.56284066666666</v>
      </c>
      <c r="AF16" s="846">
        <f t="shared" si="101"/>
        <v>28.084360806666666</v>
      </c>
      <c r="AG16" s="846">
        <f t="shared" si="101"/>
        <v>57.382761476666666</v>
      </c>
      <c r="AH16" s="846">
        <f t="shared" si="101"/>
        <v>1.83165489</v>
      </c>
      <c r="AI16" s="846">
        <f t="shared" si="101"/>
        <v>12.53705139333333</v>
      </c>
      <c r="AJ16" s="846">
        <f t="shared" si="101"/>
        <v>4.1181217133333332</v>
      </c>
      <c r="AK16" s="846">
        <f t="shared" si="101"/>
        <v>14.641660001666665</v>
      </c>
      <c r="AL16" s="846">
        <f t="shared" si="101"/>
        <v>0.88382940500000007</v>
      </c>
      <c r="AM16" s="846">
        <f t="shared" si="101"/>
        <v>2297.1032902950001</v>
      </c>
      <c r="AN16" s="846">
        <f t="shared" si="101"/>
        <v>0.8696152766666666</v>
      </c>
      <c r="AO16" s="846">
        <f t="shared" si="101"/>
        <v>1.31649163</v>
      </c>
      <c r="AP16" s="846">
        <f t="shared" si="101"/>
        <v>9.1807760516666672</v>
      </c>
      <c r="AQ16" s="846">
        <f t="shared" si="101"/>
        <v>3.5651133033333333</v>
      </c>
      <c r="AR16" s="846">
        <f t="shared" si="101"/>
        <v>3.1478015100000003</v>
      </c>
      <c r="AS16" s="846">
        <f t="shared" si="101"/>
        <v>13.892523446666667</v>
      </c>
      <c r="AT16" s="846">
        <f t="shared" si="101"/>
        <v>0</v>
      </c>
      <c r="AU16" s="846">
        <f t="shared" si="101"/>
        <v>2.2709499999999994E-2</v>
      </c>
      <c r="AV16" s="846">
        <f t="shared" si="101"/>
        <v>11.747456954999999</v>
      </c>
      <c r="AW16" s="846">
        <f t="shared" si="101"/>
        <v>3.9996099716666667</v>
      </c>
      <c r="AX16" s="846">
        <f t="shared" si="101"/>
        <v>0.27707120666666668</v>
      </c>
      <c r="AY16" s="846">
        <f t="shared" si="101"/>
        <v>2.5648705233333335</v>
      </c>
      <c r="AZ16" s="846">
        <f t="shared" si="101"/>
        <v>0</v>
      </c>
      <c r="BA16" s="846">
        <f t="shared" si="101"/>
        <v>3.9422797966666665</v>
      </c>
      <c r="BB16" s="846">
        <f t="shared" si="101"/>
        <v>1.1622359516666667</v>
      </c>
      <c r="BC16" s="846">
        <f t="shared" si="101"/>
        <v>146.46693910000002</v>
      </c>
      <c r="BD16" s="846">
        <f t="shared" si="101"/>
        <v>38.720362810000005</v>
      </c>
      <c r="BE16" s="846">
        <f t="shared" si="101"/>
        <v>20.457101203333334</v>
      </c>
      <c r="BF16" s="846">
        <f t="shared" si="101"/>
        <v>3.6961335000000005E-2</v>
      </c>
      <c r="BG16" s="846">
        <f t="shared" si="101"/>
        <v>26.015610223333329</v>
      </c>
      <c r="BH16" s="846">
        <f t="shared" si="101"/>
        <v>46.79181449</v>
      </c>
      <c r="BI16" s="846">
        <f t="shared" si="101"/>
        <v>16.106218666666667</v>
      </c>
      <c r="BJ16" s="846">
        <f t="shared" si="101"/>
        <v>1.850298771666667</v>
      </c>
      <c r="BK16" s="846">
        <f t="shared" si="101"/>
        <v>62.72413500833332</v>
      </c>
      <c r="BL16" s="475"/>
      <c r="BM16" s="470" t="s">
        <v>253</v>
      </c>
      <c r="BN16" s="1">
        <f t="shared" ref="BN16:CE16" si="102">AVERAGE(BN3:BN12)</f>
        <v>83.708364457000002</v>
      </c>
      <c r="BO16" s="1">
        <f t="shared" si="102"/>
        <v>172.092926568</v>
      </c>
      <c r="BP16" s="1">
        <f t="shared" si="102"/>
        <v>25608.54502704</v>
      </c>
      <c r="BQ16" s="1">
        <f t="shared" si="102"/>
        <v>699.88979433000009</v>
      </c>
      <c r="BR16" s="1">
        <f t="shared" si="102"/>
        <v>176.26865748099999</v>
      </c>
      <c r="BS16" s="1">
        <f t="shared" si="102"/>
        <v>4.1640000000000004E-4</v>
      </c>
      <c r="BT16" s="1">
        <f t="shared" si="102"/>
        <v>38.341733384000001</v>
      </c>
      <c r="BU16" s="1">
        <f t="shared" si="102"/>
        <v>631.86878123700001</v>
      </c>
      <c r="BV16" s="1">
        <f t="shared" si="102"/>
        <v>314.89550271900004</v>
      </c>
      <c r="BW16" s="1">
        <f t="shared" si="102"/>
        <v>343.58268454800003</v>
      </c>
      <c r="BX16" s="1">
        <f t="shared" si="102"/>
        <v>148.59917387199999</v>
      </c>
      <c r="BY16" s="1">
        <f t="shared" si="102"/>
        <v>245.72425989499999</v>
      </c>
      <c r="BZ16" s="1">
        <f t="shared" si="102"/>
        <v>66.218409279999989</v>
      </c>
      <c r="CA16" s="1">
        <f t="shared" si="102"/>
        <v>147.73914525699999</v>
      </c>
      <c r="CB16" s="1">
        <f t="shared" si="102"/>
        <v>239.651657511</v>
      </c>
      <c r="CC16" s="1">
        <f t="shared" si="102"/>
        <v>2363.7822159359994</v>
      </c>
      <c r="CD16" s="1">
        <f t="shared" si="102"/>
        <v>768.74399381500007</v>
      </c>
      <c r="CE16" s="1">
        <f t="shared" si="102"/>
        <v>165.40378405299998</v>
      </c>
      <c r="CF16" s="1">
        <f>AVERAGE(CF3:CF12)</f>
        <v>21.565829359999999</v>
      </c>
      <c r="CG16" s="1">
        <f>AVERAGE(CG7:CG12)</f>
        <v>38839.661811899998</v>
      </c>
      <c r="CH16" s="1"/>
      <c r="CI16" s="1">
        <f>AVERAGE(CI3:CI12)</f>
        <v>61.711235359</v>
      </c>
      <c r="CJ16" s="1">
        <f t="shared" ref="CJ16:DA16" si="103">AVERAGE(CJ3:CJ12)</f>
        <v>2.4500981589999995</v>
      </c>
      <c r="CK16" s="1">
        <f t="shared" si="103"/>
        <v>1797.2402638880001</v>
      </c>
      <c r="CL16" s="1">
        <f t="shared" si="103"/>
        <v>0.64866151299999997</v>
      </c>
      <c r="CM16" s="1">
        <f t="shared" si="103"/>
        <v>14.536617272000004</v>
      </c>
      <c r="CN16" s="1">
        <f t="shared" si="103"/>
        <v>3.2481470569999997</v>
      </c>
      <c r="CO16" s="1">
        <f t="shared" si="103"/>
        <v>20.219172514</v>
      </c>
      <c r="CP16" s="1">
        <f t="shared" si="103"/>
        <v>13.687346451000002</v>
      </c>
      <c r="CQ16" s="1">
        <f t="shared" si="103"/>
        <v>5.0989401409999999</v>
      </c>
      <c r="CR16" s="1">
        <f t="shared" si="103"/>
        <v>8.1525032769999992</v>
      </c>
      <c r="CS16" s="1">
        <f t="shared" si="103"/>
        <v>150.738412533</v>
      </c>
      <c r="CT16" s="1">
        <f t="shared" si="103"/>
        <v>35.662019631</v>
      </c>
      <c r="CU16" s="1">
        <f t="shared" si="103"/>
        <v>12.507430923999999</v>
      </c>
      <c r="CV16" s="1">
        <f t="shared" si="103"/>
        <v>7.9607275999999991E-2</v>
      </c>
      <c r="CW16" s="1">
        <f t="shared" si="103"/>
        <v>24.425018847</v>
      </c>
      <c r="CX16" s="1">
        <f t="shared" si="103"/>
        <v>41.001369703000002</v>
      </c>
      <c r="CY16" s="1">
        <f t="shared" si="103"/>
        <v>15.833890588000003</v>
      </c>
      <c r="CZ16" s="1">
        <f t="shared" si="103"/>
        <v>2.0547129450000003</v>
      </c>
      <c r="DA16" s="1">
        <f t="shared" si="103"/>
        <v>64.584732258999992</v>
      </c>
      <c r="DB16" s="1">
        <f>AVERAGE(DB7:DB12)</f>
        <v>2803.3563659066663</v>
      </c>
      <c r="DC16" s="1">
        <f>AVERAGE(DC7:DC12)</f>
        <v>472.77013559666648</v>
      </c>
      <c r="DD16" s="12"/>
    </row>
    <row r="17" spans="1:107" ht="14.4">
      <c r="A17" s="472"/>
      <c r="B17" s="769">
        <f>B13/B16-1</f>
        <v>0.22974193950397237</v>
      </c>
      <c r="C17" s="769">
        <f t="shared" ref="C17:BK17" si="104">C13/C16-1</f>
        <v>0.4555912034115206</v>
      </c>
      <c r="D17" s="769">
        <f t="shared" si="104"/>
        <v>0.34799051238038681</v>
      </c>
      <c r="E17" s="769">
        <f t="shared" si="104"/>
        <v>1.1949954948955805</v>
      </c>
      <c r="F17" s="769">
        <f t="shared" si="104"/>
        <v>0.11243839585827242</v>
      </c>
      <c r="G17" s="769">
        <f t="shared" si="104"/>
        <v>6.6085568122655314E-2</v>
      </c>
      <c r="H17" s="769">
        <f t="shared" si="104"/>
        <v>-5.2036427956937414E-2</v>
      </c>
      <c r="I17" s="769">
        <f t="shared" si="104"/>
        <v>-0.13165673596541005</v>
      </c>
      <c r="J17" s="769">
        <f t="shared" si="104"/>
        <v>0.19130711223087804</v>
      </c>
      <c r="K17" s="769">
        <f t="shared" si="104"/>
        <v>0.26193368364927827</v>
      </c>
      <c r="L17" s="769">
        <f t="shared" si="104"/>
        <v>-1</v>
      </c>
      <c r="M17" s="769">
        <f t="shared" si="104"/>
        <v>0.26261433154600078</v>
      </c>
      <c r="N17" s="769">
        <f t="shared" si="104"/>
        <v>-0.28905891572737286</v>
      </c>
      <c r="O17" s="769" t="e">
        <f t="shared" si="104"/>
        <v>#DIV/0!</v>
      </c>
      <c r="P17" s="769">
        <f t="shared" si="104"/>
        <v>-7.8155538992894291E-2</v>
      </c>
      <c r="Q17" s="769">
        <f t="shared" si="104"/>
        <v>-0.13423127665463408</v>
      </c>
      <c r="R17" s="769">
        <f t="shared" si="104"/>
        <v>-0.20186932899732146</v>
      </c>
      <c r="S17" s="769">
        <f t="shared" si="104"/>
        <v>0.19082477362985006</v>
      </c>
      <c r="T17" s="769">
        <f t="shared" si="104"/>
        <v>0.53369539292417212</v>
      </c>
      <c r="U17" s="769" t="e">
        <f t="shared" si="104"/>
        <v>#DIV/0!</v>
      </c>
      <c r="V17" s="769">
        <f t="shared" si="104"/>
        <v>0.17518883786262007</v>
      </c>
      <c r="W17" s="769">
        <f t="shared" si="104"/>
        <v>1.3585220015385313</v>
      </c>
      <c r="X17" s="769">
        <f t="shared" si="104"/>
        <v>-0.27957026204043767</v>
      </c>
      <c r="Y17" s="769">
        <f t="shared" si="104"/>
        <v>0.44844857265872951</v>
      </c>
      <c r="Z17" s="769">
        <f t="shared" si="104"/>
        <v>8.4208725110497928E-2</v>
      </c>
      <c r="AA17" s="769">
        <f t="shared" si="104"/>
        <v>0.48179158400588284</v>
      </c>
      <c r="AB17" s="769">
        <f t="shared" si="104"/>
        <v>-0.73661074329495024</v>
      </c>
      <c r="AC17" s="769">
        <f t="shared" si="104"/>
        <v>0.49226070866998639</v>
      </c>
      <c r="AD17" s="769">
        <f t="shared" si="104"/>
        <v>0.18510494763961516</v>
      </c>
      <c r="AE17" s="769">
        <f t="shared" si="104"/>
        <v>0.65747489383906976</v>
      </c>
      <c r="AF17" s="769">
        <f t="shared" si="104"/>
        <v>-5.7675384097834459E-2</v>
      </c>
      <c r="AG17" s="769">
        <f t="shared" si="104"/>
        <v>-0.18421558748031019</v>
      </c>
      <c r="AH17" s="769">
        <f t="shared" si="104"/>
        <v>-0.29206328272898618</v>
      </c>
      <c r="AI17" s="769">
        <f t="shared" si="104"/>
        <v>-0.40741507337597993</v>
      </c>
      <c r="AJ17" s="769">
        <f t="shared" si="104"/>
        <v>4.3620866567652712</v>
      </c>
      <c r="AK17" s="769">
        <f t="shared" si="104"/>
        <v>-0.11555217246364669</v>
      </c>
      <c r="AL17" s="769">
        <f t="shared" si="104"/>
        <v>-0.35901725288264208</v>
      </c>
      <c r="AM17" s="769">
        <f t="shared" si="104"/>
        <v>0.18792969956939154</v>
      </c>
      <c r="AN17" s="769">
        <f t="shared" si="104"/>
        <v>4.4448073039256686E-2</v>
      </c>
      <c r="AO17" s="769">
        <f t="shared" si="104"/>
        <v>4.224039608971915</v>
      </c>
      <c r="AP17" s="769">
        <f t="shared" si="104"/>
        <v>0.93458231309059081</v>
      </c>
      <c r="AQ17" s="769">
        <f t="shared" si="104"/>
        <v>1.0129377243887894</v>
      </c>
      <c r="AR17" s="769">
        <f t="shared" si="104"/>
        <v>0.49237796445430893</v>
      </c>
      <c r="AS17" s="769">
        <f t="shared" si="104"/>
        <v>-0.3039409084229262</v>
      </c>
      <c r="AT17" s="769" t="e">
        <f t="shared" si="104"/>
        <v>#DIV/0!</v>
      </c>
      <c r="AU17" s="769">
        <f t="shared" si="104"/>
        <v>-1</v>
      </c>
      <c r="AV17" s="769">
        <f t="shared" si="104"/>
        <v>1.1507082253445895</v>
      </c>
      <c r="AW17" s="769">
        <f t="shared" si="104"/>
        <v>0.44932950239256719</v>
      </c>
      <c r="AX17" s="769">
        <f t="shared" si="104"/>
        <v>0.13134527319222689</v>
      </c>
      <c r="AY17" s="769">
        <f t="shared" si="104"/>
        <v>9.2214852373633249E-2</v>
      </c>
      <c r="AZ17" s="769" t="e">
        <f t="shared" si="104"/>
        <v>#DIV/0!</v>
      </c>
      <c r="BA17" s="769">
        <f t="shared" si="104"/>
        <v>-0.25908986914888676</v>
      </c>
      <c r="BB17" s="769">
        <f t="shared" si="104"/>
        <v>-0.12661374091521072</v>
      </c>
      <c r="BC17" s="769">
        <f t="shared" si="104"/>
        <v>-0.12398933084551667</v>
      </c>
      <c r="BD17" s="769">
        <f t="shared" si="104"/>
        <v>-7.3366593023408866E-2</v>
      </c>
      <c r="BE17" s="769">
        <f t="shared" si="104"/>
        <v>-0.24078394413626514</v>
      </c>
      <c r="BF17" s="769">
        <f t="shared" si="104"/>
        <v>-0.83074474988525171</v>
      </c>
      <c r="BG17" s="769">
        <f t="shared" si="104"/>
        <v>0.14180212668461456</v>
      </c>
      <c r="BH17" s="769">
        <f t="shared" si="104"/>
        <v>1.6344112108827091</v>
      </c>
      <c r="BI17" s="769">
        <f t="shared" si="104"/>
        <v>0.33875001862634591</v>
      </c>
      <c r="BJ17" s="769">
        <f t="shared" si="104"/>
        <v>-0.17693225909228705</v>
      </c>
      <c r="BK17" s="769">
        <f t="shared" si="104"/>
        <v>1.022435244792876</v>
      </c>
      <c r="BL17" s="7"/>
      <c r="BN17" s="12">
        <f>BN13/BN16-1</f>
        <v>0.44372785376878654</v>
      </c>
      <c r="BO17" s="12">
        <f t="shared" ref="BO17:CG17" si="105">BO13/BO16-1</f>
        <v>0.7082485780369312</v>
      </c>
      <c r="BP17" s="12">
        <f t="shared" si="105"/>
        <v>0.33004555078102116</v>
      </c>
      <c r="BQ17" s="12">
        <f t="shared" si="105"/>
        <v>0.23924730391346194</v>
      </c>
      <c r="BR17" s="12">
        <f t="shared" si="105"/>
        <v>0.46968487819749827</v>
      </c>
      <c r="BS17" s="702">
        <v>0</v>
      </c>
      <c r="BT17" s="12">
        <f t="shared" si="105"/>
        <v>0.25399830306221838</v>
      </c>
      <c r="BU17" s="12">
        <f t="shared" si="105"/>
        <v>-0.13536971002040588</v>
      </c>
      <c r="BV17" s="12">
        <f t="shared" si="105"/>
        <v>4.1445109245164424E-2</v>
      </c>
      <c r="BW17" s="12">
        <f t="shared" si="105"/>
        <v>0.26561029099023359</v>
      </c>
      <c r="BX17" s="12">
        <f t="shared" si="105"/>
        <v>-9.7284542944043539E-2</v>
      </c>
      <c r="BY17" s="12">
        <f t="shared" si="105"/>
        <v>0.63663291757129081</v>
      </c>
      <c r="BZ17" s="12">
        <f t="shared" si="105"/>
        <v>0.19250649552903321</v>
      </c>
      <c r="CA17" s="12">
        <f t="shared" si="105"/>
        <v>0.65422110994933114</v>
      </c>
      <c r="CB17" s="12">
        <f t="shared" si="105"/>
        <v>-0.72008994848316044</v>
      </c>
      <c r="CC17" s="12">
        <f t="shared" si="105"/>
        <v>0.74449908906144757</v>
      </c>
      <c r="CD17" s="12">
        <f t="shared" si="105"/>
        <v>0.56384791330065576</v>
      </c>
      <c r="CE17" s="12">
        <f t="shared" si="105"/>
        <v>0.63902720558757964</v>
      </c>
      <c r="CF17" s="12">
        <f t="shared" si="105"/>
        <v>0.22715357096751143</v>
      </c>
      <c r="CG17" s="12">
        <f t="shared" si="105"/>
        <v>0.12022299027921379</v>
      </c>
      <c r="CH17" s="12">
        <f>CG13/CG12-1</f>
        <v>0.15510244156041852</v>
      </c>
      <c r="CI17" s="12">
        <f>CI13/CI16-1</f>
        <v>-0.24143533851371979</v>
      </c>
      <c r="CJ17" s="12">
        <f t="shared" ref="CJ17:DA17" si="106">CJ13/CJ16-1</f>
        <v>-0.47075763261287351</v>
      </c>
      <c r="CK17" s="12">
        <f t="shared" si="106"/>
        <v>0.54628389277126943</v>
      </c>
      <c r="CL17" s="12">
        <f t="shared" si="106"/>
        <v>-0.12663324608253734</v>
      </c>
      <c r="CM17" s="12">
        <f t="shared" si="106"/>
        <v>0.22180880446035012</v>
      </c>
      <c r="CN17" s="12">
        <f t="shared" si="106"/>
        <v>1.2093676591810789</v>
      </c>
      <c r="CO17" s="12">
        <f t="shared" si="106"/>
        <v>-0.28940084713894143</v>
      </c>
      <c r="CP17" s="12">
        <f t="shared" si="106"/>
        <v>0.84589119523266731</v>
      </c>
      <c r="CQ17" s="12">
        <f t="shared" si="106"/>
        <v>0.19833058656022384</v>
      </c>
      <c r="CR17" s="12">
        <f t="shared" si="106"/>
        <v>-0.17358565816127536</v>
      </c>
      <c r="CS17" s="12">
        <f t="shared" si="106"/>
        <v>-0.14881283958121294</v>
      </c>
      <c r="CT17" s="12">
        <f t="shared" si="106"/>
        <v>6.100666234025498E-3</v>
      </c>
      <c r="CU17" s="12">
        <f t="shared" si="106"/>
        <v>0.2417705749785517</v>
      </c>
      <c r="CV17" s="12">
        <f t="shared" si="106"/>
        <v>-0.92141547463576068</v>
      </c>
      <c r="CW17" s="12">
        <f t="shared" si="106"/>
        <v>0.21615787754646787</v>
      </c>
      <c r="CX17" s="12">
        <f t="shared" si="106"/>
        <v>2.0064576272187469</v>
      </c>
      <c r="CY17" s="12">
        <f t="shared" si="106"/>
        <v>0.36177526427657014</v>
      </c>
      <c r="CZ17" s="12">
        <f t="shared" si="106"/>
        <v>-0.258815576304261</v>
      </c>
      <c r="DA17" s="12">
        <f t="shared" si="106"/>
        <v>0.96417166879750371</v>
      </c>
      <c r="DB17" s="12">
        <f t="shared" ref="DB17" si="107">DB13/DB16-1</f>
        <v>0.20847097088361766</v>
      </c>
      <c r="DC17" s="12">
        <f t="shared" ref="DC17" si="108">DC13/DC16-1</f>
        <v>0.28758369430789266</v>
      </c>
    </row>
    <row r="18" spans="1:107" ht="14.4">
      <c r="A18" s="472"/>
      <c r="B18" s="471"/>
      <c r="C18" s="471"/>
      <c r="D18" s="471"/>
      <c r="E18" s="471"/>
      <c r="F18" s="471"/>
      <c r="G18" s="471"/>
      <c r="H18" s="471"/>
      <c r="I18" s="471"/>
      <c r="J18" s="471"/>
      <c r="K18" s="471"/>
      <c r="L18" s="471"/>
      <c r="M18" s="471"/>
      <c r="N18" s="471"/>
      <c r="O18" s="471"/>
      <c r="P18" s="471"/>
      <c r="Q18" s="471"/>
      <c r="R18" s="471"/>
      <c r="S18" s="471"/>
      <c r="T18" s="471"/>
      <c r="U18" s="471"/>
      <c r="V18" s="471"/>
      <c r="W18" s="471"/>
      <c r="X18" s="471"/>
      <c r="Y18" s="471"/>
      <c r="Z18" s="471"/>
      <c r="AA18" s="471"/>
      <c r="AB18" s="471"/>
      <c r="AC18" s="471"/>
      <c r="AD18" s="471"/>
      <c r="AE18" s="471"/>
      <c r="AF18" s="471"/>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S18" s="12"/>
      <c r="CI18" s="1"/>
      <c r="CJ18" s="1"/>
      <c r="CK18" s="1"/>
      <c r="CL18" s="7"/>
      <c r="CM18" s="1"/>
      <c r="CN18" s="1"/>
      <c r="CO18" s="1"/>
      <c r="CP18" s="1"/>
      <c r="CQ18" s="1"/>
      <c r="CR18" s="1"/>
      <c r="CS18" s="1"/>
      <c r="CT18" s="1"/>
      <c r="CU18" s="1"/>
      <c r="CV18" s="1"/>
      <c r="CW18" s="1"/>
      <c r="CY18" s="1"/>
      <c r="CZ18" s="1"/>
      <c r="DA18" s="1"/>
    </row>
    <row r="19" spans="1:107" ht="14.4">
      <c r="A19" s="474">
        <v>2016</v>
      </c>
      <c r="B19" s="471"/>
      <c r="C19" s="471"/>
      <c r="D19" s="471"/>
      <c r="E19" s="471"/>
      <c r="F19" s="471">
        <f>D13+E13+F13+H13+I13+J13</f>
        <v>34060.531375189996</v>
      </c>
      <c r="G19" s="471"/>
      <c r="H19" s="471"/>
      <c r="I19" s="471"/>
      <c r="J19" s="471"/>
      <c r="K19" s="471"/>
      <c r="L19" s="471"/>
      <c r="M19" s="471"/>
      <c r="N19" s="471"/>
      <c r="O19" s="471"/>
      <c r="P19" s="471"/>
      <c r="Q19" s="471"/>
      <c r="R19" s="471"/>
      <c r="S19" s="471"/>
      <c r="T19" s="471"/>
      <c r="U19" s="471"/>
      <c r="V19" s="471"/>
      <c r="W19" s="471"/>
      <c r="X19" s="471"/>
      <c r="Y19" s="471"/>
      <c r="Z19" s="471"/>
      <c r="AA19" s="471"/>
      <c r="AB19" s="471"/>
      <c r="AC19" s="471"/>
      <c r="AD19" s="471"/>
      <c r="AE19" s="471"/>
      <c r="AF19" s="471"/>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v>2016</v>
      </c>
      <c r="BN19" s="10">
        <f t="shared" ref="BN19:CF19" si="109">BN3/$CG3</f>
        <v>2.3411958836421338E-3</v>
      </c>
      <c r="BO19" s="10">
        <f t="shared" si="109"/>
        <v>6.4314434446836721E-3</v>
      </c>
      <c r="BP19" s="10">
        <f t="shared" si="109"/>
        <v>0.78352373328888536</v>
      </c>
      <c r="BQ19" s="10">
        <f t="shared" si="109"/>
        <v>2.5992501093694477E-2</v>
      </c>
      <c r="BR19" s="10">
        <f t="shared" si="109"/>
        <v>6.2686993295767253E-3</v>
      </c>
      <c r="BS19" s="10">
        <f t="shared" si="109"/>
        <v>0</v>
      </c>
      <c r="BT19" s="10">
        <f t="shared" si="109"/>
        <v>1.2258661767157797E-3</v>
      </c>
      <c r="BU19" s="10">
        <f t="shared" si="109"/>
        <v>2.7903824646858123E-2</v>
      </c>
      <c r="BV19" s="10">
        <f t="shared" si="109"/>
        <v>1.4689566705219207E-2</v>
      </c>
      <c r="BW19" s="10">
        <f t="shared" si="109"/>
        <v>2.2110432329543066E-2</v>
      </c>
      <c r="BX19" s="10">
        <f t="shared" si="109"/>
        <v>5.5707083088510738E-3</v>
      </c>
      <c r="BY19" s="10">
        <f t="shared" si="109"/>
        <v>1.0019590432984476E-2</v>
      </c>
      <c r="BZ19" s="10">
        <f t="shared" si="109"/>
        <v>1.820601097631936E-3</v>
      </c>
      <c r="CA19" s="10">
        <f t="shared" si="109"/>
        <v>5.3013512932986746E-3</v>
      </c>
      <c r="CB19" s="10">
        <f t="shared" si="109"/>
        <v>7.7246177588192683E-3</v>
      </c>
      <c r="CC19" s="10">
        <f t="shared" si="109"/>
        <v>5.5391752865356837E-2</v>
      </c>
      <c r="CD19" s="10">
        <f t="shared" si="109"/>
        <v>1.6656284123082888E-2</v>
      </c>
      <c r="CE19" s="10">
        <f t="shared" si="109"/>
        <v>6.7252421849423151E-3</v>
      </c>
      <c r="CF19" s="10">
        <f t="shared" si="109"/>
        <v>3.0258903621398653E-4</v>
      </c>
      <c r="CI19" s="10">
        <f t="shared" ref="CI19:DA19" si="110">CI3/$DB3</f>
        <v>0.12213449035916271</v>
      </c>
      <c r="CJ19" s="10">
        <f t="shared" si="110"/>
        <v>5.676393651102736E-3</v>
      </c>
      <c r="CK19" s="10">
        <f t="shared" si="110"/>
        <v>0.34755385797507288</v>
      </c>
      <c r="CL19" s="10">
        <f t="shared" si="110"/>
        <v>1.7309740174994628E-4</v>
      </c>
      <c r="CM19" s="10">
        <f t="shared" si="110"/>
        <v>2.5345974987055316E-2</v>
      </c>
      <c r="CN19" s="10">
        <f t="shared" si="110"/>
        <v>1.1787051371801717E-3</v>
      </c>
      <c r="CO19" s="10">
        <f t="shared" si="110"/>
        <v>3.9471438562128522E-2</v>
      </c>
      <c r="CP19" s="10">
        <f t="shared" si="110"/>
        <v>3.8472473156737075E-3</v>
      </c>
      <c r="CQ19" s="10">
        <f t="shared" si="110"/>
        <v>6.2801630906093768E-3</v>
      </c>
      <c r="CR19" s="10">
        <f t="shared" si="110"/>
        <v>1.3894795199068648E-2</v>
      </c>
      <c r="CS19" s="10">
        <f t="shared" si="110"/>
        <v>0.21852787522911771</v>
      </c>
      <c r="CT19" s="10">
        <f t="shared" si="110"/>
        <v>4.9218371162478562E-2</v>
      </c>
      <c r="CU19" s="10">
        <f t="shared" si="110"/>
        <v>7.204991527504645E-4</v>
      </c>
      <c r="CV19" s="10">
        <f t="shared" si="110"/>
        <v>2.094291072761275E-5</v>
      </c>
      <c r="CW19" s="10">
        <f t="shared" si="110"/>
        <v>3.9972767830931351E-2</v>
      </c>
      <c r="CX19" s="10">
        <f t="shared" si="110"/>
        <v>4.2228333031088881E-2</v>
      </c>
      <c r="CY19" s="10">
        <f t="shared" si="110"/>
        <v>1.3100290061965425E-2</v>
      </c>
      <c r="CZ19" s="10">
        <f t="shared" si="110"/>
        <v>7.641328147696449E-3</v>
      </c>
      <c r="DA19" s="10">
        <f t="shared" si="110"/>
        <v>6.3013428794439511E-2</v>
      </c>
      <c r="DC19" s="2">
        <f>CG13/DB13</f>
        <v>12.84296767144922</v>
      </c>
    </row>
    <row r="20" spans="1:107" ht="14.4">
      <c r="A20" s="474">
        <v>2017</v>
      </c>
      <c r="D20" s="853">
        <f>D13/$F19</f>
        <v>4.4234257317766097E-2</v>
      </c>
      <c r="E20" s="853">
        <f>E13/$F19</f>
        <v>0.11386736774004208</v>
      </c>
      <c r="F20" s="853">
        <f>F13/$F19</f>
        <v>0.20385345013048167</v>
      </c>
      <c r="G20" s="853"/>
      <c r="H20" s="853">
        <f>H13/$F19</f>
        <v>0.52799079865352461</v>
      </c>
      <c r="I20" s="853">
        <f t="shared" ref="I20:J20" si="111">I13/$F19</f>
        <v>7.3953845151540866E-3</v>
      </c>
      <c r="J20" s="853">
        <f t="shared" si="111"/>
        <v>0.10265874164303154</v>
      </c>
      <c r="K20" s="471"/>
      <c r="L20" s="471"/>
      <c r="M20" s="471"/>
      <c r="N20" s="471"/>
      <c r="O20" s="471"/>
      <c r="P20" s="471"/>
      <c r="Q20" s="471"/>
      <c r="R20" s="471"/>
      <c r="S20" s="471"/>
      <c r="T20" s="471"/>
      <c r="U20" s="471"/>
      <c r="V20" s="471"/>
      <c r="W20" s="471"/>
      <c r="X20" s="471"/>
      <c r="Y20" s="471"/>
      <c r="Z20" s="471"/>
      <c r="AA20" s="471"/>
      <c r="AB20" s="471"/>
      <c r="AC20" s="471"/>
      <c r="AD20" s="471"/>
      <c r="AE20" s="471"/>
      <c r="AF20" s="471"/>
      <c r="BM20">
        <v>2017</v>
      </c>
      <c r="BN20" s="10">
        <f t="shared" ref="BN20:CF20" si="112">BN4/$CG4</f>
        <v>2.2604194356242008E-3</v>
      </c>
      <c r="BO20" s="10">
        <f t="shared" si="112"/>
        <v>5.7861147099959468E-3</v>
      </c>
      <c r="BP20" s="10">
        <f t="shared" si="112"/>
        <v>0.77187890802459458</v>
      </c>
      <c r="BQ20" s="10">
        <f t="shared" si="112"/>
        <v>2.5547083661314116E-2</v>
      </c>
      <c r="BR20" s="10">
        <f t="shared" si="112"/>
        <v>5.7013472990042396E-3</v>
      </c>
      <c r="BS20" s="10">
        <f t="shared" si="112"/>
        <v>7.5886384948699042E-8</v>
      </c>
      <c r="BT20" s="10">
        <f t="shared" si="112"/>
        <v>7.5697537803346316E-4</v>
      </c>
      <c r="BU20" s="10">
        <f t="shared" si="112"/>
        <v>2.8026055996866278E-2</v>
      </c>
      <c r="BV20" s="10">
        <f t="shared" si="112"/>
        <v>1.4984685974536057E-2</v>
      </c>
      <c r="BW20" s="10">
        <f t="shared" si="112"/>
        <v>1.8944636461082003E-2</v>
      </c>
      <c r="BX20" s="10">
        <f t="shared" si="112"/>
        <v>7.2252440617020042E-3</v>
      </c>
      <c r="BY20" s="10">
        <f t="shared" si="112"/>
        <v>9.7720663228272001E-3</v>
      </c>
      <c r="BZ20" s="10">
        <f t="shared" si="112"/>
        <v>2.5335184128461507E-3</v>
      </c>
      <c r="CA20" s="10">
        <f t="shared" si="112"/>
        <v>6.1162714925779797E-3</v>
      </c>
      <c r="CB20" s="10">
        <f t="shared" si="112"/>
        <v>9.7172297083061836E-3</v>
      </c>
      <c r="CC20" s="10">
        <f t="shared" si="112"/>
        <v>6.7290089470263714E-2</v>
      </c>
      <c r="CD20" s="10">
        <f t="shared" si="112"/>
        <v>1.6293629581855675E-2</v>
      </c>
      <c r="CE20" s="10">
        <f t="shared" si="112"/>
        <v>6.5938190363798721E-3</v>
      </c>
      <c r="CF20" s="10">
        <f t="shared" si="112"/>
        <v>5.7182908580544428E-4</v>
      </c>
      <c r="CI20" s="10">
        <f t="shared" ref="CI20:DA20" si="113">CI4/$DB4</f>
        <v>5.9271304442352353E-2</v>
      </c>
      <c r="CJ20" s="10">
        <f t="shared" si="113"/>
        <v>3.3089794312590585E-3</v>
      </c>
      <c r="CK20" s="10">
        <f t="shared" si="113"/>
        <v>0.5126967572595843</v>
      </c>
      <c r="CL20" s="10">
        <f t="shared" si="113"/>
        <v>5.9880301281120291E-4</v>
      </c>
      <c r="CM20" s="10">
        <f t="shared" si="113"/>
        <v>2.1039927857062504E-2</v>
      </c>
      <c r="CN20" s="10">
        <f t="shared" si="113"/>
        <v>3.9957321176786091E-3</v>
      </c>
      <c r="CO20" s="10">
        <f t="shared" si="113"/>
        <v>2.8575948211636771E-2</v>
      </c>
      <c r="CP20" s="10">
        <f t="shared" si="113"/>
        <v>4.5444785505384118E-2</v>
      </c>
      <c r="CQ20" s="10">
        <f t="shared" si="113"/>
        <v>9.7887488978280982E-3</v>
      </c>
      <c r="CR20" s="10">
        <f t="shared" si="113"/>
        <v>1.0301380382684527E-2</v>
      </c>
      <c r="CS20" s="10">
        <f t="shared" si="113"/>
        <v>0.13601972799436701</v>
      </c>
      <c r="CT20" s="10">
        <f t="shared" si="113"/>
        <v>3.0886436534104469E-2</v>
      </c>
      <c r="CU20" s="10">
        <f t="shared" si="113"/>
        <v>6.0623148601234185E-4</v>
      </c>
      <c r="CV20" s="10">
        <f t="shared" si="113"/>
        <v>1.9951872809951296E-4</v>
      </c>
      <c r="CW20" s="10">
        <f t="shared" si="113"/>
        <v>1.9858395505604687E-2</v>
      </c>
      <c r="CX20" s="10">
        <f t="shared" si="113"/>
        <v>2.5751503114784215E-2</v>
      </c>
      <c r="CY20" s="10">
        <f t="shared" si="113"/>
        <v>1.7724658287022955E-2</v>
      </c>
      <c r="CZ20" s="10">
        <f t="shared" si="113"/>
        <v>2.1316701155698809E-3</v>
      </c>
      <c r="DA20" s="10">
        <f t="shared" si="113"/>
        <v>7.1799491116153594E-2</v>
      </c>
      <c r="DC20" s="2">
        <f>CH13/DC13</f>
        <v>15.521714671157079</v>
      </c>
    </row>
    <row r="21" spans="1:107" ht="14.4">
      <c r="A21" s="474">
        <v>2018</v>
      </c>
      <c r="J21" s="471"/>
      <c r="K21" s="471"/>
      <c r="L21" s="471"/>
      <c r="M21" s="471"/>
      <c r="N21" s="471"/>
      <c r="O21" s="471"/>
      <c r="P21" s="471"/>
      <c r="Q21" s="471"/>
      <c r="R21" s="471"/>
      <c r="S21" s="471"/>
      <c r="T21" s="471"/>
      <c r="U21" s="471"/>
      <c r="V21" s="471"/>
      <c r="W21" s="471"/>
      <c r="X21" s="471"/>
      <c r="Y21" s="471"/>
      <c r="Z21" s="471"/>
      <c r="AA21" s="471"/>
      <c r="AB21" s="471"/>
      <c r="AC21" s="471"/>
      <c r="AD21" s="471"/>
      <c r="AE21" s="471"/>
      <c r="AF21" s="471"/>
      <c r="BM21">
        <v>2018</v>
      </c>
      <c r="BN21" s="10">
        <f t="shared" ref="BN21:CF21" si="114">BN5/$CG5</f>
        <v>3.2132163150172441E-3</v>
      </c>
      <c r="BO21" s="10">
        <f t="shared" si="114"/>
        <v>5.9574270027930604E-3</v>
      </c>
      <c r="BP21" s="10">
        <f t="shared" si="114"/>
        <v>0.73417257700422855</v>
      </c>
      <c r="BQ21" s="10">
        <f t="shared" si="114"/>
        <v>2.2452058398726788E-2</v>
      </c>
      <c r="BR21" s="10">
        <f t="shared" si="114"/>
        <v>5.4615355106285264E-3</v>
      </c>
      <c r="BS21" s="10">
        <f t="shared" si="114"/>
        <v>0</v>
      </c>
      <c r="BT21" s="10">
        <f t="shared" si="114"/>
        <v>1.5012066447032458E-3</v>
      </c>
      <c r="BU21" s="10">
        <f t="shared" si="114"/>
        <v>3.0886972655346883E-2</v>
      </c>
      <c r="BV21" s="10">
        <f t="shared" si="114"/>
        <v>1.7517943847868055E-2</v>
      </c>
      <c r="BW21" s="10">
        <f t="shared" si="114"/>
        <v>2.0961390269324247E-2</v>
      </c>
      <c r="BX21" s="10">
        <f t="shared" si="114"/>
        <v>2.4311992642336265E-3</v>
      </c>
      <c r="BY21" s="10">
        <f t="shared" si="114"/>
        <v>9.2799360229231468E-3</v>
      </c>
      <c r="BZ21" s="10">
        <f t="shared" si="114"/>
        <v>3.342943730576791E-3</v>
      </c>
      <c r="CA21" s="10">
        <f t="shared" si="114"/>
        <v>6.0756068670027768E-3</v>
      </c>
      <c r="CB21" s="10">
        <f t="shared" si="114"/>
        <v>9.8402036354895226E-3</v>
      </c>
      <c r="CC21" s="10">
        <f t="shared" si="114"/>
        <v>9.4348148233290019E-2</v>
      </c>
      <c r="CD21" s="10">
        <f t="shared" si="114"/>
        <v>2.2367290121841979E-2</v>
      </c>
      <c r="CE21" s="10">
        <f t="shared" si="114"/>
        <v>9.4922117599785839E-3</v>
      </c>
      <c r="CF21" s="10">
        <f t="shared" si="114"/>
        <v>6.9813271602676117E-4</v>
      </c>
      <c r="CI21" s="10">
        <f t="shared" ref="CI21:DA21" si="115">CI5/$DB5</f>
        <v>3.2294509453728824E-2</v>
      </c>
      <c r="CJ21" s="10">
        <f t="shared" si="115"/>
        <v>1.5281927099631907E-3</v>
      </c>
      <c r="CK21" s="10">
        <f t="shared" si="115"/>
        <v>0.77355355991959285</v>
      </c>
      <c r="CL21" s="10">
        <f t="shared" si="115"/>
        <v>9.6366095280127028E-5</v>
      </c>
      <c r="CM21" s="10">
        <f t="shared" si="115"/>
        <v>1.613771742905043E-2</v>
      </c>
      <c r="CN21" s="10">
        <f t="shared" si="115"/>
        <v>1.9390406549708423E-3</v>
      </c>
      <c r="CO21" s="10">
        <f t="shared" si="115"/>
        <v>1.19866698498475E-2</v>
      </c>
      <c r="CP21" s="10">
        <f t="shared" si="115"/>
        <v>3.3127089937669725E-3</v>
      </c>
      <c r="CQ21" s="10">
        <f t="shared" si="115"/>
        <v>3.0543742432000572E-3</v>
      </c>
      <c r="CR21" s="10">
        <f t="shared" si="115"/>
        <v>4.3883999165805158E-3</v>
      </c>
      <c r="CS21" s="10">
        <f t="shared" si="115"/>
        <v>7.8512190399086773E-2</v>
      </c>
      <c r="CT21" s="10">
        <f t="shared" si="115"/>
        <v>9.3829439478546467E-3</v>
      </c>
      <c r="CU21" s="10">
        <f t="shared" si="115"/>
        <v>1.8888991226369389E-4</v>
      </c>
      <c r="CV21" s="10">
        <f t="shared" si="115"/>
        <v>0</v>
      </c>
      <c r="CW21" s="10">
        <f t="shared" si="115"/>
        <v>9.0246625948907488E-3</v>
      </c>
      <c r="CX21" s="10">
        <f t="shared" si="115"/>
        <v>1.1406783698784059E-2</v>
      </c>
      <c r="CY21" s="10">
        <f t="shared" si="115"/>
        <v>6.6712447257523616E-3</v>
      </c>
      <c r="CZ21" s="10">
        <f t="shared" si="115"/>
        <v>3.6296760112569198E-4</v>
      </c>
      <c r="DA21" s="10">
        <f t="shared" si="115"/>
        <v>3.6158777854260846E-2</v>
      </c>
    </row>
    <row r="22" spans="1:107" ht="14.4">
      <c r="A22" s="474">
        <v>2019</v>
      </c>
      <c r="J22" s="470"/>
      <c r="K22" s="470"/>
      <c r="L22" s="470"/>
      <c r="M22" s="470"/>
      <c r="N22" s="470"/>
      <c r="O22" s="470"/>
      <c r="P22" s="470"/>
      <c r="Q22" s="470"/>
      <c r="R22" s="470"/>
      <c r="S22" s="470"/>
      <c r="T22" s="470"/>
      <c r="U22" s="470"/>
      <c r="V22" s="470"/>
      <c r="W22" s="470"/>
      <c r="X22" s="470"/>
      <c r="Y22" s="470"/>
      <c r="Z22" s="470"/>
      <c r="AA22" s="470"/>
      <c r="AB22" s="470"/>
      <c r="AC22" s="470"/>
      <c r="AD22" s="470"/>
      <c r="AE22" s="470"/>
      <c r="AF22" s="470"/>
      <c r="BM22">
        <v>2019</v>
      </c>
      <c r="BN22" s="10">
        <f t="shared" ref="BN22:CF22" si="116">BN6/$CG6</f>
        <v>3.279812372175402E-3</v>
      </c>
      <c r="BO22" s="10">
        <f t="shared" si="116"/>
        <v>4.6686956536368023E-3</v>
      </c>
      <c r="BP22" s="10">
        <f t="shared" si="116"/>
        <v>0.75954579663318333</v>
      </c>
      <c r="BQ22" s="10">
        <f t="shared" si="116"/>
        <v>2.0823034681414089E-2</v>
      </c>
      <c r="BR22" s="10">
        <f t="shared" si="116"/>
        <v>6.2732631383569711E-3</v>
      </c>
      <c r="BS22" s="10">
        <f t="shared" si="116"/>
        <v>0</v>
      </c>
      <c r="BT22" s="10">
        <f t="shared" si="116"/>
        <v>1.6740920077680515E-3</v>
      </c>
      <c r="BU22" s="10">
        <f t="shared" si="116"/>
        <v>2.6862971505973242E-2</v>
      </c>
      <c r="BV22" s="10">
        <f t="shared" si="116"/>
        <v>1.2292259506511288E-2</v>
      </c>
      <c r="BW22" s="10">
        <f t="shared" si="116"/>
        <v>1.3609167492173703E-2</v>
      </c>
      <c r="BX22" s="10">
        <f t="shared" si="116"/>
        <v>1.3052913790900496E-3</v>
      </c>
      <c r="BY22" s="10">
        <f t="shared" si="116"/>
        <v>6.4885338523925033E-3</v>
      </c>
      <c r="BZ22" s="10">
        <f t="shared" si="116"/>
        <v>2.4789070148210335E-3</v>
      </c>
      <c r="CA22" s="10">
        <f t="shared" si="116"/>
        <v>4.4663384225689133E-3</v>
      </c>
      <c r="CB22" s="10">
        <f t="shared" si="116"/>
        <v>1.1596511308478386E-2</v>
      </c>
      <c r="CC22" s="10">
        <f t="shared" si="116"/>
        <v>9.9817822838175932E-2</v>
      </c>
      <c r="CD22" s="10">
        <f t="shared" si="116"/>
        <v>1.6782685259638649E-2</v>
      </c>
      <c r="CE22" s="10">
        <f t="shared" si="116"/>
        <v>7.4749415079959705E-3</v>
      </c>
      <c r="CF22" s="10">
        <f t="shared" si="116"/>
        <v>5.5987542564561656E-4</v>
      </c>
      <c r="CI22" s="10">
        <f t="shared" ref="CI22:DA22" si="117">CI6/$DB6</f>
        <v>2.6181270436576646E-2</v>
      </c>
      <c r="CJ22" s="10">
        <f t="shared" si="117"/>
        <v>1.2940720185401493E-3</v>
      </c>
      <c r="CK22" s="10">
        <f t="shared" si="117"/>
        <v>0.77549749306964944</v>
      </c>
      <c r="CL22" s="10">
        <f t="shared" si="117"/>
        <v>9.4010273771018567E-5</v>
      </c>
      <c r="CM22" s="10">
        <f t="shared" si="117"/>
        <v>7.3570011394700928E-3</v>
      </c>
      <c r="CN22" s="10">
        <f t="shared" si="117"/>
        <v>8.3996449814931456E-4</v>
      </c>
      <c r="CO22" s="10">
        <f t="shared" si="117"/>
        <v>7.327961136167651E-3</v>
      </c>
      <c r="CP22" s="10">
        <f t="shared" si="117"/>
        <v>2.8699059217242237E-3</v>
      </c>
      <c r="CQ22" s="10">
        <f t="shared" si="117"/>
        <v>1.7390188912824742E-3</v>
      </c>
      <c r="CR22" s="10">
        <f t="shared" si="117"/>
        <v>2.4477599824661981E-3</v>
      </c>
      <c r="CS22" s="10">
        <f t="shared" si="117"/>
        <v>7.8795498261863453E-2</v>
      </c>
      <c r="CT22" s="10">
        <f t="shared" si="117"/>
        <v>1.7802580175227917E-2</v>
      </c>
      <c r="CU22" s="10">
        <f t="shared" si="117"/>
        <v>3.7757762562767996E-4</v>
      </c>
      <c r="CV22" s="10">
        <f t="shared" si="117"/>
        <v>1.7104497004086791E-4</v>
      </c>
      <c r="CW22" s="10">
        <f t="shared" si="117"/>
        <v>9.4046212099762119E-3</v>
      </c>
      <c r="CX22" s="10">
        <f t="shared" si="117"/>
        <v>2.3587208957062032E-2</v>
      </c>
      <c r="CY22" s="10">
        <f t="shared" si="117"/>
        <v>9.3604260576946562E-3</v>
      </c>
      <c r="CZ22" s="10">
        <f t="shared" si="117"/>
        <v>4.526135042217654E-4</v>
      </c>
      <c r="DA22" s="10">
        <f t="shared" si="117"/>
        <v>3.4399971870488169E-2</v>
      </c>
      <c r="DC22" s="10"/>
    </row>
    <row r="23" spans="1:107" ht="14.4">
      <c r="A23" s="474">
        <v>2020</v>
      </c>
      <c r="BM23">
        <v>2020</v>
      </c>
      <c r="BN23" s="10">
        <f t="shared" ref="BN23:CF23" si="118">BN7/$CG7</f>
        <v>2.6305014496044573E-3</v>
      </c>
      <c r="BO23" s="10">
        <f t="shared" si="118"/>
        <v>4.4256429078624133E-3</v>
      </c>
      <c r="BP23" s="10">
        <f t="shared" si="118"/>
        <v>0.77559316747977103</v>
      </c>
      <c r="BQ23" s="10">
        <f t="shared" si="118"/>
        <v>2.6029184756571167E-2</v>
      </c>
      <c r="BR23" s="10">
        <f t="shared" si="118"/>
        <v>4.3259459624700701E-3</v>
      </c>
      <c r="BS23" s="10">
        <f t="shared" si="118"/>
        <v>8.3789648532838984E-8</v>
      </c>
      <c r="BT23" s="10">
        <f t="shared" si="118"/>
        <v>1.4921909209639329E-3</v>
      </c>
      <c r="BU23" s="10">
        <f t="shared" si="118"/>
        <v>2.112762824152959E-2</v>
      </c>
      <c r="BV23" s="10">
        <f t="shared" si="118"/>
        <v>1.0919272716757949E-2</v>
      </c>
      <c r="BW23" s="10">
        <f t="shared" si="118"/>
        <v>1.2202770997639913E-2</v>
      </c>
      <c r="BX23" s="10">
        <f t="shared" si="118"/>
        <v>4.3722901699059027E-3</v>
      </c>
      <c r="BY23" s="10">
        <f t="shared" si="118"/>
        <v>6.6924176850143534E-3</v>
      </c>
      <c r="BZ23" s="10">
        <f t="shared" si="118"/>
        <v>2.4537372344954566E-3</v>
      </c>
      <c r="CA23" s="10">
        <f t="shared" si="118"/>
        <v>4.8784232270459279E-3</v>
      </c>
      <c r="CB23" s="10">
        <f t="shared" si="118"/>
        <v>1.0953425997208176E-2</v>
      </c>
      <c r="CC23" s="10">
        <f t="shared" si="118"/>
        <v>7.9268922227790098E-2</v>
      </c>
      <c r="CD23" s="10">
        <f t="shared" si="118"/>
        <v>2.6263337724954022E-2</v>
      </c>
      <c r="CE23" s="10">
        <f t="shared" si="118"/>
        <v>4.6061005921288921E-3</v>
      </c>
      <c r="CF23" s="10">
        <f t="shared" si="118"/>
        <v>1.7649559186381778E-3</v>
      </c>
      <c r="CI23" s="10">
        <f t="shared" ref="CI23:DA23" si="119">CI7/$DB7</f>
        <v>1.7645018269355932E-2</v>
      </c>
      <c r="CJ23" s="10">
        <f t="shared" si="119"/>
        <v>1.7868425404396013E-3</v>
      </c>
      <c r="CK23" s="10">
        <f t="shared" si="119"/>
        <v>0.79148047583482606</v>
      </c>
      <c r="CL23" s="10">
        <f t="shared" si="119"/>
        <v>1.5237975411632829E-4</v>
      </c>
      <c r="CM23" s="10">
        <f t="shared" si="119"/>
        <v>7.4301772166683565E-3</v>
      </c>
      <c r="CN23" s="10">
        <f t="shared" si="119"/>
        <v>8.7124684957440854E-4</v>
      </c>
      <c r="CO23" s="10">
        <f t="shared" si="119"/>
        <v>1.5393771412905728E-2</v>
      </c>
      <c r="CP23" s="10">
        <f t="shared" si="119"/>
        <v>2.8079583034063735E-3</v>
      </c>
      <c r="CQ23" s="10">
        <f t="shared" si="119"/>
        <v>1.3742537585770449E-3</v>
      </c>
      <c r="CR23" s="10">
        <f t="shared" si="119"/>
        <v>1.099591779344611E-3</v>
      </c>
      <c r="CS23" s="10">
        <f t="shared" si="119"/>
        <v>6.7283493144594128E-2</v>
      </c>
      <c r="CT23" s="10">
        <f t="shared" si="119"/>
        <v>1.9350888232782974E-2</v>
      </c>
      <c r="CU23" s="10">
        <f t="shared" si="119"/>
        <v>1.4383179008092651E-2</v>
      </c>
      <c r="CV23" s="10">
        <f t="shared" si="119"/>
        <v>4.6686624675148158E-6</v>
      </c>
      <c r="CW23" s="10">
        <f t="shared" si="119"/>
        <v>1.0095382090635043E-2</v>
      </c>
      <c r="CX23" s="10">
        <f t="shared" si="119"/>
        <v>2.2248327564311662E-2</v>
      </c>
      <c r="CY23" s="10">
        <f t="shared" si="119"/>
        <v>4.0621353058763795E-3</v>
      </c>
      <c r="CZ23" s="10">
        <f t="shared" si="119"/>
        <v>9.5301875932439918E-4</v>
      </c>
      <c r="DA23" s="10">
        <f t="shared" si="119"/>
        <v>2.1577191512701075E-2</v>
      </c>
    </row>
    <row r="24" spans="1:107" ht="14.4">
      <c r="A24" s="474">
        <v>2021</v>
      </c>
      <c r="BM24">
        <v>2021</v>
      </c>
      <c r="BN24" s="10">
        <f t="shared" ref="BN24:CF24" si="120">BN8/$CG8</f>
        <v>2.520190532840715E-3</v>
      </c>
      <c r="BO24" s="10">
        <f t="shared" si="120"/>
        <v>4.2167905923393475E-3</v>
      </c>
      <c r="BP24" s="10">
        <f t="shared" si="120"/>
        <v>0.83606338643229128</v>
      </c>
      <c r="BQ24" s="10">
        <f t="shared" si="120"/>
        <v>1.7691846540231978E-2</v>
      </c>
      <c r="BR24" s="10">
        <f t="shared" si="120"/>
        <v>4.1659639899900482E-3</v>
      </c>
      <c r="BS24" s="10">
        <f t="shared" si="120"/>
        <v>0</v>
      </c>
      <c r="BT24" s="10">
        <f t="shared" si="120"/>
        <v>8.4739728298629505E-4</v>
      </c>
      <c r="BU24" s="10">
        <f t="shared" si="120"/>
        <v>1.4801286594787683E-2</v>
      </c>
      <c r="BV24" s="10">
        <f t="shared" si="120"/>
        <v>7.1446432752577714E-3</v>
      </c>
      <c r="BW24" s="10">
        <f t="shared" si="120"/>
        <v>7.0443643928313005E-3</v>
      </c>
      <c r="BX24" s="10">
        <f t="shared" si="120"/>
        <v>5.5839706780338684E-3</v>
      </c>
      <c r="BY24" s="10">
        <f t="shared" si="120"/>
        <v>3.9680554746965076E-3</v>
      </c>
      <c r="BZ24" s="10">
        <f t="shared" si="120"/>
        <v>1.712145517456648E-3</v>
      </c>
      <c r="CA24" s="10">
        <f t="shared" si="120"/>
        <v>4.1829494977960666E-3</v>
      </c>
      <c r="CB24" s="10">
        <f t="shared" si="120"/>
        <v>6.6703578950233645E-3</v>
      </c>
      <c r="CC24" s="10">
        <f t="shared" si="120"/>
        <v>5.6169491194141274E-2</v>
      </c>
      <c r="CD24" s="10">
        <f t="shared" si="120"/>
        <v>2.1457975332996045E-2</v>
      </c>
      <c r="CE24" s="10">
        <f t="shared" si="120"/>
        <v>4.4671002788577319E-3</v>
      </c>
      <c r="CF24" s="10">
        <f t="shared" si="120"/>
        <v>1.2920844974420821E-3</v>
      </c>
      <c r="CI24" s="10">
        <f t="shared" ref="CI24:DA24" si="121">CI8/$DB8</f>
        <v>2.1111724264461992E-2</v>
      </c>
      <c r="CJ24" s="10">
        <f t="shared" si="121"/>
        <v>4.6868925103889914E-4</v>
      </c>
      <c r="CK24" s="10">
        <f t="shared" si="121"/>
        <v>0.81296079016854961</v>
      </c>
      <c r="CL24" s="10">
        <f t="shared" si="121"/>
        <v>1.413316693145013E-4</v>
      </c>
      <c r="CM24" s="10">
        <f t="shared" si="121"/>
        <v>2.7799915293777451E-3</v>
      </c>
      <c r="CN24" s="10">
        <f t="shared" si="121"/>
        <v>8.7962135352220492E-4</v>
      </c>
      <c r="CO24" s="10">
        <f t="shared" si="121"/>
        <v>6.1122370067530959E-3</v>
      </c>
      <c r="CP24" s="10">
        <f t="shared" si="121"/>
        <v>3.8706765613996173E-3</v>
      </c>
      <c r="CQ24" s="10">
        <f t="shared" si="121"/>
        <v>2.1699876972561009E-3</v>
      </c>
      <c r="CR24" s="10">
        <f t="shared" si="121"/>
        <v>4.9581664884269004E-3</v>
      </c>
      <c r="CS24" s="10">
        <f t="shared" si="121"/>
        <v>5.674259291052472E-2</v>
      </c>
      <c r="CT24" s="10">
        <f t="shared" si="121"/>
        <v>1.7392491016497081E-2</v>
      </c>
      <c r="CU24" s="10">
        <f t="shared" si="121"/>
        <v>1.1560352265606222E-2</v>
      </c>
      <c r="CV24" s="10">
        <f t="shared" si="121"/>
        <v>1.043777031699163E-5</v>
      </c>
      <c r="CW24" s="10">
        <f t="shared" si="121"/>
        <v>8.0658357641752929E-3</v>
      </c>
      <c r="CX24" s="10">
        <f t="shared" si="121"/>
        <v>1.9337553575846326E-2</v>
      </c>
      <c r="CY24" s="10">
        <f t="shared" si="121"/>
        <v>4.4020880085887124E-3</v>
      </c>
      <c r="CZ24" s="10">
        <f t="shared" si="121"/>
        <v>7.5652300919895523E-4</v>
      </c>
      <c r="DA24" s="10">
        <f t="shared" si="121"/>
        <v>2.627890968914488E-2</v>
      </c>
    </row>
    <row r="25" spans="1:107" ht="14.4">
      <c r="A25" s="474">
        <v>2022</v>
      </c>
      <c r="BM25">
        <v>2022</v>
      </c>
      <c r="BN25" s="10">
        <f t="shared" ref="BN25:CF25" si="122">BN9/$CG9</f>
        <v>3.387598091504736E-3</v>
      </c>
      <c r="BO25" s="10">
        <f t="shared" si="122"/>
        <v>3.4514823791617299E-3</v>
      </c>
      <c r="BP25" s="10">
        <f t="shared" si="122"/>
        <v>0.8285737894070403</v>
      </c>
      <c r="BQ25" s="10">
        <f t="shared" si="122"/>
        <v>1.6045009587215393E-2</v>
      </c>
      <c r="BR25" s="10">
        <f t="shared" si="122"/>
        <v>4.0976217427063193E-3</v>
      </c>
      <c r="BS25" s="10">
        <f t="shared" si="122"/>
        <v>0</v>
      </c>
      <c r="BT25" s="10">
        <f t="shared" si="122"/>
        <v>8.4087616878391149E-4</v>
      </c>
      <c r="BU25" s="10">
        <f t="shared" si="122"/>
        <v>1.4119631610207376E-2</v>
      </c>
      <c r="BV25" s="10">
        <f t="shared" si="122"/>
        <v>4.9574915604709271E-3</v>
      </c>
      <c r="BW25" s="10">
        <f t="shared" si="122"/>
        <v>5.3730192126394708E-3</v>
      </c>
      <c r="BX25" s="10">
        <f t="shared" si="122"/>
        <v>5.2410639085253702E-3</v>
      </c>
      <c r="BY25" s="10">
        <f t="shared" si="122"/>
        <v>4.9626407032294147E-3</v>
      </c>
      <c r="BZ25" s="10">
        <f t="shared" si="122"/>
        <v>1.342702481192474E-3</v>
      </c>
      <c r="CA25" s="10">
        <f t="shared" si="122"/>
        <v>4.2366907653786107E-3</v>
      </c>
      <c r="CB25" s="10">
        <f t="shared" si="122"/>
        <v>7.6833041624599519E-3</v>
      </c>
      <c r="CC25" s="10">
        <f t="shared" si="122"/>
        <v>6.6675501148843908E-2</v>
      </c>
      <c r="CD25" s="10">
        <f t="shared" si="122"/>
        <v>2.4968214740105979E-2</v>
      </c>
      <c r="CE25" s="10">
        <f t="shared" si="122"/>
        <v>3.8379792524499403E-3</v>
      </c>
      <c r="CF25" s="10">
        <f t="shared" si="122"/>
        <v>2.0538307808417293E-4</v>
      </c>
      <c r="CI25" s="10">
        <f t="shared" ref="CI25:DA25" si="123">CI9/$DB9</f>
        <v>2.9894550477359234E-2</v>
      </c>
      <c r="CJ25" s="10">
        <f t="shared" si="123"/>
        <v>2.0074077319027453E-4</v>
      </c>
      <c r="CK25" s="10">
        <f t="shared" si="123"/>
        <v>0.7731776199224677</v>
      </c>
      <c r="CL25" s="10">
        <f t="shared" si="123"/>
        <v>2.4205320533290259E-4</v>
      </c>
      <c r="CM25" s="10">
        <f t="shared" si="123"/>
        <v>2.0457950003543884E-3</v>
      </c>
      <c r="CN25" s="10">
        <f t="shared" si="123"/>
        <v>2.5039816074073642E-3</v>
      </c>
      <c r="CO25" s="10">
        <f t="shared" si="123"/>
        <v>7.0344363735590741E-3</v>
      </c>
      <c r="CP25" s="10">
        <f t="shared" si="123"/>
        <v>4.3628764488069195E-3</v>
      </c>
      <c r="CQ25" s="10">
        <f t="shared" si="123"/>
        <v>1.8971575439972071E-3</v>
      </c>
      <c r="CR25" s="10">
        <f t="shared" si="123"/>
        <v>1.8026833405816779E-3</v>
      </c>
      <c r="CS25" s="10">
        <f t="shared" si="123"/>
        <v>6.9493669553313916E-2</v>
      </c>
      <c r="CT25" s="10">
        <f t="shared" si="123"/>
        <v>1.3439103227019765E-2</v>
      </c>
      <c r="CU25" s="10">
        <f t="shared" si="123"/>
        <v>1.0556578266490511E-2</v>
      </c>
      <c r="CV25" s="10">
        <f t="shared" si="123"/>
        <v>3.1939859675987075E-5</v>
      </c>
      <c r="CW25" s="10">
        <f t="shared" si="123"/>
        <v>1.4785060816838664E-2</v>
      </c>
      <c r="CX25" s="10">
        <f t="shared" si="123"/>
        <v>2.5485929840379291E-2</v>
      </c>
      <c r="CY25" s="10">
        <f t="shared" si="123"/>
        <v>1.0176044694405372E-2</v>
      </c>
      <c r="CZ25" s="10">
        <f t="shared" si="123"/>
        <v>5.8258094595248786E-4</v>
      </c>
      <c r="DA25" s="10">
        <f t="shared" si="123"/>
        <v>3.2287198102867495E-2</v>
      </c>
    </row>
    <row r="26" spans="1:107" ht="14.4">
      <c r="A26" s="474">
        <v>2023</v>
      </c>
      <c r="BM26">
        <v>2023</v>
      </c>
      <c r="BN26" s="10">
        <f t="shared" ref="BN26:CF26" si="124">BN10/$CG10</f>
        <v>9.3332750041295507E-4</v>
      </c>
      <c r="BO26" s="10">
        <f t="shared" si="124"/>
        <v>5.8274828082827473E-3</v>
      </c>
      <c r="BP26" s="10">
        <f t="shared" si="124"/>
        <v>0.77608345541550261</v>
      </c>
      <c r="BQ26" s="10">
        <f t="shared" si="124"/>
        <v>2.6701745970193012E-2</v>
      </c>
      <c r="BR26" s="10">
        <f t="shared" si="124"/>
        <v>6.6808254080488478E-3</v>
      </c>
      <c r="BS26" s="10">
        <f t="shared" si="124"/>
        <v>0</v>
      </c>
      <c r="BT26" s="10">
        <f t="shared" si="124"/>
        <v>1.4311121275280391E-3</v>
      </c>
      <c r="BU26" s="10">
        <f t="shared" si="124"/>
        <v>1.7091884860133921E-2</v>
      </c>
      <c r="BV26" s="10">
        <f t="shared" si="124"/>
        <v>8.7822831952278479E-3</v>
      </c>
      <c r="BW26" s="10">
        <f t="shared" si="124"/>
        <v>7.206746969137057E-3</v>
      </c>
      <c r="BX26" s="10">
        <f t="shared" si="124"/>
        <v>6.0912984759520419E-3</v>
      </c>
      <c r="BY26" s="10">
        <f t="shared" si="124"/>
        <v>1.1045638047139313E-2</v>
      </c>
      <c r="BZ26" s="10">
        <f t="shared" si="124"/>
        <v>2.1621119547373686E-3</v>
      </c>
      <c r="CA26" s="10">
        <f t="shared" si="124"/>
        <v>4.5027079045682362E-3</v>
      </c>
      <c r="CB26" s="10">
        <f t="shared" si="124"/>
        <v>7.0741022297144381E-3</v>
      </c>
      <c r="CC26" s="10">
        <f t="shared" si="124"/>
        <v>8.2700728097376358E-2</v>
      </c>
      <c r="CD26" s="10">
        <f t="shared" si="124"/>
        <v>3.082554233693631E-2</v>
      </c>
      <c r="CE26" s="10">
        <f t="shared" si="124"/>
        <v>4.4498519150634004E-3</v>
      </c>
      <c r="CF26" s="10">
        <f t="shared" si="124"/>
        <v>4.0915478404518165E-4</v>
      </c>
      <c r="CI26" s="10">
        <f t="shared" ref="CI26:DA26" si="125">CI10/$DB10</f>
        <v>1.3877292057940312E-2</v>
      </c>
      <c r="CJ26" s="10">
        <f t="shared" si="125"/>
        <v>7.0805449810998802E-5</v>
      </c>
      <c r="CK26" s="10">
        <f t="shared" si="125"/>
        <v>0.89459728892044532</v>
      </c>
      <c r="CL26" s="10">
        <f t="shared" si="125"/>
        <v>9.6382326943175698E-5</v>
      </c>
      <c r="CM26" s="10">
        <f t="shared" si="125"/>
        <v>2.1734368606334937E-3</v>
      </c>
      <c r="CN26" s="10">
        <f t="shared" si="125"/>
        <v>1.6731678452208403E-3</v>
      </c>
      <c r="CO26" s="10">
        <f t="shared" si="125"/>
        <v>2.5012985850146646E-3</v>
      </c>
      <c r="CP26" s="10">
        <f t="shared" si="125"/>
        <v>2.1805974205477818E-3</v>
      </c>
      <c r="CQ26" s="10">
        <f t="shared" si="125"/>
        <v>1.2322770410309999E-3</v>
      </c>
      <c r="CR26" s="10">
        <f t="shared" si="125"/>
        <v>1.0420581799032188E-3</v>
      </c>
      <c r="CS26" s="10">
        <f t="shared" si="125"/>
        <v>4.1734513706005394E-2</v>
      </c>
      <c r="CT26" s="10">
        <f t="shared" si="125"/>
        <v>1.0279975311249882E-2</v>
      </c>
      <c r="CU26" s="10">
        <f t="shared" si="125"/>
        <v>1.5436986450328273E-3</v>
      </c>
      <c r="CV26" s="10">
        <f t="shared" si="125"/>
        <v>1.4683017189447565E-6</v>
      </c>
      <c r="CW26" s="10">
        <f t="shared" si="125"/>
        <v>6.2886021394083233E-3</v>
      </c>
      <c r="CX26" s="10">
        <f t="shared" si="125"/>
        <v>7.3915305549853913E-3</v>
      </c>
      <c r="CY26" s="10">
        <f t="shared" si="125"/>
        <v>3.9029136470086663E-3</v>
      </c>
      <c r="CZ26" s="10">
        <f t="shared" si="125"/>
        <v>5.1309816920515133E-4</v>
      </c>
      <c r="DA26" s="10">
        <f t="shared" si="125"/>
        <v>8.8995948378947521E-3</v>
      </c>
    </row>
    <row r="27" spans="1:107" ht="14.4">
      <c r="A27" s="474">
        <v>2024</v>
      </c>
      <c r="BM27">
        <v>2024</v>
      </c>
      <c r="BN27" s="10">
        <f t="shared" ref="BN27:CF27" si="126">BN11/$CG11</f>
        <v>3.4220185870730306E-3</v>
      </c>
      <c r="BO27" s="10">
        <f t="shared" si="126"/>
        <v>5.2941632722743699E-3</v>
      </c>
      <c r="BP27" s="10">
        <f t="shared" si="126"/>
        <v>0.81049425602953373</v>
      </c>
      <c r="BQ27" s="10">
        <f t="shared" si="126"/>
        <v>2.02550784369348E-2</v>
      </c>
      <c r="BR27" s="10">
        <f t="shared" si="126"/>
        <v>6.3547531887798384E-3</v>
      </c>
      <c r="BS27" s="10">
        <f t="shared" si="126"/>
        <v>0</v>
      </c>
      <c r="BT27" s="10">
        <f t="shared" si="126"/>
        <v>1.5414687248410119E-3</v>
      </c>
      <c r="BU27" s="10">
        <f t="shared" si="126"/>
        <v>1.621045607572404E-2</v>
      </c>
      <c r="BV27" s="10">
        <f t="shared" si="126"/>
        <v>8.1204788616133922E-3</v>
      </c>
      <c r="BW27" s="10">
        <f t="shared" si="126"/>
        <v>6.1921578558016719E-3</v>
      </c>
      <c r="BX27" s="10">
        <f t="shared" si="126"/>
        <v>4.4961431144716736E-3</v>
      </c>
      <c r="BY27" s="10">
        <f t="shared" si="126"/>
        <v>8.1968567449904189E-3</v>
      </c>
      <c r="BZ27" s="10">
        <f t="shared" si="126"/>
        <v>1.9535216262394337E-3</v>
      </c>
      <c r="CA27" s="10">
        <f t="shared" si="126"/>
        <v>3.6096392278799684E-3</v>
      </c>
      <c r="CB27" s="10">
        <f t="shared" si="126"/>
        <v>6.038916164086301E-3</v>
      </c>
      <c r="CC27" s="10">
        <f t="shared" si="126"/>
        <v>6.8130187910353704E-2</v>
      </c>
      <c r="CD27" s="10">
        <f t="shared" si="126"/>
        <v>2.5531446208321755E-2</v>
      </c>
      <c r="CE27" s="10">
        <f t="shared" si="126"/>
        <v>3.6937034226191589E-3</v>
      </c>
      <c r="CF27" s="10">
        <f t="shared" si="126"/>
        <v>4.6475454846143973E-4</v>
      </c>
      <c r="CI27" s="10">
        <f t="shared" ref="CI27:DA27" si="127">CI11/$DB11</f>
        <v>1.4418122881092635E-2</v>
      </c>
      <c r="CJ27" s="10">
        <f t="shared" si="127"/>
        <v>1.0678127023551697E-3</v>
      </c>
      <c r="CK27" s="10">
        <f t="shared" si="127"/>
        <v>0.87181138630007615</v>
      </c>
      <c r="CL27" s="10">
        <f t="shared" si="127"/>
        <v>7.8010577782306064E-4</v>
      </c>
      <c r="CM27" s="10">
        <f t="shared" si="127"/>
        <v>4.3996804249432381E-3</v>
      </c>
      <c r="CN27" s="10">
        <f t="shared" si="127"/>
        <v>3.5457486918637139E-4</v>
      </c>
      <c r="CO27" s="10">
        <f t="shared" si="127"/>
        <v>7.1940621718142878E-3</v>
      </c>
      <c r="CP27" s="10">
        <f t="shared" si="127"/>
        <v>3.4886442424381637E-3</v>
      </c>
      <c r="CQ27" s="10">
        <f t="shared" si="127"/>
        <v>8.9579943539782518E-4</v>
      </c>
      <c r="CR27" s="10">
        <f t="shared" si="127"/>
        <v>1.5458934107673967E-3</v>
      </c>
      <c r="CS27" s="10">
        <f t="shared" si="127"/>
        <v>4.2343922563440939E-2</v>
      </c>
      <c r="CT27" s="10">
        <f t="shared" si="127"/>
        <v>1.3040258003477188E-2</v>
      </c>
      <c r="CU27" s="10">
        <f t="shared" si="127"/>
        <v>5.7179519679403587E-3</v>
      </c>
      <c r="CV27" s="10">
        <f t="shared" si="127"/>
        <v>2.0175034723331282E-5</v>
      </c>
      <c r="CW27" s="10">
        <f t="shared" si="127"/>
        <v>8.6976466501385331E-3</v>
      </c>
      <c r="CX27" s="10">
        <f t="shared" si="127"/>
        <v>8.3851326961695977E-3</v>
      </c>
      <c r="CY27" s="10">
        <f t="shared" si="127"/>
        <v>4.9478891444037117E-3</v>
      </c>
      <c r="CZ27" s="10">
        <f t="shared" si="127"/>
        <v>8.5367939970589001E-4</v>
      </c>
      <c r="DA27" s="10">
        <f t="shared" si="127"/>
        <v>1.0037262324106294E-2</v>
      </c>
    </row>
    <row r="28" spans="1:107" ht="14.4">
      <c r="A28" s="474">
        <v>2025</v>
      </c>
      <c r="BM28">
        <v>2025</v>
      </c>
      <c r="BN28" s="10">
        <f t="shared" ref="BN28:CF28" si="128">BN12/$CG12</f>
        <v>1.8009805092536893E-3</v>
      </c>
      <c r="BO28" s="10">
        <f t="shared" si="128"/>
        <v>8.6414465091963419E-3</v>
      </c>
      <c r="BP28" s="10">
        <f t="shared" si="128"/>
        <v>0.78902725681042041</v>
      </c>
      <c r="BQ28" s="10">
        <f t="shared" si="128"/>
        <v>2.2944257641885225E-2</v>
      </c>
      <c r="BR28" s="10">
        <f t="shared" si="128"/>
        <v>6.6243027335336968E-3</v>
      </c>
      <c r="BS28" s="10">
        <f t="shared" si="128"/>
        <v>0</v>
      </c>
      <c r="BT28" s="10">
        <f t="shared" si="128"/>
        <v>9.973169532922451E-4</v>
      </c>
      <c r="BU28" s="10">
        <f t="shared" si="128"/>
        <v>1.6201307707996545E-2</v>
      </c>
      <c r="BV28" s="10">
        <f t="shared" si="128"/>
        <v>8.957884148554373E-3</v>
      </c>
      <c r="BW28" s="10">
        <f t="shared" si="128"/>
        <v>8.8788898705571672E-3</v>
      </c>
      <c r="BX28" s="10">
        <f t="shared" si="128"/>
        <v>2.7855943495598383E-3</v>
      </c>
      <c r="BY28" s="10">
        <f t="shared" si="128"/>
        <v>9.6798646406823681E-3</v>
      </c>
      <c r="BZ28" s="10">
        <f t="shared" si="128"/>
        <v>1.9838134105663215E-3</v>
      </c>
      <c r="CA28" s="10">
        <f t="shared" si="128"/>
        <v>4.2641293690732556E-3</v>
      </c>
      <c r="CB28" s="10">
        <f t="shared" si="128"/>
        <v>1.5344089108601615E-3</v>
      </c>
      <c r="CC28" s="10">
        <f t="shared" si="128"/>
        <v>8.1296062316687082E-2</v>
      </c>
      <c r="CD28" s="10">
        <f t="shared" si="128"/>
        <v>2.951523016755633E-2</v>
      </c>
      <c r="CE28" s="10">
        <f t="shared" si="128"/>
        <v>4.4152678221086334E-3</v>
      </c>
      <c r="CF28" s="10">
        <f t="shared" si="128"/>
        <v>4.5198612821666415E-4</v>
      </c>
      <c r="CI28" s="10">
        <f t="shared" ref="CI28:DA28" si="129">CI12/$DB12</f>
        <v>3.1476235308690162E-2</v>
      </c>
      <c r="CJ28" s="10">
        <f t="shared" si="129"/>
        <v>1.1657978691037552E-3</v>
      </c>
      <c r="CK28" s="10">
        <f t="shared" si="129"/>
        <v>0.7744167945460565</v>
      </c>
      <c r="CL28" s="10">
        <f t="shared" si="129"/>
        <v>6.3268896929434852E-4</v>
      </c>
      <c r="CM28" s="10">
        <f t="shared" si="129"/>
        <v>2.9042267949636298E-3</v>
      </c>
      <c r="CN28" s="10">
        <f t="shared" si="129"/>
        <v>8.9481699531655389E-4</v>
      </c>
      <c r="CO28" s="10">
        <f t="shared" si="129"/>
        <v>3.896555965892997E-3</v>
      </c>
      <c r="CP28" s="10">
        <f t="shared" si="129"/>
        <v>1.0083245576412058E-2</v>
      </c>
      <c r="CQ28" s="10">
        <f t="shared" si="129"/>
        <v>1.8167491198813651E-3</v>
      </c>
      <c r="CR28" s="10">
        <f t="shared" si="129"/>
        <v>7.1814733131448684E-3</v>
      </c>
      <c r="CS28" s="10">
        <f t="shared" si="129"/>
        <v>4.9332489442268243E-2</v>
      </c>
      <c r="CT28" s="10">
        <f t="shared" si="129"/>
        <v>1.3979875003859945E-2</v>
      </c>
      <c r="CU28" s="10">
        <f t="shared" si="129"/>
        <v>7.0065494108436949E-3</v>
      </c>
      <c r="CV28" s="10">
        <f t="shared" si="129"/>
        <v>1.8506300857504778E-5</v>
      </c>
      <c r="CW28" s="10">
        <f t="shared" si="129"/>
        <v>1.0700911193303082E-2</v>
      </c>
      <c r="CX28" s="10">
        <f t="shared" si="129"/>
        <v>2.7620491600529817E-2</v>
      </c>
      <c r="CY28" s="10">
        <f t="shared" si="129"/>
        <v>8.2836051874172981E-3</v>
      </c>
      <c r="CZ28" s="10">
        <f t="shared" si="129"/>
        <v>4.99232754177116E-4</v>
      </c>
      <c r="DA28" s="10">
        <f t="shared" si="129"/>
        <v>4.8089754647986822E-2</v>
      </c>
    </row>
    <row r="29" spans="1:107" ht="14.4">
      <c r="A29" s="474">
        <v>2026</v>
      </c>
      <c r="BM29">
        <v>2026</v>
      </c>
      <c r="BN29" s="10">
        <f t="shared" ref="BN29:CF29" si="130">BN13/$CG13</f>
        <v>2.777629210663365E-3</v>
      </c>
      <c r="BO29" s="10">
        <f t="shared" si="130"/>
        <v>6.7566926934685741E-3</v>
      </c>
      <c r="BP29" s="10">
        <f t="shared" si="130"/>
        <v>0.78283727750807963</v>
      </c>
      <c r="BQ29" s="10">
        <f t="shared" si="130"/>
        <v>1.9934609025745498E-2</v>
      </c>
      <c r="BR29" s="10">
        <f t="shared" si="130"/>
        <v>5.9541449260239179E-3</v>
      </c>
      <c r="BS29" s="10">
        <f t="shared" si="130"/>
        <v>0</v>
      </c>
      <c r="BT29" s="10">
        <f t="shared" si="130"/>
        <v>1.1050674085358939E-3</v>
      </c>
      <c r="BU29" s="10">
        <f t="shared" si="130"/>
        <v>1.2556755077940532E-2</v>
      </c>
      <c r="BV29" s="10">
        <f t="shared" si="130"/>
        <v>7.5374235775347732E-3</v>
      </c>
      <c r="BW29" s="10">
        <f t="shared" si="130"/>
        <v>9.9942761469191989E-3</v>
      </c>
      <c r="BX29" s="10">
        <f t="shared" si="130"/>
        <v>3.0830981647213948E-3</v>
      </c>
      <c r="BY29" s="10">
        <f t="shared" si="130"/>
        <v>9.2431371339742642E-3</v>
      </c>
      <c r="BZ29" s="10">
        <f t="shared" si="130"/>
        <v>1.8149287317786539E-3</v>
      </c>
      <c r="CA29" s="10">
        <f t="shared" si="130"/>
        <v>5.6170620264693214E-3</v>
      </c>
      <c r="CB29" s="10">
        <f t="shared" si="130"/>
        <v>1.5417679382763176E-3</v>
      </c>
      <c r="CC29" s="10">
        <f t="shared" si="130"/>
        <v>9.4775980640257745E-2</v>
      </c>
      <c r="CD29" s="10">
        <f t="shared" si="130"/>
        <v>2.7630982605596655E-2</v>
      </c>
      <c r="CE29" s="10">
        <f t="shared" si="130"/>
        <v>6.2309129245611116E-3</v>
      </c>
      <c r="CF29" s="10">
        <f t="shared" si="130"/>
        <v>6.082542594529715E-4</v>
      </c>
      <c r="CI29" s="10">
        <f t="shared" ref="CI29:DA29" si="131">CI13/$DB13</f>
        <v>1.3817908589638458E-2</v>
      </c>
      <c r="CJ29" s="10">
        <f t="shared" si="131"/>
        <v>3.8275736454455872E-4</v>
      </c>
      <c r="CK29" s="10">
        <f t="shared" si="131"/>
        <v>0.82031535281406365</v>
      </c>
      <c r="CL29" s="10">
        <f t="shared" si="131"/>
        <v>1.6722463423464191E-4</v>
      </c>
      <c r="CM29" s="10">
        <f t="shared" si="131"/>
        <v>5.2426646028570362E-3</v>
      </c>
      <c r="CN29" s="10">
        <f t="shared" si="131"/>
        <v>2.1183081835289045E-3</v>
      </c>
      <c r="CO29" s="10">
        <f t="shared" si="131"/>
        <v>4.2410513548993027E-3</v>
      </c>
      <c r="CP29" s="10">
        <f t="shared" si="131"/>
        <v>7.4578016166381399E-3</v>
      </c>
      <c r="CQ29" s="10">
        <f t="shared" si="131"/>
        <v>1.8036074739698805E-3</v>
      </c>
      <c r="CR29" s="10">
        <f t="shared" si="131"/>
        <v>1.9887229964042062E-3</v>
      </c>
      <c r="CS29" s="10">
        <f t="shared" si="131"/>
        <v>3.7873415239265004E-2</v>
      </c>
      <c r="CT29" s="10">
        <f t="shared" si="131"/>
        <v>1.0590899319505558E-2</v>
      </c>
      <c r="CU29" s="10">
        <f t="shared" si="131"/>
        <v>4.5845313387801213E-3</v>
      </c>
      <c r="CV29" s="10">
        <f t="shared" si="131"/>
        <v>1.8466103531644218E-6</v>
      </c>
      <c r="CW29" s="10">
        <f t="shared" si="131"/>
        <v>8.7681976896297267E-3</v>
      </c>
      <c r="CX29" s="10">
        <f t="shared" si="131"/>
        <v>3.638638585466706E-2</v>
      </c>
      <c r="CY29" s="10">
        <f t="shared" si="131"/>
        <v>6.3647089554135271E-3</v>
      </c>
      <c r="CZ29" s="10">
        <f t="shared" si="131"/>
        <v>4.4953437720741951E-4</v>
      </c>
      <c r="DA29" s="10">
        <f t="shared" si="131"/>
        <v>3.7445080984399873E-2</v>
      </c>
    </row>
    <row r="31" spans="1:107">
      <c r="BM31" s="470" t="s">
        <v>253</v>
      </c>
      <c r="BN31" s="10">
        <f>AVERAGE(BN23:BN28)</f>
        <v>2.4491027784482641E-3</v>
      </c>
      <c r="BO31" s="10">
        <f t="shared" ref="BO31:CF31" si="132">AVERAGE(BO23:BO28)</f>
        <v>5.3095014115194907E-3</v>
      </c>
      <c r="BP31" s="10">
        <f t="shared" si="132"/>
        <v>0.80263921859575993</v>
      </c>
      <c r="BQ31" s="10">
        <f t="shared" si="132"/>
        <v>2.1611187155505265E-2</v>
      </c>
      <c r="BR31" s="10">
        <f t="shared" si="132"/>
        <v>5.3749021709214697E-3</v>
      </c>
      <c r="BS31" s="10">
        <f t="shared" si="132"/>
        <v>1.3964941422139831E-8</v>
      </c>
      <c r="BT31" s="10">
        <f t="shared" si="132"/>
        <v>1.1917270297325726E-3</v>
      </c>
      <c r="BU31" s="10">
        <f t="shared" si="132"/>
        <v>1.6592032515063193E-2</v>
      </c>
      <c r="BV31" s="10">
        <f t="shared" si="132"/>
        <v>8.1470089596470448E-3</v>
      </c>
      <c r="BW31" s="10">
        <f t="shared" si="132"/>
        <v>7.816324883101097E-3</v>
      </c>
      <c r="BX31" s="10">
        <f t="shared" si="132"/>
        <v>4.7617267827414489E-3</v>
      </c>
      <c r="BY31" s="10">
        <f t="shared" si="132"/>
        <v>7.4242455492920618E-3</v>
      </c>
      <c r="BZ31" s="10">
        <f t="shared" si="132"/>
        <v>1.9346720374479505E-3</v>
      </c>
      <c r="CA31" s="10">
        <f t="shared" si="132"/>
        <v>4.2790899986236775E-3</v>
      </c>
      <c r="CB31" s="10">
        <f t="shared" si="132"/>
        <v>6.6590858932253985E-3</v>
      </c>
      <c r="CC31" s="10">
        <f t="shared" si="132"/>
        <v>7.2373482149198726E-2</v>
      </c>
      <c r="CD31" s="10">
        <f t="shared" si="132"/>
        <v>2.6426957751811739E-2</v>
      </c>
      <c r="CE31" s="10">
        <f t="shared" si="132"/>
        <v>4.2450005472046267E-3</v>
      </c>
      <c r="CF31" s="10">
        <f t="shared" si="132"/>
        <v>7.6471982581461978E-4</v>
      </c>
      <c r="CI31" s="12">
        <f>AVERAGE(CI24:CI29)</f>
        <v>2.0765972263197131E-2</v>
      </c>
      <c r="CJ31" s="12">
        <f t="shared" ref="CJ31:DA31" si="133">AVERAGE(CJ24:CJ29)</f>
        <v>5.5943390167394267E-4</v>
      </c>
      <c r="CK31" s="12">
        <f t="shared" si="133"/>
        <v>0.82454653877860962</v>
      </c>
      <c r="CL31" s="12">
        <f t="shared" si="133"/>
        <v>3.4329776382377181E-4</v>
      </c>
      <c r="CM31" s="12">
        <f t="shared" si="133"/>
        <v>3.2576325355215888E-3</v>
      </c>
      <c r="CN31" s="12">
        <f t="shared" si="133"/>
        <v>1.4040784756970397E-3</v>
      </c>
      <c r="CO31" s="12">
        <f t="shared" si="133"/>
        <v>5.1632735763222368E-3</v>
      </c>
      <c r="CP31" s="12">
        <f t="shared" si="133"/>
        <v>5.2406403110404455E-3</v>
      </c>
      <c r="CQ31" s="12">
        <f t="shared" si="133"/>
        <v>1.6359297185888969E-3</v>
      </c>
      <c r="CR31" s="12">
        <f t="shared" si="133"/>
        <v>3.0864996215380449E-3</v>
      </c>
      <c r="CS31" s="12">
        <f t="shared" si="133"/>
        <v>4.9586767235803041E-2</v>
      </c>
      <c r="CT31" s="12">
        <f t="shared" si="133"/>
        <v>1.3120433646934904E-2</v>
      </c>
      <c r="CU31" s="12">
        <f t="shared" si="133"/>
        <v>6.8282769824489567E-3</v>
      </c>
      <c r="CV31" s="12">
        <f t="shared" si="133"/>
        <v>1.4062312940987323E-5</v>
      </c>
      <c r="CW31" s="12">
        <f t="shared" si="133"/>
        <v>9.5510423755822693E-3</v>
      </c>
      <c r="CX31" s="12">
        <f t="shared" si="133"/>
        <v>2.0767837353762916E-2</v>
      </c>
      <c r="CY31" s="12">
        <f t="shared" si="133"/>
        <v>6.3462082728728822E-3</v>
      </c>
      <c r="CZ31" s="12">
        <f t="shared" si="133"/>
        <v>6.0910810924116995E-4</v>
      </c>
      <c r="DA31" s="12">
        <f t="shared" si="133"/>
        <v>2.7172966764400019E-2</v>
      </c>
    </row>
    <row r="32" spans="1:107">
      <c r="BP32">
        <v>1</v>
      </c>
      <c r="BQ32">
        <v>4</v>
      </c>
      <c r="BU32">
        <v>5</v>
      </c>
      <c r="CC32">
        <v>2</v>
      </c>
      <c r="CD32">
        <v>3</v>
      </c>
    </row>
    <row r="33" spans="83:102">
      <c r="CV33">
        <f>CV13*1000000</f>
        <v>6255.9</v>
      </c>
      <c r="CX33" s="12">
        <f>CX13/CX12-1</f>
        <v>0.82618652492883582</v>
      </c>
    </row>
    <row r="34" spans="83:102">
      <c r="CE34" s="488">
        <f>80%+9%</f>
        <v>0.89</v>
      </c>
    </row>
    <row r="35" spans="83:102">
      <c r="CE35" s="162">
        <v>1</v>
      </c>
      <c r="CF35" s="488">
        <f>CE35-CE34</f>
        <v>0.10999999999999999</v>
      </c>
    </row>
    <row r="36" spans="83:102">
      <c r="CE36" s="1">
        <f>BP13+CC13</f>
        <v>38184.147297629999</v>
      </c>
    </row>
    <row r="37" spans="83:102">
      <c r="CE37" s="1">
        <f>CG13-CE36</f>
        <v>5324.9347987300062</v>
      </c>
    </row>
  </sheetData>
  <pageMargins left="0.7" right="0.7" top="0.75" bottom="0.75" header="0.3" footer="0.3"/>
  <ignoredErrors>
    <ignoredError sqref="A12 A3 A13 A4 A5 A6 A7 A8 A9 A10 A11 B3:BK13" formulaRange="1"/>
    <ignoredError sqref="CH17"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86D51-9FF4-4D2C-86AE-133062B4D81C}">
  <sheetPr>
    <tabColor rgb="FF00B0F0"/>
  </sheetPr>
  <dimension ref="A1:BI159"/>
  <sheetViews>
    <sheetView zoomScale="80" zoomScaleNormal="80" workbookViewId="0">
      <pane xSplit="1" ySplit="4" topLeftCell="AT128" activePane="bottomRight" state="frozen"/>
      <selection pane="topRight" activeCell="B1" sqref="B1"/>
      <selection pane="bottomLeft" activeCell="A5" sqref="A5"/>
      <selection pane="bottomRight" activeCell="BD137" sqref="BD137"/>
    </sheetView>
  </sheetViews>
  <sheetFormatPr baseColWidth="10" defaultRowHeight="13.8"/>
  <cols>
    <col min="2" max="2" width="7.5546875" style="141" bestFit="1" customWidth="1"/>
    <col min="3" max="3" width="8" style="141" bestFit="1" customWidth="1"/>
    <col min="4" max="4" width="6.5546875" bestFit="1" customWidth="1"/>
    <col min="5" max="5" width="7.88671875" bestFit="1" customWidth="1"/>
    <col min="6" max="7" width="7.88671875" customWidth="1"/>
    <col min="8" max="9" width="8.88671875" bestFit="1" customWidth="1"/>
    <col min="10" max="13" width="7.88671875" bestFit="1" customWidth="1"/>
    <col min="14" max="15" width="8.88671875" bestFit="1" customWidth="1"/>
    <col min="16" max="17" width="8.109375" customWidth="1"/>
    <col min="18" max="18" width="6" customWidth="1"/>
    <col min="19" max="19" width="7.33203125" bestFit="1" customWidth="1"/>
    <col min="20" max="20" width="8.33203125" customWidth="1"/>
    <col min="21" max="21" width="8.33203125" bestFit="1" customWidth="1"/>
    <col min="22" max="22" width="7.88671875" bestFit="1" customWidth="1"/>
    <col min="23" max="23" width="9.6640625" bestFit="1" customWidth="1"/>
    <col min="24" max="24" width="8" style="668" bestFit="1" customWidth="1"/>
    <col min="25" max="25" width="6.6640625" style="668" bestFit="1" customWidth="1"/>
    <col min="26" max="26" width="5.109375" style="668" bestFit="1" customWidth="1"/>
    <col min="27" max="27" width="6.6640625" style="668" bestFit="1" customWidth="1"/>
    <col min="28" max="28" width="8.88671875" bestFit="1" customWidth="1"/>
    <col min="29" max="29" width="7.88671875" customWidth="1"/>
    <col min="30" max="30" width="9.6640625" bestFit="1" customWidth="1"/>
    <col min="31" max="35" width="7.88671875" customWidth="1"/>
    <col min="37" max="37" width="10.33203125" customWidth="1"/>
    <col min="38" max="38" width="7.88671875" customWidth="1"/>
    <col min="39" max="39" width="7.33203125" customWidth="1"/>
    <col min="40" max="40" width="8.33203125" customWidth="1"/>
    <col min="41" max="46" width="7.6640625" bestFit="1" customWidth="1"/>
    <col min="47" max="47" width="7.6640625" customWidth="1"/>
    <col min="48" max="48" width="8.88671875" bestFit="1" customWidth="1"/>
    <col min="50" max="50" width="13.5546875" bestFit="1" customWidth="1"/>
    <col min="51" max="51" width="8.88671875" bestFit="1" customWidth="1"/>
    <col min="52" max="52" width="6.6640625" customWidth="1"/>
    <col min="53" max="53" width="5.33203125" bestFit="1" customWidth="1"/>
    <col min="54" max="54" width="6.44140625" customWidth="1"/>
    <col min="55" max="55" width="4.33203125" bestFit="1" customWidth="1"/>
    <col min="56" max="56" width="5" customWidth="1"/>
    <col min="57" max="57" width="7.5546875" customWidth="1"/>
  </cols>
  <sheetData>
    <row r="1" spans="1:52" ht="14.4">
      <c r="B1" s="1007" t="s">
        <v>13</v>
      </c>
      <c r="C1" s="1006"/>
      <c r="D1" s="1007" t="s">
        <v>235</v>
      </c>
      <c r="E1" s="1007"/>
      <c r="F1" s="1005" t="s">
        <v>21</v>
      </c>
      <c r="G1" s="1006"/>
      <c r="H1" s="1005" t="s">
        <v>583</v>
      </c>
      <c r="I1" s="1006"/>
      <c r="J1" s="1007" t="s">
        <v>257</v>
      </c>
      <c r="K1" s="1007"/>
      <c r="L1" s="1005" t="s">
        <v>118</v>
      </c>
      <c r="M1" s="1006"/>
      <c r="N1" s="1007" t="s">
        <v>222</v>
      </c>
      <c r="O1" s="1007"/>
      <c r="P1" s="1005" t="s">
        <v>744</v>
      </c>
      <c r="Q1" s="1006"/>
      <c r="R1" s="1005" t="s">
        <v>65</v>
      </c>
      <c r="S1" s="1007"/>
      <c r="T1" s="1007"/>
      <c r="U1" s="1007"/>
      <c r="V1" s="1006"/>
      <c r="W1" s="1005" t="s">
        <v>66</v>
      </c>
      <c r="X1" s="1007"/>
      <c r="Y1" s="1007"/>
      <c r="Z1" s="1007"/>
      <c r="AA1" s="1007"/>
      <c r="AB1" s="1007"/>
      <c r="AC1" s="1006"/>
      <c r="AD1" s="1005" t="s">
        <v>217</v>
      </c>
      <c r="AE1" s="1007"/>
      <c r="AF1" s="1007"/>
      <c r="AG1" s="1007"/>
      <c r="AH1" s="1007"/>
      <c r="AI1" s="1006"/>
      <c r="AK1" s="536" t="s">
        <v>749</v>
      </c>
      <c r="AX1" s="173" t="s">
        <v>800</v>
      </c>
    </row>
    <row r="2" spans="1:52">
      <c r="C2" s="518"/>
      <c r="D2" s="141"/>
      <c r="E2" s="141"/>
      <c r="F2" s="531">
        <f>0.75*1.09</f>
        <v>0.81750000000000012</v>
      </c>
      <c r="G2" s="518"/>
      <c r="H2" s="523">
        <f>0.58*0.76</f>
        <v>0.44079999999999997</v>
      </c>
      <c r="I2" s="521"/>
      <c r="J2" s="517">
        <f>0.8*0.75</f>
        <v>0.60000000000000009</v>
      </c>
      <c r="K2" s="517"/>
      <c r="L2" s="526">
        <v>0.7</v>
      </c>
      <c r="M2" s="521"/>
      <c r="N2" s="516">
        <f>0.54*0.7</f>
        <v>0.378</v>
      </c>
      <c r="O2" s="517"/>
      <c r="P2" s="526">
        <v>0.34</v>
      </c>
      <c r="Q2" s="521">
        <v>2</v>
      </c>
      <c r="R2" s="526"/>
      <c r="S2" s="517"/>
      <c r="T2" s="141"/>
      <c r="U2" s="141"/>
      <c r="V2" s="518"/>
      <c r="W2" s="141"/>
      <c r="X2" s="669"/>
      <c r="Y2" s="669"/>
      <c r="Z2" s="669"/>
      <c r="AA2" s="669"/>
      <c r="AB2" s="141"/>
      <c r="AC2" s="518"/>
      <c r="AD2" s="524"/>
      <c r="AE2" s="141"/>
      <c r="AF2" s="141"/>
      <c r="AG2" s="141"/>
      <c r="AH2" s="141"/>
      <c r="AI2" s="518"/>
      <c r="AX2" t="s">
        <v>785</v>
      </c>
    </row>
    <row r="3" spans="1:52">
      <c r="B3" s="1003" t="s">
        <v>59</v>
      </c>
      <c r="C3" s="1004"/>
      <c r="D3" s="1003" t="s">
        <v>748</v>
      </c>
      <c r="E3" s="1003"/>
      <c r="F3" s="1002" t="s">
        <v>59</v>
      </c>
      <c r="G3" s="1004"/>
      <c r="H3" s="1002" t="s">
        <v>59</v>
      </c>
      <c r="I3" s="1004"/>
      <c r="J3" s="1003" t="s">
        <v>59</v>
      </c>
      <c r="K3" s="1003"/>
      <c r="L3" s="1002" t="s">
        <v>59</v>
      </c>
      <c r="M3" s="1004"/>
      <c r="N3" s="1003" t="s">
        <v>59</v>
      </c>
      <c r="O3" s="1003"/>
      <c r="P3" s="1002" t="s">
        <v>59</v>
      </c>
      <c r="Q3" s="1004"/>
      <c r="R3" s="1002" t="s">
        <v>748</v>
      </c>
      <c r="S3" s="1003"/>
      <c r="T3" s="1003"/>
      <c r="U3" s="1003"/>
      <c r="V3" s="1004"/>
      <c r="W3" s="670" t="s">
        <v>782</v>
      </c>
      <c r="X3" s="670" t="s">
        <v>783</v>
      </c>
      <c r="Y3" s="670" t="s">
        <v>784</v>
      </c>
      <c r="Z3" s="1000" t="s">
        <v>172</v>
      </c>
      <c r="AA3" s="1000"/>
      <c r="AB3" s="141">
        <v>20</v>
      </c>
      <c r="AC3" s="518"/>
      <c r="AD3" s="680" t="s">
        <v>782</v>
      </c>
      <c r="AE3" s="670" t="s">
        <v>783</v>
      </c>
      <c r="AF3" s="670" t="s">
        <v>784</v>
      </c>
      <c r="AG3" s="670" t="s">
        <v>172</v>
      </c>
      <c r="AH3" s="141">
        <v>18</v>
      </c>
      <c r="AI3" s="518"/>
      <c r="AX3" t="s">
        <v>786</v>
      </c>
    </row>
    <row r="4" spans="1:52">
      <c r="B4" s="141" t="s">
        <v>745</v>
      </c>
      <c r="C4" s="518" t="s">
        <v>746</v>
      </c>
      <c r="D4" s="141" t="s">
        <v>745</v>
      </c>
      <c r="E4" s="141" t="s">
        <v>746</v>
      </c>
      <c r="F4" s="524" t="s">
        <v>745</v>
      </c>
      <c r="G4" s="141" t="s">
        <v>746</v>
      </c>
      <c r="H4" s="524" t="s">
        <v>745</v>
      </c>
      <c r="I4" s="518" t="s">
        <v>746</v>
      </c>
      <c r="J4" s="141" t="s">
        <v>745</v>
      </c>
      <c r="K4" s="141" t="s">
        <v>746</v>
      </c>
      <c r="L4" s="524" t="s">
        <v>745</v>
      </c>
      <c r="M4" s="518" t="s">
        <v>746</v>
      </c>
      <c r="N4" s="141" t="s">
        <v>745</v>
      </c>
      <c r="O4" s="141" t="s">
        <v>746</v>
      </c>
      <c r="P4" s="524" t="s">
        <v>745</v>
      </c>
      <c r="Q4" s="518" t="s">
        <v>746</v>
      </c>
      <c r="R4" s="524" t="s">
        <v>745</v>
      </c>
      <c r="S4" s="527" t="s">
        <v>747</v>
      </c>
      <c r="T4" s="541" t="s">
        <v>759</v>
      </c>
      <c r="U4" s="141"/>
      <c r="V4" s="518" t="s">
        <v>746</v>
      </c>
      <c r="W4" s="670">
        <v>1</v>
      </c>
      <c r="X4" s="671">
        <v>0.08</v>
      </c>
      <c r="Y4" s="670"/>
      <c r="Z4" s="670" t="s">
        <v>164</v>
      </c>
      <c r="AA4" s="670"/>
      <c r="AB4" s="141" t="s">
        <v>745</v>
      </c>
      <c r="AC4" s="518" t="s">
        <v>746</v>
      </c>
      <c r="AD4" s="680">
        <v>1</v>
      </c>
      <c r="AE4" s="671">
        <v>0.08</v>
      </c>
      <c r="AF4" s="670"/>
      <c r="AG4" s="141"/>
      <c r="AH4" s="141" t="s">
        <v>745</v>
      </c>
      <c r="AI4" s="518" t="s">
        <v>746</v>
      </c>
      <c r="AL4" t="s">
        <v>13</v>
      </c>
      <c r="AM4" t="s">
        <v>235</v>
      </c>
      <c r="AN4" t="s">
        <v>21</v>
      </c>
      <c r="AO4" t="s">
        <v>583</v>
      </c>
      <c r="AP4" t="s">
        <v>257</v>
      </c>
      <c r="AQ4" t="s">
        <v>118</v>
      </c>
      <c r="AR4" t="s">
        <v>222</v>
      </c>
      <c r="AS4" t="s">
        <v>744</v>
      </c>
      <c r="AT4" t="s">
        <v>65</v>
      </c>
      <c r="AU4" t="s">
        <v>66</v>
      </c>
      <c r="AV4" t="s">
        <v>217</v>
      </c>
      <c r="AY4" t="s">
        <v>799</v>
      </c>
      <c r="AZ4" s="141" t="s">
        <v>164</v>
      </c>
    </row>
    <row r="5" spans="1:52">
      <c r="A5" s="3">
        <v>42370</v>
      </c>
      <c r="B5" s="519">
        <f>datos!R10/1000</f>
        <v>2.1</v>
      </c>
      <c r="C5" s="520"/>
      <c r="D5" s="7">
        <f>datos!AI10</f>
        <v>3.4258000000000002</v>
      </c>
      <c r="E5" s="7"/>
      <c r="F5" s="525">
        <f>(datos!AD10/1000)/PP!$F$2</f>
        <v>2.3743328685015279</v>
      </c>
      <c r="G5" s="522"/>
      <c r="H5" s="525">
        <f>datos!BK10/$H$2</f>
        <v>57.899274047186935</v>
      </c>
      <c r="I5" s="522">
        <f>datos!NB10</f>
        <v>109.1</v>
      </c>
      <c r="J5" s="7">
        <f>datos!BR10/$J$2</f>
        <v>24.449999999999996</v>
      </c>
      <c r="K5" s="7">
        <f>datos!NE10</f>
        <v>84.93</v>
      </c>
      <c r="L5" s="525">
        <f>datos!BO10*$L$2</f>
        <v>12.410649999999995</v>
      </c>
      <c r="M5" s="522">
        <f>datos!NA10</f>
        <v>32.659999999999997</v>
      </c>
      <c r="N5" s="7">
        <f>datos!BS10*$N$2</f>
        <v>21.923999999999999</v>
      </c>
      <c r="O5" s="7"/>
      <c r="P5" s="525">
        <f>(datos!AG10/1000)/$P$2</f>
        <v>12.564705882352941</v>
      </c>
      <c r="Q5" s="522"/>
      <c r="R5" s="525">
        <f>datos!BN10</f>
        <v>2.75</v>
      </c>
      <c r="S5" s="527"/>
      <c r="T5" s="527"/>
      <c r="U5" s="141"/>
      <c r="V5" s="522"/>
      <c r="W5" s="672">
        <f>datos!AV10*W$4</f>
        <v>63.8</v>
      </c>
      <c r="X5" s="672">
        <f>W5*X$4</f>
        <v>5.1040000000000001</v>
      </c>
      <c r="Y5" s="672">
        <f>Y6/(1+(datos!G11/datos!G10-1))</f>
        <v>3.2881410975079204</v>
      </c>
      <c r="Z5" s="672"/>
      <c r="AA5" s="673"/>
      <c r="AB5" s="7"/>
      <c r="AC5" s="522"/>
      <c r="AD5" s="681">
        <f>datos!BB10*AD$4</f>
        <v>97.835000000000008</v>
      </c>
      <c r="AE5" s="673">
        <f>AD5*AE$4</f>
        <v>7.8268000000000004</v>
      </c>
      <c r="AF5" s="673">
        <f>Y5</f>
        <v>3.2881410975079204</v>
      </c>
      <c r="AG5" s="673"/>
      <c r="AH5" s="7"/>
      <c r="AI5" s="522"/>
      <c r="AK5" s="3">
        <f>A5</f>
        <v>42370</v>
      </c>
      <c r="AO5" s="12">
        <f t="shared" ref="AO5:AO36" si="0">H5/I5</f>
        <v>0.53069912050583812</v>
      </c>
      <c r="AP5" s="12">
        <f t="shared" ref="AP5:AP36" si="1">J5/K5</f>
        <v>0.28788413987990102</v>
      </c>
      <c r="AQ5" s="12">
        <f t="shared" ref="AQ5:AQ36" si="2">L5/M5</f>
        <v>0.37999540722596437</v>
      </c>
      <c r="AX5" t="s">
        <v>787</v>
      </c>
      <c r="AY5" s="2">
        <v>578.25</v>
      </c>
    </row>
    <row r="6" spans="1:52">
      <c r="A6" s="3">
        <v>42401</v>
      </c>
      <c r="B6" s="519">
        <f>datos!R11/1000</f>
        <v>2.0499999999999998</v>
      </c>
      <c r="C6" s="520"/>
      <c r="D6" s="7">
        <f>datos!AI11</f>
        <v>3.67</v>
      </c>
      <c r="E6" s="7"/>
      <c r="F6" s="525">
        <f>(datos!AD11/1000)/PP!$F$2</f>
        <v>2.4720931493388218</v>
      </c>
      <c r="G6" s="522"/>
      <c r="H6" s="525">
        <f>datos!BK11/$H$2</f>
        <v>59.947822141560806</v>
      </c>
      <c r="I6" s="522">
        <f>datos!NB11</f>
        <v>104.08</v>
      </c>
      <c r="J6" s="7">
        <f>datos!BR11/$J$2</f>
        <v>24.799999999999997</v>
      </c>
      <c r="K6" s="7">
        <f>datos!NE11</f>
        <v>84.97</v>
      </c>
      <c r="L6" s="525">
        <f>datos!BO11*$L$2</f>
        <v>14.372473684210526</v>
      </c>
      <c r="M6" s="522">
        <f>datos!NA11</f>
        <v>33.229999999999997</v>
      </c>
      <c r="N6" s="7">
        <f>datos!BS11*$N$2</f>
        <v>21.545999999999999</v>
      </c>
      <c r="O6" s="7"/>
      <c r="P6" s="525">
        <f>(datos!AG11/1000)/$P$2</f>
        <v>12.564705882352941</v>
      </c>
      <c r="Q6" s="522"/>
      <c r="R6" s="525">
        <f>datos!BN11</f>
        <v>2.806</v>
      </c>
      <c r="S6" s="527"/>
      <c r="T6" s="527"/>
      <c r="U6" s="141"/>
      <c r="V6" s="522"/>
      <c r="W6" s="672">
        <f>datos!AV11*W$4</f>
        <v>60.599999999999994</v>
      </c>
      <c r="X6" s="672">
        <f t="shared" ref="X6:X69" si="3">W6*X$4</f>
        <v>4.8479999999999999</v>
      </c>
      <c r="Y6" s="672">
        <f>Y7/(1+(datos!G12/datos!G11-1))</f>
        <v>3.4415757878962445</v>
      </c>
      <c r="Z6" s="672"/>
      <c r="AA6" s="673"/>
      <c r="AB6" s="7"/>
      <c r="AC6" s="522"/>
      <c r="AD6" s="681">
        <f>datos!BB11*AD$4</f>
        <v>275.947</v>
      </c>
      <c r="AE6" s="673">
        <f t="shared" ref="AE6:AE69" si="4">AD6*AE$4</f>
        <v>22.075759999999999</v>
      </c>
      <c r="AF6" s="673">
        <f t="shared" ref="AF6:AF69" si="5">Y6</f>
        <v>3.4415757878962445</v>
      </c>
      <c r="AG6" s="673"/>
      <c r="AH6" s="7"/>
      <c r="AI6" s="522"/>
      <c r="AK6" s="3">
        <f t="shared" ref="AK6:AK69" si="6">A6</f>
        <v>42401</v>
      </c>
      <c r="AO6" s="12">
        <f t="shared" si="0"/>
        <v>0.57597830651000004</v>
      </c>
      <c r="AP6" s="12">
        <f t="shared" si="1"/>
        <v>0.291867718018124</v>
      </c>
      <c r="AQ6" s="12">
        <f t="shared" si="2"/>
        <v>0.43251500704816515</v>
      </c>
      <c r="AX6" t="s">
        <v>788</v>
      </c>
      <c r="AY6" s="2">
        <v>693.9</v>
      </c>
      <c r="AZ6" s="10">
        <f>AY6/AY5-1</f>
        <v>0.19999999999999996</v>
      </c>
    </row>
    <row r="7" spans="1:52">
      <c r="A7" s="3">
        <v>42430</v>
      </c>
      <c r="B7" s="519">
        <f>datos!R12/1000</f>
        <v>2.0499999999999998</v>
      </c>
      <c r="C7" s="520"/>
      <c r="D7" s="7">
        <f>datos!AI12</f>
        <v>4.63</v>
      </c>
      <c r="E7" s="7"/>
      <c r="F7" s="525">
        <f>(datos!AD12/1000)/PP!$F$2</f>
        <v>2.6442780170172036</v>
      </c>
      <c r="G7" s="522"/>
      <c r="H7" s="525">
        <f>datos!BK12/$H$2</f>
        <v>61.876134301270419</v>
      </c>
      <c r="I7" s="522">
        <f>datos!NB12</f>
        <v>104.06</v>
      </c>
      <c r="J7" s="7">
        <f>datos!BR12/$J$2</f>
        <v>24.566666666666663</v>
      </c>
      <c r="K7" s="7">
        <f>datos!NE12</f>
        <v>85.26</v>
      </c>
      <c r="L7" s="525">
        <f>datos!BO12*$L$2</f>
        <v>14.941333333333333</v>
      </c>
      <c r="M7" s="522">
        <f>datos!NA12</f>
        <v>36.090000000000003</v>
      </c>
      <c r="N7" s="7">
        <f>datos!BS12*$N$2</f>
        <v>21.545999999999999</v>
      </c>
      <c r="O7" s="7"/>
      <c r="P7" s="525">
        <f>(datos!AG12/1000)/$P$2</f>
        <v>12.564705882352941</v>
      </c>
      <c r="Q7" s="522"/>
      <c r="R7" s="525">
        <f>datos!BN12</f>
        <v>2.89</v>
      </c>
      <c r="S7" s="527"/>
      <c r="T7" s="527"/>
      <c r="U7" s="141"/>
      <c r="V7" s="522"/>
      <c r="W7" s="672">
        <f>datos!AV12*W$4</f>
        <v>63.8</v>
      </c>
      <c r="X7" s="672">
        <f t="shared" si="3"/>
        <v>5.1040000000000001</v>
      </c>
      <c r="Y7" s="672">
        <f>Y8/(1+(datos!G13/datos!G12-1))</f>
        <v>3.5414867490793394</v>
      </c>
      <c r="Z7" s="672"/>
      <c r="AA7" s="673"/>
      <c r="AB7" s="7"/>
      <c r="AC7" s="522"/>
      <c r="AD7" s="681">
        <f>datos!BB12*AD$4</f>
        <v>127.895</v>
      </c>
      <c r="AE7" s="673">
        <f t="shared" si="4"/>
        <v>10.2316</v>
      </c>
      <c r="AF7" s="673">
        <f t="shared" si="5"/>
        <v>3.5414867490793394</v>
      </c>
      <c r="AG7" s="673"/>
      <c r="AH7" s="7"/>
      <c r="AI7" s="522"/>
      <c r="AK7" s="3">
        <f t="shared" si="6"/>
        <v>42430</v>
      </c>
      <c r="AO7" s="12">
        <f t="shared" si="0"/>
        <v>0.59461977994686155</v>
      </c>
      <c r="AP7" s="12">
        <f t="shared" si="1"/>
        <v>0.28813824380326836</v>
      </c>
      <c r="AQ7" s="12">
        <f t="shared" si="2"/>
        <v>0.41400203195714413</v>
      </c>
      <c r="AX7" t="s">
        <v>789</v>
      </c>
      <c r="AY7" s="2">
        <v>802.92</v>
      </c>
      <c r="AZ7" s="10">
        <f t="shared" ref="AZ7:AZ18" si="7">AY7/AY6-1</f>
        <v>0.15711197578901848</v>
      </c>
    </row>
    <row r="8" spans="1:52">
      <c r="A8" s="3">
        <v>42461</v>
      </c>
      <c r="B8" s="519">
        <f>datos!R13/1000</f>
        <v>2.15</v>
      </c>
      <c r="C8" s="520">
        <f>datos!MA13</f>
        <v>16.21</v>
      </c>
      <c r="D8" s="7">
        <f>datos!AI13</f>
        <v>5.31</v>
      </c>
      <c r="E8" s="7">
        <f>datos!MP13</f>
        <v>17.149999999999999</v>
      </c>
      <c r="F8" s="525">
        <f>(datos!AD13/1000)/PP!$F$2</f>
        <v>2.8187279396977947</v>
      </c>
      <c r="G8" s="522">
        <f>datos!MH13</f>
        <v>29.85</v>
      </c>
      <c r="H8" s="525">
        <f>datos!BK13/$H$2</f>
        <v>65.830308529945555</v>
      </c>
      <c r="I8" s="522">
        <f>datos!NB13</f>
        <v>104.5</v>
      </c>
      <c r="J8" s="7">
        <f>datos!BR13/$J$2</f>
        <v>24.349999999999994</v>
      </c>
      <c r="K8" s="7">
        <f>datos!NE13</f>
        <v>85.38</v>
      </c>
      <c r="L8" s="525">
        <f>datos!BO13*$L$2</f>
        <v>13.095000000000002</v>
      </c>
      <c r="M8" s="522">
        <f>datos!NA13</f>
        <v>34.25</v>
      </c>
      <c r="N8" s="7">
        <f>datos!BS13*$N$2</f>
        <v>22.302</v>
      </c>
      <c r="O8" s="7"/>
      <c r="P8" s="525">
        <f>(datos!AG13/1000)/$P$2</f>
        <v>14.126470588235293</v>
      </c>
      <c r="Q8" s="522">
        <f>datos!MY13*$Q$2</f>
        <v>52.58</v>
      </c>
      <c r="R8" s="525">
        <f>datos!BN13</f>
        <v>3.347</v>
      </c>
      <c r="S8" s="528"/>
      <c r="T8" s="529"/>
      <c r="U8" s="530">
        <f t="shared" ref="U8:U71" si="8">T8*S8</f>
        <v>0</v>
      </c>
      <c r="V8" s="522">
        <f>datos!NC13+U8</f>
        <v>14.37</v>
      </c>
      <c r="W8" s="672">
        <f>datos!AV13*W$4</f>
        <v>71.2</v>
      </c>
      <c r="X8" s="672">
        <f t="shared" si="3"/>
        <v>5.6960000000000006</v>
      </c>
      <c r="Y8" s="672">
        <f>Y9/(1+(datos!G14/datos!G13-1))</f>
        <v>3.7537975415934155</v>
      </c>
      <c r="Z8" s="672"/>
      <c r="AA8" s="673"/>
      <c r="AB8" s="7"/>
      <c r="AC8" s="674">
        <f>datos!MJ13</f>
        <v>9.26</v>
      </c>
      <c r="AD8" s="681">
        <f>datos!BB13*AD$4</f>
        <v>147.255</v>
      </c>
      <c r="AE8" s="673">
        <f t="shared" si="4"/>
        <v>11.7804</v>
      </c>
      <c r="AF8" s="673">
        <f t="shared" si="5"/>
        <v>3.7537975415934155</v>
      </c>
      <c r="AG8" s="672"/>
      <c r="AH8" s="2"/>
      <c r="AI8" s="522">
        <f>AVERAGE(datos!ML13,datos!MM13,datos!MN13,datos!MO13)</f>
        <v>15.303333333333333</v>
      </c>
      <c r="AK8" s="3">
        <f t="shared" si="6"/>
        <v>42461</v>
      </c>
      <c r="AL8" s="12">
        <f t="shared" ref="AL8:AL39" si="9">B8/C8</f>
        <v>0.13263417643429981</v>
      </c>
      <c r="AM8" s="12">
        <f t="shared" ref="AM8:AM39" si="10">D8/E8</f>
        <v>0.30962099125364434</v>
      </c>
      <c r="AN8" s="12">
        <f t="shared" ref="AN8:AN39" si="11">F8/G8</f>
        <v>9.4429746723544206E-2</v>
      </c>
      <c r="AO8" s="12">
        <f t="shared" si="0"/>
        <v>0.62995510554971823</v>
      </c>
      <c r="AP8" s="12">
        <f t="shared" si="1"/>
        <v>0.28519559615835083</v>
      </c>
      <c r="AQ8" s="12">
        <f t="shared" si="2"/>
        <v>0.38233576642335776</v>
      </c>
      <c r="AS8" s="12">
        <f t="shared" ref="AS8:AS39" si="12">P8/Q8</f>
        <v>0.26866623408587476</v>
      </c>
      <c r="AX8" t="s">
        <v>790</v>
      </c>
      <c r="AY8" s="2">
        <v>1086.6500000000001</v>
      </c>
      <c r="AZ8" s="10">
        <f t="shared" si="7"/>
        <v>0.35337268968265856</v>
      </c>
    </row>
    <row r="9" spans="1:52">
      <c r="A9" s="3">
        <v>42491</v>
      </c>
      <c r="B9" s="519">
        <f>datos!R14/1000</f>
        <v>2.5</v>
      </c>
      <c r="C9" s="520">
        <f>datos!MA14</f>
        <v>16.32</v>
      </c>
      <c r="D9" s="7">
        <f>datos!AI14</f>
        <v>6.49</v>
      </c>
      <c r="E9" s="7">
        <f>datos!MP14</f>
        <v>20.61</v>
      </c>
      <c r="F9" s="525">
        <f>(datos!AD14/1000)/PP!$F$2</f>
        <v>3.1776480400333607</v>
      </c>
      <c r="G9" s="522">
        <f>datos!MH14</f>
        <v>30.85</v>
      </c>
      <c r="H9" s="525">
        <f>datos!BK14/$H$2</f>
        <v>68.464156079854817</v>
      </c>
      <c r="I9" s="522">
        <f>datos!NB14</f>
        <v>106.67</v>
      </c>
      <c r="J9" s="7">
        <f>datos!BR14/$J$2</f>
        <v>23.616666666666664</v>
      </c>
      <c r="K9" s="7">
        <f>datos!NE14</f>
        <v>84.98</v>
      </c>
      <c r="L9" s="525">
        <f>datos!BO14*$L$2</f>
        <v>13.016500000000001</v>
      </c>
      <c r="M9" s="522">
        <f>datos!NA14</f>
        <v>33.04</v>
      </c>
      <c r="N9" s="7">
        <f>datos!BS14*$N$2</f>
        <v>22.302</v>
      </c>
      <c r="O9" s="7"/>
      <c r="P9" s="525">
        <f>(datos!AG14/1000)/$P$2</f>
        <v>14.126470588235293</v>
      </c>
      <c r="Q9" s="522">
        <f>datos!MY14*$Q$2</f>
        <v>53.2</v>
      </c>
      <c r="R9" s="525">
        <f>datos!BN14</f>
        <v>3.9609999999999999</v>
      </c>
      <c r="S9" s="528"/>
      <c r="T9" s="529"/>
      <c r="U9" s="530">
        <f t="shared" si="8"/>
        <v>0</v>
      </c>
      <c r="V9" s="522">
        <f>datos!NC14+U9</f>
        <v>15.65</v>
      </c>
      <c r="W9" s="672">
        <f>datos!AV14*W$4</f>
        <v>79.800000000000011</v>
      </c>
      <c r="X9" s="672">
        <f t="shared" si="3"/>
        <v>6.3840000000000012</v>
      </c>
      <c r="Y9" s="672">
        <f>Y10/(1+(datos!G15/datos!G14-1))</f>
        <v>3.8965274861406942</v>
      </c>
      <c r="Z9" s="672"/>
      <c r="AA9" s="673"/>
      <c r="AB9" s="7"/>
      <c r="AC9" s="674">
        <f>datos!MJ14</f>
        <v>9.44</v>
      </c>
      <c r="AD9" s="681">
        <f>datos!BB14*AD$4</f>
        <v>184.61500000000001</v>
      </c>
      <c r="AE9" s="673">
        <f t="shared" si="4"/>
        <v>14.769200000000001</v>
      </c>
      <c r="AF9" s="673">
        <f t="shared" si="5"/>
        <v>3.8965274861406942</v>
      </c>
      <c r="AG9" s="672"/>
      <c r="AH9" s="2"/>
      <c r="AI9" s="522">
        <f>AVERAGE(datos!ML14,datos!MM14,datos!MN14,datos!MO14)</f>
        <v>18.266666666666666</v>
      </c>
      <c r="AK9" s="3">
        <f t="shared" si="6"/>
        <v>42491</v>
      </c>
      <c r="AL9" s="12">
        <f t="shared" si="9"/>
        <v>0.15318627450980393</v>
      </c>
      <c r="AM9" s="12">
        <f t="shared" si="10"/>
        <v>0.31489568170790883</v>
      </c>
      <c r="AN9" s="12">
        <f t="shared" si="11"/>
        <v>0.103003177958942</v>
      </c>
      <c r="AO9" s="12">
        <f t="shared" si="0"/>
        <v>0.6418314060172009</v>
      </c>
      <c r="AP9" s="12">
        <f t="shared" si="1"/>
        <v>0.27790852749666584</v>
      </c>
      <c r="AQ9" s="12">
        <f t="shared" si="2"/>
        <v>0.39396186440677972</v>
      </c>
      <c r="AS9" s="12">
        <f t="shared" si="12"/>
        <v>0.26553516143299422</v>
      </c>
      <c r="AX9" t="s">
        <v>791</v>
      </c>
      <c r="AY9" s="2">
        <v>1325.71</v>
      </c>
      <c r="AZ9" s="10">
        <f t="shared" si="7"/>
        <v>0.21999723922146042</v>
      </c>
    </row>
    <row r="10" spans="1:52">
      <c r="A10" s="3">
        <v>42522</v>
      </c>
      <c r="B10" s="519">
        <f>datos!R15/1000</f>
        <v>2.75</v>
      </c>
      <c r="C10" s="520">
        <f>datos!MA15</f>
        <v>16.600000000000001</v>
      </c>
      <c r="D10" s="7">
        <f>datos!AI15</f>
        <v>7.23</v>
      </c>
      <c r="E10" s="7">
        <f>datos!MP15</f>
        <v>23.2</v>
      </c>
      <c r="F10" s="525">
        <f>(datos!AD15/1000)/PP!$F$2</f>
        <v>3.298282596608284</v>
      </c>
      <c r="G10" s="522">
        <f>datos!MH15</f>
        <v>32.56</v>
      </c>
      <c r="H10" s="525">
        <f>datos!BK15/$H$2</f>
        <v>70.224591651542653</v>
      </c>
      <c r="I10" s="522">
        <f>datos!NB15</f>
        <v>108.57</v>
      </c>
      <c r="J10" s="7">
        <f>datos!BR15/$J$2</f>
        <v>23.233333333333331</v>
      </c>
      <c r="K10" s="7">
        <f>datos!NE15</f>
        <v>85.36</v>
      </c>
      <c r="L10" s="525">
        <f>datos!BO15*$L$2</f>
        <v>12.733636363636363</v>
      </c>
      <c r="M10" s="522">
        <f>datos!NA15</f>
        <v>33.369999999999997</v>
      </c>
      <c r="N10" s="7">
        <f>datos!BS15*$N$2</f>
        <v>22.302</v>
      </c>
      <c r="O10" s="7"/>
      <c r="P10" s="525">
        <f>(datos!AG15/1000)/$P$2</f>
        <v>14.126470588235293</v>
      </c>
      <c r="Q10" s="522">
        <f>datos!MY15*$Q$2</f>
        <v>53.76</v>
      </c>
      <c r="R10" s="525">
        <f>datos!BN15</f>
        <v>4.1210000000000004</v>
      </c>
      <c r="S10" s="528"/>
      <c r="T10" s="529"/>
      <c r="U10" s="530">
        <f t="shared" si="8"/>
        <v>0</v>
      </c>
      <c r="V10" s="522">
        <f>datos!NC15+U10</f>
        <v>16.07</v>
      </c>
      <c r="W10" s="672">
        <f>datos!AV15*W$4</f>
        <v>104.80000000000001</v>
      </c>
      <c r="X10" s="672">
        <f t="shared" si="3"/>
        <v>8.3840000000000003</v>
      </c>
      <c r="Y10" s="672">
        <f>Y11/(1+(datos!G16/datos!G15-1))</f>
        <v>4.0053590688579934</v>
      </c>
      <c r="Z10" s="672"/>
      <c r="AA10" s="673"/>
      <c r="AB10" s="7"/>
      <c r="AC10" s="674">
        <f>datos!MJ15</f>
        <v>11.06</v>
      </c>
      <c r="AD10" s="681">
        <f>datos!BB15*AD$4</f>
        <v>195.5</v>
      </c>
      <c r="AE10" s="673">
        <f t="shared" si="4"/>
        <v>15.64</v>
      </c>
      <c r="AF10" s="673">
        <f t="shared" si="5"/>
        <v>4.0053590688579934</v>
      </c>
      <c r="AG10" s="672"/>
      <c r="AH10" s="2"/>
      <c r="AI10" s="522">
        <f>AVERAGE(datos!ML15,datos!MM15,datos!MN15,datos!MO15)</f>
        <v>20.433333333333334</v>
      </c>
      <c r="AK10" s="3">
        <f t="shared" si="6"/>
        <v>42522</v>
      </c>
      <c r="AL10" s="12">
        <f t="shared" si="9"/>
        <v>0.16566265060240962</v>
      </c>
      <c r="AM10" s="12">
        <f t="shared" si="10"/>
        <v>0.31163793103448278</v>
      </c>
      <c r="AN10" s="12">
        <f t="shared" si="11"/>
        <v>0.10129860554693747</v>
      </c>
      <c r="AO10" s="12">
        <f t="shared" si="0"/>
        <v>0.64681396013210513</v>
      </c>
      <c r="AP10" s="12">
        <f t="shared" si="1"/>
        <v>0.27218056857232115</v>
      </c>
      <c r="AQ10" s="12">
        <f t="shared" si="2"/>
        <v>0.38158934263219552</v>
      </c>
      <c r="AS10" s="12">
        <f t="shared" si="12"/>
        <v>0.26276917016806722</v>
      </c>
      <c r="AX10" t="s">
        <v>792</v>
      </c>
      <c r="AY10" s="2">
        <v>1723.42</v>
      </c>
      <c r="AZ10" s="10">
        <f t="shared" si="7"/>
        <v>0.29999773706165</v>
      </c>
    </row>
    <row r="11" spans="1:52">
      <c r="A11" s="3">
        <v>42552</v>
      </c>
      <c r="B11" s="519">
        <f>datos!R16/1000</f>
        <v>2.95</v>
      </c>
      <c r="C11" s="520">
        <f>datos!MA16</f>
        <v>16.809999999999999</v>
      </c>
      <c r="D11" s="7">
        <f>datos!AI16</f>
        <v>7.64</v>
      </c>
      <c r="E11" s="7">
        <f>datos!MP16</f>
        <v>25.75</v>
      </c>
      <c r="F11" s="525">
        <f>(datos!AD16/1000)/PP!$F$2</f>
        <v>3.2457092616863252</v>
      </c>
      <c r="G11" s="522">
        <f>datos!MH16</f>
        <v>33.07</v>
      </c>
      <c r="H11" s="525">
        <f>datos!BK16/$H$2</f>
        <v>70.113430127041738</v>
      </c>
      <c r="I11" s="522">
        <f>datos!NB16</f>
        <v>108.43</v>
      </c>
      <c r="J11" s="7">
        <f>datos!BR16/$J$2</f>
        <v>23.016666666666666</v>
      </c>
      <c r="K11" s="7">
        <f>datos!NE16</f>
        <v>85.67</v>
      </c>
      <c r="L11" s="525">
        <f>datos!BO16*$L$2</f>
        <v>13.271666666666668</v>
      </c>
      <c r="M11" s="522">
        <f>datos!NA16</f>
        <v>32.659999999999997</v>
      </c>
      <c r="N11" s="7">
        <f>datos!BS16*$N$2</f>
        <v>22.302</v>
      </c>
      <c r="O11" s="7"/>
      <c r="P11" s="525">
        <f>(datos!AG16/1000)/$P$2</f>
        <v>14.126470588235293</v>
      </c>
      <c r="Q11" s="522">
        <f>datos!MY16*$Q$2</f>
        <v>54.58</v>
      </c>
      <c r="R11" s="525">
        <f>datos!BN16</f>
        <v>4.19484628823054</v>
      </c>
      <c r="S11" s="528"/>
      <c r="T11" s="529"/>
      <c r="U11" s="530">
        <f t="shared" si="8"/>
        <v>0</v>
      </c>
      <c r="V11" s="522">
        <f>datos!NC16+U11</f>
        <v>16.53</v>
      </c>
      <c r="W11" s="672">
        <f>datos!AV16*W$4</f>
        <v>115.60000000000001</v>
      </c>
      <c r="X11" s="672">
        <f t="shared" si="3"/>
        <v>9.2480000000000011</v>
      </c>
      <c r="Y11" s="672">
        <f>Y12/(1+(datos!G17/datos!G16-1))</f>
        <v>4.1034859057342468</v>
      </c>
      <c r="Z11" s="672"/>
      <c r="AA11" s="673"/>
      <c r="AB11" s="7"/>
      <c r="AC11" s="674">
        <f>datos!MJ16</f>
        <v>11.91</v>
      </c>
      <c r="AD11" s="681">
        <f>datos!BB16*AD$4</f>
        <v>225.86</v>
      </c>
      <c r="AE11" s="673">
        <f t="shared" si="4"/>
        <v>18.068800000000003</v>
      </c>
      <c r="AF11" s="673">
        <f t="shared" si="5"/>
        <v>4.1034859057342468</v>
      </c>
      <c r="AG11" s="672"/>
      <c r="AH11" s="2"/>
      <c r="AI11" s="522">
        <f>AVERAGE(datos!ML16,datos!MM16,datos!MN16,datos!MO16)</f>
        <v>23.346666666666668</v>
      </c>
      <c r="AK11" s="3">
        <f t="shared" si="6"/>
        <v>42552</v>
      </c>
      <c r="AL11" s="12">
        <f t="shared" si="9"/>
        <v>0.17549077929803691</v>
      </c>
      <c r="AM11" s="12">
        <f t="shared" si="10"/>
        <v>0.2966990291262136</v>
      </c>
      <c r="AN11" s="12">
        <f t="shared" si="11"/>
        <v>9.8146636277179469E-2</v>
      </c>
      <c r="AO11" s="12">
        <f t="shared" si="0"/>
        <v>0.64662390599503583</v>
      </c>
      <c r="AP11" s="12">
        <f t="shared" si="1"/>
        <v>0.26866658884868294</v>
      </c>
      <c r="AQ11" s="12">
        <f t="shared" si="2"/>
        <v>0.40635844049806091</v>
      </c>
      <c r="AS11" s="12">
        <f t="shared" si="12"/>
        <v>0.2588213739141681</v>
      </c>
      <c r="AX11" t="s">
        <v>793</v>
      </c>
      <c r="AY11" s="2">
        <v>2361.09</v>
      </c>
      <c r="AZ11" s="10">
        <f t="shared" si="7"/>
        <v>0.37000266911141799</v>
      </c>
    </row>
    <row r="12" spans="1:52">
      <c r="A12" s="3">
        <v>42583</v>
      </c>
      <c r="B12" s="519">
        <f>datos!R17/1000</f>
        <v>3.35</v>
      </c>
      <c r="C12" s="520">
        <f>datos!MA17</f>
        <v>17.239999999999998</v>
      </c>
      <c r="D12" s="7">
        <f>datos!AI17</f>
        <v>7.69</v>
      </c>
      <c r="E12" s="7">
        <f>datos!MP17</f>
        <v>27.95</v>
      </c>
      <c r="F12" s="525">
        <f>(datos!AD17/1000)/PP!$F$2</f>
        <v>3.010665772201472</v>
      </c>
      <c r="G12" s="522">
        <f>datos!MH17</f>
        <v>33.96</v>
      </c>
      <c r="H12" s="525">
        <f>datos!BK17/$H$2</f>
        <v>70.000000000000014</v>
      </c>
      <c r="I12" s="522">
        <f>datos!NB17</f>
        <v>108.56</v>
      </c>
      <c r="J12" s="7">
        <f>datos!BR17/$J$2</f>
        <v>24.449999999999996</v>
      </c>
      <c r="K12" s="7">
        <f>datos!NE17</f>
        <v>88.81</v>
      </c>
      <c r="L12" s="525">
        <f>datos!BO17*$L$2</f>
        <v>14.91</v>
      </c>
      <c r="M12" s="522">
        <f>datos!NA17</f>
        <v>33.68</v>
      </c>
      <c r="N12" s="7">
        <f>datos!BS17*$N$2</f>
        <v>29.862000000000002</v>
      </c>
      <c r="O12" s="7"/>
      <c r="P12" s="525">
        <f>(datos!AG17/1000)/$P$2</f>
        <v>14.126470588235293</v>
      </c>
      <c r="Q12" s="522">
        <f>datos!MY17*$Q$2</f>
        <v>54.68</v>
      </c>
      <c r="R12" s="525">
        <f>datos!BN17</f>
        <v>4.2666879151695953</v>
      </c>
      <c r="S12" s="528"/>
      <c r="T12" s="529"/>
      <c r="U12" s="530">
        <f t="shared" si="8"/>
        <v>0</v>
      </c>
      <c r="V12" s="522">
        <f>datos!NC17+U12</f>
        <v>16.84</v>
      </c>
      <c r="W12" s="672">
        <f>datos!AV17*W$4</f>
        <v>101.19999999999999</v>
      </c>
      <c r="X12" s="672">
        <f t="shared" si="3"/>
        <v>8.0960000000000001</v>
      </c>
      <c r="Y12" s="672">
        <f>Y13/(1+(datos!G18/datos!G17-1))</f>
        <v>4.1480890134052713</v>
      </c>
      <c r="Z12" s="672"/>
      <c r="AA12" s="673"/>
      <c r="AB12" s="7"/>
      <c r="AC12" s="674">
        <f>datos!MJ17</f>
        <v>11.67</v>
      </c>
      <c r="AD12" s="681">
        <f>datos!BB17*AD$4</f>
        <v>202.57749999999999</v>
      </c>
      <c r="AE12" s="673">
        <f t="shared" si="4"/>
        <v>16.206199999999999</v>
      </c>
      <c r="AF12" s="673">
        <f t="shared" si="5"/>
        <v>4.1480890134052713</v>
      </c>
      <c r="AG12" s="672"/>
      <c r="AH12" s="2"/>
      <c r="AI12" s="522">
        <f>AVERAGE(datos!ML17,datos!MM17,datos!MN17,datos!MO17)</f>
        <v>21.426666666666666</v>
      </c>
      <c r="AK12" s="3">
        <f t="shared" si="6"/>
        <v>42583</v>
      </c>
      <c r="AL12" s="12">
        <f t="shared" si="9"/>
        <v>0.19431554524361952</v>
      </c>
      <c r="AM12" s="12">
        <f t="shared" si="10"/>
        <v>0.27513416815742398</v>
      </c>
      <c r="AN12" s="12">
        <f t="shared" si="11"/>
        <v>8.8653291289795988E-2</v>
      </c>
      <c r="AO12" s="12">
        <f t="shared" si="0"/>
        <v>0.64480471628592495</v>
      </c>
      <c r="AP12" s="12">
        <f t="shared" si="1"/>
        <v>0.27530683481589907</v>
      </c>
      <c r="AQ12" s="12">
        <f t="shared" si="2"/>
        <v>0.44269596199524941</v>
      </c>
      <c r="AS12" s="12">
        <f t="shared" si="12"/>
        <v>0.25834803562976028</v>
      </c>
      <c r="AX12" t="s">
        <v>794</v>
      </c>
      <c r="AY12" s="2">
        <v>4279.47</v>
      </c>
      <c r="AZ12" s="10">
        <f t="shared" si="7"/>
        <v>0.81249761762575767</v>
      </c>
    </row>
    <row r="13" spans="1:52">
      <c r="A13" s="3">
        <v>42614</v>
      </c>
      <c r="B13" s="519">
        <f>datos!R18/1000</f>
        <v>3.55</v>
      </c>
      <c r="C13" s="520">
        <f>datos!MA18</f>
        <v>18.18</v>
      </c>
      <c r="D13" s="7">
        <f>datos!AI18</f>
        <v>8.5500000000000007</v>
      </c>
      <c r="E13" s="7">
        <f>datos!MP18</f>
        <v>29.03</v>
      </c>
      <c r="F13" s="525">
        <f>(datos!AD18/1000)/PP!$F$2</f>
        <v>2.7243953294412004</v>
      </c>
      <c r="G13" s="522">
        <f>datos!MH18</f>
        <v>34.29</v>
      </c>
      <c r="H13" s="525">
        <f>datos!BK18/$H$2</f>
        <v>70.764519056261349</v>
      </c>
      <c r="I13" s="522">
        <f>datos!NB18</f>
        <v>110.92</v>
      </c>
      <c r="J13" s="7">
        <f>datos!BR18/$J$2</f>
        <v>26.616666666666664</v>
      </c>
      <c r="K13" s="7">
        <f>datos!NE18</f>
        <v>96.21</v>
      </c>
      <c r="L13" s="525">
        <f>datos!BO18*$L$2</f>
        <v>14.160681818181818</v>
      </c>
      <c r="M13" s="522">
        <f>datos!NA18</f>
        <v>34.85</v>
      </c>
      <c r="N13" s="7">
        <f>datos!BS18*$N$2</f>
        <v>30.240000000000002</v>
      </c>
      <c r="O13" s="7"/>
      <c r="P13" s="525">
        <f>(datos!AG18/1000)/$P$2</f>
        <v>14.126470588235293</v>
      </c>
      <c r="Q13" s="522">
        <f>datos!MY18*$Q$2</f>
        <v>55.46</v>
      </c>
      <c r="R13" s="525">
        <f>datos!BN18</f>
        <v>4.3778385756368152</v>
      </c>
      <c r="S13" s="528"/>
      <c r="T13" s="529"/>
      <c r="U13" s="530">
        <f t="shared" si="8"/>
        <v>0</v>
      </c>
      <c r="V13" s="522">
        <f>datos!NC18+U13</f>
        <v>17.03</v>
      </c>
      <c r="W13" s="672">
        <f>datos!AV18*W$4</f>
        <v>112.4</v>
      </c>
      <c r="X13" s="672">
        <f t="shared" si="3"/>
        <v>8.9920000000000009</v>
      </c>
      <c r="Y13" s="672">
        <f>Y14/(1+(datos!G19/datos!G18-1))</f>
        <v>4.1891238724626145</v>
      </c>
      <c r="Z13" s="672"/>
      <c r="AA13" s="673"/>
      <c r="AB13" s="7"/>
      <c r="AC13" s="674">
        <f>datos!MJ18</f>
        <v>11.95</v>
      </c>
      <c r="AD13" s="681">
        <f>datos!BB18*AD$4</f>
        <v>251.70000000000002</v>
      </c>
      <c r="AE13" s="673">
        <f t="shared" si="4"/>
        <v>20.136000000000003</v>
      </c>
      <c r="AF13" s="673">
        <f t="shared" si="5"/>
        <v>4.1891238724626145</v>
      </c>
      <c r="AG13" s="672"/>
      <c r="AH13" s="2"/>
      <c r="AI13" s="522">
        <f>AVERAGE(datos!ML18,datos!MM18,datos!MN18,datos!MO18)</f>
        <v>25.486666666666665</v>
      </c>
      <c r="AK13" s="3">
        <f t="shared" si="6"/>
        <v>42614</v>
      </c>
      <c r="AL13" s="12">
        <f t="shared" si="9"/>
        <v>0.19526952695269525</v>
      </c>
      <c r="AM13" s="12">
        <f t="shared" si="10"/>
        <v>0.29452290733723735</v>
      </c>
      <c r="AN13" s="12">
        <f t="shared" si="11"/>
        <v>7.9451598992160991E-2</v>
      </c>
      <c r="AO13" s="12">
        <f t="shared" si="0"/>
        <v>0.6379779936554395</v>
      </c>
      <c r="AP13" s="12">
        <f t="shared" si="1"/>
        <v>0.2766517687004123</v>
      </c>
      <c r="AQ13" s="12">
        <f t="shared" si="2"/>
        <v>0.40633233337680968</v>
      </c>
      <c r="AS13" s="12">
        <f t="shared" si="12"/>
        <v>0.25471457966525951</v>
      </c>
      <c r="AX13" t="s">
        <v>795</v>
      </c>
      <c r="AY13" s="2">
        <v>5333.08</v>
      </c>
      <c r="AZ13" s="10">
        <f t="shared" si="7"/>
        <v>0.24620104826064892</v>
      </c>
    </row>
    <row r="14" spans="1:52">
      <c r="A14" s="3">
        <v>42644</v>
      </c>
      <c r="B14" s="519">
        <f>datos!R19/1000</f>
        <v>3.75</v>
      </c>
      <c r="C14" s="520">
        <f>datos!MA19</f>
        <v>18.489999999999998</v>
      </c>
      <c r="D14" s="7">
        <f>datos!AI19</f>
        <v>9.65</v>
      </c>
      <c r="E14" s="7">
        <f>datos!MP19</f>
        <v>30.03</v>
      </c>
      <c r="F14" s="525">
        <f>(datos!AD19/1000)/PP!$F$2</f>
        <v>2.757111926605504</v>
      </c>
      <c r="G14" s="522">
        <f>datos!MH19</f>
        <v>33.94</v>
      </c>
      <c r="H14" s="525">
        <f>datos!BK19/$H$2</f>
        <v>68.346188747731404</v>
      </c>
      <c r="I14" s="522">
        <f>datos!NB19</f>
        <v>112.94</v>
      </c>
      <c r="J14" s="7">
        <f>datos!BR19/$J$2</f>
        <v>28.583333333333325</v>
      </c>
      <c r="K14" s="7">
        <f>datos!NE19</f>
        <v>98.99</v>
      </c>
      <c r="L14" s="525">
        <f>datos!BO19*$L$2</f>
        <v>15.653749999999997</v>
      </c>
      <c r="M14" s="522">
        <f>datos!NA19</f>
        <v>36.68</v>
      </c>
      <c r="N14" s="7">
        <f>datos!BS19*$N$2</f>
        <v>30.240000000000002</v>
      </c>
      <c r="O14" s="7"/>
      <c r="P14" s="525">
        <f>(datos!AG19/1000)/$P$2</f>
        <v>14.999999999999998</v>
      </c>
      <c r="Q14" s="522">
        <f>datos!MY19*$Q$2</f>
        <v>56.26</v>
      </c>
      <c r="R14" s="525">
        <f>datos!BN19</f>
        <v>4.4279999999999999</v>
      </c>
      <c r="S14" s="528"/>
      <c r="T14" s="529"/>
      <c r="U14" s="530">
        <f t="shared" si="8"/>
        <v>0</v>
      </c>
      <c r="V14" s="522">
        <f>datos!NC19+U14</f>
        <v>17.55</v>
      </c>
      <c r="W14" s="672">
        <f>datos!AV19*W$4</f>
        <v>95.199999999999989</v>
      </c>
      <c r="X14" s="672">
        <f t="shared" si="3"/>
        <v>7.6159999999999997</v>
      </c>
      <c r="Y14" s="672">
        <f>Y15/(1+(datos!G20/datos!G19-1))</f>
        <v>4.3015237037935963</v>
      </c>
      <c r="Z14" s="672"/>
      <c r="AA14" s="673"/>
      <c r="AB14" s="7"/>
      <c r="AC14" s="674">
        <f>datos!MJ19</f>
        <v>12.55</v>
      </c>
      <c r="AD14" s="681">
        <f>datos!BB19*AD$4</f>
        <v>206.625</v>
      </c>
      <c r="AE14" s="673">
        <f t="shared" si="4"/>
        <v>16.53</v>
      </c>
      <c r="AF14" s="673">
        <f t="shared" si="5"/>
        <v>4.3015237037935963</v>
      </c>
      <c r="AG14" s="672"/>
      <c r="AH14" s="2"/>
      <c r="AI14" s="522">
        <f>AVERAGE(datos!ML19,datos!MM19,datos!MN19,datos!MO19)</f>
        <v>25.193333333333332</v>
      </c>
      <c r="AK14" s="3">
        <f t="shared" si="6"/>
        <v>42644</v>
      </c>
      <c r="AL14" s="12">
        <f t="shared" si="9"/>
        <v>0.2028123309897242</v>
      </c>
      <c r="AM14" s="12">
        <f t="shared" si="10"/>
        <v>0.32134532134532134</v>
      </c>
      <c r="AN14" s="12">
        <f t="shared" si="11"/>
        <v>8.1234882928859872E-2</v>
      </c>
      <c r="AO14" s="12">
        <f t="shared" si="0"/>
        <v>0.60515484990022494</v>
      </c>
      <c r="AP14" s="12">
        <f t="shared" si="1"/>
        <v>0.28874970535744343</v>
      </c>
      <c r="AQ14" s="12">
        <f t="shared" si="2"/>
        <v>0.42676526717557245</v>
      </c>
      <c r="AS14" s="12">
        <f t="shared" si="12"/>
        <v>0.26661926768574473</v>
      </c>
      <c r="AX14" t="s">
        <v>796</v>
      </c>
      <c r="AY14" s="2">
        <v>6239.7</v>
      </c>
      <c r="AZ14" s="10">
        <f t="shared" si="7"/>
        <v>0.16999932496793591</v>
      </c>
    </row>
    <row r="15" spans="1:52">
      <c r="A15" s="3">
        <v>42675</v>
      </c>
      <c r="B15" s="519">
        <f>datos!R20/1000</f>
        <v>3.625</v>
      </c>
      <c r="C15" s="520">
        <f>datos!MA20</f>
        <v>18.940000000000001</v>
      </c>
      <c r="D15" s="7">
        <f>datos!AI20</f>
        <v>10.81</v>
      </c>
      <c r="E15" s="7">
        <f>datos!MP20</f>
        <v>33.28</v>
      </c>
      <c r="F15" s="525">
        <f>(datos!AD20/1000)/PP!$F$2</f>
        <v>2.7749992718800045</v>
      </c>
      <c r="G15" s="522">
        <f>datos!MH20</f>
        <v>33.96</v>
      </c>
      <c r="H15" s="525">
        <f>datos!BK20/$H$2</f>
        <v>65.837114337568067</v>
      </c>
      <c r="I15" s="522">
        <f>datos!NB20</f>
        <v>113.66</v>
      </c>
      <c r="J15" s="7">
        <f>datos!BR20/$J$2</f>
        <v>30.116666666666664</v>
      </c>
      <c r="K15" s="7">
        <f>datos!NE20</f>
        <v>101</v>
      </c>
      <c r="L15" s="525">
        <f>datos!BO20*$L$2</f>
        <v>14.294999999999993</v>
      </c>
      <c r="M15" s="522">
        <f>datos!NA20</f>
        <v>35.799999999999997</v>
      </c>
      <c r="N15" s="7">
        <f>datos!BS20*$N$2</f>
        <v>26.46</v>
      </c>
      <c r="O15" s="7"/>
      <c r="P15" s="525">
        <f>(datos!AG20/1000)/$P$2</f>
        <v>14.999999999999998</v>
      </c>
      <c r="Q15" s="522">
        <f>datos!MY20*$Q$2</f>
        <v>56.86</v>
      </c>
      <c r="R15" s="525">
        <f>datos!BN20</f>
        <v>4.32</v>
      </c>
      <c r="S15" s="528"/>
      <c r="T15" s="529"/>
      <c r="U15" s="530">
        <f t="shared" si="8"/>
        <v>0</v>
      </c>
      <c r="V15" s="522">
        <f>datos!NC20+U15</f>
        <v>17.920000000000002</v>
      </c>
      <c r="W15" s="672">
        <f>datos!AV20*W$4</f>
        <v>81.8</v>
      </c>
      <c r="X15" s="672">
        <f t="shared" si="3"/>
        <v>6.5439999999999996</v>
      </c>
      <c r="Y15" s="672">
        <f>Y16/(1+(datos!G21/datos!G20-1))</f>
        <v>4.3746728003740767</v>
      </c>
      <c r="Z15" s="672"/>
      <c r="AA15" s="673"/>
      <c r="AB15" s="7"/>
      <c r="AC15" s="674">
        <f>datos!MJ20</f>
        <v>11.78</v>
      </c>
      <c r="AD15" s="681">
        <f>datos!BB20*AD$4</f>
        <v>157.22499999999999</v>
      </c>
      <c r="AE15" s="673">
        <f t="shared" si="4"/>
        <v>12.577999999999999</v>
      </c>
      <c r="AF15" s="673">
        <f t="shared" si="5"/>
        <v>4.3746728003740767</v>
      </c>
      <c r="AG15" s="672"/>
      <c r="AH15" s="2"/>
      <c r="AI15" s="522">
        <f>AVERAGE(datos!ML20,datos!MM20,datos!MN20,datos!MO20)</f>
        <v>23.096666666666668</v>
      </c>
      <c r="AK15" s="3">
        <f t="shared" si="6"/>
        <v>42675</v>
      </c>
      <c r="AL15" s="12">
        <f t="shared" si="9"/>
        <v>0.19139387539598732</v>
      </c>
      <c r="AM15" s="12">
        <f t="shared" si="10"/>
        <v>0.32481971153846156</v>
      </c>
      <c r="AN15" s="12">
        <f t="shared" si="11"/>
        <v>8.1713759478209788E-2</v>
      </c>
      <c r="AO15" s="12">
        <f t="shared" si="0"/>
        <v>0.57924612297701983</v>
      </c>
      <c r="AP15" s="12">
        <f t="shared" si="1"/>
        <v>0.29818481848184814</v>
      </c>
      <c r="AQ15" s="12">
        <f t="shared" si="2"/>
        <v>0.39930167597765348</v>
      </c>
      <c r="AS15" s="12">
        <f t="shared" si="12"/>
        <v>0.2638058389025677</v>
      </c>
      <c r="AX15" t="s">
        <v>797</v>
      </c>
      <c r="AY15" s="2">
        <v>6988.47</v>
      </c>
      <c r="AZ15" s="10">
        <f t="shared" si="7"/>
        <v>0.12000096158469153</v>
      </c>
    </row>
    <row r="16" spans="1:52">
      <c r="A16" s="3">
        <v>42705</v>
      </c>
      <c r="B16" s="519">
        <f>datos!R21/1000</f>
        <v>3.5</v>
      </c>
      <c r="C16" s="520">
        <f>datos!MA21</f>
        <v>19.46</v>
      </c>
      <c r="D16" s="7">
        <f>datos!AI21</f>
        <v>12.3</v>
      </c>
      <c r="E16" s="7">
        <f>datos!MP21</f>
        <v>35.76</v>
      </c>
      <c r="F16" s="525">
        <f>(datos!AD21/1000)/PP!$F$2</f>
        <v>2.8164061397318276</v>
      </c>
      <c r="G16" s="522">
        <f>datos!MH21</f>
        <v>34.28</v>
      </c>
      <c r="H16" s="525">
        <f>datos!BK21/$H$2</f>
        <v>64.657441016333948</v>
      </c>
      <c r="I16" s="522">
        <f>datos!NB21</f>
        <v>116.82</v>
      </c>
      <c r="J16" s="7">
        <f>datos!BR21/$J$2</f>
        <v>30.86666666666666</v>
      </c>
      <c r="K16" s="7">
        <f>datos!NE21</f>
        <v>105.99</v>
      </c>
      <c r="L16" s="525">
        <f>datos!BO21*$L$2</f>
        <v>15.910999999999996</v>
      </c>
      <c r="M16" s="522">
        <f>datos!NA21</f>
        <v>36.700000000000003</v>
      </c>
      <c r="N16" s="7">
        <f>datos!BS21*$N$2</f>
        <v>25.704000000000001</v>
      </c>
      <c r="O16" s="7"/>
      <c r="P16" s="525">
        <f>(datos!AG21/1000)/$P$2</f>
        <v>14.999999999999998</v>
      </c>
      <c r="Q16" s="522">
        <f>datos!MY21*$Q$2</f>
        <v>56.98</v>
      </c>
      <c r="R16" s="525">
        <f>datos!BN21</f>
        <v>4.68</v>
      </c>
      <c r="S16" s="528"/>
      <c r="T16" s="529"/>
      <c r="U16" s="530">
        <f t="shared" si="8"/>
        <v>0</v>
      </c>
      <c r="V16" s="522">
        <f>datos!NC21+U16</f>
        <v>18.05</v>
      </c>
      <c r="W16" s="672">
        <f>datos!AV21*W$4</f>
        <v>92.4</v>
      </c>
      <c r="X16" s="672">
        <f t="shared" si="3"/>
        <v>7.3920000000000003</v>
      </c>
      <c r="Y16" s="672">
        <f>Y17/(1+(datos!G22/datos!G21-1))</f>
        <v>4.4460377726477152</v>
      </c>
      <c r="Z16" s="672"/>
      <c r="AA16" s="673"/>
      <c r="AB16" s="7"/>
      <c r="AC16" s="674">
        <f>datos!MJ21</f>
        <v>11.59</v>
      </c>
      <c r="AD16" s="681">
        <f>datos!BB21*AD$4</f>
        <v>129.6</v>
      </c>
      <c r="AE16" s="673">
        <f t="shared" si="4"/>
        <v>10.368</v>
      </c>
      <c r="AF16" s="673">
        <f t="shared" si="5"/>
        <v>4.4460377726477152</v>
      </c>
      <c r="AG16" s="672"/>
      <c r="AH16" s="2"/>
      <c r="AI16" s="522">
        <f>AVERAGE(datos!ML21,datos!MM21,datos!MN21,datos!MO21)</f>
        <v>16.776666666666667</v>
      </c>
      <c r="AK16" s="3">
        <f t="shared" si="6"/>
        <v>42705</v>
      </c>
      <c r="AL16" s="12">
        <f t="shared" si="9"/>
        <v>0.17985611510791366</v>
      </c>
      <c r="AM16" s="12">
        <f t="shared" si="10"/>
        <v>0.34395973154362419</v>
      </c>
      <c r="AN16" s="12">
        <f t="shared" si="11"/>
        <v>8.2158872220881779E-2</v>
      </c>
      <c r="AO16" s="12">
        <f t="shared" si="0"/>
        <v>0.55347920746733392</v>
      </c>
      <c r="AP16" s="12">
        <f t="shared" si="1"/>
        <v>0.29122244236877687</v>
      </c>
      <c r="AQ16" s="12">
        <f t="shared" si="2"/>
        <v>0.43354223433242495</v>
      </c>
      <c r="AS16" s="12">
        <f t="shared" si="12"/>
        <v>0.26325026325026324</v>
      </c>
      <c r="AX16" t="s">
        <v>798</v>
      </c>
      <c r="AY16" s="2">
        <v>8083.56</v>
      </c>
      <c r="AZ16" s="10">
        <f t="shared" si="7"/>
        <v>0.15669953509137202</v>
      </c>
    </row>
    <row r="17" spans="1:52">
      <c r="A17" s="3">
        <v>42736</v>
      </c>
      <c r="B17" s="519">
        <f>datos!R22/1000</f>
        <v>3.65</v>
      </c>
      <c r="C17" s="520">
        <f>datos!MA22</f>
        <v>19.5</v>
      </c>
      <c r="D17" s="7">
        <f>datos!AI22</f>
        <v>11.49</v>
      </c>
      <c r="E17" s="7">
        <f>datos!MP22</f>
        <v>36.630000000000003</v>
      </c>
      <c r="F17" s="525">
        <f>(datos!AD22/1000)/PP!$F$2</f>
        <v>3.2106005004170135</v>
      </c>
      <c r="G17" s="522">
        <f>datos!MH22</f>
        <v>34.83</v>
      </c>
      <c r="H17" s="525">
        <f>datos!BK22/$H$2</f>
        <v>63.482304900181497</v>
      </c>
      <c r="I17" s="522">
        <f>datos!NB22</f>
        <v>115.15</v>
      </c>
      <c r="J17" s="7">
        <f>datos!BR22/$J$2</f>
        <v>31.866666666666664</v>
      </c>
      <c r="K17" s="7">
        <f>datos!NE22</f>
        <v>108.67</v>
      </c>
      <c r="L17" s="525">
        <f>datos!BO22*$L$2</f>
        <v>13.607045454545451</v>
      </c>
      <c r="M17" s="522">
        <f>datos!NA22</f>
        <v>34.200000000000003</v>
      </c>
      <c r="N17" s="7">
        <f>datos!BS22*$N$2</f>
        <v>26.838000000000001</v>
      </c>
      <c r="O17" s="7"/>
      <c r="P17" s="525">
        <f>(datos!AG22/1000)/$P$2</f>
        <v>14.999999999999998</v>
      </c>
      <c r="Q17" s="522">
        <f>datos!MY22*$Q$2</f>
        <v>57.06</v>
      </c>
      <c r="R17" s="525">
        <f>datos!BN22</f>
        <v>4.91</v>
      </c>
      <c r="S17" s="528"/>
      <c r="T17" s="529"/>
      <c r="U17" s="530">
        <f t="shared" si="8"/>
        <v>0</v>
      </c>
      <c r="V17" s="522">
        <f>datos!NC22+U17</f>
        <v>18.600000000000001</v>
      </c>
      <c r="W17" s="672">
        <f>datos!AV22*W$4</f>
        <v>135.98060606060611</v>
      </c>
      <c r="X17" s="672">
        <f t="shared" si="3"/>
        <v>10.878448484848489</v>
      </c>
      <c r="Y17" s="672">
        <f>Y18/(1+(datos!G23/datos!G22-1))</f>
        <v>4.517174377010079</v>
      </c>
      <c r="Z17" s="672"/>
      <c r="AA17" s="673"/>
      <c r="AB17" s="7"/>
      <c r="AC17" s="674">
        <f>datos!MJ22</f>
        <v>12.45</v>
      </c>
      <c r="AD17" s="681">
        <f>datos!BB22*AD$4</f>
        <v>117.47138383838386</v>
      </c>
      <c r="AE17" s="673">
        <f t="shared" si="4"/>
        <v>9.3977107070707095</v>
      </c>
      <c r="AF17" s="673">
        <f t="shared" si="5"/>
        <v>4.517174377010079</v>
      </c>
      <c r="AG17" s="672"/>
      <c r="AH17" s="2"/>
      <c r="AI17" s="522">
        <f>AVERAGE(datos!ML22,datos!MM22,datos!MN22,datos!MO22)</f>
        <v>16.643333333333334</v>
      </c>
      <c r="AK17" s="3">
        <f t="shared" si="6"/>
        <v>42736</v>
      </c>
      <c r="AL17" s="12">
        <f t="shared" si="9"/>
        <v>0.18717948717948718</v>
      </c>
      <c r="AM17" s="12">
        <f t="shared" si="10"/>
        <v>0.31367731367731366</v>
      </c>
      <c r="AN17" s="12">
        <f t="shared" si="11"/>
        <v>9.217917026749968E-2</v>
      </c>
      <c r="AO17" s="12">
        <f t="shared" si="0"/>
        <v>0.55130095440887095</v>
      </c>
      <c r="AP17" s="12">
        <f t="shared" si="1"/>
        <v>0.29324253857243637</v>
      </c>
      <c r="AQ17" s="12">
        <f t="shared" si="2"/>
        <v>0.3978668261562997</v>
      </c>
      <c r="AS17" s="12">
        <f t="shared" si="12"/>
        <v>0.26288117770767611</v>
      </c>
      <c r="AX17" t="s">
        <v>812</v>
      </c>
      <c r="AY17" s="2">
        <v>8850.69</v>
      </c>
      <c r="AZ17" s="10">
        <f t="shared" si="7"/>
        <v>9.4900019298427951E-2</v>
      </c>
    </row>
    <row r="18" spans="1:52">
      <c r="A18" s="3">
        <v>42767</v>
      </c>
      <c r="B18" s="519">
        <f>datos!R23/1000</f>
        <v>3.35</v>
      </c>
      <c r="C18" s="520">
        <f>datos!MA23</f>
        <v>19.940000000000001</v>
      </c>
      <c r="D18" s="7">
        <f>datos!AI23</f>
        <v>11.86</v>
      </c>
      <c r="E18" s="7">
        <f>datos!MP23</f>
        <v>37.229999999999997</v>
      </c>
      <c r="F18" s="525">
        <f>(datos!AD23/1000)/PP!$F$2</f>
        <v>3.2989619435949704</v>
      </c>
      <c r="G18" s="522">
        <f>datos!MH23</f>
        <v>35.6</v>
      </c>
      <c r="H18" s="525">
        <f>datos!BK23/$H$2</f>
        <v>67.161978221415609</v>
      </c>
      <c r="I18" s="522">
        <f>datos!NB23</f>
        <v>114.64</v>
      </c>
      <c r="J18" s="7">
        <f>datos!BR23/$J$2</f>
        <v>31.833333333333332</v>
      </c>
      <c r="K18" s="7">
        <f>datos!NE23</f>
        <v>106.79</v>
      </c>
      <c r="L18" s="525">
        <f>datos!BO23*$L$2</f>
        <v>14.785555555555556</v>
      </c>
      <c r="M18" s="522">
        <f>datos!NA23</f>
        <v>34.6</v>
      </c>
      <c r="N18" s="7">
        <f>datos!BS23*$N$2</f>
        <v>28.35</v>
      </c>
      <c r="O18" s="7"/>
      <c r="P18" s="525">
        <f>(datos!AG23/1000)/$P$2</f>
        <v>14.999999999999998</v>
      </c>
      <c r="Q18" s="522">
        <f>datos!MY23*$Q$2</f>
        <v>57.82</v>
      </c>
      <c r="R18" s="525">
        <f>datos!BN23</f>
        <v>5.0199999999999996</v>
      </c>
      <c r="S18" s="528"/>
      <c r="T18" s="529"/>
      <c r="U18" s="530">
        <f t="shared" si="8"/>
        <v>0</v>
      </c>
      <c r="V18" s="522">
        <f>datos!NC23+U18</f>
        <v>18.86</v>
      </c>
      <c r="W18" s="672">
        <f>datos!AV23*W$4</f>
        <v>144.65016666666668</v>
      </c>
      <c r="X18" s="672">
        <f t="shared" si="3"/>
        <v>11.572013333333334</v>
      </c>
      <c r="Y18" s="672">
        <f>Y19/(1+(datos!G24/datos!G23-1))</f>
        <v>4.610541170235682</v>
      </c>
      <c r="Z18" s="672"/>
      <c r="AA18" s="673"/>
      <c r="AB18" s="7"/>
      <c r="AC18" s="674">
        <f>datos!MJ23</f>
        <v>13.67</v>
      </c>
      <c r="AD18" s="681">
        <f>datos!BB23*AD$4</f>
        <v>125.63520459462897</v>
      </c>
      <c r="AE18" s="673">
        <f t="shared" si="4"/>
        <v>10.050816367570318</v>
      </c>
      <c r="AF18" s="673">
        <f t="shared" si="5"/>
        <v>4.610541170235682</v>
      </c>
      <c r="AG18" s="672"/>
      <c r="AH18" s="2"/>
      <c r="AI18" s="522">
        <f>AVERAGE(datos!ML23,datos!MM23,datos!MN23,datos!MO23)</f>
        <v>16.61</v>
      </c>
      <c r="AK18" s="3">
        <f t="shared" si="6"/>
        <v>42767</v>
      </c>
      <c r="AL18" s="12">
        <f t="shared" si="9"/>
        <v>0.16800401203610832</v>
      </c>
      <c r="AM18" s="12">
        <f t="shared" si="10"/>
        <v>0.31856030083266185</v>
      </c>
      <c r="AN18" s="12">
        <f t="shared" si="11"/>
        <v>9.2667470325701412E-2</v>
      </c>
      <c r="AO18" s="12">
        <f t="shared" si="0"/>
        <v>0.58585117080788218</v>
      </c>
      <c r="AP18" s="12">
        <f t="shared" si="1"/>
        <v>0.29809283016512156</v>
      </c>
      <c r="AQ18" s="12">
        <f t="shared" si="2"/>
        <v>0.42732819524727039</v>
      </c>
      <c r="AS18" s="12">
        <f t="shared" si="12"/>
        <v>0.25942580421999306</v>
      </c>
      <c r="AX18" s="3">
        <v>46082</v>
      </c>
      <c r="AY18" s="2">
        <v>10015.44</v>
      </c>
      <c r="AZ18" s="10">
        <f t="shared" si="7"/>
        <v>0.13159990915962494</v>
      </c>
    </row>
    <row r="19" spans="1:52">
      <c r="A19" s="3">
        <v>42795</v>
      </c>
      <c r="B19" s="519">
        <f>datos!R24/1000</f>
        <v>3.65</v>
      </c>
      <c r="C19" s="520">
        <f>datos!MA24</f>
        <v>20.16</v>
      </c>
      <c r="D19" s="7">
        <f>datos!AI24</f>
        <v>11.71</v>
      </c>
      <c r="E19" s="7">
        <f>datos!MP24</f>
        <v>38.56</v>
      </c>
      <c r="F19" s="525">
        <f>(datos!AD24/1000)/PP!$F$2</f>
        <v>3.1838151110774136</v>
      </c>
      <c r="G19" s="522">
        <f>datos!MH24</f>
        <v>37.53</v>
      </c>
      <c r="H19" s="525">
        <f>datos!BK24/$H$2</f>
        <v>72.654264972776787</v>
      </c>
      <c r="I19" s="522">
        <f>datos!NB24</f>
        <v>122.81</v>
      </c>
      <c r="J19" s="7">
        <f>datos!BR24/$J$2</f>
        <v>31.799999999999994</v>
      </c>
      <c r="K19" s="7">
        <f>datos!NE24</f>
        <v>108.92</v>
      </c>
      <c r="L19" s="525">
        <f>datos!BO24*$L$2</f>
        <v>17.013181818181813</v>
      </c>
      <c r="M19" s="522">
        <f>datos!NA24</f>
        <v>39.68</v>
      </c>
      <c r="N19" s="7">
        <f>datos!BS24*$N$2</f>
        <v>28.35</v>
      </c>
      <c r="O19" s="7"/>
      <c r="P19" s="525">
        <f>(datos!AG24/1000)/$P$2</f>
        <v>14.999999999999998</v>
      </c>
      <c r="Q19" s="522">
        <f>datos!MY24*$Q$2</f>
        <v>58.88</v>
      </c>
      <c r="R19" s="525">
        <f>datos!BN24</f>
        <v>5.15</v>
      </c>
      <c r="S19" s="528"/>
      <c r="T19" s="529"/>
      <c r="U19" s="530">
        <f t="shared" si="8"/>
        <v>0</v>
      </c>
      <c r="V19" s="522">
        <f>datos!NC24+U19</f>
        <v>19.13</v>
      </c>
      <c r="W19" s="672">
        <f>datos!AV24*W$4</f>
        <v>134.68030303030307</v>
      </c>
      <c r="X19" s="672">
        <f t="shared" si="3"/>
        <v>10.774424242424246</v>
      </c>
      <c r="Y19" s="672">
        <f>Y20/(1+(datos!G25/datos!G24-1))</f>
        <v>4.7172460767792268</v>
      </c>
      <c r="Z19" s="672"/>
      <c r="AA19" s="673"/>
      <c r="AB19" s="7"/>
      <c r="AC19" s="674">
        <f>datos!MJ24</f>
        <v>14</v>
      </c>
      <c r="AD19" s="681">
        <f>datos!BB24*AD$4</f>
        <v>129.15913434343435</v>
      </c>
      <c r="AE19" s="673">
        <f t="shared" si="4"/>
        <v>10.332730747474749</v>
      </c>
      <c r="AF19" s="673">
        <f t="shared" si="5"/>
        <v>4.7172460767792268</v>
      </c>
      <c r="AG19" s="672"/>
      <c r="AH19" s="2"/>
      <c r="AI19" s="522">
        <f>AVERAGE(datos!ML24,datos!MM24,datos!MN24,datos!MO24)</f>
        <v>17.496666666666666</v>
      </c>
      <c r="AK19" s="3">
        <f t="shared" si="6"/>
        <v>42795</v>
      </c>
      <c r="AL19" s="12">
        <f t="shared" si="9"/>
        <v>0.1810515873015873</v>
      </c>
      <c r="AM19" s="12">
        <f t="shared" si="10"/>
        <v>0.30368257261410792</v>
      </c>
      <c r="AN19" s="12">
        <f t="shared" si="11"/>
        <v>8.4833869200037659E-2</v>
      </c>
      <c r="AO19" s="12">
        <f t="shared" si="0"/>
        <v>0.59159893308995026</v>
      </c>
      <c r="AP19" s="12">
        <f t="shared" si="1"/>
        <v>0.29195739992655151</v>
      </c>
      <c r="AQ19" s="12">
        <f t="shared" si="2"/>
        <v>0.4287596224340175</v>
      </c>
      <c r="AS19" s="12">
        <f t="shared" si="12"/>
        <v>0.25475543478260865</v>
      </c>
    </row>
    <row r="20" spans="1:52">
      <c r="A20" s="3">
        <v>42826</v>
      </c>
      <c r="B20" s="519">
        <f>datos!R25/1000</f>
        <v>3.45</v>
      </c>
      <c r="C20" s="520">
        <f>datos!MA25</f>
        <v>20.22</v>
      </c>
      <c r="D20" s="7">
        <f>datos!AI25</f>
        <v>11.03</v>
      </c>
      <c r="E20" s="7">
        <f>datos!MP25</f>
        <v>38.85</v>
      </c>
      <c r="F20" s="525">
        <f>(datos!AD25/1000)/PP!$F$2</f>
        <v>3.2257613168724268</v>
      </c>
      <c r="G20" s="522">
        <f>datos!MH25</f>
        <v>38.19</v>
      </c>
      <c r="H20" s="525">
        <f>datos!BK25/$H$2</f>
        <v>75.537658802177859</v>
      </c>
      <c r="I20" s="522">
        <f>datos!NB25</f>
        <v>123.99</v>
      </c>
      <c r="J20" s="7">
        <f>datos!BR25/$J$2</f>
        <v>31.883333333333326</v>
      </c>
      <c r="K20" s="7">
        <f>datos!NE25</f>
        <v>110.93</v>
      </c>
      <c r="L20" s="525">
        <f>datos!BO25*$L$2</f>
        <v>14.771944444444443</v>
      </c>
      <c r="M20" s="522">
        <f>datos!NA25</f>
        <v>37.299999999999997</v>
      </c>
      <c r="N20" s="7">
        <f>datos!BS25*$N$2</f>
        <v>27.972000000000001</v>
      </c>
      <c r="O20" s="7"/>
      <c r="P20" s="525">
        <f>(datos!AG25/1000)/$P$2</f>
        <v>17.682352941176468</v>
      </c>
      <c r="Q20" s="522">
        <f>datos!MY25*$Q$2</f>
        <v>59.62</v>
      </c>
      <c r="R20" s="525">
        <f>datos!BN25</f>
        <v>5.26</v>
      </c>
      <c r="S20" s="528"/>
      <c r="T20" s="529"/>
      <c r="U20" s="530">
        <f t="shared" si="8"/>
        <v>0</v>
      </c>
      <c r="V20" s="522">
        <f>datos!NC25+U20</f>
        <v>19.98</v>
      </c>
      <c r="W20" s="672">
        <f>datos!AV25*W$4</f>
        <v>146.14783333333335</v>
      </c>
      <c r="X20" s="672">
        <f t="shared" si="3"/>
        <v>11.691826666666669</v>
      </c>
      <c r="Y20" s="672">
        <f>Y21/(1+(datos!G26/datos!G25-1))</f>
        <v>4.8461811721860109</v>
      </c>
      <c r="Z20" s="672"/>
      <c r="AA20" s="673"/>
      <c r="AB20" s="7"/>
      <c r="AC20" s="674">
        <f>datos!MJ25</f>
        <v>14.67</v>
      </c>
      <c r="AD20" s="681">
        <f>datos!BB25*AD$4</f>
        <v>151.21371672538942</v>
      </c>
      <c r="AE20" s="673">
        <f t="shared" si="4"/>
        <v>12.097097338031153</v>
      </c>
      <c r="AF20" s="673">
        <f t="shared" si="5"/>
        <v>4.8461811721860109</v>
      </c>
      <c r="AG20" s="672"/>
      <c r="AH20" s="2"/>
      <c r="AI20" s="522">
        <f>AVERAGE(datos!ML25,datos!MM25,datos!MN25,datos!MO25)</f>
        <v>18.156666666666666</v>
      </c>
      <c r="AK20" s="3">
        <f t="shared" si="6"/>
        <v>42826</v>
      </c>
      <c r="AL20" s="12">
        <f t="shared" si="9"/>
        <v>0.17062314540059348</v>
      </c>
      <c r="AM20" s="12">
        <f t="shared" si="10"/>
        <v>0.28391248391248386</v>
      </c>
      <c r="AN20" s="12">
        <f t="shared" si="11"/>
        <v>8.4466125081760338E-2</v>
      </c>
      <c r="AO20" s="12">
        <f t="shared" si="0"/>
        <v>0.60922379871100785</v>
      </c>
      <c r="AP20" s="12">
        <f t="shared" si="1"/>
        <v>0.28741849214219167</v>
      </c>
      <c r="AQ20" s="12">
        <f t="shared" si="2"/>
        <v>0.39603068215668752</v>
      </c>
      <c r="AS20" s="12">
        <f t="shared" si="12"/>
        <v>0.29658424926495253</v>
      </c>
    </row>
    <row r="21" spans="1:52">
      <c r="A21" s="3">
        <v>42856</v>
      </c>
      <c r="B21" s="519">
        <f>datos!R26/1000</f>
        <v>3.55</v>
      </c>
      <c r="C21" s="520">
        <f>datos!MA26</f>
        <v>20.47</v>
      </c>
      <c r="D21" s="7">
        <f>datos!AI26</f>
        <v>11.21</v>
      </c>
      <c r="E21" s="7">
        <f>datos!MP26</f>
        <v>39.75</v>
      </c>
      <c r="F21" s="525">
        <f>(datos!AD26/1000)/PP!$F$2</f>
        <v>3.1211476230191821</v>
      </c>
      <c r="G21" s="522">
        <f>datos!MH26</f>
        <v>38.24</v>
      </c>
      <c r="H21" s="525">
        <f>datos!BK26/$H$2</f>
        <v>74.267241379310349</v>
      </c>
      <c r="I21" s="522">
        <f>datos!NB26</f>
        <v>125.2</v>
      </c>
      <c r="J21" s="7">
        <f>datos!BR26/$J$2</f>
        <v>31.783333333333328</v>
      </c>
      <c r="K21" s="7">
        <f>datos!NE26</f>
        <v>112.22</v>
      </c>
      <c r="L21" s="525">
        <f>datos!BO26*$L$2</f>
        <v>12.801666666666668</v>
      </c>
      <c r="M21" s="522">
        <f>datos!NA26</f>
        <v>35.75</v>
      </c>
      <c r="N21" s="7">
        <f>datos!BS26*$N$2</f>
        <v>27.972000000000001</v>
      </c>
      <c r="O21" s="7"/>
      <c r="P21" s="525">
        <f>(datos!AG26/1000)/$P$2</f>
        <v>17.682352941176468</v>
      </c>
      <c r="Q21" s="522">
        <f>datos!MY26*$Q$2</f>
        <v>60.48</v>
      </c>
      <c r="R21" s="525">
        <f>datos!BN26</f>
        <v>5.41</v>
      </c>
      <c r="S21" s="528"/>
      <c r="T21" s="529"/>
      <c r="U21" s="530">
        <f t="shared" si="8"/>
        <v>0</v>
      </c>
      <c r="V21" s="522">
        <f>datos!NC26+U21</f>
        <v>20.36</v>
      </c>
      <c r="W21" s="672">
        <f>datos!AV26*W$4</f>
        <v>144.84677419354841</v>
      </c>
      <c r="X21" s="672">
        <f t="shared" si="3"/>
        <v>11.587741935483873</v>
      </c>
      <c r="Y21" s="672">
        <f>Y22/(1+(datos!G27/datos!G26-1))</f>
        <v>4.9128717387757268</v>
      </c>
      <c r="Z21" s="672"/>
      <c r="AA21" s="673"/>
      <c r="AB21" s="7"/>
      <c r="AC21" s="674">
        <f>datos!MJ26</f>
        <v>14.78</v>
      </c>
      <c r="AD21" s="681">
        <f>datos!BB26*AD$4</f>
        <v>145.5090485869145</v>
      </c>
      <c r="AE21" s="673">
        <f t="shared" si="4"/>
        <v>11.640723886953161</v>
      </c>
      <c r="AF21" s="673">
        <f t="shared" si="5"/>
        <v>4.9128717387757268</v>
      </c>
      <c r="AG21" s="672"/>
      <c r="AH21" s="2"/>
      <c r="AI21" s="522">
        <f>AVERAGE(datos!ML26,datos!MM26,datos!MN26,datos!MO26)</f>
        <v>17.763333333333332</v>
      </c>
      <c r="AK21" s="3">
        <f t="shared" si="6"/>
        <v>42856</v>
      </c>
      <c r="AL21" s="12">
        <f t="shared" si="9"/>
        <v>0.17342452369320957</v>
      </c>
      <c r="AM21" s="12">
        <f t="shared" si="10"/>
        <v>0.28201257861635221</v>
      </c>
      <c r="AN21" s="12">
        <f t="shared" si="11"/>
        <v>8.1619969221212924E-2</v>
      </c>
      <c r="AO21" s="12">
        <f t="shared" si="0"/>
        <v>0.59318882890822966</v>
      </c>
      <c r="AP21" s="12">
        <f t="shared" si="1"/>
        <v>0.28322343016693396</v>
      </c>
      <c r="AQ21" s="12">
        <f t="shared" si="2"/>
        <v>0.35808857808857814</v>
      </c>
      <c r="AS21" s="12">
        <f t="shared" si="12"/>
        <v>0.29236694677871145</v>
      </c>
    </row>
    <row r="22" spans="1:52">
      <c r="A22" s="3">
        <v>42887</v>
      </c>
      <c r="B22" s="519">
        <f>datos!R27/1000</f>
        <v>3.7</v>
      </c>
      <c r="C22" s="520">
        <f>datos!MA27</f>
        <v>20.96</v>
      </c>
      <c r="D22" s="7">
        <f>datos!AI27</f>
        <v>12.12</v>
      </c>
      <c r="E22" s="7">
        <f>datos!MP27</f>
        <v>39.840000000000003</v>
      </c>
      <c r="F22" s="525">
        <f>(datos!AD27/1000)/PP!$F$2</f>
        <v>3.3165579340808691</v>
      </c>
      <c r="G22" s="522">
        <f>datos!MH27</f>
        <v>38.64</v>
      </c>
      <c r="H22" s="525">
        <f>datos!BK27/$H$2</f>
        <v>76.374773139745912</v>
      </c>
      <c r="I22" s="522">
        <f>datos!NB27</f>
        <v>125.47</v>
      </c>
      <c r="J22" s="7">
        <f>datos!BR27/$J$2</f>
        <v>31.483333333333331</v>
      </c>
      <c r="K22" s="7">
        <f>datos!NE27</f>
        <v>111.16</v>
      </c>
      <c r="L22" s="525">
        <f>datos!BO27*$L$2</f>
        <v>12.344999999999997</v>
      </c>
      <c r="M22" s="522">
        <f>datos!NA27</f>
        <v>34.5</v>
      </c>
      <c r="N22" s="7">
        <f>datos!BS27*$N$2</f>
        <v>29.484000000000002</v>
      </c>
      <c r="O22" s="7"/>
      <c r="P22" s="525">
        <f>(datos!AG27/1000)/$P$2</f>
        <v>17.682352941176468</v>
      </c>
      <c r="Q22" s="522">
        <f>datos!MY27*$Q$2</f>
        <v>61.46</v>
      </c>
      <c r="R22" s="525">
        <f>datos!BN27</f>
        <v>5.51</v>
      </c>
      <c r="S22" s="528"/>
      <c r="T22" s="529"/>
      <c r="U22" s="530">
        <f t="shared" si="8"/>
        <v>0</v>
      </c>
      <c r="V22" s="522">
        <f>datos!NC27+U22</f>
        <v>20.96</v>
      </c>
      <c r="W22" s="672">
        <f>datos!AV27*W$4</f>
        <v>131.49971428571433</v>
      </c>
      <c r="X22" s="672">
        <f t="shared" si="3"/>
        <v>10.519977142857147</v>
      </c>
      <c r="Y22" s="672">
        <f>Y23/(1+(datos!G28/datos!G27-1))</f>
        <v>4.9706702298201471</v>
      </c>
      <c r="Z22" s="672"/>
      <c r="AA22" s="673"/>
      <c r="AB22" s="7"/>
      <c r="AC22" s="674">
        <f>datos!MJ27</f>
        <v>13.9</v>
      </c>
      <c r="AD22" s="681">
        <f>datos!BB27*AD$4</f>
        <v>152.07215982946522</v>
      </c>
      <c r="AE22" s="673">
        <f t="shared" si="4"/>
        <v>12.165772786357218</v>
      </c>
      <c r="AF22" s="673">
        <f t="shared" si="5"/>
        <v>4.9706702298201471</v>
      </c>
      <c r="AG22" s="672"/>
      <c r="AH22" s="2"/>
      <c r="AI22" s="522">
        <f>AVERAGE(datos!ML27,datos!MM27,datos!MN27,datos!MO27)</f>
        <v>18.170000000000002</v>
      </c>
      <c r="AK22" s="3">
        <f t="shared" si="6"/>
        <v>42887</v>
      </c>
      <c r="AL22" s="12">
        <f t="shared" si="9"/>
        <v>0.17652671755725191</v>
      </c>
      <c r="AM22" s="12">
        <f t="shared" si="10"/>
        <v>0.30421686746987947</v>
      </c>
      <c r="AN22" s="12">
        <f t="shared" si="11"/>
        <v>8.5832244670829949E-2</v>
      </c>
      <c r="AO22" s="12">
        <f t="shared" si="0"/>
        <v>0.60870943763246921</v>
      </c>
      <c r="AP22" s="12">
        <f t="shared" si="1"/>
        <v>0.2832253808324337</v>
      </c>
      <c r="AQ22" s="12">
        <f t="shared" si="2"/>
        <v>0.35782608695652163</v>
      </c>
      <c r="AS22" s="12">
        <f t="shared" si="12"/>
        <v>0.28770505924465456</v>
      </c>
    </row>
    <row r="23" spans="1:52">
      <c r="A23" s="3">
        <v>42917</v>
      </c>
      <c r="B23" s="519">
        <f>datos!R28/1000</f>
        <v>3.7</v>
      </c>
      <c r="C23" s="520">
        <f>datos!MA28</f>
        <v>21.08</v>
      </c>
      <c r="D23" s="7">
        <f>datos!AI28</f>
        <v>11.32</v>
      </c>
      <c r="E23" s="7">
        <f>datos!MP28</f>
        <v>41.25</v>
      </c>
      <c r="F23" s="525">
        <f>(datos!AD28/1000)/PP!$F$2</f>
        <v>3.7306446316753008</v>
      </c>
      <c r="G23" s="522">
        <f>datos!MH28</f>
        <v>39.119999999999997</v>
      </c>
      <c r="H23" s="525">
        <f>datos!BK28/$H$2</f>
        <v>76.054900181488208</v>
      </c>
      <c r="I23" s="522">
        <f>datos!NB28</f>
        <v>125.1</v>
      </c>
      <c r="J23" s="7">
        <f>datos!BR28/$J$2</f>
        <v>30.999999999999996</v>
      </c>
      <c r="K23" s="7">
        <f>datos!NE28</f>
        <v>111.4</v>
      </c>
      <c r="L23" s="525">
        <f>datos!BO28*$L$2</f>
        <v>14.585000000000006</v>
      </c>
      <c r="M23" s="522">
        <f>datos!NA28</f>
        <v>35.729999999999997</v>
      </c>
      <c r="N23" s="7">
        <f>datos!BS28*$N$2</f>
        <v>29.484000000000002</v>
      </c>
      <c r="O23" s="7"/>
      <c r="P23" s="525">
        <f>(datos!AG28/1000)/$P$2</f>
        <v>17.682352941176468</v>
      </c>
      <c r="Q23" s="522">
        <f>datos!MY28*$Q$2</f>
        <v>62.66</v>
      </c>
      <c r="R23" s="525">
        <f>datos!BN28</f>
        <v>5.56</v>
      </c>
      <c r="S23" s="528"/>
      <c r="T23" s="529"/>
      <c r="U23" s="530">
        <f t="shared" si="8"/>
        <v>0</v>
      </c>
      <c r="V23" s="522">
        <f>datos!NC28+U23</f>
        <v>21.53</v>
      </c>
      <c r="W23" s="672">
        <f>datos!AV28*W$4</f>
        <v>147.1476785714286</v>
      </c>
      <c r="X23" s="672">
        <f t="shared" si="3"/>
        <v>11.771814285714289</v>
      </c>
      <c r="Y23" s="672">
        <f>Y24/(1+(datos!G29/datos!G28-1))</f>
        <v>5.0595909852731005</v>
      </c>
      <c r="Z23" s="672"/>
      <c r="AA23" s="673"/>
      <c r="AB23" s="7"/>
      <c r="AC23" s="674">
        <f>datos!MJ28</f>
        <v>14.48</v>
      </c>
      <c r="AD23" s="681">
        <f>datos!BB28*AD$4</f>
        <v>130.52585257335258</v>
      </c>
      <c r="AE23" s="673">
        <f t="shared" si="4"/>
        <v>10.442068205868207</v>
      </c>
      <c r="AF23" s="673">
        <f t="shared" si="5"/>
        <v>5.0595909852731005</v>
      </c>
      <c r="AG23" s="672"/>
      <c r="AH23" s="2"/>
      <c r="AI23" s="522">
        <f>AVERAGE(datos!ML28,datos!MM28,datos!MN28,datos!MO28)</f>
        <v>16.59</v>
      </c>
      <c r="AK23" s="3">
        <f t="shared" si="6"/>
        <v>42917</v>
      </c>
      <c r="AL23" s="12">
        <f t="shared" si="9"/>
        <v>0.17552182163187857</v>
      </c>
      <c r="AM23" s="12">
        <f t="shared" si="10"/>
        <v>0.2744242424242424</v>
      </c>
      <c r="AN23" s="12">
        <f t="shared" si="11"/>
        <v>9.5364126576566996E-2</v>
      </c>
      <c r="AO23" s="12">
        <f t="shared" si="0"/>
        <v>0.6079528391805612</v>
      </c>
      <c r="AP23" s="12">
        <f t="shared" si="1"/>
        <v>0.27827648114901254</v>
      </c>
      <c r="AQ23" s="12">
        <f t="shared" si="2"/>
        <v>0.40820039182759604</v>
      </c>
      <c r="AS23" s="12">
        <f t="shared" si="12"/>
        <v>0.28219522727699442</v>
      </c>
    </row>
    <row r="24" spans="1:52">
      <c r="A24" s="3">
        <v>42948</v>
      </c>
      <c r="B24" s="519">
        <f>datos!R29/1000</f>
        <v>4.05</v>
      </c>
      <c r="C24" s="520">
        <f>datos!MA29</f>
        <v>21.25</v>
      </c>
      <c r="D24" s="7">
        <f>datos!AI29</f>
        <v>12.02</v>
      </c>
      <c r="E24" s="7">
        <f>datos!MP29</f>
        <v>42.09</v>
      </c>
      <c r="F24" s="525">
        <f>(datos!AD29/1000)/PP!$F$2</f>
        <v>3.6051809879444998</v>
      </c>
      <c r="G24" s="522">
        <f>datos!MH29</f>
        <v>39.43</v>
      </c>
      <c r="H24" s="525">
        <f>datos!BK29/$H$2</f>
        <v>78.557168784029045</v>
      </c>
      <c r="I24" s="522">
        <f>datos!NB29</f>
        <v>125.3</v>
      </c>
      <c r="J24" s="7">
        <f>datos!BR29/$J$2</f>
        <v>31.649999999999991</v>
      </c>
      <c r="K24" s="7">
        <f>datos!NE29</f>
        <v>109.56</v>
      </c>
      <c r="L24" s="525">
        <f>datos!BO29*$L$2</f>
        <v>15.861363636363638</v>
      </c>
      <c r="M24" s="522">
        <f>datos!NA29</f>
        <v>36.36</v>
      </c>
      <c r="N24" s="7">
        <f>datos!BS29*$N$2</f>
        <v>29.484000000000002</v>
      </c>
      <c r="O24" s="7"/>
      <c r="P24" s="525">
        <f>(datos!AG29/1000)/$P$2</f>
        <v>17.682352941176468</v>
      </c>
      <c r="Q24" s="522">
        <f>datos!MY29*$Q$2</f>
        <v>63</v>
      </c>
      <c r="R24" s="525">
        <f>datos!BN29</f>
        <v>5.61</v>
      </c>
      <c r="S24" s="528"/>
      <c r="T24" s="529"/>
      <c r="U24" s="530">
        <f t="shared" si="8"/>
        <v>0</v>
      </c>
      <c r="V24" s="522">
        <f>datos!NC29+U24</f>
        <v>21.72</v>
      </c>
      <c r="W24" s="672">
        <f>datos!AV29*W$4</f>
        <v>152.35318181818192</v>
      </c>
      <c r="X24" s="672">
        <f t="shared" si="3"/>
        <v>12.188254545454555</v>
      </c>
      <c r="Y24" s="672">
        <f>Y25/(1+(datos!G30/datos!G29-1))</f>
        <v>5.1307275896354643</v>
      </c>
      <c r="Z24" s="672"/>
      <c r="AA24" s="673"/>
      <c r="AB24" s="7"/>
      <c r="AC24" s="674">
        <f>datos!MJ29</f>
        <v>14.35</v>
      </c>
      <c r="AD24" s="681">
        <f>datos!BB29*AD$4</f>
        <v>162.29458799492821</v>
      </c>
      <c r="AE24" s="673">
        <f t="shared" si="4"/>
        <v>12.983567039594258</v>
      </c>
      <c r="AF24" s="673">
        <f t="shared" si="5"/>
        <v>5.1307275896354643</v>
      </c>
      <c r="AG24" s="672"/>
      <c r="AH24" s="2"/>
      <c r="AI24" s="522">
        <f>AVERAGE(datos!ML29,datos!MM29,datos!MN29,datos!MO29)</f>
        <v>20.32</v>
      </c>
      <c r="AK24" s="3">
        <f t="shared" si="6"/>
        <v>42948</v>
      </c>
      <c r="AL24" s="12">
        <f t="shared" si="9"/>
        <v>0.19058823529411764</v>
      </c>
      <c r="AM24" s="12">
        <f t="shared" si="10"/>
        <v>0.28557852221430263</v>
      </c>
      <c r="AN24" s="12">
        <f t="shared" si="11"/>
        <v>9.1432436924790764E-2</v>
      </c>
      <c r="AO24" s="12">
        <f t="shared" si="0"/>
        <v>0.62695266387892301</v>
      </c>
      <c r="AP24" s="12">
        <f t="shared" si="1"/>
        <v>0.28888280394304483</v>
      </c>
      <c r="AQ24" s="12">
        <f t="shared" si="2"/>
        <v>0.43623112311231127</v>
      </c>
      <c r="AS24" s="12">
        <f t="shared" si="12"/>
        <v>0.28067226890756297</v>
      </c>
    </row>
    <row r="25" spans="1:52">
      <c r="A25" s="3">
        <v>42979</v>
      </c>
      <c r="B25" s="519">
        <f>datos!R30/1000</f>
        <v>3.9</v>
      </c>
      <c r="C25" s="520">
        <f>datos!MA30</f>
        <v>21.49</v>
      </c>
      <c r="D25" s="7">
        <f>datos!AI30</f>
        <v>12.45</v>
      </c>
      <c r="E25" s="7">
        <f>datos!MP30</f>
        <v>42.39</v>
      </c>
      <c r="F25" s="525">
        <f>(datos!AD30/1000)/PP!$F$2</f>
        <v>3.5398045864625152</v>
      </c>
      <c r="G25" s="522">
        <f>datos!MH30</f>
        <v>39.71</v>
      </c>
      <c r="H25" s="525">
        <f>datos!BK30/$H$2</f>
        <v>77.969600725952816</v>
      </c>
      <c r="I25" s="522">
        <f>datos!NB30</f>
        <v>128.19</v>
      </c>
      <c r="J25" s="7">
        <f>datos!BR30/$J$2</f>
        <v>32.283333333333331</v>
      </c>
      <c r="K25" s="7">
        <f>datos!NE30</f>
        <v>112.42</v>
      </c>
      <c r="L25" s="525">
        <f>datos!BO30*$L$2</f>
        <v>17.559999999999995</v>
      </c>
      <c r="M25" s="522">
        <f>datos!NA30</f>
        <v>38.85</v>
      </c>
      <c r="N25" s="7">
        <f>datos!BS30*$N$2</f>
        <v>29.484000000000002</v>
      </c>
      <c r="O25" s="7"/>
      <c r="P25" s="525">
        <f>(datos!AG30/1000)/$P$2</f>
        <v>17.682352941176468</v>
      </c>
      <c r="Q25" s="522">
        <f>datos!MY30*$Q$2</f>
        <v>64.400000000000006</v>
      </c>
      <c r="R25" s="525">
        <f>datos!BN30</f>
        <v>5.63</v>
      </c>
      <c r="S25" s="528"/>
      <c r="T25" s="529"/>
      <c r="U25" s="530">
        <f t="shared" si="8"/>
        <v>0</v>
      </c>
      <c r="V25" s="522">
        <f>datos!NC30+U25</f>
        <v>21.81</v>
      </c>
      <c r="W25" s="672">
        <f>datos!AV30*W$4</f>
        <v>143.45893805309743</v>
      </c>
      <c r="X25" s="672">
        <f t="shared" si="3"/>
        <v>11.476715044247795</v>
      </c>
      <c r="Y25" s="672">
        <f>Y26/(1+(datos!G31/datos!G30-1))</f>
        <v>5.2285404206337134</v>
      </c>
      <c r="Z25" s="672"/>
      <c r="AA25" s="673"/>
      <c r="AB25" s="7"/>
      <c r="AC25" s="674">
        <f>datos!MJ30</f>
        <v>14.37</v>
      </c>
      <c r="AD25" s="681">
        <f>datos!BB30*AD$4</f>
        <v>176.57862272128648</v>
      </c>
      <c r="AE25" s="673">
        <f t="shared" si="4"/>
        <v>14.126289817702919</v>
      </c>
      <c r="AF25" s="673">
        <f t="shared" si="5"/>
        <v>5.2285404206337134</v>
      </c>
      <c r="AG25" s="672"/>
      <c r="AH25" s="2"/>
      <c r="AI25" s="522">
        <f>AVERAGE(datos!ML30,datos!MM30,datos!MN30,datos!MO30)</f>
        <v>22.333333333333332</v>
      </c>
      <c r="AK25" s="3">
        <f t="shared" si="6"/>
        <v>42979</v>
      </c>
      <c r="AL25" s="12">
        <f t="shared" si="9"/>
        <v>0.18147975802698932</v>
      </c>
      <c r="AM25" s="12">
        <f t="shared" si="10"/>
        <v>0.29370134465675862</v>
      </c>
      <c r="AN25" s="12">
        <f t="shared" si="11"/>
        <v>8.9141389737157267E-2</v>
      </c>
      <c r="AO25" s="12">
        <f t="shared" si="0"/>
        <v>0.60823465735199955</v>
      </c>
      <c r="AP25" s="12">
        <f t="shared" si="1"/>
        <v>0.28716717072881454</v>
      </c>
      <c r="AQ25" s="12">
        <f t="shared" si="2"/>
        <v>0.45199485199485184</v>
      </c>
      <c r="AS25" s="12">
        <f t="shared" si="12"/>
        <v>0.27457069784435506</v>
      </c>
    </row>
    <row r="26" spans="1:52">
      <c r="A26" s="3">
        <v>43009</v>
      </c>
      <c r="B26" s="519">
        <f>datos!R31/1000</f>
        <v>4.1500000000000004</v>
      </c>
      <c r="C26" s="520">
        <f>datos!MA31</f>
        <v>21.74</v>
      </c>
      <c r="D26" s="7">
        <f>datos!AI31</f>
        <v>13.64</v>
      </c>
      <c r="E26" s="7">
        <f>datos!MP31</f>
        <v>43.55</v>
      </c>
      <c r="F26" s="525">
        <f>(datos!AD31/1000)/PP!$F$2</f>
        <v>3.69313199775323</v>
      </c>
      <c r="G26" s="522">
        <f>datos!MH31</f>
        <v>39.89</v>
      </c>
      <c r="H26" s="525">
        <f>datos!BK31/$H$2</f>
        <v>77.030399274047184</v>
      </c>
      <c r="I26" s="522">
        <f>datos!NB31</f>
        <v>128.69</v>
      </c>
      <c r="J26" s="7">
        <f>datos!BR31/$J$2</f>
        <v>33.033333333333331</v>
      </c>
      <c r="K26" s="7">
        <f>datos!NE31</f>
        <v>112.46</v>
      </c>
      <c r="L26" s="525">
        <f>datos!BO31*$L$2</f>
        <v>16.018333333333338</v>
      </c>
      <c r="M26" s="522">
        <f>datos!NA31</f>
        <v>38.840000000000003</v>
      </c>
      <c r="N26" s="7">
        <f>datos!BS31*$N$2</f>
        <v>32.886000000000003</v>
      </c>
      <c r="O26" s="7"/>
      <c r="P26" s="525">
        <f>(datos!AG31/1000)/$P$2</f>
        <v>18.52941176470588</v>
      </c>
      <c r="Q26" s="522">
        <f>datos!MY31*$Q$2</f>
        <v>65.48</v>
      </c>
      <c r="R26" s="525">
        <f>datos!BN31</f>
        <v>5.66</v>
      </c>
      <c r="S26" s="528"/>
      <c r="T26" s="529"/>
      <c r="U26" s="530">
        <f t="shared" si="8"/>
        <v>0</v>
      </c>
      <c r="V26" s="522">
        <f>datos!NC31+U26</f>
        <v>21.95</v>
      </c>
      <c r="W26" s="672">
        <f>datos!AV31*W$4</f>
        <v>132.86738317757008</v>
      </c>
      <c r="X26" s="672">
        <f t="shared" si="3"/>
        <v>10.629390654205606</v>
      </c>
      <c r="Y26" s="672">
        <f>Y27/(1+(datos!G32/datos!G31-1))</f>
        <v>5.3085691005413729</v>
      </c>
      <c r="Z26" s="672"/>
      <c r="AA26" s="673"/>
      <c r="AB26" s="7"/>
      <c r="AC26" s="674">
        <f>datos!MJ31</f>
        <v>15.34</v>
      </c>
      <c r="AD26" s="681">
        <f>datos!BB31*AD$4</f>
        <v>241.65008205332578</v>
      </c>
      <c r="AE26" s="673">
        <f t="shared" si="4"/>
        <v>19.332006564266063</v>
      </c>
      <c r="AF26" s="673">
        <f t="shared" si="5"/>
        <v>5.3085691005413729</v>
      </c>
      <c r="AG26" s="672"/>
      <c r="AH26" s="2"/>
      <c r="AI26" s="522">
        <f>AVERAGE(datos!ML31,datos!MM31,datos!MN31,datos!MO31)</f>
        <v>24.31</v>
      </c>
      <c r="AK26" s="3">
        <f t="shared" si="6"/>
        <v>43009</v>
      </c>
      <c r="AL26" s="12">
        <f t="shared" si="9"/>
        <v>0.1908923643054278</v>
      </c>
      <c r="AM26" s="12">
        <f t="shared" si="10"/>
        <v>0.31320321469575202</v>
      </c>
      <c r="AN26" s="12">
        <f t="shared" si="11"/>
        <v>9.2582902926879665E-2</v>
      </c>
      <c r="AO26" s="12">
        <f t="shared" si="0"/>
        <v>0.59857331007884984</v>
      </c>
      <c r="AP26" s="12">
        <f t="shared" si="1"/>
        <v>0.29373406840950855</v>
      </c>
      <c r="AQ26" s="12">
        <f t="shared" si="2"/>
        <v>0.41241846893237222</v>
      </c>
      <c r="AS26" s="12">
        <f t="shared" si="12"/>
        <v>0.28297818822092058</v>
      </c>
    </row>
    <row r="27" spans="1:52">
      <c r="A27" s="3">
        <v>43040</v>
      </c>
      <c r="B27" s="519">
        <f>datos!R32/1000</f>
        <v>4.0999999999999996</v>
      </c>
      <c r="C27" s="520">
        <f>datos!MA32</f>
        <v>21.74</v>
      </c>
      <c r="D27" s="7">
        <f>datos!AI32</f>
        <v>14</v>
      </c>
      <c r="E27" s="7">
        <f>datos!MP32</f>
        <v>44.18</v>
      </c>
      <c r="F27" s="525">
        <f>(datos!AD32/1000)/PP!$F$2</f>
        <v>3.5836745511660317</v>
      </c>
      <c r="G27" s="522">
        <f>datos!MH32</f>
        <v>40.24</v>
      </c>
      <c r="H27" s="525">
        <f>datos!BK32/$H$2</f>
        <v>76.424682395644297</v>
      </c>
      <c r="I27" s="522">
        <f>datos!NB32</f>
        <v>133.37</v>
      </c>
      <c r="J27" s="7">
        <f>datos!BR32/$J$2</f>
        <v>34.699999999999996</v>
      </c>
      <c r="K27" s="7">
        <f>datos!NE32</f>
        <v>118.63</v>
      </c>
      <c r="L27" s="525">
        <f>datos!BO32*$L$2</f>
        <v>15.046666666666667</v>
      </c>
      <c r="M27" s="522">
        <f>datos!NA32</f>
        <v>37.65</v>
      </c>
      <c r="N27" s="7">
        <f>datos!BS32*$N$2</f>
        <v>34.020000000000003</v>
      </c>
      <c r="O27" s="7"/>
      <c r="P27" s="525">
        <f>(datos!AG32/1000)/$P$2</f>
        <v>18.52941176470588</v>
      </c>
      <c r="Q27" s="522">
        <f>datos!MY32*$Q$2</f>
        <v>66.239999999999995</v>
      </c>
      <c r="R27" s="525">
        <f>datos!BN32</f>
        <v>5.69</v>
      </c>
      <c r="S27" s="528"/>
      <c r="T27" s="529"/>
      <c r="U27" s="530">
        <f t="shared" si="8"/>
        <v>0</v>
      </c>
      <c r="V27" s="522">
        <f>datos!NC32+U27</f>
        <v>22.63</v>
      </c>
      <c r="W27" s="672">
        <f>datos!AV32*W$4</f>
        <v>194.672962962963</v>
      </c>
      <c r="X27" s="672">
        <f t="shared" si="3"/>
        <v>15.573837037037039</v>
      </c>
      <c r="Y27" s="672">
        <f>Y28/(1+(datos!G33/datos!G32-1))</f>
        <v>5.3797057049037358</v>
      </c>
      <c r="Z27" s="672"/>
      <c r="AA27" s="673"/>
      <c r="AB27" s="7"/>
      <c r="AC27" s="674">
        <f>datos!MJ32</f>
        <v>18.7</v>
      </c>
      <c r="AD27" s="681">
        <f>datos!BB32*AD$4</f>
        <v>216.51691651969432</v>
      </c>
      <c r="AE27" s="673">
        <f t="shared" si="4"/>
        <v>17.321353321575547</v>
      </c>
      <c r="AF27" s="673">
        <f t="shared" si="5"/>
        <v>5.3797057049037358</v>
      </c>
      <c r="AG27" s="672"/>
      <c r="AH27" s="2"/>
      <c r="AI27" s="522">
        <f>AVERAGE(datos!ML32,datos!MM32,datos!MN32,datos!MO32)</f>
        <v>22.403333333333332</v>
      </c>
      <c r="AK27" s="3">
        <f t="shared" si="6"/>
        <v>43040</v>
      </c>
      <c r="AL27" s="12">
        <f t="shared" si="9"/>
        <v>0.18859245630174792</v>
      </c>
      <c r="AM27" s="12">
        <f t="shared" si="10"/>
        <v>0.31688546853779992</v>
      </c>
      <c r="AN27" s="12">
        <f t="shared" si="11"/>
        <v>8.9057518667147895E-2</v>
      </c>
      <c r="AO27" s="12">
        <f t="shared" si="0"/>
        <v>0.57302753539509854</v>
      </c>
      <c r="AP27" s="12">
        <f t="shared" si="1"/>
        <v>0.29250611143892774</v>
      </c>
      <c r="AQ27" s="12">
        <f t="shared" si="2"/>
        <v>0.39964586100044269</v>
      </c>
      <c r="AS27" s="12">
        <f t="shared" si="12"/>
        <v>0.27973145780051151</v>
      </c>
    </row>
    <row r="28" spans="1:52">
      <c r="A28" s="3">
        <v>43070</v>
      </c>
      <c r="B28" s="519">
        <f>datos!R33/1000</f>
        <v>4.1500000000000004</v>
      </c>
      <c r="C28" s="520">
        <f>datos!MA33</f>
        <v>22.1</v>
      </c>
      <c r="D28" s="7">
        <f>datos!AI33</f>
        <v>12.61</v>
      </c>
      <c r="E28" s="7">
        <f>datos!MP33</f>
        <v>44.76</v>
      </c>
      <c r="F28" s="525">
        <f>(datos!AD33/1000)/PP!$F$2</f>
        <v>3.6574235516362119</v>
      </c>
      <c r="G28" s="522">
        <f>datos!MH33</f>
        <v>40.549999999999997</v>
      </c>
      <c r="H28" s="525">
        <f>datos!BK33/$H$2</f>
        <v>75.510435571687836</v>
      </c>
      <c r="I28" s="522">
        <f>datos!NB33</f>
        <v>135.44</v>
      </c>
      <c r="J28" s="7">
        <f>datos!BR33/$J$2</f>
        <v>35.666666666666657</v>
      </c>
      <c r="K28" s="7">
        <f>datos!NE33</f>
        <v>122.71</v>
      </c>
      <c r="L28" s="525">
        <f>datos!BO33*$L$2</f>
        <v>17.802105263157898</v>
      </c>
      <c r="M28" s="522">
        <f>datos!NA33</f>
        <v>38.880000000000003</v>
      </c>
      <c r="N28" s="7">
        <f>datos!BS33*$N$2</f>
        <v>34.020000000000003</v>
      </c>
      <c r="O28" s="7"/>
      <c r="P28" s="525">
        <f>(datos!AG33/1000)/$P$2</f>
        <v>18.52941176470588</v>
      </c>
      <c r="Q28" s="522">
        <f>datos!MY33*$Q$2</f>
        <v>68.099999999999994</v>
      </c>
      <c r="R28" s="525">
        <f>datos!BN33</f>
        <v>5.71</v>
      </c>
      <c r="S28" s="528"/>
      <c r="T28" s="529"/>
      <c r="U28" s="530">
        <f t="shared" si="8"/>
        <v>0</v>
      </c>
      <c r="V28" s="522">
        <f>datos!NC33+U28</f>
        <v>22.8</v>
      </c>
      <c r="W28" s="672">
        <f>datos!AV33*W$4</f>
        <v>155.46447761194023</v>
      </c>
      <c r="X28" s="672">
        <f t="shared" si="3"/>
        <v>12.437158208955218</v>
      </c>
      <c r="Y28" s="672">
        <f>Y29/(1+(datos!G34/datos!G33-1))</f>
        <v>5.5486551402643487</v>
      </c>
      <c r="Z28" s="672"/>
      <c r="AA28" s="673"/>
      <c r="AB28" s="7"/>
      <c r="AC28" s="674">
        <f>datos!MJ33</f>
        <v>18.649999999999999</v>
      </c>
      <c r="AD28" s="681">
        <f>datos!BB33*AD$4</f>
        <v>165.75330664667183</v>
      </c>
      <c r="AE28" s="673">
        <f t="shared" si="4"/>
        <v>13.260264531733746</v>
      </c>
      <c r="AF28" s="673">
        <f t="shared" si="5"/>
        <v>5.5486551402643487</v>
      </c>
      <c r="AG28" s="672"/>
      <c r="AH28" s="2"/>
      <c r="AI28" s="522">
        <f>AVERAGE(datos!ML33,datos!MM33,datos!MN33,datos!MO33)</f>
        <v>19.413333333333334</v>
      </c>
      <c r="AK28" s="3">
        <f t="shared" si="6"/>
        <v>43070</v>
      </c>
      <c r="AL28" s="12">
        <f t="shared" si="9"/>
        <v>0.18778280542986425</v>
      </c>
      <c r="AM28" s="12">
        <f t="shared" si="10"/>
        <v>0.28172475424486149</v>
      </c>
      <c r="AN28" s="12">
        <f t="shared" si="11"/>
        <v>9.0195402013223486E-2</v>
      </c>
      <c r="AO28" s="12">
        <f t="shared" si="0"/>
        <v>0.55751945933024094</v>
      </c>
      <c r="AP28" s="12">
        <f t="shared" si="1"/>
        <v>0.29065819139977717</v>
      </c>
      <c r="AQ28" s="12">
        <f t="shared" si="2"/>
        <v>0.45787307775611874</v>
      </c>
      <c r="AS28" s="12">
        <f t="shared" si="12"/>
        <v>0.27209121534076186</v>
      </c>
    </row>
    <row r="29" spans="1:52">
      <c r="A29" s="3">
        <v>43101</v>
      </c>
      <c r="B29" s="519">
        <f>datos!R34/1000</f>
        <v>3.95</v>
      </c>
      <c r="C29" s="520">
        <f>datos!MA34</f>
        <v>22.81</v>
      </c>
      <c r="D29" s="7">
        <f>datos!AI34</f>
        <v>12.1</v>
      </c>
      <c r="E29" s="7">
        <f>datos!MP34</f>
        <v>44.97</v>
      </c>
      <c r="F29" s="525">
        <f>(datos!AD34/1000)/PP!$F$2</f>
        <v>3.9406711148179028</v>
      </c>
      <c r="G29" s="522">
        <f>datos!MH34</f>
        <v>41.29</v>
      </c>
      <c r="H29" s="525">
        <f>datos!BK34/$H$2</f>
        <v>75.000000000000014</v>
      </c>
      <c r="I29" s="522">
        <f>datos!NB34</f>
        <v>137.65</v>
      </c>
      <c r="J29" s="7">
        <f>datos!BR34/$J$2</f>
        <v>37.099999999999994</v>
      </c>
      <c r="K29" s="7">
        <f>datos!NE34</f>
        <v>126.03</v>
      </c>
      <c r="L29" s="525">
        <f>datos!BO34*$L$2</f>
        <v>18.915909090909096</v>
      </c>
      <c r="M29" s="522">
        <f>datos!NA34</f>
        <v>40.270000000000003</v>
      </c>
      <c r="N29" s="7">
        <f>datos!BS34*$N$2</f>
        <v>37.799999999999997</v>
      </c>
      <c r="O29" s="7"/>
      <c r="P29" s="525">
        <f>(datos!AG34/1000)/$P$2</f>
        <v>18.52941176470588</v>
      </c>
      <c r="Q29" s="522">
        <f>datos!MY34*$Q$2</f>
        <v>70.28</v>
      </c>
      <c r="R29" s="525">
        <f>datos!BN34</f>
        <v>5.72</v>
      </c>
      <c r="S29" s="528"/>
      <c r="T29" s="529"/>
      <c r="U29" s="530">
        <f t="shared" si="8"/>
        <v>0</v>
      </c>
      <c r="V29" s="522">
        <f>datos!NC34+U29</f>
        <v>22.98</v>
      </c>
      <c r="W29" s="672">
        <f>datos!AV34*W$4</f>
        <v>163.03891304347829</v>
      </c>
      <c r="X29" s="672">
        <f t="shared" si="3"/>
        <v>13.043113043478263</v>
      </c>
      <c r="Y29" s="672">
        <f>Y30/(1+(datos!G35/datos!G34-1))</f>
        <v>5.6464679712625978</v>
      </c>
      <c r="Z29" s="672"/>
      <c r="AA29" s="673"/>
      <c r="AB29" s="7"/>
      <c r="AC29" s="674">
        <f>datos!MJ34</f>
        <v>17.64</v>
      </c>
      <c r="AD29" s="681">
        <f>datos!BB34*AD$4</f>
        <v>205.54763316841894</v>
      </c>
      <c r="AE29" s="673">
        <f t="shared" si="4"/>
        <v>16.443810653473516</v>
      </c>
      <c r="AF29" s="673">
        <f t="shared" si="5"/>
        <v>5.6464679712625978</v>
      </c>
      <c r="AG29" s="672"/>
      <c r="AH29" s="2"/>
      <c r="AI29" s="522">
        <f>AVERAGE(datos!ML34,datos!MM34,datos!MN34,datos!MO34)</f>
        <v>22.646666666666665</v>
      </c>
      <c r="AK29" s="3">
        <f t="shared" si="6"/>
        <v>43101</v>
      </c>
      <c r="AL29" s="12">
        <f t="shared" si="9"/>
        <v>0.17316966242875934</v>
      </c>
      <c r="AM29" s="12">
        <f t="shared" si="10"/>
        <v>0.26906826773404491</v>
      </c>
      <c r="AN29" s="12">
        <f t="shared" si="11"/>
        <v>9.54388741782006E-2</v>
      </c>
      <c r="AO29" s="12">
        <f t="shared" si="0"/>
        <v>0.54486015256084275</v>
      </c>
      <c r="AP29" s="12">
        <f t="shared" si="1"/>
        <v>0.29437435531222722</v>
      </c>
      <c r="AQ29" s="12">
        <f t="shared" si="2"/>
        <v>0.469727069553243</v>
      </c>
      <c r="AS29" s="12">
        <f t="shared" si="12"/>
        <v>0.26365127724396531</v>
      </c>
    </row>
    <row r="30" spans="1:52">
      <c r="A30" s="3">
        <v>43132</v>
      </c>
      <c r="B30" s="519">
        <f>datos!R35/1000</f>
        <v>4.1500000000000004</v>
      </c>
      <c r="C30" s="520">
        <f>datos!MA35</f>
        <v>23.22</v>
      </c>
      <c r="D30" s="7">
        <f>datos!AI35</f>
        <v>11.52</v>
      </c>
      <c r="E30" s="7">
        <f>datos!MP35</f>
        <v>45.41</v>
      </c>
      <c r="F30" s="525">
        <f>(datos!AD35/1000)/PP!$F$2</f>
        <v>4.4386691584550908</v>
      </c>
      <c r="G30" s="522">
        <f>datos!MH35</f>
        <v>42.62</v>
      </c>
      <c r="H30" s="525">
        <f>datos!BK35/$H$2</f>
        <v>82.581669691470069</v>
      </c>
      <c r="I30" s="522">
        <f>datos!NB35</f>
        <v>139.77000000000001</v>
      </c>
      <c r="J30" s="7">
        <f>datos!BR35/$J$2</f>
        <v>38.583333333333329</v>
      </c>
      <c r="K30" s="7">
        <f>datos!NE35</f>
        <v>124.41</v>
      </c>
      <c r="L30" s="525">
        <f>datos!BO35*$L$2</f>
        <v>22.765555555555558</v>
      </c>
      <c r="M30" s="522">
        <f>datos!NA35</f>
        <v>45.22</v>
      </c>
      <c r="N30" s="7">
        <f>datos!BS35*$N$2</f>
        <v>37.799999999999997</v>
      </c>
      <c r="O30" s="7"/>
      <c r="P30" s="525">
        <f>(datos!AG35/1000)/$P$2</f>
        <v>18.52941176470588</v>
      </c>
      <c r="Q30" s="522">
        <f>datos!MY35*$Q$2</f>
        <v>71.319999999999993</v>
      </c>
      <c r="R30" s="525">
        <f>datos!BN35</f>
        <v>5.76</v>
      </c>
      <c r="S30" s="528"/>
      <c r="T30" s="529"/>
      <c r="U30" s="530">
        <f t="shared" si="8"/>
        <v>0</v>
      </c>
      <c r="V30" s="522">
        <f>datos!NC35+U30</f>
        <v>23.08</v>
      </c>
      <c r="W30" s="672">
        <f>datos!AV35*W$4</f>
        <v>144.51035087719305</v>
      </c>
      <c r="X30" s="672">
        <f t="shared" si="3"/>
        <v>11.560828070175445</v>
      </c>
      <c r="Y30" s="672">
        <f>Y31/(1+(datos!G36/datos!G35-1))</f>
        <v>5.7842951422146767</v>
      </c>
      <c r="Z30" s="672"/>
      <c r="AA30" s="673"/>
      <c r="AB30" s="7"/>
      <c r="AC30" s="674">
        <f>datos!MJ35</f>
        <v>16.64</v>
      </c>
      <c r="AD30" s="681">
        <f>datos!BB35*AD$4</f>
        <v>145.52417345540465</v>
      </c>
      <c r="AE30" s="673">
        <f t="shared" si="4"/>
        <v>11.641933876432372</v>
      </c>
      <c r="AF30" s="673">
        <f t="shared" si="5"/>
        <v>5.7842951422146767</v>
      </c>
      <c r="AG30" s="672"/>
      <c r="AH30" s="2"/>
      <c r="AI30" s="522">
        <f>AVERAGE(datos!ML35,datos!MM35,datos!MN35,datos!MO35)</f>
        <v>19.560000000000002</v>
      </c>
      <c r="AK30" s="3">
        <f t="shared" si="6"/>
        <v>43132</v>
      </c>
      <c r="AL30" s="12">
        <f t="shared" si="9"/>
        <v>0.17872523686477176</v>
      </c>
      <c r="AM30" s="12">
        <f t="shared" si="10"/>
        <v>0.25368861484254568</v>
      </c>
      <c r="AN30" s="12">
        <f t="shared" si="11"/>
        <v>0.10414521723263939</v>
      </c>
      <c r="AO30" s="12">
        <f t="shared" si="0"/>
        <v>0.59083973450289806</v>
      </c>
      <c r="AP30" s="12">
        <f t="shared" si="1"/>
        <v>0.31013048254427561</v>
      </c>
      <c r="AQ30" s="12">
        <f t="shared" si="2"/>
        <v>0.50343997248022021</v>
      </c>
      <c r="AS30" s="12">
        <f t="shared" si="12"/>
        <v>0.25980667084556763</v>
      </c>
    </row>
    <row r="31" spans="1:52">
      <c r="A31" s="3">
        <v>43160</v>
      </c>
      <c r="B31" s="519">
        <f>datos!R36/1000</f>
        <v>4.2750000000000004</v>
      </c>
      <c r="C31" s="520">
        <f>datos!MA36</f>
        <v>23.84</v>
      </c>
      <c r="D31" s="7">
        <f>datos!AI36</f>
        <v>10.89</v>
      </c>
      <c r="E31" s="7">
        <f>datos!MP36</f>
        <v>45.89</v>
      </c>
      <c r="F31" s="525">
        <f>(datos!AD36/1000)/PP!$F$2</f>
        <v>4.7917339449541263</v>
      </c>
      <c r="G31" s="522">
        <f>datos!MH36</f>
        <v>44.38</v>
      </c>
      <c r="H31" s="525">
        <f>datos!BK36/$H$2</f>
        <v>79.201451905626143</v>
      </c>
      <c r="I31" s="522">
        <f>datos!NB36</f>
        <v>144.68</v>
      </c>
      <c r="J31" s="7">
        <f>datos!BR36/$J$2</f>
        <v>39.266666666666659</v>
      </c>
      <c r="K31" s="7">
        <f>datos!NE36</f>
        <v>124.3</v>
      </c>
      <c r="L31" s="525">
        <f>datos!BO36*$L$2</f>
        <v>21.924000000000003</v>
      </c>
      <c r="M31" s="522">
        <f>datos!NA36</f>
        <v>46.91</v>
      </c>
      <c r="N31" s="7">
        <f>datos!BS36*$N$2</f>
        <v>37.799999999999997</v>
      </c>
      <c r="O31" s="7"/>
      <c r="P31" s="525">
        <f>(datos!AG36/1000)/$P$2</f>
        <v>18.52941176470588</v>
      </c>
      <c r="Q31" s="522">
        <f>datos!MY36*$Q$2</f>
        <v>72.459999999999994</v>
      </c>
      <c r="R31" s="525">
        <f>datos!BN36</f>
        <v>5.94</v>
      </c>
      <c r="S31" s="528"/>
      <c r="T31" s="529"/>
      <c r="U31" s="530">
        <f t="shared" si="8"/>
        <v>0</v>
      </c>
      <c r="V31" s="522">
        <f>datos!NC36+U31</f>
        <v>23.26</v>
      </c>
      <c r="W31" s="672">
        <f>datos!AV36*W$4</f>
        <v>130.28932203389834</v>
      </c>
      <c r="X31" s="672">
        <f t="shared" si="3"/>
        <v>10.423145762711867</v>
      </c>
      <c r="Y31" s="672">
        <f>Y32/(1+(datos!G37/datos!G36-1))</f>
        <v>5.9176762753941077</v>
      </c>
      <c r="Z31" s="672"/>
      <c r="AA31" s="673"/>
      <c r="AB31" s="7"/>
      <c r="AC31" s="674">
        <f>datos!MJ36</f>
        <v>15.67</v>
      </c>
      <c r="AD31" s="681">
        <f>datos!BB36*AD$4</f>
        <v>152.48350590551178</v>
      </c>
      <c r="AE31" s="673">
        <f t="shared" si="4"/>
        <v>12.198680472440943</v>
      </c>
      <c r="AF31" s="673">
        <f t="shared" si="5"/>
        <v>5.9176762753941077</v>
      </c>
      <c r="AG31" s="672"/>
      <c r="AH31" s="2"/>
      <c r="AI31" s="522">
        <f>AVERAGE(datos!ML36,datos!MM36,datos!MN36,datos!MO36)</f>
        <v>18.41</v>
      </c>
      <c r="AK31" s="3">
        <f t="shared" si="6"/>
        <v>43160</v>
      </c>
      <c r="AL31" s="12">
        <f t="shared" si="9"/>
        <v>0.17932046979865773</v>
      </c>
      <c r="AM31" s="12">
        <f t="shared" si="10"/>
        <v>0.23730660274569623</v>
      </c>
      <c r="AN31" s="12">
        <f t="shared" si="11"/>
        <v>0.10797057108954768</v>
      </c>
      <c r="AO31" s="12">
        <f t="shared" si="0"/>
        <v>0.54742502008312233</v>
      </c>
      <c r="AP31" s="12">
        <f t="shared" si="1"/>
        <v>0.31590238669884679</v>
      </c>
      <c r="AQ31" s="12">
        <f t="shared" si="2"/>
        <v>0.46736303560008535</v>
      </c>
      <c r="AS31" s="12">
        <f t="shared" si="12"/>
        <v>0.25571917975028818</v>
      </c>
    </row>
    <row r="32" spans="1:52">
      <c r="A32" s="3">
        <v>43191</v>
      </c>
      <c r="B32" s="519">
        <f>datos!R37/1000</f>
        <v>4.3499999999999996</v>
      </c>
      <c r="C32" s="520">
        <f>datos!MA37</f>
        <v>24.37</v>
      </c>
      <c r="D32" s="7">
        <f>datos!AI37</f>
        <v>11.32</v>
      </c>
      <c r="E32" s="7">
        <f>datos!MP37</f>
        <v>45.85</v>
      </c>
      <c r="F32" s="525">
        <f>(datos!AD37/1000)/PP!$F$2</f>
        <v>4.7869628198937697</v>
      </c>
      <c r="G32" s="522">
        <f>datos!MH37</f>
        <v>45.83</v>
      </c>
      <c r="H32" s="525">
        <f>datos!BK37/$H$2</f>
        <v>78.26905626134301</v>
      </c>
      <c r="I32" s="522">
        <f>datos!NB37</f>
        <v>147.4</v>
      </c>
      <c r="J32" s="7">
        <f>datos!BR37/$J$2</f>
        <v>39.833333333333329</v>
      </c>
      <c r="K32" s="7">
        <f>datos!NE37</f>
        <v>125.35</v>
      </c>
      <c r="L32" s="525">
        <f>datos!BO37*$L$2</f>
        <v>18.168500000000002</v>
      </c>
      <c r="M32" s="522">
        <f>datos!NA37</f>
        <v>43.52</v>
      </c>
      <c r="N32" s="7">
        <f>datos!BS37*$N$2</f>
        <v>37.799999999999997</v>
      </c>
      <c r="O32" s="7"/>
      <c r="P32" s="525">
        <f>(datos!AG37/1000)/$P$2</f>
        <v>20.647058823529409</v>
      </c>
      <c r="Q32" s="522">
        <f>datos!MY37*$Q$2</f>
        <v>74.48</v>
      </c>
      <c r="R32" s="525">
        <f>datos!BN37</f>
        <v>6.12</v>
      </c>
      <c r="S32" s="528"/>
      <c r="T32" s="529"/>
      <c r="U32" s="530">
        <f t="shared" si="8"/>
        <v>0</v>
      </c>
      <c r="V32" s="522">
        <f>datos!NC37+U32</f>
        <v>23.84</v>
      </c>
      <c r="W32" s="672">
        <f>datos!AV37*W$4</f>
        <v>135.03740740740747</v>
      </c>
      <c r="X32" s="672">
        <f t="shared" si="3"/>
        <v>10.802992592592599</v>
      </c>
      <c r="Y32" s="672">
        <f>Y33/(1+(datos!G38/datos!G37-1))</f>
        <v>6.0821796729820736</v>
      </c>
      <c r="Z32" s="672"/>
      <c r="AA32" s="673"/>
      <c r="AB32" s="7"/>
      <c r="AC32" s="674">
        <f>datos!MJ37</f>
        <v>15.31</v>
      </c>
      <c r="AD32" s="681">
        <f>datos!BB37*AD$4</f>
        <v>135.36360420727746</v>
      </c>
      <c r="AE32" s="673">
        <f t="shared" si="4"/>
        <v>10.829088336582197</v>
      </c>
      <c r="AF32" s="673">
        <f t="shared" si="5"/>
        <v>6.0821796729820736</v>
      </c>
      <c r="AG32" s="672"/>
      <c r="AH32" s="2"/>
      <c r="AI32" s="522">
        <f>AVERAGE(datos!ML37,datos!MM37,datos!MN37,datos!MO37)</f>
        <v>17.343333333333334</v>
      </c>
      <c r="AK32" s="3">
        <f t="shared" si="6"/>
        <v>43191</v>
      </c>
      <c r="AL32" s="12">
        <f t="shared" si="9"/>
        <v>0.17849815346737791</v>
      </c>
      <c r="AM32" s="12">
        <f t="shared" si="10"/>
        <v>0.24689203925845146</v>
      </c>
      <c r="AN32" s="12">
        <f t="shared" si="11"/>
        <v>0.10445042155561357</v>
      </c>
      <c r="AO32" s="12">
        <f t="shared" si="0"/>
        <v>0.53099766798740167</v>
      </c>
      <c r="AP32" s="12">
        <f t="shared" si="1"/>
        <v>0.31777689137082832</v>
      </c>
      <c r="AQ32" s="12">
        <f t="shared" si="2"/>
        <v>0.41747472426470589</v>
      </c>
      <c r="AS32" s="12">
        <f t="shared" si="12"/>
        <v>0.27721614961774177</v>
      </c>
    </row>
    <row r="33" spans="1:45">
      <c r="A33" s="3">
        <v>43221</v>
      </c>
      <c r="B33" s="519">
        <f>datos!R38/1000</f>
        <v>4.45</v>
      </c>
      <c r="C33" s="520">
        <f>datos!MA38</f>
        <v>24.64</v>
      </c>
      <c r="D33" s="7">
        <f>datos!AI38</f>
        <v>10.69</v>
      </c>
      <c r="E33" s="7">
        <f>datos!MP38</f>
        <v>46.44</v>
      </c>
      <c r="F33" s="525">
        <f>(datos!AD38/1000)/PP!$F$2</f>
        <v>5.6816705707767294</v>
      </c>
      <c r="G33" s="522">
        <f>datos!MH38</f>
        <v>49.81</v>
      </c>
      <c r="H33" s="525">
        <f>datos!BK38/$H$2</f>
        <v>85.326678765880231</v>
      </c>
      <c r="I33" s="522">
        <f>datos!NB38</f>
        <v>149.41999999999999</v>
      </c>
      <c r="J33" s="7">
        <f>datos!BR38/$J$2</f>
        <v>39.75</v>
      </c>
      <c r="K33" s="7">
        <f>datos!NE38</f>
        <v>125.79</v>
      </c>
      <c r="L33" s="525">
        <f>datos!BO38*$L$2</f>
        <v>19.395</v>
      </c>
      <c r="M33" s="522">
        <f>datos!NA38</f>
        <v>43.28</v>
      </c>
      <c r="N33" s="7">
        <f>datos!BS38*$N$2</f>
        <v>37.799999999999997</v>
      </c>
      <c r="O33" s="7"/>
      <c r="P33" s="525">
        <f>(datos!AG38/1000)/$P$2</f>
        <v>20.647058823529409</v>
      </c>
      <c r="Q33" s="522">
        <f>datos!MY38*$Q$2</f>
        <v>77.5</v>
      </c>
      <c r="R33" s="525">
        <f>datos!BN38</f>
        <v>6.32</v>
      </c>
      <c r="S33" s="528"/>
      <c r="T33" s="529"/>
      <c r="U33" s="530">
        <f t="shared" si="8"/>
        <v>0</v>
      </c>
      <c r="V33" s="522">
        <f>datos!NC38+U33</f>
        <v>23.89</v>
      </c>
      <c r="W33" s="672">
        <f>datos!AV38*W$4</f>
        <v>131.59</v>
      </c>
      <c r="X33" s="672">
        <f t="shared" si="3"/>
        <v>10.527200000000001</v>
      </c>
      <c r="Y33" s="672">
        <f>Y34/(1+(datos!G39/datos!G38-1))</f>
        <v>6.2066687306162089</v>
      </c>
      <c r="Z33" s="672"/>
      <c r="AA33" s="673"/>
      <c r="AB33" s="7"/>
      <c r="AC33" s="674">
        <f>datos!MJ38</f>
        <v>15.7</v>
      </c>
      <c r="AD33" s="681">
        <f>datos!BB38*AD$4</f>
        <v>174.28050590445517</v>
      </c>
      <c r="AE33" s="673">
        <f t="shared" si="4"/>
        <v>13.942440472356413</v>
      </c>
      <c r="AF33" s="673">
        <f t="shared" si="5"/>
        <v>6.2066687306162089</v>
      </c>
      <c r="AG33" s="672"/>
      <c r="AH33" s="2"/>
      <c r="AI33" s="522">
        <f>AVERAGE(datos!ML38,datos!MM38,datos!MN38,datos!MO38)</f>
        <v>20.126666666666665</v>
      </c>
      <c r="AK33" s="3">
        <f t="shared" si="6"/>
        <v>43221</v>
      </c>
      <c r="AL33" s="12">
        <f t="shared" si="9"/>
        <v>0.18060064935064934</v>
      </c>
      <c r="AM33" s="12">
        <f t="shared" si="10"/>
        <v>0.23018949181739878</v>
      </c>
      <c r="AN33" s="12">
        <f t="shared" si="11"/>
        <v>0.1140668655044515</v>
      </c>
      <c r="AO33" s="12">
        <f t="shared" si="0"/>
        <v>0.57105259514041118</v>
      </c>
      <c r="AP33" s="12">
        <f t="shared" si="1"/>
        <v>0.31600286191271165</v>
      </c>
      <c r="AQ33" s="12">
        <f t="shared" si="2"/>
        <v>0.44812846580406651</v>
      </c>
      <c r="AS33" s="12">
        <f t="shared" si="12"/>
        <v>0.26641366223908913</v>
      </c>
    </row>
    <row r="34" spans="1:45">
      <c r="A34" s="3">
        <v>43252</v>
      </c>
      <c r="B34" s="519">
        <f>datos!R39/1000</f>
        <v>5.05</v>
      </c>
      <c r="C34" s="520">
        <f>datos!MA39</f>
        <v>25.99</v>
      </c>
      <c r="D34" s="7">
        <f>datos!AI39</f>
        <v>11.46</v>
      </c>
      <c r="E34" s="7">
        <f>datos!MP39</f>
        <v>46.77</v>
      </c>
      <c r="F34" s="525">
        <f>(datos!AD39/1000)/PP!$F$2</f>
        <v>6.2059978899082555</v>
      </c>
      <c r="G34" s="522">
        <f>datos!MH39</f>
        <v>55.19</v>
      </c>
      <c r="H34" s="525">
        <f>datos!BK39/$H$2</f>
        <v>92.738203266787664</v>
      </c>
      <c r="I34" s="522">
        <f>datos!NB39</f>
        <v>155.41</v>
      </c>
      <c r="J34" s="7">
        <f>datos!BR39/$J$2</f>
        <v>39.949999999999996</v>
      </c>
      <c r="K34" s="7">
        <f>datos!NE39</f>
        <v>127.7</v>
      </c>
      <c r="L34" s="525">
        <f>datos!BO39*$L$2</f>
        <v>21.486500000000007</v>
      </c>
      <c r="M34" s="522">
        <f>datos!NA39</f>
        <v>47.31</v>
      </c>
      <c r="N34" s="7">
        <f>datos!BS39*$N$2</f>
        <v>37.799999999999997</v>
      </c>
      <c r="O34" s="7"/>
      <c r="P34" s="525">
        <f>(datos!AG39/1000)/$P$2</f>
        <v>20.647058823529409</v>
      </c>
      <c r="Q34" s="522">
        <f>datos!MY39*$Q$2</f>
        <v>82.42</v>
      </c>
      <c r="R34" s="525">
        <f>datos!BN39</f>
        <v>6.75</v>
      </c>
      <c r="S34" s="528"/>
      <c r="T34" s="529"/>
      <c r="U34" s="530">
        <f t="shared" si="8"/>
        <v>0</v>
      </c>
      <c r="V34" s="522">
        <f>datos!NC39+U34</f>
        <v>24.58</v>
      </c>
      <c r="W34" s="672">
        <f>datos!AV39*W$4</f>
        <v>127.21538461538464</v>
      </c>
      <c r="X34" s="672">
        <f t="shared" si="3"/>
        <v>10.177230769230771</v>
      </c>
      <c r="Y34" s="672">
        <f>Y35/(1+(datos!G40/datos!G39-1))</f>
        <v>6.4378626947938908</v>
      </c>
      <c r="Z34" s="672"/>
      <c r="AA34" s="673"/>
      <c r="AB34" s="7"/>
      <c r="AC34" s="674">
        <f>datos!MJ39</f>
        <v>15.41</v>
      </c>
      <c r="AD34" s="681">
        <f>datos!BB39*AD$4</f>
        <v>216.73896413828689</v>
      </c>
      <c r="AE34" s="673">
        <f t="shared" si="4"/>
        <v>17.339117131062952</v>
      </c>
      <c r="AF34" s="673">
        <f t="shared" si="5"/>
        <v>6.4378626947938908</v>
      </c>
      <c r="AG34" s="672"/>
      <c r="AH34" s="2"/>
      <c r="AI34" s="522">
        <f>AVERAGE(datos!ML39,datos!MM39,datos!MN39,datos!MO39)</f>
        <v>24.603333333333335</v>
      </c>
      <c r="AK34" s="3">
        <f t="shared" si="6"/>
        <v>43252</v>
      </c>
      <c r="AL34" s="12">
        <f t="shared" si="9"/>
        <v>0.19430550211619854</v>
      </c>
      <c r="AM34" s="12">
        <f t="shared" si="10"/>
        <v>0.2450288646568313</v>
      </c>
      <c r="AN34" s="12">
        <f t="shared" si="11"/>
        <v>0.11244786899634455</v>
      </c>
      <c r="AO34" s="12">
        <f t="shared" si="0"/>
        <v>0.59673253501568535</v>
      </c>
      <c r="AP34" s="12">
        <f t="shared" si="1"/>
        <v>0.31284259984338286</v>
      </c>
      <c r="AQ34" s="12">
        <f t="shared" si="2"/>
        <v>0.45416402451912924</v>
      </c>
      <c r="AS34" s="12">
        <f t="shared" si="12"/>
        <v>0.25051029875672665</v>
      </c>
    </row>
    <row r="35" spans="1:45">
      <c r="A35" s="3">
        <v>43282</v>
      </c>
      <c r="B35" s="519">
        <f>datos!R40/1000</f>
        <v>5.3</v>
      </c>
      <c r="C35" s="520">
        <f>datos!MA40</f>
        <v>26.82</v>
      </c>
      <c r="D35" s="7">
        <f>datos!AI40</f>
        <v>11.11</v>
      </c>
      <c r="E35" s="7">
        <f>datos!MP40</f>
        <v>46.15</v>
      </c>
      <c r="F35" s="525">
        <f>(datos!AD40/1000)/PP!$F$2</f>
        <v>6.6676623464880338</v>
      </c>
      <c r="G35" s="522">
        <f>datos!MH40</f>
        <v>57.05</v>
      </c>
      <c r="H35" s="525">
        <f>datos!BK40/$H$2</f>
        <v>96.964609800362979</v>
      </c>
      <c r="I35" s="522">
        <f>datos!NB40</f>
        <v>157.04</v>
      </c>
      <c r="J35" s="7">
        <f>datos!BR40/$J$2</f>
        <v>41.249999999999993</v>
      </c>
      <c r="K35" s="7">
        <f>datos!NE40</f>
        <v>130.13</v>
      </c>
      <c r="L35" s="525">
        <f>datos!BO40*$L$2</f>
        <v>21.405000000000008</v>
      </c>
      <c r="M35" s="522">
        <f>datos!NA40</f>
        <v>47.35</v>
      </c>
      <c r="N35" s="7">
        <f>datos!BS40*$N$2</f>
        <v>37.799999999999997</v>
      </c>
      <c r="O35" s="7"/>
      <c r="P35" s="525">
        <f>(datos!AG40/1000)/$P$2</f>
        <v>20.647058823529409</v>
      </c>
      <c r="Q35" s="522">
        <f>datos!MY40*$Q$2</f>
        <v>86.98</v>
      </c>
      <c r="R35" s="525">
        <f>datos!BN40</f>
        <v>7.12</v>
      </c>
      <c r="S35" s="528"/>
      <c r="T35" s="529"/>
      <c r="U35" s="530">
        <f t="shared" si="8"/>
        <v>0</v>
      </c>
      <c r="V35" s="522">
        <f>datos!NC40+U35</f>
        <v>24.84</v>
      </c>
      <c r="W35" s="672">
        <f>datos!AV40*W$4</f>
        <v>119.77484848484852</v>
      </c>
      <c r="X35" s="672">
        <f t="shared" si="3"/>
        <v>9.5819878787878814</v>
      </c>
      <c r="Y35" s="672">
        <f>Y36/(1+(datos!G41/datos!G40-1))</f>
        <v>6.6379343945630378</v>
      </c>
      <c r="Z35" s="672"/>
      <c r="AA35" s="673"/>
      <c r="AB35" s="7"/>
      <c r="AC35" s="674">
        <f>datos!MJ40</f>
        <v>15.81</v>
      </c>
      <c r="AD35" s="681">
        <f>datos!BB40*AD$4</f>
        <v>250.85650949268597</v>
      </c>
      <c r="AE35" s="673">
        <f t="shared" si="4"/>
        <v>20.068520759414877</v>
      </c>
      <c r="AF35" s="673">
        <f t="shared" si="5"/>
        <v>6.6379343945630378</v>
      </c>
      <c r="AG35" s="672"/>
      <c r="AH35" s="2"/>
      <c r="AI35" s="522">
        <f>AVERAGE(datos!ML40,datos!MM40,datos!MN40,datos!MO40)</f>
        <v>29.713333333333335</v>
      </c>
      <c r="AK35" s="3">
        <f t="shared" si="6"/>
        <v>43282</v>
      </c>
      <c r="AL35" s="12">
        <f t="shared" si="9"/>
        <v>0.19761372110365399</v>
      </c>
      <c r="AM35" s="12">
        <f t="shared" si="10"/>
        <v>0.24073672806067173</v>
      </c>
      <c r="AN35" s="12">
        <f t="shared" si="11"/>
        <v>0.11687401133195502</v>
      </c>
      <c r="AO35" s="12">
        <f t="shared" si="0"/>
        <v>0.61745166709349841</v>
      </c>
      <c r="AP35" s="12">
        <f t="shared" si="1"/>
        <v>0.31699070160608617</v>
      </c>
      <c r="AQ35" s="12">
        <f t="shared" si="2"/>
        <v>0.4520591341077087</v>
      </c>
      <c r="AS35" s="12">
        <f t="shared" si="12"/>
        <v>0.23737708465773061</v>
      </c>
    </row>
    <row r="36" spans="1:45">
      <c r="A36" s="3">
        <v>43313</v>
      </c>
      <c r="B36" s="519">
        <f>datos!R41/1000</f>
        <v>5.6</v>
      </c>
      <c r="C36" s="520">
        <f>datos!MA41</f>
        <v>28.7</v>
      </c>
      <c r="D36" s="7">
        <f>datos!AI41</f>
        <v>11.01</v>
      </c>
      <c r="E36" s="7">
        <f>datos!MP41</f>
        <v>45.94</v>
      </c>
      <c r="F36" s="525">
        <f>(datos!AD41/1000)/PP!$F$2</f>
        <v>8.1717020244142855</v>
      </c>
      <c r="G36" s="522">
        <f>datos!MH41</f>
        <v>57.61</v>
      </c>
      <c r="H36" s="525">
        <f>datos!BK41/$H$2</f>
        <v>99.798094373865709</v>
      </c>
      <c r="I36" s="522">
        <f>datos!NB41</f>
        <v>159.07</v>
      </c>
      <c r="J36" s="7">
        <f>datos!BR41/$J$2</f>
        <v>42.649999999999991</v>
      </c>
      <c r="K36" s="7">
        <f>datos!NE41</f>
        <v>131.69999999999999</v>
      </c>
      <c r="L36" s="525">
        <f>datos!BO41*$L$2</f>
        <v>26.366136363636361</v>
      </c>
      <c r="M36" s="522">
        <f>datos!NA41</f>
        <v>52.86</v>
      </c>
      <c r="N36" s="7">
        <f>datos!BS41*$N$2</f>
        <v>37.799999999999997</v>
      </c>
      <c r="O36" s="7"/>
      <c r="P36" s="525">
        <f>(datos!AG41/1000)/$P$2</f>
        <v>20.647058823529409</v>
      </c>
      <c r="Q36" s="522">
        <f>datos!MY41*$Q$2</f>
        <v>91.96</v>
      </c>
      <c r="R36" s="525">
        <f>datos!BN41</f>
        <v>7.41</v>
      </c>
      <c r="S36" s="528"/>
      <c r="T36" s="529"/>
      <c r="U36" s="530">
        <f t="shared" si="8"/>
        <v>0</v>
      </c>
      <c r="V36" s="522">
        <f>datos!NC41+U36</f>
        <v>26.09</v>
      </c>
      <c r="W36" s="672">
        <f>datos!AV41*W$4</f>
        <v>124.64971428571431</v>
      </c>
      <c r="X36" s="672">
        <f t="shared" si="3"/>
        <v>9.9719771428571455</v>
      </c>
      <c r="Y36" s="672">
        <f>Y37/(1+(datos!G42/datos!G41-1))</f>
        <v>6.8958045853766041</v>
      </c>
      <c r="Z36" s="672"/>
      <c r="AA36" s="673"/>
      <c r="AB36" s="7"/>
      <c r="AC36" s="674">
        <f>datos!MJ41</f>
        <v>16.059999999999999</v>
      </c>
      <c r="AD36" s="681">
        <f>datos!BB41*AD$4</f>
        <v>231.94305046805047</v>
      </c>
      <c r="AE36" s="673">
        <f t="shared" si="4"/>
        <v>18.555444037444037</v>
      </c>
      <c r="AF36" s="673">
        <f t="shared" si="5"/>
        <v>6.8958045853766041</v>
      </c>
      <c r="AG36" s="672"/>
      <c r="AH36" s="2"/>
      <c r="AI36" s="522">
        <f>AVERAGE(datos!ML41,datos!MM41,datos!MN41,datos!MO41)</f>
        <v>31.366666666666664</v>
      </c>
      <c r="AK36" s="3">
        <f t="shared" si="6"/>
        <v>43313</v>
      </c>
      <c r="AL36" s="12">
        <f t="shared" si="9"/>
        <v>0.19512195121951217</v>
      </c>
      <c r="AM36" s="12">
        <f t="shared" si="10"/>
        <v>0.23966042664344797</v>
      </c>
      <c r="AN36" s="12">
        <f t="shared" si="11"/>
        <v>0.14184520090981229</v>
      </c>
      <c r="AO36" s="12">
        <f t="shared" si="0"/>
        <v>0.6273847637761093</v>
      </c>
      <c r="AP36" s="12">
        <f t="shared" si="1"/>
        <v>0.32384206529992404</v>
      </c>
      <c r="AQ36" s="12">
        <f t="shared" si="2"/>
        <v>0.49879183434802044</v>
      </c>
      <c r="AS36" s="12">
        <f t="shared" si="12"/>
        <v>0.22452217076478262</v>
      </c>
    </row>
    <row r="37" spans="1:45">
      <c r="A37" s="3">
        <v>43344</v>
      </c>
      <c r="B37" s="519">
        <f>datos!R42/1000</f>
        <v>5.85</v>
      </c>
      <c r="C37" s="520">
        <f>datos!MA42</f>
        <v>33.39</v>
      </c>
      <c r="D37" s="7">
        <f>datos!AI42</f>
        <v>10.130000000000001</v>
      </c>
      <c r="E37" s="7">
        <f>datos!MP42</f>
        <v>46.79</v>
      </c>
      <c r="F37" s="525">
        <f>(datos!AD42/1000)/PP!$F$2</f>
        <v>9.4309799082568802</v>
      </c>
      <c r="G37" s="522">
        <f>datos!MH42</f>
        <v>67.25</v>
      </c>
      <c r="H37" s="525">
        <f>datos!BK42/$H$2</f>
        <v>109.81397459165154</v>
      </c>
      <c r="I37" s="522">
        <f>datos!NB42</f>
        <v>171.42</v>
      </c>
      <c r="J37" s="7">
        <f>datos!BR42/$J$2</f>
        <v>49.233333333333327</v>
      </c>
      <c r="K37" s="7">
        <f>datos!NE42</f>
        <v>150.22</v>
      </c>
      <c r="L37" s="525">
        <f>datos!BO42*$L$2</f>
        <v>28.967749999999988</v>
      </c>
      <c r="M37" s="522">
        <f>datos!NA42</f>
        <v>60.57</v>
      </c>
      <c r="N37" s="7">
        <f>datos!BS42*$N$2</f>
        <v>37.799999999999997</v>
      </c>
      <c r="O37" s="7"/>
      <c r="P37" s="525">
        <f>(datos!AG42/1000)/$P$2</f>
        <v>20.647058823529409</v>
      </c>
      <c r="Q37" s="522">
        <f>datos!MY42*$Q$2</f>
        <v>100.74</v>
      </c>
      <c r="R37" s="525">
        <f>datos!BN42</f>
        <v>7.92</v>
      </c>
      <c r="S37" s="528"/>
      <c r="T37" s="529"/>
      <c r="U37" s="530">
        <f t="shared" si="8"/>
        <v>0</v>
      </c>
      <c r="V37" s="522">
        <f>datos!NC42+U37</f>
        <v>28.28</v>
      </c>
      <c r="W37" s="672">
        <f>datos!AV42*W$4</f>
        <v>146.87791208791214</v>
      </c>
      <c r="X37" s="672">
        <f t="shared" si="3"/>
        <v>11.750232967032971</v>
      </c>
      <c r="Y37" s="672">
        <f>Y38/(1+(datos!G43/datos!G42-1))</f>
        <v>7.3448544004140226</v>
      </c>
      <c r="Z37" s="672"/>
      <c r="AA37" s="673"/>
      <c r="AB37" s="7"/>
      <c r="AC37" s="674">
        <f>datos!MJ42</f>
        <v>16.149999999999999</v>
      </c>
      <c r="AD37" s="681">
        <f>datos!BB42*AD$4</f>
        <v>198.39954831434</v>
      </c>
      <c r="AE37" s="673">
        <f t="shared" si="4"/>
        <v>15.871963865147199</v>
      </c>
      <c r="AF37" s="673">
        <f t="shared" si="5"/>
        <v>7.3448544004140226</v>
      </c>
      <c r="AG37" s="672"/>
      <c r="AH37" s="2"/>
      <c r="AI37" s="522">
        <f>AVERAGE(datos!ML42,datos!MM42,datos!MN42,datos!MO42)</f>
        <v>27.296666666666667</v>
      </c>
      <c r="AK37" s="3">
        <f t="shared" si="6"/>
        <v>43344</v>
      </c>
      <c r="AL37" s="12">
        <f t="shared" si="9"/>
        <v>0.17520215633423178</v>
      </c>
      <c r="AM37" s="12">
        <f t="shared" si="10"/>
        <v>0.21649925197691816</v>
      </c>
      <c r="AN37" s="12">
        <f t="shared" si="11"/>
        <v>0.14023761945363392</v>
      </c>
      <c r="AO37" s="12">
        <f t="shared" ref="AO37:AO68" si="13">H37/I37</f>
        <v>0.64061354912875712</v>
      </c>
      <c r="AP37" s="12">
        <f t="shared" ref="AP37:AP68" si="14">J37/K37</f>
        <v>0.32774153463808631</v>
      </c>
      <c r="AQ37" s="12">
        <f t="shared" ref="AQ37:AQ68" si="15">L37/M37</f>
        <v>0.47825243519894317</v>
      </c>
      <c r="AS37" s="12">
        <f t="shared" si="12"/>
        <v>0.20495392915951371</v>
      </c>
    </row>
    <row r="38" spans="1:45">
      <c r="A38" s="3">
        <v>43374</v>
      </c>
      <c r="B38" s="519">
        <f>datos!R43/1000</f>
        <v>6.25</v>
      </c>
      <c r="C38" s="520">
        <f>datos!MA43</f>
        <v>35.53</v>
      </c>
      <c r="D38" s="7">
        <f>datos!AI43</f>
        <v>10.33</v>
      </c>
      <c r="E38" s="7">
        <f>datos!MP43</f>
        <v>47.59</v>
      </c>
      <c r="F38" s="525">
        <f>(datos!AD43/1000)/PP!$F$2</f>
        <v>8.9125669876412132</v>
      </c>
      <c r="G38" s="522">
        <f>datos!MH43</f>
        <v>71.900000000000006</v>
      </c>
      <c r="H38" s="525">
        <f>datos!BK43/$H$2</f>
        <v>103.91787658802178</v>
      </c>
      <c r="I38" s="522">
        <f>datos!NB43</f>
        <v>175.18</v>
      </c>
      <c r="J38" s="7">
        <f>datos!BR43/$J$2</f>
        <v>55.15</v>
      </c>
      <c r="K38" s="7">
        <f>datos!NE43</f>
        <v>158.16999999999999</v>
      </c>
      <c r="L38" s="525">
        <f>datos!BO43*$L$2</f>
        <v>29.229772727272721</v>
      </c>
      <c r="M38" s="522">
        <f>datos!NA43</f>
        <v>60.96</v>
      </c>
      <c r="N38" s="7">
        <f>datos!BS43*$N$2</f>
        <v>49.14</v>
      </c>
      <c r="O38" s="7"/>
      <c r="P38" s="525">
        <f>(datos!AG43/1000)/$P$2</f>
        <v>24.705882352941178</v>
      </c>
      <c r="Q38" s="522">
        <f>datos!MY43*$Q$2</f>
        <v>108.58</v>
      </c>
      <c r="R38" s="525">
        <f>datos!BN43</f>
        <v>8.42</v>
      </c>
      <c r="S38" s="528"/>
      <c r="T38" s="529"/>
      <c r="U38" s="530">
        <f t="shared" si="8"/>
        <v>0</v>
      </c>
      <c r="V38" s="522">
        <f>datos!NC43+U38</f>
        <v>30.66</v>
      </c>
      <c r="W38" s="672">
        <f>datos!AV43*W$4</f>
        <v>235.45401869158874</v>
      </c>
      <c r="X38" s="672">
        <f t="shared" si="3"/>
        <v>18.836321495327098</v>
      </c>
      <c r="Y38" s="672">
        <f>Y39/(1+(datos!G44/datos!G43-1))</f>
        <v>7.7405517621796687</v>
      </c>
      <c r="Z38" s="672"/>
      <c r="AA38" s="673"/>
      <c r="AB38" s="7"/>
      <c r="AC38" s="674">
        <f>datos!MJ43</f>
        <v>21.83</v>
      </c>
      <c r="AD38" s="681">
        <f>datos!BB43*AD$4</f>
        <v>250.48683058109179</v>
      </c>
      <c r="AE38" s="673">
        <f t="shared" si="4"/>
        <v>20.038946446487344</v>
      </c>
      <c r="AF38" s="673">
        <f t="shared" si="5"/>
        <v>7.7405517621796687</v>
      </c>
      <c r="AG38" s="672"/>
      <c r="AH38" s="2"/>
      <c r="AI38" s="522">
        <f>AVERAGE(datos!ML43,datos!MM43,datos!MN43,datos!MO43)</f>
        <v>29.423333333333332</v>
      </c>
      <c r="AK38" s="3">
        <f t="shared" si="6"/>
        <v>43374</v>
      </c>
      <c r="AL38" s="12">
        <f t="shared" si="9"/>
        <v>0.17590768364762172</v>
      </c>
      <c r="AM38" s="12">
        <f t="shared" si="10"/>
        <v>0.21706240806892202</v>
      </c>
      <c r="AN38" s="12">
        <f t="shared" si="11"/>
        <v>0.12395781623979434</v>
      </c>
      <c r="AO38" s="12">
        <f t="shared" si="13"/>
        <v>0.59320628261229469</v>
      </c>
      <c r="AP38" s="12">
        <f t="shared" si="14"/>
        <v>0.34867547575393565</v>
      </c>
      <c r="AQ38" s="12">
        <f t="shared" si="15"/>
        <v>0.47949102242901442</v>
      </c>
      <c r="AS38" s="12">
        <f t="shared" si="12"/>
        <v>0.2275362161810755</v>
      </c>
    </row>
    <row r="39" spans="1:45">
      <c r="A39" s="3">
        <v>43405</v>
      </c>
      <c r="B39" s="519">
        <f>datos!R44/1000</f>
        <v>6.65</v>
      </c>
      <c r="C39" s="520">
        <f>datos!MA44</f>
        <v>37.65</v>
      </c>
      <c r="D39" s="7">
        <f>datos!AI44</f>
        <v>10.130000000000001</v>
      </c>
      <c r="E39" s="7">
        <f>datos!MP44</f>
        <v>48.56</v>
      </c>
      <c r="F39" s="525">
        <f>(datos!AD44/1000)/PP!$F$2</f>
        <v>8.5310990825688062</v>
      </c>
      <c r="G39" s="522">
        <f>datos!MH44</f>
        <v>72.63</v>
      </c>
      <c r="H39" s="525">
        <f>datos!BK44/$H$2</f>
        <v>102.52495462794919</v>
      </c>
      <c r="I39" s="522">
        <f>datos!NB44</f>
        <v>175.03</v>
      </c>
      <c r="J39" s="7">
        <f>datos!BR44/$J$2</f>
        <v>57.416666666666664</v>
      </c>
      <c r="K39" s="7">
        <f>datos!NE44</f>
        <v>159.81</v>
      </c>
      <c r="L39" s="525">
        <f>datos!BO44*$L$2</f>
        <v>30.320500000000006</v>
      </c>
      <c r="M39" s="522">
        <f>datos!NA44</f>
        <v>61.82</v>
      </c>
      <c r="N39" s="7">
        <f>datos!BS44*$N$2</f>
        <v>49.14</v>
      </c>
      <c r="O39" s="7"/>
      <c r="P39" s="525">
        <f>(datos!AG44/1000)/$P$2</f>
        <v>24.705882352941178</v>
      </c>
      <c r="Q39" s="522">
        <f>datos!MY44*$Q$2</f>
        <v>112.76</v>
      </c>
      <c r="R39" s="525">
        <f>datos!BN44</f>
        <v>8.93</v>
      </c>
      <c r="S39" s="528"/>
      <c r="T39" s="529"/>
      <c r="U39" s="530">
        <f t="shared" si="8"/>
        <v>0</v>
      </c>
      <c r="V39" s="522">
        <f>datos!NC44+U39</f>
        <v>31.3</v>
      </c>
      <c r="W39" s="672">
        <f>datos!AV44*W$4</f>
        <v>215.1928260869565</v>
      </c>
      <c r="X39" s="672">
        <f t="shared" si="3"/>
        <v>17.215426086956519</v>
      </c>
      <c r="Y39" s="672">
        <f>Y40/(1+(datos!G45/datos!G44-1))</f>
        <v>7.9850838396752923</v>
      </c>
      <c r="Z39" s="672"/>
      <c r="AA39" s="673"/>
      <c r="AB39" s="7"/>
      <c r="AC39" s="674">
        <f>datos!MJ44</f>
        <v>28.64</v>
      </c>
      <c r="AD39" s="681">
        <f>datos!BB44*AD$4</f>
        <v>230.07526377217553</v>
      </c>
      <c r="AE39" s="673">
        <f t="shared" si="4"/>
        <v>18.406021101774044</v>
      </c>
      <c r="AF39" s="673">
        <f t="shared" si="5"/>
        <v>7.9850838396752923</v>
      </c>
      <c r="AG39" s="672"/>
      <c r="AH39" s="2"/>
      <c r="AI39" s="522">
        <f>AVERAGE(datos!ML44,datos!MM44,datos!MN44,datos!MO44)</f>
        <v>30.493333333333329</v>
      </c>
      <c r="AK39" s="3">
        <f t="shared" si="6"/>
        <v>43405</v>
      </c>
      <c r="AL39" s="12">
        <f t="shared" si="9"/>
        <v>0.17662682602921648</v>
      </c>
      <c r="AM39" s="12">
        <f t="shared" si="10"/>
        <v>0.20860790774299837</v>
      </c>
      <c r="AN39" s="12">
        <f t="shared" si="11"/>
        <v>0.1174597147538043</v>
      </c>
      <c r="AO39" s="12">
        <f t="shared" si="13"/>
        <v>0.5857564681937335</v>
      </c>
      <c r="AP39" s="12">
        <f t="shared" si="14"/>
        <v>0.35928081263166672</v>
      </c>
      <c r="AQ39" s="12">
        <f t="shared" si="15"/>
        <v>0.49046425105143976</v>
      </c>
      <c r="AS39" s="12">
        <f t="shared" si="12"/>
        <v>0.2191014752832669</v>
      </c>
    </row>
    <row r="40" spans="1:45">
      <c r="A40" s="3">
        <v>43435</v>
      </c>
      <c r="B40" s="519">
        <f>datos!R45/1000</f>
        <v>6.3</v>
      </c>
      <c r="C40" s="520">
        <f>datos!MA45</f>
        <v>38.61</v>
      </c>
      <c r="D40" s="7">
        <f>datos!AI45</f>
        <v>9.6335999999999995</v>
      </c>
      <c r="E40" s="7">
        <f>datos!MP45</f>
        <v>49.18</v>
      </c>
      <c r="F40" s="525">
        <f>(datos!AD45/1000)/PP!$F$2</f>
        <v>9.5861308944010251</v>
      </c>
      <c r="G40" s="522">
        <f>datos!MH45</f>
        <v>73.489999999999995</v>
      </c>
      <c r="H40" s="525">
        <f>datos!BK45/$H$2</f>
        <v>107.71778584392015</v>
      </c>
      <c r="I40" s="522">
        <f>datos!NB45</f>
        <v>178.05</v>
      </c>
      <c r="J40" s="7">
        <f>datos!BR45/$J$2</f>
        <v>57.416666666666664</v>
      </c>
      <c r="K40" s="7">
        <f>datos!NE45</f>
        <v>163.30000000000001</v>
      </c>
      <c r="L40" s="525">
        <f>datos!BO45*$L$2</f>
        <v>30.815555555555555</v>
      </c>
      <c r="M40" s="522">
        <f>datos!NA45</f>
        <v>65.09</v>
      </c>
      <c r="N40" s="7">
        <f>datos!BS45*$N$2</f>
        <v>39.69</v>
      </c>
      <c r="O40" s="7"/>
      <c r="P40" s="525">
        <f>(datos!AG45/1000)/$P$2</f>
        <v>24.705882352941178</v>
      </c>
      <c r="Q40" s="522">
        <f>datos!MY45*$Q$2</f>
        <v>116.6</v>
      </c>
      <c r="R40" s="525">
        <f>datos!BN45</f>
        <v>9.2799999999999994</v>
      </c>
      <c r="S40" s="528"/>
      <c r="T40" s="529"/>
      <c r="U40" s="530">
        <f t="shared" si="8"/>
        <v>0</v>
      </c>
      <c r="V40" s="522">
        <f>datos!NC45+U40</f>
        <v>33.520000000000003</v>
      </c>
      <c r="W40" s="672">
        <f>datos!AV45*W$4</f>
        <v>171.05066666666667</v>
      </c>
      <c r="X40" s="672">
        <f t="shared" si="3"/>
        <v>13.684053333333335</v>
      </c>
      <c r="Y40" s="672">
        <f>Y41/(1+(datos!G46/datos!G45-1))</f>
        <v>8.1940476149897368</v>
      </c>
      <c r="Z40" s="672"/>
      <c r="AA40" s="673"/>
      <c r="AB40" s="7"/>
      <c r="AC40" s="674">
        <f>datos!MJ45</f>
        <v>23.45</v>
      </c>
      <c r="AD40" s="681">
        <f>datos!BB45*AD$4</f>
        <v>251.6564463562753</v>
      </c>
      <c r="AE40" s="673">
        <f t="shared" si="4"/>
        <v>20.132515708502023</v>
      </c>
      <c r="AF40" s="673">
        <f t="shared" si="5"/>
        <v>8.1940476149897368</v>
      </c>
      <c r="AG40" s="672"/>
      <c r="AH40" s="2"/>
      <c r="AI40" s="522">
        <f>AVERAGE(datos!ML45,datos!MM45,datos!MN45,datos!MO45)</f>
        <v>30.383333333333336</v>
      </c>
      <c r="AK40" s="3">
        <f t="shared" si="6"/>
        <v>43435</v>
      </c>
      <c r="AL40" s="12">
        <f t="shared" ref="AL40:AL71" si="16">B40/C40</f>
        <v>0.16317016317016317</v>
      </c>
      <c r="AM40" s="12">
        <f t="shared" ref="AM40:AM71" si="17">D40/E40</f>
        <v>0.19588450589670597</v>
      </c>
      <c r="AN40" s="12">
        <f t="shared" ref="AN40:AN71" si="18">F40/G40</f>
        <v>0.13044129669888455</v>
      </c>
      <c r="AO40" s="12">
        <f t="shared" si="13"/>
        <v>0.60498616031406993</v>
      </c>
      <c r="AP40" s="12">
        <f t="shared" si="14"/>
        <v>0.3516023678301694</v>
      </c>
      <c r="AQ40" s="12">
        <f t="shared" si="15"/>
        <v>0.47342995169082125</v>
      </c>
      <c r="AS40" s="12">
        <f t="shared" ref="AS40:AS71" si="19">P40/Q40</f>
        <v>0.2118857834729089</v>
      </c>
    </row>
    <row r="41" spans="1:45">
      <c r="A41" s="3">
        <v>43466</v>
      </c>
      <c r="B41" s="519">
        <f>datos!R46/1000</f>
        <v>6.3</v>
      </c>
      <c r="C41" s="520">
        <f>datos!MA46</f>
        <v>39.39</v>
      </c>
      <c r="D41" s="7">
        <f>datos!AI46</f>
        <v>10.01</v>
      </c>
      <c r="E41" s="7">
        <f>datos!MP46</f>
        <v>51.03</v>
      </c>
      <c r="F41" s="525">
        <f>(datos!AD46/1000)/PP!$F$2</f>
        <v>9.7750305646862543</v>
      </c>
      <c r="G41" s="522">
        <f>datos!MH46</f>
        <v>75.040000000000006</v>
      </c>
      <c r="H41" s="525">
        <f>datos!BK46/$H$2</f>
        <v>125.80989110707804</v>
      </c>
      <c r="I41" s="522">
        <f>datos!NB46</f>
        <v>193.16</v>
      </c>
      <c r="J41" s="7">
        <f>datos!BR46/$J$2</f>
        <v>60.723333333333322</v>
      </c>
      <c r="K41" s="7">
        <f>datos!NE46</f>
        <v>164.15</v>
      </c>
      <c r="L41" s="525">
        <f>datos!BO46*$L$2</f>
        <v>29.358636363636364</v>
      </c>
      <c r="M41" s="522">
        <f>datos!NA46</f>
        <v>67.400000000000006</v>
      </c>
      <c r="N41" s="7">
        <f>datos!BS46*$N$2</f>
        <v>39.69</v>
      </c>
      <c r="O41" s="7"/>
      <c r="P41" s="525">
        <f>(datos!AG46/1000)/$P$2</f>
        <v>24.705882352941178</v>
      </c>
      <c r="Q41" s="522">
        <f>datos!MY46*$Q$2</f>
        <v>122.38</v>
      </c>
      <c r="R41" s="525">
        <f>datos!BN46</f>
        <v>9.6300000000000008</v>
      </c>
      <c r="S41" s="528"/>
      <c r="T41" s="529"/>
      <c r="U41" s="530">
        <f t="shared" si="8"/>
        <v>0</v>
      </c>
      <c r="V41" s="522">
        <f>datos!NC46+U41</f>
        <v>35.36</v>
      </c>
      <c r="W41" s="672">
        <f>datos!AV46*W$4</f>
        <v>181.89115044247782</v>
      </c>
      <c r="X41" s="672">
        <f t="shared" si="3"/>
        <v>14.551292035398227</v>
      </c>
      <c r="Y41" s="672">
        <f>Y42/(1+(datos!G47/datos!G46-1))</f>
        <v>8.4296876169400647</v>
      </c>
      <c r="Z41" s="672"/>
      <c r="AA41" s="673"/>
      <c r="AB41" s="7"/>
      <c r="AC41" s="674">
        <f>datos!MJ46</f>
        <v>22.45</v>
      </c>
      <c r="AD41" s="681">
        <f>datos!BB46*AD$4</f>
        <v>246.57945499773859</v>
      </c>
      <c r="AE41" s="673">
        <f t="shared" si="4"/>
        <v>19.726356399819089</v>
      </c>
      <c r="AF41" s="673">
        <f t="shared" si="5"/>
        <v>8.4296876169400647</v>
      </c>
      <c r="AG41" s="672"/>
      <c r="AH41" s="2"/>
      <c r="AI41" s="522">
        <f>AVERAGE(datos!ML46,datos!MM46,datos!MN46,datos!MO46)</f>
        <v>30.27</v>
      </c>
      <c r="AK41" s="3">
        <f t="shared" si="6"/>
        <v>43466</v>
      </c>
      <c r="AL41" s="12">
        <f t="shared" si="16"/>
        <v>0.15993907083015993</v>
      </c>
      <c r="AM41" s="12">
        <f t="shared" si="17"/>
        <v>0.19615912208504802</v>
      </c>
      <c r="AN41" s="12">
        <f t="shared" si="18"/>
        <v>0.13026426658697032</v>
      </c>
      <c r="AO41" s="12">
        <f t="shared" si="13"/>
        <v>0.65132476240980564</v>
      </c>
      <c r="AP41" s="12">
        <f t="shared" si="14"/>
        <v>0.36992588080008115</v>
      </c>
      <c r="AQ41" s="12">
        <f t="shared" si="15"/>
        <v>0.43558807661181548</v>
      </c>
      <c r="AS41" s="12">
        <f t="shared" si="19"/>
        <v>0.20187843073166511</v>
      </c>
    </row>
    <row r="42" spans="1:45">
      <c r="A42" s="3">
        <v>43497</v>
      </c>
      <c r="B42" s="519">
        <f>datos!R47/1000</f>
        <v>6.37</v>
      </c>
      <c r="C42" s="520">
        <f>datos!MA47</f>
        <v>40.6</v>
      </c>
      <c r="D42" s="7">
        <f>datos!AI47</f>
        <v>9.8000000000000007</v>
      </c>
      <c r="E42" s="7">
        <f>datos!MP47</f>
        <v>52.39</v>
      </c>
      <c r="F42" s="525">
        <f>(datos!AD47/1000)/PP!$F$2</f>
        <v>8.7443712538226297</v>
      </c>
      <c r="G42" s="522">
        <f>datos!MH47</f>
        <v>76.94</v>
      </c>
      <c r="H42" s="525">
        <f>datos!BK47/$H$2</f>
        <v>149.0539927404719</v>
      </c>
      <c r="I42" s="522">
        <f>datos!NB47</f>
        <v>218.24</v>
      </c>
      <c r="J42" s="7">
        <f>datos!BR47/$J$2</f>
        <v>62.36666666666666</v>
      </c>
      <c r="K42" s="7">
        <f>datos!NE47</f>
        <v>173.1</v>
      </c>
      <c r="L42" s="525">
        <f>datos!BO47*$L$2</f>
        <v>34.446999999999996</v>
      </c>
      <c r="M42" s="522">
        <f>datos!NA47</f>
        <v>71.87</v>
      </c>
      <c r="N42" s="7">
        <f>datos!BS47*$N$2</f>
        <v>43.47</v>
      </c>
      <c r="O42" s="7"/>
      <c r="P42" s="525">
        <f>(datos!AG47/1000)/$P$2</f>
        <v>24.705882352941178</v>
      </c>
      <c r="Q42" s="522">
        <f>datos!MY47*$Q$2</f>
        <v>126.44</v>
      </c>
      <c r="R42" s="525">
        <f>datos!BN47</f>
        <v>10.45</v>
      </c>
      <c r="S42" s="528"/>
      <c r="T42" s="529"/>
      <c r="U42" s="530">
        <f t="shared" si="8"/>
        <v>0</v>
      </c>
      <c r="V42" s="522">
        <f>datos!NC47+U42</f>
        <v>36.25</v>
      </c>
      <c r="W42" s="672">
        <f>datos!AV47*W$4</f>
        <v>167.22886363636363</v>
      </c>
      <c r="X42" s="672">
        <f t="shared" si="3"/>
        <v>13.37830909090909</v>
      </c>
      <c r="Y42" s="672">
        <f>Y43/(1+(datos!G48/datos!G47-1))</f>
        <v>8.7498023365706992</v>
      </c>
      <c r="Z42" s="672"/>
      <c r="AA42" s="673"/>
      <c r="AB42" s="7"/>
      <c r="AC42" s="674">
        <f>datos!MJ47</f>
        <v>20.329999999999998</v>
      </c>
      <c r="AD42" s="681">
        <f>datos!BB47*AD$4</f>
        <v>251.75359115002681</v>
      </c>
      <c r="AE42" s="673">
        <f t="shared" si="4"/>
        <v>20.140287292002146</v>
      </c>
      <c r="AF42" s="673">
        <f t="shared" si="5"/>
        <v>8.7498023365706992</v>
      </c>
      <c r="AG42" s="672"/>
      <c r="AH42" s="2"/>
      <c r="AI42" s="522">
        <f>AVERAGE(datos!ML47,datos!MM47,datos!MN47,datos!MO47)</f>
        <v>34.563333333333333</v>
      </c>
      <c r="AK42" s="3">
        <f t="shared" si="6"/>
        <v>43497</v>
      </c>
      <c r="AL42" s="12">
        <f t="shared" si="16"/>
        <v>0.15689655172413794</v>
      </c>
      <c r="AM42" s="12">
        <f t="shared" si="17"/>
        <v>0.18705859896926896</v>
      </c>
      <c r="AN42" s="12">
        <f t="shared" si="18"/>
        <v>0.11365182289865648</v>
      </c>
      <c r="AO42" s="12">
        <f t="shared" si="13"/>
        <v>0.68298200485920035</v>
      </c>
      <c r="AP42" s="12">
        <f t="shared" si="14"/>
        <v>0.36029270171384553</v>
      </c>
      <c r="AQ42" s="12">
        <f t="shared" si="15"/>
        <v>0.47929595102267974</v>
      </c>
      <c r="AS42" s="12">
        <f t="shared" si="19"/>
        <v>0.1953960957999144</v>
      </c>
    </row>
    <row r="43" spans="1:45">
      <c r="A43" s="3">
        <v>43525</v>
      </c>
      <c r="B43" s="519">
        <f>datos!R48/1000</f>
        <v>6.7</v>
      </c>
      <c r="C43" s="520">
        <f>datos!MA48</f>
        <v>40.94</v>
      </c>
      <c r="D43" s="7">
        <f>datos!AI48</f>
        <v>8.5159000000000002</v>
      </c>
      <c r="E43" s="7">
        <f>datos!MP48</f>
        <v>53.3</v>
      </c>
      <c r="F43" s="525">
        <f>(datos!AD48/1000)/PP!$F$2</f>
        <v>8.8852444534803912</v>
      </c>
      <c r="G43" s="522">
        <f>datos!MH48</f>
        <v>79.900000000000006</v>
      </c>
      <c r="H43" s="525">
        <f>datos!BK48/$H$2</f>
        <v>147.11660617059894</v>
      </c>
      <c r="I43" s="522">
        <f>datos!NB48</f>
        <v>234.66</v>
      </c>
      <c r="J43" s="7">
        <f>datos!BR48/$J$2</f>
        <v>64.833333333333314</v>
      </c>
      <c r="K43" s="7">
        <f>datos!NE48</f>
        <v>181.91</v>
      </c>
      <c r="L43" s="525">
        <f>datos!BO48*$L$2</f>
        <v>43.889999999999993</v>
      </c>
      <c r="M43" s="522">
        <f>datos!NA48</f>
        <v>88.85</v>
      </c>
      <c r="N43" s="7">
        <f>datos!BS48*$N$2</f>
        <v>49.14</v>
      </c>
      <c r="O43" s="7"/>
      <c r="P43" s="525">
        <f>(datos!AG48/1000)/$P$2</f>
        <v>33.970588235294116</v>
      </c>
      <c r="Q43" s="522">
        <f>datos!MY48*$Q$2</f>
        <v>135.18</v>
      </c>
      <c r="R43" s="525">
        <f>datos!BN48</f>
        <v>11.76</v>
      </c>
      <c r="S43" s="528"/>
      <c r="T43" s="529"/>
      <c r="U43" s="530">
        <f t="shared" si="8"/>
        <v>0</v>
      </c>
      <c r="V43" s="522">
        <f>datos!NC48+U43</f>
        <v>39.65</v>
      </c>
      <c r="W43" s="672">
        <f>datos!AV48*W$4</f>
        <v>155.70000000000002</v>
      </c>
      <c r="X43" s="672">
        <f t="shared" si="3"/>
        <v>12.456000000000001</v>
      </c>
      <c r="Y43" s="672">
        <f>Y44/(1+(datos!G49/datos!G48-1))</f>
        <v>9.158837811654287</v>
      </c>
      <c r="Z43" s="672"/>
      <c r="AA43" s="673"/>
      <c r="AB43" s="7"/>
      <c r="AC43" s="674">
        <f>datos!MJ48</f>
        <v>21.22</v>
      </c>
      <c r="AD43" s="681">
        <f>datos!BB48*AD$4</f>
        <v>262.90918142780458</v>
      </c>
      <c r="AE43" s="673">
        <f t="shared" si="4"/>
        <v>21.032734514224366</v>
      </c>
      <c r="AF43" s="673">
        <f t="shared" si="5"/>
        <v>9.158837811654287</v>
      </c>
      <c r="AG43" s="672"/>
      <c r="AH43" s="2"/>
      <c r="AI43" s="522">
        <f>AVERAGE(datos!ML48,datos!MM48,datos!MN48,datos!MO48)</f>
        <v>38.360000000000007</v>
      </c>
      <c r="AK43" s="3">
        <f t="shared" si="6"/>
        <v>43525</v>
      </c>
      <c r="AL43" s="12">
        <f t="shared" si="16"/>
        <v>0.16365412799218371</v>
      </c>
      <c r="AM43" s="12">
        <f t="shared" si="17"/>
        <v>0.15977298311444654</v>
      </c>
      <c r="AN43" s="12">
        <f t="shared" si="18"/>
        <v>0.11120456137021766</v>
      </c>
      <c r="AO43" s="12">
        <f t="shared" si="13"/>
        <v>0.62693516649875969</v>
      </c>
      <c r="AP43" s="12">
        <f t="shared" si="14"/>
        <v>0.35640334964176412</v>
      </c>
      <c r="AQ43" s="12">
        <f t="shared" si="15"/>
        <v>0.49397861564434437</v>
      </c>
      <c r="AS43" s="12">
        <f t="shared" si="19"/>
        <v>0.25129892169917234</v>
      </c>
    </row>
    <row r="44" spans="1:45">
      <c r="A44" s="3">
        <v>43556</v>
      </c>
      <c r="B44" s="519">
        <f>datos!R49/1000</f>
        <v>7.5</v>
      </c>
      <c r="C44" s="520">
        <f>datos!MA49</f>
        <v>42.2</v>
      </c>
      <c r="D44" s="7">
        <f>datos!AI49</f>
        <v>8.2148000000000003</v>
      </c>
      <c r="E44" s="7">
        <f>datos!MP49</f>
        <v>54.06</v>
      </c>
      <c r="F44" s="525">
        <f>(datos!AD49/1000)/PP!$F$2</f>
        <v>9.0070394334459962</v>
      </c>
      <c r="G44" s="522">
        <f>datos!MH49</f>
        <v>81.56</v>
      </c>
      <c r="H44" s="525">
        <f>datos!BK49/$H$2</f>
        <v>146.93738656987296</v>
      </c>
      <c r="I44" s="522">
        <f>datos!NB49</f>
        <v>230.24</v>
      </c>
      <c r="J44" s="7">
        <f>datos!BR49/$J$2</f>
        <v>67.949999999999989</v>
      </c>
      <c r="K44" s="7">
        <f>datos!NE49</f>
        <v>187.88</v>
      </c>
      <c r="L44" s="525">
        <f>datos!BO49*$L$2</f>
        <v>39.653250000000007</v>
      </c>
      <c r="M44" s="522">
        <f>datos!NA49</f>
        <v>92.62</v>
      </c>
      <c r="N44" s="7">
        <f>datos!BS49*$N$2</f>
        <v>49.14</v>
      </c>
      <c r="O44" s="7"/>
      <c r="P44" s="525">
        <f>(datos!AG49/1000)/$P$2</f>
        <v>33.970588235294116</v>
      </c>
      <c r="Q44" s="522">
        <f>datos!MY49*$Q$2</f>
        <v>140.18</v>
      </c>
      <c r="R44" s="525">
        <f>datos!BN49</f>
        <v>13.32</v>
      </c>
      <c r="S44" s="528"/>
      <c r="T44" s="529"/>
      <c r="U44" s="530">
        <f t="shared" si="8"/>
        <v>0</v>
      </c>
      <c r="V44" s="522">
        <f>datos!NC49+U44</f>
        <v>42.25</v>
      </c>
      <c r="W44" s="672">
        <f>datos!AV49*W$4</f>
        <v>160.29017543859644</v>
      </c>
      <c r="X44" s="672">
        <f t="shared" si="3"/>
        <v>12.823214035087716</v>
      </c>
      <c r="Y44" s="672">
        <f>Y45/(1+(datos!G50/datos!G49-1))</f>
        <v>9.4745064935122745</v>
      </c>
      <c r="Z44" s="672"/>
      <c r="AA44" s="673"/>
      <c r="AB44" s="7"/>
      <c r="AC44" s="674">
        <f>datos!MJ49</f>
        <v>20.83</v>
      </c>
      <c r="AD44" s="681">
        <f>datos!BB49*AD$4</f>
        <v>236.81047034674231</v>
      </c>
      <c r="AE44" s="673">
        <f t="shared" si="4"/>
        <v>18.944837627739386</v>
      </c>
      <c r="AF44" s="673">
        <f t="shared" si="5"/>
        <v>9.4745064935122745</v>
      </c>
      <c r="AG44" s="672"/>
      <c r="AH44" s="2"/>
      <c r="AI44" s="522">
        <f>AVERAGE(datos!ML49,datos!MM49,datos!MN49,datos!MO49)</f>
        <v>33.686666666666667</v>
      </c>
      <c r="AK44" s="3">
        <f t="shared" si="6"/>
        <v>43556</v>
      </c>
      <c r="AL44" s="12">
        <f t="shared" si="16"/>
        <v>0.1777251184834123</v>
      </c>
      <c r="AM44" s="12">
        <f t="shared" si="17"/>
        <v>0.15195708472068073</v>
      </c>
      <c r="AN44" s="12">
        <f t="shared" si="18"/>
        <v>0.11043451978231972</v>
      </c>
      <c r="AO44" s="12">
        <f t="shared" si="13"/>
        <v>0.6381922627252995</v>
      </c>
      <c r="AP44" s="12">
        <f t="shared" si="14"/>
        <v>0.36166702150308705</v>
      </c>
      <c r="AQ44" s="12">
        <f t="shared" si="15"/>
        <v>0.42812837400129566</v>
      </c>
      <c r="AS44" s="12">
        <f t="shared" si="19"/>
        <v>0.24233548462900639</v>
      </c>
    </row>
    <row r="45" spans="1:45">
      <c r="A45" s="3">
        <v>43586</v>
      </c>
      <c r="B45" s="519">
        <f>datos!R50/1000</f>
        <v>7.7</v>
      </c>
      <c r="C45" s="520">
        <f>datos!MA50</f>
        <v>44.27</v>
      </c>
      <c r="D45" s="7">
        <f>datos!AI50</f>
        <v>7.4040999999999997</v>
      </c>
      <c r="E45" s="7">
        <f>datos!MP50</f>
        <v>54.15</v>
      </c>
      <c r="F45" s="525">
        <f>(datos!AD50/1000)/PP!$F$2</f>
        <v>9.2722855915282913</v>
      </c>
      <c r="G45" s="522">
        <f>datos!MH50</f>
        <v>83.89</v>
      </c>
      <c r="H45" s="525">
        <f>datos!BK50/$H$2</f>
        <v>144.35117967332124</v>
      </c>
      <c r="I45" s="522">
        <f>datos!NB50</f>
        <v>230</v>
      </c>
      <c r="J45" s="7">
        <f>datos!BR50/$J$2</f>
        <v>69.649999999999991</v>
      </c>
      <c r="K45" s="7">
        <f>datos!NE50</f>
        <v>192.24</v>
      </c>
      <c r="L45" s="525">
        <f>datos!BO50*$L$2</f>
        <v>32.893636363636361</v>
      </c>
      <c r="M45" s="522">
        <f>datos!NA50</f>
        <v>85.24</v>
      </c>
      <c r="N45" s="7">
        <f>datos!BS50*$N$2</f>
        <v>49.14</v>
      </c>
      <c r="O45" s="7"/>
      <c r="P45" s="525">
        <f>(datos!AG50/1000)/$P$2</f>
        <v>33.970588235294116</v>
      </c>
      <c r="Q45" s="522">
        <f>datos!MY50*$Q$2</f>
        <v>151.1</v>
      </c>
      <c r="R45" s="525">
        <f>datos!BN50</f>
        <v>14.54</v>
      </c>
      <c r="S45" s="528"/>
      <c r="T45" s="529"/>
      <c r="U45" s="530">
        <f t="shared" si="8"/>
        <v>0</v>
      </c>
      <c r="V45" s="522">
        <f>datos!NC50+U45</f>
        <v>44.32</v>
      </c>
      <c r="W45" s="672">
        <f>datos!AV50*W$4</f>
        <v>199.51095890410954</v>
      </c>
      <c r="X45" s="672">
        <f t="shared" si="3"/>
        <v>15.960876712328764</v>
      </c>
      <c r="Y45" s="672">
        <f>Y46/(1+(datos!G51/datos!G50-1))</f>
        <v>9.7634989487343766</v>
      </c>
      <c r="Z45" s="672"/>
      <c r="AA45" s="673"/>
      <c r="AB45" s="7"/>
      <c r="AC45" s="674">
        <f>datos!MJ50</f>
        <v>21.06</v>
      </c>
      <c r="AD45" s="681">
        <f>datos!BB50*AD$4</f>
        <v>255.34299016955273</v>
      </c>
      <c r="AE45" s="673">
        <f t="shared" si="4"/>
        <v>20.42743921356422</v>
      </c>
      <c r="AF45" s="673">
        <f t="shared" si="5"/>
        <v>9.7634989487343766</v>
      </c>
      <c r="AG45" s="672"/>
      <c r="AH45" s="2"/>
      <c r="AI45" s="522">
        <f>AVERAGE(datos!ML50,datos!MM50,datos!MN50,datos!MO50)</f>
        <v>33.266666666666673</v>
      </c>
      <c r="AK45" s="3">
        <f t="shared" si="6"/>
        <v>43586</v>
      </c>
      <c r="AL45" s="12">
        <f t="shared" si="16"/>
        <v>0.17393268579173254</v>
      </c>
      <c r="AM45" s="12">
        <f t="shared" si="17"/>
        <v>0.13673314866112649</v>
      </c>
      <c r="AN45" s="12">
        <f t="shared" si="18"/>
        <v>0.1105290927587113</v>
      </c>
      <c r="AO45" s="12">
        <f t="shared" si="13"/>
        <v>0.62761382466661408</v>
      </c>
      <c r="AP45" s="12">
        <f t="shared" si="14"/>
        <v>0.36230753225135243</v>
      </c>
      <c r="AQ45" s="12">
        <f t="shared" si="15"/>
        <v>0.38589437310694935</v>
      </c>
      <c r="AS45" s="12">
        <f t="shared" si="19"/>
        <v>0.22482189434344221</v>
      </c>
    </row>
    <row r="46" spans="1:45">
      <c r="A46" s="3">
        <v>43617</v>
      </c>
      <c r="B46" s="519">
        <f>datos!R51/1000</f>
        <v>8</v>
      </c>
      <c r="C46" s="520">
        <f>datos!MA51</f>
        <v>45.36</v>
      </c>
      <c r="D46" s="7">
        <f>datos!AI51</f>
        <v>9.9867000000000008</v>
      </c>
      <c r="E46" s="7">
        <f>datos!MP51</f>
        <v>54.78</v>
      </c>
      <c r="F46" s="525">
        <f>(datos!AD51/1000)/PP!$F$2</f>
        <v>9.6445105424110693</v>
      </c>
      <c r="G46" s="522">
        <f>datos!MH51</f>
        <v>87.52</v>
      </c>
      <c r="H46" s="525">
        <f>datos!BK51/$H$2</f>
        <v>147.15063520871146</v>
      </c>
      <c r="I46" s="522">
        <f>datos!NB51</f>
        <v>229.78</v>
      </c>
      <c r="J46" s="7">
        <f>datos!BR51/$J$2</f>
        <v>71.499999999999986</v>
      </c>
      <c r="K46" s="7">
        <f>datos!NE51</f>
        <v>191.25</v>
      </c>
      <c r="L46" s="525">
        <f>datos!BO51*$L$2</f>
        <v>34.423421052631575</v>
      </c>
      <c r="M46" s="522">
        <f>datos!NA51</f>
        <v>82.75</v>
      </c>
      <c r="N46" s="7">
        <f>datos!BS51*$N$2</f>
        <v>52.92</v>
      </c>
      <c r="O46" s="7"/>
      <c r="P46" s="525">
        <f>(datos!AG51/1000)/$P$2</f>
        <v>33.970588235294116</v>
      </c>
      <c r="Q46" s="522">
        <f>datos!MY51*$Q$2</f>
        <v>161.63999999999999</v>
      </c>
      <c r="R46" s="525">
        <f>datos!BN51</f>
        <v>15.15</v>
      </c>
      <c r="S46" s="528"/>
      <c r="T46" s="529"/>
      <c r="U46" s="530">
        <f t="shared" si="8"/>
        <v>0</v>
      </c>
      <c r="V46" s="522">
        <f>datos!NC51+U46</f>
        <v>44.77</v>
      </c>
      <c r="W46" s="672">
        <f>datos!AV51*W$4</f>
        <v>185.24314285714289</v>
      </c>
      <c r="X46" s="672">
        <f t="shared" si="3"/>
        <v>14.819451428571432</v>
      </c>
      <c r="Y46" s="672">
        <f>Y47/(1+(datos!G52/datos!G51-1))</f>
        <v>10.025815177320592</v>
      </c>
      <c r="Z46" s="672"/>
      <c r="AA46" s="673"/>
      <c r="AB46" s="7"/>
      <c r="AC46" s="674">
        <f>datos!MJ51</f>
        <v>22.62</v>
      </c>
      <c r="AD46" s="681">
        <f>datos!BB51*AD$4</f>
        <v>304.90499999999997</v>
      </c>
      <c r="AE46" s="673">
        <f t="shared" si="4"/>
        <v>24.392399999999999</v>
      </c>
      <c r="AF46" s="673">
        <f t="shared" si="5"/>
        <v>10.025815177320592</v>
      </c>
      <c r="AG46" s="672"/>
      <c r="AH46" s="2"/>
      <c r="AI46" s="522">
        <f>AVERAGE(datos!ML51,datos!MM51,datos!MN51,datos!MO51)</f>
        <v>35.486666666666672</v>
      </c>
      <c r="AK46" s="3">
        <f t="shared" si="6"/>
        <v>43617</v>
      </c>
      <c r="AL46" s="12">
        <f t="shared" si="16"/>
        <v>0.17636684303350969</v>
      </c>
      <c r="AM46" s="12">
        <f t="shared" si="17"/>
        <v>0.18230558598028479</v>
      </c>
      <c r="AN46" s="12">
        <f t="shared" si="18"/>
        <v>0.11019778956136962</v>
      </c>
      <c r="AO46" s="12">
        <f t="shared" si="13"/>
        <v>0.64039792500962422</v>
      </c>
      <c r="AP46" s="12">
        <f t="shared" si="14"/>
        <v>0.37385620915032675</v>
      </c>
      <c r="AQ46" s="12">
        <f t="shared" si="15"/>
        <v>0.41599300365717917</v>
      </c>
      <c r="AS46" s="12">
        <f t="shared" si="19"/>
        <v>0.2101620158085506</v>
      </c>
    </row>
    <row r="47" spans="1:45">
      <c r="A47" s="3">
        <v>43647</v>
      </c>
      <c r="B47" s="519">
        <f>datos!R52/1000</f>
        <v>8.4499999999999993</v>
      </c>
      <c r="C47" s="520">
        <f>datos!MA52</f>
        <v>45.83</v>
      </c>
      <c r="D47" s="7">
        <f>datos!AI52</f>
        <v>9.64</v>
      </c>
      <c r="E47" s="7">
        <f>datos!MP52</f>
        <v>56.39</v>
      </c>
      <c r="F47" s="525">
        <f>(datos!AD52/1000)/PP!$F$2</f>
        <v>9.1423116733463754</v>
      </c>
      <c r="G47" s="522">
        <f>datos!MH52</f>
        <v>88.68</v>
      </c>
      <c r="H47" s="525">
        <f>datos!BK52/$H$2</f>
        <v>147.03493647912887</v>
      </c>
      <c r="I47" s="522">
        <f>datos!NB52</f>
        <v>225.22</v>
      </c>
      <c r="J47" s="7">
        <f>datos!BR52/$J$2</f>
        <v>73.833333333333314</v>
      </c>
      <c r="K47" s="7">
        <f>datos!NE52</f>
        <v>195.04</v>
      </c>
      <c r="L47" s="525">
        <f>datos!BO52*$L$2</f>
        <v>30.330681818181816</v>
      </c>
      <c r="M47" s="522">
        <f>datos!NA52</f>
        <v>80.75</v>
      </c>
      <c r="N47" s="7">
        <f>datos!BS52*$N$2</f>
        <v>64.260000000000005</v>
      </c>
      <c r="O47" s="7"/>
      <c r="P47" s="525">
        <f>(datos!AG52/1000)/$P$2</f>
        <v>33.970588235294116</v>
      </c>
      <c r="Q47" s="522">
        <f>datos!MY52*$Q$2</f>
        <v>168.34</v>
      </c>
      <c r="R47" s="525">
        <f>datos!BN52</f>
        <v>15.31</v>
      </c>
      <c r="S47" s="528"/>
      <c r="T47" s="529"/>
      <c r="U47" s="530">
        <f t="shared" si="8"/>
        <v>0</v>
      </c>
      <c r="V47" s="522">
        <f>datos!NC52+U47</f>
        <v>46.88</v>
      </c>
      <c r="W47" s="672">
        <f>datos!AV52*W$4</f>
        <v>179.24556521739129</v>
      </c>
      <c r="X47" s="672">
        <f t="shared" si="3"/>
        <v>14.339645217391304</v>
      </c>
      <c r="Y47" s="672">
        <f>Y48/(1+(datos!G53/datos!G52-1))</f>
        <v>10.248117065952977</v>
      </c>
      <c r="Z47" s="672"/>
      <c r="AA47" s="673"/>
      <c r="AB47" s="7"/>
      <c r="AC47" s="674">
        <f>datos!MJ52</f>
        <v>24.22</v>
      </c>
      <c r="AD47" s="681">
        <f>datos!BB52*AD$4</f>
        <v>321.75</v>
      </c>
      <c r="AE47" s="673">
        <f t="shared" si="4"/>
        <v>25.740000000000002</v>
      </c>
      <c r="AF47" s="673">
        <f t="shared" si="5"/>
        <v>10.248117065952977</v>
      </c>
      <c r="AG47" s="672"/>
      <c r="AH47" s="2"/>
      <c r="AI47" s="522">
        <f>AVERAGE(datos!ML52,datos!MM52,datos!MN52,datos!MO52)</f>
        <v>37.43</v>
      </c>
      <c r="AK47" s="3">
        <f t="shared" si="6"/>
        <v>43647</v>
      </c>
      <c r="AL47" s="12">
        <f t="shared" si="16"/>
        <v>0.18437704560331661</v>
      </c>
      <c r="AM47" s="12">
        <f t="shared" si="17"/>
        <v>0.17095229650647278</v>
      </c>
      <c r="AN47" s="12">
        <f t="shared" si="18"/>
        <v>0.10309327552262489</v>
      </c>
      <c r="AO47" s="12">
        <f t="shared" si="13"/>
        <v>0.65285026409345914</v>
      </c>
      <c r="AP47" s="12">
        <f t="shared" si="14"/>
        <v>0.37855482636040461</v>
      </c>
      <c r="AQ47" s="12">
        <f t="shared" si="15"/>
        <v>0.3756121587390937</v>
      </c>
      <c r="AS47" s="12">
        <f t="shared" si="19"/>
        <v>0.20179748268560124</v>
      </c>
    </row>
    <row r="48" spans="1:45">
      <c r="A48" s="3">
        <v>43678</v>
      </c>
      <c r="B48" s="519">
        <f>datos!R53/1000</f>
        <v>9.4499999999999993</v>
      </c>
      <c r="C48" s="520">
        <f>datos!MA53</f>
        <v>48.48</v>
      </c>
      <c r="D48" s="7">
        <f>datos!AI53</f>
        <v>9.5399999999999991</v>
      </c>
      <c r="E48" s="7">
        <f>datos!MP53</f>
        <v>56.98</v>
      </c>
      <c r="F48" s="525">
        <f>(datos!AD53/1000)/PP!$F$2</f>
        <v>10.843187251659071</v>
      </c>
      <c r="G48" s="522">
        <f>datos!MH53</f>
        <v>92.16</v>
      </c>
      <c r="H48" s="525">
        <f>datos!BK53/$H$2</f>
        <v>156.71506352087115</v>
      </c>
      <c r="I48" s="522">
        <f>datos!NB53</f>
        <v>230.57</v>
      </c>
      <c r="J48" s="7">
        <f>datos!BR53/$J$2</f>
        <v>81.999999999999986</v>
      </c>
      <c r="K48" s="7">
        <f>datos!NE53</f>
        <v>199.53</v>
      </c>
      <c r="L48" s="525">
        <f>datos!BO53*$L$2</f>
        <v>35.149999999999991</v>
      </c>
      <c r="M48" s="522">
        <f>datos!NA53</f>
        <v>82.48</v>
      </c>
      <c r="N48" s="7">
        <f>datos!BS53*$N$2</f>
        <v>68.040000000000006</v>
      </c>
      <c r="O48" s="7"/>
      <c r="P48" s="525">
        <f>(datos!AG53/1000)/$P$2</f>
        <v>33.970588235294116</v>
      </c>
      <c r="Q48" s="522">
        <f>datos!MY53*$Q$2</f>
        <v>171.56</v>
      </c>
      <c r="R48" s="525">
        <f>datos!BN53</f>
        <v>15.38</v>
      </c>
      <c r="S48" s="528"/>
      <c r="T48" s="529"/>
      <c r="U48" s="530">
        <f t="shared" si="8"/>
        <v>0</v>
      </c>
      <c r="V48" s="522">
        <f>datos!NC53+U48</f>
        <v>48.37</v>
      </c>
      <c r="W48" s="672">
        <f>datos!AV53*W$4</f>
        <v>255.62276190476194</v>
      </c>
      <c r="X48" s="672">
        <f t="shared" si="3"/>
        <v>20.449820952380957</v>
      </c>
      <c r="Y48" s="672">
        <f>Y49/(1+(datos!G54/datos!G53-1))</f>
        <v>10.652706503263918</v>
      </c>
      <c r="Z48" s="672"/>
      <c r="AA48" s="673"/>
      <c r="AB48" s="7"/>
      <c r="AC48" s="674">
        <f>datos!MJ53</f>
        <v>25.53</v>
      </c>
      <c r="AD48" s="681">
        <f>datos!BB53*AD$4</f>
        <v>334.98588791775501</v>
      </c>
      <c r="AE48" s="673">
        <f t="shared" si="4"/>
        <v>26.798871033420401</v>
      </c>
      <c r="AF48" s="673">
        <f t="shared" si="5"/>
        <v>10.652706503263918</v>
      </c>
      <c r="AG48" s="672"/>
      <c r="AH48" s="2"/>
      <c r="AI48" s="522">
        <f>AVERAGE(datos!ML53,datos!MM53,datos!MN53,datos!MO53)</f>
        <v>43.54</v>
      </c>
      <c r="AK48" s="3">
        <f t="shared" si="6"/>
        <v>43678</v>
      </c>
      <c r="AL48" s="12">
        <f t="shared" si="16"/>
        <v>0.19492574257425743</v>
      </c>
      <c r="AM48" s="12">
        <f t="shared" si="17"/>
        <v>0.16742716742716743</v>
      </c>
      <c r="AN48" s="12">
        <f t="shared" si="18"/>
        <v>0.11765611167164791</v>
      </c>
      <c r="AO48" s="12">
        <f t="shared" si="13"/>
        <v>0.67968540365559771</v>
      </c>
      <c r="AP48" s="12">
        <f t="shared" si="14"/>
        <v>0.41096576955846231</v>
      </c>
      <c r="AQ48" s="12">
        <f t="shared" si="15"/>
        <v>0.42616391852570307</v>
      </c>
      <c r="AS48" s="12">
        <f t="shared" si="19"/>
        <v>0.19800995707212704</v>
      </c>
    </row>
    <row r="49" spans="1:45">
      <c r="A49" s="3">
        <v>43709</v>
      </c>
      <c r="B49" s="519">
        <f>datos!R54/1000</f>
        <v>10.5</v>
      </c>
      <c r="C49" s="520">
        <f>datos!MA54</f>
        <v>49.5</v>
      </c>
      <c r="D49" s="7">
        <f>datos!AI54</f>
        <v>8.82</v>
      </c>
      <c r="E49" s="7">
        <f>datos!MP54</f>
        <v>57.63</v>
      </c>
      <c r="F49" s="525">
        <f>(datos!AD54/1000)/PP!$F$2</f>
        <v>11.47941556235134</v>
      </c>
      <c r="G49" s="522">
        <f>datos!MH54</f>
        <v>98.61</v>
      </c>
      <c r="H49" s="525">
        <f>datos!BK54/$H$2</f>
        <v>152.90381125226864</v>
      </c>
      <c r="I49" s="522">
        <f>datos!NB54</f>
        <v>237.92</v>
      </c>
      <c r="J49" s="7">
        <f>datos!BR54/$J$2</f>
        <v>92.749999999999986</v>
      </c>
      <c r="K49" s="7">
        <f>datos!NE54</f>
        <v>220.21</v>
      </c>
      <c r="L49" s="525">
        <f>datos!BO54*$L$2</f>
        <v>44.414999999999985</v>
      </c>
      <c r="M49" s="522">
        <f>datos!NA54</f>
        <v>92.74</v>
      </c>
      <c r="N49" s="7">
        <f>datos!BS54*$N$2</f>
        <v>71.820000000000007</v>
      </c>
      <c r="O49" s="7"/>
      <c r="P49" s="525">
        <f>(datos!AG54/1000)/$P$2</f>
        <v>33.970588235294116</v>
      </c>
      <c r="Q49" s="522">
        <f>datos!MY54*$Q$2</f>
        <v>167.66</v>
      </c>
      <c r="R49" s="525">
        <f>datos!BN54</f>
        <v>15.72</v>
      </c>
      <c r="S49" s="528"/>
      <c r="T49" s="529"/>
      <c r="U49" s="530">
        <f t="shared" si="8"/>
        <v>0</v>
      </c>
      <c r="V49" s="522">
        <f>datos!NC54+U49</f>
        <v>47.98</v>
      </c>
      <c r="W49" s="672">
        <f>datos!AV54*W$4</f>
        <v>275.86629629629635</v>
      </c>
      <c r="X49" s="672">
        <f t="shared" si="3"/>
        <v>22.06930370370371</v>
      </c>
      <c r="Y49" s="672">
        <f>Y50/(1+(datos!G55/datos!G54-1))</f>
        <v>11.280051325060056</v>
      </c>
      <c r="Z49" s="672"/>
      <c r="AA49" s="673"/>
      <c r="AB49" s="7"/>
      <c r="AC49" s="674">
        <f>datos!MJ54</f>
        <v>28.09</v>
      </c>
      <c r="AD49" s="681">
        <f>datos!BB54*AD$4</f>
        <v>454.88823328862065</v>
      </c>
      <c r="AE49" s="673">
        <f t="shared" si="4"/>
        <v>36.391058663089652</v>
      </c>
      <c r="AF49" s="673">
        <f t="shared" si="5"/>
        <v>11.280051325060056</v>
      </c>
      <c r="AG49" s="672"/>
      <c r="AH49" s="2"/>
      <c r="AI49" s="522">
        <f>AVERAGE(datos!ML54,datos!MM54,datos!MN54,datos!MO54)</f>
        <v>51.726666666666667</v>
      </c>
      <c r="AK49" s="3">
        <f t="shared" si="6"/>
        <v>43709</v>
      </c>
      <c r="AL49" s="12">
        <f t="shared" si="16"/>
        <v>0.21212121212121213</v>
      </c>
      <c r="AM49" s="12">
        <f t="shared" si="17"/>
        <v>0.15304528891202498</v>
      </c>
      <c r="AN49" s="12">
        <f t="shared" si="18"/>
        <v>0.11641228640453646</v>
      </c>
      <c r="AO49" s="12">
        <f t="shared" si="13"/>
        <v>0.64266901165210422</v>
      </c>
      <c r="AP49" s="12">
        <f t="shared" si="14"/>
        <v>0.42118886517415188</v>
      </c>
      <c r="AQ49" s="12">
        <f t="shared" si="15"/>
        <v>0.47891956006038372</v>
      </c>
      <c r="AS49" s="12">
        <f t="shared" si="19"/>
        <v>0.20261593841878872</v>
      </c>
    </row>
    <row r="50" spans="1:45">
      <c r="A50" s="3">
        <v>43739</v>
      </c>
      <c r="B50" s="519">
        <f>datos!R55/1000</f>
        <v>11.5</v>
      </c>
      <c r="C50" s="520">
        <f>datos!MA55</f>
        <v>50.38</v>
      </c>
      <c r="D50" s="7">
        <f>datos!AI55</f>
        <v>9.2826000000000004</v>
      </c>
      <c r="E50" s="7">
        <f>datos!MP55</f>
        <v>59.85</v>
      </c>
      <c r="F50" s="525">
        <f>(datos!AD55/1000)/PP!$F$2</f>
        <v>12.769759155356734</v>
      </c>
      <c r="G50" s="522">
        <f>datos!MH55</f>
        <v>100.62</v>
      </c>
      <c r="H50" s="525">
        <f>datos!BK55/$H$2</f>
        <v>162.57486388384754</v>
      </c>
      <c r="I50" s="522">
        <f>datos!NB55</f>
        <v>241.93</v>
      </c>
      <c r="J50" s="7">
        <f>datos!BR55/$J$2</f>
        <v>98.449999999999989</v>
      </c>
      <c r="K50" s="7">
        <f>datos!NE55</f>
        <v>230.37</v>
      </c>
      <c r="L50" s="525">
        <f>datos!BO55*$L$2</f>
        <v>47.588863636363634</v>
      </c>
      <c r="M50" s="522">
        <f>datos!NA55</f>
        <v>96.36</v>
      </c>
      <c r="N50" s="7">
        <f>datos!BS55*$N$2</f>
        <v>71.820000000000007</v>
      </c>
      <c r="O50" s="7"/>
      <c r="P50" s="525">
        <f>(datos!AG55/1000)/$P$2</f>
        <v>44.852941176470587</v>
      </c>
      <c r="Q50" s="522">
        <f>datos!MY55*$Q$2</f>
        <v>177.38</v>
      </c>
      <c r="R50" s="525">
        <f>datos!BN55</f>
        <v>16.11</v>
      </c>
      <c r="S50" s="528"/>
      <c r="T50" s="529"/>
      <c r="U50" s="530">
        <f t="shared" si="8"/>
        <v>0</v>
      </c>
      <c r="V50" s="522">
        <f>datos!NC55+U50</f>
        <v>48.97</v>
      </c>
      <c r="W50" s="672">
        <f>datos!AV55*W$4</f>
        <v>244.40844262295084</v>
      </c>
      <c r="X50" s="672">
        <f t="shared" si="3"/>
        <v>19.552675409836066</v>
      </c>
      <c r="Y50" s="672">
        <f>Y51/(1+(datos!G56/datos!G55-1))</f>
        <v>11.651557795304726</v>
      </c>
      <c r="Z50" s="672"/>
      <c r="AA50" s="673"/>
      <c r="AB50" s="7"/>
      <c r="AC50" s="674">
        <f>datos!MJ55</f>
        <v>27.23</v>
      </c>
      <c r="AD50" s="681">
        <f>datos!BB55*AD$4</f>
        <v>429.96530006284047</v>
      </c>
      <c r="AE50" s="673">
        <f t="shared" si="4"/>
        <v>34.39722400502724</v>
      </c>
      <c r="AF50" s="673">
        <f t="shared" si="5"/>
        <v>11.651557795304726</v>
      </c>
      <c r="AG50" s="672"/>
      <c r="AH50" s="2"/>
      <c r="AI50" s="522">
        <f>AVERAGE(datos!ML55,datos!MM55,datos!MN55,datos!MO55)</f>
        <v>48.46</v>
      </c>
      <c r="AK50" s="3">
        <f t="shared" si="6"/>
        <v>43739</v>
      </c>
      <c r="AL50" s="12">
        <f t="shared" si="16"/>
        <v>0.22826518459706233</v>
      </c>
      <c r="AM50" s="12">
        <f t="shared" si="17"/>
        <v>0.15509774436090226</v>
      </c>
      <c r="AN50" s="12">
        <f t="shared" si="18"/>
        <v>0.12691074493497051</v>
      </c>
      <c r="AO50" s="12">
        <f t="shared" si="13"/>
        <v>0.67199133585684923</v>
      </c>
      <c r="AP50" s="12">
        <f t="shared" si="14"/>
        <v>0.42735599253375001</v>
      </c>
      <c r="AQ50" s="12">
        <f t="shared" si="15"/>
        <v>0.49386533454092607</v>
      </c>
      <c r="AS50" s="12">
        <f t="shared" si="19"/>
        <v>0.25286357636977441</v>
      </c>
    </row>
    <row r="51" spans="1:45">
      <c r="A51" s="3">
        <v>43770</v>
      </c>
      <c r="B51" s="519">
        <f>datos!R56/1000</f>
        <v>12.3</v>
      </c>
      <c r="C51" s="520">
        <f>datos!MA56</f>
        <v>54.75</v>
      </c>
      <c r="D51" s="7">
        <f>datos!AI56</f>
        <v>10.554</v>
      </c>
      <c r="E51" s="7">
        <f>datos!MP56</f>
        <v>61.27</v>
      </c>
      <c r="F51" s="525">
        <f>(datos!AD56/1000)/PP!$F$2</f>
        <v>13.155369877675836</v>
      </c>
      <c r="G51" s="522">
        <f>datos!MH56</f>
        <v>106.12</v>
      </c>
      <c r="H51" s="525">
        <f>datos!BK56/$H$2</f>
        <v>177.10072595281309</v>
      </c>
      <c r="I51" s="522">
        <f>datos!NB56</f>
        <v>266.82</v>
      </c>
      <c r="J51" s="7">
        <f>datos!BR56/$J$2</f>
        <v>103.68333333333332</v>
      </c>
      <c r="K51" s="7">
        <f>datos!NE56</f>
        <v>242.91</v>
      </c>
      <c r="L51" s="525">
        <f>datos!BO56*$L$2</f>
        <v>44.39400000000002</v>
      </c>
      <c r="M51" s="522">
        <f>datos!NA56</f>
        <v>101.21</v>
      </c>
      <c r="N51" s="7">
        <f>datos!BS56*$N$2</f>
        <v>71.820000000000007</v>
      </c>
      <c r="O51" s="7"/>
      <c r="P51" s="525">
        <f>(datos!AG56/1000)/$P$2</f>
        <v>44.852941176470587</v>
      </c>
      <c r="Q51" s="522">
        <f>datos!MY56*$Q$2</f>
        <v>184.34</v>
      </c>
      <c r="R51" s="525">
        <f>datos!BN56</f>
        <v>16.43</v>
      </c>
      <c r="S51" s="528"/>
      <c r="T51" s="529"/>
      <c r="U51" s="530">
        <f t="shared" si="8"/>
        <v>0</v>
      </c>
      <c r="V51" s="522">
        <f>datos!NC56+U51</f>
        <v>50.04</v>
      </c>
      <c r="W51" s="672">
        <f>datos!AV56*W$4</f>
        <v>225.79697247706417</v>
      </c>
      <c r="X51" s="672">
        <f t="shared" si="3"/>
        <v>18.063757798165135</v>
      </c>
      <c r="Y51" s="672">
        <f>Y52/(1+(datos!G57/datos!G56-1))</f>
        <v>12.147277668841626</v>
      </c>
      <c r="Z51" s="672"/>
      <c r="AA51" s="673"/>
      <c r="AB51" s="7"/>
      <c r="AC51" s="674">
        <f>datos!MJ56</f>
        <v>28.35</v>
      </c>
      <c r="AD51" s="681">
        <f>datos!BB56*AD$4</f>
        <v>398.94476986044015</v>
      </c>
      <c r="AE51" s="673">
        <f t="shared" si="4"/>
        <v>31.915581588835213</v>
      </c>
      <c r="AF51" s="673">
        <f t="shared" si="5"/>
        <v>12.147277668841626</v>
      </c>
      <c r="AG51" s="672"/>
      <c r="AH51" s="2"/>
      <c r="AI51" s="522">
        <f>AVERAGE(datos!ML56,datos!MM56,datos!MN56,datos!MO56)</f>
        <v>51.813333333333333</v>
      </c>
      <c r="AK51" s="3">
        <f t="shared" si="6"/>
        <v>43770</v>
      </c>
      <c r="AL51" s="12">
        <f t="shared" si="16"/>
        <v>0.22465753424657536</v>
      </c>
      <c r="AM51" s="12">
        <f t="shared" si="17"/>
        <v>0.1722539578913008</v>
      </c>
      <c r="AN51" s="12">
        <f t="shared" si="18"/>
        <v>0.12396692308401655</v>
      </c>
      <c r="AO51" s="12">
        <f t="shared" si="13"/>
        <v>0.66374606833375716</v>
      </c>
      <c r="AP51" s="12">
        <f t="shared" si="14"/>
        <v>0.42683847241090661</v>
      </c>
      <c r="AQ51" s="12">
        <f t="shared" si="15"/>
        <v>0.43863254619108805</v>
      </c>
      <c r="AS51" s="12">
        <f t="shared" si="19"/>
        <v>0.24331637830351843</v>
      </c>
    </row>
    <row r="52" spans="1:45">
      <c r="A52" s="3">
        <v>43800</v>
      </c>
      <c r="B52" s="519">
        <f>datos!R57/1000</f>
        <v>13.7</v>
      </c>
      <c r="C52" s="520">
        <f>datos!MA57</f>
        <v>57.46</v>
      </c>
      <c r="D52" s="7">
        <f>datos!AI57</f>
        <v>9.1393000000000004</v>
      </c>
      <c r="E52" s="7">
        <f>datos!MP57</f>
        <v>62.05</v>
      </c>
      <c r="F52" s="525">
        <f>(datos!AD57/1000)/PP!$F$2</f>
        <v>13.413688349313649</v>
      </c>
      <c r="G52" s="522">
        <f>datos!MH57</f>
        <v>108.02</v>
      </c>
      <c r="H52" s="525">
        <f>datos!BK57/$H$2</f>
        <v>195.44918330308531</v>
      </c>
      <c r="I52" s="522">
        <f>datos!NB57</f>
        <v>290.47000000000003</v>
      </c>
      <c r="J52" s="7">
        <f>datos!BR57/$J$2</f>
        <v>101.8</v>
      </c>
      <c r="K52" s="7">
        <f>datos!NE57</f>
        <v>256.20999999999998</v>
      </c>
      <c r="L52" s="525">
        <f>datos!BO57*$L$2</f>
        <v>48.868333333333339</v>
      </c>
      <c r="M52" s="522">
        <f>datos!NA57</f>
        <v>99.67</v>
      </c>
      <c r="N52" s="7">
        <f>datos!BS57*$N$2</f>
        <v>71.820000000000007</v>
      </c>
      <c r="O52" s="7"/>
      <c r="P52" s="525">
        <f>(datos!AG57/1000)/$P$2</f>
        <v>44.852941176470587</v>
      </c>
      <c r="Q52" s="522">
        <f>datos!MY57*$Q$2</f>
        <v>194.94</v>
      </c>
      <c r="R52" s="525">
        <f>datos!BN57</f>
        <v>16.82</v>
      </c>
      <c r="S52" s="528"/>
      <c r="T52" s="529"/>
      <c r="U52" s="530">
        <f t="shared" si="8"/>
        <v>0</v>
      </c>
      <c r="V52" s="522">
        <f>datos!NC57+U52</f>
        <v>50.98</v>
      </c>
      <c r="W52" s="672">
        <f>datos!AV57*W$4</f>
        <v>227.89041666666657</v>
      </c>
      <c r="X52" s="672">
        <f t="shared" si="3"/>
        <v>18.231233333333325</v>
      </c>
      <c r="Y52" s="672">
        <f>Y53/(1+(datos!G58/datos!G57-1))</f>
        <v>12.602036196379126</v>
      </c>
      <c r="Z52" s="672"/>
      <c r="AA52" s="673"/>
      <c r="AB52" s="7"/>
      <c r="AC52" s="674">
        <f>datos!MJ57</f>
        <v>27.6</v>
      </c>
      <c r="AD52" s="681">
        <f>datos!BB57*AD$4</f>
        <v>371.47155834662419</v>
      </c>
      <c r="AE52" s="673">
        <f t="shared" si="4"/>
        <v>29.717724667729936</v>
      </c>
      <c r="AF52" s="673">
        <f t="shared" si="5"/>
        <v>12.602036196379126</v>
      </c>
      <c r="AG52" s="672"/>
      <c r="AH52" s="2"/>
      <c r="AI52" s="522">
        <f>AVERAGE(datos!ML57,datos!MM57,datos!MN57,datos!MO57)</f>
        <v>46.023333333333333</v>
      </c>
      <c r="AK52" s="3">
        <f t="shared" si="6"/>
        <v>43800</v>
      </c>
      <c r="AL52" s="12">
        <f t="shared" si="16"/>
        <v>0.23842673163940131</v>
      </c>
      <c r="AM52" s="12">
        <f t="shared" si="17"/>
        <v>0.14728928283642226</v>
      </c>
      <c r="AN52" s="12">
        <f t="shared" si="18"/>
        <v>0.12417782215620857</v>
      </c>
      <c r="AO52" s="12">
        <f t="shared" si="13"/>
        <v>0.67287218405716698</v>
      </c>
      <c r="AP52" s="12">
        <f t="shared" si="14"/>
        <v>0.39733031497599625</v>
      </c>
      <c r="AQ52" s="12">
        <f t="shared" si="15"/>
        <v>0.49030132771479218</v>
      </c>
      <c r="AS52" s="12">
        <f t="shared" si="19"/>
        <v>0.23008587861121671</v>
      </c>
    </row>
    <row r="53" spans="1:45">
      <c r="A53" s="3">
        <v>43831</v>
      </c>
      <c r="B53" s="519">
        <f>datos!R58/1000</f>
        <v>14.5</v>
      </c>
      <c r="C53" s="520">
        <f>datos!MA58</f>
        <v>63.84</v>
      </c>
      <c r="D53" s="7">
        <f>datos!AI58</f>
        <v>9.4125999999999994</v>
      </c>
      <c r="E53" s="7">
        <f>datos!MP58</f>
        <v>62.68</v>
      </c>
      <c r="F53" s="525">
        <f>(datos!AD58/1000)/PP!$F$2</f>
        <v>15.240582838640041</v>
      </c>
      <c r="G53" s="522">
        <f>datos!MH58</f>
        <v>111.25</v>
      </c>
      <c r="H53" s="525">
        <f>datos!BK58/$H$2</f>
        <v>197.97640653357533</v>
      </c>
      <c r="I53" s="522">
        <f>datos!NB58</f>
        <v>322.99</v>
      </c>
      <c r="J53" s="7">
        <f>datos!BR58/$J$2</f>
        <v>111.19999999999999</v>
      </c>
      <c r="K53" s="7">
        <f>datos!NE58</f>
        <v>267.54000000000002</v>
      </c>
      <c r="L53" s="525">
        <f>datos!BO58*$L$2</f>
        <v>44.402647058823526</v>
      </c>
      <c r="M53" s="522">
        <f>datos!NA58</f>
        <v>106.74</v>
      </c>
      <c r="N53" s="7">
        <f>datos!BS58*$N$2</f>
        <v>71.820000000000007</v>
      </c>
      <c r="O53" s="7"/>
      <c r="P53" s="525">
        <f>(datos!AG58/1000)/$P$2</f>
        <v>44.852941176470587</v>
      </c>
      <c r="Q53" s="522">
        <f>datos!MY58*$Q$2</f>
        <v>213.96</v>
      </c>
      <c r="R53" s="525">
        <f>datos!BN58</f>
        <v>17.260000000000002</v>
      </c>
      <c r="S53" s="528"/>
      <c r="T53" s="529"/>
      <c r="U53" s="530">
        <f t="shared" si="8"/>
        <v>0</v>
      </c>
      <c r="V53" s="522">
        <f>datos!NC58+U53</f>
        <v>55.02</v>
      </c>
      <c r="W53" s="672">
        <f>datos!AV58*W$4</f>
        <v>288.52515789473676</v>
      </c>
      <c r="X53" s="672">
        <f t="shared" si="3"/>
        <v>23.082012631578941</v>
      </c>
      <c r="Y53" s="672">
        <f>Y54/(1+(datos!G59/datos!G58-1))</f>
        <v>12.885946830427089</v>
      </c>
      <c r="Z53" s="672"/>
      <c r="AA53" s="673"/>
      <c r="AB53" s="7"/>
      <c r="AC53" s="674">
        <f>datos!MJ58</f>
        <v>31.24</v>
      </c>
      <c r="AD53" s="681">
        <f>datos!BB58*AD$4</f>
        <v>356.17676346801352</v>
      </c>
      <c r="AE53" s="673">
        <f t="shared" si="4"/>
        <v>28.494141077441082</v>
      </c>
      <c r="AF53" s="673">
        <f t="shared" si="5"/>
        <v>12.885946830427089</v>
      </c>
      <c r="AG53" s="672"/>
      <c r="AH53" s="2"/>
      <c r="AI53" s="522">
        <f>AVERAGE(datos!ML58,datos!MM58,datos!MN58,datos!MO58)</f>
        <v>41.843333333333334</v>
      </c>
      <c r="AK53" s="3">
        <f t="shared" si="6"/>
        <v>43831</v>
      </c>
      <c r="AL53" s="12">
        <f t="shared" si="16"/>
        <v>0.22713032581453632</v>
      </c>
      <c r="AM53" s="12">
        <f t="shared" si="17"/>
        <v>0.15016911295469049</v>
      </c>
      <c r="AN53" s="12">
        <f t="shared" si="18"/>
        <v>0.13699400304395543</v>
      </c>
      <c r="AO53" s="12">
        <f t="shared" si="13"/>
        <v>0.61294902793763062</v>
      </c>
      <c r="AP53" s="12">
        <f t="shared" si="14"/>
        <v>0.41563878298572171</v>
      </c>
      <c r="AQ53" s="12">
        <f t="shared" si="15"/>
        <v>0.4159888238600668</v>
      </c>
      <c r="AS53" s="12">
        <f t="shared" si="19"/>
        <v>0.20963236668756116</v>
      </c>
    </row>
    <row r="54" spans="1:45">
      <c r="A54" s="3">
        <v>43862</v>
      </c>
      <c r="B54" s="519">
        <f>datos!R59/1000</f>
        <v>14.5</v>
      </c>
      <c r="C54" s="520">
        <f>datos!MA59</f>
        <v>66.040000000000006</v>
      </c>
      <c r="D54" s="7">
        <f>datos!AI59</f>
        <v>10.4</v>
      </c>
      <c r="E54" s="7">
        <f>datos!MP59</f>
        <v>63.33</v>
      </c>
      <c r="F54" s="525">
        <f>(datos!AD59/1000)/PP!$F$2</f>
        <v>12.954668705402646</v>
      </c>
      <c r="G54" s="522">
        <f>datos!MH59</f>
        <v>112.99</v>
      </c>
      <c r="H54" s="525">
        <f>datos!BK59/$H$2</f>
        <v>209.75725952813067</v>
      </c>
      <c r="I54" s="522">
        <f>datos!NB59</f>
        <v>322.44</v>
      </c>
      <c r="J54" s="7">
        <f>datos!BR59/$J$2</f>
        <v>113.48333333333332</v>
      </c>
      <c r="K54" s="7">
        <f>datos!NE59</f>
        <v>270.98</v>
      </c>
      <c r="L54" s="525">
        <f>datos!BO59*$L$2</f>
        <v>58.339166666666664</v>
      </c>
      <c r="M54" s="522">
        <f>datos!NA59</f>
        <v>105.33</v>
      </c>
      <c r="N54" s="7">
        <f>datos!BS59*$N$2</f>
        <v>71.820000000000007</v>
      </c>
      <c r="O54" s="7"/>
      <c r="P54" s="525">
        <f>(datos!AG59/1000)/$P$2</f>
        <v>44.852941176470587</v>
      </c>
      <c r="Q54" s="522">
        <f>datos!MY59*$Q$2</f>
        <v>225</v>
      </c>
      <c r="R54" s="525">
        <f>datos!BN59</f>
        <v>17.57</v>
      </c>
      <c r="S54" s="528"/>
      <c r="T54" s="529"/>
      <c r="U54" s="530">
        <f t="shared" si="8"/>
        <v>0</v>
      </c>
      <c r="V54" s="522">
        <f>datos!NC59+U54</f>
        <v>54.01</v>
      </c>
      <c r="W54" s="672">
        <f>datos!AV59*W$4</f>
        <v>338.29756097560983</v>
      </c>
      <c r="X54" s="672">
        <f t="shared" si="3"/>
        <v>27.063804878048785</v>
      </c>
      <c r="Y54" s="672">
        <f>Y55/(1+(datos!G60/datos!G59-1))</f>
        <v>13.145422040876582</v>
      </c>
      <c r="Z54" s="672"/>
      <c r="AA54" s="673"/>
      <c r="AB54" s="7"/>
      <c r="AC54" s="674">
        <f>datos!MJ59</f>
        <v>33.229999999999997</v>
      </c>
      <c r="AD54" s="681">
        <f>datos!BB59*AD$4</f>
        <v>388.27103638726453</v>
      </c>
      <c r="AE54" s="673">
        <f t="shared" si="4"/>
        <v>31.061682910981162</v>
      </c>
      <c r="AF54" s="673">
        <f t="shared" si="5"/>
        <v>13.145422040876582</v>
      </c>
      <c r="AG54" s="672"/>
      <c r="AH54" s="2"/>
      <c r="AI54" s="522">
        <f>AVERAGE(datos!ML59,datos!MM59,datos!MN59,datos!MO59)</f>
        <v>42.006666666666668</v>
      </c>
      <c r="AK54" s="3">
        <f t="shared" si="6"/>
        <v>43862</v>
      </c>
      <c r="AL54" s="12">
        <f t="shared" si="16"/>
        <v>0.21956390066626286</v>
      </c>
      <c r="AM54" s="12">
        <f t="shared" si="17"/>
        <v>0.16421916942997</v>
      </c>
      <c r="AN54" s="12">
        <f t="shared" si="18"/>
        <v>0.11465323219225283</v>
      </c>
      <c r="AO54" s="12">
        <f t="shared" si="13"/>
        <v>0.6505311361125502</v>
      </c>
      <c r="AP54" s="12">
        <f t="shared" si="14"/>
        <v>0.41878859448421768</v>
      </c>
      <c r="AQ54" s="12">
        <f t="shared" si="15"/>
        <v>0.55387037564479891</v>
      </c>
      <c r="AS54" s="12">
        <f t="shared" si="19"/>
        <v>0.19934640522875816</v>
      </c>
    </row>
    <row r="55" spans="1:45">
      <c r="A55" s="3">
        <v>43891</v>
      </c>
      <c r="B55" s="519">
        <f>datos!R60/1000</f>
        <v>13.5</v>
      </c>
      <c r="C55" s="520">
        <f>datos!MA60</f>
        <v>67.75</v>
      </c>
      <c r="D55" s="7">
        <f>datos!AI60</f>
        <v>10.443899999999999</v>
      </c>
      <c r="E55" s="7">
        <f>datos!MP60</f>
        <v>64.12</v>
      </c>
      <c r="F55" s="525">
        <f>(datos!AD60/1000)/PP!$F$2</f>
        <v>13.084492515692899</v>
      </c>
      <c r="G55" s="522">
        <f>datos!MH60</f>
        <v>116.37</v>
      </c>
      <c r="H55" s="525">
        <f>datos!BK60/$H$2</f>
        <v>220.59664246823959</v>
      </c>
      <c r="I55" s="522">
        <f>datos!NB60</f>
        <v>340.02</v>
      </c>
      <c r="J55" s="7">
        <f>datos!BR60/$J$2</f>
        <v>114.60833333333332</v>
      </c>
      <c r="K55" s="7">
        <f>datos!NE60</f>
        <v>278.14</v>
      </c>
      <c r="L55" s="525">
        <f>datos!BO60*$L$2</f>
        <v>58.015588235294111</v>
      </c>
      <c r="M55" s="522">
        <f>datos!NA60</f>
        <v>114.96</v>
      </c>
      <c r="N55" s="7">
        <f>datos!BS60*$N$2</f>
        <v>71.820000000000007</v>
      </c>
      <c r="O55" s="7"/>
      <c r="P55" s="525">
        <f>(datos!AG60/1000)/$P$2</f>
        <v>44.852941176470587</v>
      </c>
      <c r="Q55" s="522">
        <f>datos!MY60*$Q$2</f>
        <v>229</v>
      </c>
      <c r="R55" s="525">
        <f>datos!BN60</f>
        <v>18.079999999999998</v>
      </c>
      <c r="S55" s="528"/>
      <c r="T55" s="529"/>
      <c r="U55" s="530">
        <f t="shared" si="8"/>
        <v>0</v>
      </c>
      <c r="V55" s="522">
        <f>datos!NC60+U55</f>
        <v>55.72</v>
      </c>
      <c r="W55" s="672">
        <f>datos!AV60*W$4</f>
        <v>297.97487179487183</v>
      </c>
      <c r="X55" s="672">
        <f t="shared" si="3"/>
        <v>23.837989743589748</v>
      </c>
      <c r="Y55" s="672">
        <f>Y56/(1+(datos!G61/datos!G60-1))</f>
        <v>13.584935104891672</v>
      </c>
      <c r="Z55" s="672"/>
      <c r="AA55" s="673"/>
      <c r="AB55" s="7"/>
      <c r="AC55" s="674">
        <f>datos!MJ60</f>
        <v>32.840000000000003</v>
      </c>
      <c r="AD55" s="681">
        <f>datos!BB60*AD$4</f>
        <v>477.93814988861044</v>
      </c>
      <c r="AE55" s="673">
        <f t="shared" si="4"/>
        <v>38.235051991088838</v>
      </c>
      <c r="AF55" s="673">
        <f t="shared" si="5"/>
        <v>13.584935104891672</v>
      </c>
      <c r="AG55" s="672"/>
      <c r="AH55" s="2"/>
      <c r="AI55" s="522">
        <f>AVERAGE(datos!ML60,datos!MM60,datos!MN60,datos!MO60)</f>
        <v>48.18</v>
      </c>
      <c r="AK55" s="3">
        <f t="shared" si="6"/>
        <v>43891</v>
      </c>
      <c r="AL55" s="12">
        <f t="shared" si="16"/>
        <v>0.19926199261992619</v>
      </c>
      <c r="AM55" s="12">
        <f t="shared" si="17"/>
        <v>0.16288053649407358</v>
      </c>
      <c r="AN55" s="12">
        <f t="shared" si="18"/>
        <v>0.11243870856486121</v>
      </c>
      <c r="AO55" s="12">
        <f t="shared" si="13"/>
        <v>0.64877549105417209</v>
      </c>
      <c r="AP55" s="12">
        <f t="shared" si="14"/>
        <v>0.4120526833009755</v>
      </c>
      <c r="AQ55" s="12">
        <f t="shared" si="15"/>
        <v>0.50465890949281589</v>
      </c>
      <c r="AS55" s="12">
        <f t="shared" si="19"/>
        <v>0.19586437194965323</v>
      </c>
    </row>
    <row r="56" spans="1:45">
      <c r="A56" s="3">
        <v>43922</v>
      </c>
      <c r="B56" s="519">
        <f>datos!R61/1000</f>
        <v>13.5</v>
      </c>
      <c r="C56" s="520">
        <f>datos!MA61</f>
        <v>70.13</v>
      </c>
      <c r="D56" s="7">
        <f>datos!AI61</f>
        <v>12.27</v>
      </c>
      <c r="E56" s="7">
        <f>datos!MP61</f>
        <v>64.27</v>
      </c>
      <c r="F56" s="525">
        <f>(datos!AD61/1000)/PP!$F$2</f>
        <v>13.838281345565747</v>
      </c>
      <c r="G56" s="522">
        <f>datos!MH61</f>
        <v>116.52</v>
      </c>
      <c r="H56" s="525">
        <f>datos!BK61/$H$2</f>
        <v>213.94056261343016</v>
      </c>
      <c r="I56" s="522">
        <f>datos!NB61</f>
        <v>350.72</v>
      </c>
      <c r="J56" s="7">
        <f>datos!BR61/$J$2</f>
        <v>105.18333333333332</v>
      </c>
      <c r="K56" s="7">
        <f>datos!NE61</f>
        <v>281.27999999999997</v>
      </c>
      <c r="L56" s="525">
        <f>datos!BO61*$L$2</f>
        <v>53.668999999999997</v>
      </c>
      <c r="M56" s="522">
        <f>datos!NA61</f>
        <v>120.74</v>
      </c>
      <c r="N56" s="7">
        <f>datos!BS61*$N$2</f>
        <v>71.820000000000007</v>
      </c>
      <c r="O56" s="7"/>
      <c r="P56" s="525">
        <f>(datos!AG61/1000)/$P$2</f>
        <v>58.823529411764703</v>
      </c>
      <c r="Q56" s="522">
        <f>datos!MY61*$Q$2</f>
        <v>227.22</v>
      </c>
      <c r="R56" s="525">
        <f>datos!BN61</f>
        <v>18.22</v>
      </c>
      <c r="S56" s="528"/>
      <c r="T56" s="529"/>
      <c r="U56" s="530">
        <f t="shared" si="8"/>
        <v>0</v>
      </c>
      <c r="V56" s="522">
        <f>datos!NC61+U56</f>
        <v>54.84</v>
      </c>
      <c r="W56" s="672">
        <f>datos!AV61*W$4</f>
        <v>350.05263157894734</v>
      </c>
      <c r="X56" s="672">
        <f t="shared" si="3"/>
        <v>28.004210526315788</v>
      </c>
      <c r="Y56" s="672">
        <f>Y57/(1+(datos!G62/datos!G61-1))</f>
        <v>13.788243520159307</v>
      </c>
      <c r="Z56" s="672"/>
      <c r="AA56" s="673"/>
      <c r="AB56" s="7"/>
      <c r="AC56" s="674">
        <f>datos!MJ61</f>
        <v>36.65</v>
      </c>
      <c r="AD56" s="681">
        <f>datos!BB61*AD$4</f>
        <v>546.93536517457858</v>
      </c>
      <c r="AE56" s="673">
        <f t="shared" si="4"/>
        <v>43.754829213966289</v>
      </c>
      <c r="AF56" s="673">
        <f t="shared" si="5"/>
        <v>13.788243520159307</v>
      </c>
      <c r="AG56" s="672"/>
      <c r="AH56" s="2"/>
      <c r="AI56" s="522">
        <f>AVERAGE(datos!ML61,datos!MM61,datos!MN61,datos!MO61)</f>
        <v>54.593333333333334</v>
      </c>
      <c r="AK56" s="3">
        <f t="shared" si="6"/>
        <v>43922</v>
      </c>
      <c r="AL56" s="12">
        <f t="shared" si="16"/>
        <v>0.19249964351917867</v>
      </c>
      <c r="AM56" s="12">
        <f t="shared" si="17"/>
        <v>0.19091333437062394</v>
      </c>
      <c r="AN56" s="12">
        <f t="shared" si="18"/>
        <v>0.118763142340935</v>
      </c>
      <c r="AO56" s="12">
        <f t="shared" si="13"/>
        <v>0.61000388518884052</v>
      </c>
      <c r="AP56" s="12">
        <f t="shared" si="14"/>
        <v>0.37394529768676527</v>
      </c>
      <c r="AQ56" s="12">
        <f t="shared" si="15"/>
        <v>0.44450057975815804</v>
      </c>
      <c r="AS56" s="12">
        <f t="shared" si="19"/>
        <v>0.25888359040473857</v>
      </c>
    </row>
    <row r="57" spans="1:45">
      <c r="A57" s="3">
        <v>43952</v>
      </c>
      <c r="B57" s="519">
        <f>datos!R62/1000</f>
        <v>14.75</v>
      </c>
      <c r="C57" s="520">
        <f>datos!MA62</f>
        <v>70.22</v>
      </c>
      <c r="D57" s="7">
        <f>datos!AI62</f>
        <v>12.34</v>
      </c>
      <c r="E57" s="7">
        <f>datos!MP62</f>
        <v>64.760000000000005</v>
      </c>
      <c r="F57" s="525">
        <f>(datos!AD62/1000)/PP!$F$2</f>
        <v>13.889939095445033</v>
      </c>
      <c r="G57" s="522">
        <f>datos!MH62</f>
        <v>113.97</v>
      </c>
      <c r="H57" s="525">
        <f>datos!BK62/$H$2</f>
        <v>215.74183303085303</v>
      </c>
      <c r="I57" s="522">
        <f>datos!NB62</f>
        <v>348.61</v>
      </c>
      <c r="J57" s="7">
        <f>datos!BR62/$J$2</f>
        <v>95.249999999999986</v>
      </c>
      <c r="K57" s="7">
        <f>datos!NE62</f>
        <v>277.44</v>
      </c>
      <c r="L57" s="525">
        <f>datos!BO62*$L$2</f>
        <v>47.172999999999995</v>
      </c>
      <c r="M57" s="522">
        <f>datos!NA62</f>
        <v>111.52</v>
      </c>
      <c r="N57" s="7">
        <f>datos!BS62*$N$2</f>
        <v>75.599999999999994</v>
      </c>
      <c r="O57" s="7"/>
      <c r="P57" s="525">
        <f>(datos!AG62/1000)/$P$2</f>
        <v>58.823529411764703</v>
      </c>
      <c r="Q57" s="522">
        <f>datos!MY62*$Q$2</f>
        <v>227.32</v>
      </c>
      <c r="R57" s="525">
        <f>datos!BN62</f>
        <v>18.239999999999998</v>
      </c>
      <c r="S57" s="528"/>
      <c r="T57" s="529"/>
      <c r="U57" s="530">
        <f t="shared" si="8"/>
        <v>0</v>
      </c>
      <c r="V57" s="522">
        <f>datos!NC62+U57</f>
        <v>54.58</v>
      </c>
      <c r="W57" s="672">
        <f>datos!AV62*W$4</f>
        <v>332.97499999999997</v>
      </c>
      <c r="X57" s="672">
        <f t="shared" si="3"/>
        <v>26.637999999999998</v>
      </c>
      <c r="Y57" s="672">
        <f>Y58/(1+(datos!G63/datos!G62-1))</f>
        <v>14.000959751353864</v>
      </c>
      <c r="Z57" s="672"/>
      <c r="AA57" s="673"/>
      <c r="AB57" s="7"/>
      <c r="AC57" s="674">
        <f>datos!MJ62</f>
        <v>34.58</v>
      </c>
      <c r="AD57" s="681">
        <f>datos!BB62*AD$4</f>
        <v>720.92387914230017</v>
      </c>
      <c r="AE57" s="673">
        <f t="shared" si="4"/>
        <v>57.673910331384015</v>
      </c>
      <c r="AF57" s="673">
        <f t="shared" si="5"/>
        <v>14.000959751353864</v>
      </c>
      <c r="AG57" s="672"/>
      <c r="AH57" s="2"/>
      <c r="AI57" s="522">
        <f>AVERAGE(datos!ML62,datos!MM62,datos!MN62,datos!MO62)</f>
        <v>60.806666666666672</v>
      </c>
      <c r="AK57" s="3">
        <f t="shared" si="6"/>
        <v>43952</v>
      </c>
      <c r="AL57" s="12">
        <f t="shared" si="16"/>
        <v>0.21005411563657078</v>
      </c>
      <c r="AM57" s="12">
        <f t="shared" si="17"/>
        <v>0.19054972205064852</v>
      </c>
      <c r="AN57" s="12">
        <f t="shared" si="18"/>
        <v>0.12187364302399784</v>
      </c>
      <c r="AO57" s="12">
        <f t="shared" si="13"/>
        <v>0.61886300746063805</v>
      </c>
      <c r="AP57" s="12">
        <f t="shared" si="14"/>
        <v>0.34331747404844287</v>
      </c>
      <c r="AQ57" s="12">
        <f t="shared" si="15"/>
        <v>0.42300035868005736</v>
      </c>
      <c r="AS57" s="12">
        <f t="shared" si="19"/>
        <v>0.25876970531305959</v>
      </c>
    </row>
    <row r="58" spans="1:45">
      <c r="A58" s="3">
        <v>43983</v>
      </c>
      <c r="B58" s="519">
        <f>datos!R63/1000</f>
        <v>17.149999999999999</v>
      </c>
      <c r="C58" s="520">
        <f>datos!MA63</f>
        <v>72.56</v>
      </c>
      <c r="D58" s="7">
        <f>datos!AI63</f>
        <v>13.69</v>
      </c>
      <c r="E58" s="7">
        <f>datos!MP63</f>
        <v>65.53</v>
      </c>
      <c r="F58" s="525">
        <f>(datos!AD63/1000)/PP!$F$2</f>
        <v>14.597390417940874</v>
      </c>
      <c r="G58" s="522">
        <f>datos!MH63</f>
        <v>116.46</v>
      </c>
      <c r="H58" s="525">
        <f>datos!BK63/$H$2</f>
        <v>221.59029038112527</v>
      </c>
      <c r="I58" s="522">
        <f>datos!NB63</f>
        <v>348.32</v>
      </c>
      <c r="J58" s="7">
        <f>datos!BR63/$J$2</f>
        <v>90.133333333333312</v>
      </c>
      <c r="K58" s="7">
        <f>datos!NE63</f>
        <v>277.94</v>
      </c>
      <c r="L58" s="525">
        <f>datos!BO63*$L$2</f>
        <v>49.888999999999996</v>
      </c>
      <c r="M58" s="522">
        <f>datos!NA63</f>
        <v>110.9</v>
      </c>
      <c r="N58" s="7">
        <f>datos!BS63*$N$2</f>
        <v>75.599999999999994</v>
      </c>
      <c r="O58" s="7"/>
      <c r="P58" s="525">
        <f>(datos!AG63/1000)/$P$2</f>
        <v>58.823529411764703</v>
      </c>
      <c r="Q58" s="522">
        <f>datos!MY63*$Q$2</f>
        <v>230.18</v>
      </c>
      <c r="R58" s="525">
        <f>datos!BN63</f>
        <v>18.25</v>
      </c>
      <c r="S58" s="528"/>
      <c r="T58" s="529"/>
      <c r="U58" s="530">
        <f t="shared" si="8"/>
        <v>0</v>
      </c>
      <c r="V58" s="522">
        <f>datos!NC63+U58</f>
        <v>54.87</v>
      </c>
      <c r="W58" s="672">
        <f>datos!AV63*W$4</f>
        <v>302.07426470588234</v>
      </c>
      <c r="X58" s="672">
        <f t="shared" si="3"/>
        <v>24.165941176470589</v>
      </c>
      <c r="Y58" s="672">
        <f>Y59/(1+(datos!G64/datos!G63-1))</f>
        <v>14.315076766029195</v>
      </c>
      <c r="Z58" s="672"/>
      <c r="AA58" s="673"/>
      <c r="AB58" s="7"/>
      <c r="AC58" s="674">
        <f>datos!MJ63</f>
        <v>33.85</v>
      </c>
      <c r="AD58" s="681">
        <f>datos!BB63*AD$4</f>
        <v>698.90746335711606</v>
      </c>
      <c r="AE58" s="673">
        <f t="shared" si="4"/>
        <v>55.912597068569283</v>
      </c>
      <c r="AF58" s="673">
        <f t="shared" si="5"/>
        <v>14.315076766029195</v>
      </c>
      <c r="AG58" s="672"/>
      <c r="AH58" s="2"/>
      <c r="AI58" s="522">
        <f>AVERAGE(datos!ML63,datos!MM63,datos!MN63,datos!MO63)</f>
        <v>65.586666666666659</v>
      </c>
      <c r="AK58" s="3">
        <f t="shared" si="6"/>
        <v>43983</v>
      </c>
      <c r="AL58" s="12">
        <f t="shared" si="16"/>
        <v>0.23635611907386989</v>
      </c>
      <c r="AM58" s="12">
        <f t="shared" si="17"/>
        <v>0.20891194872577445</v>
      </c>
      <c r="AN58" s="12">
        <f t="shared" si="18"/>
        <v>0.12534252462597351</v>
      </c>
      <c r="AO58" s="12">
        <f t="shared" si="13"/>
        <v>0.63616872525587187</v>
      </c>
      <c r="AP58" s="12">
        <f t="shared" si="14"/>
        <v>0.32429061428125966</v>
      </c>
      <c r="AQ58" s="12">
        <f t="shared" si="15"/>
        <v>0.44985572587917039</v>
      </c>
      <c r="AS58" s="12">
        <f t="shared" si="19"/>
        <v>0.25555447654776564</v>
      </c>
    </row>
    <row r="59" spans="1:45">
      <c r="A59" s="3">
        <v>44013</v>
      </c>
      <c r="B59" s="519">
        <f>datos!R64/1000</f>
        <v>19</v>
      </c>
      <c r="C59" s="520">
        <f>datos!MA64</f>
        <v>73.25</v>
      </c>
      <c r="D59" s="7">
        <f>datos!AI64</f>
        <v>13.28</v>
      </c>
      <c r="E59" s="7">
        <f>datos!MP64</f>
        <v>67.3</v>
      </c>
      <c r="F59" s="525">
        <f>(datos!AD64/1000)/PP!$F$2</f>
        <v>15.884995485656033</v>
      </c>
      <c r="G59" s="522">
        <f>datos!MH64</f>
        <v>116.71</v>
      </c>
      <c r="H59" s="525">
        <f>datos!BK64/$H$2</f>
        <v>232.41606170598914</v>
      </c>
      <c r="I59" s="522">
        <f>datos!NB64</f>
        <v>363.74</v>
      </c>
      <c r="J59" s="7">
        <f>datos!BR64/$J$2</f>
        <v>95.466666666666654</v>
      </c>
      <c r="K59" s="7">
        <f>datos!NE64</f>
        <v>282.16000000000003</v>
      </c>
      <c r="L59" s="525">
        <f>datos!BO64*$L$2</f>
        <v>48.450833333333335</v>
      </c>
      <c r="M59" s="522">
        <f>datos!NA64</f>
        <v>115.08</v>
      </c>
      <c r="N59" s="7">
        <f>datos!BS64*$N$2</f>
        <v>100.17</v>
      </c>
      <c r="O59" s="7"/>
      <c r="P59" s="525">
        <f>(datos!AG64/1000)/$P$2</f>
        <v>58.823529411764703</v>
      </c>
      <c r="Q59" s="522">
        <f>datos!MY64*$Q$2</f>
        <v>239.24</v>
      </c>
      <c r="R59" s="525">
        <f>datos!BN64</f>
        <v>18.329999999999998</v>
      </c>
      <c r="S59" s="528"/>
      <c r="T59" s="529"/>
      <c r="U59" s="530">
        <f t="shared" si="8"/>
        <v>0</v>
      </c>
      <c r="V59" s="522">
        <f>datos!NC64+U59</f>
        <v>55.89</v>
      </c>
      <c r="W59" s="672">
        <f>datos!AV64*W$4</f>
        <v>364.21052631578948</v>
      </c>
      <c r="X59" s="672">
        <f t="shared" si="3"/>
        <v>29.13684210526316</v>
      </c>
      <c r="Y59" s="672">
        <f>Y60/(1+(datos!G65/datos!G64-1))</f>
        <v>14.591958214358606</v>
      </c>
      <c r="Z59" s="672"/>
      <c r="AA59" s="673"/>
      <c r="AB59" s="7"/>
      <c r="AC59" s="674">
        <f>datos!MJ64</f>
        <v>36.479999999999997</v>
      </c>
      <c r="AD59" s="681">
        <f>datos!BB64*AD$4</f>
        <v>546.15850388401782</v>
      </c>
      <c r="AE59" s="673">
        <f t="shared" si="4"/>
        <v>43.692680310721428</v>
      </c>
      <c r="AF59" s="673">
        <f t="shared" si="5"/>
        <v>14.591958214358606</v>
      </c>
      <c r="AG59" s="672"/>
      <c r="AH59" s="2"/>
      <c r="AI59" s="522">
        <f>AVERAGE(datos!ML64,datos!MM64,datos!MN64,datos!MO64)</f>
        <v>56.63</v>
      </c>
      <c r="AK59" s="3">
        <f t="shared" si="6"/>
        <v>44013</v>
      </c>
      <c r="AL59" s="12">
        <f t="shared" si="16"/>
        <v>0.25938566552901021</v>
      </c>
      <c r="AM59" s="12">
        <f t="shared" si="17"/>
        <v>0.19732540861812778</v>
      </c>
      <c r="AN59" s="12">
        <f t="shared" si="18"/>
        <v>0.13610655030122554</v>
      </c>
      <c r="AO59" s="12">
        <f t="shared" si="13"/>
        <v>0.63896206550280177</v>
      </c>
      <c r="AP59" s="12">
        <f t="shared" si="14"/>
        <v>0.3383423116907664</v>
      </c>
      <c r="AQ59" s="12">
        <f t="shared" si="15"/>
        <v>0.42101871162090143</v>
      </c>
      <c r="AS59" s="12">
        <f t="shared" si="19"/>
        <v>0.24587664860292885</v>
      </c>
    </row>
    <row r="60" spans="1:45">
      <c r="A60" s="3">
        <v>44044</v>
      </c>
      <c r="B60" s="519">
        <f>datos!R65/1000</f>
        <v>19.25</v>
      </c>
      <c r="C60" s="520">
        <f>datos!MA65</f>
        <v>73.8</v>
      </c>
      <c r="D60" s="7">
        <f>datos!AI65</f>
        <v>15.83</v>
      </c>
      <c r="E60" s="7">
        <f>datos!MP65</f>
        <v>69.67</v>
      </c>
      <c r="F60" s="525">
        <f>(datos!AD65/1000)/PP!$F$2</f>
        <v>16.824824954128442</v>
      </c>
      <c r="G60" s="522">
        <f>datos!MH65</f>
        <v>116.91</v>
      </c>
      <c r="H60" s="525">
        <f>datos!BK65/$H$2</f>
        <v>243.36206896551727</v>
      </c>
      <c r="I60" s="522">
        <f>datos!NB65</f>
        <v>369.9</v>
      </c>
      <c r="J60" s="7">
        <f>datos!BR65/$J$2</f>
        <v>116.23333333333331</v>
      </c>
      <c r="K60" s="7">
        <f>datos!NE65</f>
        <v>294.27</v>
      </c>
      <c r="L60" s="525">
        <f>datos!BO65*$L$2</f>
        <v>60.178999999999995</v>
      </c>
      <c r="M60" s="522">
        <f>datos!NA65</f>
        <v>114.92</v>
      </c>
      <c r="N60" s="7">
        <f>datos!BS65*$N$2</f>
        <v>100.17</v>
      </c>
      <c r="O60" s="7"/>
      <c r="P60" s="525">
        <f>(datos!AG65/1000)/$P$2</f>
        <v>58.823529411764703</v>
      </c>
      <c r="Q60" s="522">
        <f>datos!MY65*$Q$2</f>
        <v>248.66</v>
      </c>
      <c r="R60" s="525">
        <f>datos!BN65</f>
        <v>18.649999999999999</v>
      </c>
      <c r="S60" s="528"/>
      <c r="T60" s="529"/>
      <c r="U60" s="530">
        <f t="shared" si="8"/>
        <v>0</v>
      </c>
      <c r="V60" s="522">
        <f>datos!NC65+U60</f>
        <v>56</v>
      </c>
      <c r="W60" s="672">
        <f>datos!AV65*W$4</f>
        <v>296.04819277108436</v>
      </c>
      <c r="X60" s="672">
        <f t="shared" si="3"/>
        <v>23.683855421686751</v>
      </c>
      <c r="Y60" s="672">
        <f>Y61/(1+(datos!G66/datos!G65-1))</f>
        <v>14.985957189695101</v>
      </c>
      <c r="Z60" s="672"/>
      <c r="AA60" s="673"/>
      <c r="AB60" s="7"/>
      <c r="AC60" s="674">
        <f>datos!MJ65</f>
        <v>38.04</v>
      </c>
      <c r="AD60" s="681">
        <f>datos!BB65*AD$4</f>
        <v>547.39197089947083</v>
      </c>
      <c r="AE60" s="673">
        <f t="shared" si="4"/>
        <v>43.79135767195767</v>
      </c>
      <c r="AF60" s="673">
        <f t="shared" si="5"/>
        <v>14.985957189695101</v>
      </c>
      <c r="AG60" s="672"/>
      <c r="AH60" s="2"/>
      <c r="AI60" s="522">
        <f>AVERAGE(datos!ML65,datos!MM65,datos!MN65,datos!MO65)</f>
        <v>63.163333333333327</v>
      </c>
      <c r="AK60" s="3">
        <f t="shared" si="6"/>
        <v>44044</v>
      </c>
      <c r="AL60" s="12">
        <f t="shared" si="16"/>
        <v>0.26084010840108401</v>
      </c>
      <c r="AM60" s="12">
        <f t="shared" si="17"/>
        <v>0.22721400889909574</v>
      </c>
      <c r="AN60" s="12">
        <f t="shared" si="18"/>
        <v>0.14391262470386146</v>
      </c>
      <c r="AO60" s="12">
        <f t="shared" si="13"/>
        <v>0.65791313588947631</v>
      </c>
      <c r="AP60" s="12">
        <f t="shared" si="14"/>
        <v>0.39498872917162237</v>
      </c>
      <c r="AQ60" s="12">
        <f t="shared" si="15"/>
        <v>0.52365993734772009</v>
      </c>
      <c r="AS60" s="12">
        <f t="shared" si="19"/>
        <v>0.2365620904518809</v>
      </c>
    </row>
    <row r="61" spans="1:45">
      <c r="A61" s="3">
        <v>44075</v>
      </c>
      <c r="B61" s="519">
        <f>datos!R66/1000</f>
        <v>20.2</v>
      </c>
      <c r="C61" s="520">
        <f>datos!MA66</f>
        <v>75.75</v>
      </c>
      <c r="D61" s="7">
        <f>datos!AI66</f>
        <v>15.44</v>
      </c>
      <c r="E61" s="7">
        <f>datos!MP66</f>
        <v>68.53</v>
      </c>
      <c r="F61" s="525">
        <f>(datos!AD66/1000)/PP!$F$2</f>
        <v>18.515144064498188</v>
      </c>
      <c r="G61" s="522">
        <f>datos!MH66</f>
        <v>127.31</v>
      </c>
      <c r="H61" s="525">
        <f>datos!BK66/$H$2</f>
        <v>238.12159709618876</v>
      </c>
      <c r="I61" s="522">
        <f>datos!NB66</f>
        <v>382.7</v>
      </c>
      <c r="J61" s="7">
        <f>datos!BR66/$J$2</f>
        <v>137.91666666666666</v>
      </c>
      <c r="K61" s="7">
        <f>datos!NE66</f>
        <v>330.09</v>
      </c>
      <c r="L61" s="525">
        <f>datos!BO66*$L$2</f>
        <v>62.575833333333335</v>
      </c>
      <c r="M61" s="522">
        <f>datos!NA66</f>
        <v>123.4</v>
      </c>
      <c r="N61" s="7">
        <f>datos!BS66*$N$2</f>
        <v>100.17</v>
      </c>
      <c r="O61" s="7"/>
      <c r="P61" s="525">
        <f>(datos!AG66/1000)/$P$2</f>
        <v>58.823529411764703</v>
      </c>
      <c r="Q61" s="522">
        <f>datos!MY66*$Q$2</f>
        <v>248.54</v>
      </c>
      <c r="R61" s="525">
        <f>datos!BN66</f>
        <v>19.07</v>
      </c>
      <c r="S61" s="528"/>
      <c r="T61" s="529"/>
      <c r="U61" s="530">
        <f t="shared" si="8"/>
        <v>0</v>
      </c>
      <c r="V61" s="522">
        <f>datos!NC66+U61</f>
        <v>55.94</v>
      </c>
      <c r="W61" s="672">
        <f>datos!AV66*W$4</f>
        <v>356.91262135922329</v>
      </c>
      <c r="X61" s="672">
        <f t="shared" si="3"/>
        <v>28.553009708737864</v>
      </c>
      <c r="Y61" s="672">
        <f>Y62/(1+(datos!G67/datos!G66-1))</f>
        <v>15.410887249815906</v>
      </c>
      <c r="Z61" s="672"/>
      <c r="AA61" s="673"/>
      <c r="AB61" s="7"/>
      <c r="AC61" s="674">
        <f>datos!MJ66</f>
        <v>36.68</v>
      </c>
      <c r="AD61" s="681">
        <f>datos!BB66*AD$4</f>
        <v>707.63587244122641</v>
      </c>
      <c r="AE61" s="673">
        <f t="shared" si="4"/>
        <v>56.610869795298115</v>
      </c>
      <c r="AF61" s="673">
        <f t="shared" si="5"/>
        <v>15.410887249815906</v>
      </c>
      <c r="AG61" s="672"/>
      <c r="AH61" s="2"/>
      <c r="AI61" s="522">
        <f>AVERAGE(datos!ML66,datos!MM66,datos!MN66,datos!MO66)</f>
        <v>76.67</v>
      </c>
      <c r="AK61" s="3">
        <f t="shared" si="6"/>
        <v>44075</v>
      </c>
      <c r="AL61" s="12">
        <f t="shared" si="16"/>
        <v>0.26666666666666666</v>
      </c>
      <c r="AM61" s="12">
        <f t="shared" si="17"/>
        <v>0.22530278710053989</v>
      </c>
      <c r="AN61" s="12">
        <f t="shared" si="18"/>
        <v>0.14543354068414255</v>
      </c>
      <c r="AO61" s="12">
        <f t="shared" si="13"/>
        <v>0.62221478206477343</v>
      </c>
      <c r="AP61" s="12">
        <f t="shared" si="14"/>
        <v>0.4178153432902138</v>
      </c>
      <c r="AQ61" s="12">
        <f t="shared" si="15"/>
        <v>0.50709751485683419</v>
      </c>
      <c r="AS61" s="12">
        <f t="shared" si="19"/>
        <v>0.23667630728158326</v>
      </c>
    </row>
    <row r="62" spans="1:45">
      <c r="A62" s="3">
        <v>44105</v>
      </c>
      <c r="B62" s="519">
        <f>datos!R67/1000</f>
        <v>21.75</v>
      </c>
      <c r="C62" s="520">
        <f>datos!MA67</f>
        <v>80.55</v>
      </c>
      <c r="D62" s="7">
        <f>datos!AI67</f>
        <v>16.16</v>
      </c>
      <c r="E62" s="7">
        <f>datos!MP67</f>
        <v>71.77</v>
      </c>
      <c r="F62" s="525">
        <f>(datos!AD67/1000)/PP!$F$2</f>
        <v>21.543817445755064</v>
      </c>
      <c r="G62" s="522">
        <f>datos!MH67</f>
        <v>132.1</v>
      </c>
      <c r="H62" s="525">
        <f>datos!BK67/$H$2</f>
        <v>247.24137931034483</v>
      </c>
      <c r="I62" s="522">
        <f>datos!NB67</f>
        <v>390.91</v>
      </c>
      <c r="J62" s="7">
        <f>datos!BR67/$J$2</f>
        <v>157.39999999999998</v>
      </c>
      <c r="K62" s="7">
        <f>datos!NE67</f>
        <v>377.94</v>
      </c>
      <c r="L62" s="525">
        <f>datos!BO67*$L$2</f>
        <v>62.143421052631574</v>
      </c>
      <c r="M62" s="522">
        <f>datos!NA67</f>
        <v>127.87</v>
      </c>
      <c r="N62" s="7">
        <f>datos!BS67*$N$2</f>
        <v>100.17</v>
      </c>
      <c r="O62" s="7"/>
      <c r="P62" s="525">
        <f>(datos!AG67/1000)/$P$2</f>
        <v>71.735294117647058</v>
      </c>
      <c r="Q62" s="522">
        <f>datos!MY67*$Q$2</f>
        <v>261.27999999999997</v>
      </c>
      <c r="R62" s="525">
        <f>datos!BN67</f>
        <v>19.59</v>
      </c>
      <c r="S62" s="528"/>
      <c r="T62" s="529"/>
      <c r="U62" s="530">
        <f t="shared" si="8"/>
        <v>0</v>
      </c>
      <c r="V62" s="522">
        <f>datos!NC67+U62</f>
        <v>57.05</v>
      </c>
      <c r="W62" s="672">
        <f>datos!AV67*W$4</f>
        <v>552.40384615384619</v>
      </c>
      <c r="X62" s="672">
        <f t="shared" si="3"/>
        <v>44.192307692307693</v>
      </c>
      <c r="Y62" s="672">
        <f>Y63/(1+(datos!G68/datos!G67-1))</f>
        <v>15.99048607197158</v>
      </c>
      <c r="Z62" s="672"/>
      <c r="AA62" s="673"/>
      <c r="AB62" s="7"/>
      <c r="AC62" s="674">
        <f>datos!MJ67</f>
        <v>49.21</v>
      </c>
      <c r="AD62" s="681">
        <f>datos!BB67*AD$4</f>
        <v>782.28138095733436</v>
      </c>
      <c r="AE62" s="673">
        <f t="shared" si="4"/>
        <v>62.582510476586748</v>
      </c>
      <c r="AF62" s="673">
        <f t="shared" si="5"/>
        <v>15.99048607197158</v>
      </c>
      <c r="AG62" s="672"/>
      <c r="AH62" s="2"/>
      <c r="AI62" s="522">
        <f>AVERAGE(datos!ML67,datos!MM67,datos!MN67,datos!MO67)</f>
        <v>96.910000000000011</v>
      </c>
      <c r="AK62" s="3">
        <f t="shared" si="6"/>
        <v>44105</v>
      </c>
      <c r="AL62" s="12">
        <f t="shared" si="16"/>
        <v>0.27001862197392923</v>
      </c>
      <c r="AM62" s="12">
        <f t="shared" si="17"/>
        <v>0.22516371743068136</v>
      </c>
      <c r="AN62" s="12">
        <f t="shared" si="18"/>
        <v>0.16308718732592781</v>
      </c>
      <c r="AO62" s="12">
        <f t="shared" si="13"/>
        <v>0.63247647619744907</v>
      </c>
      <c r="AP62" s="12">
        <f t="shared" si="14"/>
        <v>0.41646822246917492</v>
      </c>
      <c r="AQ62" s="12">
        <f t="shared" si="15"/>
        <v>0.48598905961235295</v>
      </c>
      <c r="AS62" s="12">
        <f t="shared" si="19"/>
        <v>0.27455333021144773</v>
      </c>
    </row>
    <row r="63" spans="1:45">
      <c r="A63" s="3">
        <v>44136</v>
      </c>
      <c r="B63" s="519">
        <f>datos!R68/1000</f>
        <v>23.45</v>
      </c>
      <c r="C63" s="520">
        <f>datos!MA68</f>
        <v>80.900000000000006</v>
      </c>
      <c r="D63" s="7">
        <f>datos!AI68</f>
        <v>19.4023</v>
      </c>
      <c r="E63" s="7">
        <f>datos!MP68</f>
        <v>73.8</v>
      </c>
      <c r="F63" s="525">
        <f>(datos!AD68/1000)/PP!$F$2</f>
        <v>22.734000183486238</v>
      </c>
      <c r="G63" s="522">
        <f>datos!MH68</f>
        <v>138.31</v>
      </c>
      <c r="H63" s="525">
        <f>datos!BK68/$H$2</f>
        <v>279.61887477313979</v>
      </c>
      <c r="I63" s="522">
        <f>datos!NB68</f>
        <v>433.62</v>
      </c>
      <c r="J63" s="7">
        <f>datos!BR68/$J$2</f>
        <v>163.49999999999997</v>
      </c>
      <c r="K63" s="7">
        <f>datos!NE68</f>
        <v>391.18</v>
      </c>
      <c r="L63" s="525">
        <f>datos!BO68*$L$2</f>
        <v>56.856333333333339</v>
      </c>
      <c r="M63" s="522">
        <f>datos!NA68</f>
        <v>132.12</v>
      </c>
      <c r="N63" s="7">
        <f>datos!BS68*$N$2</f>
        <v>113.4</v>
      </c>
      <c r="O63" s="7"/>
      <c r="P63" s="525">
        <f>(datos!AG68/1000)/$P$2</f>
        <v>71.735294117647058</v>
      </c>
      <c r="Q63" s="522">
        <f>datos!MY68*$Q$2</f>
        <v>275.98</v>
      </c>
      <c r="R63" s="525">
        <f>datos!BN68</f>
        <v>20.37</v>
      </c>
      <c r="S63" s="528"/>
      <c r="T63" s="529"/>
      <c r="U63" s="530">
        <f t="shared" si="8"/>
        <v>0</v>
      </c>
      <c r="V63" s="522">
        <f>datos!NC68+U63</f>
        <v>57.45</v>
      </c>
      <c r="W63" s="672">
        <f>datos!AV68*W$4</f>
        <v>702.86585365853659</v>
      </c>
      <c r="X63" s="672">
        <f t="shared" si="3"/>
        <v>56.229268292682931</v>
      </c>
      <c r="Y63" s="672">
        <f>Y64/(1+(datos!G69/datos!G68-1))</f>
        <v>16.494800136523011</v>
      </c>
      <c r="Z63" s="672"/>
      <c r="AA63" s="673"/>
      <c r="AB63" s="7"/>
      <c r="AC63" s="674">
        <f>datos!MJ68</f>
        <v>57.26</v>
      </c>
      <c r="AD63" s="681">
        <f>datos!BB68*AD$4</f>
        <v>761.95525431159956</v>
      </c>
      <c r="AE63" s="673">
        <f t="shared" si="4"/>
        <v>60.956420344927963</v>
      </c>
      <c r="AF63" s="673">
        <f t="shared" si="5"/>
        <v>16.494800136523011</v>
      </c>
      <c r="AG63" s="672"/>
      <c r="AH63" s="2"/>
      <c r="AI63" s="522">
        <f>AVERAGE(datos!ML68,datos!MM68,datos!MN68,datos!MO68)</f>
        <v>87.066666666666663</v>
      </c>
      <c r="AK63" s="3">
        <f t="shared" si="6"/>
        <v>44136</v>
      </c>
      <c r="AL63" s="12">
        <f t="shared" si="16"/>
        <v>0.28986402966625463</v>
      </c>
      <c r="AM63" s="12">
        <f t="shared" si="17"/>
        <v>0.2629037940379404</v>
      </c>
      <c r="AN63" s="12">
        <f t="shared" si="18"/>
        <v>0.1643698950436428</v>
      </c>
      <c r="AO63" s="12">
        <f t="shared" si="13"/>
        <v>0.64484773482113322</v>
      </c>
      <c r="AP63" s="12">
        <f t="shared" si="14"/>
        <v>0.41796615368883883</v>
      </c>
      <c r="AQ63" s="12">
        <f t="shared" si="15"/>
        <v>0.43033858108789991</v>
      </c>
      <c r="AS63" s="12">
        <f t="shared" si="19"/>
        <v>0.25992932139157565</v>
      </c>
    </row>
    <row r="64" spans="1:45">
      <c r="A64" s="3">
        <v>44166</v>
      </c>
      <c r="B64" s="519">
        <f>datos!R69/1000</f>
        <v>24.6</v>
      </c>
      <c r="C64" s="520">
        <f>datos!MA69</f>
        <v>81.760000000000005</v>
      </c>
      <c r="D64" s="7">
        <f>datos!AI69</f>
        <v>20.387599999999999</v>
      </c>
      <c r="E64" s="7">
        <f>datos!MP69</f>
        <v>75.180000000000007</v>
      </c>
      <c r="F64" s="525">
        <f>(datos!AD69/1000)/PP!$F$2</f>
        <v>23.458508596670054</v>
      </c>
      <c r="G64" s="522">
        <f>datos!MH69</f>
        <v>140.13</v>
      </c>
      <c r="H64" s="525">
        <f>datos!BK69/$H$2</f>
        <v>343.47549909255901</v>
      </c>
      <c r="I64" s="522">
        <f>datos!NB69</f>
        <v>560.97</v>
      </c>
      <c r="J64" s="7">
        <f>datos!BR69/$J$2</f>
        <v>164.56666666666663</v>
      </c>
      <c r="K64" s="7">
        <f>datos!NE69</f>
        <v>408.2</v>
      </c>
      <c r="L64" s="525">
        <f>datos!BO69*$L$2</f>
        <v>81.075750000000014</v>
      </c>
      <c r="M64" s="522">
        <f>datos!NA69</f>
        <v>157.41999999999999</v>
      </c>
      <c r="N64" s="7">
        <f>datos!BS69*$N$2</f>
        <v>117.18</v>
      </c>
      <c r="O64" s="7"/>
      <c r="P64" s="525">
        <f>(datos!AG69/1000)/$P$2</f>
        <v>71.735294117647058</v>
      </c>
      <c r="Q64" s="522">
        <f>datos!MY69*$Q$2</f>
        <v>285.74</v>
      </c>
      <c r="R64" s="525">
        <f>datos!BN69</f>
        <v>21.36</v>
      </c>
      <c r="S64" s="528"/>
      <c r="T64" s="529"/>
      <c r="U64" s="530">
        <f t="shared" si="8"/>
        <v>0</v>
      </c>
      <c r="V64" s="522">
        <f>datos!NC69+U64</f>
        <v>57.3</v>
      </c>
      <c r="W64" s="672">
        <f>datos!AV69*W$4</f>
        <v>600.37113402061857</v>
      </c>
      <c r="X64" s="672">
        <f t="shared" si="3"/>
        <v>48.029690721649487</v>
      </c>
      <c r="Y64" s="672">
        <f>Y65/(1+(datos!G70/datos!G69-1))</f>
        <v>17.15725976464752</v>
      </c>
      <c r="Z64" s="672"/>
      <c r="AA64" s="673"/>
      <c r="AB64" s="7"/>
      <c r="AC64" s="674">
        <f>datos!MJ69</f>
        <v>61.1</v>
      </c>
      <c r="AD64" s="681">
        <f>datos!BB69*AD$4</f>
        <v>556.94108796296302</v>
      </c>
      <c r="AE64" s="673">
        <f t="shared" si="4"/>
        <v>44.55528703703704</v>
      </c>
      <c r="AF64" s="673">
        <f t="shared" si="5"/>
        <v>17.15725976464752</v>
      </c>
      <c r="AG64" s="672"/>
      <c r="AH64" s="2"/>
      <c r="AI64" s="522">
        <f>AVERAGE(datos!ML69,datos!MM69,datos!MN69,datos!MO69)</f>
        <v>70.040000000000006</v>
      </c>
      <c r="AK64" s="3">
        <f t="shared" si="6"/>
        <v>44166</v>
      </c>
      <c r="AL64" s="12">
        <f t="shared" si="16"/>
        <v>0.30088062622309197</v>
      </c>
      <c r="AM64" s="12">
        <f t="shared" si="17"/>
        <v>0.27118382548550141</v>
      </c>
      <c r="AN64" s="12">
        <f t="shared" si="18"/>
        <v>0.16740532788603479</v>
      </c>
      <c r="AO64" s="12">
        <f t="shared" si="13"/>
        <v>0.61228853431120911</v>
      </c>
      <c r="AP64" s="12">
        <f t="shared" si="14"/>
        <v>0.40315204964886486</v>
      </c>
      <c r="AQ64" s="12">
        <f t="shared" si="15"/>
        <v>0.51502826832676929</v>
      </c>
      <c r="AS64" s="12">
        <f t="shared" si="19"/>
        <v>0.25105093482763019</v>
      </c>
    </row>
    <row r="65" spans="1:48">
      <c r="A65" s="3">
        <v>44197</v>
      </c>
      <c r="B65" s="519">
        <f>datos!R70/1000</f>
        <v>25.5</v>
      </c>
      <c r="C65" s="520">
        <f>datos!MA70</f>
        <v>81.53</v>
      </c>
      <c r="D65" s="7">
        <f>datos!AI70</f>
        <v>22.5093</v>
      </c>
      <c r="E65" s="7">
        <f>datos!MP70</f>
        <v>79.48</v>
      </c>
      <c r="F65" s="525">
        <f>(datos!AD70/1000)/PP!$F$2</f>
        <v>25.861886320081545</v>
      </c>
      <c r="G65" s="522">
        <f>datos!MH70</f>
        <v>145.61000000000001</v>
      </c>
      <c r="H65" s="525">
        <f>datos!BK70/$H$2</f>
        <v>350.82803992740475</v>
      </c>
      <c r="I65" s="522">
        <f>datos!NB70</f>
        <v>604.07000000000005</v>
      </c>
      <c r="J65" s="7">
        <f>datos!BR70/$J$2</f>
        <v>167.39999999999998</v>
      </c>
      <c r="K65" s="7">
        <f>datos!NE70</f>
        <v>413.35</v>
      </c>
      <c r="L65" s="525">
        <f>datos!BO70*$L$2</f>
        <v>83.672749999999994</v>
      </c>
      <c r="M65" s="522">
        <f>datos!NA70</f>
        <v>163.47999999999999</v>
      </c>
      <c r="N65" s="7">
        <f>datos!BS70*$N$2</f>
        <v>113.4</v>
      </c>
      <c r="O65" s="7"/>
      <c r="P65" s="525">
        <f>(datos!AG70/1000)/$P$2</f>
        <v>71.735294117647058</v>
      </c>
      <c r="Q65" s="522">
        <f>datos!MY70*$Q$2</f>
        <v>293.58</v>
      </c>
      <c r="R65" s="525">
        <f>datos!BN70</f>
        <v>22.74</v>
      </c>
      <c r="S65" s="528">
        <v>3.5700000000000003E-2</v>
      </c>
      <c r="T65" s="529">
        <v>334.38</v>
      </c>
      <c r="U65" s="530">
        <f t="shared" si="8"/>
        <v>11.937366000000001</v>
      </c>
      <c r="V65" s="522">
        <f>datos!NC70+U65</f>
        <v>69.937365999999997</v>
      </c>
      <c r="W65" s="672">
        <f>datos!AV70*W$4</f>
        <v>570.83333333333337</v>
      </c>
      <c r="X65" s="672">
        <f t="shared" si="3"/>
        <v>45.666666666666671</v>
      </c>
      <c r="Y65" s="672">
        <f>Y66/(1+(datos!G71/datos!G70-1))</f>
        <v>17.850841657180563</v>
      </c>
      <c r="Z65" s="672"/>
      <c r="AA65" s="673"/>
      <c r="AB65" s="7"/>
      <c r="AC65" s="674">
        <f>datos!MJ70</f>
        <v>59.7</v>
      </c>
      <c r="AD65" s="681">
        <f>datos!BB70*AD$4</f>
        <v>510.95386231535002</v>
      </c>
      <c r="AE65" s="673">
        <f t="shared" si="4"/>
        <v>40.876308985228</v>
      </c>
      <c r="AF65" s="673">
        <f t="shared" si="5"/>
        <v>17.850841657180563</v>
      </c>
      <c r="AG65" s="672"/>
      <c r="AH65" s="2"/>
      <c r="AI65" s="522">
        <f>AVERAGE(datos!ML70,datos!MM70,datos!MN70,datos!MO70)</f>
        <v>63.983333333333327</v>
      </c>
      <c r="AK65" s="3">
        <f t="shared" si="6"/>
        <v>44197</v>
      </c>
      <c r="AL65" s="12">
        <f t="shared" si="16"/>
        <v>0.3127683061449773</v>
      </c>
      <c r="AM65" s="12">
        <f t="shared" si="17"/>
        <v>0.28320709612481126</v>
      </c>
      <c r="AN65" s="12">
        <f t="shared" si="18"/>
        <v>0.17761064707150295</v>
      </c>
      <c r="AO65" s="12">
        <f t="shared" si="13"/>
        <v>0.58077381748374313</v>
      </c>
      <c r="AP65" s="12">
        <f t="shared" si="14"/>
        <v>0.40498367001330582</v>
      </c>
      <c r="AQ65" s="12">
        <f t="shared" si="15"/>
        <v>0.51182254710056274</v>
      </c>
      <c r="AS65" s="12">
        <f t="shared" si="19"/>
        <v>0.24434666570490859</v>
      </c>
      <c r="AT65" s="12">
        <f t="shared" ref="AT65:AT96" si="20">R65/V65</f>
        <v>0.32514807606566137</v>
      </c>
      <c r="AU65" s="12"/>
      <c r="AV65" s="12"/>
    </row>
    <row r="66" spans="1:48">
      <c r="A66" s="3">
        <v>44228</v>
      </c>
      <c r="B66" s="519">
        <f>datos!R71/1000</f>
        <v>25.5</v>
      </c>
      <c r="C66" s="520">
        <f>datos!MA71</f>
        <v>81.61</v>
      </c>
      <c r="D66" s="7">
        <f>datos!AI71</f>
        <v>23.159600000000001</v>
      </c>
      <c r="E66" s="7">
        <f>datos!MP71</f>
        <v>86.54</v>
      </c>
      <c r="F66" s="525">
        <f>(datos!AD71/1000)/PP!$F$2</f>
        <v>23.008207951070332</v>
      </c>
      <c r="G66" s="522">
        <f>datos!MH71</f>
        <v>151.12</v>
      </c>
      <c r="H66" s="525">
        <f>datos!BK71/$H$2</f>
        <v>373.30762250453722</v>
      </c>
      <c r="I66" s="522">
        <f>datos!NB71</f>
        <v>594.05999999999995</v>
      </c>
      <c r="J66" s="7">
        <f>datos!BR71/$J$2</f>
        <v>200.11666666666662</v>
      </c>
      <c r="K66" s="7">
        <f>datos!NE71</f>
        <v>420.47</v>
      </c>
      <c r="L66" s="525">
        <f>datos!BO71*$L$2</f>
        <v>84.834166666666661</v>
      </c>
      <c r="M66" s="522">
        <f>datos!NA71</f>
        <v>172.75</v>
      </c>
      <c r="N66" s="7">
        <f>datos!BS71*$N$2</f>
        <v>117.18</v>
      </c>
      <c r="O66" s="7"/>
      <c r="P66" s="525">
        <f>(datos!AG71/1000)/$P$2</f>
        <v>71.735294117647058</v>
      </c>
      <c r="Q66" s="522">
        <f>datos!MY71*$Q$2</f>
        <v>311.42</v>
      </c>
      <c r="R66" s="525">
        <f>datos!BN71</f>
        <v>24.2</v>
      </c>
      <c r="S66" s="528">
        <v>3.6200000000000003E-2</v>
      </c>
      <c r="T66" s="529">
        <v>349.43</v>
      </c>
      <c r="U66" s="530">
        <f t="shared" si="8"/>
        <v>12.649366000000001</v>
      </c>
      <c r="V66" s="522">
        <f>datos!NC71+U66</f>
        <v>74.699365999999998</v>
      </c>
      <c r="W66" s="672">
        <f>datos!AV71*W$4</f>
        <v>492.98275862068965</v>
      </c>
      <c r="X66" s="672">
        <f t="shared" si="3"/>
        <v>39.438620689655174</v>
      </c>
      <c r="Y66" s="672">
        <f>Y67/(1+(datos!G72/datos!G71-1))</f>
        <v>18.489270451143913</v>
      </c>
      <c r="Z66" s="672"/>
      <c r="AA66" s="673"/>
      <c r="AB66" s="7"/>
      <c r="AC66" s="674">
        <f>datos!MJ71</f>
        <v>59.67</v>
      </c>
      <c r="AD66" s="681">
        <f>datos!BB71*AD$4</f>
        <v>546.49419676642583</v>
      </c>
      <c r="AE66" s="673">
        <f t="shared" si="4"/>
        <v>43.719535741314068</v>
      </c>
      <c r="AF66" s="673">
        <f t="shared" si="5"/>
        <v>18.489270451143913</v>
      </c>
      <c r="AG66" s="672"/>
      <c r="AH66" s="2"/>
      <c r="AI66" s="522">
        <f>AVERAGE(datos!ML71,datos!MM71,datos!MN71,datos!MO71)</f>
        <v>69.31</v>
      </c>
      <c r="AK66" s="3">
        <f t="shared" si="6"/>
        <v>44228</v>
      </c>
      <c r="AL66" s="12">
        <f t="shared" si="16"/>
        <v>0.31246170812400442</v>
      </c>
      <c r="AM66" s="12">
        <f t="shared" si="17"/>
        <v>0.26761728680379016</v>
      </c>
      <c r="AN66" s="12">
        <f t="shared" si="18"/>
        <v>0.15225124372068774</v>
      </c>
      <c r="AO66" s="12">
        <f t="shared" si="13"/>
        <v>0.62840053614876823</v>
      </c>
      <c r="AP66" s="12">
        <f t="shared" si="14"/>
        <v>0.47593565930189219</v>
      </c>
      <c r="AQ66" s="12">
        <f t="shared" si="15"/>
        <v>0.4910805595754944</v>
      </c>
      <c r="AS66" s="12">
        <f t="shared" si="19"/>
        <v>0.23034902741521757</v>
      </c>
      <c r="AT66" s="12">
        <f t="shared" si="20"/>
        <v>0.32396526631832456</v>
      </c>
      <c r="AU66" s="12"/>
      <c r="AV66" s="12"/>
    </row>
    <row r="67" spans="1:48">
      <c r="A67" s="3">
        <v>44256</v>
      </c>
      <c r="B67" s="519">
        <f>datos!R72/1000</f>
        <v>25.1</v>
      </c>
      <c r="C67" s="520">
        <f>datos!MA72</f>
        <v>84.36</v>
      </c>
      <c r="D67" s="7">
        <f>datos!AI72</f>
        <v>29.86</v>
      </c>
      <c r="E67" s="7">
        <f>datos!MP72</f>
        <v>91.23</v>
      </c>
      <c r="F67" s="525">
        <f>(datos!AD72/1000)/PP!$F$2</f>
        <v>22.768100750625525</v>
      </c>
      <c r="G67" s="522">
        <f>datos!MH72</f>
        <v>157.27000000000001</v>
      </c>
      <c r="H67" s="525">
        <f>datos!BK72/$H$2</f>
        <v>393.44600725952819</v>
      </c>
      <c r="I67" s="522">
        <f>datos!NB72</f>
        <v>615.87</v>
      </c>
      <c r="J67" s="7">
        <f>datos!BR72/$J$2</f>
        <v>200.29999999999998</v>
      </c>
      <c r="K67" s="7">
        <f>datos!NE72</f>
        <v>424.23</v>
      </c>
      <c r="L67" s="525">
        <f>datos!BO72*$L$2</f>
        <v>82.982499999999973</v>
      </c>
      <c r="M67" s="522">
        <f>datos!NA72</f>
        <v>173.95</v>
      </c>
      <c r="N67" s="7">
        <f>datos!BS72*$N$2</f>
        <v>113.4</v>
      </c>
      <c r="O67" s="7"/>
      <c r="P67" s="525">
        <f>(datos!AG72/1000)/$P$2</f>
        <v>71.735294117647058</v>
      </c>
      <c r="Q67" s="522">
        <f>datos!MY72*$Q$2</f>
        <v>320.76</v>
      </c>
      <c r="R67" s="525">
        <f>datos!BN72</f>
        <v>26.09</v>
      </c>
      <c r="S67" s="528">
        <v>3.6999999999999998E-2</v>
      </c>
      <c r="T67" s="529">
        <v>370</v>
      </c>
      <c r="U67" s="530">
        <f t="shared" si="8"/>
        <v>13.69</v>
      </c>
      <c r="V67" s="522">
        <f>datos!NC72+U67</f>
        <v>83.21</v>
      </c>
      <c r="W67" s="672">
        <f>datos!AV72*W$4</f>
        <v>407.0612244897959</v>
      </c>
      <c r="X67" s="672">
        <f t="shared" si="3"/>
        <v>32.564897959183675</v>
      </c>
      <c r="Y67" s="672">
        <f>Y68/(1+(datos!G73/datos!G72-1))</f>
        <v>19.378753660015359</v>
      </c>
      <c r="Z67" s="672"/>
      <c r="AA67" s="673"/>
      <c r="AB67" s="7"/>
      <c r="AC67" s="674">
        <f>datos!MJ72</f>
        <v>55.86</v>
      </c>
      <c r="AD67" s="681">
        <f>datos!BB72*AD$4</f>
        <v>601.78767134802251</v>
      </c>
      <c r="AE67" s="673">
        <f t="shared" si="4"/>
        <v>48.143013707841803</v>
      </c>
      <c r="AF67" s="673">
        <f t="shared" si="5"/>
        <v>19.378753660015359</v>
      </c>
      <c r="AG67" s="672"/>
      <c r="AH67" s="2"/>
      <c r="AI67" s="522">
        <f>AVERAGE(datos!ML72,datos!MM72,datos!MN72,datos!MO72)</f>
        <v>76.326666666666668</v>
      </c>
      <c r="AK67" s="3">
        <f t="shared" si="6"/>
        <v>44256</v>
      </c>
      <c r="AL67" s="12">
        <f t="shared" si="16"/>
        <v>0.29753437648174491</v>
      </c>
      <c r="AM67" s="12">
        <f t="shared" si="17"/>
        <v>0.32730461471007344</v>
      </c>
      <c r="AN67" s="12">
        <f t="shared" si="18"/>
        <v>0.1447707811446908</v>
      </c>
      <c r="AO67" s="12">
        <f t="shared" si="13"/>
        <v>0.63884587211510246</v>
      </c>
      <c r="AP67" s="12">
        <f t="shared" si="14"/>
        <v>0.47214954152228739</v>
      </c>
      <c r="AQ67" s="12">
        <f t="shared" si="15"/>
        <v>0.47704800229951122</v>
      </c>
      <c r="AS67" s="12">
        <f t="shared" si="19"/>
        <v>0.22364164521027266</v>
      </c>
      <c r="AT67" s="12">
        <f t="shared" si="20"/>
        <v>0.31354404518687662</v>
      </c>
      <c r="AU67" s="12"/>
      <c r="AV67" s="12"/>
    </row>
    <row r="68" spans="1:48">
      <c r="A68" s="3">
        <v>44287</v>
      </c>
      <c r="B68" s="519">
        <f>datos!R73/1000</f>
        <v>24.7</v>
      </c>
      <c r="C68" s="520">
        <f>datos!MA73</f>
        <v>96.38</v>
      </c>
      <c r="D68" s="7">
        <f>datos!AI73</f>
        <v>34.96</v>
      </c>
      <c r="E68" s="7">
        <f>datos!MP73</f>
        <v>107.54</v>
      </c>
      <c r="F68" s="525">
        <f>(datos!AD73/1000)/PP!$F$2</f>
        <v>24.162650519877673</v>
      </c>
      <c r="G68" s="522">
        <f>datos!MH73</f>
        <v>164.72</v>
      </c>
      <c r="H68" s="525">
        <f>datos!BK73/$H$2</f>
        <v>418.5843920145191</v>
      </c>
      <c r="I68" s="522">
        <f>datos!NB73</f>
        <v>636.54999999999995</v>
      </c>
      <c r="J68" s="7">
        <f>datos!BR73/$J$2</f>
        <v>200.06666666666663</v>
      </c>
      <c r="K68" s="7">
        <f>datos!NE73</f>
        <v>446.36</v>
      </c>
      <c r="L68" s="525">
        <f>datos!BO73*$L$2</f>
        <v>87.149999999999991</v>
      </c>
      <c r="M68" s="522">
        <f>datos!NA73</f>
        <v>174.14</v>
      </c>
      <c r="N68" s="7">
        <f>datos!BS73*$N$2</f>
        <v>113.4</v>
      </c>
      <c r="O68" s="7"/>
      <c r="P68" s="525">
        <f>(datos!AG73/1000)/$P$2</f>
        <v>71.735294117647058</v>
      </c>
      <c r="Q68" s="522">
        <f>datos!MY73*$Q$2</f>
        <v>351.86</v>
      </c>
      <c r="R68" s="525">
        <f>datos!BN73</f>
        <v>28.17</v>
      </c>
      <c r="S68" s="528">
        <v>3.7699999999999997E-2</v>
      </c>
      <c r="T68" s="529">
        <v>393.93</v>
      </c>
      <c r="U68" s="530">
        <f t="shared" si="8"/>
        <v>14.851160999999999</v>
      </c>
      <c r="V68" s="522">
        <f>datos!NC73+U68</f>
        <v>91.201160999999999</v>
      </c>
      <c r="W68" s="672">
        <f>datos!AV73*W$4</f>
        <v>411.09523809523807</v>
      </c>
      <c r="X68" s="672">
        <f t="shared" si="3"/>
        <v>32.887619047619047</v>
      </c>
      <c r="Y68" s="672">
        <f>Y69/(1+(datos!G74/datos!G73-1))</f>
        <v>20.169463693729664</v>
      </c>
      <c r="Z68" s="672"/>
      <c r="AA68" s="673"/>
      <c r="AB68" s="7"/>
      <c r="AC68" s="674">
        <f>datos!MJ73</f>
        <v>54.35</v>
      </c>
      <c r="AD68" s="681">
        <f>datos!BB73*AD$4</f>
        <v>501.80928198136792</v>
      </c>
      <c r="AE68" s="673">
        <f t="shared" si="4"/>
        <v>40.144742558509435</v>
      </c>
      <c r="AF68" s="673">
        <f t="shared" si="5"/>
        <v>20.169463693729664</v>
      </c>
      <c r="AG68" s="672"/>
      <c r="AH68" s="2"/>
      <c r="AI68" s="522">
        <f>AVERAGE(datos!ML73,datos!MM73,datos!MN73,datos!MO73)</f>
        <v>70.38666666666667</v>
      </c>
      <c r="AK68" s="3">
        <f t="shared" si="6"/>
        <v>44287</v>
      </c>
      <c r="AL68" s="12">
        <f t="shared" si="16"/>
        <v>0.25627723594106661</v>
      </c>
      <c r="AM68" s="12">
        <f t="shared" si="17"/>
        <v>0.32508833922261482</v>
      </c>
      <c r="AN68" s="12">
        <f t="shared" si="18"/>
        <v>0.14668923336496886</v>
      </c>
      <c r="AO68" s="12">
        <f t="shared" si="13"/>
        <v>0.65758289531775838</v>
      </c>
      <c r="AP68" s="12">
        <f t="shared" si="14"/>
        <v>0.44821817964572686</v>
      </c>
      <c r="AQ68" s="12">
        <f t="shared" si="15"/>
        <v>0.50045940048237048</v>
      </c>
      <c r="AS68" s="12">
        <f t="shared" si="19"/>
        <v>0.20387453566090791</v>
      </c>
      <c r="AT68" s="12">
        <f t="shared" si="20"/>
        <v>0.30887764685364039</v>
      </c>
      <c r="AU68" s="12"/>
      <c r="AV68" s="12"/>
    </row>
    <row r="69" spans="1:48">
      <c r="A69" s="3">
        <v>44317</v>
      </c>
      <c r="B69" s="519">
        <f>datos!R74/1000</f>
        <v>25</v>
      </c>
      <c r="C69" s="520">
        <f>datos!MA74</f>
        <v>108.97</v>
      </c>
      <c r="D69" s="7">
        <f>datos!AI74</f>
        <v>37.869999999999997</v>
      </c>
      <c r="E69" s="7">
        <f>datos!MP74</f>
        <v>112.41</v>
      </c>
      <c r="F69" s="525">
        <f>(datos!AD74/1000)/PP!$F$2</f>
        <v>25.836032576854976</v>
      </c>
      <c r="G69" s="522">
        <f>datos!MH74</f>
        <v>172.29</v>
      </c>
      <c r="H69" s="525">
        <f>datos!BK74/$H$2</f>
        <v>432.9990925589837</v>
      </c>
      <c r="I69" s="522">
        <f>datos!NB74</f>
        <v>671.4</v>
      </c>
      <c r="J69" s="7">
        <f>datos!BR74/$J$2</f>
        <v>178.08333333333329</v>
      </c>
      <c r="K69" s="7">
        <f>datos!NE74</f>
        <v>463.43</v>
      </c>
      <c r="L69" s="525">
        <f>datos!BO74*$L$2</f>
        <v>88.136999999999986</v>
      </c>
      <c r="M69" s="522">
        <f>datos!NA74</f>
        <v>177.13</v>
      </c>
      <c r="N69" s="7">
        <f>datos!BS74*$N$2</f>
        <v>132.30000000000001</v>
      </c>
      <c r="O69" s="7"/>
      <c r="P69" s="525">
        <f>(datos!AG74/1000)/$P$2</f>
        <v>87.35294117647058</v>
      </c>
      <c r="Q69" s="522">
        <f>datos!MY74*$Q$2</f>
        <v>368.5</v>
      </c>
      <c r="R69" s="525">
        <f>datos!BN74</f>
        <v>29.77</v>
      </c>
      <c r="S69" s="528">
        <v>3.8199999999999998E-2</v>
      </c>
      <c r="T69" s="529">
        <v>410.37</v>
      </c>
      <c r="U69" s="530">
        <f t="shared" si="8"/>
        <v>15.676133999999999</v>
      </c>
      <c r="V69" s="522">
        <f>datos!NC74+U69</f>
        <v>92.886133999999998</v>
      </c>
      <c r="W69" s="672">
        <f>datos!AV74*W$4</f>
        <v>402.07499999999999</v>
      </c>
      <c r="X69" s="672">
        <f t="shared" si="3"/>
        <v>32.165999999999997</v>
      </c>
      <c r="Y69" s="672">
        <f>Y70/(1+(datos!G75/datos!G74-1))</f>
        <v>20.839690549842992</v>
      </c>
      <c r="Z69" s="672"/>
      <c r="AA69" s="673"/>
      <c r="AB69" s="7"/>
      <c r="AC69" s="674">
        <f>datos!MJ74</f>
        <v>55.95</v>
      </c>
      <c r="AD69" s="681">
        <f>datos!BB74*AD$4</f>
        <v>632.63669989775053</v>
      </c>
      <c r="AE69" s="673">
        <f t="shared" si="4"/>
        <v>50.610935991820043</v>
      </c>
      <c r="AF69" s="673">
        <f t="shared" si="5"/>
        <v>20.839690549842992</v>
      </c>
      <c r="AG69" s="672"/>
      <c r="AH69" s="2"/>
      <c r="AI69" s="522">
        <f>AVERAGE(datos!ML74,datos!MM74,datos!MN74,datos!MO74)</f>
        <v>78.77</v>
      </c>
      <c r="AK69" s="3">
        <f t="shared" si="6"/>
        <v>44317</v>
      </c>
      <c r="AL69" s="12">
        <f t="shared" si="16"/>
        <v>0.22942094154354409</v>
      </c>
      <c r="AM69" s="12">
        <f t="shared" si="17"/>
        <v>0.33689173561071079</v>
      </c>
      <c r="AN69" s="12">
        <f t="shared" si="18"/>
        <v>0.14995665782607798</v>
      </c>
      <c r="AO69" s="12">
        <f t="shared" ref="AO69:AO100" si="21">H69/I69</f>
        <v>0.6449197089052483</v>
      </c>
      <c r="AP69" s="12">
        <f t="shared" ref="AP69:AP100" si="22">J69/K69</f>
        <v>0.38427234605729726</v>
      </c>
      <c r="AQ69" s="12">
        <f t="shared" ref="AQ69:AQ100" si="23">L69/M69</f>
        <v>0.49758369559080895</v>
      </c>
      <c r="AS69" s="12">
        <f t="shared" si="19"/>
        <v>0.23705004389815626</v>
      </c>
      <c r="AT69" s="12">
        <f t="shared" si="20"/>
        <v>0.32049993597537391</v>
      </c>
      <c r="AU69" s="12"/>
      <c r="AV69" s="12"/>
    </row>
    <row r="70" spans="1:48">
      <c r="A70" s="3">
        <v>44348</v>
      </c>
      <c r="B70" s="519">
        <f>datos!R75/1000</f>
        <v>25.5</v>
      </c>
      <c r="C70" s="520">
        <f>datos!MA75</f>
        <v>111.68</v>
      </c>
      <c r="D70" s="7">
        <f>datos!AI75</f>
        <v>37.617699999999999</v>
      </c>
      <c r="E70" s="7">
        <f>datos!MP75</f>
        <v>121.42</v>
      </c>
      <c r="F70" s="525">
        <f>(datos!AD75/1000)/PP!$F$2</f>
        <v>24.693899694189593</v>
      </c>
      <c r="G70" s="522">
        <f>datos!MH75</f>
        <v>182.91</v>
      </c>
      <c r="H70" s="525">
        <f>datos!BK75/$H$2</f>
        <v>435.09754990925592</v>
      </c>
      <c r="I70" s="522">
        <f>datos!NB75</f>
        <v>701.91</v>
      </c>
      <c r="J70" s="7">
        <f>datos!BR75/$J$2</f>
        <v>178.8833333333333</v>
      </c>
      <c r="K70" s="7">
        <f>datos!NE75</f>
        <v>455.11</v>
      </c>
      <c r="L70" s="525">
        <f>datos!BO75*$L$2</f>
        <v>94.149999999999991</v>
      </c>
      <c r="M70" s="522">
        <f>datos!NA75</f>
        <v>182.8</v>
      </c>
      <c r="N70" s="7">
        <f>datos!BS75*$N$2</f>
        <v>143.64000000000001</v>
      </c>
      <c r="O70" s="7"/>
      <c r="P70" s="525">
        <f>(datos!AG75/1000)/$P$2</f>
        <v>87.35294117647058</v>
      </c>
      <c r="Q70" s="522">
        <f>datos!MY75*$Q$2</f>
        <v>380.06</v>
      </c>
      <c r="R70" s="525">
        <f>datos!BN75</f>
        <v>31.32</v>
      </c>
      <c r="S70" s="528">
        <v>3.8100000000000002E-2</v>
      </c>
      <c r="T70" s="529">
        <v>432.23</v>
      </c>
      <c r="U70" s="530">
        <f t="shared" si="8"/>
        <v>16.467963000000001</v>
      </c>
      <c r="V70" s="522">
        <f>datos!NC75+U70</f>
        <v>100.56796299999999</v>
      </c>
      <c r="W70" s="672">
        <f>datos!AV75*W$4</f>
        <v>387.96296296296299</v>
      </c>
      <c r="X70" s="672">
        <f t="shared" ref="X70:X125" si="24">W70*X$4</f>
        <v>31.037037037037042</v>
      </c>
      <c r="Y70" s="672">
        <f>Y71/(1+(datos!G76/datos!G75-1))</f>
        <v>21.501256524375201</v>
      </c>
      <c r="Z70" s="672"/>
      <c r="AA70" s="673"/>
      <c r="AB70" s="7"/>
      <c r="AC70" s="674">
        <f>datos!MJ75</f>
        <v>53.33</v>
      </c>
      <c r="AD70" s="681">
        <f>datos!BB75*AD$4</f>
        <v>525.02368260922481</v>
      </c>
      <c r="AE70" s="673">
        <f t="shared" ref="AE70:AE125" si="25">AD70*AE$4</f>
        <v>42.001894608737985</v>
      </c>
      <c r="AF70" s="673">
        <f t="shared" ref="AF70:AF125" si="26">Y70</f>
        <v>21.501256524375201</v>
      </c>
      <c r="AG70" s="672"/>
      <c r="AH70" s="2"/>
      <c r="AI70" s="522">
        <f>AVERAGE(datos!ML75,datos!MM75,datos!MN75,datos!MO75)</f>
        <v>73.103333333333339</v>
      </c>
      <c r="AK70" s="3">
        <f t="shared" ref="AK70:AK132" si="27">A70</f>
        <v>44348</v>
      </c>
      <c r="AL70" s="12">
        <f t="shared" si="16"/>
        <v>0.22833094555873923</v>
      </c>
      <c r="AM70" s="12">
        <f t="shared" si="17"/>
        <v>0.30981469280184482</v>
      </c>
      <c r="AN70" s="12">
        <f t="shared" si="18"/>
        <v>0.13500573885621123</v>
      </c>
      <c r="AO70" s="12">
        <f t="shared" si="21"/>
        <v>0.61987655099550643</v>
      </c>
      <c r="AP70" s="12">
        <f t="shared" si="22"/>
        <v>0.39305515882607128</v>
      </c>
      <c r="AQ70" s="12">
        <f t="shared" si="23"/>
        <v>0.51504376367614868</v>
      </c>
      <c r="AS70" s="12">
        <f t="shared" si="19"/>
        <v>0.22983987048484603</v>
      </c>
      <c r="AT70" s="12">
        <f t="shared" si="20"/>
        <v>0.31143118609253329</v>
      </c>
      <c r="AU70" s="12"/>
      <c r="AV70" s="12"/>
    </row>
    <row r="71" spans="1:48">
      <c r="A71" s="3">
        <v>44378</v>
      </c>
      <c r="B71" s="519">
        <f>datos!R76/1000</f>
        <v>25.1</v>
      </c>
      <c r="C71" s="520">
        <f>datos!MA76</f>
        <v>111.74</v>
      </c>
      <c r="D71" s="7">
        <f>datos!AI76</f>
        <v>39.520000000000003</v>
      </c>
      <c r="E71" s="7">
        <f>datos!MP76</f>
        <v>138.99</v>
      </c>
      <c r="F71" s="525">
        <f>(datos!AD76/1000)/PP!$F$2</f>
        <v>24.545002009611178</v>
      </c>
      <c r="G71" s="522">
        <f>datos!MH76</f>
        <v>185.12</v>
      </c>
      <c r="H71" s="525">
        <f>datos!BK76/$H$2</f>
        <v>416.84664246823962</v>
      </c>
      <c r="I71" s="522">
        <f>datos!NB76</f>
        <v>695.22</v>
      </c>
      <c r="J71" s="7">
        <f>datos!BR76/$J$2</f>
        <v>181.64999999999998</v>
      </c>
      <c r="K71" s="7">
        <f>datos!NE76</f>
        <v>455.4</v>
      </c>
      <c r="L71" s="525">
        <f>datos!BO76*$L$2</f>
        <v>92.75</v>
      </c>
      <c r="M71" s="522">
        <f>datos!NA76</f>
        <v>190.07</v>
      </c>
      <c r="N71" s="7">
        <f>datos!BS76*$N$2</f>
        <v>141.75</v>
      </c>
      <c r="O71" s="7"/>
      <c r="P71" s="525">
        <f>(datos!AG76/1000)/$P$2</f>
        <v>87.35294117647058</v>
      </c>
      <c r="Q71" s="522">
        <f>datos!MY76*$Q$2</f>
        <v>406.76</v>
      </c>
      <c r="R71" s="525">
        <f>datos!BN76</f>
        <v>32.15</v>
      </c>
      <c r="S71" s="528">
        <v>3.7900000000000003E-2</v>
      </c>
      <c r="T71" s="529">
        <v>446.65</v>
      </c>
      <c r="U71" s="530">
        <f t="shared" si="8"/>
        <v>16.928035000000001</v>
      </c>
      <c r="V71" s="522">
        <f>datos!NC76+U71</f>
        <v>101.84803500000001</v>
      </c>
      <c r="W71" s="672">
        <f>datos!AV76*W$4</f>
        <v>386.88157894736844</v>
      </c>
      <c r="X71" s="672">
        <f t="shared" si="24"/>
        <v>30.950526315789475</v>
      </c>
      <c r="Y71" s="672">
        <f>Y72/(1+(datos!G77/datos!G76-1))</f>
        <v>22.145656347067217</v>
      </c>
      <c r="Z71" s="672"/>
      <c r="AA71" s="673"/>
      <c r="AB71" s="7"/>
      <c r="AC71" s="674">
        <f>datos!MJ76</f>
        <v>52.36</v>
      </c>
      <c r="AD71" s="681">
        <f>datos!BB76*AD$4</f>
        <v>745.86576797385624</v>
      </c>
      <c r="AE71" s="673">
        <f t="shared" si="25"/>
        <v>59.669261437908503</v>
      </c>
      <c r="AF71" s="673">
        <f t="shared" si="26"/>
        <v>22.145656347067217</v>
      </c>
      <c r="AG71" s="672"/>
      <c r="AH71" s="2"/>
      <c r="AI71" s="522">
        <f>AVERAGE(datos!ML76,datos!MM76,datos!MN76,datos!MO76)</f>
        <v>91.243333333333339</v>
      </c>
      <c r="AK71" s="3">
        <f t="shared" si="27"/>
        <v>44378</v>
      </c>
      <c r="AL71" s="12">
        <f t="shared" si="16"/>
        <v>0.22462860211204586</v>
      </c>
      <c r="AM71" s="12">
        <f t="shared" si="17"/>
        <v>0.28433700266206202</v>
      </c>
      <c r="AN71" s="12">
        <f t="shared" si="18"/>
        <v>0.13258968242011224</v>
      </c>
      <c r="AO71" s="12">
        <f t="shared" si="21"/>
        <v>0.59958954355202609</v>
      </c>
      <c r="AP71" s="12">
        <f t="shared" si="22"/>
        <v>0.39888010540184449</v>
      </c>
      <c r="AQ71" s="12">
        <f t="shared" si="23"/>
        <v>0.48797811332666913</v>
      </c>
      <c r="AS71" s="12">
        <f t="shared" si="19"/>
        <v>0.21475302678845162</v>
      </c>
      <c r="AT71" s="12">
        <f t="shared" si="20"/>
        <v>0.31566637490846039</v>
      </c>
      <c r="AU71" s="12"/>
      <c r="AV71" s="12"/>
    </row>
    <row r="72" spans="1:48">
      <c r="A72" s="3">
        <v>44409</v>
      </c>
      <c r="B72" s="519">
        <f>datos!R77/1000</f>
        <v>25.16</v>
      </c>
      <c r="C72" s="520">
        <f>datos!MA77</f>
        <v>117.36</v>
      </c>
      <c r="D72" s="7">
        <f>datos!AI77</f>
        <v>39.167499999999997</v>
      </c>
      <c r="E72" s="7">
        <f>datos!MP77</f>
        <v>145.94999999999999</v>
      </c>
      <c r="F72" s="525">
        <f>(datos!AD77/1000)/PP!$F$2</f>
        <v>27.731512334352701</v>
      </c>
      <c r="G72" s="522">
        <f>datos!MH77</f>
        <v>188.62</v>
      </c>
      <c r="H72" s="525">
        <f>datos!BK77/$H$2</f>
        <v>421.510889292196</v>
      </c>
      <c r="I72" s="522">
        <f>datos!NB77</f>
        <v>675.43</v>
      </c>
      <c r="J72" s="7">
        <f>datos!BR77/$J$2</f>
        <v>192.0333333333333</v>
      </c>
      <c r="K72" s="7">
        <f>datos!NE77</f>
        <v>460.12</v>
      </c>
      <c r="L72" s="525">
        <f>datos!BO77*$L$2</f>
        <v>95.256</v>
      </c>
      <c r="M72" s="522">
        <f>datos!NA77</f>
        <v>188.8</v>
      </c>
      <c r="N72" s="7">
        <f>datos!BS77*$N$2</f>
        <v>143.64000000000001</v>
      </c>
      <c r="O72" s="7">
        <f>datos!ND77</f>
        <v>849</v>
      </c>
      <c r="P72" s="525">
        <f>(datos!AG77/1000)/$P$2</f>
        <v>87.35294117647058</v>
      </c>
      <c r="Q72" s="522">
        <f>datos!MY77*$Q$2</f>
        <v>422.12</v>
      </c>
      <c r="R72" s="525">
        <f>datos!BN77</f>
        <v>32.51</v>
      </c>
      <c r="S72" s="528">
        <v>3.7499999999999999E-2</v>
      </c>
      <c r="T72" s="529">
        <v>456.42</v>
      </c>
      <c r="U72" s="530">
        <f t="shared" ref="U72:U126" si="28">T72*S72</f>
        <v>17.115749999999998</v>
      </c>
      <c r="V72" s="522">
        <f>datos!NC77+U72</f>
        <v>103.81575000000001</v>
      </c>
      <c r="W72" s="672">
        <f>datos!AV77*W$4</f>
        <v>380.5595238095238</v>
      </c>
      <c r="X72" s="672">
        <f t="shared" si="24"/>
        <v>30.444761904761904</v>
      </c>
      <c r="Y72" s="672">
        <f>Y73/(1+(datos!G78/datos!G77-1))</f>
        <v>22.692318921403118</v>
      </c>
      <c r="Z72" s="672"/>
      <c r="AA72" s="673"/>
      <c r="AB72" s="7"/>
      <c r="AC72" s="674">
        <f>datos!MJ77</f>
        <v>50.19</v>
      </c>
      <c r="AD72" s="681">
        <f>datos!BB77*AD$4</f>
        <v>638.36904337492581</v>
      </c>
      <c r="AE72" s="673">
        <f t="shared" si="25"/>
        <v>51.069523469994067</v>
      </c>
      <c r="AF72" s="673">
        <f t="shared" si="26"/>
        <v>22.692318921403118</v>
      </c>
      <c r="AG72" s="672"/>
      <c r="AH72" s="2"/>
      <c r="AI72" s="522">
        <f>AVERAGE(datos!ML77,datos!MM77,datos!MN77,datos!MO77)</f>
        <v>84.99</v>
      </c>
      <c r="AK72" s="3">
        <f t="shared" si="27"/>
        <v>44409</v>
      </c>
      <c r="AL72" s="12">
        <f t="shared" ref="AL72:AL103" si="29">B72/C72</f>
        <v>0.21438309475119291</v>
      </c>
      <c r="AM72" s="12">
        <f t="shared" ref="AM72:AM103" si="30">D72/E72</f>
        <v>0.26836245289482702</v>
      </c>
      <c r="AN72" s="12">
        <f t="shared" ref="AN72:AN103" si="31">F72/G72</f>
        <v>0.14702318065079367</v>
      </c>
      <c r="AO72" s="12">
        <f t="shared" si="21"/>
        <v>0.62406302546851045</v>
      </c>
      <c r="AP72" s="12">
        <f t="shared" si="22"/>
        <v>0.41735489292648287</v>
      </c>
      <c r="AQ72" s="12">
        <f t="shared" si="23"/>
        <v>0.50453389830508477</v>
      </c>
      <c r="AR72" s="12">
        <f t="shared" ref="AR72:AR103" si="32">N72/O72</f>
        <v>0.16918727915194348</v>
      </c>
      <c r="AS72" s="12">
        <f t="shared" ref="AS72:AS103" si="33">P72/Q72</f>
        <v>0.20693864582694632</v>
      </c>
      <c r="AT72" s="12">
        <f t="shared" si="20"/>
        <v>0.31315094289642947</v>
      </c>
      <c r="AU72" s="12"/>
      <c r="AV72" s="12"/>
    </row>
    <row r="73" spans="1:48">
      <c r="A73" s="3">
        <v>44440</v>
      </c>
      <c r="B73" s="519">
        <f>datos!R78/1000</f>
        <v>25.33</v>
      </c>
      <c r="C73" s="520">
        <f>datos!MA78</f>
        <v>115.14</v>
      </c>
      <c r="D73" s="7">
        <f>datos!AI78</f>
        <v>37.142000000000003</v>
      </c>
      <c r="E73" s="7">
        <f>datos!MP78</f>
        <v>151.16999999999999</v>
      </c>
      <c r="F73" s="525">
        <f>(datos!AD78/1000)/PP!$F$2</f>
        <v>29.325575979983313</v>
      </c>
      <c r="G73" s="522">
        <f>datos!MH78</f>
        <v>190.09</v>
      </c>
      <c r="H73" s="525">
        <f>datos!BK78/$H$2</f>
        <v>427.59981851179674</v>
      </c>
      <c r="I73" s="522">
        <f>datos!NB78</f>
        <v>672.89</v>
      </c>
      <c r="J73" s="7">
        <f>datos!BR78/$J$2</f>
        <v>212.51666666666665</v>
      </c>
      <c r="K73" s="7">
        <f>datos!NE78</f>
        <v>494.21</v>
      </c>
      <c r="L73" s="525">
        <f>datos!BO78*$L$2</f>
        <v>101.542</v>
      </c>
      <c r="M73" s="522">
        <f>datos!NA78</f>
        <v>199.69</v>
      </c>
      <c r="N73" s="7">
        <f>datos!BS78*$N$2</f>
        <v>154.97999999999999</v>
      </c>
      <c r="O73" s="7">
        <f>datos!ND78</f>
        <v>919</v>
      </c>
      <c r="P73" s="525">
        <f>(datos!AG78/1000)/$P$2</f>
        <v>87.35294117647058</v>
      </c>
      <c r="Q73" s="522">
        <f>datos!MY78*$Q$2</f>
        <v>423.62</v>
      </c>
      <c r="R73" s="525">
        <f>datos!BN78</f>
        <v>33.03</v>
      </c>
      <c r="S73" s="528">
        <v>3.6900000000000002E-2</v>
      </c>
      <c r="T73" s="529">
        <v>469.01</v>
      </c>
      <c r="U73" s="530">
        <f t="shared" si="28"/>
        <v>17.306469</v>
      </c>
      <c r="V73" s="522">
        <f>datos!NC78+U73</f>
        <v>111.03646900000001</v>
      </c>
      <c r="W73" s="672">
        <f>datos!AV78*W$4</f>
        <v>417.16831683168317</v>
      </c>
      <c r="X73" s="672">
        <f t="shared" si="24"/>
        <v>33.373465346534651</v>
      </c>
      <c r="Y73" s="672">
        <f>Y74/(1+(datos!G79/datos!G78-1))</f>
        <v>23.497167355234442</v>
      </c>
      <c r="Z73" s="672"/>
      <c r="AA73" s="673"/>
      <c r="AB73" s="7"/>
      <c r="AC73" s="674">
        <f>datos!MJ78</f>
        <v>51.18</v>
      </c>
      <c r="AD73" s="681">
        <f>datos!BB78*AD$4</f>
        <v>729.52069569569574</v>
      </c>
      <c r="AE73" s="673">
        <f t="shared" si="25"/>
        <v>58.36165565565566</v>
      </c>
      <c r="AF73" s="673">
        <f t="shared" si="26"/>
        <v>23.497167355234442</v>
      </c>
      <c r="AG73" s="672"/>
      <c r="AH73" s="2"/>
      <c r="AI73" s="522">
        <f>AVERAGE(datos!ML78,datos!MM78,datos!MN78,datos!MO78)</f>
        <v>99.949999999999989</v>
      </c>
      <c r="AK73" s="3">
        <f t="shared" si="27"/>
        <v>44440</v>
      </c>
      <c r="AL73" s="12">
        <f t="shared" si="29"/>
        <v>0.2199930519367726</v>
      </c>
      <c r="AM73" s="12">
        <f t="shared" si="30"/>
        <v>0.24569689753257926</v>
      </c>
      <c r="AN73" s="12">
        <f t="shared" si="31"/>
        <v>0.15427206049757122</v>
      </c>
      <c r="AO73" s="12">
        <f t="shared" si="21"/>
        <v>0.63546763737281986</v>
      </c>
      <c r="AP73" s="12">
        <f t="shared" si="22"/>
        <v>0.43001288251283193</v>
      </c>
      <c r="AQ73" s="12">
        <f t="shared" si="23"/>
        <v>0.50849817216685866</v>
      </c>
      <c r="AR73" s="12">
        <f t="shared" si="32"/>
        <v>0.1686398258977149</v>
      </c>
      <c r="AS73" s="12">
        <f t="shared" si="33"/>
        <v>0.20620589485026811</v>
      </c>
      <c r="AT73" s="12">
        <f t="shared" si="20"/>
        <v>0.29746983398760635</v>
      </c>
      <c r="AU73" s="12"/>
      <c r="AV73" s="12"/>
    </row>
    <row r="74" spans="1:48">
      <c r="A74" s="3">
        <v>44470</v>
      </c>
      <c r="B74" s="519">
        <f>datos!R79/1000</f>
        <v>25.5</v>
      </c>
      <c r="C74" s="520">
        <f>datos!MA79</f>
        <v>116.74</v>
      </c>
      <c r="D74" s="7">
        <f>datos!AI79</f>
        <v>40.869999999999997</v>
      </c>
      <c r="E74" s="7">
        <f>datos!MP79</f>
        <v>151.76</v>
      </c>
      <c r="F74" s="525">
        <f>(datos!AD79/1000)/PP!$F$2</f>
        <v>30.321032158377587</v>
      </c>
      <c r="G74" s="522">
        <f>datos!MH79</f>
        <v>197.99</v>
      </c>
      <c r="H74" s="525">
        <f>datos!BK79/$H$2</f>
        <v>428.06941923774963</v>
      </c>
      <c r="I74" s="522">
        <f>datos!NB79</f>
        <v>676.49</v>
      </c>
      <c r="J74" s="7">
        <f>datos!BR79/$J$2</f>
        <v>224.29999999999998</v>
      </c>
      <c r="K74" s="7">
        <f>datos!NE79</f>
        <v>521.54</v>
      </c>
      <c r="L74" s="525">
        <f>datos!BO79*$L$2</f>
        <v>105.749</v>
      </c>
      <c r="M74" s="522">
        <f>datos!NA79</f>
        <v>202.18</v>
      </c>
      <c r="N74" s="7">
        <f>datos!BS79*$N$2</f>
        <v>170.1</v>
      </c>
      <c r="O74" s="7">
        <f>datos!ND79</f>
        <v>989</v>
      </c>
      <c r="P74" s="525">
        <f>(datos!AG79/1000)/$P$2</f>
        <v>87.35294117647058</v>
      </c>
      <c r="Q74" s="522">
        <f>datos!MY79*$Q$2</f>
        <v>434.7</v>
      </c>
      <c r="R74" s="525">
        <f>datos!BN79</f>
        <v>33.270000000000003</v>
      </c>
      <c r="S74" s="528">
        <v>3.6400000000000002E-2</v>
      </c>
      <c r="T74" s="529">
        <v>476.21</v>
      </c>
      <c r="U74" s="530">
        <f t="shared" si="28"/>
        <v>17.334043999999999</v>
      </c>
      <c r="V74" s="522">
        <f>datos!NC79+U74</f>
        <v>110.61404400000001</v>
      </c>
      <c r="W74" s="672">
        <f>datos!AV79*W$4</f>
        <v>403.09090909090907</v>
      </c>
      <c r="X74" s="672">
        <f t="shared" si="24"/>
        <v>32.247272727272723</v>
      </c>
      <c r="Y74" s="672">
        <f>Y75/(1+(datos!G80/datos!G79-1))</f>
        <v>24.324272654155646</v>
      </c>
      <c r="Z74" s="672"/>
      <c r="AA74" s="673"/>
      <c r="AB74" s="7"/>
      <c r="AC74" s="674">
        <f>datos!MJ79</f>
        <v>52.86</v>
      </c>
      <c r="AD74" s="681">
        <f>datos!BB79*AD$4</f>
        <v>914.58131029285107</v>
      </c>
      <c r="AE74" s="673">
        <f t="shared" si="25"/>
        <v>73.166504823428085</v>
      </c>
      <c r="AF74" s="673">
        <f t="shared" si="26"/>
        <v>24.324272654155646</v>
      </c>
      <c r="AG74" s="672"/>
      <c r="AH74" s="2"/>
      <c r="AI74" s="522">
        <f>AVERAGE(datos!ML79,datos!MM79,datos!MN79,datos!MO79)</f>
        <v>121.87</v>
      </c>
      <c r="AK74" s="3">
        <f t="shared" si="27"/>
        <v>44470</v>
      </c>
      <c r="AL74" s="12">
        <f t="shared" si="29"/>
        <v>0.21843412712009594</v>
      </c>
      <c r="AM74" s="12">
        <f t="shared" si="30"/>
        <v>0.26930680021085923</v>
      </c>
      <c r="AN74" s="12">
        <f t="shared" si="31"/>
        <v>0.15314426061102876</v>
      </c>
      <c r="AO74" s="12">
        <f t="shared" si="21"/>
        <v>0.63278011387862287</v>
      </c>
      <c r="AP74" s="12">
        <f t="shared" si="22"/>
        <v>0.43007247766230777</v>
      </c>
      <c r="AQ74" s="12">
        <f t="shared" si="23"/>
        <v>0.52304382233653179</v>
      </c>
      <c r="AR74" s="12">
        <f t="shared" si="32"/>
        <v>0.17199191102123357</v>
      </c>
      <c r="AS74" s="12">
        <f t="shared" si="33"/>
        <v>0.20094994519546946</v>
      </c>
      <c r="AT74" s="12">
        <f t="shared" si="20"/>
        <v>0.30077555070674389</v>
      </c>
      <c r="AU74" s="12"/>
      <c r="AV74" s="12"/>
    </row>
    <row r="75" spans="1:48">
      <c r="A75" s="3">
        <v>44501</v>
      </c>
      <c r="B75" s="519">
        <f>datos!R80/1000</f>
        <v>25.375</v>
      </c>
      <c r="C75" s="520">
        <f>datos!MA80</f>
        <v>114.43</v>
      </c>
      <c r="D75" s="7">
        <f>datos!AI80</f>
        <v>39.24</v>
      </c>
      <c r="E75" s="7">
        <f>datos!MP80</f>
        <v>156.12</v>
      </c>
      <c r="F75" s="525">
        <f>(datos!AD80/1000)/PP!$F$2</f>
        <v>31.304396330275221</v>
      </c>
      <c r="G75" s="522">
        <f>datos!MH80</f>
        <v>204.32</v>
      </c>
      <c r="H75" s="525">
        <f>datos!BK80/$H$2</f>
        <v>512.14382940108896</v>
      </c>
      <c r="I75" s="522">
        <f>datos!NB80</f>
        <v>786.63</v>
      </c>
      <c r="J75" s="7">
        <f>datos!BR80/$J$2</f>
        <v>237.69999999999996</v>
      </c>
      <c r="K75" s="7">
        <f>datos!NE80</f>
        <v>568.08000000000004</v>
      </c>
      <c r="L75" s="525">
        <f>datos!BO80*$L$2</f>
        <v>108.57</v>
      </c>
      <c r="M75" s="522">
        <f>datos!NA80</f>
        <v>210.04</v>
      </c>
      <c r="N75" s="7">
        <f>datos!BS80*$N$2</f>
        <v>170.1</v>
      </c>
      <c r="O75" s="7">
        <f>datos!ND80</f>
        <v>1019</v>
      </c>
      <c r="P75" s="525">
        <f>(datos!AG80/1000)/$P$2</f>
        <v>108.3235294117647</v>
      </c>
      <c r="Q75" s="522">
        <f>datos!MY80*$Q$2</f>
        <v>433.2</v>
      </c>
      <c r="R75" s="525">
        <f>datos!BN80</f>
        <v>33.700000000000003</v>
      </c>
      <c r="S75" s="528">
        <v>3.6200000000000003E-2</v>
      </c>
      <c r="T75" s="529">
        <v>486.41</v>
      </c>
      <c r="U75" s="530">
        <f t="shared" si="28"/>
        <v>17.608042000000001</v>
      </c>
      <c r="V75" s="522">
        <f>datos!NC80+U75</f>
        <v>107.06804199999999</v>
      </c>
      <c r="W75" s="672">
        <f>datos!AV80*W$4</f>
        <v>438.15384615384613</v>
      </c>
      <c r="X75" s="672">
        <f t="shared" si="24"/>
        <v>35.052307692307693</v>
      </c>
      <c r="Y75" s="672">
        <f>Y76/(1+(datos!G81/datos!G80-1))</f>
        <v>24.937825866781026</v>
      </c>
      <c r="Z75" s="672"/>
      <c r="AA75" s="673"/>
      <c r="AB75" s="7"/>
      <c r="AC75" s="674">
        <f>datos!MJ80</f>
        <v>55.84</v>
      </c>
      <c r="AD75" s="681">
        <f>datos!BB80*AD$4</f>
        <v>713.16309582755662</v>
      </c>
      <c r="AE75" s="673">
        <f t="shared" si="25"/>
        <v>57.053047666204527</v>
      </c>
      <c r="AF75" s="673">
        <f t="shared" si="26"/>
        <v>24.937825866781026</v>
      </c>
      <c r="AG75" s="672"/>
      <c r="AH75" s="2"/>
      <c r="AI75" s="522">
        <f>AVERAGE(datos!ML80,datos!MM80,datos!MN80,datos!MO80)</f>
        <v>98.839999999999989</v>
      </c>
      <c r="AK75" s="3">
        <f t="shared" si="27"/>
        <v>44501</v>
      </c>
      <c r="AL75" s="12">
        <f t="shared" si="29"/>
        <v>0.22175128899764046</v>
      </c>
      <c r="AM75" s="12">
        <f t="shared" si="30"/>
        <v>0.25134511913912377</v>
      </c>
      <c r="AN75" s="12">
        <f t="shared" si="31"/>
        <v>0.15321258971356314</v>
      </c>
      <c r="AO75" s="12">
        <f t="shared" si="21"/>
        <v>0.65106063765822431</v>
      </c>
      <c r="AP75" s="12">
        <f t="shared" si="22"/>
        <v>0.41842698211519497</v>
      </c>
      <c r="AQ75" s="12">
        <f t="shared" si="23"/>
        <v>0.51690154256332121</v>
      </c>
      <c r="AR75" s="12">
        <f t="shared" si="32"/>
        <v>0.16692836113837095</v>
      </c>
      <c r="AS75" s="12">
        <f t="shared" si="33"/>
        <v>0.25005431535495082</v>
      </c>
      <c r="AT75" s="12">
        <f t="shared" si="20"/>
        <v>0.31475311746151113</v>
      </c>
      <c r="AU75" s="12"/>
      <c r="AV75" s="12"/>
    </row>
    <row r="76" spans="1:48">
      <c r="A76" s="3">
        <v>44531</v>
      </c>
      <c r="B76" s="519">
        <f>datos!R81/1000</f>
        <v>25</v>
      </c>
      <c r="C76" s="520">
        <f>datos!MA81</f>
        <v>114.82</v>
      </c>
      <c r="D76" s="7">
        <f>datos!AI81</f>
        <v>34.832700000000003</v>
      </c>
      <c r="E76" s="7">
        <f>datos!MP81</f>
        <v>163.25</v>
      </c>
      <c r="F76" s="525">
        <f>(datos!AD81/1000)/PP!$F$2</f>
        <v>31.102984403669723</v>
      </c>
      <c r="G76" s="522">
        <f>datos!MH81</f>
        <v>207.97</v>
      </c>
      <c r="H76" s="525">
        <f>datos!BK81/$H$2</f>
        <v>537.44555353902001</v>
      </c>
      <c r="I76" s="522">
        <f>datos!NB81</f>
        <v>870.68</v>
      </c>
      <c r="J76" s="7">
        <f>datos!BR81/$J$2</f>
        <v>248.04999999999998</v>
      </c>
      <c r="K76" s="7">
        <f>datos!NE81</f>
        <v>593.57000000000005</v>
      </c>
      <c r="L76" s="525">
        <f>datos!BO81*$L$2</f>
        <v>116.41</v>
      </c>
      <c r="M76" s="522">
        <f>datos!NA81</f>
        <v>215.43</v>
      </c>
      <c r="N76" s="7">
        <f>datos!BS81*$N$2</f>
        <v>173.88</v>
      </c>
      <c r="O76" s="7">
        <f>datos!ND81</f>
        <v>1019</v>
      </c>
      <c r="P76" s="525">
        <f>(datos!AG81/1000)/$P$2</f>
        <v>108.3235294117647</v>
      </c>
      <c r="Q76" s="522">
        <f>datos!MY81*$Q$2</f>
        <v>433.56</v>
      </c>
      <c r="R76" s="525">
        <f>datos!BN81</f>
        <v>34.35</v>
      </c>
      <c r="S76" s="528">
        <v>3.5900000000000001E-2</v>
      </c>
      <c r="T76" s="529">
        <v>500.69</v>
      </c>
      <c r="U76" s="530">
        <f t="shared" si="28"/>
        <v>17.974771</v>
      </c>
      <c r="V76" s="522">
        <f>datos!NC81+U76</f>
        <v>108.26477100000001</v>
      </c>
      <c r="W76" s="672">
        <f>datos!AV81*W$4</f>
        <v>371.81355932203388</v>
      </c>
      <c r="X76" s="672">
        <f t="shared" si="24"/>
        <v>29.745084745762711</v>
      </c>
      <c r="Y76" s="672">
        <f>Y77/(1+(datos!G82/datos!G81-1))</f>
        <v>25.898170025672936</v>
      </c>
      <c r="Z76" s="672"/>
      <c r="AA76" s="673"/>
      <c r="AB76" s="7"/>
      <c r="AC76" s="674">
        <f>datos!MJ81</f>
        <v>53.71</v>
      </c>
      <c r="AD76" s="681">
        <f>datos!BB81*AD$4</f>
        <v>589.80628019323672</v>
      </c>
      <c r="AE76" s="673">
        <f t="shared" si="25"/>
        <v>47.184502415458937</v>
      </c>
      <c r="AF76" s="673">
        <f t="shared" si="26"/>
        <v>25.898170025672936</v>
      </c>
      <c r="AG76" s="672"/>
      <c r="AH76" s="2"/>
      <c r="AI76" s="522">
        <f>AVERAGE(datos!ML81,datos!MM81,datos!MN81,datos!MO81)</f>
        <v>88.523333333333355</v>
      </c>
      <c r="AK76" s="3">
        <f t="shared" si="27"/>
        <v>44531</v>
      </c>
      <c r="AL76" s="12">
        <f t="shared" si="29"/>
        <v>0.21773210242118099</v>
      </c>
      <c r="AM76" s="12">
        <f t="shared" si="30"/>
        <v>0.21337029096477797</v>
      </c>
      <c r="AN76" s="12">
        <f t="shared" si="31"/>
        <v>0.1495551493180253</v>
      </c>
      <c r="AO76" s="12">
        <f t="shared" si="21"/>
        <v>0.61727104509006758</v>
      </c>
      <c r="AP76" s="12">
        <f t="shared" si="22"/>
        <v>0.41789510925417384</v>
      </c>
      <c r="AQ76" s="12">
        <f t="shared" si="23"/>
        <v>0.54036113818873877</v>
      </c>
      <c r="AR76" s="12">
        <f t="shared" si="32"/>
        <v>0.17063788027477919</v>
      </c>
      <c r="AS76" s="12">
        <f t="shared" si="33"/>
        <v>0.24984668652957998</v>
      </c>
      <c r="AT76" s="12">
        <f t="shared" si="20"/>
        <v>0.3172777227783542</v>
      </c>
      <c r="AU76" s="12"/>
      <c r="AV76" s="12"/>
    </row>
    <row r="77" spans="1:48">
      <c r="A77" s="3">
        <v>44562</v>
      </c>
      <c r="B77" s="519">
        <f>datos!R82/1000</f>
        <v>24</v>
      </c>
      <c r="C77" s="520">
        <f>datos!MA82</f>
        <v>120.6</v>
      </c>
      <c r="D77" s="7">
        <f>datos!AI82</f>
        <v>44.58</v>
      </c>
      <c r="E77" s="7">
        <f>datos!MP82</f>
        <v>167.31</v>
      </c>
      <c r="F77" s="525">
        <f>(datos!AD82/1000)/PP!$F$2</f>
        <v>31.985757798165128</v>
      </c>
      <c r="G77" s="522">
        <f>datos!MH82</f>
        <v>209.92</v>
      </c>
      <c r="H77" s="525">
        <f>datos!BK82/$H$2</f>
        <v>533.17377495462802</v>
      </c>
      <c r="I77" s="522">
        <f>datos!NB82</f>
        <v>898.19</v>
      </c>
      <c r="J77" s="7">
        <f>datos!BR82/$J$2</f>
        <v>258.33333333333331</v>
      </c>
      <c r="K77" s="7">
        <f>datos!NE82</f>
        <v>611</v>
      </c>
      <c r="L77" s="525">
        <f>datos!BO82*$L$2</f>
        <v>108.91999999999999</v>
      </c>
      <c r="M77" s="522">
        <f>datos!NA82</f>
        <v>225.9</v>
      </c>
      <c r="N77" s="7">
        <f>datos!BS82*$N$2</f>
        <v>173.88</v>
      </c>
      <c r="O77" s="7">
        <f>datos!ND82</f>
        <v>1019</v>
      </c>
      <c r="P77" s="525">
        <f>(datos!AG82/1000)/$P$2</f>
        <v>108.3235294117647</v>
      </c>
      <c r="Q77" s="522">
        <f>datos!MY82*$Q$2</f>
        <v>450.36</v>
      </c>
      <c r="R77" s="525">
        <f>datos!BN82</f>
        <v>35.82</v>
      </c>
      <c r="S77" s="528">
        <v>3.5900000000000001E-2</v>
      </c>
      <c r="T77" s="529">
        <v>522.73</v>
      </c>
      <c r="U77" s="530">
        <f t="shared" si="28"/>
        <v>18.766007000000002</v>
      </c>
      <c r="V77" s="522">
        <f>datos!NC82+U77</f>
        <v>109.986007</v>
      </c>
      <c r="W77" s="672">
        <f>datos!AV82*W$4</f>
        <v>478.10958904109589</v>
      </c>
      <c r="X77" s="672">
        <f t="shared" si="24"/>
        <v>38.248767123287671</v>
      </c>
      <c r="Y77" s="672">
        <f>Y78/(1+(datos!G83/datos!G82-1))</f>
        <v>26.898528524518667</v>
      </c>
      <c r="Z77" s="672"/>
      <c r="AA77" s="673"/>
      <c r="AB77" s="7"/>
      <c r="AC77" s="674">
        <f>datos!MJ82</f>
        <v>61.33</v>
      </c>
      <c r="AD77" s="681">
        <f>datos!BB82*AD$4</f>
        <v>933.65464966605953</v>
      </c>
      <c r="AE77" s="673">
        <f t="shared" si="25"/>
        <v>74.692371973284764</v>
      </c>
      <c r="AF77" s="673">
        <f t="shared" si="26"/>
        <v>26.898528524518667</v>
      </c>
      <c r="AG77" s="672"/>
      <c r="AH77" s="2"/>
      <c r="AI77" s="522">
        <f>AVERAGE(datos!ML82,datos!MM82,datos!MN82,datos!MO82)</f>
        <v>120.29666666666667</v>
      </c>
      <c r="AK77" s="3">
        <f t="shared" si="27"/>
        <v>44562</v>
      </c>
      <c r="AL77" s="12">
        <f t="shared" si="29"/>
        <v>0.19900497512437812</v>
      </c>
      <c r="AM77" s="12">
        <f t="shared" si="30"/>
        <v>0.26645149722072797</v>
      </c>
      <c r="AN77" s="12">
        <f t="shared" si="31"/>
        <v>0.1523711785354665</v>
      </c>
      <c r="AO77" s="12">
        <f t="shared" si="21"/>
        <v>0.59360911940082606</v>
      </c>
      <c r="AP77" s="12">
        <f t="shared" si="22"/>
        <v>0.42280414620840151</v>
      </c>
      <c r="AQ77" s="12">
        <f t="shared" si="23"/>
        <v>0.48216024789729961</v>
      </c>
      <c r="AR77" s="12">
        <f t="shared" si="32"/>
        <v>0.17063788027477919</v>
      </c>
      <c r="AS77" s="12">
        <f t="shared" si="33"/>
        <v>0.24052653302194843</v>
      </c>
      <c r="AT77" s="12">
        <f t="shared" si="20"/>
        <v>0.32567779281231657</v>
      </c>
      <c r="AU77" s="12"/>
      <c r="AV77" s="12"/>
    </row>
    <row r="78" spans="1:48">
      <c r="A78" s="3">
        <v>44593</v>
      </c>
      <c r="B78" s="519">
        <f>datos!R83/1000</f>
        <v>23.5</v>
      </c>
      <c r="C78" s="520">
        <f>datos!MA83</f>
        <v>120.62</v>
      </c>
      <c r="D78" s="7">
        <f>datos!AI83</f>
        <v>46.28</v>
      </c>
      <c r="E78" s="7">
        <f>datos!MP83</f>
        <v>173.7</v>
      </c>
      <c r="F78" s="525">
        <f>(datos!AD83/1000)/PP!$F$2</f>
        <v>33.437943408981162</v>
      </c>
      <c r="G78" s="522">
        <f>datos!MH83</f>
        <v>225.82</v>
      </c>
      <c r="H78" s="525">
        <f>datos!BK83/$H$2</f>
        <v>605.61025408348451</v>
      </c>
      <c r="I78" s="522">
        <f>datos!NB83</f>
        <v>907.24</v>
      </c>
      <c r="J78" s="7">
        <f>datos!BR83/$J$2</f>
        <v>253.99999999999997</v>
      </c>
      <c r="K78" s="7">
        <f>datos!NE83</f>
        <v>612.61</v>
      </c>
      <c r="L78" s="525">
        <f>datos!BO83*$L$2</f>
        <v>122.42999999999999</v>
      </c>
      <c r="M78" s="522">
        <f>datos!NA83</f>
        <v>230.59</v>
      </c>
      <c r="N78" s="7">
        <f>datos!BS83*$N$2</f>
        <v>173.88</v>
      </c>
      <c r="O78" s="7">
        <f>datos!ND83</f>
        <v>1019</v>
      </c>
      <c r="P78" s="525">
        <f>(datos!AG83/1000)/$P$2</f>
        <v>108.3235294117647</v>
      </c>
      <c r="Q78" s="522">
        <f>datos!MY83*$Q$2</f>
        <v>478.42</v>
      </c>
      <c r="R78" s="525">
        <f>datos!BN83</f>
        <v>37.69</v>
      </c>
      <c r="S78" s="528">
        <v>3.6499999999999998E-2</v>
      </c>
      <c r="T78" s="529">
        <v>538.46</v>
      </c>
      <c r="U78" s="530">
        <f t="shared" si="28"/>
        <v>19.653790000000001</v>
      </c>
      <c r="V78" s="522">
        <f>datos!NC83+U78</f>
        <v>115.09379</v>
      </c>
      <c r="W78" s="672">
        <f>datos!AV83*W$4</f>
        <v>517.231884057971</v>
      </c>
      <c r="X78" s="672">
        <f t="shared" si="24"/>
        <v>41.378550724637684</v>
      </c>
      <c r="Y78" s="672">
        <f>Y79/(1+(datos!G84/datos!G83-1))</f>
        <v>28.161203251950617</v>
      </c>
      <c r="Z78" s="675"/>
      <c r="AA78" s="673"/>
      <c r="AB78" s="7"/>
      <c r="AC78" s="674">
        <f>datos!MJ83</f>
        <v>71.349999999999994</v>
      </c>
      <c r="AD78" s="681">
        <f>datos!BB83*AD$4</f>
        <v>1348.6201754385966</v>
      </c>
      <c r="AE78" s="673">
        <f t="shared" si="25"/>
        <v>107.88961403508773</v>
      </c>
      <c r="AF78" s="673">
        <f t="shared" si="26"/>
        <v>28.161203251950617</v>
      </c>
      <c r="AG78" s="672"/>
      <c r="AH78" s="2"/>
      <c r="AI78" s="522">
        <f>AVERAGE(datos!ML83,datos!MM83,datos!MN83,datos!MO83)</f>
        <v>154.03666666666666</v>
      </c>
      <c r="AK78" s="3">
        <f t="shared" si="27"/>
        <v>44593</v>
      </c>
      <c r="AL78" s="12">
        <f t="shared" si="29"/>
        <v>0.19482672856905986</v>
      </c>
      <c r="AM78" s="12">
        <f t="shared" si="30"/>
        <v>0.26643638457109964</v>
      </c>
      <c r="AN78" s="12">
        <f t="shared" si="31"/>
        <v>0.14807343640501799</v>
      </c>
      <c r="AO78" s="12">
        <f t="shared" si="21"/>
        <v>0.66753037132785642</v>
      </c>
      <c r="AP78" s="12">
        <f t="shared" si="22"/>
        <v>0.41461941528868279</v>
      </c>
      <c r="AQ78" s="12">
        <f t="shared" si="23"/>
        <v>0.53094236523700067</v>
      </c>
      <c r="AR78" s="12">
        <f t="shared" si="32"/>
        <v>0.17063788027477919</v>
      </c>
      <c r="AS78" s="12">
        <f t="shared" si="33"/>
        <v>0.22641931652473704</v>
      </c>
      <c r="AT78" s="12">
        <f t="shared" si="20"/>
        <v>0.32747205561655413</v>
      </c>
      <c r="AV78" s="12"/>
    </row>
    <row r="79" spans="1:48">
      <c r="A79" s="3">
        <v>44621</v>
      </c>
      <c r="B79" s="519">
        <f>datos!R84/1000</f>
        <v>24.95</v>
      </c>
      <c r="C79" s="520">
        <f>datos!MA84</f>
        <v>124.5</v>
      </c>
      <c r="D79" s="7">
        <f>datos!AI84</f>
        <v>51.573999999999998</v>
      </c>
      <c r="E79" s="7">
        <f>datos!MP84</f>
        <v>185.68</v>
      </c>
      <c r="F79" s="525">
        <f>(datos!AD84/1000)/PP!$F$2</f>
        <v>39.231537247706413</v>
      </c>
      <c r="G79" s="522">
        <f>datos!MH84</f>
        <v>265.70999999999998</v>
      </c>
      <c r="H79" s="525">
        <f>datos!BK84/$H$2</f>
        <v>643.03539019963705</v>
      </c>
      <c r="I79" s="522">
        <f>datos!NB84</f>
        <v>978.01</v>
      </c>
      <c r="J79" s="7">
        <f>datos!BR84/$J$2</f>
        <v>255.39999999999998</v>
      </c>
      <c r="K79" s="7">
        <f>datos!NE84</f>
        <v>641.21</v>
      </c>
      <c r="L79" s="525">
        <f>datos!BO84*$L$2</f>
        <v>139.57999999999998</v>
      </c>
      <c r="M79" s="522">
        <f>datos!NA84</f>
        <v>265.5</v>
      </c>
      <c r="N79" s="7">
        <f>datos!BS84*$N$2</f>
        <v>189</v>
      </c>
      <c r="O79" s="7">
        <f>datos!ND84</f>
        <v>1069</v>
      </c>
      <c r="P79" s="525">
        <f>(datos!AG84/1000)/$P$2</f>
        <v>108.3235294117647</v>
      </c>
      <c r="Q79" s="522">
        <f>datos!MY84*$Q$2</f>
        <v>498.48</v>
      </c>
      <c r="R79" s="525">
        <f>datos!BN84</f>
        <v>40.42</v>
      </c>
      <c r="S79" s="528">
        <v>3.7999999999999999E-2</v>
      </c>
      <c r="T79" s="529">
        <v>561.16999999999996</v>
      </c>
      <c r="U79" s="530">
        <f t="shared" si="28"/>
        <v>21.324459999999998</v>
      </c>
      <c r="V79" s="522">
        <f>datos!NC84+U79</f>
        <v>130.07445999999999</v>
      </c>
      <c r="W79" s="672">
        <f>datos!AV84*W$4</f>
        <v>557.15517241379314</v>
      </c>
      <c r="X79" s="672">
        <f t="shared" si="24"/>
        <v>44.572413793103451</v>
      </c>
      <c r="Y79" s="672">
        <f>Y80/(1+(datos!G85/datos!G84-1))</f>
        <v>30.059661380871194</v>
      </c>
      <c r="Z79" s="675"/>
      <c r="AA79" s="673"/>
      <c r="AB79" s="7"/>
      <c r="AC79" s="674">
        <f>datos!MJ84</f>
        <v>67.239999999999995</v>
      </c>
      <c r="AD79" s="681">
        <f>datos!BB84*AD$4</f>
        <v>1249.317510259918</v>
      </c>
      <c r="AE79" s="673">
        <f t="shared" si="25"/>
        <v>99.945400820793438</v>
      </c>
      <c r="AF79" s="673">
        <f t="shared" si="26"/>
        <v>30.059661380871194</v>
      </c>
      <c r="AG79" s="672"/>
      <c r="AH79" s="2"/>
      <c r="AI79" s="522">
        <f>AVERAGE(datos!ML84,datos!MM84,datos!MN84,datos!MO84)</f>
        <v>141.20666666666668</v>
      </c>
      <c r="AK79" s="3">
        <f t="shared" si="27"/>
        <v>44621</v>
      </c>
      <c r="AL79" s="12">
        <f t="shared" si="29"/>
        <v>0.20040160642570282</v>
      </c>
      <c r="AM79" s="12">
        <f t="shared" si="30"/>
        <v>0.27775743214131837</v>
      </c>
      <c r="AN79" s="12">
        <f t="shared" si="31"/>
        <v>0.14764795170564304</v>
      </c>
      <c r="AO79" s="12">
        <f t="shared" si="21"/>
        <v>0.65749367613790966</v>
      </c>
      <c r="AP79" s="12">
        <f t="shared" si="22"/>
        <v>0.39830944620327186</v>
      </c>
      <c r="AQ79" s="12">
        <f t="shared" si="23"/>
        <v>0.52572504708097922</v>
      </c>
      <c r="AR79" s="12">
        <f t="shared" si="32"/>
        <v>0.17680074836295603</v>
      </c>
      <c r="AS79" s="12">
        <f t="shared" si="33"/>
        <v>0.21730767415295438</v>
      </c>
      <c r="AT79" s="12">
        <f t="shared" si="20"/>
        <v>0.31074509169594094</v>
      </c>
      <c r="AV79" s="12"/>
    </row>
    <row r="80" spans="1:48">
      <c r="A80" s="3">
        <v>44652</v>
      </c>
      <c r="B80" s="519">
        <f>datos!R85/1000</f>
        <v>26.75</v>
      </c>
      <c r="C80" s="520">
        <f>datos!MA85</f>
        <v>127.08</v>
      </c>
      <c r="D80" s="7">
        <f>datos!AI85</f>
        <v>66.118499999999997</v>
      </c>
      <c r="E80" s="7">
        <f>datos!MP85</f>
        <v>206.89</v>
      </c>
      <c r="F80" s="525">
        <f>(datos!AD85/1000)/PP!$F$2</f>
        <v>44.724588604538866</v>
      </c>
      <c r="G80" s="522">
        <f>datos!MH85</f>
        <v>295.24</v>
      </c>
      <c r="H80" s="525">
        <f>datos!BK85/$H$2</f>
        <v>693.8044464609801</v>
      </c>
      <c r="I80" s="522">
        <f>datos!NB85</f>
        <v>1049.47</v>
      </c>
      <c r="J80" s="7">
        <f>datos!BR85/$J$2</f>
        <v>265.43333333333328</v>
      </c>
      <c r="K80" s="7">
        <f>datos!NE85</f>
        <v>689.83</v>
      </c>
      <c r="L80" s="525">
        <f>datos!BO85*$L$2</f>
        <v>157.22</v>
      </c>
      <c r="M80" s="522">
        <f>datos!NA85</f>
        <v>293.89</v>
      </c>
      <c r="N80" s="7">
        <f>datos!BS85*$N$2</f>
        <v>189</v>
      </c>
      <c r="O80" s="7">
        <f>datos!ND85</f>
        <v>1069</v>
      </c>
      <c r="P80" s="525">
        <f>(datos!AG85/1000)/$P$2</f>
        <v>137.91176470588235</v>
      </c>
      <c r="Q80" s="522">
        <f>datos!MY85*$Q$2</f>
        <v>548.26</v>
      </c>
      <c r="R80" s="525">
        <f>datos!BN85</f>
        <v>43.38</v>
      </c>
      <c r="S80" s="528">
        <v>3.8800000000000001E-2</v>
      </c>
      <c r="T80" s="529">
        <v>591.1</v>
      </c>
      <c r="U80" s="530">
        <f t="shared" si="28"/>
        <v>22.93468</v>
      </c>
      <c r="V80" s="522">
        <f>datos!NC85+U80</f>
        <v>140.43468000000001</v>
      </c>
      <c r="W80" s="672">
        <f>datos!AV85*W$4</f>
        <v>548.5</v>
      </c>
      <c r="X80" s="672">
        <f t="shared" si="24"/>
        <v>43.88</v>
      </c>
      <c r="Y80" s="672">
        <f>Y81/(1+(datos!G86/datos!G85-1))</f>
        <v>31.873644792111463</v>
      </c>
      <c r="Z80" s="1001">
        <f>AZ6</f>
        <v>0.19999999999999996</v>
      </c>
      <c r="AA80" s="673">
        <f>AA$82/(1+Z$80)</f>
        <v>88.130057999196254</v>
      </c>
      <c r="AB80" s="7">
        <f>(W80-X80-Y80-AA80)/AB$3</f>
        <v>19.230814860434613</v>
      </c>
      <c r="AC80" s="674">
        <f>datos!MJ85</f>
        <v>68.2</v>
      </c>
      <c r="AD80" s="681">
        <f>datos!BB85*AD$4</f>
        <v>839.79546296296303</v>
      </c>
      <c r="AE80" s="673">
        <f t="shared" si="25"/>
        <v>67.183637037037045</v>
      </c>
      <c r="AF80" s="673">
        <f t="shared" si="26"/>
        <v>31.873644792111463</v>
      </c>
      <c r="AG80" s="672">
        <f>AA80</f>
        <v>88.130057999196254</v>
      </c>
      <c r="AH80" s="2">
        <f>(AD80-AE80-AF80-AG80)/AH$3</f>
        <v>36.256006840812134</v>
      </c>
      <c r="AI80" s="522">
        <f>AVERAGE(datos!ML85,datos!MM85,datos!MN85,datos!MO85)</f>
        <v>121.92999999999999</v>
      </c>
      <c r="AK80" s="3">
        <f t="shared" si="27"/>
        <v>44652</v>
      </c>
      <c r="AL80" s="12">
        <f t="shared" si="29"/>
        <v>0.2104973245199874</v>
      </c>
      <c r="AM80" s="12">
        <f t="shared" si="30"/>
        <v>0.3195828701242206</v>
      </c>
      <c r="AN80" s="12">
        <f t="shared" si="31"/>
        <v>0.15148553246355123</v>
      </c>
      <c r="AO80" s="12">
        <f t="shared" si="21"/>
        <v>0.6610998374998619</v>
      </c>
      <c r="AP80" s="12">
        <f t="shared" si="22"/>
        <v>0.38478079140271265</v>
      </c>
      <c r="AQ80" s="12">
        <f t="shared" si="23"/>
        <v>0.53496206063493146</v>
      </c>
      <c r="AR80" s="12">
        <f t="shared" si="32"/>
        <v>0.17680074836295603</v>
      </c>
      <c r="AS80" s="12">
        <f t="shared" si="33"/>
        <v>0.25154445829694372</v>
      </c>
      <c r="AT80" s="12">
        <f t="shared" si="20"/>
        <v>0.30889805851375174</v>
      </c>
      <c r="AU80" s="12">
        <f>AB80/AC80</f>
        <v>0.2819767574843785</v>
      </c>
      <c r="AV80" s="12">
        <f>AH80/AI80</f>
        <v>0.29735099516781871</v>
      </c>
    </row>
    <row r="81" spans="1:48">
      <c r="A81" s="3">
        <v>44682</v>
      </c>
      <c r="B81" s="519">
        <f>datos!R86/1000</f>
        <v>26.5</v>
      </c>
      <c r="C81" s="520">
        <f>datos!MA86</f>
        <v>131.18</v>
      </c>
      <c r="D81" s="7">
        <f>datos!AI86</f>
        <v>63.398000000000003</v>
      </c>
      <c r="E81" s="7">
        <f>datos!MP86</f>
        <v>223.37</v>
      </c>
      <c r="F81" s="525">
        <f>(datos!AD86/1000)/PP!$F$2</f>
        <v>52.466648929663606</v>
      </c>
      <c r="G81" s="522">
        <f>datos!MH86</f>
        <v>301.62</v>
      </c>
      <c r="H81" s="525">
        <f>datos!BK86/$H$2</f>
        <v>715.41742286751366</v>
      </c>
      <c r="I81" s="522">
        <f>datos!NB86</f>
        <v>1095.95</v>
      </c>
      <c r="J81" s="7">
        <f>datos!BR86/$J$2</f>
        <v>264.26666666666665</v>
      </c>
      <c r="K81" s="7">
        <f>datos!NE86</f>
        <v>701.15</v>
      </c>
      <c r="L81" s="525">
        <f>datos!BO86*$L$2</f>
        <v>170.58999999999997</v>
      </c>
      <c r="M81" s="522">
        <f>datos!NA86</f>
        <v>312.37</v>
      </c>
      <c r="N81" s="7">
        <f>datos!BS86*$N$2</f>
        <v>192.78</v>
      </c>
      <c r="O81" s="7">
        <f>datos!ND86</f>
        <v>1130</v>
      </c>
      <c r="P81" s="525">
        <f>(datos!AG86/1000)/$P$2</f>
        <v>137.91176470588235</v>
      </c>
      <c r="Q81" s="522">
        <f>datos!MY86*$Q$2</f>
        <v>588.24</v>
      </c>
      <c r="R81" s="525">
        <f>datos!BN86</f>
        <v>45.52</v>
      </c>
      <c r="S81" s="528">
        <v>3.8800000000000001E-2</v>
      </c>
      <c r="T81" s="529">
        <v>616.33000000000004</v>
      </c>
      <c r="U81" s="530">
        <f t="shared" si="28"/>
        <v>23.913604000000003</v>
      </c>
      <c r="V81" s="522">
        <f>datos!NC86+U81</f>
        <v>149.60360399999999</v>
      </c>
      <c r="W81" s="672">
        <f>datos!AV86*W$4</f>
        <v>634.85964912280701</v>
      </c>
      <c r="X81" s="672">
        <f t="shared" si="24"/>
        <v>50.788771929824563</v>
      </c>
      <c r="Y81" s="672">
        <f>Y82/(1+(datos!G87/datos!G86-1))</f>
        <v>33.483110465809936</v>
      </c>
      <c r="Z81" s="1001"/>
      <c r="AA81" s="673">
        <f>AA$82/(1+Z$80)</f>
        <v>88.130057999196254</v>
      </c>
      <c r="AB81" s="7">
        <f t="shared" ref="AB81:AB130" si="34">(W81-X81-Y81-AA81)/AB$3</f>
        <v>23.122885436398818</v>
      </c>
      <c r="AC81" s="674">
        <f>datos!MJ86</f>
        <v>71.28</v>
      </c>
      <c r="AD81" s="681">
        <f>datos!BB86*AD$4</f>
        <v>986.99118473715646</v>
      </c>
      <c r="AE81" s="673">
        <f t="shared" si="25"/>
        <v>78.95929477897252</v>
      </c>
      <c r="AF81" s="673">
        <f t="shared" si="26"/>
        <v>33.483110465809936</v>
      </c>
      <c r="AG81" s="672">
        <f t="shared" ref="AG81:AG125" si="35">AA81</f>
        <v>88.130057999196254</v>
      </c>
      <c r="AH81" s="2">
        <f t="shared" ref="AH81:AH129" si="36">(AD81-AE81-AF81-AG81)/AH$3</f>
        <v>43.689928971843216</v>
      </c>
      <c r="AI81" s="522">
        <f>AVERAGE(datos!ML86,datos!MM86,datos!MN86,datos!MO86)</f>
        <v>122.97666666666667</v>
      </c>
      <c r="AK81" s="3">
        <f t="shared" si="27"/>
        <v>44682</v>
      </c>
      <c r="AL81" s="12">
        <f t="shared" si="29"/>
        <v>0.2020125019057783</v>
      </c>
      <c r="AM81" s="12">
        <f t="shared" si="30"/>
        <v>0.28382504364955008</v>
      </c>
      <c r="AN81" s="12">
        <f t="shared" si="31"/>
        <v>0.17394950245230292</v>
      </c>
      <c r="AO81" s="12">
        <f t="shared" si="21"/>
        <v>0.65278290329623945</v>
      </c>
      <c r="AP81" s="12">
        <f t="shared" si="22"/>
        <v>0.37690460909458268</v>
      </c>
      <c r="AQ81" s="12">
        <f t="shared" si="23"/>
        <v>0.54611518391650915</v>
      </c>
      <c r="AR81" s="12">
        <f t="shared" si="32"/>
        <v>0.17060176991150441</v>
      </c>
      <c r="AS81" s="12">
        <f t="shared" si="33"/>
        <v>0.23444812441500468</v>
      </c>
      <c r="AT81" s="12">
        <f t="shared" si="20"/>
        <v>0.30427074470746041</v>
      </c>
      <c r="AU81" s="12">
        <f t="shared" ref="AU81:AU124" si="37">AB81/AC81</f>
        <v>0.3243951379966164</v>
      </c>
      <c r="AV81" s="12">
        <f t="shared" ref="AV81:AV124" si="38">AH81/AI81</f>
        <v>0.35527006997405913</v>
      </c>
    </row>
    <row r="82" spans="1:48">
      <c r="A82" s="3">
        <v>44713</v>
      </c>
      <c r="B82" s="519">
        <f>datos!R87/1000</f>
        <v>27.75</v>
      </c>
      <c r="C82" s="520">
        <f>datos!MA87</f>
        <v>136.94999999999999</v>
      </c>
      <c r="D82" s="7">
        <f>datos!AI87</f>
        <v>71.959999999999994</v>
      </c>
      <c r="E82" s="7">
        <f>datos!MP87</f>
        <v>245.18</v>
      </c>
      <c r="F82" s="525">
        <f>(datos!AD87/1000)/PP!$F$2</f>
        <v>50.18291253822629</v>
      </c>
      <c r="G82" s="522">
        <f>datos!MH87</f>
        <v>311.8</v>
      </c>
      <c r="H82" s="525">
        <f>datos!BK87/$H$2</f>
        <v>704.505444646098</v>
      </c>
      <c r="I82" s="522">
        <f>datos!NB87</f>
        <v>1108.8399999999999</v>
      </c>
      <c r="J82" s="7">
        <f>datos!BR87/$J$2</f>
        <v>258.71666666666664</v>
      </c>
      <c r="K82" s="7">
        <f>datos!NE87</f>
        <v>699.51</v>
      </c>
      <c r="L82" s="525">
        <f>datos!BO87*$L$2</f>
        <v>178.14999999999998</v>
      </c>
      <c r="M82" s="522">
        <f>datos!NA87</f>
        <v>338.59</v>
      </c>
      <c r="N82" s="7">
        <f>datos!BS87*$N$2</f>
        <v>234.36</v>
      </c>
      <c r="O82" s="7">
        <f>datos!ND87</f>
        <v>1210</v>
      </c>
      <c r="P82" s="525">
        <f>(datos!AG87/1000)/$P$2</f>
        <v>137.91176470588235</v>
      </c>
      <c r="Q82" s="522">
        <f>datos!MY87*$Q$2</f>
        <v>609.82000000000005</v>
      </c>
      <c r="R82" s="525">
        <f>datos!BN87</f>
        <v>47.81</v>
      </c>
      <c r="S82" s="528">
        <v>3.8899999999999997E-2</v>
      </c>
      <c r="T82" s="529">
        <v>6473.56</v>
      </c>
      <c r="U82" s="530">
        <f t="shared" si="28"/>
        <v>251.821484</v>
      </c>
      <c r="V82" s="522">
        <f>datos!NC87+U82</f>
        <v>384.33148399999999</v>
      </c>
      <c r="W82" s="672">
        <f>datos!AV87*W$4</f>
        <v>762.38461538461536</v>
      </c>
      <c r="X82" s="672">
        <f t="shared" si="24"/>
        <v>60.990769230769232</v>
      </c>
      <c r="Y82" s="672">
        <f>Y83/(1+(datos!G88/datos!G87-1))</f>
        <v>35.257079537096374</v>
      </c>
      <c r="Z82" s="1001">
        <f>AZ7</f>
        <v>0.15711197578901848</v>
      </c>
      <c r="AA82" s="673">
        <f>AA$87/(1+Z$82)</f>
        <v>105.7560695990355</v>
      </c>
      <c r="AB82" s="7">
        <f t="shared" si="34"/>
        <v>28.01903485088571</v>
      </c>
      <c r="AC82" s="674">
        <f>datos!MJ87</f>
        <v>86.64</v>
      </c>
      <c r="AD82" s="681">
        <f>datos!BB87*AD$4</f>
        <v>1125.2084128528743</v>
      </c>
      <c r="AE82" s="673">
        <f t="shared" si="25"/>
        <v>90.016673028229945</v>
      </c>
      <c r="AF82" s="673">
        <f t="shared" si="26"/>
        <v>35.257079537096374</v>
      </c>
      <c r="AG82" s="672">
        <f t="shared" si="35"/>
        <v>105.7560695990355</v>
      </c>
      <c r="AH82" s="2">
        <f t="shared" si="36"/>
        <v>49.676588371584025</v>
      </c>
      <c r="AI82" s="522">
        <f>AVERAGE(datos!ML87,datos!MM87,datos!MN87,datos!MO87)</f>
        <v>137.73999999999998</v>
      </c>
      <c r="AK82" s="3">
        <f t="shared" si="27"/>
        <v>44713</v>
      </c>
      <c r="AL82" s="12">
        <f t="shared" si="29"/>
        <v>0.20262869660460023</v>
      </c>
      <c r="AM82" s="12">
        <f t="shared" si="30"/>
        <v>0.29349865405008563</v>
      </c>
      <c r="AN82" s="12">
        <f t="shared" si="31"/>
        <v>0.16094583880123889</v>
      </c>
      <c r="AO82" s="12">
        <f t="shared" si="21"/>
        <v>0.63535356286398226</v>
      </c>
      <c r="AP82" s="12">
        <f t="shared" si="22"/>
        <v>0.36985413599043138</v>
      </c>
      <c r="AQ82" s="12">
        <f t="shared" si="23"/>
        <v>0.52615257390944803</v>
      </c>
      <c r="AR82" s="12">
        <f t="shared" si="32"/>
        <v>0.19368595041322315</v>
      </c>
      <c r="AS82" s="12">
        <f t="shared" si="33"/>
        <v>0.2261515934306555</v>
      </c>
      <c r="AT82" s="12">
        <f t="shared" si="20"/>
        <v>0.12439782320825947</v>
      </c>
      <c r="AU82" s="12">
        <f t="shared" si="37"/>
        <v>0.32339606245251279</v>
      </c>
      <c r="AV82" s="12">
        <f t="shared" si="38"/>
        <v>0.36065477255397149</v>
      </c>
    </row>
    <row r="83" spans="1:48">
      <c r="A83" s="3">
        <v>44743</v>
      </c>
      <c r="B83" s="519">
        <f>datos!R88/1000</f>
        <v>32</v>
      </c>
      <c r="C83" s="520">
        <f>datos!MA88</f>
        <v>137.75</v>
      </c>
      <c r="D83" s="7">
        <f>datos!AI88</f>
        <v>73.606499999999997</v>
      </c>
      <c r="E83" s="7">
        <f>datos!MP88</f>
        <v>265.85000000000002</v>
      </c>
      <c r="F83" s="525">
        <f>(datos!AD88/1000)/PP!$F$2</f>
        <v>47.693674442988211</v>
      </c>
      <c r="G83" s="522">
        <f>datos!MH88</f>
        <v>327.39</v>
      </c>
      <c r="H83" s="525">
        <f>datos!BK88/$H$2</f>
        <v>692.46823956442836</v>
      </c>
      <c r="I83" s="522">
        <f>datos!NB88</f>
        <v>1108.17</v>
      </c>
      <c r="J83" s="7">
        <f>datos!BR88/$J$2</f>
        <v>349.22499999999997</v>
      </c>
      <c r="K83" s="7">
        <f>datos!NE88</f>
        <v>755.06</v>
      </c>
      <c r="L83" s="525">
        <f>datos!BO88*$L$2</f>
        <v>173.81</v>
      </c>
      <c r="M83" s="522">
        <f>datos!NA88</f>
        <v>353.12</v>
      </c>
      <c r="N83" s="7">
        <f>datos!BS88*$N$2</f>
        <v>257.04000000000002</v>
      </c>
      <c r="O83" s="7">
        <f>datos!ND88</f>
        <v>1400</v>
      </c>
      <c r="P83" s="525">
        <f>(datos!AG88/1000)/$P$2</f>
        <v>137.91176470588235</v>
      </c>
      <c r="Q83" s="522">
        <f>datos!MY88*$Q$2</f>
        <v>636.02</v>
      </c>
      <c r="R83" s="525">
        <f>datos!BN88</f>
        <v>50.51</v>
      </c>
      <c r="S83" s="528">
        <v>3.8699999999999998E-2</v>
      </c>
      <c r="T83" s="529">
        <v>689.9</v>
      </c>
      <c r="U83" s="530">
        <f t="shared" si="28"/>
        <v>26.699129999999997</v>
      </c>
      <c r="V83" s="522">
        <f>datos!NC88+U83</f>
        <v>169.11912999999998</v>
      </c>
      <c r="W83" s="672">
        <f>datos!AV88*W$4</f>
        <v>851.41025641025647</v>
      </c>
      <c r="X83" s="672">
        <f t="shared" si="24"/>
        <v>68.11282051282052</v>
      </c>
      <c r="Y83" s="672">
        <f>Y84/(1+(datos!G89/datos!G88-1))</f>
        <v>37.871349747413227</v>
      </c>
      <c r="Z83" s="1001"/>
      <c r="AA83" s="673">
        <f>AA$87/(1+Z$82)</f>
        <v>105.7560695990355</v>
      </c>
      <c r="AB83" s="7">
        <f t="shared" si="34"/>
        <v>31.983500827549356</v>
      </c>
      <c r="AC83" s="674">
        <f>datos!MJ88</f>
        <v>91.32</v>
      </c>
      <c r="AD83" s="681">
        <f>datos!BB88*AD$4</f>
        <v>1167.4958177278402</v>
      </c>
      <c r="AE83" s="673">
        <f t="shared" si="25"/>
        <v>93.399665418227215</v>
      </c>
      <c r="AF83" s="673">
        <f t="shared" si="26"/>
        <v>37.871349747413227</v>
      </c>
      <c r="AG83" s="672">
        <f t="shared" si="35"/>
        <v>105.7560695990355</v>
      </c>
      <c r="AH83" s="2">
        <f t="shared" si="36"/>
        <v>51.692707386842457</v>
      </c>
      <c r="AI83" s="522">
        <f>AVERAGE(datos!ML88,datos!MM88,datos!MN88,datos!MO88)</f>
        <v>149.83666666666667</v>
      </c>
      <c r="AK83" s="3">
        <f t="shared" si="27"/>
        <v>44743</v>
      </c>
      <c r="AL83" s="12">
        <f t="shared" si="29"/>
        <v>0.23230490018148819</v>
      </c>
      <c r="AM83" s="12">
        <f t="shared" si="30"/>
        <v>0.27687229640774869</v>
      </c>
      <c r="AN83" s="12">
        <f t="shared" si="31"/>
        <v>0.14567847045721682</v>
      </c>
      <c r="AO83" s="12">
        <f t="shared" si="21"/>
        <v>0.6248754609531284</v>
      </c>
      <c r="AP83" s="12">
        <f t="shared" si="22"/>
        <v>0.46251291288109553</v>
      </c>
      <c r="AQ83" s="12">
        <f t="shared" si="23"/>
        <v>0.49221227911191662</v>
      </c>
      <c r="AR83" s="12">
        <f t="shared" si="32"/>
        <v>0.18360000000000001</v>
      </c>
      <c r="AS83" s="12">
        <f t="shared" si="33"/>
        <v>0.21683557860740599</v>
      </c>
      <c r="AT83" s="12">
        <f t="shared" si="20"/>
        <v>0.29866520718265288</v>
      </c>
      <c r="AU83" s="12">
        <f t="shared" si="37"/>
        <v>0.35023544489213054</v>
      </c>
      <c r="AV83" s="12">
        <f t="shared" si="38"/>
        <v>0.34499370906215071</v>
      </c>
    </row>
    <row r="84" spans="1:48">
      <c r="A84" s="3">
        <v>44774</v>
      </c>
      <c r="B84" s="519">
        <f>datos!R89/1000</f>
        <v>34</v>
      </c>
      <c r="C84" s="520">
        <f>datos!MA89</f>
        <v>143.83000000000001</v>
      </c>
      <c r="D84" s="7">
        <f>datos!AI89</f>
        <v>78.4221</v>
      </c>
      <c r="E84" s="7">
        <f>datos!MP89</f>
        <v>280.89</v>
      </c>
      <c r="F84" s="525">
        <f>(datos!AD89/1000)/PP!$F$2</f>
        <v>49.05033327773144</v>
      </c>
      <c r="G84" s="522">
        <f>datos!MH89</f>
        <v>343.1</v>
      </c>
      <c r="H84" s="525">
        <f>datos!BK89/$H$2</f>
        <v>719.99092558983671</v>
      </c>
      <c r="I84" s="522">
        <f>datos!NB89</f>
        <v>1113.06</v>
      </c>
      <c r="J84" s="7">
        <f>datos!BR89/$J$2</f>
        <v>350.16666666666663</v>
      </c>
      <c r="K84" s="7">
        <f>datos!NE89</f>
        <v>821.93</v>
      </c>
      <c r="L84" s="525">
        <f>datos!BO89*$L$2</f>
        <v>186.41</v>
      </c>
      <c r="M84" s="522">
        <f>datos!NA89</f>
        <v>365.8</v>
      </c>
      <c r="N84" s="7">
        <f>datos!BS89*$N$2</f>
        <v>264.60000000000002</v>
      </c>
      <c r="O84" s="7">
        <f>datos!ND89</f>
        <v>1390</v>
      </c>
      <c r="P84" s="525">
        <f>(datos!AG89/1000)/$P$2</f>
        <v>137.91176470588235</v>
      </c>
      <c r="Q84" s="522">
        <f>datos!MY89*$Q$2</f>
        <v>663.68</v>
      </c>
      <c r="R84" s="525">
        <f>datos!BN89</f>
        <v>52.58</v>
      </c>
      <c r="S84" s="528">
        <v>3.7999999999999999E-2</v>
      </c>
      <c r="T84" s="529">
        <v>731.98</v>
      </c>
      <c r="U84" s="530">
        <f t="shared" si="28"/>
        <v>27.815239999999999</v>
      </c>
      <c r="V84" s="522">
        <f>datos!NC89+U84</f>
        <v>181.70523999999997</v>
      </c>
      <c r="W84" s="672">
        <f>datos!AV89*W$4</f>
        <v>1230.9069767441861</v>
      </c>
      <c r="X84" s="672">
        <f t="shared" si="24"/>
        <v>98.472558139534883</v>
      </c>
      <c r="Y84" s="672">
        <f>Y85/(1+(datos!G90/datos!G89-1))</f>
        <v>40.507850146593327</v>
      </c>
      <c r="Z84" s="1001"/>
      <c r="AA84" s="673">
        <f>AA$87/(1+Z$82)</f>
        <v>105.7560695990355</v>
      </c>
      <c r="AB84" s="7">
        <f t="shared" si="34"/>
        <v>49.308524942951124</v>
      </c>
      <c r="AC84" s="674">
        <f>datos!MJ89</f>
        <v>120.84</v>
      </c>
      <c r="AD84" s="681">
        <f>datos!BB89*AD$4</f>
        <v>1715.9064646464649</v>
      </c>
      <c r="AE84" s="673">
        <f t="shared" si="25"/>
        <v>137.2725171717172</v>
      </c>
      <c r="AF84" s="673">
        <f t="shared" si="26"/>
        <v>40.507850146593327</v>
      </c>
      <c r="AG84" s="672">
        <f t="shared" si="35"/>
        <v>105.7560695990355</v>
      </c>
      <c r="AH84" s="2">
        <f t="shared" si="36"/>
        <v>79.57611265161772</v>
      </c>
      <c r="AI84" s="522">
        <f>AVERAGE(datos!ML89,datos!MM89,datos!MN89,datos!MO89)</f>
        <v>200.32000000000002</v>
      </c>
      <c r="AK84" s="3">
        <f t="shared" si="27"/>
        <v>44774</v>
      </c>
      <c r="AL84" s="12">
        <f t="shared" si="29"/>
        <v>0.23639018285475907</v>
      </c>
      <c r="AM84" s="12">
        <f t="shared" si="30"/>
        <v>0.27919149845135105</v>
      </c>
      <c r="AN84" s="12">
        <f t="shared" si="31"/>
        <v>0.14296220716330935</v>
      </c>
      <c r="AO84" s="12">
        <f t="shared" si="21"/>
        <v>0.64685724542238221</v>
      </c>
      <c r="AP84" s="12">
        <f t="shared" si="22"/>
        <v>0.42602979166920135</v>
      </c>
      <c r="AQ84" s="12">
        <f t="shared" si="23"/>
        <v>0.50959540732640785</v>
      </c>
      <c r="AR84" s="12">
        <f t="shared" si="32"/>
        <v>0.19035971223021583</v>
      </c>
      <c r="AS84" s="12">
        <f t="shared" si="33"/>
        <v>0.2077985847183618</v>
      </c>
      <c r="AT84" s="12">
        <f t="shared" si="20"/>
        <v>0.28936975070174092</v>
      </c>
      <c r="AU84" s="12">
        <f t="shared" si="37"/>
        <v>0.40804803825679514</v>
      </c>
      <c r="AV84" s="12">
        <f t="shared" si="38"/>
        <v>0.39724497130400216</v>
      </c>
    </row>
    <row r="85" spans="1:48">
      <c r="A85" s="3">
        <v>44805</v>
      </c>
      <c r="B85" s="519">
        <f>datos!R90/1000</f>
        <v>36</v>
      </c>
      <c r="C85" s="520">
        <f>datos!MA90</f>
        <v>154.33000000000001</v>
      </c>
      <c r="D85" s="7">
        <f>datos!AI90</f>
        <v>79.05</v>
      </c>
      <c r="E85" s="7">
        <f>datos!MP90</f>
        <v>300.58</v>
      </c>
      <c r="F85" s="525">
        <f>(datos!AD90/1000)/PP!$F$2</f>
        <v>56.320916033202259</v>
      </c>
      <c r="G85" s="522">
        <f>datos!MH90</f>
        <v>366.54</v>
      </c>
      <c r="H85" s="525">
        <f>datos!BK90/$H$2</f>
        <v>707.62704174228691</v>
      </c>
      <c r="I85" s="522">
        <f>datos!NB90</f>
        <v>1158.68</v>
      </c>
      <c r="J85" s="7">
        <f>datos!BR90/$J$2</f>
        <v>384.89999999999992</v>
      </c>
      <c r="K85" s="7">
        <f>datos!NE90</f>
        <v>873.33</v>
      </c>
      <c r="L85" s="525">
        <f>datos!BO90*$L$2</f>
        <v>193.06</v>
      </c>
      <c r="M85" s="522">
        <f>datos!NA90</f>
        <v>376.6</v>
      </c>
      <c r="N85" s="7">
        <f>datos!BS90*$N$2</f>
        <v>283.5</v>
      </c>
      <c r="O85" s="7">
        <f>datos!ND90</f>
        <v>1490</v>
      </c>
      <c r="P85" s="525">
        <f>(datos!AG90/1000)/$P$2</f>
        <v>137.91176470588235</v>
      </c>
      <c r="Q85" s="522">
        <f>datos!MY90*$Q$2</f>
        <v>678.96</v>
      </c>
      <c r="R85" s="525">
        <f>datos!BN90</f>
        <v>55.5</v>
      </c>
      <c r="S85" s="528">
        <v>3.7699999999999997E-2</v>
      </c>
      <c r="T85" s="529">
        <v>771.17</v>
      </c>
      <c r="U85" s="530">
        <f t="shared" si="28"/>
        <v>29.073108999999995</v>
      </c>
      <c r="V85" s="522">
        <f>datos!NC90+U85</f>
        <v>200.13310899999999</v>
      </c>
      <c r="W85" s="672">
        <f>datos!AV90*W$4</f>
        <v>1521.034090909091</v>
      </c>
      <c r="X85" s="672">
        <f t="shared" si="24"/>
        <v>121.68272727272728</v>
      </c>
      <c r="Y85" s="672">
        <f>Y86/(1+(datos!G91/datos!G90-1))</f>
        <v>43.006523374821334</v>
      </c>
      <c r="Z85" s="1001"/>
      <c r="AA85" s="673">
        <f>AA$87/(1+Z$82)</f>
        <v>105.7560695990355</v>
      </c>
      <c r="AB85" s="7">
        <f t="shared" si="34"/>
        <v>62.529438533125337</v>
      </c>
      <c r="AC85" s="674">
        <f>datos!MJ90</f>
        <v>142.16</v>
      </c>
      <c r="AD85" s="681">
        <f>datos!BB90*AD$4</f>
        <v>2057.4850495613155</v>
      </c>
      <c r="AE85" s="673">
        <f t="shared" si="25"/>
        <v>164.59880396490524</v>
      </c>
      <c r="AF85" s="673">
        <f t="shared" si="26"/>
        <v>43.006523374821334</v>
      </c>
      <c r="AG85" s="672">
        <f t="shared" si="35"/>
        <v>105.7560695990355</v>
      </c>
      <c r="AH85" s="2">
        <f t="shared" si="36"/>
        <v>96.895758479030732</v>
      </c>
      <c r="AI85" s="522">
        <f>AVERAGE(datos!ML90,datos!MM90,datos!MN90,datos!MO90)</f>
        <v>264.05333333333334</v>
      </c>
      <c r="AK85" s="3">
        <f t="shared" si="27"/>
        <v>44805</v>
      </c>
      <c r="AL85" s="12">
        <f t="shared" si="29"/>
        <v>0.23326637724356897</v>
      </c>
      <c r="AM85" s="12">
        <f t="shared" si="30"/>
        <v>0.26299154967063676</v>
      </c>
      <c r="AN85" s="12">
        <f t="shared" si="31"/>
        <v>0.1536555792906702</v>
      </c>
      <c r="AO85" s="12">
        <f t="shared" si="21"/>
        <v>0.61071826711627619</v>
      </c>
      <c r="AP85" s="12">
        <f t="shared" si="22"/>
        <v>0.44072687300333196</v>
      </c>
      <c r="AQ85" s="12">
        <f t="shared" si="23"/>
        <v>0.51263940520446094</v>
      </c>
      <c r="AR85" s="12">
        <f t="shared" si="32"/>
        <v>0.19026845637583892</v>
      </c>
      <c r="AS85" s="12">
        <f t="shared" si="33"/>
        <v>0.203122075977793</v>
      </c>
      <c r="AT85" s="12">
        <f t="shared" si="20"/>
        <v>0.27731543409941234</v>
      </c>
      <c r="AU85" s="12">
        <f t="shared" si="37"/>
        <v>0.43985255017673985</v>
      </c>
      <c r="AV85" s="12">
        <f t="shared" si="38"/>
        <v>0.36695525580323696</v>
      </c>
    </row>
    <row r="86" spans="1:48">
      <c r="A86" s="3">
        <v>44835</v>
      </c>
      <c r="B86" s="519">
        <f>datos!R91/1000</f>
        <v>40</v>
      </c>
      <c r="C86" s="520">
        <f>datos!MA91</f>
        <v>167.76</v>
      </c>
      <c r="D86" s="7">
        <f>datos!AI91</f>
        <v>77.849999999999994</v>
      </c>
      <c r="E86" s="7">
        <f>datos!MP91</f>
        <v>317.44</v>
      </c>
      <c r="F86" s="525">
        <f>(datos!AD91/1000)/PP!$F$2</f>
        <v>67.713609142121342</v>
      </c>
      <c r="G86" s="522">
        <f>datos!MH91</f>
        <v>385.2</v>
      </c>
      <c r="H86" s="525">
        <f>datos!BK91/$H$2</f>
        <v>669.63475499092567</v>
      </c>
      <c r="I86" s="522">
        <f>datos!NB91</f>
        <v>1203.51</v>
      </c>
      <c r="J86" s="7">
        <f>datos!BR91/$J$2</f>
        <v>425.38333333333327</v>
      </c>
      <c r="K86" s="7">
        <f>datos!NE91</f>
        <v>929.54</v>
      </c>
      <c r="L86" s="525">
        <f>datos!BO91*$L$2</f>
        <v>200.82999999999998</v>
      </c>
      <c r="M86" s="522">
        <f>datos!NA91</f>
        <v>401.64</v>
      </c>
      <c r="N86" s="7">
        <f>datos!BS91*$N$2</f>
        <v>323.94600000000003</v>
      </c>
      <c r="O86" s="7">
        <f>datos!ND91</f>
        <v>1490</v>
      </c>
      <c r="P86" s="525">
        <f>(datos!AG91/1000)/$P$2</f>
        <v>206.11764705882351</v>
      </c>
      <c r="Q86" s="522">
        <f>datos!MY91*$Q$2</f>
        <v>702.4</v>
      </c>
      <c r="R86" s="525">
        <f>datos!BN91</f>
        <v>58.39</v>
      </c>
      <c r="S86" s="528">
        <v>3.73E-2</v>
      </c>
      <c r="T86" s="529">
        <v>818.44</v>
      </c>
      <c r="U86" s="530">
        <f t="shared" si="28"/>
        <v>30.527812000000001</v>
      </c>
      <c r="V86" s="522">
        <f>datos!NC91+U86</f>
        <v>231.13781200000003</v>
      </c>
      <c r="W86" s="672">
        <f>datos!AV91*W$4</f>
        <v>1961.1274509803923</v>
      </c>
      <c r="X86" s="672">
        <f t="shared" si="24"/>
        <v>156.89019607843139</v>
      </c>
      <c r="Y86" s="672">
        <f>Y87/(1+(datos!G92/datos!G91-1))</f>
        <v>45.736390567227033</v>
      </c>
      <c r="Z86" s="1001"/>
      <c r="AA86" s="673">
        <f>AA$87/(1+Z$82)</f>
        <v>105.7560695990355</v>
      </c>
      <c r="AB86" s="7">
        <f t="shared" si="34"/>
        <v>82.637239736784906</v>
      </c>
      <c r="AC86" s="674">
        <f>datos!MJ91</f>
        <v>224.06</v>
      </c>
      <c r="AD86" s="681">
        <f>datos!BB91*AD$4</f>
        <v>1973.5768786549706</v>
      </c>
      <c r="AE86" s="673">
        <f t="shared" si="25"/>
        <v>157.88615029239764</v>
      </c>
      <c r="AF86" s="673">
        <f t="shared" si="26"/>
        <v>45.736390567227033</v>
      </c>
      <c r="AG86" s="672">
        <f t="shared" si="35"/>
        <v>105.7560695990355</v>
      </c>
      <c r="AH86" s="2">
        <f t="shared" si="36"/>
        <v>92.455459344239472</v>
      </c>
      <c r="AI86" s="522">
        <f>AVERAGE(datos!ML91,datos!MM91,datos!MN91,datos!MO91)</f>
        <v>276.59333333333331</v>
      </c>
      <c r="AK86" s="3">
        <f t="shared" si="27"/>
        <v>44835</v>
      </c>
      <c r="AL86" s="12">
        <f t="shared" si="29"/>
        <v>0.23843586075345732</v>
      </c>
      <c r="AM86" s="12">
        <f t="shared" si="30"/>
        <v>0.24524319556451613</v>
      </c>
      <c r="AN86" s="12">
        <f t="shared" si="31"/>
        <v>0.17578818572721014</v>
      </c>
      <c r="AO86" s="12">
        <f t="shared" si="21"/>
        <v>0.55640148813962964</v>
      </c>
      <c r="AP86" s="12">
        <f t="shared" si="22"/>
        <v>0.45762778722091924</v>
      </c>
      <c r="AQ86" s="12">
        <f t="shared" si="23"/>
        <v>0.50002489791853399</v>
      </c>
      <c r="AR86" s="12">
        <f t="shared" si="32"/>
        <v>0.21741342281879197</v>
      </c>
      <c r="AS86" s="12">
        <f t="shared" si="33"/>
        <v>0.2934476751976417</v>
      </c>
      <c r="AT86" s="12">
        <f t="shared" si="20"/>
        <v>0.25261985260983605</v>
      </c>
      <c r="AU86" s="12">
        <f t="shared" si="37"/>
        <v>0.3688174584342806</v>
      </c>
      <c r="AV86" s="12">
        <f t="shared" si="38"/>
        <v>0.33426495942625567</v>
      </c>
    </row>
    <row r="87" spans="1:48">
      <c r="A87" s="3">
        <v>44866</v>
      </c>
      <c r="B87" s="519">
        <f>datos!R92/1000</f>
        <v>44</v>
      </c>
      <c r="C87" s="520">
        <f>datos!MA92</f>
        <v>173.27</v>
      </c>
      <c r="D87" s="7">
        <f>datos!AI92</f>
        <v>87.667100000000005</v>
      </c>
      <c r="E87" s="7">
        <f>datos!MP92</f>
        <v>336.02</v>
      </c>
      <c r="F87" s="525">
        <f>(datos!AD92/1000)/PP!$F$2</f>
        <v>71.698289384010465</v>
      </c>
      <c r="G87" s="522">
        <f>datos!MH92</f>
        <v>407.77</v>
      </c>
      <c r="H87" s="525">
        <f>datos!BK92/$H$2</f>
        <v>680.36297640653356</v>
      </c>
      <c r="I87" s="522">
        <f>datos!NB92</f>
        <v>1208.9000000000001</v>
      </c>
      <c r="J87" s="7">
        <f>datos!BR92/$J$2</f>
        <v>417.06666666666661</v>
      </c>
      <c r="K87" s="7">
        <f>datos!NE92</f>
        <v>946.84</v>
      </c>
      <c r="L87" s="525">
        <f>datos!BO92*$L$2</f>
        <v>188.72</v>
      </c>
      <c r="M87" s="522">
        <f>datos!NA92</f>
        <v>412.71</v>
      </c>
      <c r="N87" s="7">
        <f>datos!BS92*$N$2</f>
        <v>302.39999999999998</v>
      </c>
      <c r="O87" s="7">
        <f>datos!ND92</f>
        <v>1690</v>
      </c>
      <c r="P87" s="525">
        <f>(datos!AG92/1000)/$P$2</f>
        <v>206.11764705882351</v>
      </c>
      <c r="Q87" s="522">
        <f>datos!MY92*$Q$2</f>
        <v>738.56</v>
      </c>
      <c r="R87" s="525">
        <f>datos!BN92</f>
        <v>61.59</v>
      </c>
      <c r="S87" s="528">
        <v>3.6600000000000001E-2</v>
      </c>
      <c r="T87" s="529">
        <v>877.24</v>
      </c>
      <c r="U87" s="530">
        <f t="shared" si="28"/>
        <v>32.106984000000004</v>
      </c>
      <c r="V87" s="522">
        <f>datos!NC92+U87</f>
        <v>242.31698400000002</v>
      </c>
      <c r="W87" s="672">
        <f>datos!AV92*W$4</f>
        <v>1720.0595238095239</v>
      </c>
      <c r="X87" s="672">
        <f t="shared" si="24"/>
        <v>137.60476190476192</v>
      </c>
      <c r="Y87" s="672">
        <f>Y88/(1+(datos!G93/datos!G92-1))</f>
        <v>47.986085680186768</v>
      </c>
      <c r="Z87" s="1001">
        <f>AZ8</f>
        <v>0.35337268968265856</v>
      </c>
      <c r="AA87" s="672">
        <f>AA$90/(1+Z$87)</f>
        <v>122.37161464542092</v>
      </c>
      <c r="AB87" s="7">
        <f t="shared" si="34"/>
        <v>70.604853078957703</v>
      </c>
      <c r="AC87" s="674">
        <f>datos!MJ92</f>
        <v>206.65</v>
      </c>
      <c r="AD87" s="681">
        <f>datos!BB92*AD$4</f>
        <v>1697.505614011797</v>
      </c>
      <c r="AE87" s="673">
        <f t="shared" si="25"/>
        <v>135.80044912094377</v>
      </c>
      <c r="AF87" s="673">
        <f t="shared" si="26"/>
        <v>47.986085680186768</v>
      </c>
      <c r="AG87" s="672">
        <f t="shared" si="35"/>
        <v>122.37161464542092</v>
      </c>
      <c r="AH87" s="2">
        <f t="shared" si="36"/>
        <v>77.29708136473586</v>
      </c>
      <c r="AI87" s="522">
        <f>AVERAGE(datos!ML92,datos!MM92,datos!MN92,datos!MO92)</f>
        <v>256.61666666666662</v>
      </c>
      <c r="AK87" s="3">
        <f t="shared" si="27"/>
        <v>44866</v>
      </c>
      <c r="AL87" s="12">
        <f t="shared" si="29"/>
        <v>0.25393893922779476</v>
      </c>
      <c r="AM87" s="12">
        <f t="shared" si="30"/>
        <v>0.26089845842509379</v>
      </c>
      <c r="AN87" s="12">
        <f t="shared" si="31"/>
        <v>0.17583022140915336</v>
      </c>
      <c r="AO87" s="12">
        <f t="shared" si="21"/>
        <v>0.56279508346971086</v>
      </c>
      <c r="AP87" s="12">
        <f t="shared" si="22"/>
        <v>0.44048272851449727</v>
      </c>
      <c r="AQ87" s="12">
        <f t="shared" si="23"/>
        <v>0.45727023818177415</v>
      </c>
      <c r="AR87" s="12">
        <f t="shared" si="32"/>
        <v>0.17893491124260355</v>
      </c>
      <c r="AS87" s="12">
        <f t="shared" si="33"/>
        <v>0.279080436333979</v>
      </c>
      <c r="AT87" s="12">
        <f t="shared" si="20"/>
        <v>0.25417120576244873</v>
      </c>
      <c r="AU87" s="12">
        <f t="shared" si="37"/>
        <v>0.34166393940942513</v>
      </c>
      <c r="AV87" s="12">
        <f t="shared" si="38"/>
        <v>0.30121613833111338</v>
      </c>
    </row>
    <row r="88" spans="1:48">
      <c r="A88" s="3">
        <v>44896</v>
      </c>
      <c r="B88" s="519">
        <f>datos!R93/1000</f>
        <v>44</v>
      </c>
      <c r="C88" s="520">
        <f>datos!MA93</f>
        <v>183.52</v>
      </c>
      <c r="D88" s="7">
        <f>datos!AI93</f>
        <v>104.8064</v>
      </c>
      <c r="E88" s="7">
        <f>datos!MP93</f>
        <v>358.15</v>
      </c>
      <c r="F88" s="525">
        <f>(datos!AD93/1000)/PP!$F$2</f>
        <v>71.881582813455637</v>
      </c>
      <c r="G88" s="522">
        <f>datos!MH93</f>
        <v>428.42</v>
      </c>
      <c r="H88" s="525">
        <f>datos!BK93/$H$2</f>
        <v>694.68693284936489</v>
      </c>
      <c r="I88" s="522">
        <f>datos!NB93</f>
        <v>1239.2</v>
      </c>
      <c r="J88" s="7">
        <f>datos!BR93/$J$2</f>
        <v>431.46666666666658</v>
      </c>
      <c r="K88" s="7">
        <f>datos!NE93</f>
        <v>957.8</v>
      </c>
      <c r="L88" s="525">
        <f>datos!BO93*$L$2</f>
        <v>204.12</v>
      </c>
      <c r="M88" s="522">
        <f>datos!NA93</f>
        <v>426.32</v>
      </c>
      <c r="N88" s="7">
        <f>datos!BS93*$N$2</f>
        <v>321.3</v>
      </c>
      <c r="O88" s="7">
        <f>datos!ND93</f>
        <v>1690</v>
      </c>
      <c r="P88" s="525">
        <f>(datos!AG93/1000)/$P$2</f>
        <v>206.11764705882351</v>
      </c>
      <c r="Q88" s="522">
        <f>datos!MY93*$Q$2</f>
        <v>754.26</v>
      </c>
      <c r="R88" s="525">
        <f>datos!BN93</f>
        <v>66.239999999999995</v>
      </c>
      <c r="S88" s="528">
        <v>3.61E-2</v>
      </c>
      <c r="T88" s="529">
        <v>956.31</v>
      </c>
      <c r="U88" s="530">
        <f t="shared" si="28"/>
        <v>34.522790999999998</v>
      </c>
      <c r="V88" s="522">
        <f>datos!NC93+U88</f>
        <v>250.83279099999999</v>
      </c>
      <c r="W88" s="672">
        <f>datos!AV93*W$4</f>
        <v>1882.6984126984128</v>
      </c>
      <c r="X88" s="672">
        <f t="shared" si="24"/>
        <v>150.61587301587304</v>
      </c>
      <c r="Y88" s="672">
        <f>Y89/(1+(datos!G94/datos!G93-1))</f>
        <v>50.444744568460955</v>
      </c>
      <c r="Z88" s="1001"/>
      <c r="AA88" s="672">
        <f>AA$90/(1+Z$87)</f>
        <v>122.37161464542092</v>
      </c>
      <c r="AB88" s="7">
        <f t="shared" si="34"/>
        <v>77.963309023432899</v>
      </c>
      <c r="AC88" s="674">
        <f>datos!MJ93</f>
        <v>210.94</v>
      </c>
      <c r="AD88" s="681">
        <f>datos!BB93*AD$4</f>
        <v>1781.9228009259259</v>
      </c>
      <c r="AE88" s="673">
        <f t="shared" si="25"/>
        <v>142.55382407407407</v>
      </c>
      <c r="AF88" s="673">
        <f t="shared" si="26"/>
        <v>50.444744568460955</v>
      </c>
      <c r="AG88" s="672">
        <f t="shared" si="35"/>
        <v>122.37161464542092</v>
      </c>
      <c r="AH88" s="2">
        <f t="shared" si="36"/>
        <v>81.475145424331657</v>
      </c>
      <c r="AI88" s="522">
        <f>AVERAGE(datos!ML93,datos!MM93,datos!MN93,datos!MO93)</f>
        <v>249.36666666666667</v>
      </c>
      <c r="AK88" s="3">
        <f t="shared" si="27"/>
        <v>44896</v>
      </c>
      <c r="AL88" s="12">
        <f t="shared" si="29"/>
        <v>0.23975588491717523</v>
      </c>
      <c r="AM88" s="12">
        <f t="shared" si="30"/>
        <v>0.29263269579785006</v>
      </c>
      <c r="AN88" s="12">
        <f t="shared" si="31"/>
        <v>0.16778297654977739</v>
      </c>
      <c r="AO88" s="12">
        <f t="shared" si="21"/>
        <v>0.56059307040781547</v>
      </c>
      <c r="AP88" s="12">
        <f t="shared" si="22"/>
        <v>0.45047678708150618</v>
      </c>
      <c r="AQ88" s="12">
        <f t="shared" si="23"/>
        <v>0.47879527115781573</v>
      </c>
      <c r="AR88" s="12">
        <f t="shared" si="32"/>
        <v>0.19011834319526627</v>
      </c>
      <c r="AS88" s="12">
        <f t="shared" si="33"/>
        <v>0.27327134815424853</v>
      </c>
      <c r="AT88" s="12">
        <f t="shared" si="20"/>
        <v>0.26408030519422798</v>
      </c>
      <c r="AU88" s="12">
        <f t="shared" si="37"/>
        <v>0.36959945493236418</v>
      </c>
      <c r="AV88" s="12">
        <f t="shared" si="38"/>
        <v>0.32672829337387377</v>
      </c>
    </row>
    <row r="89" spans="1:48">
      <c r="A89" s="3">
        <v>44927</v>
      </c>
      <c r="B89" s="519">
        <f>datos!R94/1000</f>
        <v>51.5</v>
      </c>
      <c r="C89" s="520">
        <f>datos!MA94</f>
        <v>198.02</v>
      </c>
      <c r="D89" s="7">
        <f>datos!AI94</f>
        <v>112.5087</v>
      </c>
      <c r="E89" s="7">
        <f>datos!MP94</f>
        <v>386.94</v>
      </c>
      <c r="F89" s="525">
        <f>(datos!AD94/1000)/PP!$F$2</f>
        <v>71.563060406547933</v>
      </c>
      <c r="G89" s="522">
        <f>datos!MH94</f>
        <v>435.66</v>
      </c>
      <c r="H89" s="525">
        <f>datos!BK94/$H$2</f>
        <v>787.1597096188749</v>
      </c>
      <c r="I89" s="522">
        <f>datos!NB94</f>
        <v>1276.95</v>
      </c>
      <c r="J89" s="7">
        <f>datos!BR94/$J$2</f>
        <v>444.99999999999994</v>
      </c>
      <c r="K89" s="7">
        <f>datos!NE94</f>
        <v>992.29</v>
      </c>
      <c r="L89" s="525">
        <f>datos!BO94*$L$2</f>
        <v>190.96</v>
      </c>
      <c r="M89" s="522">
        <f>datos!NA94</f>
        <v>444.98</v>
      </c>
      <c r="N89" s="7">
        <f>datos!BS94*$N$2</f>
        <v>359.1</v>
      </c>
      <c r="O89" s="7">
        <f>datos!ND94</f>
        <v>1770</v>
      </c>
      <c r="P89" s="525">
        <f>(datos!AG94/1000)/$P$2</f>
        <v>206.11764705882351</v>
      </c>
      <c r="Q89" s="522">
        <f>datos!MY94*$Q$2</f>
        <v>786.2</v>
      </c>
      <c r="R89" s="525">
        <f>datos!BN94</f>
        <v>69.98</v>
      </c>
      <c r="S89" s="528">
        <v>3.6200000000000003E-2</v>
      </c>
      <c r="T89" s="529">
        <v>1007.88</v>
      </c>
      <c r="U89" s="530">
        <f t="shared" si="28"/>
        <v>36.485256</v>
      </c>
      <c r="V89" s="522">
        <f>datos!NC94+U89</f>
        <v>261.75525600000003</v>
      </c>
      <c r="W89" s="672">
        <f>datos!AV94*W$4</f>
        <v>2344.021739130435</v>
      </c>
      <c r="X89" s="672">
        <f t="shared" si="24"/>
        <v>187.52173913043481</v>
      </c>
      <c r="Y89" s="672">
        <f>Y90/(1+(datos!G95/datos!G94-1))</f>
        <v>53.485834404951994</v>
      </c>
      <c r="Z89" s="1001"/>
      <c r="AA89" s="672">
        <f>AA$90/(1+Z$87)</f>
        <v>122.37161464542092</v>
      </c>
      <c r="AB89" s="7">
        <f t="shared" si="34"/>
        <v>99.032127547481338</v>
      </c>
      <c r="AC89" s="674">
        <f>datos!MJ94</f>
        <v>263.02</v>
      </c>
      <c r="AD89" s="681">
        <f>datos!BB94*AD$4</f>
        <v>2470.2051678177636</v>
      </c>
      <c r="AE89" s="673">
        <f t="shared" si="25"/>
        <v>197.61641342542109</v>
      </c>
      <c r="AF89" s="673">
        <f t="shared" si="26"/>
        <v>53.485834404951994</v>
      </c>
      <c r="AG89" s="672">
        <f t="shared" si="35"/>
        <v>122.37161464542092</v>
      </c>
      <c r="AH89" s="2">
        <f t="shared" si="36"/>
        <v>116.48507251899832</v>
      </c>
      <c r="AI89" s="522">
        <f>AVERAGE(datos!ML94,datos!MM94,datos!MN94,datos!MO94)</f>
        <v>309.10666666666663</v>
      </c>
      <c r="AK89" s="3">
        <f t="shared" si="27"/>
        <v>44927</v>
      </c>
      <c r="AL89" s="12">
        <f t="shared" si="29"/>
        <v>0.26007473992526003</v>
      </c>
      <c r="AM89" s="12">
        <f t="shared" si="30"/>
        <v>0.29076523492014267</v>
      </c>
      <c r="AN89" s="12">
        <f t="shared" si="31"/>
        <v>0.16426355508090695</v>
      </c>
      <c r="AO89" s="12">
        <f t="shared" si="21"/>
        <v>0.61643737782910446</v>
      </c>
      <c r="AP89" s="12">
        <f t="shared" si="22"/>
        <v>0.44845760815890512</v>
      </c>
      <c r="AQ89" s="12">
        <f t="shared" si="23"/>
        <v>0.42914288282619445</v>
      </c>
      <c r="AR89" s="12">
        <f t="shared" si="32"/>
        <v>0.20288135593220341</v>
      </c>
      <c r="AS89" s="12">
        <f t="shared" si="33"/>
        <v>0.26216948239484039</v>
      </c>
      <c r="AT89" s="12">
        <f t="shared" si="20"/>
        <v>0.26734897732101315</v>
      </c>
      <c r="AU89" s="12">
        <f t="shared" si="37"/>
        <v>0.37651938083598718</v>
      </c>
      <c r="AV89" s="12">
        <f t="shared" si="38"/>
        <v>0.37684425824633894</v>
      </c>
    </row>
    <row r="90" spans="1:48">
      <c r="A90" s="3">
        <v>44958</v>
      </c>
      <c r="B90" s="519">
        <f>datos!R95/1000</f>
        <v>55</v>
      </c>
      <c r="C90" s="520">
        <f>datos!MA95</f>
        <v>226.87</v>
      </c>
      <c r="D90" s="7">
        <f>datos!AI95</f>
        <v>137</v>
      </c>
      <c r="E90" s="7">
        <f>datos!MP95</f>
        <v>414.26</v>
      </c>
      <c r="F90" s="525">
        <f>(datos!AD95/1000)/PP!$F$2</f>
        <v>73.522811192660555</v>
      </c>
      <c r="G90" s="522">
        <f>datos!MH95</f>
        <v>459.15</v>
      </c>
      <c r="H90" s="525">
        <f>datos!BK95/$H$2</f>
        <v>1048.1329401088931</v>
      </c>
      <c r="I90" s="522">
        <f>datos!NB95</f>
        <v>1587.5</v>
      </c>
      <c r="J90" s="7">
        <f>datos!BR95/$J$2</f>
        <v>468.51999999999987</v>
      </c>
      <c r="K90" s="7">
        <f>datos!NE95</f>
        <v>1105.4000000000001</v>
      </c>
      <c r="L90" s="525">
        <f>datos!BO95*$L$2</f>
        <v>219.72999999999996</v>
      </c>
      <c r="M90" s="522">
        <f>datos!NA95</f>
        <v>444.2</v>
      </c>
      <c r="N90" s="7">
        <f>datos!BS95*$N$2</f>
        <v>378</v>
      </c>
      <c r="O90" s="7">
        <f>datos!ND95</f>
        <v>1890</v>
      </c>
      <c r="P90" s="525">
        <f>(datos!AG95/1000)/$P$2</f>
        <v>206.11764705882351</v>
      </c>
      <c r="Q90" s="522">
        <f>datos!MY95*$Q$2</f>
        <v>827.66</v>
      </c>
      <c r="R90" s="525">
        <f>datos!BN95</f>
        <v>74.040000000000006</v>
      </c>
      <c r="S90" s="528">
        <v>3.6499999999999998E-2</v>
      </c>
      <c r="T90" s="529">
        <v>1057.26</v>
      </c>
      <c r="U90" s="530">
        <f t="shared" si="28"/>
        <v>38.58999</v>
      </c>
      <c r="V90" s="522">
        <f>datos!NC95+U90</f>
        <v>274.62999000000002</v>
      </c>
      <c r="W90" s="672">
        <f>datos!AV95*W$4</f>
        <v>2093.4693877551022</v>
      </c>
      <c r="X90" s="672">
        <f t="shared" si="24"/>
        <v>167.47755102040819</v>
      </c>
      <c r="Y90" s="672">
        <f>Y91/(1+(datos!G96/datos!G95-1))</f>
        <v>57.251628398384618</v>
      </c>
      <c r="Z90" s="1001">
        <f>AZ9</f>
        <v>0.21999723922146042</v>
      </c>
      <c r="AA90" s="672">
        <f>AA$94/(1+Z$90)</f>
        <v>165.61440125348312</v>
      </c>
      <c r="AB90" s="7">
        <f t="shared" si="34"/>
        <v>85.156290354141319</v>
      </c>
      <c r="AC90" s="674">
        <f>datos!MJ95</f>
        <v>256.7</v>
      </c>
      <c r="AD90" s="681">
        <f>datos!BB95*AD$4</f>
        <v>2089.7919516805482</v>
      </c>
      <c r="AE90" s="673">
        <f t="shared" si="25"/>
        <v>167.18335613444387</v>
      </c>
      <c r="AF90" s="673">
        <f t="shared" si="26"/>
        <v>57.251628398384618</v>
      </c>
      <c r="AG90" s="672">
        <f t="shared" si="35"/>
        <v>165.61440125348312</v>
      </c>
      <c r="AH90" s="2">
        <f t="shared" si="36"/>
        <v>94.430142549679829</v>
      </c>
      <c r="AI90" s="522">
        <f>AVERAGE(datos!ML95,datos!MM95,datos!MN95,datos!MO95)</f>
        <v>285.02</v>
      </c>
      <c r="AK90" s="3">
        <f t="shared" si="27"/>
        <v>44958</v>
      </c>
      <c r="AL90" s="12">
        <f t="shared" si="29"/>
        <v>0.24242958522501873</v>
      </c>
      <c r="AM90" s="12">
        <f t="shared" si="30"/>
        <v>0.33071018201129726</v>
      </c>
      <c r="AN90" s="12">
        <f t="shared" si="31"/>
        <v>0.16012808710151488</v>
      </c>
      <c r="AO90" s="12">
        <f t="shared" si="21"/>
        <v>0.66024122211583813</v>
      </c>
      <c r="AP90" s="12">
        <f t="shared" si="22"/>
        <v>0.42384657137687698</v>
      </c>
      <c r="AQ90" s="12">
        <f t="shared" si="23"/>
        <v>0.494664565511031</v>
      </c>
      <c r="AR90" s="12">
        <f t="shared" si="32"/>
        <v>0.2</v>
      </c>
      <c r="AS90" s="12">
        <f t="shared" si="33"/>
        <v>0.24903661776432776</v>
      </c>
      <c r="AT90" s="12">
        <f t="shared" si="20"/>
        <v>0.26959910678364007</v>
      </c>
      <c r="AU90" s="12">
        <f t="shared" si="37"/>
        <v>0.33173467220156339</v>
      </c>
      <c r="AV90" s="12">
        <f t="shared" si="38"/>
        <v>0.33131058364212979</v>
      </c>
    </row>
    <row r="91" spans="1:48">
      <c r="A91" s="3">
        <v>44986</v>
      </c>
      <c r="B91" s="519">
        <f>datos!R96/1000</f>
        <v>64</v>
      </c>
      <c r="C91" s="520">
        <f>datos!MA96</f>
        <v>242.47</v>
      </c>
      <c r="D91" s="7">
        <f>datos!AI96</f>
        <v>139.81788</v>
      </c>
      <c r="E91" s="7">
        <f>datos!MP96</f>
        <v>433.03</v>
      </c>
      <c r="F91" s="525">
        <f>(datos!AD96/1000)/PP!$F$2</f>
        <v>74.056759633027525</v>
      </c>
      <c r="G91" s="522">
        <f>datos!MH96</f>
        <v>505.58</v>
      </c>
      <c r="H91" s="525">
        <f>datos!BK96/$H$2</f>
        <v>1075.8824863883849</v>
      </c>
      <c r="I91" s="522">
        <f>datos!NB96</f>
        <v>1801.2</v>
      </c>
      <c r="J91" s="7">
        <f>datos!BR96/$J$2</f>
        <v>497.39999999999992</v>
      </c>
      <c r="K91" s="7">
        <f>datos!NE96</f>
        <v>1202.5999999999999</v>
      </c>
      <c r="L91" s="525">
        <f>datos!BO96*$L$2</f>
        <v>294.56</v>
      </c>
      <c r="M91" s="522">
        <f>datos!NA96</f>
        <v>582.29999999999995</v>
      </c>
      <c r="N91" s="7">
        <f>datos!BS96*$N$2</f>
        <v>378</v>
      </c>
      <c r="O91" s="7">
        <f>datos!ND96</f>
        <v>1950</v>
      </c>
      <c r="P91" s="525">
        <f>(datos!AG96/1000)/$P$2</f>
        <v>206.11764705882351</v>
      </c>
      <c r="Q91" s="522">
        <f>datos!MY96*$Q$2</f>
        <v>878.74</v>
      </c>
      <c r="R91" s="525">
        <f>datos!BN96</f>
        <v>81.53</v>
      </c>
      <c r="S91" s="528">
        <v>3.73E-2</v>
      </c>
      <c r="T91" s="529">
        <v>1149.67</v>
      </c>
      <c r="U91" s="530">
        <f t="shared" si="28"/>
        <v>42.882691000000001</v>
      </c>
      <c r="V91" s="522">
        <f>datos!NC96+U91</f>
        <v>294.75269100000003</v>
      </c>
      <c r="W91" s="672">
        <f>datos!AV96*W$4</f>
        <v>1888.8888888888889</v>
      </c>
      <c r="X91" s="672">
        <f t="shared" si="24"/>
        <v>151.11111111111111</v>
      </c>
      <c r="Y91" s="672">
        <f>Y92/(1+(datos!G97/datos!G96-1))</f>
        <v>61.408673715810238</v>
      </c>
      <c r="Z91" s="1001"/>
      <c r="AA91" s="672">
        <f>AA$94/(1+Z$90)</f>
        <v>165.61440125348312</v>
      </c>
      <c r="AB91" s="7">
        <f t="shared" si="34"/>
        <v>75.537735140424232</v>
      </c>
      <c r="AC91" s="674">
        <f>datos!MJ96</f>
        <v>246.9</v>
      </c>
      <c r="AD91" s="681">
        <f>datos!BB96*AD$4</f>
        <v>2333.7156382198045</v>
      </c>
      <c r="AE91" s="673">
        <f t="shared" si="25"/>
        <v>186.69725105758437</v>
      </c>
      <c r="AF91" s="673">
        <f t="shared" si="26"/>
        <v>61.408673715810238</v>
      </c>
      <c r="AG91" s="672">
        <f t="shared" si="35"/>
        <v>165.61440125348312</v>
      </c>
      <c r="AH91" s="2">
        <f t="shared" si="36"/>
        <v>106.66640623294037</v>
      </c>
      <c r="AI91" s="522">
        <f>AVERAGE(datos!ML96,datos!MM96,datos!MN96,datos!MO96)</f>
        <v>302.46333333333331</v>
      </c>
      <c r="AK91" s="3">
        <f t="shared" si="27"/>
        <v>44986</v>
      </c>
      <c r="AL91" s="12">
        <f t="shared" si="29"/>
        <v>0.26395017940363757</v>
      </c>
      <c r="AM91" s="12">
        <f t="shared" si="30"/>
        <v>0.32288266401865923</v>
      </c>
      <c r="AN91" s="12">
        <f t="shared" si="31"/>
        <v>0.14647881568303242</v>
      </c>
      <c r="AO91" s="12">
        <f t="shared" si="21"/>
        <v>0.5973142829160476</v>
      </c>
      <c r="AP91" s="12">
        <f t="shared" si="22"/>
        <v>0.41360385830700147</v>
      </c>
      <c r="AQ91" s="12">
        <f t="shared" si="23"/>
        <v>0.50585608792718539</v>
      </c>
      <c r="AR91" s="12">
        <f t="shared" si="32"/>
        <v>0.19384615384615383</v>
      </c>
      <c r="AS91" s="12">
        <f t="shared" si="33"/>
        <v>0.23456044684300648</v>
      </c>
      <c r="AT91" s="12">
        <f t="shared" si="20"/>
        <v>0.27660476897902181</v>
      </c>
      <c r="AU91" s="12">
        <f t="shared" si="37"/>
        <v>0.30594465427470324</v>
      </c>
      <c r="AV91" s="12">
        <f t="shared" si="38"/>
        <v>0.35265896549314091</v>
      </c>
    </row>
    <row r="92" spans="1:48">
      <c r="A92" s="3">
        <v>45017</v>
      </c>
      <c r="B92" s="519">
        <f>datos!R97/1000</f>
        <v>64</v>
      </c>
      <c r="C92" s="520">
        <f>datos!MA97</f>
        <v>269.86</v>
      </c>
      <c r="D92" s="7">
        <f>datos!AI97</f>
        <v>183.57640000000001</v>
      </c>
      <c r="E92" s="7">
        <f>datos!MP97</f>
        <v>465.77</v>
      </c>
      <c r="F92" s="525">
        <f>(datos!AD97/1000)/PP!$F$2</f>
        <v>63.449255963302747</v>
      </c>
      <c r="G92" s="522">
        <f>datos!MH97</f>
        <v>545.94000000000005</v>
      </c>
      <c r="H92" s="525">
        <f>datos!BK97/$H$2</f>
        <v>1107.4727767695101</v>
      </c>
      <c r="I92" s="522">
        <f>datos!NB97</f>
        <v>1860.7</v>
      </c>
      <c r="J92" s="7">
        <f>datos!BR97/$J$2</f>
        <v>518.35833333333323</v>
      </c>
      <c r="K92" s="7">
        <f>datos!NE97</f>
        <v>1259.1199999999999</v>
      </c>
      <c r="L92" s="525">
        <f>datos!BO97*$L$2</f>
        <v>329.14</v>
      </c>
      <c r="M92" s="522">
        <f>datos!NA97</f>
        <v>739.07</v>
      </c>
      <c r="N92" s="7">
        <f>datos!BS97*$N$2</f>
        <v>415.8</v>
      </c>
      <c r="O92" s="7">
        <f>datos!ND97</f>
        <v>1979</v>
      </c>
      <c r="P92" s="525">
        <f>(datos!AG97/1000)/$P$2</f>
        <v>314.70588235294116</v>
      </c>
      <c r="Q92" s="522">
        <f>datos!MY97*$Q$2</f>
        <v>948.22</v>
      </c>
      <c r="R92" s="525">
        <f>datos!BN97</f>
        <v>89.36</v>
      </c>
      <c r="S92" s="528">
        <v>3.85E-2</v>
      </c>
      <c r="T92" s="529">
        <v>1224.1600000000001</v>
      </c>
      <c r="U92" s="530">
        <f t="shared" si="28"/>
        <v>47.130160000000004</v>
      </c>
      <c r="V92" s="522">
        <f>datos!NC97+U92</f>
        <v>318.42016000000001</v>
      </c>
      <c r="W92" s="672">
        <f>datos!AV97*W$4</f>
        <v>1724.8611111111111</v>
      </c>
      <c r="X92" s="672">
        <f t="shared" si="24"/>
        <v>137.98888888888888</v>
      </c>
      <c r="Y92" s="672">
        <f>Y93/(1+(datos!G98/datos!G97-1))</f>
        <v>66.566077532081593</v>
      </c>
      <c r="Z92" s="1001"/>
      <c r="AA92" s="672">
        <f>AA$94/(1+Z$90)</f>
        <v>165.61440125348312</v>
      </c>
      <c r="AB92" s="7">
        <f t="shared" si="34"/>
        <v>67.734587171832885</v>
      </c>
      <c r="AC92" s="674">
        <f>datos!MJ97</f>
        <v>240.82</v>
      </c>
      <c r="AD92" s="681">
        <f>datos!BB97*AD$4</f>
        <v>2786.0426734987414</v>
      </c>
      <c r="AE92" s="673">
        <f t="shared" si="25"/>
        <v>222.88341387989931</v>
      </c>
      <c r="AF92" s="673">
        <f t="shared" si="26"/>
        <v>66.566077532081593</v>
      </c>
      <c r="AG92" s="672">
        <f t="shared" si="35"/>
        <v>165.61440125348312</v>
      </c>
      <c r="AH92" s="2">
        <f t="shared" si="36"/>
        <v>129.49882115740428</v>
      </c>
      <c r="AI92" s="522">
        <f>AVERAGE(datos!ML97,datos!MM97,datos!MN97,datos!MO97)</f>
        <v>379.20666666666671</v>
      </c>
      <c r="AK92" s="3">
        <f t="shared" si="27"/>
        <v>45017</v>
      </c>
      <c r="AL92" s="12">
        <f t="shared" si="29"/>
        <v>0.23716000889350033</v>
      </c>
      <c r="AM92" s="12">
        <f t="shared" si="30"/>
        <v>0.39413530283186982</v>
      </c>
      <c r="AN92" s="12">
        <f t="shared" si="31"/>
        <v>0.11622019995476195</v>
      </c>
      <c r="AO92" s="12">
        <f t="shared" si="21"/>
        <v>0.5951914745899447</v>
      </c>
      <c r="AP92" s="12">
        <f t="shared" si="22"/>
        <v>0.41168302729948952</v>
      </c>
      <c r="AQ92" s="12">
        <f t="shared" si="23"/>
        <v>0.44534347220155057</v>
      </c>
      <c r="AR92" s="12">
        <f t="shared" si="32"/>
        <v>0.21010611419909045</v>
      </c>
      <c r="AS92" s="12">
        <f t="shared" si="33"/>
        <v>0.33189120916342318</v>
      </c>
      <c r="AT92" s="12">
        <f t="shared" si="20"/>
        <v>0.28063549745091515</v>
      </c>
      <c r="AU92" s="12">
        <f t="shared" si="37"/>
        <v>0.28126645283544927</v>
      </c>
      <c r="AV92" s="12">
        <f t="shared" si="38"/>
        <v>0.3414993262005</v>
      </c>
    </row>
    <row r="93" spans="1:48">
      <c r="A93" s="3">
        <v>45047</v>
      </c>
      <c r="B93" s="519">
        <f>datos!R98/1000</f>
        <v>85</v>
      </c>
      <c r="C93" s="520">
        <f>datos!MA98</f>
        <v>318.44</v>
      </c>
      <c r="D93" s="7">
        <f>datos!AI98</f>
        <v>164.22370000000001</v>
      </c>
      <c r="E93" s="7">
        <f>datos!MP98</f>
        <v>506.03</v>
      </c>
      <c r="F93" s="525">
        <f>(datos!AD98/1000)/PP!$F$2</f>
        <v>70.102054740061149</v>
      </c>
      <c r="G93" s="522">
        <f>datos!MH98</f>
        <v>617.19000000000005</v>
      </c>
      <c r="H93" s="525">
        <f>datos!BK98/$H$2</f>
        <v>1111.3316696914701</v>
      </c>
      <c r="I93" s="522">
        <f>datos!NB98</f>
        <v>1873.54</v>
      </c>
      <c r="J93" s="7">
        <f>datos!BR98/$J$2</f>
        <v>545.27083333333326</v>
      </c>
      <c r="K93" s="7">
        <f>datos!NE98</f>
        <v>1333.52</v>
      </c>
      <c r="L93" s="525">
        <f>datos!BO98*$L$2</f>
        <v>273.97999999999996</v>
      </c>
      <c r="M93" s="522">
        <f>datos!NA98</f>
        <v>727.32</v>
      </c>
      <c r="N93" s="7">
        <f>datos!BS98*$N$2</f>
        <v>453.6</v>
      </c>
      <c r="O93" s="7">
        <f>datos!ND98</f>
        <v>1980</v>
      </c>
      <c r="P93" s="525">
        <f>(datos!AG98/1000)/$P$2</f>
        <v>329.41176470588232</v>
      </c>
      <c r="Q93" s="522">
        <f>datos!MY98*$Q$2</f>
        <v>1080.78</v>
      </c>
      <c r="R93" s="525">
        <f>datos!BN98</f>
        <v>96.58</v>
      </c>
      <c r="S93" s="528">
        <v>3.9E-2</v>
      </c>
      <c r="T93" s="529">
        <v>1309.27</v>
      </c>
      <c r="U93" s="530">
        <f t="shared" si="28"/>
        <v>51.061529999999998</v>
      </c>
      <c r="V93" s="522">
        <f>datos!NC98+U93</f>
        <v>344.36153000000002</v>
      </c>
      <c r="W93" s="672">
        <f>datos!AV98*W$4</f>
        <v>2066.2790697674418</v>
      </c>
      <c r="X93" s="672">
        <f t="shared" si="24"/>
        <v>165.30232558139534</v>
      </c>
      <c r="Y93" s="672">
        <f>Y94/(1+(datos!G99/datos!G98-1))</f>
        <v>71.741265499443529</v>
      </c>
      <c r="Z93" s="1001"/>
      <c r="AA93" s="672">
        <f>AA$94/(1+Z$90)</f>
        <v>165.61440125348312</v>
      </c>
      <c r="AB93" s="7">
        <f t="shared" si="34"/>
        <v>83.181053871656005</v>
      </c>
      <c r="AC93" s="674">
        <f>datos!MJ98</f>
        <v>251.59</v>
      </c>
      <c r="AD93" s="681">
        <f>datos!BB98*AD$4</f>
        <v>3460.6504965622607</v>
      </c>
      <c r="AE93" s="673">
        <f t="shared" si="25"/>
        <v>276.85203972498084</v>
      </c>
      <c r="AF93" s="673">
        <f t="shared" si="26"/>
        <v>71.741265499443529</v>
      </c>
      <c r="AG93" s="672">
        <f t="shared" si="35"/>
        <v>165.61440125348312</v>
      </c>
      <c r="AH93" s="2">
        <f t="shared" si="36"/>
        <v>163.69126611579739</v>
      </c>
      <c r="AI93" s="522">
        <f>AVERAGE(datos!ML98,datos!MM98,datos!MN98,datos!MO98)</f>
        <v>465.50666666666666</v>
      </c>
      <c r="AK93" s="3">
        <f t="shared" si="27"/>
        <v>45047</v>
      </c>
      <c r="AL93" s="12">
        <f t="shared" si="29"/>
        <v>0.26692626554452958</v>
      </c>
      <c r="AM93" s="12">
        <f t="shared" si="30"/>
        <v>0.32453352568029564</v>
      </c>
      <c r="AN93" s="12">
        <f t="shared" si="31"/>
        <v>0.11358261595304711</v>
      </c>
      <c r="AO93" s="12">
        <f t="shared" si="21"/>
        <v>0.59317210718291047</v>
      </c>
      <c r="AP93" s="12">
        <f t="shared" si="22"/>
        <v>0.40889587957685919</v>
      </c>
      <c r="AQ93" s="12">
        <f t="shared" si="23"/>
        <v>0.37669801462904901</v>
      </c>
      <c r="AR93" s="12">
        <f t="shared" si="32"/>
        <v>0.2290909090909091</v>
      </c>
      <c r="AS93" s="12">
        <f t="shared" si="33"/>
        <v>0.30479076658143406</v>
      </c>
      <c r="AT93" s="12">
        <f t="shared" si="20"/>
        <v>0.28046106079270816</v>
      </c>
      <c r="AU93" s="12">
        <f t="shared" si="37"/>
        <v>0.33062146298205813</v>
      </c>
      <c r="AV93" s="12">
        <f t="shared" si="38"/>
        <v>0.35164107807077033</v>
      </c>
    </row>
    <row r="94" spans="1:48">
      <c r="A94" s="3">
        <v>45078</v>
      </c>
      <c r="B94" s="519">
        <f>datos!R99/1000</f>
        <v>95</v>
      </c>
      <c r="C94" s="520">
        <f>datos!MA99</f>
        <v>358.85</v>
      </c>
      <c r="D94" s="7">
        <f>datos!AI99</f>
        <v>152.512</v>
      </c>
      <c r="E94" s="7">
        <f>datos!MP99</f>
        <v>570.53</v>
      </c>
      <c r="F94" s="525">
        <f>(datos!AD99/1000)/PP!$F$2</f>
        <v>73.11088944954129</v>
      </c>
      <c r="G94" s="522">
        <f>datos!MH99</f>
        <v>698.16</v>
      </c>
      <c r="H94" s="525">
        <f>datos!BK99/$H$2</f>
        <v>1098.7273139745917</v>
      </c>
      <c r="I94" s="522">
        <f>datos!NB99</f>
        <v>1907.21</v>
      </c>
      <c r="J94" s="7">
        <f>datos!BR99/$J$2</f>
        <v>558.42499999999995</v>
      </c>
      <c r="K94" s="7">
        <f>datos!NE99</f>
        <v>1372.65</v>
      </c>
      <c r="L94" s="525">
        <f>datos!BO99*$L$2</f>
        <v>262.08</v>
      </c>
      <c r="M94" s="522">
        <f>datos!NA99</f>
        <v>678.86</v>
      </c>
      <c r="N94" s="7">
        <f>datos!BS99*$N$2</f>
        <v>453.6</v>
      </c>
      <c r="O94" s="7">
        <f>datos!ND99</f>
        <v>2100</v>
      </c>
      <c r="P94" s="525">
        <f>(datos!AG99/1000)/$P$2</f>
        <v>329.41176470588232</v>
      </c>
      <c r="Q94" s="522">
        <f>datos!MY99*$Q$2</f>
        <v>1260.3599999999999</v>
      </c>
      <c r="R94" s="525">
        <f>datos!BN99</f>
        <v>102.2</v>
      </c>
      <c r="S94" s="528">
        <v>3.8800000000000001E-2</v>
      </c>
      <c r="T94" s="529">
        <v>1391.72</v>
      </c>
      <c r="U94" s="530">
        <f t="shared" si="28"/>
        <v>53.998736000000001</v>
      </c>
      <c r="V94" s="522">
        <f>datos!NC99+U94</f>
        <v>363.628736</v>
      </c>
      <c r="W94" s="672">
        <f>datos!AV99*W$4</f>
        <v>3133.8709677419356</v>
      </c>
      <c r="X94" s="672">
        <f t="shared" si="24"/>
        <v>250.70967741935485</v>
      </c>
      <c r="Y94" s="672">
        <f>Y95/(1+(datos!G100/datos!G99-1))</f>
        <v>76.009461761185335</v>
      </c>
      <c r="Z94" s="1001">
        <f>AZ10</f>
        <v>0.29999773706165</v>
      </c>
      <c r="AA94" s="672">
        <f>AA$97/(1+Z$94)</f>
        <v>202.04911230456457</v>
      </c>
      <c r="AB94" s="7">
        <f t="shared" si="34"/>
        <v>130.25513581284156</v>
      </c>
      <c r="AC94" s="674">
        <f>datos!MJ99</f>
        <v>313.8</v>
      </c>
      <c r="AD94" s="681">
        <f>datos!BB99*AD$4</f>
        <v>2694.5401543983417</v>
      </c>
      <c r="AE94" s="673">
        <f t="shared" si="25"/>
        <v>215.56321235186735</v>
      </c>
      <c r="AF94" s="673">
        <f t="shared" si="26"/>
        <v>76.009461761185335</v>
      </c>
      <c r="AG94" s="672">
        <f t="shared" si="35"/>
        <v>202.04911230456457</v>
      </c>
      <c r="AH94" s="2">
        <f t="shared" si="36"/>
        <v>122.27324266559582</v>
      </c>
      <c r="AI94" s="522">
        <f>AVERAGE(datos!ML99,datos!MM99,datos!MN99,datos!MO99)</f>
        <v>383.07</v>
      </c>
      <c r="AK94" s="3">
        <f t="shared" si="27"/>
        <v>45078</v>
      </c>
      <c r="AL94" s="12">
        <f t="shared" si="29"/>
        <v>0.26473456876132084</v>
      </c>
      <c r="AM94" s="12">
        <f t="shared" si="30"/>
        <v>0.26731635496818751</v>
      </c>
      <c r="AN94" s="12">
        <f t="shared" si="31"/>
        <v>0.1047193901821091</v>
      </c>
      <c r="AO94" s="12">
        <f t="shared" si="21"/>
        <v>0.57609141834123756</v>
      </c>
      <c r="AP94" s="12">
        <f t="shared" si="22"/>
        <v>0.40682256948238804</v>
      </c>
      <c r="AQ94" s="12">
        <f t="shared" si="23"/>
        <v>0.38605898123324395</v>
      </c>
      <c r="AR94" s="12">
        <f t="shared" si="32"/>
        <v>0.216</v>
      </c>
      <c r="AS94" s="12">
        <f t="shared" si="33"/>
        <v>0.26136323328722139</v>
      </c>
      <c r="AT94" s="12">
        <f t="shared" si="20"/>
        <v>0.28105589542846249</v>
      </c>
      <c r="AU94" s="12">
        <f t="shared" si="37"/>
        <v>0.41508966160880034</v>
      </c>
      <c r="AV94" s="12">
        <f t="shared" si="38"/>
        <v>0.31919294819640226</v>
      </c>
    </row>
    <row r="95" spans="1:48">
      <c r="A95" s="3">
        <v>45108</v>
      </c>
      <c r="B95" s="519">
        <f>datos!R100/1000</f>
        <v>115</v>
      </c>
      <c r="C95" s="520">
        <f>datos!MA100</f>
        <v>403.18</v>
      </c>
      <c r="D95" s="7">
        <f>datos!AI100</f>
        <v>188.45089999999999</v>
      </c>
      <c r="E95" s="7">
        <f>datos!MP100</f>
        <v>614.51</v>
      </c>
      <c r="F95" s="525">
        <f>(datos!AD100/1000)/PP!$F$2</f>
        <v>79.249850589777168</v>
      </c>
      <c r="G95" s="522">
        <f>datos!MH100</f>
        <v>756.05</v>
      </c>
      <c r="H95" s="525">
        <f>datos!BK100/$H$2</f>
        <v>1149.8411978221418</v>
      </c>
      <c r="I95" s="522">
        <f>datos!NB100</f>
        <v>1906.5</v>
      </c>
      <c r="J95" s="7">
        <f>datos!BR100/$J$2</f>
        <v>594.72083333333319</v>
      </c>
      <c r="K95" s="7">
        <f>datos!NE100</f>
        <v>1411.2</v>
      </c>
      <c r="L95" s="525">
        <f>datos!BO100*$L$2</f>
        <v>306.17999999999995</v>
      </c>
      <c r="M95" s="522">
        <f>datos!NA100</f>
        <v>687.3</v>
      </c>
      <c r="N95" s="7">
        <f>datos!BS100*$N$2</f>
        <v>453.6</v>
      </c>
      <c r="O95" s="7">
        <f>datos!ND100</f>
        <v>2229</v>
      </c>
      <c r="P95" s="525">
        <f>(datos!AG100/1000)/$P$2</f>
        <v>352.94117647058823</v>
      </c>
      <c r="Q95" s="522">
        <f>datos!MY100*$Q$2</f>
        <v>1363.64</v>
      </c>
      <c r="R95" s="525">
        <f>datos!BN100</f>
        <v>106.74</v>
      </c>
      <c r="S95" s="528">
        <v>3.85E-2</v>
      </c>
      <c r="T95" s="529">
        <v>1465.1</v>
      </c>
      <c r="U95" s="530">
        <f t="shared" si="28"/>
        <v>56.406349999999996</v>
      </c>
      <c r="V95" s="522">
        <f>datos!NC100+U95</f>
        <v>386.97634999999997</v>
      </c>
      <c r="W95" s="672">
        <f>datos!AV100*W$4</f>
        <v>4818.125</v>
      </c>
      <c r="X95" s="672">
        <f t="shared" si="24"/>
        <v>385.45</v>
      </c>
      <c r="Y95" s="672">
        <f>Y96/(1+(datos!G101/datos!G100-1))</f>
        <v>80.833412744508095</v>
      </c>
      <c r="Z95" s="1001"/>
      <c r="AA95" s="672">
        <f>AA$97/(1+Z$94)</f>
        <v>202.04911230456457</v>
      </c>
      <c r="AB95" s="7">
        <f t="shared" si="34"/>
        <v>207.48962374754637</v>
      </c>
      <c r="AC95" s="674">
        <f>datos!MJ100</f>
        <v>420.69</v>
      </c>
      <c r="AD95" s="681">
        <f>datos!BB100*AD$4</f>
        <v>2111.1865753219527</v>
      </c>
      <c r="AE95" s="673">
        <f t="shared" si="25"/>
        <v>168.89492602575621</v>
      </c>
      <c r="AF95" s="673">
        <f t="shared" si="26"/>
        <v>80.833412744508095</v>
      </c>
      <c r="AG95" s="672">
        <f t="shared" si="35"/>
        <v>202.04911230456457</v>
      </c>
      <c r="AH95" s="2">
        <f t="shared" si="36"/>
        <v>92.189395791506897</v>
      </c>
      <c r="AI95" s="522">
        <f>AVERAGE(datos!ML100,datos!MM100,datos!MN100,datos!MO100)</f>
        <v>342.51333333333332</v>
      </c>
      <c r="AK95" s="3">
        <f t="shared" si="27"/>
        <v>45108</v>
      </c>
      <c r="AL95" s="12">
        <f t="shared" si="29"/>
        <v>0.28523240240091274</v>
      </c>
      <c r="AM95" s="12">
        <f t="shared" si="30"/>
        <v>0.30666856519828806</v>
      </c>
      <c r="AN95" s="12">
        <f t="shared" si="31"/>
        <v>0.10482091209546614</v>
      </c>
      <c r="AO95" s="12">
        <f t="shared" si="21"/>
        <v>0.6031162852463372</v>
      </c>
      <c r="AP95" s="12">
        <f t="shared" si="22"/>
        <v>0.4214291619425547</v>
      </c>
      <c r="AQ95" s="12">
        <f t="shared" si="23"/>
        <v>0.44548232213007416</v>
      </c>
      <c r="AR95" s="12">
        <f t="shared" si="32"/>
        <v>0.20349932705248991</v>
      </c>
      <c r="AS95" s="12">
        <f t="shared" si="33"/>
        <v>0.25882283921752675</v>
      </c>
      <c r="AT95" s="12">
        <f t="shared" si="20"/>
        <v>0.27583080981563862</v>
      </c>
      <c r="AU95" s="12">
        <f t="shared" si="37"/>
        <v>0.49321263578299074</v>
      </c>
      <c r="AV95" s="12">
        <f t="shared" si="38"/>
        <v>0.26915564102080763</v>
      </c>
    </row>
    <row r="96" spans="1:48">
      <c r="A96" s="3">
        <v>45139</v>
      </c>
      <c r="B96" s="519">
        <f>datos!R101/1000</f>
        <v>102.77</v>
      </c>
      <c r="C96" s="520">
        <f>datos!MA101</f>
        <v>460.4</v>
      </c>
      <c r="D96" s="7">
        <f>datos!AI101</f>
        <v>178.91909999999999</v>
      </c>
      <c r="E96" s="7">
        <f>datos!MP101</f>
        <v>671.9</v>
      </c>
      <c r="F96" s="525">
        <f>(datos!AD101/1000)/PP!$F$2</f>
        <v>102.47021128718374</v>
      </c>
      <c r="G96" s="522">
        <f>datos!MH101</f>
        <v>861.81</v>
      </c>
      <c r="H96" s="525">
        <f>datos!BK101/$H$2</f>
        <v>1687.0394736842109</v>
      </c>
      <c r="I96" s="522">
        <f>datos!NB101</f>
        <v>2509.5</v>
      </c>
      <c r="J96" s="7">
        <f>datos!BR101/$J$2</f>
        <v>680.12916666666649</v>
      </c>
      <c r="K96" s="7">
        <f>datos!NE101</f>
        <v>1688</v>
      </c>
      <c r="L96" s="525">
        <f>datos!BO101*$L$2</f>
        <v>538.29999999999995</v>
      </c>
      <c r="M96" s="522">
        <f>datos!NA101</f>
        <v>798.1</v>
      </c>
      <c r="N96" s="7">
        <f>datos!BS101*$N$2</f>
        <v>529.20000000000005</v>
      </c>
      <c r="O96" s="7">
        <f>datos!ND101</f>
        <v>2750</v>
      </c>
      <c r="P96" s="525">
        <f>(datos!AG101/1000)/$P$2</f>
        <v>352.94117647058823</v>
      </c>
      <c r="Q96" s="522">
        <f>datos!MY101*$Q$2</f>
        <v>1530.04</v>
      </c>
      <c r="R96" s="525">
        <f>datos!BN101</f>
        <v>111.1</v>
      </c>
      <c r="S96" s="528">
        <v>3.7999999999999999E-2</v>
      </c>
      <c r="T96" s="529">
        <v>1539.08</v>
      </c>
      <c r="U96" s="530">
        <f t="shared" si="28"/>
        <v>58.485039999999998</v>
      </c>
      <c r="V96" s="522">
        <f>datos!NC101+U96</f>
        <v>415.69503999999995</v>
      </c>
      <c r="W96" s="672">
        <f>datos!AV101*W$4</f>
        <v>5458.484848484848</v>
      </c>
      <c r="X96" s="672">
        <f t="shared" si="24"/>
        <v>436.67878787878783</v>
      </c>
      <c r="Y96" s="672">
        <f>Y97/(1+(datos!G102/datos!G101-1))</f>
        <v>90.890350186237214</v>
      </c>
      <c r="Z96" s="1001"/>
      <c r="AA96" s="672">
        <f>AA$97/(1+Z$94)</f>
        <v>202.04911230456457</v>
      </c>
      <c r="AB96" s="7">
        <f t="shared" si="34"/>
        <v>236.44332990576291</v>
      </c>
      <c r="AC96" s="674">
        <f>datos!MJ101</f>
        <v>539.83000000000004</v>
      </c>
      <c r="AD96" s="681">
        <f>datos!BB101*AD$4</f>
        <v>2565.2584072391664</v>
      </c>
      <c r="AE96" s="673">
        <f t="shared" si="25"/>
        <v>205.22067257913332</v>
      </c>
      <c r="AF96" s="673">
        <f t="shared" si="26"/>
        <v>90.890350186237214</v>
      </c>
      <c r="AG96" s="672">
        <f t="shared" si="35"/>
        <v>202.04911230456457</v>
      </c>
      <c r="AH96" s="2">
        <f t="shared" si="36"/>
        <v>114.83879289829062</v>
      </c>
      <c r="AI96" s="522">
        <f>AVERAGE(datos!ML101,datos!MM101,datos!MN101,datos!MO101)</f>
        <v>409.08</v>
      </c>
      <c r="AK96" s="3">
        <f t="shared" si="27"/>
        <v>45139</v>
      </c>
      <c r="AL96" s="12">
        <f t="shared" si="29"/>
        <v>0.22321894005212858</v>
      </c>
      <c r="AM96" s="12">
        <f t="shared" si="30"/>
        <v>0.26628828694746243</v>
      </c>
      <c r="AN96" s="12">
        <f t="shared" si="31"/>
        <v>0.1189011630024991</v>
      </c>
      <c r="AO96" s="12">
        <f t="shared" si="21"/>
        <v>0.6722611969253679</v>
      </c>
      <c r="AP96" s="12">
        <f t="shared" si="22"/>
        <v>0.4029201224328593</v>
      </c>
      <c r="AQ96" s="12">
        <f t="shared" si="23"/>
        <v>0.67447688259616578</v>
      </c>
      <c r="AR96" s="12">
        <f t="shared" si="32"/>
        <v>0.19243636363636366</v>
      </c>
      <c r="AS96" s="12">
        <f t="shared" si="33"/>
        <v>0.23067447679184089</v>
      </c>
      <c r="AT96" s="12">
        <f t="shared" si="20"/>
        <v>0.26726323220022064</v>
      </c>
      <c r="AU96" s="12">
        <f t="shared" si="37"/>
        <v>0.43799590594402477</v>
      </c>
      <c r="AV96" s="12">
        <f t="shared" si="38"/>
        <v>0.2807245352945405</v>
      </c>
    </row>
    <row r="97" spans="1:48">
      <c r="A97" s="3">
        <v>45170</v>
      </c>
      <c r="B97" s="519">
        <f>datos!R102/1000</f>
        <v>160</v>
      </c>
      <c r="C97" s="520">
        <f>datos!MA102</f>
        <v>582.04</v>
      </c>
      <c r="D97" s="7">
        <f>datos!AI102</f>
        <v>197.53739999999999</v>
      </c>
      <c r="E97" s="7">
        <f>datos!MP102</f>
        <v>734.03</v>
      </c>
      <c r="F97" s="525">
        <f>(datos!AD102/1000)/PP!$F$2</f>
        <v>103.52160768894714</v>
      </c>
      <c r="G97" s="522">
        <f>datos!MH102</f>
        <v>980.2</v>
      </c>
      <c r="H97" s="525">
        <f>datos!BK102/$H$2</f>
        <v>1661.9305807622504</v>
      </c>
      <c r="I97" s="522">
        <f>datos!NB102</f>
        <v>2953.9</v>
      </c>
      <c r="J97" s="7">
        <f>datos!BR102/$J$2</f>
        <v>796.66666666666652</v>
      </c>
      <c r="K97" s="7">
        <f>datos!NE102</f>
        <v>1868.5</v>
      </c>
      <c r="L97" s="525">
        <f>datos!BO102*$L$2</f>
        <v>538.29999999999995</v>
      </c>
      <c r="M97" s="522">
        <f>datos!NA102</f>
        <v>945</v>
      </c>
      <c r="N97" s="7">
        <f>datos!BS102*$N$2</f>
        <v>529.20000000000005</v>
      </c>
      <c r="O97" s="7">
        <f>datos!ND102</f>
        <v>3000</v>
      </c>
      <c r="P97" s="525">
        <f>(datos!AG102/1000)/$P$2</f>
        <v>352.94117647058823</v>
      </c>
      <c r="Q97" s="522">
        <f>datos!MY102*$Q$2</f>
        <v>1711.84</v>
      </c>
      <c r="R97" s="525">
        <f>datos!BN102</f>
        <v>118.36</v>
      </c>
      <c r="S97" s="528">
        <v>3.7600000000000001E-2</v>
      </c>
      <c r="T97" s="529">
        <v>1649.26</v>
      </c>
      <c r="U97" s="530">
        <f t="shared" si="28"/>
        <v>62.012176000000004</v>
      </c>
      <c r="V97" s="522">
        <f>datos!NC102+U97</f>
        <v>443.94217600000002</v>
      </c>
      <c r="W97" s="672">
        <f>datos!AV102*W$4</f>
        <v>4980</v>
      </c>
      <c r="X97" s="672">
        <f t="shared" si="24"/>
        <v>398.40000000000003</v>
      </c>
      <c r="Y97" s="672">
        <f>Y98/(1+(datos!G103/datos!G102-1))</f>
        <v>102.47672462175717</v>
      </c>
      <c r="Z97" s="1001">
        <f>AZ11</f>
        <v>0.37000266911141799</v>
      </c>
      <c r="AA97" s="672">
        <f>AA$101/(1+Z$97)</f>
        <v>262.66338877124912</v>
      </c>
      <c r="AB97" s="7">
        <f t="shared" si="34"/>
        <v>210.82299433034973</v>
      </c>
      <c r="AC97" s="674">
        <f>datos!MJ102</f>
        <v>616.41999999999996</v>
      </c>
      <c r="AD97" s="681">
        <f>datos!BB102*AD$4</f>
        <v>2654.0573795600112</v>
      </c>
      <c r="AE97" s="673">
        <f t="shared" si="25"/>
        <v>212.32459036480091</v>
      </c>
      <c r="AF97" s="673">
        <f t="shared" si="26"/>
        <v>102.47672462175717</v>
      </c>
      <c r="AG97" s="672">
        <f t="shared" si="35"/>
        <v>262.66338877124912</v>
      </c>
      <c r="AH97" s="2">
        <f t="shared" si="36"/>
        <v>115.36625976678913</v>
      </c>
      <c r="AI97" s="522">
        <f>AVERAGE(datos!ML102,datos!MM102,datos!MN102,datos!MO102)</f>
        <v>415.08</v>
      </c>
      <c r="AK97" s="3">
        <f t="shared" si="27"/>
        <v>45170</v>
      </c>
      <c r="AL97" s="12">
        <f t="shared" si="29"/>
        <v>0.27489519620644631</v>
      </c>
      <c r="AM97" s="12">
        <f t="shared" si="30"/>
        <v>0.26911352397040994</v>
      </c>
      <c r="AN97" s="12">
        <f t="shared" si="31"/>
        <v>0.10561273993975427</v>
      </c>
      <c r="AO97" s="12">
        <f t="shared" si="21"/>
        <v>0.56262249255636632</v>
      </c>
      <c r="AP97" s="12">
        <f t="shared" si="22"/>
        <v>0.42636696102042626</v>
      </c>
      <c r="AQ97" s="12">
        <f t="shared" si="23"/>
        <v>0.5696296296296296</v>
      </c>
      <c r="AR97" s="12">
        <f t="shared" si="32"/>
        <v>0.17640000000000003</v>
      </c>
      <c r="AS97" s="12">
        <f t="shared" si="33"/>
        <v>0.20617649807843505</v>
      </c>
      <c r="AT97" s="12">
        <f t="shared" ref="AT97:AT124" si="39">R97/V97</f>
        <v>0.26661129849487425</v>
      </c>
      <c r="AU97" s="12">
        <f t="shared" si="37"/>
        <v>0.34201193071339303</v>
      </c>
      <c r="AV97" s="12">
        <f t="shared" si="38"/>
        <v>0.27793740909412434</v>
      </c>
    </row>
    <row r="98" spans="1:48">
      <c r="A98" s="3">
        <v>45200</v>
      </c>
      <c r="B98" s="519">
        <f>datos!R103/1000</f>
        <v>210</v>
      </c>
      <c r="C98" s="520">
        <f>datos!MA103</f>
        <v>789.18</v>
      </c>
      <c r="D98" s="7">
        <f>datos!AI103</f>
        <v>188.75120000000001</v>
      </c>
      <c r="E98" s="7">
        <f>datos!MP103</f>
        <v>799.13</v>
      </c>
      <c r="F98" s="525">
        <f>(datos!AD103/1000)/PP!$F$2</f>
        <v>106.86907033639145</v>
      </c>
      <c r="G98" s="522">
        <f>datos!MH103</f>
        <v>1076.98</v>
      </c>
      <c r="H98" s="525">
        <f>datos!BK103/$H$2</f>
        <v>1990.4582577132487</v>
      </c>
      <c r="I98" s="522">
        <f>datos!NB103</f>
        <v>3028</v>
      </c>
      <c r="J98" s="7">
        <f>datos!BR103/$J$2</f>
        <v>1133.3333333333333</v>
      </c>
      <c r="K98" s="7">
        <f>datos!NE103</f>
        <v>2083</v>
      </c>
      <c r="L98" s="525">
        <f>datos!BO103*$L$2</f>
        <v>573.92999999999995</v>
      </c>
      <c r="M98" s="522">
        <f>datos!NA103</f>
        <v>1039</v>
      </c>
      <c r="N98" s="7">
        <f>datos!BS103*$N$2</f>
        <v>642.6</v>
      </c>
      <c r="O98" s="7">
        <f>datos!ND103</f>
        <v>3800</v>
      </c>
      <c r="P98" s="525">
        <f>(datos!AG103/1000)/$P$2</f>
        <v>498.11764705882354</v>
      </c>
      <c r="Q98" s="522">
        <f>datos!MY103*$Q$2</f>
        <v>1834.4</v>
      </c>
      <c r="R98" s="525">
        <f>datos!BN103</f>
        <v>130.16999999999999</v>
      </c>
      <c r="S98" s="528">
        <v>3.6999999999999998E-2</v>
      </c>
      <c r="T98" s="529">
        <v>1834.52</v>
      </c>
      <c r="U98" s="530">
        <f t="shared" si="28"/>
        <v>67.87724</v>
      </c>
      <c r="V98" s="522">
        <f>datos!NC103+U98</f>
        <v>481.17723999999998</v>
      </c>
      <c r="W98" s="672">
        <f>datos!AV103*W$4</f>
        <v>4310.0961538461543</v>
      </c>
      <c r="X98" s="672">
        <f t="shared" si="24"/>
        <v>344.80769230769232</v>
      </c>
      <c r="Y98" s="672">
        <f>Y99/(1+(datos!G104/datos!G103-1))</f>
        <v>110.9864409186049</v>
      </c>
      <c r="Z98" s="1001"/>
      <c r="AA98" s="672">
        <f>AA$101/(1+Z$97)</f>
        <v>262.66338877124912</v>
      </c>
      <c r="AB98" s="7">
        <f t="shared" si="34"/>
        <v>179.58193159243041</v>
      </c>
      <c r="AC98" s="674">
        <f>datos!MJ103</f>
        <v>604.95000000000005</v>
      </c>
      <c r="AD98" s="681">
        <f>datos!BB103*AD$4</f>
        <v>3362.9059730581071</v>
      </c>
      <c r="AE98" s="673">
        <f t="shared" si="25"/>
        <v>269.03247784464855</v>
      </c>
      <c r="AF98" s="673">
        <f t="shared" si="26"/>
        <v>110.9864409186049</v>
      </c>
      <c r="AG98" s="672">
        <f t="shared" si="35"/>
        <v>262.66338877124912</v>
      </c>
      <c r="AH98" s="2">
        <f t="shared" si="36"/>
        <v>151.12353697353359</v>
      </c>
      <c r="AI98" s="522">
        <f>AVERAGE(datos!ML103,datos!MM103,datos!MN103,datos!MO103)</f>
        <v>476.20333333333338</v>
      </c>
      <c r="AK98" s="3">
        <f t="shared" si="27"/>
        <v>45200</v>
      </c>
      <c r="AL98" s="12">
        <f t="shared" si="29"/>
        <v>0.26609898882384247</v>
      </c>
      <c r="AM98" s="12">
        <f t="shared" si="30"/>
        <v>0.23619586300101361</v>
      </c>
      <c r="AN98" s="12">
        <f t="shared" si="31"/>
        <v>9.9230320281148629E-2</v>
      </c>
      <c r="AO98" s="12">
        <f t="shared" si="21"/>
        <v>0.65735081166223541</v>
      </c>
      <c r="AP98" s="12">
        <f t="shared" si="22"/>
        <v>0.54408705392862855</v>
      </c>
      <c r="AQ98" s="12">
        <f t="shared" si="23"/>
        <v>0.55238691049085653</v>
      </c>
      <c r="AR98" s="12">
        <f t="shared" si="32"/>
        <v>0.16910526315789473</v>
      </c>
      <c r="AS98" s="12">
        <f t="shared" si="33"/>
        <v>0.27154254636874375</v>
      </c>
      <c r="AT98" s="12">
        <f t="shared" si="39"/>
        <v>0.27052401730389408</v>
      </c>
      <c r="AU98" s="12">
        <f t="shared" si="37"/>
        <v>0.29685417239843026</v>
      </c>
      <c r="AV98" s="12">
        <f t="shared" si="38"/>
        <v>0.31735085917122291</v>
      </c>
    </row>
    <row r="99" spans="1:48">
      <c r="A99" s="3">
        <v>45231</v>
      </c>
      <c r="B99" s="519">
        <f>datos!R104/1000</f>
        <v>280</v>
      </c>
      <c r="C99" s="520">
        <f>datos!MA104</f>
        <v>1020.69</v>
      </c>
      <c r="D99" s="7">
        <f>datos!AI104</f>
        <v>216.46</v>
      </c>
      <c r="E99" s="7">
        <f>datos!MP104</f>
        <v>906.93</v>
      </c>
      <c r="F99" s="525">
        <f>(datos!AD104/1000)/PP!$F$2</f>
        <v>105.42092034367262</v>
      </c>
      <c r="G99" s="522">
        <f>datos!MH104</f>
        <v>1244.72</v>
      </c>
      <c r="H99" s="525">
        <f>datos!BK104/$H$2</f>
        <v>2225.6533575317608</v>
      </c>
      <c r="I99" s="522">
        <f>datos!NB104</f>
        <v>3475</v>
      </c>
      <c r="J99" s="7">
        <f>datos!BR104/$J$2</f>
        <v>1125.0966666666666</v>
      </c>
      <c r="K99" s="7">
        <f>datos!NE104</f>
        <v>2442</v>
      </c>
      <c r="L99" s="525">
        <f>datos!BO104*$L$2</f>
        <v>640.64</v>
      </c>
      <c r="M99" s="522">
        <f>datos!NA104</f>
        <v>1190</v>
      </c>
      <c r="N99" s="7">
        <f>datos!BS104*$N$2</f>
        <v>793.8</v>
      </c>
      <c r="O99" s="7">
        <f>datos!ND104</f>
        <v>5250</v>
      </c>
      <c r="P99" s="525">
        <f>(datos!AG104/1000)/$P$2</f>
        <v>498.11764705882354</v>
      </c>
      <c r="Q99" s="522">
        <f>datos!MY104*$Q$2</f>
        <v>2138.54</v>
      </c>
      <c r="R99" s="525">
        <f>datos!BN104</f>
        <v>150.01</v>
      </c>
      <c r="S99" s="528">
        <v>3.6900000000000002E-2</v>
      </c>
      <c r="T99" s="529">
        <v>2127.9299999999998</v>
      </c>
      <c r="U99" s="530">
        <f t="shared" si="28"/>
        <v>78.520617000000001</v>
      </c>
      <c r="V99" s="522">
        <f>datos!NC104+U99</f>
        <v>535.62061700000004</v>
      </c>
      <c r="W99" s="672">
        <f>datos!AV104*W$4</f>
        <v>4627.727272727273</v>
      </c>
      <c r="X99" s="672">
        <f t="shared" si="24"/>
        <v>370.21818181818185</v>
      </c>
      <c r="Y99" s="672">
        <f>Y100/(1+(datos!G105/datos!G104-1))</f>
        <v>125.20321578948085</v>
      </c>
      <c r="Z99" s="1001"/>
      <c r="AA99" s="672">
        <f>AA$101/(1+Z$97)</f>
        <v>262.66338877124912</v>
      </c>
      <c r="AB99" s="7">
        <f t="shared" si="34"/>
        <v>193.48212431741806</v>
      </c>
      <c r="AC99" s="674">
        <f>datos!MJ104</f>
        <v>621.42999999999995</v>
      </c>
      <c r="AD99" s="681">
        <f>datos!BB104*AD$4</f>
        <v>4048.0092219235366</v>
      </c>
      <c r="AE99" s="673">
        <f t="shared" si="25"/>
        <v>323.84073775388293</v>
      </c>
      <c r="AF99" s="673">
        <f t="shared" si="26"/>
        <v>125.20321578948085</v>
      </c>
      <c r="AG99" s="672">
        <f t="shared" si="35"/>
        <v>262.66338877124912</v>
      </c>
      <c r="AH99" s="2">
        <f t="shared" si="36"/>
        <v>185.35010442271798</v>
      </c>
      <c r="AI99" s="522">
        <f>AVERAGE(datos!ML104,datos!MM104,datos!MN104,datos!MO104)</f>
        <v>605.71999999999991</v>
      </c>
      <c r="AK99" s="3">
        <f t="shared" si="27"/>
        <v>45231</v>
      </c>
      <c r="AL99" s="12">
        <f t="shared" si="29"/>
        <v>0.27432423164721903</v>
      </c>
      <c r="AM99" s="12">
        <f t="shared" si="30"/>
        <v>0.23867332649708359</v>
      </c>
      <c r="AN99" s="12">
        <f t="shared" si="31"/>
        <v>8.4694485782885007E-2</v>
      </c>
      <c r="AO99" s="12">
        <f t="shared" si="21"/>
        <v>0.64047578634007507</v>
      </c>
      <c r="AP99" s="12">
        <f t="shared" si="22"/>
        <v>0.46072754572754571</v>
      </c>
      <c r="AQ99" s="12">
        <f t="shared" si="23"/>
        <v>0.53835294117647059</v>
      </c>
      <c r="AR99" s="12">
        <f t="shared" si="32"/>
        <v>0.1512</v>
      </c>
      <c r="AS99" s="12">
        <f t="shared" si="33"/>
        <v>0.23292416651492306</v>
      </c>
      <c r="AT99" s="12">
        <f t="shared" si="39"/>
        <v>0.28006763600737195</v>
      </c>
      <c r="AU99" s="12">
        <f t="shared" si="37"/>
        <v>0.31134982913187015</v>
      </c>
      <c r="AV99" s="12">
        <f t="shared" si="38"/>
        <v>0.30599964409746749</v>
      </c>
    </row>
    <row r="100" spans="1:48">
      <c r="A100" s="3">
        <v>45261</v>
      </c>
      <c r="B100" s="519">
        <f>datos!R105/1000</f>
        <v>360</v>
      </c>
      <c r="C100" s="520">
        <f>datos!MA105</f>
        <v>1557.53</v>
      </c>
      <c r="D100" s="7">
        <f>datos!AI105</f>
        <v>247.58</v>
      </c>
      <c r="E100" s="7">
        <f>datos!MP105</f>
        <v>1189.79</v>
      </c>
      <c r="F100" s="525">
        <f>(datos!AD105/1000)/PP!$F$2</f>
        <v>220.96232823649339</v>
      </c>
      <c r="G100" s="522">
        <f>datos!MH105</f>
        <v>1534.79</v>
      </c>
      <c r="H100" s="525">
        <f>datos!BK105/$H$2</f>
        <v>3235.5444646098008</v>
      </c>
      <c r="I100" s="522">
        <f>datos!NB105</f>
        <v>5052</v>
      </c>
      <c r="J100" s="7">
        <f>datos!BR105/$J$2</f>
        <v>1553.9166666666665</v>
      </c>
      <c r="K100" s="7">
        <f>datos!NE105</f>
        <v>3395</v>
      </c>
      <c r="L100" s="525">
        <f>datos!BO105*$L$2</f>
        <v>713.3</v>
      </c>
      <c r="M100" s="522">
        <f>datos!NA105</f>
        <v>1448</v>
      </c>
      <c r="N100" s="7">
        <f>datos!BS105*$N$2</f>
        <v>1134</v>
      </c>
      <c r="O100" s="7">
        <f>datos!ND105</f>
        <v>6240</v>
      </c>
      <c r="P100" s="525">
        <f>(datos!AG105/1000)/$P$2</f>
        <v>617.64705882352939</v>
      </c>
      <c r="Q100" s="522">
        <f>datos!MY105*$Q$2</f>
        <v>2794.38</v>
      </c>
      <c r="R100" s="525">
        <f>datos!BN105</f>
        <v>193.65</v>
      </c>
      <c r="S100" s="528">
        <v>3.6700000000000003E-2</v>
      </c>
      <c r="T100" s="529">
        <v>2775.22</v>
      </c>
      <c r="U100" s="530">
        <f t="shared" si="28"/>
        <v>101.85057400000001</v>
      </c>
      <c r="V100" s="522">
        <f>datos!NC105+U100</f>
        <v>716.51057400000002</v>
      </c>
      <c r="W100" s="672">
        <f>datos!AV105*W$4</f>
        <v>6385.8974358974356</v>
      </c>
      <c r="X100" s="672">
        <f t="shared" si="24"/>
        <v>510.87179487179486</v>
      </c>
      <c r="Y100" s="672">
        <f>Y101/(1+(datos!G106/datos!G105-1))</f>
        <v>157.08705979224274</v>
      </c>
      <c r="Z100" s="1001"/>
      <c r="AA100" s="672">
        <f>AA$101/(1+Z$97)</f>
        <v>262.66338877124912</v>
      </c>
      <c r="AB100" s="7">
        <f t="shared" si="34"/>
        <v>272.76375962310743</v>
      </c>
      <c r="AC100" s="674">
        <f>datos!MJ105</f>
        <v>715.39</v>
      </c>
      <c r="AD100" s="681">
        <f>datos!BB105*AD$4</f>
        <v>4469.7098937820738</v>
      </c>
      <c r="AE100" s="673">
        <f t="shared" si="25"/>
        <v>357.57679150256592</v>
      </c>
      <c r="AF100" s="673">
        <f t="shared" si="26"/>
        <v>157.08705979224274</v>
      </c>
      <c r="AG100" s="672">
        <f t="shared" si="35"/>
        <v>262.66338877124912</v>
      </c>
      <c r="AH100" s="2">
        <f t="shared" si="36"/>
        <v>205.13236965088976</v>
      </c>
      <c r="AI100" s="522">
        <f>AVERAGE(datos!ML105,datos!MM105,datos!MN105,datos!MO105)</f>
        <v>556.70666666666659</v>
      </c>
      <c r="AK100" s="3">
        <f t="shared" si="27"/>
        <v>45261</v>
      </c>
      <c r="AL100" s="12">
        <f t="shared" si="29"/>
        <v>0.23113519482770797</v>
      </c>
      <c r="AM100" s="12">
        <f t="shared" si="30"/>
        <v>0.2080871414283193</v>
      </c>
      <c r="AN100" s="12">
        <f t="shared" si="31"/>
        <v>0.14396909560037099</v>
      </c>
      <c r="AO100" s="12">
        <f t="shared" si="21"/>
        <v>0.64044823131627093</v>
      </c>
      <c r="AP100" s="12">
        <f t="shared" si="22"/>
        <v>0.45770741286205197</v>
      </c>
      <c r="AQ100" s="12">
        <f t="shared" si="23"/>
        <v>0.49261049723756906</v>
      </c>
      <c r="AR100" s="12">
        <f t="shared" si="32"/>
        <v>0.18173076923076922</v>
      </c>
      <c r="AS100" s="12">
        <f t="shared" si="33"/>
        <v>0.22103187784894301</v>
      </c>
      <c r="AT100" s="12">
        <f t="shared" si="39"/>
        <v>0.27026816773816376</v>
      </c>
      <c r="AU100" s="12">
        <f t="shared" si="37"/>
        <v>0.38127980489398433</v>
      </c>
      <c r="AV100" s="12">
        <f t="shared" si="38"/>
        <v>0.36847478561580566</v>
      </c>
    </row>
    <row r="101" spans="1:48">
      <c r="A101" s="3">
        <v>45292</v>
      </c>
      <c r="B101" s="519">
        <f>datos!R106/1000</f>
        <v>430</v>
      </c>
      <c r="C101" s="520">
        <f>datos!MA106</f>
        <v>2046.61</v>
      </c>
      <c r="D101" s="7">
        <f>datos!AI106</f>
        <v>325.14999999999998</v>
      </c>
      <c r="E101" s="7">
        <f>datos!MP106</f>
        <v>1442.1</v>
      </c>
      <c r="F101" s="525">
        <f>(datos!AD106/1000)/PP!$F$2</f>
        <v>222.32971155963304</v>
      </c>
      <c r="G101" s="522">
        <f>datos!MH106</f>
        <v>1790.62</v>
      </c>
      <c r="H101" s="525">
        <f>datos!BK106/$H$2</f>
        <v>3355.9346642468245</v>
      </c>
      <c r="I101" s="522">
        <f>datos!NB106</f>
        <v>5864</v>
      </c>
      <c r="J101" s="7">
        <f>datos!BR106/$J$2</f>
        <v>1887.8958333333333</v>
      </c>
      <c r="K101" s="7">
        <f>datos!NE106</f>
        <v>4429</v>
      </c>
      <c r="L101" s="525">
        <f>datos!BO106*$L$2</f>
        <v>778.81288261911106</v>
      </c>
      <c r="M101" s="522">
        <f>datos!NA106</f>
        <v>1835</v>
      </c>
      <c r="N101" s="7">
        <f>datos!BS106*$N$2</f>
        <v>1209.5999999999999</v>
      </c>
      <c r="O101" s="7">
        <f>datos!ND106</f>
        <v>7000</v>
      </c>
      <c r="P101" s="525">
        <f>(datos!AG106/1000)/$P$2</f>
        <v>735.29411764705878</v>
      </c>
      <c r="Q101" s="522">
        <f>datos!MY106*$Q$2</f>
        <v>3398.44</v>
      </c>
      <c r="R101" s="525">
        <f>datos!BN106</f>
        <v>243.92</v>
      </c>
      <c r="S101" s="528">
        <v>3.6400000000000002E-2</v>
      </c>
      <c r="T101" s="529">
        <v>3515.24</v>
      </c>
      <c r="U101" s="530">
        <f t="shared" si="28"/>
        <v>127.954736</v>
      </c>
      <c r="V101" s="522">
        <f>datos!NC106+U101</f>
        <v>970.19473600000003</v>
      </c>
      <c r="W101" s="672">
        <f>datos!AV106*W$4</f>
        <v>5064.4859813084113</v>
      </c>
      <c r="X101" s="672">
        <f t="shared" si="24"/>
        <v>405.15887850467288</v>
      </c>
      <c r="Y101" s="672">
        <f>Y102/(1+(datos!G107/datos!G106-1))</f>
        <v>189.46934019762062</v>
      </c>
      <c r="Z101" s="1001">
        <f>AZ12</f>
        <v>0.81249761762575767</v>
      </c>
      <c r="AA101" s="672">
        <f>AA$103/(1+Z$101)</f>
        <v>359.84954369446132</v>
      </c>
      <c r="AB101" s="7">
        <f t="shared" si="34"/>
        <v>205.50041094558279</v>
      </c>
      <c r="AC101" s="674">
        <f>datos!MJ106</f>
        <v>721.76</v>
      </c>
      <c r="AD101" s="681">
        <f>datos!BB106*AD$4</f>
        <v>5632.3004195818285</v>
      </c>
      <c r="AE101" s="673">
        <f t="shared" si="25"/>
        <v>450.58403356654628</v>
      </c>
      <c r="AF101" s="673">
        <f t="shared" si="26"/>
        <v>189.46934019762062</v>
      </c>
      <c r="AG101" s="672">
        <f t="shared" si="35"/>
        <v>359.84954369446132</v>
      </c>
      <c r="AH101" s="2">
        <f t="shared" si="36"/>
        <v>257.35541678462221</v>
      </c>
      <c r="AI101" s="522">
        <f>AVERAGE(datos!ML106,datos!MM106,datos!MN106,datos!MO106)</f>
        <v>579.64666666666665</v>
      </c>
      <c r="AK101" s="3">
        <f t="shared" si="27"/>
        <v>45292</v>
      </c>
      <c r="AL101" s="12">
        <f t="shared" si="29"/>
        <v>0.21010353706861593</v>
      </c>
      <c r="AM101" s="12">
        <f t="shared" si="30"/>
        <v>0.22546980098467512</v>
      </c>
      <c r="AN101" s="12">
        <f t="shared" si="31"/>
        <v>0.12416353640617946</v>
      </c>
      <c r="AO101" s="12">
        <f t="shared" ref="AO101:AO124" si="40">H101/I101</f>
        <v>0.57229445161098647</v>
      </c>
      <c r="AP101" s="12">
        <f t="shared" ref="AP101:AP124" si="41">J101/K101</f>
        <v>0.42625780838413485</v>
      </c>
      <c r="AQ101" s="12">
        <f t="shared" ref="AQ101:AQ124" si="42">L101/M101</f>
        <v>0.42442118943820767</v>
      </c>
      <c r="AR101" s="12">
        <f t="shared" si="32"/>
        <v>0.17279999999999998</v>
      </c>
      <c r="AS101" s="12">
        <f t="shared" si="33"/>
        <v>0.21636224786874531</v>
      </c>
      <c r="AT101" s="12">
        <f t="shared" si="39"/>
        <v>0.25141344407376787</v>
      </c>
      <c r="AU101" s="12">
        <f t="shared" si="37"/>
        <v>0.2847212521414082</v>
      </c>
      <c r="AV101" s="12">
        <f t="shared" si="38"/>
        <v>0.44398671049827287</v>
      </c>
    </row>
    <row r="102" spans="1:48">
      <c r="A102" s="3">
        <v>45323</v>
      </c>
      <c r="B102" s="519">
        <f>datos!R107/1000</f>
        <v>430</v>
      </c>
      <c r="C102" s="520">
        <f>datos!MA107</f>
        <v>2355.31</v>
      </c>
      <c r="D102" s="7">
        <f>datos!AI107</f>
        <v>362.46</v>
      </c>
      <c r="E102" s="7">
        <f>datos!MP107</f>
        <v>1674.35</v>
      </c>
      <c r="F102" s="525">
        <f>(datos!AD107/1000)/PP!$F$2</f>
        <v>216.49817724770639</v>
      </c>
      <c r="G102" s="522">
        <f>datos!MH107</f>
        <v>1942.55</v>
      </c>
      <c r="H102" s="525">
        <f>datos!BK107/$H$2</f>
        <v>3943.2781306715065</v>
      </c>
      <c r="I102" s="522">
        <f>datos!NB107</f>
        <v>6058</v>
      </c>
      <c r="J102" s="7">
        <f>datos!BR107/$J$2</f>
        <v>1741.3208333333332</v>
      </c>
      <c r="K102" s="7">
        <f>datos!NE107</f>
        <v>4331</v>
      </c>
      <c r="L102" s="525">
        <f>datos!BO107*$L$2</f>
        <v>1016.904</v>
      </c>
      <c r="M102" s="522">
        <f>datos!NA107</f>
        <v>1934</v>
      </c>
      <c r="N102" s="7">
        <f>datos!BS107*$N$2</f>
        <v>1209.5999999999999</v>
      </c>
      <c r="O102" s="7">
        <f>datos!ND107</f>
        <v>7350</v>
      </c>
      <c r="P102" s="525">
        <f>(datos!AG107/1000)/$P$2</f>
        <v>882.35294117647049</v>
      </c>
      <c r="Q102" s="522">
        <f>datos!MY107*$Q$2</f>
        <v>3667.5</v>
      </c>
      <c r="R102" s="525">
        <f>datos!BN107</f>
        <v>291.69</v>
      </c>
      <c r="S102" s="528">
        <v>3.6700000000000003E-2</v>
      </c>
      <c r="T102" s="529">
        <v>4172.76</v>
      </c>
      <c r="U102" s="530">
        <f t="shared" si="28"/>
        <v>153.14029200000002</v>
      </c>
      <c r="V102" s="522">
        <f>datos!NC107+U102</f>
        <v>1172.0102919999999</v>
      </c>
      <c r="W102" s="672">
        <f>datos!AV107*W$4</f>
        <v>6744.1860465116279</v>
      </c>
      <c r="X102" s="672">
        <f t="shared" si="24"/>
        <v>539.53488372093022</v>
      </c>
      <c r="Y102" s="672">
        <f>Y103/(1+(datos!G108/datos!G107-1))</f>
        <v>214.55636175393835</v>
      </c>
      <c r="Z102" s="1001"/>
      <c r="AA102" s="672">
        <f>AA$103/(1+Z$101)</f>
        <v>359.84954369446132</v>
      </c>
      <c r="AB102" s="7">
        <f t="shared" si="34"/>
        <v>281.51226286711488</v>
      </c>
      <c r="AC102" s="674">
        <f>datos!MJ107</f>
        <v>749.73</v>
      </c>
      <c r="AD102" s="681">
        <f>datos!BB107*AD$4</f>
        <v>6890.8514371514366</v>
      </c>
      <c r="AE102" s="673">
        <f t="shared" si="25"/>
        <v>551.26811497211497</v>
      </c>
      <c r="AF102" s="673">
        <f t="shared" si="26"/>
        <v>214.55636175393835</v>
      </c>
      <c r="AG102" s="672">
        <f t="shared" si="35"/>
        <v>359.84954369446132</v>
      </c>
      <c r="AH102" s="2">
        <f t="shared" si="36"/>
        <v>320.28763426282899</v>
      </c>
      <c r="AI102" s="522">
        <f>AVERAGE(datos!ML107,datos!MM107,datos!MN107,datos!MO107)</f>
        <v>707.54666666666674</v>
      </c>
      <c r="AK102" s="3">
        <f t="shared" si="27"/>
        <v>45323</v>
      </c>
      <c r="AL102" s="12">
        <f t="shared" si="29"/>
        <v>0.18256620147666339</v>
      </c>
      <c r="AM102" s="12">
        <f t="shared" si="30"/>
        <v>0.21647803625287426</v>
      </c>
      <c r="AN102" s="12">
        <f t="shared" si="31"/>
        <v>0.11145050436164135</v>
      </c>
      <c r="AO102" s="12">
        <f t="shared" si="40"/>
        <v>0.65092078749942328</v>
      </c>
      <c r="AP102" s="12">
        <f t="shared" si="41"/>
        <v>0.40205976294928036</v>
      </c>
      <c r="AQ102" s="12">
        <f t="shared" si="42"/>
        <v>0.52580351602895548</v>
      </c>
      <c r="AR102" s="12">
        <f t="shared" si="32"/>
        <v>0.16457142857142856</v>
      </c>
      <c r="AS102" s="12">
        <f t="shared" si="33"/>
        <v>0.24058703235895582</v>
      </c>
      <c r="AT102" s="12">
        <f t="shared" si="39"/>
        <v>0.24888006700200549</v>
      </c>
      <c r="AU102" s="12">
        <f t="shared" si="37"/>
        <v>0.37548485837183371</v>
      </c>
      <c r="AV102" s="12">
        <f t="shared" si="38"/>
        <v>0.45267351165929542</v>
      </c>
    </row>
    <row r="103" spans="1:48">
      <c r="A103" s="3">
        <v>45352</v>
      </c>
      <c r="B103" s="519">
        <f>datos!R108/1000</f>
        <v>350</v>
      </c>
      <c r="C103" s="520">
        <f>datos!MA108</f>
        <v>2445.35</v>
      </c>
      <c r="D103" s="7">
        <f>datos!AI108</f>
        <v>417.6</v>
      </c>
      <c r="E103" s="7">
        <f>datos!MP108</f>
        <v>1771.02</v>
      </c>
      <c r="F103" s="525">
        <f>(datos!AD108/1000)/PP!$F$2</f>
        <v>215.14459633027519</v>
      </c>
      <c r="G103" s="522">
        <f>datos!MH108</f>
        <v>2214.0700000000002</v>
      </c>
      <c r="H103" s="525">
        <f>datos!BK108/$H$2</f>
        <v>4163.4187840290379</v>
      </c>
      <c r="I103" s="522">
        <f>datos!NB108</f>
        <v>6572</v>
      </c>
      <c r="J103" s="7">
        <f>datos!BR108/$J$2</f>
        <v>1833.333333333333</v>
      </c>
      <c r="K103" s="7">
        <f>datos!NE108</f>
        <v>4469</v>
      </c>
      <c r="L103" s="525">
        <f>datos!BO108*$L$2</f>
        <v>1127.5529999999999</v>
      </c>
      <c r="M103" s="522">
        <f>datos!NA108</f>
        <v>2234</v>
      </c>
      <c r="N103" s="7">
        <f>datos!BS108*$N$2</f>
        <v>1209.5999999999999</v>
      </c>
      <c r="O103" s="7">
        <f>datos!ND108</f>
        <v>7350</v>
      </c>
      <c r="P103" s="525">
        <f>(datos!AG108/1000)/$P$2</f>
        <v>1088.2352941176471</v>
      </c>
      <c r="Q103" s="522">
        <f>datos!MY108*$Q$2</f>
        <v>3960.6</v>
      </c>
      <c r="R103" s="525">
        <f>datos!BN108</f>
        <v>331.68</v>
      </c>
      <c r="S103" s="528">
        <v>3.7400000000000003E-2</v>
      </c>
      <c r="T103" s="529">
        <v>4661.8599999999997</v>
      </c>
      <c r="U103" s="530">
        <f t="shared" si="28"/>
        <v>174.35356400000001</v>
      </c>
      <c r="V103" s="522">
        <f>datos!NC108+U103</f>
        <v>1385.073564</v>
      </c>
      <c r="W103" s="672">
        <f>datos!AV108*W$4</f>
        <v>6830.833333333333</v>
      </c>
      <c r="X103" s="672">
        <f t="shared" si="24"/>
        <v>546.4666666666667</v>
      </c>
      <c r="Y103" s="672">
        <f>Y104/(1+(datos!G109/datos!G108-1))</f>
        <v>238.17824491473331</v>
      </c>
      <c r="Z103" s="997">
        <f>AZ13</f>
        <v>0.24620104826064892</v>
      </c>
      <c r="AA103" s="672">
        <f>AA$107/(1+Z$103)</f>
        <v>652.2264406499271</v>
      </c>
      <c r="AB103" s="7">
        <f t="shared" si="34"/>
        <v>269.69809905510033</v>
      </c>
      <c r="AC103" s="674">
        <f>datos!MJ108</f>
        <v>748.7</v>
      </c>
      <c r="AD103" s="681">
        <f>datos!BB108*AD$4</f>
        <v>8543.7712532488622</v>
      </c>
      <c r="AE103" s="673">
        <f t="shared" si="25"/>
        <v>683.50170025990894</v>
      </c>
      <c r="AF103" s="673">
        <f t="shared" si="26"/>
        <v>238.17824491473331</v>
      </c>
      <c r="AG103" s="672">
        <f t="shared" si="35"/>
        <v>652.2264406499271</v>
      </c>
      <c r="AH103" s="2">
        <f t="shared" si="36"/>
        <v>387.21471485690518</v>
      </c>
      <c r="AI103" s="522">
        <f>AVERAGE(datos!ML108,datos!MM108,datos!MN108,datos!MO108)</f>
        <v>913.71666666666658</v>
      </c>
      <c r="AK103" s="3">
        <f t="shared" si="27"/>
        <v>45352</v>
      </c>
      <c r="AL103" s="12">
        <f t="shared" si="29"/>
        <v>0.14312879546895127</v>
      </c>
      <c r="AM103" s="12">
        <f t="shared" si="30"/>
        <v>0.23579632076430532</v>
      </c>
      <c r="AN103" s="12">
        <f t="shared" si="31"/>
        <v>9.7171542151004792E-2</v>
      </c>
      <c r="AO103" s="12">
        <f t="shared" si="40"/>
        <v>0.63350864029656695</v>
      </c>
      <c r="AP103" s="12">
        <f t="shared" si="41"/>
        <v>0.4102334601327664</v>
      </c>
      <c r="AQ103" s="12">
        <f t="shared" si="42"/>
        <v>0.50472381378692921</v>
      </c>
      <c r="AR103" s="12">
        <f t="shared" si="32"/>
        <v>0.16457142857142856</v>
      </c>
      <c r="AS103" s="12">
        <f t="shared" si="33"/>
        <v>0.27476526135374618</v>
      </c>
      <c r="AT103" s="12">
        <f t="shared" si="39"/>
        <v>0.23946742513959351</v>
      </c>
      <c r="AU103" s="12">
        <f t="shared" si="37"/>
        <v>0.36022184994670803</v>
      </c>
      <c r="AV103" s="12">
        <f t="shared" si="38"/>
        <v>0.42377985318961592</v>
      </c>
    </row>
    <row r="104" spans="1:48">
      <c r="A104" s="3">
        <v>45383</v>
      </c>
      <c r="B104" s="519">
        <f>datos!R109/1000</f>
        <v>306.57871738148987</v>
      </c>
      <c r="C104" s="520">
        <f>datos!MA109</f>
        <v>2422.83</v>
      </c>
      <c r="D104" s="7">
        <f>datos!AI109</f>
        <v>410.59</v>
      </c>
      <c r="E104" s="7">
        <f>datos!MP109</f>
        <v>1957.46</v>
      </c>
      <c r="F104" s="525">
        <f>(datos!AD109/1000)/PP!$F$2</f>
        <v>232.50968807339444</v>
      </c>
      <c r="G104" s="522">
        <f>datos!MH109</f>
        <v>2376.84</v>
      </c>
      <c r="H104" s="525">
        <f>datos!BK109/$H$2</f>
        <v>4435.9528130671506</v>
      </c>
      <c r="I104" s="522">
        <f>datos!NB109</f>
        <v>6795</v>
      </c>
      <c r="J104" s="7">
        <f>datos!BR109/$J$2</f>
        <v>1604.0499999999997</v>
      </c>
      <c r="K104" s="7">
        <f>datos!NE109</f>
        <v>4462</v>
      </c>
      <c r="L104" s="525">
        <f>datos!BO109*$L$2</f>
        <v>1252.7269999999999</v>
      </c>
      <c r="M104" s="522">
        <f>datos!NA109</f>
        <v>2425</v>
      </c>
      <c r="N104" s="7">
        <f>datos!BS109*$N$2</f>
        <v>1323</v>
      </c>
      <c r="O104" s="7">
        <f>datos!ND109</f>
        <v>7000</v>
      </c>
      <c r="P104" s="525">
        <f>(datos!AG109/1000)/$P$2</f>
        <v>1102.9411764705881</v>
      </c>
      <c r="Q104" s="522">
        <f>datos!MY109*$Q$2</f>
        <v>3976.9</v>
      </c>
      <c r="R104" s="525">
        <f>datos!BN109</f>
        <v>354.87</v>
      </c>
      <c r="S104" s="528">
        <v>3.85E-2</v>
      </c>
      <c r="T104" s="529">
        <v>4847.8900000000003</v>
      </c>
      <c r="U104" s="530">
        <f t="shared" si="28"/>
        <v>186.643765</v>
      </c>
      <c r="V104" s="522">
        <f>datos!NC109+U104</f>
        <v>1462.923765</v>
      </c>
      <c r="W104" s="672">
        <f>datos!AV109*W$4</f>
        <v>6228.90625</v>
      </c>
      <c r="X104" s="672">
        <f t="shared" si="24"/>
        <v>498.3125</v>
      </c>
      <c r="Y104" s="672">
        <f>Y105/(1+(datos!G110/datos!G109-1))</f>
        <v>259.21409909714328</v>
      </c>
      <c r="Z104" s="997"/>
      <c r="AA104" s="672">
        <f>AA$107/(1+Z$103)</f>
        <v>652.2264406499271</v>
      </c>
      <c r="AB104" s="7">
        <f t="shared" si="34"/>
        <v>240.9576605126465</v>
      </c>
      <c r="AC104" s="674">
        <f>datos!MJ109</f>
        <v>734.05</v>
      </c>
      <c r="AD104" s="681">
        <f>datos!BB109*AD$4</f>
        <v>10288.408236697096</v>
      </c>
      <c r="AE104" s="673">
        <f t="shared" si="25"/>
        <v>823.07265893576766</v>
      </c>
      <c r="AF104" s="673">
        <f t="shared" si="26"/>
        <v>259.21409909714328</v>
      </c>
      <c r="AG104" s="672">
        <f t="shared" si="35"/>
        <v>652.2264406499271</v>
      </c>
      <c r="AH104" s="2">
        <f t="shared" si="36"/>
        <v>475.2163910007921</v>
      </c>
      <c r="AI104" s="522">
        <f>AVERAGE(datos!ML109,datos!MM109,datos!MN109,datos!MO109)</f>
        <v>1254.3266666666668</v>
      </c>
      <c r="AK104" s="3">
        <f t="shared" si="27"/>
        <v>45383</v>
      </c>
      <c r="AL104" s="12">
        <f t="shared" ref="AL104:AL124" si="43">B104/C104</f>
        <v>0.12653744479864037</v>
      </c>
      <c r="AM104" s="12">
        <f t="shared" ref="AM104:AM124" si="44">D104/E104</f>
        <v>0.20975652120605273</v>
      </c>
      <c r="AN104" s="12">
        <f t="shared" ref="AN104:AN124" si="45">F104/G104</f>
        <v>9.782302892638732E-2</v>
      </c>
      <c r="AO104" s="12">
        <f t="shared" si="40"/>
        <v>0.65282602105476828</v>
      </c>
      <c r="AP104" s="12">
        <f t="shared" si="41"/>
        <v>0.35949125952487665</v>
      </c>
      <c r="AQ104" s="12">
        <f t="shared" si="42"/>
        <v>0.51658845360824734</v>
      </c>
      <c r="AR104" s="12">
        <f t="shared" ref="AR104:AR124" si="46">N104/O104</f>
        <v>0.189</v>
      </c>
      <c r="AS104" s="12">
        <f t="shared" ref="AS104:AS124" si="47">P104/Q104</f>
        <v>0.27733691480062062</v>
      </c>
      <c r="AT104" s="12">
        <f t="shared" si="39"/>
        <v>0.24257586655583518</v>
      </c>
      <c r="AU104" s="12">
        <f t="shared" si="37"/>
        <v>0.32825783054648389</v>
      </c>
      <c r="AV104" s="12">
        <f t="shared" si="38"/>
        <v>0.37886174601044281</v>
      </c>
    </row>
    <row r="105" spans="1:48">
      <c r="A105" s="3">
        <v>45413</v>
      </c>
      <c r="B105" s="519">
        <f>datos!R110/1000</f>
        <v>320.3761153374233</v>
      </c>
      <c r="C105" s="520">
        <f>datos!MA110</f>
        <v>2351.11</v>
      </c>
      <c r="D105" s="7">
        <f>datos!AI110</f>
        <v>420.76</v>
      </c>
      <c r="E105" s="7">
        <f>datos!MP110</f>
        <v>2005.07</v>
      </c>
      <c r="F105" s="525">
        <f>(datos!AD110/1000)/PP!$F$2</f>
        <v>263.25743119266048</v>
      </c>
      <c r="G105" s="522">
        <f>datos!MH110</f>
        <v>2501.86</v>
      </c>
      <c r="H105" s="525">
        <f>datos!BK110/$H$2</f>
        <v>4499.5961887477315</v>
      </c>
      <c r="I105" s="522">
        <f>datos!NB110</f>
        <v>6833</v>
      </c>
      <c r="J105" s="7">
        <f>datos!BR110/$J$2</f>
        <v>1545.583333333333</v>
      </c>
      <c r="K105" s="7">
        <f>datos!NE110</f>
        <v>4420</v>
      </c>
      <c r="L105" s="525">
        <f>datos!BO110*$L$2</f>
        <v>1181.376</v>
      </c>
      <c r="M105" s="522">
        <f>datos!NA110</f>
        <v>2539</v>
      </c>
      <c r="N105" s="7">
        <f>datos!BS110*$N$2</f>
        <v>1323</v>
      </c>
      <c r="O105" s="7">
        <f>datos!ND110</f>
        <v>7400</v>
      </c>
      <c r="P105" s="525">
        <f>(datos!AG110/1000)/$P$2</f>
        <v>970.58823529411757</v>
      </c>
      <c r="Q105" s="522">
        <f>datos!MY110*$Q$2</f>
        <v>4241.68</v>
      </c>
      <c r="R105" s="525">
        <f>datos!BN110</f>
        <v>389.33</v>
      </c>
      <c r="S105" s="528">
        <v>3.9E-2</v>
      </c>
      <c r="T105" s="529">
        <v>5230.3500000000004</v>
      </c>
      <c r="U105" s="530">
        <f t="shared" si="28"/>
        <v>203.98365000000001</v>
      </c>
      <c r="V105" s="522">
        <f>datos!NC110+U105</f>
        <v>1524.0336499999999</v>
      </c>
      <c r="W105" s="672">
        <f>datos!AV110*W$4</f>
        <v>6452.272727272727</v>
      </c>
      <c r="X105" s="672">
        <f t="shared" si="24"/>
        <v>516.18181818181813</v>
      </c>
      <c r="Y105" s="672">
        <f>Y106/(1+(datos!G111/datos!G110-1))</f>
        <v>270.03972979353654</v>
      </c>
      <c r="Z105" s="997"/>
      <c r="AA105" s="672">
        <f>AA$107/(1+Z$103)</f>
        <v>652.2264406499271</v>
      </c>
      <c r="AB105" s="7">
        <f t="shared" si="34"/>
        <v>250.69123693237225</v>
      </c>
      <c r="AC105" s="674">
        <f>datos!MJ110</f>
        <v>714.83</v>
      </c>
      <c r="AD105" s="681">
        <f>datos!BB110*AD$4</f>
        <v>15516.242419441563</v>
      </c>
      <c r="AE105" s="673">
        <f t="shared" si="25"/>
        <v>1241.2993935553252</v>
      </c>
      <c r="AF105" s="673">
        <f t="shared" si="26"/>
        <v>270.03972979353654</v>
      </c>
      <c r="AG105" s="672">
        <f t="shared" si="35"/>
        <v>652.2264406499271</v>
      </c>
      <c r="AH105" s="2">
        <f t="shared" si="36"/>
        <v>741.81538085793193</v>
      </c>
      <c r="AI105" s="522">
        <f>AVERAGE(datos!ML110,datos!MM110,datos!MN110,datos!MO110)</f>
        <v>1814.29</v>
      </c>
      <c r="AK105" s="3">
        <f t="shared" si="27"/>
        <v>45413</v>
      </c>
      <c r="AL105" s="12">
        <f t="shared" si="43"/>
        <v>0.1362658979534872</v>
      </c>
      <c r="AM105" s="12">
        <f t="shared" si="44"/>
        <v>0.20984803523069021</v>
      </c>
      <c r="AN105" s="12">
        <f t="shared" si="45"/>
        <v>0.10522468531119265</v>
      </c>
      <c r="AO105" s="12">
        <f t="shared" si="40"/>
        <v>0.658509613456422</v>
      </c>
      <c r="AP105" s="12">
        <f t="shared" si="41"/>
        <v>0.3496794871794871</v>
      </c>
      <c r="AQ105" s="12">
        <f t="shared" si="42"/>
        <v>0.46529184718393068</v>
      </c>
      <c r="AR105" s="12">
        <f t="shared" si="46"/>
        <v>0.17878378378378379</v>
      </c>
      <c r="AS105" s="12">
        <f t="shared" si="47"/>
        <v>0.228821654460996</v>
      </c>
      <c r="AT105" s="12">
        <f t="shared" si="39"/>
        <v>0.25546023868961165</v>
      </c>
      <c r="AU105" s="12">
        <f t="shared" si="37"/>
        <v>0.35070049792590158</v>
      </c>
      <c r="AV105" s="12">
        <f t="shared" si="38"/>
        <v>0.40887365352723765</v>
      </c>
    </row>
    <row r="106" spans="1:48">
      <c r="A106" s="3">
        <v>45444</v>
      </c>
      <c r="B106" s="519">
        <f>datos!R111/1000</f>
        <v>381.84457925925926</v>
      </c>
      <c r="C106" s="520">
        <f>datos!MA111</f>
        <v>2336.91</v>
      </c>
      <c r="D106" s="7">
        <f>datos!AI111</f>
        <v>467.16</v>
      </c>
      <c r="E106" s="7">
        <f>datos!MP111</f>
        <v>2008</v>
      </c>
      <c r="F106" s="525">
        <f>(datos!AD111/1000)/PP!$F$2</f>
        <v>252.81039755351679</v>
      </c>
      <c r="G106" s="522">
        <f>datos!MH111</f>
        <v>2597.5</v>
      </c>
      <c r="H106" s="525">
        <f>datos!BK111/$H$2</f>
        <v>4554.6665154264974</v>
      </c>
      <c r="I106" s="522">
        <f>datos!NB111</f>
        <v>7062</v>
      </c>
      <c r="J106" s="7">
        <f>datos!BR111/$J$2</f>
        <v>1540.0499999999997</v>
      </c>
      <c r="K106" s="7">
        <f>datos!NE111</f>
        <v>4495</v>
      </c>
      <c r="L106" s="525">
        <f>datos!BO111*$L$2</f>
        <v>1176.5949999999998</v>
      </c>
      <c r="M106" s="522">
        <f>datos!NA111</f>
        <v>2504</v>
      </c>
      <c r="N106" s="7">
        <f>datos!BS111*$N$2</f>
        <v>1474.2</v>
      </c>
      <c r="O106" s="7">
        <f>datos!ND111</f>
        <v>7400</v>
      </c>
      <c r="P106" s="525">
        <f>(datos!AG111/1000)/$P$2</f>
        <v>882.35294117647049</v>
      </c>
      <c r="Q106" s="522">
        <f>datos!MY111*$Q$2</f>
        <v>4460.6000000000004</v>
      </c>
      <c r="R106" s="525">
        <f>datos!BN111</f>
        <v>403.38</v>
      </c>
      <c r="S106" s="528">
        <v>3.8300000000000001E-2</v>
      </c>
      <c r="T106" s="529">
        <v>5512.23</v>
      </c>
      <c r="U106" s="530">
        <f t="shared" si="28"/>
        <v>211.11840899999999</v>
      </c>
      <c r="V106" s="522">
        <f>datos!NC111+U106</f>
        <v>1566.548409</v>
      </c>
      <c r="W106" s="672">
        <f>datos!AV111*W$4</f>
        <v>7119.2982456140353</v>
      </c>
      <c r="X106" s="672">
        <f t="shared" si="24"/>
        <v>569.54385964912285</v>
      </c>
      <c r="Y106" s="672">
        <f>Y107/(1+(datos!G112/datos!G111-1))</f>
        <v>282.39898120526465</v>
      </c>
      <c r="Z106" s="997"/>
      <c r="AA106" s="672">
        <f>AA$107/(1+Z$103)</f>
        <v>652.2264406499271</v>
      </c>
      <c r="AB106" s="7">
        <f t="shared" si="34"/>
        <v>280.75644820548598</v>
      </c>
      <c r="AC106" s="674">
        <f>datos!MJ111</f>
        <v>708.8</v>
      </c>
      <c r="AD106" s="681">
        <f>datos!BB111*AD$4</f>
        <v>13650.521540637859</v>
      </c>
      <c r="AE106" s="673">
        <f t="shared" si="25"/>
        <v>1092.0417232510288</v>
      </c>
      <c r="AF106" s="673">
        <f t="shared" si="26"/>
        <v>282.39898120526465</v>
      </c>
      <c r="AG106" s="672">
        <f t="shared" si="35"/>
        <v>652.2264406499271</v>
      </c>
      <c r="AH106" s="2">
        <f t="shared" si="36"/>
        <v>645.76968864064668</v>
      </c>
      <c r="AI106" s="522">
        <f>AVERAGE(datos!ML111,datos!MM111,datos!MN111,datos!MO111)</f>
        <v>1733.3466666666666</v>
      </c>
      <c r="AK106" s="3">
        <f t="shared" si="27"/>
        <v>45444</v>
      </c>
      <c r="AL106" s="12">
        <f t="shared" si="43"/>
        <v>0.16339721224148954</v>
      </c>
      <c r="AM106" s="12">
        <f t="shared" si="44"/>
        <v>0.23264940239043827</v>
      </c>
      <c r="AN106" s="12">
        <f t="shared" si="45"/>
        <v>9.732835324485728E-2</v>
      </c>
      <c r="AO106" s="12">
        <f t="shared" si="40"/>
        <v>0.64495419363161954</v>
      </c>
      <c r="AP106" s="12">
        <f t="shared" si="41"/>
        <v>0.3426140155728587</v>
      </c>
      <c r="AQ106" s="12">
        <f t="shared" si="42"/>
        <v>0.46988618210862609</v>
      </c>
      <c r="AR106" s="12">
        <f t="shared" si="46"/>
        <v>0.19921621621621621</v>
      </c>
      <c r="AS106" s="12">
        <f t="shared" si="47"/>
        <v>0.19781037106588137</v>
      </c>
      <c r="AT106" s="12">
        <f t="shared" si="39"/>
        <v>0.25749603247658082</v>
      </c>
      <c r="AU106" s="12">
        <f t="shared" si="37"/>
        <v>0.39610108381135156</v>
      </c>
      <c r="AV106" s="12">
        <f t="shared" si="38"/>
        <v>0.37255656993445052</v>
      </c>
    </row>
    <row r="107" spans="1:48">
      <c r="A107" s="3">
        <v>45474</v>
      </c>
      <c r="B107" s="519">
        <f>datos!R112/1000</f>
        <v>387.04</v>
      </c>
      <c r="C107" s="520">
        <f>datos!MA112</f>
        <v>2301.88</v>
      </c>
      <c r="D107" s="7">
        <f>datos!AI112</f>
        <v>444.93</v>
      </c>
      <c r="E107" s="7">
        <f>datos!MP112</f>
        <v>2047.63</v>
      </c>
      <c r="F107" s="525">
        <f>(datos!AD112/1000)/PP!$F$2</f>
        <v>249.18797553516814</v>
      </c>
      <c r="G107" s="522">
        <f>datos!MH112</f>
        <v>2663.51</v>
      </c>
      <c r="H107" s="525">
        <f>datos!BK112/$H$2</f>
        <v>4691.0412885662436</v>
      </c>
      <c r="I107" s="522">
        <f>datos!NB112</f>
        <v>7106</v>
      </c>
      <c r="J107" s="7">
        <f>datos!BR112/$J$2</f>
        <v>1683.3583333333333</v>
      </c>
      <c r="K107" s="7">
        <f>datos!NE112</f>
        <v>4593</v>
      </c>
      <c r="L107" s="525">
        <f>datos!BO112*$L$2</f>
        <v>1201.4659999999999</v>
      </c>
      <c r="M107" s="522">
        <f>datos!NA112</f>
        <v>2553</v>
      </c>
      <c r="N107" s="7">
        <f>datos!BS112*$N$2</f>
        <v>1701</v>
      </c>
      <c r="O107" s="7">
        <f>datos!ND112</f>
        <v>8690</v>
      </c>
      <c r="P107" s="525">
        <f>(datos!AG112/1000)/$P$2</f>
        <v>823.52941176470586</v>
      </c>
      <c r="Q107" s="522">
        <f>datos!MY112*$Q$2</f>
        <v>4512.16</v>
      </c>
      <c r="R107" s="525">
        <f>datos!BN112</f>
        <v>411.7</v>
      </c>
      <c r="S107" s="528">
        <v>3.8199999999999998E-2</v>
      </c>
      <c r="T107" s="529">
        <v>5628.08</v>
      </c>
      <c r="U107" s="530">
        <f t="shared" si="28"/>
        <v>214.99265599999998</v>
      </c>
      <c r="V107" s="522">
        <f>datos!NC112+U107</f>
        <v>1520.0626559999998</v>
      </c>
      <c r="W107" s="672">
        <f>datos!AV112*W$4</f>
        <v>9727.9661016949158</v>
      </c>
      <c r="X107" s="672">
        <f t="shared" si="24"/>
        <v>778.2372881355933</v>
      </c>
      <c r="Y107" s="672">
        <f>Y108/(1+(datos!G113/datos!G112-1))</f>
        <v>293.78296755533592</v>
      </c>
      <c r="Z107" s="1001">
        <f>AZ14</f>
        <v>0.16999932496793591</v>
      </c>
      <c r="AA107" s="672">
        <f t="shared" ref="AA107:AA112" si="48">AA$113/(1+Z$107)</f>
        <v>812.8052740412511</v>
      </c>
      <c r="AB107" s="7">
        <f t="shared" si="34"/>
        <v>392.15702859813672</v>
      </c>
      <c r="AC107" s="674">
        <f>datos!MJ112</f>
        <v>913.17</v>
      </c>
      <c r="AD107" s="681">
        <f>datos!BB112*AD$4</f>
        <v>19145.753787878788</v>
      </c>
      <c r="AE107" s="673">
        <f t="shared" si="25"/>
        <v>1531.6603030303031</v>
      </c>
      <c r="AF107" s="673">
        <f t="shared" si="26"/>
        <v>293.78296755533592</v>
      </c>
      <c r="AG107" s="672">
        <f t="shared" si="35"/>
        <v>812.8052740412511</v>
      </c>
      <c r="AH107" s="2">
        <f t="shared" si="36"/>
        <v>917.08362462510536</v>
      </c>
      <c r="AI107" s="522">
        <f>AVERAGE(datos!ML112,datos!MM112,datos!MN112,datos!MO112)</f>
        <v>2016.4566666666663</v>
      </c>
      <c r="AK107" s="3">
        <f t="shared" si="27"/>
        <v>45474</v>
      </c>
      <c r="AL107" s="12">
        <f t="shared" si="43"/>
        <v>0.16814082402210367</v>
      </c>
      <c r="AM107" s="12">
        <f t="shared" si="44"/>
        <v>0.21729023309875317</v>
      </c>
      <c r="AN107" s="12">
        <f t="shared" si="45"/>
        <v>9.3556238022447114E-2</v>
      </c>
      <c r="AO107" s="12">
        <f t="shared" si="40"/>
        <v>0.6601521655736341</v>
      </c>
      <c r="AP107" s="12">
        <f t="shared" si="41"/>
        <v>0.36650518905580959</v>
      </c>
      <c r="AQ107" s="12">
        <f t="shared" si="42"/>
        <v>0.47060947904426159</v>
      </c>
      <c r="AR107" s="12">
        <f t="shared" si="46"/>
        <v>0.19574223245109321</v>
      </c>
      <c r="AS107" s="12">
        <f t="shared" si="47"/>
        <v>0.18251334433280422</v>
      </c>
      <c r="AT107" s="12">
        <f t="shared" si="39"/>
        <v>0.27084409867904818</v>
      </c>
      <c r="AU107" s="12">
        <f t="shared" si="37"/>
        <v>0.42944580811692973</v>
      </c>
      <c r="AV107" s="12">
        <f t="shared" si="38"/>
        <v>0.4547995698519543</v>
      </c>
    </row>
    <row r="108" spans="1:48">
      <c r="A108" s="3">
        <v>45505</v>
      </c>
      <c r="B108" s="519">
        <f>datos!R113/1000</f>
        <v>400</v>
      </c>
      <c r="C108" s="520">
        <f>datos!MA113</f>
        <v>2288.2600000000002</v>
      </c>
      <c r="D108" s="7">
        <f>datos!AI113</f>
        <v>464.92</v>
      </c>
      <c r="E108" s="7">
        <f>datos!MP113</f>
        <v>2061.98</v>
      </c>
      <c r="F108" s="525">
        <f>(datos!AD113/1000)/PP!$F$2</f>
        <v>286.53427522935777</v>
      </c>
      <c r="G108" s="522">
        <f>datos!MH113</f>
        <v>2774.95</v>
      </c>
      <c r="H108" s="525">
        <f>datos!BK113/$H$2</f>
        <v>4658.0943738656988</v>
      </c>
      <c r="I108" s="522">
        <f>datos!NB113</f>
        <v>7233</v>
      </c>
      <c r="J108" s="7">
        <f>datos!BR113/$J$2</f>
        <v>2051.1499999999996</v>
      </c>
      <c r="K108" s="7">
        <f>datos!NE113</f>
        <v>4961</v>
      </c>
      <c r="L108" s="525">
        <f>datos!BO113*$L$2</f>
        <v>1423.597</v>
      </c>
      <c r="M108" s="522">
        <f>datos!NA113</f>
        <v>2717</v>
      </c>
      <c r="N108" s="7">
        <f>datos!BS113*$N$2</f>
        <v>1738.8</v>
      </c>
      <c r="O108" s="7">
        <f>datos!ND113</f>
        <v>8700</v>
      </c>
      <c r="P108" s="525">
        <f>(datos!AG113/1000)/$P$2</f>
        <v>617.64705882352939</v>
      </c>
      <c r="Q108" s="522">
        <f>datos!MY113*$Q$2</f>
        <v>4480.84</v>
      </c>
      <c r="R108" s="525">
        <f>datos!BN113</f>
        <v>418.74</v>
      </c>
      <c r="S108" s="528">
        <v>3.7999999999999999E-2</v>
      </c>
      <c r="T108" s="529">
        <v>5762.74</v>
      </c>
      <c r="U108" s="530">
        <f t="shared" si="28"/>
        <v>218.98411999999999</v>
      </c>
      <c r="V108" s="522">
        <f>datos!NC113+U108</f>
        <v>1572.4241200000001</v>
      </c>
      <c r="W108" s="672">
        <f>datos!AV113*W$4</f>
        <v>13529.268292682927</v>
      </c>
      <c r="X108" s="672">
        <f t="shared" si="24"/>
        <v>1082.3414634146343</v>
      </c>
      <c r="Y108" s="672">
        <f>Y109/(1+(datos!G114/datos!G113-1))</f>
        <v>306.03856404243254</v>
      </c>
      <c r="Z108" s="1001"/>
      <c r="AA108" s="672">
        <f t="shared" si="48"/>
        <v>812.8052740412511</v>
      </c>
      <c r="AB108" s="7">
        <f t="shared" si="34"/>
        <v>566.40414955923052</v>
      </c>
      <c r="AC108" s="674">
        <f>datos!MJ113</f>
        <v>1274.1500000000001</v>
      </c>
      <c r="AD108" s="681">
        <f>datos!BB113*AD$4</f>
        <v>15363.55675918059</v>
      </c>
      <c r="AE108" s="673">
        <f t="shared" si="25"/>
        <v>1229.0845407344473</v>
      </c>
      <c r="AF108" s="673">
        <f t="shared" si="26"/>
        <v>306.03856404243254</v>
      </c>
      <c r="AG108" s="672">
        <f t="shared" si="35"/>
        <v>812.8052740412511</v>
      </c>
      <c r="AH108" s="2">
        <f t="shared" si="36"/>
        <v>723.09046557569218</v>
      </c>
      <c r="AI108" s="522">
        <f>AVERAGE(datos!ML113,datos!MM113,datos!MN113,datos!MO113)</f>
        <v>1763.426666666667</v>
      </c>
      <c r="AK108" s="3">
        <f t="shared" si="27"/>
        <v>45505</v>
      </c>
      <c r="AL108" s="12">
        <f t="shared" si="43"/>
        <v>0.17480531058533558</v>
      </c>
      <c r="AM108" s="12">
        <f t="shared" si="44"/>
        <v>0.22547260400197869</v>
      </c>
      <c r="AN108" s="12">
        <f t="shared" si="45"/>
        <v>0.10325745517193384</v>
      </c>
      <c r="AO108" s="12">
        <f t="shared" si="40"/>
        <v>0.64400585840808777</v>
      </c>
      <c r="AP108" s="12">
        <f t="shared" si="41"/>
        <v>0.41345494859907267</v>
      </c>
      <c r="AQ108" s="12">
        <f t="shared" si="42"/>
        <v>0.52395914611704086</v>
      </c>
      <c r="AR108" s="12">
        <f t="shared" si="46"/>
        <v>0.19986206896551723</v>
      </c>
      <c r="AS108" s="12">
        <f t="shared" si="47"/>
        <v>0.13784180172100083</v>
      </c>
      <c r="AT108" s="12">
        <f t="shared" si="39"/>
        <v>0.26630219841705299</v>
      </c>
      <c r="AU108" s="12">
        <f t="shared" si="37"/>
        <v>0.44453490527742456</v>
      </c>
      <c r="AV108" s="12">
        <f t="shared" si="38"/>
        <v>0.41004850343026761</v>
      </c>
    </row>
    <row r="109" spans="1:48">
      <c r="A109" s="3">
        <v>45536</v>
      </c>
      <c r="B109" s="519">
        <f>datos!R114/1000</f>
        <v>400</v>
      </c>
      <c r="C109" s="520">
        <f>datos!MA114</f>
        <v>2262</v>
      </c>
      <c r="D109" s="7">
        <f>datos!AI114</f>
        <v>410.52</v>
      </c>
      <c r="E109" s="7">
        <f>datos!MP114</f>
        <v>2122.36</v>
      </c>
      <c r="F109" s="525">
        <f>(datos!AD114/1000)/PP!$F$2</f>
        <v>265.69859327217125</v>
      </c>
      <c r="G109" s="522">
        <f>datos!MH114</f>
        <v>2878.01</v>
      </c>
      <c r="H109" s="525">
        <f>datos!BK114/$H$2</f>
        <v>4526.0412885662436</v>
      </c>
      <c r="I109" s="522">
        <f>datos!NB114</f>
        <v>7271</v>
      </c>
      <c r="J109" s="7">
        <f>datos!BR114/$J$2</f>
        <v>2250.583333333333</v>
      </c>
      <c r="K109" s="7">
        <f>datos!NE114</f>
        <v>5368</v>
      </c>
      <c r="L109" s="525">
        <f>datos!BO114*$L$2</f>
        <v>1383.116</v>
      </c>
      <c r="M109" s="522">
        <f>datos!NA114</f>
        <v>2834</v>
      </c>
      <c r="N109" s="7">
        <f>datos!BS114*$N$2</f>
        <v>1701</v>
      </c>
      <c r="O109" s="7">
        <f>datos!ND114</f>
        <v>8700</v>
      </c>
      <c r="P109" s="525">
        <f>(datos!AG114/1000)/$P$2</f>
        <v>617.64705882352939</v>
      </c>
      <c r="Q109" s="522">
        <f>datos!MY114*$Q$2</f>
        <v>4391.7</v>
      </c>
      <c r="R109" s="525">
        <f>datos!BN114</f>
        <v>426.18</v>
      </c>
      <c r="S109" s="528">
        <v>3.7499999999999999E-2</v>
      </c>
      <c r="T109" s="529">
        <v>5937.24</v>
      </c>
      <c r="U109" s="530">
        <f t="shared" si="28"/>
        <v>222.64649999999997</v>
      </c>
      <c r="V109" s="522">
        <f>datos!NC114+U109</f>
        <v>1580.7465</v>
      </c>
      <c r="W109" s="672">
        <f>datos!AV114*W$4</f>
        <v>12272.649572649572</v>
      </c>
      <c r="X109" s="672">
        <f t="shared" si="24"/>
        <v>981.81196581196582</v>
      </c>
      <c r="Y109" s="672">
        <f>Y110/(1+(datos!G115/datos!G114-1))</f>
        <v>316.65570224351529</v>
      </c>
      <c r="Z109" s="1001"/>
      <c r="AA109" s="672">
        <f t="shared" si="48"/>
        <v>812.8052740412511</v>
      </c>
      <c r="AB109" s="7">
        <f t="shared" si="34"/>
        <v>508.06883152764192</v>
      </c>
      <c r="AC109" s="674">
        <f>datos!MJ114</f>
        <v>1326.9</v>
      </c>
      <c r="AD109" s="681">
        <f>datos!BB114*AD$4</f>
        <v>15126.974223602487</v>
      </c>
      <c r="AE109" s="673">
        <f t="shared" si="25"/>
        <v>1210.1579378881991</v>
      </c>
      <c r="AF109" s="673">
        <f t="shared" si="26"/>
        <v>316.65570224351529</v>
      </c>
      <c r="AG109" s="672">
        <f t="shared" si="35"/>
        <v>812.8052740412511</v>
      </c>
      <c r="AH109" s="2">
        <f t="shared" si="36"/>
        <v>710.40862830163996</v>
      </c>
      <c r="AI109" s="522">
        <f>AVERAGE(datos!ML114,datos!MM114,datos!MN114,datos!MO114)</f>
        <v>1843.7833333333335</v>
      </c>
      <c r="AK109" s="3">
        <f t="shared" si="27"/>
        <v>45536</v>
      </c>
      <c r="AL109" s="12">
        <f t="shared" si="43"/>
        <v>0.17683465959328029</v>
      </c>
      <c r="AM109" s="12">
        <f t="shared" si="44"/>
        <v>0.19342618594394917</v>
      </c>
      <c r="AN109" s="12">
        <f t="shared" si="45"/>
        <v>9.2320246723316193E-2</v>
      </c>
      <c r="AO109" s="12">
        <f t="shared" si="40"/>
        <v>0.62247851582536706</v>
      </c>
      <c r="AP109" s="12">
        <f t="shared" si="41"/>
        <v>0.41925919026328856</v>
      </c>
      <c r="AQ109" s="12">
        <f t="shared" si="42"/>
        <v>0.48804375441072689</v>
      </c>
      <c r="AR109" s="12">
        <f t="shared" si="46"/>
        <v>0.19551724137931034</v>
      </c>
      <c r="AS109" s="12">
        <f t="shared" si="47"/>
        <v>0.14063962903284136</v>
      </c>
      <c r="AT109" s="12">
        <f t="shared" si="39"/>
        <v>0.26960679653568742</v>
      </c>
      <c r="AU109" s="12">
        <f t="shared" si="37"/>
        <v>0.38289911186045811</v>
      </c>
      <c r="AV109" s="12">
        <f t="shared" si="38"/>
        <v>0.38529940880705787</v>
      </c>
    </row>
    <row r="110" spans="1:48">
      <c r="A110" s="3">
        <v>45566</v>
      </c>
      <c r="B110" s="519">
        <f>datos!R115/1000</f>
        <v>380</v>
      </c>
      <c r="C110" s="520">
        <f>datos!MA115</f>
        <v>2285.88</v>
      </c>
      <c r="D110" s="7">
        <f>datos!AI115</f>
        <v>458.45</v>
      </c>
      <c r="E110" s="7">
        <f>datos!MP115</f>
        <v>2162.88</v>
      </c>
      <c r="F110" s="525">
        <f>(datos!AD115/1000)/PP!$F$2</f>
        <v>260.39999999999998</v>
      </c>
      <c r="G110" s="522">
        <f>datos!MH115</f>
        <v>2948.01</v>
      </c>
      <c r="H110" s="525">
        <f>datos!BK115/$H$2</f>
        <v>4437.4841197822143</v>
      </c>
      <c r="I110" s="522">
        <f>datos!NB115</f>
        <v>7585</v>
      </c>
      <c r="J110" s="7">
        <f>datos!BR115/$J$2</f>
        <v>2380.3666666666663</v>
      </c>
      <c r="K110" s="7">
        <f>datos!NE115</f>
        <v>5682</v>
      </c>
      <c r="L110" s="525">
        <f>datos!BO115*$L$2</f>
        <v>1381.2819999999999</v>
      </c>
      <c r="M110" s="522">
        <f>datos!NA115</f>
        <v>2862</v>
      </c>
      <c r="N110" s="7">
        <f>datos!BS115*$N$2</f>
        <v>1833.3</v>
      </c>
      <c r="O110" s="7">
        <f>datos!ND115</f>
        <v>9800</v>
      </c>
      <c r="P110" s="525">
        <f>(datos!AG115/1000)/$P$2</f>
        <v>617.64705882352939</v>
      </c>
      <c r="Q110" s="522">
        <f>datos!MY115*$Q$2</f>
        <v>4399.58</v>
      </c>
      <c r="R110" s="525">
        <f>datos!BN115</f>
        <v>434.86</v>
      </c>
      <c r="S110" s="528">
        <v>3.6900000000000002E-2</v>
      </c>
      <c r="T110" s="529">
        <v>6142.43</v>
      </c>
      <c r="U110" s="530">
        <f t="shared" si="28"/>
        <v>226.65566700000002</v>
      </c>
      <c r="V110" s="522">
        <f>datos!NC115+U110</f>
        <v>1617.2856670000001</v>
      </c>
      <c r="W110" s="672">
        <f>datos!AV115*W$4</f>
        <v>15237</v>
      </c>
      <c r="X110" s="672">
        <f t="shared" si="24"/>
        <v>1218.96</v>
      </c>
      <c r="Y110" s="672">
        <f>Y111/(1+(datos!G116/datos!G115-1))</f>
        <v>325.18320269145357</v>
      </c>
      <c r="Z110" s="1001"/>
      <c r="AA110" s="672">
        <f t="shared" si="48"/>
        <v>812.8052740412511</v>
      </c>
      <c r="AB110" s="7">
        <f t="shared" si="34"/>
        <v>644.00257616336478</v>
      </c>
      <c r="AC110" s="674">
        <f>datos!MJ115</f>
        <v>1393.92</v>
      </c>
      <c r="AD110" s="681">
        <f>datos!BB115*AD$4</f>
        <v>13480.328571428572</v>
      </c>
      <c r="AE110" s="673">
        <f t="shared" si="25"/>
        <v>1078.4262857142858</v>
      </c>
      <c r="AF110" s="673">
        <f t="shared" si="26"/>
        <v>325.18320269145357</v>
      </c>
      <c r="AG110" s="672">
        <f t="shared" si="35"/>
        <v>812.8052740412511</v>
      </c>
      <c r="AH110" s="2">
        <f t="shared" si="36"/>
        <v>625.77298938786555</v>
      </c>
      <c r="AI110" s="522">
        <f>AVERAGE(datos!ML115,datos!MM115,datos!MN115,datos!MO115)</f>
        <v>1804.6166666666668</v>
      </c>
      <c r="AK110" s="3">
        <f t="shared" si="27"/>
        <v>45566</v>
      </c>
      <c r="AL110" s="12">
        <f t="shared" si="43"/>
        <v>0.1662379477487882</v>
      </c>
      <c r="AM110" s="12">
        <f t="shared" si="44"/>
        <v>0.21196275336588252</v>
      </c>
      <c r="AN110" s="12">
        <f t="shared" si="45"/>
        <v>8.8330772283676098E-2</v>
      </c>
      <c r="AO110" s="12">
        <f t="shared" si="40"/>
        <v>0.5850341621334495</v>
      </c>
      <c r="AP110" s="12">
        <f t="shared" si="41"/>
        <v>0.41893112753725209</v>
      </c>
      <c r="AQ110" s="12">
        <f t="shared" si="42"/>
        <v>0.48262823200559046</v>
      </c>
      <c r="AR110" s="12">
        <f t="shared" si="46"/>
        <v>0.18707142857142856</v>
      </c>
      <c r="AS110" s="12">
        <f t="shared" si="47"/>
        <v>0.14038773219796649</v>
      </c>
      <c r="AT110" s="12">
        <f t="shared" si="39"/>
        <v>0.2688826154050124</v>
      </c>
      <c r="AU110" s="12">
        <f t="shared" si="37"/>
        <v>0.46200827605842859</v>
      </c>
      <c r="AV110" s="12">
        <f t="shared" si="38"/>
        <v>0.34676227973874352</v>
      </c>
    </row>
    <row r="111" spans="1:48">
      <c r="A111" s="3">
        <v>45597</v>
      </c>
      <c r="B111" s="519">
        <f>datos!R116/1000</f>
        <v>350</v>
      </c>
      <c r="C111" s="520">
        <f>datos!MA116</f>
        <v>2273.69</v>
      </c>
      <c r="D111" s="7">
        <f>datos!AI116</f>
        <v>422.87</v>
      </c>
      <c r="E111" s="7">
        <f>datos!MP116</f>
        <v>2153.7800000000002</v>
      </c>
      <c r="F111" s="525">
        <f>(datos!AD116/1000)/PP!$F$2</f>
        <v>238.82908256880731</v>
      </c>
      <c r="G111" s="522">
        <f>datos!MH116</f>
        <v>3040.97</v>
      </c>
      <c r="H111" s="525">
        <f>datos!BK116/$H$2</f>
        <v>4834.2332123411979</v>
      </c>
      <c r="I111" s="522">
        <f>datos!NB116</f>
        <v>7696</v>
      </c>
      <c r="J111" s="7">
        <f>datos!BR116/$J$2</f>
        <v>2440.0499999999997</v>
      </c>
      <c r="K111" s="7">
        <f>datos!NE116</f>
        <v>5803</v>
      </c>
      <c r="L111" s="525">
        <f>datos!BO116*$L$2</f>
        <v>1496.432</v>
      </c>
      <c r="M111" s="522">
        <f>datos!NA116</f>
        <v>2889</v>
      </c>
      <c r="N111" s="7">
        <f>datos!BS116*$N$2</f>
        <v>1833.3</v>
      </c>
      <c r="O111" s="7">
        <f>datos!ND116</f>
        <v>9800</v>
      </c>
      <c r="P111" s="525">
        <f>(datos!AG116/1000)/$P$2</f>
        <v>485.29411764705878</v>
      </c>
      <c r="Q111" s="522">
        <f>datos!MY116*$Q$2</f>
        <v>4471.4799999999996</v>
      </c>
      <c r="R111" s="525">
        <f>datos!BN116</f>
        <v>439.73</v>
      </c>
      <c r="S111" s="528">
        <v>3.6400000000000002E-2</v>
      </c>
      <c r="T111" s="529">
        <v>6274.27</v>
      </c>
      <c r="U111" s="530">
        <f t="shared" si="28"/>
        <v>228.38342800000004</v>
      </c>
      <c r="V111" s="522">
        <f>datos!NC116+U111</f>
        <v>1657.1234280000001</v>
      </c>
      <c r="W111" s="672">
        <f>datos!AV116*W$4</f>
        <v>13858.4</v>
      </c>
      <c r="X111" s="672">
        <f t="shared" si="24"/>
        <v>1108.672</v>
      </c>
      <c r="Y111" s="672">
        <f>Y112/(1+(datos!G117/datos!G116-1))</f>
        <v>333.07047370013055</v>
      </c>
      <c r="Z111" s="1001"/>
      <c r="AA111" s="672">
        <f t="shared" si="48"/>
        <v>812.8052740412511</v>
      </c>
      <c r="AB111" s="7">
        <f t="shared" si="34"/>
        <v>580.19261261293082</v>
      </c>
      <c r="AC111" s="674">
        <f>datos!MJ116</f>
        <v>1197.23</v>
      </c>
      <c r="AD111" s="681">
        <f>datos!BB116*AD$4</f>
        <v>11145.5</v>
      </c>
      <c r="AE111" s="673">
        <f t="shared" si="25"/>
        <v>891.64</v>
      </c>
      <c r="AF111" s="673">
        <f t="shared" si="26"/>
        <v>333.07047370013055</v>
      </c>
      <c r="AG111" s="672">
        <f t="shared" si="35"/>
        <v>812.8052740412511</v>
      </c>
      <c r="AH111" s="2">
        <f t="shared" si="36"/>
        <v>505.99912512547883</v>
      </c>
      <c r="AI111" s="522">
        <f>AVERAGE(datos!ML116,datos!MM116,datos!MN116,datos!MO116)</f>
        <v>1492.6266666666668</v>
      </c>
      <c r="AK111" s="3">
        <f t="shared" si="27"/>
        <v>45597</v>
      </c>
      <c r="AL111" s="12">
        <f t="shared" si="43"/>
        <v>0.15393479322159134</v>
      </c>
      <c r="AM111" s="12">
        <f t="shared" si="44"/>
        <v>0.19633853039771934</v>
      </c>
      <c r="AN111" s="12">
        <f t="shared" si="45"/>
        <v>7.8537138665888628E-2</v>
      </c>
      <c r="AO111" s="12">
        <f t="shared" si="40"/>
        <v>0.62814880617739055</v>
      </c>
      <c r="AP111" s="12">
        <f t="shared" si="41"/>
        <v>0.42048078580044801</v>
      </c>
      <c r="AQ111" s="12">
        <f t="shared" si="42"/>
        <v>0.51797577016268603</v>
      </c>
      <c r="AR111" s="12">
        <f t="shared" si="46"/>
        <v>0.18707142857142856</v>
      </c>
      <c r="AS111" s="12">
        <f t="shared" si="47"/>
        <v>0.1085309825040163</v>
      </c>
      <c r="AT111" s="12">
        <f t="shared" si="39"/>
        <v>0.26535742152334113</v>
      </c>
      <c r="AU111" s="12">
        <f t="shared" si="37"/>
        <v>0.48461249101085907</v>
      </c>
      <c r="AV111" s="12">
        <f t="shared" si="38"/>
        <v>0.33899911908680813</v>
      </c>
    </row>
    <row r="112" spans="1:48">
      <c r="A112" s="3">
        <v>45627</v>
      </c>
      <c r="B112" s="519">
        <f>datos!R117/1000</f>
        <v>300</v>
      </c>
      <c r="C112" s="520">
        <f>datos!MA117</f>
        <v>2190.58</v>
      </c>
      <c r="D112" s="7">
        <f>datos!AI117</f>
        <v>425.56</v>
      </c>
      <c r="E112" s="7">
        <f>datos!MP117</f>
        <v>2166.11</v>
      </c>
      <c r="F112" s="525">
        <f>(datos!AD117/1000)/PP!$F$2</f>
        <v>244.6439633027523</v>
      </c>
      <c r="G112" s="522">
        <f>datos!MH117</f>
        <v>3095.49</v>
      </c>
      <c r="H112" s="525">
        <f>datos!BK117/$H$2</f>
        <v>5358.8634301270422</v>
      </c>
      <c r="I112" s="522">
        <f>datos!NB117</f>
        <v>8995</v>
      </c>
      <c r="J112" s="7">
        <f>datos!BR117/$J$2</f>
        <v>2583.1333333333332</v>
      </c>
      <c r="K112" s="7">
        <f>datos!NE117</f>
        <v>6416</v>
      </c>
      <c r="L112" s="525">
        <f>datos!BO117*$L$2</f>
        <v>1508.3529999999998</v>
      </c>
      <c r="M112" s="522">
        <f>datos!NA117</f>
        <v>3071</v>
      </c>
      <c r="N112" s="7">
        <f>datos!BS117*$N$2</f>
        <v>2268</v>
      </c>
      <c r="O112" s="7">
        <f>datos!ND117</f>
        <v>10990</v>
      </c>
      <c r="P112" s="525">
        <f>(datos!AG117/1000)/$P$2</f>
        <v>485.29411764705878</v>
      </c>
      <c r="Q112" s="522">
        <f>datos!MY117*$Q$2</f>
        <v>4476.1000000000004</v>
      </c>
      <c r="R112" s="525">
        <f>datos!BN117</f>
        <v>441.1</v>
      </c>
      <c r="S112" s="528">
        <v>3.6400000000000002E-2</v>
      </c>
      <c r="T112" s="529">
        <v>6296.65</v>
      </c>
      <c r="U112" s="530">
        <f t="shared" si="28"/>
        <v>229.19806</v>
      </c>
      <c r="V112" s="522">
        <f>datos!NC117+U112</f>
        <v>1683.7680599999999</v>
      </c>
      <c r="W112" s="672">
        <f>datos!AV117*W$4</f>
        <v>5439.3617021276596</v>
      </c>
      <c r="X112" s="672">
        <f t="shared" si="24"/>
        <v>435.14893617021278</v>
      </c>
      <c r="Y112" s="672">
        <f>Y113/(1+(datos!G118/datos!G117-1))</f>
        <v>342.07814622751482</v>
      </c>
      <c r="Z112" s="1001"/>
      <c r="AA112" s="672">
        <f t="shared" si="48"/>
        <v>812.8052740412511</v>
      </c>
      <c r="AB112" s="7">
        <f t="shared" si="34"/>
        <v>192.46646728443406</v>
      </c>
      <c r="AC112" s="674">
        <f>datos!MJ117</f>
        <v>1046.6199999999999</v>
      </c>
      <c r="AD112" s="681">
        <f>datos!BB117*AD$4</f>
        <v>10655.950335823056</v>
      </c>
      <c r="AE112" s="673">
        <f t="shared" si="25"/>
        <v>852.47602686584446</v>
      </c>
      <c r="AF112" s="673">
        <f t="shared" si="26"/>
        <v>342.07814622751482</v>
      </c>
      <c r="AG112" s="672">
        <f t="shared" si="35"/>
        <v>812.8052740412511</v>
      </c>
      <c r="AH112" s="2">
        <f t="shared" si="36"/>
        <v>480.47727159380247</v>
      </c>
      <c r="AI112" s="522">
        <f>AVERAGE(datos!ML117,datos!MM117,datos!MN117,datos!MO117)</f>
        <v>1219.9033333333334</v>
      </c>
      <c r="AK112" s="3">
        <f t="shared" si="27"/>
        <v>45627</v>
      </c>
      <c r="AL112" s="12">
        <f t="shared" si="43"/>
        <v>0.13695003149850724</v>
      </c>
      <c r="AM112" s="12">
        <f t="shared" si="44"/>
        <v>0.19646278351514926</v>
      </c>
      <c r="AN112" s="12">
        <f t="shared" si="45"/>
        <v>7.9032386892786702E-2</v>
      </c>
      <c r="AO112" s="12">
        <f t="shared" si="40"/>
        <v>0.59576024792963223</v>
      </c>
      <c r="AP112" s="12">
        <f t="shared" si="41"/>
        <v>0.40260806317539483</v>
      </c>
      <c r="AQ112" s="12">
        <f t="shared" si="42"/>
        <v>0.49116020840117219</v>
      </c>
      <c r="AR112" s="12">
        <f t="shared" si="46"/>
        <v>0.20636942675159237</v>
      </c>
      <c r="AS112" s="12">
        <f t="shared" si="47"/>
        <v>0.10841896241081717</v>
      </c>
      <c r="AT112" s="12">
        <f t="shared" si="39"/>
        <v>0.2619719487967957</v>
      </c>
      <c r="AU112" s="12">
        <f t="shared" si="37"/>
        <v>0.18389335889284944</v>
      </c>
      <c r="AV112" s="12">
        <f t="shared" si="38"/>
        <v>0.39386503706069809</v>
      </c>
    </row>
    <row r="113" spans="1:61">
      <c r="A113" s="3">
        <v>45658</v>
      </c>
      <c r="B113" s="519">
        <f>datos!R118/1000</f>
        <v>250</v>
      </c>
      <c r="C113" s="520">
        <f>datos!MA118</f>
        <v>2110.7600000000002</v>
      </c>
      <c r="D113" s="7">
        <f>datos!AI118</f>
        <v>416.9</v>
      </c>
      <c r="E113" s="7">
        <f>datos!MP118</f>
        <v>2189.77</v>
      </c>
      <c r="F113" s="525">
        <f>(datos!AD118/1000)/PP!$F$2</f>
        <v>249.83125688073395</v>
      </c>
      <c r="G113" s="522">
        <f>datos!MH118</f>
        <v>3154.17</v>
      </c>
      <c r="H113" s="525">
        <f>datos!BK118/$H$2</f>
        <v>5625.471869328494</v>
      </c>
      <c r="I113" s="522">
        <f>datos!NB118</f>
        <v>9609</v>
      </c>
      <c r="J113" s="7">
        <f>datos!BR118/$J$2</f>
        <v>2670.5099999999993</v>
      </c>
      <c r="K113" s="7">
        <f>datos!NE118</f>
        <v>6714</v>
      </c>
      <c r="L113" s="525">
        <f>datos!BO118*$L$2</f>
        <v>1235.7099999999998</v>
      </c>
      <c r="M113" s="522">
        <f>datos!NA118</f>
        <v>3097</v>
      </c>
      <c r="N113" s="7">
        <f>datos!BS118*$N$2</f>
        <v>1965.6</v>
      </c>
      <c r="O113" s="7">
        <f>datos!ND118</f>
        <v>11490</v>
      </c>
      <c r="P113" s="525">
        <f>(datos!AG118/1000)/$P$2</f>
        <v>705.88235294117646</v>
      </c>
      <c r="Q113" s="522">
        <f>datos!MY118*$Q$2</f>
        <v>4523.3</v>
      </c>
      <c r="R113" s="525">
        <f>datos!BN118</f>
        <v>444.11</v>
      </c>
      <c r="S113" s="528">
        <v>3.6400000000000002E-2</v>
      </c>
      <c r="T113" s="529">
        <v>6355.69</v>
      </c>
      <c r="U113" s="530">
        <f t="shared" si="28"/>
        <v>231.347116</v>
      </c>
      <c r="V113" s="522">
        <f>datos!NC118+U113</f>
        <v>1714.4071159999999</v>
      </c>
      <c r="W113" s="672">
        <f>datos!AV118*W$4</f>
        <v>3901.3333333333335</v>
      </c>
      <c r="X113" s="672">
        <f t="shared" si="24"/>
        <v>312.10666666666668</v>
      </c>
      <c r="Y113" s="672">
        <f>Y114/(1+(datos!G119/datos!G118-1))</f>
        <v>349.64085647878863</v>
      </c>
      <c r="Z113" s="998">
        <f>AZ15</f>
        <v>0.12000096158469153</v>
      </c>
      <c r="AA113" s="672">
        <f t="shared" ref="AA113:AA120" si="49">AA$121/(1+Z$121)</f>
        <v>950.98162195864188</v>
      </c>
      <c r="AB113" s="7">
        <f t="shared" si="34"/>
        <v>114.43020941146183</v>
      </c>
      <c r="AC113" s="674">
        <f>datos!MJ118</f>
        <v>842.73</v>
      </c>
      <c r="AD113" s="681">
        <f>datos!BB118*AD$4</f>
        <v>10262.76755319149</v>
      </c>
      <c r="AE113" s="673">
        <f t="shared" si="25"/>
        <v>821.02140425531923</v>
      </c>
      <c r="AF113" s="673">
        <f t="shared" si="26"/>
        <v>349.64085647878863</v>
      </c>
      <c r="AG113" s="672">
        <f t="shared" si="35"/>
        <v>950.98162195864188</v>
      </c>
      <c r="AH113" s="2">
        <f t="shared" si="36"/>
        <v>452.28464836104109</v>
      </c>
      <c r="AI113" s="522">
        <f>AVERAGE(datos!ML118,datos!MM118,datos!MN118,datos!MO118)</f>
        <v>1252.1366666666665</v>
      </c>
      <c r="AK113" s="3">
        <f t="shared" si="27"/>
        <v>45658</v>
      </c>
      <c r="AL113" s="12">
        <f t="shared" si="43"/>
        <v>0.11844075119862039</v>
      </c>
      <c r="AM113" s="12">
        <f t="shared" si="44"/>
        <v>0.19038529160596773</v>
      </c>
      <c r="AN113" s="12">
        <f t="shared" si="45"/>
        <v>7.9206655595841044E-2</v>
      </c>
      <c r="AO113" s="12">
        <f t="shared" si="40"/>
        <v>0.58543780511275822</v>
      </c>
      <c r="AP113" s="12">
        <f t="shared" si="41"/>
        <v>0.39775245755138505</v>
      </c>
      <c r="AQ113" s="12">
        <f t="shared" si="42"/>
        <v>0.39900226025185659</v>
      </c>
      <c r="AR113" s="12">
        <f t="shared" si="46"/>
        <v>0.1710704960835509</v>
      </c>
      <c r="AS113" s="12">
        <f t="shared" si="47"/>
        <v>0.15605472839324749</v>
      </c>
      <c r="AT113" s="12">
        <f t="shared" si="39"/>
        <v>0.25904582164601797</v>
      </c>
      <c r="AU113" s="12">
        <f t="shared" si="37"/>
        <v>0.1357851380768002</v>
      </c>
      <c r="AV113" s="12">
        <f t="shared" si="38"/>
        <v>0.3612102898999639</v>
      </c>
    </row>
    <row r="114" spans="1:61">
      <c r="A114" s="3">
        <v>45689</v>
      </c>
      <c r="B114" s="519">
        <f>datos!R119/1000</f>
        <v>240</v>
      </c>
      <c r="C114" s="520">
        <f>datos!MA119</f>
        <v>1937.98</v>
      </c>
      <c r="D114" s="7">
        <f>datos!AI119</f>
        <v>432.61900000000003</v>
      </c>
      <c r="E114" s="7">
        <f>datos!MP119</f>
        <v>2176.3000000000002</v>
      </c>
      <c r="F114" s="525">
        <f>(datos!AD119/1000)/PP!$F$2</f>
        <v>272.79240428134551</v>
      </c>
      <c r="G114" s="522">
        <f>datos!MH119</f>
        <v>3212.93</v>
      </c>
      <c r="H114" s="525">
        <f>datos!BK119/$H$2</f>
        <v>6357.8402903811257</v>
      </c>
      <c r="I114" s="522">
        <f>datos!NB119</f>
        <v>9866</v>
      </c>
      <c r="J114" s="7">
        <f>datos!BR119/$J$2</f>
        <v>2758.8722222222223</v>
      </c>
      <c r="K114" s="7">
        <f>datos!NE119</f>
        <v>6734</v>
      </c>
      <c r="L114" s="525">
        <f>datos!BO119*$L$2</f>
        <v>1412.6839999999997</v>
      </c>
      <c r="M114" s="522">
        <f>datos!NA119</f>
        <v>3100</v>
      </c>
      <c r="N114" s="7">
        <f>datos!BS119*$N$2</f>
        <v>2192.4</v>
      </c>
      <c r="O114" s="7">
        <f>datos!ND119</f>
        <v>11700</v>
      </c>
      <c r="P114" s="525">
        <f>(datos!AG119/1000)/$P$2</f>
        <v>882.35294117647049</v>
      </c>
      <c r="Q114" s="522">
        <f>datos!MY119*$Q$2</f>
        <v>4501.24</v>
      </c>
      <c r="R114" s="525">
        <f>datos!BN119</f>
        <v>447.42</v>
      </c>
      <c r="S114" s="528">
        <v>3.7199999999999997E-2</v>
      </c>
      <c r="T114" s="529">
        <v>6287.64</v>
      </c>
      <c r="U114" s="530">
        <f t="shared" si="28"/>
        <v>233.90020799999999</v>
      </c>
      <c r="V114" s="522">
        <f>datos!NC119+U114</f>
        <v>1730.5202079999999</v>
      </c>
      <c r="W114" s="672">
        <f>datos!AV119*W$4</f>
        <v>5955.7377049180332</v>
      </c>
      <c r="X114" s="672">
        <f t="shared" si="24"/>
        <v>476.45901639344265</v>
      </c>
      <c r="Y114" s="672">
        <f>Y115/(1+(datos!G120/datos!G119-1))</f>
        <v>358.03942183132017</v>
      </c>
      <c r="Z114" s="999"/>
      <c r="AA114" s="672">
        <f t="shared" si="49"/>
        <v>950.98162195864188</v>
      </c>
      <c r="AB114" s="7">
        <f t="shared" si="34"/>
        <v>208.5128822367314</v>
      </c>
      <c r="AC114" s="674">
        <f>datos!MJ119</f>
        <v>790.79</v>
      </c>
      <c r="AD114" s="681">
        <f>datos!BB119*AD$4</f>
        <v>7712.2543899782131</v>
      </c>
      <c r="AE114" s="673">
        <f t="shared" si="25"/>
        <v>616.98035119825704</v>
      </c>
      <c r="AF114" s="673">
        <f t="shared" si="26"/>
        <v>358.03942183132017</v>
      </c>
      <c r="AG114" s="672">
        <f t="shared" si="35"/>
        <v>950.98162195864188</v>
      </c>
      <c r="AH114" s="2">
        <f t="shared" si="36"/>
        <v>321.45849972166633</v>
      </c>
      <c r="AI114" s="522">
        <f>AVERAGE(datos!ML119,datos!MM119,datos!MN119,datos!MO119)</f>
        <v>1083.72</v>
      </c>
      <c r="AK114" s="3">
        <f t="shared" si="27"/>
        <v>45689</v>
      </c>
      <c r="AL114" s="12">
        <f t="shared" si="43"/>
        <v>0.12384028730946656</v>
      </c>
      <c r="AM114" s="12">
        <f t="shared" si="44"/>
        <v>0.19878647245324632</v>
      </c>
      <c r="AN114" s="12">
        <f t="shared" si="45"/>
        <v>8.4904558854797807E-2</v>
      </c>
      <c r="AO114" s="12">
        <f t="shared" si="40"/>
        <v>0.64441924694720509</v>
      </c>
      <c r="AP114" s="12">
        <f t="shared" si="41"/>
        <v>0.40969293469293472</v>
      </c>
      <c r="AQ114" s="12">
        <f t="shared" si="42"/>
        <v>0.45570451612903218</v>
      </c>
      <c r="AR114" s="12">
        <f t="shared" si="46"/>
        <v>0.1873846153846154</v>
      </c>
      <c r="AS114" s="12">
        <f t="shared" si="47"/>
        <v>0.19602441575576299</v>
      </c>
      <c r="AT114" s="12">
        <f t="shared" si="39"/>
        <v>0.25854653296253216</v>
      </c>
      <c r="AU114" s="12">
        <f t="shared" si="37"/>
        <v>0.26367668058110422</v>
      </c>
      <c r="AV114" s="12">
        <f t="shared" si="38"/>
        <v>0.29662505049428478</v>
      </c>
    </row>
    <row r="115" spans="1:61">
      <c r="A115" s="3">
        <v>45717</v>
      </c>
      <c r="B115" s="519">
        <f>datos!R120/1000</f>
        <v>250</v>
      </c>
      <c r="C115" s="520">
        <f>datos!MA120</f>
        <v>1920</v>
      </c>
      <c r="D115" s="7">
        <f>datos!AI120</f>
        <v>432.10340000000002</v>
      </c>
      <c r="E115" s="7">
        <f>datos!MP120</f>
        <v>2158.11</v>
      </c>
      <c r="F115" s="525">
        <f>(datos!AD120/1000)/PP!$F$2</f>
        <v>283.52285294189596</v>
      </c>
      <c r="G115" s="522">
        <f>datos!MH120</f>
        <v>3333.96</v>
      </c>
      <c r="H115" s="525">
        <f>datos!BK120/$H$2</f>
        <v>6692.311705989111</v>
      </c>
      <c r="I115" s="522">
        <f>datos!NB120</f>
        <v>10622</v>
      </c>
      <c r="J115" s="7">
        <f>datos!BR120/$J$2</f>
        <v>2742.5166666666664</v>
      </c>
      <c r="K115" s="7">
        <f>datos!NE120</f>
        <v>6980</v>
      </c>
      <c r="L115" s="525">
        <f>datos!BO120*$L$2</f>
        <v>1673.0979999999997</v>
      </c>
      <c r="M115" s="522">
        <f>datos!NA120</f>
        <v>3234</v>
      </c>
      <c r="N115" s="7">
        <f>datos!BS120*$N$2</f>
        <v>2381.4</v>
      </c>
      <c r="O115" s="7">
        <f>datos!ND120</f>
        <v>11790</v>
      </c>
      <c r="P115" s="525">
        <f>(datos!AG120/1000)/$P$2</f>
        <v>838.23529411764696</v>
      </c>
      <c r="Q115" s="522">
        <f>datos!MY120*$Q$2</f>
        <v>4451.6400000000003</v>
      </c>
      <c r="R115" s="525">
        <f>datos!BN120</f>
        <v>453.14</v>
      </c>
      <c r="S115" s="528">
        <v>3.8399999999999997E-2</v>
      </c>
      <c r="T115" s="529">
        <v>6195.5</v>
      </c>
      <c r="U115" s="530">
        <f t="shared" si="28"/>
        <v>237.90719999999999</v>
      </c>
      <c r="V115" s="522">
        <f>datos!NC120+U115</f>
        <v>1724.0972000000002</v>
      </c>
      <c r="W115" s="672">
        <f>datos!AV120*W$4</f>
        <v>8870.5882352941171</v>
      </c>
      <c r="X115" s="672">
        <f t="shared" si="24"/>
        <v>709.64705882352939</v>
      </c>
      <c r="Y115" s="672">
        <f>Y116/(1+(datos!G121/datos!G120-1))</f>
        <v>371.34641288485477</v>
      </c>
      <c r="Z115" s="999"/>
      <c r="AA115" s="672">
        <f t="shared" si="49"/>
        <v>950.98162195864188</v>
      </c>
      <c r="AB115" s="7">
        <f t="shared" si="34"/>
        <v>341.93065708135452</v>
      </c>
      <c r="AC115" s="674">
        <f>datos!MJ120</f>
        <v>1013.58</v>
      </c>
      <c r="AD115" s="681">
        <f>datos!BB120*AD$4</f>
        <v>10851.255648380209</v>
      </c>
      <c r="AE115" s="673">
        <f t="shared" si="25"/>
        <v>868.10045187041669</v>
      </c>
      <c r="AF115" s="673">
        <f t="shared" si="26"/>
        <v>371.34641288485477</v>
      </c>
      <c r="AG115" s="672">
        <f t="shared" si="35"/>
        <v>950.98162195864188</v>
      </c>
      <c r="AH115" s="2">
        <f t="shared" si="36"/>
        <v>481.15706453701648</v>
      </c>
      <c r="AI115" s="522">
        <f>AVERAGE(datos!ML120,datos!MM120,datos!MN120,datos!MO120)</f>
        <v>1478.4233333333334</v>
      </c>
      <c r="AK115" s="3">
        <f t="shared" si="27"/>
        <v>45717</v>
      </c>
      <c r="AL115" s="12">
        <f t="shared" si="43"/>
        <v>0.13020833333333334</v>
      </c>
      <c r="AM115" s="12">
        <f t="shared" si="44"/>
        <v>0.20022306555272901</v>
      </c>
      <c r="AN115" s="12">
        <f t="shared" si="45"/>
        <v>8.5040868199347308E-2</v>
      </c>
      <c r="AO115" s="12">
        <f t="shared" si="40"/>
        <v>0.63004252551206097</v>
      </c>
      <c r="AP115" s="12">
        <f t="shared" si="41"/>
        <v>0.39291069723018146</v>
      </c>
      <c r="AQ115" s="12">
        <f t="shared" si="42"/>
        <v>0.51734632034632022</v>
      </c>
      <c r="AR115" s="12">
        <f t="shared" si="46"/>
        <v>0.2019847328244275</v>
      </c>
      <c r="AS115" s="12">
        <f t="shared" si="47"/>
        <v>0.18829808657430674</v>
      </c>
      <c r="AT115" s="12">
        <f t="shared" si="39"/>
        <v>0.26282740903471102</v>
      </c>
      <c r="AU115" s="12">
        <f t="shared" si="37"/>
        <v>0.33734945152958279</v>
      </c>
      <c r="AV115" s="12">
        <f t="shared" si="38"/>
        <v>0.32545283457626017</v>
      </c>
    </row>
    <row r="116" spans="1:61">
      <c r="A116" s="3">
        <v>45748</v>
      </c>
      <c r="B116" s="519">
        <f>datos!R121/1000</f>
        <v>230</v>
      </c>
      <c r="C116" s="520">
        <f>datos!MA121</f>
        <v>1851.68</v>
      </c>
      <c r="D116" s="7">
        <f>datos!AI121</f>
        <v>418.84910000000002</v>
      </c>
      <c r="E116" s="7">
        <f>datos!MP121</f>
        <v>2220.1</v>
      </c>
      <c r="F116" s="525">
        <f>(datos!AD121/1000)/PP!$F$2</f>
        <v>295.07039368807335</v>
      </c>
      <c r="G116" s="522">
        <f>datos!MH121</f>
        <v>3415.26</v>
      </c>
      <c r="H116" s="525">
        <f>datos!BK121/$H$2</f>
        <v>6678.7658802177866</v>
      </c>
      <c r="I116" s="522">
        <f>datos!NB121</f>
        <v>10980</v>
      </c>
      <c r="J116" s="7">
        <f>datos!BR121/$J$2</f>
        <v>2735.3566666666661</v>
      </c>
      <c r="K116" s="7">
        <f>datos!NE121</f>
        <v>7196</v>
      </c>
      <c r="L116" s="525">
        <f>datos!BO121*$L$2</f>
        <v>1790.4179999999997</v>
      </c>
      <c r="M116" s="522">
        <f>datos!NA121</f>
        <v>3580</v>
      </c>
      <c r="N116" s="7">
        <f>datos!BS121*$N$2</f>
        <v>2570.4</v>
      </c>
      <c r="O116" s="7">
        <f>datos!ND121</f>
        <v>11790</v>
      </c>
      <c r="P116" s="525">
        <f>(datos!AG121/1000)/$P$2</f>
        <v>852.94117647058818</v>
      </c>
      <c r="Q116" s="522">
        <f>datos!MY121*$Q$2</f>
        <v>4328.16</v>
      </c>
      <c r="R116" s="525">
        <f>datos!BN121</f>
        <v>461.01</v>
      </c>
      <c r="S116" s="528">
        <v>3.9600000000000003E-2</v>
      </c>
      <c r="T116" s="529">
        <v>6147.37</v>
      </c>
      <c r="U116" s="530">
        <f t="shared" si="28"/>
        <v>243.43585200000001</v>
      </c>
      <c r="V116" s="522">
        <f>datos!NC121+U116</f>
        <v>1779.465852</v>
      </c>
      <c r="W116" s="672">
        <f>datos!AV121*W$4</f>
        <v>6483.59375</v>
      </c>
      <c r="X116" s="672">
        <f t="shared" si="24"/>
        <v>518.6875</v>
      </c>
      <c r="Y116" s="672">
        <f>Y117/(1+(datos!G122/datos!G121-1))</f>
        <v>381.71901900844188</v>
      </c>
      <c r="Z116" s="999"/>
      <c r="AA116" s="672">
        <f t="shared" si="49"/>
        <v>950.98162195864188</v>
      </c>
      <c r="AB116" s="7">
        <f t="shared" si="34"/>
        <v>231.61028045164579</v>
      </c>
      <c r="AC116" s="674">
        <f>datos!MJ121</f>
        <v>897.46</v>
      </c>
      <c r="AD116" s="681">
        <f>datos!BB121*AD$4</f>
        <v>11716.680855839462</v>
      </c>
      <c r="AE116" s="673">
        <f t="shared" si="25"/>
        <v>937.33446846715697</v>
      </c>
      <c r="AF116" s="673">
        <f t="shared" si="26"/>
        <v>381.71901900844188</v>
      </c>
      <c r="AG116" s="672">
        <f t="shared" si="35"/>
        <v>950.98162195864188</v>
      </c>
      <c r="AH116" s="2">
        <f t="shared" si="36"/>
        <v>524.81365257806783</v>
      </c>
      <c r="AI116" s="522">
        <f>AVERAGE(datos!ML121,datos!MM121,datos!MN121,datos!MO121)</f>
        <v>1577.5900000000001</v>
      </c>
      <c r="AK116" s="3">
        <f t="shared" si="27"/>
        <v>45748</v>
      </c>
      <c r="AL116" s="12">
        <f t="shared" si="43"/>
        <v>0.12421152682968979</v>
      </c>
      <c r="AM116" s="12">
        <f t="shared" si="44"/>
        <v>0.1886622674654295</v>
      </c>
      <c r="AN116" s="12">
        <f t="shared" si="45"/>
        <v>8.6397636984614154E-2</v>
      </c>
      <c r="AO116" s="12">
        <f t="shared" si="40"/>
        <v>0.60826647360817732</v>
      </c>
      <c r="AP116" s="12">
        <f t="shared" si="41"/>
        <v>0.38012182694089303</v>
      </c>
      <c r="AQ116" s="12">
        <f t="shared" si="42"/>
        <v>0.50011675977653625</v>
      </c>
      <c r="AR116" s="12">
        <f t="shared" si="46"/>
        <v>0.21801526717557251</v>
      </c>
      <c r="AS116" s="12">
        <f t="shared" si="47"/>
        <v>0.19706784787775594</v>
      </c>
      <c r="AT116" s="12">
        <f t="shared" si="39"/>
        <v>0.25907212520086054</v>
      </c>
      <c r="AU116" s="12">
        <f t="shared" si="37"/>
        <v>0.25807309568297837</v>
      </c>
      <c r="AV116" s="12">
        <f t="shared" si="38"/>
        <v>0.33266796352542027</v>
      </c>
      <c r="AZ116" s="10"/>
      <c r="BA116" s="10"/>
      <c r="BB116" s="10"/>
      <c r="BC116" s="10"/>
      <c r="BD116" s="10"/>
      <c r="BE116" s="10"/>
      <c r="BF116" s="10"/>
      <c r="BG116" s="10"/>
      <c r="BH116" s="10"/>
      <c r="BI116" s="10"/>
    </row>
    <row r="117" spans="1:61">
      <c r="A117" s="3">
        <v>45778</v>
      </c>
      <c r="B117" s="519">
        <f>datos!R122/1000</f>
        <v>230</v>
      </c>
      <c r="C117" s="520">
        <f>datos!MA122</f>
        <v>1860.08</v>
      </c>
      <c r="D117" s="7">
        <f>datos!AI122</f>
        <v>430.27</v>
      </c>
      <c r="E117" s="7">
        <f>datos!MP122</f>
        <v>2208.5500000000002</v>
      </c>
      <c r="F117" s="525">
        <f>(datos!AD122/1000)/PP!$F$2</f>
        <v>281.29371559633023</v>
      </c>
      <c r="G117" s="522">
        <f>datos!MH122</f>
        <v>3491.53</v>
      </c>
      <c r="H117" s="525">
        <f>datos!BK122/$H$2</f>
        <v>6647.0054446460981</v>
      </c>
      <c r="I117" s="522">
        <f>datos!NB122</f>
        <v>11252</v>
      </c>
      <c r="J117" s="7">
        <f>datos!BR122/$J$2</f>
        <v>2726.7499999999995</v>
      </c>
      <c r="K117" s="7">
        <f>datos!NE122</f>
        <v>7401</v>
      </c>
      <c r="L117" s="525">
        <f>datos!BO122*$L$2</f>
        <v>1726.2524999999998</v>
      </c>
      <c r="M117" s="522">
        <f>datos!NA122</f>
        <v>3634</v>
      </c>
      <c r="N117" s="7">
        <f>datos!BS122*$N$2</f>
        <v>2532.6</v>
      </c>
      <c r="O117" s="7">
        <f>datos!ND122</f>
        <v>11790</v>
      </c>
      <c r="P117" s="525">
        <f>(datos!AG122/1000)/$P$2</f>
        <v>882.35294117647049</v>
      </c>
      <c r="Q117" s="522">
        <f>datos!MY122*$Q$2</f>
        <v>4451.7</v>
      </c>
      <c r="R117" s="525">
        <f>datos!BN122</f>
        <v>467.92</v>
      </c>
      <c r="S117" s="528">
        <v>3.9E-2</v>
      </c>
      <c r="T117" s="529">
        <v>6316.85</v>
      </c>
      <c r="U117" s="530">
        <f t="shared" si="28"/>
        <v>246.35715000000002</v>
      </c>
      <c r="V117" s="522">
        <f>datos!NC122+U117</f>
        <v>1790.2971500000001</v>
      </c>
      <c r="W117" s="672">
        <f>datos!AV122*W$4</f>
        <v>5990.909090909091</v>
      </c>
      <c r="X117" s="672">
        <f t="shared" si="24"/>
        <v>479.27272727272731</v>
      </c>
      <c r="Y117" s="672">
        <f>Y118/(1+(datos!G123/datos!G122-1))</f>
        <v>387.44938815851208</v>
      </c>
      <c r="Z117" s="999"/>
      <c r="AA117" s="672">
        <f t="shared" si="49"/>
        <v>950.98162195864188</v>
      </c>
      <c r="AB117" s="7">
        <f t="shared" si="34"/>
        <v>208.66026767596048</v>
      </c>
      <c r="AC117" s="674">
        <f>datos!MJ122</f>
        <v>824.36</v>
      </c>
      <c r="AD117" s="681">
        <f>datos!BB122*AD$4</f>
        <v>10179.535880528587</v>
      </c>
      <c r="AE117" s="673">
        <f t="shared" si="25"/>
        <v>814.36287044228698</v>
      </c>
      <c r="AF117" s="673">
        <f t="shared" si="26"/>
        <v>387.44938815851208</v>
      </c>
      <c r="AG117" s="672">
        <f t="shared" si="35"/>
        <v>950.98162195864188</v>
      </c>
      <c r="AH117" s="2">
        <f t="shared" si="36"/>
        <v>445.9301111093971</v>
      </c>
      <c r="AI117" s="522">
        <f>AVERAGE(datos!ML122,datos!MM122,datos!MN122,datos!MO122)</f>
        <v>1469.4566666666667</v>
      </c>
      <c r="AK117" s="3">
        <f t="shared" si="27"/>
        <v>45778</v>
      </c>
      <c r="AL117" s="12">
        <f t="shared" si="43"/>
        <v>0.12365059567330437</v>
      </c>
      <c r="AM117" s="12">
        <f t="shared" si="44"/>
        <v>0.1948201308550859</v>
      </c>
      <c r="AN117" s="12">
        <f t="shared" si="45"/>
        <v>8.056459935796921E-2</v>
      </c>
      <c r="AO117" s="12">
        <f t="shared" si="40"/>
        <v>0.59073990798490028</v>
      </c>
      <c r="AP117" s="12">
        <f t="shared" si="41"/>
        <v>0.36842994189974321</v>
      </c>
      <c r="AQ117" s="12">
        <f t="shared" si="42"/>
        <v>0.47502820583379191</v>
      </c>
      <c r="AR117" s="12">
        <f t="shared" si="46"/>
        <v>0.2148091603053435</v>
      </c>
      <c r="AS117" s="12">
        <f t="shared" si="47"/>
        <v>0.19820584072971462</v>
      </c>
      <c r="AT117" s="12">
        <f t="shared" si="39"/>
        <v>0.26136443327299047</v>
      </c>
      <c r="AU117" s="12">
        <f t="shared" si="37"/>
        <v>0.25311789470129614</v>
      </c>
      <c r="AV117" s="12">
        <f t="shared" si="38"/>
        <v>0.30346598251240059</v>
      </c>
    </row>
    <row r="118" spans="1:61">
      <c r="A118" s="3">
        <v>45809</v>
      </c>
      <c r="B118" s="519">
        <f>datos!R123/1000</f>
        <v>200</v>
      </c>
      <c r="C118" s="520">
        <f>datos!MA123</f>
        <v>1844.34</v>
      </c>
      <c r="D118" s="7">
        <f>datos!AI123</f>
        <v>350.32</v>
      </c>
      <c r="E118" s="7">
        <f>datos!MP123</f>
        <v>2221.89</v>
      </c>
      <c r="F118" s="525">
        <f>(datos!AD123/1000)/PP!$F$2</f>
        <v>292.57387311833423</v>
      </c>
      <c r="G118" s="522">
        <f>datos!MH123</f>
        <v>3554.08</v>
      </c>
      <c r="H118" s="525">
        <f>datos!BK123/$H$2</f>
        <v>6715.0635208711437</v>
      </c>
      <c r="I118" s="522">
        <f>datos!NB123</f>
        <v>11390</v>
      </c>
      <c r="J118" s="7">
        <f>datos!BR123/$J$2</f>
        <v>2713.8166666666662</v>
      </c>
      <c r="K118" s="7">
        <f>datos!NE123</f>
        <v>7281</v>
      </c>
      <c r="L118" s="525">
        <f>datos!BO123*$L$2</f>
        <v>1763.93</v>
      </c>
      <c r="M118" s="522">
        <f>datos!NA123</f>
        <v>3711</v>
      </c>
      <c r="N118" s="7">
        <f>datos!BS123*$N$2</f>
        <v>2457</v>
      </c>
      <c r="O118" s="7">
        <f>datos!ND123</f>
        <v>11790</v>
      </c>
      <c r="P118" s="525">
        <f>(datos!AG123/1000)/$P$2</f>
        <v>882.35294117647049</v>
      </c>
      <c r="Q118" s="522">
        <f>datos!MY123*$Q$2</f>
        <v>4519.26</v>
      </c>
      <c r="R118" s="525">
        <f>datos!BN123</f>
        <v>472.87</v>
      </c>
      <c r="S118" s="528">
        <v>3.9399999999999998E-2</v>
      </c>
      <c r="T118" s="529">
        <v>6312.07</v>
      </c>
      <c r="U118" s="530">
        <f t="shared" si="28"/>
        <v>248.69555799999998</v>
      </c>
      <c r="V118" s="522">
        <f>datos!NC123+U118</f>
        <v>1822.9655579999999</v>
      </c>
      <c r="W118" s="672">
        <f>datos!AV123*W$4</f>
        <v>5715.2777777777774</v>
      </c>
      <c r="X118" s="672">
        <f t="shared" si="24"/>
        <v>457.22222222222217</v>
      </c>
      <c r="Y118" s="672">
        <f>Y119/(1+(datos!G124/datos!G123-1))</f>
        <v>393.72190270854117</v>
      </c>
      <c r="Z118" s="999"/>
      <c r="AA118" s="672">
        <f t="shared" si="49"/>
        <v>950.98162195864188</v>
      </c>
      <c r="AB118" s="7">
        <f t="shared" si="34"/>
        <v>195.66760154441857</v>
      </c>
      <c r="AC118" s="674">
        <f>datos!MJ123</f>
        <v>828.41</v>
      </c>
      <c r="AD118" s="681">
        <f>datos!BB123*AD$4</f>
        <v>9416.5161773481323</v>
      </c>
      <c r="AE118" s="673">
        <f t="shared" si="25"/>
        <v>753.32129418785064</v>
      </c>
      <c r="AF118" s="673">
        <f t="shared" si="26"/>
        <v>393.72190270854117</v>
      </c>
      <c r="AG118" s="672">
        <f t="shared" si="35"/>
        <v>950.98162195864188</v>
      </c>
      <c r="AH118" s="2">
        <f t="shared" si="36"/>
        <v>406.58285324961662</v>
      </c>
      <c r="AI118" s="522">
        <f>AVERAGE(datos!ML123,datos!MM123,datos!MN123,datos!MO123)</f>
        <v>1248.51</v>
      </c>
      <c r="AK118" s="3">
        <f t="shared" si="27"/>
        <v>45809</v>
      </c>
      <c r="AL118" s="12">
        <f t="shared" si="43"/>
        <v>0.10843987551102292</v>
      </c>
      <c r="AM118" s="12">
        <f t="shared" si="44"/>
        <v>0.15766757130190964</v>
      </c>
      <c r="AN118" s="12">
        <f t="shared" si="45"/>
        <v>8.2320564848943817E-2</v>
      </c>
      <c r="AO118" s="12">
        <f t="shared" si="40"/>
        <v>0.58955781570422683</v>
      </c>
      <c r="AP118" s="12">
        <f t="shared" si="41"/>
        <v>0.37272581605090871</v>
      </c>
      <c r="AQ118" s="12">
        <f t="shared" si="42"/>
        <v>0.47532471032066831</v>
      </c>
      <c r="AR118" s="12">
        <f t="shared" si="46"/>
        <v>0.2083969465648855</v>
      </c>
      <c r="AS118" s="12">
        <f t="shared" si="47"/>
        <v>0.19524279222183952</v>
      </c>
      <c r="AT118" s="12">
        <f t="shared" si="39"/>
        <v>0.25939601432667331</v>
      </c>
      <c r="AU118" s="12">
        <f t="shared" si="37"/>
        <v>0.23619657119592785</v>
      </c>
      <c r="AV118" s="12">
        <f t="shared" si="38"/>
        <v>0.32565446271925463</v>
      </c>
    </row>
    <row r="119" spans="1:61">
      <c r="A119" s="3">
        <v>45839</v>
      </c>
      <c r="B119" s="519">
        <f>datos!R124/1000</f>
        <v>200</v>
      </c>
      <c r="C119" s="520">
        <f>datos!MA124</f>
        <v>1848.08</v>
      </c>
      <c r="D119" s="7">
        <f>datos!AI124</f>
        <v>393.79</v>
      </c>
      <c r="E119" s="7">
        <f>datos!MP124</f>
        <v>2194.58</v>
      </c>
      <c r="F119" s="525">
        <f>(datos!AD124/1000)/PP!$F$2</f>
        <v>316.32945941284402</v>
      </c>
      <c r="G119" s="522">
        <f>datos!MH124</f>
        <v>3661.28</v>
      </c>
      <c r="H119" s="525">
        <f>datos!BK124/$H$2</f>
        <v>6755.8983666061713</v>
      </c>
      <c r="I119" s="522">
        <f>datos!NB124</f>
        <v>11375</v>
      </c>
      <c r="J119" s="7">
        <f>datos!BR124/$J$2</f>
        <v>2729.2666666666664</v>
      </c>
      <c r="K119" s="7">
        <f>datos!NE124</f>
        <v>7251</v>
      </c>
      <c r="L119" s="525">
        <f>datos!BO124*$L$2</f>
        <v>1768.1999999999998</v>
      </c>
      <c r="M119" s="522">
        <f>datos!NA124</f>
        <v>3872</v>
      </c>
      <c r="N119" s="7">
        <f>datos!BS124*$N$2</f>
        <v>2457</v>
      </c>
      <c r="O119" s="7">
        <f>datos!ND124</f>
        <v>11790</v>
      </c>
      <c r="P119" s="525">
        <f>(datos!AG124/1000)/$P$2</f>
        <v>882.35294117647049</v>
      </c>
      <c r="Q119" s="522">
        <f>datos!MY124*$Q$2</f>
        <v>4572.0200000000004</v>
      </c>
      <c r="R119" s="525">
        <f>datos!BN124</f>
        <v>473.26</v>
      </c>
      <c r="S119" s="528">
        <v>3.9300000000000002E-2</v>
      </c>
      <c r="T119" s="529">
        <v>6360.34</v>
      </c>
      <c r="U119" s="530">
        <f t="shared" si="28"/>
        <v>249.96136200000001</v>
      </c>
      <c r="V119" s="522">
        <f>datos!NC124+U119</f>
        <v>1834.3213619999999</v>
      </c>
      <c r="W119" s="672">
        <f>datos!AV124*W$4</f>
        <v>6823.6842105263158</v>
      </c>
      <c r="X119" s="672">
        <f t="shared" si="24"/>
        <v>545.89473684210532</v>
      </c>
      <c r="Y119" s="672">
        <f>Y120/(1+(datos!G125/datos!G124-1))</f>
        <v>401.20924817353074</v>
      </c>
      <c r="Z119" s="999"/>
      <c r="AA119" s="672">
        <f t="shared" si="49"/>
        <v>950.98162195864188</v>
      </c>
      <c r="AB119" s="7">
        <f t="shared" si="34"/>
        <v>246.2799301776019</v>
      </c>
      <c r="AC119" s="674">
        <f>datos!MJ124</f>
        <v>870.54</v>
      </c>
      <c r="AD119" s="681">
        <f>datos!BB124*AD$4</f>
        <v>8193.7078088578091</v>
      </c>
      <c r="AE119" s="673">
        <f t="shared" si="25"/>
        <v>655.49662470862472</v>
      </c>
      <c r="AF119" s="673">
        <f t="shared" si="26"/>
        <v>401.20924817353074</v>
      </c>
      <c r="AG119" s="672">
        <f t="shared" si="35"/>
        <v>950.98162195864188</v>
      </c>
      <c r="AH119" s="2">
        <f t="shared" si="36"/>
        <v>343.66779522316733</v>
      </c>
      <c r="AI119" s="522">
        <f>AVERAGE(datos!ML124,datos!MM124,datos!MN124,datos!MO124)</f>
        <v>1244.8900000000001</v>
      </c>
      <c r="AK119" s="3">
        <f t="shared" si="27"/>
        <v>45839</v>
      </c>
      <c r="AL119" s="12">
        <f t="shared" si="43"/>
        <v>0.10822042335829618</v>
      </c>
      <c r="AM119" s="12">
        <f t="shared" si="44"/>
        <v>0.17943752335298782</v>
      </c>
      <c r="AN119" s="12">
        <f t="shared" si="45"/>
        <v>8.6398598144049071E-2</v>
      </c>
      <c r="AO119" s="12">
        <f t="shared" si="40"/>
        <v>0.59392513113021284</v>
      </c>
      <c r="AP119" s="12">
        <f t="shared" si="41"/>
        <v>0.37639865765641517</v>
      </c>
      <c r="AQ119" s="12">
        <f t="shared" si="42"/>
        <v>0.45666322314049584</v>
      </c>
      <c r="AR119" s="12">
        <f t="shared" si="46"/>
        <v>0.2083969465648855</v>
      </c>
      <c r="AS119" s="12">
        <f t="shared" si="47"/>
        <v>0.19298973783502049</v>
      </c>
      <c r="AT119" s="12">
        <f t="shared" si="39"/>
        <v>0.25800277410714689</v>
      </c>
      <c r="AU119" s="12">
        <f t="shared" si="37"/>
        <v>0.2829047834420037</v>
      </c>
      <c r="AV119" s="12">
        <f t="shared" si="38"/>
        <v>0.27606278082655278</v>
      </c>
    </row>
    <row r="120" spans="1:61">
      <c r="A120" s="3">
        <v>45870</v>
      </c>
      <c r="B120" s="519">
        <f>datos!R125/1000</f>
        <v>200</v>
      </c>
      <c r="C120" s="520">
        <f>datos!MA125</f>
        <v>1811.63</v>
      </c>
      <c r="D120" s="7">
        <f>datos!AI125</f>
        <v>389.21</v>
      </c>
      <c r="E120" s="7">
        <f>datos!MP125</f>
        <v>2218.63</v>
      </c>
      <c r="F120" s="525">
        <f>(datos!AD125/1000)/PP!$F$2</f>
        <v>315.21119877675835</v>
      </c>
      <c r="G120" s="522">
        <f>datos!MH125</f>
        <v>3759.76</v>
      </c>
      <c r="H120" s="525">
        <f>datos!BK125/$H$2</f>
        <v>6932.8493647912892</v>
      </c>
      <c r="I120" s="522">
        <f>datos!NB125</f>
        <v>11281</v>
      </c>
      <c r="J120" s="7">
        <f>datos!BR125/$J$2</f>
        <v>2769.1666666666661</v>
      </c>
      <c r="K120" s="7">
        <f>datos!NE125</f>
        <v>7173</v>
      </c>
      <c r="L120" s="525">
        <f>datos!BO125*$L$2</f>
        <v>1583.3999999999999</v>
      </c>
      <c r="M120" s="522">
        <f>datos!NA125</f>
        <v>3835</v>
      </c>
      <c r="N120" s="7">
        <f>datos!BS125*$N$2</f>
        <v>2457</v>
      </c>
      <c r="O120" s="7">
        <f>datos!ND125</f>
        <v>12290</v>
      </c>
      <c r="P120" s="525">
        <f>(datos!AG125/1000)/$P$2</f>
        <v>852.94117647058818</v>
      </c>
      <c r="Q120" s="522">
        <f>datos!MY125*$Q$2</f>
        <v>4644.1000000000004</v>
      </c>
      <c r="R120" s="525">
        <f>datos!BN125</f>
        <v>473.74</v>
      </c>
      <c r="S120" s="528">
        <v>3.8800000000000001E-2</v>
      </c>
      <c r="T120" s="529">
        <v>6441.74</v>
      </c>
      <c r="U120" s="530">
        <f t="shared" si="28"/>
        <v>249.93951200000001</v>
      </c>
      <c r="V120" s="522">
        <f>datos!NC125+U120</f>
        <v>1866.4495119999999</v>
      </c>
      <c r="W120" s="672">
        <f>datos!AV125*W$4</f>
        <v>5161.3207547169814</v>
      </c>
      <c r="X120" s="672">
        <f t="shared" si="24"/>
        <v>412.90566037735852</v>
      </c>
      <c r="Y120" s="672">
        <f>Y121/(1+(datos!G126/datos!G125-1))</f>
        <v>408.73314451504928</v>
      </c>
      <c r="Z120" s="999"/>
      <c r="AA120" s="672">
        <f t="shared" si="49"/>
        <v>950.98162195864188</v>
      </c>
      <c r="AB120" s="7">
        <f t="shared" si="34"/>
        <v>169.43501639329656</v>
      </c>
      <c r="AC120" s="674">
        <f>datos!MJ125</f>
        <v>855.43</v>
      </c>
      <c r="AD120" s="681">
        <f>datos!BB125*AD$4</f>
        <v>9871.4963401773875</v>
      </c>
      <c r="AE120" s="673">
        <f t="shared" si="25"/>
        <v>789.71970721419098</v>
      </c>
      <c r="AF120" s="673">
        <f t="shared" si="26"/>
        <v>408.73314451504928</v>
      </c>
      <c r="AG120" s="672">
        <f t="shared" si="35"/>
        <v>950.98162195864188</v>
      </c>
      <c r="AH120" s="2">
        <f t="shared" si="36"/>
        <v>429.00343702719476</v>
      </c>
      <c r="AI120" s="522">
        <f>AVERAGE(datos!ML125,datos!MM125,datos!MN125,datos!MO125)</f>
        <v>1368.7866666666669</v>
      </c>
      <c r="AK120" s="3">
        <f t="shared" si="27"/>
        <v>45870</v>
      </c>
      <c r="AL120" s="12">
        <f t="shared" si="43"/>
        <v>0.11039781853910566</v>
      </c>
      <c r="AM120" s="12">
        <f t="shared" si="44"/>
        <v>0.17542807949049638</v>
      </c>
      <c r="AN120" s="12">
        <f t="shared" si="45"/>
        <v>8.3838117001286877E-2</v>
      </c>
      <c r="AO120" s="12">
        <f t="shared" si="40"/>
        <v>0.61455982313547464</v>
      </c>
      <c r="AP120" s="12">
        <f t="shared" si="41"/>
        <v>0.38605418467400893</v>
      </c>
      <c r="AQ120" s="12">
        <f t="shared" si="42"/>
        <v>0.41288135593220338</v>
      </c>
      <c r="AR120" s="12">
        <f t="shared" si="46"/>
        <v>0.1999186330349878</v>
      </c>
      <c r="AS120" s="12">
        <f t="shared" si="47"/>
        <v>0.18366124253797037</v>
      </c>
      <c r="AT120" s="12">
        <f t="shared" si="39"/>
        <v>0.25381881318201982</v>
      </c>
      <c r="AU120" s="12">
        <f t="shared" si="37"/>
        <v>0.1980699956668536</v>
      </c>
      <c r="AV120" s="12">
        <f t="shared" si="38"/>
        <v>0.31341877260678169</v>
      </c>
    </row>
    <row r="121" spans="1:61">
      <c r="A121" s="3">
        <v>45901</v>
      </c>
      <c r="B121" s="519">
        <f>datos!R126/1000</f>
        <v>225</v>
      </c>
      <c r="C121" s="520">
        <f>datos!MA126</f>
        <v>1745.29</v>
      </c>
      <c r="D121" s="7">
        <f>datos!AI126</f>
        <v>372.98</v>
      </c>
      <c r="E121" s="7">
        <f>datos!MP126</f>
        <v>2215.06</v>
      </c>
      <c r="F121" s="525">
        <f>(datos!AD126/1000)/PP!$F$2</f>
        <v>325.45185255389589</v>
      </c>
      <c r="G121" s="522">
        <f>datos!MH126</f>
        <v>3833.99</v>
      </c>
      <c r="H121" s="525">
        <f>datos!BK126/$H$2</f>
        <v>7221.71808832426</v>
      </c>
      <c r="I121" s="522">
        <f>datos!NB126</f>
        <v>11542</v>
      </c>
      <c r="J121" s="7">
        <f>datos!BR126/$J$2</f>
        <v>2890.833333333333</v>
      </c>
      <c r="K121" s="7">
        <f>datos!NE126</f>
        <v>7394</v>
      </c>
      <c r="L121" s="525">
        <f>datos!BO126*$L$2</f>
        <v>1393.6999999999998</v>
      </c>
      <c r="M121" s="522">
        <f>datos!NA126</f>
        <v>3808</v>
      </c>
      <c r="N121" s="7">
        <f>datos!BS126*$N$2</f>
        <v>2457</v>
      </c>
      <c r="O121" s="7">
        <f>datos!ND126</f>
        <v>12290</v>
      </c>
      <c r="P121" s="525">
        <f>(datos!AG126/1000)/$P$2</f>
        <v>823.52941176470586</v>
      </c>
      <c r="Q121" s="522">
        <f>datos!MY126*$Q$2</f>
        <v>4707.72</v>
      </c>
      <c r="R121" s="525">
        <f>datos!BN126</f>
        <v>474.6</v>
      </c>
      <c r="S121" s="528">
        <v>3.8300000000000001E-2</v>
      </c>
      <c r="T121" s="529">
        <v>6506.73</v>
      </c>
      <c r="U121" s="530">
        <f t="shared" si="28"/>
        <v>249.20775899999998</v>
      </c>
      <c r="V121" s="522">
        <f>datos!NC126+U121</f>
        <v>1829.387759</v>
      </c>
      <c r="W121" s="672">
        <f>datos!AV126*W$4</f>
        <v>5137.5939849624065</v>
      </c>
      <c r="X121" s="672">
        <f t="shared" si="24"/>
        <v>411.00751879699254</v>
      </c>
      <c r="Y121" s="672">
        <f>Y122/(1+(datos!G127/datos!G126-1))</f>
        <v>417.22028383208743</v>
      </c>
      <c r="Z121" s="997">
        <f>AZ16</f>
        <v>0.15669953509137202</v>
      </c>
      <c r="AA121" s="673">
        <v>1100</v>
      </c>
      <c r="AB121" s="7">
        <f t="shared" si="34"/>
        <v>160.46830911666635</v>
      </c>
      <c r="AC121" s="674">
        <f>datos!MJ126</f>
        <v>823</v>
      </c>
      <c r="AD121" s="681">
        <f>datos!BB126*AD$4</f>
        <v>11952.680294750788</v>
      </c>
      <c r="AE121" s="673">
        <f t="shared" si="25"/>
        <v>956.214423580063</v>
      </c>
      <c r="AF121" s="673">
        <f t="shared" si="26"/>
        <v>417.22028383208743</v>
      </c>
      <c r="AG121" s="672">
        <f t="shared" si="35"/>
        <v>1100</v>
      </c>
      <c r="AH121" s="2">
        <f t="shared" si="36"/>
        <v>526.62475485214645</v>
      </c>
      <c r="AI121" s="522">
        <f>AVERAGE(datos!ML126,datos!MM126,datos!MN126,datos!MO126)</f>
        <v>1661.9233333333334</v>
      </c>
      <c r="AK121" s="3">
        <f t="shared" si="27"/>
        <v>45901</v>
      </c>
      <c r="AL121" s="12">
        <f t="shared" si="43"/>
        <v>0.12891840324530593</v>
      </c>
      <c r="AM121" s="12">
        <f t="shared" si="44"/>
        <v>0.16838370066725056</v>
      </c>
      <c r="AN121" s="12">
        <f t="shared" si="45"/>
        <v>8.4885941944005047E-2</v>
      </c>
      <c r="AO121" s="12">
        <f t="shared" si="40"/>
        <v>0.62569035594561251</v>
      </c>
      <c r="AP121" s="12">
        <f t="shared" si="41"/>
        <v>0.39097015598232798</v>
      </c>
      <c r="AQ121" s="12">
        <f t="shared" si="42"/>
        <v>0.36599264705882351</v>
      </c>
      <c r="AR121" s="12">
        <f t="shared" si="46"/>
        <v>0.1999186330349878</v>
      </c>
      <c r="AS121" s="12">
        <f t="shared" si="47"/>
        <v>0.17493168917537699</v>
      </c>
      <c r="AT121" s="12">
        <f t="shared" si="39"/>
        <v>0.25943105701080621</v>
      </c>
      <c r="AU121" s="12">
        <f t="shared" si="37"/>
        <v>0.19497971946131998</v>
      </c>
      <c r="AV121" s="12">
        <f t="shared" si="38"/>
        <v>0.3168766839538204</v>
      </c>
    </row>
    <row r="122" spans="1:61">
      <c r="A122" s="3">
        <v>45931</v>
      </c>
      <c r="B122" s="519">
        <f>datos!R127/1000</f>
        <v>225.5</v>
      </c>
      <c r="C122" s="520">
        <f>datos!MA127</f>
        <v>1702.33</v>
      </c>
      <c r="D122" s="7">
        <f>datos!AI127</f>
        <v>473.53</v>
      </c>
      <c r="E122" s="7">
        <f>datos!MP127</f>
        <v>2197.14</v>
      </c>
      <c r="F122" s="525">
        <f>(datos!AD127/1000)/PP!$F$2</f>
        <v>329.05867179816511</v>
      </c>
      <c r="G122" s="522">
        <f>datos!MH127</f>
        <v>3908.68</v>
      </c>
      <c r="H122" s="525">
        <f>datos!BK127/$H$2</f>
        <v>7660.1905626134312</v>
      </c>
      <c r="I122" s="522">
        <f>datos!NB127</f>
        <v>12492</v>
      </c>
      <c r="J122" s="7">
        <f>datos!BR127/$J$2</f>
        <v>2966.3166666666662</v>
      </c>
      <c r="K122" s="7">
        <f>datos!NE127</f>
        <v>7565</v>
      </c>
      <c r="L122" s="525">
        <f>datos!BO127*$L$2</f>
        <v>1401.58025</v>
      </c>
      <c r="M122" s="522">
        <f>datos!NA127</f>
        <v>3775</v>
      </c>
      <c r="N122" s="7">
        <f>datos!BS127*$N$2</f>
        <v>2457</v>
      </c>
      <c r="O122" s="7">
        <f>datos!ND127</f>
        <v>13990</v>
      </c>
      <c r="P122" s="525">
        <f>(datos!AG127/1000)/$P$2</f>
        <v>823.52941176470586</v>
      </c>
      <c r="Q122" s="522">
        <f>datos!MY127*$Q$2</f>
        <v>4841.58</v>
      </c>
      <c r="R122" s="525">
        <f>datos!BN127</f>
        <v>475.43</v>
      </c>
      <c r="S122" s="528">
        <v>3.7600000000000001E-2</v>
      </c>
      <c r="T122" s="529">
        <v>6630.88</v>
      </c>
      <c r="U122" s="530">
        <f t="shared" si="28"/>
        <v>249.321088</v>
      </c>
      <c r="V122" s="522">
        <f>datos!NC127+U122</f>
        <v>1841.031088</v>
      </c>
      <c r="W122" s="672">
        <f>datos!AV127*W$4</f>
        <v>4957.6642335766419</v>
      </c>
      <c r="X122" s="672">
        <f t="shared" si="24"/>
        <v>396.61313868613138</v>
      </c>
      <c r="Y122" s="672">
        <f>Y123/(1+(datos!G128/datos!G127-1))</f>
        <v>426.9913454910731</v>
      </c>
      <c r="Z122" s="997"/>
      <c r="AA122" s="673">
        <v>1100</v>
      </c>
      <c r="AB122" s="7">
        <f t="shared" si="34"/>
        <v>151.70298746997187</v>
      </c>
      <c r="AC122" s="674">
        <f>datos!MJ127</f>
        <v>829.02</v>
      </c>
      <c r="AD122" s="681">
        <f>datos!BB127*AD$4</f>
        <v>11348.833077545776</v>
      </c>
      <c r="AE122" s="673">
        <f t="shared" si="25"/>
        <v>907.90664620366215</v>
      </c>
      <c r="AF122" s="673">
        <f t="shared" si="26"/>
        <v>426.9913454910731</v>
      </c>
      <c r="AG122" s="672">
        <f t="shared" si="35"/>
        <v>1100</v>
      </c>
      <c r="AH122" s="2">
        <f t="shared" si="36"/>
        <v>495.21861588061336</v>
      </c>
      <c r="AI122" s="522">
        <f>AVERAGE(datos!ML127,datos!MM127,datos!MN127,datos!MO127)</f>
        <v>1637.3766666666668</v>
      </c>
      <c r="AK122" s="3">
        <f t="shared" si="27"/>
        <v>45931</v>
      </c>
      <c r="AL122" s="12">
        <f t="shared" si="43"/>
        <v>0.13246550316331146</v>
      </c>
      <c r="AM122" s="12">
        <f t="shared" si="44"/>
        <v>0.21552108650336346</v>
      </c>
      <c r="AN122" s="12">
        <f t="shared" si="45"/>
        <v>8.4186649149627271E-2</v>
      </c>
      <c r="AO122" s="12">
        <f t="shared" si="40"/>
        <v>0.61320769793575336</v>
      </c>
      <c r="AP122" s="12">
        <f t="shared" si="41"/>
        <v>0.39211059704780782</v>
      </c>
      <c r="AQ122" s="12">
        <f t="shared" si="42"/>
        <v>0.37127953642384104</v>
      </c>
      <c r="AR122" s="12">
        <f t="shared" si="46"/>
        <v>0.17562544674767691</v>
      </c>
      <c r="AS122" s="12">
        <f t="shared" si="47"/>
        <v>0.17009517797179968</v>
      </c>
      <c r="AT122" s="12">
        <f t="shared" si="39"/>
        <v>0.25824115795702413</v>
      </c>
      <c r="AU122" s="12">
        <f t="shared" si="37"/>
        <v>0.18299074506039886</v>
      </c>
      <c r="AV122" s="12">
        <f t="shared" si="38"/>
        <v>0.30244636189226259</v>
      </c>
    </row>
    <row r="123" spans="1:61">
      <c r="A123" s="3">
        <v>45962</v>
      </c>
      <c r="B123" s="519">
        <f>datos!R128/1000</f>
        <v>225.5</v>
      </c>
      <c r="C123" s="520">
        <f>datos!MA128</f>
        <v>1684.46</v>
      </c>
      <c r="D123" s="7">
        <f>datos!AI128</f>
        <v>499.75</v>
      </c>
      <c r="E123" s="7">
        <f>datos!MP128</f>
        <v>2199.0700000000002</v>
      </c>
      <c r="F123" s="525">
        <f>(datos!AD128/1000)/PP!$F$2</f>
        <v>323.94258691131495</v>
      </c>
      <c r="G123" s="522">
        <f>datos!MH128</f>
        <v>3952.81</v>
      </c>
      <c r="H123" s="525">
        <f>datos!BK128/$H$2</f>
        <v>8878.1919237749553</v>
      </c>
      <c r="I123" s="522">
        <f>datos!NB128</f>
        <v>13405</v>
      </c>
      <c r="J123" s="7">
        <f>datos!BR128/$J$2</f>
        <v>3073.333333333333</v>
      </c>
      <c r="K123" s="7">
        <f>datos!NE128</f>
        <v>7760</v>
      </c>
      <c r="L123" s="525">
        <f>datos!BO128*$L$2</f>
        <v>1460.7249999999999</v>
      </c>
      <c r="M123" s="522">
        <f>datos!NA128</f>
        <v>3813</v>
      </c>
      <c r="N123" s="7">
        <f>datos!BS128*$N$2</f>
        <v>2457</v>
      </c>
      <c r="O123" s="7">
        <f>datos!ND128</f>
        <v>13990</v>
      </c>
      <c r="P123" s="525">
        <f>(datos!AG128/1000)/$P$2</f>
        <v>573.52941176470586</v>
      </c>
      <c r="Q123" s="522">
        <f>datos!MY128*$Q$2</f>
        <v>4861.08</v>
      </c>
      <c r="R123" s="525">
        <f>datos!BN128</f>
        <v>475.44</v>
      </c>
      <c r="S123" s="528">
        <v>3.7400000000000003E-2</v>
      </c>
      <c r="T123" s="529">
        <v>6681.92</v>
      </c>
      <c r="U123" s="530">
        <f t="shared" si="28"/>
        <v>249.90380800000003</v>
      </c>
      <c r="V123" s="522">
        <f>datos!NC128+U123</f>
        <v>1811.8238080000001</v>
      </c>
      <c r="W123" s="672">
        <f>datos!AV128*W$4</f>
        <v>5844</v>
      </c>
      <c r="X123" s="672">
        <f t="shared" si="24"/>
        <v>467.52</v>
      </c>
      <c r="Y123" s="672">
        <f>Y124/(1+(datos!G129/datos!G128-1))</f>
        <v>437.5504984675249</v>
      </c>
      <c r="Z123" s="997"/>
      <c r="AA123" s="673">
        <v>1100</v>
      </c>
      <c r="AB123" s="7">
        <f t="shared" si="34"/>
        <v>191.94647507662376</v>
      </c>
      <c r="AC123" s="674">
        <f>datos!MJ128</f>
        <v>940.91</v>
      </c>
      <c r="AD123" s="681">
        <f>datos!BB128*AD$4</f>
        <v>12424.660052910052</v>
      </c>
      <c r="AE123" s="673">
        <f t="shared" si="25"/>
        <v>993.97280423280426</v>
      </c>
      <c r="AF123" s="673">
        <f t="shared" si="26"/>
        <v>437.5504984675249</v>
      </c>
      <c r="AG123" s="672">
        <f t="shared" si="35"/>
        <v>1100</v>
      </c>
      <c r="AH123" s="2">
        <f t="shared" si="36"/>
        <v>549.61870834498461</v>
      </c>
      <c r="AI123" s="522">
        <f>AVERAGE(datos!ML128,datos!MM128,datos!MN128,datos!MO128)</f>
        <v>1460.7533333333333</v>
      </c>
      <c r="AK123" s="3">
        <f t="shared" si="27"/>
        <v>45962</v>
      </c>
      <c r="AL123" s="12">
        <f t="shared" si="43"/>
        <v>0.13387079538843308</v>
      </c>
      <c r="AM123" s="12">
        <f t="shared" si="44"/>
        <v>0.22725515786218717</v>
      </c>
      <c r="AN123" s="12">
        <f t="shared" si="45"/>
        <v>8.195248112388781E-2</v>
      </c>
      <c r="AO123" s="12">
        <f t="shared" si="40"/>
        <v>0.66230450755501347</v>
      </c>
      <c r="AP123" s="12">
        <f t="shared" si="41"/>
        <v>0.39604810996563572</v>
      </c>
      <c r="AQ123" s="12">
        <f t="shared" si="42"/>
        <v>0.38309074219774453</v>
      </c>
      <c r="AR123" s="12">
        <f t="shared" si="46"/>
        <v>0.17562544674767691</v>
      </c>
      <c r="AS123" s="12">
        <f t="shared" si="47"/>
        <v>0.11798394837458052</v>
      </c>
      <c r="AT123" s="12">
        <f t="shared" si="39"/>
        <v>0.26240962167553106</v>
      </c>
      <c r="AU123" s="12">
        <f t="shared" si="37"/>
        <v>0.20400088752019191</v>
      </c>
      <c r="AV123" s="12">
        <f t="shared" si="38"/>
        <v>0.376257028344953</v>
      </c>
    </row>
    <row r="124" spans="1:61">
      <c r="A124" s="3">
        <v>45992</v>
      </c>
      <c r="B124" s="519">
        <f>datos!R129/1000</f>
        <v>245</v>
      </c>
      <c r="C124" s="520">
        <f>datos!MA129</f>
        <v>1701.36</v>
      </c>
      <c r="D124" s="7">
        <f>datos!AI129</f>
        <v>463.2</v>
      </c>
      <c r="E124" s="7">
        <f>datos!MP129</f>
        <v>2253.4</v>
      </c>
      <c r="F124" s="525">
        <f>(datos!AD129/1000)/PP!$F$2</f>
        <v>322.27893121590211</v>
      </c>
      <c r="G124" s="522">
        <f>datos!MH129</f>
        <v>4024</v>
      </c>
      <c r="H124" s="525">
        <f>datos!BK129/$H$2</f>
        <v>9712.6043557168778</v>
      </c>
      <c r="I124" s="522">
        <f>datos!NB129</f>
        <v>15340</v>
      </c>
      <c r="J124" s="7">
        <f>datos!BR129/$J$2</f>
        <v>3027.6598749999998</v>
      </c>
      <c r="K124" s="7">
        <f>datos!NE129</f>
        <v>8162</v>
      </c>
      <c r="L124" s="525">
        <f>datos!BO129*$L$2</f>
        <v>1821.2739999999999</v>
      </c>
      <c r="M124" s="522">
        <f>datos!NA129</f>
        <v>3858</v>
      </c>
      <c r="N124" s="7">
        <f>datos!BS129*$N$2</f>
        <v>3061.8</v>
      </c>
      <c r="O124" s="7">
        <f>datos!ND129</f>
        <v>14990</v>
      </c>
      <c r="P124" s="525">
        <f>(datos!AG129/1000)/$P$2</f>
        <v>558.82352941176464</v>
      </c>
      <c r="Q124" s="522">
        <f>datos!MY129*$Q$2</f>
        <v>4892.04</v>
      </c>
      <c r="R124" s="525">
        <f>datos!BN129</f>
        <v>476.6</v>
      </c>
      <c r="S124" s="555">
        <v>3.7100000000000001E-2</v>
      </c>
      <c r="T124" s="556">
        <v>6758.96</v>
      </c>
      <c r="U124" s="530">
        <f t="shared" si="28"/>
        <v>250.75741600000001</v>
      </c>
      <c r="V124" s="522">
        <f>datos!NC129+U124</f>
        <v>1867.0674159999999</v>
      </c>
      <c r="W124" s="672">
        <f>datos!AV129*W$4</f>
        <v>6472.4137931034484</v>
      </c>
      <c r="X124" s="672">
        <f t="shared" si="24"/>
        <v>517.79310344827593</v>
      </c>
      <c r="Y124" s="677">
        <v>450</v>
      </c>
      <c r="Z124" s="997"/>
      <c r="AA124" s="678">
        <v>1100</v>
      </c>
      <c r="AB124" s="7">
        <f t="shared" si="34"/>
        <v>220.23103448275862</v>
      </c>
      <c r="AC124" s="674">
        <f>datos!MJ129</f>
        <v>930.53</v>
      </c>
      <c r="AD124" s="681">
        <f>datos!BB129*AD$4</f>
        <v>10426.593952830795</v>
      </c>
      <c r="AE124" s="673">
        <f t="shared" si="25"/>
        <v>834.12751622646363</v>
      </c>
      <c r="AF124" s="673">
        <f t="shared" si="26"/>
        <v>450</v>
      </c>
      <c r="AG124" s="672">
        <f t="shared" si="35"/>
        <v>1100</v>
      </c>
      <c r="AH124" s="2">
        <f t="shared" si="36"/>
        <v>446.80369092246292</v>
      </c>
      <c r="AI124" s="522">
        <f>AVERAGE(datos!ML129,datos!MM129,datos!MN129,datos!MO129)</f>
        <v>1238.4099999999999</v>
      </c>
      <c r="AK124" s="3">
        <f t="shared" si="27"/>
        <v>45992</v>
      </c>
      <c r="AL124" s="12">
        <f t="shared" si="43"/>
        <v>0.14400244510274135</v>
      </c>
      <c r="AM124" s="12">
        <f t="shared" si="44"/>
        <v>0.20555604863761426</v>
      </c>
      <c r="AN124" s="12">
        <f t="shared" si="45"/>
        <v>8.0089197618265925E-2</v>
      </c>
      <c r="AO124" s="12">
        <f t="shared" si="40"/>
        <v>0.63315543387984863</v>
      </c>
      <c r="AP124" s="12">
        <f t="shared" si="41"/>
        <v>0.37094583129135011</v>
      </c>
      <c r="AQ124" s="12">
        <f t="shared" si="42"/>
        <v>0.47207724209434937</v>
      </c>
      <c r="AR124" s="12">
        <f t="shared" si="46"/>
        <v>0.20425617078052036</v>
      </c>
      <c r="AS124" s="12">
        <f t="shared" si="47"/>
        <v>0.11423118564275121</v>
      </c>
      <c r="AT124" s="12">
        <f t="shared" si="39"/>
        <v>0.25526662610880252</v>
      </c>
      <c r="AU124" s="12">
        <f t="shared" si="37"/>
        <v>0.23667268597762417</v>
      </c>
      <c r="AV124" s="12">
        <f t="shared" si="38"/>
        <v>0.36078818074988328</v>
      </c>
    </row>
    <row r="125" spans="1:61">
      <c r="A125" s="3">
        <v>46023</v>
      </c>
      <c r="B125" s="519">
        <f>datos!R130/1000</f>
        <v>250</v>
      </c>
      <c r="C125" s="520">
        <f>datos!MA130</f>
        <v>1711.31</v>
      </c>
      <c r="D125" s="7">
        <f>datos!AI130</f>
        <v>432.44</v>
      </c>
      <c r="E125" s="7">
        <f>datos!MP130</f>
        <v>2263.2600000000002</v>
      </c>
      <c r="F125" s="525">
        <f>(datos!AD130/1000)/PP!$F$2</f>
        <v>320.85073847958262</v>
      </c>
      <c r="G125" s="522">
        <f>datos!MH130</f>
        <v>4122.18</v>
      </c>
      <c r="H125" s="525">
        <f>datos!BK130/$H$2</f>
        <v>9797.7155172413786</v>
      </c>
      <c r="I125" s="522">
        <f>datos!NB130</f>
        <v>16322</v>
      </c>
      <c r="J125" s="7">
        <f>datos!BR130/$J$2</f>
        <v>3143.4933333333329</v>
      </c>
      <c r="K125" s="7">
        <f>datos!NE130</f>
        <v>8241</v>
      </c>
      <c r="L125" s="525">
        <f>datos!BO130*$L$2</f>
        <v>1987.5677499999999</v>
      </c>
      <c r="M125" s="522">
        <f>datos!NA130</f>
        <v>4069</v>
      </c>
      <c r="N125" s="7">
        <f>datos!BS130*$N$2</f>
        <v>3024</v>
      </c>
      <c r="O125" s="7">
        <f>datos!ND130</f>
        <v>14990</v>
      </c>
      <c r="P125" s="525">
        <f>(datos!AG130/1000)/$P$2</f>
        <v>558.82352941176464</v>
      </c>
      <c r="Q125" s="522">
        <f>datos!MY130*$Q$2</f>
        <v>4959.12</v>
      </c>
      <c r="R125" s="525">
        <f>datos!BN130</f>
        <v>478.19</v>
      </c>
      <c r="S125" s="555">
        <v>3.7100000000000001E-2</v>
      </c>
      <c r="T125" s="556">
        <v>6758.96</v>
      </c>
      <c r="U125" s="530">
        <f t="shared" si="28"/>
        <v>250.75741600000001</v>
      </c>
      <c r="V125" s="522">
        <f>datos!NC130+U125</f>
        <v>1906.0374159999999</v>
      </c>
      <c r="W125" s="672">
        <f>datos!AV130*W$4</f>
        <v>8851.6949152542365</v>
      </c>
      <c r="X125" s="672">
        <f t="shared" si="24"/>
        <v>708.13559322033893</v>
      </c>
      <c r="Y125" s="699">
        <f>Y124*(1+(datos!G130/datos!G129-1))</f>
        <v>462.96728709147771</v>
      </c>
      <c r="Z125" s="997">
        <f>AZ17</f>
        <v>9.4900019298427951E-2</v>
      </c>
      <c r="AA125" s="679">
        <f t="shared" ref="AA125:AA130" si="50">AA124*(1+Z125)</f>
        <v>1204.3900212282708</v>
      </c>
      <c r="AB125" s="7">
        <f t="shared" si="34"/>
        <v>323.81010068570748</v>
      </c>
      <c r="AC125" s="674">
        <f>datos!MJ130</f>
        <v>1205.82</v>
      </c>
      <c r="AD125" s="681">
        <f>datos!BB130*AD$4</f>
        <v>14565.368940368939</v>
      </c>
      <c r="AE125" s="673">
        <f t="shared" si="25"/>
        <v>1165.2295152295151</v>
      </c>
      <c r="AF125" s="673">
        <f t="shared" si="26"/>
        <v>462.96728709147771</v>
      </c>
      <c r="AG125" s="672">
        <f t="shared" si="35"/>
        <v>1204.3900212282708</v>
      </c>
      <c r="AH125" s="2">
        <f t="shared" si="36"/>
        <v>651.82122871220406</v>
      </c>
      <c r="AI125" s="522">
        <f>AVERAGE(datos!ML130,datos!MM130,datos!MN131,datos!MO130)</f>
        <v>1705.4724999999999</v>
      </c>
      <c r="AK125" s="3">
        <f t="shared" si="27"/>
        <v>46023</v>
      </c>
      <c r="AL125" s="12">
        <f t="shared" ref="AL125" si="51">B125/C125</f>
        <v>0.14608691587146688</v>
      </c>
      <c r="AM125" s="12">
        <f t="shared" ref="AM125" si="52">D125/E125</f>
        <v>0.19106951918913423</v>
      </c>
      <c r="AN125" s="12">
        <f t="shared" ref="AN125" si="53">F125/G125</f>
        <v>7.7835208185858595E-2</v>
      </c>
      <c r="AO125" s="12">
        <f t="shared" ref="AO125" si="54">H125/I125</f>
        <v>0.60027665220202053</v>
      </c>
      <c r="AP125" s="12">
        <f t="shared" ref="AP125" si="55">J125/K125</f>
        <v>0.381445617441249</v>
      </c>
      <c r="AQ125" s="12">
        <f t="shared" ref="AQ125" si="56">L125/M125</f>
        <v>0.48846590071270579</v>
      </c>
      <c r="AR125" s="12">
        <f t="shared" ref="AR125" si="57">N125/O125</f>
        <v>0.20173448965977317</v>
      </c>
      <c r="AS125" s="12">
        <f t="shared" ref="AS125" si="58">P125/Q125</f>
        <v>0.11268602683777861</v>
      </c>
      <c r="AT125" s="12">
        <f t="shared" ref="AT125" si="59">R125/V125</f>
        <v>0.25088174869280744</v>
      </c>
      <c r="AU125" s="12">
        <f t="shared" ref="AU125" si="60">AB125/AC125</f>
        <v>0.26853933479765429</v>
      </c>
      <c r="AV125" s="12">
        <f t="shared" ref="AV125" si="61">AH125/AI125</f>
        <v>0.38219392497516325</v>
      </c>
    </row>
    <row r="126" spans="1:61">
      <c r="A126" s="3">
        <v>46054</v>
      </c>
      <c r="B126" s="519">
        <f>datos!R131/1000</f>
        <v>270</v>
      </c>
      <c r="C126" s="520">
        <f>datos!MA131</f>
        <v>1739.93</v>
      </c>
      <c r="D126" s="7">
        <f>datos!AI131</f>
        <v>318.93</v>
      </c>
      <c r="E126" s="7">
        <f>datos!MP131</f>
        <v>2266.39</v>
      </c>
      <c r="F126" s="525">
        <f>(datos!AD131/1000)/PP!$F$2</f>
        <v>312.06699290232046</v>
      </c>
      <c r="G126" s="522">
        <f>datos!MH131</f>
        <v>4201.87</v>
      </c>
      <c r="H126" s="525">
        <f>datos!BK131/$H$2</f>
        <v>10764.553085299456</v>
      </c>
      <c r="I126" s="522">
        <f>datos!NB131</f>
        <v>16853</v>
      </c>
      <c r="J126" s="7">
        <f>datos!BR131/$J$2</f>
        <v>3225.1833333333325</v>
      </c>
      <c r="K126" s="7">
        <f>datos!NE131</f>
        <v>8416</v>
      </c>
      <c r="L126" s="525">
        <f>datos!BO131*$L$2</f>
        <v>2042.6</v>
      </c>
      <c r="M126" s="522">
        <f>datos!NA131</f>
        <v>4347</v>
      </c>
      <c r="N126" s="7">
        <f>datos!BS131*$N$2</f>
        <v>3024</v>
      </c>
      <c r="O126" s="7">
        <f>datos!ND131</f>
        <v>14990</v>
      </c>
      <c r="P126" s="525">
        <f>(datos!AG131/1000)/$P$2</f>
        <v>647.05882352941171</v>
      </c>
      <c r="Q126" s="522">
        <f>datos!MY131*$Q$2</f>
        <v>5049.74</v>
      </c>
      <c r="R126" s="525">
        <f>datos!BN131</f>
        <v>481.03</v>
      </c>
      <c r="S126" s="555">
        <v>3.78E-2</v>
      </c>
      <c r="T126" s="556">
        <v>6704.77</v>
      </c>
      <c r="U126" s="746">
        <f t="shared" si="28"/>
        <v>253.44030600000002</v>
      </c>
      <c r="V126" s="522">
        <f>datos!NC131+U126</f>
        <v>1945.900306</v>
      </c>
      <c r="W126" s="672">
        <f>datos!AV131*W$4</f>
        <v>9822.2222222222226</v>
      </c>
      <c r="X126" s="672">
        <f t="shared" ref="X126" si="62">W126*X$4</f>
        <v>785.77777777777783</v>
      </c>
      <c r="Y126" s="699">
        <f>Y125*(1+(datos!G131/datos!G130-1))</f>
        <v>476.37629692774351</v>
      </c>
      <c r="Z126" s="997"/>
      <c r="AA126" s="679">
        <f t="shared" si="50"/>
        <v>1204.3900212282708</v>
      </c>
      <c r="AB126" s="7">
        <f t="shared" si="34"/>
        <v>367.78390631442159</v>
      </c>
      <c r="AC126" s="674">
        <f>datos!MJ131</f>
        <v>1303.25</v>
      </c>
      <c r="AD126" s="681">
        <f>datos!BB131*AD$4</f>
        <v>10241.669807946251</v>
      </c>
      <c r="AE126" s="673">
        <f t="shared" ref="AE126" si="63">AD126*AE$4</f>
        <v>819.33358463570016</v>
      </c>
      <c r="AF126" s="673">
        <f t="shared" ref="AF126" si="64">Y126</f>
        <v>476.37629692774351</v>
      </c>
      <c r="AG126" s="672">
        <f t="shared" ref="AG126" si="65">AA126</f>
        <v>1204.3900212282708</v>
      </c>
      <c r="AH126" s="2">
        <f t="shared" si="36"/>
        <v>430.08721695302984</v>
      </c>
      <c r="AI126" s="522">
        <f>AVERAGE(datos!ML131,datos!MM131,datos!MN132,datos!MO131)</f>
        <v>1476.4874999999997</v>
      </c>
      <c r="AK126" s="3">
        <f t="shared" si="27"/>
        <v>46054</v>
      </c>
      <c r="AL126" s="12">
        <f t="shared" ref="AL126" si="66">B126/C126</f>
        <v>0.15517865661262234</v>
      </c>
      <c r="AM126" s="12">
        <f t="shared" ref="AM126" si="67">D126/E126</f>
        <v>0.14072158807619167</v>
      </c>
      <c r="AN126" s="12">
        <f t="shared" ref="AN126" si="68">F126/G126</f>
        <v>7.4268597767736852E-2</v>
      </c>
      <c r="AO126" s="12">
        <f t="shared" ref="AO126" si="69">H126/I126</f>
        <v>0.63873215957393081</v>
      </c>
      <c r="AP126" s="12">
        <f t="shared" ref="AP126" si="70">J126/K126</f>
        <v>0.38322045310519637</v>
      </c>
      <c r="AQ126" s="12">
        <f t="shared" ref="AQ126" si="71">L126/M126</f>
        <v>0.46988727858293072</v>
      </c>
      <c r="AR126" s="12">
        <f t="shared" ref="AR126" si="72">N126/O126</f>
        <v>0.20173448965977317</v>
      </c>
      <c r="AS126" s="12">
        <f t="shared" ref="AS126" si="73">P126/Q126</f>
        <v>0.12813705726025731</v>
      </c>
      <c r="AT126" s="12">
        <f t="shared" ref="AT126" si="74">R126/V126</f>
        <v>0.24720177005820357</v>
      </c>
      <c r="AU126" s="12">
        <f t="shared" ref="AU126" si="75">AB126/AC126</f>
        <v>0.28220518420442858</v>
      </c>
      <c r="AV126" s="12">
        <f t="shared" ref="AV126" si="76">AH126/AI126</f>
        <v>0.29129079450589995</v>
      </c>
    </row>
    <row r="127" spans="1:61">
      <c r="A127" s="3">
        <v>46082</v>
      </c>
      <c r="B127" s="519">
        <f>datos!R132/1000</f>
        <v>250</v>
      </c>
      <c r="C127" s="520">
        <f>datos!MA132</f>
        <v>1719.46</v>
      </c>
      <c r="D127" s="7">
        <f>datos!AI132</f>
        <v>393.41</v>
      </c>
      <c r="E127" s="7">
        <f>datos!MP132</f>
        <v>2291.75</v>
      </c>
      <c r="F127" s="525">
        <f>(datos!AD132/1000)/PP!$F$2</f>
        <v>372.9503126232093</v>
      </c>
      <c r="G127" s="522">
        <f>datos!MH132</f>
        <v>4268.7</v>
      </c>
      <c r="H127" s="525">
        <f>datos!BK132/$H$2</f>
        <v>10816.803539019964</v>
      </c>
      <c r="I127" s="522">
        <f>datos!NB132</f>
        <v>18617</v>
      </c>
      <c r="J127" s="7">
        <f>datos!BR132/$J$2</f>
        <v>3402.083333333333</v>
      </c>
      <c r="K127" s="7">
        <f>datos!NE132</f>
        <v>8944</v>
      </c>
      <c r="L127" s="525">
        <f>datos!BO132*$L$2</f>
        <v>1916.299</v>
      </c>
      <c r="M127" s="522">
        <f>datos!NA132</f>
        <v>4822</v>
      </c>
      <c r="N127" s="7">
        <f>datos!BS132*$N$2</f>
        <v>3024</v>
      </c>
      <c r="O127" s="7">
        <f>datos!ND132</f>
        <v>14990</v>
      </c>
      <c r="P127" s="525">
        <f>(datos!AG132/1000)/$P$2</f>
        <v>705.88235294117646</v>
      </c>
      <c r="Q127" s="522">
        <f>datos!MY132*$Q$2</f>
        <v>5023.6400000000003</v>
      </c>
      <c r="R127" s="525">
        <f>datos!BN132</f>
        <v>489.16</v>
      </c>
      <c r="S127" s="555">
        <v>3.8899999999999997E-2</v>
      </c>
      <c r="T127" s="556">
        <v>6633.7</v>
      </c>
      <c r="U127" s="746">
        <f t="shared" ref="U127" si="77">T127*S127</f>
        <v>258.05092999999999</v>
      </c>
      <c r="V127" s="522">
        <f>datos!NC132+U127</f>
        <v>1993.7809299999999</v>
      </c>
      <c r="W127" s="672">
        <f>datos!AV132*W$4</f>
        <v>8808.6956521739139</v>
      </c>
      <c r="X127" s="672">
        <f t="shared" ref="X127" si="78">W127*X$4</f>
        <v>704.69565217391312</v>
      </c>
      <c r="Y127" s="699">
        <f>Y126*(1+(datos!G132/datos!G131-1))</f>
        <v>492.49030726715245</v>
      </c>
      <c r="Z127" s="676">
        <f t="shared" ref="Z127:Z132" si="79">AZ18</f>
        <v>0.13159990915962494</v>
      </c>
      <c r="AA127" s="679">
        <f t="shared" si="50"/>
        <v>1362.8876386146701</v>
      </c>
      <c r="AB127" s="7">
        <f t="shared" si="34"/>
        <v>312.43110270590893</v>
      </c>
      <c r="AC127" s="674">
        <f>datos!MJ132</f>
        <v>1270.56</v>
      </c>
      <c r="AD127" s="681">
        <f>datos!BB132*AD$4</f>
        <v>9826.374933545987</v>
      </c>
      <c r="AE127" s="673">
        <f t="shared" ref="AE127" si="80">AD127*AE$4</f>
        <v>786.10999468367902</v>
      </c>
      <c r="AF127" s="673">
        <f t="shared" ref="AF127" si="81">Y127</f>
        <v>492.49030726715245</v>
      </c>
      <c r="AG127" s="672">
        <f t="shared" ref="AG127" si="82">AA127</f>
        <v>1362.8876386146701</v>
      </c>
      <c r="AH127" s="2">
        <f t="shared" si="36"/>
        <v>399.16038849891584</v>
      </c>
      <c r="AI127" s="522">
        <f>AVERAGE(datos!ML132,datos!MM132,datos!MN133,datos!MO132)</f>
        <v>1424.895</v>
      </c>
      <c r="AK127" s="3">
        <f t="shared" si="27"/>
        <v>46082</v>
      </c>
      <c r="AL127" s="12">
        <f t="shared" ref="AL127" si="83">B127/C127</f>
        <v>0.14539448431484303</v>
      </c>
      <c r="AM127" s="12">
        <f t="shared" ref="AM127" si="84">D127/E127</f>
        <v>0.17166357586996839</v>
      </c>
      <c r="AN127" s="12">
        <f t="shared" ref="AN127" si="85">F127/G127</f>
        <v>8.7368592925998384E-2</v>
      </c>
      <c r="AO127" s="12">
        <f t="shared" ref="AO127" si="86">H127/I127</f>
        <v>0.58101753983026072</v>
      </c>
      <c r="AP127" s="12">
        <f t="shared" ref="AP127" si="87">J127/K127</f>
        <v>0.38037604353011328</v>
      </c>
      <c r="AQ127" s="12">
        <f t="shared" ref="AQ127" si="88">L127/M127</f>
        <v>0.39740750725839902</v>
      </c>
      <c r="AR127" s="12">
        <f t="shared" ref="AR127" si="89">N127/O127</f>
        <v>0.20173448965977317</v>
      </c>
      <c r="AS127" s="12">
        <f t="shared" ref="AS127" si="90">P127/Q127</f>
        <v>0.14051212924118298</v>
      </c>
      <c r="AT127" s="12">
        <f t="shared" ref="AT127" si="91">R127/V127</f>
        <v>0.24534290234183354</v>
      </c>
      <c r="AU127" s="12">
        <f t="shared" ref="AU127" si="92">AB127/AC127</f>
        <v>0.24590031380329064</v>
      </c>
      <c r="AV127" s="12">
        <f t="shared" ref="AV127" si="93">AH127/AI127</f>
        <v>0.28013319472586812</v>
      </c>
    </row>
    <row r="128" spans="1:61">
      <c r="A128" s="3">
        <v>46113</v>
      </c>
      <c r="B128" s="519">
        <f>datos!R133/1000</f>
        <v>250</v>
      </c>
      <c r="C128" s="520">
        <f>datos!MA133</f>
        <v>1713.73</v>
      </c>
      <c r="D128" s="7">
        <f>datos!AI133</f>
        <v>285.66000000000003</v>
      </c>
      <c r="E128" s="7">
        <f>datos!MP133</f>
        <v>2285.5500000000002</v>
      </c>
      <c r="F128" s="525">
        <f>(datos!AD133/1000)/PP!$F$2</f>
        <v>373.88774145137603</v>
      </c>
      <c r="G128" s="522">
        <f>datos!MH133</f>
        <v>4383.37</v>
      </c>
      <c r="H128" s="525">
        <f>datos!BK133/$H$2</f>
        <v>10605.263157894738</v>
      </c>
      <c r="I128" s="522">
        <f>datos!NB133</f>
        <v>18091</v>
      </c>
      <c r="J128" s="7">
        <f>datos!BR133/$J$2</f>
        <v>3405.6666666666665</v>
      </c>
      <c r="K128" s="7">
        <f>datos!NE133</f>
        <v>8903</v>
      </c>
      <c r="L128" s="525">
        <f>datos!BO133*$L$2</f>
        <v>2017.6394</v>
      </c>
      <c r="M128" s="522">
        <f>datos!NA133</f>
        <v>4936</v>
      </c>
      <c r="N128" s="7">
        <f>datos!BS133*$N$2</f>
        <v>3213</v>
      </c>
      <c r="O128" s="7">
        <f>datos!ND133</f>
        <v>14990</v>
      </c>
      <c r="P128" s="525">
        <f>(datos!AG133/1000)/$P$2</f>
        <v>705.88235294117646</v>
      </c>
      <c r="Q128" s="522">
        <f>datos!MY133*$Q$2</f>
        <v>5136.0600000000004</v>
      </c>
      <c r="R128" s="525">
        <f>datos!BN133</f>
        <v>498.18</v>
      </c>
      <c r="S128" s="555">
        <v>3.9699999999999999E-2</v>
      </c>
      <c r="T128" s="556">
        <v>6654.37</v>
      </c>
      <c r="U128" s="746">
        <f t="shared" ref="U128" si="94">T128*S128</f>
        <v>264.17848900000001</v>
      </c>
      <c r="V128" s="522">
        <f>datos!NC133+U128</f>
        <v>2083.8584890000002</v>
      </c>
      <c r="W128" s="672">
        <f>datos!AV133*W$4</f>
        <v>9717.460317460318</v>
      </c>
      <c r="X128" s="672">
        <f t="shared" ref="X128" si="95">W128*X$4</f>
        <v>777.39682539682542</v>
      </c>
      <c r="Y128" s="699">
        <f>Y127*(1+(datos!G133/datos!G132-1))</f>
        <v>505.2072913241056</v>
      </c>
      <c r="Z128" s="676">
        <f t="shared" si="79"/>
        <v>0</v>
      </c>
      <c r="AA128" s="679">
        <f t="shared" si="50"/>
        <v>1362.8876386146701</v>
      </c>
      <c r="AB128" s="7">
        <f t="shared" si="34"/>
        <v>353.59842810623581</v>
      </c>
      <c r="AC128" s="674">
        <f>datos!MJ133</f>
        <v>1305.47</v>
      </c>
      <c r="AD128" s="681">
        <f>datos!BB133*AD$4</f>
        <v>9559.4207741576156</v>
      </c>
      <c r="AE128" s="673">
        <f t="shared" ref="AE128" si="96">AD128*AE$4</f>
        <v>764.75366193260925</v>
      </c>
      <c r="AF128" s="673">
        <f t="shared" ref="AF128" si="97">Y128</f>
        <v>505.2072913241056</v>
      </c>
      <c r="AG128" s="672">
        <f t="shared" ref="AG128" si="98">AA128</f>
        <v>1362.8876386146701</v>
      </c>
      <c r="AH128" s="2">
        <f t="shared" si="36"/>
        <v>384.80956568256829</v>
      </c>
      <c r="AI128" s="522">
        <f>AVERAGE(datos!ML133,datos!MM133,datos!MN134,datos!MO133)</f>
        <v>1375.6875</v>
      </c>
      <c r="AK128" s="3">
        <f t="shared" si="27"/>
        <v>46113</v>
      </c>
      <c r="AL128" s="12">
        <f t="shared" ref="AL128" si="99">B128/C128</f>
        <v>0.14588062296861232</v>
      </c>
      <c r="AM128" s="12">
        <f t="shared" ref="AM128" si="100">D128/E128</f>
        <v>0.12498523331364442</v>
      </c>
      <c r="AN128" s="12">
        <f t="shared" ref="AN128" si="101">F128/G128</f>
        <v>8.5296870091134458E-2</v>
      </c>
      <c r="AO128" s="12">
        <f t="shared" ref="AO128" si="102">H128/I128</f>
        <v>0.58621763074980593</v>
      </c>
      <c r="AP128" s="12">
        <f t="shared" ref="AP128" si="103">J128/K128</f>
        <v>0.38253023325470814</v>
      </c>
      <c r="AQ128" s="12">
        <f t="shared" ref="AQ128" si="104">L128/M128</f>
        <v>0.4087600081037277</v>
      </c>
      <c r="AR128" s="12">
        <f t="shared" ref="AR128" si="105">N128/O128</f>
        <v>0.214342895263509</v>
      </c>
      <c r="AS128" s="12">
        <f t="shared" ref="AS128" si="106">P128/Q128</f>
        <v>0.137436547264085</v>
      </c>
      <c r="AT128" s="12">
        <f t="shared" ref="AT128" si="107">R128/V128</f>
        <v>0.23906613747033567</v>
      </c>
      <c r="AU128" s="12">
        <f t="shared" ref="AU128" si="108">AB128/AC128</f>
        <v>0.27085909910318567</v>
      </c>
      <c r="AV128" s="12">
        <f t="shared" ref="AV128" si="109">AH128/AI128</f>
        <v>0.27972164149384821</v>
      </c>
    </row>
    <row r="129" spans="1:57">
      <c r="A129" s="3">
        <v>46143</v>
      </c>
      <c r="B129" s="519">
        <f>datos!R134/1000</f>
        <v>280</v>
      </c>
      <c r="C129" s="520">
        <f>datos!MA134</f>
        <v>1750.9</v>
      </c>
      <c r="D129" s="7">
        <f>datos!AI134</f>
        <v>311.85000000000002</v>
      </c>
      <c r="E129" s="7">
        <f>datos!MP134</f>
        <v>2317.5300000000002</v>
      </c>
      <c r="F129" s="525">
        <f>(datos!AD134/1000)/PP!$F$2</f>
        <v>395.28341891131493</v>
      </c>
      <c r="G129" s="522">
        <f>datos!MH134</f>
        <v>4471.54</v>
      </c>
      <c r="H129" s="525">
        <f>datos!BK134/$H$2</f>
        <v>10463.250907441017</v>
      </c>
      <c r="I129" s="522">
        <f>datos!NB134</f>
        <v>18154</v>
      </c>
      <c r="J129" s="7">
        <f>datos!BR134/$J$2</f>
        <v>3399.6166666666663</v>
      </c>
      <c r="K129" s="7">
        <f>datos!NE134</f>
        <v>9151</v>
      </c>
      <c r="L129" s="525">
        <f>datos!BO134*$L$2</f>
        <v>2042.999</v>
      </c>
      <c r="M129" s="522">
        <f>datos!NA134</f>
        <v>5048</v>
      </c>
      <c r="N129" s="7">
        <f>datos!BS134*$N$2</f>
        <v>3326.4</v>
      </c>
      <c r="O129" s="7">
        <f>datos!ND134</f>
        <v>15990</v>
      </c>
      <c r="P129" s="525">
        <f>(datos!AG134/1000)/$P$2</f>
        <v>735.29411764705878</v>
      </c>
      <c r="Q129" s="522">
        <f>datos!MY134*$Q$2</f>
        <v>5229.46</v>
      </c>
      <c r="R129" s="525">
        <f>datos!BN134</f>
        <v>508.74</v>
      </c>
      <c r="S129" s="555">
        <v>4.02E-2</v>
      </c>
      <c r="T129" s="556">
        <v>6684.54</v>
      </c>
      <c r="U129" s="746">
        <f t="shared" ref="U129" si="110">T129*S129</f>
        <v>268.71850799999999</v>
      </c>
      <c r="V129" s="522">
        <f>datos!NC134+U129</f>
        <v>2187.3285080000001</v>
      </c>
      <c r="W129" s="672">
        <f>datos!AV134*W$4</f>
        <v>12702.173913043478</v>
      </c>
      <c r="X129" s="672">
        <f t="shared" ref="X129" si="111">W129*X$4</f>
        <v>1016.1739130434783</v>
      </c>
      <c r="Y129" s="699">
        <f>Y128*(1+(datos!G134/datos!G133-1))</f>
        <v>516.06910832193057</v>
      </c>
      <c r="Z129" s="676">
        <f t="shared" si="79"/>
        <v>0</v>
      </c>
      <c r="AA129" s="679">
        <f t="shared" si="50"/>
        <v>1362.8876386146701</v>
      </c>
      <c r="AB129" s="7">
        <f t="shared" si="34"/>
        <v>490.35216265317001</v>
      </c>
      <c r="AC129" s="674">
        <f>datos!MJ134</f>
        <v>1473.32</v>
      </c>
      <c r="AD129" s="681">
        <f>datos!BB134*AD$4</f>
        <v>15740.075317604356</v>
      </c>
      <c r="AE129" s="673">
        <f t="shared" ref="AE129" si="112">AD129*AE$4</f>
        <v>1259.2060254083485</v>
      </c>
      <c r="AF129" s="673">
        <f t="shared" ref="AF129" si="113">Y129</f>
        <v>516.06910832193057</v>
      </c>
      <c r="AG129" s="672">
        <f t="shared" ref="AG129" si="114">AA129</f>
        <v>1362.8876386146701</v>
      </c>
      <c r="AH129" s="2">
        <f t="shared" si="36"/>
        <v>700.10625251441161</v>
      </c>
      <c r="AI129" s="522">
        <f>AVERAGE(datos!ML134,datos!MM134,datos!MN135,datos!MO134)</f>
        <v>1680.365</v>
      </c>
      <c r="AK129" s="3">
        <f t="shared" si="27"/>
        <v>46143</v>
      </c>
      <c r="AL129" s="12">
        <f t="shared" ref="AL129" si="115">B129/C129</f>
        <v>0.15991775658232907</v>
      </c>
      <c r="AM129" s="12">
        <f t="shared" ref="AM129" si="116">D129/E129</f>
        <v>0.13456136490142523</v>
      </c>
      <c r="AN129" s="12">
        <f t="shared" ref="AN129" si="117">F129/G129</f>
        <v>8.839983963272495E-2</v>
      </c>
      <c r="AO129" s="12">
        <f t="shared" ref="AO129" si="118">H129/I129</f>
        <v>0.57636063167571983</v>
      </c>
      <c r="AP129" s="12">
        <f t="shared" ref="AP129" si="119">J129/K129</f>
        <v>0.37150220376643717</v>
      </c>
      <c r="AQ129" s="12">
        <f t="shared" ref="AQ129" si="120">L129/M129</f>
        <v>0.40471454041204435</v>
      </c>
      <c r="AR129" s="12">
        <f t="shared" ref="AR129" si="121">N129/O129</f>
        <v>0.20803001876172608</v>
      </c>
      <c r="AS129" s="12">
        <f t="shared" ref="AS129" si="122">P129/Q129</f>
        <v>0.14060612714258428</v>
      </c>
      <c r="AT129" s="12">
        <f t="shared" ref="AT129" si="123">R129/V129</f>
        <v>0.23258509096339178</v>
      </c>
      <c r="AU129" s="12">
        <f t="shared" ref="AU129" si="124">AB129/AC129</f>
        <v>0.33282122190234981</v>
      </c>
      <c r="AV129" s="12">
        <f t="shared" ref="AV129" si="125">AH129/AI129</f>
        <v>0.41663939234298003</v>
      </c>
    </row>
    <row r="130" spans="1:57">
      <c r="A130" s="3">
        <v>46174</v>
      </c>
      <c r="B130" s="519">
        <f>datos!R135/1000</f>
        <v>280</v>
      </c>
      <c r="C130" s="520">
        <f>datos!MA135</f>
        <v>1783.17</v>
      </c>
      <c r="D130" s="7">
        <f>datos!AI135</f>
        <v>303.39999999999998</v>
      </c>
      <c r="E130" s="7">
        <f>datos!MP135</f>
        <v>2311.5100000000002</v>
      </c>
      <c r="F130" s="525">
        <f>(datos!AD135/1000)/PP!$F$2</f>
        <v>379.08381651376146</v>
      </c>
      <c r="G130" s="522">
        <f>datos!MH135</f>
        <v>4652.79</v>
      </c>
      <c r="H130" s="525">
        <f>datos!BK135/$H$2</f>
        <v>10426.678765880219</v>
      </c>
      <c r="I130" s="522">
        <f>datos!NB135</f>
        <v>17916</v>
      </c>
      <c r="J130" s="7">
        <f>datos!BR135/$J$2</f>
        <v>3376.2833333333328</v>
      </c>
      <c r="K130" s="7">
        <f>datos!NE135</f>
        <v>9143</v>
      </c>
      <c r="L130" s="525">
        <f>datos!BO135*$L$2</f>
        <v>1990.1</v>
      </c>
      <c r="M130" s="522">
        <f>datos!NA135</f>
        <v>4982</v>
      </c>
      <c r="N130" s="7">
        <f>datos!BS135*$N$2</f>
        <v>3402</v>
      </c>
      <c r="O130" s="7">
        <f>datos!ND135</f>
        <v>15990</v>
      </c>
      <c r="P130" s="525">
        <f>(datos!AG135/1000)/$P$2</f>
        <v>764.7058823529411</v>
      </c>
      <c r="Q130" s="522">
        <f>datos!MY135*$Q$2</f>
        <v>5210.58</v>
      </c>
      <c r="R130" s="525">
        <f>datos!BN135</f>
        <v>518.16</v>
      </c>
      <c r="S130" s="555">
        <v>3.95E-2</v>
      </c>
      <c r="T130" s="556">
        <v>6894.36</v>
      </c>
      <c r="U130" s="746">
        <f t="shared" ref="U130" si="126">T130*S130</f>
        <v>272.32722000000001</v>
      </c>
      <c r="V130" s="522">
        <f>datos!NC135+U130</f>
        <v>2198.7472200000002</v>
      </c>
      <c r="W130" s="672">
        <f>datos!AV135*W$4</f>
        <v>14334.375</v>
      </c>
      <c r="X130" s="672">
        <f t="shared" ref="X130" si="127">W130*X$4</f>
        <v>1146.75</v>
      </c>
      <c r="Y130" s="699">
        <f>Y129*(1+(datos!G135/datos!G134-1))</f>
        <v>525.80666908629928</v>
      </c>
      <c r="Z130" s="676">
        <f t="shared" si="79"/>
        <v>0</v>
      </c>
      <c r="AA130" s="679">
        <f t="shared" si="50"/>
        <v>1362.8876386146701</v>
      </c>
      <c r="AB130" s="7">
        <f t="shared" si="34"/>
        <v>564.94653461495159</v>
      </c>
      <c r="AC130" s="674">
        <f>datos!MJ135</f>
        <v>1544.25</v>
      </c>
      <c r="AD130" s="681">
        <f>datos!BB135*AD$4</f>
        <v>17364.434523809527</v>
      </c>
      <c r="AE130" s="673">
        <f t="shared" ref="AE130" si="128">AD130*AE$4</f>
        <v>1389.1547619047622</v>
      </c>
      <c r="AF130" s="673">
        <f t="shared" ref="AF130" si="129">Y130</f>
        <v>525.80666908629928</v>
      </c>
      <c r="AG130" s="672">
        <f t="shared" ref="AG130" si="130">AA130</f>
        <v>1362.8876386146701</v>
      </c>
      <c r="AH130" s="2">
        <f t="shared" ref="AH130" si="131">(AD130-AE130-AF130-AG130)/AH$3</f>
        <v>782.58808078909976</v>
      </c>
      <c r="AI130" s="522">
        <f>AVERAGE(datos!ML135,datos!MM135,datos!MN136,datos!MO135)</f>
        <v>1844.145</v>
      </c>
      <c r="AK130" s="3">
        <f t="shared" si="27"/>
        <v>46174</v>
      </c>
      <c r="AL130" s="12">
        <f t="shared" ref="AL130" si="132">B130/C130</f>
        <v>0.15702372740680923</v>
      </c>
      <c r="AM130" s="12">
        <f t="shared" ref="AM130" si="133">D130/E130</f>
        <v>0.13125619183996606</v>
      </c>
      <c r="AN130" s="12">
        <f t="shared" ref="AN130" si="134">F130/G130</f>
        <v>8.1474516690794446E-2</v>
      </c>
      <c r="AO130" s="12">
        <f t="shared" ref="AO130" si="135">H130/I130</f>
        <v>0.58197581859121561</v>
      </c>
      <c r="AP130" s="12">
        <f t="shared" ref="AP130" si="136">J130/K130</f>
        <v>0.36927521965802612</v>
      </c>
      <c r="AQ130" s="12">
        <f t="shared" ref="AQ130" si="137">L130/M130</f>
        <v>0.39945804897631471</v>
      </c>
      <c r="AR130" s="12">
        <f t="shared" ref="AR130" si="138">N130/O130</f>
        <v>0.21275797373358349</v>
      </c>
      <c r="AS130" s="12">
        <f t="shared" ref="AS130" si="139">P130/Q130</f>
        <v>0.14676022292200505</v>
      </c>
      <c r="AT130" s="12">
        <f t="shared" ref="AT130" si="140">R130/V130</f>
        <v>0.2356614690796516</v>
      </c>
      <c r="AU130" s="12">
        <f t="shared" ref="AU130" si="141">AB130/AC130</f>
        <v>0.3658387790933797</v>
      </c>
      <c r="AV130" s="12">
        <f t="shared" ref="AV130" si="142">AH130/AI130</f>
        <v>0.42436363777745228</v>
      </c>
    </row>
    <row r="131" spans="1:57">
      <c r="A131" s="3">
        <v>46204</v>
      </c>
      <c r="B131" s="519">
        <f>datos!R136/1000</f>
        <v>280</v>
      </c>
      <c r="C131" s="520">
        <f>datos!MA136</f>
        <v>1838.91</v>
      </c>
      <c r="D131" s="7">
        <f>datos!AI136</f>
        <v>397.35</v>
      </c>
      <c r="E131" s="7">
        <f>datos!MP136</f>
        <v>2329</v>
      </c>
      <c r="F131" s="525">
        <f>(datos!AD136/1000)/PP!$F$2</f>
        <v>401.05577625496664</v>
      </c>
      <c r="G131" s="522">
        <f>datos!MH136</f>
        <v>4732.3500000000004</v>
      </c>
      <c r="H131" s="525">
        <f>datos!BK136/$H$2</f>
        <v>10618.600272232306</v>
      </c>
      <c r="I131" s="522">
        <f>datos!NB136</f>
        <v>17704</v>
      </c>
      <c r="J131" s="7">
        <f>datos!BR136/$J$2</f>
        <v>3396.8166666666662</v>
      </c>
      <c r="K131" s="7">
        <f>datos!NE136</f>
        <v>9056</v>
      </c>
      <c r="L131" s="525">
        <f>datos!BO136*$L$2</f>
        <v>1947.6333333333332</v>
      </c>
      <c r="M131" s="522">
        <f>datos!NA136</f>
        <v>4982</v>
      </c>
      <c r="N131" s="7">
        <f>datos!BS136*$N$2</f>
        <v>3213</v>
      </c>
      <c r="O131" s="7">
        <f>datos!ND136</f>
        <v>15990</v>
      </c>
      <c r="P131" s="525">
        <f>(datos!AG136/1000)/$P$2</f>
        <v>764.7058823529411</v>
      </c>
      <c r="Q131" s="522">
        <f>datos!MY136*$Q$2</f>
        <v>5179.42</v>
      </c>
      <c r="R131" s="525">
        <f>datos!BN136</f>
        <v>527.47</v>
      </c>
      <c r="S131" s="555">
        <v>3.9199999999999999E-2</v>
      </c>
      <c r="T131" s="556">
        <v>7064.67</v>
      </c>
      <c r="U131" s="746">
        <f t="shared" ref="U131" si="143">T131*S131</f>
        <v>276.93506400000001</v>
      </c>
      <c r="V131" s="522">
        <f>datos!NC136+U131</f>
        <v>2275.7450639999997</v>
      </c>
      <c r="W131" s="672">
        <f>datos!AV136*W$4</f>
        <v>18662.89</v>
      </c>
      <c r="X131" s="672">
        <f t="shared" ref="X131" si="144">W131*X$4</f>
        <v>1493.0311999999999</v>
      </c>
      <c r="Y131" s="699">
        <f>Y130*(1+(datos!G136/datos!G135-1))</f>
        <v>536.92102547564832</v>
      </c>
      <c r="Z131" s="676">
        <f t="shared" si="79"/>
        <v>0</v>
      </c>
      <c r="AA131" s="679">
        <f t="shared" ref="AA131" si="145">AA130*(1+Z131)</f>
        <v>1362.8876386146701</v>
      </c>
      <c r="AB131" s="7">
        <f t="shared" ref="AB131" si="146">(W131-X131-Y131-AA131)/AB$3</f>
        <v>763.50250679548412</v>
      </c>
      <c r="AC131" s="674">
        <f>datos!MJ136</f>
        <v>1865.66</v>
      </c>
      <c r="AD131" s="681">
        <f>datos!BB136*AD$4</f>
        <v>18876.666944444445</v>
      </c>
      <c r="AE131" s="673">
        <f t="shared" ref="AE131" si="147">AD131*AE$4</f>
        <v>1510.1333555555557</v>
      </c>
      <c r="AF131" s="673">
        <f t="shared" ref="AF131" si="148">Y131</f>
        <v>536.92102547564832</v>
      </c>
      <c r="AG131" s="672">
        <f t="shared" ref="AG131" si="149">AA131</f>
        <v>1362.8876386146701</v>
      </c>
      <c r="AH131" s="2">
        <f t="shared" ref="AH131" si="150">(AD131-AE131-AF131-AG131)/AH$3</f>
        <v>859.2624958221428</v>
      </c>
      <c r="AI131" s="522">
        <f>AVERAGE(datos!ML136,datos!MM136,datos!MN137,datos!MO136)</f>
        <v>2078.4275000000002</v>
      </c>
      <c r="AK131" s="3">
        <f t="shared" si="27"/>
        <v>46204</v>
      </c>
      <c r="AL131" s="12">
        <f t="shared" ref="AL131" si="151">B131/C131</f>
        <v>0.15226411297997183</v>
      </c>
      <c r="AM131" s="12">
        <f t="shared" ref="AM131" si="152">D131/E131</f>
        <v>0.17060970373550882</v>
      </c>
      <c r="AN131" s="12">
        <f t="shared" ref="AN131" si="153">F131/G131</f>
        <v>8.4747699611179783E-2</v>
      </c>
      <c r="AO131" s="12">
        <f t="shared" ref="AO131" si="154">H131/I131</f>
        <v>0.59978537461773085</v>
      </c>
      <c r="AP131" s="12">
        <f t="shared" ref="AP131" si="155">J131/K131</f>
        <v>0.37509017962308594</v>
      </c>
      <c r="AQ131" s="12">
        <f t="shared" ref="AQ131" si="156">L131/M131</f>
        <v>0.39093402917168468</v>
      </c>
      <c r="AR131" s="12">
        <f t="shared" ref="AR131" si="157">N131/O131</f>
        <v>0.20093808630393997</v>
      </c>
      <c r="AS131" s="12">
        <f t="shared" ref="AS131" si="158">P131/Q131</f>
        <v>0.14764314968721229</v>
      </c>
      <c r="AT131" s="12">
        <f t="shared" ref="AT131" si="159">R131/V131</f>
        <v>0.23177903726741866</v>
      </c>
      <c r="AU131" s="12">
        <f t="shared" ref="AU131" si="160">AB131/AC131</f>
        <v>0.40923989729933863</v>
      </c>
      <c r="AV131" s="12">
        <f t="shared" ref="AV131" si="161">AH131/AI131</f>
        <v>0.41341951827626544</v>
      </c>
    </row>
    <row r="132" spans="1:57">
      <c r="A132" s="3">
        <v>46235</v>
      </c>
      <c r="B132" s="519">
        <f>datos!R137/1000</f>
        <v>300</v>
      </c>
      <c r="C132" s="520">
        <f>datos!MA137</f>
        <v>1858.04</v>
      </c>
      <c r="D132" s="7">
        <f>datos!AI137</f>
        <v>380.74</v>
      </c>
      <c r="E132" s="7">
        <f>datos!MP137</f>
        <v>2316</v>
      </c>
      <c r="F132" s="525">
        <f>(datos!AD137/1000)/PP!$F$2</f>
        <v>418.33827669724764</v>
      </c>
      <c r="G132" s="522">
        <f>datos!MH137</f>
        <v>4909.9799999999996</v>
      </c>
      <c r="H132" s="525">
        <f>datos!BK137/$H$2</f>
        <v>10663.511796733212</v>
      </c>
      <c r="I132" s="522">
        <f>datos!NB137</f>
        <v>17650</v>
      </c>
      <c r="J132" s="7">
        <f>datos!BR137/$J$2</f>
        <v>3428.0833333333326</v>
      </c>
      <c r="K132" s="7">
        <f>datos!NE137</f>
        <v>9235</v>
      </c>
      <c r="L132" s="525">
        <f>datos!BO137*$L$2</f>
        <v>1901.1999999999998</v>
      </c>
      <c r="M132" s="522">
        <f>datos!NA137</f>
        <v>4934</v>
      </c>
      <c r="N132" s="7">
        <f>datos!BS137*$N$2</f>
        <v>3213</v>
      </c>
      <c r="O132" s="7">
        <f>datos!ND137</f>
        <v>15990</v>
      </c>
      <c r="P132" s="525">
        <f>(datos!AG137/1000)/$P$2</f>
        <v>823.52941176470586</v>
      </c>
      <c r="Q132" s="522">
        <f>datos!MY137*$Q$2</f>
        <v>5238.2</v>
      </c>
      <c r="R132" s="525">
        <f>datos!BN137</f>
        <v>535.12</v>
      </c>
      <c r="S132" s="555">
        <v>3.85E-2</v>
      </c>
      <c r="T132" s="556">
        <v>7269.15</v>
      </c>
      <c r="U132" s="746">
        <f t="shared" ref="U132" si="162">T132*S132</f>
        <v>279.86227499999995</v>
      </c>
      <c r="V132" s="522">
        <f>datos!NC137+U132</f>
        <v>2288.262275</v>
      </c>
      <c r="W132" s="672">
        <f>datos!AV137*W$4</f>
        <v>22163.040000000001</v>
      </c>
      <c r="X132" s="672">
        <f t="shared" ref="X132" si="163">W132*X$4</f>
        <v>1773.0432000000001</v>
      </c>
      <c r="Y132" s="699">
        <f>Y131*(1+(datos!G137/datos!G136-1))</f>
        <v>545.82965361957133</v>
      </c>
      <c r="Z132" s="676">
        <f t="shared" si="79"/>
        <v>0</v>
      </c>
      <c r="AA132" s="679">
        <f t="shared" ref="AA132" si="164">AA131*(1+Z132)</f>
        <v>1362.8876386146701</v>
      </c>
      <c r="AB132" s="7">
        <f t="shared" ref="AB132" si="165">(W132-X132-Y132-AA132)/AB$3</f>
        <v>924.0639753882881</v>
      </c>
      <c r="AC132" s="674">
        <f>datos!MJ137</f>
        <v>2275.91</v>
      </c>
      <c r="AD132" s="681">
        <f>datos!BB137*AD$4</f>
        <v>18568.697222222225</v>
      </c>
      <c r="AE132" s="673">
        <f t="shared" ref="AE132" si="166">AD132*AE$4</f>
        <v>1485.4957777777779</v>
      </c>
      <c r="AF132" s="673">
        <f t="shared" ref="AF132" si="167">Y132</f>
        <v>545.82965361957133</v>
      </c>
      <c r="AG132" s="672">
        <f t="shared" ref="AG132" si="168">AA132</f>
        <v>1362.8876386146701</v>
      </c>
      <c r="AH132" s="2">
        <f t="shared" ref="AH132" si="169">(AD132-AE132-AF132-AG132)/AH$3</f>
        <v>843.02689734501155</v>
      </c>
      <c r="AI132" s="522">
        <f>AVERAGE(datos!ML137,datos!MM137,datos!MN138,datos!MO137)</f>
        <v>2419.9549999999999</v>
      </c>
      <c r="AK132" s="3">
        <f t="shared" si="27"/>
        <v>46235</v>
      </c>
      <c r="AL132" s="12">
        <f t="shared" ref="AL132" si="170">B132/C132</f>
        <v>0.1614604637144518</v>
      </c>
      <c r="AM132" s="12">
        <f t="shared" ref="AM132" si="171">D132/E132</f>
        <v>0.16439550949913645</v>
      </c>
      <c r="AN132" s="12">
        <f t="shared" ref="AN132" si="172">F132/G132</f>
        <v>8.5201625403208914E-2</v>
      </c>
      <c r="AO132" s="12">
        <f t="shared" ref="AO132" si="173">H132/I132</f>
        <v>0.60416497431916216</v>
      </c>
      <c r="AP132" s="12">
        <f t="shared" ref="AP132" si="174">J132/K132</f>
        <v>0.37120555856343612</v>
      </c>
      <c r="AQ132" s="12">
        <f t="shared" ref="AQ132" si="175">L132/M132</f>
        <v>0.38532630725577621</v>
      </c>
      <c r="AR132" s="12">
        <f t="shared" ref="AR132" si="176">N132/O132</f>
        <v>0.20093808630393997</v>
      </c>
      <c r="AS132" s="12">
        <f t="shared" ref="AS132" si="177">P132/Q132</f>
        <v>0.15721610701475811</v>
      </c>
      <c r="AT132" s="12">
        <f t="shared" ref="AT132" si="178">R132/V132</f>
        <v>0.23385431200188797</v>
      </c>
      <c r="AU132" s="12">
        <f t="shared" ref="AU132" si="179">AB132/AC132</f>
        <v>0.4060195593798912</v>
      </c>
      <c r="AV132" s="12">
        <f t="shared" ref="AV132" si="180">AH132/AI132</f>
        <v>0.34836469989938307</v>
      </c>
    </row>
    <row r="134" spans="1:57">
      <c r="AK134" s="19"/>
      <c r="AL134" s="162"/>
      <c r="AM134" s="162"/>
      <c r="AN134" s="162"/>
      <c r="AO134" s="162"/>
      <c r="AP134" s="162"/>
      <c r="AQ134" s="162"/>
      <c r="AR134" s="162"/>
      <c r="AS134" s="162"/>
      <c r="AT134" s="162"/>
      <c r="AU134" s="162"/>
      <c r="AV134" s="162"/>
    </row>
    <row r="135" spans="1:57">
      <c r="AK135" s="899">
        <v>42948</v>
      </c>
      <c r="AL135" s="162">
        <f t="shared" ref="AL135:AL143" si="181">VLOOKUP($AK135,$AK$4:$AV$131,2)</f>
        <v>0.19058823529411764</v>
      </c>
      <c r="AM135" s="162">
        <f>VLOOKUP($AK135,$AK$4:$AV$131,3)</f>
        <v>0.28557852221430263</v>
      </c>
      <c r="AN135" s="162">
        <f>VLOOKUP($AK135,$AK$4:$AV$131,4)</f>
        <v>9.1432436924790764E-2</v>
      </c>
      <c r="AO135" s="162">
        <f>VLOOKUP($AK135,$AK$4:$AV$131,5)</f>
        <v>0.62695266387892301</v>
      </c>
      <c r="AP135" s="162">
        <f>VLOOKUP($AK135,$AK$4:$AV$131,6)</f>
        <v>0.28888280394304483</v>
      </c>
      <c r="AQ135" s="162">
        <f>VLOOKUP($AK135,$AK$4:$AV$131,7)</f>
        <v>0.43623112311231127</v>
      </c>
      <c r="AR135" s="162"/>
      <c r="AS135" s="162">
        <f>VLOOKUP($AK135,$AK$4:$AV$131,9)</f>
        <v>0.28067226890756297</v>
      </c>
      <c r="AT135" s="162"/>
      <c r="AU135" s="162"/>
      <c r="AV135" s="162"/>
      <c r="AZ135" s="3">
        <f>AK144</f>
        <v>46235</v>
      </c>
      <c r="BB135" t="s">
        <v>877</v>
      </c>
    </row>
    <row r="136" spans="1:57">
      <c r="AK136" s="899">
        <v>43313</v>
      </c>
      <c r="AL136" s="162">
        <f t="shared" si="181"/>
        <v>0.19512195121951217</v>
      </c>
      <c r="AM136" s="162">
        <f t="shared" ref="AM136:AM144" si="182">VLOOKUP($AK136,$AK$4:$AV$131,3)</f>
        <v>0.23966042664344797</v>
      </c>
      <c r="AN136" s="162">
        <f t="shared" ref="AN136:AN144" si="183">VLOOKUP($AK136,$AK$4:$AV$131,4)</f>
        <v>0.14184520090981229</v>
      </c>
      <c r="AO136" s="162">
        <f t="shared" ref="AO136:AO144" si="184">VLOOKUP($AK136,$AK$4:$AV$131,5)</f>
        <v>0.6273847637761093</v>
      </c>
      <c r="AP136" s="162">
        <f t="shared" ref="AP136:AP144" si="185">VLOOKUP($AK136,$AK$4:$AV$131,6)</f>
        <v>0.32384206529992404</v>
      </c>
      <c r="AQ136" s="162">
        <f t="shared" ref="AQ136:AQ144" si="186">VLOOKUP($AK136,$AK$4:$AV$131,7)</f>
        <v>0.49879183434802044</v>
      </c>
      <c r="AR136" s="162"/>
      <c r="AS136" s="162">
        <f t="shared" ref="AS136:AS144" si="187">VLOOKUP($AK136,$AK$4:$AV$131,9)</f>
        <v>0.22452217076478262</v>
      </c>
      <c r="AT136" s="162"/>
      <c r="AU136" s="162"/>
      <c r="AV136" s="162"/>
      <c r="AX136">
        <v>1</v>
      </c>
      <c r="AY136" t="s">
        <v>13</v>
      </c>
      <c r="AZ136" s="747">
        <f>AL144</f>
        <v>0.15226411297997183</v>
      </c>
      <c r="BA136" s="162">
        <f t="shared" ref="BA136:BA144" si="188">1-AZ136</f>
        <v>0.84773588702002822</v>
      </c>
      <c r="BB136" s="750">
        <f>AL146</f>
        <v>0.2000745982523881</v>
      </c>
      <c r="BC136" s="162">
        <f>1-BB136</f>
        <v>0.79992540174761184</v>
      </c>
      <c r="BD136" s="162">
        <f t="shared" ref="BD136:BD146" si="189">AZ136-BB136</f>
        <v>-4.781048527241627E-2</v>
      </c>
      <c r="BE136" s="162"/>
    </row>
    <row r="137" spans="1:57">
      <c r="AK137" s="899">
        <v>43678</v>
      </c>
      <c r="AL137" s="162">
        <f t="shared" si="181"/>
        <v>0.19492574257425743</v>
      </c>
      <c r="AM137" s="162">
        <f t="shared" si="182"/>
        <v>0.16742716742716743</v>
      </c>
      <c r="AN137" s="162">
        <f t="shared" si="183"/>
        <v>0.11765611167164791</v>
      </c>
      <c r="AO137" s="162">
        <f t="shared" si="184"/>
        <v>0.67968540365559771</v>
      </c>
      <c r="AP137" s="162">
        <f t="shared" si="185"/>
        <v>0.41096576955846231</v>
      </c>
      <c r="AQ137" s="162">
        <f t="shared" si="186"/>
        <v>0.42616391852570307</v>
      </c>
      <c r="AR137" s="162"/>
      <c r="AS137" s="162">
        <f t="shared" si="187"/>
        <v>0.19800995707212704</v>
      </c>
      <c r="AT137" s="162"/>
      <c r="AU137" s="162"/>
      <c r="AV137" s="162"/>
      <c r="AX137">
        <v>2</v>
      </c>
      <c r="AY137" t="s">
        <v>235</v>
      </c>
      <c r="AZ137" s="748">
        <f>AM144</f>
        <v>0.17060970373550882</v>
      </c>
      <c r="BA137" s="162">
        <f t="shared" si="188"/>
        <v>0.82939029626449123</v>
      </c>
      <c r="BB137" s="749">
        <f>AM146</f>
        <v>0.23718033855223661</v>
      </c>
      <c r="BC137" s="162">
        <f t="shared" ref="BC137:BC138" si="190">1-BB137</f>
        <v>0.76281966144776336</v>
      </c>
      <c r="BD137" s="162">
        <f t="shared" si="189"/>
        <v>-6.6570634816727786E-2</v>
      </c>
      <c r="BE137" s="162"/>
    </row>
    <row r="138" spans="1:57">
      <c r="AK138" s="899">
        <v>44044</v>
      </c>
      <c r="AL138" s="162">
        <f t="shared" si="181"/>
        <v>0.26084010840108401</v>
      </c>
      <c r="AM138" s="162">
        <f t="shared" si="182"/>
        <v>0.22721400889909574</v>
      </c>
      <c r="AN138" s="162">
        <f t="shared" si="183"/>
        <v>0.14391262470386146</v>
      </c>
      <c r="AO138" s="162">
        <f t="shared" si="184"/>
        <v>0.65791313588947631</v>
      </c>
      <c r="AP138" s="162">
        <f t="shared" si="185"/>
        <v>0.39498872917162237</v>
      </c>
      <c r="AQ138" s="162">
        <f t="shared" si="186"/>
        <v>0.52365993734772009</v>
      </c>
      <c r="AR138" s="162"/>
      <c r="AS138" s="162">
        <f t="shared" si="187"/>
        <v>0.2365620904518809</v>
      </c>
      <c r="AT138" s="162"/>
      <c r="AU138" s="162"/>
      <c r="AV138" s="162"/>
      <c r="AX138">
        <v>3</v>
      </c>
      <c r="AY138" t="s">
        <v>21</v>
      </c>
      <c r="AZ138" s="747">
        <f>AN144</f>
        <v>8.4747699611179783E-2</v>
      </c>
      <c r="BA138" s="162">
        <f t="shared" si="188"/>
        <v>0.91525230038882022</v>
      </c>
      <c r="BB138" s="749">
        <f>AN146</f>
        <v>0.12120316635554837</v>
      </c>
      <c r="BC138" s="162">
        <f t="shared" si="190"/>
        <v>0.8787968336444516</v>
      </c>
      <c r="BD138" s="162">
        <f t="shared" si="189"/>
        <v>-3.6455466744368586E-2</v>
      </c>
      <c r="BE138" s="162"/>
    </row>
    <row r="139" spans="1:57">
      <c r="AK139" s="899">
        <v>44409</v>
      </c>
      <c r="AL139" s="162">
        <f t="shared" si="181"/>
        <v>0.21438309475119291</v>
      </c>
      <c r="AM139" s="162">
        <f t="shared" si="182"/>
        <v>0.26836245289482702</v>
      </c>
      <c r="AN139" s="162">
        <f t="shared" si="183"/>
        <v>0.14702318065079367</v>
      </c>
      <c r="AO139" s="162">
        <f t="shared" si="184"/>
        <v>0.62406302546851045</v>
      </c>
      <c r="AP139" s="162">
        <f t="shared" si="185"/>
        <v>0.41735489292648287</v>
      </c>
      <c r="AQ139" s="162">
        <f t="shared" si="186"/>
        <v>0.50453389830508477</v>
      </c>
      <c r="AR139" s="162">
        <f t="shared" ref="AR139:AR144" si="191">VLOOKUP($AK139,$AK$4:$AV$131,8)</f>
        <v>0.16918727915194348</v>
      </c>
      <c r="AS139" s="162">
        <f t="shared" si="187"/>
        <v>0.20693864582694632</v>
      </c>
      <c r="AT139" s="162">
        <f t="shared" ref="AT139:AT144" si="192">VLOOKUP($AK139,$AK$4:$AV$131,10)</f>
        <v>0.31315094289642947</v>
      </c>
      <c r="AU139" s="162"/>
      <c r="AV139" s="162"/>
      <c r="AX139">
        <v>4</v>
      </c>
      <c r="AY139" t="s">
        <v>583</v>
      </c>
      <c r="AZ139" s="749">
        <f>AO144</f>
        <v>0.59978537461773085</v>
      </c>
      <c r="BA139" s="162">
        <f t="shared" si="188"/>
        <v>0.40021462538226915</v>
      </c>
      <c r="BB139" s="749">
        <f>AO146</f>
        <v>0.64374256850665867</v>
      </c>
      <c r="BC139" s="162">
        <f>1-BB139</f>
        <v>0.35625743149334133</v>
      </c>
      <c r="BD139" s="162">
        <f t="shared" si="189"/>
        <v>-4.3957193888927826E-2</v>
      </c>
      <c r="BE139" s="162"/>
    </row>
    <row r="140" spans="1:57">
      <c r="AK140" s="899">
        <v>44774</v>
      </c>
      <c r="AL140" s="162">
        <f t="shared" si="181"/>
        <v>0.23639018285475907</v>
      </c>
      <c r="AM140" s="162">
        <f t="shared" si="182"/>
        <v>0.27919149845135105</v>
      </c>
      <c r="AN140" s="162">
        <f t="shared" si="183"/>
        <v>0.14296220716330935</v>
      </c>
      <c r="AO140" s="162">
        <f t="shared" si="184"/>
        <v>0.64685724542238221</v>
      </c>
      <c r="AP140" s="162">
        <f t="shared" si="185"/>
        <v>0.42602979166920135</v>
      </c>
      <c r="AQ140" s="162">
        <f t="shared" si="186"/>
        <v>0.50959540732640785</v>
      </c>
      <c r="AR140" s="162">
        <f>VLOOKUP($AK140,$AK$4:$AV$131,8)</f>
        <v>0.19035971223021583</v>
      </c>
      <c r="AS140" s="162">
        <f t="shared" si="187"/>
        <v>0.2077985847183618</v>
      </c>
      <c r="AT140" s="162">
        <f t="shared" si="192"/>
        <v>0.28936975070174092</v>
      </c>
      <c r="AU140" s="162">
        <f t="shared" ref="AU140:AU144" si="193">VLOOKUP($AK140,$AK$4:$AV$131,11)</f>
        <v>0.40804803825679514</v>
      </c>
      <c r="AV140" s="162">
        <f>VLOOKUP($AK140,$AK$4:$AV$131,12)</f>
        <v>0.39724497130400216</v>
      </c>
      <c r="AX140">
        <v>5</v>
      </c>
      <c r="AY140" t="s">
        <v>257</v>
      </c>
      <c r="AZ140" s="750">
        <f>AP144</f>
        <v>0.37509017962308594</v>
      </c>
      <c r="BA140" s="162">
        <f t="shared" si="188"/>
        <v>0.62490982037691412</v>
      </c>
      <c r="BB140" s="750">
        <f>AP146</f>
        <v>0.38494370091940877</v>
      </c>
      <c r="BC140" s="162">
        <f t="shared" ref="BC140:BC146" si="194">1-BB140</f>
        <v>0.61505629908059123</v>
      </c>
      <c r="BD140" s="162">
        <f t="shared" si="189"/>
        <v>-9.8535212963228314E-3</v>
      </c>
      <c r="BE140" s="162"/>
    </row>
    <row r="141" spans="1:57">
      <c r="AK141" s="899">
        <v>45139</v>
      </c>
      <c r="AL141" s="162">
        <f t="shared" si="181"/>
        <v>0.22321894005212858</v>
      </c>
      <c r="AM141" s="162">
        <f t="shared" si="182"/>
        <v>0.26628828694746243</v>
      </c>
      <c r="AN141" s="162">
        <f t="shared" si="183"/>
        <v>0.1189011630024991</v>
      </c>
      <c r="AO141" s="162">
        <f t="shared" si="184"/>
        <v>0.6722611969253679</v>
      </c>
      <c r="AP141" s="162">
        <f t="shared" si="185"/>
        <v>0.4029201224328593</v>
      </c>
      <c r="AQ141" s="162">
        <f t="shared" si="186"/>
        <v>0.67447688259616578</v>
      </c>
      <c r="AR141" s="162">
        <f t="shared" si="191"/>
        <v>0.19243636363636366</v>
      </c>
      <c r="AS141" s="162">
        <f t="shared" si="187"/>
        <v>0.23067447679184089</v>
      </c>
      <c r="AT141" s="162">
        <f t="shared" si="192"/>
        <v>0.26726323220022064</v>
      </c>
      <c r="AU141" s="162">
        <f t="shared" si="193"/>
        <v>0.43799590594402477</v>
      </c>
      <c r="AV141" s="162">
        <f t="shared" ref="AV141:AV144" si="195">VLOOKUP($AK141,$AK$4:$AV$131,12)</f>
        <v>0.2807245352945405</v>
      </c>
      <c r="AX141">
        <v>6</v>
      </c>
      <c r="AY141" t="s">
        <v>118</v>
      </c>
      <c r="AZ141" s="750">
        <f>AQ144</f>
        <v>0.39093402917168468</v>
      </c>
      <c r="BA141" s="162">
        <f t="shared" si="188"/>
        <v>0.60906597082831526</v>
      </c>
      <c r="BB141" s="750">
        <f>AQ146</f>
        <v>0.50114372262340645</v>
      </c>
      <c r="BC141" s="162">
        <f t="shared" si="194"/>
        <v>0.49885627737659355</v>
      </c>
      <c r="BD141" s="162">
        <f t="shared" si="189"/>
        <v>-0.11020969345172177</v>
      </c>
      <c r="BE141" s="162"/>
    </row>
    <row r="142" spans="1:57">
      <c r="AK142" s="899">
        <v>45505</v>
      </c>
      <c r="AL142" s="162">
        <f t="shared" si="181"/>
        <v>0.17480531058533558</v>
      </c>
      <c r="AM142" s="162">
        <f t="shared" si="182"/>
        <v>0.22547260400197869</v>
      </c>
      <c r="AN142" s="162">
        <f t="shared" si="183"/>
        <v>0.10325745517193384</v>
      </c>
      <c r="AO142" s="162">
        <f t="shared" si="184"/>
        <v>0.64400585840808777</v>
      </c>
      <c r="AP142" s="162">
        <f t="shared" si="185"/>
        <v>0.41345494859907267</v>
      </c>
      <c r="AQ142" s="162">
        <f t="shared" si="186"/>
        <v>0.52395914611704086</v>
      </c>
      <c r="AR142" s="162">
        <f t="shared" si="191"/>
        <v>0.19986206896551723</v>
      </c>
      <c r="AS142" s="162">
        <f t="shared" si="187"/>
        <v>0.13784180172100083</v>
      </c>
      <c r="AT142" s="162">
        <f t="shared" si="192"/>
        <v>0.26630219841705299</v>
      </c>
      <c r="AU142" s="162">
        <f t="shared" si="193"/>
        <v>0.44453490527742456</v>
      </c>
      <c r="AV142" s="162">
        <f t="shared" si="195"/>
        <v>0.41004850343026761</v>
      </c>
      <c r="AW142" s="162"/>
      <c r="AX142">
        <v>7</v>
      </c>
      <c r="AY142" t="s">
        <v>222</v>
      </c>
      <c r="AZ142" s="750">
        <f>AR144</f>
        <v>0.20093808630393997</v>
      </c>
      <c r="BA142" s="162">
        <f t="shared" si="188"/>
        <v>0.79906191369606006</v>
      </c>
      <c r="BB142" s="750">
        <f>AR146</f>
        <v>0.19035281140380561</v>
      </c>
      <c r="BC142" s="162">
        <f t="shared" si="194"/>
        <v>0.80964718859619444</v>
      </c>
      <c r="BD142" s="162">
        <f t="shared" si="189"/>
        <v>1.0585274900134362E-2</v>
      </c>
      <c r="BE142" s="162"/>
    </row>
    <row r="143" spans="1:57">
      <c r="AK143" s="899">
        <v>45870</v>
      </c>
      <c r="AL143" s="162">
        <f t="shared" si="181"/>
        <v>0.11039781853910566</v>
      </c>
      <c r="AM143" s="162">
        <f t="shared" si="182"/>
        <v>0.17542807949049638</v>
      </c>
      <c r="AN143" s="162">
        <f t="shared" si="183"/>
        <v>8.3838117001286877E-2</v>
      </c>
      <c r="AO143" s="162">
        <f t="shared" si="184"/>
        <v>0.61455982313547464</v>
      </c>
      <c r="AP143" s="162">
        <f t="shared" si="185"/>
        <v>0.38605418467400893</v>
      </c>
      <c r="AQ143" s="162">
        <f t="shared" si="186"/>
        <v>0.41288135593220338</v>
      </c>
      <c r="AR143" s="162">
        <f t="shared" si="191"/>
        <v>0.1999186330349878</v>
      </c>
      <c r="AS143" s="162">
        <f t="shared" si="187"/>
        <v>0.18366124253797037</v>
      </c>
      <c r="AT143" s="162">
        <f t="shared" si="192"/>
        <v>0.25381881318201982</v>
      </c>
      <c r="AU143" s="162">
        <f t="shared" si="193"/>
        <v>0.1980699956668536</v>
      </c>
      <c r="AV143" s="162">
        <f t="shared" si="195"/>
        <v>0.31341877260678169</v>
      </c>
      <c r="AX143">
        <v>8</v>
      </c>
      <c r="AY143" t="s">
        <v>744</v>
      </c>
      <c r="AZ143" s="750">
        <f>AS144</f>
        <v>0.14764314968721229</v>
      </c>
      <c r="BA143" s="162">
        <f t="shared" si="188"/>
        <v>0.85235685031278774</v>
      </c>
      <c r="BB143" s="750">
        <f>AS146</f>
        <v>0.21185347097694154</v>
      </c>
      <c r="BC143" s="162">
        <f t="shared" si="194"/>
        <v>0.78814652902305848</v>
      </c>
      <c r="BD143" s="162">
        <f t="shared" si="189"/>
        <v>-6.4210321289729255E-2</v>
      </c>
      <c r="BE143" s="162"/>
    </row>
    <row r="144" spans="1:57">
      <c r="AK144" s="899">
        <v>46235</v>
      </c>
      <c r="AL144" s="162">
        <f>VLOOKUP($AK144,$AK$4:$AV$131,2)</f>
        <v>0.15226411297997183</v>
      </c>
      <c r="AM144" s="162">
        <f t="shared" si="182"/>
        <v>0.17060970373550882</v>
      </c>
      <c r="AN144" s="162">
        <f t="shared" si="183"/>
        <v>8.4747699611179783E-2</v>
      </c>
      <c r="AO144" s="162">
        <f t="shared" si="184"/>
        <v>0.59978537461773085</v>
      </c>
      <c r="AP144" s="162">
        <f t="shared" si="185"/>
        <v>0.37509017962308594</v>
      </c>
      <c r="AQ144" s="162">
        <f t="shared" si="186"/>
        <v>0.39093402917168468</v>
      </c>
      <c r="AR144" s="162">
        <f t="shared" si="191"/>
        <v>0.20093808630393997</v>
      </c>
      <c r="AS144" s="162">
        <f t="shared" si="187"/>
        <v>0.14764314968721229</v>
      </c>
      <c r="AT144" s="162">
        <f t="shared" si="192"/>
        <v>0.23177903726741866</v>
      </c>
      <c r="AU144" s="162">
        <f t="shared" si="193"/>
        <v>0.40923989729933863</v>
      </c>
      <c r="AV144" s="162">
        <f t="shared" si="195"/>
        <v>0.41341951827626544</v>
      </c>
      <c r="AX144">
        <v>9</v>
      </c>
      <c r="AY144" t="s">
        <v>65</v>
      </c>
      <c r="AZ144" s="750">
        <f>AT144</f>
        <v>0.23177903726741866</v>
      </c>
      <c r="BA144" s="162">
        <f t="shared" si="188"/>
        <v>0.76822096273258134</v>
      </c>
      <c r="BB144" s="750">
        <f>AT146</f>
        <v>0.27798098747949279</v>
      </c>
      <c r="BC144" s="162">
        <f t="shared" si="194"/>
        <v>0.72201901252050726</v>
      </c>
      <c r="BD144" s="162">
        <f t="shared" si="189"/>
        <v>-4.6201950212074128E-2</v>
      </c>
      <c r="BE144" s="162"/>
    </row>
    <row r="145" spans="37:57">
      <c r="AX145">
        <v>10</v>
      </c>
      <c r="AY145" t="s">
        <v>66</v>
      </c>
      <c r="AZ145" s="750">
        <f>AU144</f>
        <v>0.40923989729933863</v>
      </c>
      <c r="BA145" s="162">
        <f t="shared" ref="BA145:BA146" si="196">1-AZ145</f>
        <v>0.59076010270066137</v>
      </c>
      <c r="BB145" s="750">
        <f>AU146</f>
        <v>0.37216221128627452</v>
      </c>
      <c r="BC145" s="162">
        <f t="shared" si="194"/>
        <v>0.62783778871372542</v>
      </c>
      <c r="BD145" s="162">
        <f t="shared" si="189"/>
        <v>3.7077686013064104E-2</v>
      </c>
      <c r="BE145" s="162"/>
    </row>
    <row r="146" spans="37:57">
      <c r="AK146" t="s">
        <v>262</v>
      </c>
      <c r="AL146" s="162">
        <f t="shared" ref="AL146:AQ146" si="197">AVERAGE(AL135:AL143)</f>
        <v>0.2000745982523881</v>
      </c>
      <c r="AM146" s="162">
        <f t="shared" si="197"/>
        <v>0.23718033855223661</v>
      </c>
      <c r="AN146" s="162">
        <f t="shared" si="197"/>
        <v>0.12120316635554837</v>
      </c>
      <c r="AO146" s="162">
        <f t="shared" si="197"/>
        <v>0.64374256850665867</v>
      </c>
      <c r="AP146" s="162">
        <f t="shared" si="197"/>
        <v>0.38494370091940877</v>
      </c>
      <c r="AQ146" s="162">
        <f t="shared" si="197"/>
        <v>0.50114372262340645</v>
      </c>
      <c r="AR146" s="162">
        <f>AVERAGE(AR139:AR143)</f>
        <v>0.19035281140380561</v>
      </c>
      <c r="AS146" s="162">
        <f t="shared" ref="AS146" si="198">AVERAGE(AS135:AS143)</f>
        <v>0.21185347097694154</v>
      </c>
      <c r="AT146" s="162">
        <f>AVERAGE(AT139:AT143)</f>
        <v>0.27798098747949279</v>
      </c>
      <c r="AU146" s="162">
        <f>AVERAGE(AU140:AU143)</f>
        <v>0.37216221128627452</v>
      </c>
      <c r="AV146" s="162">
        <f>AVERAGE(AV140:AV143)</f>
        <v>0.350359195658898</v>
      </c>
      <c r="AX146">
        <v>11</v>
      </c>
      <c r="AY146" t="s">
        <v>217</v>
      </c>
      <c r="AZ146" s="750">
        <f>AV144</f>
        <v>0.41341951827626544</v>
      </c>
      <c r="BA146" s="162">
        <f t="shared" si="196"/>
        <v>0.58658048172373456</v>
      </c>
      <c r="BB146" s="750">
        <f>AV146</f>
        <v>0.350359195658898</v>
      </c>
      <c r="BC146" s="162">
        <f t="shared" si="194"/>
        <v>0.64964080434110194</v>
      </c>
      <c r="BD146" s="162">
        <f t="shared" si="189"/>
        <v>6.3060322617367437E-2</v>
      </c>
      <c r="BE146" s="162"/>
    </row>
    <row r="147" spans="37:57">
      <c r="AL147" s="162"/>
      <c r="AM147" s="698"/>
      <c r="AN147" s="162"/>
      <c r="AO147" s="698"/>
    </row>
    <row r="148" spans="37:57">
      <c r="AL148" s="162">
        <f>AL144-AL146</f>
        <v>-4.781048527241627E-2</v>
      </c>
      <c r="AM148" s="162">
        <f t="shared" ref="AM148:AV148" si="199">AM144-AM146</f>
        <v>-6.6570634816727786E-2</v>
      </c>
      <c r="AN148" s="162">
        <f t="shared" si="199"/>
        <v>-3.6455466744368586E-2</v>
      </c>
      <c r="AO148" s="162">
        <f t="shared" si="199"/>
        <v>-4.3957193888927826E-2</v>
      </c>
      <c r="AP148" s="706">
        <f t="shared" si="199"/>
        <v>-9.8535212963228314E-3</v>
      </c>
      <c r="AQ148" s="162">
        <f t="shared" si="199"/>
        <v>-0.11020969345172177</v>
      </c>
      <c r="AR148" s="162">
        <f t="shared" si="199"/>
        <v>1.0585274900134362E-2</v>
      </c>
      <c r="AS148" s="162">
        <f t="shared" si="199"/>
        <v>-6.4210321289729255E-2</v>
      </c>
      <c r="AT148" s="162">
        <f t="shared" si="199"/>
        <v>-4.6201950212074128E-2</v>
      </c>
      <c r="AU148" s="162">
        <f t="shared" si="199"/>
        <v>3.7077686013064104E-2</v>
      </c>
      <c r="AV148" s="162">
        <f t="shared" si="199"/>
        <v>6.3060322617367437E-2</v>
      </c>
    </row>
    <row r="149" spans="37:57">
      <c r="AM149" s="30"/>
      <c r="AO149" s="30"/>
    </row>
    <row r="150" spans="37:57">
      <c r="AL150" s="162"/>
      <c r="AM150" s="30"/>
      <c r="AN150" s="162"/>
      <c r="AO150" s="30"/>
    </row>
    <row r="151" spans="37:57">
      <c r="AL151" s="162"/>
      <c r="AM151" s="30"/>
      <c r="AN151" s="162"/>
      <c r="AO151" s="30"/>
    </row>
    <row r="152" spans="37:57">
      <c r="AL152" s="162"/>
      <c r="AM152" s="30"/>
      <c r="AN152" s="162"/>
      <c r="AO152" s="30"/>
    </row>
    <row r="153" spans="37:57">
      <c r="AL153" s="162"/>
      <c r="AM153" s="698"/>
      <c r="AN153" s="162"/>
      <c r="AO153" s="698"/>
    </row>
    <row r="154" spans="37:57">
      <c r="AM154" s="30"/>
      <c r="AO154" s="30"/>
    </row>
    <row r="155" spans="37:57">
      <c r="AL155" s="162"/>
      <c r="AM155" s="30"/>
      <c r="AN155" s="162"/>
      <c r="AO155" s="30"/>
    </row>
    <row r="156" spans="37:57">
      <c r="AL156" s="162"/>
      <c r="AM156" s="30"/>
      <c r="AN156" s="162"/>
      <c r="AO156" s="30"/>
    </row>
    <row r="157" spans="37:57">
      <c r="AL157" s="162"/>
      <c r="AM157" s="30"/>
      <c r="AN157" s="162"/>
      <c r="AO157" s="30"/>
    </row>
    <row r="158" spans="37:57">
      <c r="AL158" s="162"/>
      <c r="AM158" s="30"/>
      <c r="AN158" s="162"/>
      <c r="AO158" s="30"/>
    </row>
    <row r="159" spans="37:57">
      <c r="AL159" s="162"/>
      <c r="AM159" s="698"/>
      <c r="AN159" s="162"/>
      <c r="AO159" s="698"/>
    </row>
  </sheetData>
  <mergeCells count="33">
    <mergeCell ref="W1:AC1"/>
    <mergeCell ref="AD1:AI1"/>
    <mergeCell ref="B1:C1"/>
    <mergeCell ref="D1:E1"/>
    <mergeCell ref="H1:I1"/>
    <mergeCell ref="J1:K1"/>
    <mergeCell ref="L1:M1"/>
    <mergeCell ref="F1:G1"/>
    <mergeCell ref="B3:C3"/>
    <mergeCell ref="D3:E3"/>
    <mergeCell ref="H3:I3"/>
    <mergeCell ref="J3:K3"/>
    <mergeCell ref="L3:M3"/>
    <mergeCell ref="F3:G3"/>
    <mergeCell ref="R3:V3"/>
    <mergeCell ref="P1:Q1"/>
    <mergeCell ref="R1:V1"/>
    <mergeCell ref="N3:O3"/>
    <mergeCell ref="P3:Q3"/>
    <mergeCell ref="N1:O1"/>
    <mergeCell ref="Z125:Z126"/>
    <mergeCell ref="Z121:Z124"/>
    <mergeCell ref="Z113:Z120"/>
    <mergeCell ref="Z3:AA3"/>
    <mergeCell ref="Z80:Z81"/>
    <mergeCell ref="Z107:Z112"/>
    <mergeCell ref="Z103:Z106"/>
    <mergeCell ref="Z101:Z102"/>
    <mergeCell ref="Z97:Z100"/>
    <mergeCell ref="Z94:Z96"/>
    <mergeCell ref="Z90:Z93"/>
    <mergeCell ref="Z87:Z89"/>
    <mergeCell ref="Z82:Z86"/>
  </mergeCells>
  <hyperlinks>
    <hyperlink ref="AX1" r:id="rId1" xr:uid="{A275D4FF-05C4-4E90-B1F6-4D8101FFCCBD}"/>
  </hyperlinks>
  <pageMargins left="0.7" right="0.7" top="0.75" bottom="0.75" header="0.3" footer="0.3"/>
  <ignoredErrors>
    <ignoredError sqref="BB136:BB146" 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T185"/>
  <sheetViews>
    <sheetView tabSelected="1" zoomScale="80" zoomScaleNormal="80" workbookViewId="0">
      <pane xSplit="1" ySplit="7" topLeftCell="AE130" activePane="bottomRight" state="frozen"/>
      <selection pane="topRight" activeCell="B1" sqref="B1"/>
      <selection pane="bottomLeft" activeCell="A8" sqref="A8"/>
      <selection pane="bottomRight" activeCell="AG136" sqref="AG136:AH137"/>
    </sheetView>
  </sheetViews>
  <sheetFormatPr baseColWidth="10" defaultColWidth="11.44140625" defaultRowHeight="13.8"/>
  <cols>
    <col min="1" max="1" width="10" style="26" customWidth="1"/>
    <col min="2" max="2" width="8.44140625" customWidth="1"/>
    <col min="3" max="3" width="6.44140625" customWidth="1"/>
    <col min="4" max="4" width="5.6640625" customWidth="1"/>
    <col min="5" max="5" width="7.44140625" bestFit="1" customWidth="1"/>
    <col min="6" max="6" width="10.109375" customWidth="1"/>
    <col min="7" max="7" width="10.6640625" customWidth="1"/>
    <col min="8" max="8" width="10" customWidth="1"/>
    <col min="9" max="9" width="9.109375" customWidth="1"/>
    <col min="10" max="10" width="9.5546875" customWidth="1"/>
    <col min="11" max="11" width="10" customWidth="1"/>
    <col min="12" max="12" width="10.5546875" customWidth="1"/>
    <col min="13" max="13" width="9.6640625" customWidth="1"/>
    <col min="14" max="18" width="8.5546875" customWidth="1"/>
    <col min="19" max="19" width="10.5546875" customWidth="1"/>
    <col min="20" max="26" width="8.5546875" customWidth="1"/>
    <col min="27" max="27" width="8" customWidth="1"/>
    <col min="28" max="31" width="8.5546875" customWidth="1"/>
    <col min="32" max="32" width="9.5546875" customWidth="1"/>
    <col min="33" max="33" width="10.33203125" customWidth="1"/>
    <col min="34" max="39" width="8.5546875" customWidth="1"/>
    <col min="40" max="40" width="10.33203125" customWidth="1"/>
    <col min="41" max="41" width="9.44140625" customWidth="1"/>
    <col min="42" max="42" width="8.5546875" customWidth="1"/>
    <col min="43" max="43" width="9.6640625" customWidth="1"/>
    <col min="44" max="44" width="11.5546875" customWidth="1"/>
    <col min="45" max="45" width="8.5546875" customWidth="1"/>
    <col min="46" max="46" width="9.44140625" customWidth="1"/>
    <col min="47" max="51" width="8.5546875" customWidth="1"/>
    <col min="52" max="52" width="8.88671875" customWidth="1"/>
    <col min="53" max="54" width="8.5546875" customWidth="1"/>
    <col min="55" max="55" width="11.88671875" style="68" customWidth="1"/>
    <col min="56" max="56" width="8.44140625" style="68" customWidth="1"/>
    <col min="57" max="57" width="10.5546875" customWidth="1"/>
    <col min="58" max="58" width="10.88671875" customWidth="1"/>
    <col min="59" max="66" width="8.5546875" customWidth="1"/>
    <col min="67" max="67" width="9" customWidth="1"/>
    <col min="68" max="68" width="11" customWidth="1"/>
    <col min="69" max="76" width="8.5546875" customWidth="1"/>
    <col min="77" max="103" width="8.5546875" style="26" customWidth="1"/>
    <col min="104" max="104" width="10.5546875" customWidth="1"/>
    <col min="105" max="106" width="8.5546875" style="26" customWidth="1"/>
    <col min="107" max="114" width="8.5546875" customWidth="1"/>
    <col min="115" max="119" width="10" customWidth="1"/>
    <col min="120" max="120" width="8.44140625" customWidth="1"/>
    <col min="121" max="124" width="10" customWidth="1"/>
    <col min="125" max="125" width="10.88671875" customWidth="1"/>
    <col min="126" max="130" width="10" customWidth="1"/>
    <col min="131" max="131" width="11.44140625" customWidth="1"/>
    <col min="132" max="136" width="10" customWidth="1"/>
    <col min="137" max="137" width="10" style="6" customWidth="1"/>
    <col min="138" max="138" width="12.5546875" customWidth="1"/>
    <col min="139" max="139" width="10" style="6" customWidth="1"/>
    <col min="140" max="140" width="10" customWidth="1"/>
    <col min="141" max="141" width="10" style="6" customWidth="1"/>
    <col min="142" max="142" width="11.44140625" customWidth="1"/>
    <col min="143" max="143" width="10" style="6" customWidth="1"/>
    <col min="144" max="144" width="9.88671875" customWidth="1"/>
    <col min="145" max="145" width="10" style="6" customWidth="1"/>
    <col min="146" max="169" width="10" customWidth="1"/>
    <col min="170" max="170" width="11.33203125" customWidth="1"/>
    <col min="171" max="171" width="10" customWidth="1"/>
    <col min="172" max="172" width="11.5546875" customWidth="1"/>
    <col min="173" max="175" width="10" customWidth="1"/>
    <col min="176" max="176" width="12.6640625" customWidth="1"/>
    <col min="177" max="177" width="10" customWidth="1"/>
    <col min="178" max="178" width="11" customWidth="1"/>
    <col min="179" max="183" width="10" customWidth="1"/>
    <col min="184" max="184" width="11.5546875" customWidth="1"/>
    <col min="185" max="185" width="7.88671875" style="6" customWidth="1"/>
    <col min="186" max="189" width="10" customWidth="1"/>
    <col min="190" max="190" width="11.44140625" customWidth="1"/>
    <col min="191" max="195" width="10" customWidth="1"/>
    <col min="196" max="196" width="11.44140625" customWidth="1"/>
    <col min="197" max="200" width="10" customWidth="1"/>
    <col min="201" max="201" width="11.44140625" customWidth="1"/>
    <col min="202" max="205" width="10" customWidth="1"/>
    <col min="206" max="206" width="11.33203125" customWidth="1"/>
    <col min="207" max="221" width="10" customWidth="1"/>
    <col min="222" max="222" width="10" style="26" customWidth="1"/>
    <col min="223" max="223" width="15.44140625" customWidth="1"/>
    <col min="224" max="234" width="10" customWidth="1"/>
    <col min="235" max="235" width="13.6640625" customWidth="1"/>
    <col min="236" max="236" width="10" customWidth="1"/>
    <col min="237" max="237" width="12.33203125" customWidth="1"/>
    <col min="238" max="242" width="10" customWidth="1"/>
    <col min="243" max="243" width="11.5546875" customWidth="1"/>
    <col min="244" max="248" width="10" customWidth="1"/>
    <col min="249" max="249" width="8.88671875" customWidth="1"/>
    <col min="250" max="250" width="10.5546875" customWidth="1"/>
    <col min="251" max="258" width="10" customWidth="1"/>
    <col min="259" max="259" width="10" style="5" customWidth="1"/>
    <col min="260" max="264" width="10" customWidth="1"/>
    <col min="265" max="336" width="8.5546875" customWidth="1"/>
    <col min="338" max="338" width="9" style="58" customWidth="1"/>
    <col min="339" max="339" width="8.5546875" style="58" customWidth="1"/>
    <col min="340" max="340" width="7.33203125" style="58" customWidth="1"/>
    <col min="341" max="341" width="8.5546875" style="58" customWidth="1"/>
    <col min="342" max="342" width="6.44140625" style="58" customWidth="1"/>
    <col min="343" max="343" width="6.33203125" customWidth="1"/>
    <col min="344" max="344" width="6" style="58" customWidth="1"/>
    <col min="345" max="345" width="7" style="58" customWidth="1"/>
    <col min="346" max="346" width="8.5546875" customWidth="1"/>
    <col min="347" max="347" width="8.5546875" style="58" customWidth="1"/>
    <col min="348" max="348" width="6.88671875" style="58" customWidth="1"/>
    <col min="349" max="349" width="8.5546875" style="58" customWidth="1"/>
    <col min="350" max="350" width="8.5546875" customWidth="1"/>
    <col min="351" max="351" width="7.33203125" style="58" customWidth="1"/>
    <col min="352" max="352" width="9.33203125" style="58" customWidth="1"/>
    <col min="353" max="353" width="8.5546875" customWidth="1"/>
    <col min="354" max="354" width="7.44140625" style="58" customWidth="1"/>
    <col min="355" max="355" width="8.5546875" customWidth="1"/>
    <col min="356" max="356" width="7.44140625" style="58" customWidth="1"/>
    <col min="357" max="357" width="7.44140625" customWidth="1"/>
    <col min="358" max="358" width="9.6640625" style="58" customWidth="1"/>
    <col min="359" max="361" width="8.5546875" style="58" customWidth="1"/>
    <col min="362" max="362" width="6.88671875" style="58" customWidth="1"/>
    <col min="363" max="363" width="8.5546875" style="58" customWidth="1"/>
    <col min="364" max="364" width="10.33203125" style="58" customWidth="1"/>
    <col min="365" max="369" width="8.5546875" style="58" customWidth="1"/>
  </cols>
  <sheetData>
    <row r="1" spans="1:369" s="36" customFormat="1">
      <c r="A1" s="35" t="s">
        <v>100</v>
      </c>
      <c r="B1" s="35" t="s">
        <v>99</v>
      </c>
      <c r="D1" s="36">
        <f>+COLUMN()</f>
        <v>4</v>
      </c>
      <c r="E1" s="36">
        <f>+COLUMN()</f>
        <v>5</v>
      </c>
      <c r="F1" s="36">
        <f>+COLUMN()</f>
        <v>6</v>
      </c>
      <c r="G1" s="36">
        <f t="shared" ref="G1:FD1" si="0">+COLUMN()</f>
        <v>7</v>
      </c>
      <c r="H1" s="36">
        <f t="shared" si="0"/>
        <v>8</v>
      </c>
      <c r="I1" s="36">
        <f t="shared" si="0"/>
        <v>9</v>
      </c>
      <c r="J1" s="36">
        <f t="shared" si="0"/>
        <v>10</v>
      </c>
      <c r="K1" s="36">
        <f t="shared" si="0"/>
        <v>11</v>
      </c>
      <c r="L1" s="36">
        <f t="shared" si="0"/>
        <v>12</v>
      </c>
      <c r="N1" s="36">
        <f t="shared" si="0"/>
        <v>14</v>
      </c>
      <c r="O1" s="36">
        <f t="shared" si="0"/>
        <v>15</v>
      </c>
      <c r="P1" s="36">
        <f t="shared" si="0"/>
        <v>16</v>
      </c>
      <c r="Q1" s="36">
        <f t="shared" si="0"/>
        <v>17</v>
      </c>
      <c r="R1" s="36">
        <f t="shared" si="0"/>
        <v>18</v>
      </c>
      <c r="S1" s="36">
        <f t="shared" si="0"/>
        <v>19</v>
      </c>
      <c r="T1" s="36">
        <f t="shared" si="0"/>
        <v>20</v>
      </c>
      <c r="U1" s="36">
        <f t="shared" si="0"/>
        <v>21</v>
      </c>
      <c r="V1" s="36">
        <f t="shared" si="0"/>
        <v>22</v>
      </c>
      <c r="W1" s="36">
        <f t="shared" si="0"/>
        <v>23</v>
      </c>
      <c r="X1" s="36">
        <f t="shared" si="0"/>
        <v>24</v>
      </c>
      <c r="Y1" s="36">
        <f t="shared" si="0"/>
        <v>25</v>
      </c>
      <c r="Z1" s="36">
        <f t="shared" si="0"/>
        <v>26</v>
      </c>
      <c r="AA1" s="36">
        <f t="shared" si="0"/>
        <v>27</v>
      </c>
      <c r="AB1" s="36">
        <f t="shared" si="0"/>
        <v>28</v>
      </c>
      <c r="AC1" s="36">
        <f t="shared" si="0"/>
        <v>29</v>
      </c>
      <c r="AD1" s="36">
        <f t="shared" si="0"/>
        <v>30</v>
      </c>
      <c r="AE1" s="36">
        <f t="shared" si="0"/>
        <v>31</v>
      </c>
      <c r="AF1" s="36">
        <f t="shared" si="0"/>
        <v>32</v>
      </c>
      <c r="AG1" s="36">
        <f t="shared" si="0"/>
        <v>33</v>
      </c>
      <c r="AH1" s="36">
        <f t="shared" si="0"/>
        <v>34</v>
      </c>
      <c r="AI1" s="36">
        <f t="shared" si="0"/>
        <v>35</v>
      </c>
      <c r="AJ1" s="36">
        <f t="shared" si="0"/>
        <v>36</v>
      </c>
      <c r="AK1" s="36">
        <f t="shared" si="0"/>
        <v>37</v>
      </c>
      <c r="AL1" s="36">
        <f t="shared" si="0"/>
        <v>38</v>
      </c>
      <c r="AM1" s="36">
        <f t="shared" si="0"/>
        <v>39</v>
      </c>
      <c r="AN1" s="36">
        <f t="shared" si="0"/>
        <v>40</v>
      </c>
      <c r="AO1" s="36">
        <f t="shared" si="0"/>
        <v>41</v>
      </c>
      <c r="AP1" s="36">
        <f t="shared" si="0"/>
        <v>42</v>
      </c>
      <c r="AQ1" s="36">
        <f t="shared" si="0"/>
        <v>43</v>
      </c>
      <c r="AR1" s="36">
        <f t="shared" si="0"/>
        <v>44</v>
      </c>
      <c r="AS1" s="36">
        <f t="shared" si="0"/>
        <v>45</v>
      </c>
      <c r="AT1" s="36">
        <f t="shared" si="0"/>
        <v>46</v>
      </c>
      <c r="AU1" s="36">
        <f t="shared" si="0"/>
        <v>47</v>
      </c>
      <c r="AV1" s="36">
        <f t="shared" si="0"/>
        <v>48</v>
      </c>
      <c r="AW1" s="36">
        <f t="shared" si="0"/>
        <v>49</v>
      </c>
      <c r="AX1" s="36">
        <f t="shared" si="0"/>
        <v>50</v>
      </c>
      <c r="AY1" s="36">
        <f t="shared" si="0"/>
        <v>51</v>
      </c>
      <c r="AZ1" s="36">
        <f t="shared" si="0"/>
        <v>52</v>
      </c>
      <c r="BA1" s="36">
        <f t="shared" si="0"/>
        <v>53</v>
      </c>
      <c r="BB1" s="36">
        <f t="shared" si="0"/>
        <v>54</v>
      </c>
      <c r="BC1" s="64">
        <f t="shared" si="0"/>
        <v>55</v>
      </c>
      <c r="BD1" s="64">
        <f t="shared" si="0"/>
        <v>56</v>
      </c>
      <c r="BE1" s="36">
        <f t="shared" si="0"/>
        <v>57</v>
      </c>
      <c r="BF1" s="36">
        <f t="shared" si="0"/>
        <v>58</v>
      </c>
      <c r="BG1" s="36">
        <f t="shared" si="0"/>
        <v>59</v>
      </c>
      <c r="BH1" s="36">
        <f t="shared" si="0"/>
        <v>60</v>
      </c>
      <c r="BI1" s="36">
        <f t="shared" si="0"/>
        <v>61</v>
      </c>
      <c r="BJ1" s="36">
        <f t="shared" si="0"/>
        <v>62</v>
      </c>
      <c r="BK1" s="36">
        <f t="shared" si="0"/>
        <v>63</v>
      </c>
      <c r="BL1" s="36">
        <f t="shared" si="0"/>
        <v>64</v>
      </c>
      <c r="BM1" s="36">
        <f t="shared" si="0"/>
        <v>65</v>
      </c>
      <c r="BN1" s="36">
        <f t="shared" si="0"/>
        <v>66</v>
      </c>
      <c r="BO1" s="36">
        <f t="shared" si="0"/>
        <v>67</v>
      </c>
      <c r="BP1" s="36">
        <f t="shared" si="0"/>
        <v>68</v>
      </c>
      <c r="BQ1" s="36">
        <f t="shared" si="0"/>
        <v>69</v>
      </c>
      <c r="BR1" s="36">
        <f t="shared" si="0"/>
        <v>70</v>
      </c>
      <c r="BS1" s="36">
        <f t="shared" si="0"/>
        <v>71</v>
      </c>
      <c r="BT1" s="36">
        <f t="shared" si="0"/>
        <v>72</v>
      </c>
      <c r="BU1" s="36">
        <f t="shared" si="0"/>
        <v>73</v>
      </c>
      <c r="BV1" s="36">
        <f t="shared" si="0"/>
        <v>74</v>
      </c>
      <c r="BW1" s="36">
        <f t="shared" si="0"/>
        <v>75</v>
      </c>
      <c r="BX1" s="36">
        <f t="shared" si="0"/>
        <v>76</v>
      </c>
      <c r="BY1" s="64">
        <f t="shared" si="0"/>
        <v>77</v>
      </c>
      <c r="BZ1" s="64">
        <f t="shared" si="0"/>
        <v>78</v>
      </c>
      <c r="CA1" s="64">
        <f t="shared" si="0"/>
        <v>79</v>
      </c>
      <c r="CB1" s="64">
        <f t="shared" si="0"/>
        <v>80</v>
      </c>
      <c r="CC1" s="64">
        <f t="shared" si="0"/>
        <v>81</v>
      </c>
      <c r="CD1" s="64">
        <f t="shared" si="0"/>
        <v>82</v>
      </c>
      <c r="CE1" s="64">
        <f t="shared" si="0"/>
        <v>83</v>
      </c>
      <c r="CF1" s="64">
        <f t="shared" si="0"/>
        <v>84</v>
      </c>
      <c r="CG1" s="64">
        <f t="shared" si="0"/>
        <v>85</v>
      </c>
      <c r="CH1" s="64">
        <f t="shared" si="0"/>
        <v>86</v>
      </c>
      <c r="CI1" s="64">
        <f t="shared" si="0"/>
        <v>87</v>
      </c>
      <c r="CJ1" s="64">
        <f t="shared" si="0"/>
        <v>88</v>
      </c>
      <c r="CK1" s="64">
        <f t="shared" si="0"/>
        <v>89</v>
      </c>
      <c r="CL1" s="64">
        <f t="shared" si="0"/>
        <v>90</v>
      </c>
      <c r="CM1" s="64">
        <f t="shared" si="0"/>
        <v>91</v>
      </c>
      <c r="CN1" s="64">
        <f t="shared" si="0"/>
        <v>92</v>
      </c>
      <c r="CO1" s="64">
        <f t="shared" si="0"/>
        <v>93</v>
      </c>
      <c r="CP1" s="64">
        <f t="shared" si="0"/>
        <v>94</v>
      </c>
      <c r="CQ1" s="64">
        <f t="shared" si="0"/>
        <v>95</v>
      </c>
      <c r="CR1" s="64">
        <f t="shared" si="0"/>
        <v>96</v>
      </c>
      <c r="CS1" s="64">
        <f t="shared" si="0"/>
        <v>97</v>
      </c>
      <c r="CT1" s="64">
        <f t="shared" si="0"/>
        <v>98</v>
      </c>
      <c r="CU1" s="64">
        <f t="shared" si="0"/>
        <v>99</v>
      </c>
      <c r="CV1" s="64">
        <f t="shared" si="0"/>
        <v>100</v>
      </c>
      <c r="CW1" s="64">
        <f t="shared" si="0"/>
        <v>101</v>
      </c>
      <c r="CX1" s="64">
        <f t="shared" si="0"/>
        <v>102</v>
      </c>
      <c r="CY1" s="64">
        <f t="shared" si="0"/>
        <v>103</v>
      </c>
      <c r="CZ1" s="64">
        <f t="shared" si="0"/>
        <v>104</v>
      </c>
      <c r="DA1" s="36">
        <f t="shared" si="0"/>
        <v>105</v>
      </c>
      <c r="DB1" s="36">
        <f t="shared" si="0"/>
        <v>106</v>
      </c>
      <c r="DC1" s="36">
        <f t="shared" si="0"/>
        <v>107</v>
      </c>
      <c r="DD1" s="36">
        <f t="shared" si="0"/>
        <v>108</v>
      </c>
      <c r="DE1" s="36">
        <f t="shared" si="0"/>
        <v>109</v>
      </c>
      <c r="DF1" s="36">
        <f t="shared" si="0"/>
        <v>110</v>
      </c>
      <c r="DG1" s="36">
        <f t="shared" si="0"/>
        <v>111</v>
      </c>
      <c r="DH1" s="36">
        <f t="shared" si="0"/>
        <v>112</v>
      </c>
      <c r="DI1" s="36">
        <f t="shared" si="0"/>
        <v>113</v>
      </c>
      <c r="DK1" s="65">
        <f t="shared" si="0"/>
        <v>115</v>
      </c>
      <c r="DL1" s="65">
        <f t="shared" si="0"/>
        <v>116</v>
      </c>
      <c r="DM1" s="65">
        <f t="shared" si="0"/>
        <v>117</v>
      </c>
      <c r="DN1" s="65">
        <f t="shared" si="0"/>
        <v>118</v>
      </c>
      <c r="DO1" s="65">
        <f t="shared" si="0"/>
        <v>119</v>
      </c>
      <c r="DP1" s="65">
        <f t="shared" si="0"/>
        <v>120</v>
      </c>
      <c r="DQ1" s="65">
        <f t="shared" si="0"/>
        <v>121</v>
      </c>
      <c r="DR1" s="65">
        <f t="shared" si="0"/>
        <v>122</v>
      </c>
      <c r="DS1" s="65">
        <f t="shared" si="0"/>
        <v>123</v>
      </c>
      <c r="DT1" s="65">
        <f t="shared" si="0"/>
        <v>124</v>
      </c>
      <c r="DU1" s="65">
        <f t="shared" si="0"/>
        <v>125</v>
      </c>
      <c r="DV1" s="65">
        <f t="shared" si="0"/>
        <v>126</v>
      </c>
      <c r="DW1" s="65">
        <f t="shared" si="0"/>
        <v>127</v>
      </c>
      <c r="DX1" s="65">
        <f t="shared" si="0"/>
        <v>128</v>
      </c>
      <c r="DY1" s="65">
        <f t="shared" si="0"/>
        <v>129</v>
      </c>
      <c r="DZ1" s="65">
        <f t="shared" si="0"/>
        <v>130</v>
      </c>
      <c r="EA1" s="65">
        <f t="shared" si="0"/>
        <v>131</v>
      </c>
      <c r="EB1" s="65">
        <f t="shared" si="0"/>
        <v>132</v>
      </c>
      <c r="EC1" s="65">
        <f t="shared" si="0"/>
        <v>133</v>
      </c>
      <c r="ED1" s="65">
        <f t="shared" si="0"/>
        <v>134</v>
      </c>
      <c r="EE1" s="65">
        <f t="shared" si="0"/>
        <v>135</v>
      </c>
      <c r="EF1" s="65">
        <f t="shared" si="0"/>
        <v>136</v>
      </c>
      <c r="EG1" s="66">
        <f t="shared" si="0"/>
        <v>137</v>
      </c>
      <c r="EH1" s="65">
        <f t="shared" si="0"/>
        <v>138</v>
      </c>
      <c r="EI1" s="66">
        <f t="shared" si="0"/>
        <v>139</v>
      </c>
      <c r="EJ1" s="65">
        <f t="shared" si="0"/>
        <v>140</v>
      </c>
      <c r="EK1" s="66">
        <f t="shared" si="0"/>
        <v>141</v>
      </c>
      <c r="EL1" s="65">
        <f t="shared" si="0"/>
        <v>142</v>
      </c>
      <c r="EM1" s="66">
        <f t="shared" si="0"/>
        <v>143</v>
      </c>
      <c r="EN1" s="65">
        <f t="shared" si="0"/>
        <v>144</v>
      </c>
      <c r="EO1" s="66">
        <f t="shared" si="0"/>
        <v>145</v>
      </c>
      <c r="EP1" s="65">
        <f t="shared" si="0"/>
        <v>146</v>
      </c>
      <c r="EQ1" s="65">
        <f t="shared" si="0"/>
        <v>147</v>
      </c>
      <c r="ER1" s="65">
        <f t="shared" si="0"/>
        <v>148</v>
      </c>
      <c r="ES1" s="65">
        <f t="shared" si="0"/>
        <v>149</v>
      </c>
      <c r="ET1" s="65">
        <f t="shared" si="0"/>
        <v>150</v>
      </c>
      <c r="EU1" s="65">
        <f t="shared" si="0"/>
        <v>151</v>
      </c>
      <c r="EV1" s="65">
        <f t="shared" si="0"/>
        <v>152</v>
      </c>
      <c r="EW1" s="65">
        <f t="shared" si="0"/>
        <v>153</v>
      </c>
      <c r="EX1" s="65">
        <f t="shared" si="0"/>
        <v>154</v>
      </c>
      <c r="EY1" s="65">
        <f t="shared" si="0"/>
        <v>155</v>
      </c>
      <c r="EZ1" s="65">
        <f t="shared" si="0"/>
        <v>156</v>
      </c>
      <c r="FA1" s="65">
        <f t="shared" si="0"/>
        <v>157</v>
      </c>
      <c r="FB1" s="65">
        <f t="shared" si="0"/>
        <v>158</v>
      </c>
      <c r="FC1" s="65">
        <f t="shared" si="0"/>
        <v>159</v>
      </c>
      <c r="FD1" s="65">
        <f t="shared" si="0"/>
        <v>160</v>
      </c>
      <c r="FE1" s="65"/>
      <c r="FF1" s="65">
        <f t="shared" ref="FF1:HQ1" si="1">+COLUMN()</f>
        <v>162</v>
      </c>
      <c r="FG1" s="65">
        <f t="shared" si="1"/>
        <v>163</v>
      </c>
      <c r="FH1" s="65">
        <f t="shared" si="1"/>
        <v>164</v>
      </c>
      <c r="FI1" s="65">
        <f t="shared" si="1"/>
        <v>165</v>
      </c>
      <c r="FJ1" s="65">
        <f t="shared" si="1"/>
        <v>166</v>
      </c>
      <c r="FK1" s="65">
        <f t="shared" si="1"/>
        <v>167</v>
      </c>
      <c r="FL1" s="65">
        <f t="shared" si="1"/>
        <v>168</v>
      </c>
      <c r="FM1" s="65">
        <f t="shared" si="1"/>
        <v>169</v>
      </c>
      <c r="FN1" s="65">
        <f t="shared" si="1"/>
        <v>170</v>
      </c>
      <c r="FO1" s="65">
        <f t="shared" si="1"/>
        <v>171</v>
      </c>
      <c r="FP1" s="65">
        <f t="shared" si="1"/>
        <v>172</v>
      </c>
      <c r="FQ1" s="65">
        <f t="shared" si="1"/>
        <v>173</v>
      </c>
      <c r="FR1" s="65">
        <f t="shared" si="1"/>
        <v>174</v>
      </c>
      <c r="FS1" s="65">
        <f t="shared" si="1"/>
        <v>175</v>
      </c>
      <c r="FT1" s="65">
        <f t="shared" si="1"/>
        <v>176</v>
      </c>
      <c r="FU1" s="65">
        <f t="shared" si="1"/>
        <v>177</v>
      </c>
      <c r="FV1" s="65">
        <f t="shared" si="1"/>
        <v>178</v>
      </c>
      <c r="FW1" s="65">
        <f t="shared" si="1"/>
        <v>179</v>
      </c>
      <c r="FX1" s="65">
        <f t="shared" si="1"/>
        <v>180</v>
      </c>
      <c r="FY1" s="65">
        <f t="shared" si="1"/>
        <v>181</v>
      </c>
      <c r="FZ1" s="65">
        <f t="shared" si="1"/>
        <v>182</v>
      </c>
      <c r="GA1" s="65">
        <f t="shared" si="1"/>
        <v>183</v>
      </c>
      <c r="GB1" s="65">
        <f t="shared" si="1"/>
        <v>184</v>
      </c>
      <c r="GC1" s="66">
        <f t="shared" si="1"/>
        <v>185</v>
      </c>
      <c r="GD1" s="65">
        <f t="shared" si="1"/>
        <v>186</v>
      </c>
      <c r="GE1" s="65">
        <f t="shared" si="1"/>
        <v>187</v>
      </c>
      <c r="GF1" s="65">
        <f t="shared" si="1"/>
        <v>188</v>
      </c>
      <c r="GG1" s="65">
        <f t="shared" si="1"/>
        <v>189</v>
      </c>
      <c r="GH1" s="65">
        <f t="shared" si="1"/>
        <v>190</v>
      </c>
      <c r="GI1" s="65">
        <f t="shared" si="1"/>
        <v>191</v>
      </c>
      <c r="GJ1" s="65">
        <f t="shared" si="1"/>
        <v>192</v>
      </c>
      <c r="GK1" s="65">
        <f t="shared" si="1"/>
        <v>193</v>
      </c>
      <c r="GL1" s="65">
        <f t="shared" si="1"/>
        <v>194</v>
      </c>
      <c r="GM1" s="65">
        <f t="shared" si="1"/>
        <v>195</v>
      </c>
      <c r="GN1" s="65">
        <f t="shared" si="1"/>
        <v>196</v>
      </c>
      <c r="GO1" s="65">
        <f t="shared" si="1"/>
        <v>197</v>
      </c>
      <c r="GP1" s="65">
        <f t="shared" si="1"/>
        <v>198</v>
      </c>
      <c r="GQ1" s="65">
        <f t="shared" si="1"/>
        <v>199</v>
      </c>
      <c r="GR1" s="65">
        <f t="shared" si="1"/>
        <v>200</v>
      </c>
      <c r="GS1" s="65">
        <f t="shared" si="1"/>
        <v>201</v>
      </c>
      <c r="GT1" s="65">
        <f t="shared" si="1"/>
        <v>202</v>
      </c>
      <c r="GU1" s="65">
        <f t="shared" si="1"/>
        <v>203</v>
      </c>
      <c r="GV1" s="65">
        <f t="shared" si="1"/>
        <v>204</v>
      </c>
      <c r="GW1" s="65">
        <f t="shared" si="1"/>
        <v>205</v>
      </c>
      <c r="GX1" s="65">
        <f t="shared" si="1"/>
        <v>206</v>
      </c>
      <c r="GY1" s="65">
        <f t="shared" si="1"/>
        <v>207</v>
      </c>
      <c r="GZ1" s="65">
        <f t="shared" si="1"/>
        <v>208</v>
      </c>
      <c r="HA1" s="65">
        <f t="shared" si="1"/>
        <v>209</v>
      </c>
      <c r="HB1" s="65">
        <f t="shared" si="1"/>
        <v>210</v>
      </c>
      <c r="HC1" s="65">
        <f t="shared" si="1"/>
        <v>211</v>
      </c>
      <c r="HD1" s="65">
        <f t="shared" si="1"/>
        <v>212</v>
      </c>
      <c r="HE1" s="65">
        <f t="shared" si="1"/>
        <v>213</v>
      </c>
      <c r="HF1" s="65">
        <f t="shared" si="1"/>
        <v>214</v>
      </c>
      <c r="HG1" s="65">
        <f t="shared" si="1"/>
        <v>215</v>
      </c>
      <c r="HH1" s="65">
        <f t="shared" si="1"/>
        <v>216</v>
      </c>
      <c r="HI1" s="65">
        <f t="shared" si="1"/>
        <v>217</v>
      </c>
      <c r="HJ1" s="65">
        <f t="shared" si="1"/>
        <v>218</v>
      </c>
      <c r="HK1" s="65">
        <f t="shared" si="1"/>
        <v>219</v>
      </c>
      <c r="HL1" s="65">
        <f t="shared" si="1"/>
        <v>220</v>
      </c>
      <c r="HM1" s="65">
        <f t="shared" si="1"/>
        <v>221</v>
      </c>
      <c r="HN1" s="65">
        <f t="shared" si="1"/>
        <v>222</v>
      </c>
      <c r="HO1" s="65">
        <f t="shared" si="1"/>
        <v>223</v>
      </c>
      <c r="HP1" s="65">
        <f t="shared" si="1"/>
        <v>224</v>
      </c>
      <c r="HQ1" s="65">
        <f t="shared" si="1"/>
        <v>225</v>
      </c>
      <c r="HR1" s="65"/>
      <c r="HS1" s="65">
        <f t="shared" ref="HS1:KQ1" si="2">+COLUMN()</f>
        <v>227</v>
      </c>
      <c r="HT1" s="65">
        <f t="shared" si="2"/>
        <v>228</v>
      </c>
      <c r="HU1" s="65">
        <f t="shared" si="2"/>
        <v>229</v>
      </c>
      <c r="HV1" s="65">
        <f t="shared" si="2"/>
        <v>230</v>
      </c>
      <c r="HW1" s="65">
        <f t="shared" si="2"/>
        <v>231</v>
      </c>
      <c r="HX1" s="65">
        <f t="shared" si="2"/>
        <v>232</v>
      </c>
      <c r="HY1" s="65">
        <f t="shared" si="2"/>
        <v>233</v>
      </c>
      <c r="HZ1" s="65">
        <f t="shared" si="2"/>
        <v>234</v>
      </c>
      <c r="IA1" s="65">
        <f t="shared" si="2"/>
        <v>235</v>
      </c>
      <c r="IB1" s="65">
        <f t="shared" si="2"/>
        <v>236</v>
      </c>
      <c r="IC1" s="65">
        <f t="shared" si="2"/>
        <v>237</v>
      </c>
      <c r="ID1" s="65">
        <f t="shared" si="2"/>
        <v>238</v>
      </c>
      <c r="IE1" s="65">
        <f t="shared" si="2"/>
        <v>239</v>
      </c>
      <c r="IF1" s="65">
        <f t="shared" si="2"/>
        <v>240</v>
      </c>
      <c r="IG1" s="65">
        <f t="shared" si="2"/>
        <v>241</v>
      </c>
      <c r="IH1" s="65">
        <f t="shared" si="2"/>
        <v>242</v>
      </c>
      <c r="II1" s="65">
        <f t="shared" si="2"/>
        <v>243</v>
      </c>
      <c r="IJ1" s="65">
        <f t="shared" si="2"/>
        <v>244</v>
      </c>
      <c r="IK1" s="65">
        <f t="shared" si="2"/>
        <v>245</v>
      </c>
      <c r="IL1" s="65">
        <f t="shared" si="2"/>
        <v>246</v>
      </c>
      <c r="IM1" s="65">
        <f t="shared" si="2"/>
        <v>247</v>
      </c>
      <c r="IN1" s="65">
        <f t="shared" si="2"/>
        <v>248</v>
      </c>
      <c r="IO1" s="65">
        <f t="shared" si="2"/>
        <v>249</v>
      </c>
      <c r="IP1" s="65">
        <f t="shared" si="2"/>
        <v>250</v>
      </c>
      <c r="IQ1" s="65">
        <f t="shared" si="2"/>
        <v>251</v>
      </c>
      <c r="IR1" s="65">
        <f t="shared" si="2"/>
        <v>252</v>
      </c>
      <c r="IS1" s="65">
        <f t="shared" si="2"/>
        <v>253</v>
      </c>
      <c r="IT1" s="65">
        <f t="shared" si="2"/>
        <v>254</v>
      </c>
      <c r="IU1" s="65">
        <f t="shared" si="2"/>
        <v>255</v>
      </c>
      <c r="IV1" s="65">
        <f t="shared" si="2"/>
        <v>256</v>
      </c>
      <c r="IW1" s="65">
        <f t="shared" si="2"/>
        <v>257</v>
      </c>
      <c r="IX1" s="65">
        <f t="shared" si="2"/>
        <v>258</v>
      </c>
      <c r="IY1" s="145">
        <f t="shared" si="2"/>
        <v>259</v>
      </c>
      <c r="IZ1" s="65">
        <f t="shared" si="2"/>
        <v>260</v>
      </c>
      <c r="JA1" s="65">
        <f t="shared" si="2"/>
        <v>261</v>
      </c>
      <c r="JB1" s="65">
        <f t="shared" si="2"/>
        <v>262</v>
      </c>
      <c r="JC1" s="65">
        <f t="shared" si="2"/>
        <v>263</v>
      </c>
      <c r="JD1" s="65">
        <f t="shared" si="2"/>
        <v>264</v>
      </c>
      <c r="JF1" s="65">
        <f t="shared" si="2"/>
        <v>266</v>
      </c>
      <c r="JG1" s="65">
        <f t="shared" si="2"/>
        <v>267</v>
      </c>
      <c r="JH1" s="65">
        <f t="shared" si="2"/>
        <v>268</v>
      </c>
      <c r="JI1" s="65">
        <f t="shared" si="2"/>
        <v>269</v>
      </c>
      <c r="JJ1" s="65">
        <f t="shared" si="2"/>
        <v>270</v>
      </c>
      <c r="JK1" s="65">
        <f t="shared" si="2"/>
        <v>271</v>
      </c>
      <c r="JL1" s="65">
        <f t="shared" si="2"/>
        <v>272</v>
      </c>
      <c r="JM1" s="65">
        <f t="shared" si="2"/>
        <v>273</v>
      </c>
      <c r="JN1" s="65">
        <f t="shared" si="2"/>
        <v>274</v>
      </c>
      <c r="JO1" s="65">
        <f t="shared" si="2"/>
        <v>275</v>
      </c>
      <c r="JP1" s="65">
        <f t="shared" si="2"/>
        <v>276</v>
      </c>
      <c r="JQ1" s="65">
        <f t="shared" si="2"/>
        <v>277</v>
      </c>
      <c r="JR1" s="65">
        <f t="shared" si="2"/>
        <v>278</v>
      </c>
      <c r="JS1" s="65">
        <f t="shared" si="2"/>
        <v>279</v>
      </c>
      <c r="JT1" s="65">
        <f t="shared" si="2"/>
        <v>280</v>
      </c>
      <c r="JU1" s="65">
        <f t="shared" si="2"/>
        <v>281</v>
      </c>
      <c r="JV1" s="65">
        <f t="shared" si="2"/>
        <v>282</v>
      </c>
      <c r="JW1" s="65">
        <f t="shared" si="2"/>
        <v>283</v>
      </c>
      <c r="JX1" s="65">
        <f t="shared" si="2"/>
        <v>284</v>
      </c>
      <c r="JY1" s="65">
        <f t="shared" si="2"/>
        <v>285</v>
      </c>
      <c r="JZ1" s="65">
        <f t="shared" si="2"/>
        <v>286</v>
      </c>
      <c r="KA1" s="65">
        <f t="shared" si="2"/>
        <v>287</v>
      </c>
      <c r="KB1" s="65">
        <f t="shared" si="2"/>
        <v>288</v>
      </c>
      <c r="KC1" s="65">
        <f t="shared" si="2"/>
        <v>289</v>
      </c>
      <c r="KD1" s="65">
        <f t="shared" si="2"/>
        <v>290</v>
      </c>
      <c r="KE1" s="65">
        <f t="shared" si="2"/>
        <v>291</v>
      </c>
      <c r="KF1" s="65">
        <f t="shared" si="2"/>
        <v>292</v>
      </c>
      <c r="KG1" s="65">
        <f t="shared" si="2"/>
        <v>293</v>
      </c>
      <c r="KH1" s="65">
        <f t="shared" si="2"/>
        <v>294</v>
      </c>
      <c r="KI1" s="65">
        <f t="shared" si="2"/>
        <v>295</v>
      </c>
      <c r="KJ1" s="65">
        <f t="shared" si="2"/>
        <v>296</v>
      </c>
      <c r="KK1" s="65">
        <f t="shared" si="2"/>
        <v>297</v>
      </c>
      <c r="KL1" s="65">
        <f t="shared" si="2"/>
        <v>298</v>
      </c>
      <c r="KM1" s="65">
        <f t="shared" si="2"/>
        <v>299</v>
      </c>
      <c r="KN1" s="65">
        <f t="shared" si="2"/>
        <v>300</v>
      </c>
      <c r="KO1" s="65">
        <f t="shared" si="2"/>
        <v>301</v>
      </c>
      <c r="KP1" s="65">
        <f t="shared" si="2"/>
        <v>302</v>
      </c>
      <c r="KQ1" s="65">
        <f t="shared" si="2"/>
        <v>303</v>
      </c>
      <c r="KR1" s="65">
        <f t="shared" ref="KR1:LX1" si="3">+COLUMN()</f>
        <v>304</v>
      </c>
      <c r="KS1" s="65">
        <f t="shared" si="3"/>
        <v>305</v>
      </c>
      <c r="KT1" s="65">
        <f t="shared" si="3"/>
        <v>306</v>
      </c>
      <c r="KU1" s="65">
        <f t="shared" si="3"/>
        <v>307</v>
      </c>
      <c r="KV1" s="65">
        <f t="shared" si="3"/>
        <v>308</v>
      </c>
      <c r="KW1" s="65">
        <f t="shared" si="3"/>
        <v>309</v>
      </c>
      <c r="KX1" s="65">
        <f t="shared" si="3"/>
        <v>310</v>
      </c>
      <c r="KY1" s="65">
        <f t="shared" si="3"/>
        <v>311</v>
      </c>
      <c r="KZ1" s="65">
        <f t="shared" si="3"/>
        <v>312</v>
      </c>
      <c r="LA1" s="65">
        <f t="shared" si="3"/>
        <v>313</v>
      </c>
      <c r="LB1" s="65">
        <f t="shared" si="3"/>
        <v>314</v>
      </c>
      <c r="LC1" s="65">
        <f t="shared" si="3"/>
        <v>315</v>
      </c>
      <c r="LD1" s="65">
        <f t="shared" si="3"/>
        <v>316</v>
      </c>
      <c r="LE1" s="65">
        <f t="shared" si="3"/>
        <v>317</v>
      </c>
      <c r="LF1" s="65">
        <f t="shared" si="3"/>
        <v>318</v>
      </c>
      <c r="LG1" s="65">
        <f t="shared" si="3"/>
        <v>319</v>
      </c>
      <c r="LH1" s="65">
        <f t="shared" si="3"/>
        <v>320</v>
      </c>
      <c r="LI1" s="65">
        <f t="shared" si="3"/>
        <v>321</v>
      </c>
      <c r="LJ1" s="65">
        <f t="shared" si="3"/>
        <v>322</v>
      </c>
      <c r="LK1" s="65">
        <f t="shared" si="3"/>
        <v>323</v>
      </c>
      <c r="LL1" s="65">
        <f t="shared" si="3"/>
        <v>324</v>
      </c>
      <c r="LM1" s="65">
        <f t="shared" si="3"/>
        <v>325</v>
      </c>
      <c r="LN1" s="65">
        <f t="shared" si="3"/>
        <v>326</v>
      </c>
      <c r="LO1" s="65">
        <f t="shared" si="3"/>
        <v>327</v>
      </c>
      <c r="LP1" s="65">
        <f t="shared" si="3"/>
        <v>328</v>
      </c>
      <c r="LQ1" s="65">
        <f t="shared" si="3"/>
        <v>329</v>
      </c>
      <c r="LR1" s="65">
        <f t="shared" si="3"/>
        <v>330</v>
      </c>
      <c r="LS1" s="65">
        <f t="shared" si="3"/>
        <v>331</v>
      </c>
      <c r="LT1" s="65">
        <f t="shared" si="3"/>
        <v>332</v>
      </c>
      <c r="LU1" s="65">
        <f t="shared" si="3"/>
        <v>333</v>
      </c>
      <c r="LV1" s="65">
        <f t="shared" si="3"/>
        <v>334</v>
      </c>
      <c r="LW1" s="65">
        <f t="shared" si="3"/>
        <v>335</v>
      </c>
      <c r="LX1" s="65">
        <f t="shared" si="3"/>
        <v>336</v>
      </c>
      <c r="LZ1" s="36">
        <f t="shared" ref="LZ1:MQ1" si="4">+COLUMN()</f>
        <v>338</v>
      </c>
      <c r="MA1" s="36">
        <f t="shared" si="4"/>
        <v>339</v>
      </c>
      <c r="MB1" s="36">
        <f t="shared" si="4"/>
        <v>340</v>
      </c>
      <c r="MC1" s="36">
        <f t="shared" si="4"/>
        <v>341</v>
      </c>
      <c r="MD1" s="36">
        <f t="shared" si="4"/>
        <v>342</v>
      </c>
      <c r="ME1" s="36">
        <f t="shared" si="4"/>
        <v>343</v>
      </c>
      <c r="MF1" s="36">
        <f t="shared" si="4"/>
        <v>344</v>
      </c>
      <c r="MG1" s="36">
        <f t="shared" si="4"/>
        <v>345</v>
      </c>
      <c r="MH1" s="36">
        <f t="shared" si="4"/>
        <v>346</v>
      </c>
      <c r="MI1" s="36">
        <f t="shared" si="4"/>
        <v>347</v>
      </c>
      <c r="MJ1" s="36">
        <f t="shared" si="4"/>
        <v>348</v>
      </c>
      <c r="MK1" s="36">
        <f t="shared" si="4"/>
        <v>349</v>
      </c>
      <c r="ML1" s="36">
        <f t="shared" si="4"/>
        <v>350</v>
      </c>
      <c r="MM1" s="36">
        <f t="shared" si="4"/>
        <v>351</v>
      </c>
      <c r="MN1" s="36">
        <f t="shared" si="4"/>
        <v>352</v>
      </c>
      <c r="MO1" s="36">
        <f t="shared" si="4"/>
        <v>353</v>
      </c>
      <c r="MP1" s="36">
        <f t="shared" si="4"/>
        <v>354</v>
      </c>
      <c r="MQ1" s="36">
        <f t="shared" si="4"/>
        <v>355</v>
      </c>
      <c r="MR1" s="36">
        <f t="shared" ref="MR1:NE1" si="5">+COLUMN()</f>
        <v>356</v>
      </c>
      <c r="MS1" s="36">
        <f t="shared" si="5"/>
        <v>357</v>
      </c>
      <c r="MT1" s="36">
        <f t="shared" si="5"/>
        <v>358</v>
      </c>
      <c r="MU1" s="36">
        <f t="shared" si="5"/>
        <v>359</v>
      </c>
      <c r="MV1" s="36">
        <f t="shared" si="5"/>
        <v>360</v>
      </c>
      <c r="MW1" s="36">
        <f t="shared" si="5"/>
        <v>361</v>
      </c>
      <c r="MX1" s="36">
        <f t="shared" si="5"/>
        <v>362</v>
      </c>
      <c r="MY1" s="36">
        <f t="shared" si="5"/>
        <v>363</v>
      </c>
      <c r="MZ1" s="36">
        <f t="shared" si="5"/>
        <v>364</v>
      </c>
      <c r="NA1" s="36">
        <f t="shared" si="5"/>
        <v>365</v>
      </c>
      <c r="NB1" s="36">
        <f t="shared" si="5"/>
        <v>366</v>
      </c>
      <c r="NC1" s="36">
        <f t="shared" si="5"/>
        <v>367</v>
      </c>
      <c r="ND1" s="36">
        <f t="shared" si="5"/>
        <v>368</v>
      </c>
      <c r="NE1" s="36">
        <f t="shared" si="5"/>
        <v>369</v>
      </c>
    </row>
    <row r="2" spans="1:369" ht="15.75" customHeight="1">
      <c r="A2" s="36"/>
      <c r="B2" s="36"/>
      <c r="C2" s="36"/>
      <c r="D2" s="36"/>
      <c r="E2" s="36"/>
      <c r="F2" t="s">
        <v>50</v>
      </c>
      <c r="N2" t="s">
        <v>19</v>
      </c>
      <c r="AX2" s="7"/>
      <c r="AY2" s="7"/>
      <c r="AZ2" s="7"/>
      <c r="BA2" s="7"/>
      <c r="BE2" s="7"/>
      <c r="BF2" s="7"/>
      <c r="BH2" s="7"/>
      <c r="BI2" s="7"/>
      <c r="BY2" s="67" t="s">
        <v>1</v>
      </c>
      <c r="BZ2" s="67"/>
      <c r="CA2" s="67"/>
      <c r="CB2" s="67"/>
      <c r="CC2" s="67"/>
      <c r="CD2" s="67"/>
      <c r="CE2" s="67"/>
      <c r="CF2" s="67"/>
      <c r="CG2" s="67"/>
      <c r="CH2" s="67"/>
      <c r="CI2" s="67"/>
      <c r="CJ2" s="67"/>
      <c r="CK2" s="67"/>
      <c r="CL2" s="67"/>
      <c r="CM2" s="67"/>
      <c r="CN2" s="67"/>
      <c r="CO2" s="67"/>
      <c r="CP2" s="67"/>
      <c r="CQ2" s="67"/>
      <c r="CR2" s="67"/>
      <c r="CS2" s="67"/>
      <c r="CT2" s="67"/>
      <c r="CU2" s="67"/>
      <c r="CV2" s="67"/>
      <c r="CW2" s="67"/>
      <c r="CX2" s="67"/>
      <c r="CY2" s="67"/>
      <c r="CZ2" s="68"/>
      <c r="DK2" s="1" t="s">
        <v>1</v>
      </c>
      <c r="DL2" s="1"/>
      <c r="DM2" s="1"/>
      <c r="DN2" s="1"/>
      <c r="DO2" s="1"/>
      <c r="DP2" s="1"/>
      <c r="DQ2" s="1"/>
      <c r="DR2" s="1"/>
      <c r="DS2" s="1"/>
      <c r="DT2" s="1"/>
      <c r="DU2" s="1"/>
      <c r="DV2" s="1"/>
      <c r="DW2" s="1"/>
      <c r="DX2" s="1"/>
      <c r="DY2" s="1"/>
      <c r="DZ2" s="1"/>
      <c r="EA2" s="1"/>
      <c r="EB2" s="1"/>
      <c r="EC2" s="1"/>
      <c r="ED2" s="1"/>
      <c r="EE2" s="1"/>
      <c r="EF2" s="1"/>
      <c r="EH2" s="1"/>
      <c r="EJ2" s="1"/>
      <c r="EL2" s="1"/>
      <c r="EN2" s="1"/>
      <c r="EP2" s="1"/>
      <c r="EQ2" s="1"/>
      <c r="ER2" s="1"/>
      <c r="ES2" s="1"/>
      <c r="ET2" s="1"/>
      <c r="EU2" s="1"/>
      <c r="EV2" s="1"/>
      <c r="EW2" s="1"/>
      <c r="EX2" s="1"/>
      <c r="EY2" s="1"/>
      <c r="EZ2" s="1"/>
      <c r="FA2" s="1"/>
      <c r="FB2" s="1"/>
      <c r="FC2" s="1"/>
      <c r="FD2" s="1"/>
      <c r="FE2" s="1"/>
      <c r="FF2" s="1" t="s">
        <v>1</v>
      </c>
      <c r="FG2" s="1"/>
      <c r="FH2" s="1"/>
      <c r="FI2" s="1"/>
      <c r="FJ2" s="1"/>
      <c r="FK2" s="1"/>
      <c r="FL2" s="1"/>
      <c r="FM2" s="1"/>
      <c r="FN2" s="1"/>
      <c r="FO2" s="1"/>
      <c r="FP2" s="1"/>
      <c r="FQ2" s="1"/>
      <c r="FR2" s="1"/>
      <c r="FS2" s="1"/>
      <c r="FT2" s="1"/>
      <c r="FU2" s="1"/>
      <c r="FV2" s="1"/>
      <c r="FW2" s="1"/>
      <c r="FX2" s="1"/>
      <c r="FY2" s="1"/>
      <c r="FZ2" s="1"/>
      <c r="GA2" s="1"/>
      <c r="GB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69"/>
      <c r="HO2" s="1"/>
      <c r="HP2" s="1"/>
      <c r="HQ2" s="1"/>
      <c r="HR2" s="1"/>
      <c r="HS2" s="1"/>
      <c r="HT2" s="1"/>
      <c r="HU2" s="1"/>
      <c r="HV2" s="1"/>
      <c r="HW2" s="1"/>
      <c r="HX2" s="1"/>
      <c r="HY2" s="1"/>
      <c r="HZ2" s="1"/>
      <c r="IA2" s="1"/>
      <c r="IB2" s="1"/>
      <c r="IC2" s="1"/>
      <c r="ID2" s="1"/>
      <c r="IE2" s="1"/>
      <c r="IF2" s="1"/>
      <c r="IG2" s="1"/>
      <c r="IH2" s="1"/>
      <c r="II2" s="1"/>
      <c r="IJ2" s="1">
        <v>46466688</v>
      </c>
      <c r="IK2" s="1"/>
      <c r="IL2" s="1"/>
      <c r="IM2" s="1"/>
      <c r="IN2" s="1"/>
      <c r="IO2" s="1"/>
      <c r="IP2" s="1">
        <f>IJ2</f>
        <v>46466688</v>
      </c>
      <c r="IQ2" s="1"/>
      <c r="IR2" s="1"/>
      <c r="IS2" s="1"/>
      <c r="IT2" s="1"/>
      <c r="IU2" s="1"/>
      <c r="IV2" s="1"/>
      <c r="IW2" s="1"/>
      <c r="IX2" s="1"/>
      <c r="IZ2" s="1"/>
      <c r="JA2" s="1"/>
      <c r="JB2" s="1"/>
      <c r="JC2" s="1"/>
      <c r="JD2" s="1"/>
    </row>
    <row r="3" spans="1:369">
      <c r="A3" s="36" t="s">
        <v>317</v>
      </c>
      <c r="B3" s="36"/>
      <c r="C3" s="36"/>
      <c r="D3" s="36"/>
      <c r="E3" s="36"/>
      <c r="F3" s="70" t="s">
        <v>51</v>
      </c>
      <c r="G3" s="70" t="s">
        <v>51</v>
      </c>
      <c r="H3" s="71" t="s">
        <v>178</v>
      </c>
      <c r="I3" s="71" t="s">
        <v>178</v>
      </c>
      <c r="J3" s="71" t="s">
        <v>178</v>
      </c>
      <c r="K3" s="71" t="s">
        <v>178</v>
      </c>
      <c r="L3" s="71" t="s">
        <v>178</v>
      </c>
      <c r="N3" s="4" t="s">
        <v>3</v>
      </c>
      <c r="O3" s="4" t="s">
        <v>3</v>
      </c>
      <c r="P3" s="4" t="s">
        <v>3</v>
      </c>
      <c r="Q3" s="4" t="s">
        <v>3</v>
      </c>
      <c r="R3" s="4" t="s">
        <v>3</v>
      </c>
      <c r="S3" s="4" t="s">
        <v>3</v>
      </c>
      <c r="T3" s="4" t="s">
        <v>3</v>
      </c>
      <c r="U3" s="4" t="s">
        <v>3</v>
      </c>
      <c r="V3" s="4" t="s">
        <v>3</v>
      </c>
      <c r="W3" s="4" t="s">
        <v>3</v>
      </c>
      <c r="X3" s="4" t="s">
        <v>3</v>
      </c>
      <c r="Y3" s="4"/>
      <c r="Z3" s="4"/>
      <c r="AA3" s="4"/>
      <c r="AB3" s="4"/>
      <c r="AC3" s="4"/>
      <c r="AD3" s="4"/>
      <c r="AE3" s="4" t="s">
        <v>3</v>
      </c>
      <c r="AF3" s="4" t="s">
        <v>3</v>
      </c>
      <c r="AG3" s="4" t="s">
        <v>3</v>
      </c>
      <c r="AH3" s="4" t="s">
        <v>3</v>
      </c>
      <c r="AI3" s="4" t="s">
        <v>3</v>
      </c>
      <c r="AJ3" s="4" t="s">
        <v>3</v>
      </c>
      <c r="AK3" s="4" t="s">
        <v>3</v>
      </c>
      <c r="AL3" s="4" t="s">
        <v>3</v>
      </c>
      <c r="AM3" s="4" t="s">
        <v>3</v>
      </c>
      <c r="AN3" s="4" t="s">
        <v>3</v>
      </c>
      <c r="AO3" s="4" t="s">
        <v>3</v>
      </c>
      <c r="AP3" s="4" t="s">
        <v>3</v>
      </c>
      <c r="AQ3" s="4" t="s">
        <v>3</v>
      </c>
      <c r="AR3" s="4" t="s">
        <v>3</v>
      </c>
      <c r="AS3" s="4" t="s">
        <v>3</v>
      </c>
      <c r="AT3" s="4" t="s">
        <v>3</v>
      </c>
      <c r="AU3" s="4" t="s">
        <v>3</v>
      </c>
      <c r="AV3" s="4" t="s">
        <v>3</v>
      </c>
      <c r="AW3" s="4" t="s">
        <v>3</v>
      </c>
      <c r="AX3" s="90" t="s">
        <v>3</v>
      </c>
      <c r="AY3" s="90" t="s">
        <v>3</v>
      </c>
      <c r="AZ3" s="90" t="s">
        <v>3</v>
      </c>
      <c r="BA3" s="90" t="s">
        <v>3</v>
      </c>
      <c r="BB3" s="4" t="s">
        <v>3</v>
      </c>
      <c r="BC3" s="168" t="s">
        <v>3</v>
      </c>
      <c r="BD3" s="168" t="s">
        <v>3</v>
      </c>
      <c r="BE3" s="90" t="s">
        <v>3</v>
      </c>
      <c r="BF3" s="90" t="s">
        <v>3</v>
      </c>
      <c r="BG3" s="4" t="s">
        <v>3</v>
      </c>
      <c r="BH3" s="90" t="s">
        <v>3</v>
      </c>
      <c r="BI3" s="90" t="str">
        <f>+BH3</f>
        <v>Precio</v>
      </c>
      <c r="BJ3" s="4" t="str">
        <f>+BI3</f>
        <v>Precio</v>
      </c>
      <c r="BK3" s="4" t="s">
        <v>3</v>
      </c>
      <c r="BL3" s="4" t="s">
        <v>3</v>
      </c>
      <c r="BM3" s="4" t="s">
        <v>3</v>
      </c>
      <c r="BN3" s="4" t="s">
        <v>3</v>
      </c>
      <c r="BO3" s="4" t="s">
        <v>3</v>
      </c>
      <c r="BP3" s="4" t="s">
        <v>3</v>
      </c>
      <c r="BQ3" s="4" t="s">
        <v>3</v>
      </c>
      <c r="BR3" s="4" t="s">
        <v>3</v>
      </c>
      <c r="BS3" s="4" t="s">
        <v>3</v>
      </c>
      <c r="BT3" s="4" t="s">
        <v>3</v>
      </c>
      <c r="BU3" s="4" t="s">
        <v>3</v>
      </c>
      <c r="BV3" s="4" t="s">
        <v>3</v>
      </c>
      <c r="BW3" s="4" t="s">
        <v>3</v>
      </c>
      <c r="BY3" s="72" t="s">
        <v>5</v>
      </c>
      <c r="BZ3" s="72" t="str">
        <f>+BY3</f>
        <v>Costo</v>
      </c>
      <c r="CA3" s="72" t="str">
        <f>+BZ3</f>
        <v>Costo</v>
      </c>
      <c r="CB3" s="72" t="str">
        <f>+CA3</f>
        <v>Costo</v>
      </c>
      <c r="CC3" s="72" t="str">
        <f>+CB3</f>
        <v>Costo</v>
      </c>
      <c r="CD3" s="72" t="str">
        <f>+CH3</f>
        <v>Costo</v>
      </c>
      <c r="CE3" s="72" t="str">
        <f>+CD3</f>
        <v>Costo</v>
      </c>
      <c r="CF3" s="72" t="str">
        <f>+CE3</f>
        <v>Costo</v>
      </c>
      <c r="CG3" s="72" t="str">
        <f>+CF3</f>
        <v>Costo</v>
      </c>
      <c r="CH3" s="72" t="str">
        <f>+CC3</f>
        <v>Costo</v>
      </c>
      <c r="CI3" s="72" t="str">
        <f>+BZ3</f>
        <v>Costo</v>
      </c>
      <c r="CJ3" s="72" t="str">
        <f>+CA3</f>
        <v>Costo</v>
      </c>
      <c r="CK3" s="72" t="str">
        <f>+CB3</f>
        <v>Costo</v>
      </c>
      <c r="CL3" s="72" t="str">
        <f>+CC3</f>
        <v>Costo</v>
      </c>
      <c r="CM3" s="72" t="str">
        <f>+CH3</f>
        <v>Costo</v>
      </c>
      <c r="CN3" s="72" t="str">
        <f>+CD3</f>
        <v>Costo</v>
      </c>
      <c r="CO3" s="72" t="str">
        <f>+CE3</f>
        <v>Costo</v>
      </c>
      <c r="CP3" s="72" t="str">
        <f>+CA3</f>
        <v>Costo</v>
      </c>
      <c r="CQ3" s="72" t="str">
        <f>+CB3</f>
        <v>Costo</v>
      </c>
      <c r="CR3" s="72" t="str">
        <f>+CC3</f>
        <v>Costo</v>
      </c>
      <c r="CS3" s="72" t="str">
        <f>+CD3</f>
        <v>Costo</v>
      </c>
      <c r="CT3" s="72" t="str">
        <f>+CH3</f>
        <v>Costo</v>
      </c>
      <c r="CU3" s="72" t="str">
        <f>+CD3</f>
        <v>Costo</v>
      </c>
      <c r="CV3" s="72" t="str">
        <f>+CE3</f>
        <v>Costo</v>
      </c>
      <c r="CW3" s="72" t="str">
        <f>+CF3</f>
        <v>Costo</v>
      </c>
      <c r="CX3" s="72" t="str">
        <f>+CG3</f>
        <v>Costo</v>
      </c>
      <c r="CY3" s="72" t="str">
        <f>+CI3</f>
        <v>Costo</v>
      </c>
      <c r="CZ3" s="73" t="str">
        <f>+CJ3</f>
        <v>Costo</v>
      </c>
      <c r="DA3" s="74" t="str">
        <f>+CF3</f>
        <v>Costo</v>
      </c>
      <c r="DB3" s="74" t="str">
        <f t="shared" ref="DB3:DI3" si="6">+DA3</f>
        <v>Costo</v>
      </c>
      <c r="DC3" s="70" t="str">
        <f t="shared" si="6"/>
        <v>Costo</v>
      </c>
      <c r="DD3" s="70" t="str">
        <f t="shared" si="6"/>
        <v>Costo</v>
      </c>
      <c r="DE3" s="70" t="str">
        <f t="shared" si="6"/>
        <v>Costo</v>
      </c>
      <c r="DF3" s="70" t="str">
        <f t="shared" si="6"/>
        <v>Costo</v>
      </c>
      <c r="DG3" s="70" t="str">
        <f t="shared" si="6"/>
        <v>Costo</v>
      </c>
      <c r="DH3" s="70" t="str">
        <f t="shared" si="6"/>
        <v>Costo</v>
      </c>
      <c r="DI3" s="70" t="str">
        <f t="shared" si="6"/>
        <v>Costo</v>
      </c>
      <c r="DK3" s="20" t="s">
        <v>15</v>
      </c>
      <c r="DL3" s="20" t="str">
        <f>+DK3</f>
        <v>Área/Stock</v>
      </c>
      <c r="DM3" s="20" t="str">
        <f t="shared" ref="DM3:EG3" si="7">+DL3</f>
        <v>Área/Stock</v>
      </c>
      <c r="DN3" s="20" t="str">
        <f t="shared" si="7"/>
        <v>Área/Stock</v>
      </c>
      <c r="DO3" s="20" t="str">
        <f t="shared" si="7"/>
        <v>Área/Stock</v>
      </c>
      <c r="DP3" s="20" t="str">
        <f t="shared" si="7"/>
        <v>Área/Stock</v>
      </c>
      <c r="DQ3" s="20" t="str">
        <f t="shared" si="7"/>
        <v>Área/Stock</v>
      </c>
      <c r="DR3" s="20" t="str">
        <f t="shared" si="7"/>
        <v>Área/Stock</v>
      </c>
      <c r="DS3" s="20" t="str">
        <f t="shared" si="7"/>
        <v>Área/Stock</v>
      </c>
      <c r="DT3" s="20" t="str">
        <f t="shared" si="7"/>
        <v>Área/Stock</v>
      </c>
      <c r="DU3" s="20" t="str">
        <f>+EC3</f>
        <v>Área/Stock</v>
      </c>
      <c r="DV3" s="20" t="str">
        <f t="shared" si="7"/>
        <v>Área/Stock</v>
      </c>
      <c r="DW3" s="20" t="str">
        <f t="shared" si="7"/>
        <v>Área/Stock</v>
      </c>
      <c r="DX3" s="20" t="str">
        <f t="shared" si="7"/>
        <v>Área/Stock</v>
      </c>
      <c r="DY3" s="20" t="str">
        <f t="shared" si="7"/>
        <v>Área/Stock</v>
      </c>
      <c r="DZ3" s="20" t="str">
        <f t="shared" si="7"/>
        <v>Área/Stock</v>
      </c>
      <c r="EA3" s="20" t="str">
        <f t="shared" si="7"/>
        <v>Área/Stock</v>
      </c>
      <c r="EB3" s="20" t="str">
        <f>+DT3</f>
        <v>Área/Stock</v>
      </c>
      <c r="EC3" s="20" t="str">
        <f>+EB3</f>
        <v>Área/Stock</v>
      </c>
      <c r="ED3" s="20" t="s">
        <v>15</v>
      </c>
      <c r="EE3" s="20" t="str">
        <f t="shared" si="7"/>
        <v>Área/Stock</v>
      </c>
      <c r="EF3" s="20" t="str">
        <f>+DZ3</f>
        <v>Área/Stock</v>
      </c>
      <c r="EG3" s="142" t="str">
        <f t="shared" si="7"/>
        <v>Área/Stock</v>
      </c>
      <c r="EH3" s="20" t="str">
        <f>+EF3</f>
        <v>Área/Stock</v>
      </c>
      <c r="EI3" s="142" t="str">
        <f>+EH3</f>
        <v>Área/Stock</v>
      </c>
      <c r="EJ3" s="20" t="str">
        <f>+EH3</f>
        <v>Área/Stock</v>
      </c>
      <c r="EK3" s="142" t="str">
        <f>+EJ3</f>
        <v>Área/Stock</v>
      </c>
      <c r="EL3" s="20" t="str">
        <f>+EJ3</f>
        <v>Área/Stock</v>
      </c>
      <c r="EM3" s="142" t="str">
        <f>+EL3</f>
        <v>Área/Stock</v>
      </c>
      <c r="EN3" s="20" t="str">
        <f>+EL3</f>
        <v>Área/Stock</v>
      </c>
      <c r="EO3" s="142" t="str">
        <f t="shared" ref="EO3:FC3" si="8">+EN3</f>
        <v>Área/Stock</v>
      </c>
      <c r="EP3" s="20" t="str">
        <f t="shared" si="8"/>
        <v>Área/Stock</v>
      </c>
      <c r="EQ3" s="20" t="str">
        <f t="shared" si="8"/>
        <v>Área/Stock</v>
      </c>
      <c r="ER3" s="20" t="str">
        <f>+EQ3</f>
        <v>Área/Stock</v>
      </c>
      <c r="ES3" s="20" t="str">
        <f t="shared" si="8"/>
        <v>Área/Stock</v>
      </c>
      <c r="ET3" s="20" t="str">
        <f>+ES3</f>
        <v>Área/Stock</v>
      </c>
      <c r="EU3" s="20" t="str">
        <f>+ET3</f>
        <v>Área/Stock</v>
      </c>
      <c r="EV3" s="20" t="str">
        <f>+EU3</f>
        <v>Área/Stock</v>
      </c>
      <c r="EW3" s="20" t="str">
        <f>+EV3</f>
        <v>Área/Stock</v>
      </c>
      <c r="EX3" s="20" t="str">
        <f>+ES3</f>
        <v>Área/Stock</v>
      </c>
      <c r="EY3" s="20" t="str">
        <f t="shared" si="8"/>
        <v>Área/Stock</v>
      </c>
      <c r="EZ3" s="20" t="str">
        <f t="shared" si="8"/>
        <v>Área/Stock</v>
      </c>
      <c r="FA3" s="20" t="str">
        <f t="shared" si="8"/>
        <v>Área/Stock</v>
      </c>
      <c r="FB3" s="20" t="str">
        <f t="shared" si="8"/>
        <v>Área/Stock</v>
      </c>
      <c r="FC3" s="20" t="str">
        <f t="shared" si="8"/>
        <v>Área/Stock</v>
      </c>
      <c r="FD3" s="20" t="str">
        <f>+FB3</f>
        <v>Área/Stock</v>
      </c>
      <c r="FE3" s="1"/>
      <c r="FF3" s="21" t="s">
        <v>2</v>
      </c>
      <c r="FG3" s="21" t="s">
        <v>2</v>
      </c>
      <c r="FH3" s="21" t="s">
        <v>2</v>
      </c>
      <c r="FI3" s="21" t="s">
        <v>2</v>
      </c>
      <c r="FJ3" s="21" t="s">
        <v>2</v>
      </c>
      <c r="FK3" s="21" t="s">
        <v>2</v>
      </c>
      <c r="FL3" s="21" t="s">
        <v>2</v>
      </c>
      <c r="FM3" s="21" t="s">
        <v>2</v>
      </c>
      <c r="FN3" s="21" t="s">
        <v>2</v>
      </c>
      <c r="FO3" s="21" t="s">
        <v>2</v>
      </c>
      <c r="FP3" s="21" t="s">
        <v>2</v>
      </c>
      <c r="FQ3" s="21" t="s">
        <v>2</v>
      </c>
      <c r="FR3" s="21" t="s">
        <v>2</v>
      </c>
      <c r="FS3" s="21" t="s">
        <v>2</v>
      </c>
      <c r="FT3" s="21" t="s">
        <v>2</v>
      </c>
      <c r="FU3" s="21" t="s">
        <v>2</v>
      </c>
      <c r="FV3" s="21" t="s">
        <v>2</v>
      </c>
      <c r="FW3" s="21" t="s">
        <v>2</v>
      </c>
      <c r="FX3" s="21" t="s">
        <v>2</v>
      </c>
      <c r="FY3" s="21" t="s">
        <v>2</v>
      </c>
      <c r="FZ3" s="21" t="s">
        <v>2</v>
      </c>
      <c r="GA3" s="21" t="s">
        <v>2</v>
      </c>
      <c r="GB3" s="21" t="s">
        <v>2</v>
      </c>
      <c r="GC3" s="75" t="s">
        <v>2</v>
      </c>
      <c r="GD3" s="21" t="s">
        <v>2</v>
      </c>
      <c r="GE3" s="21" t="s">
        <v>2</v>
      </c>
      <c r="GF3" s="21" t="s">
        <v>2</v>
      </c>
      <c r="GG3" s="21" t="s">
        <v>2</v>
      </c>
      <c r="GH3" s="21" t="s">
        <v>2</v>
      </c>
      <c r="GI3" s="21" t="s">
        <v>2</v>
      </c>
      <c r="GJ3" s="21" t="str">
        <f>+GI3</f>
        <v>Producción</v>
      </c>
      <c r="GK3" s="21" t="str">
        <f>+GJ3</f>
        <v>Producción</v>
      </c>
      <c r="GL3" s="21" t="str">
        <f>+GK3</f>
        <v>Producción</v>
      </c>
      <c r="GM3" s="21" t="str">
        <f>+GL3</f>
        <v>Producción</v>
      </c>
      <c r="GN3" s="21" t="s">
        <v>2</v>
      </c>
      <c r="GO3" s="21" t="s">
        <v>2</v>
      </c>
      <c r="GP3" s="21" t="s">
        <v>2</v>
      </c>
      <c r="GQ3" s="21" t="s">
        <v>2</v>
      </c>
      <c r="GR3" s="21" t="s">
        <v>2</v>
      </c>
      <c r="GS3" s="21" t="s">
        <v>2</v>
      </c>
      <c r="GT3" s="21" t="s">
        <v>2</v>
      </c>
      <c r="GU3" s="21" t="s">
        <v>2</v>
      </c>
      <c r="GV3" s="21" t="s">
        <v>2</v>
      </c>
      <c r="GW3" s="21" t="s">
        <v>2</v>
      </c>
      <c r="GX3" s="21" t="s">
        <v>2</v>
      </c>
      <c r="GY3" s="21" t="s">
        <v>2</v>
      </c>
      <c r="GZ3" s="21" t="s">
        <v>2</v>
      </c>
      <c r="HA3" s="21" t="s">
        <v>2</v>
      </c>
      <c r="HB3" s="21" t="s">
        <v>2</v>
      </c>
      <c r="HC3" s="21" t="s">
        <v>2</v>
      </c>
      <c r="HD3" s="21" t="s">
        <v>2</v>
      </c>
      <c r="HE3" s="21" t="s">
        <v>2</v>
      </c>
      <c r="HF3" s="21" t="s">
        <v>2</v>
      </c>
      <c r="HG3" s="21" t="s">
        <v>2</v>
      </c>
      <c r="HH3" s="21" t="s">
        <v>2</v>
      </c>
      <c r="HI3" s="21" t="s">
        <v>2</v>
      </c>
      <c r="HJ3" s="21" t="s">
        <v>2</v>
      </c>
      <c r="HK3" s="21" t="s">
        <v>2</v>
      </c>
      <c r="HL3" s="21" t="s">
        <v>2</v>
      </c>
      <c r="HM3" s="21" t="s">
        <v>2</v>
      </c>
      <c r="HN3" s="21" t="s">
        <v>2</v>
      </c>
      <c r="HO3" s="21" t="s">
        <v>2</v>
      </c>
      <c r="HP3" s="21" t="s">
        <v>2</v>
      </c>
      <c r="HQ3" s="21" t="s">
        <v>2</v>
      </c>
      <c r="HR3" s="1"/>
      <c r="HS3" s="22" t="s">
        <v>9</v>
      </c>
      <c r="HT3" s="22" t="s">
        <v>9</v>
      </c>
      <c r="HU3" s="22" t="s">
        <v>9</v>
      </c>
      <c r="HV3" s="22" t="s">
        <v>9</v>
      </c>
      <c r="HW3" s="22" t="s">
        <v>9</v>
      </c>
      <c r="HX3" s="22" t="s">
        <v>9</v>
      </c>
      <c r="HY3" s="22" t="s">
        <v>9</v>
      </c>
      <c r="HZ3" s="22" t="s">
        <v>9</v>
      </c>
      <c r="IA3" s="22" t="s">
        <v>9</v>
      </c>
      <c r="IB3" s="22" t="s">
        <v>9</v>
      </c>
      <c r="IC3" s="22" t="s">
        <v>9</v>
      </c>
      <c r="ID3" s="22" t="s">
        <v>9</v>
      </c>
      <c r="IE3" s="22" t="s">
        <v>9</v>
      </c>
      <c r="IF3" s="22" t="s">
        <v>9</v>
      </c>
      <c r="IG3" s="22" t="s">
        <v>9</v>
      </c>
      <c r="IH3" s="22" t="s">
        <v>9</v>
      </c>
      <c r="II3" s="22" t="s">
        <v>9</v>
      </c>
      <c r="IJ3" s="22" t="s">
        <v>9</v>
      </c>
      <c r="IK3" s="22" t="s">
        <v>9</v>
      </c>
      <c r="IL3" s="22" t="s">
        <v>9</v>
      </c>
      <c r="IM3" s="22" t="s">
        <v>9</v>
      </c>
      <c r="IN3" s="22" t="s">
        <v>9</v>
      </c>
      <c r="IO3" s="22" t="s">
        <v>9</v>
      </c>
      <c r="IP3" s="22" t="s">
        <v>9</v>
      </c>
      <c r="IQ3" s="22" t="s">
        <v>9</v>
      </c>
      <c r="IR3" s="22" t="s">
        <v>9</v>
      </c>
      <c r="IS3" s="22" t="s">
        <v>9</v>
      </c>
      <c r="IT3" s="22" t="s">
        <v>9</v>
      </c>
      <c r="IU3" s="22" t="s">
        <v>9</v>
      </c>
      <c r="IV3" s="22" t="s">
        <v>9</v>
      </c>
      <c r="IW3" s="22" t="s">
        <v>9</v>
      </c>
      <c r="IX3" s="22" t="s">
        <v>9</v>
      </c>
      <c r="IY3" s="146" t="s">
        <v>9</v>
      </c>
      <c r="IZ3" s="22" t="s">
        <v>9</v>
      </c>
      <c r="JA3" s="22" t="s">
        <v>9</v>
      </c>
      <c r="JB3" s="22" t="s">
        <v>9</v>
      </c>
      <c r="JC3" s="22" t="s">
        <v>9</v>
      </c>
      <c r="JD3" s="22" t="s">
        <v>9</v>
      </c>
      <c r="JF3" s="4" t="s">
        <v>111</v>
      </c>
      <c r="JG3" s="4" t="s">
        <v>111</v>
      </c>
      <c r="JH3" s="4" t="s">
        <v>111</v>
      </c>
      <c r="JI3" s="4" t="s">
        <v>111</v>
      </c>
      <c r="JJ3" s="4" t="s">
        <v>111</v>
      </c>
      <c r="JK3" s="4" t="s">
        <v>111</v>
      </c>
      <c r="JL3" s="4" t="s">
        <v>111</v>
      </c>
      <c r="JM3" s="4" t="s">
        <v>111</v>
      </c>
      <c r="JN3" s="4" t="s">
        <v>111</v>
      </c>
      <c r="JO3" s="4" t="s">
        <v>111</v>
      </c>
      <c r="JP3" s="4" t="s">
        <v>111</v>
      </c>
      <c r="JQ3" s="4" t="s">
        <v>111</v>
      </c>
      <c r="JR3" s="4" t="s">
        <v>111</v>
      </c>
      <c r="JS3" s="4" t="s">
        <v>111</v>
      </c>
      <c r="JT3" s="4" t="s">
        <v>111</v>
      </c>
      <c r="JU3" s="4" t="s">
        <v>111</v>
      </c>
      <c r="JV3" s="4" t="s">
        <v>111</v>
      </c>
      <c r="JW3" s="4" t="s">
        <v>111</v>
      </c>
      <c r="JX3" s="4" t="s">
        <v>111</v>
      </c>
      <c r="JY3" s="4" t="s">
        <v>111</v>
      </c>
      <c r="JZ3" s="4" t="s">
        <v>111</v>
      </c>
      <c r="KA3" s="4" t="s">
        <v>111</v>
      </c>
      <c r="KB3" s="4" t="s">
        <v>111</v>
      </c>
      <c r="KC3" s="4" t="s">
        <v>111</v>
      </c>
      <c r="KD3" s="4" t="s">
        <v>111</v>
      </c>
      <c r="KE3" s="4" t="s">
        <v>111</v>
      </c>
      <c r="KF3" s="4" t="s">
        <v>111</v>
      </c>
      <c r="KG3" s="4" t="s">
        <v>111</v>
      </c>
      <c r="KH3" s="4" t="s">
        <v>111</v>
      </c>
      <c r="KI3" s="4" t="s">
        <v>111</v>
      </c>
      <c r="KJ3" s="4" t="s">
        <v>111</v>
      </c>
      <c r="KK3" s="43" t="s">
        <v>110</v>
      </c>
      <c r="KL3" s="43" t="s">
        <v>110</v>
      </c>
      <c r="KM3" s="43" t="s">
        <v>110</v>
      </c>
      <c r="KN3" s="43" t="s">
        <v>110</v>
      </c>
      <c r="KO3" s="43" t="s">
        <v>110</v>
      </c>
      <c r="KP3" s="43" t="s">
        <v>110</v>
      </c>
      <c r="KQ3" s="43" t="s">
        <v>110</v>
      </c>
      <c r="KR3" s="43" t="s">
        <v>110</v>
      </c>
      <c r="KS3" s="43" t="s">
        <v>110</v>
      </c>
      <c r="KT3" s="43" t="s">
        <v>110</v>
      </c>
      <c r="KU3" s="43" t="s">
        <v>110</v>
      </c>
      <c r="KV3" s="43" t="s">
        <v>110</v>
      </c>
      <c r="KW3" s="43" t="s">
        <v>110</v>
      </c>
      <c r="KX3" s="43" t="s">
        <v>110</v>
      </c>
      <c r="KY3" s="43" t="s">
        <v>110</v>
      </c>
      <c r="KZ3" s="43" t="s">
        <v>110</v>
      </c>
      <c r="LA3" s="43" t="s">
        <v>110</v>
      </c>
      <c r="LB3" s="43" t="s">
        <v>110</v>
      </c>
      <c r="LC3" s="43" t="s">
        <v>110</v>
      </c>
      <c r="LD3" s="43" t="s">
        <v>110</v>
      </c>
      <c r="LE3" s="43" t="s">
        <v>110</v>
      </c>
      <c r="LF3" s="43" t="s">
        <v>110</v>
      </c>
      <c r="LG3" s="43" t="s">
        <v>110</v>
      </c>
      <c r="LH3" s="43" t="s">
        <v>110</v>
      </c>
      <c r="LI3" s="43" t="s">
        <v>110</v>
      </c>
      <c r="LJ3" s="43" t="s">
        <v>110</v>
      </c>
      <c r="LK3" s="43" t="s">
        <v>110</v>
      </c>
      <c r="LL3" s="43" t="s">
        <v>110</v>
      </c>
      <c r="LM3" s="43" t="s">
        <v>110</v>
      </c>
      <c r="LN3" s="43" t="s">
        <v>110</v>
      </c>
      <c r="LO3" s="43" t="s">
        <v>110</v>
      </c>
      <c r="LQ3" s="4" t="s">
        <v>111</v>
      </c>
      <c r="LR3" s="4" t="s">
        <v>111</v>
      </c>
      <c r="LS3" s="4" t="s">
        <v>111</v>
      </c>
      <c r="LT3" s="4" t="s">
        <v>111</v>
      </c>
      <c r="LU3" s="43" t="s">
        <v>110</v>
      </c>
      <c r="LV3" s="43" t="s">
        <v>110</v>
      </c>
      <c r="LW3" s="43" t="s">
        <v>110</v>
      </c>
      <c r="LX3" s="43" t="s">
        <v>110</v>
      </c>
      <c r="LZ3" s="132" t="s">
        <v>347</v>
      </c>
      <c r="MA3" s="132" t="s">
        <v>347</v>
      </c>
      <c r="MB3" s="132" t="s">
        <v>347</v>
      </c>
      <c r="MC3" s="132" t="s">
        <v>347</v>
      </c>
      <c r="MD3" s="132" t="s">
        <v>347</v>
      </c>
      <c r="ME3" s="106" t="s">
        <v>347</v>
      </c>
      <c r="MF3" s="132" t="s">
        <v>347</v>
      </c>
      <c r="MG3" s="132" t="s">
        <v>347</v>
      </c>
      <c r="MH3" s="106" t="s">
        <v>347</v>
      </c>
      <c r="MI3" s="132" t="s">
        <v>347</v>
      </c>
      <c r="MJ3" s="132" t="s">
        <v>347</v>
      </c>
      <c r="MK3" s="132" t="s">
        <v>347</v>
      </c>
      <c r="ML3" s="106" t="s">
        <v>347</v>
      </c>
      <c r="MM3" s="132" t="s">
        <v>347</v>
      </c>
      <c r="MN3" s="132" t="s">
        <v>347</v>
      </c>
      <c r="MO3" s="106" t="s">
        <v>347</v>
      </c>
      <c r="MP3" s="132" t="s">
        <v>347</v>
      </c>
      <c r="MQ3" s="106" t="s">
        <v>347</v>
      </c>
      <c r="MR3" s="132" t="s">
        <v>347</v>
      </c>
      <c r="MS3" s="106" t="s">
        <v>347</v>
      </c>
      <c r="MT3" s="132" t="s">
        <v>347</v>
      </c>
      <c r="MU3" s="132" t="s">
        <v>347</v>
      </c>
      <c r="MV3" s="132" t="s">
        <v>347</v>
      </c>
      <c r="MW3" s="132" t="s">
        <v>347</v>
      </c>
      <c r="MX3" s="132" t="s">
        <v>347</v>
      </c>
      <c r="MY3" s="132" t="s">
        <v>347</v>
      </c>
      <c r="MZ3" s="132" t="s">
        <v>347</v>
      </c>
      <c r="NA3" s="132" t="s">
        <v>347</v>
      </c>
      <c r="NB3" s="132" t="s">
        <v>347</v>
      </c>
      <c r="NC3" s="132" t="s">
        <v>347</v>
      </c>
      <c r="ND3" s="132" t="s">
        <v>347</v>
      </c>
      <c r="NE3" s="132" t="s">
        <v>347</v>
      </c>
    </row>
    <row r="4" spans="1:369">
      <c r="A4" s="36" t="s">
        <v>79</v>
      </c>
      <c r="B4" s="36"/>
      <c r="C4" s="36"/>
      <c r="D4" s="36"/>
      <c r="E4" s="36"/>
      <c r="F4" t="s">
        <v>52</v>
      </c>
      <c r="G4" t="s">
        <v>10</v>
      </c>
      <c r="H4" t="s">
        <v>199</v>
      </c>
      <c r="I4" t="s">
        <v>170</v>
      </c>
      <c r="J4" t="s">
        <v>202</v>
      </c>
      <c r="K4" t="s">
        <v>202</v>
      </c>
      <c r="L4" t="s">
        <v>172</v>
      </c>
      <c r="N4" t="s">
        <v>28</v>
      </c>
      <c r="O4" t="s">
        <v>28</v>
      </c>
      <c r="P4" t="s">
        <v>28</v>
      </c>
      <c r="Q4" t="s">
        <v>13</v>
      </c>
      <c r="R4" t="s">
        <v>13</v>
      </c>
      <c r="S4" t="s">
        <v>23</v>
      </c>
      <c r="T4" t="s">
        <v>24</v>
      </c>
      <c r="U4" t="s">
        <v>0</v>
      </c>
      <c r="V4" t="s">
        <v>12</v>
      </c>
      <c r="W4" t="s">
        <v>22</v>
      </c>
      <c r="X4" t="s">
        <v>21</v>
      </c>
      <c r="Y4" t="s">
        <v>23</v>
      </c>
      <c r="Z4" t="s">
        <v>24</v>
      </c>
      <c r="AA4" t="s">
        <v>0</v>
      </c>
      <c r="AB4" t="s">
        <v>12</v>
      </c>
      <c r="AC4" t="s">
        <v>22</v>
      </c>
      <c r="AD4" t="s">
        <v>21</v>
      </c>
      <c r="AE4" t="s">
        <v>216</v>
      </c>
      <c r="AF4" t="s">
        <v>25</v>
      </c>
      <c r="AG4" t="s">
        <v>39</v>
      </c>
      <c r="AH4" t="s">
        <v>39</v>
      </c>
      <c r="AI4" t="s">
        <v>44</v>
      </c>
      <c r="AJ4" t="s">
        <v>47</v>
      </c>
      <c r="AK4" t="s">
        <v>48</v>
      </c>
      <c r="AL4" t="s">
        <v>49</v>
      </c>
      <c r="AM4" t="s">
        <v>219</v>
      </c>
      <c r="AN4" t="s">
        <v>842</v>
      </c>
      <c r="AO4" t="s">
        <v>71</v>
      </c>
      <c r="AP4" t="s">
        <v>263</v>
      </c>
      <c r="AQ4" t="s">
        <v>74</v>
      </c>
      <c r="AR4" t="s">
        <v>73</v>
      </c>
      <c r="AS4" t="s">
        <v>72</v>
      </c>
      <c r="AT4" t="s">
        <v>115</v>
      </c>
      <c r="AU4" t="s">
        <v>264</v>
      </c>
      <c r="AV4" t="s">
        <v>66</v>
      </c>
      <c r="AW4" t="s">
        <v>68</v>
      </c>
      <c r="AX4" s="7" t="s">
        <v>112</v>
      </c>
      <c r="AY4" s="7" t="s">
        <v>69</v>
      </c>
      <c r="AZ4" s="7" t="s">
        <v>113</v>
      </c>
      <c r="BA4" s="7" t="s">
        <v>114</v>
      </c>
      <c r="BB4" t="s">
        <v>217</v>
      </c>
      <c r="BC4" s="68" t="str">
        <f>+BE4</f>
        <v>Forestación</v>
      </c>
      <c r="BD4" s="68" t="str">
        <f>+BF4</f>
        <v>Forestación</v>
      </c>
      <c r="BE4" s="7" t="s">
        <v>227</v>
      </c>
      <c r="BF4" s="7" t="s">
        <v>227</v>
      </c>
      <c r="BG4" t="s">
        <v>227</v>
      </c>
      <c r="BH4" s="7" t="s">
        <v>75</v>
      </c>
      <c r="BI4" s="7" t="s">
        <v>75</v>
      </c>
      <c r="BJ4" t="str">
        <f>+BI4</f>
        <v>Tabaco</v>
      </c>
      <c r="BK4" t="s">
        <v>767</v>
      </c>
      <c r="BL4" t="s">
        <v>56</v>
      </c>
      <c r="BM4" t="s">
        <v>77</v>
      </c>
      <c r="BN4" t="s">
        <v>65</v>
      </c>
      <c r="BO4" t="s">
        <v>60</v>
      </c>
      <c r="BP4" t="s">
        <v>61</v>
      </c>
      <c r="BQ4" t="s">
        <v>215</v>
      </c>
      <c r="BR4" t="s">
        <v>62</v>
      </c>
      <c r="BS4" t="s">
        <v>63</v>
      </c>
      <c r="BT4" t="s">
        <v>64</v>
      </c>
      <c r="BU4" t="s">
        <v>120</v>
      </c>
      <c r="BV4" t="s">
        <v>76</v>
      </c>
      <c r="BW4" t="s">
        <v>76</v>
      </c>
      <c r="BY4" s="67" t="s">
        <v>28</v>
      </c>
      <c r="BZ4" s="67" t="s">
        <v>13</v>
      </c>
      <c r="CA4" s="67" t="s">
        <v>23</v>
      </c>
      <c r="CB4" s="67" t="s">
        <v>24</v>
      </c>
      <c r="CC4" s="67" t="s">
        <v>0</v>
      </c>
      <c r="CD4" s="67" t="s">
        <v>12</v>
      </c>
      <c r="CE4" s="67" t="s">
        <v>22</v>
      </c>
      <c r="CF4" s="67" t="s">
        <v>21</v>
      </c>
      <c r="CG4" s="67" t="s">
        <v>216</v>
      </c>
      <c r="CH4" s="67" t="s">
        <v>25</v>
      </c>
      <c r="CI4" s="67" t="s">
        <v>66</v>
      </c>
      <c r="CJ4" s="67" t="s">
        <v>68</v>
      </c>
      <c r="CK4" s="67" t="s">
        <v>112</v>
      </c>
      <c r="CL4" s="67" t="s">
        <v>69</v>
      </c>
      <c r="CM4" s="67" t="s">
        <v>113</v>
      </c>
      <c r="CN4" s="67" t="s">
        <v>114</v>
      </c>
      <c r="CO4" s="67" t="s">
        <v>217</v>
      </c>
      <c r="CP4" s="67" t="s">
        <v>213</v>
      </c>
      <c r="CQ4" s="67" t="s">
        <v>70</v>
      </c>
      <c r="CR4" s="67" t="s">
        <v>71</v>
      </c>
      <c r="CS4" s="67" t="s">
        <v>263</v>
      </c>
      <c r="CT4" s="67" t="s">
        <v>214</v>
      </c>
      <c r="CU4" s="67" t="s">
        <v>73</v>
      </c>
      <c r="CV4" s="67" t="s">
        <v>72</v>
      </c>
      <c r="CW4" s="67" t="s">
        <v>115</v>
      </c>
      <c r="CX4" s="67" t="s">
        <v>264</v>
      </c>
      <c r="CY4" s="67" t="s">
        <v>39</v>
      </c>
      <c r="CZ4" s="67" t="s">
        <v>227</v>
      </c>
      <c r="DA4" s="76" t="s">
        <v>75</v>
      </c>
      <c r="DB4" s="76" t="s">
        <v>77</v>
      </c>
      <c r="DC4" s="76" t="s">
        <v>65</v>
      </c>
      <c r="DD4" s="76" t="s">
        <v>257</v>
      </c>
      <c r="DE4" s="76" t="s">
        <v>89</v>
      </c>
      <c r="DF4" s="76" t="s">
        <v>90</v>
      </c>
      <c r="DG4" s="76" t="s">
        <v>215</v>
      </c>
      <c r="DH4" s="76" t="s">
        <v>76</v>
      </c>
      <c r="DI4" s="76" t="s">
        <v>222</v>
      </c>
      <c r="DK4" s="1" t="s">
        <v>28</v>
      </c>
      <c r="DL4" s="1" t="str">
        <f>+DK4</f>
        <v>Algodón</v>
      </c>
      <c r="DM4" s="1" t="s">
        <v>13</v>
      </c>
      <c r="DN4" s="1" t="str">
        <f>+DM4</f>
        <v>Arroz</v>
      </c>
      <c r="DO4" s="1" t="s">
        <v>23</v>
      </c>
      <c r="DP4" s="1" t="str">
        <f>+DO4</f>
        <v>Cebada</v>
      </c>
      <c r="DQ4" s="1" t="s">
        <v>24</v>
      </c>
      <c r="DR4" s="1" t="str">
        <f>+DQ4</f>
        <v>Girasol</v>
      </c>
      <c r="DS4" s="1" t="s">
        <v>0</v>
      </c>
      <c r="DT4" s="1" t="str">
        <f>+DS4</f>
        <v>Maíz</v>
      </c>
      <c r="DU4" s="1" t="s">
        <v>12</v>
      </c>
      <c r="DV4" s="1" t="str">
        <f>+DU4</f>
        <v>Soja</v>
      </c>
      <c r="DW4" s="1" t="s">
        <v>22</v>
      </c>
      <c r="DX4" s="1" t="str">
        <f>+DW4</f>
        <v>Sorgo</v>
      </c>
      <c r="DY4" s="1" t="s">
        <v>21</v>
      </c>
      <c r="DZ4" s="1" t="str">
        <f>+DY4</f>
        <v>Trigo</v>
      </c>
      <c r="EA4" s="1" t="s">
        <v>216</v>
      </c>
      <c r="EB4" s="1" t="s">
        <v>25</v>
      </c>
      <c r="EC4" s="1" t="str">
        <f>+EB4</f>
        <v>Maní</v>
      </c>
      <c r="ED4" s="1" t="s">
        <v>39</v>
      </c>
      <c r="EE4" s="1" t="str">
        <f>+ED4</f>
        <v>Yerba Mate</v>
      </c>
      <c r="EF4" s="1" t="s">
        <v>226</v>
      </c>
      <c r="EG4" s="6" t="str">
        <f>+EF4</f>
        <v>Vitivinicultura</v>
      </c>
      <c r="EH4" s="1" t="s">
        <v>77</v>
      </c>
      <c r="EI4" s="6" t="s">
        <v>77</v>
      </c>
      <c r="EJ4" s="1" t="s">
        <v>121</v>
      </c>
      <c r="EK4" s="6" t="s">
        <v>121</v>
      </c>
      <c r="EL4" s="1" t="s">
        <v>120</v>
      </c>
      <c r="EM4" s="6" t="s">
        <v>120</v>
      </c>
      <c r="EN4" s="1" t="s">
        <v>119</v>
      </c>
      <c r="EO4" s="6" t="str">
        <f>+EN4</f>
        <v>Lechería</v>
      </c>
      <c r="EP4" s="1" t="s">
        <v>215</v>
      </c>
      <c r="EQ4" s="1" t="s">
        <v>76</v>
      </c>
      <c r="ER4" s="1" t="s">
        <v>229</v>
      </c>
      <c r="ES4" s="82" t="s">
        <v>116</v>
      </c>
      <c r="ET4" s="1" t="str">
        <f>+AX4</f>
        <v>Cebolla</v>
      </c>
      <c r="EU4" s="1" t="str">
        <f>+AY4</f>
        <v>Tomate</v>
      </c>
      <c r="EV4" s="1" t="str">
        <f>+AZ4</f>
        <v>Zanahoria</v>
      </c>
      <c r="EW4" s="1" t="str">
        <f>+BA4</f>
        <v>Zapallo</v>
      </c>
      <c r="EX4" s="1" t="s">
        <v>217</v>
      </c>
      <c r="EY4" s="1" t="s">
        <v>68</v>
      </c>
      <c r="EZ4" s="1" t="s">
        <v>66</v>
      </c>
      <c r="FA4" s="1" t="s">
        <v>230</v>
      </c>
      <c r="FB4" s="1" t="s">
        <v>231</v>
      </c>
      <c r="FC4" s="1" t="s">
        <v>218</v>
      </c>
      <c r="FD4" s="1" t="s">
        <v>75</v>
      </c>
      <c r="FE4" s="1"/>
      <c r="FF4" s="1" t="s">
        <v>28</v>
      </c>
      <c r="FG4" s="1" t="str">
        <f>+FF4</f>
        <v>Algodón</v>
      </c>
      <c r="FH4" s="1" t="s">
        <v>13</v>
      </c>
      <c r="FI4" s="1" t="str">
        <f>+FH4</f>
        <v>Arroz</v>
      </c>
      <c r="FJ4" s="1" t="s">
        <v>23</v>
      </c>
      <c r="FK4" s="1" t="str">
        <f>+FJ4</f>
        <v>Cebada</v>
      </c>
      <c r="FL4" s="1" t="s">
        <v>24</v>
      </c>
      <c r="FM4" s="1" t="str">
        <f>+FL4</f>
        <v>Girasol</v>
      </c>
      <c r="FN4" s="1" t="s">
        <v>0</v>
      </c>
      <c r="FO4" s="1" t="str">
        <f>+FN4</f>
        <v>Maíz</v>
      </c>
      <c r="FP4" s="1" t="s">
        <v>12</v>
      </c>
      <c r="FQ4" s="1" t="str">
        <f>+FP4</f>
        <v>Soja</v>
      </c>
      <c r="FR4" s="1" t="s">
        <v>22</v>
      </c>
      <c r="FS4" s="1" t="str">
        <f>+FR4</f>
        <v>Sorgo</v>
      </c>
      <c r="FT4" s="1" t="s">
        <v>21</v>
      </c>
      <c r="FU4" s="1" t="str">
        <f>+FT4</f>
        <v>Trigo</v>
      </c>
      <c r="FV4" s="1" t="s">
        <v>216</v>
      </c>
      <c r="FW4" s="1" t="s">
        <v>25</v>
      </c>
      <c r="FX4" s="1" t="str">
        <f>+FW4</f>
        <v>Maní</v>
      </c>
      <c r="FY4" s="1" t="s">
        <v>39</v>
      </c>
      <c r="FZ4" s="1" t="str">
        <f>+FY4</f>
        <v>Yerba Mate</v>
      </c>
      <c r="GA4" s="1" t="str">
        <f>+FZ4</f>
        <v>Yerba Mate</v>
      </c>
      <c r="GB4" s="1" t="s">
        <v>284</v>
      </c>
      <c r="GC4" s="6" t="s">
        <v>284</v>
      </c>
      <c r="GD4" s="1" t="str">
        <f>+AQ4</f>
        <v>Limón</v>
      </c>
      <c r="GE4" s="1" t="str">
        <f>+AR4</f>
        <v>Mandarina</v>
      </c>
      <c r="GF4" s="1" t="str">
        <f>+AS4</f>
        <v>Naranja</v>
      </c>
      <c r="GG4" s="1" t="str">
        <f>+AT4</f>
        <v>Pomelo</v>
      </c>
      <c r="GH4" s="1" t="s">
        <v>229</v>
      </c>
      <c r="GI4" s="1" t="s">
        <v>116</v>
      </c>
      <c r="GJ4" s="1" t="str">
        <f>+ET4</f>
        <v>Cebolla</v>
      </c>
      <c r="GK4" s="1" t="str">
        <f>+EU4</f>
        <v>Tomate</v>
      </c>
      <c r="GL4" s="1" t="str">
        <f>+EV4</f>
        <v>Zanahoria</v>
      </c>
      <c r="GM4" s="1" t="str">
        <f>+EW4</f>
        <v>Zapallo</v>
      </c>
      <c r="GN4" s="1" t="s">
        <v>217</v>
      </c>
      <c r="GO4" s="1" t="s">
        <v>68</v>
      </c>
      <c r="GP4" s="1" t="s">
        <v>76</v>
      </c>
      <c r="GQ4" s="1" t="s">
        <v>301</v>
      </c>
      <c r="GR4" s="1" t="s">
        <v>64</v>
      </c>
      <c r="GS4" s="1" t="s">
        <v>222</v>
      </c>
      <c r="GT4" s="1" t="s">
        <v>66</v>
      </c>
      <c r="GU4" s="1" t="s">
        <v>71</v>
      </c>
      <c r="GV4" s="1" t="s">
        <v>70</v>
      </c>
      <c r="GW4" s="1" t="s">
        <v>263</v>
      </c>
      <c r="GX4" s="1" t="s">
        <v>75</v>
      </c>
      <c r="GY4" s="1" t="s">
        <v>75</v>
      </c>
      <c r="GZ4" s="1" t="s">
        <v>75</v>
      </c>
      <c r="HA4" s="1" t="s">
        <v>77</v>
      </c>
      <c r="HB4" s="1" t="s">
        <v>77</v>
      </c>
      <c r="HC4" s="1" t="str">
        <f>+HB4</f>
        <v>Bovinos</v>
      </c>
      <c r="HD4" s="1" t="s">
        <v>121</v>
      </c>
      <c r="HE4" s="1" t="str">
        <f>+HD4</f>
        <v>Porcinos</v>
      </c>
      <c r="HF4" s="1" t="str">
        <f>+HE4</f>
        <v>Porcinos</v>
      </c>
      <c r="HG4" s="1" t="s">
        <v>118</v>
      </c>
      <c r="HH4" s="1" t="str">
        <f>+HG4</f>
        <v>Aviar</v>
      </c>
      <c r="HI4" s="1" t="str">
        <f>+HH4</f>
        <v>Aviar</v>
      </c>
      <c r="HJ4" s="1" t="s">
        <v>118</v>
      </c>
      <c r="HK4" s="1" t="str">
        <f>+HJ4</f>
        <v>Aviar</v>
      </c>
      <c r="HL4" s="1" t="str">
        <f>+HK4</f>
        <v>Aviar</v>
      </c>
      <c r="HM4" s="1" t="str">
        <f>+HL4</f>
        <v>Aviar</v>
      </c>
      <c r="HN4" s="69" t="s">
        <v>119</v>
      </c>
      <c r="HO4" s="1" t="s">
        <v>119</v>
      </c>
      <c r="HP4" s="1" t="str">
        <f>+HO4</f>
        <v>Lechería</v>
      </c>
      <c r="HQ4" s="1" t="str">
        <f>+HP4</f>
        <v>Lechería</v>
      </c>
      <c r="HR4" s="1"/>
      <c r="HS4" s="77" t="str">
        <f t="shared" ref="HS4:IB5" si="9">+FF4</f>
        <v>Algodón</v>
      </c>
      <c r="HT4" s="77" t="str">
        <f t="shared" si="9"/>
        <v>Algodón</v>
      </c>
      <c r="HU4" s="1" t="str">
        <f t="shared" si="9"/>
        <v>Arroz</v>
      </c>
      <c r="HV4" s="1" t="str">
        <f t="shared" si="9"/>
        <v>Arroz</v>
      </c>
      <c r="HW4" s="1" t="str">
        <f t="shared" si="9"/>
        <v>Cebada</v>
      </c>
      <c r="HX4" s="1" t="str">
        <f t="shared" si="9"/>
        <v>Cebada</v>
      </c>
      <c r="HY4" s="1" t="str">
        <f t="shared" si="9"/>
        <v>Girasol</v>
      </c>
      <c r="HZ4" s="1" t="str">
        <f t="shared" si="9"/>
        <v>Girasol</v>
      </c>
      <c r="IA4" s="1" t="str">
        <f t="shared" si="9"/>
        <v>Maíz</v>
      </c>
      <c r="IB4" s="1" t="str">
        <f t="shared" si="9"/>
        <v>Maíz</v>
      </c>
      <c r="IC4" s="1" t="str">
        <f t="shared" ref="IC4:IK5" si="10">+FP4</f>
        <v>Soja</v>
      </c>
      <c r="ID4" s="1" t="str">
        <f t="shared" si="10"/>
        <v>Soja</v>
      </c>
      <c r="IE4" s="1" t="str">
        <f t="shared" si="10"/>
        <v>Sorgo</v>
      </c>
      <c r="IF4" s="1" t="str">
        <f t="shared" si="10"/>
        <v>Sorgo</v>
      </c>
      <c r="IG4" s="1" t="str">
        <f t="shared" si="10"/>
        <v>Trigo</v>
      </c>
      <c r="IH4" s="1" t="str">
        <f t="shared" si="10"/>
        <v>Trigo</v>
      </c>
      <c r="II4" s="1" t="str">
        <f t="shared" si="10"/>
        <v>Granos</v>
      </c>
      <c r="IJ4" s="1" t="str">
        <f t="shared" si="10"/>
        <v>Maní</v>
      </c>
      <c r="IK4" s="1" t="str">
        <f t="shared" si="10"/>
        <v>Maní</v>
      </c>
      <c r="IL4" s="1" t="s">
        <v>215</v>
      </c>
      <c r="IM4" s="1" t="s">
        <v>77</v>
      </c>
      <c r="IN4" s="1" t="s">
        <v>241</v>
      </c>
      <c r="IO4" s="1" t="s">
        <v>121</v>
      </c>
      <c r="IP4" s="1" t="s">
        <v>39</v>
      </c>
      <c r="IQ4" s="1" t="s">
        <v>226</v>
      </c>
      <c r="IR4" s="1" t="str">
        <f>+GD4</f>
        <v>Limón</v>
      </c>
      <c r="IS4" s="1" t="str">
        <f>+GE4</f>
        <v>Mandarina</v>
      </c>
      <c r="IT4" s="1" t="str">
        <f>+GF4</f>
        <v>Naranja</v>
      </c>
      <c r="IU4" s="1" t="str">
        <f>+GG4</f>
        <v>Pomelo</v>
      </c>
      <c r="IV4" s="1" t="s">
        <v>264</v>
      </c>
      <c r="IW4" s="77" t="s">
        <v>116</v>
      </c>
      <c r="IX4" s="77" t="s">
        <v>217</v>
      </c>
      <c r="IY4" s="5" t="s">
        <v>68</v>
      </c>
      <c r="IZ4" s="1" t="s">
        <v>76</v>
      </c>
      <c r="JA4" s="1" t="s">
        <v>222</v>
      </c>
      <c r="JB4" s="83" t="s">
        <v>66</v>
      </c>
      <c r="JC4" s="77" t="s">
        <v>218</v>
      </c>
      <c r="JD4" s="77" t="s">
        <v>75</v>
      </c>
      <c r="JF4" t="s">
        <v>28</v>
      </c>
      <c r="JG4" t="s">
        <v>13</v>
      </c>
      <c r="JH4" t="s">
        <v>23</v>
      </c>
      <c r="JI4" t="s">
        <v>24</v>
      </c>
      <c r="JJ4" t="s">
        <v>0</v>
      </c>
      <c r="JK4" t="s">
        <v>25</v>
      </c>
      <c r="JL4" t="s">
        <v>12</v>
      </c>
      <c r="JM4" t="s">
        <v>22</v>
      </c>
      <c r="JN4" t="s">
        <v>21</v>
      </c>
      <c r="JO4" t="s">
        <v>66</v>
      </c>
      <c r="JP4" t="s">
        <v>68</v>
      </c>
      <c r="JQ4" t="s">
        <v>112</v>
      </c>
      <c r="JR4" t="s">
        <v>69</v>
      </c>
      <c r="JS4" t="s">
        <v>113</v>
      </c>
      <c r="JT4" t="s">
        <v>114</v>
      </c>
      <c r="JU4" t="s">
        <v>159</v>
      </c>
      <c r="JV4" t="s">
        <v>70</v>
      </c>
      <c r="JW4" t="s">
        <v>71</v>
      </c>
      <c r="JX4" t="s">
        <v>74</v>
      </c>
      <c r="JY4" t="s">
        <v>73</v>
      </c>
      <c r="JZ4" t="s">
        <v>72</v>
      </c>
      <c r="KA4" t="s">
        <v>115</v>
      </c>
      <c r="KB4" t="s">
        <v>116</v>
      </c>
      <c r="KC4" t="s">
        <v>75</v>
      </c>
      <c r="KD4" t="s">
        <v>39</v>
      </c>
      <c r="KE4" t="s">
        <v>117</v>
      </c>
      <c r="KF4" t="s">
        <v>118</v>
      </c>
      <c r="KG4" t="s">
        <v>77</v>
      </c>
      <c r="KH4" t="s">
        <v>119</v>
      </c>
      <c r="KI4" t="s">
        <v>120</v>
      </c>
      <c r="KJ4" t="s">
        <v>121</v>
      </c>
      <c r="KK4" t="s">
        <v>28</v>
      </c>
      <c r="KL4" t="s">
        <v>13</v>
      </c>
      <c r="KM4" t="s">
        <v>23</v>
      </c>
      <c r="KN4" t="s">
        <v>24</v>
      </c>
      <c r="KO4" t="s">
        <v>0</v>
      </c>
      <c r="KP4" t="s">
        <v>25</v>
      </c>
      <c r="KQ4" t="s">
        <v>12</v>
      </c>
      <c r="KR4" t="s">
        <v>22</v>
      </c>
      <c r="KS4" t="s">
        <v>21</v>
      </c>
      <c r="KT4" t="s">
        <v>66</v>
      </c>
      <c r="KU4" t="s">
        <v>68</v>
      </c>
      <c r="KV4" t="s">
        <v>112</v>
      </c>
      <c r="KW4" t="s">
        <v>69</v>
      </c>
      <c r="KX4" t="s">
        <v>113</v>
      </c>
      <c r="KY4" t="s">
        <v>114</v>
      </c>
      <c r="KZ4" t="s">
        <v>159</v>
      </c>
      <c r="LA4" t="s">
        <v>70</v>
      </c>
      <c r="LB4" t="s">
        <v>71</v>
      </c>
      <c r="LC4" t="s">
        <v>74</v>
      </c>
      <c r="LD4" t="s">
        <v>73</v>
      </c>
      <c r="LE4" t="s">
        <v>72</v>
      </c>
      <c r="LF4" t="s">
        <v>115</v>
      </c>
      <c r="LG4" t="s">
        <v>116</v>
      </c>
      <c r="LH4" t="s">
        <v>75</v>
      </c>
      <c r="LI4" t="s">
        <v>39</v>
      </c>
      <c r="LJ4" t="s">
        <v>117</v>
      </c>
      <c r="LK4" t="s">
        <v>118</v>
      </c>
      <c r="LL4" t="s">
        <v>77</v>
      </c>
      <c r="LM4" t="s">
        <v>119</v>
      </c>
      <c r="LN4" t="s">
        <v>120</v>
      </c>
      <c r="LO4" t="s">
        <v>121</v>
      </c>
      <c r="LQ4" t="s">
        <v>216</v>
      </c>
      <c r="LR4" t="s">
        <v>217</v>
      </c>
      <c r="LS4" t="s">
        <v>263</v>
      </c>
      <c r="LT4" t="s">
        <v>264</v>
      </c>
      <c r="LU4" t="s">
        <v>216</v>
      </c>
      <c r="LV4" t="s">
        <v>217</v>
      </c>
      <c r="LW4" t="s">
        <v>263</v>
      </c>
      <c r="LX4" t="s">
        <v>264</v>
      </c>
      <c r="LZ4" t="s">
        <v>28</v>
      </c>
      <c r="MA4" t="s">
        <v>13</v>
      </c>
      <c r="MB4" t="s">
        <v>23</v>
      </c>
      <c r="MC4" t="s">
        <v>24</v>
      </c>
      <c r="MD4" t="s">
        <v>0</v>
      </c>
      <c r="ME4" t="s">
        <v>25</v>
      </c>
      <c r="MF4" t="s">
        <v>12</v>
      </c>
      <c r="MG4" t="s">
        <v>22</v>
      </c>
      <c r="MH4" t="s">
        <v>21</v>
      </c>
      <c r="MI4" t="s">
        <v>21</v>
      </c>
      <c r="MJ4" t="s">
        <v>66</v>
      </c>
      <c r="MK4" t="s">
        <v>68</v>
      </c>
      <c r="ML4" t="s">
        <v>112</v>
      </c>
      <c r="MM4" t="s">
        <v>69</v>
      </c>
      <c r="MN4" t="s">
        <v>113</v>
      </c>
      <c r="MO4" t="s">
        <v>114</v>
      </c>
      <c r="MP4" t="s">
        <v>159</v>
      </c>
      <c r="MQ4" t="s">
        <v>70</v>
      </c>
      <c r="MR4" t="s">
        <v>71</v>
      </c>
      <c r="MS4" t="s">
        <v>74</v>
      </c>
      <c r="MT4" t="s">
        <v>73</v>
      </c>
      <c r="MU4" t="s">
        <v>72</v>
      </c>
      <c r="MV4" t="s">
        <v>115</v>
      </c>
      <c r="MW4" t="s">
        <v>116</v>
      </c>
      <c r="MX4" t="s">
        <v>75</v>
      </c>
      <c r="MY4" t="s">
        <v>39</v>
      </c>
      <c r="MZ4" t="s">
        <v>117</v>
      </c>
      <c r="NA4" t="s">
        <v>118</v>
      </c>
      <c r="NB4" t="s">
        <v>77</v>
      </c>
      <c r="NC4" t="s">
        <v>119</v>
      </c>
      <c r="ND4" t="s">
        <v>120</v>
      </c>
      <c r="NE4" t="s">
        <v>121</v>
      </c>
    </row>
    <row r="5" spans="1:369" ht="28.95" customHeight="1">
      <c r="A5" s="36" t="s">
        <v>78</v>
      </c>
      <c r="B5" s="36"/>
      <c r="C5" s="36"/>
      <c r="D5" s="36"/>
      <c r="E5" s="36"/>
      <c r="F5" t="s">
        <v>516</v>
      </c>
      <c r="G5" t="s">
        <v>54</v>
      </c>
      <c r="H5" t="s">
        <v>200</v>
      </c>
      <c r="I5" t="s">
        <v>173</v>
      </c>
      <c r="J5" t="s">
        <v>203</v>
      </c>
      <c r="K5" t="s">
        <v>204</v>
      </c>
      <c r="L5" t="s">
        <v>207</v>
      </c>
      <c r="N5" t="s">
        <v>29</v>
      </c>
      <c r="O5" t="s">
        <v>30</v>
      </c>
      <c r="P5" t="s">
        <v>262</v>
      </c>
      <c r="Q5" t="s">
        <v>34</v>
      </c>
      <c r="R5" t="s">
        <v>34</v>
      </c>
      <c r="S5" t="s">
        <v>361</v>
      </c>
      <c r="T5" t="s">
        <v>36</v>
      </c>
      <c r="U5" t="s">
        <v>419</v>
      </c>
      <c r="V5" t="s">
        <v>420</v>
      </c>
      <c r="W5" t="s">
        <v>380</v>
      </c>
      <c r="X5" t="s">
        <v>421</v>
      </c>
      <c r="Y5" t="s">
        <v>35</v>
      </c>
      <c r="Z5" t="s">
        <v>36</v>
      </c>
      <c r="AA5" t="s">
        <v>36</v>
      </c>
      <c r="AB5" t="s">
        <v>36</v>
      </c>
      <c r="AC5" t="s">
        <v>36</v>
      </c>
      <c r="AD5" t="s">
        <v>38</v>
      </c>
      <c r="AE5" t="s">
        <v>45</v>
      </c>
      <c r="AF5" t="s">
        <v>285</v>
      </c>
      <c r="AG5" t="s">
        <v>40</v>
      </c>
      <c r="AH5" t="s">
        <v>41</v>
      </c>
      <c r="AI5" t="s">
        <v>45</v>
      </c>
      <c r="AJ5" t="s">
        <v>45</v>
      </c>
      <c r="AK5" t="s">
        <v>45</v>
      </c>
      <c r="AL5" t="s">
        <v>45</v>
      </c>
      <c r="AM5" t="s">
        <v>45</v>
      </c>
      <c r="AN5" t="s">
        <v>166</v>
      </c>
      <c r="AO5" t="s">
        <v>166</v>
      </c>
      <c r="AP5" t="s">
        <v>166</v>
      </c>
      <c r="AQ5" t="s">
        <v>166</v>
      </c>
      <c r="AR5" t="s">
        <v>166</v>
      </c>
      <c r="AS5" t="s">
        <v>166</v>
      </c>
      <c r="AT5" t="s">
        <v>166</v>
      </c>
      <c r="AU5" t="s">
        <v>166</v>
      </c>
      <c r="AV5" t="s">
        <v>166</v>
      </c>
      <c r="AW5" t="s">
        <v>166</v>
      </c>
      <c r="AX5" s="7" t="s">
        <v>166</v>
      </c>
      <c r="AY5" s="7" t="s">
        <v>166</v>
      </c>
      <c r="AZ5" s="7" t="s">
        <v>166</v>
      </c>
      <c r="BA5" s="7" t="s">
        <v>166</v>
      </c>
      <c r="BB5" t="s">
        <v>166</v>
      </c>
      <c r="BC5" s="68" t="s">
        <v>331</v>
      </c>
      <c r="BD5" s="68" t="s">
        <v>332</v>
      </c>
      <c r="BE5" s="7" t="s">
        <v>319</v>
      </c>
      <c r="BF5" s="7" t="s">
        <v>320</v>
      </c>
      <c r="BG5" t="s">
        <v>80</v>
      </c>
      <c r="BH5" s="7" t="s">
        <v>306</v>
      </c>
      <c r="BI5" s="7" t="s">
        <v>307</v>
      </c>
      <c r="BJ5" t="s">
        <v>310</v>
      </c>
      <c r="BK5" t="s">
        <v>372</v>
      </c>
      <c r="BL5" t="s">
        <v>80</v>
      </c>
      <c r="BM5" t="s">
        <v>80</v>
      </c>
      <c r="BN5" t="s">
        <v>80</v>
      </c>
      <c r="BO5" t="s">
        <v>341</v>
      </c>
      <c r="BP5" t="s">
        <v>362</v>
      </c>
      <c r="BQ5" t="s">
        <v>80</v>
      </c>
      <c r="BR5" t="s">
        <v>80</v>
      </c>
      <c r="BS5" t="s">
        <v>253</v>
      </c>
      <c r="BT5" t="s">
        <v>253</v>
      </c>
      <c r="BU5" t="str">
        <f>+BT5</f>
        <v>Prom</v>
      </c>
      <c r="BV5" t="s">
        <v>780</v>
      </c>
      <c r="BW5" t="s">
        <v>781</v>
      </c>
      <c r="BY5" s="67" t="s">
        <v>11</v>
      </c>
      <c r="BZ5" s="67" t="str">
        <f>+BY5</f>
        <v>Indice</v>
      </c>
      <c r="CA5" s="67" t="str">
        <f t="shared" ref="CA5:CO5" si="11">+BZ5</f>
        <v>Indice</v>
      </c>
      <c r="CB5" s="67" t="str">
        <f t="shared" si="11"/>
        <v>Indice</v>
      </c>
      <c r="CC5" s="67" t="str">
        <f t="shared" si="11"/>
        <v>Indice</v>
      </c>
      <c r="CD5" s="67" t="str">
        <f>+CH5</f>
        <v>Indice</v>
      </c>
      <c r="CE5" s="67" t="str">
        <f t="shared" si="11"/>
        <v>Indice</v>
      </c>
      <c r="CF5" s="67" t="str">
        <f t="shared" si="11"/>
        <v>Indice</v>
      </c>
      <c r="CG5" s="67" t="str">
        <f t="shared" si="11"/>
        <v>Indice</v>
      </c>
      <c r="CH5" s="67" t="str">
        <f>+CC5</f>
        <v>Indice</v>
      </c>
      <c r="CI5" s="67" t="str">
        <f>+CF5</f>
        <v>Indice</v>
      </c>
      <c r="CJ5" s="67" t="str">
        <f t="shared" si="11"/>
        <v>Indice</v>
      </c>
      <c r="CK5" s="67" t="str">
        <f t="shared" si="11"/>
        <v>Indice</v>
      </c>
      <c r="CL5" s="67" t="str">
        <f t="shared" si="11"/>
        <v>Indice</v>
      </c>
      <c r="CM5" s="67" t="str">
        <f t="shared" si="11"/>
        <v>Indice</v>
      </c>
      <c r="CN5" s="67" t="str">
        <f t="shared" si="11"/>
        <v>Indice</v>
      </c>
      <c r="CO5" s="67" t="str">
        <f t="shared" si="11"/>
        <v>Indice</v>
      </c>
      <c r="CP5" s="67" t="s">
        <v>11</v>
      </c>
      <c r="CQ5" s="67" t="s">
        <v>11</v>
      </c>
      <c r="CR5" s="67" t="s">
        <v>11</v>
      </c>
      <c r="CS5" s="67" t="s">
        <v>11</v>
      </c>
      <c r="CT5" s="67" t="s">
        <v>11</v>
      </c>
      <c r="CU5" s="67" t="s">
        <v>11</v>
      </c>
      <c r="CV5" s="67" t="s">
        <v>11</v>
      </c>
      <c r="CW5" s="67" t="s">
        <v>11</v>
      </c>
      <c r="CX5" s="67" t="s">
        <v>11</v>
      </c>
      <c r="CY5" s="67" t="s">
        <v>11</v>
      </c>
      <c r="CZ5" s="67" t="s">
        <v>11</v>
      </c>
      <c r="DA5" s="76" t="s">
        <v>11</v>
      </c>
      <c r="DB5" s="76" t="str">
        <f t="shared" ref="DB5:DH5" si="12">+DA5</f>
        <v>Indice</v>
      </c>
      <c r="DC5" s="76" t="str">
        <f t="shared" si="12"/>
        <v>Indice</v>
      </c>
      <c r="DD5" s="76" t="str">
        <f t="shared" si="12"/>
        <v>Indice</v>
      </c>
      <c r="DE5" s="76" t="str">
        <f t="shared" si="12"/>
        <v>Indice</v>
      </c>
      <c r="DF5" s="76" t="str">
        <f t="shared" si="12"/>
        <v>Indice</v>
      </c>
      <c r="DG5" s="76" t="str">
        <f t="shared" si="12"/>
        <v>Indice</v>
      </c>
      <c r="DH5" s="76" t="str">
        <f t="shared" si="12"/>
        <v>Indice</v>
      </c>
      <c r="DI5" s="76" t="s">
        <v>11</v>
      </c>
      <c r="DK5" s="1" t="s">
        <v>265</v>
      </c>
      <c r="DL5" s="1" t="s">
        <v>105</v>
      </c>
      <c r="DM5" s="1" t="s">
        <v>265</v>
      </c>
      <c r="DN5" s="1" t="s">
        <v>105</v>
      </c>
      <c r="DO5" s="1" t="s">
        <v>265</v>
      </c>
      <c r="DP5" s="1" t="s">
        <v>105</v>
      </c>
      <c r="DQ5" s="1" t="s">
        <v>265</v>
      </c>
      <c r="DR5" s="1" t="s">
        <v>105</v>
      </c>
      <c r="DS5" s="1" t="s">
        <v>265</v>
      </c>
      <c r="DT5" s="1" t="s">
        <v>105</v>
      </c>
      <c r="DU5" s="1" t="s">
        <v>265</v>
      </c>
      <c r="DV5" s="1" t="s">
        <v>105</v>
      </c>
      <c r="DW5" s="1" t="s">
        <v>265</v>
      </c>
      <c r="DX5" s="1" t="s">
        <v>105</v>
      </c>
      <c r="DY5" s="1" t="s">
        <v>265</v>
      </c>
      <c r="DZ5" s="1" t="s">
        <v>105</v>
      </c>
      <c r="EA5" s="1" t="s">
        <v>265</v>
      </c>
      <c r="EB5" s="1" t="s">
        <v>265</v>
      </c>
      <c r="EC5" s="1" t="s">
        <v>105</v>
      </c>
      <c r="ED5" s="1" t="s">
        <v>265</v>
      </c>
      <c r="EE5" s="1" t="s">
        <v>105</v>
      </c>
      <c r="EF5" s="1" t="s">
        <v>265</v>
      </c>
      <c r="EG5" s="6" t="s">
        <v>105</v>
      </c>
      <c r="EH5" s="1" t="s">
        <v>268</v>
      </c>
      <c r="EI5" s="6" t="s">
        <v>267</v>
      </c>
      <c r="EJ5" s="1" t="s">
        <v>268</v>
      </c>
      <c r="EK5" s="6" t="s">
        <v>267</v>
      </c>
      <c r="EL5" s="1" t="s">
        <v>268</v>
      </c>
      <c r="EM5" s="6" t="s">
        <v>267</v>
      </c>
      <c r="EN5" s="1" t="s">
        <v>268</v>
      </c>
      <c r="EO5" s="6" t="s">
        <v>267</v>
      </c>
      <c r="EP5" s="1" t="s">
        <v>267</v>
      </c>
      <c r="EQ5" s="1" t="s">
        <v>266</v>
      </c>
      <c r="ER5" s="1" t="s">
        <v>265</v>
      </c>
      <c r="ES5" s="1" t="s">
        <v>265</v>
      </c>
      <c r="ET5" s="1" t="s">
        <v>265</v>
      </c>
      <c r="EU5" s="1" t="s">
        <v>265</v>
      </c>
      <c r="EV5" s="1" t="s">
        <v>265</v>
      </c>
      <c r="EW5" s="1" t="s">
        <v>265</v>
      </c>
      <c r="EX5" s="1" t="s">
        <v>265</v>
      </c>
      <c r="EY5" s="1" t="s">
        <v>265</v>
      </c>
      <c r="EZ5" s="1" t="s">
        <v>298</v>
      </c>
      <c r="FA5" s="1" t="s">
        <v>265</v>
      </c>
      <c r="FB5" s="1" t="s">
        <v>265</v>
      </c>
      <c r="FC5" s="1" t="s">
        <v>265</v>
      </c>
      <c r="FD5" s="1" t="s">
        <v>265</v>
      </c>
      <c r="FE5" s="1"/>
      <c r="FF5" s="1" t="s">
        <v>108</v>
      </c>
      <c r="FG5" s="1" t="s">
        <v>105</v>
      </c>
      <c r="FH5" s="1" t="s">
        <v>108</v>
      </c>
      <c r="FI5" s="1" t="s">
        <v>105</v>
      </c>
      <c r="FJ5" s="1" t="s">
        <v>108</v>
      </c>
      <c r="FK5" s="1" t="s">
        <v>105</v>
      </c>
      <c r="FL5" s="1" t="s">
        <v>108</v>
      </c>
      <c r="FM5" s="1" t="s">
        <v>105</v>
      </c>
      <c r="FN5" s="1" t="s">
        <v>108</v>
      </c>
      <c r="FO5" s="1" t="s">
        <v>105</v>
      </c>
      <c r="FP5" s="1" t="s">
        <v>108</v>
      </c>
      <c r="FQ5" s="1" t="s">
        <v>105</v>
      </c>
      <c r="FR5" s="1" t="s">
        <v>108</v>
      </c>
      <c r="FS5" s="1" t="s">
        <v>105</v>
      </c>
      <c r="FT5" s="1" t="s">
        <v>108</v>
      </c>
      <c r="FU5" s="1" t="s">
        <v>105</v>
      </c>
      <c r="FV5" s="1" t="s">
        <v>108</v>
      </c>
      <c r="FW5" s="1" t="s">
        <v>108</v>
      </c>
      <c r="FX5" s="1" t="s">
        <v>105</v>
      </c>
      <c r="FY5" s="1" t="s">
        <v>161</v>
      </c>
      <c r="FZ5" s="1" t="s">
        <v>269</v>
      </c>
      <c r="GA5" s="1" t="s">
        <v>105</v>
      </c>
      <c r="GB5" s="1" t="s">
        <v>108</v>
      </c>
      <c r="GC5" s="6" t="s">
        <v>18</v>
      </c>
      <c r="GD5" s="1" t="s">
        <v>108</v>
      </c>
      <c r="GE5" s="1" t="s">
        <v>108</v>
      </c>
      <c r="GF5" s="1" t="s">
        <v>108</v>
      </c>
      <c r="GG5" s="1" t="s">
        <v>108</v>
      </c>
      <c r="GH5" s="1" t="s">
        <v>108</v>
      </c>
      <c r="GI5" s="1" t="s">
        <v>108</v>
      </c>
      <c r="GJ5" s="1" t="s">
        <v>108</v>
      </c>
      <c r="GK5" s="1" t="s">
        <v>108</v>
      </c>
      <c r="GL5" s="1" t="s">
        <v>108</v>
      </c>
      <c r="GM5" s="1" t="s">
        <v>108</v>
      </c>
      <c r="GN5" s="1" t="s">
        <v>108</v>
      </c>
      <c r="GO5" s="1" t="s">
        <v>108</v>
      </c>
      <c r="GP5" s="1" t="s">
        <v>108</v>
      </c>
      <c r="GQ5" s="1" t="s">
        <v>514</v>
      </c>
      <c r="GR5" s="1" t="s">
        <v>108</v>
      </c>
      <c r="GS5" s="1" t="s">
        <v>108</v>
      </c>
      <c r="GT5" s="1" t="s">
        <v>108</v>
      </c>
      <c r="GU5" s="1" t="s">
        <v>312</v>
      </c>
      <c r="GV5" s="1" t="str">
        <f>+GU5</f>
        <v>Volumen Mensual</v>
      </c>
      <c r="GW5" s="1" t="s">
        <v>313</v>
      </c>
      <c r="GX5" s="1" t="s">
        <v>325</v>
      </c>
      <c r="GY5" s="1" t="s">
        <v>105</v>
      </c>
      <c r="GZ5" s="1" t="s">
        <v>324</v>
      </c>
      <c r="HA5" s="1" t="s">
        <v>161</v>
      </c>
      <c r="HB5" s="1" t="s">
        <v>269</v>
      </c>
      <c r="HC5" s="1" t="s">
        <v>269</v>
      </c>
      <c r="HD5" s="1" t="s">
        <v>161</v>
      </c>
      <c r="HE5" s="1" t="s">
        <v>269</v>
      </c>
      <c r="HF5" s="1" t="s">
        <v>269</v>
      </c>
      <c r="HG5" s="1" t="s">
        <v>161</v>
      </c>
      <c r="HH5" s="1" t="s">
        <v>269</v>
      </c>
      <c r="HI5" s="1" t="s">
        <v>269</v>
      </c>
      <c r="HJ5" s="1" t="s">
        <v>161</v>
      </c>
      <c r="HK5" s="1" t="s">
        <v>269</v>
      </c>
      <c r="HL5" s="1" t="s">
        <v>269</v>
      </c>
      <c r="HM5" s="1" t="s">
        <v>269</v>
      </c>
      <c r="HN5" s="69" t="s">
        <v>165</v>
      </c>
      <c r="HO5" s="1" t="s">
        <v>161</v>
      </c>
      <c r="HP5" s="1" t="s">
        <v>269</v>
      </c>
      <c r="HQ5" s="1" t="s">
        <v>269</v>
      </c>
      <c r="HR5" s="1"/>
      <c r="HS5" s="1" t="str">
        <f t="shared" si="9"/>
        <v>Volumen</v>
      </c>
      <c r="HT5" s="1" t="str">
        <f t="shared" si="9"/>
        <v>Campaña</v>
      </c>
      <c r="HU5" s="1" t="str">
        <f t="shared" si="9"/>
        <v>Volumen</v>
      </c>
      <c r="HV5" s="1" t="str">
        <f t="shared" si="9"/>
        <v>Campaña</v>
      </c>
      <c r="HW5" s="1" t="str">
        <f t="shared" si="9"/>
        <v>Volumen</v>
      </c>
      <c r="HX5" s="1" t="str">
        <f t="shared" si="9"/>
        <v>Campaña</v>
      </c>
      <c r="HY5" s="1" t="str">
        <f t="shared" si="9"/>
        <v>Volumen</v>
      </c>
      <c r="HZ5" s="1" t="str">
        <f t="shared" si="9"/>
        <v>Campaña</v>
      </c>
      <c r="IA5" s="1" t="str">
        <f t="shared" si="9"/>
        <v>Volumen</v>
      </c>
      <c r="IB5" s="1" t="str">
        <f t="shared" si="9"/>
        <v>Campaña</v>
      </c>
      <c r="IC5" s="1" t="str">
        <f t="shared" si="10"/>
        <v>Volumen</v>
      </c>
      <c r="ID5" s="1" t="str">
        <f t="shared" si="10"/>
        <v>Campaña</v>
      </c>
      <c r="IE5" s="1" t="str">
        <f t="shared" si="10"/>
        <v>Volumen</v>
      </c>
      <c r="IF5" s="1" t="str">
        <f t="shared" si="10"/>
        <v>Campaña</v>
      </c>
      <c r="IG5" s="1" t="str">
        <f t="shared" si="10"/>
        <v>Volumen</v>
      </c>
      <c r="IH5" s="1" t="str">
        <f t="shared" si="10"/>
        <v>Campaña</v>
      </c>
      <c r="II5" s="1" t="str">
        <f t="shared" si="10"/>
        <v>Volumen</v>
      </c>
      <c r="IJ5" s="1" t="str">
        <f t="shared" si="10"/>
        <v>Volumen</v>
      </c>
      <c r="IK5" s="1" t="str">
        <f t="shared" si="10"/>
        <v>Campaña</v>
      </c>
      <c r="IL5" s="1" t="str">
        <f>+IG5</f>
        <v>Volumen</v>
      </c>
      <c r="IM5" s="1" t="str">
        <f t="shared" ref="IM5:IU5" si="13">+IL5</f>
        <v>Volumen</v>
      </c>
      <c r="IN5" s="1" t="str">
        <f t="shared" si="13"/>
        <v>Volumen</v>
      </c>
      <c r="IO5" s="1" t="str">
        <f t="shared" si="13"/>
        <v>Volumen</v>
      </c>
      <c r="IP5" s="1" t="str">
        <f t="shared" si="13"/>
        <v>Volumen</v>
      </c>
      <c r="IQ5" s="1" t="str">
        <f t="shared" si="13"/>
        <v>Volumen</v>
      </c>
      <c r="IR5" s="1" t="str">
        <f t="shared" si="13"/>
        <v>Volumen</v>
      </c>
      <c r="IS5" s="1" t="str">
        <f t="shared" si="13"/>
        <v>Volumen</v>
      </c>
      <c r="IT5" s="1" t="str">
        <f t="shared" si="13"/>
        <v>Volumen</v>
      </c>
      <c r="IU5" s="1" t="str">
        <f t="shared" si="13"/>
        <v>Volumen</v>
      </c>
      <c r="IV5" s="1" t="str">
        <f>+GN5</f>
        <v>Volumen</v>
      </c>
      <c r="IW5" s="1" t="str">
        <f>+GO5</f>
        <v>Volumen</v>
      </c>
      <c r="IX5" s="1" t="str">
        <f>+GP5</f>
        <v>Volumen</v>
      </c>
      <c r="IY5" s="5" t="str">
        <f t="shared" ref="IY5:JD5" si="14">+GS5</f>
        <v>Volumen</v>
      </c>
      <c r="IZ5" s="1" t="str">
        <f t="shared" si="14"/>
        <v>Volumen</v>
      </c>
      <c r="JA5" s="1" t="s">
        <v>346</v>
      </c>
      <c r="JB5" s="1" t="str">
        <f t="shared" si="14"/>
        <v>Volumen Mensual</v>
      </c>
      <c r="JC5" s="1" t="str">
        <f t="shared" si="14"/>
        <v>Vol 12 m</v>
      </c>
      <c r="JD5" s="1" t="str">
        <f t="shared" si="14"/>
        <v>Vol. Salta</v>
      </c>
      <c r="JF5" t="s">
        <v>259</v>
      </c>
      <c r="JG5" t="s">
        <v>259</v>
      </c>
      <c r="JH5" t="s">
        <v>259</v>
      </c>
      <c r="JI5" t="s">
        <v>259</v>
      </c>
      <c r="JJ5" t="s">
        <v>259</v>
      </c>
      <c r="JK5" t="s">
        <v>259</v>
      </c>
      <c r="JL5" t="s">
        <v>259</v>
      </c>
      <c r="JM5" t="s">
        <v>259</v>
      </c>
      <c r="JN5" t="s">
        <v>259</v>
      </c>
      <c r="JO5" t="s">
        <v>259</v>
      </c>
      <c r="JP5" t="s">
        <v>259</v>
      </c>
      <c r="JQ5" t="s">
        <v>259</v>
      </c>
      <c r="JR5" t="s">
        <v>259</v>
      </c>
      <c r="JS5" t="s">
        <v>259</v>
      </c>
      <c r="JT5" t="s">
        <v>259</v>
      </c>
      <c r="JU5" t="s">
        <v>259</v>
      </c>
      <c r="JV5" t="s">
        <v>259</v>
      </c>
      <c r="JW5" t="s">
        <v>259</v>
      </c>
      <c r="JX5" t="s">
        <v>259</v>
      </c>
      <c r="JY5" t="s">
        <v>259</v>
      </c>
      <c r="JZ5" t="s">
        <v>259</v>
      </c>
      <c r="KA5" t="s">
        <v>259</v>
      </c>
      <c r="KB5" t="s">
        <v>259</v>
      </c>
      <c r="KC5" t="s">
        <v>259</v>
      </c>
      <c r="KD5" t="s">
        <v>259</v>
      </c>
      <c r="KE5" t="s">
        <v>259</v>
      </c>
      <c r="KF5" t="s">
        <v>259</v>
      </c>
      <c r="KG5" t="s">
        <v>259</v>
      </c>
      <c r="KH5" t="s">
        <v>259</v>
      </c>
      <c r="KI5" t="s">
        <v>259</v>
      </c>
      <c r="KJ5" t="s">
        <v>259</v>
      </c>
      <c r="KK5" t="s">
        <v>259</v>
      </c>
      <c r="KL5" t="s">
        <v>259</v>
      </c>
      <c r="KM5" t="s">
        <v>259</v>
      </c>
      <c r="KN5" t="s">
        <v>259</v>
      </c>
      <c r="KO5" t="s">
        <v>259</v>
      </c>
      <c r="KP5" t="s">
        <v>259</v>
      </c>
      <c r="KQ5" t="s">
        <v>259</v>
      </c>
      <c r="KR5" t="s">
        <v>259</v>
      </c>
      <c r="KS5" t="s">
        <v>259</v>
      </c>
      <c r="KT5" t="s">
        <v>259</v>
      </c>
      <c r="KU5" t="s">
        <v>259</v>
      </c>
      <c r="KV5" t="s">
        <v>259</v>
      </c>
      <c r="KW5" t="s">
        <v>259</v>
      </c>
      <c r="KX5" t="s">
        <v>259</v>
      </c>
      <c r="KY5" t="s">
        <v>259</v>
      </c>
      <c r="KZ5" t="s">
        <v>259</v>
      </c>
      <c r="LA5" t="s">
        <v>259</v>
      </c>
      <c r="LB5" t="s">
        <v>259</v>
      </c>
      <c r="LC5" t="s">
        <v>259</v>
      </c>
      <c r="LD5" t="s">
        <v>259</v>
      </c>
      <c r="LE5" t="s">
        <v>259</v>
      </c>
      <c r="LF5" t="s">
        <v>259</v>
      </c>
      <c r="LG5" t="s">
        <v>259</v>
      </c>
      <c r="LH5" t="s">
        <v>259</v>
      </c>
      <c r="LI5" t="s">
        <v>259</v>
      </c>
      <c r="LJ5" t="s">
        <v>259</v>
      </c>
      <c r="LK5" t="s">
        <v>259</v>
      </c>
      <c r="LL5" t="s">
        <v>259</v>
      </c>
      <c r="LM5" t="s">
        <v>259</v>
      </c>
      <c r="LN5" t="s">
        <v>259</v>
      </c>
      <c r="LO5" t="s">
        <v>259</v>
      </c>
      <c r="LQ5" t="s">
        <v>259</v>
      </c>
      <c r="LR5" t="s">
        <v>259</v>
      </c>
      <c r="LS5" t="s">
        <v>259</v>
      </c>
      <c r="LT5" t="s">
        <v>259</v>
      </c>
      <c r="LU5" t="s">
        <v>259</v>
      </c>
      <c r="LV5" t="s">
        <v>259</v>
      </c>
      <c r="LW5" t="s">
        <v>259</v>
      </c>
      <c r="LX5" t="s">
        <v>259</v>
      </c>
      <c r="MA5" s="486" t="s">
        <v>706</v>
      </c>
      <c r="MB5"/>
      <c r="MC5"/>
      <c r="MD5"/>
      <c r="MF5"/>
      <c r="MG5"/>
      <c r="MH5" s="486" t="s">
        <v>365</v>
      </c>
      <c r="MI5" s="486" t="s">
        <v>348</v>
      </c>
      <c r="MJ5" s="58" t="s">
        <v>66</v>
      </c>
      <c r="MK5"/>
      <c r="ML5" s="58" t="s">
        <v>112</v>
      </c>
      <c r="MM5" s="58" t="s">
        <v>364</v>
      </c>
      <c r="MN5" s="58" t="s">
        <v>849</v>
      </c>
      <c r="MO5" s="486" t="s">
        <v>363</v>
      </c>
      <c r="MP5" s="486" t="s">
        <v>366</v>
      </c>
      <c r="MQ5" s="486" t="s">
        <v>773</v>
      </c>
      <c r="MR5" s="58" t="s">
        <v>71</v>
      </c>
      <c r="MS5" s="486" t="s">
        <v>214</v>
      </c>
      <c r="MT5" s="486" t="s">
        <v>73</v>
      </c>
      <c r="MU5" s="58" t="s">
        <v>72</v>
      </c>
      <c r="MV5"/>
      <c r="MW5"/>
      <c r="MX5"/>
      <c r="MY5" s="486" t="s">
        <v>39</v>
      </c>
      <c r="MZ5" s="11" t="s">
        <v>774</v>
      </c>
      <c r="NA5" s="486" t="s">
        <v>349</v>
      </c>
      <c r="NB5" s="58" t="s">
        <v>350</v>
      </c>
      <c r="NC5" s="486" t="s">
        <v>707</v>
      </c>
      <c r="NE5" s="486" t="s">
        <v>743</v>
      </c>
    </row>
    <row r="6" spans="1:369">
      <c r="A6" s="36" t="s">
        <v>26</v>
      </c>
      <c r="B6" s="36"/>
      <c r="C6" s="36"/>
      <c r="D6" s="36"/>
      <c r="E6" s="36"/>
      <c r="F6" t="s">
        <v>343</v>
      </c>
      <c r="G6" t="s">
        <v>16</v>
      </c>
      <c r="H6" t="s">
        <v>179</v>
      </c>
      <c r="I6" t="s">
        <v>201</v>
      </c>
      <c r="J6" t="s">
        <v>201</v>
      </c>
      <c r="K6" t="s">
        <v>201</v>
      </c>
      <c r="L6" t="s">
        <v>201</v>
      </c>
      <c r="N6" t="s">
        <v>31</v>
      </c>
      <c r="O6" t="s">
        <v>31</v>
      </c>
      <c r="P6" t="s">
        <v>31</v>
      </c>
      <c r="Q6" t="s">
        <v>412</v>
      </c>
      <c r="R6" t="s">
        <v>31</v>
      </c>
      <c r="S6" t="s">
        <v>345</v>
      </c>
      <c r="T6" t="s">
        <v>457</v>
      </c>
      <c r="U6" t="s">
        <v>20</v>
      </c>
      <c r="V6" t="s">
        <v>20</v>
      </c>
      <c r="W6" t="s">
        <v>31</v>
      </c>
      <c r="X6" t="s">
        <v>20</v>
      </c>
      <c r="Y6" t="s">
        <v>345</v>
      </c>
      <c r="Z6" t="s">
        <v>20</v>
      </c>
      <c r="AA6" t="s">
        <v>20</v>
      </c>
      <c r="AB6" t="s">
        <v>20</v>
      </c>
      <c r="AC6" t="s">
        <v>20</v>
      </c>
      <c r="AD6" t="s">
        <v>20</v>
      </c>
      <c r="AE6" t="s">
        <v>20</v>
      </c>
      <c r="AF6" t="s">
        <v>286</v>
      </c>
      <c r="AG6" t="s">
        <v>42</v>
      </c>
      <c r="AH6" t="s">
        <v>42</v>
      </c>
      <c r="AI6" t="s">
        <v>46</v>
      </c>
      <c r="AJ6" t="s">
        <v>46</v>
      </c>
      <c r="AK6" t="s">
        <v>46</v>
      </c>
      <c r="AL6" t="s">
        <v>46</v>
      </c>
      <c r="AM6" t="s">
        <v>46</v>
      </c>
      <c r="AN6" t="s">
        <v>67</v>
      </c>
      <c r="AO6" t="s">
        <v>67</v>
      </c>
      <c r="AP6" t="s">
        <v>67</v>
      </c>
      <c r="AQ6" t="s">
        <v>67</v>
      </c>
      <c r="AR6" t="s">
        <v>67</v>
      </c>
      <c r="AS6" t="s">
        <v>67</v>
      </c>
      <c r="AT6" t="s">
        <v>67</v>
      </c>
      <c r="AU6" t="s">
        <v>67</v>
      </c>
      <c r="AV6" t="s">
        <v>67</v>
      </c>
      <c r="AW6" t="s">
        <v>67</v>
      </c>
      <c r="AX6" s="7" t="s">
        <v>67</v>
      </c>
      <c r="AY6" s="7" t="s">
        <v>67</v>
      </c>
      <c r="AZ6" s="7" t="s">
        <v>67</v>
      </c>
      <c r="BA6" s="7" t="s">
        <v>67</v>
      </c>
      <c r="BB6" t="s">
        <v>67</v>
      </c>
      <c r="BC6" s="68" t="s">
        <v>333</v>
      </c>
      <c r="BD6" s="68" t="s">
        <v>333</v>
      </c>
      <c r="BE6" s="7" t="s">
        <v>318</v>
      </c>
      <c r="BF6" s="7" t="s">
        <v>318</v>
      </c>
      <c r="BG6" t="s">
        <v>330</v>
      </c>
      <c r="BH6" s="7" t="s">
        <v>308</v>
      </c>
      <c r="BI6" s="7" t="s">
        <v>308</v>
      </c>
      <c r="BJ6" t="str">
        <f>+BI6</f>
        <v>Salta - Virginia B1F</v>
      </c>
      <c r="BK6" t="s">
        <v>57</v>
      </c>
      <c r="BL6" t="s">
        <v>58</v>
      </c>
      <c r="BN6" t="s">
        <v>162</v>
      </c>
      <c r="BO6" t="s">
        <v>342</v>
      </c>
      <c r="BP6" t="str">
        <f>+BO6</f>
        <v>Cat Avicola</v>
      </c>
      <c r="BQ6" t="str">
        <f>+BP6</f>
        <v>Cat Avicola</v>
      </c>
      <c r="BR6" t="s">
        <v>31</v>
      </c>
      <c r="BS6" t="s">
        <v>251</v>
      </c>
      <c r="BT6" t="s">
        <v>254</v>
      </c>
      <c r="BU6" t="s">
        <v>255</v>
      </c>
      <c r="BV6" t="s">
        <v>251</v>
      </c>
      <c r="BW6" t="s">
        <v>251</v>
      </c>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K6" s="1" t="s">
        <v>261</v>
      </c>
      <c r="DL6" s="1"/>
      <c r="DM6" s="1" t="s">
        <v>261</v>
      </c>
      <c r="DN6" s="1"/>
      <c r="DO6" s="1" t="s">
        <v>261</v>
      </c>
      <c r="DP6" s="1"/>
      <c r="DQ6" s="1" t="s">
        <v>261</v>
      </c>
      <c r="DR6" s="1"/>
      <c r="DS6" s="1" t="s">
        <v>224</v>
      </c>
      <c r="DT6" s="1" t="str">
        <f>+DS6</f>
        <v>Bolsa</v>
      </c>
      <c r="DU6" s="1"/>
      <c r="DV6" s="1"/>
      <c r="DW6" s="1" t="s">
        <v>261</v>
      </c>
      <c r="DX6" s="1"/>
      <c r="DY6" s="1" t="s">
        <v>261</v>
      </c>
      <c r="DZ6" s="1"/>
      <c r="EA6" s="1"/>
      <c r="EB6" s="1" t="s">
        <v>293</v>
      </c>
      <c r="EC6" s="1"/>
      <c r="ED6" s="1"/>
      <c r="EE6" s="1"/>
      <c r="EF6" s="1"/>
      <c r="EH6" s="1"/>
      <c r="EJ6" s="1"/>
      <c r="EL6" s="1"/>
      <c r="EN6" s="1"/>
      <c r="EP6" s="1"/>
      <c r="EQ6" s="1" t="s">
        <v>381</v>
      </c>
      <c r="ER6" s="1" t="s">
        <v>400</v>
      </c>
      <c r="ES6" s="1"/>
      <c r="ET6" s="1" t="s">
        <v>297</v>
      </c>
      <c r="EU6" s="1" t="s">
        <v>297</v>
      </c>
      <c r="EV6" s="1" t="s">
        <v>297</v>
      </c>
      <c r="EW6" s="1" t="s">
        <v>297</v>
      </c>
      <c r="EX6" s="1" t="s">
        <v>297</v>
      </c>
      <c r="EY6" s="1" t="s">
        <v>297</v>
      </c>
      <c r="EZ6" s="1" t="s">
        <v>388</v>
      </c>
      <c r="FA6" s="1" t="s">
        <v>401</v>
      </c>
      <c r="FB6" s="1" t="s">
        <v>401</v>
      </c>
      <c r="FC6" s="1" t="s">
        <v>297</v>
      </c>
      <c r="FD6" s="1" t="s">
        <v>297</v>
      </c>
      <c r="FE6" s="1"/>
      <c r="FF6" s="1" t="s">
        <v>412</v>
      </c>
      <c r="FG6" s="1"/>
      <c r="FH6" s="1" t="s">
        <v>412</v>
      </c>
      <c r="FI6" s="1"/>
      <c r="FJ6" s="1" t="s">
        <v>409</v>
      </c>
      <c r="FK6" s="1"/>
      <c r="FL6" s="1" t="s">
        <v>409</v>
      </c>
      <c r="FM6" s="1"/>
      <c r="FN6" s="1" t="s">
        <v>409</v>
      </c>
      <c r="FO6" s="1" t="str">
        <f>+FN6</f>
        <v>BCBA</v>
      </c>
      <c r="FP6" s="1"/>
      <c r="FQ6" s="1"/>
      <c r="FR6" s="1"/>
      <c r="FS6" s="1"/>
      <c r="FT6" s="1" t="s">
        <v>261</v>
      </c>
      <c r="FU6" s="1"/>
      <c r="FV6" s="1"/>
      <c r="FW6" s="1" t="s">
        <v>293</v>
      </c>
      <c r="FX6" s="1"/>
      <c r="FY6" s="1" t="s">
        <v>42</v>
      </c>
      <c r="FZ6" s="1" t="str">
        <f>+FY6</f>
        <v>INYM</v>
      </c>
      <c r="GA6" s="1"/>
      <c r="GB6" s="1"/>
      <c r="GD6" s="1" t="s">
        <v>295</v>
      </c>
      <c r="GE6" s="1" t="s">
        <v>295</v>
      </c>
      <c r="GF6" s="1" t="s">
        <v>295</v>
      </c>
      <c r="GG6" s="1" t="s">
        <v>295</v>
      </c>
      <c r="GH6" s="1" t="s">
        <v>295</v>
      </c>
      <c r="GI6" s="1" t="s">
        <v>297</v>
      </c>
      <c r="GJ6" s="1" t="str">
        <f>+GK6</f>
        <v>FAO</v>
      </c>
      <c r="GK6" s="1" t="str">
        <f>+GL6</f>
        <v>FAO</v>
      </c>
      <c r="GL6" s="1" t="str">
        <f>+GM6</f>
        <v>FAO</v>
      </c>
      <c r="GM6" s="1" t="str">
        <f>+GN6</f>
        <v>FAO</v>
      </c>
      <c r="GN6" s="1" t="str">
        <f>+GO6</f>
        <v>FAO</v>
      </c>
      <c r="GO6" s="1" t="s">
        <v>297</v>
      </c>
      <c r="GP6" s="1" t="str">
        <f>+GO6</f>
        <v>FAO</v>
      </c>
      <c r="GQ6" s="1" t="s">
        <v>338</v>
      </c>
      <c r="GR6" s="1" t="s">
        <v>302</v>
      </c>
      <c r="GS6" s="1" t="s">
        <v>378</v>
      </c>
      <c r="GT6" s="1" t="str">
        <f>+GO6</f>
        <v>FAO</v>
      </c>
      <c r="GU6" s="1" t="s">
        <v>311</v>
      </c>
      <c r="GV6" s="1" t="s">
        <v>311</v>
      </c>
      <c r="GW6" s="1" t="str">
        <f>+GV6</f>
        <v>SENASA</v>
      </c>
      <c r="GX6" s="1" t="s">
        <v>326</v>
      </c>
      <c r="GY6" s="1" t="str">
        <f>+GX6</f>
        <v>Cam. Tabacaleros</v>
      </c>
      <c r="GZ6" s="1" t="s">
        <v>31</v>
      </c>
      <c r="HA6" s="1" t="s">
        <v>31</v>
      </c>
      <c r="HB6" s="1"/>
      <c r="HC6" s="1"/>
      <c r="HD6" s="1" t="s">
        <v>256</v>
      </c>
      <c r="HE6" s="1"/>
      <c r="HF6" s="1"/>
      <c r="HG6" s="1" t="s">
        <v>256</v>
      </c>
      <c r="HH6" s="1"/>
      <c r="HI6" s="1"/>
      <c r="HJ6" s="1" t="s">
        <v>232</v>
      </c>
      <c r="HK6" s="1"/>
      <c r="HL6" s="1"/>
      <c r="HM6" s="1" t="s">
        <v>275</v>
      </c>
      <c r="HN6" s="69"/>
      <c r="HO6" s="1" t="s">
        <v>234</v>
      </c>
      <c r="HP6" s="1"/>
      <c r="HQ6" s="1"/>
      <c r="HR6" s="1"/>
      <c r="HS6" s="1"/>
      <c r="HT6" s="1"/>
      <c r="HU6" s="1"/>
      <c r="HV6" s="1"/>
      <c r="HW6" s="1"/>
      <c r="HX6" s="1"/>
      <c r="HY6" s="1"/>
      <c r="HZ6" s="1"/>
      <c r="IA6" s="1"/>
      <c r="IB6" s="1"/>
      <c r="IC6" s="1"/>
      <c r="ID6" s="1"/>
      <c r="IE6" s="1"/>
      <c r="IF6" s="1"/>
      <c r="IG6" s="1"/>
      <c r="IH6" s="1"/>
      <c r="II6" s="1"/>
      <c r="IJ6" s="1" t="s">
        <v>339</v>
      </c>
      <c r="IK6" s="1"/>
      <c r="IL6" s="1" t="s">
        <v>240</v>
      </c>
      <c r="IM6" s="1" t="s">
        <v>338</v>
      </c>
      <c r="IN6" s="1" t="s">
        <v>242</v>
      </c>
      <c r="IO6" s="1" t="str">
        <f>+IM6</f>
        <v>Magyp</v>
      </c>
      <c r="IP6" s="1" t="s">
        <v>39</v>
      </c>
      <c r="IQ6" s="1" t="s">
        <v>235</v>
      </c>
      <c r="IR6" s="1" t="s">
        <v>249</v>
      </c>
      <c r="IS6" s="1" t="str">
        <f>+IR6</f>
        <v>Federcitrus</v>
      </c>
      <c r="IT6" s="1" t="str">
        <f>+IS6</f>
        <v>Federcitrus</v>
      </c>
      <c r="IU6" s="1" t="str">
        <f>+IT6</f>
        <v>Federcitrus</v>
      </c>
      <c r="IV6" s="1" t="str">
        <f>+IU6</f>
        <v>Federcitrus</v>
      </c>
      <c r="IW6" s="1"/>
      <c r="IX6" s="1"/>
      <c r="IZ6" s="1"/>
      <c r="JA6" s="1" t="s">
        <v>302</v>
      </c>
      <c r="JB6" s="1" t="s">
        <v>297</v>
      </c>
      <c r="JC6" s="1"/>
      <c r="JD6" s="1"/>
      <c r="JF6" s="1" t="s">
        <v>16</v>
      </c>
      <c r="JG6" s="1" t="s">
        <v>16</v>
      </c>
      <c r="JH6" s="1" t="s">
        <v>16</v>
      </c>
      <c r="JI6" s="1" t="s">
        <v>16</v>
      </c>
      <c r="JJ6" s="1" t="s">
        <v>16</v>
      </c>
      <c r="JK6" s="1" t="s">
        <v>16</v>
      </c>
      <c r="JL6" s="1" t="s">
        <v>16</v>
      </c>
      <c r="JM6" s="1" t="s">
        <v>16</v>
      </c>
      <c r="JN6" s="1" t="s">
        <v>16</v>
      </c>
      <c r="JO6" s="1" t="s">
        <v>16</v>
      </c>
      <c r="JP6" s="1" t="s">
        <v>16</v>
      </c>
      <c r="JQ6" s="1" t="s">
        <v>16</v>
      </c>
      <c r="JR6" s="1" t="s">
        <v>16</v>
      </c>
      <c r="JS6" s="1" t="s">
        <v>16</v>
      </c>
      <c r="JT6" s="1" t="s">
        <v>16</v>
      </c>
      <c r="JU6" s="1" t="s">
        <v>16</v>
      </c>
      <c r="JV6" s="1" t="s">
        <v>16</v>
      </c>
      <c r="JW6" s="1" t="s">
        <v>16</v>
      </c>
      <c r="JX6" s="1" t="s">
        <v>16</v>
      </c>
      <c r="JY6" s="1" t="s">
        <v>16</v>
      </c>
      <c r="JZ6" s="1" t="s">
        <v>16</v>
      </c>
      <c r="KA6" s="1" t="s">
        <v>16</v>
      </c>
      <c r="KB6" s="1" t="s">
        <v>16</v>
      </c>
      <c r="KC6" s="1" t="s">
        <v>16</v>
      </c>
      <c r="KD6" s="1" t="s">
        <v>16</v>
      </c>
      <c r="KE6" s="1" t="s">
        <v>16</v>
      </c>
      <c r="KF6" s="1" t="s">
        <v>16</v>
      </c>
      <c r="KG6" s="1" t="s">
        <v>16</v>
      </c>
      <c r="KH6" s="1" t="s">
        <v>16</v>
      </c>
      <c r="KI6" s="1" t="s">
        <v>16</v>
      </c>
      <c r="KJ6" s="1" t="s">
        <v>16</v>
      </c>
      <c r="KK6" s="1" t="s">
        <v>16</v>
      </c>
      <c r="KL6" s="1" t="s">
        <v>16</v>
      </c>
      <c r="KM6" s="1" t="s">
        <v>16</v>
      </c>
      <c r="KN6" s="1" t="s">
        <v>16</v>
      </c>
      <c r="KO6" s="1" t="s">
        <v>16</v>
      </c>
      <c r="KP6" s="1" t="s">
        <v>16</v>
      </c>
      <c r="KQ6" s="1" t="s">
        <v>16</v>
      </c>
      <c r="KR6" s="1" t="s">
        <v>16</v>
      </c>
      <c r="KS6" s="1" t="s">
        <v>16</v>
      </c>
      <c r="KT6" s="1" t="s">
        <v>16</v>
      </c>
      <c r="KU6" s="1" t="s">
        <v>16</v>
      </c>
      <c r="KV6" s="1" t="s">
        <v>16</v>
      </c>
      <c r="KW6" s="1" t="s">
        <v>16</v>
      </c>
      <c r="KX6" s="1" t="s">
        <v>16</v>
      </c>
      <c r="KY6" s="1" t="s">
        <v>16</v>
      </c>
      <c r="KZ6" s="1" t="s">
        <v>16</v>
      </c>
      <c r="LA6" s="1" t="s">
        <v>16</v>
      </c>
      <c r="LB6" s="1" t="s">
        <v>16</v>
      </c>
      <c r="LC6" s="1" t="s">
        <v>16</v>
      </c>
      <c r="LD6" s="1" t="s">
        <v>16</v>
      </c>
      <c r="LE6" s="1" t="s">
        <v>16</v>
      </c>
      <c r="LF6" s="1" t="s">
        <v>16</v>
      </c>
      <c r="LG6" s="1" t="s">
        <v>16</v>
      </c>
      <c r="LH6" s="1" t="s">
        <v>16</v>
      </c>
      <c r="LI6" s="1" t="s">
        <v>16</v>
      </c>
      <c r="LJ6" s="1" t="s">
        <v>16</v>
      </c>
      <c r="LK6" s="1" t="s">
        <v>16</v>
      </c>
      <c r="LL6" s="1" t="s">
        <v>16</v>
      </c>
      <c r="LM6" s="1" t="s">
        <v>16</v>
      </c>
      <c r="LN6" s="1" t="s">
        <v>16</v>
      </c>
      <c r="LO6" s="1" t="s">
        <v>16</v>
      </c>
      <c r="LQ6" s="1" t="s">
        <v>16</v>
      </c>
      <c r="LR6" s="1" t="s">
        <v>16</v>
      </c>
      <c r="LS6" s="1" t="s">
        <v>16</v>
      </c>
      <c r="LT6" s="1" t="s">
        <v>16</v>
      </c>
      <c r="LU6" s="1" t="s">
        <v>16</v>
      </c>
      <c r="LV6" s="1" t="s">
        <v>16</v>
      </c>
      <c r="LW6" s="1" t="s">
        <v>16</v>
      </c>
      <c r="LX6" s="1" t="s">
        <v>16</v>
      </c>
      <c r="MA6" s="682" t="s">
        <v>16</v>
      </c>
      <c r="MB6"/>
      <c r="MC6"/>
      <c r="MD6"/>
      <c r="MF6"/>
      <c r="MG6"/>
      <c r="MH6" s="682" t="s">
        <v>16</v>
      </c>
      <c r="MI6" s="682" t="s">
        <v>16</v>
      </c>
      <c r="MJ6" s="682" t="s">
        <v>16</v>
      </c>
      <c r="MK6" s="682" t="s">
        <v>772</v>
      </c>
      <c r="ML6" s="682" t="s">
        <v>16</v>
      </c>
      <c r="MM6" s="682" t="s">
        <v>16</v>
      </c>
      <c r="MN6" s="682" t="s">
        <v>772</v>
      </c>
      <c r="MO6" s="682" t="s">
        <v>16</v>
      </c>
      <c r="MP6" s="682"/>
      <c r="MQ6" s="682" t="s">
        <v>16</v>
      </c>
      <c r="MR6" s="682" t="s">
        <v>772</v>
      </c>
      <c r="MS6" s="682" t="s">
        <v>772</v>
      </c>
      <c r="MT6" s="141"/>
      <c r="MU6" s="682" t="s">
        <v>16</v>
      </c>
      <c r="MV6" s="682" t="s">
        <v>772</v>
      </c>
      <c r="MW6" s="141"/>
      <c r="MX6" s="141"/>
      <c r="MY6" s="682"/>
      <c r="MZ6" s="141" t="s">
        <v>670</v>
      </c>
      <c r="NA6" s="682" t="s">
        <v>717</v>
      </c>
      <c r="NB6" s="682" t="s">
        <v>717</v>
      </c>
      <c r="NC6" s="682" t="s">
        <v>16</v>
      </c>
      <c r="ND6" s="682" t="s">
        <v>721</v>
      </c>
      <c r="NE6" s="682" t="s">
        <v>717</v>
      </c>
    </row>
    <row r="7" spans="1:369">
      <c r="A7" s="36" t="s">
        <v>101</v>
      </c>
      <c r="B7" s="36"/>
      <c r="C7" s="36"/>
      <c r="D7" s="36"/>
      <c r="E7" s="36"/>
      <c r="F7" t="s">
        <v>53</v>
      </c>
      <c r="G7" t="s">
        <v>274</v>
      </c>
      <c r="H7" t="s">
        <v>205</v>
      </c>
      <c r="I7" t="s">
        <v>206</v>
      </c>
      <c r="J7" t="s">
        <v>32</v>
      </c>
      <c r="K7" t="s">
        <v>209</v>
      </c>
      <c r="L7" t="s">
        <v>32</v>
      </c>
      <c r="N7" t="s">
        <v>33</v>
      </c>
      <c r="O7" t="s">
        <v>33</v>
      </c>
      <c r="P7" t="s">
        <v>59</v>
      </c>
      <c r="Q7" t="s">
        <v>411</v>
      </c>
      <c r="R7" t="s">
        <v>4</v>
      </c>
      <c r="S7" t="s">
        <v>32</v>
      </c>
      <c r="T7" t="s">
        <v>32</v>
      </c>
      <c r="U7" t="s">
        <v>32</v>
      </c>
      <c r="V7" t="s">
        <v>32</v>
      </c>
      <c r="W7" t="s">
        <v>32</v>
      </c>
      <c r="X7" t="s">
        <v>32</v>
      </c>
      <c r="Y7" t="s">
        <v>4</v>
      </c>
      <c r="Z7" t="s">
        <v>4</v>
      </c>
      <c r="AA7" t="s">
        <v>4</v>
      </c>
      <c r="AB7" t="s">
        <v>4</v>
      </c>
      <c r="AC7" t="s">
        <v>4</v>
      </c>
      <c r="AD7" t="s">
        <v>4</v>
      </c>
      <c r="AE7" t="s">
        <v>4</v>
      </c>
      <c r="AF7" t="s">
        <v>4</v>
      </c>
      <c r="AG7" t="s">
        <v>4</v>
      </c>
      <c r="AH7" t="s">
        <v>4</v>
      </c>
      <c r="AI7" t="s">
        <v>43</v>
      </c>
      <c r="AJ7" t="s">
        <v>43</v>
      </c>
      <c r="AK7" t="s">
        <v>43</v>
      </c>
      <c r="AL7" t="s">
        <v>43</v>
      </c>
      <c r="AM7" t="s">
        <v>43</v>
      </c>
      <c r="AN7" t="s">
        <v>841</v>
      </c>
      <c r="AO7" t="s">
        <v>841</v>
      </c>
      <c r="AP7" t="s">
        <v>841</v>
      </c>
      <c r="AQ7" t="s">
        <v>841</v>
      </c>
      <c r="AR7" t="s">
        <v>841</v>
      </c>
      <c r="AS7" t="s">
        <v>841</v>
      </c>
      <c r="AT7" t="s">
        <v>841</v>
      </c>
      <c r="AU7" t="s">
        <v>841</v>
      </c>
      <c r="AV7" t="s">
        <v>843</v>
      </c>
      <c r="AW7" t="s">
        <v>844</v>
      </c>
      <c r="AX7" s="7" t="s">
        <v>845</v>
      </c>
      <c r="AY7" s="7" t="s">
        <v>846</v>
      </c>
      <c r="AZ7" s="7" t="s">
        <v>846</v>
      </c>
      <c r="BA7" s="7" t="s">
        <v>845</v>
      </c>
      <c r="BB7" t="s">
        <v>59</v>
      </c>
      <c r="BC7" s="68" t="s">
        <v>4</v>
      </c>
      <c r="BD7" s="68" t="s">
        <v>4</v>
      </c>
      <c r="BE7" s="7" t="s">
        <v>4</v>
      </c>
      <c r="BF7" s="7" t="s">
        <v>4</v>
      </c>
      <c r="BG7" t="s">
        <v>4</v>
      </c>
      <c r="BH7" s="7" t="str">
        <f>+BB7</f>
        <v>$/kg</v>
      </c>
      <c r="BI7" s="7" t="str">
        <f>+BH7</f>
        <v>$/kg</v>
      </c>
      <c r="BJ7" t="str">
        <f>+BI7</f>
        <v>$/kg</v>
      </c>
      <c r="BK7" t="s">
        <v>59</v>
      </c>
      <c r="BL7" t="s">
        <v>59</v>
      </c>
      <c r="BM7" t="s">
        <v>59</v>
      </c>
      <c r="BN7" t="s">
        <v>43</v>
      </c>
      <c r="BO7" t="s">
        <v>59</v>
      </c>
      <c r="BP7" t="s">
        <v>344</v>
      </c>
      <c r="BQ7" t="s">
        <v>379</v>
      </c>
      <c r="BR7" t="s">
        <v>59</v>
      </c>
      <c r="BS7" t="s">
        <v>376</v>
      </c>
      <c r="BT7" t="s">
        <v>59</v>
      </c>
      <c r="BU7" t="str">
        <f>+BT7</f>
        <v>$/kg</v>
      </c>
      <c r="BV7" t="s">
        <v>59</v>
      </c>
      <c r="BY7" s="67" t="s">
        <v>11</v>
      </c>
      <c r="BZ7" s="67" t="s">
        <v>11</v>
      </c>
      <c r="CA7" s="67" t="s">
        <v>11</v>
      </c>
      <c r="CB7" s="67" t="s">
        <v>11</v>
      </c>
      <c r="CC7" s="67" t="s">
        <v>11</v>
      </c>
      <c r="CD7" s="67" t="s">
        <v>11</v>
      </c>
      <c r="CE7" s="67" t="s">
        <v>11</v>
      </c>
      <c r="CF7" s="67" t="s">
        <v>11</v>
      </c>
      <c r="CG7" s="67" t="s">
        <v>11</v>
      </c>
      <c r="CH7" s="67" t="s">
        <v>11</v>
      </c>
      <c r="CI7" s="67" t="str">
        <f>+CF7</f>
        <v>Indice</v>
      </c>
      <c r="CJ7" s="67" t="str">
        <f t="shared" ref="CJ7:CO7" si="15">+CI7</f>
        <v>Indice</v>
      </c>
      <c r="CK7" s="67" t="str">
        <f t="shared" si="15"/>
        <v>Indice</v>
      </c>
      <c r="CL7" s="67" t="str">
        <f t="shared" si="15"/>
        <v>Indice</v>
      </c>
      <c r="CM7" s="67" t="str">
        <f t="shared" si="15"/>
        <v>Indice</v>
      </c>
      <c r="CN7" s="67" t="str">
        <f t="shared" si="15"/>
        <v>Indice</v>
      </c>
      <c r="CO7" s="67" t="str">
        <f t="shared" si="15"/>
        <v>Indice</v>
      </c>
      <c r="CP7" s="67" t="s">
        <v>11</v>
      </c>
      <c r="CQ7" s="67" t="s">
        <v>11</v>
      </c>
      <c r="CR7" s="67" t="s">
        <v>11</v>
      </c>
      <c r="CS7" s="67" t="s">
        <v>11</v>
      </c>
      <c r="CT7" s="67" t="s">
        <v>11</v>
      </c>
      <c r="CU7" s="67" t="s">
        <v>11</v>
      </c>
      <c r="CV7" s="67" t="s">
        <v>11</v>
      </c>
      <c r="CW7" s="67" t="s">
        <v>11</v>
      </c>
      <c r="CX7" s="67" t="s">
        <v>11</v>
      </c>
      <c r="CY7" s="67" t="s">
        <v>11</v>
      </c>
      <c r="CZ7" s="67" t="s">
        <v>11</v>
      </c>
      <c r="DA7" s="67" t="s">
        <v>11</v>
      </c>
      <c r="DB7" s="67" t="s">
        <v>11</v>
      </c>
      <c r="DC7" s="67" t="s">
        <v>11</v>
      </c>
      <c r="DD7" s="67" t="s">
        <v>11</v>
      </c>
      <c r="DE7" s="67" t="s">
        <v>11</v>
      </c>
      <c r="DF7" s="67" t="s">
        <v>11</v>
      </c>
      <c r="DG7" s="67" t="s">
        <v>11</v>
      </c>
      <c r="DH7" s="67" t="str">
        <f>+DG7</f>
        <v>Indice</v>
      </c>
      <c r="DI7" s="67" t="str">
        <f>+DF7</f>
        <v>Indice</v>
      </c>
      <c r="DK7" s="1" t="s">
        <v>109</v>
      </c>
      <c r="DL7" s="1"/>
      <c r="DM7" s="1" t="s">
        <v>109</v>
      </c>
      <c r="DN7" s="1"/>
      <c r="DO7" s="1" t="s">
        <v>109</v>
      </c>
      <c r="DP7" s="1"/>
      <c r="DQ7" s="1" t="s">
        <v>109</v>
      </c>
      <c r="DR7" s="1"/>
      <c r="DS7" s="1" t="s">
        <v>109</v>
      </c>
      <c r="DT7" s="1"/>
      <c r="DU7" s="1" t="s">
        <v>109</v>
      </c>
      <c r="DV7" s="1"/>
      <c r="DW7" s="1" t="s">
        <v>109</v>
      </c>
      <c r="DX7" s="1"/>
      <c r="DY7" s="1" t="s">
        <v>109</v>
      </c>
      <c r="DZ7" s="1"/>
      <c r="EA7" s="1" t="s">
        <v>109</v>
      </c>
      <c r="EB7" s="1" t="s">
        <v>109</v>
      </c>
      <c r="EC7" s="1"/>
      <c r="ED7" s="1" t="s">
        <v>109</v>
      </c>
      <c r="EE7" s="1"/>
      <c r="EF7" s="1"/>
      <c r="EH7" s="1" t="s">
        <v>160</v>
      </c>
      <c r="EJ7" s="1" t="s">
        <v>160</v>
      </c>
      <c r="EL7" s="1" t="s">
        <v>160</v>
      </c>
      <c r="EN7" s="1" t="s">
        <v>160</v>
      </c>
      <c r="EP7" s="1"/>
      <c r="EQ7" s="1" t="s">
        <v>300</v>
      </c>
      <c r="ER7" s="1"/>
      <c r="ES7" s="1"/>
      <c r="ET7" s="1" t="s">
        <v>296</v>
      </c>
      <c r="EU7" s="1" t="s">
        <v>296</v>
      </c>
      <c r="EV7" s="1" t="s">
        <v>296</v>
      </c>
      <c r="EW7" s="1" t="s">
        <v>296</v>
      </c>
      <c r="EX7" s="1" t="str">
        <f>+EW7</f>
        <v>has</v>
      </c>
      <c r="EY7" s="1" t="s">
        <v>296</v>
      </c>
      <c r="EZ7" s="1" t="str">
        <f>+FA7</f>
        <v>has</v>
      </c>
      <c r="FA7" s="1" t="str">
        <f>+FB7</f>
        <v>has</v>
      </c>
      <c r="FB7" s="1" t="s">
        <v>296</v>
      </c>
      <c r="FC7" s="1" t="str">
        <f>+FB7</f>
        <v>has</v>
      </c>
      <c r="FD7" s="1" t="str">
        <f>+FC7</f>
        <v>has</v>
      </c>
      <c r="FE7" s="1"/>
      <c r="FF7" s="1" t="s">
        <v>104</v>
      </c>
      <c r="FG7" s="1"/>
      <c r="FH7" s="1" t="s">
        <v>104</v>
      </c>
      <c r="FI7" s="1"/>
      <c r="FJ7" s="1" t="s">
        <v>104</v>
      </c>
      <c r="FK7" s="1"/>
      <c r="FL7" s="1" t="s">
        <v>104</v>
      </c>
      <c r="FM7" s="1"/>
      <c r="FN7" s="1" t="s">
        <v>104</v>
      </c>
      <c r="FO7" s="1"/>
      <c r="FP7" s="1" t="s">
        <v>104</v>
      </c>
      <c r="FQ7" s="1"/>
      <c r="FR7" s="1" t="s">
        <v>104</v>
      </c>
      <c r="FS7" s="1"/>
      <c r="FT7" s="1" t="s">
        <v>104</v>
      </c>
      <c r="FU7" s="1"/>
      <c r="FV7" s="1" t="s">
        <v>104</v>
      </c>
      <c r="FW7" s="1" t="s">
        <v>294</v>
      </c>
      <c r="FX7" s="1"/>
      <c r="FY7" s="1" t="s">
        <v>104</v>
      </c>
      <c r="FZ7" s="1" t="s">
        <v>104</v>
      </c>
      <c r="GA7" s="1"/>
      <c r="GB7" s="1" t="s">
        <v>236</v>
      </c>
      <c r="GD7" s="1" t="s">
        <v>104</v>
      </c>
      <c r="GE7" s="1" t="s">
        <v>104</v>
      </c>
      <c r="GF7" s="1" t="s">
        <v>104</v>
      </c>
      <c r="GG7" s="1" t="s">
        <v>104</v>
      </c>
      <c r="GH7" s="1" t="s">
        <v>104</v>
      </c>
      <c r="GI7" s="1" t="s">
        <v>299</v>
      </c>
      <c r="GJ7" s="1" t="s">
        <v>104</v>
      </c>
      <c r="GK7" s="1" t="str">
        <f>+GJ7</f>
        <v>t</v>
      </c>
      <c r="GL7" s="1" t="str">
        <f>+GK7</f>
        <v>t</v>
      </c>
      <c r="GM7" s="1" t="str">
        <f>+GL7</f>
        <v>t</v>
      </c>
      <c r="GN7" s="1" t="str">
        <f>+GM7</f>
        <v>t</v>
      </c>
      <c r="GO7" s="1" t="s">
        <v>104</v>
      </c>
      <c r="GP7" s="1" t="str">
        <f>+GO7</f>
        <v>t</v>
      </c>
      <c r="GQ7" s="1" t="s">
        <v>513</v>
      </c>
      <c r="GR7" s="1" t="s">
        <v>104</v>
      </c>
      <c r="GS7" s="1" t="str">
        <f>+GR7</f>
        <v>t</v>
      </c>
      <c r="GT7" s="1" t="s">
        <v>104</v>
      </c>
      <c r="GU7" s="1" t="s">
        <v>104</v>
      </c>
      <c r="GV7" s="1" t="s">
        <v>104</v>
      </c>
      <c r="GW7" s="1" t="s">
        <v>104</v>
      </c>
      <c r="GX7" s="1" t="s">
        <v>104</v>
      </c>
      <c r="GY7" s="1"/>
      <c r="GZ7" s="1" t="s">
        <v>104</v>
      </c>
      <c r="HA7" s="1" t="s">
        <v>270</v>
      </c>
      <c r="HB7" s="1" t="s">
        <v>270</v>
      </c>
      <c r="HC7" s="1"/>
      <c r="HD7" s="1" t="s">
        <v>270</v>
      </c>
      <c r="HE7" s="1" t="s">
        <v>270</v>
      </c>
      <c r="HF7" s="1"/>
      <c r="HG7" s="1" t="s">
        <v>270</v>
      </c>
      <c r="HH7" s="1" t="s">
        <v>270</v>
      </c>
      <c r="HI7" s="1"/>
      <c r="HJ7" s="1" t="s">
        <v>233</v>
      </c>
      <c r="HK7" s="1" t="s">
        <v>337</v>
      </c>
      <c r="HL7" s="1"/>
      <c r="HM7" s="1" t="s">
        <v>276</v>
      </c>
      <c r="HN7" s="69" t="s">
        <v>164</v>
      </c>
      <c r="HO7" s="1" t="s">
        <v>163</v>
      </c>
      <c r="HP7" s="1" t="s">
        <v>271</v>
      </c>
      <c r="HQ7" s="1"/>
      <c r="HR7" s="1"/>
      <c r="HS7" s="1" t="str">
        <f>+FF7</f>
        <v>t</v>
      </c>
      <c r="HT7" s="1"/>
      <c r="HU7" s="1" t="str">
        <f>+FH7</f>
        <v>t</v>
      </c>
      <c r="HV7" s="1"/>
      <c r="HW7" s="1" t="str">
        <f>+FJ7</f>
        <v>t</v>
      </c>
      <c r="HX7" s="1"/>
      <c r="HY7" s="1" t="str">
        <f>+FL7</f>
        <v>t</v>
      </c>
      <c r="HZ7" s="1"/>
      <c r="IA7" s="1" t="str">
        <f>+FN7</f>
        <v>t</v>
      </c>
      <c r="IB7" s="1"/>
      <c r="IC7" s="1" t="str">
        <f>+FP7</f>
        <v>t</v>
      </c>
      <c r="ID7" s="1"/>
      <c r="IE7" s="1" t="str">
        <f>+FR7</f>
        <v>t</v>
      </c>
      <c r="IF7" s="1"/>
      <c r="IG7" s="1" t="str">
        <f>+FT7</f>
        <v>t</v>
      </c>
      <c r="IH7" s="1"/>
      <c r="II7" s="1"/>
      <c r="IJ7" s="1" t="s">
        <v>239</v>
      </c>
      <c r="IK7" s="1"/>
      <c r="IL7" s="1" t="s">
        <v>239</v>
      </c>
      <c r="IM7" s="1" t="s">
        <v>239</v>
      </c>
      <c r="IN7" s="1" t="s">
        <v>243</v>
      </c>
      <c r="IO7" s="1" t="s">
        <v>239</v>
      </c>
      <c r="IP7" s="1" t="s">
        <v>239</v>
      </c>
      <c r="IQ7" s="1" t="s">
        <v>243</v>
      </c>
      <c r="IR7" s="1" t="s">
        <v>239</v>
      </c>
      <c r="IS7" s="1" t="s">
        <v>239</v>
      </c>
      <c r="IT7" s="1" t="s">
        <v>239</v>
      </c>
      <c r="IU7" s="1" t="s">
        <v>239</v>
      </c>
      <c r="IV7" s="1" t="s">
        <v>239</v>
      </c>
      <c r="IW7" s="1" t="str">
        <f>+GO7</f>
        <v>t</v>
      </c>
      <c r="IX7" s="1" t="str">
        <f>+GP7</f>
        <v>t</v>
      </c>
      <c r="IY7" s="5" t="str">
        <f>+IV7</f>
        <v>kg/hab/año</v>
      </c>
      <c r="IZ7" s="1" t="str">
        <f>+IY7</f>
        <v>kg/hab/año</v>
      </c>
      <c r="JA7" s="1" t="str">
        <f>+GU7</f>
        <v>t</v>
      </c>
      <c r="JB7" s="1" t="s">
        <v>239</v>
      </c>
      <c r="JC7" s="1" t="str">
        <f>+GW7</f>
        <v>t</v>
      </c>
      <c r="JD7" s="1" t="str">
        <f>+GX7</f>
        <v>t</v>
      </c>
      <c r="JF7" t="s">
        <v>157</v>
      </c>
      <c r="JG7" t="s">
        <v>157</v>
      </c>
      <c r="JH7" t="s">
        <v>157</v>
      </c>
      <c r="JI7" t="s">
        <v>157</v>
      </c>
      <c r="JJ7" t="s">
        <v>157</v>
      </c>
      <c r="JK7" t="s">
        <v>157</v>
      </c>
      <c r="JL7" t="s">
        <v>157</v>
      </c>
      <c r="JM7" t="s">
        <v>157</v>
      </c>
      <c r="JN7" t="s">
        <v>157</v>
      </c>
      <c r="JO7" t="s">
        <v>157</v>
      </c>
      <c r="JP7" t="s">
        <v>157</v>
      </c>
      <c r="JQ7" t="s">
        <v>157</v>
      </c>
      <c r="JR7" t="s">
        <v>157</v>
      </c>
      <c r="JS7" t="s">
        <v>157</v>
      </c>
      <c r="JT7" t="s">
        <v>157</v>
      </c>
      <c r="JU7" t="s">
        <v>157</v>
      </c>
      <c r="JV7" t="s">
        <v>157</v>
      </c>
      <c r="JW7" t="s">
        <v>157</v>
      </c>
      <c r="JX7" t="s">
        <v>157</v>
      </c>
      <c r="JY7" t="s">
        <v>157</v>
      </c>
      <c r="JZ7" t="s">
        <v>157</v>
      </c>
      <c r="KA7" t="s">
        <v>157</v>
      </c>
      <c r="KB7" t="s">
        <v>157</v>
      </c>
      <c r="KC7" t="s">
        <v>157</v>
      </c>
      <c r="KD7" t="s">
        <v>157</v>
      </c>
      <c r="KE7" t="s">
        <v>157</v>
      </c>
      <c r="KF7" t="s">
        <v>157</v>
      </c>
      <c r="KG7" t="s">
        <v>157</v>
      </c>
      <c r="KH7" t="s">
        <v>157</v>
      </c>
      <c r="KI7" t="s">
        <v>157</v>
      </c>
      <c r="KJ7" t="s">
        <v>157</v>
      </c>
      <c r="KK7" t="s">
        <v>260</v>
      </c>
      <c r="KL7" t="s">
        <v>260</v>
      </c>
      <c r="KM7" t="s">
        <v>260</v>
      </c>
      <c r="KN7" t="s">
        <v>260</v>
      </c>
      <c r="KO7" t="s">
        <v>260</v>
      </c>
      <c r="KP7" t="s">
        <v>260</v>
      </c>
      <c r="KQ7" t="s">
        <v>260</v>
      </c>
      <c r="KR7" t="s">
        <v>260</v>
      </c>
      <c r="KS7" t="s">
        <v>260</v>
      </c>
      <c r="KT7" t="s">
        <v>260</v>
      </c>
      <c r="KU7" t="s">
        <v>260</v>
      </c>
      <c r="KV7" t="s">
        <v>260</v>
      </c>
      <c r="KW7" t="s">
        <v>260</v>
      </c>
      <c r="KX7" t="s">
        <v>260</v>
      </c>
      <c r="KY7" t="s">
        <v>260</v>
      </c>
      <c r="KZ7" t="s">
        <v>260</v>
      </c>
      <c r="LA7" t="s">
        <v>260</v>
      </c>
      <c r="LB7" t="s">
        <v>260</v>
      </c>
      <c r="LC7" t="s">
        <v>260</v>
      </c>
      <c r="LD7" t="s">
        <v>260</v>
      </c>
      <c r="LE7" t="s">
        <v>260</v>
      </c>
      <c r="LF7" t="s">
        <v>260</v>
      </c>
      <c r="LG7" t="s">
        <v>260</v>
      </c>
      <c r="LH7" t="s">
        <v>260</v>
      </c>
      <c r="LI7" t="s">
        <v>260</v>
      </c>
      <c r="LJ7" t="s">
        <v>260</v>
      </c>
      <c r="LK7" t="s">
        <v>260</v>
      </c>
      <c r="LL7" t="s">
        <v>260</v>
      </c>
      <c r="LM7" t="s">
        <v>260</v>
      </c>
      <c r="LN7" t="s">
        <v>260</v>
      </c>
      <c r="LO7" t="s">
        <v>260</v>
      </c>
      <c r="LQ7" t="s">
        <v>157</v>
      </c>
      <c r="LR7" t="s">
        <v>157</v>
      </c>
      <c r="LS7" t="s">
        <v>157</v>
      </c>
      <c r="LT7" t="s">
        <v>157</v>
      </c>
      <c r="LU7" t="s">
        <v>260</v>
      </c>
      <c r="LV7" t="s">
        <v>260</v>
      </c>
      <c r="LW7" t="s">
        <v>260</v>
      </c>
      <c r="LX7" t="s">
        <v>260</v>
      </c>
      <c r="LZ7" s="58" t="s">
        <v>368</v>
      </c>
      <c r="MA7" s="58" t="s">
        <v>59</v>
      </c>
      <c r="MB7"/>
      <c r="MC7"/>
      <c r="MD7"/>
      <c r="MF7"/>
      <c r="MG7"/>
      <c r="MH7" s="58" t="s">
        <v>59</v>
      </c>
      <c r="MI7" s="58" t="s">
        <v>59</v>
      </c>
      <c r="MJ7" s="58" t="s">
        <v>59</v>
      </c>
      <c r="MK7" s="58" t="s">
        <v>59</v>
      </c>
      <c r="ML7" s="58" t="s">
        <v>59</v>
      </c>
      <c r="MM7" s="58" t="s">
        <v>59</v>
      </c>
      <c r="MN7" s="58" t="s">
        <v>59</v>
      </c>
      <c r="MO7" s="58" t="s">
        <v>59</v>
      </c>
      <c r="MP7" s="58" t="s">
        <v>43</v>
      </c>
      <c r="MQ7" s="58" t="s">
        <v>59</v>
      </c>
      <c r="MR7" s="58" t="s">
        <v>59</v>
      </c>
      <c r="MS7" s="58" t="s">
        <v>59</v>
      </c>
      <c r="MT7" s="58" t="s">
        <v>59</v>
      </c>
      <c r="MU7" s="58" t="s">
        <v>59</v>
      </c>
      <c r="MV7" s="58" t="s">
        <v>59</v>
      </c>
      <c r="MW7"/>
      <c r="MX7"/>
      <c r="MY7" s="58" t="s">
        <v>367</v>
      </c>
      <c r="MZ7" s="58" t="s">
        <v>59</v>
      </c>
      <c r="NA7" s="58" t="s">
        <v>59</v>
      </c>
      <c r="NB7" s="58" t="s">
        <v>59</v>
      </c>
      <c r="NC7" s="58" t="s">
        <v>43</v>
      </c>
      <c r="NE7" s="58" t="s">
        <v>59</v>
      </c>
    </row>
    <row r="8" spans="1:369">
      <c r="A8" s="36" t="s">
        <v>95</v>
      </c>
      <c r="B8" s="36" t="s">
        <v>17</v>
      </c>
      <c r="C8" s="36" t="s">
        <v>18</v>
      </c>
      <c r="D8" s="36"/>
      <c r="E8" s="36"/>
      <c r="F8" t="str">
        <f>+F4</f>
        <v>Dólar</v>
      </c>
      <c r="G8" t="str">
        <f t="shared" ref="G8:L8" si="16">+G4&amp;"|"&amp;G5</f>
        <v>Inflación|IPC</v>
      </c>
      <c r="H8" t="str">
        <f t="shared" si="16"/>
        <v>Sueldos|Peón</v>
      </c>
      <c r="I8" t="str">
        <f t="shared" si="16"/>
        <v>Labores|Gasoil</v>
      </c>
      <c r="J8" t="str">
        <f t="shared" si="16"/>
        <v>Insumo|Urea</v>
      </c>
      <c r="K8" t="str">
        <f t="shared" si="16"/>
        <v>Insumo|Glifosato</v>
      </c>
      <c r="L8" t="str">
        <f t="shared" si="16"/>
        <v>Flete|300 km BA</v>
      </c>
      <c r="N8" t="str">
        <f t="shared" ref="N8:BD8" si="17">+N3&amp;"|"&amp;N4&amp;"|"&amp;N5</f>
        <v>Precio|Algodón|C 1/2</v>
      </c>
      <c r="O8" t="str">
        <f t="shared" si="17"/>
        <v>Precio|Algodón|D 1/2</v>
      </c>
      <c r="P8" t="str">
        <f t="shared" si="17"/>
        <v>Precio|Algodón|Promedio</v>
      </c>
      <c r="Q8" t="str">
        <f t="shared" si="17"/>
        <v>Precio|Arroz|Largo Fino</v>
      </c>
      <c r="R8" t="str">
        <f t="shared" si="17"/>
        <v>Precio|Arroz|Largo Fino</v>
      </c>
      <c r="S8" t="str">
        <f t="shared" si="17"/>
        <v>Precio|Cebada|Pizarra BB</v>
      </c>
      <c r="T8" t="str">
        <f t="shared" si="17"/>
        <v>Precio|Girasol|Disp. ROS</v>
      </c>
      <c r="U8" t="str">
        <f t="shared" si="17"/>
        <v>Precio|Maíz|ROS abril</v>
      </c>
      <c r="V8" t="str">
        <f t="shared" si="17"/>
        <v>Precio|Soja|ROS Mayo</v>
      </c>
      <c r="W8" t="str">
        <f t="shared" si="17"/>
        <v>Precio|Sorgo|Granífero</v>
      </c>
      <c r="X8" t="str">
        <f t="shared" si="17"/>
        <v>Precio|Trigo|ROS Enero</v>
      </c>
      <c r="Y8" t="str">
        <f t="shared" si="17"/>
        <v>|Cebada|Disp. QQ</v>
      </c>
      <c r="Z8" t="str">
        <f t="shared" si="17"/>
        <v>|Girasol|Disp. ROS</v>
      </c>
      <c r="AA8" t="str">
        <f t="shared" si="17"/>
        <v>|Maíz|Disp. ROS</v>
      </c>
      <c r="AB8" t="str">
        <f t="shared" si="17"/>
        <v>|Soja|Disp. ROS</v>
      </c>
      <c r="AC8" t="str">
        <f t="shared" si="17"/>
        <v>|Sorgo|Disp. ROS</v>
      </c>
      <c r="AD8" t="str">
        <f t="shared" si="17"/>
        <v>|Trigo|Disp. BA</v>
      </c>
      <c r="AE8" t="str">
        <f t="shared" si="17"/>
        <v>Precio|Granos|Disp.</v>
      </c>
      <c r="AF8" t="str">
        <f t="shared" si="17"/>
        <v>Precio|Maní|Pizarra</v>
      </c>
      <c r="AG8" t="str">
        <f t="shared" si="17"/>
        <v>Precio|Yerba Mate|Hoja Verde</v>
      </c>
      <c r="AH8" t="str">
        <f t="shared" si="17"/>
        <v>Precio|Yerba Mate|Canchada</v>
      </c>
      <c r="AI8" t="str">
        <f t="shared" si="17"/>
        <v>Precio|Vino Tinto|Disp.</v>
      </c>
      <c r="AJ8" t="str">
        <f t="shared" si="17"/>
        <v>Precio|Vino Rosado|Disp.</v>
      </c>
      <c r="AK8" t="str">
        <f t="shared" si="17"/>
        <v>Precio|Vino Blanco|Disp.</v>
      </c>
      <c r="AL8" t="str">
        <f t="shared" si="17"/>
        <v>Precio|Mosto|Disp.</v>
      </c>
      <c r="AM8" t="str">
        <f t="shared" si="17"/>
        <v>Precio|Vino y Mosto|Disp.</v>
      </c>
      <c r="AN8" t="str">
        <f t="shared" si="17"/>
        <v>Precio|Manzana |Mayorista</v>
      </c>
      <c r="AO8" t="str">
        <f t="shared" si="17"/>
        <v>Precio|Pera|Mayorista</v>
      </c>
      <c r="AP8" t="str">
        <f t="shared" si="17"/>
        <v>Precio|Pera y Manzana|Mayorista</v>
      </c>
      <c r="AQ8" t="str">
        <f t="shared" si="17"/>
        <v>Precio|Limón|Mayorista</v>
      </c>
      <c r="AR8" t="str">
        <f t="shared" si="17"/>
        <v>Precio|Mandarina|Mayorista</v>
      </c>
      <c r="AS8" t="str">
        <f t="shared" si="17"/>
        <v>Precio|Naranja|Mayorista</v>
      </c>
      <c r="AT8" t="str">
        <f t="shared" si="17"/>
        <v>Precio|Pomelo|Mayorista</v>
      </c>
      <c r="AU8" t="str">
        <f t="shared" si="17"/>
        <v>Precio|Citricos Dulces|Mayorista</v>
      </c>
      <c r="AV8" t="str">
        <f t="shared" si="17"/>
        <v>Precio|Papa|Mayorista</v>
      </c>
      <c r="AW8" t="str">
        <f t="shared" si="17"/>
        <v>Precio|Mandioca|Mayorista</v>
      </c>
      <c r="AX8" s="7" t="str">
        <f t="shared" si="17"/>
        <v>Precio|Cebolla|Mayorista</v>
      </c>
      <c r="AY8" s="7" t="str">
        <f t="shared" si="17"/>
        <v>Precio|Tomate|Mayorista</v>
      </c>
      <c r="AZ8" s="7" t="str">
        <f t="shared" si="17"/>
        <v>Precio|Zanahoria|Mayorista</v>
      </c>
      <c r="BA8" s="7" t="str">
        <f t="shared" si="17"/>
        <v>Precio|Zapallo|Mayorista</v>
      </c>
      <c r="BB8" t="str">
        <f t="shared" si="17"/>
        <v>Precio|Hortalizas|Mayorista</v>
      </c>
      <c r="BC8" s="68" t="str">
        <f t="shared" si="17"/>
        <v>Precio|Forestación|Pino 25-30 pf</v>
      </c>
      <c r="BD8" s="68" t="str">
        <f t="shared" si="17"/>
        <v>Precio|Forestación|Euca 25-30 pf</v>
      </c>
      <c r="BE8" s="7" t="str">
        <f>+BG3&amp;"|"&amp;BG4&amp;"|"&amp;BE5</f>
        <v>Precio|Forestación|Euca +18pf</v>
      </c>
      <c r="BF8" s="7"/>
      <c r="BG8" t="str">
        <f>+BK3&amp;"|"&amp;BK4&amp;"|"&amp;BG5</f>
        <v>Precio|Novillito|Prom.</v>
      </c>
      <c r="BH8" s="7" t="str">
        <f>+BH3&amp;"|"&amp;BH4&amp;"|"&amp;BH5</f>
        <v>Precio|Tabaco|Acopio</v>
      </c>
      <c r="BI8" s="7" t="str">
        <f>+BI3&amp;"|"&amp;BI4&amp;"|"&amp;BI5</f>
        <v>Precio|Tabaco|FET</v>
      </c>
      <c r="BJ8" t="str">
        <f>+BJ3&amp;"|"&amp;BJ4&amp;"|"&amp;BJ5</f>
        <v>Precio|Tabaco|Acopio+FET</v>
      </c>
      <c r="BK8" t="str">
        <f>+BK3&amp;"|"&amp;BK4&amp;"|"&amp;BK5</f>
        <v>Precio|Novillito|Prom Rinde 55%</v>
      </c>
      <c r="BL8" t="str">
        <f>+BL3&amp;"|"&amp;BL4&amp;"|"&amp;BL5</f>
        <v>Precio|Ternero|Prom.</v>
      </c>
      <c r="BN8" t="str">
        <f t="shared" ref="BN8:BT8" si="18">+BN3&amp;"|"&amp;BN4&amp;"|"&amp;BN5</f>
        <v>Precio|Leche|Prom.</v>
      </c>
      <c r="BO8" t="str">
        <f t="shared" si="18"/>
        <v>Precio|Pollo|Prom Mayorista</v>
      </c>
      <c r="BP8" t="str">
        <f t="shared" si="18"/>
        <v>Precio|Huevo|Doc  Mayorista</v>
      </c>
      <c r="BQ8" t="str">
        <f t="shared" si="18"/>
        <v>Precio|Aves|Prom.</v>
      </c>
      <c r="BR8" t="str">
        <f t="shared" si="18"/>
        <v>Precio|Capón|Prom.</v>
      </c>
      <c r="BS8" t="str">
        <f t="shared" si="18"/>
        <v>Precio|Cordero|Prom</v>
      </c>
      <c r="BT8" t="str">
        <f t="shared" si="18"/>
        <v>Precio|Lana|Prom</v>
      </c>
      <c r="BV8" t="str">
        <f>+BV3&amp;"|"&amp;BV4&amp;"|"&amp;BV5</f>
        <v>Precio|Miel|Exportacion</v>
      </c>
      <c r="BX8" t="str">
        <f t="shared" ref="BX8:DI8" si="19">+BX3&amp;"|"&amp;BX4&amp;"|"&amp;BX5</f>
        <v>||</v>
      </c>
      <c r="BY8" s="67" t="str">
        <f t="shared" si="19"/>
        <v>Costo|Algodón|Indice</v>
      </c>
      <c r="BZ8" s="67" t="str">
        <f t="shared" si="19"/>
        <v>Costo|Arroz|Indice</v>
      </c>
      <c r="CA8" s="67" t="str">
        <f t="shared" si="19"/>
        <v>Costo|Cebada|Indice</v>
      </c>
      <c r="CB8" s="67" t="str">
        <f t="shared" si="19"/>
        <v>Costo|Girasol|Indice</v>
      </c>
      <c r="CC8" s="67" t="str">
        <f t="shared" si="19"/>
        <v>Costo|Maíz|Indice</v>
      </c>
      <c r="CD8" s="67" t="str">
        <f t="shared" si="19"/>
        <v>Costo|Soja|Indice</v>
      </c>
      <c r="CE8" s="67" t="str">
        <f t="shared" si="19"/>
        <v>Costo|Sorgo|Indice</v>
      </c>
      <c r="CF8" s="67" t="str">
        <f t="shared" si="19"/>
        <v>Costo|Trigo|Indice</v>
      </c>
      <c r="CG8" s="67" t="str">
        <f t="shared" si="19"/>
        <v>Costo|Granos|Indice</v>
      </c>
      <c r="CH8" s="67" t="str">
        <f t="shared" si="19"/>
        <v>Costo|Maní|Indice</v>
      </c>
      <c r="CI8" s="67" t="str">
        <f t="shared" si="19"/>
        <v>Costo|Papa|Indice</v>
      </c>
      <c r="CJ8" s="67" t="str">
        <f t="shared" si="19"/>
        <v>Costo|Mandioca|Indice</v>
      </c>
      <c r="CK8" s="67" t="str">
        <f t="shared" si="19"/>
        <v>Costo|Cebolla|Indice</v>
      </c>
      <c r="CL8" s="67" t="str">
        <f t="shared" si="19"/>
        <v>Costo|Tomate|Indice</v>
      </c>
      <c r="CM8" s="67" t="str">
        <f t="shared" si="19"/>
        <v>Costo|Zanahoria|Indice</v>
      </c>
      <c r="CN8" s="67" t="str">
        <f t="shared" si="19"/>
        <v>Costo|Zapallo|Indice</v>
      </c>
      <c r="CO8" s="67" t="str">
        <f t="shared" si="19"/>
        <v>Costo|Hortalizas|Indice</v>
      </c>
      <c r="CP8" s="67" t="str">
        <f t="shared" si="19"/>
        <v>Costo|Vino-Mosto|Indice</v>
      </c>
      <c r="CQ8" s="67" t="str">
        <f t="shared" si="19"/>
        <v>Costo|Manzana|Indice</v>
      </c>
      <c r="CR8" s="67" t="str">
        <f t="shared" si="19"/>
        <v>Costo|Pera|Indice</v>
      </c>
      <c r="CS8" s="67" t="str">
        <f t="shared" si="19"/>
        <v>Costo|Pera y Manzana|Indice</v>
      </c>
      <c r="CT8" s="67" t="str">
        <f t="shared" si="19"/>
        <v>Costo|Limon|Indice</v>
      </c>
      <c r="CU8" s="67" t="str">
        <f t="shared" si="19"/>
        <v>Costo|Mandarina|Indice</v>
      </c>
      <c r="CV8" s="67" t="str">
        <f t="shared" si="19"/>
        <v>Costo|Naranja|Indice</v>
      </c>
      <c r="CW8" s="67" t="str">
        <f t="shared" si="19"/>
        <v>Costo|Pomelo|Indice</v>
      </c>
      <c r="CX8" s="67" t="str">
        <f t="shared" si="19"/>
        <v>Costo|Citricos Dulces|Indice</v>
      </c>
      <c r="CY8" s="67" t="str">
        <f t="shared" si="19"/>
        <v>Costo|Yerba Mate|Indice</v>
      </c>
      <c r="CZ8" s="67" t="str">
        <f t="shared" si="19"/>
        <v>Costo|Forestación|Indice</v>
      </c>
      <c r="DA8" s="67" t="str">
        <f t="shared" si="19"/>
        <v>Costo|Tabaco|Indice</v>
      </c>
      <c r="DB8" s="67" t="str">
        <f t="shared" si="19"/>
        <v>Costo|Bovinos|Indice</v>
      </c>
      <c r="DC8" s="67" t="str">
        <f t="shared" si="19"/>
        <v>Costo|Leche|Indice</v>
      </c>
      <c r="DD8" s="67" t="str">
        <f t="shared" si="19"/>
        <v>Costo|Porcino|Indice</v>
      </c>
      <c r="DE8" s="67" t="str">
        <f t="shared" si="19"/>
        <v>Costo|Aviar Pollo|Indice</v>
      </c>
      <c r="DF8" s="67" t="str">
        <f t="shared" si="19"/>
        <v>Costo|Aviar Huevo|Indice</v>
      </c>
      <c r="DG8" s="67" t="str">
        <f t="shared" si="19"/>
        <v>Costo|Aves|Indice</v>
      </c>
      <c r="DH8" s="67" t="str">
        <f t="shared" si="19"/>
        <v>Costo|Miel|Indice</v>
      </c>
      <c r="DI8" s="67" t="str">
        <f t="shared" si="19"/>
        <v>Costo|Ovino|Indice</v>
      </c>
      <c r="DK8" s="1" t="str">
        <f t="shared" ref="DK8:EO8" si="20">+DK3&amp;"|"&amp;DK4&amp;"|"&amp;DK5</f>
        <v>Área/Stock|Algodón|Sup</v>
      </c>
      <c r="DL8" s="1" t="str">
        <f t="shared" si="20"/>
        <v>Área/Stock|Algodón|Campaña</v>
      </c>
      <c r="DM8" s="1" t="str">
        <f t="shared" si="20"/>
        <v>Área/Stock|Arroz|Sup</v>
      </c>
      <c r="DN8" s="1" t="str">
        <f t="shared" si="20"/>
        <v>Área/Stock|Arroz|Campaña</v>
      </c>
      <c r="DO8" s="1" t="str">
        <f t="shared" si="20"/>
        <v>Área/Stock|Cebada|Sup</v>
      </c>
      <c r="DP8" s="1" t="str">
        <f t="shared" si="20"/>
        <v>Área/Stock|Cebada|Campaña</v>
      </c>
      <c r="DQ8" s="1" t="str">
        <f t="shared" si="20"/>
        <v>Área/Stock|Girasol|Sup</v>
      </c>
      <c r="DR8" s="1" t="str">
        <f t="shared" si="20"/>
        <v>Área/Stock|Girasol|Campaña</v>
      </c>
      <c r="DS8" s="1" t="str">
        <f t="shared" si="20"/>
        <v>Área/Stock|Maíz|Sup</v>
      </c>
      <c r="DT8" s="1" t="str">
        <f t="shared" si="20"/>
        <v>Área/Stock|Maíz|Campaña</v>
      </c>
      <c r="DU8" s="1" t="str">
        <f t="shared" si="20"/>
        <v>Área/Stock|Soja|Sup</v>
      </c>
      <c r="DV8" s="1" t="str">
        <f t="shared" si="20"/>
        <v>Área/Stock|Soja|Campaña</v>
      </c>
      <c r="DW8" s="1" t="str">
        <f t="shared" si="20"/>
        <v>Área/Stock|Sorgo|Sup</v>
      </c>
      <c r="DX8" s="1" t="str">
        <f t="shared" si="20"/>
        <v>Área/Stock|Sorgo|Campaña</v>
      </c>
      <c r="DY8" s="1" t="str">
        <f t="shared" si="20"/>
        <v>Área/Stock|Trigo|Sup</v>
      </c>
      <c r="DZ8" s="1" t="str">
        <f t="shared" si="20"/>
        <v>Área/Stock|Trigo|Campaña</v>
      </c>
      <c r="EA8" s="1"/>
      <c r="EB8" s="1" t="str">
        <f>+EB3&amp;"|"&amp;EB4&amp;"|"&amp;EB5</f>
        <v>Área/Stock|Maní|Sup</v>
      </c>
      <c r="EC8" s="1" t="str">
        <f>+EC3&amp;"|"&amp;EC4&amp;"|"&amp;EC5</f>
        <v>Área/Stock|Maní|Campaña</v>
      </c>
      <c r="ED8" s="1" t="str">
        <f>+ED3&amp;"|"&amp;ED4&amp;"|"&amp;ED5</f>
        <v>Área/Stock|Yerba Mate|Sup</v>
      </c>
      <c r="EE8" s="1" t="str">
        <f>+EE3&amp;"|"&amp;EE4&amp;"|"&amp;EE5</f>
        <v>Área/Stock|Yerba Mate|Campaña</v>
      </c>
      <c r="EF8" s="1" t="str">
        <f t="shared" si="20"/>
        <v>Área/Stock|Vitivinicultura|Sup</v>
      </c>
      <c r="EG8" s="6" t="str">
        <f t="shared" si="20"/>
        <v>Área/Stock|Vitivinicultura|Campaña</v>
      </c>
      <c r="EH8" s="1" t="str">
        <f t="shared" si="20"/>
        <v>Área/Stock|Bovinos|Cab</v>
      </c>
      <c r="EI8" s="6" t="str">
        <f t="shared" si="20"/>
        <v>Área/Stock|Bovinos|Año</v>
      </c>
      <c r="EJ8" s="1" t="str">
        <f t="shared" si="20"/>
        <v>Área/Stock|Porcinos|Cab</v>
      </c>
      <c r="EK8" s="6" t="str">
        <f t="shared" si="20"/>
        <v>Área/Stock|Porcinos|Año</v>
      </c>
      <c r="EL8" s="1" t="str">
        <f t="shared" si="20"/>
        <v>Área/Stock|Ovinos|Cab</v>
      </c>
      <c r="EM8" s="6" t="str">
        <f t="shared" si="20"/>
        <v>Área/Stock|Ovinos|Año</v>
      </c>
      <c r="EN8" s="1" t="str">
        <f t="shared" si="20"/>
        <v>Área/Stock|Lechería|Cab</v>
      </c>
      <c r="EO8" s="6" t="str">
        <f t="shared" si="20"/>
        <v>Área/Stock|Lechería|Año</v>
      </c>
      <c r="EP8" s="1" t="str">
        <f>+EP3&amp;"|"&amp;EP4&amp;"|"&amp;EP5</f>
        <v>Área/Stock|Aves|Año</v>
      </c>
      <c r="EQ8" s="1" t="str">
        <f>+EQ3&amp;"|"&amp;EQ4&amp;"|"&amp;EQ5</f>
        <v>Área/Stock|Miel|Colmenas</v>
      </c>
      <c r="ER8" s="1" t="str">
        <f t="shared" ref="ER8:FA8" si="21">+ER3&amp;"|"&amp;ER4&amp;"|"&amp;ER5</f>
        <v>Área/Stock|Cítricos|Sup</v>
      </c>
      <c r="ES8" s="1" t="str">
        <f t="shared" si="21"/>
        <v>Área/Stock|Forestal|Sup</v>
      </c>
      <c r="ET8" s="1" t="str">
        <f t="shared" si="21"/>
        <v>Área/Stock|Cebolla|Sup</v>
      </c>
      <c r="EU8" s="1" t="str">
        <f t="shared" si="21"/>
        <v>Área/Stock|Tomate|Sup</v>
      </c>
      <c r="EV8" s="1" t="str">
        <f t="shared" si="21"/>
        <v>Área/Stock|Zanahoria|Sup</v>
      </c>
      <c r="EW8" s="1" t="str">
        <f t="shared" si="21"/>
        <v>Área/Stock|Zapallo|Sup</v>
      </c>
      <c r="EX8" s="1" t="str">
        <f t="shared" si="21"/>
        <v>Área/Stock|Hortalizas|Sup</v>
      </c>
      <c r="EY8" s="1" t="str">
        <f t="shared" si="21"/>
        <v>Área/Stock|Mandioca|Sup</v>
      </c>
      <c r="EZ8" s="1" t="str">
        <f t="shared" si="21"/>
        <v>Área/Stock|Papa|Sup Cosechada</v>
      </c>
      <c r="FA8" s="1" t="str">
        <f t="shared" si="21"/>
        <v>Área/Stock|Peras|Sup</v>
      </c>
      <c r="FB8" s="1" t="str">
        <f>+FB3&amp;"|"&amp;FB4&amp;"|"&amp;FB5</f>
        <v>Área/Stock|Manzanas|Sup</v>
      </c>
      <c r="FC8" s="1"/>
      <c r="FD8" s="1" t="str">
        <f>+FD3&amp;"|"&amp;FD4&amp;"|"&amp;FD5</f>
        <v>Área/Stock|Tabaco|Sup</v>
      </c>
      <c r="FE8" s="1"/>
      <c r="FF8" s="1" t="str">
        <f t="shared" ref="FF8:GA8" si="22">+FF3&amp;"|"&amp;FF4&amp;"|"&amp;FF5</f>
        <v>Producción|Algodón|Volumen</v>
      </c>
      <c r="FG8" s="1" t="str">
        <f t="shared" si="22"/>
        <v>Producción|Algodón|Campaña</v>
      </c>
      <c r="FH8" s="1" t="str">
        <f t="shared" si="22"/>
        <v>Producción|Arroz|Volumen</v>
      </c>
      <c r="FI8" s="1" t="str">
        <f t="shared" si="22"/>
        <v>Producción|Arroz|Campaña</v>
      </c>
      <c r="FJ8" s="1" t="str">
        <f t="shared" si="22"/>
        <v>Producción|Cebada|Volumen</v>
      </c>
      <c r="FK8" s="1" t="str">
        <f t="shared" si="22"/>
        <v>Producción|Cebada|Campaña</v>
      </c>
      <c r="FL8" s="1" t="str">
        <f t="shared" si="22"/>
        <v>Producción|Girasol|Volumen</v>
      </c>
      <c r="FM8" s="1" t="str">
        <f t="shared" si="22"/>
        <v>Producción|Girasol|Campaña</v>
      </c>
      <c r="FN8" s="1" t="str">
        <f t="shared" si="22"/>
        <v>Producción|Maíz|Volumen</v>
      </c>
      <c r="FO8" s="1" t="str">
        <f t="shared" si="22"/>
        <v>Producción|Maíz|Campaña</v>
      </c>
      <c r="FP8" s="1" t="str">
        <f t="shared" si="22"/>
        <v>Producción|Soja|Volumen</v>
      </c>
      <c r="FQ8" s="1" t="str">
        <f t="shared" si="22"/>
        <v>Producción|Soja|Campaña</v>
      </c>
      <c r="FR8" s="1" t="str">
        <f t="shared" si="22"/>
        <v>Producción|Sorgo|Volumen</v>
      </c>
      <c r="FS8" s="1" t="str">
        <f t="shared" si="22"/>
        <v>Producción|Sorgo|Campaña</v>
      </c>
      <c r="FT8" s="1" t="str">
        <f t="shared" si="22"/>
        <v>Producción|Trigo|Volumen</v>
      </c>
      <c r="FU8" s="1" t="str">
        <f t="shared" si="22"/>
        <v>Producción|Trigo|Campaña</v>
      </c>
      <c r="FV8" s="1" t="str">
        <f t="shared" si="22"/>
        <v>Producción|Granos|Volumen</v>
      </c>
      <c r="FW8" s="1" t="str">
        <f t="shared" si="22"/>
        <v>Producción|Maní|Volumen</v>
      </c>
      <c r="FX8" s="1" t="str">
        <f t="shared" si="22"/>
        <v>Producción|Maní|Campaña</v>
      </c>
      <c r="FY8" s="1" t="str">
        <f t="shared" si="22"/>
        <v>Producción|Yerba Mate|Mensual</v>
      </c>
      <c r="FZ8" s="1" t="str">
        <f t="shared" si="22"/>
        <v>Producción|Yerba Mate|12 meses</v>
      </c>
      <c r="GA8" s="1" t="str">
        <f t="shared" si="22"/>
        <v>Producción|Yerba Mate|Campaña</v>
      </c>
      <c r="GB8" s="1" t="str">
        <f t="shared" ref="GB8:GG8" si="23">+GB3&amp;"|"&amp;GB4&amp;"|"&amp;GB5</f>
        <v>Producción|Uva para vino|Volumen</v>
      </c>
      <c r="GD8" s="1" t="str">
        <f t="shared" si="23"/>
        <v>Producción|Limón|Volumen</v>
      </c>
      <c r="GE8" s="1" t="str">
        <f t="shared" si="23"/>
        <v>Producción|Mandarina|Volumen</v>
      </c>
      <c r="GF8" s="1" t="str">
        <f t="shared" si="23"/>
        <v>Producción|Naranja|Volumen</v>
      </c>
      <c r="GG8" s="1" t="str">
        <f t="shared" si="23"/>
        <v>Producción|Pomelo|Volumen</v>
      </c>
      <c r="GH8" s="1" t="str">
        <f t="shared" ref="GH8:GN8" si="24">+GH3&amp;"|"&amp;GH4&amp;"|"&amp;GH5</f>
        <v>Producción|Cítricos|Volumen</v>
      </c>
      <c r="GI8" s="1" t="str">
        <f t="shared" si="24"/>
        <v>Producción|Forestal|Volumen</v>
      </c>
      <c r="GJ8" s="1" t="str">
        <f t="shared" si="24"/>
        <v>Producción|Cebolla|Volumen</v>
      </c>
      <c r="GK8" s="1" t="str">
        <f t="shared" si="24"/>
        <v>Producción|Tomate|Volumen</v>
      </c>
      <c r="GL8" s="1" t="str">
        <f t="shared" si="24"/>
        <v>Producción|Zanahoria|Volumen</v>
      </c>
      <c r="GM8" s="1" t="str">
        <f t="shared" si="24"/>
        <v>Producción|Zapallo|Volumen</v>
      </c>
      <c r="GN8" s="1" t="str">
        <f t="shared" si="24"/>
        <v>Producción|Hortalizas|Volumen</v>
      </c>
      <c r="GO8" s="1" t="str">
        <f t="shared" ref="GO8:HQ8" si="25">+GO3&amp;"|"&amp;GO4&amp;"|"&amp;GO5</f>
        <v>Producción|Mandioca|Volumen</v>
      </c>
      <c r="GP8" s="1" t="str">
        <f t="shared" si="25"/>
        <v>Producción|Miel|Volumen</v>
      </c>
      <c r="GQ8" s="1" t="str">
        <f t="shared" si="25"/>
        <v>Producción|Ovino Carne|Faena</v>
      </c>
      <c r="GR8" s="1" t="str">
        <f t="shared" si="25"/>
        <v>Producción|Lana|Volumen</v>
      </c>
      <c r="GS8" s="1" t="str">
        <f t="shared" si="25"/>
        <v>Producción|Ovino|Volumen</v>
      </c>
      <c r="GT8" s="1" t="str">
        <f t="shared" si="25"/>
        <v>Producción|Papa|Volumen</v>
      </c>
      <c r="GU8" s="1" t="str">
        <f t="shared" si="25"/>
        <v>Producción|Pera|Volumen Mensual</v>
      </c>
      <c r="GV8" s="1" t="str">
        <f t="shared" si="25"/>
        <v>Producción|Manzana|Volumen Mensual</v>
      </c>
      <c r="GW8" s="1" t="str">
        <f t="shared" si="25"/>
        <v>Producción|Pera y Manzana|Vol 12 m</v>
      </c>
      <c r="GX8" s="1" t="str">
        <f t="shared" si="25"/>
        <v>Producción|Tabaco|Vol. Salta</v>
      </c>
      <c r="GY8" s="1" t="str">
        <f t="shared" si="25"/>
        <v>Producción|Tabaco|Campaña</v>
      </c>
      <c r="GZ8" s="1" t="str">
        <f t="shared" si="25"/>
        <v>Producción|Tabaco|Vol. Nacional</v>
      </c>
      <c r="HA8" s="1" t="str">
        <f t="shared" si="25"/>
        <v>Producción|Bovinos|Mensual</v>
      </c>
      <c r="HB8" s="1" t="str">
        <f t="shared" si="25"/>
        <v>Producción|Bovinos|12 meses</v>
      </c>
      <c r="HC8" s="1" t="str">
        <f t="shared" si="25"/>
        <v>Producción|Bovinos|12 meses</v>
      </c>
      <c r="HD8" s="1" t="str">
        <f t="shared" si="25"/>
        <v>Producción|Porcinos|Mensual</v>
      </c>
      <c r="HE8" s="1" t="str">
        <f t="shared" si="25"/>
        <v>Producción|Porcinos|12 meses</v>
      </c>
      <c r="HF8" s="1" t="str">
        <f t="shared" si="25"/>
        <v>Producción|Porcinos|12 meses</v>
      </c>
      <c r="HG8" s="1" t="str">
        <f t="shared" si="25"/>
        <v>Producción|Aviar|Mensual</v>
      </c>
      <c r="HH8" s="1" t="str">
        <f t="shared" si="25"/>
        <v>Producción|Aviar|12 meses</v>
      </c>
      <c r="HI8" s="1" t="str">
        <f t="shared" si="25"/>
        <v>Producción|Aviar|12 meses</v>
      </c>
      <c r="HJ8" s="1" t="str">
        <f t="shared" si="25"/>
        <v>Producción|Aviar|Mensual</v>
      </c>
      <c r="HK8" s="1" t="str">
        <f t="shared" si="25"/>
        <v>Producción|Aviar|12 meses</v>
      </c>
      <c r="HL8" s="1" t="str">
        <f t="shared" si="25"/>
        <v>Producción|Aviar|12 meses</v>
      </c>
      <c r="HM8" s="1" t="str">
        <f t="shared" si="25"/>
        <v>Producción|Aviar|12 meses</v>
      </c>
      <c r="HN8" s="69" t="str">
        <f t="shared" si="25"/>
        <v>Producción|Lechería|Var. interanual</v>
      </c>
      <c r="HO8" s="1" t="str">
        <f t="shared" si="25"/>
        <v>Producción|Lechería|Mensual</v>
      </c>
      <c r="HP8" s="1" t="str">
        <f t="shared" si="25"/>
        <v>Producción|Lechería|12 meses</v>
      </c>
      <c r="HQ8" s="1" t="str">
        <f t="shared" si="25"/>
        <v>Producción|Lechería|12 meses</v>
      </c>
      <c r="HR8" s="1"/>
      <c r="HS8" s="1" t="str">
        <f t="shared" ref="HS8:IH8" si="26">+HS3&amp;"|"&amp;HS4&amp;"|"&amp;HS5</f>
        <v>Consumo|Algodón|Volumen</v>
      </c>
      <c r="HT8" s="1" t="str">
        <f t="shared" si="26"/>
        <v>Consumo|Algodón|Campaña</v>
      </c>
      <c r="HU8" s="1" t="str">
        <f t="shared" si="26"/>
        <v>Consumo|Arroz|Volumen</v>
      </c>
      <c r="HV8" s="1" t="str">
        <f t="shared" si="26"/>
        <v>Consumo|Arroz|Campaña</v>
      </c>
      <c r="HW8" s="1" t="str">
        <f t="shared" si="26"/>
        <v>Consumo|Cebada|Volumen</v>
      </c>
      <c r="HX8" s="1" t="str">
        <f t="shared" si="26"/>
        <v>Consumo|Cebada|Campaña</v>
      </c>
      <c r="HY8" s="1" t="str">
        <f t="shared" si="26"/>
        <v>Consumo|Girasol|Volumen</v>
      </c>
      <c r="HZ8" s="1" t="str">
        <f t="shared" si="26"/>
        <v>Consumo|Girasol|Campaña</v>
      </c>
      <c r="IA8" s="1" t="str">
        <f t="shared" si="26"/>
        <v>Consumo|Maíz|Volumen</v>
      </c>
      <c r="IB8" s="1" t="str">
        <f t="shared" si="26"/>
        <v>Consumo|Maíz|Campaña</v>
      </c>
      <c r="IC8" s="1" t="str">
        <f t="shared" si="26"/>
        <v>Consumo|Soja|Volumen</v>
      </c>
      <c r="ID8" s="1" t="str">
        <f t="shared" si="26"/>
        <v>Consumo|Soja|Campaña</v>
      </c>
      <c r="IE8" s="1" t="str">
        <f t="shared" si="26"/>
        <v>Consumo|Sorgo|Volumen</v>
      </c>
      <c r="IF8" s="1" t="str">
        <f t="shared" si="26"/>
        <v>Consumo|Sorgo|Campaña</v>
      </c>
      <c r="IG8" s="1" t="str">
        <f t="shared" si="26"/>
        <v>Consumo|Trigo|Volumen</v>
      </c>
      <c r="IH8" s="1" t="str">
        <f t="shared" si="26"/>
        <v>Consumo|Trigo|Campaña</v>
      </c>
      <c r="II8" s="1" t="str">
        <f t="shared" ref="II8:JD8" si="27">+II3&amp;"|"&amp;II4&amp;"|"&amp;II5</f>
        <v>Consumo|Granos|Volumen</v>
      </c>
      <c r="IJ8" s="1" t="str">
        <f t="shared" si="27"/>
        <v>Consumo|Maní|Volumen</v>
      </c>
      <c r="IK8" s="1" t="str">
        <f t="shared" si="27"/>
        <v>Consumo|Maní|Campaña</v>
      </c>
      <c r="IL8" s="1" t="str">
        <f t="shared" si="27"/>
        <v>Consumo|Aves|Volumen</v>
      </c>
      <c r="IM8" s="1" t="str">
        <f t="shared" si="27"/>
        <v>Consumo|Bovinos|Volumen</v>
      </c>
      <c r="IN8" s="1" t="str">
        <f t="shared" si="27"/>
        <v>Consumo|Lácteos|Volumen</v>
      </c>
      <c r="IO8" s="1" t="str">
        <f t="shared" si="27"/>
        <v>Consumo|Porcinos|Volumen</v>
      </c>
      <c r="IP8" s="1" t="str">
        <f t="shared" si="27"/>
        <v>Consumo|Yerba Mate|Volumen</v>
      </c>
      <c r="IQ8" s="1" t="str">
        <f t="shared" si="27"/>
        <v>Consumo|Vitivinicultura|Volumen</v>
      </c>
      <c r="IR8" s="1" t="str">
        <f t="shared" si="27"/>
        <v>Consumo|Limón|Volumen</v>
      </c>
      <c r="IS8" s="1" t="str">
        <f t="shared" si="27"/>
        <v>Consumo|Mandarina|Volumen</v>
      </c>
      <c r="IT8" s="1" t="str">
        <f t="shared" si="27"/>
        <v>Consumo|Naranja|Volumen</v>
      </c>
      <c r="IU8" s="1" t="str">
        <f t="shared" si="27"/>
        <v>Consumo|Pomelo|Volumen</v>
      </c>
      <c r="IV8" s="1" t="str">
        <f t="shared" si="27"/>
        <v>Consumo|Citricos Dulces|Volumen</v>
      </c>
      <c r="IW8" s="1" t="str">
        <f t="shared" si="27"/>
        <v>Consumo|Forestal|Volumen</v>
      </c>
      <c r="IX8" s="1" t="str">
        <f t="shared" si="27"/>
        <v>Consumo|Hortalizas|Volumen</v>
      </c>
      <c r="IY8" s="5" t="str">
        <f t="shared" si="27"/>
        <v>Consumo|Mandioca|Volumen</v>
      </c>
      <c r="IZ8" s="1" t="str">
        <f t="shared" si="27"/>
        <v>Consumo|Miel|Volumen</v>
      </c>
      <c r="JA8" s="1" t="str">
        <f t="shared" si="27"/>
        <v>Consumo|Ovino|Volumen año</v>
      </c>
      <c r="JB8" s="1" t="str">
        <f t="shared" si="27"/>
        <v>Consumo|Papa|Volumen Mensual</v>
      </c>
      <c r="JC8" s="1" t="str">
        <f t="shared" si="27"/>
        <v>Consumo|Peras y Manzanas|Vol 12 m</v>
      </c>
      <c r="JD8" s="1" t="str">
        <f t="shared" si="27"/>
        <v>Consumo|Tabaco|Vol. Salta</v>
      </c>
      <c r="JF8" s="1" t="str">
        <f>+JF3&amp;"|"&amp;JF4&amp;"|"&amp;JF5</f>
        <v>Exportaciones|Algodón|Monto</v>
      </c>
      <c r="JG8" s="1" t="str">
        <f t="shared" ref="JG8:LO8" si="28">+JG3&amp;"|"&amp;JG4&amp;"|"&amp;JG5</f>
        <v>Exportaciones|Arroz|Monto</v>
      </c>
      <c r="JH8" s="1" t="str">
        <f t="shared" si="28"/>
        <v>Exportaciones|Cebada|Monto</v>
      </c>
      <c r="JI8" s="1" t="str">
        <f t="shared" si="28"/>
        <v>Exportaciones|Girasol|Monto</v>
      </c>
      <c r="JJ8" s="1" t="str">
        <f t="shared" si="28"/>
        <v>Exportaciones|Maíz|Monto</v>
      </c>
      <c r="JK8" s="1" t="str">
        <f t="shared" si="28"/>
        <v>Exportaciones|Maní|Monto</v>
      </c>
      <c r="JL8" s="1" t="str">
        <f t="shared" si="28"/>
        <v>Exportaciones|Soja|Monto</v>
      </c>
      <c r="JM8" s="1" t="str">
        <f t="shared" si="28"/>
        <v>Exportaciones|Sorgo|Monto</v>
      </c>
      <c r="JN8" s="1" t="str">
        <f t="shared" si="28"/>
        <v>Exportaciones|Trigo|Monto</v>
      </c>
      <c r="JO8" s="1" t="str">
        <f t="shared" si="28"/>
        <v>Exportaciones|Papa|Monto</v>
      </c>
      <c r="JP8" s="1" t="str">
        <f t="shared" si="28"/>
        <v>Exportaciones|Mandioca|Monto</v>
      </c>
      <c r="JQ8" s="1" t="str">
        <f t="shared" si="28"/>
        <v>Exportaciones|Cebolla|Monto</v>
      </c>
      <c r="JR8" s="1" t="str">
        <f t="shared" si="28"/>
        <v>Exportaciones|Tomate|Monto</v>
      </c>
      <c r="JS8" s="1" t="str">
        <f t="shared" si="28"/>
        <v>Exportaciones|Zanahoria|Monto</v>
      </c>
      <c r="JT8" s="1" t="str">
        <f t="shared" si="28"/>
        <v>Exportaciones|Zapallo|Monto</v>
      </c>
      <c r="JU8" s="1" t="str">
        <f t="shared" si="28"/>
        <v>Exportaciones|Vitícola|Monto</v>
      </c>
      <c r="JV8" s="1" t="str">
        <f t="shared" si="28"/>
        <v>Exportaciones|Manzana|Monto</v>
      </c>
      <c r="JW8" s="1" t="str">
        <f t="shared" si="28"/>
        <v>Exportaciones|Pera|Monto</v>
      </c>
      <c r="JX8" s="1" t="str">
        <f t="shared" si="28"/>
        <v>Exportaciones|Limón|Monto</v>
      </c>
      <c r="JY8" s="1" t="str">
        <f t="shared" si="28"/>
        <v>Exportaciones|Mandarina|Monto</v>
      </c>
      <c r="JZ8" s="1" t="str">
        <f t="shared" si="28"/>
        <v>Exportaciones|Naranja|Monto</v>
      </c>
      <c r="KA8" s="1" t="str">
        <f t="shared" si="28"/>
        <v>Exportaciones|Pomelo|Monto</v>
      </c>
      <c r="KB8" s="1" t="str">
        <f t="shared" si="28"/>
        <v>Exportaciones|Forestal|Monto</v>
      </c>
      <c r="KC8" s="1" t="str">
        <f t="shared" si="28"/>
        <v>Exportaciones|Tabaco|Monto</v>
      </c>
      <c r="KD8" s="1" t="str">
        <f t="shared" si="28"/>
        <v>Exportaciones|Yerba Mate|Monto</v>
      </c>
      <c r="KE8" s="1" t="str">
        <f t="shared" si="28"/>
        <v>Exportaciones|Apícola|Monto</v>
      </c>
      <c r="KF8" s="1" t="str">
        <f t="shared" si="28"/>
        <v>Exportaciones|Aviar|Monto</v>
      </c>
      <c r="KG8" s="1" t="str">
        <f t="shared" si="28"/>
        <v>Exportaciones|Bovinos|Monto</v>
      </c>
      <c r="KH8" s="1" t="str">
        <f t="shared" si="28"/>
        <v>Exportaciones|Lechería|Monto</v>
      </c>
      <c r="KI8" s="1" t="str">
        <f t="shared" si="28"/>
        <v>Exportaciones|Ovinos|Monto</v>
      </c>
      <c r="KJ8" s="1" t="str">
        <f t="shared" si="28"/>
        <v>Exportaciones|Porcinos|Monto</v>
      </c>
      <c r="KK8" s="1" t="str">
        <f t="shared" si="28"/>
        <v>Importaciones|Algodón|Monto</v>
      </c>
      <c r="KL8" s="1" t="str">
        <f t="shared" si="28"/>
        <v>Importaciones|Arroz|Monto</v>
      </c>
      <c r="KM8" s="1" t="str">
        <f t="shared" si="28"/>
        <v>Importaciones|Cebada|Monto</v>
      </c>
      <c r="KN8" s="1" t="str">
        <f t="shared" si="28"/>
        <v>Importaciones|Girasol|Monto</v>
      </c>
      <c r="KO8" s="1" t="str">
        <f t="shared" si="28"/>
        <v>Importaciones|Maíz|Monto</v>
      </c>
      <c r="KP8" s="1" t="str">
        <f t="shared" si="28"/>
        <v>Importaciones|Maní|Monto</v>
      </c>
      <c r="KQ8" s="1" t="str">
        <f t="shared" si="28"/>
        <v>Importaciones|Soja|Monto</v>
      </c>
      <c r="KR8" s="1" t="str">
        <f t="shared" si="28"/>
        <v>Importaciones|Sorgo|Monto</v>
      </c>
      <c r="KS8" s="1" t="str">
        <f t="shared" si="28"/>
        <v>Importaciones|Trigo|Monto</v>
      </c>
      <c r="KT8" s="1" t="str">
        <f t="shared" si="28"/>
        <v>Importaciones|Papa|Monto</v>
      </c>
      <c r="KU8" s="1" t="str">
        <f t="shared" si="28"/>
        <v>Importaciones|Mandioca|Monto</v>
      </c>
      <c r="KV8" s="1" t="str">
        <f t="shared" si="28"/>
        <v>Importaciones|Cebolla|Monto</v>
      </c>
      <c r="KW8" s="1" t="str">
        <f t="shared" si="28"/>
        <v>Importaciones|Tomate|Monto</v>
      </c>
      <c r="KX8" s="1" t="str">
        <f t="shared" si="28"/>
        <v>Importaciones|Zanahoria|Monto</v>
      </c>
      <c r="KY8" s="1" t="str">
        <f t="shared" si="28"/>
        <v>Importaciones|Zapallo|Monto</v>
      </c>
      <c r="KZ8" s="1" t="str">
        <f t="shared" si="28"/>
        <v>Importaciones|Vitícola|Monto</v>
      </c>
      <c r="LA8" s="1" t="str">
        <f t="shared" si="28"/>
        <v>Importaciones|Manzana|Monto</v>
      </c>
      <c r="LB8" s="1" t="str">
        <f t="shared" si="28"/>
        <v>Importaciones|Pera|Monto</v>
      </c>
      <c r="LC8" s="1" t="str">
        <f t="shared" si="28"/>
        <v>Importaciones|Limón|Monto</v>
      </c>
      <c r="LD8" s="1" t="str">
        <f t="shared" si="28"/>
        <v>Importaciones|Mandarina|Monto</v>
      </c>
      <c r="LE8" s="1" t="str">
        <f t="shared" si="28"/>
        <v>Importaciones|Naranja|Monto</v>
      </c>
      <c r="LF8" s="1" t="str">
        <f t="shared" si="28"/>
        <v>Importaciones|Pomelo|Monto</v>
      </c>
      <c r="LG8" s="1" t="str">
        <f t="shared" si="28"/>
        <v>Importaciones|Forestal|Monto</v>
      </c>
      <c r="LH8" s="1" t="str">
        <f t="shared" si="28"/>
        <v>Importaciones|Tabaco|Monto</v>
      </c>
      <c r="LI8" s="1" t="str">
        <f t="shared" si="28"/>
        <v>Importaciones|Yerba Mate|Monto</v>
      </c>
      <c r="LJ8" s="1" t="str">
        <f t="shared" si="28"/>
        <v>Importaciones|Apícola|Monto</v>
      </c>
      <c r="LK8" s="1" t="str">
        <f t="shared" si="28"/>
        <v>Importaciones|Aviar|Monto</v>
      </c>
      <c r="LL8" s="1" t="str">
        <f t="shared" si="28"/>
        <v>Importaciones|Bovinos|Monto</v>
      </c>
      <c r="LM8" s="1" t="str">
        <f t="shared" si="28"/>
        <v>Importaciones|Lechería|Monto</v>
      </c>
      <c r="LN8" s="1" t="str">
        <f t="shared" si="28"/>
        <v>Importaciones|Ovinos|Monto</v>
      </c>
      <c r="LO8" s="1" t="str">
        <f t="shared" si="28"/>
        <v>Importaciones|Porcinos|Monto</v>
      </c>
      <c r="LQ8" s="1" t="str">
        <f>+LQ3&amp;"|"&amp;LQ4&amp;"|"&amp;LQ5</f>
        <v>Exportaciones|Granos|Monto</v>
      </c>
      <c r="LR8" s="1" t="str">
        <f>+LR3&amp;"|"&amp;LR4&amp;"|"&amp;LR5</f>
        <v>Exportaciones|Hortalizas|Monto</v>
      </c>
      <c r="LS8" s="1" t="str">
        <f t="shared" ref="LS8:LX8" si="29">+LS3&amp;"|"&amp;LS4&amp;"|"&amp;LS5</f>
        <v>Exportaciones|Pera y Manzana|Monto</v>
      </c>
      <c r="LT8" s="1" t="str">
        <f t="shared" si="29"/>
        <v>Exportaciones|Citricos Dulces|Monto</v>
      </c>
      <c r="LU8" s="1" t="str">
        <f t="shared" si="29"/>
        <v>Importaciones|Granos|Monto</v>
      </c>
      <c r="LV8" s="1" t="str">
        <f t="shared" si="29"/>
        <v>Importaciones|Hortalizas|Monto</v>
      </c>
      <c r="LW8" s="1" t="str">
        <f t="shared" si="29"/>
        <v>Importaciones|Pera y Manzana|Monto</v>
      </c>
      <c r="LX8" s="1" t="str">
        <f t="shared" si="29"/>
        <v>Importaciones|Citricos Dulces|Monto</v>
      </c>
      <c r="LZ8" s="83" t="str">
        <f t="shared" ref="LZ8:ND8" si="30">+LZ3&amp;"|"&amp;LZ4&amp;"|"&amp;MA5</f>
        <v>Consumidor|Algodón|Arroz blanco simple</v>
      </c>
      <c r="MA8" s="83" t="str">
        <f t="shared" si="30"/>
        <v>Consumidor|Arroz|</v>
      </c>
      <c r="MB8" s="83" t="str">
        <f t="shared" si="30"/>
        <v>Consumidor|Cebada|</v>
      </c>
      <c r="MC8" s="83" t="str">
        <f t="shared" si="30"/>
        <v>Consumidor|Girasol|</v>
      </c>
      <c r="MD8" s="83" t="str">
        <f t="shared" si="30"/>
        <v>Consumidor|Maíz|</v>
      </c>
      <c r="ME8" s="83" t="str">
        <f t="shared" si="30"/>
        <v>Consumidor|Maní|</v>
      </c>
      <c r="MF8" s="83" t="str">
        <f t="shared" si="30"/>
        <v>Consumidor|Soja|</v>
      </c>
      <c r="MG8" s="83" t="str">
        <f t="shared" si="30"/>
        <v>Consumidor|Sorgo|Pan Francés</v>
      </c>
      <c r="MH8" s="83" t="str">
        <f t="shared" si="30"/>
        <v>Consumidor|Trigo|Harina de trigo</v>
      </c>
      <c r="MI8" s="83" t="str">
        <f t="shared" si="30"/>
        <v>Consumidor|Trigo|Papa</v>
      </c>
      <c r="MJ8" s="83" t="str">
        <f t="shared" si="30"/>
        <v>Consumidor|Papa|</v>
      </c>
      <c r="MK8" s="83" t="str">
        <f t="shared" si="30"/>
        <v>Consumidor|Mandioca|Cebolla</v>
      </c>
      <c r="ML8" s="83" t="str">
        <f t="shared" si="30"/>
        <v>Consumidor|Cebolla|Redondo</v>
      </c>
      <c r="MM8" s="83" t="str">
        <f t="shared" si="30"/>
        <v>Consumidor|Tomate|Chantenay</v>
      </c>
      <c r="MN8" s="83" t="str">
        <f t="shared" si="30"/>
        <v>Consumidor|Zanahoria|Zapallo Anco</v>
      </c>
      <c r="MO8" s="83" t="str">
        <f t="shared" si="30"/>
        <v>Consumidor|Zapallo|Vino Común</v>
      </c>
      <c r="MP8" s="83" t="str">
        <f t="shared" si="30"/>
        <v>Consumidor|Vitícola|Manzana Red Delicius</v>
      </c>
      <c r="MQ8" s="83" t="str">
        <f t="shared" si="30"/>
        <v>Consumidor|Manzana|Pera</v>
      </c>
      <c r="MR8" s="83" t="str">
        <f t="shared" si="30"/>
        <v>Consumidor|Pera|Limon</v>
      </c>
      <c r="MS8" s="83" t="str">
        <f t="shared" si="30"/>
        <v>Consumidor|Limón|Mandarina</v>
      </c>
      <c r="MT8" s="83" t="str">
        <f t="shared" si="30"/>
        <v>Consumidor|Mandarina|Naranja</v>
      </c>
      <c r="MU8" s="83" t="str">
        <f t="shared" si="30"/>
        <v>Consumidor|Naranja|</v>
      </c>
      <c r="MV8" s="83" t="str">
        <f t="shared" si="30"/>
        <v>Consumidor|Pomelo|</v>
      </c>
      <c r="MW8" s="83" t="str">
        <f t="shared" si="30"/>
        <v>Consumidor|Forestal|</v>
      </c>
      <c r="MX8" s="83" t="str">
        <f t="shared" si="30"/>
        <v>Consumidor|Tabaco|Yerba Mate</v>
      </c>
      <c r="MY8" s="83" t="str">
        <f t="shared" si="30"/>
        <v xml:space="preserve">Consumidor|Yerba Mate|Miel Fraccionada </v>
      </c>
      <c r="MZ8" s="83" t="str">
        <f t="shared" si="30"/>
        <v>Consumidor|Apícola|Pollo entero</v>
      </c>
      <c r="NA8" s="83" t="str">
        <f t="shared" si="30"/>
        <v>Consumidor|Aviar|Asado</v>
      </c>
      <c r="NB8" s="83" t="str">
        <f t="shared" si="30"/>
        <v>Consumidor|Bovinos|Leche fresca entera en sachet</v>
      </c>
      <c r="NC8" s="83" t="str">
        <f t="shared" si="30"/>
        <v>Consumidor|Lechería|</v>
      </c>
      <c r="ND8" s="83" t="str">
        <f t="shared" si="30"/>
        <v>Consumidor|Ovinos|Pechito de cerdo</v>
      </c>
      <c r="NE8" s="83" t="str">
        <f t="shared" ref="NE8" si="31">+NE3&amp;"|"&amp;NE4&amp;"|"&amp;OM5</f>
        <v>Consumidor|Porcinos|</v>
      </c>
    </row>
    <row r="9" spans="1:369">
      <c r="A9" s="36"/>
      <c r="B9" s="36"/>
      <c r="C9" s="36"/>
      <c r="D9" s="36"/>
      <c r="E9" s="36"/>
      <c r="AX9" s="7"/>
      <c r="AY9" s="7"/>
      <c r="AZ9" s="7"/>
      <c r="BA9" s="7"/>
      <c r="BE9" s="7"/>
      <c r="BF9" s="7"/>
      <c r="BH9" s="7"/>
      <c r="BI9" s="7"/>
      <c r="MB9"/>
      <c r="MC9"/>
      <c r="MD9"/>
      <c r="MF9"/>
      <c r="MG9"/>
      <c r="MH9" s="58"/>
      <c r="MK9"/>
      <c r="ML9" s="58"/>
      <c r="MN9"/>
      <c r="MO9" s="58"/>
      <c r="MQ9" s="58"/>
      <c r="MR9"/>
      <c r="MT9"/>
      <c r="MU9"/>
      <c r="MV9"/>
      <c r="MW9"/>
      <c r="MX9"/>
      <c r="MZ9"/>
    </row>
    <row r="10" spans="1:369">
      <c r="A10" s="38">
        <f t="shared" ref="A10:A41" si="32">(B10&amp;"-"&amp;C10)+0</f>
        <v>42370</v>
      </c>
      <c r="B10" s="36">
        <v>1</v>
      </c>
      <c r="C10" s="36">
        <v>2016</v>
      </c>
      <c r="D10" s="36">
        <f>+ROW()</f>
        <v>10</v>
      </c>
      <c r="E10" s="38">
        <f t="shared" ref="E10:E41" si="33">+A10</f>
        <v>42370</v>
      </c>
      <c r="F10" s="7">
        <v>13.791999999999998</v>
      </c>
      <c r="G10" s="7">
        <v>73.956661316211878</v>
      </c>
      <c r="H10" s="1">
        <v>7680</v>
      </c>
      <c r="I10" s="7">
        <v>99</v>
      </c>
      <c r="J10" s="7">
        <v>440</v>
      </c>
      <c r="K10" s="7">
        <v>3.3</v>
      </c>
      <c r="L10" s="7">
        <v>31.2</v>
      </c>
      <c r="N10" s="5">
        <v>1.2117500000000001</v>
      </c>
      <c r="O10" s="5">
        <v>1.0569000000000002</v>
      </c>
      <c r="P10" s="78">
        <f t="shared" ref="P10:P41" si="34">IFERROR(+AVERAGE(N10:O10)*F10,"")</f>
        <v>15.644610399999998</v>
      </c>
      <c r="Q10" s="6">
        <v>210</v>
      </c>
      <c r="R10" s="79">
        <f t="shared" ref="R10:R41" si="35">IFERROR(Q10*10,"")</f>
        <v>2100</v>
      </c>
      <c r="S10" s="6">
        <v>148.19999999999999</v>
      </c>
      <c r="T10" s="6">
        <v>266.5</v>
      </c>
      <c r="U10" s="143">
        <v>146.17500000000001</v>
      </c>
      <c r="V10" s="6">
        <v>233.7</v>
      </c>
      <c r="W10" s="6">
        <v>144.6</v>
      </c>
      <c r="X10" s="6">
        <v>140.73499999999999</v>
      </c>
      <c r="Y10" s="79">
        <f t="shared" ref="Y10:Y41" si="36">IFERROR(+AVERAGE(S10)*$F10,"")</f>
        <v>2043.9743999999996</v>
      </c>
      <c r="Z10" s="79">
        <f t="shared" ref="Z10:Z41" si="37">IFERROR(+AVERAGE(T10)*$F10,"")</f>
        <v>3675.5679999999993</v>
      </c>
      <c r="AA10" s="79">
        <f t="shared" ref="AA10:AA41" si="38">IFERROR(+AVERAGE(U10)*$F10,"")</f>
        <v>2016.0455999999999</v>
      </c>
      <c r="AB10" s="79">
        <f t="shared" ref="AB10:AB41" si="39">IFERROR(+AVERAGE(V10)*$F10,"")</f>
        <v>3223.1903999999995</v>
      </c>
      <c r="AC10" s="79">
        <f t="shared" ref="AC10:AC41" si="40">IFERROR(+AVERAGE(W10)*$F10,"")</f>
        <v>1994.3231999999996</v>
      </c>
      <c r="AD10" s="79">
        <f t="shared" ref="AD10:AD41" si="41">IFERROR(+AVERAGE(X10)*$F10,"")</f>
        <v>1941.0171199999995</v>
      </c>
      <c r="AE10" s="79">
        <f t="shared" ref="AE10:AE41" si="42">IFERROR(+AVERAGE(S10:X10)*F10,"")</f>
        <v>2482.3531199999998</v>
      </c>
      <c r="AF10" s="1">
        <v>6658.05</v>
      </c>
      <c r="AG10" s="1">
        <v>4272</v>
      </c>
      <c r="AH10" s="1">
        <v>15790</v>
      </c>
      <c r="AI10" s="5">
        <v>3.4258000000000002</v>
      </c>
      <c r="AJ10" s="5">
        <v>2.0470000000000002</v>
      </c>
      <c r="AK10" s="5">
        <v>1.7462</v>
      </c>
      <c r="AL10" s="5">
        <v>1.6783999999999999</v>
      </c>
      <c r="AM10" s="78">
        <f t="shared" ref="AM10:AM41" si="43">+AI10*0.46+AJ10*0.04+AK10*0.26+AL10*0.24</f>
        <v>2.5145759999999999</v>
      </c>
      <c r="AN10" s="5">
        <v>319.68</v>
      </c>
      <c r="AO10" s="80">
        <f>AN10*0.6</f>
        <v>191.80799999999999</v>
      </c>
      <c r="AP10" s="78">
        <f t="shared" ref="AP10:AP21" si="44">IFERROR(+AVERAGE(AN10:AO10),"")</f>
        <v>255.744</v>
      </c>
      <c r="AQ10" s="5">
        <v>210.6</v>
      </c>
      <c r="AR10" s="5">
        <v>179</v>
      </c>
      <c r="AS10" s="5">
        <v>182.16000000000003</v>
      </c>
      <c r="AT10" s="80">
        <f>AQ10</f>
        <v>210.6</v>
      </c>
      <c r="AU10" s="78">
        <f>IFERROR(+AVERAGE(AR10:AT10),"")</f>
        <v>190.58666666666667</v>
      </c>
      <c r="AV10">
        <v>63.8</v>
      </c>
      <c r="AW10" s="80">
        <f>AV10*1.6*2</f>
        <v>204.16</v>
      </c>
      <c r="AX10">
        <v>78.2</v>
      </c>
      <c r="AY10" s="7">
        <v>92.88</v>
      </c>
      <c r="AZ10" s="7">
        <v>112.85999999999999</v>
      </c>
      <c r="BA10" s="7">
        <v>84.539999999999992</v>
      </c>
      <c r="BB10" s="94">
        <f t="shared" ref="BB10:BB73" si="45">IFERROR(+AVERAGE(AX10,AY10/18*20,AZ10/18*20,BA10),"")</f>
        <v>97.835000000000008</v>
      </c>
      <c r="BC10" s="68">
        <v>475</v>
      </c>
      <c r="BD10" s="68">
        <v>514</v>
      </c>
      <c r="BE10" s="7">
        <v>470</v>
      </c>
      <c r="BF10" s="7">
        <v>290</v>
      </c>
      <c r="BG10" s="94">
        <f>+IFERROR(AVERAGE(BC10:BF10),"")</f>
        <v>437.25</v>
      </c>
      <c r="BH10" s="7">
        <v>29.34</v>
      </c>
      <c r="BI10" s="7">
        <v>9.8640000000000008</v>
      </c>
      <c r="BJ10" s="78">
        <f>+BH10+BI10</f>
        <v>39.204000000000001</v>
      </c>
      <c r="BK10" s="7">
        <v>25.521999999999998</v>
      </c>
      <c r="BL10" s="7">
        <v>26.54</v>
      </c>
      <c r="BM10" s="94">
        <f>IFERROR(+AVERAGE(BK10:BL10),"")</f>
        <v>26.030999999999999</v>
      </c>
      <c r="BN10" s="5">
        <v>2.75</v>
      </c>
      <c r="BO10" s="105">
        <v>17.729499999999994</v>
      </c>
      <c r="BP10" s="80">
        <v>11.219999999999999</v>
      </c>
      <c r="BQ10" s="94">
        <f>+BO10*0.9+BP10*0.1</f>
        <v>17.078549999999993</v>
      </c>
      <c r="BR10" s="7">
        <v>14.67</v>
      </c>
      <c r="BS10" s="7">
        <v>58</v>
      </c>
      <c r="BT10" s="7">
        <v>34.79</v>
      </c>
      <c r="BU10" s="79">
        <f t="shared" ref="BU10:BU21" si="46">+BS10*12+BT10*3</f>
        <v>800.37</v>
      </c>
      <c r="BV10" s="97">
        <v>20.9</v>
      </c>
      <c r="BW10" s="95"/>
      <c r="BY10" s="92">
        <v>100</v>
      </c>
      <c r="BZ10" s="92">
        <v>100</v>
      </c>
      <c r="CA10" s="92">
        <v>100</v>
      </c>
      <c r="CB10" s="92">
        <v>100</v>
      </c>
      <c r="CC10" s="92">
        <v>100</v>
      </c>
      <c r="CD10" s="92">
        <v>100</v>
      </c>
      <c r="CE10" s="92">
        <v>100</v>
      </c>
      <c r="CF10" s="92">
        <v>100</v>
      </c>
      <c r="CG10" s="92">
        <f>+AVERAGE(CA10:CF10)</f>
        <v>100</v>
      </c>
      <c r="CH10" s="92">
        <v>100</v>
      </c>
      <c r="CI10" s="92">
        <v>100</v>
      </c>
      <c r="CJ10" s="92">
        <v>100</v>
      </c>
      <c r="CK10" s="92">
        <v>100</v>
      </c>
      <c r="CL10" s="92">
        <v>100</v>
      </c>
      <c r="CM10" s="92">
        <v>100</v>
      </c>
      <c r="CN10" s="92">
        <v>100</v>
      </c>
      <c r="CO10" s="92">
        <f>+AVERAGE(CK10:CN10)</f>
        <v>100</v>
      </c>
      <c r="CP10" s="92">
        <v>100</v>
      </c>
      <c r="CQ10" s="92">
        <v>100</v>
      </c>
      <c r="CR10" s="92">
        <v>100</v>
      </c>
      <c r="CS10" s="92">
        <f>+AVERAGE(CQ10:CR10)</f>
        <v>100</v>
      </c>
      <c r="CT10" s="92">
        <v>100</v>
      </c>
      <c r="CU10" s="92">
        <v>100</v>
      </c>
      <c r="CV10" s="92">
        <v>100</v>
      </c>
      <c r="CW10" s="92">
        <v>100</v>
      </c>
      <c r="CX10" s="92">
        <f>+AVERAGE(CU10:CW10)</f>
        <v>100</v>
      </c>
      <c r="CY10" s="92">
        <v>100</v>
      </c>
      <c r="CZ10" s="69">
        <v>100</v>
      </c>
      <c r="DA10" s="69">
        <v>100</v>
      </c>
      <c r="DB10" s="69">
        <v>100</v>
      </c>
      <c r="DC10" s="69">
        <v>100</v>
      </c>
      <c r="DD10" s="69">
        <v>100</v>
      </c>
      <c r="DE10" s="69">
        <v>100</v>
      </c>
      <c r="DF10" s="69">
        <v>100</v>
      </c>
      <c r="DG10" s="92">
        <f>+((DE10/$DE$10)*100+DF10)/2</f>
        <v>100</v>
      </c>
      <c r="DH10" s="69">
        <v>100</v>
      </c>
      <c r="DI10" s="69">
        <v>100</v>
      </c>
      <c r="DJ10" s="81"/>
      <c r="DK10" s="1">
        <v>525090</v>
      </c>
      <c r="DL10" s="1" t="s">
        <v>107</v>
      </c>
      <c r="DM10" s="82">
        <v>214570</v>
      </c>
      <c r="DN10" s="82" t="s">
        <v>107</v>
      </c>
      <c r="DO10" s="82">
        <v>1200000</v>
      </c>
      <c r="DP10" s="82" t="s">
        <v>107</v>
      </c>
      <c r="DQ10" s="1">
        <v>1220000</v>
      </c>
      <c r="DR10" s="1" t="s">
        <v>107</v>
      </c>
      <c r="DS10" s="1">
        <v>3100000</v>
      </c>
      <c r="DT10" s="1" t="s">
        <v>107</v>
      </c>
      <c r="DU10" s="82">
        <v>20100000</v>
      </c>
      <c r="DV10" s="82" t="s">
        <v>107</v>
      </c>
      <c r="DW10" s="1">
        <v>850000</v>
      </c>
      <c r="DX10" s="1" t="s">
        <v>107</v>
      </c>
      <c r="DY10" s="83">
        <v>4830000</v>
      </c>
      <c r="DZ10" s="83" t="s">
        <v>107</v>
      </c>
      <c r="EA10" s="79">
        <f>+DY10+DW10+DU10+DS10+DQ10+DO10</f>
        <v>31300000</v>
      </c>
      <c r="EB10" s="82">
        <v>368438</v>
      </c>
      <c r="EC10" s="82" t="s">
        <v>107</v>
      </c>
      <c r="ED10" s="83">
        <v>165327</v>
      </c>
      <c r="EE10" s="143">
        <v>2016</v>
      </c>
      <c r="EF10" s="83">
        <v>223944</v>
      </c>
      <c r="EG10" s="143">
        <v>2016</v>
      </c>
      <c r="EH10" s="83">
        <v>53117706</v>
      </c>
      <c r="EI10" s="143">
        <v>2016</v>
      </c>
      <c r="EJ10" s="83">
        <v>5011446</v>
      </c>
      <c r="EK10" s="143">
        <v>2015</v>
      </c>
      <c r="EL10" s="82">
        <v>14859486</v>
      </c>
      <c r="EM10" s="144">
        <v>2015</v>
      </c>
      <c r="EN10" s="82">
        <v>3448018</v>
      </c>
      <c r="EO10" s="144">
        <v>2015</v>
      </c>
      <c r="EP10" s="82"/>
      <c r="EQ10" s="83">
        <v>3008956</v>
      </c>
      <c r="ER10" s="1">
        <v>32755</v>
      </c>
      <c r="ES10" s="82"/>
      <c r="ET10" s="83">
        <v>24000</v>
      </c>
      <c r="EU10" s="83">
        <v>16752</v>
      </c>
      <c r="EV10" s="83">
        <v>9500</v>
      </c>
      <c r="EW10" s="83">
        <v>17994</v>
      </c>
      <c r="EX10" s="79">
        <f>+SUM(ET10:EW10)</f>
        <v>68246</v>
      </c>
      <c r="EY10" s="1">
        <v>19129</v>
      </c>
      <c r="EZ10" s="82">
        <v>75500</v>
      </c>
      <c r="FA10" s="1">
        <v>22169</v>
      </c>
      <c r="FB10" s="1">
        <v>20495</v>
      </c>
      <c r="FC10" s="79">
        <f>+FB10+FA10</f>
        <v>42664</v>
      </c>
      <c r="FD10" s="1">
        <v>43815</v>
      </c>
      <c r="FE10" s="1"/>
      <c r="FF10" s="82">
        <v>708189</v>
      </c>
      <c r="FG10" s="82" t="str">
        <f t="shared" ref="FG10:FG15" si="47">+FG11</f>
        <v>2015-16</v>
      </c>
      <c r="FH10" s="82">
        <v>1558100</v>
      </c>
      <c r="FI10" s="82" t="s">
        <v>158</v>
      </c>
      <c r="FJ10" s="82">
        <v>4300000</v>
      </c>
      <c r="FK10" s="82" t="s">
        <v>107</v>
      </c>
      <c r="FL10" s="1">
        <v>2300000</v>
      </c>
      <c r="FM10" s="1" t="s">
        <v>107</v>
      </c>
      <c r="FN10" s="1">
        <v>25000000</v>
      </c>
      <c r="FO10" s="1" t="s">
        <v>107</v>
      </c>
      <c r="FP10" s="1">
        <v>58000000</v>
      </c>
      <c r="FQ10" s="1" t="s">
        <v>107</v>
      </c>
      <c r="FR10" s="82">
        <f t="shared" ref="FR10:FS14" si="48">+FR11</f>
        <v>3500000</v>
      </c>
      <c r="FS10" s="82" t="str">
        <f t="shared" si="48"/>
        <v>2015-16</v>
      </c>
      <c r="FT10" s="83">
        <v>11315000</v>
      </c>
      <c r="FU10" s="83" t="s">
        <v>107</v>
      </c>
      <c r="FV10" s="79">
        <f>+FT10+FR10+FP10+FN10+FL10+FJ10</f>
        <v>104415000</v>
      </c>
      <c r="FW10" s="82">
        <v>1010777</v>
      </c>
      <c r="FX10" s="82" t="s">
        <v>158</v>
      </c>
      <c r="FY10" s="83">
        <v>21949.339</v>
      </c>
      <c r="FZ10" s="79"/>
      <c r="GA10" s="79"/>
      <c r="GB10" s="1">
        <v>17584178</v>
      </c>
      <c r="GC10" s="6">
        <v>2016</v>
      </c>
      <c r="GD10" s="1">
        <v>1678337</v>
      </c>
      <c r="GE10" s="1">
        <v>468278</v>
      </c>
      <c r="GF10" s="1">
        <v>1032446</v>
      </c>
      <c r="GG10" s="1">
        <v>102259</v>
      </c>
      <c r="GH10" s="79">
        <f>GE10+GF10+GG10</f>
        <v>1602983</v>
      </c>
      <c r="GI10" s="82">
        <v>1302556</v>
      </c>
      <c r="GJ10" s="1">
        <v>600000</v>
      </c>
      <c r="GK10" s="1">
        <v>998555</v>
      </c>
      <c r="GL10" s="1">
        <v>302000</v>
      </c>
      <c r="GM10" s="1">
        <v>266553.90000000002</v>
      </c>
      <c r="GN10" s="79">
        <f>+SUM(GJ10:GM10)</f>
        <v>2167108.9</v>
      </c>
      <c r="GO10" s="83">
        <v>191984</v>
      </c>
      <c r="GP10" s="1">
        <v>68123</v>
      </c>
      <c r="GQ10" s="1"/>
      <c r="GR10" s="1">
        <v>42700</v>
      </c>
      <c r="GS10" s="79">
        <f>+GR10+GQ10</f>
        <v>42700</v>
      </c>
      <c r="GT10" s="83">
        <v>2430866</v>
      </c>
      <c r="GU10" s="1">
        <f>611419/12</f>
        <v>50951.583333333336</v>
      </c>
      <c r="GV10" s="1">
        <f>617557/12</f>
        <v>51463.083333333336</v>
      </c>
      <c r="GW10" s="79">
        <f t="shared" ref="GW10:GW21" si="49">+(GV10+GU10)*12</f>
        <v>1228976</v>
      </c>
      <c r="GX10" s="83">
        <v>30955.772000000001</v>
      </c>
      <c r="GY10" s="83" t="s">
        <v>329</v>
      </c>
      <c r="GZ10" s="83">
        <v>93671</v>
      </c>
      <c r="HA10" s="1">
        <v>215000</v>
      </c>
      <c r="HB10" s="79"/>
      <c r="HC10" s="79"/>
      <c r="HD10" s="1">
        <v>39603</v>
      </c>
      <c r="HE10" s="79"/>
      <c r="HF10" s="79"/>
      <c r="HG10" s="1">
        <v>153000</v>
      </c>
      <c r="HH10" s="79"/>
      <c r="HI10" s="79"/>
      <c r="HJ10" s="1"/>
      <c r="HK10" s="79"/>
      <c r="HL10" s="79"/>
      <c r="HM10" s="79">
        <f>+HK10+HH10</f>
        <v>0</v>
      </c>
      <c r="HN10" s="69"/>
      <c r="HO10" s="1">
        <v>864900000</v>
      </c>
      <c r="HP10" s="79"/>
      <c r="HQ10" s="79"/>
      <c r="HR10" s="1"/>
      <c r="HS10" s="1"/>
      <c r="HT10" s="1"/>
      <c r="HU10" s="1"/>
      <c r="HV10" s="1"/>
      <c r="HW10" s="1">
        <v>2000000</v>
      </c>
      <c r="HX10" s="1" t="s">
        <v>107</v>
      </c>
      <c r="HY10" s="1">
        <v>2950000</v>
      </c>
      <c r="HZ10" s="1" t="s">
        <v>107</v>
      </c>
      <c r="IA10" s="1"/>
      <c r="IB10" s="1"/>
      <c r="IC10" s="1"/>
      <c r="ID10" s="1"/>
      <c r="IE10" s="1"/>
      <c r="IF10" s="1"/>
      <c r="IG10" s="1">
        <v>5590000</v>
      </c>
      <c r="IH10" s="1" t="s">
        <v>107</v>
      </c>
      <c r="II10" s="79">
        <f>+IG10+IE10+IC10+IA10+HY10+HW10</f>
        <v>10540000</v>
      </c>
      <c r="IJ10" s="1"/>
      <c r="IK10" s="1"/>
      <c r="IL10" s="7">
        <v>38.33</v>
      </c>
      <c r="IM10" s="7">
        <v>54.21492296644265</v>
      </c>
      <c r="IN10" s="7">
        <v>201</v>
      </c>
      <c r="IO10" s="695">
        <f>+IO22*(1-0.1734)</f>
        <v>11.026844000000001</v>
      </c>
      <c r="IP10" s="98">
        <f>252389524/IP$2</f>
        <v>5.4316228434443188</v>
      </c>
      <c r="IQ10" s="93">
        <v>21.6</v>
      </c>
      <c r="IR10" s="93">
        <v>2.2000000000000002</v>
      </c>
      <c r="IS10" s="93">
        <v>5.59</v>
      </c>
      <c r="IT10" s="93">
        <v>13.55</v>
      </c>
      <c r="IU10" s="93">
        <v>1.07</v>
      </c>
      <c r="IV10" s="94">
        <f>+SUM(IS10:IU10)</f>
        <v>20.21</v>
      </c>
      <c r="IW10" s="84"/>
      <c r="IX10" s="84"/>
      <c r="IY10" s="105">
        <v>1.84</v>
      </c>
      <c r="IZ10" s="161">
        <v>0.3</v>
      </c>
      <c r="JA10" s="161"/>
      <c r="JB10" s="84">
        <v>38.770000000000003</v>
      </c>
      <c r="JC10" s="84"/>
      <c r="JD10" s="84"/>
      <c r="JF10" s="2">
        <v>4.582497469999999</v>
      </c>
      <c r="JG10" s="2">
        <v>3.2009430000000001</v>
      </c>
      <c r="JH10" s="2">
        <v>143.30271070999999</v>
      </c>
      <c r="JI10" s="2">
        <v>17.48834166</v>
      </c>
      <c r="JJ10" s="2">
        <v>201.36316490000004</v>
      </c>
      <c r="JK10" s="2">
        <v>66.468872989999994</v>
      </c>
      <c r="JL10" s="2">
        <v>1217.3464578600001</v>
      </c>
      <c r="JM10" s="2">
        <v>5.0395266400000001</v>
      </c>
      <c r="JN10" s="2">
        <v>186.38716111000002</v>
      </c>
      <c r="JO10" s="2">
        <v>15.980672039999998</v>
      </c>
      <c r="JP10" s="2">
        <v>0</v>
      </c>
      <c r="JQ10" s="2">
        <v>0.62205250000000001</v>
      </c>
      <c r="JR10" s="2">
        <v>0.66070742000000005</v>
      </c>
      <c r="JS10" s="2">
        <v>0</v>
      </c>
      <c r="JT10" s="2">
        <v>0.48706177</v>
      </c>
      <c r="JU10" s="2">
        <v>68.363121550000031</v>
      </c>
      <c r="JV10" s="2">
        <v>4.5153798399999996</v>
      </c>
      <c r="JW10" s="2">
        <v>6.1428981799999995</v>
      </c>
      <c r="JX10" s="2">
        <v>7.8271502599999998</v>
      </c>
      <c r="JY10" s="2">
        <v>0</v>
      </c>
      <c r="JZ10" s="2">
        <v>0.22137817999999998</v>
      </c>
      <c r="KA10" s="2">
        <v>0.13103999999999999</v>
      </c>
      <c r="KB10" s="2">
        <v>16.055855400000002</v>
      </c>
      <c r="KC10" s="2">
        <v>16.018196229999997</v>
      </c>
      <c r="KD10" s="2">
        <v>5.5481561600000004</v>
      </c>
      <c r="KE10" s="2">
        <v>10.560709689999998</v>
      </c>
      <c r="KF10" s="2">
        <v>22.391526450000004</v>
      </c>
      <c r="KG10" s="2">
        <v>150.74848455999995</v>
      </c>
      <c r="KH10" s="2">
        <v>47.444821499999989</v>
      </c>
      <c r="KI10" s="2">
        <v>18.923495580000001</v>
      </c>
      <c r="KJ10" s="2">
        <v>0.86577987000000001</v>
      </c>
      <c r="KK10" s="2">
        <v>11.923205950000003</v>
      </c>
      <c r="KL10" s="2">
        <v>0.49740636999999993</v>
      </c>
      <c r="KM10" s="2">
        <v>2.30265414</v>
      </c>
      <c r="KN10" s="2">
        <v>2.4542999999999995E-3</v>
      </c>
      <c r="KO10" s="2">
        <v>0.24190850000000003</v>
      </c>
      <c r="KP10" s="2">
        <v>5.6322709999999998E-2</v>
      </c>
      <c r="KQ10" s="2">
        <v>5.1721110000000001E-2</v>
      </c>
      <c r="KR10" s="2">
        <v>9.1487999999999997E-4</v>
      </c>
      <c r="KS10" s="2">
        <v>0.10031527</v>
      </c>
      <c r="KT10" s="2">
        <v>2.5433020100000001</v>
      </c>
      <c r="KU10" s="2">
        <v>1.2211400000000001E-3</v>
      </c>
      <c r="KV10" s="2">
        <v>0</v>
      </c>
      <c r="KW10" s="2">
        <v>2.1681432999999997</v>
      </c>
      <c r="KX10" s="2">
        <v>0</v>
      </c>
      <c r="KY10" s="2">
        <v>0</v>
      </c>
      <c r="KZ10" s="2">
        <v>0.11421652</v>
      </c>
      <c r="LA10" s="2">
        <v>0.16304958999999999</v>
      </c>
      <c r="LB10" s="2">
        <v>2.853959E-2</v>
      </c>
      <c r="LC10" s="2">
        <v>5.0346800000000004E-2</v>
      </c>
      <c r="LD10" s="2">
        <v>0</v>
      </c>
      <c r="LE10" s="2">
        <v>0.22859232999999998</v>
      </c>
      <c r="LF10" s="2">
        <v>0.77713617000000002</v>
      </c>
      <c r="LG10" s="2">
        <v>17.612236840000001</v>
      </c>
      <c r="LH10" s="2">
        <v>4.9171780399999996</v>
      </c>
      <c r="LI10" s="2">
        <v>0</v>
      </c>
      <c r="LJ10" s="2">
        <v>0</v>
      </c>
      <c r="LK10" s="2">
        <v>1.0039392199999999</v>
      </c>
      <c r="LL10" s="2">
        <v>2.6497022200000004</v>
      </c>
      <c r="LM10" s="2">
        <v>0.70851450000000005</v>
      </c>
      <c r="LN10" s="2">
        <v>0.52757889000000002</v>
      </c>
      <c r="LO10" s="2">
        <v>5.1140609300000008</v>
      </c>
      <c r="LQ10" s="85">
        <f>+SUM(JH10:JJ10,JL10:JN10)</f>
        <v>1770.9273628800004</v>
      </c>
      <c r="LR10" s="85">
        <f>+SUM(JQ10:JT10)</f>
        <v>1.7698216900000001</v>
      </c>
      <c r="LS10" s="85">
        <f>+SUM(JV10:JW10)</f>
        <v>10.658278019999999</v>
      </c>
      <c r="LT10" s="85">
        <f>+SUM(JY10:KA10)</f>
        <v>0.35241817999999997</v>
      </c>
      <c r="LU10" s="85">
        <f>+SUM(KM10:KO10,KQ10:KS10)</f>
        <v>2.6999681999999998</v>
      </c>
      <c r="LV10" s="85">
        <f>+SUM(KV10:KY10)</f>
        <v>2.1681432999999997</v>
      </c>
      <c r="LW10" s="85">
        <f>+SUM(LA10:LB10)</f>
        <v>0.19158918</v>
      </c>
      <c r="LX10" s="85">
        <f>+SUM(LD10:LF10)</f>
        <v>1.0057285</v>
      </c>
      <c r="LZ10" s="131"/>
      <c r="MA10" s="131"/>
      <c r="MB10"/>
      <c r="MC10"/>
      <c r="MD10"/>
      <c r="MF10"/>
      <c r="MG10"/>
      <c r="MH10" s="131"/>
      <c r="MI10" s="131"/>
      <c r="MJ10" s="131"/>
      <c r="MK10"/>
      <c r="ML10" s="131"/>
      <c r="MM10" s="131"/>
      <c r="MN10"/>
      <c r="MO10" s="131"/>
      <c r="MP10" s="131"/>
      <c r="MQ10" s="131"/>
      <c r="MR10"/>
      <c r="MT10"/>
      <c r="MU10" s="2"/>
      <c r="MV10"/>
      <c r="MW10"/>
      <c r="MX10"/>
      <c r="MY10" s="131"/>
      <c r="MZ10"/>
      <c r="NA10" s="83">
        <v>32.659999999999997</v>
      </c>
      <c r="NB10" s="83">
        <v>109.1</v>
      </c>
      <c r="NC10" s="131"/>
      <c r="ND10" s="131"/>
      <c r="NE10" s="83">
        <v>84.93</v>
      </c>
    </row>
    <row r="11" spans="1:369">
      <c r="A11" s="38">
        <f t="shared" si="32"/>
        <v>42401</v>
      </c>
      <c r="B11" s="36">
        <v>2</v>
      </c>
      <c r="C11" s="36">
        <v>2016</v>
      </c>
      <c r="D11" s="36">
        <f t="shared" ref="D11:D74" si="50">+ROW()</f>
        <v>11</v>
      </c>
      <c r="E11" s="38">
        <f t="shared" si="33"/>
        <v>42401</v>
      </c>
      <c r="F11" s="7">
        <v>14.981578947368419</v>
      </c>
      <c r="G11" s="7">
        <v>77.407704654895667</v>
      </c>
      <c r="H11" s="1">
        <v>7680</v>
      </c>
      <c r="I11" s="7">
        <v>94</v>
      </c>
      <c r="J11" s="7">
        <v>440</v>
      </c>
      <c r="K11" s="7">
        <v>3.4</v>
      </c>
      <c r="L11" s="7">
        <v>29.4</v>
      </c>
      <c r="N11" s="5">
        <v>1.1749473684210527</v>
      </c>
      <c r="O11" s="5">
        <v>1.0209473684210526</v>
      </c>
      <c r="P11" s="78">
        <f t="shared" si="34"/>
        <v>16.448985180055402</v>
      </c>
      <c r="Q11" s="6">
        <v>205</v>
      </c>
      <c r="R11" s="79">
        <f t="shared" si="35"/>
        <v>2050</v>
      </c>
      <c r="S11" s="6">
        <v>148.68421052631578</v>
      </c>
      <c r="T11" s="6">
        <v>271.84210526315792</v>
      </c>
      <c r="U11" s="143">
        <v>152.06315789473683</v>
      </c>
      <c r="V11" s="6">
        <v>225.29473684210524</v>
      </c>
      <c r="W11" s="6">
        <v>134.36842105263159</v>
      </c>
      <c r="X11" s="6">
        <v>134.89473684210526</v>
      </c>
      <c r="Y11" s="79">
        <f t="shared" si="36"/>
        <v>2227.5242382271463</v>
      </c>
      <c r="Z11" s="79">
        <f t="shared" si="37"/>
        <v>4072.6239612188365</v>
      </c>
      <c r="AA11" s="79">
        <f t="shared" si="38"/>
        <v>2278.1462049861493</v>
      </c>
      <c r="AB11" s="79">
        <f t="shared" si="39"/>
        <v>3375.2708864265919</v>
      </c>
      <c r="AC11" s="79">
        <f t="shared" si="40"/>
        <v>2013.0511080332408</v>
      </c>
      <c r="AD11" s="79">
        <f t="shared" si="41"/>
        <v>2020.9361495844873</v>
      </c>
      <c r="AE11" s="79">
        <f t="shared" si="42"/>
        <v>2664.5920914127423</v>
      </c>
      <c r="AF11" s="1">
        <v>6989.5555555555557</v>
      </c>
      <c r="AG11" s="1">
        <v>4272</v>
      </c>
      <c r="AH11" s="1">
        <v>15790</v>
      </c>
      <c r="AI11" s="5">
        <v>3.67</v>
      </c>
      <c r="AJ11" s="5">
        <v>2.3816000000000002</v>
      </c>
      <c r="AK11" s="5">
        <v>2.1339000000000001</v>
      </c>
      <c r="AL11" s="5">
        <v>1.9533</v>
      </c>
      <c r="AM11" s="78">
        <f t="shared" si="43"/>
        <v>2.8070700000000004</v>
      </c>
      <c r="AN11" s="5">
        <v>300.59999999999997</v>
      </c>
      <c r="AO11" s="80">
        <f t="shared" ref="AO11:AO21" si="51">AN11*0.6</f>
        <v>180.35999999999999</v>
      </c>
      <c r="AP11" s="78">
        <f t="shared" si="44"/>
        <v>240.47999999999996</v>
      </c>
      <c r="AQ11" s="5">
        <v>183.6</v>
      </c>
      <c r="AR11" s="5">
        <v>156.4</v>
      </c>
      <c r="AS11" s="5">
        <v>246.33333333333337</v>
      </c>
      <c r="AT11" s="80">
        <f t="shared" ref="AT11:AT20" si="52">AQ11</f>
        <v>183.6</v>
      </c>
      <c r="AU11" s="78">
        <f t="shared" ref="AU11:AU74" si="53">IFERROR(+AVERAGE(AR11:AT11),"")</f>
        <v>195.44444444444446</v>
      </c>
      <c r="AV11">
        <v>60.599999999999994</v>
      </c>
      <c r="AW11" s="80">
        <f t="shared" ref="AW11:AW21" si="54">AV11*1.6*2</f>
        <v>193.92</v>
      </c>
      <c r="AX11">
        <v>80</v>
      </c>
      <c r="AY11" s="7">
        <v>756</v>
      </c>
      <c r="AZ11" s="7">
        <v>101.16</v>
      </c>
      <c r="BA11" s="7">
        <v>71.387999999999991</v>
      </c>
      <c r="BB11" s="94">
        <f t="shared" si="45"/>
        <v>275.947</v>
      </c>
      <c r="BC11" s="68">
        <f>+BC10</f>
        <v>475</v>
      </c>
      <c r="BD11" s="68">
        <f>+BD10</f>
        <v>514</v>
      </c>
      <c r="BE11" s="7">
        <f t="shared" ref="BE11:BF26" si="55">+BE10</f>
        <v>470</v>
      </c>
      <c r="BF11" s="7">
        <f t="shared" si="55"/>
        <v>290</v>
      </c>
      <c r="BG11" s="94">
        <f t="shared" ref="BG11:BG74" si="56">+IFERROR(AVERAGE(BC11:BF11),"")</f>
        <v>437.25</v>
      </c>
      <c r="BH11" s="7">
        <v>29.34</v>
      </c>
      <c r="BI11" s="7">
        <f>+BI10</f>
        <v>9.8640000000000008</v>
      </c>
      <c r="BJ11" s="78">
        <f t="shared" ref="BJ11:BJ74" si="57">+BH11+BI11</f>
        <v>39.204000000000001</v>
      </c>
      <c r="BK11" s="7">
        <v>26.425000000000001</v>
      </c>
      <c r="BL11" s="7">
        <v>27.321000000000002</v>
      </c>
      <c r="BM11" s="94">
        <f t="shared" ref="BM11:BM74" si="58">IFERROR(+AVERAGE(BK11:BL11),"")</f>
        <v>26.873000000000001</v>
      </c>
      <c r="BN11" s="5">
        <v>2.806</v>
      </c>
      <c r="BO11" s="105">
        <v>20.532105263157895</v>
      </c>
      <c r="BP11" s="80">
        <v>12.905499999999998</v>
      </c>
      <c r="BQ11" s="94">
        <f t="shared" ref="BQ11:BQ73" si="59">+BO11*0.9+BP11*0.1</f>
        <v>19.769444736842107</v>
      </c>
      <c r="BR11" s="7">
        <v>14.88</v>
      </c>
      <c r="BS11" s="7">
        <v>57</v>
      </c>
      <c r="BT11" s="7">
        <v>42.86</v>
      </c>
      <c r="BU11" s="79">
        <f t="shared" si="46"/>
        <v>812.57999999999993</v>
      </c>
      <c r="BV11" s="97">
        <v>20.6</v>
      </c>
      <c r="BW11" s="95"/>
      <c r="BY11" s="92">
        <f>BY$10*(1+((H11/H$10-1)*costos!$B$5+((I11*F11)/(I$10*F$10)-1)*costos!$E$5+((J11*F11)/((J$10*F$10)-1)*costos!$F$5/3+((K11*F11)/(K$10*F$10)-1)*costos!$F$5/3+((U11*F11)/(U$10*F$10)-1)*costos!$F$5/3+((L11*F11)/(L$10*F$10)-1)*costos!$G$5+((N11*F11)/(N$10*F$10)-1)*costos!$J$5+((V11*F11)/(V$10*F$10)-1)*costos!$K$5)))</f>
        <v>113.085073942835</v>
      </c>
      <c r="BZ11" s="92">
        <f>$BZ$10*(1+((H11/$H$10-1)*costos!$B$6+((I11*F11)/($I$10*$F$10)-1)*costos!$E$6+((J11*F11)/(($J$10*$F$10)-1)*costos!$F$6/3+((K11*F11)/($K$10*$F$10)-1)*costos!$F$6/3+((U11*F11)/($U$10*$F$10)-1)*costos!$F$6/3+((L11*F11)/($L$10*$F$10)-1)*costos!$G$6+((Q11*F11)/($Q$10*$F$10)-1)*costos!$J$6+((V11*F11)/($V$10*$F$10)-1)*costos!$K$6)))</f>
        <v>110.02292351406024</v>
      </c>
      <c r="CA11" s="92">
        <f>CA$10*(1+((H11/H$10-1)*costos!$B$7+((I11*F11)/(I$10*F$10)-1)*costos!$E$7+((J11*F11)/((J$10*F$10)-1)*costos!$F$7/3+((K11*F11)/(K$10*F$10)-1)*costos!$F$7/3+((U11*F11)/(U$10*F$10)-1)*costos!$F$7/3+((L11*F11)/(L$10*F$10)-1)*costos!$G$7+((S11*F11)/(S$10*F$10)-1)*costos!$J$7+((V11*F11)/(V$10*F$10)-1)*costos!$K$7)))</f>
        <v>114.0655838790144</v>
      </c>
      <c r="CB11" s="92">
        <f>CB$10*(1+((H11/H$10-1)*costos!$B$8+((I11*F11)/(I$10*F$10)-1)*costos!$E$8+((J11*F11)/((J$10*F$10)-1)*costos!$F$8/3+((K11*F11)/(K$10*F$10)-1)*costos!$F$8/3+((U11*F11)/(U$10*F$10)-1)*costos!$F$8/3+((L11*F11)/(L$10*F$10)-1)*costos!$G$8+((T11*F11)/(T$10*F$10)-1)*costos!$J$8+((V11*F11)/(V$10*F$10)-1)*costos!$K$8)))</f>
        <v>110.66370739310855</v>
      </c>
      <c r="CC11" s="92">
        <f>CC$10*(1+((H11/H$10-1)*costos!$B$9+((I11*F11)/(I$10*F$10)-1)*costos!$E$9+((J11*F11)/((J$10*F$10)-1)*costos!$F$9/3+((K11*F11)/(K$10*F$10)-1)*costos!$F$9/3+((U11*F11)/(U$10*F$10)-1)*costos!$F$9/3+((L11*F11)/(L$10*F$10)-1)*costos!$G$9+((U11*F11)/(U$10*F$10)-1)*costos!$J$9+((V11*F11)/(V$10*F$10)-1)*costos!$K$9)))</f>
        <v>113.35381793979238</v>
      </c>
      <c r="CD11" s="92">
        <f>CD$10*(1+((H11/H$10-1)*costos!$B$11+((I11*F11)/(I$10*F$10)-1)*costos!$E$11+((J11*F11)/((J$10*F$10)-1)*costos!$F$11/3+((K11*F11)/(K$10*F$10)-1)*costos!$F$11/3+((U11*F11)/(U$10*F$10)-1)*costos!$F$11/3+((L11*F11)/(L$10*F$10)-1)*costos!$G$11+((V11*F11)/(V$10*F$10)-1)*costos!$J$11+((V11*F11)/(V$10*F$10)-1)*costos!$K$11)))</f>
        <v>110.82600272265833</v>
      </c>
      <c r="CE11" s="92">
        <f>CE$10*(1+((H11/H$10-1)*costos!$B$12+((I11*F11)/(I$10*F$10)-1)*costos!$E$12+((J11*F11)/((J$10*F$10)-1)*costos!$F$12/3+((K11*F11)/(K$10*F$10)-1)*costos!$F$12/3+((U11*F11)/(U$10*F$10)-1)*costos!$F$12/3+((L11*F11)/(L$10*F$10)-1)*costos!$G$12+((W11*F11)/(W$10*F$10)-1)*costos!$J$12+((V11*F11)/(V$10*F$10)-1)*costos!$K$12)))</f>
        <v>109.21106171547284</v>
      </c>
      <c r="CF11" s="92">
        <f>CF$10*(1+((H11/H$10-1)*costos!$B$13+((I11*F11)/(I$10*F$10)-1)*costos!$E$13+((J11*F11)/((J$10*F$10)-1)*costos!$F$13/3+((K11*F11)/(K$10*F$10)-1)*costos!$F$13/3+((U11*F11)/(U$10*F$10)-1)*costos!$F$13/3+((L11*F11)/(L$10*F$10)-1)*costos!$G$13+((X11*F11)/(X$10*F$10)-1)*costos!$J$13+((V11*F11)/(V$10*F$10)-1)*costos!$K$13)))</f>
        <v>112.54581308967393</v>
      </c>
      <c r="CG11" s="92">
        <f t="shared" ref="CG11:CG49" si="60">+AVERAGE(CA11:CF11)</f>
        <v>111.77766445662009</v>
      </c>
      <c r="CH11" s="92">
        <f>CH$10*(1+((H11/H$10-1)*costos!$B$10+((I11*F11)/(I$10*F$10)-1)*costos!$E$10+((J11*F11)/((J$10*F$10)-1)*costos!$F$10/3+((K11*F11)/(K$10*F$10)-1)*costos!$F$10/3+((U11*F11)/(U$10*F$10)-1)*costos!$F$10/3+((L11*F11)/(L$10*F$10)-1)*costos!$G$10+((AF11)/(AF$10)-1)*costos!$J$10+((V11*F11)/(V$10*F$10)-1)*costos!$K$10)))</f>
        <v>111.05401211762091</v>
      </c>
      <c r="CI11" s="92">
        <f>CI$10*(1+((H11/H$10-1)*costos!$B$15+((I11*F11)/(I$10*F$10)-1)*costos!$E$15+((J11*F11)/((J$10*F$10)-1)*costos!$F$15/3+((K11*F11)/(K$10*F$10)-1)*costos!$F$15/3+((U11*F11)/(U$10*F$10)-1)*costos!$F$15/3+((L11*F11)/(L$10*F$10)-1)*costos!$G$15+((AV11)/(AV$10)-1)*costos!$J$15+((V11*F11)/(V$10*F$10)-1)*costos!$K$15)))</f>
        <v>117.63953832748813</v>
      </c>
      <c r="CJ11" s="92">
        <f>CJ$10*(1+((H11/H$10-1)*costos!$B$16+((I11*F11)/(I$10*F$10)-1)*costos!$E$16+((J11*F11)/((J$10*F$10)-1)*costos!$F$16/3+((K11*F11)/(K$10*F$10)-1)*costos!$F$16/3+((U11*F11)/(U$10*F$10)-1)*costos!$F$16/3+((L11*F11)/(L$10*F$10)-1)*costos!$G$16+((AW11)/(AW$10)-1)*costos!$J$16+((V11*F11)/(V$10*F$10)-1)*costos!$K$16)))</f>
        <v>106.31996169129127</v>
      </c>
      <c r="CK11" s="92">
        <f>CK$10*(1+((H11/H$10-1)*costos!$B$17+((I11*F11)/(I$10*F$10)-1)*costos!$E$17+((J11*F11)/((J$10*F$10)-1)*costos!$F$17/3+((K11*F11)/(K$10*F$10)-1)*costos!$F$17/3+((U11*F11)/(U$10*F$10)-1)*costos!$F$17/3+((L11*F11)/(L$10*F$10)-1)*costos!$G$17+((AX11)/(AX$10)-1)*costos!$J$17+((V11*F11)/(V$10*F$10)-1)*costos!$K$17)))</f>
        <v>114.58660588317559</v>
      </c>
      <c r="CL11" s="92">
        <f>CL$10*(1+((H11/H$10-1)*costos!$B$18+((I11*F11)/(I$10*F$10)-1)*costos!$E$18+((J11*F11)/((J$10*F$10)-1)*costos!$F$18/3+((K11*F11)/(K$10*F$10)-1)*costos!$F$18/3+((U11*F11)/(U$10*F$10)-1)*costos!$F$18/3+((L11*F11)/(L$10*F$10)-1)*costos!$G$18+((AY11)/(AY$10)-1)*costos!$J$18+((V11*F11)/(V$10*F$10)-1)*costos!$K$18)))</f>
        <v>262.73193928439974</v>
      </c>
      <c r="CM11" s="92">
        <f>CM$10*(1+((H11/H$10-1)*costos!$B$19+((I11*F11)/(I$10*F$10)-1)*costos!$E$19+((J11*F11)/((J$10*F$10)-1)*costos!$F$19/3+((K11*F11)/(K$10*F$10)-1)*costos!$F$19/3+((U11*F11)/(U$10*F$10)-1)*costos!$F$19/3+((L11*F11)/(L$10*F$10)-1)*costos!$G$19+((AZ11)/(AZ$10)-1)*costos!$J$19+((V11*F11)/(V$10*F$10)-1)*costos!$K$19)))</f>
        <v>104.17370921915267</v>
      </c>
      <c r="CN11" s="92">
        <f>CN$10*(1+((H11/H$10-1)*costos!$B$20+((I11*F11)/(I$10*F$10)-1)*costos!$E$20+((J11*F11)/((J$10*F$10)-1)*costos!$F$20/3+((K11*F11)/(K$10*F$10)-1)*costos!$F$20/3+((U11*F11)/(U$10*F$10)-1)*costos!$F$20/3+((L11*F11)/(L$10*F$10)-1)*costos!$G$20+((BA11)/(BA$10)-1)*costos!$J$20+((V11*F11)/(V$10*F$10)-1)*costos!$K$20)))</f>
        <v>104.86503339353843</v>
      </c>
      <c r="CO11" s="92">
        <f t="shared" ref="CO11:CO49" si="61">+AVERAGE(CK11:CN11)</f>
        <v>146.58932194506662</v>
      </c>
      <c r="CP11" s="92">
        <f>CP$10*(1+((H11/H$10-1)*costos!$B$22+((I11*F11)/(I$10*F$10)-1)*costos!$E$22+((J11*F11)/((J$10*F$10)-1)*costos!$F$22/3+((K11*F11)/(K$10*F$10)-1)*costos!$F$22/3+((U11*F11)/(U$10*F$10)-1)*costos!$F$22/3+((L11*F11)/(L$10*F$10)-1)*costos!$G$22+(((AVERAGE(AI11:AL11))/((AVERAGE(AI$10:AL$10))-1)*costos!$J$22+((V11*F11)/(V$10*F$10)-1)*costos!$K$22)))))</f>
        <v>124.80468431836786</v>
      </c>
      <c r="CQ11" s="92">
        <f>CQ$10*(1+((H11/H$10-1)*costos!$B$23+((I11*F11)/(I$10*F$10)-1)*costos!$E$23+((J11*F11)/((J$10*F$10)-1)*costos!$F$23/3+((K11*F11)/(K$10*F$10)-1)*costos!$F$23/3+((U11*F11)/(U$10*F$10)-1)*costos!$F$23/3+((L11*F11)/(L$10*F$10)-1)*costos!$G$23+((AN11)/(AN$10)-1)*costos!$J$23+((V11*F11)/(V$10*F$10)-1)*costos!$K$23)))</f>
        <v>108.54505761682525</v>
      </c>
      <c r="CR11" s="92">
        <f>CR$10*(1+((H11/H$10-1)*costos!$B$24+((I11*F11)/(I$10*F$10)-1)*costos!$E$24+((J11*F11)/((J$10*F$10)-1)*costos!$F$24/3+((K11*F11)/(K$10*F$10)-1)*costos!$F$24/3+((U11*F11)/(U$10*F$10)-1)*costos!$F$24/3+((L11*F11)/(L$10*F$10)-1)*costos!$G$24+((AO11)/(AO$10)-1)*costos!$J$24+((V11*F11)/(V$10*F$10)-1)*costos!$K$24)))</f>
        <v>108.54505761682525</v>
      </c>
      <c r="CS11" s="92">
        <f t="shared" ref="CS11:CS74" si="62">+AVERAGE(CQ11:CR11)</f>
        <v>108.54505761682525</v>
      </c>
      <c r="CT11" s="92">
        <f>CT$10*(1+((H11/H$10-1)*costos!$B$25+((I11*F11)/(I$10*F$10)-1)*costos!$E$25+((J11*F11)/((J$10*F$10)-1)*costos!$F$25/3+((K11*F11)/(K$10*F$10)-1)*costos!$F$25/3+((U11*F11)/(U$10*F$10)-1)*costos!$F$25/3+((L11*F11)/(L$10*F$10)-1)*costos!$G$25+((AQ11)/(AQ$10)-1)*costos!$J$25+((V11*F11)/(V$10*F$10)-1)*costos!$K$25)))</f>
        <v>108.70303175786063</v>
      </c>
      <c r="CU11" s="92">
        <f>CU$10*(1+((H11/H$10-1)*costos!$B$26+((I11*F11)/(I$10*F$10)-1)*costos!$E$26+((J11*F11)/((J$10*F$10)-1)*costos!$F$26/3+((K11*F11)/(K$10*F$10)-1)*costos!$F$26/3+((U11*F11)/(U$10*F$10)-1)*costos!$F$26/3+((L11*F11)/(L$10*F$10)-1)*costos!$G$26+((AR11)/(AR$10)-1)*costos!$J$26+((V11*F11)/(V$10*F$10)-1)*costos!$K$26)))</f>
        <v>112.1992666611027</v>
      </c>
      <c r="CV11" s="92">
        <f>CV$10*(1+((H11/H$10-1)*costos!$B$27+((I11*F11)/(I$10*F$10)-1)*costos!$E$27+((J11*F11)/((J$10*F$10)-1)*costos!$F$27/3+((K11*F11)/(K$10*F$10)-1)*costos!$F$27/3+((U11*F11)/(U$10*F$10)-1)*costos!$F$27/3+((L11*F11)/(L$10*F$10)-1)*costos!$G$27+((AS11)/(AS$10)-1)*costos!$J$27+((V11*F11)/(V$10*F$10)-1)*costos!$K$27)))</f>
        <v>118.0352179957892</v>
      </c>
      <c r="CW11" s="92">
        <f>CW$10*(1+((H11/H$10-1)*costos!$B$28+((I11*F11)/(I$10*F$10)-1)*costos!$E$28+((J11*F11)/((J$10*F$10)-1)*costos!$F$28/3+((K11*F11)/(K$10*F$10)-1)*costos!$F$28/3+((U11*F11)/(U$10*F$10)-1)*costos!$F$28/3+((L11*F11)/(L$10*F$10)-1)*costos!$G$28+((AS11)/(AS$10)-1)*costos!$J$28+((V11*F11)/(V$10*F$10)-1)*costos!$K$28)))</f>
        <v>118.0352179957892</v>
      </c>
      <c r="CX11" s="92">
        <f t="shared" ref="CX11:CX49" si="63">+AVERAGE(CU11:CW11)</f>
        <v>116.08990088422702</v>
      </c>
      <c r="CY11" s="92">
        <f>CY$10*(1+((H11/H$10-1)*costos!$B$32+((I11*F11)/(I$10*F$10)-1)*costos!$E$32+((J11*F11)/((J$10*F$10)-1)*costos!$F$32/3+((K11*F11)/(K$10*F$10)-1)*costos!$F$32/3+((U11*F11)/(U$10*F$10)-1)*costos!$F$32/3+((L11*F11)/(L$10*F$10)-1)*costos!$G$32+((AG11)/(AG$10)-1)*costos!$J$32+((V11*F11)/(V$10*F$10)-1)*costos!$K$32)))</f>
        <v>104.87302878177832</v>
      </c>
      <c r="CZ11" s="69">
        <f>CZ$10*(1+((H11/H$10-1)*costos!$B$31+((I11*F11)/(I$10*F$10)-1)*costos!$E$30+((J11*F11)/((J$10*F$10)-1)*costos!$F$30/3+((K11*F11)/(K$10*F$10)-1)*costos!$F$30/3+((U11*F11)/(U$10*F$10)-1)*costos!$F$30/3+((L11*F11)/(L$10*F$10)-1)*costos!$G$30+((BG11)/(BG$10)-1)*costos!$J$30+((V11*F11)/(V$10*F$10)-1)*costos!$K$30)))</f>
        <v>109.59277722945622</v>
      </c>
      <c r="DA11" s="69">
        <f>DA$10*(1+((H11/H$10-1)*costos!$B$31+((I11*F11)/(I$10*F$10)-1)*costos!$E$31+((J11*F11)/((J$10*F$10)-1)*costos!$F$31/3+((K11*F11)/(K$10*F$10)-1)*costos!$F$31/3+((U11*F11)/(U$10*F$10)-1)*costos!$F$31/3+((L11*F11)/(L$10*F$10)-1)*costos!$G$31+((BJ11)/(BJ$10)-1)*costos!$J$31+((V11*F11)/(V$10*F$10)-1)*costos!$K$31)))</f>
        <v>108.02367122840464</v>
      </c>
      <c r="DB11" s="69">
        <f>DB$10*(1+((H11/H$10-1)*costos!$B$36+((I11*F11)/(I$10*F$10)-1)*costos!$E$36+((J11*F11)/((J$10*F$10)-1)*costos!$F$36/3+((K11*F11)/(K$10*F$10)-1)*costos!$F$36/3+((U11*F11)/(U$10*F$10)-1)*costos!$F$36/3+((L11*F11)/(L$10*F$10)-1)*costos!$G$36+((BK11)/(BK$10)-1)*costos!$J$36+((V11*F11)/(V$10*F$10)-1)*costos!$K$36)))</f>
        <v>114.99996391764799</v>
      </c>
      <c r="DC11" s="69">
        <f>DC$10*(1+((H11/H$10-1)*costos!$B$37+((I11*F11)/(I$10*F$10)-1)*costos!$E$37+((U11*F11)/(U$10*F$10)-1)*costos!$F$37+((L11*F11)/(L$10*F$10)-1)*costos!$G$37+((BN11)/(BN$10)-1)*costos!$J$37+((V11*F11)/(V$10*F$10)-1)*costos!$K$37))</f>
        <v>109.14523347830725</v>
      </c>
      <c r="DD11" s="69">
        <f>DD$10*(1+((H11/H$10-1)*costos!$B$39+((I11*F11)/(I$10*F$10)-1)*costos!$E$39+((U11*F11)/(U$10*F$10)-1)*costos!$F$39+((L11*F11)/(L$10*F$10)-1)*costos!$G$39+((BR11)/(BR$10)-1)*costos!$J$39+((V11*F11)/(V$10*F$10)-1)*costos!$K$39))</f>
        <v>109.09948652334054</v>
      </c>
      <c r="DE11" s="69">
        <f>DD$10*(1+((H11/H$10-1)*costos!$B$35+((I11*F11)/(I$10*F$10)-1)*costos!$E$35+((U11*F11)/(U$10*F$10)-1)*costos!$F$35+((L11*F11)/(L$10*F$10)-1)*costos!$G$35+((BR11)/(BR$10)-1)*costos!$J$35+((V11*F11)/(V$10*F$10)-1)*costos!$K$35))</f>
        <v>108.71048776578864</v>
      </c>
      <c r="DF11" s="69">
        <f>DF$10*(1+((H11/H$10-1)*costos!$B$40+((I11*F11)/(I$10*F$10)-1)*costos!$E$40+((U11*F11)/(U$10*F$10)-1)*costos!$F$40+((L11*F11)/(L$10*F$10)-1)*costos!$G$40+((BP11)/(BP$10)-1)*costos!$J$40+((V11*F11)/(V$10*F$10)-1)*costos!$K$40))</f>
        <v>111.06031132437788</v>
      </c>
      <c r="DG11" s="92">
        <f t="shared" ref="DG11:DG49" si="64">+((DE11/$DE$10)*100+DF11)/2</f>
        <v>109.88539954508326</v>
      </c>
      <c r="DH11" s="69">
        <f>DH$10*(1+((H11/H$10-1)*costos!$B$34+((I11*F11)/(I$10*F$10)-1)*costos!$E$34+((J11*F11)/((J$10*F$10)-1)*costos!$F$34/3+((K11*F11)/(K$10*F$10)-1)*costos!$F$34/3+((U11*F11)/(U$10*F$10)-1)*costos!$F$34/3+((L11*F11)/(L$10*F$10)-1)*costos!$G$34+((BV11)/(BV$10)-1)*costos!$J$34+((V11*F11)/(V$10*F$10)-1)*costos!$K$34)))</f>
        <v>109.3102299454918</v>
      </c>
      <c r="DI11" s="69">
        <f>DI$10*(1+((H11/H$10-1)*costos!$B$38+((I11*F11)/(I$10*F$10)-1)*costos!$E$38+((J11*F11)/((J$10*F$10)-1)*costos!$F$38/3+((K11*F11)/(K$10*F$10)-1)*costos!$F$38/3+((U11*F11)/(U$10*F$10)-1)*costos!$F$38/3+((L11*F11)/(L$10*F$10)-1)*costos!$G$38+((BU11)/(BU$10)-1)*costos!$J$38+((V11*F11)/(V$10*F$10)-1)*costos!$K$38)))</f>
        <v>105.83034495864574</v>
      </c>
      <c r="DK11" s="1">
        <v>444740</v>
      </c>
      <c r="DL11" s="1" t="s">
        <v>107</v>
      </c>
      <c r="DM11" s="82">
        <f t="shared" ref="DM11:DR21" si="65">+DM10</f>
        <v>214570</v>
      </c>
      <c r="DN11" s="82" t="str">
        <f t="shared" si="65"/>
        <v>2015-16</v>
      </c>
      <c r="DO11" s="82">
        <f t="shared" si="65"/>
        <v>1200000</v>
      </c>
      <c r="DP11" s="82" t="str">
        <f t="shared" si="65"/>
        <v>2015-16</v>
      </c>
      <c r="DQ11" s="1">
        <v>1220000</v>
      </c>
      <c r="DR11" s="1" t="s">
        <v>107</v>
      </c>
      <c r="DS11" s="1">
        <v>3300000</v>
      </c>
      <c r="DT11" s="1" t="s">
        <v>107</v>
      </c>
      <c r="DU11" s="82">
        <f>+DU10</f>
        <v>20100000</v>
      </c>
      <c r="DV11" s="82" t="str">
        <f>+DV10</f>
        <v>2015-16</v>
      </c>
      <c r="DW11" s="1">
        <v>850000</v>
      </c>
      <c r="DX11" s="1" t="s">
        <v>107</v>
      </c>
      <c r="DY11" s="83">
        <v>4830000</v>
      </c>
      <c r="DZ11" s="83" t="str">
        <f t="shared" ref="DZ11:DZ13" si="66">+DZ10</f>
        <v>2015-16</v>
      </c>
      <c r="EA11" s="79">
        <f t="shared" ref="EA11:EA74" si="67">+DY11+DW11+DU11+DS11+DQ11+DO11</f>
        <v>31500000</v>
      </c>
      <c r="EB11" s="82">
        <f t="shared" ref="EB11:EB21" si="68">+EB10</f>
        <v>368438</v>
      </c>
      <c r="EC11" s="82" t="str">
        <f t="shared" ref="EC11:EE21" si="69">+EC10</f>
        <v>2015-16</v>
      </c>
      <c r="ED11" s="83">
        <f t="shared" ref="ED11:EG15" si="70">+ED10</f>
        <v>165327</v>
      </c>
      <c r="EE11" s="143">
        <f t="shared" si="70"/>
        <v>2016</v>
      </c>
      <c r="EF11" s="83">
        <f>+EF10</f>
        <v>223944</v>
      </c>
      <c r="EG11" s="143">
        <f>+EG10</f>
        <v>2016</v>
      </c>
      <c r="EH11" s="83">
        <f t="shared" ref="EH11:EO14" si="71">+EH10</f>
        <v>53117706</v>
      </c>
      <c r="EI11" s="143">
        <f t="shared" si="71"/>
        <v>2016</v>
      </c>
      <c r="EJ11" s="83">
        <f t="shared" si="71"/>
        <v>5011446</v>
      </c>
      <c r="EK11" s="143">
        <f t="shared" si="71"/>
        <v>2015</v>
      </c>
      <c r="EL11" s="82">
        <f t="shared" si="71"/>
        <v>14859486</v>
      </c>
      <c r="EM11" s="144">
        <f t="shared" si="71"/>
        <v>2015</v>
      </c>
      <c r="EN11" s="82">
        <f t="shared" si="71"/>
        <v>3448018</v>
      </c>
      <c r="EO11" s="144">
        <f t="shared" si="71"/>
        <v>2015</v>
      </c>
      <c r="EP11" s="82"/>
      <c r="EQ11" s="83">
        <f>+EQ10</f>
        <v>3008956</v>
      </c>
      <c r="ER11" s="1">
        <v>32755</v>
      </c>
      <c r="ES11" s="82"/>
      <c r="ET11" s="83">
        <f>+ET10</f>
        <v>24000</v>
      </c>
      <c r="EU11" s="83">
        <f>+EU10</f>
        <v>16752</v>
      </c>
      <c r="EV11" s="83">
        <f>+EV10</f>
        <v>9500</v>
      </c>
      <c r="EW11" s="83">
        <f>+EW10</f>
        <v>17994</v>
      </c>
      <c r="EX11" s="79">
        <f t="shared" ref="EX11:EX74" si="72">+SUM(ET11:EW11)</f>
        <v>68246</v>
      </c>
      <c r="EY11" s="1">
        <v>19129</v>
      </c>
      <c r="EZ11" s="82">
        <f>+EZ10</f>
        <v>75500</v>
      </c>
      <c r="FA11" s="1">
        <f>+FA10</f>
        <v>22169</v>
      </c>
      <c r="FB11" s="1">
        <f>+FB10</f>
        <v>20495</v>
      </c>
      <c r="FC11" s="79">
        <f t="shared" ref="FC11:FC59" si="73">+FB11+FA11</f>
        <v>42664</v>
      </c>
      <c r="FD11" s="1">
        <f>+FD10</f>
        <v>43815</v>
      </c>
      <c r="FE11" s="1"/>
      <c r="FF11" s="82">
        <v>708190</v>
      </c>
      <c r="FG11" s="82" t="str">
        <f t="shared" si="47"/>
        <v>2015-16</v>
      </c>
      <c r="FH11" s="82">
        <f t="shared" ref="FH11:FK15" si="74">+FH10</f>
        <v>1558100</v>
      </c>
      <c r="FI11" s="82" t="str">
        <f t="shared" si="74"/>
        <v>2014-15</v>
      </c>
      <c r="FJ11" s="82">
        <f t="shared" si="74"/>
        <v>4300000</v>
      </c>
      <c r="FK11" s="82" t="str">
        <f t="shared" si="74"/>
        <v>2015-16</v>
      </c>
      <c r="FL11" s="1">
        <v>2300000</v>
      </c>
      <c r="FM11" s="1" t="s">
        <v>107</v>
      </c>
      <c r="FN11" s="1">
        <v>25000000</v>
      </c>
      <c r="FO11" s="1" t="s">
        <v>107</v>
      </c>
      <c r="FP11" s="1">
        <v>58000000</v>
      </c>
      <c r="FQ11" s="1" t="s">
        <v>107</v>
      </c>
      <c r="FR11" s="82">
        <f t="shared" si="48"/>
        <v>3500000</v>
      </c>
      <c r="FS11" s="82" t="str">
        <f t="shared" si="48"/>
        <v>2015-16</v>
      </c>
      <c r="FT11" s="83">
        <f t="shared" ref="FT11:FU18" si="75">+FT10</f>
        <v>11315000</v>
      </c>
      <c r="FU11" s="83" t="str">
        <f t="shared" si="75"/>
        <v>2015-16</v>
      </c>
      <c r="FV11" s="79">
        <f t="shared" ref="FV11:FV74" si="76">+FT11+FR11+FP11+FN11+FL11+FJ11</f>
        <v>104415000</v>
      </c>
      <c r="FW11" s="82">
        <f t="shared" ref="FW11:FX15" si="77">+FW10</f>
        <v>1010777</v>
      </c>
      <c r="FX11" s="82" t="str">
        <f t="shared" si="77"/>
        <v>2014-15</v>
      </c>
      <c r="FY11" s="83">
        <v>30778.933000000001</v>
      </c>
      <c r="FZ11" s="79"/>
      <c r="GA11" s="79"/>
      <c r="GB11" s="1">
        <v>17584178</v>
      </c>
      <c r="GC11" s="6">
        <v>2016</v>
      </c>
      <c r="GD11" s="1">
        <f>+GD10</f>
        <v>1678337</v>
      </c>
      <c r="GE11" s="1">
        <v>468278</v>
      </c>
      <c r="GF11" s="1">
        <v>1032446</v>
      </c>
      <c r="GG11" s="1">
        <f>+GG10</f>
        <v>102259</v>
      </c>
      <c r="GH11" s="79">
        <f t="shared" ref="GH11:GH47" si="78">GE11+GF11+GG11</f>
        <v>1602983</v>
      </c>
      <c r="GI11" s="82">
        <f t="shared" ref="GI11:GI42" si="79">+GI10</f>
        <v>1302556</v>
      </c>
      <c r="GJ11" s="1">
        <f t="shared" ref="GJ11:GM21" si="80">+GJ10</f>
        <v>600000</v>
      </c>
      <c r="GK11" s="1">
        <f t="shared" si="80"/>
        <v>998555</v>
      </c>
      <c r="GL11" s="1">
        <f t="shared" si="80"/>
        <v>302000</v>
      </c>
      <c r="GM11" s="1">
        <f t="shared" si="80"/>
        <v>266553.90000000002</v>
      </c>
      <c r="GN11" s="79">
        <f t="shared" ref="GN11:GN74" si="81">+SUM(GJ11:GM11)</f>
        <v>2167108.9</v>
      </c>
      <c r="GO11" s="83">
        <f>+GO10</f>
        <v>191984</v>
      </c>
      <c r="GP11" s="1">
        <f t="shared" ref="GP11:GP21" si="82">+GP10</f>
        <v>68123</v>
      </c>
      <c r="GQ11" s="1"/>
      <c r="GR11" s="1">
        <v>42700</v>
      </c>
      <c r="GS11" s="79">
        <f t="shared" ref="GS11:GS33" si="83">+GR11+GQ11</f>
        <v>42700</v>
      </c>
      <c r="GT11" s="83">
        <f>+GT10</f>
        <v>2430866</v>
      </c>
      <c r="GU11" s="1">
        <f t="shared" ref="GU11:GU21" si="84">611419/12</f>
        <v>50951.583333333336</v>
      </c>
      <c r="GV11" s="1">
        <f t="shared" ref="GV11:GV21" si="85">617557/12</f>
        <v>51463.083333333336</v>
      </c>
      <c r="GW11" s="79">
        <f t="shared" si="49"/>
        <v>1228976</v>
      </c>
      <c r="GX11" s="83">
        <v>30955.772000000001</v>
      </c>
      <c r="GY11" s="83" t="s">
        <v>329</v>
      </c>
      <c r="GZ11" s="83">
        <f>+GZ10</f>
        <v>93671</v>
      </c>
      <c r="HA11" s="1">
        <v>206000</v>
      </c>
      <c r="HB11" s="79"/>
      <c r="HC11" s="79"/>
      <c r="HD11" s="1">
        <v>37442</v>
      </c>
      <c r="HE11" s="79"/>
      <c r="HF11" s="79"/>
      <c r="HG11" s="1">
        <v>141000</v>
      </c>
      <c r="HH11" s="79"/>
      <c r="HI11" s="79"/>
      <c r="HJ11" s="1"/>
      <c r="HK11" s="79"/>
      <c r="HL11" s="79"/>
      <c r="HM11" s="79">
        <f t="shared" ref="HM11:HM74" si="86">+HK11+HH11</f>
        <v>0</v>
      </c>
      <c r="HN11" s="69"/>
      <c r="HO11" s="1">
        <v>800700000</v>
      </c>
      <c r="HP11" s="79"/>
      <c r="HQ11" s="79"/>
      <c r="HR11" s="1"/>
      <c r="HS11" s="1"/>
      <c r="HT11" s="1"/>
      <c r="HU11" s="1"/>
      <c r="HV11" s="1"/>
      <c r="HW11" s="1">
        <v>2000000</v>
      </c>
      <c r="HX11" s="1" t="s">
        <v>107</v>
      </c>
      <c r="HY11" s="1">
        <v>2950000</v>
      </c>
      <c r="HZ11" s="1" t="s">
        <v>107</v>
      </c>
      <c r="IA11" s="1"/>
      <c r="IB11" s="1"/>
      <c r="IC11" s="1"/>
      <c r="ID11" s="1"/>
      <c r="IE11" s="1"/>
      <c r="IF11" s="1"/>
      <c r="IG11" s="1">
        <v>5590000</v>
      </c>
      <c r="IH11" s="1" t="s">
        <v>107</v>
      </c>
      <c r="II11" s="79">
        <f t="shared" ref="II11:II74" si="87">+IG11+IE11+IC11+IA11+HY11+HW11</f>
        <v>10540000</v>
      </c>
      <c r="IJ11" s="1"/>
      <c r="IK11" s="1"/>
      <c r="IL11" s="7">
        <v>37.869999999999997</v>
      </c>
      <c r="IM11" s="7">
        <v>55.168726234338443</v>
      </c>
      <c r="IN11" s="7">
        <v>201</v>
      </c>
      <c r="IO11" s="695">
        <f>+IO23*(1-0.052)</f>
        <v>11.897399999999999</v>
      </c>
      <c r="IP11" s="98">
        <f t="shared" ref="IP11:IP21" si="88">2521439904/435900000</f>
        <v>5.7844457536132143</v>
      </c>
      <c r="IQ11" s="93">
        <v>21.6</v>
      </c>
      <c r="IR11" s="93">
        <f>+IR10</f>
        <v>2.2000000000000002</v>
      </c>
      <c r="IS11" s="93">
        <f>+IS10</f>
        <v>5.59</v>
      </c>
      <c r="IT11" s="93">
        <f>+IT10</f>
        <v>13.55</v>
      </c>
      <c r="IU11" s="93">
        <f>+IU10</f>
        <v>1.07</v>
      </c>
      <c r="IV11" s="94">
        <f t="shared" ref="IV11:IV74" si="89">+SUM(IS11:IU11)</f>
        <v>20.21</v>
      </c>
      <c r="IW11" s="84"/>
      <c r="IX11" s="84"/>
      <c r="IY11" s="105">
        <v>1.84</v>
      </c>
      <c r="IZ11" s="161">
        <v>0.3</v>
      </c>
      <c r="JA11" s="161"/>
      <c r="JB11" s="84">
        <v>38.770000000000003</v>
      </c>
      <c r="JC11" s="84"/>
      <c r="JD11" s="84"/>
      <c r="JF11" s="2">
        <v>5.0797220100000011</v>
      </c>
      <c r="JG11" s="2">
        <v>18.090779070000004</v>
      </c>
      <c r="JH11" s="2">
        <v>111.03341149000001</v>
      </c>
      <c r="JI11" s="2">
        <v>73.340054849999987</v>
      </c>
      <c r="JJ11" s="2">
        <v>436.37828098000006</v>
      </c>
      <c r="JK11" s="2">
        <v>69.943265490000002</v>
      </c>
      <c r="JL11" s="2">
        <v>1053.0189602200001</v>
      </c>
      <c r="JM11" s="2">
        <v>4.6498676999999997</v>
      </c>
      <c r="JN11" s="2">
        <v>226.91489230999994</v>
      </c>
      <c r="JO11" s="2">
        <v>13.276549990000003</v>
      </c>
      <c r="JP11" s="2">
        <v>0</v>
      </c>
      <c r="JQ11" s="2">
        <v>2.2313447000000002</v>
      </c>
      <c r="JR11" s="2">
        <v>0.67926733000000006</v>
      </c>
      <c r="JS11" s="2">
        <v>0</v>
      </c>
      <c r="JT11" s="2">
        <v>0.82693818000000008</v>
      </c>
      <c r="JU11" s="2">
        <v>74.326205979999997</v>
      </c>
      <c r="JV11" s="2">
        <v>8.0737776099999987</v>
      </c>
      <c r="JW11" s="2">
        <v>43.559597320000002</v>
      </c>
      <c r="JX11" s="2">
        <v>9.5280096600000004</v>
      </c>
      <c r="JY11" s="2">
        <v>0.21453039999999998</v>
      </c>
      <c r="JZ11" s="2">
        <v>0.32445115000000002</v>
      </c>
      <c r="KA11" s="2">
        <v>0</v>
      </c>
      <c r="KB11" s="2">
        <v>14.946342859999998</v>
      </c>
      <c r="KC11" s="2">
        <v>9.9917564099999989</v>
      </c>
      <c r="KD11" s="2">
        <v>4.5949053100000006</v>
      </c>
      <c r="KE11" s="2">
        <v>13.241513190000003</v>
      </c>
      <c r="KF11" s="2">
        <v>18.893638879999994</v>
      </c>
      <c r="KG11" s="2">
        <v>158.67741339999998</v>
      </c>
      <c r="KH11" s="2">
        <v>41.861736140000012</v>
      </c>
      <c r="KI11" s="2">
        <v>15.19871582</v>
      </c>
      <c r="KJ11" s="2">
        <v>0.73807505000000007</v>
      </c>
      <c r="KK11" s="2">
        <v>12.893354330000001</v>
      </c>
      <c r="KL11" s="2">
        <v>0.59030972999999998</v>
      </c>
      <c r="KM11" s="2">
        <v>1.7102295600000001</v>
      </c>
      <c r="KN11" s="2">
        <v>0</v>
      </c>
      <c r="KO11" s="2">
        <v>8.7386830000000013E-2</v>
      </c>
      <c r="KP11" s="2">
        <v>0</v>
      </c>
      <c r="KQ11" s="2">
        <v>8.7773474799999995</v>
      </c>
      <c r="KR11" s="2">
        <v>0</v>
      </c>
      <c r="KS11" s="2">
        <v>0.2161566</v>
      </c>
      <c r="KT11" s="2">
        <v>1.39290282</v>
      </c>
      <c r="KU11" s="2">
        <v>8.0419199999999996E-2</v>
      </c>
      <c r="KV11" s="2">
        <v>0</v>
      </c>
      <c r="KW11" s="2">
        <v>1.8285759499999998</v>
      </c>
      <c r="KX11" s="2">
        <v>0</v>
      </c>
      <c r="KY11" s="2">
        <v>0</v>
      </c>
      <c r="KZ11" s="2">
        <v>0.22922013999999999</v>
      </c>
      <c r="LA11" s="2">
        <v>0.77055649000000004</v>
      </c>
      <c r="LB11" s="2">
        <v>5.7500210000000003E-2</v>
      </c>
      <c r="LC11" s="2">
        <v>0.13046010999999999</v>
      </c>
      <c r="LD11" s="2">
        <v>0</v>
      </c>
      <c r="LE11" s="2">
        <v>1.7193658300000001</v>
      </c>
      <c r="LF11" s="2">
        <v>0.55897443999999996</v>
      </c>
      <c r="LG11" s="2">
        <v>18.321732350000001</v>
      </c>
      <c r="LH11" s="2">
        <v>5.440657390000001</v>
      </c>
      <c r="LI11" s="2">
        <v>0</v>
      </c>
      <c r="LJ11" s="2">
        <v>0</v>
      </c>
      <c r="LK11" s="2">
        <v>3.0712413099999996</v>
      </c>
      <c r="LL11" s="2">
        <v>3.5155215999999996</v>
      </c>
      <c r="LM11" s="2">
        <v>0.93190032</v>
      </c>
      <c r="LN11" s="2">
        <v>1.1156101799999998</v>
      </c>
      <c r="LO11" s="2">
        <v>4.9760413099999994</v>
      </c>
      <c r="LQ11" s="85">
        <f t="shared" ref="LQ11:LQ47" si="90">+SUM(JH11:JJ11,JL11:JN11)</f>
        <v>1905.33546755</v>
      </c>
      <c r="LR11" s="85">
        <f t="shared" ref="LR11:LR47" si="91">+SUM(JQ11:JT11)</f>
        <v>3.7375502100000002</v>
      </c>
      <c r="LS11" s="85">
        <f t="shared" ref="LS11:LS47" si="92">+SUM(JV11:JW11)</f>
        <v>51.633374930000002</v>
      </c>
      <c r="LT11" s="85">
        <f t="shared" ref="LT11:LT47" si="93">+SUM(JY11:KA11)</f>
        <v>0.53898155000000003</v>
      </c>
      <c r="LU11" s="85">
        <f t="shared" ref="LU11:LU47" si="94">+SUM(KM11:KO11,KQ11:KS11)</f>
        <v>10.791120469999999</v>
      </c>
      <c r="LV11" s="85">
        <f t="shared" ref="LV11:LV47" si="95">+SUM(KV11:KY11)</f>
        <v>1.8285759499999998</v>
      </c>
      <c r="LW11" s="85">
        <f t="shared" ref="LW11:LW47" si="96">+SUM(LA11:LB11)</f>
        <v>0.82805670000000009</v>
      </c>
      <c r="LX11" s="85">
        <f t="shared" ref="LX11:LX47" si="97">+SUM(LD11:LF11)</f>
        <v>2.2783402700000002</v>
      </c>
      <c r="LZ11" s="131"/>
      <c r="MA11" s="131"/>
      <c r="MB11"/>
      <c r="MC11"/>
      <c r="MD11"/>
      <c r="MF11"/>
      <c r="MG11"/>
      <c r="MH11" s="131"/>
      <c r="MI11" s="131"/>
      <c r="MJ11" s="131"/>
      <c r="MK11"/>
      <c r="ML11" s="131"/>
      <c r="MM11" s="131"/>
      <c r="MN11"/>
      <c r="MO11" s="131"/>
      <c r="MP11" s="131"/>
      <c r="MQ11" s="131"/>
      <c r="MR11"/>
      <c r="MT11"/>
      <c r="MU11" s="2"/>
      <c r="MV11"/>
      <c r="MW11"/>
      <c r="MX11"/>
      <c r="MY11" s="131"/>
      <c r="MZ11"/>
      <c r="NA11" s="83">
        <v>33.229999999999997</v>
      </c>
      <c r="NB11" s="83">
        <v>104.08</v>
      </c>
      <c r="NC11" s="131"/>
      <c r="ND11" s="131"/>
      <c r="NE11" s="83">
        <v>84.97</v>
      </c>
    </row>
    <row r="12" spans="1:369">
      <c r="A12" s="38">
        <f t="shared" si="32"/>
        <v>42430</v>
      </c>
      <c r="B12" s="36">
        <v>3</v>
      </c>
      <c r="C12" s="36">
        <v>2016</v>
      </c>
      <c r="D12" s="36">
        <f t="shared" si="50"/>
        <v>12</v>
      </c>
      <c r="E12" s="38">
        <f t="shared" si="33"/>
        <v>42430</v>
      </c>
      <c r="F12" s="7">
        <v>15.157142857142855</v>
      </c>
      <c r="G12" s="7">
        <v>79.654895666131623</v>
      </c>
      <c r="H12" s="1">
        <v>7680</v>
      </c>
      <c r="I12" s="7">
        <v>90</v>
      </c>
      <c r="J12" s="7">
        <v>395</v>
      </c>
      <c r="K12" s="7">
        <v>3.4</v>
      </c>
      <c r="L12" s="7">
        <v>26.4</v>
      </c>
      <c r="N12" s="5">
        <v>1.1548</v>
      </c>
      <c r="O12" s="5">
        <v>1.0162</v>
      </c>
      <c r="P12" s="78">
        <f t="shared" si="34"/>
        <v>16.45307857142857</v>
      </c>
      <c r="Q12" s="6">
        <v>205</v>
      </c>
      <c r="R12" s="79">
        <f t="shared" si="35"/>
        <v>2050</v>
      </c>
      <c r="S12" s="6">
        <v>138.76190476190476</v>
      </c>
      <c r="T12" s="6">
        <v>265.71428571428572</v>
      </c>
      <c r="U12" s="143">
        <v>146.16666666666666</v>
      </c>
      <c r="V12" s="6">
        <v>227.31428571428575</v>
      </c>
      <c r="W12" s="6">
        <v>138.4047619047619</v>
      </c>
      <c r="X12" s="6">
        <v>142.61904761904762</v>
      </c>
      <c r="Y12" s="79">
        <f t="shared" si="36"/>
        <v>2103.2340136054418</v>
      </c>
      <c r="Z12" s="79">
        <f t="shared" si="37"/>
        <v>4027.4693877551017</v>
      </c>
      <c r="AA12" s="79">
        <f t="shared" si="38"/>
        <v>2215.4690476190472</v>
      </c>
      <c r="AB12" s="79">
        <f t="shared" si="39"/>
        <v>3445.4351020408162</v>
      </c>
      <c r="AC12" s="79">
        <f t="shared" si="40"/>
        <v>2097.8207482993193</v>
      </c>
      <c r="AD12" s="79">
        <f t="shared" si="41"/>
        <v>2161.6972789115644</v>
      </c>
      <c r="AE12" s="79">
        <f t="shared" si="42"/>
        <v>2675.1875963718821</v>
      </c>
      <c r="AF12" s="1">
        <v>7764.6190476190477</v>
      </c>
      <c r="AG12" s="1">
        <v>4272</v>
      </c>
      <c r="AH12" s="1">
        <v>15790</v>
      </c>
      <c r="AI12" s="5">
        <v>4.63</v>
      </c>
      <c r="AJ12" s="5">
        <v>2.5</v>
      </c>
      <c r="AK12" s="5">
        <v>2.38</v>
      </c>
      <c r="AL12" s="5">
        <v>2.1800000000000002</v>
      </c>
      <c r="AM12" s="78">
        <f t="shared" si="43"/>
        <v>3.3718000000000004</v>
      </c>
      <c r="AN12" s="5">
        <v>260.64</v>
      </c>
      <c r="AO12" s="80">
        <f t="shared" si="51"/>
        <v>156.38399999999999</v>
      </c>
      <c r="AP12" s="78">
        <f t="shared" si="44"/>
        <v>208.512</v>
      </c>
      <c r="AQ12" s="5">
        <v>178.92</v>
      </c>
      <c r="AR12" s="5">
        <v>119.39999999999999</v>
      </c>
      <c r="AS12" s="5">
        <v>278</v>
      </c>
      <c r="AT12" s="80">
        <f t="shared" si="52"/>
        <v>178.92</v>
      </c>
      <c r="AU12" s="78">
        <f t="shared" si="53"/>
        <v>192.10666666666665</v>
      </c>
      <c r="AV12">
        <v>63.8</v>
      </c>
      <c r="AW12" s="80">
        <f t="shared" si="54"/>
        <v>204.16</v>
      </c>
      <c r="AX12">
        <v>97.8</v>
      </c>
      <c r="AY12" s="7">
        <v>187.20000000000002</v>
      </c>
      <c r="AZ12" s="7">
        <v>122.94</v>
      </c>
      <c r="BA12" s="7">
        <v>69.179999999999993</v>
      </c>
      <c r="BB12" s="94">
        <f t="shared" si="45"/>
        <v>127.895</v>
      </c>
      <c r="BC12" s="68">
        <v>546</v>
      </c>
      <c r="BD12" s="68">
        <v>635.33000000000004</v>
      </c>
      <c r="BE12" s="7">
        <f t="shared" si="55"/>
        <v>470</v>
      </c>
      <c r="BF12" s="7">
        <f t="shared" si="55"/>
        <v>290</v>
      </c>
      <c r="BG12" s="94">
        <f t="shared" si="56"/>
        <v>485.33249999999998</v>
      </c>
      <c r="BH12" s="7">
        <v>29.34</v>
      </c>
      <c r="BI12" s="7">
        <f t="shared" ref="BI12:BI19" si="98">+BI11</f>
        <v>9.8640000000000008</v>
      </c>
      <c r="BJ12" s="78">
        <f t="shared" si="57"/>
        <v>39.204000000000001</v>
      </c>
      <c r="BK12" s="7">
        <v>27.274999999999999</v>
      </c>
      <c r="BL12" s="7">
        <v>28.21</v>
      </c>
      <c r="BM12" s="94">
        <f t="shared" si="58"/>
        <v>27.7425</v>
      </c>
      <c r="BN12" s="5">
        <v>2.89</v>
      </c>
      <c r="BO12" s="105">
        <v>21.344761904761906</v>
      </c>
      <c r="BP12" s="80">
        <v>14.115833333333333</v>
      </c>
      <c r="BQ12" s="94">
        <f t="shared" si="59"/>
        <v>20.62186904761905</v>
      </c>
      <c r="BR12" s="7">
        <v>14.74</v>
      </c>
      <c r="BS12" s="7">
        <v>57</v>
      </c>
      <c r="BT12" s="7">
        <v>42.19</v>
      </c>
      <c r="BU12" s="79">
        <f t="shared" si="46"/>
        <v>810.56999999999994</v>
      </c>
      <c r="BV12" s="97">
        <v>21.8</v>
      </c>
      <c r="BW12" s="95"/>
      <c r="BY12" s="92">
        <f>BY$10*(1+((H12/H$10-1)*costos!$B$5+((I12*F12)/(I$10*F$10)-1)*costos!$E$5+((J12*F12)/((J$10*F$10)-1)*costos!$F$5/3+((K12*F12)/(K$10*F$10)-1)*costos!$F$5/3+((U12*F12)/(U$10*F$10)-1)*costos!$F$5/3+((L12*F12)/(L$10*F$10)-1)*costos!$G$5+((N12*F12)/(N$10*F$10)-1)*costos!$J$5+((V12*F12)/(V$10*F$10)-1)*costos!$K$5)))</f>
        <v>111.47684118780828</v>
      </c>
      <c r="BZ12" s="92">
        <f>$BZ$10*(1+((H12/$H$10-1)*costos!$B$6+((I12*F12)/($I$10*$F$10)-1)*costos!$E$6+((J12*F12)/(($J$10*$F$10)-1)*costos!$F$6/3+((K12*F12)/($K$10*$F$10)-1)*costos!$F$6/3+((U12*F12)/($U$10*$F$10)-1)*costos!$F$6/3+((L12*F12)/($L$10*$F$10)-1)*costos!$G$6+((Q12*F12)/($Q$10*$F$10)-1)*costos!$J$6+((V12*F12)/($V$10*$F$10)-1)*costos!$K$6)))</f>
        <v>107.36594480892209</v>
      </c>
      <c r="CA12" s="92">
        <f>CA$10*(1+((H12/H$10-1)*costos!$B$7+((I12*F12)/(I$10*F$10)-1)*costos!$E$7+((J12*F12)/((J$10*F$10)-1)*costos!$F$7/3+((K12*F12)/(K$10*F$10)-1)*costos!$F$7/3+((U12*F12)/(U$10*F$10)-1)*costos!$F$7/3+((L12*F12)/(L$10*F$10)-1)*costos!$G$7+((S12*F12)/(S$10*F$10)-1)*costos!$J$7+((V12*F12)/(V$10*F$10)-1)*costos!$K$7)))</f>
        <v>110.57131558472375</v>
      </c>
      <c r="CB12" s="92">
        <f>CB$10*(1+((H12/H$10-1)*costos!$B$8+((I12*F12)/(I$10*F$10)-1)*costos!$E$8+((J12*F12)/((J$10*F$10)-1)*costos!$F$8/3+((K12*F12)/(K$10*F$10)-1)*costos!$F$8/3+((U12*F12)/(U$10*F$10)-1)*costos!$F$8/3+((L12*F12)/(L$10*F$10)-1)*costos!$G$8+((T12*F12)/(T$10*F$10)-1)*costos!$J$8+((V12*F12)/(V$10*F$10)-1)*costos!$K$8)))</f>
        <v>108.40244033360671</v>
      </c>
      <c r="CC12" s="92">
        <f>CC$10*(1+((H12/H$10-1)*costos!$B$9+((I12*F12)/(I$10*F$10)-1)*costos!$E$9+((J12*F12)/((J$10*F$10)-1)*costos!$F$9/3+((K12*F12)/(K$10*F$10)-1)*costos!$F$9/3+((U12*F12)/(U$10*F$10)-1)*costos!$F$9/3+((L12*F12)/(L$10*F$10)-1)*costos!$G$9+((U12*F12)/(U$10*F$10)-1)*costos!$J$9+((V12*F12)/(V$10*F$10)-1)*costos!$K$9)))</f>
        <v>109.54968170703236</v>
      </c>
      <c r="CD12" s="92">
        <f>CD$10*(1+((H12/H$10-1)*costos!$B$11+((I12*F12)/(I$10*F$10)-1)*costos!$E$11+((J12*F12)/((J$10*F$10)-1)*costos!$F$11/3+((K12*F12)/(K$10*F$10)-1)*costos!$F$11/3+((U12*F12)/(U$10*F$10)-1)*costos!$F$11/3+((L12*F12)/(L$10*F$10)-1)*costos!$G$11+((V12*F12)/(V$10*F$10)-1)*costos!$J$11+((V12*F12)/(V$10*F$10)-1)*costos!$K$11)))</f>
        <v>110.04184735562865</v>
      </c>
      <c r="CE12" s="92">
        <f>CE$10*(1+((H12/H$10-1)*costos!$B$12+((I12*F12)/(I$10*F$10)-1)*costos!$E$12+((J12*F12)/((J$10*F$10)-1)*costos!$F$12/3+((K12*F12)/(K$10*F$10)-1)*costos!$F$12/3+((U12*F12)/(U$10*F$10)-1)*costos!$F$12/3+((L12*F12)/(L$10*F$10)-1)*costos!$G$12+((W12*F12)/(W$10*F$10)-1)*costos!$J$12+((V12*F12)/(V$10*F$10)-1)*costos!$K$12)))</f>
        <v>107.36597230180654</v>
      </c>
      <c r="CF12" s="92">
        <f>CF$10*(1+((H12/H$10-1)*costos!$B$13+((I12*F12)/(I$10*F$10)-1)*costos!$E$13+((J12*F12)/((J$10*F$10)-1)*costos!$F$13/3+((K12*F12)/(K$10*F$10)-1)*costos!$F$13/3+((U12*F12)/(U$10*F$10)-1)*costos!$F$13/3+((L12*F12)/(L$10*F$10)-1)*costos!$G$13+((X12*F12)/(X$10*F$10)-1)*costos!$J$13+((V12*F12)/(V$10*F$10)-1)*costos!$K$13)))</f>
        <v>111.70905125683453</v>
      </c>
      <c r="CG12" s="92">
        <f t="shared" si="60"/>
        <v>109.60671808993875</v>
      </c>
      <c r="CH12" s="92">
        <f>CH$10*(1+((H12/H$10-1)*costos!$B$10+((I12*F12)/(I$10*F$10)-1)*costos!$E$10+((J12*F12)/((J$10*F$10)-1)*costos!$F$10/3+((K12*F12)/(K$10*F$10)-1)*costos!$F$10/3+((U12*F12)/(U$10*F$10)-1)*costos!$F$10/3+((L12*F12)/(L$10*F$10)-1)*costos!$G$10+((AF12)/(AF$10)-1)*costos!$J$10+((V12*F12)/(V$10*F$10)-1)*costos!$K$10)))</f>
        <v>114.13681391813557</v>
      </c>
      <c r="CI12" s="92">
        <f>CI$10*(1+((H12/H$10-1)*costos!$B$15+((I12*F12)/(I$10*F$10)-1)*costos!$E$15+((J12*F12)/((J$10*F$10)-1)*costos!$F$15/3+((K12*F12)/(K$10*F$10)-1)*costos!$F$15/3+((U12*F12)/(U$10*F$10)-1)*costos!$F$15/3+((L12*F12)/(L$10*F$10)-1)*costos!$G$15+((AV12)/(AV$10)-1)*costos!$J$15+((V12*F12)/(V$10*F$10)-1)*costos!$K$15)))</f>
        <v>115.25994108029791</v>
      </c>
      <c r="CJ12" s="92">
        <f>CJ$10*(1+((H12/H$10-1)*costos!$B$16+((I12*F12)/(I$10*F$10)-1)*costos!$E$16+((J12*F12)/((J$10*F$10)-1)*costos!$F$16/3+((K12*F12)/(K$10*F$10)-1)*costos!$F$16/3+((U12*F12)/(U$10*F$10)-1)*costos!$F$16/3+((L12*F12)/(L$10*F$10)-1)*costos!$G$16+((AW12)/(AW$10)-1)*costos!$J$16+((V12*F12)/(V$10*F$10)-1)*costos!$K$16)))</f>
        <v>105.72816005608571</v>
      </c>
      <c r="CK12" s="92">
        <f>CK$10*(1+((H12/H$10-1)*costos!$B$17+((I12*F12)/(I$10*F$10)-1)*costos!$E$17+((J12*F12)/((J$10*F$10)-1)*costos!$F$17/3+((K12*F12)/(K$10*F$10)-1)*costos!$F$17/3+((U12*F12)/(U$10*F$10)-1)*costos!$F$17/3+((L12*F12)/(L$10*F$10)-1)*costos!$G$17+((AX12)/(AX$10)-1)*costos!$J$17+((V12*F12)/(V$10*F$10)-1)*costos!$K$17)))</f>
        <v>115.87726817672251</v>
      </c>
      <c r="CL12" s="92">
        <f>CL$10*(1+((H12/H$10-1)*costos!$B$18+((I12*F12)/(I$10*F$10)-1)*costos!$E$18+((J12*F12)/((J$10*F$10)-1)*costos!$F$18/3+((K12*F12)/(K$10*F$10)-1)*costos!$F$18/3+((U12*F12)/(U$10*F$10)-1)*costos!$F$18/3+((L12*F12)/(L$10*F$10)-1)*costos!$G$18+((AY12)/(AY$10)-1)*costos!$J$18+((V12*F12)/(V$10*F$10)-1)*costos!$K$18)))</f>
        <v>132.29962822353522</v>
      </c>
      <c r="CM12" s="92">
        <f>CM$10*(1+((H12/H$10-1)*costos!$B$19+((I12*F12)/(I$10*F$10)-1)*costos!$E$19+((J12*F12)/((J$10*F$10)-1)*costos!$F$19/3+((K12*F12)/(K$10*F$10)-1)*costos!$F$19/3+((U12*F12)/(U$10*F$10)-1)*costos!$F$19/3+((L12*F12)/(L$10*F$10)-1)*costos!$G$19+((AZ12)/(AZ$10)-1)*costos!$J$19+((V12*F12)/(V$10*F$10)-1)*costos!$K$19)))</f>
        <v>106.9461939314627</v>
      </c>
      <c r="CN12" s="92">
        <f>CN$10*(1+((H12/H$10-1)*costos!$B$20+((I12*F12)/(I$10*F$10)-1)*costos!$E$20+((J12*F12)/((J$10*F$10)-1)*costos!$F$20/3+((K12*F12)/(K$10*F$10)-1)*costos!$F$20/3+((U12*F12)/(U$10*F$10)-1)*costos!$F$20/3+((L12*F12)/(L$10*F$10)-1)*costos!$G$20+((BA12)/(BA$10)-1)*costos!$J$20+((V12*F12)/(V$10*F$10)-1)*costos!$K$20)))</f>
        <v>102.16836600872305</v>
      </c>
      <c r="CO12" s="92">
        <f t="shared" si="61"/>
        <v>114.32286408511088</v>
      </c>
      <c r="CP12" s="92">
        <f>CP$10*(1+((H12/H$10-1)*costos!$B$22+((I12*F12)/(I$10*F$10)-1)*costos!$E$22+((J12*F12)/((J$10*F$10)-1)*costos!$F$22/3+((K12*F12)/(K$10*F$10)-1)*costos!$F$22/3+((U12*F12)/(U$10*F$10)-1)*costos!$F$22/3+((L12*F12)/(L$10*F$10)-1)*costos!$G$22+(((AVERAGE(AI12:AL12))/((AVERAGE(AI$10:AL$10))-1)*costos!$J$22+((V12*F12)/(V$10*F$10)-1)*costos!$K$22)))))</f>
        <v>125.30371119520618</v>
      </c>
      <c r="CQ12" s="92">
        <f>CQ$10*(1+((H12/H$10-1)*costos!$B$23+((I12*F12)/(I$10*F$10)-1)*costos!$E$23+((J12*F12)/((J$10*F$10)-1)*costos!$F$23/3+((K12*F12)/(K$10*F$10)-1)*costos!$F$23/3+((U12*F12)/(U$10*F$10)-1)*costos!$F$23/3+((L12*F12)/(L$10*F$10)-1)*costos!$G$23+((AN12)/(AN$10)-1)*costos!$J$23+((V12*F12)/(V$10*F$10)-1)*costos!$K$23)))</f>
        <v>104.74293303862872</v>
      </c>
      <c r="CR12" s="92">
        <f>CR$10*(1+((H12/H$10-1)*costos!$B$24+((I12*F12)/(I$10*F$10)-1)*costos!$E$24+((J12*F12)/((J$10*F$10)-1)*costos!$F$24/3+((K12*F12)/(K$10*F$10)-1)*costos!$F$24/3+((U12*F12)/(U$10*F$10)-1)*costos!$F$24/3+((L12*F12)/(L$10*F$10)-1)*costos!$G$24+((AO12)/(AO$10)-1)*costos!$J$24+((V12*F12)/(V$10*F$10)-1)*costos!$K$24)))</f>
        <v>104.74293303862872</v>
      </c>
      <c r="CS12" s="92">
        <f t="shared" si="62"/>
        <v>104.74293303862872</v>
      </c>
      <c r="CT12" s="92">
        <f>CT$10*(1+((H12/H$10-1)*costos!$B$25+((I12*F12)/(I$10*F$10)-1)*costos!$E$25+((J12*F12)/((J$10*F$10)-1)*costos!$F$25/3+((K12*F12)/(K$10*F$10)-1)*costos!$F$25/3+((U12*F12)/(U$10*F$10)-1)*costos!$F$25/3+((L12*F12)/(L$10*F$10)-1)*costos!$G$25+((AQ12)/(AQ$10)-1)*costos!$J$25+((V12*F12)/(V$10*F$10)-1)*costos!$K$25)))</f>
        <v>106.15937746038216</v>
      </c>
      <c r="CU12" s="92">
        <f>CU$10*(1+((H12/H$10-1)*costos!$B$26+((I12*F12)/(I$10*F$10)-1)*costos!$E$26+((J12*F12)/((J$10*F$10)-1)*costos!$F$26/3+((K12*F12)/(K$10*F$10)-1)*costos!$F$26/3+((U12*F12)/(U$10*F$10)-1)*costos!$F$26/3+((L12*F12)/(L$10*F$10)-1)*costos!$G$26+((AR12)/(AR$10)-1)*costos!$J$26+((V12*F12)/(V$10*F$10)-1)*costos!$K$26)))</f>
        <v>106.95470564149478</v>
      </c>
      <c r="CV12" s="92">
        <f>CV$10*(1+((H12/H$10-1)*costos!$B$27+((I12*F12)/(I$10*F$10)-1)*costos!$E$27+((J12*F12)/((J$10*F$10)-1)*costos!$F$27/3+((K12*F12)/(K$10*F$10)-1)*costos!$F$27/3+((U12*F12)/(U$10*F$10)-1)*costos!$F$27/3+((L12*F12)/(L$10*F$10)-1)*costos!$G$27+((AS12)/(AS$10)-1)*costos!$J$27+((V12*F12)/(V$10*F$10)-1)*costos!$K$27)))</f>
        <v>117.43143451724734</v>
      </c>
      <c r="CW12" s="92">
        <f>CW$10*(1+((H12/H$10-1)*costos!$B$28+((I12*F12)/(I$10*F$10)-1)*costos!$E$28+((J12*F12)/((J$10*F$10)-1)*costos!$F$28/3+((K12*F12)/(K$10*F$10)-1)*costos!$F$28/3+((U12*F12)/(U$10*F$10)-1)*costos!$F$28/3+((L12*F12)/(L$10*F$10)-1)*costos!$G$28+((AS12)/(AS$10)-1)*costos!$J$28+((V12*F12)/(V$10*F$10)-1)*costos!$K$28)))</f>
        <v>117.43143451724734</v>
      </c>
      <c r="CX12" s="92">
        <f t="shared" si="63"/>
        <v>113.93919155866315</v>
      </c>
      <c r="CY12" s="92">
        <f>CY$10*(1+((H12/H$10-1)*costos!$B$32+((I12*F12)/(I$10*F$10)-1)*costos!$E$32+((J12*F12)/((J$10*F$10)-1)*costos!$F$32/3+((K12*F12)/(K$10*F$10)-1)*costos!$F$32/3+((U12*F12)/(U$10*F$10)-1)*costos!$F$32/3+((L12*F12)/(L$10*F$10)-1)*costos!$G$32+((AG12)/(AG$10)-1)*costos!$J$32+((V12*F12)/(V$10*F$10)-1)*costos!$K$32)))</f>
        <v>103.47562484060668</v>
      </c>
      <c r="CZ12" s="69">
        <f>CZ$10*(1+((H12/H$10-1)*costos!$B$31+((I12*F12)/(I$10*F$10)-1)*costos!$E$30+((J12*F12)/((J$10*F$10)-1)*costos!$F$30/3+((K12*F12)/(K$10*F$10)-1)*costos!$F$30/3+((U12*F12)/(U$10*F$10)-1)*costos!$F$30/3+((L12*F12)/(L$10*F$10)-1)*costos!$G$30+((BG12)/(BG$10)-1)*costos!$J$30+((V12*F12)/(V$10*F$10)-1)*costos!$K$30)))</f>
        <v>107.48241607519024</v>
      </c>
      <c r="DA12" s="69">
        <f>DA$10*(1+((H12/H$10-1)*costos!$B$31+((I12*F12)/(I$10*F$10)-1)*costos!$E$31+((J12*F12)/((J$10*F$10)-1)*costos!$F$31/3+((K12*F12)/(K$10*F$10)-1)*costos!$F$31/3+((U12*F12)/(U$10*F$10)-1)*costos!$F$31/3+((L12*F12)/(L$10*F$10)-1)*costos!$G$31+((BJ12)/(BJ$10)-1)*costos!$J$31+((V12*F12)/(V$10*F$10)-1)*costos!$K$31)))</f>
        <v>106.74947903367644</v>
      </c>
      <c r="DB12" s="69">
        <f>DB$10*(1+((H12/H$10-1)*costos!$B$36+((I12*F12)/(I$10*F$10)-1)*costos!$E$36+((J12*F12)/((J$10*F$10)-1)*costos!$F$36/3+((K12*F12)/(K$10*F$10)-1)*costos!$F$36/3+((U12*F12)/(U$10*F$10)-1)*costos!$F$36/3+((L12*F12)/(L$10*F$10)-1)*costos!$G$36+((BK12)/(BK$10)-1)*costos!$J$36+((V12*F12)/(V$10*F$10)-1)*costos!$K$36)))</f>
        <v>113.29940112180114</v>
      </c>
      <c r="DC12" s="69">
        <f>DC$10*(1+((H12/H$10-1)*costos!$B$37+((I12*F12)/(I$10*F$10)-1)*costos!$E$37+((U12*F12)/(U$10*F$10)-1)*costos!$F$37+((L12*F12)/(L$10*F$10)-1)*costos!$G$37+((BN12)/(BN$10)-1)*costos!$J$37+((V12*F12)/(V$10*F$10)-1)*costos!$K$37))</f>
        <v>106.63161740846694</v>
      </c>
      <c r="DD12" s="69">
        <f>DD$10*(1+((H12/H$10-1)*costos!$B$39+((I12*F12)/(I$10*F$10)-1)*costos!$E$39+((U12*F12)/(U$10*F$10)-1)*costos!$F$39+((L12*F12)/(L$10*F$10)-1)*costos!$G$39+((BR12)/(BR$10)-1)*costos!$J$39+((V12*F12)/(V$10*F$10)-1)*costos!$K$39))</f>
        <v>106.33105598307554</v>
      </c>
      <c r="DE12" s="69">
        <f>DD$10*(1+((H12/H$10-1)*costos!$B$35+((I12*F12)/(I$10*F$10)-1)*costos!$E$35+((U12*F12)/(U$10*F$10)-1)*costos!$F$35+((L12*F12)/(L$10*F$10)-1)*costos!$G$35+((BR12)/(BR$10)-1)*costos!$J$35+((V12*F12)/(V$10*F$10)-1)*costos!$K$35))</f>
        <v>106.62751427372285</v>
      </c>
      <c r="DF12" s="69">
        <f>DF$10*(1+((H12/H$10-1)*costos!$B$40+((I12*F12)/(I$10*F$10)-1)*costos!$E$40+((U12*F12)/(U$10*F$10)-1)*costos!$F$40+((L12*F12)/(L$10*F$10)-1)*costos!$G$40+((BP12)/(BP$10)-1)*costos!$J$40+((V12*F12)/(V$10*F$10)-1)*costos!$K$40))</f>
        <v>108.56105855322996</v>
      </c>
      <c r="DG12" s="92">
        <f t="shared" si="64"/>
        <v>107.5942864134764</v>
      </c>
      <c r="DH12" s="69">
        <f>DH$10*(1+((H12/H$10-1)*costos!$B$34+((I12*F12)/(I$10*F$10)-1)*costos!$E$34+((J12*F12)/((J$10*F$10)-1)*costos!$F$34/3+((K12*F12)/(K$10*F$10)-1)*costos!$F$34/3+((U12*F12)/(U$10*F$10)-1)*costos!$F$34/3+((L12*F12)/(L$10*F$10)-1)*costos!$G$34+((BV12)/(BV$10)-1)*costos!$J$34+((V12*F12)/(V$10*F$10)-1)*costos!$K$34)))</f>
        <v>107.84008419056586</v>
      </c>
      <c r="DI12" s="69">
        <f>DI$10*(1+((H12/H$10-1)*costos!$B$38+((I12*F12)/(I$10*F$10)-1)*costos!$E$38+((J12*F12)/((J$10*F$10)-1)*costos!$F$38/3+((K12*F12)/(K$10*F$10)-1)*costos!$F$38/3+((U12*F12)/(U$10*F$10)-1)*costos!$F$38/3+((L12*F12)/(L$10*F$10)-1)*costos!$G$38+((BU12)/(BU$10)-1)*costos!$J$38+((V12*F12)/(V$10*F$10)-1)*costos!$K$38)))</f>
        <v>104.84711846598185</v>
      </c>
      <c r="DK12" s="1">
        <v>418550</v>
      </c>
      <c r="DL12" s="1" t="s">
        <v>107</v>
      </c>
      <c r="DM12" s="82">
        <f t="shared" si="65"/>
        <v>214570</v>
      </c>
      <c r="DN12" s="82" t="str">
        <f t="shared" si="65"/>
        <v>2015-16</v>
      </c>
      <c r="DO12" s="82">
        <f t="shared" si="65"/>
        <v>1200000</v>
      </c>
      <c r="DP12" s="82" t="str">
        <f t="shared" si="65"/>
        <v>2015-16</v>
      </c>
      <c r="DQ12" s="1">
        <v>1220000</v>
      </c>
      <c r="DR12" s="1" t="s">
        <v>107</v>
      </c>
      <c r="DS12" s="1">
        <v>3300000</v>
      </c>
      <c r="DT12" s="1" t="s">
        <v>107</v>
      </c>
      <c r="DU12" s="1">
        <v>20100000</v>
      </c>
      <c r="DV12" s="1" t="s">
        <v>107</v>
      </c>
      <c r="DW12" s="82">
        <f t="shared" ref="DW12:DX14" si="99">+DW11</f>
        <v>850000</v>
      </c>
      <c r="DX12" s="82" t="str">
        <f t="shared" si="99"/>
        <v>2015-16</v>
      </c>
      <c r="DY12" s="83">
        <v>4830000</v>
      </c>
      <c r="DZ12" s="83" t="str">
        <f t="shared" si="66"/>
        <v>2015-16</v>
      </c>
      <c r="EA12" s="79">
        <f t="shared" si="67"/>
        <v>31500000</v>
      </c>
      <c r="EB12" s="82">
        <f t="shared" si="68"/>
        <v>368438</v>
      </c>
      <c r="EC12" s="82" t="str">
        <f t="shared" si="69"/>
        <v>2015-16</v>
      </c>
      <c r="ED12" s="83">
        <f t="shared" si="70"/>
        <v>165327</v>
      </c>
      <c r="EE12" s="143">
        <f t="shared" si="70"/>
        <v>2016</v>
      </c>
      <c r="EF12" s="83">
        <f t="shared" si="70"/>
        <v>223944</v>
      </c>
      <c r="EG12" s="143">
        <f t="shared" si="70"/>
        <v>2016</v>
      </c>
      <c r="EH12" s="83">
        <f t="shared" si="71"/>
        <v>53117706</v>
      </c>
      <c r="EI12" s="143">
        <f t="shared" si="71"/>
        <v>2016</v>
      </c>
      <c r="EJ12" s="83">
        <v>5119438</v>
      </c>
      <c r="EK12" s="143">
        <v>2016</v>
      </c>
      <c r="EL12" s="82">
        <f t="shared" si="71"/>
        <v>14859486</v>
      </c>
      <c r="EM12" s="144">
        <f t="shared" si="71"/>
        <v>2015</v>
      </c>
      <c r="EN12" s="82">
        <f t="shared" si="71"/>
        <v>3448018</v>
      </c>
      <c r="EO12" s="144">
        <f t="shared" si="71"/>
        <v>2015</v>
      </c>
      <c r="EP12" s="83">
        <v>6552</v>
      </c>
      <c r="EQ12" s="83">
        <f t="shared" ref="EQ12:EQ48" si="100">+EQ11</f>
        <v>3008956</v>
      </c>
      <c r="ER12" s="1">
        <v>32755</v>
      </c>
      <c r="ES12" s="82"/>
      <c r="ET12" s="83">
        <f t="shared" ref="ET12:EW50" si="101">+ET11</f>
        <v>24000</v>
      </c>
      <c r="EU12" s="83">
        <f t="shared" si="101"/>
        <v>16752</v>
      </c>
      <c r="EV12" s="83">
        <f t="shared" si="101"/>
        <v>9500</v>
      </c>
      <c r="EW12" s="83">
        <f t="shared" si="101"/>
        <v>17994</v>
      </c>
      <c r="EX12" s="79">
        <f t="shared" si="72"/>
        <v>68246</v>
      </c>
      <c r="EY12" s="1">
        <v>19129</v>
      </c>
      <c r="EZ12" s="82">
        <f t="shared" ref="EZ12:EZ21" si="102">+EZ11</f>
        <v>75500</v>
      </c>
      <c r="FA12" s="1">
        <f t="shared" ref="FA12:FB50" si="103">+FA11</f>
        <v>22169</v>
      </c>
      <c r="FB12" s="1">
        <f t="shared" si="103"/>
        <v>20495</v>
      </c>
      <c r="FC12" s="79">
        <f t="shared" si="73"/>
        <v>42664</v>
      </c>
      <c r="FD12" s="1">
        <f t="shared" ref="FD12:FD21" si="104">+FD11</f>
        <v>43815</v>
      </c>
      <c r="FE12" s="1"/>
      <c r="FF12" s="82">
        <v>708191</v>
      </c>
      <c r="FG12" s="82" t="str">
        <f t="shared" si="47"/>
        <v>2015-16</v>
      </c>
      <c r="FH12" s="82">
        <f t="shared" si="74"/>
        <v>1558100</v>
      </c>
      <c r="FI12" s="82" t="str">
        <f t="shared" si="74"/>
        <v>2014-15</v>
      </c>
      <c r="FJ12" s="82">
        <f t="shared" si="74"/>
        <v>4300000</v>
      </c>
      <c r="FK12" s="82" t="str">
        <f t="shared" si="74"/>
        <v>2015-16</v>
      </c>
      <c r="FL12" s="1">
        <v>2450000</v>
      </c>
      <c r="FM12" s="1" t="s">
        <v>107</v>
      </c>
      <c r="FN12" s="1">
        <v>25000000</v>
      </c>
      <c r="FO12" s="1" t="s">
        <v>107</v>
      </c>
      <c r="FP12" s="1">
        <v>60000000</v>
      </c>
      <c r="FQ12" s="1" t="s">
        <v>107</v>
      </c>
      <c r="FR12" s="82">
        <f t="shared" si="48"/>
        <v>3500000</v>
      </c>
      <c r="FS12" s="82" t="str">
        <f t="shared" si="48"/>
        <v>2015-16</v>
      </c>
      <c r="FT12" s="83">
        <f t="shared" si="75"/>
        <v>11315000</v>
      </c>
      <c r="FU12" s="83" t="str">
        <f t="shared" si="75"/>
        <v>2015-16</v>
      </c>
      <c r="FV12" s="79">
        <f t="shared" si="76"/>
        <v>106565000</v>
      </c>
      <c r="FW12" s="82">
        <f t="shared" si="77"/>
        <v>1010777</v>
      </c>
      <c r="FX12" s="82" t="str">
        <f t="shared" si="77"/>
        <v>2014-15</v>
      </c>
      <c r="FY12" s="83">
        <v>67654.744000000006</v>
      </c>
      <c r="FZ12" s="79"/>
      <c r="GA12" s="79"/>
      <c r="GB12" s="1">
        <v>17584178</v>
      </c>
      <c r="GC12" s="6">
        <v>2016</v>
      </c>
      <c r="GD12" s="1">
        <f t="shared" ref="GD12:GD21" si="105">+GD11</f>
        <v>1678337</v>
      </c>
      <c r="GE12" s="1">
        <v>468278</v>
      </c>
      <c r="GF12" s="1">
        <v>1032446</v>
      </c>
      <c r="GG12" s="1">
        <f t="shared" ref="GG12:GG21" si="106">+GG11</f>
        <v>102259</v>
      </c>
      <c r="GH12" s="79">
        <f t="shared" si="78"/>
        <v>1602983</v>
      </c>
      <c r="GI12" s="82">
        <f t="shared" si="79"/>
        <v>1302556</v>
      </c>
      <c r="GJ12" s="1">
        <f t="shared" si="80"/>
        <v>600000</v>
      </c>
      <c r="GK12" s="1">
        <f t="shared" si="80"/>
        <v>998555</v>
      </c>
      <c r="GL12" s="1">
        <f t="shared" si="80"/>
        <v>302000</v>
      </c>
      <c r="GM12" s="1">
        <f t="shared" si="80"/>
        <v>266553.90000000002</v>
      </c>
      <c r="GN12" s="79">
        <f t="shared" si="81"/>
        <v>2167108.9</v>
      </c>
      <c r="GO12" s="83">
        <f t="shared" ref="GO12:GP50" si="107">+GO11</f>
        <v>191984</v>
      </c>
      <c r="GP12" s="1">
        <f t="shared" si="82"/>
        <v>68123</v>
      </c>
      <c r="GQ12" s="1"/>
      <c r="GR12" s="1">
        <v>42700</v>
      </c>
      <c r="GS12" s="79">
        <f t="shared" si="83"/>
        <v>42700</v>
      </c>
      <c r="GT12" s="83">
        <f t="shared" ref="GT12:GT57" si="108">+GT11</f>
        <v>2430866</v>
      </c>
      <c r="GU12" s="1">
        <f t="shared" si="84"/>
        <v>50951.583333333336</v>
      </c>
      <c r="GV12" s="1">
        <f t="shared" si="85"/>
        <v>51463.083333333336</v>
      </c>
      <c r="GW12" s="79">
        <f t="shared" si="49"/>
        <v>1228976</v>
      </c>
      <c r="GX12" s="83">
        <v>30955.772000000001</v>
      </c>
      <c r="GY12" s="83" t="s">
        <v>329</v>
      </c>
      <c r="GZ12" s="83">
        <f t="shared" ref="GZ12:GZ33" si="109">+GZ11</f>
        <v>93671</v>
      </c>
      <c r="HA12" s="1">
        <v>229000</v>
      </c>
      <c r="HB12" s="79"/>
      <c r="HC12" s="79"/>
      <c r="HD12" s="1">
        <v>44668</v>
      </c>
      <c r="HE12" s="79"/>
      <c r="HF12" s="79"/>
      <c r="HG12" s="1">
        <v>172000</v>
      </c>
      <c r="HH12" s="79"/>
      <c r="HI12" s="79"/>
      <c r="HJ12" s="1"/>
      <c r="HK12" s="79"/>
      <c r="HL12" s="79"/>
      <c r="HM12" s="79">
        <f t="shared" si="86"/>
        <v>0</v>
      </c>
      <c r="HN12" s="69"/>
      <c r="HO12" s="1">
        <v>826400000</v>
      </c>
      <c r="HP12" s="79"/>
      <c r="HQ12" s="79"/>
      <c r="HR12" s="1"/>
      <c r="HS12" s="1"/>
      <c r="HT12" s="1"/>
      <c r="HU12" s="1"/>
      <c r="HV12" s="1"/>
      <c r="HW12" s="1">
        <v>2000000</v>
      </c>
      <c r="HX12" s="1" t="s">
        <v>107</v>
      </c>
      <c r="HY12" s="1">
        <v>2950000</v>
      </c>
      <c r="HZ12" s="1" t="s">
        <v>107</v>
      </c>
      <c r="IA12" s="1">
        <f>3300000+13910000</f>
        <v>17210000</v>
      </c>
      <c r="IB12" s="1" t="str">
        <f>+HZ12</f>
        <v>2015-16</v>
      </c>
      <c r="IC12" s="1"/>
      <c r="ID12" s="1"/>
      <c r="IE12" s="1">
        <f>150000+2450000</f>
        <v>2600000</v>
      </c>
      <c r="IF12" s="1" t="s">
        <v>107</v>
      </c>
      <c r="IG12" s="1">
        <v>5590000</v>
      </c>
      <c r="IH12" s="1" t="s">
        <v>107</v>
      </c>
      <c r="II12" s="79">
        <f t="shared" si="87"/>
        <v>30350000</v>
      </c>
      <c r="IJ12" s="97">
        <f t="shared" ref="IJ12:IJ22" si="110">(6280000*12)/$IJ$2</f>
        <v>1.6218070029006586</v>
      </c>
      <c r="IK12" s="1" t="s">
        <v>107</v>
      </c>
      <c r="IL12" s="7">
        <v>44.01</v>
      </c>
      <c r="IM12" s="7">
        <v>56.669009643687907</v>
      </c>
      <c r="IN12" s="7">
        <v>201</v>
      </c>
      <c r="IO12" s="695">
        <f>+IO24*(1-0.0527)</f>
        <v>13.053794</v>
      </c>
      <c r="IP12" s="98">
        <f t="shared" si="88"/>
        <v>5.7844457536132143</v>
      </c>
      <c r="IQ12" s="93">
        <v>21.6</v>
      </c>
      <c r="IR12" s="93">
        <f t="shared" ref="IR12:IU21" si="111">+IR11</f>
        <v>2.2000000000000002</v>
      </c>
      <c r="IS12" s="93">
        <f t="shared" si="111"/>
        <v>5.59</v>
      </c>
      <c r="IT12" s="93">
        <f t="shared" si="111"/>
        <v>13.55</v>
      </c>
      <c r="IU12" s="93">
        <f t="shared" si="111"/>
        <v>1.07</v>
      </c>
      <c r="IV12" s="94">
        <f t="shared" si="89"/>
        <v>20.21</v>
      </c>
      <c r="IW12" s="84"/>
      <c r="IX12" s="84"/>
      <c r="IY12" s="105">
        <v>1.84</v>
      </c>
      <c r="IZ12" s="161">
        <v>0.3</v>
      </c>
      <c r="JA12" s="161"/>
      <c r="JB12" s="84">
        <v>38.770000000000003</v>
      </c>
      <c r="JC12" s="84"/>
      <c r="JD12" s="84"/>
      <c r="JF12" s="2">
        <v>5.0764919999999991</v>
      </c>
      <c r="JG12" s="2">
        <v>15.563876839999999</v>
      </c>
      <c r="JH12" s="2">
        <v>115.59844792</v>
      </c>
      <c r="JI12" s="2">
        <v>110.48019421999999</v>
      </c>
      <c r="JJ12" s="2">
        <v>467.91294433000013</v>
      </c>
      <c r="JK12" s="2">
        <v>79.613228030000002</v>
      </c>
      <c r="JL12" s="2">
        <v>955.63908061000006</v>
      </c>
      <c r="JM12" s="2">
        <v>6.0858251799999996</v>
      </c>
      <c r="JN12" s="2">
        <v>282.06659945000001</v>
      </c>
      <c r="JO12" s="2">
        <v>19.520448809999998</v>
      </c>
      <c r="JP12" s="2">
        <v>0</v>
      </c>
      <c r="JQ12" s="2">
        <v>5.4681789600000004</v>
      </c>
      <c r="JR12" s="2">
        <v>0.64792592999999998</v>
      </c>
      <c r="JS12" s="2">
        <v>0</v>
      </c>
      <c r="JT12" s="2">
        <v>1.1913270900000001</v>
      </c>
      <c r="JU12" s="2">
        <v>79.57939355000002</v>
      </c>
      <c r="JV12" s="2">
        <v>13.56639103</v>
      </c>
      <c r="JW12" s="2">
        <v>68.811286730000006</v>
      </c>
      <c r="JX12" s="2">
        <v>10.954738189999997</v>
      </c>
      <c r="JY12" s="2">
        <v>1.5228919999999999</v>
      </c>
      <c r="JZ12" s="2">
        <v>1.4364E-2</v>
      </c>
      <c r="KA12" s="2">
        <v>2.0442499999999999E-2</v>
      </c>
      <c r="KB12" s="2">
        <v>17.891570879999996</v>
      </c>
      <c r="KC12" s="2">
        <v>32.213849879999998</v>
      </c>
      <c r="KD12" s="2">
        <v>5.5379611500000001</v>
      </c>
      <c r="KE12" s="2">
        <v>16.541452409999998</v>
      </c>
      <c r="KF12" s="2">
        <v>20.530749950000004</v>
      </c>
      <c r="KG12" s="2">
        <v>183.61942241999995</v>
      </c>
      <c r="KH12" s="2">
        <v>51.068025859999992</v>
      </c>
      <c r="KI12" s="2">
        <v>20.924458479999998</v>
      </c>
      <c r="KJ12" s="2">
        <v>0.52688719000000006</v>
      </c>
      <c r="KK12" s="2">
        <v>9.8357482200000028</v>
      </c>
      <c r="KL12" s="2">
        <v>0.68002169999999995</v>
      </c>
      <c r="KM12" s="2">
        <v>1.4012571200000001</v>
      </c>
      <c r="KN12" s="2">
        <v>7.0771000000000007E-4</v>
      </c>
      <c r="KO12" s="2">
        <v>2.2091159999999999E-2</v>
      </c>
      <c r="KP12" s="2">
        <v>0</v>
      </c>
      <c r="KQ12" s="2">
        <v>37.552292860000001</v>
      </c>
      <c r="KR12" s="2">
        <v>0</v>
      </c>
      <c r="KS12" s="2">
        <v>8.5337410000000002E-2</v>
      </c>
      <c r="KT12" s="2">
        <v>2.4291365300000001</v>
      </c>
      <c r="KU12" s="2">
        <v>0.15342851999999998</v>
      </c>
      <c r="KV12" s="2">
        <v>0</v>
      </c>
      <c r="KW12" s="2">
        <v>2.39437575</v>
      </c>
      <c r="KX12" s="2">
        <v>0</v>
      </c>
      <c r="KY12" s="2">
        <v>0</v>
      </c>
      <c r="KZ12" s="2">
        <v>0.60506263999999998</v>
      </c>
      <c r="LA12" s="2">
        <v>0.43270871999999999</v>
      </c>
      <c r="LB12" s="2">
        <v>8.3643660000000009E-2</v>
      </c>
      <c r="LC12" s="2">
        <v>3.6301819999999999E-2</v>
      </c>
      <c r="LD12" s="2">
        <v>2.921122E-2</v>
      </c>
      <c r="LE12" s="2">
        <v>2.2466574399999999</v>
      </c>
      <c r="LF12" s="2">
        <v>9.3585210000000002E-2</v>
      </c>
      <c r="LG12" s="2">
        <v>21.815416920000004</v>
      </c>
      <c r="LH12" s="2">
        <v>3.56208313</v>
      </c>
      <c r="LI12" s="2">
        <v>0.20341364000000001</v>
      </c>
      <c r="LJ12" s="2">
        <v>1.02878E-3</v>
      </c>
      <c r="LK12" s="2">
        <v>2.7336517799999998</v>
      </c>
      <c r="LL12" s="2">
        <v>3.4643759599999999</v>
      </c>
      <c r="LM12" s="2">
        <v>0.91515763999999999</v>
      </c>
      <c r="LN12" s="2">
        <v>0.79855767999999994</v>
      </c>
      <c r="LO12" s="2">
        <v>7.765878080000002</v>
      </c>
      <c r="LQ12" s="85">
        <f t="shared" si="90"/>
        <v>1937.7830917100002</v>
      </c>
      <c r="LR12" s="85">
        <f t="shared" si="91"/>
        <v>7.3074319800000005</v>
      </c>
      <c r="LS12" s="85">
        <f t="shared" si="92"/>
        <v>82.377677760000012</v>
      </c>
      <c r="LT12" s="85">
        <f t="shared" si="93"/>
        <v>1.5576984999999999</v>
      </c>
      <c r="LU12" s="85">
        <f t="shared" si="94"/>
        <v>39.061686260000002</v>
      </c>
      <c r="LV12" s="85">
        <f t="shared" si="95"/>
        <v>2.39437575</v>
      </c>
      <c r="LW12" s="85">
        <f t="shared" si="96"/>
        <v>0.51635238000000006</v>
      </c>
      <c r="LX12" s="85">
        <f t="shared" si="97"/>
        <v>2.3694538700000001</v>
      </c>
      <c r="LZ12" s="131"/>
      <c r="MA12" s="131"/>
      <c r="MB12"/>
      <c r="MC12"/>
      <c r="MD12"/>
      <c r="MF12"/>
      <c r="MG12"/>
      <c r="MH12" s="131"/>
      <c r="MI12" s="131"/>
      <c r="MJ12" s="131"/>
      <c r="MK12"/>
      <c r="ML12" s="131"/>
      <c r="MM12" s="131"/>
      <c r="MN12"/>
      <c r="MO12" s="131"/>
      <c r="MP12" s="131"/>
      <c r="MQ12" s="131"/>
      <c r="MR12"/>
      <c r="MT12"/>
      <c r="MU12" s="2"/>
      <c r="MV12"/>
      <c r="MW12"/>
      <c r="MX12"/>
      <c r="MY12" s="131"/>
      <c r="MZ12"/>
      <c r="NA12" s="83">
        <v>36.090000000000003</v>
      </c>
      <c r="NB12" s="83">
        <v>104.06</v>
      </c>
      <c r="NC12" s="131"/>
      <c r="ND12" s="131"/>
      <c r="NE12" s="83">
        <v>85.26</v>
      </c>
    </row>
    <row r="13" spans="1:369">
      <c r="A13" s="38">
        <f t="shared" si="32"/>
        <v>42461</v>
      </c>
      <c r="B13" s="36">
        <v>4</v>
      </c>
      <c r="C13" s="36">
        <v>2016</v>
      </c>
      <c r="D13" s="36">
        <f t="shared" si="50"/>
        <v>13</v>
      </c>
      <c r="E13" s="38">
        <f t="shared" si="33"/>
        <v>42461</v>
      </c>
      <c r="F13" s="7">
        <v>14.595238095238093</v>
      </c>
      <c r="G13" s="7">
        <v>84.430176565008026</v>
      </c>
      <c r="H13" s="1">
        <v>7680</v>
      </c>
      <c r="I13" s="7">
        <v>102</v>
      </c>
      <c r="J13" s="7">
        <v>360</v>
      </c>
      <c r="K13" s="7">
        <v>3.4</v>
      </c>
      <c r="L13" s="7">
        <v>28.1</v>
      </c>
      <c r="N13" s="5">
        <v>1.1935238095238097</v>
      </c>
      <c r="O13" s="5">
        <v>1.0611428571428572</v>
      </c>
      <c r="P13" s="78">
        <f t="shared" si="34"/>
        <v>16.453698412698412</v>
      </c>
      <c r="Q13" s="6">
        <v>215</v>
      </c>
      <c r="R13" s="79">
        <f t="shared" si="35"/>
        <v>2150</v>
      </c>
      <c r="S13" s="6">
        <v>140.61904761904762</v>
      </c>
      <c r="T13" s="6">
        <v>283.33333333333331</v>
      </c>
      <c r="U13" s="143">
        <v>172.47619047619048</v>
      </c>
      <c r="V13" s="6">
        <v>242.64285714285714</v>
      </c>
      <c r="W13" s="6">
        <v>134.47619047619048</v>
      </c>
      <c r="X13" s="6">
        <v>157.88095238095238</v>
      </c>
      <c r="Y13" s="79">
        <f t="shared" si="36"/>
        <v>2052.3684807256232</v>
      </c>
      <c r="Z13" s="79">
        <f t="shared" si="37"/>
        <v>4135.3174603174593</v>
      </c>
      <c r="AA13" s="79">
        <f t="shared" si="38"/>
        <v>2517.3310657596371</v>
      </c>
      <c r="AB13" s="79">
        <f t="shared" si="39"/>
        <v>3541.4302721088429</v>
      </c>
      <c r="AC13" s="79">
        <f t="shared" si="40"/>
        <v>1962.7120181405894</v>
      </c>
      <c r="AD13" s="79">
        <f t="shared" si="41"/>
        <v>2304.3100907029475</v>
      </c>
      <c r="AE13" s="79">
        <f t="shared" si="42"/>
        <v>2752.2448979591832</v>
      </c>
      <c r="AF13" s="1">
        <v>7513.666666666667</v>
      </c>
      <c r="AG13" s="1">
        <v>4803</v>
      </c>
      <c r="AH13" s="1">
        <v>18031</v>
      </c>
      <c r="AI13" s="5">
        <v>5.31</v>
      </c>
      <c r="AJ13" s="5">
        <v>2.2599999999999998</v>
      </c>
      <c r="AK13" s="5">
        <v>2.81</v>
      </c>
      <c r="AL13" s="5">
        <v>2.46</v>
      </c>
      <c r="AM13" s="78">
        <f t="shared" si="43"/>
        <v>3.8539999999999996</v>
      </c>
      <c r="AN13" s="5">
        <v>257.39999999999998</v>
      </c>
      <c r="AO13" s="80">
        <f t="shared" si="51"/>
        <v>154.43999999999997</v>
      </c>
      <c r="AP13" s="78">
        <f t="shared" si="44"/>
        <v>205.91999999999996</v>
      </c>
      <c r="AQ13" s="5">
        <v>160.02000000000001</v>
      </c>
      <c r="AR13" s="5">
        <v>109.39999999999999</v>
      </c>
      <c r="AS13" s="5">
        <v>261.59999999999997</v>
      </c>
      <c r="AT13" s="80">
        <f t="shared" si="52"/>
        <v>160.02000000000001</v>
      </c>
      <c r="AU13" s="78">
        <f t="shared" si="53"/>
        <v>177.00666666666666</v>
      </c>
      <c r="AV13">
        <v>71.2</v>
      </c>
      <c r="AW13" s="80">
        <f t="shared" si="54"/>
        <v>227.84000000000003</v>
      </c>
      <c r="AX13">
        <v>105.39999999999999</v>
      </c>
      <c r="AY13" s="7">
        <v>214.20000000000002</v>
      </c>
      <c r="AZ13" s="7">
        <v>152.64000000000001</v>
      </c>
      <c r="BA13" s="7">
        <v>76.02000000000001</v>
      </c>
      <c r="BB13" s="94">
        <f t="shared" si="45"/>
        <v>147.255</v>
      </c>
      <c r="BC13" s="68">
        <v>554</v>
      </c>
      <c r="BD13" s="68">
        <v>684</v>
      </c>
      <c r="BE13" s="7">
        <v>610</v>
      </c>
      <c r="BF13" s="7">
        <v>410</v>
      </c>
      <c r="BG13" s="94">
        <f t="shared" si="56"/>
        <v>564.5</v>
      </c>
      <c r="BH13" s="7">
        <v>29.34</v>
      </c>
      <c r="BI13" s="7">
        <f t="shared" si="98"/>
        <v>9.8640000000000008</v>
      </c>
      <c r="BJ13" s="78">
        <f t="shared" si="57"/>
        <v>39.204000000000001</v>
      </c>
      <c r="BK13" s="7">
        <v>29.018000000000001</v>
      </c>
      <c r="BL13" s="7">
        <v>29.608000000000001</v>
      </c>
      <c r="BM13" s="94">
        <f t="shared" si="58"/>
        <v>29.313000000000002</v>
      </c>
      <c r="BN13" s="5">
        <v>3.347</v>
      </c>
      <c r="BO13" s="105">
        <v>18.707142857142863</v>
      </c>
      <c r="BP13" s="80">
        <v>12.8695</v>
      </c>
      <c r="BQ13" s="94">
        <f t="shared" si="59"/>
        <v>18.123378571428578</v>
      </c>
      <c r="BR13" s="7">
        <v>14.61</v>
      </c>
      <c r="BS13" s="7">
        <v>59</v>
      </c>
      <c r="BT13" s="7">
        <v>45.56</v>
      </c>
      <c r="BU13" s="79">
        <f t="shared" si="46"/>
        <v>844.68000000000006</v>
      </c>
      <c r="BV13" s="97">
        <v>21.7</v>
      </c>
      <c r="BW13" s="95"/>
      <c r="BY13" s="92">
        <f>BY$10*(1+((H13/H$10-1)*costos!$B$5+((I13*F13)/(I$10*F$10)-1)*costos!$E$5+((J13*F13)/((J$10*F$10)-1)*costos!$F$5/3+((K13*F13)/(K$10*F$10)-1)*costos!$F$5/3+((U13*F13)/(U$10*F$10)-1)*costos!$F$5/3+((L13*F13)/(L$10*F$10)-1)*costos!$G$5+((N13*F13)/(N$10*F$10)-1)*costos!$J$5+((V13*F13)/(V$10*F$10)-1)*costos!$K$5)))</f>
        <v>113.00874560415133</v>
      </c>
      <c r="BZ13" s="92">
        <f>$BZ$10*(1+((H13/$H$10-1)*costos!$B$6+((I13*F13)/($I$10*$F$10)-1)*costos!$E$6+((J13*F13)/(($J$10*$F$10)-1)*costos!$F$6/3+((K13*F13)/($K$10*$F$10)-1)*costos!$F$6/3+((U13*F13)/($U$10*$F$10)-1)*costos!$F$6/3+((L13*F13)/($L$10*$F$10)-1)*costos!$G$6+((Q13*F13)/($Q$10*$F$10)-1)*costos!$J$6+((V13*F13)/($V$10*$F$10)-1)*costos!$K$6)))</f>
        <v>113.28243975640855</v>
      </c>
      <c r="CA13" s="92">
        <f>CA$10*(1+((H13/H$10-1)*costos!$B$7+((I13*F13)/(I$10*F$10)-1)*costos!$E$7+((J13*F13)/((J$10*F$10)-1)*costos!$F$7/3+((K13*F13)/(K$10*F$10)-1)*costos!$F$7/3+((U13*F13)/(U$10*F$10)-1)*costos!$F$7/3+((L13*F13)/(L$10*F$10)-1)*costos!$G$7+((S13*F13)/(S$10*F$10)-1)*costos!$J$7+((V13*F13)/(V$10*F$10)-1)*costos!$K$7)))</f>
        <v>112.25386454943424</v>
      </c>
      <c r="CB13" s="92">
        <f>CB$10*(1+((H13/H$10-1)*costos!$B$8+((I13*F13)/(I$10*F$10)-1)*costos!$E$8+((J13*F13)/((J$10*F$10)-1)*costos!$F$8/3+((K13*F13)/(K$10*F$10)-1)*costos!$F$8/3+((U13*F13)/(U$10*F$10)-1)*costos!$F$8/3+((L13*F13)/(L$10*F$10)-1)*costos!$G$8+((T13*F13)/(T$10*F$10)-1)*costos!$J$8+((V13*F13)/(V$10*F$10)-1)*costos!$K$8)))</f>
        <v>111.54556497097616</v>
      </c>
      <c r="CC13" s="92">
        <f>CC$10*(1+((H13/H$10-1)*costos!$B$9+((I13*F13)/(I$10*F$10)-1)*costos!$E$9+((J13*F13)/((J$10*F$10)-1)*costos!$F$9/3+((K13*F13)/(K$10*F$10)-1)*costos!$F$9/3+((U13*F13)/(U$10*F$10)-1)*costos!$F$9/3+((L13*F13)/(L$10*F$10)-1)*costos!$G$9+((U13*F13)/(U$10*F$10)-1)*costos!$J$9+((V13*F13)/(V$10*F$10)-1)*costos!$K$9)))</f>
        <v>115.94565225804278</v>
      </c>
      <c r="CD13" s="92">
        <f>CD$10*(1+((H13/H$10-1)*costos!$B$11+((I13*F13)/(I$10*F$10)-1)*costos!$E$11+((J13*F13)/((J$10*F$10)-1)*costos!$F$11/3+((K13*F13)/(K$10*F$10)-1)*costos!$F$11/3+((U13*F13)/(U$10*F$10)-1)*costos!$F$11/3+((L13*F13)/(L$10*F$10)-1)*costos!$G$11+((V13*F13)/(V$10*F$10)-1)*costos!$J$11+((V13*F13)/(V$10*F$10)-1)*costos!$K$11)))</f>
        <v>112.93159922041744</v>
      </c>
      <c r="CE13" s="92">
        <f>CE$10*(1+((H13/H$10-1)*costos!$B$12+((I13*F13)/(I$10*F$10)-1)*costos!$E$12+((J13*F13)/((J$10*F$10)-1)*costos!$F$12/3+((K13*F13)/(K$10*F$10)-1)*costos!$F$12/3+((U13*F13)/(U$10*F$10)-1)*costos!$F$12/3+((L13*F13)/(L$10*F$10)-1)*costos!$G$12+((W13*F13)/(W$10*F$10)-1)*costos!$J$12+((V13*F13)/(V$10*F$10)-1)*costos!$K$12)))</f>
        <v>107.14824580842561</v>
      </c>
      <c r="CF13" s="92">
        <f>CF$10*(1+((H13/H$10-1)*costos!$B$13+((I13*F13)/(I$10*F$10)-1)*costos!$E$13+((J13*F13)/((J$10*F$10)-1)*costos!$F$13/3+((K13*F13)/(K$10*F$10)-1)*costos!$F$13/3+((U13*F13)/(U$10*F$10)-1)*costos!$F$13/3+((L13*F13)/(L$10*F$10)-1)*costos!$G$13+((X13*F13)/(X$10*F$10)-1)*costos!$J$13+((V13*F13)/(V$10*F$10)-1)*costos!$K$13)))</f>
        <v>115.5349801264977</v>
      </c>
      <c r="CG13" s="92">
        <f t="shared" si="60"/>
        <v>112.55998448896565</v>
      </c>
      <c r="CH13" s="92">
        <f>CH$10*(1+((H13/H$10-1)*costos!$B$10+((I13*F13)/(I$10*F$10)-1)*costos!$E$10+((J13*F13)/((J$10*F$10)-1)*costos!$F$10/3+((K13*F13)/(K$10*F$10)-1)*costos!$F$10/3+((U13*F13)/(U$10*F$10)-1)*costos!$F$10/3+((L13*F13)/(L$10*F$10)-1)*costos!$G$10+((AF13)/(AF$10)-1)*costos!$J$10+((V13*F13)/(V$10*F$10)-1)*costos!$K$10)))</f>
        <v>114.53810965677536</v>
      </c>
      <c r="CI13" s="92">
        <f>CI$10*(1+((H13/H$10-1)*costos!$B$15+((I13*F13)/(I$10*F$10)-1)*costos!$E$15+((J13*F13)/((J$10*F$10)-1)*costos!$F$15/3+((K13*F13)/(K$10*F$10)-1)*costos!$F$15/3+((U13*F13)/(U$10*F$10)-1)*costos!$F$15/3+((L13*F13)/(L$10*F$10)-1)*costos!$G$15+((AV13)/(AV$10)-1)*costos!$J$15+((V13*F13)/(V$10*F$10)-1)*costos!$K$15)))</f>
        <v>118.39210590678897</v>
      </c>
      <c r="CJ13" s="92">
        <f>CJ$10*(1+((H13/H$10-1)*costos!$B$16+((I13*F13)/(I$10*F$10)-1)*costos!$E$16+((J13*F13)/((J$10*F$10)-1)*costos!$F$16/3+((K13*F13)/(K$10*F$10)-1)*costos!$F$16/3+((U13*F13)/(U$10*F$10)-1)*costos!$F$16/3+((L13*F13)/(L$10*F$10)-1)*costos!$G$16+((AW13)/(AW$10)-1)*costos!$J$16+((V13*F13)/(V$10*F$10)-1)*costos!$K$16)))</f>
        <v>108.84559399441534</v>
      </c>
      <c r="CK13" s="92">
        <f>CK$10*(1+((H13/H$10-1)*costos!$B$17+((I13*F13)/(I$10*F$10)-1)*costos!$E$17+((J13*F13)/((J$10*F$10)-1)*costos!$F$17/3+((K13*F13)/(K$10*F$10)-1)*costos!$F$17/3+((U13*F13)/(U$10*F$10)-1)*costos!$F$17/3+((L13*F13)/(L$10*F$10)-1)*costos!$G$17+((AX13)/(AX$10)-1)*costos!$J$17+((V13*F13)/(V$10*F$10)-1)*costos!$K$17)))</f>
        <v>119.21870633804579</v>
      </c>
      <c r="CL13" s="92">
        <f>CL$10*(1+((H13/H$10-1)*costos!$B$18+((I13*F13)/(I$10*F$10)-1)*costos!$E$18+((J13*F13)/((J$10*F$10)-1)*costos!$F$18/3+((K13*F13)/(K$10*F$10)-1)*costos!$F$18/3+((U13*F13)/(U$10*F$10)-1)*costos!$F$18/3+((L13*F13)/(L$10*F$10)-1)*costos!$G$18+((AY13)/(AY$10)-1)*costos!$J$18+((V13*F13)/(V$10*F$10)-1)*costos!$K$18)))</f>
        <v>139.22210128399493</v>
      </c>
      <c r="CM13" s="92">
        <f>CM$10*(1+((H13/H$10-1)*costos!$B$19+((I13*F13)/(I$10*F$10)-1)*costos!$E$19+((J13*F13)/((J$10*F$10)-1)*costos!$F$19/3+((K13*F13)/(K$10*F$10)-1)*costos!$F$19/3+((U13*F13)/(U$10*F$10)-1)*costos!$F$19/3+((L13*F13)/(L$10*F$10)-1)*costos!$G$19+((AZ13)/(AZ$10)-1)*costos!$J$19+((V13*F13)/(V$10*F$10)-1)*costos!$K$19)))</f>
        <v>114.89645463903588</v>
      </c>
      <c r="CN13" s="92">
        <f>CN$10*(1+((H13/H$10-1)*costos!$B$20+((I13*F13)/(I$10*F$10)-1)*costos!$E$20+((J13*F13)/((J$10*F$10)-1)*costos!$F$20/3+((K13*F13)/(K$10*F$10)-1)*costos!$F$20/3+((U13*F13)/(U$10*F$10)-1)*costos!$F$20/3+((L13*F13)/(L$10*F$10)-1)*costos!$G$20+((BA13)/(BA$10)-1)*costos!$J$20+((V13*F13)/(V$10*F$10)-1)*costos!$K$20)))</f>
        <v>104.45049269512798</v>
      </c>
      <c r="CO13" s="92">
        <f t="shared" si="61"/>
        <v>119.44693873905115</v>
      </c>
      <c r="CP13" s="92">
        <f>CP$10*(1+((H13/H$10-1)*costos!$B$22+((I13*F13)/(I$10*F$10)-1)*costos!$E$22+((J13*F13)/((J$10*F$10)-1)*costos!$F$22/3+((K13*F13)/(K$10*F$10)-1)*costos!$F$22/3+((U13*F13)/(U$10*F$10)-1)*costos!$F$22/3+((L13*F13)/(L$10*F$10)-1)*costos!$G$22+(((AVERAGE(AI13:AL13))/((AVERAGE(AI$10:AL$10))-1)*costos!$J$22+((V13*F13)/(V$10*F$10)-1)*costos!$K$22)))))</f>
        <v>129.38193330811794</v>
      </c>
      <c r="CQ13" s="92">
        <f>CQ$10*(1+((H13/H$10-1)*costos!$B$23+((I13*F13)/(I$10*F$10)-1)*costos!$E$23+((J13*F13)/((J$10*F$10)-1)*costos!$F$23/3+((K13*F13)/(K$10*F$10)-1)*costos!$F$23/3+((U13*F13)/(U$10*F$10)-1)*costos!$F$23/3+((L13*F13)/(L$10*F$10)-1)*costos!$G$23+((AN13)/(AN$10)-1)*costos!$J$23+((V13*F13)/(V$10*F$10)-1)*costos!$K$23)))</f>
        <v>105.74519987675082</v>
      </c>
      <c r="CR13" s="92">
        <f>CR$10*(1+((H13/H$10-1)*costos!$B$24+((I13*F13)/(I$10*F$10)-1)*costos!$E$24+((J13*F13)/((J$10*F$10)-1)*costos!$F$24/3+((K13*F13)/(K$10*F$10)-1)*costos!$F$24/3+((U13*F13)/(U$10*F$10)-1)*costos!$F$24/3+((L13*F13)/(L$10*F$10)-1)*costos!$G$24+((AO13)/(AO$10)-1)*costos!$J$24+((V13*F13)/(V$10*F$10)-1)*costos!$K$24)))</f>
        <v>105.74519987675082</v>
      </c>
      <c r="CS13" s="92">
        <f t="shared" si="62"/>
        <v>105.74519987675082</v>
      </c>
      <c r="CT13" s="92">
        <f>CT$10*(1+((H13/H$10-1)*costos!$B$25+((I13*F13)/(I$10*F$10)-1)*costos!$E$25+((J13*F13)/((J$10*F$10)-1)*costos!$F$25/3+((K13*F13)/(K$10*F$10)-1)*costos!$F$25/3+((U13*F13)/(U$10*F$10)-1)*costos!$F$25/3+((L13*F13)/(L$10*F$10)-1)*costos!$G$25+((AQ13)/(AQ$10)-1)*costos!$J$25+((V13*F13)/(V$10*F$10)-1)*costos!$K$25)))</f>
        <v>106.60852693938143</v>
      </c>
      <c r="CU13" s="92">
        <f>CU$10*(1+((H13/H$10-1)*costos!$B$26+((I13*F13)/(I$10*F$10)-1)*costos!$E$26+((J13*F13)/((J$10*F$10)-1)*costos!$F$26/3+((K13*F13)/(K$10*F$10)-1)*costos!$F$26/3+((U13*F13)/(U$10*F$10)-1)*costos!$F$26/3+((L13*F13)/(L$10*F$10)-1)*costos!$G$26+((AR13)/(AR$10)-1)*costos!$J$26+((V13*F13)/(V$10*F$10)-1)*costos!$K$26)))</f>
        <v>107.65303812280574</v>
      </c>
      <c r="CV13" s="92">
        <f>CV$10*(1+((H13/H$10-1)*costos!$B$27+((I13*F13)/(I$10*F$10)-1)*costos!$E$27+((J13*F13)/((J$10*F$10)-1)*costos!$F$27/3+((K13*F13)/(K$10*F$10)-1)*costos!$F$27/3+((U13*F13)/(U$10*F$10)-1)*costos!$F$27/3+((L13*F13)/(L$10*F$10)-1)*costos!$G$27+((AS13)/(AS$10)-1)*costos!$J$27+((V13*F13)/(V$10*F$10)-1)*costos!$K$27)))</f>
        <v>117.71312284713211</v>
      </c>
      <c r="CW13" s="92">
        <f>CW$10*(1+((H13/H$10-1)*costos!$B$28+((I13*F13)/(I$10*F$10)-1)*costos!$E$28+((J13*F13)/((J$10*F$10)-1)*costos!$F$28/3+((K13*F13)/(K$10*F$10)-1)*costos!$F$28/3+((U13*F13)/(U$10*F$10)-1)*costos!$F$28/3+((L13*F13)/(L$10*F$10)-1)*costos!$G$28+((AS13)/(AS$10)-1)*costos!$J$28+((V13*F13)/(V$10*F$10)-1)*costos!$K$28)))</f>
        <v>117.71312284713211</v>
      </c>
      <c r="CX13" s="92">
        <f t="shared" si="63"/>
        <v>114.35976127235665</v>
      </c>
      <c r="CY13" s="92">
        <f>CY$10*(1+((H13/H$10-1)*costos!$B$32+((I13*F13)/(I$10*F$10)-1)*costos!$E$32+((J13*F13)/((J$10*F$10)-1)*costos!$F$32/3+((K13*F13)/(K$10*F$10)-1)*costos!$F$32/3+((U13*F13)/(U$10*F$10)-1)*costos!$F$32/3+((L13*F13)/(L$10*F$10)-1)*costos!$G$32+((AG13)/(AG$10)-1)*costos!$J$32+((V13*F13)/(V$10*F$10)-1)*costos!$K$32)))</f>
        <v>105.10885483910933</v>
      </c>
      <c r="CZ13" s="69">
        <f>CZ$10*(1+((H13/H$10-1)*costos!$B$31+((I13*F13)/(I$10*F$10)-1)*costos!$E$30+((J13*F13)/((J$10*F$10)-1)*costos!$F$30/3+((K13*F13)/(K$10*F$10)-1)*costos!$F$30/3+((U13*F13)/(U$10*F$10)-1)*costos!$F$30/3+((L13*F13)/(L$10*F$10)-1)*costos!$G$30+((BG13)/(BG$10)-1)*costos!$J$30+((V13*F13)/(V$10*F$10)-1)*costos!$K$30)))</f>
        <v>111.02741552496411</v>
      </c>
      <c r="DA13" s="69">
        <f>DA$10*(1+((H13/H$10-1)*costos!$B$31+((I13*F13)/(I$10*F$10)-1)*costos!$E$31+((J13*F13)/((J$10*F$10)-1)*costos!$F$31/3+((K13*F13)/(K$10*F$10)-1)*costos!$F$31/3+((U13*F13)/(U$10*F$10)-1)*costos!$F$31/3+((L13*F13)/(L$10*F$10)-1)*costos!$G$31+((BJ13)/(BJ$10)-1)*costos!$J$31+((V13*F13)/(V$10*F$10)-1)*costos!$K$31)))</f>
        <v>107.90811967488112</v>
      </c>
      <c r="DB13" s="69">
        <f>DB$10*(1+((H13/H$10-1)*costos!$B$36+((I13*F13)/(I$10*F$10)-1)*costos!$E$36+((J13*F13)/((J$10*F$10)-1)*costos!$F$36/3+((K13*F13)/(K$10*F$10)-1)*costos!$F$36/3+((U13*F13)/(U$10*F$10)-1)*costos!$F$36/3+((L13*F13)/(L$10*F$10)-1)*costos!$G$36+((BK13)/(BK$10)-1)*costos!$J$36+((V13*F13)/(V$10*F$10)-1)*costos!$K$36)))</f>
        <v>115.13305152260503</v>
      </c>
      <c r="DC13" s="69">
        <f>DC$10*(1+((H13/H$10-1)*costos!$B$37+((I13*F13)/(I$10*F$10)-1)*costos!$E$37+((U13*F13)/(U$10*F$10)-1)*costos!$F$37+((L13*F13)/(L$10*F$10)-1)*costos!$G$37+((BN13)/(BN$10)-1)*costos!$J$37+((V13*F13)/(V$10*F$10)-1)*costos!$K$37))</f>
        <v>118.88516449887388</v>
      </c>
      <c r="DD13" s="69">
        <f>DD$10*(1+((H13/H$10-1)*costos!$B$39+((I13*F13)/(I$10*F$10)-1)*costos!$E$39+((U13*F13)/(U$10*F$10)-1)*costos!$F$39+((L13*F13)/(L$10*F$10)-1)*costos!$G$39+((BR13)/(BR$10)-1)*costos!$J$39+((V13*F13)/(V$10*F$10)-1)*costos!$K$39))</f>
        <v>117.33327912629593</v>
      </c>
      <c r="DE13" s="69">
        <f>DD$10*(1+((H13/H$10-1)*costos!$B$35+((I13*F13)/(I$10*F$10)-1)*costos!$E$35+((U13*F13)/(U$10*F$10)-1)*costos!$F$35+((L13*F13)/(L$10*F$10)-1)*costos!$G$35+((BR13)/(BR$10)-1)*costos!$J$35+((V13*F13)/(V$10*F$10)-1)*costos!$K$35))</f>
        <v>116.65940800441005</v>
      </c>
      <c r="DF13" s="69">
        <f>DF$10*(1+((H13/H$10-1)*costos!$B$40+((I13*F13)/(I$10*F$10)-1)*costos!$E$40+((U13*F13)/(U$10*F$10)-1)*costos!$F$40+((L13*F13)/(L$10*F$10)-1)*costos!$G$40+((BP13)/(BP$10)-1)*costos!$J$40+((V13*F13)/(V$10*F$10)-1)*costos!$K$40))</f>
        <v>120.20284899315223</v>
      </c>
      <c r="DG13" s="92">
        <f t="shared" si="64"/>
        <v>118.43112849878113</v>
      </c>
      <c r="DH13" s="69">
        <f>DH$10*(1+((H13/H$10-1)*costos!$B$34+((I13*F13)/(I$10*F$10)-1)*costos!$E$34+((J13*F13)/((J$10*F$10)-1)*costos!$F$34/3+((K13*F13)/(K$10*F$10)-1)*costos!$F$34/3+((U13*F13)/(U$10*F$10)-1)*costos!$F$34/3+((L13*F13)/(L$10*F$10)-1)*costos!$G$34+((BV13)/(BV$10)-1)*costos!$J$34+((V13*F13)/(V$10*F$10)-1)*costos!$K$34)))</f>
        <v>108.8496537650669</v>
      </c>
      <c r="DI13" s="69">
        <f>DI$10*(1+((H13/H$10-1)*costos!$B$38+((I13*F13)/(I$10*F$10)-1)*costos!$E$38+((J13*F13)/((J$10*F$10)-1)*costos!$F$38/3+((K13*F13)/(K$10*F$10)-1)*costos!$F$38/3+((U13*F13)/(U$10*F$10)-1)*costos!$F$38/3+((L13*F13)/(L$10*F$10)-1)*costos!$G$38+((BU13)/(BU$10)-1)*costos!$J$38+((V13*F13)/(V$10*F$10)-1)*costos!$K$38)))</f>
        <v>106.05127410145485</v>
      </c>
      <c r="DK13" s="1">
        <v>417850</v>
      </c>
      <c r="DL13" s="1" t="s">
        <v>107</v>
      </c>
      <c r="DM13" s="82">
        <f t="shared" si="65"/>
        <v>214570</v>
      </c>
      <c r="DN13" s="82" t="str">
        <f t="shared" si="65"/>
        <v>2015-16</v>
      </c>
      <c r="DO13" s="82">
        <f t="shared" si="65"/>
        <v>1200000</v>
      </c>
      <c r="DP13" s="82" t="str">
        <f t="shared" si="65"/>
        <v>2015-16</v>
      </c>
      <c r="DQ13" s="82">
        <f t="shared" si="65"/>
        <v>1220000</v>
      </c>
      <c r="DR13" s="82" t="str">
        <f t="shared" si="65"/>
        <v>2015-16</v>
      </c>
      <c r="DS13" s="1">
        <v>3300000</v>
      </c>
      <c r="DT13" s="1" t="s">
        <v>107</v>
      </c>
      <c r="DU13" s="1">
        <v>20100000</v>
      </c>
      <c r="DV13" s="1" t="s">
        <v>107</v>
      </c>
      <c r="DW13" s="82">
        <f t="shared" si="99"/>
        <v>850000</v>
      </c>
      <c r="DX13" s="82" t="str">
        <f t="shared" si="99"/>
        <v>2015-16</v>
      </c>
      <c r="DY13" s="83">
        <v>4830000</v>
      </c>
      <c r="DZ13" s="83" t="str">
        <f t="shared" si="66"/>
        <v>2015-16</v>
      </c>
      <c r="EA13" s="79">
        <f t="shared" si="67"/>
        <v>31500000</v>
      </c>
      <c r="EB13" s="82">
        <f t="shared" si="68"/>
        <v>368438</v>
      </c>
      <c r="EC13" s="82" t="str">
        <f t="shared" si="69"/>
        <v>2015-16</v>
      </c>
      <c r="ED13" s="83">
        <f t="shared" si="70"/>
        <v>165327</v>
      </c>
      <c r="EE13" s="143">
        <f t="shared" si="70"/>
        <v>2016</v>
      </c>
      <c r="EF13" s="83">
        <f t="shared" si="70"/>
        <v>223944</v>
      </c>
      <c r="EG13" s="143">
        <f t="shared" si="70"/>
        <v>2016</v>
      </c>
      <c r="EH13" s="83">
        <f t="shared" si="71"/>
        <v>53117706</v>
      </c>
      <c r="EI13" s="143">
        <f t="shared" si="71"/>
        <v>2016</v>
      </c>
      <c r="EJ13" s="83">
        <v>5119438</v>
      </c>
      <c r="EK13" s="143">
        <v>2016</v>
      </c>
      <c r="EL13" s="82">
        <f t="shared" si="71"/>
        <v>14859486</v>
      </c>
      <c r="EM13" s="144">
        <f t="shared" si="71"/>
        <v>2015</v>
      </c>
      <c r="EN13" s="82">
        <f t="shared" si="71"/>
        <v>3448018</v>
      </c>
      <c r="EO13" s="144">
        <f t="shared" si="71"/>
        <v>2015</v>
      </c>
      <c r="EP13" s="82">
        <f>+EP12</f>
        <v>6552</v>
      </c>
      <c r="EQ13" s="83">
        <f t="shared" si="100"/>
        <v>3008956</v>
      </c>
      <c r="ER13" s="1">
        <v>32755</v>
      </c>
      <c r="ES13" s="82"/>
      <c r="ET13" s="83">
        <f t="shared" si="101"/>
        <v>24000</v>
      </c>
      <c r="EU13" s="83">
        <f t="shared" si="101"/>
        <v>16752</v>
      </c>
      <c r="EV13" s="83">
        <f t="shared" si="101"/>
        <v>9500</v>
      </c>
      <c r="EW13" s="83">
        <f t="shared" si="101"/>
        <v>17994</v>
      </c>
      <c r="EX13" s="79">
        <f t="shared" si="72"/>
        <v>68246</v>
      </c>
      <c r="EY13" s="1">
        <v>19129</v>
      </c>
      <c r="EZ13" s="82">
        <f t="shared" si="102"/>
        <v>75500</v>
      </c>
      <c r="FA13" s="1">
        <f t="shared" si="103"/>
        <v>22169</v>
      </c>
      <c r="FB13" s="1">
        <f t="shared" si="103"/>
        <v>20495</v>
      </c>
      <c r="FC13" s="79">
        <f t="shared" si="73"/>
        <v>42664</v>
      </c>
      <c r="FD13" s="1">
        <f t="shared" si="104"/>
        <v>43815</v>
      </c>
      <c r="FE13" s="1"/>
      <c r="FF13" s="82">
        <v>708192</v>
      </c>
      <c r="FG13" s="82" t="str">
        <f t="shared" si="47"/>
        <v>2015-16</v>
      </c>
      <c r="FH13" s="82">
        <f t="shared" si="74"/>
        <v>1558100</v>
      </c>
      <c r="FI13" s="82" t="str">
        <f t="shared" si="74"/>
        <v>2014-15</v>
      </c>
      <c r="FJ13" s="82">
        <f t="shared" ref="FJ13:FM16" si="112">+FJ12</f>
        <v>4300000</v>
      </c>
      <c r="FK13" s="82" t="str">
        <f t="shared" si="112"/>
        <v>2015-16</v>
      </c>
      <c r="FL13" s="82">
        <f t="shared" si="112"/>
        <v>2450000</v>
      </c>
      <c r="FM13" s="82" t="str">
        <f t="shared" si="112"/>
        <v>2015-16</v>
      </c>
      <c r="FN13" s="1">
        <v>25000000</v>
      </c>
      <c r="FO13" s="1" t="s">
        <v>107</v>
      </c>
      <c r="FP13" s="1">
        <v>56000000</v>
      </c>
      <c r="FQ13" s="1" t="s">
        <v>107</v>
      </c>
      <c r="FR13" s="82">
        <f t="shared" si="48"/>
        <v>3500000</v>
      </c>
      <c r="FS13" s="82" t="str">
        <f t="shared" si="48"/>
        <v>2015-16</v>
      </c>
      <c r="FT13" s="83">
        <f t="shared" si="75"/>
        <v>11315000</v>
      </c>
      <c r="FU13" s="83" t="str">
        <f t="shared" si="75"/>
        <v>2015-16</v>
      </c>
      <c r="FV13" s="79">
        <f t="shared" si="76"/>
        <v>102565000</v>
      </c>
      <c r="FW13" s="82">
        <f t="shared" si="77"/>
        <v>1010777</v>
      </c>
      <c r="FX13" s="82" t="str">
        <f t="shared" si="77"/>
        <v>2014-15</v>
      </c>
      <c r="FY13" s="83">
        <v>70239.467999999993</v>
      </c>
      <c r="FZ13" s="79"/>
      <c r="GA13" s="79"/>
      <c r="GB13" s="1">
        <v>17584178</v>
      </c>
      <c r="GC13" s="6">
        <v>2016</v>
      </c>
      <c r="GD13" s="1">
        <f t="shared" si="105"/>
        <v>1678337</v>
      </c>
      <c r="GE13" s="1">
        <v>468278</v>
      </c>
      <c r="GF13" s="1">
        <v>1032446</v>
      </c>
      <c r="GG13" s="1">
        <f t="shared" si="106"/>
        <v>102259</v>
      </c>
      <c r="GH13" s="79">
        <f t="shared" si="78"/>
        <v>1602983</v>
      </c>
      <c r="GI13" s="82">
        <f t="shared" si="79"/>
        <v>1302556</v>
      </c>
      <c r="GJ13" s="1">
        <f t="shared" si="80"/>
        <v>600000</v>
      </c>
      <c r="GK13" s="1">
        <f t="shared" si="80"/>
        <v>998555</v>
      </c>
      <c r="GL13" s="1">
        <f t="shared" si="80"/>
        <v>302000</v>
      </c>
      <c r="GM13" s="1">
        <f t="shared" si="80"/>
        <v>266553.90000000002</v>
      </c>
      <c r="GN13" s="79">
        <f t="shared" si="81"/>
        <v>2167108.9</v>
      </c>
      <c r="GO13" s="83">
        <f t="shared" si="107"/>
        <v>191984</v>
      </c>
      <c r="GP13" s="1">
        <f t="shared" si="82"/>
        <v>68123</v>
      </c>
      <c r="GQ13" s="1"/>
      <c r="GR13" s="1">
        <v>42700</v>
      </c>
      <c r="GS13" s="79">
        <f t="shared" si="83"/>
        <v>42700</v>
      </c>
      <c r="GT13" s="83">
        <f t="shared" si="108"/>
        <v>2430866</v>
      </c>
      <c r="GU13" s="1">
        <f t="shared" si="84"/>
        <v>50951.583333333336</v>
      </c>
      <c r="GV13" s="1">
        <f t="shared" si="85"/>
        <v>51463.083333333336</v>
      </c>
      <c r="GW13" s="79">
        <f t="shared" si="49"/>
        <v>1228976</v>
      </c>
      <c r="GX13" s="83">
        <v>30955.772000000001</v>
      </c>
      <c r="GY13" s="83" t="s">
        <v>329</v>
      </c>
      <c r="GZ13" s="83">
        <f t="shared" si="109"/>
        <v>93671</v>
      </c>
      <c r="HA13" s="1">
        <v>203000</v>
      </c>
      <c r="HB13" s="79"/>
      <c r="HC13" s="79"/>
      <c r="HD13" s="1">
        <v>41467</v>
      </c>
      <c r="HE13" s="79"/>
      <c r="HF13" s="79"/>
      <c r="HG13" s="1">
        <v>167000</v>
      </c>
      <c r="HH13" s="79"/>
      <c r="HI13" s="79"/>
      <c r="HJ13" s="1"/>
      <c r="HK13" s="79"/>
      <c r="HL13" s="79"/>
      <c r="HM13" s="79">
        <f t="shared" si="86"/>
        <v>0</v>
      </c>
      <c r="HN13" s="69"/>
      <c r="HO13" s="1">
        <v>674300000</v>
      </c>
      <c r="HP13" s="79"/>
      <c r="HQ13" s="79"/>
      <c r="HR13" s="1"/>
      <c r="HS13" s="1"/>
      <c r="HT13" s="1"/>
      <c r="HU13" s="83">
        <v>650000</v>
      </c>
      <c r="HV13" s="83" t="s">
        <v>107</v>
      </c>
      <c r="HW13" s="1">
        <f>+HW12</f>
        <v>2000000</v>
      </c>
      <c r="HX13" s="1" t="s">
        <v>107</v>
      </c>
      <c r="HY13" s="1">
        <v>2950000</v>
      </c>
      <c r="HZ13" s="1" t="s">
        <v>107</v>
      </c>
      <c r="IA13" s="1">
        <f t="shared" ref="IA13:IA23" si="113">3300000+13910000</f>
        <v>17210000</v>
      </c>
      <c r="IB13" s="1" t="str">
        <f t="shared" ref="IB13:IB21" si="114">+HZ13</f>
        <v>2015-16</v>
      </c>
      <c r="IC13" s="1">
        <v>50000000</v>
      </c>
      <c r="ID13" s="1" t="s">
        <v>107</v>
      </c>
      <c r="IE13" s="1">
        <f t="shared" ref="IE13:IE23" si="115">150000+2450000</f>
        <v>2600000</v>
      </c>
      <c r="IF13" s="1" t="s">
        <v>107</v>
      </c>
      <c r="IG13" s="1"/>
      <c r="IH13" s="1"/>
      <c r="II13" s="79">
        <f t="shared" si="87"/>
        <v>74760000</v>
      </c>
      <c r="IJ13" s="97">
        <f t="shared" si="110"/>
        <v>1.6218070029006586</v>
      </c>
      <c r="IK13" s="1" t="s">
        <v>107</v>
      </c>
      <c r="IL13" s="7">
        <v>43.47</v>
      </c>
      <c r="IM13" s="7">
        <v>51.3246650838459</v>
      </c>
      <c r="IN13" s="7">
        <v>201</v>
      </c>
      <c r="IO13" s="695">
        <f>+IO25*(1-0.0076)</f>
        <v>12.395076</v>
      </c>
      <c r="IP13" s="98">
        <f t="shared" si="88"/>
        <v>5.7844457536132143</v>
      </c>
      <c r="IQ13" s="93">
        <v>21.6</v>
      </c>
      <c r="IR13" s="93">
        <f t="shared" si="111"/>
        <v>2.2000000000000002</v>
      </c>
      <c r="IS13" s="93">
        <f t="shared" si="111"/>
        <v>5.59</v>
      </c>
      <c r="IT13" s="93">
        <f t="shared" si="111"/>
        <v>13.55</v>
      </c>
      <c r="IU13" s="93">
        <f t="shared" si="111"/>
        <v>1.07</v>
      </c>
      <c r="IV13" s="94">
        <f t="shared" si="89"/>
        <v>20.21</v>
      </c>
      <c r="IW13" s="84"/>
      <c r="IX13" s="84"/>
      <c r="IY13" s="105">
        <v>1.84</v>
      </c>
      <c r="IZ13" s="161">
        <v>0.3</v>
      </c>
      <c r="JA13" s="161"/>
      <c r="JB13" s="84">
        <v>38.770000000000003</v>
      </c>
      <c r="JC13" s="84"/>
      <c r="JD13" s="84"/>
      <c r="JF13" s="2">
        <v>6.0783912999999989</v>
      </c>
      <c r="JG13" s="2">
        <v>30.22032712</v>
      </c>
      <c r="JH13" s="2">
        <v>93.054412799999994</v>
      </c>
      <c r="JI13" s="2">
        <v>120.81196385999999</v>
      </c>
      <c r="JJ13" s="2">
        <v>328.58182104999992</v>
      </c>
      <c r="JK13" s="2">
        <v>74.293283979999998</v>
      </c>
      <c r="JL13" s="2">
        <v>1301.4315219599998</v>
      </c>
      <c r="JM13" s="2">
        <v>14.173273030000001</v>
      </c>
      <c r="JN13" s="2">
        <v>241.66404899000003</v>
      </c>
      <c r="JO13" s="2">
        <v>20.61036387</v>
      </c>
      <c r="JP13" s="2">
        <v>0</v>
      </c>
      <c r="JQ13" s="2">
        <v>4.2508789</v>
      </c>
      <c r="JR13" s="2">
        <v>0.70035887000000008</v>
      </c>
      <c r="JS13" s="2">
        <v>0</v>
      </c>
      <c r="JT13" s="2">
        <v>0.69519420999999992</v>
      </c>
      <c r="JU13" s="2">
        <v>82.927035959999984</v>
      </c>
      <c r="JV13" s="2">
        <v>18.9912837</v>
      </c>
      <c r="JW13" s="2">
        <v>47.579604120000006</v>
      </c>
      <c r="JX13" s="2">
        <v>28.484557790000004</v>
      </c>
      <c r="JY13" s="2">
        <v>1.51216456</v>
      </c>
      <c r="JZ13" s="2">
        <v>0.19857765999999999</v>
      </c>
      <c r="KA13" s="2">
        <v>7.0560000000000002E-4</v>
      </c>
      <c r="KB13" s="2">
        <v>17.063862989999997</v>
      </c>
      <c r="KC13" s="2">
        <v>22.027055000000004</v>
      </c>
      <c r="KD13" s="2">
        <v>5.1407169599999998</v>
      </c>
      <c r="KE13" s="2">
        <v>16.496646400000003</v>
      </c>
      <c r="KF13" s="2">
        <v>23.34557113</v>
      </c>
      <c r="KG13" s="2">
        <v>173.21266676000002</v>
      </c>
      <c r="KH13" s="2">
        <v>59.82488098000001</v>
      </c>
      <c r="KI13" s="2">
        <v>31.065288369999998</v>
      </c>
      <c r="KJ13" s="2">
        <v>1.14213162</v>
      </c>
      <c r="KK13" s="2">
        <v>8.5606701300000001</v>
      </c>
      <c r="KL13" s="2">
        <v>0.62539049999999996</v>
      </c>
      <c r="KM13" s="2">
        <v>0.61129660999999991</v>
      </c>
      <c r="KN13" s="2">
        <v>0.46206532</v>
      </c>
      <c r="KO13" s="2">
        <v>1.4290279999999999E-2</v>
      </c>
      <c r="KP13" s="2">
        <v>1.31295E-3</v>
      </c>
      <c r="KQ13" s="2">
        <v>47.947800749999999</v>
      </c>
      <c r="KR13" s="2">
        <v>0</v>
      </c>
      <c r="KS13" s="2">
        <v>0.21755577000000001</v>
      </c>
      <c r="KT13" s="2">
        <v>2.01463876</v>
      </c>
      <c r="KU13" s="2">
        <v>8.1840910000000003E-2</v>
      </c>
      <c r="KV13" s="2">
        <v>2.7976999999999998E-2</v>
      </c>
      <c r="KW13" s="2">
        <v>1.7580232799999997</v>
      </c>
      <c r="KX13" s="2">
        <v>0</v>
      </c>
      <c r="KY13" s="2">
        <v>0</v>
      </c>
      <c r="KZ13" s="2">
        <v>0.34549282999999997</v>
      </c>
      <c r="LA13" s="2">
        <v>0.19483175</v>
      </c>
      <c r="LB13" s="2">
        <v>9.8866079999999995E-2</v>
      </c>
      <c r="LC13" s="2">
        <v>5.4452730000000005E-2</v>
      </c>
      <c r="LD13" s="2">
        <v>0</v>
      </c>
      <c r="LE13" s="2">
        <v>0.46874100000000002</v>
      </c>
      <c r="LF13" s="2">
        <v>0.43910431</v>
      </c>
      <c r="LG13" s="2">
        <v>19.766695889999998</v>
      </c>
      <c r="LH13" s="2">
        <v>5.2425439399999991</v>
      </c>
      <c r="LI13" s="2">
        <v>0.10154013000000001</v>
      </c>
      <c r="LJ13" s="2">
        <v>0</v>
      </c>
      <c r="LK13" s="2">
        <v>4.2351354699999995</v>
      </c>
      <c r="LL13" s="2">
        <v>4.4546906600000007</v>
      </c>
      <c r="LM13" s="2">
        <v>0.87454730999999997</v>
      </c>
      <c r="LN13" s="2">
        <v>0.63489929999999994</v>
      </c>
      <c r="LO13" s="2">
        <v>6.1236368900000002</v>
      </c>
      <c r="LQ13" s="85">
        <f t="shared" si="90"/>
        <v>2099.7170416899999</v>
      </c>
      <c r="LR13" s="85">
        <f t="shared" si="91"/>
        <v>5.6464319800000009</v>
      </c>
      <c r="LS13" s="85">
        <f t="shared" si="92"/>
        <v>66.57088782000001</v>
      </c>
      <c r="LT13" s="85">
        <f t="shared" si="93"/>
        <v>1.7114478200000001</v>
      </c>
      <c r="LU13" s="85">
        <f t="shared" si="94"/>
        <v>49.253008729999998</v>
      </c>
      <c r="LV13" s="85">
        <f t="shared" si="95"/>
        <v>1.7860002799999997</v>
      </c>
      <c r="LW13" s="85">
        <f t="shared" si="96"/>
        <v>0.29369782999999999</v>
      </c>
      <c r="LX13" s="85">
        <f t="shared" si="97"/>
        <v>0.90784531000000002</v>
      </c>
      <c r="LZ13" s="131"/>
      <c r="MA13" s="171">
        <v>16.21</v>
      </c>
      <c r="MB13"/>
      <c r="MC13"/>
      <c r="MD13"/>
      <c r="MF13"/>
      <c r="MG13"/>
      <c r="MH13" s="83">
        <v>29.85</v>
      </c>
      <c r="MI13" s="83">
        <v>8.23</v>
      </c>
      <c r="MJ13" s="83">
        <v>9.26</v>
      </c>
      <c r="MK13"/>
      <c r="ML13" s="83">
        <v>13.79</v>
      </c>
      <c r="MM13" s="83">
        <v>18.87</v>
      </c>
      <c r="MN13" s="83"/>
      <c r="MO13" s="83">
        <v>13.25</v>
      </c>
      <c r="MP13" s="83">
        <v>17.149999999999999</v>
      </c>
      <c r="MQ13" s="83">
        <v>25.12</v>
      </c>
      <c r="MR13"/>
      <c r="MT13"/>
      <c r="MU13">
        <v>23.2</v>
      </c>
      <c r="MV13"/>
      <c r="MW13"/>
      <c r="MX13"/>
      <c r="MY13" s="83">
        <v>26.29</v>
      </c>
      <c r="MZ13" s="131"/>
      <c r="NA13" s="83">
        <v>34.25</v>
      </c>
      <c r="NB13" s="83">
        <v>104.5</v>
      </c>
      <c r="NC13" s="83">
        <v>14.37</v>
      </c>
      <c r="ND13"/>
      <c r="NE13" s="1">
        <v>85.38</v>
      </c>
    </row>
    <row r="14" spans="1:369">
      <c r="A14" s="38">
        <f t="shared" si="32"/>
        <v>42491</v>
      </c>
      <c r="B14" s="36">
        <v>5</v>
      </c>
      <c r="C14" s="36">
        <v>2016</v>
      </c>
      <c r="D14" s="36">
        <f t="shared" si="50"/>
        <v>14</v>
      </c>
      <c r="E14" s="38">
        <f t="shared" si="33"/>
        <v>42491</v>
      </c>
      <c r="F14" s="7">
        <v>14.318181818181818</v>
      </c>
      <c r="G14" s="7">
        <v>87.640449438202253</v>
      </c>
      <c r="H14" s="1">
        <v>7680</v>
      </c>
      <c r="I14" s="7">
        <v>111</v>
      </c>
      <c r="J14" s="7">
        <v>360</v>
      </c>
      <c r="K14" s="7">
        <v>3.4</v>
      </c>
      <c r="L14" s="7">
        <v>28.9</v>
      </c>
      <c r="N14" s="5">
        <v>1.254904761904762</v>
      </c>
      <c r="O14" s="5">
        <v>1.1072380952380951</v>
      </c>
      <c r="P14" s="78">
        <f t="shared" si="34"/>
        <v>16.910795454545454</v>
      </c>
      <c r="Q14" s="6">
        <v>250</v>
      </c>
      <c r="R14" s="79">
        <f t="shared" si="35"/>
        <v>2500</v>
      </c>
      <c r="S14" s="6">
        <v>140</v>
      </c>
      <c r="T14" s="6">
        <v>304.42857142857144</v>
      </c>
      <c r="U14" s="143">
        <v>159.78571428571428</v>
      </c>
      <c r="V14" s="6">
        <v>262.67619047619047</v>
      </c>
      <c r="W14" s="6">
        <v>146.8095238095238</v>
      </c>
      <c r="X14" s="6">
        <v>181.42857142857142</v>
      </c>
      <c r="Y14" s="79">
        <f t="shared" si="36"/>
        <v>2004.5454545454545</v>
      </c>
      <c r="Z14" s="79">
        <f t="shared" si="37"/>
        <v>4358.8636363636369</v>
      </c>
      <c r="AA14" s="79">
        <f t="shared" si="38"/>
        <v>2287.840909090909</v>
      </c>
      <c r="AB14" s="79">
        <f t="shared" si="39"/>
        <v>3761.0454545454545</v>
      </c>
      <c r="AC14" s="79">
        <f t="shared" si="40"/>
        <v>2102.0454545454545</v>
      </c>
      <c r="AD14" s="79">
        <f t="shared" si="41"/>
        <v>2597.7272727272725</v>
      </c>
      <c r="AE14" s="79">
        <f t="shared" si="42"/>
        <v>2852.0113636363635</v>
      </c>
      <c r="AF14" s="1">
        <v>7838.8571428571431</v>
      </c>
      <c r="AG14" s="1">
        <v>4803</v>
      </c>
      <c r="AH14" s="1">
        <v>18031</v>
      </c>
      <c r="AI14" s="5">
        <v>6.49</v>
      </c>
      <c r="AJ14" s="5">
        <v>4.55</v>
      </c>
      <c r="AK14" s="5">
        <v>3.28</v>
      </c>
      <c r="AL14" s="5">
        <v>3.14</v>
      </c>
      <c r="AM14" s="78">
        <f t="shared" si="43"/>
        <v>4.7737999999999996</v>
      </c>
      <c r="AN14" s="5">
        <v>234.59999999999997</v>
      </c>
      <c r="AO14" s="80">
        <f t="shared" si="51"/>
        <v>140.75999999999996</v>
      </c>
      <c r="AP14" s="78">
        <f t="shared" si="44"/>
        <v>187.67999999999995</v>
      </c>
      <c r="AQ14" s="5">
        <v>125.10000000000001</v>
      </c>
      <c r="AR14" s="5">
        <v>110.60000000000001</v>
      </c>
      <c r="AS14" s="5">
        <v>98.2</v>
      </c>
      <c r="AT14" s="80">
        <f t="shared" si="52"/>
        <v>125.10000000000001</v>
      </c>
      <c r="AU14" s="78">
        <f t="shared" si="53"/>
        <v>111.30000000000001</v>
      </c>
      <c r="AV14">
        <v>79.800000000000011</v>
      </c>
      <c r="AW14" s="80">
        <f t="shared" si="54"/>
        <v>255.36000000000004</v>
      </c>
      <c r="AX14">
        <v>123.4</v>
      </c>
      <c r="AY14" s="7">
        <v>284.40000000000003</v>
      </c>
      <c r="AZ14" s="7">
        <v>196.20000000000002</v>
      </c>
      <c r="BA14" s="7">
        <v>81.059999999999988</v>
      </c>
      <c r="BB14" s="94">
        <f t="shared" si="45"/>
        <v>184.61500000000001</v>
      </c>
      <c r="BC14" s="68">
        <v>562</v>
      </c>
      <c r="BD14" s="68">
        <f t="shared" ref="BD14:BD24" si="116">+BD13</f>
        <v>684</v>
      </c>
      <c r="BE14" s="7">
        <f t="shared" si="55"/>
        <v>610</v>
      </c>
      <c r="BF14" s="7">
        <f t="shared" si="55"/>
        <v>410</v>
      </c>
      <c r="BG14" s="94">
        <f t="shared" si="56"/>
        <v>566.5</v>
      </c>
      <c r="BH14" s="7">
        <v>37.549999999999997</v>
      </c>
      <c r="BI14" s="7">
        <f>+BI13+2.5</f>
        <v>12.364000000000001</v>
      </c>
      <c r="BJ14" s="78">
        <f t="shared" si="57"/>
        <v>49.914000000000001</v>
      </c>
      <c r="BK14" s="7">
        <v>30.178999999999998</v>
      </c>
      <c r="BL14" s="7">
        <v>30.911000000000001</v>
      </c>
      <c r="BM14" s="94">
        <f t="shared" si="58"/>
        <v>30.545000000000002</v>
      </c>
      <c r="BN14" s="5">
        <v>3.9609999999999999</v>
      </c>
      <c r="BO14" s="105">
        <v>18.595000000000002</v>
      </c>
      <c r="BP14" s="80">
        <v>13.013833333333336</v>
      </c>
      <c r="BQ14" s="94">
        <f t="shared" si="59"/>
        <v>18.036883333333336</v>
      </c>
      <c r="BR14" s="7">
        <v>14.17</v>
      </c>
      <c r="BS14" s="7">
        <v>59</v>
      </c>
      <c r="BT14" s="7">
        <v>40.98</v>
      </c>
      <c r="BU14" s="79">
        <f t="shared" si="46"/>
        <v>830.94</v>
      </c>
      <c r="BV14" s="97">
        <v>20.8</v>
      </c>
      <c r="BW14" s="95"/>
      <c r="BY14" s="92">
        <f>BY$10*(1+((H14/H$10-1)*costos!$B$5+((I14*F14)/(I$10*F$10)-1)*costos!$E$5+((J14*F14)/((J$10*F$10)-1)*costos!$F$5/3+((K14*F14)/(K$10*F$10)-1)*costos!$F$5/3+((U14*F14)/(U$10*F$10)-1)*costos!$F$5/3+((L14*F14)/(L$10*F$10)-1)*costos!$G$5+((N14*F14)/(N$10*F$10)-1)*costos!$J$5+((V14*F14)/(V$10*F$10)-1)*costos!$K$5)))</f>
        <v>114.88770857277646</v>
      </c>
      <c r="BZ14" s="92">
        <f>$BZ$10*(1+((H14/$H$10-1)*costos!$B$6+((I14*F14)/($I$10*$F$10)-1)*costos!$E$6+((J14*F14)/(($J$10*$F$10)-1)*costos!$F$6/3+((K14*F14)/($K$10*$F$10)-1)*costos!$F$6/3+((U14*F14)/($U$10*$F$10)-1)*costos!$F$6/3+((L14*F14)/($L$10*$F$10)-1)*costos!$G$6+((Q14*F14)/($Q$10*$F$10)-1)*costos!$J$6+((V14*F14)/($V$10*$F$10)-1)*costos!$K$6)))</f>
        <v>118.12689507535082</v>
      </c>
      <c r="CA14" s="92">
        <f>CA$10*(1+((H14/H$10-1)*costos!$B$7+((I14*F14)/(I$10*F$10)-1)*costos!$E$7+((J14*F14)/((J$10*F$10)-1)*costos!$F$7/3+((K14*F14)/(K$10*F$10)-1)*costos!$F$7/3+((U14*F14)/(U$10*F$10)-1)*costos!$F$7/3+((L14*F14)/(L$10*F$10)-1)*costos!$G$7+((S14*F14)/(S$10*F$10)-1)*costos!$J$7+((V14*F14)/(V$10*F$10)-1)*costos!$K$7)))</f>
        <v>113.5344689905013</v>
      </c>
      <c r="CB14" s="92">
        <f>CB$10*(1+((H14/H$10-1)*costos!$B$8+((I14*F14)/(I$10*F$10)-1)*costos!$E$8+((J14*F14)/((J$10*F$10)-1)*costos!$F$8/3+((K14*F14)/(K$10*F$10)-1)*costos!$F$8/3+((U14*F14)/(U$10*F$10)-1)*costos!$F$8/3+((L14*F14)/(L$10*F$10)-1)*costos!$G$8+((T14*F14)/(T$10*F$10)-1)*costos!$J$8+((V14*F14)/(V$10*F$10)-1)*costos!$K$8)))</f>
        <v>115.64476516776398</v>
      </c>
      <c r="CC14" s="92">
        <f>CC$10*(1+((H14/H$10-1)*costos!$B$9+((I14*F14)/(I$10*F$10)-1)*costos!$E$9+((J14*F14)/((J$10*F$10)-1)*costos!$F$9/3+((K14*F14)/(K$10*F$10)-1)*costos!$F$9/3+((U14*F14)/(U$10*F$10)-1)*costos!$F$9/3+((L14*F14)/(L$10*F$10)-1)*costos!$G$9+((U14*F14)/(U$10*F$10)-1)*costos!$J$9+((V14*F14)/(V$10*F$10)-1)*costos!$K$9)))</f>
        <v>113.57223129817986</v>
      </c>
      <c r="CD14" s="92">
        <f>CD$10*(1+((H14/H$10-1)*costos!$B$11+((I14*F14)/(I$10*F$10)-1)*costos!$E$11+((J14*F14)/((J$10*F$10)-1)*costos!$F$11/3+((K14*F14)/(K$10*F$10)-1)*costos!$F$11/3+((U14*F14)/(U$10*F$10)-1)*costos!$F$11/3+((L14*F14)/(L$10*F$10)-1)*costos!$G$11+((V14*F14)/(V$10*F$10)-1)*costos!$J$11+((V14*F14)/(V$10*F$10)-1)*costos!$K$11)))</f>
        <v>117.08828474262948</v>
      </c>
      <c r="CE14" s="92">
        <f>CE$10*(1+((H14/H$10-1)*costos!$B$12+((I14*F14)/(I$10*F$10)-1)*costos!$E$12+((J14*F14)/((J$10*F$10)-1)*costos!$F$12/3+((K14*F14)/(K$10*F$10)-1)*costos!$F$12/3+((U14*F14)/(U$10*F$10)-1)*costos!$F$12/3+((L14*F14)/(L$10*F$10)-1)*costos!$G$12+((W14*F14)/(W$10*F$10)-1)*costos!$J$12+((V14*F14)/(V$10*F$10)-1)*costos!$K$12)))</f>
        <v>110.5202160799482</v>
      </c>
      <c r="CF14" s="92">
        <f>CF$10*(1+((H14/H$10-1)*costos!$B$13+((I14*F14)/(I$10*F$10)-1)*costos!$E$13+((J14*F14)/((J$10*F$10)-1)*costos!$F$13/3+((K14*F14)/(K$10*F$10)-1)*costos!$F$13/3+((U14*F14)/(U$10*F$10)-1)*costos!$F$13/3+((L14*F14)/(L$10*F$10)-1)*costos!$G$13+((X14*F14)/(X$10*F$10)-1)*costos!$J$13+((V14*F14)/(V$10*F$10)-1)*costos!$K$13)))</f>
        <v>120.46842987403241</v>
      </c>
      <c r="CG14" s="92">
        <f t="shared" si="60"/>
        <v>115.1380660255092</v>
      </c>
      <c r="CH14" s="92">
        <f>CH$10*(1+((H14/H$10-1)*costos!$B$10+((I14*F14)/(I$10*F$10)-1)*costos!$E$10+((J14*F14)/((J$10*F$10)-1)*costos!$F$10/3+((K14*F14)/(K$10*F$10)-1)*costos!$F$10/3+((U14*F14)/(U$10*F$10)-1)*costos!$F$10/3+((L14*F14)/(L$10*F$10)-1)*costos!$G$10+((AF14)/(AF$10)-1)*costos!$J$10+((V14*F14)/(V$10*F$10)-1)*costos!$K$10)))</f>
        <v>118.0994792915542</v>
      </c>
      <c r="CI14" s="92">
        <f>CI$10*(1+((H14/H$10-1)*costos!$B$15+((I14*F14)/(I$10*F$10)-1)*costos!$E$15+((J14*F14)/((J$10*F$10)-1)*costos!$F$15/3+((K14*F14)/(K$10*F$10)-1)*costos!$F$15/3+((U14*F14)/(U$10*F$10)-1)*costos!$F$15/3+((L14*F14)/(L$10*F$10)-1)*costos!$G$15+((AV14)/(AV$10)-1)*costos!$J$15+((V14*F14)/(V$10*F$10)-1)*costos!$K$15)))</f>
        <v>119.7109635715772</v>
      </c>
      <c r="CJ14" s="92">
        <f>CJ$10*(1+((H14/H$10-1)*costos!$B$16+((I14*F14)/(I$10*F$10)-1)*costos!$E$16+((J14*F14)/((J$10*F$10)-1)*costos!$F$16/3+((K14*F14)/(K$10*F$10)-1)*costos!$F$16/3+((U14*F14)/(U$10*F$10)-1)*costos!$F$16/3+((L14*F14)/(L$10*F$10)-1)*costos!$G$16+((AW14)/(AW$10)-1)*costos!$J$16+((V14*F14)/(V$10*F$10)-1)*costos!$K$16)))</f>
        <v>111.30909447335848</v>
      </c>
      <c r="CK14" s="92">
        <f>CK$10*(1+((H14/H$10-1)*costos!$B$17+((I14*F14)/(I$10*F$10)-1)*costos!$E$17+((J14*F14)/((J$10*F$10)-1)*costos!$F$17/3+((K14*F14)/(K$10*F$10)-1)*costos!$F$17/3+((U14*F14)/(U$10*F$10)-1)*costos!$F$17/3+((L14*F14)/(L$10*F$10)-1)*costos!$G$17+((AX14)/(AX$10)-1)*costos!$J$17+((V14*F14)/(V$10*F$10)-1)*costos!$K$17)))</f>
        <v>123.24186716667087</v>
      </c>
      <c r="CL14" s="92">
        <f>CL$10*(1+((H14/H$10-1)*costos!$B$18+((I14*F14)/(I$10*F$10)-1)*costos!$E$18+((J14*F14)/((J$10*F$10)-1)*costos!$F$18/3+((K14*F14)/(K$10*F$10)-1)*costos!$F$18/3+((U14*F14)/(U$10*F$10)-1)*costos!$F$18/3+((L14*F14)/(L$10*F$10)-1)*costos!$G$18+((AY14)/(AY$10)-1)*costos!$J$18+((V14*F14)/(V$10*F$10)-1)*costos!$K$18)))</f>
        <v>154.3137268555968</v>
      </c>
      <c r="CM14" s="92">
        <f>CM$10*(1+((H14/H$10-1)*costos!$B$19+((I14*F14)/(I$10*F$10)-1)*costos!$E$19+((J14*F14)/((J$10*F$10)-1)*costos!$F$19/3+((K14*F14)/(K$10*F$10)-1)*costos!$F$19/3+((U14*F14)/(U$10*F$10)-1)*costos!$F$19/3+((L14*F14)/(L$10*F$10)-1)*costos!$G$19+((AZ14)/(AZ$10)-1)*costos!$J$19+((V14*F14)/(V$10*F$10)-1)*costos!$K$19)))</f>
        <v>125.01805797762837</v>
      </c>
      <c r="CN14" s="92">
        <f>CN$10*(1+((H14/H$10-1)*costos!$B$20+((I14*F14)/(I$10*F$10)-1)*costos!$E$20+((J14*F14)/((J$10*F$10)-1)*costos!$F$20/3+((K14*F14)/(K$10*F$10)-1)*costos!$F$20/3+((U14*F14)/(U$10*F$10)-1)*costos!$F$20/3+((L14*F14)/(L$10*F$10)-1)*costos!$G$20+((BA14)/(BA$10)-1)*costos!$J$20+((V14*F14)/(V$10*F$10)-1)*costos!$K$20)))</f>
        <v>105.28842357923236</v>
      </c>
      <c r="CO14" s="92">
        <f t="shared" si="61"/>
        <v>126.96551889478209</v>
      </c>
      <c r="CP14" s="92">
        <f>CP$10*(1+((H14/H$10-1)*costos!$B$22+((I14*F14)/(I$10*F$10)-1)*costos!$E$22+((J14*F14)/((J$10*F$10)-1)*costos!$F$22/3+((K14*F14)/(K$10*F$10)-1)*costos!$F$22/3+((U14*F14)/(U$10*F$10)-1)*costos!$F$22/3+((L14*F14)/(L$10*F$10)-1)*costos!$G$22+(((AVERAGE(AI14:AL14))/((AVERAGE(AI$10:AL$10))-1)*costos!$J$22+((V14*F14)/(V$10*F$10)-1)*costos!$K$22)))))</f>
        <v>137.37879166830277</v>
      </c>
      <c r="CQ14" s="92">
        <f>CQ$10*(1+((H14/H$10-1)*costos!$B$23+((I14*F14)/(I$10*F$10)-1)*costos!$E$23+((J14*F14)/((J$10*F$10)-1)*costos!$F$23/3+((K14*F14)/(K$10*F$10)-1)*costos!$F$23/3+((U14*F14)/(U$10*F$10)-1)*costos!$F$23/3+((L14*F14)/(L$10*F$10)-1)*costos!$G$23+((AN14)/(AN$10)-1)*costos!$J$23+((V14*F14)/(V$10*F$10)-1)*costos!$K$23)))</f>
        <v>104.52660011209234</v>
      </c>
      <c r="CR14" s="92">
        <f>CR$10*(1+((H14/H$10-1)*costos!$B$24+((I14*F14)/(I$10*F$10)-1)*costos!$E$24+((J14*F14)/((J$10*F$10)-1)*costos!$F$24/3+((K14*F14)/(K$10*F$10)-1)*costos!$F$24/3+((U14*F14)/(U$10*F$10)-1)*costos!$F$24/3+((L14*F14)/(L$10*F$10)-1)*costos!$G$24+((AO14)/(AO$10)-1)*costos!$J$24+((V14*F14)/(V$10*F$10)-1)*costos!$K$24)))</f>
        <v>104.52660011209234</v>
      </c>
      <c r="CS14" s="92">
        <f t="shared" si="62"/>
        <v>104.52660011209234</v>
      </c>
      <c r="CT14" s="92">
        <f>CT$10*(1+((H14/H$10-1)*costos!$B$25+((I14*F14)/(I$10*F$10)-1)*costos!$E$25+((J14*F14)/((J$10*F$10)-1)*costos!$F$25/3+((K14*F14)/(K$10*F$10)-1)*costos!$F$25/3+((U14*F14)/(U$10*F$10)-1)*costos!$F$25/3+((L14*F14)/(L$10*F$10)-1)*costos!$G$25+((AQ14)/(AQ$10)-1)*costos!$J$25+((V14*F14)/(V$10*F$10)-1)*costos!$K$25)))</f>
        <v>104.48345122106339</v>
      </c>
      <c r="CU14" s="92">
        <f>CU$10*(1+((H14/H$10-1)*costos!$B$26+((I14*F14)/(I$10*F$10)-1)*costos!$E$26+((J14*F14)/((J$10*F$10)-1)*costos!$F$26/3+((K14*F14)/(K$10*F$10)-1)*costos!$F$26/3+((U14*F14)/(U$10*F$10)-1)*costos!$F$26/3+((L14*F14)/(L$10*F$10)-1)*costos!$G$26+((AR14)/(AR$10)-1)*costos!$J$26+((V14*F14)/(V$10*F$10)-1)*costos!$K$26)))</f>
        <v>107.35432643327547</v>
      </c>
      <c r="CV14" s="92">
        <f>CV$10*(1+((H14/H$10-1)*costos!$B$27+((I14*F14)/(I$10*F$10)-1)*costos!$E$27+((J14*F14)/((J$10*F$10)-1)*costos!$F$27/3+((K14*F14)/(K$10*F$10)-1)*costos!$F$27/3+((U14*F14)/(U$10*F$10)-1)*costos!$F$27/3+((L14*F14)/(L$10*F$10)-1)*costos!$G$27+((AS14)/(AS$10)-1)*costos!$J$27+((V14*F14)/(V$10*F$10)-1)*costos!$K$27)))</f>
        <v>106.39346573053547</v>
      </c>
      <c r="CW14" s="92">
        <f>CW$10*(1+((H14/H$10-1)*costos!$B$28+((I14*F14)/(I$10*F$10)-1)*costos!$E$28+((J14*F14)/((J$10*F$10)-1)*costos!$F$28/3+((K14*F14)/(K$10*F$10)-1)*costos!$F$28/3+((U14*F14)/(U$10*F$10)-1)*costos!$F$28/3+((L14*F14)/(L$10*F$10)-1)*costos!$G$28+((AS14)/(AS$10)-1)*costos!$J$28+((V14*F14)/(V$10*F$10)-1)*costos!$K$28)))</f>
        <v>106.39346573053547</v>
      </c>
      <c r="CX14" s="92">
        <f t="shared" si="63"/>
        <v>106.7137526314488</v>
      </c>
      <c r="CY14" s="92">
        <f>CY$10*(1+((H14/H$10-1)*costos!$B$32+((I14*F14)/(I$10*F$10)-1)*costos!$E$32+((J14*F14)/((J$10*F$10)-1)*costos!$F$32/3+((K14*F14)/(K$10*F$10)-1)*costos!$F$32/3+((U14*F14)/(U$10*F$10)-1)*costos!$F$32/3+((L14*F14)/(L$10*F$10)-1)*costos!$G$32+((AG14)/(AG$10)-1)*costos!$J$32+((V14*F14)/(V$10*F$10)-1)*costos!$K$32)))</f>
        <v>105.13876277204781</v>
      </c>
      <c r="CZ14" s="69">
        <f>CZ$10*(1+((H14/H$10-1)*costos!$B$31+((I14*F14)/(I$10*F$10)-1)*costos!$E$30+((J14*F14)/((J$10*F$10)-1)*costos!$F$30/3+((K14*F14)/(K$10*F$10)-1)*costos!$F$30/3+((U14*F14)/(U$10*F$10)-1)*costos!$F$30/3+((L14*F14)/(L$10*F$10)-1)*costos!$G$30+((BG14)/(BG$10)-1)*costos!$J$30+((V14*F14)/(V$10*F$10)-1)*costos!$K$30)))</f>
        <v>112.62898661526573</v>
      </c>
      <c r="DA14" s="69">
        <f>DA$10*(1+((H14/H$10-1)*costos!$B$31+((I14*F14)/(I$10*F$10)-1)*costos!$E$31+((J14*F14)/((J$10*F$10)-1)*costos!$F$31/3+((K14*F14)/(K$10*F$10)-1)*costos!$F$31/3+((U14*F14)/(U$10*F$10)-1)*costos!$F$31/3+((L14*F14)/(L$10*F$10)-1)*costos!$G$31+((BJ14)/(BJ$10)-1)*costos!$J$31+((V14*F14)/(V$10*F$10)-1)*costos!$K$31)))</f>
        <v>108.8470979151612</v>
      </c>
      <c r="DB14" s="69">
        <f>DB$10*(1+((H14/H$10-1)*costos!$B$36+((I14*F14)/(I$10*F$10)-1)*costos!$E$36+((J14*F14)/((J$10*F$10)-1)*costos!$F$36/3+((K14*F14)/(K$10*F$10)-1)*costos!$F$36/3+((U14*F14)/(U$10*F$10)-1)*costos!$F$36/3+((L14*F14)/(L$10*F$10)-1)*costos!$G$36+((BK14)/(BK$10)-1)*costos!$J$36+((V14*F14)/(V$10*F$10)-1)*costos!$K$36)))</f>
        <v>114.90852189916625</v>
      </c>
      <c r="DC14" s="69">
        <f>DC$10*(1+((H14/H$10-1)*costos!$B$37+((I14*F14)/(I$10*F$10)-1)*costos!$E$37+((U14*F14)/(U$10*F$10)-1)*costos!$F$37+((L14*F14)/(L$10*F$10)-1)*costos!$G$37+((BN14)/(BN$10)-1)*costos!$J$37+((V14*F14)/(V$10*F$10)-1)*costos!$K$37))</f>
        <v>113.95489113704032</v>
      </c>
      <c r="DD14" s="69">
        <f>DD$10*(1+((H14/H$10-1)*costos!$B$39+((I14*F14)/(I$10*F$10)-1)*costos!$E$39+((U14*F14)/(U$10*F$10)-1)*costos!$F$39+((L14*F14)/(L$10*F$10)-1)*costos!$G$39+((BR14)/(BR$10)-1)*costos!$J$39+((V14*F14)/(V$10*F$10)-1)*costos!$K$39))</f>
        <v>110.58015916749937</v>
      </c>
      <c r="DE14" s="69">
        <f>DD$10*(1+((H14/H$10-1)*costos!$B$35+((I14*F14)/(I$10*F$10)-1)*costos!$E$35+((U14*F14)/(U$10*F$10)-1)*costos!$F$35+((L14*F14)/(L$10*F$10)-1)*costos!$G$35+((BR14)/(BR$10)-1)*costos!$J$35+((V14*F14)/(V$10*F$10)-1)*costos!$K$35))</f>
        <v>109.03267550549994</v>
      </c>
      <c r="DF14" s="69">
        <f>DF$10*(1+((H14/H$10-1)*costos!$B$40+((I14*F14)/(I$10*F$10)-1)*costos!$E$40+((U14*F14)/(U$10*F$10)-1)*costos!$F$40+((L14*F14)/(L$10*F$10)-1)*costos!$G$40+((BP14)/(BP$10)-1)*costos!$J$40+((V14*F14)/(V$10*F$10)-1)*costos!$K$40))</f>
        <v>111.81153721698334</v>
      </c>
      <c r="DG14" s="92">
        <f t="shared" si="64"/>
        <v>110.42210636124165</v>
      </c>
      <c r="DH14" s="69">
        <f>DH$10*(1+((H14/H$10-1)*costos!$B$34+((I14*F14)/(I$10*F$10)-1)*costos!$E$34+((J14*F14)/((J$10*F$10)-1)*costos!$F$34/3+((K14*F14)/(K$10*F$10)-1)*costos!$F$34/3+((U14*F14)/(U$10*F$10)-1)*costos!$F$34/3+((L14*F14)/(L$10*F$10)-1)*costos!$G$34+((BV14)/(BV$10)-1)*costos!$J$34+((V14*F14)/(V$10*F$10)-1)*costos!$K$34)))</f>
        <v>108.23465826144054</v>
      </c>
      <c r="DI14" s="69">
        <f>DI$10*(1+((H14/H$10-1)*costos!$B$38+((I14*F14)/(I$10*F$10)-1)*costos!$E$38+((J14*F14)/((J$10*F$10)-1)*costos!$F$38/3+((K14*F14)/(K$10*F$10)-1)*costos!$F$38/3+((U14*F14)/(U$10*F$10)-1)*costos!$F$38/3+((L14*F14)/(L$10*F$10)-1)*costos!$G$38+((BU14)/(BU$10)-1)*costos!$J$38+((V14*F14)/(V$10*F$10)-1)*costos!$K$38)))</f>
        <v>105.65756305068797</v>
      </c>
      <c r="DK14" s="1">
        <v>405500</v>
      </c>
      <c r="DL14" s="1" t="s">
        <v>107</v>
      </c>
      <c r="DM14" s="82">
        <f t="shared" si="65"/>
        <v>214570</v>
      </c>
      <c r="DN14" s="82" t="str">
        <f t="shared" si="65"/>
        <v>2015-16</v>
      </c>
      <c r="DO14" s="82">
        <f t="shared" ref="DO14:DR16" si="117">+DO13</f>
        <v>1200000</v>
      </c>
      <c r="DP14" s="82" t="str">
        <f t="shared" si="117"/>
        <v>2015-16</v>
      </c>
      <c r="DQ14" s="82">
        <f t="shared" si="117"/>
        <v>1220000</v>
      </c>
      <c r="DR14" s="82" t="str">
        <f t="shared" si="117"/>
        <v>2015-16</v>
      </c>
      <c r="DS14" s="1">
        <v>3300000</v>
      </c>
      <c r="DT14" s="1" t="s">
        <v>107</v>
      </c>
      <c r="DU14" s="1">
        <v>20100000</v>
      </c>
      <c r="DV14" s="1" t="s">
        <v>107</v>
      </c>
      <c r="DW14" s="82">
        <f t="shared" si="99"/>
        <v>850000</v>
      </c>
      <c r="DX14" s="82" t="str">
        <f t="shared" si="99"/>
        <v>2015-16</v>
      </c>
      <c r="DY14" s="83">
        <v>6365000</v>
      </c>
      <c r="DZ14" s="1" t="s">
        <v>106</v>
      </c>
      <c r="EA14" s="79">
        <f t="shared" si="67"/>
        <v>33035000</v>
      </c>
      <c r="EB14" s="82">
        <f t="shared" si="68"/>
        <v>368438</v>
      </c>
      <c r="EC14" s="82" t="str">
        <f t="shared" si="69"/>
        <v>2015-16</v>
      </c>
      <c r="ED14" s="83">
        <f t="shared" si="70"/>
        <v>165327</v>
      </c>
      <c r="EE14" s="143">
        <f t="shared" si="70"/>
        <v>2016</v>
      </c>
      <c r="EF14" s="83">
        <f t="shared" si="70"/>
        <v>223944</v>
      </c>
      <c r="EG14" s="143">
        <f t="shared" si="70"/>
        <v>2016</v>
      </c>
      <c r="EH14" s="83">
        <f t="shared" si="71"/>
        <v>53117706</v>
      </c>
      <c r="EI14" s="143">
        <v>2016</v>
      </c>
      <c r="EJ14" s="83">
        <v>5119438</v>
      </c>
      <c r="EK14" s="143">
        <v>2016</v>
      </c>
      <c r="EL14" s="1">
        <v>14864321</v>
      </c>
      <c r="EM14" s="6">
        <v>2016</v>
      </c>
      <c r="EN14" s="1">
        <v>3499621</v>
      </c>
      <c r="EO14" s="6">
        <v>2016</v>
      </c>
      <c r="EP14" s="82">
        <f t="shared" ref="EP14:EQ51" si="118">+EP13</f>
        <v>6552</v>
      </c>
      <c r="EQ14" s="83">
        <f t="shared" si="100"/>
        <v>3008956</v>
      </c>
      <c r="ER14" s="1">
        <v>32755</v>
      </c>
      <c r="ES14" s="1"/>
      <c r="ET14" s="83">
        <f t="shared" si="101"/>
        <v>24000</v>
      </c>
      <c r="EU14" s="83">
        <f t="shared" si="101"/>
        <v>16752</v>
      </c>
      <c r="EV14" s="83">
        <f t="shared" si="101"/>
        <v>9500</v>
      </c>
      <c r="EW14" s="83">
        <f t="shared" si="101"/>
        <v>17994</v>
      </c>
      <c r="EX14" s="79">
        <f t="shared" si="72"/>
        <v>68246</v>
      </c>
      <c r="EY14" s="1">
        <v>19129</v>
      </c>
      <c r="EZ14" s="82">
        <f t="shared" si="102"/>
        <v>75500</v>
      </c>
      <c r="FA14" s="1">
        <f t="shared" si="103"/>
        <v>22169</v>
      </c>
      <c r="FB14" s="1">
        <f t="shared" si="103"/>
        <v>20495</v>
      </c>
      <c r="FC14" s="79">
        <f t="shared" si="73"/>
        <v>42664</v>
      </c>
      <c r="FD14" s="1">
        <f t="shared" si="104"/>
        <v>43815</v>
      </c>
      <c r="FE14" s="1"/>
      <c r="FF14" s="82">
        <v>708193</v>
      </c>
      <c r="FG14" s="82" t="str">
        <f t="shared" si="47"/>
        <v>2015-16</v>
      </c>
      <c r="FH14" s="82">
        <f t="shared" si="74"/>
        <v>1558100</v>
      </c>
      <c r="FI14" s="82" t="str">
        <f t="shared" si="74"/>
        <v>2014-15</v>
      </c>
      <c r="FJ14" s="82">
        <f t="shared" si="112"/>
        <v>4300000</v>
      </c>
      <c r="FK14" s="82" t="str">
        <f t="shared" si="112"/>
        <v>2015-16</v>
      </c>
      <c r="FL14" s="82">
        <f t="shared" si="112"/>
        <v>2450000</v>
      </c>
      <c r="FM14" s="82" t="str">
        <f t="shared" si="112"/>
        <v>2015-16</v>
      </c>
      <c r="FN14" s="1">
        <v>25000000</v>
      </c>
      <c r="FO14" s="1" t="s">
        <v>107</v>
      </c>
      <c r="FP14" s="1">
        <v>56000000</v>
      </c>
      <c r="FQ14" s="1" t="s">
        <v>107</v>
      </c>
      <c r="FR14" s="82">
        <f t="shared" si="48"/>
        <v>3500000</v>
      </c>
      <c r="FS14" s="82" t="str">
        <f t="shared" si="48"/>
        <v>2015-16</v>
      </c>
      <c r="FT14" s="83">
        <f t="shared" si="75"/>
        <v>11315000</v>
      </c>
      <c r="FU14" s="83" t="str">
        <f t="shared" si="75"/>
        <v>2015-16</v>
      </c>
      <c r="FV14" s="79">
        <f t="shared" si="76"/>
        <v>102565000</v>
      </c>
      <c r="FW14" s="82">
        <f t="shared" si="77"/>
        <v>1010777</v>
      </c>
      <c r="FX14" s="82" t="str">
        <f t="shared" si="77"/>
        <v>2014-15</v>
      </c>
      <c r="FY14" s="83">
        <v>135832.02900000001</v>
      </c>
      <c r="FZ14" s="79"/>
      <c r="GA14" s="79"/>
      <c r="GB14" s="1">
        <v>17584178</v>
      </c>
      <c r="GC14" s="6">
        <v>2016</v>
      </c>
      <c r="GD14" s="1">
        <f t="shared" si="105"/>
        <v>1678337</v>
      </c>
      <c r="GE14" s="1">
        <v>468278</v>
      </c>
      <c r="GF14" s="1">
        <v>1032446</v>
      </c>
      <c r="GG14" s="1">
        <f t="shared" si="106"/>
        <v>102259</v>
      </c>
      <c r="GH14" s="79">
        <f t="shared" si="78"/>
        <v>1602983</v>
      </c>
      <c r="GI14" s="82">
        <f t="shared" si="79"/>
        <v>1302556</v>
      </c>
      <c r="GJ14" s="1">
        <f t="shared" si="80"/>
        <v>600000</v>
      </c>
      <c r="GK14" s="1">
        <f t="shared" si="80"/>
        <v>998555</v>
      </c>
      <c r="GL14" s="1">
        <f t="shared" si="80"/>
        <v>302000</v>
      </c>
      <c r="GM14" s="1">
        <f t="shared" si="80"/>
        <v>266553.90000000002</v>
      </c>
      <c r="GN14" s="79">
        <f t="shared" si="81"/>
        <v>2167108.9</v>
      </c>
      <c r="GO14" s="83">
        <f t="shared" si="107"/>
        <v>191984</v>
      </c>
      <c r="GP14" s="1">
        <f t="shared" si="82"/>
        <v>68123</v>
      </c>
      <c r="GQ14" s="1"/>
      <c r="GR14" s="1">
        <v>42700</v>
      </c>
      <c r="GS14" s="79">
        <f t="shared" si="83"/>
        <v>42700</v>
      </c>
      <c r="GT14" s="83">
        <f t="shared" si="108"/>
        <v>2430866</v>
      </c>
      <c r="GU14" s="1">
        <f t="shared" si="84"/>
        <v>50951.583333333336</v>
      </c>
      <c r="GV14" s="1">
        <f t="shared" si="85"/>
        <v>51463.083333333336</v>
      </c>
      <c r="GW14" s="79">
        <f t="shared" si="49"/>
        <v>1228976</v>
      </c>
      <c r="GX14" s="83">
        <v>30955.772000000001</v>
      </c>
      <c r="GY14" s="83" t="s">
        <v>329</v>
      </c>
      <c r="GZ14" s="83">
        <f t="shared" si="109"/>
        <v>93671</v>
      </c>
      <c r="HA14" s="1">
        <v>222000</v>
      </c>
      <c r="HB14" s="79"/>
      <c r="HC14" s="79"/>
      <c r="HD14" s="1">
        <v>47666</v>
      </c>
      <c r="HE14" s="79"/>
      <c r="HF14" s="79"/>
      <c r="HG14" s="1">
        <v>175000</v>
      </c>
      <c r="HH14" s="79"/>
      <c r="HI14" s="79"/>
      <c r="HJ14" s="1"/>
      <c r="HK14" s="79"/>
      <c r="HL14" s="79"/>
      <c r="HM14" s="79">
        <f t="shared" si="86"/>
        <v>0</v>
      </c>
      <c r="HN14" s="69"/>
      <c r="HO14" s="1">
        <v>783400000</v>
      </c>
      <c r="HP14" s="79"/>
      <c r="HQ14" s="79"/>
      <c r="HR14" s="1"/>
      <c r="HS14" s="1"/>
      <c r="HT14" s="1"/>
      <c r="HU14" s="83">
        <f t="shared" ref="HU14:HW23" si="119">+HU13</f>
        <v>650000</v>
      </c>
      <c r="HV14" s="83" t="str">
        <f t="shared" si="119"/>
        <v>2015-16</v>
      </c>
      <c r="HW14" s="1">
        <f t="shared" si="119"/>
        <v>2000000</v>
      </c>
      <c r="HX14" s="1" t="s">
        <v>107</v>
      </c>
      <c r="HY14" s="1">
        <v>2950000</v>
      </c>
      <c r="HZ14" s="1" t="s">
        <v>107</v>
      </c>
      <c r="IA14" s="1">
        <f t="shared" si="113"/>
        <v>17210000</v>
      </c>
      <c r="IB14" s="1" t="str">
        <f t="shared" si="114"/>
        <v>2015-16</v>
      </c>
      <c r="IC14" s="1">
        <v>50000000</v>
      </c>
      <c r="ID14" s="1" t="s">
        <v>107</v>
      </c>
      <c r="IE14" s="1">
        <f t="shared" si="115"/>
        <v>2600000</v>
      </c>
      <c r="IF14" s="1" t="s">
        <v>107</v>
      </c>
      <c r="IG14" s="1"/>
      <c r="IH14" s="1"/>
      <c r="II14" s="79">
        <f t="shared" si="87"/>
        <v>74760000</v>
      </c>
      <c r="IJ14" s="97">
        <f t="shared" si="110"/>
        <v>1.6218070029006586</v>
      </c>
      <c r="IK14" s="1" t="s">
        <v>107</v>
      </c>
      <c r="IL14" s="7">
        <v>44.28</v>
      </c>
      <c r="IM14" s="7">
        <v>55.254579893398535</v>
      </c>
      <c r="IN14" s="7">
        <v>201</v>
      </c>
      <c r="IO14" s="695">
        <f>+IO26*(1-0.1122)</f>
        <v>13.361390000000002</v>
      </c>
      <c r="IP14" s="98">
        <f t="shared" si="88"/>
        <v>5.7844457536132143</v>
      </c>
      <c r="IQ14" s="93">
        <v>21.6</v>
      </c>
      <c r="IR14" s="93">
        <f t="shared" si="111"/>
        <v>2.2000000000000002</v>
      </c>
      <c r="IS14" s="93">
        <f t="shared" si="111"/>
        <v>5.59</v>
      </c>
      <c r="IT14" s="93">
        <f t="shared" si="111"/>
        <v>13.55</v>
      </c>
      <c r="IU14" s="93">
        <f t="shared" si="111"/>
        <v>1.07</v>
      </c>
      <c r="IV14" s="94">
        <f t="shared" si="89"/>
        <v>20.21</v>
      </c>
      <c r="IW14" s="84"/>
      <c r="IX14" s="84"/>
      <c r="IY14" s="105">
        <v>1.84</v>
      </c>
      <c r="IZ14" s="161">
        <v>0.3</v>
      </c>
      <c r="JA14" s="161"/>
      <c r="JB14" s="84">
        <v>38.770000000000003</v>
      </c>
      <c r="JC14" s="84"/>
      <c r="JD14" s="84"/>
      <c r="JF14" s="2">
        <v>4.9694531099999999</v>
      </c>
      <c r="JG14" s="2">
        <v>20.814716799999999</v>
      </c>
      <c r="JH14" s="2">
        <v>38.64508764</v>
      </c>
      <c r="JI14" s="2">
        <v>132.37866072000003</v>
      </c>
      <c r="JJ14" s="2">
        <v>275.06765692999994</v>
      </c>
      <c r="JK14" s="2">
        <v>85.386956919999989</v>
      </c>
      <c r="JL14" s="2">
        <v>2126.22893643</v>
      </c>
      <c r="JM14" s="2">
        <v>3.5373299999999999</v>
      </c>
      <c r="JN14" s="2">
        <v>178.87739318999999</v>
      </c>
      <c r="JO14" s="2">
        <v>22.575870549999998</v>
      </c>
      <c r="JP14" s="2">
        <v>0</v>
      </c>
      <c r="JQ14" s="2">
        <v>5.8804100000000004</v>
      </c>
      <c r="JR14" s="2">
        <v>0.81494208999999995</v>
      </c>
      <c r="JS14" s="2">
        <v>0</v>
      </c>
      <c r="JT14" s="2">
        <v>6.1747499999999997E-2</v>
      </c>
      <c r="JU14" s="2">
        <v>91.37792515999999</v>
      </c>
      <c r="JV14" s="2">
        <v>25.403557850000002</v>
      </c>
      <c r="JW14" s="2">
        <v>31.431608219999994</v>
      </c>
      <c r="JX14" s="2">
        <v>64.192759930000022</v>
      </c>
      <c r="JY14" s="2">
        <v>7.5028074800000004</v>
      </c>
      <c r="JZ14" s="2">
        <v>0.36012559000000005</v>
      </c>
      <c r="KA14" s="2">
        <v>0.16929759999999999</v>
      </c>
      <c r="KB14" s="2">
        <v>15.503591099999998</v>
      </c>
      <c r="KC14" s="2">
        <v>23.728809649999995</v>
      </c>
      <c r="KD14" s="2">
        <v>4.0691408399999993</v>
      </c>
      <c r="KE14" s="2">
        <v>19.002700079999997</v>
      </c>
      <c r="KF14" s="2">
        <v>21.805602919999995</v>
      </c>
      <c r="KG14" s="2">
        <v>161.77572763999999</v>
      </c>
      <c r="KH14" s="2">
        <v>51.950748819999987</v>
      </c>
      <c r="KI14" s="2">
        <v>25.20295883</v>
      </c>
      <c r="KJ14" s="2">
        <v>0.85595342000000008</v>
      </c>
      <c r="KK14" s="2">
        <v>10.74739125</v>
      </c>
      <c r="KL14" s="2">
        <v>0.62720520000000002</v>
      </c>
      <c r="KM14" s="2">
        <v>0.28464434</v>
      </c>
      <c r="KN14" s="2">
        <v>2.870638E-2</v>
      </c>
      <c r="KO14" s="2">
        <v>9.2111799999999994E-2</v>
      </c>
      <c r="KP14" s="2">
        <v>2.253E-4</v>
      </c>
      <c r="KQ14" s="2">
        <v>49.892510719999997</v>
      </c>
      <c r="KR14" s="2">
        <v>0</v>
      </c>
      <c r="KS14" s="2">
        <v>0.10806641</v>
      </c>
      <c r="KT14" s="2">
        <v>2.5416901600000004</v>
      </c>
      <c r="KU14" s="2">
        <v>7.8736039999999993E-2</v>
      </c>
      <c r="KV14" s="2">
        <v>0</v>
      </c>
      <c r="KW14" s="2">
        <v>2.3257372700000003</v>
      </c>
      <c r="KX14" s="2">
        <v>0</v>
      </c>
      <c r="KY14" s="2">
        <v>0</v>
      </c>
      <c r="KZ14" s="2">
        <v>0.31319501</v>
      </c>
      <c r="LA14" s="2">
        <v>0.76263270000000005</v>
      </c>
      <c r="LB14" s="2">
        <v>0.11561977000000001</v>
      </c>
      <c r="LC14" s="2">
        <v>2.0152110000000001E-2</v>
      </c>
      <c r="LD14" s="2">
        <v>0</v>
      </c>
      <c r="LE14" s="2">
        <v>0.79644693999999994</v>
      </c>
      <c r="LF14" s="2">
        <v>6.102059E-2</v>
      </c>
      <c r="LG14" s="2">
        <v>22.036629630000004</v>
      </c>
      <c r="LH14" s="2">
        <v>3.6768185800000004</v>
      </c>
      <c r="LI14" s="2">
        <v>1.5355899999999999E-3</v>
      </c>
      <c r="LJ14" s="2">
        <v>8.2971399999999997E-3</v>
      </c>
      <c r="LK14" s="2">
        <v>4.1286834199999998</v>
      </c>
      <c r="LL14" s="2">
        <v>4.3358348900000001</v>
      </c>
      <c r="LM14" s="2">
        <v>1.00660135</v>
      </c>
      <c r="LN14" s="2">
        <v>0.40600354999999994</v>
      </c>
      <c r="LO14" s="2">
        <v>4.2469018400000005</v>
      </c>
      <c r="LQ14" s="85">
        <f t="shared" si="90"/>
        <v>2754.7350649099999</v>
      </c>
      <c r="LR14" s="85">
        <f t="shared" si="91"/>
        <v>6.7570995900000002</v>
      </c>
      <c r="LS14" s="85">
        <f t="shared" si="92"/>
        <v>56.83516607</v>
      </c>
      <c r="LT14" s="85">
        <f t="shared" si="93"/>
        <v>8.0322306700000006</v>
      </c>
      <c r="LU14" s="85">
        <f t="shared" si="94"/>
        <v>50.406039649999997</v>
      </c>
      <c r="LV14" s="85">
        <f t="shared" si="95"/>
        <v>2.3257372700000003</v>
      </c>
      <c r="LW14" s="85">
        <f t="shared" si="96"/>
        <v>0.87825247000000006</v>
      </c>
      <c r="LX14" s="85">
        <f t="shared" si="97"/>
        <v>0.85746752999999998</v>
      </c>
      <c r="LZ14" s="131"/>
      <c r="MA14" s="171">
        <v>16.32</v>
      </c>
      <c r="MB14"/>
      <c r="MC14"/>
      <c r="MD14"/>
      <c r="MF14"/>
      <c r="MG14"/>
      <c r="MH14" s="83">
        <v>30.85</v>
      </c>
      <c r="MI14" s="83">
        <v>8.67</v>
      </c>
      <c r="MJ14" s="83">
        <v>9.44</v>
      </c>
      <c r="MK14"/>
      <c r="ML14" s="83">
        <v>13.82</v>
      </c>
      <c r="MM14" s="83">
        <v>27.53</v>
      </c>
      <c r="MN14" s="83"/>
      <c r="MO14" s="83">
        <v>13.45</v>
      </c>
      <c r="MP14" s="83">
        <v>20.61</v>
      </c>
      <c r="MQ14" s="83">
        <v>25.74</v>
      </c>
      <c r="MR14"/>
      <c r="MT14"/>
      <c r="MU14" s="171">
        <v>14.94</v>
      </c>
      <c r="MV14"/>
      <c r="MW14"/>
      <c r="MX14"/>
      <c r="MY14" s="83">
        <v>26.6</v>
      </c>
      <c r="MZ14" s="131"/>
      <c r="NA14" s="83">
        <v>33.04</v>
      </c>
      <c r="NB14" s="83">
        <v>106.67</v>
      </c>
      <c r="NC14" s="83">
        <v>15.65</v>
      </c>
      <c r="ND14"/>
      <c r="NE14" s="1">
        <v>84.98</v>
      </c>
    </row>
    <row r="15" spans="1:369">
      <c r="A15" s="38">
        <f t="shared" si="32"/>
        <v>42522</v>
      </c>
      <c r="B15" s="36">
        <v>6</v>
      </c>
      <c r="C15" s="36">
        <v>2016</v>
      </c>
      <c r="D15" s="36">
        <f t="shared" si="50"/>
        <v>15</v>
      </c>
      <c r="E15" s="38">
        <f t="shared" si="33"/>
        <v>42522</v>
      </c>
      <c r="F15" s="7">
        <v>14.361363636363636</v>
      </c>
      <c r="G15" s="7">
        <v>90.088282504012838</v>
      </c>
      <c r="H15" s="1">
        <v>7680</v>
      </c>
      <c r="I15" s="7">
        <v>113</v>
      </c>
      <c r="J15" s="7">
        <v>350</v>
      </c>
      <c r="K15" s="7">
        <v>3.4</v>
      </c>
      <c r="L15" s="7">
        <v>36.5</v>
      </c>
      <c r="N15" s="5">
        <v>1.2732105263157893</v>
      </c>
      <c r="O15" s="5">
        <v>1.1182105263157893</v>
      </c>
      <c r="P15" s="78">
        <f t="shared" si="34"/>
        <v>17.172033672248801</v>
      </c>
      <c r="Q15" s="6">
        <v>275</v>
      </c>
      <c r="R15" s="79">
        <f t="shared" si="35"/>
        <v>2750</v>
      </c>
      <c r="S15" s="6">
        <v>133.94999999999999</v>
      </c>
      <c r="T15" s="6">
        <v>332.7</v>
      </c>
      <c r="U15" s="143">
        <v>170.52500000000001</v>
      </c>
      <c r="V15" s="6">
        <v>277.86</v>
      </c>
      <c r="W15" s="6">
        <v>161.44999999999999</v>
      </c>
      <c r="X15" s="6">
        <v>187.75</v>
      </c>
      <c r="Y15" s="79">
        <f t="shared" si="36"/>
        <v>1923.704659090909</v>
      </c>
      <c r="Z15" s="79">
        <f t="shared" si="37"/>
        <v>4778.0256818181815</v>
      </c>
      <c r="AA15" s="79">
        <f t="shared" si="38"/>
        <v>2448.9715340909092</v>
      </c>
      <c r="AB15" s="79">
        <f t="shared" si="39"/>
        <v>3990.4485</v>
      </c>
      <c r="AC15" s="79">
        <f t="shared" si="40"/>
        <v>2318.642159090909</v>
      </c>
      <c r="AD15" s="79">
        <f t="shared" si="41"/>
        <v>2696.3460227272726</v>
      </c>
      <c r="AE15" s="79">
        <f t="shared" si="42"/>
        <v>3026.0230928030301</v>
      </c>
      <c r="AF15" s="1">
        <v>8168.15</v>
      </c>
      <c r="AG15" s="1">
        <v>4803</v>
      </c>
      <c r="AH15" s="1">
        <v>18031</v>
      </c>
      <c r="AI15" s="5">
        <v>7.23</v>
      </c>
      <c r="AJ15" s="5">
        <v>5.92</v>
      </c>
      <c r="AK15" s="5">
        <v>3.09</v>
      </c>
      <c r="AL15" s="5">
        <v>3.22</v>
      </c>
      <c r="AM15" s="78">
        <f t="shared" si="43"/>
        <v>5.1388000000000007</v>
      </c>
      <c r="AN15" s="5">
        <v>241.5</v>
      </c>
      <c r="AO15" s="80">
        <f t="shared" si="51"/>
        <v>144.9</v>
      </c>
      <c r="AP15" s="78">
        <f t="shared" si="44"/>
        <v>193.2</v>
      </c>
      <c r="AQ15" s="5">
        <v>118.8</v>
      </c>
      <c r="AR15" s="5">
        <v>110</v>
      </c>
      <c r="AS15" s="5">
        <v>84.950000000000017</v>
      </c>
      <c r="AT15" s="80">
        <f t="shared" si="52"/>
        <v>118.8</v>
      </c>
      <c r="AU15" s="78">
        <f t="shared" si="53"/>
        <v>104.58333333333333</v>
      </c>
      <c r="AV15">
        <v>104.80000000000001</v>
      </c>
      <c r="AW15" s="80">
        <f t="shared" si="54"/>
        <v>335.36000000000007</v>
      </c>
      <c r="AX15">
        <v>142.6</v>
      </c>
      <c r="AY15" s="7">
        <v>313.2</v>
      </c>
      <c r="AZ15" s="7">
        <v>181.79999999999998</v>
      </c>
      <c r="BA15" s="7">
        <v>89.4</v>
      </c>
      <c r="BB15" s="94">
        <f t="shared" si="45"/>
        <v>195.5</v>
      </c>
      <c r="BC15" s="68">
        <f>+BC14</f>
        <v>562</v>
      </c>
      <c r="BD15" s="68">
        <f t="shared" si="116"/>
        <v>684</v>
      </c>
      <c r="BE15" s="7">
        <f t="shared" si="55"/>
        <v>610</v>
      </c>
      <c r="BF15" s="7">
        <f t="shared" si="55"/>
        <v>410</v>
      </c>
      <c r="BG15" s="94">
        <f t="shared" si="56"/>
        <v>566.5</v>
      </c>
      <c r="BH15" s="7">
        <v>37.549999999999997</v>
      </c>
      <c r="BI15" s="7">
        <f t="shared" si="98"/>
        <v>12.364000000000001</v>
      </c>
      <c r="BJ15" s="78">
        <f t="shared" si="57"/>
        <v>49.914000000000001</v>
      </c>
      <c r="BK15" s="7">
        <v>30.954999999999998</v>
      </c>
      <c r="BL15" s="7">
        <v>31.456</v>
      </c>
      <c r="BM15" s="94">
        <f t="shared" si="58"/>
        <v>31.205500000000001</v>
      </c>
      <c r="BN15" s="5">
        <v>4.1210000000000004</v>
      </c>
      <c r="BO15" s="105">
        <v>18.190909090909091</v>
      </c>
      <c r="BP15" s="80">
        <v>12.504166666666665</v>
      </c>
      <c r="BQ15" s="94">
        <f t="shared" si="59"/>
        <v>17.622234848484847</v>
      </c>
      <c r="BR15" s="7">
        <v>13.94</v>
      </c>
      <c r="BS15" s="7">
        <v>59</v>
      </c>
      <c r="BT15" s="7">
        <v>44.37</v>
      </c>
      <c r="BU15" s="79">
        <f t="shared" si="46"/>
        <v>841.11</v>
      </c>
      <c r="BV15" s="97">
        <v>20.2</v>
      </c>
      <c r="BW15" s="95"/>
      <c r="BY15" s="92">
        <f>BY$10*(1+((H15/H$10-1)*costos!$B$5+((I15*F15)/(I$10*F$10)-1)*costos!$E$5+((J15*F15)/((J$10*F$10)-1)*costos!$F$5/3+((K15*F15)/(K$10*F$10)-1)*costos!$F$5/3+((U15*F15)/(U$10*F$10)-1)*costos!$F$5/3+((L15*F15)/(L$10*F$10)-1)*costos!$G$5+((N15*F15)/(N$10*F$10)-1)*costos!$J$5+((V15*F15)/(V$10*F$10)-1)*costos!$K$5)))</f>
        <v>118.31778094325828</v>
      </c>
      <c r="BZ15" s="92">
        <f>$BZ$10*(1+((H15/$H$10-1)*costos!$B$6+((I15*F15)/($I$10*$F$10)-1)*costos!$E$6+((J15*F15)/(($J$10*$F$10)-1)*costos!$F$6/3+((K15*F15)/($K$10*$F$10)-1)*costos!$F$6/3+((U15*F15)/($U$10*$F$10)-1)*costos!$F$6/3+((L15*F15)/($L$10*$F$10)-1)*costos!$G$6+((Q15*F15)/($Q$10*$F$10)-1)*costos!$J$6+((V15*F15)/($V$10*$F$10)-1)*costos!$K$6)))</f>
        <v>122.95849197394062</v>
      </c>
      <c r="CA15" s="92">
        <f>CA$10*(1+((H15/H$10-1)*costos!$B$7+((I15*F15)/(I$10*F$10)-1)*costos!$E$7+((J15*F15)/((J$10*F$10)-1)*costos!$F$7/3+((K15*F15)/(K$10*F$10)-1)*costos!$F$7/3+((U15*F15)/(U$10*F$10)-1)*costos!$F$7/3+((L15*F15)/(L$10*F$10)-1)*costos!$G$7+((S15*F15)/(S$10*F$10)-1)*costos!$J$7+((V15*F15)/(V$10*F$10)-1)*costos!$K$7)))</f>
        <v>119.5577344485621</v>
      </c>
      <c r="CB15" s="92">
        <f>CB$10*(1+((H15/H$10-1)*costos!$B$8+((I15*F15)/(I$10*F$10)-1)*costos!$E$8+((J15*F15)/((J$10*F$10)-1)*costos!$F$8/3+((K15*F15)/(K$10*F$10)-1)*costos!$F$8/3+((U15*F15)/(U$10*F$10)-1)*costos!$F$8/3+((L15*F15)/(L$10*F$10)-1)*costos!$G$8+((T15*F15)/(T$10*F$10)-1)*costos!$J$8+((V15*F15)/(V$10*F$10)-1)*costos!$K$8)))</f>
        <v>126.1477798068769</v>
      </c>
      <c r="CC15" s="92">
        <f>CC$10*(1+((H15/H$10-1)*costos!$B$9+((I15*F15)/(I$10*F$10)-1)*costos!$E$9+((J15*F15)/((J$10*F$10)-1)*costos!$F$9/3+((K15*F15)/(K$10*F$10)-1)*costos!$F$9/3+((U15*F15)/(U$10*F$10)-1)*costos!$F$9/3+((L15*F15)/(L$10*F$10)-1)*costos!$G$9+((U15*F15)/(U$10*F$10)-1)*costos!$J$9+((V15*F15)/(V$10*F$10)-1)*costos!$K$9)))</f>
        <v>124.51222420539096</v>
      </c>
      <c r="CD15" s="92">
        <f>CD$10*(1+((H15/H$10-1)*costos!$B$11+((I15*F15)/(I$10*F$10)-1)*costos!$E$11+((J15*F15)/((J$10*F$10)-1)*costos!$F$11/3+((K15*F15)/(K$10*F$10)-1)*costos!$F$11/3+((U15*F15)/(U$10*F$10)-1)*costos!$F$11/3+((L15*F15)/(L$10*F$10)-1)*costos!$G$11+((V15*F15)/(V$10*F$10)-1)*costos!$J$11+((V15*F15)/(V$10*F$10)-1)*costos!$K$11)))</f>
        <v>125.30777350182886</v>
      </c>
      <c r="CE15" s="92">
        <f>CE$10*(1+((H15/H$10-1)*costos!$B$12+((I15*F15)/(I$10*F$10)-1)*costos!$E$12+((J15*F15)/((J$10*F$10)-1)*costos!$F$12/3+((K15*F15)/(K$10*F$10)-1)*costos!$F$12/3+((U15*F15)/(U$10*F$10)-1)*costos!$F$12/3+((L15*F15)/(L$10*F$10)-1)*costos!$G$12+((W15*F15)/(W$10*F$10)-1)*costos!$J$12+((V15*F15)/(V$10*F$10)-1)*costos!$K$12)))</f>
        <v>122.57154968194767</v>
      </c>
      <c r="CF15" s="92">
        <f>CF$10*(1+((H15/H$10-1)*costos!$B$13+((I15*F15)/(I$10*F$10)-1)*costos!$E$13+((J15*F15)/((J$10*F$10)-1)*costos!$F$13/3+((K15*F15)/(K$10*F$10)-1)*costos!$F$13/3+((U15*F15)/(U$10*F$10)-1)*costos!$F$13/3+((L15*F15)/(L$10*F$10)-1)*costos!$G$13+((X15*F15)/(X$10*F$10)-1)*costos!$J$13+((V15*F15)/(V$10*F$10)-1)*costos!$K$13)))</f>
        <v>128.5151752411966</v>
      </c>
      <c r="CG15" s="92">
        <f t="shared" si="60"/>
        <v>124.43537281430054</v>
      </c>
      <c r="CH15" s="92">
        <f>CH$10*(1+((H15/H$10-1)*costos!$B$10+((I15*F15)/(I$10*F$10)-1)*costos!$E$10+((J15*F15)/((J$10*F$10)-1)*costos!$F$10/3+((K15*F15)/(K$10*F$10)-1)*costos!$F$10/3+((U15*F15)/(U$10*F$10)-1)*costos!$F$10/3+((L15*F15)/(L$10*F$10)-1)*costos!$G$10+((AF15)/(AF$10)-1)*costos!$J$10+((V15*F15)/(V$10*F$10)-1)*costos!$K$10)))</f>
        <v>124.87640556473572</v>
      </c>
      <c r="CI15" s="92">
        <f>CI$10*(1+((H15/H$10-1)*costos!$B$15+((I15*F15)/(I$10*F$10)-1)*costos!$E$15+((J15*F15)/((J$10*F$10)-1)*costos!$F$15/3+((K15*F15)/(K$10*F$10)-1)*costos!$F$15/3+((U15*F15)/(U$10*F$10)-1)*costos!$F$15/3+((L15*F15)/(L$10*F$10)-1)*costos!$G$15+((AV15)/(AV$10)-1)*costos!$J$15+((V15*F15)/(V$10*F$10)-1)*costos!$K$15)))</f>
        <v>128.43202848536032</v>
      </c>
      <c r="CJ15" s="92">
        <f>CJ$10*(1+((H15/H$10-1)*costos!$B$16+((I15*F15)/(I$10*F$10)-1)*costos!$E$16+((J15*F15)/((J$10*F$10)-1)*costos!$F$16/3+((K15*F15)/(K$10*F$10)-1)*costos!$F$16/3+((U15*F15)/(U$10*F$10)-1)*costos!$F$16/3+((L15*F15)/(L$10*F$10)-1)*costos!$G$16+((AW15)/(AW$10)-1)*costos!$J$16+((V15*F15)/(V$10*F$10)-1)*costos!$K$16)))</f>
        <v>119.85803568401509</v>
      </c>
      <c r="CK15" s="92">
        <f>CK$10*(1+((H15/H$10-1)*costos!$B$17+((I15*F15)/(I$10*F$10)-1)*costos!$E$17+((J15*F15)/((J$10*F$10)-1)*costos!$F$17/3+((K15*F15)/(K$10*F$10)-1)*costos!$F$17/3+((U15*F15)/(U$10*F$10)-1)*costos!$F$17/3+((L15*F15)/(L$10*F$10)-1)*costos!$G$17+((AX15)/(AX$10)-1)*costos!$J$17+((V15*F15)/(V$10*F$10)-1)*costos!$K$17)))</f>
        <v>132.71909169761324</v>
      </c>
      <c r="CL15" s="92">
        <f>CL$10*(1+((H15/H$10-1)*costos!$B$18+((I15*F15)/(I$10*F$10)-1)*costos!$E$18+((J15*F15)/((J$10*F$10)-1)*costos!$F$18/3+((K15*F15)/(K$10*F$10)-1)*costos!$F$18/3+((U15*F15)/(U$10*F$10)-1)*costos!$F$18/3+((L15*F15)/(L$10*F$10)-1)*costos!$G$18+((AY15)/(AY$10)-1)*costos!$J$18+((V15*F15)/(V$10*F$10)-1)*costos!$K$18)))</f>
        <v>166.48452953342709</v>
      </c>
      <c r="CM15" s="92">
        <f>CM$10*(1+((H15/H$10-1)*costos!$B$19+((I15*F15)/(I$10*F$10)-1)*costos!$E$19+((J15*F15)/((J$10*F$10)-1)*costos!$F$19/3+((K15*F15)/(K$10*F$10)-1)*costos!$F$19/3+((U15*F15)/(U$10*F$10)-1)*costos!$F$19/3+((L15*F15)/(L$10*F$10)-1)*costos!$G$19+((AZ15)/(AZ$10)-1)*costos!$J$19+((V15*F15)/(V$10*F$10)-1)*costos!$K$19)))</f>
        <v>126.05931044133196</v>
      </c>
      <c r="CN15" s="92">
        <f>CN$10*(1+((H15/H$10-1)*costos!$B$20+((I15*F15)/(I$10*F$10)-1)*costos!$E$20+((J15*F15)/((J$10*F$10)-1)*costos!$F$20/3+((K15*F15)/(K$10*F$10)-1)*costos!$F$20/3+((U15*F15)/(U$10*F$10)-1)*costos!$F$20/3+((L15*F15)/(L$10*F$10)-1)*costos!$G$20+((BA15)/(BA$10)-1)*costos!$J$20+((V15*F15)/(V$10*F$10)-1)*costos!$K$20)))</f>
        <v>111.39051028238205</v>
      </c>
      <c r="CO15" s="92">
        <f t="shared" si="61"/>
        <v>134.16336048868857</v>
      </c>
      <c r="CP15" s="92">
        <f>CP$10*(1+((H15/H$10-1)*costos!$B$22+((I15*F15)/(I$10*F$10)-1)*costos!$E$22+((J15*F15)/((J$10*F$10)-1)*costos!$F$22/3+((K15*F15)/(K$10*F$10)-1)*costos!$F$22/3+((U15*F15)/(U$10*F$10)-1)*costos!$F$22/3+((L15*F15)/(L$10*F$10)-1)*costos!$G$22+(((AVERAGE(AI15:AL15))/((AVERAGE(AI$10:AL$10))-1)*costos!$J$22+((V15*F15)/(V$10*F$10)-1)*costos!$K$22)))))</f>
        <v>142.24720075777427</v>
      </c>
      <c r="CQ15" s="92">
        <f>CQ$10*(1+((H15/H$10-1)*costos!$B$23+((I15*F15)/(I$10*F$10)-1)*costos!$E$23+((J15*F15)/((J$10*F$10)-1)*costos!$F$23/3+((K15*F15)/(K$10*F$10)-1)*costos!$F$23/3+((U15*F15)/(U$10*F$10)-1)*costos!$F$23/3+((L15*F15)/(L$10*F$10)-1)*costos!$G$23+((AN15)/(AN$10)-1)*costos!$J$23+((V15*F15)/(V$10*F$10)-1)*costos!$K$23)))</f>
        <v>107.24375028569324</v>
      </c>
      <c r="CR15" s="92">
        <f>CR$10*(1+((H15/H$10-1)*costos!$B$24+((I15*F15)/(I$10*F$10)-1)*costos!$E$24+((J15*F15)/((J$10*F$10)-1)*costos!$F$24/3+((K15*F15)/(K$10*F$10)-1)*costos!$F$24/3+((U15*F15)/(U$10*F$10)-1)*costos!$F$24/3+((L15*F15)/(L$10*F$10)-1)*costos!$G$24+((AO15)/(AO$10)-1)*costos!$J$24+((V15*F15)/(V$10*F$10)-1)*costos!$K$24)))</f>
        <v>107.24375028569324</v>
      </c>
      <c r="CS15" s="92">
        <f t="shared" si="62"/>
        <v>107.24375028569324</v>
      </c>
      <c r="CT15" s="92">
        <f>CT$10*(1+((H15/H$10-1)*costos!$B$25+((I15*F15)/(I$10*F$10)-1)*costos!$E$25+((J15*F15)/((J$10*F$10)-1)*costos!$F$25/3+((K15*F15)/(K$10*F$10)-1)*costos!$F$25/3+((U15*F15)/(U$10*F$10)-1)*costos!$F$25/3+((L15*F15)/(L$10*F$10)-1)*costos!$G$25+((AQ15)/(AQ$10)-1)*costos!$J$25+((V15*F15)/(V$10*F$10)-1)*costos!$K$25)))</f>
        <v>107.02595124704631</v>
      </c>
      <c r="CU15" s="92">
        <f>CU$10*(1+((H15/H$10-1)*costos!$B$26+((I15*F15)/(I$10*F$10)-1)*costos!$E$26+((J15*F15)/((J$10*F$10)-1)*costos!$F$26/3+((K15*F15)/(K$10*F$10)-1)*costos!$F$26/3+((U15*F15)/(U$10*F$10)-1)*costos!$F$26/3+((L15*F15)/(L$10*F$10)-1)*costos!$G$26+((AR15)/(AR$10)-1)*costos!$J$26+((V15*F15)/(V$10*F$10)-1)*costos!$K$26)))</f>
        <v>111.37663120057182</v>
      </c>
      <c r="CV15" s="92">
        <f>CV$10*(1+((H15/H$10-1)*costos!$B$27+((I15*F15)/(I$10*F$10)-1)*costos!$E$27+((J15*F15)/((J$10*F$10)-1)*costos!$F$27/3+((K15*F15)/(K$10*F$10)-1)*costos!$F$27/3+((U15*F15)/(U$10*F$10)-1)*costos!$F$27/3+((L15*F15)/(L$10*F$10)-1)*costos!$G$27+((AS15)/(AS$10)-1)*costos!$J$27+((V15*F15)/(V$10*F$10)-1)*costos!$K$27)))</f>
        <v>109.56959614687065</v>
      </c>
      <c r="CW15" s="92">
        <f>CW$10*(1+((H15/H$10-1)*costos!$B$28+((I15*F15)/(I$10*F$10)-1)*costos!$E$28+((J15*F15)/((J$10*F$10)-1)*costos!$F$28/3+((K15*F15)/(K$10*F$10)-1)*costos!$F$28/3+((U15*F15)/(U$10*F$10)-1)*costos!$F$28/3+((L15*F15)/(L$10*F$10)-1)*costos!$G$28+((AS15)/(AS$10)-1)*costos!$J$28+((V15*F15)/(V$10*F$10)-1)*costos!$K$28)))</f>
        <v>109.56959614687065</v>
      </c>
      <c r="CX15" s="92">
        <f t="shared" si="63"/>
        <v>110.17194116477104</v>
      </c>
      <c r="CY15" s="92">
        <f>CY$10*(1+((H15/H$10-1)*costos!$B$32+((I15*F15)/(I$10*F$10)-1)*costos!$E$32+((J15*F15)/((J$10*F$10)-1)*costos!$F$32/3+((K15*F15)/(K$10*F$10)-1)*costos!$F$32/3+((U15*F15)/(U$10*F$10)-1)*costos!$F$32/3+((L15*F15)/(L$10*F$10)-1)*costos!$G$32+((AG15)/(AG$10)-1)*costos!$J$32+((V15*F15)/(V$10*F$10)-1)*costos!$K$32)))</f>
        <v>107.69239399822908</v>
      </c>
      <c r="CZ15" s="69">
        <f>CZ$10*(1+((H15/H$10-1)*costos!$B$31+((I15*F15)/(I$10*F$10)-1)*costos!$E$30+((J15*F15)/((J$10*F$10)-1)*costos!$F$30/3+((K15*F15)/(K$10*F$10)-1)*costos!$F$30/3+((U15*F15)/(U$10*F$10)-1)*costos!$F$30/3+((L15*F15)/(L$10*F$10)-1)*costos!$G$30+((BG15)/(BG$10)-1)*costos!$J$30+((V15*F15)/(V$10*F$10)-1)*costos!$K$30)))</f>
        <v>115.29107798543173</v>
      </c>
      <c r="DA15" s="69">
        <f>DA$10*(1+((H15/H$10-1)*costos!$B$31+((I15*F15)/(I$10*F$10)-1)*costos!$E$31+((J15*F15)/((J$10*F$10)-1)*costos!$F$31/3+((K15*F15)/(K$10*F$10)-1)*costos!$F$31/3+((U15*F15)/(U$10*F$10)-1)*costos!$F$31/3+((L15*F15)/(L$10*F$10)-1)*costos!$G$31+((BJ15)/(BJ$10)-1)*costos!$J$31+((V15*F15)/(V$10*F$10)-1)*costos!$K$31)))</f>
        <v>110.03086794629621</v>
      </c>
      <c r="DB15" s="69">
        <f>DB$10*(1+((H15/H$10-1)*costos!$B$36+((I15*F15)/(I$10*F$10)-1)*costos!$E$36+((J15*F15)/((J$10*F$10)-1)*costos!$F$36/3+((K15*F15)/(K$10*F$10)-1)*costos!$F$36/3+((U15*F15)/(U$10*F$10)-1)*costos!$F$36/3+((L15*F15)/(L$10*F$10)-1)*costos!$G$36+((BK15)/(BK$10)-1)*costos!$J$36+((V15*F15)/(V$10*F$10)-1)*costos!$K$36)))</f>
        <v>118.2431590788245</v>
      </c>
      <c r="DC15" s="69">
        <f>DC$10*(1+((H15/H$10-1)*costos!$B$37+((I15*F15)/(I$10*F$10)-1)*costos!$E$37+((U15*F15)/(U$10*F$10)-1)*costos!$F$37+((L15*F15)/(L$10*F$10)-1)*costos!$G$37+((BN15)/(BN$10)-1)*costos!$J$37+((V15*F15)/(V$10*F$10)-1)*costos!$K$37))</f>
        <v>120.05528055169275</v>
      </c>
      <c r="DD15" s="69">
        <f>DD$10*(1+((H15/H$10-1)*costos!$B$39+((I15*F15)/(I$10*F$10)-1)*costos!$E$39+((U15*F15)/(U$10*F$10)-1)*costos!$F$39+((L15*F15)/(L$10*F$10)-1)*costos!$G$39+((BR15)/(BR$10)-1)*costos!$J$39+((V15*F15)/(V$10*F$10)-1)*costos!$K$39))</f>
        <v>116.84095298246892</v>
      </c>
      <c r="DE15" s="69">
        <f>DD$10*(1+((H15/H$10-1)*costos!$B$35+((I15*F15)/(I$10*F$10)-1)*costos!$E$35+((U15*F15)/(U$10*F$10)-1)*costos!$F$35+((L15*F15)/(L$10*F$10)-1)*costos!$G$35+((BR15)/(BR$10)-1)*costos!$J$35+((V15*F15)/(V$10*F$10)-1)*costos!$K$35))</f>
        <v>114.38759003471495</v>
      </c>
      <c r="DF15" s="69">
        <f>DF$10*(1+((H15/H$10-1)*costos!$B$40+((I15*F15)/(I$10*F$10)-1)*costos!$E$40+((U15*F15)/(U$10*F$10)-1)*costos!$F$40+((L15*F15)/(L$10*F$10)-1)*costos!$G$40+((BP15)/(BP$10)-1)*costos!$J$40+((V15*F15)/(V$10*F$10)-1)*costos!$K$40))</f>
        <v>119.12643131671497</v>
      </c>
      <c r="DG15" s="92">
        <f t="shared" si="64"/>
        <v>116.75701067571495</v>
      </c>
      <c r="DH15" s="69">
        <f>DH$10*(1+((H15/H$10-1)*costos!$B$34+((I15*F15)/(I$10*F$10)-1)*costos!$E$34+((J15*F15)/((J$10*F$10)-1)*costos!$F$34/3+((K15*F15)/(K$10*F$10)-1)*costos!$F$34/3+((U15*F15)/(U$10*F$10)-1)*costos!$F$34/3+((L15*F15)/(L$10*F$10)-1)*costos!$G$34+((BV15)/(BV$10)-1)*costos!$J$34+((V15*F15)/(V$10*F$10)-1)*costos!$K$34)))</f>
        <v>111.17211647953349</v>
      </c>
      <c r="DI15" s="69">
        <f>DI$10*(1+((H15/H$10-1)*costos!$B$38+((I15*F15)/(I$10*F$10)-1)*costos!$E$38+((J15*F15)/((J$10*F$10)-1)*costos!$F$38/3+((K15*F15)/(K$10*F$10)-1)*costos!$F$38/3+((U15*F15)/(U$10*F$10)-1)*costos!$F$38/3+((L15*F15)/(L$10*F$10)-1)*costos!$G$38+((BU15)/(BU$10)-1)*costos!$J$38+((V15*F15)/(V$10*F$10)-1)*costos!$K$38)))</f>
        <v>107.01324878639869</v>
      </c>
      <c r="DK15" s="1">
        <v>405500</v>
      </c>
      <c r="DL15" s="1" t="s">
        <v>107</v>
      </c>
      <c r="DM15" s="82">
        <f t="shared" si="65"/>
        <v>214570</v>
      </c>
      <c r="DN15" s="82" t="str">
        <f t="shared" si="65"/>
        <v>2015-16</v>
      </c>
      <c r="DO15" s="82">
        <f t="shared" si="117"/>
        <v>1200000</v>
      </c>
      <c r="DP15" s="82" t="str">
        <f t="shared" si="117"/>
        <v>2015-16</v>
      </c>
      <c r="DQ15" s="82">
        <f t="shared" si="117"/>
        <v>1220000</v>
      </c>
      <c r="DR15" s="82" t="str">
        <f t="shared" si="117"/>
        <v>2015-16</v>
      </c>
      <c r="DS15" s="1">
        <v>3600000</v>
      </c>
      <c r="DT15" s="1" t="s">
        <v>107</v>
      </c>
      <c r="DU15" s="1">
        <v>20100000</v>
      </c>
      <c r="DV15" s="1" t="s">
        <v>107</v>
      </c>
      <c r="DW15" s="1">
        <v>850000</v>
      </c>
      <c r="DX15" s="1" t="s">
        <v>107</v>
      </c>
      <c r="DY15" s="83">
        <v>6365000</v>
      </c>
      <c r="DZ15" s="1" t="s">
        <v>106</v>
      </c>
      <c r="EA15" s="79">
        <f t="shared" si="67"/>
        <v>33335000</v>
      </c>
      <c r="EB15" s="82">
        <f t="shared" si="68"/>
        <v>368438</v>
      </c>
      <c r="EC15" s="82" t="str">
        <f t="shared" si="69"/>
        <v>2015-16</v>
      </c>
      <c r="ED15" s="83">
        <f t="shared" si="70"/>
        <v>165327</v>
      </c>
      <c r="EE15" s="143">
        <f t="shared" si="70"/>
        <v>2016</v>
      </c>
      <c r="EF15" s="83">
        <f t="shared" si="70"/>
        <v>223944</v>
      </c>
      <c r="EG15" s="143">
        <f t="shared" si="70"/>
        <v>2016</v>
      </c>
      <c r="EH15" s="83">
        <f t="shared" ref="EH15:EO25" si="120">+EH14</f>
        <v>53117706</v>
      </c>
      <c r="EI15" s="143">
        <f t="shared" si="120"/>
        <v>2016</v>
      </c>
      <c r="EJ15" s="83">
        <v>5119438</v>
      </c>
      <c r="EK15" s="143">
        <v>2016</v>
      </c>
      <c r="EL15" s="82">
        <f t="shared" si="120"/>
        <v>14864321</v>
      </c>
      <c r="EM15" s="144">
        <f t="shared" si="120"/>
        <v>2016</v>
      </c>
      <c r="EN15" s="82">
        <f t="shared" si="120"/>
        <v>3499621</v>
      </c>
      <c r="EO15" s="144">
        <f t="shared" si="120"/>
        <v>2016</v>
      </c>
      <c r="EP15" s="82">
        <f t="shared" si="118"/>
        <v>6552</v>
      </c>
      <c r="EQ15" s="83">
        <f t="shared" si="100"/>
        <v>3008956</v>
      </c>
      <c r="ER15" s="1">
        <v>32755</v>
      </c>
      <c r="ES15" s="82"/>
      <c r="ET15" s="83">
        <f t="shared" si="101"/>
        <v>24000</v>
      </c>
      <c r="EU15" s="83">
        <f t="shared" si="101"/>
        <v>16752</v>
      </c>
      <c r="EV15" s="83">
        <f t="shared" si="101"/>
        <v>9500</v>
      </c>
      <c r="EW15" s="83">
        <f t="shared" si="101"/>
        <v>17994</v>
      </c>
      <c r="EX15" s="79">
        <f t="shared" si="72"/>
        <v>68246</v>
      </c>
      <c r="EY15" s="1">
        <f>+EY14</f>
        <v>19129</v>
      </c>
      <c r="EZ15" s="82">
        <f t="shared" si="102"/>
        <v>75500</v>
      </c>
      <c r="FA15" s="1">
        <f t="shared" si="103"/>
        <v>22169</v>
      </c>
      <c r="FB15" s="1">
        <f t="shared" si="103"/>
        <v>20495</v>
      </c>
      <c r="FC15" s="79">
        <f t="shared" si="73"/>
        <v>42664</v>
      </c>
      <c r="FD15" s="1">
        <f t="shared" si="104"/>
        <v>43815</v>
      </c>
      <c r="FE15" s="1"/>
      <c r="FF15" s="82">
        <v>708194</v>
      </c>
      <c r="FG15" s="82" t="str">
        <f t="shared" si="47"/>
        <v>2015-16</v>
      </c>
      <c r="FH15" s="82">
        <f t="shared" si="74"/>
        <v>1558100</v>
      </c>
      <c r="FI15" s="82" t="str">
        <f t="shared" si="74"/>
        <v>2014-15</v>
      </c>
      <c r="FJ15" s="82">
        <f t="shared" si="112"/>
        <v>4300000</v>
      </c>
      <c r="FK15" s="82" t="str">
        <f t="shared" si="112"/>
        <v>2015-16</v>
      </c>
      <c r="FL15" s="82">
        <f t="shared" si="112"/>
        <v>2450000</v>
      </c>
      <c r="FM15" s="82" t="str">
        <f t="shared" si="112"/>
        <v>2015-16</v>
      </c>
      <c r="FN15" s="1">
        <v>28000000</v>
      </c>
      <c r="FO15" s="1" t="s">
        <v>107</v>
      </c>
      <c r="FP15" s="1">
        <v>56000000</v>
      </c>
      <c r="FQ15" s="1" t="s">
        <v>107</v>
      </c>
      <c r="FR15" s="1">
        <v>3500000</v>
      </c>
      <c r="FS15" s="1" t="s">
        <v>107</v>
      </c>
      <c r="FT15" s="83">
        <f t="shared" si="75"/>
        <v>11315000</v>
      </c>
      <c r="FU15" s="83" t="str">
        <f t="shared" si="75"/>
        <v>2015-16</v>
      </c>
      <c r="FV15" s="79">
        <f t="shared" si="76"/>
        <v>105565000</v>
      </c>
      <c r="FW15" s="82">
        <f t="shared" si="77"/>
        <v>1010777</v>
      </c>
      <c r="FX15" s="82" t="str">
        <f t="shared" si="77"/>
        <v>2014-15</v>
      </c>
      <c r="FY15" s="83">
        <v>150665.93</v>
      </c>
      <c r="FZ15" s="79"/>
      <c r="GA15" s="79"/>
      <c r="GB15" s="1">
        <v>17584178</v>
      </c>
      <c r="GC15" s="6">
        <v>2016</v>
      </c>
      <c r="GD15" s="1">
        <f t="shared" si="105"/>
        <v>1678337</v>
      </c>
      <c r="GE15" s="1">
        <v>468278</v>
      </c>
      <c r="GF15" s="1">
        <v>1032446</v>
      </c>
      <c r="GG15" s="1">
        <f t="shared" si="106"/>
        <v>102259</v>
      </c>
      <c r="GH15" s="79">
        <f t="shared" si="78"/>
        <v>1602983</v>
      </c>
      <c r="GI15" s="82">
        <f t="shared" si="79"/>
        <v>1302556</v>
      </c>
      <c r="GJ15" s="1">
        <f t="shared" si="80"/>
        <v>600000</v>
      </c>
      <c r="GK15" s="1">
        <f t="shared" si="80"/>
        <v>998555</v>
      </c>
      <c r="GL15" s="1">
        <f t="shared" si="80"/>
        <v>302000</v>
      </c>
      <c r="GM15" s="1">
        <f t="shared" si="80"/>
        <v>266553.90000000002</v>
      </c>
      <c r="GN15" s="79">
        <f t="shared" si="81"/>
        <v>2167108.9</v>
      </c>
      <c r="GO15" s="83">
        <f t="shared" si="107"/>
        <v>191984</v>
      </c>
      <c r="GP15" s="1">
        <f t="shared" si="82"/>
        <v>68123</v>
      </c>
      <c r="GQ15" s="1"/>
      <c r="GR15" s="1">
        <v>42700</v>
      </c>
      <c r="GS15" s="79">
        <f t="shared" si="83"/>
        <v>42700</v>
      </c>
      <c r="GT15" s="83">
        <f t="shared" si="108"/>
        <v>2430866</v>
      </c>
      <c r="GU15" s="1">
        <f t="shared" si="84"/>
        <v>50951.583333333336</v>
      </c>
      <c r="GV15" s="1">
        <f t="shared" si="85"/>
        <v>51463.083333333336</v>
      </c>
      <c r="GW15" s="79">
        <f t="shared" si="49"/>
        <v>1228976</v>
      </c>
      <c r="GX15" s="83">
        <v>30955.772000000001</v>
      </c>
      <c r="GY15" s="83" t="s">
        <v>329</v>
      </c>
      <c r="GZ15" s="83">
        <f t="shared" si="109"/>
        <v>93671</v>
      </c>
      <c r="HA15" s="1">
        <v>212000</v>
      </c>
      <c r="HB15" s="79"/>
      <c r="HC15" s="79"/>
      <c r="HD15" s="1">
        <v>44475</v>
      </c>
      <c r="HE15" s="79"/>
      <c r="HF15" s="79"/>
      <c r="HG15" s="1">
        <v>182000</v>
      </c>
      <c r="HH15" s="79"/>
      <c r="HI15" s="79"/>
      <c r="HJ15" s="1"/>
      <c r="HK15" s="79"/>
      <c r="HL15" s="79"/>
      <c r="HM15" s="79">
        <f t="shared" si="86"/>
        <v>0</v>
      </c>
      <c r="HN15" s="69"/>
      <c r="HO15" s="1">
        <v>828100000</v>
      </c>
      <c r="HP15" s="79"/>
      <c r="HQ15" s="79"/>
      <c r="HR15" s="1"/>
      <c r="HS15" s="1"/>
      <c r="HT15" s="1"/>
      <c r="HU15" s="83">
        <f t="shared" si="119"/>
        <v>650000</v>
      </c>
      <c r="HV15" s="83" t="str">
        <f t="shared" si="119"/>
        <v>2015-16</v>
      </c>
      <c r="HW15" s="1">
        <f t="shared" si="119"/>
        <v>2000000</v>
      </c>
      <c r="HX15" s="1" t="s">
        <v>107</v>
      </c>
      <c r="HY15" s="1">
        <v>2950000</v>
      </c>
      <c r="HZ15" s="1" t="s">
        <v>107</v>
      </c>
      <c r="IA15" s="1">
        <f t="shared" si="113"/>
        <v>17210000</v>
      </c>
      <c r="IB15" s="1" t="str">
        <f t="shared" si="114"/>
        <v>2015-16</v>
      </c>
      <c r="IC15" s="1">
        <v>50000000</v>
      </c>
      <c r="ID15" s="1" t="s">
        <v>107</v>
      </c>
      <c r="IE15" s="1">
        <f t="shared" si="115"/>
        <v>2600000</v>
      </c>
      <c r="IF15" s="1" t="s">
        <v>107</v>
      </c>
      <c r="IG15" s="1"/>
      <c r="IH15" s="1"/>
      <c r="II15" s="79">
        <f t="shared" si="87"/>
        <v>74760000</v>
      </c>
      <c r="IJ15" s="97">
        <f t="shared" si="110"/>
        <v>1.6218070029006586</v>
      </c>
      <c r="IK15" s="1" t="s">
        <v>107</v>
      </c>
      <c r="IL15" s="7">
        <v>47.77</v>
      </c>
      <c r="IM15" s="7">
        <v>55.164881038016084</v>
      </c>
      <c r="IN15" s="7">
        <v>201</v>
      </c>
      <c r="IO15" s="695">
        <f>+IO27*(1-0.109)</f>
        <v>12.86604</v>
      </c>
      <c r="IP15" s="98">
        <f t="shared" si="88"/>
        <v>5.7844457536132143</v>
      </c>
      <c r="IQ15" s="93">
        <v>21.6</v>
      </c>
      <c r="IR15" s="93">
        <f t="shared" si="111"/>
        <v>2.2000000000000002</v>
      </c>
      <c r="IS15" s="93">
        <f t="shared" si="111"/>
        <v>5.59</v>
      </c>
      <c r="IT15" s="93">
        <f t="shared" si="111"/>
        <v>13.55</v>
      </c>
      <c r="IU15" s="93">
        <f t="shared" si="111"/>
        <v>1.07</v>
      </c>
      <c r="IV15" s="94">
        <f t="shared" si="89"/>
        <v>20.21</v>
      </c>
      <c r="IW15" s="84"/>
      <c r="IX15" s="84"/>
      <c r="IY15" s="105">
        <v>1.84</v>
      </c>
      <c r="IZ15" s="161">
        <v>0.3</v>
      </c>
      <c r="JA15" s="161"/>
      <c r="JB15" s="84">
        <v>38.770000000000003</v>
      </c>
      <c r="JC15" s="84"/>
      <c r="JD15" s="84"/>
      <c r="JF15" s="2">
        <v>6.3295317900000017</v>
      </c>
      <c r="JG15" s="2">
        <v>13.898494370000002</v>
      </c>
      <c r="JH15" s="2">
        <v>41.862221290000001</v>
      </c>
      <c r="JI15" s="2">
        <v>54.864836010000005</v>
      </c>
      <c r="JJ15" s="2">
        <v>257.98792972999996</v>
      </c>
      <c r="JK15" s="2">
        <v>60.336461040000003</v>
      </c>
      <c r="JL15" s="2">
        <v>2153.6526042599999</v>
      </c>
      <c r="JM15" s="2">
        <v>5.4599822600000003</v>
      </c>
      <c r="JN15" s="2">
        <v>140.14771499</v>
      </c>
      <c r="JO15" s="2">
        <v>19.615018729999999</v>
      </c>
      <c r="JP15" s="2">
        <v>0</v>
      </c>
      <c r="JQ15" s="2">
        <v>0.84886349999999999</v>
      </c>
      <c r="JR15" s="2">
        <v>0.82429598000000004</v>
      </c>
      <c r="JS15" s="2">
        <v>0</v>
      </c>
      <c r="JT15" s="2">
        <v>6.4679999999999998E-3</v>
      </c>
      <c r="JU15" s="2">
        <v>68.438770900000023</v>
      </c>
      <c r="JV15" s="2">
        <v>12.04531152</v>
      </c>
      <c r="JW15" s="2">
        <v>15.692263619999997</v>
      </c>
      <c r="JX15" s="2">
        <v>102.99575195000003</v>
      </c>
      <c r="JY15" s="2">
        <v>12.349258139999998</v>
      </c>
      <c r="JZ15" s="2">
        <v>4.3090499900000001</v>
      </c>
      <c r="KA15" s="2">
        <v>0.15190308999999999</v>
      </c>
      <c r="KB15" s="2">
        <v>12.508514780000002</v>
      </c>
      <c r="KC15" s="2">
        <v>26.095061680000004</v>
      </c>
      <c r="KD15" s="2">
        <v>5.6943706699999996</v>
      </c>
      <c r="KE15" s="2">
        <v>15.76213776</v>
      </c>
      <c r="KF15" s="2">
        <v>22.841995920000002</v>
      </c>
      <c r="KG15" s="2">
        <v>136.64550735</v>
      </c>
      <c r="KH15" s="2">
        <v>36.545062110000003</v>
      </c>
      <c r="KI15" s="2">
        <v>19.035113419999998</v>
      </c>
      <c r="KJ15" s="2">
        <v>0.74713014999999994</v>
      </c>
      <c r="KK15" s="2">
        <v>12.576686330000003</v>
      </c>
      <c r="KL15" s="2">
        <v>0.30032446000000002</v>
      </c>
      <c r="KM15" s="2">
        <v>1.83720404</v>
      </c>
      <c r="KN15" s="2">
        <v>1.2827000000000002E-4</v>
      </c>
      <c r="KO15" s="2">
        <v>0.34578632000000004</v>
      </c>
      <c r="KP15" s="2">
        <v>1.132846E-2</v>
      </c>
      <c r="KQ15" s="2">
        <v>30.987232470000006</v>
      </c>
      <c r="KR15" s="2">
        <v>8.9475000000000004E-4</v>
      </c>
      <c r="KS15" s="2">
        <v>0.44881533999999995</v>
      </c>
      <c r="KT15" s="2">
        <v>2.0417218099999999</v>
      </c>
      <c r="KU15" s="2">
        <v>6.9807640000000004E-2</v>
      </c>
      <c r="KV15" s="2">
        <v>6.9588999999999998E-2</v>
      </c>
      <c r="KW15" s="2">
        <v>2.36003725</v>
      </c>
      <c r="KX15" s="2">
        <v>0</v>
      </c>
      <c r="KY15" s="2">
        <v>0</v>
      </c>
      <c r="KZ15" s="2">
        <v>0.17635656999999999</v>
      </c>
      <c r="LA15" s="2">
        <v>0.24460971000000001</v>
      </c>
      <c r="LB15" s="2">
        <v>6.4301649999999988E-2</v>
      </c>
      <c r="LC15" s="2">
        <v>7.2603639999999997E-2</v>
      </c>
      <c r="LD15" s="2">
        <v>0</v>
      </c>
      <c r="LE15" s="2">
        <v>0.51266699000000004</v>
      </c>
      <c r="LF15" s="2">
        <v>0</v>
      </c>
      <c r="LG15" s="2">
        <v>20.422579770000002</v>
      </c>
      <c r="LH15" s="2">
        <v>3.4871725999999996</v>
      </c>
      <c r="LI15" s="2">
        <v>0.20028285000000001</v>
      </c>
      <c r="LJ15" s="2">
        <v>0</v>
      </c>
      <c r="LK15" s="2">
        <v>3.2897186899999999</v>
      </c>
      <c r="LL15" s="2">
        <v>3.63914633</v>
      </c>
      <c r="LM15" s="2">
        <v>1.4746140200000002</v>
      </c>
      <c r="LN15" s="2">
        <v>0.39070252999999999</v>
      </c>
      <c r="LO15" s="2">
        <v>3.7916847800000002</v>
      </c>
      <c r="LQ15" s="85">
        <f t="shared" si="90"/>
        <v>2653.9752885399998</v>
      </c>
      <c r="LR15" s="85">
        <f t="shared" si="91"/>
        <v>1.67962748</v>
      </c>
      <c r="LS15" s="85">
        <f t="shared" si="92"/>
        <v>27.737575139999997</v>
      </c>
      <c r="LT15" s="85">
        <f t="shared" si="93"/>
        <v>16.810211219999999</v>
      </c>
      <c r="LU15" s="85">
        <f t="shared" si="94"/>
        <v>33.620061190000008</v>
      </c>
      <c r="LV15" s="85">
        <f t="shared" si="95"/>
        <v>2.4296262500000001</v>
      </c>
      <c r="LW15" s="85">
        <f t="shared" si="96"/>
        <v>0.30891135999999997</v>
      </c>
      <c r="LX15" s="85">
        <f t="shared" si="97"/>
        <v>0.51266699000000004</v>
      </c>
      <c r="LZ15" s="131"/>
      <c r="MA15" s="171">
        <v>16.600000000000001</v>
      </c>
      <c r="MB15"/>
      <c r="MC15"/>
      <c r="MD15"/>
      <c r="MF15"/>
      <c r="MG15"/>
      <c r="MH15" s="83">
        <v>32.56</v>
      </c>
      <c r="MI15" s="83">
        <v>9.19</v>
      </c>
      <c r="MJ15" s="83">
        <v>11.06</v>
      </c>
      <c r="MK15"/>
      <c r="ML15" s="83">
        <v>15.41</v>
      </c>
      <c r="MM15" s="83">
        <v>31.11</v>
      </c>
      <c r="MN15" s="83"/>
      <c r="MO15" s="83">
        <v>14.78</v>
      </c>
      <c r="MP15" s="83">
        <v>23.2</v>
      </c>
      <c r="MQ15" s="83">
        <v>25.94</v>
      </c>
      <c r="MR15"/>
      <c r="MT15"/>
      <c r="MU15" s="171">
        <v>12</v>
      </c>
      <c r="MV15"/>
      <c r="MW15"/>
      <c r="MX15"/>
      <c r="MY15" s="83">
        <v>26.88</v>
      </c>
      <c r="MZ15" s="131"/>
      <c r="NA15" s="83">
        <v>33.369999999999997</v>
      </c>
      <c r="NB15" s="83">
        <v>108.57</v>
      </c>
      <c r="NC15" s="83">
        <v>16.07</v>
      </c>
      <c r="ND15"/>
      <c r="NE15" s="1">
        <v>85.36</v>
      </c>
    </row>
    <row r="16" spans="1:369">
      <c r="A16" s="38">
        <f t="shared" si="32"/>
        <v>42552</v>
      </c>
      <c r="B16" s="36">
        <v>7</v>
      </c>
      <c r="C16" s="36">
        <v>2016</v>
      </c>
      <c r="D16" s="36">
        <f t="shared" si="50"/>
        <v>16</v>
      </c>
      <c r="E16" s="38">
        <f t="shared" si="33"/>
        <v>42552</v>
      </c>
      <c r="F16" s="7">
        <v>15.073809523809521</v>
      </c>
      <c r="G16" s="7">
        <v>92.295345104333876</v>
      </c>
      <c r="H16" s="1">
        <v>7680</v>
      </c>
      <c r="I16" s="7">
        <v>105</v>
      </c>
      <c r="J16" s="7">
        <v>350</v>
      </c>
      <c r="K16" s="7">
        <v>3.4</v>
      </c>
      <c r="L16" s="7">
        <v>34</v>
      </c>
      <c r="N16" s="5">
        <v>1.4044000000000001</v>
      </c>
      <c r="O16" s="5">
        <v>1.2500499999999999</v>
      </c>
      <c r="P16" s="78">
        <f t="shared" si="34"/>
        <v>20.006336845238089</v>
      </c>
      <c r="Q16" s="6">
        <v>295</v>
      </c>
      <c r="R16" s="79">
        <f t="shared" si="35"/>
        <v>2950</v>
      </c>
      <c r="S16" s="6">
        <v>132.25</v>
      </c>
      <c r="T16" s="6">
        <v>339.75</v>
      </c>
      <c r="U16" s="143">
        <v>153.80000000000001</v>
      </c>
      <c r="V16" s="6">
        <v>267.84499999999997</v>
      </c>
      <c r="W16" s="6">
        <v>143.02500000000001</v>
      </c>
      <c r="X16" s="6">
        <v>176.02500000000001</v>
      </c>
      <c r="Y16" s="79">
        <f t="shared" si="36"/>
        <v>1993.5113095238091</v>
      </c>
      <c r="Z16" s="79">
        <f t="shared" si="37"/>
        <v>5121.3267857142846</v>
      </c>
      <c r="AA16" s="79">
        <f t="shared" si="38"/>
        <v>2318.3519047619043</v>
      </c>
      <c r="AB16" s="79">
        <f t="shared" si="39"/>
        <v>4037.4445119047605</v>
      </c>
      <c r="AC16" s="79">
        <f t="shared" si="40"/>
        <v>2155.9316071428566</v>
      </c>
      <c r="AD16" s="79">
        <f t="shared" si="41"/>
        <v>2653.3673214285709</v>
      </c>
      <c r="AE16" s="79">
        <f t="shared" si="42"/>
        <v>3046.6555734126982</v>
      </c>
      <c r="AF16" s="1">
        <v>9066.2999999999993</v>
      </c>
      <c r="AG16" s="1">
        <v>4803</v>
      </c>
      <c r="AH16" s="1">
        <v>18031</v>
      </c>
      <c r="AI16" s="5">
        <v>7.64</v>
      </c>
      <c r="AJ16" s="5">
        <v>6.19</v>
      </c>
      <c r="AK16" s="5">
        <v>3.33</v>
      </c>
      <c r="AL16" s="5">
        <v>3.03</v>
      </c>
      <c r="AM16" s="78">
        <f t="shared" si="43"/>
        <v>5.3549999999999995</v>
      </c>
      <c r="AN16" s="5">
        <v>262.02857142857147</v>
      </c>
      <c r="AO16" s="80">
        <f t="shared" si="51"/>
        <v>157.21714285714287</v>
      </c>
      <c r="AP16" s="78">
        <f t="shared" si="44"/>
        <v>209.62285714285719</v>
      </c>
      <c r="AQ16" s="5">
        <v>99.72</v>
      </c>
      <c r="AR16" s="5">
        <v>104.80000000000001</v>
      </c>
      <c r="AS16" s="5">
        <v>85.725000000000023</v>
      </c>
      <c r="AT16" s="80">
        <f t="shared" si="52"/>
        <v>99.72</v>
      </c>
      <c r="AU16" s="78">
        <f t="shared" si="53"/>
        <v>96.748333333333335</v>
      </c>
      <c r="AV16">
        <v>115.60000000000001</v>
      </c>
      <c r="AW16" s="80">
        <f t="shared" si="54"/>
        <v>369.92000000000007</v>
      </c>
      <c r="AX16">
        <v>130.6</v>
      </c>
      <c r="AY16" s="7">
        <v>381.59999999999997</v>
      </c>
      <c r="AZ16" s="7">
        <v>173.34</v>
      </c>
      <c r="BA16" s="7">
        <v>156.24</v>
      </c>
      <c r="BB16" s="94">
        <f t="shared" si="45"/>
        <v>225.86</v>
      </c>
      <c r="BC16" s="68">
        <f>+BC15</f>
        <v>562</v>
      </c>
      <c r="BD16" s="68">
        <f t="shared" si="116"/>
        <v>684</v>
      </c>
      <c r="BE16" s="7">
        <f t="shared" si="55"/>
        <v>610</v>
      </c>
      <c r="BF16" s="7">
        <f t="shared" si="55"/>
        <v>410</v>
      </c>
      <c r="BG16" s="94">
        <f t="shared" si="56"/>
        <v>566.5</v>
      </c>
      <c r="BH16" s="7">
        <v>37.549999999999997</v>
      </c>
      <c r="BI16" s="7">
        <f t="shared" si="98"/>
        <v>12.364000000000001</v>
      </c>
      <c r="BJ16" s="78">
        <f t="shared" si="57"/>
        <v>49.914000000000001</v>
      </c>
      <c r="BK16" s="7">
        <v>30.905999999999999</v>
      </c>
      <c r="BL16" s="7">
        <v>31.533999999999999</v>
      </c>
      <c r="BM16" s="94">
        <f t="shared" si="58"/>
        <v>31.22</v>
      </c>
      <c r="BN16" s="5">
        <v>4.19484628823054</v>
      </c>
      <c r="BO16" s="105">
        <v>18.959523809523812</v>
      </c>
      <c r="BP16" s="80">
        <v>12.4345</v>
      </c>
      <c r="BQ16" s="94">
        <f t="shared" si="59"/>
        <v>18.307021428571431</v>
      </c>
      <c r="BR16" s="7">
        <v>13.81</v>
      </c>
      <c r="BS16" s="7">
        <v>59</v>
      </c>
      <c r="BT16" s="7">
        <v>45.33</v>
      </c>
      <c r="BU16" s="79">
        <f t="shared" si="46"/>
        <v>843.99</v>
      </c>
      <c r="BV16" s="97">
        <v>21.4</v>
      </c>
      <c r="BW16" s="95"/>
      <c r="BY16" s="92">
        <f>BY$10*(1+((H16/H$10-1)*costos!$B$5+((I16*F16)/(I$10*F$10)-1)*costos!$E$5+((J16*F16)/((J$10*F$10)-1)*costos!$F$5/3+((K16*F16)/(K$10*F$10)-1)*costos!$F$5/3+((U16*F16)/(U$10*F$10)-1)*costos!$F$5/3+((L16*F16)/(L$10*F$10)-1)*costos!$G$5+((N16*F16)/(N$10*F$10)-1)*costos!$J$5+((V16*F16)/(V$10*F$10)-1)*costos!$K$5)))</f>
        <v>123.57941706687335</v>
      </c>
      <c r="BZ16" s="92">
        <f>$BZ$10*(1+((H16/$H$10-1)*costos!$B$6+((I16*F16)/($I$10*$F$10)-1)*costos!$E$6+((J16*F16)/(($J$10*$F$10)-1)*costos!$F$6/3+((K16*F16)/($K$10*$F$10)-1)*costos!$F$6/3+((U16*F16)/($U$10*$F$10)-1)*costos!$F$6/3+((L16*F16)/($L$10*$F$10)-1)*costos!$G$6+((Q16*F16)/($Q$10*$F$10)-1)*costos!$J$6+((V16*F16)/($V$10*$F$10)-1)*costos!$K$6)))</f>
        <v>121.54519236202827</v>
      </c>
      <c r="CA16" s="92">
        <f>CA$10*(1+((H16/H$10-1)*costos!$B$7+((I16*F16)/(I$10*F$10)-1)*costos!$E$7+((J16*F16)/((J$10*F$10)-1)*costos!$F$7/3+((K16*F16)/(K$10*F$10)-1)*costos!$F$7/3+((U16*F16)/(U$10*F$10)-1)*costos!$F$7/3+((L16*F16)/(L$10*F$10)-1)*costos!$G$7+((S16*F16)/(S$10*F$10)-1)*costos!$J$7+((V16*F16)/(V$10*F$10)-1)*costos!$K$7)))</f>
        <v>120.11638670758946</v>
      </c>
      <c r="CB16" s="92">
        <f>CB$10*(1+((H16/H$10-1)*costos!$B$8+((I16*F16)/(I$10*F$10)-1)*costos!$E$8+((J16*F16)/((J$10*F$10)-1)*costos!$F$8/3+((K16*F16)/(K$10*F$10)-1)*costos!$F$8/3+((U16*F16)/(U$10*F$10)-1)*costos!$F$8/3+((L16*F16)/(L$10*F$10)-1)*costos!$G$8+((T16*F16)/(T$10*F$10)-1)*costos!$J$8+((V16*F16)/(V$10*F$10)-1)*costos!$K$8)))</f>
        <v>128.31911902929588</v>
      </c>
      <c r="CC16" s="92">
        <f>CC$10*(1+((H16/H$10-1)*costos!$B$9+((I16*F16)/(I$10*F$10)-1)*costos!$E$9+((J16*F16)/((J$10*F$10)-1)*costos!$F$9/3+((K16*F16)/(K$10*F$10)-1)*costos!$F$9/3+((U16*F16)/(U$10*F$10)-1)*costos!$F$9/3+((L16*F16)/(L$10*F$10)-1)*costos!$G$9+((U16*F16)/(U$10*F$10)-1)*costos!$J$9+((V16*F16)/(V$10*F$10)-1)*costos!$K$9)))</f>
        <v>122.05270501909303</v>
      </c>
      <c r="CD16" s="92">
        <f>CD$10*(1+((H16/H$10-1)*costos!$B$11+((I16*F16)/(I$10*F$10)-1)*costos!$E$11+((J16*F16)/((J$10*F$10)-1)*costos!$F$11/3+((K16*F16)/(K$10*F$10)-1)*costos!$F$11/3+((U16*F16)/(U$10*F$10)-1)*costos!$F$11/3+((L16*F16)/(L$10*F$10)-1)*costos!$G$11+((V16*F16)/(V$10*F$10)-1)*costos!$J$11+((V16*F16)/(V$10*F$10)-1)*costos!$K$11)))</f>
        <v>125.75942887182477</v>
      </c>
      <c r="CE16" s="92">
        <f>CE$10*(1+((H16/H$10-1)*costos!$B$12+((I16*F16)/(I$10*F$10)-1)*costos!$E$12+((J16*F16)/((J$10*F$10)-1)*costos!$F$12/3+((K16*F16)/(K$10*F$10)-1)*costos!$F$12/3+((U16*F16)/(U$10*F$10)-1)*costos!$F$12/3+((L16*F16)/(L$10*F$10)-1)*costos!$G$12+((W16*F16)/(W$10*F$10)-1)*costos!$J$12+((V16*F16)/(V$10*F$10)-1)*costos!$K$12)))</f>
        <v>119.34420149510237</v>
      </c>
      <c r="CF16" s="92">
        <f>CF$10*(1+((H16/H$10-1)*costos!$B$13+((I16*F16)/(I$10*F$10)-1)*costos!$E$13+((J16*F16)/((J$10*F$10)-1)*costos!$F$13/3+((K16*F16)/(K$10*F$10)-1)*costos!$F$13/3+((U16*F16)/(U$10*F$10)-1)*costos!$F$13/3+((L16*F16)/(L$10*F$10)-1)*costos!$G$13+((X16*F16)/(X$10*F$10)-1)*costos!$J$13+((V16*F16)/(V$10*F$10)-1)*costos!$K$13)))</f>
        <v>127.87224366420145</v>
      </c>
      <c r="CG16" s="92">
        <f t="shared" si="60"/>
        <v>123.91068079785116</v>
      </c>
      <c r="CH16" s="92">
        <f>CH$10*(1+((H16/H$10-1)*costos!$B$10+((I16*F16)/(I$10*F$10)-1)*costos!$E$10+((J16*F16)/((J$10*F$10)-1)*costos!$F$10/3+((K16*F16)/(K$10*F$10)-1)*costos!$F$10/3+((U16*F16)/(U$10*F$10)-1)*costos!$F$10/3+((L16*F16)/(L$10*F$10)-1)*costos!$G$10+((AF16)/(AF$10)-1)*costos!$J$10+((V16*F16)/(V$10*F$10)-1)*costos!$K$10)))</f>
        <v>130.00969498012009</v>
      </c>
      <c r="CI16" s="92">
        <f>CI$10*(1+((H16/H$10-1)*costos!$B$15+((I16*F16)/(I$10*F$10)-1)*costos!$E$15+((J16*F16)/((J$10*F$10)-1)*costos!$F$15/3+((K16*F16)/(K$10*F$10)-1)*costos!$F$15/3+((U16*F16)/(U$10*F$10)-1)*costos!$F$15/3+((L16*F16)/(L$10*F$10)-1)*costos!$G$15+((AV16)/(AV$10)-1)*costos!$J$15+((V16*F16)/(V$10*F$10)-1)*costos!$K$15)))</f>
        <v>129.99691033975103</v>
      </c>
      <c r="CJ16" s="92">
        <f>CJ$10*(1+((H16/H$10-1)*costos!$B$16+((I16*F16)/(I$10*F$10)-1)*costos!$E$16+((J16*F16)/((J$10*F$10)-1)*costos!$F$16/3+((K16*F16)/(K$10*F$10)-1)*costos!$F$16/3+((U16*F16)/(U$10*F$10)-1)*costos!$F$16/3+((L16*F16)/(L$10*F$10)-1)*costos!$G$16+((AW16)/(AW$10)-1)*costos!$J$16+((V16*F16)/(V$10*F$10)-1)*costos!$K$16)))</f>
        <v>122.39542207273198</v>
      </c>
      <c r="CK16" s="92">
        <f>CK$10*(1+((H16/H$10-1)*costos!$B$17+((I16*F16)/(I$10*F$10)-1)*costos!$E$17+((J16*F16)/((J$10*F$10)-1)*costos!$F$17/3+((K16*F16)/(K$10*F$10)-1)*costos!$F$17/3+((U16*F16)/(U$10*F$10)-1)*costos!$F$17/3+((L16*F16)/(L$10*F$10)-1)*costos!$G$17+((AX16)/(AX$10)-1)*costos!$J$17+((V16*F16)/(V$10*F$10)-1)*costos!$K$17)))</f>
        <v>129.28062727650405</v>
      </c>
      <c r="CL16" s="92">
        <f>CL$10*(1+((H16/H$10-1)*costos!$B$18+((I16*F16)/(I$10*F$10)-1)*costos!$E$18+((J16*F16)/((J$10*F$10)-1)*costos!$F$18/3+((K16*F16)/(K$10*F$10)-1)*costos!$F$18/3+((U16*F16)/(U$10*F$10)-1)*costos!$F$18/3+((L16*F16)/(L$10*F$10)-1)*costos!$G$18+((AY16)/(AY$10)-1)*costos!$J$18+((V16*F16)/(V$10*F$10)-1)*costos!$K$18)))</f>
        <v>181.56185744429987</v>
      </c>
      <c r="CM16" s="92">
        <f>CM$10*(1+((H16/H$10-1)*costos!$B$19+((I16*F16)/(I$10*F$10)-1)*costos!$E$19+((J16*F16)/((J$10*F$10)-1)*costos!$F$19/3+((K16*F16)/(K$10*F$10)-1)*costos!$F$19/3+((U16*F16)/(U$10*F$10)-1)*costos!$F$19/3+((L16*F16)/(L$10*F$10)-1)*costos!$G$19+((AZ16)/(AZ$10)-1)*costos!$J$19+((V16*F16)/(V$10*F$10)-1)*costos!$K$19)))</f>
        <v>123.57678041344214</v>
      </c>
      <c r="CN16" s="92">
        <f>CN$10*(1+((H16/H$10-1)*costos!$B$20+((I16*F16)/(I$10*F$10)-1)*costos!$E$20+((J16*F16)/((J$10*F$10)-1)*costos!$F$20/3+((K16*F16)/(K$10*F$10)-1)*costos!$F$20/3+((U16*F16)/(U$10*F$10)-1)*costos!$F$20/3+((L16*F16)/(L$10*F$10)-1)*costos!$G$20+((BA16)/(BA$10)-1)*costos!$J$20+((V16*F16)/(V$10*F$10)-1)*costos!$K$20)))</f>
        <v>125.19606986765388</v>
      </c>
      <c r="CO16" s="92">
        <f t="shared" si="61"/>
        <v>139.90383375047497</v>
      </c>
      <c r="CP16" s="92">
        <f>CP$10*(1+((H16/H$10-1)*costos!$B$22+((I16*F16)/(I$10*F$10)-1)*costos!$E$22+((J16*F16)/((J$10*F$10)-1)*costos!$F$22/3+((K16*F16)/(K$10*F$10)-1)*costos!$F$22/3+((U16*F16)/(U$10*F$10)-1)*costos!$F$22/3+((L16*F16)/(L$10*F$10)-1)*costos!$G$22+(((AVERAGE(AI16:AL16))/((AVERAGE(AI$10:AL$10))-1)*costos!$J$22+((V16*F16)/(V$10*F$10)-1)*costos!$K$22)))))</f>
        <v>142.71115450708973</v>
      </c>
      <c r="CQ16" s="92">
        <f>CQ$10*(1+((H16/H$10-1)*costos!$B$23+((I16*F16)/(I$10*F$10)-1)*costos!$E$23+((J16*F16)/((J$10*F$10)-1)*costos!$F$23/3+((K16*F16)/(K$10*F$10)-1)*costos!$F$23/3+((U16*F16)/(U$10*F$10)-1)*costos!$F$23/3+((L16*F16)/(L$10*F$10)-1)*costos!$G$23+((AN16)/(AN$10)-1)*costos!$J$23+((V16*F16)/(V$10*F$10)-1)*costos!$K$23)))</f>
        <v>107.94769490453211</v>
      </c>
      <c r="CR16" s="92">
        <f>CR$10*(1+((H16/H$10-1)*costos!$B$24+((I16*F16)/(I$10*F$10)-1)*costos!$E$24+((J16*F16)/((J$10*F$10)-1)*costos!$F$24/3+((K16*F16)/(K$10*F$10)-1)*costos!$F$24/3+((U16*F16)/(U$10*F$10)-1)*costos!$F$24/3+((L16*F16)/(L$10*F$10)-1)*costos!$G$24+((AO16)/(AO$10)-1)*costos!$J$24+((V16*F16)/(V$10*F$10)-1)*costos!$K$24)))</f>
        <v>107.94769490453211</v>
      </c>
      <c r="CS16" s="92">
        <f t="shared" si="62"/>
        <v>107.94769490453211</v>
      </c>
      <c r="CT16" s="92">
        <f>CT$10*(1+((H16/H$10-1)*costos!$B$25+((I16*F16)/(I$10*F$10)-1)*costos!$E$25+((J16*F16)/((J$10*F$10)-1)*costos!$F$25/3+((K16*F16)/(K$10*F$10)-1)*costos!$F$25/3+((U16*F16)/(U$10*F$10)-1)*costos!$F$25/3+((L16*F16)/(L$10*F$10)-1)*costos!$G$25+((AQ16)/(AQ$10)-1)*costos!$J$25+((V16*F16)/(V$10*F$10)-1)*costos!$K$25)))</f>
        <v>105.15155450949132</v>
      </c>
      <c r="CU16" s="92">
        <f>CU$10*(1+((H16/H$10-1)*costos!$B$26+((I16*F16)/(I$10*F$10)-1)*costos!$E$26+((J16*F16)/((J$10*F$10)-1)*costos!$F$26/3+((K16*F16)/(K$10*F$10)-1)*costos!$F$26/3+((U16*F16)/(U$10*F$10)-1)*costos!$F$26/3+((L16*F16)/(L$10*F$10)-1)*costos!$G$26+((AR16)/(AR$10)-1)*costos!$J$26+((V16*F16)/(V$10*F$10)-1)*costos!$K$26)))</f>
        <v>110.58561340942541</v>
      </c>
      <c r="CV16" s="92">
        <f>CV$10*(1+((H16/H$10-1)*costos!$B$27+((I16*F16)/(I$10*F$10)-1)*costos!$E$27+((J16*F16)/((J$10*F$10)-1)*costos!$F$27/3+((K16*F16)/(K$10*F$10)-1)*costos!$F$27/3+((U16*F16)/(U$10*F$10)-1)*costos!$F$27/3+((L16*F16)/(L$10*F$10)-1)*costos!$G$27+((AS16)/(AS$10)-1)*costos!$J$27+((V16*F16)/(V$10*F$10)-1)*costos!$K$27)))</f>
        <v>109.18473421995252</v>
      </c>
      <c r="CW16" s="92">
        <f>CW$10*(1+((H16/H$10-1)*costos!$B$28+((I16*F16)/(I$10*F$10)-1)*costos!$E$28+((J16*F16)/((J$10*F$10)-1)*costos!$F$28/3+((K16*F16)/(K$10*F$10)-1)*costos!$F$28/3+((U16*F16)/(U$10*F$10)-1)*costos!$F$28/3+((L16*F16)/(L$10*F$10)-1)*costos!$G$28+((AS16)/(AS$10)-1)*costos!$J$28+((V16*F16)/(V$10*F$10)-1)*costos!$K$28)))</f>
        <v>109.18473421995252</v>
      </c>
      <c r="CX16" s="92">
        <f t="shared" si="63"/>
        <v>109.65169394977681</v>
      </c>
      <c r="CY16" s="92">
        <f>CY$10*(1+((H16/H$10-1)*costos!$B$32+((I16*F16)/(I$10*F$10)-1)*costos!$E$32+((J16*F16)/((J$10*F$10)-1)*costos!$F$32/3+((K16*F16)/(K$10*F$10)-1)*costos!$F$32/3+((U16*F16)/(U$10*F$10)-1)*costos!$F$32/3+((L16*F16)/(L$10*F$10)-1)*costos!$G$32+((AG16)/(AG$10)-1)*costos!$J$32+((V16*F16)/(V$10*F$10)-1)*costos!$K$32)))</f>
        <v>107.37503449256896</v>
      </c>
      <c r="CZ16" s="69">
        <f>CZ$10*(1+((H16/H$10-1)*costos!$B$31+((I16*F16)/(I$10*F$10)-1)*costos!$E$30+((J16*F16)/((J$10*F$10)-1)*costos!$F$30/3+((K16*F16)/(K$10*F$10)-1)*costos!$F$30/3+((U16*F16)/(U$10*F$10)-1)*costos!$F$30/3+((L16*F16)/(L$10*F$10)-1)*costos!$G$30+((BG16)/(BG$10)-1)*costos!$J$30+((V16*F16)/(V$10*F$10)-1)*costos!$K$30)))</f>
        <v>114.33110061181672</v>
      </c>
      <c r="DA16" s="69">
        <f>DA$10*(1+((H16/H$10-1)*costos!$B$31+((I16*F16)/(I$10*F$10)-1)*costos!$E$31+((J16*F16)/((J$10*F$10)-1)*costos!$F$31/3+((K16*F16)/(K$10*F$10)-1)*costos!$F$31/3+((U16*F16)/(U$10*F$10)-1)*costos!$F$31/3+((L16*F16)/(L$10*F$10)-1)*costos!$G$31+((BJ16)/(BJ$10)-1)*costos!$J$31+((V16*F16)/(V$10*F$10)-1)*costos!$K$31)))</f>
        <v>109.76227180669152</v>
      </c>
      <c r="DB16" s="69">
        <f>DB$10*(1+((H16/H$10-1)*costos!$B$36+((I16*F16)/(I$10*F$10)-1)*costos!$E$36+((J16*F16)/((J$10*F$10)-1)*costos!$F$36/3+((K16*F16)/(K$10*F$10)-1)*costos!$F$36/3+((U16*F16)/(U$10*F$10)-1)*costos!$F$36/3+((L16*F16)/(L$10*F$10)-1)*costos!$G$36+((BK16)/(BK$10)-1)*costos!$J$36+((V16*F16)/(V$10*F$10)-1)*costos!$K$36)))</f>
        <v>118.0793433231659</v>
      </c>
      <c r="DC16" s="69">
        <f>DC$10*(1+((H16/H$10-1)*costos!$B$37+((I16*F16)/(I$10*F$10)-1)*costos!$E$37+((U16*F16)/(U$10*F$10)-1)*costos!$F$37+((L16*F16)/(L$10*F$10)-1)*costos!$G$37+((BN16)/(BN$10)-1)*costos!$J$37+((V16*F16)/(V$10*F$10)-1)*costos!$K$37))</f>
        <v>115.42619629159887</v>
      </c>
      <c r="DD16" s="69">
        <f>DD$10*(1+((H16/H$10-1)*costos!$B$39+((I16*F16)/(I$10*F$10)-1)*costos!$E$39+((U16*F16)/(U$10*F$10)-1)*costos!$F$39+((L16*F16)/(L$10*F$10)-1)*costos!$G$39+((BR16)/(BR$10)-1)*costos!$J$39+((V16*F16)/(V$10*F$10)-1)*costos!$K$39))</f>
        <v>112.08679008648889</v>
      </c>
      <c r="DE16" s="69">
        <f>DD$10*(1+((H16/H$10-1)*costos!$B$35+((I16*F16)/(I$10*F$10)-1)*costos!$E$35+((U16*F16)/(U$10*F$10)-1)*costos!$F$35+((L16*F16)/(L$10*F$10)-1)*costos!$G$35+((BR16)/(BR$10)-1)*costos!$J$35+((V16*F16)/(V$10*F$10)-1)*costos!$K$35))</f>
        <v>110.04665887470382</v>
      </c>
      <c r="DF16" s="69">
        <f>DF$10*(1+((H16/H$10-1)*costos!$B$40+((I16*F16)/(I$10*F$10)-1)*costos!$E$40+((U16*F16)/(U$10*F$10)-1)*costos!$F$40+((L16*F16)/(L$10*F$10)-1)*costos!$G$40+((BP16)/(BP$10)-1)*costos!$J$40+((V16*F16)/(V$10*F$10)-1)*costos!$K$40))</f>
        <v>113.80057215847054</v>
      </c>
      <c r="DG16" s="92">
        <f t="shared" si="64"/>
        <v>111.92361551658718</v>
      </c>
      <c r="DH16" s="69">
        <f>DH$10*(1+((H16/H$10-1)*costos!$B$34+((I16*F16)/(I$10*F$10)-1)*costos!$E$34+((J16*F16)/((J$10*F$10)-1)*costos!$F$34/3+((K16*F16)/(K$10*F$10)-1)*costos!$F$34/3+((U16*F16)/(U$10*F$10)-1)*costos!$F$34/3+((L16*F16)/(L$10*F$10)-1)*costos!$G$34+((BV16)/(BV$10)-1)*costos!$J$34+((V16*F16)/(V$10*F$10)-1)*costos!$K$34)))</f>
        <v>111.37813232051978</v>
      </c>
      <c r="DI16" s="69">
        <f>DI$10*(1+((H16/H$10-1)*costos!$B$38+((I16*F16)/(I$10*F$10)-1)*costos!$E$38+((J16*F16)/((J$10*F$10)-1)*costos!$F$38/3+((K16*F16)/(K$10*F$10)-1)*costos!$F$38/3+((U16*F16)/(U$10*F$10)-1)*costos!$F$38/3+((L16*F16)/(L$10*F$10)-1)*costos!$G$38+((BU16)/(BU$10)-1)*costos!$J$38+((V16*F16)/(V$10*F$10)-1)*costos!$K$38)))</f>
        <v>106.9277670465537</v>
      </c>
      <c r="DK16" s="1">
        <v>405500</v>
      </c>
      <c r="DL16" s="1" t="s">
        <v>107</v>
      </c>
      <c r="DM16" s="82">
        <f t="shared" si="65"/>
        <v>214570</v>
      </c>
      <c r="DN16" s="82" t="str">
        <f t="shared" si="65"/>
        <v>2015-16</v>
      </c>
      <c r="DO16" s="82">
        <f t="shared" si="117"/>
        <v>1200000</v>
      </c>
      <c r="DP16" s="82" t="str">
        <f t="shared" si="117"/>
        <v>2015-16</v>
      </c>
      <c r="DQ16" s="82">
        <f t="shared" si="117"/>
        <v>1220000</v>
      </c>
      <c r="DR16" s="82" t="str">
        <f t="shared" si="117"/>
        <v>2015-16</v>
      </c>
      <c r="DS16" s="1">
        <v>3600000</v>
      </c>
      <c r="DT16" s="1" t="s">
        <v>107</v>
      </c>
      <c r="DU16" s="1">
        <v>20100000</v>
      </c>
      <c r="DV16" s="1" t="s">
        <v>107</v>
      </c>
      <c r="DW16" s="1">
        <v>850000</v>
      </c>
      <c r="DX16" s="1" t="s">
        <v>107</v>
      </c>
      <c r="DY16" s="83">
        <v>6365000</v>
      </c>
      <c r="DZ16" s="1" t="s">
        <v>106</v>
      </c>
      <c r="EA16" s="79">
        <f t="shared" si="67"/>
        <v>33335000</v>
      </c>
      <c r="EB16" s="82">
        <f t="shared" si="68"/>
        <v>368438</v>
      </c>
      <c r="EC16" s="82" t="str">
        <f t="shared" si="69"/>
        <v>2015-16</v>
      </c>
      <c r="ED16" s="83">
        <f t="shared" si="69"/>
        <v>165327</v>
      </c>
      <c r="EE16" s="143">
        <f t="shared" si="69"/>
        <v>2016</v>
      </c>
      <c r="EF16" s="83">
        <f t="shared" ref="EF16:EF45" si="121">+EF15</f>
        <v>223944</v>
      </c>
      <c r="EG16" s="143">
        <f t="shared" ref="EG16:EG45" si="122">+EG15</f>
        <v>2016</v>
      </c>
      <c r="EH16" s="83">
        <f t="shared" si="120"/>
        <v>53117706</v>
      </c>
      <c r="EI16" s="143">
        <f t="shared" si="120"/>
        <v>2016</v>
      </c>
      <c r="EJ16" s="83">
        <v>5119438</v>
      </c>
      <c r="EK16" s="143">
        <v>2016</v>
      </c>
      <c r="EL16" s="82">
        <f t="shared" si="120"/>
        <v>14864321</v>
      </c>
      <c r="EM16" s="144">
        <f t="shared" si="120"/>
        <v>2016</v>
      </c>
      <c r="EN16" s="82">
        <f t="shared" si="120"/>
        <v>3499621</v>
      </c>
      <c r="EO16" s="144">
        <f t="shared" si="120"/>
        <v>2016</v>
      </c>
      <c r="EP16" s="82">
        <f t="shared" si="118"/>
        <v>6552</v>
      </c>
      <c r="EQ16" s="83">
        <f t="shared" si="100"/>
        <v>3008956</v>
      </c>
      <c r="ER16" s="1">
        <v>32755</v>
      </c>
      <c r="ES16" s="82"/>
      <c r="ET16" s="83">
        <f t="shared" si="101"/>
        <v>24000</v>
      </c>
      <c r="EU16" s="83">
        <f t="shared" si="101"/>
        <v>16752</v>
      </c>
      <c r="EV16" s="83">
        <f t="shared" si="101"/>
        <v>9500</v>
      </c>
      <c r="EW16" s="83">
        <f t="shared" si="101"/>
        <v>17994</v>
      </c>
      <c r="EX16" s="79">
        <f t="shared" si="72"/>
        <v>68246</v>
      </c>
      <c r="EY16" s="1">
        <f t="shared" ref="EY16:EZ48" si="123">+EY15</f>
        <v>19129</v>
      </c>
      <c r="EZ16" s="82">
        <f t="shared" si="102"/>
        <v>75500</v>
      </c>
      <c r="FA16" s="1">
        <f t="shared" si="103"/>
        <v>22169</v>
      </c>
      <c r="FB16" s="1">
        <f t="shared" si="103"/>
        <v>20495</v>
      </c>
      <c r="FC16" s="79">
        <f t="shared" si="73"/>
        <v>42664</v>
      </c>
      <c r="FD16" s="1">
        <f t="shared" si="104"/>
        <v>43815</v>
      </c>
      <c r="FE16" s="1"/>
      <c r="FF16" s="82">
        <v>708195</v>
      </c>
      <c r="FG16" s="82" t="str">
        <f>+FG17</f>
        <v>2015-16</v>
      </c>
      <c r="FH16" s="1">
        <v>1404980</v>
      </c>
      <c r="FI16" s="1" t="s">
        <v>107</v>
      </c>
      <c r="FJ16" s="82">
        <f t="shared" si="112"/>
        <v>4300000</v>
      </c>
      <c r="FK16" s="82" t="str">
        <f t="shared" si="112"/>
        <v>2015-16</v>
      </c>
      <c r="FL16" s="82">
        <f t="shared" si="112"/>
        <v>2450000</v>
      </c>
      <c r="FM16" s="82" t="str">
        <f t="shared" si="112"/>
        <v>2015-16</v>
      </c>
      <c r="FN16" s="1">
        <v>28000000</v>
      </c>
      <c r="FO16" s="1" t="s">
        <v>107</v>
      </c>
      <c r="FP16" s="1">
        <v>56000000</v>
      </c>
      <c r="FQ16" s="1" t="s">
        <v>107</v>
      </c>
      <c r="FR16" s="1">
        <v>3500000</v>
      </c>
      <c r="FS16" s="1" t="s">
        <v>107</v>
      </c>
      <c r="FT16" s="83">
        <f t="shared" si="75"/>
        <v>11315000</v>
      </c>
      <c r="FU16" s="83" t="str">
        <f t="shared" si="75"/>
        <v>2015-16</v>
      </c>
      <c r="FV16" s="79">
        <f t="shared" si="76"/>
        <v>105565000</v>
      </c>
      <c r="FW16" s="1">
        <v>1001113</v>
      </c>
      <c r="FX16" s="1" t="s">
        <v>107</v>
      </c>
      <c r="FY16" s="83">
        <v>143267.90700000001</v>
      </c>
      <c r="FZ16" s="79"/>
      <c r="GA16" s="79"/>
      <c r="GB16" s="1">
        <v>17584178</v>
      </c>
      <c r="GC16" s="6">
        <v>2016</v>
      </c>
      <c r="GD16" s="1">
        <f t="shared" si="105"/>
        <v>1678337</v>
      </c>
      <c r="GE16" s="1">
        <v>468278</v>
      </c>
      <c r="GF16" s="1">
        <v>1032446</v>
      </c>
      <c r="GG16" s="1">
        <f t="shared" si="106"/>
        <v>102259</v>
      </c>
      <c r="GH16" s="79">
        <f t="shared" si="78"/>
        <v>1602983</v>
      </c>
      <c r="GI16" s="82">
        <f t="shared" si="79"/>
        <v>1302556</v>
      </c>
      <c r="GJ16" s="1">
        <f t="shared" si="80"/>
        <v>600000</v>
      </c>
      <c r="GK16" s="1">
        <f t="shared" si="80"/>
        <v>998555</v>
      </c>
      <c r="GL16" s="1">
        <f t="shared" si="80"/>
        <v>302000</v>
      </c>
      <c r="GM16" s="1">
        <f t="shared" si="80"/>
        <v>266553.90000000002</v>
      </c>
      <c r="GN16" s="79">
        <f t="shared" si="81"/>
        <v>2167108.9</v>
      </c>
      <c r="GO16" s="83">
        <f t="shared" si="107"/>
        <v>191984</v>
      </c>
      <c r="GP16" s="1">
        <f t="shared" si="82"/>
        <v>68123</v>
      </c>
      <c r="GQ16" s="1"/>
      <c r="GR16" s="1">
        <v>42700</v>
      </c>
      <c r="GS16" s="79">
        <f t="shared" si="83"/>
        <v>42700</v>
      </c>
      <c r="GT16" s="83">
        <f t="shared" si="108"/>
        <v>2430866</v>
      </c>
      <c r="GU16" s="1">
        <f t="shared" si="84"/>
        <v>50951.583333333336</v>
      </c>
      <c r="GV16" s="1">
        <f t="shared" si="85"/>
        <v>51463.083333333336</v>
      </c>
      <c r="GW16" s="79">
        <f t="shared" si="49"/>
        <v>1228976</v>
      </c>
      <c r="GX16" s="83">
        <v>30955.772000000001</v>
      </c>
      <c r="GY16" s="83" t="s">
        <v>329</v>
      </c>
      <c r="GZ16" s="83">
        <f t="shared" si="109"/>
        <v>93671</v>
      </c>
      <c r="HA16" s="1">
        <v>209000</v>
      </c>
      <c r="HB16" s="79"/>
      <c r="HC16" s="79"/>
      <c r="HD16" s="1">
        <v>45461</v>
      </c>
      <c r="HE16" s="79"/>
      <c r="HF16" s="79"/>
      <c r="HG16" s="1">
        <v>173000</v>
      </c>
      <c r="HH16" s="79"/>
      <c r="HI16" s="79"/>
      <c r="HJ16" s="1"/>
      <c r="HK16" s="79"/>
      <c r="HL16" s="79"/>
      <c r="HM16" s="79">
        <f t="shared" si="86"/>
        <v>0</v>
      </c>
      <c r="HN16" s="69"/>
      <c r="HO16" s="1">
        <v>795700000</v>
      </c>
      <c r="HP16" s="79"/>
      <c r="HQ16" s="79"/>
      <c r="HR16" s="1"/>
      <c r="HS16" s="1"/>
      <c r="HT16" s="1"/>
      <c r="HU16" s="83">
        <f t="shared" si="119"/>
        <v>650000</v>
      </c>
      <c r="HV16" s="83" t="str">
        <f t="shared" si="119"/>
        <v>2015-16</v>
      </c>
      <c r="HW16" s="1">
        <f t="shared" si="119"/>
        <v>2000000</v>
      </c>
      <c r="HX16" s="1" t="s">
        <v>107</v>
      </c>
      <c r="HY16" s="1">
        <v>2950000</v>
      </c>
      <c r="HZ16" s="1" t="s">
        <v>107</v>
      </c>
      <c r="IA16" s="1">
        <f t="shared" si="113"/>
        <v>17210000</v>
      </c>
      <c r="IB16" s="1" t="str">
        <f t="shared" si="114"/>
        <v>2015-16</v>
      </c>
      <c r="IC16" s="1">
        <v>50000000</v>
      </c>
      <c r="ID16" s="1" t="s">
        <v>107</v>
      </c>
      <c r="IE16" s="1">
        <f t="shared" si="115"/>
        <v>2600000</v>
      </c>
      <c r="IF16" s="1" t="s">
        <v>107</v>
      </c>
      <c r="IG16" s="1"/>
      <c r="IH16" s="1"/>
      <c r="II16" s="79">
        <f t="shared" si="87"/>
        <v>74760000</v>
      </c>
      <c r="IJ16" s="97">
        <f t="shared" si="110"/>
        <v>1.6218070029006586</v>
      </c>
      <c r="IK16" s="1" t="s">
        <v>107</v>
      </c>
      <c r="IL16" s="7">
        <v>43.13</v>
      </c>
      <c r="IM16" s="7">
        <v>51.340621887248616</v>
      </c>
      <c r="IN16" s="7">
        <v>201</v>
      </c>
      <c r="IO16" s="695">
        <f>+IO28*(1-0.1111)</f>
        <v>12.782382000000002</v>
      </c>
      <c r="IP16" s="98">
        <f t="shared" si="88"/>
        <v>5.7844457536132143</v>
      </c>
      <c r="IQ16" s="93">
        <v>21.6</v>
      </c>
      <c r="IR16" s="93">
        <f t="shared" si="111"/>
        <v>2.2000000000000002</v>
      </c>
      <c r="IS16" s="93">
        <f t="shared" si="111"/>
        <v>5.59</v>
      </c>
      <c r="IT16" s="93">
        <f t="shared" si="111"/>
        <v>13.55</v>
      </c>
      <c r="IU16" s="93">
        <f t="shared" si="111"/>
        <v>1.07</v>
      </c>
      <c r="IV16" s="94">
        <f t="shared" si="89"/>
        <v>20.21</v>
      </c>
      <c r="IW16" s="84"/>
      <c r="IX16" s="84"/>
      <c r="IY16" s="105">
        <v>1.84</v>
      </c>
      <c r="IZ16" s="161">
        <v>0.3</v>
      </c>
      <c r="JA16" s="161"/>
      <c r="JB16" s="84">
        <v>38.770000000000003</v>
      </c>
      <c r="JC16" s="84"/>
      <c r="JD16" s="84"/>
      <c r="JF16" s="2">
        <v>6.6316867500000019</v>
      </c>
      <c r="JG16" s="2">
        <v>16.601504079999998</v>
      </c>
      <c r="JH16" s="2">
        <v>36.252381440000001</v>
      </c>
      <c r="JI16" s="2">
        <v>70.09060414999999</v>
      </c>
      <c r="JJ16" s="2">
        <v>357.18398801000006</v>
      </c>
      <c r="JK16" s="2">
        <v>82.080388339999999</v>
      </c>
      <c r="JL16" s="2">
        <v>1734.7844528000005</v>
      </c>
      <c r="JM16" s="2">
        <v>11.35638123</v>
      </c>
      <c r="JN16" s="2">
        <v>118.65599743000001</v>
      </c>
      <c r="JO16" s="2">
        <v>19.172324489999998</v>
      </c>
      <c r="JP16" s="2">
        <v>0</v>
      </c>
      <c r="JQ16" s="2">
        <v>2.7499999999999998E-3</v>
      </c>
      <c r="JR16" s="2">
        <v>0.67298763000000006</v>
      </c>
      <c r="JS16" s="2">
        <v>0</v>
      </c>
      <c r="JT16" s="2">
        <v>8.1499999999999997E-4</v>
      </c>
      <c r="JU16" s="2">
        <v>77.241709169999993</v>
      </c>
      <c r="JV16" s="2">
        <v>8.0918965799999985</v>
      </c>
      <c r="JW16" s="2">
        <v>14.492691549999998</v>
      </c>
      <c r="JX16" s="2">
        <v>134.06813211000002</v>
      </c>
      <c r="JY16" s="2">
        <v>8.2156634999999998</v>
      </c>
      <c r="JZ16" s="2">
        <v>8.5126986999999996</v>
      </c>
      <c r="KA16" s="2">
        <v>4.9133999999999997E-2</v>
      </c>
      <c r="KB16" s="2">
        <v>15.170699599999999</v>
      </c>
      <c r="KC16" s="2">
        <v>38.560069640000002</v>
      </c>
      <c r="KD16" s="2">
        <v>8.1172387799999992</v>
      </c>
      <c r="KE16" s="2">
        <v>16.618672359999998</v>
      </c>
      <c r="KF16" s="2">
        <v>23.936499900000001</v>
      </c>
      <c r="KG16" s="2">
        <v>156.87236970000001</v>
      </c>
      <c r="KH16" s="2">
        <v>46.940550620000003</v>
      </c>
      <c r="KI16" s="2">
        <v>12.871439209999998</v>
      </c>
      <c r="KJ16" s="2">
        <v>0.98075302000000009</v>
      </c>
      <c r="KK16" s="2">
        <v>9.4679292400000001</v>
      </c>
      <c r="KL16" s="2">
        <v>0.44719823000000003</v>
      </c>
      <c r="KM16" s="2">
        <v>0.73488434999999985</v>
      </c>
      <c r="KN16" s="2">
        <v>0.98601258999999997</v>
      </c>
      <c r="KO16" s="2">
        <v>0.98232336000000009</v>
      </c>
      <c r="KP16" s="2">
        <v>5.259983E-2</v>
      </c>
      <c r="KQ16" s="2">
        <v>34.13749782</v>
      </c>
      <c r="KR16" s="2">
        <v>0</v>
      </c>
      <c r="KS16" s="2">
        <v>0.46256158000000003</v>
      </c>
      <c r="KT16" s="2">
        <v>3.4434072000000002</v>
      </c>
      <c r="KU16" s="2">
        <v>0.15817666</v>
      </c>
      <c r="KV16" s="2">
        <v>0.40838028000000004</v>
      </c>
      <c r="KW16" s="2">
        <v>5.3053937099999997</v>
      </c>
      <c r="KX16" s="2">
        <v>0</v>
      </c>
      <c r="KY16" s="2">
        <v>0</v>
      </c>
      <c r="KZ16" s="2">
        <v>0.38322754999999997</v>
      </c>
      <c r="LA16" s="2">
        <v>0.61694436000000008</v>
      </c>
      <c r="LB16" s="2">
        <v>3.402488E-2</v>
      </c>
      <c r="LC16" s="2">
        <v>9.5414679999999988E-2</v>
      </c>
      <c r="LD16" s="2">
        <v>0</v>
      </c>
      <c r="LE16" s="2">
        <v>0.33481150999999998</v>
      </c>
      <c r="LF16" s="2">
        <v>0.18903535000000002</v>
      </c>
      <c r="LG16" s="2">
        <v>17.398224849999998</v>
      </c>
      <c r="LH16" s="2">
        <v>3.36068605</v>
      </c>
      <c r="LI16" s="2">
        <v>0</v>
      </c>
      <c r="LJ16" s="2">
        <v>4.3937100000000003E-3</v>
      </c>
      <c r="LK16" s="2">
        <v>4.8294731899999999</v>
      </c>
      <c r="LL16" s="2">
        <v>3.3698150299999998</v>
      </c>
      <c r="LM16" s="2">
        <v>1.8075680200000002</v>
      </c>
      <c r="LN16" s="2">
        <v>0.57776717</v>
      </c>
      <c r="LO16" s="2">
        <v>5.6382535800000007</v>
      </c>
      <c r="LQ16" s="85">
        <f t="shared" si="90"/>
        <v>2328.3238050600003</v>
      </c>
      <c r="LR16" s="85">
        <f t="shared" si="91"/>
        <v>0.6765526300000001</v>
      </c>
      <c r="LS16" s="85">
        <f t="shared" si="92"/>
        <v>22.584588129999997</v>
      </c>
      <c r="LT16" s="85">
        <f t="shared" si="93"/>
        <v>16.777496199999998</v>
      </c>
      <c r="LU16" s="85">
        <f t="shared" si="94"/>
        <v>37.303279699999997</v>
      </c>
      <c r="LV16" s="85">
        <f t="shared" si="95"/>
        <v>5.71377399</v>
      </c>
      <c r="LW16" s="85">
        <f t="shared" si="96"/>
        <v>0.65096924000000012</v>
      </c>
      <c r="LX16" s="85">
        <f t="shared" si="97"/>
        <v>0.52384686000000003</v>
      </c>
      <c r="LZ16" s="131">
        <v>15.88</v>
      </c>
      <c r="MA16" s="171">
        <v>16.809999999999999</v>
      </c>
      <c r="MB16"/>
      <c r="MC16"/>
      <c r="MD16"/>
      <c r="MF16"/>
      <c r="MG16"/>
      <c r="MH16" s="83">
        <v>33.07</v>
      </c>
      <c r="MI16" s="83">
        <v>9.48</v>
      </c>
      <c r="MJ16" s="83">
        <v>11.91</v>
      </c>
      <c r="MK16"/>
      <c r="ML16" s="83">
        <v>15.21</v>
      </c>
      <c r="MM16" s="83">
        <v>34.42</v>
      </c>
      <c r="MN16" s="83"/>
      <c r="MO16" s="83">
        <v>20.41</v>
      </c>
      <c r="MP16" s="83">
        <v>25.75</v>
      </c>
      <c r="MQ16" s="83">
        <v>26.82</v>
      </c>
      <c r="MR16"/>
      <c r="MT16"/>
      <c r="MU16" s="171">
        <v>11.53</v>
      </c>
      <c r="MV16"/>
      <c r="MW16"/>
      <c r="MX16"/>
      <c r="MY16" s="83">
        <v>27.29</v>
      </c>
      <c r="MZ16" s="83">
        <v>76.2</v>
      </c>
      <c r="NA16" s="83">
        <v>32.659999999999997</v>
      </c>
      <c r="NB16" s="83">
        <v>108.43</v>
      </c>
      <c r="NC16" s="83">
        <v>16.53</v>
      </c>
      <c r="ND16"/>
      <c r="NE16" s="1">
        <v>85.67</v>
      </c>
    </row>
    <row r="17" spans="1:369">
      <c r="A17" s="38">
        <f t="shared" si="32"/>
        <v>42583</v>
      </c>
      <c r="B17" s="36">
        <v>8</v>
      </c>
      <c r="C17" s="36">
        <v>2016</v>
      </c>
      <c r="D17" s="36">
        <f t="shared" si="50"/>
        <v>17</v>
      </c>
      <c r="E17" s="38">
        <f t="shared" si="33"/>
        <v>42583</v>
      </c>
      <c r="F17" s="7">
        <v>15.028260869565219</v>
      </c>
      <c r="G17" s="7">
        <v>93.298555377207066</v>
      </c>
      <c r="H17" s="1">
        <f>[2]NACIONALES!$D5</f>
        <v>9216</v>
      </c>
      <c r="I17" s="7">
        <v>106</v>
      </c>
      <c r="J17" s="7">
        <v>350</v>
      </c>
      <c r="K17" s="7">
        <v>3.4</v>
      </c>
      <c r="L17" s="7">
        <v>34.1</v>
      </c>
      <c r="N17" s="5">
        <v>1.4690000000000001</v>
      </c>
      <c r="O17" s="5">
        <v>1.3149999999999999</v>
      </c>
      <c r="P17" s="78">
        <f t="shared" si="34"/>
        <v>20.919339130434786</v>
      </c>
      <c r="Q17" s="6">
        <v>335</v>
      </c>
      <c r="R17" s="79">
        <f t="shared" si="35"/>
        <v>3350</v>
      </c>
      <c r="S17" s="6">
        <v>128.31818181818181</v>
      </c>
      <c r="T17" s="6">
        <v>358.59090909090907</v>
      </c>
      <c r="U17" s="143">
        <v>147.03636363636363</v>
      </c>
      <c r="V17" s="6">
        <v>259.21818181818185</v>
      </c>
      <c r="W17" s="6">
        <v>143.84090909090909</v>
      </c>
      <c r="X17" s="6">
        <v>163.77272727272728</v>
      </c>
      <c r="Y17" s="79">
        <f t="shared" si="36"/>
        <v>1928.399110671937</v>
      </c>
      <c r="Z17" s="79">
        <f t="shared" si="37"/>
        <v>5388.9977272727274</v>
      </c>
      <c r="AA17" s="79">
        <f t="shared" si="38"/>
        <v>2209.700830039526</v>
      </c>
      <c r="AB17" s="79">
        <f t="shared" si="39"/>
        <v>3895.5984584980247</v>
      </c>
      <c r="AC17" s="79">
        <f t="shared" si="40"/>
        <v>2161.6787055335972</v>
      </c>
      <c r="AD17" s="79">
        <f t="shared" si="41"/>
        <v>2461.2192687747038</v>
      </c>
      <c r="AE17" s="79">
        <f t="shared" si="42"/>
        <v>3007.5990167984191</v>
      </c>
      <c r="AF17" s="1">
        <v>9567.2727272727279</v>
      </c>
      <c r="AG17" s="1">
        <v>4803</v>
      </c>
      <c r="AH17" s="1">
        <v>18031</v>
      </c>
      <c r="AI17" s="5">
        <v>7.69</v>
      </c>
      <c r="AJ17" s="5">
        <v>4.32</v>
      </c>
      <c r="AK17" s="5">
        <v>3.4</v>
      </c>
      <c r="AL17" s="5">
        <v>3.42</v>
      </c>
      <c r="AM17" s="78">
        <f t="shared" si="43"/>
        <v>5.4150000000000009</v>
      </c>
      <c r="AN17" s="5">
        <v>285.60000000000002</v>
      </c>
      <c r="AO17" s="80">
        <f t="shared" si="51"/>
        <v>171.36</v>
      </c>
      <c r="AP17" s="78">
        <f t="shared" si="44"/>
        <v>228.48000000000002</v>
      </c>
      <c r="AQ17" s="5">
        <v>123.84</v>
      </c>
      <c r="AR17" s="5">
        <v>116</v>
      </c>
      <c r="AS17" s="5">
        <v>87.661538461538441</v>
      </c>
      <c r="AT17" s="80">
        <f t="shared" si="52"/>
        <v>123.84</v>
      </c>
      <c r="AU17" s="78">
        <f t="shared" si="53"/>
        <v>109.16717948717947</v>
      </c>
      <c r="AV17">
        <v>101.19999999999999</v>
      </c>
      <c r="AW17" s="80">
        <f t="shared" si="54"/>
        <v>323.83999999999997</v>
      </c>
      <c r="AX17">
        <v>152.6</v>
      </c>
      <c r="AY17" s="7">
        <v>293.40000000000003</v>
      </c>
      <c r="AZ17" s="7">
        <v>133.38</v>
      </c>
      <c r="BA17" s="7">
        <v>183.51</v>
      </c>
      <c r="BB17" s="94">
        <f t="shared" si="45"/>
        <v>202.57749999999999</v>
      </c>
      <c r="BC17" s="68">
        <v>579</v>
      </c>
      <c r="BD17" s="68">
        <f t="shared" si="116"/>
        <v>684</v>
      </c>
      <c r="BE17" s="7">
        <f t="shared" si="55"/>
        <v>610</v>
      </c>
      <c r="BF17" s="7">
        <f t="shared" si="55"/>
        <v>410</v>
      </c>
      <c r="BG17" s="94">
        <f t="shared" si="56"/>
        <v>570.75</v>
      </c>
      <c r="BH17" s="7">
        <v>37.549999999999997</v>
      </c>
      <c r="BI17" s="7">
        <f t="shared" si="98"/>
        <v>12.364000000000001</v>
      </c>
      <c r="BJ17" s="78">
        <f t="shared" si="57"/>
        <v>49.914000000000001</v>
      </c>
      <c r="BK17" s="7">
        <v>30.856000000000002</v>
      </c>
      <c r="BL17" s="7">
        <v>31.164999999999999</v>
      </c>
      <c r="BM17" s="94">
        <f t="shared" si="58"/>
        <v>31.0105</v>
      </c>
      <c r="BN17" s="5">
        <v>4.2666879151695953</v>
      </c>
      <c r="BO17" s="105">
        <v>21.3</v>
      </c>
      <c r="BP17" s="80">
        <v>15.218499999999999</v>
      </c>
      <c r="BQ17" s="94">
        <f t="shared" si="59"/>
        <v>20.691850000000002</v>
      </c>
      <c r="BR17" s="7">
        <v>14.67</v>
      </c>
      <c r="BS17" s="7">
        <v>79</v>
      </c>
      <c r="BT17" s="7">
        <v>45.72</v>
      </c>
      <c r="BU17" s="79">
        <f t="shared" si="46"/>
        <v>1085.1600000000001</v>
      </c>
      <c r="BV17" s="97">
        <v>21.9</v>
      </c>
      <c r="BW17" s="95"/>
      <c r="BY17" s="92">
        <f>BY$10*(1+((H17/H$10-1)*costos!$B$5+((I17*F17)/(I$10*F$10)-1)*costos!$E$5+((J17*F17)/((J$10*F$10)-1)*costos!$F$5/3+((K17*F17)/(K$10*F$10)-1)*costos!$F$5/3+((U17*F17)/(U$10*F$10)-1)*costos!$F$5/3+((L17*F17)/(L$10*F$10)-1)*costos!$G$5+((N17*F17)/(N$10*F$10)-1)*costos!$J$5+((V17*F17)/(V$10*F$10)-1)*costos!$K$5)))</f>
        <v>127.09065309596066</v>
      </c>
      <c r="BZ17" s="92">
        <f>$BZ$10*(1+((H17/$H$10-1)*costos!$B$6+((I17*F17)/($I$10*$F$10)-1)*costos!$E$6+((J17*F17)/(($J$10*$F$10)-1)*costos!$F$6/3+((K17*F17)/($K$10*$F$10)-1)*costos!$F$6/3+((U17*F17)/($U$10*$F$10)-1)*costos!$F$6/3+((L17*F17)/($L$10*$F$10)-1)*costos!$G$6+((Q17*F17)/($Q$10*$F$10)-1)*costos!$J$6+((V17*F17)/($V$10*$F$10)-1)*costos!$K$6)))</f>
        <v>121.17568937608358</v>
      </c>
      <c r="CA17" s="92">
        <f>CA$10*(1+((H17/H$10-1)*costos!$B$7+((I17*F17)/(I$10*F$10)-1)*costos!$E$7+((J17*F17)/((J$10*F$10)-1)*costos!$F$7/3+((K17*F17)/(K$10*F$10)-1)*costos!$F$7/3+((U17*F17)/(U$10*F$10)-1)*costos!$F$7/3+((L17*F17)/(L$10*F$10)-1)*costos!$G$7+((S17*F17)/(S$10*F$10)-1)*costos!$J$7+((V17*F17)/(V$10*F$10)-1)*costos!$K$7)))</f>
        <v>117.85839482148481</v>
      </c>
      <c r="CB17" s="92">
        <f>CB$10*(1+((H17/H$10-1)*costos!$B$8+((I17*F17)/(I$10*F$10)-1)*costos!$E$8+((J17*F17)/((J$10*F$10)-1)*costos!$F$8/3+((K17*F17)/(K$10*F$10)-1)*costos!$F$8/3+((U17*F17)/(U$10*F$10)-1)*costos!$F$8/3+((L17*F17)/(L$10*F$10)-1)*costos!$G$8+((T17*F17)/(T$10*F$10)-1)*costos!$J$8+((V17*F17)/(V$10*F$10)-1)*costos!$K$8)))</f>
        <v>128.7051890025802</v>
      </c>
      <c r="CC17" s="92">
        <f>CC$10*(1+((H17/H$10-1)*costos!$B$9+((I17*F17)/(I$10*F$10)-1)*costos!$E$9+((J17*F17)/((J$10*F$10)-1)*costos!$F$9/3+((K17*F17)/(K$10*F$10)-1)*costos!$F$9/3+((U17*F17)/(U$10*F$10)-1)*costos!$F$9/3+((L17*F17)/(L$10*F$10)-1)*costos!$G$9+((U17*F17)/(U$10*F$10)-1)*costos!$J$9+((V17*F17)/(V$10*F$10)-1)*costos!$K$9)))</f>
        <v>119.2054197767423</v>
      </c>
      <c r="CD17" s="92">
        <f>CD$10*(1+((H17/H$10-1)*costos!$B$11+((I17*F17)/(I$10*F$10)-1)*costos!$E$11+((J17*F17)/((J$10*F$10)-1)*costos!$F$11/3+((K17*F17)/(K$10*F$10)-1)*costos!$F$11/3+((U17*F17)/(U$10*F$10)-1)*costos!$F$11/3+((L17*F17)/(L$10*F$10)-1)*costos!$G$11+((V17*F17)/(V$10*F$10)-1)*costos!$J$11+((V17*F17)/(V$10*F$10)-1)*costos!$K$11)))</f>
        <v>122.77892371402935</v>
      </c>
      <c r="CE17" s="92">
        <f>CE$10*(1+((H17/H$10-1)*costos!$B$12+((I17*F17)/(I$10*F$10)-1)*costos!$E$12+((J17*F17)/((J$10*F$10)-1)*costos!$F$12/3+((K17*F17)/(K$10*F$10)-1)*costos!$F$12/3+((U17*F17)/(U$10*F$10)-1)*costos!$F$12/3+((L17*F17)/(L$10*F$10)-1)*costos!$G$12+((W17*F17)/(W$10*F$10)-1)*costos!$J$12+((V17*F17)/(V$10*F$10)-1)*costos!$K$12)))</f>
        <v>118.52408251972962</v>
      </c>
      <c r="CF17" s="92">
        <f>CF$10*(1+((H17/H$10-1)*costos!$B$13+((I17*F17)/(I$10*F$10)-1)*costos!$E$13+((J17*F17)/((J$10*F$10)-1)*costos!$F$13/3+((K17*F17)/(K$10*F$10)-1)*costos!$F$13/3+((U17*F17)/(U$10*F$10)-1)*costos!$F$13/3+((L17*F17)/(L$10*F$10)-1)*costos!$G$13+((X17*F17)/(X$10*F$10)-1)*costos!$J$13+((V17*F17)/(V$10*F$10)-1)*costos!$K$13)))</f>
        <v>124.39594201331022</v>
      </c>
      <c r="CG17" s="92">
        <f t="shared" si="60"/>
        <v>121.91132530797942</v>
      </c>
      <c r="CH17" s="92">
        <f>CH$10*(1+((H17/H$10-1)*costos!$B$10+((I17*F17)/(I$10*F$10)-1)*costos!$E$10+((J17*F17)/((J$10*F$10)-1)*costos!$F$10/3+((K17*F17)/(K$10*F$10)-1)*costos!$F$10/3+((U17*F17)/(U$10*F$10)-1)*costos!$F$10/3+((L17*F17)/(L$10*F$10)-1)*costos!$G$10+((AF17)/(AF$10)-1)*costos!$J$10+((V17*F17)/(V$10*F$10)-1)*costos!$K$10)))</f>
        <v>131.59811199232269</v>
      </c>
      <c r="CI17" s="92">
        <f>CI$10*(1+((H17/H$10-1)*costos!$B$15+((I17*F17)/(I$10*F$10)-1)*costos!$E$15+((J17*F17)/((J$10*F$10)-1)*costos!$F$15/3+((K17*F17)/(K$10*F$10)-1)*costos!$F$15/3+((U17*F17)/(U$10*F$10)-1)*costos!$F$15/3+((L17*F17)/(L$10*F$10)-1)*costos!$G$15+((AV17)/(AV$10)-1)*costos!$J$15+((V17*F17)/(V$10*F$10)-1)*costos!$K$15)))</f>
        <v>129.95206072160528</v>
      </c>
      <c r="CJ17" s="92">
        <f>CJ$10*(1+((H17/H$10-1)*costos!$B$16+((I17*F17)/(I$10*F$10)-1)*costos!$E$16+((J17*F17)/((J$10*F$10)-1)*costos!$F$16/3+((K17*F17)/(K$10*F$10)-1)*costos!$F$16/3+((U17*F17)/(U$10*F$10)-1)*costos!$F$16/3+((L17*F17)/(L$10*F$10)-1)*costos!$G$16+((AW17)/(AW$10)-1)*costos!$J$16+((V17*F17)/(V$10*F$10)-1)*costos!$K$16)))</f>
        <v>128.54832754560138</v>
      </c>
      <c r="CK17" s="92">
        <f>CK$10*(1+((H17/H$10-1)*costos!$B$17+((I17*F17)/(I$10*F$10)-1)*costos!$E$17+((J17*F17)/((J$10*F$10)-1)*costos!$F$17/3+((K17*F17)/(K$10*F$10)-1)*costos!$F$17/3+((U17*F17)/(U$10*F$10)-1)*costos!$F$17/3+((L17*F17)/(L$10*F$10)-1)*costos!$G$17+((AX17)/(AX$10)-1)*costos!$J$17+((V17*F17)/(V$10*F$10)-1)*costos!$K$17)))</f>
        <v>138.53011816034982</v>
      </c>
      <c r="CL17" s="92">
        <f>CL$10*(1+((H17/H$10-1)*costos!$B$18+((I17*F17)/(I$10*F$10)-1)*costos!$E$18+((J17*F17)/((J$10*F$10)-1)*costos!$F$18/3+((K17*F17)/(K$10*F$10)-1)*costos!$F$18/3+((U17*F17)/(U$10*F$10)-1)*costos!$F$18/3+((L17*F17)/(L$10*F$10)-1)*costos!$G$18+((AY17)/(AY$10)-1)*costos!$J$18+((V17*F17)/(V$10*F$10)-1)*costos!$K$18)))</f>
        <v>165.24442380143731</v>
      </c>
      <c r="CM17" s="92">
        <f>CM$10*(1+((H17/H$10-1)*costos!$B$19+((I17*F17)/(I$10*F$10)-1)*costos!$E$19+((J17*F17)/((J$10*F$10)-1)*costos!$F$19/3+((K17*F17)/(K$10*F$10)-1)*costos!$F$19/3+((U17*F17)/(U$10*F$10)-1)*costos!$F$19/3+((L17*F17)/(L$10*F$10)-1)*costos!$G$19+((AZ17)/(AZ$10)-1)*costos!$J$19+((V17*F17)/(V$10*F$10)-1)*costos!$K$19)))</f>
        <v>121.35733307678684</v>
      </c>
      <c r="CN17" s="92">
        <f>CN$10*(1+((H17/H$10-1)*costos!$B$20+((I17*F17)/(I$10*F$10)-1)*costos!$E$20+((J17*F17)/((J$10*F$10)-1)*costos!$F$20/3+((K17*F17)/(K$10*F$10)-1)*costos!$F$20/3+((U17*F17)/(U$10*F$10)-1)*costos!$F$20/3+((L17*F17)/(L$10*F$10)-1)*costos!$G$20+((BA17)/(BA$10)-1)*costos!$J$20+((V17*F17)/(V$10*F$10)-1)*costos!$K$20)))</f>
        <v>139.7261497093296</v>
      </c>
      <c r="CO17" s="92">
        <f t="shared" si="61"/>
        <v>141.21450618697588</v>
      </c>
      <c r="CP17" s="92">
        <f>CP$10*(1+((H17/H$10-1)*costos!$B$22+((I17*F17)/(I$10*F$10)-1)*costos!$E$22+((J17*F17)/((J$10*F$10)-1)*costos!$F$22/3+((K17*F17)/(K$10*F$10)-1)*costos!$F$22/3+((U17*F17)/(U$10*F$10)-1)*costos!$F$22/3+((L17*F17)/(L$10*F$10)-1)*costos!$G$22+(((AVERAGE(AI17:AL17))/((AVERAGE(AI$10:AL$10))-1)*costos!$J$22+((V17*F17)/(V$10*F$10)-1)*costos!$K$22)))))</f>
        <v>149.40730002885562</v>
      </c>
      <c r="CQ17" s="92">
        <f>CQ$10*(1+((H17/H$10-1)*costos!$B$23+((I17*F17)/(I$10*F$10)-1)*costos!$E$23+((J17*F17)/((J$10*F$10)-1)*costos!$F$23/3+((K17*F17)/(K$10*F$10)-1)*costos!$F$23/3+((U17*F17)/(U$10*F$10)-1)*costos!$F$23/3+((L17*F17)/(L$10*F$10)-1)*costos!$G$23+((AN17)/(AN$10)-1)*costos!$J$23+((V17*F17)/(V$10*F$10)-1)*costos!$K$23)))</f>
        <v>117.85659216944291</v>
      </c>
      <c r="CR17" s="92">
        <f>CR$10*(1+((H17/H$10-1)*costos!$B$24+((I17*F17)/(I$10*F$10)-1)*costos!$E$24+((J17*F17)/((J$10*F$10)-1)*costos!$F$24/3+((K17*F17)/(K$10*F$10)-1)*costos!$F$24/3+((U17*F17)/(U$10*F$10)-1)*costos!$F$24/3+((L17*F17)/(L$10*F$10)-1)*costos!$G$24+((AO17)/(AO$10)-1)*costos!$J$24+((V17*F17)/(V$10*F$10)-1)*costos!$K$24)))</f>
        <v>117.85659216944291</v>
      </c>
      <c r="CS17" s="92">
        <f t="shared" si="62"/>
        <v>117.85659216944291</v>
      </c>
      <c r="CT17" s="92">
        <f>CT$10*(1+((H17/H$10-1)*costos!$B$25+((I17*F17)/(I$10*F$10)-1)*costos!$E$25+((J17*F17)/((J$10*F$10)-1)*costos!$F$25/3+((K17*F17)/(K$10*F$10)-1)*costos!$F$25/3+((U17*F17)/(U$10*F$10)-1)*costos!$F$25/3+((L17*F17)/(L$10*F$10)-1)*costos!$G$25+((AQ17)/(AQ$10)-1)*costos!$J$25+((V17*F17)/(V$10*F$10)-1)*costos!$K$25)))</f>
        <v>113.88522190415569</v>
      </c>
      <c r="CU17" s="92">
        <f>CU$10*(1+((H17/H$10-1)*costos!$B$26+((I17*F17)/(I$10*F$10)-1)*costos!$E$26+((J17*F17)/((J$10*F$10)-1)*costos!$F$26/3+((K17*F17)/(K$10*F$10)-1)*costos!$F$26/3+((U17*F17)/(U$10*F$10)-1)*costos!$F$26/3+((L17*F17)/(L$10*F$10)-1)*costos!$G$26+((AR17)/(AR$10)-1)*costos!$J$26+((V17*F17)/(V$10*F$10)-1)*costos!$K$26)))</f>
        <v>117.44877005810817</v>
      </c>
      <c r="CV17" s="92">
        <f>CV$10*(1+((H17/H$10-1)*costos!$B$27+((I17*F17)/(I$10*F$10)-1)*costos!$E$27+((J17*F17)/((J$10*F$10)-1)*costos!$F$27/3+((K17*F17)/(K$10*F$10)-1)*costos!$F$27/3+((U17*F17)/(U$10*F$10)-1)*costos!$F$27/3+((L17*F17)/(L$10*F$10)-1)*costos!$G$27+((AS17)/(AS$10)-1)*costos!$J$27+((V17*F17)/(V$10*F$10)-1)*costos!$K$27)))</f>
        <v>115.41449017232617</v>
      </c>
      <c r="CW17" s="92">
        <f>CW$10*(1+((H17/H$10-1)*costos!$B$28+((I17*F17)/(I$10*F$10)-1)*costos!$E$28+((J17*F17)/((J$10*F$10)-1)*costos!$F$28/3+((K17*F17)/(K$10*F$10)-1)*costos!$F$28/3+((U17*F17)/(U$10*F$10)-1)*costos!$F$28/3+((L17*F17)/(L$10*F$10)-1)*costos!$G$28+((AS17)/(AS$10)-1)*costos!$J$28+((V17*F17)/(V$10*F$10)-1)*costos!$K$28)))</f>
        <v>115.41449017232617</v>
      </c>
      <c r="CX17" s="92">
        <f t="shared" si="63"/>
        <v>116.09258346758683</v>
      </c>
      <c r="CY17" s="92">
        <f>CY$10*(1+((H17/H$10-1)*costos!$B$32+((I17*F17)/(I$10*F$10)-1)*costos!$E$32+((J17*F17)/((J$10*F$10)-1)*costos!$F$32/3+((K17*F17)/(K$10*F$10)-1)*costos!$F$32/3+((U17*F17)/(U$10*F$10)-1)*costos!$F$32/3+((L17*F17)/(L$10*F$10)-1)*costos!$G$32+((AG17)/(AG$10)-1)*costos!$J$32+((V17*F17)/(V$10*F$10)-1)*costos!$K$32)))</f>
        <v>120.78835000477545</v>
      </c>
      <c r="CZ17" s="69">
        <f>CZ$10*(1+((H17/H$10-1)*costos!$B$31+((I17*F17)/(I$10*F$10)-1)*costos!$E$30+((J17*F17)/((J$10*F$10)-1)*costos!$F$30/3+((K17*F17)/(K$10*F$10)-1)*costos!$F$30/3+((U17*F17)/(U$10*F$10)-1)*costos!$F$30/3+((L17*F17)/(L$10*F$10)-1)*costos!$G$30+((BG17)/(BG$10)-1)*costos!$J$30+((V17*F17)/(V$10*F$10)-1)*costos!$K$30)))</f>
        <v>127.22956994439747</v>
      </c>
      <c r="DA17" s="69">
        <f>DA$10*(1+((H17/H$10-1)*costos!$B$31+((I17*F17)/(I$10*F$10)-1)*costos!$E$31+((J17*F17)/((J$10*F$10)-1)*costos!$F$31/3+((K17*F17)/(K$10*F$10)-1)*costos!$F$31/3+((U17*F17)/(U$10*F$10)-1)*costos!$F$31/3+((L17*F17)/(L$10*F$10)-1)*costos!$G$31+((BJ17)/(BJ$10)-1)*costos!$J$31+((V17*F17)/(V$10*F$10)-1)*costos!$K$31)))</f>
        <v>122.52004228083693</v>
      </c>
      <c r="DB17" s="69">
        <f>DB$10*(1+((H17/H$10-1)*costos!$B$36+((I17*F17)/(I$10*F$10)-1)*costos!$E$36+((J17*F17)/((J$10*F$10)-1)*costos!$F$36/3+((K17*F17)/(K$10*F$10)-1)*costos!$F$36/3+((U17*F17)/(U$10*F$10)-1)*costos!$F$36/3+((L17*F17)/(L$10*F$10)-1)*costos!$G$36+((BK17)/(BK$10)-1)*costos!$J$36+((V17*F17)/(V$10*F$10)-1)*costos!$K$36)))</f>
        <v>124.90337509662837</v>
      </c>
      <c r="DC17" s="69">
        <f>DC$10*(1+((H17/H$10-1)*costos!$B$37+((I17*F17)/(I$10*F$10)-1)*costos!$E$37+((U17*F17)/(U$10*F$10)-1)*costos!$F$37+((L17*F17)/(L$10*F$10)-1)*costos!$G$37+((BN17)/(BN$10)-1)*costos!$J$37+((V17*F17)/(V$10*F$10)-1)*costos!$K$37))</f>
        <v>114.40702160615857</v>
      </c>
      <c r="DD17" s="69">
        <f>DD$10*(1+((H17/H$10-1)*costos!$B$39+((I17*F17)/(I$10*F$10)-1)*costos!$E$39+((U17*F17)/(U$10*F$10)-1)*costos!$F$39+((L17*F17)/(L$10*F$10)-1)*costos!$G$39+((BR17)/(BR$10)-1)*costos!$J$39+((V17*F17)/(V$10*F$10)-1)*costos!$K$39))</f>
        <v>111.71268176268265</v>
      </c>
      <c r="DE17" s="69">
        <f>DD$10*(1+((H17/H$10-1)*costos!$B$35+((I17*F17)/(I$10*F$10)-1)*costos!$E$35+((U17*F17)/(U$10*F$10)-1)*costos!$F$35+((L17*F17)/(L$10*F$10)-1)*costos!$G$35+((BR17)/(BR$10)-1)*costos!$J$35+((V17*F17)/(V$10*F$10)-1)*costos!$K$35))</f>
        <v>110.43581693422422</v>
      </c>
      <c r="DF17" s="69">
        <f>DF$10*(1+((H17/H$10-1)*costos!$B$40+((I17*F17)/(I$10*F$10)-1)*costos!$E$40+((U17*F17)/(U$10*F$10)-1)*costos!$F$40+((L17*F17)/(L$10*F$10)-1)*costos!$G$40+((BP17)/(BP$10)-1)*costos!$J$40+((V17*F17)/(V$10*F$10)-1)*costos!$K$40))</f>
        <v>112.46545863909445</v>
      </c>
      <c r="DG17" s="92">
        <f t="shared" si="64"/>
        <v>111.45063778665934</v>
      </c>
      <c r="DH17" s="69">
        <f>DH$10*(1+((H17/H$10-1)*costos!$B$34+((I17*F17)/(I$10*F$10)-1)*costos!$E$34+((J17*F17)/((J$10*F$10)-1)*costos!$F$34/3+((K17*F17)/(K$10*F$10)-1)*costos!$F$34/3+((U17*F17)/(U$10*F$10)-1)*costos!$F$34/3+((L17*F17)/(L$10*F$10)-1)*costos!$G$34+((BV17)/(BV$10)-1)*costos!$J$34+((V17*F17)/(V$10*F$10)-1)*costos!$K$34)))</f>
        <v>121.29185081765515</v>
      </c>
      <c r="DI17" s="69">
        <f>DI$10*(1+((H17/H$10-1)*costos!$B$38+((I17*F17)/(I$10*F$10)-1)*costos!$E$38+((J17*F17)/((J$10*F$10)-1)*costos!$F$38/3+((K17*F17)/(K$10*F$10)-1)*costos!$F$38/3+((U17*F17)/(U$10*F$10)-1)*costos!$F$38/3+((L17*F17)/(L$10*F$10)-1)*costos!$G$38+((BU17)/(BU$10)-1)*costos!$J$38+((V17*F17)/(V$10*F$10)-1)*costos!$K$38)))</f>
        <v>124.05262404640365</v>
      </c>
      <c r="DK17" s="1">
        <v>405500</v>
      </c>
      <c r="DL17" s="1" t="s">
        <v>107</v>
      </c>
      <c r="DM17" s="82">
        <f t="shared" si="65"/>
        <v>214570</v>
      </c>
      <c r="DN17" s="82" t="str">
        <f t="shared" si="65"/>
        <v>2015-16</v>
      </c>
      <c r="DO17" s="82">
        <f>+DO16</f>
        <v>1200000</v>
      </c>
      <c r="DP17" s="82" t="str">
        <f>+DP16</f>
        <v>2015-16</v>
      </c>
      <c r="DQ17" s="1">
        <v>1600000</v>
      </c>
      <c r="DR17" s="1" t="s">
        <v>106</v>
      </c>
      <c r="DS17" s="1">
        <v>3600000</v>
      </c>
      <c r="DT17" s="1" t="s">
        <v>107</v>
      </c>
      <c r="DU17" s="1">
        <v>20100000</v>
      </c>
      <c r="DV17" s="1" t="s">
        <v>107</v>
      </c>
      <c r="DW17" s="1">
        <v>850000</v>
      </c>
      <c r="DX17" s="1" t="s">
        <v>107</v>
      </c>
      <c r="DY17" s="83">
        <v>6365000</v>
      </c>
      <c r="DZ17" s="1" t="s">
        <v>106</v>
      </c>
      <c r="EA17" s="79">
        <f t="shared" si="67"/>
        <v>33715000</v>
      </c>
      <c r="EB17" s="82">
        <f t="shared" si="68"/>
        <v>368438</v>
      </c>
      <c r="EC17" s="82" t="str">
        <f t="shared" si="69"/>
        <v>2015-16</v>
      </c>
      <c r="ED17" s="83">
        <f t="shared" si="69"/>
        <v>165327</v>
      </c>
      <c r="EE17" s="143">
        <f t="shared" si="69"/>
        <v>2016</v>
      </c>
      <c r="EF17" s="83">
        <f t="shared" si="121"/>
        <v>223944</v>
      </c>
      <c r="EG17" s="143">
        <f t="shared" si="122"/>
        <v>2016</v>
      </c>
      <c r="EH17" s="83">
        <f t="shared" si="120"/>
        <v>53117706</v>
      </c>
      <c r="EI17" s="143">
        <f t="shared" si="120"/>
        <v>2016</v>
      </c>
      <c r="EJ17" s="83">
        <v>5119438</v>
      </c>
      <c r="EK17" s="143">
        <v>2016</v>
      </c>
      <c r="EL17" s="82">
        <f t="shared" si="120"/>
        <v>14864321</v>
      </c>
      <c r="EM17" s="144">
        <f t="shared" si="120"/>
        <v>2016</v>
      </c>
      <c r="EN17" s="82">
        <f t="shared" si="120"/>
        <v>3499621</v>
      </c>
      <c r="EO17" s="144">
        <f t="shared" si="120"/>
        <v>2016</v>
      </c>
      <c r="EP17" s="82">
        <f t="shared" si="118"/>
        <v>6552</v>
      </c>
      <c r="EQ17" s="83">
        <f t="shared" si="100"/>
        <v>3008956</v>
      </c>
      <c r="ER17" s="1">
        <v>32755</v>
      </c>
      <c r="ES17" s="82"/>
      <c r="ET17" s="83">
        <f t="shared" si="101"/>
        <v>24000</v>
      </c>
      <c r="EU17" s="83">
        <f t="shared" si="101"/>
        <v>16752</v>
      </c>
      <c r="EV17" s="83">
        <f t="shared" si="101"/>
        <v>9500</v>
      </c>
      <c r="EW17" s="83">
        <f t="shared" si="101"/>
        <v>17994</v>
      </c>
      <c r="EX17" s="79">
        <f t="shared" si="72"/>
        <v>68246</v>
      </c>
      <c r="EY17" s="1">
        <f t="shared" si="123"/>
        <v>19129</v>
      </c>
      <c r="EZ17" s="82">
        <f t="shared" si="102"/>
        <v>75500</v>
      </c>
      <c r="FA17" s="1">
        <f t="shared" si="103"/>
        <v>22169</v>
      </c>
      <c r="FB17" s="1">
        <f t="shared" si="103"/>
        <v>20495</v>
      </c>
      <c r="FC17" s="79">
        <f t="shared" si="73"/>
        <v>42664</v>
      </c>
      <c r="FD17" s="1">
        <f t="shared" si="104"/>
        <v>43815</v>
      </c>
      <c r="FE17" s="1"/>
      <c r="FF17" s="1">
        <v>708196</v>
      </c>
      <c r="FG17" s="1" t="s">
        <v>107</v>
      </c>
      <c r="FH17" s="82">
        <f t="shared" ref="FH17:FN18" si="124">+FH16</f>
        <v>1404980</v>
      </c>
      <c r="FI17" s="82" t="str">
        <f t="shared" si="124"/>
        <v>2015-16</v>
      </c>
      <c r="FJ17" s="82">
        <f t="shared" si="124"/>
        <v>4300000</v>
      </c>
      <c r="FK17" s="82" t="str">
        <f t="shared" si="124"/>
        <v>2015-16</v>
      </c>
      <c r="FL17" s="82">
        <f t="shared" si="124"/>
        <v>2450000</v>
      </c>
      <c r="FM17" s="82" t="str">
        <f t="shared" si="124"/>
        <v>2015-16</v>
      </c>
      <c r="FN17" s="1">
        <v>28000000</v>
      </c>
      <c r="FO17" s="1" t="s">
        <v>107</v>
      </c>
      <c r="FP17" s="82">
        <f t="shared" ref="FP17:FS21" si="125">+FP16</f>
        <v>56000000</v>
      </c>
      <c r="FQ17" s="82" t="str">
        <f t="shared" si="125"/>
        <v>2015-16</v>
      </c>
      <c r="FR17" s="1">
        <v>3400000</v>
      </c>
      <c r="FS17" s="1" t="s">
        <v>107</v>
      </c>
      <c r="FT17" s="83">
        <f t="shared" si="75"/>
        <v>11315000</v>
      </c>
      <c r="FU17" s="83" t="str">
        <f t="shared" si="75"/>
        <v>2015-16</v>
      </c>
      <c r="FV17" s="79">
        <f t="shared" si="76"/>
        <v>105465000</v>
      </c>
      <c r="FW17" s="82">
        <f t="shared" ref="FW17:FW27" si="126">+FW16</f>
        <v>1001113</v>
      </c>
      <c r="FX17" s="82" t="str">
        <f t="shared" ref="FX17:FX27" si="127">+FX16</f>
        <v>2015-16</v>
      </c>
      <c r="FY17" s="83">
        <v>126510.052</v>
      </c>
      <c r="FZ17" s="79"/>
      <c r="GA17" s="79"/>
      <c r="GB17" s="1">
        <v>17584178</v>
      </c>
      <c r="GC17" s="6">
        <v>2016</v>
      </c>
      <c r="GD17" s="1">
        <f t="shared" si="105"/>
        <v>1678337</v>
      </c>
      <c r="GE17" s="1">
        <v>468278</v>
      </c>
      <c r="GF17" s="1">
        <v>1032446</v>
      </c>
      <c r="GG17" s="1">
        <f t="shared" si="106"/>
        <v>102259</v>
      </c>
      <c r="GH17" s="79">
        <f t="shared" si="78"/>
        <v>1602983</v>
      </c>
      <c r="GI17" s="82">
        <f t="shared" si="79"/>
        <v>1302556</v>
      </c>
      <c r="GJ17" s="1">
        <f t="shared" si="80"/>
        <v>600000</v>
      </c>
      <c r="GK17" s="1">
        <f t="shared" si="80"/>
        <v>998555</v>
      </c>
      <c r="GL17" s="1">
        <f t="shared" si="80"/>
        <v>302000</v>
      </c>
      <c r="GM17" s="1">
        <f t="shared" si="80"/>
        <v>266553.90000000002</v>
      </c>
      <c r="GN17" s="79">
        <f t="shared" si="81"/>
        <v>2167108.9</v>
      </c>
      <c r="GO17" s="83">
        <f t="shared" si="107"/>
        <v>191984</v>
      </c>
      <c r="GP17" s="1">
        <f t="shared" si="82"/>
        <v>68123</v>
      </c>
      <c r="GQ17" s="1"/>
      <c r="GR17" s="1">
        <v>42700</v>
      </c>
      <c r="GS17" s="79">
        <f t="shared" si="83"/>
        <v>42700</v>
      </c>
      <c r="GT17" s="83">
        <f t="shared" si="108"/>
        <v>2430866</v>
      </c>
      <c r="GU17" s="1">
        <f t="shared" si="84"/>
        <v>50951.583333333336</v>
      </c>
      <c r="GV17" s="1">
        <f t="shared" si="85"/>
        <v>51463.083333333336</v>
      </c>
      <c r="GW17" s="79">
        <f t="shared" si="49"/>
        <v>1228976</v>
      </c>
      <c r="GX17" s="83">
        <v>30955.772000000001</v>
      </c>
      <c r="GY17" s="83" t="s">
        <v>329</v>
      </c>
      <c r="GZ17" s="83">
        <f t="shared" si="109"/>
        <v>93671</v>
      </c>
      <c r="HA17" s="1">
        <v>234000</v>
      </c>
      <c r="HB17" s="79"/>
      <c r="HC17" s="79"/>
      <c r="HD17" s="1">
        <v>46197</v>
      </c>
      <c r="HE17" s="79"/>
      <c r="HF17" s="79"/>
      <c r="HG17" s="1">
        <v>187000</v>
      </c>
      <c r="HH17" s="79"/>
      <c r="HI17" s="79"/>
      <c r="HJ17" s="1"/>
      <c r="HK17" s="79"/>
      <c r="HL17" s="79"/>
      <c r="HM17" s="79">
        <f t="shared" si="86"/>
        <v>0</v>
      </c>
      <c r="HN17" s="69"/>
      <c r="HO17" s="1">
        <v>863600000</v>
      </c>
      <c r="HP17" s="79"/>
      <c r="HQ17" s="79"/>
      <c r="HR17" s="1"/>
      <c r="HS17" s="1"/>
      <c r="HT17" s="1"/>
      <c r="HU17" s="83">
        <f t="shared" si="119"/>
        <v>650000</v>
      </c>
      <c r="HV17" s="83" t="str">
        <f t="shared" si="119"/>
        <v>2015-16</v>
      </c>
      <c r="HW17" s="1">
        <f t="shared" si="119"/>
        <v>2000000</v>
      </c>
      <c r="HX17" s="1" t="s">
        <v>107</v>
      </c>
      <c r="HY17" s="1">
        <v>2950000</v>
      </c>
      <c r="HZ17" s="1" t="s">
        <v>107</v>
      </c>
      <c r="IA17" s="1">
        <f t="shared" si="113"/>
        <v>17210000</v>
      </c>
      <c r="IB17" s="1" t="str">
        <f t="shared" si="114"/>
        <v>2015-16</v>
      </c>
      <c r="IC17" s="1">
        <v>50000000</v>
      </c>
      <c r="ID17" s="1" t="s">
        <v>107</v>
      </c>
      <c r="IE17" s="1">
        <f t="shared" si="115"/>
        <v>2600000</v>
      </c>
      <c r="IF17" s="1" t="s">
        <v>107</v>
      </c>
      <c r="IG17" s="1"/>
      <c r="IH17" s="1"/>
      <c r="II17" s="79">
        <f t="shared" si="87"/>
        <v>74760000</v>
      </c>
      <c r="IJ17" s="97">
        <f t="shared" si="110"/>
        <v>1.6218070029006586</v>
      </c>
      <c r="IK17" s="1" t="s">
        <v>107</v>
      </c>
      <c r="IL17" s="7">
        <v>46.99</v>
      </c>
      <c r="IM17" s="7">
        <v>57.974707947845587</v>
      </c>
      <c r="IN17" s="7">
        <v>201</v>
      </c>
      <c r="IO17" s="695">
        <f>+IO29*(1-0.0712)</f>
        <v>13.253976</v>
      </c>
      <c r="IP17" s="98">
        <f t="shared" si="88"/>
        <v>5.7844457536132143</v>
      </c>
      <c r="IQ17" s="93">
        <v>21.6</v>
      </c>
      <c r="IR17" s="93">
        <f t="shared" si="111"/>
        <v>2.2000000000000002</v>
      </c>
      <c r="IS17" s="93">
        <f t="shared" si="111"/>
        <v>5.59</v>
      </c>
      <c r="IT17" s="93">
        <f t="shared" si="111"/>
        <v>13.55</v>
      </c>
      <c r="IU17" s="93">
        <f t="shared" si="111"/>
        <v>1.07</v>
      </c>
      <c r="IV17" s="94">
        <f t="shared" si="89"/>
        <v>20.21</v>
      </c>
      <c r="IW17" s="84"/>
      <c r="IX17" s="84"/>
      <c r="IY17" s="105">
        <v>1.84</v>
      </c>
      <c r="IZ17" s="161">
        <v>0.3</v>
      </c>
      <c r="JA17" s="161"/>
      <c r="JB17" s="84">
        <v>38.770000000000003</v>
      </c>
      <c r="JC17" s="84"/>
      <c r="JD17" s="84"/>
      <c r="JF17" s="2">
        <v>15.662052569999997</v>
      </c>
      <c r="JG17" s="2">
        <v>31.077298430000006</v>
      </c>
      <c r="JH17" s="2">
        <v>60.767405100000005</v>
      </c>
      <c r="JI17" s="2">
        <v>47.1748367</v>
      </c>
      <c r="JJ17" s="2">
        <v>709.35380140999985</v>
      </c>
      <c r="JK17" s="2">
        <v>85.948094370000007</v>
      </c>
      <c r="JL17" s="2">
        <v>1825.9233983700001</v>
      </c>
      <c r="JM17" s="2">
        <v>6.8142603299999998</v>
      </c>
      <c r="JN17" s="2">
        <v>108.40620564000001</v>
      </c>
      <c r="JO17" s="2">
        <v>14.934487780000001</v>
      </c>
      <c r="JP17" s="2">
        <v>0</v>
      </c>
      <c r="JQ17" s="2">
        <v>4.7999999999999996E-3</v>
      </c>
      <c r="JR17" s="2">
        <v>0.90851698000000003</v>
      </c>
      <c r="JS17" s="2">
        <v>0</v>
      </c>
      <c r="JT17" s="2">
        <v>1.5250000000000001E-3</v>
      </c>
      <c r="JU17" s="2">
        <v>106.23590312</v>
      </c>
      <c r="JV17" s="2">
        <v>11.65693557</v>
      </c>
      <c r="JW17" s="2">
        <v>11.333774039999998</v>
      </c>
      <c r="JX17" s="2">
        <v>89.129919510000008</v>
      </c>
      <c r="JY17" s="2">
        <v>9.7081363000000014</v>
      </c>
      <c r="JZ17" s="2">
        <v>10.783472399999999</v>
      </c>
      <c r="KA17" s="2">
        <v>0.39744010000000002</v>
      </c>
      <c r="KB17" s="2">
        <v>20.323857740000001</v>
      </c>
      <c r="KC17" s="2">
        <v>64.222343400000014</v>
      </c>
      <c r="KD17" s="2">
        <v>3.6086176500000002</v>
      </c>
      <c r="KE17" s="2">
        <v>14.980556409999998</v>
      </c>
      <c r="KF17" s="2">
        <v>25.775965710000001</v>
      </c>
      <c r="KG17" s="2">
        <v>165.76302874000004</v>
      </c>
      <c r="KH17" s="2">
        <v>51.459309380000008</v>
      </c>
      <c r="KI17" s="2">
        <v>13.074407269999998</v>
      </c>
      <c r="KJ17" s="2">
        <v>1.1755150599999999</v>
      </c>
      <c r="KK17" s="2">
        <v>10.189511030000002</v>
      </c>
      <c r="KL17" s="2">
        <v>0.23816939000000001</v>
      </c>
      <c r="KM17" s="2">
        <v>0.43891161999999995</v>
      </c>
      <c r="KN17" s="2">
        <v>9.1085970000000002E-2</v>
      </c>
      <c r="KO17" s="2">
        <v>0.82212014000000011</v>
      </c>
      <c r="KP17" s="2">
        <v>3.7151999999999997E-4</v>
      </c>
      <c r="KQ17" s="2">
        <v>19.472389419999999</v>
      </c>
      <c r="KR17" s="2">
        <v>0</v>
      </c>
      <c r="KS17" s="2">
        <v>1.3209999799999999</v>
      </c>
      <c r="KT17" s="2">
        <v>1.4807240900000003</v>
      </c>
      <c r="KU17" s="2">
        <v>0.20822251</v>
      </c>
      <c r="KV17" s="2">
        <v>1.7035977099999999</v>
      </c>
      <c r="KW17" s="2">
        <v>7.4631327900000004</v>
      </c>
      <c r="KX17" s="2">
        <v>0</v>
      </c>
      <c r="KY17" s="2">
        <v>4.3383940000000003E-2</v>
      </c>
      <c r="KZ17" s="2">
        <v>0.54836304999999996</v>
      </c>
      <c r="LA17" s="2">
        <v>0.74501832999999995</v>
      </c>
      <c r="LB17" s="2">
        <v>1.9278879999999998E-2</v>
      </c>
      <c r="LC17" s="2">
        <v>3.6301819999999999E-2</v>
      </c>
      <c r="LD17" s="2">
        <v>0</v>
      </c>
      <c r="LE17" s="2">
        <v>0.53684966000000001</v>
      </c>
      <c r="LF17" s="2">
        <v>0.31780057</v>
      </c>
      <c r="LG17" s="2">
        <v>16.849096190000001</v>
      </c>
      <c r="LH17" s="2">
        <v>5.0479519500000007</v>
      </c>
      <c r="LI17" s="2">
        <v>1.70874E-3</v>
      </c>
      <c r="LJ17" s="2">
        <v>1.0605E-3</v>
      </c>
      <c r="LK17" s="2">
        <v>4.9183094000000001</v>
      </c>
      <c r="LL17" s="2">
        <v>4.3728954700000005</v>
      </c>
      <c r="LM17" s="2">
        <v>1.5264205999999998</v>
      </c>
      <c r="LN17" s="2">
        <v>0.94162791000000001</v>
      </c>
      <c r="LO17" s="2">
        <v>6.8142793199999998</v>
      </c>
      <c r="LQ17" s="85">
        <f t="shared" si="90"/>
        <v>2758.4399075499996</v>
      </c>
      <c r="LR17" s="85">
        <f t="shared" si="91"/>
        <v>0.91484198000000005</v>
      </c>
      <c r="LS17" s="85">
        <f t="shared" si="92"/>
        <v>22.990709609999996</v>
      </c>
      <c r="LT17" s="85">
        <f t="shared" si="93"/>
        <v>20.889048800000001</v>
      </c>
      <c r="LU17" s="85">
        <f t="shared" si="94"/>
        <v>22.145507129999999</v>
      </c>
      <c r="LV17" s="85">
        <f t="shared" si="95"/>
        <v>9.2101144399999999</v>
      </c>
      <c r="LW17" s="85">
        <f t="shared" si="96"/>
        <v>0.76429720999999995</v>
      </c>
      <c r="LX17" s="85">
        <f t="shared" si="97"/>
        <v>0.85465023000000007</v>
      </c>
      <c r="LZ17" s="131">
        <v>16.059999999999999</v>
      </c>
      <c r="MA17" s="171">
        <v>17.239999999999998</v>
      </c>
      <c r="MB17"/>
      <c r="MC17"/>
      <c r="MD17"/>
      <c r="MF17"/>
      <c r="MG17"/>
      <c r="MH17" s="83">
        <v>33.96</v>
      </c>
      <c r="MI17" s="83">
        <v>10.14</v>
      </c>
      <c r="MJ17" s="83">
        <v>11.67</v>
      </c>
      <c r="MK17"/>
      <c r="ML17" s="83">
        <v>15.37</v>
      </c>
      <c r="MM17" s="83">
        <v>26.68</v>
      </c>
      <c r="MN17" s="83"/>
      <c r="MO17" s="83">
        <v>22.23</v>
      </c>
      <c r="MP17" s="83">
        <v>27.95</v>
      </c>
      <c r="MQ17" s="83">
        <v>27.53</v>
      </c>
      <c r="MR17"/>
      <c r="MT17"/>
      <c r="MU17" s="171">
        <v>11.57</v>
      </c>
      <c r="MV17"/>
      <c r="MW17"/>
      <c r="MX17"/>
      <c r="MY17" s="83">
        <v>27.34</v>
      </c>
      <c r="MZ17" s="83">
        <v>77.7</v>
      </c>
      <c r="NA17" s="83">
        <v>33.68</v>
      </c>
      <c r="NB17" s="83">
        <v>108.56</v>
      </c>
      <c r="NC17" s="83">
        <v>16.84</v>
      </c>
      <c r="ND17"/>
      <c r="NE17" s="1">
        <v>88.81</v>
      </c>
    </row>
    <row r="18" spans="1:369">
      <c r="A18" s="38">
        <f t="shared" si="32"/>
        <v>42614</v>
      </c>
      <c r="B18" s="36">
        <v>9</v>
      </c>
      <c r="C18" s="36">
        <v>2016</v>
      </c>
      <c r="D18" s="36">
        <f t="shared" si="50"/>
        <v>18</v>
      </c>
      <c r="E18" s="38">
        <f t="shared" si="33"/>
        <v>42614</v>
      </c>
      <c r="F18" s="7">
        <v>15.299999999999999</v>
      </c>
      <c r="G18" s="7">
        <v>94.221508828250407</v>
      </c>
      <c r="H18" s="1">
        <f>[2]NACIONALES!$D6</f>
        <v>9216</v>
      </c>
      <c r="I18" s="7">
        <v>105</v>
      </c>
      <c r="J18" s="7">
        <v>335</v>
      </c>
      <c r="K18" s="7">
        <v>3.4</v>
      </c>
      <c r="L18" s="7">
        <v>34.1</v>
      </c>
      <c r="N18" s="5">
        <v>1.4370000000000001</v>
      </c>
      <c r="O18" s="5">
        <v>1.2829999999999999</v>
      </c>
      <c r="P18" s="78">
        <f t="shared" si="34"/>
        <v>20.807999999999996</v>
      </c>
      <c r="Q18" s="6">
        <v>355</v>
      </c>
      <c r="R18" s="79">
        <f t="shared" si="35"/>
        <v>3550</v>
      </c>
      <c r="S18" s="6">
        <v>122.27272727272727</v>
      </c>
      <c r="T18" s="6">
        <v>341.70454545454544</v>
      </c>
      <c r="U18" s="143">
        <v>146.0090909090909</v>
      </c>
      <c r="V18" s="6">
        <v>254.70454545454547</v>
      </c>
      <c r="W18" s="6">
        <v>130.90909090909091</v>
      </c>
      <c r="X18" s="6">
        <v>145.56818181818181</v>
      </c>
      <c r="Y18" s="79">
        <f t="shared" si="36"/>
        <v>1870.772727272727</v>
      </c>
      <c r="Z18" s="79">
        <f t="shared" si="37"/>
        <v>5228.079545454545</v>
      </c>
      <c r="AA18" s="79">
        <f t="shared" si="38"/>
        <v>2233.9390909090907</v>
      </c>
      <c r="AB18" s="79">
        <f t="shared" si="39"/>
        <v>3896.9795454545456</v>
      </c>
      <c r="AC18" s="79">
        <f t="shared" si="40"/>
        <v>2002.9090909090908</v>
      </c>
      <c r="AD18" s="79">
        <f t="shared" si="41"/>
        <v>2227.1931818181815</v>
      </c>
      <c r="AE18" s="79">
        <f t="shared" si="42"/>
        <v>2909.9788636363637</v>
      </c>
      <c r="AF18" s="1">
        <v>9780.9523809523816</v>
      </c>
      <c r="AG18" s="1">
        <v>4803</v>
      </c>
      <c r="AH18" s="1">
        <v>18031</v>
      </c>
      <c r="AI18" s="5">
        <v>8.5500000000000007</v>
      </c>
      <c r="AJ18" s="5">
        <v>3.66</v>
      </c>
      <c r="AK18" s="5">
        <v>3.66</v>
      </c>
      <c r="AL18" s="5">
        <v>2.8</v>
      </c>
      <c r="AM18" s="78">
        <f t="shared" si="43"/>
        <v>5.7030000000000003</v>
      </c>
      <c r="AN18" s="5">
        <v>368</v>
      </c>
      <c r="AO18" s="80">
        <f t="shared" si="51"/>
        <v>220.79999999999998</v>
      </c>
      <c r="AP18" s="78">
        <f t="shared" si="44"/>
        <v>294.39999999999998</v>
      </c>
      <c r="AQ18" s="5">
        <v>155.70000000000002</v>
      </c>
      <c r="AR18" s="5">
        <v>131.4</v>
      </c>
      <c r="AS18" s="5">
        <v>90.688888888888897</v>
      </c>
      <c r="AT18" s="80">
        <f t="shared" si="52"/>
        <v>155.70000000000002</v>
      </c>
      <c r="AU18" s="78">
        <f t="shared" si="53"/>
        <v>125.92962962962963</v>
      </c>
      <c r="AV18">
        <v>112.4</v>
      </c>
      <c r="AW18" s="80">
        <f t="shared" si="54"/>
        <v>359.68000000000006</v>
      </c>
      <c r="AX18">
        <v>132</v>
      </c>
      <c r="AY18" s="7">
        <v>397.8</v>
      </c>
      <c r="AZ18" s="7">
        <v>115.74</v>
      </c>
      <c r="BA18" s="7">
        <v>304.20000000000005</v>
      </c>
      <c r="BB18" s="94">
        <f t="shared" si="45"/>
        <v>251.70000000000002</v>
      </c>
      <c r="BC18" s="68">
        <f>+BC17</f>
        <v>579</v>
      </c>
      <c r="BD18" s="68">
        <f t="shared" si="116"/>
        <v>684</v>
      </c>
      <c r="BE18" s="7">
        <v>590</v>
      </c>
      <c r="BF18" s="7">
        <v>390</v>
      </c>
      <c r="BG18" s="94">
        <f t="shared" si="56"/>
        <v>560.75</v>
      </c>
      <c r="BH18" s="7">
        <v>37.549999999999997</v>
      </c>
      <c r="BI18" s="7">
        <f>+BI17+4.238</f>
        <v>16.602</v>
      </c>
      <c r="BJ18" s="78">
        <f t="shared" si="57"/>
        <v>54.152000000000001</v>
      </c>
      <c r="BK18" s="7">
        <v>31.193000000000001</v>
      </c>
      <c r="BL18" s="7">
        <v>31.452999999999999</v>
      </c>
      <c r="BM18" s="94">
        <f t="shared" si="58"/>
        <v>31.323</v>
      </c>
      <c r="BN18" s="5">
        <v>4.3778385756368152</v>
      </c>
      <c r="BO18" s="105">
        <v>20.229545454545455</v>
      </c>
      <c r="BP18" s="80">
        <v>15.048333333333332</v>
      </c>
      <c r="BQ18" s="94">
        <f t="shared" si="59"/>
        <v>19.711424242424243</v>
      </c>
      <c r="BR18" s="7">
        <v>15.97</v>
      </c>
      <c r="BS18" s="7">
        <v>80</v>
      </c>
      <c r="BT18" s="7">
        <v>47.57</v>
      </c>
      <c r="BU18" s="79">
        <f t="shared" si="46"/>
        <v>1102.71</v>
      </c>
      <c r="BV18" s="97">
        <v>22.4</v>
      </c>
      <c r="BW18" s="95"/>
      <c r="BY18" s="92">
        <f>BY$10*(1+((H18/H$10-1)*costos!$B$5+((I18*F18)/(I$10*F$10)-1)*costos!$E$5+((J18*F18)/((J$10*F$10)-1)*costos!$F$5/3+((K18*F18)/(K$10*F$10)-1)*costos!$F$5/3+((U18*F18)/(U$10*F$10)-1)*costos!$F$5/3+((L18*F18)/(L$10*F$10)-1)*costos!$G$5+((N18*F18)/(N$10*F$10)-1)*costos!$J$5+((V18*F18)/(V$10*F$10)-1)*costos!$K$5)))</f>
        <v>127.23153366356476</v>
      </c>
      <c r="BZ18" s="92">
        <f>$BZ$10*(1+((H18/$H$10-1)*costos!$B$6+((I18*F18)/($I$10*$F$10)-1)*costos!$E$6+((J18*F18)/(($J$10*$F$10)-1)*costos!$F$6/3+((K18*F18)/($K$10*$F$10)-1)*costos!$F$6/3+((U18*F18)/($U$10*$F$10)-1)*costos!$F$6/3+((L18*F18)/($L$10*$F$10)-1)*costos!$G$6+((Q18*F18)/($Q$10*$F$10)-1)*costos!$J$6+((V18*F18)/($V$10*$F$10)-1)*costos!$K$6)))</f>
        <v>121.94648793726071</v>
      </c>
      <c r="CA18" s="92">
        <f>CA$10*(1+((H18/H$10-1)*costos!$B$7+((I18*F18)/(I$10*F$10)-1)*costos!$E$7+((J18*F18)/((J$10*F$10)-1)*costos!$F$7/3+((K18*F18)/(K$10*F$10)-1)*costos!$F$7/3+((U18*F18)/(U$10*F$10)-1)*costos!$F$7/3+((L18*F18)/(L$10*F$10)-1)*costos!$G$7+((S18*F18)/(S$10*F$10)-1)*costos!$J$7+((V18*F18)/(V$10*F$10)-1)*costos!$K$7)))</f>
        <v>117.81212365635479</v>
      </c>
      <c r="CB18" s="92">
        <f>CB$10*(1+((H18/H$10-1)*costos!$B$8+((I18*F18)/(I$10*F$10)-1)*costos!$E$8+((J18*F18)/((J$10*F$10)-1)*costos!$F$8/3+((K18*F18)/(K$10*F$10)-1)*costos!$F$8/3+((U18*F18)/(U$10*F$10)-1)*costos!$F$8/3+((L18*F18)/(L$10*F$10)-1)*costos!$G$8+((T18*F18)/(T$10*F$10)-1)*costos!$J$8+((V18*F18)/(V$10*F$10)-1)*costos!$K$8)))</f>
        <v>128.12988474090002</v>
      </c>
      <c r="CC18" s="92">
        <f>CC$10*(1+((H18/H$10-1)*costos!$B$9+((I18*F18)/(I$10*F$10)-1)*costos!$E$9+((J18*F18)/((J$10*F$10)-1)*costos!$F$9/3+((K18*F18)/(K$10*F$10)-1)*costos!$F$9/3+((U18*F18)/(U$10*F$10)-1)*costos!$F$9/3+((L18*F18)/(L$10*F$10)-1)*costos!$G$9+((U18*F18)/(U$10*F$10)-1)*costos!$J$9+((V18*F18)/(V$10*F$10)-1)*costos!$K$9)))</f>
        <v>120.26064945073776</v>
      </c>
      <c r="CD18" s="92">
        <f>CD$10*(1+((H18/H$10-1)*costos!$B$11+((I18*F18)/(I$10*F$10)-1)*costos!$E$11+((J18*F18)/((J$10*F$10)-1)*costos!$F$11/3+((K18*F18)/(K$10*F$10)-1)*costos!$F$11/3+((U18*F18)/(U$10*F$10)-1)*costos!$F$11/3+((L18*F18)/(L$10*F$10)-1)*costos!$G$11+((V18*F18)/(V$10*F$10)-1)*costos!$J$11+((V18*F18)/(V$10*F$10)-1)*costos!$K$11)))</f>
        <v>123.22449391473289</v>
      </c>
      <c r="CE18" s="92">
        <f>CE$10*(1+((H18/H$10-1)*costos!$B$12+((I18*F18)/(I$10*F$10)-1)*costos!$E$12+((J18*F18)/((J$10*F$10)-1)*costos!$F$12/3+((K18*F18)/(K$10*F$10)-1)*costos!$F$12/3+((U18*F18)/(U$10*F$10)-1)*costos!$F$12/3+((L18*F18)/(L$10*F$10)-1)*costos!$G$12+((W18*F18)/(W$10*F$10)-1)*costos!$J$12+((V18*F18)/(V$10*F$10)-1)*costos!$K$12)))</f>
        <v>116.75972270098774</v>
      </c>
      <c r="CF18" s="92">
        <f>CF$10*(1+((H18/H$10-1)*costos!$B$13+((I18*F18)/(I$10*F$10)-1)*costos!$E$13+((J18*F18)/((J$10*F$10)-1)*costos!$F$13/3+((K18*F18)/(K$10*F$10)-1)*costos!$F$13/3+((U18*F18)/(U$10*F$10)-1)*costos!$F$13/3+((L18*F18)/(L$10*F$10)-1)*costos!$G$13+((X18*F18)/(X$10*F$10)-1)*costos!$J$13+((V18*F18)/(V$10*F$10)-1)*costos!$K$13)))</f>
        <v>122.69618543525984</v>
      </c>
      <c r="CG18" s="92">
        <f t="shared" si="60"/>
        <v>121.48050998316216</v>
      </c>
      <c r="CH18" s="92">
        <f>CH$10*(1+((H18/H$10-1)*costos!$B$10+((I18*F18)/(I$10*F$10)-1)*costos!$E$10+((J18*F18)/((J$10*F$10)-1)*costos!$F$10/3+((K18*F18)/(K$10*F$10)-1)*costos!$F$10/3+((U18*F18)/(U$10*F$10)-1)*costos!$F$10/3+((L18*F18)/(L$10*F$10)-1)*costos!$G$10+((AF18)/(AF$10)-1)*costos!$J$10+((V18*F18)/(V$10*F$10)-1)*costos!$K$10)))</f>
        <v>133.22276135698772</v>
      </c>
      <c r="CI18" s="92">
        <f>CI$10*(1+((H18/H$10-1)*costos!$B$15+((I18*F18)/(I$10*F$10)-1)*costos!$E$15+((J18*F18)/((J$10*F$10)-1)*costos!$F$15/3+((K18*F18)/(K$10*F$10)-1)*costos!$F$15/3+((U18*F18)/(U$10*F$10)-1)*costos!$F$15/3+((L18*F18)/(L$10*F$10)-1)*costos!$G$15+((AV18)/(AV$10)-1)*costos!$J$15+((V18*F18)/(V$10*F$10)-1)*costos!$K$15)))</f>
        <v>132.45920876149611</v>
      </c>
      <c r="CJ18" s="92">
        <f>CJ$10*(1+((H18/H$10-1)*costos!$B$16+((I18*F18)/(I$10*F$10)-1)*costos!$E$16+((J18*F18)/((J$10*F$10)-1)*costos!$F$16/3+((K18*F18)/(K$10*F$10)-1)*costos!$F$16/3+((U18*F18)/(U$10*F$10)-1)*costos!$F$16/3+((L18*F18)/(L$10*F$10)-1)*costos!$G$16+((AW18)/(AW$10)-1)*costos!$J$16+((V18*F18)/(V$10*F$10)-1)*costos!$K$16)))</f>
        <v>131.80987235903893</v>
      </c>
      <c r="CK18" s="92">
        <f>CK$10*(1+((H18/H$10-1)*costos!$B$17+((I18*F18)/(I$10*F$10)-1)*costos!$E$17+((J18*F18)/((J$10*F$10)-1)*costos!$F$17/3+((K18*F18)/(K$10*F$10)-1)*costos!$F$17/3+((U18*F18)/(U$10*F$10)-1)*costos!$F$17/3+((L18*F18)/(L$10*F$10)-1)*costos!$G$17+((AX18)/(AX$10)-1)*costos!$J$17+((V18*F18)/(V$10*F$10)-1)*costos!$K$17)))</f>
        <v>134.08820727357477</v>
      </c>
      <c r="CL18" s="92">
        <f>CL$10*(1+((H18/H$10-1)*costos!$B$18+((I18*F18)/(I$10*F$10)-1)*costos!$E$18+((J18*F18)/((J$10*F$10)-1)*costos!$F$18/3+((K18*F18)/(K$10*F$10)-1)*costos!$F$18/3+((U18*F18)/(U$10*F$10)-1)*costos!$F$18/3+((L18*F18)/(L$10*F$10)-1)*costos!$G$18+((AY18)/(AY$10)-1)*costos!$J$18+((V18*F18)/(V$10*F$10)-1)*costos!$K$18)))</f>
        <v>189.19067185382497</v>
      </c>
      <c r="CM18" s="92">
        <f>CM$10*(1+((H18/H$10-1)*costos!$B$19+((I18*F18)/(I$10*F$10)-1)*costos!$E$19+((J18*F18)/((J$10*F$10)-1)*costos!$F$19/3+((K18*F18)/(K$10*F$10)-1)*costos!$F$19/3+((U18*F18)/(U$10*F$10)-1)*costos!$F$19/3+((L18*F18)/(L$10*F$10)-1)*costos!$G$19+((AZ18)/(AZ$10)-1)*costos!$J$19+((V18*F18)/(V$10*F$10)-1)*costos!$K$19)))</f>
        <v>117.7530340243043</v>
      </c>
      <c r="CN18" s="92">
        <f>CN$10*(1+((H18/H$10-1)*costos!$B$20+((I18*F18)/(I$10*F$10)-1)*costos!$E$20+((J18*F18)/((J$10*F$10)-1)*costos!$F$20/3+((K18*F18)/(K$10*F$10)-1)*costos!$F$20/3+((U18*F18)/(U$10*F$10)-1)*costos!$F$20/3+((L18*F18)/(L$10*F$10)-1)*costos!$G$20+((BA18)/(BA$10)-1)*costos!$J$20+((V18*F18)/(V$10*F$10)-1)*costos!$K$20)))</f>
        <v>165.8597056471354</v>
      </c>
      <c r="CO18" s="92">
        <f t="shared" si="61"/>
        <v>151.72290469970983</v>
      </c>
      <c r="CP18" s="92">
        <f>CP$10*(1+((H18/H$10-1)*costos!$B$22+((I18*F18)/(I$10*F$10)-1)*costos!$E$22+((J18*F18)/((J$10*F$10)-1)*costos!$F$22/3+((K18*F18)/(K$10*F$10)-1)*costos!$F$22/3+((U18*F18)/(U$10*F$10)-1)*costos!$F$22/3+((L18*F18)/(L$10*F$10)-1)*costos!$G$22+(((AVERAGE(AI18:AL18))/((AVERAGE(AI$10:AL$10))-1)*costos!$J$22+((V18*F18)/(V$10*F$10)-1)*costos!$K$22)))))</f>
        <v>149.54817812833895</v>
      </c>
      <c r="CQ18" s="92">
        <f>CQ$10*(1+((H18/H$10-1)*costos!$B$23+((I18*F18)/(I$10*F$10)-1)*costos!$E$23+((J18*F18)/((J$10*F$10)-1)*costos!$F$23/3+((K18*F18)/(K$10*F$10)-1)*costos!$F$23/3+((U18*F18)/(U$10*F$10)-1)*costos!$F$23/3+((L18*F18)/(L$10*F$10)-1)*costos!$G$23+((AN18)/(AN$10)-1)*costos!$J$23+((V18*F18)/(V$10*F$10)-1)*costos!$K$23)))</f>
        <v>122.34091215734475</v>
      </c>
      <c r="CR18" s="92">
        <f>CR$10*(1+((H18/H$10-1)*costos!$B$24+((I18*F18)/(I$10*F$10)-1)*costos!$E$24+((J18*F18)/((J$10*F$10)-1)*costos!$F$24/3+((K18*F18)/(K$10*F$10)-1)*costos!$F$24/3+((U18*F18)/(U$10*F$10)-1)*costos!$F$24/3+((L18*F18)/(L$10*F$10)-1)*costos!$G$24+((AO18)/(AO$10)-1)*costos!$J$24+((V18*F18)/(V$10*F$10)-1)*costos!$K$24)))</f>
        <v>122.34091215734475</v>
      </c>
      <c r="CS18" s="92">
        <f t="shared" si="62"/>
        <v>122.34091215734475</v>
      </c>
      <c r="CT18" s="92">
        <f>CT$10*(1+((H18/H$10-1)*costos!$B$25+((I18*F18)/(I$10*F$10)-1)*costos!$E$25+((J18*F18)/((J$10*F$10)-1)*costos!$F$25/3+((K18*F18)/(K$10*F$10)-1)*costos!$F$25/3+((U18*F18)/(U$10*F$10)-1)*costos!$F$25/3+((L18*F18)/(L$10*F$10)-1)*costos!$G$25+((AQ18)/(AQ$10)-1)*costos!$J$25+((V18*F18)/(V$10*F$10)-1)*costos!$K$25)))</f>
        <v>116.54073878226407</v>
      </c>
      <c r="CU18" s="92">
        <f>CU$10*(1+((H18/H$10-1)*costos!$B$26+((I18*F18)/(I$10*F$10)-1)*costos!$E$26+((J18*F18)/((J$10*F$10)-1)*costos!$F$26/3+((K18*F18)/(K$10*F$10)-1)*costos!$F$26/3+((U18*F18)/(U$10*F$10)-1)*costos!$F$26/3+((L18*F18)/(L$10*F$10)-1)*costos!$G$26+((AR18)/(AR$10)-1)*costos!$J$26+((V18*F18)/(V$10*F$10)-1)*costos!$K$26)))</f>
        <v>118.99249260572245</v>
      </c>
      <c r="CV18" s="92">
        <f>CV$10*(1+((H18/H$10-1)*costos!$B$27+((I18*F18)/(I$10*F$10)-1)*costos!$E$27+((J18*F18)/((J$10*F$10)-1)*costos!$F$27/3+((K18*F18)/(K$10*F$10)-1)*costos!$F$27/3+((U18*F18)/(U$10*F$10)-1)*costos!$F$27/3+((L18*F18)/(L$10*F$10)-1)*costos!$G$27+((AS18)/(AS$10)-1)*costos!$J$27+((V18*F18)/(V$10*F$10)-1)*costos!$K$27)))</f>
        <v>116.11169642399872</v>
      </c>
      <c r="CW18" s="92">
        <f>CW$10*(1+((H18/H$10-1)*costos!$B$28+((I18*F18)/(I$10*F$10)-1)*costos!$E$28+((J18*F18)/((J$10*F$10)-1)*costos!$F$28/3+((K18*F18)/(K$10*F$10)-1)*costos!$F$28/3+((U18*F18)/(U$10*F$10)-1)*costos!$F$28/3+((L18*F18)/(L$10*F$10)-1)*costos!$G$28+((AS18)/(AS$10)-1)*costos!$J$28+((V18*F18)/(V$10*F$10)-1)*costos!$K$28)))</f>
        <v>116.11169642399872</v>
      </c>
      <c r="CX18" s="92">
        <f t="shared" si="63"/>
        <v>117.07196181790664</v>
      </c>
      <c r="CY18" s="92">
        <f>CY$10*(1+((H18/H$10-1)*costos!$B$32+((I18*F18)/(I$10*F$10)-1)*costos!$E$32+((J18*F18)/((J$10*F$10)-1)*costos!$F$32/3+((K18*F18)/(K$10*F$10)-1)*costos!$F$32/3+((U18*F18)/(U$10*F$10)-1)*costos!$F$32/3+((L18*F18)/(L$10*F$10)-1)*costos!$G$32+((AG18)/(AG$10)-1)*costos!$J$32+((V18*F18)/(V$10*F$10)-1)*costos!$K$32)))</f>
        <v>121.06851426512608</v>
      </c>
      <c r="CZ18" s="69">
        <f>CZ$10*(1+((H18/H$10-1)*costos!$B$31+((I18*F18)/(I$10*F$10)-1)*costos!$E$30+((J18*F18)/((J$10*F$10)-1)*costos!$F$30/3+((K18*F18)/(K$10*F$10)-1)*costos!$F$30/3+((U18*F18)/(U$10*F$10)-1)*costos!$F$30/3+((L18*F18)/(L$10*F$10)-1)*costos!$G$30+((BG18)/(BG$10)-1)*costos!$J$30+((V18*F18)/(V$10*F$10)-1)*costos!$K$30)))</f>
        <v>127.697317337171</v>
      </c>
      <c r="DA18" s="69">
        <f>DA$10*(1+((H18/H$10-1)*costos!$B$31+((I18*F18)/(I$10*F$10)-1)*costos!$E$31+((J18*F18)/((J$10*F$10)-1)*costos!$F$31/3+((K18*F18)/(K$10*F$10)-1)*costos!$F$31/3+((U18*F18)/(U$10*F$10)-1)*costos!$F$31/3+((L18*F18)/(L$10*F$10)-1)*costos!$G$31+((BJ18)/(BJ$10)-1)*costos!$J$31+((V18*F18)/(V$10*F$10)-1)*costos!$K$31)))</f>
        <v>123.0736350189201</v>
      </c>
      <c r="DB18" s="69">
        <f>DB$10*(1+((H18/H$10-1)*costos!$B$36+((I18*F18)/(I$10*F$10)-1)*costos!$E$36+((J18*F18)/((J$10*F$10)-1)*costos!$F$36/3+((K18*F18)/(K$10*F$10)-1)*costos!$F$36/3+((U18*F18)/(U$10*F$10)-1)*costos!$F$36/3+((L18*F18)/(L$10*F$10)-1)*costos!$G$36+((BK18)/(BK$10)-1)*costos!$J$36+((V18*F18)/(V$10*F$10)-1)*costos!$K$36)))</f>
        <v>125.46405613827525</v>
      </c>
      <c r="DC18" s="69">
        <f>DC$10*(1+((H18/H$10-1)*costos!$B$37+((I18*F18)/(I$10*F$10)-1)*costos!$E$37+((U18*F18)/(U$10*F$10)-1)*costos!$F$37+((L18*F18)/(L$10*F$10)-1)*costos!$G$37+((BN18)/(BN$10)-1)*costos!$J$37+((V18*F18)/(V$10*F$10)-1)*costos!$K$37))</f>
        <v>115.58692686154481</v>
      </c>
      <c r="DD18" s="69">
        <f>DD$10*(1+((H18/H$10-1)*costos!$B$39+((I18*F18)/(I$10*F$10)-1)*costos!$E$39+((U18*F18)/(U$10*F$10)-1)*costos!$F$39+((L18*F18)/(L$10*F$10)-1)*costos!$G$39+((BR18)/(BR$10)-1)*costos!$J$39+((V18*F18)/(V$10*F$10)-1)*costos!$K$39))</f>
        <v>113.13254549311229</v>
      </c>
      <c r="DE18" s="69">
        <f>DD$10*(1+((H18/H$10-1)*costos!$B$35+((I18*F18)/(I$10*F$10)-1)*costos!$E$35+((U18*F18)/(U$10*F$10)-1)*costos!$F$35+((L18*F18)/(L$10*F$10)-1)*costos!$G$35+((BR18)/(BR$10)-1)*costos!$J$35+((V18*F18)/(V$10*F$10)-1)*costos!$K$35))</f>
        <v>111.24133615376014</v>
      </c>
      <c r="DF18" s="69">
        <f>DF$10*(1+((H18/H$10-1)*costos!$B$40+((I18*F18)/(I$10*F$10)-1)*costos!$E$40+((U18*F18)/(U$10*F$10)-1)*costos!$F$40+((L18*F18)/(L$10*F$10)-1)*costos!$G$40+((BP18)/(BP$10)-1)*costos!$J$40+((V18*F18)/(V$10*F$10)-1)*costos!$K$40))</f>
        <v>113.47549207864797</v>
      </c>
      <c r="DG18" s="92">
        <f t="shared" si="64"/>
        <v>112.35841411620406</v>
      </c>
      <c r="DH18" s="69">
        <f>DH$10*(1+((H18/H$10-1)*costos!$B$34+((I18*F18)/(I$10*F$10)-1)*costos!$E$34+((J18*F18)/((J$10*F$10)-1)*costos!$F$34/3+((K18*F18)/(K$10*F$10)-1)*costos!$F$34/3+((U18*F18)/(U$10*F$10)-1)*costos!$F$34/3+((L18*F18)/(L$10*F$10)-1)*costos!$G$34+((BV18)/(BV$10)-1)*costos!$J$34+((V18*F18)/(V$10*F$10)-1)*costos!$K$34)))</f>
        <v>121.91314829516028</v>
      </c>
      <c r="DI18" s="69">
        <f>DI$10*(1+((H18/H$10-1)*costos!$B$38+((I18*F18)/(I$10*F$10)-1)*costos!$E$38+((J18*F18)/((J$10*F$10)-1)*costos!$F$38/3+((K18*F18)/(K$10*F$10)-1)*costos!$F$38/3+((U18*F18)/(U$10*F$10)-1)*costos!$F$38/3+((L18*F18)/(L$10*F$10)-1)*costos!$G$38+((BU18)/(BU$10)-1)*costos!$J$38+((V18*F18)/(V$10*F$10)-1)*costos!$K$38)))</f>
        <v>124.54617024064592</v>
      </c>
      <c r="DK18" s="82">
        <f>+DK17</f>
        <v>405500</v>
      </c>
      <c r="DL18" s="82" t="str">
        <f>+DL17</f>
        <v>2015-16</v>
      </c>
      <c r="DM18" s="82">
        <f t="shared" si="65"/>
        <v>214570</v>
      </c>
      <c r="DN18" s="82" t="str">
        <f t="shared" si="65"/>
        <v>2015-16</v>
      </c>
      <c r="DO18" s="1">
        <v>950000</v>
      </c>
      <c r="DP18" s="1" t="s">
        <v>106</v>
      </c>
      <c r="DQ18" s="1">
        <v>1600000</v>
      </c>
      <c r="DR18" s="1" t="s">
        <v>106</v>
      </c>
      <c r="DS18" s="1">
        <v>4500000</v>
      </c>
      <c r="DT18" s="1" t="s">
        <v>106</v>
      </c>
      <c r="DU18" s="1">
        <v>20100000</v>
      </c>
      <c r="DV18" s="1" t="s">
        <v>107</v>
      </c>
      <c r="DW18" s="82">
        <f t="shared" ref="DW18:DX20" si="128">+DW17</f>
        <v>850000</v>
      </c>
      <c r="DX18" s="82" t="str">
        <f t="shared" si="128"/>
        <v>2015-16</v>
      </c>
      <c r="DY18" s="83">
        <v>6365000</v>
      </c>
      <c r="DZ18" s="1" t="s">
        <v>106</v>
      </c>
      <c r="EA18" s="79">
        <f t="shared" si="67"/>
        <v>34365000</v>
      </c>
      <c r="EB18" s="82">
        <f t="shared" si="68"/>
        <v>368438</v>
      </c>
      <c r="EC18" s="82" t="str">
        <f t="shared" si="69"/>
        <v>2015-16</v>
      </c>
      <c r="ED18" s="83">
        <f t="shared" si="69"/>
        <v>165327</v>
      </c>
      <c r="EE18" s="143">
        <f t="shared" si="69"/>
        <v>2016</v>
      </c>
      <c r="EF18" s="83">
        <f t="shared" si="121"/>
        <v>223944</v>
      </c>
      <c r="EG18" s="143">
        <f t="shared" si="122"/>
        <v>2016</v>
      </c>
      <c r="EH18" s="83">
        <f t="shared" si="120"/>
        <v>53117706</v>
      </c>
      <c r="EI18" s="143">
        <f t="shared" si="120"/>
        <v>2016</v>
      </c>
      <c r="EJ18" s="83">
        <v>5119438</v>
      </c>
      <c r="EK18" s="143">
        <v>2016</v>
      </c>
      <c r="EL18" s="82">
        <f t="shared" si="120"/>
        <v>14864321</v>
      </c>
      <c r="EM18" s="144">
        <f t="shared" si="120"/>
        <v>2016</v>
      </c>
      <c r="EN18" s="82">
        <f t="shared" si="120"/>
        <v>3499621</v>
      </c>
      <c r="EO18" s="144">
        <f t="shared" si="120"/>
        <v>2016</v>
      </c>
      <c r="EP18" s="82">
        <f t="shared" si="118"/>
        <v>6552</v>
      </c>
      <c r="EQ18" s="83">
        <f t="shared" si="100"/>
        <v>3008956</v>
      </c>
      <c r="ER18" s="1">
        <v>32755</v>
      </c>
      <c r="ES18" s="82"/>
      <c r="ET18" s="83">
        <f t="shared" si="101"/>
        <v>24000</v>
      </c>
      <c r="EU18" s="83">
        <f t="shared" si="101"/>
        <v>16752</v>
      </c>
      <c r="EV18" s="83">
        <f t="shared" si="101"/>
        <v>9500</v>
      </c>
      <c r="EW18" s="83">
        <f t="shared" si="101"/>
        <v>17994</v>
      </c>
      <c r="EX18" s="79">
        <f t="shared" si="72"/>
        <v>68246</v>
      </c>
      <c r="EY18" s="1">
        <f t="shared" si="123"/>
        <v>19129</v>
      </c>
      <c r="EZ18" s="82">
        <f t="shared" si="102"/>
        <v>75500</v>
      </c>
      <c r="FA18" s="1">
        <f t="shared" si="103"/>
        <v>22169</v>
      </c>
      <c r="FB18" s="1">
        <f t="shared" si="103"/>
        <v>20495</v>
      </c>
      <c r="FC18" s="79">
        <f t="shared" si="73"/>
        <v>42664</v>
      </c>
      <c r="FD18" s="1">
        <f t="shared" si="104"/>
        <v>43815</v>
      </c>
      <c r="FE18" s="1"/>
      <c r="FF18" s="82">
        <f t="shared" ref="FF18:FF29" si="129">+FF17</f>
        <v>708196</v>
      </c>
      <c r="FG18" s="82" t="str">
        <f t="shared" ref="FG18:FG29" si="130">+FG17</f>
        <v>2015-16</v>
      </c>
      <c r="FH18" s="82">
        <f t="shared" si="124"/>
        <v>1404980</v>
      </c>
      <c r="FI18" s="82" t="str">
        <f t="shared" si="124"/>
        <v>2015-16</v>
      </c>
      <c r="FJ18" s="82">
        <f t="shared" si="124"/>
        <v>4300000</v>
      </c>
      <c r="FK18" s="82" t="str">
        <f t="shared" si="124"/>
        <v>2015-16</v>
      </c>
      <c r="FL18" s="82">
        <f t="shared" si="124"/>
        <v>2450000</v>
      </c>
      <c r="FM18" s="82" t="str">
        <f t="shared" si="124"/>
        <v>2015-16</v>
      </c>
      <c r="FN18" s="82">
        <f t="shared" si="124"/>
        <v>28000000</v>
      </c>
      <c r="FO18" s="82" t="str">
        <f>+FO17</f>
        <v>2015-16</v>
      </c>
      <c r="FP18" s="82">
        <f t="shared" si="125"/>
        <v>56000000</v>
      </c>
      <c r="FQ18" s="82" t="str">
        <f t="shared" si="125"/>
        <v>2015-16</v>
      </c>
      <c r="FR18" s="82">
        <f t="shared" si="125"/>
        <v>3400000</v>
      </c>
      <c r="FS18" s="82" t="str">
        <f t="shared" si="125"/>
        <v>2015-16</v>
      </c>
      <c r="FT18" s="83">
        <f t="shared" si="75"/>
        <v>11315000</v>
      </c>
      <c r="FU18" s="83" t="str">
        <f t="shared" si="75"/>
        <v>2015-16</v>
      </c>
      <c r="FV18" s="79">
        <f t="shared" si="76"/>
        <v>105465000</v>
      </c>
      <c r="FW18" s="82">
        <f t="shared" si="126"/>
        <v>1001113</v>
      </c>
      <c r="FX18" s="82" t="str">
        <f t="shared" si="127"/>
        <v>2015-16</v>
      </c>
      <c r="FY18" s="83">
        <v>56209.703000000001</v>
      </c>
      <c r="FZ18" s="79"/>
      <c r="GA18" s="79"/>
      <c r="GB18" s="1">
        <v>17584178</v>
      </c>
      <c r="GC18" s="6">
        <v>2016</v>
      </c>
      <c r="GD18" s="1">
        <f t="shared" si="105"/>
        <v>1678337</v>
      </c>
      <c r="GE18" s="1">
        <v>468278</v>
      </c>
      <c r="GF18" s="1">
        <v>1032446</v>
      </c>
      <c r="GG18" s="1">
        <f t="shared" si="106"/>
        <v>102259</v>
      </c>
      <c r="GH18" s="79">
        <f t="shared" si="78"/>
        <v>1602983</v>
      </c>
      <c r="GI18" s="82">
        <f t="shared" si="79"/>
        <v>1302556</v>
      </c>
      <c r="GJ18" s="1">
        <f t="shared" si="80"/>
        <v>600000</v>
      </c>
      <c r="GK18" s="1">
        <f t="shared" si="80"/>
        <v>998555</v>
      </c>
      <c r="GL18" s="1">
        <f t="shared" si="80"/>
        <v>302000</v>
      </c>
      <c r="GM18" s="1">
        <f t="shared" si="80"/>
        <v>266553.90000000002</v>
      </c>
      <c r="GN18" s="79">
        <f t="shared" si="81"/>
        <v>2167108.9</v>
      </c>
      <c r="GO18" s="83">
        <f t="shared" si="107"/>
        <v>191984</v>
      </c>
      <c r="GP18" s="1">
        <f t="shared" si="82"/>
        <v>68123</v>
      </c>
      <c r="GQ18" s="1"/>
      <c r="GR18" s="1">
        <v>42700</v>
      </c>
      <c r="GS18" s="79">
        <f t="shared" si="83"/>
        <v>42700</v>
      </c>
      <c r="GT18" s="83">
        <f t="shared" si="108"/>
        <v>2430866</v>
      </c>
      <c r="GU18" s="1">
        <f t="shared" si="84"/>
        <v>50951.583333333336</v>
      </c>
      <c r="GV18" s="1">
        <f t="shared" si="85"/>
        <v>51463.083333333336</v>
      </c>
      <c r="GW18" s="79">
        <f t="shared" si="49"/>
        <v>1228976</v>
      </c>
      <c r="GX18" s="83">
        <v>30955.772000000001</v>
      </c>
      <c r="GY18" s="83" t="s">
        <v>329</v>
      </c>
      <c r="GZ18" s="83">
        <f t="shared" si="109"/>
        <v>93671</v>
      </c>
      <c r="HA18" s="1">
        <v>222000</v>
      </c>
      <c r="HB18" s="79"/>
      <c r="HC18" s="79"/>
      <c r="HD18" s="1">
        <v>42261</v>
      </c>
      <c r="HE18" s="79"/>
      <c r="HF18" s="79"/>
      <c r="HG18" s="1">
        <v>177000</v>
      </c>
      <c r="HH18" s="79"/>
      <c r="HI18" s="79"/>
      <c r="HJ18" s="1"/>
      <c r="HK18" s="79"/>
      <c r="HL18" s="79"/>
      <c r="HM18" s="79">
        <f t="shared" si="86"/>
        <v>0</v>
      </c>
      <c r="HN18" s="69"/>
      <c r="HO18" s="1">
        <v>907800000</v>
      </c>
      <c r="HP18" s="79"/>
      <c r="HQ18" s="79"/>
      <c r="HR18" s="1"/>
      <c r="HS18" s="1"/>
      <c r="HT18" s="1"/>
      <c r="HU18" s="83">
        <f t="shared" si="119"/>
        <v>650000</v>
      </c>
      <c r="HV18" s="83" t="str">
        <f t="shared" si="119"/>
        <v>2015-16</v>
      </c>
      <c r="HW18" s="1">
        <f t="shared" si="119"/>
        <v>2000000</v>
      </c>
      <c r="HX18" s="1" t="s">
        <v>107</v>
      </c>
      <c r="HY18" s="1">
        <v>2950000</v>
      </c>
      <c r="HZ18" s="1" t="s">
        <v>107</v>
      </c>
      <c r="IA18" s="1">
        <f t="shared" si="113"/>
        <v>17210000</v>
      </c>
      <c r="IB18" s="1" t="str">
        <f t="shared" si="114"/>
        <v>2015-16</v>
      </c>
      <c r="IC18" s="1">
        <v>50000000</v>
      </c>
      <c r="ID18" s="1" t="s">
        <v>107</v>
      </c>
      <c r="IE18" s="1">
        <f t="shared" si="115"/>
        <v>2600000</v>
      </c>
      <c r="IF18" s="1" t="s">
        <v>107</v>
      </c>
      <c r="IG18" s="1"/>
      <c r="IH18" s="1"/>
      <c r="II18" s="79">
        <f t="shared" si="87"/>
        <v>74760000</v>
      </c>
      <c r="IJ18" s="97">
        <f t="shared" si="110"/>
        <v>1.6218070029006586</v>
      </c>
      <c r="IK18" s="1" t="s">
        <v>107</v>
      </c>
      <c r="IL18" s="7">
        <v>45.81</v>
      </c>
      <c r="IM18" s="7">
        <v>56.989650219089739</v>
      </c>
      <c r="IN18" s="7">
        <v>201</v>
      </c>
      <c r="IO18" s="695">
        <f>+IO30*(1-0.0669)</f>
        <v>12.932766000000001</v>
      </c>
      <c r="IP18" s="98">
        <f t="shared" si="88"/>
        <v>5.7844457536132143</v>
      </c>
      <c r="IQ18" s="93">
        <v>21.6</v>
      </c>
      <c r="IR18" s="93">
        <f t="shared" si="111"/>
        <v>2.2000000000000002</v>
      </c>
      <c r="IS18" s="93">
        <f t="shared" si="111"/>
        <v>5.59</v>
      </c>
      <c r="IT18" s="93">
        <f t="shared" si="111"/>
        <v>13.55</v>
      </c>
      <c r="IU18" s="93">
        <f t="shared" si="111"/>
        <v>1.07</v>
      </c>
      <c r="IV18" s="94">
        <f t="shared" si="89"/>
        <v>20.21</v>
      </c>
      <c r="IW18" s="84"/>
      <c r="IX18" s="84"/>
      <c r="IY18" s="105">
        <v>1.84</v>
      </c>
      <c r="IZ18" s="161">
        <v>0.3</v>
      </c>
      <c r="JA18" s="161"/>
      <c r="JB18" s="84">
        <v>38.770000000000003</v>
      </c>
      <c r="JC18" s="84"/>
      <c r="JD18" s="84"/>
      <c r="JF18" s="2">
        <v>12.897635900000008</v>
      </c>
      <c r="JG18" s="2">
        <v>25.81976504</v>
      </c>
      <c r="JH18" s="2">
        <v>62.957546209999997</v>
      </c>
      <c r="JI18" s="2">
        <v>22.774907360000004</v>
      </c>
      <c r="JJ18" s="2">
        <v>320.25150833999999</v>
      </c>
      <c r="JK18" s="2">
        <v>95.90551932999999</v>
      </c>
      <c r="JL18" s="2">
        <v>1489.3179960100001</v>
      </c>
      <c r="JM18" s="2">
        <v>4.3060927800000002</v>
      </c>
      <c r="JN18" s="2">
        <v>69.990103950000005</v>
      </c>
      <c r="JO18" s="2">
        <v>16.05658047</v>
      </c>
      <c r="JP18" s="2">
        <v>0</v>
      </c>
      <c r="JQ18" s="2">
        <v>0</v>
      </c>
      <c r="JR18" s="2">
        <v>0.77551345000000005</v>
      </c>
      <c r="JS18" s="2">
        <v>0</v>
      </c>
      <c r="JT18" s="2">
        <v>0</v>
      </c>
      <c r="JU18" s="2">
        <v>97.346977639999992</v>
      </c>
      <c r="JV18" s="2">
        <v>8.3928097400000006</v>
      </c>
      <c r="JW18" s="2">
        <v>8.2625836999999986</v>
      </c>
      <c r="JX18" s="2">
        <v>20.930221329999998</v>
      </c>
      <c r="JY18" s="2">
        <v>2.2570904999999999</v>
      </c>
      <c r="JZ18" s="2">
        <v>6.5142597899999997</v>
      </c>
      <c r="KA18" s="2">
        <v>0</v>
      </c>
      <c r="KB18" s="2">
        <v>18.637968239999999</v>
      </c>
      <c r="KC18" s="2">
        <v>72.301409059999997</v>
      </c>
      <c r="KD18" s="2">
        <v>8.5918402700000005</v>
      </c>
      <c r="KE18" s="2">
        <v>15.18001228</v>
      </c>
      <c r="KF18" s="2">
        <v>24.443235219999995</v>
      </c>
      <c r="KG18" s="2">
        <v>176.16495302000001</v>
      </c>
      <c r="KH18" s="2">
        <v>61.683697850000009</v>
      </c>
      <c r="KI18" s="2">
        <v>18.72168667</v>
      </c>
      <c r="KJ18" s="2">
        <v>1.45368557</v>
      </c>
      <c r="KK18" s="2">
        <v>10.442303449999999</v>
      </c>
      <c r="KL18" s="2">
        <v>0.70411953999999999</v>
      </c>
      <c r="KM18" s="2">
        <v>1.0691023600000003</v>
      </c>
      <c r="KN18" s="2">
        <v>0.14689251000000003</v>
      </c>
      <c r="KO18" s="2">
        <v>3.2665821099999999</v>
      </c>
      <c r="KP18" s="2">
        <v>8.4547900000000002E-3</v>
      </c>
      <c r="KQ18" s="2">
        <v>23.873226269999993</v>
      </c>
      <c r="KR18" s="2">
        <v>5.5819900000000002E-3</v>
      </c>
      <c r="KS18" s="2">
        <v>0.49466841</v>
      </c>
      <c r="KT18" s="2">
        <v>1.6369146899999998</v>
      </c>
      <c r="KU18" s="2">
        <v>0.24936710000000001</v>
      </c>
      <c r="KV18" s="2">
        <v>1.79199705</v>
      </c>
      <c r="KW18" s="2">
        <v>7.263555010000001</v>
      </c>
      <c r="KX18" s="2">
        <v>0</v>
      </c>
      <c r="KY18" s="2">
        <v>0.5340317</v>
      </c>
      <c r="KZ18" s="2">
        <v>1.6401748300000001</v>
      </c>
      <c r="LA18" s="2">
        <v>0.79242440999999997</v>
      </c>
      <c r="LB18" s="2">
        <v>4.3140129999999999E-2</v>
      </c>
      <c r="LC18" s="2">
        <v>8.5399130000000004E-2</v>
      </c>
      <c r="LD18" s="2">
        <v>1.332561E-2</v>
      </c>
      <c r="LE18" s="2">
        <v>0.28602490000000003</v>
      </c>
      <c r="LF18" s="2">
        <v>0.20994316000000002</v>
      </c>
      <c r="LG18" s="2">
        <v>14.957896009999997</v>
      </c>
      <c r="LH18" s="2">
        <v>4.8645266500000002</v>
      </c>
      <c r="LI18" s="2">
        <v>2.4977000000000002E-4</v>
      </c>
      <c r="LJ18" s="2">
        <v>0</v>
      </c>
      <c r="LK18" s="2">
        <v>1.6060336099999999</v>
      </c>
      <c r="LL18" s="2">
        <v>3.0840029400000004</v>
      </c>
      <c r="LM18" s="2">
        <v>2.8442604600000001</v>
      </c>
      <c r="LN18" s="2">
        <v>0.86970981000000003</v>
      </c>
      <c r="LO18" s="2">
        <v>9.3137944800000021</v>
      </c>
      <c r="LQ18" s="85">
        <f t="shared" si="90"/>
        <v>1969.5981546500002</v>
      </c>
      <c r="LR18" s="85">
        <f t="shared" si="91"/>
        <v>0.77551345000000005</v>
      </c>
      <c r="LS18" s="85">
        <f t="shared" si="92"/>
        <v>16.655393439999997</v>
      </c>
      <c r="LT18" s="85">
        <f t="shared" si="93"/>
        <v>8.7713502899999991</v>
      </c>
      <c r="LU18" s="85">
        <f t="shared" si="94"/>
        <v>28.856053649999993</v>
      </c>
      <c r="LV18" s="85">
        <f t="shared" si="95"/>
        <v>9.58958376</v>
      </c>
      <c r="LW18" s="85">
        <f t="shared" si="96"/>
        <v>0.83556454000000002</v>
      </c>
      <c r="LX18" s="85">
        <f t="shared" si="97"/>
        <v>0.50929367000000003</v>
      </c>
      <c r="LZ18" s="131">
        <v>16.399999999999999</v>
      </c>
      <c r="MA18" s="171">
        <v>18.18</v>
      </c>
      <c r="MB18"/>
      <c r="MC18"/>
      <c r="MD18"/>
      <c r="MF18"/>
      <c r="MG18"/>
      <c r="MH18" s="83">
        <v>34.29</v>
      </c>
      <c r="MI18" s="83">
        <v>10.47</v>
      </c>
      <c r="MJ18" s="83">
        <v>11.95</v>
      </c>
      <c r="MK18"/>
      <c r="ML18" s="83">
        <v>15.48</v>
      </c>
      <c r="MM18" s="83">
        <v>31.18</v>
      </c>
      <c r="MN18" s="83"/>
      <c r="MO18" s="83">
        <v>29.8</v>
      </c>
      <c r="MP18" s="83">
        <v>29.03</v>
      </c>
      <c r="MQ18" s="83">
        <v>28.53</v>
      </c>
      <c r="MR18"/>
      <c r="MT18" s="83"/>
      <c r="MU18" s="83">
        <v>11.71</v>
      </c>
      <c r="MV18"/>
      <c r="MW18"/>
      <c r="MX18"/>
      <c r="MY18" s="83">
        <v>27.73</v>
      </c>
      <c r="MZ18" s="83">
        <v>78.5</v>
      </c>
      <c r="NA18" s="83">
        <v>34.85</v>
      </c>
      <c r="NB18" s="83">
        <v>110.92</v>
      </c>
      <c r="NC18" s="83">
        <v>17.03</v>
      </c>
      <c r="ND18"/>
      <c r="NE18" s="1">
        <v>96.21</v>
      </c>
    </row>
    <row r="19" spans="1:369">
      <c r="A19" s="38">
        <f t="shared" si="32"/>
        <v>42644</v>
      </c>
      <c r="B19" s="36">
        <v>10</v>
      </c>
      <c r="C19" s="36">
        <v>2016</v>
      </c>
      <c r="D19" s="36">
        <f t="shared" si="50"/>
        <v>19</v>
      </c>
      <c r="E19" s="38">
        <f t="shared" si="33"/>
        <v>42644</v>
      </c>
      <c r="F19" s="7">
        <v>15.379999999999999</v>
      </c>
      <c r="G19" s="7">
        <v>96.749598715890855</v>
      </c>
      <c r="H19" s="1">
        <f>[2]NACIONALES!$D7</f>
        <v>10368</v>
      </c>
      <c r="I19" s="7">
        <v>104</v>
      </c>
      <c r="J19" s="7">
        <v>335</v>
      </c>
      <c r="K19" s="7">
        <v>3.4</v>
      </c>
      <c r="L19" s="7">
        <v>33.700000000000003</v>
      </c>
      <c r="N19" s="5">
        <v>1.4550000000000001</v>
      </c>
      <c r="O19" s="5">
        <v>1.3009999999999999</v>
      </c>
      <c r="P19" s="78">
        <f t="shared" si="34"/>
        <v>21.193640000000002</v>
      </c>
      <c r="Q19" s="6">
        <v>375</v>
      </c>
      <c r="R19" s="79">
        <f t="shared" si="35"/>
        <v>3750</v>
      </c>
      <c r="S19" s="6">
        <v>123.6</v>
      </c>
      <c r="T19" s="6">
        <v>301.35000000000002</v>
      </c>
      <c r="U19" s="143">
        <v>148.87999999999997</v>
      </c>
      <c r="V19" s="6">
        <v>256.995</v>
      </c>
      <c r="W19" s="6">
        <v>134.85</v>
      </c>
      <c r="X19" s="6">
        <v>146.55000000000001</v>
      </c>
      <c r="Y19" s="79">
        <f t="shared" si="36"/>
        <v>1900.9679999999998</v>
      </c>
      <c r="Z19" s="79">
        <f t="shared" si="37"/>
        <v>4634.7629999999999</v>
      </c>
      <c r="AA19" s="79">
        <f t="shared" si="38"/>
        <v>2289.7743999999993</v>
      </c>
      <c r="AB19" s="79">
        <f t="shared" si="39"/>
        <v>3952.5830999999998</v>
      </c>
      <c r="AC19" s="79">
        <f t="shared" si="40"/>
        <v>2073.9929999999999</v>
      </c>
      <c r="AD19" s="79">
        <f t="shared" si="41"/>
        <v>2253.9389999999999</v>
      </c>
      <c r="AE19" s="79">
        <f t="shared" si="42"/>
        <v>2851.0034166666669</v>
      </c>
      <c r="AF19" s="1">
        <v>10095.450000000001</v>
      </c>
      <c r="AG19" s="1">
        <v>5100</v>
      </c>
      <c r="AH19" s="1">
        <v>19200</v>
      </c>
      <c r="AI19" s="5">
        <v>9.65</v>
      </c>
      <c r="AJ19" s="5">
        <v>4.47</v>
      </c>
      <c r="AK19" s="5">
        <v>4.63</v>
      </c>
      <c r="AL19" s="5">
        <v>3.19</v>
      </c>
      <c r="AM19" s="78">
        <f t="shared" si="43"/>
        <v>6.5872000000000002</v>
      </c>
      <c r="AN19" s="5">
        <v>351.12857142857149</v>
      </c>
      <c r="AO19" s="80">
        <f t="shared" si="51"/>
        <v>210.67714285714288</v>
      </c>
      <c r="AP19" s="78">
        <f t="shared" si="44"/>
        <v>280.90285714285721</v>
      </c>
      <c r="AQ19" s="5">
        <v>235.79999999999998</v>
      </c>
      <c r="AR19" s="5">
        <v>140.80000000000001</v>
      </c>
      <c r="AS19" s="5">
        <v>100.1</v>
      </c>
      <c r="AT19" s="80">
        <f t="shared" si="52"/>
        <v>235.79999999999998</v>
      </c>
      <c r="AU19" s="78">
        <f t="shared" si="53"/>
        <v>158.9</v>
      </c>
      <c r="AV19">
        <v>95.199999999999989</v>
      </c>
      <c r="AW19" s="80">
        <f t="shared" si="54"/>
        <v>304.64</v>
      </c>
      <c r="AX19">
        <v>79.400000000000006</v>
      </c>
      <c r="AY19" s="7">
        <v>199.79999999999998</v>
      </c>
      <c r="AZ19" s="7">
        <v>115.38</v>
      </c>
      <c r="BA19" s="7">
        <v>396.9</v>
      </c>
      <c r="BB19" s="94">
        <f t="shared" si="45"/>
        <v>206.625</v>
      </c>
      <c r="BC19" s="68">
        <f>+BC18</f>
        <v>579</v>
      </c>
      <c r="BD19" s="68">
        <f t="shared" si="116"/>
        <v>684</v>
      </c>
      <c r="BE19" s="7">
        <f t="shared" si="55"/>
        <v>590</v>
      </c>
      <c r="BF19" s="7">
        <f t="shared" si="55"/>
        <v>390</v>
      </c>
      <c r="BG19" s="94">
        <f t="shared" si="56"/>
        <v>560.75</v>
      </c>
      <c r="BH19" s="7">
        <v>37.549999999999997</v>
      </c>
      <c r="BI19" s="7">
        <f t="shared" si="98"/>
        <v>16.602</v>
      </c>
      <c r="BJ19" s="78">
        <f t="shared" si="57"/>
        <v>54.152000000000001</v>
      </c>
      <c r="BK19" s="7">
        <v>30.126999999999999</v>
      </c>
      <c r="BL19" s="7">
        <v>30.126999999999999</v>
      </c>
      <c r="BM19" s="94">
        <f t="shared" si="58"/>
        <v>30.126999999999999</v>
      </c>
      <c r="BN19" s="5">
        <v>4.4279999999999999</v>
      </c>
      <c r="BO19" s="105">
        <v>22.362499999999997</v>
      </c>
      <c r="BP19" s="80">
        <v>12.254</v>
      </c>
      <c r="BQ19" s="94">
        <f t="shared" si="59"/>
        <v>21.351649999999999</v>
      </c>
      <c r="BR19" s="7">
        <v>17.149999999999999</v>
      </c>
      <c r="BS19" s="7">
        <v>80</v>
      </c>
      <c r="BT19" s="7">
        <v>44.25</v>
      </c>
      <c r="BU19" s="79">
        <f t="shared" si="46"/>
        <v>1092.75</v>
      </c>
      <c r="BV19" s="97">
        <v>23.5</v>
      </c>
      <c r="BW19" s="95"/>
      <c r="BY19" s="92">
        <f>BY$10*(1+((H19/H$10-1)*costos!$B$5+((I19*F19)/(I$10*F$10)-1)*costos!$E$5+((J19*F19)/((J$10*F$10)-1)*costos!$F$5/3+((K19*F19)/(K$10*F$10)-1)*costos!$F$5/3+((U19*F19)/(U$10*F$10)-1)*costos!$F$5/3+((L19*F19)/(L$10*F$10)-1)*costos!$G$5+((N19*F19)/(N$10*F$10)-1)*costos!$J$5+((V19*F19)/(V$10*F$10)-1)*costos!$K$5)))</f>
        <v>130.48841702104633</v>
      </c>
      <c r="BZ19" s="92">
        <f>$BZ$10*(1+((H19/$H$10-1)*costos!$B$6+((I19*F19)/($I$10*$F$10)-1)*costos!$E$6+((J19*F19)/(($J$10*$F$10)-1)*costos!$F$6/3+((K19*F19)/($K$10*$F$10)-1)*costos!$F$6/3+((U19*F19)/($U$10*$F$10)-1)*costos!$F$6/3+((L19*F19)/($L$10*$F$10)-1)*costos!$G$6+((Q19*F19)/($Q$10*$F$10)-1)*costos!$J$6+((V19*F19)/($V$10*$F$10)-1)*costos!$K$6)))</f>
        <v>122.44934502783119</v>
      </c>
      <c r="CA19" s="92">
        <f>CA$10*(1+((H19/H$10-1)*costos!$B$7+((I19*F19)/(I$10*F$10)-1)*costos!$E$7+((J19*F19)/((J$10*F$10)-1)*costos!$F$7/3+((K19*F19)/(K$10*F$10)-1)*costos!$F$7/3+((U19*F19)/(U$10*F$10)-1)*costos!$F$7/3+((L19*F19)/(L$10*F$10)-1)*costos!$G$7+((S19*F19)/(S$10*F$10)-1)*costos!$J$7+((V19*F19)/(V$10*F$10)-1)*costos!$K$7)))</f>
        <v>118.70074544233302</v>
      </c>
      <c r="CB19" s="92">
        <f>CB$10*(1+((H19/H$10-1)*costos!$B$8+((I19*F19)/(I$10*F$10)-1)*costos!$E$8+((J19*F19)/((J$10*F$10)-1)*costos!$F$8/3+((K19*F19)/(K$10*F$10)-1)*costos!$F$8/3+((U19*F19)/(U$10*F$10)-1)*costos!$F$8/3+((L19*F19)/(L$10*F$10)-1)*costos!$G$8+((T19*F19)/(T$10*F$10)-1)*costos!$J$8+((V19*F19)/(V$10*F$10)-1)*costos!$K$8)))</f>
        <v>124.38181527780547</v>
      </c>
      <c r="CC19" s="92">
        <f>CC$10*(1+((H19/H$10-1)*costos!$B$9+((I19*F19)/(I$10*F$10)-1)*costos!$E$9+((J19*F19)/((J$10*F$10)-1)*costos!$F$9/3+((K19*F19)/(K$10*F$10)-1)*costos!$F$9/3+((U19*F19)/(U$10*F$10)-1)*costos!$F$9/3+((L19*F19)/(L$10*F$10)-1)*costos!$G$9+((U19*F19)/(U$10*F$10)-1)*costos!$J$9+((V19*F19)/(V$10*F$10)-1)*costos!$K$9)))</f>
        <v>121.44741812556823</v>
      </c>
      <c r="CD19" s="92">
        <f>CD$10*(1+((H19/H$10-1)*costos!$B$11+((I19*F19)/(I$10*F$10)-1)*costos!$E$11+((J19*F19)/((J$10*F$10)-1)*costos!$F$11/3+((K19*F19)/(K$10*F$10)-1)*costos!$F$11/3+((U19*F19)/(U$10*F$10)-1)*costos!$F$11/3+((L19*F19)/(L$10*F$10)-1)*costos!$G$11+((V19*F19)/(V$10*F$10)-1)*costos!$J$11+((V19*F19)/(V$10*F$10)-1)*costos!$K$11)))</f>
        <v>124.35161848037922</v>
      </c>
      <c r="CE19" s="92">
        <f>CE$10*(1+((H19/H$10-1)*costos!$B$12+((I19*F19)/(I$10*F$10)-1)*costos!$E$12+((J19*F19)/((J$10*F$10)-1)*costos!$F$12/3+((K19*F19)/(K$10*F$10)-1)*costos!$F$12/3+((U19*F19)/(U$10*F$10)-1)*costos!$F$12/3+((L19*F19)/(L$10*F$10)-1)*costos!$G$12+((W19*F19)/(W$10*F$10)-1)*costos!$J$12+((V19*F19)/(V$10*F$10)-1)*costos!$K$12)))</f>
        <v>118.08094976686667</v>
      </c>
      <c r="CF19" s="92">
        <f>CF$10*(1+((H19/H$10-1)*costos!$B$13+((I19*F19)/(I$10*F$10)-1)*costos!$E$13+((J19*F19)/((J$10*F$10)-1)*costos!$F$13/3+((K19*F19)/(K$10*F$10)-1)*costos!$F$13/3+((U19*F19)/(U$10*F$10)-1)*costos!$F$13/3+((L19*F19)/(L$10*F$10)-1)*costos!$G$13+((X19*F19)/(X$10*F$10)-1)*costos!$J$13+((V19*F19)/(V$10*F$10)-1)*costos!$K$13)))</f>
        <v>123.5281088203038</v>
      </c>
      <c r="CG19" s="92">
        <f t="shared" si="60"/>
        <v>121.74844265220941</v>
      </c>
      <c r="CH19" s="92">
        <f>CH$10*(1+((H19/H$10-1)*costos!$B$10+((I19*F19)/(I$10*F$10)-1)*costos!$E$10+((J19*F19)/((J$10*F$10)-1)*costos!$F$10/3+((K19*F19)/(K$10*F$10)-1)*costos!$F$10/3+((U19*F19)/(U$10*F$10)-1)*costos!$F$10/3+((L19*F19)/(L$10*F$10)-1)*costos!$G$10+((AF19)/(AF$10)-1)*costos!$J$10+((V19*F19)/(V$10*F$10)-1)*costos!$K$10)))</f>
        <v>135.53791371666262</v>
      </c>
      <c r="CI19" s="92">
        <f>CI$10*(1+((H19/H$10-1)*costos!$B$15+((I19*F19)/(I$10*F$10)-1)*costos!$E$15+((J19*F19)/((J$10*F$10)-1)*costos!$F$15/3+((K19*F19)/(K$10*F$10)-1)*costos!$F$15/3+((U19*F19)/(U$10*F$10)-1)*costos!$F$15/3+((L19*F19)/(L$10*F$10)-1)*costos!$G$15+((AV19)/(AV$10)-1)*costos!$J$15+((V19*F19)/(V$10*F$10)-1)*costos!$K$15)))</f>
        <v>132.3647162293864</v>
      </c>
      <c r="CJ19" s="92">
        <f>CJ$10*(1+((H19/H$10-1)*costos!$B$16+((I19*F19)/(I$10*F$10)-1)*costos!$E$16+((J19*F19)/((J$10*F$10)-1)*costos!$F$16/3+((K19*F19)/(K$10*F$10)-1)*costos!$F$16/3+((U19*F19)/(U$10*F$10)-1)*costos!$F$16/3+((L19*F19)/(L$10*F$10)-1)*costos!$G$16+((AW19)/(AW$10)-1)*costos!$J$16+((V19*F19)/(V$10*F$10)-1)*costos!$K$16)))</f>
        <v>134.96611414983087</v>
      </c>
      <c r="CK19" s="92">
        <f>CK$10*(1+((H19/H$10-1)*costos!$B$17+((I19*F19)/(I$10*F$10)-1)*costos!$E$17+((J19*F19)/((J$10*F$10)-1)*costos!$F$17/3+((K19*F19)/(K$10*F$10)-1)*costos!$F$17/3+((U19*F19)/(U$10*F$10)-1)*costos!$F$17/3+((L19*F19)/(L$10*F$10)-1)*costos!$G$17+((AX19)/(AX$10)-1)*costos!$J$17+((V19*F19)/(V$10*F$10)-1)*costos!$K$17)))</f>
        <v>124.79811892202592</v>
      </c>
      <c r="CL19" s="92">
        <f>CL$10*(1+((H19/H$10-1)*costos!$B$18+((I19*F19)/(I$10*F$10)-1)*costos!$E$18+((J19*F19)/((J$10*F$10)-1)*costos!$F$18/3+((K19*F19)/(K$10*F$10)-1)*costos!$F$18/3+((U19*F19)/(U$10*F$10)-1)*costos!$F$18/3+((L19*F19)/(L$10*F$10)-1)*costos!$G$18+((AY19)/(AY$10)-1)*costos!$J$18+((V19*F19)/(V$10*F$10)-1)*costos!$K$18)))</f>
        <v>148.27519089413869</v>
      </c>
      <c r="CM19" s="92">
        <f>CM$10*(1+((H19/H$10-1)*costos!$B$19+((I19*F19)/(I$10*F$10)-1)*costos!$E$19+((J19*F19)/((J$10*F$10)-1)*costos!$F$19/3+((K19*F19)/(K$10*F$10)-1)*costos!$F$19/3+((U19*F19)/(U$10*F$10)-1)*costos!$F$19/3+((L19*F19)/(L$10*F$10)-1)*costos!$G$19+((AZ19)/(AZ$10)-1)*costos!$J$19+((V19*F19)/(V$10*F$10)-1)*costos!$K$19)))</f>
        <v>123.08248268488266</v>
      </c>
      <c r="CN19" s="92">
        <f>CN$10*(1+((H19/H$10-1)*costos!$B$20+((I19*F19)/(I$10*F$10)-1)*costos!$E$20+((J19*F19)/((J$10*F$10)-1)*costos!$F$20/3+((K19*F19)/(K$10*F$10)-1)*costos!$F$20/3+((U19*F19)/(U$10*F$10)-1)*costos!$F$20/3+((L19*F19)/(L$10*F$10)-1)*costos!$G$20+((BA19)/(BA$10)-1)*costos!$J$20+((V19*F19)/(V$10*F$10)-1)*costos!$K$20)))</f>
        <v>192.40021986228589</v>
      </c>
      <c r="CO19" s="92">
        <f t="shared" si="61"/>
        <v>147.13900309083328</v>
      </c>
      <c r="CP19" s="92">
        <f>CP$10*(1+((H19/H$10-1)*costos!$B$22+((I19*F19)/(I$10*F$10)-1)*costos!$E$22+((J19*F19)/((J$10*F$10)-1)*costos!$F$22/3+((K19*F19)/(K$10*F$10)-1)*costos!$F$22/3+((U19*F19)/(U$10*F$10)-1)*costos!$F$22/3+((L19*F19)/(L$10*F$10)-1)*costos!$G$22+(((AVERAGE(AI19:AL19))/((AVERAGE(AI$10:AL$10))-1)*costos!$J$22+((V19*F19)/(V$10*F$10)-1)*costos!$K$22)))))</f>
        <v>161.33638611100992</v>
      </c>
      <c r="CQ19" s="92">
        <f>CQ$10*(1+((H19/H$10-1)*costos!$B$23+((I19*F19)/(I$10*F$10)-1)*costos!$E$23+((J19*F19)/((J$10*F$10)-1)*costos!$F$23/3+((K19*F19)/(K$10*F$10)-1)*costos!$F$23/3+((U19*F19)/(U$10*F$10)-1)*costos!$F$23/3+((L19*F19)/(L$10*F$10)-1)*costos!$G$23+((AN19)/(AN$10)-1)*costos!$J$23+((V19*F19)/(V$10*F$10)-1)*costos!$K$23)))</f>
        <v>128.40667760429159</v>
      </c>
      <c r="CR19" s="92">
        <f>CR$10*(1+((H19/H$10-1)*costos!$B$24+((I19*F19)/(I$10*F$10)-1)*costos!$E$24+((J19*F19)/((J$10*F$10)-1)*costos!$F$24/3+((K19*F19)/(K$10*F$10)-1)*costos!$F$24/3+((U19*F19)/(U$10*F$10)-1)*costos!$F$24/3+((L19*F19)/(L$10*F$10)-1)*costos!$G$24+((AO19)/(AO$10)-1)*costos!$J$24+((V19*F19)/(V$10*F$10)-1)*costos!$K$24)))</f>
        <v>128.40667760429159</v>
      </c>
      <c r="CS19" s="92">
        <f t="shared" si="62"/>
        <v>128.40667760429159</v>
      </c>
      <c r="CT19" s="92">
        <f>CT$10*(1+((H19/H$10-1)*costos!$B$25+((I19*F19)/(I$10*F$10)-1)*costos!$E$25+((J19*F19)/((J$10*F$10)-1)*costos!$F$25/3+((K19*F19)/(K$10*F$10)-1)*costos!$F$25/3+((U19*F19)/(U$10*F$10)-1)*costos!$F$25/3+((L19*F19)/(L$10*F$10)-1)*costos!$G$25+((AQ19)/(AQ$10)-1)*costos!$J$25+((V19*F19)/(V$10*F$10)-1)*costos!$K$25)))</f>
        <v>127.77044195660572</v>
      </c>
      <c r="CU19" s="92">
        <f>CU$10*(1+((H19/H$10-1)*costos!$B$26+((I19*F19)/(I$10*F$10)-1)*costos!$E$26+((J19*F19)/((J$10*F$10)-1)*costos!$F$26/3+((K19*F19)/(K$10*F$10)-1)*costos!$F$26/3+((U19*F19)/(U$10*F$10)-1)*costos!$F$26/3+((L19*F19)/(L$10*F$10)-1)*costos!$G$26+((AR19)/(AR$10)-1)*costos!$J$26+((V19*F19)/(V$10*F$10)-1)*costos!$K$26)))</f>
        <v>124.77791504834019</v>
      </c>
      <c r="CV19" s="92">
        <f>CV$10*(1+((H19/H$10-1)*costos!$B$27+((I19*F19)/(I$10*F$10)-1)*costos!$E$27+((J19*F19)/((J$10*F$10)-1)*costos!$F$27/3+((K19*F19)/(K$10*F$10)-1)*costos!$F$27/3+((U19*F19)/(U$10*F$10)-1)*costos!$F$27/3+((L19*F19)/(L$10*F$10)-1)*costos!$G$27+((AS19)/(AS$10)-1)*costos!$J$27+((V19*F19)/(V$10*F$10)-1)*costos!$K$27)))</f>
        <v>121.88675321226228</v>
      </c>
      <c r="CW19" s="92">
        <f>CW$10*(1+((H19/H$10-1)*costos!$B$28+((I19*F19)/(I$10*F$10)-1)*costos!$E$28+((J19*F19)/((J$10*F$10)-1)*costos!$F$28/3+((K19*F19)/(K$10*F$10)-1)*costos!$F$28/3+((U19*F19)/(U$10*F$10)-1)*costos!$F$28/3+((L19*F19)/(L$10*F$10)-1)*costos!$G$28+((AS19)/(AS$10)-1)*costos!$J$28+((V19*F19)/(V$10*F$10)-1)*costos!$K$28)))</f>
        <v>121.88675321226228</v>
      </c>
      <c r="CX19" s="92">
        <f t="shared" si="63"/>
        <v>122.85047382428824</v>
      </c>
      <c r="CY19" s="92">
        <f>CY$10*(1+((H19/H$10-1)*costos!$B$32+((I19*F19)/(I$10*F$10)-1)*costos!$E$32+((J19*F19)/((J$10*F$10)-1)*costos!$F$32/3+((K19*F19)/(K$10*F$10)-1)*costos!$F$32/3+((U19*F19)/(U$10*F$10)-1)*costos!$F$32/3+((L19*F19)/(L$10*F$10)-1)*costos!$G$32+((AG19)/(AG$10)-1)*costos!$J$32+((V19*F19)/(V$10*F$10)-1)*costos!$K$32)))</f>
        <v>131.77847924081868</v>
      </c>
      <c r="CZ19" s="69">
        <f>CZ$10*(1+((H19/H$10-1)*costos!$B$31+((I19*F19)/(I$10*F$10)-1)*costos!$E$30+((J19*F19)/((J$10*F$10)-1)*costos!$F$30/3+((K19*F19)/(K$10*F$10)-1)*costos!$F$30/3+((U19*F19)/(U$10*F$10)-1)*costos!$F$30/3+((L19*F19)/(L$10*F$10)-1)*costos!$G$30+((BG19)/(BG$10)-1)*costos!$J$30+((V19*F19)/(V$10*F$10)-1)*costos!$K$30)))</f>
        <v>137.46917079938774</v>
      </c>
      <c r="DA19" s="69">
        <f>DA$10*(1+((H19/H$10-1)*costos!$B$31+((I19*F19)/(I$10*F$10)-1)*costos!$E$31+((J19*F19)/((J$10*F$10)-1)*costos!$F$31/3+((K19*F19)/(K$10*F$10)-1)*costos!$F$31/3+((U19*F19)/(U$10*F$10)-1)*costos!$F$31/3+((L19*F19)/(L$10*F$10)-1)*costos!$G$31+((BJ19)/(BJ$10)-1)*costos!$J$31+((V19*F19)/(V$10*F$10)-1)*costos!$K$31)))</f>
        <v>132.95710048225433</v>
      </c>
      <c r="DB19" s="69">
        <f>DB$10*(1+((H19/H$10-1)*costos!$B$36+((I19*F19)/(I$10*F$10)-1)*costos!$E$36+((J19*F19)/((J$10*F$10)-1)*costos!$F$36/3+((K19*F19)/(K$10*F$10)-1)*costos!$F$36/3+((U19*F19)/(U$10*F$10)-1)*costos!$F$36/3+((L19*F19)/(L$10*F$10)-1)*costos!$G$36+((BK19)/(BK$10)-1)*costos!$J$36+((V19*F19)/(V$10*F$10)-1)*costos!$K$36)))</f>
        <v>130.67447239468075</v>
      </c>
      <c r="DC19" s="69">
        <f>DC$10*(1+((H19/H$10-1)*costos!$B$37+((I19*F19)/(I$10*F$10)-1)*costos!$E$37+((U19*F19)/(U$10*F$10)-1)*costos!$F$37+((L19*F19)/(L$10*F$10)-1)*costos!$G$37+((BN19)/(BN$10)-1)*costos!$J$37+((V19*F19)/(V$10*F$10)-1)*costos!$K$37))</f>
        <v>119.04652598808616</v>
      </c>
      <c r="DD19" s="69">
        <f>DD$10*(1+((H19/H$10-1)*costos!$B$39+((I19*F19)/(I$10*F$10)-1)*costos!$E$39+((U19*F19)/(U$10*F$10)-1)*costos!$F$39+((L19*F19)/(L$10*F$10)-1)*costos!$G$39+((BR19)/(BR$10)-1)*costos!$J$39+((V19*F19)/(V$10*F$10)-1)*costos!$K$39))</f>
        <v>117.37741169489726</v>
      </c>
      <c r="DE19" s="69">
        <f>DD$10*(1+((H19/H$10-1)*costos!$B$35+((I19*F19)/(I$10*F$10)-1)*costos!$E$35+((U19*F19)/(U$10*F$10)-1)*costos!$F$35+((L19*F19)/(L$10*F$10)-1)*costos!$G$35+((BR19)/(BR$10)-1)*costos!$J$35+((V19*F19)/(V$10*F$10)-1)*costos!$K$35))</f>
        <v>116.09693193447607</v>
      </c>
      <c r="DF19" s="69">
        <f>DF$10*(1+((H19/H$10-1)*costos!$B$40+((I19*F19)/(I$10*F$10)-1)*costos!$E$40+((U19*F19)/(U$10*F$10)-1)*costos!$F$40+((L19*F19)/(L$10*F$10)-1)*costos!$G$40+((BP19)/(BP$10)-1)*costos!$J$40+((V19*F19)/(V$10*F$10)-1)*costos!$K$40))</f>
        <v>115.62775886304988</v>
      </c>
      <c r="DG19" s="92">
        <f t="shared" si="64"/>
        <v>115.86234539876298</v>
      </c>
      <c r="DH19" s="69">
        <f>DH$10*(1+((H19/H$10-1)*costos!$B$34+((I19*F19)/(I$10*F$10)-1)*costos!$E$34+((J19*F19)/((J$10*F$10)-1)*costos!$F$34/3+((K19*F19)/(K$10*F$10)-1)*costos!$F$34/3+((U19*F19)/(U$10*F$10)-1)*costos!$F$34/3+((L19*F19)/(L$10*F$10)-1)*costos!$G$34+((BV19)/(BV$10)-1)*costos!$J$34+((V19*F19)/(V$10*F$10)-1)*costos!$K$34)))</f>
        <v>130.06269793411576</v>
      </c>
      <c r="DI19" s="69">
        <f>DI$10*(1+((H19/H$10-1)*costos!$B$38+((I19*F19)/(I$10*F$10)-1)*costos!$E$38+((J19*F19)/((J$10*F$10)-1)*costos!$F$38/3+((K19*F19)/(K$10*F$10)-1)*costos!$F$38/3+((U19*F19)/(U$10*F$10)-1)*costos!$F$38/3+((L19*F19)/(L$10*F$10)-1)*costos!$G$38+((BU19)/(BU$10)-1)*costos!$J$38+((V19*F19)/(V$10*F$10)-1)*costos!$K$38)))</f>
        <v>134.05731802274195</v>
      </c>
      <c r="DK19" s="1">
        <v>258900</v>
      </c>
      <c r="DL19" s="1" t="s">
        <v>106</v>
      </c>
      <c r="DM19" s="82">
        <f t="shared" si="65"/>
        <v>214570</v>
      </c>
      <c r="DN19" s="82" t="str">
        <f t="shared" si="65"/>
        <v>2015-16</v>
      </c>
      <c r="DO19" s="1">
        <v>950000</v>
      </c>
      <c r="DP19" s="1" t="s">
        <v>106</v>
      </c>
      <c r="DQ19" s="1">
        <v>1700000</v>
      </c>
      <c r="DR19" s="1" t="s">
        <v>106</v>
      </c>
      <c r="DS19" s="1">
        <v>4900000</v>
      </c>
      <c r="DT19" s="1" t="s">
        <v>106</v>
      </c>
      <c r="DU19" s="1">
        <v>20100000</v>
      </c>
      <c r="DV19" s="1" t="s">
        <v>107</v>
      </c>
      <c r="DW19" s="82">
        <f t="shared" si="128"/>
        <v>850000</v>
      </c>
      <c r="DX19" s="82" t="str">
        <f t="shared" si="128"/>
        <v>2015-16</v>
      </c>
      <c r="DY19" s="83">
        <v>6365000</v>
      </c>
      <c r="DZ19" s="1" t="s">
        <v>106</v>
      </c>
      <c r="EA19" s="79">
        <f t="shared" si="67"/>
        <v>34865000</v>
      </c>
      <c r="EB19" s="82">
        <f t="shared" si="68"/>
        <v>368438</v>
      </c>
      <c r="EC19" s="82" t="str">
        <f t="shared" si="69"/>
        <v>2015-16</v>
      </c>
      <c r="ED19" s="83">
        <f t="shared" si="69"/>
        <v>165327</v>
      </c>
      <c r="EE19" s="143">
        <f t="shared" si="69"/>
        <v>2016</v>
      </c>
      <c r="EF19" s="83">
        <f t="shared" si="121"/>
        <v>223944</v>
      </c>
      <c r="EG19" s="143">
        <f t="shared" si="122"/>
        <v>2016</v>
      </c>
      <c r="EH19" s="83">
        <f t="shared" si="120"/>
        <v>53117706</v>
      </c>
      <c r="EI19" s="143">
        <f t="shared" si="120"/>
        <v>2016</v>
      </c>
      <c r="EJ19" s="83">
        <v>5119438</v>
      </c>
      <c r="EK19" s="143">
        <v>2016</v>
      </c>
      <c r="EL19" s="82">
        <f t="shared" si="120"/>
        <v>14864321</v>
      </c>
      <c r="EM19" s="144">
        <f t="shared" si="120"/>
        <v>2016</v>
      </c>
      <c r="EN19" s="82">
        <f t="shared" si="120"/>
        <v>3499621</v>
      </c>
      <c r="EO19" s="144">
        <f t="shared" si="120"/>
        <v>2016</v>
      </c>
      <c r="EP19" s="82">
        <f t="shared" si="118"/>
        <v>6552</v>
      </c>
      <c r="EQ19" s="83">
        <f t="shared" si="100"/>
        <v>3008956</v>
      </c>
      <c r="ER19" s="1">
        <v>32755</v>
      </c>
      <c r="ES19" s="82"/>
      <c r="ET19" s="83">
        <f t="shared" si="101"/>
        <v>24000</v>
      </c>
      <c r="EU19" s="83">
        <f t="shared" si="101"/>
        <v>16752</v>
      </c>
      <c r="EV19" s="83">
        <f t="shared" si="101"/>
        <v>9500</v>
      </c>
      <c r="EW19" s="83">
        <f t="shared" si="101"/>
        <v>17994</v>
      </c>
      <c r="EX19" s="79">
        <f t="shared" si="72"/>
        <v>68246</v>
      </c>
      <c r="EY19" s="1">
        <f t="shared" si="123"/>
        <v>19129</v>
      </c>
      <c r="EZ19" s="82">
        <f t="shared" si="102"/>
        <v>75500</v>
      </c>
      <c r="FA19" s="1">
        <f t="shared" si="103"/>
        <v>22169</v>
      </c>
      <c r="FB19" s="1">
        <f t="shared" si="103"/>
        <v>20495</v>
      </c>
      <c r="FC19" s="79">
        <f t="shared" si="73"/>
        <v>42664</v>
      </c>
      <c r="FD19" s="1">
        <f t="shared" si="104"/>
        <v>43815</v>
      </c>
      <c r="FE19" s="1"/>
      <c r="FF19" s="82">
        <f t="shared" si="129"/>
        <v>708196</v>
      </c>
      <c r="FG19" s="82" t="str">
        <f t="shared" si="130"/>
        <v>2015-16</v>
      </c>
      <c r="FH19" s="82">
        <f t="shared" ref="FH19:FN19" si="131">+FH18</f>
        <v>1404980</v>
      </c>
      <c r="FI19" s="82" t="str">
        <f t="shared" si="131"/>
        <v>2015-16</v>
      </c>
      <c r="FJ19" s="82">
        <f t="shared" si="131"/>
        <v>4300000</v>
      </c>
      <c r="FK19" s="82" t="str">
        <f t="shared" si="131"/>
        <v>2015-16</v>
      </c>
      <c r="FL19" s="82">
        <f t="shared" si="131"/>
        <v>2450000</v>
      </c>
      <c r="FM19" s="82" t="str">
        <f t="shared" si="131"/>
        <v>2015-16</v>
      </c>
      <c r="FN19" s="82">
        <f t="shared" si="131"/>
        <v>28000000</v>
      </c>
      <c r="FO19" s="82" t="str">
        <f>+FO18</f>
        <v>2015-16</v>
      </c>
      <c r="FP19" s="82">
        <f t="shared" si="125"/>
        <v>56000000</v>
      </c>
      <c r="FQ19" s="82" t="str">
        <f t="shared" si="125"/>
        <v>2015-16</v>
      </c>
      <c r="FR19" s="82">
        <f t="shared" si="125"/>
        <v>3400000</v>
      </c>
      <c r="FS19" s="82" t="str">
        <f t="shared" si="125"/>
        <v>2015-16</v>
      </c>
      <c r="FT19" s="1">
        <v>18395000</v>
      </c>
      <c r="FU19" s="1" t="s">
        <v>106</v>
      </c>
      <c r="FV19" s="79">
        <f t="shared" si="76"/>
        <v>112545000</v>
      </c>
      <c r="FW19" s="82">
        <f t="shared" si="126"/>
        <v>1001113</v>
      </c>
      <c r="FX19" s="82" t="str">
        <f t="shared" si="127"/>
        <v>2015-16</v>
      </c>
      <c r="FY19" s="83">
        <v>0</v>
      </c>
      <c r="FZ19" s="79"/>
      <c r="GA19" s="79"/>
      <c r="GB19" s="1">
        <v>17584178</v>
      </c>
      <c r="GC19" s="6">
        <v>2016</v>
      </c>
      <c r="GD19" s="1">
        <f t="shared" si="105"/>
        <v>1678337</v>
      </c>
      <c r="GE19" s="1">
        <v>468278</v>
      </c>
      <c r="GF19" s="1">
        <v>1032446</v>
      </c>
      <c r="GG19" s="1">
        <f t="shared" si="106"/>
        <v>102259</v>
      </c>
      <c r="GH19" s="79">
        <f t="shared" si="78"/>
        <v>1602983</v>
      </c>
      <c r="GI19" s="82">
        <f t="shared" si="79"/>
        <v>1302556</v>
      </c>
      <c r="GJ19" s="83">
        <f t="shared" si="80"/>
        <v>600000</v>
      </c>
      <c r="GK19" s="1">
        <f t="shared" si="80"/>
        <v>998555</v>
      </c>
      <c r="GL19" s="1">
        <f t="shared" si="80"/>
        <v>302000</v>
      </c>
      <c r="GM19" s="1">
        <f t="shared" si="80"/>
        <v>266553.90000000002</v>
      </c>
      <c r="GN19" s="79">
        <f t="shared" si="81"/>
        <v>2167108.9</v>
      </c>
      <c r="GO19" s="83">
        <f t="shared" si="107"/>
        <v>191984</v>
      </c>
      <c r="GP19" s="83">
        <f t="shared" si="82"/>
        <v>68123</v>
      </c>
      <c r="GQ19" s="1"/>
      <c r="GR19" s="1">
        <v>42700</v>
      </c>
      <c r="GS19" s="79">
        <f t="shared" si="83"/>
        <v>42700</v>
      </c>
      <c r="GT19" s="83">
        <f t="shared" si="108"/>
        <v>2430866</v>
      </c>
      <c r="GU19" s="1">
        <f t="shared" si="84"/>
        <v>50951.583333333336</v>
      </c>
      <c r="GV19" s="1">
        <f t="shared" si="85"/>
        <v>51463.083333333336</v>
      </c>
      <c r="GW19" s="79">
        <f t="shared" si="49"/>
        <v>1228976</v>
      </c>
      <c r="GX19" s="83">
        <v>30955.772000000001</v>
      </c>
      <c r="GY19" s="83" t="s">
        <v>329</v>
      </c>
      <c r="GZ19" s="83">
        <f t="shared" si="109"/>
        <v>93671</v>
      </c>
      <c r="HA19" s="1">
        <v>220000</v>
      </c>
      <c r="HB19" s="79"/>
      <c r="HC19" s="79"/>
      <c r="HD19" s="1">
        <v>44760</v>
      </c>
      <c r="HE19" s="79"/>
      <c r="HF19" s="79"/>
      <c r="HG19" s="1">
        <v>169000</v>
      </c>
      <c r="HH19" s="79"/>
      <c r="HI19" s="79"/>
      <c r="HJ19" s="1"/>
      <c r="HK19" s="79"/>
      <c r="HL19" s="79"/>
      <c r="HM19" s="79">
        <f t="shared" si="86"/>
        <v>0</v>
      </c>
      <c r="HN19" s="69"/>
      <c r="HO19" s="1">
        <v>890700000</v>
      </c>
      <c r="HP19" s="79"/>
      <c r="HQ19" s="79"/>
      <c r="HR19" s="1"/>
      <c r="HS19" s="1"/>
      <c r="HT19" s="1"/>
      <c r="HU19" s="83">
        <f t="shared" si="119"/>
        <v>650000</v>
      </c>
      <c r="HV19" s="83" t="str">
        <f t="shared" si="119"/>
        <v>2015-16</v>
      </c>
      <c r="HW19" s="1">
        <f t="shared" si="119"/>
        <v>2000000</v>
      </c>
      <c r="HX19" s="1" t="s">
        <v>107</v>
      </c>
      <c r="HY19" s="1">
        <v>2950000</v>
      </c>
      <c r="HZ19" s="1" t="s">
        <v>107</v>
      </c>
      <c r="IA19" s="1">
        <f t="shared" si="113"/>
        <v>17210000</v>
      </c>
      <c r="IB19" s="1" t="str">
        <f t="shared" si="114"/>
        <v>2015-16</v>
      </c>
      <c r="IC19" s="1">
        <v>50000000</v>
      </c>
      <c r="ID19" s="1" t="s">
        <v>107</v>
      </c>
      <c r="IE19" s="1">
        <f t="shared" si="115"/>
        <v>2600000</v>
      </c>
      <c r="IF19" s="1" t="s">
        <v>107</v>
      </c>
      <c r="IG19" s="1"/>
      <c r="IH19" s="1"/>
      <c r="II19" s="79">
        <f t="shared" si="87"/>
        <v>74760000</v>
      </c>
      <c r="IJ19" s="97">
        <f t="shared" si="110"/>
        <v>1.6218070029006586</v>
      </c>
      <c r="IK19" s="1" t="s">
        <v>107</v>
      </c>
      <c r="IL19" s="7">
        <v>41.82</v>
      </c>
      <c r="IM19" s="7">
        <v>55.078685567228334</v>
      </c>
      <c r="IN19" s="7">
        <v>201</v>
      </c>
      <c r="IO19" s="695">
        <f>+IO31*(1-0.093)</f>
        <v>13.269410000000001</v>
      </c>
      <c r="IP19" s="98">
        <f t="shared" si="88"/>
        <v>5.7844457536132143</v>
      </c>
      <c r="IQ19" s="93">
        <v>21.6</v>
      </c>
      <c r="IR19" s="93">
        <f t="shared" si="111"/>
        <v>2.2000000000000002</v>
      </c>
      <c r="IS19" s="93">
        <f t="shared" si="111"/>
        <v>5.59</v>
      </c>
      <c r="IT19" s="93">
        <f t="shared" si="111"/>
        <v>13.55</v>
      </c>
      <c r="IU19" s="93">
        <f t="shared" si="111"/>
        <v>1.07</v>
      </c>
      <c r="IV19" s="94">
        <f t="shared" si="89"/>
        <v>20.21</v>
      </c>
      <c r="IW19" s="84"/>
      <c r="IX19" s="84"/>
      <c r="IY19" s="105">
        <v>1.84</v>
      </c>
      <c r="IZ19" s="161">
        <v>0.3</v>
      </c>
      <c r="JA19" s="161"/>
      <c r="JB19" s="84">
        <v>38.770000000000003</v>
      </c>
      <c r="JC19" s="84"/>
      <c r="JD19" s="84"/>
      <c r="JF19" s="2">
        <v>10.955279709999999</v>
      </c>
      <c r="JG19" s="2">
        <v>13.117660049999998</v>
      </c>
      <c r="JH19" s="2">
        <v>60.277919120000007</v>
      </c>
      <c r="JI19" s="2">
        <v>28.390029759999997</v>
      </c>
      <c r="JJ19" s="2">
        <v>367.43866334000012</v>
      </c>
      <c r="JK19" s="2">
        <v>70.254680150000013</v>
      </c>
      <c r="JL19" s="2">
        <v>1253.7753296400001</v>
      </c>
      <c r="JM19" s="2">
        <v>15.66891341</v>
      </c>
      <c r="JN19" s="2">
        <v>94.060715399999992</v>
      </c>
      <c r="JO19" s="2">
        <v>16.364188690000002</v>
      </c>
      <c r="JP19" s="2">
        <v>0</v>
      </c>
      <c r="JQ19" s="2">
        <v>1.0236E-2</v>
      </c>
      <c r="JR19" s="2">
        <v>0.72403118999999994</v>
      </c>
      <c r="JS19" s="2">
        <v>0</v>
      </c>
      <c r="JT19" s="2">
        <v>0</v>
      </c>
      <c r="JU19" s="2">
        <v>96.88084960999997</v>
      </c>
      <c r="JV19" s="2">
        <v>7.6810594500000011</v>
      </c>
      <c r="JW19" s="2">
        <v>9.2262143300000012</v>
      </c>
      <c r="JX19" s="2">
        <v>14.35763933</v>
      </c>
      <c r="JY19" s="2">
        <v>2.7981200000000001E-2</v>
      </c>
      <c r="JZ19" s="2">
        <v>2.54387907</v>
      </c>
      <c r="KA19" s="2">
        <v>0.19295890000000004</v>
      </c>
      <c r="KB19" s="2">
        <v>15.759867850000003</v>
      </c>
      <c r="KC19" s="2">
        <v>34.977537919999996</v>
      </c>
      <c r="KD19" s="2">
        <v>7.1009944099999993</v>
      </c>
      <c r="KE19" s="2">
        <v>12.01698672</v>
      </c>
      <c r="KF19" s="2">
        <v>24.406656590000008</v>
      </c>
      <c r="KG19" s="2">
        <v>160.47666741</v>
      </c>
      <c r="KH19" s="2">
        <v>54.671006560000016</v>
      </c>
      <c r="KI19" s="2">
        <v>15.634993890000001</v>
      </c>
      <c r="KJ19" s="2">
        <v>1.3881327199999998</v>
      </c>
      <c r="KK19" s="2">
        <v>13.445452859999998</v>
      </c>
      <c r="KL19" s="2">
        <v>0.51595159999999995</v>
      </c>
      <c r="KM19" s="2">
        <v>1.6297512799999998</v>
      </c>
      <c r="KN19" s="2">
        <v>0.34383944</v>
      </c>
      <c r="KO19" s="2">
        <v>3.7039786799999996</v>
      </c>
      <c r="KP19" s="2">
        <v>2.8736400000000002E-3</v>
      </c>
      <c r="KQ19" s="2">
        <v>2.5709890399999997</v>
      </c>
      <c r="KR19" s="2">
        <v>4.7660460000000009E-2</v>
      </c>
      <c r="KS19" s="2">
        <v>0.6747455200000001</v>
      </c>
      <c r="KT19" s="2">
        <v>2.2971471600000002</v>
      </c>
      <c r="KU19" s="2">
        <v>0.33186988000000001</v>
      </c>
      <c r="KV19" s="2">
        <v>0.26877413</v>
      </c>
      <c r="KW19" s="2">
        <v>6.3968268699999999</v>
      </c>
      <c r="KX19" s="2">
        <v>0</v>
      </c>
      <c r="KY19" s="2">
        <v>1.4711272500000001</v>
      </c>
      <c r="KZ19" s="2">
        <v>1.3768411</v>
      </c>
      <c r="LA19" s="2">
        <v>1.41108338</v>
      </c>
      <c r="LB19" s="2">
        <v>2.18766E-2</v>
      </c>
      <c r="LC19" s="2">
        <v>0.43488147999999999</v>
      </c>
      <c r="LD19" s="2">
        <v>1.9331400000000002E-2</v>
      </c>
      <c r="LE19" s="2">
        <v>0.38881237000000002</v>
      </c>
      <c r="LF19" s="2">
        <v>0.34159837999999998</v>
      </c>
      <c r="LG19" s="2">
        <v>16.144664759999998</v>
      </c>
      <c r="LH19" s="2">
        <v>4.5330320899999998</v>
      </c>
      <c r="LI19" s="2">
        <v>4.201386E-2</v>
      </c>
      <c r="LJ19" s="2">
        <v>9.4208299999999998E-3</v>
      </c>
      <c r="LK19" s="2">
        <v>3.3032813500000007</v>
      </c>
      <c r="LL19" s="2">
        <v>3.5416454899999996</v>
      </c>
      <c r="LM19" s="2">
        <v>1.6385991200000001</v>
      </c>
      <c r="LN19" s="2">
        <v>0.31486102999999999</v>
      </c>
      <c r="LO19" s="2">
        <v>10.852215800000002</v>
      </c>
      <c r="LQ19" s="85">
        <f t="shared" si="90"/>
        <v>1819.61157067</v>
      </c>
      <c r="LR19" s="85">
        <f t="shared" si="91"/>
        <v>0.73426718999999996</v>
      </c>
      <c r="LS19" s="85">
        <f t="shared" si="92"/>
        <v>16.907273780000004</v>
      </c>
      <c r="LT19" s="85">
        <f t="shared" si="93"/>
        <v>2.76481917</v>
      </c>
      <c r="LU19" s="85">
        <f t="shared" si="94"/>
        <v>8.9709644199999996</v>
      </c>
      <c r="LV19" s="85">
        <f t="shared" si="95"/>
        <v>8.1367282499999991</v>
      </c>
      <c r="LW19" s="85">
        <f t="shared" si="96"/>
        <v>1.4329599799999999</v>
      </c>
      <c r="LX19" s="85">
        <f t="shared" si="97"/>
        <v>0.74974215</v>
      </c>
      <c r="LZ19" s="131">
        <v>16.440000000000001</v>
      </c>
      <c r="MA19" s="171">
        <v>18.489999999999998</v>
      </c>
      <c r="MB19"/>
      <c r="MC19"/>
      <c r="MD19"/>
      <c r="MF19"/>
      <c r="MG19"/>
      <c r="MH19" s="83">
        <v>33.94</v>
      </c>
      <c r="MI19" s="83">
        <v>10.42</v>
      </c>
      <c r="MJ19" s="83">
        <v>12.55</v>
      </c>
      <c r="MK19"/>
      <c r="ML19" s="83">
        <v>13.08</v>
      </c>
      <c r="MM19" s="83">
        <v>24.39</v>
      </c>
      <c r="MN19" s="83"/>
      <c r="MO19" s="83">
        <v>38.11</v>
      </c>
      <c r="MP19" s="83">
        <v>30.03</v>
      </c>
      <c r="MQ19" s="83">
        <v>31.41</v>
      </c>
      <c r="MR19"/>
      <c r="MT19" s="83"/>
      <c r="MU19" s="83">
        <v>11.7</v>
      </c>
      <c r="MV19"/>
      <c r="MW19"/>
      <c r="MX19"/>
      <c r="MY19" s="83">
        <v>28.13</v>
      </c>
      <c r="MZ19" s="83">
        <v>78.3</v>
      </c>
      <c r="NA19" s="83">
        <v>36.68</v>
      </c>
      <c r="NB19" s="83">
        <v>112.94</v>
      </c>
      <c r="NC19" s="83">
        <v>17.55</v>
      </c>
      <c r="ND19"/>
      <c r="NE19" s="1">
        <v>98.99</v>
      </c>
    </row>
    <row r="20" spans="1:369">
      <c r="A20" s="38">
        <f t="shared" si="32"/>
        <v>42675</v>
      </c>
      <c r="B20" s="36">
        <v>11</v>
      </c>
      <c r="C20" s="36">
        <v>2016</v>
      </c>
      <c r="D20" s="36">
        <f t="shared" si="50"/>
        <v>20</v>
      </c>
      <c r="E20" s="38">
        <f t="shared" si="33"/>
        <v>42675</v>
      </c>
      <c r="F20" s="7">
        <v>15.538095238095236</v>
      </c>
      <c r="G20" s="7">
        <v>98.394863563402893</v>
      </c>
      <c r="H20" s="1">
        <f>[2]NACIONALES!$D8</f>
        <v>10368</v>
      </c>
      <c r="I20" s="7">
        <v>105</v>
      </c>
      <c r="J20" s="7">
        <v>335</v>
      </c>
      <c r="K20" s="7">
        <v>3.4</v>
      </c>
      <c r="L20" s="7">
        <v>33.9</v>
      </c>
      <c r="N20" s="5">
        <v>1.4550000000000001</v>
      </c>
      <c r="O20" s="5">
        <v>1.3009999999999999</v>
      </c>
      <c r="P20" s="78">
        <f t="shared" si="34"/>
        <v>21.411495238095238</v>
      </c>
      <c r="Q20" s="6">
        <v>362.5</v>
      </c>
      <c r="R20" s="79">
        <f t="shared" si="35"/>
        <v>3625</v>
      </c>
      <c r="S20" s="6">
        <v>129.23809523809524</v>
      </c>
      <c r="T20" s="6">
        <v>311.38095238095241</v>
      </c>
      <c r="U20" s="143">
        <v>148.23809523809527</v>
      </c>
      <c r="V20" s="6">
        <v>259.25714285714287</v>
      </c>
      <c r="W20" s="6">
        <v>133.97619047619048</v>
      </c>
      <c r="X20" s="6">
        <v>146</v>
      </c>
      <c r="Y20" s="79">
        <f t="shared" si="36"/>
        <v>2008.1138321995463</v>
      </c>
      <c r="Z20" s="79">
        <f t="shared" si="37"/>
        <v>4838.2668934240364</v>
      </c>
      <c r="AA20" s="79">
        <f t="shared" si="38"/>
        <v>2303.3376417233562</v>
      </c>
      <c r="AB20" s="79">
        <f t="shared" si="39"/>
        <v>4028.362176870748</v>
      </c>
      <c r="AC20" s="79">
        <f t="shared" si="40"/>
        <v>2081.7348072562359</v>
      </c>
      <c r="AD20" s="79">
        <f t="shared" si="41"/>
        <v>2268.5619047619043</v>
      </c>
      <c r="AE20" s="79">
        <f t="shared" si="42"/>
        <v>2921.3962093726377</v>
      </c>
      <c r="AF20" s="1">
        <v>10221.25</v>
      </c>
      <c r="AG20" s="1">
        <v>5100</v>
      </c>
      <c r="AH20" s="1">
        <v>19200</v>
      </c>
      <c r="AI20" s="5">
        <v>10.81</v>
      </c>
      <c r="AJ20" s="5">
        <v>5.35</v>
      </c>
      <c r="AK20" s="5">
        <v>4.12</v>
      </c>
      <c r="AL20" s="5">
        <v>3.23</v>
      </c>
      <c r="AM20" s="78">
        <f t="shared" si="43"/>
        <v>7.0330000000000013</v>
      </c>
      <c r="AN20" s="5">
        <v>389.39400000000006</v>
      </c>
      <c r="AO20" s="80">
        <f t="shared" si="51"/>
        <v>233.63640000000004</v>
      </c>
      <c r="AP20" s="78">
        <f t="shared" si="44"/>
        <v>311.51520000000005</v>
      </c>
      <c r="AQ20" s="5">
        <v>365.40000000000003</v>
      </c>
      <c r="AR20" s="5">
        <v>166.4</v>
      </c>
      <c r="AS20" s="5">
        <v>88.52000000000001</v>
      </c>
      <c r="AT20" s="80">
        <f t="shared" si="52"/>
        <v>365.40000000000003</v>
      </c>
      <c r="AU20" s="78">
        <f t="shared" si="53"/>
        <v>206.77333333333334</v>
      </c>
      <c r="AV20">
        <v>81.8</v>
      </c>
      <c r="AW20" s="80">
        <f t="shared" si="54"/>
        <v>261.76</v>
      </c>
      <c r="AX20">
        <v>80.399999999999991</v>
      </c>
      <c r="AY20" s="7">
        <v>214.20000000000002</v>
      </c>
      <c r="AZ20" s="7">
        <v>116.10000000000001</v>
      </c>
      <c r="BA20" s="7">
        <v>181.5</v>
      </c>
      <c r="BB20" s="94">
        <f t="shared" si="45"/>
        <v>157.22499999999999</v>
      </c>
      <c r="BC20" s="68">
        <v>588</v>
      </c>
      <c r="BD20" s="68">
        <f t="shared" si="116"/>
        <v>684</v>
      </c>
      <c r="BE20" s="7">
        <f t="shared" si="55"/>
        <v>590</v>
      </c>
      <c r="BF20" s="7">
        <f t="shared" si="55"/>
        <v>390</v>
      </c>
      <c r="BG20" s="94">
        <f t="shared" si="56"/>
        <v>563</v>
      </c>
      <c r="BH20" s="7">
        <v>37.549999999999997</v>
      </c>
      <c r="BI20" s="7">
        <v>10.766</v>
      </c>
      <c r="BJ20" s="78">
        <f t="shared" si="57"/>
        <v>48.315999999999995</v>
      </c>
      <c r="BK20" s="7">
        <v>29.021000000000001</v>
      </c>
      <c r="BL20" s="7">
        <v>29.021000000000001</v>
      </c>
      <c r="BM20" s="94">
        <f t="shared" si="58"/>
        <v>29.021000000000001</v>
      </c>
      <c r="BN20" s="5">
        <v>4.32</v>
      </c>
      <c r="BO20" s="105">
        <v>20.421428571428564</v>
      </c>
      <c r="BP20" s="80">
        <v>11.984499999999999</v>
      </c>
      <c r="BQ20" s="94">
        <f t="shared" si="59"/>
        <v>19.577735714285708</v>
      </c>
      <c r="BR20" s="7">
        <v>18.07</v>
      </c>
      <c r="BS20" s="7">
        <v>70</v>
      </c>
      <c r="BT20" s="7">
        <v>42.59</v>
      </c>
      <c r="BU20" s="79">
        <f t="shared" si="46"/>
        <v>967.77</v>
      </c>
      <c r="BV20" s="97">
        <v>23.5</v>
      </c>
      <c r="BW20" s="95"/>
      <c r="BY20" s="92">
        <f>BY$10*(1+((H20/H$10-1)*costos!$B$5+((I20*F20)/(I$10*F$10)-1)*costos!$E$5+((J20*F20)/((J$10*F$10)-1)*costos!$F$5/3+((K20*F20)/(K$10*F$10)-1)*costos!$F$5/3+((U20*F20)/(U$10*F$10)-1)*costos!$F$5/3+((L20*F20)/(L$10*F$10)-1)*costos!$G$5+((N20*F20)/(N$10*F$10)-1)*costos!$J$5+((V20*F20)/(V$10*F$10)-1)*costos!$K$5)))</f>
        <v>131.85960477554985</v>
      </c>
      <c r="BZ20" s="92">
        <f>$BZ$10*(1+((H20/$H$10-1)*costos!$B$6+((I20*F20)/($I$10*$F$10)-1)*costos!$E$6+((J20*F20)/(($J$10*$F$10)-1)*costos!$F$6/3+((K20*F20)/($K$10*$F$10)-1)*costos!$F$6/3+((U20*F20)/($U$10*$F$10)-1)*costos!$F$6/3+((L20*F20)/($L$10*$F$10)-1)*costos!$G$6+((Q20*F20)/($Q$10*$F$10)-1)*costos!$J$6+((V20*F20)/($V$10*$F$10)-1)*costos!$K$6)))</f>
        <v>124.53749983454134</v>
      </c>
      <c r="CA20" s="92">
        <f>CA$10*(1+((H20/H$10-1)*costos!$B$7+((I20*F20)/(I$10*F$10)-1)*costos!$E$7+((J20*F20)/((J$10*F$10)-1)*costos!$F$7/3+((K20*F20)/(K$10*F$10)-1)*costos!$F$7/3+((U20*F20)/(U$10*F$10)-1)*costos!$F$7/3+((L20*F20)/(L$10*F$10)-1)*costos!$G$7+((S20*F20)/(S$10*F$10)-1)*costos!$J$7+((V20*F20)/(V$10*F$10)-1)*costos!$K$7)))</f>
        <v>121.27979904765043</v>
      </c>
      <c r="CB20" s="92">
        <f>CB$10*(1+((H20/H$10-1)*costos!$B$8+((I20*F20)/(I$10*F$10)-1)*costos!$E$8+((J20*F20)/((J$10*F$10)-1)*costos!$F$8/3+((K20*F20)/(K$10*F$10)-1)*costos!$F$8/3+((U20*F20)/(U$10*F$10)-1)*costos!$F$8/3+((L20*F20)/(L$10*F$10)-1)*costos!$G$8+((T20*F20)/(T$10*F$10)-1)*costos!$J$8+((V20*F20)/(V$10*F$10)-1)*costos!$K$8)))</f>
        <v>127.31408060241243</v>
      </c>
      <c r="CC20" s="92">
        <f>CC$10*(1+((H20/H$10-1)*costos!$B$9+((I20*F20)/(I$10*F$10)-1)*costos!$E$9+((J20*F20)/((J$10*F$10)-1)*costos!$F$9/3+((K20*F20)/(K$10*F$10)-1)*costos!$F$9/3+((U20*F20)/(U$10*F$10)-1)*costos!$F$9/3+((L20*F20)/(L$10*F$10)-1)*costos!$G$9+((U20*F20)/(U$10*F$10)-1)*costos!$J$9+((V20*F20)/(V$10*F$10)-1)*costos!$K$9)))</f>
        <v>122.92836851657611</v>
      </c>
      <c r="CD20" s="92">
        <f>CD$10*(1+((H20/H$10-1)*costos!$B$11+((I20*F20)/(I$10*F$10)-1)*costos!$E$11+((J20*F20)/((J$10*F$10)-1)*costos!$F$11/3+((K20*F20)/(K$10*F$10)-1)*costos!$F$11/3+((U20*F20)/(U$10*F$10)-1)*costos!$F$11/3+((L20*F20)/(L$10*F$10)-1)*costos!$G$11+((V20*F20)/(V$10*F$10)-1)*costos!$J$11+((V20*F20)/(V$10*F$10)-1)*costos!$K$11)))</f>
        <v>126.41485547096481</v>
      </c>
      <c r="CE20" s="92">
        <f>CE$10*(1+((H20/H$10-1)*costos!$B$12+((I20*F20)/(I$10*F$10)-1)*costos!$E$12+((J20*F20)/((J$10*F$10)-1)*costos!$F$12/3+((K20*F20)/(K$10*F$10)-1)*costos!$F$12/3+((U20*F20)/(U$10*F$10)-1)*costos!$F$12/3+((L20*F20)/(L$10*F$10)-1)*costos!$G$12+((W20*F20)/(W$10*F$10)-1)*costos!$J$12+((V20*F20)/(V$10*F$10)-1)*costos!$K$12)))</f>
        <v>119.47076225090017</v>
      </c>
      <c r="CF20" s="92">
        <f>CF$10*(1+((H20/H$10-1)*costos!$B$13+((I20*F20)/(I$10*F$10)-1)*costos!$E$13+((J20*F20)/((J$10*F$10)-1)*costos!$F$13/3+((K20*F20)/(K$10*F$10)-1)*costos!$F$13/3+((U20*F20)/(U$10*F$10)-1)*costos!$F$13/3+((L20*F20)/(L$10*F$10)-1)*costos!$G$13+((X20*F20)/(X$10*F$10)-1)*costos!$J$13+((V20*F20)/(V$10*F$10)-1)*costos!$K$13)))</f>
        <v>125.20167192695411</v>
      </c>
      <c r="CG20" s="92">
        <f t="shared" si="60"/>
        <v>123.76825630257633</v>
      </c>
      <c r="CH20" s="92">
        <f>CH$10*(1+((H20/H$10-1)*costos!$B$10+((I20*F20)/(I$10*F$10)-1)*costos!$E$10+((J20*F20)/((J$10*F$10)-1)*costos!$F$10/3+((K20*F20)/(K$10*F$10)-1)*costos!$F$10/3+((U20*F20)/(U$10*F$10)-1)*costos!$F$10/3+((L20*F20)/(L$10*F$10)-1)*costos!$G$10+((AF20)/(AF$10)-1)*costos!$J$10+((V20*F20)/(V$10*F$10)-1)*costos!$K$10)))</f>
        <v>137.43063433234428</v>
      </c>
      <c r="CI20" s="92">
        <f>CI$10*(1+((H20/H$10-1)*costos!$B$15+((I20*F20)/(I$10*F$10)-1)*costos!$E$15+((J20*F20)/((J$10*F$10)-1)*costos!$F$15/3+((K20*F20)/(K$10*F$10)-1)*costos!$F$15/3+((U20*F20)/(U$10*F$10)-1)*costos!$F$15/3+((L20*F20)/(L$10*F$10)-1)*costos!$G$15+((AV20)/(AV$10)-1)*costos!$J$15+((V20*F20)/(V$10*F$10)-1)*costos!$K$15)))</f>
        <v>131.09363594937363</v>
      </c>
      <c r="CJ20" s="92">
        <f>CJ$10*(1+((H20/H$10-1)*costos!$B$16+((I20*F20)/(I$10*F$10)-1)*costos!$E$16+((J20*F20)/((J$10*F$10)-1)*costos!$F$16/3+((K20*F20)/(K$10*F$10)-1)*costos!$F$16/3+((U20*F20)/(U$10*F$10)-1)*costos!$F$16/3+((L20*F20)/(L$10*F$10)-1)*costos!$G$16+((AW20)/(AW$10)-1)*costos!$J$16+((V20*F20)/(V$10*F$10)-1)*costos!$K$16)))</f>
        <v>131.91098890989426</v>
      </c>
      <c r="CK20" s="92">
        <f>CK$10*(1+((H20/H$10-1)*costos!$B$17+((I20*F20)/(I$10*F$10)-1)*costos!$E$17+((J20*F20)/((J$10*F$10)-1)*costos!$F$17/3+((K20*F20)/(K$10*F$10)-1)*costos!$F$17/3+((U20*F20)/(U$10*F$10)-1)*costos!$F$17/3+((L20*F20)/(L$10*F$10)-1)*costos!$G$17+((AX20)/(AX$10)-1)*costos!$J$17+((V20*F20)/(V$10*F$10)-1)*costos!$K$17)))</f>
        <v>125.93570094297112</v>
      </c>
      <c r="CL20" s="92">
        <f>CL$10*(1+((H20/H$10-1)*costos!$B$18+((I20*F20)/(I$10*F$10)-1)*costos!$E$18+((J20*F20)/((J$10*F$10)-1)*costos!$F$18/3+((K20*F20)/(K$10*F$10)-1)*costos!$F$18/3+((U20*F20)/(U$10*F$10)-1)*costos!$F$18/3+((L20*F20)/(L$10*F$10)-1)*costos!$G$18+((AY20)/(AY$10)-1)*costos!$J$18+((V20*F20)/(V$10*F$10)-1)*costos!$K$18)))</f>
        <v>152.35695302895428</v>
      </c>
      <c r="CM20" s="92">
        <f>CM$10*(1+((H20/H$10-1)*costos!$B$19+((I20*F20)/(I$10*F$10)-1)*costos!$E$19+((J20*F20)/((J$10*F$10)-1)*costos!$F$19/3+((K20*F20)/(K$10*F$10)-1)*costos!$F$19/3+((U20*F20)/(U$10*F$10)-1)*costos!$F$19/3+((L20*F20)/(L$10*F$10)-1)*costos!$G$19+((AZ20)/(AZ$10)-1)*costos!$J$19+((V20*F20)/(V$10*F$10)-1)*costos!$K$19)))</f>
        <v>123.88043723685709</v>
      </c>
      <c r="CN20" s="92">
        <f>CN$10*(1+((H20/H$10-1)*costos!$B$20+((I20*F20)/(I$10*F$10)-1)*costos!$E$20+((J20*F20)/((J$10*F$10)-1)*costos!$F$20/3+((K20*F20)/(K$10*F$10)-1)*costos!$F$20/3+((U20*F20)/(U$10*F$10)-1)*costos!$F$20/3+((L20*F20)/(L$10*F$10)-1)*costos!$G$20+((BA20)/(BA$10)-1)*costos!$J$20+((V20*F20)/(V$10*F$10)-1)*costos!$K$20)))</f>
        <v>147.11790454627516</v>
      </c>
      <c r="CO20" s="92">
        <f t="shared" si="61"/>
        <v>137.32274893876439</v>
      </c>
      <c r="CP20" s="92">
        <f>CP$10*(1+((H20/H$10-1)*costos!$B$22+((I20*F20)/(I$10*F$10)-1)*costos!$E$22+((J20*F20)/((J$10*F$10)-1)*costos!$F$22/3+((K20*F20)/(K$10*F$10)-1)*costos!$F$22/3+((U20*F20)/(U$10*F$10)-1)*costos!$F$22/3+((L20*F20)/(L$10*F$10)-1)*costos!$G$22+(((AVERAGE(AI20:AL20))/((AVERAGE(AI$10:AL$10))-1)*costos!$J$22+((V20*F20)/(V$10*F$10)-1)*costos!$K$22)))))</f>
        <v>164.56300118885861</v>
      </c>
      <c r="CQ20" s="92">
        <f>CQ$10*(1+((H20/H$10-1)*costos!$B$23+((I20*F20)/(I$10*F$10)-1)*costos!$E$23+((J20*F20)/((J$10*F$10)-1)*costos!$F$23/3+((K20*F20)/(K$10*F$10)-1)*costos!$F$23/3+((U20*F20)/(U$10*F$10)-1)*costos!$F$23/3+((L20*F20)/(L$10*F$10)-1)*costos!$G$23+((AN20)/(AN$10)-1)*costos!$J$23+((V20*F20)/(V$10*F$10)-1)*costos!$K$23)))</f>
        <v>130.93035005015514</v>
      </c>
      <c r="CR20" s="92">
        <f>CR$10*(1+((H20/H$10-1)*costos!$B$24+((I20*F20)/(I$10*F$10)-1)*costos!$E$24+((J20*F20)/((J$10*F$10)-1)*costos!$F$24/3+((K20*F20)/(K$10*F$10)-1)*costos!$F$24/3+((U20*F20)/(U$10*F$10)-1)*costos!$F$24/3+((L20*F20)/(L$10*F$10)-1)*costos!$G$24+((AO20)/(AO$10)-1)*costos!$J$24+((V20*F20)/(V$10*F$10)-1)*costos!$K$24)))</f>
        <v>130.93035005015514</v>
      </c>
      <c r="CS20" s="92">
        <f t="shared" si="62"/>
        <v>130.93035005015514</v>
      </c>
      <c r="CT20" s="92">
        <f>CT$10*(1+((H20/H$10-1)*costos!$B$25+((I20*F20)/(I$10*F$10)-1)*costos!$E$25+((J20*F20)/((J$10*F$10)-1)*costos!$F$25/3+((K20*F20)/(K$10*F$10)-1)*costos!$F$25/3+((U20*F20)/(U$10*F$10)-1)*costos!$F$25/3+((L20*F20)/(L$10*F$10)-1)*costos!$G$25+((AQ20)/(AQ$10)-1)*costos!$J$25+((V20*F20)/(V$10*F$10)-1)*costos!$K$25)))</f>
        <v>137.60980398179839</v>
      </c>
      <c r="CU20" s="92">
        <f>CU$10*(1+((H20/H$10-1)*costos!$B$26+((I20*F20)/(I$10*F$10)-1)*costos!$E$26+((J20*F20)/((J$10*F$10)-1)*costos!$F$26/3+((K20*F20)/(K$10*F$10)-1)*costos!$F$26/3+((U20*F20)/(U$10*F$10)-1)*costos!$F$26/3+((L20*F20)/(L$10*F$10)-1)*costos!$G$26+((AR20)/(AR$10)-1)*costos!$J$26+((V20*F20)/(V$10*F$10)-1)*costos!$K$26)))</f>
        <v>127.3412921810168</v>
      </c>
      <c r="CV20" s="92">
        <f>CV$10*(1+((H20/H$10-1)*costos!$B$27+((I20*F20)/(I$10*F$10)-1)*costos!$E$27+((J20*F20)/((J$10*F$10)-1)*costos!$F$27/3+((K20*F20)/(K$10*F$10)-1)*costos!$F$27/3+((U20*F20)/(U$10*F$10)-1)*costos!$F$27/3+((L20*F20)/(L$10*F$10)-1)*costos!$G$27+((AS20)/(AS$10)-1)*costos!$J$27+((V20*F20)/(V$10*F$10)-1)*costos!$K$27)))</f>
        <v>121.93077367103562</v>
      </c>
      <c r="CW20" s="92">
        <f>CW$10*(1+((H20/H$10-1)*costos!$B$28+((I20*F20)/(I$10*F$10)-1)*costos!$E$28+((J20*F20)/((J$10*F$10)-1)*costos!$F$28/3+((K20*F20)/(K$10*F$10)-1)*costos!$F$28/3+((U20*F20)/(U$10*F$10)-1)*costos!$F$28/3+((L20*F20)/(L$10*F$10)-1)*costos!$G$28+((AS20)/(AS$10)-1)*costos!$J$28+((V20*F20)/(V$10*F$10)-1)*costos!$K$28)))</f>
        <v>121.93077367103562</v>
      </c>
      <c r="CX20" s="92">
        <f t="shared" si="63"/>
        <v>123.73427984102936</v>
      </c>
      <c r="CY20" s="92">
        <f>CY$10*(1+((H20/H$10-1)*costos!$B$32+((I20*F20)/(I$10*F$10)-1)*costos!$E$32+((J20*F20)/((J$10*F$10)-1)*costos!$F$32/3+((K20*F20)/(K$10*F$10)-1)*costos!$F$32/3+((U20*F20)/(U$10*F$10)-1)*costos!$F$32/3+((L20*F20)/(L$10*F$10)-1)*costos!$G$32+((AG20)/(AG$10)-1)*costos!$J$32+((V20*F20)/(V$10*F$10)-1)*costos!$K$32)))</f>
        <v>132.1844090708384</v>
      </c>
      <c r="CZ20" s="69">
        <f>CZ$10*(1+((H20/H$10-1)*costos!$B$31+((I20*F20)/(I$10*F$10)-1)*costos!$E$30+((J20*F20)/((J$10*F$10)-1)*costos!$F$30/3+((K20*F20)/(K$10*F$10)-1)*costos!$F$30/3+((U20*F20)/(U$10*F$10)-1)*costos!$F$30/3+((L20*F20)/(L$10*F$10)-1)*costos!$G$30+((BG20)/(BG$10)-1)*costos!$J$30+((V20*F20)/(V$10*F$10)-1)*costos!$K$30)))</f>
        <v>138.55477751069435</v>
      </c>
      <c r="DA20" s="69">
        <f>DA$10*(1+((H20/H$10-1)*costos!$B$31+((I20*F20)/(I$10*F$10)-1)*costos!$E$31+((J20*F20)/((J$10*F$10)-1)*costos!$F$31/3+((K20*F20)/(K$10*F$10)-1)*costos!$F$31/3+((U20*F20)/(U$10*F$10)-1)*costos!$F$31/3+((L20*F20)/(L$10*F$10)-1)*costos!$G$31+((BJ20)/(BJ$10)-1)*costos!$J$31+((V20*F20)/(V$10*F$10)-1)*costos!$K$31)))</f>
        <v>133.00871103060277</v>
      </c>
      <c r="DB20" s="69">
        <f>DB$10*(1+((H20/H$10-1)*costos!$B$36+((I20*F20)/(I$10*F$10)-1)*costos!$E$36+((J20*F20)/((J$10*F$10)-1)*costos!$F$36/3+((K20*F20)/(K$10*F$10)-1)*costos!$F$36/3+((U20*F20)/(U$10*F$10)-1)*costos!$F$36/3+((L20*F20)/(L$10*F$10)-1)*costos!$G$36+((BK20)/(BK$10)-1)*costos!$J$36+((V20*F20)/(V$10*F$10)-1)*costos!$K$36)))</f>
        <v>130.61796361446119</v>
      </c>
      <c r="DC20" s="69">
        <f>DC$10*(1+((H20/H$10-1)*costos!$B$37+((I20*F20)/(I$10*F$10)-1)*costos!$E$37+((U20*F20)/(U$10*F$10)-1)*costos!$F$37+((L20*F20)/(L$10*F$10)-1)*costos!$G$37+((BN20)/(BN$10)-1)*costos!$J$37+((V20*F20)/(V$10*F$10)-1)*costos!$K$37))</f>
        <v>119.72319846790522</v>
      </c>
      <c r="DD20" s="69">
        <f>DD$10*(1+((H20/H$10-1)*costos!$B$39+((I20*F20)/(I$10*F$10)-1)*costos!$E$39+((U20*F20)/(U$10*F$10)-1)*costos!$F$39+((L20*F20)/(L$10*F$10)-1)*costos!$G$39+((BR20)/(BR$10)-1)*costos!$J$39+((V20*F20)/(V$10*F$10)-1)*costos!$K$39))</f>
        <v>118.47486967302407</v>
      </c>
      <c r="DE20" s="69">
        <f>DD$10*(1+((H20/H$10-1)*costos!$B$35+((I20*F20)/(I$10*F$10)-1)*costos!$E$35+((U20*F20)/(U$10*F$10)-1)*costos!$F$35+((L20*F20)/(L$10*F$10)-1)*costos!$G$35+((BR20)/(BR$10)-1)*costos!$J$35+((V20*F20)/(V$10*F$10)-1)*costos!$K$35))</f>
        <v>116.54768423663873</v>
      </c>
      <c r="DF20" s="69">
        <f>DF$10*(1+((H20/H$10-1)*costos!$B$40+((I20*F20)/(I$10*F$10)-1)*costos!$E$40+((U20*F20)/(U$10*F$10)-1)*costos!$F$40+((L20*F20)/(L$10*F$10)-1)*costos!$G$40+((BP20)/(BP$10)-1)*costos!$J$40+((V20*F20)/(V$10*F$10)-1)*costos!$K$40))</f>
        <v>116.23957651878732</v>
      </c>
      <c r="DG20" s="92">
        <f t="shared" si="64"/>
        <v>116.39363037771302</v>
      </c>
      <c r="DH20" s="69">
        <f>DH$10*(1+((H20/H$10-1)*costos!$B$34+((I20*F20)/(I$10*F$10)-1)*costos!$E$34+((J20*F20)/((J$10*F$10)-1)*costos!$F$34/3+((K20*F20)/(K$10*F$10)-1)*costos!$F$34/3+((U20*F20)/(U$10*F$10)-1)*costos!$F$34/3+((L20*F20)/(L$10*F$10)-1)*costos!$G$34+((BV20)/(BV$10)-1)*costos!$J$34+((V20*F20)/(V$10*F$10)-1)*costos!$K$34)))</f>
        <v>130.67472249393069</v>
      </c>
      <c r="DI20" s="69">
        <f>DI$10*(1+((H20/H$10-1)*costos!$B$38+((I20*F20)/(I$10*F$10)-1)*costos!$E$38+((J20*F20)/((J$10*F$10)-1)*costos!$F$38/3+((K20*F20)/(K$10*F$10)-1)*costos!$F$38/3+((U20*F20)/(U$10*F$10)-1)*costos!$F$38/3+((L20*F20)/(L$10*F$10)-1)*costos!$G$38+((BU20)/(BU$10)-1)*costos!$J$38+((V20*F20)/(V$10*F$10)-1)*costos!$K$38)))</f>
        <v>132.02343169345789</v>
      </c>
      <c r="DK20" s="1">
        <v>258900</v>
      </c>
      <c r="DL20" s="1" t="s">
        <v>106</v>
      </c>
      <c r="DM20" s="82">
        <f t="shared" si="65"/>
        <v>214570</v>
      </c>
      <c r="DN20" s="82" t="str">
        <f t="shared" si="65"/>
        <v>2015-16</v>
      </c>
      <c r="DO20" s="82">
        <f t="shared" si="65"/>
        <v>950000</v>
      </c>
      <c r="DP20" s="82" t="str">
        <f t="shared" si="65"/>
        <v>2016-17</v>
      </c>
      <c r="DQ20" s="1">
        <v>1700000</v>
      </c>
      <c r="DR20" s="1" t="s">
        <v>106</v>
      </c>
      <c r="DS20" s="1">
        <v>4900000</v>
      </c>
      <c r="DT20" s="1" t="s">
        <v>106</v>
      </c>
      <c r="DU20" s="1">
        <v>19600000</v>
      </c>
      <c r="DV20" s="1" t="s">
        <v>106</v>
      </c>
      <c r="DW20" s="82">
        <f t="shared" si="128"/>
        <v>850000</v>
      </c>
      <c r="DX20" s="82" t="str">
        <f t="shared" si="128"/>
        <v>2015-16</v>
      </c>
      <c r="DY20" s="83">
        <v>6365000</v>
      </c>
      <c r="DZ20" s="1" t="s">
        <v>106</v>
      </c>
      <c r="EA20" s="79">
        <f t="shared" si="67"/>
        <v>34365000</v>
      </c>
      <c r="EB20" s="82">
        <f t="shared" si="68"/>
        <v>368438</v>
      </c>
      <c r="EC20" s="82" t="str">
        <f t="shared" si="69"/>
        <v>2015-16</v>
      </c>
      <c r="ED20" s="83">
        <f t="shared" si="69"/>
        <v>165327</v>
      </c>
      <c r="EE20" s="143">
        <f t="shared" si="69"/>
        <v>2016</v>
      </c>
      <c r="EF20" s="83">
        <f t="shared" si="121"/>
        <v>223944</v>
      </c>
      <c r="EG20" s="143">
        <f t="shared" si="122"/>
        <v>2016</v>
      </c>
      <c r="EH20" s="83">
        <f t="shared" si="120"/>
        <v>53117706</v>
      </c>
      <c r="EI20" s="143">
        <f t="shared" si="120"/>
        <v>2016</v>
      </c>
      <c r="EJ20" s="83">
        <v>5119438</v>
      </c>
      <c r="EK20" s="143">
        <v>2016</v>
      </c>
      <c r="EL20" s="82">
        <f t="shared" si="120"/>
        <v>14864321</v>
      </c>
      <c r="EM20" s="144">
        <f t="shared" si="120"/>
        <v>2016</v>
      </c>
      <c r="EN20" s="82">
        <f t="shared" si="120"/>
        <v>3499621</v>
      </c>
      <c r="EO20" s="144">
        <f t="shared" si="120"/>
        <v>2016</v>
      </c>
      <c r="EP20" s="82">
        <f t="shared" si="118"/>
        <v>6552</v>
      </c>
      <c r="EQ20" s="83">
        <f t="shared" si="100"/>
        <v>3008956</v>
      </c>
      <c r="ER20" s="1">
        <v>32755</v>
      </c>
      <c r="ES20" s="82"/>
      <c r="ET20" s="83">
        <f t="shared" si="101"/>
        <v>24000</v>
      </c>
      <c r="EU20" s="83">
        <f t="shared" si="101"/>
        <v>16752</v>
      </c>
      <c r="EV20" s="83">
        <f t="shared" si="101"/>
        <v>9500</v>
      </c>
      <c r="EW20" s="83">
        <f t="shared" si="101"/>
        <v>17994</v>
      </c>
      <c r="EX20" s="79">
        <f t="shared" si="72"/>
        <v>68246</v>
      </c>
      <c r="EY20" s="1">
        <f t="shared" si="123"/>
        <v>19129</v>
      </c>
      <c r="EZ20" s="82">
        <f t="shared" si="102"/>
        <v>75500</v>
      </c>
      <c r="FA20" s="1">
        <f t="shared" si="103"/>
        <v>22169</v>
      </c>
      <c r="FB20" s="1">
        <f t="shared" si="103"/>
        <v>20495</v>
      </c>
      <c r="FC20" s="79">
        <f t="shared" si="73"/>
        <v>42664</v>
      </c>
      <c r="FD20" s="1">
        <f t="shared" si="104"/>
        <v>43815</v>
      </c>
      <c r="FE20" s="1"/>
      <c r="FF20" s="82">
        <f t="shared" si="129"/>
        <v>708196</v>
      </c>
      <c r="FG20" s="82" t="str">
        <f t="shared" si="130"/>
        <v>2015-16</v>
      </c>
      <c r="FH20" s="82">
        <f t="shared" ref="FH20:FI27" si="132">+FH19</f>
        <v>1404980</v>
      </c>
      <c r="FI20" s="82" t="str">
        <f t="shared" si="132"/>
        <v>2015-16</v>
      </c>
      <c r="FJ20" s="1">
        <v>3150000</v>
      </c>
      <c r="FK20" s="1" t="s">
        <v>106</v>
      </c>
      <c r="FL20" s="82">
        <f t="shared" ref="FL20:FN21" si="133">+FL19</f>
        <v>2450000</v>
      </c>
      <c r="FM20" s="82" t="str">
        <f t="shared" si="133"/>
        <v>2015-16</v>
      </c>
      <c r="FN20" s="82">
        <f t="shared" si="133"/>
        <v>28000000</v>
      </c>
      <c r="FO20" s="82" t="str">
        <f>+FO19</f>
        <v>2015-16</v>
      </c>
      <c r="FP20" s="82">
        <f t="shared" si="125"/>
        <v>56000000</v>
      </c>
      <c r="FQ20" s="82" t="str">
        <f t="shared" si="125"/>
        <v>2015-16</v>
      </c>
      <c r="FR20" s="82">
        <f t="shared" si="125"/>
        <v>3400000</v>
      </c>
      <c r="FS20" s="82" t="str">
        <f t="shared" si="125"/>
        <v>2015-16</v>
      </c>
      <c r="FT20" s="1">
        <v>18395000</v>
      </c>
      <c r="FU20" s="1" t="s">
        <v>106</v>
      </c>
      <c r="FV20" s="79">
        <f t="shared" si="76"/>
        <v>111395000</v>
      </c>
      <c r="FW20" s="82">
        <f t="shared" si="126"/>
        <v>1001113</v>
      </c>
      <c r="FX20" s="82" t="str">
        <f t="shared" si="127"/>
        <v>2015-16</v>
      </c>
      <c r="FY20" s="83">
        <v>0</v>
      </c>
      <c r="FZ20" s="79"/>
      <c r="GA20" s="79"/>
      <c r="GB20" s="1">
        <v>17584178</v>
      </c>
      <c r="GC20" s="6">
        <v>2016</v>
      </c>
      <c r="GD20" s="1">
        <f t="shared" si="105"/>
        <v>1678337</v>
      </c>
      <c r="GE20" s="1">
        <v>468278</v>
      </c>
      <c r="GF20" s="1">
        <v>1032446</v>
      </c>
      <c r="GG20" s="1">
        <f t="shared" si="106"/>
        <v>102259</v>
      </c>
      <c r="GH20" s="79">
        <f t="shared" si="78"/>
        <v>1602983</v>
      </c>
      <c r="GI20" s="82">
        <f t="shared" si="79"/>
        <v>1302556</v>
      </c>
      <c r="GJ20" s="83">
        <f t="shared" si="80"/>
        <v>600000</v>
      </c>
      <c r="GK20" s="1">
        <f t="shared" si="80"/>
        <v>998555</v>
      </c>
      <c r="GL20" s="83">
        <f t="shared" si="80"/>
        <v>302000</v>
      </c>
      <c r="GM20" s="1">
        <f t="shared" si="80"/>
        <v>266553.90000000002</v>
      </c>
      <c r="GN20" s="79">
        <f t="shared" si="81"/>
        <v>2167108.9</v>
      </c>
      <c r="GO20" s="83">
        <f t="shared" si="107"/>
        <v>191984</v>
      </c>
      <c r="GP20" s="83">
        <f t="shared" si="82"/>
        <v>68123</v>
      </c>
      <c r="GQ20" s="1"/>
      <c r="GR20" s="1">
        <v>42700</v>
      </c>
      <c r="GS20" s="79">
        <f t="shared" si="83"/>
        <v>42700</v>
      </c>
      <c r="GT20" s="83">
        <f t="shared" si="108"/>
        <v>2430866</v>
      </c>
      <c r="GU20" s="1">
        <f t="shared" si="84"/>
        <v>50951.583333333336</v>
      </c>
      <c r="GV20" s="1">
        <f t="shared" si="85"/>
        <v>51463.083333333336</v>
      </c>
      <c r="GW20" s="79">
        <f t="shared" si="49"/>
        <v>1228976</v>
      </c>
      <c r="GX20" s="83">
        <v>30955.772000000001</v>
      </c>
      <c r="GY20" s="83" t="s">
        <v>329</v>
      </c>
      <c r="GZ20" s="83">
        <f t="shared" si="109"/>
        <v>93671</v>
      </c>
      <c r="HA20" s="1">
        <v>233000</v>
      </c>
      <c r="HB20" s="79"/>
      <c r="HC20" s="79"/>
      <c r="HD20" s="1">
        <v>42913</v>
      </c>
      <c r="HE20" s="79"/>
      <c r="HF20" s="79"/>
      <c r="HG20" s="1">
        <v>178000</v>
      </c>
      <c r="HH20" s="79"/>
      <c r="HI20" s="79"/>
      <c r="HJ20" s="1"/>
      <c r="HK20" s="79"/>
      <c r="HL20" s="79"/>
      <c r="HM20" s="79">
        <f t="shared" si="86"/>
        <v>0</v>
      </c>
      <c r="HN20" s="69"/>
      <c r="HO20" s="1">
        <v>842300000</v>
      </c>
      <c r="HP20" s="79"/>
      <c r="HQ20" s="79"/>
      <c r="HR20" s="1"/>
      <c r="HS20" s="1"/>
      <c r="HT20" s="1"/>
      <c r="HU20" s="83">
        <f t="shared" si="119"/>
        <v>650000</v>
      </c>
      <c r="HV20" s="83" t="str">
        <f t="shared" si="119"/>
        <v>2015-16</v>
      </c>
      <c r="HW20" s="1">
        <f t="shared" si="119"/>
        <v>2000000</v>
      </c>
      <c r="HX20" s="1" t="s">
        <v>107</v>
      </c>
      <c r="HY20" s="1">
        <v>2950000</v>
      </c>
      <c r="HZ20" s="1" t="s">
        <v>107</v>
      </c>
      <c r="IA20" s="1">
        <f t="shared" si="113"/>
        <v>17210000</v>
      </c>
      <c r="IB20" s="1" t="str">
        <f t="shared" si="114"/>
        <v>2015-16</v>
      </c>
      <c r="IC20" s="1">
        <v>50000000</v>
      </c>
      <c r="ID20" s="1" t="s">
        <v>107</v>
      </c>
      <c r="IE20" s="1">
        <f t="shared" si="115"/>
        <v>2600000</v>
      </c>
      <c r="IF20" s="1" t="s">
        <v>107</v>
      </c>
      <c r="IG20" s="1"/>
      <c r="IH20" s="1"/>
      <c r="II20" s="79">
        <f t="shared" si="87"/>
        <v>74760000</v>
      </c>
      <c r="IJ20" s="97">
        <f t="shared" si="110"/>
        <v>1.6218070029006586</v>
      </c>
      <c r="IK20" s="1" t="s">
        <v>107</v>
      </c>
      <c r="IL20" s="7">
        <v>45.8</v>
      </c>
      <c r="IM20" s="7">
        <v>59.236279832121092</v>
      </c>
      <c r="IN20" s="7">
        <v>201</v>
      </c>
      <c r="IO20" s="695">
        <f>+IO32*(1-0.091)</f>
        <v>13.071420000000002</v>
      </c>
      <c r="IP20" s="98">
        <f t="shared" si="88"/>
        <v>5.7844457536132143</v>
      </c>
      <c r="IQ20" s="93">
        <v>21.6</v>
      </c>
      <c r="IR20" s="93">
        <f t="shared" si="111"/>
        <v>2.2000000000000002</v>
      </c>
      <c r="IS20" s="93">
        <f t="shared" si="111"/>
        <v>5.59</v>
      </c>
      <c r="IT20" s="93">
        <f t="shared" si="111"/>
        <v>13.55</v>
      </c>
      <c r="IU20" s="93">
        <f t="shared" si="111"/>
        <v>1.07</v>
      </c>
      <c r="IV20" s="94">
        <f t="shared" si="89"/>
        <v>20.21</v>
      </c>
      <c r="IW20" s="84"/>
      <c r="IX20" s="84"/>
      <c r="IY20" s="105">
        <v>1.84</v>
      </c>
      <c r="IZ20" s="161">
        <v>0.3</v>
      </c>
      <c r="JA20" s="161"/>
      <c r="JB20" s="84">
        <v>38.770000000000003</v>
      </c>
      <c r="JC20" s="84"/>
      <c r="JD20" s="84"/>
      <c r="JF20" s="2">
        <v>13.92869406</v>
      </c>
      <c r="JG20" s="2">
        <v>14.482482790000001</v>
      </c>
      <c r="JH20" s="2">
        <v>55.909430630000003</v>
      </c>
      <c r="JI20" s="2">
        <v>25.934342799999996</v>
      </c>
      <c r="JJ20" s="2">
        <v>336.42535503999989</v>
      </c>
      <c r="JK20" s="2">
        <v>83.930015260000005</v>
      </c>
      <c r="JL20" s="2">
        <v>1271.6937723600001</v>
      </c>
      <c r="JM20" s="2">
        <v>7.3038865299999998</v>
      </c>
      <c r="JN20" s="2">
        <v>118.71389377999999</v>
      </c>
      <c r="JO20" s="2">
        <v>16.557633799999998</v>
      </c>
      <c r="JP20" s="2">
        <v>0</v>
      </c>
      <c r="JQ20" s="2">
        <v>1.1375E-2</v>
      </c>
      <c r="JR20" s="2">
        <v>0.81940023999999989</v>
      </c>
      <c r="JS20" s="2">
        <v>0</v>
      </c>
      <c r="JT20" s="2">
        <v>1.916E-2</v>
      </c>
      <c r="JU20" s="2">
        <v>87.182268379999982</v>
      </c>
      <c r="JV20" s="2">
        <v>10.279674249999999</v>
      </c>
      <c r="JW20" s="2">
        <v>9.0876640999999978</v>
      </c>
      <c r="JX20" s="2">
        <v>15.21955099</v>
      </c>
      <c r="JY20" s="2">
        <v>1.282205E-2</v>
      </c>
      <c r="JZ20" s="2">
        <v>1.87762552</v>
      </c>
      <c r="KA20" s="2">
        <v>0.13377699999999998</v>
      </c>
      <c r="KB20" s="2">
        <v>14.856275649999999</v>
      </c>
      <c r="KC20" s="2">
        <v>43.513628579999988</v>
      </c>
      <c r="KD20" s="2">
        <v>12.392839620000002</v>
      </c>
      <c r="KE20" s="2">
        <v>13.509740819999998</v>
      </c>
      <c r="KF20" s="2">
        <v>25.564028680000007</v>
      </c>
      <c r="KG20" s="2">
        <v>191.13520986</v>
      </c>
      <c r="KH20" s="2">
        <v>62.809426980000005</v>
      </c>
      <c r="KI20" s="2">
        <v>22.45288025</v>
      </c>
      <c r="KJ20" s="2">
        <v>1.5553582799999999</v>
      </c>
      <c r="KK20" s="2">
        <v>6.5619682100000016</v>
      </c>
      <c r="KL20" s="2">
        <v>0.32785448</v>
      </c>
      <c r="KM20" s="2">
        <v>3.5702828899999997</v>
      </c>
      <c r="KN20" s="2">
        <v>2.5712659999999998E-2</v>
      </c>
      <c r="KO20" s="2">
        <v>2.1335667200000001</v>
      </c>
      <c r="KP20" s="2">
        <v>1.9690309999999999E-2</v>
      </c>
      <c r="KQ20" s="2">
        <v>42.634192399999989</v>
      </c>
      <c r="KR20" s="2">
        <v>4.3218099999999997E-3</v>
      </c>
      <c r="KS20" s="2">
        <v>0.23016665</v>
      </c>
      <c r="KT20" s="2">
        <v>2.5295605000000001</v>
      </c>
      <c r="KU20" s="2">
        <v>0.56767168999999995</v>
      </c>
      <c r="KV20" s="2">
        <v>0.17689452999999999</v>
      </c>
      <c r="KW20" s="2">
        <v>4.8352818300000004</v>
      </c>
      <c r="KX20" s="2">
        <v>0</v>
      </c>
      <c r="KY20" s="2">
        <v>0.54086543999999992</v>
      </c>
      <c r="KZ20" s="2">
        <v>2.0356377400000003</v>
      </c>
      <c r="LA20" s="2">
        <v>1.0838102199999999</v>
      </c>
      <c r="LB20" s="2">
        <v>0</v>
      </c>
      <c r="LC20" s="2">
        <v>0.9861083100000001</v>
      </c>
      <c r="LD20" s="2">
        <v>1.6604400000000002E-2</v>
      </c>
      <c r="LE20" s="2">
        <v>0.78872563000000007</v>
      </c>
      <c r="LF20" s="2">
        <v>0.69711998999999991</v>
      </c>
      <c r="LG20" s="2">
        <v>16.697153229999998</v>
      </c>
      <c r="LH20" s="2">
        <v>5.5210381099999992</v>
      </c>
      <c r="LI20" s="2">
        <v>0</v>
      </c>
      <c r="LJ20" s="2">
        <v>0</v>
      </c>
      <c r="LK20" s="2">
        <v>3.9218954099999999</v>
      </c>
      <c r="LL20" s="2">
        <v>2.7184676899999998</v>
      </c>
      <c r="LM20" s="2">
        <v>1.5439726300000001</v>
      </c>
      <c r="LN20" s="2">
        <v>0.17963393</v>
      </c>
      <c r="LO20" s="2">
        <v>11.833060620000003</v>
      </c>
      <c r="LQ20" s="85">
        <f t="shared" si="90"/>
        <v>1815.9806811400001</v>
      </c>
      <c r="LR20" s="85">
        <f t="shared" si="91"/>
        <v>0.84993523999999987</v>
      </c>
      <c r="LS20" s="85">
        <f t="shared" si="92"/>
        <v>19.367338349999997</v>
      </c>
      <c r="LT20" s="85">
        <f t="shared" si="93"/>
        <v>2.0242245699999999</v>
      </c>
      <c r="LU20" s="85">
        <f t="shared" si="94"/>
        <v>48.598243129999993</v>
      </c>
      <c r="LV20" s="85">
        <f t="shared" si="95"/>
        <v>5.5530418000000008</v>
      </c>
      <c r="LW20" s="85">
        <f t="shared" si="96"/>
        <v>1.0838102199999999</v>
      </c>
      <c r="LX20" s="85">
        <f t="shared" si="97"/>
        <v>1.5024500199999999</v>
      </c>
      <c r="LZ20" s="131">
        <v>16.649999999999999</v>
      </c>
      <c r="MA20" s="171">
        <v>18.940000000000001</v>
      </c>
      <c r="MB20"/>
      <c r="MC20"/>
      <c r="MD20"/>
      <c r="MF20"/>
      <c r="MG20"/>
      <c r="MH20" s="83">
        <v>33.96</v>
      </c>
      <c r="MI20" s="83">
        <v>10.39</v>
      </c>
      <c r="MJ20" s="83">
        <v>11.78</v>
      </c>
      <c r="MK20"/>
      <c r="ML20" s="83">
        <v>12.36</v>
      </c>
      <c r="MM20" s="83">
        <v>24.12</v>
      </c>
      <c r="MN20" s="83"/>
      <c r="MO20" s="83">
        <v>32.81</v>
      </c>
      <c r="MP20" s="83">
        <v>33.28</v>
      </c>
      <c r="MQ20" s="83">
        <v>34.909999999999997</v>
      </c>
      <c r="MR20"/>
      <c r="MT20" s="83"/>
      <c r="MU20" s="83">
        <v>11.72</v>
      </c>
      <c r="MV20"/>
      <c r="MW20"/>
      <c r="MX20"/>
      <c r="MY20" s="83">
        <v>28.43</v>
      </c>
      <c r="MZ20" s="83">
        <v>80</v>
      </c>
      <c r="NA20" s="83">
        <v>35.799999999999997</v>
      </c>
      <c r="NB20" s="83">
        <v>113.66</v>
      </c>
      <c r="NC20" s="83">
        <v>17.920000000000002</v>
      </c>
      <c r="ND20"/>
      <c r="NE20" s="1">
        <v>101</v>
      </c>
    </row>
    <row r="21" spans="1:369">
      <c r="A21" s="38">
        <f t="shared" si="32"/>
        <v>42705</v>
      </c>
      <c r="B21" s="36">
        <v>12</v>
      </c>
      <c r="C21" s="36">
        <v>2016</v>
      </c>
      <c r="D21" s="36">
        <f t="shared" si="50"/>
        <v>21</v>
      </c>
      <c r="E21" s="38">
        <f t="shared" si="33"/>
        <v>42705</v>
      </c>
      <c r="F21" s="7">
        <v>16.0275</v>
      </c>
      <c r="G21" s="7">
        <v>100</v>
      </c>
      <c r="H21" s="1">
        <f>[2]NACIONALES!$D9</f>
        <v>10368</v>
      </c>
      <c r="I21" s="7">
        <v>100</v>
      </c>
      <c r="J21" s="7">
        <v>360</v>
      </c>
      <c r="K21" s="7">
        <v>3.4</v>
      </c>
      <c r="L21" s="7">
        <v>32.299999999999997</v>
      </c>
      <c r="N21" s="5">
        <v>1.4902</v>
      </c>
      <c r="O21" s="5">
        <v>1.3362000000000001</v>
      </c>
      <c r="P21" s="78">
        <f t="shared" si="34"/>
        <v>22.650062999999999</v>
      </c>
      <c r="Q21" s="6">
        <v>350</v>
      </c>
      <c r="R21" s="79">
        <f t="shared" si="35"/>
        <v>3500</v>
      </c>
      <c r="S21" s="6">
        <v>129.92307692307693</v>
      </c>
      <c r="T21" s="6">
        <v>291.23076923076923</v>
      </c>
      <c r="U21" s="143">
        <v>147.88</v>
      </c>
      <c r="V21" s="6">
        <v>262.14999999999998</v>
      </c>
      <c r="W21" s="6">
        <v>135.80769230769232</v>
      </c>
      <c r="X21" s="6">
        <v>143.65384615384616</v>
      </c>
      <c r="Y21" s="79">
        <f t="shared" si="36"/>
        <v>2082.3421153846157</v>
      </c>
      <c r="Z21" s="79">
        <f t="shared" si="37"/>
        <v>4667.7011538461538</v>
      </c>
      <c r="AA21" s="79">
        <f t="shared" si="38"/>
        <v>2370.1466999999998</v>
      </c>
      <c r="AB21" s="79">
        <f t="shared" si="39"/>
        <v>4201.6091249999999</v>
      </c>
      <c r="AC21" s="79">
        <f t="shared" si="40"/>
        <v>2176.6577884615385</v>
      </c>
      <c r="AD21" s="79">
        <f t="shared" si="41"/>
        <v>2302.4120192307691</v>
      </c>
      <c r="AE21" s="79">
        <f t="shared" si="42"/>
        <v>2966.8114836538462</v>
      </c>
      <c r="AF21" s="1">
        <v>10524.75</v>
      </c>
      <c r="AG21" s="1">
        <v>5100</v>
      </c>
      <c r="AH21" s="1">
        <v>19200</v>
      </c>
      <c r="AI21" s="5">
        <v>12.3</v>
      </c>
      <c r="AJ21" s="5">
        <v>6.6</v>
      </c>
      <c r="AK21" s="5">
        <v>4.3499999999999996</v>
      </c>
      <c r="AL21" s="5">
        <v>3.87</v>
      </c>
      <c r="AM21" s="78">
        <f t="shared" si="43"/>
        <v>7.9818000000000007</v>
      </c>
      <c r="AN21" s="5">
        <v>434.47499999999997</v>
      </c>
      <c r="AO21" s="80">
        <f t="shared" si="51"/>
        <v>260.68499999999995</v>
      </c>
      <c r="AP21" s="78">
        <f t="shared" si="44"/>
        <v>347.57999999999993</v>
      </c>
      <c r="AQ21" s="5">
        <v>423</v>
      </c>
      <c r="AR21" s="5">
        <v>143.49473684210525</v>
      </c>
      <c r="AS21" s="5">
        <v>101.20000000000002</v>
      </c>
      <c r="AT21" s="105">
        <v>308.90842105263124</v>
      </c>
      <c r="AU21" s="78">
        <f t="shared" si="53"/>
        <v>184.53438596491219</v>
      </c>
      <c r="AV21">
        <v>92.4</v>
      </c>
      <c r="AW21" s="80">
        <f t="shared" si="54"/>
        <v>295.68</v>
      </c>
      <c r="AX21">
        <v>92.2</v>
      </c>
      <c r="AY21" s="7">
        <v>173.16</v>
      </c>
      <c r="AZ21" s="7">
        <v>118.62</v>
      </c>
      <c r="BA21" s="7">
        <v>102</v>
      </c>
      <c r="BB21" s="94">
        <f t="shared" si="45"/>
        <v>129.6</v>
      </c>
      <c r="BC21" s="68">
        <f>+BC20</f>
        <v>588</v>
      </c>
      <c r="BD21" s="68">
        <f t="shared" si="116"/>
        <v>684</v>
      </c>
      <c r="BE21" s="7">
        <f t="shared" si="55"/>
        <v>590</v>
      </c>
      <c r="BF21" s="7">
        <f t="shared" si="55"/>
        <v>390</v>
      </c>
      <c r="BG21" s="94">
        <f t="shared" si="56"/>
        <v>563</v>
      </c>
      <c r="BH21" s="7">
        <v>37.549999999999997</v>
      </c>
      <c r="BI21" s="7">
        <f t="shared" ref="BI21:BI26" si="134">+BI20</f>
        <v>10.766</v>
      </c>
      <c r="BJ21" s="78">
        <f t="shared" si="57"/>
        <v>48.315999999999995</v>
      </c>
      <c r="BK21" s="7">
        <v>28.501000000000001</v>
      </c>
      <c r="BL21" s="7">
        <v>28.501000000000001</v>
      </c>
      <c r="BM21" s="94">
        <f t="shared" si="58"/>
        <v>28.501000000000001</v>
      </c>
      <c r="BN21" s="5">
        <v>4.68</v>
      </c>
      <c r="BO21" s="105">
        <v>22.729999999999997</v>
      </c>
      <c r="BP21" s="80">
        <v>11.550000000000002</v>
      </c>
      <c r="BQ21" s="94">
        <f t="shared" si="59"/>
        <v>21.611999999999998</v>
      </c>
      <c r="BR21" s="7">
        <v>18.52</v>
      </c>
      <c r="BS21" s="7">
        <v>68</v>
      </c>
      <c r="BT21" s="7">
        <v>41.47</v>
      </c>
      <c r="BU21" s="79">
        <f t="shared" si="46"/>
        <v>940.41</v>
      </c>
      <c r="BV21" s="97">
        <v>23.8</v>
      </c>
      <c r="BW21" s="95"/>
      <c r="BY21" s="92">
        <f>BY$10*(1+((H21/H$10-1)*costos!$B$5+((I21*F21)/(I$10*F$10)-1)*costos!$E$5+((J21*F21)/((J$10*F$10)-1)*costos!$F$5/3+((K21*F21)/(K$10*F$10)-1)*costos!$F$5/3+((U21*F21)/(U$10*F$10)-1)*costos!$F$5/3+((L21*F21)/(L$10*F$10)-1)*costos!$G$5+((N21*F21)/(N$10*F$10)-1)*costos!$J$5+((V21*F21)/(V$10*F$10)-1)*costos!$K$5)))</f>
        <v>135.84830717492028</v>
      </c>
      <c r="BZ21" s="92">
        <f>$BZ$10*(1+((H21/$H$10-1)*costos!$B$6+((I21*F21)/($I$10*$F$10)-1)*costos!$E$6+((J21*F21)/(($J$10*$F$10)-1)*costos!$F$6/3+((K21*F21)/($K$10*$F$10)-1)*costos!$F$6/3+((U21*F21)/($U$10*$F$10)-1)*costos!$F$6/3+((L21*F21)/($L$10*$F$10)-1)*costos!$G$6+((Q21*F21)/($Q$10*$F$10)-1)*costos!$J$6+((V21*F21)/($V$10*$F$10)-1)*costos!$K$6)))</f>
        <v>125.13455096231097</v>
      </c>
      <c r="CA21" s="92">
        <f>CA$10*(1+((H21/H$10-1)*costos!$B$7+((I21*F21)/(I$10*F$10)-1)*costos!$E$7+((J21*F21)/((J$10*F$10)-1)*costos!$F$7/3+((K21*F21)/(K$10*F$10)-1)*costos!$F$7/3+((U21*F21)/(U$10*F$10)-1)*costos!$F$7/3+((L21*F21)/(L$10*F$10)-1)*costos!$G$7+((S21*F21)/(S$10*F$10)-1)*costos!$J$7+((V21*F21)/(V$10*F$10)-1)*costos!$K$7)))</f>
        <v>124.17104649055753</v>
      </c>
      <c r="CB21" s="92">
        <f>CB$10*(1+((H21/H$10-1)*costos!$B$8+((I21*F21)/(I$10*F$10)-1)*costos!$E$8+((J21*F21)/((J$10*F$10)-1)*costos!$F$8/3+((K21*F21)/(K$10*F$10)-1)*costos!$F$8/3+((U21*F21)/(U$10*F$10)-1)*costos!$F$8/3+((L21*F21)/(L$10*F$10)-1)*costos!$G$8+((T21*F21)/(T$10*F$10)-1)*costos!$J$8+((V21*F21)/(V$10*F$10)-1)*costos!$K$8)))</f>
        <v>127.79734123350627</v>
      </c>
      <c r="CC21" s="92">
        <f>CC$10*(1+((H21/H$10-1)*costos!$B$9+((I21*F21)/(I$10*F$10)-1)*costos!$E$9+((J21*F21)/((J$10*F$10)-1)*costos!$F$9/3+((K21*F21)/(K$10*F$10)-1)*costos!$F$9/3+((U21*F21)/(U$10*F$10)-1)*costos!$F$9/3+((L21*F21)/(L$10*F$10)-1)*costos!$G$9+((U21*F21)/(U$10*F$10)-1)*costos!$J$9+((V21*F21)/(V$10*F$10)-1)*costos!$K$9)))</f>
        <v>125.27131088677532</v>
      </c>
      <c r="CD21" s="92">
        <f>CD$10*(1+((H21/H$10-1)*costos!$B$11+((I21*F21)/(I$10*F$10)-1)*costos!$E$11+((J21*F21)/((J$10*F$10)-1)*costos!$F$11/3+((K21*F21)/(K$10*F$10)-1)*costos!$F$11/3+((U21*F21)/(U$10*F$10)-1)*costos!$F$11/3+((L21*F21)/(L$10*F$10)-1)*costos!$G$11+((V21*F21)/(V$10*F$10)-1)*costos!$J$11+((V21*F21)/(V$10*F$10)-1)*costos!$K$11)))</f>
        <v>130.16977039021185</v>
      </c>
      <c r="CE21" s="92">
        <f>CE$10*(1+((H21/H$10-1)*costos!$B$12+((I21*F21)/(I$10*F$10)-1)*costos!$E$12+((J21*F21)/((J$10*F$10)-1)*costos!$F$12/3+((K21*F21)/(K$10*F$10)-1)*costos!$F$12/3+((U21*F21)/(U$10*F$10)-1)*costos!$F$12/3+((L21*F21)/(L$10*F$10)-1)*costos!$G$12+((W21*F21)/(W$10*F$10)-1)*costos!$J$12+((V21*F21)/(V$10*F$10)-1)*costos!$K$12)))</f>
        <v>121.87609142193061</v>
      </c>
      <c r="CF21" s="92">
        <f>CF$10*(1+((H21/H$10-1)*costos!$B$13+((I21*F21)/(I$10*F$10)-1)*costos!$E$13+((J21*F21)/((J$10*F$10)-1)*costos!$F$13/3+((K21*F21)/(K$10*F$10)-1)*costos!$F$13/3+((U21*F21)/(U$10*F$10)-1)*costos!$F$13/3+((L21*F21)/(L$10*F$10)-1)*costos!$G$13+((X21*F21)/(X$10*F$10)-1)*costos!$J$13+((V21*F21)/(V$10*F$10)-1)*costos!$K$13)))</f>
        <v>127.61738024277211</v>
      </c>
      <c r="CG21" s="92">
        <f t="shared" si="60"/>
        <v>126.15049011095896</v>
      </c>
      <c r="CH21" s="92">
        <f>CH$10*(1+((H21/H$10-1)*costos!$B$10+((I21*F21)/(I$10*F$10)-1)*costos!$E$10+((J21*F21)/((J$10*F$10)-1)*costos!$F$10/3+((K21*F21)/(K$10*F$10)-1)*costos!$F$10/3+((U21*F21)/(U$10*F$10)-1)*costos!$F$10/3+((L21*F21)/(L$10*F$10)-1)*costos!$G$10+((AF21)/(AF$10)-1)*costos!$J$10+((V21*F21)/(V$10*F$10)-1)*costos!$K$10)))</f>
        <v>140.95321606592864</v>
      </c>
      <c r="CI21" s="92">
        <f>CI$10*(1+((H21/H$10-1)*costos!$B$15+((I21*F21)/(I$10*F$10)-1)*costos!$E$15+((J21*F21)/((J$10*F$10)-1)*costos!$F$15/3+((K21*F21)/(K$10*F$10)-1)*costos!$F$15/3+((U21*F21)/(U$10*F$10)-1)*costos!$F$15/3+((L21*F21)/(L$10*F$10)-1)*costos!$G$15+((AV21)/(AV$10)-1)*costos!$J$15+((V21*F21)/(V$10*F$10)-1)*costos!$K$15)))</f>
        <v>134.75482589967419</v>
      </c>
      <c r="CJ21" s="92">
        <f>CJ$10*(1+((H21/H$10-1)*costos!$B$16+((I21*F21)/(I$10*F$10)-1)*costos!$E$16+((J21*F21)/((J$10*F$10)-1)*costos!$F$16/3+((K21*F21)/(K$10*F$10)-1)*costos!$F$16/3+((U21*F21)/(U$10*F$10)-1)*costos!$F$16/3+((L21*F21)/(L$10*F$10)-1)*costos!$G$16+((AW21)/(AW$10)-1)*costos!$J$16+((V21*F21)/(V$10*F$10)-1)*costos!$K$16)))</f>
        <v>135.19136690393219</v>
      </c>
      <c r="CK21" s="92">
        <f>CK$10*(1+((H21/H$10-1)*costos!$B$17+((I21*F21)/(I$10*F$10)-1)*costos!$E$17+((J21*F21)/((J$10*F$10)-1)*costos!$F$17/3+((K21*F21)/(K$10*F$10)-1)*costos!$F$17/3+((U21*F21)/(U$10*F$10)-1)*costos!$F$17/3+((L21*F21)/(L$10*F$10)-1)*costos!$G$17+((AX21)/(AX$10)-1)*costos!$J$17+((V21*F21)/(V$10*F$10)-1)*costos!$K$17)))</f>
        <v>129.81992797325597</v>
      </c>
      <c r="CL21" s="92">
        <f>CL$10*(1+((H21/H$10-1)*costos!$B$18+((I21*F21)/(I$10*F$10)-1)*costos!$E$18+((J21*F21)/((J$10*F$10)-1)*costos!$F$18/3+((K21*F21)/(K$10*F$10)-1)*costos!$F$18/3+((U21*F21)/(U$10*F$10)-1)*costos!$F$18/3+((L21*F21)/(L$10*F$10)-1)*costos!$G$18+((AY21)/(AY$10)-1)*costos!$J$18+((V21*F21)/(V$10*F$10)-1)*costos!$K$18)))</f>
        <v>144.56362590501587</v>
      </c>
      <c r="CM21" s="92">
        <f>CM$10*(1+((H21/H$10-1)*costos!$B$19+((I21*F21)/(I$10*F$10)-1)*costos!$E$19+((J21*F21)/((J$10*F$10)-1)*costos!$F$19/3+((K21*F21)/(K$10*F$10)-1)*costos!$F$19/3+((U21*F21)/(U$10*F$10)-1)*costos!$F$19/3+((L21*F21)/(L$10*F$10)-1)*costos!$G$19+((AZ21)/(AZ$10)-1)*costos!$J$19+((V21*F21)/(V$10*F$10)-1)*costos!$K$19)))</f>
        <v>124.71543405781469</v>
      </c>
      <c r="CN21" s="92">
        <f>CN$10*(1+((H21/H$10-1)*costos!$B$20+((I21*F21)/(I$10*F$10)-1)*costos!$E$20+((J21*F21)/((J$10*F$10)-1)*costos!$F$20/3+((K21*F21)/(K$10*F$10)-1)*costos!$F$20/3+((U21*F21)/(U$10*F$10)-1)*costos!$F$20/3+((L21*F21)/(L$10*F$10)-1)*costos!$G$20+((BA21)/(BA$10)-1)*costos!$J$20+((V21*F21)/(V$10*F$10)-1)*costos!$K$20)))</f>
        <v>130.61713411118151</v>
      </c>
      <c r="CO21" s="92">
        <f t="shared" si="61"/>
        <v>132.42903051181702</v>
      </c>
      <c r="CP21" s="92">
        <f>CP$10*(1+((H21/H$10-1)*costos!$B$22+((I21*F21)/(I$10*F$10)-1)*costos!$E$22+((J21*F21)/((J$10*F$10)-1)*costos!$F$22/3+((K21*F21)/(K$10*F$10)-1)*costos!$F$22/3+((U21*F21)/(U$10*F$10)-1)*costos!$F$22/3+((L21*F21)/(L$10*F$10)-1)*costos!$G$22+(((AVERAGE(AI21:AL21))/((AVERAGE(AI$10:AL$10))-1)*costos!$J$22+((V21*F21)/(V$10*F$10)-1)*costos!$K$22)))))</f>
        <v>170.49344888469363</v>
      </c>
      <c r="CQ21" s="92">
        <f>CQ$10*(1+((H21/H$10-1)*costos!$B$23+((I21*F21)/(I$10*F$10)-1)*costos!$E$23+((J21*F21)/((J$10*F$10)-1)*costos!$F$23/3+((K21*F21)/(K$10*F$10)-1)*costos!$F$23/3+((U21*F21)/(U$10*F$10)-1)*costos!$F$23/3+((L21*F21)/(L$10*F$10)-1)*costos!$G$23+((AN21)/(AN$10)-1)*costos!$J$23+((V21*F21)/(V$10*F$10)-1)*costos!$K$23)))</f>
        <v>133.9082156263099</v>
      </c>
      <c r="CR21" s="92">
        <f>CR$10*(1+((H21/H$10-1)*costos!$B$24+((I21*F21)/(I$10*F$10)-1)*costos!$E$24+((J21*F21)/((J$10*F$10)-1)*costos!$F$24/3+((K21*F21)/(K$10*F$10)-1)*costos!$F$24/3+((U21*F21)/(U$10*F$10)-1)*costos!$F$24/3+((L21*F21)/(L$10*F$10)-1)*costos!$G$24+((AO21)/(AO$10)-1)*costos!$J$24+((V21*F21)/(V$10*F$10)-1)*costos!$K$24)))</f>
        <v>133.9082156263099</v>
      </c>
      <c r="CS21" s="92">
        <f t="shared" si="62"/>
        <v>133.9082156263099</v>
      </c>
      <c r="CT21" s="92">
        <f>CT$10*(1+((H21/H$10-1)*costos!$B$25+((I21*F21)/(I$10*F$10)-1)*costos!$E$25+((J21*F21)/((J$10*F$10)-1)*costos!$F$25/3+((K21*F21)/(K$10*F$10)-1)*costos!$F$25/3+((U21*F21)/(U$10*F$10)-1)*costos!$F$25/3+((L21*F21)/(L$10*F$10)-1)*costos!$G$25+((AQ21)/(AQ$10)-1)*costos!$J$25+((V21*F21)/(V$10*F$10)-1)*costos!$K$25)))</f>
        <v>142.27145393973993</v>
      </c>
      <c r="CU21" s="92">
        <f>CU$10*(1+((H21/H$10-1)*costos!$B$26+((I21*F21)/(I$10*F$10)-1)*costos!$E$26+((J21*F21)/((J$10*F$10)-1)*costos!$F$26/3+((K21*F21)/(K$10*F$10)-1)*costos!$F$26/3+((U21*F21)/(U$10*F$10)-1)*costos!$F$26/3+((L21*F21)/(L$10*F$10)-1)*costos!$G$26+((AR21)/(AR$10)-1)*costos!$J$26+((V21*F21)/(V$10*F$10)-1)*costos!$K$26)))</f>
        <v>126.82963422341864</v>
      </c>
      <c r="CV21" s="92">
        <f>CV$10*(1+((H21/H$10-1)*costos!$B$27+((I21*F21)/(I$10*F$10)-1)*costos!$E$27+((J21*F21)/((J$10*F$10)-1)*costos!$F$27/3+((K21*F21)/(K$10*F$10)-1)*costos!$F$27/3+((U21*F21)/(U$10*F$10)-1)*costos!$F$27/3+((L21*F21)/(L$10*F$10)-1)*costos!$G$27+((AS21)/(AS$10)-1)*costos!$J$27+((V21*F21)/(V$10*F$10)-1)*costos!$K$27)))</f>
        <v>123.82852423584126</v>
      </c>
      <c r="CW21" s="92">
        <f>CW$10*(1+((H21/H$10-1)*costos!$B$28+((I21*F21)/(I$10*F$10)-1)*costos!$E$28+((J21*F21)/((J$10*F$10)-1)*costos!$F$28/3+((K21*F21)/(K$10*F$10)-1)*costos!$F$28/3+((U21*F21)/(U$10*F$10)-1)*costos!$F$28/3+((L21*F21)/(L$10*F$10)-1)*costos!$G$28+((AS21)/(AS$10)-1)*costos!$J$28+((V21*F21)/(V$10*F$10)-1)*costos!$K$28)))</f>
        <v>123.82852423584126</v>
      </c>
      <c r="CX21" s="92">
        <f t="shared" si="63"/>
        <v>124.82889423170037</v>
      </c>
      <c r="CY21" s="92">
        <f>CY$10*(1+((H21/H$10-1)*costos!$B$32+((I21*F21)/(I$10*F$10)-1)*costos!$E$32+((J21*F21)/((J$10*F$10)-1)*costos!$F$32/3+((K21*F21)/(K$10*F$10)-1)*costos!$F$32/3+((U21*F21)/(U$10*F$10)-1)*costos!$F$32/3+((L21*F21)/(L$10*F$10)-1)*costos!$G$32+((AG21)/(AG$10)-1)*costos!$J$32+((V21*F21)/(V$10*F$10)-1)*costos!$K$32)))</f>
        <v>132.41767437746472</v>
      </c>
      <c r="CZ21" s="69">
        <f>CZ$10*(1+((H21/H$10-1)*costos!$B$31+((I21*F21)/(I$10*F$10)-1)*costos!$E$30+((J21*F21)/((J$10*F$10)-1)*costos!$F$30/3+((K21*F21)/(K$10*F$10)-1)*costos!$F$30/3+((U21*F21)/(U$10*F$10)-1)*costos!$F$30/3+((L21*F21)/(L$10*F$10)-1)*costos!$G$30+((BG21)/(BG$10)-1)*costos!$J$30+((V21*F21)/(V$10*F$10)-1)*costos!$K$30)))</f>
        <v>138.74767320258306</v>
      </c>
      <c r="DA21" s="69">
        <f>DA$10*(1+((H21/H$10-1)*costos!$B$31+((I21*F21)/(I$10*F$10)-1)*costos!$E$31+((J21*F21)/((J$10*F$10)-1)*costos!$F$31/3+((K21*F21)/(K$10*F$10)-1)*costos!$F$31/3+((U21*F21)/(U$10*F$10)-1)*costos!$F$31/3+((L21*F21)/(L$10*F$10)-1)*costos!$G$31+((BJ21)/(BJ$10)-1)*costos!$J$31+((V21*F21)/(V$10*F$10)-1)*costos!$K$31)))</f>
        <v>133.61520337254541</v>
      </c>
      <c r="DB21" s="69">
        <f>DB$10*(1+((H21/H$10-1)*costos!$B$36+((I21*F21)/(I$10*F$10)-1)*costos!$E$36+((J21*F21)/((J$10*F$10)-1)*costos!$F$36/3+((K21*F21)/(K$10*F$10)-1)*costos!$F$36/3+((U21*F21)/(U$10*F$10)-1)*costos!$F$36/3+((L21*F21)/(L$10*F$10)-1)*costos!$G$36+((BK21)/(BK$10)-1)*costos!$J$36+((V21*F21)/(V$10*F$10)-1)*costos!$K$36)))</f>
        <v>131.67534076059442</v>
      </c>
      <c r="DC21" s="69">
        <f>DC$10*(1+((H21/H$10-1)*costos!$B$37+((I21*F21)/(I$10*F$10)-1)*costos!$E$37+((U21*F21)/(U$10*F$10)-1)*costos!$F$37+((L21*F21)/(L$10*F$10)-1)*costos!$G$37+((BN21)/(BN$10)-1)*costos!$J$37+((V21*F21)/(V$10*F$10)-1)*costos!$K$37))</f>
        <v>122.14584227545072</v>
      </c>
      <c r="DD21" s="69">
        <f>DD$10*(1+((H21/H$10-1)*costos!$B$39+((I21*F21)/(I$10*F$10)-1)*costos!$E$39+((U21*F21)/(U$10*F$10)-1)*costos!$F$39+((L21*F21)/(L$10*F$10)-1)*costos!$G$39+((BR21)/(BR$10)-1)*costos!$J$39+((V21*F21)/(V$10*F$10)-1)*costos!$K$39))</f>
        <v>120.49960786868952</v>
      </c>
      <c r="DE21" s="69">
        <f>DD$10*(1+((H21/H$10-1)*costos!$B$35+((I21*F21)/(I$10*F$10)-1)*costos!$E$35+((U21*F21)/(U$10*F$10)-1)*costos!$F$35+((L21*F21)/(L$10*F$10)-1)*costos!$G$35+((BR21)/(BR$10)-1)*costos!$J$35+((V21*F21)/(V$10*F$10)-1)*costos!$K$35))</f>
        <v>118.76797474223797</v>
      </c>
      <c r="DF21" s="69">
        <f>DF$10*(1+((H21/H$10-1)*costos!$B$40+((I21*F21)/(I$10*F$10)-1)*costos!$E$40+((U21*F21)/(U$10*F$10)-1)*costos!$F$40+((L21*F21)/(L$10*F$10)-1)*costos!$G$40+((BP21)/(BP$10)-1)*costos!$J$40+((V21*F21)/(V$10*F$10)-1)*costos!$K$40))</f>
        <v>118.4323660533467</v>
      </c>
      <c r="DG21" s="92">
        <f t="shared" si="64"/>
        <v>118.60017039779234</v>
      </c>
      <c r="DH21" s="69">
        <f>DH$10*(1+((H21/H$10-1)*costos!$B$34+((I21*F21)/(I$10*F$10)-1)*costos!$E$34+((J21*F21)/((J$10*F$10)-1)*costos!$F$34/3+((K21*F21)/(K$10*F$10)-1)*costos!$F$34/3+((U21*F21)/(U$10*F$10)-1)*costos!$F$34/3+((L21*F21)/(L$10*F$10)-1)*costos!$G$34+((BV21)/(BV$10)-1)*costos!$J$34+((V21*F21)/(V$10*F$10)-1)*costos!$K$34)))</f>
        <v>131.48237208394923</v>
      </c>
      <c r="DI21" s="69">
        <f>DI$10*(1+((H21/H$10-1)*costos!$B$38+((I21*F21)/(I$10*F$10)-1)*costos!$E$38+((J21*F21)/((J$10*F$10)-1)*costos!$F$38/3+((K21*F21)/(K$10*F$10)-1)*costos!$F$38/3+((U21*F21)/(U$10*F$10)-1)*costos!$F$38/3+((L21*F21)/(L$10*F$10)-1)*costos!$G$38+((BU21)/(BU$10)-1)*costos!$J$38+((V21*F21)/(V$10*F$10)-1)*costos!$K$38)))</f>
        <v>131.97225034828207</v>
      </c>
      <c r="DK21" s="1">
        <v>258900</v>
      </c>
      <c r="DL21" s="1" t="s">
        <v>106</v>
      </c>
      <c r="DM21" s="82">
        <f t="shared" si="65"/>
        <v>214570</v>
      </c>
      <c r="DN21" s="82" t="str">
        <f t="shared" si="65"/>
        <v>2015-16</v>
      </c>
      <c r="DO21" s="82">
        <f t="shared" si="65"/>
        <v>950000</v>
      </c>
      <c r="DP21" s="82" t="str">
        <f t="shared" si="65"/>
        <v>2016-17</v>
      </c>
      <c r="DQ21" s="1">
        <v>1700000</v>
      </c>
      <c r="DR21" s="1" t="s">
        <v>106</v>
      </c>
      <c r="DS21" s="1">
        <v>4900000</v>
      </c>
      <c r="DT21" s="1" t="s">
        <v>106</v>
      </c>
      <c r="DU21" s="1">
        <v>19600000</v>
      </c>
      <c r="DV21" s="1" t="s">
        <v>106</v>
      </c>
      <c r="DW21" s="1">
        <v>800000</v>
      </c>
      <c r="DX21" s="1" t="s">
        <v>106</v>
      </c>
      <c r="DY21" s="83">
        <v>6365000</v>
      </c>
      <c r="DZ21" s="1" t="s">
        <v>106</v>
      </c>
      <c r="EA21" s="79">
        <f t="shared" si="67"/>
        <v>34315000</v>
      </c>
      <c r="EB21" s="82">
        <f t="shared" si="68"/>
        <v>368438</v>
      </c>
      <c r="EC21" s="82" t="str">
        <f t="shared" si="69"/>
        <v>2015-16</v>
      </c>
      <c r="ED21" s="83">
        <f t="shared" si="69"/>
        <v>165327</v>
      </c>
      <c r="EE21" s="143">
        <f t="shared" si="69"/>
        <v>2016</v>
      </c>
      <c r="EF21" s="83">
        <f t="shared" si="121"/>
        <v>223944</v>
      </c>
      <c r="EG21" s="143">
        <f t="shared" si="122"/>
        <v>2016</v>
      </c>
      <c r="EH21" s="83">
        <f t="shared" si="120"/>
        <v>53117706</v>
      </c>
      <c r="EI21" s="143">
        <f t="shared" si="120"/>
        <v>2016</v>
      </c>
      <c r="EJ21" s="83">
        <v>5119438</v>
      </c>
      <c r="EK21" s="143">
        <v>2016</v>
      </c>
      <c r="EL21" s="82">
        <f t="shared" si="120"/>
        <v>14864321</v>
      </c>
      <c r="EM21" s="144">
        <f t="shared" si="120"/>
        <v>2016</v>
      </c>
      <c r="EN21" s="82">
        <f t="shared" si="120"/>
        <v>3499621</v>
      </c>
      <c r="EO21" s="144">
        <f t="shared" si="120"/>
        <v>2016</v>
      </c>
      <c r="EP21" s="82">
        <f t="shared" si="118"/>
        <v>6552</v>
      </c>
      <c r="EQ21" s="83">
        <f t="shared" si="100"/>
        <v>3008956</v>
      </c>
      <c r="ER21" s="1">
        <v>32755</v>
      </c>
      <c r="ES21" s="82"/>
      <c r="ET21" s="83">
        <f t="shared" si="101"/>
        <v>24000</v>
      </c>
      <c r="EU21" s="83">
        <f t="shared" si="101"/>
        <v>16752</v>
      </c>
      <c r="EV21" s="83">
        <f t="shared" si="101"/>
        <v>9500</v>
      </c>
      <c r="EW21" s="83">
        <f t="shared" si="101"/>
        <v>17994</v>
      </c>
      <c r="EX21" s="79">
        <f t="shared" si="72"/>
        <v>68246</v>
      </c>
      <c r="EY21" s="1">
        <f t="shared" si="123"/>
        <v>19129</v>
      </c>
      <c r="EZ21" s="82">
        <f t="shared" si="102"/>
        <v>75500</v>
      </c>
      <c r="FA21" s="1">
        <f t="shared" si="103"/>
        <v>22169</v>
      </c>
      <c r="FB21" s="1">
        <f t="shared" si="103"/>
        <v>20495</v>
      </c>
      <c r="FC21" s="79">
        <f t="shared" si="73"/>
        <v>42664</v>
      </c>
      <c r="FD21" s="1">
        <f t="shared" si="104"/>
        <v>43815</v>
      </c>
      <c r="FE21" s="1"/>
      <c r="FF21" s="82">
        <f t="shared" si="129"/>
        <v>708196</v>
      </c>
      <c r="FG21" s="82" t="str">
        <f t="shared" si="130"/>
        <v>2015-16</v>
      </c>
      <c r="FH21" s="82">
        <f t="shared" si="132"/>
        <v>1404980</v>
      </c>
      <c r="FI21" s="82" t="str">
        <f t="shared" si="132"/>
        <v>2015-16</v>
      </c>
      <c r="FJ21" s="82">
        <f>+FJ20</f>
        <v>3150000</v>
      </c>
      <c r="FK21" s="82" t="str">
        <f>+FK20</f>
        <v>2016-17</v>
      </c>
      <c r="FL21" s="82">
        <f t="shared" si="133"/>
        <v>2450000</v>
      </c>
      <c r="FM21" s="82" t="str">
        <f t="shared" si="133"/>
        <v>2015-16</v>
      </c>
      <c r="FN21" s="82">
        <f t="shared" si="133"/>
        <v>28000000</v>
      </c>
      <c r="FO21" s="82" t="str">
        <f>+FO20</f>
        <v>2015-16</v>
      </c>
      <c r="FP21" s="82">
        <f t="shared" si="125"/>
        <v>56000000</v>
      </c>
      <c r="FQ21" s="82" t="str">
        <f t="shared" si="125"/>
        <v>2015-16</v>
      </c>
      <c r="FR21" s="82">
        <f t="shared" si="125"/>
        <v>3400000</v>
      </c>
      <c r="FS21" s="82" t="str">
        <f t="shared" si="125"/>
        <v>2015-16</v>
      </c>
      <c r="FT21" s="1">
        <v>18395000</v>
      </c>
      <c r="FU21" s="1" t="s">
        <v>106</v>
      </c>
      <c r="FV21" s="79">
        <f t="shared" si="76"/>
        <v>111395000</v>
      </c>
      <c r="FW21" s="82">
        <f t="shared" si="126"/>
        <v>1001113</v>
      </c>
      <c r="FX21" s="82" t="str">
        <f t="shared" si="127"/>
        <v>2015-16</v>
      </c>
      <c r="FY21" s="83">
        <v>16775.737000000001</v>
      </c>
      <c r="FZ21" s="79">
        <f t="shared" ref="FZ21:FZ84" si="135">+SUM(FY10:FY21)</f>
        <v>819883.84200000006</v>
      </c>
      <c r="GA21" s="86" t="str">
        <f t="shared" ref="GA21:GA52" si="136">TEXT($A10,"mmm")&amp;""&amp;MID($C10,3,2)&amp;" "&amp;TEXT($A21,"mmm")&amp;""&amp;MID($C21,3,2)</f>
        <v>ene16 dic16</v>
      </c>
      <c r="GB21" s="1">
        <v>17584178</v>
      </c>
      <c r="GC21" s="6">
        <v>2016</v>
      </c>
      <c r="GD21" s="1">
        <f t="shared" si="105"/>
        <v>1678337</v>
      </c>
      <c r="GE21" s="1">
        <v>468278</v>
      </c>
      <c r="GF21" s="1">
        <v>1032446</v>
      </c>
      <c r="GG21" s="1">
        <f t="shared" si="106"/>
        <v>102259</v>
      </c>
      <c r="GH21" s="79">
        <f t="shared" si="78"/>
        <v>1602983</v>
      </c>
      <c r="GI21" s="82">
        <f t="shared" si="79"/>
        <v>1302556</v>
      </c>
      <c r="GJ21" s="83">
        <f t="shared" si="80"/>
        <v>600000</v>
      </c>
      <c r="GK21" s="1">
        <f t="shared" si="80"/>
        <v>998555</v>
      </c>
      <c r="GL21" s="83">
        <f t="shared" si="80"/>
        <v>302000</v>
      </c>
      <c r="GM21" s="1">
        <f t="shared" si="80"/>
        <v>266553.90000000002</v>
      </c>
      <c r="GN21" s="79">
        <f t="shared" si="81"/>
        <v>2167108.9</v>
      </c>
      <c r="GO21" s="83">
        <f t="shared" si="107"/>
        <v>191984</v>
      </c>
      <c r="GP21" s="83">
        <f t="shared" si="82"/>
        <v>68123</v>
      </c>
      <c r="GQ21" s="1"/>
      <c r="GR21" s="1">
        <v>42700</v>
      </c>
      <c r="GS21" s="79">
        <f t="shared" si="83"/>
        <v>42700</v>
      </c>
      <c r="GT21" s="83">
        <f t="shared" si="108"/>
        <v>2430866</v>
      </c>
      <c r="GU21" s="1">
        <f t="shared" si="84"/>
        <v>50951.583333333336</v>
      </c>
      <c r="GV21" s="1">
        <f t="shared" si="85"/>
        <v>51463.083333333336</v>
      </c>
      <c r="GW21" s="79">
        <f t="shared" si="49"/>
        <v>1228976</v>
      </c>
      <c r="GX21" s="83">
        <v>30955.772000000001</v>
      </c>
      <c r="GY21" s="83" t="s">
        <v>329</v>
      </c>
      <c r="GZ21" s="83">
        <f t="shared" si="109"/>
        <v>93671</v>
      </c>
      <c r="HA21" s="1">
        <v>238000</v>
      </c>
      <c r="HB21" s="79">
        <f t="shared" ref="HB21:HB33" si="137">+SUM(HA10:HA21)</f>
        <v>2643000</v>
      </c>
      <c r="HC21" s="86" t="str">
        <f t="shared" ref="HC21:HC52" si="138">TEXT($A10,"mmm")&amp;""&amp;MID($C10,3,2)&amp;" "&amp;TEXT($A21,"mmm")&amp;""&amp;MID($C21,3,2)</f>
        <v>ene16 dic16</v>
      </c>
      <c r="HD21" s="1">
        <v>45516</v>
      </c>
      <c r="HE21" s="79">
        <f t="shared" ref="HE21:HE84" si="139">+SUM(HD10:HD21)</f>
        <v>522429</v>
      </c>
      <c r="HF21" s="86" t="str">
        <f t="shared" ref="HF21:HF52" si="140">TEXT($A10,"mmm")&amp;""&amp;MID($C10,3,2)&amp;" "&amp;TEXT($A21,"mmm")&amp;""&amp;MID($C21,3,2)</f>
        <v>ene16 dic16</v>
      </c>
      <c r="HG21" s="1">
        <v>181000</v>
      </c>
      <c r="HH21" s="79">
        <f t="shared" ref="HH21:HH33" si="141">+SUM(HG10:HG21)</f>
        <v>2055000</v>
      </c>
      <c r="HI21" s="86" t="str">
        <f t="shared" ref="HI21:HI52" si="142">TEXT($A10,"mmm")&amp;""&amp;MID($C10,3,2)&amp;" "&amp;TEXT($A21,"mmm")&amp;""&amp;MID($C21,3,2)</f>
        <v>ene16 dic16</v>
      </c>
      <c r="HJ21" s="1"/>
      <c r="HK21" s="79">
        <f t="shared" ref="HK21:HK52" si="143">+SUM(HJ10:HJ21)*1000*0.00006</f>
        <v>0</v>
      </c>
      <c r="HL21" s="86" t="str">
        <f t="shared" ref="HL21:HL52" si="144">TEXT($A10,"mmm")&amp;""&amp;MID($C10,3,2)&amp;" "&amp;TEXT($A21,"mmm")&amp;""&amp;MID($C21,3,2)</f>
        <v>ene16 dic16</v>
      </c>
      <c r="HM21" s="79">
        <f t="shared" si="86"/>
        <v>2055000</v>
      </c>
      <c r="HN21" s="69"/>
      <c r="HO21" s="1">
        <v>817400000</v>
      </c>
      <c r="HP21" s="79">
        <f>+SUM(HO10:HO21)/1000000</f>
        <v>9895.2999999999993</v>
      </c>
      <c r="HQ21" s="86" t="str">
        <f t="shared" ref="HQ21:HQ52" si="145">TEXT($A10,"mmm")&amp;""&amp;MID($C10,3,2)&amp;" "&amp;TEXT($A21,"mmm")&amp;""&amp;MID($C21,3,2)</f>
        <v>ene16 dic16</v>
      </c>
      <c r="HR21" s="3"/>
      <c r="HS21" s="1"/>
      <c r="HT21" s="1"/>
      <c r="HU21" s="83">
        <f t="shared" si="119"/>
        <v>650000</v>
      </c>
      <c r="HV21" s="83" t="str">
        <f t="shared" si="119"/>
        <v>2015-16</v>
      </c>
      <c r="HW21" s="1">
        <v>1430000</v>
      </c>
      <c r="HX21" s="1" t="s">
        <v>106</v>
      </c>
      <c r="HY21" s="1">
        <v>2950000</v>
      </c>
      <c r="HZ21" s="1" t="s">
        <v>107</v>
      </c>
      <c r="IA21" s="1">
        <f t="shared" si="113"/>
        <v>17210000</v>
      </c>
      <c r="IB21" s="1" t="str">
        <f t="shared" si="114"/>
        <v>2015-16</v>
      </c>
      <c r="IC21" s="1">
        <v>50000000</v>
      </c>
      <c r="ID21" s="1" t="s">
        <v>107</v>
      </c>
      <c r="IE21" s="1">
        <f t="shared" si="115"/>
        <v>2600000</v>
      </c>
      <c r="IF21" s="1" t="s">
        <v>107</v>
      </c>
      <c r="IG21" s="1">
        <f>5860000+900000</f>
        <v>6760000</v>
      </c>
      <c r="IH21" s="1" t="s">
        <v>106</v>
      </c>
      <c r="II21" s="79">
        <f t="shared" si="87"/>
        <v>80950000</v>
      </c>
      <c r="IJ21" s="97">
        <f t="shared" si="110"/>
        <v>1.6218070029006586</v>
      </c>
      <c r="IK21" s="1" t="s">
        <v>107</v>
      </c>
      <c r="IL21" s="7">
        <v>45.84</v>
      </c>
      <c r="IM21" s="7">
        <v>59.236643107234173</v>
      </c>
      <c r="IN21" s="7">
        <v>201</v>
      </c>
      <c r="IO21" s="695">
        <f>+IO33*(1-0.091)</f>
        <v>12.789630000000001</v>
      </c>
      <c r="IP21" s="98">
        <f t="shared" si="88"/>
        <v>5.7844457536132143</v>
      </c>
      <c r="IQ21" s="93">
        <v>21.6</v>
      </c>
      <c r="IR21" s="93">
        <f t="shared" si="111"/>
        <v>2.2000000000000002</v>
      </c>
      <c r="IS21" s="93">
        <f t="shared" si="111"/>
        <v>5.59</v>
      </c>
      <c r="IT21" s="93">
        <f t="shared" si="111"/>
        <v>13.55</v>
      </c>
      <c r="IU21" s="93">
        <f t="shared" si="111"/>
        <v>1.07</v>
      </c>
      <c r="IV21" s="94">
        <f t="shared" si="89"/>
        <v>20.21</v>
      </c>
      <c r="IW21" s="84"/>
      <c r="IX21" s="84"/>
      <c r="IY21" s="105">
        <v>1.84</v>
      </c>
      <c r="IZ21" s="161">
        <v>0.3</v>
      </c>
      <c r="JA21" s="570"/>
      <c r="JB21" s="84">
        <v>38.770000000000003</v>
      </c>
      <c r="JC21" s="84"/>
      <c r="JD21" s="84"/>
      <c r="JF21" s="2">
        <v>8.6436185200000004</v>
      </c>
      <c r="JG21" s="2">
        <v>11.066291020000001</v>
      </c>
      <c r="JH21" s="2">
        <v>69.969966149999991</v>
      </c>
      <c r="JI21" s="2">
        <v>37.717108580000001</v>
      </c>
      <c r="JJ21" s="2">
        <v>193.68130302</v>
      </c>
      <c r="JK21" s="2">
        <v>74.145154619999985</v>
      </c>
      <c r="JL21" s="2">
        <v>1177.6609741499999</v>
      </c>
      <c r="JM21" s="2">
        <v>6.5900550000000004</v>
      </c>
      <c r="JN21" s="2">
        <v>298.96929868999996</v>
      </c>
      <c r="JO21" s="2">
        <v>14.746101749999999</v>
      </c>
      <c r="JP21" s="2">
        <v>0</v>
      </c>
      <c r="JQ21" s="2">
        <v>1.031E-2</v>
      </c>
      <c r="JR21" s="2">
        <v>0.56816865000000005</v>
      </c>
      <c r="JS21" s="2">
        <v>0</v>
      </c>
      <c r="JT21" s="2">
        <v>0.20140649999999999</v>
      </c>
      <c r="JU21" s="2">
        <v>82.228808700000002</v>
      </c>
      <c r="JV21" s="2">
        <v>4.8184264500000005</v>
      </c>
      <c r="JW21" s="2">
        <v>6.1716724999999997</v>
      </c>
      <c r="JX21" s="2">
        <v>11.998898630000001</v>
      </c>
      <c r="JY21" s="2">
        <v>1.1086E-2</v>
      </c>
      <c r="JZ21" s="2">
        <v>1.4278086099999998</v>
      </c>
      <c r="KA21" s="2">
        <v>0.50785550000000002</v>
      </c>
      <c r="KB21" s="2">
        <v>17.043782270000001</v>
      </c>
      <c r="KC21" s="2">
        <v>13.551598499999997</v>
      </c>
      <c r="KD21" s="2">
        <v>7.3901561499999993</v>
      </c>
      <c r="KE21" s="2">
        <v>11.046399530000002</v>
      </c>
      <c r="KF21" s="2">
        <v>21.865545049999998</v>
      </c>
      <c r="KG21" s="2">
        <v>161.99776546999999</v>
      </c>
      <c r="KH21" s="2">
        <v>70.701024720000007</v>
      </c>
      <c r="KI21" s="2">
        <v>23.548660869999999</v>
      </c>
      <c r="KJ21" s="2">
        <v>0.90138878</v>
      </c>
      <c r="KK21" s="2">
        <v>6.0508833399999986</v>
      </c>
      <c r="KL21" s="2">
        <v>0.39260181</v>
      </c>
      <c r="KM21" s="2">
        <v>4.5805968399999983</v>
      </c>
      <c r="KN21" s="2">
        <v>9.0498E-4</v>
      </c>
      <c r="KO21" s="2">
        <v>0.38473641999999991</v>
      </c>
      <c r="KP21" s="2">
        <v>1.8436149999999998E-2</v>
      </c>
      <c r="KQ21" s="2">
        <v>25.01631046</v>
      </c>
      <c r="KR21" s="2">
        <v>7.1298599999999991E-3</v>
      </c>
      <c r="KS21" s="2">
        <v>5.8215999999999997E-4</v>
      </c>
      <c r="KT21" s="2">
        <v>2.6613224100000004</v>
      </c>
      <c r="KU21" s="2">
        <v>0.58093064999999999</v>
      </c>
      <c r="KV21" s="2">
        <v>9.5369430000000005E-2</v>
      </c>
      <c r="KW21" s="2">
        <v>4.6587466199999987</v>
      </c>
      <c r="KX21" s="2">
        <v>0</v>
      </c>
      <c r="KY21" s="2">
        <v>0</v>
      </c>
      <c r="KZ21" s="2">
        <v>6.5724145400000005</v>
      </c>
      <c r="LA21" s="2">
        <v>1.0113420099999999</v>
      </c>
      <c r="LB21" s="2">
        <v>1.432685E-2</v>
      </c>
      <c r="LC21" s="2">
        <v>1.5408592000000001</v>
      </c>
      <c r="LD21" s="2">
        <v>6.4322480000000001E-2</v>
      </c>
      <c r="LE21" s="2">
        <v>0.55539150000000004</v>
      </c>
      <c r="LF21" s="2">
        <v>1.0526264400000001</v>
      </c>
      <c r="LG21" s="2">
        <v>16.457782509999998</v>
      </c>
      <c r="LH21" s="2">
        <v>4.3989212100000001</v>
      </c>
      <c r="LI21" s="2">
        <v>1.0831E-4</v>
      </c>
      <c r="LJ21" s="2">
        <v>0</v>
      </c>
      <c r="LK21" s="2">
        <v>2.24158736</v>
      </c>
      <c r="LL21" s="2">
        <v>4.0699535900000008</v>
      </c>
      <c r="LM21" s="2">
        <v>1.1570159600000001</v>
      </c>
      <c r="LN21" s="2">
        <v>0.55925333999999993</v>
      </c>
      <c r="LO21" s="2">
        <v>12.415889650000002</v>
      </c>
      <c r="LQ21" s="85">
        <f t="shared" si="90"/>
        <v>1784.5887055899998</v>
      </c>
      <c r="LR21" s="85">
        <f t="shared" si="91"/>
        <v>0.77988515000000014</v>
      </c>
      <c r="LS21" s="85">
        <f t="shared" si="92"/>
        <v>10.99009895</v>
      </c>
      <c r="LT21" s="85">
        <f t="shared" si="93"/>
        <v>1.9467501099999998</v>
      </c>
      <c r="LU21" s="85">
        <f t="shared" si="94"/>
        <v>29.990260719999998</v>
      </c>
      <c r="LV21" s="85">
        <f t="shared" si="95"/>
        <v>4.7541160499999986</v>
      </c>
      <c r="LW21" s="85">
        <f t="shared" si="96"/>
        <v>1.0256688599999999</v>
      </c>
      <c r="LX21" s="85">
        <f t="shared" si="97"/>
        <v>1.67234042</v>
      </c>
      <c r="LZ21" s="131">
        <v>17.03</v>
      </c>
      <c r="MA21" s="171">
        <v>19.46</v>
      </c>
      <c r="MB21"/>
      <c r="MC21"/>
      <c r="MD21"/>
      <c r="MF21"/>
      <c r="MG21"/>
      <c r="MH21" s="83">
        <v>34.28</v>
      </c>
      <c r="MI21" s="83">
        <v>10.36</v>
      </c>
      <c r="MJ21" s="83">
        <v>11.59</v>
      </c>
      <c r="MK21"/>
      <c r="ML21" s="83">
        <v>12.49</v>
      </c>
      <c r="MM21" s="83">
        <v>17.2</v>
      </c>
      <c r="MN21" s="83"/>
      <c r="MO21" s="83">
        <v>20.64</v>
      </c>
      <c r="MP21" s="83">
        <v>35.76</v>
      </c>
      <c r="MQ21" s="83">
        <v>38.31</v>
      </c>
      <c r="MR21"/>
      <c r="MT21" s="83"/>
      <c r="MU21" s="83">
        <v>11.79</v>
      </c>
      <c r="MV21"/>
      <c r="MW21"/>
      <c r="MX21"/>
      <c r="MY21" s="83">
        <v>28.49</v>
      </c>
      <c r="MZ21" s="83">
        <v>76.900000000000006</v>
      </c>
      <c r="NA21" s="83">
        <v>36.700000000000003</v>
      </c>
      <c r="NB21" s="83">
        <v>116.82</v>
      </c>
      <c r="NC21" s="83">
        <v>18.05</v>
      </c>
      <c r="ND21"/>
      <c r="NE21" s="1">
        <v>105.99</v>
      </c>
    </row>
    <row r="22" spans="1:369">
      <c r="A22" s="38">
        <f t="shared" si="32"/>
        <v>42736</v>
      </c>
      <c r="B22" s="36">
        <v>1</v>
      </c>
      <c r="C22" s="36">
        <v>2017</v>
      </c>
      <c r="D22" s="36">
        <f t="shared" si="50"/>
        <v>22</v>
      </c>
      <c r="E22" s="38">
        <f t="shared" si="33"/>
        <v>42736</v>
      </c>
      <c r="F22" s="7">
        <v>16.099999999999998</v>
      </c>
      <c r="G22" s="7">
        <v>101.6</v>
      </c>
      <c r="H22" s="1">
        <f>[2]NACIONALES!$D10</f>
        <v>10368</v>
      </c>
      <c r="I22" s="7">
        <v>107</v>
      </c>
      <c r="J22" s="7">
        <v>395</v>
      </c>
      <c r="K22" s="7">
        <v>2.2999999999999998</v>
      </c>
      <c r="L22" s="7">
        <v>38.6</v>
      </c>
      <c r="N22" s="5">
        <v>1.534</v>
      </c>
      <c r="O22" s="5">
        <v>1.38</v>
      </c>
      <c r="P22" s="78">
        <f t="shared" si="34"/>
        <v>23.457699999999996</v>
      </c>
      <c r="Q22" s="6">
        <v>365</v>
      </c>
      <c r="R22" s="79">
        <f t="shared" si="35"/>
        <v>3650</v>
      </c>
      <c r="S22" s="6">
        <v>136.72727272727272</v>
      </c>
      <c r="T22" s="6">
        <v>293.04545454545456</v>
      </c>
      <c r="U22" s="143">
        <v>150.93181818181819</v>
      </c>
      <c r="V22" s="6">
        <v>267.09999999999997</v>
      </c>
      <c r="W22" s="6">
        <v>140.5</v>
      </c>
      <c r="X22" s="6">
        <v>163.02272727272728</v>
      </c>
      <c r="Y22" s="79">
        <f t="shared" si="36"/>
        <v>2201.3090909090906</v>
      </c>
      <c r="Z22" s="79">
        <f t="shared" si="37"/>
        <v>4718.0318181818175</v>
      </c>
      <c r="AA22" s="79">
        <f t="shared" si="38"/>
        <v>2430.0022727272726</v>
      </c>
      <c r="AB22" s="79">
        <f t="shared" si="39"/>
        <v>4300.3099999999986</v>
      </c>
      <c r="AC22" s="79">
        <f t="shared" si="40"/>
        <v>2262.0499999999997</v>
      </c>
      <c r="AD22" s="79">
        <f t="shared" si="41"/>
        <v>2624.6659090909088</v>
      </c>
      <c r="AE22" s="79">
        <f t="shared" si="42"/>
        <v>3089.3948484848479</v>
      </c>
      <c r="AF22" s="1">
        <v>10571.142857142857</v>
      </c>
      <c r="AG22" s="1">
        <v>5100</v>
      </c>
      <c r="AH22" s="1">
        <v>19200</v>
      </c>
      <c r="AI22" s="5">
        <v>11.49</v>
      </c>
      <c r="AJ22" s="5">
        <v>6.56</v>
      </c>
      <c r="AK22" s="5">
        <v>4.3899999999999997</v>
      </c>
      <c r="AL22" s="5">
        <v>4.03</v>
      </c>
      <c r="AM22" s="78">
        <f t="shared" si="43"/>
        <v>7.6564000000000005</v>
      </c>
      <c r="AN22" s="7">
        <v>469.34659090909093</v>
      </c>
      <c r="AO22" s="7">
        <v>216.83318181818186</v>
      </c>
      <c r="AP22" s="78">
        <f t="shared" ref="AP22:AP53" si="146">IFERROR(+AVERAGE(AO22:AO22),"")</f>
        <v>216.83318181818186</v>
      </c>
      <c r="AQ22" s="7">
        <v>519.63485477178426</v>
      </c>
      <c r="AR22" s="7">
        <v>185.91666666666666</v>
      </c>
      <c r="AS22" s="7">
        <v>111.94029850746269</v>
      </c>
      <c r="AT22" s="7">
        <v>321.15318181818185</v>
      </c>
      <c r="AU22" s="78">
        <f t="shared" si="53"/>
        <v>206.33671566410374</v>
      </c>
      <c r="AV22" s="7">
        <v>135.98060606060611</v>
      </c>
      <c r="AW22" s="7">
        <v>422.83250000000004</v>
      </c>
      <c r="AX22" s="7">
        <v>103.00454545454545</v>
      </c>
      <c r="AY22" s="7">
        <v>139.78880000000004</v>
      </c>
      <c r="AZ22" s="7">
        <v>126.56818181818188</v>
      </c>
      <c r="BA22" s="7">
        <v>70.928787878787901</v>
      </c>
      <c r="BB22" s="94">
        <f t="shared" si="45"/>
        <v>117.47138383838386</v>
      </c>
      <c r="BC22" s="68">
        <f>+BC21</f>
        <v>588</v>
      </c>
      <c r="BD22" s="68">
        <f t="shared" si="116"/>
        <v>684</v>
      </c>
      <c r="BE22" s="7">
        <f t="shared" si="55"/>
        <v>590</v>
      </c>
      <c r="BF22" s="7">
        <f t="shared" si="55"/>
        <v>390</v>
      </c>
      <c r="BG22" s="94">
        <f t="shared" si="56"/>
        <v>563</v>
      </c>
      <c r="BH22" s="7">
        <v>37.549999999999997</v>
      </c>
      <c r="BI22" s="7">
        <f t="shared" si="134"/>
        <v>10.766</v>
      </c>
      <c r="BJ22" s="78">
        <f t="shared" si="57"/>
        <v>48.315999999999995</v>
      </c>
      <c r="BK22" s="7">
        <v>27.983000000000001</v>
      </c>
      <c r="BL22" s="7">
        <v>27.983000000000001</v>
      </c>
      <c r="BM22" s="94">
        <f t="shared" si="58"/>
        <v>27.983000000000001</v>
      </c>
      <c r="BN22" s="5">
        <v>4.91</v>
      </c>
      <c r="BO22" s="105">
        <v>19.438636363636359</v>
      </c>
      <c r="BP22" s="80">
        <v>11.137833333333333</v>
      </c>
      <c r="BQ22" s="94">
        <f t="shared" si="59"/>
        <v>18.608556060606059</v>
      </c>
      <c r="BR22" s="7">
        <v>19.12</v>
      </c>
      <c r="BS22" s="7">
        <v>71</v>
      </c>
      <c r="BT22" s="7">
        <v>41.4</v>
      </c>
      <c r="BU22" s="79">
        <f t="shared" ref="BU22:BU43" si="147">+BS22*12+BT22*3</f>
        <v>976.2</v>
      </c>
      <c r="BV22" s="97">
        <v>25.9</v>
      </c>
      <c r="BW22" s="7"/>
      <c r="BY22" s="92">
        <f>BY$10*(1+((H22/H$10-1)*costos!$B$5+((I22*F22)/(I$10*F$10)-1)*costos!$E$5+((J22*F22)/((J$10*F$10)-1)*costos!$F$5/3+((K22*F22)/(K$10*F$10)-1)*costos!$F$5/3+((U22*F22)/(U$10*F$10)-1)*costos!$F$5/3+((L22*F22)/(L$10*F$10)-1)*costos!$G$5+((N22*F22)/(N$10*F$10)-1)*costos!$J$5+((V22*F22)/(V$10*F$10)-1)*costos!$K$5)))</f>
        <v>138.01090249498338</v>
      </c>
      <c r="BZ22" s="92">
        <f>$BZ$10*(1+((H22/$H$10-1)*costos!$B$6+((I22*F22)/($I$10*$F$10)-1)*costos!$E$6+((J22*F22)/(($J$10*$F$10)-1)*costos!$F$6/3+((K22*F22)/($K$10*$F$10)-1)*costos!$F$6/3+((U22*F22)/($U$10*$F$10)-1)*costos!$F$6/3+((L22*F22)/($L$10*$F$10)-1)*costos!$G$6+((Q22*F22)/($Q$10*$F$10)-1)*costos!$J$6+((V22*F22)/($V$10*$F$10)-1)*costos!$K$6)))</f>
        <v>130.98989649692641</v>
      </c>
      <c r="CA22" s="92">
        <f>CA$10*(1+((H22/H$10-1)*costos!$B$7+((I22*F22)/(I$10*F$10)-1)*costos!$E$7+((J22*F22)/((J$10*F$10)-1)*costos!$F$7/3+((K22*F22)/(K$10*F$10)-1)*costos!$F$7/3+((U22*F22)/(U$10*F$10)-1)*costos!$F$7/3+((L22*F22)/(L$10*F$10)-1)*costos!$G$7+((S22*F22)/(S$10*F$10)-1)*costos!$J$7+((V22*F22)/(V$10*F$10)-1)*costos!$K$7)))</f>
        <v>129.2879161230116</v>
      </c>
      <c r="CB22" s="92">
        <f>CB$10*(1+((H22/H$10-1)*costos!$B$8+((I22*F22)/(I$10*F$10)-1)*costos!$E$8+((J22*F22)/((J$10*F$10)-1)*costos!$F$8/3+((K22*F22)/(K$10*F$10)-1)*costos!$F$8/3+((U22*F22)/(U$10*F$10)-1)*costos!$F$8/3+((L22*F22)/(L$10*F$10)-1)*costos!$G$8+((T22*F22)/(T$10*F$10)-1)*costos!$J$8+((V22*F22)/(V$10*F$10)-1)*costos!$K$8)))</f>
        <v>133.54938499923767</v>
      </c>
      <c r="CC22" s="92">
        <f>CC$10*(1+((H22/H$10-1)*costos!$B$9+((I22*F22)/(I$10*F$10)-1)*costos!$E$9+((J22*F22)/((J$10*F$10)-1)*costos!$F$9/3+((K22*F22)/(K$10*F$10)-1)*costos!$F$9/3+((U22*F22)/(U$10*F$10)-1)*costos!$F$9/3+((L22*F22)/(L$10*F$10)-1)*costos!$G$9+((U22*F22)/(U$10*F$10)-1)*costos!$J$9+((V22*F22)/(V$10*F$10)-1)*costos!$K$9)))</f>
        <v>132.06387556286359</v>
      </c>
      <c r="CD22" s="92">
        <f>CD$10*(1+((H22/H$10-1)*costos!$B$11+((I22*F22)/(I$10*F$10)-1)*costos!$E$11+((J22*F22)/((J$10*F$10)-1)*costos!$F$11/3+((K22*F22)/(K$10*F$10)-1)*costos!$F$11/3+((U22*F22)/(U$10*F$10)-1)*costos!$F$11/3+((L22*F22)/(L$10*F$10)-1)*costos!$G$11+((V22*F22)/(V$10*F$10)-1)*costos!$J$11+((V22*F22)/(V$10*F$10)-1)*costos!$K$11)))</f>
        <v>134.51311607443645</v>
      </c>
      <c r="CE22" s="92">
        <f>CE$10*(1+((H22/H$10-1)*costos!$B$12+((I22*F22)/(I$10*F$10)-1)*costos!$E$12+((J22*F22)/((J$10*F$10)-1)*costos!$F$12/3+((K22*F22)/(K$10*F$10)-1)*costos!$F$12/3+((U22*F22)/(U$10*F$10)-1)*costos!$F$12/3+((L22*F22)/(L$10*F$10)-1)*costos!$G$12+((W22*F22)/(W$10*F$10)-1)*costos!$J$12+((V22*F22)/(V$10*F$10)-1)*costos!$K$12)))</f>
        <v>129.72979344910129</v>
      </c>
      <c r="CF22" s="92">
        <f>CF$10*(1+((H22/H$10-1)*costos!$B$13+((I22*F22)/(I$10*F$10)-1)*costos!$E$13+((J22*F22)/((J$10*F$10)-1)*costos!$F$13/3+((K22*F22)/(K$10*F$10)-1)*costos!$F$13/3+((U22*F22)/(U$10*F$10)-1)*costos!$F$13/3+((L22*F22)/(L$10*F$10)-1)*costos!$G$13+((X22*F22)/(X$10*F$10)-1)*costos!$J$13+((V22*F22)/(V$10*F$10)-1)*costos!$K$13)))</f>
        <v>135.01497084601317</v>
      </c>
      <c r="CG22" s="92">
        <f t="shared" si="60"/>
        <v>132.35984284244395</v>
      </c>
      <c r="CH22" s="92">
        <f>CH$10*(1+((H22/H$10-1)*costos!$B$10+((I22*F22)/(I$10*F$10)-1)*costos!$E$10+((J22*F22)/((J$10*F$10)-1)*costos!$F$10/3+((K22*F22)/(K$10*F$10)-1)*costos!$F$10/3+((U22*F22)/(U$10*F$10)-1)*costos!$F$10/3+((L22*F22)/(L$10*F$10)-1)*costos!$G$10+((AF22)/(AF$10)-1)*costos!$J$10+((V22*F22)/(V$10*F$10)-1)*costos!$K$10)))</f>
        <v>143.86888881971021</v>
      </c>
      <c r="CI22" s="92">
        <f>CI$10*(1+((H22/H$10-1)*costos!$B$15+((I22*F22)/(I$10*F$10)-1)*costos!$E$15+((J22*F22)/((J$10*F$10)-1)*costos!$F$15/3+((K22*F22)/(K$10*F$10)-1)*costos!$F$15/3+((U22*F22)/(U$10*F$10)-1)*costos!$F$15/3+((L22*F22)/(L$10*F$10)-1)*costos!$G$15+((AV22)/(AV$10)-1)*costos!$J$15+((V22*F22)/(V$10*F$10)-1)*costos!$K$15)))</f>
        <v>143.37834696731716</v>
      </c>
      <c r="CJ22" s="92">
        <f>CJ$10*(1+((H22/H$10-1)*costos!$B$16+((I22*F22)/(I$10*F$10)-1)*costos!$E$16+((J22*F22)/((J$10*F$10)-1)*costos!$F$16/3+((K22*F22)/(K$10*F$10)-1)*costos!$F$16/3+((U22*F22)/(U$10*F$10)-1)*costos!$F$16/3+((L22*F22)/(L$10*F$10)-1)*costos!$G$16+((AW22)/(AW$10)-1)*costos!$J$16+((V22*F22)/(V$10*F$10)-1)*costos!$K$16)))</f>
        <v>146.75489710740791</v>
      </c>
      <c r="CK22" s="92">
        <f>CK$10*(1+((H22/H$10-1)*costos!$B$17+((I22*F22)/(I$10*F$10)-1)*costos!$E$17+((J22*F22)/((J$10*F$10)-1)*costos!$F$17/3+((K22*F22)/(K$10*F$10)-1)*costos!$F$17/3+((U22*F22)/(U$10*F$10)-1)*costos!$F$17/3+((L22*F22)/(L$10*F$10)-1)*costos!$G$17+((AX22)/(AX$10)-1)*costos!$J$17+((V22*F22)/(V$10*F$10)-1)*costos!$K$17)))</f>
        <v>134.72394443361674</v>
      </c>
      <c r="CL22" s="92">
        <f>CL$10*(1+((H22/H$10-1)*costos!$B$18+((I22*F22)/(I$10*F$10)-1)*costos!$E$18+((J22*F22)/((J$10*F$10)-1)*costos!$F$18/3+((K22*F22)/(K$10*F$10)-1)*costos!$F$18/3+((U22*F22)/(U$10*F$10)-1)*costos!$F$18/3+((L22*F22)/(L$10*F$10)-1)*costos!$G$18+((AY22)/(AY$10)-1)*costos!$J$18+((V22*F22)/(V$10*F$10)-1)*costos!$K$18)))</f>
        <v>139.44799242967534</v>
      </c>
      <c r="CM22" s="92">
        <f>CM$10*(1+((H22/H$10-1)*costos!$B$19+((I22*F22)/(I$10*F$10)-1)*costos!$E$19+((J22*F22)/((J$10*F$10)-1)*costos!$F$19/3+((K22*F22)/(K$10*F$10)-1)*costos!$F$19/3+((U22*F22)/(U$10*F$10)-1)*costos!$F$19/3+((L22*F22)/(L$10*F$10)-1)*costos!$G$19+((AZ22)/(AZ$10)-1)*costos!$J$19+((V22*F22)/(V$10*F$10)-1)*costos!$K$19)))</f>
        <v>129.75590027464824</v>
      </c>
      <c r="CN22" s="92">
        <f>CN$10*(1+((H22/H$10-1)*costos!$B$20+((I22*F22)/(I$10*F$10)-1)*costos!$E$20+((J22*F22)/((J$10*F$10)-1)*costos!$F$20/3+((K22*F22)/(K$10*F$10)-1)*costos!$F$20/3+((U22*F22)/(U$10*F$10)-1)*costos!$F$20/3+((L22*F22)/(L$10*F$10)-1)*costos!$G$20+((BA22)/(BA$10)-1)*costos!$J$20+((V22*F22)/(V$10*F$10)-1)*costos!$K$20)))</f>
        <v>126.77618745350175</v>
      </c>
      <c r="CO22" s="92">
        <f t="shared" si="61"/>
        <v>132.67600614786053</v>
      </c>
      <c r="CP22" s="92">
        <f>CP$10*(1+((H22/H$10-1)*costos!$B$22+((I22*F22)/(I$10*F$10)-1)*costos!$E$22+((J22*F22)/((J$10*F$10)-1)*costos!$F$22/3+((K22*F22)/(K$10*F$10)-1)*costos!$F$22/3+((U22*F22)/(U$10*F$10)-1)*costos!$F$22/3+((L22*F22)/(L$10*F$10)-1)*costos!$G$22+(((AVERAGE(AI22:AL22))/((AVERAGE(AI$10:AL$10))-1)*costos!$J$22+((V22*F22)/(V$10*F$10)-1)*costos!$K$22)))))</f>
        <v>170.87243050180774</v>
      </c>
      <c r="CQ22" s="92">
        <f>CQ$10*(1+((H22/H$10-1)*costos!$B$23+((I22*F22)/(I$10*F$10)-1)*costos!$E$23+((J22*F22)/((J$10*F$10)-1)*costos!$F$23/3+((K22*F22)/(K$10*F$10)-1)*costos!$F$23/3+((U22*F22)/(U$10*F$10)-1)*costos!$F$23/3+((L22*F22)/(L$10*F$10)-1)*costos!$G$23+((AN22)/(AN$10)-1)*costos!$J$23+((V22*F22)/(V$10*F$10)-1)*costos!$K$23)))</f>
        <v>136.56010754080512</v>
      </c>
      <c r="CR22" s="92">
        <f>CR$10*(1+((H22/H$10-1)*costos!$B$24+((I22*F22)/(I$10*F$10)-1)*costos!$E$24+((J22*F22)/((J$10*F$10)-1)*costos!$F$24/3+((K22*F22)/(K$10*F$10)-1)*costos!$F$24/3+((U22*F22)/(U$10*F$10)-1)*costos!$F$24/3+((L22*F22)/(L$10*F$10)-1)*costos!$G$24+((AO22)/(AO$10)-1)*costos!$J$24+((V22*F22)/(V$10*F$10)-1)*costos!$K$24)))</f>
        <v>131.11323150421134</v>
      </c>
      <c r="CS22" s="92">
        <f t="shared" si="62"/>
        <v>133.83666952250823</v>
      </c>
      <c r="CT22" s="92">
        <f>CT$10*(1+((H22/H$10-1)*costos!$B$25+((I22*F22)/(I$10*F$10)-1)*costos!$E$25+((J22*F22)/((J$10*F$10)-1)*costos!$F$25/3+((K22*F22)/(K$10*F$10)-1)*costos!$F$25/3+((U22*F22)/(U$10*F$10)-1)*costos!$F$25/3+((L22*F22)/(L$10*F$10)-1)*costos!$G$25+((AQ22)/(AQ$10)-1)*costos!$J$25+((V22*F22)/(V$10*F$10)-1)*costos!$K$25)))</f>
        <v>150.69622546777913</v>
      </c>
      <c r="CU22" s="92">
        <f>CU$10*(1+((H22/H$10-1)*costos!$B$26+((I22*F22)/(I$10*F$10)-1)*costos!$E$26+((J22*F22)/((J$10*F$10)-1)*costos!$F$26/3+((K22*F22)/(K$10*F$10)-1)*costos!$F$26/3+((U22*F22)/(U$10*F$10)-1)*costos!$F$26/3+((L22*F22)/(L$10*F$10)-1)*costos!$G$26+((AR22)/(AR$10)-1)*costos!$J$26+((V22*F22)/(V$10*F$10)-1)*costos!$K$26)))</f>
        <v>131.33348318562011</v>
      </c>
      <c r="CV22" s="92">
        <f>CV$10*(1+((H22/H$10-1)*costos!$B$27+((I22*F22)/(I$10*F$10)-1)*costos!$E$27+((J22*F22)/((J$10*F$10)-1)*costos!$F$27/3+((K22*F22)/(K$10*F$10)-1)*costos!$F$27/3+((U22*F22)/(U$10*F$10)-1)*costos!$F$27/3+((L22*F22)/(L$10*F$10)-1)*costos!$G$27+((AS22)/(AS$10)-1)*costos!$J$27+((V22*F22)/(V$10*F$10)-1)*costos!$K$27)))</f>
        <v>126.16123629717988</v>
      </c>
      <c r="CW22" s="92">
        <f>CW$10*(1+((H22/H$10-1)*costos!$B$28+((I22*F22)/(I$10*F$10)-1)*costos!$E$28+((J22*F22)/((J$10*F$10)-1)*costos!$F$28/3+((K22*F22)/(K$10*F$10)-1)*costos!$F$28/3+((U22*F22)/(U$10*F$10)-1)*costos!$F$28/3+((L22*F22)/(L$10*F$10)-1)*costos!$G$28+((AS22)/(AS$10)-1)*costos!$J$28+((V22*F22)/(V$10*F$10)-1)*costos!$K$28)))</f>
        <v>126.16123629717988</v>
      </c>
      <c r="CX22" s="92">
        <f t="shared" si="63"/>
        <v>127.88531859332663</v>
      </c>
      <c r="CY22" s="92">
        <f>CY$10*(1+((H22/H$10-1)*costos!$B$32+((I22*F22)/(I$10*F$10)-1)*costos!$E$32+((J22*F22)/((J$10*F$10)-1)*costos!$F$32/3+((K22*F22)/(K$10*F$10)-1)*costos!$F$32/3+((U22*F22)/(U$10*F$10)-1)*costos!$F$32/3+((L22*F22)/(L$10*F$10)-1)*costos!$G$32+((AG22)/(AG$10)-1)*costos!$J$32+((V22*F22)/(V$10*F$10)-1)*costos!$K$32)))</f>
        <v>134.1691947573041</v>
      </c>
      <c r="CZ22" s="69">
        <f>CZ$10*(1+((H22/H$10-1)*costos!$B$31+((I22*F22)/(I$10*F$10)-1)*costos!$E$30+((J22*F22)/((J$10*F$10)-1)*costos!$F$30/3+((K22*F22)/(K$10*F$10)-1)*costos!$F$30/3+((U22*F22)/(U$10*F$10)-1)*costos!$F$30/3+((L22*F22)/(L$10*F$10)-1)*costos!$G$30+((BG22)/(BG$10)-1)*costos!$J$30+((V22*F22)/(V$10*F$10)-1)*costos!$K$30)))</f>
        <v>141.45967763628661</v>
      </c>
      <c r="DA22" s="69">
        <f>DA$10*(1+((H22/H$10-1)*costos!$B$31+((I22*F22)/(I$10*F$10)-1)*costos!$E$31+((J22*F22)/((J$10*F$10)-1)*costos!$F$31/3+((K22*F22)/(K$10*F$10)-1)*costos!$F$31/3+((U22*F22)/(U$10*F$10)-1)*costos!$F$31/3+((L22*F22)/(L$10*F$10)-1)*costos!$G$31+((BJ22)/(BJ$10)-1)*costos!$J$31+((V22*F22)/(V$10*F$10)-1)*costos!$K$31)))</f>
        <v>133.78415509161309</v>
      </c>
      <c r="DB22" s="69">
        <f>DB$10*(1+((H22/H$10-1)*costos!$B$36+((I22*F22)/(I$10*F$10)-1)*costos!$E$36+((J22*F22)/((J$10*F$10)-1)*costos!$F$36/3+((K22*F22)/(K$10*F$10)-1)*costos!$F$36/3+((U22*F22)/(U$10*F$10)-1)*costos!$F$36/3+((L22*F22)/(L$10*F$10)-1)*costos!$G$36+((BK22)/(BK$10)-1)*costos!$J$36+((V22*F22)/(V$10*F$10)-1)*costos!$K$36)))</f>
        <v>131.24448829112603</v>
      </c>
      <c r="DC22" s="69">
        <f>DC$10*(1+((H22/H$10-1)*costos!$B$37+((I22*F22)/(I$10*F$10)-1)*costos!$E$37+((U22*F22)/(U$10*F$10)-1)*costos!$F$37+((L22*F22)/(L$10*F$10)-1)*costos!$G$37+((BN22)/(BN$10)-1)*costos!$J$37+((V22*F22)/(V$10*F$10)-1)*costos!$K$37))</f>
        <v>126.24793356157713</v>
      </c>
      <c r="DD22" s="69">
        <f>DD$10*(1+((H22/H$10-1)*costos!$B$39+((I22*F22)/(I$10*F$10)-1)*costos!$E$39+((U22*F22)/(U$10*F$10)-1)*costos!$F$39+((L22*F22)/(L$10*F$10)-1)*costos!$G$39+((BR22)/(BR$10)-1)*costos!$J$39+((V22*F22)/(V$10*F$10)-1)*costos!$K$39))</f>
        <v>124.44127707165956</v>
      </c>
      <c r="DE22" s="69">
        <f>DD$10*(1+((H22/H$10-1)*costos!$B$35+((I22*F22)/(I$10*F$10)-1)*costos!$E$35+((U22*F22)/(U$10*F$10)-1)*costos!$F$35+((L22*F22)/(L$10*F$10)-1)*costos!$G$35+((BR22)/(BR$10)-1)*costos!$J$35+((V22*F22)/(V$10*F$10)-1)*costos!$K$35))</f>
        <v>120.75717745309298</v>
      </c>
      <c r="DF22" s="69">
        <f>DF$10*(1+((H22/H$10-1)*costos!$B$40+((I22*F22)/(I$10*F$10)-1)*costos!$E$40+((U22*F22)/(U$10*F$10)-1)*costos!$F$40+((L22*F22)/(L$10*F$10)-1)*costos!$G$40+((BP22)/(BP$10)-1)*costos!$J$40+((V22*F22)/(V$10*F$10)-1)*costos!$K$40))</f>
        <v>122.11306277171592</v>
      </c>
      <c r="DG22" s="92">
        <f t="shared" si="64"/>
        <v>121.43512011240445</v>
      </c>
      <c r="DH22" s="69">
        <f>DH$10*(1+((H22/H$10-1)*costos!$B$34+((I22*F22)/(I$10*F$10)-1)*costos!$E$34+((J22*F22)/((J$10*F$10)-1)*costos!$F$34/3+((K22*F22)/(K$10*F$10)-1)*costos!$F$34/3+((U22*F22)/(U$10*F$10)-1)*costos!$F$34/3+((L22*F22)/(L$10*F$10)-1)*costos!$G$34+((BV22)/(BV$10)-1)*costos!$J$34+((V22*F22)/(V$10*F$10)-1)*costos!$K$34)))</f>
        <v>134.06497033625834</v>
      </c>
      <c r="DI22" s="69">
        <f>DI$10*(1+((H22/H$10-1)*costos!$B$38+((I22*F22)/(I$10*F$10)-1)*costos!$E$38+((J22*F22)/((J$10*F$10)-1)*costos!$F$38/3+((K22*F22)/(K$10*F$10)-1)*costos!$F$38/3+((U22*F22)/(U$10*F$10)-1)*costos!$F$38/3+((L22*F22)/(L$10*F$10)-1)*costos!$G$38+((BU22)/(BU$10)-1)*costos!$J$38+((V22*F22)/(V$10*F$10)-1)*costos!$K$38)))</f>
        <v>132.86622405187077</v>
      </c>
      <c r="DK22" s="1">
        <v>258900</v>
      </c>
      <c r="DL22" s="1" t="s">
        <v>106</v>
      </c>
      <c r="DM22" s="1">
        <v>206500</v>
      </c>
      <c r="DN22" s="1" t="s">
        <v>106</v>
      </c>
      <c r="DO22" s="1">
        <v>850000</v>
      </c>
      <c r="DP22" s="1" t="s">
        <v>106</v>
      </c>
      <c r="DQ22" s="1">
        <v>1700000</v>
      </c>
      <c r="DR22" s="1" t="s">
        <v>106</v>
      </c>
      <c r="DS22" s="1">
        <v>4900000</v>
      </c>
      <c r="DT22" s="1" t="s">
        <v>106</v>
      </c>
      <c r="DU22" s="1">
        <v>19200000</v>
      </c>
      <c r="DV22" s="1" t="s">
        <v>106</v>
      </c>
      <c r="DW22" s="1">
        <v>800000</v>
      </c>
      <c r="DX22" s="1" t="s">
        <v>106</v>
      </c>
      <c r="DY22" s="83">
        <v>6365000</v>
      </c>
      <c r="DZ22" s="83" t="str">
        <f t="shared" ref="DZ22:DZ25" si="148">+DZ21</f>
        <v>2016-17</v>
      </c>
      <c r="EA22" s="79">
        <f t="shared" si="67"/>
        <v>33815000</v>
      </c>
      <c r="EB22" s="1">
        <v>364191</v>
      </c>
      <c r="EC22" s="1" t="s">
        <v>106</v>
      </c>
      <c r="ED22" s="83">
        <f t="shared" ref="ED22:EE22" si="149">+ED21</f>
        <v>165327</v>
      </c>
      <c r="EE22" s="143">
        <f t="shared" si="149"/>
        <v>2016</v>
      </c>
      <c r="EF22" s="83">
        <v>220848</v>
      </c>
      <c r="EG22" s="143">
        <v>2017</v>
      </c>
      <c r="EH22" s="83">
        <v>54163380</v>
      </c>
      <c r="EI22" s="143">
        <v>2017</v>
      </c>
      <c r="EJ22" s="83">
        <v>5119438</v>
      </c>
      <c r="EK22" s="143">
        <v>2016</v>
      </c>
      <c r="EL22" s="82">
        <f t="shared" si="120"/>
        <v>14864321</v>
      </c>
      <c r="EM22" s="144">
        <f t="shared" si="120"/>
        <v>2016</v>
      </c>
      <c r="EN22" s="82">
        <f t="shared" si="120"/>
        <v>3499621</v>
      </c>
      <c r="EO22" s="144">
        <f t="shared" si="120"/>
        <v>2016</v>
      </c>
      <c r="EP22" s="82">
        <f t="shared" si="118"/>
        <v>6552</v>
      </c>
      <c r="EQ22" s="83">
        <v>3003036</v>
      </c>
      <c r="ER22" s="1">
        <v>33739</v>
      </c>
      <c r="ES22" s="82"/>
      <c r="ET22" s="83">
        <v>23614</v>
      </c>
      <c r="EU22" s="83">
        <v>16845</v>
      </c>
      <c r="EV22" s="83">
        <v>9213</v>
      </c>
      <c r="EW22" s="83">
        <v>17766</v>
      </c>
      <c r="EX22" s="79">
        <f t="shared" si="72"/>
        <v>67438</v>
      </c>
      <c r="EY22" s="1">
        <v>19284</v>
      </c>
      <c r="EZ22" s="82">
        <v>74845</v>
      </c>
      <c r="FA22" s="1">
        <v>20879</v>
      </c>
      <c r="FB22" s="1">
        <v>19496</v>
      </c>
      <c r="FC22" s="79">
        <f t="shared" si="73"/>
        <v>40375</v>
      </c>
      <c r="FD22" s="1">
        <v>65075.3</v>
      </c>
      <c r="FE22" s="1"/>
      <c r="FF22" s="82">
        <f t="shared" si="129"/>
        <v>708196</v>
      </c>
      <c r="FG22" s="82" t="str">
        <f t="shared" si="130"/>
        <v>2015-16</v>
      </c>
      <c r="FH22" s="82">
        <f t="shared" si="132"/>
        <v>1404980</v>
      </c>
      <c r="FI22" s="82" t="str">
        <f t="shared" si="132"/>
        <v>2015-16</v>
      </c>
      <c r="FJ22" s="1">
        <v>3000000</v>
      </c>
      <c r="FK22" s="1" t="s">
        <v>106</v>
      </c>
      <c r="FL22" s="1">
        <v>3500000</v>
      </c>
      <c r="FM22" s="1" t="s">
        <v>106</v>
      </c>
      <c r="FN22" s="82">
        <f>+FN21</f>
        <v>28000000</v>
      </c>
      <c r="FO22" s="82" t="str">
        <f>+FO21</f>
        <v>2015-16</v>
      </c>
      <c r="FP22" s="1">
        <v>53500000</v>
      </c>
      <c r="FQ22" s="1" t="s">
        <v>106</v>
      </c>
      <c r="FR22" s="82">
        <f>+FR21</f>
        <v>3400000</v>
      </c>
      <c r="FS22" s="82" t="str">
        <f>+FS21</f>
        <v>2015-16</v>
      </c>
      <c r="FT22" s="1">
        <v>18395000</v>
      </c>
      <c r="FU22" s="1" t="s">
        <v>106</v>
      </c>
      <c r="FV22" s="79">
        <f t="shared" si="76"/>
        <v>109795000</v>
      </c>
      <c r="FW22" s="82">
        <f t="shared" si="126"/>
        <v>1001113</v>
      </c>
      <c r="FX22" s="82" t="str">
        <f t="shared" si="127"/>
        <v>2015-16</v>
      </c>
      <c r="FY22" s="83">
        <v>18576.164000000001</v>
      </c>
      <c r="FZ22" s="79">
        <f t="shared" si="135"/>
        <v>816510.6669999999</v>
      </c>
      <c r="GA22" s="86" t="str">
        <f t="shared" si="136"/>
        <v>feb16 ene17</v>
      </c>
      <c r="GB22" s="1">
        <v>19652055</v>
      </c>
      <c r="GC22" s="6">
        <v>2017</v>
      </c>
      <c r="GD22" s="1">
        <v>1675851</v>
      </c>
      <c r="GE22" s="1">
        <v>459665</v>
      </c>
      <c r="GF22" s="1">
        <v>1024918</v>
      </c>
      <c r="GG22" s="1">
        <v>112337</v>
      </c>
      <c r="GH22" s="79">
        <f t="shared" si="78"/>
        <v>1596920</v>
      </c>
      <c r="GI22" s="82">
        <f t="shared" si="79"/>
        <v>1302556</v>
      </c>
      <c r="GJ22" s="83">
        <v>665408</v>
      </c>
      <c r="GK22" s="83">
        <v>660753</v>
      </c>
      <c r="GL22" s="83">
        <v>290290.46000000002</v>
      </c>
      <c r="GM22" s="1">
        <v>263224.75</v>
      </c>
      <c r="GN22" s="79">
        <f t="shared" si="81"/>
        <v>1879676.21</v>
      </c>
      <c r="GO22" s="83">
        <v>193430</v>
      </c>
      <c r="GP22" s="83">
        <v>76379</v>
      </c>
      <c r="GQ22" s="1"/>
      <c r="GR22" s="1">
        <f t="shared" ref="GR22:GR33" si="150">+GR21</f>
        <v>42700</v>
      </c>
      <c r="GS22" s="79">
        <f t="shared" si="83"/>
        <v>42700</v>
      </c>
      <c r="GT22" s="83">
        <v>2459310</v>
      </c>
      <c r="GU22" s="1">
        <v>29712</v>
      </c>
      <c r="GV22" s="1">
        <v>18856</v>
      </c>
      <c r="GW22" s="79">
        <f t="shared" ref="GW22:GW48" si="151">SUM(GU11:GV22)</f>
        <v>1175129.3333333335</v>
      </c>
      <c r="GX22" s="83">
        <v>32330.198</v>
      </c>
      <c r="GY22" s="83" t="s">
        <v>328</v>
      </c>
      <c r="GZ22" s="83">
        <v>117154</v>
      </c>
      <c r="HA22" s="1">
        <v>235000</v>
      </c>
      <c r="HB22" s="79">
        <f t="shared" si="137"/>
        <v>2663000</v>
      </c>
      <c r="HC22" s="86" t="str">
        <f t="shared" si="138"/>
        <v>feb16 ene17</v>
      </c>
      <c r="HD22" s="1">
        <v>43316</v>
      </c>
      <c r="HE22" s="79">
        <f t="shared" si="139"/>
        <v>526142</v>
      </c>
      <c r="HF22" s="86" t="str">
        <f t="shared" si="140"/>
        <v>feb16 ene17</v>
      </c>
      <c r="HG22" s="1">
        <v>173000</v>
      </c>
      <c r="HH22" s="79">
        <f t="shared" si="141"/>
        <v>2075000</v>
      </c>
      <c r="HI22" s="86" t="str">
        <f t="shared" si="142"/>
        <v>feb16 ene17</v>
      </c>
      <c r="HJ22" s="1">
        <v>101179</v>
      </c>
      <c r="HK22" s="79">
        <f t="shared" si="143"/>
        <v>6070.74</v>
      </c>
      <c r="HL22" s="86" t="str">
        <f t="shared" si="144"/>
        <v>feb16 ene17</v>
      </c>
      <c r="HM22" s="79">
        <f t="shared" si="86"/>
        <v>2081070.74</v>
      </c>
      <c r="HN22" s="87">
        <v>-5.9216528090390276E-2</v>
      </c>
      <c r="HO22" s="1">
        <f t="shared" ref="HO22:HO33" si="152">+HO10*(1+HN22)</f>
        <v>813683624.85462153</v>
      </c>
      <c r="HP22" s="79">
        <f t="shared" ref="HP22:HP85" si="153">+SUM(HO11:HO22)/1000000</f>
        <v>9844.083624854622</v>
      </c>
      <c r="HQ22" s="86" t="str">
        <f t="shared" si="145"/>
        <v>feb16 ene17</v>
      </c>
      <c r="HR22" s="3"/>
      <c r="HS22" s="1"/>
      <c r="HT22" s="1"/>
      <c r="HU22" s="83">
        <f t="shared" si="119"/>
        <v>650000</v>
      </c>
      <c r="HV22" s="83" t="str">
        <f t="shared" si="119"/>
        <v>2015-16</v>
      </c>
      <c r="HW22" s="1">
        <v>1430000</v>
      </c>
      <c r="HX22" s="1" t="s">
        <v>106</v>
      </c>
      <c r="HY22" s="1">
        <v>3350000</v>
      </c>
      <c r="HZ22" s="1" t="s">
        <v>106</v>
      </c>
      <c r="IA22" s="1">
        <f t="shared" si="113"/>
        <v>17210000</v>
      </c>
      <c r="IB22" s="1" t="str">
        <f>+IB21</f>
        <v>2015-16</v>
      </c>
      <c r="IC22" s="1">
        <v>50000000</v>
      </c>
      <c r="ID22" s="1" t="s">
        <v>107</v>
      </c>
      <c r="IE22" s="1">
        <f t="shared" si="115"/>
        <v>2600000</v>
      </c>
      <c r="IF22" s="1" t="s">
        <v>107</v>
      </c>
      <c r="IG22" s="1">
        <f t="shared" ref="IG22:IG32" si="154">5860000+900000</f>
        <v>6760000</v>
      </c>
      <c r="IH22" s="1" t="s">
        <v>106</v>
      </c>
      <c r="II22" s="79">
        <f t="shared" si="87"/>
        <v>81350000</v>
      </c>
      <c r="IJ22" s="97">
        <f t="shared" si="110"/>
        <v>1.6218070029006586</v>
      </c>
      <c r="IK22" s="1" t="s">
        <v>107</v>
      </c>
      <c r="IL22" s="7">
        <v>42.83</v>
      </c>
      <c r="IM22" s="7">
        <v>56.576366100865812</v>
      </c>
      <c r="IN22" s="7">
        <v>197</v>
      </c>
      <c r="IO22" s="695">
        <v>13.34</v>
      </c>
      <c r="IP22" s="98">
        <f>260309652/IP$2</f>
        <v>5.6020702831241165</v>
      </c>
      <c r="IQ22" s="93">
        <v>20.2</v>
      </c>
      <c r="IR22" s="93">
        <v>3.01</v>
      </c>
      <c r="IS22" s="93">
        <v>5.59</v>
      </c>
      <c r="IT22" s="93">
        <v>11.85</v>
      </c>
      <c r="IU22" s="93">
        <v>0.79</v>
      </c>
      <c r="IV22" s="94">
        <f t="shared" si="89"/>
        <v>18.229999999999997</v>
      </c>
      <c r="IW22" s="84"/>
      <c r="IX22" s="84"/>
      <c r="IY22" s="105">
        <v>1.84</v>
      </c>
      <c r="IZ22" s="161">
        <v>0.3</v>
      </c>
      <c r="JA22" s="570"/>
      <c r="JB22" s="84">
        <v>41.09</v>
      </c>
      <c r="JC22" s="84"/>
      <c r="JD22" s="84"/>
      <c r="JF22" s="2">
        <v>8.0049006899999995</v>
      </c>
      <c r="JG22" s="2">
        <v>17.256591100000001</v>
      </c>
      <c r="JH22" s="2">
        <v>123.55813289</v>
      </c>
      <c r="JI22" s="2">
        <v>44.158964429999997</v>
      </c>
      <c r="JJ22" s="2">
        <v>133.01195288000002</v>
      </c>
      <c r="JK22" s="2">
        <v>73.092611849999997</v>
      </c>
      <c r="JL22" s="2">
        <v>1157.6564469300001</v>
      </c>
      <c r="JM22" s="2">
        <v>2.5908723199999999</v>
      </c>
      <c r="JN22" s="2">
        <v>421.64554007999999</v>
      </c>
      <c r="JO22" s="2">
        <v>9.4870802999999988</v>
      </c>
      <c r="JP22" s="2">
        <v>0</v>
      </c>
      <c r="JQ22" s="2">
        <v>3.0999999999999999E-3</v>
      </c>
      <c r="JR22" s="2">
        <v>0.69072146000000001</v>
      </c>
      <c r="JS22" s="2">
        <v>0</v>
      </c>
      <c r="JT22" s="2">
        <v>0.58302361000000014</v>
      </c>
      <c r="JU22" s="2">
        <v>65.278231130000023</v>
      </c>
      <c r="JV22" s="2">
        <v>3.6097334599999993</v>
      </c>
      <c r="JW22" s="2">
        <v>9.3256632200000009</v>
      </c>
      <c r="JX22" s="2">
        <v>5.55325734</v>
      </c>
      <c r="JY22" s="2">
        <v>2.4499999999999999E-3</v>
      </c>
      <c r="JZ22" s="2">
        <v>1.5545219299999999</v>
      </c>
      <c r="KA22" s="2">
        <v>0.22677718999999999</v>
      </c>
      <c r="KB22" s="2">
        <v>18.36035923</v>
      </c>
      <c r="KC22" s="2">
        <v>19.182122780000004</v>
      </c>
      <c r="KD22" s="2">
        <v>2.8357371200000001</v>
      </c>
      <c r="KE22" s="2">
        <v>11.10220823</v>
      </c>
      <c r="KF22" s="2">
        <v>26.587185310000006</v>
      </c>
      <c r="KG22" s="2">
        <v>195.83830066000002</v>
      </c>
      <c r="KH22" s="2">
        <v>53.099989650000005</v>
      </c>
      <c r="KI22" s="2">
        <v>16.138216459999999</v>
      </c>
      <c r="KJ22" s="2">
        <v>1.4571473400000001</v>
      </c>
      <c r="KK22" s="2">
        <v>8.5568556000000022</v>
      </c>
      <c r="KL22" s="2">
        <v>0.46817503999999999</v>
      </c>
      <c r="KM22" s="2">
        <v>3.2307116300000005</v>
      </c>
      <c r="KN22" s="2">
        <v>4.4303079999999995E-2</v>
      </c>
      <c r="KO22" s="2">
        <v>0.57422459000000003</v>
      </c>
      <c r="KP22" s="2">
        <v>3.5404199999999999E-3</v>
      </c>
      <c r="KQ22" s="2">
        <v>1.55446817</v>
      </c>
      <c r="KR22" s="2">
        <v>1.8383000000000001E-4</v>
      </c>
      <c r="KS22" s="2">
        <v>0.16635008000000001</v>
      </c>
      <c r="KT22" s="2">
        <v>0.91455682999999999</v>
      </c>
      <c r="KU22" s="2">
        <v>0.29817945999999995</v>
      </c>
      <c r="KV22" s="2">
        <v>4.9163499999999999E-2</v>
      </c>
      <c r="KW22" s="2">
        <v>4.0692695099999998</v>
      </c>
      <c r="KX22" s="2">
        <v>0</v>
      </c>
      <c r="KY22" s="2">
        <v>0</v>
      </c>
      <c r="KZ22" s="2">
        <v>8.0867779200000012</v>
      </c>
      <c r="LA22" s="2">
        <v>0.99176248999999994</v>
      </c>
      <c r="LB22" s="2">
        <v>0</v>
      </c>
      <c r="LC22" s="2">
        <v>1.1831754800000001</v>
      </c>
      <c r="LD22" s="2">
        <v>4.2013250000000002E-2</v>
      </c>
      <c r="LE22" s="2">
        <v>0.55264952000000001</v>
      </c>
      <c r="LF22" s="2">
        <v>0.73362545000000012</v>
      </c>
      <c r="LG22" s="2">
        <v>16.281141040000001</v>
      </c>
      <c r="LH22" s="2">
        <v>7.1218980199999988</v>
      </c>
      <c r="LI22" s="2">
        <v>2.3659000000000001E-4</v>
      </c>
      <c r="LJ22" s="2">
        <v>7.3174500000000003E-2</v>
      </c>
      <c r="LK22" s="2">
        <v>3.93962506</v>
      </c>
      <c r="LL22" s="2">
        <v>2.0059154200000004</v>
      </c>
      <c r="LM22" s="2">
        <v>1.7480237199999997</v>
      </c>
      <c r="LN22" s="2">
        <v>0.35004655000000001</v>
      </c>
      <c r="LO22" s="2">
        <v>15.316888810000002</v>
      </c>
      <c r="LQ22" s="85">
        <f t="shared" si="90"/>
        <v>1882.6219095300003</v>
      </c>
      <c r="LR22" s="85">
        <f t="shared" si="91"/>
        <v>1.2768450700000002</v>
      </c>
      <c r="LS22" s="85">
        <f t="shared" si="92"/>
        <v>12.93539668</v>
      </c>
      <c r="LT22" s="85">
        <f t="shared" si="93"/>
        <v>1.78374912</v>
      </c>
      <c r="LU22" s="85">
        <f t="shared" si="94"/>
        <v>5.5702413800000006</v>
      </c>
      <c r="LV22" s="85">
        <f t="shared" si="95"/>
        <v>4.1184330099999995</v>
      </c>
      <c r="LW22" s="85">
        <f t="shared" si="96"/>
        <v>0.99176248999999994</v>
      </c>
      <c r="LX22" s="85">
        <f t="shared" si="97"/>
        <v>1.3282882200000001</v>
      </c>
      <c r="LZ22" s="131">
        <v>17.350000000000001</v>
      </c>
      <c r="MA22" s="171">
        <v>19.5</v>
      </c>
      <c r="MB22"/>
      <c r="MC22"/>
      <c r="MD22"/>
      <c r="MF22"/>
      <c r="MG22"/>
      <c r="MH22" s="83">
        <v>34.83</v>
      </c>
      <c r="MI22" s="83">
        <v>10.53</v>
      </c>
      <c r="MJ22" s="83">
        <v>12.45</v>
      </c>
      <c r="MK22"/>
      <c r="ML22" s="83">
        <v>13.16</v>
      </c>
      <c r="MM22" s="83">
        <v>19.54</v>
      </c>
      <c r="MN22" s="83"/>
      <c r="MO22" s="83">
        <v>17.23</v>
      </c>
      <c r="MP22" s="83">
        <v>36.630000000000003</v>
      </c>
      <c r="MQ22" s="83">
        <v>40.47</v>
      </c>
      <c r="MR22"/>
      <c r="MT22" s="83"/>
      <c r="MU22" s="83">
        <v>12.26</v>
      </c>
      <c r="MV22"/>
      <c r="MW22"/>
      <c r="MX22"/>
      <c r="MY22" s="83">
        <v>28.53</v>
      </c>
      <c r="MZ22" s="83">
        <v>81.400000000000006</v>
      </c>
      <c r="NA22" s="83">
        <v>34.200000000000003</v>
      </c>
      <c r="NB22" s="83">
        <v>115.15</v>
      </c>
      <c r="NC22" s="83">
        <v>18.600000000000001</v>
      </c>
      <c r="ND22"/>
      <c r="NE22" s="1">
        <v>108.67</v>
      </c>
    </row>
    <row r="23" spans="1:369">
      <c r="A23" s="38">
        <f t="shared" si="32"/>
        <v>42767</v>
      </c>
      <c r="B23" s="36">
        <v>2</v>
      </c>
      <c r="C23" s="36">
        <v>2017</v>
      </c>
      <c r="D23" s="36">
        <f t="shared" si="50"/>
        <v>23</v>
      </c>
      <c r="E23" s="38">
        <f t="shared" si="33"/>
        <v>42767</v>
      </c>
      <c r="F23" s="7">
        <v>15.794444444444443</v>
      </c>
      <c r="G23" s="7">
        <v>103.7</v>
      </c>
      <c r="H23" s="1">
        <f>[2]NACIONALES!$D11</f>
        <v>10368</v>
      </c>
      <c r="I23" s="7">
        <v>104</v>
      </c>
      <c r="J23" s="7">
        <v>410</v>
      </c>
      <c r="K23" s="7">
        <v>2.5</v>
      </c>
      <c r="L23" s="7">
        <v>37.799999999999997</v>
      </c>
      <c r="N23" s="5">
        <v>1.609</v>
      </c>
      <c r="O23" s="5">
        <v>1.4550000000000001</v>
      </c>
      <c r="P23" s="78">
        <f t="shared" si="34"/>
        <v>24.197088888888885</v>
      </c>
      <c r="Q23" s="6">
        <v>335</v>
      </c>
      <c r="R23" s="79">
        <f t="shared" si="35"/>
        <v>3350</v>
      </c>
      <c r="S23" s="6">
        <v>143.55555555555554</v>
      </c>
      <c r="T23" s="6">
        <v>299.44444444444446</v>
      </c>
      <c r="U23" s="143">
        <v>154.4388888888889</v>
      </c>
      <c r="V23" s="6">
        <v>265.42777777777775</v>
      </c>
      <c r="W23" s="6">
        <v>128.61111111111111</v>
      </c>
      <c r="X23" s="6">
        <v>170.75</v>
      </c>
      <c r="Y23" s="79">
        <f t="shared" si="36"/>
        <v>2267.3802469135799</v>
      </c>
      <c r="Z23" s="79">
        <f t="shared" si="37"/>
        <v>4729.5586419753081</v>
      </c>
      <c r="AA23" s="79">
        <f t="shared" si="38"/>
        <v>2439.2764506172839</v>
      </c>
      <c r="AB23" s="79">
        <f t="shared" si="39"/>
        <v>4192.2842901234562</v>
      </c>
      <c r="AC23" s="79">
        <f t="shared" si="40"/>
        <v>2031.3410493827159</v>
      </c>
      <c r="AD23" s="79">
        <f t="shared" si="41"/>
        <v>2696.9013888888885</v>
      </c>
      <c r="AE23" s="79">
        <f t="shared" si="42"/>
        <v>3059.4570113168716</v>
      </c>
      <c r="AF23" s="1">
        <v>10490.5</v>
      </c>
      <c r="AG23" s="1">
        <v>5100</v>
      </c>
      <c r="AH23" s="1">
        <v>19200</v>
      </c>
      <c r="AI23" s="5">
        <v>11.86</v>
      </c>
      <c r="AJ23" s="5">
        <v>3.48</v>
      </c>
      <c r="AK23" s="5">
        <v>4.68</v>
      </c>
      <c r="AL23" s="5">
        <v>4.26</v>
      </c>
      <c r="AM23" s="78">
        <f t="shared" si="43"/>
        <v>7.8339999999999996</v>
      </c>
      <c r="AN23" s="7">
        <v>475.39414414414415</v>
      </c>
      <c r="AO23" s="7">
        <v>248.39562499999997</v>
      </c>
      <c r="AP23" s="78">
        <f t="shared" si="146"/>
        <v>248.39562499999997</v>
      </c>
      <c r="AQ23" s="7">
        <v>518.63593749999995</v>
      </c>
      <c r="AR23" s="7">
        <v>177.5</v>
      </c>
      <c r="AS23" s="7">
        <v>90.645510204081631</v>
      </c>
      <c r="AT23" s="7">
        <v>359.42874999999998</v>
      </c>
      <c r="AU23" s="78">
        <f t="shared" si="53"/>
        <v>209.19142006802721</v>
      </c>
      <c r="AV23" s="7">
        <v>144.65016666666668</v>
      </c>
      <c r="AW23" s="7">
        <v>421.63777777777779</v>
      </c>
      <c r="AX23" s="7">
        <v>117.99555555555555</v>
      </c>
      <c r="AY23" s="7">
        <v>165.85695876288648</v>
      </c>
      <c r="AZ23" s="7">
        <v>127.34277777777778</v>
      </c>
      <c r="BA23" s="7">
        <v>58.767777777777773</v>
      </c>
      <c r="BB23" s="94">
        <f t="shared" si="45"/>
        <v>125.63520459462897</v>
      </c>
      <c r="BC23" s="68">
        <f>+BC22</f>
        <v>588</v>
      </c>
      <c r="BD23" s="68">
        <f t="shared" si="116"/>
        <v>684</v>
      </c>
      <c r="BE23" s="7">
        <f t="shared" si="55"/>
        <v>590</v>
      </c>
      <c r="BF23" s="7">
        <f t="shared" si="55"/>
        <v>390</v>
      </c>
      <c r="BG23" s="94">
        <f t="shared" si="56"/>
        <v>563</v>
      </c>
      <c r="BH23" s="7">
        <v>37.549999999999997</v>
      </c>
      <c r="BI23" s="7">
        <f t="shared" si="134"/>
        <v>10.766</v>
      </c>
      <c r="BJ23" s="78">
        <f t="shared" si="57"/>
        <v>48.315999999999995</v>
      </c>
      <c r="BK23" s="7">
        <v>29.605</v>
      </c>
      <c r="BL23" s="7">
        <v>29.605</v>
      </c>
      <c r="BM23" s="94">
        <f t="shared" si="58"/>
        <v>29.605</v>
      </c>
      <c r="BN23" s="5">
        <v>5.0199999999999996</v>
      </c>
      <c r="BO23" s="105">
        <v>21.122222222222224</v>
      </c>
      <c r="BP23" s="80">
        <v>11.797666666666666</v>
      </c>
      <c r="BQ23" s="94">
        <f t="shared" si="59"/>
        <v>20.189766666666667</v>
      </c>
      <c r="BR23" s="7">
        <v>19.100000000000001</v>
      </c>
      <c r="BS23" s="7">
        <v>75</v>
      </c>
      <c r="BT23" s="7">
        <v>43.06</v>
      </c>
      <c r="BU23" s="79">
        <f t="shared" si="147"/>
        <v>1029.18</v>
      </c>
      <c r="BV23" s="97">
        <v>30.5</v>
      </c>
      <c r="BW23" s="7"/>
      <c r="BY23" s="92">
        <f>BY$10*(1+((H23/H$10-1)*costos!$B$5+((I23*F23)/(I$10*F$10)-1)*costos!$E$5+((J23*F23)/((J$10*F$10)-1)*costos!$F$5/3+((K23*F23)/(K$10*F$10)-1)*costos!$F$5/3+((U23*F23)/(U$10*F$10)-1)*costos!$F$5/3+((L23*F23)/(L$10*F$10)-1)*costos!$G$5+((N23*F23)/(N$10*F$10)-1)*costos!$J$5+((V23*F23)/(V$10*F$10)-1)*costos!$K$5)))</f>
        <v>138.41723613570261</v>
      </c>
      <c r="BZ23" s="92">
        <f>$BZ$10*(1+((H23/$H$10-1)*costos!$B$6+((I23*F23)/($I$10*$F$10)-1)*costos!$E$6+((J23*F23)/(($J$10*$F$10)-1)*costos!$F$6/3+((K23*F23)/($K$10*$F$10)-1)*costos!$F$6/3+((U23*F23)/($U$10*$F$10)-1)*costos!$F$6/3+((L23*F23)/($L$10*$F$10)-1)*costos!$G$6+((Q23*F23)/($Q$10*$F$10)-1)*costos!$J$6+((V23*F23)/($V$10*$F$10)-1)*costos!$K$6)))</f>
        <v>126.99694652306859</v>
      </c>
      <c r="CA23" s="92">
        <f>CA$10*(1+((H23/H$10-1)*costos!$B$7+((I23*F23)/(I$10*F$10)-1)*costos!$E$7+((J23*F23)/((J$10*F$10)-1)*costos!$F$7/3+((K23*F23)/(K$10*F$10)-1)*costos!$F$7/3+((U23*F23)/(U$10*F$10)-1)*costos!$F$7/3+((L23*F23)/(L$10*F$10)-1)*costos!$G$7+((S23*F23)/(S$10*F$10)-1)*costos!$J$7+((V23*F23)/(V$10*F$10)-1)*costos!$K$7)))</f>
        <v>128.00728614618956</v>
      </c>
      <c r="CB23" s="92">
        <f>CB$10*(1+((H23/H$10-1)*costos!$B$8+((I23*F23)/(I$10*F$10)-1)*costos!$E$8+((J23*F23)/((J$10*F$10)-1)*costos!$F$8/3+((K23*F23)/(K$10*F$10)-1)*costos!$F$8/3+((U23*F23)/(U$10*F$10)-1)*costos!$F$8/3+((L23*F23)/(L$10*F$10)-1)*costos!$G$8+((T23*F23)/(T$10*F$10)-1)*costos!$J$8+((V23*F23)/(V$10*F$10)-1)*costos!$K$8)))</f>
        <v>131.17271446231388</v>
      </c>
      <c r="CC23" s="92">
        <f>CC$10*(1+((H23/H$10-1)*costos!$B$9+((I23*F23)/(I$10*F$10)-1)*costos!$E$9+((J23*F23)/((J$10*F$10)-1)*costos!$F$9/3+((K23*F23)/(K$10*F$10)-1)*costos!$F$9/3+((U23*F23)/(U$10*F$10)-1)*costos!$F$9/3+((L23*F23)/(L$10*F$10)-1)*costos!$G$9+((U23*F23)/(U$10*F$10)-1)*costos!$J$9+((V23*F23)/(V$10*F$10)-1)*costos!$K$9)))</f>
        <v>130.15638136957932</v>
      </c>
      <c r="CD23" s="92">
        <f>CD$10*(1+((H23/H$10-1)*costos!$B$11+((I23*F23)/(I$10*F$10)-1)*costos!$E$11+((J23*F23)/((J$10*F$10)-1)*costos!$F$11/3+((K23*F23)/(K$10*F$10)-1)*costos!$F$11/3+((U23*F23)/(U$10*F$10)-1)*costos!$F$11/3+((L23*F23)/(L$10*F$10)-1)*costos!$G$11+((V23*F23)/(V$10*F$10)-1)*costos!$J$11+((V23*F23)/(V$10*F$10)-1)*costos!$K$11)))</f>
        <v>131.61625201447333</v>
      </c>
      <c r="CE23" s="92">
        <f>CE$10*(1+((H23/H$10-1)*costos!$B$12+((I23*F23)/(I$10*F$10)-1)*costos!$E$12+((J23*F23)/((J$10*F$10)-1)*costos!$F$12/3+((K23*F23)/(K$10*F$10)-1)*costos!$F$12/3+((U23*F23)/(U$10*F$10)-1)*costos!$F$12/3+((L23*F23)/(L$10*F$10)-1)*costos!$G$12+((W23*F23)/(W$10*F$10)-1)*costos!$J$12+((V23*F23)/(V$10*F$10)-1)*costos!$K$12)))</f>
        <v>123.87047372864215</v>
      </c>
      <c r="CF23" s="92">
        <f>CF$10*(1+((H23/H$10-1)*costos!$B$13+((I23*F23)/(I$10*F$10)-1)*costos!$E$13+((J23*F23)/((J$10*F$10)-1)*costos!$F$13/3+((K23*F23)/(K$10*F$10)-1)*costos!$F$13/3+((U23*F23)/(U$10*F$10)-1)*costos!$F$13/3+((L23*F23)/(L$10*F$10)-1)*costos!$G$13+((X23*F23)/(X$10*F$10)-1)*costos!$J$13+((V23*F23)/(V$10*F$10)-1)*costos!$K$13)))</f>
        <v>133.5406325711472</v>
      </c>
      <c r="CG23" s="92">
        <f t="shared" si="60"/>
        <v>129.72729004872423</v>
      </c>
      <c r="CH23" s="92">
        <f>CH$10*(1+((H23/H$10-1)*costos!$B$10+((I23*F23)/(I$10*F$10)-1)*costos!$E$10+((J23*F23)/((J$10*F$10)-1)*costos!$F$10/3+((K23*F23)/(K$10*F$10)-1)*costos!$F$10/3+((U23*F23)/(U$10*F$10)-1)*costos!$F$10/3+((L23*F23)/(L$10*F$10)-1)*costos!$G$10+((AF23)/(AF$10)-1)*costos!$J$10+((V23*F23)/(V$10*F$10)-1)*costos!$K$10)))</f>
        <v>141.83320484705237</v>
      </c>
      <c r="CI23" s="92">
        <f>CI$10*(1+((H23/H$10-1)*costos!$B$15+((I23*F23)/(I$10*F$10)-1)*costos!$E$15+((J23*F23)/((J$10*F$10)-1)*costos!$F$15/3+((K23*F23)/(K$10*F$10)-1)*costos!$F$15/3+((U23*F23)/(U$10*F$10)-1)*costos!$F$15/3+((L23*F23)/(L$10*F$10)-1)*costos!$G$15+((AV23)/(AV$10)-1)*costos!$J$15+((V23*F23)/(V$10*F$10)-1)*costos!$K$15)))</f>
        <v>144.10423879797995</v>
      </c>
      <c r="CJ23" s="92">
        <f>CJ$10*(1+((H23/H$10-1)*costos!$B$16+((I23*F23)/(I$10*F$10)-1)*costos!$E$16+((J23*F23)/((J$10*F$10)-1)*costos!$F$16/3+((K23*F23)/(K$10*F$10)-1)*costos!$F$16/3+((U23*F23)/(U$10*F$10)-1)*costos!$F$16/3+((L23*F23)/(L$10*F$10)-1)*costos!$G$16+((AW23)/(AW$10)-1)*costos!$J$16+((V23*F23)/(V$10*F$10)-1)*costos!$K$16)))</f>
        <v>146.05637727307058</v>
      </c>
      <c r="CK23" s="92">
        <f>CK$10*(1+((H23/H$10-1)*costos!$B$17+((I23*F23)/(I$10*F$10)-1)*costos!$E$17+((J23*F23)/((J$10*F$10)-1)*costos!$F$17/3+((K23*F23)/(K$10*F$10)-1)*costos!$F$17/3+((U23*F23)/(U$10*F$10)-1)*costos!$F$17/3+((L23*F23)/(L$10*F$10)-1)*costos!$G$17+((AX23)/(AX$10)-1)*costos!$J$17+((V23*F23)/(V$10*F$10)-1)*costos!$K$17)))</f>
        <v>137.47079634905759</v>
      </c>
      <c r="CL23" s="92">
        <f>CL$10*(1+((H23/H$10-1)*costos!$B$18+((I23*F23)/(I$10*F$10)-1)*costos!$E$18+((J23*F23)/((J$10*F$10)-1)*costos!$F$18/3+((K23*F23)/(K$10*F$10)-1)*costos!$F$18/3+((U23*F23)/(U$10*F$10)-1)*costos!$F$18/3+((L23*F23)/(L$10*F$10)-1)*costos!$G$18+((AY23)/(AY$10)-1)*costos!$J$18+((V23*F23)/(V$10*F$10)-1)*costos!$K$18)))</f>
        <v>144.59459574206343</v>
      </c>
      <c r="CM23" s="92">
        <f>CM$10*(1+((H23/H$10-1)*costos!$B$19+((I23*F23)/(I$10*F$10)-1)*costos!$E$19+((J23*F23)/((J$10*F$10)-1)*costos!$F$19/3+((K23*F23)/(K$10*F$10)-1)*costos!$F$19/3+((U23*F23)/(U$10*F$10)-1)*costos!$F$19/3+((L23*F23)/(L$10*F$10)-1)*costos!$G$19+((AZ23)/(AZ$10)-1)*costos!$J$19+((V23*F23)/(V$10*F$10)-1)*costos!$K$19)))</f>
        <v>128.91761563113295</v>
      </c>
      <c r="CN23" s="92">
        <f>CN$10*(1+((H23/H$10-1)*costos!$B$20+((I23*F23)/(I$10*F$10)-1)*costos!$E$20+((J23*F23)/((J$10*F$10)-1)*costos!$F$20/3+((K23*F23)/(K$10*F$10)-1)*costos!$F$20/3+((U23*F23)/(U$10*F$10)-1)*costos!$F$20/3+((L23*F23)/(L$10*F$10)-1)*costos!$G$20+((BA23)/(BA$10)-1)*costos!$J$20+((V23*F23)/(V$10*F$10)-1)*costos!$K$20)))</f>
        <v>123.39792627470673</v>
      </c>
      <c r="CO23" s="92">
        <f t="shared" si="61"/>
        <v>133.59523349924018</v>
      </c>
      <c r="CP23" s="92">
        <f>CP$10*(1+((H23/H$10-1)*costos!$B$22+((I23*F23)/(I$10*F$10)-1)*costos!$E$22+((J23*F23)/((J$10*F$10)-1)*costos!$F$22/3+((K23*F23)/(K$10*F$10)-1)*costos!$F$22/3+((U23*F23)/(U$10*F$10)-1)*costos!$F$22/3+((L23*F23)/(L$10*F$10)-1)*costos!$G$22+(((AVERAGE(AI23:AL23))/((AVERAGE(AI$10:AL$10))-1)*costos!$J$22+((V23*F23)/(V$10*F$10)-1)*costos!$K$22)))))</f>
        <v>166.34943318666896</v>
      </c>
      <c r="CQ23" s="92">
        <f>CQ$10*(1+((H23/H$10-1)*costos!$B$23+((I23*F23)/(I$10*F$10)-1)*costos!$E$23+((J23*F23)/((J$10*F$10)-1)*costos!$F$23/3+((K23*F23)/(K$10*F$10)-1)*costos!$F$23/3+((U23*F23)/(U$10*F$10)-1)*costos!$F$23/3+((L23*F23)/(L$10*F$10)-1)*costos!$G$23+((AN23)/(AN$10)-1)*costos!$J$23+((V23*F23)/(V$10*F$10)-1)*costos!$K$23)))</f>
        <v>136.31181413091392</v>
      </c>
      <c r="CR23" s="92">
        <f>CR$10*(1+((H23/H$10-1)*costos!$B$24+((I23*F23)/(I$10*F$10)-1)*costos!$E$24+((J23*F23)/((J$10*F$10)-1)*costos!$F$24/3+((K23*F23)/(K$10*F$10)-1)*costos!$F$24/3+((U23*F23)/(U$10*F$10)-1)*costos!$F$24/3+((L23*F23)/(L$10*F$10)-1)*costos!$G$24+((AO23)/(AO$10)-1)*costos!$J$24+((V23*F23)/(V$10*F$10)-1)*costos!$K$24)))</f>
        <v>133.21388576853889</v>
      </c>
      <c r="CS23" s="92">
        <f t="shared" si="62"/>
        <v>134.76284994972639</v>
      </c>
      <c r="CT23" s="92">
        <f>CT$10*(1+((H23/H$10-1)*costos!$B$25+((I23*F23)/(I$10*F$10)-1)*costos!$E$25+((J23*F23)/((J$10*F$10)-1)*costos!$F$25/3+((K23*F23)/(K$10*F$10)-1)*costos!$F$25/3+((U23*F23)/(U$10*F$10)-1)*costos!$F$25/3+((L23*F23)/(L$10*F$10)-1)*costos!$G$25+((AQ23)/(AQ$10)-1)*costos!$J$25+((V23*F23)/(V$10*F$10)-1)*costos!$K$25)))</f>
        <v>149.66066681529566</v>
      </c>
      <c r="CU23" s="92">
        <f>CU$10*(1+((H23/H$10-1)*costos!$B$26+((I23*F23)/(I$10*F$10)-1)*costos!$E$26+((J23*F23)/((J$10*F$10)-1)*costos!$F$26/3+((K23*F23)/(K$10*F$10)-1)*costos!$F$26/3+((U23*F23)/(U$10*F$10)-1)*costos!$F$26/3+((L23*F23)/(L$10*F$10)-1)*costos!$G$26+((AR23)/(AR$10)-1)*costos!$J$26+((V23*F23)/(V$10*F$10)-1)*costos!$K$26)))</f>
        <v>130.03921307499752</v>
      </c>
      <c r="CV23" s="92">
        <f>CV$10*(1+((H23/H$10-1)*costos!$B$27+((I23*F23)/(I$10*F$10)-1)*costos!$E$27+((J23*F23)/((J$10*F$10)-1)*costos!$F$27/3+((K23*F23)/(K$10*F$10)-1)*costos!$F$27/3+((U23*F23)/(U$10*F$10)-1)*costos!$F$27/3+((L23*F23)/(L$10*F$10)-1)*costos!$G$27+((AS23)/(AS$10)-1)*costos!$J$27+((V23*F23)/(V$10*F$10)-1)*costos!$K$27)))</f>
        <v>124.01475793578788</v>
      </c>
      <c r="CW23" s="92">
        <f>CW$10*(1+((H23/H$10-1)*costos!$B$28+((I23*F23)/(I$10*F$10)-1)*costos!$E$28+((J23*F23)/((J$10*F$10)-1)*costos!$F$28/3+((K23*F23)/(K$10*F$10)-1)*costos!$F$28/3+((U23*F23)/(U$10*F$10)-1)*costos!$F$28/3+((L23*F23)/(L$10*F$10)-1)*costos!$G$28+((AS23)/(AS$10)-1)*costos!$J$28+((V23*F23)/(V$10*F$10)-1)*costos!$K$28)))</f>
        <v>124.01475793578788</v>
      </c>
      <c r="CX23" s="92">
        <f t="shared" si="63"/>
        <v>126.02290964885776</v>
      </c>
      <c r="CY23" s="92">
        <f>CY$10*(1+((H23/H$10-1)*costos!$B$32+((I23*F23)/(I$10*F$10)-1)*costos!$E$32+((J23*F23)/((J$10*F$10)-1)*costos!$F$32/3+((K23*F23)/(K$10*F$10)-1)*costos!$F$32/3+((U23*F23)/(U$10*F$10)-1)*costos!$F$32/3+((L23*F23)/(L$10*F$10)-1)*costos!$G$32+((AG23)/(AG$10)-1)*costos!$J$32+((V23*F23)/(V$10*F$10)-1)*costos!$K$32)))</f>
        <v>133.57617734264039</v>
      </c>
      <c r="CZ23" s="69">
        <f>CZ$10*(1+((H23/H$10-1)*costos!$B$31+((I23*F23)/(I$10*F$10)-1)*costos!$E$30+((J23*F23)/((J$10*F$10)-1)*costos!$F$30/3+((K23*F23)/(K$10*F$10)-1)*costos!$F$30/3+((U23*F23)/(U$10*F$10)-1)*costos!$F$30/3+((L23*F23)/(L$10*F$10)-1)*costos!$G$30+((BG23)/(BG$10)-1)*costos!$J$30+((V23*F23)/(V$10*F$10)-1)*costos!$K$30)))</f>
        <v>139.64534172888742</v>
      </c>
      <c r="DA23" s="69">
        <f>DA$10*(1+((H23/H$10-1)*costos!$B$31+((I23*F23)/(I$10*F$10)-1)*costos!$E$31+((J23*F23)/((J$10*F$10)-1)*costos!$F$31/3+((K23*F23)/(K$10*F$10)-1)*costos!$F$31/3+((U23*F23)/(U$10*F$10)-1)*costos!$F$31/3+((L23*F23)/(L$10*F$10)-1)*costos!$G$31+((BJ23)/(BJ$10)-1)*costos!$J$31+((V23*F23)/(V$10*F$10)-1)*costos!$K$31)))</f>
        <v>133.34860179416134</v>
      </c>
      <c r="DB23" s="69">
        <f>DB$10*(1+((H23/H$10-1)*costos!$B$36+((I23*F23)/(I$10*F$10)-1)*costos!$E$36+((J23*F23)/((J$10*F$10)-1)*costos!$F$36/3+((K23*F23)/(K$10*F$10)-1)*costos!$F$36/3+((U23*F23)/(U$10*F$10)-1)*costos!$F$36/3+((L23*F23)/(L$10*F$10)-1)*costos!$G$36+((BK23)/(BK$10)-1)*costos!$J$36+((V23*F23)/(V$10*F$10)-1)*costos!$K$36)))</f>
        <v>132.15163550043854</v>
      </c>
      <c r="DC23" s="69">
        <f>DC$10*(1+((H23/H$10-1)*costos!$B$37+((I23*F23)/(I$10*F$10)-1)*costos!$E$37+((U23*F23)/(U$10*F$10)-1)*costos!$F$37+((L23*F23)/(L$10*F$10)-1)*costos!$G$37+((BN23)/(BN$10)-1)*costos!$J$37+((V23*F23)/(V$10*F$10)-1)*costos!$K$37))</f>
        <v>125.6484600210169</v>
      </c>
      <c r="DD23" s="69">
        <f>DD$10*(1+((H23/H$10-1)*costos!$B$39+((I23*F23)/(I$10*F$10)-1)*costos!$E$39+((U23*F23)/(U$10*F$10)-1)*costos!$F$39+((L23*F23)/(L$10*F$10)-1)*costos!$G$39+((BR23)/(BR$10)-1)*costos!$J$39+((V23*F23)/(V$10*F$10)-1)*costos!$K$39))</f>
        <v>123.86398347038185</v>
      </c>
      <c r="DE23" s="69">
        <f>DD$10*(1+((H23/H$10-1)*costos!$B$35+((I23*F23)/(I$10*F$10)-1)*costos!$E$35+((U23*F23)/(U$10*F$10)-1)*costos!$F$35+((L23*F23)/(L$10*F$10)-1)*costos!$G$35+((BR23)/(BR$10)-1)*costos!$J$35+((V23*F23)/(V$10*F$10)-1)*costos!$K$35))</f>
        <v>121.06538968729576</v>
      </c>
      <c r="DF23" s="69">
        <f>DF$10*(1+((H23/H$10-1)*costos!$B$40+((I23*F23)/(I$10*F$10)-1)*costos!$E$40+((U23*F23)/(U$10*F$10)-1)*costos!$F$40+((L23*F23)/(L$10*F$10)-1)*costos!$G$40+((BP23)/(BP$10)-1)*costos!$J$40+((V23*F23)/(V$10*F$10)-1)*costos!$K$40))</f>
        <v>122.20384492560183</v>
      </c>
      <c r="DG23" s="92">
        <f t="shared" si="64"/>
        <v>121.6346173064488</v>
      </c>
      <c r="DH23" s="69">
        <f>DH$10*(1+((H23/H$10-1)*costos!$B$34+((I23*F23)/(I$10*F$10)-1)*costos!$E$34+((J23*F23)/((J$10*F$10)-1)*costos!$F$34/3+((K23*F23)/(K$10*F$10)-1)*costos!$F$34/3+((U23*F23)/(U$10*F$10)-1)*costos!$F$34/3+((L23*F23)/(L$10*F$10)-1)*costos!$G$34+((BV23)/(BV$10)-1)*costos!$J$34+((V23*F23)/(V$10*F$10)-1)*costos!$K$34)))</f>
        <v>135.62985219030134</v>
      </c>
      <c r="DI23" s="69">
        <f>DI$10*(1+((H23/H$10-1)*costos!$B$38+((I23*F23)/(I$10*F$10)-1)*costos!$E$38+((J23*F23)/((J$10*F$10)-1)*costos!$F$38/3+((K23*F23)/(K$10*F$10)-1)*costos!$F$38/3+((U23*F23)/(U$10*F$10)-1)*costos!$F$38/3+((L23*F23)/(L$10*F$10)-1)*costos!$G$38+((BU23)/(BU$10)-1)*costos!$J$38+((V23*F23)/(V$10*F$10)-1)*costos!$K$38)))</f>
        <v>133.64781369204519</v>
      </c>
      <c r="DK23" s="1">
        <v>258900</v>
      </c>
      <c r="DL23" s="1" t="s">
        <v>106</v>
      </c>
      <c r="DM23" s="82">
        <f t="shared" ref="DM23:DR34" si="155">+DM22</f>
        <v>206500</v>
      </c>
      <c r="DN23" s="82" t="str">
        <f t="shared" si="155"/>
        <v>2016-17</v>
      </c>
      <c r="DO23" s="82">
        <f t="shared" si="155"/>
        <v>850000</v>
      </c>
      <c r="DP23" s="82" t="str">
        <f t="shared" si="155"/>
        <v>2016-17</v>
      </c>
      <c r="DQ23" s="1">
        <v>1700000</v>
      </c>
      <c r="DR23" s="1" t="s">
        <v>106</v>
      </c>
      <c r="DS23" s="82">
        <f>+DS22</f>
        <v>4900000</v>
      </c>
      <c r="DT23" s="82" t="str">
        <f>+DT22</f>
        <v>2016-17</v>
      </c>
      <c r="DU23" s="82">
        <f>+DU22</f>
        <v>19200000</v>
      </c>
      <c r="DV23" s="82" t="str">
        <f>+DV22</f>
        <v>2016-17</v>
      </c>
      <c r="DW23" s="1">
        <v>800000</v>
      </c>
      <c r="DX23" s="1" t="s">
        <v>106</v>
      </c>
      <c r="DY23" s="83">
        <v>6365000</v>
      </c>
      <c r="DZ23" s="83" t="str">
        <f t="shared" si="148"/>
        <v>2016-17</v>
      </c>
      <c r="EA23" s="79">
        <f t="shared" si="67"/>
        <v>33815000</v>
      </c>
      <c r="EB23" s="82">
        <f t="shared" ref="EB23:EB32" si="156">+EB22</f>
        <v>364191</v>
      </c>
      <c r="EC23" s="82" t="str">
        <f t="shared" ref="EC23:EE32" si="157">+EC22</f>
        <v>2016-17</v>
      </c>
      <c r="ED23" s="83">
        <f t="shared" si="157"/>
        <v>165327</v>
      </c>
      <c r="EE23" s="143">
        <f t="shared" si="157"/>
        <v>2016</v>
      </c>
      <c r="EF23" s="83">
        <f t="shared" si="121"/>
        <v>220848</v>
      </c>
      <c r="EG23" s="143">
        <f t="shared" si="122"/>
        <v>2017</v>
      </c>
      <c r="EH23" s="83">
        <v>54163380</v>
      </c>
      <c r="EI23" s="143">
        <v>2017</v>
      </c>
      <c r="EJ23" s="83">
        <v>5119438</v>
      </c>
      <c r="EK23" s="143">
        <v>2016</v>
      </c>
      <c r="EL23" s="82">
        <f t="shared" si="120"/>
        <v>14864321</v>
      </c>
      <c r="EM23" s="144">
        <f t="shared" si="120"/>
        <v>2016</v>
      </c>
      <c r="EN23" s="82">
        <f t="shared" si="120"/>
        <v>3499621</v>
      </c>
      <c r="EO23" s="144">
        <f t="shared" si="120"/>
        <v>2016</v>
      </c>
      <c r="EP23" s="82">
        <f t="shared" si="118"/>
        <v>6552</v>
      </c>
      <c r="EQ23" s="83">
        <f t="shared" si="100"/>
        <v>3003036</v>
      </c>
      <c r="ER23" s="1">
        <v>33739</v>
      </c>
      <c r="ES23" s="82"/>
      <c r="ET23" s="83">
        <f t="shared" si="101"/>
        <v>23614</v>
      </c>
      <c r="EU23" s="83">
        <f t="shared" si="101"/>
        <v>16845</v>
      </c>
      <c r="EV23" s="83">
        <f t="shared" si="101"/>
        <v>9213</v>
      </c>
      <c r="EW23" s="83">
        <f t="shared" si="101"/>
        <v>17766</v>
      </c>
      <c r="EX23" s="79">
        <f t="shared" si="72"/>
        <v>67438</v>
      </c>
      <c r="EY23" s="1">
        <f t="shared" si="123"/>
        <v>19284</v>
      </c>
      <c r="EZ23" s="82">
        <f>+EZ22</f>
        <v>74845</v>
      </c>
      <c r="FA23" s="1">
        <f t="shared" si="103"/>
        <v>20879</v>
      </c>
      <c r="FB23" s="1">
        <f t="shared" si="103"/>
        <v>19496</v>
      </c>
      <c r="FC23" s="79">
        <f t="shared" si="73"/>
        <v>40375</v>
      </c>
      <c r="FD23" s="1">
        <f t="shared" ref="FD23:FD87" si="158">+FD22</f>
        <v>65075.3</v>
      </c>
      <c r="FE23" s="1"/>
      <c r="FF23" s="82">
        <f t="shared" si="129"/>
        <v>708196</v>
      </c>
      <c r="FG23" s="82" t="str">
        <f t="shared" si="130"/>
        <v>2015-16</v>
      </c>
      <c r="FH23" s="82">
        <f t="shared" si="132"/>
        <v>1404980</v>
      </c>
      <c r="FI23" s="82" t="str">
        <f t="shared" si="132"/>
        <v>2015-16</v>
      </c>
      <c r="FJ23" s="82">
        <f t="shared" ref="FJ23:FJ31" si="159">+FJ22</f>
        <v>3000000</v>
      </c>
      <c r="FK23" s="82" t="str">
        <f t="shared" ref="FK23:FK31" si="160">+FK22</f>
        <v>2016-17</v>
      </c>
      <c r="FL23" s="1">
        <v>3500000</v>
      </c>
      <c r="FM23" s="1" t="s">
        <v>106</v>
      </c>
      <c r="FN23" s="1">
        <v>37000000</v>
      </c>
      <c r="FO23" s="1" t="s">
        <v>106</v>
      </c>
      <c r="FP23" s="1">
        <v>54800000</v>
      </c>
      <c r="FQ23" s="1" t="s">
        <v>106</v>
      </c>
      <c r="FR23" s="1">
        <v>3200000</v>
      </c>
      <c r="FS23" s="1" t="s">
        <v>106</v>
      </c>
      <c r="FT23" s="1">
        <v>18395000</v>
      </c>
      <c r="FU23" s="83" t="str">
        <f t="shared" ref="FU23:FU31" si="161">+FU22</f>
        <v>2016-17</v>
      </c>
      <c r="FV23" s="79">
        <f t="shared" si="76"/>
        <v>119895000</v>
      </c>
      <c r="FW23" s="82">
        <f t="shared" si="126"/>
        <v>1001113</v>
      </c>
      <c r="FX23" s="82" t="str">
        <f t="shared" si="127"/>
        <v>2015-16</v>
      </c>
      <c r="FY23" s="83">
        <v>20274.127</v>
      </c>
      <c r="FZ23" s="79">
        <f t="shared" si="135"/>
        <v>806005.86099999992</v>
      </c>
      <c r="GA23" s="86" t="str">
        <f t="shared" si="136"/>
        <v>mar16 feb17</v>
      </c>
      <c r="GB23" s="1">
        <v>19652055</v>
      </c>
      <c r="GC23" s="6">
        <v>2017</v>
      </c>
      <c r="GD23" s="1">
        <f>+GD22</f>
        <v>1675851</v>
      </c>
      <c r="GE23" s="1">
        <v>459665</v>
      </c>
      <c r="GF23" s="1">
        <v>1024918</v>
      </c>
      <c r="GG23" s="1">
        <f>+GG22</f>
        <v>112337</v>
      </c>
      <c r="GH23" s="79">
        <f t="shared" si="78"/>
        <v>1596920</v>
      </c>
      <c r="GI23" s="82">
        <f t="shared" si="79"/>
        <v>1302556</v>
      </c>
      <c r="GJ23" s="83">
        <f t="shared" ref="GJ23:GM38" si="162">+GJ22</f>
        <v>665408</v>
      </c>
      <c r="GK23" s="83">
        <f t="shared" si="162"/>
        <v>660753</v>
      </c>
      <c r="GL23" s="83">
        <f t="shared" si="162"/>
        <v>290290.46000000002</v>
      </c>
      <c r="GM23" s="1">
        <f t="shared" si="162"/>
        <v>263224.75</v>
      </c>
      <c r="GN23" s="79">
        <f t="shared" si="81"/>
        <v>1879676.21</v>
      </c>
      <c r="GO23" s="83">
        <f t="shared" si="107"/>
        <v>193430</v>
      </c>
      <c r="GP23" s="83">
        <f t="shared" si="107"/>
        <v>76379</v>
      </c>
      <c r="GQ23" s="1"/>
      <c r="GR23" s="1">
        <f t="shared" si="150"/>
        <v>42700</v>
      </c>
      <c r="GS23" s="79">
        <f t="shared" si="83"/>
        <v>42700</v>
      </c>
      <c r="GT23" s="83">
        <f t="shared" si="108"/>
        <v>2459310</v>
      </c>
      <c r="GU23" s="1">
        <v>120566</v>
      </c>
      <c r="GV23" s="1">
        <v>38809</v>
      </c>
      <c r="GW23" s="79">
        <f t="shared" si="151"/>
        <v>1232089.666666667</v>
      </c>
      <c r="GX23" s="83">
        <v>32330.198</v>
      </c>
      <c r="GY23" s="83" t="s">
        <v>328</v>
      </c>
      <c r="GZ23" s="83">
        <f t="shared" si="109"/>
        <v>117154</v>
      </c>
      <c r="HA23" s="1">
        <v>199000</v>
      </c>
      <c r="HB23" s="79">
        <f t="shared" si="137"/>
        <v>2656000</v>
      </c>
      <c r="HC23" s="86" t="str">
        <f t="shared" si="138"/>
        <v>mar16 feb17</v>
      </c>
      <c r="HD23" s="1">
        <v>38333</v>
      </c>
      <c r="HE23" s="79">
        <f t="shared" si="139"/>
        <v>527033</v>
      </c>
      <c r="HF23" s="86" t="str">
        <f t="shared" si="140"/>
        <v>mar16 feb17</v>
      </c>
      <c r="HG23" s="1">
        <v>152000</v>
      </c>
      <c r="HH23" s="79">
        <f t="shared" si="141"/>
        <v>2086000</v>
      </c>
      <c r="HI23" s="86" t="str">
        <f t="shared" si="142"/>
        <v>mar16 feb17</v>
      </c>
      <c r="HJ23" s="1">
        <v>78542</v>
      </c>
      <c r="HK23" s="79">
        <f t="shared" si="143"/>
        <v>10783.26</v>
      </c>
      <c r="HL23" s="86" t="str">
        <f t="shared" si="144"/>
        <v>mar16 feb17</v>
      </c>
      <c r="HM23" s="79">
        <f t="shared" si="86"/>
        <v>2096783.26</v>
      </c>
      <c r="HN23" s="87">
        <v>-8.0884948564892256E-2</v>
      </c>
      <c r="HO23" s="1">
        <f t="shared" si="152"/>
        <v>735935421.68409073</v>
      </c>
      <c r="HP23" s="79">
        <f t="shared" si="153"/>
        <v>9779.3190465387142</v>
      </c>
      <c r="HQ23" s="86" t="str">
        <f t="shared" si="145"/>
        <v>mar16 feb17</v>
      </c>
      <c r="HR23" s="3"/>
      <c r="HS23" s="1"/>
      <c r="HT23" s="1"/>
      <c r="HU23" s="83">
        <f t="shared" si="119"/>
        <v>650000</v>
      </c>
      <c r="HV23" s="83" t="str">
        <f t="shared" si="119"/>
        <v>2015-16</v>
      </c>
      <c r="HW23" s="1">
        <v>1430000</v>
      </c>
      <c r="HX23" s="1" t="s">
        <v>106</v>
      </c>
      <c r="HY23" s="1">
        <v>3350000</v>
      </c>
      <c r="HZ23" s="1" t="s">
        <v>106</v>
      </c>
      <c r="IA23" s="1">
        <f t="shared" si="113"/>
        <v>17210000</v>
      </c>
      <c r="IB23" s="1" t="str">
        <f>+IB22</f>
        <v>2015-16</v>
      </c>
      <c r="IC23" s="1">
        <v>50000000</v>
      </c>
      <c r="ID23" s="1" t="s">
        <v>107</v>
      </c>
      <c r="IE23" s="1">
        <f t="shared" si="115"/>
        <v>2600000</v>
      </c>
      <c r="IF23" s="1" t="s">
        <v>107</v>
      </c>
      <c r="IG23" s="1">
        <f t="shared" si="154"/>
        <v>6760000</v>
      </c>
      <c r="IH23" s="1" t="s">
        <v>106</v>
      </c>
      <c r="II23" s="79">
        <f t="shared" si="87"/>
        <v>81350000</v>
      </c>
      <c r="IJ23" s="97">
        <f>(6280000*12)/$IJ$2</f>
        <v>1.6218070029006586</v>
      </c>
      <c r="IK23" s="1" t="s">
        <v>107</v>
      </c>
      <c r="IL23" s="7">
        <v>41.66</v>
      </c>
      <c r="IM23" s="7">
        <v>52.768112340660402</v>
      </c>
      <c r="IN23" s="7">
        <v>197</v>
      </c>
      <c r="IO23" s="695">
        <v>12.55</v>
      </c>
      <c r="IP23" s="98">
        <f t="shared" ref="IP23:IP33" si="163">260309652/IP$2</f>
        <v>5.6020702831241165</v>
      </c>
      <c r="IQ23" s="93">
        <v>20.2</v>
      </c>
      <c r="IR23" s="93">
        <f>+IR22</f>
        <v>3.01</v>
      </c>
      <c r="IS23" s="93">
        <f>+IS22</f>
        <v>5.59</v>
      </c>
      <c r="IT23" s="93">
        <f>+IT22</f>
        <v>11.85</v>
      </c>
      <c r="IU23" s="93">
        <f>+IU22</f>
        <v>0.79</v>
      </c>
      <c r="IV23" s="94">
        <f t="shared" si="89"/>
        <v>18.229999999999997</v>
      </c>
      <c r="IW23" s="84"/>
      <c r="IX23" s="84"/>
      <c r="IY23" s="105">
        <v>1.84</v>
      </c>
      <c r="IZ23" s="161">
        <v>0.3</v>
      </c>
      <c r="JA23" s="570"/>
      <c r="JB23" s="84">
        <v>41.09</v>
      </c>
      <c r="JC23" s="84"/>
      <c r="JD23" s="84"/>
      <c r="JF23" s="2">
        <v>6.1515159999999991</v>
      </c>
      <c r="JG23" s="2">
        <v>12.344520979999999</v>
      </c>
      <c r="JH23" s="2">
        <v>86.287829810000005</v>
      </c>
      <c r="JI23" s="2">
        <v>47.830961160000001</v>
      </c>
      <c r="JJ23" s="2">
        <v>71.720454730000043</v>
      </c>
      <c r="JK23" s="2">
        <v>66.350499060000004</v>
      </c>
      <c r="JL23" s="2">
        <v>921.13241823999999</v>
      </c>
      <c r="JM23" s="2">
        <v>6.26009438</v>
      </c>
      <c r="JN23" s="2">
        <v>368.66028889000006</v>
      </c>
      <c r="JO23" s="2">
        <v>13.279624499999999</v>
      </c>
      <c r="JP23" s="2">
        <v>0</v>
      </c>
      <c r="JQ23" s="2">
        <v>1.6740000000000001E-2</v>
      </c>
      <c r="JR23" s="2">
        <v>0.67175529</v>
      </c>
      <c r="JS23" s="2">
        <v>0</v>
      </c>
      <c r="JT23" s="2">
        <v>1.29039177</v>
      </c>
      <c r="JU23" s="2">
        <v>62.182694419999997</v>
      </c>
      <c r="JV23" s="2">
        <v>6.7309282699999997</v>
      </c>
      <c r="JW23" s="2">
        <v>59.068926579999996</v>
      </c>
      <c r="JX23" s="2">
        <v>4.0551400000000006</v>
      </c>
      <c r="JY23" s="2">
        <v>2.0160000000000001E-2</v>
      </c>
      <c r="JZ23" s="2">
        <v>1.6790544600000001</v>
      </c>
      <c r="KA23" s="2">
        <v>0.37856000000000001</v>
      </c>
      <c r="KB23" s="2">
        <v>16.27959517</v>
      </c>
      <c r="KC23" s="2">
        <v>18.328807019999999</v>
      </c>
      <c r="KD23" s="2">
        <v>8.3486820699999988</v>
      </c>
      <c r="KE23" s="2">
        <v>11.823120789999999</v>
      </c>
      <c r="KF23" s="2">
        <v>23.416537379999998</v>
      </c>
      <c r="KG23" s="2">
        <v>177.69376103000002</v>
      </c>
      <c r="KH23" s="2">
        <v>40.309378079999995</v>
      </c>
      <c r="KI23" s="2">
        <v>20.861902630000003</v>
      </c>
      <c r="KJ23" s="2">
        <v>1.2693953599999999</v>
      </c>
      <c r="KK23" s="2">
        <v>5.991540950000001</v>
      </c>
      <c r="KL23" s="2">
        <v>0.32589098999999999</v>
      </c>
      <c r="KM23" s="2">
        <v>3.4173930600000002</v>
      </c>
      <c r="KN23" s="2">
        <v>0.10582569999999999</v>
      </c>
      <c r="KO23" s="2">
        <v>0.13967291999999998</v>
      </c>
      <c r="KP23" s="2">
        <v>3.4409899999999997E-3</v>
      </c>
      <c r="KQ23" s="2">
        <v>93.971075639999995</v>
      </c>
      <c r="KR23" s="2">
        <v>0</v>
      </c>
      <c r="KS23" s="2">
        <v>0</v>
      </c>
      <c r="KT23" s="2">
        <v>2.6252512299999999</v>
      </c>
      <c r="KU23" s="2">
        <v>0.26624005000000001</v>
      </c>
      <c r="KV23" s="2">
        <v>0</v>
      </c>
      <c r="KW23" s="2">
        <v>2.1380783800000001</v>
      </c>
      <c r="KX23" s="2">
        <v>0</v>
      </c>
      <c r="KY23" s="2">
        <v>0</v>
      </c>
      <c r="KZ23" s="2">
        <v>6.9154136299999998</v>
      </c>
      <c r="LA23" s="2">
        <v>0.11680138999999999</v>
      </c>
      <c r="LB23" s="2">
        <v>2.1007999999999999E-2</v>
      </c>
      <c r="LC23" s="2">
        <v>0.68678843999999994</v>
      </c>
      <c r="LD23" s="2">
        <v>6.4996999999999997E-3</v>
      </c>
      <c r="LE23" s="2">
        <v>0.84433269</v>
      </c>
      <c r="LF23" s="2">
        <v>0.32110906</v>
      </c>
      <c r="LG23" s="2">
        <v>12.238041860000003</v>
      </c>
      <c r="LH23" s="2">
        <v>2.8459245800000001</v>
      </c>
      <c r="LI23" s="2">
        <v>7.4285500000000004E-2</v>
      </c>
      <c r="LJ23" s="2">
        <v>0</v>
      </c>
      <c r="LK23" s="2">
        <v>3.3450539199999998</v>
      </c>
      <c r="LL23" s="2">
        <v>2.8303497700000002</v>
      </c>
      <c r="LM23" s="2">
        <v>1.3503295</v>
      </c>
      <c r="LN23" s="2">
        <v>0.32703965000000002</v>
      </c>
      <c r="LO23" s="2">
        <v>9.3778137599999987</v>
      </c>
      <c r="LQ23" s="85">
        <f t="shared" si="90"/>
        <v>1501.8920472100003</v>
      </c>
      <c r="LR23" s="85">
        <f t="shared" si="91"/>
        <v>1.9788870599999999</v>
      </c>
      <c r="LS23" s="85">
        <f t="shared" si="92"/>
        <v>65.799854850000003</v>
      </c>
      <c r="LT23" s="85">
        <f t="shared" si="93"/>
        <v>2.0777744600000001</v>
      </c>
      <c r="LU23" s="85">
        <f t="shared" si="94"/>
        <v>97.633967319999996</v>
      </c>
      <c r="LV23" s="85">
        <f t="shared" si="95"/>
        <v>2.1380783800000001</v>
      </c>
      <c r="LW23" s="85">
        <f t="shared" si="96"/>
        <v>0.13780938999999998</v>
      </c>
      <c r="LX23" s="85">
        <f t="shared" si="97"/>
        <v>1.1719414500000001</v>
      </c>
      <c r="LZ23" s="131">
        <v>17.440000000000001</v>
      </c>
      <c r="MA23" s="171">
        <v>19.940000000000001</v>
      </c>
      <c r="MB23"/>
      <c r="MC23"/>
      <c r="MD23"/>
      <c r="MF23"/>
      <c r="MG23"/>
      <c r="MH23" s="83">
        <v>35.6</v>
      </c>
      <c r="MI23" s="83">
        <v>10.49</v>
      </c>
      <c r="MJ23" s="83">
        <v>13.67</v>
      </c>
      <c r="MK23"/>
      <c r="ML23" s="83">
        <v>12.36</v>
      </c>
      <c r="MM23" s="83">
        <v>22.36</v>
      </c>
      <c r="MN23" s="83"/>
      <c r="MO23" s="83">
        <v>15.11</v>
      </c>
      <c r="MP23" s="83">
        <v>37.229999999999997</v>
      </c>
      <c r="MQ23" s="83">
        <v>38.06</v>
      </c>
      <c r="MR23"/>
      <c r="MT23" s="83"/>
      <c r="MU23" s="83">
        <v>12.34</v>
      </c>
      <c r="MV23"/>
      <c r="MW23"/>
      <c r="MX23"/>
      <c r="MY23" s="83">
        <v>28.91</v>
      </c>
      <c r="MZ23" s="83">
        <v>83.9</v>
      </c>
      <c r="NA23" s="83">
        <v>34.6</v>
      </c>
      <c r="NB23" s="83">
        <v>114.64</v>
      </c>
      <c r="NC23" s="83">
        <v>18.86</v>
      </c>
      <c r="ND23"/>
      <c r="NE23" s="1">
        <v>106.79</v>
      </c>
    </row>
    <row r="24" spans="1:369">
      <c r="A24" s="38">
        <f t="shared" si="32"/>
        <v>42795</v>
      </c>
      <c r="B24" s="36">
        <v>3</v>
      </c>
      <c r="C24" s="36">
        <v>2017</v>
      </c>
      <c r="D24" s="36">
        <f t="shared" si="50"/>
        <v>24</v>
      </c>
      <c r="E24" s="38">
        <f t="shared" si="33"/>
        <v>42795</v>
      </c>
      <c r="F24" s="7">
        <v>15.715909090909093</v>
      </c>
      <c r="G24" s="7">
        <v>106.1</v>
      </c>
      <c r="H24" s="1">
        <f>[2]NACIONALES!$D12</f>
        <v>10368</v>
      </c>
      <c r="I24" s="7">
        <v>106</v>
      </c>
      <c r="J24" s="7">
        <v>410</v>
      </c>
      <c r="K24" s="7">
        <v>2.6</v>
      </c>
      <c r="L24" s="7">
        <v>38.6</v>
      </c>
      <c r="N24" s="5">
        <v>1.6573181818181817</v>
      </c>
      <c r="O24" s="5">
        <v>1.5029999999999999</v>
      </c>
      <c r="P24" s="78">
        <f t="shared" si="34"/>
        <v>24.83363662190083</v>
      </c>
      <c r="Q24" s="6">
        <v>365</v>
      </c>
      <c r="R24" s="79">
        <f t="shared" si="35"/>
        <v>3650</v>
      </c>
      <c r="S24" s="6">
        <v>141.86363636363637</v>
      </c>
      <c r="T24" s="6">
        <v>285.81818181818181</v>
      </c>
      <c r="U24" s="143">
        <v>149.87727272727273</v>
      </c>
      <c r="V24" s="6">
        <v>246.09545454545452</v>
      </c>
      <c r="W24" s="6">
        <v>125.18181818181819</v>
      </c>
      <c r="X24" s="6">
        <v>165.61363636363637</v>
      </c>
      <c r="Y24" s="79">
        <f t="shared" si="36"/>
        <v>2229.5160123966948</v>
      </c>
      <c r="Z24" s="79">
        <f t="shared" si="37"/>
        <v>4491.8925619834718</v>
      </c>
      <c r="AA24" s="79">
        <f t="shared" si="38"/>
        <v>2355.4575929752068</v>
      </c>
      <c r="AB24" s="79">
        <f t="shared" si="39"/>
        <v>3867.6137913223142</v>
      </c>
      <c r="AC24" s="79">
        <f t="shared" si="40"/>
        <v>1967.3460743801656</v>
      </c>
      <c r="AD24" s="79">
        <f t="shared" si="41"/>
        <v>2602.7688533057858</v>
      </c>
      <c r="AE24" s="79">
        <f t="shared" si="42"/>
        <v>2919.0991477272728</v>
      </c>
      <c r="AF24" s="1">
        <v>10285.90909090909</v>
      </c>
      <c r="AG24" s="1">
        <v>5100</v>
      </c>
      <c r="AH24" s="1">
        <v>19200</v>
      </c>
      <c r="AI24" s="5">
        <v>11.71</v>
      </c>
      <c r="AJ24" s="5">
        <v>5.5</v>
      </c>
      <c r="AK24" s="5">
        <v>4.55</v>
      </c>
      <c r="AL24" s="5">
        <v>4.55</v>
      </c>
      <c r="AM24" s="78">
        <f t="shared" si="43"/>
        <v>7.8815999999999997</v>
      </c>
      <c r="AN24" s="7">
        <v>484.40909090909093</v>
      </c>
      <c r="AO24" s="7">
        <v>210.58909090909091</v>
      </c>
      <c r="AP24" s="78">
        <f t="shared" si="146"/>
        <v>210.58909090909091</v>
      </c>
      <c r="AQ24" s="7">
        <v>336.31944444444446</v>
      </c>
      <c r="AR24" s="7">
        <v>153</v>
      </c>
      <c r="AS24" s="7">
        <v>111.43564356435644</v>
      </c>
      <c r="AT24" s="7">
        <v>334.35636363636365</v>
      </c>
      <c r="AU24" s="78">
        <f t="shared" si="53"/>
        <v>199.59733573357335</v>
      </c>
      <c r="AV24" s="7">
        <v>134.68030303030307</v>
      </c>
      <c r="AW24" s="7">
        <v>379.62772727272733</v>
      </c>
      <c r="AX24" s="7">
        <v>105.94545454545455</v>
      </c>
      <c r="AY24" s="7">
        <v>175.39032000000006</v>
      </c>
      <c r="AZ24" s="7">
        <v>137.91227272727269</v>
      </c>
      <c r="BA24" s="7">
        <v>62.577090909090913</v>
      </c>
      <c r="BB24" s="94">
        <f t="shared" si="45"/>
        <v>129.15913434343435</v>
      </c>
      <c r="BC24" s="68">
        <f>+BC23</f>
        <v>588</v>
      </c>
      <c r="BD24" s="68">
        <f t="shared" si="116"/>
        <v>684</v>
      </c>
      <c r="BE24" s="7">
        <v>660</v>
      </c>
      <c r="BF24" s="7">
        <v>400</v>
      </c>
      <c r="BG24" s="94">
        <f t="shared" si="56"/>
        <v>583</v>
      </c>
      <c r="BH24" s="7">
        <v>37.549999999999997</v>
      </c>
      <c r="BI24" s="7">
        <f t="shared" si="134"/>
        <v>10.766</v>
      </c>
      <c r="BJ24" s="78">
        <f t="shared" si="57"/>
        <v>48.315999999999995</v>
      </c>
      <c r="BK24" s="7">
        <v>32.026000000000003</v>
      </c>
      <c r="BL24" s="7">
        <v>32.026000000000003</v>
      </c>
      <c r="BM24" s="94">
        <f t="shared" si="58"/>
        <v>32.026000000000003</v>
      </c>
      <c r="BN24" s="5">
        <v>5.15</v>
      </c>
      <c r="BO24" s="105">
        <v>24.304545454545448</v>
      </c>
      <c r="BP24" s="80">
        <v>12.902166666666668</v>
      </c>
      <c r="BQ24" s="94">
        <f t="shared" si="59"/>
        <v>23.164307575757569</v>
      </c>
      <c r="BR24" s="7">
        <v>19.079999999999998</v>
      </c>
      <c r="BS24" s="7">
        <v>75</v>
      </c>
      <c r="BT24" s="7">
        <v>45.32</v>
      </c>
      <c r="BU24" s="79">
        <f t="shared" si="147"/>
        <v>1035.96</v>
      </c>
      <c r="BV24" s="97">
        <v>32.1</v>
      </c>
      <c r="BW24" s="7"/>
      <c r="BY24" s="92">
        <f>BY$10*(1+((H24/H$10-1)*costos!$B$5+((I24*F24)/(I$10*F$10)-1)*costos!$E$5+((J24*F24)/((J$10*F$10)-1)*costos!$F$5/3+((K24*F24)/(K$10*F$10)-1)*costos!$F$5/3+((U24*F24)/(U$10*F$10)-1)*costos!$F$5/3+((L24*F24)/(L$10*F$10)-1)*costos!$G$5+((N24*F24)/(N$10*F$10)-1)*costos!$J$5+((V24*F24)/(V$10*F$10)-1)*costos!$K$5)))</f>
        <v>138.38121304718342</v>
      </c>
      <c r="BZ24" s="92">
        <f>$BZ$10*(1+((H24/$H$10-1)*costos!$B$6+((I24*F24)/($I$10*$F$10)-1)*costos!$E$6+((J24*F24)/(($J$10*$F$10)-1)*costos!$F$6/3+((K24*F24)/($K$10*$F$10)-1)*costos!$F$6/3+((U24*F24)/($U$10*$F$10)-1)*costos!$F$6/3+((L24*F24)/($L$10*$F$10)-1)*costos!$G$6+((Q24*F24)/($Q$10*$F$10)-1)*costos!$J$6+((V24*F24)/($V$10*$F$10)-1)*costos!$K$6)))</f>
        <v>126.01704698123999</v>
      </c>
      <c r="CA24" s="92">
        <f>CA$10*(1+((H24/H$10-1)*costos!$B$7+((I24*F24)/(I$10*F$10)-1)*costos!$E$7+((J24*F24)/((J$10*F$10)-1)*costos!$F$7/3+((K24*F24)/(K$10*F$10)-1)*costos!$F$7/3+((U24*F24)/(U$10*F$10)-1)*costos!$F$7/3+((L24*F24)/(L$10*F$10)-1)*costos!$G$7+((S24*F24)/(S$10*F$10)-1)*costos!$J$7+((V24*F24)/(V$10*F$10)-1)*costos!$K$7)))</f>
        <v>125.27392347370335</v>
      </c>
      <c r="CB24" s="92">
        <f>CB$10*(1+((H24/H$10-1)*costos!$B$8+((I24*F24)/(I$10*F$10)-1)*costos!$E$8+((J24*F24)/((J$10*F$10)-1)*costos!$F$8/3+((K24*F24)/(K$10*F$10)-1)*costos!$F$8/3+((U24*F24)/(U$10*F$10)-1)*costos!$F$8/3+((L24*F24)/(L$10*F$10)-1)*costos!$G$8+((T24*F24)/(T$10*F$10)-1)*costos!$J$8+((V24*F24)/(V$10*F$10)-1)*costos!$K$8)))</f>
        <v>126.91109271939294</v>
      </c>
      <c r="CC24" s="92">
        <f>CC$10*(1+((H24/H$10-1)*costos!$B$9+((I24*F24)/(I$10*F$10)-1)*costos!$E$9+((J24*F24)/((J$10*F$10)-1)*costos!$F$9/3+((K24*F24)/(K$10*F$10)-1)*costos!$F$9/3+((U24*F24)/(U$10*F$10)-1)*costos!$F$9/3+((L24*F24)/(L$10*F$10)-1)*costos!$G$9+((U24*F24)/(U$10*F$10)-1)*costos!$J$9+((V24*F24)/(V$10*F$10)-1)*costos!$K$9)))</f>
        <v>127.4546354023538</v>
      </c>
      <c r="CD24" s="92">
        <f>CD$10*(1+((H24/H$10-1)*costos!$B$11+((I24*F24)/(I$10*F$10)-1)*costos!$E$11+((J24*F24)/((J$10*F$10)-1)*costos!$F$11/3+((K24*F24)/(K$10*F$10)-1)*costos!$F$11/3+((U24*F24)/(U$10*F$10)-1)*costos!$F$11/3+((L24*F24)/(L$10*F$10)-1)*costos!$G$11+((V24*F24)/(V$10*F$10)-1)*costos!$J$11+((V24*F24)/(V$10*F$10)-1)*costos!$K$11)))</f>
        <v>125.74071611183393</v>
      </c>
      <c r="CE24" s="92">
        <f>CE$10*(1+((H24/H$10-1)*costos!$B$12+((I24*F24)/(I$10*F$10)-1)*costos!$E$12+((J24*F24)/((J$10*F$10)-1)*costos!$F$12/3+((K24*F24)/(K$10*F$10)-1)*costos!$F$12/3+((U24*F24)/(U$10*F$10)-1)*costos!$F$12/3+((L24*F24)/(L$10*F$10)-1)*costos!$G$12+((W24*F24)/(W$10*F$10)-1)*costos!$J$12+((V24*F24)/(V$10*F$10)-1)*costos!$K$12)))</f>
        <v>122.04004414551981</v>
      </c>
      <c r="CF24" s="92">
        <f>CF$10*(1+((H24/H$10-1)*costos!$B$13+((I24*F24)/(I$10*F$10)-1)*costos!$E$13+((J24*F24)/((J$10*F$10)-1)*costos!$F$13/3+((K24*F24)/(K$10*F$10)-1)*costos!$F$13/3+((U24*F24)/(U$10*F$10)-1)*costos!$F$13/3+((L24*F24)/(L$10*F$10)-1)*costos!$G$13+((X24*F24)/(X$10*F$10)-1)*costos!$J$13+((V24*F24)/(V$10*F$10)-1)*costos!$K$13)))</f>
        <v>130.18272855174766</v>
      </c>
      <c r="CG24" s="92">
        <f t="shared" si="60"/>
        <v>126.26719006742526</v>
      </c>
      <c r="CH24" s="92">
        <f>CH$10*(1+((H24/H$10-1)*costos!$B$10+((I24*F24)/(I$10*F$10)-1)*costos!$E$10+((J24*F24)/((J$10*F$10)-1)*costos!$F$10/3+((K24*F24)/(K$10*F$10)-1)*costos!$F$10/3+((U24*F24)/(U$10*F$10)-1)*costos!$F$10/3+((L24*F24)/(L$10*F$10)-1)*costos!$G$10+((AF24)/(AF$10)-1)*costos!$J$10+((V24*F24)/(V$10*F$10)-1)*costos!$K$10)))</f>
        <v>138.53392926719218</v>
      </c>
      <c r="CI24" s="92">
        <f>CI$10*(1+((H24/H$10-1)*costos!$B$15+((I24*F24)/(I$10*F$10)-1)*costos!$E$15+((J24*F24)/((J$10*F$10)-1)*costos!$F$15/3+((K24*F24)/(K$10*F$10)-1)*costos!$F$15/3+((U24*F24)/(U$10*F$10)-1)*costos!$F$15/3+((L24*F24)/(L$10*F$10)-1)*costos!$G$15+((AV24)/(AV$10)-1)*costos!$J$15+((V24*F24)/(V$10*F$10)-1)*costos!$K$15)))</f>
        <v>142.1202854557587</v>
      </c>
      <c r="CJ24" s="92">
        <f>CJ$10*(1+((H24/H$10-1)*costos!$B$16+((I24*F24)/(I$10*F$10)-1)*costos!$E$16+((J24*F24)/((J$10*F$10)-1)*costos!$F$16/3+((K24*F24)/(K$10*F$10)-1)*costos!$F$16/3+((U24*F24)/(U$10*F$10)-1)*costos!$F$16/3+((L24*F24)/(L$10*F$10)-1)*costos!$G$16+((AW24)/(AW$10)-1)*costos!$J$16+((V24*F24)/(V$10*F$10)-1)*costos!$K$16)))</f>
        <v>142.79100470064111</v>
      </c>
      <c r="CK24" s="92">
        <f>CK$10*(1+((H24/H$10-1)*costos!$B$17+((I24*F24)/(I$10*F$10)-1)*costos!$E$17+((J24*F24)/((J$10*F$10)-1)*costos!$F$17/3+((K24*F24)/(K$10*F$10)-1)*costos!$F$17/3+((U24*F24)/(U$10*F$10)-1)*costos!$F$17/3+((L24*F24)/(L$10*F$10)-1)*costos!$G$17+((AX24)/(AX$10)-1)*costos!$J$17+((V24*F24)/(V$10*F$10)-1)*costos!$K$17)))</f>
        <v>134.94967775624772</v>
      </c>
      <c r="CL24" s="92">
        <f>CL$10*(1+((H24/H$10-1)*costos!$B$18+((I24*F24)/(I$10*F$10)-1)*costos!$E$18+((J24*F24)/((J$10*F$10)-1)*costos!$F$18/3+((K24*F24)/(K$10*F$10)-1)*costos!$F$18/3+((U24*F24)/(U$10*F$10)-1)*costos!$F$18/3+((L24*F24)/(L$10*F$10)-1)*costos!$G$18+((AY24)/(AY$10)-1)*costos!$J$18+((V24*F24)/(V$10*F$10)-1)*costos!$K$18)))</f>
        <v>146.53525617191372</v>
      </c>
      <c r="CM24" s="92">
        <f>CM$10*(1+((H24/H$10-1)*costos!$B$19+((I24*F24)/(I$10*F$10)-1)*costos!$E$19+((J24*F24)/((J$10*F$10)-1)*costos!$F$19/3+((K24*F24)/(K$10*F$10)-1)*costos!$F$19/3+((U24*F24)/(U$10*F$10)-1)*costos!$F$19/3+((L24*F24)/(L$10*F$10)-1)*costos!$G$19+((AZ24)/(AZ$10)-1)*costos!$J$19+((V24*F24)/(V$10*F$10)-1)*costos!$K$19)))</f>
        <v>131.76290355194197</v>
      </c>
      <c r="CN24" s="92">
        <f>CN$10*(1+((H24/H$10-1)*costos!$B$20+((I24*F24)/(I$10*F$10)-1)*costos!$E$20+((J24*F24)/((J$10*F$10)-1)*costos!$F$20/3+((K24*F24)/(K$10*F$10)-1)*costos!$F$20/3+((U24*F24)/(U$10*F$10)-1)*costos!$F$20/3+((L24*F24)/(L$10*F$10)-1)*costos!$G$20+((BA24)/(BA$10)-1)*costos!$J$20+((V24*F24)/(V$10*F$10)-1)*costos!$K$20)))</f>
        <v>124.55711996466037</v>
      </c>
      <c r="CO24" s="92">
        <f t="shared" si="61"/>
        <v>134.45123936119094</v>
      </c>
      <c r="CP24" s="92">
        <f>CP$10*(1+((H24/H$10-1)*costos!$B$22+((I24*F24)/(I$10*F$10)-1)*costos!$E$22+((J24*F24)/((J$10*F$10)-1)*costos!$F$22/3+((K24*F24)/(K$10*F$10)-1)*costos!$F$22/3+((U24*F24)/(U$10*F$10)-1)*costos!$F$22/3+((L24*F24)/(L$10*F$10)-1)*costos!$G$22+(((AVERAGE(AI24:AL24))/((AVERAGE(AI$10:AL$10))-1)*costos!$J$22+((V24*F24)/(V$10*F$10)-1)*costos!$K$22)))))</f>
        <v>169.84343573213857</v>
      </c>
      <c r="CQ24" s="92">
        <f>CQ$10*(1+((H24/H$10-1)*costos!$B$23+((I24*F24)/(I$10*F$10)-1)*costos!$E$23+((J24*F24)/((J$10*F$10)-1)*costos!$F$23/3+((K24*F24)/(K$10*F$10)-1)*costos!$F$23/3+((U24*F24)/(U$10*F$10)-1)*costos!$F$23/3+((L24*F24)/(L$10*F$10)-1)*costos!$G$23+((AN24)/(AN$10)-1)*costos!$J$23+((V24*F24)/(V$10*F$10)-1)*costos!$K$23)))</f>
        <v>137.00474661677222</v>
      </c>
      <c r="CR24" s="92">
        <f>CR$10*(1+((H24/H$10-1)*costos!$B$24+((I24*F24)/(I$10*F$10)-1)*costos!$E$24+((J24*F24)/((J$10*F$10)-1)*costos!$F$24/3+((K24*F24)/(K$10*F$10)-1)*costos!$F$24/3+((U24*F24)/(U$10*F$10)-1)*costos!$F$24/3+((L24*F24)/(L$10*F$10)-1)*costos!$G$24+((AO24)/(AO$10)-1)*costos!$J$24+((V24*F24)/(V$10*F$10)-1)*costos!$K$24)))</f>
        <v>130.27284976390763</v>
      </c>
      <c r="CS24" s="92">
        <f t="shared" si="62"/>
        <v>133.63879819033991</v>
      </c>
      <c r="CT24" s="92">
        <f>CT$10*(1+((H24/H$10-1)*costos!$B$25+((I24*F24)/(I$10*F$10)-1)*costos!$E$25+((J24*F24)/((J$10*F$10)-1)*costos!$F$25/3+((K24*F24)/(K$10*F$10)-1)*costos!$F$25/3+((U24*F24)/(U$10*F$10)-1)*costos!$F$25/3+((L24*F24)/(L$10*F$10)-1)*costos!$G$25+((AQ24)/(AQ$10)-1)*costos!$J$25+((V24*F24)/(V$10*F$10)-1)*costos!$K$25)))</f>
        <v>137.30095579583207</v>
      </c>
      <c r="CU24" s="92">
        <f>CU$10*(1+((H24/H$10-1)*costos!$B$26+((I24*F24)/(I$10*F$10)-1)*costos!$E$26+((J24*F24)/((J$10*F$10)-1)*costos!$F$26/3+((K24*F24)/(K$10*F$10)-1)*costos!$F$26/3+((U24*F24)/(U$10*F$10)-1)*costos!$F$26/3+((L24*F24)/(L$10*F$10)-1)*costos!$G$26+((AR24)/(AR$10)-1)*costos!$J$26+((V24*F24)/(V$10*F$10)-1)*costos!$K$26)))</f>
        <v>128.70819301325525</v>
      </c>
      <c r="CV24" s="92">
        <f>CV$10*(1+((H24/H$10-1)*costos!$B$27+((I24*F24)/(I$10*F$10)-1)*costos!$E$27+((J24*F24)/((J$10*F$10)-1)*costos!$F$27/3+((K24*F24)/(K$10*F$10)-1)*costos!$F$27/3+((U24*F24)/(U$10*F$10)-1)*costos!$F$27/3+((L24*F24)/(L$10*F$10)-1)*costos!$G$27+((AS24)/(AS$10)-1)*costos!$J$27+((V24*F24)/(V$10*F$10)-1)*costos!$K$27)))</f>
        <v>125.74474610901696</v>
      </c>
      <c r="CW24" s="92">
        <f>CW$10*(1+((H24/H$10-1)*costos!$B$28+((I24*F24)/(I$10*F$10)-1)*costos!$E$28+((J24*F24)/((J$10*F$10)-1)*costos!$F$28/3+((K24*F24)/(K$10*F$10)-1)*costos!$F$28/3+((U24*F24)/(U$10*F$10)-1)*costos!$F$28/3+((L24*F24)/(L$10*F$10)-1)*costos!$G$28+((AS24)/(AS$10)-1)*costos!$J$28+((V24*F24)/(V$10*F$10)-1)*costos!$K$28)))</f>
        <v>125.74474610901696</v>
      </c>
      <c r="CX24" s="92">
        <f t="shared" si="63"/>
        <v>126.73256174376304</v>
      </c>
      <c r="CY24" s="92">
        <f>CY$10*(1+((H24/H$10-1)*costos!$B$32+((I24*F24)/(I$10*F$10)-1)*costos!$E$32+((J24*F24)/((J$10*F$10)-1)*costos!$F$32/3+((K24*F24)/(K$10*F$10)-1)*costos!$F$32/3+((U24*F24)/(U$10*F$10)-1)*costos!$F$32/3+((L24*F24)/(L$10*F$10)-1)*costos!$G$32+((AG24)/(AG$10)-1)*costos!$J$32+((V24*F24)/(V$10*F$10)-1)*costos!$K$32)))</f>
        <v>133.81803203417587</v>
      </c>
      <c r="CZ24" s="69">
        <f>CZ$10*(1+((H24/H$10-1)*costos!$B$31+((I24*F24)/(I$10*F$10)-1)*costos!$E$30+((J24*F24)/((J$10*F$10)-1)*costos!$F$30/3+((K24*F24)/(K$10*F$10)-1)*costos!$F$30/3+((U24*F24)/(U$10*F$10)-1)*costos!$F$30/3+((L24*F24)/(L$10*F$10)-1)*costos!$G$30+((BG24)/(BG$10)-1)*costos!$J$30+((V24*F24)/(V$10*F$10)-1)*costos!$K$30)))</f>
        <v>140.34597231642957</v>
      </c>
      <c r="DA24" s="69">
        <f>DA$10*(1+((H24/H$10-1)*costos!$B$31+((I24*F24)/(I$10*F$10)-1)*costos!$E$31+((J24*F24)/((J$10*F$10)-1)*costos!$F$31/3+((K24*F24)/(K$10*F$10)-1)*costos!$F$31/3+((U24*F24)/(U$10*F$10)-1)*costos!$F$31/3+((L24*F24)/(L$10*F$10)-1)*costos!$G$31+((BJ24)/(BJ$10)-1)*costos!$J$31+((V24*F24)/(V$10*F$10)-1)*costos!$K$31)))</f>
        <v>133.52029346122865</v>
      </c>
      <c r="DB24" s="69">
        <f>DB$10*(1+((H24/H$10-1)*costos!$B$36+((I24*F24)/(I$10*F$10)-1)*costos!$E$36+((J24*F24)/((J$10*F$10)-1)*costos!$F$36/3+((K24*F24)/(K$10*F$10)-1)*costos!$F$36/3+((U24*F24)/(U$10*F$10)-1)*costos!$F$36/3+((L24*F24)/(L$10*F$10)-1)*costos!$G$36+((BK24)/(BK$10)-1)*costos!$J$36+((V24*F24)/(V$10*F$10)-1)*costos!$K$36)))</f>
        <v>133.77485664245708</v>
      </c>
      <c r="DC24" s="69">
        <f>DC$10*(1+((H24/H$10-1)*costos!$B$37+((I24*F24)/(I$10*F$10)-1)*costos!$E$37+((U24*F24)/(U$10*F$10)-1)*costos!$F$37+((L24*F24)/(L$10*F$10)-1)*costos!$G$37+((BN24)/(BN$10)-1)*costos!$J$37+((V24*F24)/(V$10*F$10)-1)*costos!$K$37))</f>
        <v>123.50684610285568</v>
      </c>
      <c r="DD24" s="69">
        <f>DD$10*(1+((H24/H$10-1)*costos!$B$39+((I24*F24)/(I$10*F$10)-1)*costos!$E$39+((U24*F24)/(U$10*F$10)-1)*costos!$F$39+((L24*F24)/(L$10*F$10)-1)*costos!$G$39+((BR24)/(BR$10)-1)*costos!$J$39+((V24*F24)/(V$10*F$10)-1)*costos!$K$39))</f>
        <v>121.38457492379638</v>
      </c>
      <c r="DE24" s="69">
        <f>DD$10*(1+((H24/H$10-1)*costos!$B$35+((I24*F24)/(I$10*F$10)-1)*costos!$E$35+((U24*F24)/(U$10*F$10)-1)*costos!$F$35+((L24*F24)/(L$10*F$10)-1)*costos!$G$35+((BR24)/(BR$10)-1)*costos!$J$35+((V24*F24)/(V$10*F$10)-1)*costos!$K$35))</f>
        <v>118.27980613600153</v>
      </c>
      <c r="DF24" s="69">
        <f>DF$10*(1+((H24/H$10-1)*costos!$B$40+((I24*F24)/(I$10*F$10)-1)*costos!$E$40+((U24*F24)/(U$10*F$10)-1)*costos!$F$40+((L24*F24)/(L$10*F$10)-1)*costos!$G$40+((BP24)/(BP$10)-1)*costos!$J$40+((V24*F24)/(V$10*F$10)-1)*costos!$K$40))</f>
        <v>119.62405943900451</v>
      </c>
      <c r="DG24" s="92">
        <f t="shared" si="64"/>
        <v>118.95193278750301</v>
      </c>
      <c r="DH24" s="69">
        <f>DH$10*(1+((H24/H$10-1)*costos!$B$34+((I24*F24)/(I$10*F$10)-1)*costos!$E$34+((J24*F24)/((J$10*F$10)-1)*costos!$F$34/3+((K24*F24)/(K$10*F$10)-1)*costos!$F$34/3+((U24*F24)/(U$10*F$10)-1)*costos!$F$34/3+((L24*F24)/(L$10*F$10)-1)*costos!$G$34+((BV24)/(BV$10)-1)*costos!$J$34+((V24*F24)/(V$10*F$10)-1)*costos!$K$34)))</f>
        <v>136.67786479233342</v>
      </c>
      <c r="DI24" s="69">
        <f>DI$10*(1+((H24/H$10-1)*costos!$B$38+((I24*F24)/(I$10*F$10)-1)*costos!$E$38+((J24*F24)/((J$10*F$10)-1)*costos!$F$38/3+((K24*F24)/(K$10*F$10)-1)*costos!$F$38/3+((U24*F24)/(U$10*F$10)-1)*costos!$F$38/3+((L24*F24)/(L$10*F$10)-1)*costos!$G$38+((BU24)/(BU$10)-1)*costos!$J$38+((V24*F24)/(V$10*F$10)-1)*costos!$K$38)))</f>
        <v>133.87740038975565</v>
      </c>
      <c r="DK24" s="1">
        <v>258900</v>
      </c>
      <c r="DL24" s="1" t="s">
        <v>106</v>
      </c>
      <c r="DM24" s="82">
        <f t="shared" si="155"/>
        <v>206500</v>
      </c>
      <c r="DN24" s="82" t="str">
        <f t="shared" si="155"/>
        <v>2016-17</v>
      </c>
      <c r="DO24" s="82">
        <f t="shared" si="155"/>
        <v>850000</v>
      </c>
      <c r="DP24" s="82" t="str">
        <f t="shared" si="155"/>
        <v>2016-17</v>
      </c>
      <c r="DQ24" s="1">
        <v>1700000</v>
      </c>
      <c r="DR24" s="1" t="s">
        <v>106</v>
      </c>
      <c r="DS24" s="1">
        <v>4900000</v>
      </c>
      <c r="DT24" s="1" t="s">
        <v>106</v>
      </c>
      <c r="DU24" s="82">
        <f>+DU23</f>
        <v>19200000</v>
      </c>
      <c r="DV24" s="82" t="str">
        <f>+DV23</f>
        <v>2016-17</v>
      </c>
      <c r="DW24" s="82">
        <f>+DW23</f>
        <v>800000</v>
      </c>
      <c r="DX24" s="82" t="str">
        <f>+DX23</f>
        <v>2016-17</v>
      </c>
      <c r="DY24" s="83">
        <v>6365000</v>
      </c>
      <c r="DZ24" s="83" t="str">
        <f t="shared" si="148"/>
        <v>2016-17</v>
      </c>
      <c r="EA24" s="79">
        <f t="shared" si="67"/>
        <v>33815000</v>
      </c>
      <c r="EB24" s="82">
        <f t="shared" si="156"/>
        <v>364191</v>
      </c>
      <c r="EC24" s="82" t="str">
        <f t="shared" si="157"/>
        <v>2016-17</v>
      </c>
      <c r="ED24" s="83">
        <f t="shared" si="157"/>
        <v>165327</v>
      </c>
      <c r="EE24" s="143">
        <f t="shared" si="157"/>
        <v>2016</v>
      </c>
      <c r="EF24" s="83">
        <f t="shared" si="121"/>
        <v>220848</v>
      </c>
      <c r="EG24" s="143">
        <f t="shared" si="122"/>
        <v>2017</v>
      </c>
      <c r="EH24" s="83">
        <v>54163380</v>
      </c>
      <c r="EI24" s="143">
        <v>2017</v>
      </c>
      <c r="EJ24" s="83">
        <f t="shared" si="120"/>
        <v>5119438</v>
      </c>
      <c r="EK24" s="143">
        <v>2017</v>
      </c>
      <c r="EL24" s="82">
        <f t="shared" si="120"/>
        <v>14864321</v>
      </c>
      <c r="EM24" s="144">
        <f t="shared" si="120"/>
        <v>2016</v>
      </c>
      <c r="EN24" s="82">
        <f t="shared" si="120"/>
        <v>3499621</v>
      </c>
      <c r="EO24" s="144">
        <f t="shared" si="120"/>
        <v>2016</v>
      </c>
      <c r="EP24" s="82">
        <f t="shared" si="118"/>
        <v>6552</v>
      </c>
      <c r="EQ24" s="83">
        <f t="shared" si="100"/>
        <v>3003036</v>
      </c>
      <c r="ER24" s="1">
        <v>33739</v>
      </c>
      <c r="ES24" s="82"/>
      <c r="ET24" s="83">
        <f t="shared" si="101"/>
        <v>23614</v>
      </c>
      <c r="EU24" s="83">
        <f t="shared" si="101"/>
        <v>16845</v>
      </c>
      <c r="EV24" s="83">
        <f t="shared" si="101"/>
        <v>9213</v>
      </c>
      <c r="EW24" s="83">
        <f t="shared" si="101"/>
        <v>17766</v>
      </c>
      <c r="EX24" s="79">
        <f t="shared" si="72"/>
        <v>67438</v>
      </c>
      <c r="EY24" s="1">
        <f t="shared" si="123"/>
        <v>19284</v>
      </c>
      <c r="EZ24" s="82">
        <f t="shared" si="123"/>
        <v>74845</v>
      </c>
      <c r="FA24" s="1">
        <f t="shared" si="103"/>
        <v>20879</v>
      </c>
      <c r="FB24" s="1">
        <f t="shared" si="103"/>
        <v>19496</v>
      </c>
      <c r="FC24" s="79">
        <f t="shared" si="73"/>
        <v>40375</v>
      </c>
      <c r="FD24" s="1">
        <f t="shared" si="158"/>
        <v>65075.3</v>
      </c>
      <c r="FE24" s="1"/>
      <c r="FF24" s="82">
        <f t="shared" si="129"/>
        <v>708196</v>
      </c>
      <c r="FG24" s="82" t="str">
        <f t="shared" si="130"/>
        <v>2015-16</v>
      </c>
      <c r="FH24" s="82">
        <f t="shared" si="132"/>
        <v>1404980</v>
      </c>
      <c r="FI24" s="82" t="str">
        <f t="shared" si="132"/>
        <v>2015-16</v>
      </c>
      <c r="FJ24" s="82">
        <f t="shared" si="159"/>
        <v>3000000</v>
      </c>
      <c r="FK24" s="82" t="str">
        <f t="shared" si="160"/>
        <v>2016-17</v>
      </c>
      <c r="FL24" s="1">
        <v>3300000</v>
      </c>
      <c r="FM24" s="1" t="s">
        <v>106</v>
      </c>
      <c r="FN24" s="1">
        <v>37000000</v>
      </c>
      <c r="FO24" s="1" t="s">
        <v>106</v>
      </c>
      <c r="FP24" s="1">
        <v>56500000</v>
      </c>
      <c r="FQ24" s="1" t="s">
        <v>106</v>
      </c>
      <c r="FR24" s="82">
        <f t="shared" ref="FR24:FS26" si="164">+FR23</f>
        <v>3200000</v>
      </c>
      <c r="FS24" s="82" t="str">
        <f t="shared" si="164"/>
        <v>2016-17</v>
      </c>
      <c r="FT24" s="1">
        <v>18395000</v>
      </c>
      <c r="FU24" s="83" t="str">
        <f t="shared" si="161"/>
        <v>2016-17</v>
      </c>
      <c r="FV24" s="79">
        <f t="shared" si="76"/>
        <v>121395000</v>
      </c>
      <c r="FW24" s="82">
        <f t="shared" si="126"/>
        <v>1001113</v>
      </c>
      <c r="FX24" s="82" t="str">
        <f t="shared" si="127"/>
        <v>2015-16</v>
      </c>
      <c r="FY24" s="83">
        <v>38103.417999999998</v>
      </c>
      <c r="FZ24" s="79">
        <f t="shared" si="135"/>
        <v>776454.53499999992</v>
      </c>
      <c r="GA24" s="86" t="str">
        <f t="shared" si="136"/>
        <v>abr16 mar17</v>
      </c>
      <c r="GB24" s="1">
        <v>19652055</v>
      </c>
      <c r="GC24" s="6">
        <v>2017</v>
      </c>
      <c r="GD24" s="1">
        <f t="shared" ref="GD24:GD47" si="165">+GD23</f>
        <v>1675851</v>
      </c>
      <c r="GE24" s="1">
        <v>459665</v>
      </c>
      <c r="GF24" s="1">
        <v>1024918</v>
      </c>
      <c r="GG24" s="1">
        <f t="shared" ref="GG24:GG47" si="166">+GG23</f>
        <v>112337</v>
      </c>
      <c r="GH24" s="79">
        <f t="shared" si="78"/>
        <v>1596920</v>
      </c>
      <c r="GI24" s="82">
        <f t="shared" si="79"/>
        <v>1302556</v>
      </c>
      <c r="GJ24" s="83">
        <f t="shared" si="162"/>
        <v>665408</v>
      </c>
      <c r="GK24" s="83">
        <f t="shared" si="162"/>
        <v>660753</v>
      </c>
      <c r="GL24" s="83">
        <f t="shared" si="162"/>
        <v>290290.46000000002</v>
      </c>
      <c r="GM24" s="1">
        <f t="shared" si="162"/>
        <v>263224.75</v>
      </c>
      <c r="GN24" s="79">
        <f t="shared" si="81"/>
        <v>1879676.21</v>
      </c>
      <c r="GO24" s="83">
        <f t="shared" si="107"/>
        <v>193430</v>
      </c>
      <c r="GP24" s="83">
        <f t="shared" si="107"/>
        <v>76379</v>
      </c>
      <c r="GQ24" s="1"/>
      <c r="GR24" s="1">
        <f t="shared" si="150"/>
        <v>42700</v>
      </c>
      <c r="GS24" s="79">
        <f t="shared" si="83"/>
        <v>42700</v>
      </c>
      <c r="GT24" s="83">
        <f t="shared" si="108"/>
        <v>2459310</v>
      </c>
      <c r="GU24" s="1">
        <v>123857</v>
      </c>
      <c r="GV24" s="1">
        <v>71613</v>
      </c>
      <c r="GW24" s="79">
        <f t="shared" si="151"/>
        <v>1325145.0000000002</v>
      </c>
      <c r="GX24" s="83">
        <v>32330.198</v>
      </c>
      <c r="GY24" s="83" t="s">
        <v>328</v>
      </c>
      <c r="GZ24" s="83">
        <f t="shared" si="109"/>
        <v>117154</v>
      </c>
      <c r="HA24" s="1">
        <v>251000</v>
      </c>
      <c r="HB24" s="79">
        <f t="shared" si="137"/>
        <v>2678000</v>
      </c>
      <c r="HC24" s="86" t="str">
        <f t="shared" si="138"/>
        <v>abr16 mar17</v>
      </c>
      <c r="HD24" s="1">
        <v>46413</v>
      </c>
      <c r="HE24" s="79">
        <f t="shared" si="139"/>
        <v>528778</v>
      </c>
      <c r="HF24" s="86" t="str">
        <f t="shared" si="140"/>
        <v>abr16 mar17</v>
      </c>
      <c r="HG24" s="1">
        <v>192000</v>
      </c>
      <c r="HH24" s="79">
        <f t="shared" si="141"/>
        <v>2106000</v>
      </c>
      <c r="HI24" s="86" t="str">
        <f t="shared" si="142"/>
        <v>abr16 mar17</v>
      </c>
      <c r="HJ24" s="1">
        <v>77920</v>
      </c>
      <c r="HK24" s="79">
        <f t="shared" si="143"/>
        <v>15458.460000000001</v>
      </c>
      <c r="HL24" s="86" t="str">
        <f t="shared" si="144"/>
        <v>abr16 mar17</v>
      </c>
      <c r="HM24" s="79">
        <f t="shared" si="86"/>
        <v>2121458.46</v>
      </c>
      <c r="HN24" s="87">
        <v>-6.1119800308452543E-2</v>
      </c>
      <c r="HO24" s="1">
        <f t="shared" si="152"/>
        <v>775890597.02509487</v>
      </c>
      <c r="HP24" s="79">
        <f t="shared" si="153"/>
        <v>9728.809643563809</v>
      </c>
      <c r="HQ24" s="86" t="str">
        <f t="shared" si="145"/>
        <v>abr16 mar17</v>
      </c>
      <c r="HR24" s="3"/>
      <c r="HS24" s="1"/>
      <c r="HT24" s="1"/>
      <c r="HU24" s="83">
        <v>680000</v>
      </c>
      <c r="HV24" s="83" t="str">
        <f>+HV25</f>
        <v>2016-17</v>
      </c>
      <c r="HW24" s="1">
        <v>1430000</v>
      </c>
      <c r="HX24" s="1" t="s">
        <v>106</v>
      </c>
      <c r="HY24" s="1">
        <v>3350000</v>
      </c>
      <c r="HZ24" s="1" t="s">
        <v>106</v>
      </c>
      <c r="IA24" s="1">
        <f>3240000+15840000</f>
        <v>19080000</v>
      </c>
      <c r="IB24" s="1" t="s">
        <v>106</v>
      </c>
      <c r="IC24" s="1">
        <v>50000000</v>
      </c>
      <c r="ID24" s="1" t="s">
        <v>107</v>
      </c>
      <c r="IE24" s="1">
        <f>150000+2300000</f>
        <v>2450000</v>
      </c>
      <c r="IF24" s="1" t="s">
        <v>106</v>
      </c>
      <c r="IG24" s="1">
        <f t="shared" si="154"/>
        <v>6760000</v>
      </c>
      <c r="IH24" s="1" t="s">
        <v>106</v>
      </c>
      <c r="II24" s="79">
        <f t="shared" si="87"/>
        <v>83070000</v>
      </c>
      <c r="IJ24" s="97">
        <f t="shared" ref="IJ24:IJ47" si="167">(6052000*12)/$IJ$2</f>
        <v>1.5629261117125455</v>
      </c>
      <c r="IK24" s="1" t="s">
        <v>106</v>
      </c>
      <c r="IL24" s="7">
        <v>48.2</v>
      </c>
      <c r="IM24" s="7">
        <v>61.915965448790836</v>
      </c>
      <c r="IN24" s="7">
        <v>197</v>
      </c>
      <c r="IO24" s="695">
        <v>13.78</v>
      </c>
      <c r="IP24" s="98">
        <f t="shared" si="163"/>
        <v>5.6020702831241165</v>
      </c>
      <c r="IQ24" s="93">
        <v>20.2</v>
      </c>
      <c r="IR24" s="93">
        <f t="shared" ref="IR24:IU33" si="168">+IR23</f>
        <v>3.01</v>
      </c>
      <c r="IS24" s="93">
        <f t="shared" si="168"/>
        <v>5.59</v>
      </c>
      <c r="IT24" s="93">
        <f t="shared" si="168"/>
        <v>11.85</v>
      </c>
      <c r="IU24" s="93">
        <f t="shared" si="168"/>
        <v>0.79</v>
      </c>
      <c r="IV24" s="94">
        <f t="shared" si="89"/>
        <v>18.229999999999997</v>
      </c>
      <c r="IW24" s="84"/>
      <c r="IX24" s="84"/>
      <c r="IY24" s="105">
        <v>1.84</v>
      </c>
      <c r="IZ24" s="161">
        <v>0.3</v>
      </c>
      <c r="JA24" s="570"/>
      <c r="JB24" s="84">
        <v>41.09</v>
      </c>
      <c r="JC24" s="84"/>
      <c r="JD24" s="84"/>
      <c r="JF24" s="2">
        <v>4.3955173600000004</v>
      </c>
      <c r="JG24" s="2">
        <v>11.09895725</v>
      </c>
      <c r="JH24" s="2">
        <v>89.054989309999996</v>
      </c>
      <c r="JI24" s="2">
        <v>95.669039539999986</v>
      </c>
      <c r="JJ24" s="2">
        <v>350.16745724999993</v>
      </c>
      <c r="JK24" s="2">
        <v>61.150220099999999</v>
      </c>
      <c r="JL24" s="2">
        <v>1236.92573638</v>
      </c>
      <c r="JM24" s="2">
        <v>0.50503122</v>
      </c>
      <c r="JN24" s="2">
        <v>249.30376705000003</v>
      </c>
      <c r="JO24" s="2">
        <v>16.667820129999999</v>
      </c>
      <c r="JP24" s="2">
        <v>6.4000000000000005E-4</v>
      </c>
      <c r="JQ24" s="2">
        <v>0.18711149999999999</v>
      </c>
      <c r="JR24" s="2">
        <v>0.94100110999999997</v>
      </c>
      <c r="JS24" s="2">
        <v>0</v>
      </c>
      <c r="JT24" s="2">
        <v>1.59015829</v>
      </c>
      <c r="JU24" s="2">
        <v>71.881821460000026</v>
      </c>
      <c r="JV24" s="2">
        <v>10.99374019</v>
      </c>
      <c r="JW24" s="2">
        <v>52.605189620000004</v>
      </c>
      <c r="JX24" s="2">
        <v>5.2564624499999999</v>
      </c>
      <c r="JY24" s="2">
        <v>1.2184406299999999</v>
      </c>
      <c r="JZ24" s="2">
        <v>1.5706204899999998</v>
      </c>
      <c r="KA24" s="2">
        <v>0.25967415999999999</v>
      </c>
      <c r="KB24" s="2">
        <v>21.08703482</v>
      </c>
      <c r="KC24" s="2">
        <v>10.6901233</v>
      </c>
      <c r="KD24" s="2">
        <v>6.3384562999999989</v>
      </c>
      <c r="KE24" s="2">
        <v>16.142346180000001</v>
      </c>
      <c r="KF24" s="2">
        <v>23.821044199999992</v>
      </c>
      <c r="KG24" s="2">
        <v>168.83389359999998</v>
      </c>
      <c r="KH24" s="2">
        <v>45.709226209999997</v>
      </c>
      <c r="KI24" s="2">
        <v>22.75390659</v>
      </c>
      <c r="KJ24" s="2">
        <v>1.0601720699999999</v>
      </c>
      <c r="KK24" s="2">
        <v>9.9312543400000006</v>
      </c>
      <c r="KL24" s="2">
        <v>0.33506978000000004</v>
      </c>
      <c r="KM24" s="2">
        <v>7.7238691299999997</v>
      </c>
      <c r="KN24" s="2">
        <v>1.7902959999999999E-2</v>
      </c>
      <c r="KO24" s="2">
        <v>3.2381272999999999</v>
      </c>
      <c r="KP24" s="2">
        <v>8.6193000000000001E-4</v>
      </c>
      <c r="KQ24" s="2">
        <v>128.87673760000001</v>
      </c>
      <c r="KR24" s="2">
        <v>7.2405599999999992E-3</v>
      </c>
      <c r="KS24" s="2">
        <v>0.14433589000000002</v>
      </c>
      <c r="KT24" s="2">
        <v>4.9528376500000002</v>
      </c>
      <c r="KU24" s="2">
        <v>0.51554597999999996</v>
      </c>
      <c r="KV24" s="2">
        <v>0</v>
      </c>
      <c r="KW24" s="2">
        <v>4.4870701100000003</v>
      </c>
      <c r="KX24" s="2">
        <v>0</v>
      </c>
      <c r="KY24" s="2">
        <v>0</v>
      </c>
      <c r="KZ24" s="2">
        <v>10.241819279999998</v>
      </c>
      <c r="LA24" s="2">
        <v>0.85468796000000002</v>
      </c>
      <c r="LB24" s="2">
        <v>3.7563319999999997E-2</v>
      </c>
      <c r="LC24" s="2">
        <v>0.22921125000000003</v>
      </c>
      <c r="LD24" s="2">
        <v>1.388375E-2</v>
      </c>
      <c r="LE24" s="2">
        <v>1.70699288</v>
      </c>
      <c r="LF24" s="2">
        <v>0.51974505999999998</v>
      </c>
      <c r="LG24" s="2">
        <v>21.156174570000001</v>
      </c>
      <c r="LH24" s="2">
        <v>4.5689372700000002</v>
      </c>
      <c r="LI24" s="2">
        <v>0.3036335</v>
      </c>
      <c r="LJ24" s="2">
        <v>7.99243E-3</v>
      </c>
      <c r="LK24" s="2">
        <v>4.5174168299999993</v>
      </c>
      <c r="LL24" s="2">
        <v>3.9894834100000005</v>
      </c>
      <c r="LM24" s="2">
        <v>2.7187710799999998</v>
      </c>
      <c r="LN24" s="2">
        <v>0.39791659000000001</v>
      </c>
      <c r="LO24" s="2">
        <v>12.288782139999999</v>
      </c>
      <c r="LQ24" s="85">
        <f t="shared" si="90"/>
        <v>2021.62602075</v>
      </c>
      <c r="LR24" s="85">
        <f t="shared" si="91"/>
        <v>2.7182709000000003</v>
      </c>
      <c r="LS24" s="85">
        <f t="shared" si="92"/>
        <v>63.598929810000001</v>
      </c>
      <c r="LT24" s="85">
        <f t="shared" si="93"/>
        <v>3.0487352799999994</v>
      </c>
      <c r="LU24" s="85">
        <f t="shared" si="94"/>
        <v>140.00821344000005</v>
      </c>
      <c r="LV24" s="85">
        <f t="shared" si="95"/>
        <v>4.4870701100000003</v>
      </c>
      <c r="LW24" s="85">
        <f t="shared" si="96"/>
        <v>0.89225127999999998</v>
      </c>
      <c r="LX24" s="85">
        <f t="shared" si="97"/>
        <v>2.2406216900000002</v>
      </c>
      <c r="LZ24" s="131">
        <v>17.82</v>
      </c>
      <c r="MA24" s="171">
        <v>20.16</v>
      </c>
      <c r="MB24"/>
      <c r="MC24"/>
      <c r="MD24"/>
      <c r="MF24"/>
      <c r="MG24"/>
      <c r="MH24" s="83">
        <v>37.53</v>
      </c>
      <c r="MI24" s="83">
        <v>10.5</v>
      </c>
      <c r="MJ24" s="83">
        <v>14</v>
      </c>
      <c r="MK24"/>
      <c r="ML24" s="83">
        <v>12.25</v>
      </c>
      <c r="MM24" s="83">
        <v>25.77</v>
      </c>
      <c r="MN24" s="83"/>
      <c r="MO24" s="83">
        <v>14.47</v>
      </c>
      <c r="MP24" s="83">
        <v>38.56</v>
      </c>
      <c r="MQ24" s="83">
        <v>33.25</v>
      </c>
      <c r="MR24"/>
      <c r="MT24" s="83"/>
      <c r="MU24" s="83">
        <v>12.76</v>
      </c>
      <c r="MV24"/>
      <c r="MW24"/>
      <c r="MX24"/>
      <c r="MY24" s="83">
        <v>29.44</v>
      </c>
      <c r="MZ24" s="83">
        <v>89.3</v>
      </c>
      <c r="NA24" s="83">
        <v>39.68</v>
      </c>
      <c r="NB24" s="83">
        <v>122.81</v>
      </c>
      <c r="NC24" s="83">
        <v>19.13</v>
      </c>
      <c r="ND24"/>
      <c r="NE24" s="1">
        <v>108.92</v>
      </c>
    </row>
    <row r="25" spans="1:369">
      <c r="A25" s="38">
        <f t="shared" si="32"/>
        <v>42826</v>
      </c>
      <c r="B25" s="36">
        <v>4</v>
      </c>
      <c r="C25" s="36">
        <v>2017</v>
      </c>
      <c r="D25" s="36">
        <f t="shared" si="50"/>
        <v>25</v>
      </c>
      <c r="E25" s="38">
        <f t="shared" si="33"/>
        <v>42826</v>
      </c>
      <c r="F25" s="7">
        <v>15.552777777777777</v>
      </c>
      <c r="G25" s="7">
        <v>109</v>
      </c>
      <c r="H25" s="1">
        <f>[2]NACIONALES!$D13</f>
        <v>10368</v>
      </c>
      <c r="I25" s="7">
        <v>105</v>
      </c>
      <c r="J25" s="7">
        <v>410</v>
      </c>
      <c r="K25" s="7">
        <v>2.6</v>
      </c>
      <c r="L25" s="7">
        <v>31.9</v>
      </c>
      <c r="N25" s="5">
        <v>1.715111111111111</v>
      </c>
      <c r="O25" s="5">
        <v>1.560111111111111</v>
      </c>
      <c r="P25" s="78">
        <f t="shared" si="34"/>
        <v>25.469401697530863</v>
      </c>
      <c r="Q25" s="6">
        <v>345</v>
      </c>
      <c r="R25" s="79">
        <f t="shared" si="35"/>
        <v>3450</v>
      </c>
      <c r="S25" s="6">
        <v>141.69444444444446</v>
      </c>
      <c r="T25" s="6">
        <v>277.77777777777777</v>
      </c>
      <c r="U25" s="143">
        <v>153.98181818181817</v>
      </c>
      <c r="V25" s="6">
        <v>237.90000000000003</v>
      </c>
      <c r="W25" s="6">
        <v>121.33333333333333</v>
      </c>
      <c r="X25" s="6">
        <v>169.55555555555554</v>
      </c>
      <c r="Y25" s="79">
        <f t="shared" si="36"/>
        <v>2203.7422067901234</v>
      </c>
      <c r="Z25" s="79">
        <f t="shared" si="37"/>
        <v>4320.2160493827159</v>
      </c>
      <c r="AA25" s="79">
        <f t="shared" si="38"/>
        <v>2394.8449999999998</v>
      </c>
      <c r="AB25" s="79">
        <f t="shared" si="39"/>
        <v>3700.0058333333336</v>
      </c>
      <c r="AC25" s="79">
        <f t="shared" si="40"/>
        <v>1887.0703703703703</v>
      </c>
      <c r="AD25" s="79">
        <f t="shared" si="41"/>
        <v>2637.0598765432096</v>
      </c>
      <c r="AE25" s="79">
        <f t="shared" si="42"/>
        <v>2857.1565560699592</v>
      </c>
      <c r="AF25" s="1">
        <v>10456.5</v>
      </c>
      <c r="AG25" s="1">
        <v>6012</v>
      </c>
      <c r="AH25" s="1">
        <v>22202</v>
      </c>
      <c r="AI25" s="5">
        <v>11.03</v>
      </c>
      <c r="AJ25" s="5">
        <v>6.3</v>
      </c>
      <c r="AK25" s="5">
        <v>6.3</v>
      </c>
      <c r="AL25" s="5">
        <v>5.19</v>
      </c>
      <c r="AM25" s="78">
        <f t="shared" si="43"/>
        <v>8.2094000000000005</v>
      </c>
      <c r="AN25" s="7">
        <v>472.66666666666669</v>
      </c>
      <c r="AO25" s="7">
        <v>213.64052631578949</v>
      </c>
      <c r="AP25" s="78">
        <f t="shared" si="146"/>
        <v>213.64052631578949</v>
      </c>
      <c r="AQ25" s="7">
        <v>252.06216216216214</v>
      </c>
      <c r="AR25" s="7">
        <v>108.9742105263158</v>
      </c>
      <c r="AS25" s="7">
        <v>112.25274725274726</v>
      </c>
      <c r="AT25" s="7">
        <v>251.01315789473685</v>
      </c>
      <c r="AU25" s="78">
        <f t="shared" si="53"/>
        <v>157.41337189126662</v>
      </c>
      <c r="AV25" s="7">
        <v>146.14783333333335</v>
      </c>
      <c r="AW25" s="7">
        <v>335.05799999999999</v>
      </c>
      <c r="AX25" s="7">
        <v>125.90299999999999</v>
      </c>
      <c r="AY25" s="7">
        <v>202.77914572864324</v>
      </c>
      <c r="AZ25" s="7">
        <v>167.4785</v>
      </c>
      <c r="BA25" s="7">
        <v>67.554482758620708</v>
      </c>
      <c r="BB25" s="94">
        <f t="shared" si="45"/>
        <v>151.21371672538942</v>
      </c>
      <c r="BC25" s="68">
        <v>617</v>
      </c>
      <c r="BD25" s="68">
        <v>725</v>
      </c>
      <c r="BE25" s="7">
        <f t="shared" si="55"/>
        <v>660</v>
      </c>
      <c r="BF25" s="7">
        <f t="shared" si="55"/>
        <v>400</v>
      </c>
      <c r="BG25" s="94">
        <f t="shared" si="56"/>
        <v>600.5</v>
      </c>
      <c r="BH25" s="7">
        <v>43.18</v>
      </c>
      <c r="BI25" s="7">
        <f t="shared" si="134"/>
        <v>10.766</v>
      </c>
      <c r="BJ25" s="78">
        <f t="shared" si="57"/>
        <v>53.945999999999998</v>
      </c>
      <c r="BK25" s="7">
        <v>33.296999999999997</v>
      </c>
      <c r="BL25" s="7">
        <v>34.473999999999997</v>
      </c>
      <c r="BM25" s="94">
        <f t="shared" si="58"/>
        <v>33.885499999999993</v>
      </c>
      <c r="BN25" s="5">
        <v>5.26</v>
      </c>
      <c r="BO25" s="105">
        <v>21.102777777777778</v>
      </c>
      <c r="BP25" s="80">
        <v>13.011666666666665</v>
      </c>
      <c r="BQ25" s="94">
        <f t="shared" si="59"/>
        <v>20.293666666666667</v>
      </c>
      <c r="BR25" s="7">
        <v>19.13</v>
      </c>
      <c r="BS25" s="7">
        <v>74</v>
      </c>
      <c r="BT25" s="7">
        <v>45.29</v>
      </c>
      <c r="BU25" s="79">
        <f t="shared" si="147"/>
        <v>1023.87</v>
      </c>
      <c r="BV25" s="97">
        <v>32.6</v>
      </c>
      <c r="BW25" s="7"/>
      <c r="BY25" s="92">
        <f>BY$10*(1+((H25/H$10-1)*costos!$B$5+((I25*F25)/(I$10*F$10)-1)*costos!$E$5+((J25*F25)/((J$10*F$10)-1)*costos!$F$5/3+((K25*F25)/(K$10*F$10)-1)*costos!$F$5/3+((U25*F25)/(U$10*F$10)-1)*costos!$F$5/3+((L25*F25)/(L$10*F$10)-1)*costos!$G$5+((N25*F25)/(N$10*F$10)-1)*costos!$J$5+((V25*F25)/(V$10*F$10)-1)*costos!$K$5)))</f>
        <v>137.44886178528586</v>
      </c>
      <c r="BZ25" s="92">
        <f>$BZ$10*(1+((H25/$H$10-1)*costos!$B$6+((I25*F25)/($I$10*$F$10)-1)*costos!$E$6+((J25*F25)/(($J$10*$F$10)-1)*costos!$F$6/3+((K25*F25)/($K$10*$F$10)-1)*costos!$F$6/3+((U25*F25)/($U$10*$F$10)-1)*costos!$F$6/3+((L25*F25)/($L$10*$F$10)-1)*costos!$G$6+((Q25*F25)/($Q$10*$F$10)-1)*costos!$J$6+((V25*F25)/($V$10*$F$10)-1)*costos!$K$6)))</f>
        <v>121.92211714783976</v>
      </c>
      <c r="CA25" s="92">
        <f>CA$10*(1+((H25/H$10-1)*costos!$B$7+((I25*F25)/(I$10*F$10)-1)*costos!$E$7+((J25*F25)/((J$10*F$10)-1)*costos!$F$7/3+((K25*F25)/(K$10*F$10)-1)*costos!$F$7/3+((U25*F25)/(U$10*F$10)-1)*costos!$F$7/3+((L25*F25)/(L$10*F$10)-1)*costos!$G$7+((S25*F25)/(S$10*F$10)-1)*costos!$J$7+((V25*F25)/(V$10*F$10)-1)*costos!$K$7)))</f>
        <v>119.12784698699615</v>
      </c>
      <c r="CB25" s="92">
        <f>CB$10*(1+((H25/H$10-1)*costos!$B$8+((I25*F25)/(I$10*F$10)-1)*costos!$E$8+((J25*F25)/((J$10*F$10)-1)*costos!$F$8/3+((K25*F25)/(K$10*F$10)-1)*costos!$F$8/3+((U25*F25)/(U$10*F$10)-1)*costos!$F$8/3+((L25*F25)/(L$10*F$10)-1)*costos!$G$8+((T25*F25)/(T$10*F$10)-1)*costos!$J$8+((V25*F25)/(V$10*F$10)-1)*costos!$K$8)))</f>
        <v>119.02206515273319</v>
      </c>
      <c r="CC25" s="92">
        <f>CC$10*(1+((H25/H$10-1)*costos!$B$9+((I25*F25)/(I$10*F$10)-1)*costos!$E$9+((J25*F25)/((J$10*F$10)-1)*costos!$F$9/3+((K25*F25)/(K$10*F$10)-1)*costos!$F$9/3+((U25*F25)/(U$10*F$10)-1)*costos!$F$9/3+((L25*F25)/(L$10*F$10)-1)*costos!$G$9+((U25*F25)/(U$10*F$10)-1)*costos!$J$9+((V25*F25)/(V$10*F$10)-1)*costos!$K$9)))</f>
        <v>120.35141503913187</v>
      </c>
      <c r="CD25" s="92">
        <f>CD$10*(1+((H25/H$10-1)*costos!$B$11+((I25*F25)/(I$10*F$10)-1)*costos!$E$11+((J25*F25)/((J$10*F$10)-1)*costos!$F$11/3+((K25*F25)/(K$10*F$10)-1)*costos!$F$11/3+((U25*F25)/(U$10*F$10)-1)*costos!$F$11/3+((L25*F25)/(L$10*F$10)-1)*costos!$G$11+((V25*F25)/(V$10*F$10)-1)*costos!$J$11+((V25*F25)/(V$10*F$10)-1)*costos!$K$11)))</f>
        <v>119.04277325094152</v>
      </c>
      <c r="CE25" s="92">
        <f>CE$10*(1+((H25/H$10-1)*costos!$B$12+((I25*F25)/(I$10*F$10)-1)*costos!$E$12+((J25*F25)/((J$10*F$10)-1)*costos!$F$12/3+((K25*F25)/(K$10*F$10)-1)*costos!$F$12/3+((U25*F25)/(U$10*F$10)-1)*costos!$F$12/3+((L25*F25)/(L$10*F$10)-1)*costos!$G$12+((W25*F25)/(W$10*F$10)-1)*costos!$J$12+((V25*F25)/(V$10*F$10)-1)*costos!$K$12)))</f>
        <v>112.76195317843631</v>
      </c>
      <c r="CF25" s="92">
        <f>CF$10*(1+((H25/H$10-1)*costos!$B$13+((I25*F25)/(I$10*F$10)-1)*costos!$E$13+((J25*F25)/((J$10*F$10)-1)*costos!$F$13/3+((K25*F25)/(K$10*F$10)-1)*costos!$F$13/3+((U25*F25)/(U$10*F$10)-1)*costos!$F$13/3+((L25*F25)/(L$10*F$10)-1)*costos!$G$13+((X25*F25)/(X$10*F$10)-1)*costos!$J$13+((V25*F25)/(V$10*F$10)-1)*costos!$K$13)))</f>
        <v>124.4291835708534</v>
      </c>
      <c r="CG25" s="92">
        <f t="shared" si="60"/>
        <v>119.12253952984874</v>
      </c>
      <c r="CH25" s="92">
        <f>CH$10*(1+((H25/H$10-1)*costos!$B$10+((I25*F25)/(I$10*F$10)-1)*costos!$E$10+((J25*F25)/((J$10*F$10)-1)*costos!$F$10/3+((K25*F25)/(K$10*F$10)-1)*costos!$F$10/3+((U25*F25)/(U$10*F$10)-1)*costos!$F$10/3+((L25*F25)/(L$10*F$10)-1)*costos!$G$10+((AF25)/(AF$10)-1)*costos!$J$10+((V25*F25)/(V$10*F$10)-1)*costos!$K$10)))</f>
        <v>135.45773419929395</v>
      </c>
      <c r="CI25" s="92">
        <f>CI$10*(1+((H25/H$10-1)*costos!$B$15+((I25*F25)/(I$10*F$10)-1)*costos!$E$15+((J25*F25)/((J$10*F$10)-1)*costos!$F$15/3+((K25*F25)/(K$10*F$10)-1)*costos!$F$15/3+((U25*F25)/(U$10*F$10)-1)*costos!$F$15/3+((L25*F25)/(L$10*F$10)-1)*costos!$G$15+((AV25)/(AV$10)-1)*costos!$J$15+((V25*F25)/(V$10*F$10)-1)*costos!$K$15)))</f>
        <v>140.7256057003211</v>
      </c>
      <c r="CJ25" s="92">
        <f>CJ$10*(1+((H25/H$10-1)*costos!$B$16+((I25*F25)/(I$10*F$10)-1)*costos!$E$16+((J25*F25)/((J$10*F$10)-1)*costos!$F$16/3+((K25*F25)/(K$10*F$10)-1)*costos!$F$16/3+((U25*F25)/(U$10*F$10)-1)*costos!$F$16/3+((L25*F25)/(L$10*F$10)-1)*costos!$G$16+((AW25)/(AW$10)-1)*costos!$J$16+((V25*F25)/(V$10*F$10)-1)*costos!$K$16)))</f>
        <v>137.50312390484987</v>
      </c>
      <c r="CK25" s="92">
        <f>CK$10*(1+((H25/H$10-1)*costos!$B$17+((I25*F25)/(I$10*F$10)-1)*costos!$E$17+((J25*F25)/((J$10*F$10)-1)*costos!$F$17/3+((K25*F25)/(K$10*F$10)-1)*costos!$F$17/3+((U25*F25)/(U$10*F$10)-1)*costos!$F$17/3+((L25*F25)/(L$10*F$10)-1)*costos!$G$17+((AX25)/(AX$10)-1)*costos!$J$17+((V25*F25)/(V$10*F$10)-1)*costos!$K$17)))</f>
        <v>135.60198862872159</v>
      </c>
      <c r="CL25" s="92">
        <f>CL$10*(1+((H25/H$10-1)*costos!$B$18+((I25*F25)/(I$10*F$10)-1)*costos!$E$18+((J25*F25)/((J$10*F$10)-1)*costos!$F$18/3+((K25*F25)/(K$10*F$10)-1)*costos!$F$18/3+((U25*F25)/(U$10*F$10)-1)*costos!$F$18/3+((L25*F25)/(L$10*F$10)-1)*costos!$G$18+((AY25)/(AY$10)-1)*costos!$J$18+((V25*F25)/(V$10*F$10)-1)*costos!$K$18)))</f>
        <v>147.66567844092975</v>
      </c>
      <c r="CM25" s="92">
        <f>CM$10*(1+((H25/H$10-1)*costos!$B$19+((I25*F25)/(I$10*F$10)-1)*costos!$E$19+((J25*F25)/((J$10*F$10)-1)*costos!$F$19/3+((K25*F25)/(K$10*F$10)-1)*costos!$F$19/3+((U25*F25)/(U$10*F$10)-1)*costos!$F$19/3+((L25*F25)/(L$10*F$10)-1)*costos!$G$19+((AZ25)/(AZ$10)-1)*costos!$J$19+((V25*F25)/(V$10*F$10)-1)*costos!$K$19)))</f>
        <v>134.5020515587675</v>
      </c>
      <c r="CN25" s="92">
        <f>CN$10*(1+((H25/H$10-1)*costos!$B$20+((I25*F25)/(I$10*F$10)-1)*costos!$E$20+((J25*F25)/((J$10*F$10)-1)*costos!$F$20/3+((K25*F25)/(K$10*F$10)-1)*costos!$F$20/3+((U25*F25)/(U$10*F$10)-1)*costos!$F$20/3+((L25*F25)/(L$10*F$10)-1)*costos!$G$20+((BA25)/(BA$10)-1)*costos!$J$20+((V25*F25)/(V$10*F$10)-1)*costos!$K$20)))</f>
        <v>121.61637927071442</v>
      </c>
      <c r="CO25" s="92">
        <f t="shared" si="61"/>
        <v>134.84652447478331</v>
      </c>
      <c r="CP25" s="92">
        <f>CP$10*(1+((H25/H$10-1)*costos!$B$22+((I25*F25)/(I$10*F$10)-1)*costos!$E$22+((J25*F25)/((J$10*F$10)-1)*costos!$F$22/3+((K25*F25)/(K$10*F$10)-1)*costos!$F$22/3+((U25*F25)/(U$10*F$10)-1)*costos!$F$22/3+((L25*F25)/(L$10*F$10)-1)*costos!$G$22+(((AVERAGE(AI25:AL25))/((AVERAGE(AI$10:AL$10))-1)*costos!$J$22+((V25*F25)/(V$10*F$10)-1)*costos!$K$22)))))</f>
        <v>172.24946141997737</v>
      </c>
      <c r="CQ25" s="92">
        <f>CQ$10*(1+((H25/H$10-1)*costos!$B$23+((I25*F25)/(I$10*F$10)-1)*costos!$E$23+((J25*F25)/((J$10*F$10)-1)*costos!$F$23/3+((K25*F25)/(K$10*F$10)-1)*costos!$F$23/3+((U25*F25)/(U$10*F$10)-1)*costos!$F$23/3+((L25*F25)/(L$10*F$10)-1)*costos!$G$23+((AN25)/(AN$10)-1)*costos!$J$23+((V25*F25)/(V$10*F$10)-1)*costos!$K$23)))</f>
        <v>134.45917370971978</v>
      </c>
      <c r="CR25" s="92">
        <f>CR$10*(1+((H25/H$10-1)*costos!$B$24+((I25*F25)/(I$10*F$10)-1)*costos!$E$24+((J25*F25)/((J$10*F$10)-1)*costos!$F$24/3+((K25*F25)/(K$10*F$10)-1)*costos!$F$24/3+((U25*F25)/(U$10*F$10)-1)*costos!$F$24/3+((L25*F25)/(L$10*F$10)-1)*costos!$G$24+((AO25)/(AO$10)-1)*costos!$J$24+((V25*F25)/(V$10*F$10)-1)*costos!$K$24)))</f>
        <v>128.57631893927305</v>
      </c>
      <c r="CS25" s="92">
        <f t="shared" si="62"/>
        <v>131.51774632449641</v>
      </c>
      <c r="CT25" s="92">
        <f>CT$10*(1+((H25/H$10-1)*costos!$B$25+((I25*F25)/(I$10*F$10)-1)*costos!$E$25+((J25*F25)/((J$10*F$10)-1)*costos!$F$25/3+((K25*F25)/(K$10*F$10)-1)*costos!$F$25/3+((U25*F25)/(U$10*F$10)-1)*costos!$F$25/3+((L25*F25)/(L$10*F$10)-1)*costos!$G$25+((AQ25)/(AQ$10)-1)*costos!$J$25+((V25*F25)/(V$10*F$10)-1)*costos!$K$25)))</f>
        <v>128.89229120165012</v>
      </c>
      <c r="CU25" s="92">
        <f>CU$10*(1+((H25/H$10-1)*costos!$B$26+((I25*F25)/(I$10*F$10)-1)*costos!$E$26+((J25*F25)/((J$10*F$10)-1)*costos!$F$26/3+((K25*F25)/(K$10*F$10)-1)*costos!$F$26/3+((U25*F25)/(U$10*F$10)-1)*costos!$F$26/3+((L25*F25)/(L$10*F$10)-1)*costos!$G$26+((AR25)/(AR$10)-1)*costos!$J$26+((V25*F25)/(V$10*F$10)-1)*costos!$K$26)))</f>
        <v>122.24659221499121</v>
      </c>
      <c r="CV25" s="92">
        <f>CV$10*(1+((H25/H$10-1)*costos!$B$27+((I25*F25)/(I$10*F$10)-1)*costos!$E$27+((J25*F25)/((J$10*F$10)-1)*costos!$F$27/3+((K25*F25)/(K$10*F$10)-1)*costos!$F$27/3+((U25*F25)/(U$10*F$10)-1)*costos!$F$27/3+((L25*F25)/(L$10*F$10)-1)*costos!$G$27+((AS25)/(AS$10)-1)*costos!$J$27+((V25*F25)/(V$10*F$10)-1)*costos!$K$27)))</f>
        <v>122.33728882814255</v>
      </c>
      <c r="CW25" s="92">
        <f>CW$10*(1+((H25/H$10-1)*costos!$B$28+((I25*F25)/(I$10*F$10)-1)*costos!$E$28+((J25*F25)/((J$10*F$10)-1)*costos!$F$28/3+((K25*F25)/(K$10*F$10)-1)*costos!$F$28/3+((U25*F25)/(U$10*F$10)-1)*costos!$F$28/3+((L25*F25)/(L$10*F$10)-1)*costos!$G$28+((AS25)/(AS$10)-1)*costos!$J$28+((V25*F25)/(V$10*F$10)-1)*costos!$K$28)))</f>
        <v>122.33728882814255</v>
      </c>
      <c r="CX25" s="92">
        <f t="shared" si="63"/>
        <v>122.30705662375878</v>
      </c>
      <c r="CY25" s="92">
        <f>CY$10*(1+((H25/H$10-1)*costos!$B$32+((I25*F25)/(I$10*F$10)-1)*costos!$E$32+((J25*F25)/((J$10*F$10)-1)*costos!$F$32/3+((K25*F25)/(K$10*F$10)-1)*costos!$F$32/3+((U25*F25)/(U$10*F$10)-1)*costos!$F$32/3+((L25*F25)/(L$10*F$10)-1)*costos!$G$32+((AG25)/(AG$10)-1)*costos!$J$32+((V25*F25)/(V$10*F$10)-1)*costos!$K$32)))</f>
        <v>133.02606136796356</v>
      </c>
      <c r="CZ25" s="69">
        <f>CZ$10*(1+((H25/H$10-1)*costos!$B$31+((I25*F25)/(I$10*F$10)-1)*costos!$E$30+((J25*F25)/((J$10*F$10)-1)*costos!$F$30/3+((K25*F25)/(K$10*F$10)-1)*costos!$F$30/3+((U25*F25)/(U$10*F$10)-1)*costos!$F$30/3+((L25*F25)/(L$10*F$10)-1)*costos!$G$30+((BG25)/(BG$10)-1)*costos!$J$30+((V25*F25)/(V$10*F$10)-1)*costos!$K$30)))</f>
        <v>138.17485373093064</v>
      </c>
      <c r="DA25" s="69">
        <f>DA$10*(1+((H25/H$10-1)*costos!$B$31+((I25*F25)/(I$10*F$10)-1)*costos!$E$31+((J25*F25)/((J$10*F$10)-1)*costos!$F$31/3+((K25*F25)/(K$10*F$10)-1)*costos!$F$31/3+((U25*F25)/(U$10*F$10)-1)*costos!$F$31/3+((L25*F25)/(L$10*F$10)-1)*costos!$G$31+((BJ25)/(BJ$10)-1)*costos!$J$31+((V25*F25)/(V$10*F$10)-1)*costos!$K$31)))</f>
        <v>133.12025492021823</v>
      </c>
      <c r="DB25" s="69">
        <f>DB$10*(1+((H25/H$10-1)*costos!$B$36+((I25*F25)/(I$10*F$10)-1)*costos!$E$36+((J25*F25)/((J$10*F$10)-1)*costos!$F$36/3+((K25*F25)/(K$10*F$10)-1)*costos!$F$36/3+((U25*F25)/(U$10*F$10)-1)*costos!$F$36/3+((L25*F25)/(L$10*F$10)-1)*costos!$G$36+((BK25)/(BK$10)-1)*costos!$J$36+((V25*F25)/(V$10*F$10)-1)*costos!$K$36)))</f>
        <v>132.34374581036033</v>
      </c>
      <c r="DC25" s="69">
        <f>DC$10*(1+((H25/H$10-1)*costos!$B$37+((I25*F25)/(I$10*F$10)-1)*costos!$E$37+((U25*F25)/(U$10*F$10)-1)*costos!$F$37+((L25*F25)/(L$10*F$10)-1)*costos!$G$37+((BN25)/(BN$10)-1)*costos!$J$37+((V25*F25)/(V$10*F$10)-1)*costos!$K$37))</f>
        <v>124.38224963015384</v>
      </c>
      <c r="DD25" s="69">
        <f>DD$10*(1+((H25/H$10-1)*costos!$B$39+((I25*F25)/(I$10*F$10)-1)*costos!$E$39+((U25*F25)/(U$10*F$10)-1)*costos!$F$39+((L25*F25)/(L$10*F$10)-1)*costos!$G$39+((BR25)/(BR$10)-1)*costos!$J$39+((V25*F25)/(V$10*F$10)-1)*costos!$K$39))</f>
        <v>121.63202023831808</v>
      </c>
      <c r="DE25" s="69">
        <f>DD$10*(1+((H25/H$10-1)*costos!$B$35+((I25*F25)/(I$10*F$10)-1)*costos!$E$35+((U25*F25)/(U$10*F$10)-1)*costos!$F$35+((L25*F25)/(L$10*F$10)-1)*costos!$G$35+((BR25)/(BR$10)-1)*costos!$J$35+((V25*F25)/(V$10*F$10)-1)*costos!$K$35))</f>
        <v>119.58878261483767</v>
      </c>
      <c r="DF25" s="69">
        <f>DF$10*(1+((H25/H$10-1)*costos!$B$40+((I25*F25)/(I$10*F$10)-1)*costos!$E$40+((U25*F25)/(U$10*F$10)-1)*costos!$F$40+((L25*F25)/(L$10*F$10)-1)*costos!$G$40+((BP25)/(BP$10)-1)*costos!$J$40+((V25*F25)/(V$10*F$10)-1)*costos!$K$40))</f>
        <v>119.86533890591767</v>
      </c>
      <c r="DG25" s="92">
        <f t="shared" si="64"/>
        <v>119.72706076037767</v>
      </c>
      <c r="DH25" s="69">
        <f>DH$10*(1+((H25/H$10-1)*costos!$B$34+((I25*F25)/(I$10*F$10)-1)*costos!$E$34+((J25*F25)/((J$10*F$10)-1)*costos!$F$34/3+((K25*F25)/(K$10*F$10)-1)*costos!$F$34/3+((U25*F25)/(U$10*F$10)-1)*costos!$F$34/3+((L25*F25)/(L$10*F$10)-1)*costos!$G$34+((BV25)/(BV$10)-1)*costos!$J$34+((V25*F25)/(V$10*F$10)-1)*costos!$K$34)))</f>
        <v>134.10325658748468</v>
      </c>
      <c r="DI25" s="69">
        <f>DI$10*(1+((H25/H$10-1)*costos!$B$38+((I25*F25)/(I$10*F$10)-1)*costos!$E$38+((J25*F25)/((J$10*F$10)-1)*costos!$F$38/3+((K25*F25)/(K$10*F$10)-1)*costos!$F$38/3+((U25*F25)/(U$10*F$10)-1)*costos!$F$38/3+((L25*F25)/(L$10*F$10)-1)*costos!$G$38+((BU25)/(BU$10)-1)*costos!$J$38+((V25*F25)/(V$10*F$10)-1)*costos!$K$38)))</f>
        <v>132.73288956643478</v>
      </c>
      <c r="DK25" s="1">
        <v>258900</v>
      </c>
      <c r="DL25" s="1" t="s">
        <v>106</v>
      </c>
      <c r="DM25" s="82">
        <f t="shared" si="155"/>
        <v>206500</v>
      </c>
      <c r="DN25" s="82" t="str">
        <f t="shared" si="155"/>
        <v>2016-17</v>
      </c>
      <c r="DO25" s="82">
        <f t="shared" si="155"/>
        <v>850000</v>
      </c>
      <c r="DP25" s="82" t="str">
        <f t="shared" si="155"/>
        <v>2016-17</v>
      </c>
      <c r="DQ25" s="82">
        <f t="shared" si="155"/>
        <v>1700000</v>
      </c>
      <c r="DR25" s="82" t="str">
        <f t="shared" si="155"/>
        <v>2016-17</v>
      </c>
      <c r="DS25" s="1">
        <v>4900000</v>
      </c>
      <c r="DT25" s="1" t="s">
        <v>106</v>
      </c>
      <c r="DU25" s="1">
        <v>19200000</v>
      </c>
      <c r="DV25" s="1" t="s">
        <v>106</v>
      </c>
      <c r="DW25" s="82">
        <f>+DW24</f>
        <v>800000</v>
      </c>
      <c r="DX25" s="82" t="str">
        <f>+DX24</f>
        <v>2016-17</v>
      </c>
      <c r="DY25" s="83">
        <v>6365000</v>
      </c>
      <c r="DZ25" s="83" t="str">
        <f t="shared" si="148"/>
        <v>2016-17</v>
      </c>
      <c r="EA25" s="79">
        <f t="shared" si="67"/>
        <v>33815000</v>
      </c>
      <c r="EB25" s="82">
        <f t="shared" si="156"/>
        <v>364191</v>
      </c>
      <c r="EC25" s="82" t="str">
        <f t="shared" si="157"/>
        <v>2016-17</v>
      </c>
      <c r="ED25" s="83">
        <f t="shared" si="157"/>
        <v>165327</v>
      </c>
      <c r="EE25" s="143">
        <f t="shared" si="157"/>
        <v>2016</v>
      </c>
      <c r="EF25" s="83">
        <f t="shared" si="121"/>
        <v>220848</v>
      </c>
      <c r="EG25" s="143">
        <f t="shared" si="122"/>
        <v>2017</v>
      </c>
      <c r="EH25" s="83">
        <v>54163380</v>
      </c>
      <c r="EI25" s="143">
        <v>2017</v>
      </c>
      <c r="EJ25" s="83">
        <f t="shared" ref="EJ25:EJ35" si="169">+EJ24</f>
        <v>5119438</v>
      </c>
      <c r="EK25" s="143">
        <v>2018</v>
      </c>
      <c r="EL25" s="82">
        <f t="shared" si="120"/>
        <v>14864321</v>
      </c>
      <c r="EM25" s="144">
        <f t="shared" si="120"/>
        <v>2016</v>
      </c>
      <c r="EN25" s="82">
        <f t="shared" si="120"/>
        <v>3499621</v>
      </c>
      <c r="EO25" s="144">
        <f t="shared" si="120"/>
        <v>2016</v>
      </c>
      <c r="EP25" s="82">
        <f t="shared" si="118"/>
        <v>6552</v>
      </c>
      <c r="EQ25" s="83">
        <f t="shared" si="100"/>
        <v>3003036</v>
      </c>
      <c r="ER25" s="1">
        <v>33739</v>
      </c>
      <c r="ES25" s="82"/>
      <c r="ET25" s="83">
        <f t="shared" si="101"/>
        <v>23614</v>
      </c>
      <c r="EU25" s="83">
        <f t="shared" si="101"/>
        <v>16845</v>
      </c>
      <c r="EV25" s="83">
        <f t="shared" si="101"/>
        <v>9213</v>
      </c>
      <c r="EW25" s="83">
        <f t="shared" si="101"/>
        <v>17766</v>
      </c>
      <c r="EX25" s="79">
        <f t="shared" si="72"/>
        <v>67438</v>
      </c>
      <c r="EY25" s="1">
        <f t="shared" si="123"/>
        <v>19284</v>
      </c>
      <c r="EZ25" s="82">
        <f t="shared" si="123"/>
        <v>74845</v>
      </c>
      <c r="FA25" s="1">
        <f t="shared" si="103"/>
        <v>20879</v>
      </c>
      <c r="FB25" s="1">
        <f t="shared" si="103"/>
        <v>19496</v>
      </c>
      <c r="FC25" s="79">
        <f t="shared" si="73"/>
        <v>40375</v>
      </c>
      <c r="FD25" s="1">
        <f t="shared" si="158"/>
        <v>65075.3</v>
      </c>
      <c r="FE25" s="1"/>
      <c r="FF25" s="82">
        <f t="shared" si="129"/>
        <v>708196</v>
      </c>
      <c r="FG25" s="82" t="str">
        <f t="shared" si="130"/>
        <v>2015-16</v>
      </c>
      <c r="FH25" s="82">
        <f t="shared" si="132"/>
        <v>1404980</v>
      </c>
      <c r="FI25" s="82" t="str">
        <f t="shared" si="132"/>
        <v>2015-16</v>
      </c>
      <c r="FJ25" s="82">
        <f t="shared" si="159"/>
        <v>3000000</v>
      </c>
      <c r="FK25" s="82" t="str">
        <f t="shared" si="160"/>
        <v>2016-17</v>
      </c>
      <c r="FL25" s="82">
        <f t="shared" ref="FL25:FM31" si="170">+FL24</f>
        <v>3300000</v>
      </c>
      <c r="FM25" s="82" t="str">
        <f t="shared" si="170"/>
        <v>2016-17</v>
      </c>
      <c r="FN25" s="1">
        <v>37000000</v>
      </c>
      <c r="FO25" s="1" t="s">
        <v>106</v>
      </c>
      <c r="FP25" s="1">
        <v>56500000</v>
      </c>
      <c r="FQ25" s="1" t="s">
        <v>106</v>
      </c>
      <c r="FR25" s="82">
        <f t="shared" si="164"/>
        <v>3200000</v>
      </c>
      <c r="FS25" s="82" t="str">
        <f t="shared" si="164"/>
        <v>2016-17</v>
      </c>
      <c r="FT25" s="1">
        <v>18395000</v>
      </c>
      <c r="FU25" s="83" t="str">
        <f t="shared" si="161"/>
        <v>2016-17</v>
      </c>
      <c r="FV25" s="79">
        <f t="shared" si="76"/>
        <v>121395000</v>
      </c>
      <c r="FW25" s="82">
        <f t="shared" si="126"/>
        <v>1001113</v>
      </c>
      <c r="FX25" s="82" t="str">
        <f t="shared" si="127"/>
        <v>2015-16</v>
      </c>
      <c r="FY25" s="1">
        <v>67565.925000000003</v>
      </c>
      <c r="FZ25" s="79">
        <f t="shared" si="135"/>
        <v>773780.99199999997</v>
      </c>
      <c r="GA25" s="86" t="str">
        <f t="shared" si="136"/>
        <v>may16 abr17</v>
      </c>
      <c r="GB25" s="1">
        <v>19652055</v>
      </c>
      <c r="GC25" s="6">
        <v>2017</v>
      </c>
      <c r="GD25" s="1">
        <f t="shared" si="165"/>
        <v>1675851</v>
      </c>
      <c r="GE25" s="1">
        <v>459665</v>
      </c>
      <c r="GF25" s="1">
        <v>1024918</v>
      </c>
      <c r="GG25" s="1">
        <f t="shared" si="166"/>
        <v>112337</v>
      </c>
      <c r="GH25" s="79">
        <f t="shared" si="78"/>
        <v>1596920</v>
      </c>
      <c r="GI25" s="82">
        <f t="shared" si="79"/>
        <v>1302556</v>
      </c>
      <c r="GJ25" s="83">
        <f t="shared" si="162"/>
        <v>665408</v>
      </c>
      <c r="GK25" s="83">
        <f t="shared" si="162"/>
        <v>660753</v>
      </c>
      <c r="GL25" s="83">
        <f t="shared" si="162"/>
        <v>290290.46000000002</v>
      </c>
      <c r="GM25" s="1">
        <f t="shared" si="162"/>
        <v>263224.75</v>
      </c>
      <c r="GN25" s="79">
        <f t="shared" si="81"/>
        <v>1879676.21</v>
      </c>
      <c r="GO25" s="83">
        <f t="shared" si="107"/>
        <v>193430</v>
      </c>
      <c r="GP25" s="83">
        <f t="shared" si="107"/>
        <v>76379</v>
      </c>
      <c r="GQ25" s="1"/>
      <c r="GR25" s="1">
        <f t="shared" si="150"/>
        <v>42700</v>
      </c>
      <c r="GS25" s="79">
        <f t="shared" si="83"/>
        <v>42700</v>
      </c>
      <c r="GT25" s="83">
        <f t="shared" si="108"/>
        <v>2459310</v>
      </c>
      <c r="GU25" s="1">
        <v>78063</v>
      </c>
      <c r="GV25" s="1">
        <v>68655</v>
      </c>
      <c r="GW25" s="79">
        <f t="shared" si="151"/>
        <v>1369448.3333333335</v>
      </c>
      <c r="GX25" s="83">
        <v>32330.198</v>
      </c>
      <c r="GY25" s="83" t="s">
        <v>328</v>
      </c>
      <c r="GZ25" s="83">
        <f t="shared" si="109"/>
        <v>117154</v>
      </c>
      <c r="HA25" s="1">
        <v>208000</v>
      </c>
      <c r="HB25" s="79">
        <f t="shared" si="137"/>
        <v>2683000</v>
      </c>
      <c r="HC25" s="86" t="str">
        <f t="shared" si="138"/>
        <v>may16 abr17</v>
      </c>
      <c r="HD25" s="1">
        <v>43316</v>
      </c>
      <c r="HE25" s="79">
        <f t="shared" si="139"/>
        <v>530627</v>
      </c>
      <c r="HF25" s="86" t="str">
        <f t="shared" si="140"/>
        <v>may16 abr17</v>
      </c>
      <c r="HG25" s="1">
        <v>171000</v>
      </c>
      <c r="HH25" s="79">
        <f t="shared" si="141"/>
        <v>2110000</v>
      </c>
      <c r="HI25" s="86" t="str">
        <f t="shared" si="142"/>
        <v>may16 abr17</v>
      </c>
      <c r="HJ25" s="1">
        <v>68692</v>
      </c>
      <c r="HK25" s="79">
        <f t="shared" si="143"/>
        <v>19579.98</v>
      </c>
      <c r="HL25" s="86" t="str">
        <f t="shared" si="144"/>
        <v>may16 abr17</v>
      </c>
      <c r="HM25" s="79">
        <f t="shared" si="86"/>
        <v>2129579.98</v>
      </c>
      <c r="HN25" s="87">
        <v>4.9345011664731334E-2</v>
      </c>
      <c r="HO25" s="1">
        <f t="shared" si="152"/>
        <v>707573341.36552835</v>
      </c>
      <c r="HP25" s="79">
        <f t="shared" si="153"/>
        <v>9762.082984929335</v>
      </c>
      <c r="HQ25" s="86" t="str">
        <f t="shared" si="145"/>
        <v>may16 abr17</v>
      </c>
      <c r="HR25" s="3"/>
      <c r="HS25" s="1"/>
      <c r="HT25" s="1"/>
      <c r="HU25" s="83">
        <v>680000</v>
      </c>
      <c r="HV25" s="83" t="s">
        <v>106</v>
      </c>
      <c r="HW25" s="1">
        <v>1430000</v>
      </c>
      <c r="HX25" s="1" t="s">
        <v>106</v>
      </c>
      <c r="HY25" s="1">
        <v>3350000</v>
      </c>
      <c r="HZ25" s="1" t="s">
        <v>106</v>
      </c>
      <c r="IA25" s="1">
        <f t="shared" ref="IA25:IA35" si="171">3240000+15840000</f>
        <v>19080000</v>
      </c>
      <c r="IB25" s="1" t="s">
        <v>106</v>
      </c>
      <c r="IC25" s="1">
        <v>47130000</v>
      </c>
      <c r="ID25" s="1" t="s">
        <v>106</v>
      </c>
      <c r="IE25" s="1">
        <f t="shared" ref="IE25:IE35" si="172">150000+2300000</f>
        <v>2450000</v>
      </c>
      <c r="IF25" s="1" t="s">
        <v>106</v>
      </c>
      <c r="IG25" s="1">
        <f t="shared" si="154"/>
        <v>6760000</v>
      </c>
      <c r="IH25" s="1" t="s">
        <v>106</v>
      </c>
      <c r="II25" s="79">
        <f t="shared" si="87"/>
        <v>80200000</v>
      </c>
      <c r="IJ25" s="97">
        <f t="shared" si="167"/>
        <v>1.5629261117125455</v>
      </c>
      <c r="IK25" s="1" t="s">
        <v>106</v>
      </c>
      <c r="IL25" s="7">
        <v>43.8</v>
      </c>
      <c r="IM25" s="7">
        <v>51.296834627410149</v>
      </c>
      <c r="IN25" s="7">
        <v>197</v>
      </c>
      <c r="IO25" s="695">
        <v>12.49</v>
      </c>
      <c r="IP25" s="98">
        <f t="shared" si="163"/>
        <v>5.6020702831241165</v>
      </c>
      <c r="IQ25" s="93">
        <v>20.2</v>
      </c>
      <c r="IR25" s="93">
        <f t="shared" si="168"/>
        <v>3.01</v>
      </c>
      <c r="IS25" s="93">
        <f t="shared" si="168"/>
        <v>5.59</v>
      </c>
      <c r="IT25" s="93">
        <f t="shared" si="168"/>
        <v>11.85</v>
      </c>
      <c r="IU25" s="93">
        <f t="shared" si="168"/>
        <v>0.79</v>
      </c>
      <c r="IV25" s="94">
        <f t="shared" si="89"/>
        <v>18.229999999999997</v>
      </c>
      <c r="IW25" s="84"/>
      <c r="IX25" s="84"/>
      <c r="IY25" s="105">
        <v>1.84</v>
      </c>
      <c r="IZ25" s="161">
        <v>0.3</v>
      </c>
      <c r="JA25" s="570"/>
      <c r="JB25" s="84">
        <v>41.09</v>
      </c>
      <c r="JC25" s="84"/>
      <c r="JD25" s="84"/>
      <c r="JF25" s="2">
        <v>4.6521332800000001</v>
      </c>
      <c r="JG25" s="2">
        <v>14.98686058</v>
      </c>
      <c r="JH25" s="2">
        <v>55.956556349999993</v>
      </c>
      <c r="JI25" s="2">
        <v>93.427936130000006</v>
      </c>
      <c r="JJ25" s="2">
        <v>469.09539126999999</v>
      </c>
      <c r="JK25" s="2">
        <v>56.617485389999992</v>
      </c>
      <c r="JL25" s="2">
        <v>1489.23129406</v>
      </c>
      <c r="JM25" s="2">
        <v>5.6480286799999995</v>
      </c>
      <c r="JN25" s="2">
        <v>158.12437778999998</v>
      </c>
      <c r="JO25" s="2">
        <v>16.782956819999999</v>
      </c>
      <c r="JP25" s="2">
        <v>1.024E-3</v>
      </c>
      <c r="JQ25" s="2">
        <v>1.2761134599999999</v>
      </c>
      <c r="JR25" s="2">
        <v>0.9274045099999999</v>
      </c>
      <c r="JS25" s="2">
        <v>0</v>
      </c>
      <c r="JT25" s="2">
        <v>0.53179524</v>
      </c>
      <c r="JU25" s="2">
        <v>74.75249973999999</v>
      </c>
      <c r="JV25" s="2">
        <v>14.596967690000001</v>
      </c>
      <c r="JW25" s="2">
        <v>41.896248829999998</v>
      </c>
      <c r="JX25" s="2">
        <v>34.269380210000001</v>
      </c>
      <c r="JY25" s="2">
        <v>3.3969007400000004</v>
      </c>
      <c r="JZ25" s="2">
        <v>0.62964766999999999</v>
      </c>
      <c r="KA25" s="2">
        <v>0.13214914999999999</v>
      </c>
      <c r="KB25" s="2">
        <v>22.928221450000002</v>
      </c>
      <c r="KC25" s="2">
        <v>7.2020895400000002</v>
      </c>
      <c r="KD25" s="2">
        <v>7.2116885799999997</v>
      </c>
      <c r="KE25" s="2">
        <v>18.79344558</v>
      </c>
      <c r="KF25" s="2">
        <v>24.920529299999998</v>
      </c>
      <c r="KG25" s="2">
        <v>187.86131429000002</v>
      </c>
      <c r="KH25" s="2">
        <v>33.135752799999999</v>
      </c>
      <c r="KI25" s="2">
        <v>17.75233588</v>
      </c>
      <c r="KJ25" s="2">
        <v>1.3874118899999996</v>
      </c>
      <c r="KK25" s="2">
        <v>6.592508640000001</v>
      </c>
      <c r="KL25" s="2">
        <v>0.62239456999999998</v>
      </c>
      <c r="KM25" s="2">
        <v>7.7588517200000009</v>
      </c>
      <c r="KN25" s="2">
        <v>6.5621800000000008E-2</v>
      </c>
      <c r="KO25" s="2">
        <v>2.6550543599999998</v>
      </c>
      <c r="KP25" s="2">
        <v>6.6016199999999997E-2</v>
      </c>
      <c r="KQ25" s="2">
        <v>50.061913420000003</v>
      </c>
      <c r="KR25" s="2">
        <v>0</v>
      </c>
      <c r="KS25" s="2">
        <v>8.0694080000000001E-2</v>
      </c>
      <c r="KT25" s="2">
        <v>1.7702687900000003</v>
      </c>
      <c r="KU25" s="2">
        <v>0.62737856999999997</v>
      </c>
      <c r="KV25" s="2">
        <v>0</v>
      </c>
      <c r="KW25" s="2">
        <v>3.8684401899999998</v>
      </c>
      <c r="KX25" s="2">
        <v>0</v>
      </c>
      <c r="KY25" s="2">
        <v>0</v>
      </c>
      <c r="KZ25" s="2">
        <v>6.0455985200000004</v>
      </c>
      <c r="LA25" s="2">
        <v>0.69823413999999995</v>
      </c>
      <c r="LB25" s="2">
        <v>5.0141400000000003E-3</v>
      </c>
      <c r="LC25" s="2">
        <v>4.0955900000000003E-2</v>
      </c>
      <c r="LD25" s="2">
        <v>0</v>
      </c>
      <c r="LE25" s="2">
        <v>0.71132169000000001</v>
      </c>
      <c r="LF25" s="2">
        <v>0</v>
      </c>
      <c r="LG25" s="2">
        <v>16.827980640000003</v>
      </c>
      <c r="LH25" s="2">
        <v>3.3895350899999999</v>
      </c>
      <c r="LI25" s="2">
        <v>1.1968000000000001E-4</v>
      </c>
      <c r="LJ25" s="2">
        <v>0.13431883</v>
      </c>
      <c r="LK25" s="2">
        <v>1.3408029500000003</v>
      </c>
      <c r="LL25" s="2">
        <v>3.6380824299999999</v>
      </c>
      <c r="LM25" s="2">
        <v>2.16944231</v>
      </c>
      <c r="LN25" s="2">
        <v>0.18944437</v>
      </c>
      <c r="LO25" s="2">
        <v>7.881446079999999</v>
      </c>
      <c r="LQ25" s="85">
        <f t="shared" si="90"/>
        <v>2271.4835842799998</v>
      </c>
      <c r="LR25" s="85">
        <f t="shared" si="91"/>
        <v>2.7353132100000002</v>
      </c>
      <c r="LS25" s="85">
        <f t="shared" si="92"/>
        <v>56.493216519999997</v>
      </c>
      <c r="LT25" s="85">
        <f t="shared" si="93"/>
        <v>4.1586975600000002</v>
      </c>
      <c r="LU25" s="85">
        <f t="shared" si="94"/>
        <v>60.622135380000003</v>
      </c>
      <c r="LV25" s="85">
        <f t="shared" si="95"/>
        <v>3.8684401899999998</v>
      </c>
      <c r="LW25" s="85">
        <f t="shared" si="96"/>
        <v>0.70324827999999995</v>
      </c>
      <c r="LX25" s="85">
        <f t="shared" si="97"/>
        <v>0.71132169000000001</v>
      </c>
      <c r="LZ25" s="131">
        <v>18.12</v>
      </c>
      <c r="MA25" s="171">
        <v>20.22</v>
      </c>
      <c r="MB25"/>
      <c r="MC25"/>
      <c r="MD25"/>
      <c r="MF25"/>
      <c r="MG25"/>
      <c r="MH25" s="83">
        <v>38.19</v>
      </c>
      <c r="MI25" s="83">
        <v>10.5</v>
      </c>
      <c r="MJ25" s="83">
        <v>14.67</v>
      </c>
      <c r="MK25"/>
      <c r="ML25" s="83">
        <v>12.07</v>
      </c>
      <c r="MM25" s="83">
        <v>27.61</v>
      </c>
      <c r="MN25" s="83"/>
      <c r="MO25" s="83">
        <v>14.79</v>
      </c>
      <c r="MP25" s="83">
        <v>38.85</v>
      </c>
      <c r="MQ25" s="83">
        <v>32.909999999999997</v>
      </c>
      <c r="MR25"/>
      <c r="MT25" s="83"/>
      <c r="MU25" s="83">
        <v>13.73</v>
      </c>
      <c r="MV25"/>
      <c r="MW25"/>
      <c r="MX25"/>
      <c r="MY25" s="83">
        <v>29.81</v>
      </c>
      <c r="MZ25" s="83">
        <v>89.6</v>
      </c>
      <c r="NA25" s="83">
        <v>37.299999999999997</v>
      </c>
      <c r="NB25" s="83">
        <v>123.99</v>
      </c>
      <c r="NC25" s="83">
        <v>19.98</v>
      </c>
      <c r="ND25"/>
      <c r="NE25" s="1">
        <v>110.93</v>
      </c>
    </row>
    <row r="26" spans="1:369">
      <c r="A26" s="38">
        <f t="shared" si="32"/>
        <v>42856</v>
      </c>
      <c r="B26" s="36">
        <v>5</v>
      </c>
      <c r="C26" s="36">
        <v>2017</v>
      </c>
      <c r="D26" s="36">
        <f t="shared" si="50"/>
        <v>26</v>
      </c>
      <c r="E26" s="38">
        <f t="shared" si="33"/>
        <v>42856</v>
      </c>
      <c r="F26" s="7">
        <v>15.910952380952381</v>
      </c>
      <c r="G26" s="7">
        <v>110.5</v>
      </c>
      <c r="H26" s="1">
        <f>[2]NACIONALES!$D14</f>
        <v>10368</v>
      </c>
      <c r="I26" s="7">
        <v>105</v>
      </c>
      <c r="J26" s="7">
        <v>410</v>
      </c>
      <c r="K26" s="7">
        <v>2.6</v>
      </c>
      <c r="L26" s="7">
        <v>38.799999999999997</v>
      </c>
      <c r="N26" s="5">
        <v>1.7189047619047619</v>
      </c>
      <c r="O26" s="5">
        <v>1.563952380952381</v>
      </c>
      <c r="P26" s="78">
        <f t="shared" si="34"/>
        <v>26.116691836734695</v>
      </c>
      <c r="Q26" s="6">
        <v>355</v>
      </c>
      <c r="R26" s="79">
        <f t="shared" si="35"/>
        <v>3550</v>
      </c>
      <c r="S26" s="6">
        <v>144.33333333333334</v>
      </c>
      <c r="T26" s="6">
        <v>290.47619047619048</v>
      </c>
      <c r="U26" s="143">
        <v>154.60952380952381</v>
      </c>
      <c r="V26" s="6">
        <v>245.1</v>
      </c>
      <c r="W26" s="6">
        <v>117.19047619047619</v>
      </c>
      <c r="X26" s="6">
        <v>160.36363636363637</v>
      </c>
      <c r="Y26" s="79">
        <f t="shared" si="36"/>
        <v>2296.4807936507937</v>
      </c>
      <c r="Z26" s="79">
        <f t="shared" si="37"/>
        <v>4621.75283446712</v>
      </c>
      <c r="AA26" s="79">
        <f t="shared" si="38"/>
        <v>2459.9847709750566</v>
      </c>
      <c r="AB26" s="79">
        <f t="shared" si="39"/>
        <v>3899.7744285714284</v>
      </c>
      <c r="AC26" s="79">
        <f t="shared" si="40"/>
        <v>1864.6120861678005</v>
      </c>
      <c r="AD26" s="79">
        <f t="shared" si="41"/>
        <v>2551.5381818181818</v>
      </c>
      <c r="AE26" s="79">
        <f t="shared" si="42"/>
        <v>2949.0238492750636</v>
      </c>
      <c r="AF26" s="1">
        <v>10809.4375</v>
      </c>
      <c r="AG26" s="1">
        <v>6012</v>
      </c>
      <c r="AH26" s="1">
        <v>22202</v>
      </c>
      <c r="AI26" s="5">
        <v>11.21</v>
      </c>
      <c r="AJ26" s="5">
        <v>7.99</v>
      </c>
      <c r="AK26" s="5">
        <v>7.15</v>
      </c>
      <c r="AL26" s="5">
        <v>5.36</v>
      </c>
      <c r="AM26" s="78">
        <f t="shared" si="43"/>
        <v>8.6216000000000008</v>
      </c>
      <c r="AN26" s="7">
        <v>460.625</v>
      </c>
      <c r="AO26" s="7">
        <v>212.74949999999998</v>
      </c>
      <c r="AP26" s="78">
        <f t="shared" si="146"/>
        <v>212.74949999999998</v>
      </c>
      <c r="AQ26" s="7">
        <v>227.09375</v>
      </c>
      <c r="AR26" s="7">
        <v>127.12400000000002</v>
      </c>
      <c r="AS26" s="7">
        <v>110.42424242424242</v>
      </c>
      <c r="AT26" s="7">
        <v>200.75</v>
      </c>
      <c r="AU26" s="78">
        <f t="shared" si="53"/>
        <v>146.09941414141414</v>
      </c>
      <c r="AV26" s="7">
        <v>144.84677419354841</v>
      </c>
      <c r="AW26" s="7">
        <v>294.04380952380956</v>
      </c>
      <c r="AX26" s="7">
        <v>113.81904761904764</v>
      </c>
      <c r="AY26" s="7">
        <v>186.50414634146352</v>
      </c>
      <c r="AZ26" s="7">
        <v>165.29428571428573</v>
      </c>
      <c r="BA26" s="7">
        <v>77.33</v>
      </c>
      <c r="BB26" s="94">
        <f t="shared" si="45"/>
        <v>145.5090485869145</v>
      </c>
      <c r="BC26" s="68">
        <f>+BC25</f>
        <v>617</v>
      </c>
      <c r="BD26" s="68">
        <f>+BD25</f>
        <v>725</v>
      </c>
      <c r="BE26" s="7">
        <f t="shared" si="55"/>
        <v>660</v>
      </c>
      <c r="BF26" s="7">
        <f t="shared" si="55"/>
        <v>400</v>
      </c>
      <c r="BG26" s="94">
        <f t="shared" si="56"/>
        <v>600.5</v>
      </c>
      <c r="BH26" s="7">
        <v>43.18</v>
      </c>
      <c r="BI26" s="7">
        <f t="shared" si="134"/>
        <v>10.766</v>
      </c>
      <c r="BJ26" s="78">
        <f t="shared" si="57"/>
        <v>53.945999999999998</v>
      </c>
      <c r="BK26" s="7">
        <v>32.737000000000002</v>
      </c>
      <c r="BL26" s="7">
        <v>34.536999999999999</v>
      </c>
      <c r="BM26" s="94">
        <f t="shared" si="58"/>
        <v>33.637</v>
      </c>
      <c r="BN26" s="5">
        <v>5.41</v>
      </c>
      <c r="BO26" s="105">
        <v>18.288095238095242</v>
      </c>
      <c r="BP26" s="80">
        <v>12.644</v>
      </c>
      <c r="BQ26" s="94">
        <f t="shared" si="59"/>
        <v>17.723685714285715</v>
      </c>
      <c r="BR26" s="7">
        <v>19.07</v>
      </c>
      <c r="BS26" s="7">
        <v>74</v>
      </c>
      <c r="BT26" s="7">
        <v>49.6</v>
      </c>
      <c r="BU26" s="79">
        <f t="shared" si="147"/>
        <v>1036.8</v>
      </c>
      <c r="BV26" s="97">
        <v>33.4</v>
      </c>
      <c r="BW26" s="7"/>
      <c r="BY26" s="92">
        <f>BY$10*(1+((H26/H$10-1)*costos!$B$5+((I26*F26)/(I$10*F$10)-1)*costos!$E$5+((J26*F26)/((J$10*F$10)-1)*costos!$F$5/3+((K26*F26)/(K$10*F$10)-1)*costos!$F$5/3+((U26*F26)/(U$10*F$10)-1)*costos!$F$5/3+((L26*F26)/(L$10*F$10)-1)*costos!$G$5+((N26*F26)/(N$10*F$10)-1)*costos!$J$5+((V26*F26)/(V$10*F$10)-1)*costos!$K$5)))</f>
        <v>141.67049373302055</v>
      </c>
      <c r="BZ26" s="92">
        <f>$BZ$10*(1+((H26/$H$10-1)*costos!$B$6+((I26*F26)/($I$10*$F$10)-1)*costos!$E$6+((J26*F26)/(($J$10*$F$10)-1)*costos!$F$6/3+((K26*F26)/($K$10*$F$10)-1)*costos!$F$6/3+((U26*F26)/($U$10*$F$10)-1)*costos!$F$6/3+((L26*F26)/($L$10*$F$10)-1)*costos!$G$6+((Q26*F26)/($Q$10*$F$10)-1)*costos!$J$6+((V26*F26)/($V$10*$F$10)-1)*costos!$K$6)))</f>
        <v>126.984994740112</v>
      </c>
      <c r="CA26" s="92">
        <f>CA$10*(1+((H26/H$10-1)*costos!$B$7+((I26*F26)/(I$10*F$10)-1)*costos!$E$7+((J26*F26)/((J$10*F$10)-1)*costos!$F$7/3+((K26*F26)/(K$10*F$10)-1)*costos!$F$7/3+((U26*F26)/(U$10*F$10)-1)*costos!$F$7/3+((L26*F26)/(L$10*F$10)-1)*costos!$G$7+((S26*F26)/(S$10*F$10)-1)*costos!$J$7+((V26*F26)/(V$10*F$10)-1)*costos!$K$7)))</f>
        <v>127.26902668868243</v>
      </c>
      <c r="CB26" s="92">
        <f>CB$10*(1+((H26/H$10-1)*costos!$B$8+((I26*F26)/(I$10*F$10)-1)*costos!$E$8+((J26*F26)/((J$10*F$10)-1)*costos!$F$8/3+((K26*F26)/(K$10*F$10)-1)*costos!$F$8/3+((U26*F26)/(U$10*F$10)-1)*costos!$F$8/3+((L26*F26)/(L$10*F$10)-1)*costos!$G$8+((T26*F26)/(T$10*F$10)-1)*costos!$J$8+((V26*F26)/(V$10*F$10)-1)*costos!$K$8)))</f>
        <v>128.96658516536158</v>
      </c>
      <c r="CC26" s="92">
        <f>CC$10*(1+((H26/H$10-1)*costos!$B$9+((I26*F26)/(I$10*F$10)-1)*costos!$E$9+((J26*F26)/((J$10*F$10)-1)*costos!$F$9/3+((K26*F26)/(K$10*F$10)-1)*costos!$F$9/3+((U26*F26)/(U$10*F$10)-1)*costos!$F$9/3+((L26*F26)/(L$10*F$10)-1)*costos!$G$9+((U26*F26)/(U$10*F$10)-1)*costos!$J$9+((V26*F26)/(V$10*F$10)-1)*costos!$K$9)))</f>
        <v>130.36161045981888</v>
      </c>
      <c r="CD26" s="92">
        <f>CD$10*(1+((H26/H$10-1)*costos!$B$11+((I26*F26)/(I$10*F$10)-1)*costos!$E$11+((J26*F26)/((J$10*F$10)-1)*costos!$F$11/3+((K26*F26)/(K$10*F$10)-1)*costos!$F$11/3+((U26*F26)/(U$10*F$10)-1)*costos!$F$11/3+((L26*F26)/(L$10*F$10)-1)*costos!$G$11+((V26*F26)/(V$10*F$10)-1)*costos!$J$11+((V26*F26)/(V$10*F$10)-1)*costos!$K$11)))</f>
        <v>127.12287274435701</v>
      </c>
      <c r="CE26" s="92">
        <f>CE$10*(1+((H26/H$10-1)*costos!$B$12+((I26*F26)/(I$10*F$10)-1)*costos!$E$12+((J26*F26)/((J$10*F$10)-1)*costos!$F$12/3+((K26*F26)/(K$10*F$10)-1)*costos!$F$12/3+((U26*F26)/(U$10*F$10)-1)*costos!$F$12/3+((L26*F26)/(L$10*F$10)-1)*costos!$G$12+((W26*F26)/(W$10*F$10)-1)*costos!$J$12+((V26*F26)/(V$10*F$10)-1)*costos!$K$12)))</f>
        <v>121.69025375770684</v>
      </c>
      <c r="CF26" s="92">
        <f>CF$10*(1+((H26/H$10-1)*costos!$B$13+((I26*F26)/(I$10*F$10)-1)*costos!$E$13+((J26*F26)/((J$10*F$10)-1)*costos!$F$13/3+((K26*F26)/(K$10*F$10)-1)*costos!$F$13/3+((U26*F26)/(U$10*F$10)-1)*costos!$F$13/3+((L26*F26)/(L$10*F$10)-1)*costos!$G$13+((X26*F26)/(X$10*F$10)-1)*costos!$J$13+((V26*F26)/(V$10*F$10)-1)*costos!$K$13)))</f>
        <v>130.9787228468914</v>
      </c>
      <c r="CG26" s="92">
        <f t="shared" si="60"/>
        <v>127.73151194380301</v>
      </c>
      <c r="CH26" s="92">
        <f>CH$10*(1+((H26/H$10-1)*costos!$B$10+((I26*F26)/(I$10*F$10)-1)*costos!$E$10+((J26*F26)/((J$10*F$10)-1)*costos!$F$10/3+((K26*F26)/(K$10*F$10)-1)*costos!$F$10/3+((U26*F26)/(U$10*F$10)-1)*costos!$F$10/3+((L26*F26)/(L$10*F$10)-1)*costos!$G$10+((AF26)/(AF$10)-1)*costos!$J$10+((V26*F26)/(V$10*F$10)-1)*costos!$K$10)))</f>
        <v>142.51494059231305</v>
      </c>
      <c r="CI26" s="92">
        <f>CI$10*(1+((H26/H$10-1)*costos!$B$15+((I26*F26)/(I$10*F$10)-1)*costos!$E$15+((J26*F26)/((J$10*F$10)-1)*costos!$F$15/3+((K26*F26)/(K$10*F$10)-1)*costos!$F$15/3+((U26*F26)/(U$10*F$10)-1)*costos!$F$15/3+((L26*F26)/(L$10*F$10)-1)*costos!$G$15+((AV26)/(AV$10)-1)*costos!$J$15+((V26*F26)/(V$10*F$10)-1)*costos!$K$15)))</f>
        <v>145.26823779664082</v>
      </c>
      <c r="CJ26" s="92">
        <f>CJ$10*(1+((H26/H$10-1)*costos!$B$16+((I26*F26)/(I$10*F$10)-1)*costos!$E$16+((J26*F26)/((J$10*F$10)-1)*costos!$F$16/3+((K26*F26)/(K$10*F$10)-1)*costos!$F$16/3+((U26*F26)/(U$10*F$10)-1)*costos!$F$16/3+((L26*F26)/(L$10*F$10)-1)*costos!$G$16+((AW26)/(AW$10)-1)*costos!$J$16+((V26*F26)/(V$10*F$10)-1)*costos!$K$16)))</f>
        <v>136.21176834352812</v>
      </c>
      <c r="CK26" s="92">
        <f>CK$10*(1+((H26/H$10-1)*costos!$B$17+((I26*F26)/(I$10*F$10)-1)*costos!$E$17+((J26*F26)/((J$10*F$10)-1)*costos!$F$17/3+((K26*F26)/(K$10*F$10)-1)*costos!$F$17/3+((U26*F26)/(U$10*F$10)-1)*costos!$F$17/3+((L26*F26)/(L$10*F$10)-1)*costos!$G$17+((AX26)/(AX$10)-1)*costos!$J$17+((V26*F26)/(V$10*F$10)-1)*costos!$K$17)))</f>
        <v>138.04660105069408</v>
      </c>
      <c r="CL26" s="92">
        <f>CL$10*(1+((H26/H$10-1)*costos!$B$18+((I26*F26)/(I$10*F$10)-1)*costos!$E$18+((J26*F26)/((J$10*F$10)-1)*costos!$F$18/3+((K26*F26)/(K$10*F$10)-1)*costos!$F$18/3+((U26*F26)/(U$10*F$10)-1)*costos!$F$18/3+((L26*F26)/(L$10*F$10)-1)*costos!$G$18+((AY26)/(AY$10)-1)*costos!$J$18+((V26*F26)/(V$10*F$10)-1)*costos!$K$18)))</f>
        <v>150.29737299754296</v>
      </c>
      <c r="CM26" s="92">
        <f>CM$10*(1+((H26/H$10-1)*costos!$B$19+((I26*F26)/(I$10*F$10)-1)*costos!$E$19+((J26*F26)/((J$10*F$10)-1)*costos!$F$19/3+((K26*F26)/(K$10*F$10)-1)*costos!$F$19/3+((U26*F26)/(U$10*F$10)-1)*costos!$F$19/3+((L26*F26)/(L$10*F$10)-1)*costos!$G$19+((AZ26)/(AZ$10)-1)*costos!$J$19+((V26*F26)/(V$10*F$10)-1)*costos!$K$19)))</f>
        <v>138.83122646101725</v>
      </c>
      <c r="CN26" s="92">
        <f>CN$10*(1+((H26/H$10-1)*costos!$B$20+((I26*F26)/(I$10*F$10)-1)*costos!$E$20+((J26*F26)/((J$10*F$10)-1)*costos!$F$20/3+((K26*F26)/(K$10*F$10)-1)*costos!$F$20/3+((U26*F26)/(U$10*F$10)-1)*costos!$F$20/3+((L26*F26)/(L$10*F$10)-1)*costos!$G$20+((BA26)/(BA$10)-1)*costos!$J$20+((V26*F26)/(V$10*F$10)-1)*costos!$K$20)))</f>
        <v>128.49879911163322</v>
      </c>
      <c r="CO26" s="92">
        <f t="shared" si="61"/>
        <v>138.91849990522189</v>
      </c>
      <c r="CP26" s="92">
        <f>CP$10*(1+((H26/H$10-1)*costos!$B$22+((I26*F26)/(I$10*F$10)-1)*costos!$E$22+((J26*F26)/((J$10*F$10)-1)*costos!$F$22/3+((K26*F26)/(K$10*F$10)-1)*costos!$F$22/3+((U26*F26)/(U$10*F$10)-1)*costos!$F$22/3+((L26*F26)/(L$10*F$10)-1)*costos!$G$22+(((AVERAGE(AI26:AL26))/((AVERAGE(AI$10:AL$10))-1)*costos!$J$22+((V26*F26)/(V$10*F$10)-1)*costos!$K$22)))))</f>
        <v>178.72406034737747</v>
      </c>
      <c r="CQ26" s="92">
        <f>CQ$10*(1+((H26/H$10-1)*costos!$B$23+((I26*F26)/(I$10*F$10)-1)*costos!$E$23+((J26*F26)/((J$10*F$10)-1)*costos!$F$23/3+((K26*F26)/(K$10*F$10)-1)*costos!$F$23/3+((U26*F26)/(U$10*F$10)-1)*costos!$F$23/3+((L26*F26)/(L$10*F$10)-1)*costos!$G$23+((AN26)/(AN$10)-1)*costos!$J$23+((V26*F26)/(V$10*F$10)-1)*costos!$K$23)))</f>
        <v>136.51943296421379</v>
      </c>
      <c r="CR26" s="92">
        <f>CR$10*(1+((H26/H$10-1)*costos!$B$24+((I26*F26)/(I$10*F$10)-1)*costos!$E$24+((J26*F26)/((J$10*F$10)-1)*costos!$F$24/3+((K26*F26)/(K$10*F$10)-1)*costos!$F$24/3+((U26*F26)/(U$10*F$10)-1)*costos!$F$24/3+((L26*F26)/(L$10*F$10)-1)*costos!$G$24+((AO26)/(AO$10)-1)*costos!$J$24+((V26*F26)/(V$10*F$10)-1)*costos!$K$24)))</f>
        <v>131.16919865732626</v>
      </c>
      <c r="CS26" s="92">
        <f t="shared" si="62"/>
        <v>133.84431581077001</v>
      </c>
      <c r="CT26" s="92">
        <f>CT$10*(1+((H26/H$10-1)*costos!$B$25+((I26*F26)/(I$10*F$10)-1)*costos!$E$25+((J26*F26)/((J$10*F$10)-1)*costos!$F$25/3+((K26*F26)/(K$10*F$10)-1)*costos!$F$25/3+((U26*F26)/(U$10*F$10)-1)*costos!$F$25/3+((L26*F26)/(L$10*F$10)-1)*costos!$G$25+((AQ26)/(AQ$10)-1)*costos!$J$25+((V26*F26)/(V$10*F$10)-1)*costos!$K$25)))</f>
        <v>130.49941478780244</v>
      </c>
      <c r="CU26" s="92">
        <f>CU$10*(1+((H26/H$10-1)*costos!$B$26+((I26*F26)/(I$10*F$10)-1)*costos!$E$26+((J26*F26)/((J$10*F$10)-1)*costos!$F$26/3+((K26*F26)/(K$10*F$10)-1)*costos!$F$26/3+((U26*F26)/(U$10*F$10)-1)*costos!$F$26/3+((L26*F26)/(L$10*F$10)-1)*costos!$G$26+((AR26)/(AR$10)-1)*costos!$J$26+((V26*F26)/(V$10*F$10)-1)*costos!$K$26)))</f>
        <v>128.03874812370634</v>
      </c>
      <c r="CV26" s="92">
        <f>CV$10*(1+((H26/H$10-1)*costos!$B$27+((I26*F26)/(I$10*F$10)-1)*costos!$E$27+((J26*F26)/((J$10*F$10)-1)*costos!$F$27/3+((K26*F26)/(K$10*F$10)-1)*costos!$F$27/3+((U26*F26)/(U$10*F$10)-1)*costos!$F$27/3+((L26*F26)/(L$10*F$10)-1)*costos!$G$27+((AS26)/(AS$10)-1)*costos!$J$27+((V26*F26)/(V$10*F$10)-1)*costos!$K$27)))</f>
        <v>126.77050111228638</v>
      </c>
      <c r="CW26" s="92">
        <f>CW$10*(1+((H26/H$10-1)*costos!$B$28+((I26*F26)/(I$10*F$10)-1)*costos!$E$28+((J26*F26)/((J$10*F$10)-1)*costos!$F$28/3+((K26*F26)/(K$10*F$10)-1)*costos!$F$28/3+((U26*F26)/(U$10*F$10)-1)*costos!$F$28/3+((L26*F26)/(L$10*F$10)-1)*costos!$G$28+((AS26)/(AS$10)-1)*costos!$J$28+((V26*F26)/(V$10*F$10)-1)*costos!$K$28)))</f>
        <v>126.77050111228638</v>
      </c>
      <c r="CX26" s="92">
        <f t="shared" si="63"/>
        <v>127.19325011609304</v>
      </c>
      <c r="CY26" s="92">
        <f>CY$10*(1+((H26/H$10-1)*costos!$B$32+((I26*F26)/(I$10*F$10)-1)*costos!$E$32+((J26*F26)/((J$10*F$10)-1)*costos!$F$32/3+((K26*F26)/(K$10*F$10)-1)*costos!$F$32/3+((U26*F26)/(U$10*F$10)-1)*costos!$F$32/3+((L26*F26)/(L$10*F$10)-1)*costos!$G$32+((AG26)/(AG$10)-1)*costos!$J$32+((V26*F26)/(V$10*F$10)-1)*costos!$K$32)))</f>
        <v>135.86328758496367</v>
      </c>
      <c r="CZ26" s="69">
        <f>CZ$10*(1+((H26/H$10-1)*costos!$B$31+((I26*F26)/(I$10*F$10)-1)*costos!$E$30+((J26*F26)/((J$10*F$10)-1)*costos!$F$30/3+((K26*F26)/(K$10*F$10)-1)*costos!$F$30/3+((U26*F26)/(U$10*F$10)-1)*costos!$F$30/3+((L26*F26)/(L$10*F$10)-1)*costos!$G$30+((BG26)/(BG$10)-1)*costos!$J$30+((V26*F26)/(V$10*F$10)-1)*costos!$K$30)))</f>
        <v>141.17348619485929</v>
      </c>
      <c r="DA26" s="69">
        <f>DA$10*(1+((H26/H$10-1)*costos!$B$31+((I26*F26)/(I$10*F$10)-1)*costos!$E$31+((J26*F26)/((J$10*F$10)-1)*costos!$F$31/3+((K26*F26)/(K$10*F$10)-1)*costos!$F$31/3+((U26*F26)/(U$10*F$10)-1)*costos!$F$31/3+((L26*F26)/(L$10*F$10)-1)*costos!$G$31+((BJ26)/(BJ$10)-1)*costos!$J$31+((V26*F26)/(V$10*F$10)-1)*costos!$K$31)))</f>
        <v>134.47787963359659</v>
      </c>
      <c r="DB26" s="69">
        <f>DB$10*(1+((H26/H$10-1)*costos!$B$36+((I26*F26)/(I$10*F$10)-1)*costos!$E$36+((J26*F26)/((J$10*F$10)-1)*costos!$F$36/3+((K26*F26)/(K$10*F$10)-1)*costos!$F$36/3+((U26*F26)/(U$10*F$10)-1)*costos!$F$36/3+((L26*F26)/(L$10*F$10)-1)*costos!$G$36+((BK26)/(BK$10)-1)*costos!$J$36+((V26*F26)/(V$10*F$10)-1)*costos!$K$36)))</f>
        <v>135.23411480167593</v>
      </c>
      <c r="DC26" s="69">
        <f>DC$10*(1+((H26/H$10-1)*costos!$B$37+((I26*F26)/(I$10*F$10)-1)*costos!$E$37+((U26*F26)/(U$10*F$10)-1)*costos!$F$37+((L26*F26)/(L$10*F$10)-1)*costos!$G$37+((BN26)/(BN$10)-1)*costos!$J$37+((V26*F26)/(V$10*F$10)-1)*costos!$K$37))</f>
        <v>127.43718070335812</v>
      </c>
      <c r="DD26" s="69">
        <f>DD$10*(1+((H26/H$10-1)*costos!$B$39+((I26*F26)/(I$10*F$10)-1)*costos!$E$39+((U26*F26)/(U$10*F$10)-1)*costos!$F$39+((L26*F26)/(L$10*F$10)-1)*costos!$G$39+((BR26)/(BR$10)-1)*costos!$J$39+((V26*F26)/(V$10*F$10)-1)*costos!$K$39))</f>
        <v>124.91964855992437</v>
      </c>
      <c r="DE26" s="69">
        <f>DD$10*(1+((H26/H$10-1)*costos!$B$35+((I26*F26)/(I$10*F$10)-1)*costos!$E$35+((U26*F26)/(U$10*F$10)-1)*costos!$F$35+((L26*F26)/(L$10*F$10)-1)*costos!$G$35+((BR26)/(BR$10)-1)*costos!$J$35+((V26*F26)/(V$10*F$10)-1)*costos!$K$35))</f>
        <v>121.75359706909843</v>
      </c>
      <c r="DF26" s="69">
        <f>DF$10*(1+((H26/H$10-1)*costos!$B$40+((I26*F26)/(I$10*F$10)-1)*costos!$E$40+((U26*F26)/(U$10*F$10)-1)*costos!$F$40+((L26*F26)/(L$10*F$10)-1)*costos!$G$40+((BP26)/(BP$10)-1)*costos!$J$40+((V26*F26)/(V$10*F$10)-1)*costos!$K$40))</f>
        <v>123.67514712365053</v>
      </c>
      <c r="DG26" s="92">
        <f t="shared" si="64"/>
        <v>122.71437209637449</v>
      </c>
      <c r="DH26" s="69">
        <f>DH$10*(1+((H26/H$10-1)*costos!$B$34+((I26*F26)/(I$10*F$10)-1)*costos!$E$34+((J26*F26)/((J$10*F$10)-1)*costos!$F$34/3+((K26*F26)/(K$10*F$10)-1)*costos!$F$34/3+((U26*F26)/(U$10*F$10)-1)*costos!$F$34/3+((L26*F26)/(L$10*F$10)-1)*costos!$G$34+((BV26)/(BV$10)-1)*costos!$J$34+((V26*F26)/(V$10*F$10)-1)*costos!$K$34)))</f>
        <v>138.09146820178719</v>
      </c>
      <c r="DI26" s="69">
        <f>DI$10*(1+((H26/H$10-1)*costos!$B$38+((I26*F26)/(I$10*F$10)-1)*costos!$E$38+((J26*F26)/((J$10*F$10)-1)*costos!$F$38/3+((K26*F26)/(K$10*F$10)-1)*costos!$F$38/3+((U26*F26)/(U$10*F$10)-1)*costos!$F$38/3+((L26*F26)/(L$10*F$10)-1)*costos!$G$38+((BU26)/(BU$10)-1)*costos!$J$38+((V26*F26)/(V$10*F$10)-1)*costos!$K$38)))</f>
        <v>134.29342637580544</v>
      </c>
      <c r="DK26" s="1">
        <v>258900</v>
      </c>
      <c r="DL26" s="1" t="s">
        <v>106</v>
      </c>
      <c r="DM26" s="82">
        <f t="shared" si="155"/>
        <v>206500</v>
      </c>
      <c r="DN26" s="82" t="str">
        <f t="shared" si="155"/>
        <v>2016-17</v>
      </c>
      <c r="DO26" s="82">
        <f t="shared" ref="DO26:DR28" si="173">+DO25</f>
        <v>850000</v>
      </c>
      <c r="DP26" s="82" t="str">
        <f t="shared" si="173"/>
        <v>2016-17</v>
      </c>
      <c r="DQ26" s="82">
        <f t="shared" si="173"/>
        <v>1700000</v>
      </c>
      <c r="DR26" s="82" t="str">
        <f t="shared" si="173"/>
        <v>2016-17</v>
      </c>
      <c r="DS26" s="1">
        <v>5100000</v>
      </c>
      <c r="DT26" s="1" t="s">
        <v>106</v>
      </c>
      <c r="DU26" s="1">
        <v>19200000</v>
      </c>
      <c r="DV26" s="1" t="s">
        <v>106</v>
      </c>
      <c r="DW26" s="82">
        <f>+DW25</f>
        <v>800000</v>
      </c>
      <c r="DX26" s="82" t="str">
        <f>+DX25</f>
        <v>2016-17</v>
      </c>
      <c r="DY26" s="1">
        <v>5930000</v>
      </c>
      <c r="DZ26" s="1" t="s">
        <v>6</v>
      </c>
      <c r="EA26" s="79">
        <f t="shared" si="67"/>
        <v>33580000</v>
      </c>
      <c r="EB26" s="82">
        <f t="shared" si="156"/>
        <v>364191</v>
      </c>
      <c r="EC26" s="82" t="str">
        <f t="shared" si="157"/>
        <v>2016-17</v>
      </c>
      <c r="ED26" s="83">
        <f t="shared" si="157"/>
        <v>165327</v>
      </c>
      <c r="EE26" s="143">
        <f t="shared" si="157"/>
        <v>2016</v>
      </c>
      <c r="EF26" s="83">
        <f t="shared" si="121"/>
        <v>220848</v>
      </c>
      <c r="EG26" s="143">
        <f t="shared" si="122"/>
        <v>2017</v>
      </c>
      <c r="EH26" s="83">
        <v>54163380</v>
      </c>
      <c r="EI26" s="143">
        <v>2017</v>
      </c>
      <c r="EJ26" s="83">
        <f t="shared" si="169"/>
        <v>5119438</v>
      </c>
      <c r="EK26" s="143">
        <v>2019</v>
      </c>
      <c r="EL26" s="1">
        <v>14746566</v>
      </c>
      <c r="EM26" s="6">
        <v>2017</v>
      </c>
      <c r="EN26" s="1">
        <v>3364725</v>
      </c>
      <c r="EO26" s="6">
        <v>2017</v>
      </c>
      <c r="EP26" s="82">
        <f t="shared" si="118"/>
        <v>6552</v>
      </c>
      <c r="EQ26" s="83">
        <f t="shared" si="100"/>
        <v>3003036</v>
      </c>
      <c r="ER26" s="1">
        <v>33739</v>
      </c>
      <c r="ES26" s="1"/>
      <c r="ET26" s="83">
        <f t="shared" si="101"/>
        <v>23614</v>
      </c>
      <c r="EU26" s="83">
        <f t="shared" si="101"/>
        <v>16845</v>
      </c>
      <c r="EV26" s="83">
        <f t="shared" si="101"/>
        <v>9213</v>
      </c>
      <c r="EW26" s="83">
        <f t="shared" si="101"/>
        <v>17766</v>
      </c>
      <c r="EX26" s="79">
        <f t="shared" si="72"/>
        <v>67438</v>
      </c>
      <c r="EY26" s="1">
        <f t="shared" si="123"/>
        <v>19284</v>
      </c>
      <c r="EZ26" s="82">
        <f t="shared" si="123"/>
        <v>74845</v>
      </c>
      <c r="FA26" s="1">
        <f t="shared" si="103"/>
        <v>20879</v>
      </c>
      <c r="FB26" s="1">
        <f t="shared" si="103"/>
        <v>19496</v>
      </c>
      <c r="FC26" s="79">
        <f t="shared" si="73"/>
        <v>40375</v>
      </c>
      <c r="FD26" s="1">
        <f t="shared" si="158"/>
        <v>65075.3</v>
      </c>
      <c r="FE26" s="1"/>
      <c r="FF26" s="82">
        <f t="shared" si="129"/>
        <v>708196</v>
      </c>
      <c r="FG26" s="82" t="str">
        <f t="shared" si="130"/>
        <v>2015-16</v>
      </c>
      <c r="FH26" s="82">
        <f t="shared" si="132"/>
        <v>1404980</v>
      </c>
      <c r="FI26" s="82" t="str">
        <f t="shared" si="132"/>
        <v>2015-16</v>
      </c>
      <c r="FJ26" s="82">
        <f t="shared" si="159"/>
        <v>3000000</v>
      </c>
      <c r="FK26" s="82" t="str">
        <f t="shared" si="160"/>
        <v>2016-17</v>
      </c>
      <c r="FL26" s="82">
        <f t="shared" si="170"/>
        <v>3300000</v>
      </c>
      <c r="FM26" s="82" t="str">
        <f t="shared" si="170"/>
        <v>2016-17</v>
      </c>
      <c r="FN26" s="1">
        <v>39000000</v>
      </c>
      <c r="FO26" s="1" t="s">
        <v>106</v>
      </c>
      <c r="FP26" s="1">
        <v>57500000</v>
      </c>
      <c r="FQ26" s="1" t="s">
        <v>106</v>
      </c>
      <c r="FR26" s="82">
        <f t="shared" si="164"/>
        <v>3200000</v>
      </c>
      <c r="FS26" s="82" t="str">
        <f t="shared" si="164"/>
        <v>2016-17</v>
      </c>
      <c r="FT26" s="1">
        <v>18395000</v>
      </c>
      <c r="FU26" s="83" t="str">
        <f t="shared" si="161"/>
        <v>2016-17</v>
      </c>
      <c r="FV26" s="79">
        <f t="shared" si="76"/>
        <v>124395000</v>
      </c>
      <c r="FW26" s="82">
        <f t="shared" si="126"/>
        <v>1001113</v>
      </c>
      <c r="FX26" s="82" t="str">
        <f t="shared" si="127"/>
        <v>2015-16</v>
      </c>
      <c r="FY26" s="1">
        <v>115727.72</v>
      </c>
      <c r="FZ26" s="79">
        <f t="shared" si="135"/>
        <v>753676.68299999996</v>
      </c>
      <c r="GA26" s="86" t="str">
        <f t="shared" si="136"/>
        <v>jun16 may17</v>
      </c>
      <c r="GB26" s="1">
        <v>19652055</v>
      </c>
      <c r="GC26" s="6">
        <v>2017</v>
      </c>
      <c r="GD26" s="1">
        <f t="shared" si="165"/>
        <v>1675851</v>
      </c>
      <c r="GE26" s="1">
        <v>459665</v>
      </c>
      <c r="GF26" s="1">
        <v>1024918</v>
      </c>
      <c r="GG26" s="1">
        <f t="shared" si="166"/>
        <v>112337</v>
      </c>
      <c r="GH26" s="79">
        <f t="shared" si="78"/>
        <v>1596920</v>
      </c>
      <c r="GI26" s="82">
        <f t="shared" si="79"/>
        <v>1302556</v>
      </c>
      <c r="GJ26" s="83">
        <f t="shared" si="162"/>
        <v>665408</v>
      </c>
      <c r="GK26" s="83">
        <f t="shared" si="162"/>
        <v>660753</v>
      </c>
      <c r="GL26" s="83">
        <f t="shared" si="162"/>
        <v>290290.46000000002</v>
      </c>
      <c r="GM26" s="1">
        <f t="shared" si="162"/>
        <v>263224.75</v>
      </c>
      <c r="GN26" s="79">
        <f t="shared" si="81"/>
        <v>1879676.21</v>
      </c>
      <c r="GO26" s="83">
        <f t="shared" si="107"/>
        <v>193430</v>
      </c>
      <c r="GP26" s="83">
        <f t="shared" si="107"/>
        <v>76379</v>
      </c>
      <c r="GQ26" s="1"/>
      <c r="GR26" s="1">
        <f t="shared" si="150"/>
        <v>42700</v>
      </c>
      <c r="GS26" s="79">
        <f t="shared" si="83"/>
        <v>42700</v>
      </c>
      <c r="GT26" s="83">
        <f t="shared" si="108"/>
        <v>2459310</v>
      </c>
      <c r="GU26" s="1">
        <v>50313</v>
      </c>
      <c r="GV26" s="1">
        <v>61144</v>
      </c>
      <c r="GW26" s="79">
        <f t="shared" si="151"/>
        <v>1378490.6666666667</v>
      </c>
      <c r="GX26" s="83">
        <v>32330.198</v>
      </c>
      <c r="GY26" s="83" t="s">
        <v>328</v>
      </c>
      <c r="GZ26" s="83">
        <f t="shared" si="109"/>
        <v>117154</v>
      </c>
      <c r="HA26" s="1">
        <v>240000</v>
      </c>
      <c r="HB26" s="79">
        <f t="shared" si="137"/>
        <v>2701000</v>
      </c>
      <c r="HC26" s="86" t="str">
        <f t="shared" si="138"/>
        <v>jun16 may17</v>
      </c>
      <c r="HD26" s="1">
        <v>52519</v>
      </c>
      <c r="HE26" s="79">
        <f t="shared" si="139"/>
        <v>535480</v>
      </c>
      <c r="HF26" s="86" t="str">
        <f t="shared" si="140"/>
        <v>jun16 may17</v>
      </c>
      <c r="HG26" s="1">
        <v>186000</v>
      </c>
      <c r="HH26" s="79">
        <f t="shared" si="141"/>
        <v>2121000</v>
      </c>
      <c r="HI26" s="86" t="str">
        <f t="shared" si="142"/>
        <v>jun16 may17</v>
      </c>
      <c r="HJ26" s="1">
        <v>77091</v>
      </c>
      <c r="HK26" s="79">
        <f t="shared" si="143"/>
        <v>24205.440000000002</v>
      </c>
      <c r="HL26" s="86" t="str">
        <f t="shared" si="144"/>
        <v>jun16 may17</v>
      </c>
      <c r="HM26" s="79">
        <f t="shared" si="86"/>
        <v>2145205.44</v>
      </c>
      <c r="HN26" s="87">
        <v>4.0714839878169803E-2</v>
      </c>
      <c r="HO26" s="1">
        <f t="shared" si="152"/>
        <v>815296005.5605582</v>
      </c>
      <c r="HP26" s="79">
        <f t="shared" si="153"/>
        <v>9793.9789904898953</v>
      </c>
      <c r="HQ26" s="86" t="str">
        <f t="shared" si="145"/>
        <v>jun16 may17</v>
      </c>
      <c r="HR26" s="3"/>
      <c r="HS26" s="1"/>
      <c r="HT26" s="1"/>
      <c r="HU26" s="83">
        <f t="shared" ref="HU26:HV36" si="174">+HU25</f>
        <v>680000</v>
      </c>
      <c r="HV26" s="83" t="str">
        <f t="shared" si="174"/>
        <v>2016-17</v>
      </c>
      <c r="HW26" s="1">
        <v>1430000</v>
      </c>
      <c r="HX26" s="1" t="s">
        <v>106</v>
      </c>
      <c r="HY26" s="1">
        <v>3350000</v>
      </c>
      <c r="HZ26" s="1" t="s">
        <v>106</v>
      </c>
      <c r="IA26" s="1">
        <f t="shared" si="171"/>
        <v>19080000</v>
      </c>
      <c r="IB26" s="1" t="s">
        <v>106</v>
      </c>
      <c r="IC26" s="1">
        <v>47130000</v>
      </c>
      <c r="ID26" s="1" t="s">
        <v>106</v>
      </c>
      <c r="IE26" s="1">
        <f t="shared" si="172"/>
        <v>2450000</v>
      </c>
      <c r="IF26" s="1" t="s">
        <v>106</v>
      </c>
      <c r="IG26" s="1">
        <f t="shared" si="154"/>
        <v>6760000</v>
      </c>
      <c r="IH26" s="1" t="s">
        <v>106</v>
      </c>
      <c r="II26" s="79">
        <f t="shared" si="87"/>
        <v>80200000</v>
      </c>
      <c r="IJ26" s="97">
        <f t="shared" si="167"/>
        <v>1.5629261117125455</v>
      </c>
      <c r="IK26" s="1" t="s">
        <v>106</v>
      </c>
      <c r="IL26" s="7">
        <v>46.08</v>
      </c>
      <c r="IM26" s="7">
        <v>58.17949385935416</v>
      </c>
      <c r="IN26" s="7">
        <v>197</v>
      </c>
      <c r="IO26" s="695">
        <v>15.05</v>
      </c>
      <c r="IP26" s="98">
        <f t="shared" si="163"/>
        <v>5.6020702831241165</v>
      </c>
      <c r="IQ26" s="93">
        <v>20.2</v>
      </c>
      <c r="IR26" s="93">
        <f t="shared" si="168"/>
        <v>3.01</v>
      </c>
      <c r="IS26" s="93">
        <f t="shared" si="168"/>
        <v>5.59</v>
      </c>
      <c r="IT26" s="93">
        <f t="shared" si="168"/>
        <v>11.85</v>
      </c>
      <c r="IU26" s="93">
        <f t="shared" si="168"/>
        <v>0.79</v>
      </c>
      <c r="IV26" s="94">
        <f t="shared" si="89"/>
        <v>18.229999999999997</v>
      </c>
      <c r="IW26" s="84"/>
      <c r="IX26" s="84"/>
      <c r="IY26" s="105">
        <v>1.84</v>
      </c>
      <c r="IZ26" s="161">
        <v>0.3</v>
      </c>
      <c r="JA26" s="570"/>
      <c r="JB26" s="84">
        <v>41.09</v>
      </c>
      <c r="JC26" s="84"/>
      <c r="JD26" s="84"/>
      <c r="JF26" s="2">
        <v>5.3556067199999999</v>
      </c>
      <c r="JG26" s="2">
        <v>31.392657139999997</v>
      </c>
      <c r="JH26" s="2">
        <v>69.815668989999992</v>
      </c>
      <c r="JI26" s="2">
        <v>73.259385460000004</v>
      </c>
      <c r="JJ26" s="2">
        <v>369.71081887999992</v>
      </c>
      <c r="JK26" s="2">
        <v>41.01965723</v>
      </c>
      <c r="JL26" s="2">
        <v>1893.5545674900004</v>
      </c>
      <c r="JM26" s="2">
        <v>5.4328835000000009</v>
      </c>
      <c r="JN26" s="2">
        <v>112.77707617999999</v>
      </c>
      <c r="JO26" s="2">
        <v>17.995209670000001</v>
      </c>
      <c r="JP26" s="2">
        <v>0</v>
      </c>
      <c r="JQ26" s="2">
        <v>2.5659660499999997</v>
      </c>
      <c r="JR26" s="2">
        <v>1.4443019600000002</v>
      </c>
      <c r="JS26" s="2">
        <v>0</v>
      </c>
      <c r="JT26" s="2">
        <v>0.11516999999999999</v>
      </c>
      <c r="JU26" s="2">
        <v>77.424236659999963</v>
      </c>
      <c r="JV26" s="2">
        <v>20.890197339999993</v>
      </c>
      <c r="JW26" s="2">
        <v>26.574318429999998</v>
      </c>
      <c r="JX26" s="2">
        <v>60.057868539999973</v>
      </c>
      <c r="JY26" s="2">
        <v>9.0829598900000015</v>
      </c>
      <c r="JZ26" s="2">
        <v>1.3496525400000001</v>
      </c>
      <c r="KA26" s="2">
        <v>0.43249087000000003</v>
      </c>
      <c r="KB26" s="2">
        <v>22.118380160000001</v>
      </c>
      <c r="KC26" s="2">
        <v>13.48832442</v>
      </c>
      <c r="KD26" s="2">
        <v>7.9253595899999993</v>
      </c>
      <c r="KE26" s="2">
        <v>19.12018265</v>
      </c>
      <c r="KF26" s="2">
        <v>27.825509309999997</v>
      </c>
      <c r="KG26" s="2">
        <v>175.28204707</v>
      </c>
      <c r="KH26" s="2">
        <v>39.318540749999997</v>
      </c>
      <c r="KI26" s="2">
        <v>21.464024389999999</v>
      </c>
      <c r="KJ26" s="2">
        <v>1.5731640600000001</v>
      </c>
      <c r="KK26" s="2">
        <v>6.9636280199999989</v>
      </c>
      <c r="KL26" s="2">
        <v>0.54720363000000005</v>
      </c>
      <c r="KM26" s="2">
        <v>7.5624854399999997</v>
      </c>
      <c r="KN26" s="2">
        <v>0.16091213000000001</v>
      </c>
      <c r="KO26" s="2">
        <v>1.2624659000000003</v>
      </c>
      <c r="KP26" s="2">
        <v>2.4400199999999998E-3</v>
      </c>
      <c r="KQ26" s="2">
        <v>74.822321710000011</v>
      </c>
      <c r="KR26" s="2">
        <v>0</v>
      </c>
      <c r="KS26" s="2">
        <v>0.10049404999999999</v>
      </c>
      <c r="KT26" s="2">
        <v>2.6562926999999998</v>
      </c>
      <c r="KU26" s="2">
        <v>0.76712102999999987</v>
      </c>
      <c r="KV26" s="2">
        <v>0</v>
      </c>
      <c r="KW26" s="2">
        <v>4.5582836899999988</v>
      </c>
      <c r="KX26" s="2">
        <v>0</v>
      </c>
      <c r="KY26" s="2">
        <v>0</v>
      </c>
      <c r="KZ26" s="2">
        <v>7.0174095899999998</v>
      </c>
      <c r="LA26" s="2">
        <v>0.86186949999999996</v>
      </c>
      <c r="LB26" s="2">
        <v>4.0842E-4</v>
      </c>
      <c r="LC26" s="2">
        <v>0.16382360000000001</v>
      </c>
      <c r="LD26" s="2">
        <v>0</v>
      </c>
      <c r="LE26" s="2">
        <v>0.66466448999999994</v>
      </c>
      <c r="LF26" s="2">
        <v>0.16021209</v>
      </c>
      <c r="LG26" s="2">
        <v>22.614801790000001</v>
      </c>
      <c r="LH26" s="2">
        <v>4.1159786700000005</v>
      </c>
      <c r="LI26" s="2">
        <v>9.7359560000000012E-2</v>
      </c>
      <c r="LJ26" s="2">
        <v>0</v>
      </c>
      <c r="LK26" s="2">
        <v>3.4853554999999998</v>
      </c>
      <c r="LL26" s="2">
        <v>4.4135722800000003</v>
      </c>
      <c r="LM26" s="2">
        <v>2.89406308</v>
      </c>
      <c r="LN26" s="2">
        <v>0.17218668000000001</v>
      </c>
      <c r="LO26" s="2">
        <v>8.06277942</v>
      </c>
      <c r="LQ26" s="85">
        <f t="shared" si="90"/>
        <v>2524.5504005000003</v>
      </c>
      <c r="LR26" s="85">
        <f t="shared" si="91"/>
        <v>4.1254380099999999</v>
      </c>
      <c r="LS26" s="85">
        <f t="shared" si="92"/>
        <v>47.464515769999991</v>
      </c>
      <c r="LT26" s="85">
        <f t="shared" si="93"/>
        <v>10.865103300000003</v>
      </c>
      <c r="LU26" s="85">
        <f t="shared" si="94"/>
        <v>83.908679230000004</v>
      </c>
      <c r="LV26" s="85">
        <f t="shared" si="95"/>
        <v>4.5582836899999988</v>
      </c>
      <c r="LW26" s="85">
        <f t="shared" si="96"/>
        <v>0.86227791999999992</v>
      </c>
      <c r="LX26" s="85">
        <f t="shared" si="97"/>
        <v>0.82487657999999997</v>
      </c>
      <c r="LZ26" s="131">
        <v>18.55</v>
      </c>
      <c r="MA26" s="171">
        <v>20.47</v>
      </c>
      <c r="MB26"/>
      <c r="MC26"/>
      <c r="MD26"/>
      <c r="MF26"/>
      <c r="MG26"/>
      <c r="MH26" s="83">
        <v>38.24</v>
      </c>
      <c r="MI26" s="83">
        <v>10.54</v>
      </c>
      <c r="MJ26" s="83">
        <v>14.78</v>
      </c>
      <c r="MK26"/>
      <c r="ML26" s="83">
        <v>11.77</v>
      </c>
      <c r="MM26" s="83">
        <v>26.88</v>
      </c>
      <c r="MN26" s="83"/>
      <c r="MO26" s="83">
        <v>14.64</v>
      </c>
      <c r="MP26" s="83">
        <v>39.75</v>
      </c>
      <c r="MQ26" s="83">
        <v>32.479999999999997</v>
      </c>
      <c r="MR26"/>
      <c r="MT26" s="83"/>
      <c r="MU26" s="83">
        <v>14.99</v>
      </c>
      <c r="MV26"/>
      <c r="MW26"/>
      <c r="MX26"/>
      <c r="MY26" s="83">
        <v>30.24</v>
      </c>
      <c r="MZ26" s="83">
        <v>92</v>
      </c>
      <c r="NA26" s="83">
        <v>35.75</v>
      </c>
      <c r="NB26" s="83">
        <v>125.2</v>
      </c>
      <c r="NC26" s="83">
        <v>20.36</v>
      </c>
      <c r="ND26"/>
      <c r="NE26" s="1">
        <v>112.22</v>
      </c>
    </row>
    <row r="27" spans="1:369">
      <c r="A27" s="38">
        <f t="shared" si="32"/>
        <v>42887</v>
      </c>
      <c r="B27" s="36">
        <v>6</v>
      </c>
      <c r="C27" s="36">
        <v>2017</v>
      </c>
      <c r="D27" s="36">
        <f t="shared" si="50"/>
        <v>27</v>
      </c>
      <c r="E27" s="38">
        <f t="shared" si="33"/>
        <v>42887</v>
      </c>
      <c r="F27" s="7">
        <v>16.316666666666666</v>
      </c>
      <c r="G27" s="7">
        <v>111.8</v>
      </c>
      <c r="H27" s="1">
        <f>[2]NACIONALES!$D15</f>
        <v>10368</v>
      </c>
      <c r="I27" s="7">
        <v>101</v>
      </c>
      <c r="J27" s="7">
        <v>365</v>
      </c>
      <c r="K27" s="7">
        <v>2.6</v>
      </c>
      <c r="L27" s="7">
        <v>37.299999999999997</v>
      </c>
      <c r="N27" s="5">
        <v>1.6387</v>
      </c>
      <c r="O27" s="5">
        <v>1.4770000000000001</v>
      </c>
      <c r="P27" s="78">
        <f t="shared" si="34"/>
        <v>25.418919166666669</v>
      </c>
      <c r="Q27" s="6">
        <v>370</v>
      </c>
      <c r="R27" s="79">
        <f t="shared" si="35"/>
        <v>3700</v>
      </c>
      <c r="S27" s="6">
        <v>143.95238095238096</v>
      </c>
      <c r="T27" s="6">
        <v>303.8095238095238</v>
      </c>
      <c r="U27" s="143">
        <v>153.44285714285715</v>
      </c>
      <c r="V27" s="6">
        <v>245.65238095238098</v>
      </c>
      <c r="W27" s="6">
        <v>118.78571428571429</v>
      </c>
      <c r="X27" s="6">
        <v>166.16666666666666</v>
      </c>
      <c r="Y27" s="79">
        <f t="shared" si="36"/>
        <v>2348.8230158730162</v>
      </c>
      <c r="Z27" s="79">
        <f t="shared" si="37"/>
        <v>4957.1587301587297</v>
      </c>
      <c r="AA27" s="79">
        <f t="shared" si="38"/>
        <v>2503.6759523809524</v>
      </c>
      <c r="AB27" s="79">
        <f t="shared" si="39"/>
        <v>4008.2280158730164</v>
      </c>
      <c r="AC27" s="79">
        <f t="shared" si="40"/>
        <v>1938.1869047619048</v>
      </c>
      <c r="AD27" s="79">
        <f t="shared" si="41"/>
        <v>2711.286111111111</v>
      </c>
      <c r="AE27" s="79">
        <f t="shared" si="42"/>
        <v>3077.8931216931214</v>
      </c>
      <c r="AF27" s="1">
        <v>11522.380952380952</v>
      </c>
      <c r="AG27" s="1">
        <v>6012</v>
      </c>
      <c r="AH27" s="1">
        <v>22202</v>
      </c>
      <c r="AI27" s="5">
        <v>12.12</v>
      </c>
      <c r="AJ27" s="5">
        <v>8.6199999999999992</v>
      </c>
      <c r="AK27" s="5">
        <v>7.29</v>
      </c>
      <c r="AL27" s="5">
        <v>5.68</v>
      </c>
      <c r="AM27" s="78">
        <f t="shared" si="43"/>
        <v>9.1785999999999994</v>
      </c>
      <c r="AN27" s="7">
        <v>448.34905660377359</v>
      </c>
      <c r="AO27" s="7">
        <v>229.60619047619045</v>
      </c>
      <c r="AP27" s="78">
        <f t="shared" si="146"/>
        <v>229.60619047619045</v>
      </c>
      <c r="AQ27" s="7">
        <v>198.27272727272728</v>
      </c>
      <c r="AR27" s="7">
        <v>130.19714285714284</v>
      </c>
      <c r="AS27" s="7">
        <v>130.52631578947367</v>
      </c>
      <c r="AT27" s="7">
        <v>163.08333333333334</v>
      </c>
      <c r="AU27" s="78">
        <f t="shared" si="53"/>
        <v>141.26893065998328</v>
      </c>
      <c r="AV27" s="7">
        <v>131.49971428571433</v>
      </c>
      <c r="AW27" s="7">
        <v>307.33238095238096</v>
      </c>
      <c r="AX27" s="7">
        <v>109.63523809523812</v>
      </c>
      <c r="AY27" s="7">
        <v>217.29067729083667</v>
      </c>
      <c r="AZ27" s="7">
        <v>162.4895238095238</v>
      </c>
      <c r="BA27" s="7">
        <v>76.675399999999982</v>
      </c>
      <c r="BB27" s="94">
        <f t="shared" si="45"/>
        <v>152.07215982946522</v>
      </c>
      <c r="BC27" s="68">
        <f>+BC26</f>
        <v>617</v>
      </c>
      <c r="BD27" s="68">
        <f>+BD26</f>
        <v>725</v>
      </c>
      <c r="BE27" s="7">
        <f>+BE26</f>
        <v>660</v>
      </c>
      <c r="BF27" s="7">
        <f>+BF26</f>
        <v>400</v>
      </c>
      <c r="BG27" s="94">
        <f t="shared" si="56"/>
        <v>600.5</v>
      </c>
      <c r="BH27" s="7">
        <v>43.18</v>
      </c>
      <c r="BI27" s="7">
        <f>+BI26+2</f>
        <v>12.766</v>
      </c>
      <c r="BJ27" s="78">
        <f t="shared" si="57"/>
        <v>55.945999999999998</v>
      </c>
      <c r="BK27" s="7">
        <v>33.665999999999997</v>
      </c>
      <c r="BL27" s="7">
        <v>34.984000000000002</v>
      </c>
      <c r="BM27" s="94">
        <f t="shared" si="58"/>
        <v>34.325000000000003</v>
      </c>
      <c r="BN27" s="5">
        <v>5.51</v>
      </c>
      <c r="BO27" s="105">
        <v>17.635714285714283</v>
      </c>
      <c r="BP27" s="80">
        <v>11.775166666666665</v>
      </c>
      <c r="BQ27" s="94">
        <f t="shared" si="59"/>
        <v>17.04965952380952</v>
      </c>
      <c r="BR27" s="7">
        <v>18.89</v>
      </c>
      <c r="BS27" s="7">
        <v>78</v>
      </c>
      <c r="BT27" s="7">
        <v>52.73</v>
      </c>
      <c r="BU27" s="79">
        <f t="shared" si="147"/>
        <v>1094.19</v>
      </c>
      <c r="BV27" s="97">
        <v>32.9</v>
      </c>
      <c r="BW27" s="7"/>
      <c r="BY27" s="92">
        <f>BY$10*(1+((H27/H$10-1)*costos!$B$5+((I27*F27)/(I$10*F$10)-1)*costos!$E$5+((J27*F27)/((J$10*F$10)-1)*costos!$F$5/3+((K27*F27)/(K$10*F$10)-1)*costos!$F$5/3+((U27*F27)/(U$10*F$10)-1)*costos!$F$5/3+((L27*F27)/(L$10*F$10)-1)*costos!$G$5+((N27*F27)/(N$10*F$10)-1)*costos!$J$5+((V27*F27)/(V$10*F$10)-1)*costos!$K$5)))</f>
        <v>140.32033902641328</v>
      </c>
      <c r="BZ27" s="92">
        <f>$BZ$10*(1+((H27/$H$10-1)*costos!$B$6+((I27*F27)/($I$10*$F$10)-1)*costos!$E$6+((J27*F27)/(($J$10*$F$10)-1)*costos!$F$6/3+((K27*F27)/($K$10*$F$10)-1)*costos!$F$6/3+((U27*F27)/($U$10*$F$10)-1)*costos!$F$6/3+((L27*F27)/($L$10*$F$10)-1)*costos!$G$6+((Q27*F27)/($Q$10*$F$10)-1)*costos!$J$6+((V27*F27)/($V$10*$F$10)-1)*costos!$K$6)))</f>
        <v>126.31265731211631</v>
      </c>
      <c r="CA27" s="92">
        <f>CA$10*(1+((H27/H$10-1)*costos!$B$7+((I27*F27)/(I$10*F$10)-1)*costos!$E$7+((J27*F27)/((J$10*F$10)-1)*costos!$F$7/3+((K27*F27)/(K$10*F$10)-1)*costos!$F$7/3+((U27*F27)/(U$10*F$10)-1)*costos!$F$7/3+((L27*F27)/(L$10*F$10)-1)*costos!$G$7+((S27*F27)/(S$10*F$10)-1)*costos!$J$7+((V27*F27)/(V$10*F$10)-1)*costos!$K$7)))</f>
        <v>127.84709979940443</v>
      </c>
      <c r="CB27" s="92">
        <f>CB$10*(1+((H27/H$10-1)*costos!$B$8+((I27*F27)/(I$10*F$10)-1)*costos!$E$8+((J27*F27)/((J$10*F$10)-1)*costos!$F$8/3+((K27*F27)/(K$10*F$10)-1)*costos!$F$8/3+((U27*F27)/(U$10*F$10)-1)*costos!$F$8/3+((L27*F27)/(L$10*F$10)-1)*costos!$G$8+((T27*F27)/(T$10*F$10)-1)*costos!$J$8+((V27*F27)/(V$10*F$10)-1)*costos!$K$8)))</f>
        <v>131.62249755376118</v>
      </c>
      <c r="CC27" s="92">
        <f>CC$10*(1+((H27/H$10-1)*costos!$B$9+((I27*F27)/(I$10*F$10)-1)*costos!$E$9+((J27*F27)/((J$10*F$10)-1)*costos!$F$9/3+((K27*F27)/(K$10*F$10)-1)*costos!$F$9/3+((U27*F27)/(U$10*F$10)-1)*costos!$F$9/3+((L27*F27)/(L$10*F$10)-1)*costos!$G$9+((U27*F27)/(U$10*F$10)-1)*costos!$J$9+((V27*F27)/(V$10*F$10)-1)*costos!$K$9)))</f>
        <v>130.80276803733881</v>
      </c>
      <c r="CD27" s="92">
        <f>CD$10*(1+((H27/H$10-1)*costos!$B$11+((I27*F27)/(I$10*F$10)-1)*costos!$E$11+((J27*F27)/((J$10*F$10)-1)*costos!$F$11/3+((K27*F27)/(K$10*F$10)-1)*costos!$F$11/3+((U27*F27)/(U$10*F$10)-1)*costos!$F$11/3+((L27*F27)/(L$10*F$10)-1)*costos!$G$11+((V27*F27)/(V$10*F$10)-1)*costos!$J$11+((V27*F27)/(V$10*F$10)-1)*costos!$K$11)))</f>
        <v>128.52552027709299</v>
      </c>
      <c r="CE27" s="92">
        <f>CE$10*(1+((H27/H$10-1)*costos!$B$12+((I27*F27)/(I$10*F$10)-1)*costos!$E$12+((J27*F27)/((J$10*F$10)-1)*costos!$F$12/3+((K27*F27)/(K$10*F$10)-1)*costos!$F$12/3+((U27*F27)/(U$10*F$10)-1)*costos!$F$12/3+((L27*F27)/(L$10*F$10)-1)*costos!$G$12+((W27*F27)/(W$10*F$10)-1)*costos!$J$12+((V27*F27)/(V$10*F$10)-1)*costos!$K$12)))</f>
        <v>122.373629667583</v>
      </c>
      <c r="CF27" s="92">
        <f>CF$10*(1+((H27/H$10-1)*costos!$B$13+((I27*F27)/(I$10*F$10)-1)*costos!$E$13+((J27*F27)/((J$10*F$10)-1)*costos!$F$13/3+((K27*F27)/(K$10*F$10)-1)*costos!$F$13/3+((U27*F27)/(U$10*F$10)-1)*costos!$F$13/3+((L27*F27)/(L$10*F$10)-1)*costos!$G$13+((X27*F27)/(X$10*F$10)-1)*costos!$J$13+((V27*F27)/(V$10*F$10)-1)*costos!$K$13)))</f>
        <v>132.59588348025903</v>
      </c>
      <c r="CG27" s="92">
        <f t="shared" si="60"/>
        <v>128.96123313590658</v>
      </c>
      <c r="CH27" s="92">
        <f>CH$10*(1+((H27/H$10-1)*costos!$B$10+((I27*F27)/(I$10*F$10)-1)*costos!$E$10+((J27*F27)/((J$10*F$10)-1)*costos!$F$10/3+((K27*F27)/(K$10*F$10)-1)*costos!$F$10/3+((U27*F27)/(U$10*F$10)-1)*costos!$F$10/3+((L27*F27)/(L$10*F$10)-1)*costos!$G$10+((AF27)/(AF$10)-1)*costos!$J$10+((V27*F27)/(V$10*F$10)-1)*costos!$K$10)))</f>
        <v>146.80437031522101</v>
      </c>
      <c r="CI27" s="92">
        <f>CI$10*(1+((H27/H$10-1)*costos!$B$15+((I27*F27)/(I$10*F$10)-1)*costos!$E$15+((J27*F27)/((J$10*F$10)-1)*costos!$F$15/3+((K27*F27)/(K$10*F$10)-1)*costos!$F$15/3+((U27*F27)/(U$10*F$10)-1)*costos!$F$15/3+((L27*F27)/(L$10*F$10)-1)*costos!$G$15+((AV27)/(AV$10)-1)*costos!$J$15+((V27*F27)/(V$10*F$10)-1)*costos!$K$15)))</f>
        <v>141.96720965181703</v>
      </c>
      <c r="CJ27" s="92">
        <f>CJ$10*(1+((H27/H$10-1)*costos!$B$16+((I27*F27)/(I$10*F$10)-1)*costos!$E$16+((J27*F27)/((J$10*F$10)-1)*costos!$F$16/3+((K27*F27)/(K$10*F$10)-1)*costos!$F$16/3+((U27*F27)/(U$10*F$10)-1)*costos!$F$16/3+((L27*F27)/(L$10*F$10)-1)*costos!$G$16+((AW27)/(AW$10)-1)*costos!$J$16+((V27*F27)/(V$10*F$10)-1)*costos!$K$16)))</f>
        <v>136.77384675266714</v>
      </c>
      <c r="CK27" s="92">
        <f>CK$10*(1+((H27/H$10-1)*costos!$B$17+((I27*F27)/(I$10*F$10)-1)*costos!$E$17+((J27*F27)/((J$10*F$10)-1)*costos!$F$17/3+((K27*F27)/(K$10*F$10)-1)*costos!$F$17/3+((U27*F27)/(U$10*F$10)-1)*costos!$F$17/3+((L27*F27)/(L$10*F$10)-1)*costos!$G$17+((AX27)/(AX$10)-1)*costos!$J$17+((V27*F27)/(V$10*F$10)-1)*costos!$K$17)))</f>
        <v>136.00573502495047</v>
      </c>
      <c r="CL27" s="92">
        <f>CL$10*(1+((H27/H$10-1)*costos!$B$18+((I27*F27)/(I$10*F$10)-1)*costos!$E$18+((J27*F27)/((J$10*F$10)-1)*costos!$F$18/3+((K27*F27)/(K$10*F$10)-1)*costos!$F$18/3+((U27*F27)/(U$10*F$10)-1)*costos!$F$18/3+((L27*F27)/(L$10*F$10)-1)*costos!$G$18+((AY27)/(AY$10)-1)*costos!$J$18+((V27*F27)/(V$10*F$10)-1)*costos!$K$18)))</f>
        <v>156.44575500384391</v>
      </c>
      <c r="CM27" s="92">
        <f>CM$10*(1+((H27/H$10-1)*costos!$B$19+((I27*F27)/(I$10*F$10)-1)*costos!$E$19+((J27*F27)/((J$10*F$10)-1)*costos!$F$19/3+((K27*F27)/(K$10*F$10)-1)*costos!$F$19/3+((U27*F27)/(U$10*F$10)-1)*costos!$F$19/3+((L27*F27)/(L$10*F$10)-1)*costos!$G$19+((AZ27)/(AZ$10)-1)*costos!$J$19+((V27*F27)/(V$10*F$10)-1)*costos!$K$19)))</f>
        <v>137.503746608559</v>
      </c>
      <c r="CN27" s="92">
        <f>CN$10*(1+((H27/H$10-1)*costos!$B$20+((I27*F27)/(I$10*F$10)-1)*costos!$E$20+((J27*F27)/((J$10*F$10)-1)*costos!$F$20/3+((K27*F27)/(K$10*F$10)-1)*costos!$F$20/3+((U27*F27)/(U$10*F$10)-1)*costos!$F$20/3+((L27*F27)/(L$10*F$10)-1)*costos!$G$20+((BA27)/(BA$10)-1)*costos!$J$20+((V27*F27)/(V$10*F$10)-1)*costos!$K$20)))</f>
        <v>127.6953897254229</v>
      </c>
      <c r="CO27" s="92">
        <f t="shared" si="61"/>
        <v>139.4126565906941</v>
      </c>
      <c r="CP27" s="92">
        <f>CP$10*(1+((H27/H$10-1)*costos!$B$22+((I27*F27)/(I$10*F$10)-1)*costos!$E$22+((J27*F27)/((J$10*F$10)-1)*costos!$F$22/3+((K27*F27)/(K$10*F$10)-1)*costos!$F$22/3+((U27*F27)/(U$10*F$10)-1)*costos!$F$22/3+((L27*F27)/(L$10*F$10)-1)*costos!$G$22+(((AVERAGE(AI27:AL27))/((AVERAGE(AI$10:AL$10))-1)*costos!$J$22+((V27*F27)/(V$10*F$10)-1)*costos!$K$22)))))</f>
        <v>180.97496196402824</v>
      </c>
      <c r="CQ27" s="92">
        <f>CQ$10*(1+((H27/H$10-1)*costos!$B$23+((I27*F27)/(I$10*F$10)-1)*costos!$E$23+((J27*F27)/((J$10*F$10)-1)*costos!$F$23/3+((K27*F27)/(K$10*F$10)-1)*costos!$F$23/3+((U27*F27)/(U$10*F$10)-1)*costos!$F$23/3+((L27*F27)/(L$10*F$10)-1)*costos!$G$23+((AN27)/(AN$10)-1)*costos!$J$23+((V27*F27)/(V$10*F$10)-1)*costos!$K$23)))</f>
        <v>135.24069324829679</v>
      </c>
      <c r="CR27" s="92">
        <f>CR$10*(1+((H27/H$10-1)*costos!$B$24+((I27*F27)/(I$10*F$10)-1)*costos!$E$24+((J27*F27)/((J$10*F$10)-1)*costos!$F$24/3+((K27*F27)/(K$10*F$10)-1)*costos!$F$24/3+((U27*F27)/(U$10*F$10)-1)*costos!$F$24/3+((L27*F27)/(L$10*F$10)-1)*costos!$G$24+((AO27)/(AO$10)-1)*costos!$J$24+((V27*F27)/(V$10*F$10)-1)*costos!$K$24)))</f>
        <v>131.9272955523756</v>
      </c>
      <c r="CS27" s="92">
        <f t="shared" si="62"/>
        <v>133.58399440033619</v>
      </c>
      <c r="CT27" s="92">
        <f>CT$10*(1+((H27/H$10-1)*costos!$B$25+((I27*F27)/(I$10*F$10)-1)*costos!$E$25+((J27*F27)/((J$10*F$10)-1)*costos!$F$25/3+((K27*F27)/(K$10*F$10)-1)*costos!$F$25/3+((U27*F27)/(U$10*F$10)-1)*costos!$F$25/3+((L27*F27)/(L$10*F$10)-1)*costos!$G$25+((AQ27)/(AQ$10)-1)*costos!$J$25+((V27*F27)/(V$10*F$10)-1)*costos!$K$25)))</f>
        <v>127.65911732745168</v>
      </c>
      <c r="CU27" s="92">
        <f>CU$10*(1+((H27/H$10-1)*costos!$B$26+((I27*F27)/(I$10*F$10)-1)*costos!$E$26+((J27*F27)/((J$10*F$10)-1)*costos!$F$26/3+((K27*F27)/(K$10*F$10)-1)*costos!$F$26/3+((U27*F27)/(U$10*F$10)-1)*costos!$F$26/3+((L27*F27)/(L$10*F$10)-1)*costos!$G$26+((AR27)/(AR$10)-1)*costos!$J$26+((V27*F27)/(V$10*F$10)-1)*costos!$K$26)))</f>
        <v>127.30231298972123</v>
      </c>
      <c r="CV27" s="92">
        <f>CV$10*(1+((H27/H$10-1)*costos!$B$27+((I27*F27)/(I$10*F$10)-1)*costos!$E$27+((J27*F27)/((J$10*F$10)-1)*costos!$F$27/3+((K27*F27)/(K$10*F$10)-1)*costos!$F$27/3+((U27*F27)/(U$10*F$10)-1)*costos!$F$27/3+((L27*F27)/(L$10*F$10)-1)*costos!$G$27+((AS27)/(AS$10)-1)*costos!$J$27+((V27*F27)/(V$10*F$10)-1)*costos!$K$27)))</f>
        <v>127.17047503019363</v>
      </c>
      <c r="CW27" s="92">
        <f>CW$10*(1+((H27/H$10-1)*costos!$B$28+((I27*F27)/(I$10*F$10)-1)*costos!$E$28+((J27*F27)/((J$10*F$10)-1)*costos!$F$28/3+((K27*F27)/(K$10*F$10)-1)*costos!$F$28/3+((U27*F27)/(U$10*F$10)-1)*costos!$F$28/3+((L27*F27)/(L$10*F$10)-1)*costos!$G$28+((AS27)/(AS$10)-1)*costos!$J$28+((V27*F27)/(V$10*F$10)-1)*costos!$K$28)))</f>
        <v>127.17047503019363</v>
      </c>
      <c r="CX27" s="92">
        <f t="shared" si="63"/>
        <v>127.21442101670283</v>
      </c>
      <c r="CY27" s="92">
        <f>CY$10*(1+((H27/H$10-1)*costos!$B$32+((I27*F27)/(I$10*F$10)-1)*costos!$E$32+((J27*F27)/((J$10*F$10)-1)*costos!$F$32/3+((K27*F27)/(K$10*F$10)-1)*costos!$F$32/3+((U27*F27)/(U$10*F$10)-1)*costos!$F$32/3+((L27*F27)/(L$10*F$10)-1)*costos!$G$32+((AG27)/(AG$10)-1)*costos!$J$32+((V27*F27)/(V$10*F$10)-1)*costos!$K$32)))</f>
        <v>135.42231828955354</v>
      </c>
      <c r="CZ27" s="69">
        <f>CZ$10*(1+((H27/H$10-1)*costos!$B$31+((I27*F27)/(I$10*F$10)-1)*costos!$E$30+((J27*F27)/((J$10*F$10)-1)*costos!$F$30/3+((K27*F27)/(K$10*F$10)-1)*costos!$F$30/3+((U27*F27)/(U$10*F$10)-1)*costos!$F$30/3+((L27*F27)/(L$10*F$10)-1)*costos!$G$30+((BG27)/(BG$10)-1)*costos!$J$30+((V27*F27)/(V$10*F$10)-1)*costos!$K$30)))</f>
        <v>140.19130764143503</v>
      </c>
      <c r="DA27" s="69">
        <f>DA$10*(1+((H27/H$10-1)*costos!$B$31+((I27*F27)/(I$10*F$10)-1)*costos!$E$31+((J27*F27)/((J$10*F$10)-1)*costos!$F$31/3+((K27*F27)/(K$10*F$10)-1)*costos!$F$31/3+((U27*F27)/(U$10*F$10)-1)*costos!$F$31/3+((L27*F27)/(L$10*F$10)-1)*costos!$G$31+((BJ27)/(BJ$10)-1)*costos!$J$31+((V27*F27)/(V$10*F$10)-1)*costos!$K$31)))</f>
        <v>134.09827581227009</v>
      </c>
      <c r="DB27" s="69">
        <f>DB$10*(1+((H27/H$10-1)*costos!$B$36+((I27*F27)/(I$10*F$10)-1)*costos!$E$36+((J27*F27)/((J$10*F$10)-1)*costos!$F$36/3+((K27*F27)/(K$10*F$10)-1)*costos!$F$36/3+((U27*F27)/(U$10*F$10)-1)*costos!$F$36/3+((L27*F27)/(L$10*F$10)-1)*costos!$G$36+((BK27)/(BK$10)-1)*costos!$J$36+((V27*F27)/(V$10*F$10)-1)*costos!$K$36)))</f>
        <v>135.00445545225196</v>
      </c>
      <c r="DC27" s="69">
        <f>DC$10*(1+((H27/H$10-1)*costos!$B$37+((I27*F27)/(I$10*F$10)-1)*costos!$E$37+((U27*F27)/(U$10*F$10)-1)*costos!$F$37+((L27*F27)/(L$10*F$10)-1)*costos!$G$37+((BN27)/(BN$10)-1)*costos!$J$37+((V27*F27)/(V$10*F$10)-1)*costos!$K$37))</f>
        <v>128.71666826110663</v>
      </c>
      <c r="DD27" s="69">
        <f>DD$10*(1+((H27/H$10-1)*costos!$B$39+((I27*F27)/(I$10*F$10)-1)*costos!$E$39+((U27*F27)/(U$10*F$10)-1)*costos!$F$39+((L27*F27)/(L$10*F$10)-1)*costos!$G$39+((BR27)/(BR$10)-1)*costos!$J$39+((V27*F27)/(V$10*F$10)-1)*costos!$K$39))</f>
        <v>126.02853876682474</v>
      </c>
      <c r="DE27" s="69">
        <f>DD$10*(1+((H27/H$10-1)*costos!$B$35+((I27*F27)/(I$10*F$10)-1)*costos!$E$35+((U27*F27)/(U$10*F$10)-1)*costos!$F$35+((L27*F27)/(L$10*F$10)-1)*costos!$G$35+((BR27)/(BR$10)-1)*costos!$J$35+((V27*F27)/(V$10*F$10)-1)*costos!$K$35))</f>
        <v>123.20560249704859</v>
      </c>
      <c r="DF27" s="69">
        <f>DF$10*(1+((H27/H$10-1)*costos!$B$40+((I27*F27)/(I$10*F$10)-1)*costos!$E$40+((U27*F27)/(U$10*F$10)-1)*costos!$F$40+((L27*F27)/(L$10*F$10)-1)*costos!$G$40+((BP27)/(BP$10)-1)*costos!$J$40+((V27*F27)/(V$10*F$10)-1)*costos!$K$40))</f>
        <v>124.81985926142991</v>
      </c>
      <c r="DG27" s="92">
        <f t="shared" si="64"/>
        <v>124.01273087923926</v>
      </c>
      <c r="DH27" s="69">
        <f>DH$10*(1+((H27/H$10-1)*costos!$B$34+((I27*F27)/(I$10*F$10)-1)*costos!$E$34+((J27*F27)/((J$10*F$10)-1)*costos!$F$34/3+((K27*F27)/(K$10*F$10)-1)*costos!$F$34/3+((U27*F27)/(U$10*F$10)-1)*costos!$F$34/3+((L27*F27)/(L$10*F$10)-1)*costos!$G$34+((BV27)/(BV$10)-1)*costos!$J$34+((V27*F27)/(V$10*F$10)-1)*costos!$K$34)))</f>
        <v>137.15827370552572</v>
      </c>
      <c r="DI27" s="69">
        <f>DI$10*(1+((H27/H$10-1)*costos!$B$38+((I27*F27)/(I$10*F$10)-1)*costos!$E$38+((J27*F27)/((J$10*F$10)-1)*costos!$F$38/3+((K27*F27)/(K$10*F$10)-1)*costos!$F$38/3+((U27*F27)/(U$10*F$10)-1)*costos!$F$38/3+((L27*F27)/(L$10*F$10)-1)*costos!$G$38+((BU27)/(BU$10)-1)*costos!$J$38+((V27*F27)/(V$10*F$10)-1)*costos!$K$38)))</f>
        <v>135.01350134824148</v>
      </c>
      <c r="DK27" s="1">
        <v>258900</v>
      </c>
      <c r="DL27" s="1" t="s">
        <v>106</v>
      </c>
      <c r="DM27" s="82">
        <f t="shared" si="155"/>
        <v>206500</v>
      </c>
      <c r="DN27" s="82" t="str">
        <f t="shared" si="155"/>
        <v>2016-17</v>
      </c>
      <c r="DO27" s="82">
        <f t="shared" si="173"/>
        <v>850000</v>
      </c>
      <c r="DP27" s="82" t="str">
        <f t="shared" si="173"/>
        <v>2016-17</v>
      </c>
      <c r="DQ27" s="82">
        <f t="shared" si="173"/>
        <v>1700000</v>
      </c>
      <c r="DR27" s="82" t="str">
        <f t="shared" si="173"/>
        <v>2016-17</v>
      </c>
      <c r="DS27" s="1">
        <v>5100000</v>
      </c>
      <c r="DT27" s="1" t="s">
        <v>106</v>
      </c>
      <c r="DU27" s="1">
        <v>19200000</v>
      </c>
      <c r="DV27" s="1" t="s">
        <v>106</v>
      </c>
      <c r="DW27" s="1">
        <v>800000</v>
      </c>
      <c r="DX27" s="1" t="s">
        <v>106</v>
      </c>
      <c r="DY27" s="1">
        <v>5930000</v>
      </c>
      <c r="DZ27" s="1" t="s">
        <v>6</v>
      </c>
      <c r="EA27" s="79">
        <f t="shared" si="67"/>
        <v>33580000</v>
      </c>
      <c r="EB27" s="82">
        <f t="shared" si="156"/>
        <v>364191</v>
      </c>
      <c r="EC27" s="82" t="str">
        <f t="shared" si="157"/>
        <v>2016-17</v>
      </c>
      <c r="ED27" s="83">
        <f t="shared" si="157"/>
        <v>165327</v>
      </c>
      <c r="EE27" s="143">
        <f t="shared" si="157"/>
        <v>2016</v>
      </c>
      <c r="EF27" s="83">
        <f t="shared" si="121"/>
        <v>220848</v>
      </c>
      <c r="EG27" s="143">
        <f t="shared" si="122"/>
        <v>2017</v>
      </c>
      <c r="EH27" s="83">
        <v>54163380</v>
      </c>
      <c r="EI27" s="143">
        <v>2017</v>
      </c>
      <c r="EJ27" s="83">
        <f t="shared" si="169"/>
        <v>5119438</v>
      </c>
      <c r="EK27" s="143">
        <v>2020</v>
      </c>
      <c r="EL27" s="82">
        <f t="shared" ref="EL27:EO36" si="175">+EL26</f>
        <v>14746566</v>
      </c>
      <c r="EM27" s="144">
        <f t="shared" si="175"/>
        <v>2017</v>
      </c>
      <c r="EN27" s="82">
        <f t="shared" si="175"/>
        <v>3364725</v>
      </c>
      <c r="EO27" s="144">
        <f t="shared" si="175"/>
        <v>2017</v>
      </c>
      <c r="EP27" s="82">
        <f t="shared" si="118"/>
        <v>6552</v>
      </c>
      <c r="EQ27" s="83">
        <f t="shared" si="100"/>
        <v>3003036</v>
      </c>
      <c r="ER27" s="1">
        <v>33739</v>
      </c>
      <c r="ES27" s="82"/>
      <c r="ET27" s="83">
        <f t="shared" si="101"/>
        <v>23614</v>
      </c>
      <c r="EU27" s="83">
        <f t="shared" si="101"/>
        <v>16845</v>
      </c>
      <c r="EV27" s="83">
        <f t="shared" si="101"/>
        <v>9213</v>
      </c>
      <c r="EW27" s="83">
        <f t="shared" si="101"/>
        <v>17766</v>
      </c>
      <c r="EX27" s="79">
        <f t="shared" si="72"/>
        <v>67438</v>
      </c>
      <c r="EY27" s="1">
        <f t="shared" si="123"/>
        <v>19284</v>
      </c>
      <c r="EZ27" s="82">
        <f t="shared" si="123"/>
        <v>74845</v>
      </c>
      <c r="FA27" s="1">
        <f t="shared" si="103"/>
        <v>20879</v>
      </c>
      <c r="FB27" s="1">
        <f t="shared" si="103"/>
        <v>19496</v>
      </c>
      <c r="FC27" s="79">
        <f t="shared" si="73"/>
        <v>40375</v>
      </c>
      <c r="FD27" s="1">
        <f t="shared" si="158"/>
        <v>65075.3</v>
      </c>
      <c r="FE27" s="1"/>
      <c r="FF27" s="82">
        <f t="shared" si="129"/>
        <v>708196</v>
      </c>
      <c r="FG27" s="82" t="str">
        <f t="shared" si="130"/>
        <v>2015-16</v>
      </c>
      <c r="FH27" s="82">
        <f t="shared" si="132"/>
        <v>1404980</v>
      </c>
      <c r="FI27" s="82" t="str">
        <f t="shared" si="132"/>
        <v>2015-16</v>
      </c>
      <c r="FJ27" s="82">
        <f t="shared" si="159"/>
        <v>3000000</v>
      </c>
      <c r="FK27" s="82" t="str">
        <f t="shared" si="160"/>
        <v>2016-17</v>
      </c>
      <c r="FL27" s="82">
        <f t="shared" si="170"/>
        <v>3300000</v>
      </c>
      <c r="FM27" s="82" t="str">
        <f t="shared" si="170"/>
        <v>2016-17</v>
      </c>
      <c r="FN27" s="1">
        <v>39000000</v>
      </c>
      <c r="FO27" s="1" t="s">
        <v>106</v>
      </c>
      <c r="FP27" s="1">
        <v>57500000</v>
      </c>
      <c r="FQ27" s="1" t="s">
        <v>106</v>
      </c>
      <c r="FR27" s="1">
        <v>3200000</v>
      </c>
      <c r="FS27" s="1" t="s">
        <v>106</v>
      </c>
      <c r="FT27" s="1">
        <v>18395000</v>
      </c>
      <c r="FU27" s="83" t="str">
        <f t="shared" si="161"/>
        <v>2016-17</v>
      </c>
      <c r="FV27" s="79">
        <f t="shared" si="76"/>
        <v>124395000</v>
      </c>
      <c r="FW27" s="82">
        <f t="shared" si="126"/>
        <v>1001113</v>
      </c>
      <c r="FX27" s="82" t="str">
        <f t="shared" si="127"/>
        <v>2015-16</v>
      </c>
      <c r="FY27" s="1">
        <v>153566.20499999999</v>
      </c>
      <c r="FZ27" s="79">
        <f t="shared" si="135"/>
        <v>756576.95799999998</v>
      </c>
      <c r="GA27" s="86" t="str">
        <f t="shared" si="136"/>
        <v>jul16 jun17</v>
      </c>
      <c r="GB27" s="1">
        <v>19652055</v>
      </c>
      <c r="GC27" s="6">
        <v>2017</v>
      </c>
      <c r="GD27" s="1">
        <f t="shared" si="165"/>
        <v>1675851</v>
      </c>
      <c r="GE27" s="1">
        <v>459665</v>
      </c>
      <c r="GF27" s="1">
        <v>1024918</v>
      </c>
      <c r="GG27" s="1">
        <f t="shared" si="166"/>
        <v>112337</v>
      </c>
      <c r="GH27" s="79">
        <f t="shared" si="78"/>
        <v>1596920</v>
      </c>
      <c r="GI27" s="82">
        <f t="shared" si="79"/>
        <v>1302556</v>
      </c>
      <c r="GJ27" s="83">
        <f t="shared" si="162"/>
        <v>665408</v>
      </c>
      <c r="GK27" s="83">
        <f t="shared" si="162"/>
        <v>660753</v>
      </c>
      <c r="GL27" s="83">
        <f t="shared" si="162"/>
        <v>290290.46000000002</v>
      </c>
      <c r="GM27" s="1">
        <f t="shared" si="162"/>
        <v>263224.75</v>
      </c>
      <c r="GN27" s="79">
        <f t="shared" si="81"/>
        <v>1879676.21</v>
      </c>
      <c r="GO27" s="83">
        <f t="shared" si="107"/>
        <v>193430</v>
      </c>
      <c r="GP27" s="83">
        <f t="shared" si="107"/>
        <v>76379</v>
      </c>
      <c r="GQ27" s="1"/>
      <c r="GR27" s="1">
        <f t="shared" si="150"/>
        <v>42700</v>
      </c>
      <c r="GS27" s="79">
        <f t="shared" si="83"/>
        <v>42700</v>
      </c>
      <c r="GT27" s="83">
        <f t="shared" si="108"/>
        <v>2459310</v>
      </c>
      <c r="GU27" s="1">
        <v>32824</v>
      </c>
      <c r="GV27" s="1">
        <v>45251</v>
      </c>
      <c r="GW27" s="79">
        <f t="shared" si="151"/>
        <v>1354151</v>
      </c>
      <c r="GX27" s="83">
        <v>32330.198</v>
      </c>
      <c r="GY27" s="83" t="s">
        <v>328</v>
      </c>
      <c r="GZ27" s="83">
        <f t="shared" si="109"/>
        <v>117154</v>
      </c>
      <c r="HA27" s="1">
        <v>236000</v>
      </c>
      <c r="HB27" s="79">
        <f t="shared" si="137"/>
        <v>2725000</v>
      </c>
      <c r="HC27" s="86" t="str">
        <f t="shared" si="138"/>
        <v>jul16 jun17</v>
      </c>
      <c r="HD27" s="1">
        <v>47897</v>
      </c>
      <c r="HE27" s="79">
        <f t="shared" si="139"/>
        <v>538902</v>
      </c>
      <c r="HF27" s="86" t="str">
        <f t="shared" si="140"/>
        <v>jul16 jun17</v>
      </c>
      <c r="HG27" s="1">
        <v>188000</v>
      </c>
      <c r="HH27" s="79">
        <f t="shared" si="141"/>
        <v>2127000</v>
      </c>
      <c r="HI27" s="86" t="str">
        <f t="shared" si="142"/>
        <v>jul16 jun17</v>
      </c>
      <c r="HJ27" s="1">
        <v>82535</v>
      </c>
      <c r="HK27" s="79">
        <f t="shared" si="143"/>
        <v>29157.54</v>
      </c>
      <c r="HL27" s="86" t="str">
        <f t="shared" si="144"/>
        <v>jul16 jun17</v>
      </c>
      <c r="HM27" s="79">
        <f t="shared" si="86"/>
        <v>2156157.54</v>
      </c>
      <c r="HN27" s="87">
        <v>4.0252329891197251E-2</v>
      </c>
      <c r="HO27" s="1">
        <f t="shared" si="152"/>
        <v>861432954.38290036</v>
      </c>
      <c r="HP27" s="79">
        <f t="shared" si="153"/>
        <v>9827.3119448727939</v>
      </c>
      <c r="HQ27" s="86" t="str">
        <f t="shared" si="145"/>
        <v>jul16 jun17</v>
      </c>
      <c r="HR27" s="3"/>
      <c r="HS27" s="1"/>
      <c r="HT27" s="1"/>
      <c r="HU27" s="83">
        <f t="shared" si="174"/>
        <v>680000</v>
      </c>
      <c r="HV27" s="83" t="str">
        <f t="shared" si="174"/>
        <v>2016-17</v>
      </c>
      <c r="HW27" s="1">
        <v>1430000</v>
      </c>
      <c r="HX27" s="1" t="s">
        <v>106</v>
      </c>
      <c r="HY27" s="1">
        <v>3350000</v>
      </c>
      <c r="HZ27" s="1" t="s">
        <v>106</v>
      </c>
      <c r="IA27" s="1">
        <f t="shared" si="171"/>
        <v>19080000</v>
      </c>
      <c r="IB27" s="1" t="s">
        <v>106</v>
      </c>
      <c r="IC27" s="1">
        <v>47130000</v>
      </c>
      <c r="ID27" s="1" t="s">
        <v>106</v>
      </c>
      <c r="IE27" s="1">
        <f t="shared" si="172"/>
        <v>2450000</v>
      </c>
      <c r="IF27" s="1" t="s">
        <v>106</v>
      </c>
      <c r="IG27" s="1">
        <f t="shared" si="154"/>
        <v>6760000</v>
      </c>
      <c r="IH27" s="1" t="s">
        <v>106</v>
      </c>
      <c r="II27" s="79">
        <f t="shared" si="87"/>
        <v>80200000</v>
      </c>
      <c r="IJ27" s="97">
        <f t="shared" si="167"/>
        <v>1.5629261117125455</v>
      </c>
      <c r="IK27" s="1" t="s">
        <v>106</v>
      </c>
      <c r="IL27" s="7">
        <v>47.75</v>
      </c>
      <c r="IM27" s="7">
        <v>58.595469215568826</v>
      </c>
      <c r="IN27" s="7">
        <v>197</v>
      </c>
      <c r="IO27" s="695">
        <v>14.44</v>
      </c>
      <c r="IP27" s="98">
        <f t="shared" si="163"/>
        <v>5.6020702831241165</v>
      </c>
      <c r="IQ27" s="93">
        <v>20.2</v>
      </c>
      <c r="IR27" s="93">
        <f t="shared" si="168"/>
        <v>3.01</v>
      </c>
      <c r="IS27" s="93">
        <f t="shared" si="168"/>
        <v>5.59</v>
      </c>
      <c r="IT27" s="93">
        <f t="shared" si="168"/>
        <v>11.85</v>
      </c>
      <c r="IU27" s="93">
        <f t="shared" si="168"/>
        <v>0.79</v>
      </c>
      <c r="IV27" s="94">
        <f t="shared" si="89"/>
        <v>18.229999999999997</v>
      </c>
      <c r="IW27" s="84"/>
      <c r="IX27" s="84"/>
      <c r="IY27" s="105">
        <v>1.84</v>
      </c>
      <c r="IZ27" s="161">
        <v>0.3</v>
      </c>
      <c r="JA27" s="570"/>
      <c r="JB27" s="84">
        <v>41.09</v>
      </c>
      <c r="JC27" s="84"/>
      <c r="JD27" s="84"/>
      <c r="JF27" s="2">
        <v>7.0501236800000013</v>
      </c>
      <c r="JG27" s="2">
        <v>9.3315088399999997</v>
      </c>
      <c r="JH27" s="2">
        <v>30.284592159999999</v>
      </c>
      <c r="JI27" s="2">
        <v>55.77827722</v>
      </c>
      <c r="JJ27" s="2">
        <v>359.38914656000003</v>
      </c>
      <c r="JK27" s="2">
        <v>73.033300860000011</v>
      </c>
      <c r="JL27" s="2">
        <v>1618.9045924599998</v>
      </c>
      <c r="JM27" s="2">
        <v>6.8632028099999998</v>
      </c>
      <c r="JN27" s="2">
        <v>130.55896969999998</v>
      </c>
      <c r="JO27" s="2">
        <v>16.98183199</v>
      </c>
      <c r="JP27" s="2">
        <v>0</v>
      </c>
      <c r="JQ27" s="2">
        <v>0.96184599999999998</v>
      </c>
      <c r="JR27" s="2">
        <v>0.49700390000000005</v>
      </c>
      <c r="JS27" s="2">
        <v>0</v>
      </c>
      <c r="JT27" s="2">
        <v>1.261865E-2</v>
      </c>
      <c r="JU27" s="2">
        <v>82.667644260000017</v>
      </c>
      <c r="JV27" s="2">
        <v>17.120247809999999</v>
      </c>
      <c r="JW27" s="2">
        <v>18.054905050000002</v>
      </c>
      <c r="JX27" s="2">
        <v>116.2071637</v>
      </c>
      <c r="JY27" s="2">
        <v>7.9465135300000016</v>
      </c>
      <c r="JZ27" s="2">
        <v>6.0956567600000007</v>
      </c>
      <c r="KA27" s="2">
        <v>0.31236050000000004</v>
      </c>
      <c r="KB27" s="2">
        <v>20.629936669999999</v>
      </c>
      <c r="KC27" s="2">
        <v>44.626739650000005</v>
      </c>
      <c r="KD27" s="2">
        <v>9.7178886000000002</v>
      </c>
      <c r="KE27" s="2">
        <v>20.123843110000003</v>
      </c>
      <c r="KF27" s="2">
        <v>29.487660430000002</v>
      </c>
      <c r="KG27" s="2">
        <v>191.25934076000007</v>
      </c>
      <c r="KH27" s="2">
        <v>43.261154839999996</v>
      </c>
      <c r="KI27" s="2">
        <v>16.735869900000001</v>
      </c>
      <c r="KJ27" s="2">
        <v>1.7362938399999999</v>
      </c>
      <c r="KK27" s="2">
        <v>8.5412679500000017</v>
      </c>
      <c r="KL27" s="2">
        <v>0.58932583999999999</v>
      </c>
      <c r="KM27" s="2">
        <v>1.5681339200000002</v>
      </c>
      <c r="KN27" s="2">
        <v>0.22927</v>
      </c>
      <c r="KO27" s="2">
        <v>2.7868433800000001</v>
      </c>
      <c r="KP27" s="2">
        <v>0.15429782</v>
      </c>
      <c r="KQ27" s="2">
        <v>61.650343630000002</v>
      </c>
      <c r="KR27" s="2">
        <v>5.9956959999999997E-2</v>
      </c>
      <c r="KS27" s="2">
        <v>0.10873050999999999</v>
      </c>
      <c r="KT27" s="2">
        <v>4.5132295800000009</v>
      </c>
      <c r="KU27" s="2">
        <v>0.56852242999999991</v>
      </c>
      <c r="KV27" s="2">
        <v>0</v>
      </c>
      <c r="KW27" s="2">
        <v>5.4548362900000003</v>
      </c>
      <c r="KX27" s="2">
        <v>0</v>
      </c>
      <c r="KY27" s="2">
        <v>0</v>
      </c>
      <c r="KZ27" s="2">
        <v>2.9338275299999999</v>
      </c>
      <c r="LA27" s="2">
        <v>2.3690608499999999</v>
      </c>
      <c r="LB27" s="2">
        <v>0.14961804000000001</v>
      </c>
      <c r="LC27" s="2">
        <v>4.0955900000000003E-2</v>
      </c>
      <c r="LD27" s="2">
        <v>0</v>
      </c>
      <c r="LE27" s="2">
        <v>0.58679844999999997</v>
      </c>
      <c r="LF27" s="2">
        <v>0.32242537999999998</v>
      </c>
      <c r="LG27" s="2">
        <v>19.278092330000003</v>
      </c>
      <c r="LH27" s="2">
        <v>3.5943616600000001</v>
      </c>
      <c r="LI27" s="2">
        <v>0</v>
      </c>
      <c r="LJ27" s="2">
        <v>8.3810499999999993E-3</v>
      </c>
      <c r="LK27" s="2">
        <v>1.8284401200000002</v>
      </c>
      <c r="LL27" s="2">
        <v>3.9667068500000005</v>
      </c>
      <c r="LM27" s="2">
        <v>1.83259796</v>
      </c>
      <c r="LN27" s="2">
        <v>0.31769962000000007</v>
      </c>
      <c r="LO27" s="2">
        <v>9.8353568399999993</v>
      </c>
      <c r="LQ27" s="85">
        <f t="shared" si="90"/>
        <v>2201.77878091</v>
      </c>
      <c r="LR27" s="85">
        <f t="shared" si="91"/>
        <v>1.4714685500000002</v>
      </c>
      <c r="LS27" s="85">
        <f t="shared" si="92"/>
        <v>35.175152859999997</v>
      </c>
      <c r="LT27" s="85">
        <f t="shared" si="93"/>
        <v>14.354530790000002</v>
      </c>
      <c r="LU27" s="85">
        <f t="shared" si="94"/>
        <v>66.403278399999991</v>
      </c>
      <c r="LV27" s="85">
        <f t="shared" si="95"/>
        <v>5.4548362900000003</v>
      </c>
      <c r="LW27" s="85">
        <f t="shared" si="96"/>
        <v>2.5186788899999999</v>
      </c>
      <c r="LX27" s="85">
        <f t="shared" si="97"/>
        <v>0.90922382999999996</v>
      </c>
      <c r="LZ27" s="131">
        <v>19.260000000000002</v>
      </c>
      <c r="MA27" s="171">
        <v>20.96</v>
      </c>
      <c r="MB27"/>
      <c r="MC27"/>
      <c r="MD27"/>
      <c r="MF27"/>
      <c r="MG27"/>
      <c r="MH27" s="83">
        <v>38.64</v>
      </c>
      <c r="MI27" s="83">
        <v>10.67</v>
      </c>
      <c r="MJ27" s="83">
        <v>13.9</v>
      </c>
      <c r="MK27"/>
      <c r="ML27" s="83">
        <v>11.56</v>
      </c>
      <c r="MM27" s="83">
        <v>28.36</v>
      </c>
      <c r="MN27" s="83"/>
      <c r="MO27" s="83">
        <v>14.59</v>
      </c>
      <c r="MP27" s="83">
        <v>39.840000000000003</v>
      </c>
      <c r="MQ27" s="83">
        <v>32.450000000000003</v>
      </c>
      <c r="MR27"/>
      <c r="MT27" s="83"/>
      <c r="MU27" s="83">
        <v>14.35</v>
      </c>
      <c r="MV27"/>
      <c r="MW27"/>
      <c r="MX27"/>
      <c r="MY27" s="83">
        <v>30.73</v>
      </c>
      <c r="MZ27" s="83">
        <v>93.4</v>
      </c>
      <c r="NA27" s="83">
        <v>34.5</v>
      </c>
      <c r="NB27" s="83">
        <v>125.47</v>
      </c>
      <c r="NC27" s="83">
        <v>20.96</v>
      </c>
      <c r="ND27"/>
      <c r="NE27" s="1">
        <v>111.16</v>
      </c>
    </row>
    <row r="28" spans="1:369">
      <c r="A28" s="38">
        <f t="shared" si="32"/>
        <v>42917</v>
      </c>
      <c r="B28" s="36">
        <v>7</v>
      </c>
      <c r="C28" s="36">
        <v>2017</v>
      </c>
      <c r="D28" s="36">
        <f t="shared" si="50"/>
        <v>28</v>
      </c>
      <c r="E28" s="38">
        <f t="shared" si="33"/>
        <v>42917</v>
      </c>
      <c r="F28" s="7">
        <v>17.39714285714286</v>
      </c>
      <c r="G28" s="7">
        <v>113.8</v>
      </c>
      <c r="H28" s="1">
        <f>[2]NACIONALES!$D16</f>
        <v>10368</v>
      </c>
      <c r="I28" s="7">
        <v>103</v>
      </c>
      <c r="J28" s="7">
        <v>350</v>
      </c>
      <c r="K28" s="7">
        <v>2.6</v>
      </c>
      <c r="L28" s="7">
        <v>35.799999999999997</v>
      </c>
      <c r="N28" s="5">
        <v>1.5524285714285713</v>
      </c>
      <c r="O28" s="5">
        <v>1.3910952380952382</v>
      </c>
      <c r="P28" s="78">
        <f t="shared" si="34"/>
        <v>25.604452108843542</v>
      </c>
      <c r="Q28" s="6">
        <v>370</v>
      </c>
      <c r="R28" s="79">
        <f t="shared" si="35"/>
        <v>3700</v>
      </c>
      <c r="S28" s="6">
        <v>146.0952380952381</v>
      </c>
      <c r="T28" s="6">
        <v>306.1904761904762</v>
      </c>
      <c r="U28" s="143">
        <v>154.3238095238095</v>
      </c>
      <c r="V28" s="6">
        <v>257.28571428571433</v>
      </c>
      <c r="W28" s="6">
        <v>118.54761904761905</v>
      </c>
      <c r="X28" s="6">
        <v>175.30476190476193</v>
      </c>
      <c r="Y28" s="79">
        <f t="shared" si="36"/>
        <v>2541.6397278911572</v>
      </c>
      <c r="Z28" s="79">
        <f t="shared" si="37"/>
        <v>5326.839455782314</v>
      </c>
      <c r="AA28" s="79">
        <f t="shared" si="38"/>
        <v>2684.7933605442176</v>
      </c>
      <c r="AB28" s="79">
        <f t="shared" si="39"/>
        <v>4476.0363265306141</v>
      </c>
      <c r="AC28" s="79">
        <f t="shared" si="40"/>
        <v>2062.3898639455788</v>
      </c>
      <c r="AD28" s="79">
        <f t="shared" si="41"/>
        <v>3049.8019863945588</v>
      </c>
      <c r="AE28" s="79">
        <f t="shared" si="42"/>
        <v>3356.9167868480736</v>
      </c>
      <c r="AF28" s="1">
        <v>12013.190476190477</v>
      </c>
      <c r="AG28" s="1">
        <v>6012</v>
      </c>
      <c r="AH28" s="1">
        <v>22202</v>
      </c>
      <c r="AI28" s="5">
        <v>11.32</v>
      </c>
      <c r="AJ28" s="5">
        <v>7.17</v>
      </c>
      <c r="AK28" s="5">
        <v>7.07</v>
      </c>
      <c r="AL28" s="5">
        <v>6.01</v>
      </c>
      <c r="AM28" s="78">
        <f t="shared" si="43"/>
        <v>8.7745999999999995</v>
      </c>
      <c r="AN28" s="7">
        <v>465.95238095238096</v>
      </c>
      <c r="AO28" s="7">
        <v>248.80523809523808</v>
      </c>
      <c r="AP28" s="78">
        <f t="shared" si="146"/>
        <v>248.80523809523808</v>
      </c>
      <c r="AQ28" s="7">
        <v>165.04347826086956</v>
      </c>
      <c r="AR28" s="7">
        <v>133.69476190476189</v>
      </c>
      <c r="AS28" s="7">
        <v>133.45238095238096</v>
      </c>
      <c r="AT28" s="7">
        <v>139.28571428571428</v>
      </c>
      <c r="AU28" s="78">
        <f t="shared" si="53"/>
        <v>135.47761904761904</v>
      </c>
      <c r="AV28" s="7">
        <v>147.1476785714286</v>
      </c>
      <c r="AW28" s="7">
        <v>293.27714285714285</v>
      </c>
      <c r="AX28" s="7">
        <v>113.82904761904761</v>
      </c>
      <c r="AY28" s="7">
        <v>177.0660454545455</v>
      </c>
      <c r="AZ28" s="7">
        <v>126.23380952380951</v>
      </c>
      <c r="BA28" s="7">
        <v>71.274523809523814</v>
      </c>
      <c r="BB28" s="94">
        <f t="shared" si="45"/>
        <v>130.52585257335258</v>
      </c>
      <c r="BC28" s="68">
        <f>+BC27</f>
        <v>617</v>
      </c>
      <c r="BD28" s="68">
        <v>761</v>
      </c>
      <c r="BE28" s="7">
        <v>675</v>
      </c>
      <c r="BF28" s="7">
        <v>400</v>
      </c>
      <c r="BG28" s="94">
        <f t="shared" si="56"/>
        <v>613.25</v>
      </c>
      <c r="BH28" s="7">
        <v>43.18</v>
      </c>
      <c r="BI28" s="7">
        <f>+BI27</f>
        <v>12.766</v>
      </c>
      <c r="BJ28" s="78">
        <f t="shared" si="57"/>
        <v>55.945999999999998</v>
      </c>
      <c r="BK28" s="7">
        <v>33.524999999999999</v>
      </c>
      <c r="BL28" s="7">
        <v>34.715000000000003</v>
      </c>
      <c r="BM28" s="94">
        <f t="shared" si="58"/>
        <v>34.120000000000005</v>
      </c>
      <c r="BN28" s="5">
        <v>5.56</v>
      </c>
      <c r="BO28" s="105">
        <v>20.835714285714296</v>
      </c>
      <c r="BP28" s="80">
        <v>11.297833333333335</v>
      </c>
      <c r="BQ28" s="94">
        <f t="shared" si="59"/>
        <v>19.8819261904762</v>
      </c>
      <c r="BR28" s="7">
        <v>18.600000000000001</v>
      </c>
      <c r="BS28" s="7">
        <v>78</v>
      </c>
      <c r="BT28" s="7">
        <v>57.01</v>
      </c>
      <c r="BU28" s="79">
        <f t="shared" si="147"/>
        <v>1107.03</v>
      </c>
      <c r="BV28" s="97">
        <v>34</v>
      </c>
      <c r="BW28" s="7"/>
      <c r="BY28" s="92">
        <f>BY$10*(1+((H28/H$10-1)*costos!$B$5+((I28*F28)/(I$10*F$10)-1)*costos!$E$5+((J28*F28)/((J$10*F$10)-1)*costos!$F$5/3+((K28*F28)/(K$10*F$10)-1)*costos!$F$5/3+((U28*F28)/(U$10*F$10)-1)*costos!$F$5/3+((L28*F28)/(L$10*F$10)-1)*costos!$G$5+((N28*F28)/(N$10*F$10)-1)*costos!$J$5+((V28*F28)/(V$10*F$10)-1)*costos!$K$5)))</f>
        <v>145.79083086636936</v>
      </c>
      <c r="BZ28" s="92">
        <f>$BZ$10*(1+((H28/$H$10-1)*costos!$B$6+((I28*F28)/($I$10*$F$10)-1)*costos!$E$6+((J28*F28)/(($J$10*$F$10)-1)*costos!$F$6/3+((K28*F28)/($K$10*$F$10)-1)*costos!$F$6/3+((U28*F28)/($U$10*$F$10)-1)*costos!$F$6/3+((L28*F28)/($L$10*$F$10)-1)*costos!$G$6+((Q28*F28)/($Q$10*$F$10)-1)*costos!$J$6+((V28*F28)/($V$10*$F$10)-1)*costos!$K$6)))</f>
        <v>136.40908394985053</v>
      </c>
      <c r="CA28" s="92">
        <f>CA$10*(1+((H28/H$10-1)*costos!$B$7+((I28*F28)/(I$10*F$10)-1)*costos!$E$7+((J28*F28)/((J$10*F$10)-1)*costos!$F$7/3+((K28*F28)/(K$10*F$10)-1)*costos!$F$7/3+((U28*F28)/(U$10*F$10)-1)*costos!$F$7/3+((L28*F28)/(L$10*F$10)-1)*costos!$G$7+((S28*F28)/(S$10*F$10)-1)*costos!$J$7+((V28*F28)/(V$10*F$10)-1)*costos!$K$7)))</f>
        <v>137.00358247392279</v>
      </c>
      <c r="CB28" s="92">
        <f>CB$10*(1+((H28/H$10-1)*costos!$B$8+((I28*F28)/(I$10*F$10)-1)*costos!$E$8+((J28*F28)/((J$10*F$10)-1)*costos!$F$8/3+((K28*F28)/(K$10*F$10)-1)*costos!$F$8/3+((U28*F28)/(U$10*F$10)-1)*costos!$F$8/3+((L28*F28)/(L$10*F$10)-1)*costos!$G$8+((T28*F28)/(T$10*F$10)-1)*costos!$J$8+((V28*F28)/(V$10*F$10)-1)*costos!$K$8)))</f>
        <v>141.32512344087837</v>
      </c>
      <c r="CC28" s="92">
        <f>CC$10*(1+((H28/H$10-1)*costos!$B$9+((I28*F28)/(I$10*F$10)-1)*costos!$E$9+((J28*F28)/((J$10*F$10)-1)*costos!$F$9/3+((K28*F28)/(K$10*F$10)-1)*costos!$F$9/3+((U28*F28)/(U$10*F$10)-1)*costos!$F$9/3+((L28*F28)/(L$10*F$10)-1)*costos!$G$9+((U28*F28)/(U$10*F$10)-1)*costos!$J$9+((V28*F28)/(V$10*F$10)-1)*costos!$K$9)))</f>
        <v>138.9925222359856</v>
      </c>
      <c r="CD28" s="92">
        <f>CD$10*(1+((H28/H$10-1)*costos!$B$11+((I28*F28)/(I$10*F$10)-1)*costos!$E$11+((J28*F28)/((J$10*F$10)-1)*costos!$F$11/3+((K28*F28)/(K$10*F$10)-1)*costos!$F$11/3+((U28*F28)/(U$10*F$10)-1)*costos!$F$11/3+((L28*F28)/(L$10*F$10)-1)*costos!$G$11+((V28*F28)/(V$10*F$10)-1)*costos!$J$11+((V28*F28)/(V$10*F$10)-1)*costos!$K$11)))</f>
        <v>139.81773584639168</v>
      </c>
      <c r="CE28" s="92">
        <f>CE$10*(1+((H28/H$10-1)*costos!$B$12+((I28*F28)/(I$10*F$10)-1)*costos!$E$12+((J28*F28)/((J$10*F$10)-1)*costos!$F$12/3+((K28*F28)/(K$10*F$10)-1)*costos!$F$12/3+((U28*F28)/(U$10*F$10)-1)*costos!$F$12/3+((L28*F28)/(L$10*F$10)-1)*costos!$G$12+((W28*F28)/(W$10*F$10)-1)*costos!$J$12+((V28*F28)/(V$10*F$10)-1)*costos!$K$12)))</f>
        <v>129.4036517832775</v>
      </c>
      <c r="CF28" s="92">
        <f>CF$10*(1+((H28/H$10-1)*costos!$B$13+((I28*F28)/(I$10*F$10)-1)*costos!$E$13+((J28*F28)/((J$10*F$10)-1)*costos!$F$13/3+((K28*F28)/(K$10*F$10)-1)*costos!$F$13/3+((U28*F28)/(U$10*F$10)-1)*costos!$F$13/3+((L28*F28)/(L$10*F$10)-1)*costos!$G$13+((X28*F28)/(X$10*F$10)-1)*costos!$J$13+((V28*F28)/(V$10*F$10)-1)*costos!$K$13)))</f>
        <v>143.38127794059909</v>
      </c>
      <c r="CG28" s="92">
        <f t="shared" si="60"/>
        <v>138.32064895350916</v>
      </c>
      <c r="CH28" s="92">
        <f>CH$10*(1+((H28/H$10-1)*costos!$B$10+((I28*F28)/(I$10*F$10)-1)*costos!$E$10+((J28*F28)/((J$10*F$10)-1)*costos!$F$10/3+((K28*F28)/(K$10*F$10)-1)*costos!$F$10/3+((U28*F28)/(U$10*F$10)-1)*costos!$F$10/3+((L28*F28)/(L$10*F$10)-1)*costos!$G$10+((AF28)/(AF$10)-1)*costos!$J$10+((V28*F28)/(V$10*F$10)-1)*costos!$K$10)))</f>
        <v>155.567848163912</v>
      </c>
      <c r="CI28" s="92">
        <f>CI$10*(1+((H28/H$10-1)*costos!$B$15+((I28*F28)/(I$10*F$10)-1)*costos!$E$15+((J28*F28)/((J$10*F$10)-1)*costos!$F$15/3+((K28*F28)/(K$10*F$10)-1)*costos!$F$15/3+((U28*F28)/(U$10*F$10)-1)*costos!$F$15/3+((L28*F28)/(L$10*F$10)-1)*costos!$G$15+((AV28)/(AV$10)-1)*costos!$J$15+((V28*F28)/(V$10*F$10)-1)*costos!$K$15)))</f>
        <v>149.92329283149616</v>
      </c>
      <c r="CJ28" s="92">
        <f>CJ$10*(1+((H28/H$10-1)*costos!$B$16+((I28*F28)/(I$10*F$10)-1)*costos!$E$16+((J28*F28)/((J$10*F$10)-1)*costos!$F$16/3+((K28*F28)/(K$10*F$10)-1)*costos!$F$16/3+((U28*F28)/(U$10*F$10)-1)*costos!$F$16/3+((L28*F28)/(L$10*F$10)-1)*costos!$G$16+((AW28)/(AW$10)-1)*costos!$J$16+((V28*F28)/(V$10*F$10)-1)*costos!$K$16)))</f>
        <v>137.90118495740396</v>
      </c>
      <c r="CK28" s="92">
        <f>CK$10*(1+((H28/H$10-1)*costos!$B$17+((I28*F28)/(I$10*F$10)-1)*costos!$E$17+((J28*F28)/((J$10*F$10)-1)*costos!$F$17/3+((K28*F28)/(K$10*F$10)-1)*costos!$F$17/3+((U28*F28)/(U$10*F$10)-1)*costos!$F$17/3+((L28*F28)/(L$10*F$10)-1)*costos!$G$17+((AX28)/(AX$10)-1)*costos!$J$17+((V28*F28)/(V$10*F$10)-1)*costos!$K$17)))</f>
        <v>140.73107763640459</v>
      </c>
      <c r="CL28" s="92">
        <f>CL$10*(1+((H28/H$10-1)*costos!$B$18+((I28*F28)/(I$10*F$10)-1)*costos!$E$18+((J28*F28)/((J$10*F$10)-1)*costos!$F$18/3+((K28*F28)/(K$10*F$10)-1)*costos!$F$18/3+((U28*F28)/(U$10*F$10)-1)*costos!$F$18/3+((L28*F28)/(L$10*F$10)-1)*costos!$G$18+((AY28)/(AY$10)-1)*costos!$J$18+((V28*F28)/(V$10*F$10)-1)*costos!$K$18)))</f>
        <v>150.97482778280622</v>
      </c>
      <c r="CM28" s="92">
        <f>CM$10*(1+((H28/H$10-1)*costos!$B$19+((I28*F28)/(I$10*F$10)-1)*costos!$E$19+((J28*F28)/((J$10*F$10)-1)*costos!$F$19/3+((K28*F28)/(K$10*F$10)-1)*costos!$F$19/3+((U28*F28)/(U$10*F$10)-1)*costos!$F$19/3+((L28*F28)/(L$10*F$10)-1)*costos!$G$19+((AZ28)/(AZ$10)-1)*costos!$J$19+((V28*F28)/(V$10*F$10)-1)*costos!$K$19)))</f>
        <v>131.40513245076107</v>
      </c>
      <c r="CN28" s="92">
        <f>CN$10*(1+((H28/H$10-1)*costos!$B$20+((I28*F28)/(I$10*F$10)-1)*costos!$E$20+((J28*F28)/((J$10*F$10)-1)*costos!$F$20/3+((K28*F28)/(K$10*F$10)-1)*costos!$F$20/3+((U28*F28)/(U$10*F$10)-1)*costos!$F$20/3+((L28*F28)/(L$10*F$10)-1)*costos!$G$20+((BA28)/(BA$10)-1)*costos!$J$20+((V28*F28)/(V$10*F$10)-1)*costos!$K$20)))</f>
        <v>128.5986897071557</v>
      </c>
      <c r="CO28" s="92">
        <f t="shared" si="61"/>
        <v>137.92743189428188</v>
      </c>
      <c r="CP28" s="92">
        <f>CP$10*(1+((H28/H$10-1)*costos!$B$22+((I28*F28)/(I$10*F$10)-1)*costos!$E$22+((J28*F28)/((J$10*F$10)-1)*costos!$F$22/3+((K28*F28)/(K$10*F$10)-1)*costos!$F$22/3+((U28*F28)/(U$10*F$10)-1)*costos!$F$22/3+((L28*F28)/(L$10*F$10)-1)*costos!$G$22+(((AVERAGE(AI28:AL28))/((AVERAGE(AI$10:AL$10))-1)*costos!$J$22+((V28*F28)/(V$10*F$10)-1)*costos!$K$22)))))</f>
        <v>181.61578891598552</v>
      </c>
      <c r="CQ28" s="92">
        <f>CQ$10*(1+((H28/H$10-1)*costos!$B$23+((I28*F28)/(I$10*F$10)-1)*costos!$E$23+((J28*F28)/((J$10*F$10)-1)*costos!$F$23/3+((K28*F28)/(K$10*F$10)-1)*costos!$F$23/3+((U28*F28)/(U$10*F$10)-1)*costos!$F$23/3+((L28*F28)/(L$10*F$10)-1)*costos!$G$23+((AN28)/(AN$10)-1)*costos!$J$23+((V28*F28)/(V$10*F$10)-1)*costos!$K$23)))</f>
        <v>138.7832395742804</v>
      </c>
      <c r="CR28" s="92">
        <f>CR$10*(1+((H28/H$10-1)*costos!$B$24+((I28*F28)/(I$10*F$10)-1)*costos!$E$24+((J28*F28)/((J$10*F$10)-1)*costos!$F$24/3+((K28*F28)/(K$10*F$10)-1)*costos!$F$24/3+((U28*F28)/(U$10*F$10)-1)*costos!$F$24/3+((L28*F28)/(L$10*F$10)-1)*costos!$G$24+((AO28)/(AO$10)-1)*costos!$J$24+((V28*F28)/(V$10*F$10)-1)*costos!$K$24)))</f>
        <v>136.19612705213206</v>
      </c>
      <c r="CS28" s="92">
        <f t="shared" si="62"/>
        <v>137.48968331320623</v>
      </c>
      <c r="CT28" s="92">
        <f>CT$10*(1+((H28/H$10-1)*costos!$B$25+((I28*F28)/(I$10*F$10)-1)*costos!$E$25+((J28*F28)/((J$10*F$10)-1)*costos!$F$25/3+((K28*F28)/(K$10*F$10)-1)*costos!$F$25/3+((U28*F28)/(U$10*F$10)-1)*costos!$F$25/3+((L28*F28)/(L$10*F$10)-1)*costos!$G$25+((AQ28)/(AQ$10)-1)*costos!$J$25+((V28*F28)/(V$10*F$10)-1)*costos!$K$25)))</f>
        <v>128.81950387180871</v>
      </c>
      <c r="CU28" s="92">
        <f>CU$10*(1+((H28/H$10-1)*costos!$B$26+((I28*F28)/(I$10*F$10)-1)*costos!$E$26+((J28*F28)/((J$10*F$10)-1)*costos!$F$26/3+((K28*F28)/(K$10*F$10)-1)*costos!$F$26/3+((U28*F28)/(U$10*F$10)-1)*costos!$F$26/3+((L28*F28)/(L$10*F$10)-1)*costos!$G$26+((AR28)/(AR$10)-1)*costos!$J$26+((V28*F28)/(V$10*F$10)-1)*costos!$K$26)))</f>
        <v>131.05036003096959</v>
      </c>
      <c r="CV28" s="92">
        <f>CV$10*(1+((H28/H$10-1)*costos!$B$27+((I28*F28)/(I$10*F$10)-1)*costos!$E$27+((J28*F28)/((J$10*F$10)-1)*costos!$F$27/3+((K28*F28)/(K$10*F$10)-1)*costos!$F$27/3+((U28*F28)/(U$10*F$10)-1)*costos!$F$27/3+((L28*F28)/(L$10*F$10)-1)*costos!$G$27+((AS28)/(AS$10)-1)*costos!$J$27+((V28*F28)/(V$10*F$10)-1)*costos!$K$27)))</f>
        <v>130.87612436949186</v>
      </c>
      <c r="CW28" s="92">
        <f>CW$10*(1+((H28/H$10-1)*costos!$B$28+((I28*F28)/(I$10*F$10)-1)*costos!$E$28+((J28*F28)/((J$10*F$10)-1)*costos!$F$28/3+((K28*F28)/(K$10*F$10)-1)*costos!$F$28/3+((U28*F28)/(U$10*F$10)-1)*costos!$F$28/3+((L28*F28)/(L$10*F$10)-1)*costos!$G$28+((AS28)/(AS$10)-1)*costos!$J$28+((V28*F28)/(V$10*F$10)-1)*costos!$K$28)))</f>
        <v>130.87612436949186</v>
      </c>
      <c r="CX28" s="92">
        <f t="shared" si="63"/>
        <v>130.93420292331777</v>
      </c>
      <c r="CY28" s="92">
        <f>CY$10*(1+((H28/H$10-1)*costos!$B$32+((I28*F28)/(I$10*F$10)-1)*costos!$E$32+((J28*F28)/((J$10*F$10)-1)*costos!$F$32/3+((K28*F28)/(K$10*F$10)-1)*costos!$F$32/3+((U28*F28)/(U$10*F$10)-1)*costos!$F$32/3+((L28*F28)/(L$10*F$10)-1)*costos!$G$32+((AG28)/(AG$10)-1)*costos!$J$32+((V28*F28)/(V$10*F$10)-1)*costos!$K$32)))</f>
        <v>136.94784831015804</v>
      </c>
      <c r="CZ28" s="69">
        <f>CZ$10*(1+((H28/H$10-1)*costos!$B$31+((I28*F28)/(I$10*F$10)-1)*costos!$E$30+((J28*F28)/((J$10*F$10)-1)*costos!$F$30/3+((K28*F28)/(K$10*F$10)-1)*costos!$F$30/3+((U28*F28)/(U$10*F$10)-1)*costos!$F$30/3+((L28*F28)/(L$10*F$10)-1)*costos!$G$30+((BG28)/(BG$10)-1)*costos!$J$30+((V28*F28)/(V$10*F$10)-1)*costos!$K$30)))</f>
        <v>145.10001095369023</v>
      </c>
      <c r="DA28" s="69">
        <f>DA$10*(1+((H28/H$10-1)*costos!$B$31+((I28*F28)/(I$10*F$10)-1)*costos!$E$31+((J28*F28)/((J$10*F$10)-1)*costos!$F$31/3+((K28*F28)/(K$10*F$10)-1)*costos!$F$31/3+((U28*F28)/(U$10*F$10)-1)*costos!$F$31/3+((L28*F28)/(L$10*F$10)-1)*costos!$G$31+((BJ28)/(BJ$10)-1)*costos!$J$31+((V28*F28)/(V$10*F$10)-1)*costos!$K$31)))</f>
        <v>136.51803147748993</v>
      </c>
      <c r="DB28" s="69">
        <f>DB$10*(1+((H28/H$10-1)*costos!$B$36+((I28*F28)/(I$10*F$10)-1)*costos!$E$36+((J28*F28)/((J$10*F$10)-1)*costos!$F$36/3+((K28*F28)/(K$10*F$10)-1)*costos!$F$36/3+((U28*F28)/(U$10*F$10)-1)*costos!$F$36/3+((L28*F28)/(L$10*F$10)-1)*costos!$G$36+((BK28)/(BK$10)-1)*costos!$J$36+((V28*F28)/(V$10*F$10)-1)*costos!$K$36)))</f>
        <v>137.82508794676099</v>
      </c>
      <c r="DC28" s="69">
        <f>DC$10*(1+((H28/H$10-1)*costos!$B$37+((I28*F28)/(I$10*F$10)-1)*costos!$E$37+((U28*F28)/(U$10*F$10)-1)*costos!$F$37+((L28*F28)/(L$10*F$10)-1)*costos!$G$37+((BN28)/(BN$10)-1)*costos!$J$37+((V28*F28)/(V$10*F$10)-1)*costos!$K$37))</f>
        <v>136.5886461487425</v>
      </c>
      <c r="DD28" s="69">
        <f>DD$10*(1+((H28/H$10-1)*costos!$B$39+((I28*F28)/(I$10*F$10)-1)*costos!$E$39+((U28*F28)/(U$10*F$10)-1)*costos!$F$39+((L28*F28)/(L$10*F$10)-1)*costos!$G$39+((BR28)/(BR$10)-1)*costos!$J$39+((V28*F28)/(V$10*F$10)-1)*costos!$K$39))</f>
        <v>133.22291653215953</v>
      </c>
      <c r="DE28" s="69">
        <f>DD$10*(1+((H28/H$10-1)*costos!$B$35+((I28*F28)/(I$10*F$10)-1)*costos!$E$35+((U28*F28)/(U$10*F$10)-1)*costos!$F$35+((L28*F28)/(L$10*F$10)-1)*costos!$G$35+((BR28)/(BR$10)-1)*costos!$J$35+((V28*F28)/(V$10*F$10)-1)*costos!$K$35))</f>
        <v>129.22474529170503</v>
      </c>
      <c r="DF28" s="69">
        <f>DF$10*(1+((H28/H$10-1)*costos!$B$40+((I28*F28)/(I$10*F$10)-1)*costos!$E$40+((U28*F28)/(U$10*F$10)-1)*costos!$F$40+((L28*F28)/(L$10*F$10)-1)*costos!$G$40+((BP28)/(BP$10)-1)*costos!$J$40+((V28*F28)/(V$10*F$10)-1)*costos!$K$40))</f>
        <v>132.2466957669007</v>
      </c>
      <c r="DG28" s="92">
        <f t="shared" si="64"/>
        <v>130.73572052930285</v>
      </c>
      <c r="DH28" s="69">
        <f>DH$10*(1+((H28/H$10-1)*costos!$B$34+((I28*F28)/(I$10*F$10)-1)*costos!$E$34+((J28*F28)/((J$10*F$10)-1)*costos!$F$34/3+((K28*F28)/(K$10*F$10)-1)*costos!$F$34/3+((U28*F28)/(U$10*F$10)-1)*costos!$F$34/3+((L28*F28)/(L$10*F$10)-1)*costos!$G$34+((BV28)/(BV$10)-1)*costos!$J$34+((V28*F28)/(V$10*F$10)-1)*costos!$K$34)))</f>
        <v>140.22578447433557</v>
      </c>
      <c r="DI28" s="69">
        <f>DI$10*(1+((H28/H$10-1)*costos!$B$38+((I28*F28)/(I$10*F$10)-1)*costos!$E$38+((J28*F28)/((J$10*F$10)-1)*costos!$F$38/3+((K28*F28)/(K$10*F$10)-1)*costos!$F$38/3+((U28*F28)/(U$10*F$10)-1)*costos!$F$38/3+((L28*F28)/(L$10*F$10)-1)*costos!$G$38+((BU28)/(BU$10)-1)*costos!$J$38+((V28*F28)/(V$10*F$10)-1)*costos!$K$38)))</f>
        <v>136.67981657370677</v>
      </c>
      <c r="DK28" s="1">
        <v>258900</v>
      </c>
      <c r="DL28" s="1" t="s">
        <v>106</v>
      </c>
      <c r="DM28" s="82">
        <f t="shared" si="155"/>
        <v>206500</v>
      </c>
      <c r="DN28" s="82" t="str">
        <f t="shared" si="155"/>
        <v>2016-17</v>
      </c>
      <c r="DO28" s="82">
        <f t="shared" si="173"/>
        <v>850000</v>
      </c>
      <c r="DP28" s="82" t="str">
        <f t="shared" si="173"/>
        <v>2016-17</v>
      </c>
      <c r="DQ28" s="82">
        <f t="shared" si="173"/>
        <v>1700000</v>
      </c>
      <c r="DR28" s="82" t="str">
        <f t="shared" si="173"/>
        <v>2016-17</v>
      </c>
      <c r="DS28" s="1">
        <v>5100000</v>
      </c>
      <c r="DT28" s="1" t="s">
        <v>106</v>
      </c>
      <c r="DU28" s="1">
        <v>19200000</v>
      </c>
      <c r="DV28" s="1" t="s">
        <v>106</v>
      </c>
      <c r="DW28" s="1">
        <v>800000</v>
      </c>
      <c r="DX28" s="1" t="s">
        <v>106</v>
      </c>
      <c r="DY28" s="1">
        <v>5930000</v>
      </c>
      <c r="DZ28" s="1" t="s">
        <v>6</v>
      </c>
      <c r="EA28" s="79">
        <f t="shared" si="67"/>
        <v>33580000</v>
      </c>
      <c r="EB28" s="82">
        <f t="shared" si="156"/>
        <v>364191</v>
      </c>
      <c r="EC28" s="82" t="str">
        <f t="shared" si="157"/>
        <v>2016-17</v>
      </c>
      <c r="ED28" s="83">
        <f t="shared" si="157"/>
        <v>165327</v>
      </c>
      <c r="EE28" s="143">
        <f t="shared" si="157"/>
        <v>2016</v>
      </c>
      <c r="EF28" s="83">
        <f t="shared" si="121"/>
        <v>220848</v>
      </c>
      <c r="EG28" s="143">
        <f t="shared" si="122"/>
        <v>2017</v>
      </c>
      <c r="EH28" s="83">
        <v>54163380</v>
      </c>
      <c r="EI28" s="143">
        <v>2017</v>
      </c>
      <c r="EJ28" s="83">
        <f t="shared" si="169"/>
        <v>5119438</v>
      </c>
      <c r="EK28" s="143">
        <v>2021</v>
      </c>
      <c r="EL28" s="82">
        <f t="shared" si="175"/>
        <v>14746566</v>
      </c>
      <c r="EM28" s="144">
        <f t="shared" si="175"/>
        <v>2017</v>
      </c>
      <c r="EN28" s="82">
        <f t="shared" si="175"/>
        <v>3364725</v>
      </c>
      <c r="EO28" s="144">
        <f t="shared" si="175"/>
        <v>2017</v>
      </c>
      <c r="EP28" s="82">
        <f t="shared" si="118"/>
        <v>6552</v>
      </c>
      <c r="EQ28" s="83">
        <f t="shared" si="100"/>
        <v>3003036</v>
      </c>
      <c r="ER28" s="1">
        <v>33739</v>
      </c>
      <c r="ES28" s="82"/>
      <c r="ET28" s="83">
        <f t="shared" si="101"/>
        <v>23614</v>
      </c>
      <c r="EU28" s="83">
        <f t="shared" si="101"/>
        <v>16845</v>
      </c>
      <c r="EV28" s="83">
        <f t="shared" si="101"/>
        <v>9213</v>
      </c>
      <c r="EW28" s="83">
        <f t="shared" si="101"/>
        <v>17766</v>
      </c>
      <c r="EX28" s="79">
        <f t="shared" si="72"/>
        <v>67438</v>
      </c>
      <c r="EY28" s="83">
        <f t="shared" si="123"/>
        <v>19284</v>
      </c>
      <c r="EZ28" s="82">
        <f t="shared" si="123"/>
        <v>74845</v>
      </c>
      <c r="FA28" s="1">
        <f t="shared" si="103"/>
        <v>20879</v>
      </c>
      <c r="FB28" s="1">
        <f t="shared" si="103"/>
        <v>19496</v>
      </c>
      <c r="FC28" s="79">
        <f t="shared" si="73"/>
        <v>40375</v>
      </c>
      <c r="FD28" s="1">
        <f t="shared" si="158"/>
        <v>65075.3</v>
      </c>
      <c r="FE28" s="1"/>
      <c r="FF28" s="82">
        <f t="shared" si="129"/>
        <v>708196</v>
      </c>
      <c r="FG28" s="82" t="str">
        <f t="shared" si="130"/>
        <v>2015-16</v>
      </c>
      <c r="FH28" s="1">
        <v>1328340</v>
      </c>
      <c r="FI28" s="1" t="s">
        <v>106</v>
      </c>
      <c r="FJ28" s="82">
        <f t="shared" si="159"/>
        <v>3000000</v>
      </c>
      <c r="FK28" s="82" t="str">
        <f t="shared" si="160"/>
        <v>2016-17</v>
      </c>
      <c r="FL28" s="82">
        <f t="shared" si="170"/>
        <v>3300000</v>
      </c>
      <c r="FM28" s="82" t="str">
        <f t="shared" si="170"/>
        <v>2016-17</v>
      </c>
      <c r="FN28" s="1">
        <v>39000000</v>
      </c>
      <c r="FO28" s="1" t="s">
        <v>106</v>
      </c>
      <c r="FP28" s="82">
        <f t="shared" ref="FP28:FP34" si="176">+FP27</f>
        <v>57500000</v>
      </c>
      <c r="FQ28" s="82" t="str">
        <f t="shared" ref="FQ28:FQ34" si="177">+FQ27</f>
        <v>2016-17</v>
      </c>
      <c r="FR28" s="1">
        <v>3200000</v>
      </c>
      <c r="FS28" s="1" t="s">
        <v>106</v>
      </c>
      <c r="FT28" s="1">
        <v>18395000</v>
      </c>
      <c r="FU28" s="83" t="str">
        <f t="shared" si="161"/>
        <v>2016-17</v>
      </c>
      <c r="FV28" s="79">
        <f t="shared" si="76"/>
        <v>124395000</v>
      </c>
      <c r="FW28" s="1">
        <v>1081031.1999999997</v>
      </c>
      <c r="FX28" s="1" t="s">
        <v>106</v>
      </c>
      <c r="FY28" s="1">
        <v>137929.72399999999</v>
      </c>
      <c r="FZ28" s="79">
        <f t="shared" si="135"/>
        <v>751238.77499999991</v>
      </c>
      <c r="GA28" s="86" t="str">
        <f t="shared" si="136"/>
        <v>ago16 jul17</v>
      </c>
      <c r="GB28" s="1">
        <v>19652055</v>
      </c>
      <c r="GC28" s="6">
        <v>2017</v>
      </c>
      <c r="GD28" s="1">
        <f t="shared" si="165"/>
        <v>1675851</v>
      </c>
      <c r="GE28" s="1">
        <v>459665</v>
      </c>
      <c r="GF28" s="1">
        <v>1024918</v>
      </c>
      <c r="GG28" s="1">
        <f t="shared" si="166"/>
        <v>112337</v>
      </c>
      <c r="GH28" s="79">
        <f t="shared" si="78"/>
        <v>1596920</v>
      </c>
      <c r="GI28" s="82">
        <f t="shared" si="79"/>
        <v>1302556</v>
      </c>
      <c r="GJ28" s="83">
        <f t="shared" si="162"/>
        <v>665408</v>
      </c>
      <c r="GK28" s="83">
        <f t="shared" si="162"/>
        <v>660753</v>
      </c>
      <c r="GL28" s="83">
        <f t="shared" si="162"/>
        <v>290290.46000000002</v>
      </c>
      <c r="GM28" s="1">
        <f t="shared" si="162"/>
        <v>263224.75</v>
      </c>
      <c r="GN28" s="79">
        <f t="shared" si="81"/>
        <v>1879676.21</v>
      </c>
      <c r="GO28" s="83">
        <f t="shared" si="107"/>
        <v>193430</v>
      </c>
      <c r="GP28" s="83">
        <f t="shared" si="107"/>
        <v>76379</v>
      </c>
      <c r="GQ28" s="1"/>
      <c r="GR28" s="1">
        <f t="shared" si="150"/>
        <v>42700</v>
      </c>
      <c r="GS28" s="79">
        <f t="shared" si="83"/>
        <v>42700</v>
      </c>
      <c r="GT28" s="83">
        <f t="shared" si="108"/>
        <v>2459310</v>
      </c>
      <c r="GU28" s="1">
        <v>24569</v>
      </c>
      <c r="GV28" s="1">
        <v>31978</v>
      </c>
      <c r="GW28" s="79">
        <f t="shared" si="151"/>
        <v>1308283.3333333333</v>
      </c>
      <c r="GX28" s="83">
        <v>32330.198</v>
      </c>
      <c r="GY28" s="83" t="s">
        <v>328</v>
      </c>
      <c r="GZ28" s="83">
        <f t="shared" si="109"/>
        <v>117154</v>
      </c>
      <c r="HA28" s="1">
        <v>235000</v>
      </c>
      <c r="HB28" s="79">
        <f t="shared" si="137"/>
        <v>2751000</v>
      </c>
      <c r="HC28" s="86" t="str">
        <f t="shared" si="138"/>
        <v>ago16 jul17</v>
      </c>
      <c r="HD28" s="1">
        <v>50833</v>
      </c>
      <c r="HE28" s="79">
        <f t="shared" si="139"/>
        <v>544274</v>
      </c>
      <c r="HF28" s="86" t="str">
        <f t="shared" si="140"/>
        <v>ago16 jul17</v>
      </c>
      <c r="HG28" s="1">
        <v>183000</v>
      </c>
      <c r="HH28" s="79">
        <f t="shared" si="141"/>
        <v>2137000</v>
      </c>
      <c r="HI28" s="86" t="str">
        <f t="shared" si="142"/>
        <v>ago16 jul17</v>
      </c>
      <c r="HJ28" s="1">
        <v>79885</v>
      </c>
      <c r="HK28" s="79">
        <f t="shared" si="143"/>
        <v>33950.639999999999</v>
      </c>
      <c r="HL28" s="86" t="str">
        <f t="shared" si="144"/>
        <v>ago16 jul17</v>
      </c>
      <c r="HM28" s="79">
        <f t="shared" si="86"/>
        <v>2170950.64</v>
      </c>
      <c r="HN28" s="87">
        <v>2.8155852557236093E-2</v>
      </c>
      <c r="HO28" s="1">
        <f t="shared" si="152"/>
        <v>818103611.87979269</v>
      </c>
      <c r="HP28" s="79">
        <f t="shared" si="153"/>
        <v>9849.7155567525879</v>
      </c>
      <c r="HQ28" s="86" t="str">
        <f t="shared" si="145"/>
        <v>ago16 jul17</v>
      </c>
      <c r="HR28" s="3"/>
      <c r="HS28" s="1"/>
      <c r="HT28" s="1"/>
      <c r="HU28" s="83">
        <f t="shared" si="174"/>
        <v>680000</v>
      </c>
      <c r="HV28" s="83" t="str">
        <f t="shared" si="174"/>
        <v>2016-17</v>
      </c>
      <c r="HW28" s="1">
        <v>1430000</v>
      </c>
      <c r="HX28" s="1" t="s">
        <v>106</v>
      </c>
      <c r="HY28" s="1">
        <v>3350000</v>
      </c>
      <c r="HZ28" s="1" t="s">
        <v>106</v>
      </c>
      <c r="IA28" s="1">
        <f t="shared" si="171"/>
        <v>19080000</v>
      </c>
      <c r="IB28" s="1" t="s">
        <v>106</v>
      </c>
      <c r="IC28" s="1">
        <v>47130000</v>
      </c>
      <c r="ID28" s="1" t="s">
        <v>106</v>
      </c>
      <c r="IE28" s="1">
        <f t="shared" si="172"/>
        <v>2450000</v>
      </c>
      <c r="IF28" s="1" t="s">
        <v>106</v>
      </c>
      <c r="IG28" s="1">
        <f t="shared" si="154"/>
        <v>6760000</v>
      </c>
      <c r="IH28" s="1" t="s">
        <v>106</v>
      </c>
      <c r="II28" s="79">
        <f t="shared" si="87"/>
        <v>80200000</v>
      </c>
      <c r="IJ28" s="97">
        <f t="shared" si="167"/>
        <v>1.5629261117125455</v>
      </c>
      <c r="IK28" s="1" t="s">
        <v>106</v>
      </c>
      <c r="IL28" s="7">
        <v>44.72</v>
      </c>
      <c r="IM28" s="7">
        <v>55.001571675197148</v>
      </c>
      <c r="IN28" s="7">
        <v>197</v>
      </c>
      <c r="IO28" s="695">
        <v>14.38</v>
      </c>
      <c r="IP28" s="98">
        <f t="shared" si="163"/>
        <v>5.6020702831241165</v>
      </c>
      <c r="IQ28" s="93">
        <v>20.2</v>
      </c>
      <c r="IR28" s="93">
        <f t="shared" si="168"/>
        <v>3.01</v>
      </c>
      <c r="IS28" s="93">
        <f t="shared" si="168"/>
        <v>5.59</v>
      </c>
      <c r="IT28" s="93">
        <f t="shared" si="168"/>
        <v>11.85</v>
      </c>
      <c r="IU28" s="93">
        <f t="shared" si="168"/>
        <v>0.79</v>
      </c>
      <c r="IV28" s="94">
        <f t="shared" si="89"/>
        <v>18.229999999999997</v>
      </c>
      <c r="IW28" s="84"/>
      <c r="IX28" s="84"/>
      <c r="IY28" s="105">
        <v>1.84</v>
      </c>
      <c r="IZ28" s="161">
        <v>0.3</v>
      </c>
      <c r="JA28" s="570"/>
      <c r="JB28" s="84">
        <v>41.09</v>
      </c>
      <c r="JC28" s="84"/>
      <c r="JD28" s="84"/>
      <c r="JE28" s="1"/>
      <c r="JF28" s="2">
        <v>6.2707545700000011</v>
      </c>
      <c r="JG28" s="2">
        <v>17.939397799999998</v>
      </c>
      <c r="JH28" s="2">
        <v>36.42586103</v>
      </c>
      <c r="JI28" s="2">
        <v>99.064538580000004</v>
      </c>
      <c r="JJ28" s="2">
        <v>510.82209113999988</v>
      </c>
      <c r="JK28" s="2">
        <v>96.186126949999974</v>
      </c>
      <c r="JL28" s="2">
        <v>1412.7207089600001</v>
      </c>
      <c r="JM28" s="2">
        <v>4.6418878499999998</v>
      </c>
      <c r="JN28" s="2">
        <v>147.76998175</v>
      </c>
      <c r="JO28" s="2">
        <v>17.407230479999999</v>
      </c>
      <c r="JP28" s="2">
        <v>0</v>
      </c>
      <c r="JQ28" s="2">
        <v>0.71834500000000001</v>
      </c>
      <c r="JR28" s="2">
        <v>0.65292755000000002</v>
      </c>
      <c r="JS28" s="2">
        <v>0</v>
      </c>
      <c r="JT28" s="2">
        <v>0</v>
      </c>
      <c r="JU28" s="2">
        <v>86.656141690000027</v>
      </c>
      <c r="JV28" s="2">
        <v>10.440968849999999</v>
      </c>
      <c r="JW28" s="2">
        <v>14.501400230000002</v>
      </c>
      <c r="JX28" s="2">
        <v>83.223131249999994</v>
      </c>
      <c r="JY28" s="2">
        <v>8.3737320299999976</v>
      </c>
      <c r="JZ28" s="2">
        <v>10.357562509999999</v>
      </c>
      <c r="KA28" s="2">
        <v>0.64529398999999998</v>
      </c>
      <c r="KB28" s="2">
        <v>19.02630611</v>
      </c>
      <c r="KC28" s="2">
        <v>70.237442219999977</v>
      </c>
      <c r="KD28" s="2">
        <v>7.2012304899999995</v>
      </c>
      <c r="KE28" s="2">
        <v>22.29239784</v>
      </c>
      <c r="KF28" s="2">
        <v>28.490958100000004</v>
      </c>
      <c r="KG28" s="2">
        <v>199.53285649000003</v>
      </c>
      <c r="KH28" s="2">
        <v>49.775638690000001</v>
      </c>
      <c r="KI28" s="2">
        <v>14.452545239999999</v>
      </c>
      <c r="KJ28" s="2">
        <v>1.7172015200000001</v>
      </c>
      <c r="KK28" s="2">
        <v>9.4596701099999994</v>
      </c>
      <c r="KL28" s="2">
        <v>0.47573861000000001</v>
      </c>
      <c r="KM28" s="2">
        <v>2.5218974199999993</v>
      </c>
      <c r="KN28" s="2">
        <v>3.0724970000000004E-2</v>
      </c>
      <c r="KO28" s="2">
        <v>1.5522546600000002</v>
      </c>
      <c r="KP28" s="2">
        <v>0.15185098</v>
      </c>
      <c r="KQ28" s="2">
        <v>68.92568876</v>
      </c>
      <c r="KR28" s="2">
        <v>0</v>
      </c>
      <c r="KS28" s="2">
        <v>9.0567290000000009E-2</v>
      </c>
      <c r="KT28" s="2">
        <v>3.7641160399999998</v>
      </c>
      <c r="KU28" s="2">
        <v>0.78882957999999992</v>
      </c>
      <c r="KV28" s="2">
        <v>0</v>
      </c>
      <c r="KW28" s="2">
        <v>3.5987588499999998</v>
      </c>
      <c r="KX28" s="2">
        <v>0</v>
      </c>
      <c r="KY28" s="2">
        <v>0</v>
      </c>
      <c r="KZ28" s="2">
        <v>4.4528180600000002</v>
      </c>
      <c r="LA28" s="2">
        <v>2.1291983299999999</v>
      </c>
      <c r="LB28" s="2">
        <v>5.7168530000000002E-2</v>
      </c>
      <c r="LC28" s="2">
        <v>6.1433849999999998E-2</v>
      </c>
      <c r="LD28" s="2">
        <v>0</v>
      </c>
      <c r="LE28" s="2">
        <v>0.71300087000000001</v>
      </c>
      <c r="LF28" s="2">
        <v>0.67340207000000007</v>
      </c>
      <c r="LG28" s="2">
        <v>20.682435750000003</v>
      </c>
      <c r="LH28" s="2">
        <v>4.5238267600000004</v>
      </c>
      <c r="LI28" s="2">
        <v>0.20445542999999999</v>
      </c>
      <c r="LJ28" s="2">
        <v>0</v>
      </c>
      <c r="LK28" s="2">
        <v>1.7533133399999998</v>
      </c>
      <c r="LL28" s="2">
        <v>3.4940612199999999</v>
      </c>
      <c r="LM28" s="2">
        <v>3.4634664199999992</v>
      </c>
      <c r="LN28" s="2">
        <v>0.25446918000000002</v>
      </c>
      <c r="LO28" s="2">
        <v>7.7362404900000001</v>
      </c>
      <c r="LQ28" s="85">
        <f t="shared" si="90"/>
        <v>2211.4450693100002</v>
      </c>
      <c r="LR28" s="85">
        <f t="shared" si="91"/>
        <v>1.37127255</v>
      </c>
      <c r="LS28" s="85">
        <f t="shared" si="92"/>
        <v>24.942369079999999</v>
      </c>
      <c r="LT28" s="85">
        <f t="shared" si="93"/>
        <v>19.376588529999996</v>
      </c>
      <c r="LU28" s="85">
        <f t="shared" si="94"/>
        <v>73.121133099999994</v>
      </c>
      <c r="LV28" s="85">
        <f t="shared" si="95"/>
        <v>3.5987588499999998</v>
      </c>
      <c r="LW28" s="85">
        <f t="shared" si="96"/>
        <v>2.1863668600000001</v>
      </c>
      <c r="LX28" s="85">
        <f t="shared" si="97"/>
        <v>1.38640294</v>
      </c>
      <c r="LZ28" s="131">
        <v>19.579999999999998</v>
      </c>
      <c r="MA28" s="171">
        <v>21.08</v>
      </c>
      <c r="MB28"/>
      <c r="MC28"/>
      <c r="MD28"/>
      <c r="MF28"/>
      <c r="MG28"/>
      <c r="MH28" s="83">
        <v>39.119999999999997</v>
      </c>
      <c r="MI28" s="83">
        <v>10.61</v>
      </c>
      <c r="MJ28" s="83">
        <v>14.48</v>
      </c>
      <c r="MK28"/>
      <c r="ML28" s="83">
        <v>11.54</v>
      </c>
      <c r="MM28" s="83">
        <v>23.44</v>
      </c>
      <c r="MN28" s="83"/>
      <c r="MO28" s="83">
        <v>14.79</v>
      </c>
      <c r="MP28" s="83">
        <v>41.25</v>
      </c>
      <c r="MQ28" s="83">
        <v>32.92</v>
      </c>
      <c r="MR28"/>
      <c r="MT28" s="83"/>
      <c r="MU28" s="83">
        <v>13.89</v>
      </c>
      <c r="MV28"/>
      <c r="MW28"/>
      <c r="MX28"/>
      <c r="MY28" s="83">
        <v>31.33</v>
      </c>
      <c r="MZ28" s="83">
        <v>95.5</v>
      </c>
      <c r="NA28" s="83">
        <v>35.729999999999997</v>
      </c>
      <c r="NB28" s="83">
        <v>125.1</v>
      </c>
      <c r="NC28" s="83">
        <v>21.53</v>
      </c>
      <c r="ND28"/>
      <c r="NE28" s="1">
        <v>111.4</v>
      </c>
    </row>
    <row r="29" spans="1:369">
      <c r="A29" s="38">
        <f t="shared" si="32"/>
        <v>42948</v>
      </c>
      <c r="B29" s="36">
        <v>8</v>
      </c>
      <c r="C29" s="36">
        <v>2017</v>
      </c>
      <c r="D29" s="36">
        <f t="shared" si="50"/>
        <v>29</v>
      </c>
      <c r="E29" s="38">
        <f t="shared" si="33"/>
        <v>42948</v>
      </c>
      <c r="F29" s="7">
        <v>17.618863636363638</v>
      </c>
      <c r="G29" s="7">
        <v>115.4</v>
      </c>
      <c r="H29" s="1">
        <f>[2]NACIONALES!$D17</f>
        <v>12648.96</v>
      </c>
      <c r="I29" s="7">
        <v>98</v>
      </c>
      <c r="J29" s="7">
        <v>350</v>
      </c>
      <c r="K29" s="7">
        <v>2.6</v>
      </c>
      <c r="L29" s="7">
        <v>34.1</v>
      </c>
      <c r="N29" s="5">
        <v>1.5649999999999999</v>
      </c>
      <c r="O29" s="5">
        <v>1.427</v>
      </c>
      <c r="P29" s="78">
        <f t="shared" si="34"/>
        <v>26.357820000000004</v>
      </c>
      <c r="Q29" s="6">
        <v>405</v>
      </c>
      <c r="R29" s="79">
        <f t="shared" si="35"/>
        <v>4050</v>
      </c>
      <c r="S29" s="6">
        <v>152.5</v>
      </c>
      <c r="T29" s="6">
        <v>311.36363636363637</v>
      </c>
      <c r="U29" s="143">
        <v>149.60909090909092</v>
      </c>
      <c r="V29" s="6">
        <v>251.80909090909091</v>
      </c>
      <c r="W29" s="6">
        <v>114.86363636363636</v>
      </c>
      <c r="X29" s="6">
        <v>167.27727272727273</v>
      </c>
      <c r="Y29" s="79">
        <f t="shared" si="36"/>
        <v>2686.8767045454547</v>
      </c>
      <c r="Z29" s="79">
        <f t="shared" si="37"/>
        <v>5485.8734504132235</v>
      </c>
      <c r="AA29" s="79">
        <f t="shared" si="38"/>
        <v>2635.9421714876039</v>
      </c>
      <c r="AB29" s="79">
        <f t="shared" si="39"/>
        <v>4436.5900351239679</v>
      </c>
      <c r="AC29" s="79">
        <f t="shared" si="40"/>
        <v>2023.7667458677688</v>
      </c>
      <c r="AD29" s="79">
        <f t="shared" si="41"/>
        <v>2947.2354576446287</v>
      </c>
      <c r="AE29" s="79">
        <f t="shared" si="42"/>
        <v>3369.3807608471079</v>
      </c>
      <c r="AF29" s="1">
        <v>12463.095238095239</v>
      </c>
      <c r="AG29" s="1">
        <v>6012</v>
      </c>
      <c r="AH29" s="1">
        <v>22202</v>
      </c>
      <c r="AI29" s="5">
        <v>12.02</v>
      </c>
      <c r="AJ29" s="5">
        <v>7.48</v>
      </c>
      <c r="AK29" s="5">
        <v>7.48</v>
      </c>
      <c r="AL29" s="5">
        <v>5.87</v>
      </c>
      <c r="AM29" s="78">
        <f t="shared" si="43"/>
        <v>9.1820000000000004</v>
      </c>
      <c r="AN29" s="7">
        <v>489.69696969696969</v>
      </c>
      <c r="AO29" s="7">
        <v>272.18454545454546</v>
      </c>
      <c r="AP29" s="78">
        <f t="shared" si="146"/>
        <v>272.18454545454546</v>
      </c>
      <c r="AQ29" s="7">
        <v>183.34615384615384</v>
      </c>
      <c r="AR29" s="7">
        <v>142.61045454545456</v>
      </c>
      <c r="AS29" s="7">
        <v>127.32323232323232</v>
      </c>
      <c r="AT29" s="7">
        <v>126.96818181818179</v>
      </c>
      <c r="AU29" s="78">
        <f t="shared" si="53"/>
        <v>132.30062289562289</v>
      </c>
      <c r="AV29" s="7">
        <v>152.35318181818192</v>
      </c>
      <c r="AW29" s="7">
        <v>294.02045454545458</v>
      </c>
      <c r="AX29" s="7">
        <v>102.29045454545457</v>
      </c>
      <c r="AY29" s="7">
        <v>314.27831223628704</v>
      </c>
      <c r="AZ29" s="7">
        <v>113.48590909090909</v>
      </c>
      <c r="BA29" s="7">
        <v>71.594318181818167</v>
      </c>
      <c r="BB29" s="94">
        <f t="shared" si="45"/>
        <v>162.29458799492821</v>
      </c>
      <c r="BC29" s="68">
        <v>632</v>
      </c>
      <c r="BD29" s="68">
        <v>776</v>
      </c>
      <c r="BE29" s="7">
        <f>+BE28</f>
        <v>675</v>
      </c>
      <c r="BF29" s="7">
        <f>+BF28</f>
        <v>400</v>
      </c>
      <c r="BG29" s="94">
        <f t="shared" si="56"/>
        <v>620.75</v>
      </c>
      <c r="BH29" s="7">
        <v>43.18</v>
      </c>
      <c r="BI29" s="7">
        <f t="shared" ref="BI29:BI34" si="178">+BI28</f>
        <v>12.766</v>
      </c>
      <c r="BJ29" s="78">
        <f t="shared" si="57"/>
        <v>55.945999999999998</v>
      </c>
      <c r="BK29" s="7">
        <v>34.628</v>
      </c>
      <c r="BL29" s="7">
        <v>34.767000000000003</v>
      </c>
      <c r="BM29" s="94">
        <f t="shared" si="58"/>
        <v>34.697500000000005</v>
      </c>
      <c r="BN29" s="5">
        <v>5.61</v>
      </c>
      <c r="BO29" s="105">
        <v>22.659090909090914</v>
      </c>
      <c r="BP29" s="80">
        <v>11.532000000000002</v>
      </c>
      <c r="BQ29" s="94">
        <f t="shared" si="59"/>
        <v>21.546381818181825</v>
      </c>
      <c r="BR29" s="7">
        <v>18.989999999999998</v>
      </c>
      <c r="BS29" s="7">
        <v>78</v>
      </c>
      <c r="BT29" s="7">
        <v>60.41</v>
      </c>
      <c r="BU29" s="79">
        <f t="shared" si="147"/>
        <v>1117.23</v>
      </c>
      <c r="BV29" s="97">
        <v>34.200000000000003</v>
      </c>
      <c r="BW29" s="7"/>
      <c r="BY29" s="92">
        <f>BY$10*(1+((H29/H$10-1)*costos!$B$5+((I29*F29)/(I$10*F$10)-1)*costos!$E$5+((J29*F29)/((J$10*F$10)-1)*costos!$F$5/3+((K29*F29)/(K$10*F$10)-1)*costos!$F$5/3+((U29*F29)/(U$10*F$10)-1)*costos!$F$5/3+((L29*F29)/(L$10*F$10)-1)*costos!$G$5+((N29*F29)/(N$10*F$10)-1)*costos!$J$5+((V29*F29)/(V$10*F$10)-1)*costos!$K$5)))</f>
        <v>149.96246169259081</v>
      </c>
      <c r="BZ29" s="92">
        <f>$BZ$10*(1+((H29/$H$10-1)*costos!$B$6+((I29*F29)/($I$10*$F$10)-1)*costos!$E$6+((J29*F29)/(($J$10*$F$10)-1)*costos!$F$6/3+((K29*F29)/($K$10*$F$10)-1)*costos!$F$6/3+((U29*F29)/($U$10*$F$10)-1)*costos!$F$6/3+((L29*F29)/($L$10*$F$10)-1)*costos!$G$6+((Q29*F29)/($Q$10*$F$10)-1)*costos!$J$6+((V29*F29)/($V$10*$F$10)-1)*costos!$K$6)))</f>
        <v>133.68755556576772</v>
      </c>
      <c r="CA29" s="92">
        <f>CA$10*(1+((H29/H$10-1)*costos!$B$7+((I29*F29)/(I$10*F$10)-1)*costos!$E$7+((J29*F29)/((J$10*F$10)-1)*costos!$F$7/3+((K29*F29)/(K$10*F$10)-1)*costos!$F$7/3+((U29*F29)/(U$10*F$10)-1)*costos!$F$7/3+((L29*F29)/(L$10*F$10)-1)*costos!$G$7+((S29*F29)/(S$10*F$10)-1)*costos!$J$7+((V29*F29)/(V$10*F$10)-1)*costos!$K$7)))</f>
        <v>136.78508548466831</v>
      </c>
      <c r="CB29" s="92">
        <f>CB$10*(1+((H29/H$10-1)*costos!$B$8+((I29*F29)/(I$10*F$10)-1)*costos!$E$8+((J29*F29)/((J$10*F$10)-1)*costos!$F$8/3+((K29*F29)/(K$10*F$10)-1)*costos!$F$8/3+((U29*F29)/(U$10*F$10)-1)*costos!$F$8/3+((L29*F29)/(L$10*F$10)-1)*costos!$G$8+((T29*F29)/(T$10*F$10)-1)*costos!$J$8+((V29*F29)/(V$10*F$10)-1)*costos!$K$8)))</f>
        <v>140.57172583789136</v>
      </c>
      <c r="CC29" s="92">
        <f>CC$10*(1+((H29/H$10-1)*costos!$B$9+((I29*F29)/(I$10*F$10)-1)*costos!$E$9+((J29*F29)/((J$10*F$10)-1)*costos!$F$9/3+((K29*F29)/(K$10*F$10)-1)*costos!$F$9/3+((U29*F29)/(U$10*F$10)-1)*costos!$F$9/3+((L29*F29)/(L$10*F$10)-1)*costos!$G$9+((U29*F29)/(U$10*F$10)-1)*costos!$J$9+((V29*F29)/(V$10*F$10)-1)*costos!$K$9)))</f>
        <v>136.38323659754005</v>
      </c>
      <c r="CD29" s="92">
        <f>CD$10*(1+((H29/H$10-1)*costos!$B$11+((I29*F29)/(I$10*F$10)-1)*costos!$E$11+((J29*F29)/((J$10*F$10)-1)*costos!$F$11/3+((K29*F29)/(K$10*F$10)-1)*costos!$F$11/3+((U29*F29)/(U$10*F$10)-1)*costos!$F$11/3+((L29*F29)/(L$10*F$10)-1)*costos!$G$11+((V29*F29)/(V$10*F$10)-1)*costos!$J$11+((V29*F29)/(V$10*F$10)-1)*costos!$K$11)))</f>
        <v>137.98520903636481</v>
      </c>
      <c r="CE29" s="92">
        <f>CE$10*(1+((H29/H$10-1)*costos!$B$12+((I29*F29)/(I$10*F$10)-1)*costos!$E$12+((J29*F29)/((J$10*F$10)-1)*costos!$F$12/3+((K29*F29)/(K$10*F$10)-1)*costos!$F$12/3+((U29*F29)/(U$10*F$10)-1)*costos!$F$12/3+((L29*F29)/(L$10*F$10)-1)*costos!$G$12+((W29*F29)/(W$10*F$10)-1)*costos!$J$12+((V29*F29)/(V$10*F$10)-1)*costos!$K$12)))</f>
        <v>126.74612774117995</v>
      </c>
      <c r="CF29" s="92">
        <f>CF$10*(1+((H29/H$10-1)*costos!$B$13+((I29*F29)/(I$10*F$10)-1)*costos!$E$13+((J29*F29)/((J$10*F$10)-1)*costos!$F$13/3+((K29*F29)/(K$10*F$10)-1)*costos!$F$13/3+((U29*F29)/(U$10*F$10)-1)*costos!$F$13/3+((L29*F29)/(L$10*F$10)-1)*costos!$G$13+((X29*F29)/(X$10*F$10)-1)*costos!$J$13+((V29*F29)/(V$10*F$10)-1)*costos!$K$13)))</f>
        <v>140.52064190592938</v>
      </c>
      <c r="CG29" s="92">
        <f t="shared" si="60"/>
        <v>136.49867110059566</v>
      </c>
      <c r="CH29" s="92">
        <f>CH$10*(1+((H29/H$10-1)*costos!$B$10+((I29*F29)/(I$10*F$10)-1)*costos!$E$10+((J29*F29)/((J$10*F$10)-1)*costos!$F$10/3+((K29*F29)/(K$10*F$10)-1)*costos!$F$10/3+((U29*F29)/(U$10*F$10)-1)*costos!$F$10/3+((L29*F29)/(L$10*F$10)-1)*costos!$G$10+((AF29)/(AF$10)-1)*costos!$J$10+((V29*F29)/(V$10*F$10)-1)*costos!$K$10)))</f>
        <v>156.86488917460554</v>
      </c>
      <c r="CI29" s="92">
        <f>CI$10*(1+((H29/H$10-1)*costos!$B$15+((I29*F29)/(I$10*F$10)-1)*costos!$E$15+((J29*F29)/((J$10*F$10)-1)*costos!$F$15/3+((K29*F29)/(K$10*F$10)-1)*costos!$F$15/3+((U29*F29)/(U$10*F$10)-1)*costos!$F$15/3+((L29*F29)/(L$10*F$10)-1)*costos!$G$15+((AV29)/(AV$10)-1)*costos!$J$15+((V29*F29)/(V$10*F$10)-1)*costos!$K$15)))</f>
        <v>154.42647614564908</v>
      </c>
      <c r="CJ29" s="92">
        <f>CJ$10*(1+((H29/H$10-1)*costos!$B$16+((I29*F29)/(I$10*F$10)-1)*costos!$E$16+((J29*F29)/((J$10*F$10)-1)*costos!$F$16/3+((K29*F29)/(K$10*F$10)-1)*costos!$F$16/3+((U29*F29)/(U$10*F$10)-1)*costos!$F$16/3+((L29*F29)/(L$10*F$10)-1)*costos!$G$16+((AW29)/(AW$10)-1)*costos!$J$16+((V29*F29)/(V$10*F$10)-1)*costos!$K$16)))</f>
        <v>152.28688763450958</v>
      </c>
      <c r="CK29" s="92">
        <f>CK$10*(1+((H29/H$10-1)*costos!$B$17+((I29*F29)/(I$10*F$10)-1)*costos!$E$17+((J29*F29)/((J$10*F$10)-1)*costos!$F$17/3+((K29*F29)/(K$10*F$10)-1)*costos!$F$17/3+((U29*F29)/(U$10*F$10)-1)*costos!$F$17/3+((L29*F29)/(L$10*F$10)-1)*costos!$G$17+((AX29)/(AX$10)-1)*costos!$J$17+((V29*F29)/(V$10*F$10)-1)*costos!$K$17)))</f>
        <v>143.03733380128958</v>
      </c>
      <c r="CL29" s="92">
        <f>CL$10*(1+((H29/H$10-1)*costos!$B$18+((I29*F29)/(I$10*F$10)-1)*costos!$E$18+((J29*F29)/((J$10*F$10)-1)*costos!$F$18/3+((K29*F29)/(K$10*F$10)-1)*costos!$F$18/3+((U29*F29)/(U$10*F$10)-1)*costos!$F$18/3+((L29*F29)/(L$10*F$10)-1)*costos!$G$18+((AY29)/(AY$10)-1)*costos!$J$18+((V29*F29)/(V$10*F$10)-1)*costos!$K$18)))</f>
        <v>186.8477465003584</v>
      </c>
      <c r="CM29" s="92">
        <f>CM$10*(1+((H29/H$10-1)*costos!$B$19+((I29*F29)/(I$10*F$10)-1)*costos!$E$19+((J29*F29)/((J$10*F$10)-1)*costos!$F$19/3+((K29*F29)/(K$10*F$10)-1)*costos!$F$19/3+((U29*F29)/(U$10*F$10)-1)*costos!$F$19/3+((L29*F29)/(L$10*F$10)-1)*costos!$G$19+((AZ29)/(AZ$10)-1)*costos!$J$19+((V29*F29)/(V$10*F$10)-1)*costos!$K$19)))</f>
        <v>137.96853339724987</v>
      </c>
      <c r="CN29" s="92">
        <f>CN$10*(1+((H29/H$10-1)*costos!$B$20+((I29*F29)/(I$10*F$10)-1)*costos!$E$20+((J29*F29)/((J$10*F$10)-1)*costos!$F$20/3+((K29*F29)/(K$10*F$10)-1)*costos!$F$20/3+((U29*F29)/(U$10*F$10)-1)*costos!$F$20/3+((L29*F29)/(L$10*F$10)-1)*costos!$G$20+((BA29)/(BA$10)-1)*costos!$J$20+((V29*F29)/(V$10*F$10)-1)*costos!$K$20)))</f>
        <v>140.98415975126096</v>
      </c>
      <c r="CO29" s="92">
        <f t="shared" si="61"/>
        <v>152.2094433625397</v>
      </c>
      <c r="CP29" s="92">
        <f>CP$10*(1+((H29/H$10-1)*costos!$B$22+((I29*F29)/(I$10*F$10)-1)*costos!$E$22+((J29*F29)/((J$10*F$10)-1)*costos!$F$22/3+((K29*F29)/(K$10*F$10)-1)*costos!$F$22/3+((U29*F29)/(U$10*F$10)-1)*costos!$F$22/3+((L29*F29)/(L$10*F$10)-1)*costos!$G$22+(((AVERAGE(AI29:AL29))/((AVERAGE(AI$10:AL$10))-1)*costos!$J$22+((V29*F29)/(V$10*F$10)-1)*costos!$K$22)))))</f>
        <v>195.49354961235855</v>
      </c>
      <c r="CQ29" s="92">
        <f>CQ$10*(1+((H29/H$10-1)*costos!$B$23+((I29*F29)/(I$10*F$10)-1)*costos!$E$23+((J29*F29)/((J$10*F$10)-1)*costos!$F$23/3+((K29*F29)/(K$10*F$10)-1)*costos!$F$23/3+((U29*F29)/(U$10*F$10)-1)*costos!$F$23/3+((L29*F29)/(L$10*F$10)-1)*costos!$G$23+((AN29)/(AN$10)-1)*costos!$J$23+((V29*F29)/(V$10*F$10)-1)*costos!$K$23)))</f>
        <v>152.49417124750227</v>
      </c>
      <c r="CR29" s="92">
        <f>CR$10*(1+((H29/H$10-1)*costos!$B$24+((I29*F29)/(I$10*F$10)-1)*costos!$E$24+((J29*F29)/((J$10*F$10)-1)*costos!$F$24/3+((K29*F29)/(K$10*F$10)-1)*costos!$F$24/3+((U29*F29)/(U$10*F$10)-1)*costos!$F$24/3+((L29*F29)/(L$10*F$10)-1)*costos!$G$24+((AO29)/(AO$10)-1)*costos!$J$24+((V29*F29)/(V$10*F$10)-1)*costos!$K$24)))</f>
        <v>150.67501032215856</v>
      </c>
      <c r="CS29" s="92">
        <f t="shared" si="62"/>
        <v>151.58459078483043</v>
      </c>
      <c r="CT29" s="92">
        <f>CT$10*(1+((H29/H$10-1)*costos!$B$25+((I29*F29)/(I$10*F$10)-1)*costos!$E$25+((J29*F29)/((J$10*F$10)-1)*costos!$F$25/3+((K29*F29)/(K$10*F$10)-1)*costos!$F$25/3+((U29*F29)/(U$10*F$10)-1)*costos!$F$25/3+((L29*F29)/(L$10*F$10)-1)*costos!$G$25+((AQ29)/(AQ$10)-1)*costos!$J$25+((V29*F29)/(V$10*F$10)-1)*costos!$K$25)))</f>
        <v>139.73333504455169</v>
      </c>
      <c r="CU29" s="92">
        <f>CU$10*(1+((H29/H$10-1)*costos!$B$26+((I29*F29)/(I$10*F$10)-1)*costos!$E$26+((J29*F29)/((J$10*F$10)-1)*costos!$F$26/3+((K29*F29)/(K$10*F$10)-1)*costos!$F$26/3+((U29*F29)/(U$10*F$10)-1)*costos!$F$26/3+((L29*F29)/(L$10*F$10)-1)*costos!$G$26+((AR29)/(AR$10)-1)*costos!$J$26+((V29*F29)/(V$10*F$10)-1)*costos!$K$26)))</f>
        <v>140.18397164186464</v>
      </c>
      <c r="CV29" s="92">
        <f>CV$10*(1+((H29/H$10-1)*costos!$B$27+((I29*F29)/(I$10*F$10)-1)*costos!$E$27+((J29*F29)/((J$10*F$10)-1)*costos!$F$27/3+((K29*F29)/(K$10*F$10)-1)*costos!$F$27/3+((U29*F29)/(U$10*F$10)-1)*costos!$F$27/3+((L29*F29)/(L$10*F$10)-1)*costos!$G$27+((AS29)/(AS$10)-1)*costos!$J$27+((V29*F29)/(V$10*F$10)-1)*costos!$K$27)))</f>
        <v>138.99198720282001</v>
      </c>
      <c r="CW29" s="92">
        <f>CW$10*(1+((H29/H$10-1)*costos!$B$28+((I29*F29)/(I$10*F$10)-1)*costos!$E$28+((J29*F29)/((J$10*F$10)-1)*costos!$F$28/3+((K29*F29)/(K$10*F$10)-1)*costos!$F$28/3+((U29*F29)/(U$10*F$10)-1)*costos!$F$28/3+((L29*F29)/(L$10*F$10)-1)*costos!$G$28+((AS29)/(AS$10)-1)*costos!$J$28+((V29*F29)/(V$10*F$10)-1)*costos!$K$28)))</f>
        <v>138.99198720282001</v>
      </c>
      <c r="CX29" s="92">
        <f t="shared" si="63"/>
        <v>139.38931534916821</v>
      </c>
      <c r="CY29" s="92">
        <f>CY$10*(1+((H29/H$10-1)*costos!$B$32+((I29*F29)/(I$10*F$10)-1)*costos!$E$32+((J29*F29)/((J$10*F$10)-1)*costos!$F$32/3+((K29*F29)/(K$10*F$10)-1)*costos!$F$32/3+((U29*F29)/(U$10*F$10)-1)*costos!$F$32/3+((L29*F29)/(L$10*F$10)-1)*costos!$G$32+((AG29)/(AG$10)-1)*costos!$J$32+((V29*F29)/(V$10*F$10)-1)*costos!$K$32)))</f>
        <v>156.3629433509914</v>
      </c>
      <c r="CZ29" s="69">
        <f>CZ$10*(1+((H29/H$10-1)*costos!$B$31+((I29*F29)/(I$10*F$10)-1)*costos!$E$30+((J29*F29)/((J$10*F$10)-1)*costos!$F$30/3+((K29*F29)/(K$10*F$10)-1)*costos!$F$30/3+((U29*F29)/(U$10*F$10)-1)*costos!$F$30/3+((L29*F29)/(L$10*F$10)-1)*costos!$G$30+((BG29)/(BG$10)-1)*costos!$J$30+((V29*F29)/(V$10*F$10)-1)*costos!$K$30)))</f>
        <v>162.547273486454</v>
      </c>
      <c r="DA29" s="69">
        <f>DA$10*(1+((H29/H$10-1)*costos!$B$31+((I29*F29)/(I$10*F$10)-1)*costos!$E$31+((J29*F29)/((J$10*F$10)-1)*costos!$F$31/3+((K29*F29)/(K$10*F$10)-1)*costos!$F$31/3+((U29*F29)/(U$10*F$10)-1)*costos!$F$31/3+((L29*F29)/(L$10*F$10)-1)*costos!$G$31+((BJ29)/(BJ$10)-1)*costos!$J$31+((V29*F29)/(V$10*F$10)-1)*costos!$K$31)))</f>
        <v>155.10634188903336</v>
      </c>
      <c r="DB29" s="69">
        <f>DB$10*(1+((H29/H$10-1)*costos!$B$36+((I29*F29)/(I$10*F$10)-1)*costos!$E$36+((J29*F29)/((J$10*F$10)-1)*costos!$F$36/3+((K29*F29)/(K$10*F$10)-1)*costos!$F$36/3+((U29*F29)/(U$10*F$10)-1)*costos!$F$36/3+((L29*F29)/(L$10*F$10)-1)*costos!$G$36+((BK29)/(BK$10)-1)*costos!$J$36+((V29*F29)/(V$10*F$10)-1)*costos!$K$36)))</f>
        <v>148.76645045707835</v>
      </c>
      <c r="DC29" s="69">
        <f>DC$10*(1+((H29/H$10-1)*costos!$B$37+((I29*F29)/(I$10*F$10)-1)*costos!$E$37+((U29*F29)/(U$10*F$10)-1)*costos!$F$37+((L29*F29)/(L$10*F$10)-1)*costos!$G$37+((BN29)/(BN$10)-1)*costos!$J$37+((V29*F29)/(V$10*F$10)-1)*costos!$K$37))</f>
        <v>137.49777356253782</v>
      </c>
      <c r="DD29" s="69">
        <f>DD$10*(1+((H29/H$10-1)*costos!$B$39+((I29*F29)/(I$10*F$10)-1)*costos!$E$39+((U29*F29)/(U$10*F$10)-1)*costos!$F$39+((L29*F29)/(L$10*F$10)-1)*costos!$G$39+((BR29)/(BR$10)-1)*costos!$J$39+((V29*F29)/(V$10*F$10)-1)*costos!$K$39))</f>
        <v>135.18758649355686</v>
      </c>
      <c r="DE29" s="69">
        <f>DD$10*(1+((H29/H$10-1)*costos!$B$35+((I29*F29)/(I$10*F$10)-1)*costos!$E$35+((U29*F29)/(U$10*F$10)-1)*costos!$F$35+((L29*F29)/(L$10*F$10)-1)*costos!$G$35+((BR29)/(BR$10)-1)*costos!$J$35+((V29*F29)/(V$10*F$10)-1)*costos!$K$35))</f>
        <v>133.54125539306722</v>
      </c>
      <c r="DF29" s="69">
        <f>DF$10*(1+((H29/H$10-1)*costos!$B$40+((I29*F29)/(I$10*F$10)-1)*costos!$E$40+((U29*F29)/(U$10*F$10)-1)*costos!$F$40+((L29*F29)/(L$10*F$10)-1)*costos!$G$40+((BP29)/(BP$10)-1)*costos!$J$40+((V29*F29)/(V$10*F$10)-1)*costos!$K$40))</f>
        <v>132.44365198635478</v>
      </c>
      <c r="DG29" s="92">
        <f t="shared" si="64"/>
        <v>132.992453689711</v>
      </c>
      <c r="DH29" s="69">
        <f>DH$10*(1+((H29/H$10-1)*costos!$B$34+((I29*F29)/(I$10*F$10)-1)*costos!$E$34+((J29*F29)/((J$10*F$10)-1)*costos!$F$34/3+((K29*F29)/(K$10*F$10)-1)*costos!$F$34/3+((U29*F29)/(U$10*F$10)-1)*costos!$F$34/3+((L29*F29)/(L$10*F$10)-1)*costos!$G$34+((BV29)/(BV$10)-1)*costos!$J$34+((V29*F29)/(V$10*F$10)-1)*costos!$K$34)))</f>
        <v>154.19011661957157</v>
      </c>
      <c r="DI29" s="69">
        <f>DI$10*(1+((H29/H$10-1)*costos!$B$38+((I29*F29)/(I$10*F$10)-1)*costos!$E$38+((J29*F29)/((J$10*F$10)-1)*costos!$F$38/3+((K29*F29)/(K$10*F$10)-1)*costos!$F$38/3+((U29*F29)/(U$10*F$10)-1)*costos!$F$38/3+((L29*F29)/(L$10*F$10)-1)*costos!$G$38+((BU29)/(BU$10)-1)*costos!$J$38+((V29*F29)/(V$10*F$10)-1)*costos!$K$38)))</f>
        <v>155.44363967632748</v>
      </c>
      <c r="DK29" s="1">
        <v>258900</v>
      </c>
      <c r="DL29" s="1" t="s">
        <v>106</v>
      </c>
      <c r="DM29" s="82">
        <f t="shared" si="155"/>
        <v>206500</v>
      </c>
      <c r="DN29" s="82" t="str">
        <f t="shared" si="155"/>
        <v>2016-17</v>
      </c>
      <c r="DO29" s="1">
        <v>800000</v>
      </c>
      <c r="DP29" s="1" t="s">
        <v>6</v>
      </c>
      <c r="DQ29" s="1">
        <v>1800000</v>
      </c>
      <c r="DR29" s="1" t="s">
        <v>6</v>
      </c>
      <c r="DS29" s="1">
        <v>5100000</v>
      </c>
      <c r="DT29" s="1" t="s">
        <v>106</v>
      </c>
      <c r="DU29" s="1">
        <v>19200000</v>
      </c>
      <c r="DV29" s="1" t="s">
        <v>106</v>
      </c>
      <c r="DW29" s="82">
        <f t="shared" ref="DW29:DX31" si="179">+DW28</f>
        <v>800000</v>
      </c>
      <c r="DX29" s="82" t="str">
        <f t="shared" si="179"/>
        <v>2016-17</v>
      </c>
      <c r="DY29" s="1">
        <v>5930000</v>
      </c>
      <c r="DZ29" s="1" t="s">
        <v>6</v>
      </c>
      <c r="EA29" s="79">
        <f t="shared" si="67"/>
        <v>33630000</v>
      </c>
      <c r="EB29" s="82">
        <f t="shared" si="156"/>
        <v>364191</v>
      </c>
      <c r="EC29" s="82" t="str">
        <f t="shared" si="157"/>
        <v>2016-17</v>
      </c>
      <c r="ED29" s="83">
        <f t="shared" si="157"/>
        <v>165327</v>
      </c>
      <c r="EE29" s="143">
        <f t="shared" si="157"/>
        <v>2016</v>
      </c>
      <c r="EF29" s="83">
        <f t="shared" si="121"/>
        <v>220848</v>
      </c>
      <c r="EG29" s="143">
        <f t="shared" si="122"/>
        <v>2017</v>
      </c>
      <c r="EH29" s="83">
        <v>54163380</v>
      </c>
      <c r="EI29" s="143">
        <v>2017</v>
      </c>
      <c r="EJ29" s="83">
        <f t="shared" si="169"/>
        <v>5119438</v>
      </c>
      <c r="EK29" s="143">
        <v>2022</v>
      </c>
      <c r="EL29" s="82">
        <f t="shared" si="175"/>
        <v>14746566</v>
      </c>
      <c r="EM29" s="144">
        <f t="shared" si="175"/>
        <v>2017</v>
      </c>
      <c r="EN29" s="82">
        <f t="shared" si="175"/>
        <v>3364725</v>
      </c>
      <c r="EO29" s="144">
        <f t="shared" si="175"/>
        <v>2017</v>
      </c>
      <c r="EP29" s="82">
        <f t="shared" si="118"/>
        <v>6552</v>
      </c>
      <c r="EQ29" s="83">
        <f t="shared" si="100"/>
        <v>3003036</v>
      </c>
      <c r="ER29" s="1">
        <v>33739</v>
      </c>
      <c r="ES29" s="82"/>
      <c r="ET29" s="83">
        <f t="shared" si="101"/>
        <v>23614</v>
      </c>
      <c r="EU29" s="83">
        <f t="shared" si="101"/>
        <v>16845</v>
      </c>
      <c r="EV29" s="83">
        <f t="shared" si="101"/>
        <v>9213</v>
      </c>
      <c r="EW29" s="83">
        <f t="shared" si="101"/>
        <v>17766</v>
      </c>
      <c r="EX29" s="79">
        <f t="shared" si="72"/>
        <v>67438</v>
      </c>
      <c r="EY29" s="83">
        <f t="shared" si="123"/>
        <v>19284</v>
      </c>
      <c r="EZ29" s="82">
        <f t="shared" si="123"/>
        <v>74845</v>
      </c>
      <c r="FA29" s="1">
        <f t="shared" si="103"/>
        <v>20879</v>
      </c>
      <c r="FB29" s="1">
        <f t="shared" si="103"/>
        <v>19496</v>
      </c>
      <c r="FC29" s="79">
        <f t="shared" si="73"/>
        <v>40375</v>
      </c>
      <c r="FD29" s="1">
        <f t="shared" si="158"/>
        <v>65075.3</v>
      </c>
      <c r="FE29" s="1"/>
      <c r="FF29" s="82">
        <f t="shared" si="129"/>
        <v>708196</v>
      </c>
      <c r="FG29" s="82" t="str">
        <f t="shared" si="130"/>
        <v>2015-16</v>
      </c>
      <c r="FH29" s="82">
        <f t="shared" ref="FH29:FI31" si="180">+FH28</f>
        <v>1328340</v>
      </c>
      <c r="FI29" s="82" t="str">
        <f t="shared" si="180"/>
        <v>2016-17</v>
      </c>
      <c r="FJ29" s="82">
        <f t="shared" si="159"/>
        <v>3000000</v>
      </c>
      <c r="FK29" s="82" t="str">
        <f t="shared" si="160"/>
        <v>2016-17</v>
      </c>
      <c r="FL29" s="82">
        <f t="shared" si="170"/>
        <v>3300000</v>
      </c>
      <c r="FM29" s="82" t="str">
        <f t="shared" si="170"/>
        <v>2016-17</v>
      </c>
      <c r="FN29" s="1">
        <v>39000000</v>
      </c>
      <c r="FO29" s="1" t="s">
        <v>106</v>
      </c>
      <c r="FP29" s="82">
        <f t="shared" si="176"/>
        <v>57500000</v>
      </c>
      <c r="FQ29" s="82" t="str">
        <f t="shared" si="177"/>
        <v>2016-17</v>
      </c>
      <c r="FR29" s="82">
        <f t="shared" ref="FR29:FR34" si="181">+FR28</f>
        <v>3200000</v>
      </c>
      <c r="FS29" s="82" t="str">
        <f t="shared" ref="FS29:FS34" si="182">+FS28</f>
        <v>2016-17</v>
      </c>
      <c r="FT29" s="1">
        <v>18395000</v>
      </c>
      <c r="FU29" s="83" t="str">
        <f t="shared" si="161"/>
        <v>2016-17</v>
      </c>
      <c r="FV29" s="79">
        <f t="shared" si="76"/>
        <v>124395000</v>
      </c>
      <c r="FW29" s="82">
        <f t="shared" ref="FW29:FW35" si="183">+FW28</f>
        <v>1081031.1999999997</v>
      </c>
      <c r="FX29" s="82" t="str">
        <f t="shared" ref="FX29:FX37" si="184">+FX28</f>
        <v>2016-17</v>
      </c>
      <c r="FY29" s="1">
        <v>85135.138000000006</v>
      </c>
      <c r="FZ29" s="79">
        <f t="shared" si="135"/>
        <v>709863.86100000003</v>
      </c>
      <c r="GA29" s="86" t="str">
        <f t="shared" si="136"/>
        <v>sept16 ago17</v>
      </c>
      <c r="GB29" s="1">
        <v>19652055</v>
      </c>
      <c r="GC29" s="6">
        <v>2017</v>
      </c>
      <c r="GD29" s="1">
        <f t="shared" si="165"/>
        <v>1675851</v>
      </c>
      <c r="GE29" s="1">
        <v>459665</v>
      </c>
      <c r="GF29" s="1">
        <v>1024918</v>
      </c>
      <c r="GG29" s="1">
        <f t="shared" si="166"/>
        <v>112337</v>
      </c>
      <c r="GH29" s="79">
        <f t="shared" si="78"/>
        <v>1596920</v>
      </c>
      <c r="GI29" s="82">
        <f t="shared" si="79"/>
        <v>1302556</v>
      </c>
      <c r="GJ29" s="83">
        <f t="shared" si="162"/>
        <v>665408</v>
      </c>
      <c r="GK29" s="83">
        <f t="shared" si="162"/>
        <v>660753</v>
      </c>
      <c r="GL29" s="83">
        <f t="shared" si="162"/>
        <v>290290.46000000002</v>
      </c>
      <c r="GM29" s="83">
        <f t="shared" si="162"/>
        <v>263224.75</v>
      </c>
      <c r="GN29" s="79">
        <f t="shared" si="81"/>
        <v>1879676.21</v>
      </c>
      <c r="GO29" s="83">
        <f t="shared" si="107"/>
        <v>193430</v>
      </c>
      <c r="GP29" s="83">
        <f t="shared" si="107"/>
        <v>76379</v>
      </c>
      <c r="GQ29" s="1"/>
      <c r="GR29" s="1">
        <f t="shared" si="150"/>
        <v>42700</v>
      </c>
      <c r="GS29" s="79">
        <f t="shared" si="83"/>
        <v>42700</v>
      </c>
      <c r="GT29" s="83">
        <f t="shared" si="108"/>
        <v>2459310</v>
      </c>
      <c r="GU29" s="1">
        <v>18170</v>
      </c>
      <c r="GV29" s="1">
        <v>32526</v>
      </c>
      <c r="GW29" s="79">
        <f t="shared" si="151"/>
        <v>1256564.6666666665</v>
      </c>
      <c r="GX29" s="83">
        <v>32330.198</v>
      </c>
      <c r="GY29" s="83" t="s">
        <v>328</v>
      </c>
      <c r="GZ29" s="83">
        <f t="shared" si="109"/>
        <v>117154</v>
      </c>
      <c r="HA29" s="1">
        <v>247000</v>
      </c>
      <c r="HB29" s="79">
        <f t="shared" si="137"/>
        <v>2764000</v>
      </c>
      <c r="HC29" s="86" t="str">
        <f t="shared" si="138"/>
        <v>sept16 ago17</v>
      </c>
      <c r="HD29" s="1">
        <v>50786</v>
      </c>
      <c r="HE29" s="79">
        <f t="shared" si="139"/>
        <v>548863</v>
      </c>
      <c r="HF29" s="86" t="str">
        <f t="shared" si="140"/>
        <v>sept16 ago17</v>
      </c>
      <c r="HG29" s="1">
        <v>184000</v>
      </c>
      <c r="HH29" s="79">
        <f t="shared" si="141"/>
        <v>2134000</v>
      </c>
      <c r="HI29" s="86" t="str">
        <f t="shared" si="142"/>
        <v>sept16 ago17</v>
      </c>
      <c r="HJ29" s="1">
        <v>90164</v>
      </c>
      <c r="HK29" s="79">
        <f t="shared" si="143"/>
        <v>39360.480000000003</v>
      </c>
      <c r="HL29" s="86" t="str">
        <f t="shared" si="144"/>
        <v>sept16 ago17</v>
      </c>
      <c r="HM29" s="79">
        <f t="shared" si="86"/>
        <v>2173360.48</v>
      </c>
      <c r="HN29" s="87">
        <v>-2.3974553404888882E-2</v>
      </c>
      <c r="HO29" s="1">
        <f t="shared" si="152"/>
        <v>842895575.67953801</v>
      </c>
      <c r="HP29" s="79">
        <f t="shared" si="153"/>
        <v>9829.0111324321242</v>
      </c>
      <c r="HQ29" s="86" t="str">
        <f t="shared" si="145"/>
        <v>sept16 ago17</v>
      </c>
      <c r="HR29" s="3"/>
      <c r="HS29" s="1"/>
      <c r="HT29" s="1"/>
      <c r="HU29" s="83">
        <f t="shared" si="174"/>
        <v>680000</v>
      </c>
      <c r="HV29" s="83" t="str">
        <f t="shared" si="174"/>
        <v>2016-17</v>
      </c>
      <c r="HW29" s="1">
        <v>1430000</v>
      </c>
      <c r="HX29" s="1" t="s">
        <v>106</v>
      </c>
      <c r="HY29" s="1">
        <v>3350000</v>
      </c>
      <c r="HZ29" s="1" t="s">
        <v>106</v>
      </c>
      <c r="IA29" s="1">
        <f t="shared" si="171"/>
        <v>19080000</v>
      </c>
      <c r="IB29" s="1" t="s">
        <v>106</v>
      </c>
      <c r="IC29" s="1">
        <v>47130000</v>
      </c>
      <c r="ID29" s="1" t="s">
        <v>106</v>
      </c>
      <c r="IE29" s="1">
        <f t="shared" si="172"/>
        <v>2450000</v>
      </c>
      <c r="IF29" s="1" t="s">
        <v>106</v>
      </c>
      <c r="IG29" s="1">
        <f t="shared" si="154"/>
        <v>6760000</v>
      </c>
      <c r="IH29" s="1" t="s">
        <v>106</v>
      </c>
      <c r="II29" s="79">
        <f t="shared" si="87"/>
        <v>80200000</v>
      </c>
      <c r="IJ29" s="97">
        <f t="shared" si="167"/>
        <v>1.5629261117125455</v>
      </c>
      <c r="IK29" s="1" t="s">
        <v>106</v>
      </c>
      <c r="IL29" s="7">
        <v>44.8</v>
      </c>
      <c r="IM29" s="7">
        <v>60.315837701593011</v>
      </c>
      <c r="IN29" s="7">
        <v>197</v>
      </c>
      <c r="IO29" s="695">
        <v>14.27</v>
      </c>
      <c r="IP29" s="98">
        <f t="shared" si="163"/>
        <v>5.6020702831241165</v>
      </c>
      <c r="IQ29" s="93">
        <v>20.2</v>
      </c>
      <c r="IR29" s="93">
        <f t="shared" si="168"/>
        <v>3.01</v>
      </c>
      <c r="IS29" s="93">
        <f t="shared" si="168"/>
        <v>5.59</v>
      </c>
      <c r="IT29" s="93">
        <f t="shared" si="168"/>
        <v>11.85</v>
      </c>
      <c r="IU29" s="93">
        <f t="shared" si="168"/>
        <v>0.79</v>
      </c>
      <c r="IV29" s="94">
        <f t="shared" si="89"/>
        <v>18.229999999999997</v>
      </c>
      <c r="IW29" s="84"/>
      <c r="IX29" s="84"/>
      <c r="IY29" s="105">
        <v>1.84</v>
      </c>
      <c r="IZ29" s="161">
        <v>0.3</v>
      </c>
      <c r="JA29" s="570"/>
      <c r="JB29" s="84">
        <v>41.09</v>
      </c>
      <c r="JC29" s="84"/>
      <c r="JD29" s="84"/>
      <c r="JE29" s="1"/>
      <c r="JF29" s="2">
        <v>7.6848334199999995</v>
      </c>
      <c r="JG29" s="2">
        <v>12.524635279999998</v>
      </c>
      <c r="JH29" s="2">
        <v>32.579766720000002</v>
      </c>
      <c r="JI29" s="2">
        <v>62.147863600000008</v>
      </c>
      <c r="JJ29" s="2">
        <v>463.69186700000006</v>
      </c>
      <c r="JK29" s="2">
        <v>92.734211180000017</v>
      </c>
      <c r="JL29" s="2">
        <v>1578.62897477</v>
      </c>
      <c r="JM29" s="2">
        <v>11.165362269999999</v>
      </c>
      <c r="JN29" s="2">
        <v>161.77627117</v>
      </c>
      <c r="JO29" s="2">
        <v>16.414636229999999</v>
      </c>
      <c r="JP29" s="2">
        <v>0</v>
      </c>
      <c r="JQ29" s="2">
        <v>0.29641450000000003</v>
      </c>
      <c r="JR29" s="2">
        <v>0.60977066000000002</v>
      </c>
      <c r="JS29" s="2">
        <v>0</v>
      </c>
      <c r="JT29" s="2">
        <v>1.491E-2</v>
      </c>
      <c r="JU29" s="2">
        <v>93.698551419999959</v>
      </c>
      <c r="JV29" s="2">
        <v>12.16974476</v>
      </c>
      <c r="JW29" s="2">
        <v>9.9977768999999999</v>
      </c>
      <c r="JX29" s="2">
        <v>34.624079109999997</v>
      </c>
      <c r="JY29" s="2">
        <v>6.8936316499999997</v>
      </c>
      <c r="JZ29" s="2">
        <v>9.0346774200000013</v>
      </c>
      <c r="KA29" s="2">
        <v>0.56886833999999997</v>
      </c>
      <c r="KB29" s="2">
        <v>18.001828760000002</v>
      </c>
      <c r="KC29" s="2">
        <v>30.521502000000002</v>
      </c>
      <c r="KD29" s="2">
        <v>5.9747254500000002</v>
      </c>
      <c r="KE29" s="2">
        <v>14.717103069999999</v>
      </c>
      <c r="KF29" s="2">
        <v>28.525296099999995</v>
      </c>
      <c r="KG29" s="2">
        <v>179.20307041000001</v>
      </c>
      <c r="KH29" s="2">
        <v>52.669159480000005</v>
      </c>
      <c r="KI29" s="2">
        <v>14.42727827</v>
      </c>
      <c r="KJ29" s="2">
        <v>2.3380059499999999</v>
      </c>
      <c r="KK29" s="2">
        <v>10.467697189999999</v>
      </c>
      <c r="KL29" s="2">
        <v>0.34898919000000006</v>
      </c>
      <c r="KM29" s="2">
        <v>4.4091679100000007</v>
      </c>
      <c r="KN29" s="2">
        <v>0.12358217000000002</v>
      </c>
      <c r="KO29" s="2">
        <v>2.0866314999999998</v>
      </c>
      <c r="KP29" s="2">
        <v>0.28942901999999998</v>
      </c>
      <c r="KQ29" s="2">
        <v>41.37190000999999</v>
      </c>
      <c r="KR29" s="2">
        <v>1.6401999999999999E-4</v>
      </c>
      <c r="KS29" s="2">
        <v>4.1339999999999997E-3</v>
      </c>
      <c r="KT29" s="2">
        <v>2.4109630100000001</v>
      </c>
      <c r="KU29" s="2">
        <v>0.65153045999999992</v>
      </c>
      <c r="KV29" s="2">
        <v>2.7686200000000001E-2</v>
      </c>
      <c r="KW29" s="2">
        <v>3.8116006800000006</v>
      </c>
      <c r="KX29" s="2">
        <v>0</v>
      </c>
      <c r="KY29" s="2">
        <v>0</v>
      </c>
      <c r="KZ29" s="2">
        <v>5.2969329900000002</v>
      </c>
      <c r="LA29" s="2">
        <v>2.5853645799999998</v>
      </c>
      <c r="LB29" s="2">
        <v>0.10555005000000001</v>
      </c>
      <c r="LC29" s="2">
        <v>2.0477950000000002E-2</v>
      </c>
      <c r="LD29" s="2">
        <v>0</v>
      </c>
      <c r="LE29" s="2">
        <v>0.45234496000000002</v>
      </c>
      <c r="LF29" s="2">
        <v>0.106656</v>
      </c>
      <c r="LG29" s="2">
        <v>23.540100659999997</v>
      </c>
      <c r="LH29" s="2">
        <v>4.4951719599999995</v>
      </c>
      <c r="LI29" s="2">
        <v>1.2212E-4</v>
      </c>
      <c r="LJ29" s="2">
        <v>0</v>
      </c>
      <c r="LK29" s="2">
        <v>2.0717885599999999</v>
      </c>
      <c r="LL29" s="2">
        <v>4.5558924000000003</v>
      </c>
      <c r="LM29" s="2">
        <v>3.7109763600000005</v>
      </c>
      <c r="LN29" s="2">
        <v>0.38300385000000003</v>
      </c>
      <c r="LO29" s="2">
        <v>10.06216751</v>
      </c>
      <c r="LQ29" s="85">
        <f t="shared" si="90"/>
        <v>2309.9901055300006</v>
      </c>
      <c r="LR29" s="85">
        <f t="shared" si="91"/>
        <v>0.92109516000000002</v>
      </c>
      <c r="LS29" s="85">
        <f t="shared" si="92"/>
        <v>22.167521659999998</v>
      </c>
      <c r="LT29" s="85">
        <f t="shared" si="93"/>
        <v>16.497177410000003</v>
      </c>
      <c r="LU29" s="85">
        <f t="shared" si="94"/>
        <v>47.995579609999993</v>
      </c>
      <c r="LV29" s="85">
        <f t="shared" si="95"/>
        <v>3.8392868800000008</v>
      </c>
      <c r="LW29" s="85">
        <f t="shared" si="96"/>
        <v>2.69091463</v>
      </c>
      <c r="LX29" s="85">
        <f t="shared" si="97"/>
        <v>0.55900095999999999</v>
      </c>
      <c r="LZ29" s="131">
        <v>21.05</v>
      </c>
      <c r="MA29" s="171">
        <v>21.25</v>
      </c>
      <c r="MB29"/>
      <c r="MC29"/>
      <c r="MD29"/>
      <c r="MF29"/>
      <c r="MG29"/>
      <c r="MH29" s="83">
        <v>39.43</v>
      </c>
      <c r="MI29" s="83">
        <v>10.65</v>
      </c>
      <c r="MJ29" s="83">
        <v>14.35</v>
      </c>
      <c r="MK29"/>
      <c r="ML29" s="83">
        <v>11.86</v>
      </c>
      <c r="MM29" s="83">
        <v>33.96</v>
      </c>
      <c r="MN29" s="83"/>
      <c r="MO29" s="83">
        <v>15.14</v>
      </c>
      <c r="MP29" s="83">
        <v>42.09</v>
      </c>
      <c r="MQ29" s="83">
        <v>34.58</v>
      </c>
      <c r="MR29"/>
      <c r="MT29" s="83"/>
      <c r="MU29" s="83">
        <v>14</v>
      </c>
      <c r="MV29"/>
      <c r="MW29"/>
      <c r="MX29"/>
      <c r="MY29" s="83">
        <v>31.5</v>
      </c>
      <c r="MZ29" s="83">
        <v>96.6</v>
      </c>
      <c r="NA29" s="83">
        <v>36.36</v>
      </c>
      <c r="NB29" s="83">
        <v>125.3</v>
      </c>
      <c r="NC29" s="83">
        <v>21.72</v>
      </c>
      <c r="ND29"/>
      <c r="NE29" s="1">
        <v>109.56</v>
      </c>
    </row>
    <row r="30" spans="1:369">
      <c r="A30" s="38">
        <f t="shared" si="32"/>
        <v>42979</v>
      </c>
      <c r="B30" s="36">
        <v>9</v>
      </c>
      <c r="C30" s="36">
        <v>2017</v>
      </c>
      <c r="D30" s="36">
        <f t="shared" si="50"/>
        <v>30</v>
      </c>
      <c r="E30" s="38">
        <f t="shared" si="33"/>
        <v>42979</v>
      </c>
      <c r="F30" s="7">
        <v>17.44047619047619</v>
      </c>
      <c r="G30" s="7">
        <v>117.6</v>
      </c>
      <c r="H30" s="1">
        <f>[2]NACIONALES!$D18</f>
        <v>12648.96</v>
      </c>
      <c r="I30" s="7">
        <v>100</v>
      </c>
      <c r="J30" s="7">
        <v>350</v>
      </c>
      <c r="K30" s="7">
        <v>2.6</v>
      </c>
      <c r="L30" s="7">
        <v>34.799999999999997</v>
      </c>
      <c r="N30" s="5">
        <v>1.5482380952380952</v>
      </c>
      <c r="O30" s="5">
        <v>1.4162380952380951</v>
      </c>
      <c r="P30" s="78">
        <f t="shared" si="34"/>
        <v>25.850938208616778</v>
      </c>
      <c r="Q30" s="6">
        <v>390</v>
      </c>
      <c r="R30" s="79">
        <f t="shared" si="35"/>
        <v>3900</v>
      </c>
      <c r="S30" s="6">
        <v>158.1904761904762</v>
      </c>
      <c r="T30" s="6">
        <v>307.71428571428572</v>
      </c>
      <c r="U30" s="143">
        <v>148.56190476190474</v>
      </c>
      <c r="V30" s="6">
        <v>260.01904761904763</v>
      </c>
      <c r="W30" s="6">
        <v>117.04761904761905</v>
      </c>
      <c r="X30" s="6">
        <v>165.92380952380952</v>
      </c>
      <c r="Y30" s="79">
        <f t="shared" si="36"/>
        <v>2758.9172335600906</v>
      </c>
      <c r="Z30" s="79">
        <f t="shared" si="37"/>
        <v>5366.6836734693879</v>
      </c>
      <c r="AA30" s="79">
        <f t="shared" si="38"/>
        <v>2590.9903628117909</v>
      </c>
      <c r="AB30" s="79">
        <f t="shared" si="39"/>
        <v>4534.8560090702949</v>
      </c>
      <c r="AC30" s="79">
        <f t="shared" si="40"/>
        <v>2041.3662131519275</v>
      </c>
      <c r="AD30" s="79">
        <f t="shared" si="41"/>
        <v>2893.7902494331065</v>
      </c>
      <c r="AE30" s="79">
        <f t="shared" si="42"/>
        <v>3364.4339569160993</v>
      </c>
      <c r="AF30" s="1">
        <v>12356.571428571429</v>
      </c>
      <c r="AG30" s="1">
        <v>6012</v>
      </c>
      <c r="AH30" s="1">
        <v>22202</v>
      </c>
      <c r="AI30" s="5">
        <v>12.45</v>
      </c>
      <c r="AJ30" s="5">
        <v>7.13</v>
      </c>
      <c r="AK30" s="5">
        <v>7.56</v>
      </c>
      <c r="AL30" s="5">
        <v>6.04</v>
      </c>
      <c r="AM30" s="78">
        <f t="shared" si="43"/>
        <v>9.4274000000000004</v>
      </c>
      <c r="AN30" s="7">
        <v>516.29921259842524</v>
      </c>
      <c r="AO30" s="7">
        <v>299.34333333333336</v>
      </c>
      <c r="AP30" s="78">
        <f t="shared" si="146"/>
        <v>299.34333333333336</v>
      </c>
      <c r="AQ30" s="7">
        <v>197.02479338842974</v>
      </c>
      <c r="AR30" s="7">
        <v>143.36857142857144</v>
      </c>
      <c r="AS30" s="7">
        <v>134.19753086419752</v>
      </c>
      <c r="AT30" s="7">
        <v>153.4</v>
      </c>
      <c r="AU30" s="78">
        <f t="shared" si="53"/>
        <v>143.65536743092298</v>
      </c>
      <c r="AV30" s="7">
        <v>143.45893805309743</v>
      </c>
      <c r="AW30" s="7">
        <v>292.48095238095243</v>
      </c>
      <c r="AX30" s="7">
        <v>125.34333333333338</v>
      </c>
      <c r="AY30" s="7">
        <v>311.655327510917</v>
      </c>
      <c r="AZ30" s="7">
        <v>142.79</v>
      </c>
      <c r="BA30" s="7">
        <v>76.031904761904769</v>
      </c>
      <c r="BB30" s="94">
        <f t="shared" si="45"/>
        <v>176.57862272128648</v>
      </c>
      <c r="BC30" s="68">
        <f t="shared" ref="BC30:BF45" si="185">+BC29</f>
        <v>632</v>
      </c>
      <c r="BD30" s="68">
        <f t="shared" si="185"/>
        <v>776</v>
      </c>
      <c r="BE30" s="7">
        <f t="shared" si="185"/>
        <v>675</v>
      </c>
      <c r="BF30" s="7">
        <f t="shared" si="185"/>
        <v>400</v>
      </c>
      <c r="BG30" s="94">
        <f t="shared" si="56"/>
        <v>620.75</v>
      </c>
      <c r="BH30" s="7">
        <v>43.18</v>
      </c>
      <c r="BI30" s="7">
        <f t="shared" si="178"/>
        <v>12.766</v>
      </c>
      <c r="BJ30" s="78">
        <f t="shared" si="57"/>
        <v>55.945999999999998</v>
      </c>
      <c r="BK30" s="7">
        <v>34.369</v>
      </c>
      <c r="BL30" s="7">
        <v>34.353000000000002</v>
      </c>
      <c r="BM30" s="94">
        <f t="shared" si="58"/>
        <v>34.361000000000004</v>
      </c>
      <c r="BN30" s="5">
        <v>5.63</v>
      </c>
      <c r="BO30" s="105">
        <v>25.085714285714282</v>
      </c>
      <c r="BP30" s="80">
        <v>11.691833333333333</v>
      </c>
      <c r="BQ30" s="94">
        <f t="shared" si="59"/>
        <v>23.746326190476186</v>
      </c>
      <c r="BR30" s="7">
        <v>19.37</v>
      </c>
      <c r="BS30" s="7">
        <v>78</v>
      </c>
      <c r="BT30" s="7">
        <v>57.48</v>
      </c>
      <c r="BU30" s="79">
        <f t="shared" si="147"/>
        <v>1108.44</v>
      </c>
      <c r="BV30" s="97">
        <v>34.9</v>
      </c>
      <c r="BW30" s="7"/>
      <c r="BY30" s="92">
        <f>BY$10*(1+((H30/H$10-1)*costos!$B$5+((I30*F30)/(I$10*F$10)-1)*costos!$E$5+((J30*F30)/((J$10*F$10)-1)*costos!$F$5/3+((K30*F30)/(K$10*F$10)-1)*costos!$F$5/3+((U30*F30)/(U$10*F$10)-1)*costos!$F$5/3+((L30*F30)/(L$10*F$10)-1)*costos!$G$5+((N30*F30)/(N$10*F$10)-1)*costos!$J$5+((V30*F30)/(V$10*F$10)-1)*costos!$K$5)))</f>
        <v>149.23655609644311</v>
      </c>
      <c r="BZ30" s="92">
        <f>$BZ$10*(1+((H30/$H$10-1)*costos!$B$6+((I30*F30)/($I$10*$F$10)-1)*costos!$E$6+((J30*F30)/(($J$10*$F$10)-1)*costos!$F$6/3+((K30*F30)/($K$10*$F$10)-1)*costos!$F$6/3+((U30*F30)/($U$10*$F$10)-1)*costos!$F$6/3+((L30*F30)/($L$10*$F$10)-1)*costos!$G$6+((Q30*F30)/($Q$10*$F$10)-1)*costos!$J$6+((V30*F30)/($V$10*$F$10)-1)*costos!$K$6)))</f>
        <v>134.89348957421521</v>
      </c>
      <c r="CA30" s="92">
        <f>CA$10*(1+((H30/H$10-1)*costos!$B$7+((I30*F30)/(I$10*F$10)-1)*costos!$E$7+((J30*F30)/((J$10*F$10)-1)*costos!$F$7/3+((K30*F30)/(K$10*F$10)-1)*costos!$F$7/3+((U30*F30)/(U$10*F$10)-1)*costos!$F$7/3+((L30*F30)/(L$10*F$10)-1)*costos!$G$7+((S30*F30)/(S$10*F$10)-1)*costos!$J$7+((V30*F30)/(V$10*F$10)-1)*costos!$K$7)))</f>
        <v>138.4433488463288</v>
      </c>
      <c r="CB30" s="92">
        <f>CB$10*(1+((H30/H$10-1)*costos!$B$8+((I30*F30)/(I$10*F$10)-1)*costos!$E$8+((J30*F30)/((J$10*F$10)-1)*costos!$F$8/3+((K30*F30)/(K$10*F$10)-1)*costos!$F$8/3+((U30*F30)/(U$10*F$10)-1)*costos!$F$8/3+((L30*F30)/(L$10*F$10)-1)*costos!$G$8+((T30*F30)/(T$10*F$10)-1)*costos!$J$8+((V30*F30)/(V$10*F$10)-1)*costos!$K$8)))</f>
        <v>140.90038881658839</v>
      </c>
      <c r="CC30" s="92">
        <f>CC$10*(1+((H30/H$10-1)*costos!$B$9+((I30*F30)/(I$10*F$10)-1)*costos!$E$9+((J30*F30)/((J$10*F$10)-1)*costos!$F$9/3+((K30*F30)/(K$10*F$10)-1)*costos!$F$9/3+((U30*F30)/(U$10*F$10)-1)*costos!$F$9/3+((L30*F30)/(L$10*F$10)-1)*costos!$G$9+((U30*F30)/(U$10*F$10)-1)*costos!$J$9+((V30*F30)/(V$10*F$10)-1)*costos!$K$9)))</f>
        <v>136.48970899074931</v>
      </c>
      <c r="CD30" s="92">
        <f>CD$10*(1+((H30/H$10-1)*costos!$B$11+((I30*F30)/(I$10*F$10)-1)*costos!$E$11+((J30*F30)/((J$10*F$10)-1)*costos!$F$11/3+((K30*F30)/(K$10*F$10)-1)*costos!$F$11/3+((U30*F30)/(U$10*F$10)-1)*costos!$F$11/3+((L30*F30)/(L$10*F$10)-1)*costos!$G$11+((V30*F30)/(V$10*F$10)-1)*costos!$J$11+((V30*F30)/(V$10*F$10)-1)*costos!$K$11)))</f>
        <v>139.93012334084335</v>
      </c>
      <c r="CE30" s="92">
        <f>CE$10*(1+((H30/H$10-1)*costos!$B$12+((I30*F30)/(I$10*F$10)-1)*costos!$E$12+((J30*F30)/((J$10*F$10)-1)*costos!$F$12/3+((K30*F30)/(K$10*F$10)-1)*costos!$F$12/3+((U30*F30)/(U$10*F$10)-1)*costos!$F$12/3+((L30*F30)/(L$10*F$10)-1)*costos!$G$12+((W30*F30)/(W$10*F$10)-1)*costos!$J$12+((V30*F30)/(V$10*F$10)-1)*costos!$K$12)))</f>
        <v>127.76271325567976</v>
      </c>
      <c r="CF30" s="92">
        <f>CF$10*(1+((H30/H$10-1)*costos!$B$13+((I30*F30)/(I$10*F$10)-1)*costos!$E$13+((J30*F30)/((J$10*F$10)-1)*costos!$F$13/3+((K30*F30)/(K$10*F$10)-1)*costos!$F$13/3+((U30*F30)/(U$10*F$10)-1)*costos!$F$13/3+((L30*F30)/(L$10*F$10)-1)*costos!$G$13+((X30*F30)/(X$10*F$10)-1)*costos!$J$13+((V30*F30)/(V$10*F$10)-1)*costos!$K$13)))</f>
        <v>140.99401971760747</v>
      </c>
      <c r="CG30" s="92">
        <f t="shared" si="60"/>
        <v>137.42005049463285</v>
      </c>
      <c r="CH30" s="92">
        <f>CH$10*(1+((H30/H$10-1)*costos!$B$10+((I30*F30)/(I$10*F$10)-1)*costos!$E$10+((J30*F30)/((J$10*F$10)-1)*costos!$F$10/3+((K30*F30)/(K$10*F$10)-1)*costos!$F$10/3+((U30*F30)/(U$10*F$10)-1)*costos!$F$10/3+((L30*F30)/(L$10*F$10)-1)*costos!$G$10+((AF30)/(AF$10)-1)*costos!$J$10+((V30*F30)/(V$10*F$10)-1)*costos!$K$10)))</f>
        <v>157.02242196532734</v>
      </c>
      <c r="CI30" s="92">
        <f>CI$10*(1+((H30/H$10-1)*costos!$B$15+((I30*F30)/(I$10*F$10)-1)*costos!$E$15+((J30*F30)/((J$10*F$10)-1)*costos!$F$15/3+((K30*F30)/(K$10*F$10)-1)*costos!$F$15/3+((U30*F30)/(U$10*F$10)-1)*costos!$F$15/3+((L30*F30)/(L$10*F$10)-1)*costos!$G$15+((AV30)/(AV$10)-1)*costos!$J$15+((V30*F30)/(V$10*F$10)-1)*costos!$K$15)))</f>
        <v>152.84536679645348</v>
      </c>
      <c r="CJ30" s="92">
        <f>CJ$10*(1+((H30/H$10-1)*costos!$B$16+((I30*F30)/(I$10*F$10)-1)*costos!$E$16+((J30*F30)/((J$10*F$10)-1)*costos!$F$16/3+((K30*F30)/(K$10*F$10)-1)*costos!$F$16/3+((U30*F30)/(U$10*F$10)-1)*costos!$F$16/3+((L30*F30)/(L$10*F$10)-1)*costos!$G$16+((AW30)/(AW$10)-1)*costos!$J$16+((V30*F30)/(V$10*F$10)-1)*costos!$K$16)))</f>
        <v>152.16889327392559</v>
      </c>
      <c r="CK30" s="92">
        <f>CK$10*(1+((H30/H$10-1)*costos!$B$17+((I30*F30)/(I$10*F$10)-1)*costos!$E$17+((J30*F30)/((J$10*F$10)-1)*costos!$F$17/3+((K30*F30)/(K$10*F$10)-1)*costos!$F$17/3+((U30*F30)/(U$10*F$10)-1)*costos!$F$17/3+((L30*F30)/(L$10*F$10)-1)*costos!$G$17+((AX30)/(AX$10)-1)*costos!$J$17+((V30*F30)/(V$10*F$10)-1)*costos!$K$17)))</f>
        <v>148.60255707530732</v>
      </c>
      <c r="CL30" s="92">
        <f>CL$10*(1+((H30/H$10-1)*costos!$B$18+((I30*F30)/(I$10*F$10)-1)*costos!$E$18+((J30*F30)/((J$10*F$10)-1)*costos!$F$18/3+((K30*F30)/(K$10*F$10)-1)*costos!$F$18/3+((U30*F30)/(U$10*F$10)-1)*costos!$F$18/3+((L30*F30)/(L$10*F$10)-1)*costos!$G$18+((AY30)/(AY$10)-1)*costos!$J$18+((V30*F30)/(V$10*F$10)-1)*costos!$K$18)))</f>
        <v>186.30743743638854</v>
      </c>
      <c r="CM30" s="92">
        <f>CM$10*(1+((H30/H$10-1)*costos!$B$19+((I30*F30)/(I$10*F$10)-1)*costos!$E$19+((J30*F30)/((J$10*F$10)-1)*costos!$F$19/3+((K30*F30)/(K$10*F$10)-1)*costos!$F$19/3+((U30*F30)/(U$10*F$10)-1)*costos!$F$19/3+((L30*F30)/(L$10*F$10)-1)*costos!$G$19+((AZ30)/(AZ$10)-1)*costos!$J$19+((V30*F30)/(V$10*F$10)-1)*costos!$K$19)))</f>
        <v>144.8480062114686</v>
      </c>
      <c r="CN30" s="92">
        <f>CN$10*(1+((H30/H$10-1)*costos!$B$20+((I30*F30)/(I$10*F$10)-1)*costos!$E$20+((J30*F30)/((J$10*F$10)-1)*costos!$F$20/3+((K30*F30)/(K$10*F$10)-1)*costos!$F$20/3+((U30*F30)/(U$10*F$10)-1)*costos!$F$20/3+((L30*F30)/(L$10*F$10)-1)*costos!$G$20+((BA30)/(BA$10)-1)*costos!$J$20+((V30*F30)/(V$10*F$10)-1)*costos!$K$20)))</f>
        <v>141.99082529104513</v>
      </c>
      <c r="CO30" s="92">
        <f t="shared" si="61"/>
        <v>155.4372065035524</v>
      </c>
      <c r="CP30" s="92">
        <f>CP$10*(1+((H30/H$10-1)*costos!$B$22+((I30*F30)/(I$10*F$10)-1)*costos!$E$22+((J30*F30)/((J$10*F$10)-1)*costos!$F$22/3+((K30*F30)/(K$10*F$10)-1)*costos!$F$22/3+((U30*F30)/(U$10*F$10)-1)*costos!$F$22/3+((L30*F30)/(L$10*F$10)-1)*costos!$G$22+(((AVERAGE(AI30:AL30))/((AVERAGE(AI$10:AL$10))-1)*costos!$J$22+((V30*F30)/(V$10*F$10)-1)*costos!$K$22)))))</f>
        <v>196.09564097334012</v>
      </c>
      <c r="CQ30" s="92">
        <f>CQ$10*(1+((H30/H$10-1)*costos!$B$23+((I30*F30)/(I$10*F$10)-1)*costos!$E$23+((J30*F30)/((J$10*F$10)-1)*costos!$F$23/3+((K30*F30)/(K$10*F$10)-1)*costos!$F$23/3+((U30*F30)/(U$10*F$10)-1)*costos!$F$23/3+((L30*F30)/(L$10*F$10)-1)*costos!$G$23+((AN30)/(AN$10)-1)*costos!$J$23+((V30*F30)/(V$10*F$10)-1)*costos!$K$23)))</f>
        <v>153.79484948428723</v>
      </c>
      <c r="CR30" s="92">
        <f>CR$10*(1+((H30/H$10-1)*costos!$B$24+((I30*F30)/(I$10*F$10)-1)*costos!$E$24+((J30*F30)/((J$10*F$10)-1)*costos!$F$24/3+((K30*F30)/(K$10*F$10)-1)*costos!$F$24/3+((U30*F30)/(U$10*F$10)-1)*costos!$F$24/3+((L30*F30)/(L$10*F$10)-1)*costos!$G$24+((AO30)/(AO$10)-1)*costos!$J$24+((V30*F30)/(V$10*F$10)-1)*costos!$K$24)))</f>
        <v>152.91727548675797</v>
      </c>
      <c r="CS30" s="92">
        <f t="shared" si="62"/>
        <v>153.35606248552261</v>
      </c>
      <c r="CT30" s="92">
        <f>CT$10*(1+((H30/H$10-1)*costos!$B$25+((I30*F30)/(I$10*F$10)-1)*costos!$E$25+((J30*F30)/((J$10*F$10)-1)*costos!$F$25/3+((K30*F30)/(K$10*F$10)-1)*costos!$F$25/3+((U30*F30)/(U$10*F$10)-1)*costos!$F$25/3+((L30*F30)/(L$10*F$10)-1)*costos!$G$25+((AQ30)/(AQ$10)-1)*costos!$J$25+((V30*F30)/(V$10*F$10)-1)*costos!$K$25)))</f>
        <v>140.72332574026416</v>
      </c>
      <c r="CU30" s="92">
        <f>CU$10*(1+((H30/H$10-1)*costos!$B$26+((I30*F30)/(I$10*F$10)-1)*costos!$E$26+((J30*F30)/((J$10*F$10)-1)*costos!$F$26/3+((K30*F30)/(K$10*F$10)-1)*costos!$F$26/3+((U30*F30)/(U$10*F$10)-1)*costos!$F$26/3+((L30*F30)/(L$10*F$10)-1)*costos!$G$26+((AR30)/(AR$10)-1)*costos!$J$26+((V30*F30)/(V$10*F$10)-1)*costos!$K$26)))</f>
        <v>140.16280968647754</v>
      </c>
      <c r="CV30" s="92">
        <f>CV$10*(1+((H30/H$10-1)*costos!$B$27+((I30*F30)/(I$10*F$10)-1)*costos!$E$27+((J30*F30)/((J$10*F$10)-1)*costos!$F$27/3+((K30*F30)/(K$10*F$10)-1)*costos!$F$27/3+((U30*F30)/(U$10*F$10)-1)*costos!$F$27/3+((L30*F30)/(L$10*F$10)-1)*costos!$G$27+((AS30)/(AS$10)-1)*costos!$J$27+((V30*F30)/(V$10*F$10)-1)*costos!$K$27)))</f>
        <v>139.37939116522185</v>
      </c>
      <c r="CW30" s="92">
        <f>CW$10*(1+((H30/H$10-1)*costos!$B$28+((I30*F30)/(I$10*F$10)-1)*costos!$E$28+((J30*F30)/((J$10*F$10)-1)*costos!$F$28/3+((K30*F30)/(K$10*F$10)-1)*costos!$F$28/3+((U30*F30)/(U$10*F$10)-1)*costos!$F$28/3+((L30*F30)/(L$10*F$10)-1)*costos!$G$28+((AS30)/(AS$10)-1)*costos!$J$28+((V30*F30)/(V$10*F$10)-1)*costos!$K$28)))</f>
        <v>139.37939116522185</v>
      </c>
      <c r="CX30" s="92">
        <f t="shared" si="63"/>
        <v>139.64053067230705</v>
      </c>
      <c r="CY30" s="92">
        <f>CY$10*(1+((H30/H$10-1)*costos!$B$32+((I30*F30)/(I$10*F$10)-1)*costos!$E$32+((J30*F30)/((J$10*F$10)-1)*costos!$F$32/3+((K30*F30)/(K$10*F$10)-1)*costos!$F$32/3+((U30*F30)/(U$10*F$10)-1)*costos!$F$32/3+((L30*F30)/(L$10*F$10)-1)*costos!$G$32+((AG30)/(AG$10)-1)*costos!$J$32+((V30*F30)/(V$10*F$10)-1)*costos!$K$32)))</f>
        <v>156.42127900305468</v>
      </c>
      <c r="CZ30" s="69">
        <f>CZ$10*(1+((H30/H$10-1)*costos!$B$31+((I30*F30)/(I$10*F$10)-1)*costos!$E$30+((J30*F30)/((J$10*F$10)-1)*costos!$F$30/3+((K30*F30)/(K$10*F$10)-1)*costos!$F$30/3+((U30*F30)/(U$10*F$10)-1)*costos!$F$30/3+((L30*F30)/(L$10*F$10)-1)*costos!$G$30+((BG30)/(BG$10)-1)*costos!$J$30+((V30*F30)/(V$10*F$10)-1)*costos!$K$30)))</f>
        <v>162.7893526767665</v>
      </c>
      <c r="DA30" s="69">
        <f>DA$10*(1+((H30/H$10-1)*costos!$B$31+((I30*F30)/(I$10*F$10)-1)*costos!$E$31+((J30*F30)/((J$10*F$10)-1)*costos!$F$31/3+((K30*F30)/(K$10*F$10)-1)*costos!$F$31/3+((U30*F30)/(U$10*F$10)-1)*costos!$F$31/3+((L30*F30)/(L$10*F$10)-1)*costos!$G$31+((BJ30)/(BJ$10)-1)*costos!$J$31+((V30*F30)/(V$10*F$10)-1)*costos!$K$31)))</f>
        <v>155.05805906023434</v>
      </c>
      <c r="DB30" s="69">
        <f>DB$10*(1+((H30/H$10-1)*costos!$B$36+((I30*F30)/(I$10*F$10)-1)*costos!$E$36+((J30*F30)/((J$10*F$10)-1)*costos!$F$36/3+((K30*F30)/(K$10*F$10)-1)*costos!$F$36/3+((U30*F30)/(U$10*F$10)-1)*costos!$F$36/3+((L30*F30)/(L$10*F$10)-1)*costos!$G$36+((BK30)/(BK$10)-1)*costos!$J$36+((V30*F30)/(V$10*F$10)-1)*costos!$K$36)))</f>
        <v>148.37007333415886</v>
      </c>
      <c r="DC30" s="69">
        <f>DC$10*(1+((H30/H$10-1)*costos!$B$37+((I30*F30)/(I$10*F$10)-1)*costos!$E$37+((U30*F30)/(U$10*F$10)-1)*costos!$F$37+((L30*F30)/(L$10*F$10)-1)*costos!$G$37+((BN30)/(BN$10)-1)*costos!$J$37+((V30*F30)/(V$10*F$10)-1)*costos!$K$37))</f>
        <v>136.32462817347039</v>
      </c>
      <c r="DD30" s="69">
        <f>DD$10*(1+((H30/H$10-1)*costos!$B$39+((I30*F30)/(I$10*F$10)-1)*costos!$E$39+((U30*F30)/(U$10*F$10)-1)*costos!$F$39+((L30*F30)/(L$10*F$10)-1)*costos!$G$39+((BR30)/(BR$10)-1)*costos!$J$39+((V30*F30)/(V$10*F$10)-1)*costos!$K$39))</f>
        <v>134.04111556355895</v>
      </c>
      <c r="DE30" s="69">
        <f>DD$10*(1+((H30/H$10-1)*costos!$B$35+((I30*F30)/(I$10*F$10)-1)*costos!$E$35+((U30*F30)/(U$10*F$10)-1)*costos!$F$35+((L30*F30)/(L$10*F$10)-1)*costos!$G$35+((BR30)/(BR$10)-1)*costos!$J$35+((V30*F30)/(V$10*F$10)-1)*costos!$K$35))</f>
        <v>132.04735506597171</v>
      </c>
      <c r="DF30" s="69">
        <f>DF$10*(1+((H30/H$10-1)*costos!$B$40+((I30*F30)/(I$10*F$10)-1)*costos!$E$40+((U30*F30)/(U$10*F$10)-1)*costos!$F$40+((L30*F30)/(L$10*F$10)-1)*costos!$G$40+((BP30)/(BP$10)-1)*costos!$J$40+((V30*F30)/(V$10*F$10)-1)*costos!$K$40))</f>
        <v>130.90634339848546</v>
      </c>
      <c r="DG30" s="92">
        <f t="shared" si="64"/>
        <v>131.47684923222857</v>
      </c>
      <c r="DH30" s="69">
        <f>DH$10*(1+((H30/H$10-1)*costos!$B$34+((I30*F30)/(I$10*F$10)-1)*costos!$E$34+((J30*F30)/((J$10*F$10)-1)*costos!$F$34/3+((K30*F30)/(K$10*F$10)-1)*costos!$F$34/3+((U30*F30)/(U$10*F$10)-1)*costos!$F$34/3+((L30*F30)/(L$10*F$10)-1)*costos!$G$34+((BV30)/(BV$10)-1)*costos!$J$34+((V30*F30)/(V$10*F$10)-1)*costos!$K$34)))</f>
        <v>154.50963344338194</v>
      </c>
      <c r="DI30" s="69">
        <f>DI$10*(1+((H30/H$10-1)*costos!$B$38+((I30*F30)/(I$10*F$10)-1)*costos!$E$38+((J30*F30)/((J$10*F$10)-1)*costos!$F$38/3+((K30*F30)/(K$10*F$10)-1)*costos!$F$38/3+((U30*F30)/(U$10*F$10)-1)*costos!$F$38/3+((L30*F30)/(L$10*F$10)-1)*costos!$G$38+((BU30)/(BU$10)-1)*costos!$J$38+((V30*F30)/(V$10*F$10)-1)*costos!$K$38)))</f>
        <v>155.22695254900412</v>
      </c>
      <c r="DK30" s="1">
        <v>258900</v>
      </c>
      <c r="DL30" s="1" t="s">
        <v>106</v>
      </c>
      <c r="DM30" s="82">
        <f t="shared" si="155"/>
        <v>206500</v>
      </c>
      <c r="DN30" s="82" t="str">
        <f t="shared" si="155"/>
        <v>2016-17</v>
      </c>
      <c r="DO30" s="1">
        <v>800000</v>
      </c>
      <c r="DP30" s="1" t="s">
        <v>6</v>
      </c>
      <c r="DQ30" s="1">
        <v>1800000</v>
      </c>
      <c r="DR30" s="1" t="s">
        <v>6</v>
      </c>
      <c r="DS30" s="1">
        <v>5400000</v>
      </c>
      <c r="DT30" s="1" t="s">
        <v>6</v>
      </c>
      <c r="DU30" s="1">
        <v>19200000</v>
      </c>
      <c r="DV30" s="1" t="s">
        <v>106</v>
      </c>
      <c r="DW30" s="82">
        <f t="shared" si="179"/>
        <v>800000</v>
      </c>
      <c r="DX30" s="82" t="str">
        <f t="shared" si="179"/>
        <v>2016-17</v>
      </c>
      <c r="DY30" s="1">
        <v>5930000</v>
      </c>
      <c r="DZ30" s="1" t="s">
        <v>6</v>
      </c>
      <c r="EA30" s="79">
        <f t="shared" si="67"/>
        <v>33930000</v>
      </c>
      <c r="EB30" s="82">
        <f t="shared" si="156"/>
        <v>364191</v>
      </c>
      <c r="EC30" s="82" t="str">
        <f t="shared" si="157"/>
        <v>2016-17</v>
      </c>
      <c r="ED30" s="83">
        <f t="shared" si="157"/>
        <v>165327</v>
      </c>
      <c r="EE30" s="143">
        <f t="shared" si="157"/>
        <v>2016</v>
      </c>
      <c r="EF30" s="83">
        <f t="shared" si="121"/>
        <v>220848</v>
      </c>
      <c r="EG30" s="143">
        <f t="shared" si="122"/>
        <v>2017</v>
      </c>
      <c r="EH30" s="83">
        <v>54163380</v>
      </c>
      <c r="EI30" s="143">
        <v>2017</v>
      </c>
      <c r="EJ30" s="83">
        <f t="shared" si="169"/>
        <v>5119438</v>
      </c>
      <c r="EK30" s="143">
        <v>2023</v>
      </c>
      <c r="EL30" s="82">
        <f t="shared" si="175"/>
        <v>14746566</v>
      </c>
      <c r="EM30" s="144">
        <f t="shared" si="175"/>
        <v>2017</v>
      </c>
      <c r="EN30" s="82">
        <f t="shared" si="175"/>
        <v>3364725</v>
      </c>
      <c r="EO30" s="144">
        <f t="shared" si="175"/>
        <v>2017</v>
      </c>
      <c r="EP30" s="82">
        <f t="shared" si="118"/>
        <v>6552</v>
      </c>
      <c r="EQ30" s="83">
        <f t="shared" si="100"/>
        <v>3003036</v>
      </c>
      <c r="ER30" s="1">
        <v>33739</v>
      </c>
      <c r="ES30" s="82"/>
      <c r="ET30" s="83">
        <f t="shared" si="101"/>
        <v>23614</v>
      </c>
      <c r="EU30" s="83">
        <f t="shared" si="101"/>
        <v>16845</v>
      </c>
      <c r="EV30" s="83">
        <f t="shared" si="101"/>
        <v>9213</v>
      </c>
      <c r="EW30" s="83">
        <f t="shared" si="101"/>
        <v>17766</v>
      </c>
      <c r="EX30" s="79">
        <f t="shared" si="72"/>
        <v>67438</v>
      </c>
      <c r="EY30" s="83">
        <f t="shared" si="123"/>
        <v>19284</v>
      </c>
      <c r="EZ30" s="82">
        <f t="shared" si="123"/>
        <v>74845</v>
      </c>
      <c r="FA30" s="1">
        <f t="shared" si="103"/>
        <v>20879</v>
      </c>
      <c r="FB30" s="1">
        <f t="shared" si="103"/>
        <v>19496</v>
      </c>
      <c r="FC30" s="79">
        <f t="shared" si="73"/>
        <v>40375</v>
      </c>
      <c r="FD30" s="1">
        <f t="shared" si="158"/>
        <v>65075.3</v>
      </c>
      <c r="FE30" s="1"/>
      <c r="FF30" s="1">
        <v>630040</v>
      </c>
      <c r="FG30" s="1" t="s">
        <v>106</v>
      </c>
      <c r="FH30" s="82">
        <f t="shared" si="180"/>
        <v>1328340</v>
      </c>
      <c r="FI30" s="82" t="str">
        <f t="shared" si="180"/>
        <v>2016-17</v>
      </c>
      <c r="FJ30" s="82">
        <f t="shared" si="159"/>
        <v>3000000</v>
      </c>
      <c r="FK30" s="82" t="str">
        <f t="shared" si="160"/>
        <v>2016-17</v>
      </c>
      <c r="FL30" s="82">
        <f t="shared" si="170"/>
        <v>3300000</v>
      </c>
      <c r="FM30" s="82" t="str">
        <f t="shared" si="170"/>
        <v>2016-17</v>
      </c>
      <c r="FN30" s="82">
        <f>+FN29</f>
        <v>39000000</v>
      </c>
      <c r="FO30" s="82" t="str">
        <f>+FO29</f>
        <v>2016-17</v>
      </c>
      <c r="FP30" s="82">
        <f t="shared" si="176"/>
        <v>57500000</v>
      </c>
      <c r="FQ30" s="82" t="str">
        <f t="shared" si="177"/>
        <v>2016-17</v>
      </c>
      <c r="FR30" s="82">
        <f t="shared" si="181"/>
        <v>3200000</v>
      </c>
      <c r="FS30" s="82" t="str">
        <f t="shared" si="182"/>
        <v>2016-17</v>
      </c>
      <c r="FT30" s="1">
        <v>18395000</v>
      </c>
      <c r="FU30" s="83" t="str">
        <f t="shared" si="161"/>
        <v>2016-17</v>
      </c>
      <c r="FV30" s="79">
        <f t="shared" si="76"/>
        <v>124395000</v>
      </c>
      <c r="FW30" s="82">
        <f t="shared" si="183"/>
        <v>1081031.1999999997</v>
      </c>
      <c r="FX30" s="82" t="str">
        <f t="shared" si="184"/>
        <v>2016-17</v>
      </c>
      <c r="FY30" s="1">
        <v>21572.632000000001</v>
      </c>
      <c r="FZ30" s="79">
        <f t="shared" si="135"/>
        <v>675226.79</v>
      </c>
      <c r="GA30" s="86" t="str">
        <f t="shared" si="136"/>
        <v>oct16 sept17</v>
      </c>
      <c r="GB30" s="1">
        <v>19652055</v>
      </c>
      <c r="GC30" s="6">
        <v>2017</v>
      </c>
      <c r="GD30" s="1">
        <f t="shared" si="165"/>
        <v>1675851</v>
      </c>
      <c r="GE30" s="1">
        <v>459665</v>
      </c>
      <c r="GF30" s="1">
        <v>1024918</v>
      </c>
      <c r="GG30" s="1">
        <f t="shared" si="166"/>
        <v>112337</v>
      </c>
      <c r="GH30" s="79">
        <f t="shared" si="78"/>
        <v>1596920</v>
      </c>
      <c r="GI30" s="82">
        <f t="shared" si="79"/>
        <v>1302556</v>
      </c>
      <c r="GJ30" s="83">
        <f t="shared" si="162"/>
        <v>665408</v>
      </c>
      <c r="GK30" s="83">
        <f t="shared" si="162"/>
        <v>660753</v>
      </c>
      <c r="GL30" s="83">
        <f t="shared" si="162"/>
        <v>290290.46000000002</v>
      </c>
      <c r="GM30" s="83">
        <f t="shared" si="162"/>
        <v>263224.75</v>
      </c>
      <c r="GN30" s="79">
        <f t="shared" si="81"/>
        <v>1879676.21</v>
      </c>
      <c r="GO30" s="83">
        <f t="shared" si="107"/>
        <v>193430</v>
      </c>
      <c r="GP30" s="83">
        <f t="shared" si="107"/>
        <v>76379</v>
      </c>
      <c r="GQ30" s="1"/>
      <c r="GR30" s="1">
        <f t="shared" si="150"/>
        <v>42700</v>
      </c>
      <c r="GS30" s="79">
        <f t="shared" si="83"/>
        <v>42700</v>
      </c>
      <c r="GT30" s="83">
        <f t="shared" si="108"/>
        <v>2459310</v>
      </c>
      <c r="GU30" s="1">
        <v>14461</v>
      </c>
      <c r="GV30" s="1">
        <v>29520</v>
      </c>
      <c r="GW30" s="79">
        <f t="shared" si="151"/>
        <v>1198131</v>
      </c>
      <c r="GX30" s="83">
        <v>32330.198</v>
      </c>
      <c r="GY30" s="83" t="s">
        <v>328</v>
      </c>
      <c r="GZ30" s="83">
        <f t="shared" si="109"/>
        <v>117154</v>
      </c>
      <c r="HA30" s="1">
        <v>237000</v>
      </c>
      <c r="HB30" s="79">
        <f t="shared" si="137"/>
        <v>2779000</v>
      </c>
      <c r="HC30" s="86" t="str">
        <f t="shared" si="138"/>
        <v>oct16 sept17</v>
      </c>
      <c r="HD30" s="1">
        <v>47546</v>
      </c>
      <c r="HE30" s="79">
        <f t="shared" si="139"/>
        <v>554148</v>
      </c>
      <c r="HF30" s="86" t="str">
        <f t="shared" si="140"/>
        <v>oct16 sept17</v>
      </c>
      <c r="HG30" s="1">
        <v>165000</v>
      </c>
      <c r="HH30" s="79">
        <f t="shared" si="141"/>
        <v>2122000</v>
      </c>
      <c r="HI30" s="86" t="str">
        <f t="shared" si="142"/>
        <v>oct16 sept17</v>
      </c>
      <c r="HJ30" s="1">
        <v>86634</v>
      </c>
      <c r="HK30" s="79">
        <f t="shared" si="143"/>
        <v>44558.520000000004</v>
      </c>
      <c r="HL30" s="86" t="str">
        <f t="shared" si="144"/>
        <v>oct16 sept17</v>
      </c>
      <c r="HM30" s="79">
        <f t="shared" si="86"/>
        <v>2166558.52</v>
      </c>
      <c r="HN30" s="87">
        <v>-1.8157150288668631E-2</v>
      </c>
      <c r="HO30" s="1">
        <f t="shared" si="152"/>
        <v>891316938.96794665</v>
      </c>
      <c r="HP30" s="79">
        <f t="shared" si="153"/>
        <v>9812.5280714000728</v>
      </c>
      <c r="HQ30" s="86" t="str">
        <f t="shared" si="145"/>
        <v>oct16 sept17</v>
      </c>
      <c r="HR30" s="3"/>
      <c r="HS30" s="1"/>
      <c r="HT30" s="1"/>
      <c r="HU30" s="83">
        <f t="shared" si="174"/>
        <v>680000</v>
      </c>
      <c r="HV30" s="83" t="str">
        <f t="shared" si="174"/>
        <v>2016-17</v>
      </c>
      <c r="HW30" s="1">
        <v>1430000</v>
      </c>
      <c r="HX30" s="1" t="s">
        <v>106</v>
      </c>
      <c r="HY30" s="1">
        <v>3350000</v>
      </c>
      <c r="HZ30" s="1" t="s">
        <v>106</v>
      </c>
      <c r="IA30" s="1">
        <f t="shared" si="171"/>
        <v>19080000</v>
      </c>
      <c r="IB30" s="1" t="s">
        <v>106</v>
      </c>
      <c r="IC30" s="1">
        <v>47130000</v>
      </c>
      <c r="ID30" s="1" t="s">
        <v>106</v>
      </c>
      <c r="IE30" s="1">
        <f t="shared" si="172"/>
        <v>2450000</v>
      </c>
      <c r="IF30" s="1" t="s">
        <v>106</v>
      </c>
      <c r="IG30" s="1">
        <f t="shared" si="154"/>
        <v>6760000</v>
      </c>
      <c r="IH30" s="1" t="s">
        <v>106</v>
      </c>
      <c r="II30" s="79">
        <f t="shared" si="87"/>
        <v>80200000</v>
      </c>
      <c r="IJ30" s="97">
        <f t="shared" si="167"/>
        <v>1.5629261117125455</v>
      </c>
      <c r="IK30" s="1" t="s">
        <v>106</v>
      </c>
      <c r="IL30" s="7">
        <v>41.77</v>
      </c>
      <c r="IM30" s="7">
        <v>57.124715096184744</v>
      </c>
      <c r="IN30" s="7">
        <v>197</v>
      </c>
      <c r="IO30" s="695">
        <v>13.86</v>
      </c>
      <c r="IP30" s="98">
        <f t="shared" si="163"/>
        <v>5.6020702831241165</v>
      </c>
      <c r="IQ30" s="93">
        <v>20.2</v>
      </c>
      <c r="IR30" s="93">
        <f t="shared" si="168"/>
        <v>3.01</v>
      </c>
      <c r="IS30" s="93">
        <f t="shared" si="168"/>
        <v>5.59</v>
      </c>
      <c r="IT30" s="93">
        <f t="shared" si="168"/>
        <v>11.85</v>
      </c>
      <c r="IU30" s="93">
        <f t="shared" si="168"/>
        <v>0.79</v>
      </c>
      <c r="IV30" s="94">
        <f t="shared" si="89"/>
        <v>18.229999999999997</v>
      </c>
      <c r="IW30" s="84"/>
      <c r="IX30" s="84"/>
      <c r="IY30" s="105">
        <v>1.84</v>
      </c>
      <c r="IZ30" s="161">
        <v>0.3</v>
      </c>
      <c r="JA30" s="570"/>
      <c r="JB30" s="84">
        <v>41.09</v>
      </c>
      <c r="JC30" s="84"/>
      <c r="JD30" s="84"/>
      <c r="JE30" s="1"/>
      <c r="JF30" s="2">
        <v>7.3208468599999978</v>
      </c>
      <c r="JG30" s="2">
        <v>15.594677989999999</v>
      </c>
      <c r="JH30" s="2">
        <v>49.866683370000004</v>
      </c>
      <c r="JI30" s="2">
        <v>84.54171113000001</v>
      </c>
      <c r="JJ30" s="2">
        <v>317.23608325000004</v>
      </c>
      <c r="JK30" s="2">
        <v>93.280373760000018</v>
      </c>
      <c r="JL30" s="2">
        <v>1452.7027517400002</v>
      </c>
      <c r="JM30" s="2">
        <v>7.3279745799999993</v>
      </c>
      <c r="JN30" s="2">
        <v>133.74025220999999</v>
      </c>
      <c r="JO30" s="2">
        <v>15.578975000000002</v>
      </c>
      <c r="JP30" s="2">
        <v>0</v>
      </c>
      <c r="JQ30" s="2">
        <v>7.3639999999999997E-2</v>
      </c>
      <c r="JR30" s="2">
        <v>0.94153887000000003</v>
      </c>
      <c r="JS30" s="2">
        <v>0</v>
      </c>
      <c r="JT30" s="2">
        <v>1.5440000000000001E-2</v>
      </c>
      <c r="JU30" s="2">
        <v>90.038694350000014</v>
      </c>
      <c r="JV30" s="2">
        <v>7.6872591899999989</v>
      </c>
      <c r="JW30" s="2">
        <v>7.2727987300000008</v>
      </c>
      <c r="JX30" s="2">
        <v>17.620226300000002</v>
      </c>
      <c r="JY30" s="2">
        <v>1.9799627999999998</v>
      </c>
      <c r="JZ30" s="2">
        <v>7.4310818799999998</v>
      </c>
      <c r="KA30" s="2">
        <v>0.65864783999999998</v>
      </c>
      <c r="KB30" s="2">
        <v>21.88547835</v>
      </c>
      <c r="KC30" s="2">
        <v>42.741101440000001</v>
      </c>
      <c r="KD30" s="2">
        <v>8.7678547000000009</v>
      </c>
      <c r="KE30" s="2">
        <v>15.36128937</v>
      </c>
      <c r="KF30" s="2">
        <v>27.588364280000004</v>
      </c>
      <c r="KG30" s="2">
        <v>230.64112532000001</v>
      </c>
      <c r="KH30" s="2">
        <v>54.265156459999993</v>
      </c>
      <c r="KI30" s="2">
        <v>14.954563559999999</v>
      </c>
      <c r="KJ30" s="2">
        <v>1.9699391800000001</v>
      </c>
      <c r="KK30" s="2">
        <v>10.06847497</v>
      </c>
      <c r="KL30" s="2">
        <v>0.67378727000000005</v>
      </c>
      <c r="KM30" s="2">
        <v>3.3371920499999996</v>
      </c>
      <c r="KN30" s="2">
        <v>0.43523557999999996</v>
      </c>
      <c r="KO30" s="2">
        <v>2.9996949700000002</v>
      </c>
      <c r="KP30" s="2">
        <v>0.22370202</v>
      </c>
      <c r="KQ30" s="2">
        <v>29.809557559999998</v>
      </c>
      <c r="KR30" s="2">
        <v>1.13328E-3</v>
      </c>
      <c r="KS30" s="2">
        <v>0.12950915000000002</v>
      </c>
      <c r="KT30" s="2">
        <v>3.4666506799999999</v>
      </c>
      <c r="KU30" s="2">
        <v>0.53819947000000001</v>
      </c>
      <c r="KV30" s="2">
        <v>0.33123574</v>
      </c>
      <c r="KW30" s="2">
        <v>2.5760914399999999</v>
      </c>
      <c r="KX30" s="2">
        <v>0</v>
      </c>
      <c r="KY30" s="2">
        <v>4.5643400000000001E-3</v>
      </c>
      <c r="KZ30" s="2">
        <v>7.8138527199999999</v>
      </c>
      <c r="LA30" s="2">
        <v>1.8017025299999998</v>
      </c>
      <c r="LB30" s="2">
        <v>0</v>
      </c>
      <c r="LC30" s="2">
        <v>6.04127E-2</v>
      </c>
      <c r="LD30" s="2">
        <v>0</v>
      </c>
      <c r="LE30" s="2">
        <v>0.80210568000000004</v>
      </c>
      <c r="LF30" s="2">
        <v>0.26178610000000002</v>
      </c>
      <c r="LG30" s="2">
        <v>22.62695699</v>
      </c>
      <c r="LH30" s="2">
        <v>3.8677349400000001</v>
      </c>
      <c r="LI30" s="2">
        <v>8.2586969999999996E-2</v>
      </c>
      <c r="LJ30" s="2">
        <v>2.0908099999999998E-3</v>
      </c>
      <c r="LK30" s="2">
        <v>2.0553048499999997</v>
      </c>
      <c r="LL30" s="2">
        <v>2.99806244</v>
      </c>
      <c r="LM30" s="2">
        <v>2.2101356800000005</v>
      </c>
      <c r="LN30" s="2">
        <v>0.45920335999999995</v>
      </c>
      <c r="LO30" s="2">
        <v>8.0881299099999993</v>
      </c>
      <c r="LQ30" s="85">
        <f t="shared" si="90"/>
        <v>2045.4154562800004</v>
      </c>
      <c r="LR30" s="85">
        <f t="shared" si="91"/>
        <v>1.0306188699999999</v>
      </c>
      <c r="LS30" s="85">
        <f t="shared" si="92"/>
        <v>14.960057920000001</v>
      </c>
      <c r="LT30" s="85">
        <f t="shared" si="93"/>
        <v>10.06969252</v>
      </c>
      <c r="LU30" s="85">
        <f t="shared" si="94"/>
        <v>36.712322589999992</v>
      </c>
      <c r="LV30" s="85">
        <f t="shared" si="95"/>
        <v>2.9118915199999997</v>
      </c>
      <c r="LW30" s="85">
        <f t="shared" si="96"/>
        <v>1.8017025299999998</v>
      </c>
      <c r="LX30" s="85">
        <f t="shared" si="97"/>
        <v>1.0638917800000001</v>
      </c>
      <c r="LZ30" s="131">
        <v>21.89</v>
      </c>
      <c r="MA30" s="171">
        <v>21.49</v>
      </c>
      <c r="MB30"/>
      <c r="MC30"/>
      <c r="MD30"/>
      <c r="MF30"/>
      <c r="MG30"/>
      <c r="MH30" s="83">
        <v>39.71</v>
      </c>
      <c r="MI30" s="83">
        <v>10.66</v>
      </c>
      <c r="MJ30" s="83">
        <v>14.37</v>
      </c>
      <c r="MK30"/>
      <c r="ML30" s="83">
        <v>12.9</v>
      </c>
      <c r="MM30" s="83">
        <v>38.97</v>
      </c>
      <c r="MN30" s="83"/>
      <c r="MO30" s="83">
        <v>15.13</v>
      </c>
      <c r="MP30" s="83">
        <v>42.39</v>
      </c>
      <c r="MQ30" s="83">
        <v>34.880000000000003</v>
      </c>
      <c r="MR30"/>
      <c r="MT30" s="83"/>
      <c r="MU30" s="83">
        <v>14.36</v>
      </c>
      <c r="MV30"/>
      <c r="MW30"/>
      <c r="MX30"/>
      <c r="MY30" s="83">
        <v>32.200000000000003</v>
      </c>
      <c r="MZ30" s="83">
        <v>101.2</v>
      </c>
      <c r="NA30" s="83">
        <v>38.85</v>
      </c>
      <c r="NB30" s="83">
        <v>128.19</v>
      </c>
      <c r="NC30" s="83">
        <v>21.81</v>
      </c>
      <c r="ND30"/>
      <c r="NE30" s="1">
        <v>112.42</v>
      </c>
    </row>
    <row r="31" spans="1:369">
      <c r="A31" s="38">
        <f t="shared" si="32"/>
        <v>43009</v>
      </c>
      <c r="B31" s="36">
        <v>10</v>
      </c>
      <c r="C31" s="36">
        <v>2017</v>
      </c>
      <c r="D31" s="36">
        <f t="shared" si="50"/>
        <v>31</v>
      </c>
      <c r="E31" s="38">
        <f t="shared" si="33"/>
        <v>43009</v>
      </c>
      <c r="F31" s="7">
        <v>17.669047619047621</v>
      </c>
      <c r="G31" s="7">
        <v>119.4</v>
      </c>
      <c r="H31" s="1">
        <f>[2]NACIONALES!$D19</f>
        <v>12648.96</v>
      </c>
      <c r="I31" s="7">
        <v>104</v>
      </c>
      <c r="J31" s="7">
        <v>410</v>
      </c>
      <c r="K31" s="7">
        <v>2.6</v>
      </c>
      <c r="L31" s="7">
        <v>34.4</v>
      </c>
      <c r="N31" s="5">
        <v>1.5073809523809523</v>
      </c>
      <c r="O31" s="5">
        <v>1.3753809523809524</v>
      </c>
      <c r="P31" s="78">
        <f t="shared" si="34"/>
        <v>25.467828684807259</v>
      </c>
      <c r="Q31" s="6">
        <v>415</v>
      </c>
      <c r="R31" s="79">
        <f t="shared" si="35"/>
        <v>4150</v>
      </c>
      <c r="S31" s="6">
        <v>164.57142857142858</v>
      </c>
      <c r="T31" s="6">
        <v>322.38095238095241</v>
      </c>
      <c r="U31" s="143">
        <v>149.18571428571428</v>
      </c>
      <c r="V31" s="6">
        <v>265.14285714285717</v>
      </c>
      <c r="W31" s="6">
        <v>118.04761904761905</v>
      </c>
      <c r="X31" s="6">
        <v>170.87142857142857</v>
      </c>
      <c r="Y31" s="79">
        <f t="shared" si="36"/>
        <v>2907.8204081632657</v>
      </c>
      <c r="Z31" s="79">
        <f t="shared" si="37"/>
        <v>5696.1643990929715</v>
      </c>
      <c r="AA31" s="79">
        <f t="shared" si="38"/>
        <v>2635.9694897959184</v>
      </c>
      <c r="AB31" s="79">
        <f t="shared" si="39"/>
        <v>4684.8217687074839</v>
      </c>
      <c r="AC31" s="79">
        <f t="shared" si="40"/>
        <v>2085.7890022675738</v>
      </c>
      <c r="AD31" s="79">
        <f t="shared" si="41"/>
        <v>3019.1354081632658</v>
      </c>
      <c r="AE31" s="79">
        <f t="shared" si="42"/>
        <v>3504.95007936508</v>
      </c>
      <c r="AF31" s="1">
        <v>12210.9</v>
      </c>
      <c r="AG31" s="1">
        <v>6300</v>
      </c>
      <c r="AH31" s="1">
        <v>23300</v>
      </c>
      <c r="AI31" s="5">
        <v>13.64</v>
      </c>
      <c r="AJ31" s="5">
        <v>7.12</v>
      </c>
      <c r="AK31" s="5">
        <v>8.4</v>
      </c>
      <c r="AL31" s="5">
        <v>5.78</v>
      </c>
      <c r="AM31" s="78">
        <f t="shared" si="43"/>
        <v>10.130400000000002</v>
      </c>
      <c r="AN31" s="7">
        <v>555.32934131736522</v>
      </c>
      <c r="AO31" s="7">
        <v>314.47157894736841</v>
      </c>
      <c r="AP31" s="78">
        <f t="shared" si="146"/>
        <v>314.47157894736841</v>
      </c>
      <c r="AQ31" s="7">
        <v>281.42105263157896</v>
      </c>
      <c r="AR31" s="7">
        <v>148.68421052631581</v>
      </c>
      <c r="AS31" s="7">
        <v>123.22222222222223</v>
      </c>
      <c r="AT31" s="7">
        <v>235.94736842105263</v>
      </c>
      <c r="AU31" s="78">
        <f t="shared" si="53"/>
        <v>169.28460038986353</v>
      </c>
      <c r="AV31" s="7">
        <v>132.86738317757008</v>
      </c>
      <c r="AW31" s="7">
        <v>297.98571428571421</v>
      </c>
      <c r="AX31" s="7">
        <v>230.5104761904762</v>
      </c>
      <c r="AY31" s="7">
        <v>354.61182242990645</v>
      </c>
      <c r="AZ31" s="7">
        <v>213.40809523809526</v>
      </c>
      <c r="BA31" s="7">
        <v>104.95661016949151</v>
      </c>
      <c r="BB31" s="94">
        <f t="shared" si="45"/>
        <v>241.65008205332578</v>
      </c>
      <c r="BC31" s="68">
        <f t="shared" si="185"/>
        <v>632</v>
      </c>
      <c r="BD31" s="68">
        <f t="shared" si="185"/>
        <v>776</v>
      </c>
      <c r="BE31" s="7">
        <f t="shared" si="185"/>
        <v>675</v>
      </c>
      <c r="BF31" s="7">
        <f t="shared" si="185"/>
        <v>400</v>
      </c>
      <c r="BG31" s="94">
        <f t="shared" si="56"/>
        <v>620.75</v>
      </c>
      <c r="BH31" s="7">
        <v>43.18</v>
      </c>
      <c r="BI31" s="7">
        <f>+BI30+2.1</f>
        <v>14.866</v>
      </c>
      <c r="BJ31" s="78">
        <f t="shared" si="57"/>
        <v>58.045999999999999</v>
      </c>
      <c r="BK31" s="7">
        <v>33.954999999999998</v>
      </c>
      <c r="BL31" s="7">
        <v>33.923999999999999</v>
      </c>
      <c r="BM31" s="94">
        <f t="shared" si="58"/>
        <v>33.939499999999995</v>
      </c>
      <c r="BN31" s="5">
        <v>5.66</v>
      </c>
      <c r="BO31" s="105">
        <v>22.88333333333334</v>
      </c>
      <c r="BP31" s="80">
        <v>11.537999999999998</v>
      </c>
      <c r="BQ31" s="94">
        <f t="shared" si="59"/>
        <v>21.748800000000006</v>
      </c>
      <c r="BR31" s="7">
        <v>19.82</v>
      </c>
      <c r="BS31" s="7">
        <v>87</v>
      </c>
      <c r="BT31" s="7">
        <v>51.77</v>
      </c>
      <c r="BU31" s="79">
        <f t="shared" si="147"/>
        <v>1199.31</v>
      </c>
      <c r="BV31" s="97">
        <v>35.6</v>
      </c>
      <c r="BW31" s="7"/>
      <c r="BY31" s="92">
        <f>BY$10*(1+((H31/H$10-1)*costos!$B$5+((I31*F31)/(I$10*F$10)-1)*costos!$E$5+((J31*F31)/((J$10*F$10)-1)*costos!$F$5/3+((K31*F31)/(K$10*F$10)-1)*costos!$F$5/3+((U31*F31)/(U$10*F$10)-1)*costos!$F$5/3+((L31*F31)/(L$10*F$10)-1)*costos!$G$5+((N31*F31)/(N$10*F$10)-1)*costos!$J$5+((V31*F31)/(V$10*F$10)-1)*costos!$K$5)))</f>
        <v>151.88435921010773</v>
      </c>
      <c r="BZ31" s="92">
        <f>$BZ$10*(1+((H31/$H$10-1)*costos!$B$6+((I31*F31)/($I$10*$F$10)-1)*costos!$E$6+((J31*F31)/(($J$10*$F$10)-1)*costos!$F$6/3+((K31*F31)/($K$10*$F$10)-1)*costos!$F$6/3+((U31*F31)/($U$10*$F$10)-1)*costos!$F$6/3+((L31*F31)/($L$10*$F$10)-1)*costos!$G$6+((Q31*F31)/($Q$10*$F$10)-1)*costos!$J$6+((V31*F31)/($V$10*$F$10)-1)*costos!$K$6)))</f>
        <v>140.96231951141422</v>
      </c>
      <c r="CA31" s="92">
        <f>CA$10*(1+((H31/H$10-1)*costos!$B$7+((I31*F31)/(I$10*F$10)-1)*costos!$E$7+((J31*F31)/((J$10*F$10)-1)*costos!$F$7/3+((K31*F31)/(K$10*F$10)-1)*costos!$F$7/3+((U31*F31)/(U$10*F$10)-1)*costos!$F$7/3+((L31*F31)/(L$10*F$10)-1)*costos!$G$7+((S31*F31)/(S$10*F$10)-1)*costos!$J$7+((V31*F31)/(V$10*F$10)-1)*costos!$K$7)))</f>
        <v>143.84292664846129</v>
      </c>
      <c r="CB31" s="92">
        <f>CB$10*(1+((H31/H$10-1)*costos!$B$8+((I31*F31)/(I$10*F$10)-1)*costos!$E$8+((J31*F31)/((J$10*F$10)-1)*costos!$F$8/3+((K31*F31)/(K$10*F$10)-1)*costos!$F$8/3+((U31*F31)/(U$10*F$10)-1)*costos!$F$8/3+((L31*F31)/(L$10*F$10)-1)*costos!$G$8+((T31*F31)/(T$10*F$10)-1)*costos!$J$8+((V31*F31)/(V$10*F$10)-1)*costos!$K$8)))</f>
        <v>146.46547261391402</v>
      </c>
      <c r="CC31" s="92">
        <f>CC$10*(1+((H31/H$10-1)*costos!$B$9+((I31*F31)/(I$10*F$10)-1)*costos!$E$9+((J31*F31)/((J$10*F$10)-1)*costos!$F$9/3+((K31*F31)/(K$10*F$10)-1)*costos!$F$9/3+((U31*F31)/(U$10*F$10)-1)*costos!$F$9/3+((L31*F31)/(L$10*F$10)-1)*costos!$G$9+((U31*F31)/(U$10*F$10)-1)*costos!$J$9+((V31*F31)/(V$10*F$10)-1)*costos!$K$9)))</f>
        <v>139.87125913506574</v>
      </c>
      <c r="CD31" s="92">
        <f>CD$10*(1+((H31/H$10-1)*costos!$B$11+((I31*F31)/(I$10*F$10)-1)*costos!$E$11+((J31*F31)/((J$10*F$10)-1)*costos!$F$11/3+((K31*F31)/(K$10*F$10)-1)*costos!$F$11/3+((U31*F31)/(U$10*F$10)-1)*costos!$F$11/3+((L31*F31)/(L$10*F$10)-1)*costos!$G$11+((V31*F31)/(V$10*F$10)-1)*costos!$J$11+((V31*F31)/(V$10*F$10)-1)*costos!$K$11)))</f>
        <v>144.67605821837449</v>
      </c>
      <c r="CE31" s="92">
        <f>CE$10*(1+((H31/H$10-1)*costos!$B$12+((I31*F31)/(I$10*F$10)-1)*costos!$E$12+((J31*F31)/((J$10*F$10)-1)*costos!$F$12/3+((K31*F31)/(K$10*F$10)-1)*costos!$F$12/3+((U31*F31)/(U$10*F$10)-1)*costos!$F$12/3+((L31*F31)/(L$10*F$10)-1)*costos!$G$12+((W31*F31)/(W$10*F$10)-1)*costos!$J$12+((V31*F31)/(V$10*F$10)-1)*costos!$K$12)))</f>
        <v>131.11544273813175</v>
      </c>
      <c r="CF31" s="92">
        <f>CF$10*(1+((H31/H$10-1)*costos!$B$13+((I31*F31)/(I$10*F$10)-1)*costos!$E$13+((J31*F31)/((J$10*F$10)-1)*costos!$F$13/3+((K31*F31)/(K$10*F$10)-1)*costos!$F$13/3+((U31*F31)/(U$10*F$10)-1)*costos!$F$13/3+((L31*F31)/(L$10*F$10)-1)*costos!$G$13+((X31*F31)/(X$10*F$10)-1)*costos!$J$13+((V31*F31)/(V$10*F$10)-1)*costos!$K$13)))</f>
        <v>146.16347473986644</v>
      </c>
      <c r="CG31" s="92">
        <f t="shared" si="60"/>
        <v>142.02243901563563</v>
      </c>
      <c r="CH31" s="92">
        <f>CH$10*(1+((H31/H$10-1)*costos!$B$10+((I31*F31)/(I$10*F$10)-1)*costos!$E$10+((J31*F31)/((J$10*F$10)-1)*costos!$F$10/3+((K31*F31)/(K$10*F$10)-1)*costos!$F$10/3+((U31*F31)/(U$10*F$10)-1)*costos!$F$10/3+((L31*F31)/(L$10*F$10)-1)*costos!$G$10+((AF31)/(AF$10)-1)*costos!$J$10+((V31*F31)/(V$10*F$10)-1)*costos!$K$10)))</f>
        <v>159.29682396184751</v>
      </c>
      <c r="CI31" s="92">
        <f>CI$10*(1+((H31/H$10-1)*costos!$B$15+((I31*F31)/(I$10*F$10)-1)*costos!$E$15+((J31*F31)/((J$10*F$10)-1)*costos!$F$15/3+((K31*F31)/(K$10*F$10)-1)*costos!$F$15/3+((U31*F31)/(U$10*F$10)-1)*costos!$F$15/3+((L31*F31)/(L$10*F$10)-1)*costos!$G$15+((AV31)/(AV$10)-1)*costos!$J$15+((V31*F31)/(V$10*F$10)-1)*costos!$K$15)))</f>
        <v>155.31164298770514</v>
      </c>
      <c r="CJ31" s="92">
        <f>CJ$10*(1+((H31/H$10-1)*costos!$B$16+((I31*F31)/(I$10*F$10)-1)*costos!$E$16+((J31*F31)/((J$10*F$10)-1)*costos!$F$16/3+((K31*F31)/(K$10*F$10)-1)*costos!$F$16/3+((U31*F31)/(U$10*F$10)-1)*costos!$F$16/3+((L31*F31)/(L$10*F$10)-1)*costos!$G$16+((AW31)/(AW$10)-1)*costos!$J$16+((V31*F31)/(V$10*F$10)-1)*costos!$K$16)))</f>
        <v>154.57598360117427</v>
      </c>
      <c r="CK31" s="92">
        <f>CK$10*(1+((H31/H$10-1)*costos!$B$17+((I31*F31)/(I$10*F$10)-1)*costos!$E$17+((J31*F31)/((J$10*F$10)-1)*costos!$F$17/3+((K31*F31)/(K$10*F$10)-1)*costos!$F$17/3+((U31*F31)/(U$10*F$10)-1)*costos!$F$17/3+((L31*F31)/(L$10*F$10)-1)*costos!$G$17+((AX31)/(AX$10)-1)*costos!$J$17+((V31*F31)/(V$10*F$10)-1)*costos!$K$17)))</f>
        <v>177.37739704243896</v>
      </c>
      <c r="CL31" s="92">
        <f>CL$10*(1+((H31/H$10-1)*costos!$B$18+((I31*F31)/(I$10*F$10)-1)*costos!$E$18+((J31*F31)/((J$10*F$10)-1)*costos!$F$18/3+((K31*F31)/(K$10*F$10)-1)*costos!$F$18/3+((U31*F31)/(U$10*F$10)-1)*costos!$F$18/3+((L31*F31)/(L$10*F$10)-1)*costos!$G$18+((AY31)/(AY$10)-1)*costos!$J$18+((V31*F31)/(V$10*F$10)-1)*costos!$K$18)))</f>
        <v>198.74696654910369</v>
      </c>
      <c r="CM31" s="92">
        <f>CM$10*(1+((H31/H$10-1)*costos!$B$19+((I31*F31)/(I$10*F$10)-1)*costos!$E$19+((J31*F31)/((J$10*F$10)-1)*costos!$F$19/3+((K31*F31)/(K$10*F$10)-1)*costos!$F$19/3+((U31*F31)/(U$10*F$10)-1)*costos!$F$19/3+((L31*F31)/(L$10*F$10)-1)*costos!$G$19+((AZ31)/(AZ$10)-1)*costos!$J$19+((V31*F31)/(V$10*F$10)-1)*costos!$K$19)))</f>
        <v>162.80596575651711</v>
      </c>
      <c r="CN31" s="92">
        <f>CN$10*(1+((H31/H$10-1)*costos!$B$20+((I31*F31)/(I$10*F$10)-1)*costos!$E$20+((J31*F31)/((J$10*F$10)-1)*costos!$F$20/3+((K31*F31)/(K$10*F$10)-1)*costos!$F$20/3+((U31*F31)/(U$10*F$10)-1)*costos!$F$20/3+((L31*F31)/(L$10*F$10)-1)*costos!$G$20+((BA31)/(BA$10)-1)*costos!$J$20+((V31*F31)/(V$10*F$10)-1)*costos!$K$20)))</f>
        <v>149.78212409288432</v>
      </c>
      <c r="CO31" s="92">
        <f t="shared" si="61"/>
        <v>172.17811336023601</v>
      </c>
      <c r="CP31" s="92">
        <f>CP$10*(1+((H31/H$10-1)*costos!$B$22+((I31*F31)/(I$10*F$10)-1)*costos!$E$22+((J31*F31)/((J$10*F$10)-1)*costos!$F$22/3+((K31*F31)/(K$10*F$10)-1)*costos!$F$22/3+((U31*F31)/(U$10*F$10)-1)*costos!$F$22/3+((L31*F31)/(L$10*F$10)-1)*costos!$G$22+(((AVERAGE(AI31:AL31))/((AVERAGE(AI$10:AL$10))-1)*costos!$J$22+((V31*F31)/(V$10*F$10)-1)*costos!$K$22)))))</f>
        <v>201.9551713174757</v>
      </c>
      <c r="CQ31" s="92">
        <f>CQ$10*(1+((H31/H$10-1)*costos!$B$23+((I31*F31)/(I$10*F$10)-1)*costos!$E$23+((J31*F31)/((J$10*F$10)-1)*costos!$F$23/3+((K31*F31)/(K$10*F$10)-1)*costos!$F$23/3+((U31*F31)/(U$10*F$10)-1)*costos!$F$23/3+((L31*F31)/(L$10*F$10)-1)*costos!$G$23+((AN31)/(AN$10)-1)*costos!$J$23+((V31*F31)/(V$10*F$10)-1)*costos!$K$23)))</f>
        <v>158.1065378602006</v>
      </c>
      <c r="CR31" s="92">
        <f>CR$10*(1+((H31/H$10-1)*costos!$B$24+((I31*F31)/(I$10*F$10)-1)*costos!$E$24+((J31*F31)/((J$10*F$10)-1)*costos!$F$24/3+((K31*F31)/(K$10*F$10)-1)*costos!$F$24/3+((U31*F31)/(U$10*F$10)-1)*costos!$F$24/3+((L31*F31)/(L$10*F$10)-1)*costos!$G$24+((AO31)/(AO$10)-1)*costos!$J$24+((V31*F31)/(V$10*F$10)-1)*costos!$K$24)))</f>
        <v>156.53187635031617</v>
      </c>
      <c r="CS31" s="92">
        <f t="shared" si="62"/>
        <v>157.31920710525839</v>
      </c>
      <c r="CT31" s="92">
        <f>CT$10*(1+((H31/H$10-1)*costos!$B$25+((I31*F31)/(I$10*F$10)-1)*costos!$E$25+((J31*F31)/((J$10*F$10)-1)*costos!$F$25/3+((K31*F31)/(K$10*F$10)-1)*costos!$F$25/3+((U31*F31)/(U$10*F$10)-1)*costos!$F$25/3+((L31*F31)/(L$10*F$10)-1)*costos!$G$25+((AQ31)/(AQ$10)-1)*costos!$J$25+((V31*F31)/(V$10*F$10)-1)*costos!$K$25)))</f>
        <v>149.53423855304206</v>
      </c>
      <c r="CU31" s="92">
        <f>CU$10*(1+((H31/H$10-1)*costos!$B$26+((I31*F31)/(I$10*F$10)-1)*costos!$E$26+((J31*F31)/((J$10*F$10)-1)*costos!$F$26/3+((K31*F31)/(K$10*F$10)-1)*costos!$F$26/3+((U31*F31)/(U$10*F$10)-1)*costos!$F$26/3+((L31*F31)/(L$10*F$10)-1)*costos!$G$26+((AR31)/(AR$10)-1)*costos!$J$26+((V31*F31)/(V$10*F$10)-1)*costos!$K$26)))</f>
        <v>143.64734418180421</v>
      </c>
      <c r="CV31" s="92">
        <f>CV$10*(1+((H31/H$10-1)*costos!$B$27+((I31*F31)/(I$10*F$10)-1)*costos!$E$27+((J31*F31)/((J$10*F$10)-1)*costos!$F$27/3+((K31*F31)/(K$10*F$10)-1)*costos!$F$27/3+((U31*F31)/(U$10*F$10)-1)*costos!$F$27/3+((L31*F31)/(L$10*F$10)-1)*costos!$G$27+((AS31)/(AS$10)-1)*costos!$J$27+((V31*F31)/(V$10*F$10)-1)*costos!$K$27)))</f>
        <v>141.76700817763378</v>
      </c>
      <c r="CW31" s="92">
        <f>CW$10*(1+((H31/H$10-1)*costos!$B$28+((I31*F31)/(I$10*F$10)-1)*costos!$E$28+((J31*F31)/((J$10*F$10)-1)*costos!$F$28/3+((K31*F31)/(K$10*F$10)-1)*costos!$F$28/3+((U31*F31)/(U$10*F$10)-1)*costos!$F$28/3+((L31*F31)/(L$10*F$10)-1)*costos!$G$28+((AS31)/(AS$10)-1)*costos!$J$28+((V31*F31)/(V$10*F$10)-1)*costos!$K$28)))</f>
        <v>141.76700817763378</v>
      </c>
      <c r="CX31" s="92">
        <f t="shared" si="63"/>
        <v>142.39378684569058</v>
      </c>
      <c r="CY31" s="92">
        <f>CY$10*(1+((H31/H$10-1)*costos!$B$32+((I31*F31)/(I$10*F$10)-1)*costos!$E$32+((J31*F31)/((J$10*F$10)-1)*costos!$F$32/3+((K31*F31)/(K$10*F$10)-1)*costos!$F$32/3+((U31*F31)/(U$10*F$10)-1)*costos!$F$32/3+((L31*F31)/(L$10*F$10)-1)*costos!$G$32+((AG31)/(AG$10)-1)*costos!$J$32+((V31*F31)/(V$10*F$10)-1)*costos!$K$32)))</f>
        <v>158.10839242882801</v>
      </c>
      <c r="CZ31" s="69">
        <f>CZ$10*(1+((H31/H$10-1)*costos!$B$31+((I31*F31)/(I$10*F$10)-1)*costos!$E$30+((J31*F31)/((J$10*F$10)-1)*costos!$F$30/3+((K31*F31)/(K$10*F$10)-1)*costos!$F$30/3+((U31*F31)/(U$10*F$10)-1)*costos!$F$30/3+((L31*F31)/(L$10*F$10)-1)*costos!$G$30+((BG31)/(BG$10)-1)*costos!$J$30+((V31*F31)/(V$10*F$10)-1)*costos!$K$30)))</f>
        <v>166.52231511370576</v>
      </c>
      <c r="DA31" s="69">
        <f>DA$10*(1+((H31/H$10-1)*costos!$B$31+((I31*F31)/(I$10*F$10)-1)*costos!$E$31+((J31*F31)/((J$10*F$10)-1)*costos!$F$31/3+((K31*F31)/(K$10*F$10)-1)*costos!$F$31/3+((U31*F31)/(U$10*F$10)-1)*costos!$F$31/3+((L31*F31)/(L$10*F$10)-1)*costos!$G$31+((BJ31)/(BJ$10)-1)*costos!$J$31+((V31*F31)/(V$10*F$10)-1)*costos!$K$31)))</f>
        <v>157.37864937554264</v>
      </c>
      <c r="DB31" s="69">
        <f>DB$10*(1+((H31/H$10-1)*costos!$B$36+((I31*F31)/(I$10*F$10)-1)*costos!$E$36+((J31*F31)/((J$10*F$10)-1)*costos!$F$36/3+((K31*F31)/(K$10*F$10)-1)*costos!$F$36/3+((U31*F31)/(U$10*F$10)-1)*costos!$F$36/3+((L31*F31)/(L$10*F$10)-1)*costos!$G$36+((BK31)/(BK$10)-1)*costos!$J$36+((V31*F31)/(V$10*F$10)-1)*costos!$K$36)))</f>
        <v>151.01190026422691</v>
      </c>
      <c r="DC31" s="69">
        <f>DC$10*(1+((H31/H$10-1)*costos!$B$37+((I31*F31)/(I$10*F$10)-1)*costos!$E$37+((U31*F31)/(U$10*F$10)-1)*costos!$F$37+((L31*F31)/(L$10*F$10)-1)*costos!$G$37+((BN31)/(BN$10)-1)*costos!$J$37+((V31*F31)/(V$10*F$10)-1)*costos!$K$37))</f>
        <v>139.07716618581304</v>
      </c>
      <c r="DD31" s="69">
        <f>DD$10*(1+((H31/H$10-1)*costos!$B$39+((I31*F31)/(I$10*F$10)-1)*costos!$E$39+((U31*F31)/(U$10*F$10)-1)*costos!$F$39+((L31*F31)/(L$10*F$10)-1)*costos!$G$39+((BR31)/(BR$10)-1)*costos!$J$39+((V31*F31)/(V$10*F$10)-1)*costos!$K$39))</f>
        <v>136.49519437538493</v>
      </c>
      <c r="DE31" s="69">
        <f>DD$10*(1+((H31/H$10-1)*costos!$B$35+((I31*F31)/(I$10*F$10)-1)*costos!$E$35+((U31*F31)/(U$10*F$10)-1)*costos!$F$35+((L31*F31)/(L$10*F$10)-1)*costos!$G$35+((BR31)/(BR$10)-1)*costos!$J$35+((V31*F31)/(V$10*F$10)-1)*costos!$K$35))</f>
        <v>133.54216327265937</v>
      </c>
      <c r="DF31" s="69">
        <f>DF$10*(1+((H31/H$10-1)*costos!$B$40+((I31*F31)/(I$10*F$10)-1)*costos!$E$40+((U31*F31)/(U$10*F$10)-1)*costos!$F$40+((L31*F31)/(L$10*F$10)-1)*costos!$G$40+((BP31)/(BP$10)-1)*costos!$J$40+((V31*F31)/(V$10*F$10)-1)*costos!$K$40))</f>
        <v>132.9062324083489</v>
      </c>
      <c r="DG31" s="92">
        <f t="shared" si="64"/>
        <v>133.22419784050413</v>
      </c>
      <c r="DH31" s="69">
        <f>DH$10*(1+((H31/H$10-1)*costos!$B$34+((I31*F31)/(I$10*F$10)-1)*costos!$E$34+((J31*F31)/((J$10*F$10)-1)*costos!$F$34/3+((K31*F31)/(K$10*F$10)-1)*costos!$F$34/3+((U31*F31)/(U$10*F$10)-1)*costos!$F$34/3+((L31*F31)/(L$10*F$10)-1)*costos!$G$34+((BV31)/(BV$10)-1)*costos!$J$34+((V31*F31)/(V$10*F$10)-1)*costos!$K$34)))</f>
        <v>157.03871032090328</v>
      </c>
      <c r="DI31" s="69">
        <f>DI$10*(1+((H31/H$10-1)*costos!$B$38+((I31*F31)/(I$10*F$10)-1)*costos!$E$38+((J31*F31)/((J$10*F$10)-1)*costos!$F$38/3+((K31*F31)/(K$10*F$10)-1)*costos!$F$38/3+((U31*F31)/(U$10*F$10)-1)*costos!$F$38/3+((L31*F31)/(L$10*F$10)-1)*costos!$G$38+((BU31)/(BU$10)-1)*costos!$J$38+((V31*F31)/(V$10*F$10)-1)*costos!$K$38)))</f>
        <v>158.24028500445397</v>
      </c>
      <c r="DK31" s="1">
        <v>327000</v>
      </c>
      <c r="DL31" s="1" t="s">
        <v>6</v>
      </c>
      <c r="DM31" s="82">
        <f t="shared" si="155"/>
        <v>206500</v>
      </c>
      <c r="DN31" s="82" t="str">
        <f t="shared" si="155"/>
        <v>2016-17</v>
      </c>
      <c r="DO31" s="1">
        <v>800000</v>
      </c>
      <c r="DP31" s="1" t="s">
        <v>6</v>
      </c>
      <c r="DQ31" s="1">
        <v>1800000</v>
      </c>
      <c r="DR31" s="1" t="s">
        <v>6</v>
      </c>
      <c r="DS31" s="1">
        <v>5400000</v>
      </c>
      <c r="DT31" s="1" t="s">
        <v>6</v>
      </c>
      <c r="DU31" s="1">
        <v>18100000</v>
      </c>
      <c r="DV31" s="1" t="s">
        <v>6</v>
      </c>
      <c r="DW31" s="82">
        <f t="shared" si="179"/>
        <v>800000</v>
      </c>
      <c r="DX31" s="82" t="str">
        <f t="shared" si="179"/>
        <v>2016-17</v>
      </c>
      <c r="DY31" s="1">
        <v>5930000</v>
      </c>
      <c r="DZ31" s="1" t="s">
        <v>6</v>
      </c>
      <c r="EA31" s="79">
        <f t="shared" si="67"/>
        <v>32830000</v>
      </c>
      <c r="EB31" s="82">
        <f t="shared" si="156"/>
        <v>364191</v>
      </c>
      <c r="EC31" s="82" t="str">
        <f t="shared" si="157"/>
        <v>2016-17</v>
      </c>
      <c r="ED31" s="83">
        <f t="shared" si="157"/>
        <v>165327</v>
      </c>
      <c r="EE31" s="143">
        <f t="shared" si="157"/>
        <v>2016</v>
      </c>
      <c r="EF31" s="83">
        <f t="shared" si="121"/>
        <v>220848</v>
      </c>
      <c r="EG31" s="143">
        <f t="shared" si="122"/>
        <v>2017</v>
      </c>
      <c r="EH31" s="83">
        <v>54163380</v>
      </c>
      <c r="EI31" s="143">
        <v>2017</v>
      </c>
      <c r="EJ31" s="83">
        <f t="shared" si="169"/>
        <v>5119438</v>
      </c>
      <c r="EK31" s="143">
        <v>2024</v>
      </c>
      <c r="EL31" s="82">
        <f t="shared" si="175"/>
        <v>14746566</v>
      </c>
      <c r="EM31" s="144">
        <f t="shared" si="175"/>
        <v>2017</v>
      </c>
      <c r="EN31" s="82">
        <f t="shared" si="175"/>
        <v>3364725</v>
      </c>
      <c r="EO31" s="144">
        <f t="shared" si="175"/>
        <v>2017</v>
      </c>
      <c r="EP31" s="82">
        <f t="shared" si="118"/>
        <v>6552</v>
      </c>
      <c r="EQ31" s="83">
        <f t="shared" si="100"/>
        <v>3003036</v>
      </c>
      <c r="ER31" s="1">
        <v>33739</v>
      </c>
      <c r="ES31" s="82"/>
      <c r="ET31" s="83">
        <f t="shared" si="101"/>
        <v>23614</v>
      </c>
      <c r="EU31" s="83">
        <f t="shared" si="101"/>
        <v>16845</v>
      </c>
      <c r="EV31" s="83">
        <f t="shared" si="101"/>
        <v>9213</v>
      </c>
      <c r="EW31" s="83">
        <f t="shared" si="101"/>
        <v>17766</v>
      </c>
      <c r="EX31" s="79">
        <f t="shared" si="72"/>
        <v>67438</v>
      </c>
      <c r="EY31" s="83">
        <f t="shared" si="123"/>
        <v>19284</v>
      </c>
      <c r="EZ31" s="82">
        <f t="shared" si="123"/>
        <v>74845</v>
      </c>
      <c r="FA31" s="1">
        <f t="shared" si="103"/>
        <v>20879</v>
      </c>
      <c r="FB31" s="1">
        <f t="shared" si="103"/>
        <v>19496</v>
      </c>
      <c r="FC31" s="79">
        <f t="shared" si="73"/>
        <v>40375</v>
      </c>
      <c r="FD31" s="1">
        <f t="shared" si="158"/>
        <v>65075.3</v>
      </c>
      <c r="FE31" s="1"/>
      <c r="FF31" s="82">
        <f>+FF30</f>
        <v>630040</v>
      </c>
      <c r="FG31" s="82" t="str">
        <f>+FG30</f>
        <v>2016-17</v>
      </c>
      <c r="FH31" s="82">
        <f t="shared" si="180"/>
        <v>1328340</v>
      </c>
      <c r="FI31" s="82" t="str">
        <f t="shared" si="180"/>
        <v>2016-17</v>
      </c>
      <c r="FJ31" s="82">
        <f t="shared" si="159"/>
        <v>3000000</v>
      </c>
      <c r="FK31" s="82" t="str">
        <f t="shared" si="160"/>
        <v>2016-17</v>
      </c>
      <c r="FL31" s="82">
        <f t="shared" si="170"/>
        <v>3300000</v>
      </c>
      <c r="FM31" s="82" t="str">
        <f t="shared" si="170"/>
        <v>2016-17</v>
      </c>
      <c r="FN31" s="82">
        <f>+FN30</f>
        <v>39000000</v>
      </c>
      <c r="FO31" s="82" t="str">
        <f>+FO30</f>
        <v>2016-17</v>
      </c>
      <c r="FP31" s="82">
        <f t="shared" si="176"/>
        <v>57500000</v>
      </c>
      <c r="FQ31" s="82" t="str">
        <f t="shared" si="177"/>
        <v>2016-17</v>
      </c>
      <c r="FR31" s="82">
        <f t="shared" si="181"/>
        <v>3200000</v>
      </c>
      <c r="FS31" s="82" t="str">
        <f t="shared" si="182"/>
        <v>2016-17</v>
      </c>
      <c r="FT31" s="1">
        <v>18395000</v>
      </c>
      <c r="FU31" s="83" t="str">
        <f t="shared" si="161"/>
        <v>2016-17</v>
      </c>
      <c r="FV31" s="79">
        <f t="shared" si="76"/>
        <v>124395000</v>
      </c>
      <c r="FW31" s="82">
        <f t="shared" si="183"/>
        <v>1081031.1999999997</v>
      </c>
      <c r="FX31" s="82" t="str">
        <f t="shared" si="184"/>
        <v>2016-17</v>
      </c>
      <c r="FY31" s="1">
        <v>0</v>
      </c>
      <c r="FZ31" s="79">
        <f t="shared" si="135"/>
        <v>675226.79</v>
      </c>
      <c r="GA31" s="86" t="str">
        <f t="shared" si="136"/>
        <v>nov16 oct17</v>
      </c>
      <c r="GB31" s="1">
        <v>19652055</v>
      </c>
      <c r="GC31" s="6">
        <v>2017</v>
      </c>
      <c r="GD31" s="1">
        <f t="shared" si="165"/>
        <v>1675851</v>
      </c>
      <c r="GE31" s="1">
        <v>459665</v>
      </c>
      <c r="GF31" s="1">
        <v>1024918</v>
      </c>
      <c r="GG31" s="1">
        <f t="shared" si="166"/>
        <v>112337</v>
      </c>
      <c r="GH31" s="79">
        <f t="shared" si="78"/>
        <v>1596920</v>
      </c>
      <c r="GI31" s="82">
        <f t="shared" si="79"/>
        <v>1302556</v>
      </c>
      <c r="GJ31" s="83">
        <f t="shared" si="162"/>
        <v>665408</v>
      </c>
      <c r="GK31" s="83">
        <f t="shared" si="162"/>
        <v>660753</v>
      </c>
      <c r="GL31" s="83">
        <f t="shared" si="162"/>
        <v>290290.46000000002</v>
      </c>
      <c r="GM31" s="83">
        <f t="shared" si="162"/>
        <v>263224.75</v>
      </c>
      <c r="GN31" s="79">
        <f t="shared" si="81"/>
        <v>1879676.21</v>
      </c>
      <c r="GO31" s="83">
        <f t="shared" si="107"/>
        <v>193430</v>
      </c>
      <c r="GP31" s="83">
        <f t="shared" si="107"/>
        <v>76379</v>
      </c>
      <c r="GQ31" s="1"/>
      <c r="GR31" s="1">
        <f t="shared" si="150"/>
        <v>42700</v>
      </c>
      <c r="GS31" s="79">
        <f t="shared" si="83"/>
        <v>42700</v>
      </c>
      <c r="GT31" s="83">
        <f t="shared" si="108"/>
        <v>2459310</v>
      </c>
      <c r="GU31" s="1">
        <v>12648</v>
      </c>
      <c r="GV31" s="1">
        <v>30801</v>
      </c>
      <c r="GW31" s="79">
        <f t="shared" si="151"/>
        <v>1139165.3333333335</v>
      </c>
      <c r="GX31" s="83">
        <v>32330.198</v>
      </c>
      <c r="GY31" s="83" t="s">
        <v>328</v>
      </c>
      <c r="GZ31" s="83">
        <f t="shared" si="109"/>
        <v>117154</v>
      </c>
      <c r="HA31" s="1">
        <v>257000</v>
      </c>
      <c r="HB31" s="79">
        <f t="shared" si="137"/>
        <v>2816000</v>
      </c>
      <c r="HC31" s="86" t="str">
        <f t="shared" si="138"/>
        <v>nov16 oct17</v>
      </c>
      <c r="HD31" s="1">
        <v>51855</v>
      </c>
      <c r="HE31" s="79">
        <f t="shared" si="139"/>
        <v>561243</v>
      </c>
      <c r="HF31" s="86" t="str">
        <f t="shared" si="140"/>
        <v>nov16 oct17</v>
      </c>
      <c r="HG31" s="1">
        <v>178000</v>
      </c>
      <c r="HH31" s="79">
        <f t="shared" si="141"/>
        <v>2131000</v>
      </c>
      <c r="HI31" s="86" t="str">
        <f t="shared" si="142"/>
        <v>nov16 oct17</v>
      </c>
      <c r="HJ31" s="1">
        <v>96151</v>
      </c>
      <c r="HK31" s="79">
        <f t="shared" si="143"/>
        <v>50327.58</v>
      </c>
      <c r="HL31" s="86" t="str">
        <f t="shared" si="144"/>
        <v>nov16 oct17</v>
      </c>
      <c r="HM31" s="79">
        <f t="shared" si="86"/>
        <v>2181327.58</v>
      </c>
      <c r="HN31" s="87">
        <v>1.3446870982041399E-2</v>
      </c>
      <c r="HO31" s="1">
        <f t="shared" si="152"/>
        <v>902677127.98370433</v>
      </c>
      <c r="HP31" s="79">
        <f t="shared" si="153"/>
        <v>9824.5051993837733</v>
      </c>
      <c r="HQ31" s="86" t="str">
        <f t="shared" si="145"/>
        <v>nov16 oct17</v>
      </c>
      <c r="HR31" s="3"/>
      <c r="HS31" s="1"/>
      <c r="HT31" s="1"/>
      <c r="HU31" s="83">
        <f t="shared" si="174"/>
        <v>680000</v>
      </c>
      <c r="HV31" s="83" t="str">
        <f t="shared" si="174"/>
        <v>2016-17</v>
      </c>
      <c r="HW31" s="1">
        <v>1430000</v>
      </c>
      <c r="HX31" s="1" t="s">
        <v>106</v>
      </c>
      <c r="HY31" s="1">
        <v>3350000</v>
      </c>
      <c r="HZ31" s="1" t="s">
        <v>106</v>
      </c>
      <c r="IA31" s="1">
        <f t="shared" si="171"/>
        <v>19080000</v>
      </c>
      <c r="IB31" s="1" t="s">
        <v>106</v>
      </c>
      <c r="IC31" s="1">
        <v>47130000</v>
      </c>
      <c r="ID31" s="1" t="s">
        <v>106</v>
      </c>
      <c r="IE31" s="1">
        <f t="shared" si="172"/>
        <v>2450000</v>
      </c>
      <c r="IF31" s="1" t="s">
        <v>106</v>
      </c>
      <c r="IG31" s="1">
        <f t="shared" si="154"/>
        <v>6760000</v>
      </c>
      <c r="IH31" s="1" t="s">
        <v>106</v>
      </c>
      <c r="II31" s="79">
        <f t="shared" si="87"/>
        <v>80200000</v>
      </c>
      <c r="IJ31" s="97">
        <f t="shared" si="167"/>
        <v>1.5629261117125455</v>
      </c>
      <c r="IK31" s="1" t="s">
        <v>106</v>
      </c>
      <c r="IL31" s="7">
        <v>43.83</v>
      </c>
      <c r="IM31" s="7">
        <v>59.985094544624559</v>
      </c>
      <c r="IN31" s="7">
        <v>197</v>
      </c>
      <c r="IO31" s="695">
        <v>14.63</v>
      </c>
      <c r="IP31" s="98">
        <f t="shared" si="163"/>
        <v>5.6020702831241165</v>
      </c>
      <c r="IQ31" s="93">
        <v>20.2</v>
      </c>
      <c r="IR31" s="93">
        <f t="shared" si="168"/>
        <v>3.01</v>
      </c>
      <c r="IS31" s="93">
        <f t="shared" si="168"/>
        <v>5.59</v>
      </c>
      <c r="IT31" s="93">
        <f t="shared" si="168"/>
        <v>11.85</v>
      </c>
      <c r="IU31" s="93">
        <f t="shared" si="168"/>
        <v>0.79</v>
      </c>
      <c r="IV31" s="94">
        <f t="shared" si="89"/>
        <v>18.229999999999997</v>
      </c>
      <c r="IW31" s="84"/>
      <c r="IX31" s="84"/>
      <c r="IY31" s="105">
        <v>1.84</v>
      </c>
      <c r="IZ31" s="161">
        <v>0.3</v>
      </c>
      <c r="JA31" s="570"/>
      <c r="JB31" s="84">
        <v>41.09</v>
      </c>
      <c r="JC31" s="84"/>
      <c r="JD31" s="84"/>
      <c r="JE31" s="1"/>
      <c r="JF31" s="2">
        <v>5.7909069699999991</v>
      </c>
      <c r="JG31" s="2">
        <v>20.335444549999995</v>
      </c>
      <c r="JH31" s="2">
        <v>58.65457516</v>
      </c>
      <c r="JI31" s="2">
        <v>77.464246490000008</v>
      </c>
      <c r="JJ31" s="2">
        <v>350.15507103000004</v>
      </c>
      <c r="JK31" s="2">
        <v>82.253963829999989</v>
      </c>
      <c r="JL31" s="2">
        <v>1205.5097292200001</v>
      </c>
      <c r="JM31" s="2">
        <v>10.17424653</v>
      </c>
      <c r="JN31" s="2">
        <v>160.27134051999997</v>
      </c>
      <c r="JO31" s="2">
        <v>11.765365409999999</v>
      </c>
      <c r="JP31" s="2">
        <v>0</v>
      </c>
      <c r="JQ31" s="2">
        <v>2.4219999999999998E-2</v>
      </c>
      <c r="JR31" s="2">
        <v>0.52821257999999993</v>
      </c>
      <c r="JS31" s="2">
        <v>0</v>
      </c>
      <c r="JT31" s="2">
        <v>3.2499999999999999E-4</v>
      </c>
      <c r="JU31" s="2">
        <v>97.966927330000033</v>
      </c>
      <c r="JV31" s="2">
        <v>8.6504330300000003</v>
      </c>
      <c r="JW31" s="2">
        <v>6.84282609</v>
      </c>
      <c r="JX31" s="2">
        <v>13.424362460000001</v>
      </c>
      <c r="JY31" s="2">
        <v>4.2061899999999992E-2</v>
      </c>
      <c r="JZ31" s="2">
        <v>1.25969815</v>
      </c>
      <c r="KA31" s="2">
        <v>4.5535000000000003E-3</v>
      </c>
      <c r="KB31" s="2">
        <v>20.52315668</v>
      </c>
      <c r="KC31" s="2">
        <v>36.888338769999997</v>
      </c>
      <c r="KD31" s="2">
        <v>6.3236631300000008</v>
      </c>
      <c r="KE31" s="2">
        <v>15.9748093</v>
      </c>
      <c r="KF31" s="2">
        <v>27.708977670000007</v>
      </c>
      <c r="KG31" s="2">
        <v>227.52842803999999</v>
      </c>
      <c r="KH31" s="2">
        <v>63.482351279999996</v>
      </c>
      <c r="KI31" s="2">
        <v>13.747166010000001</v>
      </c>
      <c r="KJ31" s="2">
        <v>3.0607024299999996</v>
      </c>
      <c r="KK31" s="2">
        <v>10.060063230000001</v>
      </c>
      <c r="KL31" s="2">
        <v>0.55977140000000003</v>
      </c>
      <c r="KM31" s="2">
        <v>5.1583021299999992</v>
      </c>
      <c r="KN31" s="2">
        <v>0.10029989</v>
      </c>
      <c r="KO31" s="2">
        <v>12.646602270000001</v>
      </c>
      <c r="KP31" s="2">
        <v>1.8980499999999999E-3</v>
      </c>
      <c r="KQ31" s="2">
        <v>73.528752960000006</v>
      </c>
      <c r="KR31" s="2">
        <v>1.443701E-2</v>
      </c>
      <c r="KS31" s="2">
        <v>0.19880659000000001</v>
      </c>
      <c r="KT31" s="2">
        <v>6.4311630400000004</v>
      </c>
      <c r="KU31" s="2">
        <v>0.59598403</v>
      </c>
      <c r="KV31" s="2">
        <v>0.42711650000000001</v>
      </c>
      <c r="KW31" s="2">
        <v>3.2932995100000002</v>
      </c>
      <c r="KX31" s="2">
        <v>0</v>
      </c>
      <c r="KY31" s="2">
        <v>0.13905453000000001</v>
      </c>
      <c r="KZ31" s="2">
        <v>7.5140579799999996</v>
      </c>
      <c r="LA31" s="2">
        <v>2.49890495</v>
      </c>
      <c r="LB31" s="2">
        <v>2.560956E-2</v>
      </c>
      <c r="LC31" s="2">
        <v>0.38022834999999999</v>
      </c>
      <c r="LD31" s="2">
        <v>1.6510090000000002E-2</v>
      </c>
      <c r="LE31" s="2">
        <v>0.38369715999999993</v>
      </c>
      <c r="LF31" s="2">
        <v>0.55674508</v>
      </c>
      <c r="LG31" s="2">
        <v>23.632465970000002</v>
      </c>
      <c r="LH31" s="2">
        <v>4.2772591000000002</v>
      </c>
      <c r="LI31" s="2">
        <v>2.4771999999999999E-4</v>
      </c>
      <c r="LJ31" s="2">
        <v>7.627065999999999E-2</v>
      </c>
      <c r="LK31" s="2">
        <v>2.9316514400000004</v>
      </c>
      <c r="LL31" s="2">
        <v>3.4174623200000007</v>
      </c>
      <c r="LM31" s="2">
        <v>1.8531492700000001</v>
      </c>
      <c r="LN31" s="2">
        <v>0.19941386</v>
      </c>
      <c r="LO31" s="2">
        <v>12.330532680000001</v>
      </c>
      <c r="LQ31" s="85">
        <f t="shared" si="90"/>
        <v>1862.2292089499999</v>
      </c>
      <c r="LR31" s="85">
        <f t="shared" si="91"/>
        <v>0.55275757999999997</v>
      </c>
      <c r="LS31" s="85">
        <f t="shared" si="92"/>
        <v>15.493259120000001</v>
      </c>
      <c r="LT31" s="85">
        <f t="shared" si="93"/>
        <v>1.30631355</v>
      </c>
      <c r="LU31" s="85">
        <f t="shared" si="94"/>
        <v>91.647200850000004</v>
      </c>
      <c r="LV31" s="85">
        <f t="shared" si="95"/>
        <v>3.8594705400000002</v>
      </c>
      <c r="LW31" s="85">
        <f t="shared" si="96"/>
        <v>2.5245145099999999</v>
      </c>
      <c r="LX31" s="85">
        <f t="shared" si="97"/>
        <v>0.95695232999999991</v>
      </c>
      <c r="LZ31" s="131">
        <v>22.67</v>
      </c>
      <c r="MA31" s="171">
        <v>21.74</v>
      </c>
      <c r="MB31"/>
      <c r="MC31"/>
      <c r="MD31"/>
      <c r="MF31"/>
      <c r="MG31"/>
      <c r="MH31" s="83">
        <v>39.89</v>
      </c>
      <c r="MI31" s="83">
        <v>10.61</v>
      </c>
      <c r="MJ31" s="83">
        <v>15.34</v>
      </c>
      <c r="MK31"/>
      <c r="ML31" s="83">
        <v>14.2</v>
      </c>
      <c r="MM31" s="83">
        <v>43.26</v>
      </c>
      <c r="MN31" s="83"/>
      <c r="MO31" s="83">
        <v>15.47</v>
      </c>
      <c r="MP31" s="83">
        <v>43.55</v>
      </c>
      <c r="MQ31" s="83">
        <v>36.04</v>
      </c>
      <c r="MR31"/>
      <c r="MT31" s="83"/>
      <c r="MU31" s="83">
        <v>14.64</v>
      </c>
      <c r="MV31"/>
      <c r="MW31"/>
      <c r="MX31"/>
      <c r="MY31" s="83">
        <v>32.74</v>
      </c>
      <c r="MZ31" s="83">
        <v>99.1</v>
      </c>
      <c r="NA31" s="83">
        <v>38.840000000000003</v>
      </c>
      <c r="NB31" s="83">
        <v>128.69</v>
      </c>
      <c r="NC31" s="83">
        <v>21.95</v>
      </c>
      <c r="ND31"/>
      <c r="NE31" s="1">
        <v>112.46</v>
      </c>
    </row>
    <row r="32" spans="1:369">
      <c r="A32" s="38">
        <f t="shared" si="32"/>
        <v>43040</v>
      </c>
      <c r="B32" s="36">
        <v>11</v>
      </c>
      <c r="C32" s="36">
        <v>2017</v>
      </c>
      <c r="D32" s="36">
        <f t="shared" si="50"/>
        <v>32</v>
      </c>
      <c r="E32" s="38">
        <f t="shared" si="33"/>
        <v>43040</v>
      </c>
      <c r="F32" s="7">
        <v>17.688095238095237</v>
      </c>
      <c r="G32" s="7">
        <v>121</v>
      </c>
      <c r="H32" s="1">
        <f>[2]NACIONALES!$D20</f>
        <v>12648.96</v>
      </c>
      <c r="I32" s="7">
        <v>106</v>
      </c>
      <c r="J32" s="7">
        <v>450</v>
      </c>
      <c r="K32" s="7">
        <v>2.6</v>
      </c>
      <c r="L32" s="7">
        <v>37.200000000000003</v>
      </c>
      <c r="N32" s="5">
        <v>1.4990000000000001</v>
      </c>
      <c r="O32" s="5">
        <v>1.367</v>
      </c>
      <c r="P32" s="78">
        <f t="shared" si="34"/>
        <v>25.347040476190475</v>
      </c>
      <c r="Q32" s="6">
        <v>410</v>
      </c>
      <c r="R32" s="79">
        <f t="shared" si="35"/>
        <v>4100</v>
      </c>
      <c r="S32" s="6">
        <v>159.1904761904762</v>
      </c>
      <c r="T32" s="6">
        <v>318.33333333333331</v>
      </c>
      <c r="U32" s="143">
        <v>148.03333333333333</v>
      </c>
      <c r="V32" s="6">
        <v>264.9666666666667</v>
      </c>
      <c r="W32" s="6">
        <v>116.23809523809524</v>
      </c>
      <c r="X32" s="6">
        <v>165.62857142857143</v>
      </c>
      <c r="Y32" s="79">
        <f t="shared" si="36"/>
        <v>2815.7763038548751</v>
      </c>
      <c r="Z32" s="79">
        <f t="shared" si="37"/>
        <v>5630.7103174603162</v>
      </c>
      <c r="AA32" s="79">
        <f t="shared" si="38"/>
        <v>2618.4276984126982</v>
      </c>
      <c r="AB32" s="79">
        <f t="shared" si="39"/>
        <v>4686.7556349206352</v>
      </c>
      <c r="AC32" s="79">
        <f t="shared" si="40"/>
        <v>2056.0304988662128</v>
      </c>
      <c r="AD32" s="79">
        <f t="shared" si="41"/>
        <v>2929.6539455782313</v>
      </c>
      <c r="AE32" s="79">
        <f t="shared" si="42"/>
        <v>3456.2257331821615</v>
      </c>
      <c r="AF32" s="1">
        <v>12179.142857142857</v>
      </c>
      <c r="AG32" s="1">
        <v>6300</v>
      </c>
      <c r="AH32" s="1">
        <v>23300</v>
      </c>
      <c r="AI32" s="5">
        <v>14</v>
      </c>
      <c r="AJ32" s="5">
        <v>7.84</v>
      </c>
      <c r="AK32" s="5">
        <v>6.96</v>
      </c>
      <c r="AL32" s="5">
        <v>5.32</v>
      </c>
      <c r="AM32" s="78">
        <f t="shared" si="43"/>
        <v>9.84</v>
      </c>
      <c r="AN32" s="7">
        <v>553.96713615023475</v>
      </c>
      <c r="AO32" s="7">
        <v>332.19190476190471</v>
      </c>
      <c r="AP32" s="78">
        <f t="shared" si="146"/>
        <v>332.19190476190471</v>
      </c>
      <c r="AQ32" s="7">
        <v>341.94915254237287</v>
      </c>
      <c r="AR32" s="7">
        <v>179.2095238095238</v>
      </c>
      <c r="AS32" s="7">
        <v>121.73333333333333</v>
      </c>
      <c r="AT32" s="7">
        <v>271.04761904761904</v>
      </c>
      <c r="AU32" s="78">
        <f t="shared" si="53"/>
        <v>190.66349206349204</v>
      </c>
      <c r="AV32" s="7">
        <v>194.672962962963</v>
      </c>
      <c r="AW32" s="7">
        <v>362.37</v>
      </c>
      <c r="AX32" s="7">
        <v>237.08571428571429</v>
      </c>
      <c r="AY32" s="7">
        <v>238.61089947089954</v>
      </c>
      <c r="AZ32" s="7">
        <v>223.24571428571431</v>
      </c>
      <c r="BA32" s="7">
        <v>115.80793650793649</v>
      </c>
      <c r="BB32" s="94">
        <f t="shared" si="45"/>
        <v>216.51691651969432</v>
      </c>
      <c r="BC32" s="68">
        <f t="shared" si="185"/>
        <v>632</v>
      </c>
      <c r="BD32" s="68">
        <f t="shared" si="185"/>
        <v>776</v>
      </c>
      <c r="BE32" s="7">
        <v>690</v>
      </c>
      <c r="BF32" s="7">
        <v>410</v>
      </c>
      <c r="BG32" s="94">
        <f t="shared" si="56"/>
        <v>627</v>
      </c>
      <c r="BH32" s="7">
        <v>43.18</v>
      </c>
      <c r="BI32" s="7">
        <f t="shared" si="178"/>
        <v>14.866</v>
      </c>
      <c r="BJ32" s="78">
        <f t="shared" si="57"/>
        <v>58.045999999999999</v>
      </c>
      <c r="BK32" s="7">
        <v>33.688000000000002</v>
      </c>
      <c r="BL32" s="7">
        <v>33.804000000000002</v>
      </c>
      <c r="BM32" s="94">
        <f t="shared" si="58"/>
        <v>33.746000000000002</v>
      </c>
      <c r="BN32" s="5">
        <v>5.69</v>
      </c>
      <c r="BO32" s="105">
        <v>21.495238095238097</v>
      </c>
      <c r="BP32" s="80">
        <v>11.613166666666666</v>
      </c>
      <c r="BQ32" s="94">
        <f t="shared" si="59"/>
        <v>20.507030952380955</v>
      </c>
      <c r="BR32" s="7">
        <v>20.82</v>
      </c>
      <c r="BS32" s="7">
        <v>90</v>
      </c>
      <c r="BT32" s="7">
        <v>51.46</v>
      </c>
      <c r="BU32" s="79">
        <f t="shared" si="147"/>
        <v>1234.3800000000001</v>
      </c>
      <c r="BV32" s="97">
        <v>35.5</v>
      </c>
      <c r="BW32" s="7"/>
      <c r="BY32" s="92">
        <f>BY$10*(1+((H32/H$10-1)*costos!$B$5+((I32*F32)/(I$10*F$10)-1)*costos!$E$5+((J32*F32)/((J$10*F$10)-1)*costos!$F$5/3+((K32*F32)/(K$10*F$10)-1)*costos!$F$5/3+((U32*F32)/(U$10*F$10)-1)*costos!$F$5/3+((L32*F32)/(L$10*F$10)-1)*costos!$G$5+((N32*F32)/(N$10*F$10)-1)*costos!$J$5+((V32*F32)/(V$10*F$10)-1)*costos!$K$5)))</f>
        <v>153.36605306980974</v>
      </c>
      <c r="BZ32" s="92">
        <f>$BZ$10*(1+((H32/$H$10-1)*costos!$B$6+((I32*F32)/($I$10*$F$10)-1)*costos!$E$6+((J32*F32)/(($J$10*$F$10)-1)*costos!$F$6/3+((K32*F32)/($K$10*$F$10)-1)*costos!$F$6/3+((U32*F32)/($U$10*$F$10)-1)*costos!$F$6/3+((L32*F32)/($L$10*$F$10)-1)*costos!$G$6+((Q32*F32)/($Q$10*$F$10)-1)*costos!$J$6+((V32*F32)/($V$10*$F$10)-1)*costos!$K$6)))</f>
        <v>143.89178046052047</v>
      </c>
      <c r="CA32" s="92">
        <f>CA$10*(1+((H32/H$10-1)*costos!$B$7+((I32*F32)/(I$10*F$10)-1)*costos!$E$7+((J32*F32)/((J$10*F$10)-1)*costos!$F$7/3+((K32*F32)/(K$10*F$10)-1)*costos!$F$7/3+((U32*F32)/(U$10*F$10)-1)*costos!$F$7/3+((L32*F32)/(L$10*F$10)-1)*costos!$G$7+((S32*F32)/(S$10*F$10)-1)*costos!$J$7+((V32*F32)/(V$10*F$10)-1)*costos!$K$7)))</f>
        <v>145.94357655824913</v>
      </c>
      <c r="CB32" s="92">
        <f>CB$10*(1+((H32/H$10-1)*costos!$B$8+((I32*F32)/(I$10*F$10)-1)*costos!$E$8+((J32*F32)/((J$10*F$10)-1)*costos!$F$8/3+((K32*F32)/(K$10*F$10)-1)*costos!$F$8/3+((U32*F32)/(U$10*F$10)-1)*costos!$F$8/3+((L32*F32)/(L$10*F$10)-1)*costos!$G$8+((T32*F32)/(T$10*F$10)-1)*costos!$J$8+((V32*F32)/(V$10*F$10)-1)*costos!$K$8)))</f>
        <v>148.96602525202377</v>
      </c>
      <c r="CC32" s="92">
        <f>CC$10*(1+((H32/H$10-1)*costos!$B$9+((I32*F32)/(I$10*F$10)-1)*costos!$E$9+((J32*F32)/((J$10*F$10)-1)*costos!$F$9/3+((K32*F32)/(K$10*F$10)-1)*costos!$F$9/3+((U32*F32)/(U$10*F$10)-1)*costos!$F$9/3+((L32*F32)/(L$10*F$10)-1)*costos!$G$9+((U32*F32)/(U$10*F$10)-1)*costos!$J$9+((V32*F32)/(V$10*F$10)-1)*costos!$K$9)))</f>
        <v>143.37830185188568</v>
      </c>
      <c r="CD32" s="92">
        <f>CD$10*(1+((H32/H$10-1)*costos!$B$11+((I32*F32)/(I$10*F$10)-1)*costos!$E$11+((J32*F32)/((J$10*F$10)-1)*costos!$F$11/3+((K32*F32)/(K$10*F$10)-1)*costos!$F$11/3+((U32*F32)/(U$10*F$10)-1)*costos!$F$11/3+((L32*F32)/(L$10*F$10)-1)*costos!$G$11+((V32*F32)/(V$10*F$10)-1)*costos!$J$11+((V32*F32)/(V$10*F$10)-1)*costos!$K$11)))</f>
        <v>147.04811289563878</v>
      </c>
      <c r="CE32" s="92">
        <f>CE$10*(1+((H32/H$10-1)*costos!$B$12+((I32*F32)/(I$10*F$10)-1)*costos!$E$12+((J32*F32)/((J$10*F$10)-1)*costos!$F$12/3+((K32*F32)/(K$10*F$10)-1)*costos!$F$12/3+((U32*F32)/(U$10*F$10)-1)*costos!$F$12/3+((L32*F32)/(L$10*F$10)-1)*costos!$G$12+((W32*F32)/(W$10*F$10)-1)*costos!$J$12+((V32*F32)/(V$10*F$10)-1)*costos!$K$12)))</f>
        <v>134.69930837062319</v>
      </c>
      <c r="CF32" s="92">
        <f>CF$10*(1+((H32/H$10-1)*costos!$B$13+((I32*F32)/(I$10*F$10)-1)*costos!$E$13+((J32*F32)/((J$10*F$10)-1)*costos!$F$13/3+((K32*F32)/(K$10*F$10)-1)*costos!$F$13/3+((U32*F32)/(U$10*F$10)-1)*costos!$F$13/3+((L32*F32)/(L$10*F$10)-1)*costos!$G$13+((X32*F32)/(X$10*F$10)-1)*costos!$J$13+((V32*F32)/(V$10*F$10)-1)*costos!$K$13)))</f>
        <v>148.40560891124315</v>
      </c>
      <c r="CG32" s="92">
        <f t="shared" si="60"/>
        <v>144.74015563994394</v>
      </c>
      <c r="CH32" s="92">
        <f>CH$10*(1+((H32/H$10-1)*costos!$B$10+((I32*F32)/(I$10*F$10)-1)*costos!$E$10+((J32*F32)/((J$10*F$10)-1)*costos!$F$10/3+((K32*F32)/(K$10*F$10)-1)*costos!$F$10/3+((U32*F32)/(U$10*F$10)-1)*costos!$F$10/3+((L32*F32)/(L$10*F$10)-1)*costos!$G$10+((AF32)/(AF$10)-1)*costos!$J$10+((V32*F32)/(V$10*F$10)-1)*costos!$K$10)))</f>
        <v>161.19199338643352</v>
      </c>
      <c r="CI32" s="92">
        <f>CI$10*(1+((H32/H$10-1)*costos!$B$15+((I32*F32)/(I$10*F$10)-1)*costos!$E$15+((J32*F32)/((J$10*F$10)-1)*costos!$F$15/3+((K32*F32)/(K$10*F$10)-1)*costos!$F$15/3+((U32*F32)/(U$10*F$10)-1)*costos!$F$15/3+((L32*F32)/(L$10*F$10)-1)*costos!$G$15+((AV32)/(AV$10)-1)*costos!$J$15+((V32*F32)/(V$10*F$10)-1)*costos!$K$15)))</f>
        <v>169.33536619730484</v>
      </c>
      <c r="CJ32" s="92">
        <f>CJ$10*(1+((H32/H$10-1)*costos!$B$16+((I32*F32)/(I$10*F$10)-1)*costos!$E$16+((J32*F32)/((J$10*F$10)-1)*costos!$F$16/3+((K32*F32)/(K$10*F$10)-1)*costos!$F$16/3+((U32*F32)/(U$10*F$10)-1)*costos!$F$16/3+((L32*F32)/(L$10*F$10)-1)*costos!$G$16+((AW32)/(AW$10)-1)*costos!$J$16+((V32*F32)/(V$10*F$10)-1)*costos!$K$16)))</f>
        <v>161.39995835630714</v>
      </c>
      <c r="CK32" s="92">
        <f>CK$10*(1+((H32/H$10-1)*costos!$B$17+((I32*F32)/(I$10*F$10)-1)*costos!$E$17+((J32*F32)/((J$10*F$10)-1)*costos!$F$17/3+((K32*F32)/(K$10*F$10)-1)*costos!$F$17/3+((U32*F32)/(U$10*F$10)-1)*costos!$F$17/3+((L32*F32)/(L$10*F$10)-1)*costos!$G$17+((AX32)/(AX$10)-1)*costos!$J$17+((V32*F32)/(V$10*F$10)-1)*costos!$K$17)))</f>
        <v>182.21009884809351</v>
      </c>
      <c r="CL32" s="92">
        <f>CL$10*(1+((H32/H$10-1)*costos!$B$18+((I32*F32)/(I$10*F$10)-1)*costos!$E$18+((J32*F32)/((J$10*F$10)-1)*costos!$F$18/3+((K32*F32)/(K$10*F$10)-1)*costos!$F$18/3+((U32*F32)/(U$10*F$10)-1)*costos!$F$18/3+((L32*F32)/(L$10*F$10)-1)*costos!$G$18+((AY32)/(AY$10)-1)*costos!$J$18+((V32*F32)/(V$10*F$10)-1)*costos!$K$18)))</f>
        <v>176.06088766748672</v>
      </c>
      <c r="CM32" s="92">
        <f>CM$10*(1+((H32/H$10-1)*costos!$B$19+((I32*F32)/(I$10*F$10)-1)*costos!$E$19+((J32*F32)/((J$10*F$10)-1)*costos!$F$19/3+((K32*F32)/(K$10*F$10)-1)*costos!$F$19/3+((U32*F32)/(U$10*F$10)-1)*costos!$F$19/3+((L32*F32)/(L$10*F$10)-1)*costos!$G$19+((AZ32)/(AZ$10)-1)*costos!$J$19+((V32*F32)/(V$10*F$10)-1)*costos!$K$19)))</f>
        <v>167.58245804828849</v>
      </c>
      <c r="CN32" s="92">
        <f>CN$10*(1+((H32/H$10-1)*costos!$B$20+((I32*F32)/(I$10*F$10)-1)*costos!$E$20+((J32*F32)/((J$10*F$10)-1)*costos!$F$20/3+((K32*F32)/(K$10*F$10)-1)*costos!$F$20/3+((U32*F32)/(U$10*F$10)-1)*costos!$F$20/3+((L32*F32)/(L$10*F$10)-1)*costos!$G$20+((BA32)/(BA$10)-1)*costos!$J$20+((V32*F32)/(V$10*F$10)-1)*costos!$K$20)))</f>
        <v>154.59416014152683</v>
      </c>
      <c r="CO32" s="92">
        <f t="shared" si="61"/>
        <v>170.11190117634888</v>
      </c>
      <c r="CP32" s="92">
        <f>CP$10*(1+((H32/H$10-1)*costos!$B$22+((I32*F32)/(I$10*F$10)-1)*costos!$E$22+((J32*F32)/((J$10*F$10)-1)*costos!$F$22/3+((K32*F32)/(K$10*F$10)-1)*costos!$F$22/3+((U32*F32)/(U$10*F$10)-1)*costos!$F$22/3+((L32*F32)/(L$10*F$10)-1)*costos!$G$22+(((AVERAGE(AI32:AL32))/((AVERAGE(AI$10:AL$10))-1)*costos!$J$22+((V32*F32)/(V$10*F$10)-1)*costos!$K$22)))))</f>
        <v>202.46828083419635</v>
      </c>
      <c r="CQ32" s="92">
        <f>CQ$10*(1+((H32/H$10-1)*costos!$B$23+((I32*F32)/(I$10*F$10)-1)*costos!$E$23+((J32*F32)/((J$10*F$10)-1)*costos!$F$23/3+((K32*F32)/(K$10*F$10)-1)*costos!$F$23/3+((U32*F32)/(U$10*F$10)-1)*costos!$F$23/3+((L32*F32)/(L$10*F$10)-1)*costos!$G$23+((AN32)/(AN$10)-1)*costos!$J$23+((V32*F32)/(V$10*F$10)-1)*costos!$K$23)))</f>
        <v>159.8622985435785</v>
      </c>
      <c r="CR32" s="92">
        <f>CR$10*(1+((H32/H$10-1)*costos!$B$24+((I32*F32)/(I$10*F$10)-1)*costos!$E$24+((J32*F32)/((J$10*F$10)-1)*costos!$F$24/3+((K32*F32)/(K$10*F$10)-1)*costos!$F$24/3+((U32*F32)/(U$10*F$10)-1)*costos!$F$24/3+((L32*F32)/(L$10*F$10)-1)*costos!$G$24+((AO32)/(AO$10)-1)*costos!$J$24+((V32*F32)/(V$10*F$10)-1)*costos!$K$24)))</f>
        <v>159.84645802831221</v>
      </c>
      <c r="CS32" s="92">
        <f t="shared" si="62"/>
        <v>159.85437828594536</v>
      </c>
      <c r="CT32" s="92">
        <f>CT$10*(1+((H32/H$10-1)*costos!$B$25+((I32*F32)/(I$10*F$10)-1)*costos!$E$25+((J32*F32)/((J$10*F$10)-1)*costos!$F$25/3+((K32*F32)/(K$10*F$10)-1)*costos!$F$25/3+((U32*F32)/(U$10*F$10)-1)*costos!$F$25/3+((L32*F32)/(L$10*F$10)-1)*costos!$G$25+((AQ32)/(AQ$10)-1)*costos!$J$25+((V32*F32)/(V$10*F$10)-1)*costos!$K$25)))</f>
        <v>156.0179004105502</v>
      </c>
      <c r="CU32" s="92">
        <f>CU$10*(1+((H32/H$10-1)*costos!$B$26+((I32*F32)/(I$10*F$10)-1)*costos!$E$26+((J32*F32)/((J$10*F$10)-1)*costos!$F$26/3+((K32*F32)/(K$10*F$10)-1)*costos!$F$26/3+((U32*F32)/(U$10*F$10)-1)*costos!$F$26/3+((L32*F32)/(L$10*F$10)-1)*costos!$G$26+((AR32)/(AR$10)-1)*costos!$J$26+((V32*F32)/(V$10*F$10)-1)*costos!$K$26)))</f>
        <v>148.59213324465972</v>
      </c>
      <c r="CV32" s="92">
        <f>CV$10*(1+((H32/H$10-1)*costos!$B$27+((I32*F32)/(I$10*F$10)-1)*costos!$E$27+((J32*F32)/((J$10*F$10)-1)*costos!$F$27/3+((K32*F32)/(K$10*F$10)-1)*costos!$F$27/3+((U32*F32)/(U$10*F$10)-1)*costos!$F$27/3+((L32*F32)/(L$10*F$10)-1)*costos!$G$27+((AS32)/(AS$10)-1)*costos!$J$27+((V32*F32)/(V$10*F$10)-1)*costos!$K$27)))</f>
        <v>144.53245578794321</v>
      </c>
      <c r="CW32" s="92">
        <f>CW$10*(1+((H32/H$10-1)*costos!$B$28+((I32*F32)/(I$10*F$10)-1)*costos!$E$28+((J32*F32)/((J$10*F$10)-1)*costos!$F$28/3+((K32*F32)/(K$10*F$10)-1)*costos!$F$28/3+((U32*F32)/(U$10*F$10)-1)*costos!$F$28/3+((L32*F32)/(L$10*F$10)-1)*costos!$G$28+((AS32)/(AS$10)-1)*costos!$J$28+((V32*F32)/(V$10*F$10)-1)*costos!$K$28)))</f>
        <v>144.53245578794321</v>
      </c>
      <c r="CX32" s="92">
        <f t="shared" si="63"/>
        <v>145.88568160684869</v>
      </c>
      <c r="CY32" s="92">
        <f>CY$10*(1+((H32/H$10-1)*costos!$B$32+((I32*F32)/(I$10*F$10)-1)*costos!$E$32+((J32*F32)/((J$10*F$10)-1)*costos!$F$32/3+((K32*F32)/(K$10*F$10)-1)*costos!$F$32/3+((U32*F32)/(U$10*F$10)-1)*costos!$F$32/3+((L32*F32)/(L$10*F$10)-1)*costos!$G$32+((AG32)/(AG$10)-1)*costos!$J$32+((V32*F32)/(V$10*F$10)-1)*costos!$K$32)))</f>
        <v>159.64594160296483</v>
      </c>
      <c r="CZ32" s="69">
        <f>CZ$10*(1+((H32/H$10-1)*costos!$B$31+((I32*F32)/(I$10*F$10)-1)*costos!$E$30+((J32*F32)/((J$10*F$10)-1)*costos!$F$30/3+((K32*F32)/(K$10*F$10)-1)*costos!$F$30/3+((U32*F32)/(U$10*F$10)-1)*costos!$F$30/3+((L32*F32)/(L$10*F$10)-1)*costos!$G$30+((BG32)/(BG$10)-1)*costos!$J$30+((V32*F32)/(V$10*F$10)-1)*costos!$K$30)))</f>
        <v>168.82902320768079</v>
      </c>
      <c r="DA32" s="69">
        <f>DA$10*(1+((H32/H$10-1)*costos!$B$31+((I32*F32)/(I$10*F$10)-1)*costos!$E$31+((J32*F32)/((J$10*F$10)-1)*costos!$F$31/3+((K32*F32)/(K$10*F$10)-1)*costos!$F$31/3+((U32*F32)/(U$10*F$10)-1)*costos!$F$31/3+((L32*F32)/(L$10*F$10)-1)*costos!$G$31+((BJ32)/(BJ$10)-1)*costos!$J$31+((V32*F32)/(V$10*F$10)-1)*costos!$K$31)))</f>
        <v>158.59249994124255</v>
      </c>
      <c r="DB32" s="69">
        <f>DB$10*(1+((H32/H$10-1)*costos!$B$36+((I32*F32)/(I$10*F$10)-1)*costos!$E$36+((J32*F32)/((J$10*F$10)-1)*costos!$F$36/3+((K32*F32)/(K$10*F$10)-1)*costos!$F$36/3+((U32*F32)/(U$10*F$10)-1)*costos!$F$36/3+((L32*F32)/(L$10*F$10)-1)*costos!$G$36+((BK32)/(BK$10)-1)*costos!$J$36+((V32*F32)/(V$10*F$10)-1)*costos!$K$36)))</f>
        <v>153.13487126301345</v>
      </c>
      <c r="DC32" s="69">
        <f>DC$10*(1+((H32/H$10-1)*costos!$B$37+((I32*F32)/(I$10*F$10)-1)*costos!$E$37+((U32*F32)/(U$10*F$10)-1)*costos!$F$37+((L32*F32)/(L$10*F$10)-1)*costos!$G$37+((BN32)/(BN$10)-1)*costos!$J$37+((V32*F32)/(V$10*F$10)-1)*costos!$K$37))</f>
        <v>139.13659440488212</v>
      </c>
      <c r="DD32" s="69">
        <f>DD$10*(1+((H32/H$10-1)*costos!$B$39+((I32*F32)/(I$10*F$10)-1)*costos!$E$39+((U32*F32)/(U$10*F$10)-1)*costos!$F$39+((L32*F32)/(L$10*F$10)-1)*costos!$G$39+((BR32)/(BR$10)-1)*costos!$J$39+((V32*F32)/(V$10*F$10)-1)*costos!$K$39))</f>
        <v>136.93992423237606</v>
      </c>
      <c r="DE32" s="69">
        <f>DD$10*(1+((H32/H$10-1)*costos!$B$35+((I32*F32)/(I$10*F$10)-1)*costos!$E$35+((U32*F32)/(U$10*F$10)-1)*costos!$F$35+((L32*F32)/(L$10*F$10)-1)*costos!$G$35+((BR32)/(BR$10)-1)*costos!$J$35+((V32*F32)/(V$10*F$10)-1)*costos!$K$35))</f>
        <v>132.95919033659297</v>
      </c>
      <c r="DF32" s="69">
        <f>DF$10*(1+((H32/H$10-1)*costos!$B$40+((I32*F32)/(I$10*F$10)-1)*costos!$E$40+((U32*F32)/(U$10*F$10)-1)*costos!$F$40+((L32*F32)/(L$10*F$10)-1)*costos!$G$40+((BP32)/(BP$10)-1)*costos!$J$40+((V32*F32)/(V$10*F$10)-1)*costos!$K$40))</f>
        <v>132.93968652200019</v>
      </c>
      <c r="DG32" s="92">
        <f t="shared" si="64"/>
        <v>132.94943842929658</v>
      </c>
      <c r="DH32" s="69">
        <f>DH$10*(1+((H32/H$10-1)*costos!$B$34+((I32*F32)/(I$10*F$10)-1)*costos!$E$34+((J32*F32)/((J$10*F$10)-1)*costos!$F$34/3+((K32*F32)/(K$10*F$10)-1)*costos!$F$34/3+((U32*F32)/(U$10*F$10)-1)*costos!$F$34/3+((L32*F32)/(L$10*F$10)-1)*costos!$G$34+((BV32)/(BV$10)-1)*costos!$J$34+((V32*F32)/(V$10*F$10)-1)*costos!$K$34)))</f>
        <v>159.16586160091705</v>
      </c>
      <c r="DI32" s="69">
        <f>DI$10*(1+((H32/H$10-1)*costos!$B$38+((I32*F32)/(I$10*F$10)-1)*costos!$E$38+((J32*F32)/((J$10*F$10)-1)*costos!$F$38/3+((K32*F32)/(K$10*F$10)-1)*costos!$F$38/3+((U32*F32)/(U$10*F$10)-1)*costos!$F$38/3+((L32*F32)/(L$10*F$10)-1)*costos!$G$38+((BU32)/(BU$10)-1)*costos!$J$38+((V32*F32)/(V$10*F$10)-1)*costos!$K$38)))</f>
        <v>159.85268865767935</v>
      </c>
      <c r="DK32" s="1">
        <v>327000</v>
      </c>
      <c r="DL32" s="1" t="s">
        <v>6</v>
      </c>
      <c r="DM32" s="82">
        <f t="shared" si="155"/>
        <v>206500</v>
      </c>
      <c r="DN32" s="82" t="str">
        <f t="shared" si="155"/>
        <v>2016-17</v>
      </c>
      <c r="DO32" s="82">
        <f t="shared" si="155"/>
        <v>800000</v>
      </c>
      <c r="DP32" s="82" t="str">
        <f t="shared" si="155"/>
        <v>2017-18</v>
      </c>
      <c r="DQ32" s="1">
        <v>1750000</v>
      </c>
      <c r="DR32" s="1" t="s">
        <v>6</v>
      </c>
      <c r="DS32" s="1">
        <v>5400000</v>
      </c>
      <c r="DT32" s="1" t="s">
        <v>6</v>
      </c>
      <c r="DU32" s="1">
        <v>18100000</v>
      </c>
      <c r="DV32" s="1" t="s">
        <v>6</v>
      </c>
      <c r="DW32" s="1">
        <v>830000</v>
      </c>
      <c r="DX32" s="1" t="s">
        <v>6</v>
      </c>
      <c r="DY32" s="1">
        <v>5930000</v>
      </c>
      <c r="DZ32" s="83" t="s">
        <v>6</v>
      </c>
      <c r="EA32" s="79">
        <f t="shared" si="67"/>
        <v>32810000</v>
      </c>
      <c r="EB32" s="82">
        <f t="shared" si="156"/>
        <v>364191</v>
      </c>
      <c r="EC32" s="82" t="str">
        <f t="shared" si="157"/>
        <v>2016-17</v>
      </c>
      <c r="ED32" s="83">
        <f t="shared" si="157"/>
        <v>165327</v>
      </c>
      <c r="EE32" s="143">
        <f t="shared" si="157"/>
        <v>2016</v>
      </c>
      <c r="EF32" s="83">
        <f t="shared" si="121"/>
        <v>220848</v>
      </c>
      <c r="EG32" s="143">
        <f t="shared" si="122"/>
        <v>2017</v>
      </c>
      <c r="EH32" s="83">
        <v>54163380</v>
      </c>
      <c r="EI32" s="143">
        <v>2017</v>
      </c>
      <c r="EJ32" s="83">
        <f t="shared" si="169"/>
        <v>5119438</v>
      </c>
      <c r="EK32" s="143">
        <v>2025</v>
      </c>
      <c r="EL32" s="82">
        <f t="shared" si="175"/>
        <v>14746566</v>
      </c>
      <c r="EM32" s="144">
        <f t="shared" si="175"/>
        <v>2017</v>
      </c>
      <c r="EN32" s="82">
        <f t="shared" si="175"/>
        <v>3364725</v>
      </c>
      <c r="EO32" s="144">
        <f t="shared" si="175"/>
        <v>2017</v>
      </c>
      <c r="EP32" s="82">
        <f t="shared" si="118"/>
        <v>6552</v>
      </c>
      <c r="EQ32" s="83">
        <f t="shared" si="100"/>
        <v>3003036</v>
      </c>
      <c r="ER32" s="1">
        <v>33739</v>
      </c>
      <c r="ES32" s="82"/>
      <c r="ET32" s="83">
        <f t="shared" si="101"/>
        <v>23614</v>
      </c>
      <c r="EU32" s="83">
        <f t="shared" si="101"/>
        <v>16845</v>
      </c>
      <c r="EV32" s="83">
        <f t="shared" si="101"/>
        <v>9213</v>
      </c>
      <c r="EW32" s="83">
        <f t="shared" si="101"/>
        <v>17766</v>
      </c>
      <c r="EX32" s="79">
        <f t="shared" si="72"/>
        <v>67438</v>
      </c>
      <c r="EY32" s="83">
        <f t="shared" si="123"/>
        <v>19284</v>
      </c>
      <c r="EZ32" s="82">
        <f t="shared" si="123"/>
        <v>74845</v>
      </c>
      <c r="FA32" s="1">
        <f t="shared" si="103"/>
        <v>20879</v>
      </c>
      <c r="FB32" s="1">
        <f t="shared" si="103"/>
        <v>19496</v>
      </c>
      <c r="FC32" s="79">
        <f t="shared" si="73"/>
        <v>40375</v>
      </c>
      <c r="FD32" s="1">
        <f t="shared" si="158"/>
        <v>65075.3</v>
      </c>
      <c r="FE32" s="1"/>
      <c r="FF32" s="82">
        <f t="shared" ref="FF32:FN37" si="186">+FF31</f>
        <v>630040</v>
      </c>
      <c r="FG32" s="82" t="str">
        <f t="shared" si="186"/>
        <v>2016-17</v>
      </c>
      <c r="FH32" s="82">
        <f t="shared" si="186"/>
        <v>1328340</v>
      </c>
      <c r="FI32" s="82" t="str">
        <f t="shared" si="186"/>
        <v>2016-17</v>
      </c>
      <c r="FJ32" s="82">
        <f t="shared" si="186"/>
        <v>3000000</v>
      </c>
      <c r="FK32" s="82" t="str">
        <f t="shared" si="186"/>
        <v>2016-17</v>
      </c>
      <c r="FL32" s="82">
        <f t="shared" si="186"/>
        <v>3300000</v>
      </c>
      <c r="FM32" s="82" t="str">
        <f t="shared" si="186"/>
        <v>2016-17</v>
      </c>
      <c r="FN32" s="82">
        <f t="shared" si="186"/>
        <v>39000000</v>
      </c>
      <c r="FO32" s="82" t="str">
        <f>+FO31</f>
        <v>2016-17</v>
      </c>
      <c r="FP32" s="82">
        <f t="shared" si="176"/>
        <v>57500000</v>
      </c>
      <c r="FQ32" s="82" t="str">
        <f t="shared" si="177"/>
        <v>2016-17</v>
      </c>
      <c r="FR32" s="82">
        <f t="shared" si="181"/>
        <v>3200000</v>
      </c>
      <c r="FS32" s="82" t="str">
        <f t="shared" si="182"/>
        <v>2016-17</v>
      </c>
      <c r="FT32" s="1">
        <v>18520000</v>
      </c>
      <c r="FU32" s="1" t="s">
        <v>6</v>
      </c>
      <c r="FV32" s="79">
        <f t="shared" si="76"/>
        <v>124520000</v>
      </c>
      <c r="FW32" s="82">
        <f t="shared" si="183"/>
        <v>1081031.1999999997</v>
      </c>
      <c r="FX32" s="82" t="str">
        <f t="shared" si="184"/>
        <v>2016-17</v>
      </c>
      <c r="FY32" s="1">
        <v>0</v>
      </c>
      <c r="FZ32" s="79">
        <f t="shared" si="135"/>
        <v>675226.79</v>
      </c>
      <c r="GA32" s="86" t="str">
        <f t="shared" si="136"/>
        <v>dic16 nov17</v>
      </c>
      <c r="GB32" s="1">
        <v>19652055</v>
      </c>
      <c r="GC32" s="6">
        <v>2017</v>
      </c>
      <c r="GD32" s="1">
        <f t="shared" si="165"/>
        <v>1675851</v>
      </c>
      <c r="GE32" s="1">
        <v>459665</v>
      </c>
      <c r="GF32" s="1">
        <v>1024918</v>
      </c>
      <c r="GG32" s="1">
        <f t="shared" si="166"/>
        <v>112337</v>
      </c>
      <c r="GH32" s="79">
        <f t="shared" si="78"/>
        <v>1596920</v>
      </c>
      <c r="GI32" s="82">
        <f t="shared" si="79"/>
        <v>1302556</v>
      </c>
      <c r="GJ32" s="83">
        <f t="shared" si="162"/>
        <v>665408</v>
      </c>
      <c r="GK32" s="83">
        <f t="shared" si="162"/>
        <v>660753</v>
      </c>
      <c r="GL32" s="83">
        <f t="shared" si="162"/>
        <v>290290.46000000002</v>
      </c>
      <c r="GM32" s="83">
        <f t="shared" si="162"/>
        <v>263224.75</v>
      </c>
      <c r="GN32" s="79">
        <f t="shared" si="81"/>
        <v>1879676.21</v>
      </c>
      <c r="GO32" s="83">
        <f t="shared" si="107"/>
        <v>193430</v>
      </c>
      <c r="GP32" s="83">
        <f t="shared" si="107"/>
        <v>76379</v>
      </c>
      <c r="GQ32" s="1"/>
      <c r="GR32" s="1">
        <f t="shared" si="150"/>
        <v>42700</v>
      </c>
      <c r="GS32" s="79">
        <f t="shared" si="83"/>
        <v>42700</v>
      </c>
      <c r="GT32" s="83">
        <f t="shared" si="108"/>
        <v>2459310</v>
      </c>
      <c r="GU32" s="1">
        <v>12571</v>
      </c>
      <c r="GV32" s="1">
        <v>29755</v>
      </c>
      <c r="GW32" s="79">
        <f t="shared" si="151"/>
        <v>1079076.6666666667</v>
      </c>
      <c r="GX32" s="83">
        <v>32330.198</v>
      </c>
      <c r="GY32" s="83" t="s">
        <v>328</v>
      </c>
      <c r="GZ32" s="83">
        <f t="shared" si="109"/>
        <v>117154</v>
      </c>
      <c r="HA32" s="1">
        <v>254000</v>
      </c>
      <c r="HB32" s="79">
        <f t="shared" si="137"/>
        <v>2837000</v>
      </c>
      <c r="HC32" s="86" t="str">
        <f t="shared" si="138"/>
        <v>dic16 nov17</v>
      </c>
      <c r="HD32" s="1">
        <v>47857</v>
      </c>
      <c r="HE32" s="79">
        <f t="shared" si="139"/>
        <v>566187</v>
      </c>
      <c r="HF32" s="86" t="str">
        <f t="shared" si="140"/>
        <v>dic16 nov17</v>
      </c>
      <c r="HG32" s="1">
        <v>177000</v>
      </c>
      <c r="HH32" s="79">
        <f t="shared" si="141"/>
        <v>2130000</v>
      </c>
      <c r="HI32" s="86" t="str">
        <f t="shared" si="142"/>
        <v>dic16 nov17</v>
      </c>
      <c r="HJ32" s="1">
        <v>88958</v>
      </c>
      <c r="HK32" s="79">
        <f t="shared" si="143"/>
        <v>55665.060000000005</v>
      </c>
      <c r="HL32" s="86" t="str">
        <f t="shared" si="144"/>
        <v>dic16 nov17</v>
      </c>
      <c r="HM32" s="79">
        <f t="shared" si="86"/>
        <v>2185665.06</v>
      </c>
      <c r="HN32" s="87">
        <v>-3.7645056681668006E-3</v>
      </c>
      <c r="HO32" s="1">
        <f t="shared" si="152"/>
        <v>839129156.8757031</v>
      </c>
      <c r="HP32" s="79">
        <f t="shared" si="153"/>
        <v>9821.33435625948</v>
      </c>
      <c r="HQ32" s="86" t="str">
        <f t="shared" si="145"/>
        <v>dic16 nov17</v>
      </c>
      <c r="HR32" s="3"/>
      <c r="HS32" s="1"/>
      <c r="HT32" s="1"/>
      <c r="HU32" s="83">
        <f t="shared" si="174"/>
        <v>680000</v>
      </c>
      <c r="HV32" s="83" t="str">
        <f t="shared" si="174"/>
        <v>2016-17</v>
      </c>
      <c r="HW32" s="1">
        <v>1430000</v>
      </c>
      <c r="HX32" s="1" t="s">
        <v>106</v>
      </c>
      <c r="HY32" s="1">
        <v>3350000</v>
      </c>
      <c r="HZ32" s="1" t="s">
        <v>106</v>
      </c>
      <c r="IA32" s="1">
        <f t="shared" si="171"/>
        <v>19080000</v>
      </c>
      <c r="IB32" s="1" t="s">
        <v>106</v>
      </c>
      <c r="IC32" s="1">
        <v>47130000</v>
      </c>
      <c r="ID32" s="1" t="s">
        <v>106</v>
      </c>
      <c r="IE32" s="1">
        <f t="shared" si="172"/>
        <v>2450000</v>
      </c>
      <c r="IF32" s="1" t="s">
        <v>106</v>
      </c>
      <c r="IG32" s="1">
        <f t="shared" si="154"/>
        <v>6760000</v>
      </c>
      <c r="IH32" s="1" t="s">
        <v>106</v>
      </c>
      <c r="II32" s="79">
        <f t="shared" si="87"/>
        <v>80200000</v>
      </c>
      <c r="IJ32" s="97">
        <f t="shared" si="167"/>
        <v>1.5629261117125455</v>
      </c>
      <c r="IK32" s="1" t="s">
        <v>106</v>
      </c>
      <c r="IL32" s="7">
        <v>45.19</v>
      </c>
      <c r="IM32" s="7">
        <v>62.304704205359464</v>
      </c>
      <c r="IN32" s="7">
        <v>197</v>
      </c>
      <c r="IO32" s="695">
        <v>14.38</v>
      </c>
      <c r="IP32" s="98">
        <f t="shared" si="163"/>
        <v>5.6020702831241165</v>
      </c>
      <c r="IQ32" s="93">
        <v>20.2</v>
      </c>
      <c r="IR32" s="93">
        <f t="shared" si="168"/>
        <v>3.01</v>
      </c>
      <c r="IS32" s="93">
        <f t="shared" si="168"/>
        <v>5.59</v>
      </c>
      <c r="IT32" s="93">
        <f t="shared" si="168"/>
        <v>11.85</v>
      </c>
      <c r="IU32" s="93">
        <f t="shared" si="168"/>
        <v>0.79</v>
      </c>
      <c r="IV32" s="94">
        <f t="shared" si="89"/>
        <v>18.229999999999997</v>
      </c>
      <c r="IW32" s="84"/>
      <c r="IX32" s="84"/>
      <c r="IY32" s="105">
        <v>1.84</v>
      </c>
      <c r="IZ32" s="161">
        <v>0.3</v>
      </c>
      <c r="JA32" s="570"/>
      <c r="JB32" s="84">
        <v>41.09</v>
      </c>
      <c r="JC32" s="84"/>
      <c r="JD32" s="84"/>
      <c r="JE32" s="1"/>
      <c r="JF32" s="2">
        <v>3.8038791999999999</v>
      </c>
      <c r="JG32" s="2">
        <v>9.9075550200000002</v>
      </c>
      <c r="JH32" s="2">
        <v>46.034873509999997</v>
      </c>
      <c r="JI32" s="2">
        <v>34.587462290000005</v>
      </c>
      <c r="JJ32" s="2">
        <v>315.30520983999986</v>
      </c>
      <c r="JK32" s="2">
        <v>79.037735749999982</v>
      </c>
      <c r="JL32" s="2">
        <v>980.50618635999979</v>
      </c>
      <c r="JM32" s="2">
        <v>4.5725192899999998</v>
      </c>
      <c r="JN32" s="2">
        <v>183.44848166</v>
      </c>
      <c r="JO32" s="2">
        <v>12.585467659999999</v>
      </c>
      <c r="JP32" s="2">
        <v>0</v>
      </c>
      <c r="JQ32" s="2">
        <v>0</v>
      </c>
      <c r="JR32" s="2">
        <v>0.82213363000000006</v>
      </c>
      <c r="JS32" s="2">
        <v>0</v>
      </c>
      <c r="JT32" s="2">
        <v>3.5000000000000001E-3</v>
      </c>
      <c r="JU32" s="2">
        <v>81.222570829999981</v>
      </c>
      <c r="JV32" s="2">
        <v>6.6194707100000008</v>
      </c>
      <c r="JW32" s="2">
        <v>7.9700586400000004</v>
      </c>
      <c r="JX32" s="2">
        <v>13.04877389</v>
      </c>
      <c r="JY32" s="2">
        <v>9.2622999999999994E-3</v>
      </c>
      <c r="JZ32" s="2">
        <v>0.97114339999999988</v>
      </c>
      <c r="KA32" s="2">
        <v>0.79775799999999997</v>
      </c>
      <c r="KB32" s="2">
        <v>17.831671890000003</v>
      </c>
      <c r="KC32" s="2">
        <v>20.338963549999999</v>
      </c>
      <c r="KD32" s="2">
        <v>6.865450899999999</v>
      </c>
      <c r="KE32" s="2">
        <v>11.12230037</v>
      </c>
      <c r="KF32" s="2">
        <v>27.998395900000006</v>
      </c>
      <c r="KG32" s="2">
        <v>201.79707485</v>
      </c>
      <c r="KH32" s="2">
        <v>63.042212160000005</v>
      </c>
      <c r="KI32" s="2">
        <v>18.475152440000002</v>
      </c>
      <c r="KJ32" s="2">
        <v>1.9913675300000002</v>
      </c>
      <c r="KK32" s="2">
        <v>10.310003579999998</v>
      </c>
      <c r="KL32" s="2">
        <v>0.67798842999999998</v>
      </c>
      <c r="KM32" s="2">
        <v>8.1260811799999999</v>
      </c>
      <c r="KN32" s="2">
        <v>0.79633947999999999</v>
      </c>
      <c r="KO32" s="2">
        <v>6.2836318000000002</v>
      </c>
      <c r="KP32" s="2">
        <v>2.5219049999999996E-2</v>
      </c>
      <c r="KQ32" s="2">
        <v>56.191895780000003</v>
      </c>
      <c r="KR32" s="2">
        <v>6.9799079999999999E-2</v>
      </c>
      <c r="KS32" s="2">
        <v>0.13693905000000001</v>
      </c>
      <c r="KT32" s="2">
        <v>8.1927693300000008</v>
      </c>
      <c r="KU32" s="2">
        <v>0.67503115000000002</v>
      </c>
      <c r="KV32" s="2">
        <v>0.50926667000000003</v>
      </c>
      <c r="KW32" s="2">
        <v>2.8802455299999998</v>
      </c>
      <c r="KX32" s="2">
        <v>0</v>
      </c>
      <c r="KY32" s="2">
        <v>0.22483985999999997</v>
      </c>
      <c r="KZ32" s="2">
        <v>5.5065139199999997</v>
      </c>
      <c r="LA32" s="2">
        <v>2.5303687699999999</v>
      </c>
      <c r="LB32" s="2">
        <v>2.413823E-2</v>
      </c>
      <c r="LC32" s="2">
        <v>0.83766410000000002</v>
      </c>
      <c r="LD32" s="2">
        <v>0</v>
      </c>
      <c r="LE32" s="2">
        <v>0.80831944999999994</v>
      </c>
      <c r="LF32" s="2">
        <v>0.40495635999999996</v>
      </c>
      <c r="LG32" s="2">
        <v>25.810973910000001</v>
      </c>
      <c r="LH32" s="2">
        <v>4.2423849800000006</v>
      </c>
      <c r="LI32" s="2">
        <v>9.6441329999999992E-2</v>
      </c>
      <c r="LJ32" s="2">
        <v>0</v>
      </c>
      <c r="LK32" s="2">
        <v>1.8189602699999998</v>
      </c>
      <c r="LL32" s="2">
        <v>3.5600665899999999</v>
      </c>
      <c r="LM32" s="2">
        <v>2.9836850699999999</v>
      </c>
      <c r="LN32" s="2">
        <v>0.44799552000000004</v>
      </c>
      <c r="LO32" s="2">
        <v>11.228432869999999</v>
      </c>
      <c r="LQ32" s="85">
        <f t="shared" si="90"/>
        <v>1564.4547329499994</v>
      </c>
      <c r="LR32" s="85">
        <f t="shared" si="91"/>
        <v>0.82563363000000001</v>
      </c>
      <c r="LS32" s="85">
        <f t="shared" si="92"/>
        <v>14.589529350000001</v>
      </c>
      <c r="LT32" s="85">
        <f t="shared" si="93"/>
        <v>1.7781636999999999</v>
      </c>
      <c r="LU32" s="85">
        <f t="shared" si="94"/>
        <v>71.604686369999996</v>
      </c>
      <c r="LV32" s="85">
        <f t="shared" si="95"/>
        <v>3.6143520599999999</v>
      </c>
      <c r="LW32" s="85">
        <f t="shared" si="96"/>
        <v>2.5545070000000001</v>
      </c>
      <c r="LX32" s="85">
        <f t="shared" si="97"/>
        <v>1.2132758099999998</v>
      </c>
      <c r="LZ32" s="131">
        <v>22.85</v>
      </c>
      <c r="MA32" s="171">
        <v>21.74</v>
      </c>
      <c r="MB32"/>
      <c r="MC32"/>
      <c r="MD32"/>
      <c r="MF32"/>
      <c r="MG32"/>
      <c r="MH32" s="83">
        <v>40.24</v>
      </c>
      <c r="MI32" s="83">
        <v>10.81</v>
      </c>
      <c r="MJ32" s="83">
        <v>18.7</v>
      </c>
      <c r="MK32"/>
      <c r="ML32" s="83">
        <v>15.26</v>
      </c>
      <c r="MM32" s="83">
        <v>35.299999999999997</v>
      </c>
      <c r="MN32" s="83"/>
      <c r="MO32" s="83">
        <v>16.649999999999999</v>
      </c>
      <c r="MP32" s="83">
        <v>44.18</v>
      </c>
      <c r="MQ32" s="83">
        <v>38.33</v>
      </c>
      <c r="MR32"/>
      <c r="MT32" s="83"/>
      <c r="MU32" s="83">
        <v>14.79</v>
      </c>
      <c r="MV32"/>
      <c r="MW32"/>
      <c r="MX32"/>
      <c r="MY32" s="83">
        <v>33.119999999999997</v>
      </c>
      <c r="MZ32" s="83">
        <v>97.6</v>
      </c>
      <c r="NA32" s="83">
        <v>37.65</v>
      </c>
      <c r="NB32" s="83">
        <v>133.37</v>
      </c>
      <c r="NC32" s="83">
        <v>22.63</v>
      </c>
      <c r="ND32"/>
      <c r="NE32" s="1">
        <v>118.63</v>
      </c>
    </row>
    <row r="33" spans="1:369">
      <c r="A33" s="38">
        <f t="shared" si="32"/>
        <v>43070</v>
      </c>
      <c r="B33" s="36">
        <v>12</v>
      </c>
      <c r="C33" s="36">
        <v>2017</v>
      </c>
      <c r="D33" s="36">
        <f t="shared" si="50"/>
        <v>33</v>
      </c>
      <c r="E33" s="38">
        <f t="shared" si="33"/>
        <v>43070</v>
      </c>
      <c r="F33" s="7">
        <v>17.939473684210526</v>
      </c>
      <c r="G33" s="7">
        <v>124.8</v>
      </c>
      <c r="H33" s="1">
        <f>[2]NACIONALES!$D21</f>
        <v>12648.96</v>
      </c>
      <c r="I33" s="7">
        <v>115</v>
      </c>
      <c r="J33" s="7">
        <v>430</v>
      </c>
      <c r="K33" s="7">
        <v>2.6</v>
      </c>
      <c r="L33" s="7">
        <v>37.9</v>
      </c>
      <c r="N33" s="5">
        <v>1.5372105263157894</v>
      </c>
      <c r="O33" s="5">
        <v>1.4052105263157895</v>
      </c>
      <c r="P33" s="78">
        <f t="shared" si="34"/>
        <v>26.39274252077562</v>
      </c>
      <c r="Q33" s="6">
        <v>415</v>
      </c>
      <c r="R33" s="79">
        <f t="shared" si="35"/>
        <v>4150</v>
      </c>
      <c r="S33" s="6">
        <v>159.83333333333334</v>
      </c>
      <c r="T33" s="6">
        <v>298.16666666666669</v>
      </c>
      <c r="U33" s="143">
        <v>150.33684210526314</v>
      </c>
      <c r="V33" s="6">
        <v>264.38421052631583</v>
      </c>
      <c r="W33" s="6">
        <v>123.08333333333333</v>
      </c>
      <c r="X33" s="6">
        <v>166.66842105263157</v>
      </c>
      <c r="Y33" s="79">
        <f t="shared" si="36"/>
        <v>2867.3258771929827</v>
      </c>
      <c r="Z33" s="79">
        <f t="shared" si="37"/>
        <v>5348.9530701754393</v>
      </c>
      <c r="AA33" s="79">
        <f t="shared" si="38"/>
        <v>2696.9638227146811</v>
      </c>
      <c r="AB33" s="79">
        <f t="shared" si="39"/>
        <v>4742.913587257618</v>
      </c>
      <c r="AC33" s="79">
        <f t="shared" si="40"/>
        <v>2208.0502192982453</v>
      </c>
      <c r="AD33" s="79">
        <f t="shared" si="41"/>
        <v>2989.9437534626036</v>
      </c>
      <c r="AE33" s="79">
        <f t="shared" si="42"/>
        <v>3475.6917216835946</v>
      </c>
      <c r="AF33" s="1">
        <v>12070.6</v>
      </c>
      <c r="AG33" s="1">
        <v>6300</v>
      </c>
      <c r="AH33" s="1">
        <v>23300</v>
      </c>
      <c r="AI33" s="5">
        <v>12.61</v>
      </c>
      <c r="AJ33" s="5">
        <v>7.61</v>
      </c>
      <c r="AK33" s="5">
        <v>7.17</v>
      </c>
      <c r="AL33" s="5">
        <v>5.91</v>
      </c>
      <c r="AM33" s="78">
        <f t="shared" si="43"/>
        <v>9.3876000000000008</v>
      </c>
      <c r="AN33" s="7">
        <v>561.54143646408841</v>
      </c>
      <c r="AO33" s="7">
        <v>338.41999999999996</v>
      </c>
      <c r="AP33" s="78">
        <f t="shared" si="146"/>
        <v>338.41999999999996</v>
      </c>
      <c r="AQ33" s="7">
        <v>338.46846846846847</v>
      </c>
      <c r="AR33" s="7">
        <v>229.31789473684211</v>
      </c>
      <c r="AS33" s="7">
        <v>126.78861788617886</v>
      </c>
      <c r="AT33" s="7">
        <v>298.99157894736845</v>
      </c>
      <c r="AU33" s="78">
        <f t="shared" si="53"/>
        <v>218.36603052346314</v>
      </c>
      <c r="AV33" s="7">
        <v>155.46447761194023</v>
      </c>
      <c r="AW33" s="7">
        <v>353.27947368421053</v>
      </c>
      <c r="AX33" s="7">
        <v>195.88315789473683</v>
      </c>
      <c r="AY33" s="7">
        <v>159.24235294117648</v>
      </c>
      <c r="AZ33" s="7">
        <v>174.95105263157896</v>
      </c>
      <c r="BA33" s="7">
        <v>95.804062500000015</v>
      </c>
      <c r="BB33" s="94">
        <f t="shared" si="45"/>
        <v>165.75330664667183</v>
      </c>
      <c r="BC33" s="68">
        <f t="shared" si="185"/>
        <v>632</v>
      </c>
      <c r="BD33" s="68">
        <f t="shared" si="185"/>
        <v>776</v>
      </c>
      <c r="BE33" s="7">
        <f t="shared" si="185"/>
        <v>690</v>
      </c>
      <c r="BF33" s="7">
        <f t="shared" si="185"/>
        <v>410</v>
      </c>
      <c r="BG33" s="94">
        <f t="shared" si="56"/>
        <v>627</v>
      </c>
      <c r="BH33" s="7">
        <v>43.18</v>
      </c>
      <c r="BI33" s="7">
        <f t="shared" si="178"/>
        <v>14.866</v>
      </c>
      <c r="BJ33" s="78">
        <f t="shared" si="57"/>
        <v>58.045999999999999</v>
      </c>
      <c r="BK33" s="7">
        <v>33.284999999999997</v>
      </c>
      <c r="BL33" s="7">
        <v>33.994</v>
      </c>
      <c r="BM33" s="94">
        <f t="shared" si="58"/>
        <v>33.639499999999998</v>
      </c>
      <c r="BN33" s="5">
        <v>5.71</v>
      </c>
      <c r="BO33" s="105">
        <v>25.431578947368426</v>
      </c>
      <c r="BP33" s="80">
        <v>11.762833333333333</v>
      </c>
      <c r="BQ33" s="94">
        <f t="shared" si="59"/>
        <v>24.064704385964916</v>
      </c>
      <c r="BR33" s="7">
        <v>21.4</v>
      </c>
      <c r="BS33" s="7">
        <v>90</v>
      </c>
      <c r="BT33" s="7">
        <v>62.84</v>
      </c>
      <c r="BU33" s="79">
        <f t="shared" si="147"/>
        <v>1268.52</v>
      </c>
      <c r="BV33" s="97">
        <v>36.299999999999997</v>
      </c>
      <c r="BW33" s="7"/>
      <c r="BY33" s="92">
        <f>BY$10*(1+((H33/H$10-1)*costos!$B$5+((I33*F33)/(I$10*F$10)-1)*costos!$E$5+((J33*F33)/((J$10*F$10)-1)*costos!$F$5/3+((K33*F33)/(K$10*F$10)-1)*costos!$F$5/3+((U33*F33)/(U$10*F$10)-1)*costos!$F$5/3+((L33*F33)/(L$10*F$10)-1)*costos!$G$5+((N33*F33)/(N$10*F$10)-1)*costos!$J$5+((V33*F33)/(V$10*F$10)-1)*costos!$K$5)))</f>
        <v>157.8110875343431</v>
      </c>
      <c r="BZ33" s="92">
        <f>$BZ$10*(1+((H33/$H$10-1)*costos!$B$6+((I33*F33)/($I$10*$F$10)-1)*costos!$E$6+((J33*F33)/(($J$10*$F$10)-1)*costos!$F$6/3+((K33*F33)/($K$10*$F$10)-1)*costos!$F$6/3+((U33*F33)/($U$10*$F$10)-1)*costos!$F$6/3+((L33*F33)/($L$10*$F$10)-1)*costos!$G$6+((Q33*F33)/($Q$10*$F$10)-1)*costos!$J$6+((V33*F33)/($V$10*$F$10)-1)*costos!$K$6)))</f>
        <v>152.55126462554412</v>
      </c>
      <c r="CA33" s="92">
        <f>CA$10*(1+((H33/H$10-1)*costos!$B$7+((I33*F33)/(I$10*F$10)-1)*costos!$E$7+((J33*F33)/((J$10*F$10)-1)*costos!$F$7/3+((K33*F33)/(K$10*F$10)-1)*costos!$F$7/3+((U33*F33)/(U$10*F$10)-1)*costos!$F$7/3+((L33*F33)/(L$10*F$10)-1)*costos!$G$7+((S33*F33)/(S$10*F$10)-1)*costos!$J$7+((V33*F33)/(V$10*F$10)-1)*costos!$K$7)))</f>
        <v>149.56903304508629</v>
      </c>
      <c r="CB33" s="92">
        <f>CB$10*(1+((H33/H$10-1)*costos!$B$8+((I33*F33)/(I$10*F$10)-1)*costos!$E$8+((J33*F33)/((J$10*F$10)-1)*costos!$F$8/3+((K33*F33)/(K$10*F$10)-1)*costos!$F$8/3+((U33*F33)/(U$10*F$10)-1)*costos!$F$8/3+((L33*F33)/(L$10*F$10)-1)*costos!$G$8+((T33*F33)/(T$10*F$10)-1)*costos!$J$8+((V33*F33)/(V$10*F$10)-1)*costos!$K$8)))</f>
        <v>150.12047012543201</v>
      </c>
      <c r="CC33" s="92">
        <f>CC$10*(1+((H33/H$10-1)*costos!$B$9+((I33*F33)/(I$10*F$10)-1)*costos!$E$9+((J33*F33)/((J$10*F$10)-1)*costos!$F$9/3+((K33*F33)/(K$10*F$10)-1)*costos!$F$9/3+((U33*F33)/(U$10*F$10)-1)*costos!$F$9/3+((L33*F33)/(L$10*F$10)-1)*costos!$G$9+((U33*F33)/(U$10*F$10)-1)*costos!$J$9+((V33*F33)/(V$10*F$10)-1)*costos!$K$9)))</f>
        <v>147.21808190981596</v>
      </c>
      <c r="CD33" s="92">
        <f>CD$10*(1+((H33/H$10-1)*costos!$B$11+((I33*F33)/(I$10*F$10)-1)*costos!$E$11+((J33*F33)/((J$10*F$10)-1)*costos!$F$11/3+((K33*F33)/(K$10*F$10)-1)*costos!$F$11/3+((U33*F33)/(U$10*F$10)-1)*costos!$F$11/3+((L33*F33)/(L$10*F$10)-1)*costos!$G$11+((V33*F33)/(V$10*F$10)-1)*costos!$J$11+((V33*F33)/(V$10*F$10)-1)*costos!$K$11)))</f>
        <v>150.09022113652119</v>
      </c>
      <c r="CE33" s="92">
        <f>CE$10*(1+((H33/H$10-1)*costos!$B$12+((I33*F33)/(I$10*F$10)-1)*costos!$E$12+((J33*F33)/((J$10*F$10)-1)*costos!$F$12/3+((K33*F33)/(K$10*F$10)-1)*costos!$F$12/3+((U33*F33)/(U$10*F$10)-1)*costos!$F$12/3+((L33*F33)/(L$10*F$10)-1)*costos!$G$12+((W33*F33)/(W$10*F$10)-1)*costos!$J$12+((V33*F33)/(V$10*F$10)-1)*costos!$K$12)))</f>
        <v>140.19833709823135</v>
      </c>
      <c r="CF33" s="92">
        <f>CF$10*(1+((H33/H$10-1)*costos!$B$13+((I33*F33)/(I$10*F$10)-1)*costos!$E$13+((J33*F33)/((J$10*F$10)-1)*costos!$F$13/3+((K33*F33)/(K$10*F$10)-1)*costos!$F$13/3+((U33*F33)/(U$10*F$10)-1)*costos!$F$13/3+((L33*F33)/(L$10*F$10)-1)*costos!$G$13+((X33*F33)/(X$10*F$10)-1)*costos!$J$13+((V33*F33)/(V$10*F$10)-1)*costos!$K$13)))</f>
        <v>152.36642654100507</v>
      </c>
      <c r="CG33" s="92">
        <f t="shared" si="60"/>
        <v>148.26042830934864</v>
      </c>
      <c r="CH33" s="92">
        <f>CH$10*(1+((H33/H$10-1)*costos!$B$10+((I33*F33)/(I$10*F$10)-1)*costos!$E$10+((J33*F33)/((J$10*F$10)-1)*costos!$F$10/3+((K33*F33)/(K$10*F$10)-1)*costos!$F$10/3+((U33*F33)/(U$10*F$10)-1)*costos!$F$10/3+((L33*F33)/(L$10*F$10)-1)*costos!$G$10+((AF33)/(AF$10)-1)*costos!$J$10+((V33*F33)/(V$10*F$10)-1)*costos!$K$10)))</f>
        <v>163.03922127608894</v>
      </c>
      <c r="CI33" s="92">
        <f>CI$10*(1+((H33/H$10-1)*costos!$B$15+((I33*F33)/(I$10*F$10)-1)*costos!$E$15+((J33*F33)/((J$10*F$10)-1)*costos!$F$15/3+((K33*F33)/(K$10*F$10)-1)*costos!$F$15/3+((U33*F33)/(U$10*F$10)-1)*costos!$F$15/3+((L33*F33)/(L$10*F$10)-1)*costos!$G$15+((AV33)/(AV$10)-1)*costos!$J$15+((V33*F33)/(V$10*F$10)-1)*costos!$K$15)))</f>
        <v>165.61691074538783</v>
      </c>
      <c r="CJ33" s="92">
        <f>CJ$10*(1+((H33/H$10-1)*costos!$B$16+((I33*F33)/(I$10*F$10)-1)*costos!$E$16+((J33*F33)/((J$10*F$10)-1)*costos!$F$16/3+((K33*F33)/(K$10*F$10)-1)*costos!$F$16/3+((U33*F33)/(U$10*F$10)-1)*costos!$F$16/3+((L33*F33)/(L$10*F$10)-1)*costos!$G$16+((AW33)/(AW$10)-1)*costos!$J$16+((V33*F33)/(V$10*F$10)-1)*costos!$K$16)))</f>
        <v>162.61485469697197</v>
      </c>
      <c r="CK33" s="92">
        <f>CK$10*(1+((H33/H$10-1)*costos!$B$17+((I33*F33)/(I$10*F$10)-1)*costos!$E$17+((J33*F33)/((J$10*F$10)-1)*costos!$F$17/3+((K33*F33)/(K$10*F$10)-1)*costos!$F$17/3+((U33*F33)/(U$10*F$10)-1)*costos!$F$17/3+((L33*F33)/(L$10*F$10)-1)*costos!$G$17+((AX33)/(AX$10)-1)*costos!$J$17+((V33*F33)/(V$10*F$10)-1)*costos!$K$17)))</f>
        <v>175.01989127463315</v>
      </c>
      <c r="CL33" s="92">
        <f>CL$10*(1+((H33/H$10-1)*costos!$B$18+((I33*F33)/(I$10*F$10)-1)*costos!$E$18+((J33*F33)/((J$10*F$10)-1)*costos!$F$18/3+((K33*F33)/(K$10*F$10)-1)*costos!$F$18/3+((U33*F33)/(U$10*F$10)-1)*costos!$F$18/3+((L33*F33)/(L$10*F$10)-1)*costos!$G$18+((AY33)/(AY$10)-1)*costos!$J$18+((V33*F33)/(V$10*F$10)-1)*costos!$K$18)))</f>
        <v>160.04348233508011</v>
      </c>
      <c r="CM33" s="92">
        <f>CM$10*(1+((H33/H$10-1)*costos!$B$19+((I33*F33)/(I$10*F$10)-1)*costos!$E$19+((J33*F33)/((J$10*F$10)-1)*costos!$F$19/3+((K33*F33)/(K$10*F$10)-1)*costos!$F$19/3+((U33*F33)/(U$10*F$10)-1)*costos!$F$19/3+((L33*F33)/(L$10*F$10)-1)*costos!$G$19+((AZ33)/(AZ$10)-1)*costos!$J$19+((V33*F33)/(V$10*F$10)-1)*costos!$K$19)))</f>
        <v>158.52005480235263</v>
      </c>
      <c r="CN33" s="92">
        <f>CN$10*(1+((H33/H$10-1)*costos!$B$20+((I33*F33)/(I$10*F$10)-1)*costos!$E$20+((J33*F33)/((J$10*F$10)-1)*costos!$F$20/3+((K33*F33)/(K$10*F$10)-1)*costos!$F$20/3+((U33*F33)/(U$10*F$10)-1)*costos!$F$20/3+((L33*F33)/(L$10*F$10)-1)*costos!$G$20+((BA33)/(BA$10)-1)*costos!$J$20+((V33*F33)/(V$10*F$10)-1)*costos!$K$20)))</f>
        <v>151.99368779321924</v>
      </c>
      <c r="CO33" s="92">
        <f t="shared" si="61"/>
        <v>161.39427905132129</v>
      </c>
      <c r="CP33" s="92">
        <f>CP$10*(1+((H33/H$10-1)*costos!$B$22+((I33*F33)/(I$10*F$10)-1)*costos!$E$22+((J33*F33)/((J$10*F$10)-1)*costos!$F$22/3+((K33*F33)/(K$10*F$10)-1)*costos!$F$22/3+((U33*F33)/(U$10*F$10)-1)*costos!$F$22/3+((L33*F33)/(L$10*F$10)-1)*costos!$G$22+(((AVERAGE(AI33:AL33))/((AVERAGE(AI$10:AL$10))-1)*costos!$J$22+((V33*F33)/(V$10*F$10)-1)*costos!$K$22)))))</f>
        <v>204.98535867000228</v>
      </c>
      <c r="CQ33" s="92">
        <f>CQ$10*(1+((H33/H$10-1)*costos!$B$23+((I33*F33)/(I$10*F$10)-1)*costos!$E$23+((J33*F33)/((J$10*F$10)-1)*costos!$F$23/3+((K33*F33)/(K$10*F$10)-1)*costos!$F$23/3+((U33*F33)/(U$10*F$10)-1)*costos!$F$23/3+((L33*F33)/(L$10*F$10)-1)*costos!$G$23+((AN33)/(AN$10)-1)*costos!$J$23+((V33*F33)/(V$10*F$10)-1)*costos!$K$23)))</f>
        <v>162.32560252874069</v>
      </c>
      <c r="CR33" s="92">
        <f>CR$10*(1+((H33/H$10-1)*costos!$B$24+((I33*F33)/(I$10*F$10)-1)*costos!$E$24+((J33*F33)/((J$10*F$10)-1)*costos!$F$24/3+((K33*F33)/(K$10*F$10)-1)*costos!$F$24/3+((U33*F33)/(U$10*F$10)-1)*costos!$F$24/3+((L33*F33)/(L$10*F$10)-1)*costos!$G$24+((AO33)/(AO$10)-1)*costos!$J$24+((V33*F33)/(V$10*F$10)-1)*costos!$K$24)))</f>
        <v>162.45132789469358</v>
      </c>
      <c r="CS33" s="92">
        <f t="shared" si="62"/>
        <v>162.38846521171712</v>
      </c>
      <c r="CT33" s="92">
        <f>CT$10*(1+((H33/H$10-1)*costos!$B$25+((I33*F33)/(I$10*F$10)-1)*costos!$E$25+((J33*F33)/((J$10*F$10)-1)*costos!$F$25/3+((K33*F33)/(K$10*F$10)-1)*costos!$F$25/3+((U33*F33)/(U$10*F$10)-1)*costos!$F$25/3+((L33*F33)/(L$10*F$10)-1)*costos!$G$25+((AQ33)/(AQ$10)-1)*costos!$J$25+((V33*F33)/(V$10*F$10)-1)*costos!$K$25)))</f>
        <v>158.8133562660544</v>
      </c>
      <c r="CU33" s="92">
        <f>CU$10*(1+((H33/H$10-1)*costos!$B$26+((I33*F33)/(I$10*F$10)-1)*costos!$E$26+((J33*F33)/((J$10*F$10)-1)*costos!$F$26/3+((K33*F33)/(K$10*F$10)-1)*costos!$F$26/3+((U33*F33)/(U$10*F$10)-1)*costos!$F$26/3+((L33*F33)/(L$10*F$10)-1)*costos!$G$26+((AR33)/(AR$10)-1)*costos!$J$26+((V33*F33)/(V$10*F$10)-1)*costos!$K$26)))</f>
        <v>154.60004117622285</v>
      </c>
      <c r="CV33" s="92">
        <f>CV$10*(1+((H33/H$10-1)*costos!$B$27+((I33*F33)/(I$10*F$10)-1)*costos!$E$27+((J33*F33)/((J$10*F$10)-1)*costos!$F$27/3+((K33*F33)/(K$10*F$10)-1)*costos!$F$27/3+((U33*F33)/(U$10*F$10)-1)*costos!$F$27/3+((L33*F33)/(L$10*F$10)-1)*costos!$G$27+((AS33)/(AS$10)-1)*costos!$J$27+((V33*F33)/(V$10*F$10)-1)*costos!$K$27)))</f>
        <v>147.46495955330084</v>
      </c>
      <c r="CW33" s="92">
        <f>CW$10*(1+((H33/H$10-1)*costos!$B$28+((I33*F33)/(I$10*F$10)-1)*costos!$E$28+((J33*F33)/((J$10*F$10)-1)*costos!$F$28/3+((K33*F33)/(K$10*F$10)-1)*costos!$F$28/3+((U33*F33)/(U$10*F$10)-1)*costos!$F$28/3+((L33*F33)/(L$10*F$10)-1)*costos!$G$28+((AS33)/(AS$10)-1)*costos!$J$28+((V33*F33)/(V$10*F$10)-1)*costos!$K$28)))</f>
        <v>147.46495955330084</v>
      </c>
      <c r="CX33" s="92">
        <f t="shared" si="63"/>
        <v>149.84332009427484</v>
      </c>
      <c r="CY33" s="92">
        <f>CY$10*(1+((H33/H$10-1)*costos!$B$32+((I33*F33)/(I$10*F$10)-1)*costos!$E$32+((J33*F33)/((J$10*F$10)-1)*costos!$F$32/3+((K33*F33)/(K$10*F$10)-1)*costos!$F$32/3+((U33*F33)/(U$10*F$10)-1)*costos!$F$32/3+((L33*F33)/(L$10*F$10)-1)*costos!$G$32+((AG33)/(AG$10)-1)*costos!$J$32+((V33*F33)/(V$10*F$10)-1)*costos!$K$32)))</f>
        <v>160.98919536118598</v>
      </c>
      <c r="CZ33" s="69">
        <f>CZ$10*(1+((H33/H$10-1)*costos!$B$31+((I33*F33)/(I$10*F$10)-1)*costos!$E$30+((J33*F33)/((J$10*F$10)-1)*costos!$F$30/3+((K33*F33)/(K$10*F$10)-1)*costos!$F$30/3+((U33*F33)/(U$10*F$10)-1)*costos!$F$30/3+((L33*F33)/(L$10*F$10)-1)*costos!$G$30+((BG33)/(BG$10)-1)*costos!$J$30+((V33*F33)/(V$10*F$10)-1)*costos!$K$30)))</f>
        <v>173.85620750386397</v>
      </c>
      <c r="DA33" s="69">
        <f>DA$10*(1+((H33/H$10-1)*costos!$B$31+((I33*F33)/(I$10*F$10)-1)*costos!$E$31+((J33*F33)/((J$10*F$10)-1)*costos!$F$31/3+((K33*F33)/(K$10*F$10)-1)*costos!$F$31/3+((U33*F33)/(U$10*F$10)-1)*costos!$F$31/3+((L33*F33)/(L$10*F$10)-1)*costos!$G$31+((BJ33)/(BJ$10)-1)*costos!$J$31+((V33*F33)/(V$10*F$10)-1)*costos!$K$31)))</f>
        <v>160.55791670535072</v>
      </c>
      <c r="DB33" s="69">
        <f>DB$10*(1+((H33/H$10-1)*costos!$B$36+((I33*F33)/(I$10*F$10)-1)*costos!$E$36+((J33*F33)/((J$10*F$10)-1)*costos!$F$36/3+((K33*F33)/(K$10*F$10)-1)*costos!$F$36/3+((U33*F33)/(U$10*F$10)-1)*costos!$F$36/3+((L33*F33)/(L$10*F$10)-1)*costos!$G$36+((BK33)/(BK$10)-1)*costos!$J$36+((V33*F33)/(V$10*F$10)-1)*costos!$K$36)))</f>
        <v>154.50253238589994</v>
      </c>
      <c r="DC33" s="69">
        <f>DC$10*(1+((H33/H$10-1)*costos!$B$37+((I33*F33)/(I$10*F$10)-1)*costos!$E$37+((U33*F33)/(U$10*F$10)-1)*costos!$F$37+((L33*F33)/(L$10*F$10)-1)*costos!$G$37+((BN33)/(BN$10)-1)*costos!$J$37+((V33*F33)/(V$10*F$10)-1)*costos!$K$37))</f>
        <v>144.24257173265937</v>
      </c>
      <c r="DD33" s="69">
        <f>DD$10*(1+((H33/H$10-1)*costos!$B$39+((I33*F33)/(I$10*F$10)-1)*costos!$E$39+((U33*F33)/(U$10*F$10)-1)*costos!$F$39+((L33*F33)/(L$10*F$10)-1)*costos!$G$39+((BR33)/(BR$10)-1)*costos!$J$39+((V33*F33)/(V$10*F$10)-1)*costos!$K$39))</f>
        <v>141.51455850449977</v>
      </c>
      <c r="DE33" s="69">
        <f>DD$10*(1+((H33/H$10-1)*costos!$B$35+((I33*F33)/(I$10*F$10)-1)*costos!$E$35+((U33*F33)/(U$10*F$10)-1)*costos!$F$35+((L33*F33)/(L$10*F$10)-1)*costos!$G$35+((BR33)/(BR$10)-1)*costos!$J$35+((V33*F33)/(V$10*F$10)-1)*costos!$K$35))</f>
        <v>135.56921082830846</v>
      </c>
      <c r="DF33" s="69">
        <f>DF$10*(1+((H33/H$10-1)*costos!$B$40+((I33*F33)/(I$10*F$10)-1)*costos!$E$40+((U33*F33)/(U$10*F$10)-1)*costos!$F$40+((L33*F33)/(L$10*F$10)-1)*costos!$G$40+((BP33)/(BP$10)-1)*costos!$J$40+((V33*F33)/(V$10*F$10)-1)*costos!$K$40))</f>
        <v>136.91513003281116</v>
      </c>
      <c r="DG33" s="92">
        <f t="shared" si="64"/>
        <v>136.24217043055981</v>
      </c>
      <c r="DH33" s="69">
        <f>DH$10*(1+((H33/H$10-1)*costos!$B$34+((I33*F33)/(I$10*F$10)-1)*costos!$E$34+((J33*F33)/((J$10*F$10)-1)*costos!$F$34/3+((K33*F33)/(K$10*F$10)-1)*costos!$F$34/3+((U33*F33)/(U$10*F$10)-1)*costos!$F$34/3+((L33*F33)/(L$10*F$10)-1)*costos!$G$34+((BV33)/(BV$10)-1)*costos!$J$34+((V33*F33)/(V$10*F$10)-1)*costos!$K$34)))</f>
        <v>161.5209072232081</v>
      </c>
      <c r="DI33" s="69">
        <f>DI$10*(1+((H33/H$10-1)*costos!$B$38+((I33*F33)/(I$10*F$10)-1)*costos!$E$38+((J33*F33)/((J$10*F$10)-1)*costos!$F$38/3+((K33*F33)/(K$10*F$10)-1)*costos!$F$38/3+((U33*F33)/(U$10*F$10)-1)*costos!$F$38/3+((L33*F33)/(L$10*F$10)-1)*costos!$G$38+((BU33)/(BU$10)-1)*costos!$J$38+((V33*F33)/(V$10*F$10)-1)*costos!$K$38)))</f>
        <v>161.52313743828751</v>
      </c>
      <c r="DK33" s="1">
        <v>327000</v>
      </c>
      <c r="DL33" s="1" t="s">
        <v>6</v>
      </c>
      <c r="DM33" s="82">
        <f t="shared" si="155"/>
        <v>206500</v>
      </c>
      <c r="DN33" s="82" t="str">
        <f t="shared" si="155"/>
        <v>2016-17</v>
      </c>
      <c r="DO33" s="82">
        <f t="shared" si="155"/>
        <v>800000</v>
      </c>
      <c r="DP33" s="82" t="str">
        <f t="shared" si="155"/>
        <v>2017-18</v>
      </c>
      <c r="DQ33" s="1">
        <v>1750000</v>
      </c>
      <c r="DR33" s="1" t="s">
        <v>6</v>
      </c>
      <c r="DS33" s="1">
        <v>5400000</v>
      </c>
      <c r="DT33" s="1" t="s">
        <v>6</v>
      </c>
      <c r="DU33" s="1">
        <v>18100000</v>
      </c>
      <c r="DV33" s="1" t="s">
        <v>6</v>
      </c>
      <c r="DW33" s="1">
        <v>830000</v>
      </c>
      <c r="DX33" s="1" t="s">
        <v>6</v>
      </c>
      <c r="DY33" s="1">
        <v>5930000</v>
      </c>
      <c r="DZ33" s="83" t="s">
        <v>6</v>
      </c>
      <c r="EA33" s="79">
        <f t="shared" si="67"/>
        <v>32810000</v>
      </c>
      <c r="EB33" s="1">
        <v>407000</v>
      </c>
      <c r="EC33" s="1" t="s">
        <v>6</v>
      </c>
      <c r="ED33" s="83">
        <f t="shared" ref="ED33:EE33" si="187">+ED32</f>
        <v>165327</v>
      </c>
      <c r="EE33" s="143">
        <f t="shared" si="187"/>
        <v>2016</v>
      </c>
      <c r="EF33" s="83">
        <f t="shared" si="121"/>
        <v>220848</v>
      </c>
      <c r="EG33" s="143">
        <f t="shared" si="122"/>
        <v>2017</v>
      </c>
      <c r="EH33" s="83">
        <v>54163380</v>
      </c>
      <c r="EI33" s="143">
        <v>2017</v>
      </c>
      <c r="EJ33" s="83">
        <f t="shared" si="169"/>
        <v>5119438</v>
      </c>
      <c r="EK33" s="143">
        <v>2026</v>
      </c>
      <c r="EL33" s="82">
        <f t="shared" si="175"/>
        <v>14746566</v>
      </c>
      <c r="EM33" s="144">
        <f t="shared" si="175"/>
        <v>2017</v>
      </c>
      <c r="EN33" s="82">
        <f t="shared" si="175"/>
        <v>3364725</v>
      </c>
      <c r="EO33" s="144">
        <f t="shared" si="175"/>
        <v>2017</v>
      </c>
      <c r="EP33" s="82">
        <f t="shared" si="118"/>
        <v>6552</v>
      </c>
      <c r="EQ33" s="83">
        <f t="shared" si="100"/>
        <v>3003036</v>
      </c>
      <c r="ER33" s="1">
        <v>33739</v>
      </c>
      <c r="ES33" s="82"/>
      <c r="ET33" s="83">
        <f t="shared" si="101"/>
        <v>23614</v>
      </c>
      <c r="EU33" s="83">
        <f t="shared" si="101"/>
        <v>16845</v>
      </c>
      <c r="EV33" s="83">
        <f t="shared" si="101"/>
        <v>9213</v>
      </c>
      <c r="EW33" s="83">
        <f t="shared" si="101"/>
        <v>17766</v>
      </c>
      <c r="EX33" s="79">
        <f t="shared" si="72"/>
        <v>67438</v>
      </c>
      <c r="EY33" s="83">
        <f t="shared" si="123"/>
        <v>19284</v>
      </c>
      <c r="EZ33" s="82">
        <f t="shared" si="123"/>
        <v>74845</v>
      </c>
      <c r="FA33" s="1">
        <f t="shared" si="103"/>
        <v>20879</v>
      </c>
      <c r="FB33" s="1">
        <f t="shared" si="103"/>
        <v>19496</v>
      </c>
      <c r="FC33" s="79">
        <f t="shared" si="73"/>
        <v>40375</v>
      </c>
      <c r="FD33" s="1">
        <f t="shared" si="158"/>
        <v>65075.3</v>
      </c>
      <c r="FE33" s="1"/>
      <c r="FF33" s="82">
        <f t="shared" si="186"/>
        <v>630040</v>
      </c>
      <c r="FG33" s="82" t="str">
        <f t="shared" si="186"/>
        <v>2016-17</v>
      </c>
      <c r="FH33" s="82">
        <f t="shared" si="186"/>
        <v>1328340</v>
      </c>
      <c r="FI33" s="82" t="str">
        <f t="shared" si="186"/>
        <v>2016-17</v>
      </c>
      <c r="FJ33" s="82">
        <f t="shared" si="186"/>
        <v>3000000</v>
      </c>
      <c r="FK33" s="82" t="str">
        <f t="shared" si="186"/>
        <v>2016-17</v>
      </c>
      <c r="FL33" s="82">
        <f t="shared" si="186"/>
        <v>3300000</v>
      </c>
      <c r="FM33" s="82" t="str">
        <f t="shared" si="186"/>
        <v>2016-17</v>
      </c>
      <c r="FN33" s="82">
        <f t="shared" si="186"/>
        <v>39000000</v>
      </c>
      <c r="FO33" s="82" t="str">
        <f>+FO32</f>
        <v>2016-17</v>
      </c>
      <c r="FP33" s="82">
        <f t="shared" si="176"/>
        <v>57500000</v>
      </c>
      <c r="FQ33" s="82" t="str">
        <f t="shared" si="177"/>
        <v>2016-17</v>
      </c>
      <c r="FR33" s="82">
        <f t="shared" si="181"/>
        <v>3200000</v>
      </c>
      <c r="FS33" s="82" t="str">
        <f t="shared" si="182"/>
        <v>2016-17</v>
      </c>
      <c r="FT33" s="1">
        <v>18520000</v>
      </c>
      <c r="FU33" s="1" t="s">
        <v>6</v>
      </c>
      <c r="FV33" s="79">
        <f t="shared" si="76"/>
        <v>124520000</v>
      </c>
      <c r="FW33" s="82">
        <f t="shared" si="183"/>
        <v>1081031.1999999997</v>
      </c>
      <c r="FX33" s="82" t="str">
        <f t="shared" si="184"/>
        <v>2016-17</v>
      </c>
      <c r="FY33" s="1">
        <v>31533.577000000001</v>
      </c>
      <c r="FZ33" s="79">
        <f t="shared" si="135"/>
        <v>689984.63000000012</v>
      </c>
      <c r="GA33" s="86" t="str">
        <f t="shared" si="136"/>
        <v>ene17 dic17</v>
      </c>
      <c r="GB33" s="1">
        <v>19652055</v>
      </c>
      <c r="GC33" s="6">
        <v>2017</v>
      </c>
      <c r="GD33" s="1">
        <f t="shared" si="165"/>
        <v>1675851</v>
      </c>
      <c r="GE33" s="1">
        <v>459665</v>
      </c>
      <c r="GF33" s="1">
        <v>1024918</v>
      </c>
      <c r="GG33" s="1">
        <f t="shared" si="166"/>
        <v>112337</v>
      </c>
      <c r="GH33" s="79">
        <f t="shared" si="78"/>
        <v>1596920</v>
      </c>
      <c r="GI33" s="82">
        <f t="shared" si="79"/>
        <v>1302556</v>
      </c>
      <c r="GJ33" s="83">
        <f t="shared" si="162"/>
        <v>665408</v>
      </c>
      <c r="GK33" s="83">
        <f t="shared" si="162"/>
        <v>660753</v>
      </c>
      <c r="GL33" s="83">
        <f t="shared" si="162"/>
        <v>290290.46000000002</v>
      </c>
      <c r="GM33" s="83">
        <f t="shared" si="162"/>
        <v>263224.75</v>
      </c>
      <c r="GN33" s="79">
        <f t="shared" si="81"/>
        <v>1879676.21</v>
      </c>
      <c r="GO33" s="83">
        <f t="shared" si="107"/>
        <v>193430</v>
      </c>
      <c r="GP33" s="83">
        <f t="shared" si="107"/>
        <v>76379</v>
      </c>
      <c r="GQ33" s="1"/>
      <c r="GR33" s="1">
        <f t="shared" si="150"/>
        <v>42700</v>
      </c>
      <c r="GS33" s="79">
        <f t="shared" si="83"/>
        <v>42700</v>
      </c>
      <c r="GT33" s="83">
        <f t="shared" si="108"/>
        <v>2459310</v>
      </c>
      <c r="GU33" s="1">
        <v>9379</v>
      </c>
      <c r="GV33" s="1">
        <v>29762</v>
      </c>
      <c r="GW33" s="79">
        <f t="shared" si="151"/>
        <v>1015803</v>
      </c>
      <c r="GX33" s="83">
        <v>32330.198</v>
      </c>
      <c r="GY33" s="83" t="s">
        <v>328</v>
      </c>
      <c r="GZ33" s="83">
        <f t="shared" si="109"/>
        <v>117154</v>
      </c>
      <c r="HA33" s="1">
        <v>242000</v>
      </c>
      <c r="HB33" s="79">
        <f t="shared" si="137"/>
        <v>2841000</v>
      </c>
      <c r="HC33" s="86" t="str">
        <f t="shared" si="138"/>
        <v>ene17 dic17</v>
      </c>
      <c r="HD33" s="1">
        <v>47332</v>
      </c>
      <c r="HE33" s="79">
        <f t="shared" si="139"/>
        <v>568003</v>
      </c>
      <c r="HF33" s="86" t="str">
        <f t="shared" si="140"/>
        <v>ene17 dic17</v>
      </c>
      <c r="HG33" s="1">
        <v>165000</v>
      </c>
      <c r="HH33" s="79">
        <f t="shared" si="141"/>
        <v>2114000</v>
      </c>
      <c r="HI33" s="86" t="str">
        <f t="shared" si="142"/>
        <v>ene17 dic17</v>
      </c>
      <c r="HJ33" s="1">
        <v>89894</v>
      </c>
      <c r="HK33" s="79">
        <f t="shared" si="143"/>
        <v>61058.700000000004</v>
      </c>
      <c r="HL33" s="86" t="str">
        <f t="shared" si="144"/>
        <v>ene17 dic17</v>
      </c>
      <c r="HM33" s="79">
        <f t="shared" si="86"/>
        <v>2175058.7000000002</v>
      </c>
      <c r="HN33" s="87">
        <v>2.9038571734128181E-2</v>
      </c>
      <c r="HO33" s="1">
        <f t="shared" si="152"/>
        <v>841136128.53547633</v>
      </c>
      <c r="HP33" s="79">
        <f t="shared" si="153"/>
        <v>9845.0704847949564</v>
      </c>
      <c r="HQ33" s="86" t="str">
        <f t="shared" si="145"/>
        <v>ene17 dic17</v>
      </c>
      <c r="HR33" s="3"/>
      <c r="HS33" s="1"/>
      <c r="HT33" s="1"/>
      <c r="HU33" s="83">
        <f t="shared" si="174"/>
        <v>680000</v>
      </c>
      <c r="HV33" s="83" t="str">
        <f t="shared" si="174"/>
        <v>2016-17</v>
      </c>
      <c r="HW33" s="83">
        <v>1350000</v>
      </c>
      <c r="HX33" s="1" t="s">
        <v>6</v>
      </c>
      <c r="HY33" s="1">
        <v>3350000</v>
      </c>
      <c r="HZ33" s="1" t="s">
        <v>106</v>
      </c>
      <c r="IA33" s="1">
        <f t="shared" si="171"/>
        <v>19080000</v>
      </c>
      <c r="IB33" s="1" t="s">
        <v>106</v>
      </c>
      <c r="IC33" s="1">
        <v>47130000</v>
      </c>
      <c r="ID33" s="1" t="s">
        <v>106</v>
      </c>
      <c r="IE33" s="1">
        <f t="shared" si="172"/>
        <v>2450000</v>
      </c>
      <c r="IF33" s="1" t="s">
        <v>106</v>
      </c>
      <c r="IG33" s="1">
        <f>5600000+900000</f>
        <v>6500000</v>
      </c>
      <c r="IH33" s="1" t="s">
        <v>6</v>
      </c>
      <c r="II33" s="79">
        <f t="shared" si="87"/>
        <v>79860000</v>
      </c>
      <c r="IJ33" s="97">
        <f t="shared" si="167"/>
        <v>1.5629261117125455</v>
      </c>
      <c r="IK33" s="1" t="s">
        <v>106</v>
      </c>
      <c r="IL33" s="7">
        <v>40.64</v>
      </c>
      <c r="IM33" s="7">
        <v>58.215032343661306</v>
      </c>
      <c r="IN33" s="7">
        <v>197</v>
      </c>
      <c r="IO33" s="695">
        <v>14.07</v>
      </c>
      <c r="IP33" s="98">
        <f t="shared" si="163"/>
        <v>5.6020702831241165</v>
      </c>
      <c r="IQ33" s="93">
        <v>20.2</v>
      </c>
      <c r="IR33" s="93">
        <f t="shared" si="168"/>
        <v>3.01</v>
      </c>
      <c r="IS33" s="93">
        <f t="shared" si="168"/>
        <v>5.59</v>
      </c>
      <c r="IT33" s="93">
        <f t="shared" si="168"/>
        <v>11.85</v>
      </c>
      <c r="IU33" s="93">
        <f t="shared" si="168"/>
        <v>0.79</v>
      </c>
      <c r="IV33" s="94">
        <f t="shared" si="89"/>
        <v>18.229999999999997</v>
      </c>
      <c r="IW33" s="84"/>
      <c r="IX33" s="84"/>
      <c r="IY33" s="105">
        <v>1.84</v>
      </c>
      <c r="IZ33" s="161">
        <v>0.3</v>
      </c>
      <c r="JA33" s="570"/>
      <c r="JB33" s="84">
        <v>41.09</v>
      </c>
      <c r="JC33" s="84"/>
      <c r="JD33" s="84"/>
      <c r="JF33" s="2">
        <v>2.9595892699999991</v>
      </c>
      <c r="JG33" s="2">
        <v>8.6351688500000012</v>
      </c>
      <c r="JH33" s="2">
        <v>71.925960430000003</v>
      </c>
      <c r="JI33" s="2">
        <v>24.675277870000002</v>
      </c>
      <c r="JJ33" s="2">
        <v>235.06054873999997</v>
      </c>
      <c r="JK33" s="2">
        <v>89.639485860000008</v>
      </c>
      <c r="JL33" s="2">
        <v>836.59423155000002</v>
      </c>
      <c r="JM33" s="2">
        <v>6.5807333999999997</v>
      </c>
      <c r="JN33" s="2">
        <v>351.18717076000013</v>
      </c>
      <c r="JO33" s="2">
        <v>13.930177260000001</v>
      </c>
      <c r="JP33" s="2">
        <v>0</v>
      </c>
      <c r="JQ33" s="2">
        <v>5.9999999999999995E-4</v>
      </c>
      <c r="JR33" s="2">
        <v>0.60243866999999995</v>
      </c>
      <c r="JS33" s="2">
        <v>0</v>
      </c>
      <c r="JT33" s="2">
        <v>7.5171000000000002E-2</v>
      </c>
      <c r="JU33" s="2">
        <v>82.289250070000008</v>
      </c>
      <c r="JV33" s="2">
        <v>6.5601067099999995</v>
      </c>
      <c r="JW33" s="2">
        <v>4.9255134600000003</v>
      </c>
      <c r="JX33" s="2">
        <v>13.920578560000003</v>
      </c>
      <c r="JY33" s="2">
        <v>0</v>
      </c>
      <c r="JZ33" s="2">
        <v>0.86762262999999995</v>
      </c>
      <c r="KA33" s="2">
        <v>0.63744800000000001</v>
      </c>
      <c r="KB33" s="2">
        <v>13.060490690000002</v>
      </c>
      <c r="KC33" s="2">
        <v>10.85631083</v>
      </c>
      <c r="KD33" s="2">
        <v>7.4194477300000008</v>
      </c>
      <c r="KE33" s="2">
        <v>12.148196760000001</v>
      </c>
      <c r="KF33" s="2">
        <v>25.849433949999998</v>
      </c>
      <c r="KG33" s="2">
        <v>208.19711535000002</v>
      </c>
      <c r="KH33" s="2">
        <v>48.411020220000005</v>
      </c>
      <c r="KI33" s="2">
        <v>26.847281029999998</v>
      </c>
      <c r="KJ33" s="2">
        <v>2.6136680400000003</v>
      </c>
      <c r="KK33" s="2">
        <v>9.020099759999999</v>
      </c>
      <c r="KL33" s="2">
        <v>0.33324474999999998</v>
      </c>
      <c r="KM33" s="2">
        <v>6.1578546999999988</v>
      </c>
      <c r="KN33" s="2">
        <v>2.83758E-2</v>
      </c>
      <c r="KO33" s="2">
        <v>0.76890442000000014</v>
      </c>
      <c r="KP33" s="2">
        <v>1.6375299999999999E-3</v>
      </c>
      <c r="KQ33" s="2">
        <v>20.91103815</v>
      </c>
      <c r="KR33" s="2">
        <v>7.08897E-3</v>
      </c>
      <c r="KS33" s="2">
        <v>6.3588310000000009E-2</v>
      </c>
      <c r="KT33" s="2">
        <v>7.1374737999999995</v>
      </c>
      <c r="KU33" s="2">
        <v>0.39425086999999998</v>
      </c>
      <c r="KV33" s="2">
        <v>0.13091332</v>
      </c>
      <c r="KW33" s="2">
        <v>1.989832</v>
      </c>
      <c r="KX33" s="2">
        <v>0</v>
      </c>
      <c r="KY33" s="2">
        <v>2.787479E-2</v>
      </c>
      <c r="KZ33" s="2">
        <v>2.1023306600000002</v>
      </c>
      <c r="LA33" s="2">
        <v>1.4148787</v>
      </c>
      <c r="LB33" s="2">
        <v>0</v>
      </c>
      <c r="LC33" s="2">
        <v>0.67939562999999992</v>
      </c>
      <c r="LD33" s="2">
        <v>4.6354449999999998E-2</v>
      </c>
      <c r="LE33" s="2">
        <v>1.4217725200000002</v>
      </c>
      <c r="LF33" s="2">
        <v>0.42321297999999996</v>
      </c>
      <c r="LG33" s="2">
        <v>27.186331299999996</v>
      </c>
      <c r="LH33" s="2">
        <v>3.4348927300000001</v>
      </c>
      <c r="LI33" s="2">
        <v>9.660408999999999E-2</v>
      </c>
      <c r="LJ33" s="2">
        <v>0</v>
      </c>
      <c r="LK33" s="2">
        <v>3.7494635999999999</v>
      </c>
      <c r="LL33" s="2">
        <v>3.0312738600000002</v>
      </c>
      <c r="LM33" s="2">
        <v>3.1743807199999998</v>
      </c>
      <c r="LN33" s="2">
        <v>0.21175838999999999</v>
      </c>
      <c r="LO33" s="2">
        <v>13.675710800000003</v>
      </c>
      <c r="LQ33" s="85">
        <f t="shared" si="90"/>
        <v>1526.0239227500001</v>
      </c>
      <c r="LR33" s="85">
        <f t="shared" si="91"/>
        <v>0.67820966999999999</v>
      </c>
      <c r="LS33" s="85">
        <f t="shared" si="92"/>
        <v>11.485620170000001</v>
      </c>
      <c r="LT33" s="85">
        <f t="shared" si="93"/>
        <v>1.5050706300000001</v>
      </c>
      <c r="LU33" s="85">
        <f t="shared" si="94"/>
        <v>27.93685035</v>
      </c>
      <c r="LV33" s="85">
        <f t="shared" si="95"/>
        <v>2.14862011</v>
      </c>
      <c r="LW33" s="85">
        <f t="shared" si="96"/>
        <v>1.4148787</v>
      </c>
      <c r="LX33" s="85">
        <f t="shared" si="97"/>
        <v>1.8913399500000001</v>
      </c>
      <c r="LZ33" s="131">
        <v>23.1</v>
      </c>
      <c r="MA33" s="171">
        <v>22.1</v>
      </c>
      <c r="MB33"/>
      <c r="MC33"/>
      <c r="MD33"/>
      <c r="MF33"/>
      <c r="MG33"/>
      <c r="MH33" s="83">
        <v>40.549999999999997</v>
      </c>
      <c r="MI33" s="83">
        <v>11.03</v>
      </c>
      <c r="MJ33" s="83">
        <v>18.649999999999999</v>
      </c>
      <c r="MK33"/>
      <c r="ML33" s="83">
        <v>15.86</v>
      </c>
      <c r="MM33" s="83">
        <v>24.53</v>
      </c>
      <c r="MN33" s="83"/>
      <c r="MO33" s="83">
        <v>17.850000000000001</v>
      </c>
      <c r="MP33" s="83">
        <v>44.76</v>
      </c>
      <c r="MQ33" s="83">
        <v>38.76</v>
      </c>
      <c r="MR33"/>
      <c r="MT33" s="83"/>
      <c r="MU33" s="83">
        <v>15.94</v>
      </c>
      <c r="MV33"/>
      <c r="MW33"/>
      <c r="MX33"/>
      <c r="MY33" s="83">
        <v>34.049999999999997</v>
      </c>
      <c r="MZ33" s="83">
        <v>96.1</v>
      </c>
      <c r="NA33" s="83">
        <v>38.880000000000003</v>
      </c>
      <c r="NB33" s="83">
        <v>135.44</v>
      </c>
      <c r="NC33" s="83">
        <v>22.8</v>
      </c>
      <c r="ND33"/>
      <c r="NE33" s="1">
        <v>122.71</v>
      </c>
    </row>
    <row r="34" spans="1:369">
      <c r="A34" s="38">
        <f t="shared" si="32"/>
        <v>43101</v>
      </c>
      <c r="B34" s="36">
        <v>1</v>
      </c>
      <c r="C34" s="36">
        <v>2018</v>
      </c>
      <c r="D34" s="36">
        <f t="shared" si="50"/>
        <v>34</v>
      </c>
      <c r="E34" s="38">
        <f t="shared" si="33"/>
        <v>43101</v>
      </c>
      <c r="F34" s="7">
        <v>19.279545454545453</v>
      </c>
      <c r="G34" s="7">
        <v>127</v>
      </c>
      <c r="H34" s="1">
        <f>[2]NACIONALES!$D22</f>
        <v>12648.96</v>
      </c>
      <c r="I34" s="7">
        <v>113</v>
      </c>
      <c r="J34" s="7">
        <v>430</v>
      </c>
      <c r="K34" s="7">
        <v>2.6</v>
      </c>
      <c r="L34" s="7">
        <v>35.6</v>
      </c>
      <c r="N34" s="5">
        <v>1.635</v>
      </c>
      <c r="O34" s="5">
        <v>1.514</v>
      </c>
      <c r="P34" s="78">
        <f t="shared" si="34"/>
        <v>30.355644318181817</v>
      </c>
      <c r="Q34" s="6">
        <v>395</v>
      </c>
      <c r="R34" s="79">
        <f t="shared" si="35"/>
        <v>3950</v>
      </c>
      <c r="S34" s="6">
        <v>163.86363636363637</v>
      </c>
      <c r="T34" s="6">
        <v>304.22727272727275</v>
      </c>
      <c r="U34" s="143">
        <v>152.75</v>
      </c>
      <c r="V34" s="6">
        <v>265.63636363636368</v>
      </c>
      <c r="W34" s="6">
        <v>127.63636363636364</v>
      </c>
      <c r="X34" s="6">
        <v>167.09411764705882</v>
      </c>
      <c r="Y34" s="79">
        <f t="shared" si="36"/>
        <v>3159.2164256198348</v>
      </c>
      <c r="Z34" s="79">
        <f t="shared" si="37"/>
        <v>5865.3635330578509</v>
      </c>
      <c r="AA34" s="79">
        <f t="shared" si="38"/>
        <v>2944.9505681818177</v>
      </c>
      <c r="AB34" s="79">
        <f t="shared" si="39"/>
        <v>5121.3483471074387</v>
      </c>
      <c r="AC34" s="79">
        <f t="shared" si="40"/>
        <v>2460.7710743801649</v>
      </c>
      <c r="AD34" s="79">
        <f t="shared" si="41"/>
        <v>3221.4986363636358</v>
      </c>
      <c r="AE34" s="79">
        <f t="shared" si="42"/>
        <v>3795.5247641184569</v>
      </c>
      <c r="AF34" s="1">
        <v>12271.045454545454</v>
      </c>
      <c r="AG34" s="1">
        <v>6300</v>
      </c>
      <c r="AH34" s="1">
        <v>23300</v>
      </c>
      <c r="AI34" s="5">
        <v>12.1</v>
      </c>
      <c r="AJ34" s="5">
        <v>7.44</v>
      </c>
      <c r="AK34" s="5">
        <v>7.35</v>
      </c>
      <c r="AL34" s="5">
        <v>5.17</v>
      </c>
      <c r="AM34" s="78">
        <f t="shared" si="43"/>
        <v>9.0153999999999996</v>
      </c>
      <c r="AN34" s="7">
        <v>578.14880952380952</v>
      </c>
      <c r="AO34" s="7">
        <v>372.50149999999996</v>
      </c>
      <c r="AP34" s="78">
        <f t="shared" si="146"/>
        <v>372.50149999999996</v>
      </c>
      <c r="AQ34" s="7">
        <v>349.77272727272725</v>
      </c>
      <c r="AR34" s="7">
        <v>271.5</v>
      </c>
      <c r="AS34" s="7">
        <v>205.75</v>
      </c>
      <c r="AT34" s="7">
        <v>357.06399999999996</v>
      </c>
      <c r="AU34" s="78">
        <f t="shared" si="53"/>
        <v>278.10466666666667</v>
      </c>
      <c r="AV34" s="7">
        <v>163.03891304347829</v>
      </c>
      <c r="AW34" s="7">
        <v>350.4</v>
      </c>
      <c r="AX34" s="7">
        <v>122.16900000000001</v>
      </c>
      <c r="AY34" s="7">
        <v>263.03306122448987</v>
      </c>
      <c r="AZ34" s="7">
        <v>249.39150000000001</v>
      </c>
      <c r="BA34" s="7">
        <v>130.66090909090912</v>
      </c>
      <c r="BB34" s="94">
        <f t="shared" si="45"/>
        <v>205.54763316841894</v>
      </c>
      <c r="BC34" s="68">
        <v>676</v>
      </c>
      <c r="BD34" s="68">
        <f t="shared" si="185"/>
        <v>776</v>
      </c>
      <c r="BE34" s="7">
        <f t="shared" si="185"/>
        <v>690</v>
      </c>
      <c r="BF34" s="7">
        <f t="shared" si="185"/>
        <v>410</v>
      </c>
      <c r="BG34" s="94">
        <f t="shared" si="56"/>
        <v>638</v>
      </c>
      <c r="BH34" s="7">
        <v>43.18</v>
      </c>
      <c r="BI34" s="7">
        <f t="shared" si="178"/>
        <v>14.866</v>
      </c>
      <c r="BJ34" s="78">
        <f t="shared" si="57"/>
        <v>58.045999999999999</v>
      </c>
      <c r="BK34" s="7">
        <v>33.06</v>
      </c>
      <c r="BL34" s="7">
        <v>33.515999999999998</v>
      </c>
      <c r="BM34" s="94">
        <f t="shared" si="58"/>
        <v>33.287999999999997</v>
      </c>
      <c r="BN34" s="5">
        <v>5.72</v>
      </c>
      <c r="BO34" s="5">
        <v>27.022727272727284</v>
      </c>
      <c r="BP34" s="80">
        <v>12.350499999999998</v>
      </c>
      <c r="BQ34" s="94">
        <f t="shared" si="59"/>
        <v>25.555504545454557</v>
      </c>
      <c r="BR34" s="7">
        <v>22.26</v>
      </c>
      <c r="BS34" s="7">
        <v>100</v>
      </c>
      <c r="BT34" s="7">
        <v>62.36</v>
      </c>
      <c r="BU34" s="79">
        <f t="shared" si="147"/>
        <v>1387.08</v>
      </c>
      <c r="BV34" s="7">
        <v>36.799999999999997</v>
      </c>
      <c r="BW34" s="7"/>
      <c r="BY34" s="92">
        <f>BY$10*(1+((H34/H$10-1)*costos!$B$5+((I34*F34)/(I$10*F$10)-1)*costos!$E$5+((J34*F34)/((J$10*F$10)-1)*costos!$F$5/3+((K34*F34)/(K$10*F$10)-1)*costos!$F$5/3+((U34*F34)/(U$10*F$10)-1)*costos!$F$5/3+((L34*F34)/(L$10*F$10)-1)*costos!$G$5+((N34*F34)/(N$10*F$10)-1)*costos!$J$5+((V34*F34)/(V$10*F$10)-1)*costos!$K$5)))</f>
        <v>170.27573924447105</v>
      </c>
      <c r="BZ34" s="92">
        <f>$BZ$10*(1+((H34/$H$10-1)*costos!$B$6+((I34*F34)/($I$10*$F$10)-1)*costos!$E$6+((J34*F34)/(($J$10*$F$10)-1)*costos!$F$6/3+((K34*F34)/($K$10*$F$10)-1)*costos!$F$6/3+((U34*F34)/($U$10*$F$10)-1)*costos!$F$6/3+((L34*F34)/($L$10*$F$10)-1)*costos!$G$6+((Q34*F34)/($Q$10*$F$10)-1)*costos!$J$6+((V34*F34)/($V$10*$F$10)-1)*costos!$K$6)))</f>
        <v>161.42773168469256</v>
      </c>
      <c r="CA34" s="92">
        <f>CA$10*(1+((H34/H$10-1)*costos!$B$7+((I34*F34)/(I$10*F$10)-1)*costos!$E$7+((J34*F34)/((J$10*F$10)-1)*costos!$F$7/3+((K34*F34)/(K$10*F$10)-1)*costos!$F$7/3+((U34*F34)/(U$10*F$10)-1)*costos!$F$7/3+((L34*F34)/(L$10*F$10)-1)*costos!$G$7+((S34*F34)/(S$10*F$10)-1)*costos!$J$7+((V34*F34)/(V$10*F$10)-1)*costos!$K$7)))</f>
        <v>159.36487897706195</v>
      </c>
      <c r="CB34" s="92">
        <f>CB$10*(1+((H34/H$10-1)*costos!$B$8+((I34*F34)/(I$10*F$10)-1)*costos!$E$8+((J34*F34)/((J$10*F$10)-1)*costos!$F$8/3+((K34*F34)/(K$10*F$10)-1)*costos!$F$8/3+((U34*F34)/(U$10*F$10)-1)*costos!$F$8/3+((L34*F34)/(L$10*F$10)-1)*costos!$G$8+((T34*F34)/(T$10*F$10)-1)*costos!$J$8+((V34*F34)/(V$10*F$10)-1)*costos!$K$8)))</f>
        <v>159.93648941481982</v>
      </c>
      <c r="CC34" s="92">
        <f>CC$10*(1+((H34/H$10-1)*costos!$B$9+((I34*F34)/(I$10*F$10)-1)*costos!$E$9+((J34*F34)/((J$10*F$10)-1)*costos!$F$9/3+((K34*F34)/(K$10*F$10)-1)*costos!$F$9/3+((U34*F34)/(U$10*F$10)-1)*costos!$F$9/3+((L34*F34)/(L$10*F$10)-1)*costos!$G$9+((U34*F34)/(U$10*F$10)-1)*costos!$J$9+((V34*F34)/(V$10*F$10)-1)*costos!$K$9)))</f>
        <v>155.98843162417623</v>
      </c>
      <c r="CD34" s="92">
        <f>CD$10*(1+((H34/H$10-1)*costos!$B$11+((I34*F34)/(I$10*F$10)-1)*costos!$E$11+((J34*F34)/((J$10*F$10)-1)*costos!$F$11/3+((K34*F34)/(K$10*F$10)-1)*costos!$F$11/3+((U34*F34)/(U$10*F$10)-1)*costos!$F$11/3+((L34*F34)/(L$10*F$10)-1)*costos!$G$11+((V34*F34)/(V$10*F$10)-1)*costos!$J$11+((V34*F34)/(V$10*F$10)-1)*costos!$K$11)))</f>
        <v>159.91584251329911</v>
      </c>
      <c r="CE34" s="92">
        <f>CE$10*(1+((H34/H$10-1)*costos!$B$12+((I34*F34)/(I$10*F$10)-1)*costos!$E$12+((J34*F34)/((J$10*F$10)-1)*costos!$F$12/3+((K34*F34)/(K$10*F$10)-1)*costos!$F$12/3+((U34*F34)/(U$10*F$10)-1)*costos!$F$12/3+((L34*F34)/(L$10*F$10)-1)*costos!$G$12+((W34*F34)/(W$10*F$10)-1)*costos!$J$12+((V34*F34)/(V$10*F$10)-1)*costos!$K$12)))</f>
        <v>148.80467062655458</v>
      </c>
      <c r="CF34" s="92">
        <f>CF$10*(1+((H34/H$10-1)*costos!$B$13+((I34*F34)/(I$10*F$10)-1)*costos!$E$13+((J34*F34)/((J$10*F$10)-1)*costos!$F$13/3+((K34*F34)/(K$10*F$10)-1)*costos!$F$13/3+((U34*F34)/(U$10*F$10)-1)*costos!$F$13/3+((L34*F34)/(L$10*F$10)-1)*costos!$G$13+((X34*F34)/(X$10*F$10)-1)*costos!$J$13+((V34*F34)/(V$10*F$10)-1)*costos!$K$13)))</f>
        <v>161.58116464652221</v>
      </c>
      <c r="CG34" s="92">
        <f t="shared" si="60"/>
        <v>157.59857963373898</v>
      </c>
      <c r="CH34" s="92">
        <f>CH$10*(1+((H34/H$10-1)*costos!$B$10+((I34*F34)/(I$10*F$10)-1)*costos!$E$10+((J34*F34)/((J$10*F$10)-1)*costos!$F$10/3+((K34*F34)/(K$10*F$10)-1)*costos!$F$10/3+((U34*F34)/(U$10*F$10)-1)*costos!$F$10/3+((L34*F34)/(L$10*F$10)-1)*costos!$G$10+((AF34)/(AF$10)-1)*costos!$J$10+((V34*F34)/(V$10*F$10)-1)*costos!$K$10)))</f>
        <v>169.7233371745701</v>
      </c>
      <c r="CI34" s="92">
        <f>CI$10*(1+((H34/H$10-1)*costos!$B$15+((I34*F34)/(I$10*F$10)-1)*costos!$E$15+((J34*F34)/((J$10*F$10)-1)*costos!$F$15/3+((K34*F34)/(K$10*F$10)-1)*costos!$F$15/3+((U34*F34)/(U$10*F$10)-1)*costos!$F$15/3+((L34*F34)/(L$10*F$10)-1)*costos!$G$15+((AV34)/(AV$10)-1)*costos!$J$15+((V34*F34)/(V$10*F$10)-1)*costos!$K$15)))</f>
        <v>173.0013523169622</v>
      </c>
      <c r="CJ34" s="92">
        <f>CJ$10*(1+((H34/H$10-1)*costos!$B$16+((I34*F34)/(I$10*F$10)-1)*costos!$E$16+((J34*F34)/((J$10*F$10)-1)*costos!$F$16/3+((K34*F34)/(K$10*F$10)-1)*costos!$F$16/3+((U34*F34)/(U$10*F$10)-1)*costos!$F$16/3+((L34*F34)/(L$10*F$10)-1)*costos!$G$16+((AW34)/(AW$10)-1)*costos!$J$16+((V34*F34)/(V$10*F$10)-1)*costos!$K$16)))</f>
        <v>164.9381442881166</v>
      </c>
      <c r="CK34" s="92">
        <f>CK$10*(1+((H34/H$10-1)*costos!$B$17+((I34*F34)/(I$10*F$10)-1)*costos!$E$17+((J34*F34)/((J$10*F$10)-1)*costos!$F$17/3+((K34*F34)/(K$10*F$10)-1)*costos!$F$17/3+((U34*F34)/(U$10*F$10)-1)*costos!$F$17/3+((L34*F34)/(L$10*F$10)-1)*costos!$G$17+((AX34)/(AX$10)-1)*costos!$J$17+((V34*F34)/(V$10*F$10)-1)*costos!$K$17)))</f>
        <v>161.46455275006039</v>
      </c>
      <c r="CL34" s="92">
        <f>CL$10*(1+((H34/H$10-1)*costos!$B$18+((I34*F34)/(I$10*F$10)-1)*costos!$E$18+((J34*F34)/((J$10*F$10)-1)*costos!$F$18/3+((K34*F34)/(K$10*F$10)-1)*costos!$F$18/3+((U34*F34)/(U$10*F$10)-1)*costos!$F$18/3+((L34*F34)/(L$10*F$10)-1)*costos!$G$18+((AY34)/(AY$10)-1)*costos!$J$18+((V34*F34)/(V$10*F$10)-1)*costos!$K$18)))</f>
        <v>187.4992050727451</v>
      </c>
      <c r="CM34" s="92">
        <f>CM$10*(1+((H34/H$10-1)*costos!$B$19+((I34*F34)/(I$10*F$10)-1)*costos!$E$19+((J34*F34)/((J$10*F$10)-1)*costos!$F$19/3+((K34*F34)/(K$10*F$10)-1)*costos!$F$19/3+((U34*F34)/(U$10*F$10)-1)*costos!$F$19/3+((L34*F34)/(L$10*F$10)-1)*costos!$G$19+((AZ34)/(AZ$10)-1)*costos!$J$19+((V34*F34)/(V$10*F$10)-1)*costos!$K$19)))</f>
        <v>178.02998830583127</v>
      </c>
      <c r="CN34" s="92">
        <f>CN$10*(1+((H34/H$10-1)*costos!$B$20+((I34*F34)/(I$10*F$10)-1)*costos!$E$20+((J34*F34)/((J$10*F$10)-1)*costos!$F$20/3+((K34*F34)/(K$10*F$10)-1)*costos!$F$20/3+((U34*F34)/(U$10*F$10)-1)*costos!$F$20/3+((L34*F34)/(L$10*F$10)-1)*costos!$G$20+((BA34)/(BA$10)-1)*costos!$J$20+((V34*F34)/(V$10*F$10)-1)*costos!$K$20)))</f>
        <v>161.7185726354956</v>
      </c>
      <c r="CO34" s="92">
        <f t="shared" si="61"/>
        <v>172.17807969103308</v>
      </c>
      <c r="CP34" s="92">
        <f>CP$10*(1+((H34/H$10-1)*costos!$B$22+((I34*F34)/(I$10*F$10)-1)*costos!$E$22+((J34*F34)/((J$10*F$10)-1)*costos!$F$22/3+((K34*F34)/(K$10*F$10)-1)*costos!$F$22/3+((U34*F34)/(U$10*F$10)-1)*costos!$F$22/3+((L34*F34)/(L$10*F$10)-1)*costos!$G$22+(((AVERAGE(AI34:AL34))/((AVERAGE(AI$10:AL$10))-1)*costos!$J$22+((V34*F34)/(V$10*F$10)-1)*costos!$K$22)))))</f>
        <v>207.17742241402669</v>
      </c>
      <c r="CQ34" s="92">
        <f>CQ$10*(1+((H34/H$10-1)*costos!$B$23+((I34*F34)/(I$10*F$10)-1)*costos!$E$23+((J34*F34)/((J$10*F$10)-1)*costos!$F$23/3+((K34*F34)/(K$10*F$10)-1)*costos!$F$23/3+((U34*F34)/(U$10*F$10)-1)*costos!$F$23/3+((L34*F34)/(L$10*F$10)-1)*costos!$G$23+((AN34)/(AN$10)-1)*costos!$J$23+((V34*F34)/(V$10*F$10)-1)*costos!$K$23)))</f>
        <v>166.26321459950785</v>
      </c>
      <c r="CR34" s="92">
        <f>CR$10*(1+((H34/H$10-1)*costos!$B$24+((I34*F34)/(I$10*F$10)-1)*costos!$E$24+((J34*F34)/((J$10*F$10)-1)*costos!$F$24/3+((K34*F34)/(K$10*F$10)-1)*costos!$F$24/3+((U34*F34)/(U$10*F$10)-1)*costos!$F$24/3+((L34*F34)/(L$10*F$10)-1)*costos!$G$24+((AO34)/(AO$10)-1)*costos!$J$24+((V34*F34)/(V$10*F$10)-1)*costos!$K$24)))</f>
        <v>168.41693201700215</v>
      </c>
      <c r="CS34" s="92">
        <f t="shared" si="62"/>
        <v>167.340073308255</v>
      </c>
      <c r="CT34" s="92">
        <f>CT$10*(1+((H34/H$10-1)*costos!$B$25+((I34*F34)/(I$10*F$10)-1)*costos!$E$25+((J34*F34)/((J$10*F$10)-1)*costos!$F$25/3+((K34*F34)/(K$10*F$10)-1)*costos!$F$25/3+((U34*F34)/(U$10*F$10)-1)*costos!$F$25/3+((L34*F34)/(L$10*F$10)-1)*costos!$G$25+((AQ34)/(AQ$10)-1)*costos!$J$25+((V34*F34)/(V$10*F$10)-1)*costos!$K$25)))</f>
        <v>163.44515748174419</v>
      </c>
      <c r="CU34" s="92">
        <f>CU$10*(1+((H34/H$10-1)*costos!$B$26+((I34*F34)/(I$10*F$10)-1)*costos!$E$26+((J34*F34)/((J$10*F$10)-1)*costos!$F$26/3+((K34*F34)/(K$10*F$10)-1)*costos!$F$26/3+((U34*F34)/(U$10*F$10)-1)*costos!$F$26/3+((L34*F34)/(L$10*F$10)-1)*costos!$G$26+((AR34)/(AR$10)-1)*costos!$J$26+((V34*F34)/(V$10*F$10)-1)*costos!$K$26)))</f>
        <v>161.66523518218591</v>
      </c>
      <c r="CV34" s="92">
        <f>CV$10*(1+((H34/H$10-1)*costos!$B$27+((I34*F34)/(I$10*F$10)-1)*costos!$E$27+((J34*F34)/((J$10*F$10)-1)*costos!$F$27/3+((K34*F34)/(K$10*F$10)-1)*costos!$F$27/3+((U34*F34)/(U$10*F$10)-1)*costos!$F$27/3+((L34*F34)/(L$10*F$10)-1)*costos!$G$27+((AS34)/(AS$10)-1)*costos!$J$27+((V34*F34)/(V$10*F$10)-1)*costos!$K$27)))</f>
        <v>156.9425737257703</v>
      </c>
      <c r="CW34" s="92">
        <f>CW$10*(1+((H34/H$10-1)*costos!$B$28+((I34*F34)/(I$10*F$10)-1)*costos!$E$28+((J34*F34)/((J$10*F$10)-1)*costos!$F$28/3+((K34*F34)/(K$10*F$10)-1)*costos!$F$28/3+((U34*F34)/(U$10*F$10)-1)*costos!$F$28/3+((L34*F34)/(L$10*F$10)-1)*costos!$G$28+((AS34)/(AS$10)-1)*costos!$J$28+((V34*F34)/(V$10*F$10)-1)*costos!$K$28)))</f>
        <v>156.9425737257703</v>
      </c>
      <c r="CX34" s="92">
        <f t="shared" si="63"/>
        <v>158.51679421124217</v>
      </c>
      <c r="CY34" s="92">
        <f>CY$10*(1+((H34/H$10-1)*costos!$B$32+((I34*F34)/(I$10*F$10)-1)*costos!$E$32+((J34*F34)/((J$10*F$10)-1)*costos!$F$32/3+((K34*F34)/(K$10*F$10)-1)*costos!$F$32/3+((U34*F34)/(U$10*F$10)-1)*costos!$F$32/3+((L34*F34)/(L$10*F$10)-1)*costos!$G$32+((AG34)/(AG$10)-1)*costos!$J$32+((V34*F34)/(V$10*F$10)-1)*costos!$K$32)))</f>
        <v>162.635429216826</v>
      </c>
      <c r="CZ34" s="69">
        <f>CZ$10*(1+((H34/H$10-1)*costos!$B$31+((I34*F34)/(I$10*F$10)-1)*costos!$E$30+((J34*F34)/((J$10*F$10)-1)*costos!$F$30/3+((K34*F34)/(K$10*F$10)-1)*costos!$F$30/3+((U34*F34)/(U$10*F$10)-1)*costos!$F$30/3+((L34*F34)/(L$10*F$10)-1)*costos!$G$30+((BG34)/(BG$10)-1)*costos!$J$30+((V34*F34)/(V$10*F$10)-1)*costos!$K$30)))</f>
        <v>178.71225233609312</v>
      </c>
      <c r="DA34" s="69">
        <f>DA$10*(1+((H34/H$10-1)*costos!$B$31+((I34*F34)/(I$10*F$10)-1)*costos!$E$31+((J34*F34)/((J$10*F$10)-1)*costos!$F$31/3+((K34*F34)/(K$10*F$10)-1)*costos!$F$31/3+((U34*F34)/(U$10*F$10)-1)*costos!$F$31/3+((L34*F34)/(L$10*F$10)-1)*costos!$G$31+((BJ34)/(BJ$10)-1)*costos!$J$31+((V34*F34)/(V$10*F$10)-1)*costos!$K$31)))</f>
        <v>163.35701549870595</v>
      </c>
      <c r="DB34" s="69">
        <f>DB$10*(1+((H34/H$10-1)*costos!$B$36+((I34*F34)/(I$10*F$10)-1)*costos!$E$36+((J34*F34)/((J$10*F$10)-1)*costos!$F$36/3+((K34*F34)/(K$10*F$10)-1)*costos!$F$36/3+((U34*F34)/(U$10*F$10)-1)*costos!$F$36/3+((L34*F34)/(L$10*F$10)-1)*costos!$G$36+((BK34)/(BK$10)-1)*costos!$J$36+((V34*F34)/(V$10*F$10)-1)*costos!$K$36)))</f>
        <v>158.23613849560877</v>
      </c>
      <c r="DC34" s="69">
        <f>DC$10*(1+((H34/H$10-1)*costos!$B$37+((I34*F34)/(I$10*F$10)-1)*costos!$E$37+((U34*F34)/(U$10*F$10)-1)*costos!$F$37+((L34*F34)/(L$10*F$10)-1)*costos!$G$37+((BN34)/(BN$10)-1)*costos!$J$37+((V34*F34)/(V$10*F$10)-1)*costos!$K$37))</f>
        <v>153.8096486374543</v>
      </c>
      <c r="DD34" s="69">
        <f>DD$10*(1+((H34/H$10-1)*costos!$B$39+((I34*F34)/(I$10*F$10)-1)*costos!$E$39+((U34*F34)/(U$10*F$10)-1)*costos!$F$39+((L34*F34)/(L$10*F$10)-1)*costos!$G$39+((BR34)/(BR$10)-1)*costos!$J$39+((V34*F34)/(V$10*F$10)-1)*costos!$K$39))</f>
        <v>150.98655506040095</v>
      </c>
      <c r="DE34" s="69">
        <f>DD$10*(1+((H34/H$10-1)*costos!$B$35+((I34*F34)/(I$10*F$10)-1)*costos!$E$35+((U34*F34)/(U$10*F$10)-1)*costos!$F$35+((L34*F34)/(L$10*F$10)-1)*costos!$G$35+((BR34)/(BR$10)-1)*costos!$J$35+((V34*F34)/(V$10*F$10)-1)*costos!$K$35))</f>
        <v>143.8106474040973</v>
      </c>
      <c r="DF34" s="69">
        <f>DF$10*(1+((H34/H$10-1)*costos!$B$40+((I34*F34)/(I$10*F$10)-1)*costos!$E$40+((U34*F34)/(U$10*F$10)-1)*costos!$F$40+((L34*F34)/(L$10*F$10)-1)*costos!$G$40+((BP34)/(BP$10)-1)*costos!$J$40+((V34*F34)/(V$10*F$10)-1)*costos!$K$40))</f>
        <v>147.1814343576853</v>
      </c>
      <c r="DG34" s="92">
        <f t="shared" si="64"/>
        <v>145.49604088089131</v>
      </c>
      <c r="DH34" s="69">
        <f>DH$10*(1+((H34/H$10-1)*costos!$B$34+((I34*F34)/(I$10*F$10)-1)*costos!$E$34+((J34*F34)/((J$10*F$10)-1)*costos!$F$34/3+((K34*F34)/(K$10*F$10)-1)*costos!$F$34/3+((U34*F34)/(U$10*F$10)-1)*costos!$F$34/3+((L34*F34)/(L$10*F$10)-1)*costos!$G$34+((BV34)/(BV$10)-1)*costos!$J$34+((V34*F34)/(V$10*F$10)-1)*costos!$K$34)))</f>
        <v>164.7197264035608</v>
      </c>
      <c r="DI34" s="69">
        <f>DI$10*(1+((H34/H$10-1)*costos!$B$38+((I34*F34)/(I$10*F$10)-1)*costos!$E$38+((J34*F34)/((J$10*F$10)-1)*costos!$F$38/3+((K34*F34)/(K$10*F$10)-1)*costos!$F$38/3+((U34*F34)/(U$10*F$10)-1)*costos!$F$38/3+((L34*F34)/(L$10*F$10)-1)*costos!$G$38+((BU34)/(BU$10)-1)*costos!$J$38+((V34*F34)/(V$10*F$10)-1)*costos!$K$38)))</f>
        <v>165.475922596088</v>
      </c>
      <c r="DK34" s="1">
        <v>327000</v>
      </c>
      <c r="DL34" s="1" t="s">
        <v>6</v>
      </c>
      <c r="DM34" s="82">
        <f t="shared" si="155"/>
        <v>206500</v>
      </c>
      <c r="DN34" s="82" t="str">
        <f t="shared" si="155"/>
        <v>2016-17</v>
      </c>
      <c r="DO34" s="1">
        <v>800000</v>
      </c>
      <c r="DP34" s="1" t="s">
        <v>6</v>
      </c>
      <c r="DQ34" s="1">
        <v>1750000</v>
      </c>
      <c r="DR34" s="1" t="s">
        <v>6</v>
      </c>
      <c r="DS34" s="1">
        <v>5400000</v>
      </c>
      <c r="DT34" s="1" t="s">
        <v>6</v>
      </c>
      <c r="DU34" s="1">
        <v>18000000</v>
      </c>
      <c r="DV34" s="1" t="s">
        <v>6</v>
      </c>
      <c r="DW34" s="1">
        <v>830000</v>
      </c>
      <c r="DX34" s="1" t="s">
        <v>6</v>
      </c>
      <c r="DY34" s="1">
        <v>5930000</v>
      </c>
      <c r="DZ34" s="83" t="s">
        <v>6</v>
      </c>
      <c r="EA34" s="79">
        <f t="shared" si="67"/>
        <v>32710000</v>
      </c>
      <c r="EB34" s="1">
        <v>407000</v>
      </c>
      <c r="EC34" s="1" t="s">
        <v>6</v>
      </c>
      <c r="ED34" s="83">
        <v>169595</v>
      </c>
      <c r="EE34" s="143">
        <v>2018</v>
      </c>
      <c r="EF34" s="1">
        <v>218233</v>
      </c>
      <c r="EG34" s="6">
        <v>2018</v>
      </c>
      <c r="EH34" s="83">
        <v>54793181</v>
      </c>
      <c r="EI34" s="143">
        <v>2018</v>
      </c>
      <c r="EJ34" s="83">
        <f t="shared" si="169"/>
        <v>5119438</v>
      </c>
      <c r="EK34" s="143">
        <v>2027</v>
      </c>
      <c r="EL34" s="82">
        <f t="shared" si="175"/>
        <v>14746566</v>
      </c>
      <c r="EM34" s="144">
        <f t="shared" si="175"/>
        <v>2017</v>
      </c>
      <c r="EN34" s="82">
        <f t="shared" si="175"/>
        <v>3364725</v>
      </c>
      <c r="EO34" s="144">
        <f t="shared" si="175"/>
        <v>2017</v>
      </c>
      <c r="EP34" s="82">
        <f t="shared" si="118"/>
        <v>6552</v>
      </c>
      <c r="EQ34" s="83">
        <f t="shared" si="100"/>
        <v>3003036</v>
      </c>
      <c r="ER34" s="1">
        <f>+ER33</f>
        <v>33739</v>
      </c>
      <c r="ES34" s="82"/>
      <c r="ET34" s="83">
        <v>22340</v>
      </c>
      <c r="EU34" s="83">
        <v>17224</v>
      </c>
      <c r="EV34" s="83">
        <v>9128</v>
      </c>
      <c r="EW34" s="83">
        <v>17414</v>
      </c>
      <c r="EX34" s="79">
        <f t="shared" si="72"/>
        <v>66106</v>
      </c>
      <c r="EY34" s="83">
        <v>19463</v>
      </c>
      <c r="EZ34" s="82">
        <v>74231</v>
      </c>
      <c r="FA34" s="82">
        <v>24553</v>
      </c>
      <c r="FB34" s="82">
        <v>23958</v>
      </c>
      <c r="FC34" s="79">
        <f t="shared" si="73"/>
        <v>48511</v>
      </c>
      <c r="FD34" s="83">
        <v>66959.290000000008</v>
      </c>
      <c r="FE34" s="1"/>
      <c r="FF34" s="82">
        <f t="shared" si="186"/>
        <v>630040</v>
      </c>
      <c r="FG34" s="82" t="str">
        <f t="shared" si="186"/>
        <v>2016-17</v>
      </c>
      <c r="FH34" s="82">
        <f t="shared" si="186"/>
        <v>1328340</v>
      </c>
      <c r="FI34" s="82" t="str">
        <f t="shared" si="186"/>
        <v>2016-17</v>
      </c>
      <c r="FJ34" s="1">
        <v>3100000</v>
      </c>
      <c r="FK34" s="1" t="s">
        <v>6</v>
      </c>
      <c r="FL34" s="1">
        <v>3600000</v>
      </c>
      <c r="FM34" s="1" t="s">
        <v>6</v>
      </c>
      <c r="FN34" s="82">
        <f>+FN33</f>
        <v>39000000</v>
      </c>
      <c r="FO34" s="82" t="str">
        <f>+FO33</f>
        <v>2016-17</v>
      </c>
      <c r="FP34" s="82">
        <f t="shared" si="176"/>
        <v>57500000</v>
      </c>
      <c r="FQ34" s="82" t="str">
        <f t="shared" si="177"/>
        <v>2016-17</v>
      </c>
      <c r="FR34" s="82">
        <f t="shared" si="181"/>
        <v>3200000</v>
      </c>
      <c r="FS34" s="82" t="str">
        <f t="shared" si="182"/>
        <v>2016-17</v>
      </c>
      <c r="FT34" s="1">
        <v>18520000</v>
      </c>
      <c r="FU34" s="1" t="s">
        <v>6</v>
      </c>
      <c r="FV34" s="79">
        <f t="shared" si="76"/>
        <v>124920000</v>
      </c>
      <c r="FW34" s="82">
        <f t="shared" si="183"/>
        <v>1081031.1999999997</v>
      </c>
      <c r="FX34" s="82" t="str">
        <f t="shared" si="184"/>
        <v>2016-17</v>
      </c>
      <c r="FY34" s="83">
        <v>25514.471000000001</v>
      </c>
      <c r="FZ34" s="79">
        <f t="shared" si="135"/>
        <v>696922.93700000003</v>
      </c>
      <c r="GA34" s="86" t="str">
        <f t="shared" si="136"/>
        <v>feb17 ene18</v>
      </c>
      <c r="GB34" s="1">
        <v>25733114</v>
      </c>
      <c r="GC34" s="6">
        <v>2018</v>
      </c>
      <c r="GD34" s="83">
        <v>1989400</v>
      </c>
      <c r="GE34" s="83">
        <v>431374</v>
      </c>
      <c r="GF34" s="83">
        <v>1006779</v>
      </c>
      <c r="GG34" s="83">
        <v>114118</v>
      </c>
      <c r="GH34" s="79">
        <f t="shared" si="78"/>
        <v>1552271</v>
      </c>
      <c r="GI34" s="82">
        <f t="shared" si="79"/>
        <v>1302556</v>
      </c>
      <c r="GJ34" s="83">
        <v>685541.2</v>
      </c>
      <c r="GK34" s="83">
        <v>1103042.8600000001</v>
      </c>
      <c r="GL34" s="83">
        <v>287064.67</v>
      </c>
      <c r="GM34" s="83">
        <v>260870.73</v>
      </c>
      <c r="GN34" s="79">
        <f t="shared" si="81"/>
        <v>2336519.46</v>
      </c>
      <c r="GO34" s="83">
        <v>195071</v>
      </c>
      <c r="GP34" s="83">
        <v>79468</v>
      </c>
      <c r="GQ34" s="83">
        <v>191468</v>
      </c>
      <c r="GR34" s="1">
        <v>42800</v>
      </c>
      <c r="GS34" s="79">
        <f>+GR34+GQ34*0.03</f>
        <v>48544.04</v>
      </c>
      <c r="GT34" s="83">
        <v>2483769</v>
      </c>
      <c r="GU34" s="1">
        <v>22635</v>
      </c>
      <c r="GV34" s="1">
        <v>23542</v>
      </c>
      <c r="GW34" s="79">
        <f t="shared" si="151"/>
        <v>1013412</v>
      </c>
      <c r="GX34" s="1">
        <v>26114.056</v>
      </c>
      <c r="GY34" s="1" t="s">
        <v>327</v>
      </c>
      <c r="GZ34" s="1">
        <v>104093.27099999999</v>
      </c>
      <c r="HA34" s="1">
        <v>255000</v>
      </c>
      <c r="HB34" s="79">
        <f>+SUM(HA23:HA34)</f>
        <v>2861000</v>
      </c>
      <c r="HC34" s="86" t="str">
        <f t="shared" si="138"/>
        <v>feb17 ene18</v>
      </c>
      <c r="HD34" s="1">
        <v>47799</v>
      </c>
      <c r="HE34" s="79">
        <f t="shared" si="139"/>
        <v>572486</v>
      </c>
      <c r="HF34" s="86" t="str">
        <f t="shared" si="140"/>
        <v>feb17 ene18</v>
      </c>
      <c r="HG34" s="1">
        <v>165000</v>
      </c>
      <c r="HH34" s="79">
        <f>+SUM(HG23:HG34)</f>
        <v>2106000</v>
      </c>
      <c r="HI34" s="86" t="str">
        <f t="shared" si="142"/>
        <v>feb17 ene18</v>
      </c>
      <c r="HJ34" s="1">
        <v>86790</v>
      </c>
      <c r="HK34" s="79">
        <f t="shared" si="143"/>
        <v>60195.360000000001</v>
      </c>
      <c r="HL34" s="86" t="str">
        <f t="shared" si="144"/>
        <v>feb17 ene18</v>
      </c>
      <c r="HM34" s="79">
        <f t="shared" si="86"/>
        <v>2166195.36</v>
      </c>
      <c r="HN34" s="87">
        <f>+HO34/HO22-1</f>
        <v>8.7187810004256683E-2</v>
      </c>
      <c r="HO34" s="1">
        <v>884626918.14202106</v>
      </c>
      <c r="HP34" s="79">
        <f t="shared" si="153"/>
        <v>9916.0137780823534</v>
      </c>
      <c r="HQ34" s="86" t="str">
        <f t="shared" si="145"/>
        <v>feb17 ene18</v>
      </c>
      <c r="HR34" s="3"/>
      <c r="HS34" s="1"/>
      <c r="HT34" s="1"/>
      <c r="HU34" s="83">
        <f t="shared" si="174"/>
        <v>680000</v>
      </c>
      <c r="HV34" s="83" t="str">
        <f t="shared" si="174"/>
        <v>2016-17</v>
      </c>
      <c r="HW34" s="83">
        <v>1350000</v>
      </c>
      <c r="HX34" s="1" t="s">
        <v>6</v>
      </c>
      <c r="HY34" s="1">
        <v>3400000</v>
      </c>
      <c r="HZ34" s="1" t="s">
        <v>6</v>
      </c>
      <c r="IA34" s="1">
        <f t="shared" si="171"/>
        <v>19080000</v>
      </c>
      <c r="IB34" s="1" t="s">
        <v>106</v>
      </c>
      <c r="IC34" s="1">
        <v>47130000</v>
      </c>
      <c r="ID34" s="1" t="s">
        <v>106</v>
      </c>
      <c r="IE34" s="1">
        <f t="shared" si="172"/>
        <v>2450000</v>
      </c>
      <c r="IF34" s="1" t="s">
        <v>106</v>
      </c>
      <c r="IG34" s="1">
        <f t="shared" ref="IG34:IG44" si="188">5600000+900000</f>
        <v>6500000</v>
      </c>
      <c r="IH34" s="1" t="s">
        <v>6</v>
      </c>
      <c r="II34" s="79">
        <f t="shared" si="87"/>
        <v>79910000</v>
      </c>
      <c r="IJ34" s="97">
        <f t="shared" si="167"/>
        <v>1.5629261117125455</v>
      </c>
      <c r="IK34" s="1" t="s">
        <v>106</v>
      </c>
      <c r="IL34" s="7">
        <v>39.94</v>
      </c>
      <c r="IM34" s="7">
        <v>59.012369773034919</v>
      </c>
      <c r="IN34" s="7">
        <v>190</v>
      </c>
      <c r="IO34" s="695">
        <v>13.8</v>
      </c>
      <c r="IP34" s="98">
        <f>262174480/IP$2</f>
        <v>5.6422028615424455</v>
      </c>
      <c r="IQ34" s="96">
        <v>18.899999999999999</v>
      </c>
      <c r="IR34" s="98">
        <v>5.93</v>
      </c>
      <c r="IS34" s="98">
        <v>5.67</v>
      </c>
      <c r="IT34" s="98">
        <v>11.35</v>
      </c>
      <c r="IU34" s="98">
        <v>0.88</v>
      </c>
      <c r="IV34" s="94">
        <f t="shared" si="89"/>
        <v>17.899999999999999</v>
      </c>
      <c r="IW34" s="84"/>
      <c r="IX34" s="84"/>
      <c r="IY34" s="105">
        <v>1.84</v>
      </c>
      <c r="IZ34" s="161">
        <v>0.3</v>
      </c>
      <c r="JA34" s="83">
        <v>2000</v>
      </c>
      <c r="JB34" s="84">
        <v>37.22</v>
      </c>
      <c r="JC34" s="84"/>
      <c r="JD34" s="84"/>
      <c r="JF34" s="2">
        <v>3.9139399700000004</v>
      </c>
      <c r="JG34" s="2">
        <v>6.0223326000000004</v>
      </c>
      <c r="JH34" s="2">
        <v>134.68911807000001</v>
      </c>
      <c r="JI34" s="2">
        <v>49.102823010000002</v>
      </c>
      <c r="JJ34" s="2">
        <v>294.50808030000013</v>
      </c>
      <c r="JK34" s="2">
        <v>63.927812479999986</v>
      </c>
      <c r="JL34" s="2">
        <v>890.97381621999989</v>
      </c>
      <c r="JM34" s="2">
        <v>16.856916090000002</v>
      </c>
      <c r="JN34" s="2">
        <v>441.86883413999999</v>
      </c>
      <c r="JO34" s="2">
        <v>13.142175790000001</v>
      </c>
      <c r="JP34" s="2">
        <v>0</v>
      </c>
      <c r="JQ34" s="2">
        <v>6.6600000000000006E-2</v>
      </c>
      <c r="JR34" s="2">
        <v>0.77269419999999989</v>
      </c>
      <c r="JS34" s="2">
        <v>0</v>
      </c>
      <c r="JT34" s="2">
        <v>0.89944438999999998</v>
      </c>
      <c r="JU34" s="2">
        <v>63.807466659999996</v>
      </c>
      <c r="JV34" s="2">
        <v>3.5064846800000002</v>
      </c>
      <c r="JW34" s="2">
        <v>9.8314396500000001</v>
      </c>
      <c r="JX34" s="2">
        <v>4.9208390199999998</v>
      </c>
      <c r="JY34" s="2">
        <v>0</v>
      </c>
      <c r="JZ34" s="2">
        <v>0.49617221</v>
      </c>
      <c r="KA34" s="2">
        <v>0.29120000000000001</v>
      </c>
      <c r="KB34" s="2">
        <v>17.46820657</v>
      </c>
      <c r="KC34" s="2">
        <v>9.4695371999999978</v>
      </c>
      <c r="KD34" s="2">
        <v>7.6240028600000009</v>
      </c>
      <c r="KE34" s="2">
        <v>11.28232957</v>
      </c>
      <c r="KF34" s="2">
        <v>28.877704209999997</v>
      </c>
      <c r="KG34" s="2">
        <v>234.20695583000003</v>
      </c>
      <c r="KH34" s="2">
        <v>56.095133110000006</v>
      </c>
      <c r="KI34" s="2">
        <v>23.56171608</v>
      </c>
      <c r="KJ34" s="2">
        <v>2.0330986299999996</v>
      </c>
      <c r="KK34" s="2">
        <v>13.294256379999997</v>
      </c>
      <c r="KL34" s="2">
        <v>0.24719031999999996</v>
      </c>
      <c r="KM34" s="2">
        <v>6.2968809799999992</v>
      </c>
      <c r="KN34" s="2">
        <v>0</v>
      </c>
      <c r="KO34" s="2">
        <v>0.18070439999999999</v>
      </c>
      <c r="KP34" s="2">
        <v>4.8635060000000001E-2</v>
      </c>
      <c r="KQ34" s="2">
        <v>0.51584116999999996</v>
      </c>
      <c r="KR34" s="2">
        <v>0</v>
      </c>
      <c r="KS34" s="2">
        <v>9.4271860000000013E-2</v>
      </c>
      <c r="KT34" s="2">
        <v>4.7745017899999995</v>
      </c>
      <c r="KU34" s="2">
        <v>0.43963590999999996</v>
      </c>
      <c r="KV34" s="2">
        <v>0.16286239000000002</v>
      </c>
      <c r="KW34" s="2">
        <v>3.2123527599999999</v>
      </c>
      <c r="KX34" s="2">
        <v>0</v>
      </c>
      <c r="KY34" s="2">
        <v>0</v>
      </c>
      <c r="KZ34" s="2">
        <v>1.0943122700000001</v>
      </c>
      <c r="LA34" s="2">
        <v>1.8938741300000002</v>
      </c>
      <c r="LB34" s="2">
        <v>0</v>
      </c>
      <c r="LC34" s="2">
        <v>0.43966355000000001</v>
      </c>
      <c r="LD34" s="2">
        <v>0</v>
      </c>
      <c r="LE34" s="2">
        <v>1.3512593500000001</v>
      </c>
      <c r="LF34" s="2">
        <v>0.92300411999999998</v>
      </c>
      <c r="LG34" s="2">
        <v>24.696445900000001</v>
      </c>
      <c r="LH34" s="2">
        <v>3.2033638499999997</v>
      </c>
      <c r="LI34" s="2">
        <v>0.10288797</v>
      </c>
      <c r="LJ34" s="2">
        <v>0</v>
      </c>
      <c r="LK34" s="2">
        <v>1.57479188</v>
      </c>
      <c r="LL34" s="2">
        <v>3.9775342600000005</v>
      </c>
      <c r="LM34" s="2">
        <v>2.4349925700000004</v>
      </c>
      <c r="LN34" s="2">
        <v>0.29306416000000002</v>
      </c>
      <c r="LO34" s="2">
        <v>11.954507390000002</v>
      </c>
      <c r="LQ34" s="85">
        <f t="shared" si="90"/>
        <v>1827.9995878299999</v>
      </c>
      <c r="LR34" s="85">
        <f t="shared" si="91"/>
        <v>1.7387385899999999</v>
      </c>
      <c r="LS34" s="85">
        <f t="shared" si="92"/>
        <v>13.33792433</v>
      </c>
      <c r="LT34" s="85">
        <f t="shared" si="93"/>
        <v>0.78737221000000002</v>
      </c>
      <c r="LU34" s="85">
        <f t="shared" si="94"/>
        <v>7.0876984099999989</v>
      </c>
      <c r="LV34" s="85">
        <f t="shared" si="95"/>
        <v>3.3752151499999998</v>
      </c>
      <c r="LW34" s="85">
        <f t="shared" si="96"/>
        <v>1.8938741300000002</v>
      </c>
      <c r="LX34" s="85">
        <f t="shared" si="97"/>
        <v>2.2742634700000002</v>
      </c>
      <c r="LZ34" s="131">
        <v>23.48</v>
      </c>
      <c r="MA34" s="171">
        <v>22.81</v>
      </c>
      <c r="MB34"/>
      <c r="MC34"/>
      <c r="MD34"/>
      <c r="MF34"/>
      <c r="MG34"/>
      <c r="MH34" s="83">
        <v>41.29</v>
      </c>
      <c r="MI34" s="83">
        <v>11.2</v>
      </c>
      <c r="MJ34" s="83">
        <v>17.64</v>
      </c>
      <c r="MK34"/>
      <c r="ML34" s="83">
        <v>15.34</v>
      </c>
      <c r="MM34" s="83">
        <v>34.93</v>
      </c>
      <c r="MN34" s="83"/>
      <c r="MO34" s="83">
        <v>17.670000000000002</v>
      </c>
      <c r="MP34" s="83">
        <v>44.97</v>
      </c>
      <c r="MQ34" s="83">
        <v>38.83</v>
      </c>
      <c r="MR34"/>
      <c r="MT34" s="83"/>
      <c r="MU34" s="83">
        <v>20.61</v>
      </c>
      <c r="MV34"/>
      <c r="MW34"/>
      <c r="MX34"/>
      <c r="MY34" s="83">
        <v>35.14</v>
      </c>
      <c r="MZ34" s="83">
        <v>96.3</v>
      </c>
      <c r="NA34" s="83">
        <v>40.270000000000003</v>
      </c>
      <c r="NB34" s="83">
        <v>137.65</v>
      </c>
      <c r="NC34" s="83">
        <v>22.98</v>
      </c>
      <c r="ND34"/>
      <c r="NE34" s="1">
        <v>126.03</v>
      </c>
    </row>
    <row r="35" spans="1:369">
      <c r="A35" s="38">
        <f t="shared" si="32"/>
        <v>43132</v>
      </c>
      <c r="B35" s="36">
        <v>2</v>
      </c>
      <c r="C35" s="36">
        <v>2018</v>
      </c>
      <c r="D35" s="36">
        <f t="shared" si="50"/>
        <v>35</v>
      </c>
      <c r="E35" s="38">
        <f t="shared" si="33"/>
        <v>43132</v>
      </c>
      <c r="F35" s="7">
        <v>20.083333333333332</v>
      </c>
      <c r="G35" s="7">
        <v>130.1</v>
      </c>
      <c r="H35" s="1">
        <f>[2]NACIONALES!$D23</f>
        <v>12648.96</v>
      </c>
      <c r="I35" s="7">
        <v>107</v>
      </c>
      <c r="J35" s="7">
        <v>440</v>
      </c>
      <c r="K35" s="7">
        <v>2.6</v>
      </c>
      <c r="L35" s="7">
        <v>33</v>
      </c>
      <c r="N35" s="5">
        <v>1.659111111111111</v>
      </c>
      <c r="O35" s="5">
        <v>1.5271111111111111</v>
      </c>
      <c r="P35" s="78">
        <f t="shared" si="34"/>
        <v>31.994981481481474</v>
      </c>
      <c r="Q35" s="6">
        <v>415</v>
      </c>
      <c r="R35" s="79">
        <f t="shared" si="35"/>
        <v>4150</v>
      </c>
      <c r="S35" s="6">
        <v>180.05555555555554</v>
      </c>
      <c r="T35" s="6">
        <v>307.05555555555554</v>
      </c>
      <c r="U35" s="143">
        <v>164.82777777777775</v>
      </c>
      <c r="V35" s="6">
        <v>289.19444444444446</v>
      </c>
      <c r="W35" s="6">
        <v>133.33333333333334</v>
      </c>
      <c r="X35" s="6">
        <v>180.67777777777781</v>
      </c>
      <c r="Y35" s="79">
        <f t="shared" si="36"/>
        <v>3616.1157407407404</v>
      </c>
      <c r="Z35" s="79">
        <f t="shared" si="37"/>
        <v>6166.6990740740739</v>
      </c>
      <c r="AA35" s="79">
        <f t="shared" si="38"/>
        <v>3310.2912037037031</v>
      </c>
      <c r="AB35" s="79">
        <f t="shared" si="39"/>
        <v>5807.9884259259261</v>
      </c>
      <c r="AC35" s="79">
        <f t="shared" si="40"/>
        <v>2677.7777777777778</v>
      </c>
      <c r="AD35" s="79">
        <f t="shared" si="41"/>
        <v>3628.6120370370372</v>
      </c>
      <c r="AE35" s="79">
        <f t="shared" si="42"/>
        <v>4201.2473765432105</v>
      </c>
      <c r="AF35" s="1">
        <v>12299.611111111111</v>
      </c>
      <c r="AG35" s="1">
        <v>6300</v>
      </c>
      <c r="AH35" s="1">
        <v>23300</v>
      </c>
      <c r="AI35" s="5">
        <v>11.52</v>
      </c>
      <c r="AJ35" s="5">
        <v>8.4700000000000006</v>
      </c>
      <c r="AK35" s="5">
        <v>7.46</v>
      </c>
      <c r="AL35" s="5">
        <v>6.48</v>
      </c>
      <c r="AM35" s="78">
        <f t="shared" si="43"/>
        <v>9.1327999999999996</v>
      </c>
      <c r="AN35" s="7">
        <v>577.21428571428567</v>
      </c>
      <c r="AO35" s="7">
        <v>342.52388888888891</v>
      </c>
      <c r="AP35" s="78">
        <f t="shared" si="146"/>
        <v>342.52388888888891</v>
      </c>
      <c r="AQ35" s="7">
        <v>397.58620689655174</v>
      </c>
      <c r="AR35" s="7">
        <v>317.27000000000004</v>
      </c>
      <c r="AS35" s="7">
        <v>340.65934065934067</v>
      </c>
      <c r="AT35" s="7">
        <v>429.71277777777777</v>
      </c>
      <c r="AU35" s="78">
        <f t="shared" si="53"/>
        <v>362.54737281237277</v>
      </c>
      <c r="AV35" s="7">
        <v>144.51035087719305</v>
      </c>
      <c r="AW35" s="7">
        <v>390.67941176470589</v>
      </c>
      <c r="AX35" s="7">
        <v>106.57555555555558</v>
      </c>
      <c r="AY35" s="7">
        <v>170.04591715976326</v>
      </c>
      <c r="AZ35" s="7">
        <v>187.73055555555555</v>
      </c>
      <c r="BA35" s="7">
        <v>77.991724137931044</v>
      </c>
      <c r="BB35" s="94">
        <f t="shared" si="45"/>
        <v>145.52417345540465</v>
      </c>
      <c r="BC35" s="68">
        <v>690</v>
      </c>
      <c r="BD35" s="68">
        <v>807</v>
      </c>
      <c r="BE35" s="7">
        <f t="shared" si="185"/>
        <v>690</v>
      </c>
      <c r="BF35" s="7">
        <f t="shared" si="185"/>
        <v>410</v>
      </c>
      <c r="BG35" s="94">
        <f t="shared" si="56"/>
        <v>649.25</v>
      </c>
      <c r="BH35" s="7">
        <v>53.11</v>
      </c>
      <c r="BI35" s="7">
        <v>8.9809999999999999</v>
      </c>
      <c r="BJ35" s="78">
        <f t="shared" si="57"/>
        <v>62.091000000000001</v>
      </c>
      <c r="BK35" s="7">
        <v>36.402000000000001</v>
      </c>
      <c r="BL35" s="7">
        <v>35.844999999999999</v>
      </c>
      <c r="BM35" s="94">
        <f t="shared" si="58"/>
        <v>36.1235</v>
      </c>
      <c r="BN35" s="5">
        <v>5.76</v>
      </c>
      <c r="BO35" s="5">
        <v>32.522222222222226</v>
      </c>
      <c r="BP35" s="80">
        <v>15.867833333333332</v>
      </c>
      <c r="BQ35" s="94">
        <f t="shared" si="59"/>
        <v>30.856783333333336</v>
      </c>
      <c r="BR35" s="7">
        <v>23.15</v>
      </c>
      <c r="BS35" s="7">
        <v>100</v>
      </c>
      <c r="BT35" s="7">
        <v>67.83</v>
      </c>
      <c r="BU35" s="79">
        <f t="shared" si="147"/>
        <v>1403.49</v>
      </c>
      <c r="BV35" s="7">
        <v>37.299999999999997</v>
      </c>
      <c r="BW35" s="7"/>
      <c r="BY35" s="92">
        <f>BY$10*(1+((H35/H$10-1)*costos!$B$5+((I35*F35)/(I$10*F$10)-1)*costos!$E$5+((J35*F35)/((J$10*F$10)-1)*costos!$F$5/3+((K35*F35)/(K$10*F$10)-1)*costos!$F$5/3+((U35*F35)/(U$10*F$10)-1)*costos!$F$5/3+((L35*F35)/(L$10*F$10)-1)*costos!$G$5+((N35*F35)/(N$10*F$10)-1)*costos!$J$5+((V35*F35)/(V$10*F$10)-1)*costos!$K$5)))</f>
        <v>178.50229842797864</v>
      </c>
      <c r="BZ35" s="92">
        <f>$BZ$10*(1+((H35/$H$10-1)*costos!$B$6+((I35*F35)/($I$10*$F$10)-1)*costos!$E$6+((J35*F35)/(($J$10*$F$10)-1)*costos!$F$6/3+((K35*F35)/($K$10*$F$10)-1)*costos!$F$6/3+((U35*F35)/($U$10*$F$10)-1)*costos!$F$6/3+((L35*F35)/($L$10*$F$10)-1)*costos!$G$6+((Q35*F35)/($Q$10*$F$10)-1)*costos!$J$6+((V35*F35)/($V$10*$F$10)-1)*costos!$K$6)))</f>
        <v>165.77553800454578</v>
      </c>
      <c r="CA35" s="92">
        <f>CA$10*(1+((H35/H$10-1)*costos!$B$7+((I35*F35)/(I$10*F$10)-1)*costos!$E$7+((J35*F35)/((J$10*F$10)-1)*costos!$F$7/3+((K35*F35)/(K$10*F$10)-1)*costos!$F$7/3+((U35*F35)/(U$10*F$10)-1)*costos!$F$7/3+((L35*F35)/(L$10*F$10)-1)*costos!$G$7+((S35*F35)/(S$10*F$10)-1)*costos!$J$7+((V35*F35)/(V$10*F$10)-1)*costos!$K$7)))</f>
        <v>171.269266711022</v>
      </c>
      <c r="CB35" s="92">
        <f>CB$10*(1+((H35/H$10-1)*costos!$B$8+((I35*F35)/(I$10*F$10)-1)*costos!$E$8+((J35*F35)/((J$10*F$10)-1)*costos!$F$8/3+((K35*F35)/(K$10*F$10)-1)*costos!$F$8/3+((U35*F35)/(U$10*F$10)-1)*costos!$F$8/3+((L35*F35)/(L$10*F$10)-1)*costos!$G$8+((T35*F35)/(T$10*F$10)-1)*costos!$J$8+((V35*F35)/(V$10*F$10)-1)*costos!$K$8)))</f>
        <v>168.71518542352612</v>
      </c>
      <c r="CC35" s="92">
        <f>CC$10*(1+((H35/H$10-1)*costos!$B$9+((I35*F35)/(I$10*F$10)-1)*costos!$E$9+((J35*F35)/((J$10*F$10)-1)*costos!$F$9/3+((K35*F35)/(K$10*F$10)-1)*costos!$F$9/3+((U35*F35)/(U$10*F$10)-1)*costos!$F$9/3+((L35*F35)/(L$10*F$10)-1)*costos!$G$9+((U35*F35)/(U$10*F$10)-1)*costos!$J$9+((V35*F35)/(V$10*F$10)-1)*costos!$K$9)))</f>
        <v>166.11771208122207</v>
      </c>
      <c r="CD35" s="92">
        <f>CD$10*(1+((H35/H$10-1)*costos!$B$11+((I35*F35)/(I$10*F$10)-1)*costos!$E$11+((J35*F35)/((J$10*F$10)-1)*costos!$F$11/3+((K35*F35)/(K$10*F$10)-1)*costos!$F$11/3+((U35*F35)/(U$10*F$10)-1)*costos!$F$11/3+((L35*F35)/(L$10*F$10)-1)*costos!$G$11+((V35*F35)/(V$10*F$10)-1)*costos!$J$11+((V35*F35)/(V$10*F$10)-1)*costos!$K$11)))</f>
        <v>173.92116728592705</v>
      </c>
      <c r="CE35" s="92">
        <f>CE$10*(1+((H35/H$10-1)*costos!$B$12+((I35*F35)/(I$10*F$10)-1)*costos!$E$12+((J35*F35)/((J$10*F$10)-1)*costos!$F$12/3+((K35*F35)/(K$10*F$10)-1)*costos!$F$12/3+((U35*F35)/(U$10*F$10)-1)*costos!$F$12/3+((L35*F35)/(L$10*F$10)-1)*costos!$G$12+((W35*F35)/(W$10*F$10)-1)*costos!$J$12+((V35*F35)/(V$10*F$10)-1)*costos!$K$12)))</f>
        <v>155.43381064180539</v>
      </c>
      <c r="CF35" s="92">
        <f>CF$10*(1+((H35/H$10-1)*costos!$B$13+((I35*F35)/(I$10*F$10)-1)*costos!$E$13+((J35*F35)/((J$10*F$10)-1)*costos!$F$13/3+((K35*F35)/(K$10*F$10)-1)*costos!$F$13/3+((U35*F35)/(U$10*F$10)-1)*costos!$F$13/3+((L35*F35)/(L$10*F$10)-1)*costos!$G$13+((X35*F35)/(X$10*F$10)-1)*costos!$J$13+((V35*F35)/(V$10*F$10)-1)*costos!$K$13)))</f>
        <v>172.80293215149734</v>
      </c>
      <c r="CG35" s="92">
        <f t="shared" si="60"/>
        <v>168.04334571583334</v>
      </c>
      <c r="CH35" s="92">
        <f>CH$10*(1+((H35/H$10-1)*costos!$B$10+((I35*F35)/(I$10*F$10)-1)*costos!$E$10+((J35*F35)/((J$10*F$10)-1)*costos!$F$10/3+((K35*F35)/(K$10*F$10)-1)*costos!$F$10/3+((U35*F35)/(U$10*F$10)-1)*costos!$F$10/3+((L35*F35)/(L$10*F$10)-1)*costos!$G$10+((AF35)/(AF$10)-1)*costos!$J$10+((V35*F35)/(V$10*F$10)-1)*costos!$K$10)))</f>
        <v>176.00535717273468</v>
      </c>
      <c r="CI35" s="92">
        <f>CI$10*(1+((H35/H$10-1)*costos!$B$15+((I35*F35)/(I$10*F$10)-1)*costos!$E$15+((J35*F35)/((J$10*F$10)-1)*costos!$F$15/3+((K35*F35)/(K$10*F$10)-1)*costos!$F$15/3+((U35*F35)/(U$10*F$10)-1)*costos!$F$15/3+((L35*F35)/(L$10*F$10)-1)*costos!$G$15+((AV35)/(AV$10)-1)*costos!$J$15+((V35*F35)/(V$10*F$10)-1)*costos!$K$15)))</f>
        <v>174.00175164549199</v>
      </c>
      <c r="CJ35" s="92">
        <f>CJ$10*(1+((H35/H$10-1)*costos!$B$16+((I35*F35)/(I$10*F$10)-1)*costos!$E$16+((J35*F35)/((J$10*F$10)-1)*costos!$F$16/3+((K35*F35)/(K$10*F$10)-1)*costos!$F$16/3+((U35*F35)/(U$10*F$10)-1)*costos!$F$16/3+((L35*F35)/(L$10*F$10)-1)*costos!$G$16+((AW35)/(AW$10)-1)*costos!$J$16+((V35*F35)/(V$10*F$10)-1)*costos!$K$16)))</f>
        <v>169.34310286489901</v>
      </c>
      <c r="CK35" s="92">
        <f>CK$10*(1+((H35/H$10-1)*costos!$B$17+((I35*F35)/(I$10*F$10)-1)*costos!$E$17+((J35*F35)/((J$10*F$10)-1)*costos!$F$17/3+((K35*F35)/(K$10*F$10)-1)*costos!$F$17/3+((U35*F35)/(U$10*F$10)-1)*costos!$F$17/3+((L35*F35)/(L$10*F$10)-1)*costos!$G$17+((AX35)/(AX$10)-1)*costos!$J$17+((V35*F35)/(V$10*F$10)-1)*costos!$K$17)))</f>
        <v>159.72087754835923</v>
      </c>
      <c r="CL35" s="92">
        <f>CL$10*(1+((H35/H$10-1)*costos!$B$18+((I35*F35)/(I$10*F$10)-1)*costos!$E$18+((J35*F35)/((J$10*F$10)-1)*costos!$F$18/3+((K35*F35)/(K$10*F$10)-1)*costos!$F$18/3+((U35*F35)/(U$10*F$10)-1)*costos!$F$18/3+((L35*F35)/(L$10*F$10)-1)*costos!$G$18+((AY35)/(AY$10)-1)*costos!$J$18+((V35*F35)/(V$10*F$10)-1)*costos!$K$18)))</f>
        <v>169.78827203656374</v>
      </c>
      <c r="CM35" s="92">
        <f>CM$10*(1+((H35/H$10-1)*costos!$B$19+((I35*F35)/(I$10*F$10)-1)*costos!$E$19+((J35*F35)/((J$10*F$10)-1)*costos!$F$19/3+((K35*F35)/(K$10*F$10)-1)*costos!$F$19/3+((U35*F35)/(U$10*F$10)-1)*costos!$F$19/3+((L35*F35)/(L$10*F$10)-1)*costos!$G$19+((AZ35)/(AZ$10)-1)*costos!$J$19+((V35*F35)/(V$10*F$10)-1)*costos!$K$19)))</f>
        <v>164.28686421311403</v>
      </c>
      <c r="CN35" s="92">
        <f>CN$10*(1+((H35/H$10-1)*costos!$B$20+((I35*F35)/(I$10*F$10)-1)*costos!$E$20+((J35*F35)/((J$10*F$10)-1)*costos!$F$20/3+((K35*F35)/(K$10*F$10)-1)*costos!$F$20/3+((U35*F35)/(U$10*F$10)-1)*costos!$F$20/3+((L35*F35)/(L$10*F$10)-1)*costos!$G$20+((BA35)/(BA$10)-1)*costos!$J$20+((V35*F35)/(V$10*F$10)-1)*costos!$K$20)))</f>
        <v>151.24301749703523</v>
      </c>
      <c r="CO35" s="92">
        <f t="shared" si="61"/>
        <v>161.25975782376804</v>
      </c>
      <c r="CP35" s="92">
        <f>CP$10*(1+((H35/H$10-1)*costos!$B$22+((I35*F35)/(I$10*F$10)-1)*costos!$E$22+((J35*F35)/((J$10*F$10)-1)*costos!$F$22/3+((K35*F35)/(K$10*F$10)-1)*costos!$F$22/3+((U35*F35)/(U$10*F$10)-1)*costos!$F$22/3+((L35*F35)/(L$10*F$10)-1)*costos!$G$22+(((AVERAGE(AI35:AL35))/((AVERAGE(AI$10:AL$10))-1)*costos!$J$22+((V35*F35)/(V$10*F$10)-1)*costos!$K$22)))))</f>
        <v>211.31323968188073</v>
      </c>
      <c r="CQ35" s="92">
        <f>CQ$10*(1+((H35/H$10-1)*costos!$B$23+((I35*F35)/(I$10*F$10)-1)*costos!$E$23+((J35*F35)/((J$10*F$10)-1)*costos!$F$23/3+((K35*F35)/(K$10*F$10)-1)*costos!$F$23/3+((U35*F35)/(U$10*F$10)-1)*costos!$F$23/3+((L35*F35)/(L$10*F$10)-1)*costos!$G$23+((AN35)/(AN$10)-1)*costos!$J$23+((V35*F35)/(V$10*F$10)-1)*costos!$K$23)))</f>
        <v>167.73103058106901</v>
      </c>
      <c r="CR35" s="92">
        <f>CR$10*(1+((H35/H$10-1)*costos!$B$24+((I35*F35)/(I$10*F$10)-1)*costos!$E$24+((J35*F35)/((J$10*F$10)-1)*costos!$F$24/3+((K35*F35)/(K$10*F$10)-1)*costos!$F$24/3+((U35*F35)/(U$10*F$10)-1)*costos!$F$24/3+((L35*F35)/(L$10*F$10)-1)*costos!$G$24+((AO35)/(AO$10)-1)*costos!$J$24+((V35*F35)/(V$10*F$10)-1)*costos!$K$24)))</f>
        <v>167.41109685873087</v>
      </c>
      <c r="CS35" s="92">
        <f t="shared" si="62"/>
        <v>167.57106371989994</v>
      </c>
      <c r="CT35" s="92">
        <f>CT$10*(1+((H35/H$10-1)*costos!$B$25+((I35*F35)/(I$10*F$10)-1)*costos!$E$25+((J35*F35)/((J$10*F$10)-1)*costos!$F$25/3+((K35*F35)/(K$10*F$10)-1)*costos!$F$25/3+((U35*F35)/(U$10*F$10)-1)*costos!$F$25/3+((L35*F35)/(L$10*F$10)-1)*costos!$G$25+((AQ35)/(AQ$10)-1)*costos!$J$25+((V35*F35)/(V$10*F$10)-1)*costos!$K$25)))</f>
        <v>168.27313893047918</v>
      </c>
      <c r="CU35" s="92">
        <f>CU$10*(1+((H35/H$10-1)*costos!$B$26+((I35*F35)/(I$10*F$10)-1)*costos!$E$26+((J35*F35)/((J$10*F$10)-1)*costos!$F$26/3+((K35*F35)/(K$10*F$10)-1)*costos!$F$26/3+((U35*F35)/(U$10*F$10)-1)*costos!$F$26/3+((L35*F35)/(L$10*F$10)-1)*costos!$G$26+((AR35)/(AR$10)-1)*costos!$J$26+((V35*F35)/(V$10*F$10)-1)*costos!$K$26)))</f>
        <v>166.91771917269782</v>
      </c>
      <c r="CV35" s="92">
        <f>CV$10*(1+((H35/H$10-1)*costos!$B$27+((I35*F35)/(I$10*F$10)-1)*costos!$E$27+((J35*F35)/((J$10*F$10)-1)*costos!$F$27/3+((K35*F35)/(K$10*F$10)-1)*costos!$F$27/3+((U35*F35)/(U$10*F$10)-1)*costos!$F$27/3+((L35*F35)/(L$10*F$10)-1)*costos!$G$27+((AS35)/(AS$10)-1)*costos!$J$27+((V35*F35)/(V$10*F$10)-1)*costos!$K$27)))</f>
        <v>168.10860289469881</v>
      </c>
      <c r="CW35" s="92">
        <f>CW$10*(1+((H35/H$10-1)*costos!$B$28+((I35*F35)/(I$10*F$10)-1)*costos!$E$28+((J35*F35)/((J$10*F$10)-1)*costos!$F$28/3+((K35*F35)/(K$10*F$10)-1)*costos!$F$28/3+((U35*F35)/(U$10*F$10)-1)*costos!$F$28/3+((L35*F35)/(L$10*F$10)-1)*costos!$G$28+((AS35)/(AS$10)-1)*costos!$J$28+((V35*F35)/(V$10*F$10)-1)*costos!$K$28)))</f>
        <v>168.10860289469881</v>
      </c>
      <c r="CX35" s="92">
        <f t="shared" si="63"/>
        <v>167.71164165403181</v>
      </c>
      <c r="CY35" s="92">
        <f>CY$10*(1+((H35/H$10-1)*costos!$B$32+((I35*F35)/(I$10*F$10)-1)*costos!$E$32+((J35*F35)/((J$10*F$10)-1)*costos!$F$32/3+((K35*F35)/(K$10*F$10)-1)*costos!$F$32/3+((U35*F35)/(U$10*F$10)-1)*costos!$F$32/3+((L35*F35)/(L$10*F$10)-1)*costos!$G$32+((AG35)/(AG$10)-1)*costos!$J$32+((V35*F35)/(V$10*F$10)-1)*costos!$K$32)))</f>
        <v>163.09301124380144</v>
      </c>
      <c r="CZ35" s="69">
        <f>CZ$10*(1+((H35/H$10-1)*costos!$B$31+((I35*F35)/(I$10*F$10)-1)*costos!$E$30+((J35*F35)/((J$10*F$10)-1)*costos!$F$30/3+((K35*F35)/(K$10*F$10)-1)*costos!$F$30/3+((U35*F35)/(U$10*F$10)-1)*costos!$F$30/3+((L35*F35)/(L$10*F$10)-1)*costos!$G$30+((BG35)/(BG$10)-1)*costos!$J$30+((V35*F35)/(V$10*F$10)-1)*costos!$K$30)))</f>
        <v>179.7217294452031</v>
      </c>
      <c r="DA35" s="69">
        <f>DA$10*(1+((H35/H$10-1)*costos!$B$31+((I35*F35)/(I$10*F$10)-1)*costos!$E$31+((J35*F35)/((J$10*F$10)-1)*costos!$F$31/3+((K35*F35)/(K$10*F$10)-1)*costos!$F$31/3+((U35*F35)/(U$10*F$10)-1)*costos!$F$31/3+((L35*F35)/(L$10*F$10)-1)*costos!$G$31+((BJ35)/(BJ$10)-1)*costos!$J$31+((V35*F35)/(V$10*F$10)-1)*costos!$K$31)))</f>
        <v>165.07180064913749</v>
      </c>
      <c r="DB35" s="69">
        <f>DB$10*(1+((H35/H$10-1)*costos!$B$36+((I35*F35)/(I$10*F$10)-1)*costos!$E$36+((J35*F35)/((J$10*F$10)-1)*costos!$F$36/3+((K35*F35)/(K$10*F$10)-1)*costos!$F$36/3+((U35*F35)/(U$10*F$10)-1)*costos!$F$36/3+((L35*F35)/(L$10*F$10)-1)*costos!$G$36+((BK35)/(BK$10)-1)*costos!$J$36+((V35*F35)/(V$10*F$10)-1)*costos!$K$36)))</f>
        <v>163.01870949617603</v>
      </c>
      <c r="DC35" s="69">
        <f>DC$10*(1+((H35/H$10-1)*costos!$B$37+((I35*F35)/(I$10*F$10)-1)*costos!$E$37+((U35*F35)/(U$10*F$10)-1)*costos!$F$37+((L35*F35)/(L$10*F$10)-1)*costos!$G$37+((BN35)/(BN$10)-1)*costos!$J$37+((V35*F35)/(V$10*F$10)-1)*costos!$K$37))</f>
        <v>165.24220884094842</v>
      </c>
      <c r="DD35" s="69">
        <f>DD$10*(1+((H35/H$10-1)*costos!$B$39+((I35*F35)/(I$10*F$10)-1)*costos!$E$39+((U35*F35)/(U$10*F$10)-1)*costos!$F$39+((L35*F35)/(L$10*F$10)-1)*costos!$G$39+((BR35)/(BR$10)-1)*costos!$J$39+((V35*F35)/(V$10*F$10)-1)*costos!$K$39))</f>
        <v>162.82486159589294</v>
      </c>
      <c r="DE35" s="69">
        <f>DD$10*(1+((H35/H$10-1)*costos!$B$35+((I35*F35)/(I$10*F$10)-1)*costos!$E$35+((U35*F35)/(U$10*F$10)-1)*costos!$F$35+((L35*F35)/(L$10*F$10)-1)*costos!$G$35+((BR35)/(BR$10)-1)*costos!$J$35+((V35*F35)/(V$10*F$10)-1)*costos!$K$35))</f>
        <v>155.95214984827135</v>
      </c>
      <c r="DF35" s="69">
        <f>DF$10*(1+((H35/H$10-1)*costos!$B$40+((I35*F35)/(I$10*F$10)-1)*costos!$E$40+((U35*F35)/(U$10*F$10)-1)*costos!$F$40+((L35*F35)/(L$10*F$10)-1)*costos!$G$40+((BP35)/(BP$10)-1)*costos!$J$40+((V35*F35)/(V$10*F$10)-1)*costos!$K$40))</f>
        <v>162.3672214125618</v>
      </c>
      <c r="DG35" s="92">
        <f t="shared" si="64"/>
        <v>159.15968563041656</v>
      </c>
      <c r="DH35" s="69">
        <f>DH$10*(1+((H35/H$10-1)*costos!$B$34+((I35*F35)/(I$10*F$10)-1)*costos!$E$34+((J35*F35)/((J$10*F$10)-1)*costos!$F$34/3+((K35*F35)/(K$10*F$10)-1)*costos!$F$34/3+((U35*F35)/(U$10*F$10)-1)*costos!$F$34/3+((L35*F35)/(L$10*F$10)-1)*costos!$G$34+((BV35)/(BV$10)-1)*costos!$J$34+((V35*F35)/(V$10*F$10)-1)*costos!$K$34)))</f>
        <v>166.30781560993952</v>
      </c>
      <c r="DI35" s="69">
        <f>DI$10*(1+((H35/H$10-1)*costos!$B$38+((I35*F35)/(I$10*F$10)-1)*costos!$E$38+((J35*F35)/((J$10*F$10)-1)*costos!$F$38/3+((K35*F35)/(K$10*F$10)-1)*costos!$F$38/3+((U35*F35)/(U$10*F$10)-1)*costos!$F$38/3+((L35*F35)/(L$10*F$10)-1)*costos!$G$38+((BU35)/(BU$10)-1)*costos!$J$38+((V35*F35)/(V$10*F$10)-1)*costos!$K$38)))</f>
        <v>166.75732577957584</v>
      </c>
      <c r="DK35" s="1">
        <v>327000</v>
      </c>
      <c r="DL35" s="1" t="s">
        <v>6</v>
      </c>
      <c r="DM35" s="1">
        <v>202000</v>
      </c>
      <c r="DN35" s="1" t="str">
        <f>+DN34</f>
        <v>2016-17</v>
      </c>
      <c r="DO35" s="82">
        <f>+DO34</f>
        <v>800000</v>
      </c>
      <c r="DP35" s="82" t="str">
        <f>+DP34</f>
        <v>2017-18</v>
      </c>
      <c r="DQ35" s="1">
        <v>1750000</v>
      </c>
      <c r="DR35" s="1" t="s">
        <v>6</v>
      </c>
      <c r="DS35" s="1">
        <v>5400000</v>
      </c>
      <c r="DT35" s="1" t="s">
        <v>6</v>
      </c>
      <c r="DU35" s="1">
        <v>18000000</v>
      </c>
      <c r="DV35" s="1" t="s">
        <v>6</v>
      </c>
      <c r="DW35" s="1">
        <v>830000</v>
      </c>
      <c r="DX35" s="1" t="s">
        <v>6</v>
      </c>
      <c r="DY35" s="1">
        <v>5930000</v>
      </c>
      <c r="DZ35" s="83" t="str">
        <f>+DZ34</f>
        <v>2017-18</v>
      </c>
      <c r="EA35" s="79">
        <f t="shared" si="67"/>
        <v>32710000</v>
      </c>
      <c r="EB35" s="1">
        <v>407000</v>
      </c>
      <c r="EC35" s="1" t="s">
        <v>6</v>
      </c>
      <c r="ED35" s="83">
        <v>169595</v>
      </c>
      <c r="EE35" s="143">
        <v>2018</v>
      </c>
      <c r="EF35" s="1">
        <f t="shared" si="121"/>
        <v>218233</v>
      </c>
      <c r="EG35" s="6">
        <f t="shared" si="122"/>
        <v>2018</v>
      </c>
      <c r="EH35" s="83">
        <v>54793181</v>
      </c>
      <c r="EI35" s="143">
        <v>2018</v>
      </c>
      <c r="EJ35" s="83">
        <f t="shared" si="169"/>
        <v>5119438</v>
      </c>
      <c r="EK35" s="143">
        <v>2028</v>
      </c>
      <c r="EL35" s="82">
        <f t="shared" si="175"/>
        <v>14746566</v>
      </c>
      <c r="EM35" s="144">
        <f t="shared" si="175"/>
        <v>2017</v>
      </c>
      <c r="EN35" s="82">
        <f t="shared" si="175"/>
        <v>3364725</v>
      </c>
      <c r="EO35" s="144">
        <f t="shared" si="175"/>
        <v>2017</v>
      </c>
      <c r="EP35" s="82">
        <f t="shared" si="118"/>
        <v>6552</v>
      </c>
      <c r="EQ35" s="83">
        <f t="shared" si="100"/>
        <v>3003036</v>
      </c>
      <c r="ER35" s="1">
        <f t="shared" ref="ER35:ER93" si="189">+ER34</f>
        <v>33739</v>
      </c>
      <c r="ES35" s="82"/>
      <c r="ET35" s="83">
        <f t="shared" si="101"/>
        <v>22340</v>
      </c>
      <c r="EU35" s="83">
        <f t="shared" si="101"/>
        <v>17224</v>
      </c>
      <c r="EV35" s="83">
        <f t="shared" si="101"/>
        <v>9128</v>
      </c>
      <c r="EW35" s="83">
        <f t="shared" si="101"/>
        <v>17414</v>
      </c>
      <c r="EX35" s="79">
        <f t="shared" si="72"/>
        <v>66106</v>
      </c>
      <c r="EY35" s="83">
        <f t="shared" si="123"/>
        <v>19463</v>
      </c>
      <c r="EZ35" s="82">
        <f>+EZ34</f>
        <v>74231</v>
      </c>
      <c r="FA35" s="82">
        <f t="shared" si="103"/>
        <v>24553</v>
      </c>
      <c r="FB35" s="82">
        <f t="shared" si="103"/>
        <v>23958</v>
      </c>
      <c r="FC35" s="79">
        <f t="shared" si="73"/>
        <v>48511</v>
      </c>
      <c r="FD35" s="83">
        <f t="shared" si="158"/>
        <v>66959.290000000008</v>
      </c>
      <c r="FE35" s="1"/>
      <c r="FF35" s="82">
        <f t="shared" si="186"/>
        <v>630040</v>
      </c>
      <c r="FG35" s="82" t="str">
        <f t="shared" si="186"/>
        <v>2016-17</v>
      </c>
      <c r="FH35" s="82">
        <f t="shared" si="186"/>
        <v>1328340</v>
      </c>
      <c r="FI35" s="82" t="str">
        <f t="shared" si="186"/>
        <v>2016-17</v>
      </c>
      <c r="FJ35" s="82">
        <f t="shared" si="186"/>
        <v>3100000</v>
      </c>
      <c r="FK35" s="82" t="str">
        <f t="shared" si="186"/>
        <v>2017-18</v>
      </c>
      <c r="FL35" s="1">
        <v>3600000</v>
      </c>
      <c r="FM35" s="1" t="s">
        <v>6</v>
      </c>
      <c r="FN35" s="1">
        <v>37000000</v>
      </c>
      <c r="FO35" s="1" t="s">
        <v>6</v>
      </c>
      <c r="FP35" s="1">
        <v>47000000</v>
      </c>
      <c r="FQ35" s="1" t="s">
        <v>6</v>
      </c>
      <c r="FR35" s="1">
        <f>+FR36</f>
        <v>2530000</v>
      </c>
      <c r="FS35" s="1" t="str">
        <f>+FS36</f>
        <v>2016-17</v>
      </c>
      <c r="FT35" s="1">
        <v>18520000</v>
      </c>
      <c r="FU35" s="82" t="str">
        <f>+FU34</f>
        <v>2017-18</v>
      </c>
      <c r="FV35" s="79">
        <f t="shared" si="76"/>
        <v>111750000</v>
      </c>
      <c r="FW35" s="82">
        <f t="shared" si="183"/>
        <v>1081031.1999999997</v>
      </c>
      <c r="FX35" s="82" t="str">
        <f t="shared" si="184"/>
        <v>2016-17</v>
      </c>
      <c r="FY35" s="83">
        <v>37531.055999999997</v>
      </c>
      <c r="FZ35" s="79">
        <f t="shared" si="135"/>
        <v>714179.86600000004</v>
      </c>
      <c r="GA35" s="86" t="str">
        <f t="shared" si="136"/>
        <v>mar17 feb18</v>
      </c>
      <c r="GB35" s="1">
        <v>25733114</v>
      </c>
      <c r="GC35" s="6">
        <v>2018</v>
      </c>
      <c r="GD35" s="83">
        <f t="shared" si="165"/>
        <v>1989400</v>
      </c>
      <c r="GE35" s="83">
        <f t="shared" ref="GE35:GE47" si="190">+GE34</f>
        <v>431374</v>
      </c>
      <c r="GF35" s="83">
        <f>GF34</f>
        <v>1006779</v>
      </c>
      <c r="GG35" s="83">
        <f t="shared" si="166"/>
        <v>114118</v>
      </c>
      <c r="GH35" s="79">
        <f t="shared" si="78"/>
        <v>1552271</v>
      </c>
      <c r="GI35" s="82">
        <f t="shared" si="79"/>
        <v>1302556</v>
      </c>
      <c r="GJ35" s="83">
        <f t="shared" si="162"/>
        <v>685541.2</v>
      </c>
      <c r="GK35" s="83">
        <f t="shared" si="162"/>
        <v>1103042.8600000001</v>
      </c>
      <c r="GL35" s="83">
        <f t="shared" si="162"/>
        <v>287064.67</v>
      </c>
      <c r="GM35" s="83">
        <f t="shared" si="162"/>
        <v>260870.73</v>
      </c>
      <c r="GN35" s="79">
        <f t="shared" si="81"/>
        <v>2336519.46</v>
      </c>
      <c r="GO35" s="83">
        <f t="shared" si="107"/>
        <v>195071</v>
      </c>
      <c r="GP35" s="83">
        <f t="shared" si="107"/>
        <v>79468</v>
      </c>
      <c r="GQ35" s="83">
        <v>135324</v>
      </c>
      <c r="GR35" s="1">
        <f t="shared" ref="GR35:GR45" si="191">+GR34</f>
        <v>42800</v>
      </c>
      <c r="GS35" s="79">
        <f t="shared" ref="GS35:GS98" si="192">+GR35+GQ35*0.03</f>
        <v>46859.72</v>
      </c>
      <c r="GT35" s="83">
        <f t="shared" si="108"/>
        <v>2483769</v>
      </c>
      <c r="GU35" s="1">
        <v>97279</v>
      </c>
      <c r="GV35" s="1">
        <v>32484</v>
      </c>
      <c r="GW35" s="79">
        <f t="shared" si="151"/>
        <v>983800</v>
      </c>
      <c r="GX35" s="1">
        <v>26114.056</v>
      </c>
      <c r="GY35" s="1" t="s">
        <v>327</v>
      </c>
      <c r="GZ35" s="1">
        <v>104093.27099999999</v>
      </c>
      <c r="HA35" s="1">
        <v>230598</v>
      </c>
      <c r="HB35" s="79">
        <f>+SUM(HA24:HA35)</f>
        <v>2892598</v>
      </c>
      <c r="HC35" s="86" t="str">
        <f t="shared" si="138"/>
        <v>mar17 feb18</v>
      </c>
      <c r="HD35" s="83">
        <v>43393</v>
      </c>
      <c r="HE35" s="79">
        <f t="shared" si="139"/>
        <v>577546</v>
      </c>
      <c r="HF35" s="86" t="str">
        <f t="shared" si="140"/>
        <v>mar17 feb18</v>
      </c>
      <c r="HG35" s="1">
        <v>143000</v>
      </c>
      <c r="HH35" s="79">
        <f>+SUM(HG24:HG35)</f>
        <v>2097000</v>
      </c>
      <c r="HI35" s="86" t="str">
        <f t="shared" si="142"/>
        <v>mar17 feb18</v>
      </c>
      <c r="HJ35" s="1">
        <v>71447</v>
      </c>
      <c r="HK35" s="79">
        <f t="shared" si="143"/>
        <v>59769.66</v>
      </c>
      <c r="HL35" s="86" t="str">
        <f t="shared" si="144"/>
        <v>mar17 feb18</v>
      </c>
      <c r="HM35" s="79">
        <f t="shared" si="86"/>
        <v>2156769.66</v>
      </c>
      <c r="HN35" s="87">
        <f>+HO35/HO23-1</f>
        <v>7.2936649593751124E-3</v>
      </c>
      <c r="HO35" s="1">
        <v>741303088.08159089</v>
      </c>
      <c r="HP35" s="79">
        <f t="shared" si="153"/>
        <v>9921.3814444798554</v>
      </c>
      <c r="HQ35" s="86" t="str">
        <f t="shared" si="145"/>
        <v>mar17 feb18</v>
      </c>
      <c r="HR35" s="3"/>
      <c r="HS35" s="1"/>
      <c r="HT35" s="1"/>
      <c r="HU35" s="83">
        <f t="shared" si="174"/>
        <v>680000</v>
      </c>
      <c r="HV35" s="83" t="str">
        <f t="shared" si="174"/>
        <v>2016-17</v>
      </c>
      <c r="HW35" s="83">
        <v>1350000</v>
      </c>
      <c r="HX35" s="1" t="s">
        <v>6</v>
      </c>
      <c r="HY35" s="1">
        <v>3400000</v>
      </c>
      <c r="HZ35" s="1" t="s">
        <v>6</v>
      </c>
      <c r="IA35" s="1">
        <f t="shared" si="171"/>
        <v>19080000</v>
      </c>
      <c r="IB35" s="1" t="s">
        <v>106</v>
      </c>
      <c r="IC35" s="1">
        <v>47130000</v>
      </c>
      <c r="ID35" s="1" t="s">
        <v>106</v>
      </c>
      <c r="IE35" s="1">
        <f t="shared" si="172"/>
        <v>2450000</v>
      </c>
      <c r="IF35" s="1" t="s">
        <v>106</v>
      </c>
      <c r="IG35" s="1">
        <f t="shared" si="188"/>
        <v>6500000</v>
      </c>
      <c r="IH35" s="1" t="s">
        <v>6</v>
      </c>
      <c r="II35" s="79">
        <f t="shared" si="87"/>
        <v>79910000</v>
      </c>
      <c r="IJ35" s="97">
        <f t="shared" si="167"/>
        <v>1.5629261117125455</v>
      </c>
      <c r="IK35" s="1" t="s">
        <v>106</v>
      </c>
      <c r="IL35" s="7">
        <v>38.71</v>
      </c>
      <c r="IM35" s="7">
        <v>59.055314328354555</v>
      </c>
      <c r="IN35" s="7">
        <v>190</v>
      </c>
      <c r="IO35" s="695">
        <v>13.63</v>
      </c>
      <c r="IP35" s="98">
        <f t="shared" ref="IP35:IP45" si="193">262174480/IP$2</f>
        <v>5.6422028615424455</v>
      </c>
      <c r="IQ35" s="96">
        <v>18.899999999999999</v>
      </c>
      <c r="IR35" s="98">
        <f t="shared" ref="IR35:IU45" si="194">+IR34</f>
        <v>5.93</v>
      </c>
      <c r="IS35" s="98">
        <f t="shared" si="194"/>
        <v>5.67</v>
      </c>
      <c r="IT35" s="98">
        <f t="shared" si="194"/>
        <v>11.35</v>
      </c>
      <c r="IU35" s="98">
        <f t="shared" si="194"/>
        <v>0.88</v>
      </c>
      <c r="IV35" s="94">
        <f t="shared" si="89"/>
        <v>17.899999999999999</v>
      </c>
      <c r="IW35" s="84"/>
      <c r="IX35" s="84"/>
      <c r="IY35" s="105">
        <v>1.84</v>
      </c>
      <c r="IZ35" s="161">
        <v>0.3</v>
      </c>
      <c r="JA35" s="83">
        <v>2000</v>
      </c>
      <c r="JB35" s="84">
        <v>37.22</v>
      </c>
      <c r="JC35" s="84"/>
      <c r="JD35" s="84"/>
      <c r="JF35" s="2">
        <v>1.9151132599999998</v>
      </c>
      <c r="JG35" s="2">
        <v>9.8982769499999996</v>
      </c>
      <c r="JH35" s="2">
        <v>104.79347922999999</v>
      </c>
      <c r="JI35" s="2">
        <v>44.17435175</v>
      </c>
      <c r="JJ35" s="2">
        <v>264.96159239999997</v>
      </c>
      <c r="JK35" s="2">
        <v>67.708782819999996</v>
      </c>
      <c r="JL35" s="2">
        <v>863.37702253999998</v>
      </c>
      <c r="JM35" s="2">
        <v>2.9635196299999995</v>
      </c>
      <c r="JN35" s="2">
        <v>329.35176923</v>
      </c>
      <c r="JO35" s="2">
        <v>12.099240279999998</v>
      </c>
      <c r="JP35" s="2">
        <v>0</v>
      </c>
      <c r="JQ35" s="2">
        <v>0.96775860000000002</v>
      </c>
      <c r="JR35" s="2">
        <v>0.81335489999999999</v>
      </c>
      <c r="JS35" s="2">
        <v>0</v>
      </c>
      <c r="JT35" s="2">
        <v>0.98701382000000004</v>
      </c>
      <c r="JU35" s="2">
        <v>61.400245780000013</v>
      </c>
      <c r="JV35" s="2">
        <v>8.1726187800000005</v>
      </c>
      <c r="JW35" s="2">
        <v>61.492424369999988</v>
      </c>
      <c r="JX35" s="2">
        <v>5.0481458300000002</v>
      </c>
      <c r="JY35" s="2">
        <v>0</v>
      </c>
      <c r="JZ35" s="2">
        <v>0.46150882999999998</v>
      </c>
      <c r="KA35" s="2">
        <v>0.60443550000000001</v>
      </c>
      <c r="KB35" s="2">
        <v>15.760743489999999</v>
      </c>
      <c r="KC35" s="2">
        <v>18.019246920000004</v>
      </c>
      <c r="KD35" s="2">
        <v>5.8680840899999991</v>
      </c>
      <c r="KE35" s="2">
        <v>11.458722680000003</v>
      </c>
      <c r="KF35" s="2">
        <v>22.9861015</v>
      </c>
      <c r="KG35" s="2">
        <v>203.67500302999997</v>
      </c>
      <c r="KH35" s="2">
        <v>51.182942340000004</v>
      </c>
      <c r="KI35" s="2">
        <v>24.367346079999997</v>
      </c>
      <c r="KJ35" s="2">
        <v>2.16000565</v>
      </c>
      <c r="KK35" s="2">
        <v>8.9537410100000017</v>
      </c>
      <c r="KL35" s="2">
        <v>0.43965558999999999</v>
      </c>
      <c r="KM35" s="2">
        <v>3.6434560500000011</v>
      </c>
      <c r="KN35" s="2">
        <v>2.4126E-4</v>
      </c>
      <c r="KO35" s="2">
        <v>0.23338404999999998</v>
      </c>
      <c r="KP35" s="2">
        <v>3.4982039999999999E-2</v>
      </c>
      <c r="KQ35" s="2">
        <v>136.90016274000001</v>
      </c>
      <c r="KR35" s="2">
        <v>0</v>
      </c>
      <c r="KS35" s="2">
        <v>0.59072335999999992</v>
      </c>
      <c r="KT35" s="2">
        <v>5.2550860300000002</v>
      </c>
      <c r="KU35" s="2">
        <v>0.59751584999999996</v>
      </c>
      <c r="KV35" s="2">
        <v>1.7792550000000004E-2</v>
      </c>
      <c r="KW35" s="2">
        <v>2.7666663499999995</v>
      </c>
      <c r="KX35" s="2">
        <v>0</v>
      </c>
      <c r="KY35" s="2">
        <v>0</v>
      </c>
      <c r="KZ35" s="2">
        <v>0.41065252000000002</v>
      </c>
      <c r="LA35" s="2">
        <v>0.22432221999999999</v>
      </c>
      <c r="LB35" s="2">
        <v>0</v>
      </c>
      <c r="LC35" s="2">
        <v>0.27002227999999995</v>
      </c>
      <c r="LD35" s="2">
        <v>0</v>
      </c>
      <c r="LE35" s="2">
        <v>1.7568394600000001</v>
      </c>
      <c r="LF35" s="2">
        <v>0.43177061999999999</v>
      </c>
      <c r="LG35" s="2">
        <v>18.811525040000003</v>
      </c>
      <c r="LH35" s="2">
        <v>3.6771791700000001</v>
      </c>
      <c r="LI35" s="2">
        <v>0.29916423999999997</v>
      </c>
      <c r="LJ35" s="2">
        <v>0</v>
      </c>
      <c r="LK35" s="2">
        <v>2.0971381600000005</v>
      </c>
      <c r="LL35" s="2">
        <v>5.9637203299999992</v>
      </c>
      <c r="LM35" s="2">
        <v>2.3605536699999998</v>
      </c>
      <c r="LN35" s="2">
        <v>0.26720562999999997</v>
      </c>
      <c r="LO35" s="2">
        <v>9.9384643199999996</v>
      </c>
      <c r="LQ35" s="85">
        <f t="shared" si="90"/>
        <v>1609.62173478</v>
      </c>
      <c r="LR35" s="85">
        <f t="shared" si="91"/>
        <v>2.7681273200000001</v>
      </c>
      <c r="LS35" s="85">
        <f t="shared" si="92"/>
        <v>69.665043149999988</v>
      </c>
      <c r="LT35" s="85">
        <f t="shared" si="93"/>
        <v>1.06594433</v>
      </c>
      <c r="LU35" s="85">
        <f t="shared" si="94"/>
        <v>141.36796746000002</v>
      </c>
      <c r="LV35" s="85">
        <f t="shared" si="95"/>
        <v>2.7844588999999993</v>
      </c>
      <c r="LW35" s="85">
        <f t="shared" si="96"/>
        <v>0.22432221999999999</v>
      </c>
      <c r="LX35" s="85">
        <f t="shared" si="97"/>
        <v>2.1886100800000001</v>
      </c>
      <c r="LZ35" s="131">
        <v>24.31</v>
      </c>
      <c r="MA35" s="171">
        <v>23.22</v>
      </c>
      <c r="MB35"/>
      <c r="MC35"/>
      <c r="MD35"/>
      <c r="MF35"/>
      <c r="MG35"/>
      <c r="MH35" s="83">
        <v>42.62</v>
      </c>
      <c r="MI35" s="83">
        <v>11.64</v>
      </c>
      <c r="MJ35" s="83">
        <v>16.64</v>
      </c>
      <c r="MK35"/>
      <c r="ML35" s="83">
        <v>15.07</v>
      </c>
      <c r="MM35" s="83">
        <v>26.02</v>
      </c>
      <c r="MN35" s="83"/>
      <c r="MO35" s="83">
        <v>17.59</v>
      </c>
      <c r="MP35" s="83">
        <v>45.41</v>
      </c>
      <c r="MQ35" s="83">
        <v>39.43</v>
      </c>
      <c r="MR35"/>
      <c r="MT35" s="83"/>
      <c r="MU35" s="83">
        <v>29.26</v>
      </c>
      <c r="MV35"/>
      <c r="MW35"/>
      <c r="MX35"/>
      <c r="MY35" s="83">
        <v>35.659999999999997</v>
      </c>
      <c r="MZ35" s="83">
        <v>108.2</v>
      </c>
      <c r="NA35" s="83">
        <v>45.22</v>
      </c>
      <c r="NB35" s="83">
        <v>139.77000000000001</v>
      </c>
      <c r="NC35" s="83">
        <v>23.08</v>
      </c>
      <c r="ND35"/>
      <c r="NE35" s="1">
        <v>124.41</v>
      </c>
    </row>
    <row r="36" spans="1:369">
      <c r="A36" s="38">
        <f t="shared" si="32"/>
        <v>43160</v>
      </c>
      <c r="B36" s="36">
        <v>3</v>
      </c>
      <c r="C36" s="36">
        <v>2018</v>
      </c>
      <c r="D36" s="36">
        <f t="shared" si="50"/>
        <v>36</v>
      </c>
      <c r="E36" s="38">
        <f t="shared" si="33"/>
        <v>43160</v>
      </c>
      <c r="F36" s="7">
        <v>20.499999999999996</v>
      </c>
      <c r="G36" s="7">
        <v>133.1</v>
      </c>
      <c r="H36" s="1">
        <f>[2]NACIONALES!$D24</f>
        <v>12648.96</v>
      </c>
      <c r="I36" s="7">
        <v>107</v>
      </c>
      <c r="J36" s="7">
        <v>420</v>
      </c>
      <c r="K36" s="7">
        <v>2.8</v>
      </c>
      <c r="L36" s="7">
        <v>35.700000000000003</v>
      </c>
      <c r="N36" s="5">
        <v>1.7176</v>
      </c>
      <c r="O36" s="5">
        <v>1.5848</v>
      </c>
      <c r="P36" s="78">
        <f t="shared" si="34"/>
        <v>33.849599999999995</v>
      </c>
      <c r="Q36" s="6">
        <v>427.5</v>
      </c>
      <c r="R36" s="79">
        <f t="shared" si="35"/>
        <v>4275</v>
      </c>
      <c r="S36" s="6">
        <v>189.85</v>
      </c>
      <c r="T36" s="6">
        <v>308.60000000000002</v>
      </c>
      <c r="U36" s="143">
        <v>176.08999999999997</v>
      </c>
      <c r="V36" s="6">
        <v>298.65500000000003</v>
      </c>
      <c r="W36" s="6">
        <v>156.6</v>
      </c>
      <c r="X36" s="6">
        <v>191.08499999999998</v>
      </c>
      <c r="Y36" s="79">
        <f t="shared" si="36"/>
        <v>3891.9249999999993</v>
      </c>
      <c r="Z36" s="79">
        <f t="shared" si="37"/>
        <v>6326.2999999999993</v>
      </c>
      <c r="AA36" s="79">
        <f t="shared" si="38"/>
        <v>3609.8449999999989</v>
      </c>
      <c r="AB36" s="79">
        <f t="shared" si="39"/>
        <v>6122.4274999999998</v>
      </c>
      <c r="AC36" s="79">
        <f t="shared" si="40"/>
        <v>3210.2999999999993</v>
      </c>
      <c r="AD36" s="79">
        <f t="shared" si="41"/>
        <v>3917.2424999999989</v>
      </c>
      <c r="AE36" s="79">
        <f t="shared" si="42"/>
        <v>4513.0066666666653</v>
      </c>
      <c r="AF36" s="1">
        <v>12273</v>
      </c>
      <c r="AG36" s="1">
        <v>6300</v>
      </c>
      <c r="AH36" s="1">
        <v>23300</v>
      </c>
      <c r="AI36" s="5">
        <v>10.89</v>
      </c>
      <c r="AJ36" s="5">
        <v>7.8</v>
      </c>
      <c r="AK36" s="5">
        <v>7.09</v>
      </c>
      <c r="AL36" s="5">
        <v>6.19</v>
      </c>
      <c r="AM36" s="78">
        <f t="shared" si="43"/>
        <v>8.6504000000000012</v>
      </c>
      <c r="AN36" s="7">
        <v>452.39130434782606</v>
      </c>
      <c r="AO36" s="7">
        <v>330.87300000000005</v>
      </c>
      <c r="AP36" s="78">
        <f t="shared" si="146"/>
        <v>330.87300000000005</v>
      </c>
      <c r="AQ36" s="7">
        <v>299.76744186046511</v>
      </c>
      <c r="AR36" s="7">
        <v>275.75400000000002</v>
      </c>
      <c r="AS36" s="7">
        <v>346.72727272727275</v>
      </c>
      <c r="AT36" s="7">
        <v>388.62900000000002</v>
      </c>
      <c r="AU36" s="78">
        <f t="shared" si="53"/>
        <v>337.03675757575758</v>
      </c>
      <c r="AV36" s="7">
        <v>130.28932203389834</v>
      </c>
      <c r="AW36" s="7">
        <v>377.79750000000001</v>
      </c>
      <c r="AX36" s="7">
        <v>143.79050000000001</v>
      </c>
      <c r="AY36" s="7">
        <v>143.38992125984242</v>
      </c>
      <c r="AZ36" s="7">
        <v>215.6165</v>
      </c>
      <c r="BA36" s="7">
        <v>67.247500000000002</v>
      </c>
      <c r="BB36" s="94">
        <f t="shared" si="45"/>
        <v>152.48350590551178</v>
      </c>
      <c r="BC36" s="68">
        <v>696</v>
      </c>
      <c r="BD36" s="68">
        <f t="shared" si="185"/>
        <v>807</v>
      </c>
      <c r="BE36" s="7">
        <v>690</v>
      </c>
      <c r="BF36" s="7">
        <v>410</v>
      </c>
      <c r="BG36" s="94">
        <f t="shared" si="56"/>
        <v>650.75</v>
      </c>
      <c r="BH36" s="7">
        <v>53.11</v>
      </c>
      <c r="BI36" s="7">
        <f>+BI35</f>
        <v>8.9809999999999999</v>
      </c>
      <c r="BJ36" s="78">
        <f t="shared" si="57"/>
        <v>62.091000000000001</v>
      </c>
      <c r="BK36" s="7">
        <v>34.911999999999999</v>
      </c>
      <c r="BL36" s="7">
        <v>35.539000000000001</v>
      </c>
      <c r="BM36" s="94">
        <f t="shared" si="58"/>
        <v>35.225499999999997</v>
      </c>
      <c r="BN36" s="5">
        <v>5.94</v>
      </c>
      <c r="BO36" s="5">
        <v>31.320000000000004</v>
      </c>
      <c r="BP36" s="80">
        <v>20.2195</v>
      </c>
      <c r="BQ36" s="94">
        <f t="shared" si="59"/>
        <v>30.209950000000003</v>
      </c>
      <c r="BR36" s="7">
        <v>23.56</v>
      </c>
      <c r="BS36" s="7">
        <v>100</v>
      </c>
      <c r="BT36" s="7">
        <v>71.38</v>
      </c>
      <c r="BU36" s="79">
        <f t="shared" si="147"/>
        <v>1414.1399999999999</v>
      </c>
      <c r="BV36" s="7">
        <v>39</v>
      </c>
      <c r="BW36" s="7"/>
      <c r="BY36" s="92">
        <f>BY$10*(1+((H36/H$10-1)*costos!$B$5+((I36*F36)/(I$10*F$10)-1)*costos!$E$5+((J36*F36)/((J$10*F$10)-1)*costos!$F$5/3+((K36*F36)/(K$10*F$10)-1)*costos!$F$5/3+((U36*F36)/(U$10*F$10)-1)*costos!$F$5/3+((L36*F36)/(L$10*F$10)-1)*costos!$G$5+((N36*F36)/(N$10*F$10)-1)*costos!$J$5+((V36*F36)/(V$10*F$10)-1)*costos!$K$5)))</f>
        <v>186.19974926492816</v>
      </c>
      <c r="BZ36" s="92">
        <f>$BZ$10*(1+((H36/$H$10-1)*costos!$B$6+((I36*F36)/($I$10*$F$10)-1)*costos!$E$6+((J36*F36)/(($J$10*$F$10)-1)*costos!$F$6/3+((K36*F36)/($K$10*$F$10)-1)*costos!$F$6/3+((U36*F36)/($U$10*$F$10)-1)*costos!$F$6/3+((L36*F36)/($L$10*$F$10)-1)*costos!$G$6+((Q36*F36)/($Q$10*$F$10)-1)*costos!$J$6+((V36*F36)/($V$10*$F$10)-1)*costos!$K$6)))</f>
        <v>171.8462300657911</v>
      </c>
      <c r="CA36" s="92">
        <f>CA$10*(1+((H36/H$10-1)*costos!$B$7+((I36*F36)/(I$10*F$10)-1)*costos!$E$7+((J36*F36)/((J$10*F$10)-1)*costos!$F$7/3+((K36*F36)/(K$10*F$10)-1)*costos!$F$7/3+((U36*F36)/(U$10*F$10)-1)*costos!$F$7/3+((L36*F36)/(L$10*F$10)-1)*costos!$G$7+((S36*F36)/(S$10*F$10)-1)*costos!$J$7+((V36*F36)/(V$10*F$10)-1)*costos!$K$7)))</f>
        <v>181.53620130041358</v>
      </c>
      <c r="CB36" s="92">
        <f>CB$10*(1+((H36/H$10-1)*costos!$B$8+((I36*F36)/(I$10*F$10)-1)*costos!$E$8+((J36*F36)/((J$10*F$10)-1)*costos!$F$8/3+((K36*F36)/(K$10*F$10)-1)*costos!$F$8/3+((U36*F36)/(U$10*F$10)-1)*costos!$F$8/3+((L36*F36)/(L$10*F$10)-1)*costos!$G$8+((T36*F36)/(T$10*F$10)-1)*costos!$J$8+((V36*F36)/(V$10*F$10)-1)*costos!$K$8)))</f>
        <v>177.17470918570984</v>
      </c>
      <c r="CC36" s="92">
        <f>CC$10*(1+((H36/H$10-1)*costos!$B$9+((I36*F36)/(I$10*F$10)-1)*costos!$E$9+((J36*F36)/((J$10*F$10)-1)*costos!$F$9/3+((K36*F36)/(K$10*F$10)-1)*costos!$F$9/3+((U36*F36)/(U$10*F$10)-1)*costos!$F$9/3+((L36*F36)/(L$10*F$10)-1)*costos!$G$9+((U36*F36)/(U$10*F$10)-1)*costos!$J$9+((V36*F36)/(V$10*F$10)-1)*costos!$K$9)))</f>
        <v>178.26404264706574</v>
      </c>
      <c r="CD36" s="92">
        <f>CD$10*(1+((H36/H$10-1)*costos!$B$11+((I36*F36)/(I$10*F$10)-1)*costos!$E$11+((J36*F36)/((J$10*F$10)-1)*costos!$F$11/3+((K36*F36)/(K$10*F$10)-1)*costos!$F$11/3+((U36*F36)/(U$10*F$10)-1)*costos!$F$11/3+((L36*F36)/(L$10*F$10)-1)*costos!$G$11+((V36*F36)/(V$10*F$10)-1)*costos!$J$11+((V36*F36)/(V$10*F$10)-1)*costos!$K$11)))</f>
        <v>183.51886306628441</v>
      </c>
      <c r="CE36" s="92">
        <f>CE$10*(1+((H36/H$10-1)*costos!$B$12+((I36*F36)/(I$10*F$10)-1)*costos!$E$12+((J36*F36)/((J$10*F$10)-1)*costos!$F$12/3+((K36*F36)/(K$10*F$10)-1)*costos!$F$12/3+((U36*F36)/(U$10*F$10)-1)*costos!$F$12/3+((L36*F36)/(L$10*F$10)-1)*costos!$G$12+((W36*F36)/(W$10*F$10)-1)*costos!$J$12+((V36*F36)/(V$10*F$10)-1)*costos!$K$12)))</f>
        <v>171.23189600952398</v>
      </c>
      <c r="CF36" s="92">
        <f>CF$10*(1+((H36/H$10-1)*costos!$B$13+((I36*F36)/(I$10*F$10)-1)*costos!$E$13+((J36*F36)/((J$10*F$10)-1)*costos!$F$13/3+((K36*F36)/(K$10*F$10)-1)*costos!$F$13/3+((U36*F36)/(U$10*F$10)-1)*costos!$F$13/3+((L36*F36)/(L$10*F$10)-1)*costos!$G$13+((X36*F36)/(X$10*F$10)-1)*costos!$J$13+((V36*F36)/(V$10*F$10)-1)*costos!$K$13)))</f>
        <v>183.16770928620804</v>
      </c>
      <c r="CG36" s="92">
        <f t="shared" si="60"/>
        <v>179.14890358253425</v>
      </c>
      <c r="CH36" s="92">
        <f>CH$10*(1+((H36/H$10-1)*costos!$B$10+((I36*F36)/(I$10*F$10)-1)*costos!$E$10+((J36*F36)/((J$10*F$10)-1)*costos!$F$10/3+((K36*F36)/(K$10*F$10)-1)*costos!$F$10/3+((U36*F36)/(U$10*F$10)-1)*costos!$F$10/3+((L36*F36)/(L$10*F$10)-1)*costos!$G$10+((AF36)/(AF$10)-1)*costos!$J$10+((V36*F36)/(V$10*F$10)-1)*costos!$K$10)))</f>
        <v>181.39718653715863</v>
      </c>
      <c r="CI36" s="92">
        <f>CI$10*(1+((H36/H$10-1)*costos!$B$15+((I36*F36)/(I$10*F$10)-1)*costos!$E$15+((J36*F36)/((J$10*F$10)-1)*costos!$F$15/3+((K36*F36)/(K$10*F$10)-1)*costos!$F$15/3+((U36*F36)/(U$10*F$10)-1)*costos!$F$15/3+((L36*F36)/(L$10*F$10)-1)*costos!$G$15+((AV36)/(AV$10)-1)*costos!$J$15+((V36*F36)/(V$10*F$10)-1)*costos!$K$15)))</f>
        <v>177.17344912720554</v>
      </c>
      <c r="CJ36" s="92">
        <f>CJ$10*(1+((H36/H$10-1)*costos!$B$16+((I36*F36)/(I$10*F$10)-1)*costos!$E$16+((J36*F36)/((J$10*F$10)-1)*costos!$F$16/3+((K36*F36)/(K$10*F$10)-1)*costos!$F$16/3+((U36*F36)/(U$10*F$10)-1)*costos!$F$16/3+((L36*F36)/(L$10*F$10)-1)*costos!$G$16+((AW36)/(AW$10)-1)*costos!$J$16+((V36*F36)/(V$10*F$10)-1)*costos!$K$16)))</f>
        <v>170.59074745343199</v>
      </c>
      <c r="CK36" s="92">
        <f>CK$10*(1+((H36/H$10-1)*costos!$B$17+((I36*F36)/(I$10*F$10)-1)*costos!$E$17+((J36*F36)/((J$10*F$10)-1)*costos!$F$17/3+((K36*F36)/(K$10*F$10)-1)*costos!$F$17/3+((U36*F36)/(U$10*F$10)-1)*costos!$F$17/3+((L36*F36)/(L$10*F$10)-1)*costos!$G$17+((AX36)/(AX$10)-1)*costos!$J$17+((V36*F36)/(V$10*F$10)-1)*costos!$K$17)))</f>
        <v>173.87985215829062</v>
      </c>
      <c r="CL36" s="92">
        <f>CL$10*(1+((H36/H$10-1)*costos!$B$18+((I36*F36)/(I$10*F$10)-1)*costos!$E$18+((J36*F36)/((J$10*F$10)-1)*costos!$F$18/3+((K36*F36)/(K$10*F$10)-1)*costos!$F$18/3+((U36*F36)/(U$10*F$10)-1)*costos!$F$18/3+((L36*F36)/(L$10*F$10)-1)*costos!$G$18+((AY36)/(AY$10)-1)*costos!$J$18+((V36*F36)/(V$10*F$10)-1)*costos!$K$18)))</f>
        <v>169.58419886689998</v>
      </c>
      <c r="CM36" s="92">
        <f>CM$10*(1+((H36/H$10-1)*costos!$B$19+((I36*F36)/(I$10*F$10)-1)*costos!$E$19+((J36*F36)/((J$10*F$10)-1)*costos!$F$19/3+((K36*F36)/(K$10*F$10)-1)*costos!$F$19/3+((U36*F36)/(U$10*F$10)-1)*costos!$F$19/3+((L36*F36)/(L$10*F$10)-1)*costos!$G$19+((AZ36)/(AZ$10)-1)*costos!$J$19+((V36*F36)/(V$10*F$10)-1)*costos!$K$19)))</f>
        <v>174.46417831082667</v>
      </c>
      <c r="CN36" s="92">
        <f>CN$10*(1+((H36/H$10-1)*costos!$B$20+((I36*F36)/(I$10*F$10)-1)*costos!$E$20+((J36*F36)/((J$10*F$10)-1)*costos!$F$20/3+((K36*F36)/(K$10*F$10)-1)*costos!$F$20/3+((U36*F36)/(U$10*F$10)-1)*costos!$F$20/3+((L36*F36)/(L$10*F$10)-1)*costos!$G$20+((BA36)/(BA$10)-1)*costos!$J$20+((V36*F36)/(V$10*F$10)-1)*costos!$K$20)))</f>
        <v>152.76062882658573</v>
      </c>
      <c r="CO36" s="92">
        <f t="shared" si="61"/>
        <v>167.67221454065074</v>
      </c>
      <c r="CP36" s="92">
        <f>CP$10*(1+((H36/H$10-1)*costos!$B$22+((I36*F36)/(I$10*F$10)-1)*costos!$E$22+((J36*F36)/((J$10*F$10)-1)*costos!$F$22/3+((K36*F36)/(K$10*F$10)-1)*costos!$F$22/3+((U36*F36)/(U$10*F$10)-1)*costos!$F$22/3+((L36*F36)/(L$10*F$10)-1)*costos!$G$22+(((AVERAGE(AI36:AL36))/((AVERAGE(AI$10:AL$10))-1)*costos!$J$22+((V36*F36)/(V$10*F$10)-1)*costos!$K$22)))))</f>
        <v>211.08959327403474</v>
      </c>
      <c r="CQ36" s="92">
        <f>CQ$10*(1+((H36/H$10-1)*costos!$B$23+((I36*F36)/(I$10*F$10)-1)*costos!$E$23+((J36*F36)/((J$10*F$10)-1)*costos!$F$23/3+((K36*F36)/(K$10*F$10)-1)*costos!$F$23/3+((U36*F36)/(U$10*F$10)-1)*costos!$F$23/3+((L36*F36)/(L$10*F$10)-1)*costos!$G$23+((AN36)/(AN$10)-1)*costos!$J$23+((V36*F36)/(V$10*F$10)-1)*costos!$K$23)))</f>
        <v>164.3771007042611</v>
      </c>
      <c r="CR36" s="92">
        <f>CR$10*(1+((H36/H$10-1)*costos!$B$24+((I36*F36)/(I$10*F$10)-1)*costos!$E$24+((J36*F36)/((J$10*F$10)-1)*costos!$F$24/3+((K36*F36)/(K$10*F$10)-1)*costos!$F$24/3+((U36*F36)/(U$10*F$10)-1)*costos!$F$24/3+((L36*F36)/(L$10*F$10)-1)*costos!$G$24+((AO36)/(AO$10)-1)*costos!$J$24+((V36*F36)/(V$10*F$10)-1)*costos!$K$24)))</f>
        <v>169.37522865338838</v>
      </c>
      <c r="CS36" s="92">
        <f t="shared" si="62"/>
        <v>166.87616467882475</v>
      </c>
      <c r="CT36" s="92">
        <f>CT$10*(1+((H36/H$10-1)*costos!$B$25+((I36*F36)/(I$10*F$10)-1)*costos!$E$25+((J36*F36)/((J$10*F$10)-1)*costos!$F$25/3+((K36*F36)/(K$10*F$10)-1)*costos!$F$25/3+((U36*F36)/(U$10*F$10)-1)*costos!$F$25/3+((L36*F36)/(L$10*F$10)-1)*costos!$G$25+((AQ36)/(AQ$10)-1)*costos!$J$25+((V36*F36)/(V$10*F$10)-1)*costos!$K$25)))</f>
        <v>164.9968847526134</v>
      </c>
      <c r="CU36" s="92">
        <f>CU$10*(1+((H36/H$10-1)*costos!$B$26+((I36*F36)/(I$10*F$10)-1)*costos!$E$26+((J36*F36)/((J$10*F$10)-1)*costos!$F$26/3+((K36*F36)/(K$10*F$10)-1)*costos!$F$26/3+((U36*F36)/(U$10*F$10)-1)*costos!$F$26/3+((L36*F36)/(L$10*F$10)-1)*costos!$G$26+((AR36)/(AR$10)-1)*costos!$J$26+((V36*F36)/(V$10*F$10)-1)*costos!$K$26)))</f>
        <v>168.681817735186</v>
      </c>
      <c r="CV36" s="92">
        <f>CV$10*(1+((H36/H$10-1)*costos!$B$27+((I36*F36)/(I$10*F$10)-1)*costos!$E$27+((J36*F36)/((J$10*F$10)-1)*costos!$F$27/3+((K36*F36)/(K$10*F$10)-1)*costos!$F$27/3+((U36*F36)/(U$10*F$10)-1)*costos!$F$27/3+((L36*F36)/(L$10*F$10)-1)*costos!$G$27+((AS36)/(AS$10)-1)*costos!$J$27+((V36*F36)/(V$10*F$10)-1)*costos!$K$27)))</f>
        <v>173.10738392772726</v>
      </c>
      <c r="CW36" s="92">
        <f>CW$10*(1+((H36/H$10-1)*costos!$B$28+((I36*F36)/(I$10*F$10)-1)*costos!$E$28+((J36*F36)/((J$10*F$10)-1)*costos!$F$28/3+((K36*F36)/(K$10*F$10)-1)*costos!$F$28/3+((U36*F36)/(U$10*F$10)-1)*costos!$F$28/3+((L36*F36)/(L$10*F$10)-1)*costos!$G$28+((AS36)/(AS$10)-1)*costos!$J$28+((V36*F36)/(V$10*F$10)-1)*costos!$K$28)))</f>
        <v>173.10738392772726</v>
      </c>
      <c r="CX36" s="92">
        <f t="shared" si="63"/>
        <v>171.63219519688016</v>
      </c>
      <c r="CY36" s="92">
        <f>CY$10*(1+((H36/H$10-1)*costos!$B$32+((I36*F36)/(I$10*F$10)-1)*costos!$E$32+((J36*F36)/((J$10*F$10)-1)*costos!$F$32/3+((K36*F36)/(K$10*F$10)-1)*costos!$F$32/3+((U36*F36)/(U$10*F$10)-1)*costos!$F$32/3+((L36*F36)/(L$10*F$10)-1)*costos!$G$32+((AG36)/(AG$10)-1)*costos!$J$32+((V36*F36)/(V$10*F$10)-1)*costos!$K$32)))</f>
        <v>165.42406182697235</v>
      </c>
      <c r="CZ36" s="69">
        <f>CZ$10*(1+((H36/H$10-1)*costos!$B$31+((I36*F36)/(I$10*F$10)-1)*costos!$E$30+((J36*F36)/((J$10*F$10)-1)*costos!$F$30/3+((K36*F36)/(K$10*F$10)-1)*costos!$F$30/3+((U36*F36)/(U$10*F$10)-1)*costos!$F$30/3+((L36*F36)/(L$10*F$10)-1)*costos!$G$30+((BG36)/(BG$10)-1)*costos!$J$30+((V36*F36)/(V$10*F$10)-1)*costos!$K$30)))</f>
        <v>183.15195574361462</v>
      </c>
      <c r="DA36" s="69">
        <f>DA$10*(1+((H36/H$10-1)*costos!$B$31+((I36*F36)/(I$10*F$10)-1)*costos!$E$31+((J36*F36)/((J$10*F$10)-1)*costos!$F$31/3+((K36*F36)/(K$10*F$10)-1)*costos!$F$31/3+((U36*F36)/(U$10*F$10)-1)*costos!$F$31/3+((L36*F36)/(L$10*F$10)-1)*costos!$G$31+((BJ36)/(BJ$10)-1)*costos!$J$31+((V36*F36)/(V$10*F$10)-1)*costos!$K$31)))</f>
        <v>167.09307839292262</v>
      </c>
      <c r="DB36" s="69">
        <f>DB$10*(1+((H36/H$10-1)*costos!$B$36+((I36*F36)/(I$10*F$10)-1)*costos!$E$36+((J36*F36)/((J$10*F$10)-1)*costos!$F$36/3+((K36*F36)/(K$10*F$10)-1)*costos!$F$36/3+((U36*F36)/(U$10*F$10)-1)*costos!$F$36/3+((L36*F36)/(L$10*F$10)-1)*costos!$G$36+((BK36)/(BK$10)-1)*costos!$J$36+((V36*F36)/(V$10*F$10)-1)*costos!$K$36)))</f>
        <v>165.98081504870487</v>
      </c>
      <c r="DC36" s="69">
        <f>DC$10*(1+((H36/H$10-1)*costos!$B$37+((I36*F36)/(I$10*F$10)-1)*costos!$E$37+((U36*F36)/(U$10*F$10)-1)*costos!$F$37+((L36*F36)/(L$10*F$10)-1)*costos!$G$37+((BN36)/(BN$10)-1)*costos!$J$37+((V36*F36)/(V$10*F$10)-1)*costos!$K$37))</f>
        <v>175.93296096033072</v>
      </c>
      <c r="DD36" s="69">
        <f>DD$10*(1+((H36/H$10-1)*costos!$B$39+((I36*F36)/(I$10*F$10)-1)*costos!$E$39+((U36*F36)/(U$10*F$10)-1)*costos!$F$39+((L36*F36)/(L$10*F$10)-1)*costos!$G$39+((BR36)/(BR$10)-1)*costos!$J$39+((V36*F36)/(V$10*F$10)-1)*costos!$K$39))</f>
        <v>173.64477100563425</v>
      </c>
      <c r="DE36" s="69">
        <f>DD$10*(1+((H36/H$10-1)*costos!$B$35+((I36*F36)/(I$10*F$10)-1)*costos!$E$35+((U36*F36)/(U$10*F$10)-1)*costos!$F$35+((L36*F36)/(L$10*F$10)-1)*costos!$G$35+((BR36)/(BR$10)-1)*costos!$J$35+((V36*F36)/(V$10*F$10)-1)*costos!$K$35))</f>
        <v>165.90733357618495</v>
      </c>
      <c r="DF36" s="69">
        <f>DF$10*(1+((H36/H$10-1)*costos!$B$40+((I36*F36)/(I$10*F$10)-1)*costos!$E$40+((U36*F36)/(U$10*F$10)-1)*costos!$F$40+((L36*F36)/(L$10*F$10)-1)*costos!$G$40+((BP36)/(BP$10)-1)*costos!$J$40+((V36*F36)/(V$10*F$10)-1)*costos!$K$40))</f>
        <v>176.63890415513674</v>
      </c>
      <c r="DG36" s="92">
        <f t="shared" si="64"/>
        <v>171.27311886566085</v>
      </c>
      <c r="DH36" s="69">
        <f>DH$10*(1+((H36/H$10-1)*costos!$B$34+((I36*F36)/(I$10*F$10)-1)*costos!$E$34+((J36*F36)/((J$10*F$10)-1)*costos!$F$34/3+((K36*F36)/(K$10*F$10)-1)*costos!$F$34/3+((U36*F36)/(U$10*F$10)-1)*costos!$F$34/3+((L36*F36)/(L$10*F$10)-1)*costos!$G$34+((BV36)/(BV$10)-1)*costos!$J$34+((V36*F36)/(V$10*F$10)-1)*costos!$K$34)))</f>
        <v>170.55430104471699</v>
      </c>
      <c r="DI36" s="69">
        <f>DI$10*(1+((H36/H$10-1)*costos!$B$38+((I36*F36)/(I$10*F$10)-1)*costos!$E$38+((J36*F36)/((J$10*F$10)-1)*costos!$F$38/3+((K36*F36)/(K$10*F$10)-1)*costos!$F$38/3+((U36*F36)/(U$10*F$10)-1)*costos!$F$38/3+((L36*F36)/(L$10*F$10)-1)*costos!$G$38+((BU36)/(BU$10)-1)*costos!$J$38+((V36*F36)/(V$10*F$10)-1)*costos!$K$38)))</f>
        <v>168.53502867976539</v>
      </c>
      <c r="DK36" s="1">
        <v>327000</v>
      </c>
      <c r="DL36" s="1" t="str">
        <f>+DL35</f>
        <v>2017-18</v>
      </c>
      <c r="DM36" s="1">
        <v>202000</v>
      </c>
      <c r="DN36" s="1" t="str">
        <f t="shared" ref="DN36:DN42" si="195">+DN35</f>
        <v>2016-17</v>
      </c>
      <c r="DO36" s="1">
        <v>980000</v>
      </c>
      <c r="DP36" s="1" t="str">
        <f>+DP35</f>
        <v>2017-18</v>
      </c>
      <c r="DQ36" s="1">
        <v>1750000</v>
      </c>
      <c r="DR36" s="1" t="s">
        <v>6</v>
      </c>
      <c r="DS36" s="1">
        <v>5400000</v>
      </c>
      <c r="DT36" s="1" t="s">
        <v>6</v>
      </c>
      <c r="DU36" s="1">
        <v>16500000</v>
      </c>
      <c r="DV36" s="1" t="s">
        <v>6</v>
      </c>
      <c r="DW36" s="1">
        <v>704000</v>
      </c>
      <c r="DX36" s="1" t="s">
        <v>6</v>
      </c>
      <c r="DY36" s="1">
        <v>5930000</v>
      </c>
      <c r="DZ36" s="83" t="str">
        <f>+DZ35</f>
        <v>2017-18</v>
      </c>
      <c r="EA36" s="79">
        <f t="shared" si="67"/>
        <v>31264000</v>
      </c>
      <c r="EB36" s="1">
        <v>407000</v>
      </c>
      <c r="EC36" s="1" t="s">
        <v>6</v>
      </c>
      <c r="ED36" s="83">
        <v>169595</v>
      </c>
      <c r="EE36" s="143">
        <v>2018</v>
      </c>
      <c r="EF36" s="1">
        <f t="shared" si="121"/>
        <v>218233</v>
      </c>
      <c r="EG36" s="6">
        <f t="shared" si="122"/>
        <v>2018</v>
      </c>
      <c r="EH36" s="83">
        <v>54793181</v>
      </c>
      <c r="EI36" s="143">
        <v>2018</v>
      </c>
      <c r="EJ36" s="83">
        <v>5291453</v>
      </c>
      <c r="EK36" s="143">
        <v>2018</v>
      </c>
      <c r="EL36" s="1">
        <v>14339908</v>
      </c>
      <c r="EM36" s="6">
        <v>2018</v>
      </c>
      <c r="EN36" s="82">
        <f t="shared" si="175"/>
        <v>3364725</v>
      </c>
      <c r="EO36" s="144">
        <f t="shared" si="175"/>
        <v>2017</v>
      </c>
      <c r="EP36" s="82">
        <f t="shared" si="118"/>
        <v>6552</v>
      </c>
      <c r="EQ36" s="83">
        <f t="shared" si="100"/>
        <v>3003036</v>
      </c>
      <c r="ER36" s="1">
        <f t="shared" si="189"/>
        <v>33739</v>
      </c>
      <c r="ES36" s="82"/>
      <c r="ET36" s="83">
        <f t="shared" si="101"/>
        <v>22340</v>
      </c>
      <c r="EU36" s="83">
        <f t="shared" si="101"/>
        <v>17224</v>
      </c>
      <c r="EV36" s="83">
        <f t="shared" si="101"/>
        <v>9128</v>
      </c>
      <c r="EW36" s="83">
        <f t="shared" si="101"/>
        <v>17414</v>
      </c>
      <c r="EX36" s="79">
        <f t="shared" si="72"/>
        <v>66106</v>
      </c>
      <c r="EY36" s="83">
        <f t="shared" si="123"/>
        <v>19463</v>
      </c>
      <c r="EZ36" s="82">
        <f t="shared" si="123"/>
        <v>74231</v>
      </c>
      <c r="FA36" s="82">
        <f t="shared" si="103"/>
        <v>24553</v>
      </c>
      <c r="FB36" s="82">
        <f t="shared" si="103"/>
        <v>23958</v>
      </c>
      <c r="FC36" s="79">
        <f t="shared" si="73"/>
        <v>48511</v>
      </c>
      <c r="FD36" s="83">
        <f t="shared" si="158"/>
        <v>66959.290000000008</v>
      </c>
      <c r="FE36" s="1"/>
      <c r="FF36" s="1">
        <v>616160</v>
      </c>
      <c r="FG36" s="1" t="str">
        <f t="shared" si="186"/>
        <v>2016-17</v>
      </c>
      <c r="FH36" s="1">
        <v>1330000</v>
      </c>
      <c r="FI36" s="1" t="str">
        <f>+FI37</f>
        <v>2017-18</v>
      </c>
      <c r="FJ36" s="1">
        <v>3600000</v>
      </c>
      <c r="FK36" s="1" t="str">
        <f t="shared" si="186"/>
        <v>2017-18</v>
      </c>
      <c r="FL36" s="1">
        <v>3600000</v>
      </c>
      <c r="FM36" s="1" t="s">
        <v>6</v>
      </c>
      <c r="FN36" s="1">
        <v>32000000</v>
      </c>
      <c r="FO36" s="1" t="s">
        <v>6</v>
      </c>
      <c r="FP36" s="1">
        <v>39500000</v>
      </c>
      <c r="FQ36" s="1" t="s">
        <v>6</v>
      </c>
      <c r="FR36" s="1">
        <v>2530000</v>
      </c>
      <c r="FS36" s="1" t="str">
        <f>+FX36</f>
        <v>2016-17</v>
      </c>
      <c r="FT36" s="1">
        <v>18520000</v>
      </c>
      <c r="FU36" s="1" t="str">
        <f t="shared" ref="FU36:FU42" si="196">+FU35</f>
        <v>2017-18</v>
      </c>
      <c r="FV36" s="79">
        <f t="shared" si="76"/>
        <v>99750000</v>
      </c>
      <c r="FW36" s="1">
        <v>1080000</v>
      </c>
      <c r="FX36" s="1" t="str">
        <f t="shared" si="184"/>
        <v>2016-17</v>
      </c>
      <c r="FY36" s="83">
        <v>70846.448000000004</v>
      </c>
      <c r="FZ36" s="79">
        <f t="shared" si="135"/>
        <v>746922.89599999995</v>
      </c>
      <c r="GA36" s="86" t="str">
        <f t="shared" si="136"/>
        <v>abr17 mar18</v>
      </c>
      <c r="GB36" s="1">
        <v>25733114</v>
      </c>
      <c r="GC36" s="6">
        <v>2018</v>
      </c>
      <c r="GD36" s="83">
        <f t="shared" si="165"/>
        <v>1989400</v>
      </c>
      <c r="GE36" s="83">
        <f t="shared" si="190"/>
        <v>431374</v>
      </c>
      <c r="GF36" s="83">
        <f t="shared" ref="GF36:GF45" si="197">GF35</f>
        <v>1006779</v>
      </c>
      <c r="GG36" s="83">
        <f t="shared" si="166"/>
        <v>114118</v>
      </c>
      <c r="GH36" s="79">
        <f t="shared" si="78"/>
        <v>1552271</v>
      </c>
      <c r="GI36" s="82">
        <f t="shared" si="79"/>
        <v>1302556</v>
      </c>
      <c r="GJ36" s="83">
        <f t="shared" si="162"/>
        <v>685541.2</v>
      </c>
      <c r="GK36" s="83">
        <f t="shared" si="162"/>
        <v>1103042.8600000001</v>
      </c>
      <c r="GL36" s="83">
        <f t="shared" si="162"/>
        <v>287064.67</v>
      </c>
      <c r="GM36" s="83">
        <f t="shared" si="162"/>
        <v>260870.73</v>
      </c>
      <c r="GN36" s="79">
        <f t="shared" si="81"/>
        <v>2336519.46</v>
      </c>
      <c r="GO36" s="83">
        <f t="shared" si="107"/>
        <v>195071</v>
      </c>
      <c r="GP36" s="83">
        <f t="shared" si="107"/>
        <v>79468</v>
      </c>
      <c r="GQ36" s="83">
        <v>103168.5</v>
      </c>
      <c r="GR36" s="1">
        <f t="shared" si="191"/>
        <v>42800</v>
      </c>
      <c r="GS36" s="79">
        <f t="shared" si="192"/>
        <v>45895.055</v>
      </c>
      <c r="GT36" s="83">
        <f t="shared" si="108"/>
        <v>2483769</v>
      </c>
      <c r="GU36" s="1">
        <v>128927</v>
      </c>
      <c r="GV36" s="1">
        <v>69357</v>
      </c>
      <c r="GW36" s="79">
        <f t="shared" si="151"/>
        <v>986614</v>
      </c>
      <c r="GX36" s="1">
        <v>26114.056</v>
      </c>
      <c r="GY36" s="1" t="s">
        <v>327</v>
      </c>
      <c r="GZ36" s="1">
        <v>104093.27099999999</v>
      </c>
      <c r="HA36" s="1">
        <v>248100</v>
      </c>
      <c r="HB36" s="79">
        <f>+SUM(HA25:HA36)</f>
        <v>2889698</v>
      </c>
      <c r="HC36" s="86" t="str">
        <f t="shared" si="138"/>
        <v>abr17 mar18</v>
      </c>
      <c r="HD36" s="83">
        <v>49803</v>
      </c>
      <c r="HE36" s="79">
        <f t="shared" si="139"/>
        <v>580936</v>
      </c>
      <c r="HF36" s="86" t="str">
        <f t="shared" si="140"/>
        <v>abr17 mar18</v>
      </c>
      <c r="HG36" s="83">
        <v>175000</v>
      </c>
      <c r="HH36" s="79">
        <f>+SUM(HG25:HG36)</f>
        <v>2080000</v>
      </c>
      <c r="HI36" s="86" t="str">
        <f t="shared" si="142"/>
        <v>abr17 mar18</v>
      </c>
      <c r="HJ36" s="83">
        <v>75209</v>
      </c>
      <c r="HK36" s="79">
        <f t="shared" si="143"/>
        <v>59607</v>
      </c>
      <c r="HL36" s="86" t="str">
        <f t="shared" si="144"/>
        <v>abr17 mar18</v>
      </c>
      <c r="HM36" s="79">
        <f t="shared" si="86"/>
        <v>2139607</v>
      </c>
      <c r="HN36" s="87">
        <f>+HO36/HO24-1</f>
        <v>4.3783913565087929E-2</v>
      </c>
      <c r="HO36" s="1">
        <v>809862123.86120605</v>
      </c>
      <c r="HP36" s="79">
        <f t="shared" si="153"/>
        <v>9955.3529713159678</v>
      </c>
      <c r="HQ36" s="86" t="str">
        <f t="shared" si="145"/>
        <v>abr17 mar18</v>
      </c>
      <c r="HR36" s="3"/>
      <c r="HS36" s="1"/>
      <c r="HT36" s="1"/>
      <c r="HU36" s="83">
        <f t="shared" si="174"/>
        <v>680000</v>
      </c>
      <c r="HV36" s="83" t="s">
        <v>6</v>
      </c>
      <c r="HW36" s="83">
        <v>1350000</v>
      </c>
      <c r="HX36" s="1" t="s">
        <v>6</v>
      </c>
      <c r="HY36" s="1">
        <v>3400000</v>
      </c>
      <c r="HZ36" s="1" t="s">
        <v>6</v>
      </c>
      <c r="IA36" s="1">
        <f>3390000+16500000</f>
        <v>19890000</v>
      </c>
      <c r="IB36" s="1" t="s">
        <v>6</v>
      </c>
      <c r="IC36" s="1">
        <v>47130000</v>
      </c>
      <c r="ID36" s="1" t="s">
        <v>106</v>
      </c>
      <c r="IE36" s="1">
        <f>150000+1400000</f>
        <v>1550000</v>
      </c>
      <c r="IF36" s="1" t="s">
        <v>6</v>
      </c>
      <c r="IG36" s="1">
        <f t="shared" si="188"/>
        <v>6500000</v>
      </c>
      <c r="IH36" s="1" t="s">
        <v>6</v>
      </c>
      <c r="II36" s="79">
        <f t="shared" si="87"/>
        <v>79820000</v>
      </c>
      <c r="IJ36" s="97">
        <f t="shared" si="167"/>
        <v>1.5629261117125455</v>
      </c>
      <c r="IK36" s="1" t="s">
        <v>6</v>
      </c>
      <c r="IL36" s="7">
        <v>43.51</v>
      </c>
      <c r="IM36" s="7">
        <v>58.566561904840334</v>
      </c>
      <c r="IN36" s="7">
        <v>190</v>
      </c>
      <c r="IO36" s="695">
        <v>14.23</v>
      </c>
      <c r="IP36" s="98">
        <f t="shared" si="193"/>
        <v>5.6422028615424455</v>
      </c>
      <c r="IQ36" s="96">
        <v>18.899999999999999</v>
      </c>
      <c r="IR36" s="98">
        <f t="shared" si="194"/>
        <v>5.93</v>
      </c>
      <c r="IS36" s="98">
        <f t="shared" si="194"/>
        <v>5.67</v>
      </c>
      <c r="IT36" s="98">
        <f t="shared" si="194"/>
        <v>11.35</v>
      </c>
      <c r="IU36" s="98">
        <f t="shared" si="194"/>
        <v>0.88</v>
      </c>
      <c r="IV36" s="94">
        <f t="shared" si="89"/>
        <v>17.899999999999999</v>
      </c>
      <c r="IW36" s="84"/>
      <c r="IX36" s="84"/>
      <c r="IY36" s="105">
        <v>1.84</v>
      </c>
      <c r="IZ36" s="161">
        <v>0.3</v>
      </c>
      <c r="JA36" s="83">
        <v>2000</v>
      </c>
      <c r="JB36" s="84">
        <v>37.22</v>
      </c>
      <c r="JC36" s="84"/>
      <c r="JD36" s="84"/>
      <c r="JF36" s="2">
        <v>3.0876226400000002</v>
      </c>
      <c r="JG36" s="2">
        <v>6.2224734000000002</v>
      </c>
      <c r="JH36" s="2">
        <v>102.41601831000001</v>
      </c>
      <c r="JI36" s="2">
        <v>41.840097549999996</v>
      </c>
      <c r="JJ36" s="2">
        <v>479.8299399</v>
      </c>
      <c r="JK36" s="2">
        <v>58.556417999999994</v>
      </c>
      <c r="JL36" s="2">
        <v>1153.04559161</v>
      </c>
      <c r="JM36" s="2">
        <v>4.9888965899999995</v>
      </c>
      <c r="JN36" s="2">
        <v>329.59404456999999</v>
      </c>
      <c r="JO36" s="2">
        <v>13.31337954</v>
      </c>
      <c r="JP36" s="2">
        <v>0</v>
      </c>
      <c r="JQ36" s="2">
        <v>3.2860087999999998</v>
      </c>
      <c r="JR36" s="2">
        <v>1.2907917099999999</v>
      </c>
      <c r="JS36" s="2">
        <v>0</v>
      </c>
      <c r="JT36" s="2">
        <v>1.0798958399999998</v>
      </c>
      <c r="JU36" s="2">
        <v>79.397144179999998</v>
      </c>
      <c r="JV36" s="2">
        <v>17.349546530000001</v>
      </c>
      <c r="JW36" s="2">
        <v>76.382487570000009</v>
      </c>
      <c r="JX36" s="2">
        <v>10.60157265</v>
      </c>
      <c r="JY36" s="2">
        <v>0</v>
      </c>
      <c r="JZ36" s="2">
        <v>0</v>
      </c>
      <c r="KA36" s="2">
        <v>0</v>
      </c>
      <c r="KB36" s="2">
        <v>3.8013627399999996</v>
      </c>
      <c r="KC36" s="2">
        <v>25.525120080000004</v>
      </c>
      <c r="KD36" s="2">
        <v>10.42673267</v>
      </c>
      <c r="KE36" s="2">
        <v>15.701253399999999</v>
      </c>
      <c r="KF36" s="2">
        <v>23.129595359999996</v>
      </c>
      <c r="KG36" s="2">
        <v>263.74685381</v>
      </c>
      <c r="KH36" s="2">
        <v>56.608273220000008</v>
      </c>
      <c r="KI36" s="2">
        <v>30.221169830000001</v>
      </c>
      <c r="KJ36" s="2">
        <v>1.3650650800000002</v>
      </c>
      <c r="KK36" s="2">
        <v>7.6792712600000002</v>
      </c>
      <c r="KL36" s="2">
        <v>0.61278414000000003</v>
      </c>
      <c r="KM36" s="2">
        <v>7.4416937400000007</v>
      </c>
      <c r="KN36" s="2">
        <v>0</v>
      </c>
      <c r="KO36" s="2">
        <v>0</v>
      </c>
      <c r="KP36" s="2">
        <v>0</v>
      </c>
      <c r="KQ36" s="2">
        <v>363.21279550999998</v>
      </c>
      <c r="KR36" s="2">
        <v>0</v>
      </c>
      <c r="KS36" s="2">
        <v>0</v>
      </c>
      <c r="KT36" s="2">
        <v>4.5171196200000008</v>
      </c>
      <c r="KU36" s="2">
        <v>0.86998901000000006</v>
      </c>
      <c r="KV36" s="2">
        <v>0</v>
      </c>
      <c r="KW36" s="2">
        <v>1.8144321400000001</v>
      </c>
      <c r="KX36" s="2">
        <v>0</v>
      </c>
      <c r="KY36" s="2">
        <v>0</v>
      </c>
      <c r="KZ36" s="2">
        <v>0.50712550000000001</v>
      </c>
      <c r="LA36" s="2">
        <v>1.1176609</v>
      </c>
      <c r="LB36" s="2">
        <v>0</v>
      </c>
      <c r="LC36" s="2">
        <v>3.4776269999999998E-2</v>
      </c>
      <c r="LD36" s="2">
        <v>0</v>
      </c>
      <c r="LE36" s="2">
        <v>1.87721278</v>
      </c>
      <c r="LF36" s="2">
        <v>0.16350881</v>
      </c>
      <c r="LG36" s="2">
        <v>19.255829370000001</v>
      </c>
      <c r="LH36" s="2">
        <v>2.0741072199999997</v>
      </c>
      <c r="LI36" s="2">
        <v>0</v>
      </c>
      <c r="LJ36" s="2">
        <v>0</v>
      </c>
      <c r="LK36" s="2">
        <v>4.5253476399999997</v>
      </c>
      <c r="LL36" s="2">
        <v>3.7148745400000003</v>
      </c>
      <c r="LM36" s="2">
        <v>0.85722299000000002</v>
      </c>
      <c r="LN36" s="2">
        <v>3.6212970000000004E-2</v>
      </c>
      <c r="LO36" s="2">
        <v>10.366962109999999</v>
      </c>
      <c r="LQ36" s="85">
        <f t="shared" si="90"/>
        <v>2111.7145885299997</v>
      </c>
      <c r="LR36" s="85">
        <f t="shared" si="91"/>
        <v>5.6566963499999998</v>
      </c>
      <c r="LS36" s="85">
        <f t="shared" si="92"/>
        <v>93.732034100000007</v>
      </c>
      <c r="LT36" s="85">
        <f t="shared" si="93"/>
        <v>0</v>
      </c>
      <c r="LU36" s="85">
        <f t="shared" si="94"/>
        <v>370.65448924999998</v>
      </c>
      <c r="LV36" s="85">
        <f t="shared" si="95"/>
        <v>1.8144321400000001</v>
      </c>
      <c r="LW36" s="85">
        <f t="shared" si="96"/>
        <v>1.1176609</v>
      </c>
      <c r="LX36" s="85">
        <f t="shared" si="97"/>
        <v>2.04072159</v>
      </c>
      <c r="LZ36" s="131">
        <v>25.2</v>
      </c>
      <c r="MA36" s="171">
        <v>23.84</v>
      </c>
      <c r="MB36"/>
      <c r="MC36"/>
      <c r="MD36"/>
      <c r="MF36"/>
      <c r="MG36"/>
      <c r="MH36" s="83">
        <v>44.38</v>
      </c>
      <c r="MI36" s="83">
        <v>11.94</v>
      </c>
      <c r="MJ36" s="83">
        <v>15.67</v>
      </c>
      <c r="MK36"/>
      <c r="ML36" s="83">
        <v>14.68</v>
      </c>
      <c r="MM36" s="83">
        <v>23.93</v>
      </c>
      <c r="MN36" s="83"/>
      <c r="MO36" s="83">
        <v>16.62</v>
      </c>
      <c r="MP36" s="83">
        <v>45.89</v>
      </c>
      <c r="MQ36" s="83">
        <v>37.380000000000003</v>
      </c>
      <c r="MR36"/>
      <c r="MT36" s="83"/>
      <c r="MU36" s="83">
        <v>33.74</v>
      </c>
      <c r="MV36"/>
      <c r="MW36"/>
      <c r="MX36"/>
      <c r="MY36" s="83">
        <v>36.229999999999997</v>
      </c>
      <c r="MZ36" s="83">
        <v>111.5</v>
      </c>
      <c r="NA36" s="83">
        <v>46.91</v>
      </c>
      <c r="NB36" s="83">
        <v>144.68</v>
      </c>
      <c r="NC36" s="83">
        <v>23.26</v>
      </c>
      <c r="ND36"/>
      <c r="NE36" s="1">
        <v>124.3</v>
      </c>
    </row>
    <row r="37" spans="1:369">
      <c r="A37" s="38">
        <f t="shared" si="32"/>
        <v>43191</v>
      </c>
      <c r="B37" s="36">
        <f t="shared" ref="B37:B45" si="198">+B36+1</f>
        <v>4</v>
      </c>
      <c r="C37" s="36">
        <v>2018</v>
      </c>
      <c r="D37" s="36">
        <f t="shared" si="50"/>
        <v>37</v>
      </c>
      <c r="E37" s="38">
        <f t="shared" si="33"/>
        <v>43191</v>
      </c>
      <c r="F37" s="7">
        <v>20.499999999999996</v>
      </c>
      <c r="G37" s="7">
        <v>136.80000000000001</v>
      </c>
      <c r="H37" s="1">
        <f>[2]NACIONALES!$D25</f>
        <v>12648.96</v>
      </c>
      <c r="I37" s="7">
        <v>107</v>
      </c>
      <c r="J37" s="7">
        <v>420</v>
      </c>
      <c r="K37" s="7">
        <v>2.8</v>
      </c>
      <c r="L37" s="7">
        <v>35.700000000000003</v>
      </c>
      <c r="N37" s="5">
        <v>1.7088333333333332</v>
      </c>
      <c r="O37" s="5">
        <v>1.5698888888888889</v>
      </c>
      <c r="P37" s="78">
        <f t="shared" si="34"/>
        <v>33.606902777777769</v>
      </c>
      <c r="Q37" s="6">
        <v>435</v>
      </c>
      <c r="R37" s="79">
        <f t="shared" si="35"/>
        <v>4350</v>
      </c>
      <c r="S37" s="6">
        <v>190.78947368421052</v>
      </c>
      <c r="T37" s="6">
        <v>303.21052631578948</v>
      </c>
      <c r="U37" s="143">
        <v>184.48333333333335</v>
      </c>
      <c r="V37" s="6">
        <v>316.14736842105265</v>
      </c>
      <c r="W37" s="6">
        <v>159.05263157894737</v>
      </c>
      <c r="X37" s="6">
        <v>190.89473684210526</v>
      </c>
      <c r="Y37" s="79">
        <f t="shared" si="36"/>
        <v>3911.1842105263149</v>
      </c>
      <c r="Z37" s="79">
        <f t="shared" si="37"/>
        <v>6215.8157894736833</v>
      </c>
      <c r="AA37" s="79">
        <f t="shared" si="38"/>
        <v>3781.9083333333328</v>
      </c>
      <c r="AB37" s="79">
        <f t="shared" si="39"/>
        <v>6481.0210526315777</v>
      </c>
      <c r="AC37" s="79">
        <f t="shared" si="40"/>
        <v>3260.5789473684204</v>
      </c>
      <c r="AD37" s="79">
        <f t="shared" si="41"/>
        <v>3913.342105263157</v>
      </c>
      <c r="AE37" s="79">
        <f t="shared" si="42"/>
        <v>4593.9750730994147</v>
      </c>
      <c r="AF37" s="1">
        <v>14242.03125</v>
      </c>
      <c r="AG37" s="1">
        <v>7020</v>
      </c>
      <c r="AH37" s="1">
        <v>26040</v>
      </c>
      <c r="AI37" s="5">
        <v>11.32</v>
      </c>
      <c r="AJ37" s="5">
        <v>7.95</v>
      </c>
      <c r="AK37" s="5">
        <v>6.93</v>
      </c>
      <c r="AL37" s="5">
        <v>6.36</v>
      </c>
      <c r="AM37" s="78">
        <f t="shared" si="43"/>
        <v>8.8534000000000006</v>
      </c>
      <c r="AN37" s="7">
        <v>432.12962962962962</v>
      </c>
      <c r="AO37" s="7">
        <v>330.34294117647056</v>
      </c>
      <c r="AP37" s="78">
        <f t="shared" si="146"/>
        <v>330.34294117647056</v>
      </c>
      <c r="AQ37" s="7">
        <v>283.38235294117646</v>
      </c>
      <c r="AR37" s="7">
        <v>249.22117647058829</v>
      </c>
      <c r="AS37" s="7">
        <v>321.47058823529414</v>
      </c>
      <c r="AT37" s="7">
        <v>313.70588235294116</v>
      </c>
      <c r="AU37" s="78">
        <f t="shared" si="53"/>
        <v>294.79921568627452</v>
      </c>
      <c r="AV37" s="7">
        <v>135.03740740740747</v>
      </c>
      <c r="AW37" s="7">
        <v>311.74111111111114</v>
      </c>
      <c r="AX37" s="7">
        <v>155.59666666666666</v>
      </c>
      <c r="AY37" s="7">
        <v>97.028947368421115</v>
      </c>
      <c r="AZ37" s="7">
        <v>188.44277777777774</v>
      </c>
      <c r="BA37" s="7">
        <v>68.666944444444439</v>
      </c>
      <c r="BB37" s="94">
        <f t="shared" si="45"/>
        <v>135.36360420727746</v>
      </c>
      <c r="BC37" s="68">
        <f t="shared" si="185"/>
        <v>696</v>
      </c>
      <c r="BD37" s="68">
        <f t="shared" si="185"/>
        <v>807</v>
      </c>
      <c r="BE37" s="7">
        <f t="shared" si="185"/>
        <v>690</v>
      </c>
      <c r="BF37" s="7">
        <f t="shared" si="185"/>
        <v>410</v>
      </c>
      <c r="BG37" s="94">
        <f t="shared" si="56"/>
        <v>650.75</v>
      </c>
      <c r="BH37" s="7">
        <v>53.11</v>
      </c>
      <c r="BI37" s="7">
        <f t="shared" ref="BI37:BI49" si="199">+BI36</f>
        <v>8.9809999999999999</v>
      </c>
      <c r="BJ37" s="78">
        <f t="shared" si="57"/>
        <v>62.091000000000001</v>
      </c>
      <c r="BK37" s="7">
        <v>34.500999999999998</v>
      </c>
      <c r="BL37" s="7">
        <v>35.561</v>
      </c>
      <c r="BM37" s="94">
        <f t="shared" si="58"/>
        <v>35.030999999999999</v>
      </c>
      <c r="BN37" s="5">
        <v>6.12</v>
      </c>
      <c r="BO37" s="5">
        <v>25.955000000000002</v>
      </c>
      <c r="BP37" s="80">
        <v>21.882666666666669</v>
      </c>
      <c r="BQ37" s="94">
        <f t="shared" si="59"/>
        <v>25.547766666666668</v>
      </c>
      <c r="BR37" s="7">
        <v>23.9</v>
      </c>
      <c r="BS37" s="7">
        <v>100</v>
      </c>
      <c r="BT37" s="7">
        <v>81.96</v>
      </c>
      <c r="BU37" s="79">
        <f t="shared" si="147"/>
        <v>1445.88</v>
      </c>
      <c r="BV37" s="7">
        <v>40.4</v>
      </c>
      <c r="BW37" s="7"/>
      <c r="BY37" s="92">
        <f>BY$10*(1+((H37/H$10-1)*costos!$B$5+((I37*F37)/(I$10*F$10)-1)*costos!$E$5+((J37*F37)/((J$10*F$10)-1)*costos!$F$5/3+((K37*F37)/(K$10*F$10)-1)*costos!$F$5/3+((U37*F37)/(U$10*F$10)-1)*costos!$F$5/3+((L37*F37)/(L$10*F$10)-1)*costos!$G$5+((N37*F37)/(N$10*F$10)-1)*costos!$J$5+((V37*F37)/(V$10*F$10)-1)*costos!$K$5)))</f>
        <v>188.0782778583681</v>
      </c>
      <c r="BZ37" s="92">
        <f>$BZ$10*(1+((H37/$H$10-1)*costos!$B$6+((I37*F37)/($I$10*$F$10)-1)*costos!$E$6+((J37*F37)/(($J$10*$F$10)-1)*costos!$F$6/3+((K37*F37)/($K$10*$F$10)-1)*costos!$F$6/3+((U37*F37)/($U$10*$F$10)-1)*costos!$F$6/3+((L37*F37)/($L$10*$F$10)-1)*costos!$G$6+((Q37*F37)/($Q$10*$F$10)-1)*costos!$J$6+((V37*F37)/($V$10*$F$10)-1)*costos!$K$6)))</f>
        <v>174.52649828995308</v>
      </c>
      <c r="CA37" s="92">
        <f>CA$10*(1+((H37/H$10-1)*costos!$B$7+((I37*F37)/(I$10*F$10)-1)*costos!$E$7+((J37*F37)/((J$10*F$10)-1)*costos!$F$7/3+((K37*F37)/(K$10*F$10)-1)*costos!$F$7/3+((U37*F37)/(U$10*F$10)-1)*costos!$F$7/3+((L37*F37)/(L$10*F$10)-1)*costos!$G$7+((S37*F37)/(S$10*F$10)-1)*costos!$J$7+((V37*F37)/(V$10*F$10)-1)*costos!$K$7)))</f>
        <v>185.45203063293073</v>
      </c>
      <c r="CB37" s="92">
        <f>CB$10*(1+((H37/H$10-1)*costos!$B$8+((I37*F37)/(I$10*F$10)-1)*costos!$E$8+((J37*F37)/((J$10*F$10)-1)*costos!$F$8/3+((K37*F37)/(K$10*F$10)-1)*costos!$F$8/3+((U37*F37)/(U$10*F$10)-1)*costos!$F$8/3+((L37*F37)/(L$10*F$10)-1)*costos!$G$8+((T37*F37)/(T$10*F$10)-1)*costos!$J$8+((V37*F37)/(V$10*F$10)-1)*costos!$K$8)))</f>
        <v>180.18037881469229</v>
      </c>
      <c r="CC37" s="92">
        <f>CC$10*(1+((H37/H$10-1)*costos!$B$9+((I37*F37)/(I$10*F$10)-1)*costos!$E$9+((J37*F37)/((J$10*F$10)-1)*costos!$F$9/3+((K37*F37)/(K$10*F$10)-1)*costos!$F$9/3+((U37*F37)/(U$10*F$10)-1)*costos!$F$9/3+((L37*F37)/(L$10*F$10)-1)*costos!$G$9+((U37*F37)/(U$10*F$10)-1)*costos!$J$9+((V37*F37)/(V$10*F$10)-1)*costos!$K$9)))</f>
        <v>183.61225925734473</v>
      </c>
      <c r="CD37" s="92">
        <f>CD$10*(1+((H37/H$10-1)*costos!$B$11+((I37*F37)/(I$10*F$10)-1)*costos!$E$11+((J37*F37)/((J$10*F$10)-1)*costos!$F$11/3+((K37*F37)/(K$10*F$10)-1)*costos!$F$11/3+((U37*F37)/(U$10*F$10)-1)*costos!$F$11/3+((L37*F37)/(L$10*F$10)-1)*costos!$G$11+((V37*F37)/(V$10*F$10)-1)*costos!$J$11+((V37*F37)/(V$10*F$10)-1)*costos!$K$11)))</f>
        <v>190.85935213154781</v>
      </c>
      <c r="CE37" s="92">
        <f>CE$10*(1+((H37/H$10-1)*costos!$B$12+((I37*F37)/(I$10*F$10)-1)*costos!$E$12+((J37*F37)/((J$10*F$10)-1)*costos!$F$12/3+((K37*F37)/(K$10*F$10)-1)*costos!$F$12/3+((U37*F37)/(U$10*F$10)-1)*costos!$F$12/3+((L37*F37)/(L$10*F$10)-1)*costos!$G$12+((W37*F37)/(W$10*F$10)-1)*costos!$J$12+((V37*F37)/(V$10*F$10)-1)*costos!$K$12)))</f>
        <v>174.15355363080539</v>
      </c>
      <c r="CF37" s="92">
        <f>CF$10*(1+((H37/H$10-1)*costos!$B$13+((I37*F37)/(I$10*F$10)-1)*costos!$E$13+((J37*F37)/((J$10*F$10)-1)*costos!$F$13/3+((K37*F37)/(K$10*F$10)-1)*costos!$F$13/3+((U37*F37)/(U$10*F$10)-1)*costos!$F$13/3+((L37*F37)/(L$10*F$10)-1)*costos!$G$13+((X37*F37)/(X$10*F$10)-1)*costos!$J$13+((V37*F37)/(V$10*F$10)-1)*costos!$K$13)))</f>
        <v>186.97616946235351</v>
      </c>
      <c r="CG37" s="92">
        <f t="shared" si="60"/>
        <v>183.5389573216124</v>
      </c>
      <c r="CH37" s="92">
        <f>CH$10*(1+((H37/H$10-1)*costos!$B$10+((I37*F37)/(I$10*F$10)-1)*costos!$E$10+((J37*F37)/((J$10*F$10)-1)*costos!$F$10/3+((K37*F37)/(K$10*F$10)-1)*costos!$F$10/3+((U37*F37)/(U$10*F$10)-1)*costos!$F$10/3+((L37*F37)/(L$10*F$10)-1)*costos!$G$10+((AF37)/(AF$10)-1)*costos!$J$10+((V37*F37)/(V$10*F$10)-1)*costos!$K$10)))</f>
        <v>195.95720246258324</v>
      </c>
      <c r="CI37" s="92">
        <f>CI$10*(1+((H37/H$10-1)*costos!$B$15+((I37*F37)/(I$10*F$10)-1)*costos!$E$15+((J37*F37)/((J$10*F$10)-1)*costos!$F$15/3+((K37*F37)/(K$10*F$10)-1)*costos!$F$15/3+((U37*F37)/(U$10*F$10)-1)*costos!$F$15/3+((L37*F37)/(L$10*F$10)-1)*costos!$G$15+((AV37)/(AV$10)-1)*costos!$J$15+((V37*F37)/(V$10*F$10)-1)*costos!$K$15)))</f>
        <v>179.70760197220221</v>
      </c>
      <c r="CJ37" s="92">
        <f>CJ$10*(1+((H37/H$10-1)*costos!$B$16+((I37*F37)/(I$10*F$10)-1)*costos!$E$16+((J37*F37)/((J$10*F$10)-1)*costos!$F$16/3+((K37*F37)/(K$10*F$10)-1)*costos!$F$16/3+((U37*F37)/(U$10*F$10)-1)*costos!$F$16/3+((L37*F37)/(L$10*F$10)-1)*costos!$G$16+((AW37)/(AW$10)-1)*costos!$J$16+((V37*F37)/(V$10*F$10)-1)*costos!$K$16)))</f>
        <v>165.51709713281923</v>
      </c>
      <c r="CK37" s="92">
        <f>CK$10*(1+((H37/H$10-1)*costos!$B$17+((I37*F37)/(I$10*F$10)-1)*costos!$E$17+((J37*F37)/((J$10*F$10)-1)*costos!$F$17/3+((K37*F37)/(K$10*F$10)-1)*costos!$F$17/3+((U37*F37)/(U$10*F$10)-1)*costos!$F$17/3+((L37*F37)/(L$10*F$10)-1)*costos!$G$17+((AX37)/(AX$10)-1)*costos!$J$17+((V37*F37)/(V$10*F$10)-1)*costos!$K$17)))</f>
        <v>177.60182757784261</v>
      </c>
      <c r="CL37" s="92">
        <f>CL$10*(1+((H37/H$10-1)*costos!$B$18+((I37*F37)/(I$10*F$10)-1)*costos!$E$18+((J37*F37)/((J$10*F$10)-1)*costos!$F$18/3+((K37*F37)/(K$10*F$10)-1)*costos!$F$18/3+((U37*F37)/(U$10*F$10)-1)*costos!$F$18/3+((L37*F37)/(L$10*F$10)-1)*costos!$G$18+((AY37)/(AY$10)-1)*costos!$J$18+((V37*F37)/(V$10*F$10)-1)*costos!$K$18)))</f>
        <v>160.60181876954007</v>
      </c>
      <c r="CM37" s="92">
        <f>CM$10*(1+((H37/H$10-1)*costos!$B$19+((I37*F37)/(I$10*F$10)-1)*costos!$E$19+((J37*F37)/((J$10*F$10)-1)*costos!$F$19/3+((K37*F37)/(K$10*F$10)-1)*costos!$F$19/3+((U37*F37)/(U$10*F$10)-1)*costos!$F$19/3+((L37*F37)/(L$10*F$10)-1)*costos!$G$19+((AZ37)/(AZ$10)-1)*costos!$J$19+((V37*F37)/(V$10*F$10)-1)*costos!$K$19)))</f>
        <v>168.60234729290534</v>
      </c>
      <c r="CN37" s="92">
        <f>CN$10*(1+((H37/H$10-1)*costos!$B$20+((I37*F37)/(I$10*F$10)-1)*costos!$E$20+((J37*F37)/((J$10*F$10)-1)*costos!$F$20/3+((K37*F37)/(K$10*F$10)-1)*costos!$F$20/3+((U37*F37)/(U$10*F$10)-1)*costos!$F$20/3+((L37*F37)/(L$10*F$10)-1)*costos!$G$20+((BA37)/(BA$10)-1)*costos!$J$20+((V37*F37)/(V$10*F$10)-1)*costos!$K$20)))</f>
        <v>153.51803633367604</v>
      </c>
      <c r="CO37" s="92">
        <f t="shared" si="61"/>
        <v>165.08100749349103</v>
      </c>
      <c r="CP37" s="92">
        <f>CP$10*(1+((H37/H$10-1)*costos!$B$22+((I37*F37)/(I$10*F$10)-1)*costos!$E$22+((J37*F37)/((J$10*F$10)-1)*costos!$F$22/3+((K37*F37)/(K$10*F$10)-1)*costos!$F$22/3+((U37*F37)/(U$10*F$10)-1)*costos!$F$22/3+((L37*F37)/(L$10*F$10)-1)*costos!$G$22+(((AVERAGE(AI37:AL37))/((AVERAGE(AI$10:AL$10))-1)*costos!$J$22+((V37*F37)/(V$10*F$10)-1)*costos!$K$22)))))</f>
        <v>212.53037698126667</v>
      </c>
      <c r="CQ37" s="92">
        <f>CQ$10*(1+((H37/H$10-1)*costos!$B$23+((I37*F37)/(I$10*F$10)-1)*costos!$E$23+((J37*F37)/((J$10*F$10)-1)*costos!$F$23/3+((K37*F37)/(K$10*F$10)-1)*costos!$F$23/3+((U37*F37)/(U$10*F$10)-1)*costos!$F$23/3+((L37*F37)/(L$10*F$10)-1)*costos!$G$23+((AN37)/(AN$10)-1)*costos!$J$23+((V37*F37)/(V$10*F$10)-1)*costos!$K$23)))</f>
        <v>163.9283928422532</v>
      </c>
      <c r="CR37" s="92">
        <f>CR$10*(1+((H37/H$10-1)*costos!$B$24+((I37*F37)/(I$10*F$10)-1)*costos!$E$24+((J37*F37)/((J$10*F$10)-1)*costos!$F$24/3+((K37*F37)/(K$10*F$10)-1)*costos!$F$24/3+((U37*F37)/(U$10*F$10)-1)*costos!$F$24/3+((L37*F37)/(L$10*F$10)-1)*costos!$G$24+((AO37)/(AO$10)-1)*costos!$J$24+((V37*F37)/(V$10*F$10)-1)*costos!$K$24)))</f>
        <v>169.90422447014225</v>
      </c>
      <c r="CS37" s="92">
        <f t="shared" si="62"/>
        <v>166.91630865619771</v>
      </c>
      <c r="CT37" s="92">
        <f>CT$10*(1+((H37/H$10-1)*costos!$B$25+((I37*F37)/(I$10*F$10)-1)*costos!$E$25+((J37*F37)/((J$10*F$10)-1)*costos!$F$25/3+((K37*F37)/(K$10*F$10)-1)*costos!$F$25/3+((U37*F37)/(U$10*F$10)-1)*costos!$F$25/3+((L37*F37)/(L$10*F$10)-1)*costos!$G$25+((AQ37)/(AQ$10)-1)*costos!$J$25+((V37*F37)/(V$10*F$10)-1)*costos!$K$25)))</f>
        <v>164.48028961894204</v>
      </c>
      <c r="CU37" s="92">
        <f>CU$10*(1+((H37/H$10-1)*costos!$B$26+((I37*F37)/(I$10*F$10)-1)*costos!$E$26+((J37*F37)/((J$10*F$10)-1)*costos!$F$26/3+((K37*F37)/(K$10*F$10)-1)*costos!$F$26/3+((U37*F37)/(U$10*F$10)-1)*costos!$F$26/3+((L37*F37)/(L$10*F$10)-1)*costos!$G$26+((AR37)/(AR$10)-1)*costos!$J$26+((V37*F37)/(V$10*F$10)-1)*costos!$K$26)))</f>
        <v>167.70681153696265</v>
      </c>
      <c r="CV37" s="92">
        <f>CV$10*(1+((H37/H$10-1)*costos!$B$27+((I37*F37)/(I$10*F$10)-1)*costos!$E$27+((J37*F37)/((J$10*F$10)-1)*costos!$F$27/3+((K37*F37)/(K$10*F$10)-1)*costos!$F$27/3+((U37*F37)/(U$10*F$10)-1)*costos!$F$27/3+((L37*F37)/(L$10*F$10)-1)*costos!$G$27+((AS37)/(AS$10)-1)*costos!$J$27+((V37*F37)/(V$10*F$10)-1)*costos!$K$27)))</f>
        <v>172.24916997064338</v>
      </c>
      <c r="CW37" s="92">
        <f>CW$10*(1+((H37/H$10-1)*costos!$B$28+((I37*F37)/(I$10*F$10)-1)*costos!$E$28+((J37*F37)/((J$10*F$10)-1)*costos!$F$28/3+((K37*F37)/(K$10*F$10)-1)*costos!$F$28/3+((U37*F37)/(U$10*F$10)-1)*costos!$F$28/3+((L37*F37)/(L$10*F$10)-1)*costos!$G$28+((AS37)/(AS$10)-1)*costos!$J$28+((V37*F37)/(V$10*F$10)-1)*costos!$K$28)))</f>
        <v>172.24916997064338</v>
      </c>
      <c r="CX37" s="92">
        <f t="shared" si="63"/>
        <v>170.73505049274979</v>
      </c>
      <c r="CY37" s="92">
        <f>CY$10*(1+((H37/H$10-1)*costos!$B$32+((I37*F37)/(I$10*F$10)-1)*costos!$E$32+((J37*F37)/((J$10*F$10)-1)*costos!$F$32/3+((K37*F37)/(K$10*F$10)-1)*costos!$F$32/3+((U37*F37)/(U$10*F$10)-1)*costos!$F$32/3+((L37*F37)/(L$10*F$10)-1)*costos!$G$32+((AG37)/(AG$10)-1)*costos!$J$32+((V37*F37)/(V$10*F$10)-1)*costos!$K$32)))</f>
        <v>166.93803160554063</v>
      </c>
      <c r="CZ37" s="69">
        <f>CZ$10*(1+((H37/H$10-1)*costos!$B$31+((I37*F37)/(I$10*F$10)-1)*costos!$E$30+((J37*F37)/((J$10*F$10)-1)*costos!$F$30/3+((K37*F37)/(K$10*F$10)-1)*costos!$F$30/3+((U37*F37)/(U$10*F$10)-1)*costos!$F$30/3+((L37*F37)/(L$10*F$10)-1)*costos!$G$30+((BG37)/(BG$10)-1)*costos!$J$30+((V37*F37)/(V$10*F$10)-1)*costos!$K$30)))</f>
        <v>183.68862073401129</v>
      </c>
      <c r="DA37" s="69">
        <f>DA$10*(1+((H37/H$10-1)*costos!$B$31+((I37*F37)/(I$10*F$10)-1)*costos!$E$31+((J37*F37)/((J$10*F$10)-1)*costos!$F$31/3+((K37*F37)/(K$10*F$10)-1)*costos!$F$31/3+((U37*F37)/(U$10*F$10)-1)*costos!$F$31/3+((L37*F37)/(L$10*F$10)-1)*costos!$G$31+((BJ37)/(BJ$10)-1)*costos!$J$31+((V37*F37)/(V$10*F$10)-1)*costos!$K$31)))</f>
        <v>167.57671108235959</v>
      </c>
      <c r="DB37" s="69">
        <f>DB$10*(1+((H37/H$10-1)*costos!$B$36+((I37*F37)/(I$10*F$10)-1)*costos!$E$36+((J37*F37)/((J$10*F$10)-1)*costos!$F$36/3+((K37*F37)/(K$10*F$10)-1)*costos!$F$36/3+((U37*F37)/(U$10*F$10)-1)*costos!$F$36/3+((L37*F37)/(L$10*F$10)-1)*costos!$G$36+((BK37)/(BK$10)-1)*costos!$J$36+((V37*F37)/(V$10*F$10)-1)*costos!$K$36)))</f>
        <v>166.62345955023557</v>
      </c>
      <c r="DC37" s="69">
        <f>DC$10*(1+((H37/H$10-1)*costos!$B$37+((I37*F37)/(I$10*F$10)-1)*costos!$E$37+((U37*F37)/(U$10*F$10)-1)*costos!$F$37+((L37*F37)/(L$10*F$10)-1)*costos!$G$37+((BN37)/(BN$10)-1)*costos!$J$37+((V37*F37)/(V$10*F$10)-1)*costos!$K$37))</f>
        <v>181.81616432962429</v>
      </c>
      <c r="DD37" s="69">
        <f>DD$10*(1+((H37/H$10-1)*costos!$B$39+((I37*F37)/(I$10*F$10)-1)*costos!$E$39+((U37*F37)/(U$10*F$10)-1)*costos!$F$39+((L37*F37)/(L$10*F$10)-1)*costos!$G$39+((BR37)/(BR$10)-1)*costos!$J$39+((V37*F37)/(V$10*F$10)-1)*costos!$K$39))</f>
        <v>179.39355214240788</v>
      </c>
      <c r="DE37" s="69">
        <f>DD$10*(1+((H37/H$10-1)*costos!$B$35+((I37*F37)/(I$10*F$10)-1)*costos!$E$35+((U37*F37)/(U$10*F$10)-1)*costos!$F$35+((L37*F37)/(L$10*F$10)-1)*costos!$G$35+((BR37)/(BR$10)-1)*costos!$J$35+((V37*F37)/(V$10*F$10)-1)*costos!$K$35))</f>
        <v>171.62557890423375</v>
      </c>
      <c r="DF37" s="69">
        <f>DF$10*(1+((H37/H$10-1)*costos!$B$40+((I37*F37)/(I$10*F$10)-1)*costos!$E$40+((U37*F37)/(U$10*F$10)-1)*costos!$F$40+((L37*F37)/(L$10*F$10)-1)*costos!$G$40+((BP37)/(BP$10)-1)*costos!$J$40+((V37*F37)/(V$10*F$10)-1)*costos!$K$40))</f>
        <v>183.96340730311715</v>
      </c>
      <c r="DG37" s="92">
        <f t="shared" si="64"/>
        <v>177.79449310367545</v>
      </c>
      <c r="DH37" s="69">
        <f>DH$10*(1+((H37/H$10-1)*costos!$B$34+((I37*F37)/(I$10*F$10)-1)*costos!$E$34+((J37*F37)/((J$10*F$10)-1)*costos!$F$34/3+((K37*F37)/(K$10*F$10)-1)*costos!$F$34/3+((U37*F37)/(U$10*F$10)-1)*costos!$F$34/3+((L37*F37)/(L$10*F$10)-1)*costos!$G$34+((BV37)/(BV$10)-1)*costos!$J$34+((V37*F37)/(V$10*F$10)-1)*costos!$K$34)))</f>
        <v>171.79313713867884</v>
      </c>
      <c r="DI37" s="69">
        <f>DI$10*(1+((H37/H$10-1)*costos!$B$38+((I37*F37)/(I$10*F$10)-1)*costos!$E$38+((J37*F37)/((J$10*F$10)-1)*costos!$F$38/3+((K37*F37)/(K$10*F$10)-1)*costos!$F$38/3+((U37*F37)/(U$10*F$10)-1)*costos!$F$38/3+((L37*F37)/(L$10*F$10)-1)*costos!$G$38+((BU37)/(BU$10)-1)*costos!$J$38+((V37*F37)/(V$10*F$10)-1)*costos!$K$38)))</f>
        <v>169.47126634247402</v>
      </c>
      <c r="DK37" s="1">
        <v>327000</v>
      </c>
      <c r="DL37" s="1" t="str">
        <f>+DL36</f>
        <v>2017-18</v>
      </c>
      <c r="DM37" s="1">
        <v>202000</v>
      </c>
      <c r="DN37" s="1" t="str">
        <f t="shared" si="195"/>
        <v>2016-17</v>
      </c>
      <c r="DO37" s="1">
        <v>1000000</v>
      </c>
      <c r="DP37" s="1" t="str">
        <f>+DP36</f>
        <v>2017-18</v>
      </c>
      <c r="DQ37" s="1">
        <v>1700000</v>
      </c>
      <c r="DR37" s="1" t="str">
        <f>+DR36</f>
        <v>2017-18</v>
      </c>
      <c r="DS37" s="1">
        <v>5400000</v>
      </c>
      <c r="DT37" s="1" t="str">
        <f>+DT38</f>
        <v>2017-18</v>
      </c>
      <c r="DU37" s="1">
        <v>16500000</v>
      </c>
      <c r="DV37" s="1" t="s">
        <v>6</v>
      </c>
      <c r="DW37" s="1">
        <v>703000</v>
      </c>
      <c r="DX37" s="1" t="str">
        <f>+DX36</f>
        <v>2017-18</v>
      </c>
      <c r="DY37" s="1">
        <v>5930000</v>
      </c>
      <c r="DZ37" s="83" t="str">
        <f>+DZ36</f>
        <v>2017-18</v>
      </c>
      <c r="EA37" s="79">
        <f t="shared" si="67"/>
        <v>31233000</v>
      </c>
      <c r="EB37" s="1">
        <v>407000</v>
      </c>
      <c r="EC37" s="1" t="s">
        <v>6</v>
      </c>
      <c r="ED37" s="83">
        <v>169595</v>
      </c>
      <c r="EE37" s="143">
        <v>2018</v>
      </c>
      <c r="EF37" s="1">
        <f t="shared" si="121"/>
        <v>218233</v>
      </c>
      <c r="EG37" s="6">
        <f t="shared" si="122"/>
        <v>2018</v>
      </c>
      <c r="EH37" s="83">
        <v>54793181</v>
      </c>
      <c r="EI37" s="143">
        <v>2018</v>
      </c>
      <c r="EJ37" s="83">
        <f t="shared" ref="EJ37:EK43" si="200">+EJ36</f>
        <v>5291453</v>
      </c>
      <c r="EK37" s="143">
        <f t="shared" si="200"/>
        <v>2018</v>
      </c>
      <c r="EL37" s="1">
        <v>14339908</v>
      </c>
      <c r="EM37" s="6">
        <v>2018</v>
      </c>
      <c r="EN37" s="82">
        <f t="shared" ref="EN37:EO42" si="201">+EN36</f>
        <v>3364725</v>
      </c>
      <c r="EO37" s="144">
        <f t="shared" si="201"/>
        <v>2017</v>
      </c>
      <c r="EP37" s="82">
        <f t="shared" si="118"/>
        <v>6552</v>
      </c>
      <c r="EQ37" s="83">
        <f t="shared" si="100"/>
        <v>3003036</v>
      </c>
      <c r="ER37" s="1">
        <f t="shared" si="189"/>
        <v>33739</v>
      </c>
      <c r="ES37" s="1"/>
      <c r="ET37" s="83">
        <f t="shared" si="101"/>
        <v>22340</v>
      </c>
      <c r="EU37" s="83">
        <f t="shared" si="101"/>
        <v>17224</v>
      </c>
      <c r="EV37" s="83">
        <f t="shared" si="101"/>
        <v>9128</v>
      </c>
      <c r="EW37" s="83">
        <f t="shared" si="101"/>
        <v>17414</v>
      </c>
      <c r="EX37" s="79">
        <f t="shared" si="72"/>
        <v>66106</v>
      </c>
      <c r="EY37" s="83">
        <f t="shared" si="123"/>
        <v>19463</v>
      </c>
      <c r="EZ37" s="82">
        <f t="shared" si="123"/>
        <v>74231</v>
      </c>
      <c r="FA37" s="82">
        <f t="shared" si="103"/>
        <v>24553</v>
      </c>
      <c r="FB37" s="82">
        <f t="shared" si="103"/>
        <v>23958</v>
      </c>
      <c r="FC37" s="79">
        <f t="shared" si="73"/>
        <v>48511</v>
      </c>
      <c r="FD37" s="83">
        <f t="shared" si="158"/>
        <v>66959.290000000008</v>
      </c>
      <c r="FE37" s="1"/>
      <c r="FF37" s="1">
        <v>616160</v>
      </c>
      <c r="FG37" s="1" t="str">
        <f t="shared" si="186"/>
        <v>2016-17</v>
      </c>
      <c r="FH37" s="1">
        <v>1380000</v>
      </c>
      <c r="FI37" s="1" t="str">
        <f>+FI44</f>
        <v>2017-18</v>
      </c>
      <c r="FJ37" s="1">
        <v>3740000</v>
      </c>
      <c r="FK37" s="1" t="str">
        <f t="shared" ref="FK37:FK42" si="202">+FK36</f>
        <v>2017-18</v>
      </c>
      <c r="FL37" s="1">
        <v>3400000</v>
      </c>
      <c r="FM37" s="1" t="str">
        <f t="shared" ref="FM37:FM42" si="203">+FM36</f>
        <v>2017-18</v>
      </c>
      <c r="FN37" s="1">
        <f>+FN38</f>
        <v>32000000</v>
      </c>
      <c r="FO37" s="1" t="str">
        <f>+FO35</f>
        <v>2017-18</v>
      </c>
      <c r="FP37" s="1">
        <v>37600000</v>
      </c>
      <c r="FQ37" s="1" t="s">
        <v>6</v>
      </c>
      <c r="FR37" s="1">
        <v>1800000</v>
      </c>
      <c r="FS37" s="1" t="str">
        <f>+FS44</f>
        <v>2017-18</v>
      </c>
      <c r="FT37" s="1">
        <v>18520000</v>
      </c>
      <c r="FU37" s="1" t="str">
        <f t="shared" si="196"/>
        <v>2017-18</v>
      </c>
      <c r="FV37" s="79">
        <f t="shared" si="76"/>
        <v>97060000</v>
      </c>
      <c r="FW37" s="1">
        <v>1080000</v>
      </c>
      <c r="FX37" s="1" t="str">
        <f t="shared" si="184"/>
        <v>2016-17</v>
      </c>
      <c r="FY37" s="1">
        <v>121047.66499999999</v>
      </c>
      <c r="FZ37" s="79">
        <f t="shared" si="135"/>
        <v>800404.63600000006</v>
      </c>
      <c r="GA37" s="86" t="str">
        <f t="shared" si="136"/>
        <v>may17 abr18</v>
      </c>
      <c r="GB37" s="1">
        <v>25733114</v>
      </c>
      <c r="GC37" s="6">
        <v>2018</v>
      </c>
      <c r="GD37" s="83">
        <f t="shared" si="165"/>
        <v>1989400</v>
      </c>
      <c r="GE37" s="83">
        <f t="shared" si="190"/>
        <v>431374</v>
      </c>
      <c r="GF37" s="83">
        <f t="shared" si="197"/>
        <v>1006779</v>
      </c>
      <c r="GG37" s="83">
        <f t="shared" si="166"/>
        <v>114118</v>
      </c>
      <c r="GH37" s="79">
        <f t="shared" si="78"/>
        <v>1552271</v>
      </c>
      <c r="GI37" s="82">
        <f t="shared" si="79"/>
        <v>1302556</v>
      </c>
      <c r="GJ37" s="83">
        <f t="shared" si="162"/>
        <v>685541.2</v>
      </c>
      <c r="GK37" s="83">
        <f t="shared" si="162"/>
        <v>1103042.8600000001</v>
      </c>
      <c r="GL37" s="83">
        <f t="shared" si="162"/>
        <v>287064.67</v>
      </c>
      <c r="GM37" s="83">
        <f t="shared" si="162"/>
        <v>260870.73</v>
      </c>
      <c r="GN37" s="79">
        <f t="shared" si="81"/>
        <v>2336519.46</v>
      </c>
      <c r="GO37" s="83">
        <f t="shared" si="107"/>
        <v>195071</v>
      </c>
      <c r="GP37" s="83">
        <f t="shared" si="107"/>
        <v>79468</v>
      </c>
      <c r="GQ37" s="83">
        <v>52391</v>
      </c>
      <c r="GR37" s="1">
        <f t="shared" si="191"/>
        <v>42800</v>
      </c>
      <c r="GS37" s="79">
        <f t="shared" si="192"/>
        <v>44371.73</v>
      </c>
      <c r="GT37" s="83">
        <f t="shared" si="108"/>
        <v>2483769</v>
      </c>
      <c r="GU37" s="1">
        <v>85333</v>
      </c>
      <c r="GV37" s="1">
        <v>81382</v>
      </c>
      <c r="GW37" s="79">
        <f t="shared" si="151"/>
        <v>1006611</v>
      </c>
      <c r="GX37" s="1">
        <v>26114.056</v>
      </c>
      <c r="GY37" s="1" t="s">
        <v>327</v>
      </c>
      <c r="GZ37" s="1">
        <v>104093.27099999999</v>
      </c>
      <c r="HA37" s="1">
        <v>261742</v>
      </c>
      <c r="HB37" s="79">
        <f t="shared" ref="HB37:HB44" si="204">+SUM(HA26:HA37)</f>
        <v>2943440</v>
      </c>
      <c r="HC37" s="86" t="str">
        <f t="shared" si="138"/>
        <v>may17 abr18</v>
      </c>
      <c r="HD37" s="1">
        <v>51176</v>
      </c>
      <c r="HE37" s="79">
        <f t="shared" si="139"/>
        <v>588796</v>
      </c>
      <c r="HF37" s="86" t="str">
        <f t="shared" si="140"/>
        <v>may17 abr18</v>
      </c>
      <c r="HG37" s="83">
        <v>173000</v>
      </c>
      <c r="HH37" s="79">
        <f t="shared" ref="HH37:HH44" si="205">+SUM(HG26:HG37)</f>
        <v>2082000</v>
      </c>
      <c r="HI37" s="86" t="str">
        <f t="shared" si="142"/>
        <v>may17 abr18</v>
      </c>
      <c r="HJ37" s="83">
        <v>77536</v>
      </c>
      <c r="HK37" s="79">
        <f t="shared" si="143"/>
        <v>60137.64</v>
      </c>
      <c r="HL37" s="86" t="str">
        <f t="shared" si="144"/>
        <v>may17 abr18</v>
      </c>
      <c r="HM37" s="79">
        <f t="shared" si="86"/>
        <v>2142137.64</v>
      </c>
      <c r="HN37" s="87">
        <f t="shared" ref="HN37:HN53" si="206">+HO37/HO25-1</f>
        <v>9.6287073110884691E-2</v>
      </c>
      <c r="HO37" s="1">
        <v>775703507.41690397</v>
      </c>
      <c r="HP37" s="79">
        <f t="shared" si="153"/>
        <v>10023.483137367342</v>
      </c>
      <c r="HQ37" s="86" t="str">
        <f t="shared" si="145"/>
        <v>may17 abr18</v>
      </c>
      <c r="HR37" s="3"/>
      <c r="HS37" s="1"/>
      <c r="HT37" s="1"/>
      <c r="HU37" s="83">
        <f t="shared" ref="HU37:HU48" si="207">+HU36</f>
        <v>680000</v>
      </c>
      <c r="HV37" s="83" t="str">
        <f t="shared" ref="HV37:HV48" si="208">+HV36</f>
        <v>2017-18</v>
      </c>
      <c r="HW37" s="83">
        <v>1350000</v>
      </c>
      <c r="HX37" s="1" t="s">
        <v>6</v>
      </c>
      <c r="HY37" s="1">
        <v>3400000</v>
      </c>
      <c r="HZ37" s="1" t="s">
        <v>6</v>
      </c>
      <c r="IA37" s="1">
        <f t="shared" ref="IA37:IA47" si="209">3390000+16500000</f>
        <v>19890000</v>
      </c>
      <c r="IB37" s="1" t="s">
        <v>6</v>
      </c>
      <c r="IC37" s="1">
        <v>41300000</v>
      </c>
      <c r="ID37" s="1" t="s">
        <v>6</v>
      </c>
      <c r="IE37" s="1">
        <f t="shared" ref="IE37:IE47" si="210">150000+1400000</f>
        <v>1550000</v>
      </c>
      <c r="IF37" s="1" t="s">
        <v>6</v>
      </c>
      <c r="IG37" s="1">
        <f t="shared" si="188"/>
        <v>6500000</v>
      </c>
      <c r="IH37" s="1" t="s">
        <v>6</v>
      </c>
      <c r="II37" s="79">
        <f t="shared" si="87"/>
        <v>73990000</v>
      </c>
      <c r="IJ37" s="97">
        <f t="shared" si="167"/>
        <v>1.5629261117125455</v>
      </c>
      <c r="IK37" s="1" t="s">
        <v>6</v>
      </c>
      <c r="IL37" s="7">
        <v>44.15</v>
      </c>
      <c r="IM37" s="7">
        <v>58.609042880430898</v>
      </c>
      <c r="IN37" s="7">
        <v>190</v>
      </c>
      <c r="IO37" s="695">
        <v>15.42</v>
      </c>
      <c r="IP37" s="98">
        <f t="shared" si="193"/>
        <v>5.6422028615424455</v>
      </c>
      <c r="IQ37" s="96">
        <v>18.899999999999999</v>
      </c>
      <c r="IR37" s="98">
        <f t="shared" si="194"/>
        <v>5.93</v>
      </c>
      <c r="IS37" s="98">
        <f t="shared" si="194"/>
        <v>5.67</v>
      </c>
      <c r="IT37" s="98">
        <f t="shared" si="194"/>
        <v>11.35</v>
      </c>
      <c r="IU37" s="98">
        <f t="shared" si="194"/>
        <v>0.88</v>
      </c>
      <c r="IV37" s="94">
        <f t="shared" si="89"/>
        <v>17.899999999999999</v>
      </c>
      <c r="IW37" s="84"/>
      <c r="IX37" s="84"/>
      <c r="IY37" s="105">
        <v>1.84</v>
      </c>
      <c r="IZ37" s="161">
        <v>0.3</v>
      </c>
      <c r="JA37" s="83">
        <v>2000</v>
      </c>
      <c r="JB37" s="84">
        <v>37.22</v>
      </c>
      <c r="JC37" s="84"/>
      <c r="JD37" s="84"/>
      <c r="JF37" s="2">
        <v>0.13273476000000001</v>
      </c>
      <c r="JG37" s="2">
        <v>12.269559320000001</v>
      </c>
      <c r="JH37" s="2">
        <v>87.022920109999987</v>
      </c>
      <c r="JI37" s="2">
        <v>90.417301980000005</v>
      </c>
      <c r="JJ37" s="2">
        <v>470.93600751000008</v>
      </c>
      <c r="JK37" s="2">
        <v>45.567713820000002</v>
      </c>
      <c r="JL37" s="2">
        <v>1242.83983936</v>
      </c>
      <c r="JM37" s="2">
        <v>0.27618052000000004</v>
      </c>
      <c r="JN37" s="2">
        <v>145.68053827000003</v>
      </c>
      <c r="JO37" s="2">
        <v>14.996245340000002</v>
      </c>
      <c r="JP37" s="2">
        <v>0</v>
      </c>
      <c r="JQ37" s="2">
        <v>7.7131047000000006</v>
      </c>
      <c r="JR37" s="2">
        <v>0.84701479999999996</v>
      </c>
      <c r="JS37" s="2">
        <v>0</v>
      </c>
      <c r="JT37" s="2">
        <v>0.67574441000000007</v>
      </c>
      <c r="JU37" s="2">
        <v>76.974978740000012</v>
      </c>
      <c r="JV37" s="2">
        <v>19.615230269999998</v>
      </c>
      <c r="JW37" s="2">
        <v>40.975997130000003</v>
      </c>
      <c r="JX37" s="2">
        <v>33.888449939999994</v>
      </c>
      <c r="JY37" s="2">
        <v>0</v>
      </c>
      <c r="JZ37" s="2">
        <v>0.64875162000000008</v>
      </c>
      <c r="KA37" s="2">
        <v>0.10539999999999999</v>
      </c>
      <c r="KB37" s="2">
        <v>1.6745278200000002</v>
      </c>
      <c r="KC37" s="2">
        <v>7.3815587999999988</v>
      </c>
      <c r="KD37" s="2">
        <v>5.5741509600000008</v>
      </c>
      <c r="KE37" s="2">
        <v>20.098667499999998</v>
      </c>
      <c r="KF37" s="2">
        <v>23.853757179999999</v>
      </c>
      <c r="KG37" s="2">
        <v>239.13442540999995</v>
      </c>
      <c r="KH37" s="2">
        <v>52.345074859999997</v>
      </c>
      <c r="KI37" s="2">
        <v>26.920405799999997</v>
      </c>
      <c r="KJ37" s="2">
        <v>1.1086923100000001</v>
      </c>
      <c r="KK37" s="2">
        <v>9.4679758400000011</v>
      </c>
      <c r="KL37" s="2">
        <v>0.44493670000000002</v>
      </c>
      <c r="KM37" s="2">
        <v>8.637813340000001</v>
      </c>
      <c r="KN37" s="2">
        <v>0</v>
      </c>
      <c r="KO37" s="2">
        <v>5.4836490000000002E-2</v>
      </c>
      <c r="KP37" s="2">
        <v>0</v>
      </c>
      <c r="KQ37" s="2">
        <v>230.28020997000002</v>
      </c>
      <c r="KR37" s="2">
        <v>0</v>
      </c>
      <c r="KS37" s="2">
        <v>0</v>
      </c>
      <c r="KT37" s="2">
        <v>4.1891469399999997</v>
      </c>
      <c r="KU37" s="2">
        <v>0.59888017000000004</v>
      </c>
      <c r="KV37" s="2">
        <v>0</v>
      </c>
      <c r="KW37" s="2">
        <v>2.0819386</v>
      </c>
      <c r="KX37" s="2">
        <v>0</v>
      </c>
      <c r="KY37" s="2">
        <v>0</v>
      </c>
      <c r="KZ37" s="2">
        <v>0.29917026000000002</v>
      </c>
      <c r="LA37" s="2">
        <v>0.76841550999999997</v>
      </c>
      <c r="LB37" s="2">
        <v>0</v>
      </c>
      <c r="LC37" s="2">
        <v>0</v>
      </c>
      <c r="LD37" s="2">
        <v>0</v>
      </c>
      <c r="LE37" s="2">
        <v>1.11833476</v>
      </c>
      <c r="LF37" s="2">
        <v>0</v>
      </c>
      <c r="LG37" s="2">
        <v>21.068685199999997</v>
      </c>
      <c r="LH37" s="2">
        <v>1.73650197</v>
      </c>
      <c r="LI37" s="2">
        <v>0</v>
      </c>
      <c r="LJ37" s="2">
        <v>0</v>
      </c>
      <c r="LK37" s="2">
        <v>2.1681411000000002</v>
      </c>
      <c r="LL37" s="2">
        <v>2.6826268</v>
      </c>
      <c r="LM37" s="2">
        <v>1.4030227</v>
      </c>
      <c r="LN37" s="2">
        <v>0</v>
      </c>
      <c r="LO37" s="2">
        <v>13.274075040000001</v>
      </c>
      <c r="LQ37" s="85">
        <f t="shared" si="90"/>
        <v>2037.17278775</v>
      </c>
      <c r="LR37" s="85">
        <f t="shared" si="91"/>
        <v>9.2358639100000008</v>
      </c>
      <c r="LS37" s="85">
        <f t="shared" si="92"/>
        <v>60.591227400000001</v>
      </c>
      <c r="LT37" s="85">
        <f t="shared" si="93"/>
        <v>0.75415162000000002</v>
      </c>
      <c r="LU37" s="85">
        <f t="shared" si="94"/>
        <v>238.97285980000001</v>
      </c>
      <c r="LV37" s="85">
        <f t="shared" si="95"/>
        <v>2.0819386</v>
      </c>
      <c r="LW37" s="85">
        <f t="shared" si="96"/>
        <v>0.76841550999999997</v>
      </c>
      <c r="LX37" s="85">
        <f t="shared" si="97"/>
        <v>1.11833476</v>
      </c>
      <c r="LZ37" s="131">
        <v>26.15</v>
      </c>
      <c r="MA37" s="171">
        <v>24.37</v>
      </c>
      <c r="MB37"/>
      <c r="MC37"/>
      <c r="MD37"/>
      <c r="MF37"/>
      <c r="MG37"/>
      <c r="MH37" s="83">
        <v>45.83</v>
      </c>
      <c r="MI37" s="83">
        <v>12.72</v>
      </c>
      <c r="MJ37" s="83">
        <v>15.31</v>
      </c>
      <c r="MK37"/>
      <c r="ML37" s="83">
        <v>15.8</v>
      </c>
      <c r="MM37" s="83">
        <v>19.57</v>
      </c>
      <c r="MN37" s="83"/>
      <c r="MO37" s="83">
        <v>16.66</v>
      </c>
      <c r="MP37" s="83">
        <v>45.85</v>
      </c>
      <c r="MQ37" s="83">
        <v>37.33</v>
      </c>
      <c r="MR37"/>
      <c r="MT37" s="83"/>
      <c r="MU37" s="83">
        <v>33.29</v>
      </c>
      <c r="MV37"/>
      <c r="MW37"/>
      <c r="MX37"/>
      <c r="MY37" s="83">
        <v>37.24</v>
      </c>
      <c r="MZ37" s="83">
        <v>109.8</v>
      </c>
      <c r="NA37" s="83">
        <v>43.52</v>
      </c>
      <c r="NB37" s="83">
        <v>147.4</v>
      </c>
      <c r="NC37" s="83">
        <v>23.84</v>
      </c>
      <c r="ND37"/>
      <c r="NE37" s="1">
        <v>125.35</v>
      </c>
    </row>
    <row r="38" spans="1:369">
      <c r="A38" s="38">
        <f t="shared" si="32"/>
        <v>43221</v>
      </c>
      <c r="B38" s="36">
        <f t="shared" si="198"/>
        <v>5</v>
      </c>
      <c r="C38" s="36">
        <v>2018</v>
      </c>
      <c r="D38" s="36">
        <f t="shared" si="50"/>
        <v>38</v>
      </c>
      <c r="E38" s="38">
        <f t="shared" si="33"/>
        <v>43221</v>
      </c>
      <c r="F38" s="7">
        <v>24.211904761904758</v>
      </c>
      <c r="G38" s="7">
        <v>139.6</v>
      </c>
      <c r="H38" s="1">
        <f>[2]NACIONALES!$D26</f>
        <v>12648.96</v>
      </c>
      <c r="I38" s="7">
        <v>111</v>
      </c>
      <c r="J38" s="7">
        <v>420</v>
      </c>
      <c r="K38" s="7">
        <v>2.8</v>
      </c>
      <c r="L38" s="7">
        <v>34</v>
      </c>
      <c r="N38" s="5">
        <v>1.6792857142857143</v>
      </c>
      <c r="O38" s="5">
        <v>1.5450952380952381</v>
      </c>
      <c r="P38" s="78">
        <f t="shared" si="34"/>
        <v>39.03420226757369</v>
      </c>
      <c r="Q38" s="6">
        <v>445</v>
      </c>
      <c r="R38" s="79">
        <f t="shared" si="35"/>
        <v>4450</v>
      </c>
      <c r="S38" s="6">
        <v>184.8095238095238</v>
      </c>
      <c r="T38" s="6">
        <v>312.85714285714283</v>
      </c>
      <c r="U38" s="143">
        <v>176.20000000000002</v>
      </c>
      <c r="V38" s="6">
        <v>318.40625</v>
      </c>
      <c r="W38" s="6">
        <v>137.71428571428572</v>
      </c>
      <c r="X38" s="6">
        <v>191.83809523809524</v>
      </c>
      <c r="Y38" s="79">
        <f t="shared" si="36"/>
        <v>4474.5905895691603</v>
      </c>
      <c r="Z38" s="79">
        <f t="shared" si="37"/>
        <v>7574.8673469387741</v>
      </c>
      <c r="AA38" s="79">
        <f t="shared" si="38"/>
        <v>4266.1376190476185</v>
      </c>
      <c r="AB38" s="79">
        <f t="shared" si="39"/>
        <v>7709.2218005952373</v>
      </c>
      <c r="AC38" s="79">
        <f t="shared" si="40"/>
        <v>3334.3251700680271</v>
      </c>
      <c r="AD38" s="79">
        <f t="shared" si="41"/>
        <v>4644.7656916099768</v>
      </c>
      <c r="AE38" s="79">
        <f t="shared" si="42"/>
        <v>5333.9847029714656</v>
      </c>
      <c r="AF38" s="1">
        <v>16211.0625</v>
      </c>
      <c r="AG38" s="1">
        <v>7020</v>
      </c>
      <c r="AH38" s="1">
        <v>26040</v>
      </c>
      <c r="AI38" s="5">
        <v>10.69</v>
      </c>
      <c r="AJ38" s="5">
        <v>6.21</v>
      </c>
      <c r="AK38" s="5">
        <v>7.1</v>
      </c>
      <c r="AL38" s="5">
        <v>6.25</v>
      </c>
      <c r="AM38" s="78">
        <f t="shared" si="43"/>
        <v>8.5118000000000009</v>
      </c>
      <c r="AN38" s="7">
        <v>417.8901734104046</v>
      </c>
      <c r="AO38" s="7">
        <v>303.03909090909087</v>
      </c>
      <c r="AP38" s="78">
        <f t="shared" si="146"/>
        <v>303.03909090909087</v>
      </c>
      <c r="AQ38" s="7">
        <v>260.48913043478262</v>
      </c>
      <c r="AR38" s="7">
        <v>244.95909090909092</v>
      </c>
      <c r="AS38" s="7">
        <v>296.27450980392155</v>
      </c>
      <c r="AT38" s="7">
        <v>250.34045454545455</v>
      </c>
      <c r="AU38" s="78">
        <f t="shared" si="53"/>
        <v>263.85801841948904</v>
      </c>
      <c r="AV38" s="7">
        <v>131.59</v>
      </c>
      <c r="AW38" s="7">
        <v>317.63250000000005</v>
      </c>
      <c r="AX38" s="7">
        <v>227.50550000000004</v>
      </c>
      <c r="AY38" s="7">
        <v>163.9908212560386</v>
      </c>
      <c r="AZ38" s="7">
        <v>186.19200000000001</v>
      </c>
      <c r="BA38" s="7">
        <v>80.524499999999989</v>
      </c>
      <c r="BB38" s="94">
        <f t="shared" si="45"/>
        <v>174.28050590445517</v>
      </c>
      <c r="BC38" s="68">
        <f t="shared" si="185"/>
        <v>696</v>
      </c>
      <c r="BD38" s="68">
        <f t="shared" si="185"/>
        <v>807</v>
      </c>
      <c r="BE38" s="7">
        <f t="shared" si="185"/>
        <v>690</v>
      </c>
      <c r="BF38" s="7">
        <f t="shared" si="185"/>
        <v>410</v>
      </c>
      <c r="BG38" s="94">
        <f t="shared" si="56"/>
        <v>650.75</v>
      </c>
      <c r="BH38" s="7">
        <v>53.11</v>
      </c>
      <c r="BI38" s="7">
        <f t="shared" si="199"/>
        <v>8.9809999999999999</v>
      </c>
      <c r="BJ38" s="78">
        <f t="shared" si="57"/>
        <v>62.091000000000001</v>
      </c>
      <c r="BK38" s="7">
        <v>37.612000000000002</v>
      </c>
      <c r="BL38" s="7">
        <v>38.4</v>
      </c>
      <c r="BM38" s="94">
        <f t="shared" si="58"/>
        <v>38.006</v>
      </c>
      <c r="BN38" s="5">
        <v>6.32</v>
      </c>
      <c r="BO38" s="5">
        <v>27.707142857142859</v>
      </c>
      <c r="BP38" s="80">
        <v>23.507833333333334</v>
      </c>
      <c r="BQ38" s="94">
        <f t="shared" si="59"/>
        <v>27.287211904761907</v>
      </c>
      <c r="BR38" s="7">
        <v>23.85</v>
      </c>
      <c r="BS38" s="7">
        <v>100</v>
      </c>
      <c r="BT38" s="7">
        <v>107.89</v>
      </c>
      <c r="BU38" s="79">
        <f t="shared" si="147"/>
        <v>1523.67</v>
      </c>
      <c r="BV38" s="7">
        <v>47</v>
      </c>
      <c r="BW38" s="7"/>
      <c r="BY38" s="92">
        <f>BY$10*(1+((H38/H$10-1)*costos!$B$5+((I38*F38)/(I$10*F$10)-1)*costos!$E$5+((J38*F38)/((J$10*F$10)-1)*costos!$F$5/3+((K38*F38)/(K$10*F$10)-1)*costos!$F$5/3+((U38*F38)/(U$10*F$10)-1)*costos!$F$5/3+((L38*F38)/(L$10*F$10)-1)*costos!$G$5+((N38*F38)/(N$10*F$10)-1)*costos!$J$5+((V38*F38)/(V$10*F$10)-1)*costos!$K$5)))</f>
        <v>215.32833930131821</v>
      </c>
      <c r="BZ38" s="92">
        <f>$BZ$10*(1+((H38/$H$10-1)*costos!$B$6+((I38*F38)/($I$10*$F$10)-1)*costos!$E$6+((J38*F38)/(($J$10*$F$10)-1)*costos!$F$6/3+((K38*F38)/($K$10*$F$10)-1)*costos!$F$6/3+((U38*F38)/($U$10*$F$10)-1)*costos!$F$6/3+((L38*F38)/($L$10*$F$10)-1)*costos!$G$6+((Q38*F38)/($Q$10*$F$10)-1)*costos!$J$6+((V38*F38)/($V$10*$F$10)-1)*costos!$K$6)))</f>
        <v>208.17562131537386</v>
      </c>
      <c r="CA38" s="92">
        <f>CA$10*(1+((H38/H$10-1)*costos!$B$7+((I38*F38)/(I$10*F$10)-1)*costos!$E$7+((J38*F38)/((J$10*F$10)-1)*costos!$F$7/3+((K38*F38)/(K$10*F$10)-1)*costos!$F$7/3+((U38*F38)/(U$10*F$10)-1)*costos!$F$7/3+((L38*F38)/(L$10*F$10)-1)*costos!$G$7+((S38*F38)/(S$10*F$10)-1)*costos!$J$7+((V38*F38)/(V$10*F$10)-1)*costos!$K$7)))</f>
        <v>215.19392474158218</v>
      </c>
      <c r="CB38" s="92">
        <f>CB$10*(1+((H38/H$10-1)*costos!$B$8+((I38*F38)/(I$10*F$10)-1)*costos!$E$8+((J38*F38)/((J$10*F$10)-1)*costos!$F$8/3+((K38*F38)/(K$10*F$10)-1)*costos!$F$8/3+((U38*F38)/(U$10*F$10)-1)*costos!$F$8/3+((L38*F38)/(L$10*F$10)-1)*costos!$G$8+((T38*F38)/(T$10*F$10)-1)*costos!$J$8+((V38*F38)/(V$10*F$10)-1)*costos!$K$8)))</f>
        <v>212.88711651009064</v>
      </c>
      <c r="CC38" s="92">
        <f>CC$10*(1+((H38/H$10-1)*costos!$B$9+((I38*F38)/(I$10*F$10)-1)*costos!$E$9+((J38*F38)/((J$10*F$10)-1)*costos!$F$9/3+((K38*F38)/(K$10*F$10)-1)*costos!$F$9/3+((U38*F38)/(U$10*F$10)-1)*costos!$F$9/3+((L38*F38)/(L$10*F$10)-1)*costos!$G$9+((U38*F38)/(U$10*F$10)-1)*costos!$J$9+((V38*F38)/(V$10*F$10)-1)*costos!$K$9)))</f>
        <v>210.5284475606079</v>
      </c>
      <c r="CD38" s="92">
        <f>CD$10*(1+((H38/H$10-1)*costos!$B$11+((I38*F38)/(I$10*F$10)-1)*costos!$E$11+((J38*F38)/((J$10*F$10)-1)*costos!$F$11/3+((K38*F38)/(K$10*F$10)-1)*costos!$F$11/3+((U38*F38)/(U$10*F$10)-1)*costos!$F$11/3+((L38*F38)/(L$10*F$10)-1)*costos!$G$11+((V38*F38)/(V$10*F$10)-1)*costos!$J$11+((V38*F38)/(V$10*F$10)-1)*costos!$K$11)))</f>
        <v>224.35421214905665</v>
      </c>
      <c r="CE38" s="92">
        <f>CE$10*(1+((H38/H$10-1)*costos!$B$12+((I38*F38)/(I$10*F$10)-1)*costos!$E$12+((J38*F38)/((J$10*F$10)-1)*costos!$F$12/3+((K38*F38)/(K$10*F$10)-1)*costos!$F$12/3+((U38*F38)/(U$10*F$10)-1)*costos!$F$12/3+((L38*F38)/(L$10*F$10)-1)*costos!$G$12+((W38*F38)/(W$10*F$10)-1)*costos!$J$12+((V38*F38)/(V$10*F$10)-1)*costos!$K$12)))</f>
        <v>194.35487788086837</v>
      </c>
      <c r="CF38" s="92">
        <f>CF$10*(1+((H38/H$10-1)*costos!$B$13+((I38*F38)/(I$10*F$10)-1)*costos!$E$13+((J38*F38)/((J$10*F$10)-1)*costos!$F$13/3+((K38*F38)/(K$10*F$10)-1)*costos!$F$13/3+((U38*F38)/(U$10*F$10)-1)*costos!$F$13/3+((L38*F38)/(L$10*F$10)-1)*costos!$G$13+((X38*F38)/(X$10*F$10)-1)*costos!$J$13+((V38*F38)/(V$10*F$10)-1)*costos!$K$13)))</f>
        <v>218.95892797166496</v>
      </c>
      <c r="CG38" s="92">
        <f t="shared" si="60"/>
        <v>212.71291780231175</v>
      </c>
      <c r="CH38" s="92">
        <f>CH$10*(1+((H38/H$10-1)*costos!$B$10+((I38*F38)/(I$10*F$10)-1)*costos!$E$10+((J38*F38)/((J$10*F$10)-1)*costos!$F$10/3+((K38*F38)/(K$10*F$10)-1)*costos!$F$10/3+((U38*F38)/(U$10*F$10)-1)*costos!$F$10/3+((L38*F38)/(L$10*F$10)-1)*costos!$G$10+((AF38)/(AF$10)-1)*costos!$J$10+((V38*F38)/(V$10*F$10)-1)*costos!$K$10)))</f>
        <v>226.56788334926549</v>
      </c>
      <c r="CI38" s="92">
        <f>CI$10*(1+((H38/H$10-1)*costos!$B$15+((I38*F38)/(I$10*F$10)-1)*costos!$E$15+((J38*F38)/((J$10*F$10)-1)*costos!$F$15/3+((K38*F38)/(K$10*F$10)-1)*costos!$F$15/3+((U38*F38)/(U$10*F$10)-1)*costos!$F$15/3+((L38*F38)/(L$10*F$10)-1)*costos!$G$15+((AV38)/(AV$10)-1)*costos!$J$15+((V38*F38)/(V$10*F$10)-1)*costos!$K$15)))</f>
        <v>199.01548152789994</v>
      </c>
      <c r="CJ38" s="92">
        <f>CJ$10*(1+((H38/H$10-1)*costos!$B$16+((I38*F38)/(I$10*F$10)-1)*costos!$E$16+((J38*F38)/((J$10*F$10)-1)*costos!$F$16/3+((K38*F38)/(K$10*F$10)-1)*costos!$F$16/3+((U38*F38)/(U$10*F$10)-1)*costos!$F$16/3+((L38*F38)/(L$10*F$10)-1)*costos!$G$16+((AW38)/(AW$10)-1)*costos!$J$16+((V38*F38)/(V$10*F$10)-1)*costos!$K$16)))</f>
        <v>175.03834710397919</v>
      </c>
      <c r="CK38" s="92">
        <f>CK$10*(1+((H38/H$10-1)*costos!$B$17+((I38*F38)/(I$10*F$10)-1)*costos!$E$17+((J38*F38)/((J$10*F$10)-1)*costos!$F$17/3+((K38*F38)/(K$10*F$10)-1)*costos!$F$17/3+((U38*F38)/(U$10*F$10)-1)*costos!$F$17/3+((L38*F38)/(L$10*F$10)-1)*costos!$G$17+((AX38)/(AX$10)-1)*costos!$J$17+((V38*F38)/(V$10*F$10)-1)*costos!$K$17)))</f>
        <v>210.578029829527</v>
      </c>
      <c r="CL38" s="92">
        <f>CL$10*(1+((H38/H$10-1)*costos!$B$18+((I38*F38)/(I$10*F$10)-1)*costos!$E$18+((J38*F38)/((J$10*F$10)-1)*costos!$F$18/3+((K38*F38)/(K$10*F$10)-1)*costos!$F$18/3+((U38*F38)/(U$10*F$10)-1)*costos!$F$18/3+((L38*F38)/(L$10*F$10)-1)*costos!$G$18+((AY38)/(AY$10)-1)*costos!$J$18+((V38*F38)/(V$10*F$10)-1)*costos!$K$18)))</f>
        <v>190.26727714763291</v>
      </c>
      <c r="CM38" s="92">
        <f>CM$10*(1+((H38/H$10-1)*costos!$B$19+((I38*F38)/(I$10*F$10)-1)*costos!$E$19+((J38*F38)/((J$10*F$10)-1)*costos!$F$19/3+((K38*F38)/(K$10*F$10)-1)*costos!$F$19/3+((U38*F38)/(U$10*F$10)-1)*costos!$F$19/3+((L38*F38)/(L$10*F$10)-1)*costos!$G$19+((AZ38)/(AZ$10)-1)*costos!$J$19+((V38*F38)/(V$10*F$10)-1)*costos!$K$19)))</f>
        <v>177.91024305734038</v>
      </c>
      <c r="CN38" s="92">
        <f>CN$10*(1+((H38/H$10-1)*costos!$B$20+((I38*F38)/(I$10*F$10)-1)*costos!$E$20+((J38*F38)/((J$10*F$10)-1)*costos!$F$20/3+((K38*F38)/(K$10*F$10)-1)*costos!$F$20/3+((U38*F38)/(U$10*F$10)-1)*costos!$F$20/3+((L38*F38)/(L$10*F$10)-1)*costos!$G$20+((BA38)/(BA$10)-1)*costos!$J$20+((V38*F38)/(V$10*F$10)-1)*costos!$K$20)))</f>
        <v>165.2673489474696</v>
      </c>
      <c r="CO38" s="92">
        <f t="shared" si="61"/>
        <v>186.00572474549247</v>
      </c>
      <c r="CP38" s="92">
        <f>CP$10*(1+((H38/H$10-1)*costos!$B$22+((I38*F38)/(I$10*F$10)-1)*costos!$E$22+((J38*F38)/((J$10*F$10)-1)*costos!$F$22/3+((K38*F38)/(K$10*F$10)-1)*costos!$F$22/3+((U38*F38)/(U$10*F$10)-1)*costos!$F$22/3+((L38*F38)/(L$10*F$10)-1)*costos!$G$22+(((AVERAGE(AI38:AL38))/((AVERAGE(AI$10:AL$10))-1)*costos!$J$22+((V38*F38)/(V$10*F$10)-1)*costos!$K$22)))))</f>
        <v>223.53654989783291</v>
      </c>
      <c r="CQ38" s="92">
        <f>CQ$10*(1+((H38/H$10-1)*costos!$B$23+((I38*F38)/(I$10*F$10)-1)*costos!$E$23+((J38*F38)/((J$10*F$10)-1)*costos!$F$23/3+((K38*F38)/(K$10*F$10)-1)*costos!$F$23/3+((U38*F38)/(U$10*F$10)-1)*costos!$F$23/3+((L38*F38)/(L$10*F$10)-1)*costos!$G$23+((AN38)/(AN$10)-1)*costos!$J$23+((V38*F38)/(V$10*F$10)-1)*costos!$K$23)))</f>
        <v>173.83198780341843</v>
      </c>
      <c r="CR38" s="92">
        <f>CR$10*(1+((H38/H$10-1)*costos!$B$24+((I38*F38)/(I$10*F$10)-1)*costos!$E$24+((J38*F38)/((J$10*F$10)-1)*costos!$F$24/3+((K38*F38)/(K$10*F$10)-1)*costos!$F$24/3+((U38*F38)/(U$10*F$10)-1)*costos!$F$24/3+((L38*F38)/(L$10*F$10)-1)*costos!$G$24+((AO38)/(AO$10)-1)*costos!$J$24+((V38*F38)/(V$10*F$10)-1)*costos!$K$24)))</f>
        <v>178.23028620790896</v>
      </c>
      <c r="CS38" s="92">
        <f t="shared" si="62"/>
        <v>176.03113700566371</v>
      </c>
      <c r="CT38" s="92">
        <f>CT$10*(1+((H38/H$10-1)*costos!$B$25+((I38*F38)/(I$10*F$10)-1)*costos!$E$25+((J38*F38)/((J$10*F$10)-1)*costos!$F$25/3+((K38*F38)/(K$10*F$10)-1)*costos!$F$25/3+((U38*F38)/(U$10*F$10)-1)*costos!$F$25/3+((L38*F38)/(L$10*F$10)-1)*costos!$G$25+((AQ38)/(AQ$10)-1)*costos!$J$25+((V38*F38)/(V$10*F$10)-1)*costos!$K$25)))</f>
        <v>176.58425145743357</v>
      </c>
      <c r="CU38" s="92">
        <f>CU$10*(1+((H38/H$10-1)*costos!$B$26+((I38*F38)/(I$10*F$10)-1)*costos!$E$26+((J38*F38)/((J$10*F$10)-1)*costos!$F$26/3+((K38*F38)/(K$10*F$10)-1)*costos!$F$26/3+((U38*F38)/(U$10*F$10)-1)*costos!$F$26/3+((L38*F38)/(L$10*F$10)-1)*costos!$G$26+((AR38)/(AR$10)-1)*costos!$J$26+((V38*F38)/(V$10*F$10)-1)*costos!$K$26)))</f>
        <v>181.93697019139063</v>
      </c>
      <c r="CV38" s="92">
        <f>CV$10*(1+((H38/H$10-1)*costos!$B$27+((I38*F38)/(I$10*F$10)-1)*costos!$E$27+((J38*F38)/((J$10*F$10)-1)*costos!$F$27/3+((K38*F38)/(K$10*F$10)-1)*costos!$F$27/3+((U38*F38)/(U$10*F$10)-1)*costos!$F$27/3+((L38*F38)/(L$10*F$10)-1)*costos!$G$27+((AS38)/(AS$10)-1)*costos!$J$27+((V38*F38)/(V$10*F$10)-1)*costos!$K$27)))</f>
        <v>185.08289132103499</v>
      </c>
      <c r="CW38" s="92">
        <f>CW$10*(1+((H38/H$10-1)*costos!$B$28+((I38*F38)/(I$10*F$10)-1)*costos!$E$28+((J38*F38)/((J$10*F$10)-1)*costos!$F$28/3+((K38*F38)/(K$10*F$10)-1)*costos!$F$28/3+((U38*F38)/(U$10*F$10)-1)*costos!$F$28/3+((L38*F38)/(L$10*F$10)-1)*costos!$G$28+((AS38)/(AS$10)-1)*costos!$J$28+((V38*F38)/(V$10*F$10)-1)*costos!$K$28)))</f>
        <v>185.08289132103499</v>
      </c>
      <c r="CX38" s="92">
        <f t="shared" si="63"/>
        <v>184.03425094448687</v>
      </c>
      <c r="CY38" s="92">
        <f>CY$10*(1+((H38/H$10-1)*costos!$B$32+((I38*F38)/(I$10*F$10)-1)*costos!$E$32+((J38*F38)/((J$10*F$10)-1)*costos!$F$32/3+((K38*F38)/(K$10*F$10)-1)*costos!$F$32/3+((U38*F38)/(U$10*F$10)-1)*costos!$F$32/3+((L38*F38)/(L$10*F$10)-1)*costos!$G$32+((AG38)/(AG$10)-1)*costos!$J$32+((V38*F38)/(V$10*F$10)-1)*costos!$K$32)))</f>
        <v>173.45478261288494</v>
      </c>
      <c r="CZ38" s="69">
        <f>CZ$10*(1+((H38/H$10-1)*costos!$B$31+((I38*F38)/(I$10*F$10)-1)*costos!$E$30+((J38*F38)/((J$10*F$10)-1)*costos!$F$30/3+((K38*F38)/(K$10*F$10)-1)*costos!$F$30/3+((U38*F38)/(U$10*F$10)-1)*costos!$F$30/3+((L38*F38)/(L$10*F$10)-1)*costos!$G$30+((BG38)/(BG$10)-1)*costos!$J$30+((V38*F38)/(V$10*F$10)-1)*costos!$K$30)))</f>
        <v>201.68343607020424</v>
      </c>
      <c r="DA38" s="69">
        <f>DA$10*(1+((H38/H$10-1)*costos!$B$31+((I38*F38)/(I$10*F$10)-1)*costos!$E$31+((J38*F38)/((J$10*F$10)-1)*costos!$F$31/3+((K38*F38)/(K$10*F$10)-1)*costos!$F$31/3+((U38*F38)/(U$10*F$10)-1)*costos!$F$31/3+((L38*F38)/(L$10*F$10)-1)*costos!$G$31+((BJ38)/(BJ$10)-1)*costos!$J$31+((V38*F38)/(V$10*F$10)-1)*costos!$K$31)))</f>
        <v>176.81596859324205</v>
      </c>
      <c r="DB38" s="69">
        <f>DB$10*(1+((H38/H$10-1)*costos!$B$36+((I38*F38)/(I$10*F$10)-1)*costos!$E$36+((J38*F38)/((J$10*F$10)-1)*costos!$F$36/3+((K38*F38)/(K$10*F$10)-1)*costos!$F$36/3+((U38*F38)/(U$10*F$10)-1)*costos!$F$36/3+((L38*F38)/(L$10*F$10)-1)*costos!$G$36+((BK38)/(BK$10)-1)*costos!$J$36+((V38*F38)/(V$10*F$10)-1)*costos!$K$36)))</f>
        <v>180.65514834591752</v>
      </c>
      <c r="DC38" s="69">
        <f>DC$10*(1+((H38/H$10-1)*costos!$B$37+((I38*F38)/(I$10*F$10)-1)*costos!$E$37+((U38*F38)/(U$10*F$10)-1)*costos!$F$37+((L38*F38)/(L$10*F$10)-1)*costos!$G$37+((BN38)/(BN$10)-1)*costos!$J$37+((V38*F38)/(V$10*F$10)-1)*costos!$K$37))</f>
        <v>204.51589902378075</v>
      </c>
      <c r="DD38" s="69">
        <f>DD$10*(1+((H38/H$10-1)*costos!$B$39+((I38*F38)/(I$10*F$10)-1)*costos!$E$39+((U38*F38)/(U$10*F$10)-1)*costos!$F$39+((L38*F38)/(L$10*F$10)-1)*costos!$G$39+((BR38)/(BR$10)-1)*costos!$J$39+((V38*F38)/(V$10*F$10)-1)*costos!$K$39))</f>
        <v>200.20754329232977</v>
      </c>
      <c r="DE38" s="69">
        <f>DD$10*(1+((H38/H$10-1)*costos!$B$35+((I38*F38)/(I$10*F$10)-1)*costos!$E$35+((U38*F38)/(U$10*F$10)-1)*costos!$F$35+((L38*F38)/(L$10*F$10)-1)*costos!$G$35+((BR38)/(BR$10)-1)*costos!$J$35+((V38*F38)/(V$10*F$10)-1)*costos!$K$35))</f>
        <v>187.71815247640751</v>
      </c>
      <c r="DF38" s="69">
        <f>DF$10*(1+((H38/H$10-1)*costos!$B$40+((I38*F38)/(I$10*F$10)-1)*costos!$E$40+((U38*F38)/(U$10*F$10)-1)*costos!$F$40+((L38*F38)/(L$10*F$10)-1)*costos!$G$40+((BP38)/(BP$10)-1)*costos!$J$40+((V38*F38)/(V$10*F$10)-1)*costos!$K$40))</f>
        <v>205.99660254546865</v>
      </c>
      <c r="DG38" s="92">
        <f t="shared" si="64"/>
        <v>196.85737751093808</v>
      </c>
      <c r="DH38" s="69">
        <f>DH$10*(1+((H38/H$10-1)*costos!$B$34+((I38*F38)/(I$10*F$10)-1)*costos!$E$34+((J38*F38)/((J$10*F$10)-1)*costos!$F$34/3+((K38*F38)/(K$10*F$10)-1)*costos!$F$34/3+((U38*F38)/(U$10*F$10)-1)*costos!$F$34/3+((L38*F38)/(L$10*F$10)-1)*costos!$G$34+((BV38)/(BV$10)-1)*costos!$J$34+((V38*F38)/(V$10*F$10)-1)*costos!$K$34)))</f>
        <v>185.52873780675674</v>
      </c>
      <c r="DI38" s="69">
        <f>DI$10*(1+((H38/H$10-1)*costos!$B$38+((I38*F38)/(I$10*F$10)-1)*costos!$E$38+((J38*F38)/((J$10*F$10)-1)*costos!$F$38/3+((K38*F38)/(K$10*F$10)-1)*costos!$F$38/3+((U38*F38)/(U$10*F$10)-1)*costos!$F$38/3+((L38*F38)/(L$10*F$10)-1)*costos!$G$38+((BU38)/(BU$10)-1)*costos!$J$38+((V38*F38)/(V$10*F$10)-1)*costos!$K$38)))</f>
        <v>176.63887907616967</v>
      </c>
      <c r="DK38" s="1">
        <v>327000</v>
      </c>
      <c r="DL38" s="1" t="str">
        <f>+DL37</f>
        <v>2017-18</v>
      </c>
      <c r="DM38" s="1">
        <v>202000</v>
      </c>
      <c r="DN38" s="1" t="str">
        <f t="shared" si="195"/>
        <v>2016-17</v>
      </c>
      <c r="DO38" s="1">
        <f>+DO36</f>
        <v>980000</v>
      </c>
      <c r="DP38" s="1" t="str">
        <f>+DP37</f>
        <v>2017-18</v>
      </c>
      <c r="DQ38" s="1">
        <v>1700000</v>
      </c>
      <c r="DR38" s="1" t="str">
        <f>+DR37</f>
        <v>2017-18</v>
      </c>
      <c r="DS38" s="1">
        <v>5400000</v>
      </c>
      <c r="DT38" s="1" t="str">
        <f>+DT39</f>
        <v>2017-18</v>
      </c>
      <c r="DU38" s="1">
        <v>16600000</v>
      </c>
      <c r="DV38" s="1" t="s">
        <v>6</v>
      </c>
      <c r="DW38" s="1">
        <v>690000</v>
      </c>
      <c r="DX38" s="1" t="str">
        <f>+DX37</f>
        <v>2017-18</v>
      </c>
      <c r="DY38" s="1">
        <v>6290000</v>
      </c>
      <c r="DZ38" s="1" t="str">
        <f t="shared" ref="DZ38:DZ44" si="211">+DZ39</f>
        <v>2018-19</v>
      </c>
      <c r="EA38" s="79">
        <f t="shared" si="67"/>
        <v>31660000</v>
      </c>
      <c r="EB38" s="1">
        <v>416000</v>
      </c>
      <c r="EC38" s="1" t="str">
        <f t="shared" ref="EC38:EC44" si="212">+EC37</f>
        <v>2017-18</v>
      </c>
      <c r="ED38" s="83">
        <v>169595</v>
      </c>
      <c r="EE38" s="143">
        <v>2018</v>
      </c>
      <c r="EF38" s="1">
        <f t="shared" si="121"/>
        <v>218233</v>
      </c>
      <c r="EG38" s="6">
        <f t="shared" si="122"/>
        <v>2018</v>
      </c>
      <c r="EH38" s="83">
        <v>54793181</v>
      </c>
      <c r="EI38" s="6">
        <v>2018</v>
      </c>
      <c r="EJ38" s="83">
        <f t="shared" si="200"/>
        <v>5291453</v>
      </c>
      <c r="EK38" s="143">
        <f t="shared" si="200"/>
        <v>2018</v>
      </c>
      <c r="EL38" s="1">
        <v>14339908</v>
      </c>
      <c r="EM38" s="6">
        <v>2018</v>
      </c>
      <c r="EN38" s="82">
        <f t="shared" si="201"/>
        <v>3364725</v>
      </c>
      <c r="EO38" s="144">
        <f t="shared" si="201"/>
        <v>2017</v>
      </c>
      <c r="EP38" s="82">
        <f t="shared" si="118"/>
        <v>6552</v>
      </c>
      <c r="EQ38" s="83">
        <f t="shared" si="100"/>
        <v>3003036</v>
      </c>
      <c r="ER38" s="1">
        <f t="shared" si="189"/>
        <v>33739</v>
      </c>
      <c r="ES38" s="1"/>
      <c r="ET38" s="83">
        <f t="shared" si="101"/>
        <v>22340</v>
      </c>
      <c r="EU38" s="83">
        <f t="shared" si="101"/>
        <v>17224</v>
      </c>
      <c r="EV38" s="83">
        <f t="shared" si="101"/>
        <v>9128</v>
      </c>
      <c r="EW38" s="83">
        <f t="shared" si="101"/>
        <v>17414</v>
      </c>
      <c r="EX38" s="79">
        <f t="shared" si="72"/>
        <v>66106</v>
      </c>
      <c r="EY38" s="83">
        <f t="shared" si="123"/>
        <v>19463</v>
      </c>
      <c r="EZ38" s="82">
        <f t="shared" si="123"/>
        <v>74231</v>
      </c>
      <c r="FA38" s="82">
        <f t="shared" si="103"/>
        <v>24553</v>
      </c>
      <c r="FB38" s="82">
        <f t="shared" si="103"/>
        <v>23958</v>
      </c>
      <c r="FC38" s="79">
        <f t="shared" si="73"/>
        <v>48511</v>
      </c>
      <c r="FD38" s="83">
        <f t="shared" si="158"/>
        <v>66959.290000000008</v>
      </c>
      <c r="FE38" s="1"/>
      <c r="FF38" s="1">
        <v>814000</v>
      </c>
      <c r="FG38" s="1" t="str">
        <f>+FG44</f>
        <v>2017-18</v>
      </c>
      <c r="FH38" s="1">
        <v>1370000</v>
      </c>
      <c r="FI38" s="1" t="str">
        <f t="shared" ref="FI38:FI43" si="213">+FI37</f>
        <v>2017-18</v>
      </c>
      <c r="FJ38" s="1">
        <v>3740000</v>
      </c>
      <c r="FK38" s="1" t="str">
        <f t="shared" si="202"/>
        <v>2017-18</v>
      </c>
      <c r="FL38" s="1">
        <v>3380000</v>
      </c>
      <c r="FM38" s="1" t="str">
        <f t="shared" si="203"/>
        <v>2017-18</v>
      </c>
      <c r="FN38" s="1">
        <f>+FN39</f>
        <v>32000000</v>
      </c>
      <c r="FO38" s="1" t="str">
        <f>+FO37</f>
        <v>2017-18</v>
      </c>
      <c r="FP38" s="1">
        <v>36600000</v>
      </c>
      <c r="FQ38" s="1" t="s">
        <v>6</v>
      </c>
      <c r="FR38" s="1">
        <v>1700000</v>
      </c>
      <c r="FS38" s="1" t="str">
        <f t="shared" ref="FS38:FS43" si="214">+FS37</f>
        <v>2017-18</v>
      </c>
      <c r="FT38" s="1">
        <v>18520000</v>
      </c>
      <c r="FU38" s="1" t="str">
        <f t="shared" si="196"/>
        <v>2017-18</v>
      </c>
      <c r="FV38" s="79">
        <f t="shared" si="76"/>
        <v>95940000</v>
      </c>
      <c r="FW38" s="1">
        <v>810000</v>
      </c>
      <c r="FX38" s="1" t="str">
        <f>+FX44</f>
        <v>2017-18</v>
      </c>
      <c r="FY38" s="1">
        <v>141699.905</v>
      </c>
      <c r="FZ38" s="79">
        <f t="shared" si="135"/>
        <v>826376.82100000011</v>
      </c>
      <c r="GA38" s="86" t="str">
        <f t="shared" si="136"/>
        <v>jun17 may18</v>
      </c>
      <c r="GB38" s="1">
        <v>25733114</v>
      </c>
      <c r="GC38" s="6">
        <v>2018</v>
      </c>
      <c r="GD38" s="83">
        <f t="shared" si="165"/>
        <v>1989400</v>
      </c>
      <c r="GE38" s="83">
        <f t="shared" si="190"/>
        <v>431374</v>
      </c>
      <c r="GF38" s="83">
        <f t="shared" si="197"/>
        <v>1006779</v>
      </c>
      <c r="GG38" s="83">
        <f t="shared" si="166"/>
        <v>114118</v>
      </c>
      <c r="GH38" s="79">
        <f t="shared" si="78"/>
        <v>1552271</v>
      </c>
      <c r="GI38" s="82">
        <f t="shared" si="79"/>
        <v>1302556</v>
      </c>
      <c r="GJ38" s="83">
        <f t="shared" si="162"/>
        <v>685541.2</v>
      </c>
      <c r="GK38" s="83">
        <f t="shared" si="162"/>
        <v>1103042.8600000001</v>
      </c>
      <c r="GL38" s="83">
        <f t="shared" si="162"/>
        <v>287064.67</v>
      </c>
      <c r="GM38" s="83">
        <f t="shared" si="162"/>
        <v>260870.73</v>
      </c>
      <c r="GN38" s="79">
        <f t="shared" si="81"/>
        <v>2336519.46</v>
      </c>
      <c r="GO38" s="83">
        <f t="shared" si="107"/>
        <v>195071</v>
      </c>
      <c r="GP38" s="83">
        <f t="shared" si="107"/>
        <v>79468</v>
      </c>
      <c r="GQ38" s="83">
        <v>39175</v>
      </c>
      <c r="GR38" s="1">
        <f t="shared" si="191"/>
        <v>42800</v>
      </c>
      <c r="GS38" s="79">
        <f t="shared" si="192"/>
        <v>43975.25</v>
      </c>
      <c r="GT38" s="83">
        <f t="shared" si="108"/>
        <v>2483769</v>
      </c>
      <c r="GU38" s="1">
        <v>62851</v>
      </c>
      <c r="GV38" s="1">
        <v>66721</v>
      </c>
      <c r="GW38" s="79">
        <f t="shared" si="151"/>
        <v>1024726</v>
      </c>
      <c r="GX38" s="1">
        <v>26114.056</v>
      </c>
      <c r="GY38" s="1" t="s">
        <v>327</v>
      </c>
      <c r="GZ38" s="1">
        <v>104093.27099999999</v>
      </c>
      <c r="HA38" s="1">
        <v>260488</v>
      </c>
      <c r="HB38" s="79">
        <f t="shared" si="204"/>
        <v>2963928</v>
      </c>
      <c r="HC38" s="86" t="str">
        <f t="shared" si="138"/>
        <v>jun17 may18</v>
      </c>
      <c r="HD38" s="1">
        <v>54321</v>
      </c>
      <c r="HE38" s="79">
        <f t="shared" si="139"/>
        <v>590598</v>
      </c>
      <c r="HF38" s="86" t="str">
        <f t="shared" si="140"/>
        <v>jun17 may18</v>
      </c>
      <c r="HG38" s="83">
        <v>182000</v>
      </c>
      <c r="HH38" s="79">
        <f t="shared" si="205"/>
        <v>2078000</v>
      </c>
      <c r="HI38" s="86" t="str">
        <f t="shared" si="142"/>
        <v>jun17 may18</v>
      </c>
      <c r="HJ38" s="83">
        <v>86841</v>
      </c>
      <c r="HK38" s="79">
        <f t="shared" si="143"/>
        <v>60722.64</v>
      </c>
      <c r="HL38" s="86" t="str">
        <f t="shared" si="144"/>
        <v>jun17 may18</v>
      </c>
      <c r="HM38" s="79">
        <f t="shared" si="86"/>
        <v>2138722.64</v>
      </c>
      <c r="HN38" s="87">
        <f t="shared" si="206"/>
        <v>-2.0969590706560126E-2</v>
      </c>
      <c r="HO38" s="1">
        <v>798199582.01925993</v>
      </c>
      <c r="HP38" s="79">
        <f t="shared" si="153"/>
        <v>10006.386713826045</v>
      </c>
      <c r="HQ38" s="86" t="str">
        <f t="shared" si="145"/>
        <v>jun17 may18</v>
      </c>
      <c r="HR38" s="3"/>
      <c r="HS38" s="1"/>
      <c r="HT38" s="1"/>
      <c r="HU38" s="83">
        <f t="shared" si="207"/>
        <v>680000</v>
      </c>
      <c r="HV38" s="83" t="str">
        <f t="shared" si="208"/>
        <v>2017-18</v>
      </c>
      <c r="HW38" s="83">
        <v>1350000</v>
      </c>
      <c r="HX38" s="1" t="s">
        <v>6</v>
      </c>
      <c r="HY38" s="1">
        <v>3400000</v>
      </c>
      <c r="HZ38" s="1" t="s">
        <v>6</v>
      </c>
      <c r="IA38" s="1">
        <f t="shared" si="209"/>
        <v>19890000</v>
      </c>
      <c r="IB38" s="1" t="s">
        <v>6</v>
      </c>
      <c r="IC38" s="1">
        <v>41300000</v>
      </c>
      <c r="ID38" s="1" t="s">
        <v>6</v>
      </c>
      <c r="IE38" s="1">
        <f t="shared" si="210"/>
        <v>1550000</v>
      </c>
      <c r="IF38" s="1" t="s">
        <v>6</v>
      </c>
      <c r="IG38" s="1">
        <f t="shared" si="188"/>
        <v>6500000</v>
      </c>
      <c r="IH38" s="1" t="s">
        <v>6</v>
      </c>
      <c r="II38" s="79">
        <f t="shared" si="87"/>
        <v>73990000</v>
      </c>
      <c r="IJ38" s="97">
        <f t="shared" si="167"/>
        <v>1.5629261117125455</v>
      </c>
      <c r="IK38" s="1" t="s">
        <v>6</v>
      </c>
      <c r="IL38" s="7">
        <v>45.82</v>
      </c>
      <c r="IM38" s="7">
        <v>58.56</v>
      </c>
      <c r="IN38" s="7">
        <v>190</v>
      </c>
      <c r="IO38" s="695">
        <v>15.05</v>
      </c>
      <c r="IP38" s="98">
        <f t="shared" si="193"/>
        <v>5.6422028615424455</v>
      </c>
      <c r="IQ38" s="96">
        <v>18.899999999999999</v>
      </c>
      <c r="IR38" s="98">
        <f t="shared" si="194"/>
        <v>5.93</v>
      </c>
      <c r="IS38" s="98">
        <f t="shared" si="194"/>
        <v>5.67</v>
      </c>
      <c r="IT38" s="98">
        <f t="shared" si="194"/>
        <v>11.35</v>
      </c>
      <c r="IU38" s="98">
        <f t="shared" si="194"/>
        <v>0.88</v>
      </c>
      <c r="IV38" s="94">
        <f t="shared" si="89"/>
        <v>17.899999999999999</v>
      </c>
      <c r="IW38" s="84"/>
      <c r="IX38" s="84"/>
      <c r="IY38" s="105">
        <v>1.84</v>
      </c>
      <c r="IZ38" s="161">
        <v>0.3</v>
      </c>
      <c r="JA38" s="83">
        <v>2000</v>
      </c>
      <c r="JB38" s="84">
        <v>37.22</v>
      </c>
      <c r="JC38" s="84"/>
      <c r="JD38" s="84"/>
      <c r="JF38" s="2">
        <v>7.2790890999999993</v>
      </c>
      <c r="JG38" s="2">
        <v>32.611568229999996</v>
      </c>
      <c r="JH38" s="2">
        <v>42.078935420000001</v>
      </c>
      <c r="JI38" s="2">
        <v>112.71831394</v>
      </c>
      <c r="JJ38" s="2">
        <v>353.87980923999999</v>
      </c>
      <c r="JK38" s="2">
        <v>53.300995930000006</v>
      </c>
      <c r="JL38" s="2">
        <v>1423.5479107199997</v>
      </c>
      <c r="JM38" s="2">
        <v>0.53729000000000005</v>
      </c>
      <c r="JN38" s="2">
        <v>159.43442061000002</v>
      </c>
      <c r="JO38" s="2">
        <v>14.796295740000001</v>
      </c>
      <c r="JP38" s="2">
        <v>0</v>
      </c>
      <c r="JQ38" s="2">
        <v>6.3159737400000004</v>
      </c>
      <c r="JR38" s="2">
        <v>0.55567546999999995</v>
      </c>
      <c r="JS38" s="2">
        <v>0</v>
      </c>
      <c r="JT38" s="2">
        <v>0</v>
      </c>
      <c r="JU38" s="2">
        <v>77.747644379999983</v>
      </c>
      <c r="JV38" s="2">
        <v>19.73367077</v>
      </c>
      <c r="JW38" s="2">
        <v>30.555309369999996</v>
      </c>
      <c r="JX38" s="2">
        <v>64.93271962</v>
      </c>
      <c r="JY38" s="2">
        <v>0</v>
      </c>
      <c r="JZ38" s="2">
        <v>6.5944000000000003E-2</v>
      </c>
      <c r="KA38" s="2">
        <v>0.16896902</v>
      </c>
      <c r="KB38" s="2">
        <v>3.4055402200000007</v>
      </c>
      <c r="KC38" s="2">
        <v>27.584629119999999</v>
      </c>
      <c r="KD38" s="2">
        <v>5.958630470000001</v>
      </c>
      <c r="KE38" s="2">
        <v>16.22583435</v>
      </c>
      <c r="KF38" s="2">
        <v>20.739923509999997</v>
      </c>
      <c r="KG38" s="2">
        <v>238.13722504999998</v>
      </c>
      <c r="KH38" s="2">
        <v>59.758826989999982</v>
      </c>
      <c r="KI38" s="2">
        <v>20.25540406</v>
      </c>
      <c r="KJ38" s="2">
        <v>1.09692184</v>
      </c>
      <c r="KK38" s="2">
        <v>7.2306138999999998</v>
      </c>
      <c r="KL38" s="2">
        <v>0.37862225000000005</v>
      </c>
      <c r="KM38" s="2">
        <v>5.7378744499999996</v>
      </c>
      <c r="KN38" s="2">
        <v>0.24300657000000001</v>
      </c>
      <c r="KO38" s="2">
        <v>2.8861959999999999E-2</v>
      </c>
      <c r="KP38" s="2">
        <v>9.1211910000000007E-2</v>
      </c>
      <c r="KQ38" s="2">
        <v>245.75594112000002</v>
      </c>
      <c r="KR38" s="2">
        <v>0</v>
      </c>
      <c r="KS38" s="2">
        <v>7.2598499999999996E-2</v>
      </c>
      <c r="KT38" s="2">
        <v>4.2981187700000003</v>
      </c>
      <c r="KU38" s="2">
        <v>0.55698730000000007</v>
      </c>
      <c r="KV38" s="2">
        <v>0</v>
      </c>
      <c r="KW38" s="2">
        <v>3.2587875199999998</v>
      </c>
      <c r="KX38" s="2">
        <v>0</v>
      </c>
      <c r="KY38" s="2">
        <v>0</v>
      </c>
      <c r="KZ38" s="2">
        <v>0.92198309000000012</v>
      </c>
      <c r="LA38" s="2">
        <v>0.45153338000000004</v>
      </c>
      <c r="LB38" s="2">
        <v>0</v>
      </c>
      <c r="LC38" s="2">
        <v>0</v>
      </c>
      <c r="LD38" s="2">
        <v>0</v>
      </c>
      <c r="LE38" s="2">
        <v>0</v>
      </c>
      <c r="LF38" s="2">
        <v>0</v>
      </c>
      <c r="LG38" s="2">
        <v>22.06957148</v>
      </c>
      <c r="LH38" s="2">
        <v>2.4813035599999997</v>
      </c>
      <c r="LI38" s="2">
        <v>0</v>
      </c>
      <c r="LJ38" s="2">
        <v>0</v>
      </c>
      <c r="LK38" s="2">
        <v>1.9802235800000001</v>
      </c>
      <c r="LL38" s="2">
        <v>2.39479877</v>
      </c>
      <c r="LM38" s="2">
        <v>0.98300116000000004</v>
      </c>
      <c r="LN38" s="2">
        <v>0.17609384</v>
      </c>
      <c r="LO38" s="2">
        <v>7.423649769999999</v>
      </c>
      <c r="LQ38" s="85">
        <f t="shared" si="90"/>
        <v>2092.1966799299998</v>
      </c>
      <c r="LR38" s="85">
        <f t="shared" si="91"/>
        <v>6.8716492100000002</v>
      </c>
      <c r="LS38" s="85">
        <f t="shared" si="92"/>
        <v>50.288980139999993</v>
      </c>
      <c r="LT38" s="85">
        <f t="shared" si="93"/>
        <v>0.23491302</v>
      </c>
      <c r="LU38" s="85">
        <f t="shared" si="94"/>
        <v>251.83828260000001</v>
      </c>
      <c r="LV38" s="85">
        <f t="shared" si="95"/>
        <v>3.2587875199999998</v>
      </c>
      <c r="LW38" s="85">
        <f t="shared" si="96"/>
        <v>0.45153338000000004</v>
      </c>
      <c r="LX38" s="85">
        <f t="shared" si="97"/>
        <v>0</v>
      </c>
      <c r="LZ38" s="131">
        <v>26.83</v>
      </c>
      <c r="MA38" s="171">
        <v>24.64</v>
      </c>
      <c r="MB38"/>
      <c r="MC38"/>
      <c r="MD38"/>
      <c r="MF38"/>
      <c r="MG38"/>
      <c r="MH38" s="83">
        <v>49.81</v>
      </c>
      <c r="MI38" s="83">
        <v>16.690000000000001</v>
      </c>
      <c r="MJ38" s="83">
        <v>15.7</v>
      </c>
      <c r="MK38"/>
      <c r="ML38" s="83">
        <v>22.12</v>
      </c>
      <c r="MM38" s="83">
        <v>21.79</v>
      </c>
      <c r="MN38" s="83"/>
      <c r="MO38" s="83">
        <v>16.47</v>
      </c>
      <c r="MP38" s="83">
        <v>46.44</v>
      </c>
      <c r="MQ38" s="83">
        <v>37.69</v>
      </c>
      <c r="MR38"/>
      <c r="MT38" s="83"/>
      <c r="MU38" s="83">
        <v>29.3</v>
      </c>
      <c r="MV38"/>
      <c r="MW38"/>
      <c r="MX38"/>
      <c r="MY38" s="83">
        <v>38.75</v>
      </c>
      <c r="MZ38" s="83">
        <v>117.4</v>
      </c>
      <c r="NA38" s="83">
        <v>43.28</v>
      </c>
      <c r="NB38" s="83">
        <v>149.41999999999999</v>
      </c>
      <c r="NC38" s="83">
        <v>23.89</v>
      </c>
      <c r="ND38"/>
      <c r="NE38" s="1">
        <v>125.79</v>
      </c>
    </row>
    <row r="39" spans="1:369">
      <c r="A39" s="38">
        <f t="shared" si="32"/>
        <v>43252</v>
      </c>
      <c r="B39" s="36">
        <f t="shared" si="198"/>
        <v>6</v>
      </c>
      <c r="C39" s="36">
        <v>2018</v>
      </c>
      <c r="D39" s="36">
        <f t="shared" si="50"/>
        <v>39</v>
      </c>
      <c r="E39" s="38">
        <f t="shared" si="33"/>
        <v>43252</v>
      </c>
      <c r="F39" s="7">
        <v>27.094999999999999</v>
      </c>
      <c r="G39" s="7">
        <v>144.80000000000001</v>
      </c>
      <c r="H39" s="1">
        <f>[2]NACIONALES!$D27</f>
        <v>12648.96</v>
      </c>
      <c r="I39" s="7">
        <v>98</v>
      </c>
      <c r="J39" s="7">
        <v>430</v>
      </c>
      <c r="K39" s="7">
        <v>2.4</v>
      </c>
      <c r="L39" s="7">
        <v>30.9</v>
      </c>
      <c r="N39" s="5">
        <v>1.7025555555555556</v>
      </c>
      <c r="O39" s="5">
        <v>1.5478888888888889</v>
      </c>
      <c r="P39" s="78">
        <f t="shared" si="34"/>
        <v>44.035396111111112</v>
      </c>
      <c r="Q39" s="6">
        <v>505</v>
      </c>
      <c r="R39" s="79">
        <f t="shared" si="35"/>
        <v>5050</v>
      </c>
      <c r="S39" s="6">
        <v>162.5</v>
      </c>
      <c r="T39" s="6">
        <v>305</v>
      </c>
      <c r="U39" s="143">
        <v>167.095</v>
      </c>
      <c r="V39" s="6">
        <v>284.65499999999997</v>
      </c>
      <c r="W39" s="6">
        <v>131.05000000000001</v>
      </c>
      <c r="X39" s="6">
        <v>187.245</v>
      </c>
      <c r="Y39" s="79">
        <f t="shared" si="36"/>
        <v>4402.9375</v>
      </c>
      <c r="Z39" s="79">
        <f t="shared" si="37"/>
        <v>8263.9750000000004</v>
      </c>
      <c r="AA39" s="79">
        <f t="shared" si="38"/>
        <v>4527.4390249999997</v>
      </c>
      <c r="AB39" s="79">
        <f t="shared" si="39"/>
        <v>7712.7272249999987</v>
      </c>
      <c r="AC39" s="79">
        <f t="shared" si="40"/>
        <v>3550.7997500000001</v>
      </c>
      <c r="AD39" s="79">
        <f t="shared" si="41"/>
        <v>5073.4032749999997</v>
      </c>
      <c r="AE39" s="79">
        <f t="shared" si="42"/>
        <v>5588.5469625000005</v>
      </c>
      <c r="AF39" s="1">
        <v>18304.78947368421</v>
      </c>
      <c r="AG39" s="1">
        <v>7020</v>
      </c>
      <c r="AH39" s="1">
        <v>26040</v>
      </c>
      <c r="AI39" s="5">
        <v>11.46</v>
      </c>
      <c r="AJ39" s="5">
        <v>11.04</v>
      </c>
      <c r="AK39" s="5">
        <v>7.31</v>
      </c>
      <c r="AL39" s="5">
        <v>6.43</v>
      </c>
      <c r="AM39" s="78">
        <f t="shared" si="43"/>
        <v>9.157</v>
      </c>
      <c r="AN39" s="7">
        <v>422.74011299435028</v>
      </c>
      <c r="AO39" s="7">
        <v>304.55894736842106</v>
      </c>
      <c r="AP39" s="78">
        <f t="shared" si="146"/>
        <v>304.55894736842106</v>
      </c>
      <c r="AQ39" s="7">
        <v>237.76315789473685</v>
      </c>
      <c r="AR39" s="7">
        <v>255.75578947368425</v>
      </c>
      <c r="AS39" s="7">
        <v>333.6764705882353</v>
      </c>
      <c r="AT39" s="7">
        <v>260.05833333333334</v>
      </c>
      <c r="AU39" s="78">
        <f t="shared" si="53"/>
        <v>283.16353113175097</v>
      </c>
      <c r="AV39" s="7">
        <v>127.21538461538464</v>
      </c>
      <c r="AW39" s="7">
        <v>303.04842105263162</v>
      </c>
      <c r="AX39" s="7">
        <v>225.72368421052636</v>
      </c>
      <c r="AY39" s="7">
        <v>290.56682352941164</v>
      </c>
      <c r="AZ39" s="7">
        <v>205.57789473684215</v>
      </c>
      <c r="BA39" s="7">
        <v>89.96026315789473</v>
      </c>
      <c r="BB39" s="94">
        <f t="shared" si="45"/>
        <v>216.73896413828689</v>
      </c>
      <c r="BC39" s="68">
        <f t="shared" si="185"/>
        <v>696</v>
      </c>
      <c r="BD39" s="68">
        <f t="shared" si="185"/>
        <v>807</v>
      </c>
      <c r="BE39" s="7">
        <f t="shared" si="185"/>
        <v>690</v>
      </c>
      <c r="BF39" s="7">
        <f t="shared" si="185"/>
        <v>410</v>
      </c>
      <c r="BG39" s="94">
        <f t="shared" si="56"/>
        <v>650.75</v>
      </c>
      <c r="BH39" s="7">
        <v>53.11</v>
      </c>
      <c r="BI39" s="7">
        <f>+BI38+3</f>
        <v>11.981</v>
      </c>
      <c r="BJ39" s="78">
        <f t="shared" si="57"/>
        <v>65.090999999999994</v>
      </c>
      <c r="BK39" s="7">
        <v>40.878999999999998</v>
      </c>
      <c r="BL39" s="7">
        <v>41.600999999999999</v>
      </c>
      <c r="BM39" s="94">
        <f t="shared" si="58"/>
        <v>41.239999999999995</v>
      </c>
      <c r="BN39" s="5">
        <v>6.75</v>
      </c>
      <c r="BO39" s="5">
        <v>30.695000000000011</v>
      </c>
      <c r="BP39" s="80">
        <v>21.424833333333336</v>
      </c>
      <c r="BQ39" s="94">
        <f t="shared" si="59"/>
        <v>29.767983333333344</v>
      </c>
      <c r="BR39" s="7">
        <v>23.97</v>
      </c>
      <c r="BS39" s="7">
        <v>100</v>
      </c>
      <c r="BT39" s="7">
        <v>123.91</v>
      </c>
      <c r="BU39" s="79">
        <f t="shared" si="147"/>
        <v>1571.73</v>
      </c>
      <c r="BV39" s="7">
        <v>40.200000000000003</v>
      </c>
      <c r="BW39" s="7"/>
      <c r="BY39" s="92">
        <f>BY$10*(1+((H39/H$10-1)*costos!$B$5+((I39*F39)/(I$10*F$10)-1)*costos!$E$5+((J39*F39)/((J$10*F$10)-1)*costos!$F$5/3+((K39*F39)/(K$10*F$10)-1)*costos!$F$5/3+((U39*F39)/(U$10*F$10)-1)*costos!$F$5/3+((L39*F39)/(L$10*F$10)-1)*costos!$G$5+((N39*F39)/(N$10*F$10)-1)*costos!$J$5+((V39*F39)/(V$10*F$10)-1)*costos!$K$5)))</f>
        <v>227.6941029080057</v>
      </c>
      <c r="BZ39" s="92">
        <f>$BZ$10*(1+((H39/$H$10-1)*costos!$B$6+((I39*F39)/($I$10*$F$10)-1)*costos!$E$6+((J39*F39)/(($J$10*$F$10)-1)*costos!$F$6/3+((K39*F39)/($K$10*$F$10)-1)*costos!$F$6/3+((U39*F39)/($U$10*$F$10)-1)*costos!$F$6/3+((L39*F39)/($L$10*$F$10)-1)*costos!$G$6+((Q39*F39)/($Q$10*$F$10)-1)*costos!$J$6+((V39*F39)/($V$10*$F$10)-1)*costos!$K$6)))</f>
        <v>208.72424109164217</v>
      </c>
      <c r="CA39" s="92">
        <f>CA$10*(1+((H39/H$10-1)*costos!$B$7+((I39*F39)/(I$10*F$10)-1)*costos!$E$7+((J39*F39)/((J$10*F$10)-1)*costos!$F$7/3+((K39*F39)/(K$10*F$10)-1)*costos!$F$7/3+((U39*F39)/(U$10*F$10)-1)*costos!$F$7/3+((L39*F39)/(L$10*F$10)-1)*costos!$G$7+((S39*F39)/(S$10*F$10)-1)*costos!$J$7+((V39*F39)/(V$10*F$10)-1)*costos!$K$7)))</f>
        <v>217.07296722276496</v>
      </c>
      <c r="CB39" s="92">
        <f>CB$10*(1+((H39/H$10-1)*costos!$B$8+((I39*F39)/(I$10*F$10)-1)*costos!$E$8+((J39*F39)/((J$10*F$10)-1)*costos!$F$8/3+((K39*F39)/(K$10*F$10)-1)*costos!$F$8/3+((U39*F39)/(U$10*F$10)-1)*costos!$F$8/3+((L39*F39)/(L$10*F$10)-1)*costos!$G$8+((T39*F39)/(T$10*F$10)-1)*costos!$J$8+((V39*F39)/(V$10*F$10)-1)*costos!$K$8)))</f>
        <v>219.46735296254599</v>
      </c>
      <c r="CC39" s="92">
        <f>CC$10*(1+((H39/H$10-1)*costos!$B$9+((I39*F39)/(I$10*F$10)-1)*costos!$E$9+((J39*F39)/((J$10*F$10)-1)*costos!$F$9/3+((K39*F39)/(K$10*F$10)-1)*costos!$F$9/3+((U39*F39)/(U$10*F$10)-1)*costos!$F$9/3+((L39*F39)/(L$10*F$10)-1)*costos!$G$9+((U39*F39)/(U$10*F$10)-1)*costos!$J$9+((V39*F39)/(V$10*F$10)-1)*costos!$K$9)))</f>
        <v>217.05214177093262</v>
      </c>
      <c r="CD39" s="92">
        <f>CD$10*(1+((H39/H$10-1)*costos!$B$11+((I39*F39)/(I$10*F$10)-1)*costos!$E$11+((J39*F39)/((J$10*F$10)-1)*costos!$F$11/3+((K39*F39)/(K$10*F$10)-1)*costos!$F$11/3+((U39*F39)/(U$10*F$10)-1)*costos!$F$11/3+((L39*F39)/(L$10*F$10)-1)*costos!$G$11+((V39*F39)/(V$10*F$10)-1)*costos!$J$11+((V39*F39)/(V$10*F$10)-1)*costos!$K$11)))</f>
        <v>226.33956241532803</v>
      </c>
      <c r="CE39" s="92">
        <f>CE$10*(1+((H39/H$10-1)*costos!$B$12+((I39*F39)/(I$10*F$10)-1)*costos!$E$12+((J39*F39)/((J$10*F$10)-1)*costos!$F$12/3+((K39*F39)/(K$10*F$10)-1)*costos!$F$12/3+((U39*F39)/(U$10*F$10)-1)*costos!$F$12/3+((L39*F39)/(L$10*F$10)-1)*costos!$G$12+((W39*F39)/(W$10*F$10)-1)*costos!$J$12+((V39*F39)/(V$10*F$10)-1)*costos!$K$12)))</f>
        <v>200.14573062572768</v>
      </c>
      <c r="CF39" s="92">
        <f>CF$10*(1+((H39/H$10-1)*costos!$B$13+((I39*F39)/(I$10*F$10)-1)*costos!$E$13+((J39*F39)/((J$10*F$10)-1)*costos!$F$13/3+((K39*F39)/(K$10*F$10)-1)*costos!$F$13/3+((U39*F39)/(U$10*F$10)-1)*costos!$F$13/3+((L39*F39)/(L$10*F$10)-1)*costos!$G$13+((X39*F39)/(X$10*F$10)-1)*costos!$J$13+((V39*F39)/(V$10*F$10)-1)*costos!$K$13)))</f>
        <v>225.61261913315045</v>
      </c>
      <c r="CG39" s="92">
        <f t="shared" si="60"/>
        <v>217.61506235507497</v>
      </c>
      <c r="CH39" s="92">
        <f>CH$10*(1+((H39/H$10-1)*costos!$B$10+((I39*F39)/(I$10*F$10)-1)*costos!$E$10+((J39*F39)/((J$10*F$10)-1)*costos!$F$10/3+((K39*F39)/(K$10*F$10)-1)*costos!$F$10/3+((U39*F39)/(U$10*F$10)-1)*costos!$F$10/3+((L39*F39)/(L$10*F$10)-1)*costos!$G$10+((AF39)/(AF$10)-1)*costos!$J$10+((V39*F39)/(V$10*F$10)-1)*costos!$K$10)))</f>
        <v>240.53341084721262</v>
      </c>
      <c r="CI39" s="92">
        <f>CI$10*(1+((H39/H$10-1)*costos!$B$15+((I39*F39)/(I$10*F$10)-1)*costos!$E$15+((J39*F39)/((J$10*F$10)-1)*costos!$F$15/3+((K39*F39)/(K$10*F$10)-1)*costos!$F$15/3+((U39*F39)/(U$10*F$10)-1)*costos!$F$15/3+((L39*F39)/(L$10*F$10)-1)*costos!$G$15+((AV39)/(AV$10)-1)*costos!$J$15+((V39*F39)/(V$10*F$10)-1)*costos!$K$15)))</f>
        <v>202.20368016700618</v>
      </c>
      <c r="CJ39" s="92">
        <f>CJ$10*(1+((H39/H$10-1)*costos!$B$16+((I39*F39)/(I$10*F$10)-1)*costos!$E$16+((J39*F39)/((J$10*F$10)-1)*costos!$F$16/3+((K39*F39)/(K$10*F$10)-1)*costos!$F$16/3+((U39*F39)/(U$10*F$10)-1)*costos!$F$16/3+((L39*F39)/(L$10*F$10)-1)*costos!$G$16+((AW39)/(AW$10)-1)*costos!$J$16+((V39*F39)/(V$10*F$10)-1)*costos!$K$16)))</f>
        <v>175.26930086360875</v>
      </c>
      <c r="CK39" s="92">
        <f>CK$10*(1+((H39/H$10-1)*costos!$B$17+((I39*F39)/(I$10*F$10)-1)*costos!$E$17+((J39*F39)/((J$10*F$10)-1)*costos!$F$17/3+((K39*F39)/(K$10*F$10)-1)*costos!$F$17/3+((U39*F39)/(U$10*F$10)-1)*costos!$F$17/3+((L39*F39)/(L$10*F$10)-1)*costos!$G$17+((AX39)/(AX$10)-1)*costos!$J$17+((V39*F39)/(V$10*F$10)-1)*costos!$K$17)))</f>
        <v>213.43473133687655</v>
      </c>
      <c r="CL39" s="92">
        <f>CL$10*(1+((H39/H$10-1)*costos!$B$18+((I39*F39)/(I$10*F$10)-1)*costos!$E$18+((J39*F39)/((J$10*F$10)-1)*costos!$F$18/3+((K39*F39)/(K$10*F$10)-1)*costos!$F$18/3+((U39*F39)/(U$10*F$10)-1)*costos!$F$18/3+((L39*F39)/(L$10*F$10)-1)*costos!$G$18+((AY39)/(AY$10)-1)*costos!$J$18+((V39*F39)/(V$10*F$10)-1)*costos!$K$18)))</f>
        <v>222.23248307033106</v>
      </c>
      <c r="CM39" s="92">
        <f>CM$10*(1+((H39/H$10-1)*costos!$B$19+((I39*F39)/(I$10*F$10)-1)*costos!$E$19+((J39*F39)/((J$10*F$10)-1)*costos!$F$19/3+((K39*F39)/(K$10*F$10)-1)*costos!$F$19/3+((U39*F39)/(U$10*F$10)-1)*costos!$F$19/3+((L39*F39)/(L$10*F$10)-1)*costos!$G$19+((AZ39)/(AZ$10)-1)*costos!$J$19+((V39*F39)/(V$10*F$10)-1)*costos!$K$19)))</f>
        <v>184.11406254831525</v>
      </c>
      <c r="CN39" s="92">
        <f>CN$10*(1+((H39/H$10-1)*costos!$B$20+((I39*F39)/(I$10*F$10)-1)*costos!$E$20+((J39*F39)/((J$10*F$10)-1)*costos!$F$20/3+((K39*F39)/(K$10*F$10)-1)*costos!$F$20/3+((U39*F39)/(U$10*F$10)-1)*costos!$F$20/3+((L39*F39)/(L$10*F$10)-1)*costos!$G$20+((BA39)/(BA$10)-1)*costos!$J$20+((V39*F39)/(V$10*F$10)-1)*costos!$K$20)))</f>
        <v>169.29369167805189</v>
      </c>
      <c r="CO39" s="92">
        <f t="shared" si="61"/>
        <v>197.26874215839368</v>
      </c>
      <c r="CP39" s="92">
        <f>CP$10*(1+((H39/H$10-1)*costos!$B$22+((I39*F39)/(I$10*F$10)-1)*costos!$E$22+((J39*F39)/((J$10*F$10)-1)*costos!$F$22/3+((K39*F39)/(K$10*F$10)-1)*costos!$F$22/3+((U39*F39)/(U$10*F$10)-1)*costos!$F$22/3+((L39*F39)/(L$10*F$10)-1)*costos!$G$22+(((AVERAGE(AI39:AL39))/((AVERAGE(AI$10:AL$10))-1)*costos!$J$22+((V39*F39)/(V$10*F$10)-1)*costos!$K$22)))))</f>
        <v>234.15027290424507</v>
      </c>
      <c r="CQ39" s="92">
        <f>CQ$10*(1+((H39/H$10-1)*costos!$B$23+((I39*F39)/(I$10*F$10)-1)*costos!$E$23+((J39*F39)/((J$10*F$10)-1)*costos!$F$23/3+((K39*F39)/(K$10*F$10)-1)*costos!$F$23/3+((U39*F39)/(U$10*F$10)-1)*costos!$F$23/3+((L39*F39)/(L$10*F$10)-1)*costos!$G$23+((AN39)/(AN$10)-1)*costos!$J$23+((V39*F39)/(V$10*F$10)-1)*costos!$K$23)))</f>
        <v>176.10570820313308</v>
      </c>
      <c r="CR39" s="92">
        <f>CR$10*(1+((H39/H$10-1)*costos!$B$24+((I39*F39)/(I$10*F$10)-1)*costos!$E$24+((J39*F39)/((J$10*F$10)-1)*costos!$F$24/3+((K39*F39)/(K$10*F$10)-1)*costos!$F$24/3+((U39*F39)/(U$10*F$10)-1)*costos!$F$24/3+((L39*F39)/(L$10*F$10)-1)*costos!$G$24+((AO39)/(AO$10)-1)*costos!$J$24+((V39*F39)/(V$10*F$10)-1)*costos!$K$24)))</f>
        <v>180.38711322810184</v>
      </c>
      <c r="CS39" s="92">
        <f t="shared" si="62"/>
        <v>178.24641071561746</v>
      </c>
      <c r="CT39" s="92">
        <f>CT$10*(1+((H39/H$10-1)*costos!$B$25+((I39*F39)/(I$10*F$10)-1)*costos!$E$25+((J39*F39)/((J$10*F$10)-1)*costos!$F$25/3+((K39*F39)/(K$10*F$10)-1)*costos!$F$25/3+((U39*F39)/(U$10*F$10)-1)*costos!$F$25/3+((L39*F39)/(L$10*F$10)-1)*costos!$G$25+((AQ39)/(AQ$10)-1)*costos!$J$25+((V39*F39)/(V$10*F$10)-1)*costos!$K$25)))</f>
        <v>177.1294613301452</v>
      </c>
      <c r="CU39" s="92">
        <f>CU$10*(1+((H39/H$10-1)*costos!$B$26+((I39*F39)/(I$10*F$10)-1)*costos!$E$26+((J39*F39)/((J$10*F$10)-1)*costos!$F$26/3+((K39*F39)/(K$10*F$10)-1)*costos!$F$26/3+((U39*F39)/(U$10*F$10)-1)*costos!$F$26/3+((L39*F39)/(L$10*F$10)-1)*costos!$G$26+((AR39)/(AR$10)-1)*costos!$J$26+((V39*F39)/(V$10*F$10)-1)*costos!$K$26)))</f>
        <v>185.80815599560077</v>
      </c>
      <c r="CV39" s="92">
        <f>CV$10*(1+((H39/H$10-1)*costos!$B$27+((I39*F39)/(I$10*F$10)-1)*costos!$E$27+((J39*F39)/((J$10*F$10)-1)*costos!$F$27/3+((K39*F39)/(K$10*F$10)-1)*costos!$F$27/3+((U39*F39)/(U$10*F$10)-1)*costos!$F$27/3+((L39*F39)/(L$10*F$10)-1)*costos!$G$27+((AS39)/(AS$10)-1)*costos!$J$27+((V39*F39)/(V$10*F$10)-1)*costos!$K$27)))</f>
        <v>190.72246763721577</v>
      </c>
      <c r="CW39" s="92">
        <f>CW$10*(1+((H39/H$10-1)*costos!$B$28+((I39*F39)/(I$10*F$10)-1)*costos!$E$28+((J39*F39)/((J$10*F$10)-1)*costos!$F$28/3+((K39*F39)/(K$10*F$10)-1)*costos!$F$28/3+((U39*F39)/(U$10*F$10)-1)*costos!$F$28/3+((L39*F39)/(L$10*F$10)-1)*costos!$G$28+((AS39)/(AS$10)-1)*costos!$J$28+((V39*F39)/(V$10*F$10)-1)*costos!$K$28)))</f>
        <v>190.72246763721577</v>
      </c>
      <c r="CX39" s="92">
        <f t="shared" si="63"/>
        <v>189.08436375667745</v>
      </c>
      <c r="CY39" s="92">
        <f>CY$10*(1+((H39/H$10-1)*costos!$B$32+((I39*F39)/(I$10*F$10)-1)*costos!$E$32+((J39*F39)/((J$10*F$10)-1)*costos!$F$32/3+((K39*F39)/(K$10*F$10)-1)*costos!$F$32/3+((U39*F39)/(U$10*F$10)-1)*costos!$F$32/3+((L39*F39)/(L$10*F$10)-1)*costos!$G$32+((AG39)/(AG$10)-1)*costos!$J$32+((V39*F39)/(V$10*F$10)-1)*costos!$K$32)))</f>
        <v>174.63398859348743</v>
      </c>
      <c r="CZ39" s="69">
        <f>CZ$10*(1+((H39/H$10-1)*costos!$B$31+((I39*F39)/(I$10*F$10)-1)*costos!$E$30+((J39*F39)/((J$10*F$10)-1)*costos!$F$30/3+((K39*F39)/(K$10*F$10)-1)*costos!$F$30/3+((U39*F39)/(U$10*F$10)-1)*costos!$F$30/3+((L39*F39)/(L$10*F$10)-1)*costos!$G$30+((BG39)/(BG$10)-1)*costos!$J$30+((V39*F39)/(V$10*F$10)-1)*costos!$K$30)))</f>
        <v>203.0372414594467</v>
      </c>
      <c r="DA39" s="69">
        <f>DA$10*(1+((H39/H$10-1)*costos!$B$31+((I39*F39)/(I$10*F$10)-1)*costos!$E$31+((J39*F39)/((J$10*F$10)-1)*costos!$F$31/3+((K39*F39)/(K$10*F$10)-1)*costos!$F$31/3+((U39*F39)/(U$10*F$10)-1)*costos!$F$31/3+((L39*F39)/(L$10*F$10)-1)*costos!$G$31+((BJ39)/(BJ$10)-1)*costos!$J$31+((V39*F39)/(V$10*F$10)-1)*costos!$K$31)))</f>
        <v>178.57818936589297</v>
      </c>
      <c r="DB39" s="69">
        <f>DB$10*(1+((H39/H$10-1)*costos!$B$36+((I39*F39)/(I$10*F$10)-1)*costos!$E$36+((J39*F39)/((J$10*F$10)-1)*costos!$F$36/3+((K39*F39)/(K$10*F$10)-1)*costos!$F$36/3+((U39*F39)/(U$10*F$10)-1)*costos!$F$36/3+((L39*F39)/(L$10*F$10)-1)*costos!$G$36+((BK39)/(BK$10)-1)*costos!$J$36+((V39*F39)/(V$10*F$10)-1)*costos!$K$36)))</f>
        <v>186.02025031849735</v>
      </c>
      <c r="DC39" s="69">
        <f>DC$10*(1+((H39/H$10-1)*costos!$B$37+((I39*F39)/(I$10*F$10)-1)*costos!$E$37+((U39*F39)/(U$10*F$10)-1)*costos!$F$37+((L39*F39)/(L$10*F$10)-1)*costos!$G$37+((BN39)/(BN$10)-1)*costos!$J$37+((V39*F39)/(V$10*F$10)-1)*costos!$K$37))</f>
        <v>213.33048735382602</v>
      </c>
      <c r="DD39" s="69">
        <f>DD$10*(1+((H39/H$10-1)*costos!$B$39+((I39*F39)/(I$10*F$10)-1)*costos!$E$39+((U39*F39)/(U$10*F$10)-1)*costos!$F$39+((L39*F39)/(L$10*F$10)-1)*costos!$G$39+((BR39)/(BR$10)-1)*costos!$J$39+((V39*F39)/(V$10*F$10)-1)*costos!$K$39))</f>
        <v>208.61748539325387</v>
      </c>
      <c r="DE39" s="69">
        <f>DD$10*(1+((H39/H$10-1)*costos!$B$35+((I39*F39)/(I$10*F$10)-1)*costos!$E$35+((U39*F39)/(U$10*F$10)-1)*costos!$F$35+((L39*F39)/(L$10*F$10)-1)*costos!$G$35+((BR39)/(BR$10)-1)*costos!$J$35+((V39*F39)/(V$10*F$10)-1)*costos!$K$35))</f>
        <v>196.40208016078606</v>
      </c>
      <c r="DF39" s="69">
        <f>DF$10*(1+((H39/H$10-1)*costos!$B$40+((I39*F39)/(I$10*F$10)-1)*costos!$E$40+((U39*F39)/(U$10*F$10)-1)*costos!$F$40+((L39*F39)/(L$10*F$10)-1)*costos!$G$40+((BP39)/(BP$10)-1)*costos!$J$40+((V39*F39)/(V$10*F$10)-1)*costos!$K$40))</f>
        <v>215.2292783272415</v>
      </c>
      <c r="DG39" s="92">
        <f t="shared" si="64"/>
        <v>205.81567924401378</v>
      </c>
      <c r="DH39" s="69">
        <f>DH$10*(1+((H39/H$10-1)*costos!$B$34+((I39*F39)/(I$10*F$10)-1)*costos!$E$34+((J39*F39)/((J$10*F$10)-1)*costos!$F$34/3+((K39*F39)/(K$10*F$10)-1)*costos!$F$34/3+((U39*F39)/(U$10*F$10)-1)*costos!$F$34/3+((L39*F39)/(L$10*F$10)-1)*costos!$G$34+((BV39)/(BV$10)-1)*costos!$J$34+((V39*F39)/(V$10*F$10)-1)*costos!$K$34)))</f>
        <v>184.45250424831704</v>
      </c>
      <c r="DI39" s="69">
        <f>DI$10*(1+((H39/H$10-1)*costos!$B$38+((I39*F39)/(I$10*F$10)-1)*costos!$E$38+((J39*F39)/((J$10*F$10)-1)*costos!$F$38/3+((K39*F39)/(K$10*F$10)-1)*costos!$F$38/3+((U39*F39)/(U$10*F$10)-1)*costos!$F$38/3+((L39*F39)/(L$10*F$10)-1)*costos!$G$38+((BU39)/(BU$10)-1)*costos!$J$38+((V39*F39)/(V$10*F$10)-1)*costos!$K$38)))</f>
        <v>178.7481822142106</v>
      </c>
      <c r="DK39" s="1">
        <v>327000</v>
      </c>
      <c r="DL39" s="1" t="str">
        <f>+DL38</f>
        <v>2017-18</v>
      </c>
      <c r="DM39" s="1">
        <v>202000</v>
      </c>
      <c r="DN39" s="1" t="str">
        <f t="shared" si="195"/>
        <v>2016-17</v>
      </c>
      <c r="DO39" s="1">
        <v>1070000</v>
      </c>
      <c r="DP39" s="1" t="str">
        <f>+DP38</f>
        <v>2017-18</v>
      </c>
      <c r="DQ39" s="1">
        <v>1700000</v>
      </c>
      <c r="DR39" s="1" t="str">
        <f>+DR38</f>
        <v>2017-18</v>
      </c>
      <c r="DS39" s="1">
        <v>5400000</v>
      </c>
      <c r="DT39" s="1" t="str">
        <f>+DT40</f>
        <v>2017-18</v>
      </c>
      <c r="DU39" s="1">
        <v>16900000</v>
      </c>
      <c r="DV39" s="1" t="s">
        <v>6</v>
      </c>
      <c r="DW39" s="1">
        <v>660000</v>
      </c>
      <c r="DX39" s="1" t="str">
        <f>+DX38</f>
        <v>2017-18</v>
      </c>
      <c r="DY39" s="1">
        <v>6290000</v>
      </c>
      <c r="DZ39" s="1" t="str">
        <f t="shared" si="211"/>
        <v>2018-19</v>
      </c>
      <c r="EA39" s="79">
        <f t="shared" si="67"/>
        <v>32020000</v>
      </c>
      <c r="EB39" s="1">
        <v>440000</v>
      </c>
      <c r="EC39" s="1" t="str">
        <f t="shared" si="212"/>
        <v>2017-18</v>
      </c>
      <c r="ED39" s="83">
        <v>169595</v>
      </c>
      <c r="EE39" s="143">
        <v>2018</v>
      </c>
      <c r="EF39" s="1">
        <f t="shared" si="121"/>
        <v>218233</v>
      </c>
      <c r="EG39" s="6">
        <f t="shared" si="122"/>
        <v>2018</v>
      </c>
      <c r="EH39" s="83">
        <v>54793181</v>
      </c>
      <c r="EI39" s="6">
        <v>2018</v>
      </c>
      <c r="EJ39" s="83">
        <f t="shared" si="200"/>
        <v>5291453</v>
      </c>
      <c r="EK39" s="143">
        <f t="shared" si="200"/>
        <v>2018</v>
      </c>
      <c r="EL39" s="1">
        <v>14339908</v>
      </c>
      <c r="EM39" s="6">
        <v>2018</v>
      </c>
      <c r="EN39" s="82">
        <f t="shared" si="201"/>
        <v>3364725</v>
      </c>
      <c r="EO39" s="144">
        <f t="shared" si="201"/>
        <v>2017</v>
      </c>
      <c r="EP39" s="82">
        <f t="shared" si="118"/>
        <v>6552</v>
      </c>
      <c r="EQ39" s="83">
        <f t="shared" si="100"/>
        <v>3003036</v>
      </c>
      <c r="ER39" s="1">
        <f t="shared" si="189"/>
        <v>33739</v>
      </c>
      <c r="ES39" s="1"/>
      <c r="ET39" s="83">
        <f t="shared" si="101"/>
        <v>22340</v>
      </c>
      <c r="EU39" s="83">
        <f t="shared" si="101"/>
        <v>17224</v>
      </c>
      <c r="EV39" s="83">
        <f t="shared" si="101"/>
        <v>9128</v>
      </c>
      <c r="EW39" s="83">
        <f t="shared" si="101"/>
        <v>17414</v>
      </c>
      <c r="EX39" s="79">
        <f t="shared" si="72"/>
        <v>66106</v>
      </c>
      <c r="EY39" s="83">
        <f t="shared" si="123"/>
        <v>19463</v>
      </c>
      <c r="EZ39" s="82">
        <f t="shared" si="123"/>
        <v>74231</v>
      </c>
      <c r="FA39" s="82">
        <f t="shared" si="103"/>
        <v>24553</v>
      </c>
      <c r="FB39" s="82">
        <f t="shared" si="103"/>
        <v>23958</v>
      </c>
      <c r="FC39" s="79">
        <f t="shared" si="73"/>
        <v>48511</v>
      </c>
      <c r="FD39" s="83">
        <f t="shared" si="158"/>
        <v>66959.290000000008</v>
      </c>
      <c r="FE39" s="1"/>
      <c r="FF39" s="1">
        <v>814000</v>
      </c>
      <c r="FG39" s="1" t="str">
        <f>+FG38</f>
        <v>2017-18</v>
      </c>
      <c r="FH39" s="1">
        <v>1370000</v>
      </c>
      <c r="FI39" s="1" t="str">
        <f t="shared" si="213"/>
        <v>2017-18</v>
      </c>
      <c r="FJ39" s="1">
        <v>3740000</v>
      </c>
      <c r="FK39" s="1" t="str">
        <f t="shared" si="202"/>
        <v>2017-18</v>
      </c>
      <c r="FL39" s="1">
        <v>3500000</v>
      </c>
      <c r="FM39" s="1" t="str">
        <f t="shared" si="203"/>
        <v>2017-18</v>
      </c>
      <c r="FN39" s="1">
        <v>32000000</v>
      </c>
      <c r="FO39" s="1" t="str">
        <f>+FO38</f>
        <v>2017-18</v>
      </c>
      <c r="FP39" s="1">
        <v>37200000</v>
      </c>
      <c r="FQ39" s="1" t="s">
        <v>6</v>
      </c>
      <c r="FR39" s="1">
        <v>1600000</v>
      </c>
      <c r="FS39" s="1" t="str">
        <f t="shared" si="214"/>
        <v>2017-18</v>
      </c>
      <c r="FT39" s="1">
        <v>18520000</v>
      </c>
      <c r="FU39" s="1" t="str">
        <f t="shared" si="196"/>
        <v>2017-18</v>
      </c>
      <c r="FV39" s="79">
        <f t="shared" si="76"/>
        <v>96560000</v>
      </c>
      <c r="FW39" s="1">
        <v>812000</v>
      </c>
      <c r="FX39" s="1" t="str">
        <f>+FX38</f>
        <v>2017-18</v>
      </c>
      <c r="FY39" s="1">
        <v>106665.15700000001</v>
      </c>
      <c r="FZ39" s="79">
        <f t="shared" si="135"/>
        <v>779475.77300000004</v>
      </c>
      <c r="GA39" s="86" t="str">
        <f t="shared" si="136"/>
        <v>jul17 jun18</v>
      </c>
      <c r="GB39" s="1">
        <v>25733114</v>
      </c>
      <c r="GC39" s="6">
        <v>2018</v>
      </c>
      <c r="GD39" s="83">
        <f t="shared" si="165"/>
        <v>1989400</v>
      </c>
      <c r="GE39" s="83">
        <f t="shared" si="190"/>
        <v>431374</v>
      </c>
      <c r="GF39" s="83">
        <f t="shared" si="197"/>
        <v>1006779</v>
      </c>
      <c r="GG39" s="83">
        <f t="shared" si="166"/>
        <v>114118</v>
      </c>
      <c r="GH39" s="79">
        <f t="shared" si="78"/>
        <v>1552271</v>
      </c>
      <c r="GI39" s="82">
        <f t="shared" si="79"/>
        <v>1302556</v>
      </c>
      <c r="GJ39" s="83">
        <f t="shared" ref="GJ39:GJ80" si="215">+GJ38</f>
        <v>685541.2</v>
      </c>
      <c r="GK39" s="83">
        <f t="shared" ref="GK39:GK80" si="216">+GK38</f>
        <v>1103042.8600000001</v>
      </c>
      <c r="GL39" s="83">
        <f t="shared" ref="GL39:GL80" si="217">+GL38</f>
        <v>287064.67</v>
      </c>
      <c r="GM39" s="83">
        <f t="shared" ref="GM39:GM80" si="218">+GM38</f>
        <v>260870.73</v>
      </c>
      <c r="GN39" s="79">
        <f t="shared" si="81"/>
        <v>2336519.46</v>
      </c>
      <c r="GO39" s="83">
        <f t="shared" si="107"/>
        <v>195071</v>
      </c>
      <c r="GP39" s="83">
        <f t="shared" si="107"/>
        <v>79468</v>
      </c>
      <c r="GQ39" s="83">
        <v>19549</v>
      </c>
      <c r="GR39" s="1">
        <f t="shared" si="191"/>
        <v>42800</v>
      </c>
      <c r="GS39" s="79">
        <f t="shared" si="192"/>
        <v>43386.47</v>
      </c>
      <c r="GT39" s="83">
        <f t="shared" si="108"/>
        <v>2483769</v>
      </c>
      <c r="GU39" s="1">
        <v>38709</v>
      </c>
      <c r="GV39" s="1">
        <v>42448</v>
      </c>
      <c r="GW39" s="79">
        <f t="shared" si="151"/>
        <v>1027808</v>
      </c>
      <c r="GX39" s="1">
        <v>26114.056</v>
      </c>
      <c r="GY39" s="1" t="s">
        <v>327</v>
      </c>
      <c r="GZ39" s="1">
        <v>104093.27099999999</v>
      </c>
      <c r="HA39" s="1">
        <v>258200</v>
      </c>
      <c r="HB39" s="79">
        <f t="shared" si="204"/>
        <v>2986128</v>
      </c>
      <c r="HC39" s="86" t="str">
        <f t="shared" si="138"/>
        <v>jul17 jun18</v>
      </c>
      <c r="HD39" s="1">
        <v>53048</v>
      </c>
      <c r="HE39" s="79">
        <f t="shared" si="139"/>
        <v>595749</v>
      </c>
      <c r="HF39" s="86" t="str">
        <f t="shared" si="140"/>
        <v>jul17 jun18</v>
      </c>
      <c r="HG39" s="83">
        <v>169000</v>
      </c>
      <c r="HH39" s="79">
        <f t="shared" si="205"/>
        <v>2059000</v>
      </c>
      <c r="HI39" s="86" t="str">
        <f t="shared" si="142"/>
        <v>jul17 jun18</v>
      </c>
      <c r="HJ39" s="1">
        <f>+(190869*30*12)/1000</f>
        <v>68712.84</v>
      </c>
      <c r="HK39" s="79">
        <f t="shared" si="143"/>
        <v>59893.310400000002</v>
      </c>
      <c r="HL39" s="86" t="str">
        <f t="shared" si="144"/>
        <v>jul17 jun18</v>
      </c>
      <c r="HM39" s="79">
        <f t="shared" si="86"/>
        <v>2118893.3103999998</v>
      </c>
      <c r="HN39" s="87">
        <f t="shared" si="206"/>
        <v>-3.2227248446308643E-2</v>
      </c>
      <c r="HO39" s="1">
        <v>833671340.54216492</v>
      </c>
      <c r="HP39" s="79">
        <f t="shared" si="153"/>
        <v>9978.6250999853091</v>
      </c>
      <c r="HQ39" s="86" t="str">
        <f t="shared" si="145"/>
        <v>jul17 jun18</v>
      </c>
      <c r="HR39" s="3"/>
      <c r="HS39" s="1"/>
      <c r="HT39" s="1"/>
      <c r="HU39" s="83">
        <f t="shared" si="207"/>
        <v>680000</v>
      </c>
      <c r="HV39" s="83" t="str">
        <f t="shared" si="208"/>
        <v>2017-18</v>
      </c>
      <c r="HW39" s="83">
        <v>1350000</v>
      </c>
      <c r="HX39" s="1" t="s">
        <v>6</v>
      </c>
      <c r="HY39" s="1">
        <v>3400000</v>
      </c>
      <c r="HZ39" s="1" t="s">
        <v>6</v>
      </c>
      <c r="IA39" s="1">
        <f t="shared" si="209"/>
        <v>19890000</v>
      </c>
      <c r="IB39" s="1" t="s">
        <v>6</v>
      </c>
      <c r="IC39" s="1">
        <v>41300000</v>
      </c>
      <c r="ID39" s="1" t="s">
        <v>6</v>
      </c>
      <c r="IE39" s="1">
        <f t="shared" si="210"/>
        <v>1550000</v>
      </c>
      <c r="IF39" s="1" t="s">
        <v>6</v>
      </c>
      <c r="IG39" s="1">
        <f t="shared" si="188"/>
        <v>6500000</v>
      </c>
      <c r="IH39" s="1" t="s">
        <v>6</v>
      </c>
      <c r="II39" s="79">
        <f t="shared" si="87"/>
        <v>73990000</v>
      </c>
      <c r="IJ39" s="97">
        <f t="shared" si="167"/>
        <v>1.5629261117125455</v>
      </c>
      <c r="IK39" s="1" t="s">
        <v>6</v>
      </c>
      <c r="IL39" s="7">
        <v>42.71</v>
      </c>
      <c r="IM39" s="7">
        <v>57.69</v>
      </c>
      <c r="IN39" s="7">
        <v>190</v>
      </c>
      <c r="IO39" s="695">
        <v>15.48</v>
      </c>
      <c r="IP39" s="98">
        <f t="shared" si="193"/>
        <v>5.6422028615424455</v>
      </c>
      <c r="IQ39" s="96">
        <v>18.899999999999999</v>
      </c>
      <c r="IR39" s="98">
        <f t="shared" si="194"/>
        <v>5.93</v>
      </c>
      <c r="IS39" s="98">
        <f t="shared" si="194"/>
        <v>5.67</v>
      </c>
      <c r="IT39" s="98">
        <f t="shared" si="194"/>
        <v>11.35</v>
      </c>
      <c r="IU39" s="98">
        <f t="shared" si="194"/>
        <v>0.88</v>
      </c>
      <c r="IV39" s="94">
        <f t="shared" si="89"/>
        <v>17.899999999999999</v>
      </c>
      <c r="IW39" s="84"/>
      <c r="IX39" s="84"/>
      <c r="IY39" s="105">
        <v>1.84</v>
      </c>
      <c r="IZ39" s="161">
        <v>0.3</v>
      </c>
      <c r="JA39" s="83">
        <v>2000</v>
      </c>
      <c r="JB39" s="84">
        <v>37.22</v>
      </c>
      <c r="JC39" s="84"/>
      <c r="JD39" s="84"/>
      <c r="JF39" s="2">
        <v>12.59487073</v>
      </c>
      <c r="JG39" s="2">
        <v>12.703448180000002</v>
      </c>
      <c r="JH39" s="2">
        <v>40.026250529999999</v>
      </c>
      <c r="JI39" s="2">
        <v>72.932403449999995</v>
      </c>
      <c r="JJ39" s="2">
        <v>344.37085227000006</v>
      </c>
      <c r="JK39" s="2">
        <v>43.921119019999999</v>
      </c>
      <c r="JL39" s="2">
        <v>1309.37362224</v>
      </c>
      <c r="JM39" s="2">
        <v>1.1227058000000001</v>
      </c>
      <c r="JN39" s="2">
        <v>109.37541401999999</v>
      </c>
      <c r="JO39" s="2">
        <v>13.665272939999999</v>
      </c>
      <c r="JP39" s="2">
        <v>0</v>
      </c>
      <c r="JQ39" s="2">
        <v>2.4679187000000002</v>
      </c>
      <c r="JR39" s="2">
        <v>0.63118772000000001</v>
      </c>
      <c r="JS39" s="2">
        <v>0</v>
      </c>
      <c r="JT39" s="2">
        <v>0</v>
      </c>
      <c r="JU39" s="2">
        <v>80.959532980000034</v>
      </c>
      <c r="JV39" s="2">
        <v>12.714984429999999</v>
      </c>
      <c r="JW39" s="2">
        <v>18.892008069999999</v>
      </c>
      <c r="JX39" s="2">
        <v>111.58826637999999</v>
      </c>
      <c r="JY39" s="2">
        <v>0</v>
      </c>
      <c r="JZ39" s="2">
        <v>1.00674639</v>
      </c>
      <c r="KA39" s="2">
        <v>8.4619990000000006E-2</v>
      </c>
      <c r="KB39" s="2">
        <v>2.29048951</v>
      </c>
      <c r="KC39" s="2">
        <v>42.380244740000002</v>
      </c>
      <c r="KD39" s="2">
        <v>10.001862440000002</v>
      </c>
      <c r="KE39" s="2">
        <v>17.92230434</v>
      </c>
      <c r="KF39" s="2">
        <v>24.8122647</v>
      </c>
      <c r="KG39" s="2">
        <v>233.57258561</v>
      </c>
      <c r="KH39" s="2">
        <v>52.334974819999992</v>
      </c>
      <c r="KI39" s="2">
        <v>26.853851200000001</v>
      </c>
      <c r="KJ39" s="2">
        <v>1.1151027400000002</v>
      </c>
      <c r="KK39" s="2">
        <v>5.392046259999999</v>
      </c>
      <c r="KL39" s="2">
        <v>0.57983846000000006</v>
      </c>
      <c r="KM39" s="2">
        <v>6.4082672800000005</v>
      </c>
      <c r="KN39" s="2">
        <v>0.14100648000000002</v>
      </c>
      <c r="KO39" s="2">
        <v>3.3184592399999997</v>
      </c>
      <c r="KP39" s="2">
        <v>0</v>
      </c>
      <c r="KQ39" s="2">
        <v>209.40094021000002</v>
      </c>
      <c r="KR39" s="2">
        <v>0</v>
      </c>
      <c r="KS39" s="2">
        <v>0.74642542000000001</v>
      </c>
      <c r="KT39" s="2">
        <v>2.76442056</v>
      </c>
      <c r="KU39" s="2">
        <v>0.43050207000000001</v>
      </c>
      <c r="KV39" s="2">
        <v>0</v>
      </c>
      <c r="KW39" s="2">
        <v>3.2967333100000005</v>
      </c>
      <c r="KX39" s="2">
        <v>0</v>
      </c>
      <c r="KY39" s="2">
        <v>0</v>
      </c>
      <c r="KZ39" s="2">
        <v>0.87792029000000005</v>
      </c>
      <c r="LA39" s="2">
        <v>0.6952371799999999</v>
      </c>
      <c r="LB39" s="2">
        <v>0</v>
      </c>
      <c r="LC39" s="2">
        <v>0</v>
      </c>
      <c r="LD39" s="2">
        <v>0</v>
      </c>
      <c r="LE39" s="2">
        <v>0</v>
      </c>
      <c r="LF39" s="2">
        <v>0</v>
      </c>
      <c r="LG39" s="2">
        <v>19.420166450000004</v>
      </c>
      <c r="LH39" s="2">
        <v>2.01291361</v>
      </c>
      <c r="LI39" s="2">
        <v>0</v>
      </c>
      <c r="LJ39" s="2">
        <v>0</v>
      </c>
      <c r="LK39" s="2">
        <v>3.33528161</v>
      </c>
      <c r="LL39" s="2">
        <v>1.9905471000000001</v>
      </c>
      <c r="LM39" s="2">
        <v>1.7058544900000001</v>
      </c>
      <c r="LN39" s="2">
        <v>0</v>
      </c>
      <c r="LO39" s="2">
        <v>8.9699114699999996</v>
      </c>
      <c r="LQ39" s="85">
        <f t="shared" si="90"/>
        <v>1877.2012483100002</v>
      </c>
      <c r="LR39" s="85">
        <f t="shared" si="91"/>
        <v>3.09910642</v>
      </c>
      <c r="LS39" s="85">
        <f t="shared" si="92"/>
        <v>31.606992499999997</v>
      </c>
      <c r="LT39" s="85">
        <f t="shared" si="93"/>
        <v>1.09136638</v>
      </c>
      <c r="LU39" s="85">
        <f t="shared" si="94"/>
        <v>220.01509863000001</v>
      </c>
      <c r="LV39" s="85">
        <f t="shared" si="95"/>
        <v>3.2967333100000005</v>
      </c>
      <c r="LW39" s="85">
        <f t="shared" si="96"/>
        <v>0.6952371799999999</v>
      </c>
      <c r="LX39" s="85">
        <f t="shared" si="97"/>
        <v>0</v>
      </c>
      <c r="LZ39" s="131">
        <v>28.67</v>
      </c>
      <c r="MA39" s="171">
        <v>25.99</v>
      </c>
      <c r="MB39"/>
      <c r="MC39"/>
      <c r="MD39"/>
      <c r="MF39"/>
      <c r="MG39"/>
      <c r="MH39" s="83">
        <v>55.19</v>
      </c>
      <c r="MI39" s="83">
        <v>20.99</v>
      </c>
      <c r="MJ39" s="83">
        <v>15.41</v>
      </c>
      <c r="MK39"/>
      <c r="ML39" s="83">
        <v>22.54</v>
      </c>
      <c r="MM39" s="83">
        <v>33.67</v>
      </c>
      <c r="MN39" s="83"/>
      <c r="MO39" s="83">
        <v>17.600000000000001</v>
      </c>
      <c r="MP39" s="83">
        <v>46.77</v>
      </c>
      <c r="MQ39" s="83">
        <v>38.299999999999997</v>
      </c>
      <c r="MR39"/>
      <c r="MT39" s="83"/>
      <c r="MU39" s="83">
        <v>23.96</v>
      </c>
      <c r="MV39"/>
      <c r="MW39"/>
      <c r="MX39"/>
      <c r="MY39" s="83">
        <v>41.21</v>
      </c>
      <c r="MZ39" s="83">
        <v>114.5</v>
      </c>
      <c r="NA39" s="83">
        <v>47.31</v>
      </c>
      <c r="NB39" s="83">
        <v>155.41</v>
      </c>
      <c r="NC39" s="83">
        <v>24.58</v>
      </c>
      <c r="ND39"/>
      <c r="NE39" s="1">
        <v>127.7</v>
      </c>
    </row>
    <row r="40" spans="1:369">
      <c r="A40" s="38">
        <f t="shared" si="32"/>
        <v>43282</v>
      </c>
      <c r="B40" s="36">
        <f t="shared" si="198"/>
        <v>7</v>
      </c>
      <c r="C40" s="36">
        <v>2018</v>
      </c>
      <c r="D40" s="36">
        <f t="shared" si="50"/>
        <v>40</v>
      </c>
      <c r="E40" s="38">
        <f t="shared" si="33"/>
        <v>43282</v>
      </c>
      <c r="F40" s="7">
        <v>28.066666666666666</v>
      </c>
      <c r="G40" s="7">
        <v>149.30000000000001</v>
      </c>
      <c r="H40" s="1">
        <f>[2]NACIONALES!$D28</f>
        <v>12939.26</v>
      </c>
      <c r="I40" s="7">
        <v>95</v>
      </c>
      <c r="J40" s="7">
        <v>430</v>
      </c>
      <c r="K40" s="7">
        <v>2.4</v>
      </c>
      <c r="L40" s="7">
        <v>30.2</v>
      </c>
      <c r="N40" s="5">
        <v>1.6268095238095239</v>
      </c>
      <c r="O40" s="5">
        <v>1.4728095238095238</v>
      </c>
      <c r="P40" s="78">
        <f t="shared" si="34"/>
        <v>43.497987301587308</v>
      </c>
      <c r="Q40" s="6">
        <v>530</v>
      </c>
      <c r="R40" s="79">
        <f t="shared" si="35"/>
        <v>5300</v>
      </c>
      <c r="S40" s="6">
        <v>160.47619047619048</v>
      </c>
      <c r="T40" s="6">
        <v>301.95238095238096</v>
      </c>
      <c r="U40" s="143">
        <v>162.50476190476189</v>
      </c>
      <c r="V40" s="6">
        <v>277.647619047619</v>
      </c>
      <c r="W40" s="6">
        <v>127.71428571428571</v>
      </c>
      <c r="X40" s="6">
        <v>194.20952380952383</v>
      </c>
      <c r="Y40" s="79">
        <f t="shared" si="36"/>
        <v>4504.0317460317465</v>
      </c>
      <c r="Z40" s="79">
        <f t="shared" si="37"/>
        <v>8474.7968253968265</v>
      </c>
      <c r="AA40" s="79">
        <f t="shared" si="38"/>
        <v>4560.9669841269833</v>
      </c>
      <c r="AB40" s="79">
        <f t="shared" si="39"/>
        <v>7792.6431746031731</v>
      </c>
      <c r="AC40" s="79">
        <f t="shared" si="40"/>
        <v>3584.5142857142855</v>
      </c>
      <c r="AD40" s="79">
        <f t="shared" si="41"/>
        <v>5450.8139682539686</v>
      </c>
      <c r="AE40" s="79">
        <f t="shared" si="42"/>
        <v>5727.9611640211642</v>
      </c>
      <c r="AF40" s="1">
        <v>20005.150000000001</v>
      </c>
      <c r="AG40" s="1">
        <v>7020</v>
      </c>
      <c r="AH40" s="1">
        <v>26040</v>
      </c>
      <c r="AI40" s="5">
        <v>11.11</v>
      </c>
      <c r="AJ40" s="5">
        <v>6.16</v>
      </c>
      <c r="AK40" s="5">
        <v>7.33</v>
      </c>
      <c r="AL40" s="5">
        <v>6.03</v>
      </c>
      <c r="AM40" s="78">
        <f t="shared" si="43"/>
        <v>8.7100000000000009</v>
      </c>
      <c r="AN40" s="7">
        <v>437.46153846153845</v>
      </c>
      <c r="AO40" s="7">
        <v>313.00333333333339</v>
      </c>
      <c r="AP40" s="78">
        <f t="shared" si="146"/>
        <v>313.00333333333339</v>
      </c>
      <c r="AQ40" s="7">
        <v>227.20238095238096</v>
      </c>
      <c r="AR40" s="7">
        <v>253.8485714285714</v>
      </c>
      <c r="AS40" s="7">
        <v>272.20238095238096</v>
      </c>
      <c r="AT40" s="7">
        <v>251.87000000000006</v>
      </c>
      <c r="AU40" s="78">
        <f t="shared" si="53"/>
        <v>259.30698412698416</v>
      </c>
      <c r="AV40" s="7">
        <v>119.77484848484852</v>
      </c>
      <c r="AW40" s="7">
        <v>305.99238095238098</v>
      </c>
      <c r="AX40" s="7">
        <v>220.41190476190479</v>
      </c>
      <c r="AY40" s="7">
        <v>449.43602941176459</v>
      </c>
      <c r="AZ40" s="7">
        <v>171.55333333333334</v>
      </c>
      <c r="BA40" s="7">
        <v>93.02595238095239</v>
      </c>
      <c r="BB40" s="94">
        <f t="shared" si="45"/>
        <v>250.85650949268597</v>
      </c>
      <c r="BC40" s="68">
        <f t="shared" si="185"/>
        <v>696</v>
      </c>
      <c r="BD40" s="68">
        <f t="shared" si="185"/>
        <v>807</v>
      </c>
      <c r="BE40" s="7">
        <f t="shared" si="185"/>
        <v>690</v>
      </c>
      <c r="BF40" s="7">
        <f t="shared" si="185"/>
        <v>410</v>
      </c>
      <c r="BG40" s="94">
        <f t="shared" si="56"/>
        <v>650.75</v>
      </c>
      <c r="BH40" s="7">
        <v>53.11</v>
      </c>
      <c r="BI40" s="7">
        <f t="shared" si="199"/>
        <v>11.981</v>
      </c>
      <c r="BJ40" s="78">
        <f t="shared" si="57"/>
        <v>65.090999999999994</v>
      </c>
      <c r="BK40" s="7">
        <v>42.741999999999997</v>
      </c>
      <c r="BL40" s="7">
        <v>44.034999999999997</v>
      </c>
      <c r="BM40" s="94">
        <f t="shared" si="58"/>
        <v>43.388499999999993</v>
      </c>
      <c r="BN40" s="5">
        <v>7.12</v>
      </c>
      <c r="BO40" s="5">
        <v>30.57857142857144</v>
      </c>
      <c r="BP40" s="80">
        <v>21.659499999999998</v>
      </c>
      <c r="BQ40" s="94">
        <f t="shared" si="59"/>
        <v>29.686664285714293</v>
      </c>
      <c r="BR40" s="7">
        <v>24.75</v>
      </c>
      <c r="BS40" s="7">
        <v>100</v>
      </c>
      <c r="BT40" s="7">
        <v>137.82</v>
      </c>
      <c r="BU40" s="79">
        <f t="shared" si="147"/>
        <v>1613.46</v>
      </c>
      <c r="BV40" s="7">
        <v>41.1</v>
      </c>
      <c r="BW40" s="7"/>
      <c r="BY40" s="92">
        <f>BY$10*(1+((H40/H$10-1)*costos!$B$5+((I40*F40)/(I$10*F$10)-1)*costos!$E$5+((J40*F40)/((J$10*F$10)-1)*costos!$F$5/3+((K40*F40)/(K$10*F$10)-1)*costos!$F$5/3+((U40*F40)/(U$10*F$10)-1)*costos!$F$5/3+((L40*F40)/(L$10*F$10)-1)*costos!$G$5+((N40*F40)/(N$10*F$10)-1)*costos!$J$5+((V40*F40)/(V$10*F$10)-1)*costos!$K$5)))</f>
        <v>228.95335351478766</v>
      </c>
      <c r="BZ40" s="92">
        <f>$BZ$10*(1+((H40/$H$10-1)*costos!$B$6+((I40*F40)/($I$10*$F$10)-1)*costos!$E$6+((J40*F40)/(($J$10*$F$10)-1)*costos!$F$6/3+((K40*F40)/($K$10*$F$10)-1)*costos!$F$6/3+((U40*F40)/($U$10*$F$10)-1)*costos!$F$6/3+((L40*F40)/($L$10*$F$10)-1)*costos!$G$6+((Q40*F40)/($Q$10*$F$10)-1)*costos!$J$6+((V40*F40)/($V$10*$F$10)-1)*costos!$K$6)))</f>
        <v>210.64535585740504</v>
      </c>
      <c r="CA40" s="92">
        <f>CA$10*(1+((H40/H$10-1)*costos!$B$7+((I40*F40)/(I$10*F$10)-1)*costos!$E$7+((J40*F40)/((J$10*F$10)-1)*costos!$F$7/3+((K40*F40)/(K$10*F$10)-1)*costos!$F$7/3+((U40*F40)/(U$10*F$10)-1)*costos!$F$7/3+((L40*F40)/(L$10*F$10)-1)*costos!$G$7+((S40*F40)/(S$10*F$10)-1)*costos!$J$7+((V40*F40)/(V$10*F$10)-1)*costos!$K$7)))</f>
        <v>220.33481443755898</v>
      </c>
      <c r="CB40" s="92">
        <f>CB$10*(1+((H40/H$10-1)*costos!$B$8+((I40*F40)/(I$10*F$10)-1)*costos!$E$8+((J40*F40)/((J$10*F$10)-1)*costos!$F$8/3+((K40*F40)/(K$10*F$10)-1)*costos!$F$8/3+((U40*F40)/(U$10*F$10)-1)*costos!$F$8/3+((L40*F40)/(L$10*F$10)-1)*costos!$G$8+((T40*F40)/(T$10*F$10)-1)*costos!$J$8+((V40*F40)/(V$10*F$10)-1)*costos!$K$8)))</f>
        <v>222.85022878517776</v>
      </c>
      <c r="CC40" s="92">
        <f>CC$10*(1+((H40/H$10-1)*costos!$B$9+((I40*F40)/(I$10*F$10)-1)*costos!$E$9+((J40*F40)/((J$10*F$10)-1)*costos!$F$9/3+((K40*F40)/(K$10*F$10)-1)*costos!$F$9/3+((U40*F40)/(U$10*F$10)-1)*costos!$F$9/3+((L40*F40)/(L$10*F$10)-1)*costos!$G$9+((U40*F40)/(U$10*F$10)-1)*costos!$J$9+((V40*F40)/(V$10*F$10)-1)*costos!$K$9)))</f>
        <v>219.50037937650566</v>
      </c>
      <c r="CD40" s="92">
        <f>CD$10*(1+((H40/H$10-1)*costos!$B$11+((I40*F40)/(I$10*F$10)-1)*costos!$E$11+((J40*F40)/((J$10*F$10)-1)*costos!$F$11/3+((K40*F40)/(K$10*F$10)-1)*costos!$F$11/3+((U40*F40)/(U$10*F$10)-1)*costos!$F$11/3+((L40*F40)/(L$10*F$10)-1)*costos!$G$11+((V40*F40)/(V$10*F$10)-1)*costos!$J$11+((V40*F40)/(V$10*F$10)-1)*costos!$K$11)))</f>
        <v>229.00087778726589</v>
      </c>
      <c r="CE40" s="92">
        <f>CE$10*(1+((H40/H$10-1)*costos!$B$12+((I40*F40)/(I$10*F$10)-1)*costos!$E$12+((J40*F40)/((J$10*F$10)-1)*costos!$F$12/3+((K40*F40)/(K$10*F$10)-1)*costos!$F$12/3+((U40*F40)/(U$10*F$10)-1)*costos!$F$12/3+((L40*F40)/(L$10*F$10)-1)*costos!$G$12+((W40*F40)/(W$10*F$10)-1)*costos!$J$12+((V40*F40)/(V$10*F$10)-1)*costos!$K$12)))</f>
        <v>202.52906050528713</v>
      </c>
      <c r="CF40" s="92">
        <f>CF$10*(1+((H40/H$10-1)*costos!$B$13+((I40*F40)/(I$10*F$10)-1)*costos!$E$13+((J40*F40)/((J$10*F$10)-1)*costos!$F$13/3+((K40*F40)/(K$10*F$10)-1)*costos!$F$13/3+((U40*F40)/(U$10*F$10)-1)*costos!$F$13/3+((L40*F40)/(L$10*F$10)-1)*costos!$G$13+((X40*F40)/(X$10*F$10)-1)*costos!$J$13+((V40*F40)/(V$10*F$10)-1)*costos!$K$13)))</f>
        <v>231.49894677550904</v>
      </c>
      <c r="CG40" s="92">
        <f t="shared" si="60"/>
        <v>220.95238461121741</v>
      </c>
      <c r="CH40" s="92">
        <f>CH$10*(1+((H40/H$10-1)*costos!$B$10+((I40*F40)/(I$10*F$10)-1)*costos!$E$10+((J40*F40)/((J$10*F$10)-1)*costos!$F$10/3+((K40*F40)/(K$10*F$10)-1)*costos!$F$10/3+((U40*F40)/(U$10*F$10)-1)*costos!$F$10/3+((L40*F40)/(L$10*F$10)-1)*costos!$G$10+((AF40)/(AF$10)-1)*costos!$J$10+((V40*F40)/(V$10*F$10)-1)*costos!$K$10)))</f>
        <v>252.06655023487619</v>
      </c>
      <c r="CI40" s="92">
        <f>CI$10*(1+((H40/H$10-1)*costos!$B$15+((I40*F40)/(I$10*F$10)-1)*costos!$E$15+((J40*F40)/((J$10*F$10)-1)*costos!$F$15/3+((K40*F40)/(K$10*F$10)-1)*costos!$F$15/3+((U40*F40)/(U$10*F$10)-1)*costos!$F$15/3+((L40*F40)/(L$10*F$10)-1)*costos!$G$15+((AV40)/(AV$10)-1)*costos!$J$15+((V40*F40)/(V$10*F$10)-1)*costos!$K$15)))</f>
        <v>203.81375557641528</v>
      </c>
      <c r="CJ40" s="92">
        <f>CJ$10*(1+((H40/H$10-1)*costos!$B$16+((I40*F40)/(I$10*F$10)-1)*costos!$E$16+((J40*F40)/((J$10*F$10)-1)*costos!$F$16/3+((K40*F40)/(K$10*F$10)-1)*costos!$F$16/3+((U40*F40)/(U$10*F$10)-1)*costos!$F$16/3+((L40*F40)/(L$10*F$10)-1)*costos!$G$16+((AW40)/(AW$10)-1)*costos!$J$16+((V40*F40)/(V$10*F$10)-1)*costos!$K$16)))</f>
        <v>178.34332510709737</v>
      </c>
      <c r="CK40" s="92">
        <f>CK$10*(1+((H40/H$10-1)*costos!$B$17+((I40*F40)/(I$10*F$10)-1)*costos!$E$17+((J40*F40)/((J$10*F$10)-1)*costos!$F$17/3+((K40*F40)/(K$10*F$10)-1)*costos!$F$17/3+((U40*F40)/(U$10*F$10)-1)*costos!$F$17/3+((L40*F40)/(L$10*F$10)-1)*costos!$G$17+((AX40)/(AX$10)-1)*costos!$J$17+((V40*F40)/(V$10*F$10)-1)*costos!$K$17)))</f>
        <v>214.8178127826136</v>
      </c>
      <c r="CL40" s="92">
        <f>CL$10*(1+((H40/H$10-1)*costos!$B$18+((I40*F40)/(I$10*F$10)-1)*costos!$E$18+((J40*F40)/((J$10*F$10)-1)*costos!$F$18/3+((K40*F40)/(K$10*F$10)-1)*costos!$F$18/3+((U40*F40)/(U$10*F$10)-1)*costos!$F$18/3+((L40*F40)/(L$10*F$10)-1)*costos!$G$18+((AY40)/(AY$10)-1)*costos!$J$18+((V40*F40)/(V$10*F$10)-1)*costos!$K$18)))</f>
        <v>260.61020196505149</v>
      </c>
      <c r="CM40" s="92">
        <f>CM$10*(1+((H40/H$10-1)*costos!$B$19+((I40*F40)/(I$10*F$10)-1)*costos!$E$19+((J40*F40)/((J$10*F$10)-1)*costos!$F$19/3+((K40*F40)/(K$10*F$10)-1)*costos!$F$19/3+((U40*F40)/(U$10*F$10)-1)*costos!$F$19/3+((L40*F40)/(L$10*F$10)-1)*costos!$G$19+((AZ40)/(AZ$10)-1)*costos!$J$19+((V40*F40)/(V$10*F$10)-1)*costos!$K$19)))</f>
        <v>178.70895993250974</v>
      </c>
      <c r="CN40" s="92">
        <f>CN$10*(1+((H40/H$10-1)*costos!$B$20+((I40*F40)/(I$10*F$10)-1)*costos!$E$20+((J40*F40)/((J$10*F$10)-1)*costos!$F$20/3+((K40*F40)/(K$10*F$10)-1)*costos!$F$20/3+((U40*F40)/(U$10*F$10)-1)*costos!$F$20/3+((L40*F40)/(L$10*F$10)-1)*costos!$G$20+((BA40)/(BA$10)-1)*costos!$J$20+((V40*F40)/(V$10*F$10)-1)*costos!$K$20)))</f>
        <v>172.78682623765602</v>
      </c>
      <c r="CO40" s="92">
        <f t="shared" si="61"/>
        <v>206.7309502294577</v>
      </c>
      <c r="CP40" s="92">
        <f>CP$10*(1+((H40/H$10-1)*costos!$B$22+((I40*F40)/(I$10*F$10)-1)*costos!$E$22+((J40*F40)/((J$10*F$10)-1)*costos!$F$22/3+((K40*F40)/(K$10*F$10)-1)*costos!$F$22/3+((U40*F40)/(U$10*F$10)-1)*costos!$F$22/3+((L40*F40)/(L$10*F$10)-1)*costos!$G$22+(((AVERAGE(AI40:AL40))/((AVERAGE(AI$10:AL$10))-1)*costos!$J$22+((V40*F40)/(V$10*F$10)-1)*costos!$K$22)))))</f>
        <v>228.44177417720996</v>
      </c>
      <c r="CQ40" s="92">
        <f>CQ$10*(1+((H40/H$10-1)*costos!$B$23+((I40*F40)/(I$10*F$10)-1)*costos!$E$23+((J40*F40)/((J$10*F$10)-1)*costos!$F$23/3+((K40*F40)/(K$10*F$10)-1)*costos!$F$23/3+((U40*F40)/(U$10*F$10)-1)*costos!$F$23/3+((L40*F40)/(L$10*F$10)-1)*costos!$G$23+((AN40)/(AN$10)-1)*costos!$J$23+((V40*F40)/(V$10*F$10)-1)*costos!$K$23)))</f>
        <v>179.72766835909334</v>
      </c>
      <c r="CR40" s="92">
        <f>CR$10*(1+((H40/H$10-1)*costos!$B$24+((I40*F40)/(I$10*F$10)-1)*costos!$E$24+((J40*F40)/((J$10*F$10)-1)*costos!$F$24/3+((K40*F40)/(K$10*F$10)-1)*costos!$F$24/3+((U40*F40)/(U$10*F$10)-1)*costos!$F$24/3+((L40*F40)/(L$10*F$10)-1)*costos!$G$24+((AO40)/(AO$10)-1)*costos!$J$24+((V40*F40)/(V$10*F$10)-1)*costos!$K$24)))</f>
        <v>183.97640720684652</v>
      </c>
      <c r="CS40" s="92">
        <f t="shared" si="62"/>
        <v>181.85203778296994</v>
      </c>
      <c r="CT40" s="92">
        <f>CT$10*(1+((H40/H$10-1)*costos!$B$25+((I40*F40)/(I$10*F$10)-1)*costos!$E$25+((J40*F40)/((J$10*F$10)-1)*costos!$F$25/3+((K40*F40)/(K$10*F$10)-1)*costos!$F$25/3+((U40*F40)/(U$10*F$10)-1)*costos!$F$25/3+((L40*F40)/(L$10*F$10)-1)*costos!$G$25+((AQ40)/(AQ$10)-1)*costos!$J$25+((V40*F40)/(V$10*F$10)-1)*costos!$K$25)))</f>
        <v>179.13054052584454</v>
      </c>
      <c r="CU40" s="92">
        <f>CU$10*(1+((H40/H$10-1)*costos!$B$26+((I40*F40)/(I$10*F$10)-1)*costos!$E$26+((J40*F40)/((J$10*F$10)-1)*costos!$F$26/3+((K40*F40)/(K$10*F$10)-1)*costos!$F$26/3+((U40*F40)/(U$10*F$10)-1)*costos!$F$26/3+((L40*F40)/(L$10*F$10)-1)*costos!$G$26+((AR40)/(AR$10)-1)*costos!$J$26+((V40*F40)/(V$10*F$10)-1)*costos!$K$26)))</f>
        <v>188.65919450114799</v>
      </c>
      <c r="CV40" s="92">
        <f>CV$10*(1+((H40/H$10-1)*costos!$B$27+((I40*F40)/(I$10*F$10)-1)*costos!$E$27+((J40*F40)/((J$10*F$10)-1)*costos!$F$27/3+((K40*F40)/(K$10*F$10)-1)*costos!$F$27/3+((U40*F40)/(U$10*F$10)-1)*costos!$F$27/3+((L40*F40)/(L$10*F$10)-1)*costos!$G$27+((AS40)/(AS$10)-1)*costos!$J$27+((V40*F40)/(V$10*F$10)-1)*costos!$K$27)))</f>
        <v>189.58791840787211</v>
      </c>
      <c r="CW40" s="92">
        <f>CW$10*(1+((H40/H$10-1)*costos!$B$28+((I40*F40)/(I$10*F$10)-1)*costos!$E$28+((J40*F40)/((J$10*F$10)-1)*costos!$F$28/3+((K40*F40)/(K$10*F$10)-1)*costos!$F$28/3+((U40*F40)/(U$10*F$10)-1)*costos!$F$28/3+((L40*F40)/(L$10*F$10)-1)*costos!$G$28+((AS40)/(AS$10)-1)*costos!$J$28+((V40*F40)/(V$10*F$10)-1)*costos!$K$28)))</f>
        <v>189.58791840787211</v>
      </c>
      <c r="CX40" s="92">
        <f t="shared" si="63"/>
        <v>189.27834377229738</v>
      </c>
      <c r="CY40" s="92">
        <f>CY$10*(1+((H40/H$10-1)*costos!$B$32+((I40*F40)/(I$10*F$10)-1)*costos!$E$32+((J40*F40)/((J$10*F$10)-1)*costos!$F$32/3+((K40*F40)/(K$10*F$10)-1)*costos!$F$32/3+((U40*F40)/(U$10*F$10)-1)*costos!$F$32/3+((L40*F40)/(L$10*F$10)-1)*costos!$G$32+((AG40)/(AG$10)-1)*costos!$J$32+((V40*F40)/(V$10*F$10)-1)*costos!$K$32)))</f>
        <v>177.91306757855332</v>
      </c>
      <c r="CZ40" s="69">
        <f>CZ$10*(1+((H40/H$10-1)*costos!$B$31+((I40*F40)/(I$10*F$10)-1)*costos!$E$30+((J40*F40)/((J$10*F$10)-1)*costos!$F$30/3+((K40*F40)/(K$10*F$10)-1)*costos!$F$30/3+((U40*F40)/(U$10*F$10)-1)*costos!$F$30/3+((L40*F40)/(L$10*F$10)-1)*costos!$G$30+((BG40)/(BG$10)-1)*costos!$J$30+((V40*F40)/(V$10*F$10)-1)*costos!$K$30)))</f>
        <v>206.76260277311764</v>
      </c>
      <c r="DA40" s="69">
        <f>DA$10*(1+((H40/H$10-1)*costos!$B$31+((I40*F40)/(I$10*F$10)-1)*costos!$E$31+((J40*F40)/((J$10*F$10)-1)*costos!$F$31/3+((K40*F40)/(K$10*F$10)-1)*costos!$F$31/3+((U40*F40)/(U$10*F$10)-1)*costos!$F$31/3+((L40*F40)/(L$10*F$10)-1)*costos!$G$31+((BJ40)/(BJ$10)-1)*costos!$J$31+((V40*F40)/(V$10*F$10)-1)*costos!$K$31)))</f>
        <v>181.96314370931438</v>
      </c>
      <c r="DB40" s="69">
        <f>DB$10*(1+((H40/H$10-1)*costos!$B$36+((I40*F40)/(I$10*F$10)-1)*costos!$E$36+((J40*F40)/((J$10*F$10)-1)*costos!$F$36/3+((K40*F40)/(K$10*F$10)-1)*costos!$F$36/3+((U40*F40)/(U$10*F$10)-1)*costos!$F$36/3+((L40*F40)/(L$10*F$10)-1)*costos!$G$36+((BK40)/(BK$10)-1)*costos!$J$36+((V40*F40)/(V$10*F$10)-1)*costos!$K$36)))</f>
        <v>190.25679311111779</v>
      </c>
      <c r="DC40" s="69">
        <f>DC$10*(1+((H40/H$10-1)*costos!$B$37+((I40*F40)/(I$10*F$10)-1)*costos!$E$37+((U40*F40)/(U$10*F$10)-1)*costos!$F$37+((L40*F40)/(L$10*F$10)-1)*costos!$G$37+((BN40)/(BN$10)-1)*costos!$J$37+((V40*F40)/(V$10*F$10)-1)*costos!$K$37))</f>
        <v>215.67447534781729</v>
      </c>
      <c r="DD40" s="69">
        <f>DD$10*(1+((H40/H$10-1)*costos!$B$39+((I40*F40)/(I$10*F$10)-1)*costos!$E$39+((U40*F40)/(U$10*F$10)-1)*costos!$F$39+((L40*F40)/(L$10*F$10)-1)*costos!$G$39+((BR40)/(BR$10)-1)*costos!$J$39+((V40*F40)/(V$10*F$10)-1)*costos!$K$39))</f>
        <v>210.6793741927242</v>
      </c>
      <c r="DE40" s="69">
        <f>DD$10*(1+((H40/H$10-1)*costos!$B$35+((I40*F40)/(I$10*F$10)-1)*costos!$E$35+((U40*F40)/(U$10*F$10)-1)*costos!$F$35+((L40*F40)/(L$10*F$10)-1)*costos!$G$35+((BR40)/(BR$10)-1)*costos!$J$35+((V40*F40)/(V$10*F$10)-1)*costos!$K$35))</f>
        <v>198.27231699205262</v>
      </c>
      <c r="DF40" s="69">
        <f>DF$10*(1+((H40/H$10-1)*costos!$B$40+((I40*F40)/(I$10*F$10)-1)*costos!$E$40+((U40*F40)/(U$10*F$10)-1)*costos!$F$40+((L40*F40)/(L$10*F$10)-1)*costos!$G$40+((BP40)/(BP$10)-1)*costos!$J$40+((V40*F40)/(V$10*F$10)-1)*costos!$K$40))</f>
        <v>217.081789716103</v>
      </c>
      <c r="DG40" s="92">
        <f t="shared" si="64"/>
        <v>207.67705335407783</v>
      </c>
      <c r="DH40" s="69">
        <f>DH$10*(1+((H40/H$10-1)*costos!$B$34+((I40*F40)/(I$10*F$10)-1)*costos!$E$34+((J40*F40)/((J$10*F$10)-1)*costos!$F$34/3+((K40*F40)/(K$10*F$10)-1)*costos!$F$34/3+((U40*F40)/(U$10*F$10)-1)*costos!$F$34/3+((L40*F40)/(L$10*F$10)-1)*costos!$G$34+((BV40)/(BV$10)-1)*costos!$J$34+((V40*F40)/(V$10*F$10)-1)*costos!$K$34)))</f>
        <v>188.00653487793204</v>
      </c>
      <c r="DI40" s="69">
        <f>DI$10*(1+((H40/H$10-1)*costos!$B$38+((I40*F40)/(I$10*F$10)-1)*costos!$E$38+((J40*F40)/((J$10*F$10)-1)*costos!$F$38/3+((K40*F40)/(K$10*F$10)-1)*costos!$F$38/3+((U40*F40)/(U$10*F$10)-1)*costos!$F$38/3+((L40*F40)/(L$10*F$10)-1)*costos!$G$38+((BU40)/(BU$10)-1)*costos!$J$38+((V40*F40)/(V$10*F$10)-1)*costos!$K$38)))</f>
        <v>182.61713420699454</v>
      </c>
      <c r="DK40" s="1">
        <v>327000</v>
      </c>
      <c r="DL40" s="1" t="str">
        <f>+DL37</f>
        <v>2017-18</v>
      </c>
      <c r="DM40" s="1">
        <v>202000</v>
      </c>
      <c r="DN40" s="1" t="str">
        <f t="shared" si="195"/>
        <v>2016-17</v>
      </c>
      <c r="DO40" s="1">
        <v>1080000</v>
      </c>
      <c r="DP40" s="1" t="str">
        <f>+DP43</f>
        <v>2018-19</v>
      </c>
      <c r="DQ40" s="1">
        <v>1700000</v>
      </c>
      <c r="DR40" s="1" t="str">
        <f>+DR39</f>
        <v>2017-18</v>
      </c>
      <c r="DS40" s="1">
        <v>5400000</v>
      </c>
      <c r="DT40" s="1" t="str">
        <f>+DT41</f>
        <v>2017-18</v>
      </c>
      <c r="DU40" s="1">
        <v>17100000</v>
      </c>
      <c r="DV40" s="1" t="str">
        <f>+DV39</f>
        <v>2017-18</v>
      </c>
      <c r="DW40" s="1">
        <v>640000</v>
      </c>
      <c r="DX40" s="1" t="str">
        <f>+DX39</f>
        <v>2017-18</v>
      </c>
      <c r="DY40" s="1">
        <v>6290000</v>
      </c>
      <c r="DZ40" s="1" t="str">
        <f t="shared" si="211"/>
        <v>2018-19</v>
      </c>
      <c r="EA40" s="79">
        <f t="shared" si="67"/>
        <v>32210000</v>
      </c>
      <c r="EB40" s="1">
        <v>490000</v>
      </c>
      <c r="EC40" s="1" t="str">
        <f t="shared" si="212"/>
        <v>2017-18</v>
      </c>
      <c r="ED40" s="83">
        <v>169595</v>
      </c>
      <c r="EE40" s="143">
        <v>2018</v>
      </c>
      <c r="EF40" s="1">
        <f t="shared" si="121"/>
        <v>218233</v>
      </c>
      <c r="EG40" s="6">
        <f t="shared" si="122"/>
        <v>2018</v>
      </c>
      <c r="EH40" s="83">
        <v>54793181</v>
      </c>
      <c r="EI40" s="6">
        <v>2018</v>
      </c>
      <c r="EJ40" s="83">
        <f t="shared" si="200"/>
        <v>5291453</v>
      </c>
      <c r="EK40" s="143">
        <f t="shared" si="200"/>
        <v>2018</v>
      </c>
      <c r="EL40" s="1">
        <v>14339908</v>
      </c>
      <c r="EM40" s="6">
        <v>2018</v>
      </c>
      <c r="EN40" s="82">
        <f t="shared" si="201"/>
        <v>3364725</v>
      </c>
      <c r="EO40" s="144">
        <f t="shared" si="201"/>
        <v>2017</v>
      </c>
      <c r="EP40" s="82">
        <f t="shared" si="118"/>
        <v>6552</v>
      </c>
      <c r="EQ40" s="83">
        <f t="shared" si="100"/>
        <v>3003036</v>
      </c>
      <c r="ER40" s="1">
        <f t="shared" si="189"/>
        <v>33739</v>
      </c>
      <c r="ES40" s="1"/>
      <c r="ET40" s="83">
        <f t="shared" si="101"/>
        <v>22340</v>
      </c>
      <c r="EU40" s="83">
        <f t="shared" si="101"/>
        <v>17224</v>
      </c>
      <c r="EV40" s="83">
        <f t="shared" si="101"/>
        <v>9128</v>
      </c>
      <c r="EW40" s="83">
        <f t="shared" si="101"/>
        <v>17414</v>
      </c>
      <c r="EX40" s="79">
        <f t="shared" si="72"/>
        <v>66106</v>
      </c>
      <c r="EY40" s="83">
        <f t="shared" si="123"/>
        <v>19463</v>
      </c>
      <c r="EZ40" s="82">
        <f t="shared" si="123"/>
        <v>74231</v>
      </c>
      <c r="FA40" s="82">
        <f t="shared" si="103"/>
        <v>24553</v>
      </c>
      <c r="FB40" s="82">
        <f t="shared" si="103"/>
        <v>23958</v>
      </c>
      <c r="FC40" s="79">
        <f t="shared" si="73"/>
        <v>48511</v>
      </c>
      <c r="FD40" s="83">
        <f t="shared" si="158"/>
        <v>66959.290000000008</v>
      </c>
      <c r="FE40" s="1"/>
      <c r="FF40" s="1">
        <v>814000</v>
      </c>
      <c r="FG40" s="1" t="str">
        <f>+FG39</f>
        <v>2017-18</v>
      </c>
      <c r="FH40" s="1">
        <v>1370000</v>
      </c>
      <c r="FI40" s="1" t="str">
        <f t="shared" si="213"/>
        <v>2017-18</v>
      </c>
      <c r="FJ40" s="1">
        <v>3740000</v>
      </c>
      <c r="FK40" s="1" t="str">
        <f t="shared" si="202"/>
        <v>2017-18</v>
      </c>
      <c r="FL40" s="1">
        <v>3500000</v>
      </c>
      <c r="FM40" s="1" t="str">
        <f t="shared" si="203"/>
        <v>2017-18</v>
      </c>
      <c r="FN40" s="1">
        <v>31000000</v>
      </c>
      <c r="FO40" s="1" t="str">
        <f>+FO35</f>
        <v>2017-18</v>
      </c>
      <c r="FP40" s="1">
        <v>37780000</v>
      </c>
      <c r="FQ40" s="1" t="s">
        <v>6</v>
      </c>
      <c r="FR40" s="1">
        <v>1550000</v>
      </c>
      <c r="FS40" s="1" t="str">
        <f t="shared" si="214"/>
        <v>2017-18</v>
      </c>
      <c r="FT40" s="1">
        <v>18520000</v>
      </c>
      <c r="FU40" s="1" t="str">
        <f t="shared" si="196"/>
        <v>2017-18</v>
      </c>
      <c r="FV40" s="79">
        <f t="shared" si="76"/>
        <v>96090000</v>
      </c>
      <c r="FW40" s="1">
        <v>950000</v>
      </c>
      <c r="FX40" s="1" t="str">
        <f>+FX39</f>
        <v>2017-18</v>
      </c>
      <c r="FY40" s="1">
        <v>130170.33199999999</v>
      </c>
      <c r="FZ40" s="79">
        <f t="shared" si="135"/>
        <v>771716.38100000005</v>
      </c>
      <c r="GA40" s="86" t="str">
        <f t="shared" si="136"/>
        <v>ago17 jul18</v>
      </c>
      <c r="GB40" s="1">
        <v>25733114</v>
      </c>
      <c r="GC40" s="6">
        <v>2018</v>
      </c>
      <c r="GD40" s="83">
        <f t="shared" si="165"/>
        <v>1989400</v>
      </c>
      <c r="GE40" s="83">
        <f t="shared" si="190"/>
        <v>431374</v>
      </c>
      <c r="GF40" s="83">
        <f t="shared" si="197"/>
        <v>1006779</v>
      </c>
      <c r="GG40" s="83">
        <f t="shared" si="166"/>
        <v>114118</v>
      </c>
      <c r="GH40" s="79">
        <f t="shared" si="78"/>
        <v>1552271</v>
      </c>
      <c r="GI40" s="82">
        <f t="shared" si="79"/>
        <v>1302556</v>
      </c>
      <c r="GJ40" s="83">
        <f t="shared" si="215"/>
        <v>685541.2</v>
      </c>
      <c r="GK40" s="83">
        <f t="shared" si="216"/>
        <v>1103042.8600000001</v>
      </c>
      <c r="GL40" s="83">
        <f t="shared" si="217"/>
        <v>287064.67</v>
      </c>
      <c r="GM40" s="83">
        <f t="shared" si="218"/>
        <v>260870.73</v>
      </c>
      <c r="GN40" s="79">
        <f t="shared" si="81"/>
        <v>2336519.46</v>
      </c>
      <c r="GO40" s="83">
        <f t="shared" si="107"/>
        <v>195071</v>
      </c>
      <c r="GP40" s="83">
        <f t="shared" si="107"/>
        <v>79468</v>
      </c>
      <c r="GQ40" s="83">
        <v>17983</v>
      </c>
      <c r="GR40" s="1">
        <f t="shared" si="191"/>
        <v>42800</v>
      </c>
      <c r="GS40" s="79">
        <f t="shared" si="192"/>
        <v>43339.49</v>
      </c>
      <c r="GT40" s="83">
        <f t="shared" si="108"/>
        <v>2483769</v>
      </c>
      <c r="GU40" s="1">
        <v>25435</v>
      </c>
      <c r="GV40" s="1">
        <v>30945</v>
      </c>
      <c r="GW40" s="79">
        <f t="shared" si="151"/>
        <v>1027641</v>
      </c>
      <c r="GX40" s="1">
        <v>26114.056</v>
      </c>
      <c r="GY40" s="1" t="s">
        <v>327</v>
      </c>
      <c r="GZ40" s="1">
        <v>104093.27099999999</v>
      </c>
      <c r="HA40" s="1">
        <v>251738</v>
      </c>
      <c r="HB40" s="79">
        <f t="shared" si="204"/>
        <v>3002866</v>
      </c>
      <c r="HC40" s="86" t="str">
        <f t="shared" si="138"/>
        <v>ago17 jul18</v>
      </c>
      <c r="HD40" s="1">
        <v>56727</v>
      </c>
      <c r="HE40" s="79">
        <f t="shared" si="139"/>
        <v>601643</v>
      </c>
      <c r="HF40" s="86" t="str">
        <f t="shared" si="140"/>
        <v>ago17 jul18</v>
      </c>
      <c r="HG40" s="83">
        <v>182000</v>
      </c>
      <c r="HH40" s="79">
        <f t="shared" si="205"/>
        <v>2058000</v>
      </c>
      <c r="HI40" s="86" t="str">
        <f t="shared" si="142"/>
        <v>ago17 jul18</v>
      </c>
      <c r="HJ40" s="1">
        <f>+(254443*30*12)/1000</f>
        <v>91599.48</v>
      </c>
      <c r="HK40" s="79">
        <f t="shared" si="143"/>
        <v>60596.179199999999</v>
      </c>
      <c r="HL40" s="86" t="str">
        <f t="shared" si="144"/>
        <v>ago17 jul18</v>
      </c>
      <c r="HM40" s="79">
        <f t="shared" si="86"/>
        <v>2118596.1792000001</v>
      </c>
      <c r="HN40" s="87">
        <f t="shared" si="206"/>
        <v>9.6438136899216875E-2</v>
      </c>
      <c r="HO40" s="1">
        <v>897000000</v>
      </c>
      <c r="HP40" s="79">
        <f t="shared" si="153"/>
        <v>10057.521488105516</v>
      </c>
      <c r="HQ40" s="86" t="str">
        <f t="shared" si="145"/>
        <v>ago17 jul18</v>
      </c>
      <c r="HR40" s="3"/>
      <c r="HS40" s="1"/>
      <c r="HT40" s="1"/>
      <c r="HU40" s="83">
        <f t="shared" si="207"/>
        <v>680000</v>
      </c>
      <c r="HV40" s="83" t="str">
        <f t="shared" si="208"/>
        <v>2017-18</v>
      </c>
      <c r="HW40" s="83">
        <v>1350000</v>
      </c>
      <c r="HX40" s="1" t="s">
        <v>6</v>
      </c>
      <c r="HY40" s="1">
        <v>3400000</v>
      </c>
      <c r="HZ40" s="1" t="s">
        <v>6</v>
      </c>
      <c r="IA40" s="1">
        <f t="shared" si="209"/>
        <v>19890000</v>
      </c>
      <c r="IB40" s="1" t="s">
        <v>6</v>
      </c>
      <c r="IC40" s="1">
        <v>41300000</v>
      </c>
      <c r="ID40" s="1" t="s">
        <v>6</v>
      </c>
      <c r="IE40" s="1">
        <f t="shared" si="210"/>
        <v>1550000</v>
      </c>
      <c r="IF40" s="1" t="s">
        <v>6</v>
      </c>
      <c r="IG40" s="1">
        <f t="shared" si="188"/>
        <v>6500000</v>
      </c>
      <c r="IH40" s="1" t="s">
        <v>6</v>
      </c>
      <c r="II40" s="79">
        <f t="shared" si="87"/>
        <v>73990000</v>
      </c>
      <c r="IJ40" s="97">
        <f t="shared" si="167"/>
        <v>1.5629261117125455</v>
      </c>
      <c r="IK40" s="1" t="s">
        <v>6</v>
      </c>
      <c r="IL40" s="7">
        <v>44.02</v>
      </c>
      <c r="IM40" s="7">
        <v>56.58</v>
      </c>
      <c r="IN40" s="7">
        <v>190</v>
      </c>
      <c r="IO40" s="695">
        <v>15.48</v>
      </c>
      <c r="IP40" s="98">
        <f t="shared" si="193"/>
        <v>5.6422028615424455</v>
      </c>
      <c r="IQ40" s="96">
        <v>18.899999999999999</v>
      </c>
      <c r="IR40" s="98">
        <f t="shared" si="194"/>
        <v>5.93</v>
      </c>
      <c r="IS40" s="98">
        <f t="shared" si="194"/>
        <v>5.67</v>
      </c>
      <c r="IT40" s="98">
        <f t="shared" si="194"/>
        <v>11.35</v>
      </c>
      <c r="IU40" s="98">
        <f t="shared" si="194"/>
        <v>0.88</v>
      </c>
      <c r="IV40" s="94">
        <f t="shared" si="89"/>
        <v>17.899999999999999</v>
      </c>
      <c r="IW40" s="84"/>
      <c r="IX40" s="84"/>
      <c r="IY40" s="105">
        <v>1.84</v>
      </c>
      <c r="IZ40" s="161">
        <v>0.3</v>
      </c>
      <c r="JA40" s="83">
        <v>1500</v>
      </c>
      <c r="JB40" s="84">
        <v>37.22</v>
      </c>
      <c r="JC40" s="84"/>
      <c r="JD40" s="84"/>
      <c r="JE40" s="1"/>
      <c r="JF40" s="2">
        <v>14.65363767</v>
      </c>
      <c r="JG40" s="2">
        <v>19.226845319999999</v>
      </c>
      <c r="JH40" s="2">
        <v>13.4616676</v>
      </c>
      <c r="JI40" s="2">
        <v>65.802685370000006</v>
      </c>
      <c r="JJ40" s="2">
        <v>471.40126767000004</v>
      </c>
      <c r="JK40" s="2">
        <v>67.279610200000008</v>
      </c>
      <c r="JL40" s="2">
        <v>1082.6873518099999</v>
      </c>
      <c r="JM40" s="2">
        <v>0</v>
      </c>
      <c r="JN40" s="2">
        <v>144.40349158000001</v>
      </c>
      <c r="JO40" s="2">
        <v>14.72614216</v>
      </c>
      <c r="JP40" s="2">
        <v>0</v>
      </c>
      <c r="JQ40" s="2">
        <v>1.1129999999999999E-2</v>
      </c>
      <c r="JR40" s="2">
        <v>1.0183245400000001</v>
      </c>
      <c r="JS40" s="2">
        <v>0</v>
      </c>
      <c r="JT40" s="2">
        <v>1.3310000000000001E-2</v>
      </c>
      <c r="JU40" s="2">
        <v>95.917048489999999</v>
      </c>
      <c r="JV40" s="2">
        <v>12.38969331</v>
      </c>
      <c r="JW40" s="2">
        <v>13.186467599999999</v>
      </c>
      <c r="JX40" s="2">
        <v>106.57169702000003</v>
      </c>
      <c r="JY40" s="2">
        <v>0</v>
      </c>
      <c r="JZ40" s="2">
        <v>7.2563735100000004</v>
      </c>
      <c r="KA40" s="2">
        <v>1.157103</v>
      </c>
      <c r="KB40" s="2">
        <v>2.1542159399999998</v>
      </c>
      <c r="KC40" s="2">
        <v>30.940614979999999</v>
      </c>
      <c r="KD40" s="2">
        <v>12.222206610000001</v>
      </c>
      <c r="KE40" s="2">
        <v>17.063951339999999</v>
      </c>
      <c r="KF40" s="2">
        <v>31.387150389999995</v>
      </c>
      <c r="KG40" s="2">
        <v>274.51585945000005</v>
      </c>
      <c r="KH40" s="2">
        <v>63.449567550000012</v>
      </c>
      <c r="KI40" s="2">
        <v>17.662654320000001</v>
      </c>
      <c r="KJ40" s="2">
        <v>2.5793409600000006</v>
      </c>
      <c r="KK40" s="2">
        <v>8.6490661499999977</v>
      </c>
      <c r="KL40" s="2">
        <v>0.10634368</v>
      </c>
      <c r="KM40" s="2">
        <v>3.8970931800000006</v>
      </c>
      <c r="KN40" s="2">
        <v>0</v>
      </c>
      <c r="KO40" s="2">
        <v>3.0677741699999999</v>
      </c>
      <c r="KP40" s="2">
        <v>0</v>
      </c>
      <c r="KQ40" s="2">
        <v>154.42892312000001</v>
      </c>
      <c r="KR40" s="2">
        <v>0</v>
      </c>
      <c r="KS40" s="2">
        <v>0</v>
      </c>
      <c r="KT40" s="2">
        <v>6.0756478300000003</v>
      </c>
      <c r="KU40" s="2">
        <v>0.33618888000000002</v>
      </c>
      <c r="KV40" s="2">
        <v>0.14222101000000001</v>
      </c>
      <c r="KW40" s="2">
        <v>4.2652467999999999</v>
      </c>
      <c r="KX40" s="2">
        <v>0</v>
      </c>
      <c r="KY40" s="2">
        <v>0</v>
      </c>
      <c r="KZ40" s="2">
        <v>0.86803549000000002</v>
      </c>
      <c r="LA40" s="2">
        <v>0.61021163</v>
      </c>
      <c r="LB40" s="2">
        <v>0</v>
      </c>
      <c r="LC40" s="2">
        <v>0</v>
      </c>
      <c r="LD40" s="2">
        <v>0</v>
      </c>
      <c r="LE40" s="2">
        <v>0.94088393000000003</v>
      </c>
      <c r="LF40" s="2">
        <v>0</v>
      </c>
      <c r="LG40" s="2">
        <v>20.69679824</v>
      </c>
      <c r="LH40" s="2">
        <v>2.2162469199999997</v>
      </c>
      <c r="LI40" s="2">
        <v>0</v>
      </c>
      <c r="LJ40" s="2">
        <v>0</v>
      </c>
      <c r="LK40" s="2">
        <v>2.2333033499999999</v>
      </c>
      <c r="LL40" s="2">
        <v>2.00568138</v>
      </c>
      <c r="LM40" s="2">
        <v>1.40115324</v>
      </c>
      <c r="LN40" s="2">
        <v>0</v>
      </c>
      <c r="LO40" s="2">
        <v>6.891911509999999</v>
      </c>
      <c r="LQ40" s="85">
        <f t="shared" si="90"/>
        <v>1777.75646403</v>
      </c>
      <c r="LR40" s="85">
        <f t="shared" si="91"/>
        <v>1.0427645400000001</v>
      </c>
      <c r="LS40" s="85">
        <f t="shared" si="92"/>
        <v>25.576160909999999</v>
      </c>
      <c r="LT40" s="85">
        <f t="shared" si="93"/>
        <v>8.4134765100000006</v>
      </c>
      <c r="LU40" s="85">
        <f t="shared" si="94"/>
        <v>161.39379047</v>
      </c>
      <c r="LV40" s="85">
        <f t="shared" si="95"/>
        <v>4.40746781</v>
      </c>
      <c r="LW40" s="85">
        <f t="shared" si="96"/>
        <v>0.61021163</v>
      </c>
      <c r="LX40" s="85">
        <f t="shared" si="97"/>
        <v>0.94088393000000003</v>
      </c>
      <c r="LZ40" s="131">
        <v>30.51</v>
      </c>
      <c r="MA40" s="171">
        <v>26.82</v>
      </c>
      <c r="MB40"/>
      <c r="MC40"/>
      <c r="MD40"/>
      <c r="MF40"/>
      <c r="MG40"/>
      <c r="MH40" s="83">
        <v>57.05</v>
      </c>
      <c r="MI40" s="83">
        <v>23.35</v>
      </c>
      <c r="MJ40" s="83">
        <v>15.81</v>
      </c>
      <c r="MK40"/>
      <c r="ML40" s="83">
        <v>24.21</v>
      </c>
      <c r="MM40" s="83">
        <v>46.48</v>
      </c>
      <c r="MN40" s="83"/>
      <c r="MO40" s="83">
        <v>18.45</v>
      </c>
      <c r="MP40" s="83">
        <v>46.15</v>
      </c>
      <c r="MQ40" s="83">
        <v>38.229999999999997</v>
      </c>
      <c r="MR40"/>
      <c r="MT40" s="83"/>
      <c r="MU40" s="83">
        <v>22.18</v>
      </c>
      <c r="MV40"/>
      <c r="MW40"/>
      <c r="MX40"/>
      <c r="MY40" s="83">
        <v>43.49</v>
      </c>
      <c r="MZ40" s="83">
        <v>122.1</v>
      </c>
      <c r="NA40" s="83">
        <v>47.35</v>
      </c>
      <c r="NB40" s="83">
        <v>157.04</v>
      </c>
      <c r="NC40" s="83">
        <v>24.84</v>
      </c>
      <c r="ND40"/>
      <c r="NE40" s="1">
        <v>130.13</v>
      </c>
    </row>
    <row r="41" spans="1:369">
      <c r="A41" s="38">
        <f t="shared" si="32"/>
        <v>43313</v>
      </c>
      <c r="B41" s="36">
        <f t="shared" si="198"/>
        <v>8</v>
      </c>
      <c r="C41" s="36">
        <v>2018</v>
      </c>
      <c r="D41" s="36">
        <f t="shared" si="50"/>
        <v>41</v>
      </c>
      <c r="E41" s="38">
        <f t="shared" si="33"/>
        <v>43313</v>
      </c>
      <c r="F41" s="7">
        <v>30.668181818181822</v>
      </c>
      <c r="G41" s="7">
        <v>155.1</v>
      </c>
      <c r="H41" s="1">
        <f>[2]NACIONALES!$D29</f>
        <v>15268.33</v>
      </c>
      <c r="I41" s="7">
        <v>99</v>
      </c>
      <c r="J41" s="7">
        <v>430</v>
      </c>
      <c r="K41" s="7">
        <v>2.4</v>
      </c>
      <c r="L41" s="7">
        <v>30.6</v>
      </c>
      <c r="N41" s="5">
        <v>1.629</v>
      </c>
      <c r="O41" s="5">
        <v>1.4750000000000001</v>
      </c>
      <c r="P41" s="78">
        <f t="shared" si="34"/>
        <v>47.597018181818186</v>
      </c>
      <c r="Q41" s="6">
        <v>560</v>
      </c>
      <c r="R41" s="79">
        <f t="shared" si="35"/>
        <v>5600</v>
      </c>
      <c r="S41" s="6">
        <v>186.36363636363637</v>
      </c>
      <c r="T41" s="6">
        <v>299.45454545454544</v>
      </c>
      <c r="U41" s="143">
        <v>165.39545454545458</v>
      </c>
      <c r="V41" s="6">
        <v>271.54090909090911</v>
      </c>
      <c r="W41" s="6">
        <v>127.86363636363636</v>
      </c>
      <c r="X41" s="6">
        <v>217.82727272727277</v>
      </c>
      <c r="Y41" s="79">
        <f t="shared" si="36"/>
        <v>5715.4338842975212</v>
      </c>
      <c r="Z41" s="79">
        <f t="shared" si="37"/>
        <v>9183.7264462809926</v>
      </c>
      <c r="AA41" s="79">
        <f t="shared" si="38"/>
        <v>5072.3778719008278</v>
      </c>
      <c r="AB41" s="79">
        <f t="shared" si="39"/>
        <v>8327.6659710743825</v>
      </c>
      <c r="AC41" s="79">
        <f t="shared" si="40"/>
        <v>3921.3452479338848</v>
      </c>
      <c r="AD41" s="79">
        <f t="shared" si="41"/>
        <v>6680.3664049586796</v>
      </c>
      <c r="AE41" s="79">
        <f t="shared" si="42"/>
        <v>6483.4859710743813</v>
      </c>
      <c r="AF41" s="1">
        <v>20665.82608695652</v>
      </c>
      <c r="AG41" s="1">
        <v>7020</v>
      </c>
      <c r="AH41" s="1">
        <v>26040</v>
      </c>
      <c r="AI41" s="5">
        <v>11.01</v>
      </c>
      <c r="AJ41" s="5">
        <v>7.47</v>
      </c>
      <c r="AK41" s="5">
        <v>6.58</v>
      </c>
      <c r="AL41" s="5">
        <v>6.19</v>
      </c>
      <c r="AM41" s="78">
        <f t="shared" si="43"/>
        <v>8.559800000000001</v>
      </c>
      <c r="AN41" s="7">
        <v>487.58441176470592</v>
      </c>
      <c r="AO41" s="7">
        <v>302.13590909090914</v>
      </c>
      <c r="AP41" s="78">
        <f t="shared" si="146"/>
        <v>302.13590909090914</v>
      </c>
      <c r="AQ41" s="7">
        <v>207.62482142857144</v>
      </c>
      <c r="AR41" s="7">
        <v>236.56181818181821</v>
      </c>
      <c r="AS41" s="7">
        <v>201.04438775510204</v>
      </c>
      <c r="AT41" s="7">
        <v>201.65590909090909</v>
      </c>
      <c r="AU41" s="78">
        <f t="shared" si="53"/>
        <v>213.0873716759431</v>
      </c>
      <c r="AV41" s="7">
        <v>124.64971428571431</v>
      </c>
      <c r="AW41" s="7">
        <v>300.05142857142852</v>
      </c>
      <c r="AX41" s="7">
        <v>203.59214285714287</v>
      </c>
      <c r="AY41" s="7">
        <v>448.50761904761913</v>
      </c>
      <c r="AZ41" s="7">
        <v>106.40785714285714</v>
      </c>
      <c r="BA41" s="7">
        <v>107.60730769230769</v>
      </c>
      <c r="BB41" s="94">
        <f t="shared" si="45"/>
        <v>231.94305046805047</v>
      </c>
      <c r="BC41" s="68">
        <f t="shared" si="185"/>
        <v>696</v>
      </c>
      <c r="BD41" s="68">
        <f t="shared" si="185"/>
        <v>807</v>
      </c>
      <c r="BE41" s="7">
        <v>700</v>
      </c>
      <c r="BF41" s="7">
        <v>460</v>
      </c>
      <c r="BG41" s="94">
        <f t="shared" si="56"/>
        <v>665.75</v>
      </c>
      <c r="BH41" s="7">
        <v>53.11</v>
      </c>
      <c r="BI41" s="7">
        <f>+BI40+4</f>
        <v>15.981</v>
      </c>
      <c r="BJ41" s="78">
        <f t="shared" si="57"/>
        <v>69.090999999999994</v>
      </c>
      <c r="BK41" s="7">
        <v>43.991</v>
      </c>
      <c r="BL41" s="7">
        <v>44.518000000000001</v>
      </c>
      <c r="BM41" s="94">
        <f t="shared" si="58"/>
        <v>44.2545</v>
      </c>
      <c r="BN41" s="5">
        <v>7.41</v>
      </c>
      <c r="BO41" s="5">
        <v>37.665909090909089</v>
      </c>
      <c r="BP41" s="80">
        <v>22.452833333333331</v>
      </c>
      <c r="BQ41" s="94">
        <f t="shared" si="59"/>
        <v>36.144601515151514</v>
      </c>
      <c r="BR41" s="7">
        <v>25.59</v>
      </c>
      <c r="BS41" s="7">
        <v>100</v>
      </c>
      <c r="BT41" s="7">
        <v>151.72999999999999</v>
      </c>
      <c r="BU41" s="79">
        <f t="shared" si="147"/>
        <v>1655.19</v>
      </c>
      <c r="BV41" s="7">
        <v>44.3</v>
      </c>
      <c r="BW41" s="7"/>
      <c r="BY41" s="92">
        <f>BY$10*(1+((H41/H$10-1)*costos!$B$5+((I41*F41)/(I$10*F$10)-1)*costos!$E$5+((J41*F41)/((J$10*F$10)-1)*costos!$F$5/3+((K41*F41)/(K$10*F$10)-1)*costos!$F$5/3+((U41*F41)/(U$10*F$10)-1)*costos!$F$5/3+((L41*F41)/(L$10*F$10)-1)*costos!$G$5+((N41*F41)/(N$10*F$10)-1)*costos!$J$5+((V41*F41)/(V$10*F$10)-1)*costos!$K$5)))</f>
        <v>252.5440446796992</v>
      </c>
      <c r="BZ41" s="92">
        <f>$BZ$10*(1+((H41/$H$10-1)*costos!$B$6+((I41*F41)/($I$10*$F$10)-1)*costos!$E$6+((J41*F41)/(($J$10*$F$10)-1)*costos!$F$6/3+((K41*F41)/($K$10*$F$10)-1)*costos!$F$6/3+((U41*F41)/($U$10*$F$10)-1)*costos!$F$6/3+((L41*F41)/($L$10*$F$10)-1)*costos!$G$6+((Q41*F41)/($Q$10*$F$10)-1)*costos!$J$6+((V41*F41)/($V$10*$F$10)-1)*costos!$K$6)))</f>
        <v>234.56637106355745</v>
      </c>
      <c r="CA41" s="92">
        <f>CA$10*(1+((H41/H$10-1)*costos!$B$7+((I41*F41)/(I$10*F$10)-1)*costos!$E$7+((J41*F41)/((J$10*F$10)-1)*costos!$F$7/3+((K41*F41)/(K$10*F$10)-1)*costos!$F$7/3+((U41*F41)/(U$10*F$10)-1)*costos!$F$7/3+((L41*F41)/(L$10*F$10)-1)*costos!$G$7+((S41*F41)/(S$10*F$10)-1)*costos!$J$7+((V41*F41)/(V$10*F$10)-1)*costos!$K$7)))</f>
        <v>248.657142447441</v>
      </c>
      <c r="CB41" s="92">
        <f>CB$10*(1+((H41/H$10-1)*costos!$B$8+((I41*F41)/(I$10*F$10)-1)*costos!$E$8+((J41*F41)/((J$10*F$10)-1)*costos!$F$8/3+((K41*F41)/(K$10*F$10)-1)*costos!$F$8/3+((U41*F41)/(U$10*F$10)-1)*costos!$F$8/3+((L41*F41)/(L$10*F$10)-1)*costos!$G$8+((T41*F41)/(T$10*F$10)-1)*costos!$J$8+((V41*F41)/(V$10*F$10)-1)*costos!$K$8)))</f>
        <v>242.55162599016509</v>
      </c>
      <c r="CC41" s="92">
        <f>CC$10*(1+((H41/H$10-1)*costos!$B$9+((I41*F41)/(I$10*F$10)-1)*costos!$E$9+((J41*F41)/((J$10*F$10)-1)*costos!$F$9/3+((K41*F41)/(K$10*F$10)-1)*costos!$F$9/3+((U41*F41)/(U$10*F$10)-1)*costos!$F$9/3+((L41*F41)/(L$10*F$10)-1)*costos!$G$9+((U41*F41)/(U$10*F$10)-1)*costos!$J$9+((V41*F41)/(V$10*F$10)-1)*costos!$K$9)))</f>
        <v>241.12127121367411</v>
      </c>
      <c r="CD41" s="92">
        <f>CD$10*(1+((H41/H$10-1)*costos!$B$11+((I41*F41)/(I$10*F$10)-1)*costos!$E$11+((J41*F41)/((J$10*F$10)-1)*costos!$F$11/3+((K41*F41)/(K$10*F$10)-1)*costos!$F$11/3+((U41*F41)/(U$10*F$10)-1)*costos!$F$11/3+((L41*F41)/(L$10*F$10)-1)*costos!$G$11+((V41*F41)/(V$10*F$10)-1)*costos!$J$11+((V41*F41)/(V$10*F$10)-1)*costos!$K$11)))</f>
        <v>247.54716353914986</v>
      </c>
      <c r="CE41" s="92">
        <f>CE$10*(1+((H41/H$10-1)*costos!$B$12+((I41*F41)/(I$10*F$10)-1)*costos!$E$12+((J41*F41)/((J$10*F$10)-1)*costos!$F$12/3+((K41*F41)/(K$10*F$10)-1)*costos!$F$12/3+((U41*F41)/(U$10*F$10)-1)*costos!$F$12/3+((L41*F41)/(L$10*F$10)-1)*costos!$G$12+((W41*F41)/(W$10*F$10)-1)*costos!$J$12+((V41*F41)/(V$10*F$10)-1)*costos!$K$12)))</f>
        <v>221.91624856814195</v>
      </c>
      <c r="CF41" s="92">
        <f>CF$10*(1+((H41/H$10-1)*costos!$B$13+((I41*F41)/(I$10*F$10)-1)*costos!$E$13+((J41*F41)/((J$10*F$10)-1)*costos!$F$13/3+((K41*F41)/(K$10*F$10)-1)*costos!$F$13/3+((U41*F41)/(U$10*F$10)-1)*costos!$F$13/3+((L41*F41)/(L$10*F$10)-1)*costos!$G$13+((X41*F41)/(X$10*F$10)-1)*costos!$J$13+((V41*F41)/(V$10*F$10)-1)*costos!$K$13)))</f>
        <v>259.70396984028781</v>
      </c>
      <c r="CG41" s="92">
        <f t="shared" si="60"/>
        <v>243.58290359980995</v>
      </c>
      <c r="CH41" s="92">
        <f>CH$10*(1+((H41/H$10-1)*costos!$B$10+((I41*F41)/(I$10*F$10)-1)*costos!$E$10+((J41*F41)/((J$10*F$10)-1)*costos!$F$10/3+((K41*F41)/(K$10*F$10)-1)*costos!$F$10/3+((U41*F41)/(U$10*F$10)-1)*costos!$F$10/3+((L41*F41)/(L$10*F$10)-1)*costos!$G$10+((AF41)/(AF$10)-1)*costos!$J$10+((V41*F41)/(V$10*F$10)-1)*costos!$K$10)))</f>
        <v>268.09418069632295</v>
      </c>
      <c r="CI41" s="92">
        <f>CI$10*(1+((H41/H$10-1)*costos!$B$15+((I41*F41)/(I$10*F$10)-1)*costos!$E$15+((J41*F41)/((J$10*F$10)-1)*costos!$F$15/3+((K41*F41)/(K$10*F$10)-1)*costos!$F$15/3+((U41*F41)/(U$10*F$10)-1)*costos!$F$15/3+((L41*F41)/(L$10*F$10)-1)*costos!$G$15+((AV41)/(AV$10)-1)*costos!$J$15+((V41*F41)/(V$10*F$10)-1)*costos!$K$15)))</f>
        <v>225.01350572305211</v>
      </c>
      <c r="CJ41" s="92">
        <f>CJ$10*(1+((H41/H$10-1)*costos!$B$16+((I41*F41)/(I$10*F$10)-1)*costos!$E$16+((J41*F41)/((J$10*F$10)-1)*costos!$F$16/3+((K41*F41)/(K$10*F$10)-1)*costos!$F$16/3+((U41*F41)/(U$10*F$10)-1)*costos!$F$16/3+((L41*F41)/(L$10*F$10)-1)*costos!$G$16+((AW41)/(AW$10)-1)*costos!$J$16+((V41*F41)/(V$10*F$10)-1)*costos!$K$16)))</f>
        <v>200.49681670985044</v>
      </c>
      <c r="CK41" s="92">
        <f>CK$10*(1+((H41/H$10-1)*costos!$B$17+((I41*F41)/(I$10*F$10)-1)*costos!$E$17+((J41*F41)/((J$10*F$10)-1)*costos!$F$17/3+((K41*F41)/(K$10*F$10)-1)*costos!$F$17/3+((U41*F41)/(U$10*F$10)-1)*costos!$F$17/3+((L41*F41)/(L$10*F$10)-1)*costos!$G$17+((AX41)/(AX$10)-1)*costos!$J$17+((V41*F41)/(V$10*F$10)-1)*costos!$K$17)))</f>
        <v>230.1133560849857</v>
      </c>
      <c r="CL41" s="92">
        <f>CL$10*(1+((H41/H$10-1)*costos!$B$18+((I41*F41)/(I$10*F$10)-1)*costos!$E$18+((J41*F41)/((J$10*F$10)-1)*costos!$F$18/3+((K41*F41)/(K$10*F$10)-1)*costos!$F$18/3+((U41*F41)/(U$10*F$10)-1)*costos!$F$18/3+((L41*F41)/(L$10*F$10)-1)*costos!$G$18+((AY41)/(AY$10)-1)*costos!$J$18+((V41*F41)/(V$10*F$10)-1)*costos!$K$18)))</f>
        <v>278.45432666597623</v>
      </c>
      <c r="CM41" s="92">
        <f>CM$10*(1+((H41/H$10-1)*costos!$B$19+((I41*F41)/(I$10*F$10)-1)*costos!$E$19+((J41*F41)/((J$10*F$10)-1)*costos!$F$19/3+((K41*F41)/(K$10*F$10)-1)*costos!$F$19/3+((U41*F41)/(U$10*F$10)-1)*costos!$F$19/3+((L41*F41)/(L$10*F$10)-1)*costos!$G$19+((AZ41)/(AZ$10)-1)*costos!$J$19+((V41*F41)/(V$10*F$10)-1)*costos!$K$19)))</f>
        <v>182.90695082726484</v>
      </c>
      <c r="CN41" s="92">
        <f>CN$10*(1+((H41/H$10-1)*costos!$B$20+((I41*F41)/(I$10*F$10)-1)*costos!$E$20+((J41*F41)/((J$10*F$10)-1)*costos!$F$20/3+((K41*F41)/(K$10*F$10)-1)*costos!$F$20/3+((U41*F41)/(U$10*F$10)-1)*costos!$F$20/3+((L41*F41)/(L$10*F$10)-1)*costos!$G$20+((BA41)/(BA$10)-1)*costos!$J$20+((V41*F41)/(V$10*F$10)-1)*costos!$K$20)))</f>
        <v>197.39757158018139</v>
      </c>
      <c r="CO41" s="92">
        <f t="shared" si="61"/>
        <v>222.21805128960204</v>
      </c>
      <c r="CP41" s="92">
        <f>CP$10*(1+((H41/H$10-1)*costos!$B$22+((I41*F41)/(I$10*F$10)-1)*costos!$E$22+((J41*F41)/((J$10*F$10)-1)*costos!$F$22/3+((K41*F41)/(K$10*F$10)-1)*costos!$F$22/3+((U41*F41)/(U$10*F$10)-1)*costos!$F$22/3+((L41*F41)/(L$10*F$10)-1)*costos!$G$22+(((AVERAGE(AI41:AL41))/((AVERAGE(AI$10:AL$10))-1)*costos!$J$22+((V41*F41)/(V$10*F$10)-1)*costos!$K$22)))))</f>
        <v>254.20997039529243</v>
      </c>
      <c r="CQ41" s="92">
        <f>CQ$10*(1+((H41/H$10-1)*costos!$B$23+((I41*F41)/(I$10*F$10)-1)*costos!$E$23+((J41*F41)/((J$10*F$10)-1)*costos!$F$23/3+((K41*F41)/(K$10*F$10)-1)*costos!$F$23/3+((U41*F41)/(U$10*F$10)-1)*costos!$F$23/3+((L41*F41)/(L$10*F$10)-1)*costos!$G$23+((AN41)/(AN$10)-1)*costos!$J$23+((V41*F41)/(V$10*F$10)-1)*costos!$K$23)))</f>
        <v>204.45631692711541</v>
      </c>
      <c r="CR41" s="92">
        <f>CR$10*(1+((H41/H$10-1)*costos!$B$24+((I41*F41)/(I$10*F$10)-1)*costos!$E$24+((J41*F41)/((J$10*F$10)-1)*costos!$F$24/3+((K41*F41)/(K$10*F$10)-1)*costos!$F$24/3+((U41*F41)/(U$10*F$10)-1)*costos!$F$24/3+((L41*F41)/(L$10*F$10)-1)*costos!$G$24+((AO41)/(AO$10)-1)*costos!$J$24+((V41*F41)/(V$10*F$10)-1)*costos!$K$24)))</f>
        <v>205.26233649104137</v>
      </c>
      <c r="CS41" s="92">
        <f t="shared" si="62"/>
        <v>204.8593267090784</v>
      </c>
      <c r="CT41" s="92">
        <f>CT$10*(1+((H41/H$10-1)*costos!$B$25+((I41*F41)/(I$10*F$10)-1)*costos!$E$25+((J41*F41)/((J$10*F$10)-1)*costos!$F$25/3+((K41*F41)/(K$10*F$10)-1)*costos!$F$25/3+((U41*F41)/(U$10*F$10)-1)*costos!$F$25/3+((L41*F41)/(L$10*F$10)-1)*costos!$G$25+((AQ41)/(AQ$10)-1)*costos!$J$25+((V41*F41)/(V$10*F$10)-1)*costos!$K$25)))</f>
        <v>199.82858314581614</v>
      </c>
      <c r="CU41" s="92">
        <f>CU$10*(1+((H41/H$10-1)*costos!$B$26+((I41*F41)/(I$10*F$10)-1)*costos!$E$26+((J41*F41)/((J$10*F$10)-1)*costos!$F$26/3+((K41*F41)/(K$10*F$10)-1)*costos!$F$26/3+((U41*F41)/(U$10*F$10)-1)*costos!$F$26/3+((L41*F41)/(L$10*F$10)-1)*costos!$G$26+((AR41)/(AR$10)-1)*costos!$J$26+((V41*F41)/(V$10*F$10)-1)*costos!$K$26)))</f>
        <v>209.28644980156886</v>
      </c>
      <c r="CV41" s="92">
        <f>CV$10*(1+((H41/H$10-1)*costos!$B$27+((I41*F41)/(I$10*F$10)-1)*costos!$E$27+((J41*F41)/((J$10*F$10)-1)*costos!$F$27/3+((K41*F41)/(K$10*F$10)-1)*costos!$F$27/3+((U41*F41)/(U$10*F$10)-1)*costos!$F$27/3+((L41*F41)/(L$10*F$10)-1)*costos!$G$27+((AS41)/(AS$10)-1)*costos!$J$27+((V41*F41)/(V$10*F$10)-1)*costos!$K$27)))</f>
        <v>206.62906969476199</v>
      </c>
      <c r="CW41" s="92">
        <f>CW$10*(1+((H41/H$10-1)*costos!$B$28+((I41*F41)/(I$10*F$10)-1)*costos!$E$28+((J41*F41)/((J$10*F$10)-1)*costos!$F$28/3+((K41*F41)/(K$10*F$10)-1)*costos!$F$28/3+((U41*F41)/(U$10*F$10)-1)*costos!$F$28/3+((L41*F41)/(L$10*F$10)-1)*costos!$G$28+((AS41)/(AS$10)-1)*costos!$J$28+((V41*F41)/(V$10*F$10)-1)*costos!$K$28)))</f>
        <v>206.62906969476199</v>
      </c>
      <c r="CX41" s="92">
        <f t="shared" si="63"/>
        <v>207.51486306369762</v>
      </c>
      <c r="CY41" s="92">
        <f>CY$10*(1+((H41/H$10-1)*costos!$B$32+((I41*F41)/(I$10*F$10)-1)*costos!$E$32+((J41*F41)/((J$10*F$10)-1)*costos!$F$32/3+((K41*F41)/(K$10*F$10)-1)*costos!$F$32/3+((U41*F41)/(U$10*F$10)-1)*costos!$F$32/3+((L41*F41)/(L$10*F$10)-1)*costos!$G$32+((AG41)/(AG$10)-1)*costos!$J$32+((V41*F41)/(V$10*F$10)-1)*costos!$K$32)))</f>
        <v>203.91787015519327</v>
      </c>
      <c r="CZ41" s="69">
        <f>CZ$10*(1+((H41/H$10-1)*costos!$B$31+((I41*F41)/(I$10*F$10)-1)*costos!$E$30+((J41*F41)/((J$10*F$10)-1)*costos!$F$30/3+((K41*F41)/(K$10*F$10)-1)*costos!$F$30/3+((U41*F41)/(U$10*F$10)-1)*costos!$F$30/3+((L41*F41)/(L$10*F$10)-1)*costos!$G$30+((BG41)/(BG$10)-1)*costos!$J$30+((V41*F41)/(V$10*F$10)-1)*costos!$K$30)))</f>
        <v>240.51829048091992</v>
      </c>
      <c r="DA41" s="69">
        <f>DA$10*(1+((H41/H$10-1)*costos!$B$31+((I41*F41)/(I$10*F$10)-1)*costos!$E$31+((J41*F41)/((J$10*F$10)-1)*costos!$F$31/3+((K41*F41)/(K$10*F$10)-1)*costos!$F$31/3+((U41*F41)/(U$10*F$10)-1)*costos!$F$31/3+((L41*F41)/(L$10*F$10)-1)*costos!$G$31+((BJ41)/(BJ$10)-1)*costos!$J$31+((V41*F41)/(V$10*F$10)-1)*costos!$K$31)))</f>
        <v>209.18418404198974</v>
      </c>
      <c r="DB41" s="69">
        <f>DB$10*(1+((H41/H$10-1)*costos!$B$36+((I41*F41)/(I$10*F$10)-1)*costos!$E$36+((J41*F41)/((J$10*F$10)-1)*costos!$F$36/3+((K41*F41)/(K$10*F$10)-1)*costos!$F$36/3+((U41*F41)/(U$10*F$10)-1)*costos!$F$36/3+((L41*F41)/(L$10*F$10)-1)*costos!$G$36+((BK41)/(BK$10)-1)*costos!$J$36+((V41*F41)/(V$10*F$10)-1)*costos!$K$36)))</f>
        <v>212.10238839667869</v>
      </c>
      <c r="DC41" s="69">
        <f>DC$10*(1+((H41/H$10-1)*costos!$B$37+((I41*F41)/(I$10*F$10)-1)*costos!$E$37+((U41*F41)/(U$10*F$10)-1)*costos!$F$37+((L41*F41)/(L$10*F$10)-1)*costos!$G$37+((BN41)/(BN$10)-1)*costos!$J$37+((V41*F41)/(V$10*F$10)-1)*costos!$K$37))</f>
        <v>241.12657554952293</v>
      </c>
      <c r="DD41" s="69">
        <f>DD$10*(1+((H41/H$10-1)*costos!$B$39+((I41*F41)/(I$10*F$10)-1)*costos!$E$39+((U41*F41)/(U$10*F$10)-1)*costos!$F$39+((L41*F41)/(L$10*F$10)-1)*costos!$G$39+((BR41)/(BR$10)-1)*costos!$J$39+((V41*F41)/(V$10*F$10)-1)*costos!$K$39))</f>
        <v>235.83703868130587</v>
      </c>
      <c r="DE41" s="69">
        <f>DD$10*(1+((H41/H$10-1)*costos!$B$35+((I41*F41)/(I$10*F$10)-1)*costos!$E$35+((U41*F41)/(U$10*F$10)-1)*costos!$F$35+((L41*F41)/(L$10*F$10)-1)*costos!$G$35+((BR41)/(BR$10)-1)*costos!$J$35+((V41*F41)/(V$10*F$10)-1)*costos!$K$35))</f>
        <v>221.33351340443045</v>
      </c>
      <c r="DF41" s="69">
        <f>DF$10*(1+((H41/H$10-1)*costos!$B$40+((I41*F41)/(I$10*F$10)-1)*costos!$E$40+((U41*F41)/(U$10*F$10)-1)*costos!$F$40+((L41*F41)/(L$10*F$10)-1)*costos!$G$40+((BP41)/(BP$10)-1)*costos!$J$40+((V41*F41)/(V$10*F$10)-1)*costos!$K$40))</f>
        <v>241.87667811213896</v>
      </c>
      <c r="DG41" s="92">
        <f t="shared" si="64"/>
        <v>231.6050957582847</v>
      </c>
      <c r="DH41" s="69">
        <f>DH$10*(1+((H41/H$10-1)*costos!$B$34+((I41*F41)/(I$10*F$10)-1)*costos!$E$34+((J41*F41)/((J$10*F$10)-1)*costos!$F$34/3+((K41*F41)/(K$10*F$10)-1)*costos!$F$34/3+((U41*F41)/(U$10*F$10)-1)*costos!$F$34/3+((L41*F41)/(L$10*F$10)-1)*costos!$G$34+((BV41)/(BV$10)-1)*costos!$J$34+((V41*F41)/(V$10*F$10)-1)*costos!$K$34)))</f>
        <v>213.35499691603621</v>
      </c>
      <c r="DI41" s="69">
        <f>DI$10*(1+((H41/H$10-1)*costos!$B$38+((I41*F41)/(I$10*F$10)-1)*costos!$E$38+((J41*F41)/((J$10*F$10)-1)*costos!$F$38/3+((K41*F41)/(K$10*F$10)-1)*costos!$F$38/3+((U41*F41)/(U$10*F$10)-1)*costos!$F$38/3+((L41*F41)/(L$10*F$10)-1)*costos!$G$38+((BU41)/(BU$10)-1)*costos!$J$38+((V41*F41)/(V$10*F$10)-1)*costos!$K$38)))</f>
        <v>207.36735222239955</v>
      </c>
      <c r="DK41" s="1">
        <v>327000</v>
      </c>
      <c r="DL41" s="1" t="str">
        <f>+DL38</f>
        <v>2017-18</v>
      </c>
      <c r="DM41" s="1">
        <v>202000</v>
      </c>
      <c r="DN41" s="1" t="str">
        <f t="shared" si="195"/>
        <v>2016-17</v>
      </c>
      <c r="DO41" s="1">
        <v>1085000</v>
      </c>
      <c r="DP41" s="1" t="str">
        <f>+DP40</f>
        <v>2018-19</v>
      </c>
      <c r="DQ41" s="1">
        <v>1700000</v>
      </c>
      <c r="DR41" s="1" t="str">
        <f>+DR43</f>
        <v>2018-19</v>
      </c>
      <c r="DS41" s="1">
        <v>5500000</v>
      </c>
      <c r="DT41" s="1" t="str">
        <f>+DT36</f>
        <v>2017-18</v>
      </c>
      <c r="DU41" s="1">
        <v>17200000</v>
      </c>
      <c r="DV41" s="1" t="str">
        <f>+DV40</f>
        <v>2017-18</v>
      </c>
      <c r="DW41" s="1">
        <f>+DW40</f>
        <v>640000</v>
      </c>
      <c r="DX41" s="1" t="str">
        <f>+DX44</f>
        <v>2018-19</v>
      </c>
      <c r="DY41" s="1">
        <v>6290000</v>
      </c>
      <c r="DZ41" s="1" t="str">
        <f t="shared" si="211"/>
        <v>2018-19</v>
      </c>
      <c r="EA41" s="79">
        <f t="shared" si="67"/>
        <v>32415000</v>
      </c>
      <c r="EB41" s="1">
        <f>+EB40</f>
        <v>490000</v>
      </c>
      <c r="EC41" s="1" t="str">
        <f t="shared" si="212"/>
        <v>2017-18</v>
      </c>
      <c r="ED41" s="83">
        <v>169595</v>
      </c>
      <c r="EE41" s="143">
        <v>2018</v>
      </c>
      <c r="EF41" s="1">
        <f t="shared" si="121"/>
        <v>218233</v>
      </c>
      <c r="EG41" s="6">
        <f t="shared" si="122"/>
        <v>2018</v>
      </c>
      <c r="EH41" s="83">
        <v>54793181</v>
      </c>
      <c r="EI41" s="6">
        <v>2018</v>
      </c>
      <c r="EJ41" s="83">
        <f t="shared" si="200"/>
        <v>5291453</v>
      </c>
      <c r="EK41" s="143">
        <f t="shared" si="200"/>
        <v>2018</v>
      </c>
      <c r="EL41" s="1">
        <v>14339908</v>
      </c>
      <c r="EM41" s="6">
        <v>2018</v>
      </c>
      <c r="EN41" s="82">
        <f t="shared" si="201"/>
        <v>3364725</v>
      </c>
      <c r="EO41" s="144">
        <f t="shared" si="201"/>
        <v>2017</v>
      </c>
      <c r="EP41" s="82">
        <f t="shared" si="118"/>
        <v>6552</v>
      </c>
      <c r="EQ41" s="83">
        <f t="shared" si="100"/>
        <v>3003036</v>
      </c>
      <c r="ER41" s="1">
        <f t="shared" si="189"/>
        <v>33739</v>
      </c>
      <c r="ES41" s="1"/>
      <c r="ET41" s="83">
        <f t="shared" si="101"/>
        <v>22340</v>
      </c>
      <c r="EU41" s="83">
        <f t="shared" si="101"/>
        <v>17224</v>
      </c>
      <c r="EV41" s="83">
        <f t="shared" si="101"/>
        <v>9128</v>
      </c>
      <c r="EW41" s="83">
        <f t="shared" si="101"/>
        <v>17414</v>
      </c>
      <c r="EX41" s="79">
        <f t="shared" si="72"/>
        <v>66106</v>
      </c>
      <c r="EY41" s="83">
        <f t="shared" si="123"/>
        <v>19463</v>
      </c>
      <c r="EZ41" s="82">
        <f t="shared" si="123"/>
        <v>74231</v>
      </c>
      <c r="FA41" s="82">
        <f t="shared" si="103"/>
        <v>24553</v>
      </c>
      <c r="FB41" s="82">
        <f t="shared" si="103"/>
        <v>23958</v>
      </c>
      <c r="FC41" s="79">
        <f t="shared" si="73"/>
        <v>48511</v>
      </c>
      <c r="FD41" s="83">
        <f t="shared" si="158"/>
        <v>66959.290000000008</v>
      </c>
      <c r="FE41" s="1"/>
      <c r="FF41" s="1">
        <v>814000</v>
      </c>
      <c r="FG41" s="1" t="str">
        <f>+FG40</f>
        <v>2017-18</v>
      </c>
      <c r="FH41" s="1">
        <v>1370000</v>
      </c>
      <c r="FI41" s="1" t="str">
        <f t="shared" si="213"/>
        <v>2017-18</v>
      </c>
      <c r="FJ41" s="1">
        <v>3740000</v>
      </c>
      <c r="FK41" s="1" t="str">
        <f t="shared" si="202"/>
        <v>2017-18</v>
      </c>
      <c r="FL41" s="1">
        <v>3500000</v>
      </c>
      <c r="FM41" s="1" t="str">
        <f t="shared" si="203"/>
        <v>2017-18</v>
      </c>
      <c r="FN41" s="1">
        <v>31000000</v>
      </c>
      <c r="FO41" s="1" t="str">
        <f>+FO36</f>
        <v>2017-18</v>
      </c>
      <c r="FP41" s="1">
        <v>37780000</v>
      </c>
      <c r="FQ41" s="1" t="s">
        <v>6</v>
      </c>
      <c r="FR41" s="1">
        <v>1550000</v>
      </c>
      <c r="FS41" s="1" t="str">
        <f t="shared" si="214"/>
        <v>2017-18</v>
      </c>
      <c r="FT41" s="1">
        <v>18520000</v>
      </c>
      <c r="FU41" s="1" t="str">
        <f t="shared" si="196"/>
        <v>2017-18</v>
      </c>
      <c r="FV41" s="79">
        <f t="shared" si="76"/>
        <v>96090000</v>
      </c>
      <c r="FW41" s="1">
        <v>950000</v>
      </c>
      <c r="FX41" s="1" t="str">
        <f>+FX40</f>
        <v>2017-18</v>
      </c>
      <c r="FY41" s="1">
        <v>96755.921000000002</v>
      </c>
      <c r="FZ41" s="79">
        <f t="shared" si="135"/>
        <v>783337.16399999999</v>
      </c>
      <c r="GA41" s="86" t="str">
        <f t="shared" si="136"/>
        <v>sept17 ago18</v>
      </c>
      <c r="GB41" s="1">
        <v>25733114</v>
      </c>
      <c r="GC41" s="6">
        <v>2018</v>
      </c>
      <c r="GD41" s="83">
        <f t="shared" si="165"/>
        <v>1989400</v>
      </c>
      <c r="GE41" s="83">
        <f t="shared" si="190"/>
        <v>431374</v>
      </c>
      <c r="GF41" s="83">
        <f t="shared" si="197"/>
        <v>1006779</v>
      </c>
      <c r="GG41" s="83">
        <f t="shared" si="166"/>
        <v>114118</v>
      </c>
      <c r="GH41" s="79">
        <f t="shared" si="78"/>
        <v>1552271</v>
      </c>
      <c r="GI41" s="82">
        <f t="shared" si="79"/>
        <v>1302556</v>
      </c>
      <c r="GJ41" s="83">
        <f t="shared" si="215"/>
        <v>685541.2</v>
      </c>
      <c r="GK41" s="83">
        <f t="shared" si="216"/>
        <v>1103042.8600000001</v>
      </c>
      <c r="GL41" s="83">
        <f t="shared" si="217"/>
        <v>287064.67</v>
      </c>
      <c r="GM41" s="83">
        <f t="shared" si="218"/>
        <v>260870.73</v>
      </c>
      <c r="GN41" s="79">
        <f t="shared" si="81"/>
        <v>2336519.46</v>
      </c>
      <c r="GO41" s="83">
        <f t="shared" si="107"/>
        <v>195071</v>
      </c>
      <c r="GP41" s="83">
        <f t="shared" si="107"/>
        <v>79468</v>
      </c>
      <c r="GQ41" s="83">
        <v>20849</v>
      </c>
      <c r="GR41" s="1">
        <f t="shared" si="191"/>
        <v>42800</v>
      </c>
      <c r="GS41" s="79">
        <f t="shared" si="192"/>
        <v>43425.47</v>
      </c>
      <c r="GT41" s="83">
        <f t="shared" si="108"/>
        <v>2483769</v>
      </c>
      <c r="GU41" s="1">
        <v>26958</v>
      </c>
      <c r="GV41" s="1">
        <v>36469</v>
      </c>
      <c r="GW41" s="79">
        <f t="shared" si="151"/>
        <v>1040372</v>
      </c>
      <c r="GX41" s="1">
        <v>26114.056</v>
      </c>
      <c r="GY41" s="1" t="s">
        <v>327</v>
      </c>
      <c r="GZ41" s="1">
        <v>104093.27099999999</v>
      </c>
      <c r="HA41" s="1">
        <v>274516</v>
      </c>
      <c r="HB41" s="79">
        <f t="shared" si="204"/>
        <v>3030382</v>
      </c>
      <c r="HC41" s="86" t="str">
        <f t="shared" si="138"/>
        <v>sept17 ago18</v>
      </c>
      <c r="HD41" s="1">
        <v>54138</v>
      </c>
      <c r="HE41" s="79">
        <f t="shared" si="139"/>
        <v>604995</v>
      </c>
      <c r="HF41" s="86" t="str">
        <f t="shared" si="140"/>
        <v>sept17 ago18</v>
      </c>
      <c r="HG41" s="83">
        <v>188000</v>
      </c>
      <c r="HH41" s="79">
        <f t="shared" si="205"/>
        <v>2062000</v>
      </c>
      <c r="HI41" s="86" t="str">
        <f t="shared" si="142"/>
        <v>sept17 ago18</v>
      </c>
      <c r="HJ41" s="1">
        <f>+(259142*30*12)/1000</f>
        <v>93291.12</v>
      </c>
      <c r="HK41" s="79">
        <f t="shared" si="143"/>
        <v>60783.806400000001</v>
      </c>
      <c r="HL41" s="86" t="str">
        <f t="shared" si="144"/>
        <v>sept17 ago18</v>
      </c>
      <c r="HM41" s="79">
        <f t="shared" si="86"/>
        <v>2122783.8064000001</v>
      </c>
      <c r="HN41" s="87">
        <f t="shared" si="206"/>
        <v>0.12410128530587006</v>
      </c>
      <c r="HO41" s="1">
        <v>947500000</v>
      </c>
      <c r="HP41" s="79">
        <f t="shared" si="153"/>
        <v>10162.125912425976</v>
      </c>
      <c r="HQ41" s="86" t="str">
        <f t="shared" si="145"/>
        <v>sept17 ago18</v>
      </c>
      <c r="HR41" s="3"/>
      <c r="HS41" s="1"/>
      <c r="HT41" s="1"/>
      <c r="HU41" s="83">
        <f t="shared" si="207"/>
        <v>680000</v>
      </c>
      <c r="HV41" s="83" t="str">
        <f t="shared" si="208"/>
        <v>2017-18</v>
      </c>
      <c r="HW41" s="83">
        <v>1350000</v>
      </c>
      <c r="HX41" s="1" t="s">
        <v>6</v>
      </c>
      <c r="HY41" s="1">
        <v>3400000</v>
      </c>
      <c r="HZ41" s="1" t="s">
        <v>6</v>
      </c>
      <c r="IA41" s="1">
        <f t="shared" si="209"/>
        <v>19890000</v>
      </c>
      <c r="IB41" s="1" t="s">
        <v>6</v>
      </c>
      <c r="IC41" s="1">
        <v>41300000</v>
      </c>
      <c r="ID41" s="1" t="s">
        <v>6</v>
      </c>
      <c r="IE41" s="1">
        <f t="shared" si="210"/>
        <v>1550000</v>
      </c>
      <c r="IF41" s="1" t="s">
        <v>6</v>
      </c>
      <c r="IG41" s="1">
        <f t="shared" si="188"/>
        <v>6500000</v>
      </c>
      <c r="IH41" s="1" t="s">
        <v>6</v>
      </c>
      <c r="II41" s="79">
        <f t="shared" si="87"/>
        <v>73990000</v>
      </c>
      <c r="IJ41" s="97">
        <f t="shared" si="167"/>
        <v>1.5629261117125455</v>
      </c>
      <c r="IK41" s="1" t="s">
        <v>6</v>
      </c>
      <c r="IL41" s="7">
        <v>45.69</v>
      </c>
      <c r="IM41" s="7">
        <v>59</v>
      </c>
      <c r="IN41" s="7">
        <v>190</v>
      </c>
      <c r="IO41" s="695">
        <v>15.08</v>
      </c>
      <c r="IP41" s="98">
        <f t="shared" si="193"/>
        <v>5.6422028615424455</v>
      </c>
      <c r="IQ41" s="96">
        <v>18.899999999999999</v>
      </c>
      <c r="IR41" s="98">
        <f t="shared" si="194"/>
        <v>5.93</v>
      </c>
      <c r="IS41" s="98">
        <f t="shared" si="194"/>
        <v>5.67</v>
      </c>
      <c r="IT41" s="98">
        <f t="shared" si="194"/>
        <v>11.35</v>
      </c>
      <c r="IU41" s="98">
        <f t="shared" si="194"/>
        <v>0.88</v>
      </c>
      <c r="IV41" s="94">
        <f t="shared" si="89"/>
        <v>17.899999999999999</v>
      </c>
      <c r="IW41" s="84"/>
      <c r="IX41" s="84"/>
      <c r="IY41" s="105">
        <v>1.84</v>
      </c>
      <c r="IZ41" s="161">
        <v>0.3</v>
      </c>
      <c r="JA41" s="83">
        <v>1500</v>
      </c>
      <c r="JB41" s="84">
        <v>37.22</v>
      </c>
      <c r="JC41" s="84"/>
      <c r="JD41" s="84"/>
      <c r="JE41" s="1"/>
      <c r="JF41" s="2">
        <v>22.81522257</v>
      </c>
      <c r="JG41" s="2">
        <v>24.139252899999999</v>
      </c>
      <c r="JH41" s="2">
        <v>16.226240190000002</v>
      </c>
      <c r="JI41" s="2">
        <v>103.12145473000002</v>
      </c>
      <c r="JJ41" s="2">
        <v>450.45909369000009</v>
      </c>
      <c r="JK41" s="2">
        <v>63.647255250000001</v>
      </c>
      <c r="JL41" s="2">
        <v>1110.4269619900001</v>
      </c>
      <c r="JM41" s="2">
        <v>0.3765386</v>
      </c>
      <c r="JN41" s="2">
        <v>155.37295756999998</v>
      </c>
      <c r="JO41" s="2">
        <v>16.10877855</v>
      </c>
      <c r="JP41" s="2">
        <v>0</v>
      </c>
      <c r="JQ41" s="2">
        <v>7.7999999999999996E-3</v>
      </c>
      <c r="JR41" s="2">
        <v>0.59753818000000003</v>
      </c>
      <c r="JS41" s="2">
        <v>0</v>
      </c>
      <c r="JT41" s="2">
        <v>0</v>
      </c>
      <c r="JU41" s="2">
        <v>101.98982713000005</v>
      </c>
      <c r="JV41" s="2">
        <v>5.4027586200000002</v>
      </c>
      <c r="JW41" s="2">
        <v>11.75875186</v>
      </c>
      <c r="JX41" s="2">
        <v>67.694779170000004</v>
      </c>
      <c r="JY41" s="2">
        <v>0</v>
      </c>
      <c r="JZ41" s="2">
        <v>15.51547858</v>
      </c>
      <c r="KA41" s="2">
        <v>0</v>
      </c>
      <c r="KB41" s="2">
        <v>3.6789243100000002</v>
      </c>
      <c r="KC41" s="2">
        <v>30.44326732</v>
      </c>
      <c r="KD41" s="2">
        <v>11.39701895</v>
      </c>
      <c r="KE41" s="2">
        <v>15.782553850000001</v>
      </c>
      <c r="KF41" s="2">
        <v>27.534103399999999</v>
      </c>
      <c r="KG41" s="2">
        <v>262.45470516</v>
      </c>
      <c r="KH41" s="2">
        <v>70.38341256999999</v>
      </c>
      <c r="KI41" s="2">
        <v>26.287762959999998</v>
      </c>
      <c r="KJ41" s="2">
        <v>2.9667550500000002</v>
      </c>
      <c r="KK41" s="2">
        <v>8.0718979999999991</v>
      </c>
      <c r="KL41" s="2">
        <v>0.44338730000000004</v>
      </c>
      <c r="KM41" s="2">
        <v>5.8383812500000012</v>
      </c>
      <c r="KN41" s="2">
        <v>0</v>
      </c>
      <c r="KO41" s="2">
        <v>4.2957491999999995</v>
      </c>
      <c r="KP41" s="2">
        <v>3.0286240000000002E-2</v>
      </c>
      <c r="KQ41" s="2">
        <v>245.04456522999999</v>
      </c>
      <c r="KR41" s="2">
        <v>0</v>
      </c>
      <c r="KS41" s="2">
        <v>0</v>
      </c>
      <c r="KT41" s="2">
        <v>2.4750927200000001</v>
      </c>
      <c r="KU41" s="2">
        <v>0.29754917000000003</v>
      </c>
      <c r="KV41" s="2">
        <v>0.49068850000000003</v>
      </c>
      <c r="KW41" s="2">
        <v>4.0039068599999998</v>
      </c>
      <c r="KX41" s="2">
        <v>0</v>
      </c>
      <c r="KY41" s="2">
        <v>0</v>
      </c>
      <c r="KZ41" s="2">
        <v>2.0719022300000001</v>
      </c>
      <c r="LA41" s="2">
        <v>0.73998114000000004</v>
      </c>
      <c r="LB41" s="2">
        <v>0</v>
      </c>
      <c r="LC41" s="2">
        <v>3.3434029999999997E-2</v>
      </c>
      <c r="LD41" s="2">
        <v>0</v>
      </c>
      <c r="LE41" s="2">
        <v>0</v>
      </c>
      <c r="LF41" s="2">
        <v>0</v>
      </c>
      <c r="LG41" s="2">
        <v>21.09418878</v>
      </c>
      <c r="LH41" s="2">
        <v>2.5699814700000001</v>
      </c>
      <c r="LI41" s="2">
        <v>0</v>
      </c>
      <c r="LJ41" s="2">
        <v>0</v>
      </c>
      <c r="LK41" s="2">
        <v>1.29476853</v>
      </c>
      <c r="LL41" s="2">
        <v>1.5495578399999999</v>
      </c>
      <c r="LM41" s="2">
        <v>3.0539446999999997</v>
      </c>
      <c r="LN41" s="2">
        <v>0</v>
      </c>
      <c r="LO41" s="2">
        <v>8.1444831300000011</v>
      </c>
      <c r="LQ41" s="85">
        <f t="shared" si="90"/>
        <v>1835.9832467700003</v>
      </c>
      <c r="LR41" s="85">
        <f t="shared" si="91"/>
        <v>0.60533818000000006</v>
      </c>
      <c r="LS41" s="85">
        <f t="shared" si="92"/>
        <v>17.16151048</v>
      </c>
      <c r="LT41" s="85">
        <f t="shared" si="93"/>
        <v>15.51547858</v>
      </c>
      <c r="LU41" s="85">
        <f t="shared" si="94"/>
        <v>255.17869567999998</v>
      </c>
      <c r="LV41" s="85">
        <f t="shared" si="95"/>
        <v>4.4945953599999999</v>
      </c>
      <c r="LW41" s="85">
        <f t="shared" si="96"/>
        <v>0.73998114000000004</v>
      </c>
      <c r="LX41" s="85">
        <f t="shared" si="97"/>
        <v>0</v>
      </c>
      <c r="LZ41" s="131">
        <v>34.15</v>
      </c>
      <c r="MA41" s="171">
        <v>28.7</v>
      </c>
      <c r="MB41"/>
      <c r="MC41"/>
      <c r="MD41"/>
      <c r="MF41"/>
      <c r="MG41"/>
      <c r="MH41" s="83">
        <v>57.61</v>
      </c>
      <c r="MI41" s="83">
        <v>24.09</v>
      </c>
      <c r="MJ41" s="83">
        <v>16.059999999999999</v>
      </c>
      <c r="MK41"/>
      <c r="ML41" s="83">
        <v>23.81</v>
      </c>
      <c r="MM41" s="83">
        <v>51.41</v>
      </c>
      <c r="MN41" s="83"/>
      <c r="MO41" s="83">
        <v>18.88</v>
      </c>
      <c r="MP41" s="83">
        <v>45.94</v>
      </c>
      <c r="MQ41" s="83">
        <v>40.619999999999997</v>
      </c>
      <c r="MR41"/>
      <c r="MT41" s="83"/>
      <c r="MU41" s="83">
        <v>22.05</v>
      </c>
      <c r="MV41"/>
      <c r="MW41"/>
      <c r="MX41"/>
      <c r="MY41" s="83">
        <v>45.98</v>
      </c>
      <c r="MZ41" s="83">
        <v>124.4</v>
      </c>
      <c r="NA41" s="83">
        <v>52.86</v>
      </c>
      <c r="NB41" s="83">
        <v>159.07</v>
      </c>
      <c r="NC41" s="83">
        <v>26.09</v>
      </c>
      <c r="ND41"/>
      <c r="NE41" s="1">
        <v>131.69999999999999</v>
      </c>
    </row>
    <row r="42" spans="1:369">
      <c r="A42" s="38">
        <f t="shared" ref="A42:A73" si="219">(B42&amp;"-"&amp;C42)+0</f>
        <v>43344</v>
      </c>
      <c r="B42" s="36">
        <f t="shared" si="198"/>
        <v>9</v>
      </c>
      <c r="C42" s="36">
        <v>2018</v>
      </c>
      <c r="D42" s="36">
        <f t="shared" si="50"/>
        <v>42</v>
      </c>
      <c r="E42" s="38">
        <f t="shared" ref="E42:E73" si="220">+A42</f>
        <v>43344</v>
      </c>
      <c r="F42" s="7">
        <v>39.165000000000006</v>
      </c>
      <c r="G42" s="7">
        <v>165.2</v>
      </c>
      <c r="H42" s="1">
        <f>[2]NACIONALES!$D30</f>
        <v>15268.33</v>
      </c>
      <c r="I42" s="7">
        <v>84</v>
      </c>
      <c r="J42" s="7">
        <v>450</v>
      </c>
      <c r="K42" s="7">
        <v>2.4</v>
      </c>
      <c r="L42" s="7">
        <v>26.1</v>
      </c>
      <c r="N42" s="5">
        <v>1.5804</v>
      </c>
      <c r="O42" s="5">
        <v>1.4230999999999998</v>
      </c>
      <c r="P42" s="78">
        <f t="shared" ref="P42:P57" si="221">IFERROR(+AVERAGE(N42:O42)*(F42-3),"")</f>
        <v>54.310788750000007</v>
      </c>
      <c r="Q42" s="6">
        <v>585</v>
      </c>
      <c r="R42" s="79">
        <f t="shared" ref="R42:R73" si="222">IFERROR(Q42*10,"")</f>
        <v>5850</v>
      </c>
      <c r="S42" s="6">
        <v>176.25</v>
      </c>
      <c r="T42" s="6">
        <v>270.64999999999998</v>
      </c>
      <c r="U42" s="143">
        <v>147.30500000000001</v>
      </c>
      <c r="V42" s="6">
        <v>251.26500000000001</v>
      </c>
      <c r="W42" s="6">
        <v>122.95</v>
      </c>
      <c r="X42" s="6">
        <v>196.85499999999999</v>
      </c>
      <c r="Y42" s="79">
        <f t="shared" ref="Y42:Y73" si="223">IFERROR(+AVERAGE(S42)*$F42,"")</f>
        <v>6902.8312500000011</v>
      </c>
      <c r="Z42" s="79">
        <f t="shared" ref="Z42:Z73" si="224">IFERROR(+AVERAGE(T42)*$F42,"")</f>
        <v>10600.007250000001</v>
      </c>
      <c r="AA42" s="79">
        <f t="shared" ref="AA42:AA73" si="225">IFERROR(+AVERAGE(U42)*$F42,"")</f>
        <v>5769.2003250000016</v>
      </c>
      <c r="AB42" s="79">
        <f t="shared" ref="AB42:AB73" si="226">IFERROR(+AVERAGE(V42)*$F42,"")</f>
        <v>9840.7937250000014</v>
      </c>
      <c r="AC42" s="79">
        <f t="shared" ref="AC42:AC73" si="227">IFERROR(+AVERAGE(W42)*$F42,"")</f>
        <v>4815.3367500000013</v>
      </c>
      <c r="AD42" s="79">
        <f t="shared" ref="AD42:AD73" si="228">IFERROR(+AVERAGE(X42)*$F42,"")</f>
        <v>7709.8260750000009</v>
      </c>
      <c r="AE42" s="79">
        <f t="shared" ref="AE42:AE73" si="229">IFERROR(+AVERAGE(S42:X42)*F42,"")</f>
        <v>7606.3325625000007</v>
      </c>
      <c r="AF42" s="1">
        <v>23881.7</v>
      </c>
      <c r="AG42" s="1">
        <v>7020</v>
      </c>
      <c r="AH42" s="1">
        <v>26040</v>
      </c>
      <c r="AI42" s="5">
        <v>10.130000000000001</v>
      </c>
      <c r="AJ42" s="5">
        <v>8.14</v>
      </c>
      <c r="AK42" s="5">
        <v>6.74</v>
      </c>
      <c r="AL42" s="5">
        <v>6.06</v>
      </c>
      <c r="AM42" s="78">
        <f t="shared" ref="AM42:AM73" si="230">+AI42*0.46+AJ42*0.04+AK42*0.26+AL42*0.24</f>
        <v>8.1921999999999997</v>
      </c>
      <c r="AN42" s="7">
        <v>559.41340782122904</v>
      </c>
      <c r="AO42" s="7">
        <v>313.30263157894734</v>
      </c>
      <c r="AP42" s="78">
        <f t="shared" si="146"/>
        <v>313.30263157894734</v>
      </c>
      <c r="AQ42" s="7">
        <v>250.12037037037038</v>
      </c>
      <c r="AR42" s="7">
        <v>281.37052631578945</v>
      </c>
      <c r="AS42" s="7">
        <v>236</v>
      </c>
      <c r="AT42" s="7">
        <v>236.57894736842104</v>
      </c>
      <c r="AU42" s="78">
        <f t="shared" si="53"/>
        <v>251.31649122807016</v>
      </c>
      <c r="AV42" s="7">
        <v>146.87791208791214</v>
      </c>
      <c r="AW42" s="7">
        <v>298.69111111111113</v>
      </c>
      <c r="AX42" s="7">
        <v>183.73555555555555</v>
      </c>
      <c r="AY42" s="7">
        <v>289.54717948717956</v>
      </c>
      <c r="AZ42" s="7">
        <v>150.54944444444448</v>
      </c>
      <c r="BA42" s="7">
        <v>120.86638888888888</v>
      </c>
      <c r="BB42" s="94">
        <f t="shared" si="45"/>
        <v>198.39954831434</v>
      </c>
      <c r="BC42" s="68">
        <v>811.3</v>
      </c>
      <c r="BD42" s="68">
        <v>881</v>
      </c>
      <c r="BE42" s="7">
        <f>+BE41</f>
        <v>700</v>
      </c>
      <c r="BF42" s="7">
        <f>+BF41</f>
        <v>460</v>
      </c>
      <c r="BG42" s="94">
        <f t="shared" si="56"/>
        <v>713.07500000000005</v>
      </c>
      <c r="BH42" s="7">
        <v>53.11</v>
      </c>
      <c r="BI42" s="7">
        <f t="shared" si="199"/>
        <v>15.981</v>
      </c>
      <c r="BJ42" s="78">
        <f t="shared" si="57"/>
        <v>69.090999999999994</v>
      </c>
      <c r="BK42" s="7">
        <v>48.405999999999999</v>
      </c>
      <c r="BL42" s="7">
        <v>56.84</v>
      </c>
      <c r="BM42" s="94">
        <f t="shared" si="58"/>
        <v>52.623000000000005</v>
      </c>
      <c r="BN42" s="5">
        <v>7.92</v>
      </c>
      <c r="BO42" s="5">
        <v>41.382499999999986</v>
      </c>
      <c r="BP42" s="80">
        <v>24.28833333333333</v>
      </c>
      <c r="BQ42" s="94">
        <f t="shared" si="59"/>
        <v>39.673083333333324</v>
      </c>
      <c r="BR42" s="7">
        <v>29.54</v>
      </c>
      <c r="BS42" s="7">
        <v>100</v>
      </c>
      <c r="BT42" s="7">
        <v>144.5</v>
      </c>
      <c r="BU42" s="79">
        <f t="shared" si="147"/>
        <v>1633.5</v>
      </c>
      <c r="BV42" s="7">
        <v>48.8</v>
      </c>
      <c r="BW42" s="7"/>
      <c r="BY42" s="92">
        <f>BY$10*(1+((H42/H$10-1)*costos!$B$5+((I42*F42)/(I$10*F$10)-1)*costos!$E$5+((J42*F42)/((J$10*F$10)-1)*costos!$F$5/3+((K42*F42)/(K$10*F$10)-1)*costos!$F$5/3+((U42*F42)/(U$10*F$10)-1)*costos!$F$5/3+((L42*F42)/(L$10*F$10)-1)*costos!$G$5+((N42*F42)/(N$10*F$10)-1)*costos!$J$5+((V42*F42)/(V$10*F$10)-1)*costos!$K$5)))</f>
        <v>296.33128315083263</v>
      </c>
      <c r="BZ42" s="92">
        <f>$BZ$10*(1+((H42/$H$10-1)*costos!$B$6+((I42*F42)/($I$10*$F$10)-1)*costos!$E$6+((J42*F42)/(($J$10*$F$10)-1)*costos!$F$6/3+((K42*F42)/($K$10*$F$10)-1)*costos!$F$6/3+((U42*F42)/($U$10*$F$10)-1)*costos!$F$6/3+((L42*F42)/($L$10*$F$10)-1)*costos!$G$6+((Q42*F42)/($Q$10*$F$10)-1)*costos!$J$6+((V42*F42)/($V$10*$F$10)-1)*costos!$K$6)))</f>
        <v>264.02490276195567</v>
      </c>
      <c r="CA42" s="92">
        <f>CA$10*(1+((H42/H$10-1)*costos!$B$7+((I42*F42)/(I$10*F$10)-1)*costos!$E$7+((J42*F42)/((J$10*F$10)-1)*costos!$F$7/3+((K42*F42)/(K$10*F$10)-1)*costos!$F$7/3+((U42*F42)/(U$10*F$10)-1)*costos!$F$7/3+((L42*F42)/(L$10*F$10)-1)*costos!$G$7+((S42*F42)/(S$10*F$10)-1)*costos!$J$7+((V42*F42)/(V$10*F$10)-1)*costos!$K$7)))</f>
        <v>290.96212099043254</v>
      </c>
      <c r="CB42" s="92">
        <f>CB$10*(1+((H42/H$10-1)*costos!$B$8+((I42*F42)/(I$10*F$10)-1)*costos!$E$8+((J42*F42)/((J$10*F$10)-1)*costos!$F$8/3+((K42*F42)/(K$10*F$10)-1)*costos!$F$8/3+((U42*F42)/(U$10*F$10)-1)*costos!$F$8/3+((L42*F42)/(L$10*F$10)-1)*costos!$G$8+((T42*F42)/(T$10*F$10)-1)*costos!$J$8+((V42*F42)/(V$10*F$10)-1)*costos!$K$8)))</f>
        <v>279.32378670634932</v>
      </c>
      <c r="CC42" s="92">
        <f>CC$10*(1+((H42/H$10-1)*costos!$B$9+((I42*F42)/(I$10*F$10)-1)*costos!$E$9+((J42*F42)/((J$10*F$10)-1)*costos!$F$9/3+((K42*F42)/(K$10*F$10)-1)*costos!$F$9/3+((U42*F42)/(U$10*F$10)-1)*costos!$F$9/3+((L42*F42)/(L$10*F$10)-1)*costos!$G$9+((U42*F42)/(U$10*F$10)-1)*costos!$J$9+((V42*F42)/(V$10*F$10)-1)*costos!$K$9)))</f>
        <v>275.98855264504022</v>
      </c>
      <c r="CD42" s="92">
        <f>CD$10*(1+((H42/H$10-1)*costos!$B$11+((I42*F42)/(I$10*F$10)-1)*costos!$E$11+((J42*F42)/((J$10*F$10)-1)*costos!$F$11/3+((K42*F42)/(K$10*F$10)-1)*costos!$F$11/3+((U42*F42)/(U$10*F$10)-1)*costos!$F$11/3+((L42*F42)/(L$10*F$10)-1)*costos!$G$11+((V42*F42)/(V$10*F$10)-1)*costos!$J$11+((V42*F42)/(V$10*F$10)-1)*costos!$K$11)))</f>
        <v>289.06916968163165</v>
      </c>
      <c r="CE42" s="92">
        <f>CE$10*(1+((H42/H$10-1)*costos!$B$12+((I42*F42)/(I$10*F$10)-1)*costos!$E$12+((J42*F42)/((J$10*F$10)-1)*costos!$F$12/3+((K42*F42)/(K$10*F$10)-1)*costos!$F$12/3+((U42*F42)/(U$10*F$10)-1)*costos!$F$12/3+((L42*F42)/(L$10*F$10)-1)*costos!$G$12+((W42*F42)/(W$10*F$10)-1)*costos!$J$12+((V42*F42)/(V$10*F$10)-1)*costos!$K$12)))</f>
        <v>258.50997747001207</v>
      </c>
      <c r="CF42" s="92">
        <f>CF$10*(1+((H42/H$10-1)*costos!$B$13+((I42*F42)/(I$10*F$10)-1)*costos!$E$13+((J42*F42)/((J$10*F$10)-1)*costos!$F$13/3+((K42*F42)/(K$10*F$10)-1)*costos!$F$13/3+((U42*F42)/(U$10*F$10)-1)*costos!$F$13/3+((L42*F42)/(L$10*F$10)-1)*costos!$G$13+((X42*F42)/(X$10*F$10)-1)*costos!$J$13+((V42*F42)/(V$10*F$10)-1)*costos!$K$13)))</f>
        <v>300.12089498042275</v>
      </c>
      <c r="CG42" s="92">
        <f t="shared" si="60"/>
        <v>282.32908374564806</v>
      </c>
      <c r="CH42" s="92">
        <f>CH$10*(1+((H42/H$10-1)*costos!$B$10+((I42*F42)/(I$10*F$10)-1)*costos!$E$10+((J42*F42)/((J$10*F$10)-1)*costos!$F$10/3+((K42*F42)/(K$10*F$10)-1)*costos!$F$10/3+((U42*F42)/(U$10*F$10)-1)*costos!$F$10/3+((L42*F42)/(L$10*F$10)-1)*costos!$G$10+((AF42)/(AF$10)-1)*costos!$J$10+((V42*F42)/(V$10*F$10)-1)*costos!$K$10)))</f>
        <v>310.43604805677865</v>
      </c>
      <c r="CI42" s="92">
        <f>CI$10*(1+((H42/H$10-1)*costos!$B$15+((I42*F42)/(I$10*F$10)-1)*costos!$E$15+((J42*F42)/((J$10*F$10)-1)*costos!$F$15/3+((K42*F42)/(K$10*F$10)-1)*costos!$F$15/3+((U42*F42)/(U$10*F$10)-1)*costos!$F$15/3+((L42*F42)/(L$10*F$10)-1)*costos!$G$15+((AV42)/(AV$10)-1)*costos!$J$15+((V42*F42)/(V$10*F$10)-1)*costos!$K$15)))</f>
        <v>256.34203115604157</v>
      </c>
      <c r="CJ42" s="92">
        <f>CJ$10*(1+((H42/H$10-1)*costos!$B$16+((I42*F42)/(I$10*F$10)-1)*costos!$E$16+((J42*F42)/((J$10*F$10)-1)*costos!$F$16/3+((K42*F42)/(K$10*F$10)-1)*costos!$F$16/3+((U42*F42)/(U$10*F$10)-1)*costos!$F$16/3+((L42*F42)/(L$10*F$10)-1)*costos!$G$16+((AW42)/(AW$10)-1)*costos!$J$16+((V42*F42)/(V$10*F$10)-1)*costos!$K$16)))</f>
        <v>211.2113118084375</v>
      </c>
      <c r="CK42" s="92">
        <f>CK$10*(1+((H42/H$10-1)*costos!$B$17+((I42*F42)/(I$10*F$10)-1)*costos!$E$17+((J42*F42)/((J$10*F$10)-1)*costos!$F$17/3+((K42*F42)/(K$10*F$10)-1)*costos!$F$17/3+((U42*F42)/(U$10*F$10)-1)*costos!$F$17/3+((L42*F42)/(L$10*F$10)-1)*costos!$G$17+((AX42)/(AX$10)-1)*costos!$J$17+((V42*F42)/(V$10*F$10)-1)*costos!$K$17)))</f>
        <v>246.05952425679121</v>
      </c>
      <c r="CL42" s="92">
        <f>CL$10*(1+((H42/H$10-1)*costos!$B$18+((I42*F42)/(I$10*F$10)-1)*costos!$E$18+((J42*F42)/((J$10*F$10)-1)*costos!$F$18/3+((K42*F42)/(K$10*F$10)-1)*costos!$F$18/3+((U42*F42)/(U$10*F$10)-1)*costos!$F$18/3+((L42*F42)/(L$10*F$10)-1)*costos!$G$18+((AY42)/(AY$10)-1)*costos!$J$18+((V42*F42)/(V$10*F$10)-1)*costos!$K$18)))</f>
        <v>264.68996210475512</v>
      </c>
      <c r="CM42" s="92">
        <f>CM$10*(1+((H42/H$10-1)*costos!$B$19+((I42*F42)/(I$10*F$10)-1)*costos!$E$19+((J42*F42)/((J$10*F$10)-1)*costos!$F$19/3+((K42*F42)/(K$10*F$10)-1)*costos!$F$19/3+((U42*F42)/(U$10*F$10)-1)*costos!$F$19/3+((L42*F42)/(L$10*F$10)-1)*costos!$G$19+((AZ42)/(AZ$10)-1)*costos!$J$19+((V42*F42)/(V$10*F$10)-1)*costos!$K$19)))</f>
        <v>204.78453690846209</v>
      </c>
      <c r="CN42" s="92">
        <f>CN$10*(1+((H42/H$10-1)*costos!$B$20+((I42*F42)/(I$10*F$10)-1)*costos!$E$20+((J42*F42)/((J$10*F$10)-1)*costos!$F$20/3+((K42*F42)/(K$10*F$10)-1)*costos!$F$20/3+((U42*F42)/(U$10*F$10)-1)*costos!$F$20/3+((L42*F42)/(L$10*F$10)-1)*costos!$G$20+((BA42)/(BA$10)-1)*costos!$J$20+((V42*F42)/(V$10*F$10)-1)*costos!$K$20)))</f>
        <v>212.38836790337496</v>
      </c>
      <c r="CO42" s="92">
        <f t="shared" si="61"/>
        <v>231.98059779334585</v>
      </c>
      <c r="CP42" s="92">
        <f>CP$10*(1+((H42/H$10-1)*costos!$B$22+((I42*F42)/(I$10*F$10)-1)*costos!$E$22+((J42*F42)/((J$10*F$10)-1)*costos!$F$22/3+((K42*F42)/(K$10*F$10)-1)*costos!$F$22/3+((U42*F42)/(U$10*F$10)-1)*costos!$F$22/3+((L42*F42)/(L$10*F$10)-1)*costos!$G$22+(((AVERAGE(AI42:AL42))/((AVERAGE(AI$10:AL$10))-1)*costos!$J$22+((V42*F42)/(V$10*F$10)-1)*costos!$K$22)))))</f>
        <v>268.97406830490968</v>
      </c>
      <c r="CQ42" s="92">
        <f>CQ$10*(1+((H42/H$10-1)*costos!$B$23+((I42*F42)/(I$10*F$10)-1)*costos!$E$23+((J42*F42)/((J$10*F$10)-1)*costos!$F$23/3+((K42*F42)/(K$10*F$10)-1)*costos!$F$23/3+((U42*F42)/(U$10*F$10)-1)*costos!$F$23/3+((L42*F42)/(L$10*F$10)-1)*costos!$G$23+((AN42)/(AN$10)-1)*costos!$J$23+((V42*F42)/(V$10*F$10)-1)*costos!$K$23)))</f>
        <v>221.83223333174345</v>
      </c>
      <c r="CR42" s="92">
        <f>CR$10*(1+((H42/H$10-1)*costos!$B$24+((I42*F42)/(I$10*F$10)-1)*costos!$E$24+((J42*F42)/((J$10*F$10)-1)*costos!$F$24/3+((K42*F42)/(K$10*F$10)-1)*costos!$F$24/3+((U42*F42)/(U$10*F$10)-1)*costos!$F$24/3+((L42*F42)/(L$10*F$10)-1)*costos!$G$24+((AO42)/(AO$10)-1)*costos!$J$24+((V42*F42)/(V$10*F$10)-1)*costos!$K$24)))</f>
        <v>219.95321947970342</v>
      </c>
      <c r="CS42" s="92">
        <f t="shared" si="62"/>
        <v>220.89272640572344</v>
      </c>
      <c r="CT42" s="92">
        <f>CT$10*(1+((H42/H$10-1)*costos!$B$25+((I42*F42)/(I$10*F$10)-1)*costos!$E$25+((J42*F42)/((J$10*F$10)-1)*costos!$F$25/3+((K42*F42)/(K$10*F$10)-1)*costos!$F$25/3+((U42*F42)/(U$10*F$10)-1)*costos!$F$25/3+((L42*F42)/(L$10*F$10)-1)*costos!$G$25+((AQ42)/(AQ$10)-1)*costos!$J$25+((V42*F42)/(V$10*F$10)-1)*costos!$K$25)))</f>
        <v>218.99892127624844</v>
      </c>
      <c r="CU42" s="92">
        <f>CU$10*(1+((H42/H$10-1)*costos!$B$26+((I42*F42)/(I$10*F$10)-1)*costos!$E$26+((J42*F42)/((J$10*F$10)-1)*costos!$F$26/3+((K42*F42)/(K$10*F$10)-1)*costos!$F$26/3+((U42*F42)/(U$10*F$10)-1)*costos!$F$26/3+((L42*F42)/(L$10*F$10)-1)*costos!$G$26+((AR42)/(AR$10)-1)*costos!$J$26+((V42*F42)/(V$10*F$10)-1)*costos!$K$26)))</f>
        <v>232.08320981509911</v>
      </c>
      <c r="CV42" s="92">
        <f>CV$10*(1+((H42/H$10-1)*costos!$B$27+((I42*F42)/(I$10*F$10)-1)*costos!$E$27+((J42*F42)/((J$10*F$10)-1)*costos!$F$27/3+((K42*F42)/(K$10*F$10)-1)*costos!$F$27/3+((U42*F42)/(U$10*F$10)-1)*costos!$F$27/3+((L42*F42)/(L$10*F$10)-1)*costos!$G$27+((AS42)/(AS$10)-1)*costos!$J$27+((V42*F42)/(V$10*F$10)-1)*costos!$K$27)))</f>
        <v>228.71323368571063</v>
      </c>
      <c r="CW42" s="92">
        <f>CW$10*(1+((H42/H$10-1)*costos!$B$28+((I42*F42)/(I$10*F$10)-1)*costos!$E$28+((J42*F42)/((J$10*F$10)-1)*costos!$F$28/3+((K42*F42)/(K$10*F$10)-1)*costos!$F$28/3+((U42*F42)/(U$10*F$10)-1)*costos!$F$28/3+((L42*F42)/(L$10*F$10)-1)*costos!$G$28+((AS42)/(AS$10)-1)*costos!$J$28+((V42*F42)/(V$10*F$10)-1)*costos!$K$28)))</f>
        <v>228.71323368571063</v>
      </c>
      <c r="CX42" s="92">
        <f t="shared" si="63"/>
        <v>229.83655906217345</v>
      </c>
      <c r="CY42" s="92">
        <f>CY$10*(1+((H42/H$10-1)*costos!$B$32+((I42*F42)/(I$10*F$10)-1)*costos!$E$32+((J42*F42)/((J$10*F$10)-1)*costos!$F$32/3+((K42*F42)/(K$10*F$10)-1)*costos!$F$32/3+((U42*F42)/(U$10*F$10)-1)*costos!$F$32/3+((L42*F42)/(L$10*F$10)-1)*costos!$G$32+((AG42)/(AG$10)-1)*costos!$J$32+((V42*F42)/(V$10*F$10)-1)*costos!$K$32)))</f>
        <v>211.85659672172113</v>
      </c>
      <c r="CZ42" s="69">
        <f>CZ$10*(1+((H42/H$10-1)*costos!$B$31+((I42*F42)/(I$10*F$10)-1)*costos!$E$30+((J42*F42)/((J$10*F$10)-1)*costos!$F$30/3+((K42*F42)/(K$10*F$10)-1)*costos!$F$30/3+((U42*F42)/(U$10*F$10)-1)*costos!$F$30/3+((L42*F42)/(L$10*F$10)-1)*costos!$G$30+((BG42)/(BG$10)-1)*costos!$J$30+((V42*F42)/(V$10*F$10)-1)*costos!$K$30)))</f>
        <v>257.73218184503622</v>
      </c>
      <c r="DA42" s="69">
        <f>DA$10*(1+((H42/H$10-1)*costos!$B$31+((I42*F42)/(I$10*F$10)-1)*costos!$E$31+((J42*F42)/((J$10*F$10)-1)*costos!$F$31/3+((K42*F42)/(K$10*F$10)-1)*costos!$F$31/3+((U42*F42)/(U$10*F$10)-1)*costos!$F$31/3+((L42*F42)/(L$10*F$10)-1)*costos!$G$31+((BJ42)/(BJ$10)-1)*costos!$J$31+((V42*F42)/(V$10*F$10)-1)*costos!$K$31)))</f>
        <v>220.63044615745682</v>
      </c>
      <c r="DB42" s="69">
        <f>DB$10*(1+((H42/H$10-1)*costos!$B$36+((I42*F42)/(I$10*F$10)-1)*costos!$E$36+((J42*F42)/((J$10*F$10)-1)*costos!$F$36/3+((K42*F42)/(K$10*F$10)-1)*costos!$F$36/3+((U42*F42)/(U$10*F$10)-1)*costos!$F$36/3+((L42*F42)/(L$10*F$10)-1)*costos!$G$36+((BK42)/(BK$10)-1)*costos!$J$36+((V42*F42)/(V$10*F$10)-1)*costos!$K$36)))</f>
        <v>233.80405456922179</v>
      </c>
      <c r="DC42" s="69">
        <f>DC$10*(1+((H42/H$10-1)*costos!$B$37+((I42*F42)/(I$10*F$10)-1)*costos!$E$37+((U42*F42)/(U$10*F$10)-1)*costos!$F$37+((L42*F42)/(L$10*F$10)-1)*costos!$G$37+((BN42)/(BN$10)-1)*costos!$J$37+((V42*F42)/(V$10*F$10)-1)*costos!$K$37))</f>
        <v>268.0475345047206</v>
      </c>
      <c r="DD42" s="69">
        <f>DD$10*(1+((H42/H$10-1)*costos!$B$39+((I42*F42)/(I$10*F$10)-1)*costos!$E$39+((U42*F42)/(U$10*F$10)-1)*costos!$F$39+((L42*F42)/(L$10*F$10)-1)*costos!$G$39+((BR42)/(BR$10)-1)*costos!$J$39+((V42*F42)/(V$10*F$10)-1)*costos!$K$39))</f>
        <v>262.8091500818843</v>
      </c>
      <c r="DE42" s="69">
        <f>DD$10*(1+((H42/H$10-1)*costos!$B$35+((I42*F42)/(I$10*F$10)-1)*costos!$E$35+((U42*F42)/(U$10*F$10)-1)*costos!$F$35+((L42*F42)/(L$10*F$10)-1)*costos!$G$35+((BR42)/(BR$10)-1)*costos!$J$35+((V42*F42)/(V$10*F$10)-1)*costos!$K$35))</f>
        <v>244.49127548959586</v>
      </c>
      <c r="DF42" s="69">
        <f>DF$10*(1+((H42/H$10-1)*costos!$B$40+((I42*F42)/(I$10*F$10)-1)*costos!$E$40+((U42*F42)/(U$10*F$10)-1)*costos!$F$40+((L42*F42)/(L$10*F$10)-1)*costos!$G$40+((BP42)/(BP$10)-1)*costos!$J$40+((V42*F42)/(V$10*F$10)-1)*costos!$K$40))</f>
        <v>271.27472920957092</v>
      </c>
      <c r="DG42" s="92">
        <f t="shared" si="64"/>
        <v>257.88300234958342</v>
      </c>
      <c r="DH42" s="69">
        <f>DH$10*(1+((H42/H$10-1)*costos!$B$34+((I42*F42)/(I$10*F$10)-1)*costos!$E$34+((J42*F42)/((J$10*F$10)-1)*costos!$F$34/3+((K42*F42)/(K$10*F$10)-1)*costos!$F$34/3+((U42*F42)/(U$10*F$10)-1)*costos!$F$34/3+((L42*F42)/(L$10*F$10)-1)*costos!$G$34+((BV42)/(BV$10)-1)*costos!$J$34+((V42*F42)/(V$10*F$10)-1)*costos!$K$34)))</f>
        <v>229.47908782050419</v>
      </c>
      <c r="DI42" s="69">
        <f>DI$10*(1+((H42/H$10-1)*costos!$B$38+((I42*F42)/(I$10*F$10)-1)*costos!$E$38+((J42*F42)/((J$10*F$10)-1)*costos!$F$38/3+((K42*F42)/(K$10*F$10)-1)*costos!$F$38/3+((U42*F42)/(U$10*F$10)-1)*costos!$F$38/3+((L42*F42)/(L$10*F$10)-1)*costos!$G$38+((BU42)/(BU$10)-1)*costos!$J$38+((V42*F42)/(V$10*F$10)-1)*costos!$K$38)))</f>
        <v>214.75948972950141</v>
      </c>
      <c r="DK42" s="1">
        <v>327000</v>
      </c>
      <c r="DL42" s="1" t="str">
        <f>+DL39</f>
        <v>2017-18</v>
      </c>
      <c r="DM42" s="1">
        <v>202000</v>
      </c>
      <c r="DN42" s="1" t="str">
        <f t="shared" si="195"/>
        <v>2016-17</v>
      </c>
      <c r="DO42" s="1">
        <v>1065000</v>
      </c>
      <c r="DP42" s="1" t="str">
        <f>+DP43</f>
        <v>2018-19</v>
      </c>
      <c r="DQ42" s="1">
        <v>1700000</v>
      </c>
      <c r="DR42" s="1" t="str">
        <f>+DR41</f>
        <v>2018-19</v>
      </c>
      <c r="DS42" s="1">
        <v>5800000</v>
      </c>
      <c r="DT42" s="1" t="s">
        <v>223</v>
      </c>
      <c r="DU42" s="1">
        <v>17200000</v>
      </c>
      <c r="DV42" s="1" t="str">
        <f>+DV41</f>
        <v>2017-18</v>
      </c>
      <c r="DW42" s="1">
        <v>610000</v>
      </c>
      <c r="DX42" s="1" t="str">
        <f>+DX41</f>
        <v>2018-19</v>
      </c>
      <c r="DY42" s="1">
        <v>6290000</v>
      </c>
      <c r="DZ42" s="1" t="str">
        <f t="shared" si="211"/>
        <v>2018-19</v>
      </c>
      <c r="EA42" s="79">
        <f t="shared" si="67"/>
        <v>32665000</v>
      </c>
      <c r="EB42" s="1">
        <v>490000</v>
      </c>
      <c r="EC42" s="1" t="str">
        <f t="shared" si="212"/>
        <v>2017-18</v>
      </c>
      <c r="ED42" s="83">
        <v>169595</v>
      </c>
      <c r="EE42" s="143">
        <v>2018</v>
      </c>
      <c r="EF42" s="1">
        <f t="shared" si="121"/>
        <v>218233</v>
      </c>
      <c r="EG42" s="6">
        <f t="shared" si="122"/>
        <v>2018</v>
      </c>
      <c r="EH42" s="83">
        <v>54793181</v>
      </c>
      <c r="EI42" s="6">
        <v>2018</v>
      </c>
      <c r="EJ42" s="83">
        <f t="shared" si="200"/>
        <v>5291453</v>
      </c>
      <c r="EK42" s="143">
        <f t="shared" si="200"/>
        <v>2018</v>
      </c>
      <c r="EL42" s="1">
        <v>14339908</v>
      </c>
      <c r="EM42" s="6">
        <v>2018</v>
      </c>
      <c r="EN42" s="82">
        <f t="shared" si="201"/>
        <v>3364725</v>
      </c>
      <c r="EO42" s="144">
        <f t="shared" si="201"/>
        <v>2017</v>
      </c>
      <c r="EP42" s="82">
        <f t="shared" si="118"/>
        <v>6552</v>
      </c>
      <c r="EQ42" s="83">
        <f t="shared" si="100"/>
        <v>3003036</v>
      </c>
      <c r="ER42" s="1">
        <f t="shared" si="189"/>
        <v>33739</v>
      </c>
      <c r="ES42" s="1"/>
      <c r="ET42" s="83">
        <f t="shared" si="101"/>
        <v>22340</v>
      </c>
      <c r="EU42" s="83">
        <f t="shared" si="101"/>
        <v>17224</v>
      </c>
      <c r="EV42" s="83">
        <f t="shared" si="101"/>
        <v>9128</v>
      </c>
      <c r="EW42" s="83">
        <f t="shared" si="101"/>
        <v>17414</v>
      </c>
      <c r="EX42" s="79">
        <f t="shared" si="72"/>
        <v>66106</v>
      </c>
      <c r="EY42" s="83">
        <f t="shared" si="123"/>
        <v>19463</v>
      </c>
      <c r="EZ42" s="82">
        <f t="shared" si="123"/>
        <v>74231</v>
      </c>
      <c r="FA42" s="82">
        <f t="shared" si="103"/>
        <v>24553</v>
      </c>
      <c r="FB42" s="82">
        <f t="shared" si="103"/>
        <v>23958</v>
      </c>
      <c r="FC42" s="79">
        <f t="shared" si="73"/>
        <v>48511</v>
      </c>
      <c r="FD42" s="83">
        <f t="shared" si="158"/>
        <v>66959.290000000008</v>
      </c>
      <c r="FE42" s="1"/>
      <c r="FF42" s="1">
        <v>814000</v>
      </c>
      <c r="FG42" s="1" t="str">
        <f>+FG43</f>
        <v>2017-18</v>
      </c>
      <c r="FH42" s="1">
        <v>1370000</v>
      </c>
      <c r="FI42" s="1" t="str">
        <f t="shared" si="213"/>
        <v>2017-18</v>
      </c>
      <c r="FJ42" s="1">
        <v>3740000</v>
      </c>
      <c r="FK42" s="1" t="str">
        <f t="shared" si="202"/>
        <v>2017-18</v>
      </c>
      <c r="FL42" s="1">
        <v>3500000</v>
      </c>
      <c r="FM42" s="1" t="str">
        <f t="shared" si="203"/>
        <v>2017-18</v>
      </c>
      <c r="FN42" s="1">
        <v>31000000</v>
      </c>
      <c r="FO42" s="1" t="str">
        <f>+FO41</f>
        <v>2017-18</v>
      </c>
      <c r="FP42" s="1">
        <v>37780000</v>
      </c>
      <c r="FQ42" s="1" t="s">
        <v>6</v>
      </c>
      <c r="FR42" s="1">
        <v>1550000</v>
      </c>
      <c r="FS42" s="1" t="str">
        <f t="shared" si="214"/>
        <v>2017-18</v>
      </c>
      <c r="FT42" s="1">
        <v>18520000</v>
      </c>
      <c r="FU42" s="1" t="str">
        <f t="shared" si="196"/>
        <v>2017-18</v>
      </c>
      <c r="FV42" s="79">
        <f t="shared" si="76"/>
        <v>96090000</v>
      </c>
      <c r="FW42" s="1">
        <v>950000</v>
      </c>
      <c r="FX42" s="1" t="str">
        <f>+FX41</f>
        <v>2017-18</v>
      </c>
      <c r="FY42" s="1">
        <v>44892.364999999998</v>
      </c>
      <c r="FZ42" s="79">
        <f t="shared" si="135"/>
        <v>806656.897</v>
      </c>
      <c r="GA42" s="86" t="str">
        <f t="shared" si="136"/>
        <v>oct17 sept18</v>
      </c>
      <c r="GB42" s="1">
        <v>25733114</v>
      </c>
      <c r="GC42" s="6">
        <v>2018</v>
      </c>
      <c r="GD42" s="83">
        <f t="shared" si="165"/>
        <v>1989400</v>
      </c>
      <c r="GE42" s="83">
        <f t="shared" si="190"/>
        <v>431374</v>
      </c>
      <c r="GF42" s="83">
        <f t="shared" si="197"/>
        <v>1006779</v>
      </c>
      <c r="GG42" s="83">
        <f t="shared" si="166"/>
        <v>114118</v>
      </c>
      <c r="GH42" s="79">
        <f t="shared" si="78"/>
        <v>1552271</v>
      </c>
      <c r="GI42" s="82">
        <f t="shared" si="79"/>
        <v>1302556</v>
      </c>
      <c r="GJ42" s="83">
        <f t="shared" si="215"/>
        <v>685541.2</v>
      </c>
      <c r="GK42" s="83">
        <f t="shared" si="216"/>
        <v>1103042.8600000001</v>
      </c>
      <c r="GL42" s="83">
        <f t="shared" si="217"/>
        <v>287064.67</v>
      </c>
      <c r="GM42" s="83">
        <f t="shared" si="218"/>
        <v>260870.73</v>
      </c>
      <c r="GN42" s="79">
        <f t="shared" si="81"/>
        <v>2336519.46</v>
      </c>
      <c r="GO42" s="83">
        <f t="shared" si="107"/>
        <v>195071</v>
      </c>
      <c r="GP42" s="83">
        <f t="shared" si="107"/>
        <v>79468</v>
      </c>
      <c r="GQ42" s="83">
        <v>13900</v>
      </c>
      <c r="GR42" s="1">
        <f t="shared" si="191"/>
        <v>42800</v>
      </c>
      <c r="GS42" s="79">
        <f t="shared" si="192"/>
        <v>43217</v>
      </c>
      <c r="GT42" s="83">
        <f t="shared" si="108"/>
        <v>2483769</v>
      </c>
      <c r="GU42" s="1">
        <v>22061</v>
      </c>
      <c r="GV42" s="1">
        <v>36239</v>
      </c>
      <c r="GW42" s="79">
        <f t="shared" si="151"/>
        <v>1054691</v>
      </c>
      <c r="GX42" s="1">
        <v>26114.056</v>
      </c>
      <c r="GY42" s="1" t="s">
        <v>327</v>
      </c>
      <c r="GZ42" s="1">
        <v>104093.27099999999</v>
      </c>
      <c r="HA42" s="1">
        <v>237350</v>
      </c>
      <c r="HB42" s="79">
        <f t="shared" si="204"/>
        <v>3030732</v>
      </c>
      <c r="HC42" s="86" t="str">
        <f t="shared" si="138"/>
        <v>oct17 sept18</v>
      </c>
      <c r="HD42" s="1">
        <v>51041</v>
      </c>
      <c r="HE42" s="79">
        <f t="shared" si="139"/>
        <v>608490</v>
      </c>
      <c r="HF42" s="86" t="str">
        <f t="shared" si="140"/>
        <v>oct17 sept18</v>
      </c>
      <c r="HG42" s="83">
        <v>164000</v>
      </c>
      <c r="HH42" s="79">
        <f t="shared" si="205"/>
        <v>2061000</v>
      </c>
      <c r="HI42" s="86" t="str">
        <f t="shared" si="142"/>
        <v>oct17 sept18</v>
      </c>
      <c r="HJ42" s="1">
        <f>+(251176*30*12)/1000</f>
        <v>90423.360000000001</v>
      </c>
      <c r="HK42" s="79">
        <f t="shared" si="143"/>
        <v>61011.167999999998</v>
      </c>
      <c r="HL42" s="86" t="str">
        <f t="shared" si="144"/>
        <v>oct17 sept18</v>
      </c>
      <c r="HM42" s="79">
        <f t="shared" si="86"/>
        <v>2122011.1680000001</v>
      </c>
      <c r="HN42" s="87">
        <f t="shared" si="206"/>
        <v>9.287724423582433E-2</v>
      </c>
      <c r="HO42" s="1">
        <v>974100000</v>
      </c>
      <c r="HP42" s="79">
        <f t="shared" si="153"/>
        <v>10244.90897345803</v>
      </c>
      <c r="HQ42" s="86" t="str">
        <f t="shared" si="145"/>
        <v>oct17 sept18</v>
      </c>
      <c r="HR42" s="3"/>
      <c r="HS42" s="1"/>
      <c r="HT42" s="1"/>
      <c r="HU42" s="83">
        <f t="shared" si="207"/>
        <v>680000</v>
      </c>
      <c r="HV42" s="83" t="str">
        <f t="shared" si="208"/>
        <v>2017-18</v>
      </c>
      <c r="HW42" s="83">
        <v>1350000</v>
      </c>
      <c r="HX42" s="1" t="s">
        <v>6</v>
      </c>
      <c r="HY42" s="1">
        <v>3400000</v>
      </c>
      <c r="HZ42" s="1" t="s">
        <v>6</v>
      </c>
      <c r="IA42" s="1">
        <f t="shared" si="209"/>
        <v>19890000</v>
      </c>
      <c r="IB42" s="1" t="s">
        <v>6</v>
      </c>
      <c r="IC42" s="1">
        <v>41300000</v>
      </c>
      <c r="ID42" s="1" t="s">
        <v>6</v>
      </c>
      <c r="IE42" s="1">
        <f t="shared" si="210"/>
        <v>1550000</v>
      </c>
      <c r="IF42" s="1" t="s">
        <v>6</v>
      </c>
      <c r="IG42" s="1">
        <f t="shared" si="188"/>
        <v>6500000</v>
      </c>
      <c r="IH42" s="1" t="s">
        <v>6</v>
      </c>
      <c r="II42" s="79">
        <f t="shared" si="87"/>
        <v>73990000</v>
      </c>
      <c r="IJ42" s="97">
        <f t="shared" si="167"/>
        <v>1.5629261117125455</v>
      </c>
      <c r="IK42" s="1" t="s">
        <v>6</v>
      </c>
      <c r="IL42" s="7">
        <v>39.35</v>
      </c>
      <c r="IM42" s="7">
        <v>51.5</v>
      </c>
      <c r="IN42" s="7">
        <v>190</v>
      </c>
      <c r="IO42" s="695">
        <v>14.56</v>
      </c>
      <c r="IP42" s="98">
        <f t="shared" si="193"/>
        <v>5.6422028615424455</v>
      </c>
      <c r="IQ42" s="96">
        <v>18.899999999999999</v>
      </c>
      <c r="IR42" s="98">
        <f t="shared" si="194"/>
        <v>5.93</v>
      </c>
      <c r="IS42" s="98">
        <f t="shared" si="194"/>
        <v>5.67</v>
      </c>
      <c r="IT42" s="98">
        <f t="shared" si="194"/>
        <v>11.35</v>
      </c>
      <c r="IU42" s="98">
        <f t="shared" si="194"/>
        <v>0.88</v>
      </c>
      <c r="IV42" s="94">
        <f t="shared" si="89"/>
        <v>17.899999999999999</v>
      </c>
      <c r="IW42" s="84"/>
      <c r="IX42" s="84"/>
      <c r="IY42" s="105">
        <v>1.84</v>
      </c>
      <c r="IZ42" s="161">
        <v>0.3</v>
      </c>
      <c r="JA42" s="83">
        <v>1500</v>
      </c>
      <c r="JB42" s="84">
        <v>37.22</v>
      </c>
      <c r="JC42" s="84"/>
      <c r="JD42" s="84"/>
      <c r="JE42" s="1"/>
      <c r="JF42" s="2">
        <v>34.568423470000013</v>
      </c>
      <c r="JG42" s="2">
        <v>14.388441969999999</v>
      </c>
      <c r="JH42" s="2">
        <v>37.412971300000002</v>
      </c>
      <c r="JI42" s="2">
        <v>45.422756680000006</v>
      </c>
      <c r="JJ42" s="2">
        <v>332.40610140999996</v>
      </c>
      <c r="JK42" s="2">
        <v>58.962605289999999</v>
      </c>
      <c r="JL42" s="2">
        <v>1144.1600140099999</v>
      </c>
      <c r="JM42" s="2">
        <v>3.0495782400000002</v>
      </c>
      <c r="JN42" s="2">
        <v>133.67489118</v>
      </c>
      <c r="JO42" s="2">
        <v>14.894635149999999</v>
      </c>
      <c r="JP42" s="2">
        <v>0</v>
      </c>
      <c r="JQ42" s="2">
        <v>0</v>
      </c>
      <c r="JR42" s="2">
        <v>0.20892084</v>
      </c>
      <c r="JS42" s="2">
        <v>0</v>
      </c>
      <c r="JT42" s="2">
        <v>0</v>
      </c>
      <c r="JU42" s="2">
        <v>92.941241879999993</v>
      </c>
      <c r="JV42" s="2">
        <v>4.3353269100000009</v>
      </c>
      <c r="JW42" s="2">
        <v>9.0340119300000001</v>
      </c>
      <c r="JX42" s="2">
        <v>26.809205429999999</v>
      </c>
      <c r="JY42" s="2">
        <v>0</v>
      </c>
      <c r="JZ42" s="2">
        <v>4.7330290500000007</v>
      </c>
      <c r="KA42" s="2">
        <v>0</v>
      </c>
      <c r="KB42" s="2">
        <v>2.35736218</v>
      </c>
      <c r="KC42" s="2">
        <v>35.186871850000003</v>
      </c>
      <c r="KD42" s="2">
        <v>10.30519668</v>
      </c>
      <c r="KE42" s="2">
        <v>26.99250168</v>
      </c>
      <c r="KF42" s="2">
        <v>27.129243300000006</v>
      </c>
      <c r="KG42" s="2">
        <v>259.90462441</v>
      </c>
      <c r="KH42" s="2">
        <v>72.820398080000004</v>
      </c>
      <c r="KI42" s="2">
        <v>28.816406010000001</v>
      </c>
      <c r="KJ42" s="2">
        <v>2.5303447800000001</v>
      </c>
      <c r="KK42" s="2">
        <v>5.1648415400000003</v>
      </c>
      <c r="KL42" s="2">
        <v>6.8477999999999997E-2</v>
      </c>
      <c r="KM42" s="2">
        <v>4.8461488999999993</v>
      </c>
      <c r="KN42" s="2">
        <v>0.44154673000000005</v>
      </c>
      <c r="KO42" s="2">
        <v>1.3871065499999999</v>
      </c>
      <c r="KP42" s="2">
        <v>0</v>
      </c>
      <c r="KQ42" s="2">
        <v>124.94630903000001</v>
      </c>
      <c r="KR42" s="2">
        <v>0</v>
      </c>
      <c r="KS42" s="2">
        <v>0.28276192999999999</v>
      </c>
      <c r="KT42" s="2">
        <v>2.7953614999999998</v>
      </c>
      <c r="KU42" s="2">
        <v>0.26673711</v>
      </c>
      <c r="KV42" s="2">
        <v>0.50709225999999996</v>
      </c>
      <c r="KW42" s="2">
        <v>1.7187177200000001</v>
      </c>
      <c r="KX42" s="2">
        <v>0</v>
      </c>
      <c r="KY42" s="2">
        <v>0</v>
      </c>
      <c r="KZ42" s="2">
        <v>0.94201140999999999</v>
      </c>
      <c r="LA42" s="2">
        <v>0.46454612000000001</v>
      </c>
      <c r="LB42" s="2">
        <v>0</v>
      </c>
      <c r="LC42" s="2">
        <v>0</v>
      </c>
      <c r="LD42" s="2">
        <v>0</v>
      </c>
      <c r="LE42" s="2">
        <v>0.84705348000000003</v>
      </c>
      <c r="LF42" s="2">
        <v>0</v>
      </c>
      <c r="LG42" s="2">
        <v>16.465361260000002</v>
      </c>
      <c r="LH42" s="2">
        <v>1.91841229</v>
      </c>
      <c r="LI42" s="2">
        <v>0</v>
      </c>
      <c r="LJ42" s="2">
        <v>0</v>
      </c>
      <c r="LK42" s="2">
        <v>0.42050897000000004</v>
      </c>
      <c r="LL42" s="2">
        <v>6.2852508699999996</v>
      </c>
      <c r="LM42" s="2">
        <v>0.88029893000000004</v>
      </c>
      <c r="LN42" s="2">
        <v>0</v>
      </c>
      <c r="LO42" s="2">
        <v>6.6572626500000007</v>
      </c>
      <c r="LQ42" s="85">
        <f t="shared" si="90"/>
        <v>1696.1263128200001</v>
      </c>
      <c r="LR42" s="85">
        <f t="shared" si="91"/>
        <v>0.20892084</v>
      </c>
      <c r="LS42" s="85">
        <f t="shared" si="92"/>
        <v>13.369338840000001</v>
      </c>
      <c r="LT42" s="85">
        <f t="shared" si="93"/>
        <v>4.7330290500000007</v>
      </c>
      <c r="LU42" s="85">
        <f t="shared" si="94"/>
        <v>131.90387314</v>
      </c>
      <c r="LV42" s="85">
        <f t="shared" si="95"/>
        <v>2.2258099800000002</v>
      </c>
      <c r="LW42" s="85">
        <f t="shared" si="96"/>
        <v>0.46454612000000001</v>
      </c>
      <c r="LX42" s="85">
        <f t="shared" si="97"/>
        <v>0.84705348000000003</v>
      </c>
      <c r="LZ42" s="131">
        <v>37.76</v>
      </c>
      <c r="MA42" s="171">
        <v>33.39</v>
      </c>
      <c r="MB42"/>
      <c r="MC42"/>
      <c r="MD42"/>
      <c r="MF42"/>
      <c r="MG42"/>
      <c r="MH42" s="83">
        <v>67.25</v>
      </c>
      <c r="MI42" s="83">
        <v>26.92</v>
      </c>
      <c r="MJ42" s="83">
        <v>16.149999999999999</v>
      </c>
      <c r="MK42"/>
      <c r="ML42" s="83">
        <v>23.04</v>
      </c>
      <c r="MM42" s="83">
        <v>39.33</v>
      </c>
      <c r="MN42" s="83"/>
      <c r="MO42" s="83">
        <v>19.52</v>
      </c>
      <c r="MP42" s="83">
        <v>46.79</v>
      </c>
      <c r="MQ42" s="83">
        <v>44.38</v>
      </c>
      <c r="MR42"/>
      <c r="MT42" s="83"/>
      <c r="MU42" s="83">
        <v>21.79</v>
      </c>
      <c r="MV42"/>
      <c r="MW42"/>
      <c r="MX42"/>
      <c r="MY42" s="83">
        <v>50.37</v>
      </c>
      <c r="MZ42" s="83">
        <v>129.19999999999999</v>
      </c>
      <c r="NA42" s="83">
        <v>60.57</v>
      </c>
      <c r="NB42" s="83">
        <v>171.42</v>
      </c>
      <c r="NC42" s="83">
        <v>28.28</v>
      </c>
      <c r="ND42"/>
      <c r="NE42" s="1">
        <v>150.22</v>
      </c>
    </row>
    <row r="43" spans="1:369">
      <c r="A43" s="38">
        <f t="shared" si="219"/>
        <v>43374</v>
      </c>
      <c r="B43" s="36">
        <f t="shared" si="198"/>
        <v>10</v>
      </c>
      <c r="C43" s="36">
        <v>2018</v>
      </c>
      <c r="D43" s="36">
        <f t="shared" si="50"/>
        <v>43</v>
      </c>
      <c r="E43" s="38">
        <f t="shared" si="220"/>
        <v>43374</v>
      </c>
      <c r="F43" s="7">
        <v>37.93636363636363</v>
      </c>
      <c r="G43" s="7">
        <v>174.1</v>
      </c>
      <c r="H43" s="1">
        <f>[2]NACIONALES!$D31</f>
        <v>15915.29</v>
      </c>
      <c r="I43" s="7">
        <v>88</v>
      </c>
      <c r="J43" s="7">
        <v>460</v>
      </c>
      <c r="K43" s="7">
        <v>2.9</v>
      </c>
      <c r="L43" s="7">
        <v>25.4</v>
      </c>
      <c r="N43" s="5">
        <v>1.56</v>
      </c>
      <c r="O43" s="5">
        <v>1.39</v>
      </c>
      <c r="P43" s="78">
        <f t="shared" si="221"/>
        <v>51.531136363636357</v>
      </c>
      <c r="Q43" s="6">
        <v>625</v>
      </c>
      <c r="R43" s="79">
        <f t="shared" si="222"/>
        <v>6250</v>
      </c>
      <c r="S43" s="6">
        <v>174.45454545454547</v>
      </c>
      <c r="T43" s="6">
        <v>262.40909090909093</v>
      </c>
      <c r="U43" s="143">
        <v>145.52272727272728</v>
      </c>
      <c r="V43" s="6">
        <v>253.3545454545455</v>
      </c>
      <c r="W43" s="6">
        <v>111.40909090909091</v>
      </c>
      <c r="X43" s="6">
        <v>192.05909090909091</v>
      </c>
      <c r="Y43" s="79">
        <f t="shared" si="223"/>
        <v>6618.171074380165</v>
      </c>
      <c r="Z43" s="79">
        <f t="shared" si="224"/>
        <v>9954.8466942148752</v>
      </c>
      <c r="AA43" s="79">
        <f t="shared" si="225"/>
        <v>5520.6030991735533</v>
      </c>
      <c r="AB43" s="79">
        <f t="shared" si="226"/>
        <v>9611.3501652892573</v>
      </c>
      <c r="AC43" s="79">
        <f t="shared" si="227"/>
        <v>4226.4557851239661</v>
      </c>
      <c r="AD43" s="79">
        <f t="shared" si="228"/>
        <v>7286.0235123966931</v>
      </c>
      <c r="AE43" s="79">
        <f t="shared" si="229"/>
        <v>7202.9083884297515</v>
      </c>
      <c r="AF43" s="1">
        <v>23707.55</v>
      </c>
      <c r="AG43" s="1">
        <v>8400</v>
      </c>
      <c r="AH43" s="1">
        <v>31900</v>
      </c>
      <c r="AI43" s="5">
        <v>10.33</v>
      </c>
      <c r="AJ43" s="5">
        <v>7.92</v>
      </c>
      <c r="AK43" s="5">
        <v>7.07</v>
      </c>
      <c r="AL43" s="5">
        <v>6.33</v>
      </c>
      <c r="AM43" s="78">
        <f t="shared" si="230"/>
        <v>8.4260000000000002</v>
      </c>
      <c r="AN43" s="7">
        <v>539.35261363636357</v>
      </c>
      <c r="AO43" s="7">
        <v>332.8095454545454</v>
      </c>
      <c r="AP43" s="78">
        <f t="shared" si="146"/>
        <v>332.8095454545454</v>
      </c>
      <c r="AQ43" s="7">
        <v>289.70045454545459</v>
      </c>
      <c r="AR43" s="7">
        <v>278.33954545454549</v>
      </c>
      <c r="AS43" s="7">
        <v>245.03811320754716</v>
      </c>
      <c r="AT43" s="7">
        <v>220.71863636363634</v>
      </c>
      <c r="AU43" s="78">
        <f t="shared" si="53"/>
        <v>248.03209834190966</v>
      </c>
      <c r="AV43" s="7">
        <v>235.45401869158874</v>
      </c>
      <c r="AW43" s="7">
        <v>332.79909090909092</v>
      </c>
      <c r="AX43" s="7">
        <v>244.15545454545452</v>
      </c>
      <c r="AY43" s="7">
        <v>398.40247191011235</v>
      </c>
      <c r="AZ43" s="7">
        <v>159.25090909090906</v>
      </c>
      <c r="BA43" s="7">
        <v>138.17700000000005</v>
      </c>
      <c r="BB43" s="94">
        <f t="shared" si="45"/>
        <v>250.48683058109179</v>
      </c>
      <c r="BC43" s="68">
        <v>812</v>
      </c>
      <c r="BD43" s="68">
        <v>914</v>
      </c>
      <c r="BE43" s="7">
        <f>+BE42</f>
        <v>700</v>
      </c>
      <c r="BF43" s="7">
        <f>+BF42</f>
        <v>460</v>
      </c>
      <c r="BG43" s="94">
        <f t="shared" si="56"/>
        <v>721.5</v>
      </c>
      <c r="BH43" s="7">
        <v>53.11</v>
      </c>
      <c r="BI43" s="7">
        <f>+BI42+10</f>
        <v>25.981000000000002</v>
      </c>
      <c r="BJ43" s="78">
        <f t="shared" si="57"/>
        <v>79.091000000000008</v>
      </c>
      <c r="BK43" s="7">
        <v>45.807000000000002</v>
      </c>
      <c r="BL43" s="7">
        <v>54.39</v>
      </c>
      <c r="BM43" s="94">
        <f t="shared" si="58"/>
        <v>50.098500000000001</v>
      </c>
      <c r="BN43" s="5">
        <v>8.42</v>
      </c>
      <c r="BO43" s="5">
        <v>41.756818181818176</v>
      </c>
      <c r="BP43" s="80">
        <v>25.428166666666669</v>
      </c>
      <c r="BQ43" s="94">
        <f t="shared" si="59"/>
        <v>40.123953030303028</v>
      </c>
      <c r="BR43" s="7">
        <v>33.090000000000003</v>
      </c>
      <c r="BS43" s="7">
        <v>130</v>
      </c>
      <c r="BT43" s="7">
        <v>101.89</v>
      </c>
      <c r="BU43" s="79">
        <f t="shared" si="147"/>
        <v>1865.67</v>
      </c>
      <c r="BV43" s="7">
        <v>59.8</v>
      </c>
      <c r="BW43" s="7"/>
      <c r="BY43" s="92">
        <f>BY$10*(1+((H43/H$10-1)*costos!$B$5+((I43*F43)/(I$10*F$10)-1)*costos!$E$5+((J43*F43)/((J$10*F$10)-1)*costos!$F$5/3+((K43*F43)/(K$10*F$10)-1)*costos!$F$5/3+((U43*F43)/(U$10*F$10)-1)*costos!$F$5/3+((L43*F43)/(L$10*F$10)-1)*costos!$G$5+((N43*F43)/(N$10*F$10)-1)*costos!$J$5+((V43*F43)/(V$10*F$10)-1)*costos!$K$5)))</f>
        <v>292.96337006352178</v>
      </c>
      <c r="BZ43" s="92">
        <f>$BZ$10*(1+((H43/$H$10-1)*costos!$B$6+((I43*F43)/($I$10*$F$10)-1)*costos!$E$6+((J43*F43)/(($J$10*$F$10)-1)*costos!$F$6/3+((K43*F43)/($K$10*$F$10)-1)*costos!$F$6/3+((U43*F43)/($U$10*$F$10)-1)*costos!$F$6/3+((L43*F43)/($L$10*$F$10)-1)*costos!$G$6+((Q43*F43)/($Q$10*$F$10)-1)*costos!$J$6+((V43*F43)/($V$10*$F$10)-1)*costos!$K$6)))</f>
        <v>264.99278314776643</v>
      </c>
      <c r="CA43" s="92">
        <f>CA$10*(1+((H43/H$10-1)*costos!$B$7+((I43*F43)/(I$10*F$10)-1)*costos!$E$7+((J43*F43)/((J$10*F$10)-1)*costos!$F$7/3+((K43*F43)/(K$10*F$10)-1)*costos!$F$7/3+((U43*F43)/(U$10*F$10)-1)*costos!$F$7/3+((L43*F43)/(L$10*F$10)-1)*costos!$G$7+((S43*F43)/(S$10*F$10)-1)*costos!$J$7+((V43*F43)/(V$10*F$10)-1)*costos!$K$7)))</f>
        <v>285.76623519423111</v>
      </c>
      <c r="CB43" s="92">
        <f>CB$10*(1+((H43/H$10-1)*costos!$B$8+((I43*F43)/(I$10*F$10)-1)*costos!$E$8+((J43*F43)/((J$10*F$10)-1)*costos!$F$8/3+((K43*F43)/(K$10*F$10)-1)*costos!$F$8/3+((U43*F43)/(U$10*F$10)-1)*costos!$F$8/3+((L43*F43)/(L$10*F$10)-1)*costos!$G$8+((T43*F43)/(T$10*F$10)-1)*costos!$J$8+((V43*F43)/(V$10*F$10)-1)*costos!$K$8)))</f>
        <v>271.24502789287277</v>
      </c>
      <c r="CC43" s="92">
        <f>CC$10*(1+((H43/H$10-1)*costos!$B$9+((I43*F43)/(I$10*F$10)-1)*costos!$E$9+((J43*F43)/((J$10*F$10)-1)*costos!$F$9/3+((K43*F43)/(K$10*F$10)-1)*costos!$F$9/3+((U43*F43)/(U$10*F$10)-1)*costos!$F$9/3+((L43*F43)/(L$10*F$10)-1)*costos!$G$9+((U43*F43)/(U$10*F$10)-1)*costos!$J$9+((V43*F43)/(V$10*F$10)-1)*costos!$K$9)))</f>
        <v>268.62444757667419</v>
      </c>
      <c r="CD43" s="92">
        <f>CD$10*(1+((H43/H$10-1)*costos!$B$11+((I43*F43)/(I$10*F$10)-1)*costos!$E$11+((J43*F43)/((J$10*F$10)-1)*costos!$F$11/3+((K43*F43)/(K$10*F$10)-1)*costos!$F$11/3+((U43*F43)/(U$10*F$10)-1)*costos!$F$11/3+((L43*F43)/(L$10*F$10)-1)*costos!$G$11+((V43*F43)/(V$10*F$10)-1)*costos!$J$11+((V43*F43)/(V$10*F$10)-1)*costos!$K$11)))</f>
        <v>284.36042844209686</v>
      </c>
      <c r="CE43" s="92">
        <f>CE$10*(1+((H43/H$10-1)*costos!$B$12+((I43*F43)/(I$10*F$10)-1)*costos!$E$12+((J43*F43)/((J$10*F$10)-1)*costos!$F$12/3+((K43*F43)/(K$10*F$10)-1)*costos!$F$12/3+((U43*F43)/(U$10*F$10)-1)*costos!$F$12/3+((L43*F43)/(L$10*F$10)-1)*costos!$G$12+((W43*F43)/(W$10*F$10)-1)*costos!$J$12+((V43*F43)/(V$10*F$10)-1)*costos!$K$12)))</f>
        <v>245.86930483961558</v>
      </c>
      <c r="CF43" s="92">
        <f>CF$10*(1+((H43/H$10-1)*costos!$B$13+((I43*F43)/(I$10*F$10)-1)*costos!$E$13+((J43*F43)/((J$10*F$10)-1)*costos!$F$13/3+((K43*F43)/(K$10*F$10)-1)*costos!$F$13/3+((U43*F43)/(U$10*F$10)-1)*costos!$F$13/3+((L43*F43)/(L$10*F$10)-1)*costos!$G$13+((X43*F43)/(X$10*F$10)-1)*costos!$J$13+((V43*F43)/(V$10*F$10)-1)*costos!$K$13)))</f>
        <v>293.61156409788077</v>
      </c>
      <c r="CG43" s="92">
        <f t="shared" si="60"/>
        <v>274.91283467389525</v>
      </c>
      <c r="CH43" s="92">
        <f>CH$10*(1+((H43/H$10-1)*costos!$B$10+((I43*F43)/(I$10*F$10)-1)*costos!$E$10+((J43*F43)/((J$10*F$10)-1)*costos!$F$10/3+((K43*F43)/(K$10*F$10)-1)*costos!$F$10/3+((U43*F43)/(U$10*F$10)-1)*costos!$F$10/3+((L43*F43)/(L$10*F$10)-1)*costos!$G$10+((AF43)/(AF$10)-1)*costos!$J$10+((V43*F43)/(V$10*F$10)-1)*costos!$K$10)))</f>
        <v>307.85460494373615</v>
      </c>
      <c r="CI43" s="92">
        <f>CI$10*(1+((H43/H$10-1)*costos!$B$15+((I43*F43)/(I$10*F$10)-1)*costos!$E$15+((J43*F43)/((J$10*F$10)-1)*costos!$F$15/3+((K43*F43)/(K$10*F$10)-1)*costos!$F$15/3+((U43*F43)/(U$10*F$10)-1)*costos!$F$15/3+((L43*F43)/(L$10*F$10)-1)*costos!$G$15+((AV43)/(AV$10)-1)*costos!$J$15+((V43*F43)/(V$10*F$10)-1)*costos!$K$15)))</f>
        <v>274.74958070204644</v>
      </c>
      <c r="CJ43" s="92">
        <f>CJ$10*(1+((H43/H$10-1)*costos!$B$16+((I43*F43)/(I$10*F$10)-1)*costos!$E$16+((J43*F43)/((J$10*F$10)-1)*costos!$F$16/3+((K43*F43)/(K$10*F$10)-1)*costos!$F$16/3+((U43*F43)/(U$10*F$10)-1)*costos!$F$16/3+((L43*F43)/(L$10*F$10)-1)*costos!$G$16+((AW43)/(AW$10)-1)*costos!$J$16+((V43*F43)/(V$10*F$10)-1)*costos!$K$16)))</f>
        <v>219.09337584191402</v>
      </c>
      <c r="CK43" s="92">
        <f>CK$10*(1+((H43/H$10-1)*costos!$B$17+((I43*F43)/(I$10*F$10)-1)*costos!$E$17+((J43*F43)/((J$10*F$10)-1)*costos!$F$17/3+((K43*F43)/(K$10*F$10)-1)*costos!$F$17/3+((U43*F43)/(U$10*F$10)-1)*costos!$F$17/3+((L43*F43)/(L$10*F$10)-1)*costos!$G$17+((AX43)/(AX$10)-1)*costos!$J$17+((V43*F43)/(V$10*F$10)-1)*costos!$K$17)))</f>
        <v>263.04763639892946</v>
      </c>
      <c r="CL43" s="92">
        <f>CL$10*(1+((H43/H$10-1)*costos!$B$18+((I43*F43)/(I$10*F$10)-1)*costos!$E$18+((J43*F43)/((J$10*F$10)-1)*costos!$F$18/3+((K43*F43)/(K$10*F$10)-1)*costos!$F$18/3+((U43*F43)/(U$10*F$10)-1)*costos!$F$18/3+((L43*F43)/(L$10*F$10)-1)*costos!$G$18+((AY43)/(AY$10)-1)*costos!$J$18+((V43*F43)/(V$10*F$10)-1)*costos!$K$18)))</f>
        <v>290.21764761296271</v>
      </c>
      <c r="CM43" s="92">
        <f>CM$10*(1+((H43/H$10-1)*costos!$B$19+((I43*F43)/(I$10*F$10)-1)*costos!$E$19+((J43*F43)/((J$10*F$10)-1)*costos!$F$19/3+((K43*F43)/(K$10*F$10)-1)*costos!$F$19/3+((U43*F43)/(U$10*F$10)-1)*costos!$F$19/3+((L43*F43)/(L$10*F$10)-1)*costos!$G$19+((AZ43)/(AZ$10)-1)*costos!$J$19+((V43*F43)/(V$10*F$10)-1)*costos!$K$19)))</f>
        <v>209.03181758891282</v>
      </c>
      <c r="CN43" s="92">
        <f>CN$10*(1+((H43/H$10-1)*costos!$B$20+((I43*F43)/(I$10*F$10)-1)*costos!$E$20+((J43*F43)/((J$10*F$10)-1)*costos!$F$20/3+((K43*F43)/(K$10*F$10)-1)*costos!$F$20/3+((U43*F43)/(U$10*F$10)-1)*costos!$F$20/3+((L43*F43)/(L$10*F$10)-1)*costos!$G$20+((BA43)/(BA$10)-1)*costos!$J$20+((V43*F43)/(V$10*F$10)-1)*costos!$K$20)))</f>
        <v>219.10166270740152</v>
      </c>
      <c r="CO43" s="92">
        <f t="shared" si="61"/>
        <v>245.34969107705163</v>
      </c>
      <c r="CP43" s="92">
        <f>CP$10*(1+((H43/H$10-1)*costos!$B$22+((I43*F43)/(I$10*F$10)-1)*costos!$E$22+((J43*F43)/((J$10*F$10)-1)*costos!$F$22/3+((K43*F43)/(K$10*F$10)-1)*costos!$F$22/3+((U43*F43)/(U$10*F$10)-1)*costos!$F$22/3+((L43*F43)/(L$10*F$10)-1)*costos!$G$22+(((AVERAGE(AI43:AL43))/((AVERAGE(AI$10:AL$10))-1)*costos!$J$22+((V43*F43)/(V$10*F$10)-1)*costos!$K$22)))))</f>
        <v>275.38680244049772</v>
      </c>
      <c r="CQ43" s="92">
        <f>CQ$10*(1+((H43/H$10-1)*costos!$B$23+((I43*F43)/(I$10*F$10)-1)*costos!$E$23+((J43*F43)/((J$10*F$10)-1)*costos!$F$23/3+((K43*F43)/(K$10*F$10)-1)*costos!$F$23/3+((U43*F43)/(U$10*F$10)-1)*costos!$F$23/3+((L43*F43)/(L$10*F$10)-1)*costos!$G$23+((AN43)/(AN$10)-1)*costos!$J$23+((V43*F43)/(V$10*F$10)-1)*costos!$K$23)))</f>
        <v>225.52007700153132</v>
      </c>
      <c r="CR43" s="92">
        <f>CR$10*(1+((H43/H$10-1)*costos!$B$24+((I43*F43)/(I$10*F$10)-1)*costos!$E$24+((J43*F43)/((J$10*F$10)-1)*costos!$F$24/3+((K43*F43)/(K$10*F$10)-1)*costos!$F$24/3+((U43*F43)/(U$10*F$10)-1)*costos!$F$24/3+((L43*F43)/(L$10*F$10)-1)*costos!$G$24+((AO43)/(AO$10)-1)*costos!$J$24+((V43*F43)/(V$10*F$10)-1)*costos!$K$24)))</f>
        <v>226.29352999692651</v>
      </c>
      <c r="CS43" s="92">
        <f t="shared" si="62"/>
        <v>225.90680349922891</v>
      </c>
      <c r="CT43" s="92">
        <f>CT$10*(1+((H43/H$10-1)*costos!$B$25+((I43*F43)/(I$10*F$10)-1)*costos!$E$25+((J43*F43)/((J$10*F$10)-1)*costos!$F$25/3+((K43*F43)/(K$10*F$10)-1)*costos!$F$25/3+((U43*F43)/(U$10*F$10)-1)*costos!$F$25/3+((L43*F43)/(L$10*F$10)-1)*costos!$G$25+((AQ43)/(AQ$10)-1)*costos!$J$25+((V43*F43)/(V$10*F$10)-1)*costos!$K$25)))</f>
        <v>225.8824285064378</v>
      </c>
      <c r="CU43" s="92">
        <f>CU$10*(1+((H43/H$10-1)*costos!$B$26+((I43*F43)/(I$10*F$10)-1)*costos!$E$26+((J43*F43)/((J$10*F$10)-1)*costos!$F$26/3+((K43*F43)/(K$10*F$10)-1)*costos!$F$26/3+((U43*F43)/(U$10*F$10)-1)*costos!$F$26/3+((L43*F43)/(L$10*F$10)-1)*costos!$G$26+((AR43)/(AR$10)-1)*costos!$J$26+((V43*F43)/(V$10*F$10)-1)*costos!$K$26)))</f>
        <v>235.41778274904058</v>
      </c>
      <c r="CV43" s="92">
        <f>CV$10*(1+((H43/H$10-1)*costos!$B$27+((I43*F43)/(I$10*F$10)-1)*costos!$E$27+((J43*F43)/((J$10*F$10)-1)*costos!$F$27/3+((K43*F43)/(K$10*F$10)-1)*costos!$F$27/3+((U43*F43)/(U$10*F$10)-1)*costos!$F$27/3+((L43*F43)/(L$10*F$10)-1)*costos!$G$27+((AS43)/(AS$10)-1)*costos!$J$27+((V43*F43)/(V$10*F$10)-1)*costos!$K$27)))</f>
        <v>232.85938220365674</v>
      </c>
      <c r="CW43" s="92">
        <f>CW$10*(1+((H43/H$10-1)*costos!$B$28+((I43*F43)/(I$10*F$10)-1)*costos!$E$28+((J43*F43)/((J$10*F$10)-1)*costos!$F$28/3+((K43*F43)/(K$10*F$10)-1)*costos!$F$28/3+((U43*F43)/(U$10*F$10)-1)*costos!$F$28/3+((L43*F43)/(L$10*F$10)-1)*costos!$G$28+((AS43)/(AS$10)-1)*costos!$J$28+((V43*F43)/(V$10*F$10)-1)*costos!$K$28)))</f>
        <v>232.85938220365674</v>
      </c>
      <c r="CX43" s="92">
        <f t="shared" si="63"/>
        <v>233.71218238545134</v>
      </c>
      <c r="CY43" s="92">
        <f>CY$10*(1+((H43/H$10-1)*costos!$B$32+((I43*F43)/(I$10*F$10)-1)*costos!$E$32+((J43*F43)/((J$10*F$10)-1)*costos!$F$32/3+((K43*F43)/(K$10*F$10)-1)*costos!$F$32/3+((U43*F43)/(U$10*F$10)-1)*costos!$F$32/3+((L43*F43)/(L$10*F$10)-1)*costos!$G$32+((AG43)/(AG$10)-1)*costos!$J$32+((V43*F43)/(V$10*F$10)-1)*costos!$K$32)))</f>
        <v>219.65482759106746</v>
      </c>
      <c r="CZ43" s="69">
        <f>CZ$10*(1+((H43/H$10-1)*costos!$B$31+((I43*F43)/(I$10*F$10)-1)*costos!$E$30+((J43*F43)/((J$10*F$10)-1)*costos!$F$30/3+((K43*F43)/(K$10*F$10)-1)*costos!$F$30/3+((U43*F43)/(U$10*F$10)-1)*costos!$F$30/3+((L43*F43)/(L$10*F$10)-1)*costos!$G$30+((BG43)/(BG$10)-1)*costos!$J$30+((V43*F43)/(V$10*F$10)-1)*costos!$K$30)))</f>
        <v>264.94652472689199</v>
      </c>
      <c r="DA43" s="69">
        <f>DA$10*(1+((H43/H$10-1)*costos!$B$31+((I43*F43)/(I$10*F$10)-1)*costos!$E$31+((J43*F43)/((J$10*F$10)-1)*costos!$F$31/3+((K43*F43)/(K$10*F$10)-1)*costos!$F$31/3+((U43*F43)/(U$10*F$10)-1)*costos!$F$31/3+((L43*F43)/(L$10*F$10)-1)*costos!$G$31+((BJ43)/(BJ$10)-1)*costos!$J$31+((V43*F43)/(V$10*F$10)-1)*costos!$K$31)))</f>
        <v>228.19461484253978</v>
      </c>
      <c r="DB43" s="69">
        <f>DB$10*(1+((H43/H$10-1)*costos!$B$36+((I43*F43)/(I$10*F$10)-1)*costos!$E$36+((J43*F43)/((J$10*F$10)-1)*costos!$F$36/3+((K43*F43)/(K$10*F$10)-1)*costos!$F$36/3+((U43*F43)/(U$10*F$10)-1)*costos!$F$36/3+((L43*F43)/(L$10*F$10)-1)*costos!$G$36+((BK43)/(BK$10)-1)*costos!$J$36+((V43*F43)/(V$10*F$10)-1)*costos!$K$36)))</f>
        <v>236.64172098110697</v>
      </c>
      <c r="DC43" s="69">
        <f>DC$10*(1+((H43/H$10-1)*costos!$B$37+((I43*F43)/(I$10*F$10)-1)*costos!$E$37+((U43*F43)/(U$10*F$10)-1)*costos!$F$37+((L43*F43)/(L$10*F$10)-1)*costos!$G$37+((BN43)/(BN$10)-1)*costos!$J$37+((V43*F43)/(V$10*F$10)-1)*costos!$K$37))</f>
        <v>262.44156202263429</v>
      </c>
      <c r="DD43" s="69">
        <f>DD$10*(1+((H43/H$10-1)*costos!$B$39+((I43*F43)/(I$10*F$10)-1)*costos!$E$39+((U43*F43)/(U$10*F$10)-1)*costos!$F$39+((L43*F43)/(L$10*F$10)-1)*costos!$G$39+((BR43)/(BR$10)-1)*costos!$J$39+((V43*F43)/(V$10*F$10)-1)*costos!$K$39))</f>
        <v>257.07793702703754</v>
      </c>
      <c r="DE43" s="69">
        <f>DD$10*(1+((H43/H$10-1)*costos!$B$35+((I43*F43)/(I$10*F$10)-1)*costos!$E$35+((U43*F43)/(U$10*F$10)-1)*costos!$F$35+((L43*F43)/(L$10*F$10)-1)*costos!$G$35+((BR43)/(BR$10)-1)*costos!$J$35+((V43*F43)/(V$10*F$10)-1)*costos!$K$35))</f>
        <v>237.9143422575936</v>
      </c>
      <c r="DF43" s="69">
        <f>DF$10*(1+((H43/H$10-1)*costos!$B$40+((I43*F43)/(I$10*F$10)-1)*costos!$E$40+((U43*F43)/(U$10*F$10)-1)*costos!$F$40+((L43*F43)/(L$10*F$10)-1)*costos!$G$40+((BP43)/(BP$10)-1)*costos!$J$40+((V43*F43)/(V$10*F$10)-1)*costos!$K$40))</f>
        <v>262.39812081455381</v>
      </c>
      <c r="DG43" s="92">
        <f t="shared" si="64"/>
        <v>250.1562315360737</v>
      </c>
      <c r="DH43" s="69">
        <f>DH$10*(1+((H43/H$10-1)*costos!$B$34+((I43*F43)/(I$10*F$10)-1)*costos!$E$34+((J43*F43)/((J$10*F$10)-1)*costos!$F$34/3+((K43*F43)/(K$10*F$10)-1)*costos!$F$34/3+((U43*F43)/(U$10*F$10)-1)*costos!$F$34/3+((L43*F43)/(L$10*F$10)-1)*costos!$G$34+((BV43)/(BV$10)-1)*costos!$J$34+((V43*F43)/(V$10*F$10)-1)*costos!$K$34)))</f>
        <v>239.28113455769972</v>
      </c>
      <c r="DI43" s="69">
        <f>DI$10*(1+((H43/H$10-1)*costos!$B$38+((I43*F43)/(I$10*F$10)-1)*costos!$E$38+((J43*F43)/((J$10*F$10)-1)*costos!$F$38/3+((K43*F43)/(K$10*F$10)-1)*costos!$F$38/3+((U43*F43)/(U$10*F$10)-1)*costos!$F$38/3+((L43*F43)/(L$10*F$10)-1)*costos!$G$38+((BU43)/(BU$10)-1)*costos!$J$38+((V43*F43)/(V$10*F$10)-1)*costos!$K$38)))</f>
        <v>225.10684564728174</v>
      </c>
      <c r="DK43" s="1">
        <v>440000</v>
      </c>
      <c r="DL43" s="1" t="str">
        <f>+DL44</f>
        <v>2018-19</v>
      </c>
      <c r="DM43" s="1">
        <v>192000</v>
      </c>
      <c r="DN43" s="1" t="str">
        <f>+DN44</f>
        <v>2018-19</v>
      </c>
      <c r="DO43" s="1">
        <v>1065000</v>
      </c>
      <c r="DP43" s="1" t="str">
        <f>+DP44</f>
        <v>2018-19</v>
      </c>
      <c r="DQ43" s="1">
        <v>1700000</v>
      </c>
      <c r="DR43" s="1" t="str">
        <f>+DR44</f>
        <v>2018-19</v>
      </c>
      <c r="DS43" s="1">
        <v>5800000</v>
      </c>
      <c r="DT43" s="1" t="s">
        <v>223</v>
      </c>
      <c r="DU43" s="1">
        <v>17500000</v>
      </c>
      <c r="DV43" s="1" t="str">
        <f>+DV44</f>
        <v>2018-19</v>
      </c>
      <c r="DW43" s="1">
        <f>+DW42</f>
        <v>610000</v>
      </c>
      <c r="DX43" s="1" t="str">
        <f>+DX42</f>
        <v>2018-19</v>
      </c>
      <c r="DY43" s="1">
        <v>6290000</v>
      </c>
      <c r="DZ43" s="1" t="str">
        <f t="shared" si="211"/>
        <v>2018-19</v>
      </c>
      <c r="EA43" s="79">
        <f t="shared" si="67"/>
        <v>32965000</v>
      </c>
      <c r="EB43" s="1">
        <v>499000</v>
      </c>
      <c r="EC43" s="1" t="str">
        <f t="shared" si="212"/>
        <v>2017-18</v>
      </c>
      <c r="ED43" s="83">
        <v>169595</v>
      </c>
      <c r="EE43" s="143">
        <v>2018</v>
      </c>
      <c r="EF43" s="1">
        <f t="shared" si="121"/>
        <v>218233</v>
      </c>
      <c r="EG43" s="6">
        <f t="shared" si="122"/>
        <v>2018</v>
      </c>
      <c r="EH43" s="83">
        <v>54793181</v>
      </c>
      <c r="EI43" s="6">
        <v>2018</v>
      </c>
      <c r="EJ43" s="83">
        <f t="shared" si="200"/>
        <v>5291453</v>
      </c>
      <c r="EK43" s="143">
        <f t="shared" si="200"/>
        <v>2018</v>
      </c>
      <c r="EL43" s="1">
        <v>14339908</v>
      </c>
      <c r="EM43" s="6">
        <v>2018</v>
      </c>
      <c r="EN43" s="82">
        <f t="shared" ref="EN43:EO45" si="231">+EN42</f>
        <v>3364725</v>
      </c>
      <c r="EO43" s="144">
        <f t="shared" si="231"/>
        <v>2017</v>
      </c>
      <c r="EP43" s="82">
        <f t="shared" si="118"/>
        <v>6552</v>
      </c>
      <c r="EQ43" s="83">
        <f t="shared" si="100"/>
        <v>3003036</v>
      </c>
      <c r="ER43" s="1">
        <f t="shared" si="189"/>
        <v>33739</v>
      </c>
      <c r="ES43" s="1"/>
      <c r="ET43" s="83">
        <f t="shared" si="101"/>
        <v>22340</v>
      </c>
      <c r="EU43" s="83">
        <f t="shared" si="101"/>
        <v>17224</v>
      </c>
      <c r="EV43" s="83">
        <f t="shared" si="101"/>
        <v>9128</v>
      </c>
      <c r="EW43" s="83">
        <f t="shared" si="101"/>
        <v>17414</v>
      </c>
      <c r="EX43" s="79">
        <f t="shared" si="72"/>
        <v>66106</v>
      </c>
      <c r="EY43" s="83">
        <f t="shared" si="123"/>
        <v>19463</v>
      </c>
      <c r="EZ43" s="82">
        <f t="shared" si="123"/>
        <v>74231</v>
      </c>
      <c r="FA43" s="82">
        <f t="shared" si="103"/>
        <v>24553</v>
      </c>
      <c r="FB43" s="82">
        <f t="shared" si="103"/>
        <v>23958</v>
      </c>
      <c r="FC43" s="79">
        <f t="shared" si="73"/>
        <v>48511</v>
      </c>
      <c r="FD43" s="83">
        <f t="shared" si="158"/>
        <v>66959.290000000008</v>
      </c>
      <c r="FE43" s="1"/>
      <c r="FF43" s="1">
        <v>814000</v>
      </c>
      <c r="FG43" s="1" t="s">
        <v>6</v>
      </c>
      <c r="FH43" s="1">
        <v>1370000</v>
      </c>
      <c r="FI43" s="1" t="str">
        <f t="shared" si="213"/>
        <v>2017-18</v>
      </c>
      <c r="FJ43" s="1">
        <v>3740000</v>
      </c>
      <c r="FK43" s="1" t="str">
        <f>+FK34</f>
        <v>2017-18</v>
      </c>
      <c r="FL43" s="1">
        <f>+FL44</f>
        <v>3530000</v>
      </c>
      <c r="FM43" s="1" t="s">
        <v>6</v>
      </c>
      <c r="FN43" s="1">
        <v>31000000</v>
      </c>
      <c r="FO43" s="1" t="str">
        <f>+FO42</f>
        <v>2017-18</v>
      </c>
      <c r="FP43" s="1">
        <v>37780000</v>
      </c>
      <c r="FQ43" s="1" t="s">
        <v>6</v>
      </c>
      <c r="FR43" s="1">
        <v>1550000</v>
      </c>
      <c r="FS43" s="1" t="str">
        <f t="shared" si="214"/>
        <v>2017-18</v>
      </c>
      <c r="FT43" s="1">
        <v>18520000</v>
      </c>
      <c r="FU43" s="1" t="str">
        <f>+FU34</f>
        <v>2017-18</v>
      </c>
      <c r="FV43" s="79">
        <f t="shared" si="76"/>
        <v>96120000</v>
      </c>
      <c r="FW43" s="1">
        <v>1000000</v>
      </c>
      <c r="FX43" s="1" t="str">
        <f>+FX42</f>
        <v>2017-18</v>
      </c>
      <c r="FY43" s="1">
        <v>0</v>
      </c>
      <c r="FZ43" s="79">
        <f t="shared" si="135"/>
        <v>806656.897</v>
      </c>
      <c r="GA43" s="86" t="str">
        <f t="shared" si="136"/>
        <v>nov17 oct18</v>
      </c>
      <c r="GB43" s="1">
        <v>25733114</v>
      </c>
      <c r="GC43" s="6">
        <v>2018</v>
      </c>
      <c r="GD43" s="83">
        <f t="shared" si="165"/>
        <v>1989400</v>
      </c>
      <c r="GE43" s="83">
        <f t="shared" si="190"/>
        <v>431374</v>
      </c>
      <c r="GF43" s="83">
        <f t="shared" si="197"/>
        <v>1006779</v>
      </c>
      <c r="GG43" s="83">
        <f t="shared" si="166"/>
        <v>114118</v>
      </c>
      <c r="GH43" s="79">
        <f t="shared" si="78"/>
        <v>1552271</v>
      </c>
      <c r="GI43" s="82">
        <f t="shared" ref="GI43:GI74" si="232">+GI42</f>
        <v>1302556</v>
      </c>
      <c r="GJ43" s="83">
        <f t="shared" si="215"/>
        <v>685541.2</v>
      </c>
      <c r="GK43" s="83">
        <f t="shared" si="216"/>
        <v>1103042.8600000001</v>
      </c>
      <c r="GL43" s="83">
        <f t="shared" si="217"/>
        <v>287064.67</v>
      </c>
      <c r="GM43" s="83">
        <f t="shared" si="218"/>
        <v>260870.73</v>
      </c>
      <c r="GN43" s="79">
        <f t="shared" si="81"/>
        <v>2336519.46</v>
      </c>
      <c r="GO43" s="83">
        <f t="shared" si="107"/>
        <v>195071</v>
      </c>
      <c r="GP43" s="83">
        <f t="shared" si="107"/>
        <v>79468</v>
      </c>
      <c r="GQ43" s="83">
        <v>44033.75</v>
      </c>
      <c r="GR43" s="1">
        <f t="shared" si="191"/>
        <v>42800</v>
      </c>
      <c r="GS43" s="79">
        <f t="shared" si="192"/>
        <v>44121.012499999997</v>
      </c>
      <c r="GT43" s="83">
        <f t="shared" si="108"/>
        <v>2483769</v>
      </c>
      <c r="GU43" s="1">
        <v>21840</v>
      </c>
      <c r="GV43" s="1">
        <v>36932</v>
      </c>
      <c r="GW43" s="79">
        <f t="shared" si="151"/>
        <v>1070014</v>
      </c>
      <c r="GX43" s="1">
        <v>26114.056</v>
      </c>
      <c r="GY43" s="1" t="s">
        <v>327</v>
      </c>
      <c r="GZ43" s="1">
        <v>104093.27099999999</v>
      </c>
      <c r="HA43" s="1">
        <v>277536</v>
      </c>
      <c r="HB43" s="79">
        <f t="shared" si="204"/>
        <v>3051268</v>
      </c>
      <c r="HC43" s="86" t="str">
        <f t="shared" si="138"/>
        <v>nov17 oct18</v>
      </c>
      <c r="HD43" s="1">
        <v>55264</v>
      </c>
      <c r="HE43" s="79">
        <f t="shared" si="139"/>
        <v>611899</v>
      </c>
      <c r="HF43" s="86" t="str">
        <f t="shared" si="140"/>
        <v>nov17 oct18</v>
      </c>
      <c r="HG43" s="83">
        <v>188000</v>
      </c>
      <c r="HH43" s="79">
        <f t="shared" si="205"/>
        <v>2071000</v>
      </c>
      <c r="HI43" s="86" t="str">
        <f t="shared" si="142"/>
        <v>nov17 oct18</v>
      </c>
      <c r="HJ43" s="1">
        <f>+(253851*30*12)/1000</f>
        <v>91386.36</v>
      </c>
      <c r="HK43" s="79">
        <f t="shared" si="143"/>
        <v>60725.289599999996</v>
      </c>
      <c r="HL43" s="86" t="str">
        <f t="shared" si="144"/>
        <v>nov17 oct18</v>
      </c>
      <c r="HM43" s="79">
        <f t="shared" si="86"/>
        <v>2131725.2895999998</v>
      </c>
      <c r="HN43" s="87">
        <f t="shared" si="206"/>
        <v>0.12044491728637041</v>
      </c>
      <c r="HO43" s="1">
        <v>1011400000</v>
      </c>
      <c r="HP43" s="79">
        <f t="shared" si="153"/>
        <v>10353.631845474327</v>
      </c>
      <c r="HQ43" s="86" t="str">
        <f t="shared" si="145"/>
        <v>nov17 oct18</v>
      </c>
      <c r="HR43" s="3"/>
      <c r="HS43" s="1"/>
      <c r="HT43" s="1"/>
      <c r="HU43" s="83">
        <f t="shared" si="207"/>
        <v>680000</v>
      </c>
      <c r="HV43" s="83" t="str">
        <f t="shared" si="208"/>
        <v>2017-18</v>
      </c>
      <c r="HW43" s="83">
        <v>1350000</v>
      </c>
      <c r="HX43" s="1" t="s">
        <v>6</v>
      </c>
      <c r="HY43" s="1">
        <v>3400000</v>
      </c>
      <c r="HZ43" s="1" t="s">
        <v>6</v>
      </c>
      <c r="IA43" s="1">
        <f t="shared" si="209"/>
        <v>19890000</v>
      </c>
      <c r="IB43" s="1" t="s">
        <v>6</v>
      </c>
      <c r="IC43" s="1">
        <v>41300000</v>
      </c>
      <c r="ID43" s="1" t="s">
        <v>6</v>
      </c>
      <c r="IE43" s="1">
        <f t="shared" si="210"/>
        <v>1550000</v>
      </c>
      <c r="IF43" s="1" t="s">
        <v>6</v>
      </c>
      <c r="IG43" s="1">
        <f t="shared" si="188"/>
        <v>6500000</v>
      </c>
      <c r="IH43" s="1" t="s">
        <v>6</v>
      </c>
      <c r="II43" s="79">
        <f t="shared" si="87"/>
        <v>73990000</v>
      </c>
      <c r="IJ43" s="97">
        <f t="shared" si="167"/>
        <v>1.5629261117125455</v>
      </c>
      <c r="IK43" s="1" t="s">
        <v>6</v>
      </c>
      <c r="IL43" s="7">
        <v>44.23</v>
      </c>
      <c r="IM43" s="7">
        <v>58.54</v>
      </c>
      <c r="IN43" s="7">
        <v>190</v>
      </c>
      <c r="IO43" s="695">
        <v>15.51</v>
      </c>
      <c r="IP43" s="98">
        <f t="shared" si="193"/>
        <v>5.6422028615424455</v>
      </c>
      <c r="IQ43" s="96">
        <v>18.899999999999999</v>
      </c>
      <c r="IR43" s="98">
        <f t="shared" si="194"/>
        <v>5.93</v>
      </c>
      <c r="IS43" s="98">
        <f t="shared" si="194"/>
        <v>5.67</v>
      </c>
      <c r="IT43" s="98">
        <f t="shared" si="194"/>
        <v>11.35</v>
      </c>
      <c r="IU43" s="98">
        <f t="shared" si="194"/>
        <v>0.88</v>
      </c>
      <c r="IV43" s="94">
        <f t="shared" si="89"/>
        <v>17.899999999999999</v>
      </c>
      <c r="IW43" s="84"/>
      <c r="IX43" s="84"/>
      <c r="IY43" s="105">
        <v>1.84</v>
      </c>
      <c r="IZ43" s="161">
        <v>0.3</v>
      </c>
      <c r="JA43" s="83">
        <v>1500</v>
      </c>
      <c r="JB43" s="84">
        <v>37.22</v>
      </c>
      <c r="JC43" s="84"/>
      <c r="JD43" s="84"/>
      <c r="JE43" s="1"/>
      <c r="JF43" s="2">
        <v>32.933837680000003</v>
      </c>
      <c r="JG43" s="2">
        <v>9.3882848299999999</v>
      </c>
      <c r="JH43" s="2">
        <v>42.961554</v>
      </c>
      <c r="JI43" s="2">
        <v>57.140566329999999</v>
      </c>
      <c r="JJ43" s="2">
        <v>352.73311646000002</v>
      </c>
      <c r="JK43" s="2">
        <v>58.538656639999992</v>
      </c>
      <c r="JL43" s="2">
        <v>1251.99394003</v>
      </c>
      <c r="JM43" s="2">
        <v>2.68353435</v>
      </c>
      <c r="JN43" s="2">
        <v>110.03951412000001</v>
      </c>
      <c r="JO43" s="2">
        <v>17.390248970000002</v>
      </c>
      <c r="JP43" s="2">
        <v>0</v>
      </c>
      <c r="JQ43" s="2">
        <v>8.1993999999999997E-2</v>
      </c>
      <c r="JR43" s="2">
        <v>0.44744145000000002</v>
      </c>
      <c r="JS43" s="2">
        <v>0</v>
      </c>
      <c r="JT43" s="2">
        <v>0</v>
      </c>
      <c r="JU43" s="2">
        <v>93.894736159999979</v>
      </c>
      <c r="JV43" s="2">
        <v>4.6795725399999997</v>
      </c>
      <c r="JW43" s="2">
        <v>9.8565051100000005</v>
      </c>
      <c r="JX43" s="2">
        <v>19.155182960000001</v>
      </c>
      <c r="JY43" s="2">
        <v>0</v>
      </c>
      <c r="JZ43" s="2">
        <v>0.93235204999999999</v>
      </c>
      <c r="KA43" s="2">
        <v>2.8700000000000002E-3</v>
      </c>
      <c r="KB43" s="2">
        <v>2.6884637300000005</v>
      </c>
      <c r="KC43" s="2">
        <v>24.865603530000001</v>
      </c>
      <c r="KD43" s="2">
        <v>8.0379433200000019</v>
      </c>
      <c r="KE43" s="2">
        <v>10.958875469999999</v>
      </c>
      <c r="KF43" s="2">
        <v>29.763783739999997</v>
      </c>
      <c r="KG43" s="2">
        <v>285.57423260000007</v>
      </c>
      <c r="KH43" s="2">
        <v>96.393287599999994</v>
      </c>
      <c r="KI43" s="2">
        <v>19.211317379999997</v>
      </c>
      <c r="KJ43" s="2">
        <v>4.7531802000000001</v>
      </c>
      <c r="KK43" s="2">
        <v>6.2189166599999988</v>
      </c>
      <c r="KL43" s="2">
        <v>4.7924500000000002E-2</v>
      </c>
      <c r="KM43" s="2">
        <v>4.1978653599999998</v>
      </c>
      <c r="KN43" s="2">
        <v>0.49906816999999998</v>
      </c>
      <c r="KO43" s="2">
        <v>9.6083091100000004</v>
      </c>
      <c r="KP43" s="2">
        <v>0</v>
      </c>
      <c r="KQ43" s="2">
        <v>254.45870509000002</v>
      </c>
      <c r="KR43" s="2">
        <v>0.18879193999999999</v>
      </c>
      <c r="KS43" s="2">
        <v>0.26217394999999999</v>
      </c>
      <c r="KT43" s="2">
        <v>3.02559574</v>
      </c>
      <c r="KU43" s="2">
        <v>4.3976010000000003E-2</v>
      </c>
      <c r="KV43" s="2">
        <v>0.45200200000000001</v>
      </c>
      <c r="KW43" s="2">
        <v>3.33208408</v>
      </c>
      <c r="KX43" s="2">
        <v>0</v>
      </c>
      <c r="KY43" s="2">
        <v>0.19241659</v>
      </c>
      <c r="KZ43" s="2">
        <v>1.5471334100000003</v>
      </c>
      <c r="LA43" s="2">
        <v>0.35823046999999997</v>
      </c>
      <c r="LB43" s="2">
        <v>0</v>
      </c>
      <c r="LC43" s="2">
        <v>8.5017529999999994E-2</v>
      </c>
      <c r="LD43" s="2">
        <v>0</v>
      </c>
      <c r="LE43" s="2">
        <v>0.78686111000000003</v>
      </c>
      <c r="LF43" s="2">
        <v>0.16702082000000001</v>
      </c>
      <c r="LG43" s="2">
        <v>17.655020919999998</v>
      </c>
      <c r="LH43" s="2">
        <v>2.0533796399999997</v>
      </c>
      <c r="LI43" s="2">
        <v>0</v>
      </c>
      <c r="LJ43" s="2">
        <v>0</v>
      </c>
      <c r="LK43" s="2">
        <v>3.6733055200000004</v>
      </c>
      <c r="LL43" s="2">
        <v>1.3020031699999999</v>
      </c>
      <c r="LM43" s="2">
        <v>1.05790319</v>
      </c>
      <c r="LN43" s="2">
        <v>0</v>
      </c>
      <c r="LO43" s="2">
        <v>10.151688679999999</v>
      </c>
      <c r="LQ43" s="85">
        <f t="shared" si="90"/>
        <v>1817.5522252899998</v>
      </c>
      <c r="LR43" s="85">
        <f t="shared" si="91"/>
        <v>0.52943545000000003</v>
      </c>
      <c r="LS43" s="85">
        <f t="shared" si="92"/>
        <v>14.536077649999999</v>
      </c>
      <c r="LT43" s="85">
        <f t="shared" si="93"/>
        <v>0.93522205000000003</v>
      </c>
      <c r="LU43" s="85">
        <f t="shared" si="94"/>
        <v>269.21491362</v>
      </c>
      <c r="LV43" s="85">
        <f t="shared" si="95"/>
        <v>3.9765026699999999</v>
      </c>
      <c r="LW43" s="85">
        <f t="shared" si="96"/>
        <v>0.35823046999999997</v>
      </c>
      <c r="LX43" s="85">
        <f t="shared" si="97"/>
        <v>0.9538819300000001</v>
      </c>
      <c r="LZ43" s="131">
        <v>41.54</v>
      </c>
      <c r="MA43" s="171">
        <v>35.53</v>
      </c>
      <c r="MB43"/>
      <c r="MC43"/>
      <c r="MD43"/>
      <c r="MF43"/>
      <c r="MG43"/>
      <c r="MH43" s="83">
        <v>71.900000000000006</v>
      </c>
      <c r="MI43" s="83">
        <v>29.19</v>
      </c>
      <c r="MJ43" s="83">
        <v>21.83</v>
      </c>
      <c r="MK43"/>
      <c r="ML43" s="83">
        <v>23.89</v>
      </c>
      <c r="MM43" s="83">
        <v>42.44</v>
      </c>
      <c r="MN43" s="83"/>
      <c r="MO43" s="83">
        <v>21.94</v>
      </c>
      <c r="MP43" s="83">
        <v>47.59</v>
      </c>
      <c r="MQ43" s="83">
        <v>50.29</v>
      </c>
      <c r="MR43"/>
      <c r="MT43" s="83"/>
      <c r="MU43" s="83">
        <v>22.17</v>
      </c>
      <c r="MV43"/>
      <c r="MW43"/>
      <c r="MX43"/>
      <c r="MY43" s="83">
        <v>54.29</v>
      </c>
      <c r="MZ43" s="83">
        <v>131.9</v>
      </c>
      <c r="NA43" s="83">
        <v>60.96</v>
      </c>
      <c r="NB43" s="83">
        <v>175.18</v>
      </c>
      <c r="NC43" s="83">
        <v>30.66</v>
      </c>
      <c r="ND43"/>
      <c r="NE43" s="1">
        <v>158.16999999999999</v>
      </c>
    </row>
    <row r="44" spans="1:369">
      <c r="A44" s="38">
        <f t="shared" si="219"/>
        <v>43405</v>
      </c>
      <c r="B44" s="36">
        <f t="shared" si="198"/>
        <v>11</v>
      </c>
      <c r="C44" s="36">
        <v>2018</v>
      </c>
      <c r="D44" s="36">
        <f t="shared" si="50"/>
        <v>44</v>
      </c>
      <c r="E44" s="38">
        <f t="shared" si="220"/>
        <v>43405</v>
      </c>
      <c r="F44" s="7">
        <v>37.314999999999998</v>
      </c>
      <c r="G44" s="7">
        <v>179.6</v>
      </c>
      <c r="H44" s="1">
        <f>[2]NACIONALES!$D32</f>
        <v>15915.29</v>
      </c>
      <c r="I44" s="7">
        <v>102</v>
      </c>
      <c r="J44" s="7">
        <v>470</v>
      </c>
      <c r="K44" s="7">
        <v>2.9</v>
      </c>
      <c r="L44" s="7">
        <v>28.2</v>
      </c>
      <c r="N44" s="5">
        <v>1.5606</v>
      </c>
      <c r="O44" s="5">
        <v>1.4065999999999999</v>
      </c>
      <c r="P44" s="78">
        <f t="shared" si="221"/>
        <v>50.909734</v>
      </c>
      <c r="Q44" s="6">
        <v>665</v>
      </c>
      <c r="R44" s="79">
        <f t="shared" si="222"/>
        <v>6650</v>
      </c>
      <c r="S44" s="6">
        <v>177.85</v>
      </c>
      <c r="T44" s="6">
        <v>257.5</v>
      </c>
      <c r="U44" s="143">
        <v>142.69999999999999</v>
      </c>
      <c r="V44" s="6">
        <v>246.57500000000005</v>
      </c>
      <c r="W44" s="6">
        <v>108.4</v>
      </c>
      <c r="X44" s="6">
        <v>186.9</v>
      </c>
      <c r="Y44" s="79">
        <f t="shared" si="223"/>
        <v>6636.472749999999</v>
      </c>
      <c r="Z44" s="79">
        <f t="shared" si="224"/>
        <v>9608.6124999999993</v>
      </c>
      <c r="AA44" s="79">
        <f t="shared" si="225"/>
        <v>5324.8504999999996</v>
      </c>
      <c r="AB44" s="79">
        <f t="shared" si="226"/>
        <v>9200.9461250000004</v>
      </c>
      <c r="AC44" s="79">
        <f t="shared" si="227"/>
        <v>4044.9459999999999</v>
      </c>
      <c r="AD44" s="79">
        <f t="shared" si="228"/>
        <v>6974.1734999999999</v>
      </c>
      <c r="AE44" s="79">
        <f t="shared" si="229"/>
        <v>6965.000229166666</v>
      </c>
      <c r="AF44" s="1">
        <v>22331.105263157893</v>
      </c>
      <c r="AG44" s="1">
        <v>8400</v>
      </c>
      <c r="AH44" s="1">
        <v>31900</v>
      </c>
      <c r="AI44" s="5">
        <v>10.130000000000001</v>
      </c>
      <c r="AJ44" s="5">
        <v>7.5</v>
      </c>
      <c r="AK44" s="5">
        <v>6.93</v>
      </c>
      <c r="AL44" s="5">
        <v>7.64</v>
      </c>
      <c r="AM44" s="78">
        <f t="shared" si="230"/>
        <v>8.5952000000000002</v>
      </c>
      <c r="AN44" s="7">
        <v>610.88679245283015</v>
      </c>
      <c r="AO44" s="7">
        <v>392.35350000000005</v>
      </c>
      <c r="AP44" s="78">
        <f t="shared" si="146"/>
        <v>392.35350000000005</v>
      </c>
      <c r="AQ44" s="7">
        <v>372.73728813559325</v>
      </c>
      <c r="AR44" s="7">
        <v>285.93250000000006</v>
      </c>
      <c r="AS44" s="7">
        <v>244.51249999999999</v>
      </c>
      <c r="AT44" s="7">
        <v>287.48</v>
      </c>
      <c r="AU44" s="78">
        <f t="shared" si="53"/>
        <v>272.64166666666671</v>
      </c>
      <c r="AV44" s="7">
        <v>215.1928260869565</v>
      </c>
      <c r="AW44" s="7">
        <v>349.09238095238089</v>
      </c>
      <c r="AX44" s="7">
        <v>250.56333333333333</v>
      </c>
      <c r="AY44" s="7">
        <v>202.33490196078429</v>
      </c>
      <c r="AZ44" s="7">
        <v>179.25904761904764</v>
      </c>
      <c r="BA44" s="7">
        <v>245.74444444444438</v>
      </c>
      <c r="BB44" s="94">
        <f t="shared" si="45"/>
        <v>230.07526377217553</v>
      </c>
      <c r="BC44" s="68">
        <f t="shared" si="185"/>
        <v>812</v>
      </c>
      <c r="BD44" s="68">
        <f t="shared" si="185"/>
        <v>914</v>
      </c>
      <c r="BE44" s="7">
        <v>720</v>
      </c>
      <c r="BF44" s="7">
        <v>460</v>
      </c>
      <c r="BG44" s="94">
        <f t="shared" si="56"/>
        <v>726.5</v>
      </c>
      <c r="BH44" s="7">
        <v>53.11</v>
      </c>
      <c r="BI44" s="7">
        <f>+BI43+4.008</f>
        <v>29.989000000000001</v>
      </c>
      <c r="BJ44" s="78">
        <f t="shared" si="57"/>
        <v>83.099000000000004</v>
      </c>
      <c r="BK44" s="7">
        <v>45.192999999999998</v>
      </c>
      <c r="BL44" s="7">
        <v>49.04</v>
      </c>
      <c r="BM44" s="94">
        <f t="shared" si="58"/>
        <v>47.116500000000002</v>
      </c>
      <c r="BN44" s="5">
        <v>8.93</v>
      </c>
      <c r="BO44" s="5">
        <v>43.315000000000012</v>
      </c>
      <c r="BP44" s="80">
        <v>25.001833333333334</v>
      </c>
      <c r="BQ44" s="94">
        <f t="shared" si="59"/>
        <v>41.483683333333346</v>
      </c>
      <c r="BR44" s="7">
        <v>34.450000000000003</v>
      </c>
      <c r="BS44" s="7">
        <v>130</v>
      </c>
      <c r="BT44" s="7">
        <v>126.44</v>
      </c>
      <c r="BU44" s="79">
        <f>+BS44*12+BT44*3</f>
        <v>1939.32</v>
      </c>
      <c r="BV44" s="7">
        <v>62.7</v>
      </c>
      <c r="BW44" s="7"/>
      <c r="BY44" s="92">
        <f>BY$10*(1+((H44/H$10-1)*costos!$B$5+((I44*F44)/(I$10*F$10)-1)*costos!$E$5+((J44*F44)/((J$10*F$10)-1)*costos!$F$5/3+((K44*F44)/(K$10*F$10)-1)*costos!$F$5/3+((U44*F44)/(U$10*F$10)-1)*costos!$F$5/3+((L44*F44)/(L$10*F$10)-1)*costos!$G$5+((N44*F44)/(N$10*F$10)-1)*costos!$J$5+((V44*F44)/(V$10*F$10)-1)*costos!$K$5)))</f>
        <v>294.10699395398456</v>
      </c>
      <c r="BZ44" s="92">
        <f>$BZ$10*(1+((H44/$H$10-1)*costos!$B$6+((I44*F44)/($I$10*$F$10)-1)*costos!$E$6+((J44*F44)/(($J$10*$F$10)-1)*costos!$F$6/3+((K44*F44)/($K$10*$F$10)-1)*costos!$F$6/3+((U44*F44)/($U$10*$F$10)-1)*costos!$F$6/3+((L44*F44)/($L$10*$F$10)-1)*costos!$G$6+((Q44*F44)/($Q$10*$F$10)-1)*costos!$J$6+((V44*F44)/($V$10*$F$10)-1)*costos!$K$6)))</f>
        <v>282.80684532414944</v>
      </c>
      <c r="CA44" s="92">
        <f>CA$10*(1+((H44/H$10-1)*costos!$B$7+((I44*F44)/(I$10*F$10)-1)*costos!$E$7+((J44*F44)/((J$10*F$10)-1)*costos!$F$7/3+((K44*F44)/(K$10*F$10)-1)*costos!$F$7/3+((U44*F44)/(U$10*F$10)-1)*costos!$F$7/3+((L44*F44)/(L$10*F$10)-1)*costos!$G$7+((S44*F44)/(S$10*F$10)-1)*costos!$J$7+((V44*F44)/(V$10*F$10)-1)*costos!$K$7)))</f>
        <v>289.04046479457526</v>
      </c>
      <c r="CB44" s="92">
        <f>CB$10*(1+((H44/H$10-1)*costos!$B$8+((I44*F44)/(I$10*F$10)-1)*costos!$E$8+((J44*F44)/((J$10*F$10)-1)*costos!$F$8/3+((K44*F44)/(K$10*F$10)-1)*costos!$F$8/3+((U44*F44)/(U$10*F$10)-1)*costos!$F$8/3+((L44*F44)/(L$10*F$10)-1)*costos!$G$8+((T44*F44)/(T$10*F$10)-1)*costos!$J$8+((V44*F44)/(V$10*F$10)-1)*costos!$K$8)))</f>
        <v>272.20440787760145</v>
      </c>
      <c r="CC44" s="92">
        <f>CC$10*(1+((H44/H$10-1)*costos!$B$9+((I44*F44)/(I$10*F$10)-1)*costos!$E$9+((J44*F44)/((J$10*F$10)-1)*costos!$F$9/3+((K44*F44)/(K$10*F$10)-1)*costos!$F$9/3+((U44*F44)/(U$10*F$10)-1)*costos!$F$9/3+((L44*F44)/(L$10*F$10)-1)*costos!$G$9+((U44*F44)/(U$10*F$10)-1)*costos!$J$9+((V44*F44)/(V$10*F$10)-1)*costos!$K$9)))</f>
        <v>269.88338419692604</v>
      </c>
      <c r="CD44" s="92">
        <f>CD$10*(1+((H44/H$10-1)*costos!$B$11+((I44*F44)/(I$10*F$10)-1)*costos!$E$11+((J44*F44)/((J$10*F$10)-1)*costos!$F$11/3+((K44*F44)/(K$10*F$10)-1)*costos!$F$11/3+((U44*F44)/(U$10*F$10)-1)*costos!$F$11/3+((L44*F44)/(L$10*F$10)-1)*costos!$G$11+((V44*F44)/(V$10*F$10)-1)*costos!$J$11+((V44*F44)/(V$10*F$10)-1)*costos!$K$11)))</f>
        <v>281.54828125488444</v>
      </c>
      <c r="CE44" s="92">
        <f>CE$10*(1+((H44/H$10-1)*costos!$B$12+((I44*F44)/(I$10*F$10)-1)*costos!$E$12+((J44*F44)/((J$10*F$10)-1)*costos!$F$12/3+((K44*F44)/(K$10*F$10)-1)*costos!$F$12/3+((U44*F44)/(U$10*F$10)-1)*costos!$F$12/3+((L44*F44)/(L$10*F$10)-1)*costos!$G$12+((W44*F44)/(W$10*F$10)-1)*costos!$J$12+((V44*F44)/(V$10*F$10)-1)*costos!$K$12)))</f>
        <v>249.46970227308415</v>
      </c>
      <c r="CF44" s="92">
        <f>CF$10*(1+((H44/H$10-1)*costos!$B$13+((I44*F44)/(I$10*F$10)-1)*costos!$E$13+((J44*F44)/((J$10*F$10)-1)*costos!$F$13/3+((K44*F44)/(K$10*F$10)-1)*costos!$F$13/3+((U44*F44)/(U$10*F$10)-1)*costos!$F$13/3+((L44*F44)/(L$10*F$10)-1)*costos!$G$13+((X44*F44)/(X$10*F$10)-1)*costos!$J$13+((V44*F44)/(V$10*F$10)-1)*costos!$K$13)))</f>
        <v>294.20753086661824</v>
      </c>
      <c r="CG44" s="92">
        <f t="shared" si="60"/>
        <v>276.0589618772816</v>
      </c>
      <c r="CH44" s="92">
        <f>CH$10*(1+((H44/H$10-1)*costos!$B$10+((I44*F44)/(I$10*F$10)-1)*costos!$E$10+((J44*F44)/((J$10*F$10)-1)*costos!$F$10/3+((K44*F44)/(K$10*F$10)-1)*costos!$F$10/3+((U44*F44)/(U$10*F$10)-1)*costos!$F$10/3+((L44*F44)/(L$10*F$10)-1)*costos!$G$10+((AF44)/(AF$10)-1)*costos!$J$10+((V44*F44)/(V$10*F$10)-1)*costos!$K$10)))</f>
        <v>301.86006933259335</v>
      </c>
      <c r="CI44" s="92">
        <f>CI$10*(1+((H44/H$10-1)*costos!$B$15+((I44*F44)/(I$10*F$10)-1)*costos!$E$15+((J44*F44)/((J$10*F$10)-1)*costos!$F$15/3+((K44*F44)/(K$10*F$10)-1)*costos!$F$15/3+((U44*F44)/(U$10*F$10)-1)*costos!$F$15/3+((L44*F44)/(L$10*F$10)-1)*costos!$G$15+((AV44)/(AV$10)-1)*costos!$J$15+((V44*F44)/(V$10*F$10)-1)*costos!$K$15)))</f>
        <v>277.05854342076918</v>
      </c>
      <c r="CJ44" s="92">
        <f>CJ$10*(1+((H44/H$10-1)*costos!$B$16+((I44*F44)/(I$10*F$10)-1)*costos!$E$16+((J44*F44)/((J$10*F$10)-1)*costos!$F$16/3+((K44*F44)/(K$10*F$10)-1)*costos!$F$16/3+((U44*F44)/(U$10*F$10)-1)*costos!$F$16/3+((L44*F44)/(L$10*F$10)-1)*costos!$G$16+((AW44)/(AW$10)-1)*costos!$J$16+((V44*F44)/(V$10*F$10)-1)*costos!$K$16)))</f>
        <v>224.97992857772653</v>
      </c>
      <c r="CK44" s="92">
        <f>CK$10*(1+((H44/H$10-1)*costos!$B$17+((I44*F44)/(I$10*F$10)-1)*costos!$E$17+((J44*F44)/((J$10*F$10)-1)*costos!$F$17/3+((K44*F44)/(K$10*F$10)-1)*costos!$F$17/3+((U44*F44)/(U$10*F$10)-1)*costos!$F$17/3+((L44*F44)/(L$10*F$10)-1)*costos!$G$17+((AX44)/(AX$10)-1)*costos!$J$17+((V44*F44)/(V$10*F$10)-1)*costos!$K$17)))</f>
        <v>271.2692976664834</v>
      </c>
      <c r="CL44" s="92">
        <f>CL$10*(1+((H44/H$10-1)*costos!$B$18+((I44*F44)/(I$10*F$10)-1)*costos!$E$18+((J44*F44)/((J$10*F$10)-1)*costos!$F$18/3+((K44*F44)/(K$10*F$10)-1)*costos!$F$18/3+((U44*F44)/(U$10*F$10)-1)*costos!$F$18/3+((L44*F44)/(L$10*F$10)-1)*costos!$G$18+((AY44)/(AY$10)-1)*costos!$J$18+((V44*F44)/(V$10*F$10)-1)*costos!$K$18)))</f>
        <v>249.71247594045502</v>
      </c>
      <c r="CM44" s="92">
        <f>CM$10*(1+((H44/H$10-1)*costos!$B$19+((I44*F44)/(I$10*F$10)-1)*costos!$E$19+((J44*F44)/((J$10*F$10)-1)*costos!$F$19/3+((K44*F44)/(K$10*F$10)-1)*costos!$F$19/3+((U44*F44)/(U$10*F$10)-1)*costos!$F$19/3+((L44*F44)/(L$10*F$10)-1)*costos!$G$19+((AZ44)/(AZ$10)-1)*costos!$J$19+((V44*F44)/(V$10*F$10)-1)*costos!$K$19)))</f>
        <v>219.2453961710448</v>
      </c>
      <c r="CN44" s="92">
        <f>CN$10*(1+((H44/H$10-1)*costos!$B$20+((I44*F44)/(I$10*F$10)-1)*costos!$E$20+((J44*F44)/((J$10*F$10)-1)*costos!$F$20/3+((K44*F44)/(K$10*F$10)-1)*costos!$F$20/3+((U44*F44)/(U$10*F$10)-1)*costos!$F$20/3+((L44*F44)/(L$10*F$10)-1)*costos!$G$20+((BA44)/(BA$10)-1)*costos!$J$20+((V44*F44)/(V$10*F$10)-1)*costos!$K$20)))</f>
        <v>246.49961947030326</v>
      </c>
      <c r="CO44" s="92">
        <f t="shared" si="61"/>
        <v>246.68169731207163</v>
      </c>
      <c r="CP44" s="92">
        <f>CP$10*(1+((H44/H$10-1)*costos!$B$22+((I44*F44)/(I$10*F$10)-1)*costos!$E$22+((J44*F44)/((J$10*F$10)-1)*costos!$F$22/3+((K44*F44)/(K$10*F$10)-1)*costos!$F$22/3+((U44*F44)/(U$10*F$10)-1)*costos!$F$22/3+((L44*F44)/(L$10*F$10)-1)*costos!$G$22+(((AVERAGE(AI44:AL44))/((AVERAGE(AI$10:AL$10))-1)*costos!$J$22+((V44*F44)/(V$10*F$10)-1)*costos!$K$22)))))</f>
        <v>284.86087127995171</v>
      </c>
      <c r="CQ44" s="92">
        <f>CQ$10*(1+((H44/H$10-1)*costos!$B$23+((I44*F44)/(I$10*F$10)-1)*costos!$E$23+((J44*F44)/((J$10*F$10)-1)*costos!$F$23/3+((K44*F44)/(K$10*F$10)-1)*costos!$F$23/3+((U44*F44)/(U$10*F$10)-1)*costos!$F$23/3+((L44*F44)/(L$10*F$10)-1)*costos!$G$23+((AN44)/(AN$10)-1)*costos!$J$23+((V44*F44)/(V$10*F$10)-1)*costos!$K$23)))</f>
        <v>233.78104872957172</v>
      </c>
      <c r="CR44" s="92">
        <f>CR$10*(1+((H44/H$10-1)*costos!$B$24+((I44*F44)/(I$10*F$10)-1)*costos!$E$24+((J44*F44)/((J$10*F$10)-1)*costos!$F$24/3+((K44*F44)/(K$10*F$10)-1)*costos!$F$24/3+((U44*F44)/(U$10*F$10)-1)*costos!$F$24/3+((L44*F44)/(L$10*F$10)-1)*costos!$G$24+((AO44)/(AO$10)-1)*costos!$J$24+((V44*F44)/(V$10*F$10)-1)*costos!$K$24)))</f>
        <v>235.95235852460718</v>
      </c>
      <c r="CS44" s="92">
        <f t="shared" si="62"/>
        <v>234.86670362708946</v>
      </c>
      <c r="CT44" s="92">
        <f>CT$10*(1+((H44/H$10-1)*costos!$B$25+((I44*F44)/(I$10*F$10)-1)*costos!$E$25+((J44*F44)/((J$10*F$10)-1)*costos!$F$25/3+((K44*F44)/(K$10*F$10)-1)*costos!$F$25/3+((U44*F44)/(U$10*F$10)-1)*costos!$F$25/3+((L44*F44)/(L$10*F$10)-1)*costos!$G$25+((AQ44)/(AQ$10)-1)*costos!$J$25+((V44*F44)/(V$10*F$10)-1)*costos!$K$25)))</f>
        <v>238.74574485183663</v>
      </c>
      <c r="CU44" s="92">
        <f>CU$10*(1+((H44/H$10-1)*costos!$B$26+((I44*F44)/(I$10*F$10)-1)*costos!$E$26+((J44*F44)/((J$10*F$10)-1)*costos!$F$26/3+((K44*F44)/(K$10*F$10)-1)*costos!$F$26/3+((U44*F44)/(U$10*F$10)-1)*costos!$F$26/3+((L44*F44)/(L$10*F$10)-1)*costos!$G$26+((AR44)/(AR$10)-1)*costos!$J$26+((V44*F44)/(V$10*F$10)-1)*costos!$K$26)))</f>
        <v>241.85098548677684</v>
      </c>
      <c r="CV44" s="92">
        <f>CV$10*(1+((H44/H$10-1)*costos!$B$27+((I44*F44)/(I$10*F$10)-1)*costos!$E$27+((J44*F44)/((J$10*F$10)-1)*costos!$F$27/3+((K44*F44)/(K$10*F$10)-1)*costos!$F$27/3+((U44*F44)/(U$10*F$10)-1)*costos!$F$27/3+((L44*F44)/(L$10*F$10)-1)*costos!$G$27+((AS44)/(AS$10)-1)*costos!$J$27+((V44*F44)/(V$10*F$10)-1)*costos!$K$27)))</f>
        <v>238.74009483801893</v>
      </c>
      <c r="CW44" s="92">
        <f>CW$10*(1+((H44/H$10-1)*costos!$B$28+((I44*F44)/(I$10*F$10)-1)*costos!$E$28+((J44*F44)/((J$10*F$10)-1)*costos!$F$28/3+((K44*F44)/(K$10*F$10)-1)*costos!$F$28/3+((U44*F44)/(U$10*F$10)-1)*costos!$F$28/3+((L44*F44)/(L$10*F$10)-1)*costos!$G$28+((AS44)/(AS$10)-1)*costos!$J$28+((V44*F44)/(V$10*F$10)-1)*costos!$K$28)))</f>
        <v>238.74009483801893</v>
      </c>
      <c r="CX44" s="92">
        <f t="shared" si="63"/>
        <v>239.77705838760491</v>
      </c>
      <c r="CY44" s="92">
        <f>CY$10*(1+((H44/H$10-1)*costos!$B$32+((I44*F44)/(I$10*F$10)-1)*costos!$E$32+((J44*F44)/((J$10*F$10)-1)*costos!$F$32/3+((K44*F44)/(K$10*F$10)-1)*costos!$F$32/3+((U44*F44)/(U$10*F$10)-1)*costos!$F$32/3+((L44*F44)/(L$10*F$10)-1)*costos!$G$32+((AG44)/(AG$10)-1)*costos!$J$32+((V44*F44)/(V$10*F$10)-1)*costos!$K$32)))</f>
        <v>223.15776146624069</v>
      </c>
      <c r="CZ44" s="69">
        <f>CZ$10*(1+((H44/H$10-1)*costos!$B$31+((I44*F44)/(I$10*F$10)-1)*costos!$E$30+((J44*F44)/((J$10*F$10)-1)*costos!$F$30/3+((K44*F44)/(K$10*F$10)-1)*costos!$F$30/3+((U44*F44)/(U$10*F$10)-1)*costos!$F$30/3+((L44*F44)/(L$10*F$10)-1)*costos!$G$30+((BG44)/(BG$10)-1)*costos!$J$30+((V44*F44)/(V$10*F$10)-1)*costos!$K$30)))</f>
        <v>276.95026314624482</v>
      </c>
      <c r="DA44" s="69">
        <f>DA$10*(1+((H44/H$10-1)*costos!$B$31+((I44*F44)/(I$10*F$10)-1)*costos!$E$31+((J44*F44)/((J$10*F$10)-1)*costos!$F$31/3+((K44*F44)/(K$10*F$10)-1)*costos!$F$31/3+((U44*F44)/(U$10*F$10)-1)*costos!$F$31/3+((L44*F44)/(L$10*F$10)-1)*costos!$G$31+((BJ44)/(BJ$10)-1)*costos!$J$31+((V44*F44)/(V$10*F$10)-1)*costos!$K$31)))</f>
        <v>232.67380016564951</v>
      </c>
      <c r="DB44" s="69">
        <f>DB$10*(1+((H44/H$10-1)*costos!$B$36+((I44*F44)/(I$10*F$10)-1)*costos!$E$36+((J44*F44)/((J$10*F$10)-1)*costos!$F$36/3+((K44*F44)/(K$10*F$10)-1)*costos!$F$36/3+((U44*F44)/(U$10*F$10)-1)*costos!$F$36/3+((L44*F44)/(L$10*F$10)-1)*costos!$G$36+((BK44)/(BK$10)-1)*costos!$J$36+((V44*F44)/(V$10*F$10)-1)*costos!$K$36)))</f>
        <v>239.28771897689705</v>
      </c>
      <c r="DC44" s="69">
        <f>DC$10*(1+((H44/H$10-1)*costos!$B$37+((I44*F44)/(I$10*F$10)-1)*costos!$E$37+((U44*F44)/(U$10*F$10)-1)*costos!$F$37+((L44*F44)/(L$10*F$10)-1)*costos!$G$37+((BN44)/(BN$10)-1)*costos!$J$37+((V44*F44)/(V$10*F$10)-1)*costos!$K$37))</f>
        <v>263.41782181355626</v>
      </c>
      <c r="DD44" s="69">
        <f>DD$10*(1+((H44/H$10-1)*costos!$B$39+((I44*F44)/(I$10*F$10)-1)*costos!$E$39+((U44*F44)/(U$10*F$10)-1)*costos!$F$39+((L44*F44)/(L$10*F$10)-1)*costos!$G$39+((BR44)/(BR$10)-1)*costos!$J$39+((V44*F44)/(V$10*F$10)-1)*costos!$K$39))</f>
        <v>255.86211554127809</v>
      </c>
      <c r="DE44" s="69">
        <f>DD$10*(1+((H44/H$10-1)*costos!$B$35+((I44*F44)/(I$10*F$10)-1)*costos!$E$35+((U44*F44)/(U$10*F$10)-1)*costos!$F$35+((L44*F44)/(L$10*F$10)-1)*costos!$G$35+((BR44)/(BR$10)-1)*costos!$J$35+((V44*F44)/(V$10*F$10)-1)*costos!$K$35))</f>
        <v>231.40882266784416</v>
      </c>
      <c r="DF44" s="69">
        <f>DF$10*(1+((H44/H$10-1)*costos!$B$40+((I44*F44)/(I$10*F$10)-1)*costos!$E$40+((U44*F44)/(U$10*F$10)-1)*costos!$F$40+((L44*F44)/(L$10*F$10)-1)*costos!$G$40+((BP44)/(BP$10)-1)*costos!$J$40+((V44*F44)/(V$10*F$10)-1)*costos!$K$40))</f>
        <v>257.26203869565518</v>
      </c>
      <c r="DG44" s="92">
        <f t="shared" si="64"/>
        <v>244.33543068174967</v>
      </c>
      <c r="DH44" s="69">
        <f>DH$10*(1+((H44/H$10-1)*costos!$B$34+((I44*F44)/(I$10*F$10)-1)*costos!$E$34+((J44*F44)/((J$10*F$10)-1)*costos!$F$34/3+((K44*F44)/(K$10*F$10)-1)*costos!$F$34/3+((U44*F44)/(U$10*F$10)-1)*costos!$F$34/3+((L44*F44)/(L$10*F$10)-1)*costos!$G$34+((BV44)/(BV$10)-1)*costos!$J$34+((V44*F44)/(V$10*F$10)-1)*costos!$K$34)))</f>
        <v>245.34023884750434</v>
      </c>
      <c r="DI44" s="69">
        <f>DI$10*(1+((H44/H$10-1)*costos!$B$38+((I44*F44)/(I$10*F$10)-1)*costos!$E$38+((J44*F44)/((J$10*F$10)-1)*costos!$F$38/3+((K44*F44)/(K$10*F$10)-1)*costos!$F$38/3+((U44*F44)/(U$10*F$10)-1)*costos!$F$38/3+((L44*F44)/(L$10*F$10)-1)*costos!$G$38+((BU44)/(BU$10)-1)*costos!$J$38+((V44*F44)/(V$10*F$10)-1)*costos!$K$38)))</f>
        <v>228.6716850667824</v>
      </c>
      <c r="DK44" s="1">
        <v>440000</v>
      </c>
      <c r="DL44" s="1" t="str">
        <f>+DL45</f>
        <v>2018-19</v>
      </c>
      <c r="DM44" s="1">
        <v>192000</v>
      </c>
      <c r="DN44" s="1" t="str">
        <f>+DN45</f>
        <v>2018-19</v>
      </c>
      <c r="DO44" s="1">
        <v>1100000</v>
      </c>
      <c r="DP44" s="1" t="str">
        <f>+DP45</f>
        <v>2018-19</v>
      </c>
      <c r="DQ44" s="1">
        <v>1700000</v>
      </c>
      <c r="DR44" s="1" t="str">
        <f>+DR45</f>
        <v>2018-19</v>
      </c>
      <c r="DS44" s="1">
        <v>5800000</v>
      </c>
      <c r="DT44" s="1" t="s">
        <v>223</v>
      </c>
      <c r="DU44" s="1">
        <f>+DU45</f>
        <v>17500000</v>
      </c>
      <c r="DV44" s="1" t="str">
        <f>+DV45</f>
        <v>2018-19</v>
      </c>
      <c r="DW44" s="1">
        <v>607000</v>
      </c>
      <c r="DX44" s="1" t="str">
        <f>+DX45</f>
        <v>2018-19</v>
      </c>
      <c r="DY44" s="1">
        <v>6290000</v>
      </c>
      <c r="DZ44" s="1" t="str">
        <f t="shared" si="211"/>
        <v>2018-19</v>
      </c>
      <c r="EA44" s="79">
        <f t="shared" si="67"/>
        <v>32997000</v>
      </c>
      <c r="EB44" s="1">
        <f>+EB43</f>
        <v>499000</v>
      </c>
      <c r="EC44" s="1" t="str">
        <f t="shared" si="212"/>
        <v>2017-18</v>
      </c>
      <c r="ED44" s="83">
        <v>169595</v>
      </c>
      <c r="EE44" s="143">
        <v>2018</v>
      </c>
      <c r="EF44" s="1">
        <f t="shared" si="121"/>
        <v>218233</v>
      </c>
      <c r="EG44" s="6">
        <f t="shared" si="122"/>
        <v>2018</v>
      </c>
      <c r="EH44" s="83">
        <v>54793181</v>
      </c>
      <c r="EI44" s="6">
        <v>2018</v>
      </c>
      <c r="EJ44" s="83">
        <f t="shared" ref="EJ44:EK47" si="233">+EJ43</f>
        <v>5291453</v>
      </c>
      <c r="EK44" s="143">
        <f t="shared" si="233"/>
        <v>2018</v>
      </c>
      <c r="EL44" s="1">
        <v>14339908</v>
      </c>
      <c r="EM44" s="6">
        <v>2018</v>
      </c>
      <c r="EN44" s="82">
        <f t="shared" si="231"/>
        <v>3364725</v>
      </c>
      <c r="EO44" s="144">
        <f t="shared" si="231"/>
        <v>2017</v>
      </c>
      <c r="EP44" s="82">
        <f t="shared" si="118"/>
        <v>6552</v>
      </c>
      <c r="EQ44" s="83">
        <f t="shared" si="100"/>
        <v>3003036</v>
      </c>
      <c r="ER44" s="1">
        <f t="shared" si="189"/>
        <v>33739</v>
      </c>
      <c r="ES44" s="1"/>
      <c r="ET44" s="83">
        <f t="shared" si="101"/>
        <v>22340</v>
      </c>
      <c r="EU44" s="83">
        <f t="shared" si="101"/>
        <v>17224</v>
      </c>
      <c r="EV44" s="83">
        <f t="shared" si="101"/>
        <v>9128</v>
      </c>
      <c r="EW44" s="83">
        <f t="shared" si="101"/>
        <v>17414</v>
      </c>
      <c r="EX44" s="79">
        <f t="shared" si="72"/>
        <v>66106</v>
      </c>
      <c r="EY44" s="83">
        <f t="shared" si="123"/>
        <v>19463</v>
      </c>
      <c r="EZ44" s="82">
        <f t="shared" si="123"/>
        <v>74231</v>
      </c>
      <c r="FA44" s="82">
        <f t="shared" si="103"/>
        <v>24553</v>
      </c>
      <c r="FB44" s="82">
        <f t="shared" si="103"/>
        <v>23958</v>
      </c>
      <c r="FC44" s="79">
        <f t="shared" si="73"/>
        <v>48511</v>
      </c>
      <c r="FD44" s="83">
        <f t="shared" si="158"/>
        <v>66959.290000000008</v>
      </c>
      <c r="FE44" s="1"/>
      <c r="FF44" s="1">
        <v>814000</v>
      </c>
      <c r="FG44" s="1" t="str">
        <f>+FG45</f>
        <v>2017-18</v>
      </c>
      <c r="FH44" s="1">
        <f>+FH45</f>
        <v>1370000</v>
      </c>
      <c r="FI44" s="1" t="str">
        <f>+FI45</f>
        <v>2017-18</v>
      </c>
      <c r="FJ44" s="1">
        <v>4600000</v>
      </c>
      <c r="FK44" s="1" t="str">
        <f>+FK45</f>
        <v>2018-19</v>
      </c>
      <c r="FL44" s="1">
        <f>+FL45</f>
        <v>3530000</v>
      </c>
      <c r="FM44" s="1" t="s">
        <v>6</v>
      </c>
      <c r="FN44" s="1">
        <v>31000000</v>
      </c>
      <c r="FO44" s="1" t="str">
        <f>+FO43</f>
        <v>2017-18</v>
      </c>
      <c r="FP44" s="1">
        <f>+FP45</f>
        <v>37780000</v>
      </c>
      <c r="FQ44" s="1" t="s">
        <v>6</v>
      </c>
      <c r="FR44" s="1">
        <f>+FR45</f>
        <v>1550000</v>
      </c>
      <c r="FS44" s="1" t="s">
        <v>6</v>
      </c>
      <c r="FT44" s="1">
        <v>19460000</v>
      </c>
      <c r="FU44" s="1" t="str">
        <f>+FU45</f>
        <v>2018-19</v>
      </c>
      <c r="FV44" s="79">
        <f t="shared" si="76"/>
        <v>97920000</v>
      </c>
      <c r="FW44" s="1">
        <f>+FW45</f>
        <v>1020000</v>
      </c>
      <c r="FX44" s="1" t="s">
        <v>6</v>
      </c>
      <c r="FY44" s="1">
        <v>0</v>
      </c>
      <c r="FZ44" s="79">
        <f t="shared" si="135"/>
        <v>806656.897</v>
      </c>
      <c r="GA44" s="86" t="str">
        <f t="shared" si="136"/>
        <v>dic17 nov18</v>
      </c>
      <c r="GB44" s="1">
        <v>25733114</v>
      </c>
      <c r="GC44" s="6">
        <v>2018</v>
      </c>
      <c r="GD44" s="83">
        <f t="shared" si="165"/>
        <v>1989400</v>
      </c>
      <c r="GE44" s="83">
        <f t="shared" si="190"/>
        <v>431374</v>
      </c>
      <c r="GF44" s="83">
        <f t="shared" si="197"/>
        <v>1006779</v>
      </c>
      <c r="GG44" s="83">
        <f t="shared" si="166"/>
        <v>114118</v>
      </c>
      <c r="GH44" s="79">
        <f t="shared" si="78"/>
        <v>1552271</v>
      </c>
      <c r="GI44" s="82">
        <f t="shared" si="232"/>
        <v>1302556</v>
      </c>
      <c r="GJ44" s="83">
        <f t="shared" si="215"/>
        <v>685541.2</v>
      </c>
      <c r="GK44" s="83">
        <f t="shared" si="216"/>
        <v>1103042.8600000001</v>
      </c>
      <c r="GL44" s="83">
        <f t="shared" si="217"/>
        <v>287064.67</v>
      </c>
      <c r="GM44" s="83">
        <f t="shared" si="218"/>
        <v>260870.73</v>
      </c>
      <c r="GN44" s="79">
        <f t="shared" si="81"/>
        <v>2336519.46</v>
      </c>
      <c r="GO44" s="83">
        <f t="shared" si="107"/>
        <v>195071</v>
      </c>
      <c r="GP44" s="83">
        <f t="shared" si="107"/>
        <v>79468</v>
      </c>
      <c r="GQ44" s="83">
        <v>63537.75</v>
      </c>
      <c r="GR44" s="1">
        <f t="shared" si="191"/>
        <v>42800</v>
      </c>
      <c r="GS44" s="79">
        <f t="shared" si="192"/>
        <v>44706.1325</v>
      </c>
      <c r="GT44" s="83">
        <f t="shared" si="108"/>
        <v>2483769</v>
      </c>
      <c r="GU44" s="1">
        <v>18057</v>
      </c>
      <c r="GV44" s="1">
        <v>30194</v>
      </c>
      <c r="GW44" s="79">
        <f t="shared" si="151"/>
        <v>1075939</v>
      </c>
      <c r="GX44" s="1">
        <v>26114.056</v>
      </c>
      <c r="GY44" s="1" t="s">
        <v>327</v>
      </c>
      <c r="GZ44" s="1">
        <v>104093.27099999999</v>
      </c>
      <c r="HA44" s="1">
        <v>255334</v>
      </c>
      <c r="HB44" s="79">
        <f t="shared" si="204"/>
        <v>3052602</v>
      </c>
      <c r="HC44" s="86" t="str">
        <f t="shared" si="138"/>
        <v>dic17 nov18</v>
      </c>
      <c r="HD44" s="1">
        <v>50508</v>
      </c>
      <c r="HE44" s="79">
        <f t="shared" si="139"/>
        <v>614550</v>
      </c>
      <c r="HF44" s="86" t="str">
        <f t="shared" si="140"/>
        <v>dic17 nov18</v>
      </c>
      <c r="HG44" s="83">
        <v>183000</v>
      </c>
      <c r="HH44" s="79">
        <f t="shared" si="205"/>
        <v>2077000</v>
      </c>
      <c r="HI44" s="86" t="str">
        <f t="shared" si="142"/>
        <v>dic17 nov18</v>
      </c>
      <c r="HJ44" s="1">
        <f>+(267431*30*12)/1000</f>
        <v>96275.16</v>
      </c>
      <c r="HK44" s="79">
        <f t="shared" si="143"/>
        <v>61164.319199999998</v>
      </c>
      <c r="HL44" s="86" t="str">
        <f t="shared" si="144"/>
        <v>dic17 nov18</v>
      </c>
      <c r="HM44" s="79">
        <f t="shared" si="86"/>
        <v>2138164.3191999998</v>
      </c>
      <c r="HN44" s="87">
        <f t="shared" si="206"/>
        <v>0.12330741016024982</v>
      </c>
      <c r="HO44" s="1">
        <v>942600000</v>
      </c>
      <c r="HP44" s="79">
        <f t="shared" si="153"/>
        <v>10457.102688598623</v>
      </c>
      <c r="HQ44" s="86" t="str">
        <f t="shared" si="145"/>
        <v>dic17 nov18</v>
      </c>
      <c r="HR44" s="3"/>
      <c r="HS44" s="1"/>
      <c r="HT44" s="1"/>
      <c r="HU44" s="83">
        <f t="shared" si="207"/>
        <v>680000</v>
      </c>
      <c r="HV44" s="83" t="str">
        <f t="shared" si="208"/>
        <v>2017-18</v>
      </c>
      <c r="HW44" s="83">
        <v>1350000</v>
      </c>
      <c r="HX44" s="1" t="s">
        <v>6</v>
      </c>
      <c r="HY44" s="1">
        <v>3400000</v>
      </c>
      <c r="HZ44" s="1" t="s">
        <v>6</v>
      </c>
      <c r="IA44" s="1">
        <f t="shared" si="209"/>
        <v>19890000</v>
      </c>
      <c r="IB44" s="1" t="s">
        <v>6</v>
      </c>
      <c r="IC44" s="1">
        <v>41300000</v>
      </c>
      <c r="ID44" s="1" t="s">
        <v>6</v>
      </c>
      <c r="IE44" s="1">
        <f t="shared" si="210"/>
        <v>1550000</v>
      </c>
      <c r="IF44" s="1" t="s">
        <v>6</v>
      </c>
      <c r="IG44" s="1">
        <f t="shared" si="188"/>
        <v>6500000</v>
      </c>
      <c r="IH44" s="1" t="s">
        <v>6</v>
      </c>
      <c r="II44" s="79">
        <f t="shared" si="87"/>
        <v>73990000</v>
      </c>
      <c r="IJ44" s="97">
        <f t="shared" si="167"/>
        <v>1.5629261117125455</v>
      </c>
      <c r="IK44" s="1" t="s">
        <v>6</v>
      </c>
      <c r="IL44" s="97">
        <v>45.53</v>
      </c>
      <c r="IM44" s="7">
        <v>55.43</v>
      </c>
      <c r="IN44" s="7">
        <v>190</v>
      </c>
      <c r="IO44" s="695">
        <v>14.84</v>
      </c>
      <c r="IP44" s="98">
        <f t="shared" si="193"/>
        <v>5.6422028615424455</v>
      </c>
      <c r="IQ44" s="96">
        <v>18.899999999999999</v>
      </c>
      <c r="IR44" s="98">
        <f t="shared" si="194"/>
        <v>5.93</v>
      </c>
      <c r="IS44" s="98">
        <f t="shared" si="194"/>
        <v>5.67</v>
      </c>
      <c r="IT44" s="98">
        <f t="shared" si="194"/>
        <v>11.35</v>
      </c>
      <c r="IU44" s="98">
        <f t="shared" si="194"/>
        <v>0.88</v>
      </c>
      <c r="IV44" s="94">
        <f t="shared" si="89"/>
        <v>17.899999999999999</v>
      </c>
      <c r="IW44" s="89"/>
      <c r="IX44" s="89"/>
      <c r="IY44" s="105">
        <v>1.84</v>
      </c>
      <c r="IZ44" s="161">
        <v>0.3</v>
      </c>
      <c r="JA44" s="83">
        <v>1500</v>
      </c>
      <c r="JB44" s="84">
        <v>37.22</v>
      </c>
      <c r="JC44" s="89"/>
      <c r="JD44" s="89"/>
      <c r="JF44" s="2">
        <v>20.007687719999996</v>
      </c>
      <c r="JG44" s="2">
        <v>6.4677091300000011</v>
      </c>
      <c r="JH44" s="2">
        <v>28.137679240000004</v>
      </c>
      <c r="JI44" s="2">
        <v>46.878722629999992</v>
      </c>
      <c r="JJ44" s="2">
        <v>225.31476334999999</v>
      </c>
      <c r="JK44" s="2">
        <v>77.788000099999991</v>
      </c>
      <c r="JL44" s="2">
        <v>1228.07568975</v>
      </c>
      <c r="JM44" s="2">
        <v>0.54602203999999999</v>
      </c>
      <c r="JN44" s="2">
        <v>170.14991971999999</v>
      </c>
      <c r="JO44" s="2">
        <v>14.149259840000001</v>
      </c>
      <c r="JP44" s="2">
        <v>0</v>
      </c>
      <c r="JQ44" s="2">
        <v>2.495E-2</v>
      </c>
      <c r="JR44" s="2">
        <v>0.69576405999999991</v>
      </c>
      <c r="JS44" s="2">
        <v>0</v>
      </c>
      <c r="JT44" s="2">
        <v>0</v>
      </c>
      <c r="JU44" s="2">
        <v>85.737785940000009</v>
      </c>
      <c r="JV44" s="2">
        <v>3.8511332300000003</v>
      </c>
      <c r="JW44" s="2">
        <v>7.7427815199999994</v>
      </c>
      <c r="JX44" s="2">
        <v>17.530313410000002</v>
      </c>
      <c r="JY44" s="2">
        <v>0</v>
      </c>
      <c r="JZ44" s="2">
        <v>0.91296880000000002</v>
      </c>
      <c r="KA44" s="2">
        <v>4.6714599999999997E-3</v>
      </c>
      <c r="KB44" s="2">
        <v>3.6374076999999998</v>
      </c>
      <c r="KC44" s="2">
        <v>16.339144500000003</v>
      </c>
      <c r="KD44" s="2">
        <v>7.2711382000000002</v>
      </c>
      <c r="KE44" s="2">
        <v>6.670595500000001</v>
      </c>
      <c r="KF44" s="2">
        <v>24.879253250000001</v>
      </c>
      <c r="KG44" s="2">
        <v>264.06585762000009</v>
      </c>
      <c r="KH44" s="2">
        <v>100.34309851</v>
      </c>
      <c r="KI44" s="2">
        <v>12.040320049999998</v>
      </c>
      <c r="KJ44" s="2">
        <v>3.4785470499999995</v>
      </c>
      <c r="KK44" s="2">
        <v>4.4321840200000002</v>
      </c>
      <c r="KL44" s="2">
        <v>9.8481579999999999E-2</v>
      </c>
      <c r="KM44" s="2">
        <v>2.63343397</v>
      </c>
      <c r="KN44" s="2">
        <v>0.27482660999999997</v>
      </c>
      <c r="KO44" s="2">
        <v>5.9517156099999999</v>
      </c>
      <c r="KP44" s="2">
        <v>0</v>
      </c>
      <c r="KQ44" s="2">
        <v>262.24560221999997</v>
      </c>
      <c r="KR44" s="2">
        <v>7.0766700000000002E-3</v>
      </c>
      <c r="KS44" s="2">
        <v>0.47246108000000003</v>
      </c>
      <c r="KT44" s="2">
        <v>2.24162265</v>
      </c>
      <c r="KU44" s="2">
        <v>0</v>
      </c>
      <c r="KV44" s="2">
        <v>6.8586210000000009E-2</v>
      </c>
      <c r="KW44" s="2">
        <v>3.20672025</v>
      </c>
      <c r="KX44" s="2">
        <v>0</v>
      </c>
      <c r="KY44" s="2">
        <v>0.21279635999999999</v>
      </c>
      <c r="KZ44" s="2">
        <v>0.72993736999999992</v>
      </c>
      <c r="LA44" s="2">
        <v>0.35659469999999999</v>
      </c>
      <c r="LB44" s="2">
        <v>0</v>
      </c>
      <c r="LC44" s="2">
        <v>6.4281060000000001E-2</v>
      </c>
      <c r="LD44" s="2">
        <v>0</v>
      </c>
      <c r="LE44" s="2">
        <v>0.93198915000000004</v>
      </c>
      <c r="LF44" s="2">
        <v>9.348838000000001E-2</v>
      </c>
      <c r="LG44" s="2">
        <v>18.874136539999999</v>
      </c>
      <c r="LH44" s="2">
        <v>1.9327560400000001</v>
      </c>
      <c r="LI44" s="2">
        <v>0</v>
      </c>
      <c r="LJ44" s="2">
        <v>0</v>
      </c>
      <c r="LK44" s="2">
        <v>0.78346905</v>
      </c>
      <c r="LL44" s="2">
        <v>1.2971327000000001</v>
      </c>
      <c r="LM44" s="2">
        <v>0.62483205000000008</v>
      </c>
      <c r="LN44" s="2">
        <v>0</v>
      </c>
      <c r="LO44" s="2">
        <v>10.429971500000001</v>
      </c>
      <c r="LQ44" s="85">
        <f t="shared" si="90"/>
        <v>1699.1027967300001</v>
      </c>
      <c r="LR44" s="85">
        <f t="shared" si="91"/>
        <v>0.72071405999999993</v>
      </c>
      <c r="LS44" s="85">
        <f t="shared" si="92"/>
        <v>11.59391475</v>
      </c>
      <c r="LT44" s="85">
        <f t="shared" si="93"/>
        <v>0.91764025999999999</v>
      </c>
      <c r="LU44" s="85">
        <f t="shared" si="94"/>
        <v>271.58511615999998</v>
      </c>
      <c r="LV44" s="85">
        <f t="shared" si="95"/>
        <v>3.4881028199999999</v>
      </c>
      <c r="LW44" s="85">
        <f t="shared" si="96"/>
        <v>0.35659469999999999</v>
      </c>
      <c r="LX44" s="85">
        <f t="shared" si="97"/>
        <v>1.0254775300000001</v>
      </c>
      <c r="LZ44" s="131">
        <v>44.37</v>
      </c>
      <c r="MA44" s="171">
        <v>37.65</v>
      </c>
      <c r="MB44"/>
      <c r="MC44"/>
      <c r="MD44"/>
      <c r="MF44"/>
      <c r="MG44"/>
      <c r="MH44" s="83">
        <v>72.63</v>
      </c>
      <c r="MI44" s="83">
        <v>30.23</v>
      </c>
      <c r="MJ44" s="83">
        <v>28.64</v>
      </c>
      <c r="MK44"/>
      <c r="ML44" s="83">
        <v>26.47</v>
      </c>
      <c r="MM44" s="83">
        <v>32.479999999999997</v>
      </c>
      <c r="MN44" s="83"/>
      <c r="MO44" s="83">
        <v>32.53</v>
      </c>
      <c r="MP44" s="83">
        <v>48.56</v>
      </c>
      <c r="MQ44" s="83">
        <v>57.16</v>
      </c>
      <c r="MR44"/>
      <c r="MT44" s="83"/>
      <c r="MU44" s="83">
        <v>22.68</v>
      </c>
      <c r="MV44"/>
      <c r="MW44"/>
      <c r="MX44"/>
      <c r="MY44" s="83">
        <v>56.38</v>
      </c>
      <c r="MZ44" s="83">
        <v>134.80000000000001</v>
      </c>
      <c r="NA44" s="83">
        <v>61.82</v>
      </c>
      <c r="NB44" s="83">
        <v>175.03</v>
      </c>
      <c r="NC44" s="83">
        <v>31.3</v>
      </c>
      <c r="ND44"/>
      <c r="NE44" s="1">
        <v>159.81</v>
      </c>
    </row>
    <row r="45" spans="1:369">
      <c r="A45" s="38">
        <f t="shared" si="219"/>
        <v>43435</v>
      </c>
      <c r="B45" s="36">
        <f t="shared" si="198"/>
        <v>12</v>
      </c>
      <c r="C45" s="36">
        <v>2018</v>
      </c>
      <c r="D45" s="36">
        <f t="shared" si="50"/>
        <v>45</v>
      </c>
      <c r="E45" s="38">
        <f t="shared" si="220"/>
        <v>43435</v>
      </c>
      <c r="F45" s="7">
        <v>38.738888888888887</v>
      </c>
      <c r="G45" s="7">
        <v>184.3</v>
      </c>
      <c r="H45" s="1">
        <f>[2]NACIONALES!$D33</f>
        <v>15915.29</v>
      </c>
      <c r="I45" s="7">
        <v>100</v>
      </c>
      <c r="J45" s="7">
        <v>470</v>
      </c>
      <c r="K45" s="7">
        <v>2.9</v>
      </c>
      <c r="L45" s="7">
        <v>26.8</v>
      </c>
      <c r="N45" s="5">
        <v>1.5649999999999999</v>
      </c>
      <c r="O45" s="5">
        <v>1.411</v>
      </c>
      <c r="P45" s="78">
        <f t="shared" si="221"/>
        <v>53.179466666666663</v>
      </c>
      <c r="Q45" s="6">
        <v>630</v>
      </c>
      <c r="R45" s="79">
        <f t="shared" si="222"/>
        <v>6300</v>
      </c>
      <c r="S45" s="6">
        <v>173.33333333333334</v>
      </c>
      <c r="T45" s="6">
        <v>225.33333333333334</v>
      </c>
      <c r="U45" s="143">
        <v>144.60555555555555</v>
      </c>
      <c r="V45" s="6">
        <v>242.06111111111113</v>
      </c>
      <c r="W45" s="6">
        <v>110</v>
      </c>
      <c r="X45" s="6">
        <v>202.29444444444445</v>
      </c>
      <c r="Y45" s="79">
        <f t="shared" si="223"/>
        <v>6714.7407407407409</v>
      </c>
      <c r="Z45" s="79">
        <f t="shared" si="224"/>
        <v>8729.1629629629624</v>
      </c>
      <c r="AA45" s="79">
        <f t="shared" si="225"/>
        <v>5601.8585493827159</v>
      </c>
      <c r="AB45" s="79">
        <f t="shared" si="226"/>
        <v>9377.1784876543206</v>
      </c>
      <c r="AC45" s="79">
        <f t="shared" si="227"/>
        <v>4261.2777777777774</v>
      </c>
      <c r="AD45" s="79">
        <f t="shared" si="228"/>
        <v>7836.662006172839</v>
      </c>
      <c r="AE45" s="79">
        <f t="shared" si="229"/>
        <v>7086.8134207818921</v>
      </c>
      <c r="AF45" s="1">
        <v>22754.6</v>
      </c>
      <c r="AG45" s="1">
        <v>8400</v>
      </c>
      <c r="AH45" s="1">
        <v>31900</v>
      </c>
      <c r="AI45" s="5">
        <v>9.6335999999999995</v>
      </c>
      <c r="AJ45" s="5">
        <v>6.6490999999999998</v>
      </c>
      <c r="AK45" s="5">
        <v>7.2934999999999999</v>
      </c>
      <c r="AL45" s="5">
        <v>7.31</v>
      </c>
      <c r="AM45" s="78">
        <f t="shared" si="230"/>
        <v>8.3481299999999994</v>
      </c>
      <c r="AN45" s="7">
        <v>633.17499999999995</v>
      </c>
      <c r="AO45" s="7">
        <v>413.80263157894734</v>
      </c>
      <c r="AP45" s="78">
        <f t="shared" si="146"/>
        <v>413.80263157894734</v>
      </c>
      <c r="AQ45" s="7">
        <v>385.09649122807019</v>
      </c>
      <c r="AR45" s="7">
        <v>263.58736842105259</v>
      </c>
      <c r="AS45" s="7">
        <v>203.56349206349208</v>
      </c>
      <c r="AT45" s="7">
        <v>312.43947368421055</v>
      </c>
      <c r="AU45" s="78">
        <f t="shared" si="53"/>
        <v>259.86344472291836</v>
      </c>
      <c r="AV45" s="7">
        <v>171.05066666666667</v>
      </c>
      <c r="AW45" s="7">
        <v>411.18315789473689</v>
      </c>
      <c r="AX45" s="7">
        <v>227.62263157894731</v>
      </c>
      <c r="AY45" s="7">
        <v>259.71986842105264</v>
      </c>
      <c r="AZ45" s="7">
        <v>224.7726315789474</v>
      </c>
      <c r="BA45" s="7">
        <v>240.67815384615386</v>
      </c>
      <c r="BB45" s="94">
        <f t="shared" si="45"/>
        <v>251.6564463562753</v>
      </c>
      <c r="BC45" s="68">
        <f t="shared" si="185"/>
        <v>812</v>
      </c>
      <c r="BD45" s="68">
        <f t="shared" si="185"/>
        <v>914</v>
      </c>
      <c r="BE45" s="7">
        <f t="shared" si="185"/>
        <v>720</v>
      </c>
      <c r="BF45" s="7">
        <f t="shared" si="185"/>
        <v>460</v>
      </c>
      <c r="BG45" s="94">
        <f t="shared" si="56"/>
        <v>726.5</v>
      </c>
      <c r="BH45" s="7">
        <v>53.11</v>
      </c>
      <c r="BI45" s="7">
        <f t="shared" si="199"/>
        <v>29.989000000000001</v>
      </c>
      <c r="BJ45" s="78">
        <f t="shared" si="57"/>
        <v>83.099000000000004</v>
      </c>
      <c r="BK45" s="7">
        <v>47.481999999999999</v>
      </c>
      <c r="BL45" s="7">
        <v>50.39</v>
      </c>
      <c r="BM45" s="94">
        <f t="shared" si="58"/>
        <v>48.936</v>
      </c>
      <c r="BN45" s="5">
        <v>9.2799999999999994</v>
      </c>
      <c r="BO45" s="5">
        <v>44.022222222222226</v>
      </c>
      <c r="BP45" s="80">
        <v>24.853833333333331</v>
      </c>
      <c r="BQ45" s="94">
        <f t="shared" si="59"/>
        <v>42.105383333333336</v>
      </c>
      <c r="BR45" s="7">
        <v>34.450000000000003</v>
      </c>
      <c r="BS45" s="7">
        <v>105</v>
      </c>
      <c r="BT45" s="7">
        <v>113.63</v>
      </c>
      <c r="BU45" s="79">
        <f>+BS45*12+BT45*3</f>
        <v>1600.8899999999999</v>
      </c>
      <c r="BV45" s="7">
        <v>63.1</v>
      </c>
      <c r="BW45" s="7"/>
      <c r="BY45" s="92">
        <f>BY$10*(1+((H45/H$10-1)*costos!$B$5+((I45*F45)/(I$10*F$10)-1)*costos!$E$5+((J45*F45)/((J$10*F$10)-1)*costos!$F$5/3+((K45*F45)/(K$10*F$10)-1)*costos!$F$5/3+((U45*F45)/(U$10*F$10)-1)*costos!$F$5/3+((L45*F45)/(L$10*F$10)-1)*costos!$G$5+((N45*F45)/(N$10*F$10)-1)*costos!$J$5+((V45*F45)/(V$10*F$10)-1)*costos!$K$5)))</f>
        <v>302.46891510501365</v>
      </c>
      <c r="BZ45" s="92">
        <f>$BZ$10*(1+((H45/$H$10-1)*costos!$B$6+((I45*F45)/($I$10*$F$10)-1)*costos!$E$6+((J45*F45)/(($J$10*$F$10)-1)*costos!$F$6/3+((K45*F45)/($K$10*$F$10)-1)*costos!$F$6/3+((U45*F45)/($U$10*$F$10)-1)*costos!$F$6/3+((L45*F45)/($L$10*$F$10)-1)*costos!$G$6+((Q45*F45)/($Q$10*$F$10)-1)*costos!$J$6+((V45*F45)/($V$10*$F$10)-1)*costos!$K$6)))</f>
        <v>288.34259833525965</v>
      </c>
      <c r="CA45" s="92">
        <f>CA$10*(1+((H45/H$10-1)*costos!$B$7+((I45*F45)/(I$10*F$10)-1)*costos!$E$7+((J45*F45)/((J$10*F$10)-1)*costos!$F$7/3+((K45*F45)/(K$10*F$10)-1)*costos!$F$7/3+((U45*F45)/(U$10*F$10)-1)*costos!$F$7/3+((L45*F45)/(L$10*F$10)-1)*costos!$G$7+((S45*F45)/(S$10*F$10)-1)*costos!$J$7+((V45*F45)/(V$10*F$10)-1)*costos!$K$7)))</f>
        <v>294.00232728649314</v>
      </c>
      <c r="CB45" s="92">
        <f>CB$10*(1+((H45/H$10-1)*costos!$B$8+((I45*F45)/(I$10*F$10)-1)*costos!$E$8+((J45*F45)/((J$10*F$10)-1)*costos!$F$8/3+((K45*F45)/(K$10*F$10)-1)*costos!$F$8/3+((U45*F45)/(U$10*F$10)-1)*costos!$F$8/3+((L45*F45)/(L$10*F$10)-1)*costos!$G$8+((T45*F45)/(T$10*F$10)-1)*costos!$J$8+((V45*F45)/(V$10*F$10)-1)*costos!$K$8)))</f>
        <v>269.00965345867189</v>
      </c>
      <c r="CC45" s="92">
        <f>CC$10*(1+((H45/H$10-1)*costos!$B$9+((I45*F45)/(I$10*F$10)-1)*costos!$E$9+((J45*F45)/((J$10*F$10)-1)*costos!$F$9/3+((K45*F45)/(K$10*F$10)-1)*costos!$F$9/3+((U45*F45)/(U$10*F$10)-1)*costos!$F$9/3+((L45*F45)/(L$10*F$10)-1)*costos!$G$9+((U45*F45)/(U$10*F$10)-1)*costos!$J$9+((V45*F45)/(V$10*F$10)-1)*costos!$K$9)))</f>
        <v>276.67299924996615</v>
      </c>
      <c r="CD45" s="92">
        <f>CD$10*(1+((H45/H$10-1)*costos!$B$11+((I45*F45)/(I$10*F$10)-1)*costos!$E$11+((J45*F45)/((J$10*F$10)-1)*costos!$F$11/3+((K45*F45)/(K$10*F$10)-1)*costos!$F$11/3+((U45*F45)/(U$10*F$10)-1)*costos!$F$11/3+((L45*F45)/(L$10*F$10)-1)*costos!$G$11+((V45*F45)/(V$10*F$10)-1)*costos!$J$11+((V45*F45)/(V$10*F$10)-1)*costos!$K$11)))</f>
        <v>286.8162089360639</v>
      </c>
      <c r="CE45" s="92">
        <f>CE$10*(1+((H45/H$10-1)*costos!$B$12+((I45*F45)/(I$10*F$10)-1)*costos!$E$12+((J45*F45)/((J$10*F$10)-1)*costos!$F$12/3+((K45*F45)/(K$10*F$10)-1)*costos!$F$12/3+((U45*F45)/(U$10*F$10)-1)*costos!$F$12/3+((L45*F45)/(L$10*F$10)-1)*costos!$G$12+((W45*F45)/(W$10*F$10)-1)*costos!$J$12+((V45*F45)/(V$10*F$10)-1)*costos!$K$12)))</f>
        <v>255.15298424497087</v>
      </c>
      <c r="CF45" s="92">
        <f>CF$10*(1+((H45/H$10-1)*costos!$B$13+((I45*F45)/(I$10*F$10)-1)*costos!$E$13+((J45*F45)/((J$10*F$10)-1)*costos!$F$13/3+((K45*F45)/(K$10*F$10)-1)*costos!$F$13/3+((U45*F45)/(U$10*F$10)-1)*costos!$F$13/3+((L45*F45)/(L$10*F$10)-1)*costos!$G$13+((X45*F45)/(X$10*F$10)-1)*costos!$J$13+((V45*F45)/(V$10*F$10)-1)*costos!$K$13)))</f>
        <v>306.77841963380791</v>
      </c>
      <c r="CG45" s="92">
        <f t="shared" si="60"/>
        <v>281.40543213499569</v>
      </c>
      <c r="CH45" s="92">
        <f>CH$10*(1+((H45/H$10-1)*costos!$B$10+((I45*F45)/(I$10*F$10)-1)*costos!$E$10+((J45*F45)/((J$10*F$10)-1)*costos!$F$10/3+((K45*F45)/(K$10*F$10)-1)*costos!$F$10/3+((U45*F45)/(U$10*F$10)-1)*costos!$F$10/3+((L45*F45)/(L$10*F$10)-1)*costos!$G$10+((AF45)/(AF$10)-1)*costos!$J$10+((V45*F45)/(V$10*F$10)-1)*costos!$K$10)))</f>
        <v>307.71993969152106</v>
      </c>
      <c r="CI45" s="92">
        <f>CI$10*(1+((H45/H$10-1)*costos!$B$15+((I45*F45)/(I$10*F$10)-1)*costos!$E$15+((J45*F45)/((J$10*F$10)-1)*costos!$F$15/3+((K45*F45)/(K$10*F$10)-1)*costos!$F$15/3+((U45*F45)/(U$10*F$10)-1)*costos!$F$15/3+((L45*F45)/(L$10*F$10)-1)*costos!$G$15+((AV45)/(AV$10)-1)*costos!$J$15+((V45*F45)/(V$10*F$10)-1)*costos!$K$15)))</f>
        <v>274.43619837364122</v>
      </c>
      <c r="CJ45" s="92">
        <f>CJ$10*(1+((H45/H$10-1)*costos!$B$16+((I45*F45)/(I$10*F$10)-1)*costos!$E$16+((J45*F45)/((J$10*F$10)-1)*costos!$F$16/3+((K45*F45)/(K$10*F$10)-1)*costos!$F$16/3+((U45*F45)/(U$10*F$10)-1)*costos!$F$16/3+((L45*F45)/(L$10*F$10)-1)*costos!$G$16+((AW45)/(AW$10)-1)*costos!$J$16+((V45*F45)/(V$10*F$10)-1)*costos!$K$16)))</f>
        <v>232.27412463286203</v>
      </c>
      <c r="CK45" s="92">
        <f>CK$10*(1+((H45/H$10-1)*costos!$B$17+((I45*F45)/(I$10*F$10)-1)*costos!$E$17+((J45*F45)/((J$10*F$10)-1)*costos!$F$17/3+((K45*F45)/(K$10*F$10)-1)*costos!$F$17/3+((U45*F45)/(U$10*F$10)-1)*costos!$F$17/3+((L45*F45)/(L$10*F$10)-1)*costos!$G$17+((AX45)/(AX$10)-1)*costos!$J$17+((V45*F45)/(V$10*F$10)-1)*costos!$K$17)))</f>
        <v>269.28364358680443</v>
      </c>
      <c r="CL45" s="92">
        <f>CL$10*(1+((H45/H$10-1)*costos!$B$18+((I45*F45)/(I$10*F$10)-1)*costos!$E$18+((J45*F45)/((J$10*F$10)-1)*costos!$F$18/3+((K45*F45)/(K$10*F$10)-1)*costos!$F$18/3+((U45*F45)/(U$10*F$10)-1)*costos!$F$18/3+((L45*F45)/(L$10*F$10)-1)*costos!$G$18+((AY45)/(AY$10)-1)*costos!$J$18+((V45*F45)/(V$10*F$10)-1)*costos!$K$18)))</f>
        <v>265.85453915129273</v>
      </c>
      <c r="CM45" s="92">
        <f>CM$10*(1+((H45/H$10-1)*costos!$B$19+((I45*F45)/(I$10*F$10)-1)*costos!$E$19+((J45*F45)/((J$10*F$10)-1)*costos!$F$19/3+((K45*F45)/(K$10*F$10)-1)*costos!$F$19/3+((U45*F45)/(U$10*F$10)-1)*costos!$F$19/3+((L45*F45)/(L$10*F$10)-1)*costos!$G$19+((AZ45)/(AZ$10)-1)*costos!$J$19+((V45*F45)/(V$10*F$10)-1)*costos!$K$19)))</f>
        <v>231.26565001676042</v>
      </c>
      <c r="CN45" s="92">
        <f>CN$10*(1+((H45/H$10-1)*costos!$B$20+((I45*F45)/(I$10*F$10)-1)*costos!$E$20+((J45*F45)/((J$10*F$10)-1)*costos!$F$20/3+((K45*F45)/(K$10*F$10)-1)*costos!$F$20/3+((U45*F45)/(U$10*F$10)-1)*costos!$F$20/3+((L45*F45)/(L$10*F$10)-1)*costos!$G$20+((BA45)/(BA$10)-1)*costos!$J$20+((V45*F45)/(V$10*F$10)-1)*costos!$K$20)))</f>
        <v>247.03277240665815</v>
      </c>
      <c r="CO45" s="92">
        <f t="shared" si="61"/>
        <v>253.35915129037895</v>
      </c>
      <c r="CP45" s="92">
        <f>CP$10*(1+((H45/H$10-1)*costos!$B$22+((I45*F45)/(I$10*F$10)-1)*costos!$E$22+((J45*F45)/((J$10*F$10)-1)*costos!$F$22/3+((K45*F45)/(K$10*F$10)-1)*costos!$F$22/3+((U45*F45)/(U$10*F$10)-1)*costos!$F$22/3+((L45*F45)/(L$10*F$10)-1)*costos!$G$22+(((AVERAGE(AI45:AL45))/((AVERAGE(AI$10:AL$10))-1)*costos!$J$22+((V45*F45)/(V$10*F$10)-1)*costos!$K$22)))))</f>
        <v>286.17446314986552</v>
      </c>
      <c r="CQ45" s="92">
        <f>CQ$10*(1+((H45/H$10-1)*costos!$B$23+((I45*F45)/(I$10*F$10)-1)*costos!$E$23+((J45*F45)/((J$10*F$10)-1)*costos!$F$23/3+((K45*F45)/(K$10*F$10)-1)*costos!$F$23/3+((U45*F45)/(U$10*F$10)-1)*costos!$F$23/3+((L45*F45)/(L$10*F$10)-1)*costos!$G$23+((AN45)/(AN$10)-1)*costos!$J$23+((V45*F45)/(V$10*F$10)-1)*costos!$K$23)))</f>
        <v>237.56912997970474</v>
      </c>
      <c r="CR45" s="92">
        <f>CR$10*(1+((H45/H$10-1)*costos!$B$24+((I45*F45)/(I$10*F$10)-1)*costos!$E$24+((J45*F45)/((J$10*F$10)-1)*costos!$F$24/3+((K45*F45)/(K$10*F$10)-1)*costos!$F$24/3+((U45*F45)/(U$10*F$10)-1)*costos!$F$24/3+((L45*F45)/(L$10*F$10)-1)*costos!$G$24+((AO45)/(AO$10)-1)*costos!$J$24+((V45*F45)/(V$10*F$10)-1)*costos!$K$24)))</f>
        <v>240.41956371139909</v>
      </c>
      <c r="CS45" s="92">
        <f t="shared" si="62"/>
        <v>238.99434684555192</v>
      </c>
      <c r="CT45" s="92">
        <f>CT$10*(1+((H45/H$10-1)*costos!$B$25+((I45*F45)/(I$10*F$10)-1)*costos!$E$25+((J45*F45)/((J$10*F$10)-1)*costos!$F$25/3+((K45*F45)/(K$10*F$10)-1)*costos!$F$25/3+((U45*F45)/(U$10*F$10)-1)*costos!$F$25/3+((L45*F45)/(L$10*F$10)-1)*costos!$G$25+((AQ45)/(AQ$10)-1)*costos!$J$25+((V45*F45)/(V$10*F$10)-1)*costos!$K$25)))</f>
        <v>242.74475651794418</v>
      </c>
      <c r="CU45" s="92">
        <f>CU$10*(1+((H45/H$10-1)*costos!$B$26+((I45*F45)/(I$10*F$10)-1)*costos!$E$26+((J45*F45)/((J$10*F$10)-1)*costos!$F$26/3+((K45*F45)/(K$10*F$10)-1)*costos!$F$26/3+((U45*F45)/(U$10*F$10)-1)*costos!$F$26/3+((L45*F45)/(L$10*F$10)-1)*costos!$G$26+((AR45)/(AR$10)-1)*costos!$J$26+((V45*F45)/(V$10*F$10)-1)*costos!$K$26)))</f>
        <v>243.89699435104077</v>
      </c>
      <c r="CV45" s="92">
        <f>CV$10*(1+((H45/H$10-1)*costos!$B$27+((I45*F45)/(I$10*F$10)-1)*costos!$E$27+((J45*F45)/((J$10*F$10)-1)*costos!$F$27/3+((K45*F45)/(K$10*F$10)-1)*costos!$F$27/3+((U45*F45)/(U$10*F$10)-1)*costos!$F$27/3+((L45*F45)/(L$10*F$10)-1)*costos!$G$27+((AS45)/(AS$10)-1)*costos!$J$27+((V45*F45)/(V$10*F$10)-1)*costos!$K$27)))</f>
        <v>239.56703311547281</v>
      </c>
      <c r="CW45" s="92">
        <f>CW$10*(1+((H45/H$10-1)*costos!$B$28+((I45*F45)/(I$10*F$10)-1)*costos!$E$28+((J45*F45)/((J$10*F$10)-1)*costos!$F$28/3+((K45*F45)/(K$10*F$10)-1)*costos!$F$28/3+((U45*F45)/(U$10*F$10)-1)*costos!$F$28/3+((L45*F45)/(L$10*F$10)-1)*costos!$G$28+((AS45)/(AS$10)-1)*costos!$J$28+((V45*F45)/(V$10*F$10)-1)*costos!$K$28)))</f>
        <v>239.56703311547281</v>
      </c>
      <c r="CX45" s="92">
        <f t="shared" si="63"/>
        <v>241.01035352732879</v>
      </c>
      <c r="CY45" s="92">
        <f>CY$10*(1+((H45/H$10-1)*costos!$B$32+((I45*F45)/(I$10*F$10)-1)*costos!$E$32+((J45*F45)/((J$10*F$10)-1)*costos!$F$32/3+((K45*F45)/(K$10*F$10)-1)*costos!$F$32/3+((U45*F45)/(U$10*F$10)-1)*costos!$F$32/3+((L45*F45)/(L$10*F$10)-1)*costos!$G$32+((AG45)/(AG$10)-1)*costos!$J$32+((V45*F45)/(V$10*F$10)-1)*costos!$K$32)))</f>
        <v>224.32369424182031</v>
      </c>
      <c r="CZ45" s="69">
        <f>CZ$10*(1+((H45/H$10-1)*costos!$B$31+((I45*F45)/(I$10*F$10)-1)*costos!$E$30+((J45*F45)/((J$10*F$10)-1)*costos!$F$30/3+((K45*F45)/(K$10*F$10)-1)*costos!$F$30/3+((U45*F45)/(U$10*F$10)-1)*costos!$F$30/3+((L45*F45)/(L$10*F$10)-1)*costos!$G$30+((BG45)/(BG$10)-1)*costos!$J$30+((V45*F45)/(V$10*F$10)-1)*costos!$K$30)))</f>
        <v>280.57323184349929</v>
      </c>
      <c r="DA45" s="69">
        <f>DA$10*(1+((H45/H$10-1)*costos!$B$31+((I45*F45)/(I$10*F$10)-1)*costos!$E$31+((J45*F45)/((J$10*F$10)-1)*costos!$F$31/3+((K45*F45)/(K$10*F$10)-1)*costos!$F$31/3+((U45*F45)/(U$10*F$10)-1)*costos!$F$31/3+((L45*F45)/(L$10*F$10)-1)*costos!$G$31+((BJ45)/(BJ$10)-1)*costos!$J$31+((V45*F45)/(V$10*F$10)-1)*costos!$K$31)))</f>
        <v>235.17122928398075</v>
      </c>
      <c r="DB45" s="69">
        <f>DB$10*(1+((H45/H$10-1)*costos!$B$36+((I45*F45)/(I$10*F$10)-1)*costos!$E$36+((J45*F45)/((J$10*F$10)-1)*costos!$F$36/3+((K45*F45)/(K$10*F$10)-1)*costos!$F$36/3+((U45*F45)/(U$10*F$10)-1)*costos!$F$36/3+((L45*F45)/(L$10*F$10)-1)*costos!$G$36+((BK45)/(BK$10)-1)*costos!$J$36+((V45*F45)/(V$10*F$10)-1)*costos!$K$36)))</f>
        <v>244.37908173904961</v>
      </c>
      <c r="DC45" s="69">
        <f>DC$10*(1+((H45/H$10-1)*costos!$B$37+((I45*F45)/(I$10*F$10)-1)*costos!$E$37+((U45*F45)/(U$10*F$10)-1)*costos!$F$37+((L45*F45)/(L$10*F$10)-1)*costos!$G$37+((BN45)/(BN$10)-1)*costos!$J$37+((V45*F45)/(V$10*F$10)-1)*costos!$K$37))</f>
        <v>273.88136786816432</v>
      </c>
      <c r="DD45" s="69">
        <f>DD$10*(1+((H45/H$10-1)*costos!$B$39+((I45*F45)/(I$10*F$10)-1)*costos!$E$39+((U45*F45)/(U$10*F$10)-1)*costos!$F$39+((L45*F45)/(L$10*F$10)-1)*costos!$G$39+((BR45)/(BR$10)-1)*costos!$J$39+((V45*F45)/(V$10*F$10)-1)*costos!$K$39))</f>
        <v>265.42796374379947</v>
      </c>
      <c r="DE45" s="69">
        <f>DD$10*(1+((H45/H$10-1)*costos!$B$35+((I45*F45)/(I$10*F$10)-1)*costos!$E$35+((U45*F45)/(U$10*F$10)-1)*costos!$F$35+((L45*F45)/(L$10*F$10)-1)*costos!$G$35+((BR45)/(BR$10)-1)*costos!$J$35+((V45*F45)/(V$10*F$10)-1)*costos!$K$35))</f>
        <v>240.61473512768239</v>
      </c>
      <c r="DF45" s="69">
        <f>DF$10*(1+((H45/H$10-1)*costos!$B$40+((I45*F45)/(I$10*F$10)-1)*costos!$E$40+((U45*F45)/(U$10*F$10)-1)*costos!$F$40+((L45*F45)/(L$10*F$10)-1)*costos!$G$40+((BP45)/(BP$10)-1)*costos!$J$40+((V45*F45)/(V$10*F$10)-1)*costos!$K$40))</f>
        <v>267.94834443312101</v>
      </c>
      <c r="DG45" s="92">
        <f t="shared" si="64"/>
        <v>254.28153978040172</v>
      </c>
      <c r="DH45" s="69">
        <f>DH$10*(1+((H45/H$10-1)*costos!$B$34+((I45*F45)/(I$10*F$10)-1)*costos!$E$34+((J45*F45)/((J$10*F$10)-1)*costos!$F$34/3+((K45*F45)/(K$10*F$10)-1)*costos!$F$34/3+((U45*F45)/(U$10*F$10)-1)*costos!$F$34/3+((L45*F45)/(L$10*F$10)-1)*costos!$G$34+((BV45)/(BV$10)-1)*costos!$J$34+((V45*F45)/(V$10*F$10)-1)*costos!$K$34)))</f>
        <v>247.95682580122454</v>
      </c>
      <c r="DI45" s="69">
        <f>DI$10*(1+((H45/H$10-1)*costos!$B$38+((I45*F45)/(I$10*F$10)-1)*costos!$E$38+((J45*F45)/((J$10*F$10)-1)*costos!$F$38/3+((K45*F45)/(K$10*F$10)-1)*costos!$F$38/3+((U45*F45)/(U$10*F$10)-1)*costos!$F$38/3+((L45*F45)/(L$10*F$10)-1)*costos!$G$38+((BU45)/(BU$10)-1)*costos!$J$38+((V45*F45)/(V$10*F$10)-1)*costos!$K$38)))</f>
        <v>223.88234279058975</v>
      </c>
      <c r="DK45" s="1">
        <v>440000</v>
      </c>
      <c r="DL45" s="1" t="s">
        <v>223</v>
      </c>
      <c r="DM45" s="1">
        <v>191000</v>
      </c>
      <c r="DN45" s="1" t="s">
        <v>223</v>
      </c>
      <c r="DO45" s="1">
        <v>1140000</v>
      </c>
      <c r="DP45" s="1" t="s">
        <v>223</v>
      </c>
      <c r="DQ45" s="1">
        <f>+DQ44</f>
        <v>1700000</v>
      </c>
      <c r="DR45" s="1" t="s">
        <v>223</v>
      </c>
      <c r="DS45" s="1">
        <v>5800000</v>
      </c>
      <c r="DT45" s="1" t="s">
        <v>223</v>
      </c>
      <c r="DU45" s="1">
        <v>17500000</v>
      </c>
      <c r="DV45" s="1" t="s">
        <v>223</v>
      </c>
      <c r="DW45" s="1">
        <v>607000</v>
      </c>
      <c r="DX45" s="1" t="s">
        <v>223</v>
      </c>
      <c r="DY45" s="1">
        <v>6290000</v>
      </c>
      <c r="DZ45" s="1" t="s">
        <v>223</v>
      </c>
      <c r="EA45" s="79">
        <f t="shared" si="67"/>
        <v>33037000</v>
      </c>
      <c r="EB45" s="1">
        <v>390000</v>
      </c>
      <c r="EC45" s="1" t="s">
        <v>223</v>
      </c>
      <c r="ED45" s="83">
        <v>169595</v>
      </c>
      <c r="EE45" s="143">
        <v>2018</v>
      </c>
      <c r="EF45" s="1">
        <f t="shared" si="121"/>
        <v>218233</v>
      </c>
      <c r="EG45" s="6">
        <f t="shared" si="122"/>
        <v>2018</v>
      </c>
      <c r="EH45" s="83">
        <v>54793181</v>
      </c>
      <c r="EI45" s="6">
        <v>2018</v>
      </c>
      <c r="EJ45" s="83">
        <f t="shared" si="233"/>
        <v>5291453</v>
      </c>
      <c r="EK45" s="143">
        <f t="shared" si="233"/>
        <v>2018</v>
      </c>
      <c r="EL45" s="1">
        <v>14339908</v>
      </c>
      <c r="EM45" s="6">
        <v>2018</v>
      </c>
      <c r="EN45" s="82">
        <f t="shared" si="231"/>
        <v>3364725</v>
      </c>
      <c r="EO45" s="144">
        <f t="shared" si="231"/>
        <v>2017</v>
      </c>
      <c r="EP45" s="82">
        <f t="shared" si="118"/>
        <v>6552</v>
      </c>
      <c r="EQ45" s="83">
        <f t="shared" si="100"/>
        <v>3003036</v>
      </c>
      <c r="ER45" s="1">
        <f t="shared" si="189"/>
        <v>33739</v>
      </c>
      <c r="ES45" s="1"/>
      <c r="ET45" s="83">
        <f t="shared" si="101"/>
        <v>22340</v>
      </c>
      <c r="EU45" s="83">
        <f t="shared" si="101"/>
        <v>17224</v>
      </c>
      <c r="EV45" s="83">
        <f t="shared" si="101"/>
        <v>9128</v>
      </c>
      <c r="EW45" s="83">
        <f t="shared" si="101"/>
        <v>17414</v>
      </c>
      <c r="EX45" s="79">
        <f t="shared" si="72"/>
        <v>66106</v>
      </c>
      <c r="EY45" s="83">
        <f t="shared" si="123"/>
        <v>19463</v>
      </c>
      <c r="EZ45" s="82">
        <f t="shared" si="123"/>
        <v>74231</v>
      </c>
      <c r="FA45" s="82">
        <f t="shared" si="103"/>
        <v>24553</v>
      </c>
      <c r="FB45" s="82">
        <f t="shared" si="103"/>
        <v>23958</v>
      </c>
      <c r="FC45" s="79">
        <f t="shared" si="73"/>
        <v>48511</v>
      </c>
      <c r="FD45" s="83">
        <f t="shared" si="158"/>
        <v>66959.290000000008</v>
      </c>
      <c r="FE45" s="1"/>
      <c r="FF45" s="1">
        <v>814000</v>
      </c>
      <c r="FG45" s="1" t="s">
        <v>6</v>
      </c>
      <c r="FH45" s="1">
        <v>1370000</v>
      </c>
      <c r="FI45" s="1" t="s">
        <v>6</v>
      </c>
      <c r="FJ45" s="1">
        <v>4600000</v>
      </c>
      <c r="FK45" s="1" t="s">
        <v>223</v>
      </c>
      <c r="FL45" s="1">
        <v>3530000</v>
      </c>
      <c r="FM45" s="1" t="s">
        <v>6</v>
      </c>
      <c r="FN45" s="1">
        <v>31000000</v>
      </c>
      <c r="FO45" s="1" t="str">
        <f>+FO44</f>
        <v>2017-18</v>
      </c>
      <c r="FP45" s="1">
        <v>37780000</v>
      </c>
      <c r="FQ45" s="1" t="s">
        <v>6</v>
      </c>
      <c r="FR45" s="1">
        <v>1550000</v>
      </c>
      <c r="FS45" s="1" t="s">
        <v>6</v>
      </c>
      <c r="FT45" s="1">
        <v>19460000</v>
      </c>
      <c r="FU45" s="1" t="s">
        <v>223</v>
      </c>
      <c r="FV45" s="79">
        <f t="shared" si="76"/>
        <v>97920000</v>
      </c>
      <c r="FW45" s="1">
        <v>1020000</v>
      </c>
      <c r="FX45" s="1" t="s">
        <v>6</v>
      </c>
      <c r="FY45" s="1">
        <v>34210</v>
      </c>
      <c r="FZ45" s="79">
        <f t="shared" si="135"/>
        <v>809333.32</v>
      </c>
      <c r="GA45" s="86" t="str">
        <f t="shared" si="136"/>
        <v>ene18 dic18</v>
      </c>
      <c r="GB45" s="1">
        <v>25733114</v>
      </c>
      <c r="GC45" s="6">
        <v>2018</v>
      </c>
      <c r="GD45" s="83">
        <f t="shared" si="165"/>
        <v>1989400</v>
      </c>
      <c r="GE45" s="83">
        <f t="shared" si="190"/>
        <v>431374</v>
      </c>
      <c r="GF45" s="83">
        <f t="shared" si="197"/>
        <v>1006779</v>
      </c>
      <c r="GG45" s="83">
        <f t="shared" si="166"/>
        <v>114118</v>
      </c>
      <c r="GH45" s="79">
        <f t="shared" si="78"/>
        <v>1552271</v>
      </c>
      <c r="GI45" s="82">
        <f t="shared" si="232"/>
        <v>1302556</v>
      </c>
      <c r="GJ45" s="83">
        <f t="shared" si="215"/>
        <v>685541.2</v>
      </c>
      <c r="GK45" s="83">
        <f t="shared" si="216"/>
        <v>1103042.8600000001</v>
      </c>
      <c r="GL45" s="83">
        <f t="shared" si="217"/>
        <v>287064.67</v>
      </c>
      <c r="GM45" s="83">
        <f t="shared" si="218"/>
        <v>260870.73</v>
      </c>
      <c r="GN45" s="79">
        <f t="shared" si="81"/>
        <v>2336519.46</v>
      </c>
      <c r="GO45" s="83">
        <f t="shared" si="107"/>
        <v>195071</v>
      </c>
      <c r="GP45" s="83">
        <f t="shared" si="107"/>
        <v>79468</v>
      </c>
      <c r="GQ45" s="83">
        <v>201495.5</v>
      </c>
      <c r="GR45" s="1">
        <f t="shared" si="191"/>
        <v>42800</v>
      </c>
      <c r="GS45" s="79">
        <f t="shared" si="192"/>
        <v>48844.864999999998</v>
      </c>
      <c r="GT45" s="83">
        <f t="shared" si="108"/>
        <v>2483769</v>
      </c>
      <c r="GU45" s="1">
        <v>15612</v>
      </c>
      <c r="GV45" s="1">
        <v>24195</v>
      </c>
      <c r="GW45" s="79">
        <f t="shared" si="151"/>
        <v>1076605</v>
      </c>
      <c r="GX45" s="1">
        <v>26114.056</v>
      </c>
      <c r="GY45" s="1" t="s">
        <v>327</v>
      </c>
      <c r="GZ45" s="1">
        <v>104093.27099999999</v>
      </c>
      <c r="HA45" s="1">
        <v>247486</v>
      </c>
      <c r="HB45" s="79">
        <f>+SUM(HA34:HA45)</f>
        <v>3058088</v>
      </c>
      <c r="HC45" s="86" t="str">
        <f t="shared" si="138"/>
        <v>ene18 dic18</v>
      </c>
      <c r="HD45" s="1">
        <v>53331</v>
      </c>
      <c r="HE45" s="79">
        <f t="shared" si="139"/>
        <v>620549</v>
      </c>
      <c r="HF45" s="86" t="str">
        <f t="shared" si="140"/>
        <v>ene18 dic18</v>
      </c>
      <c r="HG45" s="83">
        <f>+AVERAGE(HG33:HG44)</f>
        <v>173083.33333333334</v>
      </c>
      <c r="HH45" s="79">
        <f>+SUM(HG34:HG45)</f>
        <v>2085083.3333333333</v>
      </c>
      <c r="HI45" s="86" t="str">
        <f t="shared" si="142"/>
        <v>ene18 dic18</v>
      </c>
      <c r="HJ45" s="1">
        <v>85013</v>
      </c>
      <c r="HK45" s="79">
        <f t="shared" si="143"/>
        <v>60871.459200000005</v>
      </c>
      <c r="HL45" s="86" t="str">
        <f t="shared" si="144"/>
        <v>ene18 dic18</v>
      </c>
      <c r="HM45" s="79">
        <f t="shared" si="86"/>
        <v>2145954.7925333334</v>
      </c>
      <c r="HN45" s="87">
        <f t="shared" si="206"/>
        <v>8.258338823879674E-2</v>
      </c>
      <c r="HO45" s="1">
        <v>910600000</v>
      </c>
      <c r="HP45" s="79">
        <f t="shared" si="153"/>
        <v>10526.566560063147</v>
      </c>
      <c r="HQ45" s="86" t="str">
        <f t="shared" si="145"/>
        <v>ene18 dic18</v>
      </c>
      <c r="HR45" s="3"/>
      <c r="HS45" s="1"/>
      <c r="HT45" s="1"/>
      <c r="HU45" s="83">
        <f t="shared" si="207"/>
        <v>680000</v>
      </c>
      <c r="HV45" s="83" t="str">
        <f t="shared" si="208"/>
        <v>2017-18</v>
      </c>
      <c r="HW45" s="83">
        <v>1500000</v>
      </c>
      <c r="HX45" s="1" t="s">
        <v>223</v>
      </c>
      <c r="HY45" s="1">
        <v>3400000</v>
      </c>
      <c r="HZ45" s="1" t="s">
        <v>6</v>
      </c>
      <c r="IA45" s="1">
        <f t="shared" si="209"/>
        <v>19890000</v>
      </c>
      <c r="IB45" s="1" t="s">
        <v>6</v>
      </c>
      <c r="IC45" s="1">
        <v>41300000</v>
      </c>
      <c r="ID45" s="1" t="s">
        <v>6</v>
      </c>
      <c r="IE45" s="1">
        <f t="shared" si="210"/>
        <v>1550000</v>
      </c>
      <c r="IF45" s="1" t="s">
        <v>6</v>
      </c>
      <c r="IG45" s="1">
        <f>5900000+1000000</f>
        <v>6900000</v>
      </c>
      <c r="IH45" s="1" t="s">
        <v>223</v>
      </c>
      <c r="II45" s="79">
        <f t="shared" si="87"/>
        <v>74540000</v>
      </c>
      <c r="IJ45" s="97">
        <f t="shared" si="167"/>
        <v>1.5629261117125455</v>
      </c>
      <c r="IK45" s="1" t="s">
        <v>6</v>
      </c>
      <c r="IL45" s="7">
        <v>41.37</v>
      </c>
      <c r="IM45" s="7">
        <v>51.52</v>
      </c>
      <c r="IN45" s="7">
        <v>190</v>
      </c>
      <c r="IO45" s="695">
        <v>14.94</v>
      </c>
      <c r="IP45" s="98">
        <f t="shared" si="193"/>
        <v>5.6422028615424455</v>
      </c>
      <c r="IQ45" s="96">
        <v>18.899999999999999</v>
      </c>
      <c r="IR45" s="98">
        <f t="shared" si="194"/>
        <v>5.93</v>
      </c>
      <c r="IS45" s="98">
        <f t="shared" si="194"/>
        <v>5.67</v>
      </c>
      <c r="IT45" s="98">
        <f t="shared" si="194"/>
        <v>11.35</v>
      </c>
      <c r="IU45" s="98">
        <f t="shared" si="194"/>
        <v>0.88</v>
      </c>
      <c r="IV45" s="94">
        <f t="shared" si="89"/>
        <v>17.899999999999999</v>
      </c>
      <c r="IW45" s="88"/>
      <c r="IX45" s="88"/>
      <c r="IY45" s="105">
        <v>1.84</v>
      </c>
      <c r="IZ45" s="161">
        <v>0.3</v>
      </c>
      <c r="JA45" s="83">
        <v>1500</v>
      </c>
      <c r="JB45" s="84">
        <v>37.22</v>
      </c>
      <c r="JC45" s="88"/>
      <c r="JD45" s="88"/>
      <c r="JF45" s="2">
        <v>13.896023229999999</v>
      </c>
      <c r="JG45" s="2">
        <v>9.7856718899999997</v>
      </c>
      <c r="JH45" s="2">
        <v>155.03246273000002</v>
      </c>
      <c r="JI45" s="2">
        <v>25.499736590000001</v>
      </c>
      <c r="JJ45" s="2">
        <v>256.39792387</v>
      </c>
      <c r="JK45" s="2">
        <v>57.582458630000005</v>
      </c>
      <c r="JL45" s="2">
        <v>1174.8739629300003</v>
      </c>
      <c r="JM45" s="2">
        <v>0.43521349999999998</v>
      </c>
      <c r="JN45" s="2">
        <v>461.45165502999998</v>
      </c>
      <c r="JO45" s="2">
        <v>16.026884080000002</v>
      </c>
      <c r="JP45" s="2">
        <v>0</v>
      </c>
      <c r="JQ45" s="2">
        <v>0.37780359999999996</v>
      </c>
      <c r="JR45" s="2">
        <v>0.53736759999999995</v>
      </c>
      <c r="JS45" s="2">
        <v>0</v>
      </c>
      <c r="JT45" s="2">
        <v>0</v>
      </c>
      <c r="JU45" s="2">
        <v>86.285910029999997</v>
      </c>
      <c r="JV45" s="2">
        <v>2.6345931699999996</v>
      </c>
      <c r="JW45" s="2">
        <v>7.3738447200000001</v>
      </c>
      <c r="JX45" s="2">
        <v>23.331695960000001</v>
      </c>
      <c r="JY45" s="2">
        <v>0</v>
      </c>
      <c r="JZ45" s="2">
        <v>2.5346338199999998</v>
      </c>
      <c r="KA45" s="2">
        <v>0.73794349999999997</v>
      </c>
      <c r="KB45" s="2">
        <v>3.3357546699999996</v>
      </c>
      <c r="KC45" s="2">
        <v>9.5459084599999997</v>
      </c>
      <c r="KD45" s="2">
        <v>2.4159637300000001</v>
      </c>
      <c r="KE45" s="2">
        <v>7.9114172600000003</v>
      </c>
      <c r="KF45" s="2">
        <v>31.628041829999994</v>
      </c>
      <c r="KG45" s="2">
        <v>257.92865171</v>
      </c>
      <c r="KH45" s="2">
        <v>91.805418650000007</v>
      </c>
      <c r="KI45" s="2">
        <v>21.713082909999997</v>
      </c>
      <c r="KJ45" s="2">
        <v>2.0441653299999998</v>
      </c>
      <c r="KK45" s="2">
        <v>3.8321525800000003</v>
      </c>
      <c r="KL45" s="2">
        <v>0.17273579</v>
      </c>
      <c r="KM45" s="2">
        <v>2.9644971600000001</v>
      </c>
      <c r="KN45" s="2">
        <v>6.84741E-3</v>
      </c>
      <c r="KO45" s="2">
        <v>1.6503545500000001</v>
      </c>
      <c r="KP45" s="2">
        <v>4.1614399999999998E-3</v>
      </c>
      <c r="KQ45" s="2">
        <v>278.71841526999992</v>
      </c>
      <c r="KR45" s="2">
        <v>3.1782629999999999E-2</v>
      </c>
      <c r="KS45" s="2">
        <v>0.43847166999999998</v>
      </c>
      <c r="KT45" s="2">
        <v>1.65984979</v>
      </c>
      <c r="KU45" s="2">
        <v>0.15187706000000001</v>
      </c>
      <c r="KV45" s="2">
        <v>0</v>
      </c>
      <c r="KW45" s="2">
        <v>1.8187407000000002</v>
      </c>
      <c r="KX45" s="2">
        <v>0</v>
      </c>
      <c r="KY45" s="2">
        <v>0</v>
      </c>
      <c r="KZ45" s="2">
        <v>0.95369857000000002</v>
      </c>
      <c r="LA45" s="2">
        <v>0.18474784</v>
      </c>
      <c r="LB45" s="2">
        <v>0</v>
      </c>
      <c r="LC45" s="2">
        <v>3.8442150000000001E-2</v>
      </c>
      <c r="LD45" s="2">
        <v>0</v>
      </c>
      <c r="LE45" s="2">
        <v>0</v>
      </c>
      <c r="LF45" s="2">
        <v>0.12631011</v>
      </c>
      <c r="LG45" s="2">
        <v>15.008388329999999</v>
      </c>
      <c r="LH45" s="2">
        <v>2.6579773700000002</v>
      </c>
      <c r="LI45" s="2">
        <v>0</v>
      </c>
      <c r="LJ45" s="2">
        <v>0</v>
      </c>
      <c r="LK45" s="2">
        <v>1.00052791</v>
      </c>
      <c r="LL45" s="2">
        <v>5.5893893200000004</v>
      </c>
      <c r="LM45" s="2">
        <v>9.487661E-2</v>
      </c>
      <c r="LN45" s="2">
        <v>5.8133160000000003E-2</v>
      </c>
      <c r="LO45" s="2">
        <v>9.51572204</v>
      </c>
      <c r="LQ45" s="85">
        <f t="shared" si="90"/>
        <v>2073.6909546500001</v>
      </c>
      <c r="LR45" s="85">
        <f t="shared" si="91"/>
        <v>0.91517119999999985</v>
      </c>
      <c r="LS45" s="85">
        <f t="shared" si="92"/>
        <v>10.00843789</v>
      </c>
      <c r="LT45" s="85">
        <f t="shared" si="93"/>
        <v>3.2725773199999999</v>
      </c>
      <c r="LU45" s="85">
        <f t="shared" si="94"/>
        <v>283.81036868999996</v>
      </c>
      <c r="LV45" s="85">
        <f t="shared" si="95"/>
        <v>1.8187407000000002</v>
      </c>
      <c r="LW45" s="85">
        <f t="shared" si="96"/>
        <v>0.18474784</v>
      </c>
      <c r="LX45" s="85">
        <f t="shared" si="97"/>
        <v>0.12631011</v>
      </c>
      <c r="LZ45" s="131">
        <v>45.11</v>
      </c>
      <c r="MA45" s="171">
        <v>38.61</v>
      </c>
      <c r="MB45"/>
      <c r="MC45"/>
      <c r="MD45"/>
      <c r="MF45"/>
      <c r="MG45"/>
      <c r="MH45" s="83">
        <v>73.489999999999995</v>
      </c>
      <c r="MI45" s="83">
        <v>30.32</v>
      </c>
      <c r="MJ45" s="83">
        <v>23.45</v>
      </c>
      <c r="MK45"/>
      <c r="ML45" s="83">
        <v>22.75</v>
      </c>
      <c r="MM45" s="83">
        <v>34.619999999999997</v>
      </c>
      <c r="MN45" s="83"/>
      <c r="MO45" s="83">
        <v>33.78</v>
      </c>
      <c r="MP45" s="83">
        <v>49.18</v>
      </c>
      <c r="MQ45" s="83">
        <v>62.09</v>
      </c>
      <c r="MR45"/>
      <c r="MT45" s="83"/>
      <c r="MU45" s="83">
        <v>22.65</v>
      </c>
      <c r="MV45"/>
      <c r="MW45"/>
      <c r="MX45"/>
      <c r="MY45" s="83">
        <v>58.3</v>
      </c>
      <c r="MZ45" s="83">
        <v>145</v>
      </c>
      <c r="NA45" s="83">
        <v>65.09</v>
      </c>
      <c r="NB45" s="83">
        <v>178.05</v>
      </c>
      <c r="NC45" s="83">
        <v>33.520000000000003</v>
      </c>
      <c r="ND45"/>
      <c r="NE45" s="1">
        <v>163.30000000000001</v>
      </c>
    </row>
    <row r="46" spans="1:369">
      <c r="A46" s="38">
        <f t="shared" si="219"/>
        <v>43466</v>
      </c>
      <c r="B46" s="36">
        <v>1</v>
      </c>
      <c r="C46" s="36">
        <v>2019</v>
      </c>
      <c r="D46" s="36">
        <f t="shared" si="50"/>
        <v>46</v>
      </c>
      <c r="E46" s="38">
        <f t="shared" si="220"/>
        <v>43466</v>
      </c>
      <c r="F46" s="7">
        <v>38.290909090909082</v>
      </c>
      <c r="G46" s="7">
        <v>189.6</v>
      </c>
      <c r="H46" s="1">
        <f>[2]NACIONALES!$D34</f>
        <v>16562.259999999998</v>
      </c>
      <c r="I46" s="7">
        <v>97</v>
      </c>
      <c r="J46" s="7">
        <v>470</v>
      </c>
      <c r="K46" s="7">
        <v>2.9</v>
      </c>
      <c r="L46" s="7">
        <v>26</v>
      </c>
      <c r="N46" s="5">
        <v>1.43</v>
      </c>
      <c r="O46" s="5">
        <v>1.25</v>
      </c>
      <c r="P46" s="78">
        <f t="shared" si="221"/>
        <v>47.289818181818163</v>
      </c>
      <c r="Q46" s="6">
        <v>630</v>
      </c>
      <c r="R46" s="79">
        <f t="shared" si="222"/>
        <v>6300</v>
      </c>
      <c r="S46" s="6">
        <v>174.09</v>
      </c>
      <c r="T46" s="6">
        <v>222.2</v>
      </c>
      <c r="U46" s="143">
        <v>144.2409090909091</v>
      </c>
      <c r="V46" s="6">
        <v>243.3909090909091</v>
      </c>
      <c r="W46" s="6">
        <v>115.41</v>
      </c>
      <c r="X46" s="6">
        <v>208.69411764705882</v>
      </c>
      <c r="Y46" s="79">
        <f t="shared" si="223"/>
        <v>6666.064363636362</v>
      </c>
      <c r="Z46" s="79">
        <f t="shared" si="224"/>
        <v>8508.239999999998</v>
      </c>
      <c r="AA46" s="79">
        <f t="shared" si="225"/>
        <v>5523.1155371900813</v>
      </c>
      <c r="AB46" s="79">
        <f t="shared" si="226"/>
        <v>9319.6591735537168</v>
      </c>
      <c r="AC46" s="79">
        <f t="shared" si="227"/>
        <v>4419.1538181818169</v>
      </c>
      <c r="AD46" s="79">
        <f t="shared" si="228"/>
        <v>7991.0874866310141</v>
      </c>
      <c r="AE46" s="79">
        <f t="shared" si="229"/>
        <v>7071.2200631988308</v>
      </c>
      <c r="AF46" s="1">
        <v>22457.428571428572</v>
      </c>
      <c r="AG46" s="1">
        <v>8400</v>
      </c>
      <c r="AH46" s="1">
        <v>31900</v>
      </c>
      <c r="AI46" s="5">
        <v>10.01</v>
      </c>
      <c r="AJ46" s="5">
        <v>5.17</v>
      </c>
      <c r="AK46" s="5">
        <v>7.67</v>
      </c>
      <c r="AL46" s="5">
        <v>4.2469999999999999</v>
      </c>
      <c r="AM46" s="78">
        <f t="shared" si="230"/>
        <v>7.8248800000000012</v>
      </c>
      <c r="AN46" s="7">
        <v>708.50694444444446</v>
      </c>
      <c r="AO46" s="7">
        <v>396.48181818181814</v>
      </c>
      <c r="AP46" s="78">
        <f t="shared" si="146"/>
        <v>396.48181818181814</v>
      </c>
      <c r="AQ46" s="7">
        <v>373.34821428571428</v>
      </c>
      <c r="AR46" s="7">
        <v>221.06363636363633</v>
      </c>
      <c r="AS46" s="7">
        <v>219.15841584158414</v>
      </c>
      <c r="AT46" s="7">
        <v>478.26363636363635</v>
      </c>
      <c r="AU46" s="78">
        <f t="shared" si="53"/>
        <v>306.16189618961897</v>
      </c>
      <c r="AV46" s="7">
        <v>181.89115044247782</v>
      </c>
      <c r="AW46" s="7">
        <v>455.91428571428571</v>
      </c>
      <c r="AX46" s="7">
        <v>195.51818181818183</v>
      </c>
      <c r="AY46" s="7">
        <v>259.1514925373134</v>
      </c>
      <c r="AZ46" s="7">
        <v>233.70454545454541</v>
      </c>
      <c r="BA46" s="7">
        <v>243.18181818181822</v>
      </c>
      <c r="BB46" s="94">
        <f t="shared" si="45"/>
        <v>246.57945499773859</v>
      </c>
      <c r="BC46" s="68">
        <f t="shared" ref="BC46:BF56" si="234">+BC45</f>
        <v>812</v>
      </c>
      <c r="BD46" s="68">
        <f t="shared" si="234"/>
        <v>914</v>
      </c>
      <c r="BE46" s="7">
        <f t="shared" si="234"/>
        <v>720</v>
      </c>
      <c r="BF46" s="7">
        <f t="shared" si="234"/>
        <v>460</v>
      </c>
      <c r="BG46" s="94">
        <f t="shared" si="56"/>
        <v>726.5</v>
      </c>
      <c r="BH46" s="7">
        <v>53.11</v>
      </c>
      <c r="BI46" s="7">
        <v>19.36</v>
      </c>
      <c r="BJ46" s="78">
        <f t="shared" si="57"/>
        <v>72.47</v>
      </c>
      <c r="BK46" s="7">
        <v>55.457000000000001</v>
      </c>
      <c r="BL46" s="95">
        <f>+AVERAGE(BL45,BL47)</f>
        <v>57.72</v>
      </c>
      <c r="BM46" s="94">
        <f t="shared" si="58"/>
        <v>56.588499999999996</v>
      </c>
      <c r="BN46" s="5">
        <v>9.6300000000000008</v>
      </c>
      <c r="BO46" s="5">
        <v>41.940909090909095</v>
      </c>
      <c r="BP46" s="105">
        <v>31.59</v>
      </c>
      <c r="BQ46" s="94">
        <f t="shared" si="59"/>
        <v>40.905818181818184</v>
      </c>
      <c r="BR46" s="7">
        <v>36.433999999999997</v>
      </c>
      <c r="BS46" s="7">
        <v>105</v>
      </c>
      <c r="BT46" s="7">
        <f>3.32*37.51</f>
        <v>124.53319999999999</v>
      </c>
      <c r="BU46" s="79">
        <f>+BS46*12+BT46*3</f>
        <v>1633.5996</v>
      </c>
      <c r="BV46" s="7">
        <v>62.5</v>
      </c>
      <c r="BW46" s="7"/>
      <c r="BY46" s="92">
        <f>BY$10*(1+((H46/H$10-1)*costos!$B$5+((I46*F46)/(I$10*F$10)-1)*costos!$E$5+((J46*F46)/((J$10*F$10)-1)*costos!$F$5/3+((K46*F46)/(K$10*F$10)-1)*costos!$F$5/3+((U46*F46)/(U$10*F$10)-1)*costos!$F$5/3+((L46*F46)/(L$10*F$10)-1)*costos!$G$5+((N46*F46)/(N$10*F$10)-1)*costos!$J$5+((V46*F46)/(V$10*F$10)-1)*costos!$K$5)))</f>
        <v>289.69165645626595</v>
      </c>
      <c r="BZ46" s="92">
        <f>$BZ$10*(1+((H46/$H$10-1)*costos!$B$6+((I46*F46)/($I$10*$F$10)-1)*costos!$E$6+((J46*F46)/(($J$10*$F$10)-1)*costos!$F$6/3+((K46*F46)/($K$10*$F$10)-1)*costos!$F$6/3+((U46*F46)/($U$10*$F$10)-1)*costos!$F$6/3+((L46*F46)/($L$10*$F$10)-1)*costos!$G$6+((Q46*F46)/($Q$10*$F$10)-1)*costos!$J$6+((V46*F46)/($V$10*$F$10)-1)*costos!$K$6)))</f>
        <v>280.24861979677223</v>
      </c>
      <c r="CA46" s="92">
        <f>CA$10*(1+((H46/H$10-1)*costos!$B$7+((I46*F46)/(I$10*F$10)-1)*costos!$E$7+((J46*F46)/((J$10*F$10)-1)*costos!$F$7/3+((K46*F46)/(K$10*F$10)-1)*costos!$F$7/3+((U46*F46)/(U$10*F$10)-1)*costos!$F$7/3+((L46*F46)/(L$10*F$10)-1)*costos!$G$7+((S46*F46)/(S$10*F$10)-1)*costos!$J$7+((V46*F46)/(V$10*F$10)-1)*costos!$K$7)))</f>
        <v>289.19843831452727</v>
      </c>
      <c r="CB46" s="92">
        <f>CB$10*(1+((H46/H$10-1)*costos!$B$8+((I46*F46)/(I$10*F$10)-1)*costos!$E$8+((J46*F46)/((J$10*F$10)-1)*costos!$F$8/3+((K46*F46)/(K$10*F$10)-1)*costos!$F$8/3+((U46*F46)/(U$10*F$10)-1)*costos!$F$8/3+((L46*F46)/(L$10*F$10)-1)*costos!$G$8+((T46*F46)/(T$10*F$10)-1)*costos!$J$8+((V46*F46)/(V$10*F$10)-1)*costos!$K$8)))</f>
        <v>263.23498616164926</v>
      </c>
      <c r="CC46" s="92">
        <f>CC$10*(1+((H46/H$10-1)*costos!$B$9+((I46*F46)/(I$10*F$10)-1)*costos!$E$9+((J46*F46)/((J$10*F$10)-1)*costos!$F$9/3+((K46*F46)/(K$10*F$10)-1)*costos!$F$9/3+((U46*F46)/(U$10*F$10)-1)*costos!$F$9/3+((L46*F46)/(L$10*F$10)-1)*costos!$G$9+((U46*F46)/(U$10*F$10)-1)*costos!$J$9+((V46*F46)/(V$10*F$10)-1)*costos!$K$9)))</f>
        <v>271.22918985431545</v>
      </c>
      <c r="CD46" s="92">
        <f>CD$10*(1+((H46/H$10-1)*costos!$B$11+((I46*F46)/(I$10*F$10)-1)*costos!$E$11+((J46*F46)/((J$10*F$10)-1)*costos!$F$11/3+((K46*F46)/(K$10*F$10)-1)*costos!$F$11/3+((U46*F46)/(U$10*F$10)-1)*costos!$F$11/3+((L46*F46)/(L$10*F$10)-1)*costos!$G$11+((V46*F46)/(V$10*F$10)-1)*costos!$J$11+((V46*F46)/(V$10*F$10)-1)*costos!$K$11)))</f>
        <v>282.83361975920889</v>
      </c>
      <c r="CE46" s="92">
        <f>CE$10*(1+((H46/H$10-1)*costos!$B$12+((I46*F46)/(I$10*F$10)-1)*costos!$E$12+((J46*F46)/((J$10*F$10)-1)*costos!$F$12/3+((K46*F46)/(K$10*F$10)-1)*costos!$F$12/3+((U46*F46)/(U$10*F$10)-1)*costos!$F$12/3+((L46*F46)/(L$10*F$10)-1)*costos!$G$12+((W46*F46)/(W$10*F$10)-1)*costos!$J$12+((V46*F46)/(V$10*F$10)-1)*costos!$K$12)))</f>
        <v>252.96057290779913</v>
      </c>
      <c r="CF46" s="92">
        <f>CF$10*(1+((H46/H$10-1)*costos!$B$13+((I46*F46)/(I$10*F$10)-1)*costos!$E$13+((J46*F46)/((J$10*F$10)-1)*costos!$F$13/3+((K46*F46)/(K$10*F$10)-1)*costos!$F$13/3+((U46*F46)/(U$10*F$10)-1)*costos!$F$13/3+((L46*F46)/(L$10*F$10)-1)*costos!$G$13+((X46*F46)/(X$10*F$10)-1)*costos!$J$13+((V46*F46)/(V$10*F$10)-1)*costos!$K$13)))</f>
        <v>303.75418984914148</v>
      </c>
      <c r="CG46" s="92">
        <f t="shared" si="60"/>
        <v>277.2018328077736</v>
      </c>
      <c r="CH46" s="92">
        <f>CH$10*(1+((H46/H$10-1)*costos!$B$10+((I46*F46)/(I$10*F$10)-1)*costos!$E$10+((J46*F46)/((J$10*F$10)-1)*costos!$F$10/3+((K46*F46)/(K$10*F$10)-1)*costos!$F$10/3+((U46*F46)/(U$10*F$10)-1)*costos!$F$10/3+((L46*F46)/(L$10*F$10)-1)*costos!$G$10+((AF46)/(AF$10)-1)*costos!$J$10+((V46*F46)/(V$10*F$10)-1)*costos!$K$10)))</f>
        <v>302.76029434015095</v>
      </c>
      <c r="CI46" s="92">
        <f>CI$10*(1+((H46/H$10-1)*costos!$B$15+((I46*F46)/(I$10*F$10)-1)*costos!$E$15+((J46*F46)/((J$10*F$10)-1)*costos!$F$15/3+((K46*F46)/(K$10*F$10)-1)*costos!$F$15/3+((U46*F46)/(U$10*F$10)-1)*costos!$F$15/3+((L46*F46)/(L$10*F$10)-1)*costos!$G$15+((AV46)/(AV$10)-1)*costos!$J$15+((V46*F46)/(V$10*F$10)-1)*costos!$K$15)))</f>
        <v>273.27626091097932</v>
      </c>
      <c r="CJ46" s="92">
        <f>CJ$10*(1+((H46/H$10-1)*costos!$B$16+((I46*F46)/(I$10*F$10)-1)*costos!$E$16+((J46*F46)/((J$10*F$10)-1)*costos!$F$16/3+((K46*F46)/(K$10*F$10)-1)*costos!$F$16/3+((U46*F46)/(U$10*F$10)-1)*costos!$F$16/3+((L46*F46)/(L$10*F$10)-1)*costos!$G$16+((AW46)/(AW$10)-1)*costos!$J$16+((V46*F46)/(V$10*F$10)-1)*costos!$K$16)))</f>
        <v>237.88484524860948</v>
      </c>
      <c r="CK46" s="92">
        <f>CK$10*(1+((H46/H$10-1)*costos!$B$17+((I46*F46)/(I$10*F$10)-1)*costos!$E$17+((J46*F46)/((J$10*F$10)-1)*costos!$F$17/3+((K46*F46)/(K$10*F$10)-1)*costos!$F$17/3+((U46*F46)/(U$10*F$10)-1)*costos!$F$17/3+((L46*F46)/(L$10*F$10)-1)*costos!$G$17+((AX46)/(AX$10)-1)*costos!$J$17+((V46*F46)/(V$10*F$10)-1)*costos!$K$17)))</f>
        <v>259.19011412185409</v>
      </c>
      <c r="CL46" s="92">
        <f>CL$10*(1+((H46/H$10-1)*costos!$B$18+((I46*F46)/(I$10*F$10)-1)*costos!$E$18+((J46*F46)/((J$10*F$10)-1)*costos!$F$18/3+((K46*F46)/(K$10*F$10)-1)*costos!$F$18/3+((U46*F46)/(U$10*F$10)-1)*costos!$F$18/3+((L46*F46)/(L$10*F$10)-1)*costos!$G$18+((AY46)/(AY$10)-1)*costos!$J$18+((V46*F46)/(V$10*F$10)-1)*costos!$K$18)))</f>
        <v>264.07716408582394</v>
      </c>
      <c r="CM46" s="92">
        <f>CM$10*(1+((H46/H$10-1)*costos!$B$19+((I46*F46)/(I$10*F$10)-1)*costos!$E$19+((J46*F46)/((J$10*F$10)-1)*costos!$F$19/3+((K46*F46)/(K$10*F$10)-1)*costos!$F$19/3+((U46*F46)/(U$10*F$10)-1)*costos!$F$19/3+((L46*F46)/(L$10*F$10)-1)*costos!$G$19+((AZ46)/(AZ$10)-1)*costos!$J$19+((V46*F46)/(V$10*F$10)-1)*costos!$K$19)))</f>
        <v>233.33980588723654</v>
      </c>
      <c r="CN46" s="92">
        <f>CN$10*(1+((H46/H$10-1)*costos!$B$20+((I46*F46)/(I$10*F$10)-1)*costos!$E$20+((J46*F46)/((J$10*F$10)-1)*costos!$F$20/3+((K46*F46)/(K$10*F$10)-1)*costos!$F$20/3+((U46*F46)/(U$10*F$10)-1)*costos!$F$20/3+((L46*F46)/(L$10*F$10)-1)*costos!$G$20+((BA46)/(BA$10)-1)*costos!$J$20+((V46*F46)/(V$10*F$10)-1)*costos!$K$20)))</f>
        <v>248.62310622265545</v>
      </c>
      <c r="CO46" s="92">
        <f t="shared" si="61"/>
        <v>251.30754757939252</v>
      </c>
      <c r="CP46" s="92">
        <f>CP$10*(1+((H46/H$10-1)*costos!$B$22+((I46*F46)/(I$10*F$10)-1)*costos!$E$22+((J46*F46)/((J$10*F$10)-1)*costos!$F$22/3+((K46*F46)/(K$10*F$10)-1)*costos!$F$22/3+((U46*F46)/(U$10*F$10)-1)*costos!$F$22/3+((L46*F46)/(L$10*F$10)-1)*costos!$G$22+(((AVERAGE(AI46:AL46))/((AVERAGE(AI$10:AL$10))-1)*costos!$J$22+((V46*F46)/(V$10*F$10)-1)*costos!$K$22)))))</f>
        <v>280.22059364554275</v>
      </c>
      <c r="CQ46" s="92">
        <f>CQ$10*(1+((H46/H$10-1)*costos!$B$23+((I46*F46)/(I$10*F$10)-1)*costos!$E$23+((J46*F46)/((J$10*F$10)-1)*costos!$F$23/3+((K46*F46)/(K$10*F$10)-1)*costos!$F$23/3+((U46*F46)/(U$10*F$10)-1)*costos!$F$23/3+((L46*F46)/(L$10*F$10)-1)*costos!$G$23+((AN46)/(AN$10)-1)*costos!$J$23+((V46*F46)/(V$10*F$10)-1)*costos!$K$23)))</f>
        <v>242.43293319766889</v>
      </c>
      <c r="CR46" s="92">
        <f>CR$10*(1+((H46/H$10-1)*costos!$B$24+((I46*F46)/(I$10*F$10)-1)*costos!$E$24+((J46*F46)/((J$10*F$10)-1)*costos!$F$24/3+((K46*F46)/(K$10*F$10)-1)*costos!$F$24/3+((U46*F46)/(U$10*F$10)-1)*costos!$F$24/3+((L46*F46)/(L$10*F$10)-1)*costos!$G$24+((AO46)/(AO$10)-1)*costos!$J$24+((V46*F46)/(V$10*F$10)-1)*costos!$K$24)))</f>
        <v>240.02609520335332</v>
      </c>
      <c r="CS46" s="92">
        <f t="shared" si="62"/>
        <v>241.22951420051112</v>
      </c>
      <c r="CT46" s="92">
        <f>CT$10*(1+((H46/H$10-1)*costos!$B$25+((I46*F46)/(I$10*F$10)-1)*costos!$E$25+((J46*F46)/((J$10*F$10)-1)*costos!$F$25/3+((K46*F46)/(K$10*F$10)-1)*costos!$F$25/3+((U46*F46)/(U$10*F$10)-1)*costos!$F$25/3+((L46*F46)/(L$10*F$10)-1)*costos!$G$25+((AQ46)/(AQ$10)-1)*costos!$J$25+((V46*F46)/(V$10*F$10)-1)*costos!$K$25)))</f>
        <v>241.31817278993489</v>
      </c>
      <c r="CU46" s="92">
        <f>CU$10*(1+((H46/H$10-1)*costos!$B$26+((I46*F46)/(I$10*F$10)-1)*costos!$E$26+((J46*F46)/((J$10*F$10)-1)*costos!$F$26/3+((K46*F46)/(K$10*F$10)-1)*costos!$F$26/3+((U46*F46)/(U$10*F$10)-1)*costos!$F$26/3+((L46*F46)/(L$10*F$10)-1)*costos!$G$26+((AR46)/(AR$10)-1)*costos!$J$26+((V46*F46)/(V$10*F$10)-1)*costos!$K$26)))</f>
        <v>239.99849227716425</v>
      </c>
      <c r="CV46" s="92">
        <f>CV$10*(1+((H46/H$10-1)*costos!$B$27+((I46*F46)/(I$10*F$10)-1)*costos!$E$27+((J46*F46)/((J$10*F$10)-1)*costos!$F$27/3+((K46*F46)/(K$10*F$10)-1)*costos!$F$27/3+((U46*F46)/(U$10*F$10)-1)*costos!$F$27/3+((L46*F46)/(L$10*F$10)-1)*costos!$G$27+((AS46)/(AS$10)-1)*costos!$J$27+((V46*F46)/(V$10*F$10)-1)*costos!$K$27)))</f>
        <v>239.60967592910526</v>
      </c>
      <c r="CW46" s="92">
        <f>CW$10*(1+((H46/H$10-1)*costos!$B$28+((I46*F46)/(I$10*F$10)-1)*costos!$E$28+((J46*F46)/((J$10*F$10)-1)*costos!$F$28/3+((K46*F46)/(K$10*F$10)-1)*costos!$F$28/3+((U46*F46)/(U$10*F$10)-1)*costos!$F$28/3+((L46*F46)/(L$10*F$10)-1)*costos!$G$28+((AS46)/(AS$10)-1)*costos!$J$28+((V46*F46)/(V$10*F$10)-1)*costos!$K$28)))</f>
        <v>239.60967592910526</v>
      </c>
      <c r="CX46" s="92">
        <f t="shared" si="63"/>
        <v>239.73928137845826</v>
      </c>
      <c r="CY46" s="92">
        <f>CY$10*(1+((H46/H$10-1)*costos!$B$32+((I46*F46)/(I$10*F$10)-1)*costos!$E$32+((J46*F46)/((J$10*F$10)-1)*costos!$F$32/3+((K46*F46)/(K$10*F$10)-1)*costos!$F$32/3+((U46*F46)/(U$10*F$10)-1)*costos!$F$32/3+((L46*F46)/(L$10*F$10)-1)*costos!$G$32+((AG46)/(AG$10)-1)*costos!$J$32+((V46*F46)/(V$10*F$10)-1)*costos!$K$32)))</f>
        <v>228.11477493408256</v>
      </c>
      <c r="CZ46" s="69">
        <f>CZ$10*(1+((H46/H$10-1)*costos!$B$31+((I46*F46)/(I$10*F$10)-1)*costos!$E$30+((J46*F46)/((J$10*F$10)-1)*costos!$F$30/3+((K46*F46)/(K$10*F$10)-1)*costos!$F$30/3+((U46*F46)/(U$10*F$10)-1)*costos!$F$30/3+((L46*F46)/(L$10*F$10)-1)*costos!$G$30+((BG46)/(BG$10)-1)*costos!$J$30+((V46*F46)/(V$10*F$10)-1)*costos!$K$30)))</f>
        <v>280.89277618300309</v>
      </c>
      <c r="DA46" s="69">
        <f>DA$10*(1+((H46/H$10-1)*costos!$B$31+((I46*F46)/(I$10*F$10)-1)*costos!$E$31+((J46*F46)/((J$10*F$10)-1)*costos!$F$31/3+((K46*F46)/(K$10*F$10)-1)*costos!$F$31/3+((U46*F46)/(U$10*F$10)-1)*costos!$F$31/3+((L46*F46)/(L$10*F$10)-1)*costos!$G$31+((BJ46)/(BJ$10)-1)*costos!$J$31+((V46*F46)/(V$10*F$10)-1)*costos!$K$31)))</f>
        <v>237.53541030570369</v>
      </c>
      <c r="DB46" s="69">
        <f>DB$10*(1+((H46/H$10-1)*costos!$B$36+((I46*F46)/(I$10*F$10)-1)*costos!$E$36+((J46*F46)/((J$10*F$10)-1)*costos!$F$36/3+((K46*F46)/(K$10*F$10)-1)*costos!$F$36/3+((U46*F46)/(U$10*F$10)-1)*costos!$F$36/3+((L46*F46)/(L$10*F$10)-1)*costos!$G$36+((BK46)/(BK$10)-1)*costos!$J$36+((V46*F46)/(V$10*F$10)-1)*costos!$K$36)))</f>
        <v>249.64310553302963</v>
      </c>
      <c r="DC46" s="69">
        <f>DC$10*(1+((H46/H$10-1)*costos!$B$37+((I46*F46)/(I$10*F$10)-1)*costos!$E$37+((U46*F46)/(U$10*F$10)-1)*costos!$F$37+((L46*F46)/(L$10*F$10)-1)*costos!$G$37+((BN46)/(BN$10)-1)*costos!$J$37+((V46*F46)/(V$10*F$10)-1)*costos!$K$37))</f>
        <v>270.73228540023229</v>
      </c>
      <c r="DD46" s="69">
        <f>DD$10*(1+((H46/H$10-1)*costos!$B$39+((I46*F46)/(I$10*F$10)-1)*costos!$E$39+((U46*F46)/(U$10*F$10)-1)*costos!$F$39+((L46*F46)/(L$10*F$10)-1)*costos!$G$39+((BR46)/(BR$10)-1)*costos!$J$39+((V46*F46)/(V$10*F$10)-1)*costos!$K$39))</f>
        <v>263.00516516270289</v>
      </c>
      <c r="DE46" s="69">
        <f>DD$10*(1+((H46/H$10-1)*costos!$B$35+((I46*F46)/(I$10*F$10)-1)*costos!$E$35+((U46*F46)/(U$10*F$10)-1)*costos!$F$35+((L46*F46)/(L$10*F$10)-1)*costos!$G$35+((BR46)/(BR$10)-1)*costos!$J$35+((V46*F46)/(V$10*F$10)-1)*costos!$K$35))</f>
        <v>239.68265676138998</v>
      </c>
      <c r="DF46" s="69">
        <f>DF$10*(1+((H46/H$10-1)*costos!$B$40+((I46*F46)/(I$10*F$10)-1)*costos!$E$40+((U46*F46)/(U$10*F$10)-1)*costos!$F$40+((L46*F46)/(L$10*F$10)-1)*costos!$G$40+((BP46)/(BP$10)-1)*costos!$J$40+((V46*F46)/(V$10*F$10)-1)*costos!$K$40))</f>
        <v>267.41801752145687</v>
      </c>
      <c r="DG46" s="92">
        <f t="shared" si="64"/>
        <v>253.55033714142343</v>
      </c>
      <c r="DH46" s="69">
        <f>DH$10*(1+((H46/H$10-1)*costos!$B$34+((I46*F46)/(I$10*F$10)-1)*costos!$E$34+((J46*F46)/((J$10*F$10)-1)*costos!$F$34/3+((K46*F46)/(K$10*F$10)-1)*costos!$F$34/3+((U46*F46)/(U$10*F$10)-1)*costos!$F$34/3+((L46*F46)/(L$10*F$10)-1)*costos!$G$34+((BV46)/(BV$10)-1)*costos!$J$34+((V46*F46)/(V$10*F$10)-1)*costos!$K$34)))</f>
        <v>249.03948540759347</v>
      </c>
      <c r="DI46" s="69">
        <f>DI$10*(1+((H46/H$10-1)*costos!$B$38+((I46*F46)/(I$10*F$10)-1)*costos!$E$38+((J46*F46)/((J$10*F$10)-1)*costos!$F$38/3+((K46*F46)/(K$10*F$10)-1)*costos!$F$38/3+((U46*F46)/(U$10*F$10)-1)*costos!$F$38/3+((L46*F46)/(L$10*F$10)-1)*costos!$G$38+((BU46)/(BU$10)-1)*costos!$J$38+((V46*F46)/(V$10*F$10)-1)*costos!$K$38)))</f>
        <v>228.47866286288857</v>
      </c>
      <c r="DK46" s="1">
        <v>440000</v>
      </c>
      <c r="DL46" s="1" t="s">
        <v>223</v>
      </c>
      <c r="DM46" s="1">
        <v>189000</v>
      </c>
      <c r="DN46" s="1" t="s">
        <v>223</v>
      </c>
      <c r="DO46" s="1">
        <v>1000000</v>
      </c>
      <c r="DP46" s="1" t="s">
        <v>223</v>
      </c>
      <c r="DQ46" s="1">
        <v>1900000</v>
      </c>
      <c r="DR46" s="1" t="s">
        <v>223</v>
      </c>
      <c r="DS46" s="1">
        <v>5800000</v>
      </c>
      <c r="DT46" s="1" t="s">
        <v>223</v>
      </c>
      <c r="DU46" s="1">
        <v>17700000</v>
      </c>
      <c r="DV46" s="1" t="s">
        <v>223</v>
      </c>
      <c r="DW46" s="1">
        <v>730000</v>
      </c>
      <c r="DX46" s="1" t="s">
        <v>223</v>
      </c>
      <c r="DY46" s="1">
        <v>6290000</v>
      </c>
      <c r="DZ46" s="1" t="s">
        <v>223</v>
      </c>
      <c r="EA46" s="79">
        <f t="shared" si="67"/>
        <v>33420000</v>
      </c>
      <c r="EB46" s="1">
        <v>390000</v>
      </c>
      <c r="EC46" s="1" t="s">
        <v>223</v>
      </c>
      <c r="ED46" s="83">
        <v>170782</v>
      </c>
      <c r="EE46" s="143">
        <v>2019</v>
      </c>
      <c r="EF46" s="1">
        <v>215169</v>
      </c>
      <c r="EG46" s="6">
        <v>2019</v>
      </c>
      <c r="EH46" s="83">
        <v>55007853</v>
      </c>
      <c r="EI46" s="6">
        <v>2019</v>
      </c>
      <c r="EJ46" s="83">
        <f t="shared" si="233"/>
        <v>5291453</v>
      </c>
      <c r="EK46" s="143">
        <f t="shared" si="233"/>
        <v>2018</v>
      </c>
      <c r="EL46" s="1">
        <v>14339908</v>
      </c>
      <c r="EM46" s="6">
        <v>2018</v>
      </c>
      <c r="EN46" s="1">
        <v>3400522</v>
      </c>
      <c r="EO46" s="6">
        <v>2018</v>
      </c>
      <c r="EP46" s="82">
        <f t="shared" si="118"/>
        <v>6552</v>
      </c>
      <c r="EQ46" s="83">
        <v>3038588</v>
      </c>
      <c r="ER46" s="1">
        <f t="shared" si="189"/>
        <v>33739</v>
      </c>
      <c r="ES46" s="1"/>
      <c r="ET46" s="83">
        <v>20884</v>
      </c>
      <c r="EU46" s="83">
        <v>17312</v>
      </c>
      <c r="EV46" s="83">
        <v>9130</v>
      </c>
      <c r="EW46" s="83">
        <v>17152</v>
      </c>
      <c r="EX46" s="79">
        <f t="shared" si="72"/>
        <v>64478</v>
      </c>
      <c r="EY46" s="83">
        <v>19636</v>
      </c>
      <c r="EZ46" s="82">
        <v>76171</v>
      </c>
      <c r="FA46" s="82">
        <v>20432</v>
      </c>
      <c r="FB46" s="82">
        <v>18034</v>
      </c>
      <c r="FC46" s="79">
        <f t="shared" si="73"/>
        <v>38466</v>
      </c>
      <c r="FD46" s="83">
        <v>61643.420000000013</v>
      </c>
      <c r="FE46" s="1"/>
      <c r="FF46" s="1">
        <v>814000</v>
      </c>
      <c r="FG46" s="1" t="s">
        <v>6</v>
      </c>
      <c r="FH46" s="1">
        <v>1370000</v>
      </c>
      <c r="FI46" s="1" t="s">
        <v>6</v>
      </c>
      <c r="FJ46" s="1">
        <v>4100000</v>
      </c>
      <c r="FK46" s="1" t="s">
        <v>223</v>
      </c>
      <c r="FL46" s="1">
        <v>3900000</v>
      </c>
      <c r="FM46" s="1" t="s">
        <v>223</v>
      </c>
      <c r="FN46" s="1">
        <v>45000000</v>
      </c>
      <c r="FO46" s="1" t="s">
        <v>223</v>
      </c>
      <c r="FP46" s="1">
        <v>53000000</v>
      </c>
      <c r="FQ46" s="1" t="s">
        <v>223</v>
      </c>
      <c r="FR46" s="1">
        <f>+DW46*3</f>
        <v>2190000</v>
      </c>
      <c r="FS46" s="1" t="s">
        <v>223</v>
      </c>
      <c r="FT46" s="1">
        <v>19460000</v>
      </c>
      <c r="FU46" s="1" t="s">
        <v>223</v>
      </c>
      <c r="FV46" s="79">
        <f t="shared" si="76"/>
        <v>127650000</v>
      </c>
      <c r="FW46" s="1">
        <v>1124000</v>
      </c>
      <c r="FX46" s="1" t="s">
        <v>223</v>
      </c>
      <c r="FY46" s="1">
        <v>20121</v>
      </c>
      <c r="FZ46" s="79">
        <f t="shared" si="135"/>
        <v>803939.84900000005</v>
      </c>
      <c r="GA46" s="86" t="str">
        <f t="shared" si="136"/>
        <v>feb18 ene19</v>
      </c>
      <c r="GB46" s="1">
        <v>25198862</v>
      </c>
      <c r="GC46" s="6">
        <v>2019</v>
      </c>
      <c r="GD46" s="83">
        <v>2061660</v>
      </c>
      <c r="GE46" s="83">
        <v>421371</v>
      </c>
      <c r="GF46" s="83">
        <v>1038352</v>
      </c>
      <c r="GG46" s="83">
        <v>114695</v>
      </c>
      <c r="GH46" s="79">
        <f t="shared" si="78"/>
        <v>1574418</v>
      </c>
      <c r="GI46" s="82">
        <f t="shared" si="232"/>
        <v>1302556</v>
      </c>
      <c r="GJ46" s="83">
        <v>673662.3</v>
      </c>
      <c r="GK46" s="83">
        <v>1162000</v>
      </c>
      <c r="GL46" s="83">
        <v>290589.5</v>
      </c>
      <c r="GM46" s="83">
        <v>258882.47</v>
      </c>
      <c r="GN46" s="79">
        <f t="shared" si="81"/>
        <v>2385134.27</v>
      </c>
      <c r="GO46" s="83">
        <v>196709</v>
      </c>
      <c r="GP46" s="83">
        <v>71194.64</v>
      </c>
      <c r="GQ46" s="83">
        <v>176512</v>
      </c>
      <c r="GR46" s="83">
        <v>43750</v>
      </c>
      <c r="GS46" s="79">
        <f t="shared" si="192"/>
        <v>49045.36</v>
      </c>
      <c r="GT46" s="83">
        <v>2600000</v>
      </c>
      <c r="GU46" s="1">
        <v>21897</v>
      </c>
      <c r="GV46" s="1">
        <v>15912</v>
      </c>
      <c r="GW46" s="79">
        <f t="shared" si="151"/>
        <v>1068237</v>
      </c>
      <c r="GX46" s="1">
        <v>32193.503000000001</v>
      </c>
      <c r="GY46" s="1" t="s">
        <v>314</v>
      </c>
      <c r="GZ46" s="1">
        <v>107349</v>
      </c>
      <c r="HA46" s="1">
        <v>253573</v>
      </c>
      <c r="HB46" s="79">
        <f>+SUM(HA35:HA46)</f>
        <v>3056661</v>
      </c>
      <c r="HC46" s="86" t="str">
        <f t="shared" si="138"/>
        <v>feb18 ene19</v>
      </c>
      <c r="HD46" s="1">
        <v>51351</v>
      </c>
      <c r="HE46" s="79">
        <f t="shared" si="139"/>
        <v>624101</v>
      </c>
      <c r="HF46" s="86" t="str">
        <f t="shared" si="140"/>
        <v>feb18 ene19</v>
      </c>
      <c r="HG46" s="1">
        <v>187000</v>
      </c>
      <c r="HH46" s="79">
        <f>+SUM(HG35:HG46)</f>
        <v>2107083.333333333</v>
      </c>
      <c r="HI46" s="86" t="str">
        <f t="shared" si="142"/>
        <v>feb18 ene19</v>
      </c>
      <c r="HJ46" s="83">
        <v>91833</v>
      </c>
      <c r="HK46" s="79">
        <f t="shared" si="143"/>
        <v>61174.039199999999</v>
      </c>
      <c r="HL46" s="86" t="str">
        <f t="shared" si="144"/>
        <v>feb18 ene19</v>
      </c>
      <c r="HM46" s="79">
        <f t="shared" si="86"/>
        <v>2168257.372533333</v>
      </c>
      <c r="HN46" s="87">
        <f t="shared" si="206"/>
        <v>-7.3168605673866183E-2</v>
      </c>
      <c r="HO46" s="1">
        <v>819900000</v>
      </c>
      <c r="HP46" s="79">
        <f t="shared" si="153"/>
        <v>10461.839641921126</v>
      </c>
      <c r="HQ46" s="86" t="str">
        <f t="shared" si="145"/>
        <v>feb18 ene19</v>
      </c>
      <c r="HR46" s="3"/>
      <c r="HS46" s="1"/>
      <c r="HT46" s="1"/>
      <c r="HU46" s="83">
        <f t="shared" si="207"/>
        <v>680000</v>
      </c>
      <c r="HV46" s="83" t="str">
        <f t="shared" si="208"/>
        <v>2017-18</v>
      </c>
      <c r="HW46" s="83">
        <v>1500000</v>
      </c>
      <c r="HX46" s="1" t="s">
        <v>223</v>
      </c>
      <c r="HY46" s="1">
        <v>3890000</v>
      </c>
      <c r="HZ46" s="1" t="s">
        <v>223</v>
      </c>
      <c r="IA46" s="1">
        <f t="shared" si="209"/>
        <v>19890000</v>
      </c>
      <c r="IB46" s="1" t="s">
        <v>6</v>
      </c>
      <c r="IC46" s="1">
        <v>41300000</v>
      </c>
      <c r="ID46" s="1" t="s">
        <v>6</v>
      </c>
      <c r="IE46" s="1">
        <f t="shared" si="210"/>
        <v>1550000</v>
      </c>
      <c r="IF46" s="1" t="s">
        <v>6</v>
      </c>
      <c r="IG46" s="1">
        <f>5900000+900000</f>
        <v>6800000</v>
      </c>
      <c r="IH46" s="1" t="s">
        <v>223</v>
      </c>
      <c r="II46" s="79">
        <f t="shared" si="87"/>
        <v>74930000</v>
      </c>
      <c r="IJ46" s="97">
        <f t="shared" si="167"/>
        <v>1.5629261117125455</v>
      </c>
      <c r="IK46" s="1" t="s">
        <v>6</v>
      </c>
      <c r="IL46" s="7">
        <v>45</v>
      </c>
      <c r="IM46" s="7">
        <v>54.58</v>
      </c>
      <c r="IN46" s="98">
        <v>182</v>
      </c>
      <c r="IO46" s="695">
        <v>14.36</v>
      </c>
      <c r="IP46" s="98">
        <f>276892428/IP$2</f>
        <v>5.9589447821200423</v>
      </c>
      <c r="IQ46" s="98">
        <v>19.7</v>
      </c>
      <c r="IR46" s="98">
        <v>5.93</v>
      </c>
      <c r="IS46" s="98">
        <v>5.67</v>
      </c>
      <c r="IT46" s="98">
        <v>11.35</v>
      </c>
      <c r="IU46" s="98">
        <v>0.88</v>
      </c>
      <c r="IV46" s="94">
        <f t="shared" si="89"/>
        <v>17.899999999999999</v>
      </c>
      <c r="IW46" s="88"/>
      <c r="IX46" s="88"/>
      <c r="IY46" s="105">
        <v>1.84</v>
      </c>
      <c r="IZ46" s="161">
        <v>0.5</v>
      </c>
      <c r="JA46" s="83">
        <v>1500</v>
      </c>
      <c r="JB46" s="161">
        <v>40.24</v>
      </c>
      <c r="JC46" s="88"/>
      <c r="JD46" s="88"/>
      <c r="JF46" s="2">
        <v>9.0877917999999998</v>
      </c>
      <c r="JG46" s="2">
        <v>15.309266509999999</v>
      </c>
      <c r="JH46" s="2">
        <v>202.66244365</v>
      </c>
      <c r="JI46" s="2">
        <v>81.374339249999991</v>
      </c>
      <c r="JJ46" s="2">
        <v>198.25262948999998</v>
      </c>
      <c r="JK46" s="2">
        <v>45.507491539999997</v>
      </c>
      <c r="JL46" s="2">
        <v>1012.84829598</v>
      </c>
      <c r="JM46" s="2">
        <v>0.10907</v>
      </c>
      <c r="JN46" s="2">
        <v>609.06025203000013</v>
      </c>
      <c r="JO46" s="2">
        <v>12.388571750000001</v>
      </c>
      <c r="JP46" s="2">
        <v>0</v>
      </c>
      <c r="JQ46" s="2">
        <v>0.21807650000000001</v>
      </c>
      <c r="JR46" s="2">
        <v>0.10860727000000001</v>
      </c>
      <c r="JS46" s="2">
        <v>0</v>
      </c>
      <c r="JT46" s="2">
        <v>0.41348571999999995</v>
      </c>
      <c r="JU46" s="2">
        <v>57.653002139999991</v>
      </c>
      <c r="JV46" s="2">
        <v>1.34070018</v>
      </c>
      <c r="JW46" s="2">
        <v>6.8992161200000002</v>
      </c>
      <c r="JX46" s="2">
        <v>7.4467639999999999</v>
      </c>
      <c r="JY46" s="2">
        <v>0</v>
      </c>
      <c r="JZ46" s="2">
        <v>1.2456619099999997</v>
      </c>
      <c r="KA46" s="2">
        <v>0.66984001999999998</v>
      </c>
      <c r="KB46" s="2">
        <v>3.5925254299999998</v>
      </c>
      <c r="KC46" s="2">
        <v>5.6252439999999995</v>
      </c>
      <c r="KD46" s="2">
        <v>5.6809394099999997</v>
      </c>
      <c r="KE46" s="2">
        <v>7.67071258</v>
      </c>
      <c r="KF46" s="2">
        <v>29.220215140000001</v>
      </c>
      <c r="KG46" s="2">
        <v>238.3478528</v>
      </c>
      <c r="KH46" s="2">
        <v>67.063435900000016</v>
      </c>
      <c r="KI46" s="2">
        <v>28.070668639999997</v>
      </c>
      <c r="KJ46" s="2">
        <v>1.9153655800000002</v>
      </c>
      <c r="KK46" s="2">
        <v>6.8695624700000009</v>
      </c>
      <c r="KL46" s="2">
        <v>0.40488991000000002</v>
      </c>
      <c r="KM46" s="2">
        <v>7.0722802200000006</v>
      </c>
      <c r="KN46" s="2">
        <v>1.9284699999999998E-3</v>
      </c>
      <c r="KO46" s="2">
        <v>0.41131910999999999</v>
      </c>
      <c r="KP46" s="2">
        <v>1.22174E-3</v>
      </c>
      <c r="KQ46" s="2">
        <v>261.81961639000002</v>
      </c>
      <c r="KR46" s="2">
        <v>1.1054999999999999E-3</v>
      </c>
      <c r="KS46" s="2">
        <v>0.15260435</v>
      </c>
      <c r="KT46" s="2">
        <v>2.2627404799999997</v>
      </c>
      <c r="KU46" s="2">
        <v>0.10917738</v>
      </c>
      <c r="KV46" s="2">
        <v>0</v>
      </c>
      <c r="KW46" s="2">
        <v>0.83144872000000003</v>
      </c>
      <c r="KX46" s="2">
        <v>0</v>
      </c>
      <c r="KY46" s="2">
        <v>0</v>
      </c>
      <c r="KZ46" s="2">
        <v>0.19347856999999996</v>
      </c>
      <c r="LA46" s="2">
        <v>0.175765</v>
      </c>
      <c r="LB46" s="2">
        <v>0.16601562</v>
      </c>
      <c r="LC46" s="2">
        <v>1.8521830000000003E-2</v>
      </c>
      <c r="LD46" s="2">
        <v>0</v>
      </c>
      <c r="LE46" s="2">
        <v>0.48563221000000001</v>
      </c>
      <c r="LF46" s="2">
        <v>0.29325236999999998</v>
      </c>
      <c r="LG46" s="2">
        <v>18.151731840000004</v>
      </c>
      <c r="LH46" s="2">
        <v>3.3074503900000001</v>
      </c>
      <c r="LI46" s="2">
        <v>0</v>
      </c>
      <c r="LJ46" s="2">
        <v>0.12007147999999999</v>
      </c>
      <c r="LK46" s="2">
        <v>0.94828520999999999</v>
      </c>
      <c r="LL46" s="2">
        <v>4.1629919000000006</v>
      </c>
      <c r="LM46" s="2">
        <v>1.65285226</v>
      </c>
      <c r="LN46" s="2">
        <v>0.14281885999999999</v>
      </c>
      <c r="LO46" s="2">
        <v>8.7002078199999993</v>
      </c>
      <c r="LQ46" s="85">
        <f t="shared" si="90"/>
        <v>2104.3070304000003</v>
      </c>
      <c r="LR46" s="85">
        <f t="shared" si="91"/>
        <v>0.74016948999999999</v>
      </c>
      <c r="LS46" s="85">
        <f t="shared" si="92"/>
        <v>8.2399163000000009</v>
      </c>
      <c r="LT46" s="85">
        <f t="shared" si="93"/>
        <v>1.9155019299999996</v>
      </c>
      <c r="LU46" s="85">
        <f t="shared" si="94"/>
        <v>269.45885404000001</v>
      </c>
      <c r="LV46" s="85">
        <f t="shared" si="95"/>
        <v>0.83144872000000003</v>
      </c>
      <c r="LW46" s="85">
        <f t="shared" si="96"/>
        <v>0.34178061999999998</v>
      </c>
      <c r="LX46" s="85">
        <f t="shared" si="97"/>
        <v>0.77888457999999994</v>
      </c>
      <c r="LZ46" s="131">
        <v>45.71</v>
      </c>
      <c r="MA46" s="171">
        <v>39.39</v>
      </c>
      <c r="MB46"/>
      <c r="MC46"/>
      <c r="MD46"/>
      <c r="MF46"/>
      <c r="MG46"/>
      <c r="MH46" s="83">
        <v>75.040000000000006</v>
      </c>
      <c r="MI46" s="83">
        <v>30.81</v>
      </c>
      <c r="MJ46" s="83">
        <v>22.45</v>
      </c>
      <c r="MK46"/>
      <c r="ML46" s="83">
        <v>23.08</v>
      </c>
      <c r="MM46" s="83">
        <v>33.409999999999997</v>
      </c>
      <c r="MN46" s="83"/>
      <c r="MO46" s="83">
        <v>34.32</v>
      </c>
      <c r="MP46" s="83">
        <v>51.03</v>
      </c>
      <c r="MQ46" s="83">
        <v>69.89</v>
      </c>
      <c r="MR46"/>
      <c r="MT46" s="83"/>
      <c r="MU46" s="83">
        <v>23.49</v>
      </c>
      <c r="MV46"/>
      <c r="MW46"/>
      <c r="MX46"/>
      <c r="MY46" s="83">
        <v>61.19</v>
      </c>
      <c r="MZ46" s="83">
        <v>144</v>
      </c>
      <c r="NA46" s="83">
        <v>67.400000000000006</v>
      </c>
      <c r="NB46" s="83">
        <v>193.16</v>
      </c>
      <c r="NC46" s="83">
        <v>35.36</v>
      </c>
      <c r="ND46"/>
      <c r="NE46" s="1">
        <v>164.15</v>
      </c>
    </row>
    <row r="47" spans="1:369">
      <c r="A47" s="38">
        <f t="shared" si="219"/>
        <v>43497</v>
      </c>
      <c r="B47" s="36">
        <f t="shared" ref="B47:B57" si="235">+B46+1</f>
        <v>2</v>
      </c>
      <c r="C47" s="36">
        <v>2019</v>
      </c>
      <c r="D47" s="36">
        <f t="shared" si="50"/>
        <v>47</v>
      </c>
      <c r="E47" s="38">
        <f t="shared" si="220"/>
        <v>43497</v>
      </c>
      <c r="F47" s="7">
        <v>39.31</v>
      </c>
      <c r="G47" s="7">
        <v>196.8</v>
      </c>
      <c r="H47" s="1">
        <f>[2]NACIONALES!$D35</f>
        <v>19098</v>
      </c>
      <c r="I47" s="7">
        <v>98</v>
      </c>
      <c r="J47" s="7">
        <v>450</v>
      </c>
      <c r="K47" s="7">
        <v>3.2</v>
      </c>
      <c r="L47" s="7">
        <v>26.3</v>
      </c>
      <c r="N47" s="5">
        <v>1.452</v>
      </c>
      <c r="O47" s="5">
        <v>1.2988</v>
      </c>
      <c r="P47" s="78">
        <f t="shared" si="221"/>
        <v>49.940774000000005</v>
      </c>
      <c r="Q47" s="6">
        <v>637</v>
      </c>
      <c r="R47" s="79">
        <f t="shared" si="222"/>
        <v>6370</v>
      </c>
      <c r="S47" s="6">
        <v>191.95</v>
      </c>
      <c r="T47" s="6">
        <v>225.28</v>
      </c>
      <c r="U47" s="143">
        <v>140.785</v>
      </c>
      <c r="V47" s="6">
        <v>240.65499999999997</v>
      </c>
      <c r="W47" s="6">
        <v>117.5</v>
      </c>
      <c r="X47" s="6">
        <v>181.85</v>
      </c>
      <c r="Y47" s="79">
        <f t="shared" si="223"/>
        <v>7545.5545000000002</v>
      </c>
      <c r="Z47" s="79">
        <f t="shared" si="224"/>
        <v>8855.756800000001</v>
      </c>
      <c r="AA47" s="79">
        <f t="shared" si="225"/>
        <v>5534.2583500000001</v>
      </c>
      <c r="AB47" s="79">
        <f t="shared" si="226"/>
        <v>9460.1480499999998</v>
      </c>
      <c r="AC47" s="79">
        <f t="shared" si="227"/>
        <v>4618.9250000000002</v>
      </c>
      <c r="AD47" s="79">
        <f t="shared" si="228"/>
        <v>7148.5235000000002</v>
      </c>
      <c r="AE47" s="79">
        <f t="shared" si="229"/>
        <v>7193.8610333333336</v>
      </c>
      <c r="AF47" s="1">
        <v>22302.05</v>
      </c>
      <c r="AG47" s="1">
        <v>8400</v>
      </c>
      <c r="AH47" s="1">
        <v>31900</v>
      </c>
      <c r="AI47" s="5">
        <v>9.8000000000000007</v>
      </c>
      <c r="AJ47" s="5">
        <v>5.36</v>
      </c>
      <c r="AK47" s="5">
        <v>6.65</v>
      </c>
      <c r="AL47" s="5">
        <v>4.53</v>
      </c>
      <c r="AM47" s="78">
        <f t="shared" si="230"/>
        <v>7.5386000000000015</v>
      </c>
      <c r="AN47" s="7">
        <v>771.97478991596643</v>
      </c>
      <c r="AO47" s="7">
        <v>375.79000000000013</v>
      </c>
      <c r="AP47" s="78">
        <f t="shared" si="146"/>
        <v>375.79000000000013</v>
      </c>
      <c r="AQ47" s="7">
        <v>266.25301204819277</v>
      </c>
      <c r="AR47" s="7">
        <v>235.83333333333334</v>
      </c>
      <c r="AS47" s="7">
        <v>218.82653061224491</v>
      </c>
      <c r="AT47" s="7">
        <v>485.92500000000001</v>
      </c>
      <c r="AU47" s="78">
        <f t="shared" si="53"/>
        <v>313.52828798185942</v>
      </c>
      <c r="AV47" s="7">
        <v>167.22886363636363</v>
      </c>
      <c r="AW47" s="7">
        <v>420.55555555555554</v>
      </c>
      <c r="AX47" s="7">
        <v>203.38888888888886</v>
      </c>
      <c r="AY47" s="7">
        <v>387.92260869565212</v>
      </c>
      <c r="AZ47" s="7">
        <v>162.24444444444444</v>
      </c>
      <c r="BA47" s="7">
        <v>192.32875000000001</v>
      </c>
      <c r="BB47" s="94">
        <f t="shared" si="45"/>
        <v>251.75359115002681</v>
      </c>
      <c r="BC47" s="68">
        <f t="shared" si="234"/>
        <v>812</v>
      </c>
      <c r="BD47" s="68">
        <f t="shared" si="234"/>
        <v>914</v>
      </c>
      <c r="BE47" s="7">
        <f t="shared" si="234"/>
        <v>720</v>
      </c>
      <c r="BF47" s="7">
        <f t="shared" si="234"/>
        <v>460</v>
      </c>
      <c r="BG47" s="94">
        <f t="shared" si="56"/>
        <v>726.5</v>
      </c>
      <c r="BH47" s="7">
        <v>53.11</v>
      </c>
      <c r="BI47" s="7">
        <f t="shared" si="199"/>
        <v>19.36</v>
      </c>
      <c r="BJ47" s="78">
        <f t="shared" si="57"/>
        <v>72.47</v>
      </c>
      <c r="BK47" s="7">
        <v>65.703000000000003</v>
      </c>
      <c r="BL47" s="7">
        <v>65.05</v>
      </c>
      <c r="BM47" s="94">
        <f t="shared" si="58"/>
        <v>65.376499999999993</v>
      </c>
      <c r="BN47" s="5">
        <v>10.45</v>
      </c>
      <c r="BO47" s="5">
        <v>49.209999999999994</v>
      </c>
      <c r="BP47" s="105">
        <v>31.49</v>
      </c>
      <c r="BQ47" s="94">
        <f t="shared" si="59"/>
        <v>47.437999999999995</v>
      </c>
      <c r="BR47" s="7">
        <v>37.42</v>
      </c>
      <c r="BS47" s="7">
        <v>115</v>
      </c>
      <c r="BT47" s="7">
        <f>3.76*39.47</f>
        <v>148.40719999999999</v>
      </c>
      <c r="BU47" s="79">
        <f>+BS47*12+BT47*3</f>
        <v>1825.2215999999999</v>
      </c>
      <c r="BV47" s="7">
        <v>63</v>
      </c>
      <c r="BW47" s="7">
        <v>115</v>
      </c>
      <c r="BX47" s="5"/>
      <c r="BY47" s="92">
        <f>BY$10*(1+((H47/H$10-1)*costos!$B$5+((I47*F47)/(I$10*F$10)-1)*costos!$E$5+((J47*F47)/((J$10*F$10)-1)*costos!$F$5/3+((K47*F47)/(K$10*F$10)-1)*costos!$F$5/3+((U47*F47)/(U$10*F$10)-1)*costos!$F$5/3+((L47*F47)/(L$10*F$10)-1)*costos!$G$5+((N47*F47)/(N$10*F$10)-1)*costos!$J$5+((V47*F47)/(V$10*F$10)-1)*costos!$K$5)))</f>
        <v>303.14267093664216</v>
      </c>
      <c r="BZ47" s="92">
        <f>$BZ$10*(1+((H47/$H$10-1)*costos!$B$6+((I47*F47)/($I$10*$F$10)-1)*costos!$E$6+((J47*F47)/(($J$10*$F$10)-1)*costos!$F$6/3+((K47*F47)/($K$10*$F$10)-1)*costos!$F$6/3+((U47*F47)/($U$10*$F$10)-1)*costos!$F$6/3+((L47*F47)/($L$10*$F$10)-1)*costos!$G$6+((Q47*F47)/($Q$10*$F$10)-1)*costos!$J$6+((V47*F47)/($V$10*$F$10)-1)*costos!$K$6)))</f>
        <v>289.65791640774859</v>
      </c>
      <c r="CA47" s="92">
        <f>CA$10*(1+((H47/H$10-1)*costos!$B$7+((I47*F47)/(I$10*F$10)-1)*costos!$E$7+((J47*F47)/((J$10*F$10)-1)*costos!$F$7/3+((K47*F47)/(K$10*F$10)-1)*costos!$F$7/3+((U47*F47)/(U$10*F$10)-1)*costos!$F$7/3+((L47*F47)/(L$10*F$10)-1)*costos!$G$7+((S47*F47)/(S$10*F$10)-1)*costos!$J$7+((V47*F47)/(V$10*F$10)-1)*costos!$K$7)))</f>
        <v>304.38608688495299</v>
      </c>
      <c r="CB47" s="92">
        <f>CB$10*(1+((H47/H$10-1)*costos!$B$8+((I47*F47)/(I$10*F$10)-1)*costos!$E$8+((J47*F47)/((J$10*F$10)-1)*costos!$F$8/3+((K47*F47)/(K$10*F$10)-1)*costos!$F$8/3+((U47*F47)/(U$10*F$10)-1)*costos!$F$8/3+((L47*F47)/(L$10*F$10)-1)*costos!$G$8+((T47*F47)/(T$10*F$10)-1)*costos!$J$8+((V47*F47)/(V$10*F$10)-1)*costos!$K$8)))</f>
        <v>271.07028105091126</v>
      </c>
      <c r="CC47" s="92">
        <f>CC$10*(1+((H47/H$10-1)*costos!$B$9+((I47*F47)/(I$10*F$10)-1)*costos!$E$9+((J47*F47)/((J$10*F$10)-1)*costos!$F$9/3+((K47*F47)/(K$10*F$10)-1)*costos!$F$9/3+((U47*F47)/(U$10*F$10)-1)*costos!$F$9/3+((L47*F47)/(L$10*F$10)-1)*costos!$G$9+((U47*F47)/(U$10*F$10)-1)*costos!$J$9+((V47*F47)/(V$10*F$10)-1)*costos!$K$9)))</f>
        <v>276.76651483077205</v>
      </c>
      <c r="CD47" s="92">
        <f>CD$10*(1+((H47/H$10-1)*costos!$B$11+((I47*F47)/(I$10*F$10)-1)*costos!$E$11+((J47*F47)/((J$10*F$10)-1)*costos!$F$11/3+((K47*F47)/(K$10*F$10)-1)*costos!$F$11/3+((U47*F47)/(U$10*F$10)-1)*costos!$F$11/3+((L47*F47)/(L$10*F$10)-1)*costos!$G$11+((V47*F47)/(V$10*F$10)-1)*costos!$J$11+((V47*F47)/(V$10*F$10)-1)*costos!$K$11)))</f>
        <v>289.10409396579081</v>
      </c>
      <c r="CE47" s="92">
        <f>CE$10*(1+((H47/H$10-1)*costos!$B$12+((I47*F47)/(I$10*F$10)-1)*costos!$E$12+((J47*F47)/((J$10*F$10)-1)*costos!$F$12/3+((K47*F47)/(K$10*F$10)-1)*costos!$F$12/3+((U47*F47)/(U$10*F$10)-1)*costos!$F$12/3+((L47*F47)/(L$10*F$10)-1)*costos!$G$12+((W47*F47)/(W$10*F$10)-1)*costos!$J$12+((V47*F47)/(V$10*F$10)-1)*costos!$K$12)))</f>
        <v>261.72039774662863</v>
      </c>
      <c r="CF47" s="92">
        <f>CF$10*(1+((H47/H$10-1)*costos!$B$13+((I47*F47)/(I$10*F$10)-1)*costos!$E$13+((J47*F47)/((J$10*F$10)-1)*costos!$F$13/3+((K47*F47)/(K$10*F$10)-1)*costos!$F$13/3+((U47*F47)/(U$10*F$10)-1)*costos!$F$13/3+((L47*F47)/(L$10*F$10)-1)*costos!$G$13+((X47*F47)/(X$10*F$10)-1)*costos!$J$13+((V47*F47)/(V$10*F$10)-1)*costos!$K$13)))</f>
        <v>301.70302506618765</v>
      </c>
      <c r="CG47" s="92">
        <f t="shared" si="60"/>
        <v>284.12506659087387</v>
      </c>
      <c r="CH47" s="92">
        <f>CH$10*(1+((H47/H$10-1)*costos!$B$10+((I47*F47)/(I$10*F$10)-1)*costos!$E$10+((J47*F47)/((J$10*F$10)-1)*costos!$F$10/3+((K47*F47)/(K$10*F$10)-1)*costos!$F$10/3+((U47*F47)/(U$10*F$10)-1)*costos!$F$10/3+((L47*F47)/(L$10*F$10)-1)*costos!$G$10+((AF47)/(AF$10)-1)*costos!$J$10+((V47*F47)/(V$10*F$10)-1)*costos!$K$10)))</f>
        <v>306.43099696985234</v>
      </c>
      <c r="CI47" s="92">
        <f>CI$10*(1+((H47/H$10-1)*costos!$B$15+((I47*F47)/(I$10*F$10)-1)*costos!$E$15+((J47*F47)/((J$10*F$10)-1)*costos!$F$15/3+((K47*F47)/(K$10*F$10)-1)*costos!$F$15/3+((U47*F47)/(U$10*F$10)-1)*costos!$F$15/3+((L47*F47)/(L$10*F$10)-1)*costos!$G$15+((AV47)/(AV$10)-1)*costos!$J$15+((V47*F47)/(V$10*F$10)-1)*costos!$K$15)))</f>
        <v>282.77593118321977</v>
      </c>
      <c r="CJ47" s="92">
        <f>CJ$10*(1+((H47/H$10-1)*costos!$B$16+((I47*F47)/(I$10*F$10)-1)*costos!$E$16+((J47*F47)/((J$10*F$10)-1)*costos!$F$16/3+((K47*F47)/(K$10*F$10)-1)*costos!$F$16/3+((U47*F47)/(U$10*F$10)-1)*costos!$F$16/3+((L47*F47)/(L$10*F$10)-1)*costos!$G$16+((AW47)/(AW$10)-1)*costos!$J$16+((V47*F47)/(V$10*F$10)-1)*costos!$K$16)))</f>
        <v>254.83331749499305</v>
      </c>
      <c r="CK47" s="92">
        <f>CK$10*(1+((H47/H$10-1)*costos!$B$17+((I47*F47)/(I$10*F$10)-1)*costos!$E$17+((J47*F47)/((J$10*F$10)-1)*costos!$F$17/3+((K47*F47)/(K$10*F$10)-1)*costos!$F$17/3+((U47*F47)/(U$10*F$10)-1)*costos!$F$17/3+((L47*F47)/(L$10*F$10)-1)*costos!$G$17+((AX47)/(AX$10)-1)*costos!$J$17+((V47*F47)/(V$10*F$10)-1)*costos!$K$17)))</f>
        <v>273.90695563019472</v>
      </c>
      <c r="CL47" s="92">
        <f>CL$10*(1+((H47/H$10-1)*costos!$B$18+((I47*F47)/(I$10*F$10)-1)*costos!$E$18+((J47*F47)/((J$10*F$10)-1)*costos!$F$18/3+((K47*F47)/(K$10*F$10)-1)*costos!$F$18/3+((U47*F47)/(U$10*F$10)-1)*costos!$F$18/3+((L47*F47)/(L$10*F$10)-1)*costos!$G$18+((AY47)/(AY$10)-1)*costos!$J$18+((V47*F47)/(V$10*F$10)-1)*costos!$K$18)))</f>
        <v>305.01986652450461</v>
      </c>
      <c r="CM47" s="92">
        <f>CM$10*(1+((H47/H$10-1)*costos!$B$19+((I47*F47)/(I$10*F$10)-1)*costos!$E$19+((J47*F47)/((J$10*F$10)-1)*costos!$F$19/3+((K47*F47)/(K$10*F$10)-1)*costos!$F$19/3+((U47*F47)/(U$10*F$10)-1)*costos!$F$19/3+((L47*F47)/(L$10*F$10)-1)*costos!$G$19+((AZ47)/(AZ$10)-1)*costos!$J$19+((V47*F47)/(V$10*F$10)-1)*costos!$K$19)))</f>
        <v>232.31063742407434</v>
      </c>
      <c r="CN47" s="92">
        <f>CN$10*(1+((H47/H$10-1)*costos!$B$20+((I47*F47)/(I$10*F$10)-1)*costos!$E$20+((J47*F47)/((J$10*F$10)-1)*costos!$F$20/3+((K47*F47)/(K$10*F$10)-1)*costos!$F$20/3+((U47*F47)/(U$10*F$10)-1)*costos!$F$20/3+((L47*F47)/(L$10*F$10)-1)*costos!$G$20+((BA47)/(BA$10)-1)*costos!$J$20+((V47*F47)/(V$10*F$10)-1)*costos!$K$20)))</f>
        <v>256.08296552532585</v>
      </c>
      <c r="CO47" s="92">
        <f t="shared" si="61"/>
        <v>266.83010627602488</v>
      </c>
      <c r="CP47" s="92">
        <f>CP$10*(1+((H47/H$10-1)*costos!$B$22+((I47*F47)/(I$10*F$10)-1)*costos!$E$22+((J47*F47)/((J$10*F$10)-1)*costos!$F$22/3+((K47*F47)/(K$10*F$10)-1)*costos!$F$22/3+((U47*F47)/(U$10*F$10)-1)*costos!$F$22/3+((L47*F47)/(L$10*F$10)-1)*costos!$G$22+(((AVERAGE(AI47:AL47))/((AVERAGE(AI$10:AL$10))-1)*costos!$J$22+((V47*F47)/(V$10*F$10)-1)*costos!$K$22)))))</f>
        <v>298.4916853586974</v>
      </c>
      <c r="CQ47" s="92">
        <f>CQ$10*(1+((H47/H$10-1)*costos!$B$23+((I47*F47)/(I$10*F$10)-1)*costos!$E$23+((J47*F47)/((J$10*F$10)-1)*costos!$F$23/3+((K47*F47)/(K$10*F$10)-1)*costos!$F$23/3+((U47*F47)/(U$10*F$10)-1)*costos!$F$23/3+((L47*F47)/(L$10*F$10)-1)*costos!$G$23+((AN47)/(AN$10)-1)*costos!$J$23+((V47*F47)/(V$10*F$10)-1)*costos!$K$23)))</f>
        <v>264.21889663522677</v>
      </c>
      <c r="CR47" s="92">
        <f>CR$10*(1+((H47/H$10-1)*costos!$B$24+((I47*F47)/(I$10*F$10)-1)*costos!$E$24+((J47*F47)/((J$10*F$10)-1)*costos!$F$24/3+((K47*F47)/(K$10*F$10)-1)*costos!$F$24/3+((U47*F47)/(U$10*F$10)-1)*costos!$F$24/3+((L47*F47)/(L$10*F$10)-1)*costos!$G$24+((AO47)/(AO$10)-1)*costos!$J$24+((V47*F47)/(V$10*F$10)-1)*costos!$K$24)))</f>
        <v>256.86990837028338</v>
      </c>
      <c r="CS47" s="92">
        <f t="shared" si="62"/>
        <v>260.54440250275508</v>
      </c>
      <c r="CT47" s="92">
        <f>CT$10*(1+((H47/H$10-1)*costos!$B$25+((I47*F47)/(I$10*F$10)-1)*costos!$E$25+((J47*F47)/((J$10*F$10)-1)*costos!$F$25/3+((K47*F47)/(K$10*F$10)-1)*costos!$F$25/3+((U47*F47)/(U$10*F$10)-1)*costos!$F$25/3+((L47*F47)/(L$10*F$10)-1)*costos!$G$25+((AQ47)/(AQ$10)-1)*costos!$J$25+((V47*F47)/(V$10*F$10)-1)*costos!$K$25)))</f>
        <v>250.60939212564114</v>
      </c>
      <c r="CU47" s="92">
        <f>CU$10*(1+((H47/H$10-1)*costos!$B$26+((I47*F47)/(I$10*F$10)-1)*costos!$E$26+((J47*F47)/((J$10*F$10)-1)*costos!$F$26/3+((K47*F47)/(K$10*F$10)-1)*costos!$F$26/3+((U47*F47)/(U$10*F$10)-1)*costos!$F$26/3+((L47*F47)/(L$10*F$10)-1)*costos!$G$26+((AR47)/(AR$10)-1)*costos!$J$26+((V47*F47)/(V$10*F$10)-1)*costos!$K$26)))</f>
        <v>257.04017630146848</v>
      </c>
      <c r="CV47" s="92">
        <f>CV$10*(1+((H47/H$10-1)*costos!$B$27+((I47*F47)/(I$10*F$10)-1)*costos!$E$27+((J47*F47)/((J$10*F$10)-1)*costos!$F$27/3+((K47*F47)/(K$10*F$10)-1)*costos!$F$27/3+((U47*F47)/(U$10*F$10)-1)*costos!$F$27/3+((L47*F47)/(L$10*F$10)-1)*costos!$G$27+((AS47)/(AS$10)-1)*costos!$J$27+((V47*F47)/(V$10*F$10)-1)*costos!$K$27)))</f>
        <v>255.62289389144243</v>
      </c>
      <c r="CW47" s="92">
        <f>CW$10*(1+((H47/H$10-1)*costos!$B$28+((I47*F47)/(I$10*F$10)-1)*costos!$E$28+((J47*F47)/((J$10*F$10)-1)*costos!$F$28/3+((K47*F47)/(K$10*F$10)-1)*costos!$F$28/3+((U47*F47)/(U$10*F$10)-1)*costos!$F$28/3+((L47*F47)/(L$10*F$10)-1)*costos!$G$28+((AS47)/(AS$10)-1)*costos!$J$28+((V47*F47)/(V$10*F$10)-1)*costos!$K$28)))</f>
        <v>255.62289389144243</v>
      </c>
      <c r="CX47" s="92">
        <f t="shared" si="63"/>
        <v>256.09532136145111</v>
      </c>
      <c r="CY47" s="92">
        <f>CY$10*(1+((H47/H$10-1)*costos!$B$32+((I47*F47)/(I$10*F$10)-1)*costos!$E$32+((J47*F47)/((J$10*F$10)-1)*costos!$F$32/3+((K47*F47)/(K$10*F$10)-1)*costos!$F$32/3+((U47*F47)/(U$10*F$10)-1)*costos!$F$32/3+((L47*F47)/(L$10*F$10)-1)*costos!$G$32+((AG47)/(AG$10)-1)*costos!$J$32+((V47*F47)/(V$10*F$10)-1)*costos!$K$32)))</f>
        <v>252.8437372408666</v>
      </c>
      <c r="CZ47" s="69">
        <f>CZ$10*(1+((H47/H$10-1)*costos!$B$31+((I47*F47)/(I$10*F$10)-1)*costos!$E$30+((J47*F47)/((J$10*F$10)-1)*costos!$F$30/3+((K47*F47)/(K$10*F$10)-1)*costos!$F$30/3+((U47*F47)/(U$10*F$10)-1)*costos!$F$30/3+((L47*F47)/(L$10*F$10)-1)*costos!$G$30+((BG47)/(BG$10)-1)*costos!$J$30+((V47*F47)/(V$10*F$10)-1)*costos!$K$30)))</f>
        <v>308.03119317155966</v>
      </c>
      <c r="DA47" s="69">
        <f>DA$10*(1+((H47/H$10-1)*costos!$B$31+((I47*F47)/(I$10*F$10)-1)*costos!$E$31+((J47*F47)/((J$10*F$10)-1)*costos!$F$31/3+((K47*F47)/(K$10*F$10)-1)*costos!$F$31/3+((U47*F47)/(U$10*F$10)-1)*costos!$F$31/3+((L47*F47)/(L$10*F$10)-1)*costos!$G$31+((BJ47)/(BJ$10)-1)*costos!$J$31+((V47*F47)/(V$10*F$10)-1)*costos!$K$31)))</f>
        <v>262.07077835929755</v>
      </c>
      <c r="DB47" s="69">
        <f>DB$10*(1+((H47/H$10-1)*costos!$B$36+((I47*F47)/(I$10*F$10)-1)*costos!$E$36+((J47*F47)/((J$10*F$10)-1)*costos!$F$36/3+((K47*F47)/(K$10*F$10)-1)*costos!$F$36/3+((U47*F47)/(U$10*F$10)-1)*costos!$F$36/3+((L47*F47)/(L$10*F$10)-1)*costos!$G$36+((BK47)/(BK$10)-1)*costos!$J$36+((V47*F47)/(V$10*F$10)-1)*costos!$K$36)))</f>
        <v>272.62310189152277</v>
      </c>
      <c r="DC47" s="69">
        <f>DC$10*(1+((H47/H$10-1)*costos!$B$37+((I47*F47)/(I$10*F$10)-1)*costos!$E$37+((U47*F47)/(U$10*F$10)-1)*costos!$F$37+((L47*F47)/(L$10*F$10)-1)*costos!$G$37+((BN47)/(BN$10)-1)*costos!$J$37+((V47*F47)/(V$10*F$10)-1)*costos!$K$37))</f>
        <v>278.15749020419503</v>
      </c>
      <c r="DD47" s="69">
        <f>DD$10*(1+((H47/H$10-1)*costos!$B$39+((I47*F47)/(I$10*F$10)-1)*costos!$E$39+((U47*F47)/(U$10*F$10)-1)*costos!$F$39+((L47*F47)/(L$10*F$10)-1)*costos!$G$39+((BR47)/(BR$10)-1)*costos!$J$39+((V47*F47)/(V$10*F$10)-1)*costos!$K$39))</f>
        <v>269.8096429242608</v>
      </c>
      <c r="DE47" s="69">
        <f>DD$10*(1+((H47/H$10-1)*costos!$B$35+((I47*F47)/(I$10*F$10)-1)*costos!$E$35+((U47*F47)/(U$10*F$10)-1)*costos!$F$35+((L47*F47)/(L$10*F$10)-1)*costos!$G$35+((BR47)/(BR$10)-1)*costos!$J$35+((V47*F47)/(V$10*F$10)-1)*costos!$K$35))</f>
        <v>246.65645962447479</v>
      </c>
      <c r="DF47" s="69">
        <f>DF$10*(1+((H47/H$10-1)*costos!$B$40+((I47*F47)/(I$10*F$10)-1)*costos!$E$40+((U47*F47)/(U$10*F$10)-1)*costos!$F$40+((L47*F47)/(L$10*F$10)-1)*costos!$G$40+((BP47)/(BP$10)-1)*costos!$J$40+((V47*F47)/(V$10*F$10)-1)*costos!$K$40))</f>
        <v>271.41922806630646</v>
      </c>
      <c r="DG47" s="92">
        <f t="shared" si="64"/>
        <v>259.03784384539063</v>
      </c>
      <c r="DH47" s="69">
        <f>DH$10*(1+((H47/H$10-1)*costos!$B$34+((I47*F47)/(I$10*F$10)-1)*costos!$E$34+((J47*F47)/((J$10*F$10)-1)*costos!$F$34/3+((K47*F47)/(K$10*F$10)-1)*costos!$F$34/3+((U47*F47)/(U$10*F$10)-1)*costos!$F$34/3+((L47*F47)/(L$10*F$10)-1)*costos!$G$34+((BV47)/(BV$10)-1)*costos!$J$34+((V47*F47)/(V$10*F$10)-1)*costos!$K$34)))</f>
        <v>269.54869050812482</v>
      </c>
      <c r="DI47" s="69">
        <f>DI$10*(1+((H47/H$10-1)*costos!$B$38+((I47*F47)/(I$10*F$10)-1)*costos!$E$38+((J47*F47)/((J$10*F$10)-1)*costos!$F$38/3+((K47*F47)/(K$10*F$10)-1)*costos!$F$38/3+((U47*F47)/(U$10*F$10)-1)*costos!$F$38/3+((L47*F47)/(L$10*F$10)-1)*costos!$G$38+((BU47)/(BU$10)-1)*costos!$J$38+((V47*F47)/(V$10*F$10)-1)*costos!$K$38)))</f>
        <v>255.19088669120507</v>
      </c>
      <c r="DK47" s="1">
        <v>440000</v>
      </c>
      <c r="DL47" s="1" t="s">
        <v>223</v>
      </c>
      <c r="DM47" s="1">
        <v>195000</v>
      </c>
      <c r="DN47" s="1" t="s">
        <v>223</v>
      </c>
      <c r="DO47" s="1">
        <v>1000000</v>
      </c>
      <c r="DP47" s="1" t="s">
        <v>223</v>
      </c>
      <c r="DQ47" s="1">
        <v>1900000</v>
      </c>
      <c r="DR47" s="1" t="s">
        <v>223</v>
      </c>
      <c r="DS47" s="1">
        <v>5800000</v>
      </c>
      <c r="DT47" s="1" t="s">
        <v>223</v>
      </c>
      <c r="DU47" s="1">
        <v>17700000</v>
      </c>
      <c r="DV47" s="1" t="s">
        <v>223</v>
      </c>
      <c r="DW47" s="1">
        <v>730000</v>
      </c>
      <c r="DX47" s="1" t="s">
        <v>223</v>
      </c>
      <c r="DY47" s="1">
        <v>6290000</v>
      </c>
      <c r="DZ47" s="1" t="s">
        <v>223</v>
      </c>
      <c r="EA47" s="79">
        <f t="shared" si="67"/>
        <v>33420000</v>
      </c>
      <c r="EB47" s="1">
        <v>390000</v>
      </c>
      <c r="EC47" s="1" t="s">
        <v>223</v>
      </c>
      <c r="ED47" s="83">
        <v>170782</v>
      </c>
      <c r="EE47" s="143">
        <v>2019</v>
      </c>
      <c r="EF47" s="1">
        <v>215169</v>
      </c>
      <c r="EG47" s="6">
        <v>2019</v>
      </c>
      <c r="EH47" s="83">
        <v>55007853</v>
      </c>
      <c r="EI47" s="6">
        <v>2019</v>
      </c>
      <c r="EJ47" s="83">
        <f t="shared" si="233"/>
        <v>5291453</v>
      </c>
      <c r="EK47" s="143">
        <f t="shared" si="233"/>
        <v>2018</v>
      </c>
      <c r="EL47" s="1">
        <v>14339908</v>
      </c>
      <c r="EM47" s="6">
        <v>2018</v>
      </c>
      <c r="EN47" s="1">
        <v>3400522</v>
      </c>
      <c r="EO47" s="6">
        <v>2018</v>
      </c>
      <c r="EP47" s="82">
        <f t="shared" si="118"/>
        <v>6552</v>
      </c>
      <c r="EQ47" s="83">
        <f t="shared" si="100"/>
        <v>3038588</v>
      </c>
      <c r="ER47" s="1">
        <f t="shared" si="189"/>
        <v>33739</v>
      </c>
      <c r="ES47" s="1"/>
      <c r="ET47" s="83">
        <f t="shared" si="101"/>
        <v>20884</v>
      </c>
      <c r="EU47" s="83">
        <f t="shared" si="101"/>
        <v>17312</v>
      </c>
      <c r="EV47" s="83">
        <f t="shared" si="101"/>
        <v>9130</v>
      </c>
      <c r="EW47" s="83">
        <f t="shared" si="101"/>
        <v>17152</v>
      </c>
      <c r="EX47" s="79">
        <f t="shared" si="72"/>
        <v>64478</v>
      </c>
      <c r="EY47" s="83">
        <f t="shared" si="123"/>
        <v>19636</v>
      </c>
      <c r="EZ47" s="82">
        <f>+EZ46</f>
        <v>76171</v>
      </c>
      <c r="FA47" s="82">
        <f t="shared" si="103"/>
        <v>20432</v>
      </c>
      <c r="FB47" s="82">
        <f t="shared" si="103"/>
        <v>18034</v>
      </c>
      <c r="FC47" s="79">
        <f t="shared" si="73"/>
        <v>38466</v>
      </c>
      <c r="FD47" s="83">
        <f t="shared" si="158"/>
        <v>61643.420000000013</v>
      </c>
      <c r="FE47" s="1"/>
      <c r="FF47" s="1">
        <v>814000</v>
      </c>
      <c r="FG47" s="1" t="s">
        <v>6</v>
      </c>
      <c r="FH47" s="1">
        <v>1370000</v>
      </c>
      <c r="FI47" s="1" t="s">
        <v>6</v>
      </c>
      <c r="FJ47" s="1">
        <v>4100000</v>
      </c>
      <c r="FK47" s="1" t="s">
        <v>223</v>
      </c>
      <c r="FL47" s="1">
        <v>3900000</v>
      </c>
      <c r="FM47" s="1" t="s">
        <v>223</v>
      </c>
      <c r="FN47" s="1">
        <v>45000000</v>
      </c>
      <c r="FO47" s="1" t="s">
        <v>223</v>
      </c>
      <c r="FP47" s="1">
        <v>53000000</v>
      </c>
      <c r="FQ47" s="1" t="s">
        <v>223</v>
      </c>
      <c r="FR47" s="1">
        <f>+DW47*3</f>
        <v>2190000</v>
      </c>
      <c r="FS47" s="1" t="s">
        <v>223</v>
      </c>
      <c r="FT47" s="1">
        <v>19460000</v>
      </c>
      <c r="FU47" s="1" t="s">
        <v>223</v>
      </c>
      <c r="FV47" s="79">
        <f t="shared" si="76"/>
        <v>127650000</v>
      </c>
      <c r="FW47" s="1">
        <v>1124000</v>
      </c>
      <c r="FX47" s="1" t="s">
        <v>223</v>
      </c>
      <c r="FY47" s="1">
        <v>33708.553</v>
      </c>
      <c r="FZ47" s="79">
        <f t="shared" si="135"/>
        <v>800117.3459999999</v>
      </c>
      <c r="GA47" s="86" t="str">
        <f t="shared" si="136"/>
        <v>mar18 feb19</v>
      </c>
      <c r="GB47" s="1">
        <v>25198862</v>
      </c>
      <c r="GC47" s="6">
        <v>2019</v>
      </c>
      <c r="GD47" s="83">
        <f t="shared" si="165"/>
        <v>2061660</v>
      </c>
      <c r="GE47" s="83">
        <f t="shared" si="190"/>
        <v>421371</v>
      </c>
      <c r="GF47" s="83">
        <f>GF46</f>
        <v>1038352</v>
      </c>
      <c r="GG47" s="83">
        <f t="shared" si="166"/>
        <v>114695</v>
      </c>
      <c r="GH47" s="79">
        <f t="shared" si="78"/>
        <v>1574418</v>
      </c>
      <c r="GI47" s="82">
        <f t="shared" si="232"/>
        <v>1302556</v>
      </c>
      <c r="GJ47" s="83">
        <f t="shared" si="215"/>
        <v>673662.3</v>
      </c>
      <c r="GK47" s="83">
        <f t="shared" si="216"/>
        <v>1162000</v>
      </c>
      <c r="GL47" s="83">
        <f t="shared" si="217"/>
        <v>290589.5</v>
      </c>
      <c r="GM47" s="83">
        <f t="shared" si="218"/>
        <v>258882.47</v>
      </c>
      <c r="GN47" s="79">
        <f t="shared" si="81"/>
        <v>2385134.27</v>
      </c>
      <c r="GO47" s="83">
        <f t="shared" si="107"/>
        <v>196709</v>
      </c>
      <c r="GP47" s="83">
        <f t="shared" si="107"/>
        <v>71194.64</v>
      </c>
      <c r="GQ47" s="83">
        <v>141063</v>
      </c>
      <c r="GR47" s="82">
        <f>+GR46</f>
        <v>43750</v>
      </c>
      <c r="GS47" s="79">
        <f t="shared" si="192"/>
        <v>47981.89</v>
      </c>
      <c r="GT47" s="83">
        <f t="shared" si="108"/>
        <v>2600000</v>
      </c>
      <c r="GU47" s="1">
        <v>113332</v>
      </c>
      <c r="GV47" s="1">
        <v>30810</v>
      </c>
      <c r="GW47" s="79">
        <f t="shared" si="151"/>
        <v>1082616</v>
      </c>
      <c r="GX47" s="1">
        <v>32193.503000000001</v>
      </c>
      <c r="GY47" s="1" t="s">
        <v>314</v>
      </c>
      <c r="GZ47" s="1">
        <v>107349</v>
      </c>
      <c r="HA47" s="1">
        <v>224315</v>
      </c>
      <c r="HB47" s="79">
        <f>+SUM(HA36:HA47)</f>
        <v>3050378</v>
      </c>
      <c r="HC47" s="86" t="str">
        <f t="shared" si="138"/>
        <v>mar18 feb19</v>
      </c>
      <c r="HD47" s="1">
        <v>46506</v>
      </c>
      <c r="HE47" s="79">
        <f t="shared" si="139"/>
        <v>627214</v>
      </c>
      <c r="HF47" s="86" t="str">
        <f t="shared" si="140"/>
        <v>mar18 feb19</v>
      </c>
      <c r="HG47" s="83">
        <v>158000</v>
      </c>
      <c r="HH47" s="79">
        <f>+SUM(HG36:HG47)</f>
        <v>2122083.333333333</v>
      </c>
      <c r="HI47" s="86" t="str">
        <f t="shared" si="142"/>
        <v>mar18 feb19</v>
      </c>
      <c r="HJ47" s="83">
        <v>72803</v>
      </c>
      <c r="HK47" s="79">
        <f t="shared" si="143"/>
        <v>61255.3992</v>
      </c>
      <c r="HL47" s="86" t="str">
        <f t="shared" si="144"/>
        <v>mar18 feb19</v>
      </c>
      <c r="HM47" s="79">
        <f t="shared" si="86"/>
        <v>2183338.7325333329</v>
      </c>
      <c r="HN47" s="87">
        <f t="shared" si="206"/>
        <v>-9.8479406406514092E-2</v>
      </c>
      <c r="HO47" s="1">
        <v>668300000</v>
      </c>
      <c r="HP47" s="79">
        <f t="shared" si="153"/>
        <v>10388.836553839536</v>
      </c>
      <c r="HQ47" s="86" t="str">
        <f t="shared" si="145"/>
        <v>mar18 feb19</v>
      </c>
      <c r="HR47" s="1"/>
      <c r="HS47" s="1"/>
      <c r="HT47" s="1"/>
      <c r="HU47" s="83">
        <f t="shared" si="207"/>
        <v>680000</v>
      </c>
      <c r="HV47" s="83" t="str">
        <f t="shared" si="208"/>
        <v>2017-18</v>
      </c>
      <c r="HW47" s="83">
        <v>1500000</v>
      </c>
      <c r="HX47" s="1" t="s">
        <v>223</v>
      </c>
      <c r="HY47" s="1">
        <v>3890000</v>
      </c>
      <c r="HZ47" s="1" t="s">
        <v>223</v>
      </c>
      <c r="IA47" s="1">
        <f t="shared" si="209"/>
        <v>19890000</v>
      </c>
      <c r="IB47" s="1" t="s">
        <v>6</v>
      </c>
      <c r="IC47" s="1">
        <v>41300000</v>
      </c>
      <c r="ID47" s="1" t="s">
        <v>6</v>
      </c>
      <c r="IE47" s="1">
        <f t="shared" si="210"/>
        <v>1550000</v>
      </c>
      <c r="IF47" s="1" t="s">
        <v>6</v>
      </c>
      <c r="IG47" s="1">
        <f>5900000+900000</f>
        <v>6800000</v>
      </c>
      <c r="IH47" s="1" t="s">
        <v>223</v>
      </c>
      <c r="II47" s="79">
        <f t="shared" si="87"/>
        <v>74930000</v>
      </c>
      <c r="IJ47" s="97">
        <f t="shared" si="167"/>
        <v>1.5629261117125455</v>
      </c>
      <c r="IK47" s="1" t="s">
        <v>6</v>
      </c>
      <c r="IL47" s="97">
        <v>41.5</v>
      </c>
      <c r="IM47" s="97">
        <v>51.41</v>
      </c>
      <c r="IN47" s="98">
        <v>182</v>
      </c>
      <c r="IO47" s="695">
        <v>14.25</v>
      </c>
      <c r="IP47" s="98">
        <f t="shared" ref="IP47:IP57" si="236">276892428/IP$2</f>
        <v>5.9589447821200423</v>
      </c>
      <c r="IQ47" s="98">
        <v>19.7</v>
      </c>
      <c r="IR47" s="98">
        <f>IR46</f>
        <v>5.93</v>
      </c>
      <c r="IS47" s="98">
        <f>IS46</f>
        <v>5.67</v>
      </c>
      <c r="IT47" s="98">
        <f>IT46</f>
        <v>11.35</v>
      </c>
      <c r="IU47" s="98">
        <f>IU46</f>
        <v>0.88</v>
      </c>
      <c r="IV47" s="94">
        <f t="shared" si="89"/>
        <v>17.899999999999999</v>
      </c>
      <c r="IW47" s="1"/>
      <c r="IX47" s="1"/>
      <c r="IY47" s="105">
        <v>1.84</v>
      </c>
      <c r="IZ47" s="161">
        <v>0.5</v>
      </c>
      <c r="JA47" s="83">
        <v>1500</v>
      </c>
      <c r="JB47" s="161">
        <v>40.24</v>
      </c>
      <c r="JC47" s="1"/>
      <c r="JD47" s="1"/>
      <c r="JF47" s="2">
        <v>7.3121487900000011</v>
      </c>
      <c r="JG47" s="2">
        <v>6.4397527999999999</v>
      </c>
      <c r="JH47" s="2">
        <v>126.93324514000001</v>
      </c>
      <c r="JI47" s="2">
        <v>59.18867023</v>
      </c>
      <c r="JJ47" s="2">
        <v>255.21007206000002</v>
      </c>
      <c r="JK47" s="2">
        <v>61.82321369999999</v>
      </c>
      <c r="JL47" s="2">
        <v>833.42961964999995</v>
      </c>
      <c r="JM47" s="2">
        <v>1.0655834099999999</v>
      </c>
      <c r="JN47" s="2">
        <v>361.01645393000001</v>
      </c>
      <c r="JO47" s="2">
        <v>15.232690130000002</v>
      </c>
      <c r="JP47" s="2">
        <v>0</v>
      </c>
      <c r="JQ47" s="2">
        <v>1.5737490000000001</v>
      </c>
      <c r="JR47" s="2">
        <v>0.59975699999999998</v>
      </c>
      <c r="JS47" s="2">
        <v>0</v>
      </c>
      <c r="JT47" s="2">
        <v>0.69466167999999995</v>
      </c>
      <c r="JU47" s="2">
        <v>65.541425610000005</v>
      </c>
      <c r="JV47" s="2">
        <v>6.6961285699999999</v>
      </c>
      <c r="JW47" s="2">
        <v>47.378580349999993</v>
      </c>
      <c r="JX47" s="2">
        <v>6.9001475800000005</v>
      </c>
      <c r="JY47" s="2">
        <v>0</v>
      </c>
      <c r="JZ47" s="2">
        <v>1.2282256999999999</v>
      </c>
      <c r="KA47" s="2">
        <v>0</v>
      </c>
      <c r="KB47" s="2">
        <v>3.77184908</v>
      </c>
      <c r="KC47" s="2">
        <v>6.9404724000000009</v>
      </c>
      <c r="KD47" s="2">
        <v>5.0293573899999995</v>
      </c>
      <c r="KE47" s="2">
        <v>9.9831496800000004</v>
      </c>
      <c r="KF47" s="2">
        <v>25.96451721</v>
      </c>
      <c r="KG47" s="2">
        <v>240.2438281900001</v>
      </c>
      <c r="KH47" s="2">
        <v>59.881838490000014</v>
      </c>
      <c r="KI47" s="2">
        <v>16.693038629999997</v>
      </c>
      <c r="KJ47" s="2">
        <v>2.3792436300000004</v>
      </c>
      <c r="KK47" s="2">
        <v>5.8902069299999988</v>
      </c>
      <c r="KL47" s="2">
        <v>0.29230216000000003</v>
      </c>
      <c r="KM47" s="2">
        <v>3.6956594200000001</v>
      </c>
      <c r="KN47" s="2">
        <v>0</v>
      </c>
      <c r="KO47" s="2">
        <v>0.70748212999999993</v>
      </c>
      <c r="KP47" s="2">
        <v>5.1207000000000003E-2</v>
      </c>
      <c r="KQ47" s="2">
        <v>247.08801968999998</v>
      </c>
      <c r="KR47" s="2">
        <v>4.4581999999999998E-4</v>
      </c>
      <c r="KS47" s="2">
        <v>0.33134514000000004</v>
      </c>
      <c r="KT47" s="2">
        <v>1.3762087900000002</v>
      </c>
      <c r="KU47" s="2">
        <v>0.17887851999999999</v>
      </c>
      <c r="KV47" s="2">
        <v>0</v>
      </c>
      <c r="KW47" s="2">
        <v>0.82148484999999993</v>
      </c>
      <c r="KX47" s="2">
        <v>0</v>
      </c>
      <c r="KY47" s="2">
        <v>0</v>
      </c>
      <c r="KZ47" s="2">
        <v>0.20458936</v>
      </c>
      <c r="LA47" s="2">
        <v>0.18640872999999999</v>
      </c>
      <c r="LB47" s="2">
        <v>0.17386868999999999</v>
      </c>
      <c r="LC47" s="2">
        <v>1.97816E-2</v>
      </c>
      <c r="LD47" s="2">
        <v>0</v>
      </c>
      <c r="LE47" s="2">
        <v>0.87179888000000005</v>
      </c>
      <c r="LF47" s="2">
        <v>0.42482847000000001</v>
      </c>
      <c r="LG47" s="2">
        <v>20.323870619999997</v>
      </c>
      <c r="LH47" s="2">
        <v>4.34916429</v>
      </c>
      <c r="LI47" s="2">
        <v>0</v>
      </c>
      <c r="LJ47" s="2">
        <v>0</v>
      </c>
      <c r="LK47" s="2">
        <v>3.1241180999999996</v>
      </c>
      <c r="LL47" s="2">
        <v>3.3387719099999997</v>
      </c>
      <c r="LM47" s="2">
        <v>3.2800200300000002</v>
      </c>
      <c r="LN47" s="2">
        <v>0.14910473999999999</v>
      </c>
      <c r="LO47" s="2">
        <v>9.3986283400000001</v>
      </c>
      <c r="LQ47" s="85">
        <f t="shared" si="90"/>
        <v>1636.8436444200001</v>
      </c>
      <c r="LR47" s="85">
        <f t="shared" si="91"/>
        <v>2.86816768</v>
      </c>
      <c r="LS47" s="85">
        <f t="shared" si="92"/>
        <v>54.074708919999992</v>
      </c>
      <c r="LT47" s="85">
        <f t="shared" si="93"/>
        <v>1.2282256999999999</v>
      </c>
      <c r="LU47" s="85">
        <f t="shared" si="94"/>
        <v>251.82295219999997</v>
      </c>
      <c r="LV47" s="85">
        <f t="shared" si="95"/>
        <v>0.82148484999999993</v>
      </c>
      <c r="LW47" s="85">
        <f t="shared" si="96"/>
        <v>0.36027741999999996</v>
      </c>
      <c r="LX47" s="85">
        <f t="shared" si="97"/>
        <v>1.2966273500000001</v>
      </c>
      <c r="LZ47" s="131">
        <v>46.43</v>
      </c>
      <c r="MA47" s="171">
        <v>40.6</v>
      </c>
      <c r="MB47"/>
      <c r="MC47"/>
      <c r="MD47"/>
      <c r="MF47"/>
      <c r="MG47"/>
      <c r="MH47" s="83">
        <v>76.94</v>
      </c>
      <c r="MI47" s="83">
        <v>31.28</v>
      </c>
      <c r="MJ47" s="83">
        <v>20.329999999999998</v>
      </c>
      <c r="MK47"/>
      <c r="ML47" s="83">
        <v>23.93</v>
      </c>
      <c r="MM47" s="83">
        <v>45.39</v>
      </c>
      <c r="MN47" s="83"/>
      <c r="MO47" s="83">
        <v>34.369999999999997</v>
      </c>
      <c r="MP47" s="83">
        <v>52.39</v>
      </c>
      <c r="MQ47" s="83">
        <v>68.88</v>
      </c>
      <c r="MR47"/>
      <c r="MT47" s="83"/>
      <c r="MU47" s="83">
        <v>24.83</v>
      </c>
      <c r="MV47"/>
      <c r="MW47"/>
      <c r="MX47"/>
      <c r="MY47" s="83">
        <v>63.22</v>
      </c>
      <c r="MZ47" s="83">
        <v>155.5</v>
      </c>
      <c r="NA47" s="83">
        <v>71.87</v>
      </c>
      <c r="NB47" s="83">
        <v>218.24</v>
      </c>
      <c r="NC47" s="83">
        <v>36.25</v>
      </c>
      <c r="ND47"/>
      <c r="NE47" s="1">
        <v>173.1</v>
      </c>
    </row>
    <row r="48" spans="1:369">
      <c r="A48" s="38">
        <f t="shared" si="219"/>
        <v>43525</v>
      </c>
      <c r="B48" s="36">
        <f t="shared" si="235"/>
        <v>3</v>
      </c>
      <c r="C48" s="36">
        <v>2019</v>
      </c>
      <c r="D48" s="36">
        <f t="shared" si="50"/>
        <v>48</v>
      </c>
      <c r="E48" s="38">
        <f t="shared" si="220"/>
        <v>43525</v>
      </c>
      <c r="F48" s="7">
        <v>42.489473684210523</v>
      </c>
      <c r="G48" s="7">
        <v>206</v>
      </c>
      <c r="H48" s="1">
        <f>[2]NACIONALES!$D36</f>
        <v>19098</v>
      </c>
      <c r="I48" s="7">
        <v>95</v>
      </c>
      <c r="J48" s="7">
        <v>430</v>
      </c>
      <c r="K48" s="7">
        <v>3.2</v>
      </c>
      <c r="L48" s="7">
        <v>27.7</v>
      </c>
      <c r="N48" s="5">
        <v>1.4943599999999999</v>
      </c>
      <c r="O48" s="5">
        <v>1.3403</v>
      </c>
      <c r="P48" s="78">
        <f t="shared" si="221"/>
        <v>55.969615736842101</v>
      </c>
      <c r="Q48" s="6">
        <v>670</v>
      </c>
      <c r="R48" s="79">
        <f t="shared" si="222"/>
        <v>6700</v>
      </c>
      <c r="S48" s="6">
        <v>146.84</v>
      </c>
      <c r="T48" s="6">
        <v>227.15</v>
      </c>
      <c r="U48" s="143">
        <v>137.38421052631577</v>
      </c>
      <c r="V48" s="6">
        <v>231.59473684210528</v>
      </c>
      <c r="W48" s="6">
        <v>108.63</v>
      </c>
      <c r="X48" s="6">
        <v>170.95263157894738</v>
      </c>
      <c r="Y48" s="79">
        <f t="shared" si="223"/>
        <v>6239.154315789473</v>
      </c>
      <c r="Z48" s="79">
        <f t="shared" si="224"/>
        <v>9651.4839473684206</v>
      </c>
      <c r="AA48" s="79">
        <f t="shared" si="225"/>
        <v>5837.3827977839319</v>
      </c>
      <c r="AB48" s="79">
        <f t="shared" si="226"/>
        <v>9840.3384764542934</v>
      </c>
      <c r="AC48" s="79">
        <f t="shared" si="227"/>
        <v>4615.6315263157885</v>
      </c>
      <c r="AD48" s="79">
        <f t="shared" si="228"/>
        <v>7263.6873407202211</v>
      </c>
      <c r="AE48" s="79">
        <f t="shared" si="229"/>
        <v>7241.2797340720217</v>
      </c>
      <c r="AF48" s="1">
        <v>22647.055555555555</v>
      </c>
      <c r="AG48" s="1">
        <v>11550</v>
      </c>
      <c r="AH48" s="1">
        <v>43890</v>
      </c>
      <c r="AI48" s="5">
        <v>8.5159000000000002</v>
      </c>
      <c r="AJ48" s="5">
        <v>5.6969000000000003</v>
      </c>
      <c r="AK48" s="5">
        <v>6.3468</v>
      </c>
      <c r="AL48" s="5">
        <v>6.3178000000000001</v>
      </c>
      <c r="AM48" s="78">
        <f t="shared" si="230"/>
        <v>7.3116300000000001</v>
      </c>
      <c r="AN48" s="97">
        <v>747.81267326732666</v>
      </c>
      <c r="AO48" s="97">
        <v>376.74</v>
      </c>
      <c r="AP48" s="78">
        <f t="shared" si="146"/>
        <v>376.74</v>
      </c>
      <c r="AQ48" s="95">
        <v>266.25301204819277</v>
      </c>
      <c r="AR48" s="97">
        <v>279.18</v>
      </c>
      <c r="AS48" s="97">
        <v>196.56</v>
      </c>
      <c r="AT48" s="97">
        <v>508.32</v>
      </c>
      <c r="AU48" s="78">
        <f t="shared" si="53"/>
        <v>328.02</v>
      </c>
      <c r="AV48" s="97">
        <v>155.70000000000002</v>
      </c>
      <c r="AW48" s="97">
        <v>512</v>
      </c>
      <c r="AX48" s="97">
        <v>259.8</v>
      </c>
      <c r="AY48" s="95">
        <v>387.92260869565212</v>
      </c>
      <c r="AZ48" s="95">
        <v>162.24444444444444</v>
      </c>
      <c r="BA48" s="97">
        <v>180.54</v>
      </c>
      <c r="BB48" s="94">
        <f t="shared" si="45"/>
        <v>262.90918142780458</v>
      </c>
      <c r="BC48" s="68">
        <f t="shared" si="234"/>
        <v>812</v>
      </c>
      <c r="BD48" s="68">
        <f t="shared" si="234"/>
        <v>914</v>
      </c>
      <c r="BE48" s="7">
        <f t="shared" si="234"/>
        <v>720</v>
      </c>
      <c r="BF48" s="7">
        <f t="shared" si="234"/>
        <v>460</v>
      </c>
      <c r="BG48" s="94">
        <f t="shared" si="56"/>
        <v>726.5</v>
      </c>
      <c r="BH48" s="7">
        <v>53.11</v>
      </c>
      <c r="BI48" s="7">
        <f t="shared" si="199"/>
        <v>19.36</v>
      </c>
      <c r="BJ48" s="78">
        <f t="shared" si="57"/>
        <v>72.47</v>
      </c>
      <c r="BK48" s="7">
        <v>64.849000000000004</v>
      </c>
      <c r="BL48" s="7">
        <v>64.58</v>
      </c>
      <c r="BM48" s="94">
        <f t="shared" si="58"/>
        <v>64.714500000000001</v>
      </c>
      <c r="BN48" s="5">
        <v>11.76</v>
      </c>
      <c r="BO48" s="5">
        <v>62.699999999999996</v>
      </c>
      <c r="BP48" s="105">
        <v>33.89</v>
      </c>
      <c r="BQ48" s="94">
        <f t="shared" si="59"/>
        <v>59.819000000000003</v>
      </c>
      <c r="BR48" s="7">
        <v>38.9</v>
      </c>
      <c r="BS48" s="7">
        <v>130</v>
      </c>
      <c r="BT48" s="7">
        <f>3.79*40.65</f>
        <v>154.0635</v>
      </c>
      <c r="BU48" s="79">
        <f t="shared" ref="BU48:BU110" si="237">+BS48*12+BT48*3</f>
        <v>2022.1905000000002</v>
      </c>
      <c r="BV48" s="7">
        <v>62.7</v>
      </c>
      <c r="BW48" s="7">
        <v>130</v>
      </c>
      <c r="BY48" s="92">
        <f>BY$10*(1+((H48/H$10-1)*costos!$B$5+((I48*F48)/(I$10*F$10)-1)*costos!$E$5+((J48*F48)/((J$10*F$10)-1)*costos!$F$5/3+((K48*F48)/(K$10*F$10)-1)*costos!$F$5/3+((U48*F48)/(U$10*F$10)-1)*costos!$F$5/3+((L48*F48)/(L$10*F$10)-1)*costos!$G$5+((N48*F48)/(N$10*F$10)-1)*costos!$J$5+((V48*F48)/(V$10*F$10)-1)*costos!$K$5)))</f>
        <v>323.51470288898963</v>
      </c>
      <c r="BZ48" s="92">
        <f>$BZ$10*(1+((H48/$H$10-1)*costos!$B$6+((I48*F48)/($I$10*$F$10)-1)*costos!$E$6+((J48*F48)/(($J$10*$F$10)-1)*costos!$F$6/3+((K48*F48)/($K$10*$F$10)-1)*costos!$F$6/3+((U48*F48)/($U$10*$F$10)-1)*costos!$F$6/3+((L48*F48)/($L$10*$F$10)-1)*costos!$G$6+((Q48*F48)/($Q$10*$F$10)-1)*costos!$J$6+((V48*F48)/($V$10*$F$10)-1)*costos!$K$6)))</f>
        <v>304.427698627224</v>
      </c>
      <c r="CA48" s="92">
        <f>CA$10*(1+((H48/H$10-1)*costos!$B$7+((I48*F48)/(I$10*F$10)-1)*costos!$E$7+((J48*F48)/((J$10*F$10)-1)*costos!$F$7/3+((K48*F48)/(K$10*F$10)-1)*costos!$F$7/3+((U48*F48)/(U$10*F$10)-1)*costos!$F$7/3+((L48*F48)/(L$10*F$10)-1)*costos!$G$7+((S48*F48)/(S$10*F$10)-1)*costos!$J$7+((V48*F48)/(V$10*F$10)-1)*costos!$K$7)))</f>
        <v>304.52399208942882</v>
      </c>
      <c r="CB48" s="92">
        <f>CB$10*(1+((H48/H$10-1)*costos!$B$8+((I48*F48)/(I$10*F$10)-1)*costos!$E$8+((J48*F48)/((J$10*F$10)-1)*costos!$F$8/3+((K48*F48)/(K$10*F$10)-1)*costos!$F$8/3+((U48*F48)/(U$10*F$10)-1)*costos!$F$8/3+((L48*F48)/(L$10*F$10)-1)*costos!$G$8+((T48*F48)/(T$10*F$10)-1)*costos!$J$8+((V48*F48)/(V$10*F$10)-1)*costos!$K$8)))</f>
        <v>290.11742180836995</v>
      </c>
      <c r="CC48" s="92">
        <f>CC$10*(1+((H48/H$10-1)*costos!$B$9+((I48*F48)/(I$10*F$10)-1)*costos!$E$9+((J48*F48)/((J$10*F$10)-1)*costos!$F$9/3+((K48*F48)/(K$10*F$10)-1)*costos!$F$9/3+((U48*F48)/(U$10*F$10)-1)*costos!$F$9/3+((L48*F48)/(L$10*F$10)-1)*costos!$G$9+((U48*F48)/(U$10*F$10)-1)*costos!$J$9+((V48*F48)/(V$10*F$10)-1)*costos!$K$9)))</f>
        <v>295.79773471105585</v>
      </c>
      <c r="CD48" s="92">
        <f>CD$10*(1+((H48/H$10-1)*costos!$B$11+((I48*F48)/(I$10*F$10)-1)*costos!$E$11+((J48*F48)/((J$10*F$10)-1)*costos!$F$11/3+((K48*F48)/(K$10*F$10)-1)*costos!$F$11/3+((U48*F48)/(U$10*F$10)-1)*costos!$F$11/3+((L48*F48)/(L$10*F$10)-1)*costos!$G$11+((V48*F48)/(V$10*F$10)-1)*costos!$J$11+((V48*F48)/(V$10*F$10)-1)*costos!$K$11)))</f>
        <v>304.41518709268178</v>
      </c>
      <c r="CE48" s="92">
        <f>CE$10*(1+((H48/H$10-1)*costos!$B$12+((I48*F48)/(I$10*F$10)-1)*costos!$E$12+((J48*F48)/((J$10*F$10)-1)*costos!$F$12/3+((K48*F48)/(K$10*F$10)-1)*costos!$F$12/3+((U48*F48)/(U$10*F$10)-1)*costos!$F$12/3+((L48*F48)/(L$10*F$10)-1)*costos!$G$12+((W48*F48)/(W$10*F$10)-1)*costos!$J$12+((V48*F48)/(V$10*F$10)-1)*costos!$K$12)))</f>
        <v>276.3799286033825</v>
      </c>
      <c r="CF48" s="92">
        <f>CF$10*(1+((H48/H$10-1)*costos!$B$13+((I48*F48)/(I$10*F$10)-1)*costos!$E$13+((J48*F48)/((J$10*F$10)-1)*costos!$F$13/3+((K48*F48)/(K$10*F$10)-1)*costos!$F$13/3+((U48*F48)/(U$10*F$10)-1)*costos!$F$13/3+((L48*F48)/(L$10*F$10)-1)*costos!$G$13+((X48*F48)/(X$10*F$10)-1)*costos!$J$13+((V48*F48)/(V$10*F$10)-1)*costos!$K$13)))</f>
        <v>316.99349026395265</v>
      </c>
      <c r="CG48" s="92">
        <f t="shared" si="60"/>
        <v>298.03795909481192</v>
      </c>
      <c r="CH48" s="92">
        <f>CH$10*(1+((H48/H$10-1)*costos!$B$10+((I48*F48)/(I$10*F$10)-1)*costos!$E$10+((J48*F48)/((J$10*F$10)-1)*costos!$F$10/3+((K48*F48)/(K$10*F$10)-1)*costos!$F$10/3+((U48*F48)/(U$10*F$10)-1)*costos!$F$10/3+((L48*F48)/(L$10*F$10)-1)*costos!$G$10+((AF48)/(AF$10)-1)*costos!$J$10+((V48*F48)/(V$10*F$10)-1)*costos!$K$10)))</f>
        <v>318.63128644886308</v>
      </c>
      <c r="CI48" s="92">
        <f>CI$10*(1+((H48/H$10-1)*costos!$B$15+((I48*F48)/(I$10*F$10)-1)*costos!$E$15+((J48*F48)/((J$10*F$10)-1)*costos!$F$15/3+((K48*F48)/(K$10*F$10)-1)*costos!$F$15/3+((U48*F48)/(U$10*F$10)-1)*costos!$F$15/3+((L48*F48)/(L$10*F$10)-1)*costos!$G$15+((AV48)/(AV$10)-1)*costos!$J$15+((V48*F48)/(V$10*F$10)-1)*costos!$K$15)))</f>
        <v>293.26611583661224</v>
      </c>
      <c r="CJ48" s="92">
        <f>CJ$10*(1+((H48/H$10-1)*costos!$B$16+((I48*F48)/(I$10*F$10)-1)*costos!$E$16+((J48*F48)/((J$10*F$10)-1)*costos!$F$16/3+((K48*F48)/(K$10*F$10)-1)*costos!$F$16/3+((U48*F48)/(U$10*F$10)-1)*costos!$F$16/3+((L48*F48)/(L$10*F$10)-1)*costos!$G$16+((AW48)/(AW$10)-1)*costos!$J$16+((V48*F48)/(V$10*F$10)-1)*costos!$K$16)))</f>
        <v>268.07694829775056</v>
      </c>
      <c r="CK48" s="92">
        <f>CK$10*(1+((H48/H$10-1)*costos!$B$17+((I48*F48)/(I$10*F$10)-1)*costos!$E$17+((J48*F48)/((J$10*F$10)-1)*costos!$F$17/3+((K48*F48)/(K$10*F$10)-1)*costos!$F$17/3+((U48*F48)/(U$10*F$10)-1)*costos!$F$17/3+((L48*F48)/(L$10*F$10)-1)*costos!$G$17+((AX48)/(AX$10)-1)*costos!$J$17+((V48*F48)/(V$10*F$10)-1)*costos!$K$17)))</f>
        <v>299.18579987823955</v>
      </c>
      <c r="CL48" s="92">
        <f>CL$10*(1+((H48/H$10-1)*costos!$B$18+((I48*F48)/(I$10*F$10)-1)*costos!$E$18+((J48*F48)/((J$10*F$10)-1)*costos!$F$18/3+((K48*F48)/(K$10*F$10)-1)*costos!$F$18/3+((U48*F48)/(U$10*F$10)-1)*costos!$F$18/3+((L48*F48)/(L$10*F$10)-1)*costos!$G$18+((AY48)/(AY$10)-1)*costos!$J$18+((V48*F48)/(V$10*F$10)-1)*costos!$K$18)))</f>
        <v>316.89601879968302</v>
      </c>
      <c r="CM48" s="92">
        <f>CM$10*(1+((H48/H$10-1)*costos!$B$19+((I48*F48)/(I$10*F$10)-1)*costos!$E$19+((J48*F48)/((J$10*F$10)-1)*costos!$F$19/3+((K48*F48)/(K$10*F$10)-1)*costos!$F$19/3+((U48*F48)/(U$10*F$10)-1)*costos!$F$19/3+((L48*F48)/(L$10*F$10)-1)*costos!$G$19+((AZ48)/(AZ$10)-1)*costos!$J$19+((V48*F48)/(V$10*F$10)-1)*costos!$K$19)))</f>
        <v>240.7044130742438</v>
      </c>
      <c r="CN48" s="92">
        <f>CN$10*(1+((H48/H$10-1)*costos!$B$20+((I48*F48)/(I$10*F$10)-1)*costos!$E$20+((J48*F48)/((J$10*F$10)-1)*costos!$F$20/3+((K48*F48)/(K$10*F$10)-1)*costos!$F$20/3+((U48*F48)/(U$10*F$10)-1)*costos!$F$20/3+((L48*F48)/(L$10*F$10)-1)*costos!$G$20+((BA48)/(BA$10)-1)*costos!$J$20+((V48*F48)/(V$10*F$10)-1)*costos!$K$20)))</f>
        <v>261.8752795931257</v>
      </c>
      <c r="CO48" s="92">
        <f t="shared" si="61"/>
        <v>279.66537783632305</v>
      </c>
      <c r="CP48" s="92">
        <f>CP$10*(1+((H48/H$10-1)*costos!$B$22+((I48*F48)/(I$10*F$10)-1)*costos!$E$22+((J48*F48)/((J$10*F$10)-1)*costos!$F$22/3+((K48*F48)/(K$10*F$10)-1)*costos!$F$22/3+((U48*F48)/(U$10*F$10)-1)*costos!$F$22/3+((L48*F48)/(L$10*F$10)-1)*costos!$G$22+(((AVERAGE(AI48:AL48))/((AVERAGE(AI$10:AL$10))-1)*costos!$J$22+((V48*F48)/(V$10*F$10)-1)*costos!$K$22)))))</f>
        <v>306.77752725763179</v>
      </c>
      <c r="CQ48" s="92">
        <f>CQ$10*(1+((H48/H$10-1)*costos!$B$23+((I48*F48)/(I$10*F$10)-1)*costos!$E$23+((J48*F48)/((J$10*F$10)-1)*costos!$F$23/3+((K48*F48)/(K$10*F$10)-1)*costos!$F$23/3+((U48*F48)/(U$10*F$10)-1)*costos!$F$23/3+((L48*F48)/(L$10*F$10)-1)*costos!$G$23+((AN48)/(AN$10)-1)*costos!$J$23+((V48*F48)/(V$10*F$10)-1)*costos!$K$23)))</f>
        <v>269.93286851293061</v>
      </c>
      <c r="CR48" s="92">
        <f>CR$10*(1+((H48/H$10-1)*costos!$B$24+((I48*F48)/(I$10*F$10)-1)*costos!$E$24+((J48*F48)/((J$10*F$10)-1)*costos!$F$24/3+((K48*F48)/(K$10*F$10)-1)*costos!$F$24/3+((U48*F48)/(U$10*F$10)-1)*costos!$F$24/3+((L48*F48)/(L$10*F$10)-1)*costos!$G$24+((AO48)/(AO$10)-1)*costos!$J$24+((V48*F48)/(V$10*F$10)-1)*costos!$K$24)))</f>
        <v>263.88283292959898</v>
      </c>
      <c r="CS48" s="92">
        <f t="shared" si="62"/>
        <v>266.90785072126482</v>
      </c>
      <c r="CT48" s="92">
        <f>CT$10*(1+((H48/H$10-1)*costos!$B$25+((I48*F48)/(I$10*F$10)-1)*costos!$E$25+((J48*F48)/((J$10*F$10)-1)*costos!$F$25/3+((K48*F48)/(K$10*F$10)-1)*costos!$F$25/3+((U48*F48)/(U$10*F$10)-1)*costos!$F$25/3+((L48*F48)/(L$10*F$10)-1)*costos!$G$25+((AQ48)/(AQ$10)-1)*costos!$J$25+((V48*F48)/(V$10*F$10)-1)*costos!$K$25)))</f>
        <v>259.23135859674755</v>
      </c>
      <c r="CU48" s="92">
        <f>CU$10*(1+((H48/H$10-1)*costos!$B$26+((I48*F48)/(I$10*F$10)-1)*costos!$E$26+((J48*F48)/((J$10*F$10)-1)*costos!$F$26/3+((K48*F48)/(K$10*F$10)-1)*costos!$F$26/3+((U48*F48)/(U$10*F$10)-1)*costos!$F$26/3+((L48*F48)/(L$10*F$10)-1)*costos!$G$26+((AR48)/(AR$10)-1)*costos!$J$26+((V48*F48)/(V$10*F$10)-1)*costos!$K$26)))</f>
        <v>270.43988560378978</v>
      </c>
      <c r="CV48" s="92">
        <f>CV$10*(1+((H48/H$10-1)*costos!$B$27+((I48*F48)/(I$10*F$10)-1)*costos!$E$27+((J48*F48)/((J$10*F$10)-1)*costos!$F$27/3+((K48*F48)/(K$10*F$10)-1)*costos!$F$27/3+((U48*F48)/(U$10*F$10)-1)*costos!$F$27/3+((L48*F48)/(L$10*F$10)-1)*costos!$G$27+((AS48)/(AS$10)-1)*costos!$J$27+((V48*F48)/(V$10*F$10)-1)*costos!$K$27)))</f>
        <v>264.5787463224475</v>
      </c>
      <c r="CW48" s="92">
        <f>CW$10*(1+((H48/H$10-1)*costos!$B$28+((I48*F48)/(I$10*F$10)-1)*costos!$E$28+((J48*F48)/((J$10*F$10)-1)*costos!$F$28/3+((K48*F48)/(K$10*F$10)-1)*costos!$F$28/3+((U48*F48)/(U$10*F$10)-1)*costos!$F$28/3+((L48*F48)/(L$10*F$10)-1)*costos!$G$28+((AS48)/(AS$10)-1)*costos!$J$28+((V48*F48)/(V$10*F$10)-1)*costos!$K$28)))</f>
        <v>264.5787463224475</v>
      </c>
      <c r="CX48" s="92">
        <f t="shared" si="63"/>
        <v>266.53245941622828</v>
      </c>
      <c r="CY48" s="92">
        <f>CY$10*(1+((H48/H$10-1)*costos!$B$32+((I48*F48)/(I$10*F$10)-1)*costos!$E$32+((J48*F48)/((J$10*F$10)-1)*costos!$F$32/3+((K48*F48)/(K$10*F$10)-1)*costos!$F$32/3+((U48*F48)/(U$10*F$10)-1)*costos!$F$32/3+((L48*F48)/(L$10*F$10)-1)*costos!$G$32+((AG48)/(AG$10)-1)*costos!$J$32+((V48*F48)/(V$10*F$10)-1)*costos!$K$32)))</f>
        <v>263.47784887579769</v>
      </c>
      <c r="CZ48" s="69">
        <f>CZ$10*(1+((H48/H$10-1)*costos!$B$31+((I48*F48)/(I$10*F$10)-1)*costos!$E$30+((J48*F48)/((J$10*F$10)-1)*costos!$F$30/3+((K48*F48)/(K$10*F$10)-1)*costos!$F$30/3+((U48*F48)/(U$10*F$10)-1)*costos!$F$30/3+((L48*F48)/(L$10*F$10)-1)*costos!$G$30+((BG48)/(BG$10)-1)*costos!$J$30+((V48*F48)/(V$10*F$10)-1)*costos!$K$30)))</f>
        <v>317.41490284767241</v>
      </c>
      <c r="DA48" s="69">
        <f>DA$10*(1+((H48/H$10-1)*costos!$B$31+((I48*F48)/(I$10*F$10)-1)*costos!$E$31+((J48*F48)/((J$10*F$10)-1)*costos!$F$31/3+((K48*F48)/(K$10*F$10)-1)*costos!$F$31/3+((U48*F48)/(U$10*F$10)-1)*costos!$F$31/3+((L48*F48)/(L$10*F$10)-1)*costos!$G$31+((BJ48)/(BJ$10)-1)*costos!$J$31+((V48*F48)/(V$10*F$10)-1)*costos!$K$31)))</f>
        <v>267.15026897007255</v>
      </c>
      <c r="DB48" s="69">
        <f>DB$10*(1+((H48/H$10-1)*costos!$B$36+((I48*F48)/(I$10*F$10)-1)*costos!$E$36+((J48*F48)/((J$10*F$10)-1)*costos!$F$36/3+((K48*F48)/(K$10*F$10)-1)*costos!$F$36/3+((U48*F48)/(U$10*F$10)-1)*costos!$F$36/3+((L48*F48)/(L$10*F$10)-1)*costos!$G$36+((BK48)/(BK$10)-1)*costos!$J$36+((V48*F48)/(V$10*F$10)-1)*costos!$K$36)))</f>
        <v>280.69418194202325</v>
      </c>
      <c r="DC48" s="69">
        <f>DC$10*(1+((H48/H$10-1)*costos!$B$37+((I48*F48)/(I$10*F$10)-1)*costos!$E$37+((U48*F48)/(U$10*F$10)-1)*costos!$F$37+((L48*F48)/(L$10*F$10)-1)*costos!$G$37+((BN48)/(BN$10)-1)*costos!$J$37+((V48*F48)/(V$10*F$10)-1)*costos!$K$37))</f>
        <v>293.00841380010991</v>
      </c>
      <c r="DD48" s="69">
        <f>DD$10*(1+((H48/H$10-1)*costos!$B$39+((I48*F48)/(I$10*F$10)-1)*costos!$E$39+((U48*F48)/(U$10*F$10)-1)*costos!$F$39+((L48*F48)/(L$10*F$10)-1)*costos!$G$39+((BR48)/(BR$10)-1)*costos!$J$39+((V48*F48)/(V$10*F$10)-1)*costos!$K$39))</f>
        <v>282.85340973230831</v>
      </c>
      <c r="DE48" s="69">
        <f>DD$10*(1+((H48/H$10-1)*costos!$B$35+((I48*F48)/(I$10*F$10)-1)*costos!$E$35+((U48*F48)/(U$10*F$10)-1)*costos!$F$35+((L48*F48)/(L$10*F$10)-1)*costos!$G$35+((BR48)/(BR$10)-1)*costos!$J$35+((V48*F48)/(V$10*F$10)-1)*costos!$K$35))</f>
        <v>256.73030815325973</v>
      </c>
      <c r="DF48" s="69">
        <f>DF$10*(1+((H48/H$10-1)*costos!$B$40+((I48*F48)/(I$10*F$10)-1)*costos!$E$40+((U48*F48)/(U$10*F$10)-1)*costos!$F$40+((L48*F48)/(L$10*F$10)-1)*costos!$G$40+((BP48)/(BP$10)-1)*costos!$J$40+((V48*F48)/(V$10*F$10)-1)*costos!$K$40))</f>
        <v>286.30010463199483</v>
      </c>
      <c r="DG48" s="92">
        <f t="shared" si="64"/>
        <v>271.51520639262731</v>
      </c>
      <c r="DH48" s="69">
        <f>DH$10*(1+((H48/H$10-1)*costos!$B$34+((I48*F48)/(I$10*F$10)-1)*costos!$E$34+((J48*F48)/((J$10*F$10)-1)*costos!$F$34/3+((K48*F48)/(K$10*F$10)-1)*costos!$F$34/3+((U48*F48)/(U$10*F$10)-1)*costos!$F$34/3+((L48*F48)/(L$10*F$10)-1)*costos!$G$34+((BV48)/(BV$10)-1)*costos!$J$34+((V48*F48)/(V$10*F$10)-1)*costos!$K$34)))</f>
        <v>277.21026047194198</v>
      </c>
      <c r="DI48" s="69">
        <f>DI$10*(1+((H48/H$10-1)*costos!$B$38+((I48*F48)/(I$10*F$10)-1)*costos!$E$38+((J48*F48)/((J$10*F$10)-1)*costos!$F$38/3+((K48*F48)/(K$10*F$10)-1)*costos!$F$38/3+((U48*F48)/(U$10*F$10)-1)*costos!$F$38/3+((L48*F48)/(L$10*F$10)-1)*costos!$G$38+((BU48)/(BU$10)-1)*costos!$J$38+((V48*F48)/(V$10*F$10)-1)*costos!$K$38)))</f>
        <v>262.56772292480161</v>
      </c>
      <c r="DK48" s="1">
        <v>440000</v>
      </c>
      <c r="DL48" s="1" t="str">
        <f>+DL47</f>
        <v>2018-19</v>
      </c>
      <c r="DM48" s="1">
        <v>195000</v>
      </c>
      <c r="DN48" s="1" t="s">
        <v>223</v>
      </c>
      <c r="DO48" s="1">
        <v>1355000</v>
      </c>
      <c r="DP48" s="1" t="s">
        <v>223</v>
      </c>
      <c r="DQ48" s="1">
        <v>1850000</v>
      </c>
      <c r="DR48" s="1" t="s">
        <v>223</v>
      </c>
      <c r="DS48" s="1">
        <v>5800000</v>
      </c>
      <c r="DT48" s="1" t="s">
        <v>223</v>
      </c>
      <c r="DU48" s="1">
        <v>17400000</v>
      </c>
      <c r="DV48" s="1" t="s">
        <v>223</v>
      </c>
      <c r="DW48" s="1">
        <v>570000</v>
      </c>
      <c r="DX48" s="1" t="s">
        <v>223</v>
      </c>
      <c r="DY48" s="1">
        <v>6290000</v>
      </c>
      <c r="DZ48" s="1" t="s">
        <v>223</v>
      </c>
      <c r="EA48" s="79">
        <f t="shared" si="67"/>
        <v>33265000</v>
      </c>
      <c r="EB48" s="1">
        <v>355000</v>
      </c>
      <c r="EC48" s="1" t="s">
        <v>223</v>
      </c>
      <c r="ED48" s="83">
        <v>170782</v>
      </c>
      <c r="EE48" s="143">
        <v>2019</v>
      </c>
      <c r="EF48" s="1">
        <v>215169</v>
      </c>
      <c r="EG48" s="6">
        <v>2019</v>
      </c>
      <c r="EH48" s="83">
        <v>55007853</v>
      </c>
      <c r="EI48" s="6">
        <v>2019</v>
      </c>
      <c r="EJ48" s="1">
        <v>5128954</v>
      </c>
      <c r="EK48" s="6">
        <v>2019</v>
      </c>
      <c r="EL48" s="1">
        <v>14339908</v>
      </c>
      <c r="EM48" s="6">
        <v>2018</v>
      </c>
      <c r="EN48" s="1">
        <v>3400522</v>
      </c>
      <c r="EO48" s="6">
        <v>2018</v>
      </c>
      <c r="EP48" s="82">
        <f t="shared" si="118"/>
        <v>6552</v>
      </c>
      <c r="EQ48" s="83">
        <f t="shared" si="100"/>
        <v>3038588</v>
      </c>
      <c r="ER48" s="1">
        <f t="shared" si="189"/>
        <v>33739</v>
      </c>
      <c r="ES48" s="1"/>
      <c r="ET48" s="83">
        <f t="shared" si="101"/>
        <v>20884</v>
      </c>
      <c r="EU48" s="83">
        <f t="shared" si="101"/>
        <v>17312</v>
      </c>
      <c r="EV48" s="83">
        <f t="shared" si="101"/>
        <v>9130</v>
      </c>
      <c r="EW48" s="83">
        <f t="shared" si="101"/>
        <v>17152</v>
      </c>
      <c r="EX48" s="79">
        <f t="shared" si="72"/>
        <v>64478</v>
      </c>
      <c r="EY48" s="83">
        <f t="shared" si="123"/>
        <v>19636</v>
      </c>
      <c r="EZ48" s="82">
        <f t="shared" si="123"/>
        <v>76171</v>
      </c>
      <c r="FA48" s="82">
        <f t="shared" si="103"/>
        <v>20432</v>
      </c>
      <c r="FB48" s="82">
        <f t="shared" si="103"/>
        <v>18034</v>
      </c>
      <c r="FC48" s="79">
        <f t="shared" si="73"/>
        <v>38466</v>
      </c>
      <c r="FD48" s="83">
        <f t="shared" si="158"/>
        <v>61643.420000000013</v>
      </c>
      <c r="FE48" s="1"/>
      <c r="FF48" s="1">
        <v>814000</v>
      </c>
      <c r="FG48" s="1" t="s">
        <v>6</v>
      </c>
      <c r="FH48" s="1">
        <v>1270000</v>
      </c>
      <c r="FI48" s="1" t="s">
        <v>223</v>
      </c>
      <c r="FJ48" s="1">
        <v>5060000</v>
      </c>
      <c r="FK48" s="1" t="s">
        <v>223</v>
      </c>
      <c r="FL48" s="1">
        <v>3850000</v>
      </c>
      <c r="FM48" s="1" t="s">
        <v>223</v>
      </c>
      <c r="FN48" s="1">
        <v>46000000</v>
      </c>
      <c r="FO48" s="1" t="s">
        <v>223</v>
      </c>
      <c r="FP48" s="1">
        <v>53000000</v>
      </c>
      <c r="FQ48" s="1" t="s">
        <v>223</v>
      </c>
      <c r="FR48" s="1">
        <f>+FR47</f>
        <v>2190000</v>
      </c>
      <c r="FS48" s="1" t="s">
        <v>223</v>
      </c>
      <c r="FT48" s="1">
        <v>19460000</v>
      </c>
      <c r="FU48" s="1" t="s">
        <v>223</v>
      </c>
      <c r="FV48" s="79">
        <f t="shared" si="76"/>
        <v>129560000</v>
      </c>
      <c r="FW48" s="1">
        <v>1217143</v>
      </c>
      <c r="FX48" s="1" t="s">
        <v>223</v>
      </c>
      <c r="FY48" s="83">
        <v>73315</v>
      </c>
      <c r="FZ48" s="79">
        <f t="shared" si="135"/>
        <v>802585.89799999993</v>
      </c>
      <c r="GA48" s="86" t="str">
        <f t="shared" si="136"/>
        <v>abr18 mar19</v>
      </c>
      <c r="GB48" s="1">
        <v>25198862</v>
      </c>
      <c r="GC48" s="6">
        <v>2019</v>
      </c>
      <c r="GD48" s="83">
        <f t="shared" ref="GD48:GE50" si="238">+GD47</f>
        <v>2061660</v>
      </c>
      <c r="GE48" s="83">
        <f t="shared" si="238"/>
        <v>421371</v>
      </c>
      <c r="GF48" s="83">
        <f t="shared" ref="GF48:GF57" si="239">GF47</f>
        <v>1038352</v>
      </c>
      <c r="GG48" s="83">
        <f>+GG47</f>
        <v>114695</v>
      </c>
      <c r="GH48" s="79">
        <f t="shared" ref="GH48:GH111" si="240">GE48+GF48+GG48</f>
        <v>1574418</v>
      </c>
      <c r="GI48" s="82">
        <f t="shared" si="232"/>
        <v>1302556</v>
      </c>
      <c r="GJ48" s="83">
        <f t="shared" si="215"/>
        <v>673662.3</v>
      </c>
      <c r="GK48" s="83">
        <f t="shared" si="216"/>
        <v>1162000</v>
      </c>
      <c r="GL48" s="83">
        <f t="shared" si="217"/>
        <v>290589.5</v>
      </c>
      <c r="GM48" s="83">
        <f t="shared" si="218"/>
        <v>258882.47</v>
      </c>
      <c r="GN48" s="79">
        <f t="shared" si="81"/>
        <v>2385134.27</v>
      </c>
      <c r="GO48" s="83">
        <f t="shared" si="107"/>
        <v>196709</v>
      </c>
      <c r="GP48" s="83">
        <f t="shared" si="107"/>
        <v>71194.64</v>
      </c>
      <c r="GQ48" s="83">
        <v>109590</v>
      </c>
      <c r="GR48" s="82">
        <f>+GR47</f>
        <v>43750</v>
      </c>
      <c r="GS48" s="79">
        <f t="shared" si="192"/>
        <v>47037.7</v>
      </c>
      <c r="GT48" s="83">
        <f t="shared" si="108"/>
        <v>2600000</v>
      </c>
      <c r="GU48" s="1">
        <v>107014</v>
      </c>
      <c r="GV48" s="1">
        <v>56773</v>
      </c>
      <c r="GW48" s="79">
        <f t="shared" si="151"/>
        <v>1048119</v>
      </c>
      <c r="GX48" s="1">
        <v>32193.503000000001</v>
      </c>
      <c r="GY48" s="1" t="s">
        <v>314</v>
      </c>
      <c r="GZ48" s="1">
        <v>107349</v>
      </c>
      <c r="HA48" s="1">
        <v>228998</v>
      </c>
      <c r="HB48" s="79">
        <f t="shared" ref="HB48:HB110" si="241">+SUM(HA37:HA48)</f>
        <v>3031276</v>
      </c>
      <c r="HC48" s="86" t="str">
        <f t="shared" si="138"/>
        <v>abr18 mar19</v>
      </c>
      <c r="HD48" s="1">
        <v>51489</v>
      </c>
      <c r="HE48" s="79">
        <f t="shared" si="139"/>
        <v>628900</v>
      </c>
      <c r="HF48" s="86" t="str">
        <f t="shared" si="140"/>
        <v>abr18 mar19</v>
      </c>
      <c r="HG48" s="83">
        <v>168000</v>
      </c>
      <c r="HH48" s="79">
        <f t="shared" ref="HH48:HH110" si="242">+SUM(HG37:HG48)</f>
        <v>2115083.333333333</v>
      </c>
      <c r="HI48" s="86" t="str">
        <f t="shared" si="142"/>
        <v>abr18 mar19</v>
      </c>
      <c r="HJ48" s="83">
        <v>78742</v>
      </c>
      <c r="HK48" s="79">
        <f t="shared" si="143"/>
        <v>61467.37920000001</v>
      </c>
      <c r="HL48" s="86" t="str">
        <f t="shared" si="144"/>
        <v>abr18 mar19</v>
      </c>
      <c r="HM48" s="79">
        <f t="shared" si="86"/>
        <v>2176550.7125333329</v>
      </c>
      <c r="HN48" s="87">
        <f t="shared" si="206"/>
        <v>-7.947293985591608E-2</v>
      </c>
      <c r="HO48" s="1">
        <v>745500000</v>
      </c>
      <c r="HP48" s="79">
        <f t="shared" si="153"/>
        <v>10324.474429978329</v>
      </c>
      <c r="HQ48" s="86" t="str">
        <f t="shared" si="145"/>
        <v>abr18 mar19</v>
      </c>
      <c r="HR48" s="1"/>
      <c r="HS48" s="1"/>
      <c r="HT48" s="1"/>
      <c r="HU48" s="83">
        <f t="shared" si="207"/>
        <v>680000</v>
      </c>
      <c r="HV48" s="83" t="str">
        <f t="shared" si="208"/>
        <v>2017-18</v>
      </c>
      <c r="HW48" s="83">
        <v>1500000</v>
      </c>
      <c r="HX48" s="1" t="s">
        <v>223</v>
      </c>
      <c r="HY48" s="1">
        <v>3890000</v>
      </c>
      <c r="HZ48" s="1" t="s">
        <v>223</v>
      </c>
      <c r="IA48" s="1">
        <f>3690000+17530000</f>
        <v>21220000</v>
      </c>
      <c r="IB48" s="1" t="s">
        <v>223</v>
      </c>
      <c r="IC48" s="1">
        <v>41300000</v>
      </c>
      <c r="ID48" s="1" t="s">
        <v>6</v>
      </c>
      <c r="IE48" s="1">
        <f>150000+1200000</f>
        <v>1350000</v>
      </c>
      <c r="IF48" s="1" t="s">
        <v>223</v>
      </c>
      <c r="IG48" s="1">
        <f>5700000+900000</f>
        <v>6600000</v>
      </c>
      <c r="IH48" s="1" t="s">
        <v>223</v>
      </c>
      <c r="II48" s="79">
        <f t="shared" si="87"/>
        <v>75860000</v>
      </c>
      <c r="IJ48" s="97">
        <f>(6052000*12)/$IJ$2</f>
        <v>1.5629261117125455</v>
      </c>
      <c r="IK48" s="1" t="s">
        <v>6</v>
      </c>
      <c r="IL48" s="97">
        <v>40.4</v>
      </c>
      <c r="IM48" s="97">
        <v>48.32</v>
      </c>
      <c r="IN48" s="98">
        <v>182</v>
      </c>
      <c r="IO48" s="695">
        <v>14.14</v>
      </c>
      <c r="IP48" s="98">
        <f t="shared" si="236"/>
        <v>5.9589447821200423</v>
      </c>
      <c r="IQ48" s="98">
        <v>19.7</v>
      </c>
      <c r="IR48" s="98">
        <f t="shared" ref="IR48:IR57" si="243">IR47</f>
        <v>5.93</v>
      </c>
      <c r="IS48" s="98">
        <f t="shared" ref="IS48:IS57" si="244">IS47</f>
        <v>5.67</v>
      </c>
      <c r="IT48" s="98">
        <f t="shared" ref="IT48:IT57" si="245">IT47</f>
        <v>11.35</v>
      </c>
      <c r="IU48" s="98">
        <f t="shared" ref="IU48:IU57" si="246">IU47</f>
        <v>0.88</v>
      </c>
      <c r="IV48" s="94">
        <f t="shared" si="89"/>
        <v>17.899999999999999</v>
      </c>
      <c r="IW48" s="1"/>
      <c r="IX48" s="1"/>
      <c r="IY48" s="105">
        <v>1.84</v>
      </c>
      <c r="IZ48" s="161">
        <v>0.5</v>
      </c>
      <c r="JA48" s="83">
        <v>1500</v>
      </c>
      <c r="JB48" s="161">
        <v>40.24</v>
      </c>
      <c r="JC48" s="1"/>
      <c r="JD48" s="1"/>
      <c r="JF48" s="2">
        <v>4.0062355699999994</v>
      </c>
      <c r="JG48" s="2">
        <v>20.757807849999999</v>
      </c>
      <c r="JH48" s="2">
        <v>81.749990510000003</v>
      </c>
      <c r="JI48" s="2">
        <v>115.89896163</v>
      </c>
      <c r="JJ48" s="2">
        <v>644.30871814</v>
      </c>
      <c r="JK48" s="2">
        <v>44.129226329999995</v>
      </c>
      <c r="JL48" s="2">
        <v>974.01414871999987</v>
      </c>
      <c r="JM48" s="2">
        <v>0.7255043000000001</v>
      </c>
      <c r="JN48" s="2">
        <v>227.69408383000001</v>
      </c>
      <c r="JO48" s="2">
        <v>18.18974639</v>
      </c>
      <c r="JP48" s="2">
        <v>0</v>
      </c>
      <c r="JQ48" s="2">
        <v>4.9042289499999994</v>
      </c>
      <c r="JR48" s="2">
        <v>0.49247885999999996</v>
      </c>
      <c r="JS48" s="2">
        <v>0</v>
      </c>
      <c r="JT48" s="2">
        <v>0.71165577000000002</v>
      </c>
      <c r="JU48" s="2">
        <v>80.777677829999973</v>
      </c>
      <c r="JV48" s="2">
        <v>8.8603567400000021</v>
      </c>
      <c r="JW48" s="2">
        <v>47.767483169999998</v>
      </c>
      <c r="JX48" s="2">
        <v>11.111280000000001</v>
      </c>
      <c r="JY48" s="2">
        <v>0</v>
      </c>
      <c r="JZ48" s="2">
        <v>0.57340002999999995</v>
      </c>
      <c r="KA48" s="2">
        <v>0</v>
      </c>
      <c r="KB48" s="2">
        <v>3.11668484</v>
      </c>
      <c r="KC48" s="2">
        <v>15.920816550000001</v>
      </c>
      <c r="KD48" s="2">
        <v>6.1290731100000002</v>
      </c>
      <c r="KE48" s="2">
        <v>15.658981640000002</v>
      </c>
      <c r="KF48" s="2">
        <v>26.460249740000002</v>
      </c>
      <c r="KG48" s="2">
        <v>249.35104214000003</v>
      </c>
      <c r="KH48" s="2">
        <v>45.84915741999999</v>
      </c>
      <c r="KI48" s="2">
        <v>37.709770919999997</v>
      </c>
      <c r="KJ48" s="2">
        <v>2.1347583499999998</v>
      </c>
      <c r="KK48" s="2">
        <v>5.5718113899999997</v>
      </c>
      <c r="KL48" s="2">
        <v>0.10990775999999999</v>
      </c>
      <c r="KM48" s="2">
        <v>6.7555661399999991</v>
      </c>
      <c r="KN48" s="2">
        <v>0.17619388000000002</v>
      </c>
      <c r="KO48" s="2">
        <v>0.12409676000000001</v>
      </c>
      <c r="KP48" s="2">
        <v>0.10401121000000001</v>
      </c>
      <c r="KQ48" s="2">
        <v>248.04600351999997</v>
      </c>
      <c r="KR48" s="2">
        <v>4.0032100000000001E-2</v>
      </c>
      <c r="KS48" s="2">
        <v>0.64361783999999989</v>
      </c>
      <c r="KT48" s="2">
        <v>2.06789836</v>
      </c>
      <c r="KU48" s="2">
        <v>0.16234850999999997</v>
      </c>
      <c r="KV48" s="2">
        <v>0</v>
      </c>
      <c r="KW48" s="2">
        <v>1.1041500200000001</v>
      </c>
      <c r="KX48" s="2">
        <v>0</v>
      </c>
      <c r="KY48" s="2">
        <v>0</v>
      </c>
      <c r="KZ48" s="2">
        <v>0.56366156999999995</v>
      </c>
      <c r="LA48" s="2">
        <v>1.2896700000000001E-2</v>
      </c>
      <c r="LB48" s="2">
        <v>3.7164969999999999E-2</v>
      </c>
      <c r="LC48" s="2">
        <v>1.071105E-2</v>
      </c>
      <c r="LD48" s="2">
        <v>0</v>
      </c>
      <c r="LE48" s="2">
        <v>0.80574119</v>
      </c>
      <c r="LF48" s="2">
        <v>0.20086338000000001</v>
      </c>
      <c r="LG48" s="2">
        <v>17.058556200000002</v>
      </c>
      <c r="LH48" s="2">
        <v>4.2311211000000002</v>
      </c>
      <c r="LI48" s="2">
        <v>6.8680000000000013E-5</v>
      </c>
      <c r="LJ48" s="2">
        <v>7.99705E-2</v>
      </c>
      <c r="LK48" s="2">
        <v>2.67372466</v>
      </c>
      <c r="LL48" s="2">
        <v>5.4242010999999977</v>
      </c>
      <c r="LM48" s="2">
        <v>2.5746856100000004</v>
      </c>
      <c r="LN48" s="2">
        <v>0.11417134</v>
      </c>
      <c r="LO48" s="2">
        <v>7.8219689499999987</v>
      </c>
      <c r="LQ48" s="85">
        <f t="shared" ref="LQ48:LQ110" si="247">+SUM(JH48:JJ48,JL48:JN48)</f>
        <v>2044.3914071299998</v>
      </c>
      <c r="LR48" s="85">
        <f t="shared" ref="LR48:LR110" si="248">+SUM(JQ48:JT48)</f>
        <v>6.1083635799999998</v>
      </c>
      <c r="LS48" s="85">
        <f t="shared" ref="LS48:LS110" si="249">+SUM(JV48:JW48)</f>
        <v>56.627839909999999</v>
      </c>
      <c r="LT48" s="85">
        <f t="shared" ref="LT48:LT110" si="250">+SUM(JY48:KA48)</f>
        <v>0.57340002999999995</v>
      </c>
      <c r="LU48" s="85">
        <f t="shared" ref="LU48:LU110" si="251">+SUM(KM48:KO48,KQ48:KS48)</f>
        <v>255.78551023999995</v>
      </c>
      <c r="LV48" s="85">
        <f t="shared" ref="LV48:LV110" si="252">+SUM(KV48:KY48)</f>
        <v>1.1041500200000001</v>
      </c>
      <c r="LW48" s="85">
        <f t="shared" ref="LW48:LW110" si="253">+SUM(LA48:LB48)</f>
        <v>5.0061670000000003E-2</v>
      </c>
      <c r="LX48" s="85">
        <f t="shared" ref="LX48:LX110" si="254">+SUM(LD48:LF48)</f>
        <v>1.0066045699999999</v>
      </c>
      <c r="LZ48" s="131">
        <v>48.5</v>
      </c>
      <c r="MA48" s="171">
        <v>40.94</v>
      </c>
      <c r="MB48"/>
      <c r="MC48"/>
      <c r="MD48"/>
      <c r="MF48"/>
      <c r="MG48"/>
      <c r="MH48" s="83">
        <v>79.900000000000006</v>
      </c>
      <c r="MI48" s="83">
        <v>31.56</v>
      </c>
      <c r="MJ48" s="83">
        <v>21.22</v>
      </c>
      <c r="MK48"/>
      <c r="ML48" s="83">
        <v>25.61</v>
      </c>
      <c r="MM48" s="83">
        <v>59.6</v>
      </c>
      <c r="MN48" s="83"/>
      <c r="MO48" s="83">
        <v>29.87</v>
      </c>
      <c r="MP48" s="83">
        <v>53.3</v>
      </c>
      <c r="MQ48" s="83">
        <v>59.2</v>
      </c>
      <c r="MR48"/>
      <c r="MT48" s="83"/>
      <c r="MU48" s="83">
        <v>25.46</v>
      </c>
      <c r="MV48"/>
      <c r="MW48"/>
      <c r="MX48"/>
      <c r="MY48" s="83">
        <v>67.59</v>
      </c>
      <c r="MZ48" s="83">
        <v>148</v>
      </c>
      <c r="NA48" s="83">
        <v>88.85</v>
      </c>
      <c r="NB48" s="83">
        <v>234.66</v>
      </c>
      <c r="NC48" s="83">
        <v>39.65</v>
      </c>
      <c r="ND48"/>
      <c r="NE48" s="1">
        <v>181.91</v>
      </c>
    </row>
    <row r="49" spans="1:369">
      <c r="A49" s="38">
        <f t="shared" si="219"/>
        <v>43556</v>
      </c>
      <c r="B49" s="36">
        <f t="shared" si="235"/>
        <v>4</v>
      </c>
      <c r="C49" s="36">
        <v>2019</v>
      </c>
      <c r="D49" s="36">
        <f t="shared" si="50"/>
        <v>49</v>
      </c>
      <c r="E49" s="38">
        <f t="shared" si="220"/>
        <v>43556</v>
      </c>
      <c r="F49" s="7">
        <v>44.199999999999996</v>
      </c>
      <c r="G49" s="7">
        <v>213.1</v>
      </c>
      <c r="H49" s="1">
        <f>[2]NACIONALES!$D37</f>
        <v>19098</v>
      </c>
      <c r="I49" s="7">
        <v>92</v>
      </c>
      <c r="J49" s="7">
        <v>410</v>
      </c>
      <c r="K49" s="7">
        <v>3.2</v>
      </c>
      <c r="L49" s="7">
        <v>25.7</v>
      </c>
      <c r="N49" s="5">
        <v>1.53</v>
      </c>
      <c r="O49" s="5">
        <v>1.3759999999999999</v>
      </c>
      <c r="P49" s="78">
        <f t="shared" si="221"/>
        <v>59.863599999999991</v>
      </c>
      <c r="Q49" s="6">
        <v>750</v>
      </c>
      <c r="R49" s="79">
        <f t="shared" si="222"/>
        <v>7500</v>
      </c>
      <c r="S49" s="6">
        <v>139.76</v>
      </c>
      <c r="T49" s="6">
        <v>217.27</v>
      </c>
      <c r="U49" s="143">
        <v>134.92142857142858</v>
      </c>
      <c r="V49" s="6">
        <v>221.96315789473684</v>
      </c>
      <c r="W49" s="6">
        <v>105.89</v>
      </c>
      <c r="X49" s="6">
        <v>166.5894736842105</v>
      </c>
      <c r="Y49" s="79">
        <f t="shared" si="223"/>
        <v>6177.3919999999989</v>
      </c>
      <c r="Z49" s="79">
        <f t="shared" si="224"/>
        <v>9603.3339999999989</v>
      </c>
      <c r="AA49" s="79">
        <f t="shared" si="225"/>
        <v>5963.5271428571423</v>
      </c>
      <c r="AB49" s="79">
        <f t="shared" si="226"/>
        <v>9810.7715789473677</v>
      </c>
      <c r="AC49" s="79">
        <f t="shared" si="227"/>
        <v>4680.3379999999997</v>
      </c>
      <c r="AD49" s="79">
        <f t="shared" si="228"/>
        <v>7363.2547368421037</v>
      </c>
      <c r="AE49" s="79">
        <f t="shared" si="229"/>
        <v>7266.436243107768</v>
      </c>
      <c r="AF49" s="1">
        <v>23762.894736842107</v>
      </c>
      <c r="AG49" s="1">
        <v>11550</v>
      </c>
      <c r="AH49" s="1">
        <v>43890</v>
      </c>
      <c r="AI49" s="5">
        <v>8.2148000000000003</v>
      </c>
      <c r="AJ49" s="5">
        <v>6.7462999999999997</v>
      </c>
      <c r="AK49" s="5">
        <v>6.3997999999999999</v>
      </c>
      <c r="AL49" s="5">
        <v>6.7085999999999997</v>
      </c>
      <c r="AM49" s="78">
        <f t="shared" si="230"/>
        <v>7.322671999999999</v>
      </c>
      <c r="AN49" s="7">
        <v>643.33333333333337</v>
      </c>
      <c r="AO49" s="7">
        <v>337.88578947368421</v>
      </c>
      <c r="AP49" s="78">
        <f t="shared" si="146"/>
        <v>337.88578947368421</v>
      </c>
      <c r="AQ49" s="7">
        <v>306.12612612612611</v>
      </c>
      <c r="AR49" s="7">
        <v>211.37578947368422</v>
      </c>
      <c r="AS49" s="7">
        <v>211.52688172043011</v>
      </c>
      <c r="AT49" s="7">
        <v>384.42947368421051</v>
      </c>
      <c r="AU49" s="78">
        <f t="shared" si="53"/>
        <v>269.11071495944162</v>
      </c>
      <c r="AV49" s="7">
        <v>160.29017543859644</v>
      </c>
      <c r="AW49" s="7">
        <v>437.70631578947376</v>
      </c>
      <c r="AX49" s="7">
        <v>269.06526315789472</v>
      </c>
      <c r="AY49" s="7">
        <v>319.20654970760245</v>
      </c>
      <c r="AZ49" s="7">
        <v>170.65631578947369</v>
      </c>
      <c r="BA49" s="7">
        <v>133.88454545454545</v>
      </c>
      <c r="BB49" s="94">
        <f t="shared" si="45"/>
        <v>236.81047034674231</v>
      </c>
      <c r="BC49" s="68">
        <v>884</v>
      </c>
      <c r="BD49" s="68">
        <v>972</v>
      </c>
      <c r="BE49" s="7">
        <v>750</v>
      </c>
      <c r="BF49" s="7">
        <v>430</v>
      </c>
      <c r="BG49" s="94">
        <f t="shared" si="56"/>
        <v>759</v>
      </c>
      <c r="BH49" s="7">
        <v>53.11</v>
      </c>
      <c r="BI49" s="7">
        <f t="shared" si="199"/>
        <v>19.36</v>
      </c>
      <c r="BJ49" s="78">
        <f t="shared" si="57"/>
        <v>72.47</v>
      </c>
      <c r="BK49" s="7">
        <v>64.77</v>
      </c>
      <c r="BL49" s="7">
        <v>64</v>
      </c>
      <c r="BM49" s="94">
        <f t="shared" si="58"/>
        <v>64.384999999999991</v>
      </c>
      <c r="BN49" s="5">
        <v>13.32</v>
      </c>
      <c r="BO49" s="5">
        <v>56.647500000000015</v>
      </c>
      <c r="BP49" s="105">
        <v>34.24</v>
      </c>
      <c r="BQ49" s="94">
        <f t="shared" si="59"/>
        <v>54.406750000000017</v>
      </c>
      <c r="BR49" s="7">
        <v>40.770000000000003</v>
      </c>
      <c r="BS49" s="7">
        <v>130</v>
      </c>
      <c r="BT49" s="7">
        <f>4.07*43.95</f>
        <v>178.87650000000002</v>
      </c>
      <c r="BU49" s="79">
        <f t="shared" si="237"/>
        <v>2096.6295</v>
      </c>
      <c r="BV49" s="7">
        <v>63.2</v>
      </c>
      <c r="BW49" s="7">
        <v>105</v>
      </c>
      <c r="BY49" s="92">
        <f>BY$10*(1+((H49/H$10-1)*costos!$B$5+((I49*F49)/(I$10*F$10)-1)*costos!$E$5+((J49*F49)/((J$10*F$10)-1)*costos!$F$5/3+((K49*F49)/(K$10*F$10)-1)*costos!$F$5/3+((U49*F49)/(U$10*F$10)-1)*costos!$F$5/3+((L49*F49)/(L$10*F$10)-1)*costos!$G$5+((N49*F49)/(N$10*F$10)-1)*costos!$J$5+((V49*F49)/(V$10*F$10)-1)*costos!$K$5)))</f>
        <v>332.18909631731736</v>
      </c>
      <c r="BZ49" s="92">
        <f>$BZ$10*(1+((H49/$H$10-1)*costos!$B$6+((I49*F49)/($I$10*$F$10)-1)*costos!$E$6+((J49*F49)/(($J$10*$F$10)-1)*costos!$F$6/3+((K49*F49)/($K$10*$F$10)-1)*costos!$F$6/3+((U49*F49)/($U$10*$F$10)-1)*costos!$F$6/3+((L49*F49)/($L$10*$F$10)-1)*costos!$G$6+((Q49*F49)/($Q$10*$F$10)-1)*costos!$J$6+((V49*F49)/($V$10*$F$10)-1)*costos!$K$6)))</f>
        <v>305.72686213872566</v>
      </c>
      <c r="CA49" s="92">
        <f>CA$10*(1+((H49/H$10-1)*costos!$B$7+((I49*F49)/(I$10*F$10)-1)*costos!$E$7+((J49*F49)/((J$10*F$10)-1)*costos!$F$7/3+((K49*F49)/(K$10*F$10)-1)*costos!$F$7/3+((U49*F49)/(U$10*F$10)-1)*costos!$F$7/3+((L49*F49)/(L$10*F$10)-1)*costos!$G$7+((S49*F49)/(S$10*F$10)-1)*costos!$J$7+((V49*F49)/(V$10*F$10)-1)*costos!$K$7)))</f>
        <v>303.55045981089887</v>
      </c>
      <c r="CB49" s="92">
        <f>CB$10*(1+((H49/H$10-1)*costos!$B$8+((I49*F49)/(I$10*F$10)-1)*costos!$E$8+((J49*F49)/((J$10*F$10)-1)*costos!$F$8/3+((K49*F49)/(K$10*F$10)-1)*costos!$F$8/3+((U49*F49)/(U$10*F$10)-1)*costos!$F$8/3+((L49*F49)/(L$10*F$10)-1)*costos!$G$8+((T49*F49)/(T$10*F$10)-1)*costos!$J$8+((V49*F49)/(V$10*F$10)-1)*costos!$K$8)))</f>
        <v>288.63814336086222</v>
      </c>
      <c r="CC49" s="92">
        <f>CC$10*(1+((H49/H$10-1)*costos!$B$9+((I49*F49)/(I$10*F$10)-1)*costos!$E$9+((J49*F49)/((J$10*F$10)-1)*costos!$F$9/3+((K49*F49)/(K$10*F$10)-1)*costos!$F$9/3+((U49*F49)/(U$10*F$10)-1)*costos!$F$9/3+((L49*F49)/(L$10*F$10)-1)*costos!$G$9+((U49*F49)/(U$10*F$10)-1)*costos!$J$9+((V49*F49)/(V$10*F$10)-1)*costos!$K$9)))</f>
        <v>296.19341289244005</v>
      </c>
      <c r="CD49" s="92">
        <f>CD$10*(1+((H49/H$10-1)*costos!$B$11+((I49*F49)/(I$10*F$10)-1)*costos!$E$11+((J49*F49)/((J$10*F$10)-1)*costos!$F$11/3+((K49*F49)/(K$10*F$10)-1)*costos!$F$11/3+((U49*F49)/(U$10*F$10)-1)*costos!$F$11/3+((L49*F49)/(L$10*F$10)-1)*costos!$G$11+((V49*F49)/(V$10*F$10)-1)*costos!$J$11+((V49*F49)/(V$10*F$10)-1)*costos!$K$11)))</f>
        <v>303.70441580734155</v>
      </c>
      <c r="CE49" s="92">
        <f>CE$10*(1+((H49/H$10-1)*costos!$B$12+((I49*F49)/(I$10*F$10)-1)*costos!$E$12+((J49*F49)/((J$10*F$10)-1)*costos!$F$12/3+((K49*F49)/(K$10*F$10)-1)*costos!$F$12/3+((U49*F49)/(U$10*F$10)-1)*costos!$F$12/3+((L49*F49)/(L$10*F$10)-1)*costos!$G$12+((W49*F49)/(W$10*F$10)-1)*costos!$J$12+((V49*F49)/(V$10*F$10)-1)*costos!$K$12)))</f>
        <v>275.75227221898638</v>
      </c>
      <c r="CF49" s="92">
        <f>CF$10*(1+((H49/H$10-1)*costos!$B$13+((I49*F49)/(I$10*F$10)-1)*costos!$E$13+((J49*F49)/((J$10*F$10)-1)*costos!$F$13/3+((K49*F49)/(K$10*F$10)-1)*costos!$F$13/3+((U49*F49)/(U$10*F$10)-1)*costos!$F$13/3+((L49*F49)/(L$10*F$10)-1)*costos!$G$13+((X49*F49)/(X$10*F$10)-1)*costos!$J$13+((V49*F49)/(V$10*F$10)-1)*costos!$K$13)))</f>
        <v>317.56757129786865</v>
      </c>
      <c r="CG49" s="92">
        <f t="shared" si="60"/>
        <v>297.56771256473297</v>
      </c>
      <c r="CH49" s="92">
        <f>CH$10*(1+((H49/H$10-1)*costos!$B$10+((I49*F49)/(I$10*F$10)-1)*costos!$E$10+((J49*F49)/((J$10*F$10)-1)*costos!$F$10/3+((K49*F49)/(K$10*F$10)-1)*costos!$F$10/3+((U49*F49)/(U$10*F$10)-1)*costos!$F$10/3+((L49*F49)/(L$10*F$10)-1)*costos!$G$10+((AF49)/(AF$10)-1)*costos!$J$10+((V49*F49)/(V$10*F$10)-1)*costos!$K$10)))</f>
        <v>325.04351873289721</v>
      </c>
      <c r="CI49" s="92">
        <f>CI$10*(1+((H49/H$10-1)*costos!$B$15+((I49*F49)/(I$10*F$10)-1)*costos!$E$15+((J49*F49)/((J$10*F$10)-1)*costos!$F$15/3+((K49*F49)/(K$10*F$10)-1)*costos!$F$15/3+((U49*F49)/(U$10*F$10)-1)*costos!$F$15/3+((L49*F49)/(L$10*F$10)-1)*costos!$G$15+((AV49)/(AV$10)-1)*costos!$J$15+((V49*F49)/(V$10*F$10)-1)*costos!$K$15)))</f>
        <v>295.43666989003196</v>
      </c>
      <c r="CJ49" s="92">
        <f>CJ$10*(1+((H49/H$10-1)*costos!$B$16+((I49*F49)/(I$10*F$10)-1)*costos!$E$16+((J49*F49)/((J$10*F$10)-1)*costos!$F$16/3+((K49*F49)/(K$10*F$10)-1)*costos!$F$16/3+((U49*F49)/(U$10*F$10)-1)*costos!$F$16/3+((L49*F49)/(L$10*F$10)-1)*costos!$G$16+((AW49)/(AW$10)-1)*costos!$J$16+((V49*F49)/(V$10*F$10)-1)*costos!$K$16)))</f>
        <v>262.46864712797793</v>
      </c>
      <c r="CK49" s="92">
        <f>CK$10*(1+((H49/H$10-1)*costos!$B$17+((I49*F49)/(I$10*F$10)-1)*costos!$E$17+((J49*F49)/((J$10*F$10)-1)*costos!$F$17/3+((K49*F49)/(K$10*F$10)-1)*costos!$F$17/3+((U49*F49)/(U$10*F$10)-1)*costos!$F$17/3+((L49*F49)/(L$10*F$10)-1)*costos!$G$17+((AX49)/(AX$10)-1)*costos!$J$17+((V49*F49)/(V$10*F$10)-1)*costos!$K$17)))</f>
        <v>301.89732865352312</v>
      </c>
      <c r="CL49" s="92">
        <f>CL$10*(1+((H49/H$10-1)*costos!$B$18+((I49*F49)/(I$10*F$10)-1)*costos!$E$18+((J49*F49)/((J$10*F$10)-1)*costos!$F$18/3+((K49*F49)/(K$10*F$10)-1)*costos!$F$18/3+((U49*F49)/(U$10*F$10)-1)*costos!$F$18/3+((L49*F49)/(L$10*F$10)-1)*costos!$G$18+((AY49)/(AY$10)-1)*costos!$J$18+((V49*F49)/(V$10*F$10)-1)*costos!$K$18)))</f>
        <v>301.39619354514195</v>
      </c>
      <c r="CM49" s="92">
        <f>CM$10*(1+((H49/H$10-1)*costos!$B$19+((I49*F49)/(I$10*F$10)-1)*costos!$E$19+((J49*F49)/((J$10*F$10)-1)*costos!$F$19/3+((K49*F49)/(K$10*F$10)-1)*costos!$F$19/3+((U49*F49)/(U$10*F$10)-1)*costos!$F$19/3+((L49*F49)/(L$10*F$10)-1)*costos!$G$19+((AZ49)/(AZ$10)-1)*costos!$J$19+((V49*F49)/(V$10*F$10)-1)*costos!$K$19)))</f>
        <v>242.14856447996215</v>
      </c>
      <c r="CN49" s="92">
        <f>CN$10*(1+((H49/H$10-1)*costos!$B$20+((I49*F49)/(I$10*F$10)-1)*costos!$E$20+((J49*F49)/((J$10*F$10)-1)*costos!$F$20/3+((K49*F49)/(K$10*F$10)-1)*costos!$F$20/3+((U49*F49)/(U$10*F$10)-1)*costos!$F$20/3+((L49*F49)/(L$10*F$10)-1)*costos!$G$20+((BA49)/(BA$10)-1)*costos!$J$20+((V49*F49)/(V$10*F$10)-1)*costos!$K$20)))</f>
        <v>251.48769934843344</v>
      </c>
      <c r="CO49" s="92">
        <f t="shared" si="61"/>
        <v>274.23244650676514</v>
      </c>
      <c r="CP49" s="92">
        <f>CP$10*(1+((H49/H$10-1)*costos!$B$22+((I49*F49)/(I$10*F$10)-1)*costos!$E$22+((J49*F49)/((J$10*F$10)-1)*costos!$F$22/3+((K49*F49)/(K$10*F$10)-1)*costos!$F$22/3+((U49*F49)/(U$10*F$10)-1)*costos!$F$22/3+((L49*F49)/(L$10*F$10)-1)*costos!$G$22+(((AVERAGE(AI49:AL49))/((AVERAGE(AI$10:AL$10))-1)*costos!$J$22+((V49*F49)/(V$10*F$10)-1)*costos!$K$22)))))</f>
        <v>309.86350231761895</v>
      </c>
      <c r="CQ49" s="92">
        <f>CQ$10*(1+((H49/H$10-1)*costos!$B$23+((I49*F49)/(I$10*F$10)-1)*costos!$E$23+((J49*F49)/((J$10*F$10)-1)*costos!$F$23/3+((K49*F49)/(K$10*F$10)-1)*costos!$F$23/3+((U49*F49)/(U$10*F$10)-1)*costos!$F$23/3+((L49*F49)/(L$10*F$10)-1)*costos!$G$23+((AN49)/(AN$10)-1)*costos!$J$23+((V49*F49)/(V$10*F$10)-1)*costos!$K$23)))</f>
        <v>265.37569105253368</v>
      </c>
      <c r="CR49" s="92">
        <f>CR$10*(1+((H49/H$10-1)*costos!$B$24+((I49*F49)/(I$10*F$10)-1)*costos!$E$24+((J49*F49)/((J$10*F$10)-1)*costos!$F$24/3+((K49*F49)/(K$10*F$10)-1)*costos!$F$24/3+((U49*F49)/(U$10*F$10)-1)*costos!$F$24/3+((L49*F49)/(L$10*F$10)-1)*costos!$G$24+((AO49)/(AO$10)-1)*costos!$J$24+((V49*F49)/(V$10*F$10)-1)*costos!$K$24)))</f>
        <v>261.32979279151095</v>
      </c>
      <c r="CS49" s="92">
        <f t="shared" si="62"/>
        <v>263.35274192202235</v>
      </c>
      <c r="CT49" s="92">
        <f>CT$10*(1+((H49/H$10-1)*costos!$B$25+((I49*F49)/(I$10*F$10)-1)*costos!$E$25+((J49*F49)/((J$10*F$10)-1)*costos!$F$25/3+((K49*F49)/(K$10*F$10)-1)*costos!$F$25/3+((U49*F49)/(U$10*F$10)-1)*costos!$F$25/3+((L49*F49)/(L$10*F$10)-1)*costos!$G$25+((AQ49)/(AQ$10)-1)*costos!$J$25+((V49*F49)/(V$10*F$10)-1)*costos!$K$25)))</f>
        <v>262.81163083949451</v>
      </c>
      <c r="CU49" s="92">
        <f>CU$10*(1+((H49/H$10-1)*costos!$B$26+((I49*F49)/(I$10*F$10)-1)*costos!$E$26+((J49*F49)/((J$10*F$10)-1)*costos!$F$26/3+((K49*F49)/(K$10*F$10)-1)*costos!$F$26/3+((U49*F49)/(U$10*F$10)-1)*costos!$F$26/3+((L49*F49)/(L$10*F$10)-1)*costos!$G$26+((AR49)/(AR$10)-1)*costos!$J$26+((V49*F49)/(V$10*F$10)-1)*costos!$K$26)))</f>
        <v>266.49674374133599</v>
      </c>
      <c r="CV49" s="92">
        <f>CV$10*(1+((H49/H$10-1)*costos!$B$27+((I49*F49)/(I$10*F$10)-1)*costos!$E$27+((J49*F49)/((J$10*F$10)-1)*costos!$F$27/3+((K49*F49)/(K$10*F$10)-1)*costos!$F$27/3+((U49*F49)/(U$10*F$10)-1)*costos!$F$27/3+((L49*F49)/(L$10*F$10)-1)*costos!$G$27+((AS49)/(AS$10)-1)*costos!$J$27+((V49*F49)/(V$10*F$10)-1)*costos!$K$27)))</f>
        <v>266.25704171020942</v>
      </c>
      <c r="CW49" s="92">
        <f>CW$10*(1+((H49/H$10-1)*costos!$B$28+((I49*F49)/(I$10*F$10)-1)*costos!$E$28+((J49*F49)/((J$10*F$10)-1)*costos!$F$28/3+((K49*F49)/(K$10*F$10)-1)*costos!$F$28/3+((U49*F49)/(U$10*F$10)-1)*costos!$F$28/3+((L49*F49)/(L$10*F$10)-1)*costos!$G$28+((AS49)/(AS$10)-1)*costos!$J$28+((V49*F49)/(V$10*F$10)-1)*costos!$K$28)))</f>
        <v>266.25704171020942</v>
      </c>
      <c r="CX49" s="92">
        <f t="shared" si="63"/>
        <v>266.33694238725161</v>
      </c>
      <c r="CY49" s="92">
        <f>CY$10*(1+((H49/H$10-1)*costos!$B$32+((I49*F49)/(I$10*F$10)-1)*costos!$E$32+((J49*F49)/((J$10*F$10)-1)*costos!$F$32/3+((K49*F49)/(K$10*F$10)-1)*costos!$F$32/3+((U49*F49)/(U$10*F$10)-1)*costos!$F$32/3+((L49*F49)/(L$10*F$10)-1)*costos!$G$32+((AG49)/(AG$10)-1)*costos!$J$32+((V49*F49)/(V$10*F$10)-1)*costos!$K$32)))</f>
        <v>263.33161916203983</v>
      </c>
      <c r="CZ49" s="69">
        <f>CZ$10*(1+((H49/H$10-1)*costos!$B$31+((I49*F49)/(I$10*F$10)-1)*costos!$E$30+((J49*F49)/((J$10*F$10)-1)*costos!$F$30/3+((K49*F49)/(K$10*F$10)-1)*costos!$F$30/3+((U49*F49)/(U$10*F$10)-1)*costos!$F$30/3+((L49*F49)/(L$10*F$10)-1)*costos!$G$30+((BG49)/(BG$10)-1)*costos!$J$30+((V49*F49)/(V$10*F$10)-1)*costos!$K$30)))</f>
        <v>318.78426248810734</v>
      </c>
      <c r="DA49" s="69">
        <f>DA$10*(1+((H49/H$10-1)*costos!$B$31+((I49*F49)/(I$10*F$10)-1)*costos!$E$31+((J49*F49)/((J$10*F$10)-1)*costos!$F$31/3+((K49*F49)/(K$10*F$10)-1)*costos!$F$31/3+((U49*F49)/(U$10*F$10)-1)*costos!$F$31/3+((L49*F49)/(L$10*F$10)-1)*costos!$G$31+((BJ49)/(BJ$10)-1)*costos!$J$31+((V49*F49)/(V$10*F$10)-1)*costos!$K$31)))</f>
        <v>268.14169936831263</v>
      </c>
      <c r="DB49" s="69">
        <f>DB$10*(1+((H49/H$10-1)*costos!$B$36+((I49*F49)/(I$10*F$10)-1)*costos!$E$36+((J49*F49)/((J$10*F$10)-1)*costos!$F$36/3+((K49*F49)/(K$10*F$10)-1)*costos!$F$36/3+((U49*F49)/(U$10*F$10)-1)*costos!$F$36/3+((L49*F49)/(L$10*F$10)-1)*costos!$G$36+((BK49)/(BK$10)-1)*costos!$J$36+((V49*F49)/(V$10*F$10)-1)*costos!$K$36)))</f>
        <v>281.73080105234641</v>
      </c>
      <c r="DC49" s="69">
        <f>DC$10*(1+((H49/H$10-1)*costos!$B$37+((I49*F49)/(I$10*F$10)-1)*costos!$E$37+((U49*F49)/(U$10*F$10)-1)*costos!$F$37+((L49*F49)/(L$10*F$10)-1)*costos!$G$37+((BN49)/(BN$10)-1)*costos!$J$37+((V49*F49)/(V$10*F$10)-1)*costos!$K$37))</f>
        <v>300.28869299724477</v>
      </c>
      <c r="DD49" s="69">
        <f>DD$10*(1+((H49/H$10-1)*costos!$B$39+((I49*F49)/(I$10*F$10)-1)*costos!$E$39+((U49*F49)/(U$10*F$10)-1)*costos!$F$39+((L49*F49)/(L$10*F$10)-1)*costos!$G$39+((BR49)/(BR$10)-1)*costos!$J$39+((V49*F49)/(V$10*F$10)-1)*costos!$K$39))</f>
        <v>287.5972070501461</v>
      </c>
      <c r="DE49" s="69">
        <f>DD$10*(1+((H49/H$10-1)*costos!$B$35+((I49*F49)/(I$10*F$10)-1)*costos!$E$35+((U49*F49)/(U$10*F$10)-1)*costos!$F$35+((L49*F49)/(L$10*F$10)-1)*costos!$G$35+((BR49)/(BR$10)-1)*costos!$J$35+((V49*F49)/(V$10*F$10)-1)*costos!$K$35))</f>
        <v>260.92251051212759</v>
      </c>
      <c r="DF49" s="69">
        <f>DF$10*(1+((H49/H$10-1)*costos!$B$40+((I49*F49)/(I$10*F$10)-1)*costos!$E$40+((U49*F49)/(U$10*F$10)-1)*costos!$F$40+((L49*F49)/(L$10*F$10)-1)*costos!$G$40+((BP49)/(BP$10)-1)*costos!$J$40+((V49*F49)/(V$10*F$10)-1)*costos!$K$40))</f>
        <v>290.95976434469281</v>
      </c>
      <c r="DG49" s="92">
        <f t="shared" si="64"/>
        <v>275.94113742841023</v>
      </c>
      <c r="DH49" s="69">
        <f>DH$10*(1+((H49/H$10-1)*costos!$B$34+((I49*F49)/(I$10*F$10)-1)*costos!$E$34+((J49*F49)/((J$10*F$10)-1)*costos!$F$34/3+((K49*F49)/(K$10*F$10)-1)*costos!$F$34/3+((U49*F49)/(U$10*F$10)-1)*costos!$F$34/3+((L49*F49)/(L$10*F$10)-1)*costos!$G$34+((BV49)/(BV$10)-1)*costos!$J$34+((V49*F49)/(V$10*F$10)-1)*costos!$K$34)))</f>
        <v>277.77101231946716</v>
      </c>
      <c r="DI49" s="69">
        <f>DI$10*(1+((H49/H$10-1)*costos!$B$38+((I49*F49)/(I$10*F$10)-1)*costos!$E$38+((J49*F49)/((J$10*F$10)-1)*costos!$F$38/3+((K49*F49)/(K$10*F$10)-1)*costos!$F$38/3+((U49*F49)/(U$10*F$10)-1)*costos!$F$38/3+((L49*F49)/(L$10*F$10)-1)*costos!$G$38+((BU49)/(BU$10)-1)*costos!$J$38+((V49*F49)/(V$10*F$10)-1)*costos!$K$38)))</f>
        <v>264.44168798734705</v>
      </c>
      <c r="DK49" s="1">
        <v>440000</v>
      </c>
      <c r="DL49" s="1" t="str">
        <f>+DL48</f>
        <v>2018-19</v>
      </c>
      <c r="DM49" s="1">
        <v>195000</v>
      </c>
      <c r="DN49" s="1" t="s">
        <v>223</v>
      </c>
      <c r="DO49" s="1">
        <v>1355000</v>
      </c>
      <c r="DP49" s="1" t="s">
        <v>223</v>
      </c>
      <c r="DQ49" s="1">
        <v>1820000</v>
      </c>
      <c r="DR49" s="1" t="s">
        <v>223</v>
      </c>
      <c r="DS49" s="1">
        <v>5800000</v>
      </c>
      <c r="DT49" s="1" t="s">
        <v>223</v>
      </c>
      <c r="DU49" s="1">
        <v>17350000</v>
      </c>
      <c r="DV49" s="1" t="s">
        <v>223</v>
      </c>
      <c r="DW49" s="1">
        <v>500000</v>
      </c>
      <c r="DX49" s="1" t="s">
        <v>223</v>
      </c>
      <c r="DY49" s="1">
        <v>6290000</v>
      </c>
      <c r="DZ49" s="1" t="s">
        <v>223</v>
      </c>
      <c r="EA49" s="79">
        <f t="shared" si="67"/>
        <v>33115000</v>
      </c>
      <c r="EB49" s="1">
        <v>355000</v>
      </c>
      <c r="EC49" s="1" t="s">
        <v>223</v>
      </c>
      <c r="ED49" s="83">
        <v>170782</v>
      </c>
      <c r="EE49" s="143">
        <v>2019</v>
      </c>
      <c r="EF49" s="1">
        <v>215169</v>
      </c>
      <c r="EG49" s="6">
        <v>2019</v>
      </c>
      <c r="EH49" s="83">
        <v>55007853</v>
      </c>
      <c r="EI49" s="6">
        <v>2019</v>
      </c>
      <c r="EJ49" s="1">
        <v>5128954</v>
      </c>
      <c r="EK49" s="6">
        <v>2019</v>
      </c>
      <c r="EL49" s="1">
        <v>14339908</v>
      </c>
      <c r="EM49" s="6">
        <v>2018</v>
      </c>
      <c r="EN49" s="1">
        <v>3400522</v>
      </c>
      <c r="EO49" s="6">
        <v>2018</v>
      </c>
      <c r="EP49" s="82">
        <f t="shared" si="118"/>
        <v>6552</v>
      </c>
      <c r="EQ49" s="83">
        <f>+EQ48</f>
        <v>3038588</v>
      </c>
      <c r="ER49" s="1">
        <f t="shared" si="189"/>
        <v>33739</v>
      </c>
      <c r="ES49" s="1"/>
      <c r="ET49" s="83">
        <f t="shared" si="101"/>
        <v>20884</v>
      </c>
      <c r="EU49" s="83">
        <f t="shared" si="101"/>
        <v>17312</v>
      </c>
      <c r="EV49" s="83">
        <f t="shared" si="101"/>
        <v>9130</v>
      </c>
      <c r="EW49" s="83">
        <f t="shared" si="101"/>
        <v>17152</v>
      </c>
      <c r="EX49" s="79">
        <f t="shared" si="72"/>
        <v>64478</v>
      </c>
      <c r="EY49" s="83">
        <f>+EY48</f>
        <v>19636</v>
      </c>
      <c r="EZ49" s="82">
        <f t="shared" ref="EZ49:EZ57" si="255">+EZ48</f>
        <v>76171</v>
      </c>
      <c r="FA49" s="82">
        <f t="shared" si="103"/>
        <v>20432</v>
      </c>
      <c r="FB49" s="82">
        <f t="shared" si="103"/>
        <v>18034</v>
      </c>
      <c r="FC49" s="79">
        <f t="shared" si="73"/>
        <v>38466</v>
      </c>
      <c r="FD49" s="83">
        <f t="shared" si="158"/>
        <v>61643.420000000013</v>
      </c>
      <c r="FE49" s="1"/>
      <c r="FF49" s="1">
        <v>870000</v>
      </c>
      <c r="FG49" s="1" t="s">
        <v>223</v>
      </c>
      <c r="FH49" s="1">
        <v>1270000</v>
      </c>
      <c r="FI49" s="1" t="s">
        <v>223</v>
      </c>
      <c r="FJ49" s="1">
        <v>5060000</v>
      </c>
      <c r="FK49" s="1" t="s">
        <v>223</v>
      </c>
      <c r="FL49" s="1">
        <v>3600000</v>
      </c>
      <c r="FM49" s="1" t="s">
        <v>223</v>
      </c>
      <c r="FN49" s="1">
        <v>46000000</v>
      </c>
      <c r="FO49" s="1" t="s">
        <v>223</v>
      </c>
      <c r="FP49" s="1">
        <v>55900000</v>
      </c>
      <c r="FQ49" s="1" t="s">
        <v>223</v>
      </c>
      <c r="FR49" s="1">
        <v>1560000</v>
      </c>
      <c r="FS49" s="1" t="str">
        <f>+FS48</f>
        <v>2018-19</v>
      </c>
      <c r="FT49" s="1">
        <v>19460000</v>
      </c>
      <c r="FU49" s="1" t="s">
        <v>223</v>
      </c>
      <c r="FV49" s="79">
        <f t="shared" si="76"/>
        <v>131580000</v>
      </c>
      <c r="FW49" s="1">
        <v>1217143</v>
      </c>
      <c r="FX49" s="1" t="s">
        <v>223</v>
      </c>
      <c r="FY49" s="1">
        <v>121257</v>
      </c>
      <c r="FZ49" s="79">
        <f t="shared" si="135"/>
        <v>802795.23299999989</v>
      </c>
      <c r="GA49" s="86" t="str">
        <f t="shared" si="136"/>
        <v>may18 abr19</v>
      </c>
      <c r="GB49" s="1">
        <v>25198862</v>
      </c>
      <c r="GC49" s="6">
        <v>2019</v>
      </c>
      <c r="GD49" s="83">
        <f t="shared" si="238"/>
        <v>2061660</v>
      </c>
      <c r="GE49" s="83">
        <f t="shared" si="238"/>
        <v>421371</v>
      </c>
      <c r="GF49" s="83">
        <f t="shared" si="239"/>
        <v>1038352</v>
      </c>
      <c r="GG49" s="83">
        <f>+GG48</f>
        <v>114695</v>
      </c>
      <c r="GH49" s="79">
        <f t="shared" si="240"/>
        <v>1574418</v>
      </c>
      <c r="GI49" s="82">
        <f t="shared" si="232"/>
        <v>1302556</v>
      </c>
      <c r="GJ49" s="83">
        <f t="shared" si="215"/>
        <v>673662.3</v>
      </c>
      <c r="GK49" s="83">
        <f t="shared" si="216"/>
        <v>1162000</v>
      </c>
      <c r="GL49" s="83">
        <f t="shared" si="217"/>
        <v>290589.5</v>
      </c>
      <c r="GM49" s="83">
        <f t="shared" si="218"/>
        <v>258882.47</v>
      </c>
      <c r="GN49" s="79">
        <f t="shared" si="81"/>
        <v>2385134.27</v>
      </c>
      <c r="GO49" s="83">
        <f t="shared" si="107"/>
        <v>196709</v>
      </c>
      <c r="GP49" s="83">
        <f t="shared" si="107"/>
        <v>71194.64</v>
      </c>
      <c r="GQ49" s="83">
        <v>57494</v>
      </c>
      <c r="GR49" s="82">
        <f>+GR48</f>
        <v>43750</v>
      </c>
      <c r="GS49" s="79">
        <f t="shared" si="192"/>
        <v>45474.82</v>
      </c>
      <c r="GT49" s="83">
        <f t="shared" si="108"/>
        <v>2600000</v>
      </c>
      <c r="GU49" s="1">
        <v>85601</v>
      </c>
      <c r="GV49" s="1">
        <v>77254</v>
      </c>
      <c r="GW49" s="79">
        <f>SUM(GU38:GV49)</f>
        <v>1044259</v>
      </c>
      <c r="GX49" s="1">
        <v>32193.503000000001</v>
      </c>
      <c r="GY49" s="1" t="s">
        <v>314</v>
      </c>
      <c r="GZ49" s="1">
        <v>107349</v>
      </c>
      <c r="HA49" s="1">
        <v>245038</v>
      </c>
      <c r="HB49" s="79">
        <f t="shared" si="241"/>
        <v>3014572</v>
      </c>
      <c r="HC49" s="86" t="str">
        <f t="shared" si="138"/>
        <v>may18 abr19</v>
      </c>
      <c r="HD49" s="1">
        <v>53565</v>
      </c>
      <c r="HE49" s="79">
        <f t="shared" si="139"/>
        <v>631289</v>
      </c>
      <c r="HF49" s="86" t="str">
        <f t="shared" si="140"/>
        <v>may18 abr19</v>
      </c>
      <c r="HG49" s="83">
        <v>178000</v>
      </c>
      <c r="HH49" s="79">
        <f t="shared" si="242"/>
        <v>2120083.333333333</v>
      </c>
      <c r="HI49" s="86" t="str">
        <f t="shared" si="142"/>
        <v>may18 abr19</v>
      </c>
      <c r="HJ49" s="83">
        <v>81617</v>
      </c>
      <c r="HK49" s="79">
        <f t="shared" si="143"/>
        <v>61712.239200000004</v>
      </c>
      <c r="HL49" s="86" t="str">
        <f t="shared" si="144"/>
        <v>may18 abr19</v>
      </c>
      <c r="HM49" s="79">
        <f t="shared" si="86"/>
        <v>2181795.5725333332</v>
      </c>
      <c r="HN49" s="87">
        <f t="shared" si="206"/>
        <v>-5.0023632800269002E-2</v>
      </c>
      <c r="HO49" s="1">
        <v>736900000</v>
      </c>
      <c r="HP49" s="79">
        <f t="shared" si="153"/>
        <v>10285.670922561425</v>
      </c>
      <c r="HQ49" s="86" t="str">
        <f t="shared" si="145"/>
        <v>may18 abr19</v>
      </c>
      <c r="HR49" s="1"/>
      <c r="HS49" s="1"/>
      <c r="HT49" s="1"/>
      <c r="HU49" s="1">
        <v>650000</v>
      </c>
      <c r="HV49" s="83" t="s">
        <v>223</v>
      </c>
      <c r="HW49" s="83">
        <v>1500000</v>
      </c>
      <c r="HX49" s="1" t="s">
        <v>223</v>
      </c>
      <c r="HY49" s="1">
        <v>3890000</v>
      </c>
      <c r="HZ49" s="1" t="s">
        <v>223</v>
      </c>
      <c r="IA49" s="1">
        <f>3690000+17530000</f>
        <v>21220000</v>
      </c>
      <c r="IB49" s="1" t="s">
        <v>223</v>
      </c>
      <c r="IC49" s="1">
        <v>46950000</v>
      </c>
      <c r="ID49" s="1" t="s">
        <v>223</v>
      </c>
      <c r="IE49" s="1">
        <f>150000+1200000</f>
        <v>1350000</v>
      </c>
      <c r="IF49" s="1" t="s">
        <v>223</v>
      </c>
      <c r="IG49" s="1">
        <f>5700000+900000</f>
        <v>6600000</v>
      </c>
      <c r="IH49" s="1" t="s">
        <v>223</v>
      </c>
      <c r="II49" s="79">
        <f t="shared" si="87"/>
        <v>81510000</v>
      </c>
      <c r="IJ49" s="97">
        <f t="shared" ref="IJ49:IJ58" si="256">(6350000*12)/$IJ$2</f>
        <v>1.6398844694935004</v>
      </c>
      <c r="IK49" s="1" t="s">
        <v>6</v>
      </c>
      <c r="IL49" s="97">
        <v>43.2</v>
      </c>
      <c r="IM49" s="7">
        <v>49.92</v>
      </c>
      <c r="IN49" s="98">
        <v>182</v>
      </c>
      <c r="IO49" s="695">
        <v>15.24</v>
      </c>
      <c r="IP49" s="98">
        <f t="shared" si="236"/>
        <v>5.9589447821200423</v>
      </c>
      <c r="IQ49" s="98">
        <v>19.7</v>
      </c>
      <c r="IR49" s="98">
        <f t="shared" si="243"/>
        <v>5.93</v>
      </c>
      <c r="IS49" s="98">
        <f t="shared" si="244"/>
        <v>5.67</v>
      </c>
      <c r="IT49" s="98">
        <f t="shared" si="245"/>
        <v>11.35</v>
      </c>
      <c r="IU49" s="98">
        <f t="shared" si="246"/>
        <v>0.88</v>
      </c>
      <c r="IV49" s="94">
        <f t="shared" si="89"/>
        <v>17.899999999999999</v>
      </c>
      <c r="IW49" s="1"/>
      <c r="IX49" s="1"/>
      <c r="IY49" s="105">
        <v>1.84</v>
      </c>
      <c r="IZ49" s="161">
        <v>0.5</v>
      </c>
      <c r="JA49" s="83">
        <v>1500</v>
      </c>
      <c r="JB49" s="161">
        <v>40.24</v>
      </c>
      <c r="JC49" s="1"/>
      <c r="JD49" s="1"/>
      <c r="JF49" s="2">
        <v>6.8537627899999993</v>
      </c>
      <c r="JG49" s="2">
        <v>18.551747089999999</v>
      </c>
      <c r="JH49" s="2">
        <v>87.884085680000013</v>
      </c>
      <c r="JI49" s="2">
        <v>96.213164399999997</v>
      </c>
      <c r="JJ49" s="2">
        <v>661.97795745000008</v>
      </c>
      <c r="JK49" s="2">
        <v>66.455517010000008</v>
      </c>
      <c r="JL49" s="2">
        <v>1137.9377823899999</v>
      </c>
      <c r="JM49" s="2">
        <v>4.6288000000000003E-2</v>
      </c>
      <c r="JN49" s="2">
        <v>214.00442804000002</v>
      </c>
      <c r="JO49" s="2">
        <v>18.318739969999999</v>
      </c>
      <c r="JP49" s="2">
        <v>0</v>
      </c>
      <c r="JQ49" s="2">
        <v>8.9288738399999996</v>
      </c>
      <c r="JR49" s="2">
        <v>1.34343155</v>
      </c>
      <c r="JS49" s="2">
        <v>0</v>
      </c>
      <c r="JT49" s="2">
        <v>0.2661171</v>
      </c>
      <c r="JU49" s="2">
        <v>78.199116110000006</v>
      </c>
      <c r="JV49" s="2">
        <v>13.044961150000001</v>
      </c>
      <c r="JW49" s="2">
        <v>35.472040459999995</v>
      </c>
      <c r="JX49" s="2">
        <v>27.070429210000004</v>
      </c>
      <c r="JY49" s="2">
        <v>0</v>
      </c>
      <c r="JZ49" s="2">
        <v>0.90333629000000004</v>
      </c>
      <c r="KA49" s="2">
        <v>0</v>
      </c>
      <c r="KB49" s="2">
        <v>4.9532127099999999</v>
      </c>
      <c r="KC49" s="2">
        <v>10.177889080000002</v>
      </c>
      <c r="KD49" s="2">
        <v>6.6201926799999997</v>
      </c>
      <c r="KE49" s="2">
        <v>16.931014750000003</v>
      </c>
      <c r="KF49" s="2">
        <v>32.155412399999996</v>
      </c>
      <c r="KG49" s="2">
        <v>274.41583567000004</v>
      </c>
      <c r="KH49" s="2">
        <v>41.551919420000011</v>
      </c>
      <c r="KI49" s="2">
        <v>21.993442779999999</v>
      </c>
      <c r="KJ49" s="2">
        <v>1.3735509499999998</v>
      </c>
      <c r="KK49" s="2">
        <v>4.8314986499999977</v>
      </c>
      <c r="KL49" s="2">
        <v>0.18643120000000002</v>
      </c>
      <c r="KM49" s="2">
        <v>9.6199122999999993</v>
      </c>
      <c r="KN49" s="2">
        <v>0</v>
      </c>
      <c r="KO49" s="2">
        <v>1.5116678800000001</v>
      </c>
      <c r="KP49" s="2">
        <v>4.4012399999999998E-3</v>
      </c>
      <c r="KQ49" s="2">
        <v>188.16961495999996</v>
      </c>
      <c r="KR49" s="2">
        <v>5.0348499999999997E-2</v>
      </c>
      <c r="KS49" s="2">
        <v>0.62770102000000005</v>
      </c>
      <c r="KT49" s="2">
        <v>2.4499316100000001</v>
      </c>
      <c r="KU49" s="2">
        <v>0.19729958000000003</v>
      </c>
      <c r="KV49" s="2">
        <v>0</v>
      </c>
      <c r="KW49" s="2">
        <v>2.2950581400000001</v>
      </c>
      <c r="KX49" s="2">
        <v>0</v>
      </c>
      <c r="KY49" s="2">
        <v>0</v>
      </c>
      <c r="KZ49" s="2">
        <v>0.43412542000000004</v>
      </c>
      <c r="LA49" s="2">
        <v>2.8303580000000002E-2</v>
      </c>
      <c r="LB49" s="2">
        <v>9.8948580000000008E-2</v>
      </c>
      <c r="LC49" s="2">
        <v>1.392027E-2</v>
      </c>
      <c r="LD49" s="2">
        <v>0</v>
      </c>
      <c r="LE49" s="2">
        <v>0.44348016000000001</v>
      </c>
      <c r="LF49" s="2">
        <v>0</v>
      </c>
      <c r="LG49" s="2">
        <v>20.890845630000001</v>
      </c>
      <c r="LH49" s="2">
        <v>4.1064897199999999</v>
      </c>
      <c r="LI49" s="2">
        <v>0.19234952999999999</v>
      </c>
      <c r="LJ49" s="2">
        <v>0</v>
      </c>
      <c r="LK49" s="2">
        <v>2.1903792099999997</v>
      </c>
      <c r="LL49" s="2">
        <v>4.8194118899999987</v>
      </c>
      <c r="LM49" s="2">
        <v>3.2454657499999997</v>
      </c>
      <c r="LN49" s="2">
        <v>4.6442839999999999E-2</v>
      </c>
      <c r="LO49" s="2">
        <v>8.9244499500000014</v>
      </c>
      <c r="LQ49" s="85">
        <f t="shared" si="247"/>
        <v>2198.0637059600003</v>
      </c>
      <c r="LR49" s="85">
        <f t="shared" si="248"/>
        <v>10.53842249</v>
      </c>
      <c r="LS49" s="85">
        <f t="shared" si="249"/>
        <v>48.517001609999994</v>
      </c>
      <c r="LT49" s="85">
        <f t="shared" si="250"/>
        <v>0.90333629000000004</v>
      </c>
      <c r="LU49" s="85">
        <f t="shared" si="251"/>
        <v>199.97924465999995</v>
      </c>
      <c r="LV49" s="85">
        <f t="shared" si="252"/>
        <v>2.2950581400000001</v>
      </c>
      <c r="LW49" s="85">
        <f t="shared" si="253"/>
        <v>0.12725216</v>
      </c>
      <c r="LX49" s="85">
        <f t="shared" si="254"/>
        <v>0.44348016000000001</v>
      </c>
      <c r="LZ49" s="131">
        <v>49.19</v>
      </c>
      <c r="MA49" s="171">
        <v>42.2</v>
      </c>
      <c r="MB49"/>
      <c r="MC49"/>
      <c r="MD49"/>
      <c r="MF49"/>
      <c r="MG49"/>
      <c r="MH49" s="83">
        <v>81.56</v>
      </c>
      <c r="MI49" s="83">
        <v>31.69</v>
      </c>
      <c r="MJ49" s="83">
        <v>20.83</v>
      </c>
      <c r="MK49"/>
      <c r="ML49" s="83">
        <v>26.71</v>
      </c>
      <c r="MM49" s="83">
        <v>46.75</v>
      </c>
      <c r="MN49" s="83"/>
      <c r="MO49" s="83">
        <v>27.6</v>
      </c>
      <c r="MP49" s="83">
        <v>54.06</v>
      </c>
      <c r="MQ49" s="83">
        <v>56.13</v>
      </c>
      <c r="MR49"/>
      <c r="MT49" s="83"/>
      <c r="MU49" s="83">
        <v>27.28</v>
      </c>
      <c r="MV49"/>
      <c r="MW49"/>
      <c r="MX49"/>
      <c r="MY49" s="83">
        <v>70.09</v>
      </c>
      <c r="MZ49" s="83">
        <v>156</v>
      </c>
      <c r="NA49" s="83">
        <v>92.62</v>
      </c>
      <c r="NB49" s="83">
        <v>230.24</v>
      </c>
      <c r="NC49" s="83">
        <v>42.25</v>
      </c>
      <c r="ND49"/>
      <c r="NE49" s="1">
        <v>187.88</v>
      </c>
    </row>
    <row r="50" spans="1:369">
      <c r="A50" s="38">
        <f t="shared" si="219"/>
        <v>43586</v>
      </c>
      <c r="B50" s="36">
        <f t="shared" si="235"/>
        <v>5</v>
      </c>
      <c r="C50" s="36">
        <v>2019</v>
      </c>
      <c r="D50" s="36">
        <f t="shared" si="50"/>
        <v>50</v>
      </c>
      <c r="E50" s="38">
        <f t="shared" si="220"/>
        <v>43586</v>
      </c>
      <c r="F50" s="7">
        <v>45.881818181818176</v>
      </c>
      <c r="G50" s="7">
        <v>219.6</v>
      </c>
      <c r="H50" s="1">
        <f>[2]NACIONALES!$D38</f>
        <v>19098</v>
      </c>
      <c r="I50" s="7">
        <v>93</v>
      </c>
      <c r="J50" s="7">
        <v>430</v>
      </c>
      <c r="K50" s="7">
        <v>3.2</v>
      </c>
      <c r="L50" s="7">
        <v>24.7</v>
      </c>
      <c r="N50" s="5">
        <v>1.4810000000000001</v>
      </c>
      <c r="O50" s="5">
        <v>1.323</v>
      </c>
      <c r="P50" s="78">
        <f t="shared" si="221"/>
        <v>60.120309090909089</v>
      </c>
      <c r="Q50" s="6">
        <v>770</v>
      </c>
      <c r="R50" s="79">
        <f t="shared" si="222"/>
        <v>7700</v>
      </c>
      <c r="S50" s="6">
        <v>140.22</v>
      </c>
      <c r="T50" s="6">
        <v>212.5</v>
      </c>
      <c r="U50" s="143">
        <v>146.4909090909091</v>
      </c>
      <c r="V50" s="6">
        <v>219.51176470588237</v>
      </c>
      <c r="W50" s="6">
        <v>120.77</v>
      </c>
      <c r="X50" s="6">
        <v>165.20909090909092</v>
      </c>
      <c r="Y50" s="79">
        <f t="shared" si="223"/>
        <v>6433.5485454545442</v>
      </c>
      <c r="Z50" s="79">
        <f t="shared" si="224"/>
        <v>9749.8863636363621</v>
      </c>
      <c r="AA50" s="79">
        <f t="shared" si="225"/>
        <v>6721.2692561983467</v>
      </c>
      <c r="AB50" s="79">
        <f t="shared" si="226"/>
        <v>10071.598877005346</v>
      </c>
      <c r="AC50" s="79">
        <f t="shared" si="227"/>
        <v>5541.1471818181808</v>
      </c>
      <c r="AD50" s="79">
        <f t="shared" si="228"/>
        <v>7580.0934710743795</v>
      </c>
      <c r="AE50" s="79">
        <f t="shared" si="229"/>
        <v>7682.9239491978606</v>
      </c>
      <c r="AF50" s="1">
        <v>24571.190476190477</v>
      </c>
      <c r="AG50" s="1">
        <v>11550</v>
      </c>
      <c r="AH50" s="1">
        <v>43890</v>
      </c>
      <c r="AI50" s="5">
        <v>7.4040999999999997</v>
      </c>
      <c r="AJ50" s="5">
        <v>6.9398999999999997</v>
      </c>
      <c r="AK50" s="5">
        <v>6.2939999999999996</v>
      </c>
      <c r="AL50" s="5">
        <v>6.75</v>
      </c>
      <c r="AM50" s="78">
        <f t="shared" si="230"/>
        <v>6.9399220000000001</v>
      </c>
      <c r="AN50" s="7">
        <v>634.72027972027968</v>
      </c>
      <c r="AO50" s="7">
        <v>375.90454545454543</v>
      </c>
      <c r="AP50" s="78">
        <f t="shared" si="146"/>
        <v>375.90454545454543</v>
      </c>
      <c r="AQ50" s="7">
        <v>285.91818181818184</v>
      </c>
      <c r="AR50" s="7">
        <v>239.4545454545455</v>
      </c>
      <c r="AS50" s="7">
        <v>200.37209302325581</v>
      </c>
      <c r="AT50" s="7">
        <v>311.83636363636367</v>
      </c>
      <c r="AU50" s="78">
        <f t="shared" si="53"/>
        <v>250.554334038055</v>
      </c>
      <c r="AV50" s="7">
        <v>199.51095890410954</v>
      </c>
      <c r="AW50" s="7">
        <v>425.72727272727275</v>
      </c>
      <c r="AX50" s="7">
        <v>253.89545454545453</v>
      </c>
      <c r="AY50" s="7">
        <v>376.34857142857163</v>
      </c>
      <c r="AZ50" s="7">
        <v>209.4909090909091</v>
      </c>
      <c r="BA50" s="7">
        <v>116.54375</v>
      </c>
      <c r="BB50" s="94">
        <f t="shared" si="45"/>
        <v>255.34299016955273</v>
      </c>
      <c r="BC50" s="68">
        <f t="shared" si="234"/>
        <v>884</v>
      </c>
      <c r="BD50" s="68">
        <f t="shared" si="234"/>
        <v>972</v>
      </c>
      <c r="BE50" s="7">
        <f t="shared" si="234"/>
        <v>750</v>
      </c>
      <c r="BF50" s="7">
        <f t="shared" si="234"/>
        <v>430</v>
      </c>
      <c r="BG50" s="94">
        <f t="shared" si="56"/>
        <v>759</v>
      </c>
      <c r="BH50" s="7">
        <v>87.63</v>
      </c>
      <c r="BI50" s="7">
        <f>+BI49+12</f>
        <v>31.36</v>
      </c>
      <c r="BJ50" s="78">
        <f t="shared" si="57"/>
        <v>118.99</v>
      </c>
      <c r="BK50" s="7">
        <v>63.63</v>
      </c>
      <c r="BL50" s="7">
        <v>64.81</v>
      </c>
      <c r="BM50" s="94">
        <f t="shared" si="58"/>
        <v>64.22</v>
      </c>
      <c r="BN50" s="5">
        <v>14.54</v>
      </c>
      <c r="BO50" s="5">
        <v>46.990909090909092</v>
      </c>
      <c r="BP50" s="105">
        <v>40.85</v>
      </c>
      <c r="BQ50" s="94">
        <f t="shared" si="59"/>
        <v>46.376818181818187</v>
      </c>
      <c r="BR50" s="7">
        <v>41.79</v>
      </c>
      <c r="BS50" s="7">
        <v>130</v>
      </c>
      <c r="BT50" s="7">
        <v>159.52000000000001</v>
      </c>
      <c r="BU50" s="79">
        <f t="shared" si="237"/>
        <v>2038.56</v>
      </c>
      <c r="BV50" s="7">
        <v>64.5</v>
      </c>
      <c r="BW50" s="7">
        <v>135</v>
      </c>
      <c r="BY50" s="92">
        <f>BY$10*(1+((H50/H$10-1)*costos!$B$5+((I50*F50)/(I$10*F$10)-1)*costos!$E$5+((J50*F50)/((J$10*F$10)-1)*costos!$F$5/3+((K50*F50)/(K$10*F$10)-1)*costos!$F$5/3+((U50*F50)/(U$10*F$10)-1)*costos!$F$5/3+((L50*F50)/(L$10*F$10)-1)*costos!$G$5+((N50*F50)/(N$10*F$10)-1)*costos!$J$5+((V50*F50)/(V$10*F$10)-1)*costos!$K$5)))</f>
        <v>341.77589231898151</v>
      </c>
      <c r="BZ50" s="92">
        <f>$BZ$10*(1+((H50/$H$10-1)*costos!$B$6+((I50*F50)/($I$10*$F$10)-1)*costos!$E$6+((J50*F50)/(($J$10*$F$10)-1)*costos!$F$6/3+((K50*F50)/($K$10*$F$10)-1)*costos!$F$6/3+((U50*F50)/($U$10*$F$10)-1)*costos!$F$6/3+((L50*F50)/($L$10*$F$10)-1)*costos!$G$6+((Q50*F50)/($Q$10*$F$10)-1)*costos!$J$6+((V50*F50)/($V$10*$F$10)-1)*costos!$K$6)))</f>
        <v>319.79082218811749</v>
      </c>
      <c r="CA50" s="92">
        <f>CA$10*(1+((H50/H$10-1)*costos!$B$7+((I50*F50)/(I$10*F$10)-1)*costos!$E$7+((J50*F50)/((J$10*F$10)-1)*costos!$F$7/3+((K50*F50)/(K$10*F$10)-1)*costos!$F$7/3+((U50*F50)/(U$10*F$10)-1)*costos!$F$7/3+((L50*F50)/(L$10*F$10)-1)*costos!$G$7+((S50*F50)/(S$10*F$10)-1)*costos!$J$7+((V50*F50)/(V$10*F$10)-1)*costos!$K$7)))</f>
        <v>315.89158081946749</v>
      </c>
      <c r="CB50" s="92">
        <f>CB$10*(1+((H50/H$10-1)*costos!$B$8+((I50*F50)/(I$10*F$10)-1)*costos!$E$8+((J50*F50)/((J$10*F$10)-1)*costos!$F$8/3+((K50*F50)/(K$10*F$10)-1)*costos!$F$8/3+((U50*F50)/(U$10*F$10)-1)*costos!$F$8/3+((L50*F50)/(L$10*F$10)-1)*costos!$G$8+((T50*F50)/(T$10*F$10)-1)*costos!$J$8+((V50*F50)/(V$10*F$10)-1)*costos!$K$8)))</f>
        <v>296.96627005595718</v>
      </c>
      <c r="CC50" s="92">
        <f>CC$10*(1+((H50/H$10-1)*costos!$B$9+((I50*F50)/(I$10*F$10)-1)*costos!$E$9+((J50*F50)/((J$10*F$10)-1)*costos!$F$9/3+((K50*F50)/(K$10*F$10)-1)*costos!$F$9/3+((U50*F50)/(U$10*F$10)-1)*costos!$F$9/3+((L50*F50)/(L$10*F$10)-1)*costos!$G$9+((U50*F50)/(U$10*F$10)-1)*costos!$J$9+((V50*F50)/(V$10*F$10)-1)*costos!$K$9)))</f>
        <v>314.66348611718104</v>
      </c>
      <c r="CD50" s="92">
        <f>CD$10*(1+((H50/H$10-1)*costos!$B$11+((I50*F50)/(I$10*F$10)-1)*costos!$E$11+((J50*F50)/((J$10*F$10)-1)*costos!$F$11/3+((K50*F50)/(K$10*F$10)-1)*costos!$F$11/3+((U50*F50)/(U$10*F$10)-1)*costos!$F$11/3+((L50*F50)/(L$10*F$10)-1)*costos!$G$11+((V50*F50)/(V$10*F$10)-1)*costos!$J$11+((V50*F50)/(V$10*F$10)-1)*costos!$K$11)))</f>
        <v>314.11987930099048</v>
      </c>
      <c r="CE50" s="92">
        <f>CE$10*(1+((H50/H$10-1)*costos!$B$12+((I50*F50)/(I$10*F$10)-1)*costos!$E$12+((J50*F50)/((J$10*F$10)-1)*costos!$F$12/3+((K50*F50)/(K$10*F$10)-1)*costos!$F$12/3+((U50*F50)/(U$10*F$10)-1)*costos!$F$12/3+((L50*F50)/(L$10*F$10)-1)*costos!$G$12+((W50*F50)/(W$10*F$10)-1)*costos!$J$12+((V50*F50)/(V$10*F$10)-1)*costos!$K$12)))</f>
        <v>296.00066303762958</v>
      </c>
      <c r="CF50" s="92">
        <f>CF$10*(1+((H50/H$10-1)*costos!$B$13+((I50*F50)/(I$10*F$10)-1)*costos!$E$13+((J50*F50)/((J$10*F$10)-1)*costos!$F$13/3+((K50*F50)/(K$10*F$10)-1)*costos!$F$13/3+((U50*F50)/(U$10*F$10)-1)*costos!$F$13/3+((L50*F50)/(L$10*F$10)-1)*costos!$G$13+((X50*F50)/(X$10*F$10)-1)*costos!$J$13+((V50*F50)/(V$10*F$10)-1)*costos!$K$13)))</f>
        <v>329.43136179237507</v>
      </c>
      <c r="CG50" s="92">
        <f t="shared" ref="CG50:CG60" si="257">+AVERAGE(CA50:CF50)</f>
        <v>311.17887352060018</v>
      </c>
      <c r="CH50" s="92">
        <f>CH$10*(1+((H50/H$10-1)*costos!$B$10+((I50*F50)/(I$10*F$10)-1)*costos!$E$10+((J50*F50)/((J$10*F$10)-1)*costos!$F$10/3+((K50*F50)/(K$10*F$10)-1)*costos!$F$10/3+((U50*F50)/(U$10*F$10)-1)*costos!$F$10/3+((L50*F50)/(L$10*F$10)-1)*costos!$G$10+((AF50)/(AF$10)-1)*costos!$J$10+((V50*F50)/(V$10*F$10)-1)*costos!$K$10)))</f>
        <v>337.4113863015578</v>
      </c>
      <c r="CI50" s="92">
        <f>CI$10*(1+((H50/H$10-1)*costos!$B$15+((I50*F50)/(I$10*F$10)-1)*costos!$E$15+((J50*F50)/((J$10*F$10)-1)*costos!$F$15/3+((K50*F50)/(K$10*F$10)-1)*costos!$F$15/3+((U50*F50)/(U$10*F$10)-1)*costos!$F$15/3+((L50*F50)/(L$10*F$10)-1)*costos!$G$15+((AV50)/(AV$10)-1)*costos!$J$15+((V50*F50)/(V$10*F$10)-1)*costos!$K$15)))</f>
        <v>315.03171484257342</v>
      </c>
      <c r="CJ50" s="92">
        <f>CJ$10*(1+((H50/H$10-1)*costos!$B$16+((I50*F50)/(I$10*F$10)-1)*costos!$E$16+((J50*F50)/((J$10*F$10)-1)*costos!$F$16/3+((K50*F50)/(K$10*F$10)-1)*costos!$F$16/3+((U50*F50)/(U$10*F$10)-1)*costos!$F$16/3+((L50*F50)/(L$10*F$10)-1)*costos!$G$16+((AW50)/(AW$10)-1)*costos!$J$16+((V50*F50)/(V$10*F$10)-1)*costos!$K$16)))</f>
        <v>266.99828085321326</v>
      </c>
      <c r="CK50" s="92">
        <f>CK$10*(1+((H50/H$10-1)*costos!$B$17+((I50*F50)/(I$10*F$10)-1)*costos!$E$17+((J50*F50)/((J$10*F$10)-1)*costos!$F$17/3+((K50*F50)/(K$10*F$10)-1)*costos!$F$17/3+((U50*F50)/(U$10*F$10)-1)*costos!$F$17/3+((L50*F50)/(L$10*F$10)-1)*costos!$G$17+((AX50)/(AX$10)-1)*costos!$J$17+((V50*F50)/(V$10*F$10)-1)*costos!$K$17)))</f>
        <v>307.76565761945216</v>
      </c>
      <c r="CL50" s="92">
        <f>CL$10*(1+((H50/H$10-1)*costos!$B$18+((I50*F50)/(I$10*F$10)-1)*costos!$E$18+((J50*F50)/((J$10*F$10)-1)*costos!$F$18/3+((K50*F50)/(K$10*F$10)-1)*costos!$F$18/3+((U50*F50)/(U$10*F$10)-1)*costos!$F$18/3+((L50*F50)/(L$10*F$10)-1)*costos!$G$18+((AY50)/(AY$10)-1)*costos!$J$18+((V50*F50)/(V$10*F$10)-1)*costos!$K$18)))</f>
        <v>322.71835605072795</v>
      </c>
      <c r="CM50" s="92">
        <f>CM$10*(1+((H50/H$10-1)*costos!$B$19+((I50*F50)/(I$10*F$10)-1)*costos!$E$19+((J50*F50)/((J$10*F$10)-1)*costos!$F$19/3+((K50*F50)/(K$10*F$10)-1)*costos!$F$19/3+((U50*F50)/(U$10*F$10)-1)*costos!$F$19/3+((L50*F50)/(L$10*F$10)-1)*costos!$G$19+((AZ50)/(AZ$10)-1)*costos!$J$19+((V50*F50)/(V$10*F$10)-1)*costos!$K$19)))</f>
        <v>255.86658914401875</v>
      </c>
      <c r="CN50" s="92">
        <f>CN$10*(1+((H50/H$10-1)*costos!$B$20+((I50*F50)/(I$10*F$10)-1)*costos!$E$20+((J50*F50)/((J$10*F$10)-1)*costos!$F$20/3+((K50*F50)/(K$10*F$10)-1)*costos!$F$20/3+((U50*F50)/(U$10*F$10)-1)*costos!$F$20/3+((L50*F50)/(L$10*F$10)-1)*costos!$G$20+((BA50)/(BA$10)-1)*costos!$J$20+((V50*F50)/(V$10*F$10)-1)*costos!$K$20)))</f>
        <v>252.6323209399485</v>
      </c>
      <c r="CO50" s="92">
        <f t="shared" ref="CO50:CO60" si="258">+AVERAGE(CK50:CN50)</f>
        <v>284.74573093853678</v>
      </c>
      <c r="CP50" s="92">
        <f>CP$10*(1+((H50/H$10-1)*costos!$B$22+((I50*F50)/(I$10*F$10)-1)*costos!$E$22+((J50*F50)/((J$10*F$10)-1)*costos!$F$22/3+((K50*F50)/(K$10*F$10)-1)*costos!$F$22/3+((U50*F50)/(U$10*F$10)-1)*costos!$F$22/3+((L50*F50)/(L$10*F$10)-1)*costos!$G$22+(((AVERAGE(AI50:AL50))/((AVERAGE(AI$10:AL$10))-1)*costos!$J$22+((V50*F50)/(V$10*F$10)-1)*costos!$K$22)))))</f>
        <v>317.38292771548919</v>
      </c>
      <c r="CQ50" s="92">
        <f>CQ$10*(1+((H50/H$10-1)*costos!$B$23+((I50*F50)/(I$10*F$10)-1)*costos!$E$23+((J50*F50)/((J$10*F$10)-1)*costos!$F$23/3+((K50*F50)/(K$10*F$10)-1)*costos!$F$23/3+((U50*F50)/(U$10*F$10)-1)*costos!$F$23/3+((L50*F50)/(L$10*F$10)-1)*costos!$G$23+((AN50)/(AN$10)-1)*costos!$J$23+((V50*F50)/(V$10*F$10)-1)*costos!$K$23)))</f>
        <v>271.77926726128976</v>
      </c>
      <c r="CR50" s="92">
        <f>CR$10*(1+((H50/H$10-1)*costos!$B$24+((I50*F50)/(I$10*F$10)-1)*costos!$E$24+((J50*F50)/((J$10*F$10)-1)*costos!$F$24/3+((K50*F50)/(K$10*F$10)-1)*costos!$F$24/3+((U50*F50)/(U$10*F$10)-1)*costos!$F$24/3+((L50*F50)/(L$10*F$10)-1)*costos!$G$24+((AO50)/(AO$10)-1)*costos!$J$24+((V50*F50)/(V$10*F$10)-1)*costos!$K$24)))</f>
        <v>271.36490612784263</v>
      </c>
      <c r="CS50" s="92">
        <f t="shared" si="62"/>
        <v>271.57208669456622</v>
      </c>
      <c r="CT50" s="92">
        <f>CT$10*(1+((H50/H$10-1)*costos!$B$25+((I50*F50)/(I$10*F$10)-1)*costos!$E$25+((J50*F50)/((J$10*F$10)-1)*costos!$F$25/3+((K50*F50)/(K$10*F$10)-1)*costos!$F$25/3+((U50*F50)/(U$10*F$10)-1)*costos!$F$25/3+((L50*F50)/(L$10*F$10)-1)*costos!$G$25+((AQ50)/(AQ$10)-1)*costos!$J$25+((V50*F50)/(V$10*F$10)-1)*costos!$K$25)))</f>
        <v>269.63212342520524</v>
      </c>
      <c r="CU50" s="92">
        <f>CU$10*(1+((H50/H$10-1)*costos!$B$26+((I50*F50)/(I$10*F$10)-1)*costos!$E$26+((J50*F50)/((J$10*F$10)-1)*costos!$F$26/3+((K50*F50)/(K$10*F$10)-1)*costos!$F$26/3+((U50*F50)/(U$10*F$10)-1)*costos!$F$26/3+((L50*F50)/(L$10*F$10)-1)*costos!$G$26+((AR50)/(AR$10)-1)*costos!$J$26+((V50*F50)/(V$10*F$10)-1)*costos!$K$26)))</f>
        <v>277.71002485330922</v>
      </c>
      <c r="CV50" s="92">
        <f>CV$10*(1+((H50/H$10-1)*costos!$B$27+((I50*F50)/(I$10*F$10)-1)*costos!$E$27+((J50*F50)/((J$10*F$10)-1)*costos!$F$27/3+((K50*F50)/(K$10*F$10)-1)*costos!$F$27/3+((U50*F50)/(U$10*F$10)-1)*costos!$F$27/3+((L50*F50)/(L$10*F$10)-1)*costos!$G$27+((AS50)/(AS$10)-1)*costos!$J$27+((V50*F50)/(V$10*F$10)-1)*costos!$K$27)))</f>
        <v>274.81055730626929</v>
      </c>
      <c r="CW50" s="92">
        <f>CW$10*(1+((H50/H$10-1)*costos!$B$28+((I50*F50)/(I$10*F$10)-1)*costos!$E$28+((J50*F50)/((J$10*F$10)-1)*costos!$F$28/3+((K50*F50)/(K$10*F$10)-1)*costos!$F$28/3+((U50*F50)/(U$10*F$10)-1)*costos!$F$28/3+((L50*F50)/(L$10*F$10)-1)*costos!$G$28+((AS50)/(AS$10)-1)*costos!$J$28+((V50*F50)/(V$10*F$10)-1)*costos!$K$28)))</f>
        <v>274.81055730626929</v>
      </c>
      <c r="CX50" s="92">
        <f t="shared" ref="CX50:CX60" si="259">+AVERAGE(CU50:CW50)</f>
        <v>275.77704648861589</v>
      </c>
      <c r="CY50" s="92">
        <f>CY$10*(1+((H50/H$10-1)*costos!$B$32+((I50*F50)/(I$10*F$10)-1)*costos!$E$32+((J50*F50)/((J$10*F$10)-1)*costos!$F$32/3+((K50*F50)/(K$10*F$10)-1)*costos!$F$32/3+((U50*F50)/(U$10*F$10)-1)*costos!$F$32/3+((L50*F50)/(L$10*F$10)-1)*costos!$G$32+((AG50)/(AG$10)-1)*costos!$J$32+((V50*F50)/(V$10*F$10)-1)*costos!$K$32)))</f>
        <v>266.74437805151837</v>
      </c>
      <c r="CZ50" s="69">
        <f>CZ$10*(1+((H50/H$10-1)*costos!$B$31+((I50*F50)/(I$10*F$10)-1)*costos!$E$30+((J50*F50)/((J$10*F$10)-1)*costos!$F$30/3+((K50*F50)/(K$10*F$10)-1)*costos!$F$30/3+((U50*F50)/(U$10*F$10)-1)*costos!$F$30/3+((L50*F50)/(L$10*F$10)-1)*costos!$G$30+((BG50)/(BG$10)-1)*costos!$J$30+((V50*F50)/(V$10*F$10)-1)*costos!$K$30)))</f>
        <v>328.49240880700495</v>
      </c>
      <c r="DA50" s="69">
        <f>DA$10*(1+((H50/H$10-1)*costos!$B$31+((I50*F50)/(I$10*F$10)-1)*costos!$E$31+((J50*F50)/((J$10*F$10)-1)*costos!$F$31/3+((K50*F50)/(K$10*F$10)-1)*costos!$F$31/3+((U50*F50)/(U$10*F$10)-1)*costos!$F$31/3+((L50*F50)/(L$10*F$10)-1)*costos!$G$31+((BJ50)/(BJ$10)-1)*costos!$J$31+((V50*F50)/(V$10*F$10)-1)*costos!$K$31)))</f>
        <v>277.90009710698268</v>
      </c>
      <c r="DB50" s="69">
        <f>DB$10*(1+((H50/H$10-1)*costos!$B$36+((I50*F50)/(I$10*F$10)-1)*costos!$E$36+((J50*F50)/((J$10*F$10)-1)*costos!$F$36/3+((K50*F50)/(K$10*F$10)-1)*costos!$F$36/3+((U50*F50)/(U$10*F$10)-1)*costos!$F$36/3+((L50*F50)/(L$10*F$10)-1)*costos!$G$36+((BK50)/(BK$10)-1)*costos!$J$36+((V50*F50)/(V$10*F$10)-1)*costos!$K$36)))</f>
        <v>290.09752284231246</v>
      </c>
      <c r="DC50" s="69">
        <f>DC$10*(1+((H50/H$10-1)*costos!$B$37+((I50*F50)/(I$10*F$10)-1)*costos!$E$37+((U50*F50)/(U$10*F$10)-1)*costos!$F$37+((L50*F50)/(L$10*F$10)-1)*costos!$G$37+((BN50)/(BN$10)-1)*costos!$J$37+((V50*F50)/(V$10*F$10)-1)*costos!$K$37))</f>
        <v>329.64989988979147</v>
      </c>
      <c r="DD50" s="69">
        <f>DD$10*(1+((H50/H$10-1)*costos!$B$39+((I50*F50)/(I$10*F$10)-1)*costos!$E$39+((U50*F50)/(U$10*F$10)-1)*costos!$F$39+((L50*F50)/(L$10*F$10)-1)*costos!$G$39+((BR50)/(BR$10)-1)*costos!$J$39+((V50*F50)/(V$10*F$10)-1)*costos!$K$39))</f>
        <v>314.49585869092272</v>
      </c>
      <c r="DE50" s="69">
        <f>DD$10*(1+((H50/H$10-1)*costos!$B$35+((I50*F50)/(I$10*F$10)-1)*costos!$E$35+((U50*F50)/(U$10*F$10)-1)*costos!$F$35+((L50*F50)/(L$10*F$10)-1)*costos!$G$35+((BR50)/(BR$10)-1)*costos!$J$35+((V50*F50)/(V$10*F$10)-1)*costos!$K$35))</f>
        <v>286.10483852785336</v>
      </c>
      <c r="DF50" s="69">
        <f>DF$10*(1+((H50/H$10-1)*costos!$B$40+((I50*F50)/(I$10*F$10)-1)*costos!$E$40+((U50*F50)/(U$10*F$10)-1)*costos!$F$40+((L50*F50)/(L$10*F$10)-1)*costos!$G$40+((BP50)/(BP$10)-1)*costos!$J$40+((V50*F50)/(V$10*F$10)-1)*costos!$K$40))</f>
        <v>323.57852967736784</v>
      </c>
      <c r="DG50" s="92">
        <f t="shared" ref="DG50:DG60" si="260">+((DE50/$DE$10)*100+DF50)/2</f>
        <v>304.8416841026106</v>
      </c>
      <c r="DH50" s="69">
        <f>DH$10*(1+((H50/H$10-1)*costos!$B$34+((I50*F50)/(I$10*F$10)-1)*costos!$E$34+((J50*F50)/((J$10*F$10)-1)*costos!$F$34/3+((K50*F50)/(K$10*F$10)-1)*costos!$F$34/3+((U50*F50)/(U$10*F$10)-1)*costos!$F$34/3+((L50*F50)/(L$10*F$10)-1)*costos!$G$34+((BV50)/(BV$10)-1)*costos!$J$34+((V50*F50)/(V$10*F$10)-1)*costos!$K$34)))</f>
        <v>284.86036225111042</v>
      </c>
      <c r="DI50" s="69">
        <f>DI$10*(1+((H50/H$10-1)*costos!$B$38+((I50*F50)/(I$10*F$10)-1)*costos!$E$38+((J50*F50)/((J$10*F$10)-1)*costos!$F$38/3+((K50*F50)/(K$10*F$10)-1)*costos!$F$38/3+((U50*F50)/(U$10*F$10)-1)*costos!$F$38/3+((L50*F50)/(L$10*F$10)-1)*costos!$G$38+((BU50)/(BU$10)-1)*costos!$J$38+((V50*F50)/(V$10*F$10)-1)*costos!$K$38)))</f>
        <v>267.25233083324878</v>
      </c>
      <c r="DK50" s="1">
        <v>440000</v>
      </c>
      <c r="DL50" s="1" t="str">
        <f>+DL49</f>
        <v>2018-19</v>
      </c>
      <c r="DM50" s="1">
        <v>195000</v>
      </c>
      <c r="DN50" s="1" t="s">
        <v>223</v>
      </c>
      <c r="DO50" s="1">
        <v>1360000</v>
      </c>
      <c r="DP50" s="1" t="s">
        <v>323</v>
      </c>
      <c r="DQ50" s="1">
        <v>1900000</v>
      </c>
      <c r="DR50" s="1" t="s">
        <v>223</v>
      </c>
      <c r="DS50" s="1">
        <v>6000000</v>
      </c>
      <c r="DT50" s="1" t="s">
        <v>223</v>
      </c>
      <c r="DU50" s="1">
        <v>17350000</v>
      </c>
      <c r="DV50" s="1" t="s">
        <v>223</v>
      </c>
      <c r="DW50" s="1">
        <v>540000</v>
      </c>
      <c r="DX50" s="1" t="s">
        <v>223</v>
      </c>
      <c r="DY50" s="1">
        <v>6950000</v>
      </c>
      <c r="DZ50" s="1" t="s">
        <v>323</v>
      </c>
      <c r="EA50" s="79">
        <f t="shared" si="67"/>
        <v>34100000</v>
      </c>
      <c r="EB50" s="1">
        <v>385000</v>
      </c>
      <c r="EC50" s="1" t="s">
        <v>223</v>
      </c>
      <c r="ED50" s="83">
        <v>170782</v>
      </c>
      <c r="EE50" s="143">
        <v>2019</v>
      </c>
      <c r="EF50" s="1">
        <v>215169</v>
      </c>
      <c r="EG50" s="6">
        <v>2019</v>
      </c>
      <c r="EH50" s="83">
        <v>55007853</v>
      </c>
      <c r="EI50" s="6">
        <v>2019</v>
      </c>
      <c r="EJ50" s="1">
        <v>5128954</v>
      </c>
      <c r="EK50" s="6">
        <v>2019</v>
      </c>
      <c r="EL50" s="1">
        <v>14339908</v>
      </c>
      <c r="EM50" s="6">
        <v>2018</v>
      </c>
      <c r="EN50" s="1">
        <v>3400522</v>
      </c>
      <c r="EO50" s="6">
        <v>2018</v>
      </c>
      <c r="EP50" s="82">
        <f t="shared" si="118"/>
        <v>6552</v>
      </c>
      <c r="EQ50" s="83">
        <f>+EQ49</f>
        <v>3038588</v>
      </c>
      <c r="ER50" s="1">
        <f t="shared" si="189"/>
        <v>33739</v>
      </c>
      <c r="ES50" s="1"/>
      <c r="ET50" s="83">
        <f t="shared" si="101"/>
        <v>20884</v>
      </c>
      <c r="EU50" s="83">
        <f t="shared" si="101"/>
        <v>17312</v>
      </c>
      <c r="EV50" s="83">
        <f t="shared" si="101"/>
        <v>9130</v>
      </c>
      <c r="EW50" s="83">
        <f t="shared" si="101"/>
        <v>17152</v>
      </c>
      <c r="EX50" s="79">
        <f>+SUM(ET50:EW50)</f>
        <v>64478</v>
      </c>
      <c r="EY50" s="83">
        <f>+EY49</f>
        <v>19636</v>
      </c>
      <c r="EZ50" s="82">
        <f t="shared" si="255"/>
        <v>76171</v>
      </c>
      <c r="FA50" s="82">
        <f t="shared" si="103"/>
        <v>20432</v>
      </c>
      <c r="FB50" s="82">
        <f t="shared" si="103"/>
        <v>18034</v>
      </c>
      <c r="FC50" s="79">
        <f>+FB50+FA50</f>
        <v>38466</v>
      </c>
      <c r="FD50" s="83">
        <f t="shared" si="158"/>
        <v>61643.420000000013</v>
      </c>
      <c r="FE50" s="1"/>
      <c r="FF50" s="1">
        <v>870000</v>
      </c>
      <c r="FG50" s="1" t="s">
        <v>223</v>
      </c>
      <c r="FH50" s="1">
        <v>1220000</v>
      </c>
      <c r="FI50" s="1" t="s">
        <v>223</v>
      </c>
      <c r="FJ50" s="1">
        <v>5060000</v>
      </c>
      <c r="FK50" s="1" t="s">
        <v>223</v>
      </c>
      <c r="FL50" s="1">
        <v>3800000</v>
      </c>
      <c r="FM50" s="1" t="s">
        <v>223</v>
      </c>
      <c r="FN50" s="1">
        <v>48000000</v>
      </c>
      <c r="FO50" s="1" t="s">
        <v>223</v>
      </c>
      <c r="FP50" s="1">
        <v>55900000</v>
      </c>
      <c r="FQ50" s="1" t="s">
        <v>223</v>
      </c>
      <c r="FR50" s="1">
        <v>1700000</v>
      </c>
      <c r="FS50" s="1" t="str">
        <f>+FS49</f>
        <v>2018-19</v>
      </c>
      <c r="FT50" s="1">
        <v>19460000</v>
      </c>
      <c r="FU50" s="1" t="s">
        <v>223</v>
      </c>
      <c r="FV50" s="79">
        <f t="shared" si="76"/>
        <v>133920000</v>
      </c>
      <c r="FW50" s="1">
        <v>1250000</v>
      </c>
      <c r="FX50" s="1" t="s">
        <v>223</v>
      </c>
      <c r="FY50" s="1">
        <v>126620</v>
      </c>
      <c r="FZ50" s="79">
        <f t="shared" si="135"/>
        <v>787715.32799999998</v>
      </c>
      <c r="GA50" s="86" t="str">
        <f t="shared" si="136"/>
        <v>jun18 may19</v>
      </c>
      <c r="GB50" s="1">
        <v>25198862</v>
      </c>
      <c r="GC50" s="6">
        <v>2019</v>
      </c>
      <c r="GD50" s="83">
        <f t="shared" si="238"/>
        <v>2061660</v>
      </c>
      <c r="GE50" s="83">
        <f t="shared" si="238"/>
        <v>421371</v>
      </c>
      <c r="GF50" s="83">
        <f t="shared" si="239"/>
        <v>1038352</v>
      </c>
      <c r="GG50" s="83">
        <f>+GG49</f>
        <v>114695</v>
      </c>
      <c r="GH50" s="79">
        <f>GE50+GF50+GG50</f>
        <v>1574418</v>
      </c>
      <c r="GI50" s="82">
        <f t="shared" si="232"/>
        <v>1302556</v>
      </c>
      <c r="GJ50" s="83">
        <f t="shared" si="215"/>
        <v>673662.3</v>
      </c>
      <c r="GK50" s="83">
        <f t="shared" si="216"/>
        <v>1162000</v>
      </c>
      <c r="GL50" s="83">
        <f t="shared" si="217"/>
        <v>290589.5</v>
      </c>
      <c r="GM50" s="83">
        <f t="shared" si="218"/>
        <v>258882.47</v>
      </c>
      <c r="GN50" s="79">
        <f t="shared" si="81"/>
        <v>2385134.27</v>
      </c>
      <c r="GO50" s="83">
        <f t="shared" si="107"/>
        <v>196709</v>
      </c>
      <c r="GP50" s="83">
        <f t="shared" si="107"/>
        <v>71194.64</v>
      </c>
      <c r="GQ50" s="83">
        <v>37434</v>
      </c>
      <c r="GR50" s="82">
        <f>+GR49</f>
        <v>43750</v>
      </c>
      <c r="GS50" s="79">
        <f t="shared" si="192"/>
        <v>44873.02</v>
      </c>
      <c r="GT50" s="83">
        <f t="shared" si="108"/>
        <v>2600000</v>
      </c>
      <c r="GU50" s="1">
        <v>65904</v>
      </c>
      <c r="GV50" s="1">
        <v>73254</v>
      </c>
      <c r="GW50" s="79">
        <f t="shared" ref="GW50:GW113" si="261">SUM(GU39:GV50)</f>
        <v>1053845</v>
      </c>
      <c r="GX50" s="1">
        <v>32193.503000000001</v>
      </c>
      <c r="GY50" s="1" t="s">
        <v>314</v>
      </c>
      <c r="GZ50" s="1">
        <v>107349</v>
      </c>
      <c r="HA50" s="1">
        <v>260089</v>
      </c>
      <c r="HB50" s="79">
        <f t="shared" si="241"/>
        <v>3014173</v>
      </c>
      <c r="HC50" s="86" t="str">
        <f t="shared" si="138"/>
        <v>jun18 may19</v>
      </c>
      <c r="HD50" s="1">
        <v>57738</v>
      </c>
      <c r="HE50" s="79">
        <f t="shared" si="139"/>
        <v>634706</v>
      </c>
      <c r="HF50" s="86" t="str">
        <f t="shared" si="140"/>
        <v>jun18 may19</v>
      </c>
      <c r="HG50" s="83">
        <v>194000</v>
      </c>
      <c r="HH50" s="79">
        <f t="shared" si="242"/>
        <v>2132083.333333333</v>
      </c>
      <c r="HI50" s="86" t="str">
        <f t="shared" si="142"/>
        <v>jun18 may19</v>
      </c>
      <c r="HJ50" s="83">
        <v>88014</v>
      </c>
      <c r="HK50" s="79">
        <f t="shared" si="143"/>
        <v>61782.619200000001</v>
      </c>
      <c r="HL50" s="86" t="str">
        <f t="shared" si="144"/>
        <v>jun18 may19</v>
      </c>
      <c r="HM50" s="79">
        <f t="shared" si="86"/>
        <v>2193865.9525333331</v>
      </c>
      <c r="HN50" s="87">
        <f t="shared" si="206"/>
        <v>-1.6661975674824414E-2</v>
      </c>
      <c r="HO50" s="1">
        <v>784900000</v>
      </c>
      <c r="HP50" s="79">
        <f t="shared" si="153"/>
        <v>10272.371340542164</v>
      </c>
      <c r="HQ50" s="86" t="str">
        <f t="shared" si="145"/>
        <v>jun18 may19</v>
      </c>
      <c r="HR50" s="1"/>
      <c r="HS50" s="1"/>
      <c r="HT50" s="1"/>
      <c r="HU50" s="1">
        <v>650000</v>
      </c>
      <c r="HV50" s="83" t="s">
        <v>223</v>
      </c>
      <c r="HW50" s="83">
        <v>1500000</v>
      </c>
      <c r="HX50" s="1" t="s">
        <v>223</v>
      </c>
      <c r="HY50" s="1">
        <v>3890000</v>
      </c>
      <c r="HZ50" s="1" t="s">
        <v>223</v>
      </c>
      <c r="IA50" s="1">
        <f>3690000+17530000</f>
        <v>21220000</v>
      </c>
      <c r="IB50" s="1" t="s">
        <v>223</v>
      </c>
      <c r="IC50" s="1">
        <v>48400000</v>
      </c>
      <c r="ID50" s="1" t="s">
        <v>223</v>
      </c>
      <c r="IE50" s="1">
        <f>150000+1200000</f>
        <v>1350000</v>
      </c>
      <c r="IF50" s="1" t="s">
        <v>223</v>
      </c>
      <c r="IG50" s="1">
        <f>5700000+900000</f>
        <v>6600000</v>
      </c>
      <c r="IH50" s="1" t="s">
        <v>223</v>
      </c>
      <c r="II50" s="79">
        <f t="shared" si="87"/>
        <v>82960000</v>
      </c>
      <c r="IJ50" s="97">
        <f t="shared" si="256"/>
        <v>1.6398844694935004</v>
      </c>
      <c r="IK50" s="1" t="s">
        <v>223</v>
      </c>
      <c r="IL50" s="97">
        <v>45.9</v>
      </c>
      <c r="IM50" s="7">
        <v>51.35</v>
      </c>
      <c r="IN50" s="98">
        <v>182</v>
      </c>
      <c r="IO50" s="695">
        <v>15.98</v>
      </c>
      <c r="IP50" s="98">
        <f t="shared" si="236"/>
        <v>5.9589447821200423</v>
      </c>
      <c r="IQ50" s="98">
        <v>19.7</v>
      </c>
      <c r="IR50" s="98">
        <f t="shared" si="243"/>
        <v>5.93</v>
      </c>
      <c r="IS50" s="98">
        <f t="shared" si="244"/>
        <v>5.67</v>
      </c>
      <c r="IT50" s="98">
        <f t="shared" si="245"/>
        <v>11.35</v>
      </c>
      <c r="IU50" s="98">
        <f t="shared" si="246"/>
        <v>0.88</v>
      </c>
      <c r="IV50" s="94">
        <f t="shared" si="89"/>
        <v>17.899999999999999</v>
      </c>
      <c r="IW50" s="1"/>
      <c r="IX50" s="1"/>
      <c r="IY50" s="105">
        <v>1.84</v>
      </c>
      <c r="IZ50" s="161">
        <v>0.5</v>
      </c>
      <c r="JA50" s="83">
        <v>1500</v>
      </c>
      <c r="JB50" s="161">
        <v>40.24</v>
      </c>
      <c r="JC50" s="1"/>
      <c r="JD50" s="1"/>
      <c r="JF50" s="2">
        <v>9.7879003600000001</v>
      </c>
      <c r="JG50" s="2">
        <v>12.899345740000001</v>
      </c>
      <c r="JH50" s="2">
        <v>83.016502209999999</v>
      </c>
      <c r="JI50" s="2">
        <v>106.22679360000001</v>
      </c>
      <c r="JJ50" s="2">
        <v>656.22835557999986</v>
      </c>
      <c r="JK50" s="2">
        <v>50.000175899999995</v>
      </c>
      <c r="JL50" s="2">
        <v>1825.37188027</v>
      </c>
      <c r="JM50" s="2">
        <v>0.34790120000000002</v>
      </c>
      <c r="JN50" s="2">
        <v>166.46772872</v>
      </c>
      <c r="JO50" s="2">
        <v>22.621133860000004</v>
      </c>
      <c r="JP50" s="2">
        <v>0</v>
      </c>
      <c r="JQ50" s="2">
        <v>7.0926570799999995</v>
      </c>
      <c r="JR50" s="2">
        <v>0.9738567199999999</v>
      </c>
      <c r="JS50" s="2">
        <v>0</v>
      </c>
      <c r="JT50" s="2">
        <v>1.4042000000000001E-2</v>
      </c>
      <c r="JU50" s="2">
        <v>89.085600470000003</v>
      </c>
      <c r="JV50" s="2">
        <v>19.959932250000001</v>
      </c>
      <c r="JW50" s="2">
        <v>27.296785830000001</v>
      </c>
      <c r="JX50" s="2">
        <v>46.547683120000002</v>
      </c>
      <c r="JY50" s="2">
        <v>0</v>
      </c>
      <c r="JZ50" s="2">
        <v>1.1029386400000001</v>
      </c>
      <c r="KA50" s="2">
        <v>0</v>
      </c>
      <c r="KB50" s="2">
        <v>3.7664204100000003</v>
      </c>
      <c r="KC50" s="2">
        <v>7.2177906200000006</v>
      </c>
      <c r="KD50" s="2">
        <v>6.7703757199999997</v>
      </c>
      <c r="KE50" s="2">
        <v>14.892305390000001</v>
      </c>
      <c r="KF50" s="2">
        <v>37.332953239999995</v>
      </c>
      <c r="KG50" s="2">
        <v>330.03264840999998</v>
      </c>
      <c r="KH50" s="2">
        <v>34.341253150000007</v>
      </c>
      <c r="KI50" s="2">
        <v>20.24156004</v>
      </c>
      <c r="KJ50" s="2">
        <v>1.4368912500000002</v>
      </c>
      <c r="KK50" s="2">
        <v>5.4047150099999994</v>
      </c>
      <c r="KL50" s="2">
        <v>0.30400720999999997</v>
      </c>
      <c r="KM50" s="2">
        <v>2.9601630100000005</v>
      </c>
      <c r="KN50" s="2">
        <v>0.10511059</v>
      </c>
      <c r="KO50" s="2">
        <v>4.9402390399999998</v>
      </c>
      <c r="KP50" s="2">
        <v>1.357241E-2</v>
      </c>
      <c r="KQ50" s="2">
        <v>158.05275245999999</v>
      </c>
      <c r="KR50" s="2">
        <v>0</v>
      </c>
      <c r="KS50" s="2">
        <v>0.44720943000000002</v>
      </c>
      <c r="KT50" s="2">
        <v>1.9605285299999999</v>
      </c>
      <c r="KU50" s="2">
        <v>0.36828004999999997</v>
      </c>
      <c r="KV50" s="2">
        <v>0</v>
      </c>
      <c r="KW50" s="2">
        <v>2.5176783600000001</v>
      </c>
      <c r="KX50" s="2">
        <v>0</v>
      </c>
      <c r="KY50" s="2">
        <v>0</v>
      </c>
      <c r="KZ50" s="2">
        <v>0.61786504999999992</v>
      </c>
      <c r="LA50" s="2">
        <v>0.54626236000000006</v>
      </c>
      <c r="LB50" s="2">
        <v>0.14416094000000002</v>
      </c>
      <c r="LC50" s="2">
        <v>4.5809559999999999E-2</v>
      </c>
      <c r="LD50" s="2">
        <v>0</v>
      </c>
      <c r="LE50" s="2">
        <v>0.57539700000000005</v>
      </c>
      <c r="LF50" s="2">
        <v>0</v>
      </c>
      <c r="LG50" s="2">
        <v>24.3427045</v>
      </c>
      <c r="LH50" s="2">
        <v>3.9715255300000005</v>
      </c>
      <c r="LI50" s="2">
        <v>8.3681329999999998E-2</v>
      </c>
      <c r="LJ50" s="2">
        <v>8.2827230000000002E-2</v>
      </c>
      <c r="LK50" s="2">
        <v>3.7934630900000004</v>
      </c>
      <c r="LL50" s="2">
        <v>9.9286993199999998</v>
      </c>
      <c r="LM50" s="2">
        <v>2.2950142099999997</v>
      </c>
      <c r="LN50" s="2">
        <v>0.13046411999999999</v>
      </c>
      <c r="LO50" s="2">
        <v>10.445806360000002</v>
      </c>
      <c r="LQ50" s="85">
        <f t="shared" si="247"/>
        <v>2837.6591615799998</v>
      </c>
      <c r="LR50" s="85">
        <f t="shared" si="248"/>
        <v>8.0805557999999991</v>
      </c>
      <c r="LS50" s="85">
        <f t="shared" si="249"/>
        <v>47.256718079999999</v>
      </c>
      <c r="LT50" s="85">
        <f t="shared" si="250"/>
        <v>1.1029386400000001</v>
      </c>
      <c r="LU50" s="85">
        <f t="shared" si="251"/>
        <v>166.50547452999999</v>
      </c>
      <c r="LV50" s="85">
        <f t="shared" si="252"/>
        <v>2.5176783600000001</v>
      </c>
      <c r="LW50" s="85">
        <f t="shared" si="253"/>
        <v>0.69042330000000007</v>
      </c>
      <c r="LX50" s="85">
        <f t="shared" si="254"/>
        <v>0.57539700000000005</v>
      </c>
      <c r="LZ50" s="131">
        <v>50.43</v>
      </c>
      <c r="MA50" s="171">
        <v>44.27</v>
      </c>
      <c r="MB50"/>
      <c r="MC50"/>
      <c r="MD50"/>
      <c r="MF50"/>
      <c r="MG50"/>
      <c r="MH50" s="83">
        <v>83.89</v>
      </c>
      <c r="MI50" s="83">
        <v>33.15</v>
      </c>
      <c r="MJ50" s="83">
        <v>21.06</v>
      </c>
      <c r="MK50"/>
      <c r="ML50" s="83">
        <v>27.07</v>
      </c>
      <c r="MM50" s="83">
        <v>45.39</v>
      </c>
      <c r="MN50" s="83"/>
      <c r="MO50" s="83">
        <v>27.34</v>
      </c>
      <c r="MP50" s="83">
        <v>54.15</v>
      </c>
      <c r="MQ50" s="83">
        <v>56.18</v>
      </c>
      <c r="MR50"/>
      <c r="MT50" s="83"/>
      <c r="MU50" s="83">
        <v>26.85</v>
      </c>
      <c r="MV50"/>
      <c r="MW50"/>
      <c r="MX50"/>
      <c r="MY50" s="83">
        <v>75.55</v>
      </c>
      <c r="MZ50" s="83">
        <v>157</v>
      </c>
      <c r="NA50" s="83">
        <v>85.24</v>
      </c>
      <c r="NB50" s="83">
        <v>230</v>
      </c>
      <c r="NC50" s="83">
        <v>44.32</v>
      </c>
      <c r="ND50"/>
      <c r="NE50" s="1">
        <v>192.24</v>
      </c>
    </row>
    <row r="51" spans="1:369">
      <c r="A51" s="38">
        <f t="shared" si="219"/>
        <v>43617</v>
      </c>
      <c r="B51" s="36">
        <f t="shared" si="235"/>
        <v>6</v>
      </c>
      <c r="C51" s="36">
        <v>2019</v>
      </c>
      <c r="D51" s="36">
        <f t="shared" si="50"/>
        <v>51</v>
      </c>
      <c r="E51" s="38">
        <f t="shared" si="220"/>
        <v>43617</v>
      </c>
      <c r="F51" s="91">
        <v>44.715789473684204</v>
      </c>
      <c r="G51" s="7">
        <v>225.5</v>
      </c>
      <c r="H51" s="1">
        <f>[2]NACIONALES!$D39</f>
        <v>19098</v>
      </c>
      <c r="I51" s="7">
        <v>93</v>
      </c>
      <c r="J51" s="7">
        <v>430</v>
      </c>
      <c r="K51" s="7">
        <v>3.2</v>
      </c>
      <c r="L51" s="7">
        <v>24.5</v>
      </c>
      <c r="N51" s="5">
        <v>1.466</v>
      </c>
      <c r="O51" s="5">
        <v>1.268</v>
      </c>
      <c r="P51" s="78">
        <f t="shared" si="221"/>
        <v>57.025484210526308</v>
      </c>
      <c r="Q51" s="6">
        <v>800</v>
      </c>
      <c r="R51" s="79">
        <f t="shared" si="222"/>
        <v>8000</v>
      </c>
      <c r="S51" s="6">
        <v>138.5</v>
      </c>
      <c r="T51" s="6">
        <v>216.16</v>
      </c>
      <c r="U51" s="143">
        <v>156.55555555555554</v>
      </c>
      <c r="V51" s="6">
        <v>230.86</v>
      </c>
      <c r="W51" s="6">
        <v>155.22</v>
      </c>
      <c r="X51" s="6">
        <v>176.32222222222219</v>
      </c>
      <c r="Y51" s="79">
        <f t="shared" si="223"/>
        <v>6193.1368421052621</v>
      </c>
      <c r="Z51" s="79">
        <f t="shared" si="224"/>
        <v>9665.7650526315774</v>
      </c>
      <c r="AA51" s="79">
        <f t="shared" si="225"/>
        <v>7000.5052631578928</v>
      </c>
      <c r="AB51" s="79">
        <f t="shared" si="226"/>
        <v>10323.087157894735</v>
      </c>
      <c r="AC51" s="79">
        <f t="shared" si="227"/>
        <v>6940.7848421052622</v>
      </c>
      <c r="AD51" s="79">
        <f t="shared" si="228"/>
        <v>7884.3873684210503</v>
      </c>
      <c r="AE51" s="79">
        <f t="shared" si="229"/>
        <v>8001.2777543859638</v>
      </c>
      <c r="AF51" s="1">
        <v>25241</v>
      </c>
      <c r="AG51" s="1">
        <v>11550</v>
      </c>
      <c r="AH51" s="1">
        <v>43890</v>
      </c>
      <c r="AI51" s="5">
        <v>9.9867000000000008</v>
      </c>
      <c r="AJ51" s="5">
        <v>7.0946999999999996</v>
      </c>
      <c r="AK51" s="5">
        <v>6.8491</v>
      </c>
      <c r="AL51" s="5">
        <v>6.8981000000000003</v>
      </c>
      <c r="AM51" s="78">
        <f t="shared" si="230"/>
        <v>8.3139800000000008</v>
      </c>
      <c r="AN51" s="97">
        <v>637.08050420168081</v>
      </c>
      <c r="AO51" s="97">
        <v>531.43411764705888</v>
      </c>
      <c r="AP51" s="78">
        <f t="shared" si="146"/>
        <v>531.43411764705888</v>
      </c>
      <c r="AQ51" s="97">
        <v>261.67764705882354</v>
      </c>
      <c r="AR51" s="97">
        <v>268.71882352941174</v>
      </c>
      <c r="AS51" s="97">
        <v>160.94999999999999</v>
      </c>
      <c r="AT51" s="97">
        <v>279.86823529411771</v>
      </c>
      <c r="AU51" s="78">
        <f t="shared" si="53"/>
        <v>236.51235294117646</v>
      </c>
      <c r="AV51" s="97">
        <v>185.24314285714289</v>
      </c>
      <c r="AW51" s="97">
        <v>422</v>
      </c>
      <c r="AX51" s="97">
        <v>241.4</v>
      </c>
      <c r="AY51" s="97">
        <v>537.48</v>
      </c>
      <c r="AZ51" s="97">
        <v>215.1</v>
      </c>
      <c r="BA51" s="97">
        <v>142.01999999999998</v>
      </c>
      <c r="BB51" s="94">
        <f t="shared" si="45"/>
        <v>304.90499999999997</v>
      </c>
      <c r="BC51" s="68">
        <v>924</v>
      </c>
      <c r="BD51" s="68">
        <v>1030</v>
      </c>
      <c r="BE51" s="7">
        <f t="shared" si="234"/>
        <v>750</v>
      </c>
      <c r="BF51" s="7">
        <f t="shared" si="234"/>
        <v>430</v>
      </c>
      <c r="BG51" s="94">
        <f t="shared" si="56"/>
        <v>783.5</v>
      </c>
      <c r="BH51" s="7">
        <v>87.63</v>
      </c>
      <c r="BI51" s="7">
        <f t="shared" ref="BI51:BI57" si="262">+BI50</f>
        <v>31.36</v>
      </c>
      <c r="BJ51" s="78">
        <f t="shared" si="57"/>
        <v>118.99</v>
      </c>
      <c r="BK51" s="7">
        <v>64.864000000000004</v>
      </c>
      <c r="BL51" s="7">
        <v>68.17</v>
      </c>
      <c r="BM51" s="94">
        <f t="shared" si="58"/>
        <v>66.516999999999996</v>
      </c>
      <c r="BN51">
        <v>15.15</v>
      </c>
      <c r="BO51" s="5">
        <v>49.176315789473684</v>
      </c>
      <c r="BP51" s="105">
        <v>39.68</v>
      </c>
      <c r="BQ51" s="94">
        <f t="shared" si="59"/>
        <v>48.226684210526315</v>
      </c>
      <c r="BR51" s="7">
        <v>42.9</v>
      </c>
      <c r="BS51" s="7">
        <v>140</v>
      </c>
      <c r="BT51" s="7">
        <v>146.63999999999999</v>
      </c>
      <c r="BU51" s="79">
        <f t="shared" si="237"/>
        <v>2119.92</v>
      </c>
      <c r="BV51" s="7">
        <v>65</v>
      </c>
      <c r="BW51" s="7">
        <v>90</v>
      </c>
      <c r="BY51" s="92">
        <f>BY$10*(1+((H51/H$10-1)*costos!$B$5+((I51*F51)/(I$10*F$10)-1)*costos!$E$5+((J51*F51)/((J$10*F$10)-1)*costos!$F$5/3+((K51*F51)/(K$10*F$10)-1)*costos!$F$5/3+((U51*F51)/(U$10*F$10)-1)*costos!$F$5/3+((L51*F51)/(L$10*F$10)-1)*costos!$G$5+((N51*F51)/(N$10*F$10)-1)*costos!$J$5+((V51*F51)/(V$10*F$10)-1)*costos!$K$5)))</f>
        <v>336.75795334915773</v>
      </c>
      <c r="BZ51" s="92">
        <f>$BZ$10*(1+((H51/$H$10-1)*costos!$B$6+((I51*F51)/($I$10*$F$10)-1)*costos!$E$6+((J51*F51)/(($J$10*$F$10)-1)*costos!$F$6/3+((K51*F51)/($K$10*$F$10)-1)*costos!$F$6/3+((U51*F51)/($U$10*$F$10)-1)*costos!$F$6/3+((L51*F51)/($L$10*$F$10)-1)*costos!$G$6+((Q51*F51)/($Q$10*$F$10)-1)*costos!$J$6+((V51*F51)/($V$10*$F$10)-1)*costos!$K$6)))</f>
        <v>316.08082821137992</v>
      </c>
      <c r="CA51" s="92">
        <f>CA$10*(1+((H51/H$10-1)*costos!$B$7+((I51*F51)/(I$10*F$10)-1)*costos!$E$7+((J51*F51)/((J$10*F$10)-1)*costos!$F$7/3+((K51*F51)/(K$10*F$10)-1)*costos!$F$7/3+((U51*F51)/(U$10*F$10)-1)*costos!$F$7/3+((L51*F51)/(L$10*F$10)-1)*costos!$G$7+((S51*F51)/(S$10*F$10)-1)*costos!$J$7+((V51*F51)/(V$10*F$10)-1)*costos!$K$7)))</f>
        <v>312.94425249662589</v>
      </c>
      <c r="CB51" s="92">
        <f>CB$10*(1+((H51/H$10-1)*costos!$B$8+((I51*F51)/(I$10*F$10)-1)*costos!$E$8+((J51*F51)/((J$10*F$10)-1)*costos!$F$8/3+((K51*F51)/(K$10*F$10)-1)*costos!$F$8/3+((U51*F51)/(U$10*F$10)-1)*costos!$F$8/3+((L51*F51)/(L$10*F$10)-1)*costos!$G$8+((T51*F51)/(T$10*F$10)-1)*costos!$J$8+((V51*F51)/(V$10*F$10)-1)*costos!$K$8)))</f>
        <v>296.10167435051807</v>
      </c>
      <c r="CC51" s="92">
        <f>CC$10*(1+((H51/H$10-1)*costos!$B$9+((I51*F51)/(I$10*F$10)-1)*costos!$E$9+((J51*F51)/((J$10*F$10)-1)*costos!$F$9/3+((K51*F51)/(K$10*F$10)-1)*costos!$F$9/3+((U51*F51)/(U$10*F$10)-1)*costos!$F$9/3+((L51*F51)/(L$10*F$10)-1)*costos!$G$9+((U51*F51)/(U$10*F$10)-1)*costos!$J$9+((V51*F51)/(V$10*F$10)-1)*costos!$K$9)))</f>
        <v>317.63903363895616</v>
      </c>
      <c r="CD51" s="92">
        <f>CD$10*(1+((H51/H$10-1)*costos!$B$11+((I51*F51)/(I$10*F$10)-1)*costos!$E$11+((J51*F51)/((J$10*F$10)-1)*costos!$F$11/3+((K51*F51)/(K$10*F$10)-1)*costos!$F$11/3+((U51*F51)/(U$10*F$10)-1)*costos!$F$11/3+((L51*F51)/(L$10*F$10)-1)*costos!$G$11+((V51*F51)/(V$10*F$10)-1)*costos!$J$11+((V51*F51)/(V$10*F$10)-1)*costos!$K$11)))</f>
        <v>316.96184099243089</v>
      </c>
      <c r="CE51" s="92">
        <f>CE$10*(1+((H51/H$10-1)*costos!$B$12+((I51*F51)/(I$10*F$10)-1)*costos!$E$12+((J51*F51)/((J$10*F$10)-1)*costos!$F$12/3+((K51*F51)/(K$10*F$10)-1)*costos!$F$12/3+((U51*F51)/(U$10*F$10)-1)*costos!$F$12/3+((L51*F51)/(L$10*F$10)-1)*costos!$G$12+((W51*F51)/(W$10*F$10)-1)*costos!$J$12+((V51*F51)/(V$10*F$10)-1)*costos!$K$12)))</f>
        <v>315.97836689838505</v>
      </c>
      <c r="CF51" s="92">
        <f>CF$10*(1+((H51/H$10-1)*costos!$B$13+((I51*F51)/(I$10*F$10)-1)*costos!$E$13+((J51*F51)/((J$10*F$10)-1)*costos!$F$13/3+((K51*F51)/(K$10*F$10)-1)*costos!$F$13/3+((U51*F51)/(U$10*F$10)-1)*costos!$F$13/3+((L51*F51)/(L$10*F$10)-1)*costos!$G$13+((X51*F51)/(X$10*F$10)-1)*costos!$J$13+((V51*F51)/(V$10*F$10)-1)*costos!$K$13)))</f>
        <v>331.91482670295545</v>
      </c>
      <c r="CG51" s="92">
        <f t="shared" si="257"/>
        <v>315.25666584664526</v>
      </c>
      <c r="CH51" s="92">
        <f>CH$10*(1+((H51/H$10-1)*costos!$B$10+((I51*F51)/(I$10*F$10)-1)*costos!$E$10+((J51*F51)/((J$10*F$10)-1)*costos!$F$10/3+((K51*F51)/(K$10*F$10)-1)*costos!$F$10/3+((U51*F51)/(U$10*F$10)-1)*costos!$F$10/3+((L51*F51)/(L$10*F$10)-1)*costos!$G$10+((AF51)/(AF$10)-1)*costos!$J$10+((V51*F51)/(V$10*F$10)-1)*costos!$K$10)))</f>
        <v>341.30167353233065</v>
      </c>
      <c r="CI51" s="92">
        <f>CI$10*(1+((H51/H$10-1)*costos!$B$15+((I51*F51)/(I$10*F$10)-1)*costos!$E$15+((J51*F51)/((J$10*F$10)-1)*costos!$F$15/3+((K51*F51)/(K$10*F$10)-1)*costos!$F$15/3+((U51*F51)/(U$10*F$10)-1)*costos!$F$15/3+((L51*F51)/(L$10*F$10)-1)*costos!$G$15+((AV51)/(AV$10)-1)*costos!$J$15+((V51*F51)/(V$10*F$10)-1)*costos!$K$15)))</f>
        <v>310.29382017758962</v>
      </c>
      <c r="CJ51" s="92">
        <f>CJ$10*(1+((H51/H$10-1)*costos!$B$16+((I51*F51)/(I$10*F$10)-1)*costos!$E$16+((J51*F51)/((J$10*F$10)-1)*costos!$F$16/3+((K51*F51)/(K$10*F$10)-1)*costos!$F$16/3+((U51*F51)/(U$10*F$10)-1)*costos!$F$16/3+((L51*F51)/(L$10*F$10)-1)*costos!$G$16+((AW51)/(AW$10)-1)*costos!$J$16+((V51*F51)/(V$10*F$10)-1)*costos!$K$16)))</f>
        <v>265.16575494354976</v>
      </c>
      <c r="CK51" s="92">
        <f>CK$10*(1+((H51/H$10-1)*costos!$B$17+((I51*F51)/(I$10*F$10)-1)*costos!$E$17+((J51*F51)/((J$10*F$10)-1)*costos!$F$17/3+((K51*F51)/(K$10*F$10)-1)*costos!$F$17/3+((U51*F51)/(U$10*F$10)-1)*costos!$F$17/3+((L51*F51)/(L$10*F$10)-1)*costos!$G$17+((AX51)/(AX$10)-1)*costos!$J$17+((V51*F51)/(V$10*F$10)-1)*costos!$K$17)))</f>
        <v>302.04098291296424</v>
      </c>
      <c r="CL51" s="92">
        <f>CL$10*(1+((H51/H$10-1)*costos!$B$18+((I51*F51)/(I$10*F$10)-1)*costos!$E$18+((J51*F51)/((J$10*F$10)-1)*costos!$F$18/3+((K51*F51)/(K$10*F$10)-1)*costos!$F$18/3+((U51*F51)/(U$10*F$10)-1)*costos!$F$18/3+((L51*F51)/(L$10*F$10)-1)*costos!$G$18+((AY51)/(AY$10)-1)*costos!$J$18+((V51*F51)/(V$10*F$10)-1)*costos!$K$18)))</f>
        <v>357.03506949909428</v>
      </c>
      <c r="CM51" s="92">
        <f>CM$10*(1+((H51/H$10-1)*costos!$B$19+((I51*F51)/(I$10*F$10)-1)*costos!$E$19+((J51*F51)/((J$10*F$10)-1)*costos!$F$19/3+((K51*F51)/(K$10*F$10)-1)*costos!$F$19/3+((U51*F51)/(U$10*F$10)-1)*costos!$F$19/3+((L51*F51)/(L$10*F$10)-1)*costos!$G$19+((AZ51)/(AZ$10)-1)*costos!$J$19+((V51*F51)/(V$10*F$10)-1)*costos!$K$19)))</f>
        <v>255.0064419096835</v>
      </c>
      <c r="CN51" s="92">
        <f>CN$10*(1+((H51/H$10-1)*costos!$B$20+((I51*F51)/(I$10*F$10)-1)*costos!$E$20+((J51*F51)/((J$10*F$10)-1)*costos!$F$20/3+((K51*F51)/(K$10*F$10)-1)*costos!$F$20/3+((U51*F51)/(U$10*F$10)-1)*costos!$F$20/3+((L51*F51)/(L$10*F$10)-1)*costos!$G$20+((BA51)/(BA$10)-1)*costos!$J$20+((V51*F51)/(V$10*F$10)-1)*costos!$K$20)))</f>
        <v>256.12516374494101</v>
      </c>
      <c r="CO51" s="92">
        <f t="shared" si="258"/>
        <v>292.55191451667076</v>
      </c>
      <c r="CP51" s="92">
        <f>CP$10*(1+((H51/H$10-1)*costos!$B$22+((I51*F51)/(I$10*F$10)-1)*costos!$E$22+((J51*F51)/((J$10*F$10)-1)*costos!$F$22/3+((K51*F51)/(K$10*F$10)-1)*costos!$F$22/3+((U51*F51)/(U$10*F$10)-1)*costos!$F$22/3+((L51*F51)/(L$10*F$10)-1)*costos!$G$22+(((AVERAGE(AI51:AL51))/((AVERAGE(AI$10:AL$10))-1)*costos!$J$22+((V51*F51)/(V$10*F$10)-1)*costos!$K$22)))))</f>
        <v>320.15513774469548</v>
      </c>
      <c r="CQ51" s="92">
        <f>CQ$10*(1+((H51/H$10-1)*costos!$B$23+((I51*F51)/(I$10*F$10)-1)*costos!$E$23+((J51*F51)/((J$10*F$10)-1)*costos!$F$23/3+((K51*F51)/(K$10*F$10)-1)*costos!$F$23/3+((U51*F51)/(U$10*F$10)-1)*costos!$F$23/3+((L51*F51)/(L$10*F$10)-1)*costos!$G$23+((AN51)/(AN$10)-1)*costos!$J$23+((V51*F51)/(V$10*F$10)-1)*costos!$K$23)))</f>
        <v>270.19625165284913</v>
      </c>
      <c r="CR51" s="92">
        <f>CR$10*(1+((H51/H$10-1)*costos!$B$24+((I51*F51)/(I$10*F$10)-1)*costos!$E$24+((J51*F51)/((J$10*F$10)-1)*costos!$F$24/3+((K51*F51)/(K$10*F$10)-1)*costos!$F$24/3+((U51*F51)/(U$10*F$10)-1)*costos!$F$24/3+((L51*F51)/(L$10*F$10)-1)*costos!$G$24+((AO51)/(AO$10)-1)*costos!$J$24+((V51*F51)/(V$10*F$10)-1)*costos!$K$24)))</f>
        <v>282.7412071532126</v>
      </c>
      <c r="CS51" s="92">
        <f t="shared" si="62"/>
        <v>276.46872940303086</v>
      </c>
      <c r="CT51" s="92">
        <f>CT$10*(1+((H51/H$10-1)*costos!$B$25+((I51*F51)/(I$10*F$10)-1)*costos!$E$25+((J51*F51)/((J$10*F$10)-1)*costos!$F$25/3+((K51*F51)/(K$10*F$10)-1)*costos!$F$25/3+((U51*F51)/(U$10*F$10)-1)*costos!$F$25/3+((L51*F51)/(L$10*F$10)-1)*costos!$G$25+((AQ51)/(AQ$10)-1)*costos!$J$25+((V51*F51)/(V$10*F$10)-1)*costos!$K$25)))</f>
        <v>265.57807549410944</v>
      </c>
      <c r="CU51" s="92">
        <f>CU$10*(1+((H51/H$10-1)*costos!$B$26+((I51*F51)/(I$10*F$10)-1)*costos!$E$26+((J51*F51)/((J$10*F$10)-1)*costos!$F$26/3+((K51*F51)/(K$10*F$10)-1)*costos!$F$26/3+((U51*F51)/(U$10*F$10)-1)*costos!$F$26/3+((L51*F51)/(L$10*F$10)-1)*costos!$G$26+((AR51)/(AR$10)-1)*costos!$J$26+((V51*F51)/(V$10*F$10)-1)*costos!$K$26)))</f>
        <v>277.31396542614345</v>
      </c>
      <c r="CV51" s="92">
        <f>CV$10*(1+((H51/H$10-1)*costos!$B$27+((I51*F51)/(I$10*F$10)-1)*costos!$E$27+((J51*F51)/((J$10*F$10)-1)*costos!$F$27/3+((K51*F51)/(K$10*F$10)-1)*costos!$F$27/3+((U51*F51)/(U$10*F$10)-1)*costos!$F$27/3+((L51*F51)/(L$10*F$10)-1)*costos!$G$27+((AS51)/(AS$10)-1)*costos!$J$27+((V51*F51)/(V$10*F$10)-1)*costos!$K$27)))</f>
        <v>269.78154374383007</v>
      </c>
      <c r="CW51" s="92">
        <f>CW$10*(1+((H51/H$10-1)*costos!$B$28+((I51*F51)/(I$10*F$10)-1)*costos!$E$28+((J51*F51)/((J$10*F$10)-1)*costos!$F$28/3+((K51*F51)/(K$10*F$10)-1)*costos!$F$28/3+((U51*F51)/(U$10*F$10)-1)*costos!$F$28/3+((L51*F51)/(L$10*F$10)-1)*costos!$G$28+((AS51)/(AS$10)-1)*costos!$J$28+((V51*F51)/(V$10*F$10)-1)*costos!$K$28)))</f>
        <v>269.78154374383007</v>
      </c>
      <c r="CX51" s="92">
        <f t="shared" si="259"/>
        <v>272.29235097126787</v>
      </c>
      <c r="CY51" s="92">
        <f>CY$10*(1+((H51/H$10-1)*costos!$B$32+((I51*F51)/(I$10*F$10)-1)*costos!$E$32+((J51*F51)/((J$10*F$10)-1)*costos!$F$32/3+((K51*F51)/(K$10*F$10)-1)*costos!$F$32/3+((U51*F51)/(U$10*F$10)-1)*costos!$F$32/3+((L51*F51)/(L$10*F$10)-1)*costos!$G$32+((AG51)/(AG$10)-1)*costos!$J$32+((V51*F51)/(V$10*F$10)-1)*costos!$K$32)))</f>
        <v>265.4087223708575</v>
      </c>
      <c r="CZ51" s="69">
        <f>CZ$10*(1+((H51/H$10-1)*costos!$B$31+((I51*F51)/(I$10*F$10)-1)*costos!$E$30+((J51*F51)/((J$10*F$10)-1)*costos!$F$30/3+((K51*F51)/(K$10*F$10)-1)*costos!$F$30/3+((U51*F51)/(U$10*F$10)-1)*costos!$F$30/3+((L51*F51)/(L$10*F$10)-1)*costos!$G$30+((BG51)/(BG$10)-1)*costos!$J$30+((V51*F51)/(V$10*F$10)-1)*costos!$K$30)))</f>
        <v>325.27553107021373</v>
      </c>
      <c r="DA51" s="69">
        <f>DA$10*(1+((H51/H$10-1)*costos!$B$31+((I51*F51)/(I$10*F$10)-1)*costos!$E$31+((J51*F51)/((J$10*F$10)-1)*costos!$F$31/3+((K51*F51)/(K$10*F$10)-1)*costos!$F$31/3+((U51*F51)/(U$10*F$10)-1)*costos!$F$31/3+((L51*F51)/(L$10*F$10)-1)*costos!$G$31+((BJ51)/(BJ$10)-1)*costos!$J$31+((V51*F51)/(V$10*F$10)-1)*costos!$K$31)))</f>
        <v>276.54424718975611</v>
      </c>
      <c r="DB51" s="69">
        <f>DB$10*(1+((H51/H$10-1)*costos!$B$36+((I51*F51)/(I$10*F$10)-1)*costos!$E$36+((J51*F51)/((J$10*F$10)-1)*costos!$F$36/3+((K51*F51)/(K$10*F$10)-1)*costos!$F$36/3+((U51*F51)/(U$10*F$10)-1)*costos!$F$36/3+((L51*F51)/(L$10*F$10)-1)*costos!$G$36+((BK51)/(BK$10)-1)*costos!$J$36+((V51*F51)/(V$10*F$10)-1)*costos!$K$36)))</f>
        <v>289.27072103617769</v>
      </c>
      <c r="DC51" s="69">
        <f>DC$10*(1+((H51/H$10-1)*costos!$B$37+((I51*F51)/(I$10*F$10)-1)*costos!$E$37+((U51*F51)/(U$10*F$10)-1)*costos!$F$37+((L51*F51)/(L$10*F$10)-1)*costos!$G$37+((BN51)/(BN$10)-1)*costos!$J$37+((V51*F51)/(V$10*F$10)-1)*costos!$K$37))</f>
        <v>338.28472012762336</v>
      </c>
      <c r="DD51" s="69">
        <f>DD$10*(1+((H51/H$10-1)*costos!$B$39+((I51*F51)/(I$10*F$10)-1)*costos!$E$39+((U51*F51)/(U$10*F$10)-1)*costos!$F$39+((L51*F51)/(L$10*F$10)-1)*costos!$G$39+((BR51)/(BR$10)-1)*costos!$J$39+((V51*F51)/(V$10*F$10)-1)*costos!$K$39))</f>
        <v>322.79944956365381</v>
      </c>
      <c r="DE51" s="69">
        <f>DD$10*(1+((H51/H$10-1)*costos!$B$35+((I51*F51)/(I$10*F$10)-1)*costos!$E$35+((U51*F51)/(U$10*F$10)-1)*costos!$F$35+((L51*F51)/(L$10*F$10)-1)*costos!$G$35+((BR51)/(BR$10)-1)*costos!$J$35+((V51*F51)/(V$10*F$10)-1)*costos!$K$35))</f>
        <v>295.38479353794321</v>
      </c>
      <c r="DF51" s="69">
        <f>DF$10*(1+((H51/H$10-1)*costos!$B$40+((I51*F51)/(I$10*F$10)-1)*costos!$E$40+((U51*F51)/(U$10*F$10)-1)*costos!$F$40+((L51*F51)/(L$10*F$10)-1)*costos!$G$40+((BP51)/(BP$10)-1)*costos!$J$40+((V51*F51)/(V$10*F$10)-1)*costos!$K$40))</f>
        <v>333.05594342511324</v>
      </c>
      <c r="DG51" s="92">
        <f t="shared" si="260"/>
        <v>314.22036848152823</v>
      </c>
      <c r="DH51" s="69">
        <f>DH$10*(1+((H51/H$10-1)*costos!$B$34+((I51*F51)/(I$10*F$10)-1)*costos!$E$34+((J51*F51)/((J$10*F$10)-1)*costos!$F$34/3+((K51*F51)/(K$10*F$10)-1)*costos!$F$34/3+((U51*F51)/(U$10*F$10)-1)*costos!$F$34/3+((L51*F51)/(L$10*F$10)-1)*costos!$G$34+((BV51)/(BV$10)-1)*costos!$J$34+((V51*F51)/(V$10*F$10)-1)*costos!$K$34)))</f>
        <v>283.25418691600419</v>
      </c>
      <c r="DI51" s="69">
        <f>DI$10*(1+((H51/H$10-1)*costos!$B$38+((I51*F51)/(I$10*F$10)-1)*costos!$E$38+((J51*F51)/((J$10*F$10)-1)*costos!$F$38/3+((K51*F51)/(K$10*F$10)-1)*costos!$F$38/3+((U51*F51)/(U$10*F$10)-1)*costos!$F$38/3+((L51*F51)/(L$10*F$10)-1)*costos!$G$38+((BU51)/(BU$10)-1)*costos!$J$38+((V51*F51)/(V$10*F$10)-1)*costos!$K$38)))</f>
        <v>267.93302049373813</v>
      </c>
      <c r="DK51" s="1">
        <v>440000</v>
      </c>
      <c r="DL51" s="1" t="str">
        <f>+DL50</f>
        <v>2018-19</v>
      </c>
      <c r="DM51" s="1">
        <v>195000</v>
      </c>
      <c r="DN51" s="1" t="s">
        <v>223</v>
      </c>
      <c r="DO51" s="1">
        <v>1330000</v>
      </c>
      <c r="DP51" s="1" t="s">
        <v>323</v>
      </c>
      <c r="DQ51" s="1">
        <v>1900000</v>
      </c>
      <c r="DR51" s="1" t="s">
        <v>223</v>
      </c>
      <c r="DS51" s="1">
        <v>6000000</v>
      </c>
      <c r="DT51" s="1" t="s">
        <v>223</v>
      </c>
      <c r="DU51" s="1">
        <v>17100000</v>
      </c>
      <c r="DV51" s="1" t="s">
        <v>223</v>
      </c>
      <c r="DW51" s="1">
        <v>530000</v>
      </c>
      <c r="DX51" s="1" t="s">
        <v>223</v>
      </c>
      <c r="DY51" s="1">
        <v>6950000</v>
      </c>
      <c r="DZ51" s="1" t="s">
        <v>323</v>
      </c>
      <c r="EA51" s="79">
        <f t="shared" si="67"/>
        <v>33810000</v>
      </c>
      <c r="EB51" s="1">
        <v>390000</v>
      </c>
      <c r="EC51" s="1" t="s">
        <v>223</v>
      </c>
      <c r="ED51" s="83">
        <v>170782</v>
      </c>
      <c r="EE51" s="143">
        <v>2019</v>
      </c>
      <c r="EF51" s="1">
        <v>215169</v>
      </c>
      <c r="EG51" s="6">
        <v>2019</v>
      </c>
      <c r="EH51" s="83">
        <v>55007853</v>
      </c>
      <c r="EI51" s="6">
        <v>2019</v>
      </c>
      <c r="EJ51" s="1">
        <v>5128954</v>
      </c>
      <c r="EK51" s="6">
        <v>2019</v>
      </c>
      <c r="EL51" s="1">
        <v>14339908</v>
      </c>
      <c r="EM51" s="6">
        <v>2018</v>
      </c>
      <c r="EN51" s="1">
        <v>3400522</v>
      </c>
      <c r="EO51" s="6">
        <v>2018</v>
      </c>
      <c r="EP51" s="82">
        <f t="shared" si="118"/>
        <v>6552</v>
      </c>
      <c r="EQ51" s="83">
        <f t="shared" si="118"/>
        <v>3038588</v>
      </c>
      <c r="ER51" s="1">
        <f t="shared" si="189"/>
        <v>33739</v>
      </c>
      <c r="ES51" s="1"/>
      <c r="ET51" s="83">
        <f t="shared" ref="ET51:EW52" si="263">+ET50</f>
        <v>20884</v>
      </c>
      <c r="EU51" s="83">
        <f t="shared" si="263"/>
        <v>17312</v>
      </c>
      <c r="EV51" s="83">
        <f t="shared" si="263"/>
        <v>9130</v>
      </c>
      <c r="EW51" s="83">
        <f t="shared" si="263"/>
        <v>17152</v>
      </c>
      <c r="EX51" s="79">
        <f t="shared" si="72"/>
        <v>64478</v>
      </c>
      <c r="EY51" s="83">
        <f t="shared" ref="EY51:FB57" si="264">+EY50</f>
        <v>19636</v>
      </c>
      <c r="EZ51" s="82">
        <f t="shared" si="255"/>
        <v>76171</v>
      </c>
      <c r="FA51" s="82">
        <f>+FA50</f>
        <v>20432</v>
      </c>
      <c r="FB51" s="82">
        <f>+FB50</f>
        <v>18034</v>
      </c>
      <c r="FC51" s="79">
        <f t="shared" si="73"/>
        <v>38466</v>
      </c>
      <c r="FD51" s="83">
        <f t="shared" si="158"/>
        <v>61643.420000000013</v>
      </c>
      <c r="FE51" s="1"/>
      <c r="FF51" s="1">
        <v>870000</v>
      </c>
      <c r="FG51" s="1" t="s">
        <v>223</v>
      </c>
      <c r="FH51" s="1">
        <v>1200000</v>
      </c>
      <c r="FI51" s="1" t="s">
        <v>223</v>
      </c>
      <c r="FJ51" s="1">
        <v>5060000</v>
      </c>
      <c r="FK51" s="1" t="s">
        <v>223</v>
      </c>
      <c r="FL51" s="1">
        <v>3800000</v>
      </c>
      <c r="FM51" s="1" t="s">
        <v>223</v>
      </c>
      <c r="FN51" s="1">
        <v>48000000</v>
      </c>
      <c r="FO51" s="1" t="s">
        <v>223</v>
      </c>
      <c r="FP51" s="1">
        <v>55600000</v>
      </c>
      <c r="FQ51" s="1" t="s">
        <v>223</v>
      </c>
      <c r="FR51" s="1">
        <v>1600000</v>
      </c>
      <c r="FS51" s="1" t="str">
        <f>+FS50</f>
        <v>2018-19</v>
      </c>
      <c r="FT51" s="1">
        <v>19460000</v>
      </c>
      <c r="FU51" s="1" t="s">
        <v>223</v>
      </c>
      <c r="FV51" s="79">
        <f t="shared" si="76"/>
        <v>133520000</v>
      </c>
      <c r="FW51" s="1">
        <v>1300000</v>
      </c>
      <c r="FX51" s="1" t="s">
        <v>223</v>
      </c>
      <c r="FY51" s="1">
        <v>149434</v>
      </c>
      <c r="FZ51" s="79">
        <f t="shared" si="135"/>
        <v>830484.17100000009</v>
      </c>
      <c r="GA51" s="86" t="str">
        <f t="shared" si="136"/>
        <v>jul18 jun19</v>
      </c>
      <c r="GB51" s="1">
        <v>25198862</v>
      </c>
      <c r="GC51" s="6">
        <v>2019</v>
      </c>
      <c r="GD51" s="83">
        <f t="shared" ref="GD51:GE69" si="265">+GD50</f>
        <v>2061660</v>
      </c>
      <c r="GE51" s="83">
        <f t="shared" si="265"/>
        <v>421371</v>
      </c>
      <c r="GF51" s="83">
        <f t="shared" si="239"/>
        <v>1038352</v>
      </c>
      <c r="GG51" s="83">
        <f>+GG50</f>
        <v>114695</v>
      </c>
      <c r="GH51" s="79">
        <f t="shared" si="240"/>
        <v>1574418</v>
      </c>
      <c r="GI51" s="82">
        <f t="shared" si="232"/>
        <v>1302556</v>
      </c>
      <c r="GJ51" s="83">
        <f t="shared" si="215"/>
        <v>673662.3</v>
      </c>
      <c r="GK51" s="83">
        <f t="shared" si="216"/>
        <v>1162000</v>
      </c>
      <c r="GL51" s="83">
        <f t="shared" si="217"/>
        <v>290589.5</v>
      </c>
      <c r="GM51" s="83">
        <f t="shared" si="218"/>
        <v>258882.47</v>
      </c>
      <c r="GN51" s="79">
        <f t="shared" si="81"/>
        <v>2385134.27</v>
      </c>
      <c r="GO51" s="83">
        <f t="shared" ref="GO51:GR57" si="266">+GO50</f>
        <v>196709</v>
      </c>
      <c r="GP51" s="83">
        <f t="shared" si="266"/>
        <v>71194.64</v>
      </c>
      <c r="GQ51" s="83">
        <v>23698</v>
      </c>
      <c r="GR51" s="82">
        <f t="shared" si="266"/>
        <v>43750</v>
      </c>
      <c r="GS51" s="79">
        <f t="shared" si="192"/>
        <v>44460.94</v>
      </c>
      <c r="GT51" s="83">
        <f t="shared" si="108"/>
        <v>2600000</v>
      </c>
      <c r="GU51" s="1">
        <v>38726</v>
      </c>
      <c r="GV51" s="1">
        <v>39292</v>
      </c>
      <c r="GW51" s="79">
        <f>SUM(GU40:GV51)</f>
        <v>1050706</v>
      </c>
      <c r="GX51" s="1">
        <v>32193.503000000001</v>
      </c>
      <c r="GY51" s="1" t="s">
        <v>314</v>
      </c>
      <c r="GZ51" s="1">
        <v>107349</v>
      </c>
      <c r="HA51" s="1">
        <v>239899</v>
      </c>
      <c r="HB51" s="79">
        <f t="shared" si="241"/>
        <v>2995872</v>
      </c>
      <c r="HC51" s="86" t="str">
        <f t="shared" si="138"/>
        <v>jul18 jun19</v>
      </c>
      <c r="HD51" s="1">
        <v>53552</v>
      </c>
      <c r="HE51" s="79">
        <f t="shared" si="139"/>
        <v>635210</v>
      </c>
      <c r="HF51" s="86" t="str">
        <f t="shared" si="140"/>
        <v>jul18 jun19</v>
      </c>
      <c r="HG51" s="1">
        <v>167000</v>
      </c>
      <c r="HH51" s="79">
        <f t="shared" si="242"/>
        <v>2130083.333333333</v>
      </c>
      <c r="HI51" s="86" t="str">
        <f t="shared" si="142"/>
        <v>jul18 jun19</v>
      </c>
      <c r="HJ51" s="83">
        <v>79118</v>
      </c>
      <c r="HK51" s="79">
        <f t="shared" si="143"/>
        <v>62406.928800000002</v>
      </c>
      <c r="HL51" s="86" t="str">
        <f t="shared" si="144"/>
        <v>jul18 jun19</v>
      </c>
      <c r="HM51" s="79">
        <f t="shared" si="86"/>
        <v>2192490.2621333329</v>
      </c>
      <c r="HN51" s="87">
        <f t="shared" si="206"/>
        <v>-3.0793118695276234E-2</v>
      </c>
      <c r="HO51" s="1">
        <v>808000000</v>
      </c>
      <c r="HP51" s="79">
        <f t="shared" si="153"/>
        <v>10246.700000000001</v>
      </c>
      <c r="HQ51" s="86" t="str">
        <f t="shared" si="145"/>
        <v>jul18 jun19</v>
      </c>
      <c r="HR51" s="1"/>
      <c r="HS51" s="1"/>
      <c r="HT51" s="1"/>
      <c r="HU51" s="1">
        <v>650000</v>
      </c>
      <c r="HV51" s="83" t="s">
        <v>223</v>
      </c>
      <c r="HW51" s="83">
        <v>1500000</v>
      </c>
      <c r="HX51" s="1" t="s">
        <v>223</v>
      </c>
      <c r="HY51" s="1">
        <v>3890000</v>
      </c>
      <c r="HZ51" s="1" t="s">
        <v>223</v>
      </c>
      <c r="IA51" s="1">
        <f>3690000+17530000</f>
        <v>21220000</v>
      </c>
      <c r="IB51" s="1" t="s">
        <v>223</v>
      </c>
      <c r="IC51" s="1">
        <v>48400000</v>
      </c>
      <c r="ID51" s="1" t="s">
        <v>223</v>
      </c>
      <c r="IE51" s="1">
        <f>150000+1200000</f>
        <v>1350000</v>
      </c>
      <c r="IF51" s="1" t="s">
        <v>223</v>
      </c>
      <c r="IG51" s="1">
        <f>5700000+900000</f>
        <v>6600000</v>
      </c>
      <c r="IH51" s="1" t="s">
        <v>223</v>
      </c>
      <c r="II51" s="79">
        <f t="shared" si="87"/>
        <v>82960000</v>
      </c>
      <c r="IJ51" s="97">
        <f t="shared" si="256"/>
        <v>1.6398844694935004</v>
      </c>
      <c r="IK51" s="1" t="s">
        <v>223</v>
      </c>
      <c r="IL51" s="97">
        <v>39.200000000000003</v>
      </c>
      <c r="IM51" s="7">
        <v>47.71</v>
      </c>
      <c r="IN51" s="98">
        <v>182</v>
      </c>
      <c r="IO51" s="695">
        <v>15.48</v>
      </c>
      <c r="IP51" s="98">
        <f t="shared" si="236"/>
        <v>5.9589447821200423</v>
      </c>
      <c r="IQ51" s="98">
        <v>19.7</v>
      </c>
      <c r="IR51" s="98">
        <f t="shared" si="243"/>
        <v>5.93</v>
      </c>
      <c r="IS51" s="98">
        <f t="shared" si="244"/>
        <v>5.67</v>
      </c>
      <c r="IT51" s="98">
        <f t="shared" si="245"/>
        <v>11.35</v>
      </c>
      <c r="IU51" s="98">
        <f t="shared" si="246"/>
        <v>0.88</v>
      </c>
      <c r="IV51" s="94">
        <f t="shared" si="89"/>
        <v>17.899999999999999</v>
      </c>
      <c r="IW51" s="1"/>
      <c r="IX51" s="1"/>
      <c r="IY51" s="105">
        <v>1.84</v>
      </c>
      <c r="IZ51" s="161">
        <v>0.5</v>
      </c>
      <c r="JA51" s="83">
        <v>1000</v>
      </c>
      <c r="JB51" s="161">
        <v>40.24</v>
      </c>
      <c r="JC51" s="1"/>
      <c r="JD51" s="1"/>
      <c r="JF51" s="2">
        <v>15.697940010000002</v>
      </c>
      <c r="JG51" s="2">
        <v>15.36559718</v>
      </c>
      <c r="JH51" s="2">
        <v>52.267343400000001</v>
      </c>
      <c r="JI51" s="2">
        <v>95.888487229999996</v>
      </c>
      <c r="JJ51" s="2">
        <v>475.3562856499999</v>
      </c>
      <c r="JK51" s="2">
        <v>65.852384090000001</v>
      </c>
      <c r="JL51" s="2">
        <v>1366.5953938800001</v>
      </c>
      <c r="JM51" s="2">
        <v>11.111939810000001</v>
      </c>
      <c r="JN51" s="2">
        <v>127.82005218</v>
      </c>
      <c r="JO51" s="2">
        <v>19.587550910000004</v>
      </c>
      <c r="JP51" s="2">
        <v>0</v>
      </c>
      <c r="JQ51" s="2">
        <v>5.5545029599999998</v>
      </c>
      <c r="JR51" s="2">
        <v>0.53567019000000005</v>
      </c>
      <c r="JS51" s="2">
        <v>0</v>
      </c>
      <c r="JT51" s="2">
        <v>0</v>
      </c>
      <c r="JU51" s="2">
        <v>70.921498060000005</v>
      </c>
      <c r="JV51" s="2">
        <v>10.585233379999998</v>
      </c>
      <c r="JW51" s="2">
        <v>16.93543841</v>
      </c>
      <c r="JX51" s="2">
        <v>78.918050989999998</v>
      </c>
      <c r="JY51" s="2">
        <v>0</v>
      </c>
      <c r="JZ51" s="2">
        <v>2.8027452299999998</v>
      </c>
      <c r="KA51" s="2">
        <v>0.22095485999999998</v>
      </c>
      <c r="KB51" s="2">
        <v>3.1930022699999991</v>
      </c>
      <c r="KC51" s="2">
        <v>57.763878039999994</v>
      </c>
      <c r="KD51" s="2">
        <v>8.2783738400000022</v>
      </c>
      <c r="KE51" s="2">
        <v>15.136436549999999</v>
      </c>
      <c r="KF51" s="2">
        <v>40.516090630000001</v>
      </c>
      <c r="KG51" s="2">
        <v>329.72683070999994</v>
      </c>
      <c r="KH51" s="2">
        <v>38.230378070000008</v>
      </c>
      <c r="KI51" s="2">
        <v>23.4829662</v>
      </c>
      <c r="KJ51" s="2">
        <v>1.3636037400000001</v>
      </c>
      <c r="KK51" s="2">
        <v>5.7105066899999999</v>
      </c>
      <c r="KL51" s="2">
        <v>0.35349477000000001</v>
      </c>
      <c r="KM51" s="2">
        <v>1.3377058599999998</v>
      </c>
      <c r="KN51" s="2">
        <v>0.30525336000000003</v>
      </c>
      <c r="KO51" s="2">
        <v>1.92001479</v>
      </c>
      <c r="KP51" s="2">
        <v>6.8809999999999997E-4</v>
      </c>
      <c r="KQ51" s="2">
        <v>158.18866026000003</v>
      </c>
      <c r="KR51" s="2">
        <v>0</v>
      </c>
      <c r="KS51" s="2">
        <v>0.29809626</v>
      </c>
      <c r="KT51" s="2">
        <v>1.2903559900000001</v>
      </c>
      <c r="KU51" s="2">
        <v>0.17706256000000001</v>
      </c>
      <c r="KV51" s="2">
        <v>0</v>
      </c>
      <c r="KW51" s="2">
        <v>2.6537127100000002</v>
      </c>
      <c r="KX51" s="2">
        <v>0</v>
      </c>
      <c r="KY51" s="2">
        <v>0</v>
      </c>
      <c r="KZ51" s="2">
        <v>0.91926714999999992</v>
      </c>
      <c r="LA51" s="2">
        <v>0.62685207000000009</v>
      </c>
      <c r="LB51" s="2">
        <v>4.9562480000000006E-2</v>
      </c>
      <c r="LC51" s="2">
        <v>1.558613E-2</v>
      </c>
      <c r="LD51" s="2">
        <v>0</v>
      </c>
      <c r="LE51" s="2">
        <v>7.4619450000000004E-2</v>
      </c>
      <c r="LF51" s="2">
        <v>0</v>
      </c>
      <c r="LG51" s="2">
        <v>15.763695450000002</v>
      </c>
      <c r="LH51" s="2">
        <v>3.3826469900000005</v>
      </c>
      <c r="LI51" s="2">
        <v>0.10329541</v>
      </c>
      <c r="LJ51" s="2">
        <v>0</v>
      </c>
      <c r="LK51" s="2">
        <v>1.55487686</v>
      </c>
      <c r="LL51" s="2">
        <v>7.6145952200000009</v>
      </c>
      <c r="LM51" s="2">
        <v>1.3396070099999997</v>
      </c>
      <c r="LN51" s="2">
        <v>0.13702964000000001</v>
      </c>
      <c r="LO51" s="2">
        <v>8.0920425600000012</v>
      </c>
      <c r="LQ51" s="85">
        <f t="shared" si="247"/>
        <v>2129.0395021499999</v>
      </c>
      <c r="LR51" s="85">
        <f t="shared" si="248"/>
        <v>6.09017315</v>
      </c>
      <c r="LS51" s="85">
        <f t="shared" si="249"/>
        <v>27.520671789999998</v>
      </c>
      <c r="LT51" s="85">
        <f t="shared" si="250"/>
        <v>3.0237000899999997</v>
      </c>
      <c r="LU51" s="85">
        <f t="shared" si="251"/>
        <v>162.04973053000003</v>
      </c>
      <c r="LV51" s="85">
        <f t="shared" si="252"/>
        <v>2.6537127100000002</v>
      </c>
      <c r="LW51" s="85">
        <f t="shared" si="253"/>
        <v>0.67641455000000006</v>
      </c>
      <c r="LX51" s="85">
        <f t="shared" si="254"/>
        <v>7.4619450000000004E-2</v>
      </c>
      <c r="LZ51" s="131">
        <v>51.84</v>
      </c>
      <c r="MA51" s="171">
        <v>45.36</v>
      </c>
      <c r="MB51"/>
      <c r="MC51"/>
      <c r="MD51"/>
      <c r="MF51"/>
      <c r="MG51"/>
      <c r="MH51" s="83">
        <v>87.52</v>
      </c>
      <c r="MI51" s="83">
        <v>34.299999999999997</v>
      </c>
      <c r="MJ51" s="83">
        <v>22.62</v>
      </c>
      <c r="MK51"/>
      <c r="ML51" s="83">
        <v>26.42</v>
      </c>
      <c r="MM51" s="83">
        <v>53.06</v>
      </c>
      <c r="MN51" s="83"/>
      <c r="MO51" s="83">
        <v>26.98</v>
      </c>
      <c r="MP51" s="83">
        <v>54.78</v>
      </c>
      <c r="MQ51" s="83">
        <v>55.84</v>
      </c>
      <c r="MR51"/>
      <c r="MT51" s="83"/>
      <c r="MU51" s="83">
        <v>24.33</v>
      </c>
      <c r="MV51"/>
      <c r="MW51"/>
      <c r="MX51"/>
      <c r="MY51" s="83">
        <v>80.819999999999993</v>
      </c>
      <c r="MZ51" s="83">
        <v>157</v>
      </c>
      <c r="NA51" s="83">
        <v>82.75</v>
      </c>
      <c r="NB51" s="83">
        <v>229.78</v>
      </c>
      <c r="NC51" s="83">
        <v>44.77</v>
      </c>
      <c r="ND51"/>
      <c r="NE51" s="1">
        <v>191.25</v>
      </c>
    </row>
    <row r="52" spans="1:369">
      <c r="A52" s="38">
        <f t="shared" si="219"/>
        <v>43647</v>
      </c>
      <c r="B52" s="36">
        <f t="shared" si="235"/>
        <v>7</v>
      </c>
      <c r="C52" s="36">
        <v>2019</v>
      </c>
      <c r="D52" s="36">
        <f t="shared" si="50"/>
        <v>52</v>
      </c>
      <c r="E52" s="38">
        <f t="shared" si="220"/>
        <v>43647</v>
      </c>
      <c r="F52" s="7">
        <v>43.504347826086949</v>
      </c>
      <c r="G52" s="7">
        <v>230.5</v>
      </c>
      <c r="H52" s="1">
        <f>[2]NACIONALES!$D40</f>
        <v>19098</v>
      </c>
      <c r="I52" s="7">
        <v>101</v>
      </c>
      <c r="J52" s="7">
        <v>420</v>
      </c>
      <c r="K52" s="7">
        <v>3.3</v>
      </c>
      <c r="L52" s="7">
        <v>30</v>
      </c>
      <c r="N52" s="5">
        <v>1.4339999999999999</v>
      </c>
      <c r="O52" s="5">
        <v>1.2969999999999999</v>
      </c>
      <c r="P52" s="78">
        <f t="shared" si="221"/>
        <v>55.308686956521726</v>
      </c>
      <c r="Q52" s="6">
        <v>845</v>
      </c>
      <c r="R52" s="79">
        <f t="shared" si="222"/>
        <v>8450</v>
      </c>
      <c r="S52" s="6">
        <v>132.13999999999999</v>
      </c>
      <c r="T52" s="6">
        <v>230.92</v>
      </c>
      <c r="U52" s="143">
        <v>154.85238095238097</v>
      </c>
      <c r="V52" s="6">
        <v>228.4</v>
      </c>
      <c r="W52" s="6">
        <v>158.13999999999999</v>
      </c>
      <c r="X52" s="6">
        <v>171.79523809523812</v>
      </c>
      <c r="Y52" s="79">
        <f t="shared" si="223"/>
        <v>5748.6645217391288</v>
      </c>
      <c r="Z52" s="79">
        <f t="shared" si="224"/>
        <v>10046.023999999998</v>
      </c>
      <c r="AA52" s="79">
        <f t="shared" si="225"/>
        <v>6736.7518426501028</v>
      </c>
      <c r="AB52" s="79">
        <f t="shared" si="226"/>
        <v>9936.3930434782596</v>
      </c>
      <c r="AC52" s="79">
        <f t="shared" si="227"/>
        <v>6879.7775652173896</v>
      </c>
      <c r="AD52" s="79">
        <f t="shared" si="228"/>
        <v>7473.8397929606626</v>
      </c>
      <c r="AE52" s="79">
        <f t="shared" si="229"/>
        <v>7803.5751276742567</v>
      </c>
      <c r="AF52" s="1">
        <v>24714</v>
      </c>
      <c r="AG52" s="1">
        <v>11550</v>
      </c>
      <c r="AH52" s="1">
        <v>43890</v>
      </c>
      <c r="AI52" s="5">
        <v>9.64</v>
      </c>
      <c r="AJ52" s="5">
        <v>6.76</v>
      </c>
      <c r="AK52" s="5">
        <v>6.9744000000000002</v>
      </c>
      <c r="AL52" s="5">
        <v>6.7980999999999998</v>
      </c>
      <c r="AM52" s="78">
        <f t="shared" si="230"/>
        <v>8.1496880000000012</v>
      </c>
      <c r="AN52" s="97">
        <v>646.63480519480538</v>
      </c>
      <c r="AO52" s="97">
        <v>534.10909090909092</v>
      </c>
      <c r="AP52" s="78">
        <f t="shared" si="146"/>
        <v>534.10909090909092</v>
      </c>
      <c r="AQ52" s="97">
        <v>220.99090909090907</v>
      </c>
      <c r="AR52" s="97">
        <v>252.9</v>
      </c>
      <c r="AS52" s="97">
        <v>237.00666666666666</v>
      </c>
      <c r="AT52" s="97">
        <v>260.56636363636369</v>
      </c>
      <c r="AU52" s="78">
        <f t="shared" si="53"/>
        <v>250.15767676767678</v>
      </c>
      <c r="AV52" s="97">
        <v>179.24556521739129</v>
      </c>
      <c r="AW52" s="97">
        <v>435.20000000000005</v>
      </c>
      <c r="AX52" s="97">
        <v>358.40000000000003</v>
      </c>
      <c r="AY52" s="97">
        <v>479.34</v>
      </c>
      <c r="AZ52" s="97">
        <v>205.74</v>
      </c>
      <c r="BA52" s="97">
        <v>167.4</v>
      </c>
      <c r="BB52" s="94">
        <f t="shared" si="45"/>
        <v>321.75</v>
      </c>
      <c r="BC52" s="68">
        <v>924</v>
      </c>
      <c r="BD52" s="68">
        <v>1030</v>
      </c>
      <c r="BE52" s="7">
        <f t="shared" si="234"/>
        <v>750</v>
      </c>
      <c r="BF52" s="7">
        <f t="shared" si="234"/>
        <v>430</v>
      </c>
      <c r="BG52" s="94">
        <f t="shared" si="56"/>
        <v>783.5</v>
      </c>
      <c r="BH52" s="7">
        <v>87.63</v>
      </c>
      <c r="BI52" s="7">
        <f t="shared" si="262"/>
        <v>31.36</v>
      </c>
      <c r="BJ52" s="78">
        <f t="shared" si="57"/>
        <v>118.99</v>
      </c>
      <c r="BK52" s="7">
        <v>64.813000000000002</v>
      </c>
      <c r="BL52" s="7">
        <v>68.430000000000007</v>
      </c>
      <c r="BM52" s="94">
        <f t="shared" si="58"/>
        <v>66.621499999999997</v>
      </c>
      <c r="BN52">
        <v>15.31</v>
      </c>
      <c r="BO52" s="5">
        <v>43.329545454545453</v>
      </c>
      <c r="BP52" s="105">
        <v>39.68</v>
      </c>
      <c r="BQ52" s="94">
        <f t="shared" si="59"/>
        <v>42.964590909090916</v>
      </c>
      <c r="BR52" s="7">
        <v>44.3</v>
      </c>
      <c r="BS52" s="7">
        <v>170</v>
      </c>
      <c r="BT52" s="7">
        <f>+F52*3.46</f>
        <v>150.52504347826084</v>
      </c>
      <c r="BU52" s="79">
        <f t="shared" si="237"/>
        <v>2491.5751304347823</v>
      </c>
      <c r="BV52" s="7">
        <v>65.400000000000006</v>
      </c>
      <c r="BW52" s="7">
        <v>90</v>
      </c>
      <c r="BY52" s="92">
        <f>BY$10*(1+((H52/H$10-1)*costos!$B$5+((I52*F52)/(I$10*F$10)-1)*costos!$E$5+((J52*F52)/((J$10*F$10)-1)*costos!$F$5/3+((K52*F52)/(K$10*F$10)-1)*costos!$F$5/3+((U52*F52)/(U$10*F$10)-1)*costos!$F$5/3+((L52*F52)/(L$10*F$10)-1)*costos!$G$5+((N52*F52)/(N$10*F$10)-1)*costos!$J$5+((V52*F52)/(V$10*F$10)-1)*costos!$K$5)))</f>
        <v>331.43231568033099</v>
      </c>
      <c r="BZ52" s="92">
        <f>$BZ$10*(1+((H52/$H$10-1)*costos!$B$6+((I52*F52)/($I$10*$F$10)-1)*costos!$E$6+((J52*F52)/(($J$10*$F$10)-1)*costos!$F$6/3+((K52*F52)/($K$10*$F$10)-1)*costos!$F$6/3+((U52*F52)/($U$10*$F$10)-1)*costos!$F$6/3+((L52*F52)/($L$10*$F$10)-1)*costos!$G$6+((Q52*F52)/($Q$10*$F$10)-1)*costos!$J$6+((V52*F52)/($V$10*$F$10)-1)*costos!$K$6)))</f>
        <v>325.26470624797491</v>
      </c>
      <c r="CA52" s="92">
        <f>CA$10*(1+((H52/H$10-1)*costos!$B$7+((I52*F52)/(I$10*F$10)-1)*costos!$E$7+((J52*F52)/((J$10*F$10)-1)*costos!$F$7/3+((K52*F52)/(K$10*F$10)-1)*costos!$F$7/3+((U52*F52)/(U$10*F$10)-1)*costos!$F$7/3+((L52*F52)/(L$10*F$10)-1)*costos!$G$7+((S52*F52)/(S$10*F$10)-1)*costos!$J$7+((V52*F52)/(V$10*F$10)-1)*costos!$K$7)))</f>
        <v>312.84845586240982</v>
      </c>
      <c r="CB52" s="92">
        <f>CB$10*(1+((H52/H$10-1)*costos!$B$8+((I52*F52)/(I$10*F$10)-1)*costos!$E$8+((J52*F52)/((J$10*F$10)-1)*costos!$F$8/3+((K52*F52)/(K$10*F$10)-1)*costos!$F$8/3+((U52*F52)/(U$10*F$10)-1)*costos!$F$8/3+((L52*F52)/(L$10*F$10)-1)*costos!$G$8+((T52*F52)/(T$10*F$10)-1)*costos!$J$8+((V52*F52)/(V$10*F$10)-1)*costos!$K$8)))</f>
        <v>305.03125669299641</v>
      </c>
      <c r="CC52" s="92">
        <f>CC$10*(1+((H52/H$10-1)*costos!$B$9+((I52*F52)/(I$10*F$10)-1)*costos!$E$9+((J52*F52)/((J$10*F$10)-1)*costos!$F$9/3+((K52*F52)/(K$10*F$10)-1)*costos!$F$9/3+((U52*F52)/(U$10*F$10)-1)*costos!$F$9/3+((L52*F52)/(L$10*F$10)-1)*costos!$G$9+((U52*F52)/(U$10*F$10)-1)*costos!$J$9+((V52*F52)/(V$10*F$10)-1)*costos!$K$9)))</f>
        <v>323.12478917652265</v>
      </c>
      <c r="CD52" s="92">
        <f>CD$10*(1+((H52/H$10-1)*costos!$B$11+((I52*F52)/(I$10*F$10)-1)*costos!$E$11+((J52*F52)/((J$10*F$10)-1)*costos!$F$11/3+((K52*F52)/(K$10*F$10)-1)*costos!$F$11/3+((U52*F52)/(U$10*F$10)-1)*costos!$F$11/3+((L52*F52)/(L$10*F$10)-1)*costos!$G$11+((V52*F52)/(V$10*F$10)-1)*costos!$J$11+((V52*F52)/(V$10*F$10)-1)*costos!$K$11)))</f>
        <v>315.77817813786049</v>
      </c>
      <c r="CE52" s="92">
        <f>CE$10*(1+((H52/H$10-1)*costos!$B$12+((I52*F52)/(I$10*F$10)-1)*costos!$E$12+((J52*F52)/((J$10*F$10)-1)*costos!$F$12/3+((K52*F52)/(K$10*F$10)-1)*costos!$F$12/3+((U52*F52)/(U$10*F$10)-1)*costos!$F$12/3+((L52*F52)/(L$10*F$10)-1)*costos!$G$12+((W52*F52)/(W$10*F$10)-1)*costos!$J$12+((V52*F52)/(V$10*F$10)-1)*costos!$K$12)))</f>
        <v>326.68775096771276</v>
      </c>
      <c r="CF52" s="92">
        <f>CF$10*(1+((H52/H$10-1)*costos!$B$13+((I52*F52)/(I$10*F$10)-1)*costos!$E$13+((J52*F52)/((J$10*F$10)-1)*costos!$F$13/3+((K52*F52)/(K$10*F$10)-1)*costos!$F$13/3+((U52*F52)/(U$10*F$10)-1)*costos!$F$13/3+((L52*F52)/(L$10*F$10)-1)*costos!$G$13+((X52*F52)/(X$10*F$10)-1)*costos!$J$13+((V52*F52)/(V$10*F$10)-1)*costos!$K$13)))</f>
        <v>332.88631910554648</v>
      </c>
      <c r="CG52" s="92">
        <f t="shared" si="257"/>
        <v>319.39279165717477</v>
      </c>
      <c r="CH52" s="92">
        <f>CH$10*(1+((H52/H$10-1)*costos!$B$10+((I52*F52)/(I$10*F$10)-1)*costos!$E$10+((J52*F52)/((J$10*F$10)-1)*costos!$F$10/3+((K52*F52)/(K$10*F$10)-1)*costos!$F$10/3+((U52*F52)/(U$10*F$10)-1)*costos!$F$10/3+((L52*F52)/(L$10*F$10)-1)*costos!$G$10+((AF52)/(AF$10)-1)*costos!$J$10+((V52*F52)/(V$10*F$10)-1)*costos!$K$10)))</f>
        <v>340.50043117524791</v>
      </c>
      <c r="CI52" s="92">
        <f>CI$10*(1+((H52/H$10-1)*costos!$B$15+((I52*F52)/(I$10*F$10)-1)*costos!$E$15+((J52*F52)/((J$10*F$10)-1)*costos!$F$15/3+((K52*F52)/(K$10*F$10)-1)*costos!$F$15/3+((U52*F52)/(U$10*F$10)-1)*costos!$F$15/3+((L52*F52)/(L$10*F$10)-1)*costos!$G$15+((AV52)/(AV$10)-1)*costos!$J$15+((V52*F52)/(V$10*F$10)-1)*costos!$K$15)))</f>
        <v>313.15497277611092</v>
      </c>
      <c r="CJ52" s="92">
        <f>CJ$10*(1+((H52/H$10-1)*costos!$B$16+((I52*F52)/(I$10*F$10)-1)*costos!$E$16+((J52*F52)/((J$10*F$10)-1)*costos!$F$16/3+((K52*F52)/(K$10*F$10)-1)*costos!$F$16/3+((U52*F52)/(U$10*F$10)-1)*costos!$F$16/3+((L52*F52)/(L$10*F$10)-1)*costos!$G$16+((AW52)/(AW$10)-1)*costos!$J$16+((V52*F52)/(V$10*F$10)-1)*costos!$K$16)))</f>
        <v>269.37898530966106</v>
      </c>
      <c r="CK52" s="92">
        <f>CK$10*(1+((H52/H$10-1)*costos!$B$17+((I52*F52)/(I$10*F$10)-1)*costos!$E$17+((J52*F52)/((J$10*F$10)-1)*costos!$F$17/3+((K52*F52)/(K$10*F$10)-1)*costos!$F$17/3+((U52*F52)/(U$10*F$10)-1)*costos!$F$17/3+((L52*F52)/(L$10*F$10)-1)*costos!$G$17+((AX52)/(AX$10)-1)*costos!$J$17+((V52*F52)/(V$10*F$10)-1)*costos!$K$17)))</f>
        <v>337.40784226201646</v>
      </c>
      <c r="CL52" s="92">
        <f>CL$10*(1+((H52/H$10-1)*costos!$B$18+((I52*F52)/(I$10*F$10)-1)*costos!$E$18+((J52*F52)/((J$10*F$10)-1)*costos!$F$18/3+((K52*F52)/(K$10*F$10)-1)*costos!$F$18/3+((U52*F52)/(U$10*F$10)-1)*costos!$F$18/3+((L52*F52)/(L$10*F$10)-1)*costos!$G$18+((AY52)/(AY$10)-1)*costos!$J$18+((V52*F52)/(V$10*F$10)-1)*costos!$K$18)))</f>
        <v>350.21370066723722</v>
      </c>
      <c r="CM52" s="92">
        <f>CM$10*(1+((H52/H$10-1)*costos!$B$19+((I52*F52)/(I$10*F$10)-1)*costos!$E$19+((J52*F52)/((J$10*F$10)-1)*costos!$F$19/3+((K52*F52)/(K$10*F$10)-1)*costos!$F$19/3+((U52*F52)/(U$10*F$10)-1)*costos!$F$19/3+((L52*F52)/(L$10*F$10)-1)*costos!$G$19+((AZ52)/(AZ$10)-1)*costos!$J$19+((V52*F52)/(V$10*F$10)-1)*costos!$K$19)))</f>
        <v>260.41050168348295</v>
      </c>
      <c r="CN52" s="92">
        <f>CN$10*(1+((H52/H$10-1)*costos!$B$20+((I52*F52)/(I$10*F$10)-1)*costos!$E$20+((J52*F52)/((J$10*F$10)-1)*costos!$F$20/3+((K52*F52)/(K$10*F$10)-1)*costos!$F$20/3+((U52*F52)/(U$10*F$10)-1)*costos!$F$20/3+((L52*F52)/(L$10*F$10)-1)*costos!$G$20+((BA52)/(BA$10)-1)*costos!$J$20+((V52*F52)/(V$10*F$10)-1)*costos!$K$20)))</f>
        <v>268.38689762880961</v>
      </c>
      <c r="CO52" s="92">
        <f t="shared" si="258"/>
        <v>304.10473556038653</v>
      </c>
      <c r="CP52" s="92">
        <f>CP$10*(1+((H52/H$10-1)*costos!$B$22+((I52*F52)/(I$10*F$10)-1)*costos!$E$22+((J52*F52)/((J$10*F$10)-1)*costos!$F$22/3+((K52*F52)/(K$10*F$10)-1)*costos!$F$22/3+((U52*F52)/(U$10*F$10)-1)*costos!$F$22/3+((L52*F52)/(L$10*F$10)-1)*costos!$G$22+(((AVERAGE(AI52:AL52))/((AVERAGE(AI$10:AL$10))-1)*costos!$J$22+((V52*F52)/(V$10*F$10)-1)*costos!$K$22)))))</f>
        <v>323.31988461245402</v>
      </c>
      <c r="CQ52" s="92">
        <f>CQ$10*(1+((H52/H$10-1)*costos!$B$23+((I52*F52)/(I$10*F$10)-1)*costos!$E$23+((J52*F52)/((J$10*F$10)-1)*costos!$F$23/3+((K52*F52)/(K$10*F$10)-1)*costos!$F$23/3+((U52*F52)/(U$10*F$10)-1)*costos!$F$23/3+((L52*F52)/(L$10*F$10)-1)*costos!$G$23+((AN52)/(AN$10)-1)*costos!$J$23+((V52*F52)/(V$10*F$10)-1)*costos!$K$23)))</f>
        <v>274.03788956660645</v>
      </c>
      <c r="CR52" s="92">
        <f>CR$10*(1+((H52/H$10-1)*costos!$B$24+((I52*F52)/(I$10*F$10)-1)*costos!$E$24+((J52*F52)/((J$10*F$10)-1)*costos!$F$24/3+((K52*F52)/(K$10*F$10)-1)*costos!$F$24/3+((U52*F52)/(U$10*F$10)-1)*costos!$F$24/3+((L52*F52)/(L$10*F$10)-1)*costos!$G$24+((AO52)/(AO$10)-1)*costos!$J$24+((V52*F52)/(V$10*F$10)-1)*costos!$K$24)))</f>
        <v>286.32573249961069</v>
      </c>
      <c r="CS52" s="92">
        <f t="shared" si="62"/>
        <v>280.1818110331086</v>
      </c>
      <c r="CT52" s="92">
        <f>CT$10*(1+((H52/H$10-1)*costos!$B$25+((I52*F52)/(I$10*F$10)-1)*costos!$E$25+((J52*F52)/((J$10*F$10)-1)*costos!$F$25/3+((K52*F52)/(K$10*F$10)-1)*costos!$F$25/3+((U52*F52)/(U$10*F$10)-1)*costos!$F$25/3+((L52*F52)/(L$10*F$10)-1)*costos!$G$25+((AQ52)/(AQ$10)-1)*costos!$J$25+((V52*F52)/(V$10*F$10)-1)*costos!$K$25)))</f>
        <v>267.80142381202825</v>
      </c>
      <c r="CU52" s="92">
        <f>CU$10*(1+((H52/H$10-1)*costos!$B$26+((I52*F52)/(I$10*F$10)-1)*costos!$E$26+((J52*F52)/((J$10*F$10)-1)*costos!$F$26/3+((K52*F52)/(K$10*F$10)-1)*costos!$F$26/3+((U52*F52)/(U$10*F$10)-1)*costos!$F$26/3+((L52*F52)/(L$10*F$10)-1)*costos!$G$26+((AR52)/(AR$10)-1)*costos!$J$26+((V52*F52)/(V$10*F$10)-1)*costos!$K$26)))</f>
        <v>281.77669637401937</v>
      </c>
      <c r="CV52" s="92">
        <f>CV$10*(1+((H52/H$10-1)*costos!$B$27+((I52*F52)/(I$10*F$10)-1)*costos!$E$27+((J52*F52)/((J$10*F$10)-1)*costos!$F$27/3+((K52*F52)/(K$10*F$10)-1)*costos!$F$27/3+((U52*F52)/(U$10*F$10)-1)*costos!$F$27/3+((L52*F52)/(L$10*F$10)-1)*costos!$G$27+((AS52)/(AS$10)-1)*costos!$J$27+((V52*F52)/(V$10*F$10)-1)*costos!$K$27)))</f>
        <v>280.41378728007828</v>
      </c>
      <c r="CW52" s="92">
        <f>CW$10*(1+((H52/H$10-1)*costos!$B$28+((I52*F52)/(I$10*F$10)-1)*costos!$E$28+((J52*F52)/((J$10*F$10)-1)*costos!$F$28/3+((K52*F52)/(K$10*F$10)-1)*costos!$F$28/3+((U52*F52)/(U$10*F$10)-1)*costos!$F$28/3+((L52*F52)/(L$10*F$10)-1)*costos!$G$28+((AS52)/(AS$10)-1)*costos!$J$28+((V52*F52)/(V$10*F$10)-1)*costos!$K$28)))</f>
        <v>280.41378728007828</v>
      </c>
      <c r="CX52" s="92">
        <f t="shared" si="259"/>
        <v>280.868090311392</v>
      </c>
      <c r="CY52" s="92">
        <f>CY$10*(1+((H52/H$10-1)*costos!$B$32+((I52*F52)/(I$10*F$10)-1)*costos!$E$32+((J52*F52)/((J$10*F$10)-1)*costos!$F$32/3+((K52*F52)/(K$10*F$10)-1)*costos!$F$32/3+((U52*F52)/(U$10*F$10)-1)*costos!$F$32/3+((L52*F52)/(L$10*F$10)-1)*costos!$G$32+((AG52)/(AG$10)-1)*costos!$J$32+((V52*F52)/(V$10*F$10)-1)*costos!$K$32)))</f>
        <v>269.72123543135854</v>
      </c>
      <c r="CZ52" s="69">
        <f>CZ$10*(1+((H52/H$10-1)*costos!$B$31+((I52*F52)/(I$10*F$10)-1)*costos!$E$30+((J52*F52)/((J$10*F$10)-1)*costos!$F$30/3+((K52*F52)/(K$10*F$10)-1)*costos!$F$30/3+((U52*F52)/(U$10*F$10)-1)*costos!$F$30/3+((L52*F52)/(L$10*F$10)-1)*costos!$G$30+((BG52)/(BG$10)-1)*costos!$J$30+((V52*F52)/(V$10*F$10)-1)*costos!$K$30)))</f>
        <v>332.09617318997851</v>
      </c>
      <c r="DA52" s="69">
        <f>DA$10*(1+((H52/H$10-1)*costos!$B$31+((I52*F52)/(I$10*F$10)-1)*costos!$E$31+((J52*F52)/((J$10*F$10)-1)*costos!$F$31/3+((K52*F52)/(K$10*F$10)-1)*costos!$F$31/3+((U52*F52)/(U$10*F$10)-1)*costos!$F$31/3+((L52*F52)/(L$10*F$10)-1)*costos!$G$31+((BJ52)/(BJ$10)-1)*costos!$J$31+((V52*F52)/(V$10*F$10)-1)*costos!$K$31)))</f>
        <v>278.18418022800984</v>
      </c>
      <c r="DB52" s="69">
        <f>DB$10*(1+((H52/H$10-1)*costos!$B$36+((I52*F52)/(I$10*F$10)-1)*costos!$E$36+((J52*F52)/((J$10*F$10)-1)*costos!$F$36/3+((K52*F52)/(K$10*F$10)-1)*costos!$F$36/3+((U52*F52)/(U$10*F$10)-1)*costos!$F$36/3+((L52*F52)/(L$10*F$10)-1)*costos!$G$36+((BK52)/(BK$10)-1)*costos!$J$36+((V52*F52)/(V$10*F$10)-1)*costos!$K$36)))</f>
        <v>291.49916975922821</v>
      </c>
      <c r="DC52" s="69">
        <f>DC$10*(1+((H52/H$10-1)*costos!$B$37+((I52*F52)/(I$10*F$10)-1)*costos!$E$37+((U52*F52)/(U$10*F$10)-1)*costos!$F$37+((L52*F52)/(L$10*F$10)-1)*costos!$G$37+((BN52)/(BN$10)-1)*costos!$J$37+((V52*F52)/(V$10*F$10)-1)*costos!$K$37))</f>
        <v>333.50638020487077</v>
      </c>
      <c r="DD52" s="69">
        <f>DD$10*(1+((H52/H$10-1)*costos!$B$39+((I52*F52)/(I$10*F$10)-1)*costos!$E$39+((U52*F52)/(U$10*F$10)-1)*costos!$F$39+((L52*F52)/(L$10*F$10)-1)*costos!$G$39+((BR52)/(BR$10)-1)*costos!$J$39+((V52*F52)/(V$10*F$10)-1)*costos!$K$39))</f>
        <v>318.17182537878364</v>
      </c>
      <c r="DE52" s="69">
        <f>DD$10*(1+((H52/H$10-1)*costos!$B$35+((I52*F52)/(I$10*F$10)-1)*costos!$E$35+((U52*F52)/(U$10*F$10)-1)*costos!$F$35+((L52*F52)/(L$10*F$10)-1)*costos!$G$35+((BR52)/(BR$10)-1)*costos!$J$35+((V52*F52)/(V$10*F$10)-1)*costos!$K$35))</f>
        <v>286.61937713366052</v>
      </c>
      <c r="DF52" s="69">
        <f>DF$10*(1+((H52/H$10-1)*costos!$B$40+((I52*F52)/(I$10*F$10)-1)*costos!$E$40+((U52*F52)/(U$10*F$10)-1)*costos!$F$40+((L52*F52)/(L$10*F$10)-1)*costos!$G$40+((BP52)/(BP$10)-1)*costos!$J$40+((V52*F52)/(V$10*F$10)-1)*costos!$K$40))</f>
        <v>326.00092820164923</v>
      </c>
      <c r="DG52" s="92">
        <f t="shared" si="260"/>
        <v>306.31015266765485</v>
      </c>
      <c r="DH52" s="69">
        <f>DH$10*(1+((H52/H$10-1)*costos!$B$34+((I52*F52)/(I$10*F$10)-1)*costos!$E$34+((J52*F52)/((J$10*F$10)-1)*costos!$F$34/3+((K52*F52)/(K$10*F$10)-1)*costos!$F$34/3+((U52*F52)/(U$10*F$10)-1)*costos!$F$34/3+((L52*F52)/(L$10*F$10)-1)*costos!$G$34+((BV52)/(BV$10)-1)*costos!$J$34+((V52*F52)/(V$10*F$10)-1)*costos!$K$34)))</f>
        <v>288.18699487835613</v>
      </c>
      <c r="DI52" s="69">
        <f>DI$10*(1+((H52/H$10-1)*costos!$B$38+((I52*F52)/(I$10*F$10)-1)*costos!$E$38+((J52*F52)/((J$10*F$10)-1)*costos!$F$38/3+((K52*F52)/(K$10*F$10)-1)*costos!$F$38/3+((U52*F52)/(U$10*F$10)-1)*costos!$F$38/3+((L52*F52)/(L$10*F$10)-1)*costos!$G$38+((BU52)/(BU$10)-1)*costos!$J$38+((V52*F52)/(V$10*F$10)-1)*costos!$K$38)))</f>
        <v>276.28195889619775</v>
      </c>
      <c r="DK52" s="1">
        <v>440000</v>
      </c>
      <c r="DL52" s="1" t="s">
        <v>223</v>
      </c>
      <c r="DM52" s="1">
        <v>195000</v>
      </c>
      <c r="DN52" s="1" t="s">
        <v>223</v>
      </c>
      <c r="DO52" s="1">
        <v>1330000</v>
      </c>
      <c r="DP52" s="1" t="s">
        <v>323</v>
      </c>
      <c r="DQ52" s="1">
        <v>1900000</v>
      </c>
      <c r="DR52" s="1" t="s">
        <v>223</v>
      </c>
      <c r="DS52" s="1">
        <v>6000000</v>
      </c>
      <c r="DT52" s="1" t="s">
        <v>223</v>
      </c>
      <c r="DU52" s="1">
        <v>17000000</v>
      </c>
      <c r="DV52" s="1" t="s">
        <v>223</v>
      </c>
      <c r="DW52" s="1">
        <v>530000</v>
      </c>
      <c r="DX52" s="1" t="s">
        <v>223</v>
      </c>
      <c r="DY52" s="1">
        <v>6950000</v>
      </c>
      <c r="DZ52" s="1" t="s">
        <v>323</v>
      </c>
      <c r="EA52" s="79">
        <f t="shared" si="67"/>
        <v>33710000</v>
      </c>
      <c r="EB52" s="1">
        <v>390000</v>
      </c>
      <c r="EC52" s="1" t="s">
        <v>223</v>
      </c>
      <c r="ED52" s="83">
        <v>170782</v>
      </c>
      <c r="EE52" s="143">
        <v>2019</v>
      </c>
      <c r="EF52" s="1">
        <v>215169</v>
      </c>
      <c r="EG52" s="6">
        <v>2019</v>
      </c>
      <c r="EH52" s="83">
        <v>55007853</v>
      </c>
      <c r="EI52" s="6">
        <v>2019</v>
      </c>
      <c r="EJ52" s="1">
        <f>+EJ51</f>
        <v>5128954</v>
      </c>
      <c r="EK52" s="6">
        <f>+EK51</f>
        <v>2019</v>
      </c>
      <c r="EL52" s="1">
        <v>14339908</v>
      </c>
      <c r="EM52" s="6">
        <v>2018</v>
      </c>
      <c r="EN52" s="1">
        <v>3400522</v>
      </c>
      <c r="EO52" s="6">
        <v>2018</v>
      </c>
      <c r="EP52" s="82">
        <f t="shared" ref="EP52:EQ57" si="267">+EP51</f>
        <v>6552</v>
      </c>
      <c r="EQ52" s="83">
        <f t="shared" si="267"/>
        <v>3038588</v>
      </c>
      <c r="ER52" s="1">
        <f t="shared" si="189"/>
        <v>33739</v>
      </c>
      <c r="ES52" s="1"/>
      <c r="ET52" s="83">
        <f t="shared" si="263"/>
        <v>20884</v>
      </c>
      <c r="EU52" s="83">
        <f t="shared" si="263"/>
        <v>17312</v>
      </c>
      <c r="EV52" s="83">
        <f t="shared" si="263"/>
        <v>9130</v>
      </c>
      <c r="EW52" s="83">
        <f t="shared" si="263"/>
        <v>17152</v>
      </c>
      <c r="EX52" s="79">
        <f t="shared" si="72"/>
        <v>64478</v>
      </c>
      <c r="EY52" s="83">
        <f t="shared" si="264"/>
        <v>19636</v>
      </c>
      <c r="EZ52" s="82">
        <f t="shared" si="255"/>
        <v>76171</v>
      </c>
      <c r="FA52" s="82">
        <f t="shared" si="264"/>
        <v>20432</v>
      </c>
      <c r="FB52" s="82">
        <f t="shared" si="264"/>
        <v>18034</v>
      </c>
      <c r="FC52" s="79">
        <f t="shared" si="73"/>
        <v>38466</v>
      </c>
      <c r="FD52" s="83">
        <f t="shared" si="158"/>
        <v>61643.420000000013</v>
      </c>
      <c r="FE52" s="1"/>
      <c r="FF52" s="1">
        <v>870000</v>
      </c>
      <c r="FG52" s="1" t="s">
        <v>223</v>
      </c>
      <c r="FH52" s="1">
        <v>1200000</v>
      </c>
      <c r="FI52" s="1" t="s">
        <v>223</v>
      </c>
      <c r="FJ52" s="1">
        <v>5060000</v>
      </c>
      <c r="FK52" s="1" t="s">
        <v>223</v>
      </c>
      <c r="FL52" s="1">
        <v>3800000</v>
      </c>
      <c r="FM52" s="1" t="s">
        <v>223</v>
      </c>
      <c r="FN52" s="1">
        <v>48000000</v>
      </c>
      <c r="FO52" s="1" t="s">
        <v>223</v>
      </c>
      <c r="FP52" s="1">
        <v>55300000</v>
      </c>
      <c r="FQ52" s="1" t="s">
        <v>223</v>
      </c>
      <c r="FR52" s="1">
        <v>1600000</v>
      </c>
      <c r="FS52" s="1" t="s">
        <v>223</v>
      </c>
      <c r="FT52" s="1">
        <v>19460000</v>
      </c>
      <c r="FU52" s="1" t="s">
        <v>223</v>
      </c>
      <c r="FV52" s="79">
        <f t="shared" si="76"/>
        <v>133220000</v>
      </c>
      <c r="FW52" s="1">
        <v>1300000</v>
      </c>
      <c r="FX52" s="1" t="s">
        <v>223</v>
      </c>
      <c r="FY52" s="1">
        <v>115199.932</v>
      </c>
      <c r="FZ52" s="79">
        <f t="shared" si="135"/>
        <v>815513.77099999995</v>
      </c>
      <c r="GA52" s="86" t="str">
        <f t="shared" si="136"/>
        <v>ago18 jul19</v>
      </c>
      <c r="GB52" s="1">
        <v>25198862</v>
      </c>
      <c r="GC52" s="6">
        <v>2019</v>
      </c>
      <c r="GD52" s="83">
        <f t="shared" si="265"/>
        <v>2061660</v>
      </c>
      <c r="GE52" s="83">
        <f t="shared" si="265"/>
        <v>421371</v>
      </c>
      <c r="GF52" s="83">
        <f t="shared" si="239"/>
        <v>1038352</v>
      </c>
      <c r="GG52" s="83">
        <f t="shared" ref="GG52:GG93" si="268">+GG51</f>
        <v>114695</v>
      </c>
      <c r="GH52" s="79">
        <f t="shared" si="240"/>
        <v>1574418</v>
      </c>
      <c r="GI52" s="82">
        <f t="shared" si="232"/>
        <v>1302556</v>
      </c>
      <c r="GJ52" s="83">
        <f t="shared" si="215"/>
        <v>673662.3</v>
      </c>
      <c r="GK52" s="83">
        <f t="shared" si="216"/>
        <v>1162000</v>
      </c>
      <c r="GL52" s="83">
        <f t="shared" si="217"/>
        <v>290589.5</v>
      </c>
      <c r="GM52" s="83">
        <f t="shared" si="218"/>
        <v>258882.47</v>
      </c>
      <c r="GN52" s="79">
        <f t="shared" si="81"/>
        <v>2385134.27</v>
      </c>
      <c r="GO52" s="83">
        <f t="shared" si="266"/>
        <v>196709</v>
      </c>
      <c r="GP52" s="83">
        <f t="shared" si="266"/>
        <v>71194.64</v>
      </c>
      <c r="GQ52" s="83">
        <v>18477</v>
      </c>
      <c r="GR52" s="82">
        <f t="shared" si="266"/>
        <v>43750</v>
      </c>
      <c r="GS52" s="79">
        <f t="shared" si="192"/>
        <v>44304.31</v>
      </c>
      <c r="GT52" s="83">
        <f t="shared" si="108"/>
        <v>2600000</v>
      </c>
      <c r="GU52" s="83">
        <v>32287</v>
      </c>
      <c r="GV52" s="83">
        <v>33213</v>
      </c>
      <c r="GW52" s="79">
        <f t="shared" si="261"/>
        <v>1059826</v>
      </c>
      <c r="GX52" s="1">
        <v>32193.503000000001</v>
      </c>
      <c r="GY52" s="1" t="s">
        <v>314</v>
      </c>
      <c r="GZ52" s="1">
        <v>107349</v>
      </c>
      <c r="HA52" s="1">
        <v>281332</v>
      </c>
      <c r="HB52" s="79">
        <f t="shared" si="241"/>
        <v>3025466</v>
      </c>
      <c r="HC52" s="86" t="str">
        <f t="shared" si="138"/>
        <v>ago18 jul19</v>
      </c>
      <c r="HD52" s="1">
        <v>56708</v>
      </c>
      <c r="HE52" s="79">
        <f t="shared" si="139"/>
        <v>635191</v>
      </c>
      <c r="HF52" s="86" t="str">
        <f t="shared" si="140"/>
        <v>ago18 jul19</v>
      </c>
      <c r="HG52" s="1">
        <v>199000</v>
      </c>
      <c r="HH52" s="79">
        <f t="shared" si="242"/>
        <v>2147083.3333333335</v>
      </c>
      <c r="HI52" s="86" t="str">
        <f t="shared" si="142"/>
        <v>ago18 jul19</v>
      </c>
      <c r="HJ52" s="1">
        <f>+(236754*30*12)/1000</f>
        <v>85231.44</v>
      </c>
      <c r="HK52" s="79">
        <f t="shared" si="143"/>
        <v>62024.846400000002</v>
      </c>
      <c r="HL52" s="86" t="str">
        <f t="shared" si="144"/>
        <v>ago18 jul19</v>
      </c>
      <c r="HM52" s="79">
        <f t="shared" si="86"/>
        <v>2209108.1797333336</v>
      </c>
      <c r="HN52" s="87">
        <f t="shared" si="206"/>
        <v>4.459308807134299E-4</v>
      </c>
      <c r="HO52" s="1">
        <v>897400000</v>
      </c>
      <c r="HP52" s="79">
        <f t="shared" si="153"/>
        <v>10247.1</v>
      </c>
      <c r="HQ52" s="86" t="str">
        <f t="shared" si="145"/>
        <v>ago18 jul19</v>
      </c>
      <c r="HR52" s="1"/>
      <c r="HS52" s="1"/>
      <c r="HT52" s="1"/>
      <c r="HU52" s="1">
        <v>650000</v>
      </c>
      <c r="HV52" s="1" t="s">
        <v>223</v>
      </c>
      <c r="HW52" s="1">
        <v>1500000</v>
      </c>
      <c r="HX52" s="1" t="s">
        <v>223</v>
      </c>
      <c r="HY52" s="1">
        <v>3890000</v>
      </c>
      <c r="HZ52" s="1" t="s">
        <v>223</v>
      </c>
      <c r="IA52" s="1">
        <v>21220000</v>
      </c>
      <c r="IB52" s="1" t="s">
        <v>223</v>
      </c>
      <c r="IC52" s="1">
        <v>48900000</v>
      </c>
      <c r="ID52" s="1" t="s">
        <v>223</v>
      </c>
      <c r="IE52" s="1">
        <v>1250000</v>
      </c>
      <c r="IF52" s="1" t="s">
        <v>223</v>
      </c>
      <c r="IG52" s="1">
        <v>6850000</v>
      </c>
      <c r="IH52" s="1" t="s">
        <v>223</v>
      </c>
      <c r="II52" s="79">
        <f t="shared" si="87"/>
        <v>83610000</v>
      </c>
      <c r="IJ52" s="97">
        <f t="shared" si="256"/>
        <v>1.6398844694935004</v>
      </c>
      <c r="IK52" s="1" t="s">
        <v>223</v>
      </c>
      <c r="IL52" s="97">
        <v>46.03</v>
      </c>
      <c r="IM52" s="7">
        <v>57.88</v>
      </c>
      <c r="IN52" s="98">
        <v>182</v>
      </c>
      <c r="IO52" s="695">
        <v>15.34</v>
      </c>
      <c r="IP52" s="98">
        <f t="shared" si="236"/>
        <v>5.9589447821200423</v>
      </c>
      <c r="IQ52" s="98">
        <v>19.7</v>
      </c>
      <c r="IR52" s="98">
        <f t="shared" si="243"/>
        <v>5.93</v>
      </c>
      <c r="IS52" s="98">
        <f t="shared" si="244"/>
        <v>5.67</v>
      </c>
      <c r="IT52" s="98">
        <f t="shared" si="245"/>
        <v>11.35</v>
      </c>
      <c r="IU52" s="98">
        <f t="shared" si="246"/>
        <v>0.88</v>
      </c>
      <c r="IV52" s="94">
        <f t="shared" si="89"/>
        <v>17.899999999999999</v>
      </c>
      <c r="IW52" s="1"/>
      <c r="IX52" s="1"/>
      <c r="IY52" s="105">
        <v>1.84</v>
      </c>
      <c r="IZ52" s="161">
        <v>0.5</v>
      </c>
      <c r="JA52" s="83">
        <v>1000</v>
      </c>
      <c r="JB52" s="161">
        <v>40.24</v>
      </c>
      <c r="JC52" s="1"/>
      <c r="JD52" s="1"/>
      <c r="JF52" s="2">
        <v>11.060643449999999</v>
      </c>
      <c r="JG52" s="2">
        <v>12.031058209999998</v>
      </c>
      <c r="JH52" s="2">
        <v>59.317417389999996</v>
      </c>
      <c r="JI52" s="2">
        <v>79.341753999999995</v>
      </c>
      <c r="JJ52" s="2">
        <v>716.15737315000013</v>
      </c>
      <c r="JK52" s="2">
        <v>75.877112789999998</v>
      </c>
      <c r="JL52" s="2">
        <v>1677.6057962</v>
      </c>
      <c r="JM52" s="2">
        <v>7.96414124</v>
      </c>
      <c r="JN52" s="2">
        <v>122.90524841999999</v>
      </c>
      <c r="JO52" s="2">
        <v>21.355535589999999</v>
      </c>
      <c r="JP52" s="2">
        <v>0</v>
      </c>
      <c r="JQ52" s="2">
        <v>3.3273971099999997</v>
      </c>
      <c r="JR52" s="2">
        <v>0.45522764999999998</v>
      </c>
      <c r="JS52" s="2">
        <v>0</v>
      </c>
      <c r="JT52" s="2">
        <v>6.6735000000000004E-4</v>
      </c>
      <c r="JU52" s="2">
        <v>92.296959750000013</v>
      </c>
      <c r="JV52" s="2">
        <v>6.2712040200000008</v>
      </c>
      <c r="JW52" s="2">
        <v>15.213498489999999</v>
      </c>
      <c r="JX52" s="2">
        <v>79.174398850000003</v>
      </c>
      <c r="JY52" s="2">
        <v>0</v>
      </c>
      <c r="JZ52" s="2">
        <v>10.11832469</v>
      </c>
      <c r="KA52" s="2">
        <v>0.64267415999999999</v>
      </c>
      <c r="KB52" s="2">
        <v>5.2095365000000005</v>
      </c>
      <c r="KC52" s="2">
        <v>17.940219030000002</v>
      </c>
      <c r="KD52" s="2">
        <v>8.9294013400000001</v>
      </c>
      <c r="KE52" s="2">
        <v>10.960883970000001</v>
      </c>
      <c r="KF52" s="2">
        <v>39.292971620000003</v>
      </c>
      <c r="KG52" s="2">
        <v>307.75225584999998</v>
      </c>
      <c r="KH52" s="2">
        <v>49.666447650000009</v>
      </c>
      <c r="KI52" s="2">
        <v>10.67422412</v>
      </c>
      <c r="KJ52" s="2">
        <v>1.26395276</v>
      </c>
      <c r="KK52" s="2">
        <v>9.0055842099999985</v>
      </c>
      <c r="KL52" s="2">
        <v>0.30916765999999996</v>
      </c>
      <c r="KM52" s="2">
        <v>0.72503382000000005</v>
      </c>
      <c r="KN52" s="2">
        <v>0.44691184</v>
      </c>
      <c r="KO52" s="2">
        <v>0.52274284000000004</v>
      </c>
      <c r="KP52" s="2">
        <v>8.3284500000000011E-3</v>
      </c>
      <c r="KQ52" s="2">
        <v>131.44462449999995</v>
      </c>
      <c r="KR52" s="2">
        <v>3.3692999999999999E-4</v>
      </c>
      <c r="KS52" s="2">
        <v>0.25049912999999996</v>
      </c>
      <c r="KT52" s="2">
        <v>1.8965327900000002</v>
      </c>
      <c r="KU52" s="2">
        <v>0.21387546000000002</v>
      </c>
      <c r="KV52" s="2">
        <v>0</v>
      </c>
      <c r="KW52" s="2">
        <v>1.8201311199999997</v>
      </c>
      <c r="KX52" s="2">
        <v>0</v>
      </c>
      <c r="KY52" s="2">
        <v>0</v>
      </c>
      <c r="KZ52" s="2">
        <v>1.3264230800000001</v>
      </c>
      <c r="LA52" s="2">
        <v>0.99702627999999993</v>
      </c>
      <c r="LB52" s="2">
        <v>2.8951650000000002E-2</v>
      </c>
      <c r="LC52" s="2">
        <v>0.10317815999999999</v>
      </c>
      <c r="LD52" s="2">
        <v>0</v>
      </c>
      <c r="LE52" s="2">
        <v>0.29767190000000004</v>
      </c>
      <c r="LF52" s="2">
        <v>8.4927440000000007E-2</v>
      </c>
      <c r="LG52" s="2">
        <v>21.668010760000001</v>
      </c>
      <c r="LH52" s="2">
        <v>5.1680233100000006</v>
      </c>
      <c r="LI52" s="2">
        <v>0.17721437000000001</v>
      </c>
      <c r="LJ52" s="2">
        <v>5.2788599999999998E-2</v>
      </c>
      <c r="LK52" s="2">
        <v>2.5431053100000001</v>
      </c>
      <c r="LL52" s="2">
        <v>6.7520345400000004</v>
      </c>
      <c r="LM52" s="2">
        <v>2.3968104800000001</v>
      </c>
      <c r="LN52" s="2">
        <v>6.1907430000000006E-2</v>
      </c>
      <c r="LO52" s="2">
        <v>7.2644771000000006</v>
      </c>
      <c r="LQ52" s="85">
        <f t="shared" si="247"/>
        <v>2663.2917304000002</v>
      </c>
      <c r="LR52" s="85">
        <f t="shared" si="248"/>
        <v>3.7832921099999997</v>
      </c>
      <c r="LS52" s="85">
        <f t="shared" si="249"/>
        <v>21.484702509999998</v>
      </c>
      <c r="LT52" s="85">
        <f t="shared" si="250"/>
        <v>10.76099885</v>
      </c>
      <c r="LU52" s="85">
        <f t="shared" si="251"/>
        <v>133.39014905999997</v>
      </c>
      <c r="LV52" s="85">
        <f t="shared" si="252"/>
        <v>1.8201311199999997</v>
      </c>
      <c r="LW52" s="85">
        <f t="shared" si="253"/>
        <v>1.02597793</v>
      </c>
      <c r="LX52" s="85">
        <f t="shared" si="254"/>
        <v>0.38259934000000007</v>
      </c>
      <c r="LZ52" s="131">
        <v>52.58</v>
      </c>
      <c r="MA52" s="171">
        <v>45.83</v>
      </c>
      <c r="MB52"/>
      <c r="MC52"/>
      <c r="MD52"/>
      <c r="MF52"/>
      <c r="MG52"/>
      <c r="MH52" s="83">
        <v>88.68</v>
      </c>
      <c r="MI52" s="83">
        <v>34.85</v>
      </c>
      <c r="MJ52" s="83">
        <v>24.22</v>
      </c>
      <c r="MK52"/>
      <c r="ML52" s="83">
        <v>35.090000000000003</v>
      </c>
      <c r="MM52" s="83">
        <v>50.11</v>
      </c>
      <c r="MN52" s="83"/>
      <c r="MO52" s="83">
        <v>27.09</v>
      </c>
      <c r="MP52" s="83">
        <v>56.39</v>
      </c>
      <c r="MQ52" s="83">
        <v>57.14</v>
      </c>
      <c r="MR52"/>
      <c r="MT52" s="83"/>
      <c r="MU52" s="83">
        <v>23.55</v>
      </c>
      <c r="MV52"/>
      <c r="MW52"/>
      <c r="MX52"/>
      <c r="MY52" s="83">
        <v>84.17</v>
      </c>
      <c r="MZ52" s="83">
        <v>164.5</v>
      </c>
      <c r="NA52" s="83">
        <v>80.75</v>
      </c>
      <c r="NB52" s="83">
        <v>225.22</v>
      </c>
      <c r="NC52" s="83">
        <v>46.88</v>
      </c>
      <c r="ND52"/>
      <c r="NE52" s="1">
        <v>195.04</v>
      </c>
    </row>
    <row r="53" spans="1:369">
      <c r="A53" s="38">
        <f t="shared" si="219"/>
        <v>43678</v>
      </c>
      <c r="B53" s="36">
        <f t="shared" si="235"/>
        <v>8</v>
      </c>
      <c r="C53" s="36">
        <v>2019</v>
      </c>
      <c r="D53" s="36">
        <f t="shared" si="50"/>
        <v>53</v>
      </c>
      <c r="E53" s="38">
        <f t="shared" si="220"/>
        <v>43678</v>
      </c>
      <c r="F53" s="7">
        <v>54.228571428571428</v>
      </c>
      <c r="G53" s="7">
        <v>239.6</v>
      </c>
      <c r="H53" s="1">
        <f>[2]NACIONALES!$D41</f>
        <v>23490.98</v>
      </c>
      <c r="I53" s="7">
        <v>96</v>
      </c>
      <c r="J53" s="7">
        <v>440</v>
      </c>
      <c r="K53" s="7">
        <v>3.3</v>
      </c>
      <c r="L53" s="7">
        <v>28.6</v>
      </c>
      <c r="N53" s="5">
        <v>1.33</v>
      </c>
      <c r="O53" s="5">
        <v>1.109</v>
      </c>
      <c r="P53" s="78">
        <f t="shared" si="221"/>
        <v>62.473242857142857</v>
      </c>
      <c r="Q53" s="6">
        <v>945</v>
      </c>
      <c r="R53" s="79">
        <f t="shared" si="222"/>
        <v>9450</v>
      </c>
      <c r="S53" s="6">
        <v>129.05000000000001</v>
      </c>
      <c r="T53" s="6">
        <v>240.95</v>
      </c>
      <c r="U53" s="143">
        <v>142.52857142857141</v>
      </c>
      <c r="V53" s="6">
        <v>239.71</v>
      </c>
      <c r="W53" s="6">
        <v>152.05000000000001</v>
      </c>
      <c r="X53" s="6">
        <v>163.46190476190475</v>
      </c>
      <c r="Y53" s="79">
        <f t="shared" si="223"/>
        <v>6998.1971428571433</v>
      </c>
      <c r="Z53" s="79">
        <f t="shared" si="224"/>
        <v>13066.374285714284</v>
      </c>
      <c r="AA53" s="79">
        <f t="shared" si="225"/>
        <v>7729.1208163265292</v>
      </c>
      <c r="AB53" s="79">
        <f t="shared" si="226"/>
        <v>12999.130857142858</v>
      </c>
      <c r="AC53" s="79">
        <f t="shared" si="227"/>
        <v>8245.454285714286</v>
      </c>
      <c r="AD53" s="79">
        <f t="shared" si="228"/>
        <v>8864.3055782312913</v>
      </c>
      <c r="AE53" s="79">
        <f t="shared" si="229"/>
        <v>9650.4304943310635</v>
      </c>
      <c r="AF53" s="1">
        <v>26701</v>
      </c>
      <c r="AG53" s="1">
        <v>11550</v>
      </c>
      <c r="AH53" s="1">
        <v>43890</v>
      </c>
      <c r="AI53" s="5">
        <v>9.5399999999999991</v>
      </c>
      <c r="AJ53" s="5">
        <v>6.42</v>
      </c>
      <c r="AK53" s="5">
        <v>6.98</v>
      </c>
      <c r="AL53" s="5">
        <v>6.57</v>
      </c>
      <c r="AM53" s="78">
        <f t="shared" si="230"/>
        <v>8.0367999999999995</v>
      </c>
      <c r="AN53" s="7">
        <v>665.33440298507458</v>
      </c>
      <c r="AO53" s="7">
        <v>451.31047619047621</v>
      </c>
      <c r="AP53" s="78">
        <f t="shared" si="146"/>
        <v>451.31047619047621</v>
      </c>
      <c r="AQ53" s="7">
        <v>185.36178571428573</v>
      </c>
      <c r="AR53" s="7">
        <v>221.087619047619</v>
      </c>
      <c r="AS53" s="7">
        <v>220.35971014492748</v>
      </c>
      <c r="AT53" s="7">
        <v>266.86857142857144</v>
      </c>
      <c r="AU53" s="78">
        <f t="shared" si="53"/>
        <v>236.10530020703928</v>
      </c>
      <c r="AV53" s="7">
        <v>255.62276190476194</v>
      </c>
      <c r="AW53" s="7">
        <v>410.26476190476194</v>
      </c>
      <c r="AX53" s="7">
        <v>551.65523809523813</v>
      </c>
      <c r="AY53" s="7">
        <v>421.98476793248949</v>
      </c>
      <c r="AZ53" s="7">
        <v>138.29285714285717</v>
      </c>
      <c r="BA53" s="7">
        <v>165.75761904761907</v>
      </c>
      <c r="BB53" s="94">
        <f t="shared" si="45"/>
        <v>334.98588791775501</v>
      </c>
      <c r="BC53" s="68">
        <v>924</v>
      </c>
      <c r="BD53" s="68">
        <v>1030</v>
      </c>
      <c r="BE53" s="7">
        <f t="shared" si="234"/>
        <v>750</v>
      </c>
      <c r="BF53" s="7">
        <f t="shared" si="234"/>
        <v>430</v>
      </c>
      <c r="BG53" s="94">
        <f t="shared" si="56"/>
        <v>783.5</v>
      </c>
      <c r="BH53" s="7">
        <v>87.63</v>
      </c>
      <c r="BI53" s="7">
        <f t="shared" si="262"/>
        <v>31.36</v>
      </c>
      <c r="BJ53" s="78">
        <f t="shared" si="57"/>
        <v>118.99</v>
      </c>
      <c r="BK53" s="7">
        <v>69.08</v>
      </c>
      <c r="BL53" s="7">
        <v>80.489999999999995</v>
      </c>
      <c r="BM53" s="94">
        <f t="shared" si="58"/>
        <v>74.784999999999997</v>
      </c>
      <c r="BN53" s="5">
        <v>15.38</v>
      </c>
      <c r="BO53" s="5">
        <v>50.214285714285701</v>
      </c>
      <c r="BP53" s="105">
        <v>39.68</v>
      </c>
      <c r="BQ53" s="94">
        <f t="shared" si="59"/>
        <v>49.160857142857125</v>
      </c>
      <c r="BR53" s="7">
        <v>49.2</v>
      </c>
      <c r="BS53" s="7">
        <v>180</v>
      </c>
      <c r="BT53" s="7">
        <f>+F53*2.74</f>
        <v>148.58628571428574</v>
      </c>
      <c r="BU53" s="79">
        <f t="shared" si="237"/>
        <v>2605.7588571428573</v>
      </c>
      <c r="BV53" s="7">
        <v>67.900000000000006</v>
      </c>
      <c r="BW53" s="7">
        <v>90</v>
      </c>
      <c r="BY53" s="92">
        <f>BY$10*(1+((H53/H$10-1)*costos!$B$5+((I53*F53)/(I$10*F$10)-1)*costos!$E$5+((J53*F53)/((J$10*F$10)-1)*costos!$F$5/3+((K53*F53)/(K$10*F$10)-1)*costos!$F$5/3+((U53*F53)/(U$10*F$10)-1)*costos!$F$5/3+((L53*F53)/(L$10*F$10)-1)*costos!$G$5+((N53*F53)/(N$10*F$10)-1)*costos!$J$5+((V53*F53)/(V$10*F$10)-1)*costos!$K$5)))</f>
        <v>398.21549168203904</v>
      </c>
      <c r="BZ53" s="92">
        <f>$BZ$10*(1+((H53/$H$10-1)*costos!$B$6+((I53*F53)/($I$10*$F$10)-1)*costos!$E$6+((J53*F53)/(($J$10*$F$10)-1)*costos!$F$6/3+((K53*F53)/($K$10*$F$10)-1)*costos!$F$6/3+((U53*F53)/($U$10*$F$10)-1)*costos!$F$6/3+((L53*F53)/($L$10*$F$10)-1)*costos!$G$6+((Q53*F53)/($Q$10*$F$10)-1)*costos!$J$6+((V53*F53)/($V$10*$F$10)-1)*costos!$K$6)))</f>
        <v>394.96434703966122</v>
      </c>
      <c r="CA53" s="92">
        <f>CA$10*(1+((H53/H$10-1)*costos!$B$7+((I53*F53)/(I$10*F$10)-1)*costos!$E$7+((J53*F53)/((J$10*F$10)-1)*costos!$F$7/3+((K53*F53)/(K$10*F$10)-1)*costos!$F$7/3+((U53*F53)/(U$10*F$10)-1)*costos!$F$7/3+((L53*F53)/(L$10*F$10)-1)*costos!$G$7+((S53*F53)/(S$10*F$10)-1)*costos!$J$7+((V53*F53)/(V$10*F$10)-1)*costos!$K$7)))</f>
        <v>385.17634333947785</v>
      </c>
      <c r="CB53" s="92">
        <f>CB$10*(1+((H53/H$10-1)*costos!$B$8+((I53*F53)/(I$10*F$10)-1)*costos!$E$8+((J53*F53)/((J$10*F$10)-1)*costos!$F$8/3+((K53*F53)/(K$10*F$10)-1)*costos!$F$8/3+((U53*F53)/(U$10*F$10)-1)*costos!$F$8/3+((L53*F53)/(L$10*F$10)-1)*costos!$G$8+((T53*F53)/(T$10*F$10)-1)*costos!$J$8+((V53*F53)/(V$10*F$10)-1)*costos!$K$8)))</f>
        <v>382.69863408618642</v>
      </c>
      <c r="CC53" s="92">
        <f>CC$10*(1+((H53/H$10-1)*costos!$B$9+((I53*F53)/(I$10*F$10)-1)*costos!$E$9+((J53*F53)/((J$10*F$10)-1)*costos!$F$9/3+((K53*F53)/(K$10*F$10)-1)*costos!$F$9/3+((U53*F53)/(U$10*F$10)-1)*costos!$F$9/3+((L53*F53)/(L$10*F$10)-1)*costos!$G$9+((U53*F53)/(U$10*F$10)-1)*costos!$J$9+((V53*F53)/(V$10*F$10)-1)*costos!$K$9)))</f>
        <v>388.0911692267577</v>
      </c>
      <c r="CD53" s="92">
        <f>CD$10*(1+((H53/H$10-1)*costos!$B$11+((I53*F53)/(I$10*F$10)-1)*costos!$E$11+((J53*F53)/((J$10*F$10)-1)*costos!$F$11/3+((K53*F53)/(K$10*F$10)-1)*costos!$F$11/3+((U53*F53)/(U$10*F$10)-1)*costos!$F$11/3+((L53*F53)/(L$10*F$10)-1)*costos!$G$11+((V53*F53)/(V$10*F$10)-1)*costos!$J$11+((V53*F53)/(V$10*F$10)-1)*costos!$K$11)))</f>
        <v>399.1423854597885</v>
      </c>
      <c r="CE53" s="92">
        <f>CE$10*(1+((H53/H$10-1)*costos!$B$12+((I53*F53)/(I$10*F$10)-1)*costos!$E$12+((J53*F53)/((J$10*F$10)-1)*costos!$F$12/3+((K53*F53)/(K$10*F$10)-1)*costos!$F$12/3+((U53*F53)/(U$10*F$10)-1)*costos!$F$12/3+((L53*F53)/(L$10*F$10)-1)*costos!$G$12+((W53*F53)/(W$10*F$10)-1)*costos!$J$12+((V53*F53)/(V$10*F$10)-1)*costos!$K$12)))</f>
        <v>395.88393539852734</v>
      </c>
      <c r="CF53" s="92">
        <f>CF$10*(1+((H53/H$10-1)*costos!$B$13+((I53*F53)/(I$10*F$10)-1)*costos!$E$13+((J53*F53)/((J$10*F$10)-1)*costos!$F$13/3+((K53*F53)/(K$10*F$10)-1)*costos!$F$13/3+((U53*F53)/(U$10*F$10)-1)*costos!$F$13/3+((L53*F53)/(L$10*F$10)-1)*costos!$G$13+((X53*F53)/(X$10*F$10)-1)*costos!$J$13+((V53*F53)/(V$10*F$10)-1)*costos!$K$13)))</f>
        <v>407.52084463677318</v>
      </c>
      <c r="CG53" s="92">
        <f t="shared" si="257"/>
        <v>393.08555202458518</v>
      </c>
      <c r="CH53" s="92">
        <f>CH$10*(1+((H53/H$10-1)*costos!$B$10+((I53*F53)/(I$10*F$10)-1)*costos!$E$10+((J53*F53)/((J$10*F$10)-1)*costos!$F$10/3+((K53*F53)/(K$10*F$10)-1)*costos!$F$10/3+((U53*F53)/(U$10*F$10)-1)*costos!$F$10/3+((L53*F53)/(L$10*F$10)-1)*costos!$G$10+((AF53)/(AF$10)-1)*costos!$J$10+((V53*F53)/(V$10*F$10)-1)*costos!$K$10)))</f>
        <v>399.13552249210852</v>
      </c>
      <c r="CI53" s="92">
        <f>CI$10*(1+((H53/H$10-1)*costos!$B$15+((I53*F53)/(I$10*F$10)-1)*costos!$E$15+((J53*F53)/((J$10*F$10)-1)*costos!$F$15/3+((K53*F53)/(K$10*F$10)-1)*costos!$F$15/3+((U53*F53)/(U$10*F$10)-1)*costos!$F$15/3+((L53*F53)/(L$10*F$10)-1)*costos!$G$15+((AV53)/(AV$10)-1)*costos!$J$15+((V53*F53)/(V$10*F$10)-1)*costos!$K$15)))</f>
        <v>385.91676662894315</v>
      </c>
      <c r="CJ53" s="92">
        <f>CJ$10*(1+((H53/H$10-1)*costos!$B$16+((I53*F53)/(I$10*F$10)-1)*costos!$E$16+((J53*F53)/((J$10*F$10)-1)*costos!$F$16/3+((K53*F53)/(K$10*F$10)-1)*costos!$F$16/3+((U53*F53)/(U$10*F$10)-1)*costos!$F$16/3+((L53*F53)/(L$10*F$10)-1)*costos!$G$16+((AW53)/(AW$10)-1)*costos!$J$16+((V53*F53)/(V$10*F$10)-1)*costos!$K$16)))</f>
        <v>317.42183746135578</v>
      </c>
      <c r="CK53" s="92">
        <f>CK$10*(1+((H53/H$10-1)*costos!$B$17+((I53*F53)/(I$10*F$10)-1)*costos!$E$17+((J53*F53)/((J$10*F$10)-1)*costos!$F$17/3+((K53*F53)/(K$10*F$10)-1)*costos!$F$17/3+((U53*F53)/(U$10*F$10)-1)*costos!$F$17/3+((L53*F53)/(L$10*F$10)-1)*costos!$G$17+((AX53)/(AX$10)-1)*costos!$J$17+((V53*F53)/(V$10*F$10)-1)*costos!$K$17)))</f>
        <v>435.74973987971595</v>
      </c>
      <c r="CL53" s="92">
        <f>CL$10*(1+((H53/H$10-1)*costos!$B$18+((I53*F53)/(I$10*F$10)-1)*costos!$E$18+((J53*F53)/((J$10*F$10)-1)*costos!$F$18/3+((K53*F53)/(K$10*F$10)-1)*costos!$F$18/3+((U53*F53)/(U$10*F$10)-1)*costos!$F$18/3+((L53*F53)/(L$10*F$10)-1)*costos!$G$18+((AY53)/(AY$10)-1)*costos!$J$18+((V53*F53)/(V$10*F$10)-1)*costos!$K$18)))</f>
        <v>389.11878620468343</v>
      </c>
      <c r="CM53" s="92">
        <f>CM$10*(1+((H53/H$10-1)*costos!$B$19+((I53*F53)/(I$10*F$10)-1)*costos!$E$19+((J53*F53)/((J$10*F$10)-1)*costos!$F$19/3+((K53*F53)/(K$10*F$10)-1)*costos!$F$19/3+((U53*F53)/(U$10*F$10)-1)*costos!$F$19/3+((L53*F53)/(L$10*F$10)-1)*costos!$G$19+((AZ53)/(AZ$10)-1)*costos!$J$19+((V53*F53)/(V$10*F$10)-1)*costos!$K$19)))</f>
        <v>289.60948105744092</v>
      </c>
      <c r="CN53" s="92">
        <f>CN$10*(1+((H53/H$10-1)*costos!$B$20+((I53*F53)/(I$10*F$10)-1)*costos!$E$20+((J53*F53)/((J$10*F$10)-1)*costos!$F$20/3+((K53*F53)/(K$10*F$10)-1)*costos!$F$20/3+((U53*F53)/(U$10*F$10)-1)*costos!$F$20/3+((L53*F53)/(L$10*F$10)-1)*costos!$G$20+((BA53)/(BA$10)-1)*costos!$J$20+((V53*F53)/(V$10*F$10)-1)*costos!$K$20)))</f>
        <v>317.59878307517209</v>
      </c>
      <c r="CO53" s="92">
        <f t="shared" si="258"/>
        <v>358.01919755425314</v>
      </c>
      <c r="CP53" s="92">
        <f>CP$10*(1+((H53/H$10-1)*costos!$B$22+((I53*F53)/(I$10*F$10)-1)*costos!$E$22+((J53*F53)/((J$10*F$10)-1)*costos!$F$22/3+((K53*F53)/(K$10*F$10)-1)*costos!$F$22/3+((U53*F53)/(U$10*F$10)-1)*costos!$F$22/3+((L53*F53)/(L$10*F$10)-1)*costos!$G$22+(((AVERAGE(AI53:AL53))/((AVERAGE(AI$10:AL$10))-1)*costos!$J$22+((V53*F53)/(V$10*F$10)-1)*costos!$K$22)))))</f>
        <v>378.83242075449755</v>
      </c>
      <c r="CQ53" s="92">
        <f>CQ$10*(1+((H53/H$10-1)*costos!$B$23+((I53*F53)/(I$10*F$10)-1)*costos!$E$23+((J53*F53)/((J$10*F$10)-1)*costos!$F$23/3+((K53*F53)/(K$10*F$10)-1)*costos!$F$23/3+((U53*F53)/(U$10*F$10)-1)*costos!$F$23/3+((L53*F53)/(L$10*F$10)-1)*costos!$G$23+((AN53)/(AN$10)-1)*costos!$J$23+((V53*F53)/(V$10*F$10)-1)*costos!$K$23)))</f>
        <v>326.4168078246874</v>
      </c>
      <c r="CR53" s="92">
        <f>CR$10*(1+((H53/H$10-1)*costos!$B$24+((I53*F53)/(I$10*F$10)-1)*costos!$E$24+((J53*F53)/((J$10*F$10)-1)*costos!$F$24/3+((K53*F53)/(K$10*F$10)-1)*costos!$F$24/3+((U53*F53)/(U$10*F$10)-1)*costos!$F$24/3+((L53*F53)/(L$10*F$10)-1)*costos!$G$24+((AO53)/(AO$10)-1)*costos!$J$24+((V53*F53)/(V$10*F$10)-1)*costos!$K$24)))</f>
        <v>330.7986959627778</v>
      </c>
      <c r="CS53" s="92">
        <f t="shared" si="62"/>
        <v>328.6077518937326</v>
      </c>
      <c r="CT53" s="92">
        <f>CT$10*(1+((H53/H$10-1)*costos!$B$25+((I53*F53)/(I$10*F$10)-1)*costos!$E$25+((J53*F53)/((J$10*F$10)-1)*costos!$F$25/3+((K53*F53)/(K$10*F$10)-1)*costos!$F$25/3+((U53*F53)/(U$10*F$10)-1)*costos!$F$25/3+((L53*F53)/(L$10*F$10)-1)*costos!$G$25+((AQ53)/(AQ$10)-1)*costos!$J$25+((V53*F53)/(V$10*F$10)-1)*costos!$K$25)))</f>
        <v>318.00475499541744</v>
      </c>
      <c r="CU53" s="92">
        <f>CU$10*(1+((H53/H$10-1)*costos!$B$26+((I53*F53)/(I$10*F$10)-1)*costos!$E$26+((J53*F53)/((J$10*F$10)-1)*costos!$F$26/3+((K53*F53)/(K$10*F$10)-1)*costos!$F$26/3+((U53*F53)/(U$10*F$10)-1)*costos!$F$26/3+((L53*F53)/(L$10*F$10)-1)*costos!$G$26+((AR53)/(AR$10)-1)*costos!$J$26+((V53*F53)/(V$10*F$10)-1)*costos!$K$26)))</f>
        <v>334.7621048184015</v>
      </c>
      <c r="CV53" s="92">
        <f>CV$10*(1+((H53/H$10-1)*costos!$B$27+((I53*F53)/(I$10*F$10)-1)*costos!$E$27+((J53*F53)/((J$10*F$10)-1)*costos!$F$27/3+((K53*F53)/(K$10*F$10)-1)*costos!$F$27/3+((U53*F53)/(U$10*F$10)-1)*costos!$F$27/3+((L53*F53)/(L$10*F$10)-1)*costos!$G$27+((AS53)/(AS$10)-1)*costos!$J$27+((V53*F53)/(V$10*F$10)-1)*costos!$K$27)))</f>
        <v>334.45207797179268</v>
      </c>
      <c r="CW53" s="92">
        <f>CW$10*(1+((H53/H$10-1)*costos!$B$28+((I53*F53)/(I$10*F$10)-1)*costos!$E$28+((J53*F53)/((J$10*F$10)-1)*costos!$F$28/3+((K53*F53)/(K$10*F$10)-1)*costos!$F$28/3+((U53*F53)/(U$10*F$10)-1)*costos!$F$28/3+((L53*F53)/(L$10*F$10)-1)*costos!$G$28+((AS53)/(AS$10)-1)*costos!$J$28+((V53*F53)/(V$10*F$10)-1)*costos!$K$28)))</f>
        <v>334.45207797179268</v>
      </c>
      <c r="CX53" s="92">
        <f t="shared" si="259"/>
        <v>334.55542025399563</v>
      </c>
      <c r="CY53" s="92">
        <f>CY$10*(1+((H53/H$10-1)*costos!$B$32+((I53*F53)/(I$10*F$10)-1)*costos!$E$32+((J53*F53)/((J$10*F$10)-1)*costos!$F$32/3+((K53*F53)/(K$10*F$10)-1)*costos!$F$32/3+((U53*F53)/(U$10*F$10)-1)*costos!$F$32/3+((L53*F53)/(L$10*F$10)-1)*costos!$G$32+((AG53)/(AG$10)-1)*costos!$J$32+((V53*F53)/(V$10*F$10)-1)*costos!$K$32)))</f>
        <v>324.48053425632628</v>
      </c>
      <c r="CZ53" s="69">
        <f>CZ$10*(1+((H53/H$10-1)*costos!$B$31+((I53*F53)/(I$10*F$10)-1)*costos!$E$30+((J53*F53)/((J$10*F$10)-1)*costos!$F$30/3+((K53*F53)/(K$10*F$10)-1)*costos!$F$30/3+((U53*F53)/(U$10*F$10)-1)*costos!$F$30/3+((L53*F53)/(L$10*F$10)-1)*costos!$G$30+((BG53)/(BG$10)-1)*costos!$J$30+((V53*F53)/(V$10*F$10)-1)*costos!$K$30)))</f>
        <v>406.38102298359939</v>
      </c>
      <c r="DA53" s="69">
        <f>DA$10*(1+((H53/H$10-1)*costos!$B$31+((I53*F53)/(I$10*F$10)-1)*costos!$E$31+((J53*F53)/((J$10*F$10)-1)*costos!$F$31/3+((K53*F53)/(K$10*F$10)-1)*costos!$F$31/3+((U53*F53)/(U$10*F$10)-1)*costos!$F$31/3+((L53*F53)/(L$10*F$10)-1)*costos!$G$31+((BJ53)/(BJ$10)-1)*costos!$J$31+((V53*F53)/(V$10*F$10)-1)*costos!$K$31)))</f>
        <v>336.65298154420475</v>
      </c>
      <c r="DB53" s="69">
        <f>DB$10*(1+((H53/H$10-1)*costos!$B$36+((I53*F53)/(I$10*F$10)-1)*costos!$E$36+((J53*F53)/((J$10*F$10)-1)*costos!$F$36/3+((K53*F53)/(K$10*F$10)-1)*costos!$F$36/3+((U53*F53)/(U$10*F$10)-1)*costos!$F$36/3+((L53*F53)/(L$10*F$10)-1)*costos!$G$36+((BK53)/(BK$10)-1)*costos!$J$36+((V53*F53)/(V$10*F$10)-1)*costos!$K$36)))</f>
        <v>347.49904569761617</v>
      </c>
      <c r="DC53" s="69">
        <f>DC$10*(1+((H53/H$10-1)*costos!$B$37+((I53*F53)/(I$10*F$10)-1)*costos!$E$37+((U53*F53)/(U$10*F$10)-1)*costos!$F$37+((L53*F53)/(L$10*F$10)-1)*costos!$G$37+((BN53)/(BN$10)-1)*costos!$J$37+((V53*F53)/(V$10*F$10)-1)*costos!$K$37))</f>
        <v>383.16266687966578</v>
      </c>
      <c r="DD53" s="69">
        <f>DD$10*(1+((H53/H$10-1)*costos!$B$39+((I53*F53)/(I$10*F$10)-1)*costos!$E$39+((U53*F53)/(U$10*F$10)-1)*costos!$F$39+((L53*F53)/(L$10*F$10)-1)*costos!$G$39+((BR53)/(BR$10)-1)*costos!$J$39+((V53*F53)/(V$10*F$10)-1)*costos!$K$39))</f>
        <v>369.18752666291812</v>
      </c>
      <c r="DE53" s="69">
        <f>DD$10*(1+((H53/H$10-1)*costos!$B$35+((I53*F53)/(I$10*F$10)-1)*costos!$E$35+((U53*F53)/(U$10*F$10)-1)*costos!$F$35+((L53*F53)/(L$10*F$10)-1)*costos!$G$35+((BR53)/(BR$10)-1)*costos!$J$35+((V53*F53)/(V$10*F$10)-1)*costos!$K$35))</f>
        <v>331.03919973226425</v>
      </c>
      <c r="DF53" s="69">
        <f>DF$10*(1+((H53/H$10-1)*costos!$B$40+((I53*F53)/(I$10*F$10)-1)*costos!$E$40+((U53*F53)/(U$10*F$10)-1)*costos!$F$40+((L53*F53)/(L$10*F$10)-1)*costos!$G$40+((BP53)/(BP$10)-1)*costos!$J$40+((V53*F53)/(V$10*F$10)-1)*costos!$K$40))</f>
        <v>374.41888711179826</v>
      </c>
      <c r="DG53" s="92">
        <f t="shared" si="260"/>
        <v>352.72904342203128</v>
      </c>
      <c r="DH53" s="69">
        <f>DH$10*(1+((H53/H$10-1)*costos!$B$34+((I53*F53)/(I$10*F$10)-1)*costos!$E$34+((J53*F53)/((J$10*F$10)-1)*costos!$F$34/3+((K53*F53)/(K$10*F$10)-1)*costos!$F$34/3+((U53*F53)/(U$10*F$10)-1)*costos!$F$34/3+((L53*F53)/(L$10*F$10)-1)*costos!$G$34+((BV53)/(BV$10)-1)*costos!$J$34+((V53*F53)/(V$10*F$10)-1)*costos!$K$34)))</f>
        <v>344.24859040509676</v>
      </c>
      <c r="DI53" s="69">
        <f>DI$10*(1+((H53/H$10-1)*costos!$B$38+((I53*F53)/(I$10*F$10)-1)*costos!$E$38+((J53*F53)/((J$10*F$10)-1)*costos!$F$38/3+((K53*F53)/(K$10*F$10)-1)*costos!$F$38/3+((U53*F53)/(U$10*F$10)-1)*costos!$F$38/3+((L53*F53)/(L$10*F$10)-1)*costos!$G$38+((BU53)/(BU$10)-1)*costos!$J$38+((V53*F53)/(V$10*F$10)-1)*costos!$K$38)))</f>
        <v>329.07556307726554</v>
      </c>
      <c r="DK53" s="1">
        <v>440000</v>
      </c>
      <c r="DL53" s="1" t="s">
        <v>223</v>
      </c>
      <c r="DM53" s="1">
        <v>195000</v>
      </c>
      <c r="DN53" s="1" t="s">
        <v>223</v>
      </c>
      <c r="DO53" s="1">
        <v>1330000</v>
      </c>
      <c r="DP53" s="1" t="s">
        <v>323</v>
      </c>
      <c r="DQ53" s="1">
        <v>1900000</v>
      </c>
      <c r="DR53" s="1" t="s">
        <v>223</v>
      </c>
      <c r="DS53" s="1">
        <v>6200000</v>
      </c>
      <c r="DT53" s="1" t="s">
        <v>323</v>
      </c>
      <c r="DU53" s="1">
        <v>17000000</v>
      </c>
      <c r="DV53" s="1" t="s">
        <v>223</v>
      </c>
      <c r="DW53" s="1">
        <v>530000</v>
      </c>
      <c r="DX53" s="1" t="s">
        <v>323</v>
      </c>
      <c r="DY53" s="1">
        <v>6950000</v>
      </c>
      <c r="DZ53" s="1" t="s">
        <v>323</v>
      </c>
      <c r="EA53" s="79">
        <f t="shared" si="67"/>
        <v>33910000</v>
      </c>
      <c r="EB53" s="1">
        <v>390000</v>
      </c>
      <c r="EC53" s="1" t="s">
        <v>223</v>
      </c>
      <c r="ED53" s="83">
        <v>170782</v>
      </c>
      <c r="EE53" s="143">
        <v>2019</v>
      </c>
      <c r="EF53" s="1">
        <v>215169</v>
      </c>
      <c r="EG53" s="6">
        <v>2019</v>
      </c>
      <c r="EH53" s="83">
        <v>55007853</v>
      </c>
      <c r="EI53" s="6">
        <v>2019</v>
      </c>
      <c r="EJ53" s="1">
        <f t="shared" ref="EJ53:EK57" si="269">+EJ52</f>
        <v>5128954</v>
      </c>
      <c r="EK53" s="6">
        <f t="shared" si="269"/>
        <v>2019</v>
      </c>
      <c r="EL53" s="1">
        <v>14339908</v>
      </c>
      <c r="EM53" s="6">
        <v>2018</v>
      </c>
      <c r="EN53" s="1">
        <v>3400522</v>
      </c>
      <c r="EO53" s="6">
        <v>2018</v>
      </c>
      <c r="EP53" s="82">
        <f t="shared" si="267"/>
        <v>6552</v>
      </c>
      <c r="EQ53" s="83">
        <f t="shared" si="267"/>
        <v>3038588</v>
      </c>
      <c r="ER53" s="1">
        <f t="shared" si="189"/>
        <v>33739</v>
      </c>
      <c r="ES53" s="1"/>
      <c r="ET53" s="83">
        <f t="shared" ref="ET53:EW57" si="270">+ET52</f>
        <v>20884</v>
      </c>
      <c r="EU53" s="83">
        <f t="shared" si="270"/>
        <v>17312</v>
      </c>
      <c r="EV53" s="83">
        <f t="shared" si="270"/>
        <v>9130</v>
      </c>
      <c r="EW53" s="83">
        <f t="shared" si="270"/>
        <v>17152</v>
      </c>
      <c r="EX53" s="79">
        <f t="shared" si="72"/>
        <v>64478</v>
      </c>
      <c r="EY53" s="83">
        <f t="shared" si="264"/>
        <v>19636</v>
      </c>
      <c r="EZ53" s="82">
        <f t="shared" si="255"/>
        <v>76171</v>
      </c>
      <c r="FA53" s="82">
        <f t="shared" si="264"/>
        <v>20432</v>
      </c>
      <c r="FB53" s="82">
        <f t="shared" si="264"/>
        <v>18034</v>
      </c>
      <c r="FC53" s="79">
        <f t="shared" si="73"/>
        <v>38466</v>
      </c>
      <c r="FD53" s="83">
        <f t="shared" si="158"/>
        <v>61643.420000000013</v>
      </c>
      <c r="FE53" s="1"/>
      <c r="FF53" s="1">
        <v>870000</v>
      </c>
      <c r="FG53" s="1" t="s">
        <v>223</v>
      </c>
      <c r="FH53" s="1">
        <v>1200000</v>
      </c>
      <c r="FI53" s="1" t="s">
        <v>223</v>
      </c>
      <c r="FJ53" s="1">
        <v>5060000</v>
      </c>
      <c r="FK53" s="1" t="s">
        <v>223</v>
      </c>
      <c r="FL53" s="1">
        <v>3800000</v>
      </c>
      <c r="FM53" s="1" t="s">
        <v>223</v>
      </c>
      <c r="FN53" s="1">
        <v>48000000</v>
      </c>
      <c r="FO53" s="1" t="s">
        <v>223</v>
      </c>
      <c r="FP53" s="1">
        <v>55300000</v>
      </c>
      <c r="FQ53" s="1" t="s">
        <v>223</v>
      </c>
      <c r="FR53" s="1">
        <v>1600000</v>
      </c>
      <c r="FS53" s="1" t="s">
        <v>223</v>
      </c>
      <c r="FT53" s="1">
        <v>19460000</v>
      </c>
      <c r="FU53" s="1" t="s">
        <v>223</v>
      </c>
      <c r="FV53" s="79">
        <f t="shared" si="76"/>
        <v>133220000</v>
      </c>
      <c r="FW53" s="1">
        <v>1300000</v>
      </c>
      <c r="FX53" s="1" t="s">
        <v>223</v>
      </c>
      <c r="FY53" s="1">
        <v>100769.454</v>
      </c>
      <c r="FZ53" s="79">
        <f t="shared" si="135"/>
        <v>819527.30400000012</v>
      </c>
      <c r="GA53" s="86" t="str">
        <f t="shared" ref="GA53:GA84" si="271">TEXT($A42,"mmm")&amp;""&amp;MID($C42,3,2)&amp;" "&amp;TEXT($A53,"mmm")&amp;""&amp;MID($C53,3,2)</f>
        <v>sept18 ago19</v>
      </c>
      <c r="GB53" s="1">
        <v>25198862</v>
      </c>
      <c r="GC53" s="6">
        <v>2019</v>
      </c>
      <c r="GD53" s="83">
        <f t="shared" si="265"/>
        <v>2061660</v>
      </c>
      <c r="GE53" s="83">
        <f t="shared" si="265"/>
        <v>421371</v>
      </c>
      <c r="GF53" s="83">
        <f t="shared" si="239"/>
        <v>1038352</v>
      </c>
      <c r="GG53" s="83">
        <f t="shared" si="268"/>
        <v>114695</v>
      </c>
      <c r="GH53" s="79">
        <f t="shared" si="240"/>
        <v>1574418</v>
      </c>
      <c r="GI53" s="82">
        <f t="shared" si="232"/>
        <v>1302556</v>
      </c>
      <c r="GJ53" s="83">
        <f t="shared" si="215"/>
        <v>673662.3</v>
      </c>
      <c r="GK53" s="83">
        <f t="shared" si="216"/>
        <v>1162000</v>
      </c>
      <c r="GL53" s="83">
        <f t="shared" si="217"/>
        <v>290589.5</v>
      </c>
      <c r="GM53" s="83">
        <f t="shared" si="218"/>
        <v>258882.47</v>
      </c>
      <c r="GN53" s="79">
        <f t="shared" si="81"/>
        <v>2385134.27</v>
      </c>
      <c r="GO53" s="83">
        <f t="shared" si="266"/>
        <v>196709</v>
      </c>
      <c r="GP53" s="83">
        <f t="shared" si="266"/>
        <v>71194.64</v>
      </c>
      <c r="GQ53" s="83">
        <v>16968</v>
      </c>
      <c r="GR53" s="82">
        <f t="shared" si="266"/>
        <v>43750</v>
      </c>
      <c r="GS53" s="79">
        <f t="shared" si="192"/>
        <v>44259.040000000001</v>
      </c>
      <c r="GT53" s="83">
        <f t="shared" si="108"/>
        <v>2600000</v>
      </c>
      <c r="GU53" s="83">
        <v>27394</v>
      </c>
      <c r="GV53" s="83">
        <v>36783</v>
      </c>
      <c r="GW53" s="79">
        <f t="shared" si="261"/>
        <v>1060576</v>
      </c>
      <c r="GX53" s="1">
        <v>32193.503000000001</v>
      </c>
      <c r="GY53" s="1" t="s">
        <v>314</v>
      </c>
      <c r="GZ53" s="1">
        <v>107349</v>
      </c>
      <c r="HA53" s="1">
        <v>269999</v>
      </c>
      <c r="HB53" s="79">
        <f t="shared" si="241"/>
        <v>3020949</v>
      </c>
      <c r="HC53" s="86" t="str">
        <f t="shared" ref="HC53:HC84" si="272">TEXT($A42,"mmm")&amp;""&amp;MID($C42,3,2)&amp;" "&amp;TEXT($A53,"mmm")&amp;""&amp;MID($C53,3,2)</f>
        <v>sept18 ago19</v>
      </c>
      <c r="HD53" s="1">
        <v>51045</v>
      </c>
      <c r="HE53" s="79">
        <f t="shared" si="139"/>
        <v>632098</v>
      </c>
      <c r="HF53" s="86" t="str">
        <f t="shared" ref="HF53:HF84" si="273">TEXT($A42,"mmm")&amp;""&amp;MID($C42,3,2)&amp;" "&amp;TEXT($A53,"mmm")&amp;""&amp;MID($C53,3,2)</f>
        <v>sept18 ago19</v>
      </c>
      <c r="HG53" s="1">
        <v>192000</v>
      </c>
      <c r="HH53" s="79">
        <f t="shared" si="242"/>
        <v>2151083.3333333335</v>
      </c>
      <c r="HI53" s="86" t="str">
        <f t="shared" ref="HI53:HI84" si="274">TEXT($A42,"mmm")&amp;""&amp;MID($C42,3,2)&amp;" "&amp;TEXT($A53,"mmm")&amp;""&amp;MID($C53,3,2)</f>
        <v>sept18 ago19</v>
      </c>
      <c r="HJ53" s="1">
        <v>84452</v>
      </c>
      <c r="HK53" s="79">
        <f>+SUM(HJ42:HJ53)*1000*0.00006</f>
        <v>61494.499200000006</v>
      </c>
      <c r="HL53" s="86" t="str">
        <f t="shared" ref="HL53:HL84" si="275">TEXT($A42,"mmm")&amp;""&amp;MID($C42,3,2)&amp;" "&amp;TEXT($A53,"mmm")&amp;""&amp;MID($C53,3,2)</f>
        <v>sept18 ago19</v>
      </c>
      <c r="HM53" s="79">
        <f t="shared" si="86"/>
        <v>2212577.8325333335</v>
      </c>
      <c r="HN53" s="87">
        <f t="shared" si="206"/>
        <v>2.058047493403703E-2</v>
      </c>
      <c r="HO53" s="1">
        <v>967000000</v>
      </c>
      <c r="HP53" s="79">
        <f t="shared" si="153"/>
        <v>10266.6</v>
      </c>
      <c r="HQ53" s="86" t="str">
        <f t="shared" ref="HQ53:HQ84" si="276">TEXT($A42,"mmm")&amp;""&amp;MID($C42,3,2)&amp;" "&amp;TEXT($A53,"mmm")&amp;""&amp;MID($C53,3,2)</f>
        <v>sept18 ago19</v>
      </c>
      <c r="HR53" s="1"/>
      <c r="HS53" s="1"/>
      <c r="HT53" s="1"/>
      <c r="HU53" s="1">
        <v>650000</v>
      </c>
      <c r="HV53" s="1" t="s">
        <v>223</v>
      </c>
      <c r="HW53" s="1">
        <v>1500000</v>
      </c>
      <c r="HX53" s="1" t="s">
        <v>223</v>
      </c>
      <c r="HY53" s="1">
        <v>3890000</v>
      </c>
      <c r="HZ53" s="1" t="s">
        <v>223</v>
      </c>
      <c r="IA53" s="1">
        <v>21220000</v>
      </c>
      <c r="IB53" s="1" t="s">
        <v>223</v>
      </c>
      <c r="IC53" s="1">
        <v>48900000</v>
      </c>
      <c r="ID53" s="1" t="s">
        <v>223</v>
      </c>
      <c r="IE53" s="1">
        <v>1250000</v>
      </c>
      <c r="IF53" s="1" t="s">
        <v>223</v>
      </c>
      <c r="IG53" s="1">
        <v>6850000</v>
      </c>
      <c r="IH53" s="1" t="s">
        <v>223</v>
      </c>
      <c r="II53" s="79">
        <f t="shared" si="87"/>
        <v>83610000</v>
      </c>
      <c r="IJ53" s="97">
        <f t="shared" si="256"/>
        <v>1.6398844694935004</v>
      </c>
      <c r="IK53" s="1" t="s">
        <v>223</v>
      </c>
      <c r="IL53" s="97">
        <v>43.73</v>
      </c>
      <c r="IM53" s="7">
        <v>50.64</v>
      </c>
      <c r="IN53" s="98">
        <v>182</v>
      </c>
      <c r="IO53" s="695">
        <v>13.83</v>
      </c>
      <c r="IP53" s="98">
        <f t="shared" si="236"/>
        <v>5.9589447821200423</v>
      </c>
      <c r="IQ53" s="98">
        <v>19.7</v>
      </c>
      <c r="IR53" s="98">
        <f t="shared" si="243"/>
        <v>5.93</v>
      </c>
      <c r="IS53" s="98">
        <f t="shared" si="244"/>
        <v>5.67</v>
      </c>
      <c r="IT53" s="98">
        <f t="shared" si="245"/>
        <v>11.35</v>
      </c>
      <c r="IU53" s="98">
        <f t="shared" si="246"/>
        <v>0.88</v>
      </c>
      <c r="IV53" s="94">
        <f t="shared" si="89"/>
        <v>17.899999999999999</v>
      </c>
      <c r="IW53" s="1"/>
      <c r="IX53" s="1"/>
      <c r="IY53" s="105">
        <v>1.84</v>
      </c>
      <c r="IZ53" s="161">
        <v>0.5</v>
      </c>
      <c r="JA53" s="83">
        <v>1000</v>
      </c>
      <c r="JB53" s="161">
        <v>40.24</v>
      </c>
      <c r="JC53" s="1"/>
      <c r="JD53" s="1"/>
      <c r="JF53" s="2">
        <v>13.263641360000001</v>
      </c>
      <c r="JG53" s="2">
        <v>8.3519055400000006</v>
      </c>
      <c r="JH53" s="2">
        <v>46.813549420000008</v>
      </c>
      <c r="JI53" s="2">
        <v>101.82958047</v>
      </c>
      <c r="JJ53" s="2">
        <v>579.60940846999995</v>
      </c>
      <c r="JK53" s="2">
        <v>79.66110599999999</v>
      </c>
      <c r="JL53" s="2">
        <v>1379.6889910100001</v>
      </c>
      <c r="JM53" s="2">
        <v>13.4273723</v>
      </c>
      <c r="JN53" s="2">
        <v>113.08127186999999</v>
      </c>
      <c r="JO53" s="2">
        <v>19.717144449999999</v>
      </c>
      <c r="JP53" s="2">
        <v>0</v>
      </c>
      <c r="JQ53" s="2">
        <v>0.37882195000000002</v>
      </c>
      <c r="JR53" s="2">
        <v>0.74029601999999994</v>
      </c>
      <c r="JS53" s="2">
        <v>0</v>
      </c>
      <c r="JT53" s="2">
        <v>1.0078999999999999E-2</v>
      </c>
      <c r="JU53" s="2">
        <v>96.759285230000017</v>
      </c>
      <c r="JV53" s="2">
        <v>12.52101485</v>
      </c>
      <c r="JW53" s="2">
        <v>12.60481148</v>
      </c>
      <c r="JX53" s="2">
        <v>32.436518239999998</v>
      </c>
      <c r="JY53" s="2">
        <v>0</v>
      </c>
      <c r="JZ53" s="2">
        <v>10.338957430000001</v>
      </c>
      <c r="KA53" s="2">
        <v>0.34017312</v>
      </c>
      <c r="KB53" s="2">
        <v>3.0689166999999999</v>
      </c>
      <c r="KC53" s="2">
        <v>30.883302369999999</v>
      </c>
      <c r="KD53" s="2">
        <v>10.812424300000002</v>
      </c>
      <c r="KE53" s="2">
        <v>13.717942410000001</v>
      </c>
      <c r="KF53" s="2">
        <v>41.55606517999999</v>
      </c>
      <c r="KG53" s="2">
        <v>375.68034586999988</v>
      </c>
      <c r="KH53" s="2">
        <v>57.780394000000001</v>
      </c>
      <c r="KI53" s="2">
        <v>16.782858529999999</v>
      </c>
      <c r="KJ53" s="2">
        <v>1.28876283</v>
      </c>
      <c r="KK53" s="2">
        <v>8.0941112999999998</v>
      </c>
      <c r="KL53" s="2">
        <v>0.57927991000000001</v>
      </c>
      <c r="KM53" s="2">
        <v>2.1104386600000002</v>
      </c>
      <c r="KN53" s="2">
        <v>2.4110860000000001E-2</v>
      </c>
      <c r="KO53" s="2">
        <v>2.3538335400000006</v>
      </c>
      <c r="KP53" s="2">
        <v>1.0551499999999999E-3</v>
      </c>
      <c r="KQ53" s="2">
        <v>78.108077780000002</v>
      </c>
      <c r="KR53" s="2">
        <v>0.10232402</v>
      </c>
      <c r="KS53" s="2">
        <v>0.14177541000000002</v>
      </c>
      <c r="KT53" s="2">
        <v>1.1331463899999998</v>
      </c>
      <c r="KU53" s="2">
        <v>0.24142015</v>
      </c>
      <c r="KV53" s="2">
        <v>2.0444340000000002E-2</v>
      </c>
      <c r="KW53" s="2">
        <v>2.3162467200000001</v>
      </c>
      <c r="KX53" s="2">
        <v>0</v>
      </c>
      <c r="KY53" s="2">
        <v>0</v>
      </c>
      <c r="KZ53" s="2">
        <v>1.3724791000000001</v>
      </c>
      <c r="LA53" s="2">
        <v>0.13825269000000001</v>
      </c>
      <c r="LB53" s="2">
        <v>2.2018000000000003E-3</v>
      </c>
      <c r="LC53" s="2">
        <v>1.3983540000000001E-2</v>
      </c>
      <c r="LD53" s="2">
        <v>0</v>
      </c>
      <c r="LE53" s="2">
        <v>3.7675900000000003E-3</v>
      </c>
      <c r="LF53" s="2">
        <v>0</v>
      </c>
      <c r="LG53" s="2">
        <v>16.428484190000002</v>
      </c>
      <c r="LH53" s="2">
        <v>6.4192746600000001</v>
      </c>
      <c r="LI53" s="2">
        <v>0.18434716000000001</v>
      </c>
      <c r="LJ53" s="2">
        <v>0</v>
      </c>
      <c r="LK53" s="2">
        <v>1.6276300800000001</v>
      </c>
      <c r="LL53" s="2">
        <v>4.2467172499999997</v>
      </c>
      <c r="LM53" s="2">
        <v>1.5843988199999999</v>
      </c>
      <c r="LN53" s="2">
        <v>0.10626755</v>
      </c>
      <c r="LO53" s="2">
        <v>6.8587549399999999</v>
      </c>
      <c r="LQ53" s="85">
        <f t="shared" si="247"/>
        <v>2234.4501735400004</v>
      </c>
      <c r="LR53" s="85">
        <f t="shared" si="248"/>
        <v>1.12919697</v>
      </c>
      <c r="LS53" s="85">
        <f t="shared" si="249"/>
        <v>25.125826330000002</v>
      </c>
      <c r="LT53" s="85">
        <f t="shared" si="250"/>
        <v>10.67913055</v>
      </c>
      <c r="LU53" s="85">
        <f t="shared" si="251"/>
        <v>82.840560269999997</v>
      </c>
      <c r="LV53" s="85">
        <f t="shared" si="252"/>
        <v>2.3366910600000002</v>
      </c>
      <c r="LW53" s="85">
        <f t="shared" si="253"/>
        <v>0.14045449000000002</v>
      </c>
      <c r="LX53" s="85">
        <f t="shared" si="254"/>
        <v>3.7675900000000003E-3</v>
      </c>
      <c r="LZ53" s="131">
        <v>56.79</v>
      </c>
      <c r="MA53" s="171">
        <v>48.48</v>
      </c>
      <c r="MB53"/>
      <c r="MC53"/>
      <c r="MD53"/>
      <c r="MF53"/>
      <c r="MG53"/>
      <c r="MH53" s="83">
        <v>92.16</v>
      </c>
      <c r="MI53" s="83">
        <v>36.04</v>
      </c>
      <c r="MJ53" s="83">
        <v>25.53</v>
      </c>
      <c r="MK53"/>
      <c r="ML53" s="83">
        <v>53.23</v>
      </c>
      <c r="MM53" s="83">
        <v>49.27</v>
      </c>
      <c r="MN53" s="83"/>
      <c r="MO53" s="83">
        <v>28.12</v>
      </c>
      <c r="MP53" s="83">
        <v>56.98</v>
      </c>
      <c r="MQ53" s="83">
        <v>58.99</v>
      </c>
      <c r="MR53"/>
      <c r="MT53" s="83"/>
      <c r="MU53" s="83">
        <v>23.18</v>
      </c>
      <c r="MV53"/>
      <c r="MW53"/>
      <c r="MX53"/>
      <c r="MY53" s="83">
        <v>85.78</v>
      </c>
      <c r="MZ53" s="83">
        <v>182</v>
      </c>
      <c r="NA53" s="83">
        <v>82.48</v>
      </c>
      <c r="NB53" s="83">
        <v>230.57</v>
      </c>
      <c r="NC53" s="83">
        <v>48.37</v>
      </c>
      <c r="ND53"/>
      <c r="NE53" s="1">
        <v>199.53</v>
      </c>
    </row>
    <row r="54" spans="1:369">
      <c r="A54" s="38">
        <f t="shared" si="219"/>
        <v>43709</v>
      </c>
      <c r="B54" s="36">
        <f t="shared" si="235"/>
        <v>9</v>
      </c>
      <c r="C54" s="36">
        <v>2019</v>
      </c>
      <c r="D54" s="36">
        <f t="shared" si="50"/>
        <v>54</v>
      </c>
      <c r="E54" s="38">
        <f t="shared" si="220"/>
        <v>43709</v>
      </c>
      <c r="F54" s="7">
        <v>57.833333333333336</v>
      </c>
      <c r="G54" s="7">
        <v>253.71019999999999</v>
      </c>
      <c r="H54" s="1">
        <f>[2]NACIONALES!$D42</f>
        <v>23490.98</v>
      </c>
      <c r="I54" s="7">
        <v>74</v>
      </c>
      <c r="J54" s="7">
        <v>400</v>
      </c>
      <c r="K54" s="7">
        <v>3.3</v>
      </c>
      <c r="L54" s="7">
        <v>21.9</v>
      </c>
      <c r="N54" s="5">
        <v>1.2569999999999999</v>
      </c>
      <c r="O54" s="5">
        <v>1.036</v>
      </c>
      <c r="P54" s="78">
        <f t="shared" si="221"/>
        <v>62.866416666666673</v>
      </c>
      <c r="Q54" s="6">
        <v>1050</v>
      </c>
      <c r="R54" s="79">
        <f t="shared" si="222"/>
        <v>10500</v>
      </c>
      <c r="S54" s="6">
        <v>132.85</v>
      </c>
      <c r="T54" s="6">
        <v>240.76</v>
      </c>
      <c r="U54" s="143">
        <v>138.71428571428572</v>
      </c>
      <c r="V54" s="6">
        <v>239.14</v>
      </c>
      <c r="W54" s="6">
        <v>154.41999999999999</v>
      </c>
      <c r="X54" s="6">
        <v>162.26666666666665</v>
      </c>
      <c r="Y54" s="79">
        <f t="shared" si="223"/>
        <v>7683.1583333333338</v>
      </c>
      <c r="Z54" s="79">
        <f t="shared" si="224"/>
        <v>13923.953333333333</v>
      </c>
      <c r="AA54" s="79">
        <f t="shared" si="225"/>
        <v>8022.3095238095248</v>
      </c>
      <c r="AB54" s="79">
        <f t="shared" si="226"/>
        <v>13830.263333333332</v>
      </c>
      <c r="AC54" s="79">
        <f t="shared" si="227"/>
        <v>8930.623333333333</v>
      </c>
      <c r="AD54" s="79">
        <f t="shared" si="228"/>
        <v>9384.4222222222215</v>
      </c>
      <c r="AE54" s="79">
        <f t="shared" si="229"/>
        <v>10295.788346560847</v>
      </c>
      <c r="AF54" s="1">
        <v>32741.052631578947</v>
      </c>
      <c r="AG54" s="1">
        <v>11550</v>
      </c>
      <c r="AH54" s="1">
        <v>43890</v>
      </c>
      <c r="AI54" s="5">
        <v>8.82</v>
      </c>
      <c r="AJ54" s="5">
        <v>6.67</v>
      </c>
      <c r="AK54" s="5">
        <v>7.27</v>
      </c>
      <c r="AL54" s="5">
        <v>7.5</v>
      </c>
      <c r="AM54" s="78">
        <f t="shared" si="230"/>
        <v>8.0141999999999989</v>
      </c>
      <c r="AN54" s="7">
        <v>691.08544776119402</v>
      </c>
      <c r="AO54" s="7">
        <v>451.0714285714285</v>
      </c>
      <c r="AP54" s="78">
        <f t="shared" ref="AP54:AP85" si="277">IFERROR(+AVERAGE(AO54:AO54),"")</f>
        <v>451.0714285714285</v>
      </c>
      <c r="AQ54" s="7">
        <v>241.6846391752577</v>
      </c>
      <c r="AR54" s="7">
        <v>233.4890476190476</v>
      </c>
      <c r="AS54" s="7">
        <v>220.99760563380283</v>
      </c>
      <c r="AT54" s="7">
        <v>295.84952380952382</v>
      </c>
      <c r="AU54" s="78">
        <f t="shared" si="53"/>
        <v>250.11205902079141</v>
      </c>
      <c r="AV54" s="7">
        <v>275.86629629629635</v>
      </c>
      <c r="AW54" s="7">
        <v>409.39190476190481</v>
      </c>
      <c r="AX54" s="7">
        <v>708</v>
      </c>
      <c r="AY54" s="7">
        <v>427.05854460093917</v>
      </c>
      <c r="AZ54" s="7">
        <v>157.66809523809528</v>
      </c>
      <c r="BA54" s="7">
        <v>461.85666666666668</v>
      </c>
      <c r="BB54" s="94">
        <f t="shared" si="45"/>
        <v>454.88823328862065</v>
      </c>
      <c r="BC54" s="167">
        <f>+BC53</f>
        <v>924</v>
      </c>
      <c r="BD54" s="167">
        <f>+BD53</f>
        <v>1030</v>
      </c>
      <c r="BE54" s="7">
        <v>900</v>
      </c>
      <c r="BF54" s="7">
        <v>550</v>
      </c>
      <c r="BG54" s="94">
        <f t="shared" si="56"/>
        <v>851</v>
      </c>
      <c r="BH54" s="7">
        <v>87.63</v>
      </c>
      <c r="BI54" s="7">
        <f t="shared" si="262"/>
        <v>31.36</v>
      </c>
      <c r="BJ54" s="78">
        <f t="shared" si="57"/>
        <v>118.99</v>
      </c>
      <c r="BK54" s="7">
        <v>67.400000000000006</v>
      </c>
      <c r="BL54" s="7">
        <v>80.099999999999994</v>
      </c>
      <c r="BM54" s="94">
        <f t="shared" si="58"/>
        <v>73.75</v>
      </c>
      <c r="BN54" s="5">
        <v>15.72</v>
      </c>
      <c r="BO54" s="5">
        <v>63.449999999999982</v>
      </c>
      <c r="BP54" s="105">
        <v>46.71</v>
      </c>
      <c r="BQ54" s="94">
        <f t="shared" si="59"/>
        <v>61.775999999999982</v>
      </c>
      <c r="BR54" s="7">
        <v>55.65</v>
      </c>
      <c r="BS54" s="7">
        <v>190</v>
      </c>
      <c r="BT54" s="7">
        <f>+F54*2.73</f>
        <v>157.88500000000002</v>
      </c>
      <c r="BU54" s="79">
        <f t="shared" si="237"/>
        <v>2753.6550000000002</v>
      </c>
      <c r="BV54" s="7">
        <v>84.2</v>
      </c>
      <c r="BW54" s="7">
        <v>160</v>
      </c>
      <c r="BY54" s="92">
        <f>BY$10*(1+((H54/H$10-1)*costos!$B$5+((I54*F54)/(I$10*F$10)-1)*costos!$E$5+((J54*F54)/((J$10*F$10)-1)*costos!$F$5/3+((K54*F54)/(K$10*F$10)-1)*costos!$F$5/3+((U54*F54)/(U$10*F$10)-1)*costos!$F$5/3+((L54*F54)/(L$10*F$10)-1)*costos!$G$5+((N54*F54)/(N$10*F$10)-1)*costos!$J$5+((V54*F54)/(V$10*F$10)-1)*costos!$K$5)))</f>
        <v>392.94632166626263</v>
      </c>
      <c r="BZ54" s="92">
        <f>$BZ$10*(1+((H54/$H$10-1)*costos!$B$6+((I54*F54)/($I$10*$F$10)-1)*costos!$E$6+((J54*F54)/(($J$10*$F$10)-1)*costos!$F$6/3+((K54*F54)/($K$10*$F$10)-1)*costos!$F$6/3+((U54*F54)/($U$10*$F$10)-1)*costos!$F$6/3+((L54*F54)/($L$10*$F$10)-1)*costos!$G$6+((Q54*F54)/($Q$10*$F$10)-1)*costos!$J$6+((V54*F54)/($V$10*$F$10)-1)*costos!$K$6)))</f>
        <v>358.39628461556867</v>
      </c>
      <c r="CA54" s="92">
        <f>CA$10*(1+((H54/H$10-1)*costos!$B$7+((I54*F54)/(I$10*F$10)-1)*costos!$E$7+((J54*F54)/((J$10*F$10)-1)*costos!$F$7/3+((K54*F54)/(K$10*F$10)-1)*costos!$F$7/3+((U54*F54)/(U$10*F$10)-1)*costos!$F$7/3+((L54*F54)/(L$10*F$10)-1)*costos!$G$7+((S54*F54)/(S$10*F$10)-1)*costos!$J$7+((V54*F54)/(V$10*F$10)-1)*costos!$K$7)))</f>
        <v>382.66220152038522</v>
      </c>
      <c r="CB54" s="92">
        <f>CB$10*(1+((H54/H$10-1)*costos!$B$8+((I54*F54)/(I$10*F$10)-1)*costos!$E$8+((J54*F54)/((J$10*F$10)-1)*costos!$F$8/3+((K54*F54)/(K$10*F$10)-1)*costos!$F$8/3+((U54*F54)/(U$10*F$10)-1)*costos!$F$8/3+((L54*F54)/(L$10*F$10)-1)*costos!$G$8+((T54*F54)/(T$10*F$10)-1)*costos!$J$8+((V54*F54)/(V$10*F$10)-1)*costos!$K$8)))</f>
        <v>377.69364610640605</v>
      </c>
      <c r="CC54" s="92">
        <f>CC$10*(1+((H54/H$10-1)*costos!$B$9+((I54*F54)/(I$10*F$10)-1)*costos!$E$9+((J54*F54)/((J$10*F$10)-1)*costos!$F$9/3+((K54*F54)/(K$10*F$10)-1)*costos!$F$9/3+((U54*F54)/(U$10*F$10)-1)*costos!$F$9/3+((L54*F54)/(L$10*F$10)-1)*costos!$G$9+((U54*F54)/(U$10*F$10)-1)*costos!$J$9+((V54*F54)/(V$10*F$10)-1)*costos!$K$9)))</f>
        <v>378.0722328880147</v>
      </c>
      <c r="CD54" s="92">
        <f>CD$10*(1+((H54/H$10-1)*costos!$B$11+((I54*F54)/(I$10*F$10)-1)*costos!$E$11+((J54*F54)/((J$10*F$10)-1)*costos!$F$11/3+((K54*F54)/(K$10*F$10)-1)*costos!$F$11/3+((U54*F54)/(U$10*F$10)-1)*costos!$F$11/3+((L54*F54)/(L$10*F$10)-1)*costos!$G$11+((V54*F54)/(V$10*F$10)-1)*costos!$J$11+((V54*F54)/(V$10*F$10)-1)*costos!$K$11)))</f>
        <v>402.09810397770303</v>
      </c>
      <c r="CE54" s="92">
        <f>CE$10*(1+((H54/H$10-1)*costos!$B$12+((I54*F54)/(I$10*F$10)-1)*costos!$E$12+((J54*F54)/((J$10*F$10)-1)*costos!$F$12/3+((K54*F54)/(K$10*F$10)-1)*costos!$F$12/3+((U54*F54)/(U$10*F$10)-1)*costos!$F$12/3+((L54*F54)/(L$10*F$10)-1)*costos!$G$12+((W54*F54)/(W$10*F$10)-1)*costos!$J$12+((V54*F54)/(V$10*F$10)-1)*costos!$K$12)))</f>
        <v>387.35908660052235</v>
      </c>
      <c r="CF54" s="92">
        <f>CF$10*(1+((H54/H$10-1)*costos!$B$13+((I54*F54)/(I$10*F$10)-1)*costos!$E$13+((J54*F54)/((J$10*F$10)-1)*costos!$F$13/3+((K54*F54)/(K$10*F$10)-1)*costos!$F$13/3+((U54*F54)/(U$10*F$10)-1)*costos!$F$13/3+((L54*F54)/(L$10*F$10)-1)*costos!$G$13+((X54*F54)/(X$10*F$10)-1)*costos!$J$13+((V54*F54)/(V$10*F$10)-1)*costos!$K$13)))</f>
        <v>401.71417295147904</v>
      </c>
      <c r="CG54" s="92">
        <f t="shared" si="257"/>
        <v>388.26657400741846</v>
      </c>
      <c r="CH54" s="92">
        <f>CH$10*(1+((H54/H$10-1)*costos!$B$10+((I54*F54)/(I$10*F$10)-1)*costos!$E$10+((J54*F54)/((J$10*F$10)-1)*costos!$F$10/3+((K54*F54)/(K$10*F$10)-1)*costos!$F$10/3+((U54*F54)/(U$10*F$10)-1)*costos!$F$10/3+((L54*F54)/(L$10*F$10)-1)*costos!$G$10+((AF54)/(AF$10)-1)*costos!$J$10+((V54*F54)/(V$10*F$10)-1)*costos!$K$10)))</f>
        <v>428.08278146430092</v>
      </c>
      <c r="CI54" s="92">
        <f>CI$10*(1+((H54/H$10-1)*costos!$B$15+((I54*F54)/(I$10*F$10)-1)*costos!$E$15+((J54*F54)/((J$10*F$10)-1)*costos!$F$15/3+((K54*F54)/(K$10*F$10)-1)*costos!$F$15/3+((U54*F54)/(U$10*F$10)-1)*costos!$F$15/3+((L54*F54)/(L$10*F$10)-1)*costos!$G$15+((AV54)/(AV$10)-1)*costos!$J$15+((V54*F54)/(V$10*F$10)-1)*costos!$K$15)))</f>
        <v>375.78072787338186</v>
      </c>
      <c r="CJ54" s="92">
        <f>CJ$10*(1+((H54/H$10-1)*costos!$B$16+((I54*F54)/(I$10*F$10)-1)*costos!$E$16+((J54*F54)/((J$10*F$10)-1)*costos!$F$16/3+((K54*F54)/(K$10*F$10)-1)*costos!$F$16/3+((U54*F54)/(U$10*F$10)-1)*costos!$F$16/3+((L54*F54)/(L$10*F$10)-1)*costos!$G$16+((AW54)/(AW$10)-1)*costos!$J$16+((V54*F54)/(V$10*F$10)-1)*costos!$K$16)))</f>
        <v>307.33873744630034</v>
      </c>
      <c r="CK54" s="92">
        <f>CK$10*(1+((H54/H$10-1)*costos!$B$17+((I54*F54)/(I$10*F$10)-1)*costos!$E$17+((J54*F54)/((J$10*F$10)-1)*costos!$F$17/3+((K54*F54)/(K$10*F$10)-1)*costos!$F$17/3+((U54*F54)/(U$10*F$10)-1)*costos!$F$17/3+((L54*F54)/(L$10*F$10)-1)*costos!$G$17+((AX54)/(AX$10)-1)*costos!$J$17+((V54*F54)/(V$10*F$10)-1)*costos!$K$17)))</f>
        <v>457.19491756199648</v>
      </c>
      <c r="CL54" s="92">
        <f>CL$10*(1+((H54/H$10-1)*costos!$B$18+((I54*F54)/(I$10*F$10)-1)*costos!$E$18+((J54*F54)/((J$10*F$10)-1)*costos!$F$18/3+((K54*F54)/(K$10*F$10)-1)*costos!$F$18/3+((U54*F54)/(U$10*F$10)-1)*costos!$F$18/3+((L54*F54)/(L$10*F$10)-1)*costos!$G$18+((AY54)/(AY$10)-1)*costos!$J$18+((V54*F54)/(V$10*F$10)-1)*costos!$K$18)))</f>
        <v>379.32987462108554</v>
      </c>
      <c r="CM54" s="92">
        <f>CM$10*(1+((H54/H$10-1)*costos!$B$19+((I54*F54)/(I$10*F$10)-1)*costos!$E$19+((J54*F54)/((J$10*F$10)-1)*costos!$F$19/3+((K54*F54)/(K$10*F$10)-1)*costos!$F$19/3+((U54*F54)/(U$10*F$10)-1)*costos!$F$19/3+((L54*F54)/(L$10*F$10)-1)*costos!$G$19+((AZ54)/(AZ$10)-1)*costos!$J$19+((V54*F54)/(V$10*F$10)-1)*costos!$K$19)))</f>
        <v>279.39324617962814</v>
      </c>
      <c r="CN54" s="92">
        <f>CN$10*(1+((H54/H$10-1)*costos!$B$20+((I54*F54)/(I$10*F$10)-1)*costos!$E$20+((J54*F54)/((J$10*F$10)-1)*costos!$F$20/3+((K54*F54)/(K$10*F$10)-1)*costos!$F$20/3+((U54*F54)/(U$10*F$10)-1)*costos!$F$20/3+((L54*F54)/(L$10*F$10)-1)*costos!$G$20+((BA54)/(BA$10)-1)*costos!$J$20+((V54*F54)/(V$10*F$10)-1)*costos!$K$20)))</f>
        <v>368.18996235135194</v>
      </c>
      <c r="CO54" s="92">
        <f t="shared" si="258"/>
        <v>371.02700017851555</v>
      </c>
      <c r="CP54" s="92">
        <f>CP$10*(1+((H54/H$10-1)*costos!$B$22+((I54*F54)/(I$10*F$10)-1)*costos!$E$22+((J54*F54)/((J$10*F$10)-1)*costos!$F$22/3+((K54*F54)/(K$10*F$10)-1)*costos!$F$22/3+((U54*F54)/(U$10*F$10)-1)*costos!$F$22/3+((L54*F54)/(L$10*F$10)-1)*costos!$G$22+(((AVERAGE(AI54:AL54))/((AVERAGE(AI$10:AL$10))-1)*costos!$J$22+((V54*F54)/(V$10*F$10)-1)*costos!$K$22)))))</f>
        <v>362.37158815880792</v>
      </c>
      <c r="CQ54" s="92">
        <f>CQ$10*(1+((H54/H$10-1)*costos!$B$23+((I54*F54)/(I$10*F$10)-1)*costos!$E$23+((J54*F54)/((J$10*F$10)-1)*costos!$F$23/3+((K54*F54)/(K$10*F$10)-1)*costos!$F$23/3+((U54*F54)/(U$10*F$10)-1)*costos!$F$23/3+((L54*F54)/(L$10*F$10)-1)*costos!$G$23+((AN54)/(AN$10)-1)*costos!$J$23+((V54*F54)/(V$10*F$10)-1)*costos!$K$23)))</f>
        <v>317.17427166308278</v>
      </c>
      <c r="CR54" s="92">
        <f>CR$10*(1+((H54/H$10-1)*costos!$B$24+((I54*F54)/(I$10*F$10)-1)*costos!$E$24+((J54*F54)/((J$10*F$10)-1)*costos!$F$24/3+((K54*F54)/(K$10*F$10)-1)*costos!$F$24/3+((U54*F54)/(U$10*F$10)-1)*costos!$F$24/3+((L54*F54)/(L$10*F$10)-1)*costos!$G$24+((AO54)/(AO$10)-1)*costos!$J$24+((V54*F54)/(V$10*F$10)-1)*costos!$K$24)))</f>
        <v>320.23682345502192</v>
      </c>
      <c r="CS54" s="92">
        <f t="shared" si="62"/>
        <v>318.70554755905232</v>
      </c>
      <c r="CT54" s="92">
        <f>CT$10*(1+((H54/H$10-1)*costos!$B$25+((I54*F54)/(I$10*F$10)-1)*costos!$E$25+((J54*F54)/((J$10*F$10)-1)*costos!$F$25/3+((K54*F54)/(K$10*F$10)-1)*costos!$F$25/3+((U54*F54)/(U$10*F$10)-1)*costos!$F$25/3+((L54*F54)/(L$10*F$10)-1)*costos!$G$25+((AQ54)/(AQ$10)-1)*costos!$J$25+((V54*F54)/(V$10*F$10)-1)*costos!$K$25)))</f>
        <v>306.23172920555061</v>
      </c>
      <c r="CU54" s="92">
        <f>CU$10*(1+((H54/H$10-1)*costos!$B$26+((I54*F54)/(I$10*F$10)-1)*costos!$E$26+((J54*F54)/((J$10*F$10)-1)*costos!$F$26/3+((K54*F54)/(K$10*F$10)-1)*costos!$F$26/3+((U54*F54)/(U$10*F$10)-1)*costos!$F$26/3+((L54*F54)/(L$10*F$10)-1)*costos!$G$26+((AR54)/(AR$10)-1)*costos!$J$26+((V54*F54)/(V$10*F$10)-1)*costos!$K$26)))</f>
        <v>321.24643473122342</v>
      </c>
      <c r="CV54" s="92">
        <f>CV$10*(1+((H54/H$10-1)*costos!$B$27+((I54*F54)/(I$10*F$10)-1)*costos!$E$27+((J54*F54)/((J$10*F$10)-1)*costos!$F$27/3+((K54*F54)/(K$10*F$10)-1)*costos!$F$27/3+((U54*F54)/(U$10*F$10)-1)*costos!$F$27/3+((L54*F54)/(L$10*F$10)-1)*costos!$G$27+((AS54)/(AS$10)-1)*costos!$J$27+((V54*F54)/(V$10*F$10)-1)*costos!$K$27)))</f>
        <v>320.13421420002481</v>
      </c>
      <c r="CW54" s="92">
        <f>CW$10*(1+((H54/H$10-1)*costos!$B$28+((I54*F54)/(I$10*F$10)-1)*costos!$E$28+((J54*F54)/((J$10*F$10)-1)*costos!$F$28/3+((K54*F54)/(K$10*F$10)-1)*costos!$F$28/3+((U54*F54)/(U$10*F$10)-1)*costos!$F$28/3+((L54*F54)/(L$10*F$10)-1)*costos!$G$28+((AS54)/(AS$10)-1)*costos!$J$28+((V54*F54)/(V$10*F$10)-1)*costos!$K$28)))</f>
        <v>320.13421420002481</v>
      </c>
      <c r="CX54" s="92">
        <f t="shared" si="259"/>
        <v>320.50495437709105</v>
      </c>
      <c r="CY54" s="92">
        <f>CY$10*(1+((H54/H$10-1)*costos!$B$32+((I54*F54)/(I$10*F$10)-1)*costos!$E$32+((J54*F54)/((J$10*F$10)-1)*costos!$F$32/3+((K54*F54)/(K$10*F$10)-1)*costos!$F$32/3+((U54*F54)/(U$10*F$10)-1)*costos!$F$32/3+((L54*F54)/(L$10*F$10)-1)*costos!$G$32+((AG54)/(AG$10)-1)*costos!$J$32+((V54*F54)/(V$10*F$10)-1)*costos!$K$32)))</f>
        <v>315.53478164560443</v>
      </c>
      <c r="CZ54" s="69">
        <f>CZ$10*(1+((H54/H$10-1)*costos!$B$31+((I54*F54)/(I$10*F$10)-1)*costos!$E$30+((J54*F54)/((J$10*F$10)-1)*costos!$F$30/3+((K54*F54)/(K$10*F$10)-1)*costos!$F$30/3+((U54*F54)/(U$10*F$10)-1)*costos!$F$30/3+((L54*F54)/(L$10*F$10)-1)*costos!$G$30+((BG54)/(BG$10)-1)*costos!$J$30+((V54*F54)/(V$10*F$10)-1)*costos!$K$30)))</f>
        <v>381.87176356761279</v>
      </c>
      <c r="DA54" s="69">
        <f>DA$10*(1+((H54/H$10-1)*costos!$B$31+((I54*F54)/(I$10*F$10)-1)*costos!$E$31+((J54*F54)/((J$10*F$10)-1)*costos!$F$31/3+((K54*F54)/(K$10*F$10)-1)*costos!$F$31/3+((U54*F54)/(U$10*F$10)-1)*costos!$F$31/3+((L54*F54)/(L$10*F$10)-1)*costos!$G$31+((BJ54)/(BJ$10)-1)*costos!$J$31+((V54*F54)/(V$10*F$10)-1)*costos!$K$31)))</f>
        <v>328.13813019405916</v>
      </c>
      <c r="DB54" s="69">
        <f>DB$10*(1+((H54/H$10-1)*costos!$B$36+((I54*F54)/(I$10*F$10)-1)*costos!$E$36+((J54*F54)/((J$10*F$10)-1)*costos!$F$36/3+((K54*F54)/(K$10*F$10)-1)*costos!$F$36/3+((U54*F54)/(U$10*F$10)-1)*costos!$F$36/3+((L54*F54)/(L$10*F$10)-1)*costos!$G$36+((BK54)/(BK$10)-1)*costos!$J$36+((V54*F54)/(V$10*F$10)-1)*costos!$K$36)))</f>
        <v>338.96379974361554</v>
      </c>
      <c r="DC54" s="69">
        <f>DC$10*(1+((H54/H$10-1)*costos!$B$37+((I54*F54)/(I$10*F$10)-1)*costos!$E$37+((U54*F54)/(U$10*F$10)-1)*costos!$F$37+((L54*F54)/(L$10*F$10)-1)*costos!$G$37+((BN54)/(BN$10)-1)*costos!$J$37+((V54*F54)/(V$10*F$10)-1)*costos!$K$37))</f>
        <v>380.50799340885504</v>
      </c>
      <c r="DD54" s="69">
        <f>DD$10*(1+((H54/H$10-1)*costos!$B$39+((I54*F54)/(I$10*F$10)-1)*costos!$E$39+((U54*F54)/(U$10*F$10)-1)*costos!$F$39+((L54*F54)/(L$10*F$10)-1)*costos!$G$39+((BR54)/(BR$10)-1)*costos!$J$39+((V54*F54)/(V$10*F$10)-1)*costos!$K$39))</f>
        <v>370.86079412048332</v>
      </c>
      <c r="DE54" s="69">
        <f>DD$10*(1+((H54/H$10-1)*costos!$B$35+((I54*F54)/(I$10*F$10)-1)*costos!$E$35+((U54*F54)/(U$10*F$10)-1)*costos!$F$35+((L54*F54)/(L$10*F$10)-1)*costos!$G$35+((BR54)/(BR$10)-1)*costos!$J$35+((V54*F54)/(V$10*F$10)-1)*costos!$K$35))</f>
        <v>340.7828500749751</v>
      </c>
      <c r="DF54" s="69">
        <f>DF$10*(1+((H54/H$10-1)*costos!$B$40+((I54*F54)/(I$10*F$10)-1)*costos!$E$40+((U54*F54)/(U$10*F$10)-1)*costos!$F$40+((L54*F54)/(L$10*F$10)-1)*costos!$G$40+((BP54)/(BP$10)-1)*costos!$J$40+((V54*F54)/(V$10*F$10)-1)*costos!$K$40))</f>
        <v>382.35695380373051</v>
      </c>
      <c r="DG54" s="92">
        <f t="shared" si="260"/>
        <v>361.5699019393528</v>
      </c>
      <c r="DH54" s="69">
        <f>DH$10*(1+((H54/H$10-1)*costos!$B$34+((I54*F54)/(I$10*F$10)-1)*costos!$E$34+((J54*F54)/((J$10*F$10)-1)*costos!$F$34/3+((K54*F54)/(K$10*F$10)-1)*costos!$F$34/3+((U54*F54)/(U$10*F$10)-1)*costos!$F$34/3+((L54*F54)/(L$10*F$10)-1)*costos!$G$34+((BV54)/(BV$10)-1)*costos!$J$34+((V54*F54)/(V$10*F$10)-1)*costos!$K$34)))</f>
        <v>340.56777403929885</v>
      </c>
      <c r="DI54" s="69">
        <f>DI$10*(1+((H54/H$10-1)*costos!$B$38+((I54*F54)/(I$10*F$10)-1)*costos!$E$38+((J54*F54)/((J$10*F$10)-1)*costos!$F$38/3+((K54*F54)/(K$10*F$10)-1)*costos!$F$38/3+((U54*F54)/(U$10*F$10)-1)*costos!$F$38/3+((L54*F54)/(L$10*F$10)-1)*costos!$G$38+((BU54)/(BU$10)-1)*costos!$J$38+((V54*F54)/(V$10*F$10)-1)*costos!$K$38)))</f>
        <v>326.9420832930092</v>
      </c>
      <c r="DK54" s="1">
        <v>440000</v>
      </c>
      <c r="DL54" s="1" t="s">
        <v>223</v>
      </c>
      <c r="DM54" s="1">
        <v>195000</v>
      </c>
      <c r="DN54" s="1" t="s">
        <v>223</v>
      </c>
      <c r="DO54" s="1">
        <v>1330000</v>
      </c>
      <c r="DP54" s="1" t="s">
        <v>323</v>
      </c>
      <c r="DQ54" s="1">
        <v>1800000</v>
      </c>
      <c r="DR54" s="1" t="s">
        <v>323</v>
      </c>
      <c r="DS54" s="1">
        <v>6400000</v>
      </c>
      <c r="DT54" s="1" t="s">
        <v>323</v>
      </c>
      <c r="DU54" s="1">
        <v>17000000</v>
      </c>
      <c r="DV54" s="1" t="s">
        <v>223</v>
      </c>
      <c r="DW54" s="1">
        <v>530000</v>
      </c>
      <c r="DX54" s="1" t="s">
        <v>323</v>
      </c>
      <c r="DY54" s="1">
        <v>6950000</v>
      </c>
      <c r="DZ54" s="1" t="s">
        <v>323</v>
      </c>
      <c r="EA54" s="79">
        <f t="shared" si="67"/>
        <v>34010000</v>
      </c>
      <c r="EB54" s="1">
        <v>390000</v>
      </c>
      <c r="EC54" s="1" t="s">
        <v>223</v>
      </c>
      <c r="ED54" s="83">
        <v>170782</v>
      </c>
      <c r="EE54" s="143">
        <v>2019</v>
      </c>
      <c r="EF54" s="1">
        <v>215169</v>
      </c>
      <c r="EG54" s="6">
        <v>2019</v>
      </c>
      <c r="EH54" s="83">
        <v>55007853</v>
      </c>
      <c r="EI54" s="6">
        <v>2019</v>
      </c>
      <c r="EJ54" s="1">
        <f t="shared" si="269"/>
        <v>5128954</v>
      </c>
      <c r="EK54" s="6">
        <f t="shared" si="269"/>
        <v>2019</v>
      </c>
      <c r="EL54" s="1">
        <v>14339908</v>
      </c>
      <c r="EM54" s="6">
        <v>2018</v>
      </c>
      <c r="EN54" s="1">
        <v>3400522</v>
      </c>
      <c r="EO54" s="6">
        <v>2018</v>
      </c>
      <c r="EP54" s="82">
        <f t="shared" si="267"/>
        <v>6552</v>
      </c>
      <c r="EQ54" s="83">
        <f t="shared" si="267"/>
        <v>3038588</v>
      </c>
      <c r="ER54" s="1">
        <f t="shared" si="189"/>
        <v>33739</v>
      </c>
      <c r="ES54" s="1"/>
      <c r="ET54" s="83">
        <f t="shared" si="270"/>
        <v>20884</v>
      </c>
      <c r="EU54" s="83">
        <f t="shared" si="270"/>
        <v>17312</v>
      </c>
      <c r="EV54" s="83">
        <f t="shared" si="270"/>
        <v>9130</v>
      </c>
      <c r="EW54" s="83">
        <f t="shared" si="270"/>
        <v>17152</v>
      </c>
      <c r="EX54" s="79">
        <f t="shared" si="72"/>
        <v>64478</v>
      </c>
      <c r="EY54" s="83">
        <f t="shared" si="264"/>
        <v>19636</v>
      </c>
      <c r="EZ54" s="82">
        <f t="shared" si="255"/>
        <v>76171</v>
      </c>
      <c r="FA54" s="82">
        <f t="shared" si="264"/>
        <v>20432</v>
      </c>
      <c r="FB54" s="82">
        <f t="shared" si="264"/>
        <v>18034</v>
      </c>
      <c r="FC54" s="79">
        <f t="shared" si="73"/>
        <v>38466</v>
      </c>
      <c r="FD54" s="83">
        <f t="shared" si="158"/>
        <v>61643.420000000013</v>
      </c>
      <c r="FE54" s="1"/>
      <c r="FF54" s="1">
        <v>870000</v>
      </c>
      <c r="FG54" s="1" t="s">
        <v>223</v>
      </c>
      <c r="FH54" s="1">
        <v>1200000</v>
      </c>
      <c r="FI54" s="1" t="s">
        <v>223</v>
      </c>
      <c r="FJ54" s="1">
        <v>5060000</v>
      </c>
      <c r="FK54" s="1" t="s">
        <v>223</v>
      </c>
      <c r="FL54" s="1">
        <v>3800000</v>
      </c>
      <c r="FM54" s="1" t="s">
        <v>223</v>
      </c>
      <c r="FN54" s="1">
        <v>48000000</v>
      </c>
      <c r="FO54" s="1" t="s">
        <v>223</v>
      </c>
      <c r="FP54" s="1">
        <v>55300000</v>
      </c>
      <c r="FQ54" s="1" t="s">
        <v>223</v>
      </c>
      <c r="FR54" s="1">
        <v>1600000</v>
      </c>
      <c r="FS54" s="1" t="s">
        <v>223</v>
      </c>
      <c r="FT54" s="1">
        <v>19460000</v>
      </c>
      <c r="FU54" s="1" t="s">
        <v>223</v>
      </c>
      <c r="FV54" s="79">
        <f t="shared" si="76"/>
        <v>133220000</v>
      </c>
      <c r="FW54" s="1">
        <v>1300000</v>
      </c>
      <c r="FX54" s="1" t="s">
        <v>223</v>
      </c>
      <c r="FY54" s="1">
        <v>50394.915000000001</v>
      </c>
      <c r="FZ54" s="79">
        <f t="shared" si="135"/>
        <v>825029.85400000017</v>
      </c>
      <c r="GA54" s="86" t="str">
        <f t="shared" si="271"/>
        <v>oct18 sept19</v>
      </c>
      <c r="GB54" s="1">
        <v>25198862</v>
      </c>
      <c r="GC54" s="6">
        <v>2019</v>
      </c>
      <c r="GD54" s="83">
        <f t="shared" si="265"/>
        <v>2061660</v>
      </c>
      <c r="GE54" s="83">
        <f t="shared" si="265"/>
        <v>421371</v>
      </c>
      <c r="GF54" s="83">
        <f t="shared" si="239"/>
        <v>1038352</v>
      </c>
      <c r="GG54" s="83">
        <f t="shared" si="268"/>
        <v>114695</v>
      </c>
      <c r="GH54" s="79">
        <f t="shared" si="240"/>
        <v>1574418</v>
      </c>
      <c r="GI54" s="82">
        <f t="shared" si="232"/>
        <v>1302556</v>
      </c>
      <c r="GJ54" s="83">
        <f t="shared" si="215"/>
        <v>673662.3</v>
      </c>
      <c r="GK54" s="83">
        <f t="shared" si="216"/>
        <v>1162000</v>
      </c>
      <c r="GL54" s="83">
        <f t="shared" si="217"/>
        <v>290589.5</v>
      </c>
      <c r="GM54" s="83">
        <f t="shared" si="218"/>
        <v>258882.47</v>
      </c>
      <c r="GN54" s="79">
        <f t="shared" si="81"/>
        <v>2385134.27</v>
      </c>
      <c r="GO54" s="83">
        <f t="shared" si="266"/>
        <v>196709</v>
      </c>
      <c r="GP54" s="83">
        <f t="shared" si="266"/>
        <v>71194.64</v>
      </c>
      <c r="GQ54" s="83">
        <v>19130</v>
      </c>
      <c r="GR54" s="82">
        <f t="shared" si="266"/>
        <v>43750</v>
      </c>
      <c r="GS54" s="79">
        <f t="shared" si="192"/>
        <v>44323.9</v>
      </c>
      <c r="GT54" s="83">
        <f t="shared" si="108"/>
        <v>2600000</v>
      </c>
      <c r="GU54" s="83">
        <v>22023</v>
      </c>
      <c r="GV54" s="83">
        <v>38428</v>
      </c>
      <c r="GW54" s="79">
        <f t="shared" si="261"/>
        <v>1062727</v>
      </c>
      <c r="GX54" s="1">
        <v>32193.503000000001</v>
      </c>
      <c r="GY54" s="1" t="s">
        <v>314</v>
      </c>
      <c r="GZ54" s="1">
        <v>107349</v>
      </c>
      <c r="HA54" s="83">
        <v>275776</v>
      </c>
      <c r="HB54" s="79">
        <f t="shared" si="241"/>
        <v>3059375</v>
      </c>
      <c r="HC54" s="86" t="str">
        <f t="shared" si="272"/>
        <v>oct18 sept19</v>
      </c>
      <c r="HD54" s="83">
        <v>51243</v>
      </c>
      <c r="HE54" s="79">
        <f t="shared" si="139"/>
        <v>632300</v>
      </c>
      <c r="HF54" s="86" t="str">
        <f t="shared" si="273"/>
        <v>oct18 sept19</v>
      </c>
      <c r="HG54" s="82">
        <v>178000</v>
      </c>
      <c r="HH54" s="79">
        <f t="shared" si="242"/>
        <v>2165083.3333333335</v>
      </c>
      <c r="HI54" s="86" t="str">
        <f t="shared" si="274"/>
        <v>oct18 sept19</v>
      </c>
      <c r="HJ54" s="83">
        <v>81714</v>
      </c>
      <c r="HK54" s="79">
        <f t="shared" ref="HK54:HK117" si="278">+SUM(HJ43:HJ54)*1000*0.00006</f>
        <v>60971.937600000005</v>
      </c>
      <c r="HL54" s="86" t="str">
        <f t="shared" si="275"/>
        <v>oct18 sept19</v>
      </c>
      <c r="HM54" s="79">
        <f t="shared" si="86"/>
        <v>2226055.2709333333</v>
      </c>
      <c r="HN54" s="87">
        <f t="shared" ref="HN54:HN59" si="279">+HO54/HO42-1</f>
        <v>1.2729699209526713E-2</v>
      </c>
      <c r="HO54" s="1">
        <v>986500000</v>
      </c>
      <c r="HP54" s="79">
        <f t="shared" si="153"/>
        <v>10279</v>
      </c>
      <c r="HQ54" s="86" t="str">
        <f t="shared" si="276"/>
        <v>oct18 sept19</v>
      </c>
      <c r="HR54" s="1"/>
      <c r="HS54" s="1"/>
      <c r="HT54" s="1"/>
      <c r="HU54" s="1">
        <v>650000</v>
      </c>
      <c r="HV54" s="1" t="s">
        <v>223</v>
      </c>
      <c r="HW54" s="1">
        <v>1500000</v>
      </c>
      <c r="HX54" s="1" t="s">
        <v>223</v>
      </c>
      <c r="HY54" s="1">
        <v>3890000</v>
      </c>
      <c r="HZ54" s="1" t="s">
        <v>223</v>
      </c>
      <c r="IA54" s="1">
        <f t="shared" ref="IA54:IA60" si="280">(3.69+17.53)*1000000</f>
        <v>21220000.000000004</v>
      </c>
      <c r="IB54" s="1" t="s">
        <v>223</v>
      </c>
      <c r="IC54" s="1">
        <v>48900000</v>
      </c>
      <c r="ID54" s="1" t="s">
        <v>223</v>
      </c>
      <c r="IE54" s="1">
        <f>(0.15+1.1)*1000000</f>
        <v>1250000</v>
      </c>
      <c r="IF54" s="1" t="s">
        <v>223</v>
      </c>
      <c r="IG54" s="1">
        <f>(5.95+0.9)*1000000</f>
        <v>6850000.0000000009</v>
      </c>
      <c r="IH54" s="1" t="s">
        <v>223</v>
      </c>
      <c r="II54" s="79">
        <f t="shared" si="87"/>
        <v>83610000</v>
      </c>
      <c r="IJ54" s="97">
        <f t="shared" si="256"/>
        <v>1.6398844694935004</v>
      </c>
      <c r="IK54" s="1" t="s">
        <v>223</v>
      </c>
      <c r="IL54" s="97">
        <v>43.73</v>
      </c>
      <c r="IM54" s="7">
        <v>52.85</v>
      </c>
      <c r="IN54" s="98">
        <v>182</v>
      </c>
      <c r="IO54" s="695">
        <v>14.09</v>
      </c>
      <c r="IP54" s="98">
        <f t="shared" si="236"/>
        <v>5.9589447821200423</v>
      </c>
      <c r="IQ54" s="98">
        <v>19.7</v>
      </c>
      <c r="IR54" s="98">
        <f t="shared" si="243"/>
        <v>5.93</v>
      </c>
      <c r="IS54" s="98">
        <f t="shared" si="244"/>
        <v>5.67</v>
      </c>
      <c r="IT54" s="98">
        <f t="shared" si="245"/>
        <v>11.35</v>
      </c>
      <c r="IU54" s="98">
        <f t="shared" si="246"/>
        <v>0.88</v>
      </c>
      <c r="IV54" s="94">
        <f t="shared" si="89"/>
        <v>17.899999999999999</v>
      </c>
      <c r="IW54" s="1"/>
      <c r="IX54" s="1"/>
      <c r="IY54" s="105">
        <v>1.84</v>
      </c>
      <c r="IZ54" s="161">
        <v>0.5</v>
      </c>
      <c r="JA54" s="83">
        <v>1000</v>
      </c>
      <c r="JB54" s="161">
        <v>40.24</v>
      </c>
      <c r="JC54" s="1"/>
      <c r="JD54" s="1"/>
      <c r="JF54" s="2">
        <v>14.10981387</v>
      </c>
      <c r="JG54" s="2">
        <v>8.9215824099999992</v>
      </c>
      <c r="JH54" s="2">
        <v>22.675841740000003</v>
      </c>
      <c r="JI54" s="2">
        <v>56.126588810000001</v>
      </c>
      <c r="JJ54" s="2">
        <v>541.53239374000009</v>
      </c>
      <c r="JK54" s="2">
        <v>105.66386243000001</v>
      </c>
      <c r="JL54" s="2">
        <v>1627.9980839499999</v>
      </c>
      <c r="JM54" s="2">
        <v>0.68814458000000012</v>
      </c>
      <c r="JN54" s="2">
        <v>88.288832960000008</v>
      </c>
      <c r="JO54" s="2">
        <v>20.386753229999997</v>
      </c>
      <c r="JP54" s="2">
        <v>0</v>
      </c>
      <c r="JQ54" s="2">
        <v>8.0093220000000007E-2</v>
      </c>
      <c r="JR54" s="2">
        <v>0.45835020999999998</v>
      </c>
      <c r="JS54" s="2">
        <v>0</v>
      </c>
      <c r="JT54" s="2">
        <v>0</v>
      </c>
      <c r="JU54" s="2">
        <v>90.913350940000001</v>
      </c>
      <c r="JV54" s="2">
        <v>7.1134941999999999</v>
      </c>
      <c r="JW54" s="2">
        <v>9.3632920499999983</v>
      </c>
      <c r="JX54" s="2">
        <v>17.117245949999997</v>
      </c>
      <c r="JY54" s="2">
        <v>0</v>
      </c>
      <c r="JZ54" s="2">
        <v>9.5740588299999985</v>
      </c>
      <c r="KA54" s="2">
        <v>4.274E-3</v>
      </c>
      <c r="KB54" s="2">
        <v>6.8661591500000005</v>
      </c>
      <c r="KC54" s="2">
        <v>11.825740720000001</v>
      </c>
      <c r="KD54" s="2">
        <v>7.1645318200000006</v>
      </c>
      <c r="KE54" s="2">
        <v>13.707499449999998</v>
      </c>
      <c r="KF54" s="2">
        <v>44.690477129999998</v>
      </c>
      <c r="KG54" s="2">
        <v>383.00370428000002</v>
      </c>
      <c r="KH54" s="2">
        <v>60.593276809999992</v>
      </c>
      <c r="KI54" s="2">
        <v>10.269061629999999</v>
      </c>
      <c r="KJ54" s="2">
        <v>2.6496563399999999</v>
      </c>
      <c r="KK54" s="2">
        <v>7.6402599799999971</v>
      </c>
      <c r="KL54" s="2">
        <v>0.59684857000000002</v>
      </c>
      <c r="KM54" s="2">
        <v>1.42743245</v>
      </c>
      <c r="KN54" s="2">
        <v>0.38795750000000001</v>
      </c>
      <c r="KO54" s="2">
        <v>2.2236594799999998</v>
      </c>
      <c r="KP54" s="2">
        <v>7.062119999999999E-3</v>
      </c>
      <c r="KQ54" s="2">
        <v>43.324335310000002</v>
      </c>
      <c r="KR54" s="2">
        <v>1.8247000000000001E-4</v>
      </c>
      <c r="KS54" s="2">
        <v>0.12807541</v>
      </c>
      <c r="KT54" s="2">
        <v>0.95680545000000006</v>
      </c>
      <c r="KU54" s="2">
        <v>0.18927301000000002</v>
      </c>
      <c r="KV54" s="2">
        <v>0.39110302000000002</v>
      </c>
      <c r="KW54" s="2">
        <v>3.2497377599999999</v>
      </c>
      <c r="KX54" s="2">
        <v>0</v>
      </c>
      <c r="KY54" s="2">
        <v>3.9803610000000003E-2</v>
      </c>
      <c r="KZ54" s="2">
        <v>1.3514907899999999</v>
      </c>
      <c r="LA54" s="2">
        <v>0.11602433999999999</v>
      </c>
      <c r="LB54" s="2">
        <v>5.506722E-2</v>
      </c>
      <c r="LC54" s="2">
        <v>1.345229E-2</v>
      </c>
      <c r="LD54" s="2">
        <v>0</v>
      </c>
      <c r="LE54" s="2">
        <v>0.17784295999999999</v>
      </c>
      <c r="LF54" s="2">
        <v>0.20086743000000001</v>
      </c>
      <c r="LG54" s="2">
        <v>14.548758770000001</v>
      </c>
      <c r="LH54" s="2">
        <v>4.04275261</v>
      </c>
      <c r="LI54" s="2">
        <v>0.75064833999999991</v>
      </c>
      <c r="LJ54" s="2">
        <v>0</v>
      </c>
      <c r="LK54" s="2">
        <v>1.73733881</v>
      </c>
      <c r="LL54" s="2">
        <v>4.88469467</v>
      </c>
      <c r="LM54" s="2">
        <v>2.9215066899999993</v>
      </c>
      <c r="LN54" s="2">
        <v>0.21209711000000001</v>
      </c>
      <c r="LO54" s="2">
        <v>5.8697757599999987</v>
      </c>
      <c r="LQ54" s="85">
        <f t="shared" si="247"/>
        <v>2337.3098857800001</v>
      </c>
      <c r="LR54" s="85">
        <f t="shared" si="248"/>
        <v>0.53844342999999995</v>
      </c>
      <c r="LS54" s="85">
        <f t="shared" si="249"/>
        <v>16.476786249999996</v>
      </c>
      <c r="LT54" s="85">
        <f t="shared" si="250"/>
        <v>9.578332829999999</v>
      </c>
      <c r="LU54" s="85">
        <f t="shared" si="251"/>
        <v>47.49164262</v>
      </c>
      <c r="LV54" s="85">
        <f t="shared" si="252"/>
        <v>3.6806443899999999</v>
      </c>
      <c r="LW54" s="85">
        <f t="shared" si="253"/>
        <v>0.17109155999999998</v>
      </c>
      <c r="LX54" s="85">
        <f t="shared" si="254"/>
        <v>0.37871039000000001</v>
      </c>
      <c r="LZ54" s="131">
        <v>63.99</v>
      </c>
      <c r="MA54" s="171">
        <v>49.5</v>
      </c>
      <c r="MB54"/>
      <c r="MC54"/>
      <c r="MD54"/>
      <c r="MF54"/>
      <c r="MG54"/>
      <c r="MH54" s="83">
        <v>98.61</v>
      </c>
      <c r="MI54" s="83">
        <v>38.340000000000003</v>
      </c>
      <c r="MJ54" s="83">
        <v>28.09</v>
      </c>
      <c r="MK54"/>
      <c r="ML54" s="83">
        <v>66.08</v>
      </c>
      <c r="MM54" s="83">
        <v>49.66</v>
      </c>
      <c r="MN54" s="83"/>
      <c r="MO54" s="83">
        <v>39.44</v>
      </c>
      <c r="MP54" s="83">
        <v>57.63</v>
      </c>
      <c r="MQ54" s="83">
        <v>60.73</v>
      </c>
      <c r="MR54"/>
      <c r="MT54" s="83"/>
      <c r="MU54" s="83">
        <v>22.94</v>
      </c>
      <c r="MV54"/>
      <c r="MW54"/>
      <c r="MX54"/>
      <c r="MY54" s="83">
        <v>83.83</v>
      </c>
      <c r="MZ54" s="83">
        <v>200</v>
      </c>
      <c r="NA54" s="83">
        <v>92.74</v>
      </c>
      <c r="NB54" s="83">
        <v>237.92</v>
      </c>
      <c r="NC54" s="83">
        <v>47.98</v>
      </c>
      <c r="ND54"/>
      <c r="NE54" s="1">
        <v>220.21</v>
      </c>
    </row>
    <row r="55" spans="1:369">
      <c r="A55" s="38">
        <f t="shared" si="219"/>
        <v>43739</v>
      </c>
      <c r="B55" s="36">
        <f t="shared" si="235"/>
        <v>10</v>
      </c>
      <c r="C55" s="36">
        <v>2019</v>
      </c>
      <c r="D55" s="36">
        <f t="shared" si="50"/>
        <v>55</v>
      </c>
      <c r="E55" s="38">
        <f t="shared" si="220"/>
        <v>43739</v>
      </c>
      <c r="F55" s="7">
        <v>60.820454545454545</v>
      </c>
      <c r="G55" s="97">
        <v>262.06610000000001</v>
      </c>
      <c r="H55" s="1">
        <f>[2]NACIONALES!$D43</f>
        <v>24445.89</v>
      </c>
      <c r="I55" s="7">
        <v>76</v>
      </c>
      <c r="J55" s="7">
        <v>400</v>
      </c>
      <c r="K55" s="7">
        <v>3.3</v>
      </c>
      <c r="L55" s="7">
        <v>21.5</v>
      </c>
      <c r="N55" s="5">
        <v>1.2869999999999999</v>
      </c>
      <c r="O55" s="5">
        <v>1.0660000000000001</v>
      </c>
      <c r="P55" s="78">
        <f t="shared" si="221"/>
        <v>68.025764772727271</v>
      </c>
      <c r="Q55" s="6">
        <v>1150</v>
      </c>
      <c r="R55" s="79">
        <f t="shared" si="222"/>
        <v>11500</v>
      </c>
      <c r="S55" s="6">
        <v>140.9</v>
      </c>
      <c r="T55" s="6">
        <v>241.72</v>
      </c>
      <c r="U55" s="143">
        <v>142.53636363636363</v>
      </c>
      <c r="V55" s="6">
        <v>242.45</v>
      </c>
      <c r="W55" s="6">
        <v>138.27000000000001</v>
      </c>
      <c r="X55" s="6">
        <v>171.64090909090908</v>
      </c>
      <c r="Y55" s="79">
        <f t="shared" si="223"/>
        <v>8569.6020454545451</v>
      </c>
      <c r="Z55" s="79">
        <f t="shared" si="224"/>
        <v>14701.520272727272</v>
      </c>
      <c r="AA55" s="79">
        <f t="shared" si="225"/>
        <v>8669.1264256198338</v>
      </c>
      <c r="AB55" s="79">
        <f t="shared" si="226"/>
        <v>14745.919204545455</v>
      </c>
      <c r="AC55" s="79">
        <f t="shared" si="227"/>
        <v>8409.6442500000012</v>
      </c>
      <c r="AD55" s="79">
        <f t="shared" si="228"/>
        <v>10439.278109504132</v>
      </c>
      <c r="AE55" s="79">
        <f t="shared" si="229"/>
        <v>10922.515051308537</v>
      </c>
      <c r="AF55" s="1">
        <v>33244.699999999997</v>
      </c>
      <c r="AG55" s="1">
        <v>15250</v>
      </c>
      <c r="AH55" s="1">
        <v>58100</v>
      </c>
      <c r="AI55" s="5">
        <v>9.2826000000000004</v>
      </c>
      <c r="AJ55" s="5">
        <v>6.4625000000000004</v>
      </c>
      <c r="AK55" s="5">
        <v>7.4363999999999999</v>
      </c>
      <c r="AL55" s="5">
        <v>8.1860999999999997</v>
      </c>
      <c r="AM55" s="78">
        <f t="shared" si="230"/>
        <v>8.4266240000000003</v>
      </c>
      <c r="AN55" s="7">
        <v>707.5496688741722</v>
      </c>
      <c r="AO55" s="7">
        <v>445.57272727272726</v>
      </c>
      <c r="AP55" s="78">
        <f t="shared" si="277"/>
        <v>445.57272727272726</v>
      </c>
      <c r="AQ55" s="7">
        <v>306.23863636363637</v>
      </c>
      <c r="AR55" s="7">
        <v>322.7122727272727</v>
      </c>
      <c r="AS55" s="7">
        <v>223.75206611570249</v>
      </c>
      <c r="AT55" s="7">
        <v>329.10909090909098</v>
      </c>
      <c r="AU55" s="78">
        <f t="shared" si="53"/>
        <v>291.85780991735538</v>
      </c>
      <c r="AV55" s="7">
        <v>244.40844262295084</v>
      </c>
      <c r="AW55" s="7">
        <v>534.88142857142861</v>
      </c>
      <c r="AX55" s="7">
        <v>535.58272727272731</v>
      </c>
      <c r="AY55" s="7">
        <v>434.77207373271921</v>
      </c>
      <c r="AZ55" s="7">
        <v>162.07590909090911</v>
      </c>
      <c r="BA55" s="7">
        <v>521.1140476190476</v>
      </c>
      <c r="BB55" s="94">
        <f t="shared" si="45"/>
        <v>429.96530006284047</v>
      </c>
      <c r="BC55" s="167">
        <f>+BC54</f>
        <v>924</v>
      </c>
      <c r="BD55" s="167">
        <f>+BD54</f>
        <v>1030</v>
      </c>
      <c r="BE55" s="7">
        <f t="shared" si="234"/>
        <v>900</v>
      </c>
      <c r="BF55" s="7">
        <f t="shared" si="234"/>
        <v>550</v>
      </c>
      <c r="BG55" s="94">
        <f t="shared" si="56"/>
        <v>851</v>
      </c>
      <c r="BH55" s="7">
        <v>87.63</v>
      </c>
      <c r="BI55" s="7">
        <f t="shared" si="262"/>
        <v>31.36</v>
      </c>
      <c r="BJ55" s="78">
        <f t="shared" si="57"/>
        <v>118.99</v>
      </c>
      <c r="BK55" s="7">
        <v>71.662999999999997</v>
      </c>
      <c r="BL55" s="7">
        <v>76.61</v>
      </c>
      <c r="BM55" s="94">
        <f t="shared" si="58"/>
        <v>74.136499999999998</v>
      </c>
      <c r="BN55" s="5">
        <v>16.11</v>
      </c>
      <c r="BO55" s="5">
        <v>67.984090909090909</v>
      </c>
      <c r="BP55" s="105">
        <v>47.07</v>
      </c>
      <c r="BQ55" s="94">
        <f t="shared" si="59"/>
        <v>65.892681818181813</v>
      </c>
      <c r="BR55" s="7">
        <v>59.07</v>
      </c>
      <c r="BS55" s="7">
        <v>190</v>
      </c>
      <c r="BT55" s="7">
        <f>+F55*2.87</f>
        <v>174.55470454545454</v>
      </c>
      <c r="BU55" s="79">
        <f t="shared" si="237"/>
        <v>2803.6641136363637</v>
      </c>
      <c r="BV55" s="7">
        <v>89.6</v>
      </c>
      <c r="BW55" s="7">
        <v>140</v>
      </c>
      <c r="BY55" s="92">
        <f>BY$10*(1+((H55/H$10-1)*costos!$B$5+((I55*F55)/(I$10*F$10)-1)*costos!$E$5+((J55*F55)/((J$10*F$10)-1)*costos!$F$5/3+((K55*F55)/(K$10*F$10)-1)*costos!$F$5/3+((U55*F55)/(U$10*F$10)-1)*costos!$F$5/3+((L55*F55)/(L$10*F$10)-1)*costos!$G$5+((N55*F55)/(N$10*F$10)-1)*costos!$J$5+((V55*F55)/(V$10*F$10)-1)*costos!$K$5)))</f>
        <v>418.53914029085593</v>
      </c>
      <c r="BZ55" s="92">
        <f>$BZ$10*(1+((H55/$H$10-1)*costos!$B$6+((I55*F55)/($I$10*$F$10)-1)*costos!$E$6+((J55*F55)/(($J$10*$F$10)-1)*costos!$F$6/3+((K55*F55)/($K$10*$F$10)-1)*costos!$F$6/3+((U55*F55)/($U$10*$F$10)-1)*costos!$F$6/3+((L55*F55)/($L$10*$F$10)-1)*costos!$G$6+((Q55*F55)/($Q$10*$F$10)-1)*costos!$J$6+((V55*F55)/($V$10*$F$10)-1)*costos!$K$6)))</f>
        <v>383.27750278463196</v>
      </c>
      <c r="CA55" s="92">
        <f>CA$10*(1+((H55/H$10-1)*costos!$B$7+((I55*F55)/(I$10*F$10)-1)*costos!$E$7+((J55*F55)/((J$10*F$10)-1)*costos!$F$7/3+((K55*F55)/(K$10*F$10)-1)*costos!$F$7/3+((U55*F55)/(U$10*F$10)-1)*costos!$F$7/3+((L55*F55)/(L$10*F$10)-1)*costos!$G$7+((S55*F55)/(S$10*F$10)-1)*costos!$J$7+((V55*F55)/(V$10*F$10)-1)*costos!$K$7)))</f>
        <v>409.93535410733227</v>
      </c>
      <c r="CB55" s="92">
        <f>CB$10*(1+((H55/H$10-1)*costos!$B$8+((I55*F55)/(I$10*F$10)-1)*costos!$E$8+((J55*F55)/((J$10*F$10)-1)*costos!$F$8/3+((K55*F55)/(K$10*F$10)-1)*costos!$F$8/3+((U55*F55)/(U$10*F$10)-1)*costos!$F$8/3+((L55*F55)/(L$10*F$10)-1)*costos!$G$8+((T55*F55)/(T$10*F$10)-1)*costos!$J$8+((V55*F55)/(V$10*F$10)-1)*costos!$K$8)))</f>
        <v>399.8150111841374</v>
      </c>
      <c r="CC55" s="92">
        <f>CC$10*(1+((H55/H$10-1)*costos!$B$9+((I55*F55)/(I$10*F$10)-1)*costos!$E$9+((J55*F55)/((J$10*F$10)-1)*costos!$F$9/3+((K55*F55)/(K$10*F$10)-1)*costos!$F$9/3+((U55*F55)/(U$10*F$10)-1)*costos!$F$9/3+((L55*F55)/(L$10*F$10)-1)*costos!$G$9+((U55*F55)/(U$10*F$10)-1)*costos!$J$9+((V55*F55)/(V$10*F$10)-1)*costos!$K$9)))</f>
        <v>401.95362804617753</v>
      </c>
      <c r="CD55" s="92">
        <f>CD$10*(1+((H55/H$10-1)*costos!$B$11+((I55*F55)/(I$10*F$10)-1)*costos!$E$11+((J55*F55)/((J$10*F$10)-1)*costos!$F$11/3+((K55*F55)/(K$10*F$10)-1)*costos!$F$11/3+((U55*F55)/(U$10*F$10)-1)*costos!$F$11/3+((L55*F55)/(L$10*F$10)-1)*costos!$G$11+((V55*F55)/(V$10*F$10)-1)*costos!$J$11+((V55*F55)/(V$10*F$10)-1)*costos!$K$11)))</f>
        <v>427.16288141399713</v>
      </c>
      <c r="CE55" s="92">
        <f>CE$10*(1+((H55/H$10-1)*costos!$B$12+((I55*F55)/(I$10*F$10)-1)*costos!$E$12+((J55*F55)/((J$10*F$10)-1)*costos!$F$12/3+((K55*F55)/(K$10*F$10)-1)*costos!$F$12/3+((U55*F55)/(U$10*F$10)-1)*costos!$F$12/3+((L55*F55)/(L$10*F$10)-1)*costos!$G$12+((W55*F55)/(W$10*F$10)-1)*costos!$J$12+((V55*F55)/(V$10*F$10)-1)*costos!$K$12)))</f>
        <v>392.46585908134904</v>
      </c>
      <c r="CF55" s="92">
        <f>CF$10*(1+((H55/H$10-1)*costos!$B$13+((I55*F55)/(I$10*F$10)-1)*costos!$E$13+((J55*F55)/((J$10*F$10)-1)*costos!$F$13/3+((K55*F55)/(K$10*F$10)-1)*costos!$F$13/3+((U55*F55)/(U$10*F$10)-1)*costos!$F$13/3+((L55*F55)/(L$10*F$10)-1)*costos!$G$13+((X55*F55)/(X$10*F$10)-1)*costos!$J$13+((V55*F55)/(V$10*F$10)-1)*costos!$K$13)))</f>
        <v>430.60758830132892</v>
      </c>
      <c r="CG55" s="92">
        <f t="shared" si="257"/>
        <v>410.32338702238707</v>
      </c>
      <c r="CH55" s="92">
        <f>CH$10*(1+((H55/H$10-1)*costos!$B$10+((I55*F55)/(I$10*F$10)-1)*costos!$E$10+((J55*F55)/((J$10*F$10)-1)*costos!$F$10/3+((K55*F55)/(K$10*F$10)-1)*costos!$F$10/3+((U55*F55)/(U$10*F$10)-1)*costos!$F$10/3+((L55*F55)/(L$10*F$10)-1)*costos!$G$10+((AF55)/(AF$10)-1)*costos!$J$10+((V55*F55)/(V$10*F$10)-1)*costos!$K$10)))</f>
        <v>445.56882174639281</v>
      </c>
      <c r="CI55" s="92">
        <f>CI$10*(1+((H55/H$10-1)*costos!$B$15+((I55*F55)/(I$10*F$10)-1)*costos!$E$15+((J55*F55)/((J$10*F$10)-1)*costos!$F$15/3+((K55*F55)/(K$10*F$10)-1)*costos!$F$15/3+((U55*F55)/(U$10*F$10)-1)*costos!$F$15/3+((L55*F55)/(L$10*F$10)-1)*costos!$G$15+((AV55)/(AV$10)-1)*costos!$J$15+((V55*F55)/(V$10*F$10)-1)*costos!$K$15)))</f>
        <v>388.67399840840807</v>
      </c>
      <c r="CJ55" s="92">
        <f>CJ$10*(1+((H55/H$10-1)*costos!$B$16+((I55*F55)/(I$10*F$10)-1)*costos!$E$16+((J55*F55)/((J$10*F$10)-1)*costos!$F$16/3+((K55*F55)/(K$10*F$10)-1)*costos!$F$16/3+((U55*F55)/(U$10*F$10)-1)*costos!$F$16/3+((L55*F55)/(L$10*F$10)-1)*costos!$G$16+((AW55)/(AW$10)-1)*costos!$J$16+((V55*F55)/(V$10*F$10)-1)*costos!$K$16)))</f>
        <v>331.29010897106497</v>
      </c>
      <c r="CK55" s="92">
        <f>CK$10*(1+((H55/H$10-1)*costos!$B$17+((I55*F55)/(I$10*F$10)-1)*costos!$E$17+((J55*F55)/((J$10*F$10)-1)*costos!$F$17/3+((K55*F55)/(K$10*F$10)-1)*costos!$F$17/3+((U55*F55)/(U$10*F$10)-1)*costos!$F$17/3+((L55*F55)/(L$10*F$10)-1)*costos!$G$17+((AX55)/(AX$10)-1)*costos!$J$17+((V55*F55)/(V$10*F$10)-1)*costos!$K$17)))</f>
        <v>430.32814675846822</v>
      </c>
      <c r="CL55" s="92">
        <f>CL$10*(1+((H55/H$10-1)*costos!$B$18+((I55*F55)/(I$10*F$10)-1)*costos!$E$18+((J55*F55)/((J$10*F$10)-1)*costos!$F$18/3+((K55*F55)/(K$10*F$10)-1)*costos!$F$18/3+((U55*F55)/(U$10*F$10)-1)*costos!$F$18/3+((L55*F55)/(L$10*F$10)-1)*costos!$G$18+((AY55)/(AY$10)-1)*costos!$J$18+((V55*F55)/(V$10*F$10)-1)*costos!$K$18)))</f>
        <v>395.31845040563149</v>
      </c>
      <c r="CM55" s="92">
        <f>CM$10*(1+((H55/H$10-1)*costos!$B$19+((I55*F55)/(I$10*F$10)-1)*costos!$E$19+((J55*F55)/((J$10*F$10)-1)*costos!$F$19/3+((K55*F55)/(K$10*F$10)-1)*costos!$F$19/3+((U55*F55)/(U$10*F$10)-1)*costos!$F$19/3+((L55*F55)/(L$10*F$10)-1)*costos!$G$19+((AZ55)/(AZ$10)-1)*costos!$J$19+((V55*F55)/(V$10*F$10)-1)*costos!$K$19)))</f>
        <v>292.00290974838032</v>
      </c>
      <c r="CN55" s="92">
        <f>CN$10*(1+((H55/H$10-1)*costos!$B$20+((I55*F55)/(I$10*F$10)-1)*costos!$E$20+((J55*F55)/((J$10*F$10)-1)*costos!$F$20/3+((K55*F55)/(K$10*F$10)-1)*costos!$F$20/3+((U55*F55)/(U$10*F$10)-1)*costos!$F$20/3+((L55*F55)/(L$10*F$10)-1)*costos!$G$20+((BA55)/(BA$10)-1)*costos!$J$20+((V55*F55)/(V$10*F$10)-1)*costos!$K$20)))</f>
        <v>393.25674532259148</v>
      </c>
      <c r="CO55" s="92">
        <f t="shared" si="258"/>
        <v>377.72656305876791</v>
      </c>
      <c r="CP55" s="92">
        <f>CP$10*(1+((H55/H$10-1)*costos!$B$22+((I55*F55)/(I$10*F$10)-1)*costos!$E$22+((J55*F55)/((J$10*F$10)-1)*costos!$F$22/3+((K55*F55)/(K$10*F$10)-1)*costos!$F$22/3+((U55*F55)/(U$10*F$10)-1)*costos!$F$22/3+((L55*F55)/(L$10*F$10)-1)*costos!$G$22+(((AVERAGE(AI55:AL55))/((AVERAGE(AI$10:AL$10))-1)*costos!$J$22+((V55*F55)/(V$10*F$10)-1)*costos!$K$22)))))</f>
        <v>381.01070267378338</v>
      </c>
      <c r="CQ55" s="92">
        <f>CQ$10*(1+((H55/H$10-1)*costos!$B$23+((I55*F55)/(I$10*F$10)-1)*costos!$E$23+((J55*F55)/((J$10*F$10)-1)*costos!$F$23/3+((K55*F55)/(K$10*F$10)-1)*costos!$F$23/3+((U55*F55)/(U$10*F$10)-1)*costos!$F$23/3+((L55*F55)/(L$10*F$10)-1)*costos!$G$23+((AN55)/(AN$10)-1)*costos!$J$23+((V55*F55)/(V$10*F$10)-1)*costos!$K$23)))</f>
        <v>332.20737946160693</v>
      </c>
      <c r="CR55" s="92">
        <f>CR$10*(1+((H55/H$10-1)*costos!$B$24+((I55*F55)/(I$10*F$10)-1)*costos!$E$24+((J55*F55)/((J$10*F$10)-1)*costos!$F$24/3+((K55*F55)/(K$10*F$10)-1)*costos!$F$24/3+((U55*F55)/(U$10*F$10)-1)*costos!$F$24/3+((L55*F55)/(L$10*F$10)-1)*costos!$G$24+((AO55)/(AO$10)-1)*costos!$J$24+((V55*F55)/(V$10*F$10)-1)*costos!$K$24)))</f>
        <v>333.97686786367029</v>
      </c>
      <c r="CS55" s="92">
        <f t="shared" si="62"/>
        <v>333.09212366263864</v>
      </c>
      <c r="CT55" s="92">
        <f>CT$10*(1+((H55/H$10-1)*costos!$B$25+((I55*F55)/(I$10*F$10)-1)*costos!$E$25+((J55*F55)/((J$10*F$10)-1)*costos!$F$25/3+((K55*F55)/(K$10*F$10)-1)*costos!$F$25/3+((U55*F55)/(U$10*F$10)-1)*costos!$F$25/3+((L55*F55)/(L$10*F$10)-1)*costos!$G$25+((AQ55)/(AQ$10)-1)*costos!$J$25+((V55*F55)/(V$10*F$10)-1)*costos!$K$25)))</f>
        <v>326.09616161600127</v>
      </c>
      <c r="CU55" s="92">
        <f>CU$10*(1+((H55/H$10-1)*costos!$B$26+((I55*F55)/(I$10*F$10)-1)*costos!$E$26+((J55*F55)/((J$10*F$10)-1)*costos!$F$26/3+((K55*F55)/(K$10*F$10)-1)*costos!$F$26/3+((U55*F55)/(U$10*F$10)-1)*costos!$F$26/3+((L55*F55)/(L$10*F$10)-1)*costos!$G$26+((AR55)/(AR$10)-1)*costos!$J$26+((V55*F55)/(V$10*F$10)-1)*costos!$K$26)))</f>
        <v>343.11478823178766</v>
      </c>
      <c r="CV55" s="92">
        <f>CV$10*(1+((H55/H$10-1)*costos!$B$27+((I55*F55)/(I$10*F$10)-1)*costos!$E$27+((J55*F55)/((J$10*F$10)-1)*costos!$F$27/3+((K55*F55)/(K$10*F$10)-1)*costos!$F$27/3+((U55*F55)/(U$10*F$10)-1)*costos!$F$27/3+((L55*F55)/(L$10*F$10)-1)*costos!$G$27+((AS55)/(AS$10)-1)*costos!$J$27+((V55*F55)/(V$10*F$10)-1)*costos!$K$27)))</f>
        <v>336.10826688862278</v>
      </c>
      <c r="CW55" s="92">
        <f>CW$10*(1+((H55/H$10-1)*costos!$B$28+((I55*F55)/(I$10*F$10)-1)*costos!$E$28+((J55*F55)/((J$10*F$10)-1)*costos!$F$28/3+((K55*F55)/(K$10*F$10)-1)*costos!$F$28/3+((U55*F55)/(U$10*F$10)-1)*costos!$F$28/3+((L55*F55)/(L$10*F$10)-1)*costos!$G$28+((AS55)/(AS$10)-1)*costos!$J$28+((V55*F55)/(V$10*F$10)-1)*costos!$K$28)))</f>
        <v>336.10826688862278</v>
      </c>
      <c r="CX55" s="92">
        <f t="shared" si="259"/>
        <v>338.44377400301107</v>
      </c>
      <c r="CY55" s="92">
        <f>CY$10*(1+((H55/H$10-1)*costos!$B$32+((I55*F55)/(I$10*F$10)-1)*costos!$E$32+((J55*F55)/((J$10*F$10)-1)*costos!$F$32/3+((K55*F55)/(K$10*F$10)-1)*costos!$F$32/3+((U55*F55)/(U$10*F$10)-1)*costos!$F$32/3+((L55*F55)/(L$10*F$10)-1)*costos!$G$32+((AG55)/(AG$10)-1)*costos!$J$32+((V55*F55)/(V$10*F$10)-1)*costos!$K$32)))</f>
        <v>335.13288047250131</v>
      </c>
      <c r="CZ55" s="69">
        <f>CZ$10*(1+((H55/H$10-1)*costos!$B$31+((I55*F55)/(I$10*F$10)-1)*costos!$E$30+((J55*F55)/((J$10*F$10)-1)*costos!$F$30/3+((K55*F55)/(K$10*F$10)-1)*costos!$F$30/3+((U55*F55)/(U$10*F$10)-1)*costos!$F$30/3+((L55*F55)/(L$10*F$10)-1)*costos!$G$30+((BG55)/(BG$10)-1)*costos!$J$30+((V55*F55)/(V$10*F$10)-1)*costos!$K$30)))</f>
        <v>403.59834263142335</v>
      </c>
      <c r="DA55" s="69">
        <f>DA$10*(1+((H55/H$10-1)*costos!$B$31+((I55*F55)/(I$10*F$10)-1)*costos!$E$31+((J55*F55)/((J$10*F$10)-1)*costos!$F$31/3+((K55*F55)/(K$10*F$10)-1)*costos!$F$31/3+((U55*F55)/(U$10*F$10)-1)*costos!$F$31/3+((L55*F55)/(L$10*F$10)-1)*costos!$G$31+((BJ55)/(BJ$10)-1)*costos!$J$31+((V55*F55)/(V$10*F$10)-1)*costos!$K$31)))</f>
        <v>343.83503373326204</v>
      </c>
      <c r="DB55" s="69">
        <f>DB$10*(1+((H55/H$10-1)*costos!$B$36+((I55*F55)/(I$10*F$10)-1)*costos!$E$36+((J55*F55)/((J$10*F$10)-1)*costos!$F$36/3+((K55*F55)/(K$10*F$10)-1)*costos!$F$36/3+((U55*F55)/(U$10*F$10)-1)*costos!$F$36/3+((L55*F55)/(L$10*F$10)-1)*costos!$G$36+((BK55)/(BK$10)-1)*costos!$J$36+((V55*F55)/(V$10*F$10)-1)*costos!$K$36)))</f>
        <v>356.62644524087551</v>
      </c>
      <c r="DC55" s="69">
        <f>DC$10*(1+((H55/H$10-1)*costos!$B$37+((I55*F55)/(I$10*F$10)-1)*costos!$E$37+((U55*F55)/(U$10*F$10)-1)*costos!$F$37+((L55*F55)/(L$10*F$10)-1)*costos!$G$37+((BN55)/(BN$10)-1)*costos!$J$37+((V55*F55)/(V$10*F$10)-1)*costos!$K$37))</f>
        <v>408.09543402029709</v>
      </c>
      <c r="DD55" s="69">
        <f>DD$10*(1+((H55/H$10-1)*costos!$B$39+((I55*F55)/(I$10*F$10)-1)*costos!$E$39+((U55*F55)/(U$10*F$10)-1)*costos!$F$39+((L55*F55)/(L$10*F$10)-1)*costos!$G$39+((BR55)/(BR$10)-1)*costos!$J$39+((V55*F55)/(V$10*F$10)-1)*costos!$K$39))</f>
        <v>398.24044054405954</v>
      </c>
      <c r="DE55" s="69">
        <f>DD$10*(1+((H55/H$10-1)*costos!$B$35+((I55*F55)/(I$10*F$10)-1)*costos!$E$35+((U55*F55)/(U$10*F$10)-1)*costos!$F$35+((L55*F55)/(L$10*F$10)-1)*costos!$G$35+((BR55)/(BR$10)-1)*costos!$J$35+((V55*F55)/(V$10*F$10)-1)*costos!$K$35))</f>
        <v>364.76550369989968</v>
      </c>
      <c r="DF55" s="69">
        <f>DF$10*(1+((H55/H$10-1)*costos!$B$40+((I55*F55)/(I$10*F$10)-1)*costos!$E$40+((U55*F55)/(U$10*F$10)-1)*costos!$F$40+((L55*F55)/(L$10*F$10)-1)*costos!$G$40+((BP55)/(BP$10)-1)*costos!$J$40+((V55*F55)/(V$10*F$10)-1)*costos!$K$40))</f>
        <v>410.07418382191679</v>
      </c>
      <c r="DG55" s="92">
        <f t="shared" si="260"/>
        <v>387.41984376090824</v>
      </c>
      <c r="DH55" s="69">
        <f>DH$10*(1+((H55/H$10-1)*costos!$B$34+((I55*F55)/(I$10*F$10)-1)*costos!$E$34+((J55*F55)/((J$10*F$10)-1)*costos!$F$34/3+((K55*F55)/(K$10*F$10)-1)*costos!$F$34/3+((U55*F55)/(U$10*F$10)-1)*costos!$F$34/3+((L55*F55)/(L$10*F$10)-1)*costos!$G$34+((BV55)/(BV$10)-1)*costos!$J$34+((V55*F55)/(V$10*F$10)-1)*costos!$K$34)))</f>
        <v>357.72867009462379</v>
      </c>
      <c r="DI55" s="69">
        <f>DI$10*(1+((H55/H$10-1)*costos!$B$38+((I55*F55)/(I$10*F$10)-1)*costos!$E$38+((J55*F55)/((J$10*F$10)-1)*costos!$F$38/3+((K55*F55)/(K$10*F$10)-1)*costos!$F$38/3+((U55*F55)/(U$10*F$10)-1)*costos!$F$38/3+((L55*F55)/(L$10*F$10)-1)*costos!$G$38+((BU55)/(BU$10)-1)*costos!$J$38+((V55*F55)/(V$10*F$10)-1)*costos!$K$38)))</f>
        <v>340.56661920149929</v>
      </c>
      <c r="DK55" s="1">
        <v>450000</v>
      </c>
      <c r="DL55" s="1" t="s">
        <v>323</v>
      </c>
      <c r="DM55" s="1">
        <v>193000</v>
      </c>
      <c r="DN55" s="1" t="s">
        <v>323</v>
      </c>
      <c r="DO55" s="1">
        <v>1330000</v>
      </c>
      <c r="DP55" s="1" t="s">
        <v>323</v>
      </c>
      <c r="DQ55" s="1">
        <v>1700000</v>
      </c>
      <c r="DR55" s="1" t="s">
        <v>323</v>
      </c>
      <c r="DS55" s="1">
        <v>6400000</v>
      </c>
      <c r="DT55" s="1" t="s">
        <v>323</v>
      </c>
      <c r="DU55" s="1">
        <v>17100000</v>
      </c>
      <c r="DV55" s="1" t="s">
        <v>323</v>
      </c>
      <c r="DW55" s="1">
        <v>510000</v>
      </c>
      <c r="DX55" s="1" t="s">
        <v>323</v>
      </c>
      <c r="DY55" s="1">
        <v>6950000</v>
      </c>
      <c r="DZ55" s="1" t="s">
        <v>323</v>
      </c>
      <c r="EA55" s="79">
        <f t="shared" si="67"/>
        <v>33990000</v>
      </c>
      <c r="EB55" s="1">
        <v>400000</v>
      </c>
      <c r="EC55" s="1" t="s">
        <v>323</v>
      </c>
      <c r="ED55" s="83">
        <v>170782</v>
      </c>
      <c r="EE55" s="143">
        <v>2019</v>
      </c>
      <c r="EF55" s="1">
        <v>215169</v>
      </c>
      <c r="EG55" s="6">
        <v>2019</v>
      </c>
      <c r="EH55" s="83">
        <v>55007853</v>
      </c>
      <c r="EI55" s="6">
        <v>2019</v>
      </c>
      <c r="EJ55" s="1">
        <f t="shared" si="269"/>
        <v>5128954</v>
      </c>
      <c r="EK55" s="6">
        <f t="shared" si="269"/>
        <v>2019</v>
      </c>
      <c r="EL55" s="1">
        <v>14339908</v>
      </c>
      <c r="EM55" s="6">
        <v>2018</v>
      </c>
      <c r="EN55" s="1">
        <v>3400522</v>
      </c>
      <c r="EO55" s="6">
        <v>2018</v>
      </c>
      <c r="EP55" s="82">
        <f t="shared" si="267"/>
        <v>6552</v>
      </c>
      <c r="EQ55" s="83">
        <f t="shared" si="267"/>
        <v>3038588</v>
      </c>
      <c r="ER55" s="1">
        <f t="shared" si="189"/>
        <v>33739</v>
      </c>
      <c r="ES55" s="1"/>
      <c r="ET55" s="83">
        <f t="shared" si="270"/>
        <v>20884</v>
      </c>
      <c r="EU55" s="83">
        <f t="shared" si="270"/>
        <v>17312</v>
      </c>
      <c r="EV55" s="83">
        <f t="shared" si="270"/>
        <v>9130</v>
      </c>
      <c r="EW55" s="83">
        <f t="shared" si="270"/>
        <v>17152</v>
      </c>
      <c r="EX55" s="79">
        <f t="shared" si="72"/>
        <v>64478</v>
      </c>
      <c r="EY55" s="83">
        <f t="shared" si="264"/>
        <v>19636</v>
      </c>
      <c r="EZ55" s="82">
        <f t="shared" si="255"/>
        <v>76171</v>
      </c>
      <c r="FA55" s="82">
        <f t="shared" si="264"/>
        <v>20432</v>
      </c>
      <c r="FB55" s="82">
        <f t="shared" si="264"/>
        <v>18034</v>
      </c>
      <c r="FC55" s="79">
        <f t="shared" si="73"/>
        <v>38466</v>
      </c>
      <c r="FD55" s="83">
        <f t="shared" si="158"/>
        <v>61643.420000000013</v>
      </c>
      <c r="FE55" s="1"/>
      <c r="FF55" s="1">
        <v>870000</v>
      </c>
      <c r="FG55" s="1" t="s">
        <v>223</v>
      </c>
      <c r="FH55" s="1">
        <v>1200000</v>
      </c>
      <c r="FI55" s="1" t="s">
        <v>223</v>
      </c>
      <c r="FJ55" s="1">
        <v>5060000</v>
      </c>
      <c r="FK55" s="1" t="s">
        <v>223</v>
      </c>
      <c r="FL55" s="1">
        <v>3800000</v>
      </c>
      <c r="FM55" s="1" t="s">
        <v>223</v>
      </c>
      <c r="FN55" s="1">
        <v>48000000</v>
      </c>
      <c r="FO55" s="1" t="s">
        <v>223</v>
      </c>
      <c r="FP55" s="1">
        <v>55300000</v>
      </c>
      <c r="FQ55" s="1" t="s">
        <v>223</v>
      </c>
      <c r="FR55" s="1">
        <v>1600000</v>
      </c>
      <c r="FS55" s="1" t="s">
        <v>223</v>
      </c>
      <c r="FT55" s="1">
        <v>19460000</v>
      </c>
      <c r="FU55" s="1" t="s">
        <v>223</v>
      </c>
      <c r="FV55" s="79">
        <f t="shared" si="76"/>
        <v>133220000</v>
      </c>
      <c r="FW55" s="1">
        <v>1300000</v>
      </c>
      <c r="FX55" s="1" t="s">
        <v>223</v>
      </c>
      <c r="FY55" s="1">
        <v>26.5</v>
      </c>
      <c r="FZ55" s="79">
        <f t="shared" si="135"/>
        <v>825056.35400000017</v>
      </c>
      <c r="GA55" s="86" t="str">
        <f t="shared" si="271"/>
        <v>nov18 oct19</v>
      </c>
      <c r="GB55" s="1">
        <v>25198862</v>
      </c>
      <c r="GC55" s="6">
        <v>2019</v>
      </c>
      <c r="GD55" s="83">
        <f t="shared" si="265"/>
        <v>2061660</v>
      </c>
      <c r="GE55" s="83">
        <f t="shared" si="265"/>
        <v>421371</v>
      </c>
      <c r="GF55" s="83">
        <f t="shared" si="239"/>
        <v>1038352</v>
      </c>
      <c r="GG55" s="83">
        <f t="shared" si="268"/>
        <v>114695</v>
      </c>
      <c r="GH55" s="79">
        <f t="shared" si="240"/>
        <v>1574418</v>
      </c>
      <c r="GI55" s="82">
        <f t="shared" si="232"/>
        <v>1302556</v>
      </c>
      <c r="GJ55" s="83">
        <f t="shared" si="215"/>
        <v>673662.3</v>
      </c>
      <c r="GK55" s="83">
        <f t="shared" si="216"/>
        <v>1162000</v>
      </c>
      <c r="GL55" s="83">
        <f t="shared" si="217"/>
        <v>290589.5</v>
      </c>
      <c r="GM55" s="83">
        <f t="shared" si="218"/>
        <v>258882.47</v>
      </c>
      <c r="GN55" s="79">
        <f t="shared" si="81"/>
        <v>2385134.27</v>
      </c>
      <c r="GO55" s="83">
        <f t="shared" si="266"/>
        <v>196709</v>
      </c>
      <c r="GP55" s="83">
        <f t="shared" si="266"/>
        <v>71194.64</v>
      </c>
      <c r="GQ55" s="83">
        <v>45060</v>
      </c>
      <c r="GR55" s="82">
        <f t="shared" si="266"/>
        <v>43750</v>
      </c>
      <c r="GS55" s="79">
        <f t="shared" si="192"/>
        <v>45101.8</v>
      </c>
      <c r="GT55" s="83">
        <f t="shared" si="108"/>
        <v>2600000</v>
      </c>
      <c r="GU55" s="83">
        <v>20789</v>
      </c>
      <c r="GV55" s="83">
        <v>38441</v>
      </c>
      <c r="GW55" s="79">
        <f t="shared" si="261"/>
        <v>1063185</v>
      </c>
      <c r="GX55" s="1">
        <v>32193.503000000001</v>
      </c>
      <c r="GY55" s="1" t="s">
        <v>314</v>
      </c>
      <c r="GZ55" s="1">
        <v>107349</v>
      </c>
      <c r="HA55" s="1">
        <v>292923</v>
      </c>
      <c r="HB55" s="79">
        <f t="shared" si="241"/>
        <v>3074762</v>
      </c>
      <c r="HC55" s="86" t="str">
        <f t="shared" si="272"/>
        <v>nov18 oct19</v>
      </c>
      <c r="HD55" s="1">
        <v>52811</v>
      </c>
      <c r="HE55" s="79">
        <f t="shared" si="139"/>
        <v>629847</v>
      </c>
      <c r="HF55" s="86" t="str">
        <f t="shared" si="273"/>
        <v>nov18 oct19</v>
      </c>
      <c r="HG55" s="83">
        <v>196000</v>
      </c>
      <c r="HH55" s="79">
        <f t="shared" si="242"/>
        <v>2173083.3333333335</v>
      </c>
      <c r="HI55" s="86" t="str">
        <f t="shared" si="274"/>
        <v>nov18 oct19</v>
      </c>
      <c r="HJ55" s="83">
        <v>91008</v>
      </c>
      <c r="HK55" s="79">
        <f t="shared" si="278"/>
        <v>60949.236000000012</v>
      </c>
      <c r="HL55" s="86" t="str">
        <f t="shared" si="275"/>
        <v>nov18 oct19</v>
      </c>
      <c r="HM55" s="79">
        <f t="shared" si="86"/>
        <v>2234032.5693333335</v>
      </c>
      <c r="HN55" s="87">
        <f t="shared" si="279"/>
        <v>9.4917935534901687E-3</v>
      </c>
      <c r="HO55" s="1">
        <v>1021000000</v>
      </c>
      <c r="HP55" s="79">
        <f t="shared" si="153"/>
        <v>10288.6</v>
      </c>
      <c r="HQ55" s="86" t="str">
        <f t="shared" si="276"/>
        <v>nov18 oct19</v>
      </c>
      <c r="HR55" s="1"/>
      <c r="HS55" s="1"/>
      <c r="HT55" s="1"/>
      <c r="HU55" s="1">
        <v>650000</v>
      </c>
      <c r="HV55" s="1" t="s">
        <v>223</v>
      </c>
      <c r="HW55" s="1">
        <v>1500000</v>
      </c>
      <c r="HX55" s="1" t="s">
        <v>223</v>
      </c>
      <c r="HY55" s="1">
        <v>3890000</v>
      </c>
      <c r="HZ55" s="1" t="s">
        <v>223</v>
      </c>
      <c r="IA55" s="1">
        <f t="shared" si="280"/>
        <v>21220000.000000004</v>
      </c>
      <c r="IB55" s="1" t="s">
        <v>223</v>
      </c>
      <c r="IC55" s="1">
        <v>48900000</v>
      </c>
      <c r="ID55" s="1" t="s">
        <v>223</v>
      </c>
      <c r="IE55" s="1">
        <f t="shared" ref="IE55:IE68" si="281">(0.15+1)*1000000</f>
        <v>1150000</v>
      </c>
      <c r="IF55" s="1" t="s">
        <v>223</v>
      </c>
      <c r="IG55" s="1">
        <f>(5.95+0.9)*1000000</f>
        <v>6850000.0000000009</v>
      </c>
      <c r="IH55" s="1" t="s">
        <v>223</v>
      </c>
      <c r="II55" s="79">
        <f t="shared" si="87"/>
        <v>83510000</v>
      </c>
      <c r="IJ55" s="97">
        <f t="shared" si="256"/>
        <v>1.6398844694935004</v>
      </c>
      <c r="IK55" s="1" t="s">
        <v>223</v>
      </c>
      <c r="IL55" s="97">
        <v>45.19</v>
      </c>
      <c r="IM55" s="7">
        <v>52.86</v>
      </c>
      <c r="IN55" s="98">
        <v>182</v>
      </c>
      <c r="IO55" s="695">
        <v>14.22</v>
      </c>
      <c r="IP55" s="98">
        <f t="shared" si="236"/>
        <v>5.9589447821200423</v>
      </c>
      <c r="IQ55" s="98">
        <v>19.7</v>
      </c>
      <c r="IR55" s="98">
        <f t="shared" si="243"/>
        <v>5.93</v>
      </c>
      <c r="IS55" s="98">
        <f t="shared" si="244"/>
        <v>5.67</v>
      </c>
      <c r="IT55" s="98">
        <f t="shared" si="245"/>
        <v>11.35</v>
      </c>
      <c r="IU55" s="98">
        <f t="shared" si="246"/>
        <v>0.88</v>
      </c>
      <c r="IV55" s="94">
        <f t="shared" si="89"/>
        <v>17.899999999999999</v>
      </c>
      <c r="IW55" s="1"/>
      <c r="IX55" s="1"/>
      <c r="IY55" s="105">
        <v>1.84</v>
      </c>
      <c r="IZ55" s="161">
        <v>0.5</v>
      </c>
      <c r="JA55" s="83">
        <v>1000</v>
      </c>
      <c r="JB55" s="161">
        <v>40.24</v>
      </c>
      <c r="JC55" s="1"/>
      <c r="JD55" s="1"/>
      <c r="JF55" s="2">
        <v>10.853256049999999</v>
      </c>
      <c r="JG55" s="2">
        <v>15.7642744</v>
      </c>
      <c r="JH55" s="2">
        <v>56.320776790000004</v>
      </c>
      <c r="JI55" s="2">
        <v>41.431137540000002</v>
      </c>
      <c r="JJ55" s="2">
        <v>505.28482033999995</v>
      </c>
      <c r="JK55" s="2">
        <v>87.151445869999961</v>
      </c>
      <c r="JL55" s="2">
        <v>1700.99301526</v>
      </c>
      <c r="JM55" s="2">
        <v>1.54365675</v>
      </c>
      <c r="JN55" s="2">
        <v>69.483969980000012</v>
      </c>
      <c r="JO55" s="2">
        <v>20.970704699999995</v>
      </c>
      <c r="JP55" s="2">
        <v>0</v>
      </c>
      <c r="JQ55" s="2">
        <v>5.4669999999999996E-3</v>
      </c>
      <c r="JR55" s="2">
        <v>0.60441773999999993</v>
      </c>
      <c r="JS55" s="2">
        <v>0</v>
      </c>
      <c r="JT55" s="2">
        <v>0</v>
      </c>
      <c r="JU55" s="2">
        <v>87.358679149999986</v>
      </c>
      <c r="JV55" s="2">
        <v>7.2033316799999998</v>
      </c>
      <c r="JW55" s="2">
        <v>7.9853260800000001</v>
      </c>
      <c r="JX55" s="2">
        <v>13.608038730000001</v>
      </c>
      <c r="JY55" s="2">
        <v>0</v>
      </c>
      <c r="JZ55" s="2">
        <v>1.8326528600000001</v>
      </c>
      <c r="KA55" s="2">
        <v>0.5405887800000001</v>
      </c>
      <c r="KB55" s="2">
        <v>5.6581823800000004</v>
      </c>
      <c r="KC55" s="2">
        <v>21.51329217</v>
      </c>
      <c r="KD55" s="2">
        <v>7.5709912500000005</v>
      </c>
      <c r="KE55" s="2">
        <v>12.485486629999999</v>
      </c>
      <c r="KF55" s="2">
        <v>41.840076290000006</v>
      </c>
      <c r="KG55" s="2">
        <v>447.8841271</v>
      </c>
      <c r="KH55" s="2">
        <v>98.142500720000001</v>
      </c>
      <c r="KI55" s="2">
        <v>12.340960110000001</v>
      </c>
      <c r="KJ55" s="2">
        <v>2.86010337</v>
      </c>
      <c r="KK55" s="2">
        <v>6.5976562399999992</v>
      </c>
      <c r="KL55" s="2">
        <v>0.5481357</v>
      </c>
      <c r="KM55" s="2">
        <v>1.1926914000000002</v>
      </c>
      <c r="KN55" s="2">
        <v>0.51684834999999996</v>
      </c>
      <c r="KO55" s="2">
        <v>1.5661780600000001</v>
      </c>
      <c r="KP55" s="2">
        <v>3.7393259999999998E-2</v>
      </c>
      <c r="KQ55" s="2">
        <v>27.873065709999999</v>
      </c>
      <c r="KR55" s="2">
        <v>1.6766419999999997E-2</v>
      </c>
      <c r="KS55" s="2">
        <v>0.26396315999999997</v>
      </c>
      <c r="KT55" s="2">
        <v>1.2491984699999998</v>
      </c>
      <c r="KU55" s="2">
        <v>0.20914962000000001</v>
      </c>
      <c r="KV55" s="2">
        <v>0.23348521000000003</v>
      </c>
      <c r="KW55" s="2">
        <v>3.5890576899999997</v>
      </c>
      <c r="KX55" s="2">
        <v>0</v>
      </c>
      <c r="KY55" s="2">
        <v>7.7055820000000011E-2</v>
      </c>
      <c r="KZ55" s="2">
        <v>0.92005986999999989</v>
      </c>
      <c r="LA55" s="2">
        <v>0.36577149999999997</v>
      </c>
      <c r="LB55" s="2">
        <v>2.8520380000000001E-2</v>
      </c>
      <c r="LC55" s="2">
        <v>4.7605970000000004E-2</v>
      </c>
      <c r="LD55" s="2">
        <v>0</v>
      </c>
      <c r="LE55" s="2">
        <v>9.7476349999999989E-2</v>
      </c>
      <c r="LF55" s="2">
        <v>9.4779570000000007E-2</v>
      </c>
      <c r="LG55" s="2">
        <v>14.72783834</v>
      </c>
      <c r="LH55" s="2">
        <v>4.2506514100000006</v>
      </c>
      <c r="LI55" s="2">
        <v>1.6835979799999998</v>
      </c>
      <c r="LJ55" s="2">
        <v>0</v>
      </c>
      <c r="LK55" s="2">
        <v>1.8647772799999998</v>
      </c>
      <c r="LL55" s="2">
        <v>3.5197664899999999</v>
      </c>
      <c r="LM55" s="2">
        <v>1.53630646</v>
      </c>
      <c r="LN55" s="2">
        <v>0.47708170999999994</v>
      </c>
      <c r="LO55" s="2">
        <v>7.8475987300000005</v>
      </c>
      <c r="LQ55" s="85">
        <f t="shared" si="247"/>
        <v>2375.05737666</v>
      </c>
      <c r="LR55" s="85">
        <f t="shared" si="248"/>
        <v>0.60988473999999993</v>
      </c>
      <c r="LS55" s="85">
        <f t="shared" si="249"/>
        <v>15.18865776</v>
      </c>
      <c r="LT55" s="85">
        <f t="shared" si="250"/>
        <v>2.3732416400000003</v>
      </c>
      <c r="LU55" s="85">
        <f t="shared" si="251"/>
        <v>31.429513099999998</v>
      </c>
      <c r="LV55" s="85">
        <f t="shared" si="252"/>
        <v>3.8995987199999997</v>
      </c>
      <c r="LW55" s="85">
        <f t="shared" si="253"/>
        <v>0.39429187999999998</v>
      </c>
      <c r="LX55" s="85">
        <f t="shared" si="254"/>
        <v>0.19225592</v>
      </c>
      <c r="LZ55" s="131">
        <v>67.25</v>
      </c>
      <c r="MA55" s="171">
        <v>50.38</v>
      </c>
      <c r="MB55"/>
      <c r="MC55"/>
      <c r="MD55"/>
      <c r="MF55"/>
      <c r="MG55"/>
      <c r="MH55" s="83">
        <v>100.62</v>
      </c>
      <c r="MI55" s="83">
        <v>38.9</v>
      </c>
      <c r="MJ55" s="83">
        <v>27.23</v>
      </c>
      <c r="MK55"/>
      <c r="ML55" s="83">
        <v>48.87</v>
      </c>
      <c r="MM55" s="83">
        <v>48.44</v>
      </c>
      <c r="MN55" s="83"/>
      <c r="MO55" s="83">
        <v>48.07</v>
      </c>
      <c r="MP55" s="83">
        <v>59.85</v>
      </c>
      <c r="MQ55" s="83">
        <v>63.91</v>
      </c>
      <c r="MR55"/>
      <c r="MT55" s="83"/>
      <c r="MU55" s="83">
        <v>22.93</v>
      </c>
      <c r="MV55"/>
      <c r="MW55"/>
      <c r="MX55"/>
      <c r="MY55" s="83">
        <v>88.69</v>
      </c>
      <c r="MZ55" s="83">
        <v>204</v>
      </c>
      <c r="NA55" s="83">
        <v>96.36</v>
      </c>
      <c r="NB55" s="83">
        <v>241.93</v>
      </c>
      <c r="NC55" s="83">
        <v>48.97</v>
      </c>
      <c r="ND55"/>
      <c r="NE55" s="1">
        <v>230.37</v>
      </c>
    </row>
    <row r="56" spans="1:369">
      <c r="A56" s="38">
        <f t="shared" si="219"/>
        <v>43770</v>
      </c>
      <c r="B56" s="36">
        <f t="shared" si="235"/>
        <v>11</v>
      </c>
      <c r="C56" s="36">
        <v>2019</v>
      </c>
      <c r="D56" s="36">
        <f t="shared" si="50"/>
        <v>56</v>
      </c>
      <c r="E56" s="38">
        <f t="shared" si="220"/>
        <v>43770</v>
      </c>
      <c r="F56" s="7">
        <v>62.725000000000001</v>
      </c>
      <c r="G56" s="97">
        <v>273.2158</v>
      </c>
      <c r="H56" s="1">
        <f>[2]NACIONALES!$D44</f>
        <v>24445.89</v>
      </c>
      <c r="I56" s="7">
        <v>75</v>
      </c>
      <c r="J56" s="7">
        <v>400</v>
      </c>
      <c r="K56" s="7">
        <v>3.3</v>
      </c>
      <c r="L56" s="7">
        <v>20.399999999999999</v>
      </c>
      <c r="N56" s="5">
        <v>1.3360000000000001</v>
      </c>
      <c r="O56" s="5">
        <v>1.115</v>
      </c>
      <c r="P56" s="78">
        <f t="shared" si="221"/>
        <v>73.192987500000001</v>
      </c>
      <c r="Q56" s="6">
        <v>1230</v>
      </c>
      <c r="R56" s="79">
        <f t="shared" si="222"/>
        <v>12300</v>
      </c>
      <c r="S56" s="6">
        <v>148.65</v>
      </c>
      <c r="T56" s="6">
        <v>248.8</v>
      </c>
      <c r="U56" s="143">
        <v>140.10999999999999</v>
      </c>
      <c r="V56" s="6">
        <v>252.05</v>
      </c>
      <c r="W56" s="6">
        <v>140.25</v>
      </c>
      <c r="X56" s="6">
        <v>171.45499999999998</v>
      </c>
      <c r="Y56" s="79">
        <f t="shared" si="223"/>
        <v>9324.0712500000009</v>
      </c>
      <c r="Z56" s="79">
        <f t="shared" si="224"/>
        <v>15605.980000000001</v>
      </c>
      <c r="AA56" s="79">
        <f t="shared" si="225"/>
        <v>8788.3997499999987</v>
      </c>
      <c r="AB56" s="79">
        <f t="shared" si="226"/>
        <v>15809.83625</v>
      </c>
      <c r="AC56" s="79">
        <f t="shared" si="227"/>
        <v>8797.1812499999996</v>
      </c>
      <c r="AD56" s="79">
        <f t="shared" si="228"/>
        <v>10754.514874999999</v>
      </c>
      <c r="AE56" s="79">
        <f t="shared" si="229"/>
        <v>11513.330562500001</v>
      </c>
      <c r="AF56" s="1">
        <v>34000</v>
      </c>
      <c r="AG56" s="1">
        <v>15250</v>
      </c>
      <c r="AH56" s="1">
        <v>58100</v>
      </c>
      <c r="AI56" s="5">
        <v>10.554</v>
      </c>
      <c r="AJ56" s="5">
        <v>7.1268000000000002</v>
      </c>
      <c r="AK56" s="5">
        <v>7.3217999999999996</v>
      </c>
      <c r="AL56" s="5">
        <v>8.7972999999999999</v>
      </c>
      <c r="AM56" s="78">
        <f t="shared" si="230"/>
        <v>9.1549320000000005</v>
      </c>
      <c r="AN56" s="7">
        <v>763.2844827586207</v>
      </c>
      <c r="AO56" s="7">
        <v>531.80952380952385</v>
      </c>
      <c r="AP56" s="78">
        <f t="shared" si="277"/>
        <v>531.80952380952385</v>
      </c>
      <c r="AQ56" s="7">
        <v>475.04761904761904</v>
      </c>
      <c r="AR56" s="7">
        <v>411.21952380952382</v>
      </c>
      <c r="AS56" s="7">
        <v>222.21481481481482</v>
      </c>
      <c r="AT56" s="7">
        <v>450.26190476190476</v>
      </c>
      <c r="AU56" s="78">
        <f t="shared" si="53"/>
        <v>361.23208112874778</v>
      </c>
      <c r="AV56" s="7">
        <v>225.79697247706417</v>
      </c>
      <c r="AW56" s="7">
        <v>726.00047619047621</v>
      </c>
      <c r="AX56" s="7">
        <v>320.08714285714291</v>
      </c>
      <c r="AY56" s="7">
        <v>506.68367149758461</v>
      </c>
      <c r="AZ56" s="7">
        <v>259.63142857142856</v>
      </c>
      <c r="BA56" s="7">
        <v>424.23071428571433</v>
      </c>
      <c r="BB56" s="94">
        <f t="shared" si="45"/>
        <v>398.94476986044015</v>
      </c>
      <c r="BC56" s="68">
        <v>1029</v>
      </c>
      <c r="BD56" s="68">
        <v>1107</v>
      </c>
      <c r="BE56" s="7">
        <f t="shared" si="234"/>
        <v>900</v>
      </c>
      <c r="BF56" s="7">
        <f t="shared" si="234"/>
        <v>550</v>
      </c>
      <c r="BG56" s="94">
        <f t="shared" si="56"/>
        <v>896.5</v>
      </c>
      <c r="BH56" s="7">
        <v>87.63</v>
      </c>
      <c r="BI56" s="7">
        <f t="shared" si="262"/>
        <v>31.36</v>
      </c>
      <c r="BJ56" s="78">
        <f t="shared" si="57"/>
        <v>118.99</v>
      </c>
      <c r="BK56" s="7">
        <v>78.066000000000003</v>
      </c>
      <c r="BL56" s="7">
        <v>94.18</v>
      </c>
      <c r="BM56" s="94">
        <f t="shared" si="58"/>
        <v>86.123000000000005</v>
      </c>
      <c r="BN56" s="5">
        <v>16.43</v>
      </c>
      <c r="BO56" s="5">
        <v>63.42000000000003</v>
      </c>
      <c r="BP56" s="105">
        <v>47.07</v>
      </c>
      <c r="BQ56" s="94">
        <f t="shared" si="59"/>
        <v>61.785000000000032</v>
      </c>
      <c r="BR56" s="7">
        <v>62.21</v>
      </c>
      <c r="BS56" s="7">
        <v>190</v>
      </c>
      <c r="BT56" s="7">
        <f>+F56*2.79</f>
        <v>175.00275000000002</v>
      </c>
      <c r="BU56" s="79">
        <f t="shared" si="237"/>
        <v>2805.0082499999999</v>
      </c>
      <c r="BV56" s="7">
        <v>93.5</v>
      </c>
      <c r="BW56" s="7">
        <v>115</v>
      </c>
      <c r="BY56" s="92">
        <f>BY$10*(1+((H56/H$10-1)*costos!$B$5+((I56*F56)/(I$10*F$10)-1)*costos!$E$5+((J56*F56)/((J$10*F$10)-1)*costos!$F$5/3+((K56*F56)/(K$10*F$10)-1)*costos!$F$5/3+((U56*F56)/(U$10*F$10)-1)*costos!$F$5/3+((L56*F56)/(L$10*F$10)-1)*costos!$G$5+((N56*F56)/(N$10*F$10)-1)*costos!$J$5+((V56*F56)/(V$10*F$10)-1)*costos!$K$5)))</f>
        <v>436.46315155180469</v>
      </c>
      <c r="BZ56" s="92">
        <f>$BZ$10*(1+((H56/$H$10-1)*costos!$B$6+((I56*F56)/($I$10*$F$10)-1)*costos!$E$6+((J56*F56)/(($J$10*$F$10)-1)*costos!$F$6/3+((K56*F56)/($K$10*$F$10)-1)*costos!$F$6/3+((U56*F56)/($U$10*$F$10)-1)*costos!$F$6/3+((L56*F56)/($L$10*$F$10)-1)*costos!$G$6+((Q56*F56)/($Q$10*$F$10)-1)*costos!$J$6+((V56*F56)/($V$10*$F$10)-1)*costos!$K$6)))</f>
        <v>394.62693106761543</v>
      </c>
      <c r="CA56" s="92">
        <f>CA$10*(1+((H56/H$10-1)*costos!$B$7+((I56*F56)/(I$10*F$10)-1)*costos!$E$7+((J56*F56)/((J$10*F$10)-1)*costos!$F$7/3+((K56*F56)/(K$10*F$10)-1)*costos!$F$7/3+((U56*F56)/(U$10*F$10)-1)*costos!$F$7/3+((L56*F56)/(L$10*F$10)-1)*costos!$G$7+((S56*F56)/(S$10*F$10)-1)*costos!$J$7+((V56*F56)/(V$10*F$10)-1)*costos!$K$7)))</f>
        <v>429.06239067351015</v>
      </c>
      <c r="CB56" s="92">
        <f>CB$10*(1+((H56/H$10-1)*costos!$B$8+((I56*F56)/(I$10*F$10)-1)*costos!$E$8+((J56*F56)/((J$10*F$10)-1)*costos!$F$8/3+((K56*F56)/(K$10*F$10)-1)*costos!$F$8/3+((U56*F56)/(U$10*F$10)-1)*costos!$F$8/3+((L56*F56)/(L$10*F$10)-1)*costos!$G$8+((T56*F56)/(T$10*F$10)-1)*costos!$J$8+((V56*F56)/(V$10*F$10)-1)*costos!$K$8)))</f>
        <v>417.3096492924692</v>
      </c>
      <c r="CC56" s="92">
        <f>CC$10*(1+((H56/H$10-1)*costos!$B$9+((I56*F56)/(I$10*F$10)-1)*costos!$E$9+((J56*F56)/((J$10*F$10)-1)*costos!$F$9/3+((K56*F56)/(K$10*F$10)-1)*costos!$F$9/3+((U56*F56)/(U$10*F$10)-1)*costos!$F$9/3+((L56*F56)/(L$10*F$10)-1)*costos!$G$9+((U56*F56)/(U$10*F$10)-1)*costos!$J$9+((V56*F56)/(V$10*F$10)-1)*costos!$K$9)))</f>
        <v>410.87428684128645</v>
      </c>
      <c r="CD56" s="92">
        <f>CD$10*(1+((H56/H$10-1)*costos!$B$11+((I56*F56)/(I$10*F$10)-1)*costos!$E$11+((J56*F56)/((J$10*F$10)-1)*costos!$F$11/3+((K56*F56)/(K$10*F$10)-1)*costos!$F$11/3+((U56*F56)/(U$10*F$10)-1)*costos!$F$11/3+((L56*F56)/(L$10*F$10)-1)*costos!$G$11+((V56*F56)/(V$10*F$10)-1)*costos!$J$11+((V56*F56)/(V$10*F$10)-1)*costos!$K$11)))</f>
        <v>449.03928718201502</v>
      </c>
      <c r="CE56" s="92">
        <f>CE$10*(1+((H56/H$10-1)*costos!$B$12+((I56*F56)/(I$10*F$10)-1)*costos!$E$12+((J56*F56)/((J$10*F$10)-1)*costos!$F$12/3+((K56*F56)/(K$10*F$10)-1)*costos!$F$12/3+((U56*F56)/(U$10*F$10)-1)*costos!$F$12/3+((L56*F56)/(L$10*F$10)-1)*costos!$G$12+((W56*F56)/(W$10*F$10)-1)*costos!$J$12+((V56*F56)/(V$10*F$10)-1)*costos!$K$12)))</f>
        <v>404.11003608548441</v>
      </c>
      <c r="CF56" s="92">
        <f>CF$10*(1+((H56/H$10-1)*costos!$B$13+((I56*F56)/(I$10*F$10)-1)*costos!$E$13+((J56*F56)/((J$10*F$10)-1)*costos!$F$13/3+((K56*F56)/(K$10*F$10)-1)*costos!$F$13/3+((U56*F56)/(U$10*F$10)-1)*costos!$F$13/3+((L56*F56)/(L$10*F$10)-1)*costos!$G$13+((X56*F56)/(X$10*F$10)-1)*costos!$J$13+((V56*F56)/(V$10*F$10)-1)*costos!$K$13)))</f>
        <v>445.35799130482553</v>
      </c>
      <c r="CG56" s="92">
        <f t="shared" si="257"/>
        <v>425.95894022993184</v>
      </c>
      <c r="CH56" s="92">
        <f>CH$10*(1+((H56/H$10-1)*costos!$B$10+((I56*F56)/(I$10*F$10)-1)*costos!$E$10+((J56*F56)/((J$10*F$10)-1)*costos!$F$10/3+((K56*F56)/(K$10*F$10)-1)*costos!$F$10/3+((U56*F56)/(U$10*F$10)-1)*costos!$F$10/3+((L56*F56)/(L$10*F$10)-1)*costos!$G$10+((AF56)/(AF$10)-1)*costos!$J$10+((V56*F56)/(V$10*F$10)-1)*costos!$K$10)))</f>
        <v>459.68688536139484</v>
      </c>
      <c r="CI56" s="92">
        <f>CI$10*(1+((H56/H$10-1)*costos!$B$15+((I56*F56)/(I$10*F$10)-1)*costos!$E$15+((J56*F56)/((J$10*F$10)-1)*costos!$F$15/3+((K56*F56)/(K$10*F$10)-1)*costos!$F$15/3+((U56*F56)/(U$10*F$10)-1)*costos!$F$15/3+((L56*F56)/(L$10*F$10)-1)*costos!$G$15+((AV56)/(AV$10)-1)*costos!$J$15+((V56*F56)/(V$10*F$10)-1)*costos!$K$15)))</f>
        <v>391.67997178672778</v>
      </c>
      <c r="CJ56" s="92">
        <f>CJ$10*(1+((H56/H$10-1)*costos!$B$16+((I56*F56)/(I$10*F$10)-1)*costos!$E$16+((J56*F56)/((J$10*F$10)-1)*costos!$F$16/3+((K56*F56)/(K$10*F$10)-1)*costos!$F$16/3+((U56*F56)/(U$10*F$10)-1)*costos!$F$16/3+((L56*F56)/(L$10*F$10)-1)*costos!$G$16+((AW56)/(AW$10)-1)*costos!$J$16+((V56*F56)/(V$10*F$10)-1)*costos!$K$16)))</f>
        <v>349.21318423779991</v>
      </c>
      <c r="CK56" s="92">
        <f>CK$10*(1+((H56/H$10-1)*costos!$B$17+((I56*F56)/(I$10*F$10)-1)*costos!$E$17+((J56*F56)/((J$10*F$10)-1)*costos!$F$17/3+((K56*F56)/(K$10*F$10)-1)*costos!$F$17/3+((U56*F56)/(U$10*F$10)-1)*costos!$F$17/3+((L56*F56)/(L$10*F$10)-1)*costos!$G$17+((AX56)/(AX$10)-1)*costos!$J$17+((V56*F56)/(V$10*F$10)-1)*costos!$K$17)))</f>
        <v>381.06119601774935</v>
      </c>
      <c r="CL56" s="92">
        <f>CL$10*(1+((H56/H$10-1)*costos!$B$18+((I56*F56)/(I$10*F$10)-1)*costos!$E$18+((J56*F56)/((J$10*F$10)-1)*costos!$F$18/3+((K56*F56)/(K$10*F$10)-1)*costos!$F$18/3+((U56*F56)/(U$10*F$10)-1)*costos!$F$18/3+((L56*F56)/(L$10*F$10)-1)*costos!$G$18+((AY56)/(AY$10)-1)*costos!$J$18+((V56*F56)/(V$10*F$10)-1)*costos!$K$18)))</f>
        <v>415.43195386863056</v>
      </c>
      <c r="CM56" s="92">
        <f>CM$10*(1+((H56/H$10-1)*costos!$B$19+((I56*F56)/(I$10*F$10)-1)*costos!$E$19+((J56*F56)/((J$10*F$10)-1)*costos!$F$19/3+((K56*F56)/(K$10*F$10)-1)*costos!$F$19/3+((U56*F56)/(U$10*F$10)-1)*costos!$F$19/3+((L56*F56)/(L$10*F$10)-1)*costos!$G$19+((AZ56)/(AZ$10)-1)*costos!$J$19+((V56*F56)/(V$10*F$10)-1)*costos!$K$19)))</f>
        <v>315.54646225479502</v>
      </c>
      <c r="CN56" s="92">
        <f>CN$10*(1+((H56/H$10-1)*costos!$B$20+((I56*F56)/(I$10*F$10)-1)*costos!$E$20+((J56*F56)/((J$10*F$10)-1)*costos!$F$20/3+((K56*F56)/(K$10*F$10)-1)*costos!$F$20/3+((U56*F56)/(U$10*F$10)-1)*costos!$F$20/3+((L56*F56)/(L$10*F$10)-1)*costos!$G$20+((BA56)/(BA$10)-1)*costos!$J$20+((V56*F56)/(V$10*F$10)-1)*costos!$K$20)))</f>
        <v>373.73294180951399</v>
      </c>
      <c r="CO56" s="92">
        <f t="shared" si="258"/>
        <v>371.44313848767223</v>
      </c>
      <c r="CP56" s="92">
        <f>CP$10*(1+((H56/H$10-1)*costos!$B$22+((I56*F56)/(I$10*F$10)-1)*costos!$E$22+((J56*F56)/((J$10*F$10)-1)*costos!$F$22/3+((K56*F56)/(K$10*F$10)-1)*costos!$F$22/3+((U56*F56)/(U$10*F$10)-1)*costos!$F$22/3+((L56*F56)/(L$10*F$10)-1)*costos!$G$22+(((AVERAGE(AI56:AL56))/((AVERAGE(AI$10:AL$10))-1)*costos!$J$22+((V56*F56)/(V$10*F$10)-1)*costos!$K$22)))))</f>
        <v>388.10142657173532</v>
      </c>
      <c r="CQ56" s="92">
        <f>CQ$10*(1+((H56/H$10-1)*costos!$B$23+((I56*F56)/(I$10*F$10)-1)*costos!$E$23+((J56*F56)/((J$10*F$10)-1)*costos!$F$23/3+((K56*F56)/(K$10*F$10)-1)*costos!$F$23/3+((U56*F56)/(U$10*F$10)-1)*costos!$F$23/3+((L56*F56)/(L$10*F$10)-1)*costos!$G$23+((AN56)/(AN$10)-1)*costos!$J$23+((V56*F56)/(V$10*F$10)-1)*costos!$K$23)))</f>
        <v>337.49493780833228</v>
      </c>
      <c r="CR56" s="92">
        <f>CR$10*(1+((H56/H$10-1)*costos!$B$24+((I56*F56)/(I$10*F$10)-1)*costos!$E$24+((J56*F56)/((J$10*F$10)-1)*costos!$F$24/3+((K56*F56)/(K$10*F$10)-1)*costos!$F$24/3+((U56*F56)/(U$10*F$10)-1)*costos!$F$24/3+((L56*F56)/(L$10*F$10)-1)*costos!$G$24+((AO56)/(AO$10)-1)*costos!$J$24+((V56*F56)/(V$10*F$10)-1)*costos!$K$24)))</f>
        <v>343.70400592839718</v>
      </c>
      <c r="CS56" s="92">
        <f t="shared" si="62"/>
        <v>340.59947186836473</v>
      </c>
      <c r="CT56" s="92">
        <f>CT$10*(1+((H56/H$10-1)*costos!$B$25+((I56*F56)/(I$10*F$10)-1)*costos!$E$25+((J56*F56)/((J$10*F$10)-1)*costos!$F$25/3+((K56*F56)/(K$10*F$10)-1)*costos!$F$25/3+((U56*F56)/(U$10*F$10)-1)*costos!$F$25/3+((L56*F56)/(L$10*F$10)-1)*costos!$G$25+((AQ56)/(AQ$10)-1)*costos!$J$25+((V56*F56)/(V$10*F$10)-1)*costos!$K$25)))</f>
        <v>340.83444615149955</v>
      </c>
      <c r="CU56" s="92">
        <f>CU$10*(1+((H56/H$10-1)*costos!$B$26+((I56*F56)/(I$10*F$10)-1)*costos!$E$26+((J56*F56)/((J$10*F$10)-1)*costos!$F$26/3+((K56*F56)/(K$10*F$10)-1)*costos!$F$26/3+((U56*F56)/(U$10*F$10)-1)*costos!$F$26/3+((L56*F56)/(L$10*F$10)-1)*costos!$G$26+((AR56)/(AR$10)-1)*costos!$J$26+((V56*F56)/(V$10*F$10)-1)*costos!$K$26)))</f>
        <v>352.30496411573904</v>
      </c>
      <c r="CV56" s="92">
        <f>CV$10*(1+((H56/H$10-1)*costos!$B$27+((I56*F56)/(I$10*F$10)-1)*costos!$E$27+((J56*F56)/((J$10*F$10)-1)*costos!$F$27/3+((K56*F56)/(K$10*F$10)-1)*costos!$F$27/3+((U56*F56)/(U$10*F$10)-1)*costos!$F$27/3+((L56*F56)/(L$10*F$10)-1)*costos!$G$27+((AS56)/(AS$10)-1)*costos!$J$27+((V56*F56)/(V$10*F$10)-1)*costos!$K$27)))</f>
        <v>339.16560212057527</v>
      </c>
      <c r="CW56" s="92">
        <f>CW$10*(1+((H56/H$10-1)*costos!$B$28+((I56*F56)/(I$10*F$10)-1)*costos!$E$28+((J56*F56)/((J$10*F$10)-1)*costos!$F$28/3+((K56*F56)/(K$10*F$10)-1)*costos!$F$28/3+((U56*F56)/(U$10*F$10)-1)*costos!$F$28/3+((L56*F56)/(L$10*F$10)-1)*costos!$G$28+((AS56)/(AS$10)-1)*costos!$J$28+((V56*F56)/(V$10*F$10)-1)*costos!$K$28)))</f>
        <v>339.16560212057527</v>
      </c>
      <c r="CX56" s="92">
        <f t="shared" si="259"/>
        <v>343.54538945229655</v>
      </c>
      <c r="CY56" s="92">
        <f>CY$10*(1+((H56/H$10-1)*costos!$B$32+((I56*F56)/(I$10*F$10)-1)*costos!$E$32+((J56*F56)/((J$10*F$10)-1)*costos!$F$32/3+((K56*F56)/(K$10*F$10)-1)*costos!$F$32/3+((U56*F56)/(U$10*F$10)-1)*costos!$F$32/3+((L56*F56)/(L$10*F$10)-1)*costos!$G$32+((AG56)/(AG$10)-1)*costos!$J$32+((V56*F56)/(V$10*F$10)-1)*costos!$K$32)))</f>
        <v>336.03479105742974</v>
      </c>
      <c r="CZ56" s="69">
        <f>CZ$10*(1+((H56/H$10-1)*costos!$B$31+((I56*F56)/(I$10*F$10)-1)*costos!$E$30+((J56*F56)/((J$10*F$10)-1)*costos!$F$30/3+((K56*F56)/(K$10*F$10)-1)*costos!$F$30/3+((U56*F56)/(U$10*F$10)-1)*costos!$F$30/3+((L56*F56)/(L$10*F$10)-1)*costos!$G$30+((BG56)/(BG$10)-1)*costos!$J$30+((V56*F56)/(V$10*F$10)-1)*costos!$K$30)))</f>
        <v>407.52979162559109</v>
      </c>
      <c r="DA56" s="69">
        <f>DA$10*(1+((H56/H$10-1)*costos!$B$31+((I56*F56)/(I$10*F$10)-1)*costos!$E$31+((J56*F56)/((J$10*F$10)-1)*costos!$F$31/3+((K56*F56)/(K$10*F$10)-1)*costos!$F$31/3+((U56*F56)/(U$10*F$10)-1)*costos!$F$31/3+((L56*F56)/(L$10*F$10)-1)*costos!$G$31+((BJ56)/(BJ$10)-1)*costos!$J$31+((V56*F56)/(V$10*F$10)-1)*costos!$K$31)))</f>
        <v>346.31483536696408</v>
      </c>
      <c r="DB56" s="69">
        <f>DB$10*(1+((H56/H$10-1)*costos!$B$36+((I56*F56)/(I$10*F$10)-1)*costos!$E$36+((J56*F56)/((J$10*F$10)-1)*costos!$F$36/3+((K56*F56)/(K$10*F$10)-1)*costos!$F$36/3+((U56*F56)/(U$10*F$10)-1)*costos!$F$36/3+((L56*F56)/(L$10*F$10)-1)*costos!$G$36+((BK56)/(BK$10)-1)*costos!$J$36+((V56*F56)/(V$10*F$10)-1)*costos!$K$36)))</f>
        <v>363.91167394444392</v>
      </c>
      <c r="DC56" s="69">
        <f>DC$10*(1+((H56/H$10-1)*costos!$B$37+((I56*F56)/(I$10*F$10)-1)*costos!$E$37+((U56*F56)/(U$10*F$10)-1)*costos!$F$37+((L56*F56)/(L$10*F$10)-1)*costos!$G$37+((BN56)/(BN$10)-1)*costos!$J$37+((V56*F56)/(V$10*F$10)-1)*costos!$K$37))</f>
        <v>413.58369983387411</v>
      </c>
      <c r="DD56" s="69">
        <f>DD$10*(1+((H56/H$10-1)*costos!$B$39+((I56*F56)/(I$10*F$10)-1)*costos!$E$39+((U56*F56)/(U$10*F$10)-1)*costos!$F$39+((L56*F56)/(L$10*F$10)-1)*costos!$G$39+((BR56)/(BR$10)-1)*costos!$J$39+((V56*F56)/(V$10*F$10)-1)*costos!$K$39))</f>
        <v>403.74063354687684</v>
      </c>
      <c r="DE56" s="69">
        <f>DD$10*(1+((H56/H$10-1)*costos!$B$35+((I56*F56)/(I$10*F$10)-1)*costos!$E$35+((U56*F56)/(U$10*F$10)-1)*costos!$F$35+((L56*F56)/(L$10*F$10)-1)*costos!$G$35+((BR56)/(BR$10)-1)*costos!$J$35+((V56*F56)/(V$10*F$10)-1)*costos!$K$35))</f>
        <v>368.72935884954063</v>
      </c>
      <c r="DF56" s="69">
        <f>DF$10*(1+((H56/H$10-1)*costos!$B$40+((I56*F56)/(I$10*F$10)-1)*costos!$E$40+((U56*F56)/(U$10*F$10)-1)*costos!$F$40+((L56*F56)/(L$10*F$10)-1)*costos!$G$40+((BP56)/(BP$10)-1)*costos!$J$40+((V56*F56)/(V$10*F$10)-1)*costos!$K$40))</f>
        <v>414.64387134187558</v>
      </c>
      <c r="DG56" s="92">
        <f t="shared" si="260"/>
        <v>391.68661509570813</v>
      </c>
      <c r="DH56" s="69">
        <f>DH$10*(1+((H56/H$10-1)*costos!$B$34+((I56*F56)/(I$10*F$10)-1)*costos!$E$34+((J56*F56)/((J$10*F$10)-1)*costos!$F$34/3+((K56*F56)/(K$10*F$10)-1)*costos!$F$34/3+((U56*F56)/(U$10*F$10)-1)*costos!$F$34/3+((L56*F56)/(L$10*F$10)-1)*costos!$G$34+((BV56)/(BV$10)-1)*costos!$J$34+((V56*F56)/(V$10*F$10)-1)*costos!$K$34)))</f>
        <v>361.69561996772677</v>
      </c>
      <c r="DI56" s="69">
        <f>DI$10*(1+((H56/H$10-1)*costos!$B$38+((I56*F56)/(I$10*F$10)-1)*costos!$E$38+((J56*F56)/((J$10*F$10)-1)*costos!$F$38/3+((K56*F56)/(K$10*F$10)-1)*costos!$F$38/3+((U56*F56)/(U$10*F$10)-1)*costos!$F$38/3+((L56*F56)/(L$10*F$10)-1)*costos!$G$38+((BU56)/(BU$10)-1)*costos!$J$38+((V56*F56)/(V$10*F$10)-1)*costos!$K$38)))</f>
        <v>342.04791773193034</v>
      </c>
      <c r="DK56" s="1">
        <v>450000</v>
      </c>
      <c r="DL56" s="1" t="s">
        <v>323</v>
      </c>
      <c r="DM56" s="1">
        <v>193000</v>
      </c>
      <c r="DN56" s="1" t="s">
        <v>323</v>
      </c>
      <c r="DO56" s="1">
        <v>1330000</v>
      </c>
      <c r="DP56" s="1" t="s">
        <v>323</v>
      </c>
      <c r="DQ56" s="1">
        <v>1700000</v>
      </c>
      <c r="DR56" s="1" t="s">
        <v>323</v>
      </c>
      <c r="DS56" s="1">
        <v>6400000</v>
      </c>
      <c r="DT56" s="1" t="s">
        <v>323</v>
      </c>
      <c r="DU56" s="1">
        <v>17200000</v>
      </c>
      <c r="DV56" s="1" t="s">
        <v>323</v>
      </c>
      <c r="DW56" s="1">
        <v>510000</v>
      </c>
      <c r="DX56" s="1" t="s">
        <v>323</v>
      </c>
      <c r="DY56" s="1">
        <v>6950000</v>
      </c>
      <c r="DZ56" s="1" t="s">
        <v>323</v>
      </c>
      <c r="EA56" s="79">
        <f t="shared" si="67"/>
        <v>34090000</v>
      </c>
      <c r="EB56" s="1">
        <v>380000</v>
      </c>
      <c r="EC56" s="1" t="s">
        <v>323</v>
      </c>
      <c r="ED56" s="83">
        <v>170782</v>
      </c>
      <c r="EE56" s="143">
        <v>2019</v>
      </c>
      <c r="EF56" s="1">
        <v>215169</v>
      </c>
      <c r="EG56" s="6">
        <v>2019</v>
      </c>
      <c r="EH56" s="83">
        <v>55007853</v>
      </c>
      <c r="EI56" s="6">
        <v>2019</v>
      </c>
      <c r="EJ56" s="1">
        <f t="shared" si="269"/>
        <v>5128954</v>
      </c>
      <c r="EK56" s="6">
        <f t="shared" si="269"/>
        <v>2019</v>
      </c>
      <c r="EL56" s="1">
        <v>14339908</v>
      </c>
      <c r="EM56" s="6">
        <v>2018</v>
      </c>
      <c r="EN56" s="1">
        <v>3201657</v>
      </c>
      <c r="EO56" s="6">
        <v>2019</v>
      </c>
      <c r="EP56" s="82">
        <f t="shared" si="267"/>
        <v>6552</v>
      </c>
      <c r="EQ56" s="83">
        <f t="shared" si="267"/>
        <v>3038588</v>
      </c>
      <c r="ER56" s="1">
        <f t="shared" si="189"/>
        <v>33739</v>
      </c>
      <c r="ES56" s="1"/>
      <c r="ET56" s="83">
        <f t="shared" si="270"/>
        <v>20884</v>
      </c>
      <c r="EU56" s="83">
        <f t="shared" si="270"/>
        <v>17312</v>
      </c>
      <c r="EV56" s="83">
        <f t="shared" si="270"/>
        <v>9130</v>
      </c>
      <c r="EW56" s="83">
        <f t="shared" si="270"/>
        <v>17152</v>
      </c>
      <c r="EX56" s="79">
        <f t="shared" si="72"/>
        <v>64478</v>
      </c>
      <c r="EY56" s="83">
        <f t="shared" si="264"/>
        <v>19636</v>
      </c>
      <c r="EZ56" s="82">
        <f t="shared" si="255"/>
        <v>76171</v>
      </c>
      <c r="FA56" s="82">
        <f t="shared" si="264"/>
        <v>20432</v>
      </c>
      <c r="FB56" s="82">
        <f t="shared" si="264"/>
        <v>18034</v>
      </c>
      <c r="FC56" s="79">
        <f t="shared" si="73"/>
        <v>38466</v>
      </c>
      <c r="FD56" s="83">
        <f t="shared" si="158"/>
        <v>61643.420000000013</v>
      </c>
      <c r="FE56" s="1"/>
      <c r="FF56" s="1">
        <v>870000</v>
      </c>
      <c r="FG56" s="1" t="s">
        <v>223</v>
      </c>
      <c r="FH56" s="1">
        <v>1200000</v>
      </c>
      <c r="FI56" s="1" t="s">
        <v>223</v>
      </c>
      <c r="FJ56" s="1">
        <v>4100000</v>
      </c>
      <c r="FK56" s="1" t="s">
        <v>323</v>
      </c>
      <c r="FL56" s="1">
        <v>3800000</v>
      </c>
      <c r="FM56" s="1" t="s">
        <v>223</v>
      </c>
      <c r="FN56" s="1">
        <v>48000000</v>
      </c>
      <c r="FO56" s="1" t="s">
        <v>223</v>
      </c>
      <c r="FP56" s="1">
        <v>55300000</v>
      </c>
      <c r="FQ56" s="1" t="s">
        <v>223</v>
      </c>
      <c r="FR56" s="1">
        <v>1600000</v>
      </c>
      <c r="FS56" s="1" t="s">
        <v>223</v>
      </c>
      <c r="FT56" s="1">
        <v>19775000</v>
      </c>
      <c r="FU56" s="1" t="s">
        <v>323</v>
      </c>
      <c r="FV56" s="79">
        <f t="shared" si="76"/>
        <v>132575000</v>
      </c>
      <c r="FW56" s="1">
        <v>1300000</v>
      </c>
      <c r="FX56" s="1" t="s">
        <v>223</v>
      </c>
      <c r="FY56" s="1">
        <v>0</v>
      </c>
      <c r="FZ56" s="79">
        <f t="shared" si="135"/>
        <v>825056.35400000017</v>
      </c>
      <c r="GA56" s="86" t="str">
        <f t="shared" si="271"/>
        <v>dic18 nov19</v>
      </c>
      <c r="GB56" s="1">
        <v>25198862</v>
      </c>
      <c r="GC56" s="6">
        <v>2019</v>
      </c>
      <c r="GD56" s="83">
        <f t="shared" si="265"/>
        <v>2061660</v>
      </c>
      <c r="GE56" s="83">
        <f t="shared" si="265"/>
        <v>421371</v>
      </c>
      <c r="GF56" s="83">
        <f t="shared" si="239"/>
        <v>1038352</v>
      </c>
      <c r="GG56" s="83">
        <f t="shared" si="268"/>
        <v>114695</v>
      </c>
      <c r="GH56" s="79">
        <f t="shared" si="240"/>
        <v>1574418</v>
      </c>
      <c r="GI56" s="82">
        <f t="shared" si="232"/>
        <v>1302556</v>
      </c>
      <c r="GJ56" s="83">
        <f t="shared" si="215"/>
        <v>673662.3</v>
      </c>
      <c r="GK56" s="83">
        <f t="shared" si="216"/>
        <v>1162000</v>
      </c>
      <c r="GL56" s="83">
        <f t="shared" si="217"/>
        <v>290589.5</v>
      </c>
      <c r="GM56" s="83">
        <f t="shared" si="218"/>
        <v>258882.47</v>
      </c>
      <c r="GN56" s="79">
        <f t="shared" si="81"/>
        <v>2385134.27</v>
      </c>
      <c r="GO56" s="83">
        <f t="shared" si="266"/>
        <v>196709</v>
      </c>
      <c r="GP56" s="83">
        <f t="shared" si="266"/>
        <v>71194.64</v>
      </c>
      <c r="GQ56" s="83">
        <v>69333</v>
      </c>
      <c r="GR56" s="82">
        <f t="shared" si="266"/>
        <v>43750</v>
      </c>
      <c r="GS56" s="79">
        <f t="shared" si="192"/>
        <v>45829.99</v>
      </c>
      <c r="GT56" s="83">
        <f t="shared" si="108"/>
        <v>2600000</v>
      </c>
      <c r="GU56" s="83">
        <v>18596</v>
      </c>
      <c r="GV56" s="83">
        <v>42479</v>
      </c>
      <c r="GW56" s="79">
        <f t="shared" si="261"/>
        <v>1076009</v>
      </c>
      <c r="GX56" s="1">
        <v>32193.503000000001</v>
      </c>
      <c r="GY56" s="1" t="s">
        <v>314</v>
      </c>
      <c r="GZ56" s="1">
        <v>107349</v>
      </c>
      <c r="HA56" s="1">
        <v>268159</v>
      </c>
      <c r="HB56" s="79">
        <f t="shared" si="241"/>
        <v>3087587</v>
      </c>
      <c r="HC56" s="86" t="str">
        <f t="shared" si="272"/>
        <v>dic18 nov19</v>
      </c>
      <c r="HD56" s="1">
        <v>48706</v>
      </c>
      <c r="HE56" s="79">
        <f t="shared" si="139"/>
        <v>628045</v>
      </c>
      <c r="HF56" s="86" t="str">
        <f t="shared" si="273"/>
        <v>dic18 nov19</v>
      </c>
      <c r="HG56" s="83">
        <v>184000</v>
      </c>
      <c r="HH56" s="79">
        <f t="shared" si="242"/>
        <v>2174083.3333333335</v>
      </c>
      <c r="HI56" s="86" t="str">
        <f t="shared" si="274"/>
        <v>dic18 nov19</v>
      </c>
      <c r="HJ56" s="83">
        <v>81680</v>
      </c>
      <c r="HK56" s="79">
        <f t="shared" si="278"/>
        <v>60073.526400000002</v>
      </c>
      <c r="HL56" s="86" t="str">
        <f t="shared" si="275"/>
        <v>dic18 nov19</v>
      </c>
      <c r="HM56" s="79">
        <f t="shared" si="86"/>
        <v>2234156.8597333333</v>
      </c>
      <c r="HN56" s="87">
        <f t="shared" si="279"/>
        <v>1.9944833439422771E-2</v>
      </c>
      <c r="HO56" s="1">
        <v>961400000</v>
      </c>
      <c r="HP56" s="79">
        <f t="shared" si="153"/>
        <v>10307.4</v>
      </c>
      <c r="HQ56" s="86" t="str">
        <f t="shared" si="276"/>
        <v>dic18 nov19</v>
      </c>
      <c r="HR56" s="1"/>
      <c r="HS56" s="1"/>
      <c r="HT56" s="1"/>
      <c r="HU56" s="1">
        <v>650000</v>
      </c>
      <c r="HV56" s="1" t="s">
        <v>223</v>
      </c>
      <c r="HW56" s="1">
        <v>1300000</v>
      </c>
      <c r="HX56" s="1" t="s">
        <v>323</v>
      </c>
      <c r="HY56" s="1">
        <v>3890000</v>
      </c>
      <c r="HZ56" s="1" t="s">
        <v>223</v>
      </c>
      <c r="IA56" s="1">
        <f t="shared" si="280"/>
        <v>21220000.000000004</v>
      </c>
      <c r="IB56" s="1" t="s">
        <v>223</v>
      </c>
      <c r="IC56" s="1">
        <v>48900000</v>
      </c>
      <c r="ID56" s="1" t="s">
        <v>223</v>
      </c>
      <c r="IE56" s="1">
        <f t="shared" si="281"/>
        <v>1150000</v>
      </c>
      <c r="IF56" s="1" t="s">
        <v>223</v>
      </c>
      <c r="IG56" s="1">
        <f t="shared" ref="IG56:IG63" si="282">(6.6+0.9)*1000000</f>
        <v>7500000</v>
      </c>
      <c r="IH56" s="1" t="s">
        <v>323</v>
      </c>
      <c r="II56" s="79">
        <f t="shared" si="87"/>
        <v>83960000</v>
      </c>
      <c r="IJ56" s="97">
        <f t="shared" si="256"/>
        <v>1.6398844694935004</v>
      </c>
      <c r="IK56" s="1" t="s">
        <v>223</v>
      </c>
      <c r="IL56" s="97">
        <v>42.92</v>
      </c>
      <c r="IM56" s="97">
        <v>50.63</v>
      </c>
      <c r="IN56" s="98">
        <v>182</v>
      </c>
      <c r="IO56" s="695">
        <v>13.61</v>
      </c>
      <c r="IP56" s="98">
        <f t="shared" si="236"/>
        <v>5.9589447821200423</v>
      </c>
      <c r="IQ56" s="98">
        <v>19.7</v>
      </c>
      <c r="IR56" s="98">
        <f t="shared" si="243"/>
        <v>5.93</v>
      </c>
      <c r="IS56" s="98">
        <f t="shared" si="244"/>
        <v>5.67</v>
      </c>
      <c r="IT56" s="98">
        <f t="shared" si="245"/>
        <v>11.35</v>
      </c>
      <c r="IU56" s="98">
        <f t="shared" si="246"/>
        <v>0.88</v>
      </c>
      <c r="IV56" s="94">
        <f t="shared" si="89"/>
        <v>17.899999999999999</v>
      </c>
      <c r="IW56" s="1"/>
      <c r="IX56" s="1"/>
      <c r="IY56" s="105">
        <v>1.84</v>
      </c>
      <c r="IZ56" s="161">
        <v>0.5</v>
      </c>
      <c r="JA56" s="83">
        <v>1000</v>
      </c>
      <c r="JB56" s="161">
        <v>40.24</v>
      </c>
      <c r="JC56" s="1"/>
      <c r="JD56" s="1"/>
      <c r="JF56" s="2">
        <v>8.5645236300000018</v>
      </c>
      <c r="JG56" s="2">
        <v>17.27749524</v>
      </c>
      <c r="JH56" s="2">
        <v>71.832789610000006</v>
      </c>
      <c r="JI56" s="2">
        <v>54.788541360000004</v>
      </c>
      <c r="JJ56" s="2">
        <v>465.64123405999999</v>
      </c>
      <c r="JK56" s="2">
        <v>72.364698230000002</v>
      </c>
      <c r="JL56" s="2">
        <v>1441.1809405399997</v>
      </c>
      <c r="JM56" s="2">
        <v>0.38628690000000004</v>
      </c>
      <c r="JN56" s="2">
        <v>141.89225017999999</v>
      </c>
      <c r="JO56" s="2">
        <v>19.642082009999999</v>
      </c>
      <c r="JP56" s="2">
        <v>0</v>
      </c>
      <c r="JQ56" s="2">
        <v>0</v>
      </c>
      <c r="JR56" s="2">
        <v>0.78629897999999998</v>
      </c>
      <c r="JS56" s="2">
        <v>0</v>
      </c>
      <c r="JT56" s="2">
        <v>2.145E-2</v>
      </c>
      <c r="JU56" s="2">
        <v>81.212688410000013</v>
      </c>
      <c r="JV56" s="2">
        <v>5.696247829999999</v>
      </c>
      <c r="JW56" s="2">
        <v>9.1689206000000016</v>
      </c>
      <c r="JX56" s="2">
        <v>13.14365409</v>
      </c>
      <c r="JY56" s="2">
        <v>0</v>
      </c>
      <c r="JZ56" s="2">
        <v>0.85344297000000002</v>
      </c>
      <c r="KA56" s="2">
        <v>0.41899791999999997</v>
      </c>
      <c r="KB56" s="2">
        <v>2.85584244</v>
      </c>
      <c r="KC56" s="2">
        <v>21.386114970000001</v>
      </c>
      <c r="KD56" s="2">
        <v>6.0458748900000003</v>
      </c>
      <c r="KE56" s="2">
        <v>8.5085350999999996</v>
      </c>
      <c r="KF56" s="2">
        <v>42.985513989999994</v>
      </c>
      <c r="KG56" s="2">
        <v>399.58625792999999</v>
      </c>
      <c r="KH56" s="2">
        <v>94.650793309999997</v>
      </c>
      <c r="KI56" s="2">
        <v>17.914882290000001</v>
      </c>
      <c r="KJ56" s="2">
        <v>2.5306769399999998</v>
      </c>
      <c r="KK56" s="2">
        <v>5.3203691200000014</v>
      </c>
      <c r="KL56" s="2">
        <v>0.35644386</v>
      </c>
      <c r="KM56" s="2">
        <v>4.8440515600000005</v>
      </c>
      <c r="KN56" s="2">
        <v>0.11576</v>
      </c>
      <c r="KO56" s="2">
        <v>3.9409963900000005</v>
      </c>
      <c r="KP56" s="2">
        <v>3.1729359999999998E-2</v>
      </c>
      <c r="KQ56" s="2">
        <v>49.662889440000001</v>
      </c>
      <c r="KR56" s="2">
        <v>8.5758899999999992E-3</v>
      </c>
      <c r="KS56" s="2">
        <v>0.35538434999999996</v>
      </c>
      <c r="KT56" s="2">
        <v>1.76121635</v>
      </c>
      <c r="KU56" s="2">
        <v>8.7846020000000011E-2</v>
      </c>
      <c r="KV56" s="2">
        <v>0.10863861999999999</v>
      </c>
      <c r="KW56" s="2">
        <v>3.2900252000000005</v>
      </c>
      <c r="KX56" s="2">
        <v>0</v>
      </c>
      <c r="KY56" s="2">
        <v>1.5851729999999998E-2</v>
      </c>
      <c r="KZ56" s="2">
        <v>1.1969108299999998</v>
      </c>
      <c r="LA56" s="2">
        <v>0.36656882000000002</v>
      </c>
      <c r="LB56" s="2">
        <v>0</v>
      </c>
      <c r="LC56" s="2">
        <v>3.0067549999999998E-2</v>
      </c>
      <c r="LD56" s="2">
        <v>0</v>
      </c>
      <c r="LE56" s="2">
        <v>0.13610636000000004</v>
      </c>
      <c r="LF56" s="2">
        <v>7.949479000000001E-2</v>
      </c>
      <c r="LG56" s="2">
        <v>15.01376232</v>
      </c>
      <c r="LH56" s="2">
        <v>4.2344466499999998</v>
      </c>
      <c r="LI56" s="2">
        <v>0.56017530000000004</v>
      </c>
      <c r="LJ56" s="2">
        <v>9.9394999999999996E-4</v>
      </c>
      <c r="LK56" s="2">
        <v>1.34919261</v>
      </c>
      <c r="LL56" s="2">
        <v>5.3801612799999994</v>
      </c>
      <c r="LM56" s="2">
        <v>1.11891293</v>
      </c>
      <c r="LN56" s="2">
        <v>0.26260070000000002</v>
      </c>
      <c r="LO56" s="2">
        <v>6.4622778499999987</v>
      </c>
      <c r="LQ56" s="85">
        <f t="shared" si="247"/>
        <v>2175.7220426499994</v>
      </c>
      <c r="LR56" s="85">
        <f t="shared" si="248"/>
        <v>0.80774897999999995</v>
      </c>
      <c r="LS56" s="85">
        <f t="shared" si="249"/>
        <v>14.865168430000001</v>
      </c>
      <c r="LT56" s="85">
        <f t="shared" si="250"/>
        <v>1.2724408899999999</v>
      </c>
      <c r="LU56" s="85">
        <f t="shared" si="251"/>
        <v>58.927657630000006</v>
      </c>
      <c r="LV56" s="85">
        <f t="shared" si="252"/>
        <v>3.4145155500000004</v>
      </c>
      <c r="LW56" s="85">
        <f t="shared" si="253"/>
        <v>0.36656882000000002</v>
      </c>
      <c r="LX56" s="85">
        <f t="shared" si="254"/>
        <v>0.21560115000000005</v>
      </c>
      <c r="LZ56" s="131">
        <v>71.86</v>
      </c>
      <c r="MA56" s="171">
        <v>54.75</v>
      </c>
      <c r="MB56"/>
      <c r="MC56"/>
      <c r="MD56"/>
      <c r="MF56"/>
      <c r="MG56"/>
      <c r="MH56" s="83">
        <v>106.12</v>
      </c>
      <c r="MI56" s="83">
        <v>39.479999999999997</v>
      </c>
      <c r="MJ56" s="83">
        <v>28.35</v>
      </c>
      <c r="MK56"/>
      <c r="ML56" s="83">
        <v>38.69</v>
      </c>
      <c r="MM56" s="83">
        <v>66.349999999999994</v>
      </c>
      <c r="MN56" s="83"/>
      <c r="MO56" s="83">
        <v>50.4</v>
      </c>
      <c r="MP56" s="83">
        <v>61.27</v>
      </c>
      <c r="MQ56" s="83">
        <v>68.67</v>
      </c>
      <c r="MR56"/>
      <c r="MT56" s="83"/>
      <c r="MU56" s="83">
        <v>24.17</v>
      </c>
      <c r="MV56"/>
      <c r="MW56"/>
      <c r="MX56"/>
      <c r="MY56" s="83">
        <v>92.17</v>
      </c>
      <c r="MZ56" s="83">
        <v>215</v>
      </c>
      <c r="NA56" s="83">
        <v>101.21</v>
      </c>
      <c r="NB56" s="83">
        <v>266.82</v>
      </c>
      <c r="NC56" s="83">
        <v>50.04</v>
      </c>
      <c r="ND56"/>
      <c r="NE56" s="1">
        <v>242.91</v>
      </c>
    </row>
    <row r="57" spans="1:369">
      <c r="A57" s="38">
        <f t="shared" si="219"/>
        <v>43800</v>
      </c>
      <c r="B57" s="36">
        <f t="shared" si="235"/>
        <v>12</v>
      </c>
      <c r="C57" s="36">
        <v>2019</v>
      </c>
      <c r="D57" s="36">
        <f t="shared" si="50"/>
        <v>57</v>
      </c>
      <c r="E57" s="38">
        <f t="shared" si="220"/>
        <v>43800</v>
      </c>
      <c r="F57" s="7">
        <v>62.785714285714285</v>
      </c>
      <c r="G57" s="7">
        <v>283.44420000000002</v>
      </c>
      <c r="H57" s="1">
        <f>[2]NACIONALES!$D45</f>
        <v>24445.89</v>
      </c>
      <c r="I57" s="7">
        <v>87</v>
      </c>
      <c r="J57" s="7">
        <v>390</v>
      </c>
      <c r="K57" s="7">
        <v>3.3</v>
      </c>
      <c r="L57" s="7">
        <v>23.8</v>
      </c>
      <c r="N57" s="5">
        <v>1.345</v>
      </c>
      <c r="O57" s="5">
        <v>1.1240000000000001</v>
      </c>
      <c r="P57" s="78">
        <f t="shared" si="221"/>
        <v>73.805464285714294</v>
      </c>
      <c r="Q57" s="6">
        <v>1370</v>
      </c>
      <c r="R57" s="79">
        <f t="shared" si="222"/>
        <v>13700</v>
      </c>
      <c r="S57" s="6">
        <v>146.31</v>
      </c>
      <c r="T57" s="6">
        <v>237.63</v>
      </c>
      <c r="U57" s="143">
        <v>137.37368421052631</v>
      </c>
      <c r="V57" s="6">
        <v>246.78</v>
      </c>
      <c r="W57" s="6">
        <v>135.94</v>
      </c>
      <c r="X57" s="6">
        <v>174.65263157894736</v>
      </c>
      <c r="Y57" s="79">
        <f t="shared" si="223"/>
        <v>9186.1778571428567</v>
      </c>
      <c r="Z57" s="79">
        <f t="shared" si="224"/>
        <v>14919.769285714285</v>
      </c>
      <c r="AA57" s="79">
        <f t="shared" si="225"/>
        <v>8625.1048872180436</v>
      </c>
      <c r="AB57" s="79">
        <f t="shared" si="226"/>
        <v>15494.258571428571</v>
      </c>
      <c r="AC57" s="79">
        <f t="shared" si="227"/>
        <v>8535.09</v>
      </c>
      <c r="AD57" s="79">
        <f t="shared" si="228"/>
        <v>10965.690225563909</v>
      </c>
      <c r="AE57" s="79">
        <f t="shared" si="229"/>
        <v>11287.681804511278</v>
      </c>
      <c r="AF57" s="1">
        <v>34119.166666666664</v>
      </c>
      <c r="AG57" s="1">
        <v>15250</v>
      </c>
      <c r="AH57" s="1">
        <v>58100</v>
      </c>
      <c r="AI57" s="5">
        <v>9.1393000000000004</v>
      </c>
      <c r="AJ57" s="5">
        <v>7.3724999999999996</v>
      </c>
      <c r="AK57" s="5">
        <v>7.7718999999999996</v>
      </c>
      <c r="AL57" s="5">
        <v>8.9619999999999997</v>
      </c>
      <c r="AM57" s="78">
        <f t="shared" si="230"/>
        <v>8.6705520000000007</v>
      </c>
      <c r="AN57" s="7">
        <v>861.06315789473683</v>
      </c>
      <c r="AO57" s="7">
        <v>765.80000000000007</v>
      </c>
      <c r="AP57" s="78">
        <f t="shared" si="277"/>
        <v>765.80000000000007</v>
      </c>
      <c r="AQ57" s="7">
        <v>562.39325842696633</v>
      </c>
      <c r="AR57" s="7">
        <v>544.95111111111112</v>
      </c>
      <c r="AS57" s="7">
        <v>220.74561403508773</v>
      </c>
      <c r="AT57" s="7">
        <v>439.23578947368418</v>
      </c>
      <c r="AU57" s="78">
        <f t="shared" si="53"/>
        <v>401.64417153996101</v>
      </c>
      <c r="AV57" s="7">
        <v>227.89041666666657</v>
      </c>
      <c r="AW57" s="7">
        <v>733.50578947368422</v>
      </c>
      <c r="AX57" s="7">
        <v>189.77263157894737</v>
      </c>
      <c r="AY57" s="7">
        <v>388.85463636363653</v>
      </c>
      <c r="AZ57" s="7">
        <v>460.94210526315788</v>
      </c>
      <c r="BA57" s="7">
        <v>351.89500000000004</v>
      </c>
      <c r="BB57" s="94">
        <f t="shared" si="45"/>
        <v>371.47155834662419</v>
      </c>
      <c r="BC57" s="164">
        <f>+BC56</f>
        <v>1029</v>
      </c>
      <c r="BD57" s="164">
        <v>1162.3499999999999</v>
      </c>
      <c r="BE57" s="97">
        <v>940</v>
      </c>
      <c r="BF57" s="7">
        <f t="shared" ref="BF57:BF62" si="283">+BF56</f>
        <v>550</v>
      </c>
      <c r="BG57" s="94">
        <f t="shared" si="56"/>
        <v>920.33749999999998</v>
      </c>
      <c r="BH57" s="7">
        <v>87.63</v>
      </c>
      <c r="BI57" s="7">
        <f t="shared" si="262"/>
        <v>31.36</v>
      </c>
      <c r="BJ57" s="78">
        <f t="shared" si="57"/>
        <v>118.99</v>
      </c>
      <c r="BK57" s="7">
        <v>86.153999999999996</v>
      </c>
      <c r="BL57" s="7">
        <v>96.34</v>
      </c>
      <c r="BM57" s="94">
        <f t="shared" si="58"/>
        <v>91.247</v>
      </c>
      <c r="BN57" s="5">
        <v>16.82</v>
      </c>
      <c r="BO57" s="5">
        <v>69.811904761904771</v>
      </c>
      <c r="BP57" s="105">
        <v>48.48</v>
      </c>
      <c r="BQ57" s="94">
        <f t="shared" si="59"/>
        <v>67.678714285714292</v>
      </c>
      <c r="BR57" s="7">
        <f>+(52.97+63.78+64.54+63.03)/4</f>
        <v>61.080000000000005</v>
      </c>
      <c r="BS57" s="7">
        <v>190</v>
      </c>
      <c r="BT57" s="7">
        <f>+F57*2.82</f>
        <v>177.05571428571426</v>
      </c>
      <c r="BU57" s="79">
        <f t="shared" si="237"/>
        <v>2811.1671428571426</v>
      </c>
      <c r="BV57" s="7">
        <v>97</v>
      </c>
      <c r="BW57" s="7">
        <v>120</v>
      </c>
      <c r="BY57" s="92">
        <f>BY$10*(1+((H57/H$10-1)*costos!$B$5+((I57*F57)/(I$10*F$10)-1)*costos!$E$5+((J57*F57)/((J$10*F$10)-1)*costos!$F$5/3+((K57*F57)/(K$10*F$10)-1)*costos!$F$5/3+((U57*F57)/(U$10*F$10)-1)*costos!$F$5/3+((L57*F57)/(L$10*F$10)-1)*costos!$G$5+((N57*F57)/(N$10*F$10)-1)*costos!$J$5+((V57*F57)/(V$10*F$10)-1)*costos!$K$5)))</f>
        <v>444.70887485468393</v>
      </c>
      <c r="BZ57" s="92">
        <f>$BZ$10*(1+((H57/$H$10-1)*costos!$B$6+((I57*F57)/($I$10*$F$10)-1)*costos!$E$6+((J57*F57)/(($J$10*$F$10)-1)*costos!$F$6/3+((K57*F57)/($K$10*$F$10)-1)*costos!$F$6/3+((U57*F57)/($U$10*$F$10)-1)*costos!$F$6/3+((L57*F57)/($L$10*$F$10)-1)*costos!$G$6+((Q57*F57)/($Q$10*$F$10)-1)*costos!$J$6+((V57*F57)/($V$10*$F$10)-1)*costos!$K$6)))</f>
        <v>426.85423673637882</v>
      </c>
      <c r="CA57" s="92">
        <f>CA$10*(1+((H57/H$10-1)*costos!$B$7+((I57*F57)/(I$10*F$10)-1)*costos!$E$7+((J57*F57)/((J$10*F$10)-1)*costos!$F$7/3+((K57*F57)/(K$10*F$10)-1)*costos!$F$7/3+((U57*F57)/(U$10*F$10)-1)*costos!$F$7/3+((L57*F57)/(L$10*F$10)-1)*costos!$G$7+((S57*F57)/(S$10*F$10)-1)*costos!$J$7+((V57*F57)/(V$10*F$10)-1)*costos!$K$7)))</f>
        <v>438.43314549045277</v>
      </c>
      <c r="CB57" s="92">
        <f>CB$10*(1+((H57/H$10-1)*costos!$B$8+((I57*F57)/(I$10*F$10)-1)*costos!$E$8+((J57*F57)/((J$10*F$10)-1)*costos!$F$8/3+((K57*F57)/(K$10*F$10)-1)*costos!$F$8/3+((U57*F57)/(U$10*F$10)-1)*costos!$F$8/3+((L57*F57)/(L$10*F$10)-1)*costos!$G$8+((T57*F57)/(T$10*F$10)-1)*costos!$J$8+((V57*F57)/(V$10*F$10)-1)*costos!$K$8)))</f>
        <v>424.47872802898104</v>
      </c>
      <c r="CC57" s="92">
        <f>CC$10*(1+((H57/H$10-1)*costos!$B$9+((I57*F57)/(I$10*F$10)-1)*costos!$E$9+((J57*F57)/((J$10*F$10)-1)*costos!$F$9/3+((K57*F57)/(K$10*F$10)-1)*costos!$F$9/3+((U57*F57)/(U$10*F$10)-1)*costos!$F$9/3+((L57*F57)/(L$10*F$10)-1)*costos!$G$9+((U57*F57)/(U$10*F$10)-1)*costos!$J$9+((V57*F57)/(V$10*F$10)-1)*costos!$K$9)))</f>
        <v>421.76031786940962</v>
      </c>
      <c r="CD57" s="92">
        <f>CD$10*(1+((H57/H$10-1)*costos!$B$11+((I57*F57)/(I$10*F$10)-1)*costos!$E$11+((J57*F57)/((J$10*F$10)-1)*costos!$F$11/3+((K57*F57)/(K$10*F$10)-1)*costos!$F$11/3+((U57*F57)/(U$10*F$10)-1)*costos!$F$11/3+((L57*F57)/(L$10*F$10)-1)*costos!$G$11+((V57*F57)/(V$10*F$10)-1)*costos!$J$11+((V57*F57)/(V$10*F$10)-1)*costos!$K$11)))</f>
        <v>453.39735398761292</v>
      </c>
      <c r="CE57" s="92">
        <f>CE$10*(1+((H57/H$10-1)*costos!$B$12+((I57*F57)/(I$10*F$10)-1)*costos!$E$12+((J57*F57)/((J$10*F$10)-1)*costos!$F$12/3+((K57*F57)/(K$10*F$10)-1)*costos!$F$12/3+((U57*F57)/(U$10*F$10)-1)*costos!$F$12/3+((L57*F57)/(L$10*F$10)-1)*costos!$G$12+((W57*F57)/(W$10*F$10)-1)*costos!$J$12+((V57*F57)/(V$10*F$10)-1)*costos!$K$12)))</f>
        <v>416.67925992664851</v>
      </c>
      <c r="CF57" s="92">
        <f>CF$10*(1+((H57/H$10-1)*costos!$B$13+((I57*F57)/(I$10*F$10)-1)*costos!$E$13+((J57*F57)/((J$10*F$10)-1)*costos!$F$13/3+((K57*F57)/(K$10*F$10)-1)*costos!$F$13/3+((U57*F57)/(U$10*F$10)-1)*costos!$F$13/3+((L57*F57)/(L$10*F$10)-1)*costos!$G$13+((X57*F57)/(X$10*F$10)-1)*costos!$J$13+((V57*F57)/(V$10*F$10)-1)*costos!$K$13)))</f>
        <v>459.33065069752593</v>
      </c>
      <c r="CG57" s="92">
        <f t="shared" si="257"/>
        <v>435.67990933343845</v>
      </c>
      <c r="CH57" s="92">
        <f>CH$10*(1+((H57/H$10-1)*costos!$B$10+((I57*F57)/(I$10*F$10)-1)*costos!$E$10+((J57*F57)/((J$10*F$10)-1)*costos!$F$10/3+((K57*F57)/(K$10*F$10)-1)*costos!$F$10/3+((U57*F57)/(U$10*F$10)-1)*costos!$F$10/3+((L57*F57)/(L$10*F$10)-1)*costos!$G$10+((AF57)/(AF$10)-1)*costos!$J$10+((V57*F57)/(V$10*F$10)-1)*costos!$K$10)))</f>
        <v>467.95559739701514</v>
      </c>
      <c r="CI57" s="92">
        <f>CI$10*(1+((H57/H$10-1)*costos!$B$15+((I57*F57)/(I$10*F$10)-1)*costos!$E$15+((J57*F57)/((J$10*F$10)-1)*costos!$F$15/3+((K57*F57)/(K$10*F$10)-1)*costos!$F$15/3+((U57*F57)/(U$10*F$10)-1)*costos!$F$15/3+((L57*F57)/(L$10*F$10)-1)*costos!$G$15+((AV57)/(AV$10)-1)*costos!$J$15+((V57*F57)/(V$10*F$10)-1)*costos!$K$15)))</f>
        <v>404.18855807905157</v>
      </c>
      <c r="CJ57" s="92">
        <f>CJ$10*(1+((H57/H$10-1)*costos!$B$16+((I57*F57)/(I$10*F$10)-1)*costos!$E$16+((J57*F57)/((J$10*F$10)-1)*costos!$F$16/3+((K57*F57)/(K$10*F$10)-1)*costos!$F$16/3+((U57*F57)/(U$10*F$10)-1)*costos!$F$16/3+((L57*F57)/(L$10*F$10)-1)*costos!$G$16+((AW57)/(AW$10)-1)*costos!$J$16+((V57*F57)/(V$10*F$10)-1)*costos!$K$16)))</f>
        <v>358.11419233712894</v>
      </c>
      <c r="CK57" s="92">
        <f>CK$10*(1+((H57/H$10-1)*costos!$B$17+((I57*F57)/(I$10*F$10)-1)*costos!$E$17+((J57*F57)/((J$10*F$10)-1)*costos!$F$17/3+((K57*F57)/(K$10*F$10)-1)*costos!$F$17/3+((U57*F57)/(U$10*F$10)-1)*costos!$F$17/3+((L57*F57)/(L$10*F$10)-1)*costos!$G$17+((AX57)/(AX$10)-1)*costos!$J$17+((V57*F57)/(V$10*F$10)-1)*costos!$K$17)))</f>
        <v>362.89471700909399</v>
      </c>
      <c r="CL57" s="92">
        <f>CL$10*(1+((H57/H$10-1)*costos!$B$18+((I57*F57)/(I$10*F$10)-1)*costos!$E$18+((J57*F57)/((J$10*F$10)-1)*costos!$F$18/3+((K57*F57)/(K$10*F$10)-1)*costos!$F$18/3+((U57*F57)/(U$10*F$10)-1)*costos!$F$18/3+((L57*F57)/(L$10*F$10)-1)*costos!$G$18+((AY57)/(AY$10)-1)*costos!$J$18+((V57*F57)/(V$10*F$10)-1)*costos!$K$18)))</f>
        <v>398.35807967792533</v>
      </c>
      <c r="CM57" s="92">
        <f>CM$10*(1+((H57/H$10-1)*costos!$B$19+((I57*F57)/(I$10*F$10)-1)*costos!$E$19+((J57*F57)/((J$10*F$10)-1)*costos!$F$19/3+((K57*F57)/(K$10*F$10)-1)*costos!$F$19/3+((U57*F57)/(U$10*F$10)-1)*costos!$F$19/3+((L57*F57)/(L$10*F$10)-1)*costos!$G$19+((AZ57)/(AZ$10)-1)*costos!$J$19+((V57*F57)/(V$10*F$10)-1)*costos!$K$19)))</f>
        <v>373.58219396791492</v>
      </c>
      <c r="CN57" s="92">
        <f>CN$10*(1+((H57/H$10-1)*costos!$B$20+((I57*F57)/(I$10*F$10)-1)*costos!$E$20+((J57*F57)/((J$10*F$10)-1)*costos!$F$20/3+((K57*F57)/(K$10*F$10)-1)*costos!$F$20/3+((U57*F57)/(U$10*F$10)-1)*costos!$F$20/3+((L57*F57)/(L$10*F$10)-1)*costos!$G$20+((BA57)/(BA$10)-1)*costos!$J$20+((V57*F57)/(V$10*F$10)-1)*costos!$K$20)))</f>
        <v>368.20766601378489</v>
      </c>
      <c r="CO57" s="92">
        <f t="shared" si="258"/>
        <v>375.76066416717981</v>
      </c>
      <c r="CP57" s="92">
        <f>CP$10*(1+((H57/H$10-1)*costos!$B$22+((I57*F57)/(I$10*F$10)-1)*costos!$E$22+((J57*F57)/((J$10*F$10)-1)*costos!$F$22/3+((K57*F57)/(K$10*F$10)-1)*costos!$F$22/3+((U57*F57)/(U$10*F$10)-1)*costos!$F$22/3+((L57*F57)/(L$10*F$10)-1)*costos!$G$22+(((AVERAGE(AI57:AL57))/((AVERAGE(AI$10:AL$10))-1)*costos!$J$22+((V57*F57)/(V$10*F$10)-1)*costos!$K$22)))))</f>
        <v>401.90473310096183</v>
      </c>
      <c r="CQ57" s="92">
        <f>CQ$10*(1+((H57/H$10-1)*costos!$B$23+((I57*F57)/(I$10*F$10)-1)*costos!$E$23+((J57*F57)/((J$10*F$10)-1)*costos!$F$23/3+((K57*F57)/(K$10*F$10)-1)*costos!$F$23/3+((U57*F57)/(U$10*F$10)-1)*costos!$F$23/3+((L57*F57)/(L$10*F$10)-1)*costos!$G$23+((AN57)/(AN$10)-1)*costos!$J$23+((V57*F57)/(V$10*F$10)-1)*costos!$K$23)))</f>
        <v>351.1793948820831</v>
      </c>
      <c r="CR57" s="92">
        <f>CR$10*(1+((H57/H$10-1)*costos!$B$24+((I57*F57)/(I$10*F$10)-1)*costos!$E$24+((J57*F57)/((J$10*F$10)-1)*costos!$F$24/3+((K57*F57)/(K$10*F$10)-1)*costos!$F$24/3+((U57*F57)/(U$10*F$10)-1)*costos!$F$24/3+((L57*F57)/(L$10*F$10)-1)*costos!$G$24+((AO57)/(AO$10)-1)*costos!$J$24+((V57*F57)/(V$10*F$10)-1)*costos!$K$24)))</f>
        <v>372.13130321373109</v>
      </c>
      <c r="CS57" s="92">
        <f t="shared" si="62"/>
        <v>361.65534904790707</v>
      </c>
      <c r="CT57" s="92">
        <f>CT$10*(1+((H57/H$10-1)*costos!$B$25+((I57*F57)/(I$10*F$10)-1)*costos!$E$25+((J57*F57)/((J$10*F$10)-1)*costos!$F$25/3+((K57*F57)/(K$10*F$10)-1)*costos!$F$25/3+((U57*F57)/(U$10*F$10)-1)*costos!$F$25/3+((L57*F57)/(L$10*F$10)-1)*costos!$G$25+((AQ57)/(AQ$10)-1)*costos!$J$25+((V57*F57)/(V$10*F$10)-1)*costos!$K$25)))</f>
        <v>359.87940293490448</v>
      </c>
      <c r="CU57" s="92">
        <f>CU$10*(1+((H57/H$10-1)*costos!$B$26+((I57*F57)/(I$10*F$10)-1)*costos!$E$26+((J57*F57)/((J$10*F$10)-1)*costos!$F$26/3+((K57*F57)/(K$10*F$10)-1)*costos!$F$26/3+((U57*F57)/(U$10*F$10)-1)*costos!$F$26/3+((L57*F57)/(L$10*F$10)-1)*costos!$G$26+((AR57)/(AR$10)-1)*costos!$J$26+((V57*F57)/(V$10*F$10)-1)*costos!$K$26)))</f>
        <v>373.23005283715986</v>
      </c>
      <c r="CV57" s="92">
        <f>CV$10*(1+((H57/H$10-1)*costos!$B$27+((I57*F57)/(I$10*F$10)-1)*costos!$E$27+((J57*F57)/((J$10*F$10)-1)*costos!$F$27/3+((K57*F57)/(K$10*F$10)-1)*costos!$F$27/3+((U57*F57)/(U$10*F$10)-1)*costos!$F$27/3+((L57*F57)/(L$10*F$10)-1)*costos!$G$27+((AS57)/(AS$10)-1)*costos!$J$27+((V57*F57)/(V$10*F$10)-1)*costos!$K$27)))</f>
        <v>350.88130936720813</v>
      </c>
      <c r="CW57" s="92">
        <f>CW$10*(1+((H57/H$10-1)*costos!$B$28+((I57*F57)/(I$10*F$10)-1)*costos!$E$28+((J57*F57)/((J$10*F$10)-1)*costos!$F$28/3+((K57*F57)/(K$10*F$10)-1)*costos!$F$28/3+((U57*F57)/(U$10*F$10)-1)*costos!$F$28/3+((L57*F57)/(L$10*F$10)-1)*costos!$G$28+((AS57)/(AS$10)-1)*costos!$J$28+((V57*F57)/(V$10*F$10)-1)*costos!$K$28)))</f>
        <v>350.88130936720813</v>
      </c>
      <c r="CX57" s="92">
        <f t="shared" si="259"/>
        <v>358.33089052385867</v>
      </c>
      <c r="CY57" s="92">
        <f>CY$10*(1+((H57/H$10-1)*costos!$B$32+((I57*F57)/(I$10*F$10)-1)*costos!$E$32+((J57*F57)/((J$10*F$10)-1)*costos!$F$32/3+((K57*F57)/(K$10*F$10)-1)*costos!$F$32/3+((U57*F57)/(U$10*F$10)-1)*costos!$F$32/3+((L57*F57)/(L$10*F$10)-1)*costos!$G$32+((AG57)/(AG$10)-1)*costos!$J$32+((V57*F57)/(V$10*F$10)-1)*costos!$K$32)))</f>
        <v>343.19446604402566</v>
      </c>
      <c r="CZ57" s="69">
        <f>CZ$10*(1+((H57/H$10-1)*costos!$B$31+((I57*F57)/(I$10*F$10)-1)*costos!$E$30+((J57*F57)/((J$10*F$10)-1)*costos!$F$30/3+((K57*F57)/(K$10*F$10)-1)*costos!$F$30/3+((U57*F57)/(U$10*F$10)-1)*costos!$F$30/3+((L57*F57)/(L$10*F$10)-1)*costos!$G$30+((BG57)/(BG$10)-1)*costos!$J$30+((V57*F57)/(V$10*F$10)-1)*costos!$K$30)))</f>
        <v>428.12982505318382</v>
      </c>
      <c r="DA57" s="69">
        <f>DA$10*(1+((H57/H$10-1)*costos!$B$31+((I57*F57)/(I$10*F$10)-1)*costos!$E$31+((J57*F57)/((J$10*F$10)-1)*costos!$F$31/3+((K57*F57)/(K$10*F$10)-1)*costos!$F$31/3+((U57*F57)/(U$10*F$10)-1)*costos!$F$31/3+((L57*F57)/(L$10*F$10)-1)*costos!$G$31+((BJ57)/(BJ$10)-1)*costos!$J$31+((V57*F57)/(V$10*F$10)-1)*costos!$K$31)))</f>
        <v>353.53174571746155</v>
      </c>
      <c r="DB57" s="69">
        <f>DB$10*(1+((H57/H$10-1)*costos!$B$36+((I57*F57)/(I$10*F$10)-1)*costos!$E$36+((J57*F57)/((J$10*F$10)-1)*costos!$F$36/3+((K57*F57)/(K$10*F$10)-1)*costos!$F$36/3+((U57*F57)/(U$10*F$10)-1)*costos!$F$36/3+((L57*F57)/(L$10*F$10)-1)*costos!$G$36+((BK57)/(BK$10)-1)*costos!$J$36+((V57*F57)/(V$10*F$10)-1)*costos!$K$36)))</f>
        <v>375.31319981460865</v>
      </c>
      <c r="DC57" s="69">
        <f>DC$10*(1+((H57/H$10-1)*costos!$B$37+((I57*F57)/(I$10*F$10)-1)*costos!$E$37+((U57*F57)/(U$10*F$10)-1)*costos!$F$37+((L57*F57)/(L$10*F$10)-1)*costos!$G$37+((BN57)/(BN$10)-1)*costos!$J$37+((V57*F57)/(V$10*F$10)-1)*costos!$K$37))</f>
        <v>419.43239848059022</v>
      </c>
      <c r="DD57" s="69">
        <f>DD$10*(1+((H57/H$10-1)*costos!$B$39+((I57*F57)/(I$10*F$10)-1)*costos!$E$39+((U57*F57)/(U$10*F$10)-1)*costos!$F$39+((L57*F57)/(L$10*F$10)-1)*costos!$G$39+((BR57)/(BR$10)-1)*costos!$J$39+((V57*F57)/(V$10*F$10)-1)*costos!$K$39))</f>
        <v>406.16813626997111</v>
      </c>
      <c r="DE57" s="69">
        <f>DD$10*(1+((H57/H$10-1)*costos!$B$35+((I57*F57)/(I$10*F$10)-1)*costos!$E$35+((U57*F57)/(U$10*F$10)-1)*costos!$F$35+((L57*F57)/(L$10*F$10)-1)*costos!$G$35+((BR57)/(BR$10)-1)*costos!$J$35+((V57*F57)/(V$10*F$10)-1)*costos!$K$35))</f>
        <v>363.30251939392963</v>
      </c>
      <c r="DF57" s="69">
        <f>DF$10*(1+((H57/H$10-1)*costos!$B$40+((I57*F57)/(I$10*F$10)-1)*costos!$E$40+((U57*F57)/(U$10*F$10)-1)*costos!$F$40+((L57*F57)/(L$10*F$10)-1)*costos!$G$40+((BP57)/(BP$10)-1)*costos!$J$40+((V57*F57)/(V$10*F$10)-1)*costos!$K$40))</f>
        <v>413.90648653123031</v>
      </c>
      <c r="DG57" s="92">
        <f t="shared" si="260"/>
        <v>388.60450296258</v>
      </c>
      <c r="DH57" s="69">
        <f>DH$10*(1+((H57/H$10-1)*costos!$B$34+((I57*F57)/(I$10*F$10)-1)*costos!$E$34+((J57*F57)/((J$10*F$10)-1)*costos!$F$34/3+((K57*F57)/(K$10*F$10)-1)*costos!$F$34/3+((U57*F57)/(U$10*F$10)-1)*costos!$F$34/3+((L57*F57)/(L$10*F$10)-1)*costos!$G$34+((BV57)/(BV$10)-1)*costos!$J$34+((V57*F57)/(V$10*F$10)-1)*costos!$K$34)))</f>
        <v>372.73742569465071</v>
      </c>
      <c r="DI57" s="69">
        <f>DI$10*(1+((H57/H$10-1)*costos!$B$38+((I57*F57)/(I$10*F$10)-1)*costos!$E$38+((J57*F57)/((J$10*F$10)-1)*costos!$F$38/3+((K57*F57)/(K$10*F$10)-1)*costos!$F$38/3+((U57*F57)/(U$10*F$10)-1)*costos!$F$38/3+((L57*F57)/(L$10*F$10)-1)*costos!$G$38+((BU57)/(BU$10)-1)*costos!$J$38+((V57*F57)/(V$10*F$10)-1)*costos!$K$38)))</f>
        <v>346.28674614169904</v>
      </c>
      <c r="DK57" s="1">
        <v>450000</v>
      </c>
      <c r="DL57" s="1" t="s">
        <v>323</v>
      </c>
      <c r="DM57" s="1">
        <v>190000</v>
      </c>
      <c r="DN57" s="1" t="s">
        <v>323</v>
      </c>
      <c r="DO57" s="1">
        <v>1270000</v>
      </c>
      <c r="DP57" s="1" t="s">
        <v>323</v>
      </c>
      <c r="DQ57" s="1">
        <v>1600000</v>
      </c>
      <c r="DR57" s="1" t="s">
        <v>323</v>
      </c>
      <c r="DS57" s="1">
        <v>6300000</v>
      </c>
      <c r="DT57" s="1" t="s">
        <v>323</v>
      </c>
      <c r="DU57" s="1">
        <v>17200000</v>
      </c>
      <c r="DV57" s="1" t="s">
        <v>323</v>
      </c>
      <c r="DW57" s="1">
        <v>510000</v>
      </c>
      <c r="DX57" s="1" t="s">
        <v>323</v>
      </c>
      <c r="DY57" s="1">
        <v>6950000</v>
      </c>
      <c r="DZ57" s="1" t="s">
        <v>323</v>
      </c>
      <c r="EA57" s="79">
        <f t="shared" si="67"/>
        <v>33830000</v>
      </c>
      <c r="EB57" s="1">
        <v>370000</v>
      </c>
      <c r="EC57" s="1" t="s">
        <v>323</v>
      </c>
      <c r="ED57" s="83">
        <v>170782</v>
      </c>
      <c r="EE57" s="143">
        <v>2019</v>
      </c>
      <c r="EF57" s="1">
        <v>215169</v>
      </c>
      <c r="EG57" s="6">
        <v>2019</v>
      </c>
      <c r="EH57" s="83">
        <v>55007853</v>
      </c>
      <c r="EI57" s="6">
        <v>2019</v>
      </c>
      <c r="EJ57" s="1">
        <f t="shared" si="269"/>
        <v>5128954</v>
      </c>
      <c r="EK57" s="6">
        <f t="shared" si="269"/>
        <v>2019</v>
      </c>
      <c r="EL57" s="1">
        <v>14339908</v>
      </c>
      <c r="EM57" s="6">
        <v>2018</v>
      </c>
      <c r="EN57" s="1">
        <v>3201657</v>
      </c>
      <c r="EO57" s="6">
        <v>2019</v>
      </c>
      <c r="EP57" s="82">
        <f t="shared" si="267"/>
        <v>6552</v>
      </c>
      <c r="EQ57" s="83">
        <f t="shared" si="267"/>
        <v>3038588</v>
      </c>
      <c r="ER57" s="1">
        <f t="shared" si="189"/>
        <v>33739</v>
      </c>
      <c r="ES57" s="1"/>
      <c r="ET57" s="83">
        <f t="shared" si="270"/>
        <v>20884</v>
      </c>
      <c r="EU57" s="83">
        <f t="shared" si="270"/>
        <v>17312</v>
      </c>
      <c r="EV57" s="83">
        <f t="shared" si="270"/>
        <v>9130</v>
      </c>
      <c r="EW57" s="83">
        <f t="shared" si="270"/>
        <v>17152</v>
      </c>
      <c r="EX57" s="79">
        <f>+SUM(ET57:EW57)</f>
        <v>64478</v>
      </c>
      <c r="EY57" s="83">
        <f t="shared" si="264"/>
        <v>19636</v>
      </c>
      <c r="EZ57" s="82">
        <f t="shared" si="255"/>
        <v>76171</v>
      </c>
      <c r="FA57" s="82">
        <f t="shared" si="264"/>
        <v>20432</v>
      </c>
      <c r="FB57" s="82">
        <f t="shared" si="264"/>
        <v>18034</v>
      </c>
      <c r="FC57" s="79">
        <f>+FB57+FA57</f>
        <v>38466</v>
      </c>
      <c r="FD57" s="83">
        <f t="shared" si="158"/>
        <v>61643.420000000013</v>
      </c>
      <c r="FE57" s="1"/>
      <c r="FF57" s="1">
        <v>870000</v>
      </c>
      <c r="FG57" s="1" t="s">
        <v>223</v>
      </c>
      <c r="FH57" s="1">
        <v>1200000</v>
      </c>
      <c r="FI57" s="1" t="s">
        <v>223</v>
      </c>
      <c r="FJ57" s="1">
        <v>4000000</v>
      </c>
      <c r="FK57" s="1" t="s">
        <v>323</v>
      </c>
      <c r="FL57" s="1">
        <v>3800000</v>
      </c>
      <c r="FM57" s="1" t="s">
        <v>223</v>
      </c>
      <c r="FN57" s="1">
        <v>48000000</v>
      </c>
      <c r="FO57" s="1" t="s">
        <v>223</v>
      </c>
      <c r="FP57" s="1">
        <v>55300000</v>
      </c>
      <c r="FQ57" s="1" t="s">
        <v>223</v>
      </c>
      <c r="FR57" s="1">
        <v>1600000</v>
      </c>
      <c r="FS57" s="1" t="s">
        <v>223</v>
      </c>
      <c r="FT57" s="1">
        <v>19775000</v>
      </c>
      <c r="FU57" s="1" t="s">
        <v>323</v>
      </c>
      <c r="FV57" s="79">
        <f t="shared" si="76"/>
        <v>132475000</v>
      </c>
      <c r="FW57" s="1">
        <v>1300000</v>
      </c>
      <c r="FX57" s="1" t="s">
        <v>223</v>
      </c>
      <c r="FY57" s="1">
        <v>41459.773000000001</v>
      </c>
      <c r="FZ57" s="79">
        <f t="shared" si="135"/>
        <v>832306.12700000021</v>
      </c>
      <c r="GA57" s="86" t="str">
        <f t="shared" si="271"/>
        <v>ene19 dic19</v>
      </c>
      <c r="GB57" s="1">
        <v>25198862</v>
      </c>
      <c r="GC57" s="6">
        <v>2019</v>
      </c>
      <c r="GD57" s="83">
        <f t="shared" si="265"/>
        <v>2061660</v>
      </c>
      <c r="GE57" s="83">
        <f t="shared" si="265"/>
        <v>421371</v>
      </c>
      <c r="GF57" s="83">
        <f t="shared" si="239"/>
        <v>1038352</v>
      </c>
      <c r="GG57" s="83">
        <f t="shared" si="268"/>
        <v>114695</v>
      </c>
      <c r="GH57" s="79">
        <f>GE57+GF57+GG57</f>
        <v>1574418</v>
      </c>
      <c r="GI57" s="82">
        <f t="shared" si="232"/>
        <v>1302556</v>
      </c>
      <c r="GJ57" s="83">
        <f t="shared" si="215"/>
        <v>673662.3</v>
      </c>
      <c r="GK57" s="83">
        <f t="shared" si="216"/>
        <v>1162000</v>
      </c>
      <c r="GL57" s="83">
        <f t="shared" si="217"/>
        <v>290589.5</v>
      </c>
      <c r="GM57" s="83">
        <f t="shared" si="218"/>
        <v>258882.47</v>
      </c>
      <c r="GN57" s="79">
        <f t="shared" si="81"/>
        <v>2385134.27</v>
      </c>
      <c r="GO57" s="83">
        <f t="shared" si="266"/>
        <v>196709</v>
      </c>
      <c r="GP57" s="83">
        <f t="shared" si="266"/>
        <v>71194.64</v>
      </c>
      <c r="GQ57" s="83">
        <v>205767</v>
      </c>
      <c r="GR57" s="82">
        <f t="shared" si="266"/>
        <v>43750</v>
      </c>
      <c r="GS57" s="79">
        <f t="shared" si="192"/>
        <v>49923.01</v>
      </c>
      <c r="GT57" s="83">
        <f t="shared" si="108"/>
        <v>2600000</v>
      </c>
      <c r="GU57" s="83">
        <v>11064</v>
      </c>
      <c r="GV57" s="83">
        <v>35555</v>
      </c>
      <c r="GW57" s="79">
        <f t="shared" si="261"/>
        <v>1082821</v>
      </c>
      <c r="GX57" s="1">
        <v>32193.503000000001</v>
      </c>
      <c r="GY57" s="1" t="s">
        <v>314</v>
      </c>
      <c r="GZ57" s="1">
        <v>107349</v>
      </c>
      <c r="HA57" s="1">
        <v>277742</v>
      </c>
      <c r="HB57" s="79">
        <f t="shared" si="241"/>
        <v>3117843</v>
      </c>
      <c r="HC57" s="86" t="str">
        <f t="shared" si="272"/>
        <v>ene19 dic19</v>
      </c>
      <c r="HD57" s="1">
        <v>54801</v>
      </c>
      <c r="HE57" s="79">
        <f t="shared" si="139"/>
        <v>629515</v>
      </c>
      <c r="HF57" s="86" t="str">
        <f t="shared" si="273"/>
        <v>ene19 dic19</v>
      </c>
      <c r="HG57" s="83">
        <v>191000</v>
      </c>
      <c r="HH57" s="79">
        <f t="shared" si="242"/>
        <v>2192000</v>
      </c>
      <c r="HI57" s="86" t="str">
        <f t="shared" si="274"/>
        <v>ene19 dic19</v>
      </c>
      <c r="HJ57" s="1">
        <f>+(215906*30*12)/1000</f>
        <v>77726.16</v>
      </c>
      <c r="HK57" s="79">
        <f t="shared" si="278"/>
        <v>59636.315999999999</v>
      </c>
      <c r="HL57" s="86" t="str">
        <f t="shared" si="275"/>
        <v>ene19 dic19</v>
      </c>
      <c r="HM57" s="79">
        <f t="shared" si="86"/>
        <v>2251636.3160000001</v>
      </c>
      <c r="HN57" s="87">
        <f t="shared" si="279"/>
        <v>3.8875466725236008E-2</v>
      </c>
      <c r="HO57" s="1">
        <v>946000000</v>
      </c>
      <c r="HP57" s="79">
        <f t="shared" si="153"/>
        <v>10342.799999999999</v>
      </c>
      <c r="HQ57" s="86" t="str">
        <f t="shared" si="276"/>
        <v>ene19 dic19</v>
      </c>
      <c r="HR57" s="1"/>
      <c r="HS57" s="1"/>
      <c r="HT57" s="1"/>
      <c r="HU57" s="1">
        <v>650000</v>
      </c>
      <c r="HV57" s="1" t="s">
        <v>223</v>
      </c>
      <c r="HW57" s="1">
        <v>1300000</v>
      </c>
      <c r="HX57" s="1" t="s">
        <v>323</v>
      </c>
      <c r="HY57" s="1">
        <v>3890000</v>
      </c>
      <c r="HZ57" s="1" t="s">
        <v>223</v>
      </c>
      <c r="IA57" s="1">
        <f t="shared" si="280"/>
        <v>21220000.000000004</v>
      </c>
      <c r="IB57" s="1" t="s">
        <v>223</v>
      </c>
      <c r="IC57" s="1">
        <v>48900000</v>
      </c>
      <c r="ID57" s="1" t="s">
        <v>223</v>
      </c>
      <c r="IE57" s="1">
        <f t="shared" si="281"/>
        <v>1150000</v>
      </c>
      <c r="IF57" s="1" t="s">
        <v>223</v>
      </c>
      <c r="IG57" s="1">
        <f t="shared" si="282"/>
        <v>7500000</v>
      </c>
      <c r="IH57" s="1" t="s">
        <v>323</v>
      </c>
      <c r="II57" s="79">
        <f t="shared" si="87"/>
        <v>83960000</v>
      </c>
      <c r="IJ57" s="97">
        <f t="shared" si="256"/>
        <v>1.6398844694935004</v>
      </c>
      <c r="IK57" s="1" t="s">
        <v>223</v>
      </c>
      <c r="IL57" s="97">
        <v>43.64</v>
      </c>
      <c r="IM57" s="97">
        <v>50.63</v>
      </c>
      <c r="IN57" s="98">
        <v>182</v>
      </c>
      <c r="IO57" s="695">
        <v>14.82</v>
      </c>
      <c r="IP57" s="98">
        <f t="shared" si="236"/>
        <v>5.9589447821200423</v>
      </c>
      <c r="IQ57" s="98">
        <v>19.7</v>
      </c>
      <c r="IR57" s="98">
        <f t="shared" si="243"/>
        <v>5.93</v>
      </c>
      <c r="IS57" s="98">
        <f t="shared" si="244"/>
        <v>5.67</v>
      </c>
      <c r="IT57" s="98">
        <f t="shared" si="245"/>
        <v>11.35</v>
      </c>
      <c r="IU57" s="98">
        <f t="shared" si="246"/>
        <v>0.88</v>
      </c>
      <c r="IV57" s="94">
        <f t="shared" si="89"/>
        <v>17.899999999999999</v>
      </c>
      <c r="IW57" s="1"/>
      <c r="IX57" s="1"/>
      <c r="IY57" s="105">
        <v>1.84</v>
      </c>
      <c r="IZ57" s="161">
        <v>0.5</v>
      </c>
      <c r="JA57" s="83">
        <v>1000</v>
      </c>
      <c r="JB57" s="161">
        <v>40.24</v>
      </c>
      <c r="JC57" s="1"/>
      <c r="JD57" s="1"/>
      <c r="JF57" s="2">
        <v>11.925358599999999</v>
      </c>
      <c r="JG57" s="2">
        <v>8.3764541199999982</v>
      </c>
      <c r="JH57" s="2">
        <v>83.081179810000009</v>
      </c>
      <c r="JI57" s="2">
        <v>45.28163828000001</v>
      </c>
      <c r="JJ57" s="2">
        <v>325.10560617999988</v>
      </c>
      <c r="JK57" s="2">
        <v>86.287054049999995</v>
      </c>
      <c r="JL57" s="2">
        <v>1038.4340064099999</v>
      </c>
      <c r="JM57" s="2">
        <v>0.89740894000000004</v>
      </c>
      <c r="JN57" s="2">
        <v>424.74104921999998</v>
      </c>
      <c r="JO57" s="2">
        <v>18.909281449999998</v>
      </c>
      <c r="JP57" s="2">
        <v>0</v>
      </c>
      <c r="JQ57" s="2">
        <v>3.6758609999999997E-2</v>
      </c>
      <c r="JR57" s="2">
        <v>0.54452363999999998</v>
      </c>
      <c r="JS57" s="2">
        <v>0</v>
      </c>
      <c r="JT57" s="2">
        <v>0.14896826000000002</v>
      </c>
      <c r="JU57" s="2">
        <v>80.871632140000003</v>
      </c>
      <c r="JV57" s="2">
        <v>6.8016282199999996</v>
      </c>
      <c r="JW57" s="2">
        <v>6.7216163099999999</v>
      </c>
      <c r="JX57" s="2">
        <v>24.434561039999998</v>
      </c>
      <c r="JY57" s="2">
        <v>0</v>
      </c>
      <c r="JZ57" s="2">
        <v>0.89376078000000003</v>
      </c>
      <c r="KA57" s="2">
        <v>0</v>
      </c>
      <c r="KB57" s="2">
        <v>3.3886581399999995</v>
      </c>
      <c r="KC57" s="2">
        <v>22.224456929999999</v>
      </c>
      <c r="KD57" s="2">
        <v>6.8106529299999998</v>
      </c>
      <c r="KE57" s="2">
        <v>10.57919965</v>
      </c>
      <c r="KF57" s="2">
        <v>42.558104459999996</v>
      </c>
      <c r="KG57" s="2">
        <v>436.52999095999996</v>
      </c>
      <c r="KH57" s="2">
        <v>96.312561459999998</v>
      </c>
      <c r="KI57" s="2">
        <v>26.523506670000003</v>
      </c>
      <c r="KJ57" s="2">
        <v>2.6432018099999999</v>
      </c>
      <c r="KK57" s="2">
        <v>7.2096251899999997</v>
      </c>
      <c r="KL57" s="2">
        <v>0.45069485999999997</v>
      </c>
      <c r="KM57" s="2">
        <v>3.25283386</v>
      </c>
      <c r="KN57" s="2">
        <v>4.7581599999999991E-3</v>
      </c>
      <c r="KO57" s="2">
        <v>1.9807656899999999</v>
      </c>
      <c r="KP57" s="2">
        <v>6.6326160000000009E-2</v>
      </c>
      <c r="KQ57" s="2">
        <v>23.89841904</v>
      </c>
      <c r="KR57" s="2">
        <v>2.6225419999999999E-2</v>
      </c>
      <c r="KS57" s="2">
        <v>9.5630950000000006E-2</v>
      </c>
      <c r="KT57" s="2">
        <v>2.89968307</v>
      </c>
      <c r="KU57" s="2">
        <v>0.38162946999999997</v>
      </c>
      <c r="KV57" s="2">
        <v>0</v>
      </c>
      <c r="KW57" s="2">
        <v>3.7276128100000001</v>
      </c>
      <c r="KX57" s="2">
        <v>0</v>
      </c>
      <c r="KY57" s="2">
        <v>0</v>
      </c>
      <c r="KZ57" s="2">
        <v>0.11361388</v>
      </c>
      <c r="LA57" s="2">
        <v>0.55411265999999992</v>
      </c>
      <c r="LB57" s="2">
        <v>5.5881279999999998E-2</v>
      </c>
      <c r="LC57" s="2">
        <v>3.695068E-2</v>
      </c>
      <c r="LD57" s="2">
        <v>0</v>
      </c>
      <c r="LE57" s="2">
        <v>0.21031573000000001</v>
      </c>
      <c r="LF57" s="2">
        <v>0.18576481</v>
      </c>
      <c r="LG57" s="2">
        <v>14.842639470000002</v>
      </c>
      <c r="LH57" s="2">
        <v>4.8963615899999997</v>
      </c>
      <c r="LI57" s="2">
        <v>0.91681120999999999</v>
      </c>
      <c r="LJ57" s="2">
        <v>0</v>
      </c>
      <c r="LK57" s="2">
        <v>2.1953239199999999</v>
      </c>
      <c r="LL57" s="2">
        <v>5.8694276600000013</v>
      </c>
      <c r="LM57" s="2">
        <v>0.96665031000000001</v>
      </c>
      <c r="LN57" s="2">
        <v>0.38132934999999996</v>
      </c>
      <c r="LO57" s="2">
        <v>7.8358684300000006</v>
      </c>
      <c r="LQ57" s="85">
        <f t="shared" si="247"/>
        <v>1917.5408888399998</v>
      </c>
      <c r="LR57" s="85">
        <f t="shared" si="248"/>
        <v>0.73025051000000007</v>
      </c>
      <c r="LS57" s="85">
        <f t="shared" si="249"/>
        <v>13.523244529999999</v>
      </c>
      <c r="LT57" s="85">
        <f t="shared" si="250"/>
        <v>0.89376078000000003</v>
      </c>
      <c r="LU57" s="85">
        <f t="shared" si="251"/>
        <v>29.258633119999999</v>
      </c>
      <c r="LV57" s="85">
        <f t="shared" si="252"/>
        <v>3.7276128100000001</v>
      </c>
      <c r="LW57" s="85">
        <f t="shared" si="253"/>
        <v>0.60999393999999996</v>
      </c>
      <c r="LX57" s="85">
        <f t="shared" si="254"/>
        <v>0.39608054000000004</v>
      </c>
      <c r="LZ57" s="131">
        <v>74.349999999999994</v>
      </c>
      <c r="MA57" s="171">
        <v>57.46</v>
      </c>
      <c r="MB57"/>
      <c r="MC57"/>
      <c r="MD57"/>
      <c r="MF57"/>
      <c r="MG57"/>
      <c r="MH57" s="83">
        <v>108.02</v>
      </c>
      <c r="MI57" s="83">
        <v>40.24</v>
      </c>
      <c r="MJ57" s="83">
        <v>27.6</v>
      </c>
      <c r="MK57"/>
      <c r="ML57" s="83">
        <v>32.72</v>
      </c>
      <c r="MM57" s="83">
        <v>54.07</v>
      </c>
      <c r="MN57" s="83"/>
      <c r="MO57" s="83">
        <v>51.28</v>
      </c>
      <c r="MP57" s="83">
        <v>62.05</v>
      </c>
      <c r="MQ57" s="83">
        <v>72.989999999999995</v>
      </c>
      <c r="MR57"/>
      <c r="MT57" s="83"/>
      <c r="MU57" s="83">
        <v>26.41</v>
      </c>
      <c r="MV57"/>
      <c r="MW57"/>
      <c r="MX57"/>
      <c r="MY57" s="83">
        <v>97.47</v>
      </c>
      <c r="MZ57" s="83">
        <v>234</v>
      </c>
      <c r="NA57" s="83">
        <v>99.67</v>
      </c>
      <c r="NB57" s="83">
        <v>290.47000000000003</v>
      </c>
      <c r="NC57" s="83">
        <v>50.98</v>
      </c>
      <c r="ND57"/>
      <c r="NE57" s="1">
        <v>256.20999999999998</v>
      </c>
    </row>
    <row r="58" spans="1:369">
      <c r="A58" s="38">
        <f t="shared" si="219"/>
        <v>43831</v>
      </c>
      <c r="B58" s="36">
        <v>1</v>
      </c>
      <c r="C58" s="36">
        <f>+C57+1</f>
        <v>2020</v>
      </c>
      <c r="D58" s="36">
        <f t="shared" si="50"/>
        <v>58</v>
      </c>
      <c r="E58" s="38">
        <f t="shared" si="220"/>
        <v>43831</v>
      </c>
      <c r="F58" s="7">
        <v>63</v>
      </c>
      <c r="G58" s="7">
        <v>289.82990000000001</v>
      </c>
      <c r="H58" s="1">
        <f>[2]NACIONALES!$D46</f>
        <v>24445.89</v>
      </c>
      <c r="I58" s="7">
        <v>86</v>
      </c>
      <c r="J58" s="7">
        <v>390</v>
      </c>
      <c r="K58" s="7">
        <v>3.3</v>
      </c>
      <c r="L58" s="7">
        <v>23.8</v>
      </c>
      <c r="N58" s="5">
        <v>1.363</v>
      </c>
      <c r="O58" s="5">
        <v>1.1419999999999999</v>
      </c>
      <c r="P58" s="78">
        <f>IFERROR(+AVERAGE(N58:O58)*0.91*(F58),"")</f>
        <v>71.805824999999999</v>
      </c>
      <c r="Q58" s="6">
        <v>1450</v>
      </c>
      <c r="R58" s="79">
        <f t="shared" si="222"/>
        <v>14500</v>
      </c>
      <c r="S58" s="6">
        <f>9159/F58</f>
        <v>145.38095238095238</v>
      </c>
      <c r="T58" s="6">
        <v>239.9</v>
      </c>
      <c r="U58" s="143">
        <v>146.01363636363635</v>
      </c>
      <c r="V58" s="6">
        <v>260.89999999999998</v>
      </c>
      <c r="W58" s="6">
        <f t="shared" ref="W58:W65" si="284">(148*0.88)-10</f>
        <v>120.24000000000001</v>
      </c>
      <c r="X58" s="6">
        <v>197.76470588235293</v>
      </c>
      <c r="Y58" s="79">
        <f t="shared" si="223"/>
        <v>9159</v>
      </c>
      <c r="Z58" s="79">
        <f t="shared" si="224"/>
        <v>15113.7</v>
      </c>
      <c r="AA58" s="79">
        <f t="shared" si="225"/>
        <v>9198.8590909090908</v>
      </c>
      <c r="AB58" s="79">
        <f t="shared" si="226"/>
        <v>16436.699999999997</v>
      </c>
      <c r="AC58" s="79">
        <f t="shared" si="227"/>
        <v>7575.1200000000008</v>
      </c>
      <c r="AD58" s="79">
        <f t="shared" si="228"/>
        <v>12459.176470588234</v>
      </c>
      <c r="AE58" s="79">
        <f t="shared" si="229"/>
        <v>11657.092593582887</v>
      </c>
      <c r="AF58" s="1">
        <v>34374</v>
      </c>
      <c r="AG58" s="1">
        <v>15250</v>
      </c>
      <c r="AH58" s="1">
        <v>58100</v>
      </c>
      <c r="AI58" s="5">
        <v>9.4125999999999994</v>
      </c>
      <c r="AJ58" s="5">
        <v>6.8308</v>
      </c>
      <c r="AK58" s="5">
        <v>7.4142000000000001</v>
      </c>
      <c r="AL58" s="5">
        <v>9.5665999999999993</v>
      </c>
      <c r="AM58" s="78">
        <f t="shared" si="230"/>
        <v>8.8267039999999994</v>
      </c>
      <c r="AN58" s="7">
        <v>957.52688172043008</v>
      </c>
      <c r="AO58" s="7">
        <v>849.01818181818192</v>
      </c>
      <c r="AP58" s="78">
        <f t="shared" si="277"/>
        <v>849.01818181818192</v>
      </c>
      <c r="AQ58" s="7">
        <v>551.17931034482763</v>
      </c>
      <c r="AR58" s="7">
        <v>669.07142857142856</v>
      </c>
      <c r="AS58" s="7">
        <v>227.06060606060606</v>
      </c>
      <c r="AT58" s="7">
        <v>691.96772727272719</v>
      </c>
      <c r="AU58" s="78">
        <f t="shared" si="53"/>
        <v>529.36658730158729</v>
      </c>
      <c r="AV58" s="7">
        <v>288.52515789473676</v>
      </c>
      <c r="AW58" s="7">
        <v>793.00062500000013</v>
      </c>
      <c r="AX58" s="7">
        <v>270.07318181818169</v>
      </c>
      <c r="AY58" s="7">
        <v>347.82466666666699</v>
      </c>
      <c r="AZ58" s="7">
        <v>475.46681818181821</v>
      </c>
      <c r="BA58" s="7">
        <v>239.86555555555557</v>
      </c>
      <c r="BB58" s="94">
        <f t="shared" si="45"/>
        <v>356.17676346801352</v>
      </c>
      <c r="BC58" s="68">
        <v>1120</v>
      </c>
      <c r="BD58" s="68">
        <v>1162.3499999999999</v>
      </c>
      <c r="BE58" s="97">
        <v>940</v>
      </c>
      <c r="BF58" s="7">
        <f t="shared" si="283"/>
        <v>550</v>
      </c>
      <c r="BG58" s="94">
        <f t="shared" si="56"/>
        <v>943.08749999999998</v>
      </c>
      <c r="BH58" s="95">
        <f>+BH57</f>
        <v>87.63</v>
      </c>
      <c r="BI58" s="95">
        <f>+BI57</f>
        <v>31.36</v>
      </c>
      <c r="BJ58" s="78">
        <f t="shared" si="57"/>
        <v>118.99</v>
      </c>
      <c r="BK58" s="7">
        <v>87.268000000000001</v>
      </c>
      <c r="BL58" s="7">
        <v>98.635000000000005</v>
      </c>
      <c r="BM58" s="94">
        <f t="shared" si="58"/>
        <v>92.95150000000001</v>
      </c>
      <c r="BN58" s="5">
        <v>17.260000000000002</v>
      </c>
      <c r="BO58" s="5">
        <v>63.432352941176468</v>
      </c>
      <c r="BP58" s="105">
        <v>49.33</v>
      </c>
      <c r="BQ58" s="94">
        <f t="shared" si="59"/>
        <v>62.02211764705882</v>
      </c>
      <c r="BR58" s="7">
        <v>66.72</v>
      </c>
      <c r="BS58" s="7">
        <v>190</v>
      </c>
      <c r="BT58" s="7">
        <f>+F58*2.89</f>
        <v>182.07000000000002</v>
      </c>
      <c r="BU58" s="79">
        <f t="shared" si="237"/>
        <v>2826.21</v>
      </c>
      <c r="BV58" s="7">
        <v>102.4</v>
      </c>
      <c r="BW58" s="7">
        <v>200</v>
      </c>
      <c r="BY58" s="92">
        <f>BY$10*(1+((H58/H$10-1)*costos!$B$5+((I58*F58)/(I$10*F$10)-1)*costos!$E$5+((J58*F58)/((J$10*F$10)-1)*costos!$F$5/3+((K58*F58)/(K$10*F$10)-1)*costos!$F$5/3+((U58*F58)/(U$10*F$10)-1)*costos!$F$5/3+((L58*F58)/(L$10*F$10)-1)*costos!$G$5+((N58*F58)/(N$10*F$10)-1)*costos!$J$5+((V58*F58)/(V$10*F$10)-1)*costos!$K$5)))</f>
        <v>453.4396608023398</v>
      </c>
      <c r="BZ58" s="92">
        <f>$BZ$10*(1+((H58/$H$10-1)*costos!$B$6+((I58*F58)/($I$10*$F$10)-1)*costos!$E$6+((J58*F58)/(($J$10*$F$10)-1)*costos!$F$6/3+((K58*F58)/($K$10*$F$10)-1)*costos!$F$6/3+((U58*F58)/($U$10*$F$10)-1)*costos!$F$6/3+((L58*F58)/($L$10*$F$10)-1)*costos!$G$6+((Q58*F58)/($Q$10*$F$10)-1)*costos!$J$6+((V58*F58)/($V$10*$F$10)-1)*costos!$K$6)))</f>
        <v>432.58761878922201</v>
      </c>
      <c r="CA58" s="92">
        <f>CA$10*(1+((H58/H$10-1)*costos!$B$7+((I58*F58)/(I$10*F$10)-1)*costos!$E$7+((J58*F58)/((J$10*F$10)-1)*costos!$F$7/3+((K58*F58)/(K$10*F$10)-1)*costos!$F$7/3+((U58*F58)/(U$10*F$10)-1)*costos!$F$7/3+((L58*F58)/(L$10*F$10)-1)*costos!$G$7+((S58*F58)/(S$10*F$10)-1)*costos!$J$7+((V58*F58)/(V$10*F$10)-1)*costos!$K$7)))</f>
        <v>448.37951131394692</v>
      </c>
      <c r="CB58" s="92">
        <f>CB$10*(1+((H58/H$10-1)*costos!$B$8+((I58*F58)/(I$10*F$10)-1)*costos!$E$8+((J58*F58)/((J$10*F$10)-1)*costos!$F$8/3+((K58*F58)/(K$10*F$10)-1)*costos!$F$8/3+((U58*F58)/(U$10*F$10)-1)*costos!$F$8/3+((L58*F58)/(L$10*F$10)-1)*costos!$G$8+((T58*F58)/(T$10*F$10)-1)*costos!$J$8+((V58*F58)/(V$10*F$10)-1)*costos!$K$8)))</f>
        <v>436.04226857335016</v>
      </c>
      <c r="CC58" s="92">
        <f>CC$10*(1+((H58/H$10-1)*costos!$B$9+((I58*F58)/(I$10*F$10)-1)*costos!$E$9+((J58*F58)/((J$10*F$10)-1)*costos!$F$9/3+((K58*F58)/(K$10*F$10)-1)*costos!$F$9/3+((U58*F58)/(U$10*F$10)-1)*costos!$F$9/3+((L58*F58)/(L$10*F$10)-1)*costos!$G$9+((U58*F58)/(U$10*F$10)-1)*costos!$J$9+((V58*F58)/(V$10*F$10)-1)*costos!$K$9)))</f>
        <v>438.29805562805541</v>
      </c>
      <c r="CD58" s="92">
        <f>CD$10*(1+((H58/H$10-1)*costos!$B$11+((I58*F58)/(I$10*F$10)-1)*costos!$E$11+((J58*F58)/((J$10*F$10)-1)*costos!$F$11/3+((K58*F58)/(K$10*F$10)-1)*costos!$F$11/3+((U58*F58)/(U$10*F$10)-1)*costos!$F$11/3+((L58*F58)/(L$10*F$10)-1)*costos!$G$11+((V58*F58)/(V$10*F$10)-1)*costos!$J$11+((V58*F58)/(V$10*F$10)-1)*costos!$K$11)))</f>
        <v>473.03709821959973</v>
      </c>
      <c r="CE58" s="92">
        <f>CE$10*(1+((H58/H$10-1)*costos!$B$12+((I58*F58)/(I$10*F$10)-1)*costos!$E$12+((J58*F58)/((J$10*F$10)-1)*costos!$F$12/3+((K58*F58)/(K$10*F$10)-1)*costos!$F$12/3+((U58*F58)/(U$10*F$10)-1)*costos!$F$12/3+((L58*F58)/(L$10*F$10)-1)*costos!$G$12+((W58*F58)/(W$10*F$10)-1)*costos!$J$12+((V58*F58)/(V$10*F$10)-1)*costos!$K$12)))</f>
        <v>407.57013236656337</v>
      </c>
      <c r="CF58" s="92">
        <f>CF$10*(1+((H58/H$10-1)*costos!$B$13+((I58*F58)/(I$10*F$10)-1)*costos!$E$13+((J58*F58)/((J$10*F$10)-1)*costos!$F$13/3+((K58*F58)/(K$10*F$10)-1)*costos!$F$13/3+((U58*F58)/(U$10*F$10)-1)*costos!$F$13/3+((L58*F58)/(L$10*F$10)-1)*costos!$G$13+((X58*F58)/(X$10*F$10)-1)*costos!$J$13+((V58*F58)/(V$10*F$10)-1)*costos!$K$13)))</f>
        <v>484.3635758011514</v>
      </c>
      <c r="CG58" s="92">
        <f t="shared" si="257"/>
        <v>447.94844031711119</v>
      </c>
      <c r="CH58" s="92">
        <f>CH$10*(1+((H58/H$10-1)*costos!$B$10+((I58*F58)/(I$10*F$10)-1)*costos!$E$10+((J58*F58)/((J$10*F$10)-1)*costos!$F$10/3+((K58*F58)/(K$10*F$10)-1)*costos!$F$10/3+((U58*F58)/(U$10*F$10)-1)*costos!$F$10/3+((L58*F58)/(L$10*F$10)-1)*costos!$G$10+((AF58)/(AF$10)-1)*costos!$J$10+((V58*F58)/(V$10*F$10)-1)*costos!$K$10)))</f>
        <v>477.9880290859939</v>
      </c>
      <c r="CI58" s="92">
        <f>CI$10*(1+((H58/H$10-1)*costos!$B$15+((I58*F58)/(I$10*F$10)-1)*costos!$E$15+((J58*F58)/((J$10*F$10)-1)*costos!$F$15/3+((K58*F58)/(K$10*F$10)-1)*costos!$F$15/3+((U58*F58)/(U$10*F$10)-1)*costos!$F$15/3+((L58*F58)/(L$10*F$10)-1)*costos!$G$15+((AV58)/(AV$10)-1)*costos!$J$15+((V58*F58)/(V$10*F$10)-1)*costos!$K$15)))</f>
        <v>420.04993473840619</v>
      </c>
      <c r="CJ58" s="92">
        <f>CJ$10*(1+((H58/H$10-1)*costos!$B$16+((I58*F58)/(I$10*F$10)-1)*costos!$E$16+((J58*F58)/((J$10*F$10)-1)*costos!$F$16/3+((K58*F58)/(K$10*F$10)-1)*costos!$F$16/3+((U58*F58)/(U$10*F$10)-1)*costos!$F$16/3+((L58*F58)/(L$10*F$10)-1)*costos!$G$16+((AW58)/(AW$10)-1)*costos!$J$16+((V58*F58)/(V$10*F$10)-1)*costos!$K$16)))</f>
        <v>364.30715537588367</v>
      </c>
      <c r="CK58" s="92">
        <f>CK$10*(1+((H58/H$10-1)*costos!$B$17+((I58*F58)/(I$10*F$10)-1)*costos!$E$17+((J58*F58)/((J$10*F$10)-1)*costos!$F$17/3+((K58*F58)/(K$10*F$10)-1)*costos!$F$17/3+((U58*F58)/(U$10*F$10)-1)*costos!$F$17/3+((L58*F58)/(L$10*F$10)-1)*costos!$G$17+((AX58)/(AX$10)-1)*costos!$J$17+((V58*F58)/(V$10*F$10)-1)*costos!$K$17)))</f>
        <v>385.26709524207956</v>
      </c>
      <c r="CL58" s="92">
        <f>CL$10*(1+((H58/H$10-1)*costos!$B$18+((I58*F58)/(I$10*F$10)-1)*costos!$E$18+((J58*F58)/((J$10*F$10)-1)*costos!$F$18/3+((K58*F58)/(K$10*F$10)-1)*costos!$F$18/3+((U58*F58)/(U$10*F$10)-1)*costos!$F$18/3+((L58*F58)/(L$10*F$10)-1)*costos!$G$18+((AY58)/(AY$10)-1)*costos!$J$18+((V58*F58)/(V$10*F$10)-1)*costos!$K$18)))</f>
        <v>393.82019082765345</v>
      </c>
      <c r="CM58" s="92">
        <f>CM$10*(1+((H58/H$10-1)*costos!$B$19+((I58*F58)/(I$10*F$10)-1)*costos!$E$19+((J58*F58)/((J$10*F$10)-1)*costos!$F$19/3+((K58*F58)/(K$10*F$10)-1)*costos!$F$19/3+((U58*F58)/(U$10*F$10)-1)*costos!$F$19/3+((L58*F58)/(L$10*F$10)-1)*costos!$G$19+((AZ58)/(AZ$10)-1)*costos!$J$19+((V58*F58)/(V$10*F$10)-1)*costos!$K$19)))</f>
        <v>378.27859788796741</v>
      </c>
      <c r="CN58" s="92">
        <f>CN$10*(1+((H58/H$10-1)*costos!$B$20+((I58*F58)/(I$10*F$10)-1)*costos!$E$20+((J58*F58)/((J$10*F$10)-1)*costos!$F$20/3+((K58*F58)/(K$10*F$10)-1)*costos!$F$20/3+((U58*F58)/(U$10*F$10)-1)*costos!$F$20/3+((L58*F58)/(L$10*F$10)-1)*costos!$G$20+((BA58)/(BA$10)-1)*costos!$J$20+((V58*F58)/(V$10*F$10)-1)*costos!$K$20)))</f>
        <v>346.01171470260954</v>
      </c>
      <c r="CO58" s="92">
        <f t="shared" si="258"/>
        <v>375.8443996650775</v>
      </c>
      <c r="CP58" s="92">
        <f>CP$10*(1+((H58/H$10-1)*costos!$B$22+((I58*F58)/(I$10*F$10)-1)*costos!$E$22+((J58*F58)/((J$10*F$10)-1)*costos!$F$22/3+((K58*F58)/(K$10*F$10)-1)*costos!$F$22/3+((U58*F58)/(U$10*F$10)-1)*costos!$F$22/3+((L58*F58)/(L$10*F$10)-1)*costos!$G$22+(((AVERAGE(AI58:AL58))/((AVERAGE(AI$10:AL$10))-1)*costos!$J$22+((V58*F58)/(V$10*F$10)-1)*costos!$K$22)))))</f>
        <v>403.06874496468498</v>
      </c>
      <c r="CQ58" s="92">
        <f>CQ$10*(1+((H58/H$10-1)*costos!$B$23+((I58*F58)/(I$10*F$10)-1)*costos!$E$23+((J58*F58)/((J$10*F$10)-1)*costos!$F$23/3+((K58*F58)/(K$10*F$10)-1)*costos!$F$23/3+((U58*F58)/(U$10*F$10)-1)*costos!$F$23/3+((L58*F58)/(L$10*F$10)-1)*costos!$G$23+((AN58)/(AN$10)-1)*costos!$J$23+((V58*F58)/(V$10*F$10)-1)*costos!$K$23)))</f>
        <v>357.83940153493825</v>
      </c>
      <c r="CR58" s="92">
        <f>CR$10*(1+((H58/H$10-1)*costos!$B$24+((I58*F58)/(I$10*F$10)-1)*costos!$E$24+((J58*F58)/((J$10*F$10)-1)*costos!$F$24/3+((K58*F58)/(K$10*F$10)-1)*costos!$F$24/3+((U58*F58)/(U$10*F$10)-1)*costos!$F$24/3+((L58*F58)/(L$10*F$10)-1)*costos!$G$24+((AO58)/(AO$10)-1)*costos!$J$24+((V58*F58)/(V$10*F$10)-1)*costos!$K$24)))</f>
        <v>380.92213251742646</v>
      </c>
      <c r="CS58" s="92">
        <f t="shared" si="62"/>
        <v>369.38076702618235</v>
      </c>
      <c r="CT58" s="92">
        <f>CT$10*(1+((H58/H$10-1)*costos!$B$25+((I58*F58)/(I$10*F$10)-1)*costos!$E$25+((J58*F58)/((J$10*F$10)-1)*costos!$F$25/3+((K58*F58)/(K$10*F$10)-1)*costos!$F$25/3+((U58*F58)/(U$10*F$10)-1)*costos!$F$25/3+((L58*F58)/(L$10*F$10)-1)*costos!$G$25+((AQ58)/(AQ$10)-1)*costos!$J$25+((V58*F58)/(V$10*F$10)-1)*costos!$K$25)))</f>
        <v>360.90315615129714</v>
      </c>
      <c r="CU58" s="92">
        <f>CU$10*(1+((H58/H$10-1)*costos!$B$26+((I58*F58)/(I$10*F$10)-1)*costos!$E$26+((J58*F58)/((J$10*F$10)-1)*costos!$F$26/3+((K58*F58)/(K$10*F$10)-1)*costos!$F$26/3+((U58*F58)/(U$10*F$10)-1)*costos!$F$26/3+((L58*F58)/(L$10*F$10)-1)*costos!$G$26+((AR58)/(AR$10)-1)*costos!$J$26+((V58*F58)/(V$10*F$10)-1)*costos!$K$26)))</f>
        <v>384.45749294989662</v>
      </c>
      <c r="CV58" s="92">
        <f>CV$10*(1+((H58/H$10-1)*costos!$B$27+((I58*F58)/(I$10*F$10)-1)*costos!$E$27+((J58*F58)/((J$10*F$10)-1)*costos!$F$27/3+((K58*F58)/(K$10*F$10)-1)*costos!$F$27/3+((U58*F58)/(U$10*F$10)-1)*costos!$F$27/3+((L58*F58)/(L$10*F$10)-1)*costos!$G$27+((AS58)/(AS$10)-1)*costos!$J$27+((V58*F58)/(V$10*F$10)-1)*costos!$K$27)))</f>
        <v>354.07530663726777</v>
      </c>
      <c r="CW58" s="92">
        <f>CW$10*(1+((H58/H$10-1)*costos!$B$28+((I58*F58)/(I$10*F$10)-1)*costos!$E$28+((J58*F58)/((J$10*F$10)-1)*costos!$F$28/3+((K58*F58)/(K$10*F$10)-1)*costos!$F$28/3+((U58*F58)/(U$10*F$10)-1)*costos!$F$28/3+((L58*F58)/(L$10*F$10)-1)*costos!$G$28+((AS58)/(AS$10)-1)*costos!$J$28+((V58*F58)/(V$10*F$10)-1)*costos!$K$28)))</f>
        <v>354.07530663726777</v>
      </c>
      <c r="CX58" s="92">
        <f t="shared" si="259"/>
        <v>364.2027020748107</v>
      </c>
      <c r="CY58" s="92">
        <f>CY$10*(1+((H58/H$10-1)*costos!$B$32+((I58*F58)/(I$10*F$10)-1)*costos!$E$32+((J58*F58)/((J$10*F$10)-1)*costos!$F$32/3+((K58*F58)/(K$10*F$10)-1)*costos!$F$32/3+((U58*F58)/(U$10*F$10)-1)*costos!$F$32/3+((L58*F58)/(L$10*F$10)-1)*costos!$G$32+((AG58)/(AG$10)-1)*costos!$J$32+((V58*F58)/(V$10*F$10)-1)*costos!$K$32)))</f>
        <v>344.14325973965265</v>
      </c>
      <c r="CZ58" s="69">
        <f>CZ$10*(1+((H58/H$10-1)*costos!$B$31+((I58*F58)/(I$10*F$10)-1)*costos!$E$30+((J58*F58)/((J$10*F$10)-1)*costos!$F$30/3+((K58*F58)/(K$10*F$10)-1)*costos!$F$30/3+((U58*F58)/(U$10*F$10)-1)*costos!$F$30/3+((L58*F58)/(L$10*F$10)-1)*costos!$G$30+((BG58)/(BG$10)-1)*costos!$J$30+((V58*F58)/(V$10*F$10)-1)*costos!$K$30)))</f>
        <v>429.18913187238547</v>
      </c>
      <c r="DA58" s="69">
        <f>DA$10*(1+((H58/H$10-1)*costos!$B$31+((I58*F58)/(I$10*F$10)-1)*costos!$E$31+((J58*F58)/((J$10*F$10)-1)*costos!$F$31/3+((K58*F58)/(K$10*F$10)-1)*costos!$F$31/3+((U58*F58)/(U$10*F$10)-1)*costos!$F$31/3+((L58*F58)/(L$10*F$10)-1)*costos!$G$31+((BJ58)/(BJ$10)-1)*costos!$J$31+((V58*F58)/(V$10*F$10)-1)*costos!$K$31)))</f>
        <v>354.91191886074421</v>
      </c>
      <c r="DB58" s="69">
        <f>DB$10*(1+((H58/H$10-1)*costos!$B$36+((I58*F58)/(I$10*F$10)-1)*costos!$E$36+((J58*F58)/((J$10*F$10)-1)*costos!$F$36/3+((K58*F58)/(K$10*F$10)-1)*costos!$F$36/3+((U58*F58)/(U$10*F$10)-1)*costos!$F$36/3+((L58*F58)/(L$10*F$10)-1)*costos!$G$36+((BK58)/(BK$10)-1)*costos!$J$36+((V58*F58)/(V$10*F$10)-1)*costos!$K$36)))</f>
        <v>379.12990654420906</v>
      </c>
      <c r="DC58" s="69">
        <f>DC$10*(1+((H58/H$10-1)*costos!$B$37+((I58*F58)/(I$10*F$10)-1)*costos!$E$37+((U58*F58)/(U$10*F$10)-1)*costos!$F$37+((L58*F58)/(L$10*F$10)-1)*costos!$G$37+((BN58)/(BN$10)-1)*costos!$J$37+((V58*F58)/(V$10*F$10)-1)*costos!$K$37))</f>
        <v>438.17242485587781</v>
      </c>
      <c r="DD58" s="69">
        <f>DD$10*(1+((H58/H$10-1)*costos!$B$39+((I58*F58)/(I$10*F$10)-1)*costos!$E$39+((U58*F58)/(U$10*F$10)-1)*costos!$F$39+((L58*F58)/(L$10*F$10)-1)*costos!$G$39+((BR58)/(BR$10)-1)*costos!$J$39+((V58*F58)/(V$10*F$10)-1)*costos!$K$39))</f>
        <v>426.51934091159217</v>
      </c>
      <c r="DE58" s="69">
        <f>DD$10*(1+((H58/H$10-1)*costos!$B$35+((I58*F58)/(I$10*F$10)-1)*costos!$E$35+((U58*F58)/(U$10*F$10)-1)*costos!$F$35+((L58*F58)/(L$10*F$10)-1)*costos!$G$35+((BR58)/(BR$10)-1)*costos!$J$35+((V58*F58)/(V$10*F$10)-1)*costos!$K$35))</f>
        <v>382.37030816185239</v>
      </c>
      <c r="DF58" s="69">
        <f>DF$10*(1+((H58/H$10-1)*costos!$B$40+((I58*F58)/(I$10*F$10)-1)*costos!$E$40+((U58*F58)/(U$10*F$10)-1)*costos!$F$40+((L58*F58)/(L$10*F$10)-1)*costos!$G$40+((BP58)/(BP$10)-1)*costos!$J$40+((V58*F58)/(V$10*F$10)-1)*costos!$K$40))</f>
        <v>436.26376580998124</v>
      </c>
      <c r="DG58" s="92">
        <f t="shared" si="260"/>
        <v>409.31703698591684</v>
      </c>
      <c r="DH58" s="69">
        <f>DH$10*(1+((H58/H$10-1)*costos!$B$34+((I58*F58)/(I$10*F$10)-1)*costos!$E$34+((J58*F58)/((J$10*F$10)-1)*costos!$F$34/3+((K58*F58)/(K$10*F$10)-1)*costos!$F$34/3+((U58*F58)/(U$10*F$10)-1)*costos!$F$34/3+((L58*F58)/(L$10*F$10)-1)*costos!$G$34+((BV58)/(BV$10)-1)*costos!$J$34+((V58*F58)/(V$10*F$10)-1)*costos!$K$34)))</f>
        <v>377.20750975138361</v>
      </c>
      <c r="DI58" s="69">
        <f>DI$10*(1+((H58/H$10-1)*costos!$B$38+((I58*F58)/(I$10*F$10)-1)*costos!$E$38+((J58*F58)/((J$10*F$10)-1)*costos!$F$38/3+((K58*F58)/(K$10*F$10)-1)*costos!$F$38/3+((U58*F58)/(U$10*F$10)-1)*costos!$F$38/3+((L58*F58)/(L$10*F$10)-1)*costos!$G$38+((BU58)/(BU$10)-1)*costos!$J$38+((V58*F58)/(V$10*F$10)-1)*costos!$K$38)))</f>
        <v>347.66492479417224</v>
      </c>
      <c r="DK58" s="1">
        <v>450000</v>
      </c>
      <c r="DL58" s="1" t="s">
        <v>323</v>
      </c>
      <c r="DM58" s="1">
        <v>190000</v>
      </c>
      <c r="DN58" s="1" t="s">
        <v>323</v>
      </c>
      <c r="DO58" s="1">
        <v>1270000</v>
      </c>
      <c r="DP58" s="1" t="s">
        <v>323</v>
      </c>
      <c r="DQ58" s="1">
        <v>1600000</v>
      </c>
      <c r="DR58" s="1" t="s">
        <v>323</v>
      </c>
      <c r="DS58" s="1">
        <v>6300000</v>
      </c>
      <c r="DT58" s="1" t="s">
        <v>323</v>
      </c>
      <c r="DU58" s="1">
        <v>17400000</v>
      </c>
      <c r="DV58" s="1" t="s">
        <v>323</v>
      </c>
      <c r="DW58" s="1">
        <v>510000</v>
      </c>
      <c r="DX58" s="1" t="s">
        <v>323</v>
      </c>
      <c r="DY58" s="1">
        <v>6950000</v>
      </c>
      <c r="DZ58" s="1" t="s">
        <v>323</v>
      </c>
      <c r="EA58" s="79">
        <f t="shared" si="67"/>
        <v>34030000</v>
      </c>
      <c r="EB58" s="1">
        <v>370000</v>
      </c>
      <c r="EC58" s="1" t="s">
        <v>323</v>
      </c>
      <c r="ED58" s="1">
        <v>174820</v>
      </c>
      <c r="EE58" s="143">
        <v>2020</v>
      </c>
      <c r="EF58" s="1">
        <v>214798</v>
      </c>
      <c r="EG58" s="6">
        <v>2020</v>
      </c>
      <c r="EH58" s="1">
        <v>54460799</v>
      </c>
      <c r="EI58" s="6">
        <v>2020</v>
      </c>
      <c r="EJ58" s="1">
        <f t="shared" ref="EJ58:EK69" si="285">+EJ57</f>
        <v>5128954</v>
      </c>
      <c r="EK58" s="6">
        <f t="shared" si="285"/>
        <v>2019</v>
      </c>
      <c r="EL58" s="1">
        <v>14339908</v>
      </c>
      <c r="EM58" s="6">
        <v>2018</v>
      </c>
      <c r="EN58" s="1">
        <v>3201657</v>
      </c>
      <c r="EO58" s="6">
        <v>2019</v>
      </c>
      <c r="EP58" s="82">
        <f t="shared" ref="EP58:EQ69" si="286">+EP57</f>
        <v>6552</v>
      </c>
      <c r="EQ58" s="83">
        <v>3257556</v>
      </c>
      <c r="ER58" s="1">
        <f t="shared" si="189"/>
        <v>33739</v>
      </c>
      <c r="ES58" s="1"/>
      <c r="ET58" s="83">
        <v>19456</v>
      </c>
      <c r="EU58" s="83">
        <v>17935</v>
      </c>
      <c r="EV58" s="83">
        <v>9101</v>
      </c>
      <c r="EW58" s="83">
        <v>17303</v>
      </c>
      <c r="EX58" s="79">
        <f t="shared" si="72"/>
        <v>63795</v>
      </c>
      <c r="EY58" s="83">
        <v>19804</v>
      </c>
      <c r="EZ58" s="82">
        <v>79940</v>
      </c>
      <c r="FA58" s="82">
        <v>20476</v>
      </c>
      <c r="FB58" s="82">
        <v>18080</v>
      </c>
      <c r="FC58" s="79">
        <f t="shared" si="73"/>
        <v>38556</v>
      </c>
      <c r="FD58" s="83">
        <v>59152.38</v>
      </c>
      <c r="FE58" s="1"/>
      <c r="FF58" s="1">
        <v>870000</v>
      </c>
      <c r="FG58" s="1" t="s">
        <v>223</v>
      </c>
      <c r="FH58" s="1">
        <v>1200000</v>
      </c>
      <c r="FI58" s="1" t="s">
        <v>223</v>
      </c>
      <c r="FJ58" s="1">
        <v>3800000</v>
      </c>
      <c r="FK58" s="1" t="s">
        <v>323</v>
      </c>
      <c r="FL58" s="1">
        <v>3800000</v>
      </c>
      <c r="FM58" s="1" t="s">
        <v>223</v>
      </c>
      <c r="FN58" s="1">
        <v>48000000</v>
      </c>
      <c r="FO58" s="1" t="s">
        <v>223</v>
      </c>
      <c r="FP58" s="1">
        <v>53100000</v>
      </c>
      <c r="FQ58" s="1" t="s">
        <v>323</v>
      </c>
      <c r="FR58" s="1">
        <v>1600000</v>
      </c>
      <c r="FS58" s="1" t="s">
        <v>223</v>
      </c>
      <c r="FT58" s="1">
        <v>19775000</v>
      </c>
      <c r="FU58" s="1" t="s">
        <v>323</v>
      </c>
      <c r="FV58" s="79">
        <f t="shared" si="76"/>
        <v>130075000</v>
      </c>
      <c r="FW58" s="1">
        <v>1300000</v>
      </c>
      <c r="FX58" s="1" t="s">
        <v>223</v>
      </c>
      <c r="FY58" s="1">
        <v>23380</v>
      </c>
      <c r="FZ58" s="79">
        <f t="shared" si="135"/>
        <v>835565.12700000009</v>
      </c>
      <c r="GA58" s="86" t="str">
        <f t="shared" si="271"/>
        <v>feb19 ene20</v>
      </c>
      <c r="GB58" s="83">
        <v>20557455</v>
      </c>
      <c r="GC58" s="6">
        <v>2020</v>
      </c>
      <c r="GD58" s="83">
        <v>1974652</v>
      </c>
      <c r="GE58" s="83">
        <v>367136</v>
      </c>
      <c r="GF58" s="83">
        <v>957160</v>
      </c>
      <c r="GG58" s="83">
        <v>89049</v>
      </c>
      <c r="GH58" s="79">
        <f t="shared" si="240"/>
        <v>1413345</v>
      </c>
      <c r="GI58" s="82">
        <f t="shared" si="232"/>
        <v>1302556</v>
      </c>
      <c r="GJ58" s="83">
        <v>666015</v>
      </c>
      <c r="GK58" s="83">
        <v>1221000</v>
      </c>
      <c r="GL58" s="83">
        <v>294346.89</v>
      </c>
      <c r="GM58" s="83">
        <v>260133.24</v>
      </c>
      <c r="GN58" s="79">
        <f t="shared" si="81"/>
        <v>2441495.13</v>
      </c>
      <c r="GO58" s="83">
        <v>198452.81</v>
      </c>
      <c r="GP58" s="83">
        <v>73538</v>
      </c>
      <c r="GQ58" s="83">
        <v>190993</v>
      </c>
      <c r="GR58" s="83">
        <v>42000</v>
      </c>
      <c r="GS58" s="79">
        <f t="shared" si="192"/>
        <v>47729.79</v>
      </c>
      <c r="GT58" s="83">
        <v>2884000</v>
      </c>
      <c r="GU58" s="83">
        <v>26991</v>
      </c>
      <c r="GV58" s="83">
        <v>25998</v>
      </c>
      <c r="GW58" s="79">
        <f t="shared" si="261"/>
        <v>1098001</v>
      </c>
      <c r="GX58" s="1">
        <v>34954.608</v>
      </c>
      <c r="GY58" s="1" t="s">
        <v>340</v>
      </c>
      <c r="GZ58" s="1">
        <v>112856</v>
      </c>
      <c r="HA58" s="1">
        <v>254959.087</v>
      </c>
      <c r="HB58" s="79">
        <f t="shared" si="241"/>
        <v>3119229.0869999998</v>
      </c>
      <c r="HC58" s="86" t="str">
        <f t="shared" si="272"/>
        <v>feb19 ene20</v>
      </c>
      <c r="HD58" s="1">
        <v>51896</v>
      </c>
      <c r="HE58" s="79">
        <f t="shared" si="139"/>
        <v>630060</v>
      </c>
      <c r="HF58" s="86" t="str">
        <f t="shared" si="273"/>
        <v>feb19 ene20</v>
      </c>
      <c r="HG58" s="83">
        <f>363000-HG59</f>
        <v>196000</v>
      </c>
      <c r="HH58" s="79">
        <f t="shared" si="242"/>
        <v>2201000</v>
      </c>
      <c r="HI58" s="86" t="str">
        <f t="shared" si="274"/>
        <v>feb19 ene20</v>
      </c>
      <c r="HJ58" s="1">
        <f>+(218426*30*12)/1000</f>
        <v>78633.36</v>
      </c>
      <c r="HK58" s="79">
        <f t="shared" si="278"/>
        <v>58844.337599999999</v>
      </c>
      <c r="HL58" s="86" t="str">
        <f t="shared" si="275"/>
        <v>feb19 ene20</v>
      </c>
      <c r="HM58" s="79">
        <f t="shared" si="86"/>
        <v>2259844.3376000002</v>
      </c>
      <c r="HN58" s="87">
        <f t="shared" si="279"/>
        <v>5.4884742041712453E-2</v>
      </c>
      <c r="HO58" s="1">
        <v>864900000</v>
      </c>
      <c r="HP58" s="79">
        <f t="shared" si="153"/>
        <v>10387.799999999999</v>
      </c>
      <c r="HQ58" s="86" t="str">
        <f t="shared" si="276"/>
        <v>feb19 ene20</v>
      </c>
      <c r="HR58" s="1"/>
      <c r="HS58" s="1"/>
      <c r="HT58" s="1"/>
      <c r="HU58" s="1">
        <v>650000</v>
      </c>
      <c r="HV58" s="1" t="s">
        <v>223</v>
      </c>
      <c r="HW58" s="1">
        <v>1300000</v>
      </c>
      <c r="HX58" s="1" t="s">
        <v>323</v>
      </c>
      <c r="HY58" s="1">
        <v>3890000</v>
      </c>
      <c r="HZ58" s="1" t="s">
        <v>223</v>
      </c>
      <c r="IA58" s="1">
        <f t="shared" si="280"/>
        <v>21220000.000000004</v>
      </c>
      <c r="IB58" s="1" t="s">
        <v>223</v>
      </c>
      <c r="IC58" s="1">
        <v>48900000</v>
      </c>
      <c r="ID58" s="1" t="s">
        <v>223</v>
      </c>
      <c r="IE58" s="1">
        <f t="shared" si="281"/>
        <v>1150000</v>
      </c>
      <c r="IF58" s="1" t="s">
        <v>223</v>
      </c>
      <c r="IG58" s="1">
        <f t="shared" si="282"/>
        <v>7500000</v>
      </c>
      <c r="IH58" s="1" t="s">
        <v>323</v>
      </c>
      <c r="II58" s="79">
        <f t="shared" si="87"/>
        <v>83960000</v>
      </c>
      <c r="IJ58" s="97">
        <f t="shared" si="256"/>
        <v>1.6398844694935004</v>
      </c>
      <c r="IK58" s="1" t="s">
        <v>223</v>
      </c>
      <c r="IL58" s="98">
        <v>43.4</v>
      </c>
      <c r="IM58" s="98">
        <v>51.5</v>
      </c>
      <c r="IN58" s="98">
        <v>182</v>
      </c>
      <c r="IO58" s="695">
        <v>13.87</v>
      </c>
      <c r="IP58" s="176">
        <f>268826525/IP$2</f>
        <v>5.7853601487586115</v>
      </c>
      <c r="IQ58" s="7">
        <v>20.7</v>
      </c>
      <c r="IR58" s="98">
        <v>4.79</v>
      </c>
      <c r="IS58" s="98">
        <v>5.29</v>
      </c>
      <c r="IT58" s="98">
        <v>12.22</v>
      </c>
      <c r="IU58" s="98">
        <v>0.38</v>
      </c>
      <c r="IV58" s="94">
        <f t="shared" si="89"/>
        <v>17.89</v>
      </c>
      <c r="IW58" s="1"/>
      <c r="IX58" s="1"/>
      <c r="IY58" s="105">
        <v>1.86</v>
      </c>
      <c r="IZ58" s="161">
        <v>0.1</v>
      </c>
      <c r="JA58" s="83">
        <v>1000</v>
      </c>
      <c r="JB58" s="7">
        <v>44.74</v>
      </c>
      <c r="JC58" s="1"/>
      <c r="JD58" s="1"/>
      <c r="JF58" s="2">
        <v>7.0614755100000028</v>
      </c>
      <c r="JG58" s="2">
        <v>7.23950227</v>
      </c>
      <c r="JH58" s="2">
        <v>148.21162293999998</v>
      </c>
      <c r="JI58" s="2">
        <v>37.72692782</v>
      </c>
      <c r="JJ58" s="2">
        <v>340.62905886999988</v>
      </c>
      <c r="JK58" s="2">
        <v>96.868464340000003</v>
      </c>
      <c r="JL58" s="2">
        <v>1442.1312596800003</v>
      </c>
      <c r="JM58" s="2">
        <v>0.33261797999999998</v>
      </c>
      <c r="JN58" s="2">
        <v>780.83497943000009</v>
      </c>
      <c r="JO58" s="2">
        <v>15.180852270000001</v>
      </c>
      <c r="JP58" s="2">
        <v>0</v>
      </c>
      <c r="JQ58" s="2">
        <v>8.0499999999999999E-3</v>
      </c>
      <c r="JR58" s="2">
        <v>0.84395861000000005</v>
      </c>
      <c r="JS58" s="2">
        <v>0</v>
      </c>
      <c r="JT58" s="2">
        <v>1.05084372</v>
      </c>
      <c r="JU58" s="2">
        <v>62.104194450000001</v>
      </c>
      <c r="JV58" s="2">
        <v>4.3820518399999999</v>
      </c>
      <c r="JW58" s="2">
        <v>9.5442717599999991</v>
      </c>
      <c r="JX58" s="2">
        <v>10.5532244</v>
      </c>
      <c r="JY58" s="2">
        <v>0</v>
      </c>
      <c r="JZ58" s="2">
        <v>1.0545855500000001</v>
      </c>
      <c r="KA58" s="2">
        <v>0.26250000000000001</v>
      </c>
      <c r="KB58" s="2">
        <v>16.925506079999998</v>
      </c>
      <c r="KC58" s="2">
        <v>11.622826179999999</v>
      </c>
      <c r="KD58" s="2">
        <v>7.7044002899999997</v>
      </c>
      <c r="KE58" s="2">
        <v>9.4750100199999991</v>
      </c>
      <c r="KF58" s="2">
        <v>48.009471770000005</v>
      </c>
      <c r="KG58" s="2">
        <v>319.21240940000001</v>
      </c>
      <c r="KH58" s="2">
        <v>122.53941547000001</v>
      </c>
      <c r="KI58" s="2">
        <v>20.725700500000002</v>
      </c>
      <c r="KJ58" s="2">
        <v>4.6427472500000002</v>
      </c>
      <c r="KK58" s="2">
        <v>5.6501804400000006</v>
      </c>
      <c r="KL58" s="2">
        <v>0.53948817999999998</v>
      </c>
      <c r="KM58" s="2">
        <v>11.19641519</v>
      </c>
      <c r="KN58" s="2">
        <v>0.12656154999999999</v>
      </c>
      <c r="KO58" s="2">
        <v>0.68803263000000014</v>
      </c>
      <c r="KP58" s="2">
        <v>4.3337199999999992E-3</v>
      </c>
      <c r="KQ58" s="2">
        <v>0.19200833</v>
      </c>
      <c r="KR58" s="2">
        <v>2.2499999999999999E-2</v>
      </c>
      <c r="KS58" s="2">
        <v>0.43749645000000004</v>
      </c>
      <c r="KT58" s="2">
        <v>1.5250491899999998</v>
      </c>
      <c r="KU58" s="2">
        <v>0.15308558999999999</v>
      </c>
      <c r="KV58" s="2">
        <v>0</v>
      </c>
      <c r="KW58" s="2">
        <v>2.6067808200000004</v>
      </c>
      <c r="KX58" s="2">
        <v>0</v>
      </c>
      <c r="KY58" s="2">
        <v>0</v>
      </c>
      <c r="KZ58" s="2">
        <v>1.0160282299999999</v>
      </c>
      <c r="LA58" s="2">
        <v>5.2776989999999996E-2</v>
      </c>
      <c r="LB58" s="2">
        <v>2.8419939999999998E-2</v>
      </c>
      <c r="LC58" s="2">
        <v>1.3750999999999999E-2</v>
      </c>
      <c r="LD58" s="2">
        <v>0</v>
      </c>
      <c r="LE58" s="2">
        <v>9.3451659999999992E-2</v>
      </c>
      <c r="LF58" s="2">
        <v>0.22502831000000001</v>
      </c>
      <c r="LG58" s="2">
        <v>15.587128460000001</v>
      </c>
      <c r="LH58" s="2">
        <v>3.1637681700000004</v>
      </c>
      <c r="LI58" s="2">
        <v>1.0170245200000001</v>
      </c>
      <c r="LJ58" s="2">
        <v>0</v>
      </c>
      <c r="LK58" s="2">
        <v>2.0127047600000001</v>
      </c>
      <c r="LL58" s="2">
        <v>3.6556383799999996</v>
      </c>
      <c r="LM58" s="2">
        <v>0.69165471999999995</v>
      </c>
      <c r="LN58" s="2">
        <v>0.34877517000000002</v>
      </c>
      <c r="LO58" s="2">
        <v>6.2699597499999999</v>
      </c>
      <c r="LQ58" s="85">
        <f t="shared" si="247"/>
        <v>2749.8664667200001</v>
      </c>
      <c r="LR58" s="85">
        <f t="shared" si="248"/>
        <v>1.90285233</v>
      </c>
      <c r="LS58" s="85">
        <f t="shared" si="249"/>
        <v>13.9263236</v>
      </c>
      <c r="LT58" s="85">
        <f t="shared" si="250"/>
        <v>1.31708555</v>
      </c>
      <c r="LU58" s="85">
        <f t="shared" si="251"/>
        <v>12.66301415</v>
      </c>
      <c r="LV58" s="85">
        <f t="shared" si="252"/>
        <v>2.6067808200000004</v>
      </c>
      <c r="LW58" s="85">
        <f t="shared" si="253"/>
        <v>8.119693E-2</v>
      </c>
      <c r="LX58" s="85">
        <f t="shared" si="254"/>
        <v>0.31847997</v>
      </c>
      <c r="LZ58" s="131">
        <v>74.28</v>
      </c>
      <c r="MA58" s="171">
        <v>63.84</v>
      </c>
      <c r="MB58"/>
      <c r="MC58"/>
      <c r="MD58"/>
      <c r="MF58"/>
      <c r="MG58"/>
      <c r="MH58" s="83">
        <v>111.25</v>
      </c>
      <c r="MI58" s="83">
        <v>42.07</v>
      </c>
      <c r="MJ58" s="83">
        <v>31.24</v>
      </c>
      <c r="MK58"/>
      <c r="ML58" s="83">
        <v>34.15</v>
      </c>
      <c r="MM58" s="83">
        <v>46.99</v>
      </c>
      <c r="MN58" s="83"/>
      <c r="MO58" s="83">
        <v>44.39</v>
      </c>
      <c r="MP58" s="83">
        <v>62.68</v>
      </c>
      <c r="MQ58" s="83">
        <v>76.33</v>
      </c>
      <c r="MR58"/>
      <c r="MT58" s="83"/>
      <c r="MU58" s="83">
        <v>27.79</v>
      </c>
      <c r="MV58"/>
      <c r="MW58"/>
      <c r="MX58"/>
      <c r="MY58" s="83">
        <v>106.98</v>
      </c>
      <c r="MZ58" s="83">
        <v>237</v>
      </c>
      <c r="NA58" s="83">
        <v>106.74</v>
      </c>
      <c r="NB58" s="83">
        <v>322.99</v>
      </c>
      <c r="NC58" s="83">
        <v>55.02</v>
      </c>
      <c r="ND58"/>
      <c r="NE58" s="1">
        <v>267.54000000000002</v>
      </c>
    </row>
    <row r="59" spans="1:369">
      <c r="A59" s="38">
        <f t="shared" si="219"/>
        <v>43862</v>
      </c>
      <c r="B59" s="36">
        <f t="shared" ref="B59:B69" si="287">+B58+1</f>
        <v>2</v>
      </c>
      <c r="C59" s="36">
        <f t="shared" ref="C59:C69" si="288">+C58</f>
        <v>2020</v>
      </c>
      <c r="D59" s="36">
        <f t="shared" si="50"/>
        <v>59</v>
      </c>
      <c r="E59" s="38">
        <f t="shared" si="220"/>
        <v>43862</v>
      </c>
      <c r="F59" s="7">
        <v>63.3</v>
      </c>
      <c r="G59" s="97">
        <v>295.666</v>
      </c>
      <c r="H59" s="1">
        <f>[2]NACIONALES!$D47</f>
        <v>29371.74</v>
      </c>
      <c r="I59" s="7">
        <v>86</v>
      </c>
      <c r="J59" s="7">
        <v>380</v>
      </c>
      <c r="K59" s="7">
        <v>3.3</v>
      </c>
      <c r="L59" s="7">
        <v>23.7</v>
      </c>
      <c r="N59" s="5">
        <v>1.367</v>
      </c>
      <c r="O59" s="5">
        <v>1.1459999999999999</v>
      </c>
      <c r="P59" s="78">
        <f>IFERROR(+AVERAGE(N59:O59)*0.91*(F59),"")</f>
        <v>72.378169499999998</v>
      </c>
      <c r="Q59" s="6">
        <v>1450</v>
      </c>
      <c r="R59" s="79">
        <f t="shared" si="222"/>
        <v>14500</v>
      </c>
      <c r="S59" s="6">
        <f>9096/F59</f>
        <v>143.69668246445499</v>
      </c>
      <c r="T59" s="6">
        <v>245.22</v>
      </c>
      <c r="U59" s="143">
        <v>143.73333333333332</v>
      </c>
      <c r="V59" s="6">
        <v>245.3</v>
      </c>
      <c r="W59" s="6">
        <f t="shared" si="284"/>
        <v>120.24000000000001</v>
      </c>
      <c r="X59" s="6">
        <v>167.30555555555554</v>
      </c>
      <c r="Y59" s="79">
        <f t="shared" si="223"/>
        <v>9096</v>
      </c>
      <c r="Z59" s="79">
        <f t="shared" si="224"/>
        <v>15522.425999999999</v>
      </c>
      <c r="AA59" s="79">
        <f t="shared" si="225"/>
        <v>9098.3199999999979</v>
      </c>
      <c r="AB59" s="79">
        <f t="shared" si="226"/>
        <v>15527.49</v>
      </c>
      <c r="AC59" s="79">
        <f t="shared" si="227"/>
        <v>7611.192</v>
      </c>
      <c r="AD59" s="79">
        <f t="shared" si="228"/>
        <v>10590.441666666666</v>
      </c>
      <c r="AE59" s="79">
        <f t="shared" si="229"/>
        <v>11240.97827777778</v>
      </c>
      <c r="AF59" s="1">
        <v>34465.25</v>
      </c>
      <c r="AG59" s="1">
        <v>15250</v>
      </c>
      <c r="AH59" s="1">
        <v>58100</v>
      </c>
      <c r="AI59" s="5">
        <v>10.4</v>
      </c>
      <c r="AJ59" s="5">
        <v>7.25</v>
      </c>
      <c r="AK59" s="5">
        <v>7.34</v>
      </c>
      <c r="AL59" s="5">
        <v>9.35</v>
      </c>
      <c r="AM59" s="78">
        <f t="shared" si="230"/>
        <v>9.2264000000000017</v>
      </c>
      <c r="AN59" s="7">
        <v>980.8</v>
      </c>
      <c r="AO59" s="7">
        <v>720.66315789473697</v>
      </c>
      <c r="AP59" s="78">
        <f t="shared" si="277"/>
        <v>720.66315789473697</v>
      </c>
      <c r="AQ59" s="7">
        <v>493.29035087719296</v>
      </c>
      <c r="AR59" s="7">
        <v>739.77272727272725</v>
      </c>
      <c r="AS59" s="7">
        <v>225.08113207547169</v>
      </c>
      <c r="AT59" s="7">
        <v>887.81578947368416</v>
      </c>
      <c r="AU59" s="78">
        <f t="shared" si="53"/>
        <v>617.55654960729441</v>
      </c>
      <c r="AV59" s="7">
        <v>338.29756097560983</v>
      </c>
      <c r="AW59" s="7">
        <v>736.18421052631584</v>
      </c>
      <c r="AX59" s="7">
        <v>235.97894736842102</v>
      </c>
      <c r="AY59" s="7">
        <v>417.07836257309964</v>
      </c>
      <c r="AZ59" s="7">
        <v>600.63684210526321</v>
      </c>
      <c r="BA59" s="7">
        <v>186.31052631578947</v>
      </c>
      <c r="BB59" s="94">
        <f t="shared" si="45"/>
        <v>388.27103638726453</v>
      </c>
      <c r="BC59" s="68">
        <f>+BC58</f>
        <v>1120</v>
      </c>
      <c r="BD59" s="68">
        <f>+BD58</f>
        <v>1162.3499999999999</v>
      </c>
      <c r="BE59" s="97">
        <v>940</v>
      </c>
      <c r="BF59" s="7">
        <f t="shared" si="283"/>
        <v>550</v>
      </c>
      <c r="BG59" s="94">
        <f t="shared" si="56"/>
        <v>943.08749999999998</v>
      </c>
      <c r="BH59" s="95">
        <f>+BH58</f>
        <v>87.63</v>
      </c>
      <c r="BI59" s="95">
        <f>+BI58</f>
        <v>31.36</v>
      </c>
      <c r="BJ59" s="78">
        <f t="shared" si="57"/>
        <v>118.99</v>
      </c>
      <c r="BK59" s="7">
        <v>92.460999999999999</v>
      </c>
      <c r="BL59" s="7">
        <v>100.93</v>
      </c>
      <c r="BM59" s="94">
        <f t="shared" si="58"/>
        <v>96.69550000000001</v>
      </c>
      <c r="BN59" s="5">
        <v>17.57</v>
      </c>
      <c r="BO59" s="5">
        <v>83.341666666666669</v>
      </c>
      <c r="BP59" s="105">
        <v>50.16</v>
      </c>
      <c r="BQ59" s="94">
        <f t="shared" si="59"/>
        <v>80.023500000000013</v>
      </c>
      <c r="BR59" s="7">
        <v>68.09</v>
      </c>
      <c r="BS59" s="7">
        <v>190</v>
      </c>
      <c r="BT59" s="7">
        <f>+F59*2.61</f>
        <v>165.21299999999999</v>
      </c>
      <c r="BU59" s="79">
        <f t="shared" si="237"/>
        <v>2775.6390000000001</v>
      </c>
      <c r="BV59" s="7">
        <v>101.6</v>
      </c>
      <c r="BW59" s="7">
        <v>185</v>
      </c>
      <c r="BY59" s="92">
        <f>BY$10*(1+((H59/H$10-1)*costos!$B$5+((I59*F59)/(I$10*F$10)-1)*costos!$E$5+((J59*F59)/((J$10*F$10)-1)*costos!$F$5/3+((K59*F59)/(K$10*F$10)-1)*costos!$F$5/3+((U59*F59)/(U$10*F$10)-1)*costos!$F$5/3+((L59*F59)/(L$10*F$10)-1)*costos!$G$5+((N59*F59)/(N$10*F$10)-1)*costos!$J$5+((V59*F59)/(V$10*F$10)-1)*costos!$K$5)))</f>
        <v>459.10252879046925</v>
      </c>
      <c r="BZ59" s="92">
        <f>$BZ$10*(1+((H59/$H$10-1)*costos!$B$6+((I59*F59)/($I$10*$F$10)-1)*costos!$E$6+((J59*F59)/(($J$10*$F$10)-1)*costos!$F$6/3+((K59*F59)/($K$10*$F$10)-1)*costos!$F$6/3+((U59*F59)/($U$10*$F$10)-1)*costos!$F$6/3+((L59*F59)/($L$10*$F$10)-1)*costos!$G$6+((Q59*F59)/($Q$10*$F$10)-1)*costos!$J$6+((V59*F59)/($V$10*$F$10)-1)*costos!$K$6)))</f>
        <v>428.72258936817127</v>
      </c>
      <c r="CA59" s="92">
        <f>CA$10*(1+((H59/H$10-1)*costos!$B$7+((I59*F59)/(I$10*F$10)-1)*costos!$E$7+((J59*F59)/((J$10*F$10)-1)*costos!$F$7/3+((K59*F59)/(K$10*F$10)-1)*costos!$F$7/3+((U59*F59)/(U$10*F$10)-1)*costos!$F$7/3+((L59*F59)/(L$10*F$10)-1)*costos!$G$7+((S59*F59)/(S$10*F$10)-1)*costos!$J$7+((V59*F59)/(V$10*F$10)-1)*costos!$K$7)))</f>
        <v>439.34337481258802</v>
      </c>
      <c r="CB59" s="92">
        <f>CB$10*(1+((H59/H$10-1)*costos!$B$8+((I59*F59)/(I$10*F$10)-1)*costos!$E$8+((J59*F59)/((J$10*F$10)-1)*costos!$F$8/3+((K59*F59)/(K$10*F$10)-1)*costos!$F$8/3+((U59*F59)/(U$10*F$10)-1)*costos!$F$8/3+((L59*F59)/(L$10*F$10)-1)*costos!$G$8+((T59*F59)/(T$10*F$10)-1)*costos!$J$8+((V59*F59)/(V$10*F$10)-1)*costos!$K$8)))</f>
        <v>430.02678631936215</v>
      </c>
      <c r="CC59" s="92">
        <f>CC$10*(1+((H59/H$10-1)*costos!$B$9+((I59*F59)/(I$10*F$10)-1)*costos!$E$9+((J59*F59)/((J$10*F$10)-1)*costos!$F$9/3+((K59*F59)/(K$10*F$10)-1)*costos!$F$9/3+((U59*F59)/(U$10*F$10)-1)*costos!$F$9/3+((L59*F59)/(L$10*F$10)-1)*costos!$G$9+((U59*F59)/(U$10*F$10)-1)*costos!$J$9+((V59*F59)/(V$10*F$10)-1)*costos!$K$9)))</f>
        <v>430.71071316296263</v>
      </c>
      <c r="CD59" s="92">
        <f>CD$10*(1+((H59/H$10-1)*costos!$B$11+((I59*F59)/(I$10*F$10)-1)*costos!$E$11+((J59*F59)/((J$10*F$10)-1)*costos!$F$11/3+((K59*F59)/(K$10*F$10)-1)*costos!$F$11/3+((U59*F59)/(U$10*F$10)-1)*costos!$F$11/3+((L59*F59)/(L$10*F$10)-1)*costos!$G$11+((V59*F59)/(V$10*F$10)-1)*costos!$J$11+((V59*F59)/(V$10*F$10)-1)*costos!$K$11)))</f>
        <v>455.18688940208102</v>
      </c>
      <c r="CE59" s="92">
        <f>CE$10*(1+((H59/H$10-1)*costos!$B$12+((I59*F59)/(I$10*F$10)-1)*costos!$E$12+((J59*F59)/((J$10*F$10)-1)*costos!$F$12/3+((K59*F59)/(K$10*F$10)-1)*costos!$F$12/3+((U59*F59)/(U$10*F$10)-1)*costos!$F$12/3+((L59*F59)/(L$10*F$10)-1)*costos!$G$12+((W59*F59)/(W$10*F$10)-1)*costos!$J$12+((V59*F59)/(V$10*F$10)-1)*costos!$K$12)))</f>
        <v>403.54996819732207</v>
      </c>
      <c r="CF59" s="92">
        <f>CF$10*(1+((H59/H$10-1)*costos!$B$13+((I59*F59)/(I$10*F$10)-1)*costos!$E$13+((J59*F59)/((J$10*F$10)-1)*costos!$F$13/3+((K59*F59)/(K$10*F$10)-1)*costos!$F$13/3+((U59*F59)/(U$10*F$10)-1)*costos!$F$13/3+((L59*F59)/(L$10*F$10)-1)*costos!$G$13+((X59*F59)/(X$10*F$10)-1)*costos!$J$13+((V59*F59)/(V$10*F$10)-1)*costos!$K$13)))</f>
        <v>457.44935998321046</v>
      </c>
      <c r="CG59" s="92">
        <f t="shared" si="257"/>
        <v>436.04451531292108</v>
      </c>
      <c r="CH59" s="92">
        <f>CH$10*(1+((H59/H$10-1)*costos!$B$10+((I59*F59)/(I$10*F$10)-1)*costos!$E$10+((J59*F59)/((J$10*F$10)-1)*costos!$F$10/3+((K59*F59)/(K$10*F$10)-1)*costos!$F$10/3+((U59*F59)/(U$10*F$10)-1)*costos!$F$10/3+((L59*F59)/(L$10*F$10)-1)*costos!$G$10+((AF59)/(AF$10)-1)*costos!$J$10+((V59*F59)/(V$10*F$10)-1)*costos!$K$10)))</f>
        <v>471.31517390132626</v>
      </c>
      <c r="CI59" s="92">
        <f>CI$10*(1+((H59/H$10-1)*costos!$B$15+((I59*F59)/(I$10*F$10)-1)*costos!$E$15+((J59*F59)/((J$10*F$10)-1)*costos!$F$15/3+((K59*F59)/(K$10*F$10)-1)*costos!$F$15/3+((U59*F59)/(U$10*F$10)-1)*costos!$F$15/3+((L59*F59)/(L$10*F$10)-1)*costos!$G$15+((AV59)/(AV$10)-1)*costos!$J$15+((V59*F59)/(V$10*F$10)-1)*costos!$K$15)))</f>
        <v>437.01257480841383</v>
      </c>
      <c r="CJ59" s="92">
        <f>CJ$10*(1+((H59/H$10-1)*costos!$B$16+((I59*F59)/(I$10*F$10)-1)*costos!$E$16+((J59*F59)/((J$10*F$10)-1)*costos!$F$16/3+((K59*F59)/(K$10*F$10)-1)*costos!$F$16/3+((U59*F59)/(U$10*F$10)-1)*costos!$F$16/3+((L59*F59)/(L$10*F$10)-1)*costos!$G$16+((AW59)/(AW$10)-1)*costos!$J$16+((V59*F59)/(V$10*F$10)-1)*costos!$K$16)))</f>
        <v>391.9572383484624</v>
      </c>
      <c r="CK59" s="92">
        <f>CK$10*(1+((H59/H$10-1)*costos!$B$17+((I59*F59)/(I$10*F$10)-1)*costos!$E$17+((J59*F59)/((J$10*F$10)-1)*costos!$F$17/3+((K59*F59)/(K$10*F$10)-1)*costos!$F$17/3+((U59*F59)/(U$10*F$10)-1)*costos!$F$17/3+((L59*F59)/(L$10*F$10)-1)*costos!$G$17+((AX59)/(AX$10)-1)*costos!$J$17+((V59*F59)/(V$10*F$10)-1)*costos!$K$17)))</f>
        <v>390.25499683469496</v>
      </c>
      <c r="CL59" s="92">
        <f>CL$10*(1+((H59/H$10-1)*costos!$B$18+((I59*F59)/(I$10*F$10)-1)*costos!$E$18+((J59*F59)/((J$10*F$10)-1)*costos!$F$18/3+((K59*F59)/(K$10*F$10)-1)*costos!$F$18/3+((U59*F59)/(U$10*F$10)-1)*costos!$F$18/3+((L59*F59)/(L$10*F$10)-1)*costos!$G$18+((AY59)/(AY$10)-1)*costos!$J$18+((V59*F59)/(V$10*F$10)-1)*costos!$K$18)))</f>
        <v>420.52165600202682</v>
      </c>
      <c r="CM59" s="92">
        <f>CM$10*(1+((H59/H$10-1)*costos!$B$19+((I59*F59)/(I$10*F$10)-1)*costos!$E$19+((J59*F59)/((J$10*F$10)-1)*costos!$F$19/3+((K59*F59)/(K$10*F$10)-1)*costos!$F$19/3+((U59*F59)/(U$10*F$10)-1)*costos!$F$19/3+((L59*F59)/(L$10*F$10)-1)*costos!$G$19+((AZ59)/(AZ$10)-1)*costos!$J$19+((V59*F59)/(V$10*F$10)-1)*costos!$K$19)))</f>
        <v>429.87463679137113</v>
      </c>
      <c r="CN59" s="92">
        <f>CN$10*(1+((H59/H$10-1)*costos!$B$20+((I59*F59)/(I$10*F$10)-1)*costos!$E$20+((J59*F59)/((J$10*F$10)-1)*costos!$F$20/3+((K59*F59)/(K$10*F$10)-1)*costos!$F$20/3+((U59*F59)/(U$10*F$10)-1)*costos!$F$20/3+((L59*F59)/(L$10*F$10)-1)*costos!$G$20+((BA59)/(BA$10)-1)*costos!$J$20+((V59*F59)/(V$10*F$10)-1)*costos!$K$20)))</f>
        <v>363.00942433812634</v>
      </c>
      <c r="CO59" s="92">
        <f t="shared" si="258"/>
        <v>400.9151784915548</v>
      </c>
      <c r="CP59" s="92">
        <f>CP$10*(1+((H59/H$10-1)*costos!$B$22+((I59*F59)/(I$10*F$10)-1)*costos!$E$22+((J59*F59)/((J$10*F$10)-1)*costos!$F$22/3+((K59*F59)/(K$10*F$10)-1)*costos!$F$22/3+((U59*F59)/(U$10*F$10)-1)*costos!$F$22/3+((L59*F59)/(L$10*F$10)-1)*costos!$G$22+(((AVERAGE(AI59:AL59))/((AVERAGE(AI$10:AL$10))-1)*costos!$J$22+((V59*F59)/(V$10*F$10)-1)*costos!$K$22)))))</f>
        <v>433.2670341194177</v>
      </c>
      <c r="CQ59" s="92">
        <f>CQ$10*(1+((H59/H$10-1)*costos!$B$23+((I59*F59)/(I$10*F$10)-1)*costos!$E$23+((J59*F59)/((J$10*F$10)-1)*costos!$F$23/3+((K59*F59)/(K$10*F$10)-1)*costos!$F$23/3+((U59*F59)/(U$10*F$10)-1)*costos!$F$23/3+((L59*F59)/(L$10*F$10)-1)*costos!$G$23+((AN59)/(AN$10)-1)*costos!$J$23+((V59*F59)/(V$10*F$10)-1)*costos!$K$23)))</f>
        <v>387.45969376223115</v>
      </c>
      <c r="CR59" s="92">
        <f>CR$10*(1+((H59/H$10-1)*costos!$B$24+((I59*F59)/(I$10*F$10)-1)*costos!$E$24+((J59*F59)/((J$10*F$10)-1)*costos!$F$24/3+((K59*F59)/(K$10*F$10)-1)*costos!$F$24/3+((U59*F59)/(U$10*F$10)-1)*costos!$F$24/3+((L59*F59)/(L$10*F$10)-1)*costos!$G$24+((AO59)/(AO$10)-1)*costos!$J$24+((V59*F59)/(V$10*F$10)-1)*costos!$K$24)))</f>
        <v>398.57490489866467</v>
      </c>
      <c r="CS59" s="92">
        <f t="shared" si="62"/>
        <v>393.01729933044794</v>
      </c>
      <c r="CT59" s="92">
        <f>CT$10*(1+((H59/H$10-1)*costos!$B$25+((I59*F59)/(I$10*F$10)-1)*costos!$E$25+((J59*F59)/((J$10*F$10)-1)*costos!$F$25/3+((K59*F59)/(K$10*F$10)-1)*costos!$F$25/3+((U59*F59)/(U$10*F$10)-1)*costos!$F$25/3+((L59*F59)/(L$10*F$10)-1)*costos!$G$25+((AQ59)/(AQ$10)-1)*costos!$J$25+((V59*F59)/(V$10*F$10)-1)*costos!$K$25)))</f>
        <v>379.97175072398869</v>
      </c>
      <c r="CU59" s="92">
        <f>CU$10*(1+((H59/H$10-1)*costos!$B$26+((I59*F59)/(I$10*F$10)-1)*costos!$E$26+((J59*F59)/((J$10*F$10)-1)*costos!$F$26/3+((K59*F59)/(K$10*F$10)-1)*costos!$F$26/3+((U59*F59)/(U$10*F$10)-1)*costos!$F$26/3+((L59*F59)/(L$10*F$10)-1)*costos!$G$26+((AR59)/(AR$10)-1)*costos!$J$26+((V59*F59)/(V$10*F$10)-1)*costos!$K$26)))</f>
        <v>409.56556387932761</v>
      </c>
      <c r="CV59" s="92">
        <f>CV$10*(1+((H59/H$10-1)*costos!$B$27+((I59*F59)/(I$10*F$10)-1)*costos!$E$27+((J59*F59)/((J$10*F$10)-1)*costos!$F$27/3+((K59*F59)/(K$10*F$10)-1)*costos!$F$27/3+((U59*F59)/(U$10*F$10)-1)*costos!$F$27/3+((L59*F59)/(L$10*F$10)-1)*costos!$G$27+((AS59)/(AS$10)-1)*costos!$J$27+((V59*F59)/(V$10*F$10)-1)*costos!$K$27)))</f>
        <v>374.23403610428363</v>
      </c>
      <c r="CW59" s="92">
        <f>CW$10*(1+((H59/H$10-1)*costos!$B$28+((I59*F59)/(I$10*F$10)-1)*costos!$E$28+((J59*F59)/((J$10*F$10)-1)*costos!$F$28/3+((K59*F59)/(K$10*F$10)-1)*costos!$F$28/3+((U59*F59)/(U$10*F$10)-1)*costos!$F$28/3+((L59*F59)/(L$10*F$10)-1)*costos!$G$28+((AS59)/(AS$10)-1)*costos!$J$28+((V59*F59)/(V$10*F$10)-1)*costos!$K$28)))</f>
        <v>374.23403610428363</v>
      </c>
      <c r="CX59" s="92">
        <f t="shared" si="259"/>
        <v>386.01121202929829</v>
      </c>
      <c r="CY59" s="92">
        <f>CY$10*(1+((H59/H$10-1)*costos!$B$32+((I59*F59)/(I$10*F$10)-1)*costos!$E$32+((J59*F59)/((J$10*F$10)-1)*costos!$F$32/3+((K59*F59)/(K$10*F$10)-1)*costos!$F$32/3+((U59*F59)/(U$10*F$10)-1)*costos!$F$32/3+((L59*F59)/(L$10*F$10)-1)*costos!$G$32+((AG59)/(AG$10)-1)*costos!$J$32+((V59*F59)/(V$10*F$10)-1)*costos!$K$32)))</f>
        <v>387.41008986531966</v>
      </c>
      <c r="CZ59" s="69">
        <f>CZ$10*(1+((H59/H$10-1)*costos!$B$31+((I59*F59)/(I$10*F$10)-1)*costos!$E$30+((J59*F59)/((J$10*F$10)-1)*costos!$F$30/3+((K59*F59)/(K$10*F$10)-1)*costos!$F$30/3+((U59*F59)/(U$10*F$10)-1)*costos!$F$30/3+((L59*F59)/(L$10*F$10)-1)*costos!$G$30+((BG59)/(BG$10)-1)*costos!$J$30+((V59*F59)/(V$10*F$10)-1)*costos!$K$30)))</f>
        <v>470.8175094395034</v>
      </c>
      <c r="DA59" s="69">
        <f>DA$10*(1+((H59/H$10-1)*costos!$B$31+((I59*F59)/(I$10*F$10)-1)*costos!$E$31+((J59*F59)/((J$10*F$10)-1)*costos!$F$31/3+((K59*F59)/(K$10*F$10)-1)*costos!$F$31/3+((U59*F59)/(U$10*F$10)-1)*costos!$F$31/3+((L59*F59)/(L$10*F$10)-1)*costos!$G$31+((BJ59)/(BJ$10)-1)*costos!$J$31+((V59*F59)/(V$10*F$10)-1)*costos!$K$31)))</f>
        <v>396.21021404820709</v>
      </c>
      <c r="DB59" s="69">
        <f>DB$10*(1+((H59/H$10-1)*costos!$B$36+((I59*F59)/(I$10*F$10)-1)*costos!$E$36+((J59*F59)/((J$10*F$10)-1)*costos!$F$36/3+((K59*F59)/(K$10*F$10)-1)*costos!$F$36/3+((U59*F59)/(U$10*F$10)-1)*costos!$F$36/3+((L59*F59)/(L$10*F$10)-1)*costos!$G$36+((BK59)/(BK$10)-1)*costos!$J$36+((V59*F59)/(V$10*F$10)-1)*costos!$K$36)))</f>
        <v>405.11280405721993</v>
      </c>
      <c r="DC59" s="69">
        <f>DC$10*(1+((H59/H$10-1)*costos!$B$37+((I59*F59)/(I$10*F$10)-1)*costos!$E$37+((U59*F59)/(U$10*F$10)-1)*costos!$F$37+((L59*F59)/(L$10*F$10)-1)*costos!$G$37+((BN59)/(BN$10)-1)*costos!$J$37+((V59*F59)/(V$10*F$10)-1)*costos!$K$37))</f>
        <v>442.95675138277346</v>
      </c>
      <c r="DD59" s="69">
        <f>DD$10*(1+((H59/H$10-1)*costos!$B$39+((I59*F59)/(I$10*F$10)-1)*costos!$E$39+((U59*F59)/(U$10*F$10)-1)*costos!$F$39+((L59*F59)/(L$10*F$10)-1)*costos!$G$39+((BR59)/(BR$10)-1)*costos!$J$39+((V59*F59)/(V$10*F$10)-1)*costos!$K$39))</f>
        <v>432.90670291944019</v>
      </c>
      <c r="DE59" s="69">
        <f>DD$10*(1+((H59/H$10-1)*costos!$B$35+((I59*F59)/(I$10*F$10)-1)*costos!$E$35+((U59*F59)/(U$10*F$10)-1)*costos!$F$35+((L59*F59)/(L$10*F$10)-1)*costos!$G$35+((BR59)/(BR$10)-1)*costos!$J$35+((V59*F59)/(V$10*F$10)-1)*costos!$K$35))</f>
        <v>391.85678919867934</v>
      </c>
      <c r="DF59" s="69">
        <f>DF$10*(1+((H59/H$10-1)*costos!$B$40+((I59*F59)/(I$10*F$10)-1)*costos!$E$40+((U59*F59)/(U$10*F$10)-1)*costos!$F$40+((L59*F59)/(L$10*F$10)-1)*costos!$G$40+((BP59)/(BP$10)-1)*costos!$J$40+((V59*F59)/(V$10*F$10)-1)*costos!$K$40))</f>
        <v>438.11945354735576</v>
      </c>
      <c r="DG59" s="92">
        <f t="shared" si="260"/>
        <v>414.98812137301752</v>
      </c>
      <c r="DH59" s="69">
        <f>DH$10*(1+((H59/H$10-1)*costos!$B$34+((I59*F59)/(I$10*F$10)-1)*costos!$E$34+((J59*F59)/((J$10*F$10)-1)*costos!$F$34/3+((K59*F59)/(K$10*F$10)-1)*costos!$F$34/3+((U59*F59)/(U$10*F$10)-1)*costos!$F$34/3+((L59*F59)/(L$10*F$10)-1)*costos!$G$34+((BV59)/(BV$10)-1)*costos!$J$34+((V59*F59)/(V$10*F$10)-1)*costos!$K$34)))</f>
        <v>408.34744032562645</v>
      </c>
      <c r="DI59" s="69">
        <f>DI$10*(1+((H59/H$10-1)*costos!$B$38+((I59*F59)/(I$10*F$10)-1)*costos!$E$38+((J59*F59)/((J$10*F$10)-1)*costos!$F$38/3+((K59*F59)/(K$10*F$10)-1)*costos!$F$38/3+((U59*F59)/(U$10*F$10)-1)*costos!$F$38/3+((L59*F59)/(L$10*F$10)-1)*costos!$G$38+((BU59)/(BU$10)-1)*costos!$J$38+((V59*F59)/(V$10*F$10)-1)*costos!$K$38)))</f>
        <v>387.43228165426314</v>
      </c>
      <c r="DK59" s="1">
        <v>450000</v>
      </c>
      <c r="DL59" s="1" t="s">
        <v>323</v>
      </c>
      <c r="DM59" s="1">
        <v>190000</v>
      </c>
      <c r="DN59" s="1" t="s">
        <v>323</v>
      </c>
      <c r="DO59" s="1">
        <v>1270000</v>
      </c>
      <c r="DP59" s="1" t="s">
        <v>323</v>
      </c>
      <c r="DQ59" s="1">
        <v>1600000</v>
      </c>
      <c r="DR59" s="1" t="s">
        <v>323</v>
      </c>
      <c r="DS59" s="1">
        <v>6300000</v>
      </c>
      <c r="DT59" s="1" t="s">
        <v>323</v>
      </c>
      <c r="DU59" s="1">
        <v>17400000</v>
      </c>
      <c r="DV59" s="1" t="s">
        <v>323</v>
      </c>
      <c r="DW59" s="1">
        <v>510000</v>
      </c>
      <c r="DX59" s="1" t="s">
        <v>323</v>
      </c>
      <c r="DY59" s="1">
        <v>6950000</v>
      </c>
      <c r="DZ59" s="1" t="s">
        <v>323</v>
      </c>
      <c r="EA59" s="79">
        <f t="shared" si="67"/>
        <v>34030000</v>
      </c>
      <c r="EB59" s="1">
        <v>370000</v>
      </c>
      <c r="EC59" s="1" t="s">
        <v>323</v>
      </c>
      <c r="ED59" s="1">
        <v>174820</v>
      </c>
      <c r="EE59" s="143">
        <v>2020</v>
      </c>
      <c r="EF59" s="1">
        <v>214798</v>
      </c>
      <c r="EG59" s="6">
        <v>2020</v>
      </c>
      <c r="EH59" s="1">
        <v>54460799</v>
      </c>
      <c r="EI59" s="6">
        <v>2020</v>
      </c>
      <c r="EJ59" s="1">
        <f t="shared" si="285"/>
        <v>5128954</v>
      </c>
      <c r="EK59" s="6">
        <f t="shared" si="285"/>
        <v>2019</v>
      </c>
      <c r="EL59" s="1">
        <v>14339908</v>
      </c>
      <c r="EM59" s="6">
        <v>2018</v>
      </c>
      <c r="EN59" s="1">
        <v>3201657</v>
      </c>
      <c r="EO59" s="6">
        <v>2019</v>
      </c>
      <c r="EP59" s="82">
        <f t="shared" si="286"/>
        <v>6552</v>
      </c>
      <c r="EQ59" s="83">
        <f t="shared" si="286"/>
        <v>3257556</v>
      </c>
      <c r="ER59" s="1">
        <f t="shared" si="189"/>
        <v>33739</v>
      </c>
      <c r="ES59" s="1"/>
      <c r="ET59" s="83">
        <f t="shared" ref="ET59:EW69" si="289">+ET58</f>
        <v>19456</v>
      </c>
      <c r="EU59" s="83">
        <f t="shared" si="289"/>
        <v>17935</v>
      </c>
      <c r="EV59" s="83">
        <f t="shared" si="289"/>
        <v>9101</v>
      </c>
      <c r="EW59" s="83">
        <f t="shared" si="289"/>
        <v>17303</v>
      </c>
      <c r="EX59" s="79">
        <f t="shared" si="72"/>
        <v>63795</v>
      </c>
      <c r="EY59" s="83">
        <f t="shared" ref="EY59:FB69" si="290">+EY58</f>
        <v>19804</v>
      </c>
      <c r="EZ59" s="82">
        <f>+EZ58</f>
        <v>79940</v>
      </c>
      <c r="FA59" s="82">
        <f t="shared" si="290"/>
        <v>20476</v>
      </c>
      <c r="FB59" s="82">
        <f>+FB58</f>
        <v>18080</v>
      </c>
      <c r="FC59" s="79">
        <f t="shared" si="73"/>
        <v>38556</v>
      </c>
      <c r="FD59" s="83">
        <f t="shared" si="158"/>
        <v>59152.38</v>
      </c>
      <c r="FE59" s="1"/>
      <c r="FF59" s="1">
        <v>870000</v>
      </c>
      <c r="FG59" s="1" t="s">
        <v>223</v>
      </c>
      <c r="FH59" s="1">
        <v>1200000</v>
      </c>
      <c r="FI59" s="1" t="s">
        <v>223</v>
      </c>
      <c r="FJ59" s="1">
        <v>3800000</v>
      </c>
      <c r="FK59" s="1" t="s">
        <v>323</v>
      </c>
      <c r="FL59" s="1">
        <v>3500000</v>
      </c>
      <c r="FM59" s="1" t="s">
        <v>323</v>
      </c>
      <c r="FN59" s="1">
        <v>50000000</v>
      </c>
      <c r="FO59" s="1" t="s">
        <v>323</v>
      </c>
      <c r="FP59" s="1">
        <v>54500000</v>
      </c>
      <c r="FQ59" s="1" t="s">
        <v>323</v>
      </c>
      <c r="FR59" s="1">
        <v>1600000</v>
      </c>
      <c r="FS59" s="1" t="s">
        <v>223</v>
      </c>
      <c r="FT59" s="1">
        <v>19775000</v>
      </c>
      <c r="FU59" s="1" t="s">
        <v>323</v>
      </c>
      <c r="FV59" s="79">
        <f t="shared" si="76"/>
        <v>133175000</v>
      </c>
      <c r="FW59" s="1">
        <v>1300000</v>
      </c>
      <c r="FX59" s="1" t="s">
        <v>223</v>
      </c>
      <c r="FY59" s="83">
        <v>37349</v>
      </c>
      <c r="FZ59" s="79">
        <f t="shared" si="135"/>
        <v>839205.57400000014</v>
      </c>
      <c r="GA59" s="86" t="str">
        <f t="shared" si="271"/>
        <v>mar19 feb20</v>
      </c>
      <c r="GB59" s="83">
        <v>20557455</v>
      </c>
      <c r="GC59" s="6">
        <v>2020</v>
      </c>
      <c r="GD59" s="83">
        <f t="shared" si="265"/>
        <v>1974652</v>
      </c>
      <c r="GE59" s="83">
        <f t="shared" si="265"/>
        <v>367136</v>
      </c>
      <c r="GF59" s="83">
        <v>957160</v>
      </c>
      <c r="GG59" s="83">
        <f t="shared" si="268"/>
        <v>89049</v>
      </c>
      <c r="GH59" s="79">
        <f t="shared" si="240"/>
        <v>1413345</v>
      </c>
      <c r="GI59" s="82">
        <f t="shared" si="232"/>
        <v>1302556</v>
      </c>
      <c r="GJ59" s="83">
        <f t="shared" si="215"/>
        <v>666015</v>
      </c>
      <c r="GK59" s="83">
        <f t="shared" si="216"/>
        <v>1221000</v>
      </c>
      <c r="GL59" s="83">
        <f t="shared" si="217"/>
        <v>294346.89</v>
      </c>
      <c r="GM59" s="83">
        <f t="shared" si="218"/>
        <v>260133.24</v>
      </c>
      <c r="GN59" s="79">
        <f t="shared" si="81"/>
        <v>2441495.13</v>
      </c>
      <c r="GO59" s="83">
        <f t="shared" ref="GO59:GP81" si="291">+GO58</f>
        <v>198452.81</v>
      </c>
      <c r="GP59" s="83">
        <f t="shared" si="291"/>
        <v>73538</v>
      </c>
      <c r="GQ59" s="83">
        <v>150763</v>
      </c>
      <c r="GR59" s="83">
        <v>42000</v>
      </c>
      <c r="GS59" s="79">
        <f t="shared" si="192"/>
        <v>46522.89</v>
      </c>
      <c r="GT59" s="83">
        <f>+GT58</f>
        <v>2884000</v>
      </c>
      <c r="GU59" s="83">
        <v>127191</v>
      </c>
      <c r="GV59" s="83">
        <v>39394</v>
      </c>
      <c r="GW59" s="79">
        <f t="shared" si="261"/>
        <v>1120444</v>
      </c>
      <c r="GX59" s="1">
        <v>34954.608</v>
      </c>
      <c r="GY59" s="1" t="s">
        <v>340</v>
      </c>
      <c r="GZ59" s="1">
        <v>112856</v>
      </c>
      <c r="HA59" s="83">
        <v>224000</v>
      </c>
      <c r="HB59" s="79">
        <f t="shared" si="241"/>
        <v>3118914.0869999998</v>
      </c>
      <c r="HC59" s="86" t="str">
        <f t="shared" si="272"/>
        <v>mar19 feb20</v>
      </c>
      <c r="HD59" s="83">
        <f>150165-HD58-HD60</f>
        <v>47793</v>
      </c>
      <c r="HE59" s="79">
        <f t="shared" si="139"/>
        <v>631347</v>
      </c>
      <c r="HF59" s="86" t="str">
        <f t="shared" si="273"/>
        <v>mar19 feb20</v>
      </c>
      <c r="HG59" s="83">
        <v>167000</v>
      </c>
      <c r="HH59" s="79">
        <f t="shared" si="242"/>
        <v>2210000</v>
      </c>
      <c r="HI59" s="86" t="str">
        <f t="shared" si="274"/>
        <v>mar19 feb20</v>
      </c>
      <c r="HJ59" s="83">
        <v>69776</v>
      </c>
      <c r="HK59" s="79">
        <f t="shared" si="278"/>
        <v>58662.717600000004</v>
      </c>
      <c r="HL59" s="86" t="str">
        <f t="shared" si="275"/>
        <v>mar19 feb20</v>
      </c>
      <c r="HM59" s="79">
        <f t="shared" si="86"/>
        <v>2268662.7176000001</v>
      </c>
      <c r="HN59" s="87">
        <f t="shared" si="279"/>
        <v>0.15397276672153226</v>
      </c>
      <c r="HO59" s="83">
        <v>771200000</v>
      </c>
      <c r="HP59" s="79">
        <f t="shared" si="153"/>
        <v>10490.7</v>
      </c>
      <c r="HQ59" s="86" t="str">
        <f t="shared" si="276"/>
        <v>mar19 feb20</v>
      </c>
      <c r="HR59" s="1"/>
      <c r="HS59" s="1"/>
      <c r="HT59" s="1"/>
      <c r="HU59" s="1">
        <v>650000</v>
      </c>
      <c r="HV59" s="1" t="s">
        <v>223</v>
      </c>
      <c r="HW59" s="1">
        <v>1300000</v>
      </c>
      <c r="HX59" s="1" t="s">
        <v>323</v>
      </c>
      <c r="HY59" s="1">
        <v>3500000</v>
      </c>
      <c r="HZ59" s="1" t="s">
        <v>323</v>
      </c>
      <c r="IA59" s="1">
        <f t="shared" si="280"/>
        <v>21220000.000000004</v>
      </c>
      <c r="IB59" s="1" t="s">
        <v>223</v>
      </c>
      <c r="IC59" s="1">
        <v>48900000</v>
      </c>
      <c r="ID59" s="1" t="s">
        <v>223</v>
      </c>
      <c r="IE59" s="1">
        <f t="shared" si="281"/>
        <v>1150000</v>
      </c>
      <c r="IF59" s="1" t="s">
        <v>223</v>
      </c>
      <c r="IG59" s="1">
        <f t="shared" si="282"/>
        <v>7500000</v>
      </c>
      <c r="IH59" s="1" t="s">
        <v>323</v>
      </c>
      <c r="II59" s="79">
        <f t="shared" si="87"/>
        <v>83570000</v>
      </c>
      <c r="IJ59" s="97">
        <f>(6350000*12)/$IJ$2</f>
        <v>1.6398844694935004</v>
      </c>
      <c r="IK59" s="1" t="s">
        <v>223</v>
      </c>
      <c r="IL59" s="98">
        <v>38.4</v>
      </c>
      <c r="IM59" s="98">
        <v>49.14</v>
      </c>
      <c r="IN59" s="98">
        <v>182</v>
      </c>
      <c r="IO59" s="696">
        <v>13.86</v>
      </c>
      <c r="IP59" s="176">
        <f t="shared" ref="IP59:IP69" si="292">268826525/IP$2</f>
        <v>5.7853601487586115</v>
      </c>
      <c r="IQ59" s="7">
        <v>20.7</v>
      </c>
      <c r="IR59" s="98">
        <f t="shared" ref="IR59:IU68" si="293">+IR58</f>
        <v>4.79</v>
      </c>
      <c r="IS59" s="98">
        <f t="shared" si="293"/>
        <v>5.29</v>
      </c>
      <c r="IT59" s="98">
        <f t="shared" si="293"/>
        <v>12.22</v>
      </c>
      <c r="IU59" s="98">
        <f t="shared" si="293"/>
        <v>0.38</v>
      </c>
      <c r="IV59" s="94">
        <f t="shared" si="89"/>
        <v>17.89</v>
      </c>
      <c r="IW59" s="1"/>
      <c r="IX59" s="1"/>
      <c r="IY59" s="105">
        <v>1.86</v>
      </c>
      <c r="IZ59" s="161">
        <v>0.1</v>
      </c>
      <c r="JA59" s="83">
        <v>1000</v>
      </c>
      <c r="JB59" s="7">
        <v>44.74</v>
      </c>
      <c r="JC59" s="1"/>
      <c r="JD59" s="1"/>
      <c r="JF59" s="2">
        <v>8.3359060599999975</v>
      </c>
      <c r="JG59" s="2">
        <v>20.995961339999997</v>
      </c>
      <c r="JH59" s="2">
        <v>114.79685448999999</v>
      </c>
      <c r="JI59" s="2">
        <v>66.148637149999999</v>
      </c>
      <c r="JJ59" s="2">
        <v>308.49678085000005</v>
      </c>
      <c r="JK59" s="2">
        <v>77.116674409999987</v>
      </c>
      <c r="JL59" s="2">
        <v>1166.30501931</v>
      </c>
      <c r="JM59" s="2">
        <v>0.76036999999999999</v>
      </c>
      <c r="JN59" s="2">
        <v>540.20769413999994</v>
      </c>
      <c r="JO59" s="2">
        <v>18.609693640000003</v>
      </c>
      <c r="JP59" s="2">
        <v>0</v>
      </c>
      <c r="JQ59" s="2">
        <v>0.14490235000000001</v>
      </c>
      <c r="JR59" s="2">
        <v>1.4193711</v>
      </c>
      <c r="JS59" s="2">
        <v>0</v>
      </c>
      <c r="JT59" s="2">
        <v>0.99619522999999999</v>
      </c>
      <c r="JU59" s="2">
        <v>74.84858914000003</v>
      </c>
      <c r="JV59" s="2">
        <v>11.781496920000002</v>
      </c>
      <c r="JW59" s="2">
        <v>51.544083159999992</v>
      </c>
      <c r="JX59" s="2">
        <v>9.7449825099999998</v>
      </c>
      <c r="JY59" s="2">
        <v>0</v>
      </c>
      <c r="JZ59" s="2">
        <v>2.9534803899999997</v>
      </c>
      <c r="KA59" s="2">
        <v>0.88588001000000005</v>
      </c>
      <c r="KB59" s="2">
        <v>14.196498070000001</v>
      </c>
      <c r="KC59" s="2">
        <v>29.931534000000003</v>
      </c>
      <c r="KD59" s="2">
        <v>7.6046125600000005</v>
      </c>
      <c r="KE59" s="2">
        <v>13.870933989999997</v>
      </c>
      <c r="KF59" s="2">
        <v>46.655842550000003</v>
      </c>
      <c r="KG59" s="2">
        <v>261.23217963000013</v>
      </c>
      <c r="KH59" s="2">
        <v>108.29074420999999</v>
      </c>
      <c r="KI59" s="2">
        <v>24.22105174</v>
      </c>
      <c r="KJ59" s="2">
        <v>5.0733414000000003</v>
      </c>
      <c r="KK59" s="2">
        <v>4.6347864300000001</v>
      </c>
      <c r="KL59" s="2">
        <v>0.36344711999999996</v>
      </c>
      <c r="KM59" s="2">
        <v>4.607304759999999</v>
      </c>
      <c r="KN59" s="2">
        <v>6.3329999999999992E-5</v>
      </c>
      <c r="KO59" s="2">
        <v>0.16374398000000001</v>
      </c>
      <c r="KP59" s="2">
        <v>4.5893969999999999E-2</v>
      </c>
      <c r="KQ59" s="2">
        <v>211.20476477999998</v>
      </c>
      <c r="KR59" s="2">
        <v>0</v>
      </c>
      <c r="KS59" s="2">
        <v>0.32714451999999999</v>
      </c>
      <c r="KT59" s="2">
        <v>2.1096150300000001</v>
      </c>
      <c r="KU59" s="2">
        <v>0.3905169</v>
      </c>
      <c r="KV59" s="2">
        <v>0</v>
      </c>
      <c r="KW59" s="2">
        <v>0.63872328</v>
      </c>
      <c r="KX59" s="2">
        <v>0</v>
      </c>
      <c r="KY59" s="2">
        <v>0</v>
      </c>
      <c r="KZ59" s="2">
        <v>0.38385280999999999</v>
      </c>
      <c r="LA59" s="2">
        <v>0.49327887999999998</v>
      </c>
      <c r="LB59" s="2">
        <v>1.9958689999999998E-2</v>
      </c>
      <c r="LC59" s="2">
        <v>7.6258300000000001E-3</v>
      </c>
      <c r="LD59" s="2">
        <v>0</v>
      </c>
      <c r="LE59" s="2">
        <v>0.23112358999999999</v>
      </c>
      <c r="LF59" s="2">
        <v>0.26897578999999999</v>
      </c>
      <c r="LG59" s="2">
        <v>11.845314869999999</v>
      </c>
      <c r="LH59" s="2">
        <v>3.1139034799999998</v>
      </c>
      <c r="LI59" s="2">
        <v>1.2841839799999999</v>
      </c>
      <c r="LJ59" s="2">
        <v>8.6147399999999992E-3</v>
      </c>
      <c r="LK59" s="2">
        <v>2.8002097799999999</v>
      </c>
      <c r="LL59" s="2">
        <v>3.3597020299999993</v>
      </c>
      <c r="LM59" s="2">
        <v>0.56234101999999997</v>
      </c>
      <c r="LN59" s="2">
        <v>0.45697652999999999</v>
      </c>
      <c r="LO59" s="2">
        <v>5.9340322200000006</v>
      </c>
      <c r="LQ59" s="85">
        <f t="shared" si="247"/>
        <v>2196.7153559399999</v>
      </c>
      <c r="LR59" s="85">
        <f t="shared" si="248"/>
        <v>2.5604686800000001</v>
      </c>
      <c r="LS59" s="85">
        <f t="shared" si="249"/>
        <v>63.325580079999995</v>
      </c>
      <c r="LT59" s="85">
        <f t="shared" si="250"/>
        <v>3.8393603999999999</v>
      </c>
      <c r="LU59" s="85">
        <f t="shared" si="251"/>
        <v>216.30302136999995</v>
      </c>
      <c r="LV59" s="85">
        <f t="shared" si="252"/>
        <v>0.63872328</v>
      </c>
      <c r="LW59" s="85">
        <f t="shared" si="253"/>
        <v>0.51323756999999992</v>
      </c>
      <c r="LX59" s="85">
        <f t="shared" si="254"/>
        <v>0.50009937999999998</v>
      </c>
      <c r="LZ59" s="131">
        <v>75.03</v>
      </c>
      <c r="MA59" s="171">
        <v>66.040000000000006</v>
      </c>
      <c r="MB59"/>
      <c r="MC59"/>
      <c r="MD59"/>
      <c r="MF59"/>
      <c r="MG59"/>
      <c r="MH59" s="83">
        <v>112.99</v>
      </c>
      <c r="MI59" s="83">
        <v>43.62</v>
      </c>
      <c r="MJ59" s="83">
        <v>33.229999999999997</v>
      </c>
      <c r="MK59"/>
      <c r="ML59" s="83">
        <v>35.14</v>
      </c>
      <c r="MM59" s="83">
        <v>52.95</v>
      </c>
      <c r="MN59" s="83"/>
      <c r="MO59" s="83">
        <v>37.93</v>
      </c>
      <c r="MP59" s="83">
        <v>63.33</v>
      </c>
      <c r="MQ59" s="83">
        <v>76.97</v>
      </c>
      <c r="MR59"/>
      <c r="MT59" s="83"/>
      <c r="MU59" s="83">
        <v>30.27</v>
      </c>
      <c r="MV59"/>
      <c r="MW59"/>
      <c r="MX59"/>
      <c r="MY59" s="83">
        <v>112.5</v>
      </c>
      <c r="MZ59" s="83">
        <v>341</v>
      </c>
      <c r="NA59" s="83">
        <v>105.33</v>
      </c>
      <c r="NB59" s="83">
        <v>322.44</v>
      </c>
      <c r="NC59" s="83">
        <v>54.01</v>
      </c>
      <c r="ND59"/>
      <c r="NE59" s="1">
        <v>270.98</v>
      </c>
    </row>
    <row r="60" spans="1:369">
      <c r="A60" s="38">
        <f t="shared" si="219"/>
        <v>43891</v>
      </c>
      <c r="B60" s="36">
        <f t="shared" si="287"/>
        <v>3</v>
      </c>
      <c r="C60" s="36">
        <f t="shared" si="288"/>
        <v>2020</v>
      </c>
      <c r="D60" s="36">
        <f t="shared" si="50"/>
        <v>60</v>
      </c>
      <c r="E60" s="38">
        <f t="shared" si="220"/>
        <v>43891</v>
      </c>
      <c r="F60" s="7">
        <v>64.56</v>
      </c>
      <c r="G60" s="97">
        <v>305.55149999999998</v>
      </c>
      <c r="H60" s="1">
        <f>[2]NACIONALES!$D48</f>
        <v>30171.74</v>
      </c>
      <c r="I60" s="7">
        <v>85</v>
      </c>
      <c r="J60" s="7">
        <v>380</v>
      </c>
      <c r="K60" s="7">
        <v>3.3</v>
      </c>
      <c r="L60" s="7">
        <v>24.1</v>
      </c>
      <c r="N60" s="5">
        <v>1.2609999999999999</v>
      </c>
      <c r="O60" s="5">
        <v>1.048</v>
      </c>
      <c r="P60" s="78">
        <f t="shared" ref="P60:P91" si="294">IFERROR(+AVERAGE(N60:O60)*0.95*(F60),"")</f>
        <v>70.807794000000001</v>
      </c>
      <c r="Q60" s="6">
        <v>1350</v>
      </c>
      <c r="R60" s="79">
        <f t="shared" si="222"/>
        <v>13500</v>
      </c>
      <c r="S60" s="6">
        <f>8603.8/F60</f>
        <v>133.26827757125153</v>
      </c>
      <c r="T60" s="6">
        <v>224.94</v>
      </c>
      <c r="U60" s="143">
        <v>142.0736842105263</v>
      </c>
      <c r="V60" s="6">
        <v>220.36</v>
      </c>
      <c r="W60" s="6">
        <f t="shared" si="284"/>
        <v>120.24000000000001</v>
      </c>
      <c r="X60" s="6">
        <v>165.68421052631578</v>
      </c>
      <c r="Y60" s="79">
        <f t="shared" si="223"/>
        <v>8603.7999999999993</v>
      </c>
      <c r="Z60" s="79">
        <f t="shared" si="224"/>
        <v>14522.126400000001</v>
      </c>
      <c r="AA60" s="79">
        <f t="shared" si="225"/>
        <v>9172.277052631578</v>
      </c>
      <c r="AB60" s="79">
        <f t="shared" si="226"/>
        <v>14226.441600000002</v>
      </c>
      <c r="AC60" s="79">
        <f t="shared" si="227"/>
        <v>7762.6944000000012</v>
      </c>
      <c r="AD60" s="79">
        <f t="shared" si="228"/>
        <v>10696.572631578947</v>
      </c>
      <c r="AE60" s="79">
        <f t="shared" si="229"/>
        <v>10830.652014035088</v>
      </c>
      <c r="AF60" s="1">
        <v>34978</v>
      </c>
      <c r="AG60" s="1">
        <v>15250</v>
      </c>
      <c r="AH60" s="1">
        <v>58100</v>
      </c>
      <c r="AI60" s="5">
        <v>10.443899999999999</v>
      </c>
      <c r="AJ60" s="5">
        <v>8.9084000000000003</v>
      </c>
      <c r="AK60" s="5">
        <v>9.8363999999999994</v>
      </c>
      <c r="AL60" s="5">
        <v>8.8211999999999993</v>
      </c>
      <c r="AM60" s="78">
        <f t="shared" si="230"/>
        <v>9.8350819999999999</v>
      </c>
      <c r="AN60" s="7">
        <v>844.60227272727275</v>
      </c>
      <c r="AO60" s="7">
        <v>611.56736842105249</v>
      </c>
      <c r="AP60" s="78">
        <f t="shared" si="277"/>
        <v>611.56736842105249</v>
      </c>
      <c r="AQ60" s="7">
        <v>448.79338842975204</v>
      </c>
      <c r="AR60" s="7">
        <v>491.08736842105264</v>
      </c>
      <c r="AS60" s="7">
        <v>275.62105263157895</v>
      </c>
      <c r="AT60" s="7">
        <v>991.17631578947362</v>
      </c>
      <c r="AU60" s="78">
        <f t="shared" si="53"/>
        <v>585.96157894736837</v>
      </c>
      <c r="AV60" s="7">
        <v>297.97487179487183</v>
      </c>
      <c r="AW60" s="7">
        <v>743.84210526315792</v>
      </c>
      <c r="AX60" s="7">
        <v>272.20894736842109</v>
      </c>
      <c r="AY60" s="7">
        <v>589.24952380952379</v>
      </c>
      <c r="AZ60" s="7">
        <v>756.92947368421051</v>
      </c>
      <c r="BA60" s="7">
        <v>143.78921052631577</v>
      </c>
      <c r="BB60" s="94">
        <f t="shared" si="45"/>
        <v>477.93814988861044</v>
      </c>
      <c r="BC60" s="68">
        <v>1121</v>
      </c>
      <c r="BD60" s="68">
        <v>1352</v>
      </c>
      <c r="BE60" s="95">
        <f>+BE59</f>
        <v>940</v>
      </c>
      <c r="BF60" s="95">
        <f t="shared" si="283"/>
        <v>550</v>
      </c>
      <c r="BG60" s="94">
        <f t="shared" si="56"/>
        <v>990.75</v>
      </c>
      <c r="BH60" s="95">
        <f>+BH59</f>
        <v>87.63</v>
      </c>
      <c r="BI60" s="7">
        <v>25</v>
      </c>
      <c r="BJ60" s="78">
        <f t="shared" si="57"/>
        <v>112.63</v>
      </c>
      <c r="BK60" s="7">
        <v>97.239000000000004</v>
      </c>
      <c r="BL60" s="7">
        <v>106.02</v>
      </c>
      <c r="BM60" s="94">
        <f t="shared" si="58"/>
        <v>101.62950000000001</v>
      </c>
      <c r="BN60" s="5">
        <v>18.079999999999998</v>
      </c>
      <c r="BO60" s="5">
        <v>82.879411764705878</v>
      </c>
      <c r="BP60" s="5">
        <v>51.28</v>
      </c>
      <c r="BQ60" s="94">
        <f t="shared" si="59"/>
        <v>79.719470588235296</v>
      </c>
      <c r="BR60" s="7">
        <f>+(68.46+68.99+69+68.61)/4</f>
        <v>68.765000000000001</v>
      </c>
      <c r="BS60" s="7">
        <v>190</v>
      </c>
      <c r="BT60" s="7">
        <f>+F60*2.29</f>
        <v>147.8424</v>
      </c>
      <c r="BU60" s="79">
        <f t="shared" si="237"/>
        <v>2723.5272</v>
      </c>
      <c r="BV60" s="7">
        <v>105.3</v>
      </c>
      <c r="BW60" s="7">
        <v>235</v>
      </c>
      <c r="BY60" s="92">
        <f>BY$10*(1+((H60/H$10-1)*costos!$B$5+((I60*F60)/(I$10*F$10)-1)*costos!$E$5+((J60*F60)/((J$10*F$10)-1)*costos!$F$5/3+((K60*F60)/(K$10*F$10)-1)*costos!$F$5/3+((U60*F60)/(U$10*F$10)-1)*costos!$F$5/3+((L60*F60)/(L$10*F$10)-1)*costos!$G$5+((N60*F60)/(N$10*F$10)-1)*costos!$J$5+((V60*F60)/(V$10*F$10)-1)*costos!$K$5)))</f>
        <v>447.96425717866521</v>
      </c>
      <c r="BZ60" s="92">
        <f>$BZ$10*(1+((H60/$H$10-1)*costos!$B$6+((I60*F60)/($I$10*$F$10)-1)*costos!$E$6+((J60*F60)/(($J$10*$F$10)-1)*costos!$F$6/3+((K60*F60)/($K$10*$F$10)-1)*costos!$F$6/3+((U60*F60)/($U$10*$F$10)-1)*costos!$F$6/3+((L60*F60)/($L$10*$F$10)-1)*costos!$G$6+((Q60*F60)/($Q$10*$F$10)-1)*costos!$J$6+((V60*F60)/($V$10*$F$10)-1)*costos!$K$6)))</f>
        <v>424.64504641505101</v>
      </c>
      <c r="CA60" s="92">
        <f>CA$10*(1+((H60/H$10-1)*costos!$B$7+((I60*F60)/(I$10*F$10)-1)*costos!$E$7+((J60*F60)/((J$10*F$10)-1)*costos!$F$7/3+((K60*F60)/(K$10*F$10)-1)*costos!$F$7/3+((U60*F60)/(U$10*F$10)-1)*costos!$F$7/3+((L60*F60)/(L$10*F$10)-1)*costos!$G$7+((S60*F60)/(S$10*F$10)-1)*costos!$J$7+((V60*F60)/(V$10*F$10)-1)*costos!$K$7)))</f>
        <v>427.0927107774088</v>
      </c>
      <c r="CB60" s="92">
        <f>CB$10*(1+((H60/H$10-1)*costos!$B$8+((I60*F60)/(I$10*F$10)-1)*costos!$E$8+((J60*F60)/((J$10*F$10)-1)*costos!$F$8/3+((K60*F60)/(K$10*F$10)-1)*costos!$F$8/3+((U60*F60)/(U$10*F$10)-1)*costos!$F$8/3+((L60*F60)/(L$10*F$10)-1)*costos!$G$8+((T60*F60)/(T$10*F$10)-1)*costos!$J$8+((V60*F60)/(V$10*F$10)-1)*costos!$K$8)))</f>
        <v>414.06332495200246</v>
      </c>
      <c r="CC60" s="92">
        <f>CC$10*(1+((H60/H$10-1)*costos!$B$9+((I60*F60)/(I$10*F$10)-1)*costos!$E$9+((J60*F60)/((J$10*F$10)-1)*costos!$F$9/3+((K60*F60)/(K$10*F$10)-1)*costos!$F$9/3+((U60*F60)/(U$10*F$10)-1)*costos!$F$9/3+((L60*F60)/(L$10*F$10)-1)*costos!$G$9+((U60*F60)/(U$10*F$10)-1)*costos!$J$9+((V60*F60)/(V$10*F$10)-1)*costos!$K$9)))</f>
        <v>428.57644912304602</v>
      </c>
      <c r="CD60" s="92">
        <f>CD$10*(1+((H60/H$10-1)*costos!$B$11+((I60*F60)/(I$10*F$10)-1)*costos!$E$11+((J60*F60)/((J$10*F$10)-1)*costos!$F$11/3+((K60*F60)/(K$10*F$10)-1)*costos!$F$11/3+((U60*F60)/(U$10*F$10)-1)*costos!$F$11/3+((L60*F60)/(L$10*F$10)-1)*costos!$G$11+((V60*F60)/(V$10*F$10)-1)*costos!$J$11+((V60*F60)/(V$10*F$10)-1)*costos!$K$11)))</f>
        <v>433.32360111225159</v>
      </c>
      <c r="CE60" s="92">
        <f>CE$10*(1+((H60/H$10-1)*costos!$B$12+((I60*F60)/(I$10*F$10)-1)*costos!$E$12+((J60*F60)/((J$10*F$10)-1)*costos!$F$12/3+((K60*F60)/(K$10*F$10)-1)*costos!$F$12/3+((U60*F60)/(U$10*F$10)-1)*costos!$F$12/3+((L60*F60)/(L$10*F$10)-1)*costos!$G$12+((W60*F60)/(W$10*F$10)-1)*costos!$J$12+((V60*F60)/(V$10*F$10)-1)*costos!$K$12)))</f>
        <v>404.87803443663478</v>
      </c>
      <c r="CF60" s="92">
        <f>CF$10*(1+((H60/H$10-1)*costos!$B$13+((I60*F60)/(I$10*F$10)-1)*costos!$E$13+((J60*F60)/((J$10*F$10)-1)*costos!$F$13/3+((K60*F60)/(K$10*F$10)-1)*costos!$F$13/3+((U60*F60)/(U$10*F$10)-1)*costos!$F$13/3+((L60*F60)/(L$10*F$10)-1)*costos!$G$13+((X60*F60)/(X$10*F$10)-1)*costos!$J$13+((V60*F60)/(V$10*F$10)-1)*costos!$K$13)))</f>
        <v>450.81048896511453</v>
      </c>
      <c r="CG60" s="92">
        <f t="shared" si="257"/>
        <v>426.45743489440969</v>
      </c>
      <c r="CH60" s="92">
        <f>CH$10*(1+((H60/H$10-1)*costos!$B$10+((I60*F60)/(I$10*F$10)-1)*costos!$E$10+((J60*F60)/((J$10*F$10)-1)*costos!$F$10/3+((K60*F60)/(K$10*F$10)-1)*costos!$F$10/3+((U60*F60)/(U$10*F$10)-1)*costos!$F$10/3+((L60*F60)/(L$10*F$10)-1)*costos!$G$10+((AF60)/(AF$10)-1)*costos!$J$10+((V60*F60)/(V$10*F$10)-1)*costos!$K$10)))</f>
        <v>467.3433832223065</v>
      </c>
      <c r="CI60" s="92">
        <f>CI$10*(1+((H60/H$10-1)*costos!$B$15+((I60*F60)/(I$10*F$10)-1)*costos!$E$15+((J60*F60)/((J$10*F$10)-1)*costos!$F$15/3+((K60*F60)/(K$10*F$10)-1)*costos!$F$15/3+((U60*F60)/(U$10*F$10)-1)*costos!$F$15/3+((L60*F60)/(L$10*F$10)-1)*costos!$G$15+((AV60)/(AV$10)-1)*costos!$J$15+((V60*F60)/(V$10*F$10)-1)*costos!$K$15)))</f>
        <v>434.05966383525509</v>
      </c>
      <c r="CJ60" s="92">
        <f>CJ$10*(1+((H60/H$10-1)*costos!$B$16+((I60*F60)/(I$10*F$10)-1)*costos!$E$16+((J60*F60)/((J$10*F$10)-1)*costos!$F$16/3+((K60*F60)/(K$10*F$10)-1)*costos!$F$16/3+((U60*F60)/(U$10*F$10)-1)*costos!$F$16/3+((L60*F60)/(L$10*F$10)-1)*costos!$G$16+((AW60)/(AW$10)-1)*costos!$J$16+((V60*F60)/(V$10*F$10)-1)*costos!$K$16)))</f>
        <v>399.97415066866421</v>
      </c>
      <c r="CK60" s="92">
        <f>CK$10*(1+((H60/H$10-1)*costos!$B$17+((I60*F60)/(I$10*F$10)-1)*costos!$E$17+((J60*F60)/((J$10*F$10)-1)*costos!$F$17/3+((K60*F60)/(K$10*F$10)-1)*costos!$F$17/3+((U60*F60)/(U$10*F$10)-1)*costos!$F$17/3+((L60*F60)/(L$10*F$10)-1)*costos!$G$17+((AX60)/(AX$10)-1)*costos!$J$17+((V60*F60)/(V$10*F$10)-1)*costos!$K$17)))</f>
        <v>405.80911933537953</v>
      </c>
      <c r="CL60" s="92">
        <f>CL$10*(1+((H60/H$10-1)*costos!$B$18+((I60*F60)/(I$10*F$10)-1)*costos!$E$18+((J60*F60)/((J$10*F$10)-1)*costos!$F$18/3+((K60*F60)/(K$10*F$10)-1)*costos!$F$18/3+((U60*F60)/(U$10*F$10)-1)*costos!$F$18/3+((L60*F60)/(L$10*F$10)-1)*costos!$G$18+((AY60)/(AY$10)-1)*costos!$J$18+((V60*F60)/(V$10*F$10)-1)*costos!$K$18)))</f>
        <v>463.80981724155879</v>
      </c>
      <c r="CM60" s="92">
        <f>CM$10*(1+((H60/H$10-1)*costos!$B$19+((I60*F60)/(I$10*F$10)-1)*costos!$E$19+((J60*F60)/((J$10*F$10)-1)*costos!$F$19/3+((K60*F60)/(K$10*F$10)-1)*costos!$F$19/3+((U60*F60)/(U$10*F$10)-1)*costos!$F$19/3+((L60*F60)/(L$10*F$10)-1)*costos!$G$19+((AZ60)/(AZ$10)-1)*costos!$J$19+((V60*F60)/(V$10*F$10)-1)*costos!$K$19)))</f>
        <v>472.82600615657833</v>
      </c>
      <c r="CN60" s="92">
        <f>CN$10*(1+((H60/H$10-1)*costos!$B$20+((I60*F60)/(I$10*F$10)-1)*costos!$E$20+((J60*F60)/((J$10*F$10)-1)*costos!$F$20/3+((K60*F60)/(K$10*F$10)-1)*costos!$F$20/3+((U60*F60)/(U$10*F$10)-1)*costos!$F$20/3+((L60*F60)/(L$10*F$10)-1)*costos!$G$20+((BA60)/(BA$10)-1)*costos!$J$20+((V60*F60)/(V$10*F$10)-1)*costos!$K$20)))</f>
        <v>361.88077332791278</v>
      </c>
      <c r="CO60" s="92">
        <f t="shared" si="258"/>
        <v>426.08142901535734</v>
      </c>
      <c r="CP60" s="92">
        <f>CP$10*(1+((H60/H$10-1)*costos!$B$22+((I60*F60)/(I$10*F$10)-1)*costos!$E$22+((J60*F60)/((J$10*F$10)-1)*costos!$F$22/3+((K60*F60)/(K$10*F$10)-1)*costos!$F$22/3+((U60*F60)/(U$10*F$10)-1)*costos!$F$22/3+((L60*F60)/(L$10*F$10)-1)*costos!$G$22+(((AVERAGE(AI60:AL60))/((AVERAGE(AI$10:AL$10))-1)*costos!$J$22+((V60*F60)/(V$10*F$10)-1)*costos!$K$22)))))</f>
        <v>446.06287948317276</v>
      </c>
      <c r="CQ60" s="92">
        <f>CQ$10*(1+((H60/H$10-1)*costos!$B$23+((I60*F60)/(I$10*F$10)-1)*costos!$E$23+((J60*F60)/((J$10*F$10)-1)*costos!$F$23/3+((K60*F60)/(K$10*F$10)-1)*costos!$F$23/3+((U60*F60)/(U$10*F$10)-1)*costos!$F$23/3+((L60*F60)/(L$10*F$10)-1)*costos!$G$23+((AN60)/(AN$10)-1)*costos!$J$23+((V60*F60)/(V$10*F$10)-1)*costos!$K$23)))</f>
        <v>387.90607883692695</v>
      </c>
      <c r="CR60" s="92">
        <f>CR$10*(1+((H60/H$10-1)*costos!$B$24+((I60*F60)/(I$10*F$10)-1)*costos!$E$24+((J60*F60)/((J$10*F$10)-1)*costos!$F$24/3+((K60*F60)/(K$10*F$10)-1)*costos!$F$24/3+((U60*F60)/(U$10*F$10)-1)*costos!$F$24/3+((L60*F60)/(L$10*F$10)-1)*costos!$G$24+((AO60)/(AO$10)-1)*costos!$J$24+((V60*F60)/(V$10*F$10)-1)*costos!$K$24)))</f>
        <v>396.71915979294079</v>
      </c>
      <c r="CS60" s="92">
        <f t="shared" si="62"/>
        <v>392.31261931493384</v>
      </c>
      <c r="CT60" s="92">
        <f>CT$10*(1+((H60/H$10-1)*costos!$B$25+((I60*F60)/(I$10*F$10)-1)*costos!$E$25+((J60*F60)/((J$10*F$10)-1)*costos!$F$25/3+((K60*F60)/(K$10*F$10)-1)*costos!$F$25/3+((U60*F60)/(U$10*F$10)-1)*costos!$F$25/3+((L60*F60)/(L$10*F$10)-1)*costos!$G$25+((AQ60)/(AQ$10)-1)*costos!$J$25+((V60*F60)/(V$10*F$10)-1)*costos!$K$25)))</f>
        <v>383.85233692975072</v>
      </c>
      <c r="CU60" s="92">
        <f>CU$10*(1+((H60/H$10-1)*costos!$B$26+((I60*F60)/(I$10*F$10)-1)*costos!$E$26+((J60*F60)/((J$10*F$10)-1)*costos!$F$26/3+((K60*F60)/(K$10*F$10)-1)*costos!$F$26/3+((U60*F60)/(U$10*F$10)-1)*costos!$F$26/3+((L60*F60)/(L$10*F$10)-1)*costos!$G$26+((AR60)/(AR$10)-1)*costos!$J$26+((V60*F60)/(V$10*F$10)-1)*costos!$K$26)))</f>
        <v>400.08025416796613</v>
      </c>
      <c r="CV60" s="92">
        <f>CV$10*(1+((H60/H$10-1)*costos!$B$27+((I60*F60)/(I$10*F$10)-1)*costos!$E$27+((J60*F60)/((J$10*F$10)-1)*costos!$F$27/3+((K60*F60)/(K$10*F$10)-1)*costos!$F$27/3+((U60*F60)/(U$10*F$10)-1)*costos!$F$27/3+((L60*F60)/(L$10*F$10)-1)*costos!$G$27+((AS60)/(AS$10)-1)*costos!$J$27+((V60*F60)/(V$10*F$10)-1)*costos!$K$27)))</f>
        <v>385.07496592496761</v>
      </c>
      <c r="CW60" s="92">
        <f>CW$10*(1+((H60/H$10-1)*costos!$B$28+((I60*F60)/(I$10*F$10)-1)*costos!$E$28+((J60*F60)/((J$10*F$10)-1)*costos!$F$28/3+((K60*F60)/(K$10*F$10)-1)*costos!$F$28/3+((U60*F60)/(U$10*F$10)-1)*costos!$F$28/3+((L60*F60)/(L$10*F$10)-1)*costos!$G$28+((AS60)/(AS$10)-1)*costos!$J$28+((V60*F60)/(V$10*F$10)-1)*costos!$K$28)))</f>
        <v>385.07496592496761</v>
      </c>
      <c r="CX60" s="92">
        <f t="shared" si="259"/>
        <v>390.07672867263381</v>
      </c>
      <c r="CY60" s="92">
        <f>CY$10*(1+((H60/H$10-1)*costos!$B$32+((I60*F60)/(I$10*F$10)-1)*costos!$E$32+((J60*F60)/((J$10*F$10)-1)*costos!$F$32/3+((K60*F60)/(K$10*F$10)-1)*costos!$F$32/3+((U60*F60)/(U$10*F$10)-1)*costos!$F$32/3+((L60*F60)/(L$10*F$10)-1)*costos!$G$32+((AG60)/(AG$10)-1)*costos!$J$32+((V60*F60)/(V$10*F$10)-1)*costos!$K$32)))</f>
        <v>396.47698635092257</v>
      </c>
      <c r="CZ60" s="69">
        <f>CZ$10*(1+((H60/H$10-1)*costos!$B$31+((I60*F60)/(I$10*F$10)-1)*costos!$E$30+((J60*F60)/((J$10*F$10)-1)*costos!$F$30/3+((K60*F60)/(K$10*F$10)-1)*costos!$F$30/3+((U60*F60)/(U$10*F$10)-1)*costos!$F$30/3+((L60*F60)/(L$10*F$10)-1)*costos!$G$30+((BG60)/(BG$10)-1)*costos!$J$30+((V60*F60)/(V$10*F$10)-1)*costos!$K$30)))</f>
        <v>480.94898087428231</v>
      </c>
      <c r="DA60" s="69">
        <f>DA$10*(1+((H60/H$10-1)*costos!$B$31+((I60*F60)/(I$10*F$10)-1)*costos!$E$31+((J60*F60)/((J$10*F$10)-1)*costos!$F$31/3+((K60*F60)/(K$10*F$10)-1)*costos!$F$31/3+((U60*F60)/(U$10*F$10)-1)*costos!$F$31/3+((L60*F60)/(L$10*F$10)-1)*costos!$G$31+((BJ60)/(BJ$10)-1)*costos!$J$31+((V60*F60)/(V$10*F$10)-1)*costos!$K$31)))</f>
        <v>404.34293783937818</v>
      </c>
      <c r="DB60" s="69">
        <f>DB$10*(1+((H60/H$10-1)*costos!$B$36+((I60*F60)/(I$10*F$10)-1)*costos!$E$36+((J60*F60)/((J$10*F$10)-1)*costos!$F$36/3+((K60*F60)/(K$10*F$10)-1)*costos!$F$36/3+((U60*F60)/(U$10*F$10)-1)*costos!$F$36/3+((L60*F60)/(L$10*F$10)-1)*costos!$G$36+((BK60)/(BK$10)-1)*costos!$J$36+((V60*F60)/(V$10*F$10)-1)*costos!$K$36)))</f>
        <v>415.35806447986755</v>
      </c>
      <c r="DC60" s="69">
        <f>DC$10*(1+((H60/H$10-1)*costos!$B$37+((I60*F60)/(I$10*F$10)-1)*costos!$E$37+((U60*F60)/(U$10*F$10)-1)*costos!$F$37+((L60*F60)/(L$10*F$10)-1)*costos!$G$37+((BN60)/(BN$10)-1)*costos!$J$37+((V60*F60)/(V$10*F$10)-1)*costos!$K$37))</f>
        <v>448.10114884739403</v>
      </c>
      <c r="DD60" s="69">
        <f>DD$10*(1+((H60/H$10-1)*costos!$B$39+((I60*F60)/(I$10*F$10)-1)*costos!$E$39+((U60*F60)/(U$10*F$10)-1)*costos!$F$39+((L60*F60)/(L$10*F$10)-1)*costos!$G$39+((BR60)/(BR$10)-1)*costos!$J$39+((V60*F60)/(V$10*F$10)-1)*costos!$K$39))</f>
        <v>437.78942248806948</v>
      </c>
      <c r="DE60" s="69">
        <f>DD$10*(1+((H60/H$10-1)*costos!$B$35+((I60*F60)/(I$10*F$10)-1)*costos!$E$35+((U60*F60)/(U$10*F$10)-1)*costos!$F$35+((L60*F60)/(L$10*F$10)-1)*costos!$G$35+((BR60)/(BR$10)-1)*costos!$J$35+((V60*F60)/(V$10*F$10)-1)*costos!$K$35))</f>
        <v>396.39796501648613</v>
      </c>
      <c r="DF60" s="69">
        <f>DF$10*(1+((H60/H$10-1)*costos!$B$40+((I60*F60)/(I$10*F$10)-1)*costos!$E$40+((U60*F60)/(U$10*F$10)-1)*costos!$F$40+((L60*F60)/(L$10*F$10)-1)*costos!$G$40+((BP60)/(BP$10)-1)*costos!$J$40+((V60*F60)/(V$10*F$10)-1)*costos!$K$40))</f>
        <v>443.05540749966588</v>
      </c>
      <c r="DG60" s="92">
        <f t="shared" si="260"/>
        <v>419.72668625807603</v>
      </c>
      <c r="DH60" s="69">
        <f>DH$10*(1+((H60/H$10-1)*costos!$B$34+((I60*F60)/(I$10*F$10)-1)*costos!$E$34+((J60*F60)/((J$10*F$10)-1)*costos!$F$34/3+((K60*F60)/(K$10*F$10)-1)*costos!$F$34/3+((U60*F60)/(U$10*F$10)-1)*costos!$F$34/3+((L60*F60)/(L$10*F$10)-1)*costos!$G$34+((BV60)/(BV$10)-1)*costos!$J$34+((V60*F60)/(V$10*F$10)-1)*costos!$K$34)))</f>
        <v>418.32067441109916</v>
      </c>
      <c r="DI60" s="69">
        <f>DI$10*(1+((H60/H$10-1)*costos!$B$38+((I60*F60)/(I$10*F$10)-1)*costos!$E$38+((J60*F60)/((J$10*F$10)-1)*costos!$F$38/3+((K60*F60)/(K$10*F$10)-1)*costos!$F$38/3+((U60*F60)/(U$10*F$10)-1)*costos!$F$38/3+((L60*F60)/(L$10*F$10)-1)*costos!$G$38+((BU60)/(BU$10)-1)*costos!$J$38+((V60*F60)/(V$10*F$10)-1)*costos!$K$38)))</f>
        <v>394.53081653216549</v>
      </c>
      <c r="DK60" s="1">
        <v>450000</v>
      </c>
      <c r="DL60" s="1" t="s">
        <v>323</v>
      </c>
      <c r="DM60" s="1">
        <v>190000</v>
      </c>
      <c r="DN60" s="1" t="s">
        <v>323</v>
      </c>
      <c r="DO60" s="1">
        <v>1270000</v>
      </c>
      <c r="DP60" s="1" t="s">
        <v>323</v>
      </c>
      <c r="DQ60" s="1">
        <v>1600000</v>
      </c>
      <c r="DR60" s="1" t="s">
        <v>323</v>
      </c>
      <c r="DS60" s="1">
        <v>6300000</v>
      </c>
      <c r="DT60" s="1" t="s">
        <v>323</v>
      </c>
      <c r="DU60" s="1">
        <v>17300000</v>
      </c>
      <c r="DV60" s="1" t="s">
        <v>323</v>
      </c>
      <c r="DW60" s="1">
        <v>510000</v>
      </c>
      <c r="DX60" s="1" t="s">
        <v>323</v>
      </c>
      <c r="DY60" s="1">
        <v>6950000</v>
      </c>
      <c r="DZ60" s="1" t="s">
        <v>323</v>
      </c>
      <c r="EA60" s="79">
        <f t="shared" si="67"/>
        <v>33930000</v>
      </c>
      <c r="EB60" s="1">
        <v>351733</v>
      </c>
      <c r="EC60" s="1" t="s">
        <v>323</v>
      </c>
      <c r="ED60" s="1">
        <v>174820</v>
      </c>
      <c r="EE60" s="143">
        <v>2020</v>
      </c>
      <c r="EF60" s="1">
        <v>214798</v>
      </c>
      <c r="EG60" s="6">
        <v>2020</v>
      </c>
      <c r="EH60" s="1">
        <v>54460799</v>
      </c>
      <c r="EI60" s="6">
        <v>2020</v>
      </c>
      <c r="EJ60" s="1">
        <v>5377071</v>
      </c>
      <c r="EK60" s="6">
        <v>2020</v>
      </c>
      <c r="EL60" s="1">
        <v>14339908</v>
      </c>
      <c r="EM60" s="6">
        <v>2018</v>
      </c>
      <c r="EN60" s="1">
        <v>3201657</v>
      </c>
      <c r="EO60" s="6">
        <v>2019</v>
      </c>
      <c r="EP60" s="82">
        <f t="shared" si="286"/>
        <v>6552</v>
      </c>
      <c r="EQ60" s="83">
        <f t="shared" si="286"/>
        <v>3257556</v>
      </c>
      <c r="ER60" s="1">
        <f t="shared" si="189"/>
        <v>33739</v>
      </c>
      <c r="ES60" s="1"/>
      <c r="ET60" s="83">
        <f t="shared" si="289"/>
        <v>19456</v>
      </c>
      <c r="EU60" s="83">
        <f t="shared" si="289"/>
        <v>17935</v>
      </c>
      <c r="EV60" s="83">
        <f t="shared" si="289"/>
        <v>9101</v>
      </c>
      <c r="EW60" s="83">
        <f t="shared" si="289"/>
        <v>17303</v>
      </c>
      <c r="EX60" s="79">
        <f>+SUM(ET60:EW60)</f>
        <v>63795</v>
      </c>
      <c r="EY60" s="83">
        <f t="shared" si="290"/>
        <v>19804</v>
      </c>
      <c r="EZ60" s="82">
        <f t="shared" si="290"/>
        <v>79940</v>
      </c>
      <c r="FA60" s="82">
        <f t="shared" si="290"/>
        <v>20476</v>
      </c>
      <c r="FB60" s="82">
        <f t="shared" si="290"/>
        <v>18080</v>
      </c>
      <c r="FC60" s="79">
        <f t="shared" ref="FC60:FC65" si="295">+FB60+FA60</f>
        <v>38556</v>
      </c>
      <c r="FD60" s="83">
        <f t="shared" si="158"/>
        <v>59152.38</v>
      </c>
      <c r="FE60" s="1"/>
      <c r="FF60" s="1">
        <v>870000</v>
      </c>
      <c r="FG60" s="1" t="s">
        <v>223</v>
      </c>
      <c r="FH60" s="1">
        <v>1200000</v>
      </c>
      <c r="FI60" s="1" t="s">
        <v>223</v>
      </c>
      <c r="FJ60" s="1">
        <v>3800000</v>
      </c>
      <c r="FK60" s="1" t="s">
        <v>323</v>
      </c>
      <c r="FL60" s="1">
        <v>3500000</v>
      </c>
      <c r="FM60" s="1" t="s">
        <v>323</v>
      </c>
      <c r="FN60" s="1">
        <v>50000000</v>
      </c>
      <c r="FO60" s="1" t="s">
        <v>323</v>
      </c>
      <c r="FP60" s="1">
        <v>54500000</v>
      </c>
      <c r="FQ60" s="1" t="s">
        <v>323</v>
      </c>
      <c r="FR60" s="1">
        <v>1600000</v>
      </c>
      <c r="FS60" s="1" t="s">
        <v>223</v>
      </c>
      <c r="FT60" s="1">
        <v>19775000</v>
      </c>
      <c r="FU60" s="1" t="s">
        <v>323</v>
      </c>
      <c r="FV60" s="79">
        <f t="shared" si="76"/>
        <v>133175000</v>
      </c>
      <c r="FW60" s="1">
        <v>1261214</v>
      </c>
      <c r="FX60" s="1" t="s">
        <v>323</v>
      </c>
      <c r="FY60" s="83">
        <v>60770</v>
      </c>
      <c r="FZ60" s="79">
        <f t="shared" si="135"/>
        <v>826660.57400000014</v>
      </c>
      <c r="GA60" s="86" t="str">
        <f t="shared" si="271"/>
        <v>abr19 mar20</v>
      </c>
      <c r="GB60" s="83">
        <v>20557455</v>
      </c>
      <c r="GC60" s="6">
        <v>2020</v>
      </c>
      <c r="GD60" s="83">
        <f t="shared" si="265"/>
        <v>1974652</v>
      </c>
      <c r="GE60" s="83">
        <f t="shared" si="265"/>
        <v>367136</v>
      </c>
      <c r="GF60" s="83">
        <v>957160</v>
      </c>
      <c r="GG60" s="83">
        <f t="shared" si="268"/>
        <v>89049</v>
      </c>
      <c r="GH60" s="79">
        <f t="shared" si="240"/>
        <v>1413345</v>
      </c>
      <c r="GI60" s="82">
        <f t="shared" si="232"/>
        <v>1302556</v>
      </c>
      <c r="GJ60" s="83">
        <f t="shared" si="215"/>
        <v>666015</v>
      </c>
      <c r="GK60" s="83">
        <f t="shared" si="216"/>
        <v>1221000</v>
      </c>
      <c r="GL60" s="83">
        <f t="shared" si="217"/>
        <v>294346.89</v>
      </c>
      <c r="GM60" s="83">
        <f t="shared" si="218"/>
        <v>260133.24</v>
      </c>
      <c r="GN60" s="79">
        <f t="shared" si="81"/>
        <v>2441495.13</v>
      </c>
      <c r="GO60" s="83">
        <f t="shared" si="291"/>
        <v>198452.81</v>
      </c>
      <c r="GP60" s="83">
        <f t="shared" si="291"/>
        <v>73538</v>
      </c>
      <c r="GQ60" s="83">
        <v>93028</v>
      </c>
      <c r="GR60" s="83">
        <v>42000</v>
      </c>
      <c r="GS60" s="79">
        <f t="shared" si="192"/>
        <v>44790.84</v>
      </c>
      <c r="GT60" s="83">
        <f t="shared" ref="GT60:GT69" si="296">+GT59</f>
        <v>2884000</v>
      </c>
      <c r="GU60" s="83">
        <v>123257</v>
      </c>
      <c r="GV60" s="83">
        <v>78517</v>
      </c>
      <c r="GW60" s="79">
        <f t="shared" si="261"/>
        <v>1158431</v>
      </c>
      <c r="GX60" s="1">
        <v>34954.608</v>
      </c>
      <c r="GY60" s="1" t="s">
        <v>340</v>
      </c>
      <c r="GZ60" s="1">
        <v>112856</v>
      </c>
      <c r="HA60" s="1">
        <v>238000</v>
      </c>
      <c r="HB60" s="79">
        <f t="shared" si="241"/>
        <v>3127916.0869999998</v>
      </c>
      <c r="HC60" s="86" t="str">
        <f t="shared" si="272"/>
        <v>abr19 mar20</v>
      </c>
      <c r="HD60" s="1">
        <v>50476</v>
      </c>
      <c r="HE60" s="79">
        <f t="shared" si="139"/>
        <v>630334</v>
      </c>
      <c r="HF60" s="86" t="str">
        <f t="shared" si="273"/>
        <v>abr19 mar20</v>
      </c>
      <c r="HG60" s="83">
        <v>181000</v>
      </c>
      <c r="HH60" s="79">
        <f t="shared" si="242"/>
        <v>2223000</v>
      </c>
      <c r="HI60" s="86" t="str">
        <f t="shared" si="274"/>
        <v>abr19 mar20</v>
      </c>
      <c r="HJ60" s="83">
        <v>84617</v>
      </c>
      <c r="HK60" s="79">
        <f t="shared" si="278"/>
        <v>59015.217600000004</v>
      </c>
      <c r="HL60" s="86" t="str">
        <f t="shared" si="275"/>
        <v>abr19 mar20</v>
      </c>
      <c r="HM60" s="79">
        <f t="shared" si="86"/>
        <v>2282015.2176000001</v>
      </c>
      <c r="HN60" s="87">
        <f t="shared" ref="HN60:HN127" si="297">+HO60/HO48-1</f>
        <v>6.4654594232059104E-2</v>
      </c>
      <c r="HO60" s="1">
        <v>793700000</v>
      </c>
      <c r="HP60" s="79">
        <f t="shared" si="153"/>
        <v>10538.9</v>
      </c>
      <c r="HQ60" s="86" t="str">
        <f t="shared" si="276"/>
        <v>abr19 mar20</v>
      </c>
      <c r="HR60" s="1"/>
      <c r="HS60" s="1"/>
      <c r="HT60" s="1"/>
      <c r="HU60" s="1">
        <v>650000</v>
      </c>
      <c r="HV60" s="1" t="s">
        <v>223</v>
      </c>
      <c r="HW60" s="1">
        <v>1300000</v>
      </c>
      <c r="HX60" s="1" t="s">
        <v>323</v>
      </c>
      <c r="HY60" s="1">
        <v>3500000</v>
      </c>
      <c r="HZ60" s="1" t="s">
        <v>323</v>
      </c>
      <c r="IA60" s="1">
        <f t="shared" si="280"/>
        <v>21220000.000000004</v>
      </c>
      <c r="IB60" s="1" t="s">
        <v>223</v>
      </c>
      <c r="IC60" s="1">
        <v>48900000</v>
      </c>
      <c r="ID60" s="1" t="s">
        <v>223</v>
      </c>
      <c r="IE60" s="1">
        <f t="shared" si="281"/>
        <v>1150000</v>
      </c>
      <c r="IF60" s="1" t="s">
        <v>223</v>
      </c>
      <c r="IG60" s="1">
        <f t="shared" si="282"/>
        <v>7500000</v>
      </c>
      <c r="IH60" s="1" t="s">
        <v>323</v>
      </c>
      <c r="II60" s="79">
        <f t="shared" si="87"/>
        <v>83570000</v>
      </c>
      <c r="IJ60" s="97">
        <f t="shared" ref="IJ60:IJ64" si="298">(6500000*12)/$IJ$2</f>
        <v>1.6786218979067327</v>
      </c>
      <c r="IK60" s="1" t="s">
        <v>323</v>
      </c>
      <c r="IL60" s="98">
        <v>42.74</v>
      </c>
      <c r="IM60" s="98">
        <v>47.42</v>
      </c>
      <c r="IN60" s="98">
        <v>182</v>
      </c>
      <c r="IO60" s="696">
        <v>13.51</v>
      </c>
      <c r="IP60" s="176">
        <f t="shared" si="292"/>
        <v>5.7853601487586115</v>
      </c>
      <c r="IQ60" s="7">
        <v>20.7</v>
      </c>
      <c r="IR60" s="98">
        <f t="shared" si="293"/>
        <v>4.79</v>
      </c>
      <c r="IS60" s="98">
        <f t="shared" si="293"/>
        <v>5.29</v>
      </c>
      <c r="IT60" s="98">
        <f t="shared" si="293"/>
        <v>12.22</v>
      </c>
      <c r="IU60" s="98">
        <f t="shared" si="293"/>
        <v>0.38</v>
      </c>
      <c r="IV60" s="94">
        <f t="shared" si="89"/>
        <v>17.89</v>
      </c>
      <c r="IW60" s="1"/>
      <c r="IX60" s="1"/>
      <c r="IY60" s="105">
        <v>1.86</v>
      </c>
      <c r="IZ60" s="161">
        <v>0.1</v>
      </c>
      <c r="JA60" s="83">
        <v>1000</v>
      </c>
      <c r="JB60" s="7">
        <v>44.74</v>
      </c>
      <c r="JC60" s="1"/>
      <c r="JD60" s="1"/>
      <c r="JE60" s="99"/>
      <c r="JF60" s="2">
        <v>3.3030898899999999</v>
      </c>
      <c r="JG60" s="2">
        <v>7.8512765899999994</v>
      </c>
      <c r="JH60" s="2">
        <v>56.91594491</v>
      </c>
      <c r="JI60" s="2">
        <v>88.230056460000029</v>
      </c>
      <c r="JJ60" s="2">
        <v>657.38837753999996</v>
      </c>
      <c r="JK60" s="2">
        <v>85.176910079999999</v>
      </c>
      <c r="JL60" s="2">
        <v>991.61427975999993</v>
      </c>
      <c r="JM60" s="2">
        <v>0.75294240000000001</v>
      </c>
      <c r="JN60" s="2">
        <v>316.79154198999993</v>
      </c>
      <c r="JO60" s="2">
        <v>16.928083139999998</v>
      </c>
      <c r="JP60" s="2">
        <v>0</v>
      </c>
      <c r="JQ60" s="2">
        <v>2.0897332099999999</v>
      </c>
      <c r="JR60" s="2">
        <v>1.4755553699999999</v>
      </c>
      <c r="JS60" s="2">
        <v>0</v>
      </c>
      <c r="JT60" s="2">
        <v>1.0442151000000002</v>
      </c>
      <c r="JU60" s="2">
        <v>72.54816323</v>
      </c>
      <c r="JV60" s="2">
        <v>13.720755330000001</v>
      </c>
      <c r="JW60" s="2">
        <v>59.346277619999995</v>
      </c>
      <c r="JX60" s="2">
        <v>10.05985166</v>
      </c>
      <c r="JY60" s="2">
        <v>0</v>
      </c>
      <c r="JZ60" s="2">
        <v>1.9303131300000003</v>
      </c>
      <c r="KA60" s="2">
        <v>0.79066515999999987</v>
      </c>
      <c r="KB60" s="2">
        <v>17.480590579999998</v>
      </c>
      <c r="KC60" s="2">
        <v>18.08845771</v>
      </c>
      <c r="KD60" s="2">
        <v>9.1432866899999983</v>
      </c>
      <c r="KE60" s="2">
        <v>18.306018520000002</v>
      </c>
      <c r="KF60" s="2">
        <v>38.788405180000012</v>
      </c>
      <c r="KG60" s="2">
        <v>294.33371626000002</v>
      </c>
      <c r="KH60" s="2">
        <v>92.141892330000005</v>
      </c>
      <c r="KI60" s="2">
        <v>26.56918349</v>
      </c>
      <c r="KJ60" s="2">
        <v>4.6732894700000003</v>
      </c>
      <c r="KK60" s="2">
        <v>3.8005900600000007</v>
      </c>
      <c r="KL60" s="2">
        <v>0.67932121999999995</v>
      </c>
      <c r="KM60" s="2">
        <v>5.4672518999999991</v>
      </c>
      <c r="KN60" s="2">
        <v>7.0970000000000007E-4</v>
      </c>
      <c r="KO60" s="2">
        <v>0.17052787</v>
      </c>
      <c r="KP60" s="2">
        <v>6.5579940000000003E-2</v>
      </c>
      <c r="KQ60" s="2">
        <v>259.73058470000001</v>
      </c>
      <c r="KR60" s="2">
        <v>0</v>
      </c>
      <c r="KS60" s="2">
        <v>0.38554642</v>
      </c>
      <c r="KT60" s="2">
        <v>2.34585321</v>
      </c>
      <c r="KU60" s="2">
        <v>9.1607880000000003E-2</v>
      </c>
      <c r="KV60" s="2">
        <v>0</v>
      </c>
      <c r="KW60" s="2">
        <v>0.89855814000000001</v>
      </c>
      <c r="KX60" s="2">
        <v>0</v>
      </c>
      <c r="KY60" s="2">
        <v>0</v>
      </c>
      <c r="KZ60" s="2">
        <v>0.11190266999999998</v>
      </c>
      <c r="LA60" s="2">
        <v>0.33169051000000005</v>
      </c>
      <c r="LB60" s="2">
        <v>0</v>
      </c>
      <c r="LC60" s="2">
        <v>2.0507849999999998E-2</v>
      </c>
      <c r="LD60" s="2">
        <v>0</v>
      </c>
      <c r="LE60" s="2">
        <v>0.23140799000000001</v>
      </c>
      <c r="LF60" s="2">
        <v>9.1931850000000009E-2</v>
      </c>
      <c r="LG60" s="2">
        <v>17.098193030000001</v>
      </c>
      <c r="LH60" s="2">
        <v>3.0692578899999998</v>
      </c>
      <c r="LI60" s="2">
        <v>1.2015918000000001</v>
      </c>
      <c r="LJ60" s="2">
        <v>0</v>
      </c>
      <c r="LK60" s="2">
        <v>1.9749177099999997</v>
      </c>
      <c r="LL60" s="2">
        <v>4.5652763200000006</v>
      </c>
      <c r="LM60" s="2">
        <v>0.78141130999999997</v>
      </c>
      <c r="LN60" s="2">
        <v>0.41152039999999995</v>
      </c>
      <c r="LO60" s="2">
        <v>6.4818975699999992</v>
      </c>
      <c r="LQ60" s="85">
        <f t="shared" si="247"/>
        <v>2111.6931430599998</v>
      </c>
      <c r="LR60" s="85">
        <f t="shared" si="248"/>
        <v>4.6095036799999995</v>
      </c>
      <c r="LS60" s="85">
        <f t="shared" si="249"/>
        <v>73.067032949999998</v>
      </c>
      <c r="LT60" s="85">
        <f t="shared" si="250"/>
        <v>2.7209782900000001</v>
      </c>
      <c r="LU60" s="85">
        <f t="shared" si="251"/>
        <v>265.75462059000006</v>
      </c>
      <c r="LV60" s="85">
        <f t="shared" si="252"/>
        <v>0.89855814000000001</v>
      </c>
      <c r="LW60" s="85">
        <f t="shared" si="253"/>
        <v>0.33169051000000005</v>
      </c>
      <c r="LX60" s="85">
        <f t="shared" si="254"/>
        <v>0.32333984000000004</v>
      </c>
      <c r="LZ60" s="131">
        <v>78.11</v>
      </c>
      <c r="MA60" s="171">
        <v>67.75</v>
      </c>
      <c r="MB60"/>
      <c r="MC60"/>
      <c r="MD60"/>
      <c r="MF60"/>
      <c r="MG60"/>
      <c r="MH60" s="83">
        <v>116.37</v>
      </c>
      <c r="MI60" s="83">
        <v>43.43</v>
      </c>
      <c r="MJ60" s="83">
        <v>32.840000000000003</v>
      </c>
      <c r="MK60"/>
      <c r="ML60" s="83">
        <v>32.22</v>
      </c>
      <c r="MM60" s="83">
        <v>77.14</v>
      </c>
      <c r="MN60" s="83"/>
      <c r="MO60" s="83">
        <v>35.18</v>
      </c>
      <c r="MP60" s="83">
        <v>64.12</v>
      </c>
      <c r="MQ60" s="83">
        <v>77.97</v>
      </c>
      <c r="MR60"/>
      <c r="MT60" s="83"/>
      <c r="MU60" s="83">
        <v>34.909999999999997</v>
      </c>
      <c r="MV60"/>
      <c r="MW60"/>
      <c r="MX60"/>
      <c r="MY60" s="83">
        <v>114.5</v>
      </c>
      <c r="MZ60" s="83">
        <v>248</v>
      </c>
      <c r="NA60" s="83">
        <v>114.96</v>
      </c>
      <c r="NB60" s="83">
        <v>340.02</v>
      </c>
      <c r="NC60" s="83">
        <v>55.72</v>
      </c>
      <c r="ND60"/>
      <c r="NE60" s="1">
        <v>278.14</v>
      </c>
    </row>
    <row r="61" spans="1:369">
      <c r="A61" s="38">
        <f t="shared" si="219"/>
        <v>43922</v>
      </c>
      <c r="B61" s="36">
        <f t="shared" si="287"/>
        <v>4</v>
      </c>
      <c r="C61" s="36">
        <f t="shared" si="288"/>
        <v>2020</v>
      </c>
      <c r="D61" s="36">
        <f t="shared" si="50"/>
        <v>61</v>
      </c>
      <c r="E61" s="38">
        <f t="shared" si="220"/>
        <v>43922</v>
      </c>
      <c r="F61" s="7">
        <v>67.25</v>
      </c>
      <c r="G61" s="97">
        <v>310.12430000000001</v>
      </c>
      <c r="H61" s="1">
        <f>[2]NACIONALES!$D49</f>
        <v>30971.74</v>
      </c>
      <c r="I61" s="7">
        <v>82</v>
      </c>
      <c r="J61" s="7">
        <v>380</v>
      </c>
      <c r="K61" s="7">
        <v>3.3</v>
      </c>
      <c r="L61" s="7">
        <v>23.3</v>
      </c>
      <c r="N61" s="5">
        <v>1.014</v>
      </c>
      <c r="O61" s="5">
        <v>0.81599999999999995</v>
      </c>
      <c r="P61" s="78">
        <f t="shared" si="294"/>
        <v>58.457062499999999</v>
      </c>
      <c r="Q61" s="6">
        <v>1350</v>
      </c>
      <c r="R61" s="79">
        <f t="shared" si="222"/>
        <v>13500</v>
      </c>
      <c r="S61" s="6">
        <f>9239.38/F61</f>
        <v>137.38855018587358</v>
      </c>
      <c r="T61" s="6">
        <v>237.2</v>
      </c>
      <c r="U61" s="143">
        <v>134.91333333333336</v>
      </c>
      <c r="V61" s="6">
        <v>214.17</v>
      </c>
      <c r="W61" s="6">
        <f t="shared" si="284"/>
        <v>120.24000000000001</v>
      </c>
      <c r="X61" s="6">
        <v>168.22</v>
      </c>
      <c r="Y61" s="79">
        <f t="shared" si="223"/>
        <v>9239.3799999999992</v>
      </c>
      <c r="Z61" s="79">
        <f t="shared" si="224"/>
        <v>15951.699999999999</v>
      </c>
      <c r="AA61" s="79">
        <f t="shared" si="225"/>
        <v>9072.9216666666689</v>
      </c>
      <c r="AB61" s="79">
        <f t="shared" si="226"/>
        <v>14402.932499999999</v>
      </c>
      <c r="AC61" s="79">
        <f t="shared" si="227"/>
        <v>8086.14</v>
      </c>
      <c r="AD61" s="79">
        <f t="shared" si="228"/>
        <v>11312.795</v>
      </c>
      <c r="AE61" s="79">
        <f t="shared" si="229"/>
        <v>11344.311527777778</v>
      </c>
      <c r="AF61" s="1">
        <v>42471.5</v>
      </c>
      <c r="AG61" s="1">
        <v>20000</v>
      </c>
      <c r="AH61" s="1">
        <v>76000</v>
      </c>
      <c r="AI61" s="5">
        <v>12.27</v>
      </c>
      <c r="AJ61" s="5">
        <v>13.86</v>
      </c>
      <c r="AK61" s="5">
        <v>12.27</v>
      </c>
      <c r="AL61" s="5">
        <v>11.89</v>
      </c>
      <c r="AM61" s="78">
        <f t="shared" si="230"/>
        <v>12.2424</v>
      </c>
      <c r="AN61" s="7">
        <v>927.20472440944877</v>
      </c>
      <c r="AO61" s="7">
        <v>680.06105263157895</v>
      </c>
      <c r="AP61" s="78">
        <f t="shared" si="277"/>
        <v>680.06105263157895</v>
      </c>
      <c r="AQ61" s="7">
        <v>579.83333333333337</v>
      </c>
      <c r="AR61" s="7">
        <v>519.89526315789487</v>
      </c>
      <c r="AS61" s="7">
        <v>754.70297029702965</v>
      </c>
      <c r="AT61" s="7">
        <v>863.85526315789468</v>
      </c>
      <c r="AU61" s="78">
        <f t="shared" si="53"/>
        <v>712.81783220427303</v>
      </c>
      <c r="AV61" s="7">
        <v>350.05263157894734</v>
      </c>
      <c r="AW61" s="7">
        <v>920.47368421052636</v>
      </c>
      <c r="AX61" s="7">
        <v>289.82473684210527</v>
      </c>
      <c r="AY61" s="7">
        <v>610.06617647058829</v>
      </c>
      <c r="AZ61" s="7">
        <v>959.09999999999991</v>
      </c>
      <c r="BA61" s="7">
        <v>154.39875000000001</v>
      </c>
      <c r="BB61" s="94">
        <f t="shared" si="45"/>
        <v>546.93536517457858</v>
      </c>
      <c r="BC61" s="169">
        <f>+BC60</f>
        <v>1121</v>
      </c>
      <c r="BD61" s="169">
        <f>+BD60</f>
        <v>1352</v>
      </c>
      <c r="BE61" s="95">
        <f>+BE60</f>
        <v>940</v>
      </c>
      <c r="BF61" s="95">
        <f t="shared" si="283"/>
        <v>550</v>
      </c>
      <c r="BG61" s="94">
        <f t="shared" si="56"/>
        <v>990.75</v>
      </c>
      <c r="BH61" s="95">
        <f>+BH60</f>
        <v>87.63</v>
      </c>
      <c r="BI61" s="97">
        <v>25</v>
      </c>
      <c r="BJ61" s="78">
        <f t="shared" si="57"/>
        <v>112.63</v>
      </c>
      <c r="BK61" s="7">
        <v>94.305000000000007</v>
      </c>
      <c r="BL61" s="7">
        <v>103.95</v>
      </c>
      <c r="BM61" s="94">
        <f t="shared" si="58"/>
        <v>99.127499999999998</v>
      </c>
      <c r="BN61" s="5">
        <v>18.22</v>
      </c>
      <c r="BO61" s="5">
        <v>76.67</v>
      </c>
      <c r="BP61" s="5">
        <v>61.65</v>
      </c>
      <c r="BQ61" s="94">
        <f t="shared" si="59"/>
        <v>75.168000000000006</v>
      </c>
      <c r="BR61" s="7">
        <v>63.11</v>
      </c>
      <c r="BS61" s="7">
        <v>190</v>
      </c>
      <c r="BT61" s="7">
        <v>116.62</v>
      </c>
      <c r="BU61" s="79">
        <f t="shared" si="237"/>
        <v>2629.86</v>
      </c>
      <c r="BV61" s="7">
        <v>110.8</v>
      </c>
      <c r="BW61" s="7">
        <v>235</v>
      </c>
      <c r="BY61" s="92">
        <f>BY$10*(1+((H61/H$10-1)*costos!$B$5+((I61*F61)/(I$10*F$10)-1)*costos!$E$5+((J61*F61)/((J$10*F$10)-1)*costos!$F$5/3+((K61*F61)/(K$10*F$10)-1)*costos!$F$5/3+((U61*F61)/(U$10*F$10)-1)*costos!$F$5/3+((L61*F61)/(L$10*F$10)-1)*costos!$G$5+((N61*F61)/(N$10*F$10)-1)*costos!$J$5+((V61*F61)/(V$10*F$10)-1)*costos!$K$5)))</f>
        <v>428.45727319686011</v>
      </c>
      <c r="BZ61" s="92">
        <f>$BZ$10*(1+((H61/$H$10-1)*costos!$B$6+((I61*F61)/($I$10*$F$10)-1)*costos!$E$6+((J61*F61)/(($J$10*$F$10)-1)*costos!$F$6/3+((K61*F61)/($K$10*$F$10)-1)*costos!$F$6/3+((U61*F61)/($U$10*$F$10)-1)*costos!$F$6/3+((L61*F61)/($L$10*$F$10)-1)*costos!$G$6+((Q61*F61)/($Q$10*$F$10)-1)*costos!$J$6+((V61*F61)/($V$10*$F$10)-1)*costos!$K$6)))</f>
        <v>428.92243560694538</v>
      </c>
      <c r="CA61" s="92">
        <f>CA$10*(1+((H61/H$10-1)*costos!$B$7+((I61*F61)/(I$10*F$10)-1)*costos!$E$7+((J61*F61)/((J$10*F$10)-1)*costos!$F$7/3+((K61*F61)/(K$10*F$10)-1)*costos!$F$7/3+((U61*F61)/(U$10*F$10)-1)*costos!$F$7/3+((L61*F61)/(L$10*F$10)-1)*costos!$G$7+((S61*F61)/(S$10*F$10)-1)*costos!$J$7+((V61*F61)/(V$10*F$10)-1)*costos!$K$7)))</f>
        <v>438.28227117753721</v>
      </c>
      <c r="CB61" s="92">
        <f>CB$10*(1+((H61/H$10-1)*costos!$B$8+((I61*F61)/(I$10*F$10)-1)*costos!$E$8+((J61*F61)/((J$10*F$10)-1)*costos!$F$8/3+((K61*F61)/(K$10*F$10)-1)*costos!$F$8/3+((U61*F61)/(U$10*F$10)-1)*costos!$F$8/3+((L61*F61)/(L$10*F$10)-1)*costos!$G$8+((T61*F61)/(T$10*F$10)-1)*costos!$J$8+((V61*F61)/(V$10*F$10)-1)*costos!$K$8)))</f>
        <v>427.9696064312908</v>
      </c>
      <c r="CC61" s="92">
        <f>CC$10*(1+((H61/H$10-1)*costos!$B$9+((I61*F61)/(I$10*F$10)-1)*costos!$E$9+((J61*F61)/((J$10*F$10)-1)*costos!$F$9/3+((K61*F61)/(K$10*F$10)-1)*costos!$F$9/3+((U61*F61)/(U$10*F$10)-1)*costos!$F$9/3+((L61*F61)/(L$10*F$10)-1)*costos!$G$9+((U61*F61)/(U$10*F$10)-1)*costos!$J$9+((V61*F61)/(V$10*F$10)-1)*costos!$K$9)))</f>
        <v>430.66787828850028</v>
      </c>
      <c r="CD61" s="92">
        <f>CD$10*(1+((H61/H$10-1)*costos!$B$11+((I61*F61)/(I$10*F$10)-1)*costos!$E$11+((J61*F61)/((J$10*F$10)-1)*costos!$F$11/3+((K61*F61)/(K$10*F$10)-1)*costos!$F$11/3+((U61*F61)/(U$10*F$10)-1)*costos!$F$11/3+((L61*F61)/(L$10*F$10)-1)*costos!$G$11+((V61*F61)/(V$10*F$10)-1)*costos!$J$11+((V61*F61)/(V$10*F$10)-1)*costos!$K$11)))</f>
        <v>438.9341226758022</v>
      </c>
      <c r="CE61" s="92">
        <f>CE$10*(1+((H61/H$10-1)*costos!$B$12+((I61*F61)/(I$10*F$10)-1)*costos!$E$12+((J61*F61)/((J$10*F$10)-1)*costos!$F$12/3+((K61*F61)/(K$10*F$10)-1)*costos!$F$12/3+((U61*F61)/(U$10*F$10)-1)*costos!$F$12/3+((L61*F61)/(L$10*F$10)-1)*costos!$G$12+((W61*F61)/(W$10*F$10)-1)*costos!$J$12+((V61*F61)/(V$10*F$10)-1)*costos!$K$12)))</f>
        <v>413.41286628607577</v>
      </c>
      <c r="CF61" s="92">
        <f>CF$10*(1+((H61/H$10-1)*costos!$B$13+((I61*F61)/(I$10*F$10)-1)*costos!$E$13+((J61*F61)/((J$10*F$10)-1)*costos!$F$13/3+((K61*F61)/(K$10*F$10)-1)*costos!$F$13/3+((U61*F61)/(U$10*F$10)-1)*costos!$F$13/3+((L61*F61)/(L$10*F$10)-1)*costos!$G$13+((X61*F61)/(X$10*F$10)-1)*costos!$J$13+((V61*F61)/(V$10*F$10)-1)*costos!$K$13)))</f>
        <v>461.35326722183015</v>
      </c>
      <c r="CG61" s="92">
        <f t="shared" ref="CG61:CG68" si="299">+AVERAGE(CA61:CF61)</f>
        <v>435.10333534683946</v>
      </c>
      <c r="CH61" s="92">
        <f>CH$10*(1+((H61/H$10-1)*costos!$B$10+((I61*F61)/(I$10*F$10)-1)*costos!$E$10+((J61*F61)/((J$10*F$10)-1)*costos!$F$10/3+((K61*F61)/(K$10*F$10)-1)*costos!$F$10/3+((U61*F61)/(U$10*F$10)-1)*costos!$F$10/3+((L61*F61)/(L$10*F$10)-1)*costos!$G$10+((AF61)/(AF$10)-1)*costos!$J$10+((V61*F61)/(V$10*F$10)-1)*costos!$K$10)))</f>
        <v>514.2827777593609</v>
      </c>
      <c r="CI61" s="92">
        <f>CI$10*(1+((H61/H$10-1)*costos!$B$15+((I61*F61)/(I$10*F$10)-1)*costos!$E$15+((J61*F61)/((J$10*F$10)-1)*costos!$F$15/3+((K61*F61)/(K$10*F$10)-1)*costos!$F$15/3+((U61*F61)/(U$10*F$10)-1)*costos!$F$15/3+((L61*F61)/(L$10*F$10)-1)*costos!$G$15+((AV61)/(AV$10)-1)*costos!$J$15+((V61*F61)/(V$10*F$10)-1)*costos!$K$15)))</f>
        <v>449.94368969901439</v>
      </c>
      <c r="CJ61" s="92">
        <f>CJ$10*(1+((H61/H$10-1)*costos!$B$16+((I61*F61)/(I$10*F$10)-1)*costos!$E$16+((J61*F61)/((J$10*F$10)-1)*costos!$F$16/3+((K61*F61)/(K$10*F$10)-1)*costos!$F$16/3+((U61*F61)/(U$10*F$10)-1)*costos!$F$16/3+((L61*F61)/(L$10*F$10)-1)*costos!$G$16+((AW61)/(AW$10)-1)*costos!$J$16+((V61*F61)/(V$10*F$10)-1)*costos!$K$16)))</f>
        <v>421.93012900261755</v>
      </c>
      <c r="CK61" s="92">
        <f>CK$10*(1+((H61/H$10-1)*costos!$B$17+((I61*F61)/(I$10*F$10)-1)*costos!$E$17+((J61*F61)/((J$10*F$10)-1)*costos!$F$17/3+((K61*F61)/(K$10*F$10)-1)*costos!$F$17/3+((U61*F61)/(U$10*F$10)-1)*costos!$F$17/3+((L61*F61)/(L$10*F$10)-1)*costos!$G$17+((AX61)/(AX$10)-1)*costos!$J$17+((V61*F61)/(V$10*F$10)-1)*costos!$K$17)))</f>
        <v>416.18340929806942</v>
      </c>
      <c r="CL61" s="92">
        <f>CL$10*(1+((H61/H$10-1)*costos!$B$18+((I61*F61)/(I$10*F$10)-1)*costos!$E$18+((J61*F61)/((J$10*F$10)-1)*costos!$F$18/3+((K61*F61)/(K$10*F$10)-1)*costos!$F$18/3+((U61*F61)/(U$10*F$10)-1)*costos!$F$18/3+((L61*F61)/(L$10*F$10)-1)*costos!$G$18+((AY61)/(AY$10)-1)*costos!$J$18+((V61*F61)/(V$10*F$10)-1)*costos!$K$18)))</f>
        <v>474.63407673294807</v>
      </c>
      <c r="CM61" s="92">
        <f>CM$10*(1+((H61/H$10-1)*costos!$B$19+((I61*F61)/(I$10*F$10)-1)*costos!$E$19+((J61*F61)/((J$10*F$10)-1)*costos!$F$19/3+((K61*F61)/(K$10*F$10)-1)*costos!$F$19/3+((U61*F61)/(U$10*F$10)-1)*costos!$F$19/3+((L61*F61)/(L$10*F$10)-1)*costos!$G$19+((AZ61)/(AZ$10)-1)*costos!$J$19+((V61*F61)/(V$10*F$10)-1)*costos!$K$19)))</f>
        <v>525.17899404595619</v>
      </c>
      <c r="CN61" s="92">
        <f>CN$10*(1+((H61/H$10-1)*costos!$B$20+((I61*F61)/(I$10*F$10)-1)*costos!$E$20+((J61*F61)/((J$10*F$10)-1)*costos!$F$20/3+((K61*F61)/(K$10*F$10)-1)*costos!$F$20/3+((U61*F61)/(U$10*F$10)-1)*costos!$F$20/3+((L61*F61)/(L$10*F$10)-1)*costos!$G$20+((BA61)/(BA$10)-1)*costos!$J$20+((V61*F61)/(V$10*F$10)-1)*costos!$K$20)))</f>
        <v>371.00578016794941</v>
      </c>
      <c r="CO61" s="92">
        <f t="shared" ref="CO61:CO68" si="300">+AVERAGE(CK61:CN61)</f>
        <v>446.75056506123076</v>
      </c>
      <c r="CP61" s="92">
        <f>CP$10*(1+((H61/H$10-1)*costos!$B$22+((I61*F61)/(I$10*F$10)-1)*costos!$E$22+((J61*F61)/((J$10*F$10)-1)*costos!$F$22/3+((K61*F61)/(K$10*F$10)-1)*costos!$F$22/3+((U61*F61)/(U$10*F$10)-1)*costos!$F$22/3+((L61*F61)/(L$10*F$10)-1)*costos!$G$22+(((AVERAGE(AI61:AL61))/((AVERAGE(AI$10:AL$10))-1)*costos!$J$22+((V61*F61)/(V$10*F$10)-1)*costos!$K$22)))))</f>
        <v>472.02324036797779</v>
      </c>
      <c r="CQ61" s="92">
        <f>CQ$10*(1+((H61/H$10-1)*costos!$B$23+((I61*F61)/(I$10*F$10)-1)*costos!$E$23+((J61*F61)/((J$10*F$10)-1)*costos!$F$23/3+((K61*F61)/(K$10*F$10)-1)*costos!$F$23/3+((U61*F61)/(U$10*F$10)-1)*costos!$F$23/3+((L61*F61)/(L$10*F$10)-1)*costos!$G$23+((AN61)/(AN$10)-1)*costos!$J$23+((V61*F61)/(V$10*F$10)-1)*costos!$K$23)))</f>
        <v>399.29341612053167</v>
      </c>
      <c r="CR61" s="92">
        <f>CR$10*(1+((H61/H$10-1)*costos!$B$24+((I61*F61)/(I$10*F$10)-1)*costos!$E$24+((J61*F61)/((J$10*F$10)-1)*costos!$F$24/3+((K61*F61)/(K$10*F$10)-1)*costos!$F$24/3+((U61*F61)/(U$10*F$10)-1)*costos!$F$24/3+((L61*F61)/(L$10*F$10)-1)*costos!$G$24+((AO61)/(AO$10)-1)*costos!$J$24+((V61*F61)/(V$10*F$10)-1)*costos!$K$24)))</f>
        <v>409.69849677123528</v>
      </c>
      <c r="CS61" s="92">
        <f t="shared" si="62"/>
        <v>404.49595644588351</v>
      </c>
      <c r="CT61" s="92">
        <f>CT$10*(1+((H61/H$10-1)*costos!$B$25+((I61*F61)/(I$10*F$10)-1)*costos!$E$25+((J61*F61)/((J$10*F$10)-1)*costos!$F$25/3+((K61*F61)/(K$10*F$10)-1)*costos!$F$25/3+((U61*F61)/(U$10*F$10)-1)*costos!$F$25/3+((L61*F61)/(L$10*F$10)-1)*costos!$G$25+((AQ61)/(AQ$10)-1)*costos!$J$25+((V61*F61)/(V$10*F$10)-1)*costos!$K$25)))</f>
        <v>399.7122892306561</v>
      </c>
      <c r="CU61" s="92">
        <f>CU$10*(1+((H61/H$10-1)*costos!$B$26+((I61*F61)/(I$10*F$10)-1)*costos!$E$26+((J61*F61)/((J$10*F$10)-1)*costos!$F$26/3+((K61*F61)/(K$10*F$10)-1)*costos!$F$26/3+((U61*F61)/(U$10*F$10)-1)*costos!$F$26/3+((L61*F61)/(L$10*F$10)-1)*costos!$G$26+((AR61)/(AR$10)-1)*costos!$J$26+((V61*F61)/(V$10*F$10)-1)*costos!$K$26)))</f>
        <v>409.11529858841249</v>
      </c>
      <c r="CV61" s="92">
        <f>CV$10*(1+((H61/H$10-1)*costos!$B$27+((I61*F61)/(I$10*F$10)-1)*costos!$E$27+((J61*F61)/((J$10*F$10)-1)*costos!$F$27/3+((K61*F61)/(K$10*F$10)-1)*costos!$F$27/3+((U61*F61)/(U$10*F$10)-1)*costos!$F$27/3+((L61*F61)/(L$10*F$10)-1)*costos!$G$27+((AS61)/(AS$10)-1)*costos!$J$27+((V61*F61)/(V$10*F$10)-1)*costos!$K$27)))</f>
        <v>424.22059786006389</v>
      </c>
      <c r="CW61" s="92">
        <f>CW$10*(1+((H61/H$10-1)*costos!$B$28+((I61*F61)/(I$10*F$10)-1)*costos!$E$28+((J61*F61)/((J$10*F$10)-1)*costos!$F$28/3+((K61*F61)/(K$10*F$10)-1)*costos!$F$28/3+((U61*F61)/(U$10*F$10)-1)*costos!$F$28/3+((L61*F61)/(L$10*F$10)-1)*costos!$G$28+((AS61)/(AS$10)-1)*costos!$J$28+((V61*F61)/(V$10*F$10)-1)*costos!$K$28)))</f>
        <v>424.22059786006389</v>
      </c>
      <c r="CX61" s="92">
        <f t="shared" ref="CX61:CX68" si="301">+AVERAGE(CU61:CW61)</f>
        <v>419.18549810284679</v>
      </c>
      <c r="CY61" s="92">
        <f>CY$10*(1+((H61/H$10-1)*costos!$B$32+((I61*F61)/(I$10*F$10)-1)*costos!$E$32+((J61*F61)/((J$10*F$10)-1)*costos!$F$32/3+((K61*F61)/(K$10*F$10)-1)*costos!$F$32/3+((U61*F61)/(U$10*F$10)-1)*costos!$F$32/3+((L61*F61)/(L$10*F$10)-1)*costos!$G$32+((AG61)/(AG$10)-1)*costos!$J$32+((V61*F61)/(V$10*F$10)-1)*costos!$K$32)))</f>
        <v>413.0406910067581</v>
      </c>
      <c r="CZ61" s="69">
        <f>CZ$10*(1+((H61/H$10-1)*costos!$B$31+((I61*F61)/(I$10*F$10)-1)*costos!$E$30+((J61*F61)/((J$10*F$10)-1)*costos!$F$30/3+((K61*F61)/(K$10*F$10)-1)*costos!$F$30/3+((U61*F61)/(U$10*F$10)-1)*costos!$F$30/3+((L61*F61)/(L$10*F$10)-1)*costos!$G$30+((BG61)/(BG$10)-1)*costos!$J$30+((V61*F61)/(V$10*F$10)-1)*costos!$K$30)))</f>
        <v>490.5062067672377</v>
      </c>
      <c r="DA61" s="69">
        <f>DA$10*(1+((H61/H$10-1)*costos!$B$31+((I61*F61)/(I$10*F$10)-1)*costos!$E$31+((J61*F61)/((J$10*F$10)-1)*costos!$F$31/3+((K61*F61)/(K$10*F$10)-1)*costos!$F$31/3+((U61*F61)/(U$10*F$10)-1)*costos!$F$31/3+((L61*F61)/(L$10*F$10)-1)*costos!$G$31+((BJ61)/(BJ$10)-1)*costos!$J$31+((V61*F61)/(V$10*F$10)-1)*costos!$K$31)))</f>
        <v>413.20178363292115</v>
      </c>
      <c r="DB61" s="69">
        <f>DB$10*(1+((H61/H$10-1)*costos!$B$36+((I61*F61)/(I$10*F$10)-1)*costos!$E$36+((J61*F61)/((J$10*F$10)-1)*costos!$F$36/3+((K61*F61)/(K$10*F$10)-1)*costos!$F$36/3+((U61*F61)/(U$10*F$10)-1)*costos!$F$36/3+((L61*F61)/(L$10*F$10)-1)*costos!$G$36+((BK61)/(BK$10)-1)*costos!$J$36+((V61*F61)/(V$10*F$10)-1)*costos!$K$36)))</f>
        <v>421.07346090178794</v>
      </c>
      <c r="DC61" s="69">
        <f>DC$10*(1+((H61/H$10-1)*costos!$B$37+((I61*F61)/(I$10*F$10)-1)*costos!$E$37+((U61*F61)/(U$10*F$10)-1)*costos!$F$37+((L61*F61)/(L$10*F$10)-1)*costos!$G$37+((BN61)/(BN$10)-1)*costos!$J$37+((V61*F61)/(V$10*F$10)-1)*costos!$K$37))</f>
        <v>446.6823313892977</v>
      </c>
      <c r="DD61" s="69">
        <f>DD$10*(1+((H61/H$10-1)*costos!$B$39+((I61*F61)/(I$10*F$10)-1)*costos!$E$39+((U61*F61)/(U$10*F$10)-1)*costos!$F$39+((L61*F61)/(L$10*F$10)-1)*costos!$G$39+((BR61)/(BR$10)-1)*costos!$J$39+((V61*F61)/(V$10*F$10)-1)*costos!$K$39))</f>
        <v>434.38102430120205</v>
      </c>
      <c r="DE61" s="69">
        <f>DD$10*(1+((H61/H$10-1)*costos!$B$35+((I61*F61)/(I$10*F$10)-1)*costos!$E$35+((U61*F61)/(U$10*F$10)-1)*costos!$F$35+((L61*F61)/(L$10*F$10)-1)*costos!$G$35+((BR61)/(BR$10)-1)*costos!$J$35+((V61*F61)/(V$10*F$10)-1)*costos!$K$35))</f>
        <v>395.17938352227344</v>
      </c>
      <c r="DF61" s="69">
        <f>DF$10*(1+((H61/H$10-1)*costos!$B$40+((I61*F61)/(I$10*F$10)-1)*costos!$E$40+((U61*F61)/(U$10*F$10)-1)*costos!$F$40+((L61*F61)/(L$10*F$10)-1)*costos!$G$40+((BP61)/(BP$10)-1)*costos!$J$40+((V61*F61)/(V$10*F$10)-1)*costos!$K$40))</f>
        <v>444.6493245276929</v>
      </c>
      <c r="DG61" s="92">
        <f t="shared" ref="DG61:DG68" si="302">+((DE61/$DE$10)*100+DF61)/2</f>
        <v>419.91435402498314</v>
      </c>
      <c r="DH61" s="69">
        <f>DH$10*(1+((H61/H$10-1)*costos!$B$34+((I61*F61)/(I$10*F$10)-1)*costos!$E$34+((J61*F61)/((J$10*F$10)-1)*costos!$F$34/3+((K61*F61)/(K$10*F$10)-1)*costos!$F$34/3+((U61*F61)/(U$10*F$10)-1)*costos!$F$34/3+((L61*F61)/(L$10*F$10)-1)*costos!$G$34+((BV61)/(BV$10)-1)*costos!$J$34+((V61*F61)/(V$10*F$10)-1)*costos!$K$34)))</f>
        <v>428.70876883590984</v>
      </c>
      <c r="DI61" s="69">
        <f>DI$10*(1+((H61/H$10-1)*costos!$B$38+((I61*F61)/(I$10*F$10)-1)*costos!$E$38+((J61*F61)/((J$10*F$10)-1)*costos!$F$38/3+((K61*F61)/(K$10*F$10)-1)*costos!$F$38/3+((U61*F61)/(U$10*F$10)-1)*costos!$F$38/3+((L61*F61)/(L$10*F$10)-1)*costos!$G$38+((BU61)/(BU$10)-1)*costos!$J$38+((V61*F61)/(V$10*F$10)-1)*costos!$K$38)))</f>
        <v>400.89405337299644</v>
      </c>
      <c r="DK61" s="1">
        <v>450000</v>
      </c>
      <c r="DL61" s="1" t="s">
        <v>323</v>
      </c>
      <c r="DM61" s="1">
        <v>190000</v>
      </c>
      <c r="DN61" s="1" t="s">
        <v>323</v>
      </c>
      <c r="DO61" s="1">
        <v>1270000</v>
      </c>
      <c r="DP61" s="1" t="s">
        <v>323</v>
      </c>
      <c r="DQ61" s="1">
        <v>1600000</v>
      </c>
      <c r="DR61" s="1" t="s">
        <v>323</v>
      </c>
      <c r="DS61" s="1">
        <v>6300000</v>
      </c>
      <c r="DT61" s="1" t="s">
        <v>323</v>
      </c>
      <c r="DU61" s="1">
        <v>17200000</v>
      </c>
      <c r="DV61" s="1" t="s">
        <v>323</v>
      </c>
      <c r="DW61" s="1">
        <v>510000</v>
      </c>
      <c r="DX61" s="1" t="s">
        <v>323</v>
      </c>
      <c r="DY61" s="1">
        <v>6950000</v>
      </c>
      <c r="DZ61" s="1" t="s">
        <v>323</v>
      </c>
      <c r="EA61" s="79">
        <f t="shared" si="67"/>
        <v>33830000</v>
      </c>
      <c r="EB61" s="1">
        <v>351733</v>
      </c>
      <c r="EC61" s="1" t="s">
        <v>323</v>
      </c>
      <c r="ED61" s="1">
        <v>174820</v>
      </c>
      <c r="EE61" s="143">
        <v>2020</v>
      </c>
      <c r="EF61" s="1">
        <v>214798</v>
      </c>
      <c r="EG61" s="6">
        <v>2020</v>
      </c>
      <c r="EH61" s="1">
        <v>54460799</v>
      </c>
      <c r="EI61" s="6">
        <v>2020</v>
      </c>
      <c r="EJ61" s="1">
        <v>5377071</v>
      </c>
      <c r="EK61" s="6">
        <f t="shared" si="285"/>
        <v>2020</v>
      </c>
      <c r="EL61" s="1">
        <v>14339908</v>
      </c>
      <c r="EM61" s="6">
        <v>2018</v>
      </c>
      <c r="EN61" s="1">
        <v>3201657</v>
      </c>
      <c r="EO61" s="6">
        <v>2019</v>
      </c>
      <c r="EP61" s="82">
        <f t="shared" si="286"/>
        <v>6552</v>
      </c>
      <c r="EQ61" s="83">
        <f t="shared" si="286"/>
        <v>3257556</v>
      </c>
      <c r="ER61" s="1">
        <f t="shared" si="189"/>
        <v>33739</v>
      </c>
      <c r="ES61" s="1"/>
      <c r="ET61" s="83">
        <f t="shared" si="289"/>
        <v>19456</v>
      </c>
      <c r="EU61" s="83">
        <f t="shared" si="289"/>
        <v>17935</v>
      </c>
      <c r="EV61" s="83">
        <f t="shared" si="289"/>
        <v>9101</v>
      </c>
      <c r="EW61" s="83">
        <f t="shared" si="289"/>
        <v>17303</v>
      </c>
      <c r="EX61" s="79">
        <f t="shared" si="72"/>
        <v>63795</v>
      </c>
      <c r="EY61" s="83">
        <f t="shared" si="290"/>
        <v>19804</v>
      </c>
      <c r="EZ61" s="82">
        <f t="shared" si="290"/>
        <v>79940</v>
      </c>
      <c r="FA61" s="82">
        <f t="shared" si="290"/>
        <v>20476</v>
      </c>
      <c r="FB61" s="82">
        <f t="shared" si="290"/>
        <v>18080</v>
      </c>
      <c r="FC61" s="79">
        <f t="shared" si="295"/>
        <v>38556</v>
      </c>
      <c r="FD61" s="83">
        <f t="shared" si="158"/>
        <v>59152.38</v>
      </c>
      <c r="FE61" s="1"/>
      <c r="FF61" s="1">
        <v>1080000</v>
      </c>
      <c r="FG61" s="1" t="s">
        <v>323</v>
      </c>
      <c r="FH61" s="1">
        <v>1200000</v>
      </c>
      <c r="FI61" s="1" t="s">
        <v>323</v>
      </c>
      <c r="FJ61" s="1">
        <v>3800000</v>
      </c>
      <c r="FK61" s="1" t="s">
        <v>323</v>
      </c>
      <c r="FL61" s="1">
        <v>3300000</v>
      </c>
      <c r="FM61" s="1" t="s">
        <v>323</v>
      </c>
      <c r="FN61" s="1">
        <v>50000000</v>
      </c>
      <c r="FO61" s="1" t="s">
        <v>323</v>
      </c>
      <c r="FP61" s="1">
        <v>50000000</v>
      </c>
      <c r="FQ61" s="1" t="s">
        <v>323</v>
      </c>
      <c r="FR61" s="1">
        <v>1600000</v>
      </c>
      <c r="FS61" s="1" t="s">
        <v>323</v>
      </c>
      <c r="FT61" s="1">
        <v>19775000</v>
      </c>
      <c r="FU61" s="1" t="s">
        <v>323</v>
      </c>
      <c r="FV61" s="79">
        <f t="shared" si="76"/>
        <v>128475000</v>
      </c>
      <c r="FW61" s="1">
        <v>1261214</v>
      </c>
      <c r="FX61" s="1" t="s">
        <v>323</v>
      </c>
      <c r="FY61" s="83">
        <v>120080</v>
      </c>
      <c r="FZ61" s="79">
        <f t="shared" si="135"/>
        <v>825483.57400000014</v>
      </c>
      <c r="GA61" s="86" t="str">
        <f t="shared" si="271"/>
        <v>may19 abr20</v>
      </c>
      <c r="GB61" s="83">
        <v>20557455</v>
      </c>
      <c r="GC61" s="6">
        <v>2020</v>
      </c>
      <c r="GD61" s="83">
        <f t="shared" si="265"/>
        <v>1974652</v>
      </c>
      <c r="GE61" s="83">
        <f t="shared" si="265"/>
        <v>367136</v>
      </c>
      <c r="GF61" s="83">
        <v>957160</v>
      </c>
      <c r="GG61" s="83">
        <f t="shared" si="268"/>
        <v>89049</v>
      </c>
      <c r="GH61" s="79">
        <f t="shared" si="240"/>
        <v>1413345</v>
      </c>
      <c r="GI61" s="82">
        <f t="shared" si="232"/>
        <v>1302556</v>
      </c>
      <c r="GJ61" s="83">
        <f t="shared" si="215"/>
        <v>666015</v>
      </c>
      <c r="GK61" s="83">
        <f t="shared" si="216"/>
        <v>1221000</v>
      </c>
      <c r="GL61" s="83">
        <f t="shared" si="217"/>
        <v>294346.89</v>
      </c>
      <c r="GM61" s="83">
        <f t="shared" si="218"/>
        <v>260133.24</v>
      </c>
      <c r="GN61" s="79">
        <f t="shared" si="81"/>
        <v>2441495.13</v>
      </c>
      <c r="GO61" s="83">
        <f t="shared" si="291"/>
        <v>198452.81</v>
      </c>
      <c r="GP61" s="83">
        <f t="shared" si="291"/>
        <v>73538</v>
      </c>
      <c r="GQ61" s="83">
        <v>75621</v>
      </c>
      <c r="GR61" s="83">
        <v>42000</v>
      </c>
      <c r="GS61" s="79">
        <f t="shared" si="192"/>
        <v>44268.63</v>
      </c>
      <c r="GT61" s="83">
        <f t="shared" si="296"/>
        <v>2884000</v>
      </c>
      <c r="GU61" s="1">
        <v>87281</v>
      </c>
      <c r="GV61" s="1">
        <v>98586</v>
      </c>
      <c r="GW61" s="79">
        <f t="shared" si="261"/>
        <v>1181443</v>
      </c>
      <c r="GX61" s="1">
        <v>34954.608</v>
      </c>
      <c r="GY61" s="1" t="s">
        <v>340</v>
      </c>
      <c r="GZ61" s="1">
        <v>112856</v>
      </c>
      <c r="HA61" s="1">
        <v>260198</v>
      </c>
      <c r="HB61" s="79">
        <f t="shared" si="241"/>
        <v>3143076.0869999998</v>
      </c>
      <c r="HC61" s="86" t="str">
        <f t="shared" si="272"/>
        <v>may19 abr20</v>
      </c>
      <c r="HD61" s="1">
        <v>49121</v>
      </c>
      <c r="HE61" s="79">
        <f t="shared" si="139"/>
        <v>625890</v>
      </c>
      <c r="HF61" s="86" t="str">
        <f t="shared" si="273"/>
        <v>may19 abr20</v>
      </c>
      <c r="HG61" s="83">
        <v>201000</v>
      </c>
      <c r="HH61" s="79">
        <f t="shared" si="242"/>
        <v>2246000</v>
      </c>
      <c r="HI61" s="86" t="str">
        <f t="shared" si="274"/>
        <v>may19 abr20</v>
      </c>
      <c r="HJ61" s="83">
        <v>65243</v>
      </c>
      <c r="HK61" s="79">
        <f t="shared" si="278"/>
        <v>58032.777600000001</v>
      </c>
      <c r="HL61" s="86" t="str">
        <f t="shared" si="275"/>
        <v>may19 abr20</v>
      </c>
      <c r="HM61" s="79">
        <f t="shared" si="86"/>
        <v>2304032.7776000001</v>
      </c>
      <c r="HN61" s="87">
        <f t="shared" si="297"/>
        <v>7.6943954403582593E-2</v>
      </c>
      <c r="HO61" s="1">
        <v>793600000</v>
      </c>
      <c r="HP61" s="79">
        <f t="shared" si="153"/>
        <v>10595.6</v>
      </c>
      <c r="HQ61" s="86" t="str">
        <f t="shared" si="276"/>
        <v>may19 abr20</v>
      </c>
      <c r="HR61" s="1"/>
      <c r="HS61" s="1"/>
      <c r="HT61" s="1"/>
      <c r="HU61" s="1">
        <v>650000</v>
      </c>
      <c r="HV61" s="1" t="s">
        <v>323</v>
      </c>
      <c r="HW61" s="1">
        <v>1300000</v>
      </c>
      <c r="HX61" s="1" t="s">
        <v>323</v>
      </c>
      <c r="HY61" s="1">
        <v>3000000</v>
      </c>
      <c r="HZ61" s="1" t="s">
        <v>323</v>
      </c>
      <c r="IA61" s="1">
        <f>(3.89+17.53)*1000000</f>
        <v>21420000</v>
      </c>
      <c r="IB61" s="1" t="s">
        <v>323</v>
      </c>
      <c r="IC61" s="1">
        <v>46000000</v>
      </c>
      <c r="ID61" s="1" t="s">
        <v>323</v>
      </c>
      <c r="IE61" s="1">
        <f t="shared" si="281"/>
        <v>1150000</v>
      </c>
      <c r="IF61" s="1" t="s">
        <v>323</v>
      </c>
      <c r="IG61" s="1">
        <f t="shared" si="282"/>
        <v>7500000</v>
      </c>
      <c r="IH61" s="1" t="s">
        <v>323</v>
      </c>
      <c r="II61" s="79">
        <f t="shared" si="87"/>
        <v>80370000</v>
      </c>
      <c r="IJ61" s="97">
        <f t="shared" si="298"/>
        <v>1.6786218979067327</v>
      </c>
      <c r="IK61" s="1" t="s">
        <v>323</v>
      </c>
      <c r="IL61" s="98">
        <v>50.01</v>
      </c>
      <c r="IM61" s="98">
        <v>53.11</v>
      </c>
      <c r="IN61" s="98">
        <v>182</v>
      </c>
      <c r="IO61" s="696">
        <v>13.37</v>
      </c>
      <c r="IP61" s="176">
        <f t="shared" si="292"/>
        <v>5.7853601487586115</v>
      </c>
      <c r="IQ61" s="7">
        <v>20.7</v>
      </c>
      <c r="IR61" s="98">
        <f t="shared" si="293"/>
        <v>4.79</v>
      </c>
      <c r="IS61" s="98">
        <f t="shared" si="293"/>
        <v>5.29</v>
      </c>
      <c r="IT61" s="98">
        <f t="shared" si="293"/>
        <v>12.22</v>
      </c>
      <c r="IU61" s="98">
        <f t="shared" si="293"/>
        <v>0.38</v>
      </c>
      <c r="IV61" s="94">
        <f t="shared" si="89"/>
        <v>17.89</v>
      </c>
      <c r="IW61" s="1"/>
      <c r="IX61" s="1"/>
      <c r="IY61" s="105">
        <v>1.86</v>
      </c>
      <c r="IZ61" s="161">
        <v>0.1</v>
      </c>
      <c r="JA61" s="83">
        <v>1000</v>
      </c>
      <c r="JB61" s="7">
        <v>44.74</v>
      </c>
      <c r="JC61" s="1"/>
      <c r="JD61" s="1"/>
      <c r="JE61" s="99"/>
      <c r="JF61" s="2">
        <v>4.1815804999999999</v>
      </c>
      <c r="JG61" s="2">
        <v>17.37468273</v>
      </c>
      <c r="JH61" s="2">
        <v>113.56215294</v>
      </c>
      <c r="JI61" s="2">
        <v>119.96912813</v>
      </c>
      <c r="JJ61" s="2">
        <v>789.59483255000009</v>
      </c>
      <c r="JK61" s="2">
        <v>91.713663970000013</v>
      </c>
      <c r="JL61" s="2">
        <v>1614.3755280600001</v>
      </c>
      <c r="JM61" s="2">
        <v>0.31806361999999999</v>
      </c>
      <c r="JN61" s="2">
        <v>178.15587208999997</v>
      </c>
      <c r="JO61" s="2">
        <v>7.9642058900000015</v>
      </c>
      <c r="JP61" s="2">
        <v>2.5000000000000001E-3</v>
      </c>
      <c r="JQ61" s="2">
        <v>7.5841782800000006</v>
      </c>
      <c r="JR61" s="2">
        <v>1.74036872</v>
      </c>
      <c r="JS61" s="2">
        <v>0</v>
      </c>
      <c r="JT61" s="2">
        <v>1.07819256</v>
      </c>
      <c r="JU61" s="2">
        <v>79.732539270000032</v>
      </c>
      <c r="JV61" s="2">
        <v>17.445282329999998</v>
      </c>
      <c r="JW61" s="2">
        <v>34.728695289999997</v>
      </c>
      <c r="JX61" s="2">
        <v>44.360388380000003</v>
      </c>
      <c r="JY61" s="2">
        <v>0</v>
      </c>
      <c r="JZ61" s="2">
        <v>2.28266649</v>
      </c>
      <c r="KA61" s="2">
        <v>0.19</v>
      </c>
      <c r="KB61" s="2">
        <v>12.288541390000002</v>
      </c>
      <c r="KC61" s="2">
        <v>7.9021752000000012</v>
      </c>
      <c r="KD61" s="2">
        <v>9.496012679999998</v>
      </c>
      <c r="KE61" s="2">
        <v>21.827149019999997</v>
      </c>
      <c r="KF61" s="2">
        <v>37.347412769999998</v>
      </c>
      <c r="KG61" s="2">
        <v>269.10584264000005</v>
      </c>
      <c r="KH61" s="2">
        <v>76.785908429999992</v>
      </c>
      <c r="KI61" s="2">
        <v>17.840212600000001</v>
      </c>
      <c r="KJ61" s="2">
        <v>5.2826976200000004</v>
      </c>
      <c r="KK61" s="2">
        <v>2.6196968699999998</v>
      </c>
      <c r="KL61" s="2">
        <v>0.18711781000000002</v>
      </c>
      <c r="KM61" s="2">
        <v>7.48203891</v>
      </c>
      <c r="KN61" s="2">
        <v>1.0049140000000002E-2</v>
      </c>
      <c r="KO61" s="2">
        <v>0.51085855000000002</v>
      </c>
      <c r="KP61" s="2">
        <v>6.11204E-3</v>
      </c>
      <c r="KQ61" s="2">
        <v>133.77880707</v>
      </c>
      <c r="KR61" s="2">
        <v>0</v>
      </c>
      <c r="KS61" s="2">
        <v>0.28701381999999998</v>
      </c>
      <c r="KT61" s="2">
        <v>2.6714297199999999</v>
      </c>
      <c r="KU61" s="2">
        <v>0.41988554</v>
      </c>
      <c r="KV61" s="2">
        <v>0</v>
      </c>
      <c r="KW61" s="2">
        <v>3.0954254400000001</v>
      </c>
      <c r="KX61" s="2">
        <v>0</v>
      </c>
      <c r="KY61" s="2">
        <v>0</v>
      </c>
      <c r="KZ61" s="2">
        <v>0.35275089999999998</v>
      </c>
      <c r="LA61" s="2">
        <v>0.37646387999999997</v>
      </c>
      <c r="LB61" s="2">
        <v>0</v>
      </c>
      <c r="LC61" s="2">
        <v>5.5610299999999998E-3</v>
      </c>
      <c r="LD61" s="2">
        <v>0</v>
      </c>
      <c r="LE61" s="2">
        <v>0.15733821000000001</v>
      </c>
      <c r="LF61" s="2">
        <v>0.32970769999999999</v>
      </c>
      <c r="LG61" s="2">
        <v>16.599078539999997</v>
      </c>
      <c r="LH61" s="2">
        <v>0.83761540000000001</v>
      </c>
      <c r="LI61" s="2">
        <v>1.9110141399999998</v>
      </c>
      <c r="LJ61" s="2">
        <v>0</v>
      </c>
      <c r="LK61" s="2">
        <v>2.10778986</v>
      </c>
      <c r="LL61" s="2">
        <v>4.1773285500000004</v>
      </c>
      <c r="LM61" s="2">
        <v>0.65097482000000007</v>
      </c>
      <c r="LN61" s="2">
        <v>0.15020849999999999</v>
      </c>
      <c r="LO61" s="2">
        <v>5.26046557</v>
      </c>
      <c r="LQ61" s="85">
        <f t="shared" si="247"/>
        <v>2815.9755773899997</v>
      </c>
      <c r="LR61" s="85">
        <f t="shared" si="248"/>
        <v>10.402739560000001</v>
      </c>
      <c r="LS61" s="85">
        <f t="shared" si="249"/>
        <v>52.173977619999995</v>
      </c>
      <c r="LT61" s="85">
        <f t="shared" si="250"/>
        <v>2.4726664899999999</v>
      </c>
      <c r="LU61" s="85">
        <f t="shared" si="251"/>
        <v>142.06876749</v>
      </c>
      <c r="LV61" s="85">
        <f t="shared" si="252"/>
        <v>3.0954254400000001</v>
      </c>
      <c r="LW61" s="85">
        <f t="shared" si="253"/>
        <v>0.37646387999999997</v>
      </c>
      <c r="LX61" s="85">
        <f t="shared" si="254"/>
        <v>0.48704590999999997</v>
      </c>
      <c r="LZ61" s="131">
        <v>78.97</v>
      </c>
      <c r="MA61" s="171">
        <v>70.13</v>
      </c>
      <c r="MB61"/>
      <c r="MC61"/>
      <c r="MD61"/>
      <c r="MF61"/>
      <c r="MG61"/>
      <c r="MH61" s="83">
        <v>116.52</v>
      </c>
      <c r="MI61" s="83">
        <v>43.7</v>
      </c>
      <c r="MJ61" s="83">
        <v>36.65</v>
      </c>
      <c r="MK61"/>
      <c r="ML61" s="83">
        <v>42.39</v>
      </c>
      <c r="MM61" s="83">
        <v>82.85</v>
      </c>
      <c r="MN61" s="83"/>
      <c r="MO61" s="83">
        <v>38.54</v>
      </c>
      <c r="MP61" s="83">
        <v>64.27</v>
      </c>
      <c r="MQ61" s="83">
        <v>82.09</v>
      </c>
      <c r="MR61"/>
      <c r="MT61" s="83"/>
      <c r="MU61" s="83">
        <v>54.89</v>
      </c>
      <c r="MV61"/>
      <c r="MW61"/>
      <c r="MX61"/>
      <c r="MY61" s="83">
        <v>113.61</v>
      </c>
      <c r="MZ61" s="83">
        <v>264</v>
      </c>
      <c r="NA61" s="83">
        <v>120.74</v>
      </c>
      <c r="NB61" s="83">
        <v>350.72</v>
      </c>
      <c r="NC61" s="83">
        <v>54.84</v>
      </c>
      <c r="ND61"/>
      <c r="NE61" s="1">
        <v>281.27999999999997</v>
      </c>
    </row>
    <row r="62" spans="1:369">
      <c r="A62" s="38">
        <f t="shared" si="219"/>
        <v>43952</v>
      </c>
      <c r="B62" s="36">
        <f t="shared" si="287"/>
        <v>5</v>
      </c>
      <c r="C62" s="36">
        <f t="shared" si="288"/>
        <v>2020</v>
      </c>
      <c r="D62" s="36">
        <f t="shared" si="50"/>
        <v>62</v>
      </c>
      <c r="E62" s="38">
        <f t="shared" si="220"/>
        <v>43952</v>
      </c>
      <c r="F62" s="7">
        <v>69.709999999999994</v>
      </c>
      <c r="G62" s="97">
        <v>314.90870000000001</v>
      </c>
      <c r="H62" s="1">
        <f>[2]NACIONALES!$D50</f>
        <v>31771.74</v>
      </c>
      <c r="I62" s="7">
        <v>79</v>
      </c>
      <c r="J62" s="7">
        <v>370</v>
      </c>
      <c r="K62" s="7">
        <v>3.3</v>
      </c>
      <c r="L62" s="7">
        <v>22.5</v>
      </c>
      <c r="N62" s="5">
        <v>1.0821000000000001</v>
      </c>
      <c r="O62" s="5">
        <v>0.81599999999999995</v>
      </c>
      <c r="P62" s="78">
        <f t="shared" si="294"/>
        <v>62.850361724999992</v>
      </c>
      <c r="Q62" s="6">
        <v>1475</v>
      </c>
      <c r="R62" s="79">
        <f t="shared" si="222"/>
        <v>14750</v>
      </c>
      <c r="S62" s="6">
        <f>8968.62/F62</f>
        <v>128.6561468942763</v>
      </c>
      <c r="T62" s="6">
        <v>247.63</v>
      </c>
      <c r="U62" s="143">
        <v>121.32105263157894</v>
      </c>
      <c r="V62" s="6">
        <v>218.41</v>
      </c>
      <c r="W62" s="6">
        <f t="shared" si="284"/>
        <v>120.24000000000001</v>
      </c>
      <c r="X62" s="6">
        <v>162.88947368421054</v>
      </c>
      <c r="Y62" s="79">
        <f t="shared" si="223"/>
        <v>8968.6200000000008</v>
      </c>
      <c r="Z62" s="79">
        <f t="shared" si="224"/>
        <v>17262.287299999996</v>
      </c>
      <c r="AA62" s="79">
        <f t="shared" si="225"/>
        <v>8457.2905789473662</v>
      </c>
      <c r="AB62" s="79">
        <f t="shared" si="226"/>
        <v>15225.361099999998</v>
      </c>
      <c r="AC62" s="79">
        <f t="shared" si="227"/>
        <v>8381.9303999999993</v>
      </c>
      <c r="AD62" s="79">
        <f t="shared" si="228"/>
        <v>11355.025210526315</v>
      </c>
      <c r="AE62" s="79">
        <f t="shared" si="229"/>
        <v>11608.419098245613</v>
      </c>
      <c r="AF62" s="1">
        <v>43466.75</v>
      </c>
      <c r="AG62" s="1">
        <v>20000</v>
      </c>
      <c r="AH62" s="1">
        <v>76000</v>
      </c>
      <c r="AI62" s="5">
        <v>12.34</v>
      </c>
      <c r="AJ62" s="5">
        <v>13.36</v>
      </c>
      <c r="AK62" s="5">
        <v>12.6</v>
      </c>
      <c r="AL62" s="5">
        <v>11.28</v>
      </c>
      <c r="AM62" s="78">
        <f t="shared" si="230"/>
        <v>12.193999999999999</v>
      </c>
      <c r="AN62" s="7">
        <v>861.90476190476193</v>
      </c>
      <c r="AO62" s="7">
        <v>701.99000000000012</v>
      </c>
      <c r="AP62" s="78">
        <f t="shared" si="277"/>
        <v>701.99000000000012</v>
      </c>
      <c r="AQ62" s="7">
        <v>330.61797752808991</v>
      </c>
      <c r="AR62" s="7">
        <v>552.57157894736849</v>
      </c>
      <c r="AS62" s="7">
        <v>655.5</v>
      </c>
      <c r="AT62" s="7">
        <v>652.15789473684208</v>
      </c>
      <c r="AU62" s="78">
        <f t="shared" si="53"/>
        <v>620.07649122807015</v>
      </c>
      <c r="AV62" s="7">
        <v>332.97499999999997</v>
      </c>
      <c r="AW62" s="7">
        <v>852.89473684210532</v>
      </c>
      <c r="AX62" s="7">
        <v>468.61052631578951</v>
      </c>
      <c r="AY62" s="7">
        <v>980.91228070175441</v>
      </c>
      <c r="AZ62" s="7">
        <v>1048.7210526315789</v>
      </c>
      <c r="BA62" s="7">
        <v>159.93684210526317</v>
      </c>
      <c r="BB62" s="94">
        <f t="shared" si="45"/>
        <v>720.92387914230017</v>
      </c>
      <c r="BC62" s="164">
        <v>1200</v>
      </c>
      <c r="BD62" s="164">
        <v>1420.02</v>
      </c>
      <c r="BE62" s="95">
        <f>+BE61</f>
        <v>940</v>
      </c>
      <c r="BF62" s="95">
        <f t="shared" si="283"/>
        <v>550</v>
      </c>
      <c r="BG62" s="94">
        <f t="shared" si="56"/>
        <v>1027.5050000000001</v>
      </c>
      <c r="BH62" s="7">
        <v>127.93</v>
      </c>
      <c r="BI62" s="97">
        <f t="shared" ref="BI62:BI67" si="303">+BI61</f>
        <v>25</v>
      </c>
      <c r="BJ62" s="78">
        <f t="shared" si="57"/>
        <v>152.93</v>
      </c>
      <c r="BK62" s="7">
        <v>95.099000000000004</v>
      </c>
      <c r="BL62" s="7">
        <v>113.71</v>
      </c>
      <c r="BM62" s="94">
        <f t="shared" si="58"/>
        <v>104.4045</v>
      </c>
      <c r="BN62" s="5">
        <v>18.239999999999998</v>
      </c>
      <c r="BO62" s="5">
        <v>67.39</v>
      </c>
      <c r="BP62" s="105">
        <v>73.489999999999995</v>
      </c>
      <c r="BQ62" s="94">
        <f t="shared" si="59"/>
        <v>68</v>
      </c>
      <c r="BR62" s="7">
        <v>57.15</v>
      </c>
      <c r="BS62" s="7">
        <v>200</v>
      </c>
      <c r="BT62" s="7">
        <f>+F62*1.57</f>
        <v>109.4447</v>
      </c>
      <c r="BU62" s="79">
        <f t="shared" si="237"/>
        <v>2728.3341</v>
      </c>
      <c r="BV62" s="7">
        <v>115.2</v>
      </c>
      <c r="BW62" s="7">
        <v>220</v>
      </c>
      <c r="BY62" s="92">
        <f>BY$10*(1+((H62/H$10-1)*costos!$B$5+((I62*F62)/(I$10*F$10)-1)*costos!$E$5+((J62*F62)/((J$10*F$10)-1)*costos!$F$5/3+((K62*F62)/(K$10*F$10)-1)*costos!$F$5/3+((U62*F62)/(U$10*F$10)-1)*costos!$F$5/3+((L62*F62)/(L$10*F$10)-1)*costos!$G$5+((N62*F62)/(N$10*F$10)-1)*costos!$J$5+((V62*F62)/(V$10*F$10)-1)*costos!$K$5)))</f>
        <v>446.18558806780391</v>
      </c>
      <c r="BZ62" s="92">
        <f>$BZ$10*(1+((H62/$H$10-1)*costos!$B$6+((I62*F62)/($I$10*$F$10)-1)*costos!$E$6+((J62*F62)/(($J$10*$F$10)-1)*costos!$F$6/3+((K62*F62)/($K$10*$F$10)-1)*costos!$F$6/3+((U62*F62)/($U$10*$F$10)-1)*costos!$F$6/3+((L62*F62)/($L$10*$F$10)-1)*costos!$G$6+((Q62*F62)/($Q$10*$F$10)-1)*costos!$J$6+((V62*F62)/($V$10*$F$10)-1)*costos!$K$6)))</f>
        <v>433.47730675233737</v>
      </c>
      <c r="CA62" s="92">
        <f>CA$10*(1+((H62/H$10-1)*costos!$B$7+((I62*F62)/(I$10*F$10)-1)*costos!$E$7+((J62*F62)/((J$10*F$10)-1)*costos!$F$7/3+((K62*F62)/(K$10*F$10)-1)*costos!$F$7/3+((U62*F62)/(U$10*F$10)-1)*costos!$F$7/3+((L62*F62)/(L$10*F$10)-1)*costos!$G$7+((S62*F62)/(S$10*F$10)-1)*costos!$J$7+((V62*F62)/(V$10*F$10)-1)*costos!$K$7)))</f>
        <v>441.81865244774377</v>
      </c>
      <c r="CB62" s="92">
        <f>CB$10*(1+((H62/H$10-1)*costos!$B$8+((I62*F62)/(I$10*F$10)-1)*costos!$E$8+((J62*F62)/((J$10*F$10)-1)*costos!$F$8/3+((K62*F62)/(K$10*F$10)-1)*costos!$F$8/3+((U62*F62)/(U$10*F$10)-1)*costos!$F$8/3+((L62*F62)/(L$10*F$10)-1)*costos!$G$8+((T62*F62)/(T$10*F$10)-1)*costos!$J$8+((V62*F62)/(V$10*F$10)-1)*costos!$K$8)))</f>
        <v>444.83916937425533</v>
      </c>
      <c r="CC62" s="92">
        <f>CC$10*(1+((H62/H$10-1)*costos!$B$9+((I62*F62)/(I$10*F$10)-1)*costos!$E$9+((J62*F62)/((J$10*F$10)-1)*costos!$F$9/3+((K62*F62)/(K$10*F$10)-1)*costos!$F$9/3+((U62*F62)/(U$10*F$10)-1)*costos!$F$9/3+((L62*F62)/(L$10*F$10)-1)*costos!$G$9+((U62*F62)/(U$10*F$10)-1)*costos!$J$9+((V62*F62)/(V$10*F$10)-1)*costos!$K$9)))</f>
        <v>425.6881822655572</v>
      </c>
      <c r="CD62" s="92">
        <f>CD$10*(1+((H62/H$10-1)*costos!$B$11+((I62*F62)/(I$10*F$10)-1)*costos!$E$11+((J62*F62)/((J$10*F$10)-1)*costos!$F$11/3+((K62*F62)/(K$10*F$10)-1)*costos!$F$11/3+((U62*F62)/(U$10*F$10)-1)*costos!$F$11/3+((L62*F62)/(L$10*F$10)-1)*costos!$G$11+((V62*F62)/(V$10*F$10)-1)*costos!$J$11+((V62*F62)/(V$10*F$10)-1)*costos!$K$11)))</f>
        <v>454.21033068252001</v>
      </c>
      <c r="CE62" s="92">
        <f>CE$10*(1+((H62/H$10-1)*costos!$B$12+((I62*F62)/(I$10*F$10)-1)*costos!$E$12+((J62*F62)/((J$10*F$10)-1)*costos!$F$12/3+((K62*F62)/(K$10*F$10)-1)*costos!$F$12/3+((U62*F62)/(U$10*F$10)-1)*costos!$F$12/3+((L62*F62)/(L$10*F$10)-1)*costos!$G$12+((W62*F62)/(W$10*F$10)-1)*costos!$J$12+((V62*F62)/(V$10*F$10)-1)*costos!$K$12)))</f>
        <v>421.47141256256225</v>
      </c>
      <c r="CF62" s="92">
        <f>CF$10*(1+((H62/H$10-1)*costos!$B$13+((I62*F62)/(I$10*F$10)-1)*costos!$E$13+((J62*F62)/((J$10*F$10)-1)*costos!$F$13/3+((K62*F62)/(K$10*F$10)-1)*costos!$F$13/3+((U62*F62)/(U$10*F$10)-1)*costos!$F$13/3+((L62*F62)/(L$10*F$10)-1)*costos!$G$13+((X62*F62)/(X$10*F$10)-1)*costos!$J$13+((V62*F62)/(V$10*F$10)-1)*costos!$K$13)))</f>
        <v>468.53840087692316</v>
      </c>
      <c r="CG62" s="92">
        <f t="shared" si="299"/>
        <v>442.76102470159361</v>
      </c>
      <c r="CH62" s="92">
        <f>CH$10*(1+((H62/H$10-1)*costos!$B$10+((I62*F62)/(I$10*F$10)-1)*costos!$E$10+((J62*F62)/((J$10*F$10)-1)*costos!$F$10/3+((K62*F62)/(K$10*F$10)-1)*costos!$F$10/3+((U62*F62)/(U$10*F$10)-1)*costos!$F$10/3+((L62*F62)/(L$10*F$10)-1)*costos!$G$10+((AF62)/(AF$10)-1)*costos!$J$10+((V62*F62)/(V$10*F$10)-1)*costos!$K$10)))</f>
        <v>525.68252135341072</v>
      </c>
      <c r="CI62" s="92">
        <f>CI$10*(1+((H62/H$10-1)*costos!$B$15+((I62*F62)/(I$10*F$10)-1)*costos!$E$15+((J62*F62)/((J$10*F$10)-1)*costos!$F$15/3+((K62*F62)/(K$10*F$10)-1)*costos!$F$15/3+((U62*F62)/(U$10*F$10)-1)*costos!$F$15/3+((L62*F62)/(L$10*F$10)-1)*costos!$G$15+((AV62)/(AV$10)-1)*costos!$J$15+((V62*F62)/(V$10*F$10)-1)*costos!$K$15)))</f>
        <v>448.88192302490035</v>
      </c>
      <c r="CJ62" s="92">
        <f>CJ$10*(1+((H62/H$10-1)*costos!$B$16+((I62*F62)/(I$10*F$10)-1)*costos!$E$16+((J62*F62)/((J$10*F$10)-1)*costos!$F$16/3+((K62*F62)/(K$10*F$10)-1)*costos!$F$16/3+((U62*F62)/(U$10*F$10)-1)*costos!$F$16/3+((L62*F62)/(L$10*F$10)-1)*costos!$G$16+((AW62)/(AW$10)-1)*costos!$J$16+((V62*F62)/(V$10*F$10)-1)*costos!$K$16)))</f>
        <v>421.12922377847946</v>
      </c>
      <c r="CK62" s="92">
        <f>CK$10*(1+((H62/H$10-1)*costos!$B$17+((I62*F62)/(I$10*F$10)-1)*costos!$E$17+((J62*F62)/((J$10*F$10)-1)*costos!$F$17/3+((K62*F62)/(K$10*F$10)-1)*costos!$F$17/3+((U62*F62)/(U$10*F$10)-1)*costos!$F$17/3+((L62*F62)/(L$10*F$10)-1)*costos!$G$17+((AX62)/(AX$10)-1)*costos!$J$17+((V62*F62)/(V$10*F$10)-1)*costos!$K$17)))</f>
        <v>461.01387879048923</v>
      </c>
      <c r="CL62" s="92">
        <f>CL$10*(1+((H62/H$10-1)*costos!$B$18+((I62*F62)/(I$10*F$10)-1)*costos!$E$18+((J62*F62)/((J$10*F$10)-1)*costos!$F$18/3+((K62*F62)/(K$10*F$10)-1)*costos!$F$18/3+((U62*F62)/(U$10*F$10)-1)*costos!$F$18/3+((L62*F62)/(L$10*F$10)-1)*costos!$G$18+((AY62)/(AY$10)-1)*costos!$J$18+((V62*F62)/(V$10*F$10)-1)*costos!$K$18)))</f>
        <v>560.46806857289175</v>
      </c>
      <c r="CM62" s="92">
        <f>CM$10*(1+((H62/H$10-1)*costos!$B$19+((I62*F62)/(I$10*F$10)-1)*costos!$E$19+((J62*F62)/((J$10*F$10)-1)*costos!$F$19/3+((K62*F62)/(K$10*F$10)-1)*costos!$F$19/3+((U62*F62)/(U$10*F$10)-1)*costos!$F$19/3+((L62*F62)/(L$10*F$10)-1)*costos!$G$19+((AZ62)/(AZ$10)-1)*costos!$J$19+((V62*F62)/(V$10*F$10)-1)*costos!$K$19)))</f>
        <v>549.17068349461999</v>
      </c>
      <c r="CN62" s="92">
        <f>CN$10*(1+((H62/H$10-1)*costos!$B$20+((I62*F62)/(I$10*F$10)-1)*costos!$E$20+((J62*F62)/((J$10*F$10)-1)*costos!$F$20/3+((K62*F62)/(K$10*F$10)-1)*costos!$F$20/3+((U62*F62)/(U$10*F$10)-1)*costos!$F$20/3+((L62*F62)/(L$10*F$10)-1)*costos!$G$20+((BA62)/(BA$10)-1)*costos!$J$20+((V62*F62)/(V$10*F$10)-1)*costos!$K$20)))</f>
        <v>376.42550127532945</v>
      </c>
      <c r="CO62" s="92">
        <f t="shared" si="300"/>
        <v>486.76953303333261</v>
      </c>
      <c r="CP62" s="92">
        <f>CP$10*(1+((H62/H$10-1)*costos!$B$22+((I62*F62)/(I$10*F$10)-1)*costos!$E$22+((J62*F62)/((J$10*F$10)-1)*costos!$F$22/3+((K62*F62)/(K$10*F$10)-1)*costos!$F$22/3+((U62*F62)/(U$10*F$10)-1)*costos!$F$22/3+((L62*F62)/(L$10*F$10)-1)*costos!$G$22+(((AVERAGE(AI62:AL62))/((AVERAGE(AI$10:AL$10))-1)*costos!$J$22+((V62*F62)/(V$10*F$10)-1)*costos!$K$22)))))</f>
        <v>474.92142408000484</v>
      </c>
      <c r="CQ62" s="92">
        <f>CQ$10*(1+((H62/H$10-1)*costos!$B$23+((I62*F62)/(I$10*F$10)-1)*costos!$E$23+((J62*F62)/((J$10*F$10)-1)*costos!$F$23/3+((K62*F62)/(K$10*F$10)-1)*costos!$F$23/3+((U62*F62)/(U$10*F$10)-1)*costos!$F$23/3+((L62*F62)/(L$10*F$10)-1)*costos!$G$23+((AN62)/(AN$10)-1)*costos!$J$23+((V62*F62)/(V$10*F$10)-1)*costos!$K$23)))</f>
        <v>400.07046034648778</v>
      </c>
      <c r="CR62" s="92">
        <f>CR$10*(1+((H62/H$10-1)*costos!$B$24+((I62*F62)/(I$10*F$10)-1)*costos!$E$24+((J62*F62)/((J$10*F$10)-1)*costos!$F$24/3+((K62*F62)/(K$10*F$10)-1)*costos!$F$24/3+((U62*F62)/(U$10*F$10)-1)*costos!$F$24/3+((L62*F62)/(L$10*F$10)-1)*costos!$G$24+((AO62)/(AO$10)-1)*costos!$J$24+((V62*F62)/(V$10*F$10)-1)*costos!$K$24)))</f>
        <v>415.61415784583045</v>
      </c>
      <c r="CS62" s="92">
        <f t="shared" si="62"/>
        <v>407.84230909615911</v>
      </c>
      <c r="CT62" s="92">
        <f>CT$10*(1+((H62/H$10-1)*costos!$B$25+((I62*F62)/(I$10*F$10)-1)*costos!$E$25+((J62*F62)/((J$10*F$10)-1)*costos!$F$25/3+((K62*F62)/(K$10*F$10)-1)*costos!$F$25/3+((U62*F62)/(U$10*F$10)-1)*costos!$F$25/3+((L62*F62)/(L$10*F$10)-1)*costos!$G$25+((AQ62)/(AQ$10)-1)*costos!$J$25+((V62*F62)/(V$10*F$10)-1)*costos!$K$25)))</f>
        <v>385.42321104321098</v>
      </c>
      <c r="CU62" s="92">
        <f>CU$10*(1+((H62/H$10-1)*costos!$B$26+((I62*F62)/(I$10*F$10)-1)*costos!$E$26+((J62*F62)/((J$10*F$10)-1)*costos!$F$26/3+((K62*F62)/(K$10*F$10)-1)*costos!$F$26/3+((U62*F62)/(U$10*F$10)-1)*costos!$F$26/3+((L62*F62)/(L$10*F$10)-1)*costos!$G$26+((AR62)/(AR$10)-1)*costos!$J$26+((V62*F62)/(V$10*F$10)-1)*costos!$K$26)))</f>
        <v>413.88568152092978</v>
      </c>
      <c r="CV62" s="92">
        <f>CV$10*(1+((H62/H$10-1)*costos!$B$27+((I62*F62)/(I$10*F$10)-1)*costos!$E$27+((J62*F62)/((J$10*F$10)-1)*costos!$F$27/3+((K62*F62)/(K$10*F$10)-1)*costos!$F$27/3+((U62*F62)/(U$10*F$10)-1)*costos!$F$27/3+((L62*F62)/(L$10*F$10)-1)*costos!$G$27+((AS62)/(AS$10)-1)*costos!$J$27+((V62*F62)/(V$10*F$10)-1)*costos!$K$27)))</f>
        <v>420.12339843954402</v>
      </c>
      <c r="CW62" s="92">
        <f>CW$10*(1+((H62/H$10-1)*costos!$B$28+((I62*F62)/(I$10*F$10)-1)*costos!$E$28+((J62*F62)/((J$10*F$10)-1)*costos!$F$28/3+((K62*F62)/(K$10*F$10)-1)*costos!$F$28/3+((U62*F62)/(U$10*F$10)-1)*costos!$F$28/3+((L62*F62)/(L$10*F$10)-1)*costos!$G$28+((AS62)/(AS$10)-1)*costos!$J$28+((V62*F62)/(V$10*F$10)-1)*costos!$K$28)))</f>
        <v>420.12339843954402</v>
      </c>
      <c r="CX62" s="92">
        <f t="shared" si="301"/>
        <v>418.04415946667262</v>
      </c>
      <c r="CY62" s="92">
        <f>CY$10*(1+((H62/H$10-1)*costos!$B$32+((I62*F62)/(I$10*F$10)-1)*costos!$E$32+((J62*F62)/((J$10*F$10)-1)*costos!$F$32/3+((K62*F62)/(K$10*F$10)-1)*costos!$F$32/3+((U62*F62)/(U$10*F$10)-1)*costos!$F$32/3+((L62*F62)/(L$10*F$10)-1)*costos!$G$32+((AG62)/(AG$10)-1)*costos!$J$32+((V62*F62)/(V$10*F$10)-1)*costos!$K$32)))</f>
        <v>419.8097341539393</v>
      </c>
      <c r="CZ62" s="69">
        <f>CZ$10*(1+((H62/H$10-1)*costos!$B$31+((I62*F62)/(I$10*F$10)-1)*costos!$E$30+((J62*F62)/((J$10*F$10)-1)*costos!$F$30/3+((K62*F62)/(K$10*F$10)-1)*costos!$F$30/3+((U62*F62)/(U$10*F$10)-1)*costos!$F$30/3+((L62*F62)/(L$10*F$10)-1)*costos!$G$30+((BG62)/(BG$10)-1)*costos!$J$30+((V62*F62)/(V$10*F$10)-1)*costos!$K$30)))</f>
        <v>496.75186612987278</v>
      </c>
      <c r="DA62" s="69">
        <f>DA$10*(1+((H62/H$10-1)*costos!$B$31+((I62*F62)/(I$10*F$10)-1)*costos!$E$31+((J62*F62)/((J$10*F$10)-1)*costos!$F$31/3+((K62*F62)/(K$10*F$10)-1)*costos!$F$31/3+((U62*F62)/(U$10*F$10)-1)*costos!$F$31/3+((L62*F62)/(L$10*F$10)-1)*costos!$G$31+((BJ62)/(BJ$10)-1)*costos!$J$31+((V62*F62)/(V$10*F$10)-1)*costos!$K$31)))</f>
        <v>422.49546290330812</v>
      </c>
      <c r="DB62" s="69">
        <f>DB$10*(1+((H62/H$10-1)*costos!$B$36+((I62*F62)/(I$10*F$10)-1)*costos!$E$36+((J62*F62)/((J$10*F$10)-1)*costos!$F$36/3+((K62*F62)/(K$10*F$10)-1)*costos!$F$36/3+((U62*F62)/(U$10*F$10)-1)*costos!$F$36/3+((L62*F62)/(L$10*F$10)-1)*costos!$G$36+((BK62)/(BK$10)-1)*costos!$J$36+((V62*F62)/(V$10*F$10)-1)*costos!$K$36)))</f>
        <v>424.493485121015</v>
      </c>
      <c r="DC62" s="69">
        <f>DC$10*(1+((H62/H$10-1)*costos!$B$37+((I62*F62)/(I$10*F$10)-1)*costos!$E$37+((U62*F62)/(U$10*F$10)-1)*costos!$F$37+((L62*F62)/(L$10*F$10)-1)*costos!$G$37+((BN62)/(BN$10)-1)*costos!$J$37+((V62*F62)/(V$10*F$10)-1)*costos!$K$37))</f>
        <v>427.91395527602702</v>
      </c>
      <c r="DD62" s="69">
        <f>DD$10*(1+((H62/H$10-1)*costos!$B$39+((I62*F62)/(I$10*F$10)-1)*costos!$E$39+((U62*F62)/(U$10*F$10)-1)*costos!$F$39+((L62*F62)/(L$10*F$10)-1)*costos!$G$39+((BR62)/(BR$10)-1)*costos!$J$39+((V62*F62)/(V$10*F$10)-1)*costos!$K$39))</f>
        <v>413.59955057192985</v>
      </c>
      <c r="DE62" s="69">
        <f>DD$10*(1+((H62/H$10-1)*costos!$B$35+((I62*F62)/(I$10*F$10)-1)*costos!$E$35+((U62*F62)/(U$10*F$10)-1)*costos!$F$35+((L62*F62)/(L$10*F$10)-1)*costos!$G$35+((BR62)/(BR$10)-1)*costos!$J$35+((V62*F62)/(V$10*F$10)-1)*costos!$K$35))</f>
        <v>376.80321788534872</v>
      </c>
      <c r="DF62" s="69">
        <f>DF$10*(1+((H62/H$10-1)*costos!$B$40+((I62*F62)/(I$10*F$10)-1)*costos!$E$40+((U62*F62)/(U$10*F$10)-1)*costos!$F$40+((L62*F62)/(L$10*F$10)-1)*costos!$G$40+((BP62)/(BP$10)-1)*costos!$J$40+((V62*F62)/(V$10*F$10)-1)*costos!$K$40))</f>
        <v>426.7537570306132</v>
      </c>
      <c r="DG62" s="92">
        <f t="shared" si="302"/>
        <v>401.77848745798099</v>
      </c>
      <c r="DH62" s="69">
        <f>DH$10*(1+((H62/H$10-1)*costos!$B$34+((I62*F62)/(I$10*F$10)-1)*costos!$E$34+((J62*F62)/((J$10*F$10)-1)*costos!$F$34/3+((K62*F62)/(K$10*F$10)-1)*costos!$F$34/3+((U62*F62)/(U$10*F$10)-1)*costos!$F$34/3+((L62*F62)/(L$10*F$10)-1)*costos!$G$34+((BV62)/(BV$10)-1)*costos!$J$34+((V62*F62)/(V$10*F$10)-1)*costos!$K$34)))</f>
        <v>435.41861420640515</v>
      </c>
      <c r="DI62" s="69">
        <f>DI$10*(1+((H62/H$10-1)*costos!$B$38+((I62*F62)/(I$10*F$10)-1)*costos!$E$38+((J62*F62)/((J$10*F$10)-1)*costos!$F$38/3+((K62*F62)/(K$10*F$10)-1)*costos!$F$38/3+((U62*F62)/(U$10*F$10)-1)*costos!$F$38/3+((L62*F62)/(L$10*F$10)-1)*costos!$G$38+((BU62)/(BU$10)-1)*costos!$J$38+((V62*F62)/(V$10*F$10)-1)*costos!$K$38)))</f>
        <v>409.03319902895527</v>
      </c>
      <c r="DK62" s="1">
        <v>450000</v>
      </c>
      <c r="DL62" s="1" t="s">
        <v>323</v>
      </c>
      <c r="DM62" s="1">
        <v>190000</v>
      </c>
      <c r="DN62" s="1" t="s">
        <v>323</v>
      </c>
      <c r="DO62" s="1">
        <v>1250000</v>
      </c>
      <c r="DP62" s="1" t="s">
        <v>377</v>
      </c>
      <c r="DQ62" s="1">
        <v>1600000</v>
      </c>
      <c r="DR62" s="1" t="s">
        <v>323</v>
      </c>
      <c r="DS62" s="1">
        <v>6300000</v>
      </c>
      <c r="DT62" s="1" t="s">
        <v>323</v>
      </c>
      <c r="DU62" s="1">
        <v>17200000</v>
      </c>
      <c r="DV62" s="1" t="s">
        <v>323</v>
      </c>
      <c r="DW62" s="1">
        <v>510000</v>
      </c>
      <c r="DX62" s="1" t="s">
        <v>323</v>
      </c>
      <c r="DY62" s="1">
        <v>6730000</v>
      </c>
      <c r="DZ62" s="1" t="s">
        <v>377</v>
      </c>
      <c r="EA62" s="79">
        <f t="shared" si="67"/>
        <v>33590000</v>
      </c>
      <c r="EB62" s="1">
        <v>351733</v>
      </c>
      <c r="EC62" s="1" t="s">
        <v>323</v>
      </c>
      <c r="ED62" s="1">
        <v>174820</v>
      </c>
      <c r="EE62" s="143">
        <v>2020</v>
      </c>
      <c r="EF62" s="1">
        <v>214798</v>
      </c>
      <c r="EG62" s="6">
        <v>2020</v>
      </c>
      <c r="EH62" s="1">
        <v>54460799</v>
      </c>
      <c r="EI62" s="6">
        <v>2020</v>
      </c>
      <c r="EJ62" s="1">
        <v>5377071</v>
      </c>
      <c r="EK62" s="6">
        <f t="shared" si="285"/>
        <v>2020</v>
      </c>
      <c r="EL62" s="1">
        <v>14774196</v>
      </c>
      <c r="EM62" s="6">
        <v>2019</v>
      </c>
      <c r="EN62" s="1">
        <v>3201657</v>
      </c>
      <c r="EO62" s="6">
        <v>2019</v>
      </c>
      <c r="EP62" s="82">
        <f t="shared" si="286"/>
        <v>6552</v>
      </c>
      <c r="EQ62" s="83">
        <f t="shared" si="286"/>
        <v>3257556</v>
      </c>
      <c r="ER62" s="1">
        <f t="shared" si="189"/>
        <v>33739</v>
      </c>
      <c r="ES62" s="1"/>
      <c r="ET62" s="83">
        <f t="shared" si="289"/>
        <v>19456</v>
      </c>
      <c r="EU62" s="83">
        <f t="shared" si="289"/>
        <v>17935</v>
      </c>
      <c r="EV62" s="83">
        <f t="shared" si="289"/>
        <v>9101</v>
      </c>
      <c r="EW62" s="83">
        <f t="shared" si="289"/>
        <v>17303</v>
      </c>
      <c r="EX62" s="79">
        <f t="shared" si="72"/>
        <v>63795</v>
      </c>
      <c r="EY62" s="83">
        <f t="shared" si="290"/>
        <v>19804</v>
      </c>
      <c r="EZ62" s="82">
        <f t="shared" si="290"/>
        <v>79940</v>
      </c>
      <c r="FA62" s="82">
        <f t="shared" si="290"/>
        <v>20476</v>
      </c>
      <c r="FB62" s="82">
        <f t="shared" si="290"/>
        <v>18080</v>
      </c>
      <c r="FC62" s="79">
        <f t="shared" si="295"/>
        <v>38556</v>
      </c>
      <c r="FD62" s="83">
        <f t="shared" si="158"/>
        <v>59152.38</v>
      </c>
      <c r="FE62" s="1"/>
      <c r="FF62" s="1">
        <v>1100000</v>
      </c>
      <c r="FG62" s="1" t="s">
        <v>323</v>
      </c>
      <c r="FH62" s="1">
        <v>1200000</v>
      </c>
      <c r="FI62" s="1" t="s">
        <v>323</v>
      </c>
      <c r="FJ62" s="1">
        <v>3800000</v>
      </c>
      <c r="FK62" s="1" t="s">
        <v>323</v>
      </c>
      <c r="FL62" s="1">
        <v>3300000</v>
      </c>
      <c r="FM62" s="1" t="s">
        <v>323</v>
      </c>
      <c r="FN62" s="1">
        <v>50000000</v>
      </c>
      <c r="FO62" s="1" t="s">
        <v>323</v>
      </c>
      <c r="FP62" s="1">
        <v>50000000</v>
      </c>
      <c r="FQ62" s="1" t="s">
        <v>323</v>
      </c>
      <c r="FR62" s="1">
        <v>1600000</v>
      </c>
      <c r="FS62" s="1" t="s">
        <v>323</v>
      </c>
      <c r="FT62" s="1">
        <v>19775000</v>
      </c>
      <c r="FU62" s="1" t="s">
        <v>323</v>
      </c>
      <c r="FV62" s="79">
        <f t="shared" si="76"/>
        <v>128475000</v>
      </c>
      <c r="FW62" s="1">
        <v>1263869</v>
      </c>
      <c r="FX62" s="1" t="s">
        <v>323</v>
      </c>
      <c r="FY62" s="83">
        <v>128625</v>
      </c>
      <c r="FZ62" s="79">
        <f t="shared" si="135"/>
        <v>827488.57400000002</v>
      </c>
      <c r="GA62" s="86" t="str">
        <f t="shared" si="271"/>
        <v>jun19 may20</v>
      </c>
      <c r="GB62" s="83">
        <v>20557455</v>
      </c>
      <c r="GC62" s="6">
        <v>2020</v>
      </c>
      <c r="GD62" s="83">
        <f t="shared" si="265"/>
        <v>1974652</v>
      </c>
      <c r="GE62" s="83">
        <f t="shared" si="265"/>
        <v>367136</v>
      </c>
      <c r="GF62" s="83">
        <v>957160</v>
      </c>
      <c r="GG62" s="83">
        <f t="shared" si="268"/>
        <v>89049</v>
      </c>
      <c r="GH62" s="79">
        <f t="shared" si="240"/>
        <v>1413345</v>
      </c>
      <c r="GI62" s="82">
        <f t="shared" si="232"/>
        <v>1302556</v>
      </c>
      <c r="GJ62" s="83">
        <f t="shared" si="215"/>
        <v>666015</v>
      </c>
      <c r="GK62" s="83">
        <f t="shared" si="216"/>
        <v>1221000</v>
      </c>
      <c r="GL62" s="83">
        <f t="shared" si="217"/>
        <v>294346.89</v>
      </c>
      <c r="GM62" s="83">
        <f t="shared" si="218"/>
        <v>260133.24</v>
      </c>
      <c r="GN62" s="79">
        <f t="shared" si="81"/>
        <v>2441495.13</v>
      </c>
      <c r="GO62" s="83">
        <f t="shared" si="291"/>
        <v>198452.81</v>
      </c>
      <c r="GP62" s="83">
        <f t="shared" si="291"/>
        <v>73538</v>
      </c>
      <c r="GQ62" s="83">
        <v>43959</v>
      </c>
      <c r="GR62" s="83">
        <v>42000</v>
      </c>
      <c r="GS62" s="79">
        <f t="shared" si="192"/>
        <v>43318.77</v>
      </c>
      <c r="GT62" s="83">
        <f t="shared" si="296"/>
        <v>2884000</v>
      </c>
      <c r="GU62" s="1">
        <v>62843</v>
      </c>
      <c r="GV62" s="1">
        <v>83577</v>
      </c>
      <c r="GW62" s="79">
        <f t="shared" si="261"/>
        <v>1188705</v>
      </c>
      <c r="GX62" s="1">
        <v>34954.608</v>
      </c>
      <c r="GY62" s="1" t="s">
        <v>340</v>
      </c>
      <c r="GZ62" s="1">
        <v>112856</v>
      </c>
      <c r="HA62" s="1">
        <v>254948</v>
      </c>
      <c r="HB62" s="79">
        <f t="shared" si="241"/>
        <v>3137935.0869999998</v>
      </c>
      <c r="HC62" s="86" t="str">
        <f t="shared" si="272"/>
        <v>jun19 may20</v>
      </c>
      <c r="HD62" s="1">
        <v>58366</v>
      </c>
      <c r="HE62" s="79">
        <f t="shared" si="139"/>
        <v>626518</v>
      </c>
      <c r="HF62" s="86" t="str">
        <f t="shared" si="273"/>
        <v>jun19 may20</v>
      </c>
      <c r="HG62" s="83">
        <v>178000</v>
      </c>
      <c r="HH62" s="79">
        <f t="shared" si="242"/>
        <v>2230000</v>
      </c>
      <c r="HI62" s="86" t="str">
        <f t="shared" si="274"/>
        <v>jun19 may20</v>
      </c>
      <c r="HJ62" s="83">
        <v>65325</v>
      </c>
      <c r="HK62" s="79">
        <f t="shared" si="278"/>
        <v>56671.437600000005</v>
      </c>
      <c r="HL62" s="86" t="str">
        <f t="shared" si="275"/>
        <v>jun19 may20</v>
      </c>
      <c r="HM62" s="79">
        <f t="shared" si="86"/>
        <v>2286671.4375999998</v>
      </c>
      <c r="HN62" s="87">
        <f t="shared" si="297"/>
        <v>0.10905847878710673</v>
      </c>
      <c r="HO62" s="1">
        <v>870500000</v>
      </c>
      <c r="HP62" s="79">
        <f t="shared" si="153"/>
        <v>10681.2</v>
      </c>
      <c r="HQ62" s="86" t="str">
        <f t="shared" si="276"/>
        <v>jun19 may20</v>
      </c>
      <c r="HR62" s="1"/>
      <c r="HS62" s="1"/>
      <c r="HT62" s="1"/>
      <c r="HU62" s="1">
        <v>650000</v>
      </c>
      <c r="HV62" s="1" t="s">
        <v>323</v>
      </c>
      <c r="HW62" s="1">
        <v>1300000</v>
      </c>
      <c r="HX62" s="1" t="s">
        <v>323</v>
      </c>
      <c r="HY62" s="1">
        <f t="shared" ref="HY62:HY68" si="304">(2.8+0.18)*1000000</f>
        <v>2980000</v>
      </c>
      <c r="HZ62" s="1" t="s">
        <v>323</v>
      </c>
      <c r="IA62" s="1">
        <f t="shared" ref="IA62:IA70" si="305">(3.89+17.25)*1000000</f>
        <v>21140000</v>
      </c>
      <c r="IB62" s="1" t="s">
        <v>323</v>
      </c>
      <c r="IC62" s="1">
        <v>46000000</v>
      </c>
      <c r="ID62" s="1" t="s">
        <v>323</v>
      </c>
      <c r="IE62" s="1">
        <f t="shared" si="281"/>
        <v>1150000</v>
      </c>
      <c r="IF62" s="1" t="s">
        <v>323</v>
      </c>
      <c r="IG62" s="1">
        <f t="shared" si="282"/>
        <v>7500000</v>
      </c>
      <c r="IH62" s="1" t="s">
        <v>323</v>
      </c>
      <c r="II62" s="79">
        <f t="shared" si="87"/>
        <v>80070000</v>
      </c>
      <c r="IJ62" s="97">
        <f t="shared" si="298"/>
        <v>1.6786218979067327</v>
      </c>
      <c r="IK62" s="1" t="s">
        <v>323</v>
      </c>
      <c r="IL62" s="98">
        <v>41.1</v>
      </c>
      <c r="IM62" s="7">
        <v>45.66</v>
      </c>
      <c r="IN62" s="97">
        <v>179.3</v>
      </c>
      <c r="IO62" s="696">
        <v>14.94</v>
      </c>
      <c r="IP62" s="176">
        <f t="shared" si="292"/>
        <v>5.7853601487586115</v>
      </c>
      <c r="IQ62" s="7">
        <v>20.7</v>
      </c>
      <c r="IR62" s="98">
        <f t="shared" si="293"/>
        <v>4.79</v>
      </c>
      <c r="IS62" s="98">
        <f t="shared" si="293"/>
        <v>5.29</v>
      </c>
      <c r="IT62" s="98">
        <f t="shared" si="293"/>
        <v>12.22</v>
      </c>
      <c r="IU62" s="98">
        <f t="shared" si="293"/>
        <v>0.38</v>
      </c>
      <c r="IV62" s="94">
        <f t="shared" si="89"/>
        <v>17.89</v>
      </c>
      <c r="IW62" s="1"/>
      <c r="IX62" s="1"/>
      <c r="IY62" s="105">
        <v>1.86</v>
      </c>
      <c r="IZ62" s="161">
        <v>0.1</v>
      </c>
      <c r="JA62" s="83">
        <v>1000</v>
      </c>
      <c r="JB62" s="7">
        <v>44.74</v>
      </c>
      <c r="JC62" s="1"/>
      <c r="JD62" s="1"/>
      <c r="JE62" s="99"/>
      <c r="JF62" s="2">
        <v>8.5560228499999962</v>
      </c>
      <c r="JG62" s="2">
        <v>26.474292439999992</v>
      </c>
      <c r="JH62" s="2">
        <v>40.716246459999994</v>
      </c>
      <c r="JI62" s="2">
        <v>264.98974874999999</v>
      </c>
      <c r="JJ62" s="2">
        <v>734.37390987000003</v>
      </c>
      <c r="JK62" s="2">
        <v>94.698978299999993</v>
      </c>
      <c r="JL62" s="2">
        <v>2548.8801181700001</v>
      </c>
      <c r="JM62" s="2">
        <v>3.9472347999999999</v>
      </c>
      <c r="JN62" s="2">
        <v>108.91818299000001</v>
      </c>
      <c r="JO62" s="2">
        <v>10.00194035</v>
      </c>
      <c r="JP62" s="2">
        <v>0</v>
      </c>
      <c r="JQ62" s="2">
        <v>9.7818457900000002</v>
      </c>
      <c r="JR62" s="2">
        <v>1.8357320100000001</v>
      </c>
      <c r="JS62" s="2">
        <v>0</v>
      </c>
      <c r="JT62" s="2">
        <v>0.26668026</v>
      </c>
      <c r="JU62" s="2">
        <v>85.671901359999993</v>
      </c>
      <c r="JV62" s="2">
        <v>17.414269730000004</v>
      </c>
      <c r="JW62" s="2">
        <v>27.220560329999994</v>
      </c>
      <c r="JX62" s="2">
        <v>98.197857169999978</v>
      </c>
      <c r="JY62" s="2">
        <v>0</v>
      </c>
      <c r="JZ62" s="2">
        <v>3.0921802099999995</v>
      </c>
      <c r="KA62" s="2">
        <v>0.13425920999999999</v>
      </c>
      <c r="KB62" s="2">
        <v>18.9898338</v>
      </c>
      <c r="KC62" s="2">
        <v>17.46237451</v>
      </c>
      <c r="KD62" s="2">
        <v>8.5670128499999993</v>
      </c>
      <c r="KE62" s="2">
        <v>24.155609029999997</v>
      </c>
      <c r="KF62" s="2">
        <v>43.879566570000001</v>
      </c>
      <c r="KG62" s="2">
        <v>329.97688649999992</v>
      </c>
      <c r="KH62" s="2">
        <v>76.92803266</v>
      </c>
      <c r="KI62" s="2">
        <v>15.636760559999999</v>
      </c>
      <c r="KJ62" s="2">
        <v>8.0029263900000025</v>
      </c>
      <c r="KK62" s="2">
        <v>4.5641868099999998</v>
      </c>
      <c r="KL62" s="2">
        <v>0.48980314000000003</v>
      </c>
      <c r="KM62" s="2">
        <v>1.62096226</v>
      </c>
      <c r="KN62" s="2">
        <v>1.8090000000000001E-5</v>
      </c>
      <c r="KO62" s="2">
        <v>1.2357395599999998</v>
      </c>
      <c r="KP62" s="2">
        <v>4.8110010000000002E-2</v>
      </c>
      <c r="KQ62" s="2">
        <v>221.95998875999999</v>
      </c>
      <c r="KR62" s="2">
        <v>0</v>
      </c>
      <c r="KS62" s="2">
        <v>0.12006443999999999</v>
      </c>
      <c r="KT62" s="2">
        <v>1.44822053</v>
      </c>
      <c r="KU62" s="2">
        <v>8.6397669999999996E-2</v>
      </c>
      <c r="KV62" s="2">
        <v>0</v>
      </c>
      <c r="KW62" s="2">
        <v>5.4781427899999988</v>
      </c>
      <c r="KX62" s="2">
        <v>0</v>
      </c>
      <c r="KY62" s="2">
        <v>0</v>
      </c>
      <c r="KZ62" s="2">
        <v>0.73759291999999999</v>
      </c>
      <c r="LA62" s="2">
        <v>0.50616179000000006</v>
      </c>
      <c r="LB62" s="2">
        <v>0</v>
      </c>
      <c r="LC62" s="2">
        <v>7.4517300000000002E-3</v>
      </c>
      <c r="LD62" s="2">
        <v>0</v>
      </c>
      <c r="LE62" s="2">
        <v>8.4792510000000001E-2</v>
      </c>
      <c r="LF62" s="2">
        <v>0</v>
      </c>
      <c r="LG62" s="2">
        <v>17.446923340000001</v>
      </c>
      <c r="LH62" s="2">
        <v>3.2240931199999996</v>
      </c>
      <c r="LI62" s="2">
        <v>3.8749126999999999</v>
      </c>
      <c r="LJ62" s="2">
        <v>0</v>
      </c>
      <c r="LK62" s="2">
        <v>2.18377993</v>
      </c>
      <c r="LL62" s="2">
        <v>10.97230602</v>
      </c>
      <c r="LM62" s="2">
        <v>1.9128927099999999</v>
      </c>
      <c r="LN62" s="2">
        <v>0.20650916999999999</v>
      </c>
      <c r="LO62" s="2">
        <v>4.3578507700000007</v>
      </c>
      <c r="LQ62" s="85">
        <f t="shared" si="247"/>
        <v>3701.82544104</v>
      </c>
      <c r="LR62" s="85">
        <f t="shared" si="248"/>
        <v>11.884258059999999</v>
      </c>
      <c r="LS62" s="85">
        <f t="shared" si="249"/>
        <v>44.634830059999999</v>
      </c>
      <c r="LT62" s="85">
        <f t="shared" si="250"/>
        <v>3.2264394199999997</v>
      </c>
      <c r="LU62" s="85">
        <f t="shared" si="251"/>
        <v>224.93677310999999</v>
      </c>
      <c r="LV62" s="85">
        <f t="shared" si="252"/>
        <v>5.4781427899999988</v>
      </c>
      <c r="LW62" s="85">
        <f t="shared" si="253"/>
        <v>0.50616179000000006</v>
      </c>
      <c r="LX62" s="85">
        <f t="shared" si="254"/>
        <v>8.4792510000000001E-2</v>
      </c>
      <c r="LZ62" s="131">
        <v>79.459999999999994</v>
      </c>
      <c r="MA62" s="171">
        <v>70.22</v>
      </c>
      <c r="MB62"/>
      <c r="MC62"/>
      <c r="MD62"/>
      <c r="MF62"/>
      <c r="MG62"/>
      <c r="MH62" s="83">
        <v>113.97</v>
      </c>
      <c r="MI62" s="83">
        <v>44.22</v>
      </c>
      <c r="MJ62" s="83">
        <v>34.58</v>
      </c>
      <c r="MK62"/>
      <c r="ML62" s="83">
        <v>49.41</v>
      </c>
      <c r="MM62" s="83">
        <v>96.52</v>
      </c>
      <c r="MN62" s="83"/>
      <c r="MO62" s="83">
        <v>36.49</v>
      </c>
      <c r="MP62" s="83">
        <v>64.760000000000005</v>
      </c>
      <c r="MQ62" s="83">
        <v>84.68</v>
      </c>
      <c r="MR62"/>
      <c r="MT62" s="83"/>
      <c r="MU62" s="83">
        <v>51.76</v>
      </c>
      <c r="MV62"/>
      <c r="MW62"/>
      <c r="MX62"/>
      <c r="MY62" s="83">
        <v>113.66</v>
      </c>
      <c r="MZ62" s="83">
        <v>275</v>
      </c>
      <c r="NA62" s="83">
        <v>111.52</v>
      </c>
      <c r="NB62" s="83">
        <v>348.61</v>
      </c>
      <c r="NC62" s="83">
        <v>54.58</v>
      </c>
      <c r="ND62"/>
      <c r="NE62" s="1">
        <v>277.44</v>
      </c>
    </row>
    <row r="63" spans="1:369">
      <c r="A63" s="38">
        <f t="shared" si="219"/>
        <v>43983</v>
      </c>
      <c r="B63" s="36">
        <f t="shared" si="287"/>
        <v>6</v>
      </c>
      <c r="C63" s="36">
        <f t="shared" si="288"/>
        <v>2020</v>
      </c>
      <c r="D63" s="36">
        <f t="shared" si="50"/>
        <v>63</v>
      </c>
      <c r="E63" s="38">
        <f t="shared" si="220"/>
        <v>43983</v>
      </c>
      <c r="F63" s="7">
        <v>71.959999999999994</v>
      </c>
      <c r="G63" s="97">
        <v>321.97379999999998</v>
      </c>
      <c r="H63" s="1">
        <f>[2]NACIONALES!$D51</f>
        <v>32571.74</v>
      </c>
      <c r="I63" s="7">
        <v>77</v>
      </c>
      <c r="J63" s="7">
        <v>365</v>
      </c>
      <c r="K63" s="7">
        <v>3.3</v>
      </c>
      <c r="L63" s="7">
        <v>22</v>
      </c>
      <c r="N63" s="5">
        <v>1.014</v>
      </c>
      <c r="O63" s="5">
        <v>0.83399999999999996</v>
      </c>
      <c r="P63" s="78">
        <f t="shared" si="294"/>
        <v>63.166487999999987</v>
      </c>
      <c r="Q63" s="6">
        <v>1715</v>
      </c>
      <c r="R63" s="79">
        <f t="shared" si="222"/>
        <v>17150</v>
      </c>
      <c r="S63" s="6">
        <f>9894.86/F63</f>
        <v>137.50500277932187</v>
      </c>
      <c r="T63" s="6">
        <v>250</v>
      </c>
      <c r="U63" s="143">
        <v>127.69999999999999</v>
      </c>
      <c r="V63" s="6">
        <v>218.62380952380954</v>
      </c>
      <c r="W63" s="6">
        <f t="shared" si="284"/>
        <v>120.24000000000001</v>
      </c>
      <c r="X63" s="6">
        <v>165.83333333333334</v>
      </c>
      <c r="Y63" s="79">
        <f t="shared" si="223"/>
        <v>9894.86</v>
      </c>
      <c r="Z63" s="79">
        <f t="shared" si="224"/>
        <v>17990</v>
      </c>
      <c r="AA63" s="79">
        <f t="shared" si="225"/>
        <v>9189.2919999999976</v>
      </c>
      <c r="AB63" s="79">
        <f t="shared" si="226"/>
        <v>15732.169333333333</v>
      </c>
      <c r="AC63" s="79">
        <f t="shared" si="227"/>
        <v>8652.4704000000002</v>
      </c>
      <c r="AD63" s="79">
        <f t="shared" si="228"/>
        <v>11933.366666666667</v>
      </c>
      <c r="AE63" s="79">
        <f t="shared" si="229"/>
        <v>12232.026399999999</v>
      </c>
      <c r="AF63" s="1">
        <v>44417.75</v>
      </c>
      <c r="AG63" s="1">
        <v>20000</v>
      </c>
      <c r="AH63" s="1">
        <v>76000</v>
      </c>
      <c r="AI63" s="5">
        <v>13.69</v>
      </c>
      <c r="AJ63" s="5">
        <v>11.73</v>
      </c>
      <c r="AK63" s="5">
        <v>13.18</v>
      </c>
      <c r="AL63" s="5">
        <v>11.79</v>
      </c>
      <c r="AM63" s="78">
        <f t="shared" si="230"/>
        <v>13.023</v>
      </c>
      <c r="AN63" s="7">
        <v>913.81208053691273</v>
      </c>
      <c r="AO63" s="7">
        <v>772.07818181818186</v>
      </c>
      <c r="AP63" s="78">
        <f t="shared" si="277"/>
        <v>772.07818181818186</v>
      </c>
      <c r="AQ63" s="7">
        <v>294.67826086956524</v>
      </c>
      <c r="AR63" s="7">
        <v>591.6872727272729</v>
      </c>
      <c r="AS63" s="7">
        <v>570</v>
      </c>
      <c r="AT63" s="7">
        <v>571.83181818181811</v>
      </c>
      <c r="AU63" s="78">
        <f t="shared" si="53"/>
        <v>577.839696969697</v>
      </c>
      <c r="AV63" s="7">
        <v>302.07426470588234</v>
      </c>
      <c r="AW63" s="7">
        <v>850.68181818181813</v>
      </c>
      <c r="AX63" s="7">
        <v>530.09227272727287</v>
      </c>
      <c r="AY63" s="7">
        <v>943.99470899470896</v>
      </c>
      <c r="AZ63" s="7">
        <v>934.18181818181802</v>
      </c>
      <c r="BA63" s="7">
        <v>178.67477272727271</v>
      </c>
      <c r="BB63" s="94">
        <f t="shared" si="45"/>
        <v>698.90746335711606</v>
      </c>
      <c r="BC63" s="164">
        <v>1262</v>
      </c>
      <c r="BD63" s="164">
        <v>1484</v>
      </c>
      <c r="BE63" s="97">
        <v>1120</v>
      </c>
      <c r="BF63" s="97">
        <v>720</v>
      </c>
      <c r="BG63" s="94">
        <f t="shared" si="56"/>
        <v>1146.5</v>
      </c>
      <c r="BH63" s="7">
        <f t="shared" ref="BH63:BH71" si="306">+BH62</f>
        <v>127.93</v>
      </c>
      <c r="BI63" s="97">
        <f t="shared" si="303"/>
        <v>25</v>
      </c>
      <c r="BJ63" s="78">
        <f t="shared" si="57"/>
        <v>152.93</v>
      </c>
      <c r="BK63" s="7">
        <v>97.677000000000007</v>
      </c>
      <c r="BL63" s="7">
        <v>125.49</v>
      </c>
      <c r="BM63" s="94">
        <f t="shared" si="58"/>
        <v>111.5835</v>
      </c>
      <c r="BN63" s="5">
        <v>18.25</v>
      </c>
      <c r="BO63" s="84">
        <v>71.27</v>
      </c>
      <c r="BP63" s="105">
        <v>78.599999999999994</v>
      </c>
      <c r="BQ63" s="94">
        <f t="shared" si="59"/>
        <v>72.003</v>
      </c>
      <c r="BR63" s="7">
        <v>54.08</v>
      </c>
      <c r="BS63" s="7">
        <v>200</v>
      </c>
      <c r="BT63" s="7">
        <f>+F63*1.95</f>
        <v>140.32199999999997</v>
      </c>
      <c r="BU63" s="79">
        <f t="shared" si="237"/>
        <v>2820.9659999999999</v>
      </c>
      <c r="BV63" s="7">
        <v>121.1</v>
      </c>
      <c r="BW63" s="7">
        <v>225</v>
      </c>
      <c r="BY63" s="92">
        <f>BY$10*(1+((H63/H$10-1)*costos!$B$5+((I63*F63)/(I$10*F$10)-1)*costos!$E$5+((J63*F63)/((J$10*F$10)-1)*costos!$F$5/3+((K63*F63)/(K$10*F$10)-1)*costos!$F$5/3+((U63*F63)/(U$10*F$10)-1)*costos!$F$5/3+((L63*F63)/(L$10*F$10)-1)*costos!$G$5+((N63*F63)/(N$10*F$10)-1)*costos!$J$5+((V63*F63)/(V$10*F$10)-1)*costos!$K$5)))</f>
        <v>450.38621386794142</v>
      </c>
      <c r="BZ63" s="92">
        <f>$BZ$10*(1+((H63/$H$10-1)*costos!$B$6+((I63*F63)/($I$10*$F$10)-1)*costos!$E$6+((J63*F63)/(($J$10*$F$10)-1)*costos!$F$6/3+((K63*F63)/($K$10*$F$10)-1)*costos!$F$6/3+((U63*F63)/($U$10*$F$10)-1)*costos!$F$6/3+((L63*F63)/($L$10*$F$10)-1)*costos!$G$6+((Q63*F63)/($Q$10*$F$10)-1)*costos!$J$6+((V63*F63)/($V$10*$F$10)-1)*costos!$K$6)))</f>
        <v>441.69657498956843</v>
      </c>
      <c r="CA63" s="92">
        <f>CA$10*(1+((H63/H$10-1)*costos!$B$7+((I63*F63)/(I$10*F$10)-1)*costos!$E$7+((J63*F63)/((J$10*F$10)-1)*costos!$F$7/3+((K63*F63)/(K$10*F$10)-1)*costos!$F$7/3+((U63*F63)/(U$10*F$10)-1)*costos!$F$7/3+((L63*F63)/(L$10*F$10)-1)*costos!$G$7+((S63*F63)/(S$10*F$10)-1)*costos!$J$7+((V63*F63)/(V$10*F$10)-1)*costos!$K$7)))</f>
        <v>461.26391175574446</v>
      </c>
      <c r="CB63" s="92">
        <f>CB$10*(1+((H63/H$10-1)*costos!$B$8+((I63*F63)/(I$10*F$10)-1)*costos!$E$8+((J63*F63)/((J$10*F$10)-1)*costos!$F$8/3+((K63*F63)/(K$10*F$10)-1)*costos!$F$8/3+((U63*F63)/(U$10*F$10)-1)*costos!$F$8/3+((L63*F63)/(L$10*F$10)-1)*costos!$G$8+((T63*F63)/(T$10*F$10)-1)*costos!$J$8+((V63*F63)/(V$10*F$10)-1)*costos!$K$8)))</f>
        <v>458.3304739774581</v>
      </c>
      <c r="CC63" s="92">
        <f>CC$10*(1+((H63/H$10-1)*costos!$B$9+((I63*F63)/(I$10*F$10)-1)*costos!$E$9+((J63*F63)/((J$10*F$10)-1)*costos!$F$9/3+((K63*F63)/(K$10*F$10)-1)*costos!$F$9/3+((U63*F63)/(U$10*F$10)-1)*costos!$F$9/3+((L63*F63)/(L$10*F$10)-1)*costos!$G$9+((U63*F63)/(U$10*F$10)-1)*costos!$J$9+((V63*F63)/(V$10*F$10)-1)*costos!$K$9)))</f>
        <v>444.60317256443835</v>
      </c>
      <c r="CD63" s="92">
        <f>CD$10*(1+((H63/H$10-1)*costos!$B$11+((I63*F63)/(I$10*F$10)-1)*costos!$E$11+((J63*F63)/((J$10*F$10)-1)*costos!$F$11/3+((K63*F63)/(K$10*F$10)-1)*costos!$F$11/3+((U63*F63)/(U$10*F$10)-1)*costos!$F$11/3+((L63*F63)/(L$10*F$10)-1)*costos!$G$11+((V63*F63)/(V$10*F$10)-1)*costos!$J$11+((V63*F63)/(V$10*F$10)-1)*costos!$K$11)))</f>
        <v>467.89444433501649</v>
      </c>
      <c r="CE63" s="92">
        <f>CE$10*(1+((H63/H$10-1)*costos!$B$12+((I63*F63)/(I$10*F$10)-1)*costos!$E$12+((J63*F63)/((J$10*F$10)-1)*costos!$F$12/3+((K63*F63)/(K$10*F$10)-1)*costos!$F$12/3+((U63*F63)/(U$10*F$10)-1)*costos!$F$12/3+((L63*F63)/(L$10*F$10)-1)*costos!$G$12+((W63*F63)/(W$10*F$10)-1)*costos!$J$12+((V63*F63)/(V$10*F$10)-1)*costos!$K$12)))</f>
        <v>432.55531656787747</v>
      </c>
      <c r="CF63" s="92">
        <f>CF$10*(1+((H63/H$10-1)*costos!$B$13+((I63*F63)/(I$10*F$10)-1)*costos!$E$13+((J63*F63)/((J$10*F$10)-1)*costos!$F$13/3+((K63*F63)/(K$10*F$10)-1)*costos!$F$13/3+((U63*F63)/(U$10*F$10)-1)*costos!$F$13/3+((L63*F63)/(L$10*F$10)-1)*costos!$G$13+((X63*F63)/(X$10*F$10)-1)*costos!$J$13+((V63*F63)/(V$10*F$10)-1)*costos!$K$13)))</f>
        <v>483.97848728681987</v>
      </c>
      <c r="CG63" s="92">
        <f t="shared" si="299"/>
        <v>458.10430108122574</v>
      </c>
      <c r="CH63" s="92">
        <f>CH$10*(1+((H63/H$10-1)*costos!$B$10+((I63*F63)/(I$10*F$10)-1)*costos!$E$10+((J63*F63)/((J$10*F$10)-1)*costos!$F$10/3+((K63*F63)/(K$10*F$10)-1)*costos!$F$10/3+((U63*F63)/(U$10*F$10)-1)*costos!$F$10/3+((L63*F63)/(L$10*F$10)-1)*costos!$G$10+((AF63)/(AF$10)-1)*costos!$J$10+((V63*F63)/(V$10*F$10)-1)*costos!$K$10)))</f>
        <v>538.94135635137741</v>
      </c>
      <c r="CI63" s="92">
        <f>CI$10*(1+((H63/H$10-1)*costos!$B$15+((I63*F63)/(I$10*F$10)-1)*costos!$E$15+((J63*F63)/((J$10*F$10)-1)*costos!$F$15/3+((K63*F63)/(K$10*F$10)-1)*costos!$F$15/3+((U63*F63)/(U$10*F$10)-1)*costos!$F$15/3+((L63*F63)/(L$10*F$10)-1)*costos!$G$15+((AV63)/(AV$10)-1)*costos!$J$15+((V63*F63)/(V$10*F$10)-1)*costos!$K$15)))</f>
        <v>454.58786176472506</v>
      </c>
      <c r="CJ63" s="92">
        <f>CJ$10*(1+((H63/H$10-1)*costos!$B$16+((I63*F63)/(I$10*F$10)-1)*costos!$E$16+((J63*F63)/((J$10*F$10)-1)*costos!$F$16/3+((K63*F63)/(K$10*F$10)-1)*costos!$F$16/3+((U63*F63)/(U$10*F$10)-1)*costos!$F$16/3+((L63*F63)/(L$10*F$10)-1)*costos!$G$16+((AW63)/(AW$10)-1)*costos!$J$16+((V63*F63)/(V$10*F$10)-1)*costos!$K$16)))</f>
        <v>429.74560859227529</v>
      </c>
      <c r="CK63" s="92">
        <f>CK$10*(1+((H63/H$10-1)*costos!$B$17+((I63*F63)/(I$10*F$10)-1)*costos!$E$17+((J63*F63)/((J$10*F$10)-1)*costos!$F$17/3+((K63*F63)/(K$10*F$10)-1)*costos!$F$17/3+((U63*F63)/(U$10*F$10)-1)*costos!$F$17/3+((L63*F63)/(L$10*F$10)-1)*costos!$G$17+((AX63)/(AX$10)-1)*costos!$J$17+((V63*F63)/(V$10*F$10)-1)*costos!$K$17)))</f>
        <v>485.14226913515097</v>
      </c>
      <c r="CL63" s="92">
        <f>CL$10*(1+((H63/H$10-1)*costos!$B$18+((I63*F63)/(I$10*F$10)-1)*costos!$E$18+((J63*F63)/((J$10*F$10)-1)*costos!$F$18/3+((K63*F63)/(K$10*F$10)-1)*costos!$F$18/3+((U63*F63)/(U$10*F$10)-1)*costos!$F$18/3+((L63*F63)/(L$10*F$10)-1)*costos!$G$18+((AY63)/(AY$10)-1)*costos!$J$18+((V63*F63)/(V$10*F$10)-1)*costos!$K$18)))</f>
        <v>561.91665378952825</v>
      </c>
      <c r="CM63" s="92">
        <f>CM$10*(1+((H63/H$10-1)*costos!$B$19+((I63*F63)/(I$10*F$10)-1)*costos!$E$19+((J63*F63)/((J$10*F$10)-1)*costos!$F$19/3+((K63*F63)/(K$10*F$10)-1)*costos!$F$19/3+((U63*F63)/(U$10*F$10)-1)*costos!$F$19/3+((L63*F63)/(L$10*F$10)-1)*costos!$G$19+((AZ63)/(AZ$10)-1)*costos!$J$19+((V63*F63)/(V$10*F$10)-1)*costos!$K$19)))</f>
        <v>530.08661051078093</v>
      </c>
      <c r="CN63" s="92">
        <f>CN$10*(1+((H63/H$10-1)*costos!$B$20+((I63*F63)/(I$10*F$10)-1)*costos!$E$20+((J63*F63)/((J$10*F$10)-1)*costos!$F$20/3+((K63*F63)/(K$10*F$10)-1)*costos!$F$20/3+((U63*F63)/(U$10*F$10)-1)*costos!$F$20/3+((L63*F63)/(L$10*F$10)-1)*costos!$G$20+((BA63)/(BA$10)-1)*costos!$J$20+((V63*F63)/(V$10*F$10)-1)*costos!$K$20)))</f>
        <v>388.98382922276494</v>
      </c>
      <c r="CO63" s="92">
        <f t="shared" si="300"/>
        <v>491.53234066455627</v>
      </c>
      <c r="CP63" s="92">
        <f>CP$10*(1+((H63/H$10-1)*costos!$B$22+((I63*F63)/(I$10*F$10)-1)*costos!$E$22+((J63*F63)/((J$10*F$10)-1)*costos!$F$22/3+((K63*F63)/(K$10*F$10)-1)*costos!$F$22/3+((U63*F63)/(U$10*F$10)-1)*costos!$F$22/3+((L63*F63)/(L$10*F$10)-1)*costos!$G$22+(((AVERAGE(AI63:AL63))/((AVERAGE(AI$10:AL$10))-1)*costos!$J$22+((V63*F63)/(V$10*F$10)-1)*costos!$K$22)))))</f>
        <v>485.39470724763413</v>
      </c>
      <c r="CQ63" s="92">
        <f>CQ$10*(1+((H63/H$10-1)*costos!$B$23+((I63*F63)/(I$10*F$10)-1)*costos!$E$23+((J63*F63)/((J$10*F$10)-1)*costos!$F$23/3+((K63*F63)/(K$10*F$10)-1)*costos!$F$23/3+((U63*F63)/(U$10*F$10)-1)*costos!$F$23/3+((L63*F63)/(L$10*F$10)-1)*costos!$G$23+((AN63)/(AN$10)-1)*costos!$J$23+((V63*F63)/(V$10*F$10)-1)*costos!$K$23)))</f>
        <v>411.97299657809037</v>
      </c>
      <c r="CR63" s="92">
        <f>CR$10*(1+((H63/H$10-1)*costos!$B$24+((I63*F63)/(I$10*F$10)-1)*costos!$E$24+((J63*F63)/((J$10*F$10)-1)*costos!$F$24/3+((K63*F63)/(K$10*F$10)-1)*costos!$F$24/3+((U63*F63)/(U$10*F$10)-1)*costos!$F$24/3+((L63*F63)/(L$10*F$10)-1)*costos!$G$24+((AO63)/(AO$10)-1)*costos!$J$24+((V63*F63)/(V$10*F$10)-1)*costos!$K$24)))</f>
        <v>430.79145662886981</v>
      </c>
      <c r="CS63" s="92">
        <f t="shared" si="62"/>
        <v>421.38222660348009</v>
      </c>
      <c r="CT63" s="92">
        <f>CT$10*(1+((H63/H$10-1)*costos!$B$25+((I63*F63)/(I$10*F$10)-1)*costos!$E$25+((J63*F63)/((J$10*F$10)-1)*costos!$F$25/3+((K63*F63)/(K$10*F$10)-1)*costos!$F$25/3+((U63*F63)/(U$10*F$10)-1)*costos!$F$25/3+((L63*F63)/(L$10*F$10)-1)*costos!$G$25+((AQ63)/(AQ$10)-1)*costos!$J$25+((V63*F63)/(V$10*F$10)-1)*costos!$K$25)))</f>
        <v>391.91612665935554</v>
      </c>
      <c r="CU63" s="92">
        <f>CU$10*(1+((H63/H$10-1)*costos!$B$26+((I63*F63)/(I$10*F$10)-1)*costos!$E$26+((J63*F63)/((J$10*F$10)-1)*costos!$F$26/3+((K63*F63)/(K$10*F$10)-1)*costos!$F$26/3+((U63*F63)/(U$10*F$10)-1)*costos!$F$26/3+((L63*F63)/(L$10*F$10)-1)*costos!$G$26+((AR63)/(AR$10)-1)*costos!$J$26+((V63*F63)/(V$10*F$10)-1)*costos!$K$26)))</f>
        <v>426.62187006969799</v>
      </c>
      <c r="CV63" s="92">
        <f>CV$10*(1+((H63/H$10-1)*costos!$B$27+((I63*F63)/(I$10*F$10)-1)*costos!$E$27+((J63*F63)/((J$10*F$10)-1)*costos!$F$27/3+((K63*F63)/(K$10*F$10)-1)*costos!$F$27/3+((U63*F63)/(U$10*F$10)-1)*costos!$F$27/3+((L63*F63)/(L$10*F$10)-1)*costos!$G$27+((AS63)/(AS$10)-1)*costos!$J$27+((V63*F63)/(V$10*F$10)-1)*costos!$K$27)))</f>
        <v>424.47067213622898</v>
      </c>
      <c r="CW63" s="92">
        <f>CW$10*(1+((H63/H$10-1)*costos!$B$28+((I63*F63)/(I$10*F$10)-1)*costos!$E$28+((J63*F63)/((J$10*F$10)-1)*costos!$F$28/3+((K63*F63)/(K$10*F$10)-1)*costos!$F$28/3+((U63*F63)/(U$10*F$10)-1)*costos!$F$28/3+((L63*F63)/(L$10*F$10)-1)*costos!$G$28+((AS63)/(AS$10)-1)*costos!$J$28+((V63*F63)/(V$10*F$10)-1)*costos!$K$28)))</f>
        <v>424.47067213622898</v>
      </c>
      <c r="CX63" s="92">
        <f t="shared" si="301"/>
        <v>425.18773811405202</v>
      </c>
      <c r="CY63" s="92">
        <f>CY$10*(1+((H63/H$10-1)*costos!$B$32+((I63*F63)/(I$10*F$10)-1)*costos!$E$32+((J63*F63)/((J$10*F$10)-1)*costos!$F$32/3+((K63*F63)/(K$10*F$10)-1)*costos!$F$32/3+((U63*F63)/(U$10*F$10)-1)*costos!$F$32/3+((L63*F63)/(L$10*F$10)-1)*costos!$G$32+((AG63)/(AG$10)-1)*costos!$J$32+((V63*F63)/(V$10*F$10)-1)*costos!$K$32)))</f>
        <v>429.34658313976257</v>
      </c>
      <c r="CZ63" s="69">
        <f>CZ$10*(1+((H63/H$10-1)*costos!$B$31+((I63*F63)/(I$10*F$10)-1)*costos!$E$30+((J63*F63)/((J$10*F$10)-1)*costos!$F$30/3+((K63*F63)/(K$10*F$10)-1)*costos!$F$30/3+((U63*F63)/(U$10*F$10)-1)*costos!$F$30/3+((L63*F63)/(L$10*F$10)-1)*costos!$G$30+((BG63)/(BG$10)-1)*costos!$J$30+((V63*F63)/(V$10*F$10)-1)*costos!$K$30)))</f>
        <v>508.96743882354275</v>
      </c>
      <c r="DA63" s="69">
        <f>DA$10*(1+((H63/H$10-1)*costos!$B$31+((I63*F63)/(I$10*F$10)-1)*costos!$E$31+((J63*F63)/((J$10*F$10)-1)*costos!$F$31/3+((K63*F63)/(K$10*F$10)-1)*costos!$F$31/3+((U63*F63)/(U$10*F$10)-1)*costos!$F$31/3+((L63*F63)/(L$10*F$10)-1)*costos!$G$31+((BJ63)/(BJ$10)-1)*costos!$J$31+((V63*F63)/(V$10*F$10)-1)*costos!$K$31)))</f>
        <v>433.07987745724006</v>
      </c>
      <c r="DB63" s="69">
        <f>DB$10*(1+((H63/H$10-1)*costos!$B$36+((I63*F63)/(I$10*F$10)-1)*costos!$E$36+((J63*F63)/((J$10*F$10)-1)*costos!$F$36/3+((K63*F63)/(K$10*F$10)-1)*costos!$F$36/3+((U63*F63)/(U$10*F$10)-1)*costos!$F$36/3+((L63*F63)/(L$10*F$10)-1)*costos!$G$36+((BK63)/(BK$10)-1)*costos!$J$36+((V63*F63)/(V$10*F$10)-1)*costos!$K$36)))</f>
        <v>436.7467386744334</v>
      </c>
      <c r="DC63" s="69">
        <f>DC$10*(1+((H63/H$10-1)*costos!$B$37+((I63*F63)/(I$10*F$10)-1)*costos!$E$37+((U63*F63)/(U$10*F$10)-1)*costos!$F$37+((L63*F63)/(L$10*F$10)-1)*costos!$G$37+((BN63)/(BN$10)-1)*costos!$J$37+((V63*F63)/(V$10*F$10)-1)*costos!$K$37))</f>
        <v>453.17802255876654</v>
      </c>
      <c r="DD63" s="69">
        <f>DD$10*(1+((H63/H$10-1)*costos!$B$39+((I63*F63)/(I$10*F$10)-1)*costos!$E$39+((U63*F63)/(U$10*F$10)-1)*costos!$F$39+((L63*F63)/(L$10*F$10)-1)*costos!$G$39+((BR63)/(BR$10)-1)*costos!$J$39+((V63*F63)/(V$10*F$10)-1)*costos!$K$39))</f>
        <v>438.37473944337199</v>
      </c>
      <c r="DE63" s="69">
        <f>DD$10*(1+((H63/H$10-1)*costos!$B$35+((I63*F63)/(I$10*F$10)-1)*costos!$E$35+((U63*F63)/(U$10*F$10)-1)*costos!$F$35+((L63*F63)/(L$10*F$10)-1)*costos!$G$35+((BR63)/(BR$10)-1)*costos!$J$35+((V63*F63)/(V$10*F$10)-1)*costos!$K$35))</f>
        <v>403.21342914769627</v>
      </c>
      <c r="DF63" s="69">
        <f>DF$10*(1+((H63/H$10-1)*costos!$B$40+((I63*F63)/(I$10*F$10)-1)*costos!$E$40+((U63*F63)/(U$10*F$10)-1)*costos!$F$40+((L63*F63)/(L$10*F$10)-1)*costos!$G$40+((BP63)/(BP$10)-1)*costos!$J$40+((V63*F63)/(V$10*F$10)-1)*costos!$K$40))</f>
        <v>458.22427931580989</v>
      </c>
      <c r="DG63" s="92">
        <f t="shared" si="302"/>
        <v>430.71885423175308</v>
      </c>
      <c r="DH63" s="69">
        <f>DH$10*(1+((H63/H$10-1)*costos!$B$34+((I63*F63)/(I$10*F$10)-1)*costos!$E$34+((J63*F63)/((J$10*F$10)-1)*costos!$F$34/3+((K63*F63)/(K$10*F$10)-1)*costos!$F$34/3+((U63*F63)/(U$10*F$10)-1)*costos!$F$34/3+((L63*F63)/(L$10*F$10)-1)*costos!$G$34+((BV63)/(BV$10)-1)*costos!$J$34+((V63*F63)/(V$10*F$10)-1)*costos!$K$34)))</f>
        <v>448.0655673317213</v>
      </c>
      <c r="DI63" s="69">
        <f>DI$10*(1+((H63/H$10-1)*costos!$B$38+((I63*F63)/(I$10*F$10)-1)*costos!$E$38+((J63*F63)/((J$10*F$10)-1)*costos!$F$38/3+((K63*F63)/(K$10*F$10)-1)*costos!$F$38/3+((U63*F63)/(U$10*F$10)-1)*costos!$F$38/3+((L63*F63)/(L$10*F$10)-1)*costos!$G$38+((BU63)/(BU$10)-1)*costos!$J$38+((V63*F63)/(V$10*F$10)-1)*costos!$K$38)))</f>
        <v>420.10320215446433</v>
      </c>
      <c r="DK63" s="1">
        <v>450000</v>
      </c>
      <c r="DL63" s="1" t="s">
        <v>323</v>
      </c>
      <c r="DM63" s="1">
        <v>190000</v>
      </c>
      <c r="DN63" s="1" t="s">
        <v>323</v>
      </c>
      <c r="DO63" s="1">
        <v>1250000</v>
      </c>
      <c r="DP63" s="1" t="s">
        <v>377</v>
      </c>
      <c r="DQ63" s="1">
        <v>1600000</v>
      </c>
      <c r="DR63" s="1" t="s">
        <v>323</v>
      </c>
      <c r="DS63" s="1">
        <v>6300000</v>
      </c>
      <c r="DT63" s="1" t="s">
        <v>323</v>
      </c>
      <c r="DU63" s="1">
        <v>17200000</v>
      </c>
      <c r="DV63" s="1" t="s">
        <v>323</v>
      </c>
      <c r="DW63" s="1">
        <v>510000</v>
      </c>
      <c r="DX63" s="1" t="s">
        <v>323</v>
      </c>
      <c r="DY63" s="1">
        <v>6730000</v>
      </c>
      <c r="DZ63" s="1" t="s">
        <v>377</v>
      </c>
      <c r="EA63" s="79">
        <f t="shared" si="67"/>
        <v>33590000</v>
      </c>
      <c r="EB63" s="1">
        <v>351733</v>
      </c>
      <c r="EC63" s="1" t="s">
        <v>323</v>
      </c>
      <c r="ED63" s="1">
        <v>174820</v>
      </c>
      <c r="EE63" s="143">
        <v>2020</v>
      </c>
      <c r="EF63" s="1">
        <v>214798</v>
      </c>
      <c r="EG63" s="6">
        <v>2020</v>
      </c>
      <c r="EH63" s="1">
        <v>54460799</v>
      </c>
      <c r="EI63" s="6">
        <v>2020</v>
      </c>
      <c r="EJ63" s="1">
        <v>5377071</v>
      </c>
      <c r="EK63" s="6">
        <f t="shared" si="285"/>
        <v>2020</v>
      </c>
      <c r="EL63" s="1">
        <v>14774196</v>
      </c>
      <c r="EM63" s="6">
        <v>2019</v>
      </c>
      <c r="EN63" s="1">
        <v>3201657</v>
      </c>
      <c r="EO63" s="6">
        <v>2019</v>
      </c>
      <c r="EP63" s="82">
        <f t="shared" si="286"/>
        <v>6552</v>
      </c>
      <c r="EQ63" s="83">
        <f t="shared" si="286"/>
        <v>3257556</v>
      </c>
      <c r="ER63" s="1">
        <f t="shared" si="189"/>
        <v>33739</v>
      </c>
      <c r="ES63" s="1"/>
      <c r="ET63" s="83">
        <f t="shared" si="289"/>
        <v>19456</v>
      </c>
      <c r="EU63" s="83">
        <f t="shared" si="289"/>
        <v>17935</v>
      </c>
      <c r="EV63" s="83">
        <f t="shared" si="289"/>
        <v>9101</v>
      </c>
      <c r="EW63" s="83">
        <f t="shared" si="289"/>
        <v>17303</v>
      </c>
      <c r="EX63" s="79">
        <f t="shared" si="72"/>
        <v>63795</v>
      </c>
      <c r="EY63" s="83">
        <f t="shared" si="290"/>
        <v>19804</v>
      </c>
      <c r="EZ63" s="82">
        <f t="shared" si="290"/>
        <v>79940</v>
      </c>
      <c r="FA63" s="82">
        <f t="shared" si="290"/>
        <v>20476</v>
      </c>
      <c r="FB63" s="82">
        <f t="shared" si="290"/>
        <v>18080</v>
      </c>
      <c r="FC63" s="79">
        <f t="shared" si="295"/>
        <v>38556</v>
      </c>
      <c r="FD63" s="83">
        <f t="shared" si="158"/>
        <v>59152.38</v>
      </c>
      <c r="FE63" s="1"/>
      <c r="FF63" s="1">
        <v>1100000</v>
      </c>
      <c r="FG63" s="1" t="s">
        <v>323</v>
      </c>
      <c r="FH63" s="1">
        <v>1200000</v>
      </c>
      <c r="FI63" s="1" t="s">
        <v>323</v>
      </c>
      <c r="FJ63" s="1">
        <v>3800000</v>
      </c>
      <c r="FK63" s="1" t="s">
        <v>323</v>
      </c>
      <c r="FL63" s="1">
        <v>3300000</v>
      </c>
      <c r="FM63" s="1" t="s">
        <v>323</v>
      </c>
      <c r="FN63" s="1">
        <v>50000000</v>
      </c>
      <c r="FO63" s="1" t="s">
        <v>323</v>
      </c>
      <c r="FP63" s="1">
        <v>50000000</v>
      </c>
      <c r="FQ63" s="1" t="s">
        <v>323</v>
      </c>
      <c r="FR63" s="1">
        <v>1600000</v>
      </c>
      <c r="FS63" s="1" t="s">
        <v>323</v>
      </c>
      <c r="FT63" s="1">
        <v>19775000</v>
      </c>
      <c r="FU63" s="1" t="s">
        <v>323</v>
      </c>
      <c r="FV63" s="79">
        <f t="shared" si="76"/>
        <v>128475000</v>
      </c>
      <c r="FW63" s="1">
        <v>1263869</v>
      </c>
      <c r="FX63" s="1" t="s">
        <v>323</v>
      </c>
      <c r="FY63" s="83">
        <v>104101</v>
      </c>
      <c r="FZ63" s="79">
        <f t="shared" si="135"/>
        <v>782155.57400000002</v>
      </c>
      <c r="GA63" s="86" t="str">
        <f t="shared" si="271"/>
        <v>jul19 jun20</v>
      </c>
      <c r="GB63" s="83">
        <v>20557455</v>
      </c>
      <c r="GC63" s="6">
        <v>2020</v>
      </c>
      <c r="GD63" s="83">
        <f t="shared" si="265"/>
        <v>1974652</v>
      </c>
      <c r="GE63" s="83">
        <f t="shared" si="265"/>
        <v>367136</v>
      </c>
      <c r="GF63" s="83">
        <v>957160</v>
      </c>
      <c r="GG63" s="83">
        <f t="shared" si="268"/>
        <v>89049</v>
      </c>
      <c r="GH63" s="79">
        <f t="shared" si="240"/>
        <v>1413345</v>
      </c>
      <c r="GI63" s="82">
        <f t="shared" si="232"/>
        <v>1302556</v>
      </c>
      <c r="GJ63" s="83">
        <f t="shared" si="215"/>
        <v>666015</v>
      </c>
      <c r="GK63" s="83">
        <f t="shared" si="216"/>
        <v>1221000</v>
      </c>
      <c r="GL63" s="83">
        <f t="shared" si="217"/>
        <v>294346.89</v>
      </c>
      <c r="GM63" s="83">
        <f t="shared" si="218"/>
        <v>260133.24</v>
      </c>
      <c r="GN63" s="79">
        <f t="shared" si="81"/>
        <v>2441495.13</v>
      </c>
      <c r="GO63" s="83">
        <f t="shared" si="291"/>
        <v>198452.81</v>
      </c>
      <c r="GP63" s="83">
        <f t="shared" si="291"/>
        <v>73538</v>
      </c>
      <c r="GQ63" s="83">
        <v>24646</v>
      </c>
      <c r="GR63" s="83">
        <v>42000</v>
      </c>
      <c r="GS63" s="79">
        <f t="shared" si="192"/>
        <v>42739.38</v>
      </c>
      <c r="GT63" s="83">
        <f t="shared" si="296"/>
        <v>2884000</v>
      </c>
      <c r="GU63" s="1">
        <v>51402</v>
      </c>
      <c r="GV63" s="1">
        <v>49977</v>
      </c>
      <c r="GW63" s="79">
        <f t="shared" si="261"/>
        <v>1212066</v>
      </c>
      <c r="GX63" s="1">
        <v>34954.608</v>
      </c>
      <c r="GY63" s="1" t="s">
        <v>340</v>
      </c>
      <c r="GZ63" s="1">
        <v>112856</v>
      </c>
      <c r="HA63" s="1">
        <v>269433</v>
      </c>
      <c r="HB63" s="79">
        <f t="shared" si="241"/>
        <v>3167469.0870000003</v>
      </c>
      <c r="HC63" s="86" t="str">
        <f t="shared" si="272"/>
        <v>jul19 jun20</v>
      </c>
      <c r="HD63" s="1">
        <v>62483</v>
      </c>
      <c r="HE63" s="79">
        <f t="shared" si="139"/>
        <v>635449</v>
      </c>
      <c r="HF63" s="86" t="str">
        <f t="shared" si="273"/>
        <v>jul19 jun20</v>
      </c>
      <c r="HG63" s="83">
        <v>184000</v>
      </c>
      <c r="HH63" s="79">
        <f t="shared" si="242"/>
        <v>2247000</v>
      </c>
      <c r="HI63" s="86" t="str">
        <f t="shared" si="274"/>
        <v>jul19 jun20</v>
      </c>
      <c r="HJ63" s="83">
        <v>68503</v>
      </c>
      <c r="HK63" s="79">
        <f t="shared" si="278"/>
        <v>56034.537600000003</v>
      </c>
      <c r="HL63" s="86" t="str">
        <f t="shared" si="275"/>
        <v>jul19 jun20</v>
      </c>
      <c r="HM63" s="79">
        <f t="shared" si="86"/>
        <v>2303034.5375999999</v>
      </c>
      <c r="HN63" s="87">
        <f t="shared" si="297"/>
        <v>0.10631188118811874</v>
      </c>
      <c r="HO63" s="1">
        <v>893900000</v>
      </c>
      <c r="HP63" s="79">
        <f t="shared" si="153"/>
        <v>10767.1</v>
      </c>
      <c r="HQ63" s="86" t="str">
        <f t="shared" si="276"/>
        <v>jul19 jun20</v>
      </c>
      <c r="HR63" s="1"/>
      <c r="HS63" s="1"/>
      <c r="HT63" s="1"/>
      <c r="HU63" s="1">
        <v>650000</v>
      </c>
      <c r="HV63" s="1" t="s">
        <v>323</v>
      </c>
      <c r="HW63" s="1">
        <v>1300000</v>
      </c>
      <c r="HX63" s="1" t="s">
        <v>323</v>
      </c>
      <c r="HY63" s="1">
        <f t="shared" si="304"/>
        <v>2980000</v>
      </c>
      <c r="HZ63" s="1" t="s">
        <v>323</v>
      </c>
      <c r="IA63" s="1">
        <f t="shared" si="305"/>
        <v>21140000</v>
      </c>
      <c r="IB63" s="1" t="s">
        <v>323</v>
      </c>
      <c r="IC63" s="1">
        <v>45000000</v>
      </c>
      <c r="ID63" s="1" t="s">
        <v>323</v>
      </c>
      <c r="IE63" s="1">
        <f t="shared" si="281"/>
        <v>1150000</v>
      </c>
      <c r="IF63" s="1" t="s">
        <v>323</v>
      </c>
      <c r="IG63" s="1">
        <f t="shared" si="282"/>
        <v>7500000</v>
      </c>
      <c r="IH63" s="1" t="s">
        <v>323</v>
      </c>
      <c r="II63" s="79">
        <f t="shared" si="87"/>
        <v>79070000</v>
      </c>
      <c r="IJ63" s="97">
        <f t="shared" si="298"/>
        <v>1.6786218979067327</v>
      </c>
      <c r="IK63" s="1" t="s">
        <v>323</v>
      </c>
      <c r="IL63" s="98">
        <v>44.65</v>
      </c>
      <c r="IM63" s="7">
        <v>54.17</v>
      </c>
      <c r="IN63" s="95">
        <f>+(IN51/IN50)*IN62</f>
        <v>179.3</v>
      </c>
      <c r="IO63" s="696">
        <v>16.16</v>
      </c>
      <c r="IP63" s="176">
        <f t="shared" si="292"/>
        <v>5.7853601487586115</v>
      </c>
      <c r="IQ63" s="7">
        <v>20.7</v>
      </c>
      <c r="IR63" s="98">
        <f t="shared" si="293"/>
        <v>4.79</v>
      </c>
      <c r="IS63" s="98">
        <f t="shared" si="293"/>
        <v>5.29</v>
      </c>
      <c r="IT63" s="98">
        <f t="shared" si="293"/>
        <v>12.22</v>
      </c>
      <c r="IU63" s="98">
        <f t="shared" si="293"/>
        <v>0.38</v>
      </c>
      <c r="IV63" s="94">
        <f t="shared" si="89"/>
        <v>17.89</v>
      </c>
      <c r="IW63" s="1"/>
      <c r="IX63" s="1"/>
      <c r="IY63" s="105">
        <v>1.86</v>
      </c>
      <c r="IZ63" s="161">
        <v>0.1</v>
      </c>
      <c r="JA63" s="83">
        <v>1000</v>
      </c>
      <c r="JB63" s="7">
        <v>44.74</v>
      </c>
      <c r="JC63" s="1"/>
      <c r="JD63" s="1"/>
      <c r="JE63" s="99"/>
      <c r="JF63" s="2">
        <v>9.5502929499999993</v>
      </c>
      <c r="JG63" s="2">
        <v>19.68299167</v>
      </c>
      <c r="JH63" s="2">
        <v>28.812829230000002</v>
      </c>
      <c r="JI63" s="2">
        <v>79.871763459999997</v>
      </c>
      <c r="JJ63" s="2">
        <v>729.50383697999985</v>
      </c>
      <c r="JK63" s="2">
        <v>110.11008171999998</v>
      </c>
      <c r="JL63" s="2">
        <v>2355.2590625800003</v>
      </c>
      <c r="JM63" s="2">
        <v>98.240435870000013</v>
      </c>
      <c r="JN63" s="2">
        <v>84.304234520000009</v>
      </c>
      <c r="JO63" s="2">
        <v>15.489879129999998</v>
      </c>
      <c r="JP63" s="2">
        <v>0</v>
      </c>
      <c r="JQ63" s="2">
        <v>7.2074989699999996</v>
      </c>
      <c r="JR63" s="2">
        <v>1.5739355399999999</v>
      </c>
      <c r="JS63" s="2">
        <v>0</v>
      </c>
      <c r="JT63" s="2">
        <v>0.14220168</v>
      </c>
      <c r="JU63" s="2">
        <v>57.344988190000002</v>
      </c>
      <c r="JV63" s="2">
        <v>9.7397240400000005</v>
      </c>
      <c r="JW63" s="2">
        <v>19.27893727</v>
      </c>
      <c r="JX63" s="2">
        <v>77.535035399999998</v>
      </c>
      <c r="JY63" s="2">
        <v>0</v>
      </c>
      <c r="JZ63" s="2">
        <v>3.6902135600000001</v>
      </c>
      <c r="KA63" s="2">
        <v>0.32750000000000001</v>
      </c>
      <c r="KB63" s="2">
        <v>17.631225969999999</v>
      </c>
      <c r="KC63" s="2">
        <v>32.826864629999996</v>
      </c>
      <c r="KD63" s="2">
        <v>7.8508492499999996</v>
      </c>
      <c r="KE63" s="2">
        <v>24.392327029999997</v>
      </c>
      <c r="KF63" s="2">
        <v>37.302044709999997</v>
      </c>
      <c r="KG63" s="2">
        <v>277.66392208999997</v>
      </c>
      <c r="KH63" s="2">
        <v>79.487940089999995</v>
      </c>
      <c r="KI63" s="2">
        <v>12.37667298</v>
      </c>
      <c r="KJ63" s="2">
        <v>7.9872750300000002</v>
      </c>
      <c r="KK63" s="2">
        <v>3.8763114700000001</v>
      </c>
      <c r="KL63" s="2">
        <v>0.19334087999999999</v>
      </c>
      <c r="KM63" s="2">
        <v>1.0315885199999999</v>
      </c>
      <c r="KN63" s="2">
        <v>0.25815978999999994</v>
      </c>
      <c r="KO63" s="2">
        <v>0.50044129000000004</v>
      </c>
      <c r="KP63" s="2">
        <v>7.1622210000000006E-2</v>
      </c>
      <c r="KQ63" s="2">
        <v>205.19962316999997</v>
      </c>
      <c r="KR63" s="2">
        <v>0.25879832999999997</v>
      </c>
      <c r="KS63" s="2">
        <v>0.25184392999999999</v>
      </c>
      <c r="KT63" s="2">
        <v>1.49405359</v>
      </c>
      <c r="KU63" s="2">
        <v>8.478405E-2</v>
      </c>
      <c r="KV63" s="2">
        <v>0</v>
      </c>
      <c r="KW63" s="2">
        <v>4.2392860199999998</v>
      </c>
      <c r="KX63" s="2">
        <v>0</v>
      </c>
      <c r="KY63" s="2">
        <v>0</v>
      </c>
      <c r="KZ63" s="2">
        <v>0.92527935000000006</v>
      </c>
      <c r="LA63" s="2">
        <v>8.4648730000000005E-2</v>
      </c>
      <c r="LB63" s="2">
        <v>3.8103769999999995E-2</v>
      </c>
      <c r="LC63" s="2">
        <v>1.2120000000000001E-2</v>
      </c>
      <c r="LD63" s="2">
        <v>0</v>
      </c>
      <c r="LE63" s="2">
        <v>0</v>
      </c>
      <c r="LF63" s="2">
        <v>0</v>
      </c>
      <c r="LG63" s="2">
        <v>16.878989830000002</v>
      </c>
      <c r="LH63" s="2">
        <v>6.7586806399999997</v>
      </c>
      <c r="LI63" s="2">
        <v>4.9403821599999995</v>
      </c>
      <c r="LJ63" s="2">
        <v>0</v>
      </c>
      <c r="LK63" s="2">
        <v>1.7210603500000001</v>
      </c>
      <c r="LL63" s="2">
        <v>7.1575996599999998</v>
      </c>
      <c r="LM63" s="2">
        <v>0.78434152000000001</v>
      </c>
      <c r="LN63" s="2">
        <v>1.9164360000000002E-2</v>
      </c>
      <c r="LO63" s="2">
        <v>3.3873133300000005</v>
      </c>
      <c r="LQ63" s="85">
        <f t="shared" si="247"/>
        <v>3375.9921626400005</v>
      </c>
      <c r="LR63" s="85">
        <f t="shared" si="248"/>
        <v>8.9236361899999999</v>
      </c>
      <c r="LS63" s="85">
        <f t="shared" si="249"/>
        <v>29.018661309999999</v>
      </c>
      <c r="LT63" s="85">
        <f t="shared" si="250"/>
        <v>4.0177135599999998</v>
      </c>
      <c r="LU63" s="85">
        <f t="shared" si="251"/>
        <v>207.50045502999996</v>
      </c>
      <c r="LV63" s="85">
        <f t="shared" si="252"/>
        <v>4.2392860199999998</v>
      </c>
      <c r="LW63" s="85">
        <f t="shared" si="253"/>
        <v>0.1227525</v>
      </c>
      <c r="LX63" s="85">
        <f t="shared" si="254"/>
        <v>0</v>
      </c>
      <c r="LZ63" s="131">
        <v>79.36</v>
      </c>
      <c r="MA63" s="171">
        <v>72.56</v>
      </c>
      <c r="MB63"/>
      <c r="MC63"/>
      <c r="MD63"/>
      <c r="MF63"/>
      <c r="MG63"/>
      <c r="MH63" s="83">
        <v>116.46</v>
      </c>
      <c r="MI63" s="83">
        <v>44.41</v>
      </c>
      <c r="MJ63" s="83">
        <v>33.85</v>
      </c>
      <c r="MK63"/>
      <c r="ML63" s="83">
        <v>51.22</v>
      </c>
      <c r="MM63" s="83">
        <v>107.22</v>
      </c>
      <c r="MN63" s="83"/>
      <c r="MO63" s="83">
        <v>38.32</v>
      </c>
      <c r="MP63" s="83">
        <v>65.53</v>
      </c>
      <c r="MQ63" s="83">
        <v>84.35</v>
      </c>
      <c r="MR63"/>
      <c r="MT63" s="83"/>
      <c r="MU63" s="83">
        <v>44.38</v>
      </c>
      <c r="MV63"/>
      <c r="MW63"/>
      <c r="MX63"/>
      <c r="MY63" s="83">
        <v>115.09</v>
      </c>
      <c r="MZ63" s="83">
        <v>283</v>
      </c>
      <c r="NA63" s="83">
        <v>110.9</v>
      </c>
      <c r="NB63" s="83">
        <v>348.32</v>
      </c>
      <c r="NC63" s="83">
        <v>54.87</v>
      </c>
      <c r="ND63"/>
      <c r="NE63" s="1">
        <v>277.94</v>
      </c>
    </row>
    <row r="64" spans="1:369">
      <c r="A64" s="38">
        <f t="shared" si="219"/>
        <v>44013</v>
      </c>
      <c r="B64" s="36">
        <f t="shared" si="287"/>
        <v>7</v>
      </c>
      <c r="C64" s="36">
        <f t="shared" si="288"/>
        <v>2020</v>
      </c>
      <c r="D64" s="36">
        <f t="shared" si="50"/>
        <v>64</v>
      </c>
      <c r="E64" s="38">
        <f t="shared" si="220"/>
        <v>44013</v>
      </c>
      <c r="F64" s="7">
        <v>75.8</v>
      </c>
      <c r="G64" s="7">
        <v>328.20139999999998</v>
      </c>
      <c r="H64" s="1">
        <f>[2]NACIONALES!$D52</f>
        <v>35246.089999999997</v>
      </c>
      <c r="I64" s="7">
        <v>74</v>
      </c>
      <c r="J64" s="7">
        <v>365</v>
      </c>
      <c r="K64" s="7">
        <v>3.3</v>
      </c>
      <c r="L64" s="7">
        <v>21.1</v>
      </c>
      <c r="N64" s="5">
        <v>1.0369999999999999</v>
      </c>
      <c r="O64" s="5">
        <v>0.874</v>
      </c>
      <c r="P64" s="78">
        <f t="shared" si="294"/>
        <v>68.805554999999998</v>
      </c>
      <c r="Q64" s="6">
        <v>1900</v>
      </c>
      <c r="R64" s="79">
        <f t="shared" si="222"/>
        <v>19000</v>
      </c>
      <c r="S64" s="6">
        <f>9923.33/F64</f>
        <v>130.91464379947229</v>
      </c>
      <c r="T64" s="6">
        <v>263.52</v>
      </c>
      <c r="U64" s="143">
        <v>135.77142857142857</v>
      </c>
      <c r="V64" s="6">
        <v>222.18571428571425</v>
      </c>
      <c r="W64" s="6">
        <f t="shared" si="284"/>
        <v>120.24000000000001</v>
      </c>
      <c r="X64" s="6">
        <v>171.31904761904761</v>
      </c>
      <c r="Y64" s="79">
        <f t="shared" si="223"/>
        <v>9923.3299999999981</v>
      </c>
      <c r="Z64" s="79">
        <f t="shared" si="224"/>
        <v>19974.815999999999</v>
      </c>
      <c r="AA64" s="79">
        <f t="shared" si="225"/>
        <v>10291.474285714285</v>
      </c>
      <c r="AB64" s="79">
        <f t="shared" si="226"/>
        <v>16841.677142857141</v>
      </c>
      <c r="AC64" s="79">
        <f t="shared" si="227"/>
        <v>9114.1920000000009</v>
      </c>
      <c r="AD64" s="79">
        <f t="shared" si="228"/>
        <v>12985.983809523808</v>
      </c>
      <c r="AE64" s="79">
        <f t="shared" si="229"/>
        <v>13188.578873015871</v>
      </c>
      <c r="AF64" s="1">
        <v>45260.74545454546</v>
      </c>
      <c r="AG64" s="1">
        <v>20000</v>
      </c>
      <c r="AH64" s="1">
        <v>76000</v>
      </c>
      <c r="AI64" s="5">
        <v>13.28</v>
      </c>
      <c r="AJ64" s="5">
        <v>12.49</v>
      </c>
      <c r="AK64" s="5">
        <v>13.88</v>
      </c>
      <c r="AL64" s="5">
        <v>12.54</v>
      </c>
      <c r="AM64" s="78">
        <f t="shared" si="230"/>
        <v>13.226800000000001</v>
      </c>
      <c r="AN64" s="7">
        <v>953.85620915032678</v>
      </c>
      <c r="AO64" s="7">
        <v>773.84227272727253</v>
      </c>
      <c r="AP64" s="78">
        <f t="shared" si="277"/>
        <v>773.84227272727253</v>
      </c>
      <c r="AQ64" s="7">
        <v>321.22137404580155</v>
      </c>
      <c r="AR64" s="7">
        <v>598.17136363636359</v>
      </c>
      <c r="AS64" s="7">
        <v>493.53590909090906</v>
      </c>
      <c r="AT64" s="7">
        <v>554.18181818181813</v>
      </c>
      <c r="AU64" s="78">
        <f t="shared" si="53"/>
        <v>548.62969696969685</v>
      </c>
      <c r="AV64" s="7">
        <v>364.21052631578948</v>
      </c>
      <c r="AW64" s="7">
        <v>796.36363636363637</v>
      </c>
      <c r="AX64" s="7">
        <v>638.32590909090914</v>
      </c>
      <c r="AY64" s="7">
        <v>440.30456852791878</v>
      </c>
      <c r="AZ64" s="7">
        <v>768.77272727272725</v>
      </c>
      <c r="BA64" s="7">
        <v>202.88888888888889</v>
      </c>
      <c r="BB64" s="94">
        <f t="shared" si="45"/>
        <v>546.15850388401782</v>
      </c>
      <c r="BC64" s="164">
        <v>1262</v>
      </c>
      <c r="BD64" s="164">
        <v>1520</v>
      </c>
      <c r="BE64" s="97">
        <v>1120</v>
      </c>
      <c r="BF64" s="97">
        <v>720</v>
      </c>
      <c r="BG64" s="94">
        <f t="shared" si="56"/>
        <v>1155.5</v>
      </c>
      <c r="BH64" s="7">
        <f t="shared" si="306"/>
        <v>127.93</v>
      </c>
      <c r="BI64" s="97">
        <f t="shared" si="303"/>
        <v>25</v>
      </c>
      <c r="BJ64" s="78">
        <f t="shared" si="57"/>
        <v>152.93</v>
      </c>
      <c r="BK64" s="7">
        <v>102.449</v>
      </c>
      <c r="BL64" s="7">
        <v>139.97</v>
      </c>
      <c r="BM64" s="94">
        <f t="shared" si="58"/>
        <v>121.20949999999999</v>
      </c>
      <c r="BN64" s="5">
        <v>18.329999999999998</v>
      </c>
      <c r="BO64" s="161">
        <v>69.215476190476195</v>
      </c>
      <c r="BP64" s="97">
        <v>79.760000000000005</v>
      </c>
      <c r="BQ64" s="94">
        <f t="shared" si="59"/>
        <v>70.269928571428579</v>
      </c>
      <c r="BR64" s="7">
        <v>57.28</v>
      </c>
      <c r="BS64" s="97">
        <v>265</v>
      </c>
      <c r="BT64" s="7">
        <f>+F64*1.57</f>
        <v>119.006</v>
      </c>
      <c r="BU64" s="79">
        <f t="shared" si="237"/>
        <v>3537.018</v>
      </c>
      <c r="BV64" s="7">
        <v>134.1</v>
      </c>
      <c r="BW64" s="7">
        <v>225</v>
      </c>
      <c r="BY64" s="92">
        <f>BY$10*(1+((H64/H$10-1)*costos!$B$5+((I64*F64)/(I$10*F$10)-1)*costos!$E$5+((J64*F64)/((J$10*F$10)-1)*costos!$F$5/3+((K64*F64)/(K$10*F$10)-1)*costos!$F$5/3+((U64*F64)/(U$10*F$10)-1)*costos!$F$5/3+((L64*F64)/(L$10*F$10)-1)*costos!$G$5+((N64*F64)/(N$10*F$10)-1)*costos!$J$5+((V64*F64)/(V$10*F$10)-1)*costos!$K$5)))</f>
        <v>479.48512982193211</v>
      </c>
      <c r="BZ64" s="92">
        <f>$BZ$10*(1+((H64/$H$10-1)*costos!$B$6+((I64*F64)/($I$10*$F$10)-1)*costos!$E$6+((J64*F64)/(($J$10*$F$10)-1)*costos!$F$6/3+((K64*F64)/($K$10*$F$10)-1)*costos!$F$6/3+((U64*F64)/($U$10*$F$10)-1)*costos!$F$6/3+((L64*F64)/($L$10*$F$10)-1)*costos!$G$6+((Q64*F64)/($Q$10*$F$10)-1)*costos!$J$6+((V64*F64)/($V$10*$F$10)-1)*costos!$K$6)))</f>
        <v>458.02775874068436</v>
      </c>
      <c r="CA64" s="92">
        <f>CA$10*(1+((H64/H$10-1)*costos!$B$7+((I64*F64)/(I$10*F$10)-1)*costos!$E$7+((J64*F64)/((J$10*F$10)-1)*costos!$F$7/3+((K64*F64)/(K$10*F$10)-1)*costos!$F$7/3+((U64*F64)/(U$10*F$10)-1)*costos!$F$7/3+((L64*F64)/(L$10*F$10)-1)*costos!$G$7+((S64*F64)/(S$10*F$10)-1)*costos!$J$7+((V64*F64)/(V$10*F$10)-1)*costos!$K$7)))</f>
        <v>480.25199874990301</v>
      </c>
      <c r="CB64" s="92">
        <f>CB$10*(1+((H64/H$10-1)*costos!$B$8+((I64*F64)/(I$10*F$10)-1)*costos!$E$8+((J64*F64)/((J$10*F$10)-1)*costos!$F$8/3+((K64*F64)/(K$10*F$10)-1)*costos!$F$8/3+((U64*F64)/(U$10*F$10)-1)*costos!$F$8/3+((L64*F64)/(L$10*F$10)-1)*costos!$G$8+((T64*F64)/(T$10*F$10)-1)*costos!$J$8+((V64*F64)/(V$10*F$10)-1)*costos!$K$8)))</f>
        <v>488.8171872572708</v>
      </c>
      <c r="CC64" s="92">
        <f>CC$10*(1+((H64/H$10-1)*costos!$B$9+((I64*F64)/(I$10*F$10)-1)*costos!$E$9+((J64*F64)/((J$10*F$10)-1)*costos!$F$9/3+((K64*F64)/(K$10*F$10)-1)*costos!$F$9/3+((U64*F64)/(U$10*F$10)-1)*costos!$F$9/3+((L64*F64)/(L$10*F$10)-1)*costos!$G$9+((U64*F64)/(U$10*F$10)-1)*costos!$J$9+((V64*F64)/(V$10*F$10)-1)*costos!$K$9)))</f>
        <v>475.77049921125433</v>
      </c>
      <c r="CD64" s="92">
        <f>CD$10*(1+((H64/H$10-1)*costos!$B$11+((I64*F64)/(I$10*F$10)-1)*costos!$E$11+((J64*F64)/((J$10*F$10)-1)*costos!$F$11/3+((K64*F64)/(K$10*F$10)-1)*costos!$F$11/3+((U64*F64)/(U$10*F$10)-1)*costos!$F$11/3+((L64*F64)/(L$10*F$10)-1)*costos!$G$11+((V64*F64)/(V$10*F$10)-1)*costos!$J$11+((V64*F64)/(V$10*F$10)-1)*costos!$K$11)))</f>
        <v>495.88504420291457</v>
      </c>
      <c r="CE64" s="92">
        <f>CE$10*(1+((H64/H$10-1)*costos!$B$12+((I64*F64)/(I$10*F$10)-1)*costos!$E$12+((J64*F64)/((J$10*F$10)-1)*costos!$F$12/3+((K64*F64)/(K$10*F$10)-1)*costos!$F$12/3+((U64*F64)/(U$10*F$10)-1)*costos!$F$12/3+((L64*F64)/(L$10*F$10)-1)*costos!$G$12+((W64*F64)/(W$10*F$10)-1)*costos!$J$12+((V64*F64)/(V$10*F$10)-1)*costos!$K$12)))</f>
        <v>452.2673177582945</v>
      </c>
      <c r="CF64" s="92">
        <f>CF$10*(1+((H64/H$10-1)*costos!$B$13+((I64*F64)/(I$10*F$10)-1)*costos!$E$13+((J64*F64)/((J$10*F$10)-1)*costos!$F$13/3+((K64*F64)/(K$10*F$10)-1)*costos!$F$13/3+((U64*F64)/(U$10*F$10)-1)*costos!$F$13/3+((L64*F64)/(L$10*F$10)-1)*costos!$G$13+((X64*F64)/(X$10*F$10)-1)*costos!$J$13+((V64*F64)/(V$10*F$10)-1)*costos!$K$13)))</f>
        <v>513.12819397589453</v>
      </c>
      <c r="CG64" s="92">
        <f t="shared" si="299"/>
        <v>484.353373525922</v>
      </c>
      <c r="CH64" s="92">
        <f>CH$10*(1+((H64/H$10-1)*costos!$B$10+((I64*F64)/(I$10*F$10)-1)*costos!$E$10+((J64*F64)/((J$10*F$10)-1)*costos!$F$10/3+((K64*F64)/(K$10*F$10)-1)*costos!$F$10/3+((U64*F64)/(U$10*F$10)-1)*costos!$F$10/3+((L64*F64)/(L$10*F$10)-1)*costos!$G$10+((AF64)/(AF$10)-1)*costos!$J$10+((V64*F64)/(V$10*F$10)-1)*costos!$K$10)))</f>
        <v>558.8994810207962</v>
      </c>
      <c r="CI64" s="92">
        <f>CI$10*(1+((H64/H$10-1)*costos!$B$15+((I64*F64)/(I$10*F$10)-1)*costos!$E$15+((J64*F64)/((J$10*F$10)-1)*costos!$F$15/3+((K64*F64)/(K$10*F$10)-1)*costos!$F$15/3+((U64*F64)/(U$10*F$10)-1)*costos!$F$15/3+((L64*F64)/(L$10*F$10)-1)*costos!$G$15+((AV64)/(AV$10)-1)*costos!$J$15+((V64*F64)/(V$10*F$10)-1)*costos!$K$15)))</f>
        <v>488.10796329538607</v>
      </c>
      <c r="CJ64" s="92">
        <f>CJ$10*(1+((H64/H$10-1)*costos!$B$16+((I64*F64)/(I$10*F$10)-1)*costos!$E$16+((J64*F64)/((J$10*F$10)-1)*costos!$F$16/3+((K64*F64)/(K$10*F$10)-1)*costos!$F$16/3+((U64*F64)/(U$10*F$10)-1)*costos!$F$16/3+((L64*F64)/(L$10*F$10)-1)*costos!$G$16+((AW64)/(AW$10)-1)*costos!$J$16+((V64*F64)/(V$10*F$10)-1)*costos!$K$16)))</f>
        <v>449.05166063445057</v>
      </c>
      <c r="CK64" s="92">
        <f>CK$10*(1+((H64/H$10-1)*costos!$B$17+((I64*F64)/(I$10*F$10)-1)*costos!$E$17+((J64*F64)/((J$10*F$10)-1)*costos!$F$17/3+((K64*F64)/(K$10*F$10)-1)*costos!$F$17/3+((U64*F64)/(U$10*F$10)-1)*costos!$F$17/3+((L64*F64)/(L$10*F$10)-1)*costos!$G$17+((AX64)/(AX$10)-1)*costos!$J$17+((V64*F64)/(V$10*F$10)-1)*costos!$K$17)))</f>
        <v>530.92853432200752</v>
      </c>
      <c r="CL64" s="92">
        <f>CL$10*(1+((H64/H$10-1)*costos!$B$18+((I64*F64)/(I$10*F$10)-1)*costos!$E$18+((J64*F64)/((J$10*F$10)-1)*costos!$F$18/3+((K64*F64)/(K$10*F$10)-1)*costos!$F$18/3+((U64*F64)/(U$10*F$10)-1)*costos!$F$18/3+((L64*F64)/(L$10*F$10)-1)*costos!$G$18+((AY64)/(AY$10)-1)*costos!$J$18+((V64*F64)/(V$10*F$10)-1)*costos!$K$18)))</f>
        <v>469.49946202834269</v>
      </c>
      <c r="CM64" s="92">
        <f>CM$10*(1+((H64/H$10-1)*costos!$B$19+((I64*F64)/(I$10*F$10)-1)*costos!$E$19+((J64*F64)/((J$10*F$10)-1)*costos!$F$19/3+((K64*F64)/(K$10*F$10)-1)*costos!$F$19/3+((U64*F64)/(U$10*F$10)-1)*costos!$F$19/3+((L64*F64)/(L$10*F$10)-1)*costos!$G$19+((AZ64)/(AZ$10)-1)*costos!$J$19+((V64*F64)/(V$10*F$10)-1)*costos!$K$19)))</f>
        <v>510.46215322668058</v>
      </c>
      <c r="CN64" s="92">
        <f>CN$10*(1+((H64/H$10-1)*costos!$B$20+((I64*F64)/(I$10*F$10)-1)*costos!$E$20+((J64*F64)/((J$10*F$10)-1)*costos!$F$20/3+((K64*F64)/(K$10*F$10)-1)*costos!$F$20/3+((U64*F64)/(U$10*F$10)-1)*costos!$F$20/3+((L64*F64)/(L$10*F$10)-1)*costos!$G$20+((BA64)/(BA$10)-1)*costos!$J$20+((V64*F64)/(V$10*F$10)-1)*costos!$K$20)))</f>
        <v>416.30897679885788</v>
      </c>
      <c r="CO64" s="92">
        <f t="shared" si="300"/>
        <v>481.79978159397217</v>
      </c>
      <c r="CP64" s="92">
        <f>CP$10*(1+((H64/H$10-1)*costos!$B$22+((I64*F64)/(I$10*F$10)-1)*costos!$E$22+((J64*F64)/((J$10*F$10)-1)*costos!$F$22/3+((K64*F64)/(K$10*F$10)-1)*costos!$F$22/3+((U64*F64)/(U$10*F$10)-1)*costos!$F$22/3+((L64*F64)/(L$10*F$10)-1)*costos!$G$22+(((AVERAGE(AI64:AL64))/((AVERAGE(AI$10:AL$10))-1)*costos!$J$22+((V64*F64)/(V$10*F$10)-1)*costos!$K$22)))))</f>
        <v>511.83304794717549</v>
      </c>
      <c r="CQ64" s="92">
        <f>CQ$10*(1+((H64/H$10-1)*costos!$B$23+((I64*F64)/(I$10*F$10)-1)*costos!$E$23+((J64*F64)/((J$10*F$10)-1)*costos!$F$23/3+((K64*F64)/(K$10*F$10)-1)*costos!$F$23/3+((U64*F64)/(U$10*F$10)-1)*costos!$F$23/3+((L64*F64)/(L$10*F$10)-1)*costos!$G$23+((AN64)/(AN$10)-1)*costos!$J$23+((V64*F64)/(V$10*F$10)-1)*costos!$K$23)))</f>
        <v>437.66590666183305</v>
      </c>
      <c r="CR64" s="92">
        <f>CR$10*(1+((H64/H$10-1)*costos!$B$24+((I64*F64)/(I$10*F$10)-1)*costos!$E$24+((J64*F64)/((J$10*F$10)-1)*costos!$F$24/3+((K64*F64)/(K$10*F$10)-1)*costos!$F$24/3+((U64*F64)/(U$10*F$10)-1)*costos!$F$24/3+((L64*F64)/(L$10*F$10)-1)*costos!$G$24+((AO64)/(AO$10)-1)*costos!$J$24+((V64*F64)/(V$10*F$10)-1)*costos!$K$24)))</f>
        <v>454.61233454444317</v>
      </c>
      <c r="CS64" s="92">
        <f t="shared" si="62"/>
        <v>446.13912060313811</v>
      </c>
      <c r="CT64" s="92">
        <f>CT$10*(1+((H64/H$10-1)*costos!$B$25+((I64*F64)/(I$10*F$10)-1)*costos!$E$25+((J64*F64)/((J$10*F$10)-1)*costos!$F$25/3+((K64*F64)/(K$10*F$10)-1)*costos!$F$25/3+((U64*F64)/(U$10*F$10)-1)*costos!$F$25/3+((L64*F64)/(L$10*F$10)-1)*costos!$G$25+((AQ64)/(AQ$10)-1)*costos!$J$25+((V64*F64)/(V$10*F$10)-1)*costos!$K$25)))</f>
        <v>415.56242711575908</v>
      </c>
      <c r="CU64" s="92">
        <f>CU$10*(1+((H64/H$10-1)*costos!$B$26+((I64*F64)/(I$10*F$10)-1)*costos!$E$26+((J64*F64)/((J$10*F$10)-1)*costos!$F$26/3+((K64*F64)/(K$10*F$10)-1)*costos!$F$26/3+((U64*F64)/(U$10*F$10)-1)*costos!$F$26/3+((L64*F64)/(L$10*F$10)-1)*costos!$G$26+((AR64)/(AR$10)-1)*costos!$J$26+((V64*F64)/(V$10*F$10)-1)*costos!$K$26)))</f>
        <v>449.96483350096901</v>
      </c>
      <c r="CV64" s="92">
        <f>CV$10*(1+((H64/H$10-1)*costos!$B$27+((I64*F64)/(I$10*F$10)-1)*costos!$E$27+((J64*F64)/((J$10*F$10)-1)*costos!$F$27/3+((K64*F64)/(K$10*F$10)-1)*costos!$F$27/3+((U64*F64)/(U$10*F$10)-1)*costos!$F$27/3+((L64*F64)/(L$10*F$10)-1)*costos!$G$27+((AS64)/(AS$10)-1)*costos!$J$27+((V64*F64)/(V$10*F$10)-1)*costos!$K$27)))</f>
        <v>442.25281463493002</v>
      </c>
      <c r="CW64" s="92">
        <f>CW$10*(1+((H64/H$10-1)*costos!$B$28+((I64*F64)/(I$10*F$10)-1)*costos!$E$28+((J64*F64)/((J$10*F$10)-1)*costos!$F$28/3+((K64*F64)/(K$10*F$10)-1)*costos!$F$28/3+((U64*F64)/(U$10*F$10)-1)*costos!$F$28/3+((L64*F64)/(L$10*F$10)-1)*costos!$G$28+((AS64)/(AS$10)-1)*costos!$J$28+((V64*F64)/(V$10*F$10)-1)*costos!$K$28)))</f>
        <v>442.25281463493002</v>
      </c>
      <c r="CX64" s="92">
        <f t="shared" si="301"/>
        <v>444.82348759027633</v>
      </c>
      <c r="CY64" s="92">
        <f>CY$10*(1+((H64/H$10-1)*costos!$B$32+((I64*F64)/(I$10*F$10)-1)*costos!$E$32+((J64*F64)/((J$10*F$10)-1)*costos!$F$32/3+((K64*F64)/(K$10*F$10)-1)*costos!$F$32/3+((U64*F64)/(U$10*F$10)-1)*costos!$F$32/3+((L64*F64)/(L$10*F$10)-1)*costos!$G$32+((AG64)/(AG$10)-1)*costos!$J$32+((V64*F64)/(V$10*F$10)-1)*costos!$K$32)))</f>
        <v>457.14476507183014</v>
      </c>
      <c r="CZ64" s="69">
        <f>CZ$10*(1+((H64/H$10-1)*costos!$B$31+((I64*F64)/(I$10*F$10)-1)*costos!$E$30+((J64*F64)/((J$10*F$10)-1)*costos!$F$30/3+((K64*F64)/(K$10*F$10)-1)*costos!$F$30/3+((U64*F64)/(U$10*F$10)-1)*costos!$F$30/3+((L64*F64)/(L$10*F$10)-1)*costos!$G$30+((BG64)/(BG$10)-1)*costos!$J$30+((V64*F64)/(V$10*F$10)-1)*costos!$K$30)))</f>
        <v>540.19357137318218</v>
      </c>
      <c r="DA64" s="69">
        <f>DA$10*(1+((H64/H$10-1)*costos!$B$31+((I64*F64)/(I$10*F$10)-1)*costos!$E$31+((J64*F64)/((J$10*F$10)-1)*costos!$F$31/3+((K64*F64)/(K$10*F$10)-1)*costos!$F$31/3+((U64*F64)/(U$10*F$10)-1)*costos!$F$31/3+((L64*F64)/(L$10*F$10)-1)*costos!$G$31+((BJ64)/(BJ$10)-1)*costos!$J$31+((V64*F64)/(V$10*F$10)-1)*costos!$K$31)))</f>
        <v>462.42474761928588</v>
      </c>
      <c r="DB64" s="69">
        <f>DB$10*(1+((H64/H$10-1)*costos!$B$36+((I64*F64)/(I$10*F$10)-1)*costos!$E$36+((J64*F64)/((J$10*F$10)-1)*costos!$F$36/3+((K64*F64)/(K$10*F$10)-1)*costos!$F$36/3+((U64*F64)/(U$10*F$10)-1)*costos!$F$36/3+((L64*F64)/(L$10*F$10)-1)*costos!$G$36+((BK64)/(BK$10)-1)*costos!$J$36+((V64*F64)/(V$10*F$10)-1)*costos!$K$36)))</f>
        <v>464.38042469784779</v>
      </c>
      <c r="DC64" s="69">
        <f>DC$10*(1+((H64/H$10-1)*costos!$B$37+((I64*F64)/(I$10*F$10)-1)*costos!$E$37+((U64*F64)/(U$10*F$10)-1)*costos!$F$37+((L64*F64)/(L$10*F$10)-1)*costos!$G$37+((BN64)/(BN$10)-1)*costos!$J$37+((V64*F64)/(V$10*F$10)-1)*costos!$K$37))</f>
        <v>493.68272377742812</v>
      </c>
      <c r="DD64" s="69">
        <f>DD$10*(1+((H64/H$10-1)*costos!$B$39+((I64*F64)/(I$10*F$10)-1)*costos!$E$39+((U64*F64)/(U$10*F$10)-1)*costos!$F$39+((L64*F64)/(L$10*F$10)-1)*costos!$G$39+((BR64)/(BR$10)-1)*costos!$J$39+((V64*F64)/(V$10*F$10)-1)*costos!$K$39))</f>
        <v>481.1364947318948</v>
      </c>
      <c r="DE64" s="69">
        <f>DD$10*(1+((H64/H$10-1)*costos!$B$35+((I64*F64)/(I$10*F$10)-1)*costos!$E$35+((U64*F64)/(U$10*F$10)-1)*costos!$F$35+((L64*F64)/(L$10*F$10)-1)*costos!$G$35+((BR64)/(BR$10)-1)*costos!$J$35+((V64*F64)/(V$10*F$10)-1)*costos!$K$35))</f>
        <v>446.80711979731245</v>
      </c>
      <c r="DF64" s="69">
        <f>DF$10*(1+((H64/H$10-1)*costos!$B$40+((I64*F64)/(I$10*F$10)-1)*costos!$E$40+((U64*F64)/(U$10*F$10)-1)*costos!$F$40+((L64*F64)/(L$10*F$10)-1)*costos!$G$40+((BP64)/(BP$10)-1)*costos!$J$40+((V64*F64)/(V$10*F$10)-1)*costos!$K$40))</f>
        <v>504.44170654915712</v>
      </c>
      <c r="DG64" s="92">
        <f t="shared" si="302"/>
        <v>475.62441317323476</v>
      </c>
      <c r="DH64" s="69">
        <f>DH$10*(1+((H64/H$10-1)*costos!$B$34+((I64*F64)/(I$10*F$10)-1)*costos!$E$34+((J64*F64)/((J$10*F$10)-1)*costos!$F$34/3+((K64*F64)/(K$10*F$10)-1)*costos!$F$34/3+((U64*F64)/(U$10*F$10)-1)*costos!$F$34/3+((L64*F64)/(L$10*F$10)-1)*costos!$G$34+((BV64)/(BV$10)-1)*costos!$J$34+((V64*F64)/(V$10*F$10)-1)*costos!$K$34)))</f>
        <v>479.61559497444</v>
      </c>
      <c r="DI64" s="69">
        <f>DI$10*(1+((H64/H$10-1)*costos!$B$38+((I64*F64)/(I$10*F$10)-1)*costos!$E$38+((J64*F64)/((J$10*F$10)-1)*costos!$F$38/3+((K64*F64)/(K$10*F$10)-1)*costos!$F$38/3+((U64*F64)/(U$10*F$10)-1)*costos!$F$38/3+((L64*F64)/(L$10*F$10)-1)*costos!$G$38+((BU64)/(BU$10)-1)*costos!$J$38+((V64*F64)/(V$10*F$10)-1)*costos!$K$38)))</f>
        <v>460.44713996312157</v>
      </c>
      <c r="DK64" s="1">
        <v>450000</v>
      </c>
      <c r="DL64" s="1" t="s">
        <v>323</v>
      </c>
      <c r="DM64" s="1">
        <v>190000</v>
      </c>
      <c r="DN64" s="1" t="s">
        <v>323</v>
      </c>
      <c r="DO64" s="1">
        <v>1250000</v>
      </c>
      <c r="DP64" s="1" t="s">
        <v>377</v>
      </c>
      <c r="DQ64" s="1">
        <v>1600000</v>
      </c>
      <c r="DR64" s="1" t="s">
        <v>323</v>
      </c>
      <c r="DS64" s="1">
        <v>6300000</v>
      </c>
      <c r="DT64" s="1" t="s">
        <v>323</v>
      </c>
      <c r="DU64" s="1">
        <v>16900000</v>
      </c>
      <c r="DV64" s="1" t="s">
        <v>323</v>
      </c>
      <c r="DW64" s="1">
        <v>520000</v>
      </c>
      <c r="DX64" s="1" t="s">
        <v>323</v>
      </c>
      <c r="DY64" s="1">
        <v>6730000</v>
      </c>
      <c r="DZ64" s="1" t="s">
        <v>377</v>
      </c>
      <c r="EA64" s="79">
        <f t="shared" si="67"/>
        <v>33300000</v>
      </c>
      <c r="EB64" s="1">
        <v>351733</v>
      </c>
      <c r="EC64" s="1" t="s">
        <v>323</v>
      </c>
      <c r="ED64" s="1">
        <v>174820</v>
      </c>
      <c r="EE64" s="143">
        <v>2020</v>
      </c>
      <c r="EF64" s="1">
        <v>214798</v>
      </c>
      <c r="EG64" s="6">
        <v>2020</v>
      </c>
      <c r="EH64" s="1">
        <v>54460799</v>
      </c>
      <c r="EI64" s="6">
        <v>2020</v>
      </c>
      <c r="EJ64" s="1">
        <v>5377071</v>
      </c>
      <c r="EK64" s="6">
        <f t="shared" si="285"/>
        <v>2020</v>
      </c>
      <c r="EL64" s="1">
        <v>14774196</v>
      </c>
      <c r="EM64" s="6">
        <v>2019</v>
      </c>
      <c r="EN64" s="1">
        <v>3201657</v>
      </c>
      <c r="EO64" s="6">
        <v>2019</v>
      </c>
      <c r="EP64" s="82">
        <f t="shared" si="286"/>
        <v>6552</v>
      </c>
      <c r="EQ64" s="83">
        <v>3366686</v>
      </c>
      <c r="ER64" s="1">
        <f t="shared" si="189"/>
        <v>33739</v>
      </c>
      <c r="ES64" s="1"/>
      <c r="ET64" s="83">
        <f t="shared" si="289"/>
        <v>19456</v>
      </c>
      <c r="EU64" s="83">
        <f t="shared" si="289"/>
        <v>17935</v>
      </c>
      <c r="EV64" s="83">
        <f t="shared" si="289"/>
        <v>9101</v>
      </c>
      <c r="EW64" s="83">
        <f t="shared" si="289"/>
        <v>17303</v>
      </c>
      <c r="EX64" s="79">
        <f t="shared" si="72"/>
        <v>63795</v>
      </c>
      <c r="EY64" s="83">
        <f t="shared" si="290"/>
        <v>19804</v>
      </c>
      <c r="EZ64" s="82">
        <f t="shared" si="290"/>
        <v>79940</v>
      </c>
      <c r="FA64" s="82">
        <f t="shared" si="290"/>
        <v>20476</v>
      </c>
      <c r="FB64" s="82">
        <f t="shared" si="290"/>
        <v>18080</v>
      </c>
      <c r="FC64" s="79">
        <f t="shared" si="295"/>
        <v>38556</v>
      </c>
      <c r="FD64" s="83">
        <f t="shared" si="158"/>
        <v>59152.38</v>
      </c>
      <c r="FE64" s="1"/>
      <c r="FF64" s="1">
        <v>1100000</v>
      </c>
      <c r="FG64" s="1" t="s">
        <v>323</v>
      </c>
      <c r="FH64" s="1">
        <v>1200000</v>
      </c>
      <c r="FI64" s="1" t="s">
        <v>323</v>
      </c>
      <c r="FJ64" s="1">
        <v>3800000</v>
      </c>
      <c r="FK64" s="1" t="s">
        <v>323</v>
      </c>
      <c r="FL64" s="1">
        <v>3300000</v>
      </c>
      <c r="FM64" s="1" t="s">
        <v>323</v>
      </c>
      <c r="FN64" s="1">
        <v>50000000</v>
      </c>
      <c r="FO64" s="1" t="s">
        <v>323</v>
      </c>
      <c r="FP64" s="1">
        <v>49000000</v>
      </c>
      <c r="FQ64" s="1" t="s">
        <v>323</v>
      </c>
      <c r="FR64" s="1">
        <v>1850000</v>
      </c>
      <c r="FS64" s="1" t="s">
        <v>323</v>
      </c>
      <c r="FT64" s="1">
        <v>19775000</v>
      </c>
      <c r="FU64" s="1" t="s">
        <v>323</v>
      </c>
      <c r="FV64" s="79">
        <f t="shared" si="76"/>
        <v>127725000</v>
      </c>
      <c r="FW64" s="1">
        <v>1263869</v>
      </c>
      <c r="FX64" s="1" t="s">
        <v>323</v>
      </c>
      <c r="FY64" s="83">
        <v>125676</v>
      </c>
      <c r="FZ64" s="79">
        <f t="shared" si="135"/>
        <v>792631.64199999999</v>
      </c>
      <c r="GA64" s="86" t="str">
        <f t="shared" si="271"/>
        <v>ago19 jul20</v>
      </c>
      <c r="GB64" s="83">
        <v>20557455</v>
      </c>
      <c r="GC64" s="6">
        <v>2020</v>
      </c>
      <c r="GD64" s="83">
        <f t="shared" si="265"/>
        <v>1974652</v>
      </c>
      <c r="GE64" s="83">
        <f t="shared" si="265"/>
        <v>367136</v>
      </c>
      <c r="GF64" s="83">
        <v>957160</v>
      </c>
      <c r="GG64" s="83">
        <f t="shared" si="268"/>
        <v>89049</v>
      </c>
      <c r="GH64" s="79">
        <f t="shared" si="240"/>
        <v>1413345</v>
      </c>
      <c r="GI64" s="82">
        <f t="shared" si="232"/>
        <v>1302556</v>
      </c>
      <c r="GJ64" s="83">
        <f t="shared" si="215"/>
        <v>666015</v>
      </c>
      <c r="GK64" s="83">
        <f t="shared" si="216"/>
        <v>1221000</v>
      </c>
      <c r="GL64" s="83">
        <f t="shared" si="217"/>
        <v>294346.89</v>
      </c>
      <c r="GM64" s="83">
        <f t="shared" si="218"/>
        <v>260133.24</v>
      </c>
      <c r="GN64" s="79">
        <f t="shared" si="81"/>
        <v>2441495.13</v>
      </c>
      <c r="GO64" s="83">
        <f t="shared" si="291"/>
        <v>198452.81</v>
      </c>
      <c r="GP64" s="83">
        <f t="shared" si="291"/>
        <v>73538</v>
      </c>
      <c r="GQ64" s="83">
        <v>16611</v>
      </c>
      <c r="GR64" s="83">
        <v>44610</v>
      </c>
      <c r="GS64" s="79">
        <f t="shared" si="192"/>
        <v>45108.33</v>
      </c>
      <c r="GT64" s="83">
        <f t="shared" si="296"/>
        <v>2884000</v>
      </c>
      <c r="GU64" s="83">
        <v>32576</v>
      </c>
      <c r="GV64" s="83">
        <v>38241</v>
      </c>
      <c r="GW64" s="79">
        <f t="shared" si="261"/>
        <v>1217383</v>
      </c>
      <c r="GX64" s="1">
        <v>34954.608</v>
      </c>
      <c r="GY64" s="1" t="s">
        <v>340</v>
      </c>
      <c r="GZ64" s="1">
        <v>112856</v>
      </c>
      <c r="HA64" s="1">
        <v>276190</v>
      </c>
      <c r="HB64" s="79">
        <f t="shared" si="241"/>
        <v>3162327.0870000003</v>
      </c>
      <c r="HC64" s="86" t="str">
        <f t="shared" si="272"/>
        <v>ago19 jul20</v>
      </c>
      <c r="HD64" s="1">
        <v>58720</v>
      </c>
      <c r="HE64" s="79">
        <f t="shared" si="139"/>
        <v>637461</v>
      </c>
      <c r="HF64" s="86" t="str">
        <f t="shared" si="273"/>
        <v>ago19 jul20</v>
      </c>
      <c r="HG64" s="83">
        <v>190000</v>
      </c>
      <c r="HH64" s="79">
        <f t="shared" si="242"/>
        <v>2238000</v>
      </c>
      <c r="HI64" s="86" t="str">
        <f t="shared" si="274"/>
        <v>ago19 jul20</v>
      </c>
      <c r="HJ64" s="83">
        <v>69105</v>
      </c>
      <c r="HK64" s="79">
        <f t="shared" si="278"/>
        <v>55066.951200000003</v>
      </c>
      <c r="HL64" s="86" t="str">
        <f t="shared" si="275"/>
        <v>ago19 jul20</v>
      </c>
      <c r="HM64" s="79">
        <f t="shared" si="86"/>
        <v>2293066.9512</v>
      </c>
      <c r="HN64" s="87">
        <f t="shared" si="297"/>
        <v>7.5774459549810658E-2</v>
      </c>
      <c r="HO64" s="1">
        <v>965400000</v>
      </c>
      <c r="HP64" s="79">
        <f t="shared" si="153"/>
        <v>10835.1</v>
      </c>
      <c r="HQ64" s="86" t="str">
        <f t="shared" si="276"/>
        <v>ago19 jul20</v>
      </c>
      <c r="HR64" s="1"/>
      <c r="HS64" s="1"/>
      <c r="HT64" s="1"/>
      <c r="HU64" s="1">
        <v>650000</v>
      </c>
      <c r="HV64" s="1" t="s">
        <v>323</v>
      </c>
      <c r="HW64" s="1">
        <v>1200000</v>
      </c>
      <c r="HX64" s="1" t="s">
        <v>323</v>
      </c>
      <c r="HY64" s="1">
        <f t="shared" si="304"/>
        <v>2980000</v>
      </c>
      <c r="HZ64" s="1" t="s">
        <v>323</v>
      </c>
      <c r="IA64" s="1">
        <f t="shared" si="305"/>
        <v>21140000</v>
      </c>
      <c r="IB64" s="1" t="s">
        <v>323</v>
      </c>
      <c r="IC64" s="1">
        <v>44000000</v>
      </c>
      <c r="ID64" s="1" t="s">
        <v>323</v>
      </c>
      <c r="IE64" s="1">
        <f t="shared" si="281"/>
        <v>1150000</v>
      </c>
      <c r="IF64" s="1" t="s">
        <v>323</v>
      </c>
      <c r="IG64" s="1">
        <f>(6.5+0.9)*1000000</f>
        <v>7400000</v>
      </c>
      <c r="IH64" s="1" t="s">
        <v>323</v>
      </c>
      <c r="II64" s="79">
        <f t="shared" si="87"/>
        <v>77870000</v>
      </c>
      <c r="IJ64" s="97">
        <f t="shared" si="298"/>
        <v>1.6786218979067327</v>
      </c>
      <c r="IK64" s="1" t="s">
        <v>323</v>
      </c>
      <c r="IL64" s="98">
        <v>44.17</v>
      </c>
      <c r="IM64" s="7">
        <v>51.86</v>
      </c>
      <c r="IN64" s="97">
        <v>182.6</v>
      </c>
      <c r="IO64" s="696">
        <v>14.6</v>
      </c>
      <c r="IP64" s="176">
        <f t="shared" si="292"/>
        <v>5.7853601487586115</v>
      </c>
      <c r="IQ64" s="7">
        <v>20.7</v>
      </c>
      <c r="IR64" s="98">
        <f t="shared" si="293"/>
        <v>4.79</v>
      </c>
      <c r="IS64" s="98">
        <f t="shared" si="293"/>
        <v>5.29</v>
      </c>
      <c r="IT64" s="98">
        <f t="shared" si="293"/>
        <v>12.22</v>
      </c>
      <c r="IU64" s="98">
        <f t="shared" si="293"/>
        <v>0.38</v>
      </c>
      <c r="IV64" s="94">
        <f t="shared" si="89"/>
        <v>17.89</v>
      </c>
      <c r="IW64" s="1"/>
      <c r="IX64" s="1"/>
      <c r="IY64" s="105">
        <v>1.86</v>
      </c>
      <c r="IZ64" s="161">
        <v>0.1</v>
      </c>
      <c r="JA64" s="83">
        <v>2810</v>
      </c>
      <c r="JB64" s="7">
        <v>44.74</v>
      </c>
      <c r="JC64" s="1"/>
      <c r="JD64" s="1"/>
      <c r="JE64" s="99"/>
      <c r="JF64" s="2">
        <v>18.052925780000002</v>
      </c>
      <c r="JG64" s="2">
        <v>13.35073034</v>
      </c>
      <c r="JH64" s="2">
        <v>70.738487340000006</v>
      </c>
      <c r="JI64" s="2">
        <v>189.25780645999998</v>
      </c>
      <c r="JJ64" s="2">
        <v>720.88952773999972</v>
      </c>
      <c r="JK64" s="2">
        <v>107.98811556000001</v>
      </c>
      <c r="JL64" s="2">
        <v>2326.0385460799998</v>
      </c>
      <c r="JM64" s="2">
        <v>18.920261029999999</v>
      </c>
      <c r="JN64" s="2">
        <v>91.397497030000011</v>
      </c>
      <c r="JO64" s="2">
        <v>21.513338910000002</v>
      </c>
      <c r="JP64" s="2">
        <v>0</v>
      </c>
      <c r="JQ64" s="2">
        <v>1.45154779</v>
      </c>
      <c r="JR64" s="2">
        <v>1.3114868100000001</v>
      </c>
      <c r="JS64" s="2">
        <v>0</v>
      </c>
      <c r="JT64" s="2">
        <v>0.10401145999999999</v>
      </c>
      <c r="JU64" s="2">
        <v>91.875694549999992</v>
      </c>
      <c r="JV64" s="2">
        <v>13.246973310000001</v>
      </c>
      <c r="JW64" s="2">
        <v>14.475970939999998</v>
      </c>
      <c r="JX64" s="2">
        <v>45.609271579999998</v>
      </c>
      <c r="JY64" s="2">
        <v>0</v>
      </c>
      <c r="JZ64" s="2">
        <v>11.077383710000001</v>
      </c>
      <c r="KA64" s="2">
        <v>0.84322752000000001</v>
      </c>
      <c r="KB64" s="2">
        <v>16.127502849999999</v>
      </c>
      <c r="KC64" s="2">
        <v>64.842057670000003</v>
      </c>
      <c r="KD64" s="2">
        <v>9.9896128100000023</v>
      </c>
      <c r="KE64" s="2">
        <v>16.94434643</v>
      </c>
      <c r="KF64" s="2">
        <v>37.538903820000002</v>
      </c>
      <c r="KG64" s="2">
        <v>291.26248626</v>
      </c>
      <c r="KH64" s="2">
        <v>113.80739579999999</v>
      </c>
      <c r="KI64" s="2">
        <v>5.23575722</v>
      </c>
      <c r="KJ64" s="2">
        <v>9.2252940099999972</v>
      </c>
      <c r="KK64" s="2">
        <v>3.0966205700000002</v>
      </c>
      <c r="KL64" s="2">
        <v>0.30019366000000003</v>
      </c>
      <c r="KM64" s="2">
        <v>0.69775629999999988</v>
      </c>
      <c r="KN64" s="2">
        <v>0.31372700000000003</v>
      </c>
      <c r="KO64" s="2">
        <v>0.88154953000000014</v>
      </c>
      <c r="KP64" s="2">
        <v>6.5727099999999998E-3</v>
      </c>
      <c r="KQ64" s="2">
        <v>209.79924849</v>
      </c>
      <c r="KR64" s="2">
        <v>0</v>
      </c>
      <c r="KS64" s="2">
        <v>0.17238696999999997</v>
      </c>
      <c r="KT64" s="2">
        <v>1.3560046099999998</v>
      </c>
      <c r="KU64" s="2">
        <v>0.12220355000000001</v>
      </c>
      <c r="KV64" s="2">
        <v>0.33140570000000003</v>
      </c>
      <c r="KW64" s="2">
        <v>4.3829580699999999</v>
      </c>
      <c r="KX64" s="2">
        <v>0</v>
      </c>
      <c r="KY64" s="2">
        <v>0</v>
      </c>
      <c r="KZ64" s="2">
        <v>0.51339013</v>
      </c>
      <c r="LA64" s="2">
        <v>0.24709742000000001</v>
      </c>
      <c r="LB64" s="2">
        <v>1.2000819999999999E-2</v>
      </c>
      <c r="LC64" s="2">
        <v>2.9471799999999998E-3</v>
      </c>
      <c r="LD64" s="2">
        <v>0</v>
      </c>
      <c r="LE64" s="2">
        <v>2.4812479999999998E-2</v>
      </c>
      <c r="LF64" s="2">
        <v>0</v>
      </c>
      <c r="LG64" s="2">
        <v>14.66310747</v>
      </c>
      <c r="LH64" s="2">
        <v>7.6986755100000011</v>
      </c>
      <c r="LI64" s="2">
        <v>7.1930203400000012</v>
      </c>
      <c r="LJ64" s="2">
        <v>0</v>
      </c>
      <c r="LK64" s="2">
        <v>4.3895540699999991</v>
      </c>
      <c r="LL64" s="2">
        <v>4.4692109999999996</v>
      </c>
      <c r="LM64" s="2">
        <v>1.2710057699999997</v>
      </c>
      <c r="LN64" s="2">
        <v>0.15224657999999999</v>
      </c>
      <c r="LO64" s="2">
        <v>3.8968559900000002</v>
      </c>
      <c r="LQ64" s="85">
        <f t="shared" si="247"/>
        <v>3417.2421256799994</v>
      </c>
      <c r="LR64" s="85">
        <f t="shared" si="248"/>
        <v>2.8670460600000003</v>
      </c>
      <c r="LS64" s="85">
        <f t="shared" si="249"/>
        <v>27.722944249999998</v>
      </c>
      <c r="LT64" s="85">
        <f t="shared" si="250"/>
        <v>11.92061123</v>
      </c>
      <c r="LU64" s="85">
        <f t="shared" si="251"/>
        <v>211.86466829</v>
      </c>
      <c r="LV64" s="85">
        <f t="shared" si="252"/>
        <v>4.7143637700000003</v>
      </c>
      <c r="LW64" s="85">
        <f t="shared" si="253"/>
        <v>0.25909824000000004</v>
      </c>
      <c r="LX64" s="85">
        <f t="shared" si="254"/>
        <v>2.4812479999999998E-2</v>
      </c>
      <c r="LZ64" s="131">
        <v>79.040000000000006</v>
      </c>
      <c r="MA64" s="171">
        <v>73.25</v>
      </c>
      <c r="MB64"/>
      <c r="MC64"/>
      <c r="MD64"/>
      <c r="MF64"/>
      <c r="MG64"/>
      <c r="MH64" s="83">
        <v>116.71</v>
      </c>
      <c r="MI64" s="83">
        <v>45.62</v>
      </c>
      <c r="MJ64" s="83">
        <v>36.479999999999997</v>
      </c>
      <c r="MK64"/>
      <c r="ML64" s="83">
        <v>59.36</v>
      </c>
      <c r="MM64" s="83">
        <v>74.040000000000006</v>
      </c>
      <c r="MN64" s="83"/>
      <c r="MO64" s="83">
        <v>36.49</v>
      </c>
      <c r="MP64" s="83">
        <v>67.3</v>
      </c>
      <c r="MQ64" s="83">
        <v>87.23</v>
      </c>
      <c r="MR64"/>
      <c r="MT64" s="83"/>
      <c r="MU64" s="83">
        <v>41.23</v>
      </c>
      <c r="MV64"/>
      <c r="MW64"/>
      <c r="MX64"/>
      <c r="MY64" s="83">
        <v>119.62</v>
      </c>
      <c r="MZ64" s="83">
        <v>295</v>
      </c>
      <c r="NA64" s="83">
        <v>115.08</v>
      </c>
      <c r="NB64" s="83">
        <v>363.74</v>
      </c>
      <c r="NC64" s="83">
        <v>55.89</v>
      </c>
      <c r="ND64"/>
      <c r="NE64" s="1">
        <v>282.16000000000003</v>
      </c>
    </row>
    <row r="65" spans="1:369">
      <c r="A65" s="38">
        <f t="shared" si="219"/>
        <v>44044</v>
      </c>
      <c r="B65" s="36">
        <f t="shared" si="287"/>
        <v>8</v>
      </c>
      <c r="C65" s="36">
        <f t="shared" si="288"/>
        <v>2020</v>
      </c>
      <c r="D65" s="36">
        <f t="shared" si="50"/>
        <v>65</v>
      </c>
      <c r="E65" s="38">
        <f t="shared" si="220"/>
        <v>44044</v>
      </c>
      <c r="F65" s="7">
        <v>77.28</v>
      </c>
      <c r="G65" s="97">
        <v>337.06319999999999</v>
      </c>
      <c r="H65" s="1">
        <f>[2]NACIONALES!$D53</f>
        <v>35246.089999999997</v>
      </c>
      <c r="I65" s="7">
        <v>71</v>
      </c>
      <c r="J65" s="7">
        <v>365</v>
      </c>
      <c r="K65" s="7">
        <v>3.3</v>
      </c>
      <c r="L65" s="7">
        <v>20.3</v>
      </c>
      <c r="N65" s="5">
        <v>1.0646</v>
      </c>
      <c r="O65" s="5">
        <v>0.91</v>
      </c>
      <c r="P65" s="78">
        <f t="shared" si="294"/>
        <v>72.483616800000007</v>
      </c>
      <c r="Q65" s="6">
        <v>1925</v>
      </c>
      <c r="R65" s="79">
        <f t="shared" si="222"/>
        <v>19250</v>
      </c>
      <c r="S65" s="6">
        <f>12047/F65</f>
        <v>155.88768115942028</v>
      </c>
      <c r="T65" s="6">
        <v>270.10000000000002</v>
      </c>
      <c r="U65" s="143">
        <v>141.78000000000003</v>
      </c>
      <c r="V65" s="6">
        <v>231.44</v>
      </c>
      <c r="W65" s="6">
        <f t="shared" si="284"/>
        <v>120.24000000000001</v>
      </c>
      <c r="X65" s="6">
        <v>177.98000000000002</v>
      </c>
      <c r="Y65" s="79">
        <f t="shared" si="223"/>
        <v>12047</v>
      </c>
      <c r="Z65" s="79">
        <f t="shared" si="224"/>
        <v>20873.328000000001</v>
      </c>
      <c r="AA65" s="79">
        <f t="shared" si="225"/>
        <v>10956.758400000002</v>
      </c>
      <c r="AB65" s="79">
        <f t="shared" si="226"/>
        <v>17885.683199999999</v>
      </c>
      <c r="AC65" s="79">
        <f t="shared" si="227"/>
        <v>9292.1472000000012</v>
      </c>
      <c r="AD65" s="79">
        <f t="shared" si="228"/>
        <v>13754.294400000002</v>
      </c>
      <c r="AE65" s="79">
        <f t="shared" si="229"/>
        <v>14134.868533333336</v>
      </c>
      <c r="AF65" s="1">
        <v>46060.373863636363</v>
      </c>
      <c r="AG65" s="1">
        <v>20000</v>
      </c>
      <c r="AH65" s="1">
        <v>76000</v>
      </c>
      <c r="AI65" s="5">
        <v>15.83</v>
      </c>
      <c r="AJ65" s="5">
        <v>13.79</v>
      </c>
      <c r="AK65" s="5">
        <v>13.55</v>
      </c>
      <c r="AL65" s="5">
        <v>13.73</v>
      </c>
      <c r="AM65" s="78">
        <f t="shared" si="230"/>
        <v>14.6516</v>
      </c>
      <c r="AN65" s="7">
        <v>1096.2228260869565</v>
      </c>
      <c r="AO65" s="7">
        <v>829.92</v>
      </c>
      <c r="AP65" s="78">
        <f t="shared" si="277"/>
        <v>829.92</v>
      </c>
      <c r="AQ65" s="7">
        <v>382.87878787878788</v>
      </c>
      <c r="AR65" s="7">
        <v>663.82523809523809</v>
      </c>
      <c r="AS65" s="7">
        <v>544.35142857142853</v>
      </c>
      <c r="AT65" s="7">
        <v>607.09523809523807</v>
      </c>
      <c r="AU65" s="78">
        <f t="shared" si="53"/>
        <v>605.0906349206349</v>
      </c>
      <c r="AV65" s="7">
        <v>296.04819277108436</v>
      </c>
      <c r="AW65" s="7">
        <v>766.84210526315792</v>
      </c>
      <c r="AX65" s="7">
        <v>787.34380952380957</v>
      </c>
      <c r="AY65" s="7">
        <v>520.03499999999997</v>
      </c>
      <c r="AZ65" s="7">
        <v>533.38095238095241</v>
      </c>
      <c r="BA65" s="7">
        <v>231.76190476190476</v>
      </c>
      <c r="BB65" s="94">
        <f t="shared" si="45"/>
        <v>547.39197089947083</v>
      </c>
      <c r="BC65" s="164">
        <v>1262</v>
      </c>
      <c r="BD65" s="164">
        <v>1520</v>
      </c>
      <c r="BE65" s="97">
        <v>1120</v>
      </c>
      <c r="BF65" s="97">
        <v>720</v>
      </c>
      <c r="BG65" s="94">
        <f t="shared" si="56"/>
        <v>1155.5</v>
      </c>
      <c r="BH65" s="7">
        <f t="shared" si="306"/>
        <v>127.93</v>
      </c>
      <c r="BI65" s="97">
        <f t="shared" si="303"/>
        <v>25</v>
      </c>
      <c r="BJ65" s="78">
        <f t="shared" si="57"/>
        <v>152.93</v>
      </c>
      <c r="BK65" s="7">
        <v>107.274</v>
      </c>
      <c r="BL65" s="7">
        <v>141.61000000000001</v>
      </c>
      <c r="BM65" s="94">
        <f t="shared" si="58"/>
        <v>124.44200000000001</v>
      </c>
      <c r="BN65" s="5">
        <v>18.649999999999999</v>
      </c>
      <c r="BO65" s="161">
        <v>85.97</v>
      </c>
      <c r="BP65" s="97">
        <v>79.760000000000005</v>
      </c>
      <c r="BQ65" s="94">
        <f t="shared" si="59"/>
        <v>85.349000000000004</v>
      </c>
      <c r="BR65" s="7">
        <v>69.739999999999995</v>
      </c>
      <c r="BS65" s="97">
        <v>265</v>
      </c>
      <c r="BT65" s="7">
        <f>+F65*1.61</f>
        <v>124.42080000000001</v>
      </c>
      <c r="BU65" s="79">
        <f t="shared" si="237"/>
        <v>3553.2624000000001</v>
      </c>
      <c r="BV65" s="7">
        <v>147.4</v>
      </c>
      <c r="BW65" s="7">
        <v>200</v>
      </c>
      <c r="BY65" s="92">
        <f>BY$10*(1+((H65/H$10-1)*costos!$B$5+((I65*F65)/(I$10*F$10)-1)*costos!$E$5+((J65*F65)/((J$10*F$10)-1)*costos!$F$5/3+((K65*F65)/(K$10*F$10)-1)*costos!$F$5/3+((U65*F65)/(U$10*F$10)-1)*costos!$F$5/3+((L65*F65)/(L$10*F$10)-1)*costos!$G$5+((N65*F65)/(N$10*F$10)-1)*costos!$J$5+((V65*F65)/(V$10*F$10)-1)*costos!$K$5)))</f>
        <v>493.31964094488416</v>
      </c>
      <c r="BZ65" s="92">
        <f>$BZ$10*(1+((H65/$H$10-1)*costos!$B$6+((I65*F65)/($I$10*$F$10)-1)*costos!$E$6+((J65*F65)/(($J$10*$F$10)-1)*costos!$F$6/3+((K65*F65)/($K$10*$F$10)-1)*costos!$F$6/3+((U65*F65)/($U$10*$F$10)-1)*costos!$F$6/3+((L65*F65)/($L$10*$F$10)-1)*costos!$G$6+((Q65*F65)/($Q$10*$F$10)-1)*costos!$J$6+((V65*F65)/($V$10*$F$10)-1)*costos!$K$6)))</f>
        <v>461.70594341462123</v>
      </c>
      <c r="CA65" s="92">
        <f>CA$10*(1+((H65/H$10-1)*costos!$B$7+((I65*F65)/(I$10*F$10)-1)*costos!$E$7+((J65*F65)/((J$10*F$10)-1)*costos!$F$7/3+((K65*F65)/(K$10*F$10)-1)*costos!$F$7/3+((U65*F65)/(U$10*F$10)-1)*costos!$F$7/3+((L65*F65)/(L$10*F$10)-1)*costos!$G$7+((S65*F65)/(S$10*F$10)-1)*costos!$J$7+((V65*F65)/(V$10*F$10)-1)*costos!$K$7)))</f>
        <v>513.14794362573787</v>
      </c>
      <c r="CB65" s="92">
        <f>CB$10*(1+((H65/H$10-1)*costos!$B$8+((I65*F65)/(I$10*F$10)-1)*costos!$E$8+((J65*F65)/((J$10*F$10)-1)*costos!$F$8/3+((K65*F65)/(K$10*F$10)-1)*costos!$F$8/3+((U65*F65)/(U$10*F$10)-1)*costos!$F$8/3+((L65*F65)/(L$10*F$10)-1)*costos!$G$8+((T65*F65)/(T$10*F$10)-1)*costos!$J$8+((V65*F65)/(V$10*F$10)-1)*costos!$K$8)))</f>
        <v>505.04984261871232</v>
      </c>
      <c r="CC65" s="92">
        <f>CC$10*(1+((H65/H$10-1)*costos!$B$9+((I65*F65)/(I$10*F$10)-1)*costos!$E$9+((J65*F65)/((J$10*F$10)-1)*costos!$F$9/3+((K65*F65)/(K$10*F$10)-1)*costos!$F$9/3+((U65*F65)/(U$10*F$10)-1)*costos!$F$9/3+((L65*F65)/(L$10*F$10)-1)*costos!$G$9+((U65*F65)/(U$10*F$10)-1)*costos!$J$9+((V65*F65)/(V$10*F$10)-1)*costos!$K$9)))</f>
        <v>493.06598569927331</v>
      </c>
      <c r="CD65" s="92">
        <f>CD$10*(1+((H65/H$10-1)*costos!$B$11+((I65*F65)/(I$10*F$10)-1)*costos!$E$11+((J65*F65)/((J$10*F$10)-1)*costos!$F$11/3+((K65*F65)/(K$10*F$10)-1)*costos!$F$11/3+((U65*F65)/(U$10*F$10)-1)*costos!$F$11/3+((L65*F65)/(L$10*F$10)-1)*costos!$G$11+((V65*F65)/(V$10*F$10)-1)*costos!$J$11+((V65*F65)/(V$10*F$10)-1)*costos!$K$11)))</f>
        <v>517.06497832410628</v>
      </c>
      <c r="CE65" s="92">
        <f>CE$10*(1+((H65/H$10-1)*costos!$B$12+((I65*F65)/(I$10*F$10)-1)*costos!$E$12+((J65*F65)/((J$10*F$10)-1)*costos!$F$12/3+((K65*F65)/(K$10*F$10)-1)*costos!$F$12/3+((U65*F65)/(U$10*F$10)-1)*costos!$F$12/3+((L65*F65)/(L$10*F$10)-1)*costos!$G$12+((W65*F65)/(W$10*F$10)-1)*costos!$J$12+((V65*F65)/(V$10*F$10)-1)*costos!$K$12)))</f>
        <v>459.95026193688011</v>
      </c>
      <c r="CF65" s="92">
        <f>CF$10*(1+((H65/H$10-1)*costos!$B$13+((I65*F65)/(I$10*F$10)-1)*costos!$E$13+((J65*F65)/((J$10*F$10)-1)*costos!$F$13/3+((K65*F65)/(K$10*F$10)-1)*costos!$F$13/3+((U65*F65)/(U$10*F$10)-1)*costos!$F$13/3+((L65*F65)/(L$10*F$10)-1)*costos!$G$13+((X65*F65)/(X$10*F$10)-1)*costos!$J$13+((V65*F65)/(V$10*F$10)-1)*costos!$K$13)))</f>
        <v>531.36772206493799</v>
      </c>
      <c r="CG65" s="92">
        <f t="shared" si="299"/>
        <v>503.27445571160797</v>
      </c>
      <c r="CH65" s="92">
        <f>CH$10*(1+((H65/H$10-1)*costos!$B$10+((I65*F65)/(I$10*F$10)-1)*costos!$E$10+((J65*F65)/((J$10*F$10)-1)*costos!$F$10/3+((K65*F65)/(K$10*F$10)-1)*costos!$F$10/3+((U65*F65)/(U$10*F$10)-1)*costos!$F$10/3+((L65*F65)/(L$10*F$10)-1)*costos!$G$10+((AF65)/(AF$10)-1)*costos!$J$10+((V65*F65)/(V$10*F$10)-1)*costos!$K$10)))</f>
        <v>572.59105692348271</v>
      </c>
      <c r="CI65" s="92">
        <f>CI$10*(1+((H65/H$10-1)*costos!$B$15+((I65*F65)/(I$10*F$10)-1)*costos!$E$15+((J65*F65)/((J$10*F$10)-1)*costos!$F$15/3+((K65*F65)/(K$10*F$10)-1)*costos!$F$15/3+((U65*F65)/(U$10*F$10)-1)*costos!$F$15/3+((L65*F65)/(L$10*F$10)-1)*costos!$G$15+((AV65)/(AV$10)-1)*costos!$J$15+((V65*F65)/(V$10*F$10)-1)*costos!$K$15)))</f>
        <v>482.28773929392679</v>
      </c>
      <c r="CJ65" s="92">
        <f>CJ$10*(1+((H65/H$10-1)*costos!$B$16+((I65*F65)/(I$10*F$10)-1)*costos!$E$16+((J65*F65)/((J$10*F$10)-1)*costos!$F$16/3+((K65*F65)/(K$10*F$10)-1)*costos!$F$16/3+((U65*F65)/(U$10*F$10)-1)*costos!$F$16/3+((L65*F65)/(L$10*F$10)-1)*costos!$G$16+((AW65)/(AW$10)-1)*costos!$J$16+((V65*F65)/(V$10*F$10)-1)*costos!$K$16)))</f>
        <v>447.79460680099953</v>
      </c>
      <c r="CK65" s="92">
        <f>CK$10*(1+((H65/H$10-1)*costos!$B$17+((I65*F65)/(I$10*F$10)-1)*costos!$E$17+((J65*F65)/((J$10*F$10)-1)*costos!$F$17/3+((K65*F65)/(K$10*F$10)-1)*costos!$F$17/3+((U65*F65)/(U$10*F$10)-1)*costos!$F$17/3+((L65*F65)/(L$10*F$10)-1)*costos!$G$17+((AX65)/(AX$10)-1)*costos!$J$17+((V65*F65)/(V$10*F$10)-1)*costos!$K$17)))</f>
        <v>570.07755971807751</v>
      </c>
      <c r="CL65" s="92">
        <f>CL$10*(1+((H65/H$10-1)*costos!$B$18+((I65*F65)/(I$10*F$10)-1)*costos!$E$18+((J65*F65)/((J$10*F$10)-1)*costos!$F$18/3+((K65*F65)/(K$10*F$10)-1)*costos!$F$18/3+((U65*F65)/(U$10*F$10)-1)*costos!$F$18/3+((L65*F65)/(L$10*F$10)-1)*costos!$G$18+((AY65)/(AY$10)-1)*costos!$J$18+((V65*F65)/(V$10*F$10)-1)*costos!$K$18)))</f>
        <v>492.54243966993647</v>
      </c>
      <c r="CM65" s="92">
        <f>CM$10*(1+((H65/H$10-1)*costos!$B$19+((I65*F65)/(I$10*F$10)-1)*costos!$E$19+((J65*F65)/((J$10*F$10)-1)*costos!$F$19/3+((K65*F65)/(K$10*F$10)-1)*costos!$F$19/3+((U65*F65)/(U$10*F$10)-1)*costos!$F$19/3+((L65*F65)/(L$10*F$10)-1)*costos!$G$19+((AZ65)/(AZ$10)-1)*costos!$J$19+((V65*F65)/(V$10*F$10)-1)*costos!$K$19)))</f>
        <v>456.81746249045096</v>
      </c>
      <c r="CN65" s="92">
        <f>CN$10*(1+((H65/H$10-1)*costos!$B$20+((I65*F65)/(I$10*F$10)-1)*costos!$E$20+((J65*F65)/((J$10*F$10)-1)*costos!$F$20/3+((K65*F65)/(K$10*F$10)-1)*costos!$F$20/3+((U65*F65)/(U$10*F$10)-1)*costos!$F$20/3+((L65*F65)/(L$10*F$10)-1)*costos!$G$20+((BA65)/(BA$10)-1)*costos!$J$20+((V65*F65)/(V$10*F$10)-1)*costos!$K$20)))</f>
        <v>423.65961049452829</v>
      </c>
      <c r="CO65" s="92">
        <f t="shared" si="300"/>
        <v>485.77426809324834</v>
      </c>
      <c r="CP65" s="92">
        <f>CP$10*(1+((H65/H$10-1)*costos!$B$22+((I65*F65)/(I$10*F$10)-1)*costos!$E$22+((J65*F65)/((J$10*F$10)-1)*costos!$F$22/3+((K65*F65)/(K$10*F$10)-1)*costos!$F$22/3+((U65*F65)/(U$10*F$10)-1)*costos!$F$22/3+((L65*F65)/(L$10*F$10)-1)*costos!$G$22+(((AVERAGE(AI65:AL65))/((AVERAGE(AI$10:AL$10))-1)*costos!$J$22+((V65*F65)/(V$10*F$10)-1)*costos!$K$22)))))</f>
        <v>519.8366615910237</v>
      </c>
      <c r="CQ65" s="92">
        <f>CQ$10*(1+((H65/H$10-1)*costos!$B$23+((I65*F65)/(I$10*F$10)-1)*costos!$E$23+((J65*F65)/((J$10*F$10)-1)*costos!$F$23/3+((K65*F65)/(K$10*F$10)-1)*costos!$F$23/3+((U65*F65)/(U$10*F$10)-1)*costos!$F$23/3+((L65*F65)/(L$10*F$10)-1)*costos!$G$23+((AN65)/(AN$10)-1)*costos!$J$23+((V65*F65)/(V$10*F$10)-1)*costos!$K$23)))</f>
        <v>446.84361264590962</v>
      </c>
      <c r="CR65" s="92">
        <f>CR$10*(1+((H65/H$10-1)*costos!$B$24+((I65*F65)/(I$10*F$10)-1)*costos!$E$24+((J65*F65)/((J$10*F$10)-1)*costos!$F$24/3+((K65*F65)/(K$10*F$10)-1)*costos!$F$24/3+((U65*F65)/(U$10*F$10)-1)*costos!$F$24/3+((L65*F65)/(L$10*F$10)-1)*costos!$G$24+((AO65)/(AO$10)-1)*costos!$J$24+((V65*F65)/(V$10*F$10)-1)*costos!$K$24)))</f>
        <v>461.32266699829847</v>
      </c>
      <c r="CS65" s="92">
        <f t="shared" si="62"/>
        <v>454.08313982210404</v>
      </c>
      <c r="CT65" s="92">
        <f>CT$10*(1+((H65/H$10-1)*costos!$B$25+((I65*F65)/(I$10*F$10)-1)*costos!$E$25+((J65*F65)/((J$10*F$10)-1)*costos!$F$25/3+((K65*F65)/(K$10*F$10)-1)*costos!$F$25/3+((U65*F65)/(U$10*F$10)-1)*costos!$F$25/3+((L65*F65)/(L$10*F$10)-1)*costos!$G$25+((AQ65)/(AQ$10)-1)*costos!$J$25+((V65*F65)/(V$10*F$10)-1)*costos!$K$25)))</f>
        <v>421.51611044844782</v>
      </c>
      <c r="CU65" s="92">
        <f>CU$10*(1+((H65/H$10-1)*costos!$B$26+((I65*F65)/(I$10*F$10)-1)*costos!$E$26+((J65*F65)/((J$10*F$10)-1)*costos!$F$26/3+((K65*F65)/(K$10*F$10)-1)*costos!$F$26/3+((U65*F65)/(U$10*F$10)-1)*costos!$F$26/3+((L65*F65)/(L$10*F$10)-1)*costos!$G$26+((AR65)/(AR$10)-1)*costos!$J$26+((V65*F65)/(V$10*F$10)-1)*costos!$K$26)))</f>
        <v>457.50390624455173</v>
      </c>
      <c r="CV65" s="92">
        <f>CV$10*(1+((H65/H$10-1)*costos!$B$27+((I65*F65)/(I$10*F$10)-1)*costos!$E$27+((J65*F65)/((J$10*F$10)-1)*costos!$F$27/3+((K65*F65)/(K$10*F$10)-1)*costos!$F$27/3+((U65*F65)/(U$10*F$10)-1)*costos!$F$27/3+((L65*F65)/(L$10*F$10)-1)*costos!$G$27+((AS65)/(AS$10)-1)*costos!$J$27+((V65*F65)/(V$10*F$10)-1)*costos!$K$27)))</f>
        <v>448.72090553793862</v>
      </c>
      <c r="CW65" s="92">
        <f>CW$10*(1+((H65/H$10-1)*costos!$B$28+((I65*F65)/(I$10*F$10)-1)*costos!$E$28+((J65*F65)/((J$10*F$10)-1)*costos!$F$28/3+((K65*F65)/(K$10*F$10)-1)*costos!$F$28/3+((U65*F65)/(U$10*F$10)-1)*costos!$F$28/3+((L65*F65)/(L$10*F$10)-1)*costos!$G$28+((AS65)/(AS$10)-1)*costos!$J$28+((V65*F65)/(V$10*F$10)-1)*costos!$K$28)))</f>
        <v>448.72090553793862</v>
      </c>
      <c r="CX65" s="92">
        <f t="shared" si="301"/>
        <v>451.64857244014303</v>
      </c>
      <c r="CY65" s="92">
        <f>CY$10*(1+((H65/H$10-1)*costos!$B$32+((I65*F65)/(I$10*F$10)-1)*costos!$E$32+((J65*F65)/((J$10*F$10)-1)*costos!$F$32/3+((K65*F65)/(K$10*F$10)-1)*costos!$F$32/3+((U65*F65)/(U$10*F$10)-1)*costos!$F$32/3+((L65*F65)/(L$10*F$10)-1)*costos!$G$32+((AG65)/(AG$10)-1)*costos!$J$32+((V65*F65)/(V$10*F$10)-1)*costos!$K$32)))</f>
        <v>457.73790710094761</v>
      </c>
      <c r="CZ65" s="69">
        <f>CZ$10*(1+((H65/H$10-1)*costos!$B$31+((I65*F65)/(I$10*F$10)-1)*costos!$E$30+((J65*F65)/((J$10*F$10)-1)*costos!$F$30/3+((K65*F65)/(K$10*F$10)-1)*costos!$F$30/3+((U65*F65)/(U$10*F$10)-1)*costos!$F$30/3+((L65*F65)/(L$10*F$10)-1)*costos!$G$30+((BG65)/(BG$10)-1)*costos!$J$30+((V65*F65)/(V$10*F$10)-1)*costos!$K$30)))</f>
        <v>540.07302926987359</v>
      </c>
      <c r="DA65" s="69">
        <f>DA$10*(1+((H65/H$10-1)*costos!$B$31+((I65*F65)/(I$10*F$10)-1)*costos!$E$31+((J65*F65)/((J$10*F$10)-1)*costos!$F$31/3+((K65*F65)/(K$10*F$10)-1)*costos!$F$31/3+((U65*F65)/(U$10*F$10)-1)*costos!$F$31/3+((L65*F65)/(L$10*F$10)-1)*costos!$G$31+((BJ65)/(BJ$10)-1)*costos!$J$31+((V65*F65)/(V$10*F$10)-1)*costos!$K$31)))</f>
        <v>464.10050504169948</v>
      </c>
      <c r="DB65" s="69">
        <f>DB$10*(1+((H65/H$10-1)*costos!$B$36+((I65*F65)/(I$10*F$10)-1)*costos!$E$36+((J65*F65)/((J$10*F$10)-1)*costos!$F$36/3+((K65*F65)/(K$10*F$10)-1)*costos!$F$36/3+((U65*F65)/(U$10*F$10)-1)*costos!$F$36/3+((L65*F65)/(L$10*F$10)-1)*costos!$G$36+((BK65)/(BK$10)-1)*costos!$J$36+((V65*F65)/(V$10*F$10)-1)*costos!$K$36)))</f>
        <v>471.60925318530184</v>
      </c>
      <c r="DC65" s="69">
        <f>DC$10*(1+((H65/H$10-1)*costos!$B$37+((I65*F65)/(I$10*F$10)-1)*costos!$E$37+((U65*F65)/(U$10*F$10)-1)*costos!$F$37+((L65*F65)/(L$10*F$10)-1)*costos!$G$37+((BN65)/(BN$10)-1)*costos!$J$37+((V65*F65)/(V$10*F$10)-1)*costos!$K$37))</f>
        <v>514.0656746388338</v>
      </c>
      <c r="DD65" s="69">
        <f>DD$10*(1+((H65/H$10-1)*costos!$B$39+((I65*F65)/(I$10*F$10)-1)*costos!$E$39+((U65*F65)/(U$10*F$10)-1)*costos!$F$39+((L65*F65)/(L$10*F$10)-1)*costos!$G$39+((BR65)/(BR$10)-1)*costos!$J$39+((V65*F65)/(V$10*F$10)-1)*costos!$K$39))</f>
        <v>505.87457306805828</v>
      </c>
      <c r="DE65" s="69">
        <f>DD$10*(1+((H65/H$10-1)*costos!$B$35+((I65*F65)/(I$10*F$10)-1)*costos!$E$35+((U65*F65)/(U$10*F$10)-1)*costos!$F$35+((L65*F65)/(L$10*F$10)-1)*costos!$G$35+((BR65)/(BR$10)-1)*costos!$J$35+((V65*F65)/(V$10*F$10)-1)*costos!$K$35))</f>
        <v>468.91675643308253</v>
      </c>
      <c r="DF65" s="69">
        <f>DF$10*(1+((H65/H$10-1)*costos!$B$40+((I65*F65)/(I$10*F$10)-1)*costos!$E$40+((U65*F65)/(U$10*F$10)-1)*costos!$F$40+((L65*F65)/(L$10*F$10)-1)*costos!$G$40+((BP65)/(BP$10)-1)*costos!$J$40+((V65*F65)/(V$10*F$10)-1)*costos!$K$40))</f>
        <v>529.30864023232834</v>
      </c>
      <c r="DG65" s="92">
        <f t="shared" si="302"/>
        <v>499.11269833270546</v>
      </c>
      <c r="DH65" s="69">
        <f>DH$10*(1+((H65/H$10-1)*costos!$B$34+((I65*F65)/(I$10*F$10)-1)*costos!$E$34+((J65*F65)/((J$10*F$10)-1)*costos!$F$34/3+((K65*F65)/(K$10*F$10)-1)*costos!$F$34/3+((U65*F65)/(U$10*F$10)-1)*costos!$F$34/3+((L65*F65)/(L$10*F$10)-1)*costos!$G$34+((BV65)/(BV$10)-1)*costos!$J$34+((V65*F65)/(V$10*F$10)-1)*costos!$K$34)))</f>
        <v>487.88126147517733</v>
      </c>
      <c r="DI65" s="69">
        <f>DI$10*(1+((H65/H$10-1)*costos!$B$38+((I65*F65)/(I$10*F$10)-1)*costos!$E$38+((J65*F65)/((J$10*F$10)-1)*costos!$F$38/3+((K65*F65)/(K$10*F$10)-1)*costos!$F$38/3+((U65*F65)/(U$10*F$10)-1)*costos!$F$38/3+((L65*F65)/(L$10*F$10)-1)*costos!$G$38+((BU65)/(BU$10)-1)*costos!$J$38+((V65*F65)/(V$10*F$10)-1)*costos!$K$38)))</f>
        <v>462.10610622869365</v>
      </c>
      <c r="DK65" s="1">
        <v>450000</v>
      </c>
      <c r="DL65" s="1" t="s">
        <v>323</v>
      </c>
      <c r="DM65" s="1">
        <v>190000</v>
      </c>
      <c r="DN65" s="1" t="s">
        <v>323</v>
      </c>
      <c r="DO65" s="1">
        <v>1250000</v>
      </c>
      <c r="DP65" s="1" t="s">
        <v>377</v>
      </c>
      <c r="DQ65" s="1">
        <v>1600000</v>
      </c>
      <c r="DR65" s="1" t="s">
        <v>323</v>
      </c>
      <c r="DS65" s="1">
        <v>6200000</v>
      </c>
      <c r="DT65" s="1" t="s">
        <v>377</v>
      </c>
      <c r="DU65" s="1">
        <v>16900000</v>
      </c>
      <c r="DV65" s="1" t="s">
        <v>323</v>
      </c>
      <c r="DW65" s="1">
        <v>520000</v>
      </c>
      <c r="DX65" s="1" t="s">
        <v>323</v>
      </c>
      <c r="DY65" s="1">
        <v>6730000</v>
      </c>
      <c r="DZ65" s="1" t="s">
        <v>377</v>
      </c>
      <c r="EA65" s="79">
        <f t="shared" si="67"/>
        <v>33200000</v>
      </c>
      <c r="EB65" s="1">
        <v>351733</v>
      </c>
      <c r="EC65" s="1" t="s">
        <v>323</v>
      </c>
      <c r="ED65" s="1">
        <v>174820</v>
      </c>
      <c r="EE65" s="143">
        <v>2020</v>
      </c>
      <c r="EF65" s="1">
        <v>214798</v>
      </c>
      <c r="EG65" s="6">
        <v>2020</v>
      </c>
      <c r="EH65" s="1">
        <v>54460799</v>
      </c>
      <c r="EI65" s="6">
        <v>2020</v>
      </c>
      <c r="EJ65" s="1">
        <v>5377071</v>
      </c>
      <c r="EK65" s="6">
        <f t="shared" si="285"/>
        <v>2020</v>
      </c>
      <c r="EL65" s="1">
        <v>14774196</v>
      </c>
      <c r="EM65" s="6">
        <v>2019</v>
      </c>
      <c r="EN65" s="1">
        <v>3201657</v>
      </c>
      <c r="EO65" s="6">
        <v>2019</v>
      </c>
      <c r="EP65" s="82">
        <f t="shared" si="286"/>
        <v>6552</v>
      </c>
      <c r="EQ65" s="83">
        <v>3366686</v>
      </c>
      <c r="ER65" s="1">
        <f>44654+27865+4138</f>
        <v>76657</v>
      </c>
      <c r="ES65" s="1"/>
      <c r="ET65" s="83">
        <f t="shared" si="289"/>
        <v>19456</v>
      </c>
      <c r="EU65" s="83">
        <f t="shared" si="289"/>
        <v>17935</v>
      </c>
      <c r="EV65" s="83">
        <f t="shared" si="289"/>
        <v>9101</v>
      </c>
      <c r="EW65" s="83">
        <f t="shared" si="289"/>
        <v>17303</v>
      </c>
      <c r="EX65" s="79">
        <f t="shared" si="72"/>
        <v>63795</v>
      </c>
      <c r="EY65" s="83">
        <f t="shared" si="290"/>
        <v>19804</v>
      </c>
      <c r="EZ65" s="82">
        <f t="shared" si="290"/>
        <v>79940</v>
      </c>
      <c r="FA65" s="83">
        <v>22244</v>
      </c>
      <c r="FB65" s="82">
        <f>+FB64</f>
        <v>18080</v>
      </c>
      <c r="FC65" s="79">
        <f t="shared" si="295"/>
        <v>40324</v>
      </c>
      <c r="FD65" s="83">
        <f t="shared" si="158"/>
        <v>59152.38</v>
      </c>
      <c r="FE65" s="1"/>
      <c r="FF65" s="1">
        <v>1100000</v>
      </c>
      <c r="FG65" s="1" t="s">
        <v>323</v>
      </c>
      <c r="FH65" s="1">
        <v>1200000</v>
      </c>
      <c r="FI65" s="1" t="s">
        <v>323</v>
      </c>
      <c r="FJ65" s="1">
        <v>3800000</v>
      </c>
      <c r="FK65" s="1" t="s">
        <v>323</v>
      </c>
      <c r="FL65" s="1">
        <v>3300000</v>
      </c>
      <c r="FM65" s="1" t="s">
        <v>323</v>
      </c>
      <c r="FN65" s="1">
        <v>50000000</v>
      </c>
      <c r="FO65" s="1" t="s">
        <v>323</v>
      </c>
      <c r="FP65" s="1">
        <v>49000000</v>
      </c>
      <c r="FQ65" s="1" t="s">
        <v>323</v>
      </c>
      <c r="FR65" s="1">
        <v>1850000</v>
      </c>
      <c r="FS65" s="1" t="s">
        <v>323</v>
      </c>
      <c r="FT65" s="1">
        <v>19775000</v>
      </c>
      <c r="FU65" s="1" t="s">
        <v>323</v>
      </c>
      <c r="FV65" s="79">
        <f t="shared" si="76"/>
        <v>127725000</v>
      </c>
      <c r="FW65" s="1">
        <v>1263869</v>
      </c>
      <c r="FX65" s="1" t="s">
        <v>323</v>
      </c>
      <c r="FY65" s="83">
        <v>111123</v>
      </c>
      <c r="FZ65" s="79">
        <f t="shared" si="135"/>
        <v>802985.18799999997</v>
      </c>
      <c r="GA65" s="86" t="str">
        <f t="shared" si="271"/>
        <v>sept19 ago20</v>
      </c>
      <c r="GB65" s="83">
        <v>20557455</v>
      </c>
      <c r="GC65" s="6">
        <v>2020</v>
      </c>
      <c r="GD65" s="83">
        <f t="shared" si="265"/>
        <v>1974652</v>
      </c>
      <c r="GE65" s="83">
        <f t="shared" si="265"/>
        <v>367136</v>
      </c>
      <c r="GF65" s="83">
        <v>957160</v>
      </c>
      <c r="GG65" s="83">
        <f t="shared" si="268"/>
        <v>89049</v>
      </c>
      <c r="GH65" s="79">
        <f t="shared" si="240"/>
        <v>1413345</v>
      </c>
      <c r="GI65" s="82">
        <f t="shared" si="232"/>
        <v>1302556</v>
      </c>
      <c r="GJ65" s="83">
        <f t="shared" si="215"/>
        <v>666015</v>
      </c>
      <c r="GK65" s="83">
        <f t="shared" si="216"/>
        <v>1221000</v>
      </c>
      <c r="GL65" s="83">
        <f t="shared" si="217"/>
        <v>294346.89</v>
      </c>
      <c r="GM65" s="83">
        <f t="shared" si="218"/>
        <v>260133.24</v>
      </c>
      <c r="GN65" s="79">
        <f t="shared" si="81"/>
        <v>2441495.13</v>
      </c>
      <c r="GO65" s="83">
        <f t="shared" si="291"/>
        <v>198452.81</v>
      </c>
      <c r="GP65" s="83">
        <f t="shared" si="291"/>
        <v>73538</v>
      </c>
      <c r="GQ65" s="83">
        <v>20802</v>
      </c>
      <c r="GR65" s="83">
        <v>44610</v>
      </c>
      <c r="GS65" s="79">
        <f t="shared" si="192"/>
        <v>45234.06</v>
      </c>
      <c r="GT65" s="83">
        <f t="shared" si="296"/>
        <v>2884000</v>
      </c>
      <c r="GU65" s="83">
        <v>32948</v>
      </c>
      <c r="GV65" s="83">
        <v>39023</v>
      </c>
      <c r="GW65" s="79">
        <f t="shared" si="261"/>
        <v>1225177</v>
      </c>
      <c r="GX65" s="1">
        <v>34954.608</v>
      </c>
      <c r="GY65" s="1" t="s">
        <v>340</v>
      </c>
      <c r="GZ65" s="1">
        <v>112856</v>
      </c>
      <c r="HA65" s="1">
        <v>263696</v>
      </c>
      <c r="HB65" s="79">
        <f t="shared" si="241"/>
        <v>3156024.0870000003</v>
      </c>
      <c r="HC65" s="86" t="str">
        <f t="shared" si="272"/>
        <v>sept19 ago20</v>
      </c>
      <c r="HD65" s="1">
        <v>55848</v>
      </c>
      <c r="HE65" s="79">
        <f t="shared" si="139"/>
        <v>642264</v>
      </c>
      <c r="HF65" s="86" t="str">
        <f t="shared" si="273"/>
        <v>sept19 ago20</v>
      </c>
      <c r="HG65" s="83">
        <v>178000</v>
      </c>
      <c r="HH65" s="79">
        <f t="shared" si="242"/>
        <v>2224000</v>
      </c>
      <c r="HI65" s="86" t="str">
        <f t="shared" si="274"/>
        <v>sept19 ago20</v>
      </c>
      <c r="HJ65" s="83">
        <v>81150</v>
      </c>
      <c r="HK65" s="79">
        <f t="shared" si="278"/>
        <v>54868.831200000001</v>
      </c>
      <c r="HL65" s="86" t="str">
        <f t="shared" si="275"/>
        <v>sept19 ago20</v>
      </c>
      <c r="HM65" s="79">
        <f t="shared" si="86"/>
        <v>2278868.8311999999</v>
      </c>
      <c r="HN65" s="87">
        <f t="shared" si="297"/>
        <v>5.0568769389865542E-2</v>
      </c>
      <c r="HO65" s="1">
        <v>1015900000</v>
      </c>
      <c r="HP65" s="79">
        <f t="shared" si="153"/>
        <v>10884</v>
      </c>
      <c r="HQ65" s="86" t="str">
        <f t="shared" si="276"/>
        <v>sept19 ago20</v>
      </c>
      <c r="HR65" s="1"/>
      <c r="HS65" s="1"/>
      <c r="HT65" s="1"/>
      <c r="HU65" s="1">
        <v>650000</v>
      </c>
      <c r="HV65" s="1" t="s">
        <v>323</v>
      </c>
      <c r="HW65" s="1">
        <v>1200000</v>
      </c>
      <c r="HX65" s="1" t="s">
        <v>323</v>
      </c>
      <c r="HY65" s="1">
        <f t="shared" si="304"/>
        <v>2980000</v>
      </c>
      <c r="HZ65" s="1" t="s">
        <v>323</v>
      </c>
      <c r="IA65" s="1">
        <f t="shared" si="305"/>
        <v>21140000</v>
      </c>
      <c r="IB65" s="1" t="s">
        <v>323</v>
      </c>
      <c r="IC65" s="1">
        <v>44000000</v>
      </c>
      <c r="ID65" s="1" t="s">
        <v>323</v>
      </c>
      <c r="IE65" s="1">
        <f t="shared" si="281"/>
        <v>1150000</v>
      </c>
      <c r="IF65" s="1" t="s">
        <v>323</v>
      </c>
      <c r="IG65" s="1">
        <f>(6.5+0.9)*1000000</f>
        <v>7400000</v>
      </c>
      <c r="IH65" s="1" t="s">
        <v>323</v>
      </c>
      <c r="II65" s="79">
        <f t="shared" si="87"/>
        <v>77870000</v>
      </c>
      <c r="IJ65" s="97">
        <f>(6500000*12)/$IJ$2</f>
        <v>1.6786218979067327</v>
      </c>
      <c r="IK65" s="1" t="s">
        <v>323</v>
      </c>
      <c r="IL65" s="7">
        <v>42</v>
      </c>
      <c r="IM65" s="7">
        <v>48.66</v>
      </c>
      <c r="IN65" s="97">
        <v>182.5</v>
      </c>
      <c r="IO65" s="695">
        <v>14.08</v>
      </c>
      <c r="IP65" s="176">
        <f t="shared" si="292"/>
        <v>5.7853601487586115</v>
      </c>
      <c r="IQ65" s="7">
        <v>20.7</v>
      </c>
      <c r="IR65" s="98">
        <f t="shared" si="293"/>
        <v>4.79</v>
      </c>
      <c r="IS65" s="98">
        <f t="shared" si="293"/>
        <v>5.29</v>
      </c>
      <c r="IT65" s="98">
        <f t="shared" si="293"/>
        <v>12.22</v>
      </c>
      <c r="IU65" s="98">
        <f t="shared" si="293"/>
        <v>0.38</v>
      </c>
      <c r="IV65" s="94">
        <f t="shared" si="89"/>
        <v>17.89</v>
      </c>
      <c r="IW65" s="1"/>
      <c r="IX65" s="1"/>
      <c r="IY65" s="105">
        <v>1.86</v>
      </c>
      <c r="IZ65" s="161">
        <v>0.1</v>
      </c>
      <c r="JA65" s="83">
        <v>2810</v>
      </c>
      <c r="JB65" s="7">
        <v>44.74</v>
      </c>
      <c r="JC65" s="1"/>
      <c r="JD65" s="1"/>
      <c r="JE65" s="99"/>
      <c r="JF65" s="2">
        <v>19.443981660000006</v>
      </c>
      <c r="JG65" s="2">
        <v>19.076793430000002</v>
      </c>
      <c r="JH65" s="2">
        <v>139.99821710999998</v>
      </c>
      <c r="JI65" s="2">
        <v>94.126476359999998</v>
      </c>
      <c r="JJ65" s="2">
        <v>756.75162622999994</v>
      </c>
      <c r="JK65" s="2">
        <v>112.95003618000001</v>
      </c>
      <c r="JL65" s="2">
        <v>1650.62800444</v>
      </c>
      <c r="JM65" s="2">
        <v>58.857464999999998</v>
      </c>
      <c r="JN65" s="2">
        <v>71.407447029999986</v>
      </c>
      <c r="JO65" s="2">
        <v>23.383617489999999</v>
      </c>
      <c r="JP65" s="2">
        <v>0</v>
      </c>
      <c r="JQ65" s="2">
        <v>6.4297300000000002E-2</v>
      </c>
      <c r="JR65" s="2">
        <v>1.2477110899999999</v>
      </c>
      <c r="JS65" s="2">
        <v>0</v>
      </c>
      <c r="JT65" s="2">
        <v>5.9422250000000003E-2</v>
      </c>
      <c r="JU65" s="2">
        <v>106.25096956</v>
      </c>
      <c r="JV65" s="2">
        <v>8.5407670600000003</v>
      </c>
      <c r="JW65" s="2">
        <v>13.384086410000002</v>
      </c>
      <c r="JX65" s="2">
        <v>24.131844400000002</v>
      </c>
      <c r="JY65" s="2">
        <v>0</v>
      </c>
      <c r="JZ65" s="2">
        <v>13.64625436</v>
      </c>
      <c r="KA65" s="2">
        <v>0.7358905</v>
      </c>
      <c r="KB65" s="2">
        <v>16.814666639999999</v>
      </c>
      <c r="KC65" s="2">
        <v>17.002841179999997</v>
      </c>
      <c r="KD65" s="2">
        <v>12.855441149999999</v>
      </c>
      <c r="KE65" s="2">
        <v>16.584271619999999</v>
      </c>
      <c r="KF65" s="2">
        <v>37.29157446</v>
      </c>
      <c r="KG65" s="2">
        <v>322.32935910999981</v>
      </c>
      <c r="KH65" s="2">
        <v>113.62792897999999</v>
      </c>
      <c r="KI65" s="2">
        <v>14.825139280000002</v>
      </c>
      <c r="KJ65" s="2">
        <v>7.7727499299999998</v>
      </c>
      <c r="KK65" s="2">
        <v>4.3166837699999983</v>
      </c>
      <c r="KL65" s="2">
        <v>0.54441731000000004</v>
      </c>
      <c r="KM65" s="2">
        <v>1.0513036599999999</v>
      </c>
      <c r="KN65" s="2">
        <v>9.1013540000000004E-2</v>
      </c>
      <c r="KO65" s="2">
        <v>2.8909279299999997</v>
      </c>
      <c r="KP65" s="2">
        <v>3.2950569999999998E-2</v>
      </c>
      <c r="KQ65" s="2">
        <v>175.21359783999998</v>
      </c>
      <c r="KR65" s="2">
        <v>0</v>
      </c>
      <c r="KS65" s="2">
        <v>0.12263531999999999</v>
      </c>
      <c r="KT65" s="2">
        <v>0.76013449</v>
      </c>
      <c r="KU65" s="2">
        <v>0.25916665</v>
      </c>
      <c r="KV65" s="2">
        <v>1.4899484999999999</v>
      </c>
      <c r="KW65" s="2">
        <v>5.2437671600000009</v>
      </c>
      <c r="KX65" s="2">
        <v>0</v>
      </c>
      <c r="KY65" s="2">
        <v>0</v>
      </c>
      <c r="KZ65" s="2">
        <v>1.1405222399999999</v>
      </c>
      <c r="LA65" s="2">
        <v>0.34520812000000001</v>
      </c>
      <c r="LB65" s="2">
        <v>0</v>
      </c>
      <c r="LC65" s="2">
        <v>0.20501606</v>
      </c>
      <c r="LD65" s="2">
        <v>0</v>
      </c>
      <c r="LE65" s="2">
        <v>0</v>
      </c>
      <c r="LF65" s="2">
        <v>1.5445190000000001E-2</v>
      </c>
      <c r="LG65" s="2">
        <v>14.034553279999999</v>
      </c>
      <c r="LH65" s="2">
        <v>7.8407787799999999</v>
      </c>
      <c r="LI65" s="2">
        <v>5.1180943299999999</v>
      </c>
      <c r="LJ65" s="2">
        <v>0</v>
      </c>
      <c r="LK65" s="2">
        <v>1.4382507399999997</v>
      </c>
      <c r="LL65" s="2">
        <v>2.6961430500000003</v>
      </c>
      <c r="LM65" s="2">
        <v>0.84093810000000002</v>
      </c>
      <c r="LN65" s="2">
        <v>1.3134819999999998E-2</v>
      </c>
      <c r="LO65" s="2">
        <v>4.2264317400000007</v>
      </c>
      <c r="LQ65" s="85">
        <f t="shared" si="247"/>
        <v>2771.7692361700001</v>
      </c>
      <c r="LR65" s="85">
        <f t="shared" si="248"/>
        <v>1.3714306399999998</v>
      </c>
      <c r="LS65" s="85">
        <f t="shared" si="249"/>
        <v>21.924853470000002</v>
      </c>
      <c r="LT65" s="85">
        <f t="shared" si="250"/>
        <v>14.38214486</v>
      </c>
      <c r="LU65" s="85">
        <f t="shared" si="251"/>
        <v>179.36947828999999</v>
      </c>
      <c r="LV65" s="85">
        <f t="shared" si="252"/>
        <v>6.7337156600000005</v>
      </c>
      <c r="LW65" s="85">
        <f t="shared" si="253"/>
        <v>0.34520812000000001</v>
      </c>
      <c r="LX65" s="85">
        <f t="shared" si="254"/>
        <v>1.5445190000000001E-2</v>
      </c>
      <c r="LZ65" s="131">
        <v>80.59</v>
      </c>
      <c r="MA65" s="171">
        <v>73.8</v>
      </c>
      <c r="MB65"/>
      <c r="MC65"/>
      <c r="MD65"/>
      <c r="MF65"/>
      <c r="MG65"/>
      <c r="MH65" s="83">
        <v>116.91</v>
      </c>
      <c r="MI65" s="83">
        <v>46.04</v>
      </c>
      <c r="MJ65" s="83">
        <v>38.04</v>
      </c>
      <c r="MK65"/>
      <c r="ML65" s="83">
        <v>78.39</v>
      </c>
      <c r="MM65" s="83">
        <v>75.44</v>
      </c>
      <c r="MN65" s="83"/>
      <c r="MO65" s="83">
        <v>35.659999999999997</v>
      </c>
      <c r="MP65" s="83">
        <v>69.67</v>
      </c>
      <c r="MQ65" s="83">
        <v>95.8</v>
      </c>
      <c r="MR65"/>
      <c r="MT65" s="83"/>
      <c r="MU65" s="83">
        <v>43.28</v>
      </c>
      <c r="MV65"/>
      <c r="MW65"/>
      <c r="MX65"/>
      <c r="MY65" s="83">
        <v>124.33</v>
      </c>
      <c r="MZ65" s="83">
        <v>303</v>
      </c>
      <c r="NA65" s="83">
        <v>114.92</v>
      </c>
      <c r="NB65" s="83">
        <v>369.9</v>
      </c>
      <c r="NC65" s="83">
        <v>56</v>
      </c>
      <c r="ND65"/>
      <c r="NE65" s="1">
        <v>294.27</v>
      </c>
    </row>
    <row r="66" spans="1:369">
      <c r="A66" s="38">
        <f t="shared" si="219"/>
        <v>44075</v>
      </c>
      <c r="B66" s="36">
        <f t="shared" si="287"/>
        <v>9</v>
      </c>
      <c r="C66" s="36">
        <f t="shared" si="288"/>
        <v>2020</v>
      </c>
      <c r="D66" s="36">
        <f t="shared" si="50"/>
        <v>66</v>
      </c>
      <c r="E66" s="38">
        <f t="shared" si="220"/>
        <v>44075</v>
      </c>
      <c r="F66" s="7">
        <v>79.13</v>
      </c>
      <c r="G66" s="7">
        <v>346.6207</v>
      </c>
      <c r="H66" s="1">
        <f>[2]NACIONALES!$D54</f>
        <v>35246.089999999997</v>
      </c>
      <c r="I66" s="7">
        <v>71</v>
      </c>
      <c r="J66" s="7">
        <v>420</v>
      </c>
      <c r="K66" s="7">
        <v>3.3</v>
      </c>
      <c r="L66" s="7">
        <v>21.8</v>
      </c>
      <c r="N66" s="5">
        <v>1.1160000000000001</v>
      </c>
      <c r="O66" s="5">
        <v>0.99399999999999999</v>
      </c>
      <c r="P66" s="78">
        <f t="shared" si="294"/>
        <v>79.308042499999999</v>
      </c>
      <c r="Q66" s="6">
        <v>2020</v>
      </c>
      <c r="R66" s="79">
        <f t="shared" si="222"/>
        <v>20200</v>
      </c>
      <c r="S66" s="6">
        <f>13169/F66</f>
        <v>166.42234297990649</v>
      </c>
      <c r="T66" s="6">
        <v>285.13</v>
      </c>
      <c r="U66" s="143">
        <v>152.48636363636362</v>
      </c>
      <c r="V66" s="6">
        <v>246.72272727272727</v>
      </c>
      <c r="W66" s="6">
        <f>(190.27*0.88)-10</f>
        <v>157.4376</v>
      </c>
      <c r="X66" s="6">
        <v>191.28181818181818</v>
      </c>
      <c r="Y66" s="79">
        <f t="shared" si="223"/>
        <v>13169</v>
      </c>
      <c r="Z66" s="79">
        <f t="shared" si="224"/>
        <v>22562.336899999998</v>
      </c>
      <c r="AA66" s="79">
        <f t="shared" si="225"/>
        <v>12066.245954545453</v>
      </c>
      <c r="AB66" s="79">
        <f t="shared" si="226"/>
        <v>19523.169409090908</v>
      </c>
      <c r="AC66" s="79">
        <f t="shared" si="227"/>
        <v>12458.037288</v>
      </c>
      <c r="AD66" s="79">
        <f t="shared" si="228"/>
        <v>15136.130272727272</v>
      </c>
      <c r="AE66" s="79">
        <f t="shared" si="229"/>
        <v>15819.153304060606</v>
      </c>
      <c r="AF66" s="1">
        <v>46848.181818181816</v>
      </c>
      <c r="AG66" s="1">
        <v>20000</v>
      </c>
      <c r="AH66" s="1">
        <v>76000</v>
      </c>
      <c r="AI66" s="5">
        <v>15.44</v>
      </c>
      <c r="AJ66" s="5">
        <v>12.75</v>
      </c>
      <c r="AK66" s="5">
        <v>14.33</v>
      </c>
      <c r="AL66" s="5">
        <v>15.73</v>
      </c>
      <c r="AM66" s="78">
        <f t="shared" si="230"/>
        <v>15.1134</v>
      </c>
      <c r="AN66" s="7">
        <v>1348.0645161290322</v>
      </c>
      <c r="AO66" s="7">
        <v>928.83363636363617</v>
      </c>
      <c r="AP66" s="78">
        <f t="shared" si="277"/>
        <v>928.83363636363617</v>
      </c>
      <c r="AQ66" s="7">
        <v>495.98726114649679</v>
      </c>
      <c r="AR66" s="7">
        <v>723.17318181818177</v>
      </c>
      <c r="AS66" s="7">
        <v>665.625</v>
      </c>
      <c r="AT66" s="7">
        <v>692.74409090909091</v>
      </c>
      <c r="AU66" s="78">
        <f t="shared" si="53"/>
        <v>693.84742424242415</v>
      </c>
      <c r="AV66" s="7">
        <v>356.91262135922329</v>
      </c>
      <c r="AW66" s="95">
        <v>766.84210526315792</v>
      </c>
      <c r="AX66" s="7">
        <v>811.09636363636344</v>
      </c>
      <c r="AY66" s="7">
        <v>1002.9115044247787</v>
      </c>
      <c r="AZ66" s="7">
        <v>548.21136363636367</v>
      </c>
      <c r="BA66" s="7">
        <v>295.97727272727275</v>
      </c>
      <c r="BB66" s="94">
        <f t="shared" si="45"/>
        <v>707.63587244122641</v>
      </c>
      <c r="BC66" s="164">
        <v>1262</v>
      </c>
      <c r="BD66" s="164">
        <v>1520</v>
      </c>
      <c r="BE66" s="97">
        <v>1120</v>
      </c>
      <c r="BF66" s="97">
        <v>720</v>
      </c>
      <c r="BG66" s="94">
        <f t="shared" si="56"/>
        <v>1155.5</v>
      </c>
      <c r="BH66" s="7">
        <f t="shared" si="306"/>
        <v>127.93</v>
      </c>
      <c r="BI66" s="97">
        <f>+BI65+30</f>
        <v>55</v>
      </c>
      <c r="BJ66" s="78">
        <f t="shared" si="57"/>
        <v>182.93</v>
      </c>
      <c r="BK66" s="7">
        <v>104.964</v>
      </c>
      <c r="BL66" s="7">
        <v>136.08000000000001</v>
      </c>
      <c r="BM66" s="94">
        <f t="shared" si="58"/>
        <v>120.52200000000001</v>
      </c>
      <c r="BN66" s="5">
        <v>19.07</v>
      </c>
      <c r="BO66" s="161">
        <v>89.394047619047626</v>
      </c>
      <c r="BP66" s="97">
        <v>80.33</v>
      </c>
      <c r="BQ66" s="94">
        <f t="shared" si="59"/>
        <v>88.487642857142873</v>
      </c>
      <c r="BR66" s="7">
        <v>82.75</v>
      </c>
      <c r="BS66" s="97">
        <v>265</v>
      </c>
      <c r="BT66" s="7">
        <f>+F66*1.49</f>
        <v>117.90369999999999</v>
      </c>
      <c r="BU66" s="79">
        <f t="shared" si="237"/>
        <v>3533.7111</v>
      </c>
      <c r="BV66" s="7">
        <v>160.9</v>
      </c>
      <c r="BW66" s="7">
        <v>210</v>
      </c>
      <c r="BY66" s="92">
        <f>BY$10*(1+((H66/H$10-1)*costos!$B$5+((I66*F66)/(I$10*F$10)-1)*costos!$E$5+((J66*F66)/((J$10*F$10)-1)*costos!$F$5/3+((K66*F66)/(K$10*F$10)-1)*costos!$F$5/3+((U66*F66)/(U$10*F$10)-1)*costos!$F$5/3+((L66*F66)/(L$10*F$10)-1)*costos!$G$5+((N66*F66)/(N$10*F$10)-1)*costos!$J$5+((V66*F66)/(V$10*F$10)-1)*costos!$K$5)))</f>
        <v>526.0290009860114</v>
      </c>
      <c r="BZ66" s="92">
        <f>$BZ$10*(1+((H66/$H$10-1)*costos!$B$6+((I66*F66)/($I$10*$F$10)-1)*costos!$E$6+((J66*F66)/(($J$10*$F$10)-1)*costos!$F$6/3+((K66*F66)/($K$10*$F$10)-1)*costos!$F$6/3+((U66*F66)/($U$10*$F$10)-1)*costos!$F$6/3+((L66*F66)/($L$10*$F$10)-1)*costos!$G$6+((Q66*F66)/($Q$10*$F$10)-1)*costos!$J$6+((V66*F66)/($V$10*$F$10)-1)*costos!$K$6)))</f>
        <v>487.82106049047121</v>
      </c>
      <c r="CA66" s="92">
        <f>CA$10*(1+((H66/H$10-1)*costos!$B$7+((I66*F66)/(I$10*F$10)-1)*costos!$E$7+((J66*F66)/((J$10*F$10)-1)*costos!$F$7/3+((K66*F66)/(K$10*F$10)-1)*costos!$F$7/3+((U66*F66)/(U$10*F$10)-1)*costos!$F$7/3+((L66*F66)/(L$10*F$10)-1)*costos!$G$7+((S66*F66)/(S$10*F$10)-1)*costos!$J$7+((V66*F66)/(V$10*F$10)-1)*costos!$K$7)))</f>
        <v>557.36193326378225</v>
      </c>
      <c r="CB66" s="92">
        <f>CB$10*(1+((H66/H$10-1)*costos!$B$8+((I66*F66)/(I$10*F$10)-1)*costos!$E$8+((J66*F66)/((J$10*F$10)-1)*costos!$F$8/3+((K66*F66)/(K$10*F$10)-1)*costos!$F$8/3+((U66*F66)/(U$10*F$10)-1)*costos!$F$8/3+((L66*F66)/(L$10*F$10)-1)*costos!$G$8+((T66*F66)/(T$10*F$10)-1)*costos!$J$8+((V66*F66)/(V$10*F$10)-1)*costos!$K$8)))</f>
        <v>546.9812979958723</v>
      </c>
      <c r="CC66" s="92">
        <f>CC$10*(1+((H66/H$10-1)*costos!$B$9+((I66*F66)/(I$10*F$10)-1)*costos!$E$9+((J66*F66)/((J$10*F$10)-1)*costos!$F$9/3+((K66*F66)/(K$10*F$10)-1)*costos!$F$9/3+((U66*F66)/(U$10*F$10)-1)*costos!$F$9/3+((L66*F66)/(L$10*F$10)-1)*costos!$G$9+((U66*F66)/(U$10*F$10)-1)*costos!$J$9+((V66*F66)/(V$10*F$10)-1)*costos!$K$9)))</f>
        <v>538.72969503004106</v>
      </c>
      <c r="CD66" s="92">
        <f>CD$10*(1+((H66/H$10-1)*costos!$B$11+((I66*F66)/(I$10*F$10)-1)*costos!$E$11+((J66*F66)/((J$10*F$10)-1)*costos!$F$11/3+((K66*F66)/(K$10*F$10)-1)*costos!$F$11/3+((U66*F66)/(U$10*F$10)-1)*costos!$F$11/3+((L66*F66)/(L$10*F$10)-1)*costos!$G$11+((V66*F66)/(V$10*F$10)-1)*costos!$J$11+((V66*F66)/(V$10*F$10)-1)*costos!$K$11)))</f>
        <v>562.2336394824149</v>
      </c>
      <c r="CE66" s="92">
        <f>CE$10*(1+((H66/H$10-1)*costos!$B$12+((I66*F66)/(I$10*F$10)-1)*costos!$E$12+((J66*F66)/((J$10*F$10)-1)*costos!$F$12/3+((K66*F66)/(K$10*F$10)-1)*costos!$F$12/3+((U66*F66)/(U$10*F$10)-1)*costos!$F$12/3+((L66*F66)/(L$10*F$10)-1)*costos!$G$12+((W66*F66)/(W$10*F$10)-1)*costos!$J$12+((V66*F66)/(V$10*F$10)-1)*costos!$K$12)))</f>
        <v>536.67084479084212</v>
      </c>
      <c r="CF66" s="92">
        <f>CF$10*(1+((H66/H$10-1)*costos!$B$13+((I66*F66)/(I$10*F$10)-1)*costos!$E$13+((J66*F66)/((J$10*F$10)-1)*costos!$F$13/3+((K66*F66)/(K$10*F$10)-1)*costos!$F$13/3+((U66*F66)/(U$10*F$10)-1)*costos!$F$13/3+((L66*F66)/(L$10*F$10)-1)*costos!$G$13+((X66*F66)/(X$10*F$10)-1)*costos!$J$13+((V66*F66)/(V$10*F$10)-1)*costos!$K$13)))</f>
        <v>577.76910696565653</v>
      </c>
      <c r="CG66" s="92">
        <f t="shared" si="299"/>
        <v>553.29108625476829</v>
      </c>
      <c r="CH66" s="92">
        <f>CH$10*(1+((H66/H$10-1)*costos!$B$10+((I66*F66)/(I$10*F$10)-1)*costos!$E$10+((J66*F66)/((J$10*F$10)-1)*costos!$F$10/3+((K66*F66)/(K$10*F$10)-1)*costos!$F$10/3+((U66*F66)/(U$10*F$10)-1)*costos!$F$10/3+((L66*F66)/(L$10*F$10)-1)*costos!$G$10+((AF66)/(AF$10)-1)*costos!$J$10+((V66*F66)/(V$10*F$10)-1)*costos!$K$10)))</f>
        <v>602.44072084744369</v>
      </c>
      <c r="CI66" s="92">
        <f>CI$10*(1+((H66/H$10-1)*costos!$B$15+((I66*F66)/(I$10*F$10)-1)*costos!$E$15+((J66*F66)/((J$10*F$10)-1)*costos!$F$15/3+((K66*F66)/(K$10*F$10)-1)*costos!$F$15/3+((U66*F66)/(U$10*F$10)-1)*costos!$F$15/3+((L66*F66)/(L$10*F$10)-1)*costos!$G$15+((AV66)/(AV$10)-1)*costos!$J$15+((V66*F66)/(V$10*F$10)-1)*costos!$K$15)))</f>
        <v>520.69898287782269</v>
      </c>
      <c r="CJ66" s="92">
        <f>CJ$10*(1+((H66/H$10-1)*costos!$B$16+((I66*F66)/(I$10*F$10)-1)*costos!$E$16+((J66*F66)/((J$10*F$10)-1)*costos!$F$16/3+((K66*F66)/(K$10*F$10)-1)*costos!$F$16/3+((U66*F66)/(U$10*F$10)-1)*costos!$F$16/3+((L66*F66)/(L$10*F$10)-1)*costos!$G$16+((AW66)/(AW$10)-1)*costos!$J$16+((V66*F66)/(V$10*F$10)-1)*costos!$K$16)))</f>
        <v>458.3297646966729</v>
      </c>
      <c r="CK66" s="92">
        <f>CK$10*(1+((H66/H$10-1)*costos!$B$17+((I66*F66)/(I$10*F$10)-1)*costos!$E$17+((J66*F66)/((J$10*F$10)-1)*costos!$F$17/3+((K66*F66)/(K$10*F$10)-1)*costos!$F$17/3+((U66*F66)/(U$10*F$10)-1)*costos!$F$17/3+((L66*F66)/(L$10*F$10)-1)*costos!$G$17+((AX66)/(AX$10)-1)*costos!$J$17+((V66*F66)/(V$10*F$10)-1)*costos!$K$17)))</f>
        <v>597.7725227990004</v>
      </c>
      <c r="CL66" s="92">
        <f>CL$10*(1+((H66/H$10-1)*costos!$B$18+((I66*F66)/(I$10*F$10)-1)*costos!$E$18+((J66*F66)/((J$10*F$10)-1)*costos!$F$18/3+((K66*F66)/(K$10*F$10)-1)*costos!$F$18/3+((U66*F66)/(U$10*F$10)-1)*costos!$F$18/3+((L66*F66)/(L$10*F$10)-1)*costos!$G$18+((AY66)/(AY$10)-1)*costos!$J$18+((V66*F66)/(V$10*F$10)-1)*costos!$K$18)))</f>
        <v>625.38631614919825</v>
      </c>
      <c r="CM66" s="92">
        <f>CM$10*(1+((H66/H$10-1)*costos!$B$19+((I66*F66)/(I$10*F$10)-1)*costos!$E$19+((J66*F66)/((J$10*F$10)-1)*costos!$F$19/3+((K66*F66)/(K$10*F$10)-1)*costos!$F$19/3+((U66*F66)/(U$10*F$10)-1)*costos!$F$19/3+((L66*F66)/(L$10*F$10)-1)*costos!$G$19+((AZ66)/(AZ$10)-1)*costos!$J$19+((V66*F66)/(V$10*F$10)-1)*costos!$K$19)))</f>
        <v>473.60731648914742</v>
      </c>
      <c r="CN66" s="92">
        <f>CN$10*(1+((H66/H$10-1)*costos!$B$20+((I66*F66)/(I$10*F$10)-1)*costos!$E$20+((J66*F66)/((J$10*F$10)-1)*costos!$F$20/3+((K66*F66)/(K$10*F$10)-1)*costos!$F$20/3+((U66*F66)/(U$10*F$10)-1)*costos!$F$20/3+((L66*F66)/(L$10*F$10)-1)*costos!$G$20+((BA66)/(BA$10)-1)*costos!$J$20+((V66*F66)/(V$10*F$10)-1)*costos!$K$20)))</f>
        <v>451.42556766238897</v>
      </c>
      <c r="CO66" s="92">
        <f t="shared" si="300"/>
        <v>537.04793077493377</v>
      </c>
      <c r="CP66" s="92">
        <f>CP$10*(1+((H66/H$10-1)*costos!$B$22+((I66*F66)/(I$10*F$10)-1)*costos!$E$22+((J66*F66)/((J$10*F$10)-1)*costos!$F$22/3+((K66*F66)/(K$10*F$10)-1)*costos!$F$22/3+((U66*F66)/(U$10*F$10)-1)*costos!$F$22/3+((L66*F66)/(L$10*F$10)-1)*costos!$G$22+(((AVERAGE(AI66:AL66))/((AVERAGE(AI$10:AL$10))-1)*costos!$J$22+((V66*F66)/(V$10*F$10)-1)*costos!$K$22)))))</f>
        <v>535.08673398966198</v>
      </c>
      <c r="CQ66" s="92">
        <f>CQ$10*(1+((H66/H$10-1)*costos!$B$23+((I66*F66)/(I$10*F$10)-1)*costos!$E$23+((J66*F66)/((J$10*F$10)-1)*costos!$F$23/3+((K66*F66)/(K$10*F$10)-1)*costos!$F$23/3+((U66*F66)/(U$10*F$10)-1)*costos!$F$23/3+((L66*F66)/(L$10*F$10)-1)*costos!$G$23+((AN66)/(AN$10)-1)*costos!$J$23+((V66*F66)/(V$10*F$10)-1)*costos!$K$23)))</f>
        <v>473.22460422680479</v>
      </c>
      <c r="CR66" s="92">
        <f>CR$10*(1+((H66/H$10-1)*costos!$B$24+((I66*F66)/(I$10*F$10)-1)*costos!$E$24+((J66*F66)/((J$10*F$10)-1)*costos!$F$24/3+((K66*F66)/(K$10*F$10)-1)*costos!$F$24/3+((U66*F66)/(U$10*F$10)-1)*costos!$F$24/3+((L66*F66)/(L$10*F$10)-1)*costos!$G$24+((AO66)/(AO$10)-1)*costos!$J$24+((V66*F66)/(V$10*F$10)-1)*costos!$K$24)))</f>
        <v>483.31491351174634</v>
      </c>
      <c r="CS66" s="92">
        <f t="shared" si="62"/>
        <v>478.26975886927556</v>
      </c>
      <c r="CT66" s="92">
        <f>CT$10*(1+((H66/H$10-1)*costos!$B$25+((I66*F66)/(I$10*F$10)-1)*costos!$E$25+((J66*F66)/((J$10*F$10)-1)*costos!$F$25/3+((K66*F66)/(K$10*F$10)-1)*costos!$F$25/3+((U66*F66)/(U$10*F$10)-1)*costos!$F$25/3+((L66*F66)/(L$10*F$10)-1)*costos!$G$25+((AQ66)/(AQ$10)-1)*costos!$J$25+((V66*F66)/(V$10*F$10)-1)*costos!$K$25)))</f>
        <v>445.24491158197827</v>
      </c>
      <c r="CU66" s="92">
        <f>CU$10*(1+((H66/H$10-1)*costos!$B$26+((I66*F66)/(I$10*F$10)-1)*costos!$E$26+((J66*F66)/((J$10*F$10)-1)*costos!$F$26/3+((K66*F66)/(K$10*F$10)-1)*costos!$F$26/3+((U66*F66)/(U$10*F$10)-1)*costos!$F$26/3+((L66*F66)/(L$10*F$10)-1)*costos!$G$26+((AR66)/(AR$10)-1)*costos!$J$26+((V66*F66)/(V$10*F$10)-1)*costos!$K$26)))</f>
        <v>482.02728878354935</v>
      </c>
      <c r="CV66" s="92">
        <f>CV$10*(1+((H66/H$10-1)*costos!$B$27+((I66*F66)/(I$10*F$10)-1)*costos!$E$27+((J66*F66)/((J$10*F$10)-1)*costos!$F$27/3+((K66*F66)/(K$10*F$10)-1)*costos!$F$27/3+((U66*F66)/(U$10*F$10)-1)*costos!$F$27/3+((L66*F66)/(L$10*F$10)-1)*costos!$G$27+((AS66)/(AS$10)-1)*costos!$J$27+((V66*F66)/(V$10*F$10)-1)*costos!$K$27)))</f>
        <v>477.31990111275735</v>
      </c>
      <c r="CW66" s="92">
        <f>CW$10*(1+((H66/H$10-1)*costos!$B$28+((I66*F66)/(I$10*F$10)-1)*costos!$E$28+((J66*F66)/((J$10*F$10)-1)*costos!$F$28/3+((K66*F66)/(K$10*F$10)-1)*costos!$F$28/3+((U66*F66)/(U$10*F$10)-1)*costos!$F$28/3+((L66*F66)/(L$10*F$10)-1)*costos!$G$28+((AS66)/(AS$10)-1)*costos!$J$28+((V66*F66)/(V$10*F$10)-1)*costos!$K$28)))</f>
        <v>477.31990111275735</v>
      </c>
      <c r="CX66" s="92">
        <f t="shared" si="301"/>
        <v>478.88903033635466</v>
      </c>
      <c r="CY66" s="92">
        <f>CY$10*(1+((H66/H$10-1)*costos!$B$32+((I66*F66)/(I$10*F$10)-1)*costos!$E$32+((J66*F66)/((J$10*F$10)-1)*costos!$F$32/3+((K66*F66)/(K$10*F$10)-1)*costos!$F$32/3+((U66*F66)/(U$10*F$10)-1)*costos!$F$32/3+((L66*F66)/(L$10*F$10)-1)*costos!$G$32+((AG66)/(AG$10)-1)*costos!$J$32+((V66*F66)/(V$10*F$10)-1)*costos!$K$32)))</f>
        <v>466.51294197682472</v>
      </c>
      <c r="CZ66" s="69">
        <f>CZ$10*(1+((H66/H$10-1)*costos!$B$31+((I66*F66)/(I$10*F$10)-1)*costos!$E$30+((J66*F66)/((J$10*F$10)-1)*costos!$F$30/3+((K66*F66)/(K$10*F$10)-1)*costos!$F$30/3+((U66*F66)/(U$10*F$10)-1)*costos!$F$30/3+((L66*F66)/(L$10*F$10)-1)*costos!$G$30+((BG66)/(BG$10)-1)*costos!$J$30+((V66*F66)/(V$10*F$10)-1)*costos!$K$30)))</f>
        <v>554.88184215379738</v>
      </c>
      <c r="DA66" s="69">
        <f>DA$10*(1+((H66/H$10-1)*costos!$B$31+((I66*F66)/(I$10*F$10)-1)*costos!$E$31+((J66*F66)/((J$10*F$10)-1)*costos!$F$31/3+((K66*F66)/(K$10*F$10)-1)*costos!$F$31/3+((U66*F66)/(U$10*F$10)-1)*costos!$F$31/3+((L66*F66)/(L$10*F$10)-1)*costos!$G$31+((BJ66)/(BJ$10)-1)*costos!$J$31+((V66*F66)/(V$10*F$10)-1)*costos!$K$31)))</f>
        <v>476.94691250548817</v>
      </c>
      <c r="DB66" s="69">
        <f>DB$10*(1+((H66/H$10-1)*costos!$B$36+((I66*F66)/(I$10*F$10)-1)*costos!$E$36+((J66*F66)/((J$10*F$10)-1)*costos!$F$36/3+((K66*F66)/(K$10*F$10)-1)*costos!$F$36/3+((U66*F66)/(U$10*F$10)-1)*costos!$F$36/3+((L66*F66)/(L$10*F$10)-1)*costos!$G$36+((BK66)/(BK$10)-1)*costos!$J$36+((V66*F66)/(V$10*F$10)-1)*costos!$K$36)))</f>
        <v>489.66832377424697</v>
      </c>
      <c r="DC66" s="69">
        <f>DC$10*(1+((H66/H$10-1)*costos!$B$37+((I66*F66)/(I$10*F$10)-1)*costos!$E$37+((U66*F66)/(U$10*F$10)-1)*costos!$F$37+((L66*F66)/(L$10*F$10)-1)*costos!$G$37+((BN66)/(BN$10)-1)*costos!$J$37+((V66*F66)/(V$10*F$10)-1)*costos!$K$37))</f>
        <v>552.61330240544009</v>
      </c>
      <c r="DD66" s="69">
        <f>DD$10*(1+((H66/H$10-1)*costos!$B$39+((I66*F66)/(I$10*F$10)-1)*costos!$E$39+((U66*F66)/(U$10*F$10)-1)*costos!$F$39+((L66*F66)/(L$10*F$10)-1)*costos!$G$39+((BR66)/(BR$10)-1)*costos!$J$39+((V66*F66)/(V$10*F$10)-1)*costos!$K$39))</f>
        <v>548.8741903918974</v>
      </c>
      <c r="DE66" s="69">
        <f>DD$10*(1+((H66/H$10-1)*costos!$B$35+((I66*F66)/(I$10*F$10)-1)*costos!$E$35+((U66*F66)/(U$10*F$10)-1)*costos!$F$35+((L66*F66)/(L$10*F$10)-1)*costos!$G$35+((BR66)/(BR$10)-1)*costos!$J$35+((V66*F66)/(V$10*F$10)-1)*costos!$K$35))</f>
        <v>505.78877269826279</v>
      </c>
      <c r="DF66" s="69">
        <f>DF$10*(1+((H66/H$10-1)*costos!$B$40+((I66*F66)/(I$10*F$10)-1)*costos!$E$40+((U66*F66)/(U$10*F$10)-1)*costos!$F$40+((L66*F66)/(L$10*F$10)-1)*costos!$G$40+((BP66)/(BP$10)-1)*costos!$J$40+((V66*F66)/(V$10*F$10)-1)*costos!$K$40))</f>
        <v>574.44055734201584</v>
      </c>
      <c r="DG66" s="92">
        <f t="shared" si="302"/>
        <v>540.11466502013934</v>
      </c>
      <c r="DH66" s="69">
        <f>DH$10*(1+((H66/H$10-1)*costos!$B$34+((I66*F66)/(I$10*F$10)-1)*costos!$E$34+((J66*F66)/((J$10*F$10)-1)*costos!$F$34/3+((K66*F66)/(K$10*F$10)-1)*costos!$F$34/3+((U66*F66)/(U$10*F$10)-1)*costos!$F$34/3+((L66*F66)/(L$10*F$10)-1)*costos!$G$34+((BV66)/(BV$10)-1)*costos!$J$34+((V66*F66)/(V$10*F$10)-1)*costos!$K$34)))</f>
        <v>509.02064529263072</v>
      </c>
      <c r="DI66" s="69">
        <f>DI$10*(1+((H66/H$10-1)*costos!$B$38+((I66*F66)/(I$10*F$10)-1)*costos!$E$38+((J66*F66)/((J$10*F$10)-1)*costos!$F$38/3+((K66*F66)/(K$10*F$10)-1)*costos!$F$38/3+((U66*F66)/(U$10*F$10)-1)*costos!$F$38/3+((L66*F66)/(L$10*F$10)-1)*costos!$G$38+((BU66)/(BU$10)-1)*costos!$J$38+((V66*F66)/(V$10*F$10)-1)*costos!$K$38)))</f>
        <v>469.4583910912358</v>
      </c>
      <c r="DK66" s="1">
        <v>450000</v>
      </c>
      <c r="DL66" s="1" t="s">
        <v>323</v>
      </c>
      <c r="DM66" s="1">
        <v>190000</v>
      </c>
      <c r="DN66" s="1" t="s">
        <v>323</v>
      </c>
      <c r="DO66" s="1">
        <v>1250000</v>
      </c>
      <c r="DP66" s="1" t="s">
        <v>377</v>
      </c>
      <c r="DQ66" s="1">
        <v>1400000</v>
      </c>
      <c r="DR66" s="1" t="s">
        <v>377</v>
      </c>
      <c r="DS66" s="1">
        <v>6300000</v>
      </c>
      <c r="DT66" s="1" t="s">
        <v>377</v>
      </c>
      <c r="DU66" s="1">
        <v>16900000</v>
      </c>
      <c r="DV66" s="1" t="s">
        <v>323</v>
      </c>
      <c r="DW66" s="1">
        <v>570000</v>
      </c>
      <c r="DX66" s="1" t="s">
        <v>377</v>
      </c>
      <c r="DY66" s="1">
        <v>6730000</v>
      </c>
      <c r="DZ66" s="1" t="s">
        <v>377</v>
      </c>
      <c r="EA66" s="79">
        <f t="shared" si="67"/>
        <v>33150000</v>
      </c>
      <c r="EB66" s="1">
        <v>351733</v>
      </c>
      <c r="EC66" s="1" t="s">
        <v>323</v>
      </c>
      <c r="ED66" s="1">
        <v>174820</v>
      </c>
      <c r="EE66" s="143">
        <v>2020</v>
      </c>
      <c r="EF66" s="1">
        <v>214798</v>
      </c>
      <c r="EG66" s="6">
        <v>2020</v>
      </c>
      <c r="EH66" s="1">
        <v>54460799</v>
      </c>
      <c r="EI66" s="6">
        <v>2020</v>
      </c>
      <c r="EJ66" s="1">
        <v>5377071</v>
      </c>
      <c r="EK66" s="6">
        <f t="shared" si="285"/>
        <v>2020</v>
      </c>
      <c r="EL66" s="1">
        <v>14774196</v>
      </c>
      <c r="EM66" s="6">
        <v>2019</v>
      </c>
      <c r="EN66" s="1">
        <v>3201657</v>
      </c>
      <c r="EO66" s="6">
        <v>2019</v>
      </c>
      <c r="EP66" s="82">
        <f t="shared" si="286"/>
        <v>6552</v>
      </c>
      <c r="EQ66" s="83">
        <v>3366686</v>
      </c>
      <c r="ER66" s="1">
        <f t="shared" si="189"/>
        <v>76657</v>
      </c>
      <c r="ES66" s="1"/>
      <c r="ET66" s="83">
        <f t="shared" si="289"/>
        <v>19456</v>
      </c>
      <c r="EU66" s="83">
        <f t="shared" si="289"/>
        <v>17935</v>
      </c>
      <c r="EV66" s="83">
        <f t="shared" si="289"/>
        <v>9101</v>
      </c>
      <c r="EW66" s="83">
        <f t="shared" si="289"/>
        <v>17303</v>
      </c>
      <c r="EX66" s="79">
        <f>+SUM(ET66:EW66)</f>
        <v>63795</v>
      </c>
      <c r="EY66" s="83">
        <f t="shared" si="290"/>
        <v>19804</v>
      </c>
      <c r="EZ66" s="82">
        <f t="shared" si="290"/>
        <v>79940</v>
      </c>
      <c r="FA66" s="83">
        <v>22244</v>
      </c>
      <c r="FB66" s="82">
        <f>+FB65</f>
        <v>18080</v>
      </c>
      <c r="FC66" s="79">
        <f t="shared" ref="FC66:FC97" si="307">+FB66+FA66</f>
        <v>40324</v>
      </c>
      <c r="FD66" s="83">
        <f t="shared" si="158"/>
        <v>59152.38</v>
      </c>
      <c r="FE66" s="1"/>
      <c r="FF66" s="1">
        <v>1100000</v>
      </c>
      <c r="FG66" s="1" t="s">
        <v>323</v>
      </c>
      <c r="FH66" s="1">
        <v>1200000</v>
      </c>
      <c r="FI66" s="1" t="s">
        <v>323</v>
      </c>
      <c r="FJ66" s="1">
        <v>3800000</v>
      </c>
      <c r="FK66" s="1" t="s">
        <v>323</v>
      </c>
      <c r="FL66" s="1">
        <v>3300000</v>
      </c>
      <c r="FM66" s="1" t="s">
        <v>323</v>
      </c>
      <c r="FN66" s="1">
        <v>50000000</v>
      </c>
      <c r="FO66" s="1" t="s">
        <v>323</v>
      </c>
      <c r="FP66" s="1">
        <v>49000000</v>
      </c>
      <c r="FQ66" s="1" t="s">
        <v>323</v>
      </c>
      <c r="FR66" s="1">
        <v>1850000</v>
      </c>
      <c r="FS66" s="1" t="s">
        <v>323</v>
      </c>
      <c r="FT66" s="1">
        <v>19775000</v>
      </c>
      <c r="FU66" s="1" t="s">
        <v>323</v>
      </c>
      <c r="FV66" s="79">
        <f t="shared" si="76"/>
        <v>127725000</v>
      </c>
      <c r="FW66" s="1">
        <v>1394794</v>
      </c>
      <c r="FX66" s="1" t="s">
        <v>323</v>
      </c>
      <c r="FY66" s="1">
        <v>68902</v>
      </c>
      <c r="FZ66" s="79">
        <f t="shared" si="135"/>
        <v>821492.27300000004</v>
      </c>
      <c r="GA66" s="86" t="str">
        <f t="shared" si="271"/>
        <v>oct19 sept20</v>
      </c>
      <c r="GB66" s="83">
        <v>20557455</v>
      </c>
      <c r="GC66" s="6">
        <v>2020</v>
      </c>
      <c r="GD66" s="83">
        <f t="shared" si="265"/>
        <v>1974652</v>
      </c>
      <c r="GE66" s="83">
        <f t="shared" si="265"/>
        <v>367136</v>
      </c>
      <c r="GF66" s="83">
        <v>957160</v>
      </c>
      <c r="GG66" s="83">
        <f t="shared" si="268"/>
        <v>89049</v>
      </c>
      <c r="GH66" s="79">
        <f t="shared" si="240"/>
        <v>1413345</v>
      </c>
      <c r="GI66" s="82">
        <f t="shared" si="232"/>
        <v>1302556</v>
      </c>
      <c r="GJ66" s="83">
        <f t="shared" si="215"/>
        <v>666015</v>
      </c>
      <c r="GK66" s="83">
        <f t="shared" si="216"/>
        <v>1221000</v>
      </c>
      <c r="GL66" s="83">
        <f t="shared" si="217"/>
        <v>294346.89</v>
      </c>
      <c r="GM66" s="83">
        <f t="shared" si="218"/>
        <v>260133.24</v>
      </c>
      <c r="GN66" s="79">
        <f t="shared" si="81"/>
        <v>2441495.13</v>
      </c>
      <c r="GO66" s="83">
        <f t="shared" si="291"/>
        <v>198452.81</v>
      </c>
      <c r="GP66" s="83">
        <f t="shared" si="291"/>
        <v>73538</v>
      </c>
      <c r="GQ66" s="83">
        <v>23482</v>
      </c>
      <c r="GR66" s="83">
        <v>44610</v>
      </c>
      <c r="GS66" s="79">
        <f t="shared" si="192"/>
        <v>45314.46</v>
      </c>
      <c r="GT66" s="83">
        <f t="shared" si="296"/>
        <v>2884000</v>
      </c>
      <c r="GU66" s="1">
        <v>25893</v>
      </c>
      <c r="GV66" s="1">
        <v>30709</v>
      </c>
      <c r="GW66" s="79">
        <f t="shared" si="261"/>
        <v>1221328</v>
      </c>
      <c r="GX66" s="1">
        <v>34954.608</v>
      </c>
      <c r="GY66" s="1" t="s">
        <v>340</v>
      </c>
      <c r="GZ66" s="1">
        <v>112856</v>
      </c>
      <c r="HA66" s="1">
        <v>276650</v>
      </c>
      <c r="HB66" s="79">
        <f t="shared" si="241"/>
        <v>3156898.0870000003</v>
      </c>
      <c r="HC66" s="86" t="str">
        <f t="shared" si="272"/>
        <v>oct19 sept20</v>
      </c>
      <c r="HD66" s="1">
        <v>54868</v>
      </c>
      <c r="HE66" s="79">
        <f t="shared" si="139"/>
        <v>645889</v>
      </c>
      <c r="HF66" s="86" t="str">
        <f t="shared" si="273"/>
        <v>oct19 sept20</v>
      </c>
      <c r="HG66" s="83">
        <v>191000</v>
      </c>
      <c r="HH66" s="79">
        <f t="shared" si="242"/>
        <v>2237000</v>
      </c>
      <c r="HI66" s="86" t="str">
        <f t="shared" si="274"/>
        <v>oct19 sept20</v>
      </c>
      <c r="HJ66" s="83">
        <v>82647</v>
      </c>
      <c r="HK66" s="79">
        <f t="shared" si="278"/>
        <v>54924.811200000004</v>
      </c>
      <c r="HL66" s="86" t="str">
        <f t="shared" si="275"/>
        <v>oct19 sept20</v>
      </c>
      <c r="HM66" s="79">
        <f t="shared" si="86"/>
        <v>2291924.8111999999</v>
      </c>
      <c r="HN66" s="87">
        <f t="shared" si="297"/>
        <v>3.6289913836796694E-2</v>
      </c>
      <c r="HO66" s="1">
        <v>1022300000</v>
      </c>
      <c r="HP66" s="79">
        <f t="shared" si="153"/>
        <v>10919.8</v>
      </c>
      <c r="HQ66" s="86" t="str">
        <f t="shared" si="276"/>
        <v>oct19 sept20</v>
      </c>
      <c r="HR66" s="1"/>
      <c r="HS66" s="1"/>
      <c r="HT66" s="1"/>
      <c r="HU66" s="1">
        <v>650000</v>
      </c>
      <c r="HV66" s="1" t="s">
        <v>323</v>
      </c>
      <c r="HW66" s="1">
        <v>1200000</v>
      </c>
      <c r="HX66" s="1" t="s">
        <v>323</v>
      </c>
      <c r="HY66" s="1">
        <f t="shared" si="304"/>
        <v>2980000</v>
      </c>
      <c r="HZ66" s="1" t="s">
        <v>323</v>
      </c>
      <c r="IA66" s="1">
        <f t="shared" si="305"/>
        <v>21140000</v>
      </c>
      <c r="IB66" s="1" t="s">
        <v>323</v>
      </c>
      <c r="IC66" s="1">
        <v>44000000</v>
      </c>
      <c r="ID66" s="1" t="s">
        <v>323</v>
      </c>
      <c r="IE66" s="1">
        <f t="shared" si="281"/>
        <v>1150000</v>
      </c>
      <c r="IF66" s="1" t="s">
        <v>323</v>
      </c>
      <c r="IG66" s="1">
        <f>(6.5+0.9)*1000000</f>
        <v>7400000</v>
      </c>
      <c r="IH66" s="1" t="s">
        <v>323</v>
      </c>
      <c r="II66" s="79">
        <f t="shared" si="87"/>
        <v>77870000</v>
      </c>
      <c r="IJ66" s="97">
        <f t="shared" ref="IJ66:IJ94" si="308">(7373000*12)/$IJ$2</f>
        <v>1.9040737312717446</v>
      </c>
      <c r="IK66" s="1" t="s">
        <v>323</v>
      </c>
      <c r="IL66" s="7">
        <v>46.22</v>
      </c>
      <c r="IM66" s="7">
        <v>51.9</v>
      </c>
      <c r="IN66" s="97">
        <f>+IN65</f>
        <v>182.5</v>
      </c>
      <c r="IO66" s="695">
        <v>14.72</v>
      </c>
      <c r="IP66" s="176">
        <f t="shared" si="292"/>
        <v>5.7853601487586115</v>
      </c>
      <c r="IQ66" s="7">
        <v>20.7</v>
      </c>
      <c r="IR66" s="98">
        <f t="shared" si="293"/>
        <v>4.79</v>
      </c>
      <c r="IS66" s="98">
        <f t="shared" si="293"/>
        <v>5.29</v>
      </c>
      <c r="IT66" s="98">
        <f t="shared" si="293"/>
        <v>12.22</v>
      </c>
      <c r="IU66" s="98">
        <f t="shared" si="293"/>
        <v>0.38</v>
      </c>
      <c r="IV66" s="94">
        <f t="shared" si="89"/>
        <v>17.89</v>
      </c>
      <c r="IW66" s="1"/>
      <c r="IX66" s="1"/>
      <c r="IY66" s="105">
        <v>1.86</v>
      </c>
      <c r="IZ66" s="161">
        <v>0.1</v>
      </c>
      <c r="JA66" s="83">
        <v>2810</v>
      </c>
      <c r="JB66" s="7">
        <v>44.74</v>
      </c>
      <c r="JC66" s="1"/>
      <c r="JD66" s="1"/>
      <c r="JE66" s="99"/>
      <c r="JF66" s="2">
        <v>17.190799020000007</v>
      </c>
      <c r="JG66" s="2">
        <v>26.762126590000001</v>
      </c>
      <c r="JH66" s="2">
        <v>57.705184659999993</v>
      </c>
      <c r="JI66" s="2">
        <v>74.583001400000001</v>
      </c>
      <c r="JJ66" s="2">
        <v>515.87889826999992</v>
      </c>
      <c r="JK66" s="2">
        <v>119.60823176000001</v>
      </c>
      <c r="JL66" s="2">
        <v>1838.1989062500002</v>
      </c>
      <c r="JM66" s="2">
        <v>13.91277608</v>
      </c>
      <c r="JN66" s="2">
        <v>72.373880509999992</v>
      </c>
      <c r="JO66" s="2">
        <v>23.375214829999997</v>
      </c>
      <c r="JP66" s="2">
        <v>0</v>
      </c>
      <c r="JQ66" s="2">
        <v>1.4999999999999999E-2</v>
      </c>
      <c r="JR66" s="2">
        <v>1.5475726599999997</v>
      </c>
      <c r="JS66" s="2">
        <v>0</v>
      </c>
      <c r="JT66" s="2">
        <v>4.5123999999999997E-2</v>
      </c>
      <c r="JU66" s="2">
        <v>89.203902580000033</v>
      </c>
      <c r="JV66" s="2">
        <v>8.7171245600000002</v>
      </c>
      <c r="JW66" s="2">
        <v>12.40580518</v>
      </c>
      <c r="JX66" s="2">
        <v>14.260917450000001</v>
      </c>
      <c r="JY66" s="2">
        <v>0</v>
      </c>
      <c r="JZ66" s="2">
        <v>7.7996099400000007</v>
      </c>
      <c r="KA66" s="2">
        <v>0.41756149999999997</v>
      </c>
      <c r="KB66" s="2">
        <v>14.855503799999997</v>
      </c>
      <c r="KC66" s="2">
        <v>47.465868119999996</v>
      </c>
      <c r="KD66" s="2">
        <v>7.8537846800000004</v>
      </c>
      <c r="KE66" s="2">
        <v>13.028596780000001</v>
      </c>
      <c r="KF66" s="2">
        <v>38.398884400000014</v>
      </c>
      <c r="KG66" s="2">
        <v>326.14127028000001</v>
      </c>
      <c r="KH66" s="2">
        <v>129.37043675000001</v>
      </c>
      <c r="KI66" s="2">
        <v>8.8065849400000005</v>
      </c>
      <c r="KJ66" s="2">
        <v>7.7665300800000008</v>
      </c>
      <c r="KK66" s="2">
        <v>5.7201691699999992</v>
      </c>
      <c r="KL66" s="2">
        <v>0.84709422999999995</v>
      </c>
      <c r="KM66" s="2">
        <v>0.43274314999999997</v>
      </c>
      <c r="KN66" s="2">
        <v>0.26895362</v>
      </c>
      <c r="KO66" s="2">
        <v>1.2580194999999998</v>
      </c>
      <c r="KP66" s="2">
        <v>4.66617E-2</v>
      </c>
      <c r="KQ66" s="2">
        <v>230.80484488999997</v>
      </c>
      <c r="KR66" s="2">
        <v>0.19975322000000001</v>
      </c>
      <c r="KS66" s="2">
        <v>0.28588244000000002</v>
      </c>
      <c r="KT66" s="2">
        <v>0.86795281999999996</v>
      </c>
      <c r="KU66" s="2">
        <v>0.19240884999999999</v>
      </c>
      <c r="KV66" s="2">
        <v>2.6766983</v>
      </c>
      <c r="KW66" s="2">
        <v>4.4583832999999995</v>
      </c>
      <c r="KX66" s="2">
        <v>0</v>
      </c>
      <c r="KY66" s="2">
        <v>0</v>
      </c>
      <c r="KZ66" s="2">
        <v>1.8270945700000001</v>
      </c>
      <c r="LA66" s="2">
        <v>0.23579948000000001</v>
      </c>
      <c r="LB66" s="2">
        <v>2.1654400000000001E-2</v>
      </c>
      <c r="LC66" s="2">
        <v>0.11404497</v>
      </c>
      <c r="LD66" s="2">
        <v>0</v>
      </c>
      <c r="LE66" s="2">
        <v>7.8014400000000012E-2</v>
      </c>
      <c r="LF66" s="2">
        <v>0.19170557999999999</v>
      </c>
      <c r="LG66" s="2">
        <v>16.059199500000002</v>
      </c>
      <c r="LH66" s="2">
        <v>6.3762995500000006</v>
      </c>
      <c r="LI66" s="2">
        <v>3.9798228399999998</v>
      </c>
      <c r="LJ66" s="2">
        <v>2.6198600000000003E-3</v>
      </c>
      <c r="LK66" s="2">
        <v>3.6161679400000004</v>
      </c>
      <c r="LL66" s="2">
        <v>3.8341723400000003</v>
      </c>
      <c r="LM66" s="2">
        <v>0.90610210999999996</v>
      </c>
      <c r="LN66" s="2">
        <v>0.22353752999999998</v>
      </c>
      <c r="LO66" s="2">
        <v>7.1929237800000001</v>
      </c>
      <c r="LQ66" s="85">
        <f t="shared" si="247"/>
        <v>2572.6526471700004</v>
      </c>
      <c r="LR66" s="85">
        <f t="shared" si="248"/>
        <v>1.6076966599999996</v>
      </c>
      <c r="LS66" s="85">
        <f t="shared" si="249"/>
        <v>21.12292974</v>
      </c>
      <c r="LT66" s="85">
        <f t="shared" si="250"/>
        <v>8.2171714400000013</v>
      </c>
      <c r="LU66" s="85">
        <f t="shared" si="251"/>
        <v>233.25019681999996</v>
      </c>
      <c r="LV66" s="85">
        <f t="shared" si="252"/>
        <v>7.1350815999999995</v>
      </c>
      <c r="LW66" s="85">
        <f t="shared" si="253"/>
        <v>0.25745388000000002</v>
      </c>
      <c r="LX66" s="85">
        <f t="shared" si="254"/>
        <v>0.26971997999999997</v>
      </c>
      <c r="LZ66" s="131">
        <v>82.87</v>
      </c>
      <c r="MA66" s="171">
        <v>75.75</v>
      </c>
      <c r="MB66"/>
      <c r="MC66"/>
      <c r="MD66"/>
      <c r="MF66"/>
      <c r="MG66"/>
      <c r="MH66" s="83">
        <v>127.31</v>
      </c>
      <c r="MI66" s="83">
        <v>46.12</v>
      </c>
      <c r="MJ66" s="83">
        <v>36.68</v>
      </c>
      <c r="MK66"/>
      <c r="ML66" s="83">
        <v>75.760000000000005</v>
      </c>
      <c r="MM66" s="83">
        <v>114.07</v>
      </c>
      <c r="MN66" s="83"/>
      <c r="MO66" s="83">
        <v>40.18</v>
      </c>
      <c r="MP66" s="83">
        <v>68.53</v>
      </c>
      <c r="MQ66" s="83">
        <v>115.08</v>
      </c>
      <c r="MR66"/>
      <c r="MT66" s="83"/>
      <c r="MU66" s="83">
        <v>46.4</v>
      </c>
      <c r="MV66"/>
      <c r="MW66"/>
      <c r="MX66"/>
      <c r="MY66" s="83">
        <v>124.27</v>
      </c>
      <c r="MZ66" s="83">
        <v>330</v>
      </c>
      <c r="NA66" s="83">
        <v>123.4</v>
      </c>
      <c r="NB66" s="83">
        <v>382.7</v>
      </c>
      <c r="NC66" s="83">
        <v>55.94</v>
      </c>
      <c r="ND66"/>
      <c r="NE66" s="1">
        <v>330.09</v>
      </c>
    </row>
    <row r="67" spans="1:369">
      <c r="A67" s="38">
        <f t="shared" si="219"/>
        <v>44105</v>
      </c>
      <c r="B67" s="36">
        <f t="shared" si="287"/>
        <v>10</v>
      </c>
      <c r="C67" s="36">
        <f t="shared" si="288"/>
        <v>2020</v>
      </c>
      <c r="D67" s="36">
        <f t="shared" si="50"/>
        <v>67</v>
      </c>
      <c r="E67" s="38">
        <f t="shared" si="220"/>
        <v>44105</v>
      </c>
      <c r="F67" s="7">
        <v>82.54</v>
      </c>
      <c r="G67" s="7">
        <v>359.65699999999998</v>
      </c>
      <c r="H67" s="1">
        <f>[2]NACIONALES!$D55</f>
        <v>35246.089999999997</v>
      </c>
      <c r="I67" s="7">
        <v>72</v>
      </c>
      <c r="J67" s="7">
        <v>410</v>
      </c>
      <c r="K67" s="7">
        <v>3.3</v>
      </c>
      <c r="L67" s="7">
        <v>21.9</v>
      </c>
      <c r="N67" s="5">
        <v>1.2709999999999999</v>
      </c>
      <c r="O67" s="5">
        <v>1.0680000000000001</v>
      </c>
      <c r="P67" s="78">
        <f t="shared" si="294"/>
        <v>91.704003499999999</v>
      </c>
      <c r="Q67" s="6">
        <v>2175</v>
      </c>
      <c r="R67" s="79">
        <f t="shared" si="222"/>
        <v>21750</v>
      </c>
      <c r="S67" s="6">
        <f>15629/F67</f>
        <v>189.35061788223891</v>
      </c>
      <c r="T67" s="6">
        <v>327</v>
      </c>
      <c r="U67" s="143">
        <v>171.98571428571429</v>
      </c>
      <c r="V67" s="6">
        <v>271.02857142857147</v>
      </c>
      <c r="W67" s="6">
        <f>(231.9*0.88)-10</f>
        <v>194.072</v>
      </c>
      <c r="X67" s="6">
        <v>213.37619047619052</v>
      </c>
      <c r="Y67" s="79">
        <f t="shared" si="223"/>
        <v>15629</v>
      </c>
      <c r="Z67" s="79">
        <f t="shared" si="224"/>
        <v>26990.58</v>
      </c>
      <c r="AA67" s="79">
        <f t="shared" si="225"/>
        <v>14195.70085714286</v>
      </c>
      <c r="AB67" s="79">
        <f t="shared" si="226"/>
        <v>22370.69828571429</v>
      </c>
      <c r="AC67" s="79">
        <f t="shared" si="227"/>
        <v>16018.702880000001</v>
      </c>
      <c r="AD67" s="79">
        <f t="shared" si="228"/>
        <v>17612.070761904768</v>
      </c>
      <c r="AE67" s="79">
        <f t="shared" si="229"/>
        <v>18802.792130793652</v>
      </c>
      <c r="AF67" s="1">
        <v>48583.470588235294</v>
      </c>
      <c r="AG67" s="1">
        <v>24390</v>
      </c>
      <c r="AH67" s="1">
        <v>92690</v>
      </c>
      <c r="AI67" s="5">
        <v>16.16</v>
      </c>
      <c r="AJ67" s="5">
        <v>14.57</v>
      </c>
      <c r="AK67" s="5">
        <v>15.81</v>
      </c>
      <c r="AL67" s="5">
        <v>18.89</v>
      </c>
      <c r="AM67" s="78">
        <f t="shared" si="230"/>
        <v>16.660600000000002</v>
      </c>
      <c r="AN67" s="7">
        <v>1517.1264367816093</v>
      </c>
      <c r="AO67" s="7">
        <v>981.42857142857144</v>
      </c>
      <c r="AP67" s="78">
        <f t="shared" si="277"/>
        <v>981.42857142857144</v>
      </c>
      <c r="AQ67" s="7">
        <v>938.57142857142856</v>
      </c>
      <c r="AR67" s="7">
        <v>874.77714285714285</v>
      </c>
      <c r="AS67" s="7">
        <v>618.61111111111109</v>
      </c>
      <c r="AT67" s="7">
        <v>976.98857142857139</v>
      </c>
      <c r="AU67" s="78">
        <f t="shared" si="53"/>
        <v>823.45894179894185</v>
      </c>
      <c r="AV67" s="7">
        <v>552.40384615384619</v>
      </c>
      <c r="AW67" s="7">
        <v>787</v>
      </c>
      <c r="AX67" s="7">
        <v>611.39</v>
      </c>
      <c r="AY67" s="7">
        <v>1426.4524886877828</v>
      </c>
      <c r="AZ67" s="7">
        <v>521.375</v>
      </c>
      <c r="BA67" s="7">
        <v>353.48275862068965</v>
      </c>
      <c r="BB67" s="94">
        <f t="shared" si="45"/>
        <v>782.28138095733436</v>
      </c>
      <c r="BC67" s="164">
        <v>1262</v>
      </c>
      <c r="BD67" s="164">
        <v>1520</v>
      </c>
      <c r="BE67" s="97">
        <v>1120</v>
      </c>
      <c r="BF67" s="97">
        <v>720</v>
      </c>
      <c r="BG67" s="94">
        <f t="shared" si="56"/>
        <v>1155.5</v>
      </c>
      <c r="BH67" s="7">
        <f t="shared" si="306"/>
        <v>127.93</v>
      </c>
      <c r="BI67" s="97">
        <f t="shared" si="303"/>
        <v>55</v>
      </c>
      <c r="BJ67" s="78">
        <f t="shared" si="57"/>
        <v>182.93</v>
      </c>
      <c r="BK67" s="7">
        <v>108.98399999999999</v>
      </c>
      <c r="BL67" s="7">
        <v>143.09</v>
      </c>
      <c r="BM67" s="94">
        <f t="shared" si="58"/>
        <v>126.03700000000001</v>
      </c>
      <c r="BN67" s="5">
        <v>19.59</v>
      </c>
      <c r="BO67" s="161">
        <v>88.776315789473685</v>
      </c>
      <c r="BP67" s="97">
        <v>79.62</v>
      </c>
      <c r="BQ67" s="94">
        <f t="shared" si="59"/>
        <v>87.860684210526315</v>
      </c>
      <c r="BR67" s="7">
        <v>94.44</v>
      </c>
      <c r="BS67" s="97">
        <v>265</v>
      </c>
      <c r="BT67" s="7">
        <v>152.33000000000001</v>
      </c>
      <c r="BU67" s="79">
        <f t="shared" si="237"/>
        <v>3636.99</v>
      </c>
      <c r="BV67" s="7">
        <v>167.9</v>
      </c>
      <c r="BW67" s="7">
        <v>225</v>
      </c>
      <c r="BY67" s="92">
        <f>BY$10*(1+((H67/H$10-1)*costos!$B$5+((I67*F67)/(I$10*F$10)-1)*costos!$E$5+((J67*F67)/((J$10*F$10)-1)*costos!$F$5/3+((K67*F67)/(K$10*F$10)-1)*costos!$F$5/3+((U67*F67)/(U$10*F$10)-1)*costos!$F$5/3+((L67*F67)/(L$10*F$10)-1)*costos!$G$5+((N67*F67)/(N$10*F$10)-1)*costos!$J$5+((V67*F67)/(V$10*F$10)-1)*costos!$K$5)))</f>
        <v>584.04404907124922</v>
      </c>
      <c r="BZ67" s="92">
        <f>$BZ$10*(1+((H67/$H$10-1)*costos!$B$6+((I67*F67)/($I$10*$F$10)-1)*costos!$E$6+((J67*F67)/(($J$10*$F$10)-1)*costos!$F$6/3+((K67*F67)/($K$10*$F$10)-1)*costos!$F$6/3+((U67*F67)/($U$10*$F$10)-1)*costos!$F$6/3+((L67*F67)/($L$10*$F$10)-1)*costos!$G$6+((Q67*F67)/($Q$10*$F$10)-1)*costos!$J$6+((V67*F67)/($V$10*$F$10)-1)*costos!$K$6)))</f>
        <v>527.87802321785296</v>
      </c>
      <c r="CA67" s="92">
        <f>CA$10*(1+((H67/H$10-1)*costos!$B$7+((I67*F67)/(I$10*F$10)-1)*costos!$E$7+((J67*F67)/((J$10*F$10)-1)*costos!$F$7/3+((K67*F67)/(K$10*F$10)-1)*costos!$F$7/3+((U67*F67)/(U$10*F$10)-1)*costos!$F$7/3+((L67*F67)/(L$10*F$10)-1)*costos!$G$7+((S67*F67)/(S$10*F$10)-1)*costos!$J$7+((V67*F67)/(V$10*F$10)-1)*costos!$K$7)))</f>
        <v>624.08927188913594</v>
      </c>
      <c r="CB67" s="92">
        <f>CB$10*(1+((H67/H$10-1)*costos!$B$8+((I67*F67)/(I$10*F$10)-1)*costos!$E$8+((J67*F67)/((J$10*F$10)-1)*costos!$F$8/3+((K67*F67)/(K$10*F$10)-1)*costos!$F$8/3+((U67*F67)/(U$10*F$10)-1)*costos!$F$8/3+((L67*F67)/(L$10*F$10)-1)*costos!$G$8+((T67*F67)/(T$10*F$10)-1)*costos!$J$8+((V67*F67)/(V$10*F$10)-1)*costos!$K$8)))</f>
        <v>618.08635734784639</v>
      </c>
      <c r="CC67" s="92">
        <f>CC$10*(1+((H67/H$10-1)*costos!$B$9+((I67*F67)/(I$10*F$10)-1)*costos!$E$9+((J67*F67)/((J$10*F$10)-1)*costos!$F$9/3+((K67*F67)/(K$10*F$10)-1)*costos!$F$9/3+((U67*F67)/(U$10*F$10)-1)*costos!$F$9/3+((L67*F67)/(L$10*F$10)-1)*costos!$G$9+((U67*F67)/(U$10*F$10)-1)*costos!$J$9+((V67*F67)/(V$10*F$10)-1)*costos!$K$9)))</f>
        <v>603.60617337690701</v>
      </c>
      <c r="CD67" s="92">
        <f>CD$10*(1+((H67/H$10-1)*costos!$B$11+((I67*F67)/(I$10*F$10)-1)*costos!$E$11+((J67*F67)/((J$10*F$10)-1)*costos!$F$11/3+((K67*F67)/(K$10*F$10)-1)*costos!$F$11/3+((U67*F67)/(U$10*F$10)-1)*costos!$F$11/3+((L67*F67)/(L$10*F$10)-1)*costos!$G$11+((V67*F67)/(V$10*F$10)-1)*costos!$J$11+((V67*F67)/(V$10*F$10)-1)*costos!$K$11)))</f>
        <v>629.09885640061179</v>
      </c>
      <c r="CE67" s="92">
        <f>CE$10*(1+((H67/H$10-1)*costos!$B$12+((I67*F67)/(I$10*F$10)-1)*costos!$E$12+((J67*F67)/((J$10*F$10)-1)*costos!$F$12/3+((K67*F67)/(K$10*F$10)-1)*costos!$F$12/3+((U67*F67)/(U$10*F$10)-1)*costos!$F$12/3+((L67*F67)/(L$10*F$10)-1)*costos!$G$12+((W67*F67)/(W$10*F$10)-1)*costos!$J$12+((V67*F67)/(V$10*F$10)-1)*costos!$K$12)))</f>
        <v>621.41245700294348</v>
      </c>
      <c r="CF67" s="92">
        <f>CF$10*(1+((H67/H$10-1)*costos!$B$13+((I67*F67)/(I$10*F$10)-1)*costos!$E$13+((J67*F67)/((J$10*F$10)-1)*costos!$F$13/3+((K67*F67)/(K$10*F$10)-1)*costos!$F$13/3+((U67*F67)/(U$10*F$10)-1)*costos!$F$13/3+((L67*F67)/(L$10*F$10)-1)*costos!$G$13+((X67*F67)/(X$10*F$10)-1)*costos!$J$13+((V67*F67)/(V$10*F$10)-1)*costos!$K$13)))</f>
        <v>644.12619813719391</v>
      </c>
      <c r="CG67" s="92">
        <f t="shared" si="299"/>
        <v>623.40321902577318</v>
      </c>
      <c r="CH67" s="92">
        <f>CH$10*(1+((H67/H$10-1)*costos!$B$10+((I67*F67)/(I$10*F$10)-1)*costos!$E$10+((J67*F67)/((J$10*F$10)-1)*costos!$F$10/3+((K67*F67)/(K$10*F$10)-1)*costos!$F$10/3+((U67*F67)/(U$10*F$10)-1)*costos!$F$10/3+((L67*F67)/(L$10*F$10)-1)*costos!$G$10+((AF67)/(AF$10)-1)*costos!$J$10+((V67*F67)/(V$10*F$10)-1)*costos!$K$10)))</f>
        <v>646.03289635357874</v>
      </c>
      <c r="CI67" s="92">
        <f>CI$10*(1+((H67/H$10-1)*costos!$B$15+((I67*F67)/(I$10*F$10)-1)*costos!$E$15+((J67*F67)/((J$10*F$10)-1)*costos!$F$15/3+((K67*F67)/(K$10*F$10)-1)*costos!$F$15/3+((U67*F67)/(U$10*F$10)-1)*costos!$F$15/3+((L67*F67)/(L$10*F$10)-1)*costos!$G$15+((AV67)/(AV$10)-1)*costos!$J$15+((V67*F67)/(V$10*F$10)-1)*costos!$K$15)))</f>
        <v>584.13165279854138</v>
      </c>
      <c r="CJ67" s="92">
        <f>CJ$10*(1+((H67/H$10-1)*costos!$B$16+((I67*F67)/(I$10*F$10)-1)*costos!$E$16+((J67*F67)/((J$10*F$10)-1)*costos!$F$16/3+((K67*F67)/(K$10*F$10)-1)*costos!$F$16/3+((U67*F67)/(U$10*F$10)-1)*costos!$F$16/3+((L67*F67)/(L$10*F$10)-1)*costos!$G$16+((AW67)/(AW$10)-1)*costos!$J$16+((V67*F67)/(V$10*F$10)-1)*costos!$K$16)))</f>
        <v>470.83869868437318</v>
      </c>
      <c r="CK67" s="92">
        <f>CK$10*(1+((H67/H$10-1)*costos!$B$17+((I67*F67)/(I$10*F$10)-1)*costos!$E$17+((J67*F67)/((J$10*F$10)-1)*costos!$F$17/3+((K67*F67)/(K$10*F$10)-1)*costos!$F$17/3+((U67*F67)/(U$10*F$10)-1)*costos!$F$17/3+((L67*F67)/(L$10*F$10)-1)*costos!$G$17+((AX67)/(AX$10)-1)*costos!$J$17+((V67*F67)/(V$10*F$10)-1)*costos!$K$17)))</f>
        <v>569.49336984584329</v>
      </c>
      <c r="CL67" s="92">
        <f>CL$10*(1+((H67/H$10-1)*costos!$B$18+((I67*F67)/(I$10*F$10)-1)*costos!$E$18+((J67*F67)/((J$10*F$10)-1)*costos!$F$18/3+((K67*F67)/(K$10*F$10)-1)*costos!$F$18/3+((U67*F67)/(U$10*F$10)-1)*costos!$F$18/3+((L67*F67)/(L$10*F$10)-1)*costos!$G$18+((AY67)/(AY$10)-1)*costos!$J$18+((V67*F67)/(V$10*F$10)-1)*costos!$K$18)))</f>
        <v>743.33627707544872</v>
      </c>
      <c r="CM67" s="92">
        <f>CM$10*(1+((H67/H$10-1)*costos!$B$19+((I67*F67)/(I$10*F$10)-1)*costos!$E$19+((J67*F67)/((J$10*F$10)-1)*costos!$F$19/3+((K67*F67)/(K$10*F$10)-1)*costos!$F$19/3+((U67*F67)/(U$10*F$10)-1)*costos!$F$19/3+((L67*F67)/(L$10*F$10)-1)*costos!$G$19+((AZ67)/(AZ$10)-1)*costos!$J$19+((V67*F67)/(V$10*F$10)-1)*costos!$K$19)))</f>
        <v>478.99356408481901</v>
      </c>
      <c r="CN67" s="92">
        <f>CN$10*(1+((H67/H$10-1)*costos!$B$20+((I67*F67)/(I$10*F$10)-1)*costos!$E$20+((J67*F67)/((J$10*F$10)-1)*costos!$F$20/3+((K67*F67)/(K$10*F$10)-1)*costos!$F$20/3+((U67*F67)/(U$10*F$10)-1)*costos!$F$20/3+((L67*F67)/(L$10*F$10)-1)*costos!$G$20+((BA67)/(BA$10)-1)*costos!$J$20+((V67*F67)/(V$10*F$10)-1)*costos!$K$20)))</f>
        <v>475.46047463057766</v>
      </c>
      <c r="CO67" s="92">
        <f t="shared" si="300"/>
        <v>566.82092140917212</v>
      </c>
      <c r="CP67" s="92">
        <f>CP$10*(1+((H67/H$10-1)*costos!$B$22+((I67*F67)/(I$10*F$10)-1)*costos!$E$22+((J67*F67)/((J$10*F$10)-1)*costos!$F$22/3+((K67*F67)/(K$10*F$10)-1)*costos!$F$22/3+((U67*F67)/(U$10*F$10)-1)*costos!$F$22/3+((L67*F67)/(L$10*F$10)-1)*costos!$G$22+(((AVERAGE(AI67:AL67))/((AVERAGE(AI$10:AL$10))-1)*costos!$J$22+((V67*F67)/(V$10*F$10)-1)*costos!$K$22)))))</f>
        <v>561.62006136116315</v>
      </c>
      <c r="CQ67" s="92">
        <f>CQ$10*(1+((H67/H$10-1)*costos!$B$23+((I67*F67)/(I$10*F$10)-1)*costos!$E$23+((J67*F67)/((J$10*F$10)-1)*costos!$F$23/3+((K67*F67)/(K$10*F$10)-1)*costos!$F$23/3+((U67*F67)/(U$10*F$10)-1)*costos!$F$23/3+((L67*F67)/(L$10*F$10)-1)*costos!$G$23+((AN67)/(AN$10)-1)*costos!$J$23+((V67*F67)/(V$10*F$10)-1)*costos!$K$23)))</f>
        <v>495.30108762192413</v>
      </c>
      <c r="CR67" s="92">
        <f>CR$10*(1+((H67/H$10-1)*costos!$B$24+((I67*F67)/(I$10*F$10)-1)*costos!$E$24+((J67*F67)/((J$10*F$10)-1)*costos!$F$24/3+((K67*F67)/(K$10*F$10)-1)*costos!$F$24/3+((U67*F67)/(U$10*F$10)-1)*costos!$F$24/3+((L67*F67)/(L$10*F$10)-1)*costos!$G$24+((AO67)/(AO$10)-1)*costos!$J$24+((V67*F67)/(V$10*F$10)-1)*costos!$K$24)))</f>
        <v>501.28428094290012</v>
      </c>
      <c r="CS67" s="92">
        <f t="shared" si="62"/>
        <v>498.2926842824121</v>
      </c>
      <c r="CT67" s="92">
        <f>CT$10*(1+((H67/H$10-1)*costos!$B$25+((I67*F67)/(I$10*F$10)-1)*costos!$E$25+((J67*F67)/((J$10*F$10)-1)*costos!$F$25/3+((K67*F67)/(K$10*F$10)-1)*costos!$F$25/3+((U67*F67)/(U$10*F$10)-1)*costos!$F$25/3+((L67*F67)/(L$10*F$10)-1)*costos!$G$25+((AQ67)/(AQ$10)-1)*costos!$J$25+((V67*F67)/(V$10*F$10)-1)*costos!$K$25)))</f>
        <v>492.39295611397</v>
      </c>
      <c r="CU67" s="92">
        <f>CU$10*(1+((H67/H$10-1)*costos!$B$26+((I67*F67)/(I$10*F$10)-1)*costos!$E$26+((J67*F67)/((J$10*F$10)-1)*costos!$F$26/3+((K67*F67)/(K$10*F$10)-1)*costos!$F$26/3+((U67*F67)/(U$10*F$10)-1)*costos!$F$26/3+((L67*F67)/(L$10*F$10)-1)*costos!$G$26+((AR67)/(AR$10)-1)*costos!$J$26+((V67*F67)/(V$10*F$10)-1)*costos!$K$26)))</f>
        <v>511.57893828176429</v>
      </c>
      <c r="CV67" s="92">
        <f>CV$10*(1+((H67/H$10-1)*costos!$B$27+((I67*F67)/(I$10*F$10)-1)*costos!$E$27+((J67*F67)/((J$10*F$10)-1)*costos!$F$27/3+((K67*F67)/(K$10*F$10)-1)*costos!$F$27/3+((U67*F67)/(U$10*F$10)-1)*costos!$F$27/3+((L67*F67)/(L$10*F$10)-1)*costos!$G$27+((AS67)/(AS$10)-1)*costos!$J$27+((V67*F67)/(V$10*F$10)-1)*costos!$K$27)))</f>
        <v>493.39544475138462</v>
      </c>
      <c r="CW67" s="92">
        <f>CW$10*(1+((H67/H$10-1)*costos!$B$28+((I67*F67)/(I$10*F$10)-1)*costos!$E$28+((J67*F67)/((J$10*F$10)-1)*costos!$F$28/3+((K67*F67)/(K$10*F$10)-1)*costos!$F$28/3+((U67*F67)/(U$10*F$10)-1)*costos!$F$28/3+((L67*F67)/(L$10*F$10)-1)*costos!$G$28+((AS67)/(AS$10)-1)*costos!$J$28+((V67*F67)/(V$10*F$10)-1)*costos!$K$28)))</f>
        <v>493.39544475138462</v>
      </c>
      <c r="CX67" s="92">
        <f t="shared" si="301"/>
        <v>499.45660926151118</v>
      </c>
      <c r="CY67" s="92">
        <f>CY$10*(1+((H67/H$10-1)*costos!$B$32+((I67*F67)/(I$10*F$10)-1)*costos!$E$32+((J67*F67)/((J$10*F$10)-1)*costos!$F$32/3+((K67*F67)/(K$10*F$10)-1)*costos!$F$32/3+((U67*F67)/(U$10*F$10)-1)*costos!$F$32/3+((L67*F67)/(L$10*F$10)-1)*costos!$G$32+((AG67)/(AG$10)-1)*costos!$J$32+((V67*F67)/(V$10*F$10)-1)*costos!$K$32)))</f>
        <v>481.83567212552987</v>
      </c>
      <c r="CZ67" s="69">
        <f>CZ$10*(1+((H67/H$10-1)*costos!$B$31+((I67*F67)/(I$10*F$10)-1)*costos!$E$30+((J67*F67)/((J$10*F$10)-1)*costos!$F$30/3+((K67*F67)/(K$10*F$10)-1)*costos!$F$30/3+((U67*F67)/(U$10*F$10)-1)*costos!$F$30/3+((L67*F67)/(L$10*F$10)-1)*costos!$G$30+((BG67)/(BG$10)-1)*costos!$J$30+((V67*F67)/(V$10*F$10)-1)*costos!$K$30)))</f>
        <v>572.82925836226229</v>
      </c>
      <c r="DA67" s="69">
        <f>DA$10*(1+((H67/H$10-1)*costos!$B$31+((I67*F67)/(I$10*F$10)-1)*costos!$E$31+((J67*F67)/((J$10*F$10)-1)*costos!$F$31/3+((K67*F67)/(K$10*F$10)-1)*costos!$F$31/3+((U67*F67)/(U$10*F$10)-1)*costos!$F$31/3+((L67*F67)/(L$10*F$10)-1)*costos!$G$31+((BJ67)/(BJ$10)-1)*costos!$J$31+((V67*F67)/(V$10*F$10)-1)*costos!$K$31)))</f>
        <v>488.37496969233769</v>
      </c>
      <c r="DB67" s="69">
        <f>DB$10*(1+((H67/H$10-1)*costos!$B$36+((I67*F67)/(I$10*F$10)-1)*costos!$E$36+((J67*F67)/((J$10*F$10)-1)*costos!$F$36/3+((K67*F67)/(K$10*F$10)-1)*costos!$F$36/3+((U67*F67)/(U$10*F$10)-1)*costos!$F$36/3+((L67*F67)/(L$10*F$10)-1)*costos!$G$36+((BK67)/(BK$10)-1)*costos!$J$36+((V67*F67)/(V$10*F$10)-1)*costos!$K$36)))</f>
        <v>510.23933297043891</v>
      </c>
      <c r="DC67" s="69">
        <f>DC$10*(1+((H67/H$10-1)*costos!$B$37+((I67*F67)/(I$10*F$10)-1)*costos!$E$37+((U67*F67)/(U$10*F$10)-1)*costos!$F$37+((L67*F67)/(L$10*F$10)-1)*costos!$G$37+((BN67)/(BN$10)-1)*costos!$J$37+((V67*F67)/(V$10*F$10)-1)*costos!$K$37))</f>
        <v>626.72061906160138</v>
      </c>
      <c r="DD67" s="69">
        <f>DD$10*(1+((H67/H$10-1)*costos!$B$39+((I67*F67)/(I$10*F$10)-1)*costos!$E$39+((U67*F67)/(U$10*F$10)-1)*costos!$F$39+((L67*F67)/(L$10*F$10)-1)*costos!$G$39+((BR67)/(BR$10)-1)*costos!$J$39+((V67*F67)/(V$10*F$10)-1)*costos!$K$39))</f>
        <v>626.00025341667504</v>
      </c>
      <c r="DE67" s="69">
        <f>DD$10*(1+((H67/H$10-1)*costos!$B$35+((I67*F67)/(I$10*F$10)-1)*costos!$E$35+((U67*F67)/(U$10*F$10)-1)*costos!$F$35+((L67*F67)/(L$10*F$10)-1)*costos!$G$35+((BR67)/(BR$10)-1)*costos!$J$35+((V67*F67)/(V$10*F$10)-1)*costos!$K$35))</f>
        <v>576.55774661136593</v>
      </c>
      <c r="DF67" s="69">
        <f>DF$10*(1+((H67/H$10-1)*costos!$B$40+((I67*F67)/(I$10*F$10)-1)*costos!$E$40+((U67*F67)/(U$10*F$10)-1)*costos!$F$40+((L67*F67)/(L$10*F$10)-1)*costos!$G$40+((BP67)/(BP$10)-1)*costos!$J$40+((V67*F67)/(V$10*F$10)-1)*costos!$K$40))</f>
        <v>658.17986986844392</v>
      </c>
      <c r="DG67" s="92">
        <f t="shared" si="302"/>
        <v>617.36880823990487</v>
      </c>
      <c r="DH67" s="69">
        <f>DH$10*(1+((H67/H$10-1)*costos!$B$34+((I67*F67)/(I$10*F$10)-1)*costos!$E$34+((J67*F67)/((J$10*F$10)-1)*costos!$F$34/3+((K67*F67)/(K$10*F$10)-1)*costos!$F$34/3+((U67*F67)/(U$10*F$10)-1)*costos!$F$34/3+((L67*F67)/(L$10*F$10)-1)*costos!$G$34+((BV67)/(BV$10)-1)*costos!$J$34+((V67*F67)/(V$10*F$10)-1)*costos!$K$34)))</f>
        <v>526.0236751331156</v>
      </c>
      <c r="DI67" s="69">
        <f>DI$10*(1+((H67/H$10-1)*costos!$B$38+((I67*F67)/(I$10*F$10)-1)*costos!$E$38+((J67*F67)/((J$10*F$10)-1)*costos!$F$38/3+((K67*F67)/(K$10*F$10)-1)*costos!$F$38/3+((U67*F67)/(U$10*F$10)-1)*costos!$F$38/3+((L67*F67)/(L$10*F$10)-1)*costos!$G$38+((BU67)/(BU$10)-1)*costos!$J$38+((V67*F67)/(V$10*F$10)-1)*costos!$K$38)))</f>
        <v>479.01041618178903</v>
      </c>
      <c r="DK67" s="1">
        <v>410000</v>
      </c>
      <c r="DL67" s="1" t="s">
        <v>377</v>
      </c>
      <c r="DM67" s="1">
        <v>195000</v>
      </c>
      <c r="DN67" s="1" t="s">
        <v>377</v>
      </c>
      <c r="DO67" s="1">
        <v>1250000</v>
      </c>
      <c r="DP67" s="1" t="s">
        <v>377</v>
      </c>
      <c r="DQ67" s="1">
        <v>1400000</v>
      </c>
      <c r="DR67" s="1" t="s">
        <v>377</v>
      </c>
      <c r="DS67" s="1">
        <v>6300000</v>
      </c>
      <c r="DT67" s="1" t="s">
        <v>377</v>
      </c>
      <c r="DU67" s="1">
        <v>16900000</v>
      </c>
      <c r="DV67" s="1" t="s">
        <v>377</v>
      </c>
      <c r="DW67" s="1">
        <v>630000</v>
      </c>
      <c r="DX67" s="1" t="s">
        <v>377</v>
      </c>
      <c r="DY67" s="1">
        <v>6730000</v>
      </c>
      <c r="DZ67" s="1" t="s">
        <v>377</v>
      </c>
      <c r="EA67" s="79">
        <f t="shared" si="67"/>
        <v>33210000</v>
      </c>
      <c r="EB67" s="1">
        <v>385592</v>
      </c>
      <c r="EC67" s="1" t="s">
        <v>377</v>
      </c>
      <c r="ED67" s="1">
        <v>174820</v>
      </c>
      <c r="EE67" s="143">
        <v>2020</v>
      </c>
      <c r="EF67" s="1">
        <v>214798</v>
      </c>
      <c r="EG67" s="6">
        <v>2020</v>
      </c>
      <c r="EH67" s="1">
        <v>54460799</v>
      </c>
      <c r="EI67" s="6">
        <v>2020</v>
      </c>
      <c r="EJ67" s="1">
        <v>5377071</v>
      </c>
      <c r="EK67" s="6">
        <f t="shared" si="285"/>
        <v>2020</v>
      </c>
      <c r="EL67" s="1">
        <v>14774196</v>
      </c>
      <c r="EM67" s="6">
        <v>2019</v>
      </c>
      <c r="EN67" s="1">
        <v>3201657</v>
      </c>
      <c r="EO67" s="6">
        <v>2019</v>
      </c>
      <c r="EP67" s="82">
        <f t="shared" si="286"/>
        <v>6552</v>
      </c>
      <c r="EQ67" s="83">
        <v>3366686</v>
      </c>
      <c r="ER67" s="1">
        <f t="shared" si="189"/>
        <v>76657</v>
      </c>
      <c r="ES67" s="1"/>
      <c r="ET67" s="83">
        <f t="shared" si="289"/>
        <v>19456</v>
      </c>
      <c r="EU67" s="83">
        <f t="shared" si="289"/>
        <v>17935</v>
      </c>
      <c r="EV67" s="83">
        <f t="shared" si="289"/>
        <v>9101</v>
      </c>
      <c r="EW67" s="83">
        <f t="shared" si="289"/>
        <v>17303</v>
      </c>
      <c r="EX67" s="79">
        <f t="shared" si="72"/>
        <v>63795</v>
      </c>
      <c r="EY67" s="83">
        <f t="shared" si="290"/>
        <v>19804</v>
      </c>
      <c r="EZ67" s="82">
        <f t="shared" si="290"/>
        <v>79940</v>
      </c>
      <c r="FA67" s="83">
        <v>22244</v>
      </c>
      <c r="FB67" s="82">
        <f>+FB66</f>
        <v>18080</v>
      </c>
      <c r="FC67" s="79">
        <f t="shared" si="307"/>
        <v>40324</v>
      </c>
      <c r="FD67" s="83">
        <f t="shared" si="158"/>
        <v>59152.38</v>
      </c>
      <c r="FE67" s="1"/>
      <c r="FF67" s="1">
        <v>1100000</v>
      </c>
      <c r="FG67" s="1" t="s">
        <v>323</v>
      </c>
      <c r="FH67" s="1">
        <v>1200000</v>
      </c>
      <c r="FI67" s="1" t="s">
        <v>323</v>
      </c>
      <c r="FJ67" s="1">
        <v>3800000</v>
      </c>
      <c r="FK67" s="1" t="s">
        <v>323</v>
      </c>
      <c r="FL67" s="1">
        <v>3300000</v>
      </c>
      <c r="FM67" s="1" t="s">
        <v>323</v>
      </c>
      <c r="FN67" s="1">
        <v>50000000</v>
      </c>
      <c r="FO67" s="1" t="s">
        <v>323</v>
      </c>
      <c r="FP67" s="1">
        <v>49000000</v>
      </c>
      <c r="FQ67" s="1" t="s">
        <v>323</v>
      </c>
      <c r="FR67" s="1">
        <v>1850000</v>
      </c>
      <c r="FS67" s="1" t="s">
        <v>323</v>
      </c>
      <c r="FT67" s="1">
        <v>19775000</v>
      </c>
      <c r="FU67" s="1" t="s">
        <v>323</v>
      </c>
      <c r="FV67" s="79">
        <f t="shared" si="76"/>
        <v>127725000</v>
      </c>
      <c r="FW67" s="1">
        <v>1394794</v>
      </c>
      <c r="FX67" s="1" t="s">
        <v>323</v>
      </c>
      <c r="FY67" s="83">
        <v>0</v>
      </c>
      <c r="FZ67" s="79">
        <f t="shared" si="135"/>
        <v>821465.77300000004</v>
      </c>
      <c r="GA67" s="86" t="str">
        <f t="shared" si="271"/>
        <v>nov19 oct20</v>
      </c>
      <c r="GB67" s="83">
        <v>20557455</v>
      </c>
      <c r="GC67" s="6">
        <v>2020</v>
      </c>
      <c r="GD67" s="83">
        <f t="shared" si="265"/>
        <v>1974652</v>
      </c>
      <c r="GE67" s="83">
        <f t="shared" si="265"/>
        <v>367136</v>
      </c>
      <c r="GF67" s="83">
        <v>957160</v>
      </c>
      <c r="GG67" s="83">
        <f t="shared" si="268"/>
        <v>89049</v>
      </c>
      <c r="GH67" s="79">
        <f t="shared" si="240"/>
        <v>1413345</v>
      </c>
      <c r="GI67" s="82">
        <f t="shared" si="232"/>
        <v>1302556</v>
      </c>
      <c r="GJ67" s="83">
        <f t="shared" si="215"/>
        <v>666015</v>
      </c>
      <c r="GK67" s="83">
        <f t="shared" si="216"/>
        <v>1221000</v>
      </c>
      <c r="GL67" s="83">
        <f t="shared" si="217"/>
        <v>294346.89</v>
      </c>
      <c r="GM67" s="83">
        <f t="shared" si="218"/>
        <v>260133.24</v>
      </c>
      <c r="GN67" s="79">
        <f t="shared" si="81"/>
        <v>2441495.13</v>
      </c>
      <c r="GO67" s="83">
        <f t="shared" si="291"/>
        <v>198452.81</v>
      </c>
      <c r="GP67" s="83">
        <f t="shared" si="291"/>
        <v>73538</v>
      </c>
      <c r="GQ67" s="83">
        <v>39144</v>
      </c>
      <c r="GR67" s="83">
        <v>44610</v>
      </c>
      <c r="GS67" s="79">
        <f t="shared" si="192"/>
        <v>45784.32</v>
      </c>
      <c r="GT67" s="83">
        <f t="shared" si="296"/>
        <v>2884000</v>
      </c>
      <c r="GU67" s="1">
        <v>27244</v>
      </c>
      <c r="GV67" s="1">
        <v>33659</v>
      </c>
      <c r="GW67" s="79">
        <f t="shared" si="261"/>
        <v>1223001</v>
      </c>
      <c r="GX67" s="1">
        <v>34954.608</v>
      </c>
      <c r="GY67" s="1" t="s">
        <v>340</v>
      </c>
      <c r="GZ67" s="1">
        <v>112856</v>
      </c>
      <c r="HA67" s="1">
        <v>275923</v>
      </c>
      <c r="HB67" s="79">
        <f t="shared" si="241"/>
        <v>3139898.0870000003</v>
      </c>
      <c r="HC67" s="86" t="str">
        <f t="shared" si="272"/>
        <v>nov19 oct20</v>
      </c>
      <c r="HD67" s="1">
        <v>54387</v>
      </c>
      <c r="HE67" s="79">
        <f t="shared" si="139"/>
        <v>647465</v>
      </c>
      <c r="HF67" s="86" t="str">
        <f t="shared" si="273"/>
        <v>nov19 oct20</v>
      </c>
      <c r="HG67" s="1">
        <v>186000</v>
      </c>
      <c r="HH67" s="79">
        <f t="shared" si="242"/>
        <v>2227000</v>
      </c>
      <c r="HI67" s="86" t="str">
        <f t="shared" si="274"/>
        <v>nov19 oct20</v>
      </c>
      <c r="HJ67" s="83">
        <v>82047</v>
      </c>
      <c r="HK67" s="79">
        <f t="shared" si="278"/>
        <v>54387.1512</v>
      </c>
      <c r="HL67" s="86" t="str">
        <f t="shared" si="275"/>
        <v>nov19 oct20</v>
      </c>
      <c r="HM67" s="79">
        <f t="shared" si="86"/>
        <v>2281387.1512000002</v>
      </c>
      <c r="HN67" s="87">
        <f t="shared" si="297"/>
        <v>5.7002938295788397E-2</v>
      </c>
      <c r="HO67" s="1">
        <v>1079200000</v>
      </c>
      <c r="HP67" s="79">
        <f t="shared" si="153"/>
        <v>10978</v>
      </c>
      <c r="HQ67" s="86" t="str">
        <f t="shared" si="276"/>
        <v>nov19 oct20</v>
      </c>
      <c r="HR67" s="1"/>
      <c r="HS67" s="1"/>
      <c r="HT67" s="1"/>
      <c r="HU67" s="1">
        <v>650000</v>
      </c>
      <c r="HV67" s="1" t="s">
        <v>323</v>
      </c>
      <c r="HW67" s="1">
        <v>1200000</v>
      </c>
      <c r="HX67" s="1" t="s">
        <v>323</v>
      </c>
      <c r="HY67" s="1">
        <f t="shared" si="304"/>
        <v>2980000</v>
      </c>
      <c r="HZ67" s="1" t="s">
        <v>323</v>
      </c>
      <c r="IA67" s="1">
        <f t="shared" si="305"/>
        <v>21140000</v>
      </c>
      <c r="IB67" s="1" t="s">
        <v>323</v>
      </c>
      <c r="IC67" s="1">
        <v>44000000</v>
      </c>
      <c r="ID67" s="1" t="s">
        <v>323</v>
      </c>
      <c r="IE67" s="1">
        <f t="shared" si="281"/>
        <v>1150000</v>
      </c>
      <c r="IF67" s="1" t="s">
        <v>323</v>
      </c>
      <c r="IG67" s="1">
        <f>(6.5+0.9)*1000000</f>
        <v>7400000</v>
      </c>
      <c r="IH67" s="1" t="s">
        <v>323</v>
      </c>
      <c r="II67" s="79">
        <f t="shared" si="87"/>
        <v>77870000</v>
      </c>
      <c r="IJ67" s="97">
        <f t="shared" si="308"/>
        <v>1.9040737312717446</v>
      </c>
      <c r="IK67" s="1" t="s">
        <v>323</v>
      </c>
      <c r="IL67" s="7">
        <v>42.94</v>
      </c>
      <c r="IM67" s="7">
        <v>50.53</v>
      </c>
      <c r="IN67" s="7">
        <v>184.4</v>
      </c>
      <c r="IO67" s="695">
        <v>14.18</v>
      </c>
      <c r="IP67" s="176">
        <f t="shared" si="292"/>
        <v>5.7853601487586115</v>
      </c>
      <c r="IQ67" s="7">
        <v>20.7</v>
      </c>
      <c r="IR67" s="98">
        <f t="shared" si="293"/>
        <v>4.79</v>
      </c>
      <c r="IS67" s="98">
        <f t="shared" si="293"/>
        <v>5.29</v>
      </c>
      <c r="IT67" s="98">
        <f t="shared" si="293"/>
        <v>12.22</v>
      </c>
      <c r="IU67" s="98">
        <f t="shared" si="293"/>
        <v>0.38</v>
      </c>
      <c r="IV67" s="94">
        <f t="shared" si="89"/>
        <v>17.89</v>
      </c>
      <c r="IW67" s="1"/>
      <c r="IX67" s="1"/>
      <c r="IY67" s="105">
        <v>1.86</v>
      </c>
      <c r="IZ67" s="161">
        <v>0.1</v>
      </c>
      <c r="JA67" s="83">
        <v>2810</v>
      </c>
      <c r="JB67" s="7">
        <v>44.74</v>
      </c>
      <c r="JC67" s="1"/>
      <c r="JD67" s="1"/>
      <c r="JE67" s="99"/>
      <c r="JF67" s="2">
        <v>14.600652269999999</v>
      </c>
      <c r="JG67" s="2">
        <v>20.569837410000002</v>
      </c>
      <c r="JH67" s="2">
        <v>76.199537879999994</v>
      </c>
      <c r="JI67" s="2">
        <v>53.975852250000003</v>
      </c>
      <c r="JJ67" s="2">
        <v>514.32812687000001</v>
      </c>
      <c r="JK67" s="2">
        <v>114.06903802000002</v>
      </c>
      <c r="JL67" s="2">
        <v>2101.86735125</v>
      </c>
      <c r="JM67" s="2">
        <v>24.539425060000003</v>
      </c>
      <c r="JN67" s="2">
        <v>34.592016450000003</v>
      </c>
      <c r="JO67" s="2">
        <v>20.610882570000001</v>
      </c>
      <c r="JP67" s="2">
        <v>0</v>
      </c>
      <c r="JQ67" s="2">
        <v>2.5000000000000001E-3</v>
      </c>
      <c r="JR67" s="2">
        <v>1.3541383899999999</v>
      </c>
      <c r="JS67" s="2">
        <v>0</v>
      </c>
      <c r="JT67" s="2">
        <v>3.7723E-2</v>
      </c>
      <c r="JU67" s="2">
        <v>86.849624890000001</v>
      </c>
      <c r="JV67" s="2">
        <v>8.1706046299999997</v>
      </c>
      <c r="JW67" s="2">
        <v>11.772604429999999</v>
      </c>
      <c r="JX67" s="2">
        <v>12.046990409999999</v>
      </c>
      <c r="JY67" s="2">
        <v>0</v>
      </c>
      <c r="JZ67" s="2">
        <v>3.1227452200000001</v>
      </c>
      <c r="KA67" s="2">
        <v>0.27954800000000002</v>
      </c>
      <c r="KB67" s="2">
        <v>14.465632909999998</v>
      </c>
      <c r="KC67" s="2">
        <v>60.413738970000004</v>
      </c>
      <c r="KD67" s="2">
        <v>8.6526960899999992</v>
      </c>
      <c r="KE67" s="2">
        <v>14.859447000000001</v>
      </c>
      <c r="KF67" s="2">
        <v>44.289269140000002</v>
      </c>
      <c r="KG67" s="2">
        <v>322.32074379000011</v>
      </c>
      <c r="KH67" s="2">
        <v>143.72598087000003</v>
      </c>
      <c r="KI67" s="2">
        <v>18.990118450000004</v>
      </c>
      <c r="KJ67" s="2">
        <v>8.7723233599999979</v>
      </c>
      <c r="KK67" s="2">
        <v>6.7739812199999996</v>
      </c>
      <c r="KL67" s="2">
        <v>0.38150462999999996</v>
      </c>
      <c r="KM67" s="2">
        <v>0.49817543000000003</v>
      </c>
      <c r="KN67" s="2">
        <v>0.38631715999999994</v>
      </c>
      <c r="KO67" s="2">
        <v>3.7236344100000003</v>
      </c>
      <c r="KP67" s="2">
        <v>0.11971561</v>
      </c>
      <c r="KQ67" s="2">
        <v>177.79785346</v>
      </c>
      <c r="KR67" s="2">
        <v>0.15841553999999997</v>
      </c>
      <c r="KS67" s="2">
        <v>9.6584530000000002E-2</v>
      </c>
      <c r="KT67" s="2">
        <v>1.86683014</v>
      </c>
      <c r="KU67" s="2">
        <v>0.35297535999999996</v>
      </c>
      <c r="KV67" s="2">
        <v>0.70443442000000001</v>
      </c>
      <c r="KW67" s="2">
        <v>4.6343885300000007</v>
      </c>
      <c r="KX67" s="2">
        <v>0</v>
      </c>
      <c r="KY67" s="2">
        <v>5.3170439999999999E-2</v>
      </c>
      <c r="KZ67" s="2">
        <v>1.8665689699999999</v>
      </c>
      <c r="LA67" s="2">
        <v>0.37085003999999999</v>
      </c>
      <c r="LB67" s="2">
        <v>1.920616E-2</v>
      </c>
      <c r="LC67" s="2">
        <v>0.25257934999999998</v>
      </c>
      <c r="LD67" s="2">
        <v>0</v>
      </c>
      <c r="LE67" s="2">
        <v>6.0376440000000003E-2</v>
      </c>
      <c r="LF67" s="2">
        <v>0.63725359000000004</v>
      </c>
      <c r="LG67" s="2">
        <v>17.141275230000002</v>
      </c>
      <c r="LH67" s="2">
        <v>5.1698001300000005</v>
      </c>
      <c r="LI67" s="2">
        <v>2.7798770200000003</v>
      </c>
      <c r="LJ67" s="2">
        <v>0</v>
      </c>
      <c r="LK67" s="2">
        <v>1.25618969</v>
      </c>
      <c r="LL67" s="2">
        <v>3.7486796499999997</v>
      </c>
      <c r="LM67" s="2">
        <v>0.53096231000000005</v>
      </c>
      <c r="LN67" s="2">
        <v>0.55328473999999994</v>
      </c>
      <c r="LO67" s="2">
        <v>8.4282255500000005</v>
      </c>
      <c r="LQ67" s="85">
        <f t="shared" si="247"/>
        <v>2805.5023097600001</v>
      </c>
      <c r="LR67" s="85">
        <f t="shared" si="248"/>
        <v>1.3943613899999998</v>
      </c>
      <c r="LS67" s="85">
        <f t="shared" si="249"/>
        <v>19.943209060000001</v>
      </c>
      <c r="LT67" s="85">
        <f t="shared" si="250"/>
        <v>3.4022932200000002</v>
      </c>
      <c r="LU67" s="85">
        <f t="shared" si="251"/>
        <v>182.66098052999999</v>
      </c>
      <c r="LV67" s="85">
        <f t="shared" si="252"/>
        <v>5.3919933900000006</v>
      </c>
      <c r="LW67" s="85">
        <f t="shared" si="253"/>
        <v>0.39005619999999996</v>
      </c>
      <c r="LX67" s="85">
        <f t="shared" si="254"/>
        <v>0.69763003000000001</v>
      </c>
      <c r="LZ67" s="131">
        <v>84.13</v>
      </c>
      <c r="MA67" s="171">
        <v>80.55</v>
      </c>
      <c r="MB67"/>
      <c r="MC67"/>
      <c r="MD67"/>
      <c r="MF67"/>
      <c r="MG67"/>
      <c r="MH67" s="83">
        <v>132.1</v>
      </c>
      <c r="MI67" s="83">
        <v>47.66</v>
      </c>
      <c r="MJ67" s="83">
        <v>49.21</v>
      </c>
      <c r="MK67"/>
      <c r="ML67" s="83">
        <v>73.88</v>
      </c>
      <c r="MM67" s="83">
        <v>174</v>
      </c>
      <c r="MN67" s="83"/>
      <c r="MO67" s="83">
        <v>42.85</v>
      </c>
      <c r="MP67" s="83">
        <v>71.77</v>
      </c>
      <c r="MQ67" s="83">
        <v>151.5</v>
      </c>
      <c r="MR67"/>
      <c r="MT67" s="83"/>
      <c r="MU67" s="83">
        <v>52.26</v>
      </c>
      <c r="MV67"/>
      <c r="MW67"/>
      <c r="MX67"/>
      <c r="MY67" s="83">
        <v>130.63999999999999</v>
      </c>
      <c r="MZ67" s="83">
        <v>327</v>
      </c>
      <c r="NA67" s="83">
        <v>127.87</v>
      </c>
      <c r="NB67" s="83">
        <v>390.91</v>
      </c>
      <c r="NC67" s="83">
        <v>57.05</v>
      </c>
      <c r="ND67"/>
      <c r="NE67" s="1">
        <v>377.94</v>
      </c>
    </row>
    <row r="68" spans="1:369">
      <c r="A68" s="38">
        <f t="shared" si="219"/>
        <v>44136</v>
      </c>
      <c r="B68" s="36">
        <f t="shared" si="287"/>
        <v>11</v>
      </c>
      <c r="C68" s="36">
        <f t="shared" si="288"/>
        <v>2020</v>
      </c>
      <c r="D68" s="36">
        <f t="shared" si="50"/>
        <v>68</v>
      </c>
      <c r="E68" s="38">
        <f t="shared" si="220"/>
        <v>44136</v>
      </c>
      <c r="F68" s="7">
        <v>85.11</v>
      </c>
      <c r="G68" s="7">
        <v>371</v>
      </c>
      <c r="H68" s="1">
        <f>[2]NACIONALES!$D56</f>
        <v>38770.699999999997</v>
      </c>
      <c r="I68" s="7">
        <v>72</v>
      </c>
      <c r="J68" s="7">
        <v>410</v>
      </c>
      <c r="K68" s="7">
        <v>3.3</v>
      </c>
      <c r="L68" s="7">
        <v>21</v>
      </c>
      <c r="N68" s="5">
        <v>1.373</v>
      </c>
      <c r="O68" s="5">
        <v>1.1739999999999999</v>
      </c>
      <c r="P68" s="78">
        <f t="shared" si="294"/>
        <v>102.96820574999997</v>
      </c>
      <c r="Q68" s="6">
        <v>2345</v>
      </c>
      <c r="R68" s="79">
        <f t="shared" si="222"/>
        <v>23450</v>
      </c>
      <c r="S68" s="6">
        <v>204.83</v>
      </c>
      <c r="T68" s="6">
        <v>361.1</v>
      </c>
      <c r="U68" s="143">
        <v>181.91499999999999</v>
      </c>
      <c r="V68" s="6">
        <v>296.89500000000004</v>
      </c>
      <c r="W68" s="6">
        <f>(240*0.88)-10</f>
        <v>201.2</v>
      </c>
      <c r="X68" s="6">
        <v>218.36500000000001</v>
      </c>
      <c r="Y68" s="79">
        <f t="shared" si="223"/>
        <v>17433.081300000002</v>
      </c>
      <c r="Z68" s="79">
        <f t="shared" si="224"/>
        <v>30733.221000000001</v>
      </c>
      <c r="AA68" s="79">
        <f t="shared" si="225"/>
        <v>15482.78565</v>
      </c>
      <c r="AB68" s="79">
        <f t="shared" si="226"/>
        <v>25268.733450000003</v>
      </c>
      <c r="AC68" s="79">
        <f t="shared" si="227"/>
        <v>17124.131999999998</v>
      </c>
      <c r="AD68" s="79">
        <f t="shared" si="228"/>
        <v>18585.045150000002</v>
      </c>
      <c r="AE68" s="79">
        <f t="shared" si="229"/>
        <v>20771.166424999999</v>
      </c>
      <c r="AF68" s="1">
        <v>51521</v>
      </c>
      <c r="AG68" s="1">
        <v>24390</v>
      </c>
      <c r="AH68" s="1">
        <v>92690</v>
      </c>
      <c r="AI68" s="5">
        <v>19.4023</v>
      </c>
      <c r="AJ68" s="5">
        <v>16.081700000000001</v>
      </c>
      <c r="AK68" s="5">
        <v>17.614899999999999</v>
      </c>
      <c r="AL68" s="5">
        <v>18.694400000000002</v>
      </c>
      <c r="AM68" s="78">
        <f t="shared" si="230"/>
        <v>18.634855999999999</v>
      </c>
      <c r="AN68" s="7">
        <v>1717.4155844155844</v>
      </c>
      <c r="AO68" s="7">
        <v>1046.2523809523809</v>
      </c>
      <c r="AP68" s="78">
        <f t="shared" si="277"/>
        <v>1046.2523809523809</v>
      </c>
      <c r="AQ68" s="7">
        <v>1423.3526011560693</v>
      </c>
      <c r="AR68" s="7">
        <v>973.0242857142855</v>
      </c>
      <c r="AS68" s="7">
        <v>693.57142857142856</v>
      </c>
      <c r="AT68" s="7">
        <v>1249.7619047619048</v>
      </c>
      <c r="AU68" s="78">
        <f t="shared" si="53"/>
        <v>972.11920634920625</v>
      </c>
      <c r="AV68" s="7">
        <v>702.86585365853659</v>
      </c>
      <c r="AW68" s="7">
        <v>942.28571428571433</v>
      </c>
      <c r="AX68" s="7">
        <v>506.29047619047623</v>
      </c>
      <c r="AY68" s="7">
        <v>944.76751269035537</v>
      </c>
      <c r="AZ68" s="7">
        <v>502.32619047619039</v>
      </c>
      <c r="BA68" s="7">
        <v>933.64864864864865</v>
      </c>
      <c r="BB68" s="94">
        <f t="shared" si="45"/>
        <v>761.95525431159956</v>
      </c>
      <c r="BC68" s="68">
        <v>1779</v>
      </c>
      <c r="BD68" s="68">
        <v>1520</v>
      </c>
      <c r="BE68" s="97">
        <v>1120</v>
      </c>
      <c r="BF68" s="97">
        <v>720</v>
      </c>
      <c r="BG68" s="94">
        <f t="shared" si="56"/>
        <v>1284.75</v>
      </c>
      <c r="BH68" s="7">
        <f t="shared" si="306"/>
        <v>127.93</v>
      </c>
      <c r="BI68" s="97">
        <f>+BI67+6</f>
        <v>61</v>
      </c>
      <c r="BJ68" s="78">
        <f t="shared" si="57"/>
        <v>188.93</v>
      </c>
      <c r="BK68" s="7">
        <v>123.256</v>
      </c>
      <c r="BL68" s="7">
        <v>156.72</v>
      </c>
      <c r="BM68" s="94">
        <f t="shared" si="58"/>
        <v>139.988</v>
      </c>
      <c r="BN68" s="5">
        <v>20.37</v>
      </c>
      <c r="BO68" s="161">
        <v>81.223333333333343</v>
      </c>
      <c r="BP68" s="97">
        <v>79.62</v>
      </c>
      <c r="BQ68" s="94">
        <f t="shared" si="59"/>
        <v>81.063000000000017</v>
      </c>
      <c r="BR68" s="7">
        <v>98.1</v>
      </c>
      <c r="BS68" s="97">
        <v>300</v>
      </c>
      <c r="BT68" s="7">
        <v>144.38</v>
      </c>
      <c r="BU68" s="79">
        <f t="shared" si="237"/>
        <v>4033.14</v>
      </c>
      <c r="BV68" s="7">
        <v>182.5</v>
      </c>
      <c r="BW68" s="7">
        <v>225</v>
      </c>
      <c r="BY68" s="92">
        <f>BY$10*(1+((H68/H$10-1)*costos!$B$5+((I68*F68)/(I$10*F$10)-1)*costos!$E$5+((J68*F68)/((J$10*F$10)-1)*costos!$F$5/3+((K68*F68)/(K$10*F$10)-1)*costos!$F$5/3+((U68*F68)/(U$10*F$10)-1)*costos!$F$5/3+((L68*F68)/(L$10*F$10)-1)*costos!$G$5+((N68*F68)/(N$10*F$10)-1)*costos!$J$5+((V68*F68)/(V$10*F$10)-1)*costos!$K$5)))</f>
        <v>634.5816298918611</v>
      </c>
      <c r="BZ68" s="92">
        <f>$BZ$10*(1+((H68/$H$10-1)*costos!$B$6+((I68*F68)/($I$10*$F$10)-1)*costos!$E$6+((J68*F68)/(($J$10*$F$10)-1)*costos!$F$6/3+((K68*F68)/($K$10*$F$10)-1)*costos!$F$6/3+((U68*F68)/($U$10*$F$10)-1)*costos!$F$6/3+((L68*F68)/($L$10*$F$10)-1)*costos!$G$6+((Q68*F68)/($Q$10*$F$10)-1)*costos!$J$6+((V68*F68)/($V$10*$F$10)-1)*costos!$K$6)))</f>
        <v>559.5792481878068</v>
      </c>
      <c r="CA68" s="92">
        <f>CA$10*(1+((H68/H$10-1)*costos!$B$7+((I68*F68)/(I$10*F$10)-1)*costos!$E$7+((J68*F68)/((J$10*F$10)-1)*costos!$F$7/3+((K68*F68)/(K$10*F$10)-1)*costos!$F$7/3+((U68*F68)/(U$10*F$10)-1)*costos!$F$7/3+((L68*F68)/(L$10*F$10)-1)*costos!$G$7+((S68*F68)/(S$10*F$10)-1)*costos!$J$7+((V68*F68)/(V$10*F$10)-1)*costos!$K$7)))</f>
        <v>676.21838962039783</v>
      </c>
      <c r="CB68" s="92">
        <f>CB$10*(1+((H68/H$10-1)*costos!$B$8+((I68*F68)/(I$10*F$10)-1)*costos!$E$8+((J68*F68)/((J$10*F$10)-1)*costos!$F$8/3+((K68*F68)/(K$10*F$10)-1)*costos!$F$8/3+((U68*F68)/(U$10*F$10)-1)*costos!$F$8/3+((L68*F68)/(L$10*F$10)-1)*costos!$G$8+((T68*F68)/(T$10*F$10)-1)*costos!$J$8+((V68*F68)/(V$10*F$10)-1)*costos!$K$8)))</f>
        <v>677.44827917118505</v>
      </c>
      <c r="CC68" s="92">
        <f>CC$10*(1+((H68/H$10-1)*costos!$B$9+((I68*F68)/(I$10*F$10)-1)*costos!$E$9+((J68*F68)/((J$10*F$10)-1)*costos!$F$9/3+((K68*F68)/(K$10*F$10)-1)*costos!$F$9/3+((U68*F68)/(U$10*F$10)-1)*costos!$F$9/3+((L68*F68)/(L$10*F$10)-1)*costos!$G$9+((U68*F68)/(U$10*F$10)-1)*costos!$J$9+((V68*F68)/(V$10*F$10)-1)*costos!$K$9)))</f>
        <v>646.65875703598817</v>
      </c>
      <c r="CD68" s="92">
        <f>CD$10*(1+((H68/H$10-1)*costos!$B$11+((I68*F68)/(I$10*F$10)-1)*costos!$E$11+((J68*F68)/((J$10*F$10)-1)*costos!$F$11/3+((K68*F68)/(K$10*F$10)-1)*costos!$F$11/3+((U68*F68)/(U$10*F$10)-1)*costos!$F$11/3+((L68*F68)/(L$10*F$10)-1)*costos!$G$11+((V68*F68)/(V$10*F$10)-1)*costos!$J$11+((V68*F68)/(V$10*F$10)-1)*costos!$K$11)))</f>
        <v>690.74387473848822</v>
      </c>
      <c r="CE68" s="92">
        <f>CE$10*(1+((H68/H$10-1)*costos!$B$12+((I68*F68)/(I$10*F$10)-1)*costos!$E$12+((J68*F68)/((J$10*F$10)-1)*costos!$F$12/3+((K68*F68)/(K$10*F$10)-1)*costos!$F$12/3+((U68*F68)/(U$10*F$10)-1)*costos!$F$12/3+((L68*F68)/(L$10*F$10)-1)*costos!$G$12+((W68*F68)/(W$10*F$10)-1)*costos!$J$12+((V68*F68)/(V$10*F$10)-1)*costos!$K$12)))</f>
        <v>657.82949512250127</v>
      </c>
      <c r="CF68" s="92">
        <f>CF$10*(1+((H68/H$10-1)*costos!$B$13+((I68*F68)/(I$10*F$10)-1)*costos!$E$13+((J68*F68)/((J$10*F$10)-1)*costos!$F$13/3+((K68*F68)/(K$10*F$10)-1)*costos!$F$13/3+((U68*F68)/(U$10*F$10)-1)*costos!$F$13/3+((L68*F68)/(L$10*F$10)-1)*costos!$G$13+((X68*F68)/(X$10*F$10)-1)*costos!$J$13+((V68*F68)/(V$10*F$10)-1)*costos!$K$13)))</f>
        <v>688.02414201663873</v>
      </c>
      <c r="CG68" s="92">
        <f t="shared" si="299"/>
        <v>672.8204896175331</v>
      </c>
      <c r="CH68" s="92">
        <f>CH$10*(1+((H68/H$10-1)*costos!$B$10+((I68*F68)/(I$10*F$10)-1)*costos!$E$10+((J68*F68)/((J$10*F$10)-1)*costos!$F$10/3+((K68*F68)/(K$10*F$10)-1)*costos!$F$10/3+((U68*F68)/(U$10*F$10)-1)*costos!$F$10/3+((L68*F68)/(L$10*F$10)-1)*costos!$G$10+((AF68)/(AF$10)-1)*costos!$J$10+((V68*F68)/(V$10*F$10)-1)*costos!$K$10)))</f>
        <v>691.24221515690783</v>
      </c>
      <c r="CI68" s="92">
        <f>CI$10*(1+((H68/H$10-1)*costos!$B$15+((I68*F68)/(I$10*F$10)-1)*costos!$E$15+((J68*F68)/((J$10*F$10)-1)*costos!$F$15/3+((K68*F68)/(K$10*F$10)-1)*costos!$F$15/3+((U68*F68)/(U$10*F$10)-1)*costos!$F$15/3+((L68*F68)/(L$10*F$10)-1)*costos!$G$15+((AV68)/(AV$10)-1)*costos!$J$15+((V68*F68)/(V$10*F$10)-1)*costos!$K$15)))</f>
        <v>637.94206099172538</v>
      </c>
      <c r="CJ68" s="92">
        <f>CJ$10*(1+((H68/H$10-1)*costos!$B$16+((I68*F68)/(I$10*F$10)-1)*costos!$E$16+((J68*F68)/((J$10*F$10)-1)*costos!$F$16/3+((K68*F68)/(K$10*F$10)-1)*costos!$F$16/3+((U68*F68)/(U$10*F$10)-1)*costos!$F$16/3+((L68*F68)/(L$10*F$10)-1)*costos!$G$16+((AW68)/(AW$10)-1)*costos!$J$16+((V68*F68)/(V$10*F$10)-1)*costos!$K$16)))</f>
        <v>513.5569433261428</v>
      </c>
      <c r="CK68" s="92">
        <f>CK$10*(1+((H68/H$10-1)*costos!$B$17+((I68*F68)/(I$10*F$10)-1)*costos!$E$17+((J68*F68)/((J$10*F$10)-1)*costos!$F$17/3+((K68*F68)/(K$10*F$10)-1)*costos!$F$17/3+((U68*F68)/(U$10*F$10)-1)*costos!$F$17/3+((L68*F68)/(L$10*F$10)-1)*costos!$G$17+((AX68)/(AX$10)-1)*costos!$J$17+((V68*F68)/(V$10*F$10)-1)*costos!$K$17)))</f>
        <v>565.22755071908637</v>
      </c>
      <c r="CL68" s="92">
        <f>CL$10*(1+((H68/H$10-1)*costos!$B$18+((I68*F68)/(I$10*F$10)-1)*costos!$E$18+((J68*F68)/((J$10*F$10)-1)*costos!$F$18/3+((K68*F68)/(K$10*F$10)-1)*costos!$F$18/3+((U68*F68)/(U$10*F$10)-1)*costos!$F$18/3+((L68*F68)/(L$10*F$10)-1)*costos!$G$18+((AY68)/(AY$10)-1)*costos!$J$18+((V68*F68)/(V$10*F$10)-1)*costos!$K$18)))</f>
        <v>659.33098539520449</v>
      </c>
      <c r="CM68" s="92">
        <f>CM$10*(1+((H68/H$10-1)*costos!$B$19+((I68*F68)/(I$10*F$10)-1)*costos!$E$19+((J68*F68)/((J$10*F$10)-1)*costos!$F$19/3+((K68*F68)/(K$10*F$10)-1)*costos!$F$19/3+((U68*F68)/(U$10*F$10)-1)*costos!$F$19/3+((L68*F68)/(L$10*F$10)-1)*costos!$G$19+((AZ68)/(AZ$10)-1)*costos!$J$19+((V68*F68)/(V$10*F$10)-1)*costos!$K$19)))</f>
        <v>496.29762917324422</v>
      </c>
      <c r="CN68" s="92">
        <f>CN$10*(1+((H68/H$10-1)*costos!$B$20+((I68*F68)/(I$10*F$10)-1)*costos!$E$20+((J68*F68)/((J$10*F$10)-1)*costos!$F$20/3+((K68*F68)/(K$10*F$10)-1)*costos!$F$20/3+((U68*F68)/(U$10*F$10)-1)*costos!$F$20/3+((L68*F68)/(L$10*F$10)-1)*costos!$G$20+((BA68)/(BA$10)-1)*costos!$J$20+((V68*F68)/(V$10*F$10)-1)*costos!$K$20)))</f>
        <v>625.06950601046333</v>
      </c>
      <c r="CO68" s="92">
        <f t="shared" si="300"/>
        <v>586.48141782449966</v>
      </c>
      <c r="CP68" s="92">
        <f>CP$10*(1+((H68/H$10-1)*costos!$B$22+((I68*F68)/(I$10*F$10)-1)*costos!$E$22+((J68*F68)/((J$10*F$10)-1)*costos!$F$22/3+((K68*F68)/(K$10*F$10)-1)*costos!$F$22/3+((U68*F68)/(U$10*F$10)-1)*costos!$F$22/3+((L68*F68)/(L$10*F$10)-1)*costos!$G$22+(((AVERAGE(AI68:AL68))/((AVERAGE(AI$10:AL$10))-1)*costos!$J$22+((V68*F68)/(V$10*F$10)-1)*costos!$K$22)))))</f>
        <v>601.53107530635225</v>
      </c>
      <c r="CQ68" s="92">
        <f>CQ$10*(1+((H68/H$10-1)*costos!$B$23+((I68*F68)/(I$10*F$10)-1)*costos!$E$23+((J68*F68)/((J$10*F$10)-1)*costos!$F$23/3+((K68*F68)/(K$10*F$10)-1)*costos!$F$23/3+((U68*F68)/(U$10*F$10)-1)*costos!$F$23/3+((L68*F68)/(L$10*F$10)-1)*costos!$G$23+((AN68)/(AN$10)-1)*costos!$J$23+((V68*F68)/(V$10*F$10)-1)*costos!$K$23)))</f>
        <v>534.17704117755966</v>
      </c>
      <c r="CR68" s="92">
        <f>CR$10*(1+((H68/H$10-1)*costos!$B$24+((I68*F68)/(I$10*F$10)-1)*costos!$E$24+((J68*F68)/((J$10*F$10)-1)*costos!$F$24/3+((K68*F68)/(K$10*F$10)-1)*costos!$F$24/3+((U68*F68)/(U$10*F$10)-1)*costos!$F$24/3+((L68*F68)/(L$10*F$10)-1)*costos!$G$24+((AO68)/(AO$10)-1)*costos!$J$24+((V68*F68)/(V$10*F$10)-1)*costos!$K$24)))</f>
        <v>535.5059095539192</v>
      </c>
      <c r="CS68" s="92">
        <f t="shared" si="62"/>
        <v>534.84147536573937</v>
      </c>
      <c r="CT68" s="92">
        <f>CT$10*(1+((H68/H$10-1)*costos!$B$25+((I68*F68)/(I$10*F$10)-1)*costos!$E$25+((J68*F68)/((J$10*F$10)-1)*costos!$F$25/3+((K68*F68)/(K$10*F$10)-1)*costos!$F$25/3+((U68*F68)/(U$10*F$10)-1)*costos!$F$25/3+((L68*F68)/(L$10*F$10)-1)*costos!$G$25+((AQ68)/(AQ$10)-1)*costos!$J$25+((V68*F68)/(V$10*F$10)-1)*costos!$K$25)))</f>
        <v>552.56771969375734</v>
      </c>
      <c r="CU68" s="92">
        <f>CU$10*(1+((H68/H$10-1)*costos!$B$26+((I68*F68)/(I$10*F$10)-1)*costos!$E$26+((J68*F68)/((J$10*F$10)-1)*costos!$F$26/3+((K68*F68)/(K$10*F$10)-1)*costos!$F$26/3+((U68*F68)/(U$10*F$10)-1)*costos!$F$26/3+((L68*F68)/(L$10*F$10)-1)*costos!$G$26+((AR68)/(AR$10)-1)*costos!$J$26+((V68*F68)/(V$10*F$10)-1)*costos!$K$26)))</f>
        <v>544.36657303330594</v>
      </c>
      <c r="CV68" s="92">
        <f>CV$10*(1+((H68/H$10-1)*costos!$B$27+((I68*F68)/(I$10*F$10)-1)*costos!$E$27+((J68*F68)/((J$10*F$10)-1)*costos!$F$27/3+((K68*F68)/(K$10*F$10)-1)*costos!$F$27/3+((U68*F68)/(U$10*F$10)-1)*costos!$F$27/3+((L68*F68)/(L$10*F$10)-1)*costos!$G$27+((AS68)/(AS$10)-1)*costos!$J$27+((V68*F68)/(V$10*F$10)-1)*costos!$K$27)))</f>
        <v>524.5079745140381</v>
      </c>
      <c r="CW68" s="92">
        <f>CW$10*(1+((H68/H$10-1)*costos!$B$28+((I68*F68)/(I$10*F$10)-1)*costos!$E$28+((J68*F68)/((J$10*F$10)-1)*costos!$F$28/3+((K68*F68)/(K$10*F$10)-1)*costos!$F$28/3+((U68*F68)/(U$10*F$10)-1)*costos!$F$28/3+((L68*F68)/(L$10*F$10)-1)*costos!$G$28+((AS68)/(AS$10)-1)*costos!$J$28+((V68*F68)/(V$10*F$10)-1)*costos!$K$28)))</f>
        <v>524.5079745140381</v>
      </c>
      <c r="CX68" s="92">
        <f t="shared" si="301"/>
        <v>531.12750735379404</v>
      </c>
      <c r="CY68" s="92">
        <f>CY$10*(1+((H68/H$10-1)*costos!$B$32+((I68*F68)/(I$10*F$10)-1)*costos!$E$32+((J68*F68)/((J$10*F$10)-1)*costos!$F$32/3+((K68*F68)/(K$10*F$10)-1)*costos!$F$32/3+((U68*F68)/(U$10*F$10)-1)*costos!$F$32/3+((L68*F68)/(L$10*F$10)-1)*costos!$G$32+((AG68)/(AG$10)-1)*costos!$J$32+((V68*F68)/(V$10*F$10)-1)*costos!$K$32)))</f>
        <v>516.76209545177073</v>
      </c>
      <c r="CZ68" s="69">
        <f>CZ$10*(1+((H68/H$10-1)*costos!$B$31+((I68*F68)/(I$10*F$10)-1)*costos!$E$30+((J68*F68)/((J$10*F$10)-1)*costos!$F$30/3+((K68*F68)/(K$10*F$10)-1)*costos!$F$30/3+((U68*F68)/(U$10*F$10)-1)*costos!$F$30/3+((L68*F68)/(L$10*F$10)-1)*costos!$G$30+((BG68)/(BG$10)-1)*costos!$J$30+((V68*F68)/(V$10*F$10)-1)*costos!$K$30)))</f>
        <v>613.92700633013487</v>
      </c>
      <c r="DA68" s="69">
        <f>DA$10*(1+((H68/H$10-1)*costos!$B$31+((I68*F68)/(I$10*F$10)-1)*costos!$E$31+((J68*F68)/((J$10*F$10)-1)*costos!$F$31/3+((K68*F68)/(K$10*F$10)-1)*costos!$F$31/3+((U68*F68)/(U$10*F$10)-1)*costos!$F$31/3+((L68*F68)/(L$10*F$10)-1)*costos!$G$31+((BJ68)/(BJ$10)-1)*costos!$J$31+((V68*F68)/(V$10*F$10)-1)*costos!$K$31)))</f>
        <v>525.98985988604704</v>
      </c>
      <c r="DB68" s="69">
        <f>DB$10*(1+((H68/H$10-1)*costos!$B$36+((I68*F68)/(I$10*F$10)-1)*costos!$E$36+((J68*F68)/((J$10*F$10)-1)*costos!$F$36/3+((K68*F68)/(K$10*F$10)-1)*costos!$F$36/3+((U68*F68)/(U$10*F$10)-1)*costos!$F$36/3+((L68*F68)/(L$10*F$10)-1)*costos!$G$36+((BK68)/(BK$10)-1)*costos!$J$36+((V68*F68)/(V$10*F$10)-1)*costos!$K$36)))</f>
        <v>547.2254476824661</v>
      </c>
      <c r="DC68" s="69">
        <f>DC$10*(1+((H68/H$10-1)*costos!$B$37+((I68*F68)/(I$10*F$10)-1)*costos!$E$37+((U68*F68)/(U$10*F$10)-1)*costos!$F$37+((L68*F68)/(L$10*F$10)-1)*costos!$G$37+((BN68)/(BN$10)-1)*costos!$J$37+((V68*F68)/(V$10*F$10)-1)*costos!$K$37))</f>
        <v>677.20845485289976</v>
      </c>
      <c r="DD68" s="69">
        <f>DD$10*(1+((H68/H$10-1)*costos!$B$39+((I68*F68)/(I$10*F$10)-1)*costos!$E$39+((U68*F68)/(U$10*F$10)-1)*costos!$F$39+((L68*F68)/(L$10*F$10)-1)*costos!$G$39+((BR68)/(BR$10)-1)*costos!$J$39+((V68*F68)/(V$10*F$10)-1)*costos!$K$39))</f>
        <v>677.29312084697108</v>
      </c>
      <c r="DE68" s="69">
        <f>DD$10*(1+((H68/H$10-1)*costos!$B$35+((I68*F68)/(I$10*F$10)-1)*costos!$E$35+((U68*F68)/(U$10*F$10)-1)*costos!$F$35+((L68*F68)/(L$10*F$10)-1)*costos!$G$35+((BR68)/(BR$10)-1)*costos!$J$35+((V68*F68)/(V$10*F$10)-1)*costos!$K$35))</f>
        <v>628.51059042048712</v>
      </c>
      <c r="DF68" s="69">
        <f>DF$10*(1+((H68/H$10-1)*costos!$B$40+((I68*F68)/(I$10*F$10)-1)*costos!$E$40+((U68*F68)/(U$10*F$10)-1)*costos!$F$40+((L68*F68)/(L$10*F$10)-1)*costos!$G$40+((BP68)/(BP$10)-1)*costos!$J$40+((V68*F68)/(V$10*F$10)-1)*costos!$K$40))</f>
        <v>711.94636001008485</v>
      </c>
      <c r="DG68" s="92">
        <f t="shared" si="302"/>
        <v>670.22847521528593</v>
      </c>
      <c r="DH68" s="69">
        <f>DH$10*(1+((H68/H$10-1)*costos!$B$34+((I68*F68)/(I$10*F$10)-1)*costos!$E$34+((J68*F68)/((J$10*F$10)-1)*costos!$F$34/3+((K68*F68)/(K$10*F$10)-1)*costos!$F$34/3+((U68*F68)/(U$10*F$10)-1)*costos!$F$34/3+((L68*F68)/(L$10*F$10)-1)*costos!$G$34+((BV68)/(BV$10)-1)*costos!$J$34+((V68*F68)/(V$10*F$10)-1)*costos!$K$34)))</f>
        <v>563.49523520122466</v>
      </c>
      <c r="DI68" s="69">
        <f>DI$10*(1+((H68/H$10-1)*costos!$B$38+((I68*F68)/(I$10*F$10)-1)*costos!$E$38+((J68*F68)/((J$10*F$10)-1)*costos!$F$38/3+((K68*F68)/(K$10*F$10)-1)*costos!$F$38/3+((U68*F68)/(U$10*F$10)-1)*costos!$F$38/3+((L68*F68)/(L$10*F$10)-1)*costos!$G$38+((BU68)/(BU$10)-1)*costos!$J$38+((V68*F68)/(V$10*F$10)-1)*costos!$K$38)))</f>
        <v>520.4717228677074</v>
      </c>
      <c r="DK68" s="1">
        <v>410000</v>
      </c>
      <c r="DL68" s="1" t="s">
        <v>377</v>
      </c>
      <c r="DM68" s="1">
        <v>195000</v>
      </c>
      <c r="DN68" s="1" t="s">
        <v>377</v>
      </c>
      <c r="DO68" s="1">
        <v>1250000</v>
      </c>
      <c r="DP68" s="1" t="s">
        <v>377</v>
      </c>
      <c r="DQ68" s="1">
        <v>1400000</v>
      </c>
      <c r="DR68" s="1" t="s">
        <v>377</v>
      </c>
      <c r="DS68" s="1">
        <v>6300000</v>
      </c>
      <c r="DT68" s="1" t="s">
        <v>377</v>
      </c>
      <c r="DU68" s="1">
        <v>16900000</v>
      </c>
      <c r="DV68" s="1" t="s">
        <v>377</v>
      </c>
      <c r="DW68" s="1">
        <v>630000</v>
      </c>
      <c r="DX68" s="1" t="s">
        <v>377</v>
      </c>
      <c r="DY68" s="1">
        <v>6730000</v>
      </c>
      <c r="DZ68" s="1" t="s">
        <v>377</v>
      </c>
      <c r="EA68" s="79">
        <f t="shared" si="67"/>
        <v>33210000</v>
      </c>
      <c r="EB68" s="1">
        <v>385592</v>
      </c>
      <c r="EC68" s="1" t="s">
        <v>377</v>
      </c>
      <c r="ED68" s="1">
        <v>174820</v>
      </c>
      <c r="EE68" s="143">
        <v>2020</v>
      </c>
      <c r="EF68" s="1">
        <v>214798</v>
      </c>
      <c r="EG68" s="6">
        <v>2020</v>
      </c>
      <c r="EH68" s="1">
        <v>54460799</v>
      </c>
      <c r="EI68" s="6">
        <v>2020</v>
      </c>
      <c r="EJ68" s="1">
        <v>5377071</v>
      </c>
      <c r="EK68" s="6">
        <f t="shared" si="285"/>
        <v>2020</v>
      </c>
      <c r="EL68" s="1">
        <v>14571766</v>
      </c>
      <c r="EM68" s="6">
        <v>2020</v>
      </c>
      <c r="EN68" s="1">
        <v>3132657</v>
      </c>
      <c r="EO68" s="6">
        <v>2020</v>
      </c>
      <c r="EP68" s="82">
        <f t="shared" si="286"/>
        <v>6552</v>
      </c>
      <c r="EQ68" s="83">
        <v>3366686</v>
      </c>
      <c r="ER68" s="1">
        <f>44654+27865+4138</f>
        <v>76657</v>
      </c>
      <c r="ES68" s="1"/>
      <c r="ET68" s="83">
        <f t="shared" si="289"/>
        <v>19456</v>
      </c>
      <c r="EU68" s="83">
        <f t="shared" si="289"/>
        <v>17935</v>
      </c>
      <c r="EV68" s="83">
        <f t="shared" si="289"/>
        <v>9101</v>
      </c>
      <c r="EW68" s="83">
        <f t="shared" si="289"/>
        <v>17303</v>
      </c>
      <c r="EX68" s="79">
        <f t="shared" si="72"/>
        <v>63795</v>
      </c>
      <c r="EY68" s="83">
        <f t="shared" si="290"/>
        <v>19804</v>
      </c>
      <c r="EZ68" s="82">
        <f t="shared" si="290"/>
        <v>79940</v>
      </c>
      <c r="FA68" s="83">
        <v>22244</v>
      </c>
      <c r="FB68" s="82">
        <f>+FB67</f>
        <v>18080</v>
      </c>
      <c r="FC68" s="79">
        <f t="shared" si="307"/>
        <v>40324</v>
      </c>
      <c r="FD68" s="83">
        <f t="shared" si="158"/>
        <v>59152.38</v>
      </c>
      <c r="FE68" s="1"/>
      <c r="FF68" s="1">
        <v>1100000</v>
      </c>
      <c r="FG68" s="1" t="s">
        <v>323</v>
      </c>
      <c r="FH68" s="1">
        <v>1200000</v>
      </c>
      <c r="FI68" s="1" t="s">
        <v>323</v>
      </c>
      <c r="FJ68" s="1">
        <v>4200000</v>
      </c>
      <c r="FK68" s="1" t="s">
        <v>377</v>
      </c>
      <c r="FL68" s="1">
        <v>3300000</v>
      </c>
      <c r="FM68" s="1" t="s">
        <v>323</v>
      </c>
      <c r="FN68" s="1">
        <v>50000000</v>
      </c>
      <c r="FO68" s="1" t="s">
        <v>323</v>
      </c>
      <c r="FP68" s="1">
        <v>49000000</v>
      </c>
      <c r="FQ68" s="1" t="s">
        <v>323</v>
      </c>
      <c r="FR68" s="1">
        <v>1850000</v>
      </c>
      <c r="FS68" s="1" t="s">
        <v>323</v>
      </c>
      <c r="FT68" s="1">
        <v>17645000</v>
      </c>
      <c r="FU68" s="1" t="s">
        <v>377</v>
      </c>
      <c r="FV68" s="79">
        <f t="shared" si="76"/>
        <v>125995000</v>
      </c>
      <c r="FW68" s="1">
        <v>1394794</v>
      </c>
      <c r="FX68" s="1" t="s">
        <v>323</v>
      </c>
      <c r="FY68" s="83">
        <v>0</v>
      </c>
      <c r="FZ68" s="79">
        <f t="shared" si="135"/>
        <v>821465.77300000004</v>
      </c>
      <c r="GA68" s="86" t="str">
        <f t="shared" si="271"/>
        <v>dic19 nov20</v>
      </c>
      <c r="GB68" s="83">
        <v>20557455</v>
      </c>
      <c r="GC68" s="6">
        <v>2020</v>
      </c>
      <c r="GD68" s="83">
        <f t="shared" si="265"/>
        <v>1974652</v>
      </c>
      <c r="GE68" s="83">
        <f t="shared" si="265"/>
        <v>367136</v>
      </c>
      <c r="GF68" s="83">
        <v>957160</v>
      </c>
      <c r="GG68" s="83">
        <f t="shared" si="268"/>
        <v>89049</v>
      </c>
      <c r="GH68" s="79">
        <f t="shared" si="240"/>
        <v>1413345</v>
      </c>
      <c r="GI68" s="82">
        <f t="shared" si="232"/>
        <v>1302556</v>
      </c>
      <c r="GJ68" s="83">
        <f t="shared" si="215"/>
        <v>666015</v>
      </c>
      <c r="GK68" s="83">
        <f t="shared" si="216"/>
        <v>1221000</v>
      </c>
      <c r="GL68" s="83">
        <f t="shared" si="217"/>
        <v>294346.89</v>
      </c>
      <c r="GM68" s="83">
        <f t="shared" si="218"/>
        <v>260133.24</v>
      </c>
      <c r="GN68" s="79">
        <f t="shared" si="81"/>
        <v>2441495.13</v>
      </c>
      <c r="GO68" s="83">
        <f t="shared" si="291"/>
        <v>198452.81</v>
      </c>
      <c r="GP68" s="83">
        <f t="shared" si="291"/>
        <v>73538</v>
      </c>
      <c r="GQ68" s="1">
        <v>60525</v>
      </c>
      <c r="GR68" s="83">
        <v>44610</v>
      </c>
      <c r="GS68" s="79">
        <f t="shared" si="192"/>
        <v>46425.75</v>
      </c>
      <c r="GT68" s="83">
        <f t="shared" si="296"/>
        <v>2884000</v>
      </c>
      <c r="GU68" s="1">
        <v>18935</v>
      </c>
      <c r="GV68" s="1">
        <v>27101</v>
      </c>
      <c r="GW68" s="79">
        <f t="shared" si="261"/>
        <v>1207962</v>
      </c>
      <c r="GX68" s="1">
        <v>34954.608</v>
      </c>
      <c r="GY68" s="1" t="s">
        <v>340</v>
      </c>
      <c r="GZ68" s="1">
        <v>112856</v>
      </c>
      <c r="HA68" s="1">
        <v>275983</v>
      </c>
      <c r="HB68" s="79">
        <f t="shared" si="241"/>
        <v>3147722.0870000003</v>
      </c>
      <c r="HC68" s="86" t="str">
        <f t="shared" si="272"/>
        <v>dic19 nov20</v>
      </c>
      <c r="HD68" s="1">
        <v>53466</v>
      </c>
      <c r="HE68" s="79">
        <f t="shared" si="139"/>
        <v>652225</v>
      </c>
      <c r="HF68" s="86" t="str">
        <f t="shared" si="273"/>
        <v>dic19 nov20</v>
      </c>
      <c r="HG68" s="1">
        <v>182000</v>
      </c>
      <c r="HH68" s="79">
        <f t="shared" si="242"/>
        <v>2225000</v>
      </c>
      <c r="HI68" s="86" t="str">
        <f t="shared" si="274"/>
        <v>dic19 nov20</v>
      </c>
      <c r="HJ68" s="83">
        <v>95163</v>
      </c>
      <c r="HK68" s="79">
        <f t="shared" si="278"/>
        <v>55196.131200000003</v>
      </c>
      <c r="HL68" s="86" t="str">
        <f t="shared" si="275"/>
        <v>dic19 nov20</v>
      </c>
      <c r="HM68" s="79">
        <f t="shared" si="86"/>
        <v>2280196.1312000002</v>
      </c>
      <c r="HN68" s="87">
        <f t="shared" si="297"/>
        <v>7.1770334928229707E-2</v>
      </c>
      <c r="HO68" s="1">
        <v>1030400000</v>
      </c>
      <c r="HP68" s="79">
        <f t="shared" si="153"/>
        <v>11047</v>
      </c>
      <c r="HQ68" s="86" t="str">
        <f t="shared" si="276"/>
        <v>dic19 nov20</v>
      </c>
      <c r="HR68" s="1"/>
      <c r="HS68" s="1"/>
      <c r="HT68" s="1"/>
      <c r="HU68" s="1">
        <v>650000</v>
      </c>
      <c r="HV68" s="1" t="s">
        <v>323</v>
      </c>
      <c r="HW68" s="1">
        <v>1200000</v>
      </c>
      <c r="HX68" s="1" t="s">
        <v>377</v>
      </c>
      <c r="HY68" s="1">
        <f t="shared" si="304"/>
        <v>2980000</v>
      </c>
      <c r="HZ68" s="1" t="s">
        <v>323</v>
      </c>
      <c r="IA68" s="1">
        <f t="shared" si="305"/>
        <v>21140000</v>
      </c>
      <c r="IB68" s="1" t="s">
        <v>323</v>
      </c>
      <c r="IC68" s="1">
        <v>43000000</v>
      </c>
      <c r="ID68" s="1" t="s">
        <v>323</v>
      </c>
      <c r="IE68" s="1">
        <f t="shared" si="281"/>
        <v>1150000</v>
      </c>
      <c r="IF68" s="1" t="s">
        <v>323</v>
      </c>
      <c r="IG68" s="1">
        <f>(6.5+0.8)*1000000</f>
        <v>7300000</v>
      </c>
      <c r="IH68" s="1" t="s">
        <v>377</v>
      </c>
      <c r="II68" s="79">
        <f t="shared" si="87"/>
        <v>76770000</v>
      </c>
      <c r="IJ68" s="97">
        <f t="shared" si="308"/>
        <v>1.9040737312717446</v>
      </c>
      <c r="IK68" s="1" t="s">
        <v>323</v>
      </c>
      <c r="IL68" s="7">
        <v>43.93</v>
      </c>
      <c r="IM68" s="7">
        <v>49.31</v>
      </c>
      <c r="IN68" s="7">
        <v>184.4</v>
      </c>
      <c r="IO68" s="695">
        <v>14.25</v>
      </c>
      <c r="IP68" s="176">
        <f t="shared" si="292"/>
        <v>5.7853601487586115</v>
      </c>
      <c r="IQ68" s="7">
        <v>20.7</v>
      </c>
      <c r="IR68" s="98">
        <f t="shared" si="293"/>
        <v>4.79</v>
      </c>
      <c r="IS68" s="98">
        <f t="shared" si="293"/>
        <v>5.29</v>
      </c>
      <c r="IT68" s="98">
        <f t="shared" si="293"/>
        <v>12.22</v>
      </c>
      <c r="IU68" s="98">
        <f t="shared" si="293"/>
        <v>0.38</v>
      </c>
      <c r="IV68" s="94">
        <f t="shared" si="89"/>
        <v>17.89</v>
      </c>
      <c r="IW68" s="1"/>
      <c r="IX68" s="1"/>
      <c r="IY68" s="105">
        <v>1.86</v>
      </c>
      <c r="IZ68" s="161">
        <v>0.1</v>
      </c>
      <c r="JA68" s="83">
        <v>2810</v>
      </c>
      <c r="JB68" s="7">
        <v>44.74</v>
      </c>
      <c r="JC68" s="1"/>
      <c r="JD68" s="1"/>
      <c r="JE68" s="99"/>
      <c r="JF68" s="2">
        <v>28.081154179999999</v>
      </c>
      <c r="JG68" s="2">
        <v>16.070402479999998</v>
      </c>
      <c r="JH68" s="2">
        <v>41.654969489999999</v>
      </c>
      <c r="JI68" s="2">
        <v>43.350304940000001</v>
      </c>
      <c r="JJ68" s="2">
        <v>311.43682783999998</v>
      </c>
      <c r="JK68" s="2">
        <v>118.99235775000002</v>
      </c>
      <c r="JL68" s="2">
        <v>1630.94947759</v>
      </c>
      <c r="JM68" s="2">
        <v>0.53199319999999994</v>
      </c>
      <c r="JN68" s="2">
        <v>88.520597859999995</v>
      </c>
      <c r="JO68" s="2">
        <v>18.757994520000004</v>
      </c>
      <c r="JP68" s="2">
        <v>0</v>
      </c>
      <c r="JQ68" s="2">
        <v>7.6430649999999989E-2</v>
      </c>
      <c r="JR68" s="2">
        <v>1.32736575</v>
      </c>
      <c r="JS68" s="2">
        <v>0</v>
      </c>
      <c r="JT68" s="2">
        <v>2.5000000000000001E-3</v>
      </c>
      <c r="JU68" s="2">
        <v>93.366261870000017</v>
      </c>
      <c r="JV68" s="2">
        <v>12.896794960000001</v>
      </c>
      <c r="JW68" s="2">
        <v>10.109798179999999</v>
      </c>
      <c r="JX68" s="2">
        <v>11.775851820000002</v>
      </c>
      <c r="JY68" s="2">
        <v>0</v>
      </c>
      <c r="JZ68" s="2">
        <v>1.3196989299999999</v>
      </c>
      <c r="KA68" s="2">
        <v>0.47290113</v>
      </c>
      <c r="KB68" s="2">
        <v>17.625443539999999</v>
      </c>
      <c r="KC68" s="2">
        <v>65.345402379999996</v>
      </c>
      <c r="KD68" s="2">
        <v>10.461004670000001</v>
      </c>
      <c r="KE68" s="2">
        <v>14.310721749999997</v>
      </c>
      <c r="KF68" s="2">
        <v>36.185511689999998</v>
      </c>
      <c r="KG68" s="2">
        <v>356.38263971999993</v>
      </c>
      <c r="KH68" s="2">
        <v>148.81629056999998</v>
      </c>
      <c r="KI68" s="2">
        <v>10.733154770000002</v>
      </c>
      <c r="KJ68" s="2">
        <v>9.3330679799999992</v>
      </c>
      <c r="KK68" s="2">
        <v>4.9009079899999994</v>
      </c>
      <c r="KL68" s="2">
        <v>0.42296613999999999</v>
      </c>
      <c r="KM68" s="2">
        <v>0.86710677999999997</v>
      </c>
      <c r="KN68" s="2">
        <v>0.15136082999999997</v>
      </c>
      <c r="KO68" s="2">
        <v>7.8054693099999994</v>
      </c>
      <c r="KP68" s="2">
        <v>0.24445627</v>
      </c>
      <c r="KQ68" s="2">
        <v>81.672113900000014</v>
      </c>
      <c r="KR68" s="2">
        <v>3.2506180000000003E-2</v>
      </c>
      <c r="KS68" s="2">
        <v>0.30688968999999994</v>
      </c>
      <c r="KT68" s="2">
        <v>1.88557606</v>
      </c>
      <c r="KU68" s="2">
        <v>0.42440298999999998</v>
      </c>
      <c r="KV68" s="2">
        <v>0.21306520000000001</v>
      </c>
      <c r="KW68" s="2">
        <v>3.8119852499999993</v>
      </c>
      <c r="KX68" s="2">
        <v>0</v>
      </c>
      <c r="KY68" s="2">
        <v>1.0281403099999999</v>
      </c>
      <c r="KZ68" s="2">
        <v>1.7386936</v>
      </c>
      <c r="LA68" s="2">
        <v>0.90570605000000004</v>
      </c>
      <c r="LB68" s="2">
        <v>0</v>
      </c>
      <c r="LC68" s="2">
        <v>1.50993982</v>
      </c>
      <c r="LD68" s="2">
        <v>0</v>
      </c>
      <c r="LE68" s="2">
        <v>0.13064046000000001</v>
      </c>
      <c r="LF68" s="2">
        <v>0.36056479000000002</v>
      </c>
      <c r="LG68" s="2">
        <v>17.13326502</v>
      </c>
      <c r="LH68" s="2">
        <v>7.4107142600000024</v>
      </c>
      <c r="LI68" s="2">
        <v>2.5019997099999998</v>
      </c>
      <c r="LJ68" s="2">
        <v>0</v>
      </c>
      <c r="LK68" s="2">
        <v>4.5073918900000001</v>
      </c>
      <c r="LL68" s="2">
        <v>6.0047575400000008</v>
      </c>
      <c r="LM68" s="2">
        <v>0.82564050000000011</v>
      </c>
      <c r="LN68" s="2">
        <v>0.28006708000000002</v>
      </c>
      <c r="LO68" s="2">
        <v>8.8865891699999988</v>
      </c>
      <c r="LQ68" s="85">
        <f t="shared" si="247"/>
        <v>2116.44417092</v>
      </c>
      <c r="LR68" s="85">
        <f t="shared" si="248"/>
        <v>1.4062964</v>
      </c>
      <c r="LS68" s="85">
        <f t="shared" si="249"/>
        <v>23.00659314</v>
      </c>
      <c r="LT68" s="85">
        <f t="shared" si="250"/>
        <v>1.7926000599999998</v>
      </c>
      <c r="LU68" s="85">
        <f t="shared" si="251"/>
        <v>90.835446690000012</v>
      </c>
      <c r="LV68" s="85">
        <f t="shared" si="252"/>
        <v>5.0531907599999997</v>
      </c>
      <c r="LW68" s="85">
        <f t="shared" si="253"/>
        <v>0.90570605000000004</v>
      </c>
      <c r="LX68" s="85">
        <f t="shared" si="254"/>
        <v>0.49120525000000004</v>
      </c>
      <c r="LZ68" s="131">
        <v>86.41</v>
      </c>
      <c r="MA68" s="171">
        <v>80.900000000000006</v>
      </c>
      <c r="MB68"/>
      <c r="MC68"/>
      <c r="MD68"/>
      <c r="MF68"/>
      <c r="MG68"/>
      <c r="MH68" s="83">
        <v>138.31</v>
      </c>
      <c r="MI68" s="83">
        <v>45.17</v>
      </c>
      <c r="MJ68" s="83">
        <v>57.26</v>
      </c>
      <c r="MK68"/>
      <c r="ML68" s="83">
        <v>62.18</v>
      </c>
      <c r="MM68" s="83">
        <v>138.38</v>
      </c>
      <c r="MN68" s="83"/>
      <c r="MO68" s="83">
        <v>60.64</v>
      </c>
      <c r="MP68" s="83">
        <v>73.8</v>
      </c>
      <c r="MQ68" s="83">
        <v>172.76</v>
      </c>
      <c r="MR68"/>
      <c r="MT68" s="83"/>
      <c r="MU68" s="83">
        <v>60.21</v>
      </c>
      <c r="MV68"/>
      <c r="MW68"/>
      <c r="MX68"/>
      <c r="MY68" s="83">
        <v>137.99</v>
      </c>
      <c r="MZ68" s="83">
        <v>355</v>
      </c>
      <c r="NA68" s="83">
        <v>132.12</v>
      </c>
      <c r="NB68" s="83">
        <v>433.62</v>
      </c>
      <c r="NC68" s="83">
        <v>57.45</v>
      </c>
      <c r="ND68"/>
      <c r="NE68" s="1">
        <v>391.18</v>
      </c>
    </row>
    <row r="69" spans="1:369">
      <c r="A69" s="38">
        <f t="shared" si="219"/>
        <v>44166</v>
      </c>
      <c r="B69" s="36">
        <f t="shared" si="287"/>
        <v>12</v>
      </c>
      <c r="C69" s="36">
        <f t="shared" si="288"/>
        <v>2020</v>
      </c>
      <c r="D69" s="36">
        <f t="shared" si="50"/>
        <v>69</v>
      </c>
      <c r="E69" s="38">
        <f t="shared" si="220"/>
        <v>44166</v>
      </c>
      <c r="F69" s="7">
        <v>84.82</v>
      </c>
      <c r="G69" s="7">
        <v>385.9</v>
      </c>
      <c r="H69" s="1">
        <f>[2]NACIONALES!$D57</f>
        <v>38770.699999999997</v>
      </c>
      <c r="I69" s="7">
        <v>73</v>
      </c>
      <c r="J69" s="7">
        <v>410</v>
      </c>
      <c r="K69" s="7">
        <v>3.3</v>
      </c>
      <c r="L69" s="7">
        <v>22.7</v>
      </c>
      <c r="N69" s="5">
        <v>1.4359999999999999</v>
      </c>
      <c r="O69" s="5">
        <v>1.238</v>
      </c>
      <c r="P69" s="78">
        <f t="shared" si="294"/>
        <v>107.73412299999998</v>
      </c>
      <c r="Q69" s="6">
        <v>2460</v>
      </c>
      <c r="R69" s="79">
        <f t="shared" si="222"/>
        <v>24600</v>
      </c>
      <c r="S69" s="6">
        <v>198.71</v>
      </c>
      <c r="T69" s="6">
        <v>402</v>
      </c>
      <c r="U69" s="143">
        <v>188.05555555555554</v>
      </c>
      <c r="V69" s="6">
        <v>310.61666666666662</v>
      </c>
      <c r="W69" s="6">
        <f>(240*0.88)-10</f>
        <v>201.2</v>
      </c>
      <c r="X69" s="6">
        <v>226.09444444444443</v>
      </c>
      <c r="Y69" s="79">
        <f t="shared" si="223"/>
        <v>16854.582200000001</v>
      </c>
      <c r="Z69" s="79">
        <f t="shared" si="224"/>
        <v>34097.64</v>
      </c>
      <c r="AA69" s="79">
        <f t="shared" si="225"/>
        <v>15950.87222222222</v>
      </c>
      <c r="AB69" s="79">
        <f t="shared" si="226"/>
        <v>26346.505666666661</v>
      </c>
      <c r="AC69" s="79">
        <f t="shared" si="227"/>
        <v>17065.783999999996</v>
      </c>
      <c r="AD69" s="79">
        <f t="shared" si="228"/>
        <v>19177.330777777774</v>
      </c>
      <c r="AE69" s="79">
        <f t="shared" si="229"/>
        <v>21582.119144444445</v>
      </c>
      <c r="AF69" s="1">
        <v>54616.294117647056</v>
      </c>
      <c r="AG69" s="1">
        <v>24390</v>
      </c>
      <c r="AH69" s="1">
        <v>92690</v>
      </c>
      <c r="AI69" s="5">
        <v>20.387599999999999</v>
      </c>
      <c r="AJ69" s="5">
        <v>18.391100000000002</v>
      </c>
      <c r="AK69" s="5">
        <v>19.1708</v>
      </c>
      <c r="AL69" s="5">
        <v>19.970500000000001</v>
      </c>
      <c r="AM69" s="78">
        <f t="shared" si="230"/>
        <v>19.891268000000004</v>
      </c>
      <c r="AN69" s="7">
        <v>1880.5935483870967</v>
      </c>
      <c r="AO69" s="7">
        <v>1280.2850000000001</v>
      </c>
      <c r="AP69" s="78">
        <f t="shared" si="277"/>
        <v>1280.2850000000001</v>
      </c>
      <c r="AQ69" s="7">
        <v>1539.4450617283951</v>
      </c>
      <c r="AR69" s="7">
        <v>909.75099999999986</v>
      </c>
      <c r="AS69" s="7">
        <v>792.65306122448976</v>
      </c>
      <c r="AT69" s="7">
        <v>1314.9</v>
      </c>
      <c r="AU69" s="78">
        <f t="shared" si="53"/>
        <v>1005.7680204081631</v>
      </c>
      <c r="AV69" s="7">
        <v>600.37113402061857</v>
      </c>
      <c r="AW69" s="7">
        <v>1111.25</v>
      </c>
      <c r="AX69" s="7">
        <v>484.73750000000001</v>
      </c>
      <c r="AY69" s="7">
        <v>282.04166666666669</v>
      </c>
      <c r="AZ69" s="7">
        <v>445.24250000000001</v>
      </c>
      <c r="BA69" s="7">
        <v>934.93333333333328</v>
      </c>
      <c r="BB69" s="94">
        <f t="shared" si="45"/>
        <v>556.94108796296302</v>
      </c>
      <c r="BC69" s="68">
        <v>1868</v>
      </c>
      <c r="BD69" s="68">
        <v>1520</v>
      </c>
      <c r="BE69" s="7">
        <v>1600</v>
      </c>
      <c r="BF69" s="7">
        <v>850</v>
      </c>
      <c r="BG69" s="94">
        <f t="shared" si="56"/>
        <v>1459.5</v>
      </c>
      <c r="BH69" s="7">
        <f t="shared" si="306"/>
        <v>127.93</v>
      </c>
      <c r="BI69" s="97">
        <f>+BI68</f>
        <v>61</v>
      </c>
      <c r="BJ69" s="78">
        <f t="shared" si="57"/>
        <v>188.93</v>
      </c>
      <c r="BK69" s="7">
        <v>151.404</v>
      </c>
      <c r="BL69" s="7">
        <v>183.25</v>
      </c>
      <c r="BM69" s="94">
        <f t="shared" si="58"/>
        <v>167.327</v>
      </c>
      <c r="BN69" s="5">
        <v>21.36</v>
      </c>
      <c r="BO69" s="161">
        <v>115.82250000000003</v>
      </c>
      <c r="BP69" s="97">
        <v>79.62</v>
      </c>
      <c r="BQ69" s="94">
        <f t="shared" si="59"/>
        <v>112.20225000000003</v>
      </c>
      <c r="BR69" s="7">
        <v>98.74</v>
      </c>
      <c r="BS69" s="97">
        <v>310</v>
      </c>
      <c r="BT69" s="7">
        <v>142.72</v>
      </c>
      <c r="BU69" s="79">
        <f t="shared" si="237"/>
        <v>4148.16</v>
      </c>
      <c r="BV69" s="7">
        <v>200.3</v>
      </c>
      <c r="BW69" s="7">
        <v>225</v>
      </c>
      <c r="BY69" s="92">
        <f>BY$10*(1+((H69/H$10-1)*costos!$B$5+((I69*F69)/(I$10*F$10)-1)*costos!$E$5+((J69*F69)/((J$10*F$10)-1)*costos!$F$5/3+((K69*F69)/(K$10*F$10)-1)*costos!$F$5/3+((U69*F69)/(U$10*F$10)-1)*costos!$F$5/3+((L69*F69)/(L$10*F$10)-1)*costos!$G$5+((N69*F69)/(N$10*F$10)-1)*costos!$J$5+((V69*F69)/(V$10*F$10)-1)*costos!$K$5)))</f>
        <v>651.84433529344892</v>
      </c>
      <c r="BZ69" s="92">
        <f>$BZ$10*(1+((H69/$H$10-1)*costos!$B$6+((I69*F69)/($I$10*$F$10)-1)*costos!$E$6+((J69*F69)/(($J$10*$F$10)-1)*costos!$F$6/3+((K69*F69)/($K$10*$F$10)-1)*costos!$F$6/3+((U69*F69)/($U$10*$F$10)-1)*costos!$F$6/3+((L69*F69)/($L$10*$F$10)-1)*costos!$G$6+((Q69*F69)/($Q$10*$F$10)-1)*costos!$J$6+((V69*F69)/($V$10*$F$10)-1)*costos!$K$6)))</f>
        <v>572.06397303251265</v>
      </c>
      <c r="CA69" s="92">
        <f>CA$10*(1+((H69/H$10-1)*costos!$B$7+((I69*F69)/(I$10*F$10)-1)*costos!$E$7+((J69*F69)/((J$10*F$10)-1)*costos!$F$7/3+((K69*F69)/(K$10*F$10)-1)*costos!$F$7/3+((U69*F69)/(U$10*F$10)-1)*costos!$F$7/3+((L69*F69)/(L$10*F$10)-1)*costos!$G$7+((S69*F69)/(S$10*F$10)-1)*costos!$J$7+((V69*F69)/(V$10*F$10)-1)*costos!$K$7)))</f>
        <v>686.58455937525366</v>
      </c>
      <c r="CB69" s="92">
        <f>CB$10*(1+((H69/H$10-1)*costos!$B$8+((I69*F69)/(I$10*F$10)-1)*costos!$E$8+((J69*F69)/((J$10*F$10)-1)*costos!$F$8/3+((K69*F69)/(K$10*F$10)-1)*costos!$F$8/3+((U69*F69)/(U$10*F$10)-1)*costos!$F$8/3+((L69*F69)/(L$10*F$10)-1)*costos!$G$8+((T69*F69)/(T$10*F$10)-1)*costos!$J$8+((V69*F69)/(V$10*F$10)-1)*costos!$K$8)))</f>
        <v>719.09054213529885</v>
      </c>
      <c r="CC69" s="92">
        <f>CC$10*(1+((H69/H$10-1)*costos!$B$9+((I69*F69)/(I$10*F$10)-1)*costos!$E$9+((J69*F69)/((J$10*F$10)-1)*costos!$F$9/3+((K69*F69)/(K$10*F$10)-1)*costos!$F$9/3+((U69*F69)/(U$10*F$10)-1)*costos!$F$9/3+((L69*F69)/(L$10*F$10)-1)*costos!$G$9+((U69*F69)/(U$10*F$10)-1)*costos!$J$9+((V69*F69)/(V$10*F$10)-1)*costos!$K$9)))</f>
        <v>670.07080620186446</v>
      </c>
      <c r="CD69" s="92">
        <f>CD$10*(1+((H69/H$10-1)*costos!$B$11+((I69*F69)/(I$10*F$10)-1)*costos!$E$11+((J69*F69)/((J$10*F$10)-1)*costos!$F$11/3+((K69*F69)/(K$10*F$10)-1)*costos!$F$11/3+((U69*F69)/(U$10*F$10)-1)*costos!$F$11/3+((L69*F69)/(L$10*F$10)-1)*costos!$G$11+((V69*F69)/(V$10*F$10)-1)*costos!$J$11+((V69*F69)/(V$10*F$10)-1)*costos!$K$11)))</f>
        <v>716.9527479708463</v>
      </c>
      <c r="CE69" s="92">
        <f>CE$10*(1+((H69/H$10-1)*costos!$B$12+((I69*F69)/(I$10*F$10)-1)*costos!$E$12+((J69*F69)/((J$10*F$10)-1)*costos!$F$12/3+((K69*F69)/(K$10*F$10)-1)*costos!$F$12/3+((U69*F69)/(U$10*F$10)-1)*costos!$F$12/3+((L69*F69)/(L$10*F$10)-1)*costos!$G$12+((W69*F69)/(W$10*F$10)-1)*costos!$J$12+((V69*F69)/(V$10*F$10)-1)*costos!$K$12)))</f>
        <v>672.14540113345288</v>
      </c>
      <c r="CF69" s="92">
        <f>CF$10*(1+((H69/H$10-1)*costos!$B$13+((I69*F69)/(I$10*F$10)-1)*costos!$E$13+((J69*F69)/((J$10*F$10)-1)*costos!$F$13/3+((K69*F69)/(K$10*F$10)-1)*costos!$F$13/3+((U69*F69)/(U$10*F$10)-1)*costos!$F$13/3+((L69*F69)/(L$10*F$10)-1)*costos!$G$13+((X69*F69)/(X$10*F$10)-1)*costos!$J$13+((V69*F69)/(V$10*F$10)-1)*costos!$K$13)))</f>
        <v>710.83391426510457</v>
      </c>
      <c r="CG69" s="92">
        <f t="shared" ref="CG69:CG78" si="309">+AVERAGE(CA69:CF69)</f>
        <v>695.94632851363679</v>
      </c>
      <c r="CH69" s="92">
        <f>CH$10*(1+((H69/H$10-1)*costos!$B$10+((I69*F69)/(I$10*F$10)-1)*costos!$E$10+((J69*F69)/((J$10*F$10)-1)*costos!$F$10/3+((K69*F69)/(K$10*F$10)-1)*costos!$F$10/3+((U69*F69)/(U$10*F$10)-1)*costos!$F$10/3+((L69*F69)/(L$10*F$10)-1)*costos!$G$10+((AF69)/(AF$10)-1)*costos!$J$10+((V69*F69)/(V$10*F$10)-1)*costos!$K$10)))</f>
        <v>721.97962237425509</v>
      </c>
      <c r="CI69" s="92">
        <f>CI$10*(1+((H69/H$10-1)*costos!$B$15+((I69*F69)/(I$10*F$10)-1)*costos!$E$15+((J69*F69)/((J$10*F$10)-1)*costos!$F$15/3+((K69*F69)/(K$10*F$10)-1)*costos!$F$15/3+((U69*F69)/(U$10*F$10)-1)*costos!$F$15/3+((L69*F69)/(L$10*F$10)-1)*costos!$G$15+((AV69)/(AV$10)-1)*costos!$J$15+((V69*F69)/(V$10*F$10)-1)*costos!$K$15)))</f>
        <v>628.33328994431804</v>
      </c>
      <c r="CJ69" s="92">
        <f>CJ$10*(1+((H69/H$10-1)*costos!$B$16+((I69*F69)/(I$10*F$10)-1)*costos!$E$16+((J69*F69)/((J$10*F$10)-1)*costos!$F$16/3+((K69*F69)/(K$10*F$10)-1)*costos!$F$16/3+((U69*F69)/(U$10*F$10)-1)*costos!$F$16/3+((L69*F69)/(L$10*F$10)-1)*costos!$G$16+((AW69)/(AW$10)-1)*costos!$J$16+((V69*F69)/(V$10*F$10)-1)*costos!$K$16)))</f>
        <v>530.75069768536503</v>
      </c>
      <c r="CK69" s="92">
        <f>CK$10*(1+((H69/H$10-1)*costos!$B$17+((I69*F69)/(I$10*F$10)-1)*costos!$E$17+((J69*F69)/((J$10*F$10)-1)*costos!$F$17/3+((K69*F69)/(K$10*F$10)-1)*costos!$F$17/3+((U69*F69)/(U$10*F$10)-1)*costos!$F$17/3+((L69*F69)/(L$10*F$10)-1)*costos!$G$17+((AX69)/(AX$10)-1)*costos!$J$17+((V69*F69)/(V$10*F$10)-1)*costos!$K$17)))</f>
        <v>567.37617521452341</v>
      </c>
      <c r="CL69" s="92">
        <f>CL$10*(1+((H69/H$10-1)*costos!$B$18+((I69*F69)/(I$10*F$10)-1)*costos!$E$18+((J69*F69)/((J$10*F$10)-1)*costos!$F$18/3+((K69*F69)/(K$10*F$10)-1)*costos!$F$18/3+((U69*F69)/(U$10*F$10)-1)*costos!$F$18/3+((L69*F69)/(L$10*F$10)-1)*costos!$G$18+((AY69)/(AY$10)-1)*costos!$J$18+((V69*F69)/(V$10*F$10)-1)*costos!$K$18)))</f>
        <v>520.33421166067626</v>
      </c>
      <c r="CM69" s="92">
        <f>CM$10*(1+((H69/H$10-1)*costos!$B$19+((I69*F69)/(I$10*F$10)-1)*costos!$E$19+((J69*F69)/((J$10*F$10)-1)*costos!$F$19/3+((K69*F69)/(K$10*F$10)-1)*costos!$F$19/3+((U69*F69)/(U$10*F$10)-1)*costos!$F$19/3+((L69*F69)/(L$10*F$10)-1)*costos!$G$19+((AZ69)/(AZ$10)-1)*costos!$J$19+((V69*F69)/(V$10*F$10)-1)*costos!$K$19)))</f>
        <v>489.27653409464716</v>
      </c>
      <c r="CN69" s="92">
        <f>CN$10*(1+((H69/H$10-1)*costos!$B$20+((I69*F69)/(I$10*F$10)-1)*costos!$E$20+((J69*F69)/((J$10*F$10)-1)*costos!$F$20/3+((K69*F69)/(K$10*F$10)-1)*costos!$F$20/3+((U69*F69)/(U$10*F$10)-1)*costos!$F$20/3+((L69*F69)/(L$10*F$10)-1)*costos!$G$20+((BA69)/(BA$10)-1)*costos!$J$20+((V69*F69)/(V$10*F$10)-1)*costos!$K$20)))</f>
        <v>631.45975490652836</v>
      </c>
      <c r="CO69" s="92">
        <f t="shared" ref="CO69:CO78" si="310">+AVERAGE(CK69:CN69)</f>
        <v>552.11166896909378</v>
      </c>
      <c r="CP69" s="92">
        <f>CP$10*(1+((H69/H$10-1)*costos!$B$22+((I69*F69)/(I$10*F$10)-1)*costos!$E$22+((J69*F69)/((J$10*F$10)-1)*costos!$F$22/3+((K69*F69)/(K$10*F$10)-1)*costos!$F$22/3+((U69*F69)/(U$10*F$10)-1)*costos!$F$22/3+((L69*F69)/(L$10*F$10)-1)*costos!$G$22+(((AVERAGE(AI69:AL69))/((AVERAGE(AI$10:AL$10))-1)*costos!$J$22+((V69*F69)/(V$10*F$10)-1)*costos!$K$22)))))</f>
        <v>614.28187103902678</v>
      </c>
      <c r="CQ69" s="92">
        <f>CQ$10*(1+((H69/H$10-1)*costos!$B$23+((I69*F69)/(I$10*F$10)-1)*costos!$E$23+((J69*F69)/((J$10*F$10)-1)*costos!$F$23/3+((K69*F69)/(K$10*F$10)-1)*costos!$F$23/3+((U69*F69)/(U$10*F$10)-1)*costos!$F$23/3+((L69*F69)/(L$10*F$10)-1)*costos!$G$23+((AN69)/(AN$10)-1)*costos!$J$23+((V69*F69)/(V$10*F$10)-1)*costos!$K$23)))</f>
        <v>546.33437634136146</v>
      </c>
      <c r="CR69" s="92">
        <f>CR$10*(1+((H69/H$10-1)*costos!$B$24+((I69*F69)/(I$10*F$10)-1)*costos!$E$24+((J69*F69)/((J$10*F$10)-1)*costos!$F$24/3+((K69*F69)/(K$10*F$10)-1)*costos!$F$24/3+((U69*F69)/(U$10*F$10)-1)*costos!$F$24/3+((L69*F69)/(L$10*F$10)-1)*costos!$G$24+((AO69)/(AO$10)-1)*costos!$J$24+((V69*F69)/(V$10*F$10)-1)*costos!$K$24)))</f>
        <v>559.10999394213957</v>
      </c>
      <c r="CS69" s="92">
        <f t="shared" si="62"/>
        <v>552.72218514175051</v>
      </c>
      <c r="CT69" s="92">
        <f>CT$10*(1+((H69/H$10-1)*costos!$B$25+((I69*F69)/(I$10*F$10)-1)*costos!$E$25+((J69*F69)/((J$10*F$10)-1)*costos!$F$25/3+((K69*F69)/(K$10*F$10)-1)*costos!$F$25/3+((U69*F69)/(U$10*F$10)-1)*costos!$F$25/3+((L69*F69)/(L$10*F$10)-1)*costos!$G$25+((AQ69)/(AQ$10)-1)*costos!$J$25+((V69*F69)/(V$10*F$10)-1)*costos!$K$25)))</f>
        <v>565.53945344465467</v>
      </c>
      <c r="CU69" s="92">
        <f>CU$10*(1+((H69/H$10-1)*costos!$B$26+((I69*F69)/(I$10*F$10)-1)*costos!$E$26+((J69*F69)/((J$10*F$10)-1)*costos!$F$26/3+((K69*F69)/(K$10*F$10)-1)*costos!$F$26/3+((U69*F69)/(U$10*F$10)-1)*costos!$F$26/3+((L69*F69)/(L$10*F$10)-1)*costos!$G$26+((AR69)/(AR$10)-1)*costos!$J$26+((V69*F69)/(V$10*F$10)-1)*costos!$K$26)))</f>
        <v>546.46676562394271</v>
      </c>
      <c r="CV69" s="92">
        <f>CV$10*(1+((H69/H$10-1)*costos!$B$27+((I69*F69)/(I$10*F$10)-1)*costos!$E$27+((J69*F69)/((J$10*F$10)-1)*costos!$F$27/3+((K69*F69)/(K$10*F$10)-1)*costos!$F$27/3+((U69*F69)/(U$10*F$10)-1)*costos!$F$27/3+((L69*F69)/(L$10*F$10)-1)*costos!$G$27+((AS69)/(AS$10)-1)*costos!$J$27+((V69*F69)/(V$10*F$10)-1)*costos!$K$27)))</f>
        <v>537.55217248345821</v>
      </c>
      <c r="CW69" s="92">
        <f>CW$10*(1+((H69/H$10-1)*costos!$B$28+((I69*F69)/(I$10*F$10)-1)*costos!$E$28+((J69*F69)/((J$10*F$10)-1)*costos!$F$28/3+((K69*F69)/(K$10*F$10)-1)*costos!$F$28/3+((U69*F69)/(U$10*F$10)-1)*costos!$F$28/3+((L69*F69)/(L$10*F$10)-1)*costos!$G$28+((AS69)/(AS$10)-1)*costos!$J$28+((V69*F69)/(V$10*F$10)-1)*costos!$K$28)))</f>
        <v>537.55217248345821</v>
      </c>
      <c r="CX69" s="92">
        <f t="shared" ref="CX69:CX78" si="311">+AVERAGE(CU69:CW69)</f>
        <v>540.52370353028641</v>
      </c>
      <c r="CY69" s="92">
        <f>CY$10*(1+((H69/H$10-1)*costos!$B$32+((I69*F69)/(I$10*F$10)-1)*costos!$E$32+((J69*F69)/((J$10*F$10)-1)*costos!$F$32/3+((K69*F69)/(K$10*F$10)-1)*costos!$F$32/3+((U69*F69)/(U$10*F$10)-1)*costos!$F$32/3+((L69*F69)/(L$10*F$10)-1)*costos!$G$32+((AG69)/(AG$10)-1)*costos!$J$32+((V69*F69)/(V$10*F$10)-1)*costos!$K$32)))</f>
        <v>520.43968032868304</v>
      </c>
      <c r="CZ69" s="69">
        <f>CZ$10*(1+((H69/H$10-1)*costos!$B$31+((I69*F69)/(I$10*F$10)-1)*costos!$E$30+((J69*F69)/((J$10*F$10)-1)*costos!$F$30/3+((K69*F69)/(K$10*F$10)-1)*costos!$F$30/3+((U69*F69)/(U$10*F$10)-1)*costos!$F$30/3+((L69*F69)/(L$10*F$10)-1)*costos!$G$30+((BG69)/(BG$10)-1)*costos!$J$30+((V69*F69)/(V$10*F$10)-1)*costos!$K$30)))</f>
        <v>619.42450309474282</v>
      </c>
      <c r="DA69" s="69">
        <f>DA$10*(1+((H69/H$10-1)*costos!$B$31+((I69*F69)/(I$10*F$10)-1)*costos!$E$31+((J69*F69)/((J$10*F$10)-1)*costos!$F$31/3+((K69*F69)/(K$10*F$10)-1)*costos!$F$31/3+((U69*F69)/(U$10*F$10)-1)*costos!$F$31/3+((L69*F69)/(L$10*F$10)-1)*costos!$G$31+((BJ69)/(BJ$10)-1)*costos!$J$31+((V69*F69)/(V$10*F$10)-1)*costos!$K$31)))</f>
        <v>528.32600416366097</v>
      </c>
      <c r="DB69" s="69">
        <f>DB$10*(1+((H69/H$10-1)*costos!$B$36+((I69*F69)/(I$10*F$10)-1)*costos!$E$36+((J69*F69)/((J$10*F$10)-1)*costos!$F$36/3+((K69*F69)/(K$10*F$10)-1)*costos!$F$36/3+((U69*F69)/(U$10*F$10)-1)*costos!$F$36/3+((L69*F69)/(L$10*F$10)-1)*costos!$G$36+((BK69)/(BK$10)-1)*costos!$J$36+((V69*F69)/(V$10*F$10)-1)*costos!$K$36)))</f>
        <v>569.43581507915087</v>
      </c>
      <c r="DC69" s="69">
        <f>DC$10*(1+((H69/H$10-1)*costos!$B$37+((I69*F69)/(I$10*F$10)-1)*costos!$E$37+((U69*F69)/(U$10*F$10)-1)*costos!$F$37+((L69*F69)/(L$10*F$10)-1)*costos!$G$37+((BN69)/(BN$10)-1)*costos!$J$37+((V69*F69)/(V$10*F$10)-1)*costos!$K$37))</f>
        <v>695.186369158758</v>
      </c>
      <c r="DD69" s="69">
        <f>DD$10*(1+((H69/H$10-1)*costos!$B$39+((I69*F69)/(I$10*F$10)-1)*costos!$E$39+((U69*F69)/(U$10*F$10)-1)*costos!$F$39+((L69*F69)/(L$10*F$10)-1)*costos!$G$39+((BR69)/(BR$10)-1)*costos!$J$39+((V69*F69)/(V$10*F$10)-1)*costos!$K$39))</f>
        <v>694.35993243985899</v>
      </c>
      <c r="DE69" s="69">
        <f>DD$10*(1+((H69/H$10-1)*costos!$B$35+((I69*F69)/(I$10*F$10)-1)*costos!$E$35+((U69*F69)/(U$10*F$10)-1)*costos!$F$35+((L69*F69)/(L$10*F$10)-1)*costos!$G$35+((BR69)/(BR$10)-1)*costos!$J$35+((V69*F69)/(V$10*F$10)-1)*costos!$K$35))</f>
        <v>644.06668713719273</v>
      </c>
      <c r="DF69" s="69">
        <f>DF$10*(1+((H69/H$10-1)*costos!$B$40+((I69*F69)/(I$10*F$10)-1)*costos!$E$40+((U69*F69)/(U$10*F$10)-1)*costos!$F$40+((L69*F69)/(L$10*F$10)-1)*costos!$G$40+((BP69)/(BP$10)-1)*costos!$J$40+((V69*F69)/(V$10*F$10)-1)*costos!$K$40))</f>
        <v>731.70517391479666</v>
      </c>
      <c r="DG69" s="92">
        <f t="shared" ref="DG69:DG78" si="312">+((DE69/$DE$10)*100+DF69)/2</f>
        <v>687.8859305259947</v>
      </c>
      <c r="DH69" s="69">
        <f>DH$10*(1+((H69/H$10-1)*costos!$B$34+((I69*F69)/(I$10*F$10)-1)*costos!$E$34+((J69*F69)/((J$10*F$10)-1)*costos!$F$34/3+((K69*F69)/(K$10*F$10)-1)*costos!$F$34/3+((U69*F69)/(U$10*F$10)-1)*costos!$F$34/3+((L69*F69)/(L$10*F$10)-1)*costos!$G$34+((BV69)/(BV$10)-1)*costos!$J$34+((V69*F69)/(V$10*F$10)-1)*costos!$K$34)))</f>
        <v>576.96672135161509</v>
      </c>
      <c r="DI69" s="69">
        <f>DI$10*(1+((H69/H$10-1)*costos!$B$38+((I69*F69)/(I$10*F$10)-1)*costos!$E$38+((J69*F69)/((J$10*F$10)-1)*costos!$F$38/3+((K69*F69)/(K$10*F$10)-1)*costos!$F$38/3+((U69*F69)/(U$10*F$10)-1)*costos!$F$38/3+((L69*F69)/(L$10*F$10)-1)*costos!$G$38+((BU69)/(BU$10)-1)*costos!$J$38+((V69*F69)/(V$10*F$10)-1)*costos!$K$38)))</f>
        <v>524.63737347662175</v>
      </c>
      <c r="DK69" s="1">
        <v>410000</v>
      </c>
      <c r="DL69" s="1" t="s">
        <v>377</v>
      </c>
      <c r="DM69" s="1">
        <v>195000</v>
      </c>
      <c r="DN69" s="1" t="s">
        <v>377</v>
      </c>
      <c r="DO69" s="1">
        <v>1250000</v>
      </c>
      <c r="DP69" s="1" t="s">
        <v>377</v>
      </c>
      <c r="DQ69" s="1">
        <v>1400000</v>
      </c>
      <c r="DR69" s="1" t="s">
        <v>377</v>
      </c>
      <c r="DS69" s="1">
        <v>6300000</v>
      </c>
      <c r="DT69" s="1" t="s">
        <v>377</v>
      </c>
      <c r="DU69" s="1">
        <v>16900000</v>
      </c>
      <c r="DV69" s="1" t="s">
        <v>377</v>
      </c>
      <c r="DW69" s="1">
        <v>630000</v>
      </c>
      <c r="DX69" s="1" t="s">
        <v>377</v>
      </c>
      <c r="DY69" s="1">
        <v>6730000</v>
      </c>
      <c r="DZ69" s="1" t="s">
        <v>377</v>
      </c>
      <c r="EA69" s="79">
        <f t="shared" si="67"/>
        <v>33210000</v>
      </c>
      <c r="EB69" s="1">
        <v>385592</v>
      </c>
      <c r="EC69" s="1" t="s">
        <v>377</v>
      </c>
      <c r="ED69" s="1">
        <v>174820</v>
      </c>
      <c r="EE69" s="143">
        <v>2020</v>
      </c>
      <c r="EF69" s="1">
        <v>214798</v>
      </c>
      <c r="EG69" s="6">
        <v>2020</v>
      </c>
      <c r="EH69" s="1">
        <v>54460799</v>
      </c>
      <c r="EI69" s="6">
        <v>2020</v>
      </c>
      <c r="EJ69" s="1">
        <v>5377071</v>
      </c>
      <c r="EK69" s="6">
        <f t="shared" si="285"/>
        <v>2020</v>
      </c>
      <c r="EL69" s="1">
        <v>14571766</v>
      </c>
      <c r="EM69" s="6">
        <v>2020</v>
      </c>
      <c r="EN69" s="1">
        <v>3132657</v>
      </c>
      <c r="EO69" s="6">
        <v>2020</v>
      </c>
      <c r="EP69" s="82">
        <f t="shared" si="286"/>
        <v>6552</v>
      </c>
      <c r="EQ69" s="83">
        <v>3366686</v>
      </c>
      <c r="ER69" s="1">
        <f t="shared" si="189"/>
        <v>76657</v>
      </c>
      <c r="ES69" s="1"/>
      <c r="ET69" s="83">
        <f t="shared" si="289"/>
        <v>19456</v>
      </c>
      <c r="EU69" s="83">
        <f t="shared" si="289"/>
        <v>17935</v>
      </c>
      <c r="EV69" s="83">
        <f t="shared" si="289"/>
        <v>9101</v>
      </c>
      <c r="EW69" s="83">
        <f t="shared" si="289"/>
        <v>17303</v>
      </c>
      <c r="EX69" s="79">
        <f t="shared" si="72"/>
        <v>63795</v>
      </c>
      <c r="EY69" s="83">
        <f t="shared" si="290"/>
        <v>19804</v>
      </c>
      <c r="EZ69" s="82">
        <f t="shared" si="290"/>
        <v>79940</v>
      </c>
      <c r="FA69" s="83">
        <v>22244</v>
      </c>
      <c r="FB69" s="82">
        <f>+FB68</f>
        <v>18080</v>
      </c>
      <c r="FC69" s="79">
        <f t="shared" si="307"/>
        <v>40324</v>
      </c>
      <c r="FD69" s="83">
        <f t="shared" si="158"/>
        <v>59152.38</v>
      </c>
      <c r="FE69" s="1"/>
      <c r="FF69" s="1">
        <v>1100000</v>
      </c>
      <c r="FG69" s="1" t="s">
        <v>323</v>
      </c>
      <c r="FH69" s="1">
        <v>1200000</v>
      </c>
      <c r="FI69" s="1" t="s">
        <v>323</v>
      </c>
      <c r="FJ69" s="1">
        <v>4500000</v>
      </c>
      <c r="FK69" s="1" t="s">
        <v>377</v>
      </c>
      <c r="FL69" s="1">
        <v>3300000</v>
      </c>
      <c r="FM69" s="1" t="s">
        <v>323</v>
      </c>
      <c r="FN69" s="1">
        <v>47000000</v>
      </c>
      <c r="FO69" s="1" t="s">
        <v>377</v>
      </c>
      <c r="FP69" s="1">
        <v>49000000</v>
      </c>
      <c r="FQ69" s="1" t="s">
        <v>323</v>
      </c>
      <c r="FR69" s="1">
        <v>1850000</v>
      </c>
      <c r="FS69" s="1" t="s">
        <v>323</v>
      </c>
      <c r="FT69" s="1">
        <v>17645000</v>
      </c>
      <c r="FU69" s="1" t="s">
        <v>377</v>
      </c>
      <c r="FV69" s="79">
        <f t="shared" si="76"/>
        <v>123295000</v>
      </c>
      <c r="FW69" s="1">
        <v>1394794</v>
      </c>
      <c r="FX69" s="1" t="s">
        <v>323</v>
      </c>
      <c r="FY69" s="1">
        <v>32689.84</v>
      </c>
      <c r="FZ69" s="79">
        <f t="shared" si="135"/>
        <v>812695.84</v>
      </c>
      <c r="GA69" s="86" t="str">
        <f t="shared" si="271"/>
        <v>ene20 dic20</v>
      </c>
      <c r="GB69" s="83">
        <v>20557455</v>
      </c>
      <c r="GC69" s="6">
        <v>2020</v>
      </c>
      <c r="GD69" s="83">
        <f t="shared" si="265"/>
        <v>1974652</v>
      </c>
      <c r="GE69" s="83">
        <f t="shared" si="265"/>
        <v>367136</v>
      </c>
      <c r="GF69" s="83">
        <v>957160</v>
      </c>
      <c r="GG69" s="83">
        <f t="shared" si="268"/>
        <v>89049</v>
      </c>
      <c r="GH69" s="79">
        <f t="shared" si="240"/>
        <v>1413345</v>
      </c>
      <c r="GI69" s="82">
        <f t="shared" si="232"/>
        <v>1302556</v>
      </c>
      <c r="GJ69" s="83">
        <f t="shared" si="215"/>
        <v>666015</v>
      </c>
      <c r="GK69" s="83">
        <f t="shared" si="216"/>
        <v>1221000</v>
      </c>
      <c r="GL69" s="83">
        <f t="shared" si="217"/>
        <v>294346.89</v>
      </c>
      <c r="GM69" s="83">
        <f t="shared" si="218"/>
        <v>260133.24</v>
      </c>
      <c r="GN69" s="79">
        <f t="shared" si="81"/>
        <v>2441495.13</v>
      </c>
      <c r="GO69" s="83">
        <f t="shared" si="291"/>
        <v>198452.81</v>
      </c>
      <c r="GP69" s="83">
        <f t="shared" si="291"/>
        <v>73538</v>
      </c>
      <c r="GQ69" s="1">
        <v>198944</v>
      </c>
      <c r="GR69" s="83">
        <v>44610</v>
      </c>
      <c r="GS69" s="79">
        <f t="shared" si="192"/>
        <v>50578.32</v>
      </c>
      <c r="GT69" s="83">
        <f t="shared" si="296"/>
        <v>2884000</v>
      </c>
      <c r="GU69" s="1">
        <v>13262</v>
      </c>
      <c r="GV69" s="1">
        <v>30537</v>
      </c>
      <c r="GW69" s="79">
        <f t="shared" si="261"/>
        <v>1205142</v>
      </c>
      <c r="GX69" s="1">
        <v>34954.608</v>
      </c>
      <c r="GY69" s="1" t="s">
        <v>340</v>
      </c>
      <c r="GZ69" s="1">
        <v>112856</v>
      </c>
      <c r="HA69" s="1">
        <v>264307</v>
      </c>
      <c r="HB69" s="79">
        <f t="shared" si="241"/>
        <v>3134287.0870000003</v>
      </c>
      <c r="HC69" s="86" t="str">
        <f t="shared" si="272"/>
        <v>ene20 dic20</v>
      </c>
      <c r="HD69" s="1">
        <v>59032</v>
      </c>
      <c r="HE69" s="79">
        <f t="shared" si="139"/>
        <v>656456</v>
      </c>
      <c r="HF69" s="86" t="str">
        <f t="shared" si="273"/>
        <v>ene20 dic20</v>
      </c>
      <c r="HG69" s="1">
        <v>188000</v>
      </c>
      <c r="HH69" s="79">
        <f t="shared" si="242"/>
        <v>2222000</v>
      </c>
      <c r="HI69" s="86" t="str">
        <f t="shared" si="274"/>
        <v>ene20 dic20</v>
      </c>
      <c r="HJ69" s="1">
        <v>78861</v>
      </c>
      <c r="HK69" s="79">
        <f t="shared" si="278"/>
        <v>55264.221600000004</v>
      </c>
      <c r="HL69" s="86" t="str">
        <f t="shared" si="275"/>
        <v>ene20 dic20</v>
      </c>
      <c r="HM69" s="79">
        <f t="shared" si="86"/>
        <v>2277264.2215999998</v>
      </c>
      <c r="HN69" s="87">
        <f t="shared" si="297"/>
        <v>7.0084566596194442E-2</v>
      </c>
      <c r="HO69" s="1">
        <v>1012300000</v>
      </c>
      <c r="HP69" s="79">
        <f t="shared" si="153"/>
        <v>11113.3</v>
      </c>
      <c r="HQ69" s="86" t="str">
        <f t="shared" si="276"/>
        <v>ene20 dic20</v>
      </c>
      <c r="HR69" s="1"/>
      <c r="HS69" s="1"/>
      <c r="HT69" s="1"/>
      <c r="HU69" s="1">
        <v>650000</v>
      </c>
      <c r="HV69" s="1" t="s">
        <v>323</v>
      </c>
      <c r="HW69" s="1">
        <v>1200000</v>
      </c>
      <c r="HX69" s="1" t="s">
        <v>377</v>
      </c>
      <c r="HY69" s="1">
        <v>3190000</v>
      </c>
      <c r="HZ69" s="1" t="s">
        <v>377</v>
      </c>
      <c r="IA69" s="1">
        <f t="shared" si="305"/>
        <v>21140000</v>
      </c>
      <c r="IB69" s="1" t="s">
        <v>323</v>
      </c>
      <c r="IC69" s="1">
        <v>41400000</v>
      </c>
      <c r="ID69" s="1" t="s">
        <v>323</v>
      </c>
      <c r="IE69" s="1">
        <v>1000000</v>
      </c>
      <c r="IF69" s="1" t="s">
        <v>323</v>
      </c>
      <c r="IG69" s="1">
        <f>(6.5+0.9)*1000000</f>
        <v>7400000</v>
      </c>
      <c r="IH69" s="1" t="s">
        <v>377</v>
      </c>
      <c r="II69" s="79">
        <f t="shared" si="87"/>
        <v>75330000</v>
      </c>
      <c r="IJ69" s="97">
        <f t="shared" si="308"/>
        <v>1.9040737312717446</v>
      </c>
      <c r="IK69" s="1" t="s">
        <v>323</v>
      </c>
      <c r="IL69" s="7">
        <v>44.2</v>
      </c>
      <c r="IM69" s="7">
        <v>51.06</v>
      </c>
      <c r="IN69" s="7">
        <v>184.4</v>
      </c>
      <c r="IO69" s="695">
        <v>15.5</v>
      </c>
      <c r="IP69" s="176">
        <f t="shared" si="292"/>
        <v>5.7853601487586115</v>
      </c>
      <c r="IQ69" s="7">
        <v>20.7</v>
      </c>
      <c r="IR69" s="98">
        <f>+IR68</f>
        <v>4.79</v>
      </c>
      <c r="IS69" s="98">
        <f>+IS68</f>
        <v>5.29</v>
      </c>
      <c r="IT69" s="98">
        <f>+IT68</f>
        <v>12.22</v>
      </c>
      <c r="IU69" s="98">
        <f>+IU68</f>
        <v>0.38</v>
      </c>
      <c r="IV69" s="94">
        <f t="shared" si="89"/>
        <v>17.89</v>
      </c>
      <c r="IW69" s="1"/>
      <c r="IX69" s="1"/>
      <c r="IY69" s="105">
        <v>1.86</v>
      </c>
      <c r="IZ69" s="161">
        <v>0.1</v>
      </c>
      <c r="JA69" s="83">
        <v>2811</v>
      </c>
      <c r="JB69" s="7">
        <v>44.74</v>
      </c>
      <c r="JC69" s="1"/>
      <c r="JD69" s="1"/>
      <c r="JE69" s="7"/>
      <c r="JF69" s="2">
        <v>13.234704230000002</v>
      </c>
      <c r="JG69" s="2">
        <v>14.736551480000001</v>
      </c>
      <c r="JH69" s="2">
        <v>37.845213440000002</v>
      </c>
      <c r="JI69" s="2">
        <v>18.563111020000001</v>
      </c>
      <c r="JJ69" s="2">
        <v>201.00479876999995</v>
      </c>
      <c r="JK69" s="2">
        <v>105.27348302000001</v>
      </c>
      <c r="JL69" s="2">
        <v>626.45625271999995</v>
      </c>
      <c r="JM69" s="2">
        <v>3.8947799999999999</v>
      </c>
      <c r="JN69" s="2">
        <v>271.30949773000003</v>
      </c>
      <c r="JO69" s="2">
        <v>22.31250902</v>
      </c>
      <c r="JP69" s="2">
        <v>0</v>
      </c>
      <c r="JQ69" s="2">
        <v>0.31068417999999998</v>
      </c>
      <c r="JR69" s="2">
        <v>0.64457814000000002</v>
      </c>
      <c r="JS69" s="2">
        <v>0</v>
      </c>
      <c r="JT69" s="2">
        <v>0.24216499999999999</v>
      </c>
      <c r="JU69" s="2">
        <v>75.938263660000004</v>
      </c>
      <c r="JV69" s="2">
        <v>4.9251607500000008</v>
      </c>
      <c r="JW69" s="2">
        <v>6.7510286300000013</v>
      </c>
      <c r="JX69" s="2">
        <v>9.74316447</v>
      </c>
      <c r="JY69" s="2">
        <v>0</v>
      </c>
      <c r="JZ69" s="2">
        <v>0.87319469999999999</v>
      </c>
      <c r="KA69" s="2">
        <v>0.99185108000000011</v>
      </c>
      <c r="KB69" s="2">
        <v>21.355262920000001</v>
      </c>
      <c r="KC69" s="2">
        <v>38.253392029999993</v>
      </c>
      <c r="KD69" s="2">
        <v>13.147616679999999</v>
      </c>
      <c r="KE69" s="2">
        <v>10.654152130000002</v>
      </c>
      <c r="KF69" s="2">
        <v>34.076291170000005</v>
      </c>
      <c r="KG69" s="2">
        <v>279.22645599999998</v>
      </c>
      <c r="KH69" s="2">
        <v>98.034045439999986</v>
      </c>
      <c r="KI69" s="2">
        <v>20.922303999999997</v>
      </c>
      <c r="KJ69" s="2">
        <v>5.2608896599999992</v>
      </c>
      <c r="KK69" s="2">
        <v>5.415997149999999</v>
      </c>
      <c r="KL69" s="2">
        <v>0.32620170999999998</v>
      </c>
      <c r="KM69" s="2">
        <v>1.0019098899999999</v>
      </c>
      <c r="KN69" s="2">
        <v>0.21516445000000001</v>
      </c>
      <c r="KO69" s="2">
        <v>0.62005452000000005</v>
      </c>
      <c r="KP69" s="2">
        <v>1.10653E-2</v>
      </c>
      <c r="KQ69" s="2">
        <v>76.335034870000001</v>
      </c>
      <c r="KR69" s="2">
        <v>4.8559249999999998E-2</v>
      </c>
      <c r="KS69" s="2">
        <v>5.4327100000000003E-3</v>
      </c>
      <c r="KT69" s="2">
        <v>1.3921771000000001</v>
      </c>
      <c r="KU69" s="2">
        <v>0.40978040000000004</v>
      </c>
      <c r="KV69" s="2">
        <v>0</v>
      </c>
      <c r="KW69" s="2">
        <v>1.8622188599999998</v>
      </c>
      <c r="KX69" s="2">
        <v>0</v>
      </c>
      <c r="KY69" s="2">
        <v>0.57732942000000009</v>
      </c>
      <c r="KZ69" s="2">
        <v>0.70775787000000001</v>
      </c>
      <c r="LA69" s="2">
        <v>0.12897227999999999</v>
      </c>
      <c r="LB69" s="2">
        <v>0</v>
      </c>
      <c r="LC69" s="2">
        <v>0.93330407999999998</v>
      </c>
      <c r="LD69" s="2">
        <v>0</v>
      </c>
      <c r="LE69" s="2">
        <v>1.2255415099999998</v>
      </c>
      <c r="LF69" s="2">
        <v>0.25662665999999995</v>
      </c>
      <c r="LG69" s="2">
        <v>17.753412970000003</v>
      </c>
      <c r="LH69" s="2">
        <v>5.3225239900000005</v>
      </c>
      <c r="LI69" s="2">
        <v>1.3203298900000002</v>
      </c>
      <c r="LJ69" s="2">
        <v>1.947049E-2</v>
      </c>
      <c r="LK69" s="2">
        <v>1.5119941899999998</v>
      </c>
      <c r="LL69" s="2">
        <v>7.6302594600000013</v>
      </c>
      <c r="LM69" s="2">
        <v>0.92060591000000003</v>
      </c>
      <c r="LN69" s="2">
        <v>0.43344345000000001</v>
      </c>
      <c r="LO69" s="2">
        <v>8.1520610799999993</v>
      </c>
      <c r="LQ69" s="85">
        <f t="shared" si="247"/>
        <v>1159.07365368</v>
      </c>
      <c r="LR69" s="85">
        <f t="shared" si="248"/>
        <v>1.1974273200000001</v>
      </c>
      <c r="LS69" s="85">
        <f t="shared" si="249"/>
        <v>11.676189380000002</v>
      </c>
      <c r="LT69" s="85">
        <f>+SUM(JY69:KA69)</f>
        <v>1.86504578</v>
      </c>
      <c r="LU69" s="85">
        <f t="shared" si="251"/>
        <v>78.226155689999985</v>
      </c>
      <c r="LV69" s="85">
        <f t="shared" si="252"/>
        <v>2.4395482799999999</v>
      </c>
      <c r="LW69" s="85">
        <f t="shared" si="253"/>
        <v>0.12897227999999999</v>
      </c>
      <c r="LX69" s="85">
        <f t="shared" si="254"/>
        <v>1.4821681699999998</v>
      </c>
      <c r="LZ69" s="131">
        <v>88.3</v>
      </c>
      <c r="MA69" s="171">
        <v>81.760000000000005</v>
      </c>
      <c r="MB69"/>
      <c r="MC69"/>
      <c r="MD69"/>
      <c r="MF69"/>
      <c r="MG69"/>
      <c r="MH69" s="83">
        <v>140.13</v>
      </c>
      <c r="MI69" s="83">
        <v>42.55</v>
      </c>
      <c r="MJ69" s="83">
        <v>61.1</v>
      </c>
      <c r="MK69"/>
      <c r="ML69" s="83">
        <v>56.49</v>
      </c>
      <c r="MM69" s="83">
        <v>53.77</v>
      </c>
      <c r="MN69" s="83"/>
      <c r="MO69" s="83">
        <v>99.86</v>
      </c>
      <c r="MP69" s="83">
        <v>75.180000000000007</v>
      </c>
      <c r="MQ69" s="83">
        <v>185.56</v>
      </c>
      <c r="MR69"/>
      <c r="MT69" s="83"/>
      <c r="MU69" s="83">
        <v>73.489999999999995</v>
      </c>
      <c r="MV69"/>
      <c r="MW69"/>
      <c r="MX69"/>
      <c r="MY69" s="83">
        <v>142.87</v>
      </c>
      <c r="MZ69" s="83">
        <v>376</v>
      </c>
      <c r="NA69" s="83">
        <v>157.41999999999999</v>
      </c>
      <c r="NB69" s="83">
        <v>560.97</v>
      </c>
      <c r="NC69" s="83">
        <v>57.3</v>
      </c>
      <c r="ND69"/>
      <c r="NE69" s="1">
        <v>408.2</v>
      </c>
    </row>
    <row r="70" spans="1:369">
      <c r="A70" s="38">
        <f t="shared" si="219"/>
        <v>44197</v>
      </c>
      <c r="B70" s="36">
        <v>1</v>
      </c>
      <c r="C70" s="36">
        <f>+C69+1</f>
        <v>2021</v>
      </c>
      <c r="D70" s="36">
        <f t="shared" si="50"/>
        <v>70</v>
      </c>
      <c r="E70" s="38">
        <f t="shared" si="220"/>
        <v>44197</v>
      </c>
      <c r="F70" s="7">
        <v>90.23</v>
      </c>
      <c r="G70" s="7">
        <v>401.5</v>
      </c>
      <c r="H70" s="1">
        <f>[2]NACIONALES!$D58</f>
        <v>40000</v>
      </c>
      <c r="I70" s="7">
        <v>76</v>
      </c>
      <c r="J70" s="7">
        <v>410</v>
      </c>
      <c r="K70" s="7">
        <v>3.3</v>
      </c>
      <c r="L70" s="7">
        <v>23.7</v>
      </c>
      <c r="N70" s="5">
        <v>1.571</v>
      </c>
      <c r="O70" s="5">
        <v>1.391</v>
      </c>
      <c r="P70" s="78">
        <f t="shared" si="294"/>
        <v>126.94909850000001</v>
      </c>
      <c r="Q70" s="6">
        <v>2550</v>
      </c>
      <c r="R70" s="79">
        <f t="shared" si="222"/>
        <v>25500</v>
      </c>
      <c r="S70" s="6">
        <v>213.06</v>
      </c>
      <c r="T70" s="6">
        <v>454.35</v>
      </c>
      <c r="U70" s="143">
        <v>204.215</v>
      </c>
      <c r="V70" s="6">
        <v>334.07499999999999</v>
      </c>
      <c r="W70" s="6">
        <f>(240*0.88)-10</f>
        <v>201.2</v>
      </c>
      <c r="X70" s="6">
        <v>234.31333333333333</v>
      </c>
      <c r="Y70" s="79">
        <f t="shared" si="223"/>
        <v>19224.4038</v>
      </c>
      <c r="Z70" s="79">
        <f t="shared" si="224"/>
        <v>40996.000500000002</v>
      </c>
      <c r="AA70" s="79">
        <f t="shared" si="225"/>
        <v>18426.319450000003</v>
      </c>
      <c r="AB70" s="79">
        <f t="shared" si="226"/>
        <v>30143.58725</v>
      </c>
      <c r="AC70" s="79">
        <f t="shared" si="227"/>
        <v>18154.275999999998</v>
      </c>
      <c r="AD70" s="79">
        <f t="shared" si="228"/>
        <v>21142.092066666668</v>
      </c>
      <c r="AE70" s="79">
        <f t="shared" si="229"/>
        <v>24681.113177777781</v>
      </c>
      <c r="AF70" s="1">
        <v>57721.15</v>
      </c>
      <c r="AG70" s="1">
        <v>24390</v>
      </c>
      <c r="AH70" s="1">
        <v>92690</v>
      </c>
      <c r="AI70" s="5">
        <v>22.5093</v>
      </c>
      <c r="AJ70" s="5">
        <v>22.327999999999999</v>
      </c>
      <c r="AK70" s="5">
        <v>20.951699999999999</v>
      </c>
      <c r="AL70" s="5">
        <v>18.058700000000002</v>
      </c>
      <c r="AM70" s="78">
        <f t="shared" si="230"/>
        <v>21.028928000000001</v>
      </c>
      <c r="AN70" s="7">
        <v>2197.4450549450548</v>
      </c>
      <c r="AO70" s="7">
        <v>1433.9099999999999</v>
      </c>
      <c r="AP70" s="78">
        <f t="shared" si="277"/>
        <v>1433.9099999999999</v>
      </c>
      <c r="AQ70" s="7">
        <v>2356.7231638418079</v>
      </c>
      <c r="AR70" s="7">
        <v>869.42049999999995</v>
      </c>
      <c r="AS70" s="7">
        <v>1060.9708737864078</v>
      </c>
      <c r="AT70" s="7">
        <v>1621.0149999999999</v>
      </c>
      <c r="AU70" s="78">
        <f t="shared" si="53"/>
        <v>1183.8021245954692</v>
      </c>
      <c r="AV70" s="7">
        <v>570.83333333333337</v>
      </c>
      <c r="AW70" s="7">
        <v>1140</v>
      </c>
      <c r="AX70" s="7">
        <v>626.61850000000004</v>
      </c>
      <c r="AY70" s="7">
        <v>375.57225433526014</v>
      </c>
      <c r="AZ70" s="7">
        <v>385.6</v>
      </c>
      <c r="BA70" s="7">
        <v>571.45000000000005</v>
      </c>
      <c r="BB70" s="94">
        <f t="shared" si="45"/>
        <v>510.95386231535002</v>
      </c>
      <c r="BC70" s="68">
        <v>2077</v>
      </c>
      <c r="BD70" s="68">
        <v>1520</v>
      </c>
      <c r="BE70" s="7">
        <v>1600</v>
      </c>
      <c r="BF70" s="7">
        <v>850</v>
      </c>
      <c r="BG70" s="94">
        <f t="shared" si="56"/>
        <v>1511.75</v>
      </c>
      <c r="BH70" s="7">
        <f t="shared" si="306"/>
        <v>127.93</v>
      </c>
      <c r="BI70" s="97">
        <f>+BI69</f>
        <v>61</v>
      </c>
      <c r="BJ70" s="78">
        <f t="shared" si="57"/>
        <v>188.93</v>
      </c>
      <c r="BK70" s="7">
        <v>154.64500000000001</v>
      </c>
      <c r="BL70" s="7">
        <v>196.45</v>
      </c>
      <c r="BM70" s="94">
        <f t="shared" si="58"/>
        <v>175.54750000000001</v>
      </c>
      <c r="BN70" s="5">
        <v>22.74</v>
      </c>
      <c r="BO70" s="84">
        <v>119.5325</v>
      </c>
      <c r="BP70">
        <v>68.7</v>
      </c>
      <c r="BQ70" s="94">
        <f t="shared" si="59"/>
        <v>114.44925000000001</v>
      </c>
      <c r="BR70" s="7">
        <v>100.44</v>
      </c>
      <c r="BS70" s="97">
        <v>300</v>
      </c>
      <c r="BT70" s="7">
        <v>170.77</v>
      </c>
      <c r="BU70" s="79">
        <f t="shared" si="237"/>
        <v>4112.3100000000004</v>
      </c>
      <c r="BV70" s="93">
        <v>225.5</v>
      </c>
      <c r="BW70" s="93">
        <v>225</v>
      </c>
      <c r="BY70" s="92">
        <f>BY$10*(1+((H70/H$10-1)*costos!$B$5+((I70*F70)/(I$10*F$10)-1)*costos!$E$5+((J70*F70)/((J$10*F$10)-1)*costos!$F$5/3+((K70*F70)/(K$10*F$10)-1)*costos!$F$5/3+((U70*F70)/(U$10*F$10)-1)*costos!$F$5/3+((L70*F70)/(L$10*F$10)-1)*costos!$G$5+((N70*F70)/(N$10*F$10)-1)*costos!$J$5+((V70*F70)/(V$10*F$10)-1)*costos!$K$5)))</f>
        <v>731.6117852779812</v>
      </c>
      <c r="BZ70" s="92">
        <f>$BZ$10*(1+((H70/$H$10-1)*costos!$B$6+((I70*F70)/($I$10*$F$10)-1)*costos!$E$6+((J70*F70)/(($J$10*$F$10)-1)*costos!$F$6/3+((K70*F70)/($K$10*$F$10)-1)*costos!$F$6/3+((U70*F70)/($U$10*$F$10)-1)*costos!$F$6/3+((L70*F70)/($L$10*$F$10)-1)*costos!$G$6+((Q70*F70)/($Q$10*$F$10)-1)*costos!$J$6+((V70*F70)/($V$10*$F$10)-1)*costos!$K$6)))</f>
        <v>637.74996019932178</v>
      </c>
      <c r="CA70" s="92">
        <f>CA$10*(1+((H70/H$10-1)*costos!$B$7+((I70*F70)/(I$10*F$10)-1)*costos!$E$7+((J70*F70)/((J$10*F$10)-1)*costos!$F$7/3+((K70*F70)/(K$10*F$10)-1)*costos!$F$7/3+((U70*F70)/(U$10*F$10)-1)*costos!$F$7/3+((L70*F70)/(L$10*F$10)-1)*costos!$G$7+((S70*F70)/(S$10*F$10)-1)*costos!$J$7+((V70*F70)/(V$10*F$10)-1)*costos!$K$7)))</f>
        <v>772.8372441453082</v>
      </c>
      <c r="CB70" s="92">
        <f>CB$10*(1+((H70/H$10-1)*costos!$B$8+((I70*F70)/(I$10*F$10)-1)*costos!$E$8+((J70*F70)/((J$10*F$10)-1)*costos!$F$8/3+((K70*F70)/(K$10*F$10)-1)*costos!$F$8/3+((U70*F70)/(U$10*F$10)-1)*costos!$F$8/3+((L70*F70)/(L$10*F$10)-1)*costos!$G$8+((T70*F70)/(T$10*F$10)-1)*costos!$J$8+((V70*F70)/(V$10*F$10)-1)*costos!$K$8)))</f>
        <v>827.92237435317975</v>
      </c>
      <c r="CC70" s="92">
        <f>CC$10*(1+((H70/H$10-1)*costos!$B$9+((I70*F70)/(I$10*F$10)-1)*costos!$E$9+((J70*F70)/((J$10*F$10)-1)*costos!$F$9/3+((K70*F70)/(K$10*F$10)-1)*costos!$F$9/3+((U70*F70)/(U$10*F$10)-1)*costos!$F$9/3+((L70*F70)/(L$10*F$10)-1)*costos!$G$9+((U70*F70)/(U$10*F$10)-1)*costos!$J$9+((V70*F70)/(V$10*F$10)-1)*costos!$K$9)))</f>
        <v>758.771512982285</v>
      </c>
      <c r="CD70" s="92">
        <f>CD$10*(1+((H70/H$10-1)*costos!$B$11+((I70*F70)/(I$10*F$10)-1)*costos!$E$11+((J70*F70)/((J$10*F$10)-1)*costos!$F$11/3+((K70*F70)/(K$10*F$10)-1)*costos!$F$11/3+((U70*F70)/(U$10*F$10)-1)*costos!$F$11/3+((L70*F70)/(L$10*F$10)-1)*costos!$G$11+((V70*F70)/(V$10*F$10)-1)*costos!$J$11+((V70*F70)/(V$10*F$10)-1)*costos!$K$11)))</f>
        <v>811.32516462725835</v>
      </c>
      <c r="CE70" s="92">
        <f>CE$10*(1+((H70/H$10-1)*costos!$B$12+((I70*F70)/(I$10*F$10)-1)*costos!$E$12+((J70*F70)/((J$10*F$10)-1)*costos!$F$12/3+((K70*F70)/(K$10*F$10)-1)*costos!$F$12/3+((U70*F70)/(U$10*F$10)-1)*costos!$F$12/3+((L70*F70)/(L$10*F$10)-1)*costos!$G$12+((W70*F70)/(W$10*F$10)-1)*costos!$J$12+((V70*F70)/(V$10*F$10)-1)*costos!$K$12)))</f>
        <v>736.1036647976124</v>
      </c>
      <c r="CF70" s="92">
        <f>CF$10*(1+((H70/H$10-1)*costos!$B$13+((I70*F70)/(I$10*F$10)-1)*costos!$E$13+((J70*F70)/((J$10*F$10)-1)*costos!$F$13/3+((K70*F70)/(K$10*F$10)-1)*costos!$F$13/3+((U70*F70)/(U$10*F$10)-1)*costos!$F$13/3+((L70*F70)/(L$10*F$10)-1)*costos!$G$13+((X70*F70)/(X$10*F$10)-1)*costos!$J$13+((V70*F70)/(V$10*F$10)-1)*costos!$K$13)))</f>
        <v>793.45466748413287</v>
      </c>
      <c r="CG70" s="92">
        <f t="shared" si="309"/>
        <v>783.40243806496289</v>
      </c>
      <c r="CH70" s="92">
        <f>CH$10*(1+((H70/H$10-1)*costos!$B$10+((I70*F70)/(I$10*F$10)-1)*costos!$E$10+((J70*F70)/((J$10*F$10)-1)*costos!$F$10/3+((K70*F70)/(K$10*F$10)-1)*costos!$F$10/3+((U70*F70)/(U$10*F$10)-1)*costos!$F$10/3+((L70*F70)/(L$10*F$10)-1)*costos!$G$10+((AF70)/(AF$10)-1)*costos!$J$10+((V70*F70)/(V$10*F$10)-1)*costos!$K$10)))</f>
        <v>789.52896130345005</v>
      </c>
      <c r="CI70" s="92">
        <f>CI$10*(1+((H70/H$10-1)*costos!$B$15+((I70*F70)/(I$10*F$10)-1)*costos!$E$15+((J70*F70)/((J$10*F$10)-1)*costos!$F$15/3+((K70*F70)/(K$10*F$10)-1)*costos!$F$15/3+((U70*F70)/(U$10*F$10)-1)*costos!$F$15/3+((L70*F70)/(L$10*F$10)-1)*costos!$G$15+((AV70)/(AV$10)-1)*costos!$J$15+((V70*F70)/(V$10*F$10)-1)*costos!$K$15)))</f>
        <v>671.39816925499872</v>
      </c>
      <c r="CJ70" s="92">
        <f>CJ$10*(1+((H70/H$10-1)*costos!$B$16+((I70*F70)/(I$10*F$10)-1)*costos!$E$16+((J70*F70)/((J$10*F$10)-1)*costos!$F$16/3+((K70*F70)/(K$10*F$10)-1)*costos!$F$16/3+((U70*F70)/(U$10*F$10)-1)*costos!$F$16/3+((L70*F70)/(L$10*F$10)-1)*costos!$G$16+((AW70)/(AW$10)-1)*costos!$J$16+((V70*F70)/(V$10*F$10)-1)*costos!$K$16)))</f>
        <v>559.56172155129207</v>
      </c>
      <c r="CK70" s="92">
        <f>CK$10*(1+((H70/H$10-1)*costos!$B$17+((I70*F70)/(I$10*F$10)-1)*costos!$E$17+((J70*F70)/((J$10*F$10)-1)*costos!$F$17/3+((K70*F70)/(K$10*F$10)-1)*costos!$F$17/3+((U70*F70)/(U$10*F$10)-1)*costos!$F$17/3+((L70*F70)/(L$10*F$10)-1)*costos!$G$17+((AX70)/(AX$10)-1)*costos!$J$17+((V70*F70)/(V$10*F$10)-1)*costos!$K$17)))</f>
        <v>639.47797654476472</v>
      </c>
      <c r="CL70" s="92">
        <f>CL$10*(1+((H70/H$10-1)*costos!$B$18+((I70*F70)/(I$10*F$10)-1)*costos!$E$18+((J70*F70)/((J$10*F$10)-1)*costos!$F$18/3+((K70*F70)/(K$10*F$10)-1)*costos!$F$18/3+((U70*F70)/(U$10*F$10)-1)*costos!$F$18/3+((L70*F70)/(L$10*F$10)-1)*costos!$G$18+((AY70)/(AY$10)-1)*costos!$J$18+((V70*F70)/(V$10*F$10)-1)*costos!$K$18)))</f>
        <v>581.58507078494119</v>
      </c>
      <c r="CM70" s="92">
        <f>CM$10*(1+((H70/H$10-1)*costos!$B$19+((I70*F70)/(I$10*F$10)-1)*costos!$E$19+((J70*F70)/((J$10*F$10)-1)*costos!$F$19/3+((K70*F70)/(K$10*F$10)-1)*costos!$F$19/3+((U70*F70)/(U$10*F$10)-1)*costos!$F$19/3+((L70*F70)/(L$10*F$10)-1)*costos!$G$19+((AZ70)/(AZ$10)-1)*costos!$J$19+((V70*F70)/(V$10*F$10)-1)*costos!$K$19)))</f>
        <v>502.37896028267261</v>
      </c>
      <c r="CN70" s="92">
        <f>CN$10*(1+((H70/H$10-1)*costos!$B$20+((I70*F70)/(I$10*F$10)-1)*costos!$E$20+((J70*F70)/((J$10*F$10)-1)*costos!$F$20/3+((K70*F70)/(K$10*F$10)-1)*costos!$F$20/3+((U70*F70)/(U$10*F$10)-1)*costos!$F$20/3+((L70*F70)/(L$10*F$10)-1)*costos!$G$20+((BA70)/(BA$10)-1)*costos!$J$20+((V70*F70)/(V$10*F$10)-1)*costos!$K$20)))</f>
        <v>582.21241264584864</v>
      </c>
      <c r="CO70" s="92">
        <f t="shared" si="310"/>
        <v>576.4136050645568</v>
      </c>
      <c r="CP70" s="92">
        <f>CP$10*(1+((H70/H$10-1)*costos!$B$22+((I70*F70)/(I$10*F$10)-1)*costos!$E$22+((J70*F70)/((J$10*F$10)-1)*costos!$F$22/3+((K70*F70)/(K$10*F$10)-1)*costos!$F$22/3+((U70*F70)/(U$10*F$10)-1)*costos!$F$22/3+((L70*F70)/(L$10*F$10)-1)*costos!$G$22+(((AVERAGE(AI70:AL70))/((AVERAGE(AI$10:AL$10))-1)*costos!$J$22+((V70*F70)/(V$10*F$10)-1)*costos!$K$22)))))</f>
        <v>657.10580293406076</v>
      </c>
      <c r="CQ70" s="92">
        <f>CQ$10*(1+((H70/H$10-1)*costos!$B$23+((I70*F70)/(I$10*F$10)-1)*costos!$E$23+((J70*F70)/((J$10*F$10)-1)*costos!$F$23/3+((K70*F70)/(K$10*F$10)-1)*costos!$F$23/3+((U70*F70)/(U$10*F$10)-1)*costos!$F$23/3+((L70*F70)/(L$10*F$10)-1)*costos!$G$23+((AN70)/(AN$10)-1)*costos!$J$23+((V70*F70)/(V$10*F$10)-1)*costos!$K$23)))</f>
        <v>591.9852919132511</v>
      </c>
      <c r="CR70" s="92">
        <f>CR$10*(1+((H70/H$10-1)*costos!$B$24+((I70*F70)/(I$10*F$10)-1)*costos!$E$24+((J70*F70)/((J$10*F$10)-1)*costos!$F$24/3+((K70*F70)/(K$10*F$10)-1)*costos!$F$24/3+((U70*F70)/(U$10*F$10)-1)*costos!$F$24/3+((L70*F70)/(L$10*F$10)-1)*costos!$G$24+((AO70)/(AO$10)-1)*costos!$J$24+((V70*F70)/(V$10*F$10)-1)*costos!$K$24)))</f>
        <v>601.69282934256273</v>
      </c>
      <c r="CS70" s="92">
        <f t="shared" si="62"/>
        <v>596.83906062790697</v>
      </c>
      <c r="CT70" s="92">
        <f>CT$10*(1+((H70/H$10-1)*costos!$B$25+((I70*F70)/(I$10*F$10)-1)*costos!$E$25+((J70*F70)/((J$10*F$10)-1)*costos!$F$25/3+((K70*F70)/(K$10*F$10)-1)*costos!$F$25/3+((U70*F70)/(U$10*F$10)-1)*costos!$F$25/3+((L70*F70)/(L$10*F$10)-1)*costos!$G$25+((AQ70)/(AQ$10)-1)*costos!$J$25+((V70*F70)/(V$10*F$10)-1)*costos!$K$25)))</f>
        <v>656.05972629802648</v>
      </c>
      <c r="CU70" s="92">
        <f>CU$10*(1+((H70/H$10-1)*costos!$B$26+((I70*F70)/(I$10*F$10)-1)*costos!$E$26+((J70*F70)/((J$10*F$10)-1)*costos!$F$26/3+((K70*F70)/(K$10*F$10)-1)*costos!$F$26/3+((U70*F70)/(U$10*F$10)-1)*costos!$F$26/3+((L70*F70)/(L$10*F$10)-1)*costos!$G$26+((AR70)/(AR$10)-1)*costos!$J$26+((V70*F70)/(V$10*F$10)-1)*costos!$K$26)))</f>
        <v>580.93921353871031</v>
      </c>
      <c r="CV70" s="92">
        <f>CV$10*(1+((H70/H$10-1)*costos!$B$27+((I70*F70)/(I$10*F$10)-1)*costos!$E$27+((J70*F70)/((J$10*F$10)-1)*costos!$F$27/3+((K70*F70)/(K$10*F$10)-1)*costos!$F$27/3+((U70*F70)/(U$10*F$10)-1)*costos!$F$27/3+((L70*F70)/(L$10*F$10)-1)*costos!$G$27+((AS70)/(AS$10)-1)*costos!$J$27+((V70*F70)/(V$10*F$10)-1)*costos!$K$27)))</f>
        <v>592.73545972591785</v>
      </c>
      <c r="CW70" s="92">
        <f>CW$10*(1+((H70/H$10-1)*costos!$B$28+((I70*F70)/(I$10*F$10)-1)*costos!$E$28+((J70*F70)/((J$10*F$10)-1)*costos!$F$28/3+((K70*F70)/(K$10*F$10)-1)*costos!$F$28/3+((U70*F70)/(U$10*F$10)-1)*costos!$F$28/3+((L70*F70)/(L$10*F$10)-1)*costos!$G$28+((AS70)/(AS$10)-1)*costos!$J$28+((V70*F70)/(V$10*F$10)-1)*costos!$K$28)))</f>
        <v>592.73545972591785</v>
      </c>
      <c r="CX70" s="92">
        <f t="shared" si="311"/>
        <v>588.80337766351533</v>
      </c>
      <c r="CY70" s="92">
        <f>CY$10*(1+((H70/H$10-1)*costos!$B$32+((I70*F70)/(I$10*F$10)-1)*costos!$E$32+((J70*F70)/((J$10*F$10)-1)*costos!$F$32/3+((K70*F70)/(K$10*F$10)-1)*costos!$F$32/3+((U70*F70)/(U$10*F$10)-1)*costos!$F$32/3+((L70*F70)/(L$10*F$10)-1)*costos!$G$32+((AG70)/(AG$10)-1)*costos!$J$32+((V70*F70)/(V$10*F$10)-1)*costos!$K$32)))</f>
        <v>545.24204839324489</v>
      </c>
      <c r="CZ70" s="69">
        <f>CZ$10*(1+((H70/H$10-1)*costos!$B$31+((I70*F70)/(I$10*F$10)-1)*costos!$E$30+((J70*F70)/((J$10*F$10)-1)*costos!$F$30/3+((K70*F70)/(K$10*F$10)-1)*costos!$F$30/3+((U70*F70)/(U$10*F$10)-1)*costos!$F$30/3+((L70*F70)/(L$10*F$10)-1)*costos!$G$30+((BG70)/(BG$10)-1)*costos!$J$30+((V70*F70)/(V$10*F$10)-1)*costos!$K$30)))</f>
        <v>661.85905605804351</v>
      </c>
      <c r="DA70" s="69">
        <f>DA$10*(1+((H70/H$10-1)*costos!$B$31+((I70*F70)/(I$10*F$10)-1)*costos!$E$31+((J70*F70)/((J$10*F$10)-1)*costos!$F$31/3+((K70*F70)/(K$10*F$10)-1)*costos!$F$31/3+((U70*F70)/(U$10*F$10)-1)*costos!$F$31/3+((L70*F70)/(L$10*F$10)-1)*costos!$G$31+((BJ70)/(BJ$10)-1)*costos!$J$31+((V70*F70)/(V$10*F$10)-1)*costos!$K$31)))</f>
        <v>557.31003982612606</v>
      </c>
      <c r="DB70" s="69">
        <f>DB$10*(1+((H70/H$10-1)*costos!$B$36+((I70*F70)/(I$10*F$10)-1)*costos!$E$36+((J70*F70)/((J$10*F$10)-1)*costos!$F$36/3+((K70*F70)/(K$10*F$10)-1)*costos!$F$36/3+((U70*F70)/(U$10*F$10)-1)*costos!$F$36/3+((L70*F70)/(L$10*F$10)-1)*costos!$G$36+((BK70)/(BK$10)-1)*costos!$J$36+((V70*F70)/(V$10*F$10)-1)*costos!$K$36)))</f>
        <v>605.91831573915215</v>
      </c>
      <c r="DC70" s="69">
        <f>DC$10*(1+((H70/H$10-1)*costos!$B$37+((I70*F70)/(I$10*F$10)-1)*costos!$E$37+((U70*F70)/(U$10*F$10)-1)*costos!$F$37+((L70*F70)/(L$10*F$10)-1)*costos!$G$37+((BN70)/(BN$10)-1)*costos!$J$37+((V70*F70)/(V$10*F$10)-1)*costos!$K$37))</f>
        <v>788.54339274446772</v>
      </c>
      <c r="DD70" s="69">
        <f>DD$10*(1+((H70/H$10-1)*costos!$B$39+((I70*F70)/(I$10*F$10)-1)*costos!$E$39+((U70*F70)/(U$10*F$10)-1)*costos!$F$39+((L70*F70)/(L$10*F$10)-1)*costos!$G$39+((BR70)/(BR$10)-1)*costos!$J$39+((V70*F70)/(V$10*F$10)-1)*costos!$K$39))</f>
        <v>785.55494011700307</v>
      </c>
      <c r="DE70" s="69">
        <f>DD$10*(1+((H70/H$10-1)*costos!$B$35+((I70*F70)/(I$10*F$10)-1)*costos!$E$35+((U70*F70)/(U$10*F$10)-1)*costos!$F$35+((L70*F70)/(L$10*F$10)-1)*costos!$G$35+((BR70)/(BR$10)-1)*costos!$J$35+((V70*F70)/(V$10*F$10)-1)*costos!$K$35))</f>
        <v>729.53545591925126</v>
      </c>
      <c r="DF70" s="69">
        <f>DF$10*(1+((H70/H$10-1)*costos!$B$40+((I70*F70)/(I$10*F$10)-1)*costos!$E$40+((U70*F70)/(U$10*F$10)-1)*costos!$F$40+((L70*F70)/(L$10*F$10)-1)*costos!$G$40+((BP70)/(BP$10)-1)*costos!$J$40+((V70*F70)/(V$10*F$10)-1)*costos!$K$40))</f>
        <v>828.40783702700128</v>
      </c>
      <c r="DG70" s="92">
        <f t="shared" si="312"/>
        <v>778.97164647312627</v>
      </c>
      <c r="DH70" s="69">
        <f>DH$10*(1+((H70/H$10-1)*costos!$B$34+((I70*F70)/(I$10*F$10)-1)*costos!$E$34+((J70*F70)/((J$10*F$10)-1)*costos!$F$34/3+((K70*F70)/(K$10*F$10)-1)*costos!$F$34/3+((U70*F70)/(U$10*F$10)-1)*costos!$F$34/3+((L70*F70)/(L$10*F$10)-1)*costos!$G$34+((BV70)/(BV$10)-1)*costos!$J$34+((V70*F70)/(V$10*F$10)-1)*costos!$K$34)))</f>
        <v>620.09105369363249</v>
      </c>
      <c r="DI70" s="69">
        <f>DI$10*(1+((H70/H$10-1)*costos!$B$38+((I70*F70)/(I$10*F$10)-1)*costos!$E$38+((J70*F70)/((J$10*F$10)-1)*costos!$F$38/3+((K70*F70)/(K$10*F$10)-1)*costos!$F$38/3+((U70*F70)/(U$10*F$10)-1)*costos!$F$38/3+((L70*F70)/(L$10*F$10)-1)*costos!$G$38+((BU70)/(BU$10)-1)*costos!$J$38+((V70*F70)/(V$10*F$10)-1)*costos!$K$38)))</f>
        <v>546.56262738520888</v>
      </c>
      <c r="DK70" s="1">
        <v>410000</v>
      </c>
      <c r="DL70" s="1" t="s">
        <v>377</v>
      </c>
      <c r="DM70" s="1">
        <v>195000</v>
      </c>
      <c r="DN70" s="1" t="s">
        <v>377</v>
      </c>
      <c r="DO70" s="1">
        <v>1250000</v>
      </c>
      <c r="DP70" s="1" t="s">
        <v>377</v>
      </c>
      <c r="DQ70" s="1">
        <v>1400000</v>
      </c>
      <c r="DR70" s="1" t="s">
        <v>377</v>
      </c>
      <c r="DS70" s="1">
        <v>6300000</v>
      </c>
      <c r="DT70" s="1" t="s">
        <v>377</v>
      </c>
      <c r="DU70" s="1">
        <v>16900000</v>
      </c>
      <c r="DV70" s="1" t="s">
        <v>377</v>
      </c>
      <c r="DW70" s="1">
        <v>800000</v>
      </c>
      <c r="DX70" s="1" t="s">
        <v>377</v>
      </c>
      <c r="DY70" s="1">
        <v>6730000</v>
      </c>
      <c r="DZ70" s="1" t="s">
        <v>377</v>
      </c>
      <c r="EA70" s="79">
        <f t="shared" si="67"/>
        <v>33380000</v>
      </c>
      <c r="EB70" s="1">
        <v>390000</v>
      </c>
      <c r="EC70" s="1" t="s">
        <v>377</v>
      </c>
      <c r="ED70" s="1">
        <v>191392</v>
      </c>
      <c r="EE70" s="143">
        <v>2021</v>
      </c>
      <c r="EF70" s="1">
        <v>211099</v>
      </c>
      <c r="EG70" s="6">
        <v>2021</v>
      </c>
      <c r="EH70" s="1">
        <v>53517534</v>
      </c>
      <c r="EI70" s="6">
        <v>2021</v>
      </c>
      <c r="EJ70" s="1">
        <v>5377072</v>
      </c>
      <c r="EK70" s="6">
        <f>+EK69</f>
        <v>2020</v>
      </c>
      <c r="EL70" s="1">
        <v>14571766</v>
      </c>
      <c r="EM70" s="6">
        <v>2020</v>
      </c>
      <c r="EN70" s="1">
        <v>3132657</v>
      </c>
      <c r="EO70" s="6">
        <v>2020</v>
      </c>
      <c r="EP70" s="82">
        <f>+EP69</f>
        <v>6552</v>
      </c>
      <c r="EQ70" s="83">
        <v>3366686</v>
      </c>
      <c r="ER70" s="1">
        <f>39000+28000+1370/0.15</f>
        <v>76133.333333333328</v>
      </c>
      <c r="ES70" s="1"/>
      <c r="ET70" s="83">
        <v>16000</v>
      </c>
      <c r="EU70" s="83">
        <v>19131</v>
      </c>
      <c r="EV70" s="83">
        <v>9000</v>
      </c>
      <c r="EW70" s="83">
        <v>17492</v>
      </c>
      <c r="EX70" s="79">
        <f t="shared" si="72"/>
        <v>61623</v>
      </c>
      <c r="EY70" s="83">
        <v>19904</v>
      </c>
      <c r="EZ70" s="82">
        <v>80798</v>
      </c>
      <c r="FA70" s="83">
        <v>20331</v>
      </c>
      <c r="FB70" s="83">
        <v>17550</v>
      </c>
      <c r="FC70" s="79">
        <f t="shared" si="307"/>
        <v>37881</v>
      </c>
      <c r="FD70" s="83">
        <v>59807.5</v>
      </c>
      <c r="FE70" s="1"/>
      <c r="FF70" s="1">
        <v>1100000</v>
      </c>
      <c r="FG70" s="1" t="s">
        <v>323</v>
      </c>
      <c r="FH70" s="1">
        <v>1200000</v>
      </c>
      <c r="FI70" s="1" t="s">
        <v>323</v>
      </c>
      <c r="FJ70" s="1">
        <v>4500000</v>
      </c>
      <c r="FK70" s="1" t="s">
        <v>377</v>
      </c>
      <c r="FL70" s="1">
        <v>3300000</v>
      </c>
      <c r="FM70" s="1" t="s">
        <v>323</v>
      </c>
      <c r="FN70" s="1">
        <v>46000000</v>
      </c>
      <c r="FO70" s="1" t="s">
        <v>377</v>
      </c>
      <c r="FP70" s="1">
        <v>49000000</v>
      </c>
      <c r="FQ70" s="1" t="s">
        <v>323</v>
      </c>
      <c r="FR70" s="1">
        <v>1850000</v>
      </c>
      <c r="FS70" s="1" t="s">
        <v>323</v>
      </c>
      <c r="FT70" s="1">
        <v>17645000</v>
      </c>
      <c r="FU70" s="1" t="s">
        <v>377</v>
      </c>
      <c r="FV70" s="79">
        <f t="shared" si="76"/>
        <v>122295000</v>
      </c>
      <c r="FW70" s="1">
        <v>1394794</v>
      </c>
      <c r="FX70" s="1" t="s">
        <v>323</v>
      </c>
      <c r="FY70" s="1">
        <v>13346</v>
      </c>
      <c r="FZ70" s="79">
        <f t="shared" si="135"/>
        <v>802661.84</v>
      </c>
      <c r="GA70" s="86" t="str">
        <f t="shared" si="271"/>
        <v>feb20 ene21</v>
      </c>
      <c r="GB70" s="83">
        <v>22248266</v>
      </c>
      <c r="GC70" s="6">
        <v>2021</v>
      </c>
      <c r="GD70" s="83">
        <v>2015989</v>
      </c>
      <c r="GE70" s="83">
        <v>421371</v>
      </c>
      <c r="GF70" s="83">
        <v>1038163</v>
      </c>
      <c r="GG70" s="83">
        <v>89478</v>
      </c>
      <c r="GH70" s="79">
        <f t="shared" si="240"/>
        <v>1549012</v>
      </c>
      <c r="GI70" s="82">
        <f t="shared" si="232"/>
        <v>1302556</v>
      </c>
      <c r="GJ70" s="83">
        <v>600000</v>
      </c>
      <c r="GK70" s="83">
        <v>1362000</v>
      </c>
      <c r="GL70" s="83">
        <v>300000</v>
      </c>
      <c r="GM70" s="83">
        <v>261011.3</v>
      </c>
      <c r="GN70" s="79">
        <f t="shared" si="81"/>
        <v>2523011.2999999998</v>
      </c>
      <c r="GO70" s="83">
        <v>199477</v>
      </c>
      <c r="GP70" s="83">
        <v>72919</v>
      </c>
      <c r="GQ70" s="1">
        <v>165258</v>
      </c>
      <c r="GR70" s="83">
        <v>44610</v>
      </c>
      <c r="GS70" s="79">
        <f t="shared" si="192"/>
        <v>49567.74</v>
      </c>
      <c r="GT70" s="83">
        <v>2871705.88</v>
      </c>
      <c r="GU70" s="1">
        <v>28162</v>
      </c>
      <c r="GV70" s="1">
        <v>19891</v>
      </c>
      <c r="GW70" s="79">
        <f t="shared" si="261"/>
        <v>1200206</v>
      </c>
      <c r="GX70" s="1">
        <v>37480.696000000004</v>
      </c>
      <c r="GY70" s="1" t="s">
        <v>385</v>
      </c>
      <c r="GZ70" s="1">
        <v>97886.411999999997</v>
      </c>
      <c r="HA70" s="1">
        <v>224897</v>
      </c>
      <c r="HB70" s="79">
        <f t="shared" si="241"/>
        <v>3104225</v>
      </c>
      <c r="HC70" s="86" t="str">
        <f t="shared" si="272"/>
        <v>feb20 ene21</v>
      </c>
      <c r="HD70" s="1">
        <v>50617</v>
      </c>
      <c r="HE70" s="79">
        <f t="shared" si="139"/>
        <v>655177</v>
      </c>
      <c r="HF70" s="86" t="str">
        <f t="shared" si="273"/>
        <v>feb20 ene21</v>
      </c>
      <c r="HG70" s="1">
        <f>320000-HG71</f>
        <v>166000</v>
      </c>
      <c r="HH70" s="79">
        <f t="shared" si="242"/>
        <v>2192000</v>
      </c>
      <c r="HI70" s="86" t="str">
        <f t="shared" si="274"/>
        <v>feb20 ene21</v>
      </c>
      <c r="HJ70" s="1">
        <v>94675</v>
      </c>
      <c r="HK70" s="79">
        <f t="shared" si="278"/>
        <v>56226.720000000001</v>
      </c>
      <c r="HL70" s="86" t="str">
        <f t="shared" si="275"/>
        <v>feb20 ene21</v>
      </c>
      <c r="HM70" s="79">
        <f t="shared" si="86"/>
        <v>2248226.7200000002</v>
      </c>
      <c r="HN70" s="87">
        <f t="shared" si="297"/>
        <v>7.677188114232858E-2</v>
      </c>
      <c r="HO70" s="1">
        <v>931300000</v>
      </c>
      <c r="HP70" s="79">
        <f t="shared" si="153"/>
        <v>11179.7</v>
      </c>
      <c r="HQ70" s="86" t="str">
        <f t="shared" si="276"/>
        <v>feb20 ene21</v>
      </c>
      <c r="HR70" s="1"/>
      <c r="HS70" s="1"/>
      <c r="HT70" s="1"/>
      <c r="HU70" s="1">
        <v>650000</v>
      </c>
      <c r="HV70" s="1" t="s">
        <v>323</v>
      </c>
      <c r="HW70" s="1">
        <v>1510000</v>
      </c>
      <c r="HX70" s="1" t="s">
        <v>389</v>
      </c>
      <c r="HY70" s="1">
        <v>3190000</v>
      </c>
      <c r="HZ70" s="1" t="s">
        <v>377</v>
      </c>
      <c r="IA70" s="1">
        <f t="shared" si="305"/>
        <v>21140000</v>
      </c>
      <c r="IB70" s="1" t="s">
        <v>323</v>
      </c>
      <c r="IC70" s="1">
        <v>41400000</v>
      </c>
      <c r="ID70" s="1" t="s">
        <v>323</v>
      </c>
      <c r="IE70" s="1">
        <v>1000000</v>
      </c>
      <c r="IF70" s="1" t="s">
        <v>323</v>
      </c>
      <c r="IG70" s="1">
        <f>(6.3+0.9)*1000000</f>
        <v>7200000</v>
      </c>
      <c r="IH70" s="1" t="s">
        <v>389</v>
      </c>
      <c r="II70" s="79">
        <f t="shared" si="87"/>
        <v>75440000</v>
      </c>
      <c r="IJ70" s="97">
        <f t="shared" si="308"/>
        <v>1.9040737312717446</v>
      </c>
      <c r="IK70" s="1" t="s">
        <v>323</v>
      </c>
      <c r="IL70" s="97">
        <v>39.9</v>
      </c>
      <c r="IM70" s="7">
        <v>40.82</v>
      </c>
      <c r="IN70" s="7">
        <v>188.6</v>
      </c>
      <c r="IO70" s="7">
        <v>14.41</v>
      </c>
      <c r="IP70" s="176">
        <f>282989915/IP$2</f>
        <v>6.0901675410995511</v>
      </c>
      <c r="IQ70" s="7">
        <v>18.2</v>
      </c>
      <c r="IR70" s="98">
        <v>5.93</v>
      </c>
      <c r="IS70" s="98">
        <v>5.67</v>
      </c>
      <c r="IT70" s="98">
        <v>13.17</v>
      </c>
      <c r="IU70" s="98">
        <v>1.55</v>
      </c>
      <c r="IV70" s="94">
        <f t="shared" si="89"/>
        <v>20.39</v>
      </c>
      <c r="IW70" s="1"/>
      <c r="IX70" s="1"/>
      <c r="IY70" s="105">
        <v>1.86</v>
      </c>
      <c r="IZ70" s="161">
        <v>0.3</v>
      </c>
      <c r="JA70" s="83">
        <v>2812</v>
      </c>
      <c r="JB70" s="7">
        <v>44.08</v>
      </c>
      <c r="JC70" s="1"/>
      <c r="JD70" s="1"/>
      <c r="JE70" s="7"/>
      <c r="JF70" s="2">
        <v>4.4444976800000022</v>
      </c>
      <c r="JG70" s="2">
        <v>12.888986790000001</v>
      </c>
      <c r="JH70" s="2">
        <v>109.99933886000001</v>
      </c>
      <c r="JI70" s="2">
        <v>53.758054790000003</v>
      </c>
      <c r="JJ70" s="2">
        <v>478.07631371000008</v>
      </c>
      <c r="JK70" s="2">
        <v>86.914604609999998</v>
      </c>
      <c r="JL70" s="2">
        <v>2267.7138709999999</v>
      </c>
      <c r="JM70" s="2">
        <v>1.0241973</v>
      </c>
      <c r="JN70" s="2">
        <v>569.06285874999992</v>
      </c>
      <c r="JO70" s="2">
        <v>20.357452959999996</v>
      </c>
      <c r="JP70" s="2">
        <v>0</v>
      </c>
      <c r="JQ70" s="2">
        <v>0.64360976999999997</v>
      </c>
      <c r="JR70" s="2">
        <v>1.11376454</v>
      </c>
      <c r="JS70" s="2">
        <v>0</v>
      </c>
      <c r="JT70" s="2">
        <v>0.85850099999999996</v>
      </c>
      <c r="JU70" s="2">
        <v>64.62965508000002</v>
      </c>
      <c r="JV70" s="2">
        <v>4.8666657500000001</v>
      </c>
      <c r="JW70" s="2">
        <v>12.366792269999998</v>
      </c>
      <c r="JX70" s="2">
        <v>8.2663877899999996</v>
      </c>
      <c r="JY70" s="2">
        <v>0</v>
      </c>
      <c r="JZ70" s="2">
        <v>1.1064788100000003</v>
      </c>
      <c r="KA70" s="2">
        <v>8.7499999999999994E-2</v>
      </c>
      <c r="KB70" s="2">
        <v>25.058323600000001</v>
      </c>
      <c r="KC70" s="2">
        <v>13.882031089999998</v>
      </c>
      <c r="KD70" s="2">
        <v>4.7207457799999997</v>
      </c>
      <c r="KE70" s="2">
        <v>12.083271440000001</v>
      </c>
      <c r="KF70" s="2">
        <v>36.65627082999999</v>
      </c>
      <c r="KG70" s="2">
        <v>288.33975021999993</v>
      </c>
      <c r="KH70" s="2">
        <v>157.42332673000001</v>
      </c>
      <c r="KI70" s="2">
        <v>18.839075780000002</v>
      </c>
      <c r="KJ70" s="2">
        <v>6.7393640899999987</v>
      </c>
      <c r="KK70" s="2">
        <v>5.8795776399999999</v>
      </c>
      <c r="KL70" s="2">
        <v>0.20815128999999999</v>
      </c>
      <c r="KM70" s="2">
        <v>3.1464762399999997</v>
      </c>
      <c r="KN70" s="2">
        <v>3.2449840000000001E-2</v>
      </c>
      <c r="KO70" s="2">
        <v>0.26687994999999998</v>
      </c>
      <c r="KP70" s="2">
        <v>0</v>
      </c>
      <c r="KQ70" s="2">
        <v>31.423224390000005</v>
      </c>
      <c r="KR70" s="2">
        <v>0</v>
      </c>
      <c r="KS70" s="2">
        <v>3.1178199999999999E-3</v>
      </c>
      <c r="KT70" s="2">
        <v>0.69878229999999997</v>
      </c>
      <c r="KU70" s="2">
        <v>0.53379935000000001</v>
      </c>
      <c r="KV70" s="2">
        <v>1.081143E-2</v>
      </c>
      <c r="KW70" s="2">
        <v>1.4455942500000001</v>
      </c>
      <c r="KX70" s="2">
        <v>0</v>
      </c>
      <c r="KY70" s="2">
        <v>0</v>
      </c>
      <c r="KZ70" s="2">
        <v>0.53333410999999997</v>
      </c>
      <c r="LA70" s="2">
        <v>0.78198513000000003</v>
      </c>
      <c r="LB70" s="2">
        <v>0</v>
      </c>
      <c r="LC70" s="2">
        <v>0.50501131999999993</v>
      </c>
      <c r="LD70" s="2">
        <v>0</v>
      </c>
      <c r="LE70" s="2">
        <v>1.6485917999999999</v>
      </c>
      <c r="LF70" s="2">
        <v>0.23501552000000001</v>
      </c>
      <c r="LG70" s="2">
        <v>14.843761429999999</v>
      </c>
      <c r="LH70" s="2">
        <v>3.9505363400000002</v>
      </c>
      <c r="LI70" s="2">
        <v>2.1178164000000002</v>
      </c>
      <c r="LJ70" s="2">
        <v>1.19999E-3</v>
      </c>
      <c r="LK70" s="2">
        <v>3.5959555700000001</v>
      </c>
      <c r="LL70" s="2">
        <v>5.66306273</v>
      </c>
      <c r="LM70" s="2">
        <v>0.63756142000000005</v>
      </c>
      <c r="LN70" s="2">
        <v>0.52902473000000005</v>
      </c>
      <c r="LO70" s="2">
        <v>9.0364930799999996</v>
      </c>
      <c r="LQ70" s="85">
        <f t="shared" si="247"/>
        <v>3479.6346344100002</v>
      </c>
      <c r="LR70" s="85">
        <f t="shared" si="248"/>
        <v>2.6158753099999998</v>
      </c>
      <c r="LS70" s="85">
        <f t="shared" si="249"/>
        <v>17.233458019999997</v>
      </c>
      <c r="LT70" s="85">
        <f t="shared" si="250"/>
        <v>1.1939788100000002</v>
      </c>
      <c r="LU70" s="85">
        <f t="shared" si="251"/>
        <v>34.872148240000001</v>
      </c>
      <c r="LV70" s="85">
        <f t="shared" si="252"/>
        <v>1.45640568</v>
      </c>
      <c r="LW70" s="85">
        <f t="shared" si="253"/>
        <v>0.78198513000000003</v>
      </c>
      <c r="LX70" s="85">
        <f t="shared" si="254"/>
        <v>1.8836073199999999</v>
      </c>
      <c r="LZ70" s="131">
        <v>88.93</v>
      </c>
      <c r="MA70" s="171">
        <v>81.53</v>
      </c>
      <c r="MB70"/>
      <c r="MC70"/>
      <c r="MD70"/>
      <c r="MF70"/>
      <c r="MG70"/>
      <c r="MH70" s="83">
        <v>145.61000000000001</v>
      </c>
      <c r="MI70" s="83">
        <v>43.62</v>
      </c>
      <c r="MJ70" s="83">
        <v>59.7</v>
      </c>
      <c r="MK70"/>
      <c r="ML70" s="83">
        <v>62.6</v>
      </c>
      <c r="MM70" s="83">
        <v>51.75</v>
      </c>
      <c r="MN70" s="83"/>
      <c r="MO70" s="83">
        <v>77.599999999999994</v>
      </c>
      <c r="MP70" s="83">
        <v>79.48</v>
      </c>
      <c r="MQ70" s="83">
        <v>201.39</v>
      </c>
      <c r="MR70"/>
      <c r="MT70" s="83"/>
      <c r="MU70" s="83">
        <v>90.47</v>
      </c>
      <c r="MV70"/>
      <c r="MW70"/>
      <c r="MX70"/>
      <c r="MY70" s="83">
        <v>146.79</v>
      </c>
      <c r="MZ70" s="83">
        <v>395</v>
      </c>
      <c r="NA70" s="83">
        <v>163.47999999999999</v>
      </c>
      <c r="NB70" s="83">
        <v>604.07000000000005</v>
      </c>
      <c r="NC70" s="83">
        <v>58</v>
      </c>
      <c r="ND70"/>
      <c r="NE70" s="1">
        <v>413.35</v>
      </c>
    </row>
    <row r="71" spans="1:369">
      <c r="A71" s="38">
        <f t="shared" si="219"/>
        <v>44228</v>
      </c>
      <c r="B71" s="36">
        <f t="shared" ref="B71:B81" si="313">+B70+1</f>
        <v>2</v>
      </c>
      <c r="C71" s="36">
        <f t="shared" ref="C71:C81" si="314">+C70</f>
        <v>2021</v>
      </c>
      <c r="D71" s="36">
        <f t="shared" si="50"/>
        <v>71</v>
      </c>
      <c r="E71" s="38">
        <f t="shared" si="220"/>
        <v>44228</v>
      </c>
      <c r="F71" s="7">
        <v>93.52</v>
      </c>
      <c r="G71" s="7">
        <v>415.85950000000003</v>
      </c>
      <c r="H71" s="1">
        <f>[2]NACIONALES!$D59</f>
        <v>40000</v>
      </c>
      <c r="I71" s="7">
        <v>81</v>
      </c>
      <c r="J71" s="7">
        <v>510</v>
      </c>
      <c r="K71" s="7">
        <v>3.3</v>
      </c>
      <c r="L71" s="7">
        <v>23</v>
      </c>
      <c r="N71" s="5">
        <v>1.6850000000000001</v>
      </c>
      <c r="O71" s="5">
        <v>1.53</v>
      </c>
      <c r="P71" s="78">
        <f t="shared" si="294"/>
        <v>142.81672999999998</v>
      </c>
      <c r="Q71" s="6">
        <v>2550</v>
      </c>
      <c r="R71" s="79">
        <f t="shared" si="222"/>
        <v>25500</v>
      </c>
      <c r="S71" s="6">
        <v>222.42</v>
      </c>
      <c r="T71" s="6">
        <v>455</v>
      </c>
      <c r="U71" s="143">
        <v>204.43333333333331</v>
      </c>
      <c r="V71" s="6">
        <v>325.34444444444438</v>
      </c>
      <c r="W71" s="6">
        <f>(246*0.88)-10</f>
        <v>206.48</v>
      </c>
      <c r="X71" s="6">
        <v>201.125</v>
      </c>
      <c r="Y71" s="79">
        <f t="shared" si="223"/>
        <v>20800.718399999998</v>
      </c>
      <c r="Z71" s="79">
        <f t="shared" si="224"/>
        <v>42551.6</v>
      </c>
      <c r="AA71" s="79">
        <f t="shared" si="225"/>
        <v>19118.605333333329</v>
      </c>
      <c r="AB71" s="79">
        <f t="shared" si="226"/>
        <v>30426.212444444438</v>
      </c>
      <c r="AC71" s="79">
        <f t="shared" si="227"/>
        <v>19310.009599999998</v>
      </c>
      <c r="AD71" s="79">
        <f t="shared" si="228"/>
        <v>18809.21</v>
      </c>
      <c r="AE71" s="79">
        <f t="shared" si="229"/>
        <v>25169.392629629627</v>
      </c>
      <c r="AF71" s="1">
        <v>60369.75294117647</v>
      </c>
      <c r="AG71" s="1">
        <v>24390</v>
      </c>
      <c r="AH71" s="1">
        <v>92690</v>
      </c>
      <c r="AI71" s="5">
        <v>23.159600000000001</v>
      </c>
      <c r="AJ71" s="5">
        <v>20.510300000000001</v>
      </c>
      <c r="AK71" s="5">
        <v>22.546299999999999</v>
      </c>
      <c r="AL71" s="5">
        <v>17.3553</v>
      </c>
      <c r="AM71" s="78">
        <f t="shared" si="230"/>
        <v>21.501138000000005</v>
      </c>
      <c r="AN71" s="7">
        <v>2366.0693641618495</v>
      </c>
      <c r="AO71" s="7">
        <v>1336.1526315789472</v>
      </c>
      <c r="AP71" s="78">
        <f t="shared" si="277"/>
        <v>1336.1526315789472</v>
      </c>
      <c r="AQ71" s="7">
        <v>1681.6091954022988</v>
      </c>
      <c r="AR71" s="7">
        <v>1506.25</v>
      </c>
      <c r="AS71" s="7">
        <v>1364.8526315789475</v>
      </c>
      <c r="AT71" s="7">
        <v>1905</v>
      </c>
      <c r="AU71" s="78">
        <f t="shared" si="53"/>
        <v>1592.034210526316</v>
      </c>
      <c r="AV71" s="7">
        <v>492.98275862068965</v>
      </c>
      <c r="AW71" s="7">
        <v>1090.6842105263158</v>
      </c>
      <c r="AX71" s="7">
        <v>648.50210526315789</v>
      </c>
      <c r="AY71" s="7">
        <v>631.57352941176475</v>
      </c>
      <c r="AZ71" s="7">
        <v>408.30631578947367</v>
      </c>
      <c r="BA71" s="7">
        <v>382.05263157894734</v>
      </c>
      <c r="BB71" s="94">
        <f t="shared" si="45"/>
        <v>546.49419676642583</v>
      </c>
      <c r="BC71" s="68">
        <v>2261</v>
      </c>
      <c r="BD71" s="68">
        <v>1520</v>
      </c>
      <c r="BE71" s="7">
        <v>1600</v>
      </c>
      <c r="BF71" s="7">
        <v>850</v>
      </c>
      <c r="BG71" s="94">
        <f t="shared" si="56"/>
        <v>1557.75</v>
      </c>
      <c r="BH71" s="7">
        <f t="shared" si="306"/>
        <v>127.93</v>
      </c>
      <c r="BI71" s="97">
        <f>+BI70</f>
        <v>61</v>
      </c>
      <c r="BJ71" s="78">
        <f t="shared" si="57"/>
        <v>188.93</v>
      </c>
      <c r="BK71" s="7">
        <v>164.554</v>
      </c>
      <c r="BL71" s="7">
        <v>207.68</v>
      </c>
      <c r="BM71" s="94">
        <f t="shared" si="58"/>
        <v>186.11700000000002</v>
      </c>
      <c r="BN71" s="5">
        <v>24.2</v>
      </c>
      <c r="BO71" s="84">
        <v>121.19166666666666</v>
      </c>
      <c r="BP71">
        <v>66.39</v>
      </c>
      <c r="BQ71" s="94">
        <f t="shared" si="59"/>
        <v>115.7115</v>
      </c>
      <c r="BR71" s="7">
        <v>120.07</v>
      </c>
      <c r="BS71" s="97">
        <v>310</v>
      </c>
      <c r="BT71" s="7">
        <f>+F71*1.65</f>
        <v>154.30799999999999</v>
      </c>
      <c r="BU71" s="79">
        <f t="shared" si="237"/>
        <v>4182.924</v>
      </c>
      <c r="BV71" s="93">
        <v>259.8</v>
      </c>
      <c r="BW71" s="93">
        <v>250</v>
      </c>
      <c r="BY71" s="92">
        <f>BY$10*(1+((H71/H$10-1)*costos!$B$5+((I71*F71)/(I$10*F$10)-1)*costos!$E$5+((J71*F71)/((J$10*F$10)-1)*costos!$F$5/3+((K71*F71)/(K$10*F$10)-1)*costos!$F$5/3+((U71*F71)/(U$10*F$10)-1)*costos!$F$5/3+((L71*F71)/(L$10*F$10)-1)*costos!$G$5+((N71*F71)/(N$10*F$10)-1)*costos!$J$5+((V71*F71)/(V$10*F$10)-1)*costos!$K$5)))</f>
        <v>787.65953368594455</v>
      </c>
      <c r="BZ71" s="92">
        <f>$BZ$10*(1+((H71/$H$10-1)*costos!$B$6+((I71*F71)/($I$10*$F$10)-1)*costos!$E$6+((J71*F71)/(($J$10*$F$10)-1)*costos!$F$6/3+((K71*F71)/($K$10*$F$10)-1)*costos!$F$6/3+((U71*F71)/($U$10*$F$10)-1)*costos!$F$6/3+((L71*F71)/($L$10*$F$10)-1)*costos!$G$6+((Q71*F71)/($Q$10*$F$10)-1)*costos!$J$6+((V71*F71)/($V$10*$F$10)-1)*costos!$K$6)))</f>
        <v>682.38680534630726</v>
      </c>
      <c r="CA71" s="92">
        <f>CA$10*(1+((H71/H$10-1)*costos!$B$7+((I71*F71)/(I$10*F$10)-1)*costos!$E$7+((J71*F71)/((J$10*F$10)-1)*costos!$F$7/3+((K71*F71)/(K$10*F$10)-1)*costos!$F$7/3+((U71*F71)/(U$10*F$10)-1)*costos!$F$7/3+((L71*F71)/(L$10*F$10)-1)*costos!$G$7+((S71*F71)/(S$10*F$10)-1)*costos!$J$7+((V71*F71)/(V$10*F$10)-1)*costos!$K$7)))</f>
        <v>816.36124039337369</v>
      </c>
      <c r="CB71" s="92">
        <f>CB$10*(1+((H71/H$10-1)*costos!$B$8+((I71*F71)/(I$10*F$10)-1)*costos!$E$8+((J71*F71)/((J$10*F$10)-1)*costos!$F$8/3+((K71*F71)/(K$10*F$10)-1)*costos!$F$8/3+((U71*F71)/(U$10*F$10)-1)*costos!$F$8/3+((L71*F71)/(L$10*F$10)-1)*costos!$G$8+((T71*F71)/(T$10*F$10)-1)*costos!$J$8+((V71*F71)/(V$10*F$10)-1)*costos!$K$8)))</f>
        <v>858.24519641339771</v>
      </c>
      <c r="CC71" s="92">
        <f>CC$10*(1+((H71/H$10-1)*costos!$B$9+((I71*F71)/(I$10*F$10)-1)*costos!$E$9+((J71*F71)/((J$10*F$10)-1)*costos!$F$9/3+((K71*F71)/(K$10*F$10)-1)*costos!$F$9/3+((U71*F71)/(U$10*F$10)-1)*costos!$F$9/3+((L71*F71)/(L$10*F$10)-1)*costos!$G$9+((U71*F71)/(U$10*F$10)-1)*costos!$J$9+((V71*F71)/(V$10*F$10)-1)*costos!$K$9)))</f>
        <v>788.71521611446133</v>
      </c>
      <c r="CD71" s="92">
        <f>CD$10*(1+((H71/H$10-1)*costos!$B$11+((I71*F71)/(I$10*F$10)-1)*costos!$E$11+((J71*F71)/((J$10*F$10)-1)*costos!$F$11/3+((K71*F71)/(K$10*F$10)-1)*costos!$F$11/3+((U71*F71)/(U$10*F$10)-1)*costos!$F$11/3+((L71*F71)/(L$10*F$10)-1)*costos!$G$11+((V71*F71)/(V$10*F$10)-1)*costos!$J$11+((V71*F71)/(V$10*F$10)-1)*costos!$K$11)))</f>
        <v>834.74220436999713</v>
      </c>
      <c r="CE71" s="92">
        <f>CE$10*(1+((H71/H$10-1)*costos!$B$12+((I71*F71)/(I$10*F$10)-1)*costos!$E$12+((J71*F71)/((J$10*F$10)-1)*costos!$F$12/3+((K71*F71)/(K$10*F$10)-1)*costos!$F$12/3+((U71*F71)/(U$10*F$10)-1)*costos!$F$12/3+((L71*F71)/(L$10*F$10)-1)*costos!$G$12+((W71*F71)/(W$10*F$10)-1)*costos!$J$12+((V71*F71)/(V$10*F$10)-1)*costos!$K$12)))</f>
        <v>774.48530756107539</v>
      </c>
      <c r="CF71" s="92">
        <f>CF$10*(1+((H71/H$10-1)*costos!$B$13+((I71*F71)/(I$10*F$10)-1)*costos!$E$13+((J71*F71)/((J$10*F$10)-1)*costos!$F$13/3+((K71*F71)/(K$10*F$10)-1)*costos!$F$13/3+((U71*F71)/(U$10*F$10)-1)*costos!$F$13/3+((L71*F71)/(L$10*F$10)-1)*costos!$G$13+((X71*F71)/(X$10*F$10)-1)*costos!$J$13+((V71*F71)/(V$10*F$10)-1)*costos!$K$13)))</f>
        <v>797.95242269851929</v>
      </c>
      <c r="CG71" s="92">
        <f t="shared" si="309"/>
        <v>811.75026459180401</v>
      </c>
      <c r="CH71" s="92">
        <f>CH$10*(1+((H71/H$10-1)*costos!$B$10+((I71*F71)/(I$10*F$10)-1)*costos!$E$10+((J71*F71)/((J$10*F$10)-1)*costos!$F$10/3+((K71*F71)/(K$10*F$10)-1)*costos!$F$10/3+((U71*F71)/(U$10*F$10)-1)*costos!$F$10/3+((L71*F71)/(L$10*F$10)-1)*costos!$G$10+((AF71)/(AF$10)-1)*costos!$J$10+((V71*F71)/(V$10*F$10)-1)*costos!$K$10)))</f>
        <v>825.95852667660415</v>
      </c>
      <c r="CI71" s="92">
        <f>CI$10*(1+((H71/H$10-1)*costos!$B$15+((I71*F71)/(I$10*F$10)-1)*costos!$E$15+((J71*F71)/((J$10*F$10)-1)*costos!$F$15/3+((K71*F71)/(K$10*F$10)-1)*costos!$F$15/3+((U71*F71)/(U$10*F$10)-1)*costos!$F$15/3+((L71*F71)/(L$10*F$10)-1)*costos!$G$15+((AV71)/(AV$10)-1)*costos!$J$15+((V71*F71)/(V$10*F$10)-1)*costos!$K$15)))</f>
        <v>697.73127845937188</v>
      </c>
      <c r="CJ71" s="92">
        <f>CJ$10*(1+((H71/H$10-1)*costos!$B$16+((I71*F71)/(I$10*F$10)-1)*costos!$E$16+((J71*F71)/((J$10*F$10)-1)*costos!$F$16/3+((K71*F71)/(K$10*F$10)-1)*costos!$F$16/3+((U71*F71)/(U$10*F$10)-1)*costos!$F$16/3+((L71*F71)/(L$10*F$10)-1)*costos!$G$16+((AW71)/(AW$10)-1)*costos!$J$16+((V71*F71)/(V$10*F$10)-1)*costos!$K$16)))</f>
        <v>573.63558093061681</v>
      </c>
      <c r="CK71" s="92">
        <f>CK$10*(1+((H71/H$10-1)*costos!$B$17+((I71*F71)/(I$10*F$10)-1)*costos!$E$17+((J71*F71)/((J$10*F$10)-1)*costos!$F$17/3+((K71*F71)/(K$10*F$10)-1)*costos!$F$17/3+((U71*F71)/(U$10*F$10)-1)*costos!$F$17/3+((L71*F71)/(L$10*F$10)-1)*costos!$G$17+((AX71)/(AX$10)-1)*costos!$J$17+((V71*F71)/(V$10*F$10)-1)*costos!$K$17)))</f>
        <v>676.04502423712199</v>
      </c>
      <c r="CL71" s="92">
        <f>CL$10*(1+((H71/H$10-1)*costos!$B$18+((I71*F71)/(I$10*F$10)-1)*costos!$E$18+((J71*F71)/((J$10*F$10)-1)*costos!$F$18/3+((K71*F71)/(K$10*F$10)-1)*costos!$F$18/3+((U71*F71)/(U$10*F$10)-1)*costos!$F$18/3+((L71*F71)/(L$10*F$10)-1)*costos!$G$18+((AY71)/(AY$10)-1)*costos!$J$18+((V71*F71)/(V$10*F$10)-1)*costos!$K$18)))</f>
        <v>665.65952815117828</v>
      </c>
      <c r="CM71" s="92">
        <f>CM$10*(1+((H71/H$10-1)*costos!$B$19+((I71*F71)/(I$10*F$10)-1)*costos!$E$19+((J71*F71)/((J$10*F$10)-1)*costos!$F$19/3+((K71*F71)/(K$10*F$10)-1)*costos!$F$19/3+((U71*F71)/(U$10*F$10)-1)*costos!$F$19/3+((L71*F71)/(L$10*F$10)-1)*costos!$G$19+((AZ71)/(AZ$10)-1)*costos!$J$19+((V71*F71)/(V$10*F$10)-1)*costos!$K$19)))</f>
        <v>523.72226848337289</v>
      </c>
      <c r="CN71" s="92">
        <f>CN$10*(1+((H71/H$10-1)*costos!$B$20+((I71*F71)/(I$10*F$10)-1)*costos!$E$20+((J71*F71)/((J$10*F$10)-1)*costos!$F$20/3+((K71*F71)/(K$10*F$10)-1)*costos!$F$20/3+((U71*F71)/(U$10*F$10)-1)*costos!$F$20/3+((L71*F71)/(L$10*F$10)-1)*costos!$G$20+((BA71)/(BA$10)-1)*costos!$J$20+((V71*F71)/(V$10*F$10)-1)*costos!$K$20)))</f>
        <v>557.98582632513546</v>
      </c>
      <c r="CO71" s="92">
        <f t="shared" si="310"/>
        <v>605.8531617992021</v>
      </c>
      <c r="CP71" s="92">
        <f>CP$10*(1+((H71/H$10-1)*costos!$B$22+((I71*F71)/(I$10*F$10)-1)*costos!$E$22+((J71*F71)/((J$10*F$10)-1)*costos!$F$22/3+((K71*F71)/(K$10*F$10)-1)*costos!$F$22/3+((U71*F71)/(U$10*F$10)-1)*costos!$F$22/3+((L71*F71)/(L$10*F$10)-1)*costos!$G$22+(((AVERAGE(AI71:AL71))/((AVERAGE(AI$10:AL$10))-1)*costos!$J$22+((V71*F71)/(V$10*F$10)-1)*costos!$K$22)))))</f>
        <v>685.11441201650325</v>
      </c>
      <c r="CQ71" s="92">
        <f>CQ$10*(1+((H71/H$10-1)*costos!$B$23+((I71*F71)/(I$10*F$10)-1)*costos!$E$23+((J71*F71)/((J$10*F$10)-1)*costos!$F$23/3+((K71*F71)/(K$10*F$10)-1)*costos!$F$23/3+((U71*F71)/(U$10*F$10)-1)*costos!$F$23/3+((L71*F71)/(L$10*F$10)-1)*costos!$G$23+((AN71)/(AN$10)-1)*costos!$J$23+((V71*F71)/(V$10*F$10)-1)*costos!$K$23)))</f>
        <v>622.80176462047564</v>
      </c>
      <c r="CR71" s="92">
        <f>CR$10*(1+((H71/H$10-1)*costos!$B$24+((I71*F71)/(I$10*F$10)-1)*costos!$E$24+((J71*F71)/((J$10*F$10)-1)*costos!$F$24/3+((K71*F71)/(K$10*F$10)-1)*costos!$F$24/3+((U71*F71)/(U$10*F$10)-1)*costos!$F$24/3+((L71*F71)/(L$10*F$10)-1)*costos!$G$24+((AO71)/(AO$10)-1)*costos!$J$24+((V71*F71)/(V$10*F$10)-1)*costos!$K$24)))</f>
        <v>615.78122030951806</v>
      </c>
      <c r="CS71" s="92">
        <f t="shared" si="62"/>
        <v>619.29149246499685</v>
      </c>
      <c r="CT71" s="92">
        <f>CT$10*(1+((H71/H$10-1)*costos!$B$25+((I71*F71)/(I$10*F$10)-1)*costos!$E$25+((J71*F71)/((J$10*F$10)-1)*costos!$F$25/3+((K71*F71)/(K$10*F$10)-1)*costos!$F$25/3+((U71*F71)/(U$10*F$10)-1)*costos!$F$25/3+((L71*F71)/(L$10*F$10)-1)*costos!$G$25+((AQ71)/(AQ$10)-1)*costos!$J$25+((V71*F71)/(V$10*F$10)-1)*costos!$K$25)))</f>
        <v>636.06108250135526</v>
      </c>
      <c r="CU71" s="92">
        <f>CU$10*(1+((H71/H$10-1)*costos!$B$26+((I71*F71)/(I$10*F$10)-1)*costos!$E$26+((J71*F71)/((J$10*F$10)-1)*costos!$F$26/3+((K71*F71)/(K$10*F$10)-1)*costos!$F$26/3+((U71*F71)/(U$10*F$10)-1)*costos!$F$26/3+((L71*F71)/(L$10*F$10)-1)*costos!$G$26+((AR71)/(AR$10)-1)*costos!$J$26+((V71*F71)/(V$10*F$10)-1)*costos!$K$26)))</f>
        <v>654.61464972783858</v>
      </c>
      <c r="CV71" s="92">
        <f>CV$10*(1+((H71/H$10-1)*costos!$B$27+((I71*F71)/(I$10*F$10)-1)*costos!$E$27+((J71*F71)/((J$10*F$10)-1)*costos!$F$27/3+((K71*F71)/(K$10*F$10)-1)*costos!$F$27/3+((U71*F71)/(U$10*F$10)-1)*costos!$F$27/3+((L71*F71)/(L$10*F$10)-1)*costos!$G$27+((AS71)/(AS$10)-1)*costos!$J$27+((V71*F71)/(V$10*F$10)-1)*costos!$K$27)))</f>
        <v>643.36829497244014</v>
      </c>
      <c r="CW71" s="92">
        <f>CW$10*(1+((H71/H$10-1)*costos!$B$28+((I71*F71)/(I$10*F$10)-1)*costos!$E$28+((J71*F71)/((J$10*F$10)-1)*costos!$F$28/3+((K71*F71)/(K$10*F$10)-1)*costos!$F$28/3+((U71*F71)/(U$10*F$10)-1)*costos!$F$28/3+((L71*F71)/(L$10*F$10)-1)*costos!$G$28+((AS71)/(AS$10)-1)*costos!$J$28+((V71*F71)/(V$10*F$10)-1)*costos!$K$28)))</f>
        <v>643.36829497244014</v>
      </c>
      <c r="CX71" s="92">
        <f t="shared" si="311"/>
        <v>647.11707989090621</v>
      </c>
      <c r="CY71" s="92">
        <f>CY$10*(1+((H71/H$10-1)*costos!$B$32+((I71*F71)/(I$10*F$10)-1)*costos!$E$32+((J71*F71)/((J$10*F$10)-1)*costos!$F$32/3+((K71*F71)/(K$10*F$10)-1)*costos!$F$32/3+((U71*F71)/(U$10*F$10)-1)*costos!$F$32/3+((L71*F71)/(L$10*F$10)-1)*costos!$G$32+((AG71)/(AG$10)-1)*costos!$J$32+((V71*F71)/(V$10*F$10)-1)*costos!$K$32)))</f>
        <v>556.64969563812292</v>
      </c>
      <c r="CZ71" s="69">
        <f>CZ$10*(1+((H71/H$10-1)*costos!$B$31+((I71*F71)/(I$10*F$10)-1)*costos!$E$30+((J71*F71)/((J$10*F$10)-1)*costos!$F$30/3+((K71*F71)/(K$10*F$10)-1)*costos!$F$30/3+((U71*F71)/(U$10*F$10)-1)*costos!$F$30/3+((L71*F71)/(L$10*F$10)-1)*costos!$G$30+((BG71)/(BG$10)-1)*costos!$J$30+((V71*F71)/(V$10*F$10)-1)*costos!$K$30)))</f>
        <v>694.790224672607</v>
      </c>
      <c r="DA71" s="69">
        <f>DA$10*(1+((H71/H$10-1)*costos!$B$31+((I71*F71)/(I$10*F$10)-1)*costos!$E$31+((J71*F71)/((J$10*F$10)-1)*costos!$F$31/3+((K71*F71)/(K$10*F$10)-1)*costos!$F$31/3+((U71*F71)/(U$10*F$10)-1)*costos!$F$31/3+((L71*F71)/(L$10*F$10)-1)*costos!$G$31+((BJ71)/(BJ$10)-1)*costos!$J$31+((V71*F71)/(V$10*F$10)-1)*costos!$K$31)))</f>
        <v>577.49242512602632</v>
      </c>
      <c r="DB71" s="69">
        <f>DB$10*(1+((H71/H$10-1)*costos!$B$36+((I71*F71)/(I$10*F$10)-1)*costos!$E$36+((J71*F71)/((J$10*F$10)-1)*costos!$F$36/3+((K71*F71)/(K$10*F$10)-1)*costos!$F$36/3+((U71*F71)/(U$10*F$10)-1)*costos!$F$36/3+((L71*F71)/(L$10*F$10)-1)*costos!$G$36+((BK71)/(BK$10)-1)*costos!$J$36+((V71*F71)/(V$10*F$10)-1)*costos!$K$36)))</f>
        <v>640.97657082949547</v>
      </c>
      <c r="DC71" s="69">
        <f>DC$10*(1+((H71/H$10-1)*costos!$B$37+((I71*F71)/(I$10*F$10)-1)*costos!$E$37+((U71*F71)/(U$10*F$10)-1)*costos!$F$37+((L71*F71)/(L$10*F$10)-1)*costos!$G$37+((BN71)/(BN$10)-1)*costos!$J$37+((V71*F71)/(V$10*F$10)-1)*costos!$K$37))</f>
        <v>823.1369807424162</v>
      </c>
      <c r="DD71" s="69">
        <f>DD$10*(1+((H71/H$10-1)*costos!$B$39+((I71*F71)/(I$10*F$10)-1)*costos!$E$39+((U71*F71)/(U$10*F$10)-1)*costos!$F$39+((L71*F71)/(L$10*F$10)-1)*costos!$G$39+((BR71)/(BR$10)-1)*costos!$J$39+((V71*F71)/(V$10*F$10)-1)*costos!$K$39))</f>
        <v>821.30332058558383</v>
      </c>
      <c r="DE71" s="69">
        <f>DD$10*(1+((H71/H$10-1)*costos!$B$35+((I71*F71)/(I$10*F$10)-1)*costos!$E$35+((U71*F71)/(U$10*F$10)-1)*costos!$F$35+((L71*F71)/(L$10*F$10)-1)*costos!$G$35+((BR71)/(BR$10)-1)*costos!$J$35+((V71*F71)/(V$10*F$10)-1)*costos!$K$35))</f>
        <v>752.54245247891868</v>
      </c>
      <c r="DF71" s="69">
        <f>DF$10*(1+((H71/H$10-1)*costos!$B$40+((I71*F71)/(I$10*F$10)-1)*costos!$E$40+((U71*F71)/(U$10*F$10)-1)*costos!$F$40+((L71*F71)/(L$10*F$10)-1)*costos!$G$40+((BP71)/(BP$10)-1)*costos!$J$40+((V71*F71)/(V$10*F$10)-1)*costos!$K$40))</f>
        <v>856.71219462534827</v>
      </c>
      <c r="DG71" s="92">
        <f t="shared" si="312"/>
        <v>804.62732355213348</v>
      </c>
      <c r="DH71" s="69">
        <f>DH$10*(1+((H71/H$10-1)*costos!$B$34+((I71*F71)/(I$10*F$10)-1)*costos!$E$34+((J71*F71)/((J$10*F$10)-1)*costos!$F$34/3+((K71*F71)/(K$10*F$10)-1)*costos!$F$34/3+((U71*F71)/(U$10*F$10)-1)*costos!$F$34/3+((L71*F71)/(L$10*F$10)-1)*costos!$G$34+((BV71)/(BV$10)-1)*costos!$J$34+((V71*F71)/(V$10*F$10)-1)*costos!$K$34)))</f>
        <v>657.6863007423359</v>
      </c>
      <c r="DI71" s="69">
        <f>DI$10*(1+((H71/H$10-1)*costos!$B$38+((I71*F71)/(I$10*F$10)-1)*costos!$E$38+((J71*F71)/((J$10*F$10)-1)*costos!$F$38/3+((K71*F71)/(K$10*F$10)-1)*costos!$F$38/3+((U71*F71)/(U$10*F$10)-1)*costos!$F$38/3+((L71*F71)/(L$10*F$10)-1)*costos!$G$38+((BU71)/(BU$10)-1)*costos!$J$38+((V71*F71)/(V$10*F$10)-1)*costos!$K$38)))</f>
        <v>560.50907694938746</v>
      </c>
      <c r="DK71" s="1">
        <v>410000</v>
      </c>
      <c r="DL71" s="1" t="s">
        <v>377</v>
      </c>
      <c r="DM71" s="1">
        <v>195000</v>
      </c>
      <c r="DN71" s="1" t="s">
        <v>377</v>
      </c>
      <c r="DO71" s="1">
        <v>1250000</v>
      </c>
      <c r="DP71" s="1" t="s">
        <v>377</v>
      </c>
      <c r="DQ71" s="1">
        <v>1400000</v>
      </c>
      <c r="DR71" s="1" t="s">
        <v>377</v>
      </c>
      <c r="DS71" s="1">
        <v>6300000</v>
      </c>
      <c r="DT71" s="1" t="s">
        <v>377</v>
      </c>
      <c r="DU71" s="1">
        <v>17000000</v>
      </c>
      <c r="DV71" s="1" t="s">
        <v>377</v>
      </c>
      <c r="DW71" s="1">
        <v>800000</v>
      </c>
      <c r="DX71" s="1" t="s">
        <v>377</v>
      </c>
      <c r="DY71" s="1">
        <v>6730000</v>
      </c>
      <c r="DZ71" s="1" t="s">
        <v>377</v>
      </c>
      <c r="EA71" s="79">
        <f t="shared" si="67"/>
        <v>33480000</v>
      </c>
      <c r="EB71" s="1">
        <v>390000</v>
      </c>
      <c r="EC71" s="1" t="s">
        <v>377</v>
      </c>
      <c r="ED71" s="1">
        <v>191392</v>
      </c>
      <c r="EE71" s="143">
        <v>2021</v>
      </c>
      <c r="EF71" s="1">
        <v>211099</v>
      </c>
      <c r="EG71" s="6">
        <v>2021</v>
      </c>
      <c r="EH71" s="1">
        <v>53517534</v>
      </c>
      <c r="EI71" s="6">
        <v>2021</v>
      </c>
      <c r="EJ71" s="1">
        <v>5377073</v>
      </c>
      <c r="EK71" s="6">
        <f>+EK70</f>
        <v>2020</v>
      </c>
      <c r="EL71" s="1">
        <v>14571766</v>
      </c>
      <c r="EM71" s="6">
        <v>2020</v>
      </c>
      <c r="EN71" s="1">
        <v>3132657</v>
      </c>
      <c r="EO71" s="6">
        <v>2020</v>
      </c>
      <c r="EP71" s="82">
        <f t="shared" ref="EP71:EP87" si="315">+EP70</f>
        <v>6552</v>
      </c>
      <c r="EQ71" s="83">
        <v>3366686</v>
      </c>
      <c r="ER71" s="1">
        <f t="shared" si="189"/>
        <v>76133.333333333328</v>
      </c>
      <c r="ES71" s="1"/>
      <c r="ET71" s="83">
        <f t="shared" ref="ET71:EW87" si="316">+ET70</f>
        <v>16000</v>
      </c>
      <c r="EU71" s="83">
        <f t="shared" si="316"/>
        <v>19131</v>
      </c>
      <c r="EV71" s="83">
        <f t="shared" si="316"/>
        <v>9000</v>
      </c>
      <c r="EW71" s="83">
        <f t="shared" si="316"/>
        <v>17492</v>
      </c>
      <c r="EX71" s="79">
        <f t="shared" si="72"/>
        <v>61623</v>
      </c>
      <c r="EY71" s="83">
        <f t="shared" ref="EY71:EZ81" si="317">+EY70</f>
        <v>19904</v>
      </c>
      <c r="EZ71" s="82">
        <f>+EZ70</f>
        <v>80798</v>
      </c>
      <c r="FA71" s="83">
        <f>+FA70</f>
        <v>20331</v>
      </c>
      <c r="FB71" s="83">
        <f>+FB70</f>
        <v>17550</v>
      </c>
      <c r="FC71" s="79">
        <f t="shared" si="307"/>
        <v>37881</v>
      </c>
      <c r="FD71" s="83">
        <f t="shared" si="158"/>
        <v>59807.5</v>
      </c>
      <c r="FE71" s="1"/>
      <c r="FF71" s="1">
        <v>1100000</v>
      </c>
      <c r="FG71" s="1" t="s">
        <v>323</v>
      </c>
      <c r="FH71" s="1">
        <v>1200000</v>
      </c>
      <c r="FI71" s="1" t="s">
        <v>323</v>
      </c>
      <c r="FJ71" s="1">
        <v>4500000</v>
      </c>
      <c r="FK71" s="1" t="s">
        <v>377</v>
      </c>
      <c r="FL71" s="1">
        <v>3300000</v>
      </c>
      <c r="FM71" s="1" t="s">
        <v>377</v>
      </c>
      <c r="FN71" s="1">
        <v>45000000</v>
      </c>
      <c r="FO71" s="1" t="s">
        <v>377</v>
      </c>
      <c r="FP71" s="1">
        <v>49000000</v>
      </c>
      <c r="FQ71" s="1" t="s">
        <v>323</v>
      </c>
      <c r="FR71" s="1">
        <v>1850000</v>
      </c>
      <c r="FS71" s="1" t="s">
        <v>323</v>
      </c>
      <c r="FT71" s="1">
        <v>17645000</v>
      </c>
      <c r="FU71" s="1" t="s">
        <v>377</v>
      </c>
      <c r="FV71" s="79">
        <f t="shared" si="76"/>
        <v>121295000</v>
      </c>
      <c r="FW71" s="1">
        <v>1394794</v>
      </c>
      <c r="FX71" s="1" t="s">
        <v>323</v>
      </c>
      <c r="FY71" s="1">
        <v>33945</v>
      </c>
      <c r="FZ71" s="79">
        <f t="shared" si="135"/>
        <v>799257.84</v>
      </c>
      <c r="GA71" s="86" t="str">
        <f t="shared" si="271"/>
        <v>mar20 feb21</v>
      </c>
      <c r="GB71" s="83">
        <v>22248266</v>
      </c>
      <c r="GC71" s="6">
        <v>2021</v>
      </c>
      <c r="GD71" s="83">
        <f t="shared" ref="GD71:GE88" si="318">+GD70</f>
        <v>2015989</v>
      </c>
      <c r="GE71" s="83">
        <f t="shared" si="318"/>
        <v>421371</v>
      </c>
      <c r="GF71" s="83">
        <v>1038163</v>
      </c>
      <c r="GG71" s="83">
        <v>89478</v>
      </c>
      <c r="GH71" s="79">
        <f t="shared" si="240"/>
        <v>1549012</v>
      </c>
      <c r="GI71" s="82">
        <f t="shared" si="232"/>
        <v>1302556</v>
      </c>
      <c r="GJ71" s="83">
        <f t="shared" si="215"/>
        <v>600000</v>
      </c>
      <c r="GK71" s="83">
        <f t="shared" si="216"/>
        <v>1362000</v>
      </c>
      <c r="GL71" s="83">
        <f t="shared" si="217"/>
        <v>300000</v>
      </c>
      <c r="GM71" s="83">
        <f t="shared" si="218"/>
        <v>261011.3</v>
      </c>
      <c r="GN71" s="79">
        <f t="shared" si="81"/>
        <v>2523011.2999999998</v>
      </c>
      <c r="GO71" s="83">
        <f t="shared" si="291"/>
        <v>199477</v>
      </c>
      <c r="GP71" s="83">
        <f t="shared" si="291"/>
        <v>72919</v>
      </c>
      <c r="GQ71" s="1">
        <v>138454</v>
      </c>
      <c r="GR71" s="83">
        <v>44610</v>
      </c>
      <c r="GS71" s="79">
        <f t="shared" si="192"/>
        <v>48763.62</v>
      </c>
      <c r="GT71" s="83">
        <f>+GT70</f>
        <v>2871705.88</v>
      </c>
      <c r="GU71" s="1">
        <v>106056</v>
      </c>
      <c r="GV71" s="1">
        <v>32300</v>
      </c>
      <c r="GW71" s="79">
        <f t="shared" si="261"/>
        <v>1171977</v>
      </c>
      <c r="GX71" s="1">
        <v>37480.696000000004</v>
      </c>
      <c r="GY71" s="1" t="s">
        <v>385</v>
      </c>
      <c r="GZ71" s="1">
        <v>97886.411999999997</v>
      </c>
      <c r="HA71" s="1">
        <v>223000</v>
      </c>
      <c r="HB71" s="79">
        <f t="shared" si="241"/>
        <v>3103225</v>
      </c>
      <c r="HC71" s="86" t="str">
        <f t="shared" si="272"/>
        <v>mar20 feb21</v>
      </c>
      <c r="HD71" s="1">
        <v>50342</v>
      </c>
      <c r="HE71" s="79">
        <f t="shared" si="139"/>
        <v>657726</v>
      </c>
      <c r="HF71" s="86" t="str">
        <f t="shared" si="273"/>
        <v>mar20 feb21</v>
      </c>
      <c r="HG71" s="1">
        <v>154000</v>
      </c>
      <c r="HH71" s="79">
        <f t="shared" si="242"/>
        <v>2179000</v>
      </c>
      <c r="HI71" s="86" t="str">
        <f t="shared" si="274"/>
        <v>mar20 feb21</v>
      </c>
      <c r="HJ71" s="1">
        <v>75888</v>
      </c>
      <c r="HK71" s="79">
        <f t="shared" si="278"/>
        <v>56593.440000000002</v>
      </c>
      <c r="HL71" s="86" t="str">
        <f t="shared" si="275"/>
        <v>mar20 feb21</v>
      </c>
      <c r="HM71" s="79">
        <f t="shared" si="86"/>
        <v>2235593.44</v>
      </c>
      <c r="HN71" s="87">
        <f t="shared" si="297"/>
        <v>2.0617219917012486E-2</v>
      </c>
      <c r="HO71" s="1">
        <v>787100000</v>
      </c>
      <c r="HP71" s="79">
        <f t="shared" si="153"/>
        <v>11195.6</v>
      </c>
      <c r="HQ71" s="86" t="str">
        <f t="shared" si="276"/>
        <v>mar20 feb21</v>
      </c>
      <c r="HR71" s="1"/>
      <c r="HS71" s="1"/>
      <c r="HT71" s="1"/>
      <c r="HU71" s="1">
        <v>650000</v>
      </c>
      <c r="HV71" s="1" t="s">
        <v>323</v>
      </c>
      <c r="HW71" s="1">
        <v>1510000</v>
      </c>
      <c r="HX71" s="1" t="s">
        <v>389</v>
      </c>
      <c r="HY71" s="1">
        <v>3190000</v>
      </c>
      <c r="HZ71" s="1" t="s">
        <v>377</v>
      </c>
      <c r="IA71" s="1">
        <f t="shared" ref="IA71:IA82" si="319">(3.48+17.93)*1000000</f>
        <v>21410000</v>
      </c>
      <c r="IB71" s="1" t="s">
        <v>377</v>
      </c>
      <c r="IC71" s="1">
        <v>41400000</v>
      </c>
      <c r="ID71" s="1" t="s">
        <v>323</v>
      </c>
      <c r="IE71" s="1">
        <v>1000000</v>
      </c>
      <c r="IF71" s="1" t="s">
        <v>323</v>
      </c>
      <c r="IG71" s="1">
        <f t="shared" ref="IG71:IG81" si="320">(6.3+0.9)*1000000</f>
        <v>7200000</v>
      </c>
      <c r="IH71" s="1" t="s">
        <v>389</v>
      </c>
      <c r="II71" s="79">
        <f t="shared" si="87"/>
        <v>75710000</v>
      </c>
      <c r="IJ71" s="97">
        <f t="shared" si="308"/>
        <v>1.9040737312717446</v>
      </c>
      <c r="IK71" s="1" t="s">
        <v>323</v>
      </c>
      <c r="IL71" s="97">
        <v>40.04</v>
      </c>
      <c r="IM71" s="97">
        <v>45.54</v>
      </c>
      <c r="IN71" s="7">
        <v>188.6</v>
      </c>
      <c r="IO71" s="97">
        <v>14.53</v>
      </c>
      <c r="IP71" s="176">
        <f t="shared" ref="IP71:IP81" si="321">282989915/IP$2</f>
        <v>6.0901675410995511</v>
      </c>
      <c r="IQ71" s="7">
        <v>18.2</v>
      </c>
      <c r="IR71" s="98">
        <f t="shared" ref="IR71:IU87" si="322">+IR70</f>
        <v>5.93</v>
      </c>
      <c r="IS71" s="98">
        <f t="shared" si="322"/>
        <v>5.67</v>
      </c>
      <c r="IT71" s="98">
        <f t="shared" si="322"/>
        <v>13.17</v>
      </c>
      <c r="IU71" s="98">
        <f t="shared" si="322"/>
        <v>1.55</v>
      </c>
      <c r="IV71" s="94">
        <f t="shared" si="89"/>
        <v>20.39</v>
      </c>
      <c r="IW71" s="1"/>
      <c r="IX71" s="1"/>
      <c r="IY71" s="105">
        <v>1.86</v>
      </c>
      <c r="IZ71" s="161">
        <v>0.3</v>
      </c>
      <c r="JA71" s="83">
        <v>2813</v>
      </c>
      <c r="JB71" s="7">
        <v>44.08</v>
      </c>
      <c r="JC71" s="1"/>
      <c r="JD71" s="1"/>
      <c r="JF71" s="2">
        <v>10.05654614</v>
      </c>
      <c r="JG71" s="2">
        <v>12.189730310000002</v>
      </c>
      <c r="JH71" s="2">
        <v>130.36039815000001</v>
      </c>
      <c r="JI71" s="2">
        <v>78.649009329999984</v>
      </c>
      <c r="JJ71" s="2">
        <v>286.71248238999993</v>
      </c>
      <c r="JK71" s="2">
        <v>98.255405109999998</v>
      </c>
      <c r="JL71" s="2">
        <v>2371.8134552800002</v>
      </c>
      <c r="JM71" s="2">
        <v>0.84070519999999993</v>
      </c>
      <c r="JN71" s="2">
        <v>550.10306810999987</v>
      </c>
      <c r="JO71" s="2">
        <v>19.720261569999998</v>
      </c>
      <c r="JP71" s="2">
        <v>0</v>
      </c>
      <c r="JQ71" s="2">
        <v>2.5161780499999997</v>
      </c>
      <c r="JR71" s="2">
        <v>1.1778370300000001</v>
      </c>
      <c r="JS71" s="2">
        <v>0</v>
      </c>
      <c r="JT71" s="2">
        <v>0.69120945999999994</v>
      </c>
      <c r="JU71" s="2">
        <v>72.034941490000008</v>
      </c>
      <c r="JV71" s="2">
        <v>7.6761245900000006</v>
      </c>
      <c r="JW71" s="2">
        <v>41.036492810000006</v>
      </c>
      <c r="JX71" s="2">
        <v>8.7030926000000015</v>
      </c>
      <c r="JY71" s="2">
        <v>0</v>
      </c>
      <c r="JZ71" s="2">
        <v>0.93735780000000002</v>
      </c>
      <c r="KA71" s="2">
        <v>0.10249999999999999</v>
      </c>
      <c r="KB71" s="2">
        <v>23.675136080000005</v>
      </c>
      <c r="KC71" s="2">
        <v>21.699005200000002</v>
      </c>
      <c r="KD71" s="2">
        <v>9.9533570599999983</v>
      </c>
      <c r="KE71" s="2">
        <v>19.58702134</v>
      </c>
      <c r="KF71" s="2">
        <v>30.518568050000003</v>
      </c>
      <c r="KG71" s="2">
        <v>276.21356580999998</v>
      </c>
      <c r="KH71" s="2">
        <v>101.20607356999999</v>
      </c>
      <c r="KI71" s="2">
        <v>29.10492283</v>
      </c>
      <c r="KJ71" s="2">
        <v>7.5020628099999982</v>
      </c>
      <c r="KK71" s="2">
        <v>6.7706235200000027</v>
      </c>
      <c r="KL71" s="2">
        <v>6.8539130000000004E-2</v>
      </c>
      <c r="KM71" s="2">
        <v>4.2958892300000002</v>
      </c>
      <c r="KN71" s="2">
        <v>3.7286999999999997E-4</v>
      </c>
      <c r="KO71" s="2">
        <v>0.16095712000000001</v>
      </c>
      <c r="KP71" s="2">
        <v>3.9928799999999999E-3</v>
      </c>
      <c r="KQ71" s="2">
        <v>12.72793851</v>
      </c>
      <c r="KR71" s="2">
        <v>0</v>
      </c>
      <c r="KS71" s="2">
        <v>3.5095169999999995E-2</v>
      </c>
      <c r="KT71" s="2">
        <v>0.77479954000000006</v>
      </c>
      <c r="KU71" s="2">
        <v>0.26706852000000003</v>
      </c>
      <c r="KV71" s="2">
        <v>5.6546599999999997E-3</v>
      </c>
      <c r="KW71" s="2">
        <v>0.99296868999999988</v>
      </c>
      <c r="KX71" s="2">
        <v>0</v>
      </c>
      <c r="KY71" s="2">
        <v>0</v>
      </c>
      <c r="KZ71" s="2">
        <v>0.58092498000000004</v>
      </c>
      <c r="LA71" s="2">
        <v>0.64185830999999993</v>
      </c>
      <c r="LB71" s="2">
        <v>0</v>
      </c>
      <c r="LC71" s="2">
        <v>0.50010718999999992</v>
      </c>
      <c r="LD71" s="2">
        <v>0</v>
      </c>
      <c r="LE71" s="2">
        <v>2.3188508799999998</v>
      </c>
      <c r="LF71" s="2">
        <v>0.32247816000000001</v>
      </c>
      <c r="LG71" s="2">
        <v>13.893276139999998</v>
      </c>
      <c r="LH71" s="2">
        <v>6.2632844699999994</v>
      </c>
      <c r="LI71" s="2">
        <v>2.90712927</v>
      </c>
      <c r="LJ71" s="2">
        <v>0</v>
      </c>
      <c r="LK71" s="2">
        <v>1.3608959</v>
      </c>
      <c r="LL71" s="2">
        <v>3.3646967399999994</v>
      </c>
      <c r="LM71" s="2">
        <v>1.5596798700000001</v>
      </c>
      <c r="LN71" s="2">
        <v>0.35294348000000003</v>
      </c>
      <c r="LO71" s="2">
        <v>7.4128681899999993</v>
      </c>
      <c r="LP71" s="2"/>
      <c r="LQ71" s="85">
        <f t="shared" ref="LQ71:LQ77" si="323">+SUM(JH71:JJ71,JL71:JN71)</f>
        <v>3418.4791184599999</v>
      </c>
      <c r="LR71" s="85">
        <f t="shared" ref="LR71:LR77" si="324">+SUM(JQ71:JT71)</f>
        <v>4.3852245399999994</v>
      </c>
      <c r="LS71" s="85">
        <f t="shared" ref="LS71:LS77" si="325">+SUM(JV71:JW71)</f>
        <v>48.712617400000006</v>
      </c>
      <c r="LT71" s="85">
        <f t="shared" ref="LT71:LT77" si="326">+SUM(JY71:KA71)</f>
        <v>1.0398578000000001</v>
      </c>
      <c r="LU71" s="85">
        <f t="shared" ref="LU71:LU77" si="327">+SUM(KM71:KO71,KQ71:KS71)</f>
        <v>17.220252900000002</v>
      </c>
      <c r="LV71" s="85">
        <f t="shared" ref="LV71:LV77" si="328">+SUM(KV71:KY71)</f>
        <v>0.99862334999999991</v>
      </c>
      <c r="LW71" s="85">
        <f t="shared" ref="LW71:LW77" si="329">+SUM(LA71:LB71)</f>
        <v>0.64185830999999993</v>
      </c>
      <c r="LX71" s="85">
        <f t="shared" ref="LX71:LX77" si="330">+SUM(LD71:LF71)</f>
        <v>2.64132904</v>
      </c>
      <c r="LY71" s="2"/>
      <c r="LZ71" s="131">
        <v>89.07</v>
      </c>
      <c r="MA71" s="171">
        <v>81.61</v>
      </c>
      <c r="MB71"/>
      <c r="MC71"/>
      <c r="MD71"/>
      <c r="MF71"/>
      <c r="MG71"/>
      <c r="MH71" s="83">
        <v>151.12</v>
      </c>
      <c r="MI71" s="83">
        <v>45.06</v>
      </c>
      <c r="MJ71" s="83">
        <v>59.67</v>
      </c>
      <c r="MK71"/>
      <c r="ML71" s="83">
        <v>71.819999999999993</v>
      </c>
      <c r="MM71" s="83">
        <v>70.81</v>
      </c>
      <c r="MN71" s="83"/>
      <c r="MO71" s="83">
        <v>65.3</v>
      </c>
      <c r="MP71" s="83">
        <v>86.54</v>
      </c>
      <c r="MQ71" s="83">
        <v>195.89</v>
      </c>
      <c r="MR71"/>
      <c r="MT71" s="83"/>
      <c r="MU71" s="83">
        <v>112.28</v>
      </c>
      <c r="MV71"/>
      <c r="MW71"/>
      <c r="MX71"/>
      <c r="MY71" s="83">
        <v>155.71</v>
      </c>
      <c r="MZ71" s="83">
        <v>425</v>
      </c>
      <c r="NA71" s="83">
        <v>172.75</v>
      </c>
      <c r="NB71" s="83">
        <v>594.05999999999995</v>
      </c>
      <c r="NC71" s="83">
        <v>62.05</v>
      </c>
      <c r="ND71"/>
      <c r="NE71" s="1">
        <v>420.47</v>
      </c>
    </row>
    <row r="72" spans="1:369">
      <c r="A72" s="38">
        <f t="shared" si="219"/>
        <v>44256</v>
      </c>
      <c r="B72" s="36">
        <f t="shared" si="313"/>
        <v>3</v>
      </c>
      <c r="C72" s="36">
        <f t="shared" si="314"/>
        <v>2021</v>
      </c>
      <c r="D72" s="36">
        <f t="shared" si="50"/>
        <v>72</v>
      </c>
      <c r="E72" s="38">
        <f t="shared" si="220"/>
        <v>44256</v>
      </c>
      <c r="F72" s="7">
        <v>93.09</v>
      </c>
      <c r="G72" s="7">
        <v>435.8657</v>
      </c>
      <c r="H72" s="1">
        <f>[2]NACIONALES!$D60</f>
        <v>40000</v>
      </c>
      <c r="I72" s="7">
        <v>81</v>
      </c>
      <c r="J72" s="7">
        <v>540</v>
      </c>
      <c r="K72" s="7">
        <v>3.3</v>
      </c>
      <c r="L72" s="7">
        <v>24.1</v>
      </c>
      <c r="N72" s="5">
        <v>1.706</v>
      </c>
      <c r="O72" s="5">
        <v>1.538</v>
      </c>
      <c r="P72" s="78">
        <f t="shared" si="294"/>
        <v>143.44238099999998</v>
      </c>
      <c r="Q72" s="6">
        <v>2510</v>
      </c>
      <c r="R72" s="79">
        <f t="shared" si="222"/>
        <v>25100</v>
      </c>
      <c r="S72" s="6">
        <v>211.11</v>
      </c>
      <c r="T72" s="6">
        <v>452</v>
      </c>
      <c r="U72" s="143">
        <v>198.4727272727273</v>
      </c>
      <c r="V72" s="6">
        <v>333.45</v>
      </c>
      <c r="W72" s="6">
        <f>(260*0.88)-10</f>
        <v>218.8</v>
      </c>
      <c r="X72" s="6">
        <v>199.94545454545457</v>
      </c>
      <c r="Y72" s="79">
        <f t="shared" si="223"/>
        <v>19652.229900000002</v>
      </c>
      <c r="Z72" s="79">
        <f t="shared" si="224"/>
        <v>42076.68</v>
      </c>
      <c r="AA72" s="79">
        <f t="shared" si="225"/>
        <v>18475.826181818185</v>
      </c>
      <c r="AB72" s="79">
        <f t="shared" si="226"/>
        <v>31040.860499999999</v>
      </c>
      <c r="AC72" s="79">
        <f t="shared" si="227"/>
        <v>20368.092000000001</v>
      </c>
      <c r="AD72" s="79">
        <f t="shared" si="228"/>
        <v>18612.922363636368</v>
      </c>
      <c r="AE72" s="79">
        <f t="shared" si="229"/>
        <v>25037.768490909089</v>
      </c>
      <c r="AF72" s="1">
        <v>62105.291666666664</v>
      </c>
      <c r="AG72" s="1">
        <v>24390</v>
      </c>
      <c r="AH72" s="1">
        <v>92690</v>
      </c>
      <c r="AI72" s="5">
        <v>29.86</v>
      </c>
      <c r="AJ72" s="5">
        <v>22.57</v>
      </c>
      <c r="AK72" s="5">
        <v>29.18</v>
      </c>
      <c r="AL72" s="5">
        <v>17.77</v>
      </c>
      <c r="AM72" s="78">
        <f t="shared" si="230"/>
        <v>26.490000000000002</v>
      </c>
      <c r="AN72" s="7">
        <v>1836.4497041420118</v>
      </c>
      <c r="AO72" s="7">
        <v>892.71913043478264</v>
      </c>
      <c r="AP72" s="78">
        <f t="shared" si="277"/>
        <v>892.71913043478264</v>
      </c>
      <c r="AQ72" s="7">
        <v>1062.0958083832336</v>
      </c>
      <c r="AR72" s="7">
        <v>945.7147826086956</v>
      </c>
      <c r="AS72" s="7">
        <v>1180.2105263157894</v>
      </c>
      <c r="AT72" s="7">
        <v>1510.5086956521739</v>
      </c>
      <c r="AU72" s="78">
        <f t="shared" si="53"/>
        <v>1212.1446681922196</v>
      </c>
      <c r="AV72" s="7">
        <v>407.0612244897959</v>
      </c>
      <c r="AW72" s="7">
        <v>1095.391304347826</v>
      </c>
      <c r="AX72" s="7">
        <v>680.89086956521749</v>
      </c>
      <c r="AY72" s="7">
        <v>842.94366197183103</v>
      </c>
      <c r="AZ72" s="7">
        <v>461.27130434782606</v>
      </c>
      <c r="BA72" s="7">
        <v>277.1320754716981</v>
      </c>
      <c r="BB72" s="94">
        <f t="shared" si="45"/>
        <v>601.78767134802251</v>
      </c>
      <c r="BC72" s="68">
        <v>2513</v>
      </c>
      <c r="BD72" s="68">
        <v>1596</v>
      </c>
      <c r="BE72" s="7">
        <v>1800</v>
      </c>
      <c r="BF72" s="7">
        <v>950</v>
      </c>
      <c r="BG72" s="94">
        <f t="shared" si="56"/>
        <v>1714.75</v>
      </c>
      <c r="BH72" s="7">
        <v>191.89</v>
      </c>
      <c r="BI72" s="7">
        <v>25</v>
      </c>
      <c r="BJ72" s="78">
        <f t="shared" si="57"/>
        <v>216.89</v>
      </c>
      <c r="BK72" s="7">
        <v>173.43100000000001</v>
      </c>
      <c r="BL72" s="7">
        <v>217.39</v>
      </c>
      <c r="BM72" s="94">
        <f t="shared" si="58"/>
        <v>195.41050000000001</v>
      </c>
      <c r="BN72" s="5">
        <v>26.09</v>
      </c>
      <c r="BO72" s="84">
        <v>118.54642857142855</v>
      </c>
      <c r="BP72">
        <v>71.45</v>
      </c>
      <c r="BQ72" s="94">
        <f t="shared" si="59"/>
        <v>113.8367857142857</v>
      </c>
      <c r="BR72" s="7">
        <v>120.18</v>
      </c>
      <c r="BS72" s="97">
        <v>300</v>
      </c>
      <c r="BT72" s="7">
        <f>+F72*1.49</f>
        <v>138.70410000000001</v>
      </c>
      <c r="BU72" s="79">
        <f t="shared" si="237"/>
        <v>4016.1122999999998</v>
      </c>
      <c r="BV72" s="93">
        <v>285</v>
      </c>
      <c r="BW72" s="93">
        <v>215</v>
      </c>
      <c r="BY72" s="92">
        <f>BY$10*(1+((H72/H$10-1)*costos!$B$5+((I72*F72)/(I$10*F$10)-1)*costos!$E$5+((J72*F72)/((J$10*F$10)-1)*costos!$F$5/3+((K72*F72)/(K$10*F$10)-1)*costos!$F$5/3+((U72*F72)/(U$10*F$10)-1)*costos!$F$5/3+((L72*F72)/(L$10*F$10)-1)*costos!$G$5+((N72*F72)/(N$10*F$10)-1)*costos!$J$5+((V72*F72)/(V$10*F$10)-1)*costos!$K$5)))</f>
        <v>793.68249738366126</v>
      </c>
      <c r="BZ72" s="92">
        <f>$BZ$10*(1+((H72/$H$10-1)*costos!$B$6+((I72*F72)/($I$10*$F$10)-1)*costos!$E$6+((J72*F72)/(($J$10*$F$10)-1)*costos!$F$6/3+((K72*F72)/($K$10*$F$10)-1)*costos!$F$6/3+((U72*F72)/($U$10*$F$10)-1)*costos!$F$6/3+((L72*F72)/($L$10*$F$10)-1)*costos!$G$6+((Q72*F72)/($Q$10*$F$10)-1)*costos!$J$6+((V72*F72)/($V$10*$F$10)-1)*costos!$K$6)))</f>
        <v>686.52843661672705</v>
      </c>
      <c r="CA72" s="92">
        <f>CA$10*(1+((H72/H$10-1)*costos!$B$7+((I72*F72)/(I$10*F$10)-1)*costos!$E$7+((J72*F72)/((J$10*F$10)-1)*costos!$F$7/3+((K72*F72)/(K$10*F$10)-1)*costos!$F$7/3+((U72*F72)/(U$10*F$10)-1)*costos!$F$7/3+((L72*F72)/(L$10*F$10)-1)*costos!$G$7+((S72*F72)/(S$10*F$10)-1)*costos!$J$7+((V72*F72)/(V$10*F$10)-1)*costos!$K$7)))</f>
        <v>813.31521696305083</v>
      </c>
      <c r="CB72" s="92">
        <f>CB$10*(1+((H72/H$10-1)*costos!$B$8+((I72*F72)/(I$10*F$10)-1)*costos!$E$8+((J72*F72)/((J$10*F$10)-1)*costos!$F$8/3+((K72*F72)/(K$10*F$10)-1)*costos!$F$8/3+((U72*F72)/(U$10*F$10)-1)*costos!$F$8/3+((L72*F72)/(L$10*F$10)-1)*costos!$G$8+((T72*F72)/(T$10*F$10)-1)*costos!$J$8+((V72*F72)/(V$10*F$10)-1)*costos!$K$8)))</f>
        <v>864.75222356767176</v>
      </c>
      <c r="CC72" s="92">
        <f>CC$10*(1+((H72/H$10-1)*costos!$B$9+((I72*F72)/(I$10*F$10)-1)*costos!$E$9+((J72*F72)/((J$10*F$10)-1)*costos!$F$9/3+((K72*F72)/(K$10*F$10)-1)*costos!$F$9/3+((U72*F72)/(U$10*F$10)-1)*costos!$F$9/3+((L72*F72)/(L$10*F$10)-1)*costos!$G$9+((U72*F72)/(U$10*F$10)-1)*costos!$J$9+((V72*F72)/(V$10*F$10)-1)*costos!$K$9)))</f>
        <v>788.19861558528714</v>
      </c>
      <c r="CD72" s="92">
        <f>CD$10*(1+((H72/H$10-1)*costos!$B$11+((I72*F72)/(I$10*F$10)-1)*costos!$E$11+((J72*F72)/((J$10*F$10)-1)*costos!$F$11/3+((K72*F72)/(K$10*F$10)-1)*costos!$F$11/3+((U72*F72)/(U$10*F$10)-1)*costos!$F$11/3+((L72*F72)/(L$10*F$10)-1)*costos!$G$11+((V72*F72)/(V$10*F$10)-1)*costos!$J$11+((V72*F72)/(V$10*F$10)-1)*costos!$K$11)))</f>
        <v>849.42915133961242</v>
      </c>
      <c r="CE72" s="92">
        <f>CE$10*(1+((H72/H$10-1)*costos!$B$12+((I72*F72)/(I$10*F$10)-1)*costos!$E$12+((J72*F72)/((J$10*F$10)-1)*costos!$F$12/3+((K72*F72)/(K$10*F$10)-1)*costos!$F$12/3+((U72*F72)/(U$10*F$10)-1)*costos!$F$12/3+((L72*F72)/(L$10*F$10)-1)*costos!$G$12+((W72*F72)/(W$10*F$10)-1)*costos!$J$12+((V72*F72)/(V$10*F$10)-1)*costos!$K$12)))</f>
        <v>800.06463255534777</v>
      </c>
      <c r="CF72" s="92">
        <f>CF$10*(1+((H72/H$10-1)*costos!$B$13+((I72*F72)/(I$10*F$10)-1)*costos!$E$13+((J72*F72)/((J$10*F$10)-1)*costos!$F$13/3+((K72*F72)/(K$10*F$10)-1)*costos!$F$13/3+((U72*F72)/(U$10*F$10)-1)*costos!$F$13/3+((L72*F72)/(L$10*F$10)-1)*costos!$G$13+((X72*F72)/(X$10*F$10)-1)*costos!$J$13+((V72*F72)/(V$10*F$10)-1)*costos!$K$13)))</f>
        <v>805.30110668106045</v>
      </c>
      <c r="CG72" s="92">
        <f t="shared" si="309"/>
        <v>820.17682444867171</v>
      </c>
      <c r="CH72" s="92">
        <f>CH$10*(1+((H72/H$10-1)*costos!$B$10+((I72*F72)/(I$10*F$10)-1)*costos!$E$10+((J72*F72)/((J$10*F$10)-1)*costos!$F$10/3+((K72*F72)/(K$10*F$10)-1)*costos!$F$10/3+((U72*F72)/(U$10*F$10)-1)*costos!$F$10/3+((L72*F72)/(L$10*F$10)-1)*costos!$G$10+((AF72)/(AF$10)-1)*costos!$J$10+((V72*F72)/(V$10*F$10)-1)*costos!$K$10)))</f>
        <v>842.87699217483589</v>
      </c>
      <c r="CI72" s="92">
        <f>CI$10*(1+((H72/H$10-1)*costos!$B$15+((I72*F72)/(I$10*F$10)-1)*costos!$E$15+((J72*F72)/((J$10*F$10)-1)*costos!$F$15/3+((K72*F72)/(K$10*F$10)-1)*costos!$F$15/3+((U72*F72)/(U$10*F$10)-1)*costos!$F$15/3+((L72*F72)/(L$10*F$10)-1)*costos!$G$15+((AV72)/(AV$10)-1)*costos!$J$15+((V72*F72)/(V$10*F$10)-1)*costos!$K$15)))</f>
        <v>686.38379806678347</v>
      </c>
      <c r="CJ72" s="92">
        <f>CJ$10*(1+((H72/H$10-1)*costos!$B$16+((I72*F72)/(I$10*F$10)-1)*costos!$E$16+((J72*F72)/((J$10*F$10)-1)*costos!$F$16/3+((K72*F72)/(K$10*F$10)-1)*costos!$F$16/3+((U72*F72)/(U$10*F$10)-1)*costos!$F$16/3+((L72*F72)/(L$10*F$10)-1)*costos!$G$16+((AW72)/(AW$10)-1)*costos!$J$16+((V72*F72)/(V$10*F$10)-1)*costos!$K$16)))</f>
        <v>575.16693916389784</v>
      </c>
      <c r="CK72" s="92">
        <f>CK$10*(1+((H72/H$10-1)*costos!$B$17+((I72*F72)/(I$10*F$10)-1)*costos!$E$17+((J72*F72)/((J$10*F$10)-1)*costos!$F$17/3+((K72*F72)/(K$10*F$10)-1)*costos!$F$17/3+((U72*F72)/(U$10*F$10)-1)*costos!$F$17/3+((L72*F72)/(L$10*F$10)-1)*costos!$G$17+((AX72)/(AX$10)-1)*costos!$J$17+((V72*F72)/(V$10*F$10)-1)*costos!$K$17)))</f>
        <v>687.52323145235084</v>
      </c>
      <c r="CL72" s="92">
        <f>CL$10*(1+((H72/H$10-1)*costos!$B$18+((I72*F72)/(I$10*F$10)-1)*costos!$E$18+((J72*F72)/((J$10*F$10)-1)*costos!$F$18/3+((K72*F72)/(K$10*F$10)-1)*costos!$F$18/3+((U72*F72)/(U$10*F$10)-1)*costos!$F$18/3+((L72*F72)/(L$10*F$10)-1)*costos!$G$18+((AY72)/(AY$10)-1)*costos!$J$18+((V72*F72)/(V$10*F$10)-1)*costos!$K$18)))</f>
        <v>718.51298222529817</v>
      </c>
      <c r="CM72" s="92">
        <f>CM$10*(1+((H72/H$10-1)*costos!$B$19+((I72*F72)/(I$10*F$10)-1)*costos!$E$19+((J72*F72)/((J$10*F$10)-1)*costos!$F$19/3+((K72*F72)/(K$10*F$10)-1)*costos!$F$19/3+((U72*F72)/(U$10*F$10)-1)*costos!$F$19/3+((L72*F72)/(L$10*F$10)-1)*costos!$G$19+((AZ72)/(AZ$10)-1)*costos!$J$19+((V72*F72)/(V$10*F$10)-1)*costos!$K$19)))</f>
        <v>539.26506792504199</v>
      </c>
      <c r="CN72" s="92">
        <f>CN$10*(1+((H72/H$10-1)*costos!$B$20+((I72*F72)/(I$10*F$10)-1)*costos!$E$20+((J72*F72)/((J$10*F$10)-1)*costos!$F$20/3+((K72*F72)/(K$10*F$10)-1)*costos!$F$20/3+((U72*F72)/(U$10*F$10)-1)*costos!$F$20/3+((L72*F72)/(L$10*F$10)-1)*costos!$G$20+((BA72)/(BA$10)-1)*costos!$J$20+((V72*F72)/(V$10*F$10)-1)*costos!$K$20)))</f>
        <v>539.11344836492833</v>
      </c>
      <c r="CO72" s="92">
        <f t="shared" si="310"/>
        <v>621.10368249190481</v>
      </c>
      <c r="CP72" s="92">
        <f>CP$10*(1+((H72/H$10-1)*costos!$B$22+((I72*F72)/(I$10*F$10)-1)*costos!$E$22+((J72*F72)/((J$10*F$10)-1)*costos!$F$22/3+((K72*F72)/(K$10*F$10)-1)*costos!$F$22/3+((U72*F72)/(U$10*F$10)-1)*costos!$F$22/3+((L72*F72)/(L$10*F$10)-1)*costos!$G$22+(((AVERAGE(AI72:AL72))/((AVERAGE(AI$10:AL$10))-1)*costos!$J$22+((V72*F72)/(V$10*F$10)-1)*costos!$K$22)))))</f>
        <v>709.69530586995063</v>
      </c>
      <c r="CQ72" s="92">
        <f>CQ$10*(1+((H72/H$10-1)*costos!$B$23+((I72*F72)/(I$10*F$10)-1)*costos!$E$23+((J72*F72)/((J$10*F$10)-1)*costos!$F$23/3+((K72*F72)/(K$10*F$10)-1)*costos!$F$23/3+((U72*F72)/(U$10*F$10)-1)*costos!$F$23/3+((L72*F72)/(L$10*F$10)-1)*costos!$G$23+((AN72)/(AN$10)-1)*costos!$J$23+((V72*F72)/(V$10*F$10)-1)*costos!$K$23)))</f>
        <v>597.65703361309454</v>
      </c>
      <c r="CR72" s="92">
        <f>CR$10*(1+((H72/H$10-1)*costos!$B$24+((I72*F72)/(I$10*F$10)-1)*costos!$E$24+((J72*F72)/((J$10*F$10)-1)*costos!$F$24/3+((K72*F72)/(K$10*F$10)-1)*costos!$F$24/3+((U72*F72)/(U$10*F$10)-1)*costos!$F$24/3+((L72*F72)/(L$10*F$10)-1)*costos!$G$24+((AO72)/(AO$10)-1)*costos!$J$24+((V72*F72)/(V$10*F$10)-1)*costos!$K$24)))</f>
        <v>580.06966364480434</v>
      </c>
      <c r="CS72" s="92">
        <f t="shared" si="62"/>
        <v>588.86334862894944</v>
      </c>
      <c r="CT72" s="92">
        <f>CT$10*(1+((H72/H$10-1)*costos!$B$25+((I72*F72)/(I$10*F$10)-1)*costos!$E$25+((J72*F72)/((J$10*F$10)-1)*costos!$F$25/3+((K72*F72)/(K$10*F$10)-1)*costos!$F$25/3+((U72*F72)/(U$10*F$10)-1)*costos!$F$25/3+((L72*F72)/(L$10*F$10)-1)*costos!$G$25+((AQ72)/(AQ$10)-1)*costos!$J$25+((V72*F72)/(V$10*F$10)-1)*costos!$K$25)))</f>
        <v>594.61630945976879</v>
      </c>
      <c r="CU72" s="92">
        <f>CU$10*(1+((H72/H$10-1)*costos!$B$26+((I72*F72)/(I$10*F$10)-1)*costos!$E$26+((J72*F72)/((J$10*F$10)-1)*costos!$F$26/3+((K72*F72)/(K$10*F$10)-1)*costos!$F$26/3+((U72*F72)/(U$10*F$10)-1)*costos!$F$26/3+((L72*F72)/(L$10*F$10)-1)*costos!$G$26+((AR72)/(AR$10)-1)*costos!$J$26+((V72*F72)/(V$10*F$10)-1)*costos!$K$26)))</f>
        <v>619.42851874792518</v>
      </c>
      <c r="CV72" s="92">
        <f>CV$10*(1+((H72/H$10-1)*costos!$B$27+((I72*F72)/(I$10*F$10)-1)*costos!$E$27+((J72*F72)/((J$10*F$10)-1)*costos!$F$27/3+((K72*F72)/(K$10*F$10)-1)*costos!$F$27/3+((U72*F72)/(U$10*F$10)-1)*costos!$F$27/3+((L72*F72)/(L$10*F$10)-1)*costos!$G$27+((AS72)/(AS$10)-1)*costos!$J$27+((V72*F72)/(V$10*F$10)-1)*costos!$K$27)))</f>
        <v>634.00967252015334</v>
      </c>
      <c r="CW72" s="92">
        <f>CW$10*(1+((H72/H$10-1)*costos!$B$28+((I72*F72)/(I$10*F$10)-1)*costos!$E$28+((J72*F72)/((J$10*F$10)-1)*costos!$F$28/3+((K72*F72)/(K$10*F$10)-1)*costos!$F$28/3+((U72*F72)/(U$10*F$10)-1)*costos!$F$28/3+((L72*F72)/(L$10*F$10)-1)*costos!$G$28+((AS72)/(AS$10)-1)*costos!$J$28+((V72*F72)/(V$10*F$10)-1)*costos!$K$28)))</f>
        <v>634.00967252015334</v>
      </c>
      <c r="CX72" s="92">
        <f t="shared" si="311"/>
        <v>629.14928792941066</v>
      </c>
      <c r="CY72" s="92">
        <f>CY$10*(1+((H72/H$10-1)*costos!$B$32+((I72*F72)/(I$10*F$10)-1)*costos!$E$32+((J72*F72)/((J$10*F$10)-1)*costos!$F$32/3+((K72*F72)/(K$10*F$10)-1)*costos!$F$32/3+((U72*F72)/(U$10*F$10)-1)*costos!$F$32/3+((L72*F72)/(L$10*F$10)-1)*costos!$G$32+((AG72)/(AG$10)-1)*costos!$J$32+((V72*F72)/(V$10*F$10)-1)*costos!$K$32)))</f>
        <v>558.57430485364114</v>
      </c>
      <c r="CZ72" s="69">
        <f>CZ$10*(1+((H72/H$10-1)*costos!$B$31+((I72*F72)/(I$10*F$10)-1)*costos!$E$30+((J72*F72)/((J$10*F$10)-1)*costos!$F$30/3+((K72*F72)/(K$10*F$10)-1)*costos!$F$30/3+((U72*F72)/(U$10*F$10)-1)*costos!$F$30/3+((L72*F72)/(L$10*F$10)-1)*costos!$G$30+((BG72)/(BG$10)-1)*costos!$J$30+((V72*F72)/(V$10*F$10)-1)*costos!$K$30)))</f>
        <v>696.41477078973992</v>
      </c>
      <c r="DA72" s="69">
        <f>DA$10*(1+((H72/H$10-1)*costos!$B$31+((I72*F72)/(I$10*F$10)-1)*costos!$E$31+((J72*F72)/((J$10*F$10)-1)*costos!$F$31/3+((K72*F72)/(K$10*F$10)-1)*costos!$F$31/3+((U72*F72)/(U$10*F$10)-1)*costos!$F$31/3+((L72*F72)/(L$10*F$10)-1)*costos!$G$31+((BJ72)/(BJ$10)-1)*costos!$J$31+((V72*F72)/(V$10*F$10)-1)*costos!$K$31)))</f>
        <v>580.15036949095077</v>
      </c>
      <c r="DB72" s="69">
        <f>DB$10*(1+((H72/H$10-1)*costos!$B$36+((I72*F72)/(I$10*F$10)-1)*costos!$E$36+((J72*F72)/((J$10*F$10)-1)*costos!$F$36/3+((K72*F72)/(K$10*F$10)-1)*costos!$F$36/3+((U72*F72)/(U$10*F$10)-1)*costos!$F$36/3+((L72*F72)/(L$10*F$10)-1)*costos!$G$36+((BK72)/(BK$10)-1)*costos!$J$36+((V72*F72)/(V$10*F$10)-1)*costos!$K$36)))</f>
        <v>648.70171298256344</v>
      </c>
      <c r="DC72" s="69">
        <f>DC$10*(1+((H72/H$10-1)*costos!$B$37+((I72*F72)/(I$10*F$10)-1)*costos!$E$37+((U72*F72)/(U$10*F$10)-1)*costos!$F$37+((L72*F72)/(L$10*F$10)-1)*costos!$G$37+((BN72)/(BN$10)-1)*costos!$J$37+((V72*F72)/(V$10*F$10)-1)*costos!$K$37))</f>
        <v>805.54756126788936</v>
      </c>
      <c r="DD72" s="69">
        <f>DD$10*(1+((H72/H$10-1)*costos!$B$39+((I72*F72)/(I$10*F$10)-1)*costos!$E$39+((U72*F72)/(U$10*F$10)-1)*costos!$F$39+((L72*F72)/(L$10*F$10)-1)*costos!$G$39+((BR72)/(BR$10)-1)*costos!$J$39+((V72*F72)/(V$10*F$10)-1)*costos!$K$39))</f>
        <v>800.63676271569193</v>
      </c>
      <c r="DE72" s="69">
        <f>DD$10*(1+((H72/H$10-1)*costos!$B$35+((I72*F72)/(I$10*F$10)-1)*costos!$E$35+((U72*F72)/(U$10*F$10)-1)*costos!$F$35+((L72*F72)/(L$10*F$10)-1)*costos!$G$35+((BR72)/(BR$10)-1)*costos!$J$35+((V72*F72)/(V$10*F$10)-1)*costos!$K$35))</f>
        <v>731.18073171649428</v>
      </c>
      <c r="DF72" s="69">
        <f>DF$10*(1+((H72/H$10-1)*costos!$B$40+((I72*F72)/(I$10*F$10)-1)*costos!$E$40+((U72*F72)/(U$10*F$10)-1)*costos!$F$40+((L72*F72)/(L$10*F$10)-1)*costos!$G$40+((BP72)/(BP$10)-1)*costos!$J$40+((V72*F72)/(V$10*F$10)-1)*costos!$K$40))</f>
        <v>834.96975358173677</v>
      </c>
      <c r="DG72" s="92">
        <f t="shared" si="312"/>
        <v>783.07524264911558</v>
      </c>
      <c r="DH72" s="69">
        <f>DH$10*(1+((H72/H$10-1)*costos!$B$34+((I72*F72)/(I$10*F$10)-1)*costos!$E$34+((J72*F72)/((J$10*F$10)-1)*costos!$F$34/3+((K72*F72)/(K$10*F$10)-1)*costos!$F$34/3+((U72*F72)/(U$10*F$10)-1)*costos!$F$34/3+((L72*F72)/(L$10*F$10)-1)*costos!$G$34+((BV72)/(BV$10)-1)*costos!$J$34+((V72*F72)/(V$10*F$10)-1)*costos!$K$34)))</f>
        <v>672.1325873404279</v>
      </c>
      <c r="DI72" s="69">
        <f>DI$10*(1+((H72/H$10-1)*costos!$B$38+((I72*F72)/(I$10*F$10)-1)*costos!$E$38+((J72*F72)/((J$10*F$10)-1)*costos!$F$38/3+((K72*F72)/(K$10*F$10)-1)*costos!$F$38/3+((U72*F72)/(U$10*F$10)-1)*costos!$F$38/3+((L72*F72)/(L$10*F$10)-1)*costos!$G$38+((BU72)/(BU$10)-1)*costos!$J$38+((V72*F72)/(V$10*F$10)-1)*costos!$K$38)))</f>
        <v>558.17117960711937</v>
      </c>
      <c r="DK72" s="1">
        <v>410000</v>
      </c>
      <c r="DL72" s="1" t="s">
        <v>377</v>
      </c>
      <c r="DM72" s="1">
        <v>195000</v>
      </c>
      <c r="DN72" s="1" t="s">
        <v>377</v>
      </c>
      <c r="DO72" s="1">
        <v>1250000</v>
      </c>
      <c r="DP72" s="1" t="s">
        <v>377</v>
      </c>
      <c r="DQ72" s="1">
        <v>1500000</v>
      </c>
      <c r="DR72" s="1" t="s">
        <v>377</v>
      </c>
      <c r="DS72" s="1">
        <v>6300000</v>
      </c>
      <c r="DT72" s="1" t="s">
        <v>377</v>
      </c>
      <c r="DU72" s="1">
        <v>17000000</v>
      </c>
      <c r="DV72" s="1" t="s">
        <v>377</v>
      </c>
      <c r="DW72" s="1">
        <v>800000</v>
      </c>
      <c r="DX72" s="1" t="s">
        <v>377</v>
      </c>
      <c r="DY72" s="1">
        <v>6730000</v>
      </c>
      <c r="DZ72" s="1" t="s">
        <v>377</v>
      </c>
      <c r="EA72" s="79">
        <f t="shared" si="67"/>
        <v>33580000</v>
      </c>
      <c r="EB72" s="1">
        <v>390000</v>
      </c>
      <c r="EC72" s="1" t="s">
        <v>377</v>
      </c>
      <c r="ED72" s="1">
        <v>191392</v>
      </c>
      <c r="EE72" s="143">
        <v>2021</v>
      </c>
      <c r="EF72" s="1">
        <v>211099</v>
      </c>
      <c r="EG72" s="6">
        <v>2021</v>
      </c>
      <c r="EH72" s="1">
        <v>53517534</v>
      </c>
      <c r="EI72" s="6">
        <v>2021</v>
      </c>
      <c r="EJ72" s="1">
        <v>5350999</v>
      </c>
      <c r="EK72" s="6">
        <v>2021</v>
      </c>
      <c r="EL72" s="1">
        <v>14571766</v>
      </c>
      <c r="EM72" s="6">
        <v>2020</v>
      </c>
      <c r="EN72" s="1">
        <v>3132657</v>
      </c>
      <c r="EO72" s="6">
        <v>2020</v>
      </c>
      <c r="EP72" s="82">
        <f t="shared" si="315"/>
        <v>6552</v>
      </c>
      <c r="EQ72" s="83">
        <v>3366686</v>
      </c>
      <c r="ER72" s="1">
        <f t="shared" si="189"/>
        <v>76133.333333333328</v>
      </c>
      <c r="ES72" s="1"/>
      <c r="ET72" s="83">
        <f t="shared" si="316"/>
        <v>16000</v>
      </c>
      <c r="EU72" s="83">
        <f t="shared" si="316"/>
        <v>19131</v>
      </c>
      <c r="EV72" s="83">
        <f t="shared" si="316"/>
        <v>9000</v>
      </c>
      <c r="EW72" s="83">
        <f t="shared" si="316"/>
        <v>17492</v>
      </c>
      <c r="EX72" s="79">
        <f>+SUM(ET72:EW72)</f>
        <v>61623</v>
      </c>
      <c r="EY72" s="83">
        <f t="shared" si="317"/>
        <v>19904</v>
      </c>
      <c r="EZ72" s="82">
        <f t="shared" si="317"/>
        <v>80798</v>
      </c>
      <c r="FA72" s="83">
        <f t="shared" ref="FA72:FA81" si="331">+FA71</f>
        <v>20331</v>
      </c>
      <c r="FB72" s="83">
        <f t="shared" ref="FB72:FB81" si="332">+FB71</f>
        <v>17550</v>
      </c>
      <c r="FC72" s="79">
        <f t="shared" si="307"/>
        <v>37881</v>
      </c>
      <c r="FD72" s="83">
        <f t="shared" si="158"/>
        <v>59807.5</v>
      </c>
      <c r="FE72" s="1"/>
      <c r="FF72" s="1">
        <v>1100000</v>
      </c>
      <c r="FG72" s="1" t="s">
        <v>323</v>
      </c>
      <c r="FH72" s="1">
        <v>1200000</v>
      </c>
      <c r="FI72" s="1" t="s">
        <v>323</v>
      </c>
      <c r="FJ72" s="1">
        <v>4500000</v>
      </c>
      <c r="FK72" s="1" t="s">
        <v>377</v>
      </c>
      <c r="FL72" s="1">
        <v>3300000</v>
      </c>
      <c r="FM72" s="1" t="s">
        <v>377</v>
      </c>
      <c r="FN72" s="1">
        <v>45000000</v>
      </c>
      <c r="FO72" s="1" t="s">
        <v>377</v>
      </c>
      <c r="FP72" s="1">
        <v>49000000</v>
      </c>
      <c r="FQ72" s="1" t="s">
        <v>323</v>
      </c>
      <c r="FR72" s="1">
        <v>1850000</v>
      </c>
      <c r="FS72" s="1" t="s">
        <v>323</v>
      </c>
      <c r="FT72" s="1">
        <v>17645000</v>
      </c>
      <c r="FU72" s="1" t="s">
        <v>377</v>
      </c>
      <c r="FV72" s="79">
        <f t="shared" si="76"/>
        <v>121295000</v>
      </c>
      <c r="FW72" s="1">
        <v>1394794</v>
      </c>
      <c r="FX72" s="1" t="s">
        <v>323</v>
      </c>
      <c r="FY72" s="1">
        <v>96012</v>
      </c>
      <c r="FZ72" s="79">
        <f t="shared" si="135"/>
        <v>834499.84</v>
      </c>
      <c r="GA72" s="86" t="str">
        <f t="shared" si="271"/>
        <v>abr20 mar21</v>
      </c>
      <c r="GB72" s="83">
        <v>22248266</v>
      </c>
      <c r="GC72" s="6">
        <v>2021</v>
      </c>
      <c r="GD72" s="83">
        <f t="shared" si="318"/>
        <v>2015989</v>
      </c>
      <c r="GE72" s="83">
        <f t="shared" si="318"/>
        <v>421371</v>
      </c>
      <c r="GF72" s="83">
        <v>1038163</v>
      </c>
      <c r="GG72" s="83">
        <f t="shared" si="268"/>
        <v>89478</v>
      </c>
      <c r="GH72" s="79">
        <f t="shared" si="240"/>
        <v>1549012</v>
      </c>
      <c r="GI72" s="82">
        <f t="shared" si="232"/>
        <v>1302556</v>
      </c>
      <c r="GJ72" s="83">
        <f t="shared" si="215"/>
        <v>600000</v>
      </c>
      <c r="GK72" s="83">
        <f t="shared" si="216"/>
        <v>1362000</v>
      </c>
      <c r="GL72" s="83">
        <f t="shared" si="217"/>
        <v>300000</v>
      </c>
      <c r="GM72" s="83">
        <f t="shared" si="218"/>
        <v>261011.3</v>
      </c>
      <c r="GN72" s="79">
        <f t="shared" si="81"/>
        <v>2523011.2999999998</v>
      </c>
      <c r="GO72" s="83">
        <f t="shared" si="291"/>
        <v>199477</v>
      </c>
      <c r="GP72" s="83">
        <f t="shared" si="291"/>
        <v>72919</v>
      </c>
      <c r="GQ72" s="1">
        <v>107325</v>
      </c>
      <c r="GR72" s="83">
        <v>44610</v>
      </c>
      <c r="GS72" s="79">
        <f t="shared" si="192"/>
        <v>47829.75</v>
      </c>
      <c r="GT72" s="83">
        <f t="shared" ref="GT72:GT81" si="333">+GT71</f>
        <v>2871705.88</v>
      </c>
      <c r="GU72" s="1">
        <v>143333</v>
      </c>
      <c r="GV72" s="1">
        <v>83866</v>
      </c>
      <c r="GW72" s="79">
        <f t="shared" si="261"/>
        <v>1197402</v>
      </c>
      <c r="GX72" s="1">
        <v>37480.696000000004</v>
      </c>
      <c r="GY72" s="1" t="s">
        <v>385</v>
      </c>
      <c r="GZ72" s="1">
        <v>97886.411999999997</v>
      </c>
      <c r="HA72" s="1">
        <v>260967</v>
      </c>
      <c r="HB72" s="79">
        <f t="shared" si="241"/>
        <v>3126192</v>
      </c>
      <c r="HC72" s="86" t="str">
        <f t="shared" si="272"/>
        <v>abr20 mar21</v>
      </c>
      <c r="HD72" s="1">
        <v>62739</v>
      </c>
      <c r="HE72" s="79">
        <f t="shared" si="139"/>
        <v>669989</v>
      </c>
      <c r="HF72" s="86" t="str">
        <f t="shared" si="273"/>
        <v>abr20 mar21</v>
      </c>
      <c r="HG72" s="1">
        <v>202000</v>
      </c>
      <c r="HH72" s="79">
        <f t="shared" si="242"/>
        <v>2200000</v>
      </c>
      <c r="HI72" s="86" t="str">
        <f t="shared" si="274"/>
        <v>abr20 mar21</v>
      </c>
      <c r="HJ72" s="1">
        <v>86608</v>
      </c>
      <c r="HK72" s="79">
        <f t="shared" si="278"/>
        <v>56712.9</v>
      </c>
      <c r="HL72" s="86" t="str">
        <f t="shared" si="275"/>
        <v>abr20 mar21</v>
      </c>
      <c r="HM72" s="79">
        <f t="shared" si="86"/>
        <v>2256712.9</v>
      </c>
      <c r="HN72" s="87">
        <f t="shared" si="297"/>
        <v>4.3593297215572591E-2</v>
      </c>
      <c r="HO72" s="1">
        <v>828300000</v>
      </c>
      <c r="HP72" s="79">
        <f t="shared" si="153"/>
        <v>11230.2</v>
      </c>
      <c r="HQ72" s="86" t="str">
        <f t="shared" si="276"/>
        <v>abr20 mar21</v>
      </c>
      <c r="HR72" s="1"/>
      <c r="HS72" s="1"/>
      <c r="HT72" s="1"/>
      <c r="HU72" s="1">
        <v>700000</v>
      </c>
      <c r="HV72" s="1" t="s">
        <v>377</v>
      </c>
      <c r="HW72" s="1">
        <v>1510000</v>
      </c>
      <c r="HX72" s="1" t="s">
        <v>389</v>
      </c>
      <c r="HY72" s="1">
        <v>3190000</v>
      </c>
      <c r="HZ72" s="1" t="s">
        <v>377</v>
      </c>
      <c r="IA72" s="1">
        <f t="shared" si="319"/>
        <v>21410000</v>
      </c>
      <c r="IB72" s="1" t="s">
        <v>377</v>
      </c>
      <c r="IC72" s="1">
        <v>41400000</v>
      </c>
      <c r="ID72" s="1" t="s">
        <v>323</v>
      </c>
      <c r="IE72" s="1">
        <v>1000000</v>
      </c>
      <c r="IF72" s="1" t="s">
        <v>323</v>
      </c>
      <c r="IG72" s="1">
        <f t="shared" si="320"/>
        <v>7200000</v>
      </c>
      <c r="IH72" s="1" t="s">
        <v>389</v>
      </c>
      <c r="II72" s="79">
        <f t="shared" si="87"/>
        <v>75710000</v>
      </c>
      <c r="IJ72" s="97">
        <f t="shared" si="308"/>
        <v>1.9040737312717446</v>
      </c>
      <c r="IK72" s="1" t="s">
        <v>323</v>
      </c>
      <c r="IL72" s="7">
        <v>48.14</v>
      </c>
      <c r="IM72" s="7">
        <v>48.62</v>
      </c>
      <c r="IN72" s="97">
        <v>184</v>
      </c>
      <c r="IO72" s="7">
        <v>14.84</v>
      </c>
      <c r="IP72" s="176">
        <f t="shared" si="321"/>
        <v>6.0901675410995511</v>
      </c>
      <c r="IQ72" s="7">
        <v>18.2</v>
      </c>
      <c r="IR72" s="98">
        <f t="shared" si="322"/>
        <v>5.93</v>
      </c>
      <c r="IS72" s="98">
        <f t="shared" si="322"/>
        <v>5.67</v>
      </c>
      <c r="IT72" s="98">
        <f t="shared" si="322"/>
        <v>13.17</v>
      </c>
      <c r="IU72" s="98">
        <f t="shared" si="322"/>
        <v>1.55</v>
      </c>
      <c r="IV72" s="94">
        <f t="shared" si="89"/>
        <v>20.39</v>
      </c>
      <c r="IW72" s="1"/>
      <c r="IX72" s="1"/>
      <c r="IY72" s="105">
        <v>1.86</v>
      </c>
      <c r="IZ72" s="161">
        <v>0.3</v>
      </c>
      <c r="JA72" s="83">
        <v>2813</v>
      </c>
      <c r="JB72" s="7">
        <v>44.08</v>
      </c>
      <c r="JC72" s="1"/>
      <c r="JD72" s="1"/>
      <c r="JF72" s="2">
        <v>9.1760140200000002</v>
      </c>
      <c r="JG72" s="2">
        <v>39.023247859999998</v>
      </c>
      <c r="JH72" s="2">
        <v>208.55599622999998</v>
      </c>
      <c r="JI72" s="2">
        <v>177.18463636999999</v>
      </c>
      <c r="JJ72" s="2">
        <v>617.88220013000023</v>
      </c>
      <c r="JK72" s="2">
        <v>113.19198033000001</v>
      </c>
      <c r="JL72" s="2">
        <v>2685.3502487299997</v>
      </c>
      <c r="JM72" s="2">
        <v>0.14419899999999999</v>
      </c>
      <c r="JN72" s="2">
        <v>393.55483766999993</v>
      </c>
      <c r="JO72" s="2">
        <v>23.790442099999996</v>
      </c>
      <c r="JP72" s="2">
        <v>0</v>
      </c>
      <c r="JQ72" s="2">
        <v>4.5062867000000004</v>
      </c>
      <c r="JR72" s="2">
        <v>2.2716504799999999</v>
      </c>
      <c r="JS72" s="2">
        <v>0</v>
      </c>
      <c r="JT72" s="2">
        <v>0.48777620999999999</v>
      </c>
      <c r="JU72" s="2">
        <v>80.243381749999998</v>
      </c>
      <c r="JV72" s="2">
        <v>10.164258850000003</v>
      </c>
      <c r="JW72" s="2">
        <v>44.341661550000005</v>
      </c>
      <c r="JX72" s="2">
        <v>10.958664919999999</v>
      </c>
      <c r="JY72" s="2">
        <v>0</v>
      </c>
      <c r="JZ72" s="2">
        <v>1.1888776899999998</v>
      </c>
      <c r="KA72" s="2">
        <v>0.19</v>
      </c>
      <c r="KB72" s="2">
        <v>28.89773229</v>
      </c>
      <c r="KC72" s="2">
        <v>35.951522419999996</v>
      </c>
      <c r="KD72" s="2">
        <v>11.338860919999998</v>
      </c>
      <c r="KE72" s="2">
        <v>26.588134409999999</v>
      </c>
      <c r="KF72" s="2">
        <v>34.918475269999995</v>
      </c>
      <c r="KG72" s="2">
        <v>328.96913445999991</v>
      </c>
      <c r="KH72" s="2">
        <v>112.44423956</v>
      </c>
      <c r="KI72" s="2">
        <v>26.9007346</v>
      </c>
      <c r="KJ72" s="2">
        <v>8.3703445199999997</v>
      </c>
      <c r="KK72" s="2">
        <v>7.4212680600000027</v>
      </c>
      <c r="KL72" s="2">
        <v>9.1060700000000008E-2</v>
      </c>
      <c r="KM72" s="2">
        <v>1.2051009300000002</v>
      </c>
      <c r="KN72" s="2">
        <v>9.4366999999999997E-4</v>
      </c>
      <c r="KO72" s="2">
        <v>2.8552501400000003</v>
      </c>
      <c r="KP72" s="2">
        <v>0</v>
      </c>
      <c r="KQ72" s="2">
        <v>468.97433162000004</v>
      </c>
      <c r="KR72" s="2">
        <v>1.0423000000000001E-4</v>
      </c>
      <c r="KS72" s="2">
        <v>0.23612585999999997</v>
      </c>
      <c r="KT72" s="2">
        <v>1.1484200900000001</v>
      </c>
      <c r="KU72" s="2">
        <v>0.49421152000000002</v>
      </c>
      <c r="KV72" s="2">
        <v>0</v>
      </c>
      <c r="KW72" s="2">
        <v>2.35768076</v>
      </c>
      <c r="KX72" s="2">
        <v>0</v>
      </c>
      <c r="KY72" s="2">
        <v>0</v>
      </c>
      <c r="KZ72" s="2">
        <v>0.75386863999999998</v>
      </c>
      <c r="LA72" s="2">
        <v>0.31138930000000004</v>
      </c>
      <c r="LB72" s="2">
        <v>9.4474819999999987E-2</v>
      </c>
      <c r="LC72" s="2">
        <v>4.9037660000000004E-2</v>
      </c>
      <c r="LD72" s="2">
        <v>0</v>
      </c>
      <c r="LE72" s="2">
        <v>2.1731689000000003</v>
      </c>
      <c r="LF72" s="2">
        <v>6.8849979999999991E-2</v>
      </c>
      <c r="LG72" s="2">
        <v>18.539774880000003</v>
      </c>
      <c r="LH72" s="2">
        <v>5.7195846499999998</v>
      </c>
      <c r="LI72" s="2">
        <v>3.0889995000000003</v>
      </c>
      <c r="LJ72" s="2">
        <v>0</v>
      </c>
      <c r="LK72" s="2">
        <v>3.4102486400000003</v>
      </c>
      <c r="LL72" s="2">
        <v>4.797574720000001</v>
      </c>
      <c r="LM72" s="2">
        <v>1.40141373</v>
      </c>
      <c r="LN72" s="2">
        <v>0.33682803</v>
      </c>
      <c r="LO72" s="2">
        <v>11.149788789999999</v>
      </c>
      <c r="LQ72" s="85">
        <f t="shared" si="323"/>
        <v>4082.6721181299995</v>
      </c>
      <c r="LR72" s="85">
        <f t="shared" si="324"/>
        <v>7.2657133900000002</v>
      </c>
      <c r="LS72" s="85">
        <f t="shared" si="325"/>
        <v>54.505920400000008</v>
      </c>
      <c r="LT72" s="85">
        <f t="shared" si="326"/>
        <v>1.3788776899999997</v>
      </c>
      <c r="LU72" s="85">
        <f t="shared" si="327"/>
        <v>473.27185645000003</v>
      </c>
      <c r="LV72" s="85">
        <f t="shared" si="328"/>
        <v>2.35768076</v>
      </c>
      <c r="LW72" s="85">
        <f t="shared" si="329"/>
        <v>0.40586412000000005</v>
      </c>
      <c r="LX72" s="85">
        <f t="shared" si="330"/>
        <v>2.2420188800000003</v>
      </c>
      <c r="LZ72" s="131">
        <v>91.51</v>
      </c>
      <c r="MA72" s="171">
        <v>84.36</v>
      </c>
      <c r="MB72"/>
      <c r="MC72"/>
      <c r="MD72"/>
      <c r="MF72"/>
      <c r="MG72"/>
      <c r="MH72" s="83">
        <v>157.27000000000001</v>
      </c>
      <c r="MI72" s="83">
        <v>45.12</v>
      </c>
      <c r="MJ72" s="83">
        <v>55.86</v>
      </c>
      <c r="MK72"/>
      <c r="ML72" s="83">
        <v>73.760000000000005</v>
      </c>
      <c r="MM72" s="83">
        <v>96.86</v>
      </c>
      <c r="MN72" s="83"/>
      <c r="MO72" s="83">
        <v>58.36</v>
      </c>
      <c r="MP72" s="83">
        <v>91.23</v>
      </c>
      <c r="MQ72" s="83">
        <v>184.29</v>
      </c>
      <c r="MR72"/>
      <c r="MT72" s="83"/>
      <c r="MU72" s="83">
        <v>114.89</v>
      </c>
      <c r="MV72"/>
      <c r="MW72"/>
      <c r="MX72"/>
      <c r="MY72" s="83">
        <v>160.38</v>
      </c>
      <c r="MZ72" s="83">
        <v>447</v>
      </c>
      <c r="NA72" s="83">
        <v>173.95</v>
      </c>
      <c r="NB72" s="83">
        <v>615.87</v>
      </c>
      <c r="NC72" s="83">
        <v>69.52</v>
      </c>
      <c r="ND72"/>
      <c r="NE72" s="1">
        <v>424.23</v>
      </c>
    </row>
    <row r="73" spans="1:369">
      <c r="A73" s="38">
        <f t="shared" si="219"/>
        <v>44287</v>
      </c>
      <c r="B73" s="36">
        <f t="shared" si="313"/>
        <v>4</v>
      </c>
      <c r="C73" s="36">
        <f t="shared" si="314"/>
        <v>2021</v>
      </c>
      <c r="D73" s="36">
        <f t="shared" si="50"/>
        <v>73</v>
      </c>
      <c r="E73" s="38">
        <f t="shared" si="220"/>
        <v>44287</v>
      </c>
      <c r="F73" s="7">
        <v>95.14</v>
      </c>
      <c r="G73" s="7">
        <v>453.65030000000002</v>
      </c>
      <c r="H73" s="1">
        <f>[2]NACIONALES!$D61</f>
        <v>40000</v>
      </c>
      <c r="I73" s="7">
        <v>83</v>
      </c>
      <c r="J73" s="7">
        <v>540</v>
      </c>
      <c r="K73" s="7">
        <v>4.8</v>
      </c>
      <c r="L73" s="7">
        <v>23.3</v>
      </c>
      <c r="N73" s="5">
        <v>1.633</v>
      </c>
      <c r="O73" s="5">
        <v>1.4790000000000001</v>
      </c>
      <c r="P73" s="78">
        <f t="shared" si="294"/>
        <v>140.63594799999998</v>
      </c>
      <c r="Q73" s="6">
        <v>2470</v>
      </c>
      <c r="R73" s="79">
        <f t="shared" si="222"/>
        <v>24700</v>
      </c>
      <c r="S73" s="6">
        <v>197.47</v>
      </c>
      <c r="T73" s="6">
        <v>460.65</v>
      </c>
      <c r="U73" s="143">
        <v>210.83333333333334</v>
      </c>
      <c r="V73" s="6">
        <v>339.45</v>
      </c>
      <c r="W73" s="6">
        <f>(270*0.88)-10</f>
        <v>227.6</v>
      </c>
      <c r="X73" s="6">
        <v>207.61999999999998</v>
      </c>
      <c r="Y73" s="79">
        <f t="shared" si="223"/>
        <v>18787.2958</v>
      </c>
      <c r="Z73" s="79">
        <f t="shared" si="224"/>
        <v>43826.240999999995</v>
      </c>
      <c r="AA73" s="79">
        <f t="shared" si="225"/>
        <v>20058.683333333334</v>
      </c>
      <c r="AB73" s="79">
        <f t="shared" si="226"/>
        <v>32295.272999999997</v>
      </c>
      <c r="AC73" s="79">
        <f t="shared" si="227"/>
        <v>21653.864000000001</v>
      </c>
      <c r="AD73" s="79">
        <f t="shared" si="228"/>
        <v>19752.966799999998</v>
      </c>
      <c r="AE73" s="79">
        <f t="shared" si="229"/>
        <v>26062.387322222221</v>
      </c>
      <c r="AF73" s="1">
        <v>64093.25</v>
      </c>
      <c r="AG73" s="1">
        <v>24390</v>
      </c>
      <c r="AH73" s="1">
        <v>92690</v>
      </c>
      <c r="AI73" s="5">
        <v>34.96</v>
      </c>
      <c r="AJ73" s="5">
        <v>32.5</v>
      </c>
      <c r="AK73" s="5">
        <v>33.369999999999997</v>
      </c>
      <c r="AL73" s="5">
        <v>29.74</v>
      </c>
      <c r="AM73" s="78">
        <f t="shared" si="230"/>
        <v>33.195399999999999</v>
      </c>
      <c r="AN73" s="7">
        <v>1640.8843537414966</v>
      </c>
      <c r="AO73" s="7">
        <v>913.72380952380956</v>
      </c>
      <c r="AP73" s="78">
        <f t="shared" si="277"/>
        <v>913.72380952380956</v>
      </c>
      <c r="AQ73" s="7">
        <v>744.92307692307691</v>
      </c>
      <c r="AR73" s="7">
        <v>768.82857142857154</v>
      </c>
      <c r="AS73" s="7">
        <v>1393.7611940298507</v>
      </c>
      <c r="AT73" s="7">
        <v>1288.1428571428571</v>
      </c>
      <c r="AU73" s="78">
        <f t="shared" si="53"/>
        <v>1150.2442075337597</v>
      </c>
      <c r="AV73" s="7">
        <v>411.09523809523807</v>
      </c>
      <c r="AW73" s="7">
        <v>1122.9047619047619</v>
      </c>
      <c r="AX73" s="7">
        <v>555.48095238095243</v>
      </c>
      <c r="AY73" s="7">
        <v>629.30674846625766</v>
      </c>
      <c r="AZ73" s="7">
        <v>445.35238095238094</v>
      </c>
      <c r="BA73" s="7">
        <v>257.6904761904762</v>
      </c>
      <c r="BB73" s="94">
        <f t="shared" si="45"/>
        <v>501.80928198136792</v>
      </c>
      <c r="BC73" s="165">
        <v>2513</v>
      </c>
      <c r="BD73" s="165">
        <v>1596</v>
      </c>
      <c r="BE73" s="7">
        <v>1800</v>
      </c>
      <c r="BF73" s="7">
        <v>950</v>
      </c>
      <c r="BG73" s="94">
        <f t="shared" si="56"/>
        <v>1714.75</v>
      </c>
      <c r="BH73" s="7">
        <v>191.89</v>
      </c>
      <c r="BI73" s="7">
        <v>25</v>
      </c>
      <c r="BJ73" s="78">
        <f t="shared" si="57"/>
        <v>216.89</v>
      </c>
      <c r="BK73" s="7">
        <v>184.512</v>
      </c>
      <c r="BL73" s="7">
        <v>213.83</v>
      </c>
      <c r="BM73" s="94">
        <f t="shared" si="58"/>
        <v>199.17099999999999</v>
      </c>
      <c r="BN73" s="5">
        <v>28.17</v>
      </c>
      <c r="BO73" s="84">
        <v>124.5</v>
      </c>
      <c r="BP73">
        <v>73.2</v>
      </c>
      <c r="BQ73" s="94">
        <f t="shared" si="59"/>
        <v>119.37</v>
      </c>
      <c r="BR73" s="7">
        <v>120.04</v>
      </c>
      <c r="BS73" s="97">
        <v>300</v>
      </c>
      <c r="BT73" s="7">
        <f>+F73*1.51</f>
        <v>143.66140000000001</v>
      </c>
      <c r="BU73" s="79">
        <f t="shared" si="237"/>
        <v>4030.9841999999999</v>
      </c>
      <c r="BV73" s="93">
        <v>275.5</v>
      </c>
      <c r="BW73" s="93">
        <v>275</v>
      </c>
      <c r="BY73" s="92">
        <f>BY$10*(1+((H73/H$10-1)*costos!$B$5+((I73*F73)/(I$10*F$10)-1)*costos!$E$5+((J73*F73)/((J$10*F$10)-1)*costos!$F$5/3+((K73*F73)/(K$10*F$10)-1)*costos!$F$5/3+((U73*F73)/(U$10*F$10)-1)*costos!$F$5/3+((L73*F73)/(L$10*F$10)-1)*costos!$G$5+((N73*F73)/(N$10*F$10)-1)*costos!$J$5+((V73*F73)/(V$10*F$10)-1)*costos!$K$5)))</f>
        <v>828.73765612933175</v>
      </c>
      <c r="BZ73" s="92">
        <f>$BZ$10*(1+((H73/$H$10-1)*costos!$B$6+((I73*F73)/($I$10*$F$10)-1)*costos!$E$6+((J73*F73)/(($J$10*$F$10)-1)*costos!$F$6/3+((K73*F73)/($K$10*$F$10)-1)*costos!$F$6/3+((U73*F73)/($U$10*$F$10)-1)*costos!$F$6/3+((L73*F73)/($L$10*$F$10)-1)*costos!$G$6+((Q73*F73)/($Q$10*$F$10)-1)*costos!$J$6+((V73*F73)/($V$10*$F$10)-1)*costos!$K$6)))</f>
        <v>731.57223032259697</v>
      </c>
      <c r="CA73" s="92">
        <f>CA$10*(1+((H73/H$10-1)*costos!$B$7+((I73*F73)/(I$10*F$10)-1)*costos!$E$7+((J73*F73)/((J$10*F$10)-1)*costos!$F$7/3+((K73*F73)/(K$10*F$10)-1)*costos!$F$7/3+((U73*F73)/(U$10*F$10)-1)*costos!$F$7/3+((L73*F73)/(L$10*F$10)-1)*costos!$G$7+((S73*F73)/(S$10*F$10)-1)*costos!$J$7+((V73*F73)/(V$10*F$10)-1)*costos!$K$7)))</f>
        <v>849.27786900999479</v>
      </c>
      <c r="CB73" s="92">
        <f>CB$10*(1+((H73/H$10-1)*costos!$B$8+((I73*F73)/(I$10*F$10)-1)*costos!$E$8+((J73*F73)/((J$10*F$10)-1)*costos!$F$8/3+((K73*F73)/(K$10*F$10)-1)*costos!$F$8/3+((U73*F73)/(U$10*F$10)-1)*costos!$F$8/3+((L73*F73)/(L$10*F$10)-1)*costos!$G$8+((T73*F73)/(T$10*F$10)-1)*costos!$J$8+((V73*F73)/(V$10*F$10)-1)*costos!$K$8)))</f>
        <v>908.90110737253383</v>
      </c>
      <c r="CC73" s="92">
        <f>CC$10*(1+((H73/H$10-1)*costos!$B$9+((I73*F73)/(I$10*F$10)-1)*costos!$E$9+((J73*F73)/((J$10*F$10)-1)*costos!$F$9/3+((K73*F73)/(K$10*F$10)-1)*costos!$F$9/3+((U73*F73)/(U$10*F$10)-1)*costos!$F$9/3+((L73*F73)/(L$10*F$10)-1)*costos!$G$9+((U73*F73)/(U$10*F$10)-1)*costos!$J$9+((V73*F73)/(V$10*F$10)-1)*costos!$K$9)))</f>
        <v>844.62697727825855</v>
      </c>
      <c r="CD73" s="92">
        <f>CD$10*(1+((H73/H$10-1)*costos!$B$11+((I73*F73)/(I$10*F$10)-1)*costos!$E$11+((J73*F73)/((J$10*F$10)-1)*costos!$F$11/3+((K73*F73)/(K$10*F$10)-1)*costos!$F$11/3+((U73*F73)/(U$10*F$10)-1)*costos!$F$11/3+((L73*F73)/(L$10*F$10)-1)*costos!$G$11+((V73*F73)/(V$10*F$10)-1)*costos!$J$11+((V73*F73)/(V$10*F$10)-1)*costos!$K$11)))</f>
        <v>898.371273510989</v>
      </c>
      <c r="CE73" s="92">
        <f>CE$10*(1+((H73/H$10-1)*costos!$B$12+((I73*F73)/(I$10*F$10)-1)*costos!$E$12+((J73*F73)/((J$10*F$10)-1)*costos!$F$12/3+((K73*F73)/(K$10*F$10)-1)*costos!$F$12/3+((U73*F73)/(U$10*F$10)-1)*costos!$F$12/3+((L73*F73)/(L$10*F$10)-1)*costos!$G$12+((W73*F73)/(W$10*F$10)-1)*costos!$J$12+((V73*F73)/(V$10*F$10)-1)*costos!$K$12)))</f>
        <v>850.23253812124176</v>
      </c>
      <c r="CF73" s="92">
        <f>CF$10*(1+((H73/H$10-1)*costos!$B$13+((I73*F73)/(I$10*F$10)-1)*costos!$E$13+((J73*F73)/((J$10*F$10)-1)*costos!$F$13/3+((K73*F73)/(K$10*F$10)-1)*costos!$F$13/3+((U73*F73)/(U$10*F$10)-1)*costos!$F$13/3+((L73*F73)/(L$10*F$10)-1)*costos!$G$13+((X73*F73)/(X$10*F$10)-1)*costos!$J$13+((V73*F73)/(V$10*F$10)-1)*costos!$K$13)))</f>
        <v>860.81657805356451</v>
      </c>
      <c r="CG73" s="92">
        <f t="shared" si="309"/>
        <v>868.70439055776376</v>
      </c>
      <c r="CH73" s="92">
        <f>CH$10*(1+((H73/H$10-1)*costos!$B$10+((I73*F73)/(I$10*F$10)-1)*costos!$E$10+((J73*F73)/((J$10*F$10)-1)*costos!$F$10/3+((K73*F73)/(K$10*F$10)-1)*costos!$F$10/3+((U73*F73)/(U$10*F$10)-1)*costos!$F$10/3+((L73*F73)/(L$10*F$10)-1)*costos!$G$10+((AF73)/(AF$10)-1)*costos!$J$10+((V73*F73)/(V$10*F$10)-1)*costos!$K$10)))</f>
        <v>889.59287414977621</v>
      </c>
      <c r="CI73" s="92">
        <f>CI$10*(1+((H73/H$10-1)*costos!$B$15+((I73*F73)/(I$10*F$10)-1)*costos!$E$15+((J73*F73)/((J$10*F$10)-1)*costos!$F$15/3+((K73*F73)/(K$10*F$10)-1)*costos!$F$15/3+((U73*F73)/(U$10*F$10)-1)*costos!$F$15/3+((L73*F73)/(L$10*F$10)-1)*costos!$G$15+((AV73)/(AV$10)-1)*costos!$J$15+((V73*F73)/(V$10*F$10)-1)*costos!$K$15)))</f>
        <v>747.69542905910453</v>
      </c>
      <c r="CJ73" s="92">
        <f>CJ$10*(1+((H73/H$10-1)*costos!$B$16+((I73*F73)/(I$10*F$10)-1)*costos!$E$16+((J73*F73)/((J$10*F$10)-1)*costos!$F$16/3+((K73*F73)/(K$10*F$10)-1)*costos!$F$16/3+((U73*F73)/(U$10*F$10)-1)*costos!$F$16/3+((L73*F73)/(L$10*F$10)-1)*costos!$G$16+((AW73)/(AW$10)-1)*costos!$J$16+((V73*F73)/(V$10*F$10)-1)*costos!$K$16)))</f>
        <v>601.53804778648828</v>
      </c>
      <c r="CK73" s="92">
        <f>CK$10*(1+((H73/H$10-1)*costos!$B$17+((I73*F73)/(I$10*F$10)-1)*costos!$E$17+((J73*F73)/((J$10*F$10)-1)*costos!$F$17/3+((K73*F73)/(K$10*F$10)-1)*costos!$F$17/3+((U73*F73)/(U$10*F$10)-1)*costos!$F$17/3+((L73*F73)/(L$10*F$10)-1)*costos!$G$17+((AX73)/(AX$10)-1)*costos!$J$17+((V73*F73)/(V$10*F$10)-1)*costos!$K$17)))</f>
        <v>702.29300726174677</v>
      </c>
      <c r="CL73" s="92">
        <f>CL$10*(1+((H73/H$10-1)*costos!$B$18+((I73*F73)/(I$10*F$10)-1)*costos!$E$18+((J73*F73)/((J$10*F$10)-1)*costos!$F$18/3+((K73*F73)/(K$10*F$10)-1)*costos!$F$18/3+((U73*F73)/(U$10*F$10)-1)*costos!$F$18/3+((L73*F73)/(L$10*F$10)-1)*costos!$G$18+((AY73)/(AY$10)-1)*costos!$J$18+((V73*F73)/(V$10*F$10)-1)*costos!$K$18)))</f>
        <v>714.82206628153313</v>
      </c>
      <c r="CM73" s="92">
        <f>CM$10*(1+((H73/H$10-1)*costos!$B$19+((I73*F73)/(I$10*F$10)-1)*costos!$E$19+((J73*F73)/((J$10*F$10)-1)*costos!$F$19/3+((K73*F73)/(K$10*F$10)-1)*costos!$F$19/3+((U73*F73)/(U$10*F$10)-1)*costos!$F$19/3+((L73*F73)/(L$10*F$10)-1)*costos!$G$19+((AZ73)/(AZ$10)-1)*costos!$J$19+((V73*F73)/(V$10*F$10)-1)*costos!$K$19)))</f>
        <v>556.85707309478278</v>
      </c>
      <c r="CN73" s="92">
        <f>CN$10*(1+((H73/H$10-1)*costos!$B$20+((I73*F73)/(I$10*F$10)-1)*costos!$E$20+((J73*F73)/((J$10*F$10)-1)*costos!$F$20/3+((K73*F73)/(K$10*F$10)-1)*costos!$F$20/3+((U73*F73)/(U$10*F$10)-1)*costos!$F$20/3+((L73*F73)/(L$10*F$10)-1)*costos!$G$20+((BA73)/(BA$10)-1)*costos!$J$20+((V73*F73)/(V$10*F$10)-1)*costos!$K$20)))</f>
        <v>558.28491038842969</v>
      </c>
      <c r="CO73" s="92">
        <f t="shared" si="310"/>
        <v>633.06426425662301</v>
      </c>
      <c r="CP73" s="92">
        <f>CP$10*(1+((H73/H$10-1)*costos!$B$22+((I73*F73)/(I$10*F$10)-1)*costos!$E$22+((J73*F73)/((J$10*F$10)-1)*costos!$F$22/3+((K73*F73)/(K$10*F$10)-1)*costos!$F$22/3+((U73*F73)/(U$10*F$10)-1)*costos!$F$22/3+((L73*F73)/(L$10*F$10)-1)*costos!$G$22+(((AVERAGE(AI73:AL73))/((AVERAGE(AI$10:AL$10))-1)*costos!$J$22+((V73*F73)/(V$10*F$10)-1)*costos!$K$22)))))</f>
        <v>790.70014107142447</v>
      </c>
      <c r="CQ73" s="92">
        <f>CQ$10*(1+((H73/H$10-1)*costos!$B$23+((I73*F73)/(I$10*F$10)-1)*costos!$E$23+((J73*F73)/((J$10*F$10)-1)*costos!$F$23/3+((K73*F73)/(K$10*F$10)-1)*costos!$F$23/3+((U73*F73)/(U$10*F$10)-1)*costos!$F$23/3+((L73*F73)/(L$10*F$10)-1)*costos!$G$23+((AN73)/(AN$10)-1)*costos!$J$23+((V73*F73)/(V$10*F$10)-1)*costos!$K$23)))</f>
        <v>619.12017840113265</v>
      </c>
      <c r="CR73" s="92">
        <f>CR$10*(1+((H73/H$10-1)*costos!$B$24+((I73*F73)/(I$10*F$10)-1)*costos!$E$24+((J73*F73)/((J$10*F$10)-1)*costos!$F$24/3+((K73*F73)/(K$10*F$10)-1)*costos!$F$24/3+((U73*F73)/(U$10*F$10)-1)*costos!$F$24/3+((L73*F73)/(L$10*F$10)-1)*costos!$G$24+((AO73)/(AO$10)-1)*costos!$J$24+((V73*F73)/(V$10*F$10)-1)*costos!$K$24)))</f>
        <v>613.16607218460956</v>
      </c>
      <c r="CS73" s="92">
        <f t="shared" si="62"/>
        <v>616.1431252928711</v>
      </c>
      <c r="CT73" s="92">
        <f>CT$10*(1+((H73/H$10-1)*costos!$B$25+((I73*F73)/(I$10*F$10)-1)*costos!$E$25+((J73*F73)/((J$10*F$10)-1)*costos!$F$25/3+((K73*F73)/(K$10*F$10)-1)*costos!$F$25/3+((U73*F73)/(U$10*F$10)-1)*costos!$F$25/3+((L73*F73)/(L$10*F$10)-1)*costos!$G$25+((AQ73)/(AQ$10)-1)*costos!$J$25+((V73*F73)/(V$10*F$10)-1)*costos!$K$25)))</f>
        <v>608.026804038313</v>
      </c>
      <c r="CU73" s="92">
        <f>CU$10*(1+((H73/H$10-1)*costos!$B$26+((I73*F73)/(I$10*F$10)-1)*costos!$E$26+((J73*F73)/((J$10*F$10)-1)*costos!$F$26/3+((K73*F73)/(K$10*F$10)-1)*costos!$F$26/3+((U73*F73)/(U$10*F$10)-1)*costos!$F$26/3+((L73*F73)/(L$10*F$10)-1)*costos!$G$26+((AR73)/(AR$10)-1)*costos!$J$26+((V73*F73)/(V$10*F$10)-1)*costos!$K$26)))</f>
        <v>651.60192932782388</v>
      </c>
      <c r="CV73" s="92">
        <f>CV$10*(1+((H73/H$10-1)*costos!$B$27+((I73*F73)/(I$10*F$10)-1)*costos!$E$27+((J73*F73)/((J$10*F$10)-1)*costos!$F$27/3+((K73*F73)/(K$10*F$10)-1)*costos!$F$27/3+((U73*F73)/(U$10*F$10)-1)*costos!$F$27/3+((L73*F73)/(L$10*F$10)-1)*costos!$G$27+((AS73)/(AS$10)-1)*costos!$J$27+((V73*F73)/(V$10*F$10)-1)*costos!$K$27)))</f>
        <v>692.53083707442897</v>
      </c>
      <c r="CW73" s="92">
        <f>CW$10*(1+((H73/H$10-1)*costos!$B$28+((I73*F73)/(I$10*F$10)-1)*costos!$E$28+((J73*F73)/((J$10*F$10)-1)*costos!$F$28/3+((K73*F73)/(K$10*F$10)-1)*costos!$F$28/3+((U73*F73)/(U$10*F$10)-1)*costos!$F$28/3+((L73*F73)/(L$10*F$10)-1)*costos!$G$28+((AS73)/(AS$10)-1)*costos!$J$28+((V73*F73)/(V$10*F$10)-1)*costos!$K$28)))</f>
        <v>692.53083707442897</v>
      </c>
      <c r="CX73" s="92">
        <f t="shared" si="311"/>
        <v>678.88786782556065</v>
      </c>
      <c r="CY73" s="92">
        <f>CY$10*(1+((H73/H$10-1)*costos!$B$32+((I73*F73)/(I$10*F$10)-1)*costos!$E$32+((J73*F73)/((J$10*F$10)-1)*costos!$F$32/3+((K73*F73)/(K$10*F$10)-1)*costos!$F$32/3+((U73*F73)/(U$10*F$10)-1)*costos!$F$32/3+((L73*F73)/(L$10*F$10)-1)*costos!$G$32+((AG73)/(AG$10)-1)*costos!$J$32+((V73*F73)/(V$10*F$10)-1)*costos!$K$32)))</f>
        <v>573.92711706891362</v>
      </c>
      <c r="CZ73" s="69">
        <f>CZ$10*(1+((H73/H$10-1)*costos!$B$31+((I73*F73)/(I$10*F$10)-1)*costos!$E$30+((J73*F73)/((J$10*F$10)-1)*costos!$F$30/3+((K73*F73)/(K$10*F$10)-1)*costos!$F$30/3+((U73*F73)/(U$10*F$10)-1)*costos!$F$30/3+((L73*F73)/(L$10*F$10)-1)*costos!$G$30+((BG73)/(BG$10)-1)*costos!$J$30+((V73*F73)/(V$10*F$10)-1)*costos!$K$30)))</f>
        <v>731.6297680124444</v>
      </c>
      <c r="DA73" s="69">
        <f>DA$10*(1+((H73/H$10-1)*costos!$B$31+((I73*F73)/(I$10*F$10)-1)*costos!$E$31+((J73*F73)/((J$10*F$10)-1)*costos!$F$31/3+((K73*F73)/(K$10*F$10)-1)*costos!$F$31/3+((U73*F73)/(U$10*F$10)-1)*costos!$F$31/3+((L73*F73)/(L$10*F$10)-1)*costos!$G$31+((BJ73)/(BJ$10)-1)*costos!$J$31+((V73*F73)/(V$10*F$10)-1)*costos!$K$31)))</f>
        <v>607.51215721875826</v>
      </c>
      <c r="DB73" s="69">
        <f>DB$10*(1+((H73/H$10-1)*costos!$B$36+((I73*F73)/(I$10*F$10)-1)*costos!$E$36+((J73*F73)/((J$10*F$10)-1)*costos!$F$36/3+((K73*F73)/(K$10*F$10)-1)*costos!$F$36/3+((U73*F73)/(U$10*F$10)-1)*costos!$F$36/3+((L73*F73)/(L$10*F$10)-1)*costos!$G$36+((BK73)/(BK$10)-1)*costos!$J$36+((V73*F73)/(V$10*F$10)-1)*costos!$K$36)))</f>
        <v>701.68790648380229</v>
      </c>
      <c r="DC73" s="69">
        <f>DC$10*(1+((H73/H$10-1)*costos!$B$37+((I73*F73)/(I$10*F$10)-1)*costos!$E$37+((U73*F73)/(U$10*F$10)-1)*costos!$F$37+((L73*F73)/(L$10*F$10)-1)*costos!$G$37+((BN73)/(BN$10)-1)*costos!$J$37+((V73*F73)/(V$10*F$10)-1)*costos!$K$37))</f>
        <v>865.15259353655165</v>
      </c>
      <c r="DD73" s="69">
        <f>DD$10*(1+((H73/H$10-1)*costos!$B$39+((I73*F73)/(I$10*F$10)-1)*costos!$E$39+((U73*F73)/(U$10*F$10)-1)*costos!$F$39+((L73*F73)/(L$10*F$10)-1)*costos!$G$39+((BR73)/(BR$10)-1)*costos!$J$39+((V73*F73)/(V$10*F$10)-1)*costos!$K$39))</f>
        <v>855.35304425388881</v>
      </c>
      <c r="DE73" s="69">
        <f>DD$10*(1+((H73/H$10-1)*costos!$B$35+((I73*F73)/(I$10*F$10)-1)*costos!$E$35+((U73*F73)/(U$10*F$10)-1)*costos!$F$35+((L73*F73)/(L$10*F$10)-1)*costos!$G$35+((BR73)/(BR$10)-1)*costos!$J$35+((V73*F73)/(V$10*F$10)-1)*costos!$K$35))</f>
        <v>783.78441744240979</v>
      </c>
      <c r="DF73" s="69">
        <f>DF$10*(1+((H73/H$10-1)*costos!$B$40+((I73*F73)/(I$10*F$10)-1)*costos!$E$40+((U73*F73)/(U$10*F$10)-1)*costos!$F$40+((L73*F73)/(L$10*F$10)-1)*costos!$G$40+((BP73)/(BP$10)-1)*costos!$J$40+((V73*F73)/(V$10*F$10)-1)*costos!$K$40))</f>
        <v>897.60276824564824</v>
      </c>
      <c r="DG73" s="92">
        <f t="shared" si="312"/>
        <v>840.69359284402901</v>
      </c>
      <c r="DH73" s="69">
        <f>DH$10*(1+((H73/H$10-1)*costos!$B$34+((I73*F73)/(I$10*F$10)-1)*costos!$E$34+((J73*F73)/((J$10*F$10)-1)*costos!$F$34/3+((K73*F73)/(K$10*F$10)-1)*costos!$F$34/3+((U73*F73)/(U$10*F$10)-1)*costos!$F$34/3+((L73*F73)/(L$10*F$10)-1)*costos!$G$34+((BV73)/(BV$10)-1)*costos!$J$34+((V73*F73)/(V$10*F$10)-1)*costos!$K$34)))</f>
        <v>697.92125656892347</v>
      </c>
      <c r="DI73" s="69">
        <f>DI$10*(1+((H73/H$10-1)*costos!$B$38+((I73*F73)/(I$10*F$10)-1)*costos!$E$38+((J73*F73)/((J$10*F$10)-1)*costos!$F$38/3+((K73*F73)/(K$10*F$10)-1)*costos!$F$38/3+((U73*F73)/(U$10*F$10)-1)*costos!$F$38/3+((L73*F73)/(L$10*F$10)-1)*costos!$G$38+((BU73)/(BU$10)-1)*costos!$J$38+((V73*F73)/(V$10*F$10)-1)*costos!$K$38)))</f>
        <v>576.8365665901008</v>
      </c>
      <c r="DK73" s="1">
        <v>410000</v>
      </c>
      <c r="DL73" s="1" t="s">
        <v>377</v>
      </c>
      <c r="DM73" s="1">
        <v>198000</v>
      </c>
      <c r="DN73" s="1" t="s">
        <v>377</v>
      </c>
      <c r="DO73" s="1">
        <v>1250000</v>
      </c>
      <c r="DP73" s="1" t="s">
        <v>377</v>
      </c>
      <c r="DQ73" s="1">
        <v>1500000</v>
      </c>
      <c r="DR73" s="1" t="s">
        <v>377</v>
      </c>
      <c r="DS73" s="1">
        <v>6300000</v>
      </c>
      <c r="DT73" s="1" t="s">
        <v>377</v>
      </c>
      <c r="DU73" s="1">
        <v>17000000</v>
      </c>
      <c r="DV73" s="1" t="s">
        <v>377</v>
      </c>
      <c r="DW73" s="1">
        <v>900000</v>
      </c>
      <c r="DX73" s="1" t="s">
        <v>377</v>
      </c>
      <c r="DY73" s="1">
        <v>6730000</v>
      </c>
      <c r="DZ73" s="1" t="s">
        <v>377</v>
      </c>
      <c r="EA73" s="79">
        <f t="shared" si="67"/>
        <v>33680000</v>
      </c>
      <c r="EB73" s="1">
        <v>390000</v>
      </c>
      <c r="EC73" s="1" t="s">
        <v>377</v>
      </c>
      <c r="ED73" s="1">
        <v>191392</v>
      </c>
      <c r="EE73" s="143">
        <v>2021</v>
      </c>
      <c r="EF73" s="1">
        <v>211099</v>
      </c>
      <c r="EG73" s="6">
        <v>2021</v>
      </c>
      <c r="EH73" s="1">
        <v>53517534</v>
      </c>
      <c r="EI73" s="6">
        <v>2021</v>
      </c>
      <c r="EJ73" s="1">
        <v>5350999</v>
      </c>
      <c r="EK73" s="6">
        <v>2021</v>
      </c>
      <c r="EL73" s="1">
        <v>14571766</v>
      </c>
      <c r="EM73" s="6">
        <v>2020</v>
      </c>
      <c r="EN73" s="1">
        <v>3132657</v>
      </c>
      <c r="EO73" s="6">
        <v>2020</v>
      </c>
      <c r="EP73" s="82">
        <f t="shared" si="315"/>
        <v>6552</v>
      </c>
      <c r="EQ73" s="83">
        <v>3366686</v>
      </c>
      <c r="ER73" s="1">
        <f t="shared" si="189"/>
        <v>76133.333333333328</v>
      </c>
      <c r="ES73" s="1"/>
      <c r="ET73" s="83">
        <f t="shared" si="316"/>
        <v>16000</v>
      </c>
      <c r="EU73" s="83">
        <f t="shared" si="316"/>
        <v>19131</v>
      </c>
      <c r="EV73" s="83">
        <f t="shared" si="316"/>
        <v>9000</v>
      </c>
      <c r="EW73" s="83">
        <f t="shared" si="316"/>
        <v>17492</v>
      </c>
      <c r="EX73" s="79">
        <f>+SUM(ET73:EW73)</f>
        <v>61623</v>
      </c>
      <c r="EY73" s="83">
        <f t="shared" si="317"/>
        <v>19904</v>
      </c>
      <c r="EZ73" s="82">
        <f t="shared" si="317"/>
        <v>80798</v>
      </c>
      <c r="FA73" s="83">
        <f t="shared" si="331"/>
        <v>20331</v>
      </c>
      <c r="FB73" s="83">
        <f t="shared" si="332"/>
        <v>17550</v>
      </c>
      <c r="FC73" s="79">
        <f t="shared" si="307"/>
        <v>37881</v>
      </c>
      <c r="FD73" s="83">
        <f t="shared" si="158"/>
        <v>59807.5</v>
      </c>
      <c r="FE73" s="1"/>
      <c r="FF73" s="1">
        <v>1050000</v>
      </c>
      <c r="FG73" s="1" t="s">
        <v>377</v>
      </c>
      <c r="FH73" s="1">
        <v>1400000</v>
      </c>
      <c r="FI73" s="1" t="s">
        <v>377</v>
      </c>
      <c r="FJ73" s="1">
        <v>4500000</v>
      </c>
      <c r="FK73" s="1" t="s">
        <v>377</v>
      </c>
      <c r="FL73" s="1">
        <v>3300000</v>
      </c>
      <c r="FM73" s="1" t="s">
        <v>377</v>
      </c>
      <c r="FN73" s="1">
        <v>46000000</v>
      </c>
      <c r="FO73" s="1" t="s">
        <v>377</v>
      </c>
      <c r="FP73" s="1">
        <v>47000000</v>
      </c>
      <c r="FQ73" s="1" t="s">
        <v>377</v>
      </c>
      <c r="FR73" s="1">
        <v>3000000</v>
      </c>
      <c r="FS73" s="1" t="s">
        <v>377</v>
      </c>
      <c r="FT73" s="1">
        <v>17645000</v>
      </c>
      <c r="FU73" s="1" t="s">
        <v>377</v>
      </c>
      <c r="FV73" s="79">
        <f t="shared" si="76"/>
        <v>121445000</v>
      </c>
      <c r="FW73" s="1">
        <v>1300000</v>
      </c>
      <c r="FX73" s="1" t="s">
        <v>377</v>
      </c>
      <c r="FY73" s="1">
        <v>126979</v>
      </c>
      <c r="FZ73" s="79">
        <f t="shared" si="135"/>
        <v>841398.84</v>
      </c>
      <c r="GA73" s="86" t="str">
        <f t="shared" si="271"/>
        <v>may20 abr21</v>
      </c>
      <c r="GB73" s="83">
        <v>22248266</v>
      </c>
      <c r="GC73" s="6">
        <v>2021</v>
      </c>
      <c r="GD73" s="83">
        <f t="shared" si="318"/>
        <v>2015989</v>
      </c>
      <c r="GE73" s="83">
        <f t="shared" si="318"/>
        <v>421371</v>
      </c>
      <c r="GF73" s="83">
        <v>1038163</v>
      </c>
      <c r="GG73" s="83">
        <f t="shared" si="268"/>
        <v>89478</v>
      </c>
      <c r="GH73" s="79">
        <f t="shared" si="240"/>
        <v>1549012</v>
      </c>
      <c r="GI73" s="82">
        <f t="shared" si="232"/>
        <v>1302556</v>
      </c>
      <c r="GJ73" s="83">
        <f t="shared" si="215"/>
        <v>600000</v>
      </c>
      <c r="GK73" s="83">
        <f t="shared" si="216"/>
        <v>1362000</v>
      </c>
      <c r="GL73" s="83">
        <f t="shared" si="217"/>
        <v>300000</v>
      </c>
      <c r="GM73" s="83">
        <f t="shared" si="218"/>
        <v>261011.3</v>
      </c>
      <c r="GN73" s="79">
        <f t="shared" si="81"/>
        <v>2523011.2999999998</v>
      </c>
      <c r="GO73" s="83">
        <f t="shared" si="291"/>
        <v>199477</v>
      </c>
      <c r="GP73" s="83">
        <f t="shared" si="291"/>
        <v>72919</v>
      </c>
      <c r="GQ73" s="1">
        <v>60713.75</v>
      </c>
      <c r="GR73" s="83">
        <v>44610</v>
      </c>
      <c r="GS73" s="79">
        <f t="shared" si="192"/>
        <v>46431.412499999999</v>
      </c>
      <c r="GT73" s="83">
        <f t="shared" si="333"/>
        <v>2871705.88</v>
      </c>
      <c r="GU73" s="1">
        <v>92219</v>
      </c>
      <c r="GV73" s="1">
        <v>68450</v>
      </c>
      <c r="GW73" s="79">
        <f t="shared" si="261"/>
        <v>1172204</v>
      </c>
      <c r="GX73" s="1">
        <v>37480.696000000004</v>
      </c>
      <c r="GY73" s="1" t="s">
        <v>385</v>
      </c>
      <c r="GZ73" s="1">
        <v>97886.411999999997</v>
      </c>
      <c r="HA73" s="1">
        <v>246462</v>
      </c>
      <c r="HB73" s="79">
        <f t="shared" si="241"/>
        <v>3112456</v>
      </c>
      <c r="HC73" s="86" t="str">
        <f t="shared" si="272"/>
        <v>may20 abr21</v>
      </c>
      <c r="HD73" s="1">
        <v>57429</v>
      </c>
      <c r="HE73" s="79">
        <f t="shared" si="139"/>
        <v>678297</v>
      </c>
      <c r="HF73" s="86" t="str">
        <f t="shared" si="273"/>
        <v>may20 abr21</v>
      </c>
      <c r="HG73" s="1">
        <v>195000</v>
      </c>
      <c r="HH73" s="79">
        <f t="shared" si="242"/>
        <v>2194000</v>
      </c>
      <c r="HI73" s="86" t="str">
        <f t="shared" si="274"/>
        <v>may20 abr21</v>
      </c>
      <c r="HJ73" s="1">
        <v>75345</v>
      </c>
      <c r="HK73" s="79">
        <f t="shared" si="278"/>
        <v>57319.020000000004</v>
      </c>
      <c r="HL73" s="86" t="str">
        <f t="shared" si="275"/>
        <v>may20 abr21</v>
      </c>
      <c r="HM73" s="79">
        <f t="shared" si="86"/>
        <v>2251319.02</v>
      </c>
      <c r="HN73" s="87">
        <f t="shared" si="297"/>
        <v>3.4778225806451513E-2</v>
      </c>
      <c r="HO73" s="1">
        <v>821200000</v>
      </c>
      <c r="HP73" s="79">
        <f t="shared" si="153"/>
        <v>11257.8</v>
      </c>
      <c r="HQ73" s="86" t="str">
        <f t="shared" si="276"/>
        <v>may20 abr21</v>
      </c>
      <c r="HR73" s="1"/>
      <c r="HS73" s="1"/>
      <c r="HT73" s="1"/>
      <c r="HU73" s="1">
        <v>700000</v>
      </c>
      <c r="HV73" s="1" t="s">
        <v>377</v>
      </c>
      <c r="HW73" s="1">
        <v>1510000</v>
      </c>
      <c r="HX73" s="1" t="s">
        <v>389</v>
      </c>
      <c r="HY73" s="1">
        <v>3190000</v>
      </c>
      <c r="HZ73" s="1" t="s">
        <v>377</v>
      </c>
      <c r="IA73" s="1">
        <f t="shared" si="319"/>
        <v>21410000</v>
      </c>
      <c r="IB73" s="1" t="s">
        <v>377</v>
      </c>
      <c r="IC73" s="1">
        <v>45150000</v>
      </c>
      <c r="ID73" s="1" t="s">
        <v>377</v>
      </c>
      <c r="IE73" s="1">
        <v>1200000</v>
      </c>
      <c r="IF73" s="1" t="s">
        <v>377</v>
      </c>
      <c r="IG73" s="1">
        <f t="shared" si="320"/>
        <v>7200000</v>
      </c>
      <c r="IH73" s="1" t="s">
        <v>389</v>
      </c>
      <c r="II73" s="79">
        <f t="shared" si="87"/>
        <v>79660000</v>
      </c>
      <c r="IJ73" s="97">
        <f t="shared" si="308"/>
        <v>1.9040737312717446</v>
      </c>
      <c r="IK73" s="1" t="s">
        <v>377</v>
      </c>
      <c r="IL73" s="7">
        <v>48.3</v>
      </c>
      <c r="IM73" s="7">
        <v>47.43</v>
      </c>
      <c r="IN73" s="97">
        <v>184</v>
      </c>
      <c r="IO73" s="7">
        <v>14.9</v>
      </c>
      <c r="IP73" s="176">
        <f t="shared" si="321"/>
        <v>6.0901675410995511</v>
      </c>
      <c r="IQ73" s="7">
        <v>18.2</v>
      </c>
      <c r="IR73" s="98">
        <f t="shared" si="322"/>
        <v>5.93</v>
      </c>
      <c r="IS73" s="98">
        <f t="shared" si="322"/>
        <v>5.67</v>
      </c>
      <c r="IT73" s="98">
        <f t="shared" si="322"/>
        <v>13.17</v>
      </c>
      <c r="IU73" s="98">
        <f t="shared" si="322"/>
        <v>1.55</v>
      </c>
      <c r="IV73" s="94">
        <f t="shared" si="89"/>
        <v>20.39</v>
      </c>
      <c r="IW73" s="1"/>
      <c r="IX73" s="1"/>
      <c r="IY73" s="105">
        <v>1.86</v>
      </c>
      <c r="IZ73" s="161">
        <v>0.3</v>
      </c>
      <c r="JA73" s="83">
        <v>2813</v>
      </c>
      <c r="JB73" s="7">
        <v>44.08</v>
      </c>
      <c r="JC73" s="1"/>
      <c r="JD73" s="1"/>
      <c r="JF73" s="2">
        <v>7.7153011500000019</v>
      </c>
      <c r="JG73" s="2">
        <v>14.593371639999999</v>
      </c>
      <c r="JH73" s="2">
        <v>122.94807085000002</v>
      </c>
      <c r="JI73" s="2">
        <v>325.75376351</v>
      </c>
      <c r="JJ73" s="2">
        <v>1002.7686231999996</v>
      </c>
      <c r="JK73" s="2">
        <v>90.171479009999999</v>
      </c>
      <c r="JL73" s="2">
        <v>3112.9292309299999</v>
      </c>
      <c r="JM73" s="2">
        <v>43.608217209999999</v>
      </c>
      <c r="JN73" s="2">
        <v>441.21345681999998</v>
      </c>
      <c r="JO73" s="2">
        <v>15.576587770000001</v>
      </c>
      <c r="JP73" s="2">
        <v>0</v>
      </c>
      <c r="JQ73" s="2">
        <v>8.94275749</v>
      </c>
      <c r="JR73" s="2">
        <v>2.00216993</v>
      </c>
      <c r="JS73" s="2">
        <v>0</v>
      </c>
      <c r="JT73" s="2">
        <v>0.31829205999999999</v>
      </c>
      <c r="JU73" s="2">
        <v>81.731667529999996</v>
      </c>
      <c r="JV73" s="2">
        <v>19.889218230000001</v>
      </c>
      <c r="JW73" s="2">
        <v>34.743991369999996</v>
      </c>
      <c r="JX73" s="2">
        <v>17.949189340000004</v>
      </c>
      <c r="JY73" s="2">
        <v>0</v>
      </c>
      <c r="JZ73" s="2">
        <v>0.73858164000000004</v>
      </c>
      <c r="KA73" s="2">
        <v>0.29250000000000004</v>
      </c>
      <c r="KB73" s="2">
        <v>36.345545600000001</v>
      </c>
      <c r="KC73" s="2">
        <v>14.933827540000001</v>
      </c>
      <c r="KD73" s="2">
        <v>6.1749373100000007</v>
      </c>
      <c r="KE73" s="2">
        <v>24.764688639999999</v>
      </c>
      <c r="KF73" s="2">
        <v>29.538907699999996</v>
      </c>
      <c r="KG73" s="2">
        <v>302.72541766000001</v>
      </c>
      <c r="KH73" s="2">
        <v>88.811885839999988</v>
      </c>
      <c r="KI73" s="2">
        <v>29.908121860000001</v>
      </c>
      <c r="KJ73" s="2">
        <v>8.910188800000002</v>
      </c>
      <c r="KK73" s="2">
        <v>6.5740413099999984</v>
      </c>
      <c r="KL73" s="2">
        <v>0.15021649999999998</v>
      </c>
      <c r="KM73" s="2">
        <v>0.49609318000000002</v>
      </c>
      <c r="KN73" s="2">
        <v>0.13506762000000003</v>
      </c>
      <c r="KO73" s="2">
        <v>0.30269764999999998</v>
      </c>
      <c r="KP73" s="2">
        <v>6.087679E-2</v>
      </c>
      <c r="KQ73" s="2">
        <v>379.35376100000002</v>
      </c>
      <c r="KR73" s="2">
        <v>0.10290597</v>
      </c>
      <c r="KS73" s="2">
        <v>8.2253170000000014E-2</v>
      </c>
      <c r="KT73" s="2">
        <v>1.17334267</v>
      </c>
      <c r="KU73" s="2">
        <v>0.18508399</v>
      </c>
      <c r="KV73" s="2">
        <v>0</v>
      </c>
      <c r="KW73" s="2">
        <v>2.2608221900000003</v>
      </c>
      <c r="KX73" s="2">
        <v>0</v>
      </c>
      <c r="KY73" s="2">
        <v>0</v>
      </c>
      <c r="KZ73" s="2">
        <v>1.0081080200000001</v>
      </c>
      <c r="LA73" s="2">
        <v>0.5038435</v>
      </c>
      <c r="LB73" s="2">
        <v>6.738922E-2</v>
      </c>
      <c r="LC73" s="2">
        <v>6.4353939999999998E-2</v>
      </c>
      <c r="LD73" s="2">
        <v>0</v>
      </c>
      <c r="LE73" s="2">
        <v>1.2187275400000002</v>
      </c>
      <c r="LF73" s="2">
        <v>0</v>
      </c>
      <c r="LG73" s="2">
        <v>16.465788359999998</v>
      </c>
      <c r="LH73" s="2">
        <v>6.2991539800000007</v>
      </c>
      <c r="LI73" s="2">
        <v>2.9169426100000004</v>
      </c>
      <c r="LJ73" s="2">
        <v>2.5631999999999999E-3</v>
      </c>
      <c r="LK73" s="2">
        <v>2.1885420099999999</v>
      </c>
      <c r="LL73" s="2">
        <v>5.7699305299999999</v>
      </c>
      <c r="LM73" s="2">
        <v>1.6868669400000003</v>
      </c>
      <c r="LN73" s="2">
        <v>0.23282769</v>
      </c>
      <c r="LO73" s="2">
        <v>8.9270354399999992</v>
      </c>
      <c r="LQ73" s="85">
        <f t="shared" si="323"/>
        <v>5049.2213625199993</v>
      </c>
      <c r="LR73" s="85">
        <f t="shared" si="324"/>
        <v>11.263219479999998</v>
      </c>
      <c r="LS73" s="85">
        <f t="shared" si="325"/>
        <v>54.633209600000001</v>
      </c>
      <c r="LT73" s="85">
        <f t="shared" si="326"/>
        <v>1.03108164</v>
      </c>
      <c r="LU73" s="85">
        <f t="shared" si="327"/>
        <v>380.47277859000002</v>
      </c>
      <c r="LV73" s="85">
        <f t="shared" si="328"/>
        <v>2.2608221900000003</v>
      </c>
      <c r="LW73" s="85">
        <f t="shared" si="329"/>
        <v>0.57123272000000003</v>
      </c>
      <c r="LX73" s="85">
        <f t="shared" si="330"/>
        <v>1.2187275400000002</v>
      </c>
      <c r="LZ73" s="131">
        <v>95.02</v>
      </c>
      <c r="MA73" s="171">
        <v>96.38</v>
      </c>
      <c r="MB73"/>
      <c r="MC73"/>
      <c r="MD73"/>
      <c r="MF73"/>
      <c r="MG73"/>
      <c r="MH73" s="83">
        <v>164.72</v>
      </c>
      <c r="MI73" s="83">
        <v>46.4</v>
      </c>
      <c r="MJ73" s="83">
        <v>54.35</v>
      </c>
      <c r="MK73"/>
      <c r="ML73" s="83">
        <v>67.569999999999993</v>
      </c>
      <c r="MM73" s="83">
        <v>85.09</v>
      </c>
      <c r="MN73" s="83"/>
      <c r="MO73" s="83">
        <v>58.5</v>
      </c>
      <c r="MP73" s="83">
        <v>107.54</v>
      </c>
      <c r="MQ73" s="83">
        <v>170.45</v>
      </c>
      <c r="MR73"/>
      <c r="MT73" s="83"/>
      <c r="MU73" s="83">
        <v>130.5</v>
      </c>
      <c r="MV73"/>
      <c r="MW73"/>
      <c r="MX73"/>
      <c r="MY73" s="83">
        <v>175.93</v>
      </c>
      <c r="MZ73" s="83">
        <v>480</v>
      </c>
      <c r="NA73" s="83">
        <v>174.14</v>
      </c>
      <c r="NB73" s="83">
        <v>636.54999999999995</v>
      </c>
      <c r="NC73" s="83">
        <v>76.349999999999994</v>
      </c>
      <c r="ND73"/>
      <c r="NE73" s="1">
        <v>446.36</v>
      </c>
    </row>
    <row r="74" spans="1:369">
      <c r="A74" s="38">
        <f t="shared" ref="A74:A105" si="334">(B74&amp;"-"&amp;C74)+0</f>
        <v>44317</v>
      </c>
      <c r="B74" s="36">
        <f t="shared" si="313"/>
        <v>5</v>
      </c>
      <c r="C74" s="36">
        <f t="shared" si="314"/>
        <v>2021</v>
      </c>
      <c r="D74" s="36">
        <f t="shared" si="50"/>
        <v>74</v>
      </c>
      <c r="E74" s="38">
        <f t="shared" ref="E74:E105" si="335">+A74</f>
        <v>44317</v>
      </c>
      <c r="F74" s="7">
        <v>96.17</v>
      </c>
      <c r="G74" s="7">
        <v>468.72500000000002</v>
      </c>
      <c r="H74" s="1">
        <f>[2]NACIONALES!$D62</f>
        <v>40000</v>
      </c>
      <c r="I74" s="7">
        <v>87</v>
      </c>
      <c r="J74" s="7">
        <v>525</v>
      </c>
      <c r="K74" s="7">
        <v>4.8</v>
      </c>
      <c r="L74" s="7">
        <v>23.1</v>
      </c>
      <c r="N74" s="5">
        <v>1.673</v>
      </c>
      <c r="O74" s="5">
        <v>1.518</v>
      </c>
      <c r="P74" s="78">
        <f t="shared" si="294"/>
        <v>145.76727324999999</v>
      </c>
      <c r="Q74" s="6">
        <v>2500</v>
      </c>
      <c r="R74" s="79">
        <f t="shared" ref="R74:R105" si="336">IFERROR(Q74*10,"")</f>
        <v>25000</v>
      </c>
      <c r="S74" s="6">
        <v>213.24</v>
      </c>
      <c r="T74" s="6">
        <v>450</v>
      </c>
      <c r="U74" s="143">
        <v>197.55263157894737</v>
      </c>
      <c r="V74" s="6">
        <v>353.67857142857144</v>
      </c>
      <c r="W74" s="6">
        <f>(270*0.88)-10</f>
        <v>227.6</v>
      </c>
      <c r="X74" s="6">
        <v>219.62105263157892</v>
      </c>
      <c r="Y74" s="79">
        <f t="shared" ref="Y74:Y105" si="337">IFERROR(+AVERAGE(S74)*$F74,"")</f>
        <v>20507.290800000002</v>
      </c>
      <c r="Z74" s="79">
        <f t="shared" ref="Z74:Z105" si="338">IFERROR(+AVERAGE(T74)*$F74,"")</f>
        <v>43276.5</v>
      </c>
      <c r="AA74" s="79">
        <f t="shared" ref="AA74:AA105" si="339">IFERROR(+AVERAGE(U74)*$F74,"")</f>
        <v>18998.636578947368</v>
      </c>
      <c r="AB74" s="79">
        <f t="shared" ref="AB74:AB105" si="340">IFERROR(+AVERAGE(V74)*$F74,"")</f>
        <v>34013.268214285716</v>
      </c>
      <c r="AC74" s="79">
        <f t="shared" ref="AC74:AC105" si="341">IFERROR(+AVERAGE(W74)*$F74,"")</f>
        <v>21888.292000000001</v>
      </c>
      <c r="AD74" s="79">
        <f t="shared" ref="AD74:AD105" si="342">IFERROR(+AVERAGE(X74)*$F74,"")</f>
        <v>21120.956631578945</v>
      </c>
      <c r="AE74" s="79">
        <f t="shared" ref="AE74:AE105" si="343">IFERROR(+AVERAGE(S74:X74)*F74,"")</f>
        <v>26634.157370802004</v>
      </c>
      <c r="AF74" s="1">
        <v>65969.941176470587</v>
      </c>
      <c r="AG74" s="1">
        <v>29700</v>
      </c>
      <c r="AH74" s="1">
        <v>112860</v>
      </c>
      <c r="AI74" s="5">
        <v>37.869999999999997</v>
      </c>
      <c r="AJ74" s="5">
        <v>29.85</v>
      </c>
      <c r="AK74" s="5">
        <v>37.36</v>
      </c>
      <c r="AL74" s="5">
        <v>32.04</v>
      </c>
      <c r="AM74" s="78">
        <f t="shared" ref="AM74:AM105" si="344">+AI74*0.46+AJ74*0.04+AK74*0.26+AL74*0.24</f>
        <v>36.017400000000002</v>
      </c>
      <c r="AN74" s="7">
        <v>1602.5245098039215</v>
      </c>
      <c r="AO74" s="7">
        <v>1181.6500000000001</v>
      </c>
      <c r="AP74" s="78">
        <f t="shared" si="277"/>
        <v>1181.6500000000001</v>
      </c>
      <c r="AQ74" s="7">
        <v>590.54166666666663</v>
      </c>
      <c r="AR74" s="7">
        <v>777.56</v>
      </c>
      <c r="AS74" s="7">
        <v>1225</v>
      </c>
      <c r="AT74" s="7">
        <v>1045.5450000000001</v>
      </c>
      <c r="AU74" s="78">
        <f t="shared" si="53"/>
        <v>1016.035</v>
      </c>
      <c r="AV74" s="7">
        <v>402.07499999999999</v>
      </c>
      <c r="AW74" s="7">
        <v>1100</v>
      </c>
      <c r="AX74" s="7">
        <v>476.96500000000003</v>
      </c>
      <c r="AY74" s="7">
        <v>1156.0736196319019</v>
      </c>
      <c r="AZ74" s="7">
        <v>429.17000000000007</v>
      </c>
      <c r="BA74" s="7">
        <v>292.2</v>
      </c>
      <c r="BB74" s="94">
        <f t="shared" ref="BB74:BB131" si="345">IFERROR(+AVERAGE(AX74,AY74/18*20,AZ74/18*20,BA74),"")</f>
        <v>632.63669989775053</v>
      </c>
      <c r="BC74" s="166">
        <v>3163</v>
      </c>
      <c r="BD74" s="166">
        <v>2350</v>
      </c>
      <c r="BE74" s="7">
        <v>1800</v>
      </c>
      <c r="BF74" s="7">
        <v>950</v>
      </c>
      <c r="BG74" s="94">
        <f t="shared" si="56"/>
        <v>2065.75</v>
      </c>
      <c r="BH74" s="7">
        <v>191.89</v>
      </c>
      <c r="BI74" s="7">
        <v>25</v>
      </c>
      <c r="BJ74" s="78">
        <f t="shared" si="57"/>
        <v>216.89</v>
      </c>
      <c r="BK74" s="7">
        <v>190.86600000000001</v>
      </c>
      <c r="BL74" s="7">
        <v>231.27</v>
      </c>
      <c r="BM74" s="94">
        <f t="shared" si="58"/>
        <v>211.06800000000001</v>
      </c>
      <c r="BN74" s="5">
        <v>29.77</v>
      </c>
      <c r="BO74" s="84">
        <v>125.91</v>
      </c>
      <c r="BP74">
        <v>76.510000000000005</v>
      </c>
      <c r="BQ74" s="94">
        <f t="shared" ref="BQ74:BQ107" si="346">+BO74*0.9+BP74*0.1</f>
        <v>120.97</v>
      </c>
      <c r="BR74" s="7">
        <v>106.85</v>
      </c>
      <c r="BS74" s="97">
        <v>350</v>
      </c>
      <c r="BT74" s="7">
        <f>+F74*1.3</f>
        <v>125.021</v>
      </c>
      <c r="BU74" s="79">
        <f t="shared" si="237"/>
        <v>4575.0630000000001</v>
      </c>
      <c r="BV74" s="93">
        <v>270.7</v>
      </c>
      <c r="BW74" s="93">
        <v>300</v>
      </c>
      <c r="BY74" s="92">
        <f>BY$10*(1+((H74/H$10-1)*costos!$B$5+((I74*F74)/(I$10*F$10)-1)*costos!$E$5+((J74*F74)/((J$10*F$10)-1)*costos!$F$5/3+((K74*F74)/(K$10*F$10)-1)*costos!$F$5/3+((U74*F74)/(U$10*F$10)-1)*costos!$F$5/3+((L74*F74)/(L$10*F$10)-1)*costos!$G$5+((N74*F74)/(N$10*F$10)-1)*costos!$J$5+((V74*F74)/(V$10*F$10)-1)*costos!$K$5)))</f>
        <v>847.00196250286444</v>
      </c>
      <c r="BZ74" s="92">
        <f>$BZ$10*(1+((H74/$H$10-1)*costos!$B$6+((I74*F74)/($I$10*$F$10)-1)*costos!$E$6+((J74*F74)/(($J$10*$F$10)-1)*costos!$F$6/3+((K74*F74)/($K$10*$F$10)-1)*costos!$F$6/3+((U74*F74)/($U$10*$F$10)-1)*costos!$F$6/3+((L74*F74)/($L$10*$F$10)-1)*costos!$G$6+((Q74*F74)/($Q$10*$F$10)-1)*costos!$J$6+((V74*F74)/($V$10*$F$10)-1)*costos!$K$6)))</f>
        <v>759.07604257513276</v>
      </c>
      <c r="CA74" s="92">
        <f>CA$10*(1+((H74/H$10-1)*costos!$B$7+((I74*F74)/(I$10*F$10)-1)*costos!$E$7+((J74*F74)/((J$10*F$10)-1)*costos!$F$7/3+((K74*F74)/(K$10*F$10)-1)*costos!$F$7/3+((U74*F74)/(U$10*F$10)-1)*costos!$F$7/3+((L74*F74)/(L$10*F$10)-1)*costos!$G$7+((S74*F74)/(S$10*F$10)-1)*costos!$J$7+((V74*F74)/(V$10*F$10)-1)*costos!$K$7)))</f>
        <v>882.13757330791827</v>
      </c>
      <c r="CB74" s="92">
        <f>CB$10*(1+((H74/H$10-1)*costos!$B$8+((I74*F74)/(I$10*F$10)-1)*costos!$E$8+((J74*F74)/((J$10*F$10)-1)*costos!$F$8/3+((K74*F74)/(K$10*F$10)-1)*costos!$F$8/3+((U74*F74)/(U$10*F$10)-1)*costos!$F$8/3+((L74*F74)/(L$10*F$10)-1)*costos!$G$8+((T74*F74)/(T$10*F$10)-1)*costos!$J$8+((V74*F74)/(V$10*F$10)-1)*costos!$K$8)))</f>
        <v>923.37565790895371</v>
      </c>
      <c r="CC74" s="92">
        <f>CC$10*(1+((H74/H$10-1)*costos!$B$9+((I74*F74)/(I$10*F$10)-1)*costos!$E$9+((J74*F74)/((J$10*F$10)-1)*costos!$F$9/3+((K74*F74)/(K$10*F$10)-1)*costos!$F$9/3+((U74*F74)/(U$10*F$10)-1)*costos!$F$9/3+((L74*F74)/(L$10*F$10)-1)*costos!$G$9+((U74*F74)/(U$10*F$10)-1)*costos!$J$9+((V74*F74)/(V$10*F$10)-1)*costos!$K$9)))</f>
        <v>838.02900515195938</v>
      </c>
      <c r="CD74" s="92">
        <f>CD$10*(1+((H74/H$10-1)*costos!$B$11+((I74*F74)/(I$10*F$10)-1)*costos!$E$11+((J74*F74)/((J$10*F$10)-1)*costos!$F$11/3+((K74*F74)/(K$10*F$10)-1)*costos!$F$11/3+((U74*F74)/(U$10*F$10)-1)*costos!$F$11/3+((L74*F74)/(L$10*F$10)-1)*costos!$G$11+((V74*F74)/(V$10*F$10)-1)*costos!$J$11+((V74*F74)/(V$10*F$10)-1)*costos!$K$11)))</f>
        <v>931.46702719854295</v>
      </c>
      <c r="CE74" s="92">
        <f>CE$10*(1+((H74/H$10-1)*costos!$B$12+((I74*F74)/(I$10*F$10)-1)*costos!$E$12+((J74*F74)/((J$10*F$10)-1)*costos!$F$12/3+((K74*F74)/(K$10*F$10)-1)*costos!$F$12/3+((U74*F74)/(U$10*F$10)-1)*costos!$F$12/3+((L74*F74)/(L$10*F$10)-1)*costos!$G$12+((W74*F74)/(W$10*F$10)-1)*costos!$J$12+((V74*F74)/(V$10*F$10)-1)*costos!$K$12)))</f>
        <v>862.59799660041642</v>
      </c>
      <c r="CF74" s="92">
        <f>CF$10*(1+((H74/H$10-1)*costos!$B$13+((I74*F74)/(I$10*F$10)-1)*costos!$E$13+((J74*F74)/((J$10*F$10)-1)*costos!$F$13/3+((K74*F74)/(K$10*F$10)-1)*costos!$F$13/3+((U74*F74)/(U$10*F$10)-1)*costos!$F$13/3+((L74*F74)/(L$10*F$10)-1)*costos!$G$13+((X74*F74)/(X$10*F$10)-1)*costos!$J$13+((V74*F74)/(V$10*F$10)-1)*costos!$K$13)))</f>
        <v>890.62552776700591</v>
      </c>
      <c r="CG74" s="92">
        <f t="shared" si="309"/>
        <v>888.03879798913283</v>
      </c>
      <c r="CH74" s="92">
        <f>CH$10*(1+((H74/H$10-1)*costos!$B$10+((I74*F74)/(I$10*F$10)-1)*costos!$E$10+((J74*F74)/((J$10*F$10)-1)*costos!$F$10/3+((K74*F74)/(K$10*F$10)-1)*costos!$F$10/3+((U74*F74)/(U$10*F$10)-1)*costos!$F$10/3+((L74*F74)/(L$10*F$10)-1)*costos!$G$10+((AF74)/(AF$10)-1)*costos!$J$10+((V74*F74)/(V$10*F$10)-1)*costos!$K$10)))</f>
        <v>913.97786456274196</v>
      </c>
      <c r="CI74" s="92">
        <f>CI$10*(1+((H74/H$10-1)*costos!$B$15+((I74*F74)/(I$10*F$10)-1)*costos!$E$15+((J74*F74)/((J$10*F$10)-1)*costos!$F$15/3+((K74*F74)/(K$10*F$10)-1)*costos!$F$15/3+((U74*F74)/(U$10*F$10)-1)*costos!$F$15/3+((L74*F74)/(L$10*F$10)-1)*costos!$G$15+((AV74)/(AV$10)-1)*costos!$J$15+((V74*F74)/(V$10*F$10)-1)*costos!$K$15)))</f>
        <v>747.86417574470067</v>
      </c>
      <c r="CJ74" s="92">
        <f>CJ$10*(1+((H74/H$10-1)*costos!$B$16+((I74*F74)/(I$10*F$10)-1)*costos!$E$16+((J74*F74)/((J$10*F$10)-1)*costos!$F$16/3+((K74*F74)/(K$10*F$10)-1)*costos!$F$16/3+((U74*F74)/(U$10*F$10)-1)*costos!$F$16/3+((L74*F74)/(L$10*F$10)-1)*costos!$G$16+((AW74)/(AW$10)-1)*costos!$J$16+((V74*F74)/(V$10*F$10)-1)*costos!$K$16)))</f>
        <v>601.00200734216992</v>
      </c>
      <c r="CK74" s="92">
        <f>CK$10*(1+((H74/H$10-1)*costos!$B$17+((I74*F74)/(I$10*F$10)-1)*costos!$E$17+((J74*F74)/((J$10*F$10)-1)*costos!$F$17/3+((K74*F74)/(K$10*F$10)-1)*costos!$F$17/3+((U74*F74)/(U$10*F$10)-1)*costos!$F$17/3+((L74*F74)/(L$10*F$10)-1)*costos!$G$17+((AX74)/(AX$10)-1)*costos!$J$17+((V74*F74)/(V$10*F$10)-1)*costos!$K$17)))</f>
        <v>682.57055641965417</v>
      </c>
      <c r="CL74" s="92">
        <f>CL$10*(1+((H74/H$10-1)*costos!$B$18+((I74*F74)/(I$10*F$10)-1)*costos!$E$18+((J74*F74)/((J$10*F$10)-1)*costos!$F$18/3+((K74*F74)/(K$10*F$10)-1)*costos!$F$18/3+((U74*F74)/(U$10*F$10)-1)*costos!$F$18/3+((L74*F74)/(L$10*F$10)-1)*costos!$G$18+((AY74)/(AY$10)-1)*costos!$J$18+((V74*F74)/(V$10*F$10)-1)*costos!$K$18)))</f>
        <v>831.88899552129487</v>
      </c>
      <c r="CM74" s="92">
        <f>CM$10*(1+((H74/H$10-1)*costos!$B$19+((I74*F74)/(I$10*F$10)-1)*costos!$E$19+((J74*F74)/((J$10*F$10)-1)*costos!$F$19/3+((K74*F74)/(K$10*F$10)-1)*costos!$F$19/3+((U74*F74)/(U$10*F$10)-1)*costos!$F$19/3+((L74*F74)/(L$10*F$10)-1)*costos!$G$19+((AZ74)/(AZ$10)-1)*costos!$J$19+((V74*F74)/(V$10*F$10)-1)*costos!$K$19)))</f>
        <v>553.76572400620421</v>
      </c>
      <c r="CN74" s="92">
        <f>CN$10*(1+((H74/H$10-1)*costos!$B$20+((I74*F74)/(I$10*F$10)-1)*costos!$E$20+((J74*F74)/((J$10*F$10)-1)*costos!$F$20/3+((K74*F74)/(K$10*F$10)-1)*costos!$F$20/3+((U74*F74)/(U$10*F$10)-1)*costos!$F$20/3+((L74*F74)/(L$10*F$10)-1)*costos!$G$20+((BA74)/(BA$10)-1)*costos!$J$20+((V74*F74)/(V$10*F$10)-1)*costos!$K$20)))</f>
        <v>564.86068408437018</v>
      </c>
      <c r="CO74" s="92">
        <f t="shared" si="310"/>
        <v>658.27149000788086</v>
      </c>
      <c r="CP74" s="92">
        <f>CP$10*(1+((H74/H$10-1)*costos!$B$22+((I74*F74)/(I$10*F$10)-1)*costos!$E$22+((J74*F74)/((J$10*F$10)-1)*costos!$F$22/3+((K74*F74)/(K$10*F$10)-1)*costos!$F$22/3+((U74*F74)/(U$10*F$10)-1)*costos!$F$22/3+((L74*F74)/(L$10*F$10)-1)*costos!$G$22+(((AVERAGE(AI74:AL74))/((AVERAGE(AI$10:AL$10))-1)*costos!$J$22+((V74*F74)/(V$10*F$10)-1)*costos!$K$22)))))</f>
        <v>805.9605561820872</v>
      </c>
      <c r="CQ74" s="92">
        <f>CQ$10*(1+((H74/H$10-1)*costos!$B$23+((I74*F74)/(I$10*F$10)-1)*costos!$E$23+((J74*F74)/((J$10*F$10)-1)*costos!$F$23/3+((K74*F74)/(K$10*F$10)-1)*costos!$F$23/3+((U74*F74)/(U$10*F$10)-1)*costos!$F$23/3+((L74*F74)/(L$10*F$10)-1)*costos!$G$23+((AN74)/(AN$10)-1)*costos!$J$23+((V74*F74)/(V$10*F$10)-1)*costos!$K$23)))</f>
        <v>617.63632517167832</v>
      </c>
      <c r="CR74" s="92">
        <f>CR$10*(1+((H74/H$10-1)*costos!$B$24+((I74*F74)/(I$10*F$10)-1)*costos!$E$24+((J74*F74)/((J$10*F$10)-1)*costos!$F$24/3+((K74*F74)/(K$10*F$10)-1)*costos!$F$24/3+((U74*F74)/(U$10*F$10)-1)*costos!$F$24/3+((L74*F74)/(L$10*F$10)-1)*costos!$G$24+((AO74)/(AO$10)-1)*costos!$J$24+((V74*F74)/(V$10*F$10)-1)*costos!$K$24)))</f>
        <v>636.14738445993555</v>
      </c>
      <c r="CS74" s="92">
        <f t="shared" si="62"/>
        <v>626.89185481580694</v>
      </c>
      <c r="CT74" s="92">
        <f>CT$10*(1+((H74/H$10-1)*costos!$B$25+((I74*F74)/(I$10*F$10)-1)*costos!$E$25+((J74*F74)/((J$10*F$10)-1)*costos!$F$25/3+((K74*F74)/(K$10*F$10)-1)*costos!$F$25/3+((U74*F74)/(U$10*F$10)-1)*costos!$F$25/3+((L74*F74)/(L$10*F$10)-1)*costos!$G$25+((AQ74)/(AQ$10)-1)*costos!$J$25+((V74*F74)/(V$10*F$10)-1)*costos!$K$25)))</f>
        <v>599.52437937939078</v>
      </c>
      <c r="CU74" s="92">
        <f>CU$10*(1+((H74/H$10-1)*costos!$B$26+((I74*F74)/(I$10*F$10)-1)*costos!$E$26+((J74*F74)/((J$10*F$10)-1)*costos!$F$26/3+((K74*F74)/(K$10*F$10)-1)*costos!$F$26/3+((U74*F74)/(U$10*F$10)-1)*costos!$F$26/3+((L74*F74)/(L$10*F$10)-1)*costos!$G$26+((AR74)/(AR$10)-1)*costos!$J$26+((V74*F74)/(V$10*F$10)-1)*costos!$K$26)))</f>
        <v>651.45586319962115</v>
      </c>
      <c r="CV74" s="92">
        <f>CV$10*(1+((H74/H$10-1)*costos!$B$27+((I74*F74)/(I$10*F$10)-1)*costos!$E$27+((J74*F74)/((J$10*F$10)-1)*costos!$F$27/3+((K74*F74)/(K$10*F$10)-1)*costos!$F$27/3+((U74*F74)/(U$10*F$10)-1)*costos!$F$27/3+((L74*F74)/(L$10*F$10)-1)*costos!$G$27+((AS74)/(AS$10)-1)*costos!$J$27+((V74*F74)/(V$10*F$10)-1)*costos!$K$27)))</f>
        <v>680.49179800218678</v>
      </c>
      <c r="CW74" s="92">
        <f>CW$10*(1+((H74/H$10-1)*costos!$B$28+((I74*F74)/(I$10*F$10)-1)*costos!$E$28+((J74*F74)/((J$10*F$10)-1)*costos!$F$28/3+((K74*F74)/(K$10*F$10)-1)*costos!$F$28/3+((U74*F74)/(U$10*F$10)-1)*costos!$F$28/3+((L74*F74)/(L$10*F$10)-1)*costos!$G$28+((AS74)/(AS$10)-1)*costos!$J$28+((V74*F74)/(V$10*F$10)-1)*costos!$K$28)))</f>
        <v>680.49179800218678</v>
      </c>
      <c r="CX74" s="92">
        <f t="shared" si="311"/>
        <v>670.81315306799831</v>
      </c>
      <c r="CY74" s="92">
        <f>CY$10*(1+((H74/H$10-1)*costos!$B$32+((I74*F74)/(I$10*F$10)-1)*costos!$E$32+((J74*F74)/((J$10*F$10)-1)*costos!$F$32/3+((K74*F74)/(K$10*F$10)-1)*costos!$F$32/3+((U74*F74)/(U$10*F$10)-1)*costos!$F$32/3+((L74*F74)/(L$10*F$10)-1)*costos!$G$32+((AG74)/(AG$10)-1)*costos!$J$32+((V74*F74)/(V$10*F$10)-1)*costos!$K$32)))</f>
        <v>583.35458134208864</v>
      </c>
      <c r="CZ74" s="69">
        <f>CZ$10*(1+((H74/H$10-1)*costos!$B$31+((I74*F74)/(I$10*F$10)-1)*costos!$E$30+((J74*F74)/((J$10*F$10)-1)*costos!$F$30/3+((K74*F74)/(K$10*F$10)-1)*costos!$F$30/3+((U74*F74)/(U$10*F$10)-1)*costos!$F$30/3+((L74*F74)/(L$10*F$10)-1)*costos!$G$30+((BG74)/(BG$10)-1)*costos!$J$30+((V74*F74)/(V$10*F$10)-1)*costos!$K$30)))</f>
        <v>741.61773550375926</v>
      </c>
      <c r="DA74" s="69">
        <f>DA$10*(1+((H74/H$10-1)*costos!$B$31+((I74*F74)/(I$10*F$10)-1)*costos!$E$31+((J74*F74)/((J$10*F$10)-1)*costos!$F$31/3+((K74*F74)/(K$10*F$10)-1)*costos!$F$31/3+((U74*F74)/(U$10*F$10)-1)*costos!$F$31/3+((L74*F74)/(L$10*F$10)-1)*costos!$G$31+((BJ74)/(BJ$10)-1)*costos!$J$31+((V74*F74)/(V$10*F$10)-1)*costos!$K$31)))</f>
        <v>608.81896805843689</v>
      </c>
      <c r="DB74" s="69">
        <f>DB$10*(1+((H74/H$10-1)*costos!$B$36+((I74*F74)/(I$10*F$10)-1)*costos!$E$36+((J74*F74)/((J$10*F$10)-1)*costos!$F$36/3+((K74*F74)/(K$10*F$10)-1)*costos!$F$36/3+((U74*F74)/(U$10*F$10)-1)*costos!$F$36/3+((L74*F74)/(L$10*F$10)-1)*costos!$G$36+((BK74)/(BK$10)-1)*costos!$J$36+((V74*F74)/(V$10*F$10)-1)*costos!$K$36)))</f>
        <v>702.4763654214446</v>
      </c>
      <c r="DC74" s="69">
        <f>DC$10*(1+((H74/H$10-1)*costos!$B$37+((I74*F74)/(I$10*F$10)-1)*costos!$E$37+((U74*F74)/(U$10*F$10)-1)*costos!$F$37+((L74*F74)/(L$10*F$10)-1)*costos!$G$37+((BN74)/(BN$10)-1)*costos!$J$37+((V74*F74)/(V$10*F$10)-1)*costos!$K$37))</f>
        <v>840.1582760981704</v>
      </c>
      <c r="DD74" s="69">
        <f>DD$10*(1+((H74/H$10-1)*costos!$B$39+((I74*F74)/(I$10*F$10)-1)*costos!$E$39+((U74*F74)/(U$10*F$10)-1)*costos!$F$39+((L74*F74)/(L$10*F$10)-1)*costos!$G$39+((BR74)/(BR$10)-1)*costos!$J$39+((V74*F74)/(V$10*F$10)-1)*costos!$K$39))</f>
        <v>820.3196961604142</v>
      </c>
      <c r="DE74" s="69">
        <f>DD$10*(1+((H74/H$10-1)*costos!$B$35+((I74*F74)/(I$10*F$10)-1)*costos!$E$35+((U74*F74)/(U$10*F$10)-1)*costos!$F$35+((L74*F74)/(L$10*F$10)-1)*costos!$G$35+((BR74)/(BR$10)-1)*costos!$J$35+((V74*F74)/(V$10*F$10)-1)*costos!$K$35))</f>
        <v>748.55548584291637</v>
      </c>
      <c r="DF74" s="69">
        <f>DF$10*(1+((H74/H$10-1)*costos!$B$40+((I74*F74)/(I$10*F$10)-1)*costos!$E$40+((U74*F74)/(U$10*F$10)-1)*costos!$F$40+((L74*F74)/(L$10*F$10)-1)*costos!$G$40+((BP74)/(BP$10)-1)*costos!$J$40+((V74*F74)/(V$10*F$10)-1)*costos!$K$40))</f>
        <v>859.83638995694389</v>
      </c>
      <c r="DG74" s="92">
        <f t="shared" si="312"/>
        <v>804.19593789993019</v>
      </c>
      <c r="DH74" s="69">
        <f>DH$10*(1+((H74/H$10-1)*costos!$B$34+((I74*F74)/(I$10*F$10)-1)*costos!$E$34+((J74*F74)/((J$10*F$10)-1)*costos!$F$34/3+((K74*F74)/(K$10*F$10)-1)*costos!$F$34/3+((U74*F74)/(U$10*F$10)-1)*costos!$F$34/3+((L74*F74)/(L$10*F$10)-1)*costos!$G$34+((BV74)/(BV$10)-1)*costos!$J$34+((V74*F74)/(V$10*F$10)-1)*costos!$K$34)))</f>
        <v>695.42371188010441</v>
      </c>
      <c r="DI74" s="69">
        <f>DI$10*(1+((H74/H$10-1)*costos!$B$38+((I74*F74)/(I$10*F$10)-1)*costos!$E$38+((J74*F74)/((J$10*F$10)-1)*costos!$F$38/3+((K74*F74)/(K$10*F$10)-1)*costos!$F$38/3+((U74*F74)/(U$10*F$10)-1)*costos!$F$38/3+((L74*F74)/(L$10*F$10)-1)*costos!$G$38+((BU74)/(BU$10)-1)*costos!$J$38+((V74*F74)/(V$10*F$10)-1)*costos!$K$38)))</f>
        <v>586.87957149954525</v>
      </c>
      <c r="DK74" s="1">
        <v>410000</v>
      </c>
      <c r="DL74" s="1" t="s">
        <v>377</v>
      </c>
      <c r="DM74" s="1">
        <v>200000</v>
      </c>
      <c r="DN74" s="1" t="s">
        <v>377</v>
      </c>
      <c r="DO74" s="1">
        <v>1300000</v>
      </c>
      <c r="DP74" s="1" t="s">
        <v>389</v>
      </c>
      <c r="DQ74" s="1">
        <v>1600000</v>
      </c>
      <c r="DR74" s="1" t="s">
        <v>377</v>
      </c>
      <c r="DS74" s="1">
        <v>6230000</v>
      </c>
      <c r="DT74" s="1" t="s">
        <v>377</v>
      </c>
      <c r="DU74" s="1">
        <v>17000000</v>
      </c>
      <c r="DV74" s="1" t="s">
        <v>377</v>
      </c>
      <c r="DW74" s="1">
        <v>900000</v>
      </c>
      <c r="DX74" s="1" t="s">
        <v>377</v>
      </c>
      <c r="DY74" s="1">
        <v>6950000</v>
      </c>
      <c r="DZ74" s="1" t="s">
        <v>389</v>
      </c>
      <c r="EA74" s="79">
        <f t="shared" si="67"/>
        <v>33980000</v>
      </c>
      <c r="EB74" s="1">
        <v>395000</v>
      </c>
      <c r="EC74" s="1" t="s">
        <v>377</v>
      </c>
      <c r="ED74" s="1">
        <v>191392</v>
      </c>
      <c r="EE74" s="143">
        <v>2021</v>
      </c>
      <c r="EF74" s="1">
        <v>211099</v>
      </c>
      <c r="EG74" s="6">
        <v>2021</v>
      </c>
      <c r="EH74" s="1">
        <v>53517534</v>
      </c>
      <c r="EI74" s="6">
        <v>2021</v>
      </c>
      <c r="EJ74" s="1">
        <v>5350999</v>
      </c>
      <c r="EK74" s="6">
        <v>2021</v>
      </c>
      <c r="EL74" s="1">
        <v>14571766</v>
      </c>
      <c r="EM74" s="6">
        <v>2020</v>
      </c>
      <c r="EN74" s="1">
        <v>3132657</v>
      </c>
      <c r="EO74" s="6">
        <v>2020</v>
      </c>
      <c r="EP74" s="82">
        <f t="shared" si="315"/>
        <v>6552</v>
      </c>
      <c r="EQ74" s="83">
        <v>3500000</v>
      </c>
      <c r="ER74" s="1">
        <f t="shared" si="189"/>
        <v>76133.333333333328</v>
      </c>
      <c r="ES74" s="1"/>
      <c r="ET74" s="83">
        <f t="shared" si="316"/>
        <v>16000</v>
      </c>
      <c r="EU74" s="83">
        <f t="shared" si="316"/>
        <v>19131</v>
      </c>
      <c r="EV74" s="83">
        <f t="shared" si="316"/>
        <v>9000</v>
      </c>
      <c r="EW74" s="83">
        <f t="shared" si="316"/>
        <v>17492</v>
      </c>
      <c r="EX74" s="79">
        <f t="shared" si="72"/>
        <v>61623</v>
      </c>
      <c r="EY74" s="83">
        <f t="shared" si="317"/>
        <v>19904</v>
      </c>
      <c r="EZ74" s="82">
        <f t="shared" si="317"/>
        <v>80798</v>
      </c>
      <c r="FA74" s="83">
        <f t="shared" si="331"/>
        <v>20331</v>
      </c>
      <c r="FB74" s="83">
        <f t="shared" si="332"/>
        <v>17550</v>
      </c>
      <c r="FC74" s="79">
        <f t="shared" si="307"/>
        <v>37881</v>
      </c>
      <c r="FD74" s="83">
        <f t="shared" si="158"/>
        <v>59807.5</v>
      </c>
      <c r="FE74" s="1"/>
      <c r="FF74" s="1">
        <v>1050000</v>
      </c>
      <c r="FG74" s="1" t="s">
        <v>377</v>
      </c>
      <c r="FH74" s="1">
        <v>1400000</v>
      </c>
      <c r="FI74" s="1" t="s">
        <v>377</v>
      </c>
      <c r="FJ74" s="1">
        <v>4500000</v>
      </c>
      <c r="FK74" s="1" t="s">
        <v>377</v>
      </c>
      <c r="FL74" s="1">
        <v>3300000</v>
      </c>
      <c r="FM74" s="1" t="s">
        <v>377</v>
      </c>
      <c r="FN74" s="1">
        <v>46000000</v>
      </c>
      <c r="FO74" s="1" t="s">
        <v>377</v>
      </c>
      <c r="FP74" s="1">
        <v>47000000</v>
      </c>
      <c r="FQ74" s="1" t="s">
        <v>377</v>
      </c>
      <c r="FR74" s="1">
        <v>3200000</v>
      </c>
      <c r="FS74" s="1" t="s">
        <v>377</v>
      </c>
      <c r="FT74" s="1">
        <v>17645000</v>
      </c>
      <c r="FU74" s="1" t="s">
        <v>377</v>
      </c>
      <c r="FV74" s="79">
        <f t="shared" si="76"/>
        <v>121645000</v>
      </c>
      <c r="FW74" s="1">
        <v>1300000</v>
      </c>
      <c r="FX74" s="1" t="s">
        <v>377</v>
      </c>
      <c r="FY74" s="1">
        <v>118082</v>
      </c>
      <c r="FZ74" s="79">
        <f t="shared" si="135"/>
        <v>830855.84000000008</v>
      </c>
      <c r="GA74" s="86" t="str">
        <f t="shared" si="271"/>
        <v>jun20 may21</v>
      </c>
      <c r="GB74" s="83">
        <v>22248266</v>
      </c>
      <c r="GC74" s="6">
        <v>2021</v>
      </c>
      <c r="GD74" s="83">
        <f t="shared" si="318"/>
        <v>2015989</v>
      </c>
      <c r="GE74" s="83">
        <f t="shared" si="318"/>
        <v>421371</v>
      </c>
      <c r="GF74" s="83">
        <v>1038163</v>
      </c>
      <c r="GG74" s="83">
        <f t="shared" si="268"/>
        <v>89478</v>
      </c>
      <c r="GH74" s="79">
        <f t="shared" si="240"/>
        <v>1549012</v>
      </c>
      <c r="GI74" s="82">
        <f t="shared" si="232"/>
        <v>1302556</v>
      </c>
      <c r="GJ74" s="83">
        <f t="shared" si="215"/>
        <v>600000</v>
      </c>
      <c r="GK74" s="83">
        <f t="shared" si="216"/>
        <v>1362000</v>
      </c>
      <c r="GL74" s="83">
        <f t="shared" si="217"/>
        <v>300000</v>
      </c>
      <c r="GM74" s="83">
        <f t="shared" si="218"/>
        <v>261011.3</v>
      </c>
      <c r="GN74" s="79">
        <f t="shared" si="81"/>
        <v>2523011.2999999998</v>
      </c>
      <c r="GO74" s="83">
        <f t="shared" si="291"/>
        <v>199477</v>
      </c>
      <c r="GP74" s="83">
        <f t="shared" si="291"/>
        <v>72919</v>
      </c>
      <c r="GQ74" s="1">
        <v>36781</v>
      </c>
      <c r="GR74" s="83">
        <v>44610</v>
      </c>
      <c r="GS74" s="79">
        <f t="shared" si="192"/>
        <v>45713.43</v>
      </c>
      <c r="GT74" s="83">
        <f t="shared" si="333"/>
        <v>2871705.88</v>
      </c>
      <c r="GU74" s="1">
        <v>62571</v>
      </c>
      <c r="GV74" s="1">
        <v>49390</v>
      </c>
      <c r="GW74" s="79">
        <f t="shared" si="261"/>
        <v>1137745</v>
      </c>
      <c r="GX74" s="1">
        <v>37480.696000000004</v>
      </c>
      <c r="GY74" s="1" t="s">
        <v>385</v>
      </c>
      <c r="GZ74" s="1">
        <v>97886.411999999997</v>
      </c>
      <c r="HA74" s="1">
        <v>218170</v>
      </c>
      <c r="HB74" s="79">
        <f t="shared" si="241"/>
        <v>3075678</v>
      </c>
      <c r="HC74" s="86" t="str">
        <f t="shared" si="272"/>
        <v>jun20 may21</v>
      </c>
      <c r="HD74" s="1">
        <v>58468</v>
      </c>
      <c r="HE74" s="79">
        <f t="shared" si="139"/>
        <v>678399</v>
      </c>
      <c r="HF74" s="86" t="str">
        <f t="shared" si="273"/>
        <v>jun20 may21</v>
      </c>
      <c r="HG74" s="1">
        <v>177000</v>
      </c>
      <c r="HH74" s="79">
        <f t="shared" si="242"/>
        <v>2193000</v>
      </c>
      <c r="HI74" s="86" t="str">
        <f t="shared" si="274"/>
        <v>jun20 may21</v>
      </c>
      <c r="HJ74" s="1">
        <v>83052</v>
      </c>
      <c r="HK74" s="79">
        <f t="shared" si="278"/>
        <v>58382.64</v>
      </c>
      <c r="HL74" s="86" t="str">
        <f t="shared" si="275"/>
        <v>jun20 may21</v>
      </c>
      <c r="HM74" s="79">
        <f t="shared" si="86"/>
        <v>2251382.64</v>
      </c>
      <c r="HN74" s="87">
        <f t="shared" si="297"/>
        <v>3.4131799143051866E-2</v>
      </c>
      <c r="HO74" s="1">
        <v>900211731.15402663</v>
      </c>
      <c r="HP74" s="79">
        <f t="shared" si="153"/>
        <v>11287.511731154025</v>
      </c>
      <c r="HQ74" s="86" t="str">
        <f t="shared" si="276"/>
        <v>jun20 may21</v>
      </c>
      <c r="HR74" s="1"/>
      <c r="HS74" s="1"/>
      <c r="HT74" s="1"/>
      <c r="HU74" s="1">
        <v>700000</v>
      </c>
      <c r="HV74" s="1" t="s">
        <v>377</v>
      </c>
      <c r="HW74" s="1">
        <v>1510000</v>
      </c>
      <c r="HX74" s="1" t="s">
        <v>389</v>
      </c>
      <c r="HY74" s="1">
        <v>3190000</v>
      </c>
      <c r="HZ74" s="1" t="s">
        <v>377</v>
      </c>
      <c r="IA74" s="1">
        <f t="shared" si="319"/>
        <v>21410000</v>
      </c>
      <c r="IB74" s="1" t="s">
        <v>377</v>
      </c>
      <c r="IC74" s="1">
        <v>45150000</v>
      </c>
      <c r="ID74" s="1" t="s">
        <v>377</v>
      </c>
      <c r="IE74" s="1">
        <v>1200000</v>
      </c>
      <c r="IF74" s="1" t="s">
        <v>377</v>
      </c>
      <c r="IG74" s="1">
        <f t="shared" si="320"/>
        <v>7200000</v>
      </c>
      <c r="IH74" s="1" t="s">
        <v>389</v>
      </c>
      <c r="II74" s="79">
        <f t="shared" si="87"/>
        <v>79660000</v>
      </c>
      <c r="IJ74" s="97">
        <f t="shared" si="308"/>
        <v>1.9040737312717446</v>
      </c>
      <c r="IK74" s="1" t="s">
        <v>377</v>
      </c>
      <c r="IL74" s="7">
        <v>41.76</v>
      </c>
      <c r="IM74" s="7">
        <v>34.39</v>
      </c>
      <c r="IN74" s="97">
        <v>184</v>
      </c>
      <c r="IO74" s="7">
        <v>14.99</v>
      </c>
      <c r="IP74" s="176">
        <f t="shared" si="321"/>
        <v>6.0901675410995511</v>
      </c>
      <c r="IQ74" s="7">
        <v>18.2</v>
      </c>
      <c r="IR74" s="98">
        <f t="shared" si="322"/>
        <v>5.93</v>
      </c>
      <c r="IS74" s="98">
        <f t="shared" si="322"/>
        <v>5.67</v>
      </c>
      <c r="IT74" s="98">
        <f t="shared" si="322"/>
        <v>13.17</v>
      </c>
      <c r="IU74" s="98">
        <f t="shared" si="322"/>
        <v>1.55</v>
      </c>
      <c r="IV74" s="94">
        <f t="shared" si="89"/>
        <v>20.39</v>
      </c>
      <c r="IW74" s="1"/>
      <c r="IX74" s="1"/>
      <c r="IY74" s="105">
        <v>1.86</v>
      </c>
      <c r="IZ74" s="161">
        <v>0.3</v>
      </c>
      <c r="JA74" s="83">
        <v>2813</v>
      </c>
      <c r="JB74" s="7">
        <v>44.08</v>
      </c>
      <c r="JC74" s="1"/>
      <c r="JD74" s="1"/>
      <c r="JF74" s="2">
        <v>9.6150420299999997</v>
      </c>
      <c r="JG74" s="2">
        <v>25.037584840000001</v>
      </c>
      <c r="JH74" s="2">
        <v>78.274895519999987</v>
      </c>
      <c r="JI74" s="2">
        <v>354.88572108</v>
      </c>
      <c r="JJ74" s="2">
        <v>910.93948165999984</v>
      </c>
      <c r="JK74" s="2">
        <v>85.120705880000003</v>
      </c>
      <c r="JL74" s="2">
        <v>3297.05304609</v>
      </c>
      <c r="JM74" s="2">
        <v>74.321380809999994</v>
      </c>
      <c r="JN74" s="2">
        <v>298.27317977000001</v>
      </c>
      <c r="JO74" s="2">
        <v>22.113811960000003</v>
      </c>
      <c r="JP74" s="2">
        <v>0</v>
      </c>
      <c r="JQ74" s="2">
        <v>4.7940264000000008</v>
      </c>
      <c r="JR74" s="2">
        <v>1.27037048</v>
      </c>
      <c r="JS74" s="2">
        <v>0</v>
      </c>
      <c r="JT74" s="2">
        <v>0.26401228999999998</v>
      </c>
      <c r="JU74" s="2">
        <v>95.377984670000018</v>
      </c>
      <c r="JV74" s="2">
        <v>18.91269007</v>
      </c>
      <c r="JW74" s="2">
        <v>31.395724860000005</v>
      </c>
      <c r="JX74" s="2">
        <v>39.602195699999996</v>
      </c>
      <c r="JY74" s="2">
        <v>0</v>
      </c>
      <c r="JZ74" s="2">
        <v>0.6586924999999999</v>
      </c>
      <c r="KA74" s="2">
        <v>0.20499999999999999</v>
      </c>
      <c r="KB74" s="2">
        <v>24.790478520000001</v>
      </c>
      <c r="KC74" s="2">
        <v>5.2157630299999997</v>
      </c>
      <c r="KD74" s="2">
        <v>11.59124134</v>
      </c>
      <c r="KE74" s="2">
        <v>26.714968299999995</v>
      </c>
      <c r="KF74" s="2">
        <v>40.179445039999997</v>
      </c>
      <c r="KG74" s="2">
        <v>380.27310050999989</v>
      </c>
      <c r="KH74" s="2">
        <v>124.4193315</v>
      </c>
      <c r="KI74" s="2">
        <v>25.559541460000002</v>
      </c>
      <c r="KJ74" s="2">
        <v>8.3395388599999993</v>
      </c>
      <c r="KK74" s="2">
        <v>6.6092582099999984</v>
      </c>
      <c r="KL74" s="2">
        <v>0.20999200000000001</v>
      </c>
      <c r="KM74" s="2">
        <v>3.73296831</v>
      </c>
      <c r="KN74" s="2">
        <v>0.46877478</v>
      </c>
      <c r="KO74" s="2">
        <v>0.83974000000000015</v>
      </c>
      <c r="KP74" s="2">
        <v>1.4869170000000001E-2</v>
      </c>
      <c r="KQ74" s="2">
        <v>365.40920871000009</v>
      </c>
      <c r="KR74" s="2">
        <v>0</v>
      </c>
      <c r="KS74" s="2">
        <v>0.25443374000000002</v>
      </c>
      <c r="KT74" s="2">
        <v>0.86696507999999994</v>
      </c>
      <c r="KU74" s="2">
        <v>0.18787526000000002</v>
      </c>
      <c r="KV74" s="2">
        <v>0</v>
      </c>
      <c r="KW74" s="2">
        <v>1.7339618999999997</v>
      </c>
      <c r="KX74" s="2">
        <v>0</v>
      </c>
      <c r="KY74" s="2">
        <v>0</v>
      </c>
      <c r="KZ74" s="2">
        <v>1.4538980599999998</v>
      </c>
      <c r="LA74" s="2">
        <v>1.0086831000000001</v>
      </c>
      <c r="LB74" s="2">
        <v>7.0166419999999993E-2</v>
      </c>
      <c r="LC74" s="2">
        <v>3.0943470000000001E-2</v>
      </c>
      <c r="LD74" s="2">
        <v>0</v>
      </c>
      <c r="LE74" s="2">
        <v>1.2604846199999999</v>
      </c>
      <c r="LF74" s="2">
        <v>0</v>
      </c>
      <c r="LG74" s="2">
        <v>22.208911499999999</v>
      </c>
      <c r="LH74" s="2">
        <v>5.3765226199999994</v>
      </c>
      <c r="LI74" s="2">
        <v>3.2706675499999998</v>
      </c>
      <c r="LJ74" s="2">
        <v>0</v>
      </c>
      <c r="LK74" s="2">
        <v>2.2479538299999997</v>
      </c>
      <c r="LL74" s="2">
        <v>7.8024150700000012</v>
      </c>
      <c r="LM74" s="2">
        <v>1.2424360699999999</v>
      </c>
      <c r="LN74" s="2">
        <v>0.34898129999999994</v>
      </c>
      <c r="LO74" s="2">
        <v>7.872352310000001</v>
      </c>
      <c r="LQ74" s="85">
        <f t="shared" si="323"/>
        <v>5013.7477049299996</v>
      </c>
      <c r="LR74" s="85">
        <f t="shared" si="324"/>
        <v>6.3284091700000005</v>
      </c>
      <c r="LS74" s="85">
        <f t="shared" si="325"/>
        <v>50.308414930000005</v>
      </c>
      <c r="LT74" s="85">
        <f t="shared" si="326"/>
        <v>0.86369249999999986</v>
      </c>
      <c r="LU74" s="85">
        <f t="shared" si="327"/>
        <v>370.7051255400001</v>
      </c>
      <c r="LV74" s="85">
        <f t="shared" si="328"/>
        <v>1.7339618999999997</v>
      </c>
      <c r="LW74" s="85">
        <f t="shared" si="329"/>
        <v>1.0788495200000001</v>
      </c>
      <c r="LX74" s="85">
        <f t="shared" si="330"/>
        <v>1.2604846199999999</v>
      </c>
      <c r="LZ74" s="131">
        <v>98.62</v>
      </c>
      <c r="MA74" s="171">
        <v>108.97</v>
      </c>
      <c r="MB74"/>
      <c r="MC74"/>
      <c r="MD74"/>
      <c r="MF74"/>
      <c r="MG74"/>
      <c r="MH74" s="83">
        <v>172.29</v>
      </c>
      <c r="MI74" s="83">
        <v>49.51</v>
      </c>
      <c r="MJ74" s="83">
        <v>55.95</v>
      </c>
      <c r="MK74"/>
      <c r="ML74" s="83">
        <v>63.4</v>
      </c>
      <c r="MM74" s="83">
        <v>116.75</v>
      </c>
      <c r="MN74" s="83"/>
      <c r="MO74" s="83">
        <v>56.16</v>
      </c>
      <c r="MP74" s="83">
        <v>112.41</v>
      </c>
      <c r="MQ74" s="83">
        <v>164.73</v>
      </c>
      <c r="MR74"/>
      <c r="MT74" s="83"/>
      <c r="MU74" s="83">
        <v>93.25</v>
      </c>
      <c r="MV74"/>
      <c r="MW74"/>
      <c r="MX74"/>
      <c r="MY74" s="83">
        <v>184.25</v>
      </c>
      <c r="MZ74" s="83">
        <v>504</v>
      </c>
      <c r="NA74" s="83">
        <v>177.13</v>
      </c>
      <c r="NB74" s="83">
        <v>671.4</v>
      </c>
      <c r="NC74" s="83">
        <v>77.209999999999994</v>
      </c>
      <c r="ND74"/>
      <c r="NE74" s="1">
        <v>463.43</v>
      </c>
    </row>
    <row r="75" spans="1:369">
      <c r="A75" s="38">
        <f t="shared" si="334"/>
        <v>44348</v>
      </c>
      <c r="B75" s="36">
        <f t="shared" si="313"/>
        <v>6</v>
      </c>
      <c r="C75" s="36">
        <f t="shared" si="314"/>
        <v>2021</v>
      </c>
      <c r="D75" s="36">
        <f t="shared" ref="D75:D139" si="347">+ROW()</f>
        <v>75</v>
      </c>
      <c r="E75" s="38">
        <f t="shared" si="335"/>
        <v>44348</v>
      </c>
      <c r="F75" s="7">
        <v>97.23</v>
      </c>
      <c r="G75" s="7">
        <v>483.60489999999999</v>
      </c>
      <c r="H75" s="1">
        <f>[2]NACIONALES!$D63</f>
        <v>40000</v>
      </c>
      <c r="I75" s="7">
        <v>92</v>
      </c>
      <c r="J75" s="7">
        <v>550</v>
      </c>
      <c r="K75" s="7">
        <v>6</v>
      </c>
      <c r="L75" s="7">
        <v>22.9</v>
      </c>
      <c r="N75" s="5">
        <v>1.679</v>
      </c>
      <c r="O75" s="5">
        <v>1.5249999999999999</v>
      </c>
      <c r="P75" s="78">
        <f t="shared" si="294"/>
        <v>147.97433699999999</v>
      </c>
      <c r="Q75" s="6">
        <v>2550</v>
      </c>
      <c r="R75" s="79">
        <f t="shared" si="336"/>
        <v>25500</v>
      </c>
      <c r="S75" s="6">
        <v>213.62</v>
      </c>
      <c r="T75" s="6">
        <v>414.04</v>
      </c>
      <c r="U75" s="143">
        <v>188.00476190476192</v>
      </c>
      <c r="V75" s="6">
        <v>305.42857142857144</v>
      </c>
      <c r="W75" s="6">
        <f>(258*0.88)-10</f>
        <v>217.04</v>
      </c>
      <c r="X75" s="6">
        <v>207.62380952380948</v>
      </c>
      <c r="Y75" s="79">
        <f t="shared" si="337"/>
        <v>20770.2726</v>
      </c>
      <c r="Z75" s="79">
        <f t="shared" si="338"/>
        <v>40257.109200000006</v>
      </c>
      <c r="AA75" s="79">
        <f t="shared" si="339"/>
        <v>18279.703000000001</v>
      </c>
      <c r="AB75" s="79">
        <f t="shared" si="340"/>
        <v>29696.820000000003</v>
      </c>
      <c r="AC75" s="79">
        <f t="shared" si="341"/>
        <v>21102.799200000001</v>
      </c>
      <c r="AD75" s="79">
        <f t="shared" si="342"/>
        <v>20187.262999999995</v>
      </c>
      <c r="AE75" s="79">
        <f t="shared" si="343"/>
        <v>25048.994500000004</v>
      </c>
      <c r="AF75" s="1">
        <v>68562.476190476184</v>
      </c>
      <c r="AG75" s="1">
        <v>29700</v>
      </c>
      <c r="AH75" s="1">
        <v>112860</v>
      </c>
      <c r="AI75" s="5">
        <v>37.617699999999999</v>
      </c>
      <c r="AJ75" s="5">
        <v>32.770000000000003</v>
      </c>
      <c r="AK75" s="5">
        <v>33.35</v>
      </c>
      <c r="AL75" s="5">
        <v>29.54</v>
      </c>
      <c r="AM75" s="78">
        <f t="shared" si="344"/>
        <v>34.375541999999996</v>
      </c>
      <c r="AN75" s="7">
        <v>1720.5367965367966</v>
      </c>
      <c r="AO75" s="7">
        <v>1369.1818181818182</v>
      </c>
      <c r="AP75" s="78">
        <f t="shared" si="277"/>
        <v>1369.1818181818182</v>
      </c>
      <c r="AQ75" s="7">
        <v>494.11805555555554</v>
      </c>
      <c r="AR75" s="7">
        <v>666.41363636363633</v>
      </c>
      <c r="AS75" s="7">
        <v>673.7045454545455</v>
      </c>
      <c r="AT75" s="7">
        <v>930.06363636363642</v>
      </c>
      <c r="AU75" s="78">
        <f t="shared" ref="AU75:AU138" si="348">IFERROR(+AVERAGE(AR75:AT75),"")</f>
        <v>756.72727272727263</v>
      </c>
      <c r="AV75" s="7">
        <v>387.96296296296299</v>
      </c>
      <c r="AW75" s="7">
        <v>1115.9545454545455</v>
      </c>
      <c r="AX75" s="7">
        <v>419.76818181818186</v>
      </c>
      <c r="AY75" s="7">
        <v>852.63253012048187</v>
      </c>
      <c r="AZ75" s="7">
        <v>377.16363636363639</v>
      </c>
      <c r="BA75" s="7">
        <v>313.88636363636363</v>
      </c>
      <c r="BB75" s="94">
        <f t="shared" si="345"/>
        <v>525.02368260922481</v>
      </c>
      <c r="BC75" s="166">
        <v>3479</v>
      </c>
      <c r="BD75" s="166">
        <v>2350</v>
      </c>
      <c r="BE75" s="7">
        <v>1800</v>
      </c>
      <c r="BF75" s="7">
        <v>1500</v>
      </c>
      <c r="BG75" s="94">
        <f t="shared" ref="BG75:BG134" si="349">+IFERROR(AVERAGE(BC75:BF75),"")</f>
        <v>2282.25</v>
      </c>
      <c r="BH75" s="7">
        <v>191.89</v>
      </c>
      <c r="BI75" s="7">
        <v>25</v>
      </c>
      <c r="BJ75" s="78">
        <f t="shared" ref="BJ75:BJ138" si="350">+BH75+BI75</f>
        <v>216.89</v>
      </c>
      <c r="BK75" s="7">
        <v>191.791</v>
      </c>
      <c r="BL75" s="7">
        <v>232.4</v>
      </c>
      <c r="BM75" s="94">
        <f t="shared" ref="BM75:BM138" si="351">IFERROR(+AVERAGE(BK75:BL75),"")</f>
        <v>212.09550000000002</v>
      </c>
      <c r="BN75" s="5">
        <v>31.32</v>
      </c>
      <c r="BO75" s="84">
        <v>134.5</v>
      </c>
      <c r="BP75">
        <v>76.510000000000005</v>
      </c>
      <c r="BQ75" s="94">
        <f t="shared" si="346"/>
        <v>128.70099999999999</v>
      </c>
      <c r="BR75" s="7">
        <v>107.33</v>
      </c>
      <c r="BS75" s="97">
        <v>380</v>
      </c>
      <c r="BT75" s="7">
        <f>+F75*1.45</f>
        <v>140.98349999999999</v>
      </c>
      <c r="BU75" s="79">
        <f t="shared" si="237"/>
        <v>4982.9504999999999</v>
      </c>
      <c r="BV75" s="93">
        <v>271</v>
      </c>
      <c r="BW75" s="93">
        <v>310</v>
      </c>
      <c r="BY75" s="92">
        <f>BY$10*(1+((H75/H$10-1)*costos!$B$5+((I75*F75)/(I$10*F$10)-1)*costos!$E$5+((J75*F75)/((J$10*F$10)-1)*costos!$F$5/3+((K75*F75)/(K$10*F$10)-1)*costos!$F$5/3+((U75*F75)/(U$10*F$10)-1)*costos!$F$5/3+((L75*F75)/(L$10*F$10)-1)*costos!$G$5+((N75*F75)/(N$10*F$10)-1)*costos!$J$5+((V75*F75)/(V$10*F$10)-1)*costos!$K$5)))</f>
        <v>860.15350576797152</v>
      </c>
      <c r="BZ75" s="92">
        <f>$BZ$10*(1+((H75/$H$10-1)*costos!$B$6+((I75*F75)/($I$10*$F$10)-1)*costos!$E$6+((J75*F75)/(($J$10*$F$10)-1)*costos!$F$6/3+((K75*F75)/($K$10*$F$10)-1)*costos!$F$6/3+((U75*F75)/($U$10*$F$10)-1)*costos!$F$6/3+((L75*F75)/($L$10*$F$10)-1)*costos!$G$6+((Q75*F75)/($Q$10*$F$10)-1)*costos!$J$6+((V75*F75)/($V$10*$F$10)-1)*costos!$K$6)))</f>
        <v>771.68745656277929</v>
      </c>
      <c r="CA75" s="92">
        <f>CA$10*(1+((H75/H$10-1)*costos!$B$7+((I75*F75)/(I$10*F$10)-1)*costos!$E$7+((J75*F75)/((J$10*F$10)-1)*costos!$F$7/3+((K75*F75)/(K$10*F$10)-1)*costos!$F$7/3+((U75*F75)/(U$10*F$10)-1)*costos!$F$7/3+((L75*F75)/(L$10*F$10)-1)*costos!$G$7+((S75*F75)/(S$10*F$10)-1)*costos!$J$7+((V75*F75)/(V$10*F$10)-1)*costos!$K$7)))</f>
        <v>874.52006552733985</v>
      </c>
      <c r="CB75" s="92">
        <f>CB$10*(1+((H75/H$10-1)*costos!$B$8+((I75*F75)/(I$10*F$10)-1)*costos!$E$8+((J75*F75)/((J$10*F$10)-1)*costos!$F$8/3+((K75*F75)/(K$10*F$10)-1)*costos!$F$8/3+((U75*F75)/(U$10*F$10)-1)*costos!$F$8/3+((L75*F75)/(L$10*F$10)-1)*costos!$G$8+((T75*F75)/(T$10*F$10)-1)*costos!$J$8+((V75*F75)/(V$10*F$10)-1)*costos!$K$8)))</f>
        <v>877.38693181041003</v>
      </c>
      <c r="CC75" s="92">
        <f>CC$10*(1+((H75/H$10-1)*costos!$B$9+((I75*F75)/(I$10*F$10)-1)*costos!$E$9+((J75*F75)/((J$10*F$10)-1)*costos!$F$9/3+((K75*F75)/(K$10*F$10)-1)*costos!$F$9/3+((U75*F75)/(U$10*F$10)-1)*costos!$F$9/3+((L75*F75)/(L$10*F$10)-1)*costos!$G$9+((U75*F75)/(U$10*F$10)-1)*costos!$J$9+((V75*F75)/(V$10*F$10)-1)*costos!$K$9)))</f>
        <v>819.44104739645934</v>
      </c>
      <c r="CD75" s="92">
        <f>CD$10*(1+((H75/H$10-1)*costos!$B$11+((I75*F75)/(I$10*F$10)-1)*costos!$E$11+((J75*F75)/((J$10*F$10)-1)*costos!$F$11/3+((K75*F75)/(K$10*F$10)-1)*costos!$F$11/3+((U75*F75)/(U$10*F$10)-1)*costos!$F$11/3+((L75*F75)/(L$10*F$10)-1)*costos!$G$11+((V75*F75)/(V$10*F$10)-1)*costos!$J$11+((V75*F75)/(V$10*F$10)-1)*costos!$K$11)))</f>
        <v>868.15387426148527</v>
      </c>
      <c r="CE75" s="92">
        <f>CE$10*(1+((H75/H$10-1)*costos!$B$12+((I75*F75)/(I$10*F$10)-1)*costos!$E$12+((J75*F75)/((J$10*F$10)-1)*costos!$F$12/3+((K75*F75)/(K$10*F$10)-1)*costos!$F$12/3+((U75*F75)/(U$10*F$10)-1)*costos!$F$12/3+((L75*F75)/(L$10*F$10)-1)*costos!$G$12+((W75*F75)/(W$10*F$10)-1)*costos!$J$12+((V75*F75)/(V$10*F$10)-1)*costos!$K$12)))</f>
        <v>849.98566515691186</v>
      </c>
      <c r="CF75" s="92">
        <f>CF$10*(1+((H75/H$10-1)*costos!$B$13+((I75*F75)/(I$10*F$10)-1)*costos!$E$13+((J75*F75)/((J$10*F$10)-1)*costos!$F$13/3+((K75*F75)/(K$10*F$10)-1)*costos!$F$13/3+((U75*F75)/(U$10*F$10)-1)*costos!$F$13/3+((L75*F75)/(L$10*F$10)-1)*costos!$G$13+((X75*F75)/(X$10*F$10)-1)*costos!$J$13+((V75*F75)/(V$10*F$10)-1)*costos!$K$13)))</f>
        <v>868.87051444528095</v>
      </c>
      <c r="CG75" s="92">
        <f t="shared" si="309"/>
        <v>859.72634976631446</v>
      </c>
      <c r="CH75" s="92">
        <f>CH$10*(1+((H75/H$10-1)*costos!$B$10+((I75*F75)/(I$10*F$10)-1)*costos!$E$10+((J75*F75)/((J$10*F$10)-1)*costos!$F$10/3+((K75*F75)/(K$10*F$10)-1)*costos!$F$10/3+((U75*F75)/(U$10*F$10)-1)*costos!$F$10/3+((L75*F75)/(L$10*F$10)-1)*costos!$G$10+((AF75)/(AF$10)-1)*costos!$J$10+((V75*F75)/(V$10*F$10)-1)*costos!$K$10)))</f>
        <v>917.0373372990822</v>
      </c>
      <c r="CI75" s="92">
        <f>CI$10*(1+((H75/H$10-1)*costos!$B$15+((I75*F75)/(I$10*F$10)-1)*costos!$E$15+((J75*F75)/((J$10*F$10)-1)*costos!$F$15/3+((K75*F75)/(K$10*F$10)-1)*costos!$F$15/3+((U75*F75)/(U$10*F$10)-1)*costos!$F$15/3+((L75*F75)/(L$10*F$10)-1)*costos!$G$15+((AV75)/(AV$10)-1)*costos!$J$15+((V75*F75)/(V$10*F$10)-1)*costos!$K$15)))</f>
        <v>781.74995079420785</v>
      </c>
      <c r="CJ75" s="92">
        <f>CJ$10*(1+((H75/H$10-1)*costos!$B$16+((I75*F75)/(I$10*F$10)-1)*costos!$E$16+((J75*F75)/((J$10*F$10)-1)*costos!$F$16/3+((K75*F75)/(K$10*F$10)-1)*costos!$F$16/3+((U75*F75)/(U$10*F$10)-1)*costos!$F$16/3+((L75*F75)/(L$10*F$10)-1)*costos!$G$16+((AW75)/(AW$10)-1)*costos!$J$16+((V75*F75)/(V$10*F$10)-1)*costos!$K$16)))</f>
        <v>621.52744649147417</v>
      </c>
      <c r="CK75" s="92">
        <f>CK$10*(1+((H75/H$10-1)*costos!$B$17+((I75*F75)/(I$10*F$10)-1)*costos!$E$17+((J75*F75)/((J$10*F$10)-1)*costos!$F$17/3+((K75*F75)/(K$10*F$10)-1)*costos!$F$17/3+((U75*F75)/(U$10*F$10)-1)*costos!$F$17/3+((L75*F75)/(L$10*F$10)-1)*costos!$G$17+((AX75)/(AX$10)-1)*costos!$J$17+((V75*F75)/(V$10*F$10)-1)*costos!$K$17)))</f>
        <v>702.8901882308968</v>
      </c>
      <c r="CL75" s="92">
        <f>CL$10*(1+((H75/H$10-1)*costos!$B$18+((I75*F75)/(I$10*F$10)-1)*costos!$E$18+((J75*F75)/((J$10*F$10)-1)*costos!$F$18/3+((K75*F75)/(K$10*F$10)-1)*costos!$F$18/3+((U75*F75)/(U$10*F$10)-1)*costos!$F$18/3+((L75*F75)/(L$10*F$10)-1)*costos!$G$18+((AY75)/(AY$10)-1)*costos!$J$18+((V75*F75)/(V$10*F$10)-1)*costos!$K$18)))</f>
        <v>787.0659768135007</v>
      </c>
      <c r="CM75" s="92">
        <f>CM$10*(1+((H75/H$10-1)*costos!$B$19+((I75*F75)/(I$10*F$10)-1)*costos!$E$19+((J75*F75)/((J$10*F$10)-1)*costos!$F$19/3+((K75*F75)/(K$10*F$10)-1)*costos!$F$19/3+((U75*F75)/(U$10*F$10)-1)*costos!$F$19/3+((L75*F75)/(L$10*F$10)-1)*costos!$G$19+((AZ75)/(AZ$10)-1)*costos!$J$19+((V75*F75)/(V$10*F$10)-1)*costos!$K$19)))</f>
        <v>558.89109040804033</v>
      </c>
      <c r="CN75" s="92">
        <f>CN$10*(1+((H75/H$10-1)*costos!$B$20+((I75*F75)/(I$10*F$10)-1)*costos!$E$20+((J75*F75)/((J$10*F$10)-1)*costos!$F$20/3+((K75*F75)/(K$10*F$10)-1)*costos!$F$20/3+((U75*F75)/(U$10*F$10)-1)*costos!$F$20/3+((L75*F75)/(L$10*F$10)-1)*costos!$G$20+((BA75)/(BA$10)-1)*costos!$J$20+((V75*F75)/(V$10*F$10)-1)*costos!$K$20)))</f>
        <v>587.18763453066572</v>
      </c>
      <c r="CO75" s="92">
        <f t="shared" si="310"/>
        <v>659.00872249577583</v>
      </c>
      <c r="CP75" s="92">
        <f>CP$10*(1+((H75/H$10-1)*costos!$B$22+((I75*F75)/(I$10*F$10)-1)*costos!$E$22+((J75*F75)/((J$10*F$10)-1)*costos!$F$22/3+((K75*F75)/(K$10*F$10)-1)*costos!$F$22/3+((U75*F75)/(U$10*F$10)-1)*costos!$F$22/3+((L75*F75)/(L$10*F$10)-1)*costos!$G$22+(((AVERAGE(AI75:AL75))/((AVERAGE(AI$10:AL$10))-1)*costos!$J$22+((V75*F75)/(V$10*F$10)-1)*costos!$K$22)))))</f>
        <v>828.821701020153</v>
      </c>
      <c r="CQ75" s="92">
        <f>CQ$10*(1+((H75/H$10-1)*costos!$B$23+((I75*F75)/(I$10*F$10)-1)*costos!$E$23+((J75*F75)/((J$10*F$10)-1)*costos!$F$23/3+((K75*F75)/(K$10*F$10)-1)*costos!$F$23/3+((U75*F75)/(U$10*F$10)-1)*costos!$F$23/3+((L75*F75)/(L$10*F$10)-1)*costos!$G$23+((AN75)/(AN$10)-1)*costos!$J$23+((V75*F75)/(V$10*F$10)-1)*costos!$K$23)))</f>
        <v>647.68164880291067</v>
      </c>
      <c r="CR75" s="92">
        <f>CR$10*(1+((H75/H$10-1)*costos!$B$24+((I75*F75)/(I$10*F$10)-1)*costos!$E$24+((J75*F75)/((J$10*F$10)-1)*costos!$F$24/3+((K75*F75)/(K$10*F$10)-1)*costos!$F$24/3+((U75*F75)/(U$10*F$10)-1)*costos!$F$24/3+((L75*F75)/(L$10*F$10)-1)*costos!$G$24+((AO75)/(AO$10)-1)*costos!$J$24+((V75*F75)/(V$10*F$10)-1)*costos!$K$24)))</f>
        <v>676.00800441421245</v>
      </c>
      <c r="CS75" s="92">
        <f t="shared" ref="CS75:CS135" si="352">+AVERAGE(CQ75:CR75)</f>
        <v>661.84482660856156</v>
      </c>
      <c r="CT75" s="92">
        <f>CT$10*(1+((H75/H$10-1)*costos!$B$25+((I75*F75)/(I$10*F$10)-1)*costos!$E$25+((J75*F75)/((J$10*F$10)-1)*costos!$F$25/3+((K75*F75)/(K$10*F$10)-1)*costos!$F$25/3+((U75*F75)/(U$10*F$10)-1)*costos!$F$25/3+((L75*F75)/(L$10*F$10)-1)*costos!$G$25+((AQ75)/(AQ$10)-1)*costos!$J$25+((V75*F75)/(V$10*F$10)-1)*costos!$K$25)))</f>
        <v>621.34212450784037</v>
      </c>
      <c r="CU75" s="92">
        <f>CU$10*(1+((H75/H$10-1)*costos!$B$26+((I75*F75)/(I$10*F$10)-1)*costos!$E$26+((J75*F75)/((J$10*F$10)-1)*costos!$F$26/3+((K75*F75)/(K$10*F$10)-1)*costos!$F$26/3+((U75*F75)/(U$10*F$10)-1)*costos!$F$26/3+((L75*F75)/(L$10*F$10)-1)*costos!$G$26+((AR75)/(AR$10)-1)*costos!$J$26+((V75*F75)/(V$10*F$10)-1)*costos!$K$26)))</f>
        <v>677.13367906809765</v>
      </c>
      <c r="CV75" s="92">
        <f>CV$10*(1+((H75/H$10-1)*costos!$B$27+((I75*F75)/(I$10*F$10)-1)*costos!$E$27+((J75*F75)/((J$10*F$10)-1)*costos!$F$27/3+((K75*F75)/(K$10*F$10)-1)*costos!$F$27/3+((U75*F75)/(U$10*F$10)-1)*costos!$F$27/3+((L75*F75)/(L$10*F$10)-1)*costos!$G$27+((AS75)/(AS$10)-1)*costos!$J$27+((V75*F75)/(V$10*F$10)-1)*costos!$K$27)))</f>
        <v>676.83417611647815</v>
      </c>
      <c r="CW75" s="92">
        <f>CW$10*(1+((H75/H$10-1)*costos!$B$28+((I75*F75)/(I$10*F$10)-1)*costos!$E$28+((J75*F75)/((J$10*F$10)-1)*costos!$F$28/3+((K75*F75)/(K$10*F$10)-1)*costos!$F$28/3+((U75*F75)/(U$10*F$10)-1)*costos!$F$28/3+((L75*F75)/(L$10*F$10)-1)*costos!$G$28+((AS75)/(AS$10)-1)*costos!$J$28+((V75*F75)/(V$10*F$10)-1)*costos!$K$28)))</f>
        <v>676.83417611647815</v>
      </c>
      <c r="CX75" s="92">
        <f t="shared" si="311"/>
        <v>676.93401043368465</v>
      </c>
      <c r="CY75" s="92">
        <f>CY$10*(1+((H75/H$10-1)*costos!$B$32+((I75*F75)/(I$10*F$10)-1)*costos!$E$32+((J75*F75)/((J$10*F$10)-1)*costos!$F$32/3+((K75*F75)/(K$10*F$10)-1)*costos!$F$32/3+((U75*F75)/(U$10*F$10)-1)*costos!$F$32/3+((L75*F75)/(L$10*F$10)-1)*costos!$G$32+((AG75)/(AG$10)-1)*costos!$J$32+((V75*F75)/(V$10*F$10)-1)*costos!$K$32)))</f>
        <v>595.53266489083182</v>
      </c>
      <c r="CZ75" s="69">
        <f>CZ$10*(1+((H75/H$10-1)*costos!$B$31+((I75*F75)/(I$10*F$10)-1)*costos!$E$30+((J75*F75)/((J$10*F$10)-1)*costos!$F$30/3+((K75*F75)/(K$10*F$10)-1)*costos!$F$30/3+((U75*F75)/(U$10*F$10)-1)*costos!$F$30/3+((L75*F75)/(L$10*F$10)-1)*costos!$G$30+((BG75)/(BG$10)-1)*costos!$J$30+((V75*F75)/(V$10*F$10)-1)*costos!$K$30)))</f>
        <v>774.81112561605937</v>
      </c>
      <c r="DA75" s="69">
        <f>DA$10*(1+((H75/H$10-1)*costos!$B$31+((I75*F75)/(I$10*F$10)-1)*costos!$E$31+((J75*F75)/((J$10*F$10)-1)*costos!$F$31/3+((K75*F75)/(K$10*F$10)-1)*costos!$F$31/3+((U75*F75)/(U$10*F$10)-1)*costos!$F$31/3+((L75*F75)/(L$10*F$10)-1)*costos!$G$31+((BJ75)/(BJ$10)-1)*costos!$J$31+((V75*F75)/(V$10*F$10)-1)*costos!$K$31)))</f>
        <v>630.27839678953478</v>
      </c>
      <c r="DB75" s="69">
        <f>DB$10*(1+((H75/H$10-1)*costos!$B$36+((I75*F75)/(I$10*F$10)-1)*costos!$E$36+((J75*F75)/((J$10*F$10)-1)*costos!$F$36/3+((K75*F75)/(K$10*F$10)-1)*costos!$F$36/3+((U75*F75)/(U$10*F$10)-1)*costos!$F$36/3+((L75*F75)/(L$10*F$10)-1)*costos!$G$36+((BK75)/(BK$10)-1)*costos!$J$36+((V75*F75)/(V$10*F$10)-1)*costos!$K$36)))</f>
        <v>735.9555058871415</v>
      </c>
      <c r="DC75" s="69">
        <f>DC$10*(1+((H75/H$10-1)*costos!$B$37+((I75*F75)/(I$10*F$10)-1)*costos!$E$37+((U75*F75)/(U$10*F$10)-1)*costos!$F$37+((L75*F75)/(L$10*F$10)-1)*costos!$G$37+((BN75)/(BN$10)-1)*costos!$J$37+((V75*F75)/(V$10*F$10)-1)*costos!$K$37))</f>
        <v>827.51862786889808</v>
      </c>
      <c r="DD75" s="69">
        <f>DD$10*(1+((H75/H$10-1)*costos!$B$39+((I75*F75)/(I$10*F$10)-1)*costos!$E$39+((U75*F75)/(U$10*F$10)-1)*costos!$F$39+((L75*F75)/(L$10*F$10)-1)*costos!$G$39+((BR75)/(BR$10)-1)*costos!$J$39+((V75*F75)/(V$10*F$10)-1)*costos!$K$39))</f>
        <v>802.06550125160095</v>
      </c>
      <c r="DE75" s="69">
        <f>DD$10*(1+((H75/H$10-1)*costos!$B$35+((I75*F75)/(I$10*F$10)-1)*costos!$E$35+((U75*F75)/(U$10*F$10)-1)*costos!$F$35+((L75*F75)/(L$10*F$10)-1)*costos!$G$35+((BR75)/(BR$10)-1)*costos!$J$35+((V75*F75)/(V$10*F$10)-1)*costos!$K$35))</f>
        <v>724.66289641464471</v>
      </c>
      <c r="DF75" s="69">
        <f>DF$10*(1+((H75/H$10-1)*costos!$B$40+((I75*F75)/(I$10*F$10)-1)*costos!$E$40+((U75*F75)/(U$10*F$10)-1)*costos!$F$40+((L75*F75)/(L$10*F$10)-1)*costos!$G$40+((BP75)/(BP$10)-1)*costos!$J$40+((V75*F75)/(V$10*F$10)-1)*costos!$K$40))</f>
        <v>834.19546876341462</v>
      </c>
      <c r="DG75" s="92">
        <f t="shared" si="312"/>
        <v>779.42918258902966</v>
      </c>
      <c r="DH75" s="69">
        <f>DH$10*(1+((H75/H$10-1)*costos!$B$34+((I75*F75)/(I$10*F$10)-1)*costos!$E$34+((J75*F75)/((J$10*F$10)-1)*costos!$F$34/3+((K75*F75)/(K$10*F$10)-1)*costos!$F$34/3+((U75*F75)/(U$10*F$10)-1)*costos!$F$34/3+((L75*F75)/(L$10*F$10)-1)*costos!$G$34+((BV75)/(BV$10)-1)*costos!$J$34+((V75*F75)/(V$10*F$10)-1)*costos!$K$34)))</f>
        <v>718.66068229651103</v>
      </c>
      <c r="DI75" s="69">
        <f>DI$10*(1+((H75/H$10-1)*costos!$B$38+((I75*F75)/(I$10*F$10)-1)*costos!$E$38+((J75*F75)/((J$10*F$10)-1)*costos!$F$38/3+((K75*F75)/(K$10*F$10)-1)*costos!$F$38/3+((U75*F75)/(U$10*F$10)-1)*costos!$F$38/3+((L75*F75)/(L$10*F$10)-1)*costos!$G$38+((BU75)/(BU$10)-1)*costos!$J$38+((V75*F75)/(V$10*F$10)-1)*costos!$K$38)))</f>
        <v>608.34484703185797</v>
      </c>
      <c r="DK75" s="1">
        <v>410000</v>
      </c>
      <c r="DL75" s="1" t="s">
        <v>377</v>
      </c>
      <c r="DM75" s="1">
        <v>200000</v>
      </c>
      <c r="DN75" s="1" t="s">
        <v>377</v>
      </c>
      <c r="DO75" s="1">
        <v>1300000</v>
      </c>
      <c r="DP75" s="1" t="s">
        <v>389</v>
      </c>
      <c r="DQ75" s="1">
        <v>1700000</v>
      </c>
      <c r="DR75" s="1" t="s">
        <v>377</v>
      </c>
      <c r="DS75" s="1">
        <v>6200000</v>
      </c>
      <c r="DT75" s="1" t="s">
        <v>377</v>
      </c>
      <c r="DU75" s="1">
        <v>16800000</v>
      </c>
      <c r="DV75" s="1" t="s">
        <v>377</v>
      </c>
      <c r="DW75" s="1">
        <v>950000</v>
      </c>
      <c r="DX75" s="1" t="s">
        <v>377</v>
      </c>
      <c r="DY75" s="1">
        <v>6950000</v>
      </c>
      <c r="DZ75" s="1" t="s">
        <v>389</v>
      </c>
      <c r="EA75" s="79">
        <f t="shared" ref="EA75:EA138" si="353">+DY75+DW75+DU75+DS75+DQ75+DO75</f>
        <v>33900000</v>
      </c>
      <c r="EB75" s="1">
        <v>400000</v>
      </c>
      <c r="EC75" s="1" t="s">
        <v>377</v>
      </c>
      <c r="ED75" s="1">
        <v>191392</v>
      </c>
      <c r="EE75" s="143">
        <v>2021</v>
      </c>
      <c r="EF75" s="1">
        <v>211099</v>
      </c>
      <c r="EG75" s="6">
        <v>2021</v>
      </c>
      <c r="EH75" s="1">
        <v>53517534</v>
      </c>
      <c r="EI75" s="6">
        <v>2021</v>
      </c>
      <c r="EJ75" s="1">
        <v>5350999</v>
      </c>
      <c r="EK75" s="6">
        <v>2021</v>
      </c>
      <c r="EL75" s="1">
        <v>14571766</v>
      </c>
      <c r="EM75" s="6">
        <v>2020</v>
      </c>
      <c r="EN75" s="1">
        <v>3132657</v>
      </c>
      <c r="EO75" s="6">
        <v>2020</v>
      </c>
      <c r="EP75" s="82">
        <f t="shared" si="315"/>
        <v>6552</v>
      </c>
      <c r="EQ75" s="83">
        <v>3500000</v>
      </c>
      <c r="ER75" s="1">
        <f t="shared" si="189"/>
        <v>76133.333333333328</v>
      </c>
      <c r="ES75" s="1"/>
      <c r="ET75" s="83">
        <f t="shared" si="316"/>
        <v>16000</v>
      </c>
      <c r="EU75" s="83">
        <f t="shared" si="316"/>
        <v>19131</v>
      </c>
      <c r="EV75" s="83">
        <f t="shared" si="316"/>
        <v>9000</v>
      </c>
      <c r="EW75" s="83">
        <f t="shared" si="316"/>
        <v>17492</v>
      </c>
      <c r="EX75" s="79">
        <f t="shared" ref="EX75:EX123" si="354">+SUM(ET75:EW75)</f>
        <v>61623</v>
      </c>
      <c r="EY75" s="83">
        <f t="shared" si="317"/>
        <v>19904</v>
      </c>
      <c r="EZ75" s="82">
        <f t="shared" si="317"/>
        <v>80798</v>
      </c>
      <c r="FA75" s="83">
        <f t="shared" si="331"/>
        <v>20331</v>
      </c>
      <c r="FB75" s="83">
        <f t="shared" si="332"/>
        <v>17550</v>
      </c>
      <c r="FC75" s="79">
        <f t="shared" si="307"/>
        <v>37881</v>
      </c>
      <c r="FD75" s="83">
        <f t="shared" si="158"/>
        <v>59807.5</v>
      </c>
      <c r="FE75" s="1"/>
      <c r="FF75" s="1">
        <v>1050000</v>
      </c>
      <c r="FG75" s="1" t="s">
        <v>377</v>
      </c>
      <c r="FH75" s="1">
        <v>1400000</v>
      </c>
      <c r="FI75" s="1" t="s">
        <v>377</v>
      </c>
      <c r="FJ75" s="1">
        <v>4500000</v>
      </c>
      <c r="FK75" s="1" t="s">
        <v>377</v>
      </c>
      <c r="FL75" s="1">
        <v>3400000</v>
      </c>
      <c r="FM75" s="1" t="s">
        <v>377</v>
      </c>
      <c r="FN75" s="1">
        <v>48000000</v>
      </c>
      <c r="FO75" s="1" t="s">
        <v>377</v>
      </c>
      <c r="FP75" s="1">
        <v>46500000</v>
      </c>
      <c r="FQ75" s="1" t="s">
        <v>377</v>
      </c>
      <c r="FR75" s="1">
        <v>3200000</v>
      </c>
      <c r="FS75" s="1" t="s">
        <v>377</v>
      </c>
      <c r="FT75" s="1">
        <v>17645000</v>
      </c>
      <c r="FU75" s="1" t="s">
        <v>377</v>
      </c>
      <c r="FV75" s="79">
        <f t="shared" ref="FV75:FV136" si="355">+FT75+FR75+FP75+FN75+FL75+FJ75</f>
        <v>123245000</v>
      </c>
      <c r="FW75" s="1">
        <v>1250000</v>
      </c>
      <c r="FX75" s="1" t="s">
        <v>377</v>
      </c>
      <c r="FY75" s="1">
        <v>113459</v>
      </c>
      <c r="FZ75" s="79">
        <f t="shared" si="135"/>
        <v>840213.84000000008</v>
      </c>
      <c r="GA75" s="86" t="str">
        <f t="shared" si="271"/>
        <v>jul20 jun21</v>
      </c>
      <c r="GB75" s="83">
        <v>22248266</v>
      </c>
      <c r="GC75" s="6">
        <v>2021</v>
      </c>
      <c r="GD75" s="83">
        <f t="shared" si="318"/>
        <v>2015989</v>
      </c>
      <c r="GE75" s="83">
        <f t="shared" si="318"/>
        <v>421371</v>
      </c>
      <c r="GF75" s="83">
        <v>1038163</v>
      </c>
      <c r="GG75" s="83">
        <f t="shared" si="268"/>
        <v>89478</v>
      </c>
      <c r="GH75" s="79">
        <f t="shared" si="240"/>
        <v>1549012</v>
      </c>
      <c r="GI75" s="82">
        <f t="shared" ref="GI75:GI83" si="356">+GI74</f>
        <v>1302556</v>
      </c>
      <c r="GJ75" s="83">
        <f t="shared" si="215"/>
        <v>600000</v>
      </c>
      <c r="GK75" s="83">
        <f t="shared" si="216"/>
        <v>1362000</v>
      </c>
      <c r="GL75" s="83">
        <f t="shared" si="217"/>
        <v>300000</v>
      </c>
      <c r="GM75" s="83">
        <f t="shared" si="218"/>
        <v>261011.3</v>
      </c>
      <c r="GN75" s="79">
        <f t="shared" ref="GN75:GN127" si="357">+SUM(GJ75:GM75)</f>
        <v>2523011.2999999998</v>
      </c>
      <c r="GO75" s="83">
        <f t="shared" si="291"/>
        <v>199477</v>
      </c>
      <c r="GP75" s="83">
        <f t="shared" si="291"/>
        <v>72919</v>
      </c>
      <c r="GQ75" s="1">
        <v>22250</v>
      </c>
      <c r="GR75" s="83">
        <v>42288</v>
      </c>
      <c r="GS75" s="79">
        <f t="shared" si="192"/>
        <v>42955.5</v>
      </c>
      <c r="GT75" s="83">
        <f t="shared" si="333"/>
        <v>2871705.88</v>
      </c>
      <c r="GU75" s="1">
        <v>41260</v>
      </c>
      <c r="GV75" s="1">
        <v>32720</v>
      </c>
      <c r="GW75" s="79">
        <f t="shared" si="261"/>
        <v>1110346</v>
      </c>
      <c r="GX75" s="1">
        <v>37480.696000000004</v>
      </c>
      <c r="GY75" s="1" t="s">
        <v>385</v>
      </c>
      <c r="GZ75" s="1">
        <v>97886.411999999997</v>
      </c>
      <c r="HA75" s="1">
        <v>251000</v>
      </c>
      <c r="HB75" s="79">
        <f t="shared" si="241"/>
        <v>3057245</v>
      </c>
      <c r="HC75" s="86" t="str">
        <f t="shared" si="272"/>
        <v>jul20 jun21</v>
      </c>
      <c r="HD75" s="1">
        <v>63000</v>
      </c>
      <c r="HE75" s="79">
        <f t="shared" si="139"/>
        <v>678916</v>
      </c>
      <c r="HF75" s="86" t="str">
        <f t="shared" si="273"/>
        <v>jul20 jun21</v>
      </c>
      <c r="HG75" s="1">
        <v>198253</v>
      </c>
      <c r="HH75" s="79">
        <f t="shared" si="242"/>
        <v>2207253</v>
      </c>
      <c r="HI75" s="86" t="str">
        <f t="shared" si="274"/>
        <v>jul20 jun21</v>
      </c>
      <c r="HJ75" s="1">
        <v>86275</v>
      </c>
      <c r="HK75" s="79">
        <f t="shared" si="278"/>
        <v>59448.959999999999</v>
      </c>
      <c r="HL75" s="86" t="str">
        <f t="shared" si="275"/>
        <v>jul20 jun21</v>
      </c>
      <c r="HM75" s="79">
        <f t="shared" ref="HM75:HM137" si="358">+HK75+HH75</f>
        <v>2266701.96</v>
      </c>
      <c r="HN75" s="87">
        <f t="shared" si="297"/>
        <v>2.9995666181899638E-2</v>
      </c>
      <c r="HO75" s="1">
        <v>920713126</v>
      </c>
      <c r="HP75" s="79">
        <f t="shared" si="153"/>
        <v>11314.324857154026</v>
      </c>
      <c r="HQ75" s="86" t="str">
        <f t="shared" si="276"/>
        <v>jul20 jun21</v>
      </c>
      <c r="HR75" s="1"/>
      <c r="HS75" s="1"/>
      <c r="HT75" s="1"/>
      <c r="HU75" s="1">
        <v>700000</v>
      </c>
      <c r="HV75" s="1" t="s">
        <v>377</v>
      </c>
      <c r="HW75" s="1">
        <v>1510000</v>
      </c>
      <c r="HX75" s="1" t="s">
        <v>389</v>
      </c>
      <c r="HY75" s="1">
        <v>3190000</v>
      </c>
      <c r="HZ75" s="1" t="s">
        <v>377</v>
      </c>
      <c r="IA75" s="1">
        <f t="shared" si="319"/>
        <v>21410000</v>
      </c>
      <c r="IB75" s="1" t="s">
        <v>377</v>
      </c>
      <c r="IC75" s="1">
        <v>45150000</v>
      </c>
      <c r="ID75" s="1" t="s">
        <v>377</v>
      </c>
      <c r="IE75" s="1">
        <v>1200000</v>
      </c>
      <c r="IF75" s="1" t="s">
        <v>377</v>
      </c>
      <c r="IG75" s="1">
        <f t="shared" si="320"/>
        <v>7200000</v>
      </c>
      <c r="IH75" s="1" t="s">
        <v>389</v>
      </c>
      <c r="II75" s="79">
        <f t="shared" ref="II75:II117" si="359">+IG75+IE75+IC75+IA75+HY75+HW75</f>
        <v>79660000</v>
      </c>
      <c r="IJ75" s="97">
        <f t="shared" si="308"/>
        <v>1.9040737312717446</v>
      </c>
      <c r="IK75" s="1" t="s">
        <v>377</v>
      </c>
      <c r="IL75" s="7">
        <v>48.32</v>
      </c>
      <c r="IM75" s="7">
        <v>53.85</v>
      </c>
      <c r="IN75" s="97">
        <v>191.4</v>
      </c>
      <c r="IO75" s="7">
        <v>15.01</v>
      </c>
      <c r="IP75" s="176">
        <f t="shared" si="321"/>
        <v>6.0901675410995511</v>
      </c>
      <c r="IQ75" s="7">
        <v>18.2</v>
      </c>
      <c r="IR75" s="98">
        <f t="shared" si="322"/>
        <v>5.93</v>
      </c>
      <c r="IS75" s="98">
        <f t="shared" si="322"/>
        <v>5.67</v>
      </c>
      <c r="IT75" s="98">
        <f t="shared" si="322"/>
        <v>13.17</v>
      </c>
      <c r="IU75" s="98">
        <f t="shared" si="322"/>
        <v>1.55</v>
      </c>
      <c r="IV75" s="94">
        <f t="shared" ref="IV75:IV129" si="360">+SUM(IS75:IU75)</f>
        <v>20.39</v>
      </c>
      <c r="IW75" s="1"/>
      <c r="IX75" s="1"/>
      <c r="IY75" s="105">
        <v>1.86</v>
      </c>
      <c r="IZ75" s="161">
        <v>0.3</v>
      </c>
      <c r="JA75" s="83">
        <v>2813</v>
      </c>
      <c r="JB75" s="7">
        <v>44.08</v>
      </c>
      <c r="JC75" s="1"/>
      <c r="JD75" s="1"/>
      <c r="JF75" s="2">
        <v>16.198793210000002</v>
      </c>
      <c r="JG75" s="2">
        <v>35.436243250000004</v>
      </c>
      <c r="JH75" s="2">
        <v>126.38118942</v>
      </c>
      <c r="JI75" s="2">
        <v>289.48988453999999</v>
      </c>
      <c r="JJ75" s="2">
        <v>1094.8459049000001</v>
      </c>
      <c r="JK75" s="2">
        <v>71.314274389999994</v>
      </c>
      <c r="JL75" s="2">
        <v>3214.5317811199998</v>
      </c>
      <c r="JM75" s="2">
        <v>78.326844620000003</v>
      </c>
      <c r="JN75" s="2">
        <v>211.03173322000001</v>
      </c>
      <c r="JO75" s="2">
        <v>25.296241349999999</v>
      </c>
      <c r="JP75" s="2">
        <v>0</v>
      </c>
      <c r="JQ75" s="2">
        <v>1.05133236</v>
      </c>
      <c r="JR75" s="2">
        <v>0.91624802000000005</v>
      </c>
      <c r="JS75" s="2">
        <v>0</v>
      </c>
      <c r="JT75" s="2">
        <v>2.5440000000000001E-2</v>
      </c>
      <c r="JU75" s="2">
        <v>81.893478630000004</v>
      </c>
      <c r="JV75" s="2">
        <v>25.826087690000001</v>
      </c>
      <c r="JW75" s="2">
        <v>19.383884059999996</v>
      </c>
      <c r="JX75" s="2">
        <v>67.750553279999991</v>
      </c>
      <c r="JY75" s="2">
        <v>0</v>
      </c>
      <c r="JZ75" s="2">
        <v>3.39401405</v>
      </c>
      <c r="KA75" s="2">
        <v>0.48321958999999998</v>
      </c>
      <c r="KB75" s="2">
        <v>32.134948460000004</v>
      </c>
      <c r="KC75" s="2">
        <v>10.597406970000002</v>
      </c>
      <c r="KD75" s="2">
        <v>9.7806411700000009</v>
      </c>
      <c r="KE75" s="2">
        <v>26.64633826</v>
      </c>
      <c r="KF75" s="2">
        <v>39.126780149999995</v>
      </c>
      <c r="KG75" s="2">
        <v>253.74870389000006</v>
      </c>
      <c r="KH75" s="2">
        <v>88.190113580000016</v>
      </c>
      <c r="KI75" s="2">
        <v>27.240637330000002</v>
      </c>
      <c r="KJ75" s="2">
        <v>10.847779999999997</v>
      </c>
      <c r="KK75" s="2">
        <v>6.6603100399999997</v>
      </c>
      <c r="KL75" s="2">
        <v>0.21468284000000001</v>
      </c>
      <c r="KM75" s="2">
        <v>1.51678114</v>
      </c>
      <c r="KN75" s="2">
        <v>7.338887999999999E-2</v>
      </c>
      <c r="KO75" s="2">
        <v>1.1625277999999999</v>
      </c>
      <c r="KP75" s="2">
        <v>0.18804257999999999</v>
      </c>
      <c r="KQ75" s="2">
        <v>337.78776054000002</v>
      </c>
      <c r="KR75" s="2">
        <v>0.36596083999999995</v>
      </c>
      <c r="KS75" s="2">
        <v>0.22839721000000002</v>
      </c>
      <c r="KT75" s="2">
        <v>0.82773235999999994</v>
      </c>
      <c r="KU75" s="2">
        <v>9.6263029999999999E-2</v>
      </c>
      <c r="KV75" s="2">
        <v>8.924350000000001E-3</v>
      </c>
      <c r="KW75" s="2">
        <v>2.97583383</v>
      </c>
      <c r="KX75" s="2">
        <v>0</v>
      </c>
      <c r="KY75" s="2">
        <v>0</v>
      </c>
      <c r="KZ75" s="2">
        <v>1.6535229599999999</v>
      </c>
      <c r="LA75" s="2">
        <v>0.93975511</v>
      </c>
      <c r="LB75" s="2">
        <v>1.042473E-2</v>
      </c>
      <c r="LC75" s="2">
        <v>7.198736E-2</v>
      </c>
      <c r="LD75" s="2">
        <v>0</v>
      </c>
      <c r="LE75" s="2">
        <v>1.0120167900000001</v>
      </c>
      <c r="LF75" s="2">
        <v>0.13701888000000001</v>
      </c>
      <c r="LG75" s="2">
        <v>18.996845619999998</v>
      </c>
      <c r="LH75" s="2">
        <v>7.4379812199999993</v>
      </c>
      <c r="LI75" s="2">
        <v>4.7457782000000002</v>
      </c>
      <c r="LJ75" s="2">
        <v>9.8459999999999989E-5</v>
      </c>
      <c r="LK75" s="2">
        <v>3.0977583200000001</v>
      </c>
      <c r="LL75" s="2">
        <v>9.4404878099999987</v>
      </c>
      <c r="LM75" s="2">
        <v>0.8815407799999998</v>
      </c>
      <c r="LN75" s="2">
        <v>1.8496220000000001E-2</v>
      </c>
      <c r="LO75" s="2">
        <v>7.5606034900000001</v>
      </c>
      <c r="LQ75" s="85">
        <f t="shared" si="323"/>
        <v>5014.6073378199999</v>
      </c>
      <c r="LR75" s="85">
        <f t="shared" si="324"/>
        <v>1.9930203799999999</v>
      </c>
      <c r="LS75" s="85">
        <f t="shared" si="325"/>
        <v>45.209971749999994</v>
      </c>
      <c r="LT75" s="85">
        <f t="shared" si="326"/>
        <v>3.87723364</v>
      </c>
      <c r="LU75" s="85">
        <f t="shared" si="327"/>
        <v>341.13481641000004</v>
      </c>
      <c r="LV75" s="85">
        <f t="shared" si="328"/>
        <v>2.98475818</v>
      </c>
      <c r="LW75" s="85">
        <f t="shared" si="329"/>
        <v>0.95017984</v>
      </c>
      <c r="LX75" s="85">
        <f t="shared" si="330"/>
        <v>1.1490356700000002</v>
      </c>
      <c r="LZ75" s="131">
        <v>103.47</v>
      </c>
      <c r="MA75" s="171">
        <v>111.68</v>
      </c>
      <c r="MB75"/>
      <c r="MC75"/>
      <c r="MD75"/>
      <c r="MF75"/>
      <c r="MG75"/>
      <c r="MH75" s="83">
        <v>182.91</v>
      </c>
      <c r="MI75" s="83">
        <v>50.94</v>
      </c>
      <c r="MJ75" s="83">
        <v>53.33</v>
      </c>
      <c r="MK75"/>
      <c r="ML75" s="83">
        <v>57.81</v>
      </c>
      <c r="MM75" s="83">
        <v>106.9</v>
      </c>
      <c r="MN75" s="83"/>
      <c r="MO75" s="83">
        <v>54.6</v>
      </c>
      <c r="MP75" s="83">
        <v>121.42</v>
      </c>
      <c r="MQ75" s="83">
        <v>164.77</v>
      </c>
      <c r="MR75"/>
      <c r="MT75" s="83"/>
      <c r="MU75" s="83">
        <v>76.31</v>
      </c>
      <c r="MV75"/>
      <c r="MW75"/>
      <c r="MX75"/>
      <c r="MY75" s="83">
        <v>190.03</v>
      </c>
      <c r="MZ75" s="83">
        <v>507</v>
      </c>
      <c r="NA75" s="83">
        <v>182.8</v>
      </c>
      <c r="NB75" s="83">
        <v>701.91</v>
      </c>
      <c r="NC75" s="83">
        <v>84.1</v>
      </c>
      <c r="ND75"/>
      <c r="NE75" s="1">
        <v>455.11</v>
      </c>
    </row>
    <row r="76" spans="1:369">
      <c r="A76" s="38">
        <f t="shared" si="334"/>
        <v>44378</v>
      </c>
      <c r="B76" s="36">
        <f t="shared" si="313"/>
        <v>7</v>
      </c>
      <c r="C76" s="36">
        <f t="shared" si="314"/>
        <v>2021</v>
      </c>
      <c r="D76" s="36">
        <f t="shared" si="347"/>
        <v>76</v>
      </c>
      <c r="E76" s="38">
        <f t="shared" si="335"/>
        <v>44378</v>
      </c>
      <c r="F76" s="7">
        <v>98.31</v>
      </c>
      <c r="G76" s="7">
        <v>498.09870000000001</v>
      </c>
      <c r="H76" s="1">
        <f>[2]NACIONALES!$D64</f>
        <v>40000</v>
      </c>
      <c r="I76" s="7">
        <v>91</v>
      </c>
      <c r="J76" s="7">
        <v>620</v>
      </c>
      <c r="K76" s="7">
        <v>8.8000000000000007</v>
      </c>
      <c r="L76" s="7">
        <v>27.2</v>
      </c>
      <c r="N76" s="5">
        <v>1.768</v>
      </c>
      <c r="O76" s="5">
        <v>1.613</v>
      </c>
      <c r="P76" s="78">
        <f t="shared" si="294"/>
        <v>157.88340224999999</v>
      </c>
      <c r="Q76" s="6">
        <v>2510</v>
      </c>
      <c r="R76" s="79">
        <f t="shared" si="336"/>
        <v>25100</v>
      </c>
      <c r="S76" s="6">
        <f>+S75</f>
        <v>213.62</v>
      </c>
      <c r="T76" s="6">
        <v>346.09</v>
      </c>
      <c r="U76" s="143">
        <v>187.73333333333335</v>
      </c>
      <c r="V76" s="6">
        <v>305.86190476190473</v>
      </c>
      <c r="W76" s="6">
        <f>(240*0.88)-10</f>
        <v>201.2</v>
      </c>
      <c r="X76" s="6">
        <v>204.10476190476189</v>
      </c>
      <c r="Y76" s="79">
        <f t="shared" si="337"/>
        <v>21000.982200000002</v>
      </c>
      <c r="Z76" s="79">
        <f t="shared" si="338"/>
        <v>34024.107899999995</v>
      </c>
      <c r="AA76" s="79">
        <f t="shared" si="339"/>
        <v>18456.064000000002</v>
      </c>
      <c r="AB76" s="79">
        <f t="shared" si="340"/>
        <v>30069.283857142855</v>
      </c>
      <c r="AC76" s="79">
        <f t="shared" si="341"/>
        <v>19779.971999999998</v>
      </c>
      <c r="AD76" s="79">
        <f t="shared" si="342"/>
        <v>20065.539142857142</v>
      </c>
      <c r="AE76" s="79">
        <f t="shared" si="343"/>
        <v>23899.324850000001</v>
      </c>
      <c r="AF76" s="1">
        <v>69831.71428571429</v>
      </c>
      <c r="AG76" s="1">
        <v>29700</v>
      </c>
      <c r="AH76" s="1">
        <v>112860</v>
      </c>
      <c r="AI76" s="5">
        <v>39.520000000000003</v>
      </c>
      <c r="AJ76" s="5">
        <v>35.049999999999997</v>
      </c>
      <c r="AK76" s="5">
        <v>37.71</v>
      </c>
      <c r="AL76" s="5">
        <v>31.39</v>
      </c>
      <c r="AM76" s="78">
        <f t="shared" si="344"/>
        <v>36.919400000000003</v>
      </c>
      <c r="AN76" s="7">
        <v>1857.6573033707866</v>
      </c>
      <c r="AO76" s="7">
        <v>1442.1428571428571</v>
      </c>
      <c r="AP76" s="78">
        <f t="shared" si="277"/>
        <v>1442.1428571428571</v>
      </c>
      <c r="AQ76" s="7">
        <v>443.61666666666667</v>
      </c>
      <c r="AR76" s="7">
        <v>507.52380952380952</v>
      </c>
      <c r="AS76" s="7">
        <v>498.63809523809516</v>
      </c>
      <c r="AT76" s="7">
        <v>761.43333333333339</v>
      </c>
      <c r="AU76" s="78">
        <f t="shared" si="348"/>
        <v>589.19841269841265</v>
      </c>
      <c r="AV76" s="7">
        <v>386.88157894736844</v>
      </c>
      <c r="AW76" s="7">
        <v>1077.4285714285713</v>
      </c>
      <c r="AX76" s="7">
        <v>376.24761904761897</v>
      </c>
      <c r="AY76" s="7">
        <v>1652.7450980392157</v>
      </c>
      <c r="AZ76" s="7">
        <v>353.92380952380961</v>
      </c>
      <c r="BA76" s="7">
        <v>377.58333333333331</v>
      </c>
      <c r="BB76" s="94">
        <f t="shared" si="345"/>
        <v>745.86576797385624</v>
      </c>
      <c r="BC76" s="166">
        <v>3827</v>
      </c>
      <c r="BD76" s="166">
        <v>2426</v>
      </c>
      <c r="BE76" s="7">
        <v>1800</v>
      </c>
      <c r="BF76" s="7">
        <v>1500</v>
      </c>
      <c r="BG76" s="94">
        <f t="shared" si="349"/>
        <v>2388.25</v>
      </c>
      <c r="BH76" s="7">
        <v>191.89</v>
      </c>
      <c r="BI76" s="7">
        <f>+BI75+60</f>
        <v>85</v>
      </c>
      <c r="BJ76" s="78">
        <f t="shared" si="350"/>
        <v>276.89</v>
      </c>
      <c r="BK76" s="7">
        <v>183.74600000000001</v>
      </c>
      <c r="BL76" s="7">
        <v>224.42</v>
      </c>
      <c r="BM76" s="94">
        <f t="shared" si="351"/>
        <v>204.083</v>
      </c>
      <c r="BN76" s="5">
        <v>32.15</v>
      </c>
      <c r="BO76" s="84">
        <v>132.5</v>
      </c>
      <c r="BP76">
        <v>76.510000000000005</v>
      </c>
      <c r="BQ76" s="94">
        <f t="shared" si="346"/>
        <v>126.901</v>
      </c>
      <c r="BR76" s="7">
        <v>108.99</v>
      </c>
      <c r="BS76" s="97">
        <v>375</v>
      </c>
      <c r="BT76" s="7">
        <f>+F76*1.45</f>
        <v>142.54949999999999</v>
      </c>
      <c r="BU76" s="79">
        <f t="shared" si="237"/>
        <v>4927.6485000000002</v>
      </c>
      <c r="BV76" s="93">
        <v>273.2</v>
      </c>
      <c r="BW76" s="93">
        <v>335</v>
      </c>
      <c r="BY76" s="92">
        <f>BY$10*(1+((H76/H$10-1)*costos!$B$5+((I76*F76)/(I$10*F$10)-1)*costos!$E$5+((J76*F76)/((J$10*F$10)-1)*costos!$F$5/3+((K76*F76)/(K$10*F$10)-1)*costos!$F$5/3+((U76*F76)/(U$10*F$10)-1)*costos!$F$5/3+((L76*F76)/(L$10*F$10)-1)*costos!$G$5+((N76*F76)/(N$10*F$10)-1)*costos!$J$5+((V76*F76)/(V$10*F$10)-1)*costos!$K$5)))</f>
        <v>943.1112753836494</v>
      </c>
      <c r="BZ76" s="92">
        <f>$BZ$10*(1+((H76/$H$10-1)*costos!$B$6+((I76*F76)/($I$10*$F$10)-1)*costos!$E$6+((J76*F76)/(($J$10*$F$10)-1)*costos!$F$6/3+((K76*F76)/($K$10*$F$10)-1)*costos!$F$6/3+((U76*F76)/($U$10*$F$10)-1)*costos!$F$6/3+((L76*F76)/($L$10*$F$10)-1)*costos!$G$6+((Q76*F76)/($Q$10*$F$10)-1)*costos!$J$6+((V76*F76)/($V$10*$F$10)-1)*costos!$K$6)))</f>
        <v>820.85515129331054</v>
      </c>
      <c r="CA76" s="92">
        <f>CA$10*(1+((H76/H$10-1)*costos!$B$7+((I76*F76)/(I$10*F$10)-1)*costos!$E$7+((J76*F76)/((J$10*F$10)-1)*costos!$F$7/3+((K76*F76)/(K$10*F$10)-1)*costos!$F$7/3+((U76*F76)/(U$10*F$10)-1)*costos!$F$7/3+((L76*F76)/(L$10*F$10)-1)*costos!$G$7+((S76*F76)/(S$10*F$10)-1)*costos!$J$7+((V76*F76)/(V$10*F$10)-1)*costos!$K$7)))</f>
        <v>953.5647845662437</v>
      </c>
      <c r="CB76" s="92">
        <f>CB$10*(1+((H76/H$10-1)*costos!$B$8+((I76*F76)/(I$10*F$10)-1)*costos!$E$8+((J76*F76)/((J$10*F$10)-1)*costos!$F$8/3+((K76*F76)/(K$10*F$10)-1)*costos!$F$8/3+((U76*F76)/(U$10*F$10)-1)*costos!$F$8/3+((L76*F76)/(L$10*F$10)-1)*costos!$G$8+((T76*F76)/(T$10*F$10)-1)*costos!$J$8+((V76*F76)/(V$10*F$10)-1)*costos!$K$8)))</f>
        <v>887.11993559278972</v>
      </c>
      <c r="CC76" s="92">
        <f>CC$10*(1+((H76/H$10-1)*costos!$B$9+((I76*F76)/(I$10*F$10)-1)*costos!$E$9+((J76*F76)/((J$10*F$10)-1)*costos!$F$9/3+((K76*F76)/(K$10*F$10)-1)*costos!$F$9/3+((U76*F76)/(U$10*F$10)-1)*costos!$F$9/3+((L76*F76)/(L$10*F$10)-1)*costos!$G$9+((U76*F76)/(U$10*F$10)-1)*costos!$J$9+((V76*F76)/(V$10*F$10)-1)*costos!$K$9)))</f>
        <v>893.31681700089621</v>
      </c>
      <c r="CD76" s="92">
        <f>CD$10*(1+((H76/H$10-1)*costos!$B$11+((I76*F76)/(I$10*F$10)-1)*costos!$E$11+((J76*F76)/((J$10*F$10)-1)*costos!$F$11/3+((K76*F76)/(K$10*F$10)-1)*costos!$F$11/3+((U76*F76)/(U$10*F$10)-1)*costos!$F$11/3+((L76*F76)/(L$10*F$10)-1)*costos!$G$11+((V76*F76)/(V$10*F$10)-1)*costos!$J$11+((V76*F76)/(V$10*F$10)-1)*costos!$K$11)))</f>
        <v>929.71449919914858</v>
      </c>
      <c r="CE76" s="92">
        <f>CE$10*(1+((H76/H$10-1)*costos!$B$12+((I76*F76)/(I$10*F$10)-1)*costos!$E$12+((J76*F76)/((J$10*F$10)-1)*costos!$F$12/3+((K76*F76)/(K$10*F$10)-1)*costos!$F$12/3+((U76*F76)/(U$10*F$10)-1)*costos!$F$12/3+((L76*F76)/(L$10*F$10)-1)*costos!$G$12+((W76*F76)/(W$10*F$10)-1)*costos!$J$12+((V76*F76)/(V$10*F$10)-1)*costos!$K$12)))</f>
        <v>899.8765613060034</v>
      </c>
      <c r="CF76" s="92">
        <f>CF$10*(1+((H76/H$10-1)*costos!$B$13+((I76*F76)/(I$10*F$10)-1)*costos!$E$13+((J76*F76)/((J$10*F$10)-1)*costos!$F$13/3+((K76*F76)/(K$10*F$10)-1)*costos!$F$13/3+((U76*F76)/(U$10*F$10)-1)*costos!$F$13/3+((L76*F76)/(L$10*F$10)-1)*costos!$G$13+((X76*F76)/(X$10*F$10)-1)*costos!$J$13+((V76*F76)/(V$10*F$10)-1)*costos!$K$13)))</f>
        <v>941.97859104743213</v>
      </c>
      <c r="CG76" s="92">
        <f t="shared" si="309"/>
        <v>917.59519811875225</v>
      </c>
      <c r="CH76" s="92">
        <f>CH$10*(1+((H76/H$10-1)*costos!$B$10+((I76*F76)/(I$10*F$10)-1)*costos!$E$10+((J76*F76)/((J$10*F$10)-1)*costos!$F$10/3+((K76*F76)/(K$10*F$10)-1)*costos!$F$10/3+((U76*F76)/(U$10*F$10)-1)*costos!$F$10/3+((L76*F76)/(L$10*F$10)-1)*costos!$G$10+((AF76)/(AF$10)-1)*costos!$J$10+((V76*F76)/(V$10*F$10)-1)*costos!$K$10)))</f>
        <v>979.2596380606202</v>
      </c>
      <c r="CI76" s="92">
        <f>CI$10*(1+((H76/H$10-1)*costos!$B$15+((I76*F76)/(I$10*F$10)-1)*costos!$E$15+((J76*F76)/((J$10*F$10)-1)*costos!$F$15/3+((K76*F76)/(K$10*F$10)-1)*costos!$F$15/3+((U76*F76)/(U$10*F$10)-1)*costos!$F$15/3+((L76*F76)/(L$10*F$10)-1)*costos!$G$15+((AV76)/(AV$10)-1)*costos!$J$15+((V76*F76)/(V$10*F$10)-1)*costos!$K$15)))</f>
        <v>889.61010090737443</v>
      </c>
      <c r="CJ76" s="92">
        <f>CJ$10*(1+((H76/H$10-1)*costos!$B$16+((I76*F76)/(I$10*F$10)-1)*costos!$E$16+((J76*F76)/((J$10*F$10)-1)*costos!$F$16/3+((K76*F76)/(K$10*F$10)-1)*costos!$F$16/3+((U76*F76)/(U$10*F$10)-1)*costos!$F$16/3+((L76*F76)/(L$10*F$10)-1)*costos!$G$16+((AW76)/(AW$10)-1)*costos!$J$16+((V76*F76)/(V$10*F$10)-1)*costos!$K$16)))</f>
        <v>661.07794669205191</v>
      </c>
      <c r="CK76" s="92">
        <f>CK$10*(1+((H76/H$10-1)*costos!$B$17+((I76*F76)/(I$10*F$10)-1)*costos!$E$17+((J76*F76)/((J$10*F$10)-1)*costos!$F$17/3+((K76*F76)/(K$10*F$10)-1)*costos!$F$17/3+((U76*F76)/(U$10*F$10)-1)*costos!$F$17/3+((L76*F76)/(L$10*F$10)-1)*costos!$G$17+((AX76)/(AX$10)-1)*costos!$J$17+((V76*F76)/(V$10*F$10)-1)*costos!$K$17)))</f>
        <v>783.02474059349697</v>
      </c>
      <c r="CL76" s="92">
        <f>CL$10*(1+((H76/H$10-1)*costos!$B$18+((I76*F76)/(I$10*F$10)-1)*costos!$E$18+((J76*F76)/((J$10*F$10)-1)*costos!$F$18/3+((K76*F76)/(K$10*F$10)-1)*costos!$F$18/3+((U76*F76)/(U$10*F$10)-1)*costos!$F$18/3+((L76*F76)/(L$10*F$10)-1)*costos!$G$18+((AY76)/(AY$10)-1)*costos!$J$18+((V76*F76)/(V$10*F$10)-1)*costos!$K$18)))</f>
        <v>1060.1909119705306</v>
      </c>
      <c r="CM76" s="92">
        <f>CM$10*(1+((H76/H$10-1)*costos!$B$19+((I76*F76)/(I$10*F$10)-1)*costos!$E$19+((J76*F76)/((J$10*F$10)-1)*costos!$F$19/3+((K76*F76)/(K$10*F$10)-1)*costos!$F$19/3+((U76*F76)/(U$10*F$10)-1)*costos!$F$19/3+((L76*F76)/(L$10*F$10)-1)*costos!$G$19+((AZ76)/(AZ$10)-1)*costos!$J$19+((V76*F76)/(V$10*F$10)-1)*costos!$K$19)))</f>
        <v>604.18874352195439</v>
      </c>
      <c r="CN76" s="92">
        <f>CN$10*(1+((H76/H$10-1)*costos!$B$20+((I76*F76)/(I$10*F$10)-1)*costos!$E$20+((J76*F76)/((J$10*F$10)-1)*costos!$F$20/3+((K76*F76)/(K$10*F$10)-1)*costos!$F$20/3+((U76*F76)/(U$10*F$10)-1)*costos!$F$20/3+((L76*F76)/(L$10*F$10)-1)*costos!$G$20+((BA76)/(BA$10)-1)*costos!$J$20+((V76*F76)/(V$10*F$10)-1)*costos!$K$20)))</f>
        <v>656.40565259352707</v>
      </c>
      <c r="CO76" s="92">
        <f t="shared" si="310"/>
        <v>775.9525121698772</v>
      </c>
      <c r="CP76" s="92">
        <f>CP$10*(1+((H76/H$10-1)*costos!$B$22+((I76*F76)/(I$10*F$10)-1)*costos!$E$22+((J76*F76)/((J$10*F$10)-1)*costos!$F$22/3+((K76*F76)/(K$10*F$10)-1)*costos!$F$22/3+((U76*F76)/(U$10*F$10)-1)*costos!$F$22/3+((L76*F76)/(L$10*F$10)-1)*costos!$G$22+(((AVERAGE(AI76:AL76))/((AVERAGE(AI$10:AL$10))-1)*costos!$J$22+((V76*F76)/(V$10*F$10)-1)*costos!$K$22)))))</f>
        <v>895.56521369041332</v>
      </c>
      <c r="CQ76" s="92">
        <f>CQ$10*(1+((H76/H$10-1)*costos!$B$23+((I76*F76)/(I$10*F$10)-1)*costos!$E$23+((J76*F76)/((J$10*F$10)-1)*costos!$F$23/3+((K76*F76)/(K$10*F$10)-1)*costos!$F$23/3+((U76*F76)/(U$10*F$10)-1)*costos!$F$23/3+((L76*F76)/(L$10*F$10)-1)*costos!$G$23+((AN76)/(AN$10)-1)*costos!$J$23+((V76*F76)/(V$10*F$10)-1)*costos!$K$23)))</f>
        <v>711.78832624029133</v>
      </c>
      <c r="CR76" s="92">
        <f>CR$10*(1+((H76/H$10-1)*costos!$B$24+((I76*F76)/(I$10*F$10)-1)*costos!$E$24+((J76*F76)/((J$10*F$10)-1)*costos!$F$24/3+((K76*F76)/(K$10*F$10)-1)*costos!$F$24/3+((U76*F76)/(U$10*F$10)-1)*costos!$F$24/3+((L76*F76)/(L$10*F$10)-1)*costos!$G$24+((AO76)/(AO$10)-1)*costos!$J$24+((V76*F76)/(V$10*F$10)-1)*costos!$K$24)))</f>
        <v>739.3317025400105</v>
      </c>
      <c r="CS76" s="92">
        <f t="shared" si="352"/>
        <v>725.56001439015085</v>
      </c>
      <c r="CT76" s="92">
        <f>CT$10*(1+((H76/H$10-1)*costos!$B$25+((I76*F76)/(I$10*F$10)-1)*costos!$E$25+((J76*F76)/((J$10*F$10)-1)*costos!$F$25/3+((K76*F76)/(K$10*F$10)-1)*costos!$F$25/3+((U76*F76)/(U$10*F$10)-1)*costos!$F$25/3+((L76*F76)/(L$10*F$10)-1)*costos!$G$25+((AQ76)/(AQ$10)-1)*costos!$J$25+((V76*F76)/(V$10*F$10)-1)*costos!$K$25)))</f>
        <v>681.46098129107747</v>
      </c>
      <c r="CU76" s="92">
        <f>CU$10*(1+((H76/H$10-1)*costos!$B$26+((I76*F76)/(I$10*F$10)-1)*costos!$E$26+((J76*F76)/((J$10*F$10)-1)*costos!$F$26/3+((K76*F76)/(K$10*F$10)-1)*costos!$F$26/3+((U76*F76)/(U$10*F$10)-1)*costos!$F$26/3+((L76*F76)/(L$10*F$10)-1)*costos!$G$26+((AR76)/(AR$10)-1)*costos!$J$26+((V76*F76)/(V$10*F$10)-1)*costos!$K$26)))</f>
        <v>752.26839856915046</v>
      </c>
      <c r="CV76" s="92">
        <f>CV$10*(1+((H76/H$10-1)*costos!$B$27+((I76*F76)/(I$10*F$10)-1)*costos!$E$27+((J76*F76)/((J$10*F$10)-1)*costos!$F$27/3+((K76*F76)/(K$10*F$10)-1)*costos!$F$27/3+((U76*F76)/(U$10*F$10)-1)*costos!$F$27/3+((L76*F76)/(L$10*F$10)-1)*costos!$G$27+((AS76)/(AS$10)-1)*costos!$J$27+((V76*F76)/(V$10*F$10)-1)*costos!$K$27)))</f>
        <v>751.0737002278795</v>
      </c>
      <c r="CW76" s="92">
        <f>CW$10*(1+((H76/H$10-1)*costos!$B$28+((I76*F76)/(I$10*F$10)-1)*costos!$E$28+((J76*F76)/((J$10*F$10)-1)*costos!$F$28/3+((K76*F76)/(K$10*F$10)-1)*costos!$F$28/3+((U76*F76)/(U$10*F$10)-1)*costos!$F$28/3+((L76*F76)/(L$10*F$10)-1)*costos!$G$28+((AS76)/(AS$10)-1)*costos!$J$28+((V76*F76)/(V$10*F$10)-1)*costos!$K$28)))</f>
        <v>751.0737002278795</v>
      </c>
      <c r="CX76" s="92">
        <f t="shared" si="311"/>
        <v>751.47193300830315</v>
      </c>
      <c r="CY76" s="92">
        <f>CY$10*(1+((H76/H$10-1)*costos!$B$32+((I76*F76)/(I$10*F$10)-1)*costos!$E$32+((J76*F76)/((J$10*F$10)-1)*costos!$F$32/3+((K76*F76)/(K$10*F$10)-1)*costos!$F$32/3+((U76*F76)/(U$10*F$10)-1)*costos!$F$32/3+((L76*F76)/(L$10*F$10)-1)*costos!$G$32+((AG76)/(AG$10)-1)*costos!$J$32+((V76*F76)/(V$10*F$10)-1)*costos!$K$32)))</f>
        <v>629.57984885307189</v>
      </c>
      <c r="CZ76" s="69">
        <f>CZ$10*(1+((H76/H$10-1)*costos!$B$31+((I76*F76)/(I$10*F$10)-1)*costos!$E$30+((J76*F76)/((J$10*F$10)-1)*costos!$F$30/3+((K76*F76)/(K$10*F$10)-1)*costos!$F$30/3+((U76*F76)/(U$10*F$10)-1)*costos!$F$30/3+((L76*F76)/(L$10*F$10)-1)*costos!$G$30+((BG76)/(BG$10)-1)*costos!$J$30+((V76*F76)/(V$10*F$10)-1)*costos!$K$30)))</f>
        <v>828.45256484799245</v>
      </c>
      <c r="DA76" s="69">
        <f>DA$10*(1+((H76/H$10-1)*costos!$B$31+((I76*F76)/(I$10*F$10)-1)*costos!$E$31+((J76*F76)/((J$10*F$10)-1)*costos!$F$31/3+((K76*F76)/(K$10*F$10)-1)*costos!$F$31/3+((U76*F76)/(U$10*F$10)-1)*costos!$F$31/3+((L76*F76)/(L$10*F$10)-1)*costos!$G$31+((BJ76)/(BJ$10)-1)*costos!$J$31+((V76*F76)/(V$10*F$10)-1)*costos!$K$31)))</f>
        <v>679.51607583394548</v>
      </c>
      <c r="DB76" s="69">
        <f>DB$10*(1+((H76/H$10-1)*costos!$B$36+((I76*F76)/(I$10*F$10)-1)*costos!$E$36+((J76*F76)/((J$10*F$10)-1)*costos!$F$36/3+((K76*F76)/(K$10*F$10)-1)*costos!$F$36/3+((U76*F76)/(U$10*F$10)-1)*costos!$F$36/3+((L76*F76)/(L$10*F$10)-1)*costos!$G$36+((BK76)/(BK$10)-1)*costos!$J$36+((V76*F76)/(V$10*F$10)-1)*costos!$K$36)))</f>
        <v>817.96920270386022</v>
      </c>
      <c r="DC76" s="69">
        <f>DC$10*(1+((H76/H$10-1)*costos!$B$37+((I76*F76)/(I$10*F$10)-1)*costos!$E$37+((U76*F76)/(U$10*F$10)-1)*costos!$F$37+((L76*F76)/(L$10*F$10)-1)*costos!$G$37+((BN76)/(BN$10)-1)*costos!$J$37+((V76*F76)/(V$10*F$10)-1)*costos!$K$37))</f>
        <v>835.4026464949286</v>
      </c>
      <c r="DD76" s="69">
        <f>DD$10*(1+((H76/H$10-1)*costos!$B$39+((I76*F76)/(I$10*F$10)-1)*costos!$E$39+((U76*F76)/(U$10*F$10)-1)*costos!$F$39+((L76*F76)/(L$10*F$10)-1)*costos!$G$39+((BR76)/(BR$10)-1)*costos!$J$39+((V76*F76)/(V$10*F$10)-1)*costos!$K$39))</f>
        <v>811.53369931164241</v>
      </c>
      <c r="DE76" s="69">
        <f>DD$10*(1+((H76/H$10-1)*costos!$B$35+((I76*F76)/(I$10*F$10)-1)*costos!$E$35+((U76*F76)/(U$10*F$10)-1)*costos!$F$35+((L76*F76)/(L$10*F$10)-1)*costos!$G$35+((BR76)/(BR$10)-1)*costos!$J$35+((V76*F76)/(V$10*F$10)-1)*costos!$K$35))</f>
        <v>730.52396771184158</v>
      </c>
      <c r="DF76" s="69">
        <f>DF$10*(1+((H76/H$10-1)*costos!$B$40+((I76*F76)/(I$10*F$10)-1)*costos!$E$40+((U76*F76)/(U$10*F$10)-1)*costos!$F$40+((L76*F76)/(L$10*F$10)-1)*costos!$G$40+((BP76)/(BP$10)-1)*costos!$J$40+((V76*F76)/(V$10*F$10)-1)*costos!$K$40))</f>
        <v>845.88503486867671</v>
      </c>
      <c r="DG76" s="92">
        <f t="shared" si="312"/>
        <v>788.20450129025915</v>
      </c>
      <c r="DH76" s="69">
        <f>DH$10*(1+((H76/H$10-1)*costos!$B$34+((I76*F76)/(I$10*F$10)-1)*costos!$E$34+((J76*F76)/((J$10*F$10)-1)*costos!$F$34/3+((K76*F76)/(K$10*F$10)-1)*costos!$F$34/3+((U76*F76)/(U$10*F$10)-1)*costos!$F$34/3+((L76*F76)/(L$10*F$10)-1)*costos!$G$34+((BV76)/(BV$10)-1)*costos!$J$34+((V76*F76)/(V$10*F$10)-1)*costos!$K$34)))</f>
        <v>780.18622796981049</v>
      </c>
      <c r="DI76" s="69">
        <f>DI$10*(1+((H76/H$10-1)*costos!$B$38+((I76*F76)/(I$10*F$10)-1)*costos!$E$38+((J76*F76)/((J$10*F$10)-1)*costos!$F$38/3+((K76*F76)/(K$10*F$10)-1)*costos!$F$38/3+((U76*F76)/(U$10*F$10)-1)*costos!$F$38/3+((L76*F76)/(L$10*F$10)-1)*costos!$G$38+((BU76)/(BU$10)-1)*costos!$J$38+((V76*F76)/(V$10*F$10)-1)*costos!$K$38)))</f>
        <v>640.4725654152777</v>
      </c>
      <c r="DK76" s="1">
        <v>410000</v>
      </c>
      <c r="DL76" s="1" t="s">
        <v>377</v>
      </c>
      <c r="DM76" s="1">
        <v>200000</v>
      </c>
      <c r="DN76" s="1" t="s">
        <v>377</v>
      </c>
      <c r="DO76" s="1">
        <v>1300000</v>
      </c>
      <c r="DP76" s="1" t="s">
        <v>389</v>
      </c>
      <c r="DQ76" s="1">
        <v>1700000</v>
      </c>
      <c r="DR76" s="1" t="s">
        <v>377</v>
      </c>
      <c r="DS76" s="1">
        <v>6200000</v>
      </c>
      <c r="DT76" s="1" t="s">
        <v>377</v>
      </c>
      <c r="DU76" s="1">
        <v>16600000</v>
      </c>
      <c r="DV76" s="1" t="s">
        <v>377</v>
      </c>
      <c r="DW76" s="1">
        <v>980000</v>
      </c>
      <c r="DX76" s="1" t="s">
        <v>377</v>
      </c>
      <c r="DY76" s="1">
        <v>6950000</v>
      </c>
      <c r="DZ76" s="1" t="s">
        <v>389</v>
      </c>
      <c r="EA76" s="79">
        <f t="shared" si="353"/>
        <v>33730000</v>
      </c>
      <c r="EB76" s="1">
        <v>400000</v>
      </c>
      <c r="EC76" s="1" t="s">
        <v>377</v>
      </c>
      <c r="ED76" s="1">
        <v>191392</v>
      </c>
      <c r="EE76" s="143">
        <v>2021</v>
      </c>
      <c r="EF76" s="1">
        <v>211099</v>
      </c>
      <c r="EG76" s="6">
        <v>2021</v>
      </c>
      <c r="EH76" s="1">
        <v>53517534</v>
      </c>
      <c r="EI76" s="6">
        <v>2021</v>
      </c>
      <c r="EJ76" s="1">
        <v>5350999</v>
      </c>
      <c r="EK76" s="6">
        <v>2021</v>
      </c>
      <c r="EL76" s="1">
        <v>14571766</v>
      </c>
      <c r="EM76" s="6">
        <v>2020</v>
      </c>
      <c r="EN76" s="1">
        <v>3132657</v>
      </c>
      <c r="EO76" s="6">
        <v>2020</v>
      </c>
      <c r="EP76" s="82">
        <f t="shared" si="315"/>
        <v>6552</v>
      </c>
      <c r="EQ76" s="83">
        <v>3500000</v>
      </c>
      <c r="ER76" s="1">
        <f t="shared" si="189"/>
        <v>76133.333333333328</v>
      </c>
      <c r="ES76" s="1"/>
      <c r="ET76" s="83">
        <f t="shared" si="316"/>
        <v>16000</v>
      </c>
      <c r="EU76" s="83">
        <f t="shared" si="316"/>
        <v>19131</v>
      </c>
      <c r="EV76" s="83">
        <f t="shared" si="316"/>
        <v>9000</v>
      </c>
      <c r="EW76" s="83">
        <f t="shared" si="316"/>
        <v>17492</v>
      </c>
      <c r="EX76" s="79">
        <f t="shared" si="354"/>
        <v>61623</v>
      </c>
      <c r="EY76" s="83">
        <f t="shared" si="317"/>
        <v>19904</v>
      </c>
      <c r="EZ76" s="82">
        <f t="shared" si="317"/>
        <v>80798</v>
      </c>
      <c r="FA76" s="83">
        <f t="shared" si="331"/>
        <v>20331</v>
      </c>
      <c r="FB76" s="83">
        <f t="shared" si="332"/>
        <v>17550</v>
      </c>
      <c r="FC76" s="79">
        <f t="shared" si="307"/>
        <v>37881</v>
      </c>
      <c r="FD76" s="83">
        <f t="shared" si="158"/>
        <v>59807.5</v>
      </c>
      <c r="FE76" s="1"/>
      <c r="FF76" s="1">
        <v>1050000</v>
      </c>
      <c r="FG76" s="1" t="s">
        <v>377</v>
      </c>
      <c r="FH76" s="1">
        <v>1400000</v>
      </c>
      <c r="FI76" s="1" t="s">
        <v>377</v>
      </c>
      <c r="FJ76" s="1">
        <v>4500000</v>
      </c>
      <c r="FK76" s="1" t="s">
        <v>377</v>
      </c>
      <c r="FL76" s="1">
        <v>3400000</v>
      </c>
      <c r="FM76" s="1" t="s">
        <v>377</v>
      </c>
      <c r="FN76" s="1">
        <v>48000000</v>
      </c>
      <c r="FO76" s="1" t="s">
        <v>377</v>
      </c>
      <c r="FP76" s="1">
        <v>46000000</v>
      </c>
      <c r="FQ76" s="1" t="s">
        <v>377</v>
      </c>
      <c r="FR76" s="1">
        <v>3300000</v>
      </c>
      <c r="FS76" s="1" t="s">
        <v>377</v>
      </c>
      <c r="FT76" s="1">
        <v>17645000</v>
      </c>
      <c r="FU76" s="1" t="s">
        <v>377</v>
      </c>
      <c r="FV76" s="79">
        <f t="shared" si="355"/>
        <v>122845000</v>
      </c>
      <c r="FW76" s="1">
        <v>1250000</v>
      </c>
      <c r="FX76" s="1" t="s">
        <v>377</v>
      </c>
      <c r="FY76" s="1">
        <v>136090</v>
      </c>
      <c r="FZ76" s="79">
        <f t="shared" si="135"/>
        <v>850627.84</v>
      </c>
      <c r="GA76" s="86" t="str">
        <f t="shared" si="271"/>
        <v>ago20 jul21</v>
      </c>
      <c r="GB76" s="83">
        <v>22248266</v>
      </c>
      <c r="GC76" s="6">
        <v>2021</v>
      </c>
      <c r="GD76" s="83">
        <f t="shared" si="318"/>
        <v>2015989</v>
      </c>
      <c r="GE76" s="83">
        <f t="shared" si="318"/>
        <v>421371</v>
      </c>
      <c r="GF76" s="83">
        <v>1038163</v>
      </c>
      <c r="GG76" s="83">
        <f t="shared" si="268"/>
        <v>89478</v>
      </c>
      <c r="GH76" s="79">
        <f t="shared" si="240"/>
        <v>1549012</v>
      </c>
      <c r="GI76" s="82">
        <f t="shared" si="356"/>
        <v>1302556</v>
      </c>
      <c r="GJ76" s="83">
        <f t="shared" si="215"/>
        <v>600000</v>
      </c>
      <c r="GK76" s="83">
        <f t="shared" si="216"/>
        <v>1362000</v>
      </c>
      <c r="GL76" s="83">
        <f t="shared" si="217"/>
        <v>300000</v>
      </c>
      <c r="GM76" s="83">
        <f t="shared" si="218"/>
        <v>261011.3</v>
      </c>
      <c r="GN76" s="79">
        <f t="shared" si="357"/>
        <v>2523011.2999999998</v>
      </c>
      <c r="GO76" s="83">
        <f t="shared" si="291"/>
        <v>199477</v>
      </c>
      <c r="GP76" s="83">
        <f t="shared" si="291"/>
        <v>72919</v>
      </c>
      <c r="GQ76" s="83">
        <v>23028</v>
      </c>
      <c r="GR76" s="83">
        <v>42288</v>
      </c>
      <c r="GS76" s="79">
        <f t="shared" si="192"/>
        <v>42978.84</v>
      </c>
      <c r="GT76" s="83">
        <f t="shared" si="333"/>
        <v>2871705.88</v>
      </c>
      <c r="GU76" s="1">
        <v>26435</v>
      </c>
      <c r="GV76" s="1">
        <v>36018</v>
      </c>
      <c r="GW76" s="79">
        <f t="shared" si="261"/>
        <v>1101982</v>
      </c>
      <c r="GX76" s="1">
        <v>37480.696000000004</v>
      </c>
      <c r="GY76" s="1" t="s">
        <v>385</v>
      </c>
      <c r="GZ76" s="1">
        <v>97886.411999999997</v>
      </c>
      <c r="HA76" s="1">
        <v>248325</v>
      </c>
      <c r="HB76" s="79">
        <f t="shared" si="241"/>
        <v>3029380</v>
      </c>
      <c r="HC76" s="86" t="str">
        <f t="shared" si="272"/>
        <v>ago20 jul21</v>
      </c>
      <c r="HD76" s="1">
        <v>60112</v>
      </c>
      <c r="HE76" s="79">
        <f t="shared" si="139"/>
        <v>680308</v>
      </c>
      <c r="HF76" s="86" t="str">
        <f t="shared" si="273"/>
        <v>ago20 jul21</v>
      </c>
      <c r="HG76" s="1">
        <v>191836</v>
      </c>
      <c r="HH76" s="79">
        <f t="shared" si="242"/>
        <v>2209089</v>
      </c>
      <c r="HI76" s="86" t="str">
        <f t="shared" si="274"/>
        <v>ago20 jul21</v>
      </c>
      <c r="HJ76" s="1">
        <v>83510</v>
      </c>
      <c r="HK76" s="79">
        <f t="shared" si="278"/>
        <v>60313.26</v>
      </c>
      <c r="HL76" s="86" t="str">
        <f t="shared" si="275"/>
        <v>ago20 jul21</v>
      </c>
      <c r="HM76" s="79">
        <f t="shared" si="358"/>
        <v>2269402.2599999998</v>
      </c>
      <c r="HN76" s="87">
        <f t="shared" si="297"/>
        <v>3.5114978247358541E-2</v>
      </c>
      <c r="HO76" s="1">
        <v>999300000</v>
      </c>
      <c r="HP76" s="79">
        <f t="shared" si="153"/>
        <v>11348.224857154026</v>
      </c>
      <c r="HQ76" s="86" t="str">
        <f t="shared" si="276"/>
        <v>ago20 jul21</v>
      </c>
      <c r="HR76" s="1"/>
      <c r="HS76" s="1"/>
      <c r="HT76" s="1"/>
      <c r="HU76" s="1">
        <v>700000</v>
      </c>
      <c r="HV76" s="1" t="s">
        <v>377</v>
      </c>
      <c r="HW76" s="1">
        <v>1510000</v>
      </c>
      <c r="HX76" s="1" t="s">
        <v>389</v>
      </c>
      <c r="HY76" s="1">
        <v>3190000</v>
      </c>
      <c r="HZ76" s="1" t="s">
        <v>377</v>
      </c>
      <c r="IA76" s="1">
        <f t="shared" si="319"/>
        <v>21410000</v>
      </c>
      <c r="IB76" s="1" t="s">
        <v>377</v>
      </c>
      <c r="IC76" s="1">
        <v>45150000</v>
      </c>
      <c r="ID76" s="1" t="s">
        <v>377</v>
      </c>
      <c r="IE76" s="1">
        <v>1200000</v>
      </c>
      <c r="IF76" s="1" t="s">
        <v>377</v>
      </c>
      <c r="IG76" s="1">
        <f t="shared" si="320"/>
        <v>7200000</v>
      </c>
      <c r="IH76" s="1" t="s">
        <v>389</v>
      </c>
      <c r="II76" s="79">
        <f t="shared" si="359"/>
        <v>79660000</v>
      </c>
      <c r="IJ76" s="97">
        <f t="shared" si="308"/>
        <v>1.9040737312717446</v>
      </c>
      <c r="IK76" s="1" t="s">
        <v>377</v>
      </c>
      <c r="IL76" s="7">
        <v>45.56</v>
      </c>
      <c r="IM76" s="7">
        <v>48.14</v>
      </c>
      <c r="IN76" s="97">
        <v>191.4</v>
      </c>
      <c r="IO76" s="7">
        <v>15.12</v>
      </c>
      <c r="IP76" s="176">
        <f t="shared" si="321"/>
        <v>6.0901675410995511</v>
      </c>
      <c r="IQ76" s="7">
        <v>18.2</v>
      </c>
      <c r="IR76" s="98">
        <f t="shared" si="322"/>
        <v>5.93</v>
      </c>
      <c r="IS76" s="98">
        <f t="shared" si="322"/>
        <v>5.67</v>
      </c>
      <c r="IT76" s="98">
        <f t="shared" si="322"/>
        <v>13.17</v>
      </c>
      <c r="IU76" s="98">
        <f t="shared" si="322"/>
        <v>1.55</v>
      </c>
      <c r="IV76" s="94">
        <f t="shared" si="360"/>
        <v>20.39</v>
      </c>
      <c r="IW76" s="1"/>
      <c r="IX76" s="1"/>
      <c r="IY76" s="105">
        <v>1.86</v>
      </c>
      <c r="IZ76" s="161">
        <v>0.3</v>
      </c>
      <c r="JA76" s="83">
        <v>2813</v>
      </c>
      <c r="JB76" s="7">
        <v>44.08</v>
      </c>
      <c r="JC76" s="1"/>
      <c r="JD76" s="1"/>
      <c r="JF76" s="2">
        <v>29.647088559999997</v>
      </c>
      <c r="JG76" s="2">
        <v>30.650786349999994</v>
      </c>
      <c r="JH76" s="2">
        <v>81.116033320000014</v>
      </c>
      <c r="JI76" s="2">
        <v>452.46297623999999</v>
      </c>
      <c r="JJ76" s="2">
        <v>1254.4111869800008</v>
      </c>
      <c r="JK76" s="2">
        <v>124.10400462000003</v>
      </c>
      <c r="JL76" s="2">
        <v>3306.5044750099996</v>
      </c>
      <c r="JM76" s="2">
        <v>63.175313729999999</v>
      </c>
      <c r="JN76" s="2">
        <v>182.58158635999993</v>
      </c>
      <c r="JO76" s="2">
        <v>29.538217599999999</v>
      </c>
      <c r="JP76" s="2">
        <v>0</v>
      </c>
      <c r="JQ76" s="2">
        <v>0.46847344000000002</v>
      </c>
      <c r="JR76" s="2">
        <v>1.4873321099999999</v>
      </c>
      <c r="JS76" s="2">
        <v>0</v>
      </c>
      <c r="JT76" s="2">
        <v>5.3366999999999998E-2</v>
      </c>
      <c r="JU76" s="2">
        <v>94.921667509999978</v>
      </c>
      <c r="JV76" s="2">
        <v>11.418158909999999</v>
      </c>
      <c r="JW76" s="2">
        <v>12.728613079999997</v>
      </c>
      <c r="JX76" s="2">
        <v>72.304552969999989</v>
      </c>
      <c r="JY76" s="2">
        <v>0</v>
      </c>
      <c r="JZ76" s="2">
        <v>8.8202314199999989</v>
      </c>
      <c r="KA76" s="2">
        <v>0.27999999999999997</v>
      </c>
      <c r="KB76" s="2">
        <v>39.659327480000002</v>
      </c>
      <c r="KC76" s="2">
        <v>44.98770545</v>
      </c>
      <c r="KD76" s="2">
        <v>11.981582150000001</v>
      </c>
      <c r="KE76" s="2">
        <v>23.634029939999998</v>
      </c>
      <c r="KF76" s="2">
        <v>37.124165879999993</v>
      </c>
      <c r="KG76" s="2">
        <v>300.71600581000001</v>
      </c>
      <c r="KH76" s="2">
        <v>131.31991306999998</v>
      </c>
      <c r="KI76" s="2">
        <v>24.718844839999999</v>
      </c>
      <c r="KJ76" s="2">
        <v>3.3974056899999998</v>
      </c>
      <c r="KK76" s="2">
        <v>8.211777810000001</v>
      </c>
      <c r="KL76" s="2">
        <v>4.979836E-2</v>
      </c>
      <c r="KM76" s="2">
        <v>1.0393767599999999</v>
      </c>
      <c r="KN76" s="2">
        <v>0.78291013999999992</v>
      </c>
      <c r="KO76" s="2">
        <v>3.6194808400000005</v>
      </c>
      <c r="KP76" s="2">
        <v>9.511008E-2</v>
      </c>
      <c r="KQ76" s="2">
        <v>265.30398278999996</v>
      </c>
      <c r="KR76" s="2">
        <v>4.8801199999999996E-2</v>
      </c>
      <c r="KS76" s="2">
        <v>0.16161515000000001</v>
      </c>
      <c r="KT76" s="2">
        <v>0.89805444999999995</v>
      </c>
      <c r="KU76" s="2">
        <v>0.44975297999999997</v>
      </c>
      <c r="KV76" s="2">
        <v>0.20049918</v>
      </c>
      <c r="KW76" s="2">
        <v>1.8239179100000003</v>
      </c>
      <c r="KX76" s="2">
        <v>0</v>
      </c>
      <c r="KY76" s="2">
        <v>0</v>
      </c>
      <c r="KZ76" s="2">
        <v>1.77741726</v>
      </c>
      <c r="LA76" s="2">
        <v>0.34752026999999996</v>
      </c>
      <c r="LB76" s="2">
        <v>2.2949729999999998E-2</v>
      </c>
      <c r="LC76" s="2">
        <v>7.2732210000000005E-2</v>
      </c>
      <c r="LD76" s="2">
        <v>0</v>
      </c>
      <c r="LE76" s="2">
        <v>0.67878653</v>
      </c>
      <c r="LF76" s="2">
        <v>2.2175999999999999E-4</v>
      </c>
      <c r="LG76" s="2">
        <v>21.528850539999997</v>
      </c>
      <c r="LH76" s="2">
        <v>6.1563174299999996</v>
      </c>
      <c r="LI76" s="2">
        <v>5.1207257000000004</v>
      </c>
      <c r="LJ76" s="2">
        <v>2.3136429999999999E-2</v>
      </c>
      <c r="LK76" s="2">
        <v>2.9180297899999998</v>
      </c>
      <c r="LL76" s="2">
        <v>8.3442980000000002</v>
      </c>
      <c r="LM76" s="2">
        <v>1.95153943</v>
      </c>
      <c r="LN76" s="2">
        <v>6.773912E-2</v>
      </c>
      <c r="LO76" s="2">
        <v>6.6215767999999997</v>
      </c>
      <c r="LQ76" s="85">
        <f t="shared" si="323"/>
        <v>5340.2515716400012</v>
      </c>
      <c r="LR76" s="85">
        <f t="shared" si="324"/>
        <v>2.0091725500000002</v>
      </c>
      <c r="LS76" s="85">
        <f t="shared" si="325"/>
        <v>24.146771989999998</v>
      </c>
      <c r="LT76" s="85">
        <f t="shared" si="326"/>
        <v>9.1002314199999983</v>
      </c>
      <c r="LU76" s="85">
        <f t="shared" si="327"/>
        <v>270.95616687999996</v>
      </c>
      <c r="LV76" s="85">
        <f t="shared" si="328"/>
        <v>2.02441709</v>
      </c>
      <c r="LW76" s="85">
        <f t="shared" si="329"/>
        <v>0.37046999999999997</v>
      </c>
      <c r="LX76" s="85">
        <f t="shared" si="330"/>
        <v>0.67900828999999996</v>
      </c>
      <c r="LZ76" s="131">
        <v>110.38</v>
      </c>
      <c r="MA76" s="171">
        <v>111.74</v>
      </c>
      <c r="MB76"/>
      <c r="MC76"/>
      <c r="MD76"/>
      <c r="MF76"/>
      <c r="MG76"/>
      <c r="MH76" s="83">
        <v>185.12</v>
      </c>
      <c r="MI76" s="83">
        <v>52.71</v>
      </c>
      <c r="MJ76" s="83">
        <v>52.36</v>
      </c>
      <c r="MK76"/>
      <c r="ML76" s="83">
        <v>56.45</v>
      </c>
      <c r="MM76" s="83">
        <v>161.55000000000001</v>
      </c>
      <c r="MN76" s="83"/>
      <c r="MO76" s="83">
        <v>55.73</v>
      </c>
      <c r="MP76" s="83">
        <v>138.99</v>
      </c>
      <c r="MQ76" s="83">
        <v>166.23</v>
      </c>
      <c r="MR76"/>
      <c r="MT76" s="83"/>
      <c r="MU76" s="83">
        <v>67.790000000000006</v>
      </c>
      <c r="MV76"/>
      <c r="MW76"/>
      <c r="MX76"/>
      <c r="MY76" s="83">
        <v>203.38</v>
      </c>
      <c r="MZ76" s="83">
        <v>528</v>
      </c>
      <c r="NA76" s="83">
        <v>190.07</v>
      </c>
      <c r="NB76" s="83">
        <v>695.22</v>
      </c>
      <c r="NC76" s="83">
        <v>84.92</v>
      </c>
      <c r="ND76"/>
      <c r="NE76" s="1">
        <v>455.4</v>
      </c>
    </row>
    <row r="77" spans="1:369">
      <c r="A77" s="38">
        <f t="shared" si="334"/>
        <v>44409</v>
      </c>
      <c r="B77" s="36">
        <f t="shared" si="313"/>
        <v>8</v>
      </c>
      <c r="C77" s="36">
        <f t="shared" si="314"/>
        <v>2021</v>
      </c>
      <c r="D77" s="36">
        <f t="shared" si="347"/>
        <v>77</v>
      </c>
      <c r="E77" s="38">
        <f t="shared" si="335"/>
        <v>44409</v>
      </c>
      <c r="F77" s="7">
        <v>99.26</v>
      </c>
      <c r="G77" s="7">
        <v>510.39420000000001</v>
      </c>
      <c r="H77" s="1">
        <f>[2]NACIONALES!$D65</f>
        <v>51660</v>
      </c>
      <c r="I77" s="7">
        <v>90</v>
      </c>
      <c r="J77" s="7">
        <v>620</v>
      </c>
      <c r="K77" s="7">
        <v>8.8000000000000007</v>
      </c>
      <c r="L77" s="7">
        <v>26.9</v>
      </c>
      <c r="N77" s="5">
        <v>1.82</v>
      </c>
      <c r="O77" s="5">
        <v>1.665</v>
      </c>
      <c r="P77" s="78">
        <f t="shared" si="294"/>
        <v>164.3125225</v>
      </c>
      <c r="Q77" s="6">
        <v>2516</v>
      </c>
      <c r="R77" s="79">
        <f t="shared" si="336"/>
        <v>25160</v>
      </c>
      <c r="S77" s="144">
        <f>+S76</f>
        <v>213.62</v>
      </c>
      <c r="T77" s="6">
        <v>382.21</v>
      </c>
      <c r="U77" s="143">
        <v>192.72380952380951</v>
      </c>
      <c r="V77" s="6">
        <v>316.0809523809524</v>
      </c>
      <c r="W77" s="6">
        <f>(227*0.88)-10</f>
        <v>189.76</v>
      </c>
      <c r="X77" s="6">
        <v>228.39523809523811</v>
      </c>
      <c r="Y77" s="79">
        <f t="shared" si="337"/>
        <v>21203.921200000001</v>
      </c>
      <c r="Z77" s="79">
        <f t="shared" si="338"/>
        <v>37938.164599999996</v>
      </c>
      <c r="AA77" s="79">
        <f t="shared" si="339"/>
        <v>19129.765333333333</v>
      </c>
      <c r="AB77" s="79">
        <f t="shared" si="340"/>
        <v>31374.195333333337</v>
      </c>
      <c r="AC77" s="79">
        <f t="shared" si="341"/>
        <v>18835.577600000001</v>
      </c>
      <c r="AD77" s="79">
        <f t="shared" si="342"/>
        <v>22670.511333333336</v>
      </c>
      <c r="AE77" s="79">
        <f t="shared" si="343"/>
        <v>25192.022566666663</v>
      </c>
      <c r="AF77" s="1">
        <v>70565.666666666672</v>
      </c>
      <c r="AG77" s="1">
        <v>29700</v>
      </c>
      <c r="AH77" s="1">
        <v>112860</v>
      </c>
      <c r="AI77" s="5">
        <v>39.167499999999997</v>
      </c>
      <c r="AJ77" s="7">
        <v>32.398299999999999</v>
      </c>
      <c r="AK77" s="5">
        <v>38.61</v>
      </c>
      <c r="AL77" s="5">
        <v>28</v>
      </c>
      <c r="AM77" s="78">
        <f t="shared" si="344"/>
        <v>36.071581999999999</v>
      </c>
      <c r="AN77" s="7">
        <v>1937.0975609756097</v>
      </c>
      <c r="AO77" s="7">
        <v>1476.3181818181818</v>
      </c>
      <c r="AP77" s="78">
        <f t="shared" si="277"/>
        <v>1476.3181818181818</v>
      </c>
      <c r="AQ77" s="7">
        <v>462.23140495867767</v>
      </c>
      <c r="AR77" s="7">
        <v>560.66818181818189</v>
      </c>
      <c r="AS77" s="7">
        <v>584.70588235294122</v>
      </c>
      <c r="AT77" s="7">
        <v>782.13636363636385</v>
      </c>
      <c r="AU77" s="78">
        <f t="shared" si="348"/>
        <v>642.50347593582899</v>
      </c>
      <c r="AV77" s="7">
        <v>380.5595238095238</v>
      </c>
      <c r="AW77" s="7">
        <v>1038.090909090909</v>
      </c>
      <c r="AX77" s="7">
        <v>298.07272727272732</v>
      </c>
      <c r="AY77" s="7">
        <v>1346.5176470588235</v>
      </c>
      <c r="AZ77" s="7">
        <v>340.56818181818181</v>
      </c>
      <c r="BA77" s="7">
        <v>380.86363636363637</v>
      </c>
      <c r="BB77" s="94">
        <f t="shared" si="345"/>
        <v>638.36904337492581</v>
      </c>
      <c r="BC77" s="68">
        <v>4209</v>
      </c>
      <c r="BD77" s="166">
        <v>2426</v>
      </c>
      <c r="BE77" s="95">
        <f>+BE76</f>
        <v>1800</v>
      </c>
      <c r="BF77" s="95">
        <f>+BF76</f>
        <v>1500</v>
      </c>
      <c r="BG77" s="94">
        <f t="shared" si="349"/>
        <v>2483.75</v>
      </c>
      <c r="BH77" s="7">
        <v>191.89</v>
      </c>
      <c r="BI77" s="7">
        <f>+BI76</f>
        <v>85</v>
      </c>
      <c r="BJ77" s="78">
        <f t="shared" si="350"/>
        <v>276.89</v>
      </c>
      <c r="BK77" s="7">
        <v>185.80199999999999</v>
      </c>
      <c r="BL77" s="7">
        <v>230.77</v>
      </c>
      <c r="BM77" s="94">
        <f t="shared" si="351"/>
        <v>208.286</v>
      </c>
      <c r="BN77" s="5">
        <v>32.51</v>
      </c>
      <c r="BO77" s="84">
        <v>136.08000000000001</v>
      </c>
      <c r="BP77">
        <v>76.510000000000005</v>
      </c>
      <c r="BQ77" s="94">
        <f t="shared" si="346"/>
        <v>130.12300000000002</v>
      </c>
      <c r="BR77" s="7">
        <v>115.22</v>
      </c>
      <c r="BS77" s="97">
        <v>380</v>
      </c>
      <c r="BT77" s="7">
        <f>+F77*1.28</f>
        <v>127.0528</v>
      </c>
      <c r="BU77" s="79">
        <f t="shared" si="237"/>
        <v>4941.1584000000003</v>
      </c>
      <c r="BV77" s="93">
        <v>278</v>
      </c>
      <c r="BW77" s="93">
        <v>300</v>
      </c>
      <c r="BY77" s="92">
        <f>BY$10*(1+((H77/H$10-1)*costos!$B$5+((I77*F77)/(I$10*F$10)-1)*costos!$E$5+((J77*F77)/((J$10*F$10)-1)*costos!$F$5/3+((K77*F77)/(K$10*F$10)-1)*costos!$F$5/3+((U77*F77)/(U$10*F$10)-1)*costos!$F$5/3+((L77*F77)/(L$10*F$10)-1)*costos!$G$5+((N77*F77)/(N$10*F$10)-1)*costos!$J$5+((V77*F77)/(V$10*F$10)-1)*costos!$K$5)))</f>
        <v>987.27049709465393</v>
      </c>
      <c r="BZ77" s="92">
        <f>$BZ$10*(1+((H77/$H$10-1)*costos!$B$6+((I77*F77)/($I$10*$F$10)-1)*costos!$E$6+((J77*F77)/(($J$10*$F$10)-1)*costos!$F$6/3+((K77*F77)/($K$10*$F$10)-1)*costos!$F$6/3+((U77*F77)/($U$10*$F$10)-1)*costos!$F$6/3+((L77*F77)/($L$10*$F$10)-1)*costos!$G$6+((Q77*F77)/($Q$10*$F$10)-1)*costos!$J$6+((V77*F77)/($V$10*$F$10)-1)*costos!$K$6)))</f>
        <v>834.66994994529227</v>
      </c>
      <c r="CA77" s="92">
        <f>CA$10*(1+((H77/H$10-1)*costos!$B$7+((I77*F77)/(I$10*F$10)-1)*costos!$E$7+((J77*F77)/((J$10*F$10)-1)*costos!$F$7/3+((K77*F77)/(K$10*F$10)-1)*costos!$F$7/3+((U77*F77)/(U$10*F$10)-1)*costos!$F$7/3+((L77*F77)/(L$10*F$10)-1)*costos!$G$7+((S77*F77)/(S$10*F$10)-1)*costos!$J$7+((V77*F77)/(V$10*F$10)-1)*costos!$K$7)))</f>
        <v>971.23896491916287</v>
      </c>
      <c r="CB77" s="92">
        <f>CB$10*(1+((H77/H$10-1)*costos!$B$8+((I77*F77)/(I$10*F$10)-1)*costos!$E$8+((J77*F77)/((J$10*F$10)-1)*costos!$F$8/3+((K77*F77)/(K$10*F$10)-1)*costos!$F$8/3+((U77*F77)/(U$10*F$10)-1)*costos!$F$8/3+((L77*F77)/(L$10*F$10)-1)*costos!$G$8+((T77*F77)/(T$10*F$10)-1)*costos!$J$8+((V77*F77)/(V$10*F$10)-1)*costos!$K$8)))</f>
        <v>929.82863624748563</v>
      </c>
      <c r="CC77" s="92">
        <f>CC$10*(1+((H77/H$10-1)*costos!$B$9+((I77*F77)/(I$10*F$10)-1)*costos!$E$9+((J77*F77)/((J$10*F$10)-1)*costos!$F$9/3+((K77*F77)/(K$10*F$10)-1)*costos!$F$9/3+((U77*F77)/(U$10*F$10)-1)*costos!$F$9/3+((L77*F77)/(L$10*F$10)-1)*costos!$G$9+((U77*F77)/(U$10*F$10)-1)*costos!$J$9+((V77*F77)/(V$10*F$10)-1)*costos!$K$9)))</f>
        <v>914.9426510182742</v>
      </c>
      <c r="CD77" s="92">
        <f>CD$10*(1+((H77/H$10-1)*costos!$B$11+((I77*F77)/(I$10*F$10)-1)*costos!$E$11+((J77*F77)/((J$10*F$10)-1)*costos!$F$11/3+((K77*F77)/(K$10*F$10)-1)*costos!$F$11/3+((U77*F77)/(U$10*F$10)-1)*costos!$F$11/3+((L77*F77)/(L$10*F$10)-1)*costos!$G$11+((V77*F77)/(V$10*F$10)-1)*costos!$J$11+((V77*F77)/(V$10*F$10)-1)*costos!$K$11)))</f>
        <v>957.89470423425871</v>
      </c>
      <c r="CE77" s="92">
        <f>CE$10*(1+((H77/H$10-1)*costos!$B$12+((I77*F77)/(I$10*F$10)-1)*costos!$E$12+((J77*F77)/((J$10*F$10)-1)*costos!$F$12/3+((K77*F77)/(K$10*F$10)-1)*costos!$F$12/3+((U77*F77)/(U$10*F$10)-1)*costos!$F$12/3+((L77*F77)/(L$10*F$10)-1)*costos!$G$12+((W77*F77)/(W$10*F$10)-1)*costos!$J$12+((V77*F77)/(V$10*F$10)-1)*costos!$K$12)))</f>
        <v>893.98956923216315</v>
      </c>
      <c r="CF77" s="92">
        <f>CF$10*(1+((H77/H$10-1)*costos!$B$13+((I77*F77)/(I$10*F$10)-1)*costos!$E$13+((J77*F77)/((J$10*F$10)-1)*costos!$F$13/3+((K77*F77)/(K$10*F$10)-1)*costos!$F$13/3+((U77*F77)/(U$10*F$10)-1)*costos!$F$13/3+((L77*F77)/(L$10*F$10)-1)*costos!$G$13+((X77*F77)/(X$10*F$10)-1)*costos!$J$13+((V77*F77)/(V$10*F$10)-1)*costos!$K$13)))</f>
        <v>983.23979784802168</v>
      </c>
      <c r="CG77" s="92">
        <f t="shared" si="309"/>
        <v>941.85572058322759</v>
      </c>
      <c r="CH77" s="92">
        <f>CH$10*(1+((H77/H$10-1)*costos!$B$10+((I77*F77)/(I$10*F$10)-1)*costos!$E$10+((J77*F77)/((J$10*F$10)-1)*costos!$F$10/3+((K77*F77)/(K$10*F$10)-1)*costos!$F$10/3+((U77*F77)/(U$10*F$10)-1)*costos!$F$10/3+((L77*F77)/(L$10*F$10)-1)*costos!$G$10+((AF77)/(AF$10)-1)*costos!$J$10+((V77*F77)/(V$10*F$10)-1)*costos!$K$10)))</f>
        <v>996.48929340401207</v>
      </c>
      <c r="CI77" s="92">
        <f>CI$10*(1+((H77/H$10-1)*costos!$B$15+((I77*F77)/(I$10*F$10)-1)*costos!$E$15+((J77*F77)/((J$10*F$10)-1)*costos!$F$15/3+((K77*F77)/(K$10*F$10)-1)*costos!$F$15/3+((U77*F77)/(U$10*F$10)-1)*costos!$F$15/3+((L77*F77)/(L$10*F$10)-1)*costos!$G$15+((AV77)/(AV$10)-1)*costos!$J$15+((V77*F77)/(V$10*F$10)-1)*costos!$K$15)))</f>
        <v>923.91666759489817</v>
      </c>
      <c r="CJ77" s="92">
        <f>CJ$10*(1+((H77/H$10-1)*costos!$B$16+((I77*F77)/(I$10*F$10)-1)*costos!$E$16+((J77*F77)/((J$10*F$10)-1)*costos!$F$16/3+((K77*F77)/(K$10*F$10)-1)*costos!$F$16/3+((U77*F77)/(U$10*F$10)-1)*costos!$F$16/3+((L77*F77)/(L$10*F$10)-1)*costos!$G$16+((AW77)/(AW$10)-1)*costos!$J$16+((V77*F77)/(V$10*F$10)-1)*costos!$K$16)))</f>
        <v>738.14835508167869</v>
      </c>
      <c r="CK77" s="92">
        <f>CK$10*(1+((H77/H$10-1)*costos!$B$17+((I77*F77)/(I$10*F$10)-1)*costos!$E$17+((J77*F77)/((J$10*F$10)-1)*costos!$F$17/3+((K77*F77)/(K$10*F$10)-1)*costos!$F$17/3+((U77*F77)/(U$10*F$10)-1)*costos!$F$17/3+((L77*F77)/(L$10*F$10)-1)*costos!$G$17+((AX77)/(AX$10)-1)*costos!$J$17+((V77*F77)/(V$10*F$10)-1)*costos!$K$17)))</f>
        <v>803.31252385591802</v>
      </c>
      <c r="CL77" s="92">
        <f>CL$10*(1+((H77/H$10-1)*costos!$B$18+((I77*F77)/(I$10*F$10)-1)*costos!$E$18+((J77*F77)/((J$10*F$10)-1)*costos!$F$18/3+((K77*F77)/(K$10*F$10)-1)*costos!$F$18/3+((U77*F77)/(U$10*F$10)-1)*costos!$F$18/3+((L77*F77)/(L$10*F$10)-1)*costos!$G$18+((AY77)/(AY$10)-1)*costos!$J$18+((V77*F77)/(V$10*F$10)-1)*costos!$K$18)))</f>
        <v>1031.6917301251165</v>
      </c>
      <c r="CM77" s="92">
        <f>CM$10*(1+((H77/H$10-1)*costos!$B$19+((I77*F77)/(I$10*F$10)-1)*costos!$E$19+((J77*F77)/((J$10*F$10)-1)*costos!$F$19/3+((K77*F77)/(K$10*F$10)-1)*costos!$F$19/3+((U77*F77)/(U$10*F$10)-1)*costos!$F$19/3+((L77*F77)/(L$10*F$10)-1)*costos!$G$19+((AZ77)/(AZ$10)-1)*costos!$J$19+((V77*F77)/(V$10*F$10)-1)*costos!$K$19)))</f>
        <v>658.41615041246462</v>
      </c>
      <c r="CN77" s="92">
        <f>CN$10*(1+((H77/H$10-1)*costos!$B$20+((I77*F77)/(I$10*F$10)-1)*costos!$E$20+((J77*F77)/((J$10*F$10)-1)*costos!$F$20/3+((K77*F77)/(K$10*F$10)-1)*costos!$F$20/3+((U77*F77)/(U$10*F$10)-1)*costos!$F$20/3+((L77*F77)/(L$10*F$10)-1)*costos!$G$20+((BA77)/(BA$10)-1)*costos!$J$20+((V77*F77)/(V$10*F$10)-1)*costos!$K$20)))</f>
        <v>728.51043844328399</v>
      </c>
      <c r="CO77" s="92">
        <f t="shared" si="310"/>
        <v>805.48271070919577</v>
      </c>
      <c r="CP77" s="92">
        <f>CP$10*(1+((H77/H$10-1)*costos!$B$22+((I77*F77)/(I$10*F$10)-1)*costos!$E$22+((J77*F77)/((J$10*F$10)-1)*costos!$F$22/3+((K77*F77)/(K$10*F$10)-1)*costos!$F$22/3+((U77*F77)/(U$10*F$10)-1)*costos!$F$22/3+((L77*F77)/(L$10*F$10)-1)*costos!$G$22+(((AVERAGE(AI77:AL77))/((AVERAGE(AI$10:AL$10))-1)*costos!$J$22+((V77*F77)/(V$10*F$10)-1)*costos!$K$22)))))</f>
        <v>958.82131266766407</v>
      </c>
      <c r="CQ77" s="92">
        <f>CQ$10*(1+((H77/H$10-1)*costos!$B$23+((I77*F77)/(I$10*F$10)-1)*costos!$E$23+((J77*F77)/((J$10*F$10)-1)*costos!$F$23/3+((K77*F77)/(K$10*F$10)-1)*costos!$F$23/3+((U77*F77)/(U$10*F$10)-1)*costos!$F$23/3+((L77*F77)/(L$10*F$10)-1)*costos!$G$23+((AN77)/(AN$10)-1)*costos!$J$23+((V77*F77)/(V$10*F$10)-1)*costos!$K$23)))</f>
        <v>788.32160276670299</v>
      </c>
      <c r="CR77" s="92">
        <f>CR$10*(1+((H77/H$10-1)*costos!$B$24+((I77*F77)/(I$10*F$10)-1)*costos!$E$24+((J77*F77)/((J$10*F$10)-1)*costos!$F$24/3+((K77*F77)/(K$10*F$10)-1)*costos!$F$24/3+((U77*F77)/(U$10*F$10)-1)*costos!$F$24/3+((L77*F77)/(L$10*F$10)-1)*costos!$G$24+((AO77)/(AO$10)-1)*costos!$J$24+((V77*F77)/(V$10*F$10)-1)*costos!$K$24)))</f>
        <v>814.730710566776</v>
      </c>
      <c r="CS77" s="92">
        <f t="shared" si="352"/>
        <v>801.52615666673955</v>
      </c>
      <c r="CT77" s="92">
        <f>CT$10*(1+((H77/H$10-1)*costos!$B$25+((I77*F77)/(I$10*F$10)-1)*costos!$E$25+((J77*F77)/((J$10*F$10)-1)*costos!$F$25/3+((K77*F77)/(K$10*F$10)-1)*costos!$F$25/3+((U77*F77)/(U$10*F$10)-1)*costos!$F$25/3+((L77*F77)/(L$10*F$10)-1)*costos!$G$25+((AQ77)/(AQ$10)-1)*costos!$J$25+((V77*F77)/(V$10*F$10)-1)*costos!$K$25)))</f>
        <v>742.85310415165929</v>
      </c>
      <c r="CU77" s="92">
        <f>CU$10*(1+((H77/H$10-1)*costos!$B$26+((I77*F77)/(I$10*F$10)-1)*costos!$E$26+((J77*F77)/((J$10*F$10)-1)*costos!$F$26/3+((K77*F77)/(K$10*F$10)-1)*costos!$F$26/3+((U77*F77)/(U$10*F$10)-1)*costos!$F$26/3+((L77*F77)/(L$10*F$10)-1)*costos!$G$26+((AR77)/(AR$10)-1)*costos!$J$26+((V77*F77)/(V$10*F$10)-1)*costos!$K$26)))</f>
        <v>811.64137317960967</v>
      </c>
      <c r="CV77" s="92">
        <f>CV$10*(1+((H77/H$10-1)*costos!$B$27+((I77*F77)/(I$10*F$10)-1)*costos!$E$27+((J77*F77)/((J$10*F$10)-1)*costos!$F$27/3+((K77*F77)/(K$10*F$10)-1)*costos!$F$27/3+((U77*F77)/(U$10*F$10)-1)*costos!$F$27/3+((L77*F77)/(L$10*F$10)-1)*costos!$G$27+((AS77)/(AS$10)-1)*costos!$J$27+((V77*F77)/(V$10*F$10)-1)*costos!$K$27)))</f>
        <v>812.58799951586161</v>
      </c>
      <c r="CW77" s="92">
        <f>CW$10*(1+((H77/H$10-1)*costos!$B$28+((I77*F77)/(I$10*F$10)-1)*costos!$E$28+((J77*F77)/((J$10*F$10)-1)*costos!$F$28/3+((K77*F77)/(K$10*F$10)-1)*costos!$F$28/3+((U77*F77)/(U$10*F$10)-1)*costos!$F$28/3+((L77*F77)/(L$10*F$10)-1)*costos!$G$28+((AS77)/(AS$10)-1)*costos!$J$28+((V77*F77)/(V$10*F$10)-1)*costos!$K$28)))</f>
        <v>812.58799951586161</v>
      </c>
      <c r="CX77" s="92">
        <f t="shared" si="311"/>
        <v>812.27245740377759</v>
      </c>
      <c r="CY77" s="92">
        <f>CY$10*(1+((H77/H$10-1)*costos!$B$32+((I77*F77)/(I$10*F$10)-1)*costos!$E$32+((J77*F77)/((J$10*F$10)-1)*costos!$F$32/3+((K77*F77)/(K$10*F$10)-1)*costos!$F$32/3+((U77*F77)/(U$10*F$10)-1)*costos!$F$32/3+((L77*F77)/(L$10*F$10)-1)*costos!$G$32+((AG77)/(AG$10)-1)*costos!$J$32+((V77*F77)/(V$10*F$10)-1)*costos!$K$32)))</f>
        <v>734.49823835998541</v>
      </c>
      <c r="CZ77" s="69">
        <f>CZ$10*(1+((H77/H$10-1)*costos!$B$31+((I77*F77)/(I$10*F$10)-1)*costos!$E$30+((J77*F77)/((J$10*F$10)-1)*costos!$F$30/3+((K77*F77)/(K$10*F$10)-1)*costos!$F$30/3+((U77*F77)/(U$10*F$10)-1)*costos!$F$30/3+((L77*F77)/(L$10*F$10)-1)*costos!$G$30+((BG77)/(BG$10)-1)*costos!$J$30+((V77*F77)/(V$10*F$10)-1)*costos!$K$30)))</f>
        <v>931.13011472178084</v>
      </c>
      <c r="DA77" s="69">
        <f>DA$10*(1+((H77/H$10-1)*costos!$B$31+((I77*F77)/(I$10*F$10)-1)*costos!$E$31+((J77*F77)/((J$10*F$10)-1)*costos!$F$31/3+((K77*F77)/(K$10*F$10)-1)*costos!$F$31/3+((U77*F77)/(U$10*F$10)-1)*costos!$F$31/3+((L77*F77)/(L$10*F$10)-1)*costos!$G$31+((BJ77)/(BJ$10)-1)*costos!$J$31+((V77*F77)/(V$10*F$10)-1)*costos!$K$31)))</f>
        <v>781.54528543262836</v>
      </c>
      <c r="DB77" s="69">
        <f>DB$10*(1+((H77/H$10-1)*costos!$B$36+((I77*F77)/(I$10*F$10)-1)*costos!$E$36+((J77*F77)/((J$10*F$10)-1)*costos!$F$36/3+((K77*F77)/(K$10*F$10)-1)*costos!$F$36/3+((U77*F77)/(U$10*F$10)-1)*costos!$F$36/3+((L77*F77)/(L$10*F$10)-1)*costos!$G$36+((BK77)/(BK$10)-1)*costos!$J$36+((V77*F77)/(V$10*F$10)-1)*costos!$K$36)))</f>
        <v>881.90764487147021</v>
      </c>
      <c r="DC77" s="69">
        <f>DC$10*(1+((H77/H$10-1)*costos!$B$37+((I77*F77)/(I$10*F$10)-1)*costos!$E$37+((U77*F77)/(U$10*F$10)-1)*costos!$F$37+((L77*F77)/(L$10*F$10)-1)*costos!$G$37+((BN77)/(BN$10)-1)*costos!$J$37+((V77*F77)/(V$10*F$10)-1)*costos!$K$37))</f>
        <v>874.46447285556098</v>
      </c>
      <c r="DD77" s="69">
        <f>DD$10*(1+((H77/H$10-1)*costos!$B$39+((I77*F77)/(I$10*F$10)-1)*costos!$E$39+((U77*F77)/(U$10*F$10)-1)*costos!$F$39+((L77*F77)/(L$10*F$10)-1)*costos!$G$39+((BR77)/(BR$10)-1)*costos!$J$39+((V77*F77)/(V$10*F$10)-1)*costos!$K$39))</f>
        <v>856.82745190580113</v>
      </c>
      <c r="DE77" s="69">
        <f>DD$10*(1+((H77/H$10-1)*costos!$B$35+((I77*F77)/(I$10*F$10)-1)*costos!$E$35+((U77*F77)/(U$10*F$10)-1)*costos!$F$35+((L77*F77)/(L$10*F$10)-1)*costos!$G$35+((BR77)/(BR$10)-1)*costos!$J$35+((V77*F77)/(V$10*F$10)-1)*costos!$K$35))</f>
        <v>783.2779202803415</v>
      </c>
      <c r="DF77" s="69">
        <f>DF$10*(1+((H77/H$10-1)*costos!$B$40+((I77*F77)/(I$10*F$10)-1)*costos!$E$40+((U77*F77)/(U$10*F$10)-1)*costos!$F$40+((L77*F77)/(L$10*F$10)-1)*costos!$G$40+((BP77)/(BP$10)-1)*costos!$J$40+((V77*F77)/(V$10*F$10)-1)*costos!$K$40))</f>
        <v>884.24817643753966</v>
      </c>
      <c r="DG77" s="92">
        <f t="shared" si="312"/>
        <v>833.76304835894052</v>
      </c>
      <c r="DH77" s="69">
        <f>DH$10*(1+((H77/H$10-1)*costos!$B$34+((I77*F77)/(I$10*F$10)-1)*costos!$E$34+((J77*F77)/((J$10*F$10)-1)*costos!$F$34/3+((K77*F77)/(K$10*F$10)-1)*costos!$F$34/3+((U77*F77)/(U$10*F$10)-1)*costos!$F$34/3+((L77*F77)/(L$10*F$10)-1)*costos!$G$34+((BV77)/(BV$10)-1)*costos!$J$34+((V77*F77)/(V$10*F$10)-1)*costos!$K$34)))</f>
        <v>862.30850990131546</v>
      </c>
      <c r="DI77" s="69">
        <f>DI$10*(1+((H77/H$10-1)*costos!$B$38+((I77*F77)/(I$10*F$10)-1)*costos!$E$38+((J77*F77)/((J$10*F$10)-1)*costos!$F$38/3+((K77*F77)/(K$10*F$10)-1)*costos!$F$38/3+((U77*F77)/(U$10*F$10)-1)*costos!$F$38/3+((L77*F77)/(L$10*F$10)-1)*costos!$G$38+((BU77)/(BU$10)-1)*costos!$J$38+((V77*F77)/(V$10*F$10)-1)*costos!$K$38)))</f>
        <v>740.26838393343519</v>
      </c>
      <c r="DK77" s="1">
        <v>410000</v>
      </c>
      <c r="DL77" s="1" t="s">
        <v>377</v>
      </c>
      <c r="DM77" s="1">
        <v>200000</v>
      </c>
      <c r="DN77" s="1" t="s">
        <v>377</v>
      </c>
      <c r="DO77" s="1">
        <v>1300000</v>
      </c>
      <c r="DP77" s="1" t="s">
        <v>389</v>
      </c>
      <c r="DQ77" s="1">
        <v>1700000</v>
      </c>
      <c r="DR77" s="1" t="s">
        <v>377</v>
      </c>
      <c r="DS77" s="1">
        <v>6600000</v>
      </c>
      <c r="DT77" s="1" t="s">
        <v>377</v>
      </c>
      <c r="DU77" s="1">
        <v>16600000</v>
      </c>
      <c r="DV77" s="1" t="s">
        <v>377</v>
      </c>
      <c r="DW77" s="1">
        <v>980000</v>
      </c>
      <c r="DX77" s="1" t="s">
        <v>377</v>
      </c>
      <c r="DY77" s="1">
        <v>6950000</v>
      </c>
      <c r="DZ77" s="1" t="s">
        <v>389</v>
      </c>
      <c r="EA77" s="79">
        <f t="shared" si="353"/>
        <v>34130000</v>
      </c>
      <c r="EB77" s="1">
        <v>410000</v>
      </c>
      <c r="EC77" s="1" t="s">
        <v>377</v>
      </c>
      <c r="ED77" s="1">
        <v>191392</v>
      </c>
      <c r="EE77" s="143">
        <v>2021</v>
      </c>
      <c r="EF77" s="1">
        <v>211099</v>
      </c>
      <c r="EG77" s="6">
        <v>2021</v>
      </c>
      <c r="EH77" s="1">
        <v>53517534</v>
      </c>
      <c r="EI77" s="6">
        <v>2021</v>
      </c>
      <c r="EJ77" s="1">
        <v>5350999</v>
      </c>
      <c r="EK77" s="6">
        <v>2021</v>
      </c>
      <c r="EL77" s="1">
        <v>14571766</v>
      </c>
      <c r="EM77" s="6">
        <v>2020</v>
      </c>
      <c r="EN77" s="1">
        <v>3132657</v>
      </c>
      <c r="EO77" s="6">
        <v>2020</v>
      </c>
      <c r="EP77" s="82">
        <f t="shared" si="315"/>
        <v>6552</v>
      </c>
      <c r="EQ77" s="83">
        <v>3500000</v>
      </c>
      <c r="ER77" s="1">
        <f t="shared" si="189"/>
        <v>76133.333333333328</v>
      </c>
      <c r="ES77" s="1"/>
      <c r="ET77" s="83">
        <f t="shared" si="316"/>
        <v>16000</v>
      </c>
      <c r="EU77" s="83">
        <f t="shared" si="316"/>
        <v>19131</v>
      </c>
      <c r="EV77" s="83">
        <f t="shared" si="316"/>
        <v>9000</v>
      </c>
      <c r="EW77" s="83">
        <f t="shared" si="316"/>
        <v>17492</v>
      </c>
      <c r="EX77" s="79">
        <f>+SUM(ET77:EW77)</f>
        <v>61623</v>
      </c>
      <c r="EY77" s="83">
        <f t="shared" si="317"/>
        <v>19904</v>
      </c>
      <c r="EZ77" s="82">
        <f t="shared" si="317"/>
        <v>80798</v>
      </c>
      <c r="FA77" s="83">
        <f t="shared" si="331"/>
        <v>20331</v>
      </c>
      <c r="FB77" s="83">
        <f t="shared" si="332"/>
        <v>17550</v>
      </c>
      <c r="FC77" s="79">
        <f t="shared" si="307"/>
        <v>37881</v>
      </c>
      <c r="FD77" s="83">
        <f t="shared" si="158"/>
        <v>59807.5</v>
      </c>
      <c r="FE77" s="1"/>
      <c r="FF77" s="1">
        <v>1050000</v>
      </c>
      <c r="FG77" s="1" t="s">
        <v>377</v>
      </c>
      <c r="FH77" s="1">
        <v>1400000</v>
      </c>
      <c r="FI77" s="1" t="s">
        <v>377</v>
      </c>
      <c r="FJ77" s="1">
        <v>4500000</v>
      </c>
      <c r="FK77" s="1" t="s">
        <v>377</v>
      </c>
      <c r="FL77" s="1">
        <v>3400000</v>
      </c>
      <c r="FM77" s="1" t="s">
        <v>377</v>
      </c>
      <c r="FN77" s="1">
        <v>50500000</v>
      </c>
      <c r="FO77" s="1" t="s">
        <v>377</v>
      </c>
      <c r="FP77" s="1">
        <v>46000000</v>
      </c>
      <c r="FQ77" s="1" t="s">
        <v>377</v>
      </c>
      <c r="FR77" s="1">
        <v>3300000</v>
      </c>
      <c r="FS77" s="1" t="s">
        <v>377</v>
      </c>
      <c r="FT77" s="1">
        <v>17645000</v>
      </c>
      <c r="FU77" s="1" t="s">
        <v>377</v>
      </c>
      <c r="FV77" s="79">
        <f t="shared" si="355"/>
        <v>125345000</v>
      </c>
      <c r="FW77" s="1">
        <v>1280000</v>
      </c>
      <c r="FX77" s="1" t="s">
        <v>377</v>
      </c>
      <c r="FY77" s="1">
        <v>131030</v>
      </c>
      <c r="FZ77" s="79">
        <f t="shared" si="135"/>
        <v>870534.84</v>
      </c>
      <c r="GA77" s="86" t="str">
        <f t="shared" si="271"/>
        <v>sept20 ago21</v>
      </c>
      <c r="GB77" s="83">
        <v>22248266</v>
      </c>
      <c r="GC77" s="6">
        <v>2021</v>
      </c>
      <c r="GD77" s="83">
        <f t="shared" si="318"/>
        <v>2015989</v>
      </c>
      <c r="GE77" s="83">
        <f t="shared" si="318"/>
        <v>421371</v>
      </c>
      <c r="GF77" s="83">
        <v>1038163</v>
      </c>
      <c r="GG77" s="83">
        <f t="shared" si="268"/>
        <v>89478</v>
      </c>
      <c r="GH77" s="79">
        <f t="shared" si="240"/>
        <v>1549012</v>
      </c>
      <c r="GI77" s="82">
        <f t="shared" si="356"/>
        <v>1302556</v>
      </c>
      <c r="GJ77" s="83">
        <f t="shared" si="215"/>
        <v>600000</v>
      </c>
      <c r="GK77" s="83">
        <f t="shared" si="216"/>
        <v>1362000</v>
      </c>
      <c r="GL77" s="83">
        <f t="shared" si="217"/>
        <v>300000</v>
      </c>
      <c r="GM77" s="83">
        <f t="shared" si="218"/>
        <v>261011.3</v>
      </c>
      <c r="GN77" s="79">
        <f t="shared" si="357"/>
        <v>2523011.2999999998</v>
      </c>
      <c r="GO77" s="83">
        <f t="shared" si="291"/>
        <v>199477</v>
      </c>
      <c r="GP77" s="83">
        <f t="shared" si="291"/>
        <v>72919</v>
      </c>
      <c r="GQ77" s="83">
        <v>29317.5</v>
      </c>
      <c r="GR77" s="83">
        <v>42288</v>
      </c>
      <c r="GS77" s="79">
        <f t="shared" si="192"/>
        <v>43167.525000000001</v>
      </c>
      <c r="GT77" s="83">
        <f t="shared" si="333"/>
        <v>2871705.88</v>
      </c>
      <c r="GU77" s="1">
        <v>23514</v>
      </c>
      <c r="GV77" s="1">
        <v>32005</v>
      </c>
      <c r="GW77" s="79">
        <f t="shared" si="261"/>
        <v>1085530</v>
      </c>
      <c r="GX77" s="1">
        <v>37480.696000000004</v>
      </c>
      <c r="GY77" s="1" t="s">
        <v>385</v>
      </c>
      <c r="GZ77" s="1">
        <v>97886.411999999997</v>
      </c>
      <c r="HA77" s="1">
        <v>267000</v>
      </c>
      <c r="HB77" s="79">
        <f t="shared" si="241"/>
        <v>3032684</v>
      </c>
      <c r="HC77" s="86" t="str">
        <f t="shared" si="272"/>
        <v>sept20 ago21</v>
      </c>
      <c r="HD77" s="1">
        <v>59355</v>
      </c>
      <c r="HE77" s="79">
        <f t="shared" si="139"/>
        <v>683815</v>
      </c>
      <c r="HF77" s="86" t="str">
        <f t="shared" si="273"/>
        <v>sept20 ago21</v>
      </c>
      <c r="HG77" s="1">
        <v>197796</v>
      </c>
      <c r="HH77" s="79">
        <f t="shared" si="242"/>
        <v>2228885</v>
      </c>
      <c r="HI77" s="86" t="str">
        <f t="shared" si="274"/>
        <v>sept20 ago21</v>
      </c>
      <c r="HJ77" s="1">
        <v>87737</v>
      </c>
      <c r="HK77" s="79">
        <f t="shared" si="278"/>
        <v>60708.480000000003</v>
      </c>
      <c r="HL77" s="86" t="str">
        <f t="shared" si="275"/>
        <v>sept20 ago21</v>
      </c>
      <c r="HM77" s="79">
        <f t="shared" si="358"/>
        <v>2289593.48</v>
      </c>
      <c r="HN77" s="87">
        <f t="shared" si="297"/>
        <v>3.856071668111305E-2</v>
      </c>
      <c r="HO77" s="1">
        <v>1055073832.0763427</v>
      </c>
      <c r="HP77" s="79">
        <f t="shared" si="153"/>
        <v>11387.398689230369</v>
      </c>
      <c r="HQ77" s="86" t="str">
        <f t="shared" si="276"/>
        <v>sept20 ago21</v>
      </c>
      <c r="HR77" s="1"/>
      <c r="HS77" s="1"/>
      <c r="HT77" s="1"/>
      <c r="HU77" s="1">
        <v>700000</v>
      </c>
      <c r="HV77" s="1" t="s">
        <v>377</v>
      </c>
      <c r="HW77" s="1">
        <v>1510000</v>
      </c>
      <c r="HX77" s="1" t="s">
        <v>389</v>
      </c>
      <c r="HY77" s="1">
        <v>3190000</v>
      </c>
      <c r="HZ77" s="1" t="s">
        <v>377</v>
      </c>
      <c r="IA77" s="1">
        <f t="shared" si="319"/>
        <v>21410000</v>
      </c>
      <c r="IB77" s="1" t="s">
        <v>377</v>
      </c>
      <c r="IC77" s="1">
        <v>45150000</v>
      </c>
      <c r="ID77" s="1" t="s">
        <v>377</v>
      </c>
      <c r="IE77" s="1">
        <v>1200000</v>
      </c>
      <c r="IF77" s="1" t="s">
        <v>377</v>
      </c>
      <c r="IG77" s="1">
        <f t="shared" si="320"/>
        <v>7200000</v>
      </c>
      <c r="IH77" s="1" t="s">
        <v>389</v>
      </c>
      <c r="II77" s="79">
        <f t="shared" si="359"/>
        <v>79660000</v>
      </c>
      <c r="IJ77" s="97">
        <f t="shared" si="308"/>
        <v>1.9040737312717446</v>
      </c>
      <c r="IK77" s="1" t="s">
        <v>377</v>
      </c>
      <c r="IL77" s="7">
        <v>45.809515235056594</v>
      </c>
      <c r="IM77" s="7">
        <v>51.53</v>
      </c>
      <c r="IN77" s="97">
        <v>191.4</v>
      </c>
      <c r="IO77" s="7">
        <v>15.29</v>
      </c>
      <c r="IP77" s="176">
        <f t="shared" si="321"/>
        <v>6.0901675410995511</v>
      </c>
      <c r="IQ77" s="7">
        <v>18.2</v>
      </c>
      <c r="IR77" s="98">
        <f t="shared" si="322"/>
        <v>5.93</v>
      </c>
      <c r="IS77" s="98">
        <f t="shared" si="322"/>
        <v>5.67</v>
      </c>
      <c r="IT77" s="98">
        <f t="shared" si="322"/>
        <v>13.17</v>
      </c>
      <c r="IU77" s="98">
        <f t="shared" si="322"/>
        <v>1.55</v>
      </c>
      <c r="IV77" s="94">
        <f t="shared" si="360"/>
        <v>20.39</v>
      </c>
      <c r="IW77" s="1"/>
      <c r="IX77" s="1"/>
      <c r="IY77" s="105">
        <v>1.86</v>
      </c>
      <c r="IZ77" s="161">
        <v>0.3</v>
      </c>
      <c r="JA77" s="83">
        <v>2813</v>
      </c>
      <c r="JB77" s="7">
        <v>44.08</v>
      </c>
      <c r="JC77" s="1"/>
      <c r="JD77" s="1"/>
      <c r="JF77" s="2">
        <v>24.758504510000005</v>
      </c>
      <c r="JG77" s="2">
        <v>16.929236590000002</v>
      </c>
      <c r="JH77" s="2">
        <v>35.899030250000003</v>
      </c>
      <c r="JI77" s="2">
        <v>503.93763073000002</v>
      </c>
      <c r="JJ77" s="2">
        <v>1252.4607558199996</v>
      </c>
      <c r="JK77" s="2">
        <v>114.44712016999999</v>
      </c>
      <c r="JL77" s="2">
        <v>3527.93024823</v>
      </c>
      <c r="JM77" s="2">
        <v>92.37747933</v>
      </c>
      <c r="JN77" s="2">
        <v>215.55642007</v>
      </c>
      <c r="JO77" s="2">
        <v>28.105212380000005</v>
      </c>
      <c r="JP77" s="2">
        <v>0</v>
      </c>
      <c r="JQ77" s="2">
        <v>8.3243049999999999E-2</v>
      </c>
      <c r="JR77" s="2">
        <v>1.54071756</v>
      </c>
      <c r="JS77" s="2">
        <v>0</v>
      </c>
      <c r="JT77" s="2">
        <v>4.4124749999999997E-2</v>
      </c>
      <c r="JU77" s="2">
        <v>84.672443939999994</v>
      </c>
      <c r="JV77" s="2">
        <v>10.86667389</v>
      </c>
      <c r="JW77" s="2">
        <v>10.798088249999998</v>
      </c>
      <c r="JX77" s="2">
        <v>53.520508219999996</v>
      </c>
      <c r="JY77" s="2">
        <v>0</v>
      </c>
      <c r="JZ77" s="2">
        <v>14.2080418</v>
      </c>
      <c r="KA77" s="2">
        <v>0.22593089999999999</v>
      </c>
      <c r="KB77" s="2">
        <v>36.736059280000006</v>
      </c>
      <c r="KC77" s="2">
        <v>28.466182999999997</v>
      </c>
      <c r="KD77" s="2">
        <v>10.284496969999999</v>
      </c>
      <c r="KE77" s="2">
        <v>25.232013280000007</v>
      </c>
      <c r="KF77" s="2">
        <v>47.347816129999984</v>
      </c>
      <c r="KG77" s="2">
        <v>356.59501136</v>
      </c>
      <c r="KH77" s="2">
        <v>146.49539926</v>
      </c>
      <c r="KI77" s="2">
        <v>15.562784859999997</v>
      </c>
      <c r="KJ77" s="2">
        <v>3.1159173400000002</v>
      </c>
      <c r="KK77" s="2">
        <v>6.4802101800000012</v>
      </c>
      <c r="KL77" s="2">
        <v>0.21985927</v>
      </c>
      <c r="KM77" s="2">
        <v>1.4839536600000001</v>
      </c>
      <c r="KN77" s="2">
        <v>7.936159000000001E-2</v>
      </c>
      <c r="KO77" s="2">
        <v>1.1701893800000003</v>
      </c>
      <c r="KP77" s="2">
        <v>2.67352E-3</v>
      </c>
      <c r="KQ77" s="2">
        <v>210.80975518</v>
      </c>
      <c r="KR77" s="2">
        <v>0.36704738999999997</v>
      </c>
      <c r="KS77" s="2">
        <v>0.24093403999999999</v>
      </c>
      <c r="KT77" s="2">
        <v>0.80256123000000001</v>
      </c>
      <c r="KU77" s="2">
        <v>6.1152309999999994E-2</v>
      </c>
      <c r="KV77" s="2">
        <v>0.33014441</v>
      </c>
      <c r="KW77" s="2">
        <v>1.6147713600000002</v>
      </c>
      <c r="KX77" s="2">
        <v>0</v>
      </c>
      <c r="KY77" s="2">
        <v>4.8176999999999998E-2</v>
      </c>
      <c r="KZ77" s="2">
        <v>2.2507227700000003</v>
      </c>
      <c r="LA77" s="2">
        <v>0.81239716999999989</v>
      </c>
      <c r="LB77" s="2">
        <v>0</v>
      </c>
      <c r="LC77" s="2">
        <v>0.10019561</v>
      </c>
      <c r="LD77" s="2">
        <v>0</v>
      </c>
      <c r="LE77" s="2">
        <v>0.35609138000000001</v>
      </c>
      <c r="LF77" s="2">
        <v>0</v>
      </c>
      <c r="LG77" s="2">
        <v>20.291786850000001</v>
      </c>
      <c r="LH77" s="2">
        <v>3.7836088099999996</v>
      </c>
      <c r="LI77" s="2">
        <v>5.7336636299999997</v>
      </c>
      <c r="LJ77" s="2">
        <v>0</v>
      </c>
      <c r="LK77" s="2">
        <v>2.0435083600000001</v>
      </c>
      <c r="LL77" s="2">
        <v>4.8355749000000001</v>
      </c>
      <c r="LM77" s="2">
        <v>2.0252943399999999</v>
      </c>
      <c r="LN77" s="2">
        <v>6.9963239999999996E-2</v>
      </c>
      <c r="LO77" s="2">
        <v>9.3916634099999996</v>
      </c>
      <c r="LQ77" s="85">
        <f t="shared" si="323"/>
        <v>5628.1615644299991</v>
      </c>
      <c r="LR77" s="85">
        <f t="shared" si="324"/>
        <v>1.6680853600000001</v>
      </c>
      <c r="LS77" s="85">
        <f t="shared" si="325"/>
        <v>21.664762139999997</v>
      </c>
      <c r="LT77" s="85">
        <f t="shared" si="326"/>
        <v>14.4339727</v>
      </c>
      <c r="LU77" s="85">
        <f t="shared" si="327"/>
        <v>214.15124124000002</v>
      </c>
      <c r="LV77" s="85">
        <f t="shared" si="328"/>
        <v>1.9930927700000001</v>
      </c>
      <c r="LW77" s="85">
        <f t="shared" si="329"/>
        <v>0.81239716999999989</v>
      </c>
      <c r="LX77" s="85">
        <f t="shared" si="330"/>
        <v>0.35609138000000001</v>
      </c>
      <c r="LZ77" s="131">
        <v>113.93</v>
      </c>
      <c r="MA77" s="171">
        <v>117.36</v>
      </c>
      <c r="MB77"/>
      <c r="MC77"/>
      <c r="MD77"/>
      <c r="MF77"/>
      <c r="MG77"/>
      <c r="MH77" s="83">
        <v>188.62</v>
      </c>
      <c r="MI77" s="83">
        <v>53.55</v>
      </c>
      <c r="MJ77" s="83">
        <v>50.19</v>
      </c>
      <c r="MK77"/>
      <c r="ML77" s="83">
        <v>55.35</v>
      </c>
      <c r="MM77" s="83">
        <v>142.63999999999999</v>
      </c>
      <c r="MN77" s="83"/>
      <c r="MO77" s="83">
        <v>56.98</v>
      </c>
      <c r="MP77" s="83">
        <v>145.94999999999999</v>
      </c>
      <c r="MQ77" s="83">
        <v>163.07</v>
      </c>
      <c r="MR77"/>
      <c r="MT77" s="83"/>
      <c r="MU77" s="83">
        <v>62.75</v>
      </c>
      <c r="MV77"/>
      <c r="MW77"/>
      <c r="MX77"/>
      <c r="MY77" s="83">
        <v>211.06</v>
      </c>
      <c r="MZ77" s="83">
        <v>565</v>
      </c>
      <c r="NA77" s="83">
        <v>188.8</v>
      </c>
      <c r="NB77" s="83">
        <v>675.43</v>
      </c>
      <c r="NC77" s="83">
        <v>86.7</v>
      </c>
      <c r="ND77" s="1">
        <v>849</v>
      </c>
      <c r="NE77" s="1">
        <v>460.12</v>
      </c>
    </row>
    <row r="78" spans="1:369">
      <c r="A78" s="38">
        <f t="shared" si="334"/>
        <v>44440</v>
      </c>
      <c r="B78" s="36">
        <f t="shared" si="313"/>
        <v>9</v>
      </c>
      <c r="C78" s="36">
        <f t="shared" si="314"/>
        <v>2021</v>
      </c>
      <c r="D78" s="36">
        <f t="shared" si="347"/>
        <v>78</v>
      </c>
      <c r="E78" s="38">
        <f t="shared" si="335"/>
        <v>44440</v>
      </c>
      <c r="F78" s="7">
        <v>100.44</v>
      </c>
      <c r="G78" s="7">
        <v>528.49680000000001</v>
      </c>
      <c r="H78" s="1">
        <f>[2]NACIONALES!$D66</f>
        <v>51660</v>
      </c>
      <c r="I78" s="7">
        <v>89</v>
      </c>
      <c r="J78" s="7">
        <v>630</v>
      </c>
      <c r="K78" s="7">
        <v>8.8000000000000007</v>
      </c>
      <c r="L78" s="7">
        <v>26.7</v>
      </c>
      <c r="N78" s="5">
        <v>1.84</v>
      </c>
      <c r="O78" s="5">
        <v>1.6850000000000001</v>
      </c>
      <c r="P78" s="78">
        <f t="shared" si="294"/>
        <v>168.17422500000001</v>
      </c>
      <c r="Q78" s="6">
        <v>2533</v>
      </c>
      <c r="R78" s="79">
        <f t="shared" si="336"/>
        <v>25330</v>
      </c>
      <c r="S78" s="144">
        <f>+S77</f>
        <v>213.62</v>
      </c>
      <c r="T78" s="6">
        <v>431.95</v>
      </c>
      <c r="U78" s="143">
        <v>190.87727272727273</v>
      </c>
      <c r="V78" s="6">
        <v>316.5272727272727</v>
      </c>
      <c r="W78" s="6">
        <f>(234*0.88)-10</f>
        <v>195.92</v>
      </c>
      <c r="X78" s="6">
        <v>238.68636363636361</v>
      </c>
      <c r="Y78" s="79">
        <f t="shared" si="337"/>
        <v>21455.9928</v>
      </c>
      <c r="Z78" s="79">
        <f t="shared" si="338"/>
        <v>43385.057999999997</v>
      </c>
      <c r="AA78" s="79">
        <f t="shared" si="339"/>
        <v>19171.713272727273</v>
      </c>
      <c r="AB78" s="79">
        <f t="shared" si="340"/>
        <v>31791.999272727269</v>
      </c>
      <c r="AC78" s="79">
        <f t="shared" si="341"/>
        <v>19678.2048</v>
      </c>
      <c r="AD78" s="79">
        <f t="shared" si="342"/>
        <v>23973.658363636361</v>
      </c>
      <c r="AE78" s="79">
        <f t="shared" si="343"/>
        <v>26576.104418181822</v>
      </c>
      <c r="AF78" s="1">
        <v>71679.047619047618</v>
      </c>
      <c r="AG78" s="1">
        <v>29700</v>
      </c>
      <c r="AH78" s="1">
        <v>112860</v>
      </c>
      <c r="AI78" s="5">
        <v>37.142000000000003</v>
      </c>
      <c r="AJ78" s="5">
        <v>32.07</v>
      </c>
      <c r="AK78" s="5">
        <v>35.76</v>
      </c>
      <c r="AL78" s="5">
        <v>26.47</v>
      </c>
      <c r="AM78" s="78">
        <f t="shared" si="344"/>
        <v>34.018520000000002</v>
      </c>
      <c r="AN78" s="7">
        <v>2082.9471544715448</v>
      </c>
      <c r="AO78" s="7">
        <v>1518.7272727272727</v>
      </c>
      <c r="AP78" s="78">
        <f t="shared" si="277"/>
        <v>1518.7272727272727</v>
      </c>
      <c r="AQ78" s="7">
        <v>502.45283018867923</v>
      </c>
      <c r="AR78" s="7">
        <v>669.97727272727263</v>
      </c>
      <c r="AS78" s="7">
        <v>658.93939393939399</v>
      </c>
      <c r="AT78" s="7">
        <v>741.05909090909086</v>
      </c>
      <c r="AU78" s="78">
        <f t="shared" si="348"/>
        <v>689.99191919191924</v>
      </c>
      <c r="AV78" s="7">
        <v>417.16831683168317</v>
      </c>
      <c r="AW78" s="7">
        <v>1210</v>
      </c>
      <c r="AX78" s="7">
        <v>339.16363636363627</v>
      </c>
      <c r="AY78" s="7">
        <v>1465.0045045045044</v>
      </c>
      <c r="AZ78" s="7">
        <v>422.79545454545462</v>
      </c>
      <c r="BA78" s="7">
        <v>481.36363636363637</v>
      </c>
      <c r="BB78" s="94">
        <f t="shared" si="345"/>
        <v>729.52069569569574</v>
      </c>
      <c r="BC78" s="68">
        <v>4420</v>
      </c>
      <c r="BD78" s="166">
        <v>2426</v>
      </c>
      <c r="BE78" s="95">
        <f>+BE77</f>
        <v>1800</v>
      </c>
      <c r="BF78" s="95">
        <f>+BF77</f>
        <v>1500</v>
      </c>
      <c r="BG78" s="94">
        <f t="shared" si="349"/>
        <v>2536.5</v>
      </c>
      <c r="BH78" s="7">
        <v>191.89</v>
      </c>
      <c r="BI78" s="7">
        <f>+BI77</f>
        <v>85</v>
      </c>
      <c r="BJ78" s="78">
        <f t="shared" si="350"/>
        <v>276.89</v>
      </c>
      <c r="BK78" s="7">
        <v>188.48599999999999</v>
      </c>
      <c r="BL78" s="7">
        <v>240.93</v>
      </c>
      <c r="BM78" s="94">
        <f t="shared" si="351"/>
        <v>214.708</v>
      </c>
      <c r="BN78" s="5">
        <v>33.03</v>
      </c>
      <c r="BO78" s="84">
        <v>145.06</v>
      </c>
      <c r="BP78">
        <v>73.55</v>
      </c>
      <c r="BQ78" s="94">
        <f t="shared" si="346"/>
        <v>137.90899999999999</v>
      </c>
      <c r="BR78" s="7">
        <v>127.51</v>
      </c>
      <c r="BS78" s="97">
        <v>410</v>
      </c>
      <c r="BT78" s="7">
        <f>+F78*1.08</f>
        <v>108.4752</v>
      </c>
      <c r="BU78" s="79">
        <f t="shared" si="237"/>
        <v>5245.4256000000005</v>
      </c>
      <c r="BV78" s="93">
        <v>279</v>
      </c>
      <c r="BW78" s="93">
        <v>300</v>
      </c>
      <c r="BY78" s="92">
        <f>BY$10*(1+((H78/H$10-1)*costos!$B$5+((I78*F78)/(I$10*F$10)-1)*costos!$E$5+((J78*F78)/((J$10*F$10)-1)*costos!$F$5/3+((K78*F78)/(K$10*F$10)-1)*costos!$F$5/3+((U78*F78)/(U$10*F$10)-1)*costos!$F$5/3+((L78*F78)/(L$10*F$10)-1)*costos!$G$5+((N78*F78)/(N$10*F$10)-1)*costos!$J$5+((V78*F78)/(V$10*F$10)-1)*costos!$K$5)))</f>
        <v>1001.0645857525681</v>
      </c>
      <c r="BZ78" s="92">
        <f>$BZ$10*(1+((H78/$H$10-1)*costos!$B$6+((I78*F78)/($I$10*$F$10)-1)*costos!$E$6+((J78*F78)/(($J$10*$F$10)-1)*costos!$F$6/3+((K78*F78)/($K$10*$F$10)-1)*costos!$F$6/3+((U78*F78)/($U$10*$F$10)-1)*costos!$F$6/3+((L78*F78)/($L$10*$F$10)-1)*costos!$G$6+((Q78*F78)/($Q$10*$F$10)-1)*costos!$J$6+((V78*F78)/($V$10*$F$10)-1)*costos!$K$6)))</f>
        <v>840.53447301763742</v>
      </c>
      <c r="CA78" s="92">
        <f>CA$10*(1+((H78/H$10-1)*costos!$B$7+((I78*F78)/(I$10*F$10)-1)*costos!$E$7+((J78*F78)/((J$10*F$10)-1)*costos!$F$7/3+((K78*F78)/(K$10*F$10)-1)*costos!$F$7/3+((U78*F78)/(U$10*F$10)-1)*costos!$F$7/3+((L78*F78)/(L$10*F$10)-1)*costos!$G$7+((S78*F78)/(S$10*F$10)-1)*costos!$J$7+((V78*F78)/(V$10*F$10)-1)*costos!$K$7)))</f>
        <v>981.98036400669343</v>
      </c>
      <c r="CB78" s="92">
        <f>CB$10*(1+((H78/H$10-1)*costos!$B$8+((I78*F78)/(I$10*F$10)-1)*costos!$E$8+((J78*F78)/((J$10*F$10)-1)*costos!$F$8/3+((K78*F78)/(K$10*F$10)-1)*costos!$F$8/3+((U78*F78)/(U$10*F$10)-1)*costos!$F$8/3+((L78*F78)/(L$10*F$10)-1)*costos!$G$8+((T78*F78)/(T$10*F$10)-1)*costos!$J$8+((V78*F78)/(V$10*F$10)-1)*costos!$K$8)))</f>
        <v>975.46567968844681</v>
      </c>
      <c r="CC78" s="92">
        <f>CC$10*(1+((H78/H$10-1)*costos!$B$9+((I78*F78)/(I$10*F$10)-1)*costos!$E$9+((J78*F78)/((J$10*F$10)-1)*costos!$F$9/3+((K78*F78)/(K$10*F$10)-1)*costos!$F$9/3+((U78*F78)/(U$10*F$10)-1)*costos!$F$9/3+((L78*F78)/(L$10*F$10)-1)*costos!$G$9+((U78*F78)/(U$10*F$10)-1)*costos!$J$9+((V78*F78)/(V$10*F$10)-1)*costos!$K$9)))</f>
        <v>921.8873885964955</v>
      </c>
      <c r="CD78" s="92">
        <f>CD$10*(1+((H78/H$10-1)*costos!$B$11+((I78*F78)/(I$10*F$10)-1)*costos!$E$11+((J78*F78)/((J$10*F$10)-1)*costos!$F$11/3+((K78*F78)/(K$10*F$10)-1)*costos!$F$11/3+((U78*F78)/(U$10*F$10)-1)*costos!$F$11/3+((L78*F78)/(L$10*F$10)-1)*costos!$G$11+((V78*F78)/(V$10*F$10)-1)*costos!$J$11+((V78*F78)/(V$10*F$10)-1)*costos!$K$11)))</f>
        <v>969.21959125261435</v>
      </c>
      <c r="CE78" s="92">
        <f>CE$10*(1+((H78/H$10-1)*costos!$B$12+((I78*F78)/(I$10*F$10)-1)*costos!$E$12+((J78*F78)/((J$10*F$10)-1)*costos!$F$12/3+((K78*F78)/(K$10*F$10)-1)*costos!$F$12/3+((U78*F78)/(U$10*F$10)-1)*costos!$F$12/3+((L78*F78)/(L$10*F$10)-1)*costos!$G$12+((W78*F78)/(W$10*F$10)-1)*costos!$J$12+((V78*F78)/(V$10*F$10)-1)*costos!$K$12)))</f>
        <v>912.93805651779928</v>
      </c>
      <c r="CF78" s="92">
        <f>CF$10*(1+((H78/H$10-1)*costos!$B$13+((I78*F78)/(I$10*F$10)-1)*costos!$E$13+((J78*F78)/((J$10*F$10)-1)*costos!$F$13/3+((K78*F78)/(K$10*F$10)-1)*costos!$F$13/3+((U78*F78)/(U$10*F$10)-1)*costos!$F$13/3+((L78*F78)/(L$10*F$10)-1)*costos!$G$13+((X78*F78)/(X$10*F$10)-1)*costos!$J$13+((V78*F78)/(V$10*F$10)-1)*costos!$K$13)))</f>
        <v>1004.0369107464526</v>
      </c>
      <c r="CG78" s="92">
        <f t="shared" si="309"/>
        <v>960.92133180141684</v>
      </c>
      <c r="CH78" s="92">
        <f>CH$10*(1+((H78/H$10-1)*costos!$B$10+((I78*F78)/(I$10*F$10)-1)*costos!$E$10+((J78*F78)/((J$10*F$10)-1)*costos!$F$10/3+((K78*F78)/(K$10*F$10)-1)*costos!$F$10/3+((U78*F78)/(U$10*F$10)-1)*costos!$F$10/3+((L78*F78)/(L$10*F$10)-1)*costos!$G$10+((AF78)/(AF$10)-1)*costos!$J$10+((V78*F78)/(V$10*F$10)-1)*costos!$K$10)))</f>
        <v>1009.3499102242449</v>
      </c>
      <c r="CI78" s="92">
        <f>CI$10*(1+((H78/H$10-1)*costos!$B$15+((I78*F78)/(I$10*F$10)-1)*costos!$E$15+((J78*F78)/((J$10*F$10)-1)*costos!$F$15/3+((K78*F78)/(K$10*F$10)-1)*costos!$F$15/3+((U78*F78)/(U$10*F$10)-1)*costos!$F$15/3+((L78*F78)/(L$10*F$10)-1)*costos!$G$15+((AV78)/(AV$10)-1)*costos!$J$15+((V78*F78)/(V$10*F$10)-1)*costos!$K$15)))</f>
        <v>938.30302554145965</v>
      </c>
      <c r="CJ78" s="92">
        <f>CJ$10*(1+((H78/H$10-1)*costos!$B$16+((I78*F78)/(I$10*F$10)-1)*costos!$E$16+((J78*F78)/((J$10*F$10)-1)*costos!$F$16/3+((K78*F78)/(K$10*F$10)-1)*costos!$F$16/3+((U78*F78)/(U$10*F$10)-1)*costos!$F$16/3+((L78*F78)/(L$10*F$10)-1)*costos!$G$16+((AW78)/(AW$10)-1)*costos!$J$16+((V78*F78)/(V$10*F$10)-1)*costos!$K$16)))</f>
        <v>755.3242922455679</v>
      </c>
      <c r="CK78" s="92">
        <f>CK$10*(1+((H78/H$10-1)*costos!$B$17+((I78*F78)/(I$10*F$10)-1)*costos!$E$17+((J78*F78)/((J$10*F$10)-1)*costos!$F$17/3+((K78*F78)/(K$10*F$10)-1)*costos!$F$17/3+((U78*F78)/(U$10*F$10)-1)*costos!$F$17/3+((L78*F78)/(L$10*F$10)-1)*costos!$G$17+((AX78)/(AX$10)-1)*costos!$J$17+((V78*F78)/(V$10*F$10)-1)*costos!$K$17)))</f>
        <v>819.1122905978275</v>
      </c>
      <c r="CL78" s="92">
        <f>CL$10*(1+((H78/H$10-1)*costos!$B$18+((I78*F78)/(I$10*F$10)-1)*costos!$E$18+((J78*F78)/((J$10*F$10)-1)*costos!$F$18/3+((K78*F78)/(K$10*F$10)-1)*costos!$F$18/3+((U78*F78)/(U$10*F$10)-1)*costos!$F$18/3+((L78*F78)/(L$10*F$10)-1)*costos!$G$18+((AY78)/(AY$10)-1)*costos!$J$18+((V78*F78)/(V$10*F$10)-1)*costos!$K$18)))</f>
        <v>1064.7288534409822</v>
      </c>
      <c r="CM78" s="92">
        <f>CM$10*(1+((H78/H$10-1)*costos!$B$19+((I78*F78)/(I$10*F$10)-1)*costos!$E$19+((J78*F78)/((J$10*F$10)-1)*costos!$F$19/3+((K78*F78)/(K$10*F$10)-1)*costos!$F$19/3+((U78*F78)/(U$10*F$10)-1)*costos!$F$19/3+((L78*F78)/(L$10*F$10)-1)*costos!$G$19+((AZ78)/(AZ$10)-1)*costos!$J$19+((V78*F78)/(V$10*F$10)-1)*costos!$K$19)))</f>
        <v>680.30038994776555</v>
      </c>
      <c r="CN78" s="92">
        <f>CN$10*(1+((H78/H$10-1)*costos!$B$20+((I78*F78)/(I$10*F$10)-1)*costos!$E$20+((J78*F78)/((J$10*F$10)-1)*costos!$F$20/3+((K78*F78)/(K$10*F$10)-1)*costos!$F$20/3+((U78*F78)/(U$10*F$10)-1)*costos!$F$20/3+((L78*F78)/(L$10*F$10)-1)*costos!$G$20+((BA78)/(BA$10)-1)*costos!$J$20+((V78*F78)/(V$10*F$10)-1)*costos!$K$20)))</f>
        <v>753.19387451139971</v>
      </c>
      <c r="CO78" s="92">
        <f t="shared" si="310"/>
        <v>829.33385212449377</v>
      </c>
      <c r="CP78" s="92">
        <f>CP$10*(1+((H78/H$10-1)*costos!$B$22+((I78*F78)/(I$10*F$10)-1)*costos!$E$22+((J78*F78)/((J$10*F$10)-1)*costos!$F$22/3+((K78*F78)/(K$10*F$10)-1)*costos!$F$22/3+((U78*F78)/(U$10*F$10)-1)*costos!$F$22/3+((L78*F78)/(L$10*F$10)-1)*costos!$G$22+(((AVERAGE(AI78:AL78))/((AVERAGE(AI$10:AL$10))-1)*costos!$J$22+((V78*F78)/(V$10*F$10)-1)*costos!$K$22)))))</f>
        <v>952.14496927525477</v>
      </c>
      <c r="CQ78" s="92">
        <f>CQ$10*(1+((H78/H$10-1)*costos!$B$23+((I78*F78)/(I$10*F$10)-1)*costos!$E$23+((J78*F78)/((J$10*F$10)-1)*costos!$F$23/3+((K78*F78)/(K$10*F$10)-1)*costos!$F$23/3+((U78*F78)/(U$10*F$10)-1)*costos!$F$23/3+((L78*F78)/(L$10*F$10)-1)*costos!$G$23+((AN78)/(AN$10)-1)*costos!$J$23+((V78*F78)/(V$10*F$10)-1)*costos!$K$23)))</f>
        <v>799.50193764377423</v>
      </c>
      <c r="CR78" s="92">
        <f>CR$10*(1+((H78/H$10-1)*costos!$B$24+((I78*F78)/(I$10*F$10)-1)*costos!$E$24+((J78*F78)/((J$10*F$10)-1)*costos!$F$24/3+((K78*F78)/(K$10*F$10)-1)*costos!$F$24/3+((U78*F78)/(U$10*F$10)-1)*costos!$F$24/3+((L78*F78)/(L$10*F$10)-1)*costos!$G$24+((AO78)/(AO$10)-1)*costos!$J$24+((V78*F78)/(V$10*F$10)-1)*costos!$K$24)))</f>
        <v>822.11855460047775</v>
      </c>
      <c r="CS78" s="92">
        <f t="shared" si="352"/>
        <v>810.81024612212605</v>
      </c>
      <c r="CT78" s="92">
        <f>CT$10*(1+((H78/H$10-1)*costos!$B$25+((I78*F78)/(I$10*F$10)-1)*costos!$E$25+((J78*F78)/((J$10*F$10)-1)*costos!$F$25/3+((K78*F78)/(K$10*F$10)-1)*costos!$F$25/3+((U78*F78)/(U$10*F$10)-1)*costos!$F$25/3+((L78*F78)/(L$10*F$10)-1)*costos!$G$25+((AQ78)/(AQ$10)-1)*costos!$J$25+((V78*F78)/(V$10*F$10)-1)*costos!$K$25)))</f>
        <v>749.89267263622764</v>
      </c>
      <c r="CU78" s="92">
        <f>CU$10*(1+((H78/H$10-1)*costos!$B$26+((I78*F78)/(I$10*F$10)-1)*costos!$E$26+((J78*F78)/((J$10*F$10)-1)*costos!$F$26/3+((K78*F78)/(K$10*F$10)-1)*costos!$F$26/3+((U78*F78)/(U$10*F$10)-1)*costos!$F$26/3+((L78*F78)/(L$10*F$10)-1)*costos!$G$26+((AR78)/(AR$10)-1)*costos!$J$26+((V78*F78)/(V$10*F$10)-1)*costos!$K$26)))</f>
        <v>824.69561402075851</v>
      </c>
      <c r="CV78" s="92">
        <f>CV$10*(1+((H78/H$10-1)*costos!$B$27+((I78*F78)/(I$10*F$10)-1)*costos!$E$27+((J78*F78)/((J$10*F$10)-1)*costos!$F$27/3+((K78*F78)/(K$10*F$10)-1)*costos!$F$27/3+((U78*F78)/(U$10*F$10)-1)*costos!$F$27/3+((L78*F78)/(L$10*F$10)-1)*costos!$G$27+((AS78)/(AS$10)-1)*costos!$J$27+((V78*F78)/(V$10*F$10)-1)*costos!$K$27)))</f>
        <v>823.16483629855509</v>
      </c>
      <c r="CW78" s="92">
        <f>CW$10*(1+((H78/H$10-1)*costos!$B$28+((I78*F78)/(I$10*F$10)-1)*costos!$E$28+((J78*F78)/((J$10*F$10)-1)*costos!$F$28/3+((K78*F78)/(K$10*F$10)-1)*costos!$F$28/3+((U78*F78)/(U$10*F$10)-1)*costos!$F$28/3+((L78*F78)/(L$10*F$10)-1)*costos!$G$28+((AS78)/(AS$10)-1)*costos!$J$28+((V78*F78)/(V$10*F$10)-1)*costos!$K$28)))</f>
        <v>823.16483629855509</v>
      </c>
      <c r="CX78" s="92">
        <f t="shared" si="311"/>
        <v>823.6750955392896</v>
      </c>
      <c r="CY78" s="92">
        <f>CY$10*(1+((H78/H$10-1)*costos!$B$32+((I78*F78)/(I$10*F$10)-1)*costos!$E$32+((J78*F78)/((J$10*F$10)-1)*costos!$F$32/3+((K78*F78)/(K$10*F$10)-1)*costos!$F$32/3+((U78*F78)/(U$10*F$10)-1)*costos!$F$32/3+((L78*F78)/(L$10*F$10)-1)*costos!$G$32+((AG78)/(AG$10)-1)*costos!$J$32+((V78*F78)/(V$10*F$10)-1)*costos!$K$32)))</f>
        <v>736.5486400809782</v>
      </c>
      <c r="CZ78" s="69">
        <f>CZ$10*(1+((H78/H$10-1)*costos!$B$31+((I78*F78)/(I$10*F$10)-1)*costos!$E$30+((J78*F78)/((J$10*F$10)-1)*costos!$F$30/3+((K78*F78)/(K$10*F$10)-1)*costos!$F$30/3+((U78*F78)/(U$10*F$10)-1)*costos!$F$30/3+((L78*F78)/(L$10*F$10)-1)*costos!$G$30+((BG78)/(BG$10)-1)*costos!$J$30+((V78*F78)/(V$10*F$10)-1)*costos!$K$30)))</f>
        <v>935.06287094180095</v>
      </c>
      <c r="DA78" s="69">
        <f>DA$10*(1+((H78/H$10-1)*costos!$B$31+((I78*F78)/(I$10*F$10)-1)*costos!$E$31+((J78*F78)/((J$10*F$10)-1)*costos!$F$31/3+((K78*F78)/(K$10*F$10)-1)*costos!$F$31/3+((U78*F78)/(U$10*F$10)-1)*costos!$F$31/3+((L78*F78)/(L$10*F$10)-1)*costos!$G$31+((BJ78)/(BJ$10)-1)*costos!$J$31+((V78*F78)/(V$10*F$10)-1)*costos!$K$31)))</f>
        <v>784.68637837084907</v>
      </c>
      <c r="DB78" s="69">
        <f>DB$10*(1+((H78/H$10-1)*costos!$B$36+((I78*F78)/(I$10*F$10)-1)*costos!$E$36+((J78*F78)/((J$10*F$10)-1)*costos!$F$36/3+((K78*F78)/(K$10*F$10)-1)*costos!$F$36/3+((U78*F78)/(U$10*F$10)-1)*costos!$F$36/3+((L78*F78)/(L$10*F$10)-1)*costos!$G$36+((BK78)/(BK$10)-1)*costos!$J$36+((V78*F78)/(V$10*F$10)-1)*costos!$K$36)))</f>
        <v>889.41820506865986</v>
      </c>
      <c r="DC78" s="69">
        <f>DC$10*(1+((H78/H$10-1)*costos!$B$37+((I78*F78)/(I$10*F$10)-1)*costos!$E$37+((U78*F78)/(U$10*F$10)-1)*costos!$F$37+((L78*F78)/(L$10*F$10)-1)*costos!$G$37+((BN78)/(BN$10)-1)*costos!$J$37+((V78*F78)/(V$10*F$10)-1)*costos!$K$37))</f>
        <v>876.86889714636573</v>
      </c>
      <c r="DD78" s="69">
        <f>DD$10*(1+((H78/H$10-1)*costos!$B$39+((I78*F78)/(I$10*F$10)-1)*costos!$E$39+((U78*F78)/(U$10*F$10)-1)*costos!$F$39+((L78*F78)/(L$10*F$10)-1)*costos!$G$39+((BR78)/(BR$10)-1)*costos!$J$39+((V78*F78)/(V$10*F$10)-1)*costos!$K$39))</f>
        <v>862.52140775973419</v>
      </c>
      <c r="DE78" s="69">
        <f>DD$10*(1+((H78/H$10-1)*costos!$B$35+((I78*F78)/(I$10*F$10)-1)*costos!$E$35+((U78*F78)/(U$10*F$10)-1)*costos!$F$35+((L78*F78)/(L$10*F$10)-1)*costos!$G$35+((BR78)/(BR$10)-1)*costos!$J$35+((V78*F78)/(V$10*F$10)-1)*costos!$K$35))</f>
        <v>784.67199189231019</v>
      </c>
      <c r="DF78" s="69">
        <f>DF$10*(1+((H78/H$10-1)*costos!$B$40+((I78*F78)/(I$10*F$10)-1)*costos!$E$40+((U78*F78)/(U$10*F$10)-1)*costos!$F$40+((L78*F78)/(L$10*F$10)-1)*costos!$G$40+((BP78)/(BP$10)-1)*costos!$J$40+((V78*F78)/(V$10*F$10)-1)*costos!$K$40))</f>
        <v>884.76960147935768</v>
      </c>
      <c r="DG78" s="92">
        <f t="shared" si="312"/>
        <v>834.72079668583388</v>
      </c>
      <c r="DH78" s="69">
        <f>DH$10*(1+((H78/H$10-1)*costos!$B$34+((I78*F78)/(I$10*F$10)-1)*costos!$E$34+((J78*F78)/((J$10*F$10)-1)*costos!$F$34/3+((K78*F78)/(K$10*F$10)-1)*costos!$F$34/3+((U78*F78)/(U$10*F$10)-1)*costos!$F$34/3+((L78*F78)/(L$10*F$10)-1)*costos!$G$34+((BV78)/(BV$10)-1)*costos!$J$34+((V78*F78)/(V$10*F$10)-1)*costos!$K$34)))</f>
        <v>866.66715249818833</v>
      </c>
      <c r="DI78" s="69">
        <f>DI$10*(1+((H78/H$10-1)*costos!$B$38+((I78*F78)/(I$10*F$10)-1)*costos!$E$38+((J78*F78)/((J$10*F$10)-1)*costos!$F$38/3+((K78*F78)/(K$10*F$10)-1)*costos!$F$38/3+((U78*F78)/(U$10*F$10)-1)*costos!$F$38/3+((L78*F78)/(L$10*F$10)-1)*costos!$G$38+((BU78)/(BU$10)-1)*costos!$J$38+((V78*F78)/(V$10*F$10)-1)*costos!$K$38)))</f>
        <v>748.21761247770496</v>
      </c>
      <c r="DK78" s="1">
        <v>500000</v>
      </c>
      <c r="DL78" s="1" t="s">
        <v>389</v>
      </c>
      <c r="DM78" s="1">
        <v>200000</v>
      </c>
      <c r="DN78" s="1" t="s">
        <v>377</v>
      </c>
      <c r="DO78" s="1">
        <v>1300000</v>
      </c>
      <c r="DP78" s="1" t="s">
        <v>389</v>
      </c>
      <c r="DQ78" s="1">
        <v>1800000</v>
      </c>
      <c r="DR78" s="1" t="s">
        <v>389</v>
      </c>
      <c r="DS78" s="1">
        <v>7100000</v>
      </c>
      <c r="DT78" s="1" t="s">
        <v>389</v>
      </c>
      <c r="DU78" s="1">
        <v>16300000</v>
      </c>
      <c r="DV78" s="1" t="s">
        <v>389</v>
      </c>
      <c r="DW78" s="1">
        <v>1000000</v>
      </c>
      <c r="DX78" s="1" t="s">
        <v>389</v>
      </c>
      <c r="DY78" s="1">
        <v>6950000</v>
      </c>
      <c r="DZ78" s="1" t="s">
        <v>389</v>
      </c>
      <c r="EA78" s="79">
        <f t="shared" si="353"/>
        <v>34450000</v>
      </c>
      <c r="EB78" s="1">
        <v>395000</v>
      </c>
      <c r="EC78" s="1" t="s">
        <v>389</v>
      </c>
      <c r="ED78" s="1">
        <v>191392</v>
      </c>
      <c r="EE78" s="143">
        <v>2021</v>
      </c>
      <c r="EF78" s="1">
        <v>211099</v>
      </c>
      <c r="EG78" s="6">
        <v>2021</v>
      </c>
      <c r="EH78" s="1">
        <v>53517534</v>
      </c>
      <c r="EI78" s="6">
        <v>2021</v>
      </c>
      <c r="EJ78" s="1">
        <v>5350999</v>
      </c>
      <c r="EK78" s="6">
        <v>2021</v>
      </c>
      <c r="EL78" s="1">
        <v>14571766</v>
      </c>
      <c r="EM78" s="6">
        <v>2020</v>
      </c>
      <c r="EN78" s="1">
        <v>3132657</v>
      </c>
      <c r="EO78" s="6">
        <v>2020</v>
      </c>
      <c r="EP78" s="82">
        <f t="shared" si="315"/>
        <v>6552</v>
      </c>
      <c r="EQ78" s="83">
        <v>3500000</v>
      </c>
      <c r="ER78" s="1">
        <f t="shared" si="189"/>
        <v>76133.333333333328</v>
      </c>
      <c r="ES78" s="1"/>
      <c r="ET78" s="83">
        <f t="shared" si="316"/>
        <v>16000</v>
      </c>
      <c r="EU78" s="83">
        <f t="shared" si="316"/>
        <v>19131</v>
      </c>
      <c r="EV78" s="83">
        <f t="shared" si="316"/>
        <v>9000</v>
      </c>
      <c r="EW78" s="83">
        <f t="shared" si="316"/>
        <v>17492</v>
      </c>
      <c r="EX78" s="79">
        <f>+SUM(ET78:EW78)</f>
        <v>61623</v>
      </c>
      <c r="EY78" s="83">
        <f t="shared" si="317"/>
        <v>19904</v>
      </c>
      <c r="EZ78" s="82">
        <f t="shared" si="317"/>
        <v>80798</v>
      </c>
      <c r="FA78" s="83">
        <f t="shared" si="331"/>
        <v>20331</v>
      </c>
      <c r="FB78" s="83">
        <f t="shared" si="332"/>
        <v>17550</v>
      </c>
      <c r="FC78" s="79">
        <f t="shared" si="307"/>
        <v>37881</v>
      </c>
      <c r="FD78" s="83">
        <f t="shared" si="158"/>
        <v>59807.5</v>
      </c>
      <c r="FE78" s="1"/>
      <c r="FF78" s="1">
        <v>1050000</v>
      </c>
      <c r="FG78" s="1" t="s">
        <v>377</v>
      </c>
      <c r="FH78" s="1">
        <v>1400000</v>
      </c>
      <c r="FI78" s="1" t="s">
        <v>377</v>
      </c>
      <c r="FJ78" s="1">
        <v>4500000</v>
      </c>
      <c r="FK78" s="1" t="s">
        <v>377</v>
      </c>
      <c r="FL78" s="1">
        <v>3400000</v>
      </c>
      <c r="FM78" s="1" t="s">
        <v>377</v>
      </c>
      <c r="FN78" s="1">
        <v>55000000</v>
      </c>
      <c r="FO78" s="1" t="s">
        <v>389</v>
      </c>
      <c r="FP78" s="1">
        <v>46000000</v>
      </c>
      <c r="FQ78" s="1" t="s">
        <v>377</v>
      </c>
      <c r="FR78" s="1">
        <v>3300000</v>
      </c>
      <c r="FS78" s="1" t="s">
        <v>377</v>
      </c>
      <c r="FT78" s="1">
        <v>17645000</v>
      </c>
      <c r="FU78" s="1" t="s">
        <v>377</v>
      </c>
      <c r="FV78" s="79">
        <f t="shared" si="355"/>
        <v>129845000</v>
      </c>
      <c r="FW78" s="1">
        <v>1280000</v>
      </c>
      <c r="FX78" s="1" t="s">
        <v>377</v>
      </c>
      <c r="FY78" s="1">
        <v>81119</v>
      </c>
      <c r="FZ78" s="79">
        <f t="shared" si="135"/>
        <v>882751.84</v>
      </c>
      <c r="GA78" s="86" t="str">
        <f t="shared" si="271"/>
        <v>oct20 sept21</v>
      </c>
      <c r="GB78" s="83">
        <v>22248266</v>
      </c>
      <c r="GC78" s="6">
        <v>2021</v>
      </c>
      <c r="GD78" s="83">
        <f t="shared" si="318"/>
        <v>2015989</v>
      </c>
      <c r="GE78" s="83">
        <f t="shared" si="318"/>
        <v>421371</v>
      </c>
      <c r="GF78" s="83">
        <v>1038163</v>
      </c>
      <c r="GG78" s="83">
        <f t="shared" si="268"/>
        <v>89478</v>
      </c>
      <c r="GH78" s="79">
        <f t="shared" si="240"/>
        <v>1549012</v>
      </c>
      <c r="GI78" s="82">
        <f t="shared" si="356"/>
        <v>1302556</v>
      </c>
      <c r="GJ78" s="83">
        <f t="shared" si="215"/>
        <v>600000</v>
      </c>
      <c r="GK78" s="83">
        <f t="shared" si="216"/>
        <v>1362000</v>
      </c>
      <c r="GL78" s="83">
        <f t="shared" si="217"/>
        <v>300000</v>
      </c>
      <c r="GM78" s="83">
        <f t="shared" si="218"/>
        <v>261011.3</v>
      </c>
      <c r="GN78" s="79">
        <f t="shared" si="357"/>
        <v>2523011.2999999998</v>
      </c>
      <c r="GO78" s="83">
        <f t="shared" si="291"/>
        <v>199477</v>
      </c>
      <c r="GP78" s="83">
        <f t="shared" si="291"/>
        <v>72919</v>
      </c>
      <c r="GQ78" s="83">
        <v>23823</v>
      </c>
      <c r="GR78" s="83">
        <v>42288</v>
      </c>
      <c r="GS78" s="79">
        <f t="shared" si="192"/>
        <v>43002.69</v>
      </c>
      <c r="GT78" s="83">
        <f t="shared" si="333"/>
        <v>2871705.88</v>
      </c>
      <c r="GU78" s="1">
        <v>21284</v>
      </c>
      <c r="GV78" s="1">
        <v>34629</v>
      </c>
      <c r="GW78" s="79">
        <f t="shared" si="261"/>
        <v>1084841</v>
      </c>
      <c r="GX78" s="1">
        <v>37480.696000000004</v>
      </c>
      <c r="GY78" s="1" t="s">
        <v>385</v>
      </c>
      <c r="GZ78" s="1">
        <v>97886.411999999997</v>
      </c>
      <c r="HA78" s="1">
        <v>256000</v>
      </c>
      <c r="HB78" s="79">
        <f t="shared" si="241"/>
        <v>3012034</v>
      </c>
      <c r="HC78" s="86" t="str">
        <f t="shared" si="272"/>
        <v>oct20 sept21</v>
      </c>
      <c r="HD78" s="1">
        <v>55815.630840000194</v>
      </c>
      <c r="HE78" s="79">
        <f t="shared" si="139"/>
        <v>684762.63084000023</v>
      </c>
      <c r="HF78" s="86" t="str">
        <f t="shared" si="273"/>
        <v>oct20 sept21</v>
      </c>
      <c r="HG78" s="1">
        <v>197726</v>
      </c>
      <c r="HH78" s="79">
        <f t="shared" si="242"/>
        <v>2235611</v>
      </c>
      <c r="HI78" s="86" t="str">
        <f t="shared" si="274"/>
        <v>oct20 sept21</v>
      </c>
      <c r="HJ78" s="1">
        <v>93866</v>
      </c>
      <c r="HK78" s="79">
        <f t="shared" si="278"/>
        <v>61381.62</v>
      </c>
      <c r="HL78" s="86" t="str">
        <f t="shared" si="275"/>
        <v>oct20 sept21</v>
      </c>
      <c r="HM78" s="79">
        <f t="shared" si="358"/>
        <v>2296992.62</v>
      </c>
      <c r="HN78" s="87">
        <f t="shared" si="297"/>
        <v>4.6067970880878439E-2</v>
      </c>
      <c r="HO78" s="1">
        <v>1069395286.6315219</v>
      </c>
      <c r="HP78" s="79">
        <f t="shared" si="153"/>
        <v>11434.493975861891</v>
      </c>
      <c r="HQ78" s="86" t="str">
        <f t="shared" si="276"/>
        <v>oct20 sept21</v>
      </c>
      <c r="HR78" s="1"/>
      <c r="HS78" s="1"/>
      <c r="HT78" s="1"/>
      <c r="HU78" s="1">
        <v>700000</v>
      </c>
      <c r="HV78" s="1" t="s">
        <v>377</v>
      </c>
      <c r="HW78" s="1">
        <v>1510000</v>
      </c>
      <c r="HX78" s="1" t="s">
        <v>389</v>
      </c>
      <c r="HY78" s="1">
        <v>3190000</v>
      </c>
      <c r="HZ78" s="1" t="s">
        <v>377</v>
      </c>
      <c r="IA78" s="1">
        <f t="shared" si="319"/>
        <v>21410000</v>
      </c>
      <c r="IB78" s="1" t="s">
        <v>377</v>
      </c>
      <c r="IC78" s="1">
        <v>45150000</v>
      </c>
      <c r="ID78" s="1" t="s">
        <v>377</v>
      </c>
      <c r="IE78" s="1">
        <v>1100000</v>
      </c>
      <c r="IF78" s="1" t="s">
        <v>377</v>
      </c>
      <c r="IG78" s="1">
        <f t="shared" si="320"/>
        <v>7200000</v>
      </c>
      <c r="IH78" s="1" t="s">
        <v>389</v>
      </c>
      <c r="II78" s="79">
        <f t="shared" si="359"/>
        <v>79560000</v>
      </c>
      <c r="IJ78" s="97">
        <f t="shared" si="308"/>
        <v>1.9040737312717446</v>
      </c>
      <c r="IK78" s="1" t="s">
        <v>377</v>
      </c>
      <c r="IL78" s="7">
        <v>47.633008619792371</v>
      </c>
      <c r="IM78" s="7">
        <v>47.23</v>
      </c>
      <c r="IN78" s="97">
        <v>189</v>
      </c>
      <c r="IO78" s="97">
        <v>15.4</v>
      </c>
      <c r="IP78" s="176">
        <f t="shared" si="321"/>
        <v>6.0901675410995511</v>
      </c>
      <c r="IQ78" s="7">
        <v>18.2</v>
      </c>
      <c r="IR78" s="98">
        <f t="shared" si="322"/>
        <v>5.93</v>
      </c>
      <c r="IS78" s="98">
        <f t="shared" si="322"/>
        <v>5.67</v>
      </c>
      <c r="IT78" s="98">
        <f t="shared" si="322"/>
        <v>13.17</v>
      </c>
      <c r="IU78" s="98">
        <f t="shared" si="322"/>
        <v>1.55</v>
      </c>
      <c r="IV78" s="94">
        <f t="shared" si="360"/>
        <v>20.39</v>
      </c>
      <c r="IW78" s="1"/>
      <c r="IX78" s="1"/>
      <c r="IY78" s="105">
        <v>1.86</v>
      </c>
      <c r="IZ78" s="161">
        <v>0.3</v>
      </c>
      <c r="JA78" s="83">
        <v>2813</v>
      </c>
      <c r="JB78" s="7">
        <v>44.08</v>
      </c>
      <c r="JC78" s="1"/>
      <c r="JD78" s="1"/>
      <c r="JF78" s="2">
        <v>27.777383770000004</v>
      </c>
      <c r="JG78" s="2">
        <v>17.748618759999999</v>
      </c>
      <c r="JH78" s="2">
        <v>61.442567140000008</v>
      </c>
      <c r="JI78" s="2">
        <v>256.92739762000002</v>
      </c>
      <c r="JJ78" s="2">
        <v>1192.28323918</v>
      </c>
      <c r="JK78" s="2">
        <v>132.73172683999999</v>
      </c>
      <c r="JL78" s="2">
        <v>3236.3511492099997</v>
      </c>
      <c r="JM78" s="2">
        <v>105.56609014</v>
      </c>
      <c r="JN78" s="2">
        <v>146.29297120999999</v>
      </c>
      <c r="JO78" s="2">
        <v>24.040494089999999</v>
      </c>
      <c r="JP78" s="2">
        <v>0</v>
      </c>
      <c r="JQ78" s="2">
        <v>0.14316300000000001</v>
      </c>
      <c r="JR78" s="2">
        <v>1.4106125899999999</v>
      </c>
      <c r="JS78" s="2">
        <v>0</v>
      </c>
      <c r="JT78" s="2">
        <v>4.5085E-2</v>
      </c>
      <c r="JU78" s="2">
        <v>112.38492801000001</v>
      </c>
      <c r="JV78" s="2">
        <v>12.783564630000001</v>
      </c>
      <c r="JW78" s="2">
        <v>8.9240231699999999</v>
      </c>
      <c r="JX78" s="2">
        <v>23.291910300000005</v>
      </c>
      <c r="JY78" s="2">
        <v>0</v>
      </c>
      <c r="JZ78" s="2">
        <v>10.799703020000001</v>
      </c>
      <c r="KA78" s="2">
        <v>0.38000431000000001</v>
      </c>
      <c r="KB78" s="2">
        <v>40.574908070000006</v>
      </c>
      <c r="KC78" s="2">
        <v>49.565090359999999</v>
      </c>
      <c r="KD78" s="2">
        <v>9.9784312200000009</v>
      </c>
      <c r="KE78" s="2">
        <v>23.425376759999999</v>
      </c>
      <c r="KF78" s="2">
        <v>45.729107250000006</v>
      </c>
      <c r="KG78" s="2">
        <v>442.14956753000001</v>
      </c>
      <c r="KH78" s="2">
        <v>138.99229828999998</v>
      </c>
      <c r="KI78" s="2">
        <v>19.129747980000001</v>
      </c>
      <c r="KJ78" s="2">
        <v>2.5404610299999999</v>
      </c>
      <c r="KK78" s="2">
        <v>11.98240345</v>
      </c>
      <c r="KL78" s="2">
        <v>0.16383265999999999</v>
      </c>
      <c r="KM78" s="2">
        <v>2.9688101599999999</v>
      </c>
      <c r="KN78" s="2">
        <v>0.15070480999999999</v>
      </c>
      <c r="KO78" s="2">
        <v>1.6096092299999998</v>
      </c>
      <c r="KP78" s="2">
        <v>0</v>
      </c>
      <c r="KQ78" s="2">
        <v>136.5529645</v>
      </c>
      <c r="KR78" s="2">
        <v>4.3255099999999998E-2</v>
      </c>
      <c r="KS78" s="2">
        <v>0.36818326999999995</v>
      </c>
      <c r="KT78" s="2">
        <v>0.90143034999999994</v>
      </c>
      <c r="KU78" s="2">
        <v>0.12698055</v>
      </c>
      <c r="KV78" s="2">
        <v>0.55717090000000002</v>
      </c>
      <c r="KW78" s="2">
        <v>1.7068833999999997</v>
      </c>
      <c r="KX78" s="2">
        <v>0</v>
      </c>
      <c r="KY78" s="2">
        <v>7.4058250000000006E-2</v>
      </c>
      <c r="KZ78" s="2">
        <v>2.5211609699999999</v>
      </c>
      <c r="LA78" s="2">
        <v>0.9791538099999999</v>
      </c>
      <c r="LB78" s="2">
        <v>2.4684400000000001E-3</v>
      </c>
      <c r="LC78" s="2">
        <v>0.18467699000000001</v>
      </c>
      <c r="LD78" s="2">
        <v>0</v>
      </c>
      <c r="LE78" s="2">
        <v>0.22773348000000002</v>
      </c>
      <c r="LF78" s="2">
        <v>0.17527447000000002</v>
      </c>
      <c r="LG78" s="2">
        <v>20.510318979999997</v>
      </c>
      <c r="LH78" s="2">
        <v>4.4899481699999999</v>
      </c>
      <c r="LI78" s="2">
        <v>3.3907665700000003</v>
      </c>
      <c r="LJ78" s="2">
        <v>1.3851900000000001E-3</v>
      </c>
      <c r="LK78" s="2">
        <v>4.0152229999999998</v>
      </c>
      <c r="LL78" s="2">
        <v>4.2310140299999999</v>
      </c>
      <c r="LM78" s="2">
        <v>2.7502495700000003</v>
      </c>
      <c r="LN78" s="2">
        <v>0.11493397</v>
      </c>
      <c r="LO78" s="2">
        <v>11.242025369999999</v>
      </c>
      <c r="LQ78" s="85">
        <f t="shared" si="247"/>
        <v>4998.8634144999996</v>
      </c>
      <c r="LR78" s="85">
        <f t="shared" si="248"/>
        <v>1.5988605899999999</v>
      </c>
      <c r="LS78" s="85">
        <f t="shared" si="249"/>
        <v>21.707587799999999</v>
      </c>
      <c r="LT78" s="85">
        <f t="shared" si="250"/>
        <v>11.179707330000001</v>
      </c>
      <c r="LU78" s="85">
        <f t="shared" si="251"/>
        <v>141.69352707000002</v>
      </c>
      <c r="LV78" s="85">
        <f t="shared" si="252"/>
        <v>2.33811255</v>
      </c>
      <c r="LW78" s="85">
        <f t="shared" si="253"/>
        <v>0.98162224999999992</v>
      </c>
      <c r="LX78" s="85">
        <f t="shared" si="254"/>
        <v>0.40300795</v>
      </c>
      <c r="LZ78" s="131">
        <v>115.63</v>
      </c>
      <c r="MA78" s="171">
        <v>115.14</v>
      </c>
      <c r="MB78"/>
      <c r="MC78"/>
      <c r="MD78"/>
      <c r="MF78"/>
      <c r="MG78"/>
      <c r="MH78" s="83">
        <v>190.09</v>
      </c>
      <c r="MI78" s="83">
        <v>56.83</v>
      </c>
      <c r="MJ78" s="83">
        <v>51.18</v>
      </c>
      <c r="MK78"/>
      <c r="ML78" s="83">
        <v>53.57</v>
      </c>
      <c r="MM78" s="83">
        <v>172.2</v>
      </c>
      <c r="MN78" s="83"/>
      <c r="MO78" s="83">
        <v>74.08</v>
      </c>
      <c r="MP78" s="83">
        <v>151.16999999999999</v>
      </c>
      <c r="MQ78" s="83">
        <v>166</v>
      </c>
      <c r="MR78"/>
      <c r="MT78" s="83"/>
      <c r="MU78" s="83">
        <v>63.62</v>
      </c>
      <c r="MV78"/>
      <c r="MW78"/>
      <c r="MX78"/>
      <c r="MY78" s="83">
        <v>211.81</v>
      </c>
      <c r="MZ78" s="83">
        <v>582</v>
      </c>
      <c r="NA78" s="83">
        <v>199.69</v>
      </c>
      <c r="NB78" s="83">
        <v>672.89</v>
      </c>
      <c r="NC78" s="83">
        <v>93.73</v>
      </c>
      <c r="ND78" s="1">
        <v>919</v>
      </c>
      <c r="NE78" s="1">
        <v>494.21</v>
      </c>
    </row>
    <row r="79" spans="1:369">
      <c r="A79" s="38">
        <f t="shared" si="334"/>
        <v>44470</v>
      </c>
      <c r="B79" s="36">
        <f t="shared" si="313"/>
        <v>10</v>
      </c>
      <c r="C79" s="36">
        <f t="shared" si="314"/>
        <v>2021</v>
      </c>
      <c r="D79" s="36">
        <f t="shared" si="347"/>
        <v>79</v>
      </c>
      <c r="E79" s="38">
        <f t="shared" si="335"/>
        <v>44470</v>
      </c>
      <c r="F79" s="7">
        <v>101.52</v>
      </c>
      <c r="G79" s="7">
        <v>547.1</v>
      </c>
      <c r="H79" s="1">
        <f>[2]NACIONALES!$D67</f>
        <v>51660</v>
      </c>
      <c r="I79" s="7">
        <v>88</v>
      </c>
      <c r="J79" s="7">
        <v>780</v>
      </c>
      <c r="K79" s="7">
        <v>8.8000000000000007</v>
      </c>
      <c r="L79" s="7">
        <v>26.3</v>
      </c>
      <c r="N79" s="5">
        <v>1.8360000000000001</v>
      </c>
      <c r="O79" s="5">
        <v>1.6819999999999999</v>
      </c>
      <c r="P79" s="78">
        <f t="shared" si="294"/>
        <v>169.64499599999999</v>
      </c>
      <c r="Q79" s="6">
        <v>2550</v>
      </c>
      <c r="R79" s="79">
        <f t="shared" si="336"/>
        <v>25500</v>
      </c>
      <c r="S79">
        <v>220</v>
      </c>
      <c r="T79" s="6">
        <v>470.35</v>
      </c>
      <c r="U79" s="143">
        <v>190.95789473684209</v>
      </c>
      <c r="V79" s="6">
        <v>318.54210526315791</v>
      </c>
      <c r="W79" s="6">
        <f>(239*0.88)-10</f>
        <v>200.32</v>
      </c>
      <c r="X79" s="6">
        <v>244.16315789473683</v>
      </c>
      <c r="Y79" s="79">
        <f t="shared" si="337"/>
        <v>22334.399999999998</v>
      </c>
      <c r="Z79" s="79">
        <f t="shared" si="338"/>
        <v>47749.932000000001</v>
      </c>
      <c r="AA79" s="79">
        <f t="shared" si="339"/>
        <v>19386.045473684208</v>
      </c>
      <c r="AB79" s="79">
        <f t="shared" si="340"/>
        <v>32338.394526315791</v>
      </c>
      <c r="AC79" s="79">
        <f t="shared" si="341"/>
        <v>20336.486399999998</v>
      </c>
      <c r="AD79" s="79">
        <f t="shared" si="342"/>
        <v>24787.44378947368</v>
      </c>
      <c r="AE79" s="79">
        <f t="shared" si="343"/>
        <v>27822.117031578942</v>
      </c>
      <c r="AF79" s="1">
        <v>72284.526315789481</v>
      </c>
      <c r="AG79" s="1">
        <f>+AG78</f>
        <v>29700</v>
      </c>
      <c r="AH79" s="82">
        <f>+AH78</f>
        <v>112860</v>
      </c>
      <c r="AI79" s="5">
        <v>40.869999999999997</v>
      </c>
      <c r="AJ79" s="5">
        <v>23</v>
      </c>
      <c r="AK79" s="5">
        <v>34.33</v>
      </c>
      <c r="AL79" s="5">
        <v>27.14</v>
      </c>
      <c r="AM79" s="78">
        <f t="shared" si="344"/>
        <v>35.159599999999998</v>
      </c>
      <c r="AN79" s="7">
        <v>1922.489247311828</v>
      </c>
      <c r="AO79" s="7">
        <v>1398.15</v>
      </c>
      <c r="AP79" s="78">
        <f t="shared" si="277"/>
        <v>1398.15</v>
      </c>
      <c r="AQ79" s="7">
        <v>534.94968553459114</v>
      </c>
      <c r="AR79" s="7">
        <v>724.60000000000014</v>
      </c>
      <c r="AS79" s="7">
        <v>638.08247422680415</v>
      </c>
      <c r="AT79" s="7">
        <v>759.18500000000006</v>
      </c>
      <c r="AU79" s="78">
        <f t="shared" si="348"/>
        <v>707.28915807560145</v>
      </c>
      <c r="AV79" s="7">
        <v>403.09090909090907</v>
      </c>
      <c r="AW79" s="7">
        <v>1588.75</v>
      </c>
      <c r="AX79" s="7">
        <v>417.80500000000001</v>
      </c>
      <c r="AY79" s="7">
        <v>1679.3682170542636</v>
      </c>
      <c r="AZ79" s="7">
        <v>384.38</v>
      </c>
      <c r="BA79" s="7">
        <v>947.4666666666667</v>
      </c>
      <c r="BB79" s="94">
        <f t="shared" si="345"/>
        <v>914.58131029285107</v>
      </c>
      <c r="BC79" s="68">
        <v>4492</v>
      </c>
      <c r="BD79" s="166">
        <v>2426</v>
      </c>
      <c r="BE79" s="7">
        <v>3000</v>
      </c>
      <c r="BF79" s="7">
        <v>1500</v>
      </c>
      <c r="BG79" s="94">
        <f t="shared" si="349"/>
        <v>2854.5</v>
      </c>
      <c r="BH79" s="7">
        <v>191.89</v>
      </c>
      <c r="BI79" s="7">
        <f>+BI78</f>
        <v>85</v>
      </c>
      <c r="BJ79" s="78">
        <f t="shared" si="350"/>
        <v>276.89</v>
      </c>
      <c r="BK79" s="7">
        <v>188.69300000000001</v>
      </c>
      <c r="BL79" s="7">
        <v>263.55</v>
      </c>
      <c r="BM79" s="94">
        <f t="shared" si="351"/>
        <v>226.12150000000003</v>
      </c>
      <c r="BN79" s="5">
        <v>33.270000000000003</v>
      </c>
      <c r="BO79" s="84">
        <v>151.07</v>
      </c>
      <c r="BP79">
        <v>72.91</v>
      </c>
      <c r="BQ79" s="94">
        <f t="shared" si="346"/>
        <v>143.25399999999999</v>
      </c>
      <c r="BR79" s="7">
        <v>134.58000000000001</v>
      </c>
      <c r="BS79" s="97">
        <v>450</v>
      </c>
      <c r="BT79" s="7">
        <f>+F79*1.06</f>
        <v>107.6112</v>
      </c>
      <c r="BU79" s="79">
        <f t="shared" si="237"/>
        <v>5722.8335999999999</v>
      </c>
      <c r="BV79" s="93">
        <v>282.5</v>
      </c>
      <c r="BW79" s="93">
        <v>325</v>
      </c>
      <c r="BY79" s="92">
        <f>BY$10*(1+((H79/H$10-1)*costos!$B$5+((I79*F79)/(I$10*F$10)-1)*costos!$E$5+((J79*F79)/((J$10*F$10)-1)*costos!$F$5/3+((K79*F79)/(K$10*F$10)-1)*costos!$F$5/3+((U79*F79)/(U$10*F$10)-1)*costos!$F$5/3+((L79*F79)/(L$10*F$10)-1)*costos!$G$5+((N79*F79)/(N$10*F$10)-1)*costos!$J$5+((V79*F79)/(V$10*F$10)-1)*costos!$K$5)))</f>
        <v>1028.7232182422733</v>
      </c>
      <c r="BZ79" s="92">
        <f>$BZ$10*(1+((H79/$H$10-1)*costos!$B$6+((I79*F79)/($I$10*$F$10)-1)*costos!$E$6+((J79*F79)/(($J$10*$F$10)-1)*costos!$F$6/3+((K79*F79)/($K$10*$F$10)-1)*costos!$F$6/3+((U79*F79)/($U$10*$F$10)-1)*costos!$F$6/3+((L79*F79)/($L$10*$F$10)-1)*costos!$G$6+((Q79*F79)/($Q$10*$F$10)-1)*costos!$J$6+((V79*F79)/($V$10*$F$10)-1)*costos!$K$6)))</f>
        <v>859.18414948453062</v>
      </c>
      <c r="CA79" s="92">
        <f>CA$10*(1+((H79/H$10-1)*costos!$B$7+((I79*F79)/(I$10*F$10)-1)*costos!$E$7+((J79*F79)/((J$10*F$10)-1)*costos!$F$7/3+((K79*F79)/(K$10*F$10)-1)*costos!$F$7/3+((U79*F79)/(U$10*F$10)-1)*costos!$F$7/3+((L79*F79)/(L$10*F$10)-1)*costos!$G$7+((S79*F79)/(S$10*F$10)-1)*costos!$J$7+((V79*F79)/(V$10*F$10)-1)*costos!$K$7)))</f>
        <v>1017.5244212993114</v>
      </c>
      <c r="CB79" s="92">
        <f>CB$10*(1+((H79/H$10-1)*costos!$B$8+((I79*F79)/(I$10*F$10)-1)*costos!$E$8+((J79*F79)/((J$10*F$10)-1)*costos!$F$8/3+((K79*F79)/(K$10*F$10)-1)*costos!$F$8/3+((U79*F79)/(U$10*F$10)-1)*costos!$F$8/3+((L79*F79)/(L$10*F$10)-1)*costos!$G$8+((T79*F79)/(T$10*F$10)-1)*costos!$J$8+((V79*F79)/(V$10*F$10)-1)*costos!$K$8)))</f>
        <v>1023.5187301167374</v>
      </c>
      <c r="CC79" s="92">
        <f>CC$10*(1+((H79/H$10-1)*costos!$B$9+((I79*F79)/(I$10*F$10)-1)*costos!$E$9+((J79*F79)/((J$10*F$10)-1)*costos!$F$9/3+((K79*F79)/(K$10*F$10)-1)*costos!$F$9/3+((U79*F79)/(U$10*F$10)-1)*costos!$F$9/3+((L79*F79)/(L$10*F$10)-1)*costos!$G$9+((U79*F79)/(U$10*F$10)-1)*costos!$J$9+((V79*F79)/(V$10*F$10)-1)*costos!$K$9)))</f>
        <v>944.42718393164921</v>
      </c>
      <c r="CD79" s="92">
        <f>CD$10*(1+((H79/H$10-1)*costos!$B$11+((I79*F79)/(I$10*F$10)-1)*costos!$E$11+((J79*F79)/((J$10*F$10)-1)*costos!$F$11/3+((K79*F79)/(K$10*F$10)-1)*costos!$F$11/3+((U79*F79)/(U$10*F$10)-1)*costos!$F$11/3+((L79*F79)/(L$10*F$10)-1)*costos!$G$11+((V79*F79)/(V$10*F$10)-1)*costos!$J$11+((V79*F79)/(V$10*F$10)-1)*costos!$K$11)))</f>
        <v>995.4204198005533</v>
      </c>
      <c r="CE79" s="92">
        <f>CE$10*(1+((H79/H$10-1)*costos!$B$12+((I79*F79)/(I$10*F$10)-1)*costos!$E$12+((J79*F79)/((J$10*F$10)-1)*costos!$F$12/3+((K79*F79)/(K$10*F$10)-1)*costos!$F$12/3+((U79*F79)/(U$10*F$10)-1)*costos!$F$12/3+((L79*F79)/(L$10*F$10)-1)*costos!$G$12+((W79*F79)/(W$10*F$10)-1)*costos!$J$12+((V79*F79)/(V$10*F$10)-1)*costos!$K$12)))</f>
        <v>941.04971187712567</v>
      </c>
      <c r="CF79" s="92">
        <f>CF$10*(1+((H79/H$10-1)*costos!$B$13+((I79*F79)/(I$10*F$10)-1)*costos!$E$13+((J79*F79)/((J$10*F$10)-1)*costos!$F$13/3+((K79*F79)/(K$10*F$10)-1)*costos!$F$13/3+((U79*F79)/(U$10*F$10)-1)*costos!$F$13/3+((L79*F79)/(L$10*F$10)-1)*costos!$G$13+((X79*F79)/(X$10*F$10)-1)*costos!$J$13+((V79*F79)/(V$10*F$10)-1)*costos!$K$13)))</f>
        <v>1037.4199599757385</v>
      </c>
      <c r="CG79" s="92">
        <f t="shared" ref="CG79:CG87" si="361">+AVERAGE(CA79:CF79)</f>
        <v>993.22673783351922</v>
      </c>
      <c r="CH79" s="92">
        <f>CH$10*(1+((H79/H$10-1)*costos!$B$10+((I79*F79)/(I$10*F$10)-1)*costos!$E$10+((J79*F79)/((J$10*F$10)-1)*costos!$F$10/3+((K79*F79)/(K$10*F$10)-1)*costos!$F$10/3+((U79*F79)/(U$10*F$10)-1)*costos!$F$10/3+((L79*F79)/(L$10*F$10)-1)*costos!$G$10+((AF79)/(AF$10)-1)*costos!$J$10+((V79*F79)/(V$10*F$10)-1)*costos!$K$10)))</f>
        <v>1032.9562122754303</v>
      </c>
      <c r="CI79" s="92">
        <f>CI$10*(1+((H79/H$10-1)*costos!$B$15+((I79*F79)/(I$10*F$10)-1)*costos!$E$15+((J79*F79)/((J$10*F$10)-1)*costos!$F$15/3+((K79*F79)/(K$10*F$10)-1)*costos!$F$15/3+((U79*F79)/(U$10*F$10)-1)*costos!$F$15/3+((L79*F79)/(L$10*F$10)-1)*costos!$G$15+((AV79)/(AV$10)-1)*costos!$J$15+((V79*F79)/(V$10*F$10)-1)*costos!$K$15)))</f>
        <v>974.10030636571423</v>
      </c>
      <c r="CJ79" s="92">
        <f>CJ$10*(1+((H79/H$10-1)*costos!$B$16+((I79*F79)/(I$10*F$10)-1)*costos!$E$16+((J79*F79)/((J$10*F$10)-1)*costos!$F$16/3+((K79*F79)/(K$10*F$10)-1)*costos!$F$16/3+((U79*F79)/(U$10*F$10)-1)*costos!$F$16/3+((L79*F79)/(L$10*F$10)-1)*costos!$G$16+((AW79)/(AW$10)-1)*costos!$J$16+((V79*F79)/(V$10*F$10)-1)*costos!$K$16)))</f>
        <v>801.36302393890469</v>
      </c>
      <c r="CK79" s="92">
        <f>CK$10*(1+((H79/H$10-1)*costos!$B$17+((I79*F79)/(I$10*F$10)-1)*costos!$E$17+((J79*F79)/((J$10*F$10)-1)*costos!$F$17/3+((K79*F79)/(K$10*F$10)-1)*costos!$F$17/3+((U79*F79)/(U$10*F$10)-1)*costos!$F$17/3+((L79*F79)/(L$10*F$10)-1)*costos!$G$17+((AX79)/(AX$10)-1)*costos!$J$17+((V79*F79)/(V$10*F$10)-1)*costos!$K$17)))</f>
        <v>867.12422531395282</v>
      </c>
      <c r="CL79" s="92">
        <f>CL$10*(1+((H79/H$10-1)*costos!$B$18+((I79*F79)/(I$10*F$10)-1)*costos!$E$18+((J79*F79)/((J$10*F$10)-1)*costos!$F$18/3+((K79*F79)/(K$10*F$10)-1)*costos!$F$18/3+((U79*F79)/(U$10*F$10)-1)*costos!$F$18/3+((L79*F79)/(L$10*F$10)-1)*costos!$G$18+((AY79)/(AY$10)-1)*costos!$J$18+((V79*F79)/(V$10*F$10)-1)*costos!$K$18)))</f>
        <v>1142.2441166733176</v>
      </c>
      <c r="CM79" s="92">
        <f>CM$10*(1+((H79/H$10-1)*costos!$B$19+((I79*F79)/(I$10*F$10)-1)*costos!$E$19+((J79*F79)/((J$10*F$10)-1)*costos!$F$19/3+((K79*F79)/(K$10*F$10)-1)*costos!$F$19/3+((U79*F79)/(U$10*F$10)-1)*costos!$F$19/3+((L79*F79)/(L$10*F$10)-1)*costos!$G$19+((AZ79)/(AZ$10)-1)*costos!$J$19+((V79*F79)/(V$10*F$10)-1)*costos!$K$19)))</f>
        <v>684.71071908695058</v>
      </c>
      <c r="CN79" s="92">
        <f>CN$10*(1+((H79/H$10-1)*costos!$B$20+((I79*F79)/(I$10*F$10)-1)*costos!$E$20+((J79*F79)/((J$10*F$10)-1)*costos!$F$20/3+((K79*F79)/(K$10*F$10)-1)*costos!$F$20/3+((U79*F79)/(U$10*F$10)-1)*costos!$F$20/3+((L79*F79)/(L$10*F$10)-1)*costos!$G$20+((BA79)/(BA$10)-1)*costos!$J$20+((V79*F79)/(V$10*F$10)-1)*costos!$K$20)))</f>
        <v>867.6652563198079</v>
      </c>
      <c r="CO79" s="92">
        <f t="shared" ref="CO79:CO87" si="362">+AVERAGE(CK79:CN79)</f>
        <v>890.43607934850729</v>
      </c>
      <c r="CP79" s="92">
        <f>CP$10*(1+((H79/H$10-1)*costos!$B$22+((I79*F79)/(I$10*F$10)-1)*costos!$E$22+((J79*F79)/((J$10*F$10)-1)*costos!$F$22/3+((K79*F79)/(K$10*F$10)-1)*costos!$F$22/3+((U79*F79)/(U$10*F$10)-1)*costos!$F$22/3+((L79*F79)/(L$10*F$10)-1)*costos!$G$22+(((AVERAGE(AI79:AL79))/((AVERAGE(AI$10:AL$10))-1)*costos!$J$22+((V79*F79)/(V$10*F$10)-1)*costos!$K$22)))))</f>
        <v>961.29317491561039</v>
      </c>
      <c r="CQ79" s="92">
        <f>CQ$10*(1+((H79/H$10-1)*costos!$B$23+((I79*F79)/(I$10*F$10)-1)*costos!$E$23+((J79*F79)/((J$10*F$10)-1)*costos!$F$23/3+((K79*F79)/(K$10*F$10)-1)*costos!$F$23/3+((U79*F79)/(U$10*F$10)-1)*costos!$F$23/3+((L79*F79)/(L$10*F$10)-1)*costos!$G$23+((AN79)/(AN$10)-1)*costos!$J$23+((V79*F79)/(V$10*F$10)-1)*costos!$K$23)))</f>
        <v>810.92009418474515</v>
      </c>
      <c r="CR79" s="92">
        <f>CR$10*(1+((H79/H$10-1)*costos!$B$24+((I79*F79)/(I$10*F$10)-1)*costos!$E$24+((J79*F79)/((J$10*F$10)-1)*costos!$F$24/3+((K79*F79)/(K$10*F$10)-1)*costos!$F$24/3+((U79*F79)/(U$10*F$10)-1)*costos!$F$24/3+((L79*F79)/(L$10*F$10)-1)*costos!$G$24+((AO79)/(AO$10)-1)*costos!$J$24+((V79*F79)/(V$10*F$10)-1)*costos!$K$24)))</f>
        <v>831.49312450781883</v>
      </c>
      <c r="CS79" s="92">
        <f t="shared" si="352"/>
        <v>821.20660934628199</v>
      </c>
      <c r="CT79" s="92">
        <f>CT$10*(1+((H79/H$10-1)*costos!$B$25+((I79*F79)/(I$10*F$10)-1)*costos!$E$25+((J79*F79)/((J$10*F$10)-1)*costos!$F$25/3+((K79*F79)/(K$10*F$10)-1)*costos!$F$25/3+((U79*F79)/(U$10*F$10)-1)*costos!$F$25/3+((L79*F79)/(L$10*F$10)-1)*costos!$G$25+((AQ79)/(AQ$10)-1)*costos!$J$25+((V79*F79)/(V$10*F$10)-1)*costos!$K$25)))</f>
        <v>773.46380767092171</v>
      </c>
      <c r="CU79" s="92">
        <f>CU$10*(1+((H79/H$10-1)*costos!$B$26+((I79*F79)/(I$10*F$10)-1)*costos!$E$26+((J79*F79)/((J$10*F$10)-1)*costos!$F$26/3+((K79*F79)/(K$10*F$10)-1)*costos!$F$26/3+((U79*F79)/(U$10*F$10)-1)*costos!$F$26/3+((L79*F79)/(L$10*F$10)-1)*costos!$G$26+((AR79)/(AR$10)-1)*costos!$J$26+((V79*F79)/(V$10*F$10)-1)*costos!$K$26)))</f>
        <v>856.68440962576892</v>
      </c>
      <c r="CV79" s="92">
        <f>CV$10*(1+((H79/H$10-1)*costos!$B$27+((I79*F79)/(I$10*F$10)-1)*costos!$E$27+((J79*F79)/((J$10*F$10)-1)*costos!$F$27/3+((K79*F79)/(K$10*F$10)-1)*costos!$F$27/3+((U79*F79)/(U$10*F$10)-1)*costos!$F$27/3+((L79*F79)/(L$10*F$10)-1)*costos!$G$27+((AS79)/(AS$10)-1)*costos!$J$27+((V79*F79)/(V$10*F$10)-1)*costos!$K$27)))</f>
        <v>850.03591600703623</v>
      </c>
      <c r="CW79" s="92">
        <f>CW$10*(1+((H79/H$10-1)*costos!$B$28+((I79*F79)/(I$10*F$10)-1)*costos!$E$28+((J79*F79)/((J$10*F$10)-1)*costos!$F$28/3+((K79*F79)/(K$10*F$10)-1)*costos!$F$28/3+((U79*F79)/(U$10*F$10)-1)*costos!$F$28/3+((L79*F79)/(L$10*F$10)-1)*costos!$G$28+((AS79)/(AS$10)-1)*costos!$J$28+((V79*F79)/(V$10*F$10)-1)*costos!$K$28)))</f>
        <v>850.03591600703623</v>
      </c>
      <c r="CX79" s="92">
        <f t="shared" ref="CX79:CX87" si="363">+AVERAGE(CU79:CW79)</f>
        <v>852.2520805466138</v>
      </c>
      <c r="CY79" s="92">
        <f>CY$10*(1+((H79/H$10-1)*costos!$B$32+((I79*F79)/(I$10*F$10)-1)*costos!$E$32+((J79*F79)/((J$10*F$10)-1)*costos!$F$32/3+((K79*F79)/(K$10*F$10)-1)*costos!$F$32/3+((U79*F79)/(U$10*F$10)-1)*costos!$F$32/3+((L79*F79)/(L$10*F$10)-1)*costos!$G$32+((AG79)/(AG$10)-1)*costos!$J$32+((V79*F79)/(V$10*F$10)-1)*costos!$K$32)))</f>
        <v>746.12943203159136</v>
      </c>
      <c r="CZ79" s="69">
        <f>CZ$10*(1+((H79/H$10-1)*costos!$B$31+((I79*F79)/(I$10*F$10)-1)*costos!$E$30+((J79*F79)/((J$10*F$10)-1)*costos!$F$30/3+((K79*F79)/(K$10*F$10)-1)*costos!$F$30/3+((U79*F79)/(U$10*F$10)-1)*costos!$F$30/3+((L79*F79)/(L$10*F$10)-1)*costos!$G$30+((BG79)/(BG$10)-1)*costos!$J$30+((V79*F79)/(V$10*F$10)-1)*costos!$K$30)))</f>
        <v>954.89114108354033</v>
      </c>
      <c r="DA79" s="69">
        <f>DA$10*(1+((H79/H$10-1)*costos!$B$31+((I79*F79)/(I$10*F$10)-1)*costos!$E$31+((J79*F79)/((J$10*F$10)-1)*costos!$F$31/3+((K79*F79)/(K$10*F$10)-1)*costos!$F$31/3+((U79*F79)/(U$10*F$10)-1)*costos!$F$31/3+((L79*F79)/(L$10*F$10)-1)*costos!$G$31+((BJ79)/(BJ$10)-1)*costos!$J$31+((V79*F79)/(V$10*F$10)-1)*costos!$K$31)))</f>
        <v>801.22348976177057</v>
      </c>
      <c r="DB79" s="69">
        <f>DB$10*(1+((H79/H$10-1)*costos!$B$36+((I79*F79)/(I$10*F$10)-1)*costos!$E$36+((J79*F79)/((J$10*F$10)-1)*costos!$F$36/3+((K79*F79)/(K$10*F$10)-1)*costos!$F$36/3+((U79*F79)/(U$10*F$10)-1)*costos!$F$36/3+((L79*F79)/(L$10*F$10)-1)*costos!$G$36+((BK79)/(BK$10)-1)*costos!$J$36+((V79*F79)/(V$10*F$10)-1)*costos!$K$36)))</f>
        <v>920.11487476827403</v>
      </c>
      <c r="DC79" s="69">
        <f>DC$10*(1+((H79/H$10-1)*costos!$B$37+((I79*F79)/(I$10*F$10)-1)*costos!$E$37+((U79*F79)/(U$10*F$10)-1)*costos!$F$37+((L79*F79)/(L$10*F$10)-1)*costos!$G$37+((BN79)/(BN$10)-1)*costos!$J$37+((V79*F79)/(V$10*F$10)-1)*costos!$K$37))</f>
        <v>884.13741160588768</v>
      </c>
      <c r="DD79" s="69">
        <f>DD$10*(1+((H79/H$10-1)*costos!$B$39+((I79*F79)/(I$10*F$10)-1)*costos!$E$39+((U79*F79)/(U$10*F$10)-1)*costos!$F$39+((L79*F79)/(L$10*F$10)-1)*costos!$G$39+((BR79)/(BR$10)-1)*costos!$J$39+((V79*F79)/(V$10*F$10)-1)*costos!$K$39))</f>
        <v>871.81822734426646</v>
      </c>
      <c r="DE79" s="69">
        <f>DD$10*(1+((H79/H$10-1)*costos!$B$35+((I79*F79)/(I$10*F$10)-1)*costos!$E$35+((U79*F79)/(U$10*F$10)-1)*costos!$F$35+((L79*F79)/(L$10*F$10)-1)*costos!$G$35+((BR79)/(BR$10)-1)*costos!$J$35+((V79*F79)/(V$10*F$10)-1)*costos!$K$35))</f>
        <v>791.7949743606207</v>
      </c>
      <c r="DF79" s="69">
        <f>DF$10*(1+((H79/H$10-1)*costos!$B$40+((I79*F79)/(I$10*F$10)-1)*costos!$E$40+((U79*F79)/(U$10*F$10)-1)*costos!$F$40+((L79*F79)/(L$10*F$10)-1)*costos!$G$40+((BP79)/(BP$10)-1)*costos!$J$40+((V79*F79)/(V$10*F$10)-1)*costos!$K$40))</f>
        <v>892.60872838746332</v>
      </c>
      <c r="DG79" s="92">
        <f t="shared" ref="DG79:DG87" si="364">+((DE79/$DE$10)*100+DF79)/2</f>
        <v>842.20185137404201</v>
      </c>
      <c r="DH79" s="69">
        <f>DH$10*(1+((H79/H$10-1)*costos!$B$34+((I79*F79)/(I$10*F$10)-1)*costos!$E$34+((J79*F79)/((J$10*F$10)-1)*costos!$F$34/3+((K79*F79)/(K$10*F$10)-1)*costos!$F$34/3+((U79*F79)/(U$10*F$10)-1)*costos!$F$34/3+((L79*F79)/(L$10*F$10)-1)*costos!$G$34+((BV79)/(BV$10)-1)*costos!$J$34+((V79*F79)/(V$10*F$10)-1)*costos!$K$34)))</f>
        <v>887.60895575660686</v>
      </c>
      <c r="DI79" s="69">
        <f>DI$10*(1+((H79/H$10-1)*costos!$B$38+((I79*F79)/(I$10*F$10)-1)*costos!$E$38+((J79*F79)/((J$10*F$10)-1)*costos!$F$38/3+((K79*F79)/(K$10*F$10)-1)*costos!$F$38/3+((U79*F79)/(U$10*F$10)-1)*costos!$F$38/3+((L79*F79)/(L$10*F$10)-1)*costos!$G$38+((BU79)/(BU$10)-1)*costos!$J$38+((V79*F79)/(V$10*F$10)-1)*costos!$K$38)))</f>
        <v>768.80724262389197</v>
      </c>
      <c r="DK79" s="1">
        <v>500000</v>
      </c>
      <c r="DL79" s="1" t="s">
        <v>389</v>
      </c>
      <c r="DM79" s="1">
        <v>200000</v>
      </c>
      <c r="DN79" s="1" t="s">
        <v>377</v>
      </c>
      <c r="DO79" s="1">
        <v>1350000</v>
      </c>
      <c r="DP79" s="1" t="s">
        <v>389</v>
      </c>
      <c r="DQ79" s="1">
        <v>1800000</v>
      </c>
      <c r="DR79" s="1" t="s">
        <v>389</v>
      </c>
      <c r="DS79" s="1">
        <v>7100000</v>
      </c>
      <c r="DT79" s="1" t="s">
        <v>389</v>
      </c>
      <c r="DU79" s="1">
        <v>16300000</v>
      </c>
      <c r="DV79" s="1" t="s">
        <v>389</v>
      </c>
      <c r="DW79" s="1">
        <v>1000000</v>
      </c>
      <c r="DX79" s="1" t="s">
        <v>389</v>
      </c>
      <c r="DY79" s="1">
        <v>6900000</v>
      </c>
      <c r="DZ79" s="1" t="s">
        <v>389</v>
      </c>
      <c r="EA79" s="79">
        <f t="shared" si="353"/>
        <v>34450000</v>
      </c>
      <c r="EB79" s="1">
        <v>395000</v>
      </c>
      <c r="EC79" s="1" t="s">
        <v>389</v>
      </c>
      <c r="ED79" s="1">
        <v>191392</v>
      </c>
      <c r="EE79" s="143">
        <v>2021</v>
      </c>
      <c r="EF79" s="1">
        <v>211099</v>
      </c>
      <c r="EG79" s="6">
        <v>2021</v>
      </c>
      <c r="EH79" s="1">
        <v>53517534</v>
      </c>
      <c r="EI79" s="6">
        <v>2021</v>
      </c>
      <c r="EJ79" s="1">
        <v>5350999</v>
      </c>
      <c r="EK79" s="6">
        <v>2021</v>
      </c>
      <c r="EL79" s="1">
        <v>14571766</v>
      </c>
      <c r="EM79" s="6">
        <v>2020</v>
      </c>
      <c r="EN79" s="1">
        <v>3132657</v>
      </c>
      <c r="EO79" s="6">
        <v>2020</v>
      </c>
      <c r="EP79" s="82">
        <f t="shared" si="315"/>
        <v>6552</v>
      </c>
      <c r="EQ79" s="83">
        <v>3500000</v>
      </c>
      <c r="ER79" s="1">
        <f t="shared" si="189"/>
        <v>76133.333333333328</v>
      </c>
      <c r="ES79" s="1"/>
      <c r="ET79" s="83">
        <f t="shared" si="316"/>
        <v>16000</v>
      </c>
      <c r="EU79" s="83">
        <f t="shared" si="316"/>
        <v>19131</v>
      </c>
      <c r="EV79" s="83">
        <f t="shared" si="316"/>
        <v>9000</v>
      </c>
      <c r="EW79" s="83">
        <f t="shared" si="316"/>
        <v>17492</v>
      </c>
      <c r="EX79" s="79">
        <f>+SUM(ET79:EW79)</f>
        <v>61623</v>
      </c>
      <c r="EY79" s="83">
        <f t="shared" si="317"/>
        <v>19904</v>
      </c>
      <c r="EZ79" s="82">
        <f t="shared" si="317"/>
        <v>80798</v>
      </c>
      <c r="FA79" s="83">
        <f t="shared" si="331"/>
        <v>20331</v>
      </c>
      <c r="FB79" s="83">
        <f t="shared" si="332"/>
        <v>17550</v>
      </c>
      <c r="FC79" s="79">
        <f t="shared" si="307"/>
        <v>37881</v>
      </c>
      <c r="FD79" s="83">
        <f t="shared" si="158"/>
        <v>59807.5</v>
      </c>
      <c r="FE79" s="1"/>
      <c r="FF79" s="1">
        <v>1050000</v>
      </c>
      <c r="FG79" s="1" t="s">
        <v>377</v>
      </c>
      <c r="FH79" s="1">
        <v>1400000</v>
      </c>
      <c r="FI79" s="1" t="s">
        <v>377</v>
      </c>
      <c r="FJ79" s="1">
        <v>4500000</v>
      </c>
      <c r="FK79" s="1" t="s">
        <v>377</v>
      </c>
      <c r="FL79" s="1">
        <v>3400000</v>
      </c>
      <c r="FM79" s="1" t="s">
        <v>377</v>
      </c>
      <c r="FN79" s="1">
        <v>55000000</v>
      </c>
      <c r="FO79" s="1" t="s">
        <v>389</v>
      </c>
      <c r="FP79" s="1">
        <v>46000000</v>
      </c>
      <c r="FQ79" s="1" t="s">
        <v>377</v>
      </c>
      <c r="FR79" s="1">
        <v>3300000</v>
      </c>
      <c r="FS79" s="1" t="s">
        <v>377</v>
      </c>
      <c r="FT79" s="1">
        <v>17645000</v>
      </c>
      <c r="FU79" s="1" t="s">
        <v>377</v>
      </c>
      <c r="FV79" s="79">
        <f t="shared" si="355"/>
        <v>129845000</v>
      </c>
      <c r="FW79" s="1">
        <v>1280000</v>
      </c>
      <c r="FX79" s="1" t="s">
        <v>377</v>
      </c>
      <c r="FY79" s="1">
        <v>27</v>
      </c>
      <c r="FZ79" s="79">
        <f t="shared" si="135"/>
        <v>882778.84</v>
      </c>
      <c r="GA79" s="86" t="str">
        <f t="shared" si="271"/>
        <v>nov20 oct21</v>
      </c>
      <c r="GB79" s="83">
        <v>22248266</v>
      </c>
      <c r="GC79" s="6">
        <v>2021</v>
      </c>
      <c r="GD79" s="83">
        <f t="shared" si="318"/>
        <v>2015989</v>
      </c>
      <c r="GE79" s="83">
        <f t="shared" si="318"/>
        <v>421371</v>
      </c>
      <c r="GF79" s="83">
        <v>1038163</v>
      </c>
      <c r="GG79" s="83">
        <f t="shared" si="268"/>
        <v>89478</v>
      </c>
      <c r="GH79" s="79">
        <f t="shared" si="240"/>
        <v>1549012</v>
      </c>
      <c r="GI79" s="82">
        <f t="shared" si="356"/>
        <v>1302556</v>
      </c>
      <c r="GJ79" s="83">
        <f t="shared" si="215"/>
        <v>600000</v>
      </c>
      <c r="GK79" s="83">
        <f t="shared" si="216"/>
        <v>1362000</v>
      </c>
      <c r="GL79" s="83">
        <f t="shared" si="217"/>
        <v>300000</v>
      </c>
      <c r="GM79" s="83">
        <f t="shared" si="218"/>
        <v>261011.3</v>
      </c>
      <c r="GN79" s="79">
        <f t="shared" si="357"/>
        <v>2523011.2999999998</v>
      </c>
      <c r="GO79" s="83">
        <f t="shared" si="291"/>
        <v>199477</v>
      </c>
      <c r="GP79" s="83">
        <f t="shared" si="291"/>
        <v>72919</v>
      </c>
      <c r="GQ79" s="83">
        <v>47334</v>
      </c>
      <c r="GR79" s="83">
        <v>42288</v>
      </c>
      <c r="GS79" s="79">
        <f t="shared" si="192"/>
        <v>43708.02</v>
      </c>
      <c r="GT79" s="83">
        <f t="shared" si="333"/>
        <v>2871705.88</v>
      </c>
      <c r="GU79" s="1">
        <v>18110</v>
      </c>
      <c r="GV79" s="1">
        <v>35027</v>
      </c>
      <c r="GW79" s="79">
        <f t="shared" si="261"/>
        <v>1077075</v>
      </c>
      <c r="GX79" s="1">
        <v>37480.696000000004</v>
      </c>
      <c r="GY79" s="1" t="s">
        <v>385</v>
      </c>
      <c r="GZ79" s="1">
        <v>97886.411999999997</v>
      </c>
      <c r="HA79" s="1">
        <v>246080</v>
      </c>
      <c r="HB79" s="79">
        <f t="shared" si="241"/>
        <v>2982191</v>
      </c>
      <c r="HC79" s="86" t="str">
        <f t="shared" si="272"/>
        <v>nov20 oct21</v>
      </c>
      <c r="HD79" s="1">
        <v>54640.323649999991</v>
      </c>
      <c r="HE79" s="79">
        <f t="shared" si="139"/>
        <v>685015.95449000027</v>
      </c>
      <c r="HF79" s="86" t="str">
        <f t="shared" si="273"/>
        <v>nov20 oct21</v>
      </c>
      <c r="HG79" s="1">
        <v>186648</v>
      </c>
      <c r="HH79" s="79">
        <f t="shared" si="242"/>
        <v>2236259</v>
      </c>
      <c r="HI79" s="86" t="str">
        <f t="shared" si="274"/>
        <v>nov20 oct21</v>
      </c>
      <c r="HJ79" s="1">
        <v>97298</v>
      </c>
      <c r="HK79" s="79">
        <f t="shared" si="278"/>
        <v>62296.68</v>
      </c>
      <c r="HL79" s="86" t="str">
        <f t="shared" si="275"/>
        <v>nov20 oct21</v>
      </c>
      <c r="HM79" s="79">
        <f t="shared" si="358"/>
        <v>2298555.6800000002</v>
      </c>
      <c r="HN79" s="87">
        <f t="shared" si="297"/>
        <v>3.4429890659747997E-2</v>
      </c>
      <c r="HO79" s="1">
        <v>1116356738</v>
      </c>
      <c r="HP79" s="79">
        <f t="shared" si="153"/>
        <v>11471.650713861891</v>
      </c>
      <c r="HQ79" s="86" t="str">
        <f t="shared" si="276"/>
        <v>nov20 oct21</v>
      </c>
      <c r="HR79" s="1"/>
      <c r="HS79" s="1"/>
      <c r="HT79" s="1"/>
      <c r="HU79" s="1">
        <v>700000</v>
      </c>
      <c r="HV79" s="1" t="s">
        <v>377</v>
      </c>
      <c r="HW79" s="1">
        <v>1510000</v>
      </c>
      <c r="HX79" s="1" t="s">
        <v>389</v>
      </c>
      <c r="HY79" s="1">
        <v>3190000</v>
      </c>
      <c r="HZ79" s="1" t="s">
        <v>377</v>
      </c>
      <c r="IA79" s="1">
        <f t="shared" si="319"/>
        <v>21410000</v>
      </c>
      <c r="IB79" s="1" t="s">
        <v>377</v>
      </c>
      <c r="IC79" s="1">
        <v>45150000</v>
      </c>
      <c r="ID79" s="1" t="s">
        <v>377</v>
      </c>
      <c r="IE79" s="1">
        <v>1100000</v>
      </c>
      <c r="IF79" s="1" t="s">
        <v>377</v>
      </c>
      <c r="IG79" s="1">
        <f t="shared" si="320"/>
        <v>7200000</v>
      </c>
      <c r="IH79" s="1" t="s">
        <v>389</v>
      </c>
      <c r="II79" s="79">
        <f t="shared" si="359"/>
        <v>79560000</v>
      </c>
      <c r="IJ79" s="97">
        <f t="shared" si="308"/>
        <v>1.9040737312717446</v>
      </c>
      <c r="IK79" s="1" t="s">
        <v>377</v>
      </c>
      <c r="IL79" s="7">
        <v>43.62</v>
      </c>
      <c r="IM79" s="7">
        <v>48.8</v>
      </c>
      <c r="IN79" s="97">
        <v>189</v>
      </c>
      <c r="IO79" s="7">
        <v>15.52</v>
      </c>
      <c r="IP79" s="176">
        <f t="shared" si="321"/>
        <v>6.0901675410995511</v>
      </c>
      <c r="IQ79" s="7">
        <v>18.2</v>
      </c>
      <c r="IR79" s="98">
        <f t="shared" si="322"/>
        <v>5.93</v>
      </c>
      <c r="IS79" s="98">
        <f t="shared" si="322"/>
        <v>5.67</v>
      </c>
      <c r="IT79" s="98">
        <f t="shared" si="322"/>
        <v>13.17</v>
      </c>
      <c r="IU79" s="98">
        <f t="shared" si="322"/>
        <v>1.55</v>
      </c>
      <c r="IV79" s="94">
        <f t="shared" si="360"/>
        <v>20.39</v>
      </c>
      <c r="IW79" s="1"/>
      <c r="IX79" s="1"/>
      <c r="IY79" s="105">
        <v>1.86</v>
      </c>
      <c r="IZ79" s="161">
        <v>0.3</v>
      </c>
      <c r="JA79" s="83">
        <v>2813</v>
      </c>
      <c r="JB79" s="7">
        <v>44.08</v>
      </c>
      <c r="JC79" s="1"/>
      <c r="JD79" s="1"/>
      <c r="JF79" s="2">
        <v>16.934461240000001</v>
      </c>
      <c r="JG79" s="2">
        <v>40.137181029999994</v>
      </c>
      <c r="JH79" s="2">
        <v>33.16483685</v>
      </c>
      <c r="JI79" s="2">
        <v>77.278852499999999</v>
      </c>
      <c r="JJ79" s="2">
        <v>1062.8656648200001</v>
      </c>
      <c r="JK79" s="2">
        <v>93.310893970000009</v>
      </c>
      <c r="JL79" s="2">
        <v>2819.2204159899998</v>
      </c>
      <c r="JM79" s="2">
        <v>85.693349120000008</v>
      </c>
      <c r="JN79" s="2">
        <v>210.39703749999995</v>
      </c>
      <c r="JO79" s="2">
        <v>27.152497830000001</v>
      </c>
      <c r="JP79" s="2">
        <v>0</v>
      </c>
      <c r="JQ79" s="2">
        <v>0.1157036</v>
      </c>
      <c r="JR79" s="2">
        <v>1.5405922400000001</v>
      </c>
      <c r="JS79" s="2">
        <v>0</v>
      </c>
      <c r="JT79" s="2">
        <v>2.0865000000000002E-2</v>
      </c>
      <c r="JU79" s="2">
        <v>102.75041211000001</v>
      </c>
      <c r="JV79" s="2">
        <v>6.9118383200000002</v>
      </c>
      <c r="JW79" s="2">
        <v>8.0638578900000013</v>
      </c>
      <c r="JX79" s="2">
        <v>14.24713382</v>
      </c>
      <c r="JY79" s="2">
        <v>0</v>
      </c>
      <c r="JZ79" s="2">
        <v>5.7992805399999998</v>
      </c>
      <c r="KA79" s="2">
        <v>0.84119321000000002</v>
      </c>
      <c r="KB79" s="2">
        <v>40.723061620000003</v>
      </c>
      <c r="KC79" s="2">
        <v>48.34611907</v>
      </c>
      <c r="KD79" s="2">
        <v>9.2726552600000023</v>
      </c>
      <c r="KE79" s="2">
        <v>13.0330052</v>
      </c>
      <c r="KF79" s="2">
        <v>40.480088059999993</v>
      </c>
      <c r="KG79" s="2">
        <v>365.58654654999992</v>
      </c>
      <c r="KH79" s="2">
        <v>132.7623127</v>
      </c>
      <c r="KI79" s="2">
        <v>16.804192950000001</v>
      </c>
      <c r="KJ79" s="2">
        <v>1.2992627199999998</v>
      </c>
      <c r="KK79" s="172">
        <v>7.1918054500000013</v>
      </c>
      <c r="KL79" s="172">
        <v>0.27300023000000001</v>
      </c>
      <c r="KM79" s="172">
        <v>3.4667927900000004</v>
      </c>
      <c r="KN79" s="172">
        <v>0.13726192999999998</v>
      </c>
      <c r="KO79" s="172">
        <v>5.0954181900000002</v>
      </c>
      <c r="KP79" s="172">
        <v>4.7758720000000005E-2</v>
      </c>
      <c r="KQ79" s="172">
        <v>142.80964357999997</v>
      </c>
      <c r="KR79" s="172">
        <v>0.11704147999999999</v>
      </c>
      <c r="KS79" s="172">
        <v>0.14634162000000001</v>
      </c>
      <c r="KT79" s="172">
        <v>0.87010926999999993</v>
      </c>
      <c r="KU79" s="172">
        <v>7.5055029999999995E-2</v>
      </c>
      <c r="KV79" s="172">
        <v>0.53962951999999997</v>
      </c>
      <c r="KW79" s="172">
        <v>2.07458784</v>
      </c>
      <c r="KX79" s="172">
        <v>0</v>
      </c>
      <c r="KY79" s="172">
        <v>0.84374329000000003</v>
      </c>
      <c r="KZ79" s="172">
        <v>2.25420401</v>
      </c>
      <c r="LA79" s="172">
        <v>1.2823005699999999</v>
      </c>
      <c r="LB79" s="172">
        <v>1.7281099999999997E-2</v>
      </c>
      <c r="LC79" s="172">
        <v>0.15244513000000001</v>
      </c>
      <c r="LD79" s="172">
        <v>0</v>
      </c>
      <c r="LE79" s="172">
        <v>0.54734632000000005</v>
      </c>
      <c r="LF79" s="172">
        <v>0.10934497</v>
      </c>
      <c r="LG79" s="172">
        <v>21.702796599999999</v>
      </c>
      <c r="LH79" s="172">
        <v>5.07858301</v>
      </c>
      <c r="LI79" s="172">
        <v>1.4972392299999999</v>
      </c>
      <c r="LJ79" s="172">
        <v>0</v>
      </c>
      <c r="LK79" s="172">
        <v>1.49948678</v>
      </c>
      <c r="LL79" s="172">
        <v>4.3706271000000001</v>
      </c>
      <c r="LM79" s="172">
        <v>1.6696967700000001</v>
      </c>
      <c r="LN79" s="172">
        <v>0.53588648999999999</v>
      </c>
      <c r="LO79" s="172">
        <v>14.04140366</v>
      </c>
      <c r="LQ79" s="85">
        <f t="shared" si="247"/>
        <v>4288.6201567799999</v>
      </c>
      <c r="LR79" s="85">
        <f t="shared" si="248"/>
        <v>1.67716084</v>
      </c>
      <c r="LS79" s="85">
        <f t="shared" si="249"/>
        <v>14.975696210000002</v>
      </c>
      <c r="LT79" s="85">
        <f t="shared" si="250"/>
        <v>6.64047375</v>
      </c>
      <c r="LU79" s="85">
        <f t="shared" si="251"/>
        <v>151.77249958999997</v>
      </c>
      <c r="LV79" s="85">
        <f t="shared" si="252"/>
        <v>3.45796065</v>
      </c>
      <c r="LW79" s="85">
        <f t="shared" si="253"/>
        <v>1.2995816699999998</v>
      </c>
      <c r="LX79" s="85">
        <f t="shared" si="254"/>
        <v>0.65669129000000004</v>
      </c>
      <c r="LZ79" s="131">
        <v>118.69</v>
      </c>
      <c r="MA79" s="171">
        <v>116.74</v>
      </c>
      <c r="MB79"/>
      <c r="MC79"/>
      <c r="MD79"/>
      <c r="MF79"/>
      <c r="MG79"/>
      <c r="MH79" s="83">
        <v>197.99</v>
      </c>
      <c r="MI79" s="83">
        <v>59.29</v>
      </c>
      <c r="MJ79" s="83">
        <v>52.86</v>
      </c>
      <c r="MK79"/>
      <c r="ML79" s="83">
        <v>56.67</v>
      </c>
      <c r="MM79" s="83">
        <v>209.56</v>
      </c>
      <c r="MN79" s="83"/>
      <c r="MO79" s="83">
        <v>99.38</v>
      </c>
      <c r="MP79" s="83">
        <v>151.76</v>
      </c>
      <c r="MQ79" s="83">
        <v>172.07</v>
      </c>
      <c r="MR79"/>
      <c r="MT79" s="83"/>
      <c r="MU79" s="83">
        <v>60.66</v>
      </c>
      <c r="MV79"/>
      <c r="MW79"/>
      <c r="MX79"/>
      <c r="MY79" s="83">
        <v>217.35</v>
      </c>
      <c r="MZ79" s="83">
        <v>590</v>
      </c>
      <c r="NA79" s="83">
        <v>202.18</v>
      </c>
      <c r="NB79" s="83">
        <v>676.49</v>
      </c>
      <c r="NC79" s="83">
        <v>93.28</v>
      </c>
      <c r="ND79" s="1">
        <v>989</v>
      </c>
      <c r="NE79" s="1">
        <v>521.54</v>
      </c>
    </row>
    <row r="80" spans="1:369">
      <c r="A80" s="38">
        <f t="shared" si="334"/>
        <v>44501</v>
      </c>
      <c r="B80" s="36">
        <f t="shared" si="313"/>
        <v>11</v>
      </c>
      <c r="C80" s="36">
        <f t="shared" si="314"/>
        <v>2021</v>
      </c>
      <c r="D80" s="36">
        <f t="shared" si="347"/>
        <v>80</v>
      </c>
      <c r="E80" s="38">
        <f t="shared" si="335"/>
        <v>44501</v>
      </c>
      <c r="F80" s="7">
        <v>102.42</v>
      </c>
      <c r="G80" s="7">
        <v>560.9</v>
      </c>
      <c r="H80" s="1">
        <f>[2]NACIONALES!$D68</f>
        <v>51660</v>
      </c>
      <c r="I80" s="7">
        <v>87</v>
      </c>
      <c r="J80" s="7">
        <v>980</v>
      </c>
      <c r="K80" s="7">
        <v>9.9</v>
      </c>
      <c r="L80" s="7">
        <v>26.1</v>
      </c>
      <c r="N80" s="5">
        <v>1.9890000000000001</v>
      </c>
      <c r="O80" s="5">
        <v>1.835</v>
      </c>
      <c r="P80" s="78">
        <f t="shared" si="294"/>
        <v>186.03568799999999</v>
      </c>
      <c r="Q80" s="6">
        <v>2537.5</v>
      </c>
      <c r="R80" s="79">
        <f t="shared" si="336"/>
        <v>25375</v>
      </c>
      <c r="S80" s="6">
        <v>227.67</v>
      </c>
      <c r="T80" s="6">
        <v>471.71</v>
      </c>
      <c r="U80" s="143">
        <v>196.46190476190475</v>
      </c>
      <c r="V80" s="6">
        <v>318.23333333333329</v>
      </c>
      <c r="W80" s="6">
        <f>(235*0.88)-10</f>
        <v>196.8</v>
      </c>
      <c r="X80" s="6">
        <v>249.86666666666665</v>
      </c>
      <c r="Y80" s="79">
        <f t="shared" si="337"/>
        <v>23317.9614</v>
      </c>
      <c r="Z80" s="79">
        <f t="shared" si="338"/>
        <v>48312.538199999995</v>
      </c>
      <c r="AA80" s="79">
        <f t="shared" si="339"/>
        <v>20121.628285714283</v>
      </c>
      <c r="AB80" s="79">
        <f t="shared" si="340"/>
        <v>32593.457999999995</v>
      </c>
      <c r="AC80" s="79">
        <f t="shared" si="341"/>
        <v>20156.256000000001</v>
      </c>
      <c r="AD80" s="79">
        <f t="shared" si="342"/>
        <v>25591.343999999997</v>
      </c>
      <c r="AE80" s="79">
        <f t="shared" si="343"/>
        <v>28348.864314285714</v>
      </c>
      <c r="AF80" s="1">
        <v>73006.428571428565</v>
      </c>
      <c r="AG80" s="1">
        <v>36830</v>
      </c>
      <c r="AH80" s="1">
        <v>139954</v>
      </c>
      <c r="AI80" s="5">
        <v>39.24</v>
      </c>
      <c r="AJ80" s="5">
        <v>27.89</v>
      </c>
      <c r="AK80" s="5">
        <v>28.12</v>
      </c>
      <c r="AL80" s="5">
        <v>24.33</v>
      </c>
      <c r="AM80" s="78">
        <f t="shared" si="344"/>
        <v>32.316400000000002</v>
      </c>
      <c r="AN80" s="7">
        <v>1989.6945812807883</v>
      </c>
      <c r="AO80" s="7">
        <v>1461.6190476190477</v>
      </c>
      <c r="AP80" s="78">
        <f t="shared" si="277"/>
        <v>1461.6190476190477</v>
      </c>
      <c r="AQ80" s="7">
        <v>652.83464566929138</v>
      </c>
      <c r="AR80" s="7">
        <v>786.78619047619043</v>
      </c>
      <c r="AS80" s="7">
        <v>615.5</v>
      </c>
      <c r="AT80" s="7">
        <v>960.01428571428573</v>
      </c>
      <c r="AU80" s="78">
        <f t="shared" si="348"/>
        <v>787.43349206349194</v>
      </c>
      <c r="AV80" s="7">
        <v>438.15384615384613</v>
      </c>
      <c r="AW80" s="7">
        <v>1848.1818181818182</v>
      </c>
      <c r="AX80" s="7">
        <v>575.89545454545453</v>
      </c>
      <c r="AY80" s="7">
        <v>1020.1503267973857</v>
      </c>
      <c r="AZ80" s="7">
        <v>377.69090909090914</v>
      </c>
      <c r="BA80" s="7">
        <v>723.6</v>
      </c>
      <c r="BB80" s="94">
        <f t="shared" si="345"/>
        <v>713.16309582755662</v>
      </c>
      <c r="BC80" s="68">
        <v>4780</v>
      </c>
      <c r="BD80" s="166">
        <v>2426</v>
      </c>
      <c r="BE80" s="7">
        <v>3000</v>
      </c>
      <c r="BF80" s="7">
        <v>1500</v>
      </c>
      <c r="BG80" s="94">
        <f t="shared" si="349"/>
        <v>2926.5</v>
      </c>
      <c r="BH80" s="7">
        <v>191.89</v>
      </c>
      <c r="BI80" s="7">
        <f>+BI79</f>
        <v>85</v>
      </c>
      <c r="BJ80" s="78">
        <f t="shared" si="350"/>
        <v>276.89</v>
      </c>
      <c r="BK80" s="7">
        <v>225.75299999999999</v>
      </c>
      <c r="BL80" s="7">
        <v>286.87</v>
      </c>
      <c r="BM80" s="94">
        <f t="shared" si="351"/>
        <v>256.31150000000002</v>
      </c>
      <c r="BN80" s="5">
        <v>33.700000000000003</v>
      </c>
      <c r="BO80" s="84">
        <v>155.1</v>
      </c>
      <c r="BP80" s="58">
        <v>72.849999999999994</v>
      </c>
      <c r="BQ80" s="94">
        <f t="shared" si="346"/>
        <v>146.875</v>
      </c>
      <c r="BR80" s="7">
        <v>142.62</v>
      </c>
      <c r="BS80" s="97">
        <v>450</v>
      </c>
      <c r="BT80" s="7">
        <f>+F80*1</f>
        <v>102.42</v>
      </c>
      <c r="BU80" s="79">
        <f t="shared" si="237"/>
        <v>5707.26</v>
      </c>
      <c r="BV80" s="93">
        <v>285.5</v>
      </c>
      <c r="BW80" s="93">
        <v>375</v>
      </c>
      <c r="BY80" s="92">
        <f>BY$10*(1+((H80/H$10-1)*costos!$B$5+((I80*F80)/(I$10*F$10)-1)*costos!$E$5+((J80*F80)/((J$10*F$10)-1)*costos!$F$5/3+((K80*F80)/(K$10*F$10)-1)*costos!$F$5/3+((U80*F80)/(U$10*F$10)-1)*costos!$F$5/3+((L80*F80)/(L$10*F$10)-1)*costos!$G$5+((N80*F80)/(N$10*F$10)-1)*costos!$J$5+((V80*F80)/(V$10*F$10)-1)*costos!$K$5)))</f>
        <v>1111.6334895999923</v>
      </c>
      <c r="BZ80" s="92">
        <f>$BZ$10*(1+((H80/$H$10-1)*costos!$B$6+((I80*F80)/($I$10*$F$10)-1)*costos!$E$6+((J80*F80)/(($J$10*$F$10)-1)*costos!$F$6/3+((K80*F80)/($K$10*$F$10)-1)*costos!$F$6/3+((U80*F80)/($U$10*$F$10)-1)*costos!$F$6/3+((L80*F80)/($L$10*$F$10)-1)*costos!$G$6+((Q80*F80)/($Q$10*$F$10)-1)*costos!$J$6+((V80*F80)/($V$10*$F$10)-1)*costos!$K$6)))</f>
        <v>894.53673403081063</v>
      </c>
      <c r="CA80" s="92">
        <f>CA$10*(1+((H80/H$10-1)*costos!$B$7+((I80*F80)/(I$10*F$10)-1)*costos!$E$7+((J80*F80)/((J$10*F$10)-1)*costos!$F$7/3+((K80*F80)/(K$10*F$10)-1)*costos!$F$7/3+((U80*F80)/(U$10*F$10)-1)*costos!$F$7/3+((L80*F80)/(L$10*F$10)-1)*costos!$G$7+((S80*F80)/(S$10*F$10)-1)*costos!$J$7+((V80*F80)/(V$10*F$10)-1)*costos!$K$7)))</f>
        <v>1079.0036794716584</v>
      </c>
      <c r="CB80" s="92">
        <f>CB$10*(1+((H80/H$10-1)*costos!$B$8+((I80*F80)/(I$10*F$10)-1)*costos!$E$8+((J80*F80)/((J$10*F$10)-1)*costos!$F$8/3+((K80*F80)/(K$10*F$10)-1)*costos!$F$8/3+((U80*F80)/(U$10*F$10)-1)*costos!$F$8/3+((L80*F80)/(L$10*F$10)-1)*costos!$G$8+((T80*F80)/(T$10*F$10)-1)*costos!$J$8+((V80*F80)/(V$10*F$10)-1)*costos!$K$8)))</f>
        <v>1057.0217896781501</v>
      </c>
      <c r="CC80" s="92">
        <f>CC$10*(1+((H80/H$10-1)*costos!$B$9+((I80*F80)/(I$10*F$10)-1)*costos!$E$9+((J80*F80)/((J$10*F$10)-1)*costos!$F$9/3+((K80*F80)/(K$10*F$10)-1)*costos!$F$9/3+((U80*F80)/(U$10*F$10)-1)*costos!$F$9/3+((L80*F80)/(L$10*F$10)-1)*costos!$G$9+((U80*F80)/(U$10*F$10)-1)*costos!$J$9+((V80*F80)/(V$10*F$10)-1)*costos!$K$9)))</f>
        <v>994.24319731401772</v>
      </c>
      <c r="CD80" s="92">
        <f>CD$10*(1+((H80/H$10-1)*costos!$B$11+((I80*F80)/(I$10*F$10)-1)*costos!$E$11+((J80*F80)/((J$10*F$10)-1)*costos!$F$11/3+((K80*F80)/(K$10*F$10)-1)*costos!$F$11/3+((U80*F80)/(U$10*F$10)-1)*costos!$F$11/3+((L80*F80)/(L$10*F$10)-1)*costos!$G$11+((V80*F80)/(V$10*F$10)-1)*costos!$J$11+((V80*F80)/(V$10*F$10)-1)*costos!$K$11)))</f>
        <v>1035.9409561727248</v>
      </c>
      <c r="CE80" s="92">
        <f>CE$10*(1+((H80/H$10-1)*costos!$B$12+((I80*F80)/(I$10*F$10)-1)*costos!$E$12+((J80*F80)/((J$10*F$10)-1)*costos!$F$12/3+((K80*F80)/(K$10*F$10)-1)*costos!$F$12/3+((U80*F80)/(U$10*F$10)-1)*costos!$F$12/3+((L80*F80)/(L$10*F$10)-1)*costos!$G$12+((W80*F80)/(W$10*F$10)-1)*costos!$J$12+((V80*F80)/(V$10*F$10)-1)*costos!$K$12)))</f>
        <v>974.74719164653879</v>
      </c>
      <c r="CF80" s="92">
        <f>CF$10*(1+((H80/H$10-1)*costos!$B$13+((I80*F80)/(I$10*F$10)-1)*costos!$E$13+((J80*F80)/((J$10*F$10)-1)*costos!$F$13/3+((K80*F80)/(K$10*F$10)-1)*costos!$F$13/3+((U80*F80)/(U$10*F$10)-1)*costos!$F$13/3+((L80*F80)/(L$10*F$10)-1)*costos!$G$13+((X80*F80)/(X$10*F$10)-1)*costos!$J$13+((V80*F80)/(V$10*F$10)-1)*costos!$K$13)))</f>
        <v>1094.0286395498131</v>
      </c>
      <c r="CG80" s="92">
        <f t="shared" si="361"/>
        <v>1039.1642423054839</v>
      </c>
      <c r="CH80" s="92">
        <f>CH$10*(1+((H80/H$10-1)*costos!$B$10+((I80*F80)/(I$10*F$10)-1)*costos!$E$10+((J80*F80)/((J$10*F$10)-1)*costos!$F$10/3+((K80*F80)/(K$10*F$10)-1)*costos!$F$10/3+((U80*F80)/(U$10*F$10)-1)*costos!$F$10/3+((L80*F80)/(L$10*F$10)-1)*costos!$G$10+((AF80)/(AF$10)-1)*costos!$J$10+((V80*F80)/(V$10*F$10)-1)*costos!$K$10)))</f>
        <v>1075.1083234901762</v>
      </c>
      <c r="CI80" s="92">
        <f>CI$10*(1+((H80/H$10-1)*costos!$B$15+((I80*F80)/(I$10*F$10)-1)*costos!$E$15+((J80*F80)/((J$10*F$10)-1)*costos!$F$15/3+((K80*F80)/(K$10*F$10)-1)*costos!$F$15/3+((U80*F80)/(U$10*F$10)-1)*costos!$F$15/3+((L80*F80)/(L$10*F$10)-1)*costos!$G$15+((AV80)/(AV$10)-1)*costos!$J$15+((V80*F80)/(V$10*F$10)-1)*costos!$K$15)))</f>
        <v>1064.050310960753</v>
      </c>
      <c r="CJ80" s="92">
        <f>CJ$10*(1+((H80/H$10-1)*costos!$B$16+((I80*F80)/(I$10*F$10)-1)*costos!$E$16+((J80*F80)/((J$10*F$10)-1)*costos!$F$16/3+((K80*F80)/(K$10*F$10)-1)*costos!$F$16/3+((U80*F80)/(U$10*F$10)-1)*costos!$F$16/3+((L80*F80)/(L$10*F$10)-1)*costos!$G$16+((AW80)/(AW$10)-1)*costos!$J$16+((V80*F80)/(V$10*F$10)-1)*costos!$K$16)))</f>
        <v>855.32812701315106</v>
      </c>
      <c r="CK80" s="92">
        <f>CK$10*(1+((H80/H$10-1)*costos!$B$17+((I80*F80)/(I$10*F$10)-1)*costos!$E$17+((J80*F80)/((J$10*F$10)-1)*costos!$F$17/3+((K80*F80)/(K$10*F$10)-1)*costos!$F$17/3+((U80*F80)/(U$10*F$10)-1)*costos!$F$17/3+((L80*F80)/(L$10*F$10)-1)*costos!$G$17+((AX80)/(AX$10)-1)*costos!$J$17+((V80*F80)/(V$10*F$10)-1)*costos!$K$17)))</f>
        <v>970.46748427541479</v>
      </c>
      <c r="CL80" s="92">
        <f>CL$10*(1+((H80/H$10-1)*costos!$B$18+((I80*F80)/(I$10*F$10)-1)*costos!$E$18+((J80*F80)/((J$10*F$10)-1)*costos!$F$18/3+((K80*F80)/(K$10*F$10)-1)*costos!$F$18/3+((U80*F80)/(U$10*F$10)-1)*costos!$F$18/3+((L80*F80)/(L$10*F$10)-1)*costos!$G$18+((AY80)/(AY$10)-1)*costos!$J$18+((V80*F80)/(V$10*F$10)-1)*costos!$K$18)))</f>
        <v>1059.3406187001574</v>
      </c>
      <c r="CM80" s="92">
        <f>CM$10*(1+((H80/H$10-1)*costos!$B$19+((I80*F80)/(I$10*F$10)-1)*costos!$E$19+((J80*F80)/((J$10*F$10)-1)*costos!$F$19/3+((K80*F80)/(K$10*F$10)-1)*costos!$F$19/3+((U80*F80)/(U$10*F$10)-1)*costos!$F$19/3+((L80*F80)/(L$10*F$10)-1)*costos!$G$19+((AZ80)/(AZ$10)-1)*costos!$J$19+((V80*F80)/(V$10*F$10)-1)*costos!$K$19)))</f>
        <v>713.48886032146947</v>
      </c>
      <c r="CN80" s="92">
        <f>CN$10*(1+((H80/H$10-1)*costos!$B$20+((I80*F80)/(I$10*F$10)-1)*costos!$E$20+((J80*F80)/((J$10*F$10)-1)*costos!$F$20/3+((K80*F80)/(K$10*F$10)-1)*costos!$F$20/3+((U80*F80)/(U$10*F$10)-1)*costos!$F$20/3+((L80*F80)/(L$10*F$10)-1)*costos!$G$20+((BA80)/(BA$10)-1)*costos!$J$20+((V80*F80)/(V$10*F$10)-1)*costos!$K$20)))</f>
        <v>854.70770055258163</v>
      </c>
      <c r="CO80" s="92">
        <f t="shared" si="362"/>
        <v>899.50116596240582</v>
      </c>
      <c r="CP80" s="92">
        <f>CP$10*(1+((H80/H$10-1)*costos!$B$22+((I80*F80)/(I$10*F$10)-1)*costos!$E$22+((J80*F80)/((J$10*F$10)-1)*costos!$F$22/3+((K80*F80)/(K$10*F$10)-1)*costos!$F$22/3+((U80*F80)/(U$10*F$10)-1)*costos!$F$22/3+((L80*F80)/(L$10*F$10)-1)*costos!$G$22+(((AVERAGE(AI80:AL80))/((AVERAGE(AI$10:AL$10))-1)*costos!$J$22+((V80*F80)/(V$10*F$10)-1)*costos!$K$22)))))</f>
        <v>993.38087993297495</v>
      </c>
      <c r="CQ80" s="92">
        <f>CQ$10*(1+((H80/H$10-1)*costos!$B$23+((I80*F80)/(I$10*F$10)-1)*costos!$E$23+((J80*F80)/((J$10*F$10)-1)*costos!$F$23/3+((K80*F80)/(K$10*F$10)-1)*costos!$F$23/3+((U80*F80)/(U$10*F$10)-1)*costos!$F$23/3+((L80*F80)/(L$10*F$10)-1)*costos!$G$23+((AN80)/(AN$10)-1)*costos!$J$23+((V80*F80)/(V$10*F$10)-1)*costos!$K$23)))</f>
        <v>857.87572268552344</v>
      </c>
      <c r="CR80" s="92">
        <f>CR$10*(1+((H80/H$10-1)*costos!$B$24+((I80*F80)/(I$10*F$10)-1)*costos!$E$24+((J80*F80)/((J$10*F$10)-1)*costos!$F$24/3+((K80*F80)/(K$10*F$10)-1)*costos!$F$24/3+((U80*F80)/(U$10*F$10)-1)*costos!$F$24/3+((L80*F80)/(L$10*F$10)-1)*costos!$G$24+((AO80)/(AO$10)-1)*costos!$J$24+((V80*F80)/(V$10*F$10)-1)*costos!$K$24)))</f>
        <v>880.39507493853023</v>
      </c>
      <c r="CS80" s="92">
        <f t="shared" si="352"/>
        <v>869.13539881202678</v>
      </c>
      <c r="CT80" s="92">
        <f>CT$10*(1+((H80/H$10-1)*costos!$B$25+((I80*F80)/(I$10*F$10)-1)*costos!$E$25+((J80*F80)/((J$10*F$10)-1)*costos!$F$25/3+((K80*F80)/(K$10*F$10)-1)*costos!$F$25/3+((U80*F80)/(U$10*F$10)-1)*costos!$F$25/3+((L80*F80)/(L$10*F$10)-1)*costos!$G$25+((AQ80)/(AQ$10)-1)*costos!$J$25+((V80*F80)/(V$10*F$10)-1)*costos!$K$25)))</f>
        <v>829.28072445368923</v>
      </c>
      <c r="CU80" s="92">
        <f>CU$10*(1+((H80/H$10-1)*costos!$B$26+((I80*F80)/(I$10*F$10)-1)*costos!$E$26+((J80*F80)/((J$10*F$10)-1)*costos!$F$26/3+((K80*F80)/(K$10*F$10)-1)*costos!$F$26/3+((U80*F80)/(U$10*F$10)-1)*costos!$F$26/3+((L80*F80)/(L$10*F$10)-1)*costos!$G$26+((AR80)/(AR$10)-1)*costos!$J$26+((V80*F80)/(V$10*F$10)-1)*costos!$K$26)))</f>
        <v>924.25600705044155</v>
      </c>
      <c r="CV80" s="92">
        <f>CV$10*(1+((H80/H$10-1)*costos!$B$27+((I80*F80)/(I$10*F$10)-1)*costos!$E$27+((J80*F80)/((J$10*F$10)-1)*costos!$F$27/3+((K80*F80)/(K$10*F$10)-1)*costos!$F$27/3+((U80*F80)/(U$10*F$10)-1)*costos!$F$27/3+((L80*F80)/(L$10*F$10)-1)*costos!$G$27+((AS80)/(AS$10)-1)*costos!$J$27+((V80*F80)/(V$10*F$10)-1)*costos!$K$27)))</f>
        <v>911.85898381015681</v>
      </c>
      <c r="CW80" s="92">
        <f>CW$10*(1+((H80/H$10-1)*costos!$B$28+((I80*F80)/(I$10*F$10)-1)*costos!$E$28+((J80*F80)/((J$10*F$10)-1)*costos!$F$28/3+((K80*F80)/(K$10*F$10)-1)*costos!$F$28/3+((U80*F80)/(U$10*F$10)-1)*costos!$F$28/3+((L80*F80)/(L$10*F$10)-1)*costos!$G$28+((AS80)/(AS$10)-1)*costos!$J$28+((V80*F80)/(V$10*F$10)-1)*costos!$K$28)))</f>
        <v>911.85898381015681</v>
      </c>
      <c r="CX80" s="92">
        <f t="shared" si="363"/>
        <v>915.9913248902518</v>
      </c>
      <c r="CY80" s="92">
        <f>CY$10*(1+((H80/H$10-1)*costos!$B$32+((I80*F80)/(I$10*F$10)-1)*costos!$E$32+((J80*F80)/((J$10*F$10)-1)*costos!$F$32/3+((K80*F80)/(K$10*F$10)-1)*costos!$F$32/3+((U80*F80)/(U$10*F$10)-1)*costos!$F$32/3+((L80*F80)/(L$10*F$10)-1)*costos!$G$32+((AG80)/(AG$10)-1)*costos!$J$32+((V80*F80)/(V$10*F$10)-1)*costos!$K$32)))</f>
        <v>780.04246758782097</v>
      </c>
      <c r="CZ80" s="69">
        <f>CZ$10*(1+((H80/H$10-1)*costos!$B$31+((I80*F80)/(I$10*F$10)-1)*costos!$E$30+((J80*F80)/((J$10*F$10)-1)*costos!$F$30/3+((K80*F80)/(K$10*F$10)-1)*costos!$F$30/3+((U80*F80)/(U$10*F$10)-1)*costos!$F$30/3+((L80*F80)/(L$10*F$10)-1)*costos!$G$30+((BG80)/(BG$10)-1)*costos!$J$30+((V80*F80)/(V$10*F$10)-1)*costos!$K$30)))</f>
        <v>995.64018020932428</v>
      </c>
      <c r="DA80" s="69">
        <f>DA$10*(1+((H80/H$10-1)*costos!$B$31+((I80*F80)/(I$10*F$10)-1)*costos!$E$31+((J80*F80)/((J$10*F$10)-1)*costos!$F$31/3+((K80*F80)/(K$10*F$10)-1)*costos!$F$31/3+((U80*F80)/(U$10*F$10)-1)*costos!$F$31/3+((L80*F80)/(L$10*F$10)-1)*costos!$G$31+((BJ80)/(BJ$10)-1)*costos!$J$31+((V80*F80)/(V$10*F$10)-1)*costos!$K$31)))</f>
        <v>837.88430378307851</v>
      </c>
      <c r="DB80" s="69">
        <f>DB$10*(1+((H80/H$10-1)*costos!$B$36+((I80*F80)/(I$10*F$10)-1)*costos!$E$36+((J80*F80)/((J$10*F$10)-1)*costos!$F$36/3+((K80*F80)/(K$10*F$10)-1)*costos!$F$36/3+((U80*F80)/(U$10*F$10)-1)*costos!$F$36/3+((L80*F80)/(L$10*F$10)-1)*costos!$G$36+((BK80)/(BK$10)-1)*costos!$J$36+((V80*F80)/(V$10*F$10)-1)*costos!$K$36)))</f>
        <v>1011.0948859471083</v>
      </c>
      <c r="DC80" s="69">
        <f>DC$10*(1+((H80/H$10-1)*costos!$B$37+((I80*F80)/(I$10*F$10)-1)*costos!$E$37+((U80*F80)/(U$10*F$10)-1)*costos!$F$37+((L80*F80)/(L$10*F$10)-1)*costos!$G$37+((BN80)/(BN$10)-1)*costos!$J$37+((V80*F80)/(V$10*F$10)-1)*costos!$K$37))</f>
        <v>908.35912174590271</v>
      </c>
      <c r="DD80" s="69">
        <f>DD$10*(1+((H80/H$10-1)*costos!$B$39+((I80*F80)/(I$10*F$10)-1)*costos!$E$39+((U80*F80)/(U$10*F$10)-1)*costos!$F$39+((L80*F80)/(L$10*F$10)-1)*costos!$G$39+((BR80)/(BR$10)-1)*costos!$J$39+((V80*F80)/(V$10*F$10)-1)*costos!$K$39))</f>
        <v>898.4576901104731</v>
      </c>
      <c r="DE80" s="69">
        <f>DD$10*(1+((H80/H$10-1)*costos!$B$35+((I80*F80)/(I$10*F$10)-1)*costos!$E$35+((U80*F80)/(U$10*F$10)-1)*costos!$F$35+((L80*F80)/(L$10*F$10)-1)*costos!$G$35+((BR80)/(BR$10)-1)*costos!$J$35+((V80*F80)/(V$10*F$10)-1)*costos!$K$35))</f>
        <v>816.24087400000144</v>
      </c>
      <c r="DF80" s="69">
        <f>DF$10*(1+((H80/H$10-1)*costos!$B$40+((I80*F80)/(I$10*F$10)-1)*costos!$E$40+((U80*F80)/(U$10*F$10)-1)*costos!$F$40+((L80*F80)/(L$10*F$10)-1)*costos!$G$40+((BP80)/(BP$10)-1)*costos!$J$40+((V80*F80)/(V$10*F$10)-1)*costos!$K$40))</f>
        <v>920.86900756207979</v>
      </c>
      <c r="DG80" s="92">
        <f t="shared" si="364"/>
        <v>868.55494078104061</v>
      </c>
      <c r="DH80" s="69">
        <f>DH$10*(1+((H80/H$10-1)*costos!$B$34+((I80*F80)/(I$10*F$10)-1)*costos!$E$34+((J80*F80)/((J$10*F$10)-1)*costos!$F$34/3+((K80*F80)/(K$10*F$10)-1)*costos!$F$34/3+((U80*F80)/(U$10*F$10)-1)*costos!$F$34/3+((L80*F80)/(L$10*F$10)-1)*costos!$G$34+((BV80)/(BV$10)-1)*costos!$J$34+((V80*F80)/(V$10*F$10)-1)*costos!$K$34)))</f>
        <v>932.32138165874505</v>
      </c>
      <c r="DI80" s="69">
        <f>DI$10*(1+((H80/H$10-1)*costos!$B$38+((I80*F80)/(I$10*F$10)-1)*costos!$E$38+((J80*F80)/((J$10*F$10)-1)*costos!$F$38/3+((K80*F80)/(K$10*F$10)-1)*costos!$F$38/3+((U80*F80)/(U$10*F$10)-1)*costos!$F$38/3+((L80*F80)/(L$10*F$10)-1)*costos!$G$38+((BU80)/(BU$10)-1)*costos!$J$38+((V80*F80)/(V$10*F$10)-1)*costos!$K$38)))</f>
        <v>794.45937226281217</v>
      </c>
      <c r="DK80" s="1">
        <v>500000</v>
      </c>
      <c r="DL80" s="1" t="s">
        <v>389</v>
      </c>
      <c r="DM80" s="1">
        <v>200000</v>
      </c>
      <c r="DN80" s="1" t="s">
        <v>389</v>
      </c>
      <c r="DO80" s="1">
        <v>1350000</v>
      </c>
      <c r="DP80" s="1" t="s">
        <v>389</v>
      </c>
      <c r="DQ80" s="1">
        <v>1800000</v>
      </c>
      <c r="DR80" s="1" t="s">
        <v>389</v>
      </c>
      <c r="DS80" s="1">
        <v>7300000</v>
      </c>
      <c r="DT80" s="1" t="s">
        <v>389</v>
      </c>
      <c r="DU80" s="1">
        <v>16300000</v>
      </c>
      <c r="DV80" s="1" t="s">
        <v>389</v>
      </c>
      <c r="DW80" s="1">
        <v>1000000</v>
      </c>
      <c r="DX80" s="1" t="s">
        <v>389</v>
      </c>
      <c r="DY80" s="1">
        <v>6805000</v>
      </c>
      <c r="DZ80" s="1" t="s">
        <v>389</v>
      </c>
      <c r="EA80" s="79">
        <f t="shared" si="353"/>
        <v>34555000</v>
      </c>
      <c r="EB80" s="1">
        <v>395000</v>
      </c>
      <c r="EC80" s="1" t="s">
        <v>389</v>
      </c>
      <c r="ED80" s="1">
        <v>191392</v>
      </c>
      <c r="EE80" s="143">
        <v>2021</v>
      </c>
      <c r="EF80" s="1">
        <v>211099</v>
      </c>
      <c r="EG80" s="6">
        <v>2021</v>
      </c>
      <c r="EH80" s="1">
        <v>53517534</v>
      </c>
      <c r="EI80" s="6">
        <v>2021</v>
      </c>
      <c r="EJ80" s="1">
        <v>5350999</v>
      </c>
      <c r="EK80" s="6">
        <v>2021</v>
      </c>
      <c r="EL80" s="1">
        <v>14571766</v>
      </c>
      <c r="EM80" s="6">
        <v>2020</v>
      </c>
      <c r="EN80" s="1">
        <v>3132657</v>
      </c>
      <c r="EO80" s="6">
        <v>2020</v>
      </c>
      <c r="EP80" s="82">
        <f t="shared" si="315"/>
        <v>6552</v>
      </c>
      <c r="EQ80" s="83">
        <v>3500000</v>
      </c>
      <c r="ER80" s="1">
        <f t="shared" si="189"/>
        <v>76133.333333333328</v>
      </c>
      <c r="ES80" s="1"/>
      <c r="ET80" s="83">
        <f t="shared" si="316"/>
        <v>16000</v>
      </c>
      <c r="EU80" s="83">
        <f t="shared" si="316"/>
        <v>19131</v>
      </c>
      <c r="EV80" s="83">
        <f t="shared" si="316"/>
        <v>9000</v>
      </c>
      <c r="EW80" s="83">
        <f t="shared" si="316"/>
        <v>17492</v>
      </c>
      <c r="EX80" s="79">
        <f t="shared" si="354"/>
        <v>61623</v>
      </c>
      <c r="EY80" s="83">
        <f t="shared" si="317"/>
        <v>19904</v>
      </c>
      <c r="EZ80" s="82">
        <f t="shared" si="317"/>
        <v>80798</v>
      </c>
      <c r="FA80" s="83">
        <f t="shared" si="331"/>
        <v>20331</v>
      </c>
      <c r="FB80" s="83">
        <f t="shared" si="332"/>
        <v>17550</v>
      </c>
      <c r="FC80" s="79">
        <f t="shared" si="307"/>
        <v>37881</v>
      </c>
      <c r="FD80" s="83">
        <f t="shared" si="158"/>
        <v>59807.5</v>
      </c>
      <c r="FE80" s="1"/>
      <c r="FF80" s="1">
        <v>1050000</v>
      </c>
      <c r="FG80" s="1" t="s">
        <v>377</v>
      </c>
      <c r="FH80" s="1">
        <v>1400000</v>
      </c>
      <c r="FI80" s="1" t="s">
        <v>377</v>
      </c>
      <c r="FJ80" s="1">
        <v>4200000</v>
      </c>
      <c r="FK80" s="1" t="s">
        <v>389</v>
      </c>
      <c r="FL80" s="1">
        <v>3400000</v>
      </c>
      <c r="FM80" s="1" t="s">
        <v>377</v>
      </c>
      <c r="FN80" s="1">
        <v>57000000</v>
      </c>
      <c r="FO80" s="1" t="s">
        <v>389</v>
      </c>
      <c r="FP80" s="1">
        <v>46000000</v>
      </c>
      <c r="FQ80" s="1" t="s">
        <v>377</v>
      </c>
      <c r="FR80" s="1">
        <v>3300000</v>
      </c>
      <c r="FS80" s="1" t="s">
        <v>377</v>
      </c>
      <c r="FT80" s="1">
        <v>22150000</v>
      </c>
      <c r="FU80" s="1" t="s">
        <v>389</v>
      </c>
      <c r="FV80" s="79">
        <f t="shared" si="355"/>
        <v>136050000</v>
      </c>
      <c r="FW80" s="1">
        <v>1280000</v>
      </c>
      <c r="FX80" s="1" t="s">
        <v>377</v>
      </c>
      <c r="FY80" s="1">
        <v>0</v>
      </c>
      <c r="FZ80" s="79">
        <f t="shared" si="135"/>
        <v>882778.84</v>
      </c>
      <c r="GA80" s="86" t="str">
        <f t="shared" si="271"/>
        <v>dic20 nov21</v>
      </c>
      <c r="GB80" s="83">
        <v>22248266</v>
      </c>
      <c r="GC80" s="6">
        <v>2021</v>
      </c>
      <c r="GD80" s="83">
        <f t="shared" si="318"/>
        <v>2015989</v>
      </c>
      <c r="GE80" s="83">
        <f t="shared" si="318"/>
        <v>421371</v>
      </c>
      <c r="GF80" s="83">
        <v>1038163</v>
      </c>
      <c r="GG80" s="83">
        <f t="shared" si="268"/>
        <v>89478</v>
      </c>
      <c r="GH80" s="79">
        <f t="shared" si="240"/>
        <v>1549012</v>
      </c>
      <c r="GI80" s="82">
        <f t="shared" si="356"/>
        <v>1302556</v>
      </c>
      <c r="GJ80" s="83">
        <f t="shared" si="215"/>
        <v>600000</v>
      </c>
      <c r="GK80" s="83">
        <f t="shared" si="216"/>
        <v>1362000</v>
      </c>
      <c r="GL80" s="83">
        <f t="shared" si="217"/>
        <v>300000</v>
      </c>
      <c r="GM80" s="83">
        <f t="shared" si="218"/>
        <v>261011.3</v>
      </c>
      <c r="GN80" s="79">
        <f t="shared" si="357"/>
        <v>2523011.2999999998</v>
      </c>
      <c r="GO80" s="83">
        <f t="shared" si="291"/>
        <v>199477</v>
      </c>
      <c r="GP80" s="83">
        <f t="shared" si="291"/>
        <v>72919</v>
      </c>
      <c r="GQ80" s="83">
        <v>85859.5</v>
      </c>
      <c r="GR80" s="83">
        <v>42288</v>
      </c>
      <c r="GS80" s="79">
        <f t="shared" si="192"/>
        <v>44863.785000000003</v>
      </c>
      <c r="GT80" s="83">
        <f t="shared" si="333"/>
        <v>2871705.88</v>
      </c>
      <c r="GU80" s="1">
        <v>15000</v>
      </c>
      <c r="GV80" s="1">
        <v>35844</v>
      </c>
      <c r="GW80" s="79">
        <f t="shared" si="261"/>
        <v>1081883</v>
      </c>
      <c r="GX80" s="1">
        <v>37480.696000000004</v>
      </c>
      <c r="GY80" s="1" t="s">
        <v>385</v>
      </c>
      <c r="GZ80" s="1">
        <v>97886.411999999997</v>
      </c>
      <c r="HA80" s="1">
        <v>252781</v>
      </c>
      <c r="HB80" s="79">
        <f t="shared" si="241"/>
        <v>2958989</v>
      </c>
      <c r="HC80" s="86" t="str">
        <f t="shared" si="272"/>
        <v>dic20 nov21</v>
      </c>
      <c r="HD80" s="1">
        <v>57727</v>
      </c>
      <c r="HE80" s="79">
        <f t="shared" si="139"/>
        <v>689276.95449000027</v>
      </c>
      <c r="HF80" s="86" t="str">
        <f t="shared" si="273"/>
        <v>dic20 nov21</v>
      </c>
      <c r="HG80" s="1">
        <v>199000</v>
      </c>
      <c r="HH80" s="79">
        <f t="shared" si="242"/>
        <v>2253259</v>
      </c>
      <c r="HI80" s="86" t="str">
        <f t="shared" si="274"/>
        <v>dic20 nov21</v>
      </c>
      <c r="HJ80" s="1">
        <v>101196</v>
      </c>
      <c r="HK80" s="79">
        <f t="shared" si="278"/>
        <v>62658.66</v>
      </c>
      <c r="HL80" s="86" t="str">
        <f t="shared" si="275"/>
        <v>dic20 nov21</v>
      </c>
      <c r="HM80" s="79">
        <f t="shared" si="358"/>
        <v>2315917.66</v>
      </c>
      <c r="HN80" s="87">
        <f t="shared" si="297"/>
        <v>4.5246259048919546E-2</v>
      </c>
      <c r="HO80" s="1">
        <v>1077021745.3240068</v>
      </c>
      <c r="HP80" s="79">
        <f t="shared" si="153"/>
        <v>11518.272459185899</v>
      </c>
      <c r="HQ80" s="86" t="str">
        <f t="shared" si="276"/>
        <v>dic20 nov21</v>
      </c>
      <c r="HR80" s="1"/>
      <c r="HS80" s="1"/>
      <c r="HT80" s="1"/>
      <c r="HU80" s="1">
        <v>700000</v>
      </c>
      <c r="HV80" s="1" t="s">
        <v>377</v>
      </c>
      <c r="HW80" s="1">
        <v>1510000</v>
      </c>
      <c r="HX80" s="1" t="s">
        <v>389</v>
      </c>
      <c r="HY80" s="1">
        <v>3190000</v>
      </c>
      <c r="HZ80" s="1" t="s">
        <v>377</v>
      </c>
      <c r="IA80" s="1">
        <f t="shared" si="319"/>
        <v>21410000</v>
      </c>
      <c r="IB80" s="1" t="s">
        <v>377</v>
      </c>
      <c r="IC80" s="1">
        <v>45150000</v>
      </c>
      <c r="ID80" s="1" t="s">
        <v>377</v>
      </c>
      <c r="IE80" s="1">
        <v>950000</v>
      </c>
      <c r="IF80" s="1" t="s">
        <v>377</v>
      </c>
      <c r="IG80" s="1">
        <f t="shared" si="320"/>
        <v>7200000</v>
      </c>
      <c r="IH80" s="1" t="s">
        <v>389</v>
      </c>
      <c r="II80" s="79">
        <f t="shared" si="359"/>
        <v>79410000</v>
      </c>
      <c r="IJ80" s="97">
        <f t="shared" si="308"/>
        <v>1.9040737312717446</v>
      </c>
      <c r="IK80" s="1" t="s">
        <v>377</v>
      </c>
      <c r="IL80" s="7">
        <v>45.51</v>
      </c>
      <c r="IM80" s="7">
        <v>50.49</v>
      </c>
      <c r="IN80" s="97">
        <v>189</v>
      </c>
      <c r="IO80" s="7">
        <v>15.75</v>
      </c>
      <c r="IP80" s="176">
        <f t="shared" si="321"/>
        <v>6.0901675410995511</v>
      </c>
      <c r="IQ80" s="7">
        <v>18.2</v>
      </c>
      <c r="IR80" s="98">
        <f t="shared" si="322"/>
        <v>5.93</v>
      </c>
      <c r="IS80" s="98">
        <f t="shared" si="322"/>
        <v>5.67</v>
      </c>
      <c r="IT80" s="98">
        <f t="shared" si="322"/>
        <v>13.17</v>
      </c>
      <c r="IU80" s="98">
        <f t="shared" si="322"/>
        <v>1.55</v>
      </c>
      <c r="IV80" s="94">
        <f t="shared" si="360"/>
        <v>20.39</v>
      </c>
      <c r="IW80" s="1"/>
      <c r="IX80" s="1"/>
      <c r="IY80" s="105">
        <v>1.86</v>
      </c>
      <c r="IZ80" s="161">
        <v>0.3</v>
      </c>
      <c r="JA80" s="83">
        <v>2813</v>
      </c>
      <c r="JB80" s="7">
        <v>44.08</v>
      </c>
      <c r="JC80" s="1"/>
      <c r="JD80" s="1"/>
      <c r="JF80" s="2">
        <v>28.490697219999994</v>
      </c>
      <c r="JG80" s="2">
        <v>27.4374045</v>
      </c>
      <c r="JH80" s="2">
        <v>68.85841597000001</v>
      </c>
      <c r="JI80" s="2">
        <v>88.536475519999996</v>
      </c>
      <c r="JJ80" s="2">
        <v>681.94303855999976</v>
      </c>
      <c r="JK80" s="2">
        <v>140.94788607999999</v>
      </c>
      <c r="JL80" s="2">
        <v>2360.3149534999998</v>
      </c>
      <c r="JM80" s="2">
        <v>58.585697600000003</v>
      </c>
      <c r="JN80" s="2">
        <v>451.61318115999995</v>
      </c>
      <c r="JO80" s="2">
        <v>25.32053939</v>
      </c>
      <c r="JP80" s="2">
        <v>0</v>
      </c>
      <c r="JQ80" s="2">
        <v>7.6960000000000001E-2</v>
      </c>
      <c r="JR80" s="2">
        <v>1.5032038999999999</v>
      </c>
      <c r="JS80" s="2">
        <v>0</v>
      </c>
      <c r="JT80" s="2">
        <v>1.0574999999999999E-2</v>
      </c>
      <c r="JU80" s="2">
        <v>98.129440210000013</v>
      </c>
      <c r="JV80" s="2">
        <v>23.182605830000004</v>
      </c>
      <c r="JW80" s="2">
        <v>7.4731666200000006</v>
      </c>
      <c r="JX80" s="2">
        <v>12.403564199999998</v>
      </c>
      <c r="JY80" s="2">
        <v>0</v>
      </c>
      <c r="JZ80" s="2">
        <v>3.8473387400000001</v>
      </c>
      <c r="KA80" s="2">
        <v>0.18282899999999999</v>
      </c>
      <c r="KB80" s="2">
        <v>39.89963478</v>
      </c>
      <c r="KC80" s="2">
        <v>66.458807830000012</v>
      </c>
      <c r="KD80" s="2">
        <v>7.7876478199999992</v>
      </c>
      <c r="KE80" s="2">
        <v>14.147276309999997</v>
      </c>
      <c r="KF80" s="2">
        <v>47.392165119999987</v>
      </c>
      <c r="KG80" s="2">
        <v>359.39803177000005</v>
      </c>
      <c r="KH80" s="2">
        <v>151.57627656000005</v>
      </c>
      <c r="KI80" s="2">
        <v>30.02316635</v>
      </c>
      <c r="KJ80" s="2">
        <v>1.8083928099999997</v>
      </c>
      <c r="KK80" s="172">
        <v>8.22009319</v>
      </c>
      <c r="KL80" s="172">
        <v>0.15463169999999998</v>
      </c>
      <c r="KM80" s="172">
        <v>2.4690545100000003</v>
      </c>
      <c r="KN80" s="172">
        <v>4.6151440000000002E-2</v>
      </c>
      <c r="KO80" s="172">
        <v>10.613510229999999</v>
      </c>
      <c r="KP80" s="172">
        <v>5.4840730000000004E-2</v>
      </c>
      <c r="KQ80" s="172">
        <v>164.87509822000001</v>
      </c>
      <c r="KR80" s="172">
        <v>0.12215575999999999</v>
      </c>
      <c r="KS80" s="172">
        <v>6.6214499999999996E-2</v>
      </c>
      <c r="KT80" s="172">
        <v>0.91119861999999996</v>
      </c>
      <c r="KU80" s="172">
        <v>0.27166317000000006</v>
      </c>
      <c r="KV80" s="172">
        <v>6.7619699999999991E-2</v>
      </c>
      <c r="KW80" s="172">
        <v>0.97057207999999995</v>
      </c>
      <c r="KX80" s="172">
        <v>0</v>
      </c>
      <c r="KY80" s="172">
        <v>1.1295264700000001</v>
      </c>
      <c r="KZ80" s="172">
        <v>1.9802399400000001</v>
      </c>
      <c r="LA80" s="172">
        <v>1.72975729</v>
      </c>
      <c r="LB80" s="172">
        <v>0</v>
      </c>
      <c r="LC80" s="172">
        <v>0.16734705</v>
      </c>
      <c r="LD80" s="172">
        <v>0</v>
      </c>
      <c r="LE80" s="172">
        <v>0.41798414</v>
      </c>
      <c r="LF80" s="172">
        <v>0.24400611999999999</v>
      </c>
      <c r="LG80" s="172">
        <v>26.601675920000002</v>
      </c>
      <c r="LH80" s="172">
        <v>4.3283026800000002</v>
      </c>
      <c r="LI80" s="172">
        <v>1.4854178499999999</v>
      </c>
      <c r="LJ80" s="172">
        <v>0</v>
      </c>
      <c r="LK80" s="172">
        <v>3.5409662799999997</v>
      </c>
      <c r="LL80" s="172">
        <v>4.7880417100000008</v>
      </c>
      <c r="LM80" s="172">
        <v>2.7719063999999998</v>
      </c>
      <c r="LN80" s="172">
        <v>0.86009315000000008</v>
      </c>
      <c r="LO80" s="172">
        <v>16.2664157</v>
      </c>
      <c r="LQ80" s="85">
        <f t="shared" si="247"/>
        <v>3709.8517623099992</v>
      </c>
      <c r="LR80" s="85">
        <f t="shared" si="248"/>
        <v>1.5907388999999998</v>
      </c>
      <c r="LS80" s="85">
        <f t="shared" si="249"/>
        <v>30.655772450000004</v>
      </c>
      <c r="LT80" s="85">
        <f t="shared" si="250"/>
        <v>4.0301677400000004</v>
      </c>
      <c r="LU80" s="85">
        <f t="shared" si="251"/>
        <v>178.19218466000001</v>
      </c>
      <c r="LV80" s="85">
        <f t="shared" si="252"/>
        <v>2.1677182500000001</v>
      </c>
      <c r="LW80" s="85">
        <f t="shared" si="253"/>
        <v>1.72975729</v>
      </c>
      <c r="LX80" s="85">
        <f t="shared" si="254"/>
        <v>0.66199026000000005</v>
      </c>
      <c r="LZ80" s="131">
        <v>119.16</v>
      </c>
      <c r="MA80" s="171">
        <v>114.43</v>
      </c>
      <c r="MB80"/>
      <c r="MC80"/>
      <c r="MD80"/>
      <c r="MF80"/>
      <c r="MG80"/>
      <c r="MH80" s="83">
        <v>204.32</v>
      </c>
      <c r="MI80" s="83">
        <v>59.37</v>
      </c>
      <c r="MJ80" s="83">
        <v>55.84</v>
      </c>
      <c r="MK80"/>
      <c r="ML80" s="83">
        <v>57.75</v>
      </c>
      <c r="MM80" s="83">
        <v>139.19</v>
      </c>
      <c r="MN80" s="83"/>
      <c r="MO80" s="83">
        <v>99.58</v>
      </c>
      <c r="MP80" s="83">
        <v>156.12</v>
      </c>
      <c r="MQ80" s="83">
        <v>181.45</v>
      </c>
      <c r="MR80"/>
      <c r="MT80" s="83"/>
      <c r="MU80" s="83">
        <v>65.72</v>
      </c>
      <c r="MV80"/>
      <c r="MW80"/>
      <c r="MX80"/>
      <c r="MY80" s="83">
        <v>216.6</v>
      </c>
      <c r="MZ80" s="83">
        <v>584</v>
      </c>
      <c r="NA80" s="83">
        <v>210.04</v>
      </c>
      <c r="NB80" s="83">
        <v>786.63</v>
      </c>
      <c r="NC80" s="83">
        <v>89.46</v>
      </c>
      <c r="ND80" s="1">
        <v>1019</v>
      </c>
      <c r="NE80" s="1">
        <v>568.08000000000004</v>
      </c>
    </row>
    <row r="81" spans="1:369">
      <c r="A81" s="38">
        <f t="shared" si="334"/>
        <v>44531</v>
      </c>
      <c r="B81" s="36">
        <f t="shared" si="313"/>
        <v>12</v>
      </c>
      <c r="C81" s="36">
        <f t="shared" si="314"/>
        <v>2021</v>
      </c>
      <c r="D81" s="36">
        <f t="shared" si="347"/>
        <v>81</v>
      </c>
      <c r="E81" s="38">
        <f t="shared" si="335"/>
        <v>44531</v>
      </c>
      <c r="F81" s="7">
        <v>103.95</v>
      </c>
      <c r="G81" s="7">
        <v>582.5</v>
      </c>
      <c r="H81" s="1">
        <f>[2]NACIONALES!$D69</f>
        <v>51660</v>
      </c>
      <c r="I81" s="7">
        <v>86</v>
      </c>
      <c r="J81" s="7">
        <v>1080</v>
      </c>
      <c r="K81" s="7">
        <v>9.9</v>
      </c>
      <c r="L81" s="7">
        <v>28.4</v>
      </c>
      <c r="N81" s="5">
        <v>2.016</v>
      </c>
      <c r="O81" s="5">
        <v>1.8580000000000001</v>
      </c>
      <c r="P81" s="78">
        <f t="shared" si="294"/>
        <v>191.2835925</v>
      </c>
      <c r="Q81" s="6">
        <v>2500</v>
      </c>
      <c r="R81" s="79">
        <f t="shared" si="336"/>
        <v>25000</v>
      </c>
      <c r="S81" s="6">
        <v>230</v>
      </c>
      <c r="T81" s="6">
        <v>464.63</v>
      </c>
      <c r="U81" s="143">
        <v>203.78</v>
      </c>
      <c r="V81" s="6">
        <v>327.62</v>
      </c>
      <c r="W81" s="6">
        <f>(237*0.88)-10</f>
        <v>198.56</v>
      </c>
      <c r="X81" s="6">
        <v>244.60500000000002</v>
      </c>
      <c r="Y81" s="79">
        <f t="shared" si="337"/>
        <v>23908.5</v>
      </c>
      <c r="Z81" s="79">
        <f t="shared" si="338"/>
        <v>48298.288500000002</v>
      </c>
      <c r="AA81" s="79">
        <f t="shared" si="339"/>
        <v>21182.931</v>
      </c>
      <c r="AB81" s="79">
        <f t="shared" si="340"/>
        <v>34056.099000000002</v>
      </c>
      <c r="AC81" s="79">
        <f t="shared" si="341"/>
        <v>20640.312000000002</v>
      </c>
      <c r="AD81" s="79">
        <f t="shared" si="342"/>
        <v>25426.689750000001</v>
      </c>
      <c r="AE81" s="79">
        <f t="shared" si="343"/>
        <v>28918.803375</v>
      </c>
      <c r="AF81" s="1">
        <v>74145.25</v>
      </c>
      <c r="AG81" s="1">
        <v>36830</v>
      </c>
      <c r="AH81" s="1">
        <v>139954</v>
      </c>
      <c r="AI81" s="5">
        <f>3483.27/100</f>
        <v>34.832700000000003</v>
      </c>
      <c r="AJ81" s="5">
        <f>2965.98/100</f>
        <v>29.659800000000001</v>
      </c>
      <c r="AK81" s="5">
        <f>3508.45/100</f>
        <v>35.084499999999998</v>
      </c>
      <c r="AL81" s="5">
        <f>3132.92/100</f>
        <v>31.3292</v>
      </c>
      <c r="AM81" s="78">
        <f t="shared" si="344"/>
        <v>33.850411999999999</v>
      </c>
      <c r="AN81" s="7">
        <v>2308.0497925311201</v>
      </c>
      <c r="AO81" s="7">
        <v>1607.9750000000001</v>
      </c>
      <c r="AP81" s="78">
        <f t="shared" si="277"/>
        <v>1607.9750000000001</v>
      </c>
      <c r="AQ81" s="7">
        <v>718.32934131736522</v>
      </c>
      <c r="AR81" s="7">
        <v>805.9375</v>
      </c>
      <c r="AS81" s="7">
        <v>604.52054794520552</v>
      </c>
      <c r="AT81" s="7">
        <v>1022.7083333333334</v>
      </c>
      <c r="AU81" s="78">
        <f t="shared" si="348"/>
        <v>811.05546042617971</v>
      </c>
      <c r="AV81" s="7">
        <v>371.81355932203388</v>
      </c>
      <c r="AW81" s="7">
        <v>1698.695652173913</v>
      </c>
      <c r="AX81" s="7">
        <v>482.89130434782606</v>
      </c>
      <c r="AY81" s="7">
        <v>756.28</v>
      </c>
      <c r="AZ81" s="7">
        <v>427.57043478260863</v>
      </c>
      <c r="BA81" s="7">
        <v>560.94444444444446</v>
      </c>
      <c r="BB81" s="94">
        <f t="shared" si="345"/>
        <v>589.80628019323672</v>
      </c>
      <c r="BC81" s="68">
        <v>4972</v>
      </c>
      <c r="BD81" s="68">
        <v>2426</v>
      </c>
      <c r="BE81" s="7">
        <v>3000</v>
      </c>
      <c r="BF81" s="7">
        <v>1500</v>
      </c>
      <c r="BG81" s="94">
        <f t="shared" si="349"/>
        <v>2974.5</v>
      </c>
      <c r="BH81" s="7">
        <v>191.89</v>
      </c>
      <c r="BI81" s="7">
        <f>+BI80+26.89</f>
        <v>111.89</v>
      </c>
      <c r="BJ81" s="78">
        <f t="shared" si="350"/>
        <v>303.77999999999997</v>
      </c>
      <c r="BK81" s="7">
        <v>236.90600000000001</v>
      </c>
      <c r="BL81" s="7">
        <v>325.86</v>
      </c>
      <c r="BM81" s="94">
        <f t="shared" si="351"/>
        <v>281.38300000000004</v>
      </c>
      <c r="BN81" s="5">
        <v>34.35</v>
      </c>
      <c r="BO81" s="84">
        <v>166.3</v>
      </c>
      <c r="BP81" s="58">
        <v>72.849999999999994</v>
      </c>
      <c r="BQ81" s="94">
        <f t="shared" si="346"/>
        <v>156.95500000000001</v>
      </c>
      <c r="BR81" s="97">
        <v>148.83000000000001</v>
      </c>
      <c r="BS81" s="97">
        <v>460</v>
      </c>
      <c r="BT81" s="7">
        <f>1.01*F81</f>
        <v>104.98950000000001</v>
      </c>
      <c r="BU81" s="79">
        <f t="shared" si="237"/>
        <v>5834.9684999999999</v>
      </c>
      <c r="BV81" s="93">
        <v>299.3</v>
      </c>
      <c r="BW81" s="93">
        <v>390</v>
      </c>
      <c r="BY81" s="92">
        <f>BY$10*(1+((H81/H$10-1)*costos!$B$5+((I81*F81)/(I$10*F$10)-1)*costos!$E$5+((J81*F81)/((J$10*F$10)-1)*costos!$F$5/3+((K81*F81)/(K$10*F$10)-1)*costos!$F$5/3+((U81*F81)/(U$10*F$10)-1)*costos!$F$5/3+((L81*F81)/(L$10*F$10)-1)*costos!$G$5+((N81*F81)/(N$10*F$10)-1)*costos!$J$5+((V81*F81)/(V$10*F$10)-1)*costos!$K$5)))</f>
        <v>1153.3467855443312</v>
      </c>
      <c r="BZ81" s="92">
        <f>$BZ$10*(1+((H81/$H$10-1)*costos!$B$6+((I81*F81)/($I$10*$F$10)-1)*costos!$E$6+((J81*F81)/(($J$10*$F$10)-1)*costos!$F$6/3+((K81*F81)/($K$10*$F$10)-1)*costos!$F$6/3+((U81*F81)/($U$10*$F$10)-1)*costos!$F$6/3+((L81*F81)/($L$10*$F$10)-1)*costos!$G$6+((Q81*F81)/($Q$10*$F$10)-1)*costos!$J$6+((V81*F81)/($V$10*$F$10)-1)*costos!$K$6)))</f>
        <v>924.09140097166051</v>
      </c>
      <c r="CA81" s="92">
        <f>CA$10*(1+((H81/H$10-1)*costos!$B$7+((I81*F81)/(I$10*F$10)-1)*costos!$E$7+((J81*F81)/((J$10*F$10)-1)*costos!$F$7/3+((K81*F81)/(K$10*F$10)-1)*costos!$F$7/3+((U81*F81)/(U$10*F$10)-1)*costos!$F$7/3+((L81*F81)/(L$10*F$10)-1)*costos!$G$7+((S81*F81)/(S$10*F$10)-1)*costos!$J$7+((V81*F81)/(V$10*F$10)-1)*costos!$K$7)))</f>
        <v>1129.6992004976939</v>
      </c>
      <c r="CB81" s="92">
        <f>CB$10*(1+((H81/H$10-1)*costos!$B$8+((I81*F81)/(I$10*F$10)-1)*costos!$E$8+((J81*F81)/((J$10*F$10)-1)*costos!$F$8/3+((K81*F81)/(K$10*F$10)-1)*costos!$F$8/3+((U81*F81)/(U$10*F$10)-1)*costos!$F$8/3+((L81*F81)/(L$10*F$10)-1)*costos!$G$8+((T81*F81)/(T$10*F$10)-1)*costos!$J$8+((V81*F81)/(V$10*F$10)-1)*costos!$K$8)))</f>
        <v>1094.988942945291</v>
      </c>
      <c r="CC81" s="92">
        <f>CC$10*(1+((H81/H$10-1)*costos!$B$9+((I81*F81)/(I$10*F$10)-1)*costos!$E$9+((J81*F81)/((J$10*F$10)-1)*costos!$F$9/3+((K81*F81)/(K$10*F$10)-1)*costos!$F$9/3+((U81*F81)/(U$10*F$10)-1)*costos!$F$9/3+((L81*F81)/(L$10*F$10)-1)*costos!$G$9+((U81*F81)/(U$10*F$10)-1)*costos!$J$9+((V81*F81)/(V$10*F$10)-1)*costos!$K$9)))</f>
        <v>1052.2272738479098</v>
      </c>
      <c r="CD81" s="92">
        <f>CD$10*(1+((H81/H$10-1)*costos!$B$11+((I81*F81)/(I$10*F$10)-1)*costos!$E$11+((J81*F81)/((J$10*F$10)-1)*costos!$F$11/3+((K81*F81)/(K$10*F$10)-1)*costos!$F$11/3+((U81*F81)/(U$10*F$10)-1)*costos!$F$11/3+((L81*F81)/(L$10*F$10)-1)*costos!$G$11+((V81*F81)/(V$10*F$10)-1)*costos!$J$11+((V81*F81)/(V$10*F$10)-1)*costos!$K$11)))</f>
        <v>1087.8740451188357</v>
      </c>
      <c r="CE81" s="92">
        <f>CE$10*(1+((H81/H$10-1)*costos!$B$12+((I81*F81)/(I$10*F$10)-1)*costos!$E$12+((J81*F81)/((J$10*F$10)-1)*costos!$F$12/3+((K81*F81)/(K$10*F$10)-1)*costos!$F$12/3+((U81*F81)/(U$10*F$10)-1)*costos!$F$12/3+((L81*F81)/(L$10*F$10)-1)*costos!$G$12+((W81*F81)/(W$10*F$10)-1)*costos!$J$12+((V81*F81)/(V$10*F$10)-1)*costos!$K$12)))</f>
        <v>1022.3523386261082</v>
      </c>
      <c r="CF81" s="92">
        <f>CF$10*(1+((H81/H$10-1)*costos!$B$13+((I81*F81)/(I$10*F$10)-1)*costos!$E$13+((J81*F81)/((J$10*F$10)-1)*costos!$F$13/3+((K81*F81)/(K$10*F$10)-1)*costos!$F$13/3+((U81*F81)/(U$10*F$10)-1)*costos!$F$13/3+((L81*F81)/(L$10*F$10)-1)*costos!$G$13+((X81*F81)/(X$10*F$10)-1)*costos!$J$13+((V81*F81)/(V$10*F$10)-1)*costos!$K$13)))</f>
        <v>1136.7998875591238</v>
      </c>
      <c r="CG81" s="92">
        <f t="shared" si="361"/>
        <v>1087.3236147658272</v>
      </c>
      <c r="CH81" s="92">
        <f>CH$10*(1+((H81/H$10-1)*costos!$B$10+((I81*F81)/(I$10*F$10)-1)*costos!$E$10+((J81*F81)/((J$10*F$10)-1)*costos!$F$10/3+((K81*F81)/(K$10*F$10)-1)*costos!$F$10/3+((U81*F81)/(U$10*F$10)-1)*costos!$F$10/3+((L81*F81)/(L$10*F$10)-1)*costos!$G$10+((AF81)/(AF$10)-1)*costos!$J$10+((V81*F81)/(V$10*F$10)-1)*costos!$K$10)))</f>
        <v>1114.9775241163386</v>
      </c>
      <c r="CI81" s="92">
        <f>CI$10*(1+((H81/H$10-1)*costos!$B$15+((I81*F81)/(I$10*F$10)-1)*costos!$E$15+((J81*F81)/((J$10*F$10)-1)*costos!$F$15/3+((K81*F81)/(K$10*F$10)-1)*costos!$F$15/3+((U81*F81)/(U$10*F$10)-1)*costos!$F$15/3+((L81*F81)/(L$10*F$10)-1)*costos!$G$15+((AV81)/(AV$10)-1)*costos!$J$15+((V81*F81)/(V$10*F$10)-1)*costos!$K$15)))</f>
        <v>1098.2219356934866</v>
      </c>
      <c r="CJ81" s="92">
        <f>CJ$10*(1+((H81/H$10-1)*costos!$B$16+((I81*F81)/(I$10*F$10)-1)*costos!$E$16+((J81*F81)/((J$10*F$10)-1)*costos!$F$16/3+((K81*F81)/(K$10*F$10)-1)*costos!$F$16/3+((U81*F81)/(U$10*F$10)-1)*costos!$F$16/3+((L81*F81)/(L$10*F$10)-1)*costos!$G$16+((AW81)/(AW$10)-1)*costos!$J$16+((V81*F81)/(V$10*F$10)-1)*costos!$K$16)))</f>
        <v>860.47694989499405</v>
      </c>
      <c r="CK81" s="92">
        <f>CK$10*(1+((H81/H$10-1)*costos!$B$17+((I81*F81)/(I$10*F$10)-1)*costos!$E$17+((J81*F81)/((J$10*F$10)-1)*costos!$F$17/3+((K81*F81)/(K$10*F$10)-1)*costos!$F$17/3+((U81*F81)/(U$10*F$10)-1)*costos!$F$17/3+((L81*F81)/(L$10*F$10)-1)*costos!$G$17+((AX81)/(AX$10)-1)*costos!$J$17+((V81*F81)/(V$10*F$10)-1)*costos!$K$17)))</f>
        <v>986.09154188863715</v>
      </c>
      <c r="CL81" s="92">
        <f>CL$10*(1+((H81/H$10-1)*costos!$B$18+((I81*F81)/(I$10*F$10)-1)*costos!$E$18+((J81*F81)/((J$10*F$10)-1)*costos!$F$18/3+((K81*F81)/(K$10*F$10)-1)*costos!$F$18/3+((U81*F81)/(U$10*F$10)-1)*costos!$F$18/3+((L81*F81)/(L$10*F$10)-1)*costos!$G$18+((AY81)/(AY$10)-1)*costos!$J$18+((V81*F81)/(V$10*F$10)-1)*costos!$K$18)))</f>
        <v>1042.1993613960931</v>
      </c>
      <c r="CM81" s="92">
        <f>CM$10*(1+((H81/H$10-1)*costos!$B$19+((I81*F81)/(I$10*F$10)-1)*costos!$E$19+((J81*F81)/((J$10*F$10)-1)*costos!$F$19/3+((K81*F81)/(K$10*F$10)-1)*costos!$F$19/3+((U81*F81)/(U$10*F$10)-1)*costos!$F$19/3+((L81*F81)/(L$10*F$10)-1)*costos!$G$19+((AZ81)/(AZ$10)-1)*costos!$J$19+((V81*F81)/(V$10*F$10)-1)*costos!$K$19)))</f>
        <v>748.05622321984083</v>
      </c>
      <c r="CN81" s="92">
        <f>CN$10*(1+((H81/H$10-1)*costos!$B$20+((I81*F81)/(I$10*F$10)-1)*costos!$E$20+((J81*F81)/((J$10*F$10)-1)*costos!$F$20/3+((K81*F81)/(K$10*F$10)-1)*costos!$F$20/3+((U81*F81)/(U$10*F$10)-1)*costos!$F$20/3+((L81*F81)/(L$10*F$10)-1)*costos!$G$20+((BA81)/(BA$10)-1)*costos!$J$20+((V81*F81)/(V$10*F$10)-1)*costos!$K$20)))</f>
        <v>844.967647709586</v>
      </c>
      <c r="CO81" s="92">
        <f t="shared" si="362"/>
        <v>905.32869355353921</v>
      </c>
      <c r="CP81" s="92">
        <f>CP$10*(1+((H81/H$10-1)*costos!$B$22+((I81*F81)/(I$10*F$10)-1)*costos!$E$22+((J81*F81)/((J$10*F$10)-1)*costos!$F$22/3+((K81*F81)/(K$10*F$10)-1)*costos!$F$22/3+((U81*F81)/(U$10*F$10)-1)*costos!$F$22/3+((L81*F81)/(L$10*F$10)-1)*costos!$G$22+(((AVERAGE(AI81:AL81))/((AVERAGE(AI$10:AL$10))-1)*costos!$J$22+((V81*F81)/(V$10*F$10)-1)*costos!$K$22)))))</f>
        <v>1031.0974602409058</v>
      </c>
      <c r="CQ81" s="92">
        <f>CQ$10*(1+((H81/H$10-1)*costos!$B$23+((I81*F81)/(I$10*F$10)-1)*costos!$E$23+((J81*F81)/((J$10*F$10)-1)*costos!$F$23/3+((K81*F81)/(K$10*F$10)-1)*costos!$F$23/3+((U81*F81)/(U$10*F$10)-1)*costos!$F$23/3+((L81*F81)/(L$10*F$10)-1)*costos!$G$23+((AN81)/(AN$10)-1)*costos!$J$23+((V81*F81)/(V$10*F$10)-1)*costos!$K$23)))</f>
        <v>897.32835767352753</v>
      </c>
      <c r="CR81" s="92">
        <f>CR$10*(1+((H81/H$10-1)*costos!$B$24+((I81*F81)/(I$10*F$10)-1)*costos!$E$24+((J81*F81)/((J$10*F$10)-1)*costos!$F$24/3+((K81*F81)/(K$10*F$10)-1)*costos!$F$24/3+((U81*F81)/(U$10*F$10)-1)*costos!$F$24/3+((L81*F81)/(L$10*F$10)-1)*costos!$G$24+((AO81)/(AO$10)-1)*costos!$J$24+((V81*F81)/(V$10*F$10)-1)*costos!$K$24)))</f>
        <v>916.09251198924505</v>
      </c>
      <c r="CS81" s="92">
        <f t="shared" si="352"/>
        <v>906.71043483138624</v>
      </c>
      <c r="CT81" s="92">
        <f>CT$10*(1+((H81/H$10-1)*costos!$B$25+((I81*F81)/(I$10*F$10)-1)*costos!$E$25+((J81*F81)/((J$10*F$10)-1)*costos!$F$25/3+((K81*F81)/(K$10*F$10)-1)*costos!$F$25/3+((U81*F81)/(U$10*F$10)-1)*costos!$F$25/3+((L81*F81)/(L$10*F$10)-1)*costos!$G$25+((AQ81)/(AQ$10)-1)*costos!$J$25+((V81*F81)/(V$10*F$10)-1)*costos!$K$25)))</f>
        <v>860.2234213765073</v>
      </c>
      <c r="CU81" s="92">
        <f>CU$10*(1+((H81/H$10-1)*costos!$B$26+((I81*F81)/(I$10*F$10)-1)*costos!$E$26+((J81*F81)/((J$10*F$10)-1)*costos!$F$26/3+((K81*F81)/(K$10*F$10)-1)*costos!$F$26/3+((U81*F81)/(U$10*F$10)-1)*costos!$F$26/3+((L81*F81)/(L$10*F$10)-1)*costos!$G$26+((AR81)/(AR$10)-1)*costos!$J$26+((V81*F81)/(V$10*F$10)-1)*costos!$K$26)))</f>
        <v>961.26282584986291</v>
      </c>
      <c r="CV81" s="92">
        <f>CV$10*(1+((H81/H$10-1)*costos!$B$27+((I81*F81)/(I$10*F$10)-1)*costos!$E$27+((J81*F81)/((J$10*F$10)-1)*costos!$F$27/3+((K81*F81)/(K$10*F$10)-1)*costos!$F$27/3+((U81*F81)/(U$10*F$10)-1)*costos!$F$27/3+((L81*F81)/(L$10*F$10)-1)*costos!$G$27+((AS81)/(AS$10)-1)*costos!$J$27+((V81*F81)/(V$10*F$10)-1)*costos!$K$27)))</f>
        <v>946.82599495351326</v>
      </c>
      <c r="CW81" s="92">
        <f>CW$10*(1+((H81/H$10-1)*costos!$B$28+((I81*F81)/(I$10*F$10)-1)*costos!$E$28+((J81*F81)/((J$10*F$10)-1)*costos!$F$28/3+((K81*F81)/(K$10*F$10)-1)*costos!$F$28/3+((U81*F81)/(U$10*F$10)-1)*costos!$F$28/3+((L81*F81)/(L$10*F$10)-1)*costos!$G$28+((AS81)/(AS$10)-1)*costos!$J$28+((V81*F81)/(V$10*F$10)-1)*costos!$K$28)))</f>
        <v>946.82599495351326</v>
      </c>
      <c r="CX81" s="92">
        <f t="shared" si="363"/>
        <v>951.63827191896314</v>
      </c>
      <c r="CY81" s="92">
        <f>CY$10*(1+((H81/H$10-1)*costos!$B$32+((I81*F81)/(I$10*F$10)-1)*costos!$E$32+((J81*F81)/((J$10*F$10)-1)*costos!$F$32/3+((K81*F81)/(K$10*F$10)-1)*costos!$F$32/3+((U81*F81)/(U$10*F$10)-1)*costos!$F$32/3+((L81*F81)/(L$10*F$10)-1)*costos!$G$32+((AG81)/(AG$10)-1)*costos!$J$32+((V81*F81)/(V$10*F$10)-1)*costos!$K$32)))</f>
        <v>795.16164068217347</v>
      </c>
      <c r="CZ81" s="69">
        <f>CZ$10*(1+((H81/H$10-1)*costos!$B$31+((I81*F81)/(I$10*F$10)-1)*costos!$E$30+((J81*F81)/((J$10*F$10)-1)*costos!$F$30/3+((K81*F81)/(K$10*F$10)-1)*costos!$F$30/3+((U81*F81)/(U$10*F$10)-1)*costos!$F$30/3+((L81*F81)/(L$10*F$10)-1)*costos!$G$30+((BG81)/(BG$10)-1)*costos!$J$30+((V81*F81)/(V$10*F$10)-1)*costos!$K$30)))</f>
        <v>1017.984501040705</v>
      </c>
      <c r="DA81" s="69">
        <f>DA$10*(1+((H81/H$10-1)*costos!$B$31+((I81*F81)/(I$10*F$10)-1)*costos!$E$31+((J81*F81)/((J$10*F$10)-1)*costos!$F$31/3+((K81*F81)/(K$10*F$10)-1)*costos!$F$31/3+((U81*F81)/(U$10*F$10)-1)*costos!$F$31/3+((L81*F81)/(L$10*F$10)-1)*costos!$G$31+((BJ81)/(BJ$10)-1)*costos!$J$31+((V81*F81)/(V$10*F$10)-1)*costos!$K$31)))</f>
        <v>857.49408732605548</v>
      </c>
      <c r="DB81" s="69">
        <f>DB$10*(1+((H81/H$10-1)*costos!$B$36+((I81*F81)/(I$10*F$10)-1)*costos!$E$36+((J81*F81)/((J$10*F$10)-1)*costos!$F$36/3+((K81*F81)/(K$10*F$10)-1)*costos!$F$36/3+((U81*F81)/(U$10*F$10)-1)*costos!$F$36/3+((L81*F81)/(L$10*F$10)-1)*costos!$G$36+((BK81)/(BK$10)-1)*costos!$J$36+((V81*F81)/(V$10*F$10)-1)*costos!$K$36)))</f>
        <v>1052.7950410981161</v>
      </c>
      <c r="DC81" s="69">
        <f>DC$10*(1+((H81/H$10-1)*costos!$B$37+((I81*F81)/(I$10*F$10)-1)*costos!$E$37+((U81*F81)/(U$10*F$10)-1)*costos!$F$37+((L81*F81)/(L$10*F$10)-1)*costos!$G$37+((BN81)/(BN$10)-1)*costos!$J$37+((V81*F81)/(V$10*F$10)-1)*costos!$K$37))</f>
        <v>944.59427736284613</v>
      </c>
      <c r="DD81" s="69">
        <f>DD$10*(1+((H81/H$10-1)*costos!$B$39+((I81*F81)/(I$10*F$10)-1)*costos!$E$39+((U81*F81)/(U$10*F$10)-1)*costos!$F$39+((L81*F81)/(L$10*F$10)-1)*costos!$G$39+((BR81)/(BR$10)-1)*costos!$J$39+((V81*F81)/(V$10*F$10)-1)*costos!$K$39))</f>
        <v>937.52000605263481</v>
      </c>
      <c r="DE81" s="69">
        <f>DD$10*(1+((H81/H$10-1)*costos!$B$35+((I81*F81)/(I$10*F$10)-1)*costos!$E$35+((U81*F81)/(U$10*F$10)-1)*costos!$F$35+((L81*F81)/(L$10*F$10)-1)*costos!$G$35+((BR81)/(BR$10)-1)*costos!$J$35+((V81*F81)/(V$10*F$10)-1)*costos!$K$35))</f>
        <v>851.51154538617607</v>
      </c>
      <c r="DF81" s="69">
        <f>DF$10*(1+((H81/H$10-1)*costos!$B$40+((I81*F81)/(I$10*F$10)-1)*costos!$E$40+((U81*F81)/(U$10*F$10)-1)*costos!$F$40+((L81*F81)/(L$10*F$10)-1)*costos!$G$40+((BP81)/(BP$10)-1)*costos!$J$40+((V81*F81)/(V$10*F$10)-1)*costos!$K$40))</f>
        <v>964.89643403365744</v>
      </c>
      <c r="DG81" s="92">
        <f t="shared" si="364"/>
        <v>908.20398970991675</v>
      </c>
      <c r="DH81" s="69">
        <f>DH$10*(1+((H81/H$10-1)*costos!$B$34+((I81*F81)/(I$10*F$10)-1)*costos!$E$34+((J81*F81)/((J$10*F$10)-1)*costos!$F$34/3+((K81*F81)/(K$10*F$10)-1)*costos!$F$34/3+((U81*F81)/(U$10*F$10)-1)*costos!$F$34/3+((L81*F81)/(L$10*F$10)-1)*costos!$G$34+((BV81)/(BV$10)-1)*costos!$J$34+((V81*F81)/(V$10*F$10)-1)*costos!$K$34)))</f>
        <v>964.41913924254459</v>
      </c>
      <c r="DI81" s="69">
        <f>DI$10*(1+((H81/H$10-1)*costos!$B$38+((I81*F81)/(I$10*F$10)-1)*costos!$E$38+((J81*F81)/((J$10*F$10)-1)*costos!$F$38/3+((K81*F81)/(K$10*F$10)-1)*costos!$F$38/3+((U81*F81)/(U$10*F$10)-1)*costos!$F$38/3+((L81*F81)/(L$10*F$10)-1)*costos!$G$38+((BU81)/(BU$10)-1)*costos!$J$38+((V81*F81)/(V$10*F$10)-1)*costos!$K$38)))</f>
        <v>810.20449871738617</v>
      </c>
      <c r="DK81" s="1">
        <v>500000</v>
      </c>
      <c r="DL81" s="1" t="s">
        <v>389</v>
      </c>
      <c r="DM81" s="1">
        <v>200000</v>
      </c>
      <c r="DN81" s="1" t="s">
        <v>389</v>
      </c>
      <c r="DO81" s="1">
        <v>1500000</v>
      </c>
      <c r="DP81" s="1" t="s">
        <v>389</v>
      </c>
      <c r="DQ81" s="1">
        <v>1800000</v>
      </c>
      <c r="DR81" s="1" t="s">
        <v>389</v>
      </c>
      <c r="DS81" s="1">
        <v>7300000</v>
      </c>
      <c r="DT81" s="1" t="s">
        <v>389</v>
      </c>
      <c r="DU81" s="1">
        <v>16300000</v>
      </c>
      <c r="DV81" s="1" t="s">
        <v>389</v>
      </c>
      <c r="DW81" s="1">
        <v>1000000</v>
      </c>
      <c r="DX81" s="1" t="s">
        <v>389</v>
      </c>
      <c r="DY81" s="1">
        <v>6750000</v>
      </c>
      <c r="DZ81" s="1" t="s">
        <v>389</v>
      </c>
      <c r="EA81" s="79">
        <f t="shared" si="353"/>
        <v>34650000</v>
      </c>
      <c r="EB81" s="1">
        <v>395000</v>
      </c>
      <c r="EC81" s="1" t="s">
        <v>389</v>
      </c>
      <c r="ED81" s="1">
        <v>191392</v>
      </c>
      <c r="EE81" s="143">
        <v>2021</v>
      </c>
      <c r="EF81" s="1">
        <v>211099</v>
      </c>
      <c r="EG81" s="6">
        <v>2021</v>
      </c>
      <c r="EH81" s="1">
        <v>53517534</v>
      </c>
      <c r="EI81" s="6">
        <v>2021</v>
      </c>
      <c r="EJ81" s="1">
        <v>5350999</v>
      </c>
      <c r="EK81" s="6">
        <v>2021</v>
      </c>
      <c r="EL81" s="1">
        <v>14571766</v>
      </c>
      <c r="EM81" s="6">
        <v>2020</v>
      </c>
      <c r="EN81" s="1">
        <v>3169981</v>
      </c>
      <c r="EO81" s="6">
        <v>2021</v>
      </c>
      <c r="EP81" s="82">
        <f t="shared" si="315"/>
        <v>6552</v>
      </c>
      <c r="EQ81" s="83">
        <v>3500000</v>
      </c>
      <c r="ER81" s="1">
        <f t="shared" si="189"/>
        <v>76133.333333333328</v>
      </c>
      <c r="ES81" s="1"/>
      <c r="ET81" s="83">
        <f t="shared" si="316"/>
        <v>16000</v>
      </c>
      <c r="EU81" s="83">
        <f t="shared" si="316"/>
        <v>19131</v>
      </c>
      <c r="EV81" s="83">
        <f t="shared" si="316"/>
        <v>9000</v>
      </c>
      <c r="EW81" s="83">
        <f t="shared" si="316"/>
        <v>17492</v>
      </c>
      <c r="EX81" s="79">
        <f t="shared" si="354"/>
        <v>61623</v>
      </c>
      <c r="EY81" s="83">
        <f t="shared" si="317"/>
        <v>19904</v>
      </c>
      <c r="EZ81" s="82">
        <f t="shared" si="317"/>
        <v>80798</v>
      </c>
      <c r="FA81" s="83">
        <f t="shared" si="331"/>
        <v>20331</v>
      </c>
      <c r="FB81" s="83">
        <f t="shared" si="332"/>
        <v>17550</v>
      </c>
      <c r="FC81" s="79">
        <f t="shared" si="307"/>
        <v>37881</v>
      </c>
      <c r="FD81" s="83">
        <f t="shared" si="158"/>
        <v>59807.5</v>
      </c>
      <c r="FE81" s="1"/>
      <c r="FF81" s="1">
        <v>1050000</v>
      </c>
      <c r="FG81" s="1" t="s">
        <v>377</v>
      </c>
      <c r="FH81" s="1">
        <v>1400000</v>
      </c>
      <c r="FI81" s="1" t="s">
        <v>377</v>
      </c>
      <c r="FJ81" s="1">
        <v>4500000</v>
      </c>
      <c r="FK81" s="1" t="s">
        <v>389</v>
      </c>
      <c r="FL81" s="1">
        <v>3400000</v>
      </c>
      <c r="FM81" s="1" t="s">
        <v>377</v>
      </c>
      <c r="FN81" s="1">
        <v>57000000</v>
      </c>
      <c r="FO81" s="1" t="s">
        <v>389</v>
      </c>
      <c r="FP81" s="1">
        <v>46000000</v>
      </c>
      <c r="FQ81" s="1" t="s">
        <v>377</v>
      </c>
      <c r="FR81" s="1">
        <v>3300000</v>
      </c>
      <c r="FS81" s="1" t="s">
        <v>377</v>
      </c>
      <c r="FT81" s="1">
        <v>22150000</v>
      </c>
      <c r="FU81" s="1" t="s">
        <v>389</v>
      </c>
      <c r="FV81" s="79">
        <f t="shared" si="355"/>
        <v>136350000</v>
      </c>
      <c r="FW81" s="1">
        <v>1280000</v>
      </c>
      <c r="FX81" s="1" t="s">
        <v>377</v>
      </c>
      <c r="FY81" s="83">
        <v>32004</v>
      </c>
      <c r="FZ81" s="79">
        <f t="shared" si="135"/>
        <v>882093</v>
      </c>
      <c r="GA81" s="86" t="str">
        <f t="shared" si="271"/>
        <v>ene21 dic21</v>
      </c>
      <c r="GB81" s="83">
        <v>22248266</v>
      </c>
      <c r="GC81" s="6">
        <v>2021</v>
      </c>
      <c r="GD81" s="83">
        <f t="shared" si="318"/>
        <v>2015989</v>
      </c>
      <c r="GE81" s="83">
        <f t="shared" si="318"/>
        <v>421371</v>
      </c>
      <c r="GF81" s="83">
        <v>1038163</v>
      </c>
      <c r="GG81" s="83">
        <f t="shared" si="268"/>
        <v>89478</v>
      </c>
      <c r="GH81" s="79">
        <f t="shared" si="240"/>
        <v>1549012</v>
      </c>
      <c r="GI81" s="82">
        <f t="shared" si="356"/>
        <v>1302556</v>
      </c>
      <c r="GJ81" s="83">
        <f>+GJ80</f>
        <v>600000</v>
      </c>
      <c r="GK81" s="83">
        <f>+GK80</f>
        <v>1362000</v>
      </c>
      <c r="GL81" s="83">
        <f>+GL80</f>
        <v>300000</v>
      </c>
      <c r="GM81" s="83">
        <f>+GM80</f>
        <v>261011.3</v>
      </c>
      <c r="GN81" s="79">
        <f t="shared" si="357"/>
        <v>2523011.2999999998</v>
      </c>
      <c r="GO81" s="83">
        <f t="shared" si="291"/>
        <v>199477</v>
      </c>
      <c r="GP81" s="83">
        <f t="shared" si="291"/>
        <v>72919</v>
      </c>
      <c r="GQ81" s="83">
        <v>198554.5</v>
      </c>
      <c r="GR81" s="1">
        <v>42288</v>
      </c>
      <c r="GS81" s="79">
        <f t="shared" si="192"/>
        <v>48244.635000000002</v>
      </c>
      <c r="GT81" s="83">
        <f t="shared" si="333"/>
        <v>2871705.88</v>
      </c>
      <c r="GU81" s="1">
        <v>15808</v>
      </c>
      <c r="GV81" s="1">
        <v>33781</v>
      </c>
      <c r="GW81" s="79">
        <f t="shared" si="261"/>
        <v>1087673</v>
      </c>
      <c r="GX81" s="1">
        <v>37480.696000000004</v>
      </c>
      <c r="GY81" s="1" t="s">
        <v>385</v>
      </c>
      <c r="GZ81" s="1">
        <v>97886.411999999997</v>
      </c>
      <c r="HA81" s="1">
        <v>260031</v>
      </c>
      <c r="HB81" s="79">
        <f t="shared" si="241"/>
        <v>2954713</v>
      </c>
      <c r="HC81" s="86" t="str">
        <f t="shared" si="272"/>
        <v>ene21 dic21</v>
      </c>
      <c r="HD81" s="1">
        <v>60367</v>
      </c>
      <c r="HE81" s="79">
        <f t="shared" si="139"/>
        <v>690611.95449000015</v>
      </c>
      <c r="HF81" s="86" t="str">
        <f t="shared" si="273"/>
        <v>ene21 dic21</v>
      </c>
      <c r="HG81" s="1">
        <v>206000</v>
      </c>
      <c r="HH81" s="79">
        <f t="shared" si="242"/>
        <v>2271259</v>
      </c>
      <c r="HI81" s="86" t="str">
        <f t="shared" si="274"/>
        <v>ene21 dic21</v>
      </c>
      <c r="HJ81" s="1">
        <v>92750</v>
      </c>
      <c r="HK81" s="79">
        <f t="shared" si="278"/>
        <v>63492</v>
      </c>
      <c r="HL81" s="86" t="str">
        <f t="shared" si="275"/>
        <v>ene21 dic21</v>
      </c>
      <c r="HM81" s="79">
        <f t="shared" si="358"/>
        <v>2334751</v>
      </c>
      <c r="HN81" s="87">
        <f t="shared" si="297"/>
        <v>3.4080806085152515E-2</v>
      </c>
      <c r="HO81" s="1">
        <v>1046800000</v>
      </c>
      <c r="HP81" s="79">
        <f t="shared" si="153"/>
        <v>11552.772459185899</v>
      </c>
      <c r="HQ81" s="86" t="str">
        <f t="shared" si="276"/>
        <v>ene21 dic21</v>
      </c>
      <c r="HR81" s="1"/>
      <c r="HS81" s="1"/>
      <c r="HT81" s="1"/>
      <c r="HU81" s="1">
        <v>700000</v>
      </c>
      <c r="HV81" s="1" t="s">
        <v>377</v>
      </c>
      <c r="HW81" s="1">
        <v>1510000</v>
      </c>
      <c r="HX81" s="1" t="s">
        <v>389</v>
      </c>
      <c r="HY81" s="1">
        <v>3190000</v>
      </c>
      <c r="HZ81" s="1" t="s">
        <v>377</v>
      </c>
      <c r="IA81" s="1">
        <f t="shared" si="319"/>
        <v>21410000</v>
      </c>
      <c r="IB81" s="1" t="s">
        <v>377</v>
      </c>
      <c r="IC81" s="1">
        <v>45150000</v>
      </c>
      <c r="ID81" s="1" t="s">
        <v>377</v>
      </c>
      <c r="IE81" s="1">
        <v>950000</v>
      </c>
      <c r="IF81" s="1" t="s">
        <v>377</v>
      </c>
      <c r="IG81" s="1">
        <f t="shared" si="320"/>
        <v>7200000</v>
      </c>
      <c r="IH81" s="1" t="s">
        <v>389</v>
      </c>
      <c r="II81" s="79">
        <f>+IG82+IE81+IC81+IA81+HY81+HW81</f>
        <v>79610000</v>
      </c>
      <c r="IJ81" s="97">
        <f t="shared" si="308"/>
        <v>1.9040737312717446</v>
      </c>
      <c r="IK81" s="1" t="s">
        <v>397</v>
      </c>
      <c r="IL81" s="7">
        <v>45.78</v>
      </c>
      <c r="IM81" s="7">
        <v>50.01</v>
      </c>
      <c r="IN81" s="97">
        <v>189</v>
      </c>
      <c r="IO81" s="7">
        <v>15.92</v>
      </c>
      <c r="IP81" s="176">
        <f t="shared" si="321"/>
        <v>6.0901675410995511</v>
      </c>
      <c r="IQ81" s="7">
        <v>18.2</v>
      </c>
      <c r="IR81" s="98">
        <f t="shared" si="322"/>
        <v>5.93</v>
      </c>
      <c r="IS81" s="98">
        <f t="shared" si="322"/>
        <v>5.67</v>
      </c>
      <c r="IT81" s="98">
        <f t="shared" si="322"/>
        <v>13.17</v>
      </c>
      <c r="IU81" s="98">
        <f t="shared" si="322"/>
        <v>1.55</v>
      </c>
      <c r="IV81" s="94">
        <f t="shared" si="360"/>
        <v>20.39</v>
      </c>
      <c r="IW81" s="1"/>
      <c r="IX81" s="1"/>
      <c r="IY81" s="105">
        <v>1.86</v>
      </c>
      <c r="IZ81" s="161">
        <v>0.3</v>
      </c>
      <c r="JA81" s="83">
        <v>2813</v>
      </c>
      <c r="JB81" s="7">
        <v>44.08</v>
      </c>
      <c r="JC81" s="1"/>
      <c r="JD81" s="1"/>
      <c r="JF81" s="2">
        <v>36.966978780000005</v>
      </c>
      <c r="JG81" s="2">
        <v>18.615418300000002</v>
      </c>
      <c r="JH81" s="2">
        <v>170.25123102999999</v>
      </c>
      <c r="JI81" s="2">
        <v>90.518450589999986</v>
      </c>
      <c r="JJ81" s="2">
        <v>772.05307218999997</v>
      </c>
      <c r="JK81" s="2">
        <v>101.04323145000002</v>
      </c>
      <c r="JL81" s="2">
        <v>2013.9351056799999</v>
      </c>
      <c r="JM81" s="2">
        <v>11.06087209</v>
      </c>
      <c r="JN81" s="2">
        <v>906.26920074999998</v>
      </c>
      <c r="JO81" s="2">
        <v>27.584707179999995</v>
      </c>
      <c r="JP81" s="2">
        <v>0</v>
      </c>
      <c r="JQ81" s="2">
        <v>0.42310799999999998</v>
      </c>
      <c r="JR81" s="2">
        <v>1.0038783</v>
      </c>
      <c r="JS81" s="2">
        <v>0</v>
      </c>
      <c r="JT81" s="2">
        <v>0.02</v>
      </c>
      <c r="JU81" s="2">
        <v>87.368185959999991</v>
      </c>
      <c r="JV81" s="2">
        <v>6.2900145800000011</v>
      </c>
      <c r="JW81" s="2">
        <v>7.2003783799999992</v>
      </c>
      <c r="JX81" s="2">
        <v>18.104494939999999</v>
      </c>
      <c r="JY81" s="2">
        <v>0</v>
      </c>
      <c r="JZ81" s="2">
        <v>2.3588369599999996</v>
      </c>
      <c r="KA81" s="2">
        <v>0.46656687000000002</v>
      </c>
      <c r="KB81" s="2">
        <v>37.50049885</v>
      </c>
      <c r="KC81" s="2">
        <v>107.27319134</v>
      </c>
      <c r="KD81" s="2">
        <v>12.037536670000001</v>
      </c>
      <c r="KE81" s="2">
        <v>12.158764520000002</v>
      </c>
      <c r="KF81" s="2">
        <v>41.20036829</v>
      </c>
      <c r="KG81" s="2">
        <v>376.8992246699998</v>
      </c>
      <c r="KH81" s="2">
        <v>160.17101445999995</v>
      </c>
      <c r="KI81" s="2">
        <v>23.426737739999997</v>
      </c>
      <c r="KJ81" s="2">
        <v>1.1447193399999998</v>
      </c>
      <c r="KK81" s="2">
        <v>8.2974750999999998</v>
      </c>
      <c r="KL81" s="2">
        <v>0.22456356</v>
      </c>
      <c r="KM81" s="2">
        <v>4.5627996899999994</v>
      </c>
      <c r="KN81" s="2">
        <v>0.24860429999999997</v>
      </c>
      <c r="KO81" s="2">
        <v>0.89269492000000017</v>
      </c>
      <c r="KP81" s="2">
        <v>9.1035300000000003E-3</v>
      </c>
      <c r="KQ81" s="2">
        <v>108.68376224999999</v>
      </c>
      <c r="KR81" s="2">
        <v>0.82354441</v>
      </c>
      <c r="KS81" s="2">
        <v>3.2486799999999999E-3</v>
      </c>
      <c r="KT81" s="2">
        <v>0.76797819</v>
      </c>
      <c r="KU81" s="2">
        <v>0.54888028</v>
      </c>
      <c r="KV81" s="2">
        <v>9.3158530000000003E-2</v>
      </c>
      <c r="KW81" s="2">
        <v>1.1462133699999999</v>
      </c>
      <c r="KX81" s="2">
        <v>0</v>
      </c>
      <c r="KY81" s="2">
        <v>0.15998566</v>
      </c>
      <c r="KZ81" s="2">
        <v>1.2487294999999998</v>
      </c>
      <c r="LA81" s="2">
        <v>1.2317533300000001</v>
      </c>
      <c r="LB81" s="2">
        <v>4.723513E-2</v>
      </c>
      <c r="LC81" s="2">
        <v>0.27748396000000003</v>
      </c>
      <c r="LD81" s="2">
        <v>0</v>
      </c>
      <c r="LE81" s="2">
        <v>0.25902568000000004</v>
      </c>
      <c r="LF81" s="2">
        <v>6.5727449999999993E-2</v>
      </c>
      <c r="LG81" s="2">
        <v>25.432942619999999</v>
      </c>
      <c r="LH81" s="2">
        <v>4.1819459200000004</v>
      </c>
      <c r="LI81" s="2">
        <v>1.98388981</v>
      </c>
      <c r="LJ81" s="2">
        <v>0</v>
      </c>
      <c r="LK81" s="2">
        <v>3.9152765500000002</v>
      </c>
      <c r="LL81" s="2">
        <v>5.3320271000000012</v>
      </c>
      <c r="LM81" s="2">
        <v>2.39777795</v>
      </c>
      <c r="LN81" s="2">
        <v>0.82918597999999999</v>
      </c>
      <c r="LO81" s="2">
        <v>17.52391695</v>
      </c>
      <c r="LQ81" s="85">
        <f t="shared" si="247"/>
        <v>3964.0879323299996</v>
      </c>
      <c r="LR81" s="85">
        <f t="shared" si="248"/>
        <v>1.4469863000000001</v>
      </c>
      <c r="LS81" s="85">
        <f t="shared" si="249"/>
        <v>13.490392960000001</v>
      </c>
      <c r="LT81" s="85">
        <f t="shared" si="250"/>
        <v>2.8254038299999995</v>
      </c>
      <c r="LU81" s="85">
        <f t="shared" si="251"/>
        <v>115.21465424999998</v>
      </c>
      <c r="LV81" s="85">
        <f t="shared" si="252"/>
        <v>1.3993575599999999</v>
      </c>
      <c r="LW81" s="85">
        <f t="shared" si="253"/>
        <v>1.2789884600000001</v>
      </c>
      <c r="LX81" s="85">
        <f t="shared" si="254"/>
        <v>0.32475313000000006</v>
      </c>
      <c r="LZ81" s="131">
        <v>121.41</v>
      </c>
      <c r="MA81" s="171">
        <v>114.82</v>
      </c>
      <c r="MB81"/>
      <c r="MC81"/>
      <c r="MD81"/>
      <c r="MF81"/>
      <c r="MG81"/>
      <c r="MH81" s="83">
        <v>207.97</v>
      </c>
      <c r="MI81" s="83">
        <v>59.46</v>
      </c>
      <c r="MJ81" s="83">
        <v>53.71</v>
      </c>
      <c r="MK81"/>
      <c r="ML81" s="83">
        <v>58.38</v>
      </c>
      <c r="MM81" s="83">
        <v>113.26</v>
      </c>
      <c r="MN81" s="83"/>
      <c r="MO81" s="83">
        <v>93.93</v>
      </c>
      <c r="MP81" s="83">
        <v>163.25</v>
      </c>
      <c r="MQ81" s="83">
        <v>184.72</v>
      </c>
      <c r="MR81"/>
      <c r="MT81" s="83"/>
      <c r="MU81" s="83">
        <v>64.349999999999994</v>
      </c>
      <c r="MV81"/>
      <c r="MW81"/>
      <c r="MX81"/>
      <c r="MY81" s="83">
        <v>216.78</v>
      </c>
      <c r="MZ81" s="83">
        <v>639</v>
      </c>
      <c r="NA81" s="83">
        <v>215.43</v>
      </c>
      <c r="NB81" s="83">
        <v>870.68</v>
      </c>
      <c r="NC81" s="83">
        <v>90.29</v>
      </c>
      <c r="ND81" s="1">
        <v>1019</v>
      </c>
      <c r="NE81" s="1">
        <v>593.57000000000005</v>
      </c>
    </row>
    <row r="82" spans="1:369">
      <c r="A82" s="38">
        <f t="shared" si="334"/>
        <v>44562</v>
      </c>
      <c r="B82" s="36">
        <v>1</v>
      </c>
      <c r="C82" s="36">
        <f>+C81+1</f>
        <v>2022</v>
      </c>
      <c r="D82" s="36">
        <f t="shared" si="347"/>
        <v>82</v>
      </c>
      <c r="E82" s="38">
        <f t="shared" si="335"/>
        <v>44562</v>
      </c>
      <c r="F82" s="7">
        <v>108.96</v>
      </c>
      <c r="G82" s="7">
        <v>605</v>
      </c>
      <c r="H82" s="1">
        <f>[2]NACIONALES!$D70</f>
        <v>60360</v>
      </c>
      <c r="I82" s="7">
        <v>85</v>
      </c>
      <c r="J82" s="7">
        <v>1050</v>
      </c>
      <c r="K82" s="7">
        <v>9.9</v>
      </c>
      <c r="L82" s="7">
        <v>29.1</v>
      </c>
      <c r="N82" s="5">
        <v>2.25</v>
      </c>
      <c r="O82" s="5">
        <v>2.02</v>
      </c>
      <c r="P82" s="78">
        <f t="shared" si="294"/>
        <v>220.99811999999997</v>
      </c>
      <c r="Q82" s="6">
        <v>2400</v>
      </c>
      <c r="R82" s="79">
        <f t="shared" si="336"/>
        <v>24000</v>
      </c>
      <c r="S82" s="6">
        <v>240.63</v>
      </c>
      <c r="T82" s="6">
        <v>470.95</v>
      </c>
      <c r="U82" s="143">
        <v>221.9238095238095</v>
      </c>
      <c r="V82" s="6">
        <v>363.17619047619053</v>
      </c>
      <c r="W82" s="6">
        <f>(256*0.88)-10</f>
        <v>215.28</v>
      </c>
      <c r="X82" s="6">
        <v>239.98124999999999</v>
      </c>
      <c r="Y82" s="79">
        <f t="shared" si="337"/>
        <v>26219.0448</v>
      </c>
      <c r="Z82" s="79">
        <f t="shared" si="338"/>
        <v>51314.711999999992</v>
      </c>
      <c r="AA82" s="79">
        <f t="shared" si="339"/>
        <v>24180.818285714282</v>
      </c>
      <c r="AB82" s="79">
        <f t="shared" si="340"/>
        <v>39571.677714285717</v>
      </c>
      <c r="AC82" s="79">
        <f t="shared" si="341"/>
        <v>23456.908799999997</v>
      </c>
      <c r="AD82" s="79">
        <f t="shared" si="342"/>
        <v>26148.356999999996</v>
      </c>
      <c r="AE82" s="79">
        <f t="shared" si="343"/>
        <v>31815.253099999998</v>
      </c>
      <c r="AF82" s="1">
        <v>75611.55</v>
      </c>
      <c r="AG82" s="1">
        <v>36830</v>
      </c>
      <c r="AH82" s="1">
        <v>139954</v>
      </c>
      <c r="AI82" s="5">
        <v>44.58</v>
      </c>
      <c r="AJ82" s="5">
        <v>38</v>
      </c>
      <c r="AK82" s="5">
        <v>34.46</v>
      </c>
      <c r="AL82" s="5">
        <v>30.44</v>
      </c>
      <c r="AM82" s="78">
        <f t="shared" si="344"/>
        <v>38.291999999999994</v>
      </c>
      <c r="AN82" s="7">
        <v>2471.4876033057853</v>
      </c>
      <c r="AO82" s="7">
        <v>1726.45</v>
      </c>
      <c r="AP82" s="78">
        <f t="shared" si="277"/>
        <v>1726.45</v>
      </c>
      <c r="AQ82" s="7">
        <v>920.70588235294122</v>
      </c>
      <c r="AR82" s="7">
        <v>825</v>
      </c>
      <c r="AS82" s="7">
        <v>653.51851851851848</v>
      </c>
      <c r="AT82" s="7">
        <v>1053.1785714285713</v>
      </c>
      <c r="AU82" s="78">
        <f t="shared" si="348"/>
        <v>843.89902998236323</v>
      </c>
      <c r="AV82" s="7">
        <v>478.10958904109589</v>
      </c>
      <c r="AW82" s="7">
        <v>1577.3333333333333</v>
      </c>
      <c r="AX82" s="7">
        <v>586.94266666666658</v>
      </c>
      <c r="AY82" s="7">
        <v>1550.8196721311476</v>
      </c>
      <c r="AZ82" s="7">
        <v>799.68866666666668</v>
      </c>
      <c r="BA82" s="7">
        <v>536</v>
      </c>
      <c r="BB82" s="94">
        <f t="shared" si="345"/>
        <v>933.65464966605953</v>
      </c>
      <c r="BC82" s="68">
        <v>5102</v>
      </c>
      <c r="BD82" s="68">
        <v>3157</v>
      </c>
      <c r="BE82" s="7">
        <v>3000</v>
      </c>
      <c r="BF82" s="7">
        <v>1500</v>
      </c>
      <c r="BG82" s="94">
        <f t="shared" si="349"/>
        <v>3189.75</v>
      </c>
      <c r="BH82" s="7">
        <v>191.89</v>
      </c>
      <c r="BI82" s="7">
        <f>+BI81</f>
        <v>111.89</v>
      </c>
      <c r="BJ82" s="78">
        <f t="shared" si="350"/>
        <v>303.77999999999997</v>
      </c>
      <c r="BK82" s="7">
        <v>235.023</v>
      </c>
      <c r="BL82" s="7">
        <v>304.92</v>
      </c>
      <c r="BM82" s="94">
        <f t="shared" si="351"/>
        <v>269.97149999999999</v>
      </c>
      <c r="BN82" s="5">
        <v>35.82</v>
      </c>
      <c r="BO82" s="84">
        <v>155.6</v>
      </c>
      <c r="BP82" s="175">
        <v>85.45</v>
      </c>
      <c r="BQ82" s="94">
        <f t="shared" si="346"/>
        <v>148.58499999999998</v>
      </c>
      <c r="BR82" s="97">
        <v>155</v>
      </c>
      <c r="BS82" s="97">
        <v>460</v>
      </c>
      <c r="BT82" s="7">
        <f>F82*1.13</f>
        <v>123.12479999999998</v>
      </c>
      <c r="BU82" s="79">
        <f t="shared" si="237"/>
        <v>5889.3743999999997</v>
      </c>
      <c r="BV82" s="93">
        <v>298.3</v>
      </c>
      <c r="BW82" s="93">
        <v>375</v>
      </c>
      <c r="BY82" s="92">
        <f>BY$10*(1+((H82/H$10-1)*costos!$B$5+((I82*F82)/(I$10*F$10)-1)*costos!$E$5+((J82*F82)/((J$10*F$10)-1)*costos!$F$5/3+((K82*F82)/(K$10*F$10)-1)*costos!$F$5/3+((U82*F82)/(U$10*F$10)-1)*costos!$F$5/3+((L82*F82)/(L$10*F$10)-1)*costos!$G$5+((N82*F82)/(N$10*F$10)-1)*costos!$J$5+((V82*F82)/(V$10*F$10)-1)*costos!$K$5)))</f>
        <v>1286.9858501829381</v>
      </c>
      <c r="BZ82" s="92">
        <f>$BZ$10*(1+((H82/$H$10-1)*costos!$B$6+((I82*F82)/($I$10*$F$10)-1)*costos!$E$6+((J82*F82)/(($J$10*$F$10)-1)*costos!$F$6/3+((K82*F82)/($K$10*$F$10)-1)*costos!$F$6/3+((U82*F82)/($U$10*$F$10)-1)*costos!$F$6/3+((L82*F82)/($L$10*$F$10)-1)*costos!$G$6+((Q82*F82)/($Q$10*$F$10)-1)*costos!$J$6+((V82*F82)/($V$10*$F$10)-1)*costos!$K$6)))</f>
        <v>993.04770380124853</v>
      </c>
      <c r="CA82" s="92">
        <f>CA$10*(1+((H82/H$10-1)*costos!$B$7+((I82*F82)/(I$10*F$10)-1)*costos!$E$7+((J82*F82)/((J$10*F$10)-1)*costos!$F$7/3+((K82*F82)/(K$10*F$10)-1)*costos!$F$7/3+((U82*F82)/(U$10*F$10)-1)*costos!$F$7/3+((L82*F82)/(L$10*F$10)-1)*costos!$G$7+((S82*F82)/(S$10*F$10)-1)*costos!$J$7+((V82*F82)/(V$10*F$10)-1)*costos!$K$7)))</f>
        <v>1234.2921657224808</v>
      </c>
      <c r="CB82" s="92">
        <f>CB$10*(1+((H82/H$10-1)*costos!$B$8+((I82*F82)/(I$10*F$10)-1)*costos!$E$8+((J82*F82)/((J$10*F$10)-1)*costos!$F$8/3+((K82*F82)/(K$10*F$10)-1)*costos!$F$8/3+((U82*F82)/(U$10*F$10)-1)*costos!$F$8/3+((L82*F82)/(L$10*F$10)-1)*costos!$G$8+((T82*F82)/(T$10*F$10)-1)*costos!$J$8+((V82*F82)/(V$10*F$10)-1)*costos!$K$8)))</f>
        <v>1193.81009575382</v>
      </c>
      <c r="CC82" s="92">
        <f>CC$10*(1+((H82/H$10-1)*costos!$B$9+((I82*F82)/(I$10*F$10)-1)*costos!$E$9+((J82*F82)/((J$10*F$10)-1)*costos!$F$9/3+((K82*F82)/(K$10*F$10)-1)*costos!$F$9/3+((U82*F82)/(U$10*F$10)-1)*costos!$F$9/3+((L82*F82)/(L$10*F$10)-1)*costos!$G$9+((U82*F82)/(U$10*F$10)-1)*costos!$J$9+((V82*F82)/(V$10*F$10)-1)*costos!$K$9)))</f>
        <v>1163.5498139744805</v>
      </c>
      <c r="CD82" s="92">
        <f>CD$10*(1+((H82/H$10-1)*costos!$B$11+((I82*F82)/(I$10*F$10)-1)*costos!$E$11+((J82*F82)/((J$10*F$10)-1)*costos!$F$11/3+((K82*F82)/(K$10*F$10)-1)*costos!$F$11/3+((U82*F82)/(U$10*F$10)-1)*costos!$F$11/3+((L82*F82)/(L$10*F$10)-1)*costos!$G$11+((V82*F82)/(V$10*F$10)-1)*costos!$J$11+((V82*F82)/(V$10*F$10)-1)*costos!$K$11)))</f>
        <v>1218.2417132260316</v>
      </c>
      <c r="CE82" s="92">
        <f>CE$10*(1+((H82/H$10-1)*costos!$B$12+((I82*F82)/(I$10*F$10)-1)*costos!$E$12+((J82*F82)/((J$10*F$10)-1)*costos!$F$12/3+((K82*F82)/(K$10*F$10)-1)*costos!$F$12/3+((U82*F82)/(U$10*F$10)-1)*costos!$F$12/3+((L82*F82)/(L$10*F$10)-1)*costos!$G$12+((W82*F82)/(W$10*F$10)-1)*costos!$J$12+((V82*F82)/(V$10*F$10)-1)*costos!$K$12)))</f>
        <v>1124.5648912694476</v>
      </c>
      <c r="CF82" s="92">
        <f>CF$10*(1+((H82/H$10-1)*costos!$B$13+((I82*F82)/(I$10*F$10)-1)*costos!$E$13+((J82*F82)/((J$10*F$10)-1)*costos!$F$13/3+((K82*F82)/(K$10*F$10)-1)*costos!$F$13/3+((U82*F82)/(U$10*F$10)-1)*costos!$F$13/3+((L82*F82)/(L$10*F$10)-1)*costos!$G$13+((X82*F82)/(X$10*F$10)-1)*costos!$J$13+((V82*F82)/(V$10*F$10)-1)*costos!$K$13)))</f>
        <v>1226.2545312401469</v>
      </c>
      <c r="CG82" s="92">
        <f t="shared" si="361"/>
        <v>1193.4522018644013</v>
      </c>
      <c r="CH82" s="92">
        <f>CH$10*(1+((H82/H$10-1)*costos!$B$10+((I82*F82)/(I$10*F$10)-1)*costos!$E$10+((J82*F82)/((J$10*F$10)-1)*costos!$F$10/3+((K82*F82)/(K$10*F$10)-1)*costos!$F$10/3+((U82*F82)/(U$10*F$10)-1)*costos!$F$10/3+((L82*F82)/(L$10*F$10)-1)*costos!$G$10+((AF82)/(AF$10)-1)*costos!$J$10+((V82*F82)/(V$10*F$10)-1)*costos!$K$10)))</f>
        <v>1188.5492224255586</v>
      </c>
      <c r="CI82" s="92">
        <f>CI$10*(1+((H82/H$10-1)*costos!$B$15+((I82*F82)/(I$10*F$10)-1)*costos!$E$15+((J82*F82)/((J$10*F$10)-1)*costos!$F$15/3+((K82*F82)/(K$10*F$10)-1)*costos!$F$15/3+((U82*F82)/(U$10*F$10)-1)*costos!$F$15/3+((L82*F82)/(L$10*F$10)-1)*costos!$G$15+((AV82)/(AV$10)-1)*costos!$J$15+((V82*F82)/(V$10*F$10)-1)*costos!$K$15)))</f>
        <v>1192.393745297645</v>
      </c>
      <c r="CJ82" s="92">
        <f>CJ$10*(1+((H82/H$10-1)*costos!$B$16+((I82*F82)/(I$10*F$10)-1)*costos!$E$16+((J82*F82)/((J$10*F$10)-1)*costos!$F$16/3+((K82*F82)/(K$10*F$10)-1)*costos!$F$16/3+((U82*F82)/(U$10*F$10)-1)*costos!$F$16/3+((L82*F82)/(L$10*F$10)-1)*costos!$G$16+((AW82)/(AW$10)-1)*costos!$J$16+((V82*F82)/(V$10*F$10)-1)*costos!$K$16)))</f>
        <v>928.16237397642033</v>
      </c>
      <c r="CK82" s="92">
        <f>CK$10*(1+((H82/H$10-1)*costos!$B$17+((I82*F82)/(I$10*F$10)-1)*costos!$E$17+((J82*F82)/((J$10*F$10)-1)*costos!$F$17/3+((K82*F82)/(K$10*F$10)-1)*costos!$F$17/3+((U82*F82)/(U$10*F$10)-1)*costos!$F$17/3+((L82*F82)/(L$10*F$10)-1)*costos!$G$17+((AX82)/(AX$10)-1)*costos!$J$17+((V82*F82)/(V$10*F$10)-1)*costos!$K$17)))</f>
        <v>1076.5115913777684</v>
      </c>
      <c r="CL82" s="92">
        <f>CL$10*(1+((H82/H$10-1)*costos!$B$18+((I82*F82)/(I$10*F$10)-1)*costos!$E$18+((J82*F82)/((J$10*F$10)-1)*costos!$F$18/3+((K82*F82)/(K$10*F$10)-1)*costos!$F$18/3+((U82*F82)/(U$10*F$10)-1)*costos!$F$18/3+((L82*F82)/(L$10*F$10)-1)*costos!$G$18+((AY82)/(AY$10)-1)*costos!$J$18+((V82*F82)/(V$10*F$10)-1)*costos!$K$18)))</f>
        <v>1292.3979800010018</v>
      </c>
      <c r="CM82" s="92">
        <f>CM$10*(1+((H82/H$10-1)*costos!$B$19+((I82*F82)/(I$10*F$10)-1)*costos!$E$19+((J82*F82)/((J$10*F$10)-1)*costos!$F$19/3+((K82*F82)/(K$10*F$10)-1)*costos!$F$19/3+((U82*F82)/(U$10*F$10)-1)*costos!$F$19/3+((L82*F82)/(L$10*F$10)-1)*costos!$G$19+((AZ82)/(AZ$10)-1)*costos!$J$19+((V82*F82)/(V$10*F$10)-1)*costos!$K$19)))</f>
        <v>897.9765625720139</v>
      </c>
      <c r="CN82" s="92">
        <f>CN$10*(1+((H82/H$10-1)*costos!$B$20+((I82*F82)/(I$10*F$10)-1)*costos!$E$20+((J82*F82)/((J$10*F$10)-1)*costos!$F$20/3+((K82*F82)/(K$10*F$10)-1)*costos!$F$20/3+((U82*F82)/(U$10*F$10)-1)*costos!$F$20/3+((L82*F82)/(L$10*F$10)-1)*costos!$G$20+((BA82)/(BA$10)-1)*costos!$J$20+((V82*F82)/(V$10*F$10)-1)*costos!$K$20)))</f>
        <v>915.29181293170291</v>
      </c>
      <c r="CO82" s="92">
        <f t="shared" si="362"/>
        <v>1045.5444867206218</v>
      </c>
      <c r="CP82" s="92">
        <f>CP$10*(1+((H82/H$10-1)*costos!$B$22+((I82*F82)/(I$10*F$10)-1)*costos!$E$22+((J82*F82)/((J$10*F$10)-1)*costos!$F$22/3+((K82*F82)/(K$10*F$10)-1)*costos!$F$22/3+((U82*F82)/(U$10*F$10)-1)*costos!$F$22/3+((L82*F82)/(L$10*F$10)-1)*costos!$G$22+(((AVERAGE(AI82:AL82))/((AVERAGE(AI$10:AL$10))-1)*costos!$J$22+((V82*F82)/(V$10*F$10)-1)*costos!$K$22)))))</f>
        <v>1133.2995626308661</v>
      </c>
      <c r="CQ82" s="92">
        <f>CQ$10*(1+((H82/H$10-1)*costos!$B$23+((I82*F82)/(I$10*F$10)-1)*costos!$E$23+((J82*F82)/((J$10*F$10)-1)*costos!$F$23/3+((K82*F82)/(K$10*F$10)-1)*costos!$F$23/3+((U82*F82)/(U$10*F$10)-1)*costos!$F$23/3+((L82*F82)/(L$10*F$10)-1)*costos!$G$23+((AN82)/(AN$10)-1)*costos!$J$23+((V82*F82)/(V$10*F$10)-1)*costos!$K$23)))</f>
        <v>982.55187702087312</v>
      </c>
      <c r="CR82" s="92">
        <f>CR$10*(1+((H82/H$10-1)*costos!$B$24+((I82*F82)/(I$10*F$10)-1)*costos!$E$24+((J82*F82)/((J$10*F$10)-1)*costos!$F$24/3+((K82*F82)/(K$10*F$10)-1)*costos!$F$24/3+((U82*F82)/(U$10*F$10)-1)*costos!$F$24/3+((L82*F82)/(L$10*F$10)-1)*costos!$G$24+((AO82)/(AO$10)-1)*costos!$J$24+((V82*F82)/(V$10*F$10)-1)*costos!$K$24)))</f>
        <v>1003.0324918777097</v>
      </c>
      <c r="CS82" s="92">
        <f t="shared" si="352"/>
        <v>992.79218444929143</v>
      </c>
      <c r="CT82" s="92">
        <f>CT$10*(1+((H82/H$10-1)*costos!$B$25+((I82*F82)/(I$10*F$10)-1)*costos!$E$25+((J82*F82)/((J$10*F$10)-1)*costos!$F$25/3+((K82*F82)/(K$10*F$10)-1)*costos!$F$25/3+((U82*F82)/(U$10*F$10)-1)*costos!$F$25/3+((L82*F82)/(L$10*F$10)-1)*costos!$G$25+((AQ82)/(AQ$10)-1)*costos!$J$25+((V82*F82)/(V$10*F$10)-1)*costos!$K$25)))</f>
        <v>945.98702501928767</v>
      </c>
      <c r="CU82" s="92">
        <f>CU$10*(1+((H82/H$10-1)*costos!$B$26+((I82*F82)/(I$10*F$10)-1)*costos!$E$26+((J82*F82)/((J$10*F$10)-1)*costos!$F$26/3+((K82*F82)/(K$10*F$10)-1)*costos!$F$26/3+((U82*F82)/(U$10*F$10)-1)*costos!$F$26/3+((L82*F82)/(L$10*F$10)-1)*costos!$G$26+((AR82)/(AR$10)-1)*costos!$J$26+((V82*F82)/(V$10*F$10)-1)*costos!$K$26)))</f>
        <v>1037.8014197412181</v>
      </c>
      <c r="CV82" s="92">
        <f>CV$10*(1+((H82/H$10-1)*costos!$B$27+((I82*F82)/(I$10*F$10)-1)*costos!$E$27+((J82*F82)/((J$10*F$10)-1)*costos!$F$27/3+((K82*F82)/(K$10*F$10)-1)*costos!$F$27/3+((U82*F82)/(U$10*F$10)-1)*costos!$F$27/3+((L82*F82)/(L$10*F$10)-1)*costos!$G$27+((AS82)/(AS$10)-1)*costos!$J$27+((V82*F82)/(V$10*F$10)-1)*costos!$K$27)))</f>
        <v>1025.3461588012553</v>
      </c>
      <c r="CW82" s="92">
        <f>CW$10*(1+((H82/H$10-1)*costos!$B$28+((I82*F82)/(I$10*F$10)-1)*costos!$E$28+((J82*F82)/((J$10*F$10)-1)*costos!$F$28/3+((K82*F82)/(K$10*F$10)-1)*costos!$F$28/3+((U82*F82)/(U$10*F$10)-1)*costos!$F$28/3+((L82*F82)/(L$10*F$10)-1)*costos!$G$28+((AS82)/(AS$10)-1)*costos!$J$28+((V82*F82)/(V$10*F$10)-1)*costos!$K$28)))</f>
        <v>1025.3461588012553</v>
      </c>
      <c r="CX82" s="92">
        <f t="shared" si="363"/>
        <v>1029.4979124479096</v>
      </c>
      <c r="CY82" s="92">
        <f>CY$10*(1+((H82/H$10-1)*costos!$B$32+((I82*F82)/(I$10*F$10)-1)*costos!$E$32+((J82*F82)/((J$10*F$10)-1)*costos!$F$32/3+((K82*F82)/(K$10*F$10)-1)*costos!$F$32/3+((U82*F82)/(U$10*F$10)-1)*costos!$F$32/3+((L82*F82)/(L$10*F$10)-1)*costos!$G$32+((AG82)/(AG$10)-1)*costos!$J$32+((V82*F82)/(V$10*F$10)-1)*costos!$K$32)))</f>
        <v>887.64555934522423</v>
      </c>
      <c r="CZ82" s="69">
        <f>CZ$10*(1+((H82/H$10-1)*costos!$B$31+((I82*F82)/(I$10*F$10)-1)*costos!$E$30+((J82*F82)/((J$10*F$10)-1)*costos!$F$30/3+((K82*F82)/(K$10*F$10)-1)*costos!$F$30/3+((U82*F82)/(U$10*F$10)-1)*costos!$F$30/3+((L82*F82)/(L$10*F$10)-1)*costos!$G$30+((BG82)/(BG$10)-1)*costos!$J$30+((V82*F82)/(V$10*F$10)-1)*costos!$K$30)))</f>
        <v>1121.9846909866869</v>
      </c>
      <c r="DA82" s="69">
        <f>DA$10*(1+((H82/H$10-1)*costos!$B$31+((I82*F82)/(I$10*F$10)-1)*costos!$E$31+((J82*F82)/((J$10*F$10)-1)*costos!$F$31/3+((K82*F82)/(K$10*F$10)-1)*costos!$F$31/3+((U82*F82)/(U$10*F$10)-1)*costos!$F$31/3+((L82*F82)/(L$10*F$10)-1)*costos!$G$31+((BJ82)/(BJ$10)-1)*costos!$J$31+((V82*F82)/(V$10*F$10)-1)*costos!$K$31)))</f>
        <v>951.80973493144234</v>
      </c>
      <c r="DB82" s="69">
        <f>DB$10*(1+((H82/H$10-1)*costos!$B$36+((I82*F82)/(I$10*F$10)-1)*costos!$E$36+((J82*F82)/((J$10*F$10)-1)*costos!$F$36/3+((K82*F82)/(K$10*F$10)-1)*costos!$F$36/3+((U82*F82)/(U$10*F$10)-1)*costos!$F$36/3+((L82*F82)/(L$10*F$10)-1)*costos!$G$36+((BK82)/(BK$10)-1)*costos!$J$36+((V82*F82)/(V$10*F$10)-1)*costos!$K$36)))</f>
        <v>1130.2712908752228</v>
      </c>
      <c r="DC82" s="69">
        <f>DC$10*(1+((H82/H$10-1)*costos!$B$37+((I82*F82)/(I$10*F$10)-1)*costos!$E$37+((U82*F82)/(U$10*F$10)-1)*costos!$F$37+((L82*F82)/(L$10*F$10)-1)*costos!$G$37+((BN82)/(BN$10)-1)*costos!$J$37+((V82*F82)/(V$10*F$10)-1)*costos!$K$37))</f>
        <v>1061.1960469534474</v>
      </c>
      <c r="DD82" s="69">
        <f>DD$10*(1+((H82/H$10-1)*costos!$B$39+((I82*F82)/(I$10*F$10)-1)*costos!$E$39+((U82*F82)/(U$10*F$10)-1)*costos!$F$39+((L82*F82)/(L$10*F$10)-1)*costos!$G$39+((BR82)/(BR$10)-1)*costos!$J$39+((V82*F82)/(V$10*F$10)-1)*costos!$K$39))</f>
        <v>1057.9779656806461</v>
      </c>
      <c r="DE82" s="69">
        <f>DD$10*(1+((H82/H$10-1)*costos!$B$35+((I82*F82)/(I$10*F$10)-1)*costos!$E$35+((U82*F82)/(U$10*F$10)-1)*costos!$F$35+((L82*F82)/(L$10*F$10)-1)*costos!$G$35+((BR82)/(BR$10)-1)*costos!$J$35+((V82*F82)/(V$10*F$10)-1)*costos!$K$35))</f>
        <v>973.797708589953</v>
      </c>
      <c r="DF82" s="69">
        <f>DF$10*(1+((H82/H$10-1)*costos!$B$40+((I82*F82)/(I$10*F$10)-1)*costos!$E$40+((U82*F82)/(U$10*F$10)-1)*costos!$F$40+((L82*F82)/(L$10*F$10)-1)*costos!$G$40+((BP82)/(BP$10)-1)*costos!$J$40+((V82*F82)/(V$10*F$10)-1)*costos!$K$40))</f>
        <v>1098.4719552661566</v>
      </c>
      <c r="DG82" s="92">
        <f t="shared" si="364"/>
        <v>1036.1348319280548</v>
      </c>
      <c r="DH82" s="69">
        <f>DH$10*(1+((H82/H$10-1)*costos!$B$34+((I82*F82)/(I$10*F$10)-1)*costos!$E$34+((J82*F82)/((J$10*F$10)-1)*costos!$F$34/3+((K82*F82)/(K$10*F$10)-1)*costos!$F$34/3+((U82*F82)/(U$10*F$10)-1)*costos!$F$34/3+((L82*F82)/(L$10*F$10)-1)*costos!$G$34+((BV82)/(BV$10)-1)*costos!$J$34+((V82*F82)/(V$10*F$10)-1)*costos!$K$34)))</f>
        <v>1047.5498997847862</v>
      </c>
      <c r="DI82" s="69">
        <f>DI$10*(1+((H82/H$10-1)*costos!$B$38+((I82*F82)/(I$10*F$10)-1)*costos!$E$38+((J82*F82)/((J$10*F$10)-1)*costos!$F$38/3+((K82*F82)/(K$10*F$10)-1)*costos!$F$38/3+((U82*F82)/(U$10*F$10)-1)*costos!$F$38/3+((L82*F82)/(L$10*F$10)-1)*costos!$G$38+((BU82)/(BU$10)-1)*costos!$J$38+((V82*F82)/(V$10*F$10)-1)*costos!$K$38)))</f>
        <v>898.38159102763552</v>
      </c>
      <c r="DK82" s="1">
        <v>500000</v>
      </c>
      <c r="DL82" s="1" t="s">
        <v>389</v>
      </c>
      <c r="DM82" s="1">
        <v>200000</v>
      </c>
      <c r="DN82" s="1" t="s">
        <v>389</v>
      </c>
      <c r="DO82" s="1">
        <v>1600000</v>
      </c>
      <c r="DP82" s="1" t="s">
        <v>389</v>
      </c>
      <c r="DQ82" s="1">
        <v>1800000</v>
      </c>
      <c r="DR82" s="1" t="s">
        <v>389</v>
      </c>
      <c r="DS82" s="1">
        <v>7300000</v>
      </c>
      <c r="DT82" s="1" t="s">
        <v>389</v>
      </c>
      <c r="DU82" s="1">
        <v>16300000</v>
      </c>
      <c r="DV82" s="1" t="s">
        <v>389</v>
      </c>
      <c r="DW82" s="1">
        <v>1000000</v>
      </c>
      <c r="DX82" s="1" t="s">
        <v>389</v>
      </c>
      <c r="DY82" s="1">
        <v>6750000</v>
      </c>
      <c r="DZ82" s="1" t="s">
        <v>389</v>
      </c>
      <c r="EA82" s="79">
        <f t="shared" si="353"/>
        <v>34750000</v>
      </c>
      <c r="EB82" s="1">
        <v>395000</v>
      </c>
      <c r="EC82" s="1" t="s">
        <v>389</v>
      </c>
      <c r="ED82" s="1">
        <v>209277</v>
      </c>
      <c r="EE82" s="143">
        <v>2022</v>
      </c>
      <c r="EF82" s="1">
        <v>207047</v>
      </c>
      <c r="EG82" s="6">
        <v>2022</v>
      </c>
      <c r="EH82" s="1">
        <v>53416435</v>
      </c>
      <c r="EI82" s="6">
        <v>2022</v>
      </c>
      <c r="EJ82" s="1">
        <v>5350999</v>
      </c>
      <c r="EK82" s="6">
        <v>2021</v>
      </c>
      <c r="EL82" s="1">
        <v>14571766</v>
      </c>
      <c r="EM82" s="6">
        <v>2020</v>
      </c>
      <c r="EN82" s="1">
        <v>3169981</v>
      </c>
      <c r="EO82" s="6">
        <v>2021</v>
      </c>
      <c r="EP82" s="82">
        <f t="shared" si="315"/>
        <v>6552</v>
      </c>
      <c r="EQ82" s="83">
        <v>3500000</v>
      </c>
      <c r="ER82" s="1">
        <f>38000+27500+1370/0.15</f>
        <v>74633.333333333328</v>
      </c>
      <c r="ES82" s="1"/>
      <c r="ET82" s="83">
        <v>17456</v>
      </c>
      <c r="EU82" s="83">
        <v>19445</v>
      </c>
      <c r="EV82" s="83">
        <v>9018</v>
      </c>
      <c r="EW82" s="83">
        <v>17386</v>
      </c>
      <c r="EX82" s="79">
        <f t="shared" si="354"/>
        <v>63305</v>
      </c>
      <c r="EY82" s="83">
        <v>20049</v>
      </c>
      <c r="EZ82" s="83">
        <f>1343+8417+361+4261+4576+7292+576+6812</f>
        <v>33638</v>
      </c>
      <c r="FA82" s="83">
        <v>19948</v>
      </c>
      <c r="FB82" s="83">
        <v>15432</v>
      </c>
      <c r="FC82" s="79">
        <f t="shared" si="307"/>
        <v>35380</v>
      </c>
      <c r="FD82" s="83">
        <v>53669</v>
      </c>
      <c r="FE82" s="1"/>
      <c r="FF82" s="1">
        <v>1050000</v>
      </c>
      <c r="FG82" s="1" t="s">
        <v>377</v>
      </c>
      <c r="FH82" s="1">
        <v>1400000</v>
      </c>
      <c r="FI82" s="1" t="s">
        <v>377</v>
      </c>
      <c r="FJ82" s="1">
        <v>5200000</v>
      </c>
      <c r="FK82" s="1" t="s">
        <v>389</v>
      </c>
      <c r="FL82" s="1">
        <v>3600000</v>
      </c>
      <c r="FM82" s="1" t="s">
        <v>389</v>
      </c>
      <c r="FN82" s="1">
        <v>51000000</v>
      </c>
      <c r="FO82" s="1" t="s">
        <v>389</v>
      </c>
      <c r="FP82" s="1">
        <v>46000000</v>
      </c>
      <c r="FQ82" s="1" t="s">
        <v>377</v>
      </c>
      <c r="FR82" s="1">
        <v>3300000</v>
      </c>
      <c r="FS82" s="1" t="s">
        <v>377</v>
      </c>
      <c r="FT82" s="1">
        <v>22150000</v>
      </c>
      <c r="FU82" s="1" t="s">
        <v>389</v>
      </c>
      <c r="FV82" s="79">
        <f t="shared" si="355"/>
        <v>131250000</v>
      </c>
      <c r="FW82" s="1">
        <v>1280000</v>
      </c>
      <c r="FX82" s="1" t="s">
        <v>377</v>
      </c>
      <c r="FY82" s="83">
        <v>11256</v>
      </c>
      <c r="FZ82" s="79">
        <f t="shared" si="135"/>
        <v>880003</v>
      </c>
      <c r="GA82" s="86" t="str">
        <f t="shared" si="271"/>
        <v>feb21 ene22</v>
      </c>
      <c r="GB82" s="1">
        <v>19368031</v>
      </c>
      <c r="GC82" s="6">
        <v>2022</v>
      </c>
      <c r="GD82" s="83">
        <v>2141365</v>
      </c>
      <c r="GE82" s="83">
        <v>369608</v>
      </c>
      <c r="GF82" s="83">
        <v>1008563</v>
      </c>
      <c r="GG82" s="83">
        <v>94581</v>
      </c>
      <c r="GH82" s="79">
        <f t="shared" si="240"/>
        <v>1472752</v>
      </c>
      <c r="GI82" s="82">
        <f t="shared" si="356"/>
        <v>1302556</v>
      </c>
      <c r="GJ82" s="83">
        <v>665558</v>
      </c>
      <c r="GK82" s="83">
        <v>1393000</v>
      </c>
      <c r="GL82" s="83">
        <v>300028.90000000002</v>
      </c>
      <c r="GM82" s="83">
        <v>259304.56</v>
      </c>
      <c r="GN82" s="79">
        <f t="shared" si="357"/>
        <v>2617891.46</v>
      </c>
      <c r="GO82" s="83">
        <v>200935</v>
      </c>
      <c r="GP82" s="83">
        <v>73046</v>
      </c>
      <c r="GQ82" s="83">
        <v>150722</v>
      </c>
      <c r="GR82" s="1">
        <v>42288</v>
      </c>
      <c r="GS82" s="79">
        <f t="shared" si="192"/>
        <v>46809.66</v>
      </c>
      <c r="GT82" s="83">
        <v>2410599</v>
      </c>
      <c r="GU82" s="1">
        <v>25828</v>
      </c>
      <c r="GV82" s="1">
        <v>27745</v>
      </c>
      <c r="GW82" s="79">
        <f t="shared" si="261"/>
        <v>1093193</v>
      </c>
      <c r="GX82" s="1">
        <v>33063.449999999997</v>
      </c>
      <c r="GY82" s="1" t="s">
        <v>398</v>
      </c>
      <c r="GZ82" s="1">
        <v>91610</v>
      </c>
      <c r="HA82" s="1">
        <f>454356-HA83</f>
        <v>222630</v>
      </c>
      <c r="HB82" s="79">
        <f t="shared" si="241"/>
        <v>2952446</v>
      </c>
      <c r="HC82" s="86" t="str">
        <f t="shared" si="272"/>
        <v>feb21 ene22</v>
      </c>
      <c r="HD82" s="1">
        <v>48651</v>
      </c>
      <c r="HE82" s="79">
        <f t="shared" si="139"/>
        <v>688645.95449000015</v>
      </c>
      <c r="HF82" s="86" t="str">
        <f t="shared" si="273"/>
        <v>feb21 ene22</v>
      </c>
      <c r="HG82" s="83">
        <v>183350</v>
      </c>
      <c r="HH82" s="79">
        <f t="shared" si="242"/>
        <v>2288609</v>
      </c>
      <c r="HI82" s="86" t="str">
        <f t="shared" si="274"/>
        <v>feb21 ene22</v>
      </c>
      <c r="HJ82" s="1">
        <v>101953</v>
      </c>
      <c r="HK82" s="79">
        <f t="shared" si="278"/>
        <v>63928.68</v>
      </c>
      <c r="HL82" s="86" t="str">
        <f t="shared" si="275"/>
        <v>feb21 ene22</v>
      </c>
      <c r="HM82" s="79">
        <f t="shared" si="358"/>
        <v>2352537.6800000002</v>
      </c>
      <c r="HN82" s="87">
        <f t="shared" si="297"/>
        <v>-9.1270267368195324E-3</v>
      </c>
      <c r="HO82" s="1">
        <v>922800000</v>
      </c>
      <c r="HP82" s="79">
        <f t="shared" si="153"/>
        <v>11544.272459185899</v>
      </c>
      <c r="HQ82" s="86" t="str">
        <f t="shared" si="276"/>
        <v>feb21 ene22</v>
      </c>
      <c r="HR82" s="1"/>
      <c r="HS82" s="1"/>
      <c r="HT82" s="1"/>
      <c r="HU82" s="1">
        <v>700000</v>
      </c>
      <c r="HV82" s="1" t="s">
        <v>377</v>
      </c>
      <c r="HW82" s="1">
        <v>1500000</v>
      </c>
      <c r="HX82" s="1" t="s">
        <v>399</v>
      </c>
      <c r="HY82" s="1">
        <v>3850000</v>
      </c>
      <c r="HZ82" s="1" t="s">
        <v>389</v>
      </c>
      <c r="IA82" s="1">
        <f t="shared" si="319"/>
        <v>21410000</v>
      </c>
      <c r="IB82" s="1" t="s">
        <v>377</v>
      </c>
      <c r="IC82" s="1">
        <v>45150000</v>
      </c>
      <c r="ID82" s="1" t="s">
        <v>377</v>
      </c>
      <c r="IE82" s="1">
        <v>950000</v>
      </c>
      <c r="IF82" s="1" t="s">
        <v>377</v>
      </c>
      <c r="IG82" s="1">
        <f t="shared" ref="IG82:IG103" si="365">(6.5+0.9)*1000000</f>
        <v>7400000</v>
      </c>
      <c r="IH82" s="1" t="s">
        <v>399</v>
      </c>
      <c r="II82" s="79">
        <f>+IG83+IE82+IC82+IA82+HY82+HW82</f>
        <v>80260000</v>
      </c>
      <c r="IJ82" s="97">
        <f t="shared" si="308"/>
        <v>1.9040737312717446</v>
      </c>
      <c r="IK82" s="1" t="s">
        <v>397</v>
      </c>
      <c r="IL82" s="7">
        <v>43.11</v>
      </c>
      <c r="IM82" s="7">
        <v>43.19</v>
      </c>
      <c r="IN82" s="97">
        <v>189</v>
      </c>
      <c r="IO82" s="7">
        <v>15.92</v>
      </c>
      <c r="IP82" s="176">
        <f>275807989/IP$2</f>
        <v>5.9356067942694777</v>
      </c>
      <c r="IQ82" s="7">
        <v>18</v>
      </c>
      <c r="IR82" s="98">
        <v>7.01</v>
      </c>
      <c r="IS82" s="98">
        <v>4.3099999999999996</v>
      </c>
      <c r="IT82" s="98">
        <v>13.02</v>
      </c>
      <c r="IU82" s="98">
        <v>1.44</v>
      </c>
      <c r="IV82" s="94">
        <f t="shared" si="360"/>
        <v>18.77</v>
      </c>
      <c r="IW82" s="1"/>
      <c r="IX82" s="1"/>
      <c r="IY82" s="105">
        <v>1.88</v>
      </c>
      <c r="IZ82" s="161">
        <v>0.3</v>
      </c>
      <c r="JA82" s="83">
        <v>2813</v>
      </c>
      <c r="JB82" s="7">
        <v>40.33</v>
      </c>
      <c r="JC82" s="1"/>
      <c r="JD82" s="1"/>
      <c r="JF82" s="2">
        <v>29.607061230000014</v>
      </c>
      <c r="JG82" s="2">
        <v>9.4211813300000014</v>
      </c>
      <c r="JH82" s="2">
        <v>275.31950662999998</v>
      </c>
      <c r="JI82" s="2">
        <v>270.14558024999997</v>
      </c>
      <c r="JJ82" s="2">
        <v>606.6397604399998</v>
      </c>
      <c r="JK82" s="2">
        <v>98.751018079999994</v>
      </c>
      <c r="JL82" s="2">
        <v>1847.74274472</v>
      </c>
      <c r="JM82" s="2">
        <v>19.621450599999999</v>
      </c>
      <c r="JN82" s="2">
        <v>1248.9021595800002</v>
      </c>
      <c r="JO82" s="2">
        <v>21.389280870000007</v>
      </c>
      <c r="JP82" s="2">
        <v>0</v>
      </c>
      <c r="JQ82" s="2">
        <v>0.55945149999999999</v>
      </c>
      <c r="JR82" s="2">
        <v>1.4769704299999999</v>
      </c>
      <c r="JS82" s="2">
        <v>0</v>
      </c>
      <c r="JT82" s="2">
        <v>0.76385754000000006</v>
      </c>
      <c r="JU82" s="2">
        <v>48.113062809999988</v>
      </c>
      <c r="JV82" s="2">
        <v>2.6433944999999999</v>
      </c>
      <c r="JW82" s="2">
        <v>9.8497971999999994</v>
      </c>
      <c r="JX82" s="2">
        <v>8.4756852800000004</v>
      </c>
      <c r="JY82" s="2">
        <v>0</v>
      </c>
      <c r="JZ82" s="2">
        <v>2.6908262700000001</v>
      </c>
      <c r="KA82" s="2">
        <v>0.99400769999999994</v>
      </c>
      <c r="KB82" s="2">
        <v>32.459644299999994</v>
      </c>
      <c r="KC82" s="2">
        <v>32.485260930000003</v>
      </c>
      <c r="KD82" s="2">
        <v>7.8469968100000003</v>
      </c>
      <c r="KE82" s="2">
        <v>15.882019199999998</v>
      </c>
      <c r="KF82" s="2">
        <v>36.97376294</v>
      </c>
      <c r="KG82" s="2">
        <v>318.13535340999994</v>
      </c>
      <c r="KH82" s="2">
        <v>161.60135248999998</v>
      </c>
      <c r="KI82" s="2">
        <v>14.789253089999999</v>
      </c>
      <c r="KJ82" s="2">
        <v>1.47433864</v>
      </c>
      <c r="KK82" s="131">
        <v>7.4320293600000014</v>
      </c>
      <c r="KL82" s="131">
        <v>0.20655000000000001</v>
      </c>
      <c r="KM82" s="131">
        <v>3.6587118699999999</v>
      </c>
      <c r="KN82" s="131">
        <v>1.9972299999999998E-2</v>
      </c>
      <c r="KO82" s="131">
        <v>1.5650097999999999</v>
      </c>
      <c r="KP82" s="131">
        <v>0</v>
      </c>
      <c r="KQ82" s="131">
        <v>3.0845557499999998</v>
      </c>
      <c r="KR82" s="131">
        <v>5.986412E-2</v>
      </c>
      <c r="KS82" s="131">
        <v>4.5099559999999997E-2</v>
      </c>
      <c r="KT82" s="131">
        <v>0.63629354000000005</v>
      </c>
      <c r="KU82" s="131">
        <v>0.82768005</v>
      </c>
      <c r="KV82" s="131">
        <v>0.17635347000000001</v>
      </c>
      <c r="KW82" s="131">
        <v>1.00212116</v>
      </c>
      <c r="KX82" s="131">
        <v>0</v>
      </c>
      <c r="KY82" s="131">
        <v>0</v>
      </c>
      <c r="KZ82" s="131">
        <v>0.36427643999999998</v>
      </c>
      <c r="LA82" s="131">
        <v>0.29131570000000001</v>
      </c>
      <c r="LB82" s="131">
        <v>1.5122E-2</v>
      </c>
      <c r="LC82" s="131">
        <v>0.11080708</v>
      </c>
      <c r="LD82" s="131">
        <v>0</v>
      </c>
      <c r="LE82" s="131">
        <v>0.1419348</v>
      </c>
      <c r="LF82" s="131">
        <v>0.21673893</v>
      </c>
      <c r="LG82" s="131">
        <v>23.984862789999998</v>
      </c>
      <c r="LH82" s="131">
        <v>2.9560001099999997</v>
      </c>
      <c r="LI82" s="131">
        <v>1.4466763899999999</v>
      </c>
      <c r="LJ82" s="131">
        <v>2.5000620000000001E-2</v>
      </c>
      <c r="LK82" s="131">
        <v>3.12508477</v>
      </c>
      <c r="LL82" s="131">
        <v>5.2284191199999999</v>
      </c>
      <c r="LM82" s="131">
        <v>2.7897930800000004</v>
      </c>
      <c r="LN82" s="131">
        <v>4.755094E-2</v>
      </c>
      <c r="LO82" s="131">
        <v>12.238436049999999</v>
      </c>
      <c r="LQ82" s="85">
        <f t="shared" si="247"/>
        <v>4268.3712022199998</v>
      </c>
      <c r="LR82" s="85">
        <f t="shared" si="248"/>
        <v>2.80027947</v>
      </c>
      <c r="LS82" s="85">
        <f t="shared" si="249"/>
        <v>12.493191699999999</v>
      </c>
      <c r="LT82" s="85">
        <f t="shared" si="250"/>
        <v>3.6848339700000001</v>
      </c>
      <c r="LU82" s="85">
        <f t="shared" si="251"/>
        <v>8.4332133999999996</v>
      </c>
      <c r="LV82" s="85">
        <f t="shared" si="252"/>
        <v>1.17847463</v>
      </c>
      <c r="LW82" s="85">
        <f t="shared" si="253"/>
        <v>0.30643770000000004</v>
      </c>
      <c r="LX82" s="85">
        <f t="shared" si="254"/>
        <v>0.35867373000000002</v>
      </c>
      <c r="LZ82" s="131">
        <v>126.27</v>
      </c>
      <c r="MA82" s="171">
        <v>120.6</v>
      </c>
      <c r="MB82"/>
      <c r="MC82"/>
      <c r="MD82"/>
      <c r="MF82"/>
      <c r="MG82"/>
      <c r="MH82" s="83">
        <v>209.92</v>
      </c>
      <c r="MI82" s="83">
        <v>62.82</v>
      </c>
      <c r="MJ82" s="83">
        <v>61.33</v>
      </c>
      <c r="MK82"/>
      <c r="ML82" s="83">
        <v>64.959999999999994</v>
      </c>
      <c r="MM82" s="83">
        <v>206.33</v>
      </c>
      <c r="MN82" s="83"/>
      <c r="MO82" s="83">
        <v>89.6</v>
      </c>
      <c r="MP82" s="83">
        <v>167.31</v>
      </c>
      <c r="MQ82" s="83">
        <v>201.28</v>
      </c>
      <c r="MR82"/>
      <c r="MT82" s="83"/>
      <c r="MU82" s="83">
        <v>74.12</v>
      </c>
      <c r="MV82"/>
      <c r="MW82"/>
      <c r="MX82"/>
      <c r="MY82" s="83">
        <v>225.18</v>
      </c>
      <c r="MZ82" s="83">
        <v>639</v>
      </c>
      <c r="NA82" s="83">
        <v>225.9</v>
      </c>
      <c r="NB82" s="83">
        <v>898.19</v>
      </c>
      <c r="NC82" s="83">
        <v>91.22</v>
      </c>
      <c r="ND82" s="1">
        <v>1019</v>
      </c>
      <c r="NE82" s="1">
        <v>611</v>
      </c>
    </row>
    <row r="83" spans="1:369">
      <c r="A83" s="38">
        <f t="shared" si="334"/>
        <v>44593</v>
      </c>
      <c r="B83" s="36">
        <f t="shared" ref="B83:B93" si="366">+B82+1</f>
        <v>2</v>
      </c>
      <c r="C83" s="36">
        <f t="shared" ref="C83:C93" si="367">+C82</f>
        <v>2022</v>
      </c>
      <c r="D83" s="36">
        <f t="shared" si="347"/>
        <v>83</v>
      </c>
      <c r="E83" s="38">
        <f t="shared" si="335"/>
        <v>44593</v>
      </c>
      <c r="F83" s="7">
        <v>111.54</v>
      </c>
      <c r="G83" s="7">
        <v>633.4</v>
      </c>
      <c r="H83" s="1">
        <f>[2]NACIONALES!$D71</f>
        <v>60360</v>
      </c>
      <c r="I83" s="7">
        <v>90</v>
      </c>
      <c r="J83" s="7">
        <v>900</v>
      </c>
      <c r="K83" s="7">
        <v>9.9</v>
      </c>
      <c r="L83" s="7">
        <v>29.7</v>
      </c>
      <c r="N83" s="5">
        <v>2.42</v>
      </c>
      <c r="O83" s="5">
        <v>2.19</v>
      </c>
      <c r="P83" s="78">
        <f t="shared" si="294"/>
        <v>244.24471499999999</v>
      </c>
      <c r="Q83" s="6">
        <v>2350</v>
      </c>
      <c r="R83" s="79">
        <f t="shared" si="336"/>
        <v>23500</v>
      </c>
      <c r="S83" s="6">
        <v>250</v>
      </c>
      <c r="T83" s="6">
        <v>502.63</v>
      </c>
      <c r="U83" s="143">
        <v>239.2684210526316</v>
      </c>
      <c r="V83" s="6">
        <v>409.56315789473689</v>
      </c>
      <c r="W83" s="6">
        <f>(267*0.88)-10</f>
        <v>224.96</v>
      </c>
      <c r="X83" s="143">
        <v>245.0736842105263</v>
      </c>
      <c r="Y83" s="79">
        <f t="shared" si="337"/>
        <v>27885</v>
      </c>
      <c r="Z83" s="79">
        <f t="shared" si="338"/>
        <v>56063.350200000001</v>
      </c>
      <c r="AA83" s="79">
        <f t="shared" si="339"/>
        <v>26687.999684210528</v>
      </c>
      <c r="AB83" s="79">
        <f t="shared" si="340"/>
        <v>45682.674631578957</v>
      </c>
      <c r="AC83" s="79">
        <f t="shared" si="341"/>
        <v>25092.038400000001</v>
      </c>
      <c r="AD83" s="79">
        <f t="shared" si="342"/>
        <v>27335.518736842103</v>
      </c>
      <c r="AE83" s="79">
        <f t="shared" si="343"/>
        <v>34791.096942105265</v>
      </c>
      <c r="AF83" s="1">
        <v>77424.421052631573</v>
      </c>
      <c r="AG83" s="1">
        <v>36830</v>
      </c>
      <c r="AH83" s="1">
        <v>139954</v>
      </c>
      <c r="AI83" s="5">
        <v>46.28</v>
      </c>
      <c r="AJ83" s="5">
        <v>44.85</v>
      </c>
      <c r="AK83" s="5">
        <v>36.42</v>
      </c>
      <c r="AL83" s="5">
        <v>26.97</v>
      </c>
      <c r="AM83" s="78">
        <f t="shared" si="344"/>
        <v>39.024800000000006</v>
      </c>
      <c r="AN83" s="7">
        <v>2660.2919708029199</v>
      </c>
      <c r="AO83" s="7">
        <v>1697.136842105263</v>
      </c>
      <c r="AP83" s="78">
        <f t="shared" si="277"/>
        <v>1697.136842105263</v>
      </c>
      <c r="AQ83" s="7">
        <v>1172.34375</v>
      </c>
      <c r="AR83" s="7">
        <v>1779.9833333333333</v>
      </c>
      <c r="AS83" s="7">
        <v>792.82608695652175</v>
      </c>
      <c r="AT83" s="7">
        <v>2055.2631578947371</v>
      </c>
      <c r="AU83" s="78">
        <f t="shared" si="348"/>
        <v>1542.690859394864</v>
      </c>
      <c r="AV83" s="7">
        <v>517.231884057971</v>
      </c>
      <c r="AW83" s="7">
        <v>1952.1052631578948</v>
      </c>
      <c r="AX83" s="7">
        <v>701.02105263157887</v>
      </c>
      <c r="AY83" s="7">
        <v>2508.44</v>
      </c>
      <c r="AZ83" s="7">
        <v>1278.4157894736841</v>
      </c>
      <c r="BA83" s="7">
        <v>485.84210526315792</v>
      </c>
      <c r="BB83" s="94">
        <f t="shared" si="345"/>
        <v>1348.6201754385966</v>
      </c>
      <c r="BC83" s="68">
        <v>5306.08</v>
      </c>
      <c r="BD83" s="68">
        <v>3157</v>
      </c>
      <c r="BE83" s="7">
        <v>3000</v>
      </c>
      <c r="BF83" s="7">
        <v>1500</v>
      </c>
      <c r="BG83" s="94">
        <f t="shared" si="349"/>
        <v>3240.77</v>
      </c>
      <c r="BH83" s="7">
        <v>191.89</v>
      </c>
      <c r="BI83" s="7">
        <v>111.89</v>
      </c>
      <c r="BJ83" s="78">
        <f t="shared" si="350"/>
        <v>303.77999999999997</v>
      </c>
      <c r="BK83" s="7">
        <v>266.95299999999997</v>
      </c>
      <c r="BL83" s="7">
        <v>316.88</v>
      </c>
      <c r="BM83" s="94">
        <f t="shared" si="351"/>
        <v>291.91649999999998</v>
      </c>
      <c r="BN83" s="5">
        <v>37.69</v>
      </c>
      <c r="BO83" s="84">
        <v>174.9</v>
      </c>
      <c r="BP83" s="5">
        <v>119.23</v>
      </c>
      <c r="BQ83" s="94">
        <f t="shared" si="346"/>
        <v>169.333</v>
      </c>
      <c r="BR83" s="7">
        <v>152.4</v>
      </c>
      <c r="BS83" s="97">
        <v>460</v>
      </c>
      <c r="BT83" s="7">
        <f>1.12*F83</f>
        <v>124.92480000000002</v>
      </c>
      <c r="BU83" s="79">
        <f t="shared" si="237"/>
        <v>5894.7744000000002</v>
      </c>
      <c r="BV83" s="93">
        <v>302</v>
      </c>
      <c r="BW83" s="93">
        <v>375</v>
      </c>
      <c r="BY83" s="92">
        <f>BY$10*(1+((H83/H$10-1)*costos!$B$5+((I83*F83)/(I$10*F$10)-1)*costos!$E$5+((J83*F83)/((J$10*F$10)-1)*costos!$F$5/3+((K83*F83)/(K$10*F$10)-1)*costos!$F$5/3+((U83*F83)/(U$10*F$10)-1)*costos!$F$5/3+((L83*F83)/(L$10*F$10)-1)*costos!$G$5+((N83*F83)/(N$10*F$10)-1)*costos!$J$5+((V83*F83)/(V$10*F$10)-1)*costos!$K$5)))</f>
        <v>1364.8751117264242</v>
      </c>
      <c r="BZ83" s="92">
        <f>$BZ$10*(1+((H83/$H$10-1)*costos!$B$6+((I83*F83)/($I$10*$F$10)-1)*costos!$E$6+((J83*F83)/(($J$10*$F$10)-1)*costos!$F$6/3+((K83*F83)/($K$10*$F$10)-1)*costos!$F$6/3+((U83*F83)/($U$10*$F$10)-1)*costos!$F$6/3+((L83*F83)/($L$10*$F$10)-1)*costos!$G$6+((Q83*F83)/($Q$10*$F$10)-1)*costos!$J$6+((V83*F83)/($V$10*$F$10)-1)*costos!$K$6)))</f>
        <v>1063.093048039864</v>
      </c>
      <c r="CA83" s="92">
        <f>CA$10*(1+((H83/H$10-1)*costos!$B$7+((I83*F83)/(I$10*F$10)-1)*costos!$E$7+((J83*F83)/((J$10*F$10)-1)*costos!$F$7/3+((K83*F83)/(K$10*F$10)-1)*costos!$F$7/3+((U83*F83)/(U$10*F$10)-1)*costos!$F$7/3+((L83*F83)/(L$10*F$10)-1)*costos!$G$7+((S83*F83)/(S$10*F$10)-1)*costos!$J$7+((V83*F83)/(V$10*F$10)-1)*costos!$K$7)))</f>
        <v>1312.5242478917387</v>
      </c>
      <c r="CB83" s="92">
        <f>CB$10*(1+((H83/H$10-1)*costos!$B$8+((I83*F83)/(I$10*F$10)-1)*costos!$E$8+((J83*F83)/((J$10*F$10)-1)*costos!$F$8/3+((K83*F83)/(K$10*F$10)-1)*costos!$F$8/3+((U83*F83)/(U$10*F$10)-1)*costos!$F$8/3+((L83*F83)/(L$10*F$10)-1)*costos!$G$8+((T83*F83)/(T$10*F$10)-1)*costos!$J$8+((V83*F83)/(V$10*F$10)-1)*costos!$K$8)))</f>
        <v>1297.0079542563924</v>
      </c>
      <c r="CC83" s="92">
        <f>CC$10*(1+((H83/H$10-1)*costos!$B$9+((I83*F83)/(I$10*F$10)-1)*costos!$E$9+((J83*F83)/((J$10*F$10)-1)*costos!$F$9/3+((K83*F83)/(K$10*F$10)-1)*costos!$F$9/3+((U83*F83)/(U$10*F$10)-1)*costos!$F$9/3+((L83*F83)/(L$10*F$10)-1)*costos!$G$9+((U83*F83)/(U$10*F$10)-1)*costos!$J$9+((V83*F83)/(V$10*F$10)-1)*costos!$K$9)))</f>
        <v>1249.1560246645683</v>
      </c>
      <c r="CD83" s="92">
        <f>CD$10*(1+((H83/H$10-1)*costos!$B$11+((I83*F83)/(I$10*F$10)-1)*costos!$E$11+((J83*F83)/((J$10*F$10)-1)*costos!$F$11/3+((K83*F83)/(K$10*F$10)-1)*costos!$F$11/3+((U83*F83)/(U$10*F$10)-1)*costos!$F$11/3+((L83*F83)/(L$10*F$10)-1)*costos!$G$11+((V83*F83)/(V$10*F$10)-1)*costos!$J$11+((V83*F83)/(V$10*F$10)-1)*costos!$K$11)))</f>
        <v>1341.9296926973457</v>
      </c>
      <c r="CE83" s="92">
        <f>CE$10*(1+((H83/H$10-1)*costos!$B$12+((I83*F83)/(I$10*F$10)-1)*costos!$E$12+((J83*F83)/((J$10*F$10)-1)*costos!$F$12/3+((K83*F83)/(K$10*F$10)-1)*costos!$F$12/3+((U83*F83)/(U$10*F$10)-1)*costos!$F$12/3+((L83*F83)/(L$10*F$10)-1)*costos!$G$12+((W83*F83)/(W$10*F$10)-1)*costos!$J$12+((V83*F83)/(V$10*F$10)-1)*costos!$K$12)))</f>
        <v>1190.6914681868884</v>
      </c>
      <c r="CF83" s="92">
        <f>CF$10*(1+((H83/H$10-1)*costos!$B$13+((I83*F83)/(I$10*F$10)-1)*costos!$E$13+((J83*F83)/((J$10*F$10)-1)*costos!$F$13/3+((K83*F83)/(K$10*F$10)-1)*costos!$F$13/3+((U83*F83)/(U$10*F$10)-1)*costos!$F$13/3+((L83*F83)/(L$10*F$10)-1)*costos!$G$13+((X83*F83)/(X$10*F$10)-1)*costos!$J$13+((V83*F83)/(V$10*F$10)-1)*costos!$K$13)))</f>
        <v>1302.7579819640259</v>
      </c>
      <c r="CG83" s="92">
        <f t="shared" si="361"/>
        <v>1282.3445616101599</v>
      </c>
      <c r="CH83" s="92">
        <f>CH$10*(1+((H83/H$10-1)*costos!$B$10+((I83*F83)/(I$10*F$10)-1)*costos!$E$10+((J83*F83)/((J$10*F$10)-1)*costos!$F$10/3+((K83*F83)/(K$10*F$10)-1)*costos!$F$10/3+((U83*F83)/(U$10*F$10)-1)*costos!$F$10/3+((L83*F83)/(L$10*F$10)-1)*costos!$G$10+((AF83)/(AF$10)-1)*costos!$J$10+((V83*F83)/(V$10*F$10)-1)*costos!$K$10)))</f>
        <v>1251.2870303431496</v>
      </c>
      <c r="CI83" s="92">
        <f>CI$10*(1+((H83/H$10-1)*costos!$B$15+((I83*F83)/(I$10*F$10)-1)*costos!$E$15+((J83*F83)/((J$10*F$10)-1)*costos!$F$15/3+((K83*F83)/(K$10*F$10)-1)*costos!$F$15/3+((U83*F83)/(U$10*F$10)-1)*costos!$F$15/3+((L83*F83)/(L$10*F$10)-1)*costos!$G$15+((AV83)/(AV$10)-1)*costos!$J$15+((V83*F83)/(V$10*F$10)-1)*costos!$K$15)))</f>
        <v>1216.4203051866848</v>
      </c>
      <c r="CJ83" s="92">
        <f>CJ$10*(1+((H83/H$10-1)*costos!$B$16+((I83*F83)/(I$10*F$10)-1)*costos!$E$16+((J83*F83)/((J$10*F$10)-1)*costos!$F$16/3+((K83*F83)/(K$10*F$10)-1)*costos!$F$16/3+((U83*F83)/(U$10*F$10)-1)*costos!$F$16/3+((L83*F83)/(L$10*F$10)-1)*costos!$G$16+((AW83)/(AW$10)-1)*costos!$J$16+((V83*F83)/(V$10*F$10)-1)*costos!$K$16)))</f>
        <v>965.31661292050228</v>
      </c>
      <c r="CK83" s="92">
        <f>CK$10*(1+((H83/H$10-1)*costos!$B$17+((I83*F83)/(I$10*F$10)-1)*costos!$E$17+((J83*F83)/((J$10*F$10)-1)*costos!$F$17/3+((K83*F83)/(K$10*F$10)-1)*costos!$F$17/3+((U83*F83)/(U$10*F$10)-1)*costos!$F$17/3+((L83*F83)/(L$10*F$10)-1)*costos!$G$17+((AX83)/(AX$10)-1)*costos!$J$17+((V83*F83)/(V$10*F$10)-1)*costos!$K$17)))</f>
        <v>1112.0836754819663</v>
      </c>
      <c r="CL83" s="92">
        <f>CL$10*(1+((H83/H$10-1)*costos!$B$18+((I83*F83)/(I$10*F$10)-1)*costos!$E$18+((J83*F83)/((J$10*F$10)-1)*costos!$F$18/3+((K83*F83)/(K$10*F$10)-1)*costos!$F$18/3+((U83*F83)/(U$10*F$10)-1)*costos!$F$18/3+((L83*F83)/(L$10*F$10)-1)*costos!$G$18+((AY83)/(AY$10)-1)*costos!$J$18+((V83*F83)/(V$10*F$10)-1)*costos!$K$18)))</f>
        <v>1520.3869568163793</v>
      </c>
      <c r="CM83" s="92">
        <f>CM$10*(1+((H83/H$10-1)*costos!$B$19+((I83*F83)/(I$10*F$10)-1)*costos!$E$19+((J83*F83)/((J$10*F$10)-1)*costos!$F$19/3+((K83*F83)/(K$10*F$10)-1)*costos!$F$19/3+((U83*F83)/(U$10*F$10)-1)*costos!$F$19/3+((L83*F83)/(L$10*F$10)-1)*costos!$G$19+((AZ83)/(AZ$10)-1)*costos!$J$19+((V83*F83)/(V$10*F$10)-1)*costos!$K$19)))</f>
        <v>1015.972065802156</v>
      </c>
      <c r="CN83" s="92">
        <f>CN$10*(1+((H83/H$10-1)*costos!$B$20+((I83*F83)/(I$10*F$10)-1)*costos!$E$20+((J83*F83)/((J$10*F$10)-1)*costos!$F$20/3+((K83*F83)/(K$10*F$10)-1)*costos!$F$20/3+((U83*F83)/(U$10*F$10)-1)*costos!$F$20/3+((L83*F83)/(L$10*F$10)-1)*costos!$G$20+((BA83)/(BA$10)-1)*costos!$J$20+((V83*F83)/(V$10*F$10)-1)*costos!$K$20)))</f>
        <v>910.27695923309079</v>
      </c>
      <c r="CO83" s="92">
        <f t="shared" si="362"/>
        <v>1139.6799143333981</v>
      </c>
      <c r="CP83" s="92">
        <f>CP$10*(1+((H83/H$10-1)*costos!$B$22+((I83*F83)/(I$10*F$10)-1)*costos!$E$22+((J83*F83)/((J$10*F$10)-1)*costos!$F$22/3+((K83*F83)/(K$10*F$10)-1)*costos!$F$22/3+((U83*F83)/(U$10*F$10)-1)*costos!$F$22/3+((L83*F83)/(L$10*F$10)-1)*costos!$G$22+(((AVERAGE(AI83:AL83))/((AVERAGE(AI$10:AL$10))-1)*costos!$J$22+((V83*F83)/(V$10*F$10)-1)*costos!$K$22)))))</f>
        <v>1156.4143029139175</v>
      </c>
      <c r="CQ83" s="92">
        <f>CQ$10*(1+((H83/H$10-1)*costos!$B$23+((I83*F83)/(I$10*F$10)-1)*costos!$E$23+((J83*F83)/((J$10*F$10)-1)*costos!$F$23/3+((K83*F83)/(K$10*F$10)-1)*costos!$F$23/3+((U83*F83)/(U$10*F$10)-1)*costos!$F$23/3+((L83*F83)/(L$10*F$10)-1)*costos!$G$23+((AN83)/(AN$10)-1)*costos!$J$23+((V83*F83)/(V$10*F$10)-1)*costos!$K$23)))</f>
        <v>997.68869112925108</v>
      </c>
      <c r="CR83" s="92">
        <f>CR$10*(1+((H83/H$10-1)*costos!$B$24+((I83*F83)/(I$10*F$10)-1)*costos!$E$24+((J83*F83)/((J$10*F$10)-1)*costos!$F$24/3+((K83*F83)/(K$10*F$10)-1)*costos!$F$24/3+((U83*F83)/(U$10*F$10)-1)*costos!$F$24/3+((L83*F83)/(L$10*F$10)-1)*costos!$G$24+((AO83)/(AO$10)-1)*costos!$J$24+((V83*F83)/(V$10*F$10)-1)*costos!$K$24)))</f>
        <v>1006.1785031542727</v>
      </c>
      <c r="CS83" s="92">
        <f t="shared" si="352"/>
        <v>1001.9335971417619</v>
      </c>
      <c r="CT83" s="92">
        <f>CT$10*(1+((H83/H$10-1)*costos!$B$25+((I83*F83)/(I$10*F$10)-1)*costos!$E$25+((J83*F83)/((J$10*F$10)-1)*costos!$F$25/3+((K83*F83)/(K$10*F$10)-1)*costos!$F$25/3+((U83*F83)/(U$10*F$10)-1)*costos!$F$25/3+((L83*F83)/(L$10*F$10)-1)*costos!$G$25+((AQ83)/(AQ$10)-1)*costos!$J$25+((V83*F83)/(V$10*F$10)-1)*costos!$K$25)))</f>
        <v>972.96624123457229</v>
      </c>
      <c r="CU83" s="92">
        <f>CU$10*(1+((H83/H$10-1)*costos!$B$26+((I83*F83)/(I$10*F$10)-1)*costos!$E$26+((J83*F83)/((J$10*F$10)-1)*costos!$F$26/3+((K83*F83)/(K$10*F$10)-1)*costos!$F$26/3+((U83*F83)/(U$10*F$10)-1)*costos!$F$26/3+((L83*F83)/(L$10*F$10)-1)*costos!$G$26+((AR83)/(AR$10)-1)*costos!$J$26+((V83*F83)/(V$10*F$10)-1)*costos!$K$26)))</f>
        <v>1109.5832215008945</v>
      </c>
      <c r="CV83" s="92">
        <f>CV$10*(1+((H83/H$10-1)*costos!$B$27+((I83*F83)/(I$10*F$10)-1)*costos!$E$27+((J83*F83)/((J$10*F$10)-1)*costos!$F$27/3+((K83*F83)/(K$10*F$10)-1)*costos!$F$27/3+((U83*F83)/(U$10*F$10)-1)*costos!$F$27/3+((L83*F83)/(L$10*F$10)-1)*costos!$G$27+((AS83)/(AS$10)-1)*costos!$J$27+((V83*F83)/(V$10*F$10)-1)*costos!$K$27)))</f>
        <v>1041.3920028565526</v>
      </c>
      <c r="CW83" s="92">
        <f>CW$10*(1+((H83/H$10-1)*costos!$B$28+((I83*F83)/(I$10*F$10)-1)*costos!$E$28+((J83*F83)/((J$10*F$10)-1)*costos!$F$28/3+((K83*F83)/(K$10*F$10)-1)*costos!$F$28/3+((U83*F83)/(U$10*F$10)-1)*costos!$F$28/3+((L83*F83)/(L$10*F$10)-1)*costos!$G$28+((AS83)/(AS$10)-1)*costos!$J$28+((V83*F83)/(V$10*F$10)-1)*costos!$K$28)))</f>
        <v>1041.3920028565526</v>
      </c>
      <c r="CX83" s="92">
        <f t="shared" si="363"/>
        <v>1064.1224090713333</v>
      </c>
      <c r="CY83" s="92">
        <f>CY$10*(1+((H83/H$10-1)*costos!$B$32+((I83*F83)/(I$10*F$10)-1)*costos!$E$32+((J83*F83)/((J$10*F$10)-1)*costos!$F$32/3+((K83*F83)/(K$10*F$10)-1)*costos!$F$32/3+((U83*F83)/(U$10*F$10)-1)*costos!$F$32/3+((L83*F83)/(L$10*F$10)-1)*costos!$G$32+((AG83)/(AG$10)-1)*costos!$J$32+((V83*F83)/(V$10*F$10)-1)*costos!$K$32)))</f>
        <v>892.34333384229728</v>
      </c>
      <c r="CZ83" s="69">
        <f>CZ$10*(1+((H83/H$10-1)*costos!$B$31+((I83*F83)/(I$10*F$10)-1)*costos!$E$30+((J83*F83)/((J$10*F$10)-1)*costos!$F$30/3+((K83*F83)/(K$10*F$10)-1)*costos!$F$30/3+((U83*F83)/(U$10*F$10)-1)*costos!$F$30/3+((L83*F83)/(L$10*F$10)-1)*costos!$G$30+((BG83)/(BG$10)-1)*costos!$J$30+((V83*F83)/(V$10*F$10)-1)*costos!$K$30)))</f>
        <v>1140.171437775708</v>
      </c>
      <c r="DA83" s="69">
        <f>DA$10*(1+((H83/H$10-1)*costos!$B$31+((I83*F83)/(I$10*F$10)-1)*costos!$E$31+((J83*F83)/((J$10*F$10)-1)*costos!$F$31/3+((K83*F83)/(K$10*F$10)-1)*costos!$F$31/3+((U83*F83)/(U$10*F$10)-1)*costos!$F$31/3+((L83*F83)/(L$10*F$10)-1)*costos!$G$31+((BJ83)/(BJ$10)-1)*costos!$J$31+((V83*F83)/(V$10*F$10)-1)*costos!$K$31)))</f>
        <v>956.99905209850294</v>
      </c>
      <c r="DB83" s="69">
        <f>DB$10*(1+((H83/H$10-1)*costos!$B$36+((I83*F83)/(I$10*F$10)-1)*costos!$E$36+((J83*F83)/((J$10*F$10)-1)*costos!$F$36/3+((K83*F83)/(K$10*F$10)-1)*costos!$F$36/3+((U83*F83)/(U$10*F$10)-1)*costos!$F$36/3+((L83*F83)/(L$10*F$10)-1)*costos!$G$36+((BK83)/(BK$10)-1)*costos!$J$36+((V83*F83)/(V$10*F$10)-1)*costos!$K$36)))</f>
        <v>1151.6574236315942</v>
      </c>
      <c r="DC83" s="69">
        <f>DC$10*(1+((H83/H$10-1)*costos!$B$37+((I83*F83)/(I$10*F$10)-1)*costos!$E$37+((U83*F83)/(U$10*F$10)-1)*costos!$F$37+((L83*F83)/(L$10*F$10)-1)*costos!$G$37+((BN83)/(BN$10)-1)*costos!$J$37+((V83*F83)/(V$10*F$10)-1)*costos!$K$37))</f>
        <v>1156.0827046463005</v>
      </c>
      <c r="DD83" s="69">
        <f>DD$10*(1+((H83/H$10-1)*costos!$B$39+((I83*F83)/(I$10*F$10)-1)*costos!$E$39+((U83*F83)/(U$10*F$10)-1)*costos!$F$39+((L83*F83)/(L$10*F$10)-1)*costos!$G$39+((BR83)/(BR$10)-1)*costos!$J$39+((V83*F83)/(V$10*F$10)-1)*costos!$K$39))</f>
        <v>1146.9890154153904</v>
      </c>
      <c r="DE83" s="69">
        <f>DD$10*(1+((H83/H$10-1)*costos!$B$35+((I83*F83)/(I$10*F$10)-1)*costos!$E$35+((U83*F83)/(U$10*F$10)-1)*costos!$F$35+((L83*F83)/(L$10*F$10)-1)*costos!$G$35+((BR83)/(BR$10)-1)*costos!$J$35+((V83*F83)/(V$10*F$10)-1)*costos!$K$35))</f>
        <v>1057.119808893264</v>
      </c>
      <c r="DF83" s="69">
        <f>DF$10*(1+((H83/H$10-1)*costos!$B$40+((I83*F83)/(I$10*F$10)-1)*costos!$E$40+((U83*F83)/(U$10*F$10)-1)*costos!$F$40+((L83*F83)/(L$10*F$10)-1)*costos!$G$40+((BP83)/(BP$10)-1)*costos!$J$40+((V83*F83)/(V$10*F$10)-1)*costos!$K$40))</f>
        <v>1213.4337273889591</v>
      </c>
      <c r="DG83" s="92">
        <f t="shared" si="364"/>
        <v>1135.2767681411115</v>
      </c>
      <c r="DH83" s="69">
        <f>DH$10*(1+((H83/H$10-1)*costos!$B$34+((I83*F83)/(I$10*F$10)-1)*costos!$E$34+((J83*F83)/((J$10*F$10)-1)*costos!$F$34/3+((K83*F83)/(K$10*F$10)-1)*costos!$F$34/3+((U83*F83)/(U$10*F$10)-1)*costos!$F$34/3+((L83*F83)/(L$10*F$10)-1)*costos!$G$34+((BV83)/(BV$10)-1)*costos!$J$34+((V83*F83)/(V$10*F$10)-1)*costos!$K$34)))</f>
        <v>1054.9361612987534</v>
      </c>
      <c r="DI83" s="69">
        <f>DI$10*(1+((H83/H$10-1)*costos!$B$38+((I83*F83)/(I$10*F$10)-1)*costos!$E$38+((J83*F83)/((J$10*F$10)-1)*costos!$F$38/3+((K83*F83)/(K$10*F$10)-1)*costos!$F$38/3+((U83*F83)/(U$10*F$10)-1)*costos!$F$38/3+((L83*F83)/(L$10*F$10)-1)*costos!$G$38+((BU83)/(BU$10)-1)*costos!$J$38+((V83*F83)/(V$10*F$10)-1)*costos!$K$38)))</f>
        <v>900.86235318438048</v>
      </c>
      <c r="DK83" s="1">
        <v>500000</v>
      </c>
      <c r="DL83" s="1" t="s">
        <v>389</v>
      </c>
      <c r="DM83" s="1">
        <v>200000</v>
      </c>
      <c r="DN83" s="1" t="s">
        <v>389</v>
      </c>
      <c r="DO83" s="1">
        <v>1600000</v>
      </c>
      <c r="DP83" s="1" t="s">
        <v>389</v>
      </c>
      <c r="DQ83" s="1">
        <v>1800000</v>
      </c>
      <c r="DR83" s="1" t="s">
        <v>389</v>
      </c>
      <c r="DS83" s="1">
        <v>7300000</v>
      </c>
      <c r="DT83" s="1" t="s">
        <v>389</v>
      </c>
      <c r="DU83" s="1">
        <v>16300000</v>
      </c>
      <c r="DV83" s="1" t="s">
        <v>389</v>
      </c>
      <c r="DW83" s="1">
        <v>1000000</v>
      </c>
      <c r="DX83" s="1" t="s">
        <v>389</v>
      </c>
      <c r="DY83" s="1">
        <v>6750000</v>
      </c>
      <c r="DZ83" s="1" t="s">
        <v>389</v>
      </c>
      <c r="EA83" s="79">
        <f t="shared" si="353"/>
        <v>34750000</v>
      </c>
      <c r="EB83" s="1">
        <v>395000</v>
      </c>
      <c r="EC83" s="1" t="s">
        <v>389</v>
      </c>
      <c r="ED83" s="1">
        <v>209277</v>
      </c>
      <c r="EE83" s="143">
        <v>2022</v>
      </c>
      <c r="EF83" s="1">
        <v>207047</v>
      </c>
      <c r="EG83" s="6">
        <v>2022</v>
      </c>
      <c r="EH83" s="1">
        <v>53416435</v>
      </c>
      <c r="EI83" s="6">
        <v>2022</v>
      </c>
      <c r="EJ83" s="1">
        <v>5350999</v>
      </c>
      <c r="EK83" s="6">
        <v>2021</v>
      </c>
      <c r="EL83" s="1">
        <v>14571766</v>
      </c>
      <c r="EM83" s="6">
        <v>2020</v>
      </c>
      <c r="EN83" s="1">
        <v>3169981</v>
      </c>
      <c r="EO83" s="6">
        <v>2021</v>
      </c>
      <c r="EP83" s="82">
        <f t="shared" si="315"/>
        <v>6552</v>
      </c>
      <c r="EQ83" s="83">
        <v>3500000</v>
      </c>
      <c r="ER83" s="1">
        <f t="shared" si="189"/>
        <v>74633.333333333328</v>
      </c>
      <c r="ES83" s="1"/>
      <c r="ET83" s="83">
        <f t="shared" si="316"/>
        <v>17456</v>
      </c>
      <c r="EU83" s="83">
        <f t="shared" si="316"/>
        <v>19445</v>
      </c>
      <c r="EV83" s="83">
        <f t="shared" si="316"/>
        <v>9018</v>
      </c>
      <c r="EW83" s="83">
        <f t="shared" si="316"/>
        <v>17386</v>
      </c>
      <c r="EX83" s="79">
        <f t="shared" si="354"/>
        <v>63305</v>
      </c>
      <c r="EY83" s="83">
        <f>+EY82</f>
        <v>20049</v>
      </c>
      <c r="EZ83" s="83">
        <f>+EZ82</f>
        <v>33638</v>
      </c>
      <c r="FA83" s="83">
        <f>+FA82</f>
        <v>19948</v>
      </c>
      <c r="FB83" s="83">
        <f>+FB82</f>
        <v>15432</v>
      </c>
      <c r="FC83" s="79">
        <f t="shared" si="307"/>
        <v>35380</v>
      </c>
      <c r="FD83" s="83">
        <v>56856.849999999991</v>
      </c>
      <c r="FE83" s="1"/>
      <c r="FF83" s="1">
        <v>1050000</v>
      </c>
      <c r="FG83" s="1" t="s">
        <v>377</v>
      </c>
      <c r="FH83" s="1">
        <v>1400000</v>
      </c>
      <c r="FI83" s="1" t="s">
        <v>389</v>
      </c>
      <c r="FJ83" s="1">
        <v>5200000</v>
      </c>
      <c r="FK83" s="1" t="s">
        <v>389</v>
      </c>
      <c r="FL83" s="1">
        <v>3600000</v>
      </c>
      <c r="FM83" s="1" t="s">
        <v>389</v>
      </c>
      <c r="FN83" s="1">
        <v>51000000</v>
      </c>
      <c r="FO83" s="1" t="s">
        <v>389</v>
      </c>
      <c r="FP83" s="1">
        <v>46000000</v>
      </c>
      <c r="FQ83" s="1" t="s">
        <v>377</v>
      </c>
      <c r="FR83" s="1">
        <v>3300000</v>
      </c>
      <c r="FS83" s="1" t="s">
        <v>377</v>
      </c>
      <c r="FT83" s="1">
        <v>22150000</v>
      </c>
      <c r="FU83" s="1" t="s">
        <v>389</v>
      </c>
      <c r="FV83" s="79">
        <f t="shared" si="355"/>
        <v>131250000</v>
      </c>
      <c r="FW83" s="1">
        <v>1280000</v>
      </c>
      <c r="FX83" s="1" t="s">
        <v>389</v>
      </c>
      <c r="FY83" s="1">
        <v>19177</v>
      </c>
      <c r="FZ83" s="79">
        <f t="shared" si="135"/>
        <v>865235</v>
      </c>
      <c r="GA83" s="86" t="str">
        <f t="shared" si="271"/>
        <v>mar21 feb22</v>
      </c>
      <c r="GB83" s="1">
        <v>19368031</v>
      </c>
      <c r="GC83" s="6">
        <v>2022</v>
      </c>
      <c r="GD83" s="83">
        <f t="shared" si="318"/>
        <v>2141365</v>
      </c>
      <c r="GE83" s="83">
        <f t="shared" si="318"/>
        <v>369608</v>
      </c>
      <c r="GF83" s="83">
        <v>1038163</v>
      </c>
      <c r="GG83" s="83">
        <f t="shared" si="268"/>
        <v>94581</v>
      </c>
      <c r="GH83" s="79">
        <f t="shared" si="240"/>
        <v>1502352</v>
      </c>
      <c r="GI83" s="82">
        <f t="shared" si="356"/>
        <v>1302556</v>
      </c>
      <c r="GJ83" s="83">
        <f t="shared" ref="GJ83:GM88" si="368">+GJ82</f>
        <v>665558</v>
      </c>
      <c r="GK83" s="83">
        <f>+GK82</f>
        <v>1393000</v>
      </c>
      <c r="GL83" s="83">
        <f t="shared" si="368"/>
        <v>300028.90000000002</v>
      </c>
      <c r="GM83" s="83">
        <f t="shared" si="368"/>
        <v>259304.56</v>
      </c>
      <c r="GN83" s="79">
        <f t="shared" si="357"/>
        <v>2617891.46</v>
      </c>
      <c r="GO83" s="83">
        <f>+GO82</f>
        <v>200935</v>
      </c>
      <c r="GP83" s="83">
        <f>+GP82</f>
        <v>73046</v>
      </c>
      <c r="GQ83" s="83">
        <v>154783.75</v>
      </c>
      <c r="GR83" s="1">
        <v>42288</v>
      </c>
      <c r="GS83" s="79">
        <f t="shared" si="192"/>
        <v>46931.512499999997</v>
      </c>
      <c r="GT83" s="83">
        <f>+GT82</f>
        <v>2410599</v>
      </c>
      <c r="GU83" s="1">
        <v>103330</v>
      </c>
      <c r="GV83" s="1">
        <v>28202</v>
      </c>
      <c r="GW83" s="79">
        <f t="shared" si="261"/>
        <v>1086369</v>
      </c>
      <c r="GX83" s="1">
        <v>33063.449999999997</v>
      </c>
      <c r="GY83" s="1" t="s">
        <v>398</v>
      </c>
      <c r="GZ83" s="1">
        <v>91610</v>
      </c>
      <c r="HA83" s="83">
        <v>231726</v>
      </c>
      <c r="HB83" s="79">
        <f t="shared" si="241"/>
        <v>2961172</v>
      </c>
      <c r="HC83" s="86" t="str">
        <f t="shared" si="272"/>
        <v>mar21 feb22</v>
      </c>
      <c r="HD83" s="1">
        <v>50437</v>
      </c>
      <c r="HE83" s="79">
        <f t="shared" si="139"/>
        <v>688740.95449000015</v>
      </c>
      <c r="HF83" s="86" t="str">
        <f t="shared" si="273"/>
        <v>mar21 feb22</v>
      </c>
      <c r="HG83" s="83">
        <v>175985</v>
      </c>
      <c r="HH83" s="79">
        <f t="shared" si="242"/>
        <v>2310594</v>
      </c>
      <c r="HI83" s="86" t="str">
        <f t="shared" si="274"/>
        <v>mar21 feb22</v>
      </c>
      <c r="HJ83" s="1">
        <v>87260</v>
      </c>
      <c r="HK83" s="79">
        <f t="shared" si="278"/>
        <v>64611</v>
      </c>
      <c r="HL83" s="86" t="str">
        <f t="shared" si="275"/>
        <v>mar21 feb22</v>
      </c>
      <c r="HM83" s="79">
        <f t="shared" si="358"/>
        <v>2375205</v>
      </c>
      <c r="HN83" s="87">
        <f t="shared" si="297"/>
        <v>3.6590013975352553E-2</v>
      </c>
      <c r="HO83" s="1">
        <v>815900000</v>
      </c>
      <c r="HP83" s="79">
        <f t="shared" si="153"/>
        <v>11573.072459185898</v>
      </c>
      <c r="HQ83" s="86" t="str">
        <f t="shared" si="276"/>
        <v>mar21 feb22</v>
      </c>
      <c r="HR83" s="1"/>
      <c r="HS83" s="1"/>
      <c r="HT83" s="1"/>
      <c r="HU83" s="1">
        <v>700000</v>
      </c>
      <c r="HV83" s="1" t="s">
        <v>377</v>
      </c>
      <c r="HW83" s="1">
        <v>1500000</v>
      </c>
      <c r="HX83" s="1" t="s">
        <v>399</v>
      </c>
      <c r="HY83" s="1">
        <v>3850000</v>
      </c>
      <c r="HZ83" s="1" t="s">
        <v>389</v>
      </c>
      <c r="IA83" s="1">
        <f>(3.48+17.93)*1000000</f>
        <v>21410000</v>
      </c>
      <c r="IB83" s="1" t="s">
        <v>377</v>
      </c>
      <c r="IC83" s="1">
        <v>45150000</v>
      </c>
      <c r="ID83" s="1" t="s">
        <v>377</v>
      </c>
      <c r="IE83" s="1">
        <v>950000</v>
      </c>
      <c r="IF83" s="1" t="s">
        <v>377</v>
      </c>
      <c r="IG83" s="1">
        <f t="shared" si="365"/>
        <v>7400000</v>
      </c>
      <c r="IH83" s="1" t="s">
        <v>399</v>
      </c>
      <c r="II83" s="79">
        <f>+IG83+IE83+IC83+IA83+HY83+HW83</f>
        <v>80260000</v>
      </c>
      <c r="IJ83" s="97">
        <f t="shared" si="308"/>
        <v>1.9040737312717446</v>
      </c>
      <c r="IK83" s="1" t="s">
        <v>397</v>
      </c>
      <c r="IL83" s="7">
        <v>45.48</v>
      </c>
      <c r="IM83" s="97">
        <v>46.96</v>
      </c>
      <c r="IN83" s="97">
        <v>189</v>
      </c>
      <c r="IO83" s="7">
        <v>16.04</v>
      </c>
      <c r="IP83" s="176">
        <f t="shared" ref="IP83:IP93" si="369">275807989/IP$2</f>
        <v>5.9356067942694777</v>
      </c>
      <c r="IQ83" s="7">
        <v>18</v>
      </c>
      <c r="IR83" s="98">
        <f t="shared" si="322"/>
        <v>7.01</v>
      </c>
      <c r="IS83" s="98">
        <f t="shared" si="322"/>
        <v>4.3099999999999996</v>
      </c>
      <c r="IT83" s="98">
        <f t="shared" si="322"/>
        <v>13.02</v>
      </c>
      <c r="IU83" s="98">
        <f t="shared" si="322"/>
        <v>1.44</v>
      </c>
      <c r="IV83" s="94">
        <f t="shared" si="360"/>
        <v>18.77</v>
      </c>
      <c r="IW83" s="1"/>
      <c r="IX83" s="1"/>
      <c r="IY83" s="105">
        <v>1.88</v>
      </c>
      <c r="IZ83" s="161">
        <v>0.3</v>
      </c>
      <c r="JA83" s="83">
        <v>2813</v>
      </c>
      <c r="JB83" s="7">
        <v>40.33</v>
      </c>
      <c r="JC83" s="1"/>
      <c r="JD83" s="1"/>
      <c r="JF83" s="2">
        <v>24.995459990000008</v>
      </c>
      <c r="JG83" s="2">
        <v>14.4671748</v>
      </c>
      <c r="JH83" s="2">
        <v>234.08297163</v>
      </c>
      <c r="JI83" s="2">
        <v>106.68771143000001</v>
      </c>
      <c r="JJ83" s="2">
        <v>632.33318969999993</v>
      </c>
      <c r="JK83" s="2">
        <v>110.88364111000001</v>
      </c>
      <c r="JL83" s="2">
        <v>1920.1115209600002</v>
      </c>
      <c r="JM83" s="2">
        <v>10.649999999999999</v>
      </c>
      <c r="JN83" s="2">
        <v>1281.4349895599998</v>
      </c>
      <c r="JO83" s="2">
        <v>22.255492239999995</v>
      </c>
      <c r="JP83" s="2">
        <v>0</v>
      </c>
      <c r="JQ83" s="2">
        <v>0.81392439999999999</v>
      </c>
      <c r="JR83" s="2">
        <v>1.2930101600000001</v>
      </c>
      <c r="JS83" s="2">
        <v>0</v>
      </c>
      <c r="JT83" s="2">
        <v>0.40690719000000003</v>
      </c>
      <c r="JU83" s="2">
        <v>83.832958109999993</v>
      </c>
      <c r="JV83" s="2">
        <v>6.1809931300000009</v>
      </c>
      <c r="JW83" s="2">
        <v>44.76117249</v>
      </c>
      <c r="JX83" s="2">
        <v>9.2304249800000004</v>
      </c>
      <c r="JY83" s="2">
        <v>0</v>
      </c>
      <c r="JZ83" s="2">
        <v>1.7852962800000001</v>
      </c>
      <c r="KA83" s="2">
        <v>0.17877358999999998</v>
      </c>
      <c r="KB83" s="2">
        <v>34.194236830000001</v>
      </c>
      <c r="KC83" s="2">
        <v>28.857247229999995</v>
      </c>
      <c r="KD83" s="2">
        <v>6.4766682399999995</v>
      </c>
      <c r="KE83" s="2">
        <v>23.986469650000004</v>
      </c>
      <c r="KF83" s="2">
        <v>38.467503409999999</v>
      </c>
      <c r="KG83" s="2">
        <v>367.95183931999992</v>
      </c>
      <c r="KH83" s="2">
        <v>146.77464456000001</v>
      </c>
      <c r="KI83" s="2">
        <v>29.506416549999997</v>
      </c>
      <c r="KJ83" s="2">
        <v>0.78701670999999995</v>
      </c>
      <c r="KK83" s="68">
        <v>8.9263620900000014</v>
      </c>
      <c r="KL83" s="68">
        <v>2.0000000000000001E-4</v>
      </c>
      <c r="KM83" s="68">
        <v>1.7460929199999999</v>
      </c>
      <c r="KN83" s="68">
        <v>0.26560532999999997</v>
      </c>
      <c r="KO83" s="68">
        <v>9.0287679999999995E-2</v>
      </c>
      <c r="KP83" s="68">
        <v>8.2102000000000008E-3</v>
      </c>
      <c r="KQ83" s="68">
        <v>98.758324050000013</v>
      </c>
      <c r="KR83" s="68">
        <v>1.2313600000000001E-2</v>
      </c>
      <c r="KS83" s="68">
        <v>3.5446999999999996E-3</v>
      </c>
      <c r="KT83" s="68">
        <v>0.70206774000000005</v>
      </c>
      <c r="KU83" s="68">
        <v>1.1247584300000002</v>
      </c>
      <c r="KV83" s="68">
        <v>0.13972432000000001</v>
      </c>
      <c r="KW83" s="68">
        <v>1.2112308599999999</v>
      </c>
      <c r="KX83" s="68">
        <v>0</v>
      </c>
      <c r="KY83" s="68">
        <v>0</v>
      </c>
      <c r="KZ83" s="68">
        <v>0.59419704000000007</v>
      </c>
      <c r="LA83" s="68">
        <v>2.8615189999999999E-2</v>
      </c>
      <c r="LB83" s="68">
        <v>0</v>
      </c>
      <c r="LC83" s="68">
        <v>8.0751160000000002E-2</v>
      </c>
      <c r="LD83" s="68">
        <v>0</v>
      </c>
      <c r="LE83" s="68">
        <v>0.21217849999999999</v>
      </c>
      <c r="LF83" s="68">
        <v>0.33608992999999998</v>
      </c>
      <c r="LG83" s="68">
        <v>20.827774680000001</v>
      </c>
      <c r="LH83" s="68">
        <v>3.9768056000000001</v>
      </c>
      <c r="LI83" s="68">
        <v>2.69919916</v>
      </c>
      <c r="LJ83" s="68">
        <v>0</v>
      </c>
      <c r="LK83" s="68">
        <v>4.87628489</v>
      </c>
      <c r="LL83" s="68">
        <v>3.9629320999999997</v>
      </c>
      <c r="LM83" s="68">
        <v>2.24095515</v>
      </c>
      <c r="LN83" s="68">
        <v>0.23393874000000003</v>
      </c>
      <c r="LO83" s="68">
        <v>11.404167620000001</v>
      </c>
      <c r="LQ83" s="85">
        <f t="shared" si="247"/>
        <v>4185.3003832800005</v>
      </c>
      <c r="LR83" s="85">
        <f t="shared" si="248"/>
        <v>2.5138417500000001</v>
      </c>
      <c r="LS83" s="85">
        <f t="shared" si="249"/>
        <v>50.942165619999997</v>
      </c>
      <c r="LT83" s="85">
        <f t="shared" si="250"/>
        <v>1.9640698700000001</v>
      </c>
      <c r="LU83" s="85">
        <f t="shared" si="251"/>
        <v>100.87616828000002</v>
      </c>
      <c r="LV83" s="85">
        <f t="shared" si="252"/>
        <v>1.3509551799999999</v>
      </c>
      <c r="LW83" s="85">
        <f t="shared" si="253"/>
        <v>2.8615189999999999E-2</v>
      </c>
      <c r="LX83" s="85">
        <f t="shared" si="254"/>
        <v>0.54826843000000003</v>
      </c>
      <c r="LZ83" s="131">
        <v>129.30000000000001</v>
      </c>
      <c r="MA83" s="171">
        <v>120.62</v>
      </c>
      <c r="MB83"/>
      <c r="MC83"/>
      <c r="MD83"/>
      <c r="MF83"/>
      <c r="MG83"/>
      <c r="MH83" s="83">
        <v>225.82</v>
      </c>
      <c r="MI83" s="83">
        <v>65.55</v>
      </c>
      <c r="MJ83" s="83">
        <v>71.349999999999994</v>
      </c>
      <c r="MK83"/>
      <c r="ML83" s="83">
        <v>84.96</v>
      </c>
      <c r="MM83" s="83">
        <v>290.45</v>
      </c>
      <c r="MN83" s="83"/>
      <c r="MO83" s="83">
        <v>86.7</v>
      </c>
      <c r="MP83" s="83">
        <v>173.7</v>
      </c>
      <c r="MQ83" s="83">
        <v>223.19</v>
      </c>
      <c r="MR83"/>
      <c r="MT83" s="83"/>
      <c r="MU83" s="83">
        <v>88.82</v>
      </c>
      <c r="MV83"/>
      <c r="MW83"/>
      <c r="MX83"/>
      <c r="MY83" s="83">
        <v>239.21</v>
      </c>
      <c r="MZ83" s="83">
        <v>643</v>
      </c>
      <c r="NA83" s="83">
        <v>230.59</v>
      </c>
      <c r="NB83" s="83">
        <v>907.24</v>
      </c>
      <c r="NC83" s="83">
        <v>95.44</v>
      </c>
      <c r="ND83" s="1">
        <v>1019</v>
      </c>
      <c r="NE83" s="1">
        <v>612.61</v>
      </c>
    </row>
    <row r="84" spans="1:369">
      <c r="A84" s="38">
        <f t="shared" si="334"/>
        <v>44621</v>
      </c>
      <c r="B84" s="36">
        <f t="shared" si="366"/>
        <v>3</v>
      </c>
      <c r="C84" s="36">
        <f t="shared" si="367"/>
        <v>2022</v>
      </c>
      <c r="D84" s="36">
        <f t="shared" si="347"/>
        <v>84</v>
      </c>
      <c r="E84" s="38">
        <f t="shared" si="335"/>
        <v>44621</v>
      </c>
      <c r="F84" s="7">
        <v>114.583</v>
      </c>
      <c r="G84" s="7">
        <v>676.1</v>
      </c>
      <c r="H84" s="1">
        <f>[2]NACIONALES!$D72</f>
        <v>60360</v>
      </c>
      <c r="I84" s="7">
        <v>89</v>
      </c>
      <c r="J84" s="7">
        <v>1200</v>
      </c>
      <c r="K84" s="7">
        <v>12</v>
      </c>
      <c r="L84" s="7">
        <v>30.3</v>
      </c>
      <c r="N84" s="5">
        <v>2.67</v>
      </c>
      <c r="O84" s="5">
        <v>2.42</v>
      </c>
      <c r="P84" s="78">
        <f t="shared" si="294"/>
        <v>277.03304824999998</v>
      </c>
      <c r="Q84" s="6">
        <v>2495</v>
      </c>
      <c r="R84" s="79">
        <f t="shared" si="336"/>
        <v>24950</v>
      </c>
      <c r="S84" s="6">
        <v>300.75</v>
      </c>
      <c r="T84" s="6">
        <v>603.9</v>
      </c>
      <c r="U84" s="143">
        <v>276.55238095238093</v>
      </c>
      <c r="V84" s="6">
        <v>446.21428571428572</v>
      </c>
      <c r="W84" s="6">
        <f>(288*0.88)-10</f>
        <v>243.44</v>
      </c>
      <c r="X84" s="6">
        <v>279.89999999999998</v>
      </c>
      <c r="Y84" s="79">
        <f t="shared" si="337"/>
        <v>34460.837249999997</v>
      </c>
      <c r="Z84" s="79">
        <f t="shared" si="338"/>
        <v>69196.673699999999</v>
      </c>
      <c r="AA84" s="79">
        <f t="shared" si="339"/>
        <v>31688.201466666662</v>
      </c>
      <c r="AB84" s="79">
        <f t="shared" si="340"/>
        <v>51128.571499999998</v>
      </c>
      <c r="AC84" s="79">
        <f t="shared" si="341"/>
        <v>27894.085520000001</v>
      </c>
      <c r="AD84" s="79">
        <f t="shared" si="342"/>
        <v>32071.781699999996</v>
      </c>
      <c r="AE84" s="79">
        <f t="shared" si="343"/>
        <v>41073.35852277778</v>
      </c>
      <c r="AF84" s="1">
        <v>78844.800000000003</v>
      </c>
      <c r="AG84" s="1">
        <v>36830</v>
      </c>
      <c r="AH84" s="1">
        <v>139954</v>
      </c>
      <c r="AI84" s="5">
        <v>51.573999999999998</v>
      </c>
      <c r="AJ84" s="5">
        <v>53.633000000000003</v>
      </c>
      <c r="AK84" s="5">
        <v>41.11</v>
      </c>
      <c r="AL84" s="5">
        <v>28.077000000000002</v>
      </c>
      <c r="AM84" s="78">
        <f t="shared" si="344"/>
        <v>43.296440000000004</v>
      </c>
      <c r="AN84" s="7">
        <v>2293.3333333333335</v>
      </c>
      <c r="AO84" s="7">
        <v>1308.2727272727273</v>
      </c>
      <c r="AP84" s="78">
        <f t="shared" si="277"/>
        <v>1308.2727272727273</v>
      </c>
      <c r="AQ84" s="7">
        <v>1129.0131578947369</v>
      </c>
      <c r="AR84" s="7">
        <v>1233</v>
      </c>
      <c r="AS84" s="7">
        <v>755.26315789473688</v>
      </c>
      <c r="AT84" s="7">
        <v>1917.590909090909</v>
      </c>
      <c r="AU84" s="78">
        <f t="shared" si="348"/>
        <v>1301.951355661882</v>
      </c>
      <c r="AV84" s="7">
        <v>557.15517241379314</v>
      </c>
      <c r="AW84" s="7">
        <v>1830.2941176470588</v>
      </c>
      <c r="AX84" s="7">
        <v>752.34117647058827</v>
      </c>
      <c r="AY84" s="7">
        <v>2063.4418604651164</v>
      </c>
      <c r="AZ84" s="7">
        <v>1373.1176470588234</v>
      </c>
      <c r="BA84" s="7">
        <v>426.52941176470586</v>
      </c>
      <c r="BB84" s="94">
        <f t="shared" si="345"/>
        <v>1249.317510259918</v>
      </c>
      <c r="BC84" s="68">
        <v>5306.08</v>
      </c>
      <c r="BD84" s="68">
        <v>3280</v>
      </c>
      <c r="BE84" s="7">
        <v>3000</v>
      </c>
      <c r="BF84" s="7">
        <v>1500</v>
      </c>
      <c r="BG84" s="94">
        <f t="shared" si="349"/>
        <v>3271.52</v>
      </c>
      <c r="BH84" s="7">
        <v>191.89</v>
      </c>
      <c r="BI84" s="7">
        <v>111.89</v>
      </c>
      <c r="BJ84" s="78">
        <f t="shared" si="350"/>
        <v>303.77999999999997</v>
      </c>
      <c r="BK84" s="7">
        <v>283.45</v>
      </c>
      <c r="BL84" s="7">
        <v>368.7</v>
      </c>
      <c r="BM84" s="94">
        <f t="shared" si="351"/>
        <v>326.07499999999999</v>
      </c>
      <c r="BN84" s="5">
        <v>40.42</v>
      </c>
      <c r="BO84" s="84">
        <v>199.4</v>
      </c>
      <c r="BP84">
        <v>144.5</v>
      </c>
      <c r="BQ84" s="94">
        <f t="shared" si="346"/>
        <v>193.91</v>
      </c>
      <c r="BR84" s="7">
        <v>153.24</v>
      </c>
      <c r="BS84" s="97">
        <v>500</v>
      </c>
      <c r="BT84" s="7">
        <f>1.03*F84</f>
        <v>118.02049</v>
      </c>
      <c r="BU84" s="79">
        <f t="shared" si="237"/>
        <v>6354.0614699999996</v>
      </c>
      <c r="BV84" s="93">
        <v>302.3</v>
      </c>
      <c r="BW84" s="93">
        <v>375</v>
      </c>
      <c r="BY84" s="92">
        <f>BY$10*(1+((H84/H$10-1)*costos!$B$5+((I84*F84)/(I$10*F$10)-1)*costos!$E$5+((J84*F84)/((J$10*F$10)-1)*costos!$F$5/3+((K84*F84)/(K$10*F$10)-1)*costos!$F$5/3+((U84*F84)/(U$10*F$10)-1)*costos!$F$5/3+((L84*F84)/(L$10*F$10)-1)*costos!$G$5+((N84*F84)/(N$10*F$10)-1)*costos!$J$5+((V84*F84)/(V$10*F$10)-1)*costos!$K$5)))</f>
        <v>1569.9542814913559</v>
      </c>
      <c r="BZ84" s="92">
        <f>$BZ$10*(1+((H84/$H$10-1)*costos!$B$6+((I84*F84)/($I$10*$F$10)-1)*costos!$E$6+((J84*F84)/(($J$10*$F$10)-1)*costos!$F$6/3+((K84*F84)/($K$10*$F$10)-1)*costos!$F$6/3+((U84*F84)/($U$10*$F$10)-1)*costos!$F$6/3+((L84*F84)/($L$10*$F$10)-1)*costos!$G$6+((Q84*F84)/($Q$10*$F$10)-1)*costos!$J$6+((V84*F84)/($V$10*$F$10)-1)*costos!$K$6)))</f>
        <v>1183.5659008745304</v>
      </c>
      <c r="CA84" s="92">
        <f>CA$10*(1+((H84/H$10-1)*costos!$B$7+((I84*F84)/(I$10*F$10)-1)*costos!$E$7+((J84*F84)/((J$10*F$10)-1)*costos!$F$7/3+((K84*F84)/(K$10*F$10)-1)*costos!$F$7/3+((U84*F84)/(U$10*F$10)-1)*costos!$F$7/3+((L84*F84)/(L$10*F$10)-1)*costos!$G$7+((S84*F84)/(S$10*F$10)-1)*costos!$J$7+((V84*F84)/(V$10*F$10)-1)*costos!$K$7)))</f>
        <v>1545.1271969774659</v>
      </c>
      <c r="CB84" s="92">
        <f>CB$10*(1+((H84/H$10-1)*costos!$B$8+((I84*F84)/(I$10*F$10)-1)*costos!$E$8+((J84*F84)/((J$10*F$10)-1)*costos!$F$8/3+((K84*F84)/(K$10*F$10)-1)*costos!$F$8/3+((U84*F84)/(U$10*F$10)-1)*costos!$F$8/3+((L84*F84)/(L$10*F$10)-1)*costos!$G$8+((T84*F84)/(T$10*F$10)-1)*costos!$J$8+((V84*F84)/(V$10*F$10)-1)*costos!$K$8)))</f>
        <v>1511.746231697427</v>
      </c>
      <c r="CC84" s="92">
        <f>CC$10*(1+((H84/H$10-1)*costos!$B$9+((I84*F84)/(I$10*F$10)-1)*costos!$E$9+((J84*F84)/((J$10*F$10)-1)*costos!$F$9/3+((K84*F84)/(K$10*F$10)-1)*costos!$F$9/3+((U84*F84)/(U$10*F$10)-1)*costos!$F$9/3+((L84*F84)/(L$10*F$10)-1)*costos!$G$9+((U84*F84)/(U$10*F$10)-1)*costos!$J$9+((V84*F84)/(V$10*F$10)-1)*costos!$K$9)))</f>
        <v>1452.4866263975659</v>
      </c>
      <c r="CD84" s="92">
        <f>CD$10*(1+((H84/H$10-1)*costos!$B$11+((I84*F84)/(I$10*F$10)-1)*costos!$E$11+((J84*F84)/((J$10*F$10)-1)*costos!$F$11/3+((K84*F84)/(K$10*F$10)-1)*costos!$F$11/3+((U84*F84)/(U$10*F$10)-1)*costos!$F$11/3+((L84*F84)/(L$10*F$10)-1)*costos!$G$11+((V84*F84)/(V$10*F$10)-1)*costos!$J$11+((V84*F84)/(V$10*F$10)-1)*costos!$K$11)))</f>
        <v>1531.854059502954</v>
      </c>
      <c r="CE84" s="92">
        <f>CE$10*(1+((H84/H$10-1)*costos!$B$12+((I84*F84)/(I$10*F$10)-1)*costos!$E$12+((J84*F84)/((J$10*F$10)-1)*costos!$F$12/3+((K84*F84)/(K$10*F$10)-1)*costos!$F$12/3+((U84*F84)/(U$10*F$10)-1)*costos!$F$12/3+((L84*F84)/(L$10*F$10)-1)*costos!$G$12+((W84*F84)/(W$10*F$10)-1)*costos!$J$12+((V84*F84)/(V$10*F$10)-1)*costos!$K$12)))</f>
        <v>1350.4871180833209</v>
      </c>
      <c r="CF84" s="92">
        <f>CF$10*(1+((H84/H$10-1)*costos!$B$13+((I84*F84)/(I$10*F$10)-1)*costos!$E$13+((J84*F84)/((J$10*F$10)-1)*costos!$F$13/3+((K84*F84)/(K$10*F$10)-1)*costos!$F$13/3+((U84*F84)/(U$10*F$10)-1)*costos!$F$13/3+((L84*F84)/(L$10*F$10)-1)*costos!$G$13+((X84*F84)/(X$10*F$10)-1)*costos!$J$13+((V84*F84)/(V$10*F$10)-1)*costos!$K$13)))</f>
        <v>1509.922766401676</v>
      </c>
      <c r="CG84" s="92">
        <f t="shared" si="361"/>
        <v>1483.6039998434014</v>
      </c>
      <c r="CH84" s="92">
        <f>CH$10*(1+((H84/H$10-1)*costos!$B$10+((I84*F84)/(I$10*F$10)-1)*costos!$E$10+((J84*F84)/((J$10*F$10)-1)*costos!$F$10/3+((K84*F84)/(K$10*F$10)-1)*costos!$F$10/3+((U84*F84)/(U$10*F$10)-1)*costos!$F$10/3+((L84*F84)/(L$10*F$10)-1)*costos!$G$10+((AF84)/(AF$10)-1)*costos!$J$10+((V84*F84)/(V$10*F$10)-1)*costos!$K$10)))</f>
        <v>1386.0076506887151</v>
      </c>
      <c r="CI84" s="92">
        <f>CI$10*(1+((H84/H$10-1)*costos!$B$15+((I84*F84)/(I$10*F$10)-1)*costos!$E$15+((J84*F84)/((J$10*F$10)-1)*costos!$F$15/3+((K84*F84)/(K$10*F$10)-1)*costos!$F$15/3+((U84*F84)/(U$10*F$10)-1)*costos!$F$15/3+((L84*F84)/(L$10*F$10)-1)*costos!$G$15+((AV84)/(AV$10)-1)*costos!$J$15+((V84*F84)/(V$10*F$10)-1)*costos!$K$15)))</f>
        <v>1425.3300506634291</v>
      </c>
      <c r="CJ84" s="92">
        <f>CJ$10*(1+((H84/H$10-1)*costos!$B$16+((I84*F84)/(I$10*F$10)-1)*costos!$E$16+((J84*F84)/((J$10*F$10)-1)*costos!$F$16/3+((K84*F84)/(K$10*F$10)-1)*costos!$F$16/3+((U84*F84)/(U$10*F$10)-1)*costos!$F$16/3+((L84*F84)/(L$10*F$10)-1)*costos!$G$16+((AW84)/(AW$10)-1)*costos!$J$16+((V84*F84)/(V$10*F$10)-1)*costos!$K$16)))</f>
        <v>1031.1514263056645</v>
      </c>
      <c r="CK84" s="92">
        <f>CK$10*(1+((H84/H$10-1)*costos!$B$17+((I84*F84)/(I$10*F$10)-1)*costos!$E$17+((J84*F84)/((J$10*F$10)-1)*costos!$F$17/3+((K84*F84)/(K$10*F$10)-1)*costos!$F$17/3+((U84*F84)/(U$10*F$10)-1)*costos!$F$17/3+((L84*F84)/(L$10*F$10)-1)*costos!$G$17+((AX84)/(AX$10)-1)*costos!$J$17+((V84*F84)/(V$10*F$10)-1)*costos!$K$17)))</f>
        <v>1277.190722140258</v>
      </c>
      <c r="CL84" s="92">
        <f>CL$10*(1+((H84/H$10-1)*costos!$B$18+((I84*F84)/(I$10*F$10)-1)*costos!$E$18+((J84*F84)/((J$10*F$10)-1)*costos!$F$18/3+((K84*F84)/(K$10*F$10)-1)*costos!$F$18/3+((U84*F84)/(U$10*F$10)-1)*costos!$F$18/3+((L84*F84)/(L$10*F$10)-1)*costos!$G$18+((AY84)/(AY$10)-1)*costos!$J$18+((V84*F84)/(V$10*F$10)-1)*costos!$K$18)))</f>
        <v>1580.5316334167244</v>
      </c>
      <c r="CM84" s="92">
        <f>CM$10*(1+((H84/H$10-1)*costos!$B$19+((I84*F84)/(I$10*F$10)-1)*costos!$E$19+((J84*F84)/((J$10*F$10)-1)*costos!$F$19/3+((K84*F84)/(K$10*F$10)-1)*costos!$F$19/3+((U84*F84)/(U$10*F$10)-1)*costos!$F$19/3+((L84*F84)/(L$10*F$10)-1)*costos!$G$19+((AZ84)/(AZ$10)-1)*costos!$J$19+((V84*F84)/(V$10*F$10)-1)*costos!$K$19)))</f>
        <v>1112.2660763544984</v>
      </c>
      <c r="CN84" s="92">
        <f>CN$10*(1+((H84/H$10-1)*costos!$B$20+((I84*F84)/(I$10*F$10)-1)*costos!$E$20+((J84*F84)/((J$10*F$10)-1)*costos!$F$20/3+((K84*F84)/(K$10*F$10)-1)*costos!$F$20/3+((U84*F84)/(U$10*F$10)-1)*costos!$F$20/3+((L84*F84)/(L$10*F$10)-1)*costos!$G$20+((BA84)/(BA$10)-1)*costos!$J$20+((V84*F84)/(V$10*F$10)-1)*costos!$K$20)))</f>
        <v>981.47266382456985</v>
      </c>
      <c r="CO84" s="92">
        <f t="shared" si="362"/>
        <v>1237.8652739340127</v>
      </c>
      <c r="CP84" s="92">
        <f>CP$10*(1+((H84/H$10-1)*costos!$B$22+((I84*F84)/(I$10*F$10)-1)*costos!$E$22+((J84*F84)/((J$10*F$10)-1)*costos!$F$22/3+((K84*F84)/(K$10*F$10)-1)*costos!$F$22/3+((U84*F84)/(U$10*F$10)-1)*costos!$F$22/3+((L84*F84)/(L$10*F$10)-1)*costos!$G$22+(((AVERAGE(AI84:AL84))/((AVERAGE(AI$10:AL$10))-1)*costos!$J$22+((V84*F84)/(V$10*F$10)-1)*costos!$K$22)))))</f>
        <v>1283.1339335074317</v>
      </c>
      <c r="CQ84" s="92">
        <f>CQ$10*(1+((H84/H$10-1)*costos!$B$23+((I84*F84)/(I$10*F$10)-1)*costos!$E$23+((J84*F84)/((J$10*F$10)-1)*costos!$F$23/3+((K84*F84)/(K$10*F$10)-1)*costos!$F$23/3+((U84*F84)/(U$10*F$10)-1)*costos!$F$23/3+((L84*F84)/(L$10*F$10)-1)*costos!$G$23+((AN84)/(AN$10)-1)*costos!$J$23+((V84*F84)/(V$10*F$10)-1)*costos!$K$23)))</f>
        <v>1080.725152744744</v>
      </c>
      <c r="CR84" s="92">
        <f>CR$10*(1+((H84/H$10-1)*costos!$B$24+((I84*F84)/(I$10*F$10)-1)*costos!$E$24+((J84*F84)/((J$10*F$10)-1)*costos!$F$24/3+((K84*F84)/(K$10*F$10)-1)*costos!$F$24/3+((U84*F84)/(U$10*F$10)-1)*costos!$F$24/3+((L84*F84)/(L$10*F$10)-1)*costos!$G$24+((AO84)/(AO$10)-1)*costos!$J$24+((V84*F84)/(V$10*F$10)-1)*costos!$K$24)))</f>
        <v>1075.0300025603465</v>
      </c>
      <c r="CS84" s="92">
        <f t="shared" si="352"/>
        <v>1077.8775776525454</v>
      </c>
      <c r="CT84" s="92">
        <f>CT$10*(1+((H84/H$10-1)*costos!$B$25+((I84*F84)/(I$10*F$10)-1)*costos!$E$25+((J84*F84)/((J$10*F$10)-1)*costos!$F$25/3+((K84*F84)/(K$10*F$10)-1)*costos!$F$25/3+((U84*F84)/(U$10*F$10)-1)*costos!$F$25/3+((L84*F84)/(L$10*F$10)-1)*costos!$G$25+((AQ84)/(AQ$10)-1)*costos!$J$25+((V84*F84)/(V$10*F$10)-1)*costos!$K$25)))</f>
        <v>1082.0302576445681</v>
      </c>
      <c r="CU84" s="92">
        <f>CU$10*(1+((H84/H$10-1)*costos!$B$26+((I84*F84)/(I$10*F$10)-1)*costos!$E$26+((J84*F84)/((J$10*F$10)-1)*costos!$F$26/3+((K84*F84)/(K$10*F$10)-1)*costos!$F$26/3+((U84*F84)/(U$10*F$10)-1)*costos!$F$26/3+((L84*F84)/(L$10*F$10)-1)*costos!$G$26+((AR84)/(AR$10)-1)*costos!$J$26+((V84*F84)/(V$10*F$10)-1)*costos!$K$26)))</f>
        <v>1220.3023912013839</v>
      </c>
      <c r="CV84" s="92">
        <f>CV$10*(1+((H84/H$10-1)*costos!$B$27+((I84*F84)/(I$10*F$10)-1)*costos!$E$27+((J84*F84)/((J$10*F$10)-1)*costos!$F$27/3+((K84*F84)/(K$10*F$10)-1)*costos!$F$27/3+((U84*F84)/(U$10*F$10)-1)*costos!$F$27/3+((L84*F84)/(L$10*F$10)-1)*costos!$G$27+((AS84)/(AS$10)-1)*costos!$J$27+((V84*F84)/(V$10*F$10)-1)*costos!$K$27)))</f>
        <v>1186.8619576051105</v>
      </c>
      <c r="CW84" s="92">
        <f>CW$10*(1+((H84/H$10-1)*costos!$B$28+((I84*F84)/(I$10*F$10)-1)*costos!$E$28+((J84*F84)/((J$10*F$10)-1)*costos!$F$28/3+((K84*F84)/(K$10*F$10)-1)*costos!$F$28/3+((U84*F84)/(U$10*F$10)-1)*costos!$F$28/3+((L84*F84)/(L$10*F$10)-1)*costos!$G$28+((AS84)/(AS$10)-1)*costos!$J$28+((V84*F84)/(V$10*F$10)-1)*costos!$K$28)))</f>
        <v>1186.8619576051105</v>
      </c>
      <c r="CX84" s="92">
        <f t="shared" si="363"/>
        <v>1198.0087688038684</v>
      </c>
      <c r="CY84" s="92">
        <f>CY$10*(1+((H84/H$10-1)*costos!$B$32+((I84*F84)/(I$10*F$10)-1)*costos!$E$32+((J84*F84)/((J$10*F$10)-1)*costos!$F$32/3+((K84*F84)/(K$10*F$10)-1)*costos!$F$32/3+((U84*F84)/(U$10*F$10)-1)*costos!$F$32/3+((L84*F84)/(L$10*F$10)-1)*costos!$G$32+((AG84)/(AG$10)-1)*costos!$J$32+((V84*F84)/(V$10*F$10)-1)*costos!$K$32)))</f>
        <v>944.96475650025911</v>
      </c>
      <c r="CZ84" s="69">
        <f>CZ$10*(1+((H84/H$10-1)*costos!$B$31+((I84*F84)/(I$10*F$10)-1)*costos!$E$30+((J84*F84)/((J$10*F$10)-1)*costos!$F$30/3+((K84*F84)/(K$10*F$10)-1)*costos!$F$30/3+((U84*F84)/(U$10*F$10)-1)*costos!$F$30/3+((L84*F84)/(L$10*F$10)-1)*costos!$G$30+((BG84)/(BG$10)-1)*costos!$J$30+((V84*F84)/(V$10*F$10)-1)*costos!$K$30)))</f>
        <v>1237.8196614425508</v>
      </c>
      <c r="DA84" s="69">
        <f>DA$10*(1+((H84/H$10-1)*costos!$B$31+((I84*F84)/(I$10*F$10)-1)*costos!$E$31+((J84*F84)/((J$10*F$10)-1)*costos!$F$31/3+((K84*F84)/(K$10*F$10)-1)*costos!$F$31/3+((U84*F84)/(U$10*F$10)-1)*costos!$F$31/3+((L84*F84)/(L$10*F$10)-1)*costos!$G$31+((BJ84)/(BJ$10)-1)*costos!$J$31+((V84*F84)/(V$10*F$10)-1)*costos!$K$31)))</f>
        <v>1041.6812979846413</v>
      </c>
      <c r="DB84" s="69">
        <f>DB$10*(1+((H84/H$10-1)*costos!$B$36+((I84*F84)/(I$10*F$10)-1)*costos!$E$36+((J84*F84)/((J$10*F$10)-1)*costos!$F$36/3+((K84*F84)/(K$10*F$10)-1)*costos!$F$36/3+((U84*F84)/(U$10*F$10)-1)*costos!$F$36/3+((L84*F84)/(L$10*F$10)-1)*costos!$G$36+((BK84)/(BK$10)-1)*costos!$J$36+((V84*F84)/(V$10*F$10)-1)*costos!$K$36)))</f>
        <v>1318.2357701024821</v>
      </c>
      <c r="DC84" s="69">
        <f>DC$10*(1+((H84/H$10-1)*costos!$B$37+((I84*F84)/(I$10*F$10)-1)*costos!$E$37+((U84*F84)/(U$10*F$10)-1)*costos!$F$37+((L84*F84)/(L$10*F$10)-1)*costos!$G$37+((BN84)/(BN$10)-1)*costos!$J$37+((V84*F84)/(V$10*F$10)-1)*costos!$K$37))</f>
        <v>1324.7974832538434</v>
      </c>
      <c r="DD84" s="69">
        <f>DD$10*(1+((H84/H$10-1)*costos!$B$39+((I84*F84)/(I$10*F$10)-1)*costos!$E$39+((U84*F84)/(U$10*F$10)-1)*costos!$F$39+((L84*F84)/(L$10*F$10)-1)*costos!$G$39+((BR84)/(BR$10)-1)*costos!$J$39+((V84*F84)/(V$10*F$10)-1)*costos!$K$39))</f>
        <v>1313.477987252234</v>
      </c>
      <c r="DE84" s="69">
        <f>DD$10*(1+((H84/H$10-1)*costos!$B$35+((I84*F84)/(I$10*F$10)-1)*costos!$E$35+((U84*F84)/(U$10*F$10)-1)*costos!$F$35+((L84*F84)/(L$10*F$10)-1)*costos!$G$35+((BR84)/(BR$10)-1)*costos!$J$35+((V84*F84)/(V$10*F$10)-1)*costos!$K$35))</f>
        <v>1223.2933911894982</v>
      </c>
      <c r="DF84" s="69">
        <f>DF$10*(1+((H84/H$10-1)*costos!$B$40+((I84*F84)/(I$10*F$10)-1)*costos!$E$40+((U84*F84)/(U$10*F$10)-1)*costos!$F$40+((L84*F84)/(L$10*F$10)-1)*costos!$G$40+((BP84)/(BP$10)-1)*costos!$J$40+((V84*F84)/(V$10*F$10)-1)*costos!$K$40))</f>
        <v>1418.9020924645552</v>
      </c>
      <c r="DG84" s="92">
        <f t="shared" si="364"/>
        <v>1321.0977418270268</v>
      </c>
      <c r="DH84" s="69">
        <f>DH$10*(1+((H84/H$10-1)*costos!$B$34+((I84*F84)/(I$10*F$10)-1)*costos!$E$34+((J84*F84)/((J$10*F$10)-1)*costos!$F$34/3+((K84*F84)/(K$10*F$10)-1)*costos!$F$34/3+((U84*F84)/(U$10*F$10)-1)*costos!$F$34/3+((L84*F84)/(L$10*F$10)-1)*costos!$G$34+((BV84)/(BV$10)-1)*costos!$J$34+((V84*F84)/(V$10*F$10)-1)*costos!$K$34)))</f>
        <v>1156.9161164782829</v>
      </c>
      <c r="DI84" s="69">
        <f>DI$10*(1+((H84/H$10-1)*costos!$B$38+((I84*F84)/(I$10*F$10)-1)*costos!$E$38+((J84*F84)/((J$10*F$10)-1)*costos!$F$38/3+((K84*F84)/(K$10*F$10)-1)*costos!$F$38/3+((U84*F84)/(U$10*F$10)-1)*costos!$F$38/3+((L84*F84)/(L$10*F$10)-1)*costos!$G$38+((BU84)/(BU$10)-1)*costos!$J$38+((V84*F84)/(V$10*F$10)-1)*costos!$K$38)))</f>
        <v>969.46246656194467</v>
      </c>
      <c r="DK84" s="1">
        <v>500000</v>
      </c>
      <c r="DL84" s="1" t="s">
        <v>389</v>
      </c>
      <c r="DM84" s="1">
        <v>200000</v>
      </c>
      <c r="DN84" s="1" t="s">
        <v>389</v>
      </c>
      <c r="DO84" s="1">
        <v>1600000</v>
      </c>
      <c r="DP84" s="1" t="s">
        <v>389</v>
      </c>
      <c r="DQ84" s="1">
        <v>1800000</v>
      </c>
      <c r="DR84" s="1" t="s">
        <v>389</v>
      </c>
      <c r="DS84" s="1">
        <v>7300000</v>
      </c>
      <c r="DT84" s="1" t="s">
        <v>389</v>
      </c>
      <c r="DU84" s="1">
        <v>16300000</v>
      </c>
      <c r="DV84" s="1" t="s">
        <v>389</v>
      </c>
      <c r="DW84" s="1">
        <v>1000000</v>
      </c>
      <c r="DX84" s="1" t="s">
        <v>389</v>
      </c>
      <c r="DY84" s="1">
        <v>6750000</v>
      </c>
      <c r="DZ84" s="1" t="s">
        <v>389</v>
      </c>
      <c r="EA84" s="79">
        <f t="shared" si="353"/>
        <v>34750000</v>
      </c>
      <c r="EB84" s="1">
        <v>395000</v>
      </c>
      <c r="EC84" s="1" t="s">
        <v>389</v>
      </c>
      <c r="ED84" s="1">
        <v>209277</v>
      </c>
      <c r="EE84" s="143">
        <v>2022</v>
      </c>
      <c r="EF84" s="1">
        <v>207047</v>
      </c>
      <c r="EG84" s="6">
        <v>2022</v>
      </c>
      <c r="EH84" s="1">
        <v>53416435</v>
      </c>
      <c r="EI84" s="6">
        <v>2022</v>
      </c>
      <c r="EJ84" s="1">
        <v>5477107</v>
      </c>
      <c r="EK84" s="6">
        <v>2022</v>
      </c>
      <c r="EL84" s="1">
        <v>14571766</v>
      </c>
      <c r="EM84" s="6">
        <v>2020</v>
      </c>
      <c r="EN84" s="1">
        <v>3169981</v>
      </c>
      <c r="EO84" s="6">
        <v>2021</v>
      </c>
      <c r="EP84" s="82">
        <f t="shared" si="315"/>
        <v>6552</v>
      </c>
      <c r="EQ84" s="83">
        <v>3500000</v>
      </c>
      <c r="ER84" s="1">
        <f t="shared" si="189"/>
        <v>74633.333333333328</v>
      </c>
      <c r="ES84" s="1"/>
      <c r="ET84" s="83">
        <f t="shared" si="316"/>
        <v>17456</v>
      </c>
      <c r="EU84" s="83">
        <f t="shared" si="316"/>
        <v>19445</v>
      </c>
      <c r="EV84" s="83">
        <f t="shared" si="316"/>
        <v>9018</v>
      </c>
      <c r="EW84" s="83">
        <f t="shared" si="316"/>
        <v>17386</v>
      </c>
      <c r="EX84" s="79">
        <f t="shared" si="354"/>
        <v>63305</v>
      </c>
      <c r="EY84" s="83">
        <f>+EY83</f>
        <v>20049</v>
      </c>
      <c r="EZ84" s="83">
        <f t="shared" ref="EZ84:EZ93" si="370">+EZ83</f>
        <v>33638</v>
      </c>
      <c r="FA84" s="83">
        <f t="shared" ref="FA84:FA93" si="371">+FA83</f>
        <v>19948</v>
      </c>
      <c r="FB84" s="83">
        <f t="shared" ref="FB84:FB93" si="372">+FB83</f>
        <v>15432</v>
      </c>
      <c r="FC84" s="79">
        <f t="shared" si="307"/>
        <v>35380</v>
      </c>
      <c r="FD84" s="83">
        <f t="shared" si="158"/>
        <v>56856.849999999991</v>
      </c>
      <c r="FE84" s="1"/>
      <c r="FF84" s="1">
        <v>1050000</v>
      </c>
      <c r="FG84" s="1" t="s">
        <v>377</v>
      </c>
      <c r="FH84" s="1">
        <v>1400000</v>
      </c>
      <c r="FI84" s="1" t="s">
        <v>389</v>
      </c>
      <c r="FJ84" s="1">
        <v>5200000</v>
      </c>
      <c r="FK84" s="1" t="s">
        <v>389</v>
      </c>
      <c r="FL84" s="1">
        <v>3600000</v>
      </c>
      <c r="FM84" s="1" t="s">
        <v>389</v>
      </c>
      <c r="FN84" s="1">
        <v>49000000</v>
      </c>
      <c r="FO84" s="1" t="s">
        <v>389</v>
      </c>
      <c r="FP84" s="1">
        <v>46000000</v>
      </c>
      <c r="FQ84" s="1" t="s">
        <v>377</v>
      </c>
      <c r="FR84" s="1">
        <v>3300000</v>
      </c>
      <c r="FS84" s="1" t="s">
        <v>377</v>
      </c>
      <c r="FT84" s="1">
        <v>22150000</v>
      </c>
      <c r="FU84" s="1" t="s">
        <v>389</v>
      </c>
      <c r="FV84" s="79">
        <f t="shared" si="355"/>
        <v>129250000</v>
      </c>
      <c r="FW84" s="1">
        <v>1280000</v>
      </c>
      <c r="FX84" s="1" t="s">
        <v>389</v>
      </c>
      <c r="FY84" s="1">
        <v>43167</v>
      </c>
      <c r="FZ84" s="79">
        <f t="shared" si="135"/>
        <v>812390</v>
      </c>
      <c r="GA84" s="86" t="str">
        <f t="shared" si="271"/>
        <v>abr21 mar22</v>
      </c>
      <c r="GB84" s="1">
        <v>19368031</v>
      </c>
      <c r="GC84" s="6">
        <v>2022</v>
      </c>
      <c r="GD84" s="83">
        <f t="shared" si="318"/>
        <v>2141365</v>
      </c>
      <c r="GE84" s="83">
        <f t="shared" si="318"/>
        <v>369608</v>
      </c>
      <c r="GF84" s="83">
        <v>1038163</v>
      </c>
      <c r="GG84" s="83">
        <f t="shared" si="268"/>
        <v>94581</v>
      </c>
      <c r="GH84" s="79">
        <f t="shared" si="240"/>
        <v>1502352</v>
      </c>
      <c r="GI84" s="82">
        <f t="shared" ref="GI84:GM112" si="373">+GI83</f>
        <v>1302556</v>
      </c>
      <c r="GJ84" s="83">
        <f t="shared" si="368"/>
        <v>665558</v>
      </c>
      <c r="GK84" s="83">
        <f t="shared" si="368"/>
        <v>1393000</v>
      </c>
      <c r="GL84" s="83">
        <f t="shared" si="368"/>
        <v>300028.90000000002</v>
      </c>
      <c r="GM84" s="83">
        <f t="shared" si="368"/>
        <v>259304.56</v>
      </c>
      <c r="GN84" s="79">
        <f t="shared" si="357"/>
        <v>2617891.46</v>
      </c>
      <c r="GO84" s="83">
        <f t="shared" ref="GO84:GP112" si="374">+GO83</f>
        <v>200935</v>
      </c>
      <c r="GP84" s="83">
        <f t="shared" si="374"/>
        <v>73046</v>
      </c>
      <c r="GQ84" s="83">
        <v>128834.75</v>
      </c>
      <c r="GR84" s="1">
        <v>42288</v>
      </c>
      <c r="GS84" s="79">
        <f t="shared" si="192"/>
        <v>46153.042500000003</v>
      </c>
      <c r="GT84" s="83">
        <f t="shared" ref="GT84:GT93" si="375">+GT83</f>
        <v>2410599</v>
      </c>
      <c r="GU84" s="1">
        <v>124676</v>
      </c>
      <c r="GV84" s="1">
        <v>58189</v>
      </c>
      <c r="GW84" s="79">
        <f t="shared" si="261"/>
        <v>1042035</v>
      </c>
      <c r="GX84" s="1">
        <v>33063.449999999997</v>
      </c>
      <c r="GY84" s="1" t="s">
        <v>398</v>
      </c>
      <c r="GZ84" s="1">
        <v>91610</v>
      </c>
      <c r="HA84" s="83">
        <v>260135</v>
      </c>
      <c r="HB84" s="79">
        <f t="shared" si="241"/>
        <v>2960340</v>
      </c>
      <c r="HC84" s="86" t="str">
        <f t="shared" si="272"/>
        <v>abr21 mar22</v>
      </c>
      <c r="HD84" s="1">
        <v>62117</v>
      </c>
      <c r="HE84" s="79">
        <f t="shared" si="139"/>
        <v>688118.95449000015</v>
      </c>
      <c r="HF84" s="86" t="str">
        <f t="shared" si="273"/>
        <v>abr21 mar22</v>
      </c>
      <c r="HG84" s="178">
        <v>200000</v>
      </c>
      <c r="HH84" s="79">
        <f t="shared" si="242"/>
        <v>2308594</v>
      </c>
      <c r="HI84" s="86" t="str">
        <f t="shared" si="274"/>
        <v>abr21 mar22</v>
      </c>
      <c r="HJ84" s="178">
        <v>84993</v>
      </c>
      <c r="HK84" s="79">
        <f t="shared" si="278"/>
        <v>64514.1</v>
      </c>
      <c r="HL84" s="86" t="str">
        <f t="shared" si="275"/>
        <v>abr21 mar22</v>
      </c>
      <c r="HM84" s="79">
        <f t="shared" si="358"/>
        <v>2373108.1</v>
      </c>
      <c r="HN84" s="87">
        <f t="shared" si="297"/>
        <v>2.4928073071681878E-2</v>
      </c>
      <c r="HO84" s="1">
        <v>848947922.92527413</v>
      </c>
      <c r="HP84" s="79">
        <f t="shared" si="153"/>
        <v>11593.720382111173</v>
      </c>
      <c r="HQ84" s="86" t="str">
        <f t="shared" si="276"/>
        <v>abr21 mar22</v>
      </c>
      <c r="HR84" s="1"/>
      <c r="HS84" s="1"/>
      <c r="HT84" s="1"/>
      <c r="HU84" s="1">
        <v>650000</v>
      </c>
      <c r="HV84" s="1" t="s">
        <v>389</v>
      </c>
      <c r="HW84" s="1">
        <v>1500000</v>
      </c>
      <c r="HX84" s="1" t="s">
        <v>399</v>
      </c>
      <c r="HY84" s="1">
        <v>3850000</v>
      </c>
      <c r="HZ84" s="1" t="s">
        <v>389</v>
      </c>
      <c r="IA84" s="1">
        <f t="shared" ref="IA84:IA94" si="376">(3.57+18)*1000000</f>
        <v>21570000</v>
      </c>
      <c r="IB84" s="1" t="s">
        <v>389</v>
      </c>
      <c r="IC84" s="1">
        <v>45150000</v>
      </c>
      <c r="ID84" s="1" t="s">
        <v>377</v>
      </c>
      <c r="IE84" s="1">
        <v>800000</v>
      </c>
      <c r="IF84" s="1" t="s">
        <v>389</v>
      </c>
      <c r="IG84" s="1">
        <f t="shared" si="365"/>
        <v>7400000</v>
      </c>
      <c r="IH84" s="1" t="s">
        <v>399</v>
      </c>
      <c r="II84" s="79">
        <f>+IG84+IE84+IC84+IA84+HY84+HW84</f>
        <v>80270000</v>
      </c>
      <c r="IJ84" s="97">
        <f t="shared" si="308"/>
        <v>1.9040737312717446</v>
      </c>
      <c r="IK84" s="1" t="s">
        <v>389</v>
      </c>
      <c r="IL84" s="7">
        <v>46.9</v>
      </c>
      <c r="IM84" s="97">
        <v>47.93</v>
      </c>
      <c r="IN84" s="97">
        <v>189</v>
      </c>
      <c r="IO84" s="7">
        <v>16.149999999999999</v>
      </c>
      <c r="IP84" s="176">
        <f t="shared" si="369"/>
        <v>5.9356067942694777</v>
      </c>
      <c r="IQ84" s="7">
        <v>18</v>
      </c>
      <c r="IR84" s="98">
        <f t="shared" si="322"/>
        <v>7.01</v>
      </c>
      <c r="IS84" s="98">
        <f t="shared" si="322"/>
        <v>4.3099999999999996</v>
      </c>
      <c r="IT84" s="98">
        <f t="shared" si="322"/>
        <v>13.02</v>
      </c>
      <c r="IU84" s="98">
        <f t="shared" si="322"/>
        <v>1.44</v>
      </c>
      <c r="IV84" s="94">
        <f t="shared" si="360"/>
        <v>18.77</v>
      </c>
      <c r="IW84" s="1"/>
      <c r="IX84" s="1"/>
      <c r="IY84" s="105">
        <v>1.88</v>
      </c>
      <c r="IZ84" s="161">
        <v>0.3</v>
      </c>
      <c r="JA84" s="83">
        <v>2813</v>
      </c>
      <c r="JB84" s="7">
        <v>40.33</v>
      </c>
      <c r="JC84" s="1"/>
      <c r="JD84" s="1"/>
      <c r="JF84" s="2">
        <v>21.366391749999998</v>
      </c>
      <c r="JG84" s="2">
        <v>22.796151390000002</v>
      </c>
      <c r="JH84" s="2">
        <v>215.37002174</v>
      </c>
      <c r="JI84" s="2">
        <v>184.35044262000002</v>
      </c>
      <c r="JJ84" s="2">
        <v>878.1107409399998</v>
      </c>
      <c r="JK84" s="2">
        <v>108.09958798000001</v>
      </c>
      <c r="JL84" s="2">
        <v>2494.5833324599998</v>
      </c>
      <c r="JM84" s="2">
        <v>77.035858080000011</v>
      </c>
      <c r="JN84" s="2">
        <v>920.65458210999998</v>
      </c>
      <c r="JO84" s="2">
        <v>23.736113960000001</v>
      </c>
      <c r="JP84" s="2">
        <v>0</v>
      </c>
      <c r="JQ84" s="2">
        <v>4.9385526999999998</v>
      </c>
      <c r="JR84" s="2">
        <v>2.2904272199999998</v>
      </c>
      <c r="JS84" s="2">
        <v>0</v>
      </c>
      <c r="JT84" s="2">
        <v>0.56372798000000002</v>
      </c>
      <c r="JU84" s="2">
        <v>82.193372090000025</v>
      </c>
      <c r="JV84" s="2">
        <v>6.9779687300000006</v>
      </c>
      <c r="JW84" s="2">
        <v>35.952336960000004</v>
      </c>
      <c r="JX84" s="2">
        <v>9.9365377600000002</v>
      </c>
      <c r="JY84" s="2">
        <v>0</v>
      </c>
      <c r="JZ84" s="2">
        <v>1.1262353300000001</v>
      </c>
      <c r="KA84" s="2">
        <v>0.1925</v>
      </c>
      <c r="KB84" s="2">
        <v>38.714139049999993</v>
      </c>
      <c r="KC84" s="2">
        <v>43.210508609999991</v>
      </c>
      <c r="KD84" s="2">
        <v>3.7984465600000004</v>
      </c>
      <c r="KE84" s="2">
        <v>21.121535039999998</v>
      </c>
      <c r="KF84" s="2">
        <v>44.812522269999995</v>
      </c>
      <c r="KG84" s="2">
        <v>406.87993106999983</v>
      </c>
      <c r="KH84" s="2">
        <v>150.63131442000002</v>
      </c>
      <c r="KI84" s="2">
        <v>31.821546949999998</v>
      </c>
      <c r="KJ84" s="2">
        <v>1.4229088099999998</v>
      </c>
      <c r="KK84" s="68">
        <v>14.274599060000003</v>
      </c>
      <c r="KL84" s="68">
        <v>7.7786450000000007E-2</v>
      </c>
      <c r="KM84" s="68">
        <v>2.41159284</v>
      </c>
      <c r="KN84" s="68">
        <v>1.7286549999999998E-2</v>
      </c>
      <c r="KO84" s="68">
        <v>0.50523337999999995</v>
      </c>
      <c r="KP84" s="68">
        <v>3.0447999999999999E-4</v>
      </c>
      <c r="KQ84" s="68">
        <v>279.53931059999996</v>
      </c>
      <c r="KR84" s="68">
        <v>8.3249100000000006E-2</v>
      </c>
      <c r="KS84" s="68">
        <v>2.9886779999999998E-2</v>
      </c>
      <c r="KT84" s="68">
        <v>0.59454408000000003</v>
      </c>
      <c r="KU84" s="68">
        <v>1.07159906</v>
      </c>
      <c r="KV84" s="68">
        <v>5.3200000000000001E-3</v>
      </c>
      <c r="KW84" s="68">
        <v>1.9628659399999997</v>
      </c>
      <c r="KX84" s="68">
        <v>0</v>
      </c>
      <c r="KY84" s="68">
        <v>0</v>
      </c>
      <c r="KZ84" s="68">
        <v>0.80692414999999995</v>
      </c>
      <c r="LA84" s="68">
        <v>0.16199859999999999</v>
      </c>
      <c r="LB84" s="68">
        <v>0.47766530000000001</v>
      </c>
      <c r="LC84" s="68">
        <v>0.10305723</v>
      </c>
      <c r="LD84" s="68">
        <v>0</v>
      </c>
      <c r="LE84" s="68">
        <v>0.66014136999999995</v>
      </c>
      <c r="LF84" s="68">
        <v>0.18013407000000001</v>
      </c>
      <c r="LG84" s="68">
        <v>28.413189390000003</v>
      </c>
      <c r="LH84" s="68">
        <v>3.9442662400000001</v>
      </c>
      <c r="LI84" s="68">
        <v>3.4489870700000003</v>
      </c>
      <c r="LJ84" s="68">
        <v>0</v>
      </c>
      <c r="LK84" s="68">
        <v>6.0188496399999991</v>
      </c>
      <c r="LL84" s="68">
        <v>8.9778956500000007</v>
      </c>
      <c r="LM84" s="68">
        <v>3.3109050799999999</v>
      </c>
      <c r="LN84" s="68">
        <v>0.22824644999999999</v>
      </c>
      <c r="LO84" s="68">
        <v>13.174662569999999</v>
      </c>
      <c r="LQ84" s="85">
        <f t="shared" si="247"/>
        <v>4770.1049779499999</v>
      </c>
      <c r="LR84" s="85">
        <f t="shared" si="248"/>
        <v>7.7927078999999999</v>
      </c>
      <c r="LS84" s="85">
        <f t="shared" si="249"/>
        <v>42.930305690000004</v>
      </c>
      <c r="LT84" s="85">
        <f t="shared" si="250"/>
        <v>1.31873533</v>
      </c>
      <c r="LU84" s="85">
        <f t="shared" si="251"/>
        <v>282.58655924999999</v>
      </c>
      <c r="LV84" s="85">
        <f t="shared" si="252"/>
        <v>1.9681859399999997</v>
      </c>
      <c r="LW84" s="85">
        <f t="shared" si="253"/>
        <v>0.63966389999999995</v>
      </c>
      <c r="LX84" s="85">
        <f t="shared" si="254"/>
        <v>0.84027543999999998</v>
      </c>
      <c r="LZ84" s="131">
        <v>135.91</v>
      </c>
      <c r="MA84" s="171">
        <v>124.5</v>
      </c>
      <c r="MB84"/>
      <c r="MC84"/>
      <c r="MD84"/>
      <c r="MF84"/>
      <c r="MG84"/>
      <c r="MH84" s="83">
        <v>265.70999999999998</v>
      </c>
      <c r="MI84" s="83">
        <v>74.22</v>
      </c>
      <c r="MJ84" s="83">
        <v>67.239999999999995</v>
      </c>
      <c r="MK84"/>
      <c r="ML84" s="83">
        <v>84.77</v>
      </c>
      <c r="MM84" s="83">
        <v>258.72000000000003</v>
      </c>
      <c r="MN84" s="83"/>
      <c r="MO84" s="83">
        <v>80.13</v>
      </c>
      <c r="MP84" s="83">
        <v>185.68</v>
      </c>
      <c r="MQ84" s="83">
        <v>221.48</v>
      </c>
      <c r="MR84"/>
      <c r="MT84" s="83"/>
      <c r="MU84" s="83">
        <v>96.32</v>
      </c>
      <c r="MV84"/>
      <c r="MW84"/>
      <c r="MX84"/>
      <c r="MY84" s="83">
        <v>249.24</v>
      </c>
      <c r="MZ84" s="83">
        <v>663</v>
      </c>
      <c r="NA84" s="83">
        <v>265.5</v>
      </c>
      <c r="NB84" s="83">
        <v>978.01</v>
      </c>
      <c r="NC84" s="83">
        <v>108.75</v>
      </c>
      <c r="ND84" s="1">
        <v>1069</v>
      </c>
      <c r="NE84" s="1">
        <v>641.21</v>
      </c>
    </row>
    <row r="85" spans="1:369">
      <c r="A85" s="38">
        <f t="shared" si="334"/>
        <v>44652</v>
      </c>
      <c r="B85" s="36">
        <f t="shared" si="366"/>
        <v>4</v>
      </c>
      <c r="C85" s="36">
        <f t="shared" si="367"/>
        <v>2022</v>
      </c>
      <c r="D85" s="36">
        <f t="shared" si="347"/>
        <v>85</v>
      </c>
      <c r="E85" s="38">
        <f t="shared" si="335"/>
        <v>44652</v>
      </c>
      <c r="F85" s="7">
        <v>118.355</v>
      </c>
      <c r="G85" s="7">
        <v>716.9</v>
      </c>
      <c r="H85" s="1">
        <f>[2]NACIONALES!$D73</f>
        <v>60360</v>
      </c>
      <c r="I85" s="7">
        <v>96</v>
      </c>
      <c r="J85" s="7">
        <v>1350</v>
      </c>
      <c r="K85" s="7">
        <v>12</v>
      </c>
      <c r="L85" s="7">
        <v>29.5</v>
      </c>
      <c r="N85" s="5">
        <v>2.91</v>
      </c>
      <c r="O85" s="5">
        <v>2.68</v>
      </c>
      <c r="P85" s="78">
        <f t="shared" si="294"/>
        <v>314.26211374999997</v>
      </c>
      <c r="Q85" s="6">
        <v>2675</v>
      </c>
      <c r="R85" s="79">
        <f t="shared" si="336"/>
        <v>26750</v>
      </c>
      <c r="S85" s="144">
        <f>+S84</f>
        <v>300.75</v>
      </c>
      <c r="T85" s="6">
        <v>582</v>
      </c>
      <c r="U85" s="143">
        <v>264.15714285714284</v>
      </c>
      <c r="V85" s="6">
        <v>439.01052631578943</v>
      </c>
      <c r="W85" s="6">
        <f>(289*0.88)-10</f>
        <v>244.32</v>
      </c>
      <c r="X85" s="6">
        <v>308.92105263157896</v>
      </c>
      <c r="Y85" s="79">
        <f t="shared" si="337"/>
        <v>35595.266250000001</v>
      </c>
      <c r="Z85" s="79">
        <f t="shared" si="338"/>
        <v>68882.61</v>
      </c>
      <c r="AA85" s="79">
        <f t="shared" si="339"/>
        <v>31264.318642857143</v>
      </c>
      <c r="AB85" s="79">
        <f t="shared" si="340"/>
        <v>51959.090842105259</v>
      </c>
      <c r="AC85" s="79">
        <f t="shared" si="341"/>
        <v>28916.493600000002</v>
      </c>
      <c r="AD85" s="79">
        <f t="shared" si="342"/>
        <v>36562.351184210529</v>
      </c>
      <c r="AE85" s="79">
        <f t="shared" si="343"/>
        <v>42196.688419862148</v>
      </c>
      <c r="AF85" s="1">
        <v>81089.052631578947</v>
      </c>
      <c r="AG85" s="1">
        <v>46890</v>
      </c>
      <c r="AH85" s="1">
        <v>178180</v>
      </c>
      <c r="AI85" s="5">
        <v>66.118499999999997</v>
      </c>
      <c r="AJ85" s="5">
        <v>74.682299999999998</v>
      </c>
      <c r="AK85" s="5">
        <v>56.610300000000002</v>
      </c>
      <c r="AL85" s="5">
        <v>39.854500000000002</v>
      </c>
      <c r="AM85" s="78">
        <f t="shared" si="344"/>
        <v>57.685560000000002</v>
      </c>
      <c r="AN85" s="7">
        <v>2473.119266055046</v>
      </c>
      <c r="AO85" s="7">
        <v>1288.67</v>
      </c>
      <c r="AP85" s="78">
        <f t="shared" si="277"/>
        <v>1288.67</v>
      </c>
      <c r="AQ85" s="7">
        <v>767.89473684210532</v>
      </c>
      <c r="AR85" s="7">
        <v>943.95349999999996</v>
      </c>
      <c r="AS85" s="7">
        <v>2631.818181818182</v>
      </c>
      <c r="AT85" s="7">
        <v>1589.5299999999995</v>
      </c>
      <c r="AU85" s="78">
        <f t="shared" si="348"/>
        <v>1721.767227272727</v>
      </c>
      <c r="AV85" s="7">
        <v>548.5</v>
      </c>
      <c r="AW85" s="7">
        <v>1750</v>
      </c>
      <c r="AX85" s="7">
        <v>903.83</v>
      </c>
      <c r="AY85" s="7">
        <v>771.91666666666663</v>
      </c>
      <c r="AZ85" s="7">
        <v>1091.4000000000001</v>
      </c>
      <c r="BA85" s="7">
        <v>385</v>
      </c>
      <c r="BB85" s="94">
        <f t="shared" si="345"/>
        <v>839.79546296296303</v>
      </c>
      <c r="BC85" s="68">
        <v>5625</v>
      </c>
      <c r="BD85" s="68">
        <v>3280</v>
      </c>
      <c r="BE85" s="7">
        <v>3400</v>
      </c>
      <c r="BF85" s="7">
        <v>2100</v>
      </c>
      <c r="BG85" s="94">
        <f t="shared" si="349"/>
        <v>3601.25</v>
      </c>
      <c r="BH85" s="7">
        <v>287.83</v>
      </c>
      <c r="BI85" s="7">
        <v>60</v>
      </c>
      <c r="BJ85" s="78">
        <f t="shared" si="350"/>
        <v>347.83</v>
      </c>
      <c r="BK85" s="7">
        <v>305.82900000000001</v>
      </c>
      <c r="BL85" s="7">
        <v>386.33</v>
      </c>
      <c r="BM85" s="94">
        <f t="shared" si="351"/>
        <v>346.0795</v>
      </c>
      <c r="BN85" s="5">
        <v>43.38</v>
      </c>
      <c r="BO85" s="84">
        <v>224.6</v>
      </c>
      <c r="BP85">
        <v>144.51</v>
      </c>
      <c r="BQ85" s="94">
        <f t="shared" si="346"/>
        <v>216.59099999999998</v>
      </c>
      <c r="BR85" s="7">
        <v>159.26</v>
      </c>
      <c r="BS85" s="97">
        <v>500</v>
      </c>
      <c r="BT85" s="7">
        <f>1.01*F85</f>
        <v>119.53855</v>
      </c>
      <c r="BU85" s="79">
        <f t="shared" si="237"/>
        <v>6358.6156499999997</v>
      </c>
      <c r="BV85" s="848">
        <v>300</v>
      </c>
      <c r="BW85" s="848">
        <v>450</v>
      </c>
      <c r="BY85" s="92">
        <f>BY$10*(1+((H85/H$10-1)*costos!$B$5+((I85*F85)/(I$10*F$10)-1)*costos!$E$5+((J85*F85)/((J$10*F$10)-1)*costos!$F$5/3+((K85*F85)/(K$10*F$10)-1)*costos!$F$5/3+((U85*F85)/(U$10*F$10)-1)*costos!$F$5/3+((L85*F85)/(L$10*F$10)-1)*costos!$G$5+((N85*F85)/(N$10*F$10)-1)*costos!$J$5+((V85*F85)/(V$10*F$10)-1)*costos!$K$5)))</f>
        <v>1691.2153955166559</v>
      </c>
      <c r="BZ85" s="92">
        <f>$BZ$10*(1+((H85/$H$10-1)*costos!$B$6+((I85*F85)/($I$10*$F$10)-1)*costos!$E$6+((J85*F85)/(($J$10*$F$10)-1)*costos!$F$6/3+((K85*F85)/($K$10*$F$10)-1)*costos!$F$6/3+((U85*F85)/($U$10*$F$10)-1)*costos!$F$6/3+((L85*F85)/($L$10*$F$10)-1)*costos!$G$6+((Q85*F85)/($Q$10*$F$10)-1)*costos!$J$6+((V85*F85)/($V$10*$F$10)-1)*costos!$K$6)))</f>
        <v>1261.7488460063755</v>
      </c>
      <c r="CA85" s="92">
        <f>CA$10*(1+((H85/H$10-1)*costos!$B$7+((I85*F85)/(I$10*F$10)-1)*costos!$E$7+((J85*F85)/((J$10*F$10)-1)*costos!$F$7/3+((K85*F85)/(K$10*F$10)-1)*costos!$F$7/3+((U85*F85)/(U$10*F$10)-1)*costos!$F$7/3+((L85*F85)/(L$10*F$10)-1)*costos!$G$7+((S85*F85)/(S$10*F$10)-1)*costos!$J$7+((V85*F85)/(V$10*F$10)-1)*costos!$K$7)))</f>
        <v>1608.9138732313613</v>
      </c>
      <c r="CB85" s="92">
        <f>CB$10*(1+((H85/H$10-1)*costos!$B$8+((I85*F85)/(I$10*F$10)-1)*costos!$E$8+((J85*F85)/((J$10*F$10)-1)*costos!$F$8/3+((K85*F85)/(K$10*F$10)-1)*costos!$F$8/3+((U85*F85)/(U$10*F$10)-1)*costos!$F$8/3+((L85*F85)/(L$10*F$10)-1)*costos!$G$8+((T85*F85)/(T$10*F$10)-1)*costos!$J$8+((V85*F85)/(V$10*F$10)-1)*costos!$K$8)))</f>
        <v>1546.9488830721452</v>
      </c>
      <c r="CC85" s="92">
        <f>CC$10*(1+((H85/H$10-1)*costos!$B$9+((I85*F85)/(I$10*F$10)-1)*costos!$E$9+((J85*F85)/((J$10*F$10)-1)*costos!$F$9/3+((K85*F85)/(K$10*F$10)-1)*costos!$F$9/3+((U85*F85)/(U$10*F$10)-1)*costos!$F$9/3+((L85*F85)/(L$10*F$10)-1)*costos!$G$9+((U85*F85)/(U$10*F$10)-1)*costos!$J$9+((V85*F85)/(V$10*F$10)-1)*costos!$K$9)))</f>
        <v>1482.9345672407244</v>
      </c>
      <c r="CD85" s="92">
        <f>CD$10*(1+((H85/H$10-1)*costos!$B$11+((I85*F85)/(I$10*F$10)-1)*costos!$E$11+((J85*F85)/((J$10*F$10)-1)*costos!$F$11/3+((K85*F85)/(K$10*F$10)-1)*costos!$F$11/3+((U85*F85)/(U$10*F$10)-1)*costos!$F$11/3+((L85*F85)/(L$10*F$10)-1)*costos!$G$11+((V85*F85)/(V$10*F$10)-1)*costos!$J$11+((V85*F85)/(V$10*F$10)-1)*costos!$K$11)))</f>
        <v>1580.5240329710425</v>
      </c>
      <c r="CE85" s="92">
        <f>CE$10*(1+((H85/H$10-1)*costos!$B$12+((I85*F85)/(I$10*F$10)-1)*costos!$E$12+((J85*F85)/((J$10*F$10)-1)*costos!$F$12/3+((K85*F85)/(K$10*F$10)-1)*costos!$F$12/3+((U85*F85)/(U$10*F$10)-1)*costos!$F$12/3+((L85*F85)/(L$10*F$10)-1)*costos!$G$12+((W85*F85)/(W$10*F$10)-1)*costos!$J$12+((V85*F85)/(V$10*F$10)-1)*costos!$K$12)))</f>
        <v>1404.4882542028824</v>
      </c>
      <c r="CF85" s="92">
        <f>CF$10*(1+((H85/H$10-1)*costos!$B$13+((I85*F85)/(I$10*F$10)-1)*costos!$E$13+((J85*F85)/((J$10*F$10)-1)*costos!$F$13/3+((K85*F85)/(K$10*F$10)-1)*costos!$F$13/3+((U85*F85)/(U$10*F$10)-1)*costos!$F$13/3+((L85*F85)/(L$10*F$10)-1)*costos!$G$13+((X85*F85)/(X$10*F$10)-1)*costos!$J$13+((V85*F85)/(V$10*F$10)-1)*costos!$K$13)))</f>
        <v>1605.7948979837447</v>
      </c>
      <c r="CG85" s="92">
        <f t="shared" si="361"/>
        <v>1538.2674181169834</v>
      </c>
      <c r="CH85" s="92">
        <f>CH$10*(1+((H85/H$10-1)*costos!$B$10+((I85*F85)/(I$10*F$10)-1)*costos!$E$10+((J85*F85)/((J$10*F$10)-1)*costos!$F$10/3+((K85*F85)/(K$10*F$10)-1)*costos!$F$10/3+((U85*F85)/(U$10*F$10)-1)*costos!$F$10/3+((L85*F85)/(L$10*F$10)-1)*costos!$G$10+((AF85)/(AF$10)-1)*costos!$J$10+((V85*F85)/(V$10*F$10)-1)*costos!$K$10)))</f>
        <v>1439.6007804452763</v>
      </c>
      <c r="CI85" s="92">
        <f>CI$10*(1+((H85/H$10-1)*costos!$B$15+((I85*F85)/(I$10*F$10)-1)*costos!$E$15+((J85*F85)/((J$10*F$10)-1)*costos!$F$15/3+((K85*F85)/(K$10*F$10)-1)*costos!$F$15/3+((U85*F85)/(U$10*F$10)-1)*costos!$F$15/3+((L85*F85)/(L$10*F$10)-1)*costos!$G$15+((AV85)/(AV$10)-1)*costos!$J$15+((V85*F85)/(V$10*F$10)-1)*costos!$K$15)))</f>
        <v>1497.7613910389186</v>
      </c>
      <c r="CJ85" s="92">
        <f>CJ$10*(1+((H85/H$10-1)*costos!$B$16+((I85*F85)/(I$10*F$10)-1)*costos!$E$16+((J85*F85)/((J$10*F$10)-1)*costos!$F$16/3+((K85*F85)/(K$10*F$10)-1)*costos!$F$16/3+((U85*F85)/(U$10*F$10)-1)*costos!$F$16/3+((L85*F85)/(L$10*F$10)-1)*costos!$G$16+((AW85)/(AW$10)-1)*costos!$J$16+((V85*F85)/(V$10*F$10)-1)*costos!$K$16)))</f>
        <v>1057.2061242715924</v>
      </c>
      <c r="CK85" s="92">
        <f>CK$10*(1+((H85/H$10-1)*costos!$B$17+((I85*F85)/(I$10*F$10)-1)*costos!$E$17+((J85*F85)/((J$10*F$10)-1)*costos!$F$17/3+((K85*F85)/(K$10*F$10)-1)*costos!$F$17/3+((U85*F85)/(U$10*F$10)-1)*costos!$F$17/3+((L85*F85)/(L$10*F$10)-1)*costos!$G$17+((AX85)/(AX$10)-1)*costos!$J$17+((V85*F85)/(V$10*F$10)-1)*costos!$K$17)))</f>
        <v>1371.1802236523333</v>
      </c>
      <c r="CL85" s="92">
        <f>CL$10*(1+((H85/H$10-1)*costos!$B$18+((I85*F85)/(I$10*F$10)-1)*costos!$E$18+((J85*F85)/((J$10*F$10)-1)*costos!$F$18/3+((K85*F85)/(K$10*F$10)-1)*costos!$F$18/3+((U85*F85)/(U$10*F$10)-1)*costos!$F$18/3+((L85*F85)/(L$10*F$10)-1)*costos!$G$18+((AY85)/(AY$10)-1)*costos!$J$18+((V85*F85)/(V$10*F$10)-1)*costos!$K$18)))</f>
        <v>1341.2197360072207</v>
      </c>
      <c r="CM85" s="92">
        <f>CM$10*(1+((H85/H$10-1)*costos!$B$19+((I85*F85)/(I$10*F$10)-1)*costos!$E$19+((J85*F85)/((J$10*F$10)-1)*costos!$F$19/3+((K85*F85)/(K$10*F$10)-1)*costos!$F$19/3+((U85*F85)/(U$10*F$10)-1)*costos!$F$19/3+((L85*F85)/(L$10*F$10)-1)*costos!$G$19+((AZ85)/(AZ$10)-1)*costos!$J$19+((V85*F85)/(V$10*F$10)-1)*costos!$K$19)))</f>
        <v>1076.518657215239</v>
      </c>
      <c r="CN85" s="92">
        <f>CN$10*(1+((H85/H$10-1)*costos!$B$20+((I85*F85)/(I$10*F$10)-1)*costos!$E$20+((J85*F85)/((J$10*F$10)-1)*costos!$F$20/3+((K85*F85)/(K$10*F$10)-1)*costos!$F$20/3+((U85*F85)/(U$10*F$10)-1)*costos!$F$20/3+((L85*F85)/(L$10*F$10)-1)*costos!$G$20+((BA85)/(BA$10)-1)*costos!$J$20+((V85*F85)/(V$10*F$10)-1)*costos!$K$20)))</f>
        <v>1002.1962501597311</v>
      </c>
      <c r="CO85" s="92">
        <f t="shared" si="362"/>
        <v>1197.7787167586309</v>
      </c>
      <c r="CP85" s="92">
        <f>CP$10*(1+((H85/H$10-1)*costos!$B$22+((I85*F85)/(I$10*F$10)-1)*costos!$E$22+((J85*F85)/((J$10*F$10)-1)*costos!$F$22/3+((K85*F85)/(K$10*F$10)-1)*costos!$F$22/3+((U85*F85)/(U$10*F$10)-1)*costos!$F$22/3+((L85*F85)/(L$10*F$10)-1)*costos!$G$22+(((AVERAGE(AI85:AL85))/((AVERAGE(AI$10:AL$10))-1)*costos!$J$22+((V85*F85)/(V$10*F$10)-1)*costos!$K$22)))))</f>
        <v>1429.2081320623738</v>
      </c>
      <c r="CQ85" s="92">
        <f>CQ$10*(1+((H85/H$10-1)*costos!$B$23+((I85*F85)/(I$10*F$10)-1)*costos!$E$23+((J85*F85)/((J$10*F$10)-1)*costos!$F$23/3+((K85*F85)/(K$10*F$10)-1)*costos!$F$23/3+((U85*F85)/(U$10*F$10)-1)*costos!$F$23/3+((L85*F85)/(L$10*F$10)-1)*costos!$G$23+((AN85)/(AN$10)-1)*costos!$J$23+((V85*F85)/(V$10*F$10)-1)*costos!$K$23)))</f>
        <v>1130.3519499975237</v>
      </c>
      <c r="CR85" s="92">
        <f>CR$10*(1+((H85/H$10-1)*costos!$B$24+((I85*F85)/(I$10*F$10)-1)*costos!$E$24+((J85*F85)/((J$10*F$10)-1)*costos!$F$24/3+((K85*F85)/(K$10*F$10)-1)*costos!$F$24/3+((U85*F85)/(U$10*F$10)-1)*costos!$F$24/3+((L85*F85)/(L$10*F$10)-1)*costos!$G$24+((AO85)/(AO$10)-1)*costos!$J$24+((V85*F85)/(V$10*F$10)-1)*costos!$K$24)))</f>
        <v>1113.937555122724</v>
      </c>
      <c r="CS85" s="92">
        <f t="shared" si="352"/>
        <v>1122.1447525601238</v>
      </c>
      <c r="CT85" s="92">
        <f>CT$10*(1+((H85/H$10-1)*costos!$B$25+((I85*F85)/(I$10*F$10)-1)*costos!$E$25+((J85*F85)/((J$10*F$10)-1)*costos!$F$25/3+((K85*F85)/(K$10*F$10)-1)*costos!$F$25/3+((U85*F85)/(U$10*F$10)-1)*costos!$F$25/3+((L85*F85)/(L$10*F$10)-1)*costos!$G$25+((AQ85)/(AQ$10)-1)*costos!$J$25+((V85*F85)/(V$10*F$10)-1)*costos!$K$25)))</f>
        <v>1105.6223268290748</v>
      </c>
      <c r="CU85" s="92">
        <f>CU$10*(1+((H85/H$10-1)*costos!$B$26+((I85*F85)/(I$10*F$10)-1)*costos!$E$26+((J85*F85)/((J$10*F$10)-1)*costos!$F$26/3+((K85*F85)/(K$10*F$10)-1)*costos!$F$26/3+((U85*F85)/(U$10*F$10)-1)*costos!$F$26/3+((L85*F85)/(L$10*F$10)-1)*costos!$G$26+((AR85)/(AR$10)-1)*costos!$J$26+((V85*F85)/(V$10*F$10)-1)*costos!$K$26)))</f>
        <v>1256.0788485316039</v>
      </c>
      <c r="CV85" s="92">
        <f>CV$10*(1+((H85/H$10-1)*costos!$B$27+((I85*F85)/(I$10*F$10)-1)*costos!$E$27+((J85*F85)/((J$10*F$10)-1)*costos!$F$27/3+((K85*F85)/(K$10*F$10)-1)*costos!$F$27/3+((U85*F85)/(U$10*F$10)-1)*costos!$F$27/3+((L85*F85)/(L$10*F$10)-1)*costos!$G$27+((AS85)/(AS$10)-1)*costos!$J$27+((V85*F85)/(V$10*F$10)-1)*costos!$K$27)))</f>
        <v>1367.9612244366697</v>
      </c>
      <c r="CW85" s="92">
        <f>CW$10*(1+((H85/H$10-1)*costos!$B$28+((I85*F85)/(I$10*F$10)-1)*costos!$E$28+((J85*F85)/((J$10*F$10)-1)*costos!$F$28/3+((K85*F85)/(K$10*F$10)-1)*costos!$F$28/3+((U85*F85)/(U$10*F$10)-1)*costos!$F$28/3+((L85*F85)/(L$10*F$10)-1)*costos!$G$28+((AS85)/(AS$10)-1)*costos!$J$28+((V85*F85)/(V$10*F$10)-1)*costos!$K$28)))</f>
        <v>1367.9612244366697</v>
      </c>
      <c r="CX85" s="92">
        <f t="shared" si="363"/>
        <v>1330.6670991349811</v>
      </c>
      <c r="CY85" s="92">
        <f>CY$10*(1+((H85/H$10-1)*costos!$B$32+((I85*F85)/(I$10*F$10)-1)*costos!$E$32+((J85*F85)/((J$10*F$10)-1)*costos!$F$32/3+((K85*F85)/(K$10*F$10)-1)*costos!$F$32/3+((U85*F85)/(U$10*F$10)-1)*costos!$F$32/3+((L85*F85)/(L$10*F$10)-1)*costos!$G$32+((AG85)/(AG$10)-1)*costos!$J$32+((V85*F85)/(V$10*F$10)-1)*costos!$K$32)))</f>
        <v>982.79712110844741</v>
      </c>
      <c r="CZ85" s="69">
        <f>CZ$10*(1+((H85/H$10-1)*costos!$B$31+((I85*F85)/(I$10*F$10)-1)*costos!$E$30+((J85*F85)/((J$10*F$10)-1)*costos!$F$30/3+((K85*F85)/(K$10*F$10)-1)*costos!$F$30/3+((U85*F85)/(U$10*F$10)-1)*costos!$F$30/3+((L85*F85)/(L$10*F$10)-1)*costos!$G$30+((BG85)/(BG$10)-1)*costos!$J$30+((V85*F85)/(V$10*F$10)-1)*costos!$K$30)))</f>
        <v>1296.6493147673145</v>
      </c>
      <c r="DA85" s="69">
        <f>DA$10*(1+((H85/H$10-1)*costos!$B$31+((I85*F85)/(I$10*F$10)-1)*costos!$E$31+((J85*F85)/((J$10*F$10)-1)*costos!$F$31/3+((K85*F85)/(K$10*F$10)-1)*costos!$F$31/3+((U85*F85)/(U$10*F$10)-1)*costos!$F$31/3+((L85*F85)/(L$10*F$10)-1)*costos!$G$31+((BJ85)/(BJ$10)-1)*costos!$J$31+((V85*F85)/(V$10*F$10)-1)*costos!$K$31)))</f>
        <v>1081.4795192101774</v>
      </c>
      <c r="DB85" s="69">
        <f>DB$10*(1+((H85/H$10-1)*costos!$B$36+((I85*F85)/(I$10*F$10)-1)*costos!$E$36+((J85*F85)/((J$10*F$10)-1)*costos!$F$36/3+((K85*F85)/(K$10*F$10)-1)*costos!$F$36/3+((U85*F85)/(U$10*F$10)-1)*costos!$F$36/3+((L85*F85)/(L$10*F$10)-1)*costos!$G$36+((BK85)/(BK$10)-1)*costos!$J$36+((V85*F85)/(V$10*F$10)-1)*costos!$K$36)))</f>
        <v>1385.8056960703618</v>
      </c>
      <c r="DC85" s="69">
        <f>DC$10*(1+((H85/H$10-1)*costos!$B$37+((I85*F85)/(I$10*F$10)-1)*costos!$E$37+((U85*F85)/(U$10*F$10)-1)*costos!$F$37+((L85*F85)/(L$10*F$10)-1)*costos!$G$37+((BN85)/(BN$10)-1)*costos!$J$37+((V85*F85)/(V$10*F$10)-1)*costos!$K$37))</f>
        <v>1332.0909254010794</v>
      </c>
      <c r="DD85" s="69">
        <f>DD$10*(1+((H85/H$10-1)*costos!$B$39+((I85*F85)/(I$10*F$10)-1)*costos!$E$39+((U85*F85)/(U$10*F$10)-1)*costos!$F$39+((L85*F85)/(L$10*F$10)-1)*costos!$G$39+((BR85)/(BR$10)-1)*costos!$J$39+((V85*F85)/(V$10*F$10)-1)*costos!$K$39))</f>
        <v>1312.0212953144271</v>
      </c>
      <c r="DE85" s="69">
        <f>DD$10*(1+((H85/H$10-1)*costos!$B$35+((I85*F85)/(I$10*F$10)-1)*costos!$E$35+((U85*F85)/(U$10*F$10)-1)*costos!$F$35+((L85*F85)/(L$10*F$10)-1)*costos!$G$35+((BR85)/(BR$10)-1)*costos!$J$35+((V85*F85)/(V$10*F$10)-1)*costos!$K$35))</f>
        <v>1209.2063342324345</v>
      </c>
      <c r="DF85" s="69">
        <f>DF$10*(1+((H85/H$10-1)*costos!$B$40+((I85*F85)/(I$10*F$10)-1)*costos!$E$40+((U85*F85)/(U$10*F$10)-1)*costos!$F$40+((L85*F85)/(L$10*F$10)-1)*costos!$G$40+((BP85)/(BP$10)-1)*costos!$J$40+((V85*F85)/(V$10*F$10)-1)*costos!$K$40))</f>
        <v>1406.807460184792</v>
      </c>
      <c r="DG85" s="92">
        <f t="shared" si="364"/>
        <v>1308.0068972086133</v>
      </c>
      <c r="DH85" s="69">
        <f>DH$10*(1+((H85/H$10-1)*costos!$B$34+((I85*F85)/(I$10*F$10)-1)*costos!$E$34+((J85*F85)/((J$10*F$10)-1)*costos!$F$34/3+((K85*F85)/(K$10*F$10)-1)*costos!$F$34/3+((U85*F85)/(U$10*F$10)-1)*costos!$F$34/3+((L85*F85)/(L$10*F$10)-1)*costos!$G$34+((BV85)/(BV$10)-1)*costos!$J$34+((V85*F85)/(V$10*F$10)-1)*costos!$K$34)))</f>
        <v>1194.5058966085451</v>
      </c>
      <c r="DI85" s="69">
        <f>DI$10*(1+((H85/H$10-1)*costos!$B$38+((I85*F85)/(I$10*F$10)-1)*costos!$E$38+((J85*F85)/((J$10*F$10)-1)*costos!$F$38/3+((K85*F85)/(K$10*F$10)-1)*costos!$F$38/3+((U85*F85)/(U$10*F$10)-1)*costos!$F$38/3+((L85*F85)/(L$10*F$10)-1)*costos!$G$38+((BU85)/(BU$10)-1)*costos!$J$38+((V85*F85)/(V$10*F$10)-1)*costos!$K$38)))</f>
        <v>992.6252745893828</v>
      </c>
      <c r="DK85" s="1">
        <v>500000</v>
      </c>
      <c r="DL85" s="1" t="s">
        <v>389</v>
      </c>
      <c r="DM85" s="1">
        <v>200000</v>
      </c>
      <c r="DN85" s="1" t="s">
        <v>389</v>
      </c>
      <c r="DO85" s="1">
        <v>1600000</v>
      </c>
      <c r="DP85" s="1" t="s">
        <v>389</v>
      </c>
      <c r="DQ85" s="1">
        <v>1800000</v>
      </c>
      <c r="DR85" s="1" t="s">
        <v>389</v>
      </c>
      <c r="DS85" s="1">
        <v>7300000</v>
      </c>
      <c r="DT85" s="1" t="s">
        <v>389</v>
      </c>
      <c r="DU85" s="1">
        <v>16100000</v>
      </c>
      <c r="DV85" s="1" t="s">
        <v>389</v>
      </c>
      <c r="DW85" s="1">
        <v>950000</v>
      </c>
      <c r="DX85" s="1" t="s">
        <v>389</v>
      </c>
      <c r="DY85" s="1">
        <v>6750000</v>
      </c>
      <c r="DZ85" s="1" t="s">
        <v>389</v>
      </c>
      <c r="EA85" s="79">
        <f t="shared" si="353"/>
        <v>34500000</v>
      </c>
      <c r="EB85" s="1">
        <v>395000</v>
      </c>
      <c r="EC85" s="1" t="s">
        <v>389</v>
      </c>
      <c r="ED85" s="1">
        <v>209277</v>
      </c>
      <c r="EE85" s="143">
        <v>2022</v>
      </c>
      <c r="EF85" s="1">
        <v>207047</v>
      </c>
      <c r="EG85" s="6">
        <v>2022</v>
      </c>
      <c r="EH85" s="1">
        <v>53416435</v>
      </c>
      <c r="EI85" s="6">
        <v>2022</v>
      </c>
      <c r="EJ85" s="1">
        <v>5477107</v>
      </c>
      <c r="EK85" s="6">
        <v>2022</v>
      </c>
      <c r="EL85" s="1">
        <v>14571766</v>
      </c>
      <c r="EM85" s="6">
        <v>2020</v>
      </c>
      <c r="EN85" s="1">
        <v>3169981</v>
      </c>
      <c r="EO85" s="6">
        <v>2021</v>
      </c>
      <c r="EP85" s="82">
        <f t="shared" si="315"/>
        <v>6552</v>
      </c>
      <c r="EQ85" s="83">
        <v>3500000</v>
      </c>
      <c r="ER85" s="1">
        <f t="shared" si="189"/>
        <v>74633.333333333328</v>
      </c>
      <c r="ES85" s="1"/>
      <c r="ET85" s="83">
        <f t="shared" si="316"/>
        <v>17456</v>
      </c>
      <c r="EU85" s="83">
        <f t="shared" si="316"/>
        <v>19445</v>
      </c>
      <c r="EV85" s="83">
        <f t="shared" si="316"/>
        <v>9018</v>
      </c>
      <c r="EW85" s="83">
        <f t="shared" si="316"/>
        <v>17386</v>
      </c>
      <c r="EX85" s="79">
        <f t="shared" si="354"/>
        <v>63305</v>
      </c>
      <c r="EY85" s="83">
        <f>+EY84</f>
        <v>20049</v>
      </c>
      <c r="EZ85" s="83">
        <f t="shared" si="370"/>
        <v>33638</v>
      </c>
      <c r="FA85" s="83">
        <f t="shared" si="371"/>
        <v>19948</v>
      </c>
      <c r="FB85" s="83">
        <f t="shared" si="372"/>
        <v>15432</v>
      </c>
      <c r="FC85" s="79">
        <f t="shared" si="307"/>
        <v>35380</v>
      </c>
      <c r="FD85" s="83">
        <f t="shared" si="158"/>
        <v>56856.849999999991</v>
      </c>
      <c r="FE85" s="1"/>
      <c r="FF85" s="1">
        <v>1100000</v>
      </c>
      <c r="FG85" s="1" t="s">
        <v>389</v>
      </c>
      <c r="FH85" s="1">
        <v>1200000</v>
      </c>
      <c r="FI85" s="1" t="s">
        <v>389</v>
      </c>
      <c r="FJ85" s="1">
        <v>5200000</v>
      </c>
      <c r="FK85" s="1" t="s">
        <v>389</v>
      </c>
      <c r="FL85" s="1">
        <v>3600000</v>
      </c>
      <c r="FM85" s="1" t="s">
        <v>389</v>
      </c>
      <c r="FN85" s="1">
        <v>49000000</v>
      </c>
      <c r="FO85" s="1" t="s">
        <v>389</v>
      </c>
      <c r="FP85" s="1">
        <v>42000000</v>
      </c>
      <c r="FQ85" s="1" t="s">
        <v>389</v>
      </c>
      <c r="FR85" s="1">
        <v>3000000</v>
      </c>
      <c r="FS85" s="1" t="s">
        <v>389</v>
      </c>
      <c r="FT85" s="1">
        <v>22150000</v>
      </c>
      <c r="FU85" s="1" t="s">
        <v>389</v>
      </c>
      <c r="FV85" s="79">
        <f t="shared" si="355"/>
        <v>124950000</v>
      </c>
      <c r="FW85" s="1">
        <v>1300000</v>
      </c>
      <c r="FX85" s="1" t="s">
        <v>389</v>
      </c>
      <c r="FY85" s="1">
        <v>55163</v>
      </c>
      <c r="FZ85" s="79">
        <f t="shared" ref="FZ85:FZ129" si="377">+SUM(FY74:FY85)</f>
        <v>740574</v>
      </c>
      <c r="GA85" s="86" t="str">
        <f t="shared" ref="GA85:GA116" si="378">TEXT($A74,"mmm")&amp;""&amp;MID($C74,3,2)&amp;" "&amp;TEXT($A85,"mmm")&amp;""&amp;MID($C85,3,2)</f>
        <v>may21 abr22</v>
      </c>
      <c r="GB85" s="1">
        <v>19368031</v>
      </c>
      <c r="GC85" s="6">
        <v>2022</v>
      </c>
      <c r="GD85" s="83">
        <f t="shared" si="318"/>
        <v>2141365</v>
      </c>
      <c r="GE85" s="83">
        <f t="shared" si="318"/>
        <v>369608</v>
      </c>
      <c r="GF85" s="83">
        <v>1038163</v>
      </c>
      <c r="GG85" s="83">
        <f t="shared" si="268"/>
        <v>94581</v>
      </c>
      <c r="GH85" s="79">
        <f t="shared" si="240"/>
        <v>1502352</v>
      </c>
      <c r="GI85" s="82">
        <f t="shared" si="373"/>
        <v>1302556</v>
      </c>
      <c r="GJ85" s="83">
        <f t="shared" si="368"/>
        <v>665558</v>
      </c>
      <c r="GK85" s="83">
        <f t="shared" si="368"/>
        <v>1393000</v>
      </c>
      <c r="GL85" s="83">
        <f t="shared" si="368"/>
        <v>300028.90000000002</v>
      </c>
      <c r="GM85" s="83">
        <f t="shared" si="368"/>
        <v>259304.56</v>
      </c>
      <c r="GN85" s="79">
        <f t="shared" si="357"/>
        <v>2617891.46</v>
      </c>
      <c r="GO85" s="83">
        <f t="shared" si="374"/>
        <v>200935</v>
      </c>
      <c r="GP85" s="83">
        <f t="shared" si="374"/>
        <v>73046</v>
      </c>
      <c r="GQ85" s="83">
        <v>77737</v>
      </c>
      <c r="GR85" s="1">
        <v>42288</v>
      </c>
      <c r="GS85" s="79">
        <f t="shared" si="192"/>
        <v>44620.11</v>
      </c>
      <c r="GT85" s="83">
        <f t="shared" si="375"/>
        <v>2410599</v>
      </c>
      <c r="GU85" s="1">
        <v>73325</v>
      </c>
      <c r="GV85" s="1">
        <v>57543</v>
      </c>
      <c r="GW85" s="79">
        <f t="shared" si="261"/>
        <v>1012234</v>
      </c>
      <c r="GX85" s="1">
        <v>33063.449999999997</v>
      </c>
      <c r="GY85" s="1" t="s">
        <v>398</v>
      </c>
      <c r="GZ85" s="1">
        <v>91610</v>
      </c>
      <c r="HA85" s="1">
        <v>240360</v>
      </c>
      <c r="HB85" s="79">
        <f t="shared" si="241"/>
        <v>2954238</v>
      </c>
      <c r="HC85" s="86" t="str">
        <f t="shared" ref="HC85:HC116" si="379">TEXT($A74,"mmm")&amp;""&amp;MID($C74,3,2)&amp;" "&amp;TEXT($A85,"mmm")&amp;""&amp;MID($C85,3,2)</f>
        <v>may21 abr22</v>
      </c>
      <c r="HD85" s="1">
        <v>59245</v>
      </c>
      <c r="HE85" s="79">
        <f t="shared" ref="HE85:HE131" si="380">+SUM(HD74:HD85)</f>
        <v>689934.95449000015</v>
      </c>
      <c r="HF85" s="86" t="str">
        <f t="shared" ref="HF85:HF116" si="381">TEXT($A74,"mmm")&amp;""&amp;MID($C74,3,2)&amp;" "&amp;TEXT($A85,"mmm")&amp;""&amp;MID($C85,3,2)</f>
        <v>may21 abr22</v>
      </c>
      <c r="HG85" s="1">
        <v>184000</v>
      </c>
      <c r="HH85" s="79">
        <f t="shared" si="242"/>
        <v>2297594</v>
      </c>
      <c r="HI85" s="86" t="str">
        <f t="shared" ref="HI85:HI116" si="382">TEXT($A74,"mmm")&amp;""&amp;MID($C74,3,2)&amp;" "&amp;TEXT($A85,"mmm")&amp;""&amp;MID($C85,3,2)</f>
        <v>may21 abr22</v>
      </c>
      <c r="HJ85" s="178">
        <v>78774</v>
      </c>
      <c r="HK85" s="79">
        <f t="shared" si="278"/>
        <v>64719.840000000004</v>
      </c>
      <c r="HL85" s="86" t="str">
        <f t="shared" ref="HL85:HL116" si="383">TEXT($A74,"mmm")&amp;""&amp;MID($C74,3,2)&amp;" "&amp;TEXT($A85,"mmm")&amp;""&amp;MID($C85,3,2)</f>
        <v>may21 abr22</v>
      </c>
      <c r="HM85" s="79">
        <f t="shared" si="358"/>
        <v>2362313.84</v>
      </c>
      <c r="HN85" s="87">
        <f t="shared" si="297"/>
        <v>1.970835351416822E-2</v>
      </c>
      <c r="HO85" s="1">
        <v>837384499.90583503</v>
      </c>
      <c r="HP85" s="79">
        <f t="shared" si="153"/>
        <v>11609.904882017006</v>
      </c>
      <c r="HQ85" s="86" t="str">
        <f t="shared" ref="HQ85:HQ116" si="384">TEXT($A74,"mmm")&amp;""&amp;MID($C74,3,2)&amp;" "&amp;TEXT($A85,"mmm")&amp;""&amp;MID($C85,3,2)</f>
        <v>may21 abr22</v>
      </c>
      <c r="HR85" s="1"/>
      <c r="HS85" s="1"/>
      <c r="HT85" s="1"/>
      <c r="HU85" s="1">
        <v>650000</v>
      </c>
      <c r="HV85" s="1" t="s">
        <v>389</v>
      </c>
      <c r="HW85" s="1">
        <v>1500000</v>
      </c>
      <c r="HX85" s="1" t="s">
        <v>399</v>
      </c>
      <c r="HY85" s="1">
        <v>3850000</v>
      </c>
      <c r="HZ85" s="1" t="s">
        <v>389</v>
      </c>
      <c r="IA85" s="1">
        <f t="shared" si="376"/>
        <v>21570000</v>
      </c>
      <c r="IB85" s="1" t="s">
        <v>389</v>
      </c>
      <c r="IC85" s="1">
        <v>39940000</v>
      </c>
      <c r="ID85" s="1" t="s">
        <v>389</v>
      </c>
      <c r="IE85" s="1">
        <v>800000</v>
      </c>
      <c r="IF85" s="1" t="s">
        <v>389</v>
      </c>
      <c r="IG85" s="1">
        <f t="shared" si="365"/>
        <v>7400000</v>
      </c>
      <c r="IH85" s="1" t="s">
        <v>399</v>
      </c>
      <c r="II85" s="79">
        <f t="shared" si="359"/>
        <v>75060000</v>
      </c>
      <c r="IJ85" s="97">
        <f t="shared" si="308"/>
        <v>1.9040737312717446</v>
      </c>
      <c r="IK85" s="1" t="s">
        <v>389</v>
      </c>
      <c r="IL85" s="7">
        <v>44.13</v>
      </c>
      <c r="IM85" s="7">
        <v>47.84</v>
      </c>
      <c r="IN85" s="97">
        <v>189</v>
      </c>
      <c r="IO85" s="7">
        <v>16.329999999999998</v>
      </c>
      <c r="IP85" s="176">
        <f t="shared" si="369"/>
        <v>5.9356067942694777</v>
      </c>
      <c r="IQ85" s="7">
        <v>18</v>
      </c>
      <c r="IR85" s="98">
        <f t="shared" si="322"/>
        <v>7.01</v>
      </c>
      <c r="IS85" s="98">
        <f t="shared" si="322"/>
        <v>4.3099999999999996</v>
      </c>
      <c r="IT85" s="98">
        <f t="shared" si="322"/>
        <v>13.02</v>
      </c>
      <c r="IU85" s="98">
        <f t="shared" si="322"/>
        <v>1.44</v>
      </c>
      <c r="IV85" s="94">
        <f t="shared" si="360"/>
        <v>18.77</v>
      </c>
      <c r="IW85" s="1"/>
      <c r="IX85" s="1"/>
      <c r="IY85" s="105">
        <v>1.88</v>
      </c>
      <c r="IZ85" s="161">
        <v>0.3</v>
      </c>
      <c r="JA85" s="83">
        <v>2813</v>
      </c>
      <c r="JB85" s="7">
        <v>40.33</v>
      </c>
      <c r="JC85" s="1"/>
      <c r="JD85" s="1"/>
      <c r="JF85" s="2">
        <v>11.570507999999998</v>
      </c>
      <c r="JG85" s="2">
        <v>34.242525930000006</v>
      </c>
      <c r="JH85" s="2">
        <v>212.06838499</v>
      </c>
      <c r="JI85" s="2">
        <v>345.71946558999997</v>
      </c>
      <c r="JJ85" s="2">
        <v>1076.2299785499999</v>
      </c>
      <c r="JK85" s="2">
        <v>86.016299079999982</v>
      </c>
      <c r="JL85" s="2">
        <v>3213.7343950799996</v>
      </c>
      <c r="JM85" s="2">
        <v>57.54342123</v>
      </c>
      <c r="JN85" s="2">
        <v>1079.5716109800001</v>
      </c>
      <c r="JO85" s="2">
        <v>25.069733259999996</v>
      </c>
      <c r="JP85" s="2">
        <v>0</v>
      </c>
      <c r="JQ85" s="2">
        <v>5.4952942</v>
      </c>
      <c r="JR85" s="2">
        <v>3.08549586</v>
      </c>
      <c r="JS85" s="2">
        <v>0</v>
      </c>
      <c r="JT85" s="2">
        <v>0.36837054999999996</v>
      </c>
      <c r="JU85" s="2">
        <v>90.029722969999995</v>
      </c>
      <c r="JV85" s="2">
        <v>10.594823679999999</v>
      </c>
      <c r="JW85" s="2">
        <v>27.387434369999998</v>
      </c>
      <c r="JX85" s="2">
        <v>20.859672110000002</v>
      </c>
      <c r="JY85" s="2">
        <v>0</v>
      </c>
      <c r="JZ85" s="2">
        <v>1.1739503500000001</v>
      </c>
      <c r="KA85" s="2">
        <v>0.24589899999999998</v>
      </c>
      <c r="KB85" s="2">
        <v>29.416825530000004</v>
      </c>
      <c r="KC85" s="2">
        <v>34.829088259999999</v>
      </c>
      <c r="KD85" s="2">
        <v>9.5434502200000004</v>
      </c>
      <c r="KE85" s="2">
        <v>27.139910580000002</v>
      </c>
      <c r="KF85" s="2">
        <v>46.530829869999998</v>
      </c>
      <c r="KG85" s="2">
        <v>405.16040881999982</v>
      </c>
      <c r="KH85" s="2">
        <v>143.54288933999999</v>
      </c>
      <c r="KI85" s="2">
        <v>28.473251640000001</v>
      </c>
      <c r="KJ85" s="2">
        <v>1.3895762900000002</v>
      </c>
      <c r="KK85" s="171">
        <v>11.903523750000003</v>
      </c>
      <c r="KL85" s="171">
        <v>4.6643610000000002E-2</v>
      </c>
      <c r="KM85" s="171">
        <v>3.2724942300000004</v>
      </c>
      <c r="KN85" s="171">
        <v>0.86704966000000006</v>
      </c>
      <c r="KO85" s="171">
        <v>0.41913426999999998</v>
      </c>
      <c r="KP85" s="171">
        <v>4.9965000000000001E-3</v>
      </c>
      <c r="KQ85" s="171">
        <v>263.63027543000004</v>
      </c>
      <c r="KR85" s="171">
        <v>9.6976000000000007E-2</v>
      </c>
      <c r="KS85" s="171">
        <v>5.4493420000000001E-2</v>
      </c>
      <c r="KT85" s="171">
        <v>0.58227790999999995</v>
      </c>
      <c r="KU85" s="171">
        <v>0.412966</v>
      </c>
      <c r="KV85" s="171">
        <v>0</v>
      </c>
      <c r="KW85" s="171">
        <v>2.5763999899999996</v>
      </c>
      <c r="KX85" s="171">
        <v>0</v>
      </c>
      <c r="KY85" s="171">
        <v>0</v>
      </c>
      <c r="KZ85" s="171">
        <v>2.9708612100000003</v>
      </c>
      <c r="LA85" s="171">
        <v>0.63251843000000008</v>
      </c>
      <c r="LB85" s="171">
        <v>5.0330529999999998E-2</v>
      </c>
      <c r="LC85" s="171">
        <v>0.14695530000000001</v>
      </c>
      <c r="LD85" s="171">
        <v>0</v>
      </c>
      <c r="LE85" s="171">
        <v>0.56815696000000004</v>
      </c>
      <c r="LF85" s="171">
        <v>0</v>
      </c>
      <c r="LG85" s="171">
        <v>23.828582620000002</v>
      </c>
      <c r="LH85" s="171">
        <v>3.4249882400000002</v>
      </c>
      <c r="LI85" s="171">
        <v>2.4006859300000003</v>
      </c>
      <c r="LJ85" s="171">
        <v>0</v>
      </c>
      <c r="LK85" s="171">
        <v>6.7897798000000007</v>
      </c>
      <c r="LL85" s="171">
        <v>6.5691069199999994</v>
      </c>
      <c r="LM85" s="171">
        <v>3.2917525699999999</v>
      </c>
      <c r="LN85" s="171">
        <v>2.9313999999999998E-3</v>
      </c>
      <c r="LO85" s="171">
        <v>12.89114653</v>
      </c>
      <c r="LQ85" s="85">
        <f t="shared" si="247"/>
        <v>5984.8672564199987</v>
      </c>
      <c r="LR85" s="85">
        <f t="shared" si="248"/>
        <v>8.9491606099999998</v>
      </c>
      <c r="LS85" s="85">
        <f t="shared" si="249"/>
        <v>37.982258049999999</v>
      </c>
      <c r="LT85" s="85">
        <f t="shared" si="250"/>
        <v>1.4198493500000002</v>
      </c>
      <c r="LU85" s="85">
        <f t="shared" si="251"/>
        <v>268.34042300999999</v>
      </c>
      <c r="LV85" s="85">
        <f t="shared" si="252"/>
        <v>2.5763999899999996</v>
      </c>
      <c r="LW85" s="85">
        <f t="shared" si="253"/>
        <v>0.68284896000000006</v>
      </c>
      <c r="LX85" s="85">
        <f t="shared" si="254"/>
        <v>0.56815696000000004</v>
      </c>
      <c r="LZ85" s="131">
        <v>145.88</v>
      </c>
      <c r="MA85" s="171">
        <v>127.08</v>
      </c>
      <c r="MB85"/>
      <c r="MC85"/>
      <c r="MD85"/>
      <c r="MF85"/>
      <c r="MG85"/>
      <c r="MH85" s="83">
        <v>295.24</v>
      </c>
      <c r="MI85" s="83">
        <v>86.18</v>
      </c>
      <c r="MJ85" s="83">
        <v>68.2</v>
      </c>
      <c r="MK85"/>
      <c r="ML85" s="83">
        <v>90.86</v>
      </c>
      <c r="MM85" s="83">
        <v>192.78</v>
      </c>
      <c r="MN85" s="83"/>
      <c r="MO85" s="83">
        <v>82.15</v>
      </c>
      <c r="MP85" s="83">
        <v>206.89</v>
      </c>
      <c r="MQ85" s="83">
        <v>227.93</v>
      </c>
      <c r="MR85"/>
      <c r="MT85" s="83"/>
      <c r="MU85" s="83">
        <v>100.02</v>
      </c>
      <c r="MV85"/>
      <c r="MW85"/>
      <c r="MX85"/>
      <c r="MY85" s="83">
        <v>274.13</v>
      </c>
      <c r="MZ85" s="83">
        <v>727</v>
      </c>
      <c r="NA85" s="83">
        <v>293.89</v>
      </c>
      <c r="NB85" s="83">
        <v>1049.47</v>
      </c>
      <c r="NC85" s="83">
        <v>117.5</v>
      </c>
      <c r="ND85" s="1">
        <v>1069</v>
      </c>
      <c r="NE85" s="1">
        <v>689.83</v>
      </c>
    </row>
    <row r="86" spans="1:369">
      <c r="A86" s="38">
        <f t="shared" si="334"/>
        <v>44682</v>
      </c>
      <c r="B86" s="36">
        <f t="shared" si="366"/>
        <v>5</v>
      </c>
      <c r="C86" s="36">
        <f t="shared" si="367"/>
        <v>2022</v>
      </c>
      <c r="D86" s="36">
        <f t="shared" si="347"/>
        <v>86</v>
      </c>
      <c r="E86" s="38">
        <f t="shared" si="335"/>
        <v>44682</v>
      </c>
      <c r="F86" s="7">
        <v>122.9</v>
      </c>
      <c r="G86" s="7">
        <v>753.1</v>
      </c>
      <c r="H86" s="1">
        <f>[2]NACIONALES!$D74</f>
        <v>60360</v>
      </c>
      <c r="I86" s="7">
        <v>93</v>
      </c>
      <c r="J86" s="7">
        <v>1280</v>
      </c>
      <c r="K86" s="7">
        <v>12.5</v>
      </c>
      <c r="L86" s="7">
        <v>34</v>
      </c>
      <c r="N86" s="5">
        <v>3.07</v>
      </c>
      <c r="O86" s="5">
        <v>2.81</v>
      </c>
      <c r="P86" s="78">
        <f t="shared" si="294"/>
        <v>343.25969999999995</v>
      </c>
      <c r="Q86" s="6">
        <v>2650</v>
      </c>
      <c r="R86" s="79">
        <f t="shared" si="336"/>
        <v>26500</v>
      </c>
      <c r="S86" s="6">
        <v>298.5</v>
      </c>
      <c r="T86" s="6">
        <v>654.1</v>
      </c>
      <c r="U86" s="143">
        <v>245.67500000000001</v>
      </c>
      <c r="V86" s="6">
        <v>427.32666666666665</v>
      </c>
      <c r="W86" s="6">
        <f>(322*0.88)-10</f>
        <v>273.36</v>
      </c>
      <c r="X86" s="6">
        <v>348.995</v>
      </c>
      <c r="Y86" s="79">
        <f t="shared" si="337"/>
        <v>36685.65</v>
      </c>
      <c r="Z86" s="79">
        <f t="shared" si="338"/>
        <v>80388.89</v>
      </c>
      <c r="AA86" s="79">
        <f t="shared" si="339"/>
        <v>30193.457500000004</v>
      </c>
      <c r="AB86" s="79">
        <f t="shared" si="340"/>
        <v>52518.447333333337</v>
      </c>
      <c r="AC86" s="79">
        <f t="shared" si="341"/>
        <v>33595.944000000003</v>
      </c>
      <c r="AD86" s="79">
        <f t="shared" si="342"/>
        <v>42891.485500000003</v>
      </c>
      <c r="AE86" s="79">
        <f t="shared" si="343"/>
        <v>46045.645722222223</v>
      </c>
      <c r="AF86" s="1">
        <v>84875.8</v>
      </c>
      <c r="AG86" s="1">
        <v>46890</v>
      </c>
      <c r="AH86" s="1">
        <v>178180</v>
      </c>
      <c r="AI86" s="5">
        <v>63.398000000000003</v>
      </c>
      <c r="AJ86" s="5">
        <v>73.281199999999998</v>
      </c>
      <c r="AK86" s="5">
        <v>52.253599999999999</v>
      </c>
      <c r="AL86" s="5">
        <v>48.6417</v>
      </c>
      <c r="AM86" s="78">
        <f t="shared" si="344"/>
        <v>57.354272000000009</v>
      </c>
      <c r="AN86" s="7">
        <v>2692.439024390244</v>
      </c>
      <c r="AO86" s="7">
        <v>1405.3473684210524</v>
      </c>
      <c r="AP86" s="78">
        <f t="shared" ref="AP86:AP117" si="385">IFERROR(+AVERAGE(AO86:AO86),"")</f>
        <v>1405.3473684210524</v>
      </c>
      <c r="AQ86" s="7">
        <v>772.67605633802816</v>
      </c>
      <c r="AR86" s="7">
        <v>1037.3257894736842</v>
      </c>
      <c r="AS86" s="7">
        <v>2097.8571428571427</v>
      </c>
      <c r="AT86" s="7">
        <v>1574.8736842105263</v>
      </c>
      <c r="AU86" s="78">
        <f t="shared" si="348"/>
        <v>1570.0188721804509</v>
      </c>
      <c r="AV86" s="7">
        <v>634.85964912280701</v>
      </c>
      <c r="AW86" s="7">
        <v>1820.15</v>
      </c>
      <c r="AX86" s="7">
        <v>811.98950000000002</v>
      </c>
      <c r="AY86" s="7">
        <v>1466.8602150537633</v>
      </c>
      <c r="AZ86" s="7">
        <v>1012.0324999999999</v>
      </c>
      <c r="BA86" s="7">
        <v>381.65</v>
      </c>
      <c r="BB86" s="94">
        <f t="shared" si="345"/>
        <v>986.99118473715646</v>
      </c>
      <c r="BC86" s="68">
        <v>5906</v>
      </c>
      <c r="BD86" s="68">
        <v>3280</v>
      </c>
      <c r="BE86" s="7">
        <v>3400</v>
      </c>
      <c r="BF86" s="7">
        <v>2100</v>
      </c>
      <c r="BG86" s="94">
        <f t="shared" si="349"/>
        <v>3671.5</v>
      </c>
      <c r="BH86" s="7">
        <v>287.83</v>
      </c>
      <c r="BI86" s="7">
        <v>60</v>
      </c>
      <c r="BJ86" s="78">
        <f t="shared" si="350"/>
        <v>347.83</v>
      </c>
      <c r="BK86" s="7">
        <v>315.35599999999999</v>
      </c>
      <c r="BL86" s="7">
        <v>376.39</v>
      </c>
      <c r="BM86" s="94">
        <f t="shared" si="351"/>
        <v>345.87299999999999</v>
      </c>
      <c r="BN86" s="5">
        <v>45.52</v>
      </c>
      <c r="BO86" s="84">
        <v>243.7</v>
      </c>
      <c r="BP86">
        <v>144.51</v>
      </c>
      <c r="BQ86" s="94">
        <f t="shared" si="346"/>
        <v>233.78099999999998</v>
      </c>
      <c r="BR86" s="97">
        <v>158.56</v>
      </c>
      <c r="BS86" s="97">
        <v>510</v>
      </c>
      <c r="BT86" s="7">
        <f>1.07*F86</f>
        <v>131.50300000000001</v>
      </c>
      <c r="BU86" s="79">
        <f t="shared" si="237"/>
        <v>6514.509</v>
      </c>
      <c r="BV86" s="7">
        <v>305.8</v>
      </c>
      <c r="BW86" s="7">
        <v>500</v>
      </c>
      <c r="BY86" s="92">
        <f>BY$10*(1+((H86/H$10-1)*costos!$B$5+((I86*F86)/(I$10*F$10)-1)*costos!$E$5+((J86*F86)/((J$10*F$10)-1)*costos!$F$5/3+((K86*F86)/(K$10*F$10)-1)*costos!$F$5/3+((U86*F86)/(U$10*F$10)-1)*costos!$F$5/3+((L86*F86)/(L$10*F$10)-1)*costos!$G$5+((N86*F86)/(N$10*F$10)-1)*costos!$J$5+((V86*F86)/(V$10*F$10)-1)*costos!$K$5)))</f>
        <v>1774.0817048571998</v>
      </c>
      <c r="BZ86" s="92">
        <f>$BZ$10*(1+((H86/$H$10-1)*costos!$B$6+((I86*F86)/($I$10*$F$10)-1)*costos!$E$6+((J86*F86)/(($J$10*$F$10)-1)*costos!$F$6/3+((K86*F86)/($K$10*$F$10)-1)*costos!$F$6/3+((U86*F86)/($U$10*$F$10)-1)*costos!$F$6/3+((L86*F86)/($L$10*$F$10)-1)*costos!$G$6+((Q86*F86)/($Q$10*$F$10)-1)*costos!$J$6+((V86*F86)/($V$10*$F$10)-1)*costos!$K$6)))</f>
        <v>1287.0333460381491</v>
      </c>
      <c r="CA86" s="92">
        <f>CA$10*(1+((H86/H$10-1)*costos!$B$7+((I86*F86)/(I$10*F$10)-1)*costos!$E$7+((J86*F86)/((J$10*F$10)-1)*costos!$F$7/3+((K86*F86)/(K$10*F$10)-1)*costos!$F$7/3+((U86*F86)/(U$10*F$10)-1)*costos!$F$7/3+((L86*F86)/(L$10*F$10)-1)*costos!$G$7+((S86*F86)/(S$10*F$10)-1)*costos!$J$7+((V86*F86)/(V$10*F$10)-1)*costos!$K$7)))</f>
        <v>1663.6232265763845</v>
      </c>
      <c r="CB86" s="92">
        <f>CB$10*(1+((H86/H$10-1)*costos!$B$8+((I86*F86)/(I$10*F$10)-1)*costos!$E$8+((J86*F86)/((J$10*F$10)-1)*costos!$F$8/3+((K86*F86)/(K$10*F$10)-1)*costos!$F$8/3+((U86*F86)/(U$10*F$10)-1)*costos!$F$8/3+((L86*F86)/(L$10*F$10)-1)*costos!$G$8+((T86*F86)/(T$10*F$10)-1)*costos!$J$8+((V86*F86)/(V$10*F$10)-1)*costos!$K$8)))</f>
        <v>1671.3369809053809</v>
      </c>
      <c r="CC86" s="92">
        <f>CC$10*(1+((H86/H$10-1)*costos!$B$9+((I86*F86)/(I$10*F$10)-1)*costos!$E$9+((J86*F86)/((J$10*F$10)-1)*costos!$F$9/3+((K86*F86)/(K$10*F$10)-1)*costos!$F$9/3+((U86*F86)/(U$10*F$10)-1)*costos!$F$9/3+((L86*F86)/(L$10*F$10)-1)*costos!$G$9+((U86*F86)/(U$10*F$10)-1)*costos!$J$9+((V86*F86)/(V$10*F$10)-1)*costos!$K$9)))</f>
        <v>1519.7265331195049</v>
      </c>
      <c r="CD86" s="92">
        <f>CD$10*(1+((H86/H$10-1)*costos!$B$11+((I86*F86)/(I$10*F$10)-1)*costos!$E$11+((J86*F86)/((J$10*F$10)-1)*costos!$F$11/3+((K86*F86)/(K$10*F$10)-1)*costos!$F$11/3+((U86*F86)/(U$10*F$10)-1)*costos!$F$11/3+((L86*F86)/(L$10*F$10)-1)*costos!$G$11+((V86*F86)/(V$10*F$10)-1)*costos!$J$11+((V86*F86)/(V$10*F$10)-1)*costos!$K$11)))</f>
        <v>1620.8218138369041</v>
      </c>
      <c r="CE86" s="92">
        <f>CE$10*(1+((H86/H$10-1)*costos!$B$12+((I86*F86)/(I$10*F$10)-1)*costos!$E$12+((J86*F86)/((J$10*F$10)-1)*costos!$F$12/3+((K86*F86)/(K$10*F$10)-1)*costos!$F$12/3+((U86*F86)/(U$10*F$10)-1)*costos!$F$12/3+((L86*F86)/(L$10*F$10)-1)*costos!$G$12+((W86*F86)/(W$10*F$10)-1)*costos!$J$12+((V86*F86)/(V$10*F$10)-1)*costos!$K$12)))</f>
        <v>1533.7709490406301</v>
      </c>
      <c r="CF86" s="92">
        <f>CF$10*(1+((H86/H$10-1)*costos!$B$13+((I86*F86)/(I$10*F$10)-1)*costos!$E$13+((J86*F86)/((J$10*F$10)-1)*costos!$F$13/3+((K86*F86)/(K$10*F$10)-1)*costos!$F$13/3+((U86*F86)/(U$10*F$10)-1)*costos!$F$13/3+((L86*F86)/(L$10*F$10)-1)*costos!$G$13+((X86*F86)/(X$10*F$10)-1)*costos!$J$13+((V86*F86)/(V$10*F$10)-1)*costos!$K$13)))</f>
        <v>1711.0183377062829</v>
      </c>
      <c r="CG86" s="92">
        <f t="shared" si="361"/>
        <v>1620.0496401975142</v>
      </c>
      <c r="CH86" s="92">
        <f>CH$10*(1+((H86/H$10-1)*costos!$B$10+((I86*F86)/(I$10*F$10)-1)*costos!$E$10+((J86*F86)/((J$10*F$10)-1)*costos!$F$10/3+((K86*F86)/(K$10*F$10)-1)*costos!$F$10/3+((U86*F86)/(U$10*F$10)-1)*costos!$F$10/3+((L86*F86)/(L$10*F$10)-1)*costos!$G$10+((AF86)/(AF$10)-1)*costos!$J$10+((V86*F86)/(V$10*F$10)-1)*costos!$K$10)))</f>
        <v>1491.0544368694912</v>
      </c>
      <c r="CI86" s="92">
        <f>CI$10*(1+((H86/H$10-1)*costos!$B$15+((I86*F86)/(I$10*F$10)-1)*costos!$E$15+((J86*F86)/((J$10*F$10)-1)*costos!$F$15/3+((K86*F86)/(K$10*F$10)-1)*costos!$F$15/3+((U86*F86)/(U$10*F$10)-1)*costos!$F$15/3+((L86*F86)/(L$10*F$10)-1)*costos!$G$15+((AV86)/(AV$10)-1)*costos!$J$15+((V86*F86)/(V$10*F$10)-1)*costos!$K$15)))</f>
        <v>1552.3059807382592</v>
      </c>
      <c r="CJ86" s="92">
        <f>CJ$10*(1+((H86/H$10-1)*costos!$B$16+((I86*F86)/(I$10*F$10)-1)*costos!$E$16+((J86*F86)/((J$10*F$10)-1)*costos!$F$16/3+((K86*F86)/(K$10*F$10)-1)*costos!$F$16/3+((U86*F86)/(U$10*F$10)-1)*costos!$F$16/3+((L86*F86)/(L$10*F$10)-1)*costos!$G$16+((AW86)/(AW$10)-1)*costos!$J$16+((V86*F86)/(V$10*F$10)-1)*costos!$K$16)))</f>
        <v>1079.6790757715044</v>
      </c>
      <c r="CK86" s="92">
        <f>CK$10*(1+((H86/H$10-1)*costos!$B$17+((I86*F86)/(I$10*F$10)-1)*costos!$E$17+((J86*F86)/((J$10*F$10)-1)*costos!$F$17/3+((K86*F86)/(K$10*F$10)-1)*costos!$F$17/3+((U86*F86)/(U$10*F$10)-1)*costos!$F$17/3+((L86*F86)/(L$10*F$10)-1)*costos!$G$17+((AX86)/(AX$10)-1)*costos!$J$17+((V86*F86)/(V$10*F$10)-1)*costos!$K$17)))</f>
        <v>1389.6182894168367</v>
      </c>
      <c r="CL86" s="92">
        <f>CL$10*(1+((H86/H$10-1)*costos!$B$18+((I86*F86)/(I$10*F$10)-1)*costos!$E$18+((J86*F86)/((J$10*F$10)-1)*costos!$F$18/3+((K86*F86)/(K$10*F$10)-1)*costos!$F$18/3+((U86*F86)/(U$10*F$10)-1)*costos!$F$18/3+((L86*F86)/(L$10*F$10)-1)*costos!$G$18+((AY86)/(AY$10)-1)*costos!$J$18+((V86*F86)/(V$10*F$10)-1)*costos!$K$18)))</f>
        <v>1542.8756615322141</v>
      </c>
      <c r="CM86" s="92">
        <f>CM$10*(1+((H86/H$10-1)*costos!$B$19+((I86*F86)/(I$10*F$10)-1)*costos!$E$19+((J86*F86)/((J$10*F$10)-1)*costos!$F$19/3+((K86*F86)/(K$10*F$10)-1)*costos!$F$19/3+((U86*F86)/(U$10*F$10)-1)*costos!$F$19/3+((L86*F86)/(L$10*F$10)-1)*costos!$G$19+((AZ86)/(AZ$10)-1)*costos!$J$19+((V86*F86)/(V$10*F$10)-1)*costos!$K$19)))</f>
        <v>1090.1488783240143</v>
      </c>
      <c r="CN86" s="92">
        <f>CN$10*(1+((H86/H$10-1)*costos!$B$20+((I86*F86)/(I$10*F$10)-1)*costos!$E$20+((J86*F86)/((J$10*F$10)-1)*costos!$F$20/3+((K86*F86)/(K$10*F$10)-1)*costos!$F$20/3+((U86*F86)/(U$10*F$10)-1)*costos!$F$20/3+((L86*F86)/(L$10*F$10)-1)*costos!$G$20+((BA86)/(BA$10)-1)*costos!$J$20+((V86*F86)/(V$10*F$10)-1)*costos!$K$20)))</f>
        <v>1034.3226067181079</v>
      </c>
      <c r="CO86" s="92">
        <f t="shared" si="362"/>
        <v>1264.2413589977932</v>
      </c>
      <c r="CP86" s="92">
        <f>CP$10*(1+((H86/H$10-1)*costos!$B$22+((I86*F86)/(I$10*F$10)-1)*costos!$E$22+((J86*F86)/((J$10*F$10)-1)*costos!$F$22/3+((K86*F86)/(K$10*F$10)-1)*costos!$F$22/3+((U86*F86)/(U$10*F$10)-1)*costos!$F$22/3+((L86*F86)/(L$10*F$10)-1)*costos!$G$22+(((AVERAGE(AI86:AL86))/((AVERAGE(AI$10:AL$10))-1)*costos!$J$22+((V86*F86)/(V$10*F$10)-1)*costos!$K$22)))))</f>
        <v>1446.1328385833726</v>
      </c>
      <c r="CQ86" s="92">
        <f>CQ$10*(1+((H86/H$10-1)*costos!$B$23+((I86*F86)/(I$10*F$10)-1)*costos!$E$23+((J86*F86)/((J$10*F$10)-1)*costos!$F$23/3+((K86*F86)/(K$10*F$10)-1)*costos!$F$23/3+((U86*F86)/(U$10*F$10)-1)*costos!$F$23/3+((L86*F86)/(L$10*F$10)-1)*costos!$G$23+((AN86)/(AN$10)-1)*costos!$J$23+((V86*F86)/(V$10*F$10)-1)*costos!$K$23)))</f>
        <v>1163.1429292653388</v>
      </c>
      <c r="CR86" s="92">
        <f>CR$10*(1+((H86/H$10-1)*costos!$B$24+((I86*F86)/(I$10*F$10)-1)*costos!$E$24+((J86*F86)/((J$10*F$10)-1)*costos!$F$24/3+((K86*F86)/(K$10*F$10)-1)*costos!$F$24/3+((U86*F86)/(U$10*F$10)-1)*costos!$F$24/3+((L86*F86)/(L$10*F$10)-1)*costos!$G$24+((AO86)/(AO$10)-1)*costos!$J$24+((V86*F86)/(V$10*F$10)-1)*costos!$K$24)))</f>
        <v>1145.4743831811923</v>
      </c>
      <c r="CS86" s="92">
        <f t="shared" si="352"/>
        <v>1154.3086562232656</v>
      </c>
      <c r="CT86" s="92">
        <f>CT$10*(1+((H86/H$10-1)*costos!$B$25+((I86*F86)/(I$10*F$10)-1)*costos!$E$25+((J86*F86)/((J$10*F$10)-1)*costos!$F$25/3+((K86*F86)/(K$10*F$10)-1)*costos!$F$25/3+((U86*F86)/(U$10*F$10)-1)*costos!$F$25/3+((L86*F86)/(L$10*F$10)-1)*costos!$G$25+((AQ86)/(AQ$10)-1)*costos!$J$25+((V86*F86)/(V$10*F$10)-1)*costos!$K$25)))</f>
        <v>1131.6251264021053</v>
      </c>
      <c r="CU86" s="92">
        <f>CU$10*(1+((H86/H$10-1)*costos!$B$26+((I86*F86)/(I$10*F$10)-1)*costos!$E$26+((J86*F86)/((J$10*F$10)-1)*costos!$F$26/3+((K86*F86)/(K$10*F$10)-1)*costos!$F$26/3+((U86*F86)/(U$10*F$10)-1)*costos!$F$26/3+((L86*F86)/(L$10*F$10)-1)*costos!$G$26+((AR86)/(AR$10)-1)*costos!$J$26+((V86*F86)/(V$10*F$10)-1)*costos!$K$26)))</f>
        <v>1298.291764121607</v>
      </c>
      <c r="CV86" s="92">
        <f>CV$10*(1+((H86/H$10-1)*costos!$B$27+((I86*F86)/(I$10*F$10)-1)*costos!$E$27+((J86*F86)/((J$10*F$10)-1)*costos!$F$27/3+((K86*F86)/(K$10*F$10)-1)*costos!$F$27/3+((U86*F86)/(U$10*F$10)-1)*costos!$F$27/3+((L86*F86)/(L$10*F$10)-1)*costos!$G$27+((AS86)/(AS$10)-1)*costos!$J$27+((V86*F86)/(V$10*F$10)-1)*costos!$K$27)))</f>
        <v>1368.0655080812028</v>
      </c>
      <c r="CW86" s="92">
        <f>CW$10*(1+((H86/H$10-1)*costos!$B$28+((I86*F86)/(I$10*F$10)-1)*costos!$E$28+((J86*F86)/((J$10*F$10)-1)*costos!$F$28/3+((K86*F86)/(K$10*F$10)-1)*costos!$F$28/3+((U86*F86)/(U$10*F$10)-1)*costos!$F$28/3+((L86*F86)/(L$10*F$10)-1)*costos!$G$28+((AS86)/(AS$10)-1)*costos!$J$28+((V86*F86)/(V$10*F$10)-1)*costos!$K$28)))</f>
        <v>1368.0655080812028</v>
      </c>
      <c r="CX86" s="92">
        <f t="shared" si="363"/>
        <v>1344.8075934280041</v>
      </c>
      <c r="CY86" s="92">
        <f>CY$10*(1+((H86/H$10-1)*costos!$B$32+((I86*F86)/(I$10*F$10)-1)*costos!$E$32+((J86*F86)/((J$10*F$10)-1)*costos!$F$32/3+((K86*F86)/(K$10*F$10)-1)*costos!$F$32/3+((U86*F86)/(U$10*F$10)-1)*costos!$F$32/3+((L86*F86)/(L$10*F$10)-1)*costos!$G$32+((AG86)/(AG$10)-1)*costos!$J$32+((V86*F86)/(V$10*F$10)-1)*costos!$K$32)))</f>
        <v>1002.1452225327188</v>
      </c>
      <c r="CZ86" s="69">
        <f>CZ$10*(1+((H86/H$10-1)*costos!$B$31+((I86*F86)/(I$10*F$10)-1)*costos!$E$30+((J86*F86)/((J$10*F$10)-1)*costos!$F$30/3+((K86*F86)/(K$10*F$10)-1)*costos!$F$30/3+((U86*F86)/(U$10*F$10)-1)*costos!$F$30/3+((L86*F86)/(L$10*F$10)-1)*costos!$G$30+((BG86)/(BG$10)-1)*costos!$J$30+((V86*F86)/(V$10*F$10)-1)*costos!$K$30)))</f>
        <v>1317.7893232606905</v>
      </c>
      <c r="DA86" s="69">
        <f>DA$10*(1+((H86/H$10-1)*costos!$B$31+((I86*F86)/(I$10*F$10)-1)*costos!$E$31+((J86*F86)/((J$10*F$10)-1)*costos!$F$31/3+((K86*F86)/(K$10*F$10)-1)*costos!$F$31/3+((U86*F86)/(U$10*F$10)-1)*costos!$F$31/3+((L86*F86)/(L$10*F$10)-1)*costos!$G$31+((BJ86)/(BJ$10)-1)*costos!$J$31+((V86*F86)/(V$10*F$10)-1)*costos!$K$31)))</f>
        <v>1094.4440642432976</v>
      </c>
      <c r="DB86" s="69">
        <f>DB$10*(1+((H86/H$10-1)*costos!$B$36+((I86*F86)/(I$10*F$10)-1)*costos!$E$36+((J86*F86)/((J$10*F$10)-1)*costos!$F$36/3+((K86*F86)/(K$10*F$10)-1)*costos!$F$36/3+((U86*F86)/(U$10*F$10)-1)*costos!$F$36/3+((L86*F86)/(L$10*F$10)-1)*costos!$G$36+((BK86)/(BK$10)-1)*costos!$J$36+((V86*F86)/(V$10*F$10)-1)*costos!$K$36)))</f>
        <v>1421.4872937638067</v>
      </c>
      <c r="DC86" s="69">
        <f>DC$10*(1+((H86/H$10-1)*costos!$B$37+((I86*F86)/(I$10*F$10)-1)*costos!$E$37+((U86*F86)/(U$10*F$10)-1)*costos!$F$37+((L86*F86)/(L$10*F$10)-1)*costos!$G$37+((BN86)/(BN$10)-1)*costos!$J$37+((V86*F86)/(V$10*F$10)-1)*costos!$K$37))</f>
        <v>1303.3783543891802</v>
      </c>
      <c r="DD86" s="69">
        <f>DD$10*(1+((H86/H$10-1)*costos!$B$39+((I86*F86)/(I$10*F$10)-1)*costos!$E$39+((U86*F86)/(U$10*F$10)-1)*costos!$F$39+((L86*F86)/(L$10*F$10)-1)*costos!$G$39+((BR86)/(BR$10)-1)*costos!$J$39+((V86*F86)/(V$10*F$10)-1)*costos!$K$39))</f>
        <v>1282.1102907091208</v>
      </c>
      <c r="DE86" s="69">
        <f>DD$10*(1+((H86/H$10-1)*costos!$B$35+((I86*F86)/(I$10*F$10)-1)*costos!$E$35+((U86*F86)/(U$10*F$10)-1)*costos!$F$35+((L86*F86)/(L$10*F$10)-1)*costos!$G$35+((BR86)/(BR$10)-1)*costos!$J$35+((V86*F86)/(V$10*F$10)-1)*costos!$K$35))</f>
        <v>1173.6180040024892</v>
      </c>
      <c r="DF86" s="69">
        <f>DF$10*(1+((H86/H$10-1)*costos!$B$40+((I86*F86)/(I$10*F$10)-1)*costos!$E$40+((U86*F86)/(U$10*F$10)-1)*costos!$F$40+((L86*F86)/(L$10*F$10)-1)*costos!$G$40+((BP86)/(BP$10)-1)*costos!$J$40+((V86*F86)/(V$10*F$10)-1)*costos!$K$40))</f>
        <v>1373.3112325547741</v>
      </c>
      <c r="DG86" s="92">
        <f t="shared" si="364"/>
        <v>1273.4646182786316</v>
      </c>
      <c r="DH86" s="69">
        <f>DH$10*(1+((H86/H$10-1)*costos!$B$34+((I86*F86)/(I$10*F$10)-1)*costos!$E$34+((J86*F86)/((J$10*F$10)-1)*costos!$F$34/3+((K86*F86)/(K$10*F$10)-1)*costos!$F$34/3+((U86*F86)/(U$10*F$10)-1)*costos!$F$34/3+((L86*F86)/(L$10*F$10)-1)*costos!$G$34+((BV86)/(BV$10)-1)*costos!$J$34+((V86*F86)/(V$10*F$10)-1)*costos!$K$34)))</f>
        <v>1224.4822011610399</v>
      </c>
      <c r="DI86" s="69">
        <f>DI$10*(1+((H86/H$10-1)*costos!$B$38+((I86*F86)/(I$10*F$10)-1)*costos!$E$38+((J86*F86)/((J$10*F$10)-1)*costos!$F$38/3+((K86*F86)/(K$10*F$10)-1)*costos!$F$38/3+((U86*F86)/(U$10*F$10)-1)*costos!$F$38/3+((L86*F86)/(L$10*F$10)-1)*costos!$G$38+((BU86)/(BU$10)-1)*costos!$J$38+((V86*F86)/(V$10*F$10)-1)*costos!$K$38)))</f>
        <v>1007.0771798495564</v>
      </c>
      <c r="DK86" s="1">
        <v>500000</v>
      </c>
      <c r="DL86" s="1" t="s">
        <v>389</v>
      </c>
      <c r="DM86" s="1">
        <v>200000</v>
      </c>
      <c r="DN86" s="1" t="s">
        <v>389</v>
      </c>
      <c r="DO86" s="1">
        <v>1600000</v>
      </c>
      <c r="DP86" s="1" t="s">
        <v>389</v>
      </c>
      <c r="DQ86" s="1">
        <v>1900000</v>
      </c>
      <c r="DR86" s="1" t="s">
        <v>389</v>
      </c>
      <c r="DS86" s="1">
        <v>7300000</v>
      </c>
      <c r="DT86" s="1" t="s">
        <v>389</v>
      </c>
      <c r="DU86" s="1">
        <v>16100000</v>
      </c>
      <c r="DV86" s="1" t="s">
        <v>389</v>
      </c>
      <c r="DW86" s="1">
        <v>950000</v>
      </c>
      <c r="DX86" s="1" t="s">
        <v>389</v>
      </c>
      <c r="DY86" s="1">
        <v>6750000</v>
      </c>
      <c r="DZ86" s="1" t="s">
        <v>389</v>
      </c>
      <c r="EA86" s="79">
        <f t="shared" si="353"/>
        <v>34600000</v>
      </c>
      <c r="EB86" s="1">
        <v>395000</v>
      </c>
      <c r="EC86" s="1" t="s">
        <v>389</v>
      </c>
      <c r="ED86" s="1">
        <v>209277</v>
      </c>
      <c r="EE86" s="143">
        <v>2022</v>
      </c>
      <c r="EF86" s="1">
        <v>207047</v>
      </c>
      <c r="EG86" s="6">
        <v>2022</v>
      </c>
      <c r="EH86" s="1">
        <v>53416435</v>
      </c>
      <c r="EI86" s="6">
        <v>2022</v>
      </c>
      <c r="EJ86" s="1">
        <v>5477107</v>
      </c>
      <c r="EK86" s="6">
        <v>2022</v>
      </c>
      <c r="EL86" s="1">
        <v>12461845</v>
      </c>
      <c r="EM86" s="6">
        <v>2022</v>
      </c>
      <c r="EN86" s="1">
        <v>3169981</v>
      </c>
      <c r="EO86" s="6">
        <v>2021</v>
      </c>
      <c r="EP86" s="82">
        <f t="shared" si="315"/>
        <v>6552</v>
      </c>
      <c r="EQ86" s="83">
        <v>3500000</v>
      </c>
      <c r="ER86" s="1">
        <f t="shared" si="189"/>
        <v>74633.333333333328</v>
      </c>
      <c r="ES86" s="1"/>
      <c r="ET86" s="83">
        <f t="shared" si="316"/>
        <v>17456</v>
      </c>
      <c r="EU86" s="83">
        <f t="shared" si="316"/>
        <v>19445</v>
      </c>
      <c r="EV86" s="83">
        <f t="shared" si="316"/>
        <v>9018</v>
      </c>
      <c r="EW86" s="83">
        <f t="shared" si="316"/>
        <v>17386</v>
      </c>
      <c r="EX86" s="79">
        <f t="shared" si="354"/>
        <v>63305</v>
      </c>
      <c r="EY86" s="83">
        <f>+EY85</f>
        <v>20049</v>
      </c>
      <c r="EZ86" s="83">
        <f t="shared" si="370"/>
        <v>33638</v>
      </c>
      <c r="FA86" s="83">
        <f t="shared" si="371"/>
        <v>19948</v>
      </c>
      <c r="FB86" s="83">
        <f t="shared" si="372"/>
        <v>15432</v>
      </c>
      <c r="FC86" s="79">
        <f t="shared" si="307"/>
        <v>35380</v>
      </c>
      <c r="FD86" s="83">
        <f t="shared" si="158"/>
        <v>56856.849999999991</v>
      </c>
      <c r="FE86" s="1"/>
      <c r="FF86" s="1">
        <v>1100000</v>
      </c>
      <c r="FG86" s="1" t="s">
        <v>389</v>
      </c>
      <c r="FH86" s="1">
        <v>1200000</v>
      </c>
      <c r="FI86" s="1" t="s">
        <v>389</v>
      </c>
      <c r="FJ86" s="1">
        <v>5200000</v>
      </c>
      <c r="FK86" s="1" t="s">
        <v>389</v>
      </c>
      <c r="FL86" s="1">
        <v>3800000</v>
      </c>
      <c r="FM86" s="1" t="s">
        <v>389</v>
      </c>
      <c r="FN86" s="1">
        <v>49000000</v>
      </c>
      <c r="FO86" s="1" t="s">
        <v>389</v>
      </c>
      <c r="FP86" s="1">
        <v>43500000</v>
      </c>
      <c r="FQ86" s="1" t="s">
        <v>389</v>
      </c>
      <c r="FR86" s="1">
        <v>2800000</v>
      </c>
      <c r="FS86" s="1" t="s">
        <v>389</v>
      </c>
      <c r="FT86" s="1">
        <v>22150000</v>
      </c>
      <c r="FU86" s="1" t="s">
        <v>389</v>
      </c>
      <c r="FV86" s="79">
        <f t="shared" si="355"/>
        <v>126450000</v>
      </c>
      <c r="FW86" s="1">
        <v>1300000</v>
      </c>
      <c r="FX86" s="1" t="s">
        <v>389</v>
      </c>
      <c r="FY86" s="1">
        <v>111132</v>
      </c>
      <c r="FZ86" s="79">
        <f t="shared" si="377"/>
        <v>733624</v>
      </c>
      <c r="GA86" s="86" t="str">
        <f t="shared" si="378"/>
        <v>jun21 may22</v>
      </c>
      <c r="GB86" s="1">
        <v>19368031</v>
      </c>
      <c r="GC86" s="6">
        <v>2022</v>
      </c>
      <c r="GD86" s="83">
        <f t="shared" si="318"/>
        <v>2141365</v>
      </c>
      <c r="GE86" s="83">
        <f t="shared" si="318"/>
        <v>369608</v>
      </c>
      <c r="GF86" s="83">
        <v>1038163</v>
      </c>
      <c r="GG86" s="83">
        <f t="shared" si="268"/>
        <v>94581</v>
      </c>
      <c r="GH86" s="79">
        <f t="shared" si="240"/>
        <v>1502352</v>
      </c>
      <c r="GI86" s="82">
        <f t="shared" si="373"/>
        <v>1302556</v>
      </c>
      <c r="GJ86" s="83">
        <f t="shared" si="368"/>
        <v>665558</v>
      </c>
      <c r="GK86" s="83">
        <f t="shared" si="368"/>
        <v>1393000</v>
      </c>
      <c r="GL86" s="83">
        <f t="shared" si="368"/>
        <v>300028.90000000002</v>
      </c>
      <c r="GM86" s="83">
        <f t="shared" si="368"/>
        <v>259304.56</v>
      </c>
      <c r="GN86" s="79">
        <f t="shared" si="357"/>
        <v>2617891.46</v>
      </c>
      <c r="GO86" s="83">
        <f t="shared" si="374"/>
        <v>200935</v>
      </c>
      <c r="GP86" s="83">
        <f t="shared" si="374"/>
        <v>73046</v>
      </c>
      <c r="GQ86" s="82">
        <v>54749.25</v>
      </c>
      <c r="GR86" s="82">
        <v>42288</v>
      </c>
      <c r="GS86" s="79">
        <f t="shared" si="192"/>
        <v>43930.477500000001</v>
      </c>
      <c r="GT86" s="83">
        <f t="shared" si="375"/>
        <v>2410599</v>
      </c>
      <c r="GU86" s="1">
        <v>57935</v>
      </c>
      <c r="GV86" s="1">
        <v>45671</v>
      </c>
      <c r="GW86" s="79">
        <f t="shared" si="261"/>
        <v>1003879</v>
      </c>
      <c r="GX86" s="1">
        <v>33063.449999999997</v>
      </c>
      <c r="GY86" s="1" t="s">
        <v>398</v>
      </c>
      <c r="GZ86" s="1">
        <v>91610</v>
      </c>
      <c r="HA86" s="1">
        <v>267293</v>
      </c>
      <c r="HB86" s="79">
        <f t="shared" si="241"/>
        <v>3003361</v>
      </c>
      <c r="HC86" s="86" t="str">
        <f t="shared" si="379"/>
        <v>jun21 may22</v>
      </c>
      <c r="HD86" s="1">
        <v>64253</v>
      </c>
      <c r="HE86" s="79">
        <f t="shared" si="380"/>
        <v>695719.95449000015</v>
      </c>
      <c r="HF86" s="86" t="str">
        <f t="shared" si="381"/>
        <v>jun21 may22</v>
      </c>
      <c r="HG86" s="83">
        <v>189000</v>
      </c>
      <c r="HH86" s="79">
        <f t="shared" si="242"/>
        <v>2309594</v>
      </c>
      <c r="HI86" s="86" t="str">
        <f t="shared" si="382"/>
        <v>jun21 may22</v>
      </c>
      <c r="HJ86" s="180">
        <v>98084</v>
      </c>
      <c r="HK86" s="79">
        <f t="shared" si="278"/>
        <v>65621.759999999995</v>
      </c>
      <c r="HL86" s="86" t="str">
        <f t="shared" si="383"/>
        <v>jun21 may22</v>
      </c>
      <c r="HM86" s="79">
        <f t="shared" si="358"/>
        <v>2375215.7599999998</v>
      </c>
      <c r="HN86" s="87">
        <f t="shared" si="297"/>
        <v>4.1163523005141034E-3</v>
      </c>
      <c r="HO86" s="1">
        <v>903917319.78451228</v>
      </c>
      <c r="HP86" s="79">
        <f t="shared" ref="HP86:HP129" si="386">+SUM(HO75:HO86)/1000000</f>
        <v>11613.610470647491</v>
      </c>
      <c r="HQ86" s="86" t="str">
        <f t="shared" si="384"/>
        <v>jun21 may22</v>
      </c>
      <c r="HR86" s="1"/>
      <c r="HS86" s="1"/>
      <c r="HT86" s="1"/>
      <c r="HU86" s="1">
        <v>650000</v>
      </c>
      <c r="HV86" s="1" t="s">
        <v>389</v>
      </c>
      <c r="HW86" s="1">
        <v>1500000</v>
      </c>
      <c r="HX86" s="1" t="s">
        <v>399</v>
      </c>
      <c r="HY86" s="1">
        <v>3850000</v>
      </c>
      <c r="HZ86" s="1" t="s">
        <v>389</v>
      </c>
      <c r="IA86" s="1">
        <f t="shared" si="376"/>
        <v>21570000</v>
      </c>
      <c r="IB86" s="1" t="s">
        <v>389</v>
      </c>
      <c r="IC86" s="1">
        <v>39940000</v>
      </c>
      <c r="ID86" s="1" t="s">
        <v>389</v>
      </c>
      <c r="IE86" s="1">
        <v>800000</v>
      </c>
      <c r="IF86" s="1" t="s">
        <v>389</v>
      </c>
      <c r="IG86" s="1">
        <f t="shared" si="365"/>
        <v>7400000</v>
      </c>
      <c r="IH86" s="1" t="s">
        <v>399</v>
      </c>
      <c r="II86" s="79">
        <f t="shared" si="359"/>
        <v>75060000</v>
      </c>
      <c r="IJ86" s="97">
        <f t="shared" si="308"/>
        <v>1.9040737312717446</v>
      </c>
      <c r="IK86" s="1" t="s">
        <v>389</v>
      </c>
      <c r="IL86" s="7">
        <v>44.361936471267661</v>
      </c>
      <c r="IM86" s="7">
        <v>49.05</v>
      </c>
      <c r="IN86" s="97">
        <v>189</v>
      </c>
      <c r="IO86" s="7">
        <v>16.57</v>
      </c>
      <c r="IP86" s="176">
        <f t="shared" si="369"/>
        <v>5.9356067942694777</v>
      </c>
      <c r="IQ86" s="7">
        <v>18</v>
      </c>
      <c r="IR86" s="98">
        <f t="shared" si="322"/>
        <v>7.01</v>
      </c>
      <c r="IS86" s="98">
        <f t="shared" si="322"/>
        <v>4.3099999999999996</v>
      </c>
      <c r="IT86" s="98">
        <f t="shared" si="322"/>
        <v>13.02</v>
      </c>
      <c r="IU86" s="98">
        <f t="shared" si="322"/>
        <v>1.44</v>
      </c>
      <c r="IV86" s="94">
        <f t="shared" si="360"/>
        <v>18.77</v>
      </c>
      <c r="IW86" s="1"/>
      <c r="IX86" s="1"/>
      <c r="IY86" s="105">
        <v>1.88</v>
      </c>
      <c r="IZ86" s="161">
        <v>0.3</v>
      </c>
      <c r="JA86" s="83">
        <v>2813</v>
      </c>
      <c r="JB86" s="7">
        <v>40.33</v>
      </c>
      <c r="JC86" s="1"/>
      <c r="JD86" s="1"/>
      <c r="JF86" s="2">
        <v>15.95050312</v>
      </c>
      <c r="JG86" s="2">
        <v>20.76359953</v>
      </c>
      <c r="JH86" s="2">
        <v>180.04840300999996</v>
      </c>
      <c r="JI86" s="2">
        <v>650.40134902999989</v>
      </c>
      <c r="JJ86" s="2">
        <v>1058.9323495300002</v>
      </c>
      <c r="JK86" s="2">
        <v>92.158742689999997</v>
      </c>
      <c r="JL86" s="2">
        <v>3678.2664514499997</v>
      </c>
      <c r="JM86" s="2">
        <v>102.62731307999999</v>
      </c>
      <c r="JN86" s="2">
        <v>876.57335135999995</v>
      </c>
      <c r="JO86" s="2">
        <v>27.118801100000006</v>
      </c>
      <c r="JP86" s="2">
        <v>0</v>
      </c>
      <c r="JQ86" s="2">
        <v>8.7600300999999998</v>
      </c>
      <c r="JR86" s="2">
        <v>2.2753896600000001</v>
      </c>
      <c r="JS86" s="2">
        <v>0</v>
      </c>
      <c r="JT86" s="2">
        <v>0.19556223</v>
      </c>
      <c r="JU86" s="2">
        <v>126.06507717000002</v>
      </c>
      <c r="JV86" s="2">
        <v>13.427123129999998</v>
      </c>
      <c r="JW86" s="2">
        <v>25.409563940000002</v>
      </c>
      <c r="JX86" s="2">
        <v>53.553253949999998</v>
      </c>
      <c r="JY86" s="2">
        <v>0</v>
      </c>
      <c r="JZ86" s="2">
        <v>2.0375075499999999</v>
      </c>
      <c r="KA86" s="2">
        <v>0.26750000000000002</v>
      </c>
      <c r="KB86" s="2">
        <v>32.281321340000005</v>
      </c>
      <c r="KC86" s="2">
        <v>15.52836033</v>
      </c>
      <c r="KD86" s="2">
        <v>11.08275927</v>
      </c>
      <c r="KE86" s="2">
        <v>34.55168742</v>
      </c>
      <c r="KF86" s="2">
        <v>47.642593229999996</v>
      </c>
      <c r="KG86" s="2">
        <v>463.06945083000005</v>
      </c>
      <c r="KH86" s="2">
        <v>151.50018190000003</v>
      </c>
      <c r="KI86" s="2">
        <v>23.71802637</v>
      </c>
      <c r="KJ86" s="2">
        <v>0.90610126000000002</v>
      </c>
      <c r="KK86" s="171">
        <v>10.17732034</v>
      </c>
      <c r="KL86" s="171">
        <v>1.6701199999999999E-2</v>
      </c>
      <c r="KM86" s="171">
        <v>2.09555442</v>
      </c>
      <c r="KN86" s="171">
        <v>0.19077712000000005</v>
      </c>
      <c r="KO86" s="171">
        <v>0.58513781999999992</v>
      </c>
      <c r="KP86" s="171">
        <v>0.51386323</v>
      </c>
      <c r="KQ86" s="171">
        <v>369.41675496000005</v>
      </c>
      <c r="KR86" s="171">
        <v>0.13678923999999998</v>
      </c>
      <c r="KS86" s="171">
        <v>2.7202870000000001E-2</v>
      </c>
      <c r="KT86" s="171">
        <v>0.7180453</v>
      </c>
      <c r="KU86" s="171">
        <v>0.71853049999999996</v>
      </c>
      <c r="KV86" s="171">
        <v>0</v>
      </c>
      <c r="KW86" s="171">
        <v>1.35731402</v>
      </c>
      <c r="KX86" s="171">
        <v>0</v>
      </c>
      <c r="KY86" s="171">
        <v>0</v>
      </c>
      <c r="KZ86" s="171">
        <v>1.62026545</v>
      </c>
      <c r="LA86" s="171">
        <v>1.1158689799999999</v>
      </c>
      <c r="LB86" s="171">
        <v>3.9100999999999997E-2</v>
      </c>
      <c r="LC86" s="171">
        <v>7.9908520000000011E-2</v>
      </c>
      <c r="LD86" s="171">
        <v>0</v>
      </c>
      <c r="LE86" s="171">
        <v>0.13254960000000002</v>
      </c>
      <c r="LF86" s="171">
        <v>1.6805520000000001E-2</v>
      </c>
      <c r="LG86" s="171">
        <v>26.685130170000001</v>
      </c>
      <c r="LH86" s="171">
        <v>5.2735966400000001</v>
      </c>
      <c r="LI86" s="171">
        <v>4.0283530399999998</v>
      </c>
      <c r="LJ86" s="171">
        <v>0</v>
      </c>
      <c r="LK86" s="171">
        <v>3.7076194099999999</v>
      </c>
      <c r="LL86" s="171">
        <v>11.561262900000001</v>
      </c>
      <c r="LM86" s="171">
        <v>4.5194618700000007</v>
      </c>
      <c r="LN86" s="171">
        <v>0.28659749000000001</v>
      </c>
      <c r="LO86" s="171">
        <v>12.050233429999999</v>
      </c>
      <c r="LQ86" s="85">
        <f t="shared" si="247"/>
        <v>6546.8492174599996</v>
      </c>
      <c r="LR86" s="85">
        <f t="shared" si="248"/>
        <v>11.23098199</v>
      </c>
      <c r="LS86" s="85">
        <f t="shared" si="249"/>
        <v>38.836687069999996</v>
      </c>
      <c r="LT86" s="85">
        <f t="shared" si="250"/>
        <v>2.30500755</v>
      </c>
      <c r="LU86" s="85">
        <f t="shared" si="251"/>
        <v>372.45221643000002</v>
      </c>
      <c r="LV86" s="85">
        <f t="shared" si="252"/>
        <v>1.35731402</v>
      </c>
      <c r="LW86" s="85">
        <f t="shared" si="253"/>
        <v>1.15496998</v>
      </c>
      <c r="LX86" s="85">
        <f t="shared" si="254"/>
        <v>0.14935512000000001</v>
      </c>
      <c r="LZ86" s="131">
        <v>158.24</v>
      </c>
      <c r="MA86" s="171">
        <v>131.18</v>
      </c>
      <c r="MB86"/>
      <c r="MC86"/>
      <c r="MD86"/>
      <c r="MF86"/>
      <c r="MG86"/>
      <c r="MH86" s="83">
        <v>301.62</v>
      </c>
      <c r="MI86" s="83">
        <v>95.25</v>
      </c>
      <c r="MJ86" s="83">
        <v>71.28</v>
      </c>
      <c r="MK86"/>
      <c r="ML86" s="83">
        <v>106.92</v>
      </c>
      <c r="MM86" s="83">
        <v>180.83</v>
      </c>
      <c r="MN86" s="83"/>
      <c r="MO86" s="83">
        <v>81.180000000000007</v>
      </c>
      <c r="MP86" s="83">
        <v>223.37</v>
      </c>
      <c r="MQ86" s="83">
        <v>238.3</v>
      </c>
      <c r="MR86"/>
      <c r="MT86" s="83"/>
      <c r="MU86" s="83">
        <v>96.67</v>
      </c>
      <c r="MV86"/>
      <c r="MW86"/>
      <c r="MX86"/>
      <c r="MY86" s="83">
        <v>294.12</v>
      </c>
      <c r="MZ86" s="83">
        <v>724</v>
      </c>
      <c r="NA86" s="83">
        <v>312.37</v>
      </c>
      <c r="NB86" s="83">
        <v>1095.95</v>
      </c>
      <c r="NC86" s="83">
        <v>125.69</v>
      </c>
      <c r="ND86" s="1">
        <v>1130</v>
      </c>
      <c r="NE86" s="1">
        <v>701.15</v>
      </c>
    </row>
    <row r="87" spans="1:369">
      <c r="A87" s="38">
        <f t="shared" si="334"/>
        <v>44713</v>
      </c>
      <c r="B87" s="36">
        <f t="shared" si="366"/>
        <v>6</v>
      </c>
      <c r="C87" s="36">
        <f t="shared" si="367"/>
        <v>2022</v>
      </c>
      <c r="D87" s="36">
        <f t="shared" si="347"/>
        <v>87</v>
      </c>
      <c r="E87" s="38">
        <f t="shared" si="335"/>
        <v>44713</v>
      </c>
      <c r="F87" s="7">
        <v>127.675</v>
      </c>
      <c r="G87" s="7">
        <v>793</v>
      </c>
      <c r="H87" s="1">
        <f>[2]NACIONALES!$D75</f>
        <v>69414</v>
      </c>
      <c r="I87" s="7">
        <v>100</v>
      </c>
      <c r="J87" s="7">
        <v>985</v>
      </c>
      <c r="K87" s="7">
        <v>12.5</v>
      </c>
      <c r="L87" s="7">
        <v>32.700000000000003</v>
      </c>
      <c r="N87" s="5">
        <v>3.04</v>
      </c>
      <c r="O87" s="5">
        <v>2.79</v>
      </c>
      <c r="P87" s="78">
        <f t="shared" si="294"/>
        <v>353.56399375000001</v>
      </c>
      <c r="Q87" s="6">
        <v>2775</v>
      </c>
      <c r="R87" s="79">
        <f t="shared" si="336"/>
        <v>27750</v>
      </c>
      <c r="S87" s="6">
        <v>291.14</v>
      </c>
      <c r="T87" s="6">
        <v>540.75</v>
      </c>
      <c r="U87" s="143">
        <v>236.65</v>
      </c>
      <c r="V87" s="143">
        <v>375.12</v>
      </c>
      <c r="W87" s="6">
        <f>(302*0.88)-10</f>
        <v>255.76</v>
      </c>
      <c r="X87" s="6">
        <v>321.32</v>
      </c>
      <c r="Y87" s="79">
        <f t="shared" si="337"/>
        <v>37171.299500000001</v>
      </c>
      <c r="Z87" s="79">
        <f t="shared" si="338"/>
        <v>69040.256249999991</v>
      </c>
      <c r="AA87" s="79">
        <f t="shared" si="339"/>
        <v>30214.28875</v>
      </c>
      <c r="AB87" s="79">
        <f t="shared" si="340"/>
        <v>47893.445999999996</v>
      </c>
      <c r="AC87" s="79">
        <f t="shared" si="341"/>
        <v>32654.157999999999</v>
      </c>
      <c r="AD87" s="79">
        <f t="shared" si="342"/>
        <v>41024.530999999995</v>
      </c>
      <c r="AE87" s="79">
        <f t="shared" si="343"/>
        <v>42999.663249999998</v>
      </c>
      <c r="AF87" s="1">
        <v>89228</v>
      </c>
      <c r="AG87" s="1">
        <v>46890</v>
      </c>
      <c r="AH87" s="1">
        <v>178180</v>
      </c>
      <c r="AI87" s="5">
        <v>71.959999999999994</v>
      </c>
      <c r="AJ87" s="5">
        <v>59.485900000000001</v>
      </c>
      <c r="AK87" s="5">
        <v>55.603999999999999</v>
      </c>
      <c r="AL87" s="5">
        <v>52.398000000000003</v>
      </c>
      <c r="AM87" s="78">
        <f t="shared" si="344"/>
        <v>62.513595999999993</v>
      </c>
      <c r="AN87" s="7">
        <v>2947.3873873873872</v>
      </c>
      <c r="AO87" s="7">
        <v>1541.5388888888888</v>
      </c>
      <c r="AP87" s="78">
        <f t="shared" si="385"/>
        <v>1541.5388888888888</v>
      </c>
      <c r="AQ87" s="7">
        <v>694.95145631067965</v>
      </c>
      <c r="AR87" s="7">
        <v>995.0566666666665</v>
      </c>
      <c r="AS87" s="7">
        <v>836.40722222222246</v>
      </c>
      <c r="AT87" s="7">
        <v>1434.538888888889</v>
      </c>
      <c r="AU87" s="78">
        <f t="shared" si="348"/>
        <v>1088.6675925925927</v>
      </c>
      <c r="AV87" s="7">
        <v>762.38461538461536</v>
      </c>
      <c r="AW87" s="7">
        <v>1936.4555555555553</v>
      </c>
      <c r="AX87" s="7">
        <v>877.01833333333332</v>
      </c>
      <c r="AY87" s="7">
        <v>1931.9426751592357</v>
      </c>
      <c r="AZ87" s="7">
        <v>880.49111111111108</v>
      </c>
      <c r="BA87" s="7">
        <v>498.88888888888891</v>
      </c>
      <c r="BB87" s="94">
        <f t="shared" si="345"/>
        <v>1125.2084128528743</v>
      </c>
      <c r="BC87" s="68">
        <v>6260</v>
      </c>
      <c r="BD87" s="68">
        <v>3580</v>
      </c>
      <c r="BE87" s="95">
        <v>3200</v>
      </c>
      <c r="BF87" s="97">
        <v>2100</v>
      </c>
      <c r="BG87" s="94">
        <f t="shared" si="349"/>
        <v>3785</v>
      </c>
      <c r="BH87" s="7">
        <v>287.83</v>
      </c>
      <c r="BI87" s="7">
        <v>60</v>
      </c>
      <c r="BJ87" s="78">
        <f t="shared" si="350"/>
        <v>347.83</v>
      </c>
      <c r="BK87" s="7">
        <v>310.54599999999999</v>
      </c>
      <c r="BL87" s="7">
        <v>371.81</v>
      </c>
      <c r="BM87" s="94">
        <f t="shared" si="351"/>
        <v>341.178</v>
      </c>
      <c r="BN87" s="5">
        <v>47.81</v>
      </c>
      <c r="BO87" s="84">
        <v>254.5</v>
      </c>
      <c r="BP87" s="58">
        <v>144.51</v>
      </c>
      <c r="BQ87" s="94">
        <f t="shared" si="346"/>
        <v>243.501</v>
      </c>
      <c r="BR87" s="7">
        <f>+(161.4+161.5+161.83+136.19)/4</f>
        <v>155.23000000000002</v>
      </c>
      <c r="BS87" s="97">
        <v>620</v>
      </c>
      <c r="BT87" s="7">
        <f>1.01*F87</f>
        <v>128.95175</v>
      </c>
      <c r="BU87" s="79">
        <f t="shared" si="237"/>
        <v>7826.8552499999996</v>
      </c>
      <c r="BV87" s="7">
        <v>312.5</v>
      </c>
      <c r="BW87" s="7">
        <v>500</v>
      </c>
      <c r="BY87" s="92">
        <f>BY$10*(1+((H87/H$10-1)*costos!$B$5+((I87*F87)/(I$10*F$10)-1)*costos!$E$5+((J87*F87)/((J$10*F$10)-1)*costos!$F$5/3+((K87*F87)/(K$10*F$10)-1)*costos!$F$5/3+((U87*F87)/(U$10*F$10)-1)*costos!$F$5/3+((L87*F87)/(L$10*F$10)-1)*costos!$G$5+((N87*F87)/(N$10*F$10)-1)*costos!$J$5+((V87*F87)/(V$10*F$10)-1)*costos!$K$5)))</f>
        <v>1774.5327824841236</v>
      </c>
      <c r="BZ87" s="92">
        <f>$BZ$10*(1+((H87/$H$10-1)*costos!$B$6+((I87*F87)/($I$10*$F$10)-1)*costos!$E$6+((J87*F87)/(($J$10*$F$10)-1)*costos!$F$6/3+((K87*F87)/($K$10*$F$10)-1)*costos!$F$6/3+((U87*F87)/($U$10*$F$10)-1)*costos!$F$6/3+((L87*F87)/($L$10*$F$10)-1)*costos!$G$6+((Q87*F87)/($Q$10*$F$10)-1)*costos!$J$6+((V87*F87)/($V$10*$F$10)-1)*costos!$K$6)))</f>
        <v>1296.2218110895865</v>
      </c>
      <c r="CA87" s="92">
        <f>CA$10*(1+((H87/H$10-1)*costos!$B$7+((I87*F87)/(I$10*F$10)-1)*costos!$E$7+((J87*F87)/((J$10*F$10)-1)*costos!$F$7/3+((K87*F87)/(K$10*F$10)-1)*costos!$F$7/3+((U87*F87)/(U$10*F$10)-1)*costos!$F$7/3+((L87*F87)/(L$10*F$10)-1)*costos!$G$7+((S87*F87)/(S$10*F$10)-1)*costos!$J$7+((V87*F87)/(V$10*F$10)-1)*costos!$K$7)))</f>
        <v>1611.7083336208118</v>
      </c>
      <c r="CB87" s="92">
        <f>CB$10*(1+((H87/H$10-1)*costos!$B$8+((I87*F87)/(I$10*F$10)-1)*costos!$E$8+((J87*F87)/((J$10*F$10)-1)*costos!$F$8/3+((K87*F87)/(K$10*F$10)-1)*costos!$F$8/3+((U87*F87)/(U$10*F$10)-1)*costos!$F$8/3+((L87*F87)/(L$10*F$10)-1)*costos!$G$8+((T87*F87)/(T$10*F$10)-1)*costos!$J$8+((V87*F87)/(V$10*F$10)-1)*costos!$K$8)))</f>
        <v>1541.3022656466915</v>
      </c>
      <c r="CC87" s="92">
        <f>CC$10*(1+((H87/H$10-1)*costos!$B$9+((I87*F87)/(I$10*F$10)-1)*costos!$E$9+((J87*F87)/((J$10*F$10)-1)*costos!$F$9/3+((K87*F87)/(K$10*F$10)-1)*costos!$F$9/3+((U87*F87)/(U$10*F$10)-1)*costos!$F$9/3+((L87*F87)/(L$10*F$10)-1)*costos!$G$9+((U87*F87)/(U$10*F$10)-1)*costos!$J$9+((V87*F87)/(V$10*F$10)-1)*costos!$K$9)))</f>
        <v>1476.1215043122011</v>
      </c>
      <c r="CD87" s="92">
        <f>CD$10*(1+((H87/H$10-1)*costos!$B$11+((I87*F87)/(I$10*F$10)-1)*costos!$E$11+((J87*F87)/((J$10*F$10)-1)*costos!$F$11/3+((K87*F87)/(K$10*F$10)-1)*costos!$F$11/3+((U87*F87)/(U$10*F$10)-1)*costos!$F$11/3+((L87*F87)/(L$10*F$10)-1)*costos!$G$11+((V87*F87)/(V$10*F$10)-1)*costos!$J$11+((V87*F87)/(V$10*F$10)-1)*costos!$K$11)))</f>
        <v>1519.6805035145892</v>
      </c>
      <c r="CE87" s="92">
        <f>CE$10*(1+((H87/H$10-1)*costos!$B$12+((I87*F87)/(I$10*F$10)-1)*costos!$E$12+((J87*F87)/((J$10*F$10)-1)*costos!$F$12/3+((K87*F87)/(K$10*F$10)-1)*costos!$F$12/3+((U87*F87)/(U$10*F$10)-1)*costos!$F$12/3+((L87*F87)/(L$10*F$10)-1)*costos!$G$12+((W87*F87)/(W$10*F$10)-1)*costos!$J$12+((V87*F87)/(V$10*F$10)-1)*costos!$K$12)))</f>
        <v>1485.9475429342451</v>
      </c>
      <c r="CF87" s="92">
        <f>CF$10*(1+((H87/H$10-1)*costos!$B$13+((I87*F87)/(I$10*F$10)-1)*costos!$E$13+((J87*F87)/((J$10*F$10)-1)*costos!$F$13/3+((K87*F87)/(K$10*F$10)-1)*costos!$F$13/3+((U87*F87)/(U$10*F$10)-1)*costos!$F$13/3+((L87*F87)/(L$10*F$10)-1)*costos!$G$13+((X87*F87)/(X$10*F$10)-1)*costos!$J$13+((V87*F87)/(V$10*F$10)-1)*costos!$K$13)))</f>
        <v>1636.9660386489088</v>
      </c>
      <c r="CG87" s="92">
        <f t="shared" si="361"/>
        <v>1545.2876981129077</v>
      </c>
      <c r="CH87" s="92">
        <f>CH$10*(1+((H87/H$10-1)*costos!$B$10+((I87*F87)/(I$10*F$10)-1)*costos!$E$10+((J87*F87)/((J$10*F$10)-1)*costos!$F$10/3+((K87*F87)/(K$10*F$10)-1)*costos!$F$10/3+((U87*F87)/(U$10*F$10)-1)*costos!$F$10/3+((L87*F87)/(L$10*F$10)-1)*costos!$G$10+((AF87)/(AF$10)-1)*costos!$J$10+((V87*F87)/(V$10*F$10)-1)*costos!$K$10)))</f>
        <v>1470.5810889316747</v>
      </c>
      <c r="CI87" s="92">
        <f>CI$10*(1+((H87/H$10-1)*costos!$B$15+((I87*F87)/(I$10*F$10)-1)*costos!$E$15+((J87*F87)/((J$10*F$10)-1)*costos!$F$15/3+((K87*F87)/(K$10*F$10)-1)*costos!$F$15/3+((U87*F87)/(U$10*F$10)-1)*costos!$F$15/3+((L87*F87)/(L$10*F$10)-1)*costos!$G$15+((AV87)/(AV$10)-1)*costos!$J$15+((V87*F87)/(V$10*F$10)-1)*costos!$K$15)))</f>
        <v>1554.0872874347963</v>
      </c>
      <c r="CJ87" s="92">
        <f>CJ$10*(1+((H87/H$10-1)*costos!$B$16+((I87*F87)/(I$10*F$10)-1)*costos!$E$16+((J87*F87)/((J$10*F$10)-1)*costos!$F$16/3+((K87*F87)/(K$10*F$10)-1)*costos!$F$16/3+((U87*F87)/(U$10*F$10)-1)*costos!$F$16/3+((L87*F87)/(L$10*F$10)-1)*costos!$G$16+((AW87)/(AW$10)-1)*costos!$J$16+((V87*F87)/(V$10*F$10)-1)*costos!$K$16)))</f>
        <v>1141.8108003331201</v>
      </c>
      <c r="CK87" s="92">
        <f>CK$10*(1+((H87/H$10-1)*costos!$B$17+((I87*F87)/(I$10*F$10)-1)*costos!$E$17+((J87*F87)/((J$10*F$10)-1)*costos!$F$17/3+((K87*F87)/(K$10*F$10)-1)*costos!$F$17/3+((U87*F87)/(U$10*F$10)-1)*costos!$F$17/3+((L87*F87)/(L$10*F$10)-1)*costos!$G$17+((AX87)/(AX$10)-1)*costos!$J$17+((V87*F87)/(V$10*F$10)-1)*costos!$K$17)))</f>
        <v>1406.1600612899667</v>
      </c>
      <c r="CL87" s="92">
        <f>CL$10*(1+((H87/H$10-1)*costos!$B$18+((I87*F87)/(I$10*F$10)-1)*costos!$E$18+((J87*F87)/((J$10*F$10)-1)*costos!$F$18/3+((K87*F87)/(K$10*F$10)-1)*costos!$F$18/3+((U87*F87)/(U$10*F$10)-1)*costos!$F$18/3+((L87*F87)/(L$10*F$10)-1)*costos!$G$18+((AY87)/(AY$10)-1)*costos!$J$18+((V87*F87)/(V$10*F$10)-1)*costos!$K$18)))</f>
        <v>1630.8778635251856</v>
      </c>
      <c r="CM87" s="92">
        <f>CM$10*(1+((H87/H$10-1)*costos!$B$19+((I87*F87)/(I$10*F$10)-1)*costos!$E$19+((J87*F87)/((J$10*F$10)-1)*costos!$F$19/3+((K87*F87)/(K$10*F$10)-1)*costos!$F$19/3+((U87*F87)/(U$10*F$10)-1)*costos!$F$19/3+((L87*F87)/(L$10*F$10)-1)*costos!$G$19+((AZ87)/(AZ$10)-1)*costos!$J$19+((V87*F87)/(V$10*F$10)-1)*costos!$K$19)))</f>
        <v>1092.8779459189052</v>
      </c>
      <c r="CN87" s="92">
        <f>CN$10*(1+((H87/H$10-1)*costos!$B$20+((I87*F87)/(I$10*F$10)-1)*costos!$E$20+((J87*F87)/((J$10*F$10)-1)*costos!$F$20/3+((K87*F87)/(K$10*F$10)-1)*costos!$F$20/3+((U87*F87)/(U$10*F$10)-1)*costos!$F$20/3+((L87*F87)/(L$10*F$10)-1)*costos!$G$20+((BA87)/(BA$10)-1)*costos!$J$20+((V87*F87)/(V$10*F$10)-1)*costos!$K$20)))</f>
        <v>1097.4027097214839</v>
      </c>
      <c r="CO87" s="92">
        <f t="shared" si="362"/>
        <v>1306.8296451138854</v>
      </c>
      <c r="CP87" s="92">
        <f>CP$10*(1+((H87/H$10-1)*costos!$B$22+((I87*F87)/(I$10*F$10)-1)*costos!$E$22+((J87*F87)/((J$10*F$10)-1)*costos!$F$22/3+((K87*F87)/(K$10*F$10)-1)*costos!$F$22/3+((U87*F87)/(U$10*F$10)-1)*costos!$F$22/3+((L87*F87)/(L$10*F$10)-1)*costos!$G$22+(((AVERAGE(AI87:AL87))/((AVERAGE(AI$10:AL$10))-1)*costos!$J$22+((V87*F87)/(V$10*F$10)-1)*costos!$K$22)))))</f>
        <v>1502.2394818064445</v>
      </c>
      <c r="CQ87" s="92">
        <f>CQ$10*(1+((H87/H$10-1)*costos!$B$23+((I87*F87)/(I$10*F$10)-1)*costos!$E$23+((J87*F87)/((J$10*F$10)-1)*costos!$F$23/3+((K87*F87)/(K$10*F$10)-1)*costos!$F$23/3+((U87*F87)/(U$10*F$10)-1)*costos!$F$23/3+((L87*F87)/(L$10*F$10)-1)*costos!$G$23+((AN87)/(AN$10)-1)*costos!$J$23+((V87*F87)/(V$10*F$10)-1)*costos!$K$23)))</f>
        <v>1214.9798922026368</v>
      </c>
      <c r="CR87" s="92">
        <f>CR$10*(1+((H87/H$10-1)*costos!$B$24+((I87*F87)/(I$10*F$10)-1)*costos!$E$24+((J87*F87)/((J$10*F$10)-1)*costos!$F$24/3+((K87*F87)/(K$10*F$10)-1)*costos!$F$24/3+((U87*F87)/(U$10*F$10)-1)*costos!$F$24/3+((L87*F87)/(L$10*F$10)-1)*costos!$G$24+((AO87)/(AO$10)-1)*costos!$J$24+((V87*F87)/(V$10*F$10)-1)*costos!$K$24)))</f>
        <v>1195.900535330346</v>
      </c>
      <c r="CS87" s="92">
        <f t="shared" si="352"/>
        <v>1205.4402137664915</v>
      </c>
      <c r="CT87" s="92">
        <f>CT$10*(1+((H87/H$10-1)*costos!$B$25+((I87*F87)/(I$10*F$10)-1)*costos!$E$25+((J87*F87)/((J$10*F$10)-1)*costos!$F$25/3+((K87*F87)/(K$10*F$10)-1)*costos!$F$25/3+((U87*F87)/(U$10*F$10)-1)*costos!$F$25/3+((L87*F87)/(L$10*F$10)-1)*costos!$G$25+((AQ87)/(AQ$10)-1)*costos!$J$25+((V87*F87)/(V$10*F$10)-1)*costos!$K$25)))</f>
        <v>1158.9643566721434</v>
      </c>
      <c r="CU87" s="92">
        <f>CU$10*(1+((H87/H$10-1)*costos!$B$26+((I87*F87)/(I$10*F$10)-1)*costos!$E$26+((J87*F87)/((J$10*F$10)-1)*costos!$F$26/3+((K87*F87)/(K$10*F$10)-1)*costos!$F$26/3+((U87*F87)/(U$10*F$10)-1)*costos!$F$26/3+((L87*F87)/(L$10*F$10)-1)*costos!$G$26+((AR87)/(AR$10)-1)*costos!$J$26+((V87*F87)/(V$10*F$10)-1)*costos!$K$26)))</f>
        <v>1309.4317166202597</v>
      </c>
      <c r="CV87" s="92">
        <f>CV$10*(1+((H87/H$10-1)*costos!$B$27+((I87*F87)/(I$10*F$10)-1)*costos!$E$27+((J87*F87)/((J$10*F$10)-1)*costos!$F$27/3+((K87*F87)/(K$10*F$10)-1)*costos!$F$27/3+((U87*F87)/(U$10*F$10)-1)*costos!$F$27/3+((L87*F87)/(L$10*F$10)-1)*costos!$G$27+((AS87)/(AS$10)-1)*costos!$J$27+((V87*F87)/(V$10*F$10)-1)*costos!$K$27)))</f>
        <v>1297.6345423359683</v>
      </c>
      <c r="CW87" s="92">
        <f>CW$10*(1+((H87/H$10-1)*costos!$B$28+((I87*F87)/(I$10*F$10)-1)*costos!$E$28+((J87*F87)/((J$10*F$10)-1)*costos!$F$28/3+((K87*F87)/(K$10*F$10)-1)*costos!$F$28/3+((U87*F87)/(U$10*F$10)-1)*costos!$F$28/3+((L87*F87)/(L$10*F$10)-1)*costos!$G$28+((AS87)/(AS$10)-1)*costos!$J$28+((V87*F87)/(V$10*F$10)-1)*costos!$K$28)))</f>
        <v>1297.6345423359683</v>
      </c>
      <c r="CX87" s="92">
        <f t="shared" si="363"/>
        <v>1301.5669337640654</v>
      </c>
      <c r="CY87" s="92">
        <f>CY$10*(1+((H87/H$10-1)*costos!$B$32+((I87*F87)/(I$10*F$10)-1)*costos!$E$32+((J87*F87)/((J$10*F$10)-1)*costos!$F$32/3+((K87*F87)/(K$10*F$10)-1)*costos!$F$32/3+((U87*F87)/(U$10*F$10)-1)*costos!$F$32/3+((L87*F87)/(L$10*F$10)-1)*costos!$G$32+((AG87)/(AG$10)-1)*costos!$J$32+((V87*F87)/(V$10*F$10)-1)*costos!$K$32)))</f>
        <v>1075.2105317124269</v>
      </c>
      <c r="CZ87" s="69">
        <f>CZ$10*(1+((H87/H$10-1)*costos!$B$31+((I87*F87)/(I$10*F$10)-1)*costos!$E$30+((J87*F87)/((J$10*F$10)-1)*costos!$F$30/3+((K87*F87)/(K$10*F$10)-1)*costos!$F$30/3+((U87*F87)/(U$10*F$10)-1)*costos!$F$30/3+((L87*F87)/(L$10*F$10)-1)*costos!$G$30+((BG87)/(BG$10)-1)*costos!$J$30+((V87*F87)/(V$10*F$10)-1)*costos!$K$30)))</f>
        <v>1403.7166664042741</v>
      </c>
      <c r="DA87" s="69">
        <f>DA$10*(1+((H87/H$10-1)*costos!$B$31+((I87*F87)/(I$10*F$10)-1)*costos!$E$31+((J87*F87)/((J$10*F$10)-1)*costos!$F$31/3+((K87*F87)/(K$10*F$10)-1)*costos!$F$31/3+((U87*F87)/(U$10*F$10)-1)*costos!$F$31/3+((L87*F87)/(L$10*F$10)-1)*costos!$G$31+((BJ87)/(BJ$10)-1)*costos!$J$31+((V87*F87)/(V$10*F$10)-1)*costos!$K$31)))</f>
        <v>1161.8153802571658</v>
      </c>
      <c r="DB87" s="69">
        <f>DB$10*(1+((H87/H$10-1)*costos!$B$36+((I87*F87)/(I$10*F$10)-1)*costos!$E$36+((J87*F87)/((J$10*F$10)-1)*costos!$F$36/3+((K87*F87)/(K$10*F$10)-1)*costos!$F$36/3+((U87*F87)/(U$10*F$10)-1)*costos!$F$36/3+((L87*F87)/(L$10*F$10)-1)*costos!$G$36+((BK87)/(BK$10)-1)*costos!$J$36+((V87*F87)/(V$10*F$10)-1)*costos!$K$36)))</f>
        <v>1429.2302631460391</v>
      </c>
      <c r="DC87" s="69">
        <f>DC$10*(1+((H87/H$10-1)*costos!$B$37+((I87*F87)/(I$10*F$10)-1)*costos!$E$37+((U87*F87)/(U$10*F$10)-1)*costos!$F$37+((L87*F87)/(L$10*F$10)-1)*costos!$G$37+((BN87)/(BN$10)-1)*costos!$J$37+((V87*F87)/(V$10*F$10)-1)*costos!$K$37))</f>
        <v>1339.138393538607</v>
      </c>
      <c r="DD87" s="69">
        <f>DD$10*(1+((H87/H$10-1)*costos!$B$39+((I87*F87)/(I$10*F$10)-1)*costos!$E$39+((U87*F87)/(U$10*F$10)-1)*costos!$F$39+((L87*F87)/(L$10*F$10)-1)*costos!$G$39+((BR87)/(BR$10)-1)*costos!$J$39+((V87*F87)/(V$10*F$10)-1)*costos!$K$39))</f>
        <v>1309.8940438529526</v>
      </c>
      <c r="DE87" s="69">
        <f>DD$10*(1+((H87/H$10-1)*costos!$B$35+((I87*F87)/(I$10*F$10)-1)*costos!$E$35+((U87*F87)/(U$10*F$10)-1)*costos!$F$35+((L87*F87)/(L$10*F$10)-1)*costos!$G$35+((BR87)/(BR$10)-1)*costos!$J$35+((V87*F87)/(V$10*F$10)-1)*costos!$K$35))</f>
        <v>1197.8884217512243</v>
      </c>
      <c r="DF87" s="69">
        <f>DF$10*(1+((H87/H$10-1)*costos!$B$40+((I87*F87)/(I$10*F$10)-1)*costos!$E$40+((U87*F87)/(U$10*F$10)-1)*costos!$F$40+((L87*F87)/(L$10*F$10)-1)*costos!$G$40+((BP87)/(BP$10)-1)*costos!$J$40+((V87*F87)/(V$10*F$10)-1)*costos!$K$40))</f>
        <v>1388.3932390684863</v>
      </c>
      <c r="DG87" s="92">
        <f t="shared" si="364"/>
        <v>1293.1408304098554</v>
      </c>
      <c r="DH87" s="69">
        <f>DH$10*(1+((H87/H$10-1)*costos!$B$34+((I87*F87)/(I$10*F$10)-1)*costos!$E$34+((J87*F87)/((J$10*F$10)-1)*costos!$F$34/3+((K87*F87)/(K$10*F$10)-1)*costos!$F$34/3+((U87*F87)/(U$10*F$10)-1)*costos!$F$34/3+((L87*F87)/(L$10*F$10)-1)*costos!$G$34+((BV87)/(BV$10)-1)*costos!$J$34+((V87*F87)/(V$10*F$10)-1)*costos!$K$34)))</f>
        <v>1270.490435527659</v>
      </c>
      <c r="DI87" s="69">
        <f>DI$10*(1+((H87/H$10-1)*costos!$B$38+((I87*F87)/(I$10*F$10)-1)*costos!$E$38+((J87*F87)/((J$10*F$10)-1)*costos!$F$38/3+((K87*F87)/(K$10*F$10)-1)*costos!$F$38/3+((U87*F87)/(U$10*F$10)-1)*costos!$F$38/3+((L87*F87)/(L$10*F$10)-1)*costos!$G$38+((BU87)/(BU$10)-1)*costos!$J$38+((V87*F87)/(V$10*F$10)-1)*costos!$K$38)))</f>
        <v>1097.4618948231314</v>
      </c>
      <c r="DK87" s="1">
        <v>500000</v>
      </c>
      <c r="DL87" s="1" t="s">
        <v>389</v>
      </c>
      <c r="DM87" s="1">
        <v>200000</v>
      </c>
      <c r="DN87" s="1" t="s">
        <v>389</v>
      </c>
      <c r="DO87" s="1">
        <v>1600000</v>
      </c>
      <c r="DP87" s="1" t="s">
        <v>389</v>
      </c>
      <c r="DQ87" s="1">
        <v>2000000</v>
      </c>
      <c r="DR87" s="1" t="s">
        <v>389</v>
      </c>
      <c r="DS87" s="1">
        <v>7300000</v>
      </c>
      <c r="DT87" s="1" t="s">
        <v>389</v>
      </c>
      <c r="DU87" s="1">
        <v>16100000</v>
      </c>
      <c r="DV87" s="1" t="s">
        <v>389</v>
      </c>
      <c r="DW87" s="1">
        <v>950000</v>
      </c>
      <c r="DX87" s="1" t="s">
        <v>389</v>
      </c>
      <c r="DY87" s="1">
        <v>5907000</v>
      </c>
      <c r="DZ87" s="1" t="s">
        <v>399</v>
      </c>
      <c r="EA87" s="79">
        <f t="shared" si="353"/>
        <v>33857000</v>
      </c>
      <c r="EB87" s="1">
        <v>395000</v>
      </c>
      <c r="EC87" s="1" t="s">
        <v>389</v>
      </c>
      <c r="ED87" s="1">
        <v>209277</v>
      </c>
      <c r="EE87" s="143">
        <v>2022</v>
      </c>
      <c r="EF87" s="1">
        <v>207047</v>
      </c>
      <c r="EG87" s="6">
        <v>2022</v>
      </c>
      <c r="EH87" s="1">
        <v>53416435</v>
      </c>
      <c r="EI87" s="6">
        <v>2022</v>
      </c>
      <c r="EJ87" s="1">
        <v>5477107</v>
      </c>
      <c r="EK87" s="6">
        <v>2022</v>
      </c>
      <c r="EL87" s="1">
        <v>12461845</v>
      </c>
      <c r="EM87" s="6">
        <v>2022</v>
      </c>
      <c r="EN87" s="1">
        <v>3169981</v>
      </c>
      <c r="EO87" s="6">
        <v>2021</v>
      </c>
      <c r="EP87" s="82">
        <f t="shared" si="315"/>
        <v>6552</v>
      </c>
      <c r="EQ87" s="83">
        <v>3500000</v>
      </c>
      <c r="ER87" s="1">
        <f t="shared" si="189"/>
        <v>74633.333333333328</v>
      </c>
      <c r="ES87" s="1"/>
      <c r="ET87" s="83">
        <f t="shared" si="316"/>
        <v>17456</v>
      </c>
      <c r="EU87" s="83">
        <f t="shared" si="316"/>
        <v>19445</v>
      </c>
      <c r="EV87" s="83">
        <f t="shared" si="316"/>
        <v>9018</v>
      </c>
      <c r="EW87" s="83">
        <f t="shared" si="316"/>
        <v>17386</v>
      </c>
      <c r="EX87" s="79">
        <f t="shared" ref="EX87:EX92" si="387">+SUM(ET87:EW87)</f>
        <v>63305</v>
      </c>
      <c r="EY87" s="83">
        <f>+EY86</f>
        <v>20049</v>
      </c>
      <c r="EZ87" s="83">
        <f t="shared" si="370"/>
        <v>33638</v>
      </c>
      <c r="FA87" s="83">
        <f t="shared" si="371"/>
        <v>19948</v>
      </c>
      <c r="FB87" s="83">
        <f t="shared" si="372"/>
        <v>15432</v>
      </c>
      <c r="FC87" s="79">
        <f t="shared" si="307"/>
        <v>35380</v>
      </c>
      <c r="FD87" s="83">
        <f t="shared" si="158"/>
        <v>56856.849999999991</v>
      </c>
      <c r="FE87" s="1"/>
      <c r="FF87" s="1">
        <v>1100000</v>
      </c>
      <c r="FG87" s="1" t="s">
        <v>389</v>
      </c>
      <c r="FH87" s="1">
        <v>1200000</v>
      </c>
      <c r="FI87" s="1" t="s">
        <v>389</v>
      </c>
      <c r="FJ87" s="1">
        <v>5200000</v>
      </c>
      <c r="FK87" s="1" t="s">
        <v>389</v>
      </c>
      <c r="FL87" s="1">
        <v>4000000</v>
      </c>
      <c r="FM87" s="1" t="s">
        <v>389</v>
      </c>
      <c r="FN87" s="1">
        <v>49000000</v>
      </c>
      <c r="FO87" s="1" t="s">
        <v>389</v>
      </c>
      <c r="FP87" s="1">
        <v>44000000</v>
      </c>
      <c r="FQ87" s="1" t="s">
        <v>389</v>
      </c>
      <c r="FR87" s="1">
        <v>2800000</v>
      </c>
      <c r="FS87" s="1" t="s">
        <v>389</v>
      </c>
      <c r="FT87" s="1">
        <v>22150000</v>
      </c>
      <c r="FU87" s="1" t="s">
        <v>389</v>
      </c>
      <c r="FV87" s="79">
        <f t="shared" si="355"/>
        <v>127150000</v>
      </c>
      <c r="FW87" s="1">
        <v>1300000</v>
      </c>
      <c r="FX87" s="1" t="s">
        <v>389</v>
      </c>
      <c r="FY87" s="1">
        <v>141646</v>
      </c>
      <c r="FZ87" s="79">
        <f t="shared" si="377"/>
        <v>761811</v>
      </c>
      <c r="GA87" s="86" t="str">
        <f t="shared" si="378"/>
        <v>jul21 jun22</v>
      </c>
      <c r="GB87" s="1">
        <v>19368031</v>
      </c>
      <c r="GC87" s="6">
        <v>2022</v>
      </c>
      <c r="GD87" s="83">
        <f t="shared" si="318"/>
        <v>2141365</v>
      </c>
      <c r="GE87" s="83">
        <f t="shared" si="318"/>
        <v>369608</v>
      </c>
      <c r="GF87" s="83">
        <v>1038163</v>
      </c>
      <c r="GG87" s="83">
        <f t="shared" si="268"/>
        <v>94581</v>
      </c>
      <c r="GH87" s="79">
        <f>GE87+GF87+GG87</f>
        <v>1502352</v>
      </c>
      <c r="GI87" s="82">
        <f t="shared" si="373"/>
        <v>1302556</v>
      </c>
      <c r="GJ87" s="83">
        <f t="shared" si="368"/>
        <v>665558</v>
      </c>
      <c r="GK87" s="83">
        <f t="shared" si="368"/>
        <v>1393000</v>
      </c>
      <c r="GL87" s="83">
        <f t="shared" si="368"/>
        <v>300028.90000000002</v>
      </c>
      <c r="GM87" s="83">
        <f t="shared" si="368"/>
        <v>259304.56</v>
      </c>
      <c r="GN87" s="79">
        <f t="shared" si="357"/>
        <v>2617891.46</v>
      </c>
      <c r="GO87" s="83">
        <f t="shared" si="374"/>
        <v>200935</v>
      </c>
      <c r="GP87" s="83">
        <f t="shared" si="374"/>
        <v>73046</v>
      </c>
      <c r="GQ87" s="82">
        <v>31492</v>
      </c>
      <c r="GR87" s="82">
        <v>42288</v>
      </c>
      <c r="GS87" s="79">
        <f t="shared" si="192"/>
        <v>43232.76</v>
      </c>
      <c r="GT87" s="83">
        <f t="shared" si="375"/>
        <v>2410599</v>
      </c>
      <c r="GU87" s="1">
        <v>41043</v>
      </c>
      <c r="GV87" s="1">
        <v>35840</v>
      </c>
      <c r="GW87" s="79">
        <f t="shared" si="261"/>
        <v>1006782</v>
      </c>
      <c r="GX87" s="1">
        <v>33063.449999999997</v>
      </c>
      <c r="GY87" s="1" t="s">
        <v>398</v>
      </c>
      <c r="GZ87" s="1">
        <v>91610</v>
      </c>
      <c r="HA87" s="1">
        <v>264744</v>
      </c>
      <c r="HB87" s="79">
        <f t="shared" si="241"/>
        <v>3017105</v>
      </c>
      <c r="HC87" s="86" t="str">
        <f t="shared" si="379"/>
        <v>jul21 jun22</v>
      </c>
      <c r="HD87" s="1">
        <v>59552</v>
      </c>
      <c r="HE87" s="79">
        <f t="shared" si="380"/>
        <v>692271.95449000015</v>
      </c>
      <c r="HF87" s="86" t="str">
        <f t="shared" si="381"/>
        <v>jul21 jun22</v>
      </c>
      <c r="HG87" s="1">
        <v>196000</v>
      </c>
      <c r="HH87" s="79">
        <f t="shared" si="242"/>
        <v>2307341</v>
      </c>
      <c r="HI87" s="86" t="str">
        <f t="shared" si="382"/>
        <v>jul21 jun22</v>
      </c>
      <c r="HJ87" s="1">
        <v>89562</v>
      </c>
      <c r="HK87" s="79">
        <f t="shared" si="278"/>
        <v>65818.98</v>
      </c>
      <c r="HL87" s="86" t="str">
        <f t="shared" si="383"/>
        <v>jul21 jun22</v>
      </c>
      <c r="HM87" s="79">
        <f t="shared" si="358"/>
        <v>2373159.98</v>
      </c>
      <c r="HN87" s="87">
        <f t="shared" si="297"/>
        <v>-7.0740014626444747E-3</v>
      </c>
      <c r="HO87" s="1">
        <v>914200000</v>
      </c>
      <c r="HP87" s="79">
        <f t="shared" si="386"/>
        <v>11607.097344647491</v>
      </c>
      <c r="HQ87" s="86" t="str">
        <f t="shared" si="384"/>
        <v>jul21 jun22</v>
      </c>
      <c r="HR87" s="1"/>
      <c r="HS87" s="1"/>
      <c r="HT87" s="1"/>
      <c r="HU87" s="1">
        <v>650000</v>
      </c>
      <c r="HV87" s="1" t="s">
        <v>389</v>
      </c>
      <c r="HW87" s="1">
        <v>1500000</v>
      </c>
      <c r="HX87" s="1" t="s">
        <v>399</v>
      </c>
      <c r="HY87" s="1">
        <v>3850000</v>
      </c>
      <c r="HZ87" s="1" t="s">
        <v>389</v>
      </c>
      <c r="IA87" s="1">
        <f t="shared" si="376"/>
        <v>21570000</v>
      </c>
      <c r="IB87" s="1" t="s">
        <v>389</v>
      </c>
      <c r="IC87" s="1">
        <v>39940000</v>
      </c>
      <c r="ID87" s="1" t="s">
        <v>389</v>
      </c>
      <c r="IE87" s="1">
        <v>800000</v>
      </c>
      <c r="IF87" s="1" t="s">
        <v>389</v>
      </c>
      <c r="IG87" s="1">
        <f t="shared" si="365"/>
        <v>7400000</v>
      </c>
      <c r="IH87" s="1" t="s">
        <v>399</v>
      </c>
      <c r="II87" s="79">
        <f t="shared" si="359"/>
        <v>75060000</v>
      </c>
      <c r="IJ87" s="97">
        <f t="shared" si="308"/>
        <v>1.9040737312717446</v>
      </c>
      <c r="IK87" s="1" t="s">
        <v>389</v>
      </c>
      <c r="IL87" s="97">
        <v>45.91</v>
      </c>
      <c r="IM87" s="7">
        <v>48.58</v>
      </c>
      <c r="IN87" s="97">
        <v>189</v>
      </c>
      <c r="IO87" s="7">
        <v>16.71</v>
      </c>
      <c r="IP87" s="176">
        <f t="shared" si="369"/>
        <v>5.9356067942694777</v>
      </c>
      <c r="IQ87" s="7">
        <v>18</v>
      </c>
      <c r="IR87" s="98">
        <f t="shared" si="322"/>
        <v>7.01</v>
      </c>
      <c r="IS87" s="98">
        <f t="shared" si="322"/>
        <v>4.3099999999999996</v>
      </c>
      <c r="IT87" s="98">
        <f t="shared" si="322"/>
        <v>13.02</v>
      </c>
      <c r="IU87" s="98">
        <f t="shared" si="322"/>
        <v>1.44</v>
      </c>
      <c r="IV87" s="94">
        <f t="shared" si="360"/>
        <v>18.77</v>
      </c>
      <c r="IW87" s="1"/>
      <c r="IX87" s="1"/>
      <c r="IY87" s="105">
        <v>1.88</v>
      </c>
      <c r="IZ87" s="161">
        <v>0.3</v>
      </c>
      <c r="JA87" s="83">
        <v>2813</v>
      </c>
      <c r="JB87" s="7">
        <v>40.33</v>
      </c>
      <c r="JC87" s="1"/>
      <c r="JD87" s="1"/>
      <c r="JF87" s="2">
        <v>16.607050090000005</v>
      </c>
      <c r="JG87" s="2">
        <v>23.805809289999999</v>
      </c>
      <c r="JH87" s="2">
        <v>262.91201098000005</v>
      </c>
      <c r="JI87" s="2">
        <v>434.80009145999992</v>
      </c>
      <c r="JJ87" s="2">
        <v>1035.65314027</v>
      </c>
      <c r="JK87" s="2">
        <v>82.179019859999997</v>
      </c>
      <c r="JL87" s="2">
        <v>3620.4473621200004</v>
      </c>
      <c r="JM87" s="2">
        <v>78.188918950000016</v>
      </c>
      <c r="JN87" s="2">
        <v>314.45281605000002</v>
      </c>
      <c r="JO87" s="2">
        <v>28.903680499999997</v>
      </c>
      <c r="JP87" s="2">
        <v>0</v>
      </c>
      <c r="JQ87" s="2">
        <v>2.6635128199999998</v>
      </c>
      <c r="JR87" s="2">
        <v>1.1483088800000001</v>
      </c>
      <c r="JS87" s="2">
        <v>0</v>
      </c>
      <c r="JT87" s="2">
        <v>1.5998969999999998E-2</v>
      </c>
      <c r="JU87" s="2">
        <v>84.697328929999998</v>
      </c>
      <c r="JV87" s="2">
        <v>8.9380987800000025</v>
      </c>
      <c r="JW87" s="2">
        <v>19.641265430000001</v>
      </c>
      <c r="JX87" s="2">
        <v>63.327845620000005</v>
      </c>
      <c r="JY87" s="2">
        <v>0</v>
      </c>
      <c r="JZ87" s="2">
        <v>4.0376329900000005</v>
      </c>
      <c r="KA87" s="2">
        <v>0.26750000000000002</v>
      </c>
      <c r="KB87" s="2">
        <v>32.140367229999995</v>
      </c>
      <c r="KC87" s="2">
        <v>15.063954900000001</v>
      </c>
      <c r="KD87" s="2">
        <v>10.989036779999999</v>
      </c>
      <c r="KE87" s="2">
        <v>34.492792039999998</v>
      </c>
      <c r="KF87" s="2">
        <v>52.931487239999996</v>
      </c>
      <c r="KG87" s="2">
        <v>455.63660227999975</v>
      </c>
      <c r="KH87" s="2">
        <v>152.44279752</v>
      </c>
      <c r="KI87" s="2">
        <v>25.793182220000006</v>
      </c>
      <c r="KJ87" s="2">
        <v>1.1355260499999997</v>
      </c>
      <c r="KK87" s="171">
        <v>10.549588929999999</v>
      </c>
      <c r="KL87" s="171">
        <v>1.4073269999999999E-2</v>
      </c>
      <c r="KM87" s="171">
        <v>0.65185740999999997</v>
      </c>
      <c r="KN87" s="171">
        <v>3.0550339999999999E-2</v>
      </c>
      <c r="KO87" s="171">
        <v>3.1024927</v>
      </c>
      <c r="KP87" s="171">
        <v>8.3099999999999997E-3</v>
      </c>
      <c r="KQ87" s="171">
        <v>439.78181661999997</v>
      </c>
      <c r="KR87" s="171">
        <v>0.42382783000000002</v>
      </c>
      <c r="KS87" s="171">
        <v>9.618583E-2</v>
      </c>
      <c r="KT87" s="171">
        <v>0.83261881999999998</v>
      </c>
      <c r="KU87" s="171">
        <v>0.35384690000000002</v>
      </c>
      <c r="KV87" s="171">
        <v>5.4590769999999997E-2</v>
      </c>
      <c r="KW87" s="171">
        <v>1.9133048800000001</v>
      </c>
      <c r="KX87" s="171">
        <v>0</v>
      </c>
      <c r="KY87" s="171">
        <v>0</v>
      </c>
      <c r="KZ87" s="171">
        <v>1.8150842000000003</v>
      </c>
      <c r="LA87" s="171">
        <v>0.72611420999999998</v>
      </c>
      <c r="LB87" s="171">
        <v>0</v>
      </c>
      <c r="LC87" s="171">
        <v>9.5043399999999986E-2</v>
      </c>
      <c r="LD87" s="171">
        <v>0</v>
      </c>
      <c r="LE87" s="171">
        <v>0.40531137999999994</v>
      </c>
      <c r="LF87" s="171">
        <v>0.21195844</v>
      </c>
      <c r="LG87" s="171">
        <v>28.392692970000002</v>
      </c>
      <c r="LH87" s="171">
        <v>5.6909223499999992</v>
      </c>
      <c r="LI87" s="171">
        <v>4.0244654899999999</v>
      </c>
      <c r="LJ87" s="171">
        <v>9.3185999999999998E-3</v>
      </c>
      <c r="LK87" s="171">
        <v>6.8785433699999992</v>
      </c>
      <c r="LL87" s="171">
        <v>9.8886848400000016</v>
      </c>
      <c r="LM87" s="171">
        <v>3.7249795299999997</v>
      </c>
      <c r="LN87" s="171">
        <v>0.51168631000000009</v>
      </c>
      <c r="LO87" s="171">
        <v>8.8922827299999998</v>
      </c>
      <c r="LQ87" s="85">
        <f t="shared" si="247"/>
        <v>5746.4543398300002</v>
      </c>
      <c r="LR87" s="85">
        <f t="shared" si="248"/>
        <v>3.8278206699999999</v>
      </c>
      <c r="LS87" s="85">
        <f t="shared" si="249"/>
        <v>28.579364210000001</v>
      </c>
      <c r="LT87" s="85">
        <f t="shared" si="250"/>
        <v>4.3051329900000006</v>
      </c>
      <c r="LU87" s="85">
        <f t="shared" si="251"/>
        <v>444.08673073</v>
      </c>
      <c r="LV87" s="85">
        <f t="shared" si="252"/>
        <v>1.96789565</v>
      </c>
      <c r="LW87" s="85">
        <f t="shared" si="253"/>
        <v>0.72611420999999998</v>
      </c>
      <c r="LX87" s="85">
        <f t="shared" si="254"/>
        <v>0.61726981999999997</v>
      </c>
      <c r="LZ87" s="131">
        <v>167.6</v>
      </c>
      <c r="MA87" s="171">
        <v>136.94999999999999</v>
      </c>
      <c r="MB87"/>
      <c r="MC87"/>
      <c r="MD87"/>
      <c r="MF87"/>
      <c r="MG87"/>
      <c r="MH87" s="83">
        <v>311.8</v>
      </c>
      <c r="MI87" s="83">
        <v>95.24</v>
      </c>
      <c r="MJ87" s="83">
        <v>86.64</v>
      </c>
      <c r="MK87"/>
      <c r="ML87" s="83">
        <v>108.35</v>
      </c>
      <c r="MM87" s="83">
        <v>217.73</v>
      </c>
      <c r="MN87" s="83"/>
      <c r="MO87" s="83">
        <v>87.14</v>
      </c>
      <c r="MP87" s="83">
        <v>245.18</v>
      </c>
      <c r="MQ87" s="83">
        <v>244.64</v>
      </c>
      <c r="MR87"/>
      <c r="MT87" s="83"/>
      <c r="MU87" s="83">
        <v>87.35</v>
      </c>
      <c r="MV87"/>
      <c r="MW87"/>
      <c r="MX87"/>
      <c r="MY87" s="83">
        <v>304.91000000000003</v>
      </c>
      <c r="MZ87" s="83">
        <v>763</v>
      </c>
      <c r="NA87" s="83">
        <v>338.59</v>
      </c>
      <c r="NB87" s="83">
        <v>1108.8399999999999</v>
      </c>
      <c r="NC87" s="83">
        <v>132.51</v>
      </c>
      <c r="ND87" s="1">
        <v>1210</v>
      </c>
      <c r="NE87" s="1">
        <v>699.51</v>
      </c>
    </row>
    <row r="88" spans="1:369">
      <c r="A88" s="38">
        <f t="shared" si="334"/>
        <v>44743</v>
      </c>
      <c r="B88" s="36">
        <f t="shared" si="366"/>
        <v>7</v>
      </c>
      <c r="C88" s="36">
        <f t="shared" si="367"/>
        <v>2022</v>
      </c>
      <c r="D88" s="36">
        <f t="shared" si="347"/>
        <v>88</v>
      </c>
      <c r="E88" s="38">
        <f t="shared" si="335"/>
        <v>44743</v>
      </c>
      <c r="F88" s="7">
        <v>134.72999999999999</v>
      </c>
      <c r="G88" s="7">
        <v>851.8</v>
      </c>
      <c r="H88" s="1">
        <f>[2]NACIONALES!$D76</f>
        <v>69414</v>
      </c>
      <c r="I88" s="7">
        <v>142</v>
      </c>
      <c r="J88" s="7">
        <v>950</v>
      </c>
      <c r="K88" s="7">
        <v>12.5</v>
      </c>
      <c r="L88" s="7">
        <v>39.4</v>
      </c>
      <c r="N88" s="5">
        <v>2.84</v>
      </c>
      <c r="O88" s="5">
        <v>2.5099999999999998</v>
      </c>
      <c r="P88" s="78">
        <f t="shared" si="294"/>
        <v>342.38261249999994</v>
      </c>
      <c r="Q88" s="6">
        <v>3200</v>
      </c>
      <c r="R88" s="79">
        <f t="shared" si="336"/>
        <v>32000</v>
      </c>
      <c r="S88" s="6">
        <v>267.14</v>
      </c>
      <c r="T88" s="6">
        <v>518.19000000000005</v>
      </c>
      <c r="U88" s="143">
        <v>209.78095238095236</v>
      </c>
      <c r="V88" s="143">
        <v>353.59523809523807</v>
      </c>
      <c r="W88">
        <v>272</v>
      </c>
      <c r="X88" s="6">
        <v>289.39047619047625</v>
      </c>
      <c r="Y88" s="79">
        <f t="shared" si="337"/>
        <v>35991.772199999992</v>
      </c>
      <c r="Z88" s="79">
        <f t="shared" si="338"/>
        <v>69815.738700000002</v>
      </c>
      <c r="AA88" s="79">
        <f t="shared" si="339"/>
        <v>28263.787714285711</v>
      </c>
      <c r="AB88" s="79">
        <f t="shared" si="340"/>
        <v>47639.886428571423</v>
      </c>
      <c r="AC88" s="79">
        <f t="shared" si="341"/>
        <v>36646.559999999998</v>
      </c>
      <c r="AD88" s="79">
        <f t="shared" si="342"/>
        <v>38989.578857142864</v>
      </c>
      <c r="AE88" s="79">
        <f t="shared" si="343"/>
        <v>42891.220649999996</v>
      </c>
      <c r="AF88" s="1">
        <v>93433.619047619053</v>
      </c>
      <c r="AG88" s="1">
        <v>46890</v>
      </c>
      <c r="AH88" s="1">
        <v>178180</v>
      </c>
      <c r="AI88" s="5">
        <v>73.606499999999997</v>
      </c>
      <c r="AJ88" s="5">
        <v>67.340599999999995</v>
      </c>
      <c r="AK88" s="5">
        <v>59.837200000000003</v>
      </c>
      <c r="AL88" s="5">
        <v>53.401699999999998</v>
      </c>
      <c r="AM88" s="78">
        <f t="shared" si="344"/>
        <v>64.926693999999998</v>
      </c>
      <c r="AN88" s="7">
        <v>2703.75</v>
      </c>
      <c r="AO88" s="7">
        <v>1662.6476190476187</v>
      </c>
      <c r="AP88" s="78">
        <f t="shared" si="385"/>
        <v>1662.6476190476187</v>
      </c>
      <c r="AQ88" s="7">
        <v>664.84126984126988</v>
      </c>
      <c r="AR88" s="7">
        <v>945.25904761904758</v>
      </c>
      <c r="AS88" s="7">
        <v>700</v>
      </c>
      <c r="AT88" s="7">
        <v>1234.1904761904761</v>
      </c>
      <c r="AU88" s="78">
        <f t="shared" si="348"/>
        <v>959.81650793650795</v>
      </c>
      <c r="AV88" s="7">
        <v>851.41025641025647</v>
      </c>
      <c r="AW88" s="7">
        <v>1872.9047619047619</v>
      </c>
      <c r="AX88" s="7">
        <v>1855.3000000000002</v>
      </c>
      <c r="AY88" s="7">
        <v>1074.5449438202247</v>
      </c>
      <c r="AZ88" s="7">
        <v>873.58428571428556</v>
      </c>
      <c r="BA88" s="7">
        <v>650.09523809523807</v>
      </c>
      <c r="BB88" s="94">
        <f t="shared" si="345"/>
        <v>1167.4958177278402</v>
      </c>
      <c r="BC88" s="68">
        <v>6886</v>
      </c>
      <c r="BD88" s="68">
        <v>4203</v>
      </c>
      <c r="BE88" s="95">
        <v>3200</v>
      </c>
      <c r="BF88" s="95">
        <v>2100</v>
      </c>
      <c r="BG88" s="94">
        <f t="shared" si="349"/>
        <v>4097.25</v>
      </c>
      <c r="BH88" s="7">
        <v>287.83</v>
      </c>
      <c r="BI88" s="7">
        <v>60</v>
      </c>
      <c r="BJ88" s="78">
        <f t="shared" si="350"/>
        <v>347.83</v>
      </c>
      <c r="BK88" s="7">
        <v>305.24</v>
      </c>
      <c r="BL88" s="7">
        <v>376.76</v>
      </c>
      <c r="BM88" s="94">
        <f t="shared" si="351"/>
        <v>341</v>
      </c>
      <c r="BN88" s="5">
        <v>50.51</v>
      </c>
      <c r="BO88" s="84">
        <v>248.3</v>
      </c>
      <c r="BP88" s="58">
        <v>176.1</v>
      </c>
      <c r="BQ88" s="94">
        <f t="shared" si="346"/>
        <v>241.08000000000004</v>
      </c>
      <c r="BR88" s="7">
        <f>+(214.81+213.14+210.69+199.5)/4</f>
        <v>209.535</v>
      </c>
      <c r="BS88" s="97">
        <v>680</v>
      </c>
      <c r="BT88" s="7">
        <f>1.39*F88</f>
        <v>187.27469999999997</v>
      </c>
      <c r="BU88" s="79">
        <f t="shared" si="237"/>
        <v>8721.8240999999998</v>
      </c>
      <c r="BV88" s="848">
        <v>313.60000000000002</v>
      </c>
      <c r="BW88" s="7">
        <v>725</v>
      </c>
      <c r="BY88" s="92">
        <f>BY$10*(1+((H88/H$10-1)*costos!$B$5+((I88*F88)/(I$10*F$10)-1)*costos!$E$5+((J88*F88)/((J$10*F$10)-1)*costos!$F$5/3+((K88*F88)/(K$10*F$10)-1)*costos!$F$5/3+((U88*F88)/(U$10*F$10)-1)*costos!$F$5/3+((L88*F88)/(L$10*F$10)-1)*costos!$G$5+((N88*F88)/(N$10*F$10)-1)*costos!$J$5+((V88*F88)/(V$10*F$10)-1)*costos!$K$5)))</f>
        <v>1849.2810938936198</v>
      </c>
      <c r="BZ88" s="92">
        <f>$BZ$10*(1+((H88/$H$10-1)*costos!$B$6+((I88*F88)/($I$10*$F$10)-1)*costos!$E$6+((J88*F88)/(($J$10*$F$10)-1)*costos!$F$6/3+((K88*F88)/($K$10*$F$10)-1)*costos!$F$6/3+((U88*F88)/($U$10*$F$10)-1)*costos!$F$6/3+((L88*F88)/($L$10*$F$10)-1)*costos!$G$6+((Q88*F88)/($Q$10*$F$10)-1)*costos!$J$6+((V88*F88)/($V$10*$F$10)-1)*costos!$K$6)))</f>
        <v>1586.5870197647716</v>
      </c>
      <c r="CA88" s="92">
        <f>CA$10*(1+((H88/H$10-1)*costos!$B$7+((I88*F88)/(I$10*F$10)-1)*costos!$E$7+((J88*F88)/((J$10*F$10)-1)*costos!$F$7/3+((K88*F88)/(K$10*F$10)-1)*costos!$F$7/3+((U88*F88)/(U$10*F$10)-1)*costos!$F$7/3+((L88*F88)/(L$10*F$10)-1)*costos!$G$7+((S88*F88)/(S$10*F$10)-1)*costos!$J$7+((V88*F88)/(V$10*F$10)-1)*costos!$K$7)))</f>
        <v>1706.8450725872417</v>
      </c>
      <c r="CB88" s="92">
        <f>CB$10*(1+((H88/H$10-1)*costos!$B$8+((I88*F88)/(I$10*F$10)-1)*costos!$E$8+((J88*F88)/((J$10*F$10)-1)*costos!$F$8/3+((K88*F88)/(K$10*F$10)-1)*costos!$F$8/3+((U88*F88)/(U$10*F$10)-1)*costos!$F$8/3+((L88*F88)/(L$10*F$10)-1)*costos!$G$8+((T88*F88)/(T$10*F$10)-1)*costos!$J$8+((V88*F88)/(V$10*F$10)-1)*costos!$K$8)))</f>
        <v>1653.9320164092501</v>
      </c>
      <c r="CC88" s="92">
        <f>CC$10*(1+((H88/H$10-1)*costos!$B$9+((I88*F88)/(I$10*F$10)-1)*costos!$E$9+((J88*F88)/((J$10*F$10)-1)*costos!$F$9/3+((K88*F88)/(K$10*F$10)-1)*costos!$F$9/3+((U88*F88)/(U$10*F$10)-1)*costos!$F$9/3+((L88*F88)/(L$10*F$10)-1)*costos!$G$9+((U88*F88)/(U$10*F$10)-1)*costos!$J$9+((V88*F88)/(V$10*F$10)-1)*costos!$K$9)))</f>
        <v>1549.5364147204082</v>
      </c>
      <c r="CD88" s="92">
        <f>CD$10*(1+((H88/H$10-1)*costos!$B$11+((I88*F88)/(I$10*F$10)-1)*costos!$E$11+((J88*F88)/((J$10*F$10)-1)*costos!$F$11/3+((K88*F88)/(K$10*F$10)-1)*costos!$F$11/3+((U88*F88)/(U$10*F$10)-1)*costos!$F$11/3+((L88*F88)/(L$10*F$10)-1)*costos!$G$11+((V88*F88)/(V$10*F$10)-1)*costos!$J$11+((V88*F88)/(V$10*F$10)-1)*costos!$K$11)))</f>
        <v>1597.8755453533036</v>
      </c>
      <c r="CE88" s="92">
        <f>CE$10*(1+((H88/H$10-1)*costos!$B$12+((I88*F88)/(I$10*F$10)-1)*costos!$E$12+((J88*F88)/((J$10*F$10)-1)*costos!$F$12/3+((K88*F88)/(K$10*F$10)-1)*costos!$F$12/3+((U88*F88)/(U$10*F$10)-1)*costos!$F$12/3+((L88*F88)/(L$10*F$10)-1)*costos!$G$12+((W88*F88)/(W$10*F$10)-1)*costos!$J$12+((V88*F88)/(V$10*F$10)-1)*costos!$K$12)))</f>
        <v>1673.5122694287988</v>
      </c>
      <c r="CF88" s="92">
        <f>CF$10*(1+((H88/H$10-1)*costos!$B$13+((I88*F88)/(I$10*F$10)-1)*costos!$E$13+((J88*F88)/((J$10*F$10)-1)*costos!$F$13/3+((K88*F88)/(K$10*F$10)-1)*costos!$F$13/3+((U88*F88)/(U$10*F$10)-1)*costos!$F$13/3+((L88*F88)/(L$10*F$10)-1)*costos!$G$13+((X88*F88)/(X$10*F$10)-1)*costos!$J$13+((V88*F88)/(V$10*F$10)-1)*costos!$K$13)))</f>
        <v>1733.3585994710877</v>
      </c>
      <c r="CG88" s="92">
        <f t="shared" ref="CG88:CG111" si="388">+AVERAGE(CA88:CF88)</f>
        <v>1652.5099863283483</v>
      </c>
      <c r="CH88" s="92">
        <f>CH$10*(1+((H88/H$10-1)*costos!$B$10+((I88*F88)/(I$10*F$10)-1)*costos!$E$10+((J88*F88)/((J$10*F$10)-1)*costos!$F$10/3+((K88*F88)/(K$10*F$10)-1)*costos!$F$10/3+((U88*F88)/(U$10*F$10)-1)*costos!$F$10/3+((L88*F88)/(L$10*F$10)-1)*costos!$G$10+((AF88)/(AF$10)-1)*costos!$J$10+((V88*F88)/(V$10*F$10)-1)*costos!$K$10)))</f>
        <v>1576.6961229368519</v>
      </c>
      <c r="CI88" s="92">
        <f>CI$10*(1+((H88/H$10-1)*costos!$B$15+((I88*F88)/(I$10*F$10)-1)*costos!$E$15+((J88*F88)/((J$10*F$10)-1)*costos!$F$15/3+((K88*F88)/(K$10*F$10)-1)*costos!$F$15/3+((U88*F88)/(U$10*F$10)-1)*costos!$F$15/3+((L88*F88)/(L$10*F$10)-1)*costos!$G$15+((AV88)/(AV$10)-1)*costos!$J$15+((V88*F88)/(V$10*F$10)-1)*costos!$K$15)))</f>
        <v>1695.5038828765612</v>
      </c>
      <c r="CJ88" s="92">
        <f>CJ$10*(1+((H88/H$10-1)*costos!$B$16+((I88*F88)/(I$10*F$10)-1)*costos!$E$16+((J88*F88)/((J$10*F$10)-1)*costos!$F$16/3+((K88*F88)/(K$10*F$10)-1)*costos!$F$16/3+((U88*F88)/(U$10*F$10)-1)*costos!$F$16/3+((L88*F88)/(L$10*F$10)-1)*costos!$G$16+((AW88)/(AW$10)-1)*costos!$J$16+((V88*F88)/(V$10*F$10)-1)*costos!$K$16)))</f>
        <v>1212.3116821546005</v>
      </c>
      <c r="CK88" s="92">
        <f>CK$10*(1+((H88/H$10-1)*costos!$B$17+((I88*F88)/(I$10*F$10)-1)*costos!$E$17+((J88*F88)/((J$10*F$10)-1)*costos!$F$17/3+((K88*F88)/(K$10*F$10)-1)*costos!$F$17/3+((U88*F88)/(U$10*F$10)-1)*costos!$F$17/3+((L88*F88)/(L$10*F$10)-1)*costos!$G$17+((AX88)/(AX$10)-1)*costos!$J$17+((V88*F88)/(V$10*F$10)-1)*costos!$K$17)))</f>
        <v>1761.994732260122</v>
      </c>
      <c r="CL88" s="92">
        <f>CL$10*(1+((H88/H$10-1)*costos!$B$18+((I88*F88)/(I$10*F$10)-1)*costos!$E$18+((J88*F88)/((J$10*F$10)-1)*costos!$F$18/3+((K88*F88)/(K$10*F$10)-1)*costos!$F$18/3+((U88*F88)/(U$10*F$10)-1)*costos!$F$18/3+((L88*F88)/(L$10*F$10)-1)*costos!$G$18+((AY88)/(AY$10)-1)*costos!$J$18+((V88*F88)/(V$10*F$10)-1)*costos!$K$18)))</f>
        <v>1520.7808081728506</v>
      </c>
      <c r="CM88" s="92">
        <f>CM$10*(1+((H88/H$10-1)*costos!$B$19+((I88*F88)/(I$10*F$10)-1)*costos!$E$19+((J88*F88)/((J$10*F$10)-1)*costos!$F$19/3+((K88*F88)/(K$10*F$10)-1)*costos!$F$19/3+((U88*F88)/(U$10*F$10)-1)*costos!$F$19/3+((L88*F88)/(L$10*F$10)-1)*costos!$G$19+((AZ88)/(AZ$10)-1)*costos!$J$19+((V88*F88)/(V$10*F$10)-1)*costos!$K$19)))</f>
        <v>1178.9892382277476</v>
      </c>
      <c r="CN88" s="92">
        <f>CN$10*(1+((H88/H$10-1)*costos!$B$20+((I88*F88)/(I$10*F$10)-1)*costos!$E$20+((J88*F88)/((J$10*F$10)-1)*costos!$F$20/3+((K88*F88)/(K$10*F$10)-1)*costos!$F$20/3+((U88*F88)/(U$10*F$10)-1)*costos!$F$20/3+((L88*F88)/(L$10*F$10)-1)*costos!$G$20+((BA88)/(BA$10)-1)*costos!$J$20+((V88*F88)/(V$10*F$10)-1)*costos!$K$20)))</f>
        <v>1204.2087321622773</v>
      </c>
      <c r="CO88" s="92">
        <f t="shared" ref="CO88:CO93" si="389">+AVERAGE(CK88:CN88)</f>
        <v>1416.4933777057495</v>
      </c>
      <c r="CP88" s="92">
        <f>CP$10*(1+((H88/H$10-1)*costos!$B$22+((I88*F88)/(I$10*F$10)-1)*costos!$E$22+((J88*F88)/((J$10*F$10)-1)*costos!$F$22/3+((K88*F88)/(K$10*F$10)-1)*costos!$F$22/3+((U88*F88)/(U$10*F$10)-1)*costos!$F$22/3+((L88*F88)/(L$10*F$10)-1)*costos!$G$22+(((AVERAGE(AI88:AL88))/((AVERAGE(AI$10:AL$10))-1)*costos!$J$22+((V88*F88)/(V$10*F$10)-1)*costos!$K$22)))))</f>
        <v>1660.7233175578947</v>
      </c>
      <c r="CQ88" s="92">
        <f>CQ$10*(1+((H88/H$10-1)*costos!$B$23+((I88*F88)/(I$10*F$10)-1)*costos!$E$23+((J88*F88)/((J$10*F$10)-1)*costos!$F$23/3+((K88*F88)/(K$10*F$10)-1)*costos!$F$23/3+((U88*F88)/(U$10*F$10)-1)*costos!$F$23/3+((L88*F88)/(L$10*F$10)-1)*costos!$G$23+((AN88)/(AN$10)-1)*costos!$J$23+((V88*F88)/(V$10*F$10)-1)*costos!$K$23)))</f>
        <v>1285.0569357158531</v>
      </c>
      <c r="CR88" s="92">
        <f>CR$10*(1+((H88/H$10-1)*costos!$B$24+((I88*F88)/(I$10*F$10)-1)*costos!$E$24+((J88*F88)/((J$10*F$10)-1)*costos!$F$24/3+((K88*F88)/(K$10*F$10)-1)*costos!$F$24/3+((U88*F88)/(U$10*F$10)-1)*costos!$F$24/3+((L88*F88)/(L$10*F$10)-1)*costos!$G$24+((AO88)/(AO$10)-1)*costos!$J$24+((V88*F88)/(V$10*F$10)-1)*costos!$K$24)))</f>
        <v>1288.4539499215589</v>
      </c>
      <c r="CS88" s="92">
        <f t="shared" si="352"/>
        <v>1286.7554428187059</v>
      </c>
      <c r="CT88" s="92">
        <f>CT$10*(1+((H88/H$10-1)*costos!$B$25+((I88*F88)/(I$10*F$10)-1)*costos!$E$25+((J88*F88)/((J$10*F$10)-1)*costos!$F$25/3+((K88*F88)/(K$10*F$10)-1)*costos!$F$25/3+((U88*F88)/(U$10*F$10)-1)*costos!$F$25/3+((L88*F88)/(L$10*F$10)-1)*costos!$G$25+((AQ88)/(AQ$10)-1)*costos!$J$25+((V88*F88)/(V$10*F$10)-1)*costos!$K$25)))</f>
        <v>1273.6854436115839</v>
      </c>
      <c r="CU88" s="92">
        <f>CU$10*(1+((H88/H$10-1)*costos!$B$26+((I88*F88)/(I$10*F$10)-1)*costos!$E$26+((J88*F88)/((J$10*F$10)-1)*costos!$F$26/3+((K88*F88)/(K$10*F$10)-1)*costos!$F$26/3+((U88*F88)/(U$10*F$10)-1)*costos!$F$26/3+((L88*F88)/(L$10*F$10)-1)*costos!$G$26+((AR88)/(AR$10)-1)*costos!$J$26+((V88*F88)/(V$10*F$10)-1)*costos!$K$26)))</f>
        <v>1413.7412729443681</v>
      </c>
      <c r="CV88" s="92">
        <f>CV$10*(1+((H88/H$10-1)*costos!$B$27+((I88*F88)/(I$10*F$10)-1)*costos!$E$27+((J88*F88)/((J$10*F$10)-1)*costos!$F$27/3+((K88*F88)/(K$10*F$10)-1)*costos!$F$27/3+((U88*F88)/(U$10*F$10)-1)*costos!$F$27/3+((L88*F88)/(L$10*F$10)-1)*costos!$G$27+((AS88)/(AS$10)-1)*costos!$J$27+((V88*F88)/(V$10*F$10)-1)*costos!$K$27)))</f>
        <v>1396.2046726951605</v>
      </c>
      <c r="CW88" s="92">
        <f>CW$10*(1+((H88/H$10-1)*costos!$B$28+((I88*F88)/(I$10*F$10)-1)*costos!$E$28+((J88*F88)/((J$10*F$10)-1)*costos!$F$28/3+((K88*F88)/(K$10*F$10)-1)*costos!$F$28/3+((U88*F88)/(U$10*F$10)-1)*costos!$F$28/3+((L88*F88)/(L$10*F$10)-1)*costos!$G$28+((AS88)/(AS$10)-1)*costos!$J$28+((V88*F88)/(V$10*F$10)-1)*costos!$K$28)))</f>
        <v>1396.2046726951605</v>
      </c>
      <c r="CX88" s="92">
        <f t="shared" ref="CX88:CX93" si="390">+AVERAGE(CU88:CW88)</f>
        <v>1402.0502061115631</v>
      </c>
      <c r="CY88" s="92">
        <f>CY$10*(1+((H88/H$10-1)*costos!$B$32+((I88*F88)/(I$10*F$10)-1)*costos!$E$32+((J88*F88)/((J$10*F$10)-1)*costos!$F$32/3+((K88*F88)/(K$10*F$10)-1)*costos!$F$32/3+((U88*F88)/(U$10*F$10)-1)*costos!$F$32/3+((L88*F88)/(L$10*F$10)-1)*costos!$G$32+((AG88)/(AG$10)-1)*costos!$J$32+((V88*F88)/(V$10*F$10)-1)*costos!$K$32)))</f>
        <v>1131.4719404766777</v>
      </c>
      <c r="CZ88" s="69">
        <f>CZ$10*(1+((H88/H$10-1)*costos!$B$31+((I88*F88)/(I$10*F$10)-1)*costos!$E$30+((J88*F88)/((J$10*F$10)-1)*costos!$F$30/3+((K88*F88)/(K$10*F$10)-1)*costos!$F$30/3+((U88*F88)/(U$10*F$10)-1)*costos!$F$30/3+((L88*F88)/(L$10*F$10)-1)*costos!$G$30+((BG88)/(BG$10)-1)*costos!$J$30+((V88*F88)/(V$10*F$10)-1)*costos!$K$30)))</f>
        <v>1586.2293187042105</v>
      </c>
      <c r="DA88" s="69">
        <f>DA$10*(1+((H88/H$10-1)*costos!$B$31+((I88*F88)/(I$10*F$10)-1)*costos!$E$31+((J88*F88)/((J$10*F$10)-1)*costos!$F$31/3+((K88*F88)/(K$10*F$10)-1)*costos!$F$31/3+((U88*F88)/(U$10*F$10)-1)*costos!$F$31/3+((L88*F88)/(L$10*F$10)-1)*costos!$G$31+((BJ88)/(BJ$10)-1)*costos!$J$31+((V88*F88)/(V$10*F$10)-1)*costos!$K$31)))</f>
        <v>1235.259508021782</v>
      </c>
      <c r="DB88" s="69">
        <f>DB$10*(1+((H88/H$10-1)*costos!$B$36+((I88*F88)/(I$10*F$10)-1)*costos!$E$36+((J88*F88)/((J$10*F$10)-1)*costos!$F$36/3+((K88*F88)/(K$10*F$10)-1)*costos!$F$36/3+((U88*F88)/(U$10*F$10)-1)*costos!$F$36/3+((L88*F88)/(L$10*F$10)-1)*costos!$G$36+((BK88)/(BK$10)-1)*costos!$J$36+((V88*F88)/(V$10*F$10)-1)*costos!$K$36)))</f>
        <v>1497.2669897440453</v>
      </c>
      <c r="DC88" s="69">
        <f>DC$10*(1+((H88/H$10-1)*costos!$B$37+((I88*F88)/(I$10*F$10)-1)*costos!$E$37+((U88*F88)/(U$10*F$10)-1)*costos!$F$37+((L88*F88)/(L$10*F$10)-1)*costos!$G$37+((BN88)/(BN$10)-1)*costos!$J$37+((V88*F88)/(V$10*F$10)-1)*costos!$K$37))</f>
        <v>1367.5163232142322</v>
      </c>
      <c r="DD88" s="69">
        <f>DD$10*(1+((H88/H$10-1)*costos!$B$39+((I88*F88)/(I$10*F$10)-1)*costos!$E$39+((U88*F88)/(U$10*F$10)-1)*costos!$F$39+((L88*F88)/(L$10*F$10)-1)*costos!$G$39+((BR88)/(BR$10)-1)*costos!$J$39+((V88*F88)/(V$10*F$10)-1)*costos!$K$39))</f>
        <v>1328.382267055543</v>
      </c>
      <c r="DE88" s="69">
        <f>DD$10*(1+((H88/H$10-1)*costos!$B$35+((I88*F88)/(I$10*F$10)-1)*costos!$E$35+((U88*F88)/(U$10*F$10)-1)*costos!$F$35+((L88*F88)/(L$10*F$10)-1)*costos!$G$35+((BR88)/(BR$10)-1)*costos!$J$35+((V88*F88)/(V$10*F$10)-1)*costos!$K$35))</f>
        <v>1133.0666888534877</v>
      </c>
      <c r="DF88" s="69">
        <f>DF$10*(1+((H88/H$10-1)*costos!$B$40+((I88*F88)/(I$10*F$10)-1)*costos!$E$40+((U88*F88)/(U$10*F$10)-1)*costos!$F$40+((L88*F88)/(L$10*F$10)-1)*costos!$G$40+((BP88)/(BP$10)-1)*costos!$J$40+((V88*F88)/(V$10*F$10)-1)*costos!$K$40))</f>
        <v>1360.8489109346604</v>
      </c>
      <c r="DG88" s="92">
        <f t="shared" ref="DG88:DG116" si="391">+((DE88/$DE$10)*100+DF88)/2</f>
        <v>1246.957799894074</v>
      </c>
      <c r="DH88" s="69">
        <f>DH$10*(1+((H88/H$10-1)*costos!$B$34+((I88*F88)/(I$10*F$10)-1)*costos!$E$34+((J88*F88)/((J$10*F$10)-1)*costos!$F$34/3+((K88*F88)/(K$10*F$10)-1)*costos!$F$34/3+((U88*F88)/(U$10*F$10)-1)*costos!$F$34/3+((L88*F88)/(L$10*F$10)-1)*costos!$G$34+((BV88)/(BV$10)-1)*costos!$J$34+((V88*F88)/(V$10*F$10)-1)*costos!$K$34)))</f>
        <v>1352.8872493577346</v>
      </c>
      <c r="DI88" s="69">
        <f>DI$10*(1+((H88/H$10-1)*costos!$B$38+((I88*F88)/(I$10*F$10)-1)*costos!$E$38+((J88*F88)/((J$10*F$10)-1)*costos!$F$38/3+((K88*F88)/(K$10*F$10)-1)*costos!$F$38/3+((U88*F88)/(U$10*F$10)-1)*costos!$F$38/3+((L88*F88)/(L$10*F$10)-1)*costos!$G$38+((BU88)/(BU$10)-1)*costos!$J$38+((V88*F88)/(V$10*F$10)-1)*costos!$K$38)))</f>
        <v>1155.4554374095346</v>
      </c>
      <c r="DK88" s="1">
        <v>500000</v>
      </c>
      <c r="DL88" s="1" t="s">
        <v>389</v>
      </c>
      <c r="DM88" s="1">
        <v>200000</v>
      </c>
      <c r="DN88" s="1" t="s">
        <v>389</v>
      </c>
      <c r="DO88" s="1">
        <v>1750000</v>
      </c>
      <c r="DP88" s="1" t="s">
        <v>399</v>
      </c>
      <c r="DQ88" s="1">
        <v>2000000</v>
      </c>
      <c r="DR88" s="1" t="s">
        <v>399</v>
      </c>
      <c r="DS88" s="1">
        <v>7300000</v>
      </c>
      <c r="DT88" s="1" t="s">
        <v>389</v>
      </c>
      <c r="DU88" s="1">
        <v>16100000</v>
      </c>
      <c r="DV88" s="1" t="s">
        <v>389</v>
      </c>
      <c r="DW88" s="1">
        <v>950000</v>
      </c>
      <c r="DX88" s="1" t="s">
        <v>389</v>
      </c>
      <c r="DY88" s="1">
        <v>5907000</v>
      </c>
      <c r="DZ88" s="1" t="s">
        <v>399</v>
      </c>
      <c r="EA88" s="79">
        <f t="shared" si="353"/>
        <v>34007000</v>
      </c>
      <c r="EB88" s="1">
        <v>395000</v>
      </c>
      <c r="EC88" s="1" t="s">
        <v>389</v>
      </c>
      <c r="ED88" s="1">
        <v>209277</v>
      </c>
      <c r="EE88" s="143">
        <v>2022</v>
      </c>
      <c r="EF88" s="1">
        <v>207047</v>
      </c>
      <c r="EG88" s="6">
        <v>2022</v>
      </c>
      <c r="EH88" s="1">
        <v>53416435</v>
      </c>
      <c r="EI88" s="6">
        <v>2022</v>
      </c>
      <c r="EJ88" s="1">
        <v>5477107</v>
      </c>
      <c r="EK88" s="6">
        <v>2022</v>
      </c>
      <c r="EL88" s="1">
        <v>12461845</v>
      </c>
      <c r="EM88" s="6">
        <v>2022</v>
      </c>
      <c r="EN88" s="1">
        <v>3169981</v>
      </c>
      <c r="EO88" s="6">
        <v>2021</v>
      </c>
      <c r="EP88" s="82">
        <f t="shared" ref="EP88:EP93" si="392">+EP87</f>
        <v>6552</v>
      </c>
      <c r="EQ88" s="83">
        <v>3500000</v>
      </c>
      <c r="ER88" s="1">
        <f t="shared" si="189"/>
        <v>74633.333333333328</v>
      </c>
      <c r="ES88" s="1"/>
      <c r="ET88" s="83">
        <f t="shared" ref="ET88:EW112" si="393">+ET87</f>
        <v>17456</v>
      </c>
      <c r="EU88" s="83">
        <f t="shared" si="393"/>
        <v>19445</v>
      </c>
      <c r="EV88" s="83">
        <f t="shared" si="393"/>
        <v>9018</v>
      </c>
      <c r="EW88" s="83">
        <f t="shared" si="393"/>
        <v>17386</v>
      </c>
      <c r="EX88" s="79">
        <f t="shared" si="387"/>
        <v>63305</v>
      </c>
      <c r="EY88" s="83">
        <f t="shared" ref="EY88:EZ129" si="394">+EY87</f>
        <v>20049</v>
      </c>
      <c r="EZ88" s="83">
        <f t="shared" si="370"/>
        <v>33638</v>
      </c>
      <c r="FA88" s="83">
        <f t="shared" si="371"/>
        <v>19948</v>
      </c>
      <c r="FB88" s="83">
        <f t="shared" si="372"/>
        <v>15432</v>
      </c>
      <c r="FC88" s="79">
        <f t="shared" si="307"/>
        <v>35380</v>
      </c>
      <c r="FD88" s="83">
        <f t="shared" ref="FD88:FD123" si="395">+FD87</f>
        <v>56856.849999999991</v>
      </c>
      <c r="FE88" s="1"/>
      <c r="FF88" s="1">
        <v>1100000</v>
      </c>
      <c r="FG88" s="1" t="s">
        <v>389</v>
      </c>
      <c r="FH88" s="1">
        <v>1200000</v>
      </c>
      <c r="FI88" s="1" t="s">
        <v>389</v>
      </c>
      <c r="FJ88" s="1">
        <v>5200000</v>
      </c>
      <c r="FK88" s="1" t="s">
        <v>399</v>
      </c>
      <c r="FL88" s="1">
        <v>4000000</v>
      </c>
      <c r="FM88" s="1" t="s">
        <v>389</v>
      </c>
      <c r="FN88" s="1">
        <v>52000000</v>
      </c>
      <c r="FO88" s="1" t="s">
        <v>389</v>
      </c>
      <c r="FP88" s="1">
        <v>44000000</v>
      </c>
      <c r="FQ88" s="1" t="s">
        <v>389</v>
      </c>
      <c r="FR88" s="1">
        <v>2800000</v>
      </c>
      <c r="FS88" s="1" t="s">
        <v>389</v>
      </c>
      <c r="FT88" s="1">
        <v>22150000</v>
      </c>
      <c r="FU88" s="1" t="s">
        <v>389</v>
      </c>
      <c r="FV88" s="79">
        <f t="shared" si="355"/>
        <v>130150000</v>
      </c>
      <c r="FW88" s="1">
        <v>1350000</v>
      </c>
      <c r="FX88" s="1" t="s">
        <v>389</v>
      </c>
      <c r="FY88" s="1">
        <v>167736</v>
      </c>
      <c r="FZ88" s="79">
        <f t="shared" si="377"/>
        <v>793457</v>
      </c>
      <c r="GA88" s="86" t="str">
        <f t="shared" si="378"/>
        <v>ago21 jul22</v>
      </c>
      <c r="GB88" s="1">
        <v>19368031</v>
      </c>
      <c r="GC88" s="6">
        <v>2022</v>
      </c>
      <c r="GD88" s="83">
        <f t="shared" si="318"/>
        <v>2141365</v>
      </c>
      <c r="GE88" s="83">
        <f t="shared" ref="GD88:GE91" si="396">+GE87</f>
        <v>369608</v>
      </c>
      <c r="GF88" s="83">
        <v>1038163</v>
      </c>
      <c r="GG88" s="83">
        <f t="shared" si="268"/>
        <v>94581</v>
      </c>
      <c r="GH88" s="79">
        <f>GE88+GF88+GG88</f>
        <v>1502352</v>
      </c>
      <c r="GI88" s="82">
        <f t="shared" si="373"/>
        <v>1302556</v>
      </c>
      <c r="GJ88" s="83">
        <f t="shared" si="368"/>
        <v>665558</v>
      </c>
      <c r="GK88" s="83">
        <f t="shared" si="368"/>
        <v>1393000</v>
      </c>
      <c r="GL88" s="83">
        <f t="shared" si="368"/>
        <v>300028.90000000002</v>
      </c>
      <c r="GM88" s="83">
        <f t="shared" si="368"/>
        <v>259304.56</v>
      </c>
      <c r="GN88" s="79">
        <f t="shared" si="357"/>
        <v>2617891.46</v>
      </c>
      <c r="GO88" s="83">
        <f t="shared" si="374"/>
        <v>200935</v>
      </c>
      <c r="GP88" s="83">
        <f t="shared" si="374"/>
        <v>73046</v>
      </c>
      <c r="GQ88" s="82">
        <v>22616.75</v>
      </c>
      <c r="GR88" s="82">
        <v>42288</v>
      </c>
      <c r="GS88" s="79">
        <f t="shared" si="192"/>
        <v>42966.502500000002</v>
      </c>
      <c r="GT88" s="83">
        <f t="shared" si="375"/>
        <v>2410599</v>
      </c>
      <c r="GU88" s="1">
        <v>28284</v>
      </c>
      <c r="GV88" s="1">
        <v>29695</v>
      </c>
      <c r="GW88" s="79">
        <f t="shared" si="261"/>
        <v>1002308</v>
      </c>
      <c r="GX88" s="1">
        <v>33063.449999999997</v>
      </c>
      <c r="GY88" s="1" t="s">
        <v>398</v>
      </c>
      <c r="GZ88" s="1">
        <v>91610</v>
      </c>
      <c r="HA88" s="1">
        <v>260846</v>
      </c>
      <c r="HB88" s="79">
        <f t="shared" si="241"/>
        <v>3029626</v>
      </c>
      <c r="HC88" s="86" t="str">
        <f t="shared" si="379"/>
        <v>ago21 jul22</v>
      </c>
      <c r="HD88" s="1">
        <v>56980</v>
      </c>
      <c r="HE88" s="79">
        <f t="shared" si="380"/>
        <v>689139.95449000015</v>
      </c>
      <c r="HF88" s="86" t="str">
        <f t="shared" si="381"/>
        <v>ago21 jul22</v>
      </c>
      <c r="HG88" s="83">
        <v>193000</v>
      </c>
      <c r="HH88" s="79">
        <f t="shared" si="242"/>
        <v>2308505</v>
      </c>
      <c r="HI88" s="86" t="str">
        <f t="shared" si="382"/>
        <v>ago21 jul22</v>
      </c>
      <c r="HJ88" s="83">
        <v>83925</v>
      </c>
      <c r="HK88" s="79">
        <f t="shared" si="278"/>
        <v>65843.88</v>
      </c>
      <c r="HL88" s="86" t="str">
        <f t="shared" si="383"/>
        <v>ago21 jul22</v>
      </c>
      <c r="HM88" s="79">
        <f t="shared" si="358"/>
        <v>2374348.88</v>
      </c>
      <c r="HN88" s="87">
        <f t="shared" si="297"/>
        <v>-9.9069348543980862E-3</v>
      </c>
      <c r="HO88" s="1">
        <v>989400000</v>
      </c>
      <c r="HP88" s="79">
        <f t="shared" si="386"/>
        <v>11597.197344647491</v>
      </c>
      <c r="HQ88" s="86" t="str">
        <f t="shared" si="384"/>
        <v>ago21 jul22</v>
      </c>
      <c r="HR88" s="1"/>
      <c r="HS88" s="1"/>
      <c r="HT88" s="1"/>
      <c r="HU88" s="1">
        <v>650000</v>
      </c>
      <c r="HV88" s="1" t="s">
        <v>389</v>
      </c>
      <c r="HW88" s="1">
        <v>1500000</v>
      </c>
      <c r="HX88" s="1" t="s">
        <v>399</v>
      </c>
      <c r="HY88" s="1">
        <v>3850000</v>
      </c>
      <c r="HZ88" s="1" t="s">
        <v>389</v>
      </c>
      <c r="IA88" s="1">
        <f t="shared" si="376"/>
        <v>21570000</v>
      </c>
      <c r="IB88" s="1" t="s">
        <v>389</v>
      </c>
      <c r="IC88" s="1">
        <v>39940000</v>
      </c>
      <c r="ID88" s="1" t="s">
        <v>389</v>
      </c>
      <c r="IE88" s="1">
        <v>800000</v>
      </c>
      <c r="IF88" s="1" t="s">
        <v>389</v>
      </c>
      <c r="IG88" s="1">
        <f t="shared" si="365"/>
        <v>7400000</v>
      </c>
      <c r="IH88" s="1" t="s">
        <v>399</v>
      </c>
      <c r="II88" s="79">
        <f t="shared" si="359"/>
        <v>75060000</v>
      </c>
      <c r="IJ88" s="97">
        <f t="shared" si="308"/>
        <v>1.9040737312717446</v>
      </c>
      <c r="IK88" s="1" t="s">
        <v>389</v>
      </c>
      <c r="IL88" s="97">
        <v>45.75</v>
      </c>
      <c r="IM88" s="7">
        <v>48.03</v>
      </c>
      <c r="IN88" s="97">
        <v>189</v>
      </c>
      <c r="IO88" s="7">
        <v>16.75</v>
      </c>
      <c r="IP88" s="176">
        <f t="shared" si="369"/>
        <v>5.9356067942694777</v>
      </c>
      <c r="IQ88" s="7">
        <v>18</v>
      </c>
      <c r="IR88" s="98">
        <f t="shared" ref="IR88:IU113" si="397">+IR87</f>
        <v>7.01</v>
      </c>
      <c r="IS88" s="98">
        <f t="shared" si="397"/>
        <v>4.3099999999999996</v>
      </c>
      <c r="IT88" s="98">
        <f t="shared" si="397"/>
        <v>13.02</v>
      </c>
      <c r="IU88" s="98">
        <f t="shared" si="397"/>
        <v>1.44</v>
      </c>
      <c r="IV88" s="94">
        <f t="shared" si="360"/>
        <v>18.77</v>
      </c>
      <c r="IW88" s="1"/>
      <c r="IX88" s="1"/>
      <c r="IY88" s="105">
        <v>1.88</v>
      </c>
      <c r="IZ88" s="161">
        <v>0.3</v>
      </c>
      <c r="JA88" s="83">
        <v>2813</v>
      </c>
      <c r="JB88" s="7">
        <v>40.33</v>
      </c>
      <c r="JC88" s="1"/>
      <c r="JD88" s="1"/>
      <c r="JF88" s="2">
        <v>25.470338789999996</v>
      </c>
      <c r="JG88" s="2">
        <v>27.47614467</v>
      </c>
      <c r="JH88" s="2">
        <v>114.85580788999998</v>
      </c>
      <c r="JI88" s="2">
        <v>277.40202591000002</v>
      </c>
      <c r="JJ88" s="2">
        <v>1506.0506618900001</v>
      </c>
      <c r="JK88" s="2">
        <v>94.841677119999986</v>
      </c>
      <c r="JL88" s="2">
        <v>2956.2211988399999</v>
      </c>
      <c r="JM88" s="2">
        <v>81.599618770000006</v>
      </c>
      <c r="JN88" s="2">
        <v>259.80581418999992</v>
      </c>
      <c r="JO88" s="2">
        <v>26.64714219</v>
      </c>
      <c r="JP88" s="2">
        <v>0</v>
      </c>
      <c r="JQ88" s="2">
        <v>0.49211517999999999</v>
      </c>
      <c r="JR88" s="2">
        <v>1.7803756800000001</v>
      </c>
      <c r="JS88" s="2">
        <v>0</v>
      </c>
      <c r="JT88" s="2">
        <v>2.5941990000000002E-2</v>
      </c>
      <c r="JU88" s="2">
        <v>78.75545163000001</v>
      </c>
      <c r="JV88" s="2">
        <v>6.3224566299999996</v>
      </c>
      <c r="JW88" s="2">
        <v>10.49385208</v>
      </c>
      <c r="JX88" s="2">
        <v>40.142925219999995</v>
      </c>
      <c r="JY88" s="2">
        <v>0</v>
      </c>
      <c r="JZ88" s="2">
        <v>7.1294078800000005</v>
      </c>
      <c r="KA88" s="2">
        <v>0.70306007000000004</v>
      </c>
      <c r="KB88" s="2">
        <v>36.275852910000005</v>
      </c>
      <c r="KC88" s="2">
        <v>27.075978119999998</v>
      </c>
      <c r="KD88" s="2">
        <v>7.6485664300000016</v>
      </c>
      <c r="KE88" s="2">
        <v>25.709158449999997</v>
      </c>
      <c r="KF88" s="2">
        <v>52.541029930000001</v>
      </c>
      <c r="KG88" s="2">
        <v>462.76323376000011</v>
      </c>
      <c r="KH88" s="2">
        <v>192.10888658000002</v>
      </c>
      <c r="KI88" s="2">
        <v>19.858191740000002</v>
      </c>
      <c r="KJ88" s="2">
        <v>1.9574107099999998</v>
      </c>
      <c r="KK88" s="171">
        <v>1.0941888799999999</v>
      </c>
      <c r="KL88" s="171">
        <v>1.8151110000000002E-2</v>
      </c>
      <c r="KM88" s="171">
        <v>0.61800074000000005</v>
      </c>
      <c r="KN88" s="171">
        <v>0.97514743000000004</v>
      </c>
      <c r="KO88" s="171">
        <v>1.4457998400000001</v>
      </c>
      <c r="KP88" s="171">
        <v>6.1101999999999997E-2</v>
      </c>
      <c r="KQ88" s="171">
        <v>261.77861790999998</v>
      </c>
      <c r="KR88" s="171">
        <v>0</v>
      </c>
      <c r="KS88" s="171">
        <v>0.26980394000000002</v>
      </c>
      <c r="KT88" s="171">
        <v>0.47927648999999994</v>
      </c>
      <c r="KU88" s="171">
        <v>0.96282131000000004</v>
      </c>
      <c r="KV88" s="171">
        <v>1.0814278700000002</v>
      </c>
      <c r="KW88" s="171">
        <v>0.92342647</v>
      </c>
      <c r="KX88" s="171">
        <v>0</v>
      </c>
      <c r="KY88" s="171">
        <v>0</v>
      </c>
      <c r="KZ88" s="171">
        <v>1.0900325</v>
      </c>
      <c r="LA88" s="171">
        <v>0.57011290000000003</v>
      </c>
      <c r="LB88" s="171">
        <v>0</v>
      </c>
      <c r="LC88" s="171">
        <v>7.3051290000000005E-2</v>
      </c>
      <c r="LD88" s="171">
        <v>0</v>
      </c>
      <c r="LE88" s="171">
        <v>0.39703065999999998</v>
      </c>
      <c r="LF88" s="171">
        <v>0.1993376</v>
      </c>
      <c r="LG88" s="171">
        <v>0</v>
      </c>
      <c r="LH88" s="171">
        <v>3.7131778499999992</v>
      </c>
      <c r="LI88" s="171">
        <v>3.3605493799999997</v>
      </c>
      <c r="LJ88" s="171">
        <v>4.7031800000000006E-2</v>
      </c>
      <c r="LK88" s="171">
        <v>2.4988292100000002</v>
      </c>
      <c r="LL88" s="171">
        <v>5.3105555200000003</v>
      </c>
      <c r="LM88" s="171">
        <v>1.9338399900000003</v>
      </c>
      <c r="LN88" s="171">
        <v>0</v>
      </c>
      <c r="LO88" s="171">
        <v>6.6386870500000015</v>
      </c>
      <c r="LQ88" s="85">
        <f t="shared" si="247"/>
        <v>5195.93512749</v>
      </c>
      <c r="LR88" s="85">
        <f t="shared" si="248"/>
        <v>2.2984328500000002</v>
      </c>
      <c r="LS88" s="85">
        <f t="shared" si="249"/>
        <v>16.816308710000001</v>
      </c>
      <c r="LT88" s="85">
        <f t="shared" si="250"/>
        <v>7.8324679500000007</v>
      </c>
      <c r="LU88" s="85">
        <f t="shared" si="251"/>
        <v>265.08736985999997</v>
      </c>
      <c r="LV88" s="85">
        <f t="shared" si="252"/>
        <v>2.0048543400000001</v>
      </c>
      <c r="LW88" s="85">
        <f t="shared" si="253"/>
        <v>0.57011290000000003</v>
      </c>
      <c r="LX88" s="85">
        <f t="shared" si="254"/>
        <v>0.59636825999999998</v>
      </c>
      <c r="LZ88" s="131">
        <v>187.26</v>
      </c>
      <c r="MA88" s="171">
        <v>137.75</v>
      </c>
      <c r="MB88"/>
      <c r="MC88"/>
      <c r="MD88"/>
      <c r="MF88"/>
      <c r="MG88"/>
      <c r="MH88" s="83">
        <v>327.39</v>
      </c>
      <c r="MI88" s="83">
        <v>107.06</v>
      </c>
      <c r="MJ88" s="83">
        <v>91.32</v>
      </c>
      <c r="MK88"/>
      <c r="ML88" s="83">
        <v>171.06</v>
      </c>
      <c r="MM88" s="83">
        <v>175.3</v>
      </c>
      <c r="MN88" s="83"/>
      <c r="MO88" s="83">
        <v>103.15</v>
      </c>
      <c r="MP88" s="83">
        <v>265.85000000000002</v>
      </c>
      <c r="MQ88" s="83">
        <v>268.36</v>
      </c>
      <c r="MR88"/>
      <c r="MT88" s="83"/>
      <c r="MU88" s="83">
        <v>87.9</v>
      </c>
      <c r="MV88"/>
      <c r="MW88"/>
      <c r="MX88"/>
      <c r="MY88" s="83">
        <v>318.01</v>
      </c>
      <c r="MZ88" s="83">
        <v>775</v>
      </c>
      <c r="NA88" s="83">
        <v>353.12</v>
      </c>
      <c r="NB88" s="83">
        <v>1108.17</v>
      </c>
      <c r="NC88" s="83">
        <v>142.41999999999999</v>
      </c>
      <c r="ND88" s="1">
        <v>1400</v>
      </c>
      <c r="NE88" s="1">
        <v>755.06</v>
      </c>
    </row>
    <row r="89" spans="1:369">
      <c r="A89" s="38">
        <f t="shared" si="334"/>
        <v>44774</v>
      </c>
      <c r="B89" s="36">
        <f t="shared" si="366"/>
        <v>8</v>
      </c>
      <c r="C89" s="36">
        <f t="shared" si="367"/>
        <v>2022</v>
      </c>
      <c r="D89" s="36">
        <f t="shared" si="347"/>
        <v>89</v>
      </c>
      <c r="E89" s="38">
        <f t="shared" si="335"/>
        <v>44774</v>
      </c>
      <c r="F89" s="7">
        <v>141.47999999999999</v>
      </c>
      <c r="G89" s="7">
        <v>911.1</v>
      </c>
      <c r="H89" s="1">
        <f>[2]NACIONALES!$D77</f>
        <v>90238.2</v>
      </c>
      <c r="I89" s="7">
        <v>132</v>
      </c>
      <c r="J89" s="7">
        <v>950</v>
      </c>
      <c r="K89" s="7">
        <v>12.5</v>
      </c>
      <c r="L89" s="7">
        <v>34.200000000000003</v>
      </c>
      <c r="N89" s="5">
        <v>2.75</v>
      </c>
      <c r="O89" s="5">
        <v>2.31</v>
      </c>
      <c r="P89" s="78">
        <f t="shared" si="294"/>
        <v>340.04718000000003</v>
      </c>
      <c r="Q89" s="6">
        <v>3400</v>
      </c>
      <c r="R89" s="79">
        <f t="shared" si="336"/>
        <v>34000</v>
      </c>
      <c r="S89" s="6">
        <v>240</v>
      </c>
      <c r="T89" s="6">
        <v>508</v>
      </c>
      <c r="U89" s="143">
        <v>222.25</v>
      </c>
      <c r="V89" s="143">
        <v>361.56818181818181</v>
      </c>
      <c r="W89">
        <v>282</v>
      </c>
      <c r="X89" s="6">
        <v>283.42272727272729</v>
      </c>
      <c r="Y89" s="79">
        <f t="shared" si="337"/>
        <v>33955.199999999997</v>
      </c>
      <c r="Z89" s="79">
        <f t="shared" si="338"/>
        <v>71871.839999999997</v>
      </c>
      <c r="AA89" s="79">
        <f t="shared" si="339"/>
        <v>31443.929999999997</v>
      </c>
      <c r="AB89" s="79">
        <f t="shared" si="340"/>
        <v>51154.666363636359</v>
      </c>
      <c r="AC89" s="79">
        <f t="shared" si="341"/>
        <v>39897.360000000001</v>
      </c>
      <c r="AD89" s="79">
        <f t="shared" si="342"/>
        <v>40098.647454545455</v>
      </c>
      <c r="AE89" s="79">
        <f t="shared" si="343"/>
        <v>44736.94063636363</v>
      </c>
      <c r="AF89" s="1">
        <v>98257.181818181823</v>
      </c>
      <c r="AG89" s="1">
        <v>46890</v>
      </c>
      <c r="AH89" s="1">
        <v>178180</v>
      </c>
      <c r="AI89" s="5">
        <v>78.4221</v>
      </c>
      <c r="AJ89" s="5">
        <v>55.575800000000001</v>
      </c>
      <c r="AK89" s="5">
        <v>52.671300000000002</v>
      </c>
      <c r="AL89" s="5">
        <v>44.778300000000002</v>
      </c>
      <c r="AM89" s="78">
        <f t="shared" si="344"/>
        <v>62.738528000000009</v>
      </c>
      <c r="AN89" s="7">
        <v>2958.0246913580245</v>
      </c>
      <c r="AO89" s="7">
        <v>1504.1733333333334</v>
      </c>
      <c r="AP89" s="78">
        <f t="shared" si="385"/>
        <v>1504.1733333333334</v>
      </c>
      <c r="AQ89" s="7">
        <v>702.39263803680979</v>
      </c>
      <c r="AR89" s="7">
        <v>1110.5738095238096</v>
      </c>
      <c r="AS89" s="7">
        <v>934.56140350877195</v>
      </c>
      <c r="AT89" s="7">
        <v>1218.0209523809524</v>
      </c>
      <c r="AU89" s="78">
        <f t="shared" si="348"/>
        <v>1087.7187218045112</v>
      </c>
      <c r="AV89" s="7">
        <v>1230.9069767441861</v>
      </c>
      <c r="AW89" s="7">
        <v>2202.2727272727275</v>
      </c>
      <c r="AX89" s="7">
        <v>3059.699090909091</v>
      </c>
      <c r="AY89" s="7">
        <v>1642.49</v>
      </c>
      <c r="AZ89" s="7">
        <v>936.529090909091</v>
      </c>
      <c r="BA89" s="7">
        <v>938.35</v>
      </c>
      <c r="BB89" s="94">
        <f t="shared" si="345"/>
        <v>1715.9064646464649</v>
      </c>
      <c r="BC89" s="68">
        <v>7231</v>
      </c>
      <c r="BD89" s="68">
        <v>4203</v>
      </c>
      <c r="BE89" s="7">
        <v>4200</v>
      </c>
      <c r="BF89" s="7">
        <v>2500</v>
      </c>
      <c r="BG89" s="94">
        <f t="shared" si="349"/>
        <v>4533.5</v>
      </c>
      <c r="BH89" s="7">
        <v>287.83</v>
      </c>
      <c r="BI89" s="7">
        <v>60</v>
      </c>
      <c r="BJ89" s="78">
        <f t="shared" si="350"/>
        <v>347.83</v>
      </c>
      <c r="BK89" s="7">
        <v>317.37200000000001</v>
      </c>
      <c r="BL89" s="7">
        <v>416.11</v>
      </c>
      <c r="BM89" s="94">
        <f t="shared" si="351"/>
        <v>366.74099999999999</v>
      </c>
      <c r="BN89" s="5">
        <v>52.58</v>
      </c>
      <c r="BO89" s="84">
        <v>266.3</v>
      </c>
      <c r="BP89">
        <v>211.77</v>
      </c>
      <c r="BQ89" s="94">
        <f t="shared" si="346"/>
        <v>260.84700000000004</v>
      </c>
      <c r="BR89" s="7">
        <v>210.1</v>
      </c>
      <c r="BS89" s="97">
        <v>700</v>
      </c>
      <c r="BT89" s="7">
        <f>0.96*F89</f>
        <v>135.82079999999999</v>
      </c>
      <c r="BU89" s="79">
        <f t="shared" si="237"/>
        <v>8807.4624000000003</v>
      </c>
      <c r="BV89" s="7">
        <v>319</v>
      </c>
      <c r="BW89" s="7">
        <v>725</v>
      </c>
      <c r="BY89" s="92">
        <f>BY$10*(1+((H89/H$10-1)*costos!$B$5+((I89*F89)/(I$10*F$10)-1)*costos!$E$5+((J89*F89)/((J$10*F$10)-1)*costos!$F$5/3+((K89*F89)/(K$10*F$10)-1)*costos!$F$5/3+((U89*F89)/(U$10*F$10)-1)*costos!$F$5/3+((L89*F89)/(L$10*F$10)-1)*costos!$G$5+((N89*F89)/(N$10*F$10)-1)*costos!$J$5+((V89*F89)/(V$10*F$10)-1)*costos!$K$5)))</f>
        <v>1939.8117953897377</v>
      </c>
      <c r="BZ89" s="92">
        <f>$BZ$10*(1+((H89/$H$10-1)*costos!$B$6+((I89*F89)/($I$10*$F$10)-1)*costos!$E$6+((J89*F89)/(($J$10*$F$10)-1)*costos!$F$6/3+((K89*F89)/($K$10*$F$10)-1)*costos!$F$6/3+((U89*F89)/($U$10*$F$10)-1)*costos!$F$6/3+((L89*F89)/($L$10*$F$10)-1)*costos!$G$6+((Q89*F89)/($Q$10*$F$10)-1)*costos!$J$6+((V89*F89)/($V$10*$F$10)-1)*costos!$K$6)))</f>
        <v>1611.4679755524294</v>
      </c>
      <c r="CA89" s="92">
        <f>CA$10*(1+((H89/H$10-1)*costos!$B$7+((I89*F89)/(I$10*F$10)-1)*costos!$E$7+((J89*F89)/((J$10*F$10)-1)*costos!$F$7/3+((K89*F89)/(K$10*F$10)-1)*costos!$F$7/3+((U89*F89)/(U$10*F$10)-1)*costos!$F$7/3+((L89*F89)/(L$10*F$10)-1)*costos!$G$7+((S89*F89)/(S$10*F$10)-1)*costos!$J$7+((V89*F89)/(V$10*F$10)-1)*costos!$K$7)))</f>
        <v>1727.7897107395017</v>
      </c>
      <c r="CB89" s="92">
        <f>CB$10*(1+((H89/H$10-1)*costos!$B$8+((I89*F89)/(I$10*F$10)-1)*costos!$E$8+((J89*F89)/((J$10*F$10)-1)*costos!$F$8/3+((K89*F89)/(K$10*F$10)-1)*costos!$F$8/3+((U89*F89)/(U$10*F$10)-1)*costos!$F$8/3+((L89*F89)/(L$10*F$10)-1)*costos!$G$8+((T89*F89)/(T$10*F$10)-1)*costos!$J$8+((V89*F89)/(V$10*F$10)-1)*costos!$K$8)))</f>
        <v>1696.7716353224901</v>
      </c>
      <c r="CC89" s="92">
        <f>CC$10*(1+((H89/H$10-1)*costos!$B$9+((I89*F89)/(I$10*F$10)-1)*costos!$E$9+((J89*F89)/((J$10*F$10)-1)*costos!$F$9/3+((K89*F89)/(K$10*F$10)-1)*costos!$F$9/3+((U89*F89)/(U$10*F$10)-1)*costos!$F$9/3+((L89*F89)/(L$10*F$10)-1)*costos!$G$9+((U89*F89)/(U$10*F$10)-1)*costos!$J$9+((V89*F89)/(V$10*F$10)-1)*costos!$K$9)))</f>
        <v>1615.8414066575683</v>
      </c>
      <c r="CD89" s="92">
        <f>CD$10*(1+((H89/H$10-1)*costos!$B$11+((I89*F89)/(I$10*F$10)-1)*costos!$E$11+((J89*F89)/((J$10*F$10)-1)*costos!$F$11/3+((K89*F89)/(K$10*F$10)-1)*costos!$F$11/3+((U89*F89)/(U$10*F$10)-1)*costos!$F$11/3+((L89*F89)/(L$10*F$10)-1)*costos!$G$11+((V89*F89)/(V$10*F$10)-1)*costos!$J$11+((V89*F89)/(V$10*F$10)-1)*costos!$K$11)))</f>
        <v>1672.955335915173</v>
      </c>
      <c r="CE89" s="92">
        <f>CE$10*(1+((H89/H$10-1)*costos!$B$12+((I89*F89)/(I$10*F$10)-1)*costos!$E$12+((J89*F89)/((J$10*F$10)-1)*costos!$F$12/3+((K89*F89)/(K$10*F$10)-1)*costos!$F$12/3+((U89*F89)/(U$10*F$10)-1)*costos!$F$12/3+((L89*F89)/(L$10*F$10)-1)*costos!$G$12+((W89*F89)/(W$10*F$10)-1)*costos!$J$12+((V89*F89)/(V$10*F$10)-1)*costos!$K$12)))</f>
        <v>1732.5527602348302</v>
      </c>
      <c r="CF89" s="92">
        <f>CF$10*(1+((H89/H$10-1)*costos!$B$13+((I89*F89)/(I$10*F$10)-1)*costos!$E$13+((J89*F89)/((J$10*F$10)-1)*costos!$F$13/3+((K89*F89)/(K$10*F$10)-1)*costos!$F$13/3+((U89*F89)/(U$10*F$10)-1)*costos!$F$13/3+((L89*F89)/(L$10*F$10)-1)*costos!$G$13+((X89*F89)/(X$10*F$10)-1)*costos!$J$13+((V89*F89)/(V$10*F$10)-1)*costos!$K$13)))</f>
        <v>1785.3274911359827</v>
      </c>
      <c r="CG89" s="92">
        <f t="shared" si="388"/>
        <v>1705.2063900009243</v>
      </c>
      <c r="CH89" s="92">
        <f>CH$10*(1+((H89/H$10-1)*costos!$B$10+((I89*F89)/(I$10*F$10)-1)*costos!$E$10+((J89*F89)/((J$10*F$10)-1)*costos!$F$10/3+((K89*F89)/(K$10*F$10)-1)*costos!$F$10/3+((U89*F89)/(U$10*F$10)-1)*costos!$F$10/3+((L89*F89)/(L$10*F$10)-1)*costos!$G$10+((AF89)/(AF$10)-1)*costos!$J$10+((V89*F89)/(V$10*F$10)-1)*costos!$K$10)))</f>
        <v>1641.4294218318812</v>
      </c>
      <c r="CI89" s="92">
        <f>CI$10*(1+((H89/H$10-1)*costos!$B$15+((I89*F89)/(I$10*F$10)-1)*costos!$E$15+((J89*F89)/((J$10*F$10)-1)*costos!$F$15/3+((K89*F89)/(K$10*F$10)-1)*costos!$F$15/3+((U89*F89)/(U$10*F$10)-1)*costos!$F$15/3+((L89*F89)/(L$10*F$10)-1)*costos!$G$15+((AV89)/(AV$10)-1)*costos!$J$15+((V89*F89)/(V$10*F$10)-1)*costos!$K$15)))</f>
        <v>1854.3405369722223</v>
      </c>
      <c r="CJ89" s="92">
        <f>CJ$10*(1+((H89/H$10-1)*costos!$B$16+((I89*F89)/(I$10*F$10)-1)*costos!$E$16+((J89*F89)/((J$10*F$10)-1)*costos!$F$16/3+((K89*F89)/(K$10*F$10)-1)*costos!$F$16/3+((U89*F89)/(U$10*F$10)-1)*costos!$F$16/3+((L89*F89)/(L$10*F$10)-1)*costos!$G$16+((AW89)/(AW$10)-1)*costos!$J$16+((V89*F89)/(V$10*F$10)-1)*costos!$K$16)))</f>
        <v>1390.9953583809486</v>
      </c>
      <c r="CK89" s="92">
        <f>CK$10*(1+((H89/H$10-1)*costos!$B$17+((I89*F89)/(I$10*F$10)-1)*costos!$E$17+((J89*F89)/((J$10*F$10)-1)*costos!$F$17/3+((K89*F89)/(K$10*F$10)-1)*costos!$F$17/3+((U89*F89)/(U$10*F$10)-1)*costos!$F$17/3+((L89*F89)/(L$10*F$10)-1)*costos!$G$17+((AX89)/(AX$10)-1)*costos!$J$17+((V89*F89)/(V$10*F$10)-1)*costos!$K$17)))</f>
        <v>2138.1042653858822</v>
      </c>
      <c r="CL89" s="92">
        <f>CL$10*(1+((H89/H$10-1)*costos!$B$18+((I89*F89)/(I$10*F$10)-1)*costos!$E$18+((J89*F89)/((J$10*F$10)-1)*costos!$F$18/3+((K89*F89)/(K$10*F$10)-1)*costos!$F$18/3+((U89*F89)/(U$10*F$10)-1)*costos!$F$18/3+((L89*F89)/(L$10*F$10)-1)*costos!$G$18+((AY89)/(AY$10)-1)*costos!$J$18+((V89*F89)/(V$10*F$10)-1)*costos!$K$18)))</f>
        <v>1734.461724386922</v>
      </c>
      <c r="CM89" s="92">
        <f>CM$10*(1+((H89/H$10-1)*costos!$B$19+((I89*F89)/(I$10*F$10)-1)*costos!$E$19+((J89*F89)/((J$10*F$10)-1)*costos!$F$19/3+((K89*F89)/(K$10*F$10)-1)*costos!$F$19/3+((U89*F89)/(U$10*F$10)-1)*costos!$F$19/3+((L89*F89)/(L$10*F$10)-1)*costos!$G$19+((AZ89)/(AZ$10)-1)*costos!$J$19+((V89*F89)/(V$10*F$10)-1)*costos!$K$19)))</f>
        <v>1292.6657416688868</v>
      </c>
      <c r="CN89" s="92">
        <f>CN$10*(1+((H89/H$10-1)*costos!$B$20+((I89*F89)/(I$10*F$10)-1)*costos!$E$20+((J89*F89)/((J$10*F$10)-1)*costos!$F$20/3+((K89*F89)/(K$10*F$10)-1)*costos!$F$20/3+((U89*F89)/(U$10*F$10)-1)*costos!$F$20/3+((L89*F89)/(L$10*F$10)-1)*costos!$G$20+((BA89)/(BA$10)-1)*costos!$J$20+((V89*F89)/(V$10*F$10)-1)*costos!$K$20)))</f>
        <v>1393.1567203413899</v>
      </c>
      <c r="CO89" s="92">
        <f t="shared" si="389"/>
        <v>1639.59711294577</v>
      </c>
      <c r="CP89" s="92">
        <f>CP$10*(1+((H89/H$10-1)*costos!$B$22+((I89*F89)/(I$10*F$10)-1)*costos!$E$22+((J89*F89)/((J$10*F$10)-1)*costos!$F$22/3+((K89*F89)/(K$10*F$10)-1)*costos!$F$22/3+((U89*F89)/(U$10*F$10)-1)*costos!$F$22/3+((L89*F89)/(L$10*F$10)-1)*costos!$G$22+(((AVERAGE(AI89:AL89))/((AVERAGE(AI$10:AL$10))-1)*costos!$J$22+((V89*F89)/(V$10*F$10)-1)*costos!$K$22)))))</f>
        <v>1764.0305541231219</v>
      </c>
      <c r="CQ89" s="92">
        <f>CQ$10*(1+((H89/H$10-1)*costos!$B$23+((I89*F89)/(I$10*F$10)-1)*costos!$E$23+((J89*F89)/((J$10*F$10)-1)*costos!$F$23/3+((K89*F89)/(K$10*F$10)-1)*costos!$F$23/3+((U89*F89)/(U$10*F$10)-1)*costos!$F$23/3+((L89*F89)/(L$10*F$10)-1)*costos!$G$23+((AN89)/(AN$10)-1)*costos!$J$23+((V89*F89)/(V$10*F$10)-1)*costos!$K$23)))</f>
        <v>1439.4168285367134</v>
      </c>
      <c r="CR89" s="92">
        <f>CR$10*(1+((H89/H$10-1)*costos!$B$24+((I89*F89)/(I$10*F$10)-1)*costos!$E$24+((J89*F89)/((J$10*F$10)-1)*costos!$F$24/3+((K89*F89)/(K$10*F$10)-1)*costos!$F$24/3+((U89*F89)/(U$10*F$10)-1)*costos!$F$24/3+((L89*F89)/(L$10*F$10)-1)*costos!$G$24+((AO89)/(AO$10)-1)*costos!$J$24+((V89*F89)/(V$10*F$10)-1)*costos!$K$24)))</f>
        <v>1416.6587309329368</v>
      </c>
      <c r="CS89" s="92">
        <f t="shared" si="352"/>
        <v>1428.0377797348251</v>
      </c>
      <c r="CT89" s="92">
        <f>CT$10*(1+((H89/H$10-1)*costos!$B$25+((I89*F89)/(I$10*F$10)-1)*costos!$E$25+((J89*F89)/((J$10*F$10)-1)*costos!$F$25/3+((K89*F89)/(K$10*F$10)-1)*costos!$F$25/3+((U89*F89)/(U$10*F$10)-1)*costos!$F$25/3+((L89*F89)/(L$10*F$10)-1)*costos!$G$25+((AQ89)/(AQ$10)-1)*costos!$J$25+((V89*F89)/(V$10*F$10)-1)*costos!$K$25)))</f>
        <v>1394.022815976077</v>
      </c>
      <c r="CU89" s="92">
        <f>CU$10*(1+((H89/H$10-1)*costos!$B$26+((I89*F89)/(I$10*F$10)-1)*costos!$E$26+((J89*F89)/((J$10*F$10)-1)*costos!$F$26/3+((K89*F89)/(K$10*F$10)-1)*costos!$F$26/3+((U89*F89)/(U$10*F$10)-1)*costos!$F$26/3+((L89*F89)/(L$10*F$10)-1)*costos!$G$26+((AR89)/(AR$10)-1)*costos!$J$26+((V89*F89)/(V$10*F$10)-1)*costos!$K$26)))</f>
        <v>1540.2754428599781</v>
      </c>
      <c r="CV89" s="92">
        <f>CV$10*(1+((H89/H$10-1)*costos!$B$27+((I89*F89)/(I$10*F$10)-1)*costos!$E$27+((J89*F89)/((J$10*F$10)-1)*costos!$F$27/3+((K89*F89)/(K$10*F$10)-1)*costos!$F$27/3+((U89*F89)/(U$10*F$10)-1)*costos!$F$27/3+((L89*F89)/(L$10*F$10)-1)*costos!$G$27+((AS89)/(AS$10)-1)*costos!$J$27+((V89*F89)/(V$10*F$10)-1)*costos!$K$27)))</f>
        <v>1527.1793395573968</v>
      </c>
      <c r="CW89" s="92">
        <f>CW$10*(1+((H89/H$10-1)*costos!$B$28+((I89*F89)/(I$10*F$10)-1)*costos!$E$28+((J89*F89)/((J$10*F$10)-1)*costos!$F$28/3+((K89*F89)/(K$10*F$10)-1)*costos!$F$28/3+((U89*F89)/(U$10*F$10)-1)*costos!$F$28/3+((L89*F89)/(L$10*F$10)-1)*costos!$G$28+((AS89)/(AS$10)-1)*costos!$J$28+((V89*F89)/(V$10*F$10)-1)*costos!$K$28)))</f>
        <v>1527.1793395573968</v>
      </c>
      <c r="CX89" s="92">
        <f t="shared" si="390"/>
        <v>1531.544707324924</v>
      </c>
      <c r="CY89" s="92">
        <f>CY$10*(1+((H89/H$10-1)*costos!$B$32+((I89*F89)/(I$10*F$10)-1)*costos!$E$32+((J89*F89)/((J$10*F$10)-1)*costos!$F$32/3+((K89*F89)/(K$10*F$10)-1)*costos!$F$32/3+((U89*F89)/(U$10*F$10)-1)*costos!$F$32/3+((L89*F89)/(L$10*F$10)-1)*costos!$G$32+((AG89)/(AG$10)-1)*costos!$J$32+((V89*F89)/(V$10*F$10)-1)*costos!$K$32)))</f>
        <v>1319.0276782679316</v>
      </c>
      <c r="CZ89" s="69">
        <f>CZ$10*(1+((H89/H$10-1)*costos!$B$31+((I89*F89)/(I$10*F$10)-1)*costos!$E$30+((J89*F89)/((J$10*F$10)-1)*costos!$F$30/3+((K89*F89)/(K$10*F$10)-1)*costos!$F$30/3+((U89*F89)/(U$10*F$10)-1)*costos!$F$30/3+((L89*F89)/(L$10*F$10)-1)*costos!$G$30+((BG89)/(BG$10)-1)*costos!$J$30+((V89*F89)/(V$10*F$10)-1)*costos!$K$30)))</f>
        <v>1775.517992199708</v>
      </c>
      <c r="DA89" s="69">
        <f>DA$10*(1+((H89/H$10-1)*costos!$B$31+((I89*F89)/(I$10*F$10)-1)*costos!$E$31+((J89*F89)/((J$10*F$10)-1)*costos!$F$31/3+((K89*F89)/(K$10*F$10)-1)*costos!$F$31/3+((U89*F89)/(U$10*F$10)-1)*costos!$F$31/3+((L89*F89)/(L$10*F$10)-1)*costos!$G$31+((BJ89)/(BJ$10)-1)*costos!$J$31+((V89*F89)/(V$10*F$10)-1)*costos!$K$31)))</f>
        <v>1430.410974064841</v>
      </c>
      <c r="DB89" s="69">
        <f>DB$10*(1+((H89/H$10-1)*costos!$B$36+((I89*F89)/(I$10*F$10)-1)*costos!$E$36+((J89*F89)/((J$10*F$10)-1)*costos!$F$36/3+((K89*F89)/(K$10*F$10)-1)*costos!$F$36/3+((U89*F89)/(U$10*F$10)-1)*costos!$F$36/3+((L89*F89)/(L$10*F$10)-1)*costos!$G$36+((BK89)/(BK$10)-1)*costos!$J$36+((V89*F89)/(V$10*F$10)-1)*costos!$K$36)))</f>
        <v>1641.2962036189533</v>
      </c>
      <c r="DC89" s="69">
        <f>DC$10*(1+((H89/H$10-1)*costos!$B$37+((I89*F89)/(I$10*F$10)-1)*costos!$E$37+((U89*F89)/(U$10*F$10)-1)*costos!$F$37+((L89*F89)/(L$10*F$10)-1)*costos!$G$37+((BN89)/(BN$10)-1)*costos!$J$37+((V89*F89)/(V$10*F$10)-1)*costos!$K$37))</f>
        <v>1497.2529084009821</v>
      </c>
      <c r="DD89" s="69">
        <f>DD$10*(1+((H89/H$10-1)*costos!$B$39+((I89*F89)/(I$10*F$10)-1)*costos!$E$39+((U89*F89)/(U$10*F$10)-1)*costos!$F$39+((L89*F89)/(L$10*F$10)-1)*costos!$G$39+((BR89)/(BR$10)-1)*costos!$J$39+((V89*F89)/(V$10*F$10)-1)*costos!$K$39))</f>
        <v>1463.3599008013075</v>
      </c>
      <c r="DE89" s="69">
        <f>DD$10*(1+((H89/H$10-1)*costos!$B$35+((I89*F89)/(I$10*F$10)-1)*costos!$E$35+((U89*F89)/(U$10*F$10)-1)*costos!$F$35+((L89*F89)/(L$10*F$10)-1)*costos!$G$35+((BR89)/(BR$10)-1)*costos!$J$35+((V89*F89)/(V$10*F$10)-1)*costos!$K$35))</f>
        <v>1292.9832383683433</v>
      </c>
      <c r="DF89" s="69">
        <f>DF$10*(1+((H89/H$10-1)*costos!$B$40+((I89*F89)/(I$10*F$10)-1)*costos!$E$40+((U89*F89)/(U$10*F$10)-1)*costos!$F$40+((L89*F89)/(L$10*F$10)-1)*costos!$G$40+((BP89)/(BP$10)-1)*costos!$J$40+((V89*F89)/(V$10*F$10)-1)*costos!$K$40))</f>
        <v>1513.9113731152324</v>
      </c>
      <c r="DG89" s="92">
        <f t="shared" si="391"/>
        <v>1403.4473057417879</v>
      </c>
      <c r="DH89" s="69">
        <f>DH$10*(1+((H89/H$10-1)*costos!$B$34+((I89*F89)/(I$10*F$10)-1)*costos!$E$34+((J89*F89)/((J$10*F$10)-1)*costos!$F$34/3+((K89*F89)/(K$10*F$10)-1)*costos!$F$34/3+((U89*F89)/(U$10*F$10)-1)*costos!$F$34/3+((L89*F89)/(L$10*F$10)-1)*costos!$G$34+((BV89)/(BV$10)-1)*costos!$J$34+((V89*F89)/(V$10*F$10)-1)*costos!$K$34)))</f>
        <v>1506.7077041108976</v>
      </c>
      <c r="DI89" s="69">
        <f>DI$10*(1+((H89/H$10-1)*costos!$B$38+((I89*F89)/(I$10*F$10)-1)*costos!$E$38+((J89*F89)/((J$10*F$10)-1)*costos!$F$38/3+((K89*F89)/(K$10*F$10)-1)*costos!$F$38/3+((U89*F89)/(U$10*F$10)-1)*costos!$F$38/3+((L89*F89)/(L$10*F$10)-1)*costos!$G$38+((BU89)/(BU$10)-1)*costos!$J$38+((V89*F89)/(V$10*F$10)-1)*costos!$K$38)))</f>
        <v>1343.2678492299697</v>
      </c>
      <c r="DK89" s="1">
        <v>500000</v>
      </c>
      <c r="DL89" s="1" t="s">
        <v>389</v>
      </c>
      <c r="DM89" s="1">
        <v>200000</v>
      </c>
      <c r="DN89" s="1" t="s">
        <v>399</v>
      </c>
      <c r="DO89" s="1">
        <v>1750000</v>
      </c>
      <c r="DP89" s="1" t="s">
        <v>399</v>
      </c>
      <c r="DQ89" s="1">
        <v>2200000</v>
      </c>
      <c r="DR89" s="1" t="s">
        <v>399</v>
      </c>
      <c r="DS89" s="1">
        <v>7440000</v>
      </c>
      <c r="DT89" s="1" t="s">
        <v>389</v>
      </c>
      <c r="DU89" s="1">
        <v>16100000</v>
      </c>
      <c r="DV89" s="1" t="s">
        <v>389</v>
      </c>
      <c r="DW89" s="1">
        <v>950000</v>
      </c>
      <c r="DX89" s="1" t="s">
        <v>389</v>
      </c>
      <c r="DY89" s="1">
        <v>5907000</v>
      </c>
      <c r="DZ89" s="1" t="s">
        <v>399</v>
      </c>
      <c r="EA89" s="79">
        <f t="shared" si="353"/>
        <v>34347000</v>
      </c>
      <c r="EB89" s="1">
        <v>395000</v>
      </c>
      <c r="EC89" s="1" t="s">
        <v>389</v>
      </c>
      <c r="ED89" s="1">
        <v>209277</v>
      </c>
      <c r="EE89" s="143">
        <v>2022</v>
      </c>
      <c r="EF89" s="1">
        <v>207047</v>
      </c>
      <c r="EG89" s="6">
        <v>2022</v>
      </c>
      <c r="EH89" s="1">
        <v>53416435</v>
      </c>
      <c r="EI89" s="6">
        <v>2022</v>
      </c>
      <c r="EJ89" s="1">
        <v>5477107</v>
      </c>
      <c r="EK89" s="6">
        <v>2022</v>
      </c>
      <c r="EL89" s="1">
        <v>12461845</v>
      </c>
      <c r="EM89" s="6">
        <v>2022</v>
      </c>
      <c r="EN89" s="1">
        <v>3169981</v>
      </c>
      <c r="EO89" s="6">
        <v>2021</v>
      </c>
      <c r="EP89" s="82">
        <f t="shared" si="392"/>
        <v>6552</v>
      </c>
      <c r="EQ89" s="83">
        <v>3500000</v>
      </c>
      <c r="ER89" s="1">
        <f t="shared" si="189"/>
        <v>74633.333333333328</v>
      </c>
      <c r="ES89" s="1"/>
      <c r="ET89" s="83">
        <f t="shared" si="393"/>
        <v>17456</v>
      </c>
      <c r="EU89" s="83">
        <f t="shared" si="393"/>
        <v>19445</v>
      </c>
      <c r="EV89" s="83">
        <f t="shared" si="393"/>
        <v>9018</v>
      </c>
      <c r="EW89" s="83">
        <f t="shared" si="393"/>
        <v>17386</v>
      </c>
      <c r="EX89" s="79">
        <f t="shared" si="387"/>
        <v>63305</v>
      </c>
      <c r="EY89" s="83">
        <f t="shared" si="394"/>
        <v>20049</v>
      </c>
      <c r="EZ89" s="83">
        <f t="shared" si="370"/>
        <v>33638</v>
      </c>
      <c r="FA89" s="83">
        <f t="shared" si="371"/>
        <v>19948</v>
      </c>
      <c r="FB89" s="83">
        <f t="shared" si="372"/>
        <v>15432</v>
      </c>
      <c r="FC89" s="79">
        <f t="shared" si="307"/>
        <v>35380</v>
      </c>
      <c r="FD89" s="83">
        <f t="shared" si="395"/>
        <v>56856.849999999991</v>
      </c>
      <c r="FE89" s="1"/>
      <c r="FF89" s="1">
        <v>1100000</v>
      </c>
      <c r="FG89" s="1" t="s">
        <v>389</v>
      </c>
      <c r="FH89" s="1">
        <v>1200000</v>
      </c>
      <c r="FI89" s="1" t="s">
        <v>389</v>
      </c>
      <c r="FJ89" s="1">
        <v>5200000</v>
      </c>
      <c r="FK89" s="1" t="s">
        <v>389</v>
      </c>
      <c r="FL89" s="1">
        <v>4000000</v>
      </c>
      <c r="FM89" s="1" t="s">
        <v>389</v>
      </c>
      <c r="FN89" s="1">
        <v>52000000</v>
      </c>
      <c r="FO89" s="1" t="s">
        <v>389</v>
      </c>
      <c r="FP89" s="1">
        <v>44000000</v>
      </c>
      <c r="FQ89" s="1" t="s">
        <v>389</v>
      </c>
      <c r="FR89" s="1">
        <v>2800000</v>
      </c>
      <c r="FS89" s="1" t="s">
        <v>389</v>
      </c>
      <c r="FT89" s="1">
        <v>22150000</v>
      </c>
      <c r="FU89" s="1" t="s">
        <v>389</v>
      </c>
      <c r="FV89" s="79">
        <f t="shared" si="355"/>
        <v>130150000</v>
      </c>
      <c r="FW89" s="1">
        <v>1350000</v>
      </c>
      <c r="FX89" s="1" t="s">
        <v>389</v>
      </c>
      <c r="FY89" s="1">
        <v>168552</v>
      </c>
      <c r="FZ89" s="79">
        <f t="shared" si="377"/>
        <v>830979</v>
      </c>
      <c r="GA89" s="86" t="str">
        <f t="shared" si="378"/>
        <v>sept21 ago22</v>
      </c>
      <c r="GB89" s="1">
        <v>19368031</v>
      </c>
      <c r="GC89" s="6">
        <v>2022</v>
      </c>
      <c r="GD89" s="83">
        <f t="shared" si="396"/>
        <v>2141365</v>
      </c>
      <c r="GE89" s="83">
        <f t="shared" si="396"/>
        <v>369608</v>
      </c>
      <c r="GF89" s="83">
        <v>1038163</v>
      </c>
      <c r="GG89" s="83">
        <f t="shared" si="268"/>
        <v>94581</v>
      </c>
      <c r="GH89" s="79">
        <f>GE89+GF89+GG89</f>
        <v>1502352</v>
      </c>
      <c r="GI89" s="82">
        <f t="shared" si="373"/>
        <v>1302556</v>
      </c>
      <c r="GJ89" s="83">
        <f t="shared" si="373"/>
        <v>665558</v>
      </c>
      <c r="GK89" s="83">
        <f t="shared" si="373"/>
        <v>1393000</v>
      </c>
      <c r="GL89" s="83">
        <f t="shared" si="373"/>
        <v>300028.90000000002</v>
      </c>
      <c r="GM89" s="83">
        <f t="shared" si="373"/>
        <v>259304.56</v>
      </c>
      <c r="GN89" s="79">
        <f t="shared" si="357"/>
        <v>2617891.46</v>
      </c>
      <c r="GO89" s="83">
        <f t="shared" si="374"/>
        <v>200935</v>
      </c>
      <c r="GP89" s="83">
        <f t="shared" si="374"/>
        <v>73046</v>
      </c>
      <c r="GQ89" s="1">
        <v>28617.25</v>
      </c>
      <c r="GR89" s="82">
        <v>42288</v>
      </c>
      <c r="GS89" s="79">
        <f t="shared" si="192"/>
        <v>43146.517500000002</v>
      </c>
      <c r="GT89" s="83">
        <f t="shared" si="375"/>
        <v>2410599</v>
      </c>
      <c r="GU89" s="1">
        <v>26652</v>
      </c>
      <c r="GV89" s="1">
        <v>28139</v>
      </c>
      <c r="GW89" s="79">
        <f t="shared" si="261"/>
        <v>1001580</v>
      </c>
      <c r="GX89" s="1">
        <v>33063.449999999997</v>
      </c>
      <c r="GY89" s="1" t="s">
        <v>398</v>
      </c>
      <c r="GZ89" s="1">
        <v>91610</v>
      </c>
      <c r="HA89" s="82">
        <v>289967</v>
      </c>
      <c r="HB89" s="79">
        <f t="shared" si="241"/>
        <v>3052593</v>
      </c>
      <c r="HC89" s="86" t="str">
        <f t="shared" si="379"/>
        <v>sept21 ago22</v>
      </c>
      <c r="HD89" s="82">
        <v>57705</v>
      </c>
      <c r="HE89" s="79">
        <f t="shared" si="380"/>
        <v>687489.95449000015</v>
      </c>
      <c r="HF89" s="86" t="str">
        <f t="shared" si="381"/>
        <v>sept21 ago22</v>
      </c>
      <c r="HG89" s="1">
        <v>206000</v>
      </c>
      <c r="HH89" s="79">
        <f t="shared" si="242"/>
        <v>2316709</v>
      </c>
      <c r="HI89" s="86" t="str">
        <f t="shared" si="382"/>
        <v>sept21 ago22</v>
      </c>
      <c r="HJ89" s="83">
        <v>94247</v>
      </c>
      <c r="HK89" s="79">
        <f t="shared" si="278"/>
        <v>66234.48</v>
      </c>
      <c r="HL89" s="86" t="str">
        <f t="shared" si="383"/>
        <v>sept21 ago22</v>
      </c>
      <c r="HM89" s="79">
        <f t="shared" si="358"/>
        <v>2382943.48</v>
      </c>
      <c r="HN89" s="87">
        <f t="shared" si="297"/>
        <v>6.5646286668175069E-3</v>
      </c>
      <c r="HO89" s="1">
        <v>1062000000</v>
      </c>
      <c r="HP89" s="79">
        <f t="shared" si="386"/>
        <v>11604.12351257115</v>
      </c>
      <c r="HQ89" s="86" t="str">
        <f t="shared" si="384"/>
        <v>sept21 ago22</v>
      </c>
      <c r="HR89" s="1"/>
      <c r="HS89" s="1"/>
      <c r="HT89" s="1"/>
      <c r="HU89" s="1">
        <v>650000</v>
      </c>
      <c r="HV89" s="1" t="s">
        <v>389</v>
      </c>
      <c r="HW89" s="1">
        <v>1500000</v>
      </c>
      <c r="HX89" s="1" t="s">
        <v>399</v>
      </c>
      <c r="HY89" s="1">
        <v>3850000</v>
      </c>
      <c r="HZ89" s="1" t="s">
        <v>389</v>
      </c>
      <c r="IA89" s="1">
        <f t="shared" si="376"/>
        <v>21570000</v>
      </c>
      <c r="IB89" s="1" t="s">
        <v>389</v>
      </c>
      <c r="IC89" s="1">
        <v>39940000</v>
      </c>
      <c r="ID89" s="1" t="s">
        <v>389</v>
      </c>
      <c r="IE89" s="1">
        <v>800000</v>
      </c>
      <c r="IF89" s="1" t="s">
        <v>389</v>
      </c>
      <c r="IG89" s="1">
        <f t="shared" si="365"/>
        <v>7400000</v>
      </c>
      <c r="IH89" s="1" t="s">
        <v>399</v>
      </c>
      <c r="II89" s="79">
        <f t="shared" si="359"/>
        <v>75060000</v>
      </c>
      <c r="IJ89" s="97">
        <f t="shared" si="308"/>
        <v>1.9040737312717446</v>
      </c>
      <c r="IK89" s="1" t="s">
        <v>389</v>
      </c>
      <c r="IL89" s="97">
        <v>47.03</v>
      </c>
      <c r="IM89" s="7">
        <v>48.17</v>
      </c>
      <c r="IN89" s="97">
        <v>189</v>
      </c>
      <c r="IO89" s="7">
        <v>16.84</v>
      </c>
      <c r="IP89" s="176">
        <f t="shared" si="369"/>
        <v>5.9356067942694777</v>
      </c>
      <c r="IQ89" s="7">
        <v>18</v>
      </c>
      <c r="IR89" s="98">
        <f t="shared" si="397"/>
        <v>7.01</v>
      </c>
      <c r="IS89" s="98">
        <f t="shared" si="397"/>
        <v>4.3099999999999996</v>
      </c>
      <c r="IT89" s="98">
        <f t="shared" si="397"/>
        <v>13.02</v>
      </c>
      <c r="IU89" s="98">
        <f t="shared" si="397"/>
        <v>1.44</v>
      </c>
      <c r="IV89" s="94">
        <f t="shared" si="360"/>
        <v>18.77</v>
      </c>
      <c r="IW89" s="1"/>
      <c r="IX89" s="1"/>
      <c r="IY89" s="105">
        <v>1.88</v>
      </c>
      <c r="IZ89" s="161">
        <v>0.3</v>
      </c>
      <c r="JA89" s="83">
        <v>2813</v>
      </c>
      <c r="JB89" s="7">
        <v>40.33</v>
      </c>
      <c r="JC89" s="1"/>
      <c r="JD89" s="1"/>
      <c r="JF89" s="2">
        <v>23.329000269999998</v>
      </c>
      <c r="JG89" s="2">
        <v>19.108820979999997</v>
      </c>
      <c r="JH89" s="2">
        <v>169.11540915</v>
      </c>
      <c r="JI89" s="2">
        <v>296.48310724999999</v>
      </c>
      <c r="JJ89" s="2">
        <v>1240.42297536</v>
      </c>
      <c r="JK89" s="2">
        <v>127.03001287000001</v>
      </c>
      <c r="JL89" s="2">
        <v>2621.1182807500004</v>
      </c>
      <c r="JM89" s="2">
        <v>63.320832899999999</v>
      </c>
      <c r="JN89" s="2">
        <v>222.06458826999994</v>
      </c>
      <c r="JO89" s="2">
        <v>29.175893349999999</v>
      </c>
      <c r="JP89" s="2">
        <v>0</v>
      </c>
      <c r="JQ89" s="2">
        <v>0.09</v>
      </c>
      <c r="JR89" s="2">
        <v>2.4180452200000002</v>
      </c>
      <c r="JS89" s="2">
        <v>0</v>
      </c>
      <c r="JT89" s="2">
        <v>2.5000000000000001E-3</v>
      </c>
      <c r="JU89" s="2">
        <v>110.27898059000003</v>
      </c>
      <c r="JV89" s="2">
        <v>7.1786638400000014</v>
      </c>
      <c r="JW89" s="2">
        <v>11.40793408</v>
      </c>
      <c r="JX89" s="2">
        <v>28.613354270000002</v>
      </c>
      <c r="JY89" s="2">
        <v>0</v>
      </c>
      <c r="JZ89" s="2">
        <v>10.484147370000001</v>
      </c>
      <c r="KA89" s="2">
        <v>0.43</v>
      </c>
      <c r="KB89" s="2">
        <v>25.822628249999998</v>
      </c>
      <c r="KC89" s="2">
        <v>50.373202669999998</v>
      </c>
      <c r="KD89" s="2">
        <v>9.5575243299999997</v>
      </c>
      <c r="KE89" s="2">
        <v>28.34616364</v>
      </c>
      <c r="KF89" s="2">
        <v>63.168661010000001</v>
      </c>
      <c r="KG89" s="2">
        <v>444.66007973000006</v>
      </c>
      <c r="KH89" s="2">
        <v>146.24437125</v>
      </c>
      <c r="KI89" s="2">
        <v>17.39120926</v>
      </c>
      <c r="KJ89" s="2">
        <v>1.1669562900000001</v>
      </c>
      <c r="KK89" s="171">
        <v>11.783992419999999</v>
      </c>
      <c r="KL89" s="171">
        <v>0.13118235</v>
      </c>
      <c r="KM89" s="171">
        <v>0.72074908999999998</v>
      </c>
      <c r="KN89" s="171">
        <v>0.80737526000000004</v>
      </c>
      <c r="KO89" s="171">
        <v>0.89051382000000012</v>
      </c>
      <c r="KP89" s="171">
        <v>1.9724599999999998E-2</v>
      </c>
      <c r="KQ89" s="171">
        <v>224.5477277</v>
      </c>
      <c r="KR89" s="171">
        <v>0.24020184000000003</v>
      </c>
      <c r="KS89" s="171">
        <v>0.21892792</v>
      </c>
      <c r="KT89" s="171">
        <v>0.66552862999999995</v>
      </c>
      <c r="KU89" s="171">
        <v>0.90545438</v>
      </c>
      <c r="KV89" s="171">
        <v>3.3594815800000002</v>
      </c>
      <c r="KW89" s="171">
        <v>2.0751915899999998</v>
      </c>
      <c r="KX89" s="171">
        <v>0</v>
      </c>
      <c r="KY89" s="171">
        <v>7.8E-2</v>
      </c>
      <c r="KZ89" s="171">
        <v>1.8506322900000001</v>
      </c>
      <c r="LA89" s="171">
        <v>0.72330915000000007</v>
      </c>
      <c r="LB89" s="171">
        <v>0</v>
      </c>
      <c r="LC89" s="171">
        <v>0.16657689000000001</v>
      </c>
      <c r="LD89" s="171">
        <v>0</v>
      </c>
      <c r="LE89" s="171">
        <v>5.6926980000000002E-2</v>
      </c>
      <c r="LF89" s="171">
        <v>0</v>
      </c>
      <c r="LG89" s="171">
        <v>24.868573239999996</v>
      </c>
      <c r="LH89" s="171">
        <v>5.2497219499999996</v>
      </c>
      <c r="LI89" s="171">
        <v>5.4787536300000008</v>
      </c>
      <c r="LJ89" s="171">
        <v>0</v>
      </c>
      <c r="LK89" s="171">
        <v>3.76265019</v>
      </c>
      <c r="LL89" s="171">
        <v>13.413963769999999</v>
      </c>
      <c r="LM89" s="171">
        <v>4.1067614599999995</v>
      </c>
      <c r="LN89" s="171">
        <v>0.17288594000000002</v>
      </c>
      <c r="LO89" s="171">
        <v>4.9460771399999999</v>
      </c>
      <c r="LQ89" s="85">
        <f t="shared" si="247"/>
        <v>4612.5251936800005</v>
      </c>
      <c r="LR89" s="85">
        <f t="shared" si="248"/>
        <v>2.51054522</v>
      </c>
      <c r="LS89" s="85">
        <f t="shared" si="249"/>
        <v>18.586597920000003</v>
      </c>
      <c r="LT89" s="85">
        <f t="shared" si="250"/>
        <v>10.91414737</v>
      </c>
      <c r="LU89" s="85">
        <f t="shared" si="251"/>
        <v>227.42549563</v>
      </c>
      <c r="LV89" s="85">
        <f t="shared" si="252"/>
        <v>5.5126731700000002</v>
      </c>
      <c r="LW89" s="85">
        <f t="shared" si="253"/>
        <v>0.72330915000000007</v>
      </c>
      <c r="LX89" s="85">
        <f t="shared" si="254"/>
        <v>5.6926980000000002E-2</v>
      </c>
      <c r="LZ89" s="131">
        <v>215.9</v>
      </c>
      <c r="MA89" s="171">
        <v>143.83000000000001</v>
      </c>
      <c r="MB89"/>
      <c r="MC89"/>
      <c r="MD89"/>
      <c r="MF89"/>
      <c r="MG89"/>
      <c r="MH89" s="83">
        <v>343.1</v>
      </c>
      <c r="MI89" s="83">
        <v>114.41</v>
      </c>
      <c r="MJ89" s="83">
        <v>120.84</v>
      </c>
      <c r="MK89"/>
      <c r="ML89" s="83">
        <v>273.74</v>
      </c>
      <c r="MM89" s="83">
        <v>209.39</v>
      </c>
      <c r="MN89" s="83"/>
      <c r="MO89" s="83">
        <v>117.83</v>
      </c>
      <c r="MP89" s="83">
        <v>280.89</v>
      </c>
      <c r="MQ89" s="83">
        <v>290.95999999999998</v>
      </c>
      <c r="MR89"/>
      <c r="MT89" s="83"/>
      <c r="MU89" s="83">
        <v>98.34</v>
      </c>
      <c r="MV89"/>
      <c r="MW89"/>
      <c r="MX89"/>
      <c r="MY89" s="83">
        <v>331.84</v>
      </c>
      <c r="MZ89" s="83">
        <v>811</v>
      </c>
      <c r="NA89" s="83">
        <v>365.8</v>
      </c>
      <c r="NB89" s="83">
        <v>1113.06</v>
      </c>
      <c r="NC89" s="83">
        <v>153.88999999999999</v>
      </c>
      <c r="ND89" s="1">
        <v>1390</v>
      </c>
      <c r="NE89" s="1">
        <v>821.93</v>
      </c>
    </row>
    <row r="90" spans="1:369">
      <c r="A90" s="38">
        <f t="shared" si="334"/>
        <v>44805</v>
      </c>
      <c r="B90" s="36">
        <f t="shared" si="366"/>
        <v>9</v>
      </c>
      <c r="C90" s="36">
        <f t="shared" si="367"/>
        <v>2022</v>
      </c>
      <c r="D90" s="36">
        <f t="shared" si="347"/>
        <v>90</v>
      </c>
      <c r="E90" s="38">
        <f t="shared" si="335"/>
        <v>44805</v>
      </c>
      <c r="F90" s="7">
        <v>149.62</v>
      </c>
      <c r="G90" s="7">
        <v>967.3</v>
      </c>
      <c r="H90" s="1">
        <f>[2]NACIONALES!$D78</f>
        <v>90238.2</v>
      </c>
      <c r="I90" s="7">
        <v>120</v>
      </c>
      <c r="J90" s="7">
        <v>950</v>
      </c>
      <c r="K90" s="7">
        <v>12.5</v>
      </c>
      <c r="L90" s="7">
        <v>32.700000000000003</v>
      </c>
      <c r="N90" s="5">
        <v>2.68</v>
      </c>
      <c r="O90" s="5">
        <v>2.23</v>
      </c>
      <c r="P90" s="78">
        <f t="shared" si="294"/>
        <v>348.95124500000003</v>
      </c>
      <c r="Q90" s="6">
        <v>3600</v>
      </c>
      <c r="R90" s="79">
        <f t="shared" si="336"/>
        <v>36000</v>
      </c>
      <c r="S90" s="144">
        <f>+S89</f>
        <v>240</v>
      </c>
      <c r="T90" s="181">
        <v>435</v>
      </c>
      <c r="U90" s="143">
        <v>245.35714285714286</v>
      </c>
      <c r="V90" s="143">
        <v>370.18571428571437</v>
      </c>
      <c r="W90">
        <v>286</v>
      </c>
      <c r="X90" s="6">
        <v>307.7285714285714</v>
      </c>
      <c r="Y90" s="79">
        <f t="shared" si="337"/>
        <v>35908.800000000003</v>
      </c>
      <c r="Z90" s="79">
        <f t="shared" si="338"/>
        <v>65084.700000000004</v>
      </c>
      <c r="AA90" s="79">
        <f t="shared" si="339"/>
        <v>36710.335714285713</v>
      </c>
      <c r="AB90" s="79">
        <f t="shared" si="340"/>
        <v>55387.186571428589</v>
      </c>
      <c r="AC90" s="79">
        <f t="shared" si="341"/>
        <v>42791.32</v>
      </c>
      <c r="AD90" s="79">
        <f t="shared" si="342"/>
        <v>46042.348857142853</v>
      </c>
      <c r="AE90" s="79">
        <f t="shared" si="343"/>
        <v>46987.448523809529</v>
      </c>
      <c r="AF90" s="1">
        <v>104656.28571428571</v>
      </c>
      <c r="AG90" s="1">
        <v>46890</v>
      </c>
      <c r="AH90" s="1">
        <v>178180</v>
      </c>
      <c r="AI90" s="5">
        <v>79.05</v>
      </c>
      <c r="AJ90" s="5">
        <v>62.366199999999999</v>
      </c>
      <c r="AK90" s="5">
        <v>61.744500000000002</v>
      </c>
      <c r="AL90">
        <v>40.85</v>
      </c>
      <c r="AM90" s="78">
        <f t="shared" si="344"/>
        <v>64.715217999999993</v>
      </c>
      <c r="AN90" s="7">
        <v>3703.5820895522388</v>
      </c>
      <c r="AO90" s="7">
        <v>1631.4285714285713</v>
      </c>
      <c r="AP90" s="78">
        <f t="shared" si="385"/>
        <v>1631.4285714285713</v>
      </c>
      <c r="AQ90" s="7">
        <v>820.70175438596493</v>
      </c>
      <c r="AR90" s="7">
        <v>1221.9714285714283</v>
      </c>
      <c r="AS90" s="7">
        <v>1111.5942028985507</v>
      </c>
      <c r="AT90" s="7">
        <v>1155.0047619047618</v>
      </c>
      <c r="AU90" s="78">
        <f t="shared" si="348"/>
        <v>1162.8567977915802</v>
      </c>
      <c r="AV90" s="7">
        <v>1521.034090909091</v>
      </c>
      <c r="AW90" s="7">
        <v>3080.9523809523807</v>
      </c>
      <c r="AX90" s="7">
        <v>3929.7476190476191</v>
      </c>
      <c r="AY90" s="7">
        <v>2283.6371308016878</v>
      </c>
      <c r="AZ90" s="7">
        <v>651.65047619047618</v>
      </c>
      <c r="BA90" s="7">
        <v>1038.7619047619048</v>
      </c>
      <c r="BB90" s="94">
        <f t="shared" si="345"/>
        <v>2057.4850495613155</v>
      </c>
      <c r="BC90" s="68">
        <v>7231</v>
      </c>
      <c r="BD90" s="68">
        <v>4908</v>
      </c>
      <c r="BE90" s="7">
        <v>4200</v>
      </c>
      <c r="BF90" s="7">
        <v>2500</v>
      </c>
      <c r="BG90" s="94">
        <f t="shared" si="349"/>
        <v>4709.75</v>
      </c>
      <c r="BH90" s="7">
        <v>287.83</v>
      </c>
      <c r="BI90" s="7">
        <v>60</v>
      </c>
      <c r="BJ90" s="78">
        <f t="shared" si="350"/>
        <v>347.83</v>
      </c>
      <c r="BK90" s="7">
        <v>311.92200000000003</v>
      </c>
      <c r="BL90" s="7">
        <v>405.74</v>
      </c>
      <c r="BM90" s="94">
        <f t="shared" si="351"/>
        <v>358.83100000000002</v>
      </c>
      <c r="BN90" s="5">
        <v>55.5</v>
      </c>
      <c r="BO90" s="84">
        <v>275.8</v>
      </c>
      <c r="BP90">
        <v>215.04</v>
      </c>
      <c r="BQ90" s="94">
        <f t="shared" si="346"/>
        <v>269.72400000000005</v>
      </c>
      <c r="BR90" s="7">
        <v>230.94</v>
      </c>
      <c r="BS90" s="97">
        <v>750</v>
      </c>
      <c r="BT90" s="7">
        <f>0.84*F90</f>
        <v>125.6808</v>
      </c>
      <c r="BU90" s="79">
        <f t="shared" si="237"/>
        <v>9377.0424000000003</v>
      </c>
      <c r="BV90" s="97">
        <v>324</v>
      </c>
      <c r="BW90" s="97">
        <v>675</v>
      </c>
      <c r="BY90" s="92">
        <f>BY$10*(1+((H90/H$10-1)*costos!$B$5+((I90*F90)/(I$10*F$10)-1)*costos!$E$5+((J90*F90)/((J$10*F$10)-1)*costos!$F$5/3+((K90*F90)/(K$10*F$10)-1)*costos!$F$5/3+((U90*F90)/(U$10*F$10)-1)*costos!$F$5/3+((L90*F90)/(L$10*F$10)-1)*costos!$G$5+((N90*F90)/(N$10*F$10)-1)*costos!$J$5+((V90*F90)/(V$10*F$10)-1)*costos!$K$5)))</f>
        <v>2020.3379787668616</v>
      </c>
      <c r="BZ90" s="92">
        <f>$BZ$10*(1+((H90/$H$10-1)*costos!$B$6+((I90*F90)/($I$10*$F$10)-1)*costos!$E$6+((J90*F90)/(($J$10*$F$10)-1)*costos!$F$6/3+((K90*F90)/($K$10*$F$10)-1)*costos!$F$6/3+((U90*F90)/($U$10*$F$10)-1)*costos!$F$6/3+((L90*F90)/($L$10*$F$10)-1)*costos!$G$6+((Q90*F90)/($Q$10*$F$10)-1)*costos!$J$6+((V90*F90)/($V$10*$F$10)-1)*costos!$K$6)))</f>
        <v>1640.8743632532176</v>
      </c>
      <c r="CA90" s="92">
        <f>CA$10*(1+((H90/H$10-1)*costos!$B$7+((I90*F90)/(I$10*F$10)-1)*costos!$E$7+((J90*F90)/((J$10*F$10)-1)*costos!$F$7/3+((K90*F90)/(K$10*F$10)-1)*costos!$F$7/3+((U90*F90)/(U$10*F$10)-1)*costos!$F$7/3+((L90*F90)/(L$10*F$10)-1)*costos!$G$7+((S90*F90)/(S$10*F$10)-1)*costos!$J$7+((V90*F90)/(V$10*F$10)-1)*costos!$K$7)))</f>
        <v>1826.2268757483355</v>
      </c>
      <c r="CB90" s="92">
        <f>CB$10*(1+((H90/H$10-1)*costos!$B$8+((I90*F90)/(I$10*F$10)-1)*costos!$E$8+((J90*F90)/((J$10*F$10)-1)*costos!$F$8/3+((K90*F90)/(K$10*F$10)-1)*costos!$F$8/3+((U90*F90)/(U$10*F$10)-1)*costos!$F$8/3+((L90*F90)/(L$10*F$10)-1)*costos!$G$8+((T90*F90)/(T$10*F$10)-1)*costos!$J$8+((V90*F90)/(V$10*F$10)-1)*costos!$K$8)))</f>
        <v>1710.5490955887192</v>
      </c>
      <c r="CC90" s="92">
        <f>CC$10*(1+((H90/H$10-1)*costos!$B$9+((I90*F90)/(I$10*F$10)-1)*costos!$E$9+((J90*F90)/((J$10*F$10)-1)*costos!$F$9/3+((K90*F90)/(K$10*F$10)-1)*costos!$F$9/3+((U90*F90)/(U$10*F$10)-1)*costos!$F$9/3+((L90*F90)/(L$10*F$10)-1)*costos!$G$9+((U90*F90)/(U$10*F$10)-1)*costos!$J$9+((V90*F90)/(V$10*F$10)-1)*costos!$K$9)))</f>
        <v>1757.8425568297387</v>
      </c>
      <c r="CD90" s="92">
        <f>CD$10*(1+((H90/H$10-1)*costos!$B$11+((I90*F90)/(I$10*F$10)-1)*costos!$E$11+((J90*F90)/((J$10*F$10)-1)*costos!$F$11/3+((K90*F90)/(K$10*F$10)-1)*costos!$F$11/3+((U90*F90)/(U$10*F$10)-1)*costos!$F$11/3+((L90*F90)/(L$10*F$10)-1)*costos!$G$11+((V90*F90)/(V$10*F$10)-1)*costos!$J$11+((V90*F90)/(V$10*F$10)-1)*costos!$K$11)))</f>
        <v>1784.4656853737877</v>
      </c>
      <c r="CE90" s="92">
        <f>CE$10*(1+((H90/H$10-1)*costos!$B$12+((I90*F90)/(I$10*F$10)-1)*costos!$E$12+((J90*F90)/((J$10*F$10)-1)*costos!$F$12/3+((K90*F90)/(K$10*F$10)-1)*costos!$F$12/3+((U90*F90)/(U$10*F$10)-1)*costos!$F$12/3+((L90*F90)/(L$10*F$10)-1)*costos!$G$12+((W90*F90)/(W$10*F$10)-1)*costos!$J$12+((V90*F90)/(V$10*F$10)-1)*costos!$K$12)))</f>
        <v>1829.3219462792208</v>
      </c>
      <c r="CF90" s="92">
        <f>CF$10*(1+((H90/H$10-1)*costos!$B$13+((I90*F90)/(I$10*F$10)-1)*costos!$E$13+((J90*F90)/((J$10*F$10)-1)*costos!$F$13/3+((K90*F90)/(K$10*F$10)-1)*costos!$F$13/3+((U90*F90)/(U$10*F$10)-1)*costos!$F$13/3+((L90*F90)/(L$10*F$10)-1)*costos!$G$13+((X90*F90)/(X$10*F$10)-1)*costos!$J$13+((V90*F90)/(V$10*F$10)-1)*costos!$K$13)))</f>
        <v>1919.8856678575808</v>
      </c>
      <c r="CG90" s="92">
        <f t="shared" si="388"/>
        <v>1804.7153046128972</v>
      </c>
      <c r="CH90" s="92">
        <f>CH$10*(1+((H90/H$10-1)*costos!$B$10+((I90*F90)/(I$10*F$10)-1)*costos!$E$10+((J90*F90)/((J$10*F$10)-1)*costos!$F$10/3+((K90*F90)/(K$10*F$10)-1)*costos!$F$10/3+((U90*F90)/(U$10*F$10)-1)*costos!$F$10/3+((L90*F90)/(L$10*F$10)-1)*costos!$G$10+((AF90)/(AF$10)-1)*costos!$J$10+((V90*F90)/(V$10*F$10)-1)*costos!$K$10)))</f>
        <v>1739.738282278975</v>
      </c>
      <c r="CI90" s="92">
        <f>CI$10*(1+((H90/H$10-1)*costos!$B$15+((I90*F90)/(I$10*F$10)-1)*costos!$E$15+((J90*F90)/((J$10*F$10)-1)*costos!$F$15/3+((K90*F90)/(K$10*F$10)-1)*costos!$F$15/3+((U90*F90)/(U$10*F$10)-1)*costos!$F$15/3+((L90*F90)/(L$10*F$10)-1)*costos!$G$15+((AV90)/(AV$10)-1)*costos!$J$15+((V90*F90)/(V$10*F$10)-1)*costos!$K$15)))</f>
        <v>1983.3451326339748</v>
      </c>
      <c r="CJ90" s="92">
        <f>CJ$10*(1+((H90/H$10-1)*costos!$B$16+((I90*F90)/(I$10*F$10)-1)*costos!$E$16+((J90*F90)/((J$10*F$10)-1)*costos!$F$16/3+((K90*F90)/(K$10*F$10)-1)*costos!$F$16/3+((U90*F90)/(U$10*F$10)-1)*costos!$F$16/3+((L90*F90)/(L$10*F$10)-1)*costos!$G$16+((AW90)/(AW$10)-1)*costos!$J$16+((V90*F90)/(V$10*F$10)-1)*costos!$K$16)))</f>
        <v>1489.0637294152991</v>
      </c>
      <c r="CK90" s="92">
        <f>CK$10*(1+((H90/H$10-1)*costos!$B$17+((I90*F90)/(I$10*F$10)-1)*costos!$E$17+((J90*F90)/((J$10*F$10)-1)*costos!$F$17/3+((K90*F90)/(K$10*F$10)-1)*costos!$F$17/3+((U90*F90)/(U$10*F$10)-1)*costos!$F$17/3+((L90*F90)/(L$10*F$10)-1)*costos!$G$17+((AX90)/(AX$10)-1)*costos!$J$17+((V90*F90)/(V$10*F$10)-1)*costos!$K$17)))</f>
        <v>2405.2091794834973</v>
      </c>
      <c r="CL90" s="92">
        <f>CL$10*(1+((H90/H$10-1)*costos!$B$18+((I90*F90)/(I$10*F$10)-1)*costos!$E$18+((J90*F90)/((J$10*F$10)-1)*costos!$F$18/3+((K90*F90)/(K$10*F$10)-1)*costos!$F$18/3+((U90*F90)/(U$10*F$10)-1)*costos!$F$18/3+((L90*F90)/(L$10*F$10)-1)*costos!$G$18+((AY90)/(AY$10)-1)*costos!$J$18+((V90*F90)/(V$10*F$10)-1)*costos!$K$18)))</f>
        <v>1945.3537730213334</v>
      </c>
      <c r="CM90" s="92">
        <f>CM$10*(1+((H90/H$10-1)*costos!$B$19+((I90*F90)/(I$10*F$10)-1)*costos!$E$19+((J90*F90)/((J$10*F$10)-1)*costos!$F$19/3+((K90*F90)/(K$10*F$10)-1)*costos!$F$19/3+((U90*F90)/(U$10*F$10)-1)*costos!$F$19/3+((L90*F90)/(L$10*F$10)-1)*costos!$G$19+((AZ90)/(AZ$10)-1)*costos!$J$19+((V90*F90)/(V$10*F$10)-1)*costos!$K$19)))</f>
        <v>1252.7367975489519</v>
      </c>
      <c r="CN90" s="92">
        <f>CN$10*(1+((H90/H$10-1)*costos!$B$20+((I90*F90)/(I$10*F$10)-1)*costos!$E$20+((J90*F90)/((J$10*F$10)-1)*costos!$F$20/3+((K90*F90)/(K$10*F$10)-1)*costos!$F$20/3+((U90*F90)/(U$10*F$10)-1)*costos!$F$20/3+((L90*F90)/(L$10*F$10)-1)*costos!$G$20+((BA90)/(BA$10)-1)*costos!$J$20+((V90*F90)/(V$10*F$10)-1)*costos!$K$20)))</f>
        <v>1445.9013898299747</v>
      </c>
      <c r="CO90" s="92">
        <f t="shared" si="389"/>
        <v>1762.3002849709392</v>
      </c>
      <c r="CP90" s="92">
        <f>CP$10*(1+((H90/H$10-1)*costos!$B$22+((I90*F90)/(I$10*F$10)-1)*costos!$E$22+((J90*F90)/((J$10*F$10)-1)*costos!$F$22/3+((K90*F90)/(K$10*F$10)-1)*costos!$F$22/3+((U90*F90)/(U$10*F$10)-1)*costos!$F$22/3+((L90*F90)/(L$10*F$10)-1)*costos!$G$22+(((AVERAGE(AI90:AL90))/((AVERAGE(AI$10:AL$10))-1)*costos!$J$22+((V90*F90)/(V$10*F$10)-1)*costos!$K$22)))))</f>
        <v>1808.895552133476</v>
      </c>
      <c r="CQ90" s="92">
        <f>CQ$10*(1+((H90/H$10-1)*costos!$B$23+((I90*F90)/(I$10*F$10)-1)*costos!$E$23+((J90*F90)/((J$10*F$10)-1)*costos!$F$23/3+((K90*F90)/(K$10*F$10)-1)*costos!$F$23/3+((U90*F90)/(U$10*F$10)-1)*costos!$F$23/3+((L90*F90)/(L$10*F$10)-1)*costos!$G$23+((AN90)/(AN$10)-1)*costos!$J$23+((V90*F90)/(V$10*F$10)-1)*costos!$K$23)))</f>
        <v>1512.5993766188965</v>
      </c>
      <c r="CR90" s="92">
        <f>CR$10*(1+((H90/H$10-1)*costos!$B$24+((I90*F90)/(I$10*F$10)-1)*costos!$E$24+((J90*F90)/((J$10*F$10)-1)*costos!$F$24/3+((K90*F90)/(K$10*F$10)-1)*costos!$F$24/3+((U90*F90)/(U$10*F$10)-1)*costos!$F$24/3+((L90*F90)/(L$10*F$10)-1)*costos!$G$24+((AO90)/(AO$10)-1)*costos!$J$24+((V90*F90)/(V$10*F$10)-1)*costos!$K$24)))</f>
        <v>1462.9259900011991</v>
      </c>
      <c r="CS90" s="92">
        <f t="shared" si="352"/>
        <v>1487.7626833100478</v>
      </c>
      <c r="CT90" s="92">
        <f>CT$10*(1+((H90/H$10-1)*costos!$B$25+((I90*F90)/(I$10*F$10)-1)*costos!$E$25+((J90*F90)/((J$10*F$10)-1)*costos!$F$25/3+((K90*F90)/(K$10*F$10)-1)*costos!$F$25/3+((U90*F90)/(U$10*F$10)-1)*costos!$F$25/3+((L90*F90)/(L$10*F$10)-1)*costos!$G$25+((AQ90)/(AQ$10)-1)*costos!$J$25+((V90*F90)/(V$10*F$10)-1)*costos!$K$25)))</f>
        <v>1438.609368953069</v>
      </c>
      <c r="CU90" s="92">
        <f>CU$10*(1+((H90/H$10-1)*costos!$B$26+((I90*F90)/(I$10*F$10)-1)*costos!$E$26+((J90*F90)/((J$10*F$10)-1)*costos!$F$26/3+((K90*F90)/(K$10*F$10)-1)*costos!$F$26/3+((U90*F90)/(U$10*F$10)-1)*costos!$F$26/3+((L90*F90)/(L$10*F$10)-1)*costos!$G$26+((AR90)/(AR$10)-1)*costos!$J$26+((V90*F90)/(V$10*F$10)-1)*costos!$K$26)))</f>
        <v>1602.0410370398395</v>
      </c>
      <c r="CV90" s="92">
        <f>CV$10*(1+((H90/H$10-1)*costos!$B$27+((I90*F90)/(I$10*F$10)-1)*costos!$E$27+((J90*F90)/((J$10*F$10)-1)*costos!$F$27/3+((K90*F90)/(K$10*F$10)-1)*costos!$F$27/3+((U90*F90)/(U$10*F$10)-1)*costos!$F$27/3+((L90*F90)/(L$10*F$10)-1)*costos!$G$27+((AS90)/(AS$10)-1)*costos!$J$27+((V90*F90)/(V$10*F$10)-1)*costos!$K$27)))</f>
        <v>1593.2073757508103</v>
      </c>
      <c r="CW90" s="92">
        <f>CW$10*(1+((H90/H$10-1)*costos!$B$28+((I90*F90)/(I$10*F$10)-1)*costos!$E$28+((J90*F90)/((J$10*F$10)-1)*costos!$F$28/3+((K90*F90)/(K$10*F$10)-1)*costos!$F$28/3+((U90*F90)/(U$10*F$10)-1)*costos!$F$28/3+((L90*F90)/(L$10*F$10)-1)*costos!$G$28+((AS90)/(AS$10)-1)*costos!$J$28+((V90*F90)/(V$10*F$10)-1)*costos!$K$28)))</f>
        <v>1593.2073757508103</v>
      </c>
      <c r="CX90" s="92">
        <f t="shared" si="390"/>
        <v>1596.1519295138203</v>
      </c>
      <c r="CY90" s="92">
        <f>CY$10*(1+((H90/H$10-1)*costos!$B$32+((I90*F90)/(I$10*F$10)-1)*costos!$E$32+((J90*F90)/((J$10*F$10)-1)*costos!$F$32/3+((K90*F90)/(K$10*F$10)-1)*costos!$F$32/3+((U90*F90)/(U$10*F$10)-1)*costos!$F$32/3+((L90*F90)/(L$10*F$10)-1)*costos!$G$32+((AG90)/(AG$10)-1)*costos!$J$32+((V90*F90)/(V$10*F$10)-1)*costos!$K$32)))</f>
        <v>1337.2925333288688</v>
      </c>
      <c r="CZ90" s="69">
        <f>CZ$10*(1+((H90/H$10-1)*costos!$B$31+((I90*F90)/(I$10*F$10)-1)*costos!$E$30+((J90*F90)/((J$10*F$10)-1)*costos!$F$30/3+((K90*F90)/(K$10*F$10)-1)*costos!$F$30/3+((U90*F90)/(U$10*F$10)-1)*costos!$F$30/3+((L90*F90)/(L$10*F$10)-1)*costos!$G$30+((BG90)/(BG$10)-1)*costos!$J$30+((V90*F90)/(V$10*F$10)-1)*costos!$K$30)))</f>
        <v>1797.7706074599312</v>
      </c>
      <c r="DA90" s="69">
        <f>DA$10*(1+((H90/H$10-1)*costos!$B$31+((I90*F90)/(I$10*F$10)-1)*costos!$E$31+((J90*F90)/((J$10*F$10)-1)*costos!$F$31/3+((K90*F90)/(K$10*F$10)-1)*costos!$F$31/3+((U90*F90)/(U$10*F$10)-1)*costos!$F$31/3+((L90*F90)/(L$10*F$10)-1)*costos!$G$31+((BJ90)/(BJ$10)-1)*costos!$J$31+((V90*F90)/(V$10*F$10)-1)*costos!$K$31)))</f>
        <v>1458.4907882563148</v>
      </c>
      <c r="DB90" s="69">
        <f>DB$10*(1+((H90/H$10-1)*costos!$B$36+((I90*F90)/(I$10*F$10)-1)*costos!$E$36+((J90*F90)/((J$10*F$10)-1)*costos!$F$36/3+((K90*F90)/(K$10*F$10)-1)*costos!$F$36/3+((U90*F90)/(U$10*F$10)-1)*costos!$F$36/3+((L90*F90)/(L$10*F$10)-1)*costos!$G$36+((BK90)/(BK$10)-1)*costos!$J$36+((V90*F90)/(V$10*F$10)-1)*costos!$K$36)))</f>
        <v>1699.0185027232976</v>
      </c>
      <c r="DC90" s="69">
        <f>DC$10*(1+((H90/H$10-1)*costos!$B$37+((I90*F90)/(I$10*F$10)-1)*costos!$E$37+((U90*F90)/(U$10*F$10)-1)*costos!$F$37+((L90*F90)/(L$10*F$10)-1)*costos!$G$37+((BN90)/(BN$10)-1)*costos!$J$37+((V90*F90)/(V$10*F$10)-1)*costos!$K$37))</f>
        <v>1663.0396708380733</v>
      </c>
      <c r="DD90" s="69">
        <f>DD$10*(1+((H90/H$10-1)*costos!$B$39+((I90*F90)/(I$10*F$10)-1)*costos!$E$39+((U90*F90)/(U$10*F$10)-1)*costos!$F$39+((L90*F90)/(L$10*F$10)-1)*costos!$G$39+((BR90)/(BR$10)-1)*costos!$J$39+((V90*F90)/(V$10*F$10)-1)*costos!$K$39))</f>
        <v>1636.9109877063572</v>
      </c>
      <c r="DE90" s="69">
        <f>DD$10*(1+((H90/H$10-1)*costos!$B$35+((I90*F90)/(I$10*F$10)-1)*costos!$E$35+((U90*F90)/(U$10*F$10)-1)*costos!$F$35+((L90*F90)/(L$10*F$10)-1)*costos!$G$35+((BR90)/(BR$10)-1)*costos!$J$35+((V90*F90)/(V$10*F$10)-1)*costos!$K$35))</f>
        <v>1468.0036758312378</v>
      </c>
      <c r="DF90" s="69">
        <f>DF$10*(1+((H90/H$10-1)*costos!$B$40+((I90*F90)/(I$10*F$10)-1)*costos!$E$40+((U90*F90)/(U$10*F$10)-1)*costos!$F$40+((L90*F90)/(L$10*F$10)-1)*costos!$G$40+((BP90)/(BP$10)-1)*costos!$J$40+((V90*F90)/(V$10*F$10)-1)*costos!$K$40))</f>
        <v>1716.2213358808413</v>
      </c>
      <c r="DG90" s="92">
        <f t="shared" si="391"/>
        <v>1592.1125058560397</v>
      </c>
      <c r="DH90" s="69">
        <f>DH$10*(1+((H90/H$10-1)*costos!$B$34+((I90*F90)/(I$10*F$10)-1)*costos!$E$34+((J90*F90)/((J$10*F$10)-1)*costos!$F$34/3+((K90*F90)/(K$10*F$10)-1)*costos!$F$34/3+((U90*F90)/(U$10*F$10)-1)*costos!$F$34/3+((L90*F90)/(L$10*F$10)-1)*costos!$G$34+((BV90)/(BV$10)-1)*costos!$J$34+((V90*F90)/(V$10*F$10)-1)*costos!$K$34)))</f>
        <v>1545.8894027455765</v>
      </c>
      <c r="DI90" s="69">
        <f>DI$10*(1+((H90/H$10-1)*costos!$B$38+((I90*F90)/(I$10*F$10)-1)*costos!$E$38+((J90*F90)/((J$10*F$10)-1)*costos!$F$38/3+((K90*F90)/(K$10*F$10)-1)*costos!$F$38/3+((U90*F90)/(U$10*F$10)-1)*costos!$F$38/3+((L90*F90)/(L$10*F$10)-1)*costos!$G$38+((BU90)/(BU$10)-1)*costos!$J$38+((V90*F90)/(V$10*F$10)-1)*costos!$K$38)))</f>
        <v>1375.6399700554327</v>
      </c>
      <c r="DK90" s="1">
        <v>500000</v>
      </c>
      <c r="DL90" s="1" t="s">
        <v>389</v>
      </c>
      <c r="DM90" s="1">
        <v>200000</v>
      </c>
      <c r="DN90" s="1" t="s">
        <v>399</v>
      </c>
      <c r="DO90" s="1">
        <v>1750000</v>
      </c>
      <c r="DP90" s="1" t="s">
        <v>399</v>
      </c>
      <c r="DQ90" s="1">
        <v>2200000</v>
      </c>
      <c r="DR90" s="1" t="s">
        <v>399</v>
      </c>
      <c r="DS90" s="1">
        <v>7500000</v>
      </c>
      <c r="DT90" s="83" t="s">
        <v>399</v>
      </c>
      <c r="DU90" s="1">
        <v>16100000</v>
      </c>
      <c r="DV90" s="1" t="s">
        <v>389</v>
      </c>
      <c r="DW90" s="1">
        <v>950000</v>
      </c>
      <c r="DX90" s="1" t="s">
        <v>389</v>
      </c>
      <c r="DY90" s="1">
        <v>5907000</v>
      </c>
      <c r="DZ90" s="1" t="s">
        <v>399</v>
      </c>
      <c r="EA90" s="79">
        <f>+DY90+DW90+DU90+DS91+DQ90+DO90</f>
        <v>34207000</v>
      </c>
      <c r="EB90" s="1">
        <v>373795</v>
      </c>
      <c r="EC90" s="1" t="s">
        <v>399</v>
      </c>
      <c r="ED90" s="1">
        <v>209277</v>
      </c>
      <c r="EE90" s="143">
        <v>2022</v>
      </c>
      <c r="EF90" s="1">
        <v>207047</v>
      </c>
      <c r="EG90" s="6">
        <v>2022</v>
      </c>
      <c r="EH90" s="1">
        <v>53416435</v>
      </c>
      <c r="EI90" s="6">
        <v>2022</v>
      </c>
      <c r="EJ90" s="1">
        <v>5477107</v>
      </c>
      <c r="EK90" s="6">
        <v>2022</v>
      </c>
      <c r="EL90" s="1">
        <v>12461845</v>
      </c>
      <c r="EM90" s="6">
        <v>2022</v>
      </c>
      <c r="EN90" s="1">
        <v>3169981</v>
      </c>
      <c r="EO90" s="6">
        <v>2021</v>
      </c>
      <c r="EP90" s="82">
        <f t="shared" si="392"/>
        <v>6552</v>
      </c>
      <c r="EQ90" s="83">
        <v>3500000</v>
      </c>
      <c r="ER90" s="1">
        <f t="shared" si="189"/>
        <v>74633.333333333328</v>
      </c>
      <c r="ES90" s="1"/>
      <c r="ET90" s="83">
        <f t="shared" si="393"/>
        <v>17456</v>
      </c>
      <c r="EU90" s="83">
        <f t="shared" si="393"/>
        <v>19445</v>
      </c>
      <c r="EV90" s="83">
        <f t="shared" si="393"/>
        <v>9018</v>
      </c>
      <c r="EW90" s="83">
        <f t="shared" si="393"/>
        <v>17386</v>
      </c>
      <c r="EX90" s="79">
        <f t="shared" si="387"/>
        <v>63305</v>
      </c>
      <c r="EY90" s="83">
        <f t="shared" si="394"/>
        <v>20049</v>
      </c>
      <c r="EZ90" s="83">
        <f t="shared" si="370"/>
        <v>33638</v>
      </c>
      <c r="FA90" s="83">
        <f t="shared" si="371"/>
        <v>19948</v>
      </c>
      <c r="FB90" s="83">
        <f t="shared" si="372"/>
        <v>15432</v>
      </c>
      <c r="FC90" s="79">
        <f t="shared" si="307"/>
        <v>35380</v>
      </c>
      <c r="FD90" s="83">
        <f t="shared" si="395"/>
        <v>56856.849999999991</v>
      </c>
      <c r="FE90" s="1"/>
      <c r="FF90" s="1">
        <v>1100000</v>
      </c>
      <c r="FG90" s="1" t="s">
        <v>389</v>
      </c>
      <c r="FH90" s="1">
        <v>1200000</v>
      </c>
      <c r="FI90" s="1" t="s">
        <v>389</v>
      </c>
      <c r="FJ90" s="1">
        <v>5200000</v>
      </c>
      <c r="FK90" s="1" t="s">
        <v>389</v>
      </c>
      <c r="FL90" s="1">
        <v>4000000</v>
      </c>
      <c r="FM90" s="1" t="s">
        <v>389</v>
      </c>
      <c r="FN90" s="1">
        <v>52000000</v>
      </c>
      <c r="FO90" s="1" t="s">
        <v>389</v>
      </c>
      <c r="FP90" s="1">
        <v>44000000</v>
      </c>
      <c r="FQ90" s="1" t="s">
        <v>389</v>
      </c>
      <c r="FR90" s="1">
        <v>2800000</v>
      </c>
      <c r="FS90" s="1" t="s">
        <v>389</v>
      </c>
      <c r="FT90" s="1">
        <v>22150000</v>
      </c>
      <c r="FU90" s="1" t="s">
        <v>389</v>
      </c>
      <c r="FV90" s="79">
        <f t="shared" si="355"/>
        <v>130150000</v>
      </c>
      <c r="FW90" s="1">
        <v>1350000</v>
      </c>
      <c r="FX90" s="1" t="s">
        <v>389</v>
      </c>
      <c r="FY90" s="1">
        <v>94367</v>
      </c>
      <c r="FZ90" s="79">
        <f t="shared" si="377"/>
        <v>844227</v>
      </c>
      <c r="GA90" s="86" t="str">
        <f t="shared" si="378"/>
        <v>oct21 sept22</v>
      </c>
      <c r="GB90" s="1">
        <v>19368031</v>
      </c>
      <c r="GC90" s="6">
        <v>2022</v>
      </c>
      <c r="GD90" s="83">
        <f t="shared" si="396"/>
        <v>2141365</v>
      </c>
      <c r="GE90" s="83">
        <f t="shared" si="396"/>
        <v>369608</v>
      </c>
      <c r="GF90" s="83">
        <v>1038163</v>
      </c>
      <c r="GG90" s="83">
        <f t="shared" si="268"/>
        <v>94581</v>
      </c>
      <c r="GH90" s="79">
        <f>GE90+GF90+GG90</f>
        <v>1502352</v>
      </c>
      <c r="GI90" s="82">
        <f t="shared" si="373"/>
        <v>1302556</v>
      </c>
      <c r="GJ90" s="83">
        <f t="shared" si="373"/>
        <v>665558</v>
      </c>
      <c r="GK90" s="83">
        <f t="shared" si="373"/>
        <v>1393000</v>
      </c>
      <c r="GL90" s="83">
        <f t="shared" si="373"/>
        <v>300028.90000000002</v>
      </c>
      <c r="GM90" s="83">
        <f t="shared" si="373"/>
        <v>259304.56</v>
      </c>
      <c r="GN90" s="79">
        <f t="shared" si="357"/>
        <v>2617891.46</v>
      </c>
      <c r="GO90" s="83">
        <f t="shared" si="374"/>
        <v>200935</v>
      </c>
      <c r="GP90" s="83">
        <f t="shared" si="374"/>
        <v>73046</v>
      </c>
      <c r="GQ90" s="83">
        <v>28499</v>
      </c>
      <c r="GR90" s="82">
        <v>42288</v>
      </c>
      <c r="GS90" s="79">
        <f t="shared" si="192"/>
        <v>43142.97</v>
      </c>
      <c r="GT90" s="83">
        <f t="shared" si="375"/>
        <v>2410599</v>
      </c>
      <c r="GU90" s="1">
        <v>24094</v>
      </c>
      <c r="GV90" s="1">
        <v>29601</v>
      </c>
      <c r="GW90" s="79">
        <f t="shared" si="261"/>
        <v>999362</v>
      </c>
      <c r="GX90" s="1">
        <v>33063.449999999997</v>
      </c>
      <c r="GY90" s="1" t="s">
        <v>398</v>
      </c>
      <c r="GZ90" s="1">
        <v>91610</v>
      </c>
      <c r="HA90" s="1">
        <v>276473</v>
      </c>
      <c r="HB90" s="79">
        <f t="shared" si="241"/>
        <v>3073066</v>
      </c>
      <c r="HC90" s="86" t="str">
        <f t="shared" si="379"/>
        <v>oct21 sept22</v>
      </c>
      <c r="HD90" s="1">
        <v>52932</v>
      </c>
      <c r="HE90" s="79">
        <f t="shared" si="380"/>
        <v>684606.32364999992</v>
      </c>
      <c r="HF90" s="86" t="str">
        <f t="shared" si="381"/>
        <v>oct21 sept22</v>
      </c>
      <c r="HG90" s="83">
        <v>202000</v>
      </c>
      <c r="HH90" s="79">
        <f t="shared" si="242"/>
        <v>2320983</v>
      </c>
      <c r="HI90" s="86" t="str">
        <f t="shared" si="382"/>
        <v>oct21 sept22</v>
      </c>
      <c r="HJ90" s="83">
        <v>91090</v>
      </c>
      <c r="HK90" s="79">
        <f t="shared" si="278"/>
        <v>66067.92</v>
      </c>
      <c r="HL90" s="86" t="str">
        <f t="shared" si="383"/>
        <v>oct21 sept22</v>
      </c>
      <c r="HM90" s="79">
        <f t="shared" si="358"/>
        <v>2387050.92</v>
      </c>
      <c r="HN90" s="87">
        <f t="shared" si="297"/>
        <v>3.3707960129809589E-3</v>
      </c>
      <c r="HO90" s="1">
        <v>1073000000</v>
      </c>
      <c r="HP90" s="79">
        <f t="shared" si="386"/>
        <v>11607.728225939629</v>
      </c>
      <c r="HQ90" s="86" t="str">
        <f t="shared" si="384"/>
        <v>oct21 sept22</v>
      </c>
      <c r="HR90" s="1"/>
      <c r="HS90" s="1"/>
      <c r="HT90" s="1"/>
      <c r="HU90" s="1">
        <v>650000</v>
      </c>
      <c r="HV90" s="1" t="s">
        <v>389</v>
      </c>
      <c r="HW90" s="1">
        <v>1500000</v>
      </c>
      <c r="HX90" s="1" t="s">
        <v>399</v>
      </c>
      <c r="HY90" s="1">
        <v>3850000</v>
      </c>
      <c r="HZ90" s="1" t="s">
        <v>389</v>
      </c>
      <c r="IA90" s="1">
        <f t="shared" si="376"/>
        <v>21570000</v>
      </c>
      <c r="IB90" s="1" t="s">
        <v>389</v>
      </c>
      <c r="IC90" s="1">
        <v>39940000</v>
      </c>
      <c r="ID90" s="1" t="s">
        <v>389</v>
      </c>
      <c r="IE90" s="1">
        <v>800000</v>
      </c>
      <c r="IF90" s="1" t="s">
        <v>389</v>
      </c>
      <c r="IG90" s="1">
        <f t="shared" si="365"/>
        <v>7400000</v>
      </c>
      <c r="IH90" s="1" t="s">
        <v>399</v>
      </c>
      <c r="II90" s="79">
        <f t="shared" si="359"/>
        <v>75060000</v>
      </c>
      <c r="IJ90" s="97">
        <f t="shared" si="308"/>
        <v>1.9040737312717446</v>
      </c>
      <c r="IK90" s="1" t="s">
        <v>389</v>
      </c>
      <c r="IL90" s="97">
        <v>48.39</v>
      </c>
      <c r="IM90" s="7">
        <v>48.62</v>
      </c>
      <c r="IN90" s="97">
        <v>185.6</v>
      </c>
      <c r="IO90" s="7">
        <v>16.899999999999999</v>
      </c>
      <c r="IP90" s="176">
        <f t="shared" si="369"/>
        <v>5.9356067942694777</v>
      </c>
      <c r="IQ90" s="7">
        <v>18</v>
      </c>
      <c r="IR90" s="98">
        <f t="shared" si="397"/>
        <v>7.01</v>
      </c>
      <c r="IS90" s="98">
        <f t="shared" si="397"/>
        <v>4.3099999999999996</v>
      </c>
      <c r="IT90" s="98">
        <f t="shared" si="397"/>
        <v>13.02</v>
      </c>
      <c r="IU90" s="98">
        <f t="shared" si="397"/>
        <v>1.44</v>
      </c>
      <c r="IV90" s="94">
        <f t="shared" si="360"/>
        <v>18.77</v>
      </c>
      <c r="IW90" s="1"/>
      <c r="IX90" s="1"/>
      <c r="IY90" s="105">
        <v>1.88</v>
      </c>
      <c r="IZ90" s="161">
        <v>0.3</v>
      </c>
      <c r="JA90" s="83">
        <v>2813</v>
      </c>
      <c r="JB90" s="7">
        <v>40.33</v>
      </c>
      <c r="JC90" s="1"/>
      <c r="JD90" s="1"/>
      <c r="JF90" s="2">
        <v>23.97822360000001</v>
      </c>
      <c r="JG90" s="2">
        <v>24.494655209999998</v>
      </c>
      <c r="JH90" s="2">
        <v>187.76462793999997</v>
      </c>
      <c r="JI90" s="2">
        <v>249.70999648999998</v>
      </c>
      <c r="JJ90" s="2">
        <v>964.18400298999995</v>
      </c>
      <c r="JK90" s="2">
        <v>103.23507013999998</v>
      </c>
      <c r="JL90" s="2">
        <v>2946.1694566799997</v>
      </c>
      <c r="JM90" s="2">
        <v>58.663607599999999</v>
      </c>
      <c r="JN90" s="2">
        <v>72.362009299999997</v>
      </c>
      <c r="JO90" s="2">
        <v>25.561633730000004</v>
      </c>
      <c r="JP90" s="2">
        <v>0</v>
      </c>
      <c r="JQ90" s="2">
        <v>1.4999999999999999E-2</v>
      </c>
      <c r="JR90" s="2">
        <v>2.0454542399999998</v>
      </c>
      <c r="JS90" s="2">
        <v>0</v>
      </c>
      <c r="JT90" s="2">
        <v>2.5000000000000001E-3</v>
      </c>
      <c r="JU90" s="2">
        <v>101.4021353</v>
      </c>
      <c r="JV90" s="2">
        <v>8.4445478800000018</v>
      </c>
      <c r="JW90" s="2">
        <v>10.759884059999997</v>
      </c>
      <c r="JX90" s="2">
        <v>15.85469387</v>
      </c>
      <c r="JY90" s="2">
        <v>0</v>
      </c>
      <c r="JZ90" s="2">
        <v>3.6143448099999995</v>
      </c>
      <c r="KA90" s="2">
        <v>0.67471947999999993</v>
      </c>
      <c r="KB90" s="2">
        <v>28.322168269999992</v>
      </c>
      <c r="KC90" s="2">
        <v>57.086864629999994</v>
      </c>
      <c r="KD90" s="2">
        <v>10.47783802</v>
      </c>
      <c r="KE90" s="2">
        <v>17.949190340000005</v>
      </c>
      <c r="KF90" s="2">
        <v>57.828382590000011</v>
      </c>
      <c r="KG90" s="2">
        <v>421.96396532</v>
      </c>
      <c r="KH90" s="2">
        <v>153.24721415000002</v>
      </c>
      <c r="KI90" s="2">
        <v>14.78060634</v>
      </c>
      <c r="KJ90" s="2">
        <v>1.83911538</v>
      </c>
      <c r="KK90" s="171">
        <v>10.864187659999995</v>
      </c>
      <c r="KL90" s="171">
        <v>0.38784603000000006</v>
      </c>
      <c r="KM90" s="171">
        <v>0.52593398000000002</v>
      </c>
      <c r="KN90" s="171">
        <v>0.33861597000000004</v>
      </c>
      <c r="KO90" s="171">
        <v>4.0362059199999996</v>
      </c>
      <c r="KP90" s="171">
        <v>6.0353800000000006E-2</v>
      </c>
      <c r="KQ90" s="171">
        <v>151.33123662999995</v>
      </c>
      <c r="KR90" s="171">
        <v>1.0168397499999999</v>
      </c>
      <c r="KS90" s="171">
        <v>0.26431020000000005</v>
      </c>
      <c r="KT90" s="171">
        <v>0.52785406000000001</v>
      </c>
      <c r="KU90" s="171">
        <v>1.7451778999999998</v>
      </c>
      <c r="KV90" s="171">
        <v>4.1352823399999998</v>
      </c>
      <c r="KW90" s="171">
        <v>1.4644452000000001</v>
      </c>
      <c r="KX90" s="171">
        <v>0</v>
      </c>
      <c r="KY90" s="171">
        <v>0.25431999999999999</v>
      </c>
      <c r="KZ90" s="171">
        <v>2.7470526999999998</v>
      </c>
      <c r="LA90" s="171">
        <v>0.54729116</v>
      </c>
      <c r="LB90" s="171">
        <v>4.9318999999999995E-3</v>
      </c>
      <c r="LC90" s="171">
        <v>0.23595114</v>
      </c>
      <c r="LD90" s="171">
        <v>0</v>
      </c>
      <c r="LE90" s="171">
        <v>2.7328829999999998E-2</v>
      </c>
      <c r="LF90" s="171">
        <v>0</v>
      </c>
      <c r="LG90" s="171">
        <v>21.937275429999996</v>
      </c>
      <c r="LH90" s="171">
        <v>4.5847165599999995</v>
      </c>
      <c r="LI90" s="171">
        <v>2.5187011699999999</v>
      </c>
      <c r="LJ90" s="171">
        <v>1.3661339999999999E-2</v>
      </c>
      <c r="LK90" s="171">
        <v>3.9990310300000003</v>
      </c>
      <c r="LL90" s="171">
        <v>6.5255502400000012</v>
      </c>
      <c r="LM90" s="171">
        <v>2.4256843100000003</v>
      </c>
      <c r="LN90" s="171">
        <v>0.25118170000000001</v>
      </c>
      <c r="LO90" s="171">
        <v>7.276038279999999</v>
      </c>
      <c r="LQ90" s="85">
        <f t="shared" si="247"/>
        <v>4478.853701</v>
      </c>
      <c r="LR90" s="85">
        <f t="shared" si="248"/>
        <v>2.0629542399999998</v>
      </c>
      <c r="LS90" s="85">
        <f t="shared" si="249"/>
        <v>19.204431939999999</v>
      </c>
      <c r="LT90" s="85">
        <f t="shared" si="250"/>
        <v>4.2890642899999998</v>
      </c>
      <c r="LU90" s="85">
        <f t="shared" si="251"/>
        <v>157.51314244999998</v>
      </c>
      <c r="LV90" s="85">
        <f t="shared" si="252"/>
        <v>5.8540475399999998</v>
      </c>
      <c r="LW90" s="85">
        <f t="shared" si="253"/>
        <v>0.55222305999999999</v>
      </c>
      <c r="LX90" s="85">
        <f t="shared" si="254"/>
        <v>2.7328829999999998E-2</v>
      </c>
      <c r="LZ90" s="131">
        <v>235.41</v>
      </c>
      <c r="MA90" s="171">
        <v>154.33000000000001</v>
      </c>
      <c r="MB90"/>
      <c r="MC90"/>
      <c r="MD90"/>
      <c r="MF90"/>
      <c r="MG90"/>
      <c r="MH90" s="83">
        <v>366.54</v>
      </c>
      <c r="MI90" s="83">
        <v>123.46</v>
      </c>
      <c r="MJ90" s="83">
        <v>142.16</v>
      </c>
      <c r="MK90"/>
      <c r="ML90" s="83">
        <v>348.66</v>
      </c>
      <c r="MM90" s="83">
        <v>306.69</v>
      </c>
      <c r="MN90" s="83"/>
      <c r="MO90" s="83">
        <v>136.81</v>
      </c>
      <c r="MP90" s="83">
        <v>300.58</v>
      </c>
      <c r="MQ90" s="83">
        <v>328.33</v>
      </c>
      <c r="MR90"/>
      <c r="MT90" s="83"/>
      <c r="MU90" s="83">
        <v>102.3</v>
      </c>
      <c r="MV90"/>
      <c r="MW90"/>
      <c r="MX90"/>
      <c r="MY90" s="83">
        <v>339.48</v>
      </c>
      <c r="MZ90" s="83">
        <v>864</v>
      </c>
      <c r="NA90" s="83">
        <v>376.6</v>
      </c>
      <c r="NB90" s="83">
        <v>1158.68</v>
      </c>
      <c r="NC90" s="83">
        <v>171.06</v>
      </c>
      <c r="ND90" s="1">
        <v>1490</v>
      </c>
      <c r="NE90" s="1">
        <v>873.33</v>
      </c>
    </row>
    <row r="91" spans="1:369">
      <c r="A91" s="38">
        <f t="shared" si="334"/>
        <v>44835</v>
      </c>
      <c r="B91" s="36">
        <f t="shared" si="366"/>
        <v>10</v>
      </c>
      <c r="C91" s="36">
        <f t="shared" si="367"/>
        <v>2022</v>
      </c>
      <c r="D91" s="36">
        <f t="shared" si="347"/>
        <v>91</v>
      </c>
      <c r="E91" s="38">
        <f t="shared" si="335"/>
        <v>44835</v>
      </c>
      <c r="F91" s="7">
        <v>158.62</v>
      </c>
      <c r="G91" s="7">
        <v>1028.7</v>
      </c>
      <c r="H91" s="1">
        <f>[2]NACIONALES!$D79</f>
        <v>98914.95</v>
      </c>
      <c r="I91" s="7">
        <v>118</v>
      </c>
      <c r="J91" s="7">
        <v>950</v>
      </c>
      <c r="K91" s="7">
        <v>10</v>
      </c>
      <c r="L91" s="7">
        <v>30.8</v>
      </c>
      <c r="N91" s="5">
        <v>2.56</v>
      </c>
      <c r="O91" s="5">
        <v>2.08</v>
      </c>
      <c r="P91" s="78">
        <f t="shared" si="294"/>
        <v>349.59848000000005</v>
      </c>
      <c r="Q91" s="6">
        <v>4000</v>
      </c>
      <c r="R91" s="79">
        <f t="shared" si="336"/>
        <v>40000</v>
      </c>
      <c r="S91" s="6">
        <v>290</v>
      </c>
      <c r="T91" s="181">
        <v>420</v>
      </c>
      <c r="U91" s="143">
        <v>261.46315789473681</v>
      </c>
      <c r="V91" s="143">
        <v>368.28947368421052</v>
      </c>
      <c r="W91">
        <v>286</v>
      </c>
      <c r="X91" s="6">
        <v>348.98421052631579</v>
      </c>
      <c r="Y91" s="79">
        <f t="shared" si="337"/>
        <v>45999.8</v>
      </c>
      <c r="Z91" s="79">
        <f t="shared" si="338"/>
        <v>66620.400000000009</v>
      </c>
      <c r="AA91" s="79">
        <f t="shared" si="339"/>
        <v>41473.286105263156</v>
      </c>
      <c r="AB91" s="79">
        <f t="shared" si="340"/>
        <v>58418.076315789476</v>
      </c>
      <c r="AC91" s="79">
        <f t="shared" si="341"/>
        <v>45365.32</v>
      </c>
      <c r="AD91" s="79">
        <f t="shared" si="342"/>
        <v>55355.875473684209</v>
      </c>
      <c r="AE91" s="79">
        <f t="shared" si="343"/>
        <v>52205.459649122808</v>
      </c>
      <c r="AF91" s="1">
        <v>111189.57894736843</v>
      </c>
      <c r="AG91" s="1">
        <v>70080</v>
      </c>
      <c r="AH91" s="1">
        <v>266000</v>
      </c>
      <c r="AI91" s="5">
        <v>77.849999999999994</v>
      </c>
      <c r="AJ91" s="5">
        <v>73.81</v>
      </c>
      <c r="AK91" s="5">
        <v>54.954000000000001</v>
      </c>
      <c r="AL91" s="5">
        <v>48.45</v>
      </c>
      <c r="AM91" s="78">
        <f t="shared" si="344"/>
        <v>64.67944</v>
      </c>
      <c r="AN91" s="7">
        <v>4078.7958115183246</v>
      </c>
      <c r="AO91" s="7">
        <v>1931.5</v>
      </c>
      <c r="AP91" s="78">
        <f t="shared" si="385"/>
        <v>1931.5</v>
      </c>
      <c r="AQ91" s="7">
        <v>1008.7</v>
      </c>
      <c r="AR91" s="7">
        <v>1333.8799999999997</v>
      </c>
      <c r="AS91" s="7">
        <v>1094.7058823529412</v>
      </c>
      <c r="AT91" s="7">
        <v>1310.8700000000003</v>
      </c>
      <c r="AU91" s="78">
        <f t="shared" si="348"/>
        <v>1246.4852941176471</v>
      </c>
      <c r="AV91" s="7">
        <v>1961.1274509803923</v>
      </c>
      <c r="AW91" s="7">
        <v>4728</v>
      </c>
      <c r="AX91" s="7">
        <v>3866.3849999999998</v>
      </c>
      <c r="AY91" s="7">
        <v>1487.1052631578948</v>
      </c>
      <c r="AZ91" s="7">
        <v>783.52499999999998</v>
      </c>
      <c r="BA91" s="7">
        <v>1505</v>
      </c>
      <c r="BB91" s="94">
        <f t="shared" si="345"/>
        <v>1973.5768786549706</v>
      </c>
      <c r="BC91" s="68">
        <v>7231</v>
      </c>
      <c r="BD91" s="68">
        <v>4908</v>
      </c>
      <c r="BE91" s="7">
        <v>4200</v>
      </c>
      <c r="BF91" s="7">
        <v>2500</v>
      </c>
      <c r="BG91" s="94">
        <f t="shared" si="349"/>
        <v>4709.75</v>
      </c>
      <c r="BH91" s="7">
        <v>287.83</v>
      </c>
      <c r="BI91" s="7">
        <v>60</v>
      </c>
      <c r="BJ91" s="78">
        <f t="shared" si="350"/>
        <v>347.83</v>
      </c>
      <c r="BK91" s="7">
        <v>295.17500000000001</v>
      </c>
      <c r="BL91" s="7">
        <v>373.81</v>
      </c>
      <c r="BM91" s="94">
        <f t="shared" si="351"/>
        <v>334.49250000000001</v>
      </c>
      <c r="BN91" s="5">
        <v>58.39</v>
      </c>
      <c r="BO91" s="161">
        <v>286.89999999999998</v>
      </c>
      <c r="BP91">
        <v>219.77</v>
      </c>
      <c r="BQ91" s="94">
        <f t="shared" si="346"/>
        <v>280.18700000000001</v>
      </c>
      <c r="BR91" s="95">
        <f>+(294.42+246.33+244.76+235.41)/4</f>
        <v>255.23</v>
      </c>
      <c r="BS91" s="97">
        <v>857</v>
      </c>
      <c r="BT91" s="7">
        <f>0.71*F91</f>
        <v>112.6202</v>
      </c>
      <c r="BU91" s="79">
        <f t="shared" si="237"/>
        <v>10621.8606</v>
      </c>
      <c r="BV91" s="7">
        <v>333</v>
      </c>
      <c r="BW91" s="7">
        <v>675</v>
      </c>
      <c r="BY91" s="92">
        <f>BY$10*(1+((H91/H$10-1)*costos!$B$5+((I91*F91)/(I$10*F$10)-1)*costos!$E$5+((J91*F91)/((J$10*F$10)-1)*costos!$F$5/3+((K91*F91)/(K$10*F$10)-1)*costos!$F$5/3+((U91*F91)/(U$10*F$10)-1)*costos!$F$5/3+((L91*F91)/(L$10*F$10)-1)*costos!$G$5+((N91*F91)/(N$10*F$10)-1)*costos!$J$5+((V91*F91)/(V$10*F$10)-1)*costos!$K$5)))</f>
        <v>2047.5766113703635</v>
      </c>
      <c r="BZ91" s="92">
        <f>$BZ$10*(1+((H91/$H$10-1)*costos!$B$6+((I91*F91)/($I$10*$F$10)-1)*costos!$E$6+((J91*F91)/(($J$10*$F$10)-1)*costos!$F$6/3+((K91*F91)/($K$10*$F$10)-1)*costos!$F$6/3+((U91*F91)/($U$10*$F$10)-1)*costos!$F$6/3+((L91*F91)/($L$10*$F$10)-1)*costos!$G$6+((Q91*F91)/($Q$10*$F$10)-1)*costos!$J$6+((V91*F91)/($V$10*$F$10)-1)*costos!$K$6)))</f>
        <v>1680.7462961376373</v>
      </c>
      <c r="CA91" s="92">
        <f>CA$10*(1+((H91/H$10-1)*costos!$B$7+((I91*F91)/(I$10*F$10)-1)*costos!$E$7+((J91*F91)/((J$10*F$10)-1)*costos!$F$7/3+((K91*F91)/(K$10*F$10)-1)*costos!$F$7/3+((U91*F91)/(U$10*F$10)-1)*costos!$F$7/3+((L91*F91)/(L$10*F$10)-1)*costos!$G$7+((S91*F91)/(S$10*F$10)-1)*costos!$J$7+((V91*F91)/(V$10*F$10)-1)*costos!$K$7)))</f>
        <v>1945.7504573915912</v>
      </c>
      <c r="CB91" s="92">
        <f>CB$10*(1+((H91/H$10-1)*costos!$B$8+((I91*F91)/(I$10*F$10)-1)*costos!$E$8+((J91*F91)/((J$10*F$10)-1)*costos!$F$8/3+((K91*F91)/(K$10*F$10)-1)*costos!$F$8/3+((U91*F91)/(U$10*F$10)-1)*costos!$F$8/3+((L91*F91)/(L$10*F$10)-1)*costos!$G$8+((T91*F91)/(T$10*F$10)-1)*costos!$J$8+((V91*F91)/(V$10*F$10)-1)*costos!$K$8)))</f>
        <v>1746.5618199123462</v>
      </c>
      <c r="CC91" s="92">
        <f>CC$10*(1+((H91/H$10-1)*costos!$B$9+((I91*F91)/(I$10*F$10)-1)*costos!$E$9+((J91*F91)/((J$10*F$10)-1)*costos!$F$9/3+((K91*F91)/(K$10*F$10)-1)*costos!$F$9/3+((U91*F91)/(U$10*F$10)-1)*costos!$F$9/3+((L91*F91)/(L$10*F$10)-1)*costos!$G$9+((U91*F91)/(U$10*F$10)-1)*costos!$J$9+((V91*F91)/(V$10*F$10)-1)*costos!$K$9)))</f>
        <v>1839.7105086981369</v>
      </c>
      <c r="CD91" s="92">
        <f>CD$10*(1+((H91/H$10-1)*costos!$B$11+((I91*F91)/(I$10*F$10)-1)*costos!$E$11+((J91*F91)/((J$10*F$10)-1)*costos!$F$11/3+((K91*F91)/(K$10*F$10)-1)*costos!$F$11/3+((U91*F91)/(U$10*F$10)-1)*costos!$F$11/3+((L91*F91)/(L$10*F$10)-1)*costos!$G$11+((V91*F91)/(V$10*F$10)-1)*costos!$J$11+((V91*F91)/(V$10*F$10)-1)*costos!$K$11)))</f>
        <v>1833.8577797383236</v>
      </c>
      <c r="CE91" s="92">
        <f>CE$10*(1+((H91/H$10-1)*costos!$B$12+((I91*F91)/(I$10*F$10)-1)*costos!$E$12+((J91*F91)/((J$10*F$10)-1)*costos!$F$12/3+((K91*F91)/(K$10*F$10)-1)*costos!$F$12/3+((U91*F91)/(U$10*F$10)-1)*costos!$F$12/3+((L91*F91)/(L$10*F$10)-1)*costos!$G$12+((W91*F91)/(W$10*F$10)-1)*costos!$J$12+((V91*F91)/(V$10*F$10)-1)*costos!$K$12)))</f>
        <v>1875.8211854907163</v>
      </c>
      <c r="CF91" s="92">
        <f>CF$10*(1+((H91/H$10-1)*costos!$B$13+((I91*F91)/(I$10*F$10)-1)*costos!$E$13+((J91*F91)/((J$10*F$10)-1)*costos!$F$13/3+((K91*F91)/(K$10*F$10)-1)*costos!$F$13/3+((U91*F91)/(U$10*F$10)-1)*costos!$F$13/3+((L91*F91)/(L$10*F$10)-1)*costos!$G$13+((X91*F91)/(X$10*F$10)-1)*costos!$J$13+((V91*F91)/(V$10*F$10)-1)*costos!$K$13)))</f>
        <v>2027.8192227326961</v>
      </c>
      <c r="CG91" s="92">
        <f t="shared" si="388"/>
        <v>1878.2534956606353</v>
      </c>
      <c r="CH91" s="92">
        <f>CH$10*(1+((H91/H$10-1)*costos!$B$10+((I91*F91)/(I$10*F$10)-1)*costos!$E$10+((J91*F91)/((J$10*F$10)-1)*costos!$F$10/3+((K91*F91)/(K$10*F$10)-1)*costos!$F$10/3+((U91*F91)/(U$10*F$10)-1)*costos!$F$10/3+((L91*F91)/(L$10*F$10)-1)*costos!$G$10+((AF91)/(AF$10)-1)*costos!$J$10+((V91*F91)/(V$10*F$10)-1)*costos!$K$10)))</f>
        <v>1792.3383097181827</v>
      </c>
      <c r="CI91" s="92">
        <f>CI$10*(1+((H91/H$10-1)*costos!$B$15+((I91*F91)/(I$10*F$10)-1)*costos!$E$15+((J91*F91)/((J$10*F$10)-1)*costos!$F$15/3+((K91*F91)/(K$10*F$10)-1)*costos!$F$15/3+((U91*F91)/(U$10*F$10)-1)*costos!$F$15/3+((L91*F91)/(L$10*F$10)-1)*costos!$G$15+((AV91)/(AV$10)-1)*costos!$J$15+((V91*F91)/(V$10*F$10)-1)*costos!$K$15)))</f>
        <v>2062.9175162047754</v>
      </c>
      <c r="CJ91" s="92">
        <f>CJ$10*(1+((H91/H$10-1)*costos!$B$16+((I91*F91)/(I$10*F$10)-1)*costos!$E$16+((J91*F91)/((J$10*F$10)-1)*costos!$F$16/3+((K91*F91)/(K$10*F$10)-1)*costos!$F$16/3+((U91*F91)/(U$10*F$10)-1)*costos!$F$16/3+((L91*F91)/(L$10*F$10)-1)*costos!$G$16+((AW91)/(AW$10)-1)*costos!$J$16+((V91*F91)/(V$10*F$10)-1)*costos!$K$16)))</f>
        <v>1678.1039165712641</v>
      </c>
      <c r="CK91" s="92">
        <f>CK$10*(1+((H91/H$10-1)*costos!$B$17+((I91*F91)/(I$10*F$10)-1)*costos!$E$17+((J91*F91)/((J$10*F$10)-1)*costos!$F$17/3+((K91*F91)/(K$10*F$10)-1)*costos!$F$17/3+((U91*F91)/(U$10*F$10)-1)*costos!$F$17/3+((L91*F91)/(L$10*F$10)-1)*costos!$G$17+((AX91)/(AX$10)-1)*costos!$J$17+((V91*F91)/(V$10*F$10)-1)*costos!$K$17)))</f>
        <v>2397.5503681063883</v>
      </c>
      <c r="CL91" s="92">
        <f>CL$10*(1+((H91/H$10-1)*costos!$B$18+((I91*F91)/(I$10*F$10)-1)*costos!$E$18+((J91*F91)/((J$10*F$10)-1)*costos!$F$18/3+((K91*F91)/(K$10*F$10)-1)*costos!$F$18/3+((U91*F91)/(U$10*F$10)-1)*costos!$F$18/3+((L91*F91)/(L$10*F$10)-1)*costos!$G$18+((AY91)/(AY$10)-1)*costos!$J$18+((V91*F91)/(V$10*F$10)-1)*costos!$K$18)))</f>
        <v>1773.3823608921984</v>
      </c>
      <c r="CM91" s="92">
        <f>CM$10*(1+((H91/H$10-1)*costos!$B$19+((I91*F91)/(I$10*F$10)-1)*costos!$E$19+((J91*F91)/((J$10*F$10)-1)*costos!$F$19/3+((K91*F91)/(K$10*F$10)-1)*costos!$F$19/3+((U91*F91)/(U$10*F$10)-1)*costos!$F$19/3+((L91*F91)/(L$10*F$10)-1)*costos!$G$19+((AZ91)/(AZ$10)-1)*costos!$J$19+((V91*F91)/(V$10*F$10)-1)*costos!$K$19)))</f>
        <v>1317.0469808716682</v>
      </c>
      <c r="CN91" s="92">
        <f>CN$10*(1+((H91/H$10-1)*costos!$B$20+((I91*F91)/(I$10*F$10)-1)*costos!$E$20+((J91*F91)/((J$10*F$10)-1)*costos!$F$20/3+((K91*F91)/(K$10*F$10)-1)*costos!$F$20/3+((U91*F91)/(U$10*F$10)-1)*costos!$F$20/3+((L91*F91)/(L$10*F$10)-1)*costos!$G$20+((BA91)/(BA$10)-1)*costos!$J$20+((V91*F91)/(V$10*F$10)-1)*costos!$K$20)))</f>
        <v>1585.9470810482824</v>
      </c>
      <c r="CO91" s="92">
        <f t="shared" si="389"/>
        <v>1768.4816977296343</v>
      </c>
      <c r="CP91" s="92">
        <f>CP$10*(1+((H91/H$10-1)*costos!$B$22+((I91*F91)/(I$10*F$10)-1)*costos!$E$22+((J91*F91)/((J$10*F$10)-1)*costos!$F$22/3+((K91*F91)/(K$10*F$10)-1)*costos!$F$22/3+((U91*F91)/(U$10*F$10)-1)*costos!$F$22/3+((L91*F91)/(L$10*F$10)-1)*costos!$G$22+(((AVERAGE(AI91:AL91))/((AVERAGE(AI$10:AL$10))-1)*costos!$J$22+((V91*F91)/(V$10*F$10)-1)*costos!$K$22)))))</f>
        <v>1874.9270204928114</v>
      </c>
      <c r="CQ91" s="92">
        <f>CQ$10*(1+((H91/H$10-1)*costos!$B$23+((I91*F91)/(I$10*F$10)-1)*costos!$E$23+((J91*F91)/((J$10*F$10)-1)*costos!$F$23/3+((K91*F91)/(K$10*F$10)-1)*costos!$F$23/3+((U91*F91)/(U$10*F$10)-1)*costos!$F$23/3+((L91*F91)/(L$10*F$10)-1)*costos!$G$23+((AN91)/(AN$10)-1)*costos!$J$23+((V91*F91)/(V$10*F$10)-1)*costos!$K$23)))</f>
        <v>1572.6094803859128</v>
      </c>
      <c r="CR91" s="92">
        <f>CR$10*(1+((H91/H$10-1)*costos!$B$24+((I91*F91)/(I$10*F$10)-1)*costos!$E$24+((J91*F91)/((J$10*F$10)-1)*costos!$F$24/3+((K91*F91)/(K$10*F$10)-1)*costos!$F$24/3+((U91*F91)/(U$10*F$10)-1)*costos!$F$24/3+((L91*F91)/(L$10*F$10)-1)*costos!$G$24+((AO91)/(AO$10)-1)*costos!$J$24+((V91*F91)/(V$10*F$10)-1)*costos!$K$24)))</f>
        <v>1529.2380270347967</v>
      </c>
      <c r="CS91" s="92">
        <f t="shared" si="352"/>
        <v>1550.9237537103547</v>
      </c>
      <c r="CT91" s="92">
        <f>CT$10*(1+((H91/H$10-1)*costos!$B$25+((I91*F91)/(I$10*F$10)-1)*costos!$E$25+((J91*F91)/((J$10*F$10)-1)*costos!$F$25/3+((K91*F91)/(K$10*F$10)-1)*costos!$F$25/3+((U91*F91)/(U$10*F$10)-1)*costos!$F$25/3+((L91*F91)/(L$10*F$10)-1)*costos!$G$25+((AQ91)/(AQ$10)-1)*costos!$J$25+((V91*F91)/(V$10*F$10)-1)*costos!$K$25)))</f>
        <v>1485.2523901568122</v>
      </c>
      <c r="CU91" s="92">
        <f>CU$10*(1+((H91/H$10-1)*costos!$B$26+((I91*F91)/(I$10*F$10)-1)*costos!$E$26+((J91*F91)/((J$10*F$10)-1)*costos!$F$26/3+((K91*F91)/(K$10*F$10)-1)*costos!$F$26/3+((U91*F91)/(U$10*F$10)-1)*costos!$F$26/3+((L91*F91)/(L$10*F$10)-1)*costos!$G$26+((AR91)/(AR$10)-1)*costos!$J$26+((V91*F91)/(V$10*F$10)-1)*costos!$K$26)))</f>
        <v>1630.0678486636225</v>
      </c>
      <c r="CV91" s="92">
        <f>CV$10*(1+((H91/H$10-1)*costos!$B$27+((I91*F91)/(I$10*F$10)-1)*costos!$E$27+((J91*F91)/((J$10*F$10)-1)*costos!$F$27/3+((K91*F91)/(K$10*F$10)-1)*costos!$F$27/3+((U91*F91)/(U$10*F$10)-1)*costos!$F$27/3+((L91*F91)/(L$10*F$10)-1)*costos!$G$27+((AS91)/(AS$10)-1)*costos!$J$27+((V91*F91)/(V$10*F$10)-1)*costos!$K$27)))</f>
        <v>1612.4793213340315</v>
      </c>
      <c r="CW91" s="92">
        <f>CW$10*(1+((H91/H$10-1)*costos!$B$28+((I91*F91)/(I$10*F$10)-1)*costos!$E$28+((J91*F91)/((J$10*F$10)-1)*costos!$F$28/3+((K91*F91)/(K$10*F$10)-1)*costos!$F$28/3+((U91*F91)/(U$10*F$10)-1)*costos!$F$28/3+((L91*F91)/(L$10*F$10)-1)*costos!$G$28+((AS91)/(AS$10)-1)*costos!$J$28+((V91*F91)/(V$10*F$10)-1)*costos!$K$28)))</f>
        <v>1612.4793213340315</v>
      </c>
      <c r="CX91" s="92">
        <f t="shared" si="390"/>
        <v>1618.3421637772287</v>
      </c>
      <c r="CY91" s="92">
        <f>CY$10*(1+((H91/H$10-1)*costos!$B$32+((I91*F91)/(I$10*F$10)-1)*costos!$E$32+((J91*F91)/((J$10*F$10)-1)*costos!$F$32/3+((K91*F91)/(K$10*F$10)-1)*costos!$F$32/3+((U91*F91)/(U$10*F$10)-1)*costos!$F$32/3+((L91*F91)/(L$10*F$10)-1)*costos!$G$32+((AG91)/(AG$10)-1)*costos!$J$32+((V91*F91)/(V$10*F$10)-1)*costos!$K$32)))</f>
        <v>1448.5857572387495</v>
      </c>
      <c r="CZ91" s="69">
        <f>CZ$10*(1+((H91/H$10-1)*costos!$B$31+((I91*F91)/(I$10*F$10)-1)*costos!$E$30+((J91*F91)/((J$10*F$10)-1)*costos!$F$30/3+((K91*F91)/(K$10*F$10)-1)*costos!$F$30/3+((U91*F91)/(U$10*F$10)-1)*costos!$F$30/3+((L91*F91)/(L$10*F$10)-1)*costos!$G$30+((BG91)/(BG$10)-1)*costos!$J$30+((V91*F91)/(V$10*F$10)-1)*costos!$K$30)))</f>
        <v>1874.4853381246653</v>
      </c>
      <c r="DA91" s="69">
        <f>DA$10*(1+((H91/H$10-1)*costos!$B$31+((I91*F91)/(I$10*F$10)-1)*costos!$E$31+((J91*F91)/((J$10*F$10)-1)*costos!$F$31/3+((K91*F91)/(K$10*F$10)-1)*costos!$F$31/3+((U91*F91)/(U$10*F$10)-1)*costos!$F$31/3+((L91*F91)/(L$10*F$10)-1)*costos!$G$31+((BJ91)/(BJ$10)-1)*costos!$J$31+((V91*F91)/(V$10*F$10)-1)*costos!$K$31)))</f>
        <v>1525.1633299502751</v>
      </c>
      <c r="DB91" s="69">
        <f>DB$10*(1+((H91/H$10-1)*costos!$B$36+((I91*F91)/(I$10*F$10)-1)*costos!$E$36+((J91*F91)/((J$10*F$10)-1)*costos!$F$36/3+((K91*F91)/(K$10*F$10)-1)*costos!$F$36/3+((U91*F91)/(U$10*F$10)-1)*costos!$F$36/3+((L91*F91)/(L$10*F$10)-1)*costos!$G$36+((BK91)/(BK$10)-1)*costos!$J$36+((V91*F91)/(V$10*F$10)-1)*costos!$K$36)))</f>
        <v>1709.0110667581807</v>
      </c>
      <c r="DC91" s="69">
        <f>DC$10*(1+((H91/H$10-1)*costos!$B$37+((I91*F91)/(I$10*F$10)-1)*costos!$E$37+((U91*F91)/(U$10*F$10)-1)*costos!$F$37+((L91*F91)/(L$10*F$10)-1)*costos!$G$37+((BN91)/(BN$10)-1)*costos!$J$37+((V91*F91)/(V$10*F$10)-1)*costos!$K$37))</f>
        <v>1844.712199817885</v>
      </c>
      <c r="DD91" s="69">
        <f>DD$10*(1+((H91/H$10-1)*costos!$B$39+((I91*F91)/(I$10*F$10)-1)*costos!$E$39+((U91*F91)/(U$10*F$10)-1)*costos!$F$39+((L91*F91)/(L$10*F$10)-1)*costos!$G$39+((BR91)/(BR$10)-1)*costos!$J$39+((V91*F91)/(V$10*F$10)-1)*costos!$K$39))</f>
        <v>1823.5874097100289</v>
      </c>
      <c r="DE91" s="69">
        <f>DD$10*(1+((H91/H$10-1)*costos!$B$35+((I91*F91)/(I$10*F$10)-1)*costos!$E$35+((U91*F91)/(U$10*F$10)-1)*costos!$F$35+((L91*F91)/(L$10*F$10)-1)*costos!$G$35+((BR91)/(BR$10)-1)*costos!$J$35+((V91*F91)/(V$10*F$10)-1)*costos!$K$35))</f>
        <v>1648.8882967245108</v>
      </c>
      <c r="DF91" s="69">
        <f>DF$10*(1+((H91/H$10-1)*costos!$B$40+((I91*F91)/(I$10*F$10)-1)*costos!$E$40+((U91*F91)/(U$10*F$10)-1)*costos!$F$40+((L91*F91)/(L$10*F$10)-1)*costos!$G$40+((BP91)/(BP$10)-1)*costos!$J$40+((V91*F91)/(V$10*F$10)-1)*costos!$K$40))</f>
        <v>1913.5035700947697</v>
      </c>
      <c r="DG91" s="92">
        <f t="shared" si="391"/>
        <v>1781.1959334096402</v>
      </c>
      <c r="DH91" s="69">
        <f>DH$10*(1+((H91/H$10-1)*costos!$B$34+((I91*F91)/(I$10*F$10)-1)*costos!$E$34+((J91*F91)/((J$10*F$10)-1)*costos!$F$34/3+((K91*F91)/(K$10*F$10)-1)*costos!$F$34/3+((U91*F91)/(U$10*F$10)-1)*costos!$F$34/3+((L91*F91)/(L$10*F$10)-1)*costos!$G$34+((BV91)/(BV$10)-1)*costos!$J$34+((V91*F91)/(V$10*F$10)-1)*costos!$K$34)))</f>
        <v>1595.6445849788572</v>
      </c>
      <c r="DI91" s="69">
        <f>DI$10*(1+((H91/H$10-1)*costos!$B$38+((I91*F91)/(I$10*F$10)-1)*costos!$E$38+((J91*F91)/((J$10*F$10)-1)*costos!$F$38/3+((K91*F91)/(K$10*F$10)-1)*costos!$F$38/3+((U91*F91)/(U$10*F$10)-1)*costos!$F$38/3+((L91*F91)/(L$10*F$10)-1)*costos!$G$38+((BU91)/(BU$10)-1)*costos!$J$38+((V91*F91)/(V$10*F$10)-1)*costos!$K$38)))</f>
        <v>1464.7009397575787</v>
      </c>
      <c r="DK91" s="1">
        <v>580000</v>
      </c>
      <c r="DL91" s="1" t="s">
        <v>399</v>
      </c>
      <c r="DM91" s="1">
        <v>200000</v>
      </c>
      <c r="DN91" s="1" t="s">
        <v>399</v>
      </c>
      <c r="DO91" s="1">
        <v>1750000</v>
      </c>
      <c r="DP91" s="1" t="s">
        <v>399</v>
      </c>
      <c r="DQ91" s="1">
        <v>2200000</v>
      </c>
      <c r="DR91" s="1" t="s">
        <v>399</v>
      </c>
      <c r="DS91" s="1">
        <v>7300000</v>
      </c>
      <c r="DT91" s="83" t="s">
        <v>399</v>
      </c>
      <c r="DU91" s="1">
        <v>16300000</v>
      </c>
      <c r="DV91" s="83" t="s">
        <v>399</v>
      </c>
      <c r="DW91" s="1">
        <v>950000</v>
      </c>
      <c r="DX91" s="83" t="s">
        <v>399</v>
      </c>
      <c r="DY91" s="1">
        <v>5907000</v>
      </c>
      <c r="DZ91" s="1" t="s">
        <v>399</v>
      </c>
      <c r="EA91" s="79">
        <f>+DY91+DW91+DU91+DS92+DQ91+DO91</f>
        <v>34407000</v>
      </c>
      <c r="EB91" s="1">
        <v>373795</v>
      </c>
      <c r="EC91" s="1" t="s">
        <v>399</v>
      </c>
      <c r="ED91" s="1">
        <v>209277</v>
      </c>
      <c r="EE91" s="143">
        <v>2022</v>
      </c>
      <c r="EF91" s="1">
        <v>207047</v>
      </c>
      <c r="EG91" s="6">
        <v>2022</v>
      </c>
      <c r="EH91" s="1">
        <v>53416435</v>
      </c>
      <c r="EI91" s="6">
        <v>2022</v>
      </c>
      <c r="EJ91" s="1">
        <v>5477107</v>
      </c>
      <c r="EK91" s="6">
        <v>2022</v>
      </c>
      <c r="EL91" s="1">
        <v>12461845</v>
      </c>
      <c r="EM91" s="6">
        <v>2022</v>
      </c>
      <c r="EN91" s="1">
        <v>3169981</v>
      </c>
      <c r="EO91" s="6">
        <v>2021</v>
      </c>
      <c r="EP91" s="82">
        <f t="shared" si="392"/>
        <v>6552</v>
      </c>
      <c r="EQ91" s="83">
        <v>3500000</v>
      </c>
      <c r="ER91" s="1">
        <f>+ER90</f>
        <v>74633.333333333328</v>
      </c>
      <c r="ES91" s="1"/>
      <c r="ET91" s="83">
        <f t="shared" si="393"/>
        <v>17456</v>
      </c>
      <c r="EU91" s="83">
        <f t="shared" si="393"/>
        <v>19445</v>
      </c>
      <c r="EV91" s="83">
        <f t="shared" si="393"/>
        <v>9018</v>
      </c>
      <c r="EW91" s="83">
        <f t="shared" si="393"/>
        <v>17386</v>
      </c>
      <c r="EX91" s="79">
        <f t="shared" si="387"/>
        <v>63305</v>
      </c>
      <c r="EY91" s="83">
        <f t="shared" si="394"/>
        <v>20049</v>
      </c>
      <c r="EZ91" s="83">
        <f t="shared" si="370"/>
        <v>33638</v>
      </c>
      <c r="FA91" s="83">
        <f t="shared" si="371"/>
        <v>19948</v>
      </c>
      <c r="FB91" s="83">
        <f t="shared" si="372"/>
        <v>15432</v>
      </c>
      <c r="FC91" s="79">
        <f t="shared" si="307"/>
        <v>35380</v>
      </c>
      <c r="FD91" s="83">
        <f t="shared" si="395"/>
        <v>56856.849999999991</v>
      </c>
      <c r="FE91" s="1"/>
      <c r="FF91" s="1">
        <v>1100000</v>
      </c>
      <c r="FG91" s="1" t="s">
        <v>389</v>
      </c>
      <c r="FH91" s="1">
        <v>1200000</v>
      </c>
      <c r="FI91" s="1" t="s">
        <v>389</v>
      </c>
      <c r="FJ91" s="1">
        <v>5200000</v>
      </c>
      <c r="FK91" s="1" t="s">
        <v>389</v>
      </c>
      <c r="FL91" s="1">
        <v>4000000</v>
      </c>
      <c r="FM91" s="1" t="s">
        <v>389</v>
      </c>
      <c r="FN91" s="1">
        <v>52000000</v>
      </c>
      <c r="FO91" s="1" t="s">
        <v>389</v>
      </c>
      <c r="FP91" s="1">
        <v>44000000</v>
      </c>
      <c r="FQ91" s="1" t="s">
        <v>389</v>
      </c>
      <c r="FR91" s="1">
        <v>2800000</v>
      </c>
      <c r="FS91" s="1" t="s">
        <v>389</v>
      </c>
      <c r="FT91" s="1">
        <v>22150000</v>
      </c>
      <c r="FU91" s="1" t="s">
        <v>389</v>
      </c>
      <c r="FV91" s="79">
        <f t="shared" si="355"/>
        <v>130150000</v>
      </c>
      <c r="FW91" s="1">
        <v>1350000</v>
      </c>
      <c r="FX91" s="1" t="s">
        <v>389</v>
      </c>
      <c r="FY91" s="82">
        <v>0</v>
      </c>
      <c r="FZ91" s="79">
        <f t="shared" si="377"/>
        <v>844200</v>
      </c>
      <c r="GA91" s="86" t="str">
        <f t="shared" si="378"/>
        <v>nov21 oct22</v>
      </c>
      <c r="GB91" s="1">
        <v>19368031</v>
      </c>
      <c r="GC91" s="6">
        <v>2022</v>
      </c>
      <c r="GD91" s="83">
        <f t="shared" si="396"/>
        <v>2141365</v>
      </c>
      <c r="GE91" s="83">
        <f t="shared" si="396"/>
        <v>369608</v>
      </c>
      <c r="GF91" s="83">
        <v>1038163</v>
      </c>
      <c r="GG91" s="83">
        <f t="shared" si="268"/>
        <v>94581</v>
      </c>
      <c r="GH91" s="79">
        <f>GE91+GF91+GG91</f>
        <v>1502352</v>
      </c>
      <c r="GI91" s="82">
        <f t="shared" si="373"/>
        <v>1302556</v>
      </c>
      <c r="GJ91" s="83">
        <f t="shared" si="373"/>
        <v>665558</v>
      </c>
      <c r="GK91" s="83">
        <f t="shared" si="373"/>
        <v>1393000</v>
      </c>
      <c r="GL91" s="83">
        <f t="shared" si="373"/>
        <v>300028.90000000002</v>
      </c>
      <c r="GM91" s="83">
        <f t="shared" si="373"/>
        <v>259304.56</v>
      </c>
      <c r="GN91" s="79">
        <f t="shared" si="357"/>
        <v>2617891.46</v>
      </c>
      <c r="GO91" s="83">
        <f t="shared" si="374"/>
        <v>200935</v>
      </c>
      <c r="GP91" s="83">
        <f t="shared" si="374"/>
        <v>73046</v>
      </c>
      <c r="GQ91" s="1">
        <v>44070</v>
      </c>
      <c r="GR91" s="82">
        <v>42288</v>
      </c>
      <c r="GS91" s="79">
        <f t="shared" si="192"/>
        <v>43610.1</v>
      </c>
      <c r="GT91" s="83">
        <f t="shared" si="375"/>
        <v>2410599</v>
      </c>
      <c r="GU91" s="1">
        <v>20545</v>
      </c>
      <c r="GV91" s="1">
        <v>27634</v>
      </c>
      <c r="GW91" s="79">
        <f t="shared" si="261"/>
        <v>994404</v>
      </c>
      <c r="GX91" s="1">
        <v>33063.449999999997</v>
      </c>
      <c r="GY91" s="1" t="s">
        <v>398</v>
      </c>
      <c r="GZ91" s="1">
        <v>91610</v>
      </c>
      <c r="HA91" s="1">
        <v>254255</v>
      </c>
      <c r="HB91" s="79">
        <f t="shared" si="241"/>
        <v>3081241</v>
      </c>
      <c r="HC91" s="86" t="str">
        <f t="shared" si="379"/>
        <v>nov21 oct22</v>
      </c>
      <c r="HD91" s="1">
        <v>59843</v>
      </c>
      <c r="HE91" s="79">
        <f t="shared" si="380"/>
        <v>689809</v>
      </c>
      <c r="HF91" s="86" t="str">
        <f t="shared" si="381"/>
        <v>nov21 oct22</v>
      </c>
      <c r="HG91" s="1">
        <v>191000</v>
      </c>
      <c r="HH91" s="79">
        <f t="shared" si="242"/>
        <v>2325335</v>
      </c>
      <c r="HI91" s="86" t="str">
        <f t="shared" si="382"/>
        <v>nov21 oct22</v>
      </c>
      <c r="HJ91" s="83">
        <v>99699</v>
      </c>
      <c r="HK91" s="79">
        <f t="shared" si="278"/>
        <v>66211.98</v>
      </c>
      <c r="HL91" s="86" t="str">
        <f t="shared" si="383"/>
        <v>nov21 oct22</v>
      </c>
      <c r="HM91" s="79">
        <f t="shared" si="358"/>
        <v>2391546.98</v>
      </c>
      <c r="HN91" s="87">
        <f t="shared" si="297"/>
        <v>-2.1110975728262371E-3</v>
      </c>
      <c r="HO91" s="1">
        <v>1114000000</v>
      </c>
      <c r="HP91" s="79">
        <f t="shared" si="386"/>
        <v>11605.371487939628</v>
      </c>
      <c r="HQ91" s="86" t="str">
        <f t="shared" si="384"/>
        <v>nov21 oct22</v>
      </c>
      <c r="HR91" s="1"/>
      <c r="HS91" s="1"/>
      <c r="HT91" s="1"/>
      <c r="HU91" s="1">
        <v>650000</v>
      </c>
      <c r="HV91" s="1" t="s">
        <v>389</v>
      </c>
      <c r="HW91" s="1">
        <v>1500000</v>
      </c>
      <c r="HX91" s="1" t="s">
        <v>399</v>
      </c>
      <c r="HY91" s="1">
        <v>3850000</v>
      </c>
      <c r="HZ91" s="1" t="s">
        <v>389</v>
      </c>
      <c r="IA91" s="1">
        <f t="shared" si="376"/>
        <v>21570000</v>
      </c>
      <c r="IB91" s="1" t="s">
        <v>389</v>
      </c>
      <c r="IC91" s="1">
        <v>39940000</v>
      </c>
      <c r="ID91" s="1" t="s">
        <v>389</v>
      </c>
      <c r="IE91" s="1">
        <v>800000</v>
      </c>
      <c r="IF91" s="1" t="s">
        <v>389</v>
      </c>
      <c r="IG91" s="1">
        <f t="shared" si="365"/>
        <v>7400000</v>
      </c>
      <c r="IH91" s="1" t="s">
        <v>399</v>
      </c>
      <c r="II91" s="79">
        <f t="shared" si="359"/>
        <v>75060000</v>
      </c>
      <c r="IJ91" s="97">
        <f t="shared" si="308"/>
        <v>1.9040737312717446</v>
      </c>
      <c r="IK91" s="1" t="s">
        <v>389</v>
      </c>
      <c r="IL91" s="97">
        <v>45.9</v>
      </c>
      <c r="IM91" s="7">
        <v>48.39</v>
      </c>
      <c r="IN91" s="97">
        <v>185.6</v>
      </c>
      <c r="IO91" s="7">
        <v>16.920000000000002</v>
      </c>
      <c r="IP91" s="176">
        <f t="shared" si="369"/>
        <v>5.9356067942694777</v>
      </c>
      <c r="IQ91" s="7">
        <v>18</v>
      </c>
      <c r="IR91" s="98">
        <f t="shared" si="397"/>
        <v>7.01</v>
      </c>
      <c r="IS91" s="98">
        <f t="shared" si="397"/>
        <v>4.3099999999999996</v>
      </c>
      <c r="IT91" s="98">
        <f t="shared" si="397"/>
        <v>13.02</v>
      </c>
      <c r="IU91" s="98">
        <f t="shared" si="397"/>
        <v>1.44</v>
      </c>
      <c r="IV91" s="94">
        <f t="shared" si="360"/>
        <v>18.77</v>
      </c>
      <c r="IW91" s="1"/>
      <c r="IX91" s="1"/>
      <c r="IY91" s="105">
        <v>1.88</v>
      </c>
      <c r="IZ91" s="161">
        <v>0.3</v>
      </c>
      <c r="JA91" s="83">
        <v>2813</v>
      </c>
      <c r="JB91" s="7">
        <v>40.33</v>
      </c>
      <c r="JC91" s="1"/>
      <c r="JD91" s="1"/>
      <c r="JF91" s="2">
        <v>16.749589410000009</v>
      </c>
      <c r="JG91" s="2">
        <v>15.997414339999999</v>
      </c>
      <c r="JH91" s="2">
        <v>55.512481150000006</v>
      </c>
      <c r="JI91" s="2">
        <v>140.28181512</v>
      </c>
      <c r="JJ91" s="2">
        <v>740.08129785000028</v>
      </c>
      <c r="JK91" s="2">
        <v>136.66063392000001</v>
      </c>
      <c r="JL91" s="2">
        <v>3760.1654528899999</v>
      </c>
      <c r="JM91" s="2">
        <v>21.543690779999999</v>
      </c>
      <c r="JN91" s="2">
        <v>96.125698620000009</v>
      </c>
      <c r="JO91" s="2">
        <v>25.68249277</v>
      </c>
      <c r="JP91" s="2">
        <v>0</v>
      </c>
      <c r="JQ91" s="2">
        <v>1.4999999999999999E-2</v>
      </c>
      <c r="JR91" s="2">
        <v>1.8751125399999999</v>
      </c>
      <c r="JS91" s="2">
        <v>0</v>
      </c>
      <c r="JT91" s="2">
        <v>0.18008199999999999</v>
      </c>
      <c r="JU91" s="2">
        <v>104.26238703999999</v>
      </c>
      <c r="JV91" s="2">
        <v>9.0570118900000001</v>
      </c>
      <c r="JW91" s="2">
        <v>8.5317717799999997</v>
      </c>
      <c r="JX91" s="2">
        <v>12.855313240000001</v>
      </c>
      <c r="JY91" s="2">
        <v>0</v>
      </c>
      <c r="JZ91" s="2">
        <v>4.2474773299999997</v>
      </c>
      <c r="KA91" s="2">
        <v>0.54362899999999992</v>
      </c>
      <c r="KB91" s="2">
        <v>29.99355989</v>
      </c>
      <c r="KC91" s="2">
        <v>67.887772890000008</v>
      </c>
      <c r="KD91" s="2">
        <v>17.188054299999997</v>
      </c>
      <c r="KE91" s="2">
        <v>21.851292619999999</v>
      </c>
      <c r="KF91" s="2">
        <v>52.265948369999997</v>
      </c>
      <c r="KG91" s="2">
        <v>391.68086485999982</v>
      </c>
      <c r="KH91" s="2">
        <v>194.12902524000003</v>
      </c>
      <c r="KI91" s="2">
        <v>11.15247257</v>
      </c>
      <c r="KJ91" s="2">
        <v>1.9138006200000002</v>
      </c>
      <c r="KK91" s="171">
        <v>10.901897520000004</v>
      </c>
      <c r="KL91" s="171">
        <v>2.6976839999999998E-2</v>
      </c>
      <c r="KM91" s="171">
        <v>5.1798810000000001E-2</v>
      </c>
      <c r="KN91" s="171">
        <v>0</v>
      </c>
      <c r="KO91" s="171">
        <v>7.3772347499999986</v>
      </c>
      <c r="KP91" s="171">
        <v>0</v>
      </c>
      <c r="KQ91" s="171">
        <v>0</v>
      </c>
      <c r="KR91" s="171">
        <v>6.7233850000000012E-2</v>
      </c>
      <c r="KS91" s="171">
        <v>3.5580119999999993E-2</v>
      </c>
      <c r="KT91" s="171">
        <v>0.19325807</v>
      </c>
      <c r="KU91" s="171">
        <v>0</v>
      </c>
      <c r="KV91" s="171">
        <v>0.65296894999999999</v>
      </c>
      <c r="KW91" s="171">
        <v>0</v>
      </c>
      <c r="KX91" s="171">
        <v>0</v>
      </c>
      <c r="KY91" s="171">
        <v>0.78564774999999998</v>
      </c>
      <c r="KZ91" s="171">
        <v>1.35471261</v>
      </c>
      <c r="LA91" s="171">
        <v>0.56255571999999998</v>
      </c>
      <c r="LB91" s="171">
        <v>1.316E-2</v>
      </c>
      <c r="LC91" s="171">
        <v>0.17769704</v>
      </c>
      <c r="LD91" s="171">
        <v>0</v>
      </c>
      <c r="LE91" s="171">
        <v>0</v>
      </c>
      <c r="LF91" s="171">
        <v>1.4227200000000001E-2</v>
      </c>
      <c r="LG91" s="171">
        <v>26.50290536</v>
      </c>
      <c r="LH91" s="171">
        <v>0</v>
      </c>
      <c r="LI91" s="171">
        <v>0.73566756000000011</v>
      </c>
      <c r="LJ91" s="171">
        <v>0</v>
      </c>
      <c r="LK91" s="171">
        <v>1.02297792</v>
      </c>
      <c r="LL91" s="171">
        <v>6.877667439999998</v>
      </c>
      <c r="LM91" s="171">
        <v>1.42944377</v>
      </c>
      <c r="LN91" s="171">
        <v>0.51198889000000003</v>
      </c>
      <c r="LO91" s="171">
        <v>7.3381374299999997</v>
      </c>
      <c r="LQ91" s="85">
        <f t="shared" si="247"/>
        <v>4813.7104364100005</v>
      </c>
      <c r="LR91" s="85">
        <f t="shared" si="248"/>
        <v>2.0701945399999997</v>
      </c>
      <c r="LS91" s="85">
        <f t="shared" si="249"/>
        <v>17.588783669999998</v>
      </c>
      <c r="LT91" s="85">
        <f t="shared" si="250"/>
        <v>4.7911063299999999</v>
      </c>
      <c r="LU91" s="85">
        <f t="shared" si="251"/>
        <v>7.5318475299999985</v>
      </c>
      <c r="LV91" s="85">
        <f t="shared" si="252"/>
        <v>1.4386166999999999</v>
      </c>
      <c r="LW91" s="85">
        <f t="shared" si="253"/>
        <v>0.57571571999999993</v>
      </c>
      <c r="LX91" s="85">
        <f t="shared" si="254"/>
        <v>1.4227200000000001E-2</v>
      </c>
      <c r="LZ91" s="131">
        <v>246.9</v>
      </c>
      <c r="MA91" s="171">
        <v>167.76</v>
      </c>
      <c r="MB91"/>
      <c r="MC91"/>
      <c r="MD91"/>
      <c r="MF91"/>
      <c r="MG91"/>
      <c r="MH91" s="83">
        <v>385.2</v>
      </c>
      <c r="MI91" s="83">
        <v>132.37</v>
      </c>
      <c r="MJ91" s="83">
        <v>224.06</v>
      </c>
      <c r="MK91"/>
      <c r="ML91" s="83">
        <v>380.97</v>
      </c>
      <c r="MM91" s="83">
        <v>251.55</v>
      </c>
      <c r="MN91" s="83"/>
      <c r="MO91" s="83">
        <v>197.26</v>
      </c>
      <c r="MP91" s="83">
        <v>317.44</v>
      </c>
      <c r="MQ91" s="83">
        <v>375.09</v>
      </c>
      <c r="MR91"/>
      <c r="MT91" s="83"/>
      <c r="MU91" s="83">
        <v>105.65</v>
      </c>
      <c r="MV91"/>
      <c r="MW91"/>
      <c r="MX91"/>
      <c r="MY91" s="83">
        <v>351.2</v>
      </c>
      <c r="MZ91" s="83">
        <v>882</v>
      </c>
      <c r="NA91" s="83">
        <v>401.64</v>
      </c>
      <c r="NB91" s="83">
        <v>1203.51</v>
      </c>
      <c r="NC91" s="83">
        <v>200.61</v>
      </c>
      <c r="ND91" s="1">
        <v>1490</v>
      </c>
      <c r="NE91" s="1">
        <v>929.54</v>
      </c>
    </row>
    <row r="92" spans="1:369">
      <c r="A92" s="38">
        <f t="shared" si="334"/>
        <v>44866</v>
      </c>
      <c r="B92" s="36">
        <f t="shared" si="366"/>
        <v>11</v>
      </c>
      <c r="C92" s="36">
        <f t="shared" si="367"/>
        <v>2022</v>
      </c>
      <c r="D92" s="36">
        <f t="shared" si="347"/>
        <v>92</v>
      </c>
      <c r="E92" s="38">
        <f t="shared" si="335"/>
        <v>44866</v>
      </c>
      <c r="F92" s="7">
        <v>168.39</v>
      </c>
      <c r="G92" s="7">
        <v>1079.3</v>
      </c>
      <c r="H92" s="1">
        <f>[2]NACIONALES!$D80</f>
        <v>98914.95</v>
      </c>
      <c r="I92" s="7">
        <v>111</v>
      </c>
      <c r="J92" s="7">
        <v>890</v>
      </c>
      <c r="K92" s="7">
        <v>10</v>
      </c>
      <c r="L92" s="7">
        <v>29.1</v>
      </c>
      <c r="N92">
        <v>2.48</v>
      </c>
      <c r="O92" s="5">
        <v>2.06</v>
      </c>
      <c r="P92" s="78">
        <f t="shared" ref="P92:P123" si="398">IFERROR(+AVERAGE(N92:O92)*0.95*(F92),"")</f>
        <v>363.13303499999995</v>
      </c>
      <c r="Q92" s="143">
        <v>4400</v>
      </c>
      <c r="R92" s="79">
        <f t="shared" si="336"/>
        <v>44000</v>
      </c>
      <c r="S92" s="6">
        <v>280</v>
      </c>
      <c r="T92" s="181">
        <f>80392.86/F92</f>
        <v>477.42063067878144</v>
      </c>
      <c r="U92" s="143">
        <v>259.40000000000003</v>
      </c>
      <c r="V92" s="143">
        <v>374.97142857142853</v>
      </c>
      <c r="W92">
        <v>294</v>
      </c>
      <c r="X92" s="6">
        <v>348.0809523809524</v>
      </c>
      <c r="Y92" s="79">
        <f t="shared" si="337"/>
        <v>47149.2</v>
      </c>
      <c r="Z92" s="79">
        <f t="shared" si="338"/>
        <v>80392.86</v>
      </c>
      <c r="AA92" s="79">
        <f t="shared" si="339"/>
        <v>43680.366000000002</v>
      </c>
      <c r="AB92" s="79">
        <f t="shared" si="340"/>
        <v>63141.438857142843</v>
      </c>
      <c r="AC92" s="79">
        <f t="shared" si="341"/>
        <v>49506.659999999996</v>
      </c>
      <c r="AD92" s="79">
        <f t="shared" si="342"/>
        <v>58613.351571428568</v>
      </c>
      <c r="AE92" s="79">
        <f t="shared" si="343"/>
        <v>57080.646071428571</v>
      </c>
      <c r="AF92" s="1">
        <v>118624.80952380953</v>
      </c>
      <c r="AG92" s="1">
        <v>70080</v>
      </c>
      <c r="AH92" s="1">
        <v>266000</v>
      </c>
      <c r="AI92" s="5">
        <v>87.667100000000005</v>
      </c>
      <c r="AJ92" s="5">
        <v>81.768000000000001</v>
      </c>
      <c r="AK92" s="5">
        <v>52.183</v>
      </c>
      <c r="AL92" s="5">
        <v>49.130400000000002</v>
      </c>
      <c r="AM92" s="78">
        <f t="shared" si="344"/>
        <v>68.956462000000002</v>
      </c>
      <c r="AN92" s="7">
        <v>4492.3684210526317</v>
      </c>
      <c r="AO92" s="7">
        <v>2247.7272727272725</v>
      </c>
      <c r="AP92" s="78">
        <f t="shared" si="385"/>
        <v>2247.7272727272725</v>
      </c>
      <c r="AQ92" s="7">
        <v>1462.8440366972477</v>
      </c>
      <c r="AR92" s="7">
        <v>1431.772727272727</v>
      </c>
      <c r="AS92" s="7">
        <v>1050.9411764705883</v>
      </c>
      <c r="AT92" s="7">
        <v>1314.1545454545458</v>
      </c>
      <c r="AU92" s="78">
        <f t="shared" si="348"/>
        <v>1265.6228163992871</v>
      </c>
      <c r="AV92" s="7">
        <v>1720.0595238095239</v>
      </c>
      <c r="AW92" s="7">
        <v>5305</v>
      </c>
      <c r="AX92" s="7">
        <v>2789.4500000000003</v>
      </c>
      <c r="AY92" s="7">
        <v>1214.2622950819673</v>
      </c>
      <c r="AZ92" s="7">
        <v>652.35636363636365</v>
      </c>
      <c r="BA92" s="7">
        <v>1926.5517241379309</v>
      </c>
      <c r="BB92" s="94">
        <f t="shared" si="345"/>
        <v>1697.505614011797</v>
      </c>
      <c r="BC92" s="68">
        <v>7746</v>
      </c>
      <c r="BD92" s="68">
        <v>5850</v>
      </c>
      <c r="BE92" s="7">
        <v>4200</v>
      </c>
      <c r="BF92" s="7">
        <v>2500</v>
      </c>
      <c r="BG92" s="94">
        <f t="shared" si="349"/>
        <v>5074</v>
      </c>
      <c r="BH92" s="7">
        <v>287.83</v>
      </c>
      <c r="BI92" s="182">
        <f>60+40</f>
        <v>100</v>
      </c>
      <c r="BJ92" s="78">
        <f t="shared" si="350"/>
        <v>387.83</v>
      </c>
      <c r="BK92" s="7">
        <v>299.904</v>
      </c>
      <c r="BL92" s="7">
        <v>360.35</v>
      </c>
      <c r="BM92" s="94">
        <f t="shared" si="351"/>
        <v>330.12700000000001</v>
      </c>
      <c r="BN92" s="5">
        <v>61.59</v>
      </c>
      <c r="BO92" s="84">
        <v>269.60000000000002</v>
      </c>
      <c r="BP92">
        <v>219.77</v>
      </c>
      <c r="BQ92" s="94">
        <f t="shared" si="346"/>
        <v>264.61700000000002</v>
      </c>
      <c r="BR92" s="7">
        <v>250.24</v>
      </c>
      <c r="BS92" s="97">
        <v>800</v>
      </c>
      <c r="BT92" s="7">
        <f>0.75*F92</f>
        <v>126.29249999999999</v>
      </c>
      <c r="BU92" s="79">
        <f t="shared" si="237"/>
        <v>9978.8775000000005</v>
      </c>
      <c r="BV92" s="7">
        <v>342.3</v>
      </c>
      <c r="BW92" s="7">
        <v>675</v>
      </c>
      <c r="BY92" s="92">
        <f>BY$10*(1+((H92/H$10-1)*costos!$B$5+((I92*F92)/(I$10*F$10)-1)*costos!$E$5+((J92*F92)/((J$10*F$10)-1)*costos!$F$5/3+((K92*F92)/(K$10*F$10)-1)*costos!$F$5/3+((U92*F92)/(U$10*F$10)-1)*costos!$F$5/3+((L92*F92)/(L$10*F$10)-1)*costos!$G$5+((N92*F92)/(N$10*F$10)-1)*costos!$J$5+((V92*F92)/(V$10*F$10)-1)*costos!$K$5)))</f>
        <v>2113.1811513605317</v>
      </c>
      <c r="BZ92" s="92">
        <f>$BZ$10*(1+((H92/$H$10-1)*costos!$B$6+((I92*F92)/($I$10*$F$10)-1)*costos!$E$6+((J92*F92)/(($J$10*$F$10)-1)*costos!$F$6/3+((K92*F92)/($K$10*$F$10)-1)*costos!$F$6/3+((U92*F92)/($U$10*$F$10)-1)*costos!$F$6/3+((L92*F92)/($L$10*$F$10)-1)*costos!$G$6+((Q92*F92)/($Q$10*$F$10)-1)*costos!$J$6+((V92*F92)/($V$10*$F$10)-1)*costos!$K$6)))</f>
        <v>1725.7529852342132</v>
      </c>
      <c r="CA92" s="92">
        <f>CA$10*(1+((H92/H$10-1)*costos!$B$7+((I92*F92)/(I$10*F$10)-1)*costos!$E$7+((J92*F92)/((J$10*F$10)-1)*costos!$F$7/3+((K92*F92)/(K$10*F$10)-1)*costos!$F$7/3+((U92*F92)/(U$10*F$10)-1)*costos!$F$7/3+((L92*F92)/(L$10*F$10)-1)*costos!$G$7+((S92*F92)/(S$10*F$10)-1)*costos!$J$7+((V92*F92)/(V$10*F$10)-1)*costos!$K$7)))</f>
        <v>2021.9749318444844</v>
      </c>
      <c r="CB92" s="92">
        <f>CB$10*(1+((H92/H$10-1)*costos!$B$8+((I92*F92)/(I$10*F$10)-1)*costos!$E$8+((J92*F92)/((J$10*F$10)-1)*costos!$F$8/3+((K92*F92)/(K$10*F$10)-1)*costos!$F$8/3+((U92*F92)/(U$10*F$10)-1)*costos!$F$8/3+((L92*F92)/(L$10*F$10)-1)*costos!$G$8+((T92*F92)/(T$10*F$10)-1)*costos!$J$8+((V92*F92)/(V$10*F$10)-1)*costos!$K$8)))</f>
        <v>1903.4272835144307</v>
      </c>
      <c r="CC92" s="92">
        <f>CC$10*(1+((H92/H$10-1)*costos!$B$9+((I92*F92)/(I$10*F$10)-1)*costos!$E$9+((J92*F92)/((J$10*F$10)-1)*costos!$F$9/3+((K92*F92)/(K$10*F$10)-1)*costos!$F$9/3+((U92*F92)/(U$10*F$10)-1)*costos!$F$9/3+((L92*F92)/(L$10*F$10)-1)*costos!$G$9+((U92*F92)/(U$10*F$10)-1)*costos!$J$9+((V92*F92)/(V$10*F$10)-1)*costos!$K$9)))</f>
        <v>1921.1693230204737</v>
      </c>
      <c r="CD92" s="92">
        <f>CD$10*(1+((H92/H$10-1)*costos!$B$11+((I92*F92)/(I$10*F$10)-1)*costos!$E$11+((J92*F92)/((J$10*F$10)-1)*costos!$F$11/3+((K92*F92)/(K$10*F$10)-1)*costos!$F$11/3+((U92*F92)/(U$10*F$10)-1)*costos!$F$11/3+((L92*F92)/(L$10*F$10)-1)*costos!$G$11+((V92*F92)/(V$10*F$10)-1)*costos!$J$11+((V92*F92)/(V$10*F$10)-1)*costos!$K$11)))</f>
        <v>1941.6790615582493</v>
      </c>
      <c r="CE92" s="92">
        <f>CE$10*(1+((H92/H$10-1)*costos!$B$12+((I92*F92)/(I$10*F$10)-1)*costos!$E$12+((J92*F92)/((J$10*F$10)-1)*costos!$F$12/3+((K92*F92)/(K$10*F$10)-1)*costos!$F$12/3+((U92*F92)/(U$10*F$10)-1)*costos!$F$12/3+((L92*F92)/(L$10*F$10)-1)*costos!$G$12+((W92*F92)/(W$10*F$10)-1)*costos!$J$12+((V92*F92)/(V$10*F$10)-1)*costos!$K$12)))</f>
        <v>1980.8247986804886</v>
      </c>
      <c r="CF92" s="92">
        <f>CF$10*(1+((H92/H$10-1)*costos!$B$13+((I92*F92)/(I$10*F$10)-1)*costos!$E$13+((J92*F92)/((J$10*F$10)-1)*costos!$F$13/3+((K92*F92)/(K$10*F$10)-1)*costos!$F$13/3+((U92*F92)/(U$10*F$10)-1)*costos!$F$13/3+((L92*F92)/(L$10*F$10)-1)*costos!$G$13+((X92*F92)/(X$10*F$10)-1)*costos!$J$13+((V92*F92)/(V$10*F$10)-1)*costos!$K$13)))</f>
        <v>2124.6933509226524</v>
      </c>
      <c r="CG92" s="92">
        <f t="shared" si="388"/>
        <v>1982.2947915901298</v>
      </c>
      <c r="CH92" s="92">
        <f>CH$10*(1+((H92/H$10-1)*costos!$B$10+((I92*F92)/(I$10*F$10)-1)*costos!$E$10+((J92*F92)/((J$10*F$10)-1)*costos!$F$10/3+((K92*F92)/(K$10*F$10)-1)*costos!$F$10/3+((U92*F92)/(U$10*F$10)-1)*costos!$F$10/3+((L92*F92)/(L$10*F$10)-1)*costos!$G$10+((AF92)/(AF$10)-1)*costos!$J$10+((V92*F92)/(V$10*F$10)-1)*costos!$K$10)))</f>
        <v>1888.1061722609015</v>
      </c>
      <c r="CI92" s="92">
        <f>CI$10*(1+((H92/H$10-1)*costos!$B$15+((I92*F92)/(I$10*F$10)-1)*costos!$E$15+((J92*F92)/((J$10*F$10)-1)*costos!$F$15/3+((K92*F92)/(K$10*F$10)-1)*costos!$F$15/3+((U92*F92)/(U$10*F$10)-1)*costos!$F$15/3+((L92*F92)/(L$10*F$10)-1)*costos!$G$15+((AV92)/(AV$10)-1)*costos!$J$15+((V92*F92)/(V$10*F$10)-1)*costos!$K$15)))</f>
        <v>2068.2418555598701</v>
      </c>
      <c r="CJ92" s="92">
        <f>CJ$10*(1+((H92/H$10-1)*costos!$B$16+((I92*F92)/(I$10*F$10)-1)*costos!$E$16+((J92*F92)/((J$10*F$10)-1)*costos!$F$16/3+((K92*F92)/(K$10*F$10)-1)*costos!$F$16/3+((U92*F92)/(U$10*F$10)-1)*costos!$F$16/3+((L92*F92)/(L$10*F$10)-1)*costos!$G$16+((AW92)/(AW$10)-1)*costos!$J$16+((V92*F92)/(V$10*F$10)-1)*costos!$K$16)))</f>
        <v>1741.6220082090838</v>
      </c>
      <c r="CK92" s="92">
        <f>CK$10*(1+((H92/H$10-1)*costos!$B$17+((I92*F92)/(I$10*F$10)-1)*costos!$E$17+((J92*F92)/((J$10*F$10)-1)*costos!$F$17/3+((K92*F92)/(K$10*F$10)-1)*costos!$F$17/3+((U92*F92)/(U$10*F$10)-1)*costos!$F$17/3+((L92*F92)/(L$10*F$10)-1)*costos!$G$17+((AX92)/(AX$10)-1)*costos!$J$17+((V92*F92)/(V$10*F$10)-1)*costos!$K$17)))</f>
        <v>2167.195579458562</v>
      </c>
      <c r="CL92" s="92">
        <f>CL$10*(1+((H92/H$10-1)*costos!$B$18+((I92*F92)/(I$10*F$10)-1)*costos!$E$18+((J92*F92)/((J$10*F$10)-1)*costos!$F$18/3+((K92*F92)/(K$10*F$10)-1)*costos!$F$18/3+((U92*F92)/(U$10*F$10)-1)*costos!$F$18/3+((L92*F92)/(L$10*F$10)-1)*costos!$G$18+((AY92)/(AY$10)-1)*costos!$J$18+((V92*F92)/(V$10*F$10)-1)*costos!$K$18)))</f>
        <v>1750.971512937102</v>
      </c>
      <c r="CM92" s="92">
        <f>CM$10*(1+((H92/H$10-1)*costos!$B$19+((I92*F92)/(I$10*F$10)-1)*costos!$E$19+((J92*F92)/((J$10*F$10)-1)*costos!$F$19/3+((K92*F92)/(K$10*F$10)-1)*costos!$F$19/3+((U92*F92)/(U$10*F$10)-1)*costos!$F$19/3+((L92*F92)/(L$10*F$10)-1)*costos!$G$19+((AZ92)/(AZ$10)-1)*costos!$J$19+((V92*F92)/(V$10*F$10)-1)*costos!$K$19)))</f>
        <v>1301.6636488645495</v>
      </c>
      <c r="CN92" s="92">
        <f>CN$10*(1+((H92/H$10-1)*costos!$B$20+((I92*F92)/(I$10*F$10)-1)*costos!$E$20+((J92*F92)/((J$10*F$10)-1)*costos!$F$20/3+((K92*F92)/(K$10*F$10)-1)*costos!$F$20/3+((U92*F92)/(U$10*F$10)-1)*costos!$F$20/3+((L92*F92)/(L$10*F$10)-1)*costos!$G$20+((BA92)/(BA$10)-1)*costos!$J$20+((V92*F92)/(V$10*F$10)-1)*costos!$K$20)))</f>
        <v>1692.6645394776078</v>
      </c>
      <c r="CO92" s="92">
        <f t="shared" si="389"/>
        <v>1728.1238201844553</v>
      </c>
      <c r="CP92" s="92">
        <f>CP$10*(1+((H92/H$10-1)*costos!$B$22+((I92*F92)/(I$10*F$10)-1)*costos!$E$22+((J92*F92)/((J$10*F$10)-1)*costos!$F$22/3+((K92*F92)/(K$10*F$10)-1)*costos!$F$22/3+((U92*F92)/(U$10*F$10)-1)*costos!$F$22/3+((L92*F92)/(L$10*F$10)-1)*costos!$G$22+(((AVERAGE(AI92:AL92))/((AVERAGE(AI$10:AL$10))-1)*costos!$J$22+((V92*F92)/(V$10*F$10)-1)*costos!$K$22)))))</f>
        <v>1918.1604679094228</v>
      </c>
      <c r="CQ92" s="92">
        <f>CQ$10*(1+((H92/H$10-1)*costos!$B$23+((I92*F92)/(I$10*F$10)-1)*costos!$E$23+((J92*F92)/((J$10*F$10)-1)*costos!$F$23/3+((K92*F92)/(K$10*F$10)-1)*costos!$F$23/3+((U92*F92)/(U$10*F$10)-1)*costos!$F$23/3+((L92*F92)/(L$10*F$10)-1)*costos!$G$23+((AN92)/(AN$10)-1)*costos!$J$23+((V92*F92)/(V$10*F$10)-1)*costos!$K$23)))</f>
        <v>1614.3392764115979</v>
      </c>
      <c r="CR92" s="92">
        <f>CR$10*(1+((H92/H$10-1)*costos!$B$24+((I92*F92)/(I$10*F$10)-1)*costos!$E$24+((J92*F92)/((J$10*F$10)-1)*costos!$F$24/3+((K92*F92)/(K$10*F$10)-1)*costos!$F$24/3+((U92*F92)/(U$10*F$10)-1)*costos!$F$24/3+((L92*F92)/(L$10*F$10)-1)*costos!$G$24+((AO92)/(AO$10)-1)*costos!$J$24+((V92*F92)/(V$10*F$10)-1)*costos!$K$24)))</f>
        <v>1576.6929456130317</v>
      </c>
      <c r="CS92" s="92">
        <f t="shared" si="352"/>
        <v>1595.5161110123149</v>
      </c>
      <c r="CT92" s="92">
        <f>CT$10*(1+((H92/H$10-1)*costos!$B$25+((I92*F92)/(I$10*F$10)-1)*costos!$E$25+((J92*F92)/((J$10*F$10)-1)*costos!$F$25/3+((K92*F92)/(K$10*F$10)-1)*costos!$F$25/3+((U92*F92)/(U$10*F$10)-1)*costos!$F$25/3+((L92*F92)/(L$10*F$10)-1)*costos!$G$25+((AQ92)/(AQ$10)-1)*costos!$J$25+((V92*F92)/(V$10*F$10)-1)*costos!$K$25)))</f>
        <v>1539.7292844663632</v>
      </c>
      <c r="CU92" s="92">
        <f>CU$10*(1+((H92/H$10-1)*costos!$B$26+((I92*F92)/(I$10*F$10)-1)*costos!$E$26+((J92*F92)/((J$10*F$10)-1)*costos!$F$26/3+((K92*F92)/(K$10*F$10)-1)*costos!$F$26/3+((U92*F92)/(U$10*F$10)-1)*costos!$F$26/3+((L92*F92)/(L$10*F$10)-1)*costos!$G$26+((AR92)/(AR$10)-1)*costos!$J$26+((V92*F92)/(V$10*F$10)-1)*costos!$K$26)))</f>
        <v>1667.1998495486569</v>
      </c>
      <c r="CV92" s="92">
        <f>CV$10*(1+((H92/H$10-1)*costos!$B$27+((I92*F92)/(I$10*F$10)-1)*costos!$E$27+((J92*F92)/((J$10*F$10)-1)*costos!$F$27/3+((K92*F92)/(K$10*F$10)-1)*costos!$F$27/3+((U92*F92)/(U$10*F$10)-1)*costos!$F$27/3+((L92*F92)/(L$10*F$10)-1)*costos!$G$27+((AS92)/(AS$10)-1)*costos!$J$27+((V92*F92)/(V$10*F$10)-1)*costos!$K$27)))</f>
        <v>1640.0120423533469</v>
      </c>
      <c r="CW92" s="92">
        <f>CW$10*(1+((H92/H$10-1)*costos!$B$28+((I92*F92)/(I$10*F$10)-1)*costos!$E$28+((J92*F92)/((J$10*F$10)-1)*costos!$F$28/3+((K92*F92)/(K$10*F$10)-1)*costos!$F$28/3+((U92*F92)/(U$10*F$10)-1)*costos!$F$28/3+((L92*F92)/(L$10*F$10)-1)*costos!$G$28+((AS92)/(AS$10)-1)*costos!$J$28+((V92*F92)/(V$10*F$10)-1)*costos!$K$28)))</f>
        <v>1640.0120423533469</v>
      </c>
      <c r="CX92" s="92">
        <f t="shared" si="390"/>
        <v>1649.0746447517838</v>
      </c>
      <c r="CY92" s="92">
        <f>CY$10*(1+((H92/H$10-1)*costos!$B$32+((I92*F92)/(I$10*F$10)-1)*costos!$E$32+((J92*F92)/((J$10*F$10)-1)*costos!$F$32/3+((K92*F92)/(K$10*F$10)-1)*costos!$F$32/3+((U92*F92)/(U$10*F$10)-1)*costos!$F$32/3+((L92*F92)/(L$10*F$10)-1)*costos!$G$32+((AG92)/(AG$10)-1)*costos!$J$32+((V92*F92)/(V$10*F$10)-1)*costos!$K$32)))</f>
        <v>1459.1626956421667</v>
      </c>
      <c r="CZ92" s="69">
        <f>CZ$10*(1+((H92/H$10-1)*costos!$B$31+((I92*F92)/(I$10*F$10)-1)*costos!$E$30+((J92*F92)/((J$10*F$10)-1)*costos!$F$30/3+((K92*F92)/(K$10*F$10)-1)*costos!$F$30/3+((U92*F92)/(U$10*F$10)-1)*costos!$F$30/3+((L92*F92)/(L$10*F$10)-1)*costos!$G$30+((BG92)/(BG$10)-1)*costos!$J$30+((V92*F92)/(V$10*F$10)-1)*costos!$K$30)))</f>
        <v>1895.4529626860608</v>
      </c>
      <c r="DA92" s="69">
        <f>DA$10*(1+((H92/H$10-1)*costos!$B$31+((I92*F92)/(I$10*F$10)-1)*costos!$E$31+((J92*F92)/((J$10*F$10)-1)*costos!$F$31/3+((K92*F92)/(K$10*F$10)-1)*costos!$F$31/3+((U92*F92)/(U$10*F$10)-1)*costos!$F$31/3+((L92*F92)/(L$10*F$10)-1)*costos!$G$31+((BJ92)/(BJ$10)-1)*costos!$J$31+((V92*F92)/(V$10*F$10)-1)*costos!$K$31)))</f>
        <v>1545.6461855240207</v>
      </c>
      <c r="DB92" s="69">
        <f>DB$10*(1+((H92/H$10-1)*costos!$B$36+((I92*F92)/(I$10*F$10)-1)*costos!$E$36+((J92*F92)/((J$10*F$10)-1)*costos!$F$36/3+((K92*F92)/(K$10*F$10)-1)*costos!$F$36/3+((U92*F92)/(U$10*F$10)-1)*costos!$F$36/3+((L92*F92)/(L$10*F$10)-1)*costos!$G$36+((BK92)/(BK$10)-1)*costos!$J$36+((V92*F92)/(V$10*F$10)-1)*costos!$K$36)))</f>
        <v>1744.6252868477841</v>
      </c>
      <c r="DC92" s="69">
        <f>DC$10*(1+((H92/H$10-1)*costos!$B$37+((I92*F92)/(I$10*F$10)-1)*costos!$E$37+((U92*F92)/(U$10*F$10)-1)*costos!$F$37+((L92*F92)/(L$10*F$10)-1)*costos!$G$37+((BN92)/(BN$10)-1)*costos!$J$37+((V92*F92)/(V$10*F$10)-1)*costos!$K$37))</f>
        <v>1921.4944327693452</v>
      </c>
      <c r="DD92" s="69">
        <f>DD$10*(1+((H92/H$10-1)*costos!$B$39+((I92*F92)/(I$10*F$10)-1)*costos!$E$39+((U92*F92)/(U$10*F$10)-1)*costos!$F$39+((L92*F92)/(L$10*F$10)-1)*costos!$G$39+((BR92)/(BR$10)-1)*costos!$J$39+((V92*F92)/(V$10*F$10)-1)*costos!$K$39))</f>
        <v>1894.015413233456</v>
      </c>
      <c r="DE92" s="69">
        <f>DD$10*(1+((H92/H$10-1)*costos!$B$35+((I92*F92)/(I$10*F$10)-1)*costos!$E$35+((U92*F92)/(U$10*F$10)-1)*costos!$F$35+((L92*F92)/(L$10*F$10)-1)*costos!$G$35+((BR92)/(BR$10)-1)*costos!$J$35+((V92*F92)/(V$10*F$10)-1)*costos!$K$35))</f>
        <v>1722.2370111322448</v>
      </c>
      <c r="DF92" s="69">
        <f>DF$10*(1+((H92/H$10-1)*costos!$B$40+((I92*F92)/(I$10*F$10)-1)*costos!$E$40+((U92*F92)/(U$10*F$10)-1)*costos!$F$40+((L92*F92)/(L$10*F$10)-1)*costos!$G$40+((BP92)/(BP$10)-1)*costos!$J$40+((V92*F92)/(V$10*F$10)-1)*costos!$K$40))</f>
        <v>1998.5793103987078</v>
      </c>
      <c r="DG92" s="92">
        <f t="shared" si="391"/>
        <v>1860.4081607654762</v>
      </c>
      <c r="DH92" s="69">
        <f>DH$10*(1+((H92/H$10-1)*costos!$B$34+((I92*F92)/(I$10*F$10)-1)*costos!$E$34+((J92*F92)/((J$10*F$10)-1)*costos!$F$34/3+((K92*F92)/(K$10*F$10)-1)*costos!$F$34/3+((U92*F92)/(U$10*F$10)-1)*costos!$F$34/3+((L92*F92)/(L$10*F$10)-1)*costos!$G$34+((BV92)/(BV$10)-1)*costos!$J$34+((V92*F92)/(V$10*F$10)-1)*costos!$K$34)))</f>
        <v>1620.9514548186726</v>
      </c>
      <c r="DI92" s="69">
        <f>DI$10*(1+((H92/H$10-1)*costos!$B$38+((I92*F92)/(I$10*F$10)-1)*costos!$E$38+((J92*F92)/((J$10*F$10)-1)*costos!$F$38/3+((K92*F92)/(K$10*F$10)-1)*costos!$F$38/3+((U92*F92)/(U$10*F$10)-1)*costos!$F$38/3+((L92*F92)/(L$10*F$10)-1)*costos!$G$38+((BU92)/(BU$10)-1)*costos!$J$38+((V92*F92)/(V$10*F$10)-1)*costos!$K$38)))</f>
        <v>1465.062688878734</v>
      </c>
      <c r="DK92" s="1">
        <v>580000</v>
      </c>
      <c r="DL92" s="1" t="s">
        <v>399</v>
      </c>
      <c r="DM92" s="1">
        <v>200000</v>
      </c>
      <c r="DN92" s="1" t="s">
        <v>399</v>
      </c>
      <c r="DO92" s="1">
        <v>1750000</v>
      </c>
      <c r="DP92" s="1" t="s">
        <v>399</v>
      </c>
      <c r="DQ92" s="1">
        <v>2200000</v>
      </c>
      <c r="DR92" s="1" t="s">
        <v>399</v>
      </c>
      <c r="DS92" s="1">
        <v>7300000</v>
      </c>
      <c r="DT92" s="83" t="s">
        <v>399</v>
      </c>
      <c r="DU92" s="1">
        <v>16500000</v>
      </c>
      <c r="DV92" s="83" t="s">
        <v>399</v>
      </c>
      <c r="DW92" s="1">
        <v>950000</v>
      </c>
      <c r="DX92" s="83" t="s">
        <v>399</v>
      </c>
      <c r="DY92" s="1">
        <v>5907000</v>
      </c>
      <c r="DZ92" s="1" t="s">
        <v>399</v>
      </c>
      <c r="EA92" s="79">
        <f t="shared" si="353"/>
        <v>34607000</v>
      </c>
      <c r="EB92" s="1">
        <v>373795</v>
      </c>
      <c r="EC92" s="1" t="s">
        <v>399</v>
      </c>
      <c r="ED92" s="1">
        <v>209277</v>
      </c>
      <c r="EE92" s="143">
        <v>2022</v>
      </c>
      <c r="EF92" s="1">
        <v>207047</v>
      </c>
      <c r="EG92" s="6">
        <v>2022</v>
      </c>
      <c r="EH92" s="1">
        <v>53416435</v>
      </c>
      <c r="EI92" s="6">
        <v>2022</v>
      </c>
      <c r="EJ92" s="1">
        <v>5477107</v>
      </c>
      <c r="EK92" s="6">
        <v>2022</v>
      </c>
      <c r="EL92" s="1">
        <v>12461845</v>
      </c>
      <c r="EM92" s="6">
        <v>2022</v>
      </c>
      <c r="EN92" s="1">
        <v>3169981</v>
      </c>
      <c r="EO92" s="6">
        <v>2021</v>
      </c>
      <c r="EP92" s="82">
        <f t="shared" si="392"/>
        <v>6552</v>
      </c>
      <c r="EQ92" s="83">
        <v>3500000</v>
      </c>
      <c r="ER92" s="1">
        <f t="shared" si="189"/>
        <v>74633.333333333328</v>
      </c>
      <c r="ES92" s="1"/>
      <c r="ET92" s="83">
        <f t="shared" si="393"/>
        <v>17456</v>
      </c>
      <c r="EU92" s="83">
        <f t="shared" si="393"/>
        <v>19445</v>
      </c>
      <c r="EV92" s="83">
        <f t="shared" si="393"/>
        <v>9018</v>
      </c>
      <c r="EW92" s="83">
        <f t="shared" si="393"/>
        <v>17386</v>
      </c>
      <c r="EX92" s="79">
        <f t="shared" si="387"/>
        <v>63305</v>
      </c>
      <c r="EY92" s="83">
        <f t="shared" si="394"/>
        <v>20049</v>
      </c>
      <c r="EZ92" s="83">
        <f t="shared" si="370"/>
        <v>33638</v>
      </c>
      <c r="FA92" s="83">
        <f t="shared" si="371"/>
        <v>19948</v>
      </c>
      <c r="FB92" s="83">
        <f t="shared" si="372"/>
        <v>15432</v>
      </c>
      <c r="FC92" s="79">
        <f t="shared" si="307"/>
        <v>35380</v>
      </c>
      <c r="FD92" s="83">
        <f t="shared" si="395"/>
        <v>56856.849999999991</v>
      </c>
      <c r="FE92" s="1"/>
      <c r="FF92" s="1">
        <v>1100000</v>
      </c>
      <c r="FG92" s="1" t="s">
        <v>389</v>
      </c>
      <c r="FH92" s="1">
        <v>1200000</v>
      </c>
      <c r="FI92" s="1" t="s">
        <v>389</v>
      </c>
      <c r="FJ92" s="1">
        <v>4700000</v>
      </c>
      <c r="FK92" s="1" t="s">
        <v>399</v>
      </c>
      <c r="FL92" s="1">
        <v>4000000</v>
      </c>
      <c r="FM92" s="1" t="s">
        <v>389</v>
      </c>
      <c r="FN92" s="1">
        <v>52000000</v>
      </c>
      <c r="FO92" s="1" t="s">
        <v>389</v>
      </c>
      <c r="FP92" s="1">
        <v>44000000</v>
      </c>
      <c r="FQ92" s="1" t="s">
        <v>389</v>
      </c>
      <c r="FR92" s="1">
        <v>2800000</v>
      </c>
      <c r="FS92" s="1" t="s">
        <v>389</v>
      </c>
      <c r="FT92" s="1">
        <v>12555000</v>
      </c>
      <c r="FU92" s="1" t="s">
        <v>399</v>
      </c>
      <c r="FV92" s="79">
        <f t="shared" si="355"/>
        <v>120055000</v>
      </c>
      <c r="FW92" s="1">
        <v>1350000</v>
      </c>
      <c r="FX92" s="1" t="s">
        <v>389</v>
      </c>
      <c r="FY92" s="1">
        <v>0</v>
      </c>
      <c r="FZ92" s="79">
        <f t="shared" si="377"/>
        <v>844200</v>
      </c>
      <c r="GA92" s="86" t="str">
        <f t="shared" si="378"/>
        <v>dic21 nov22</v>
      </c>
      <c r="GB92" s="1">
        <v>19368031</v>
      </c>
      <c r="GC92" s="6">
        <v>2022</v>
      </c>
      <c r="GD92" s="83">
        <v>1770000</v>
      </c>
      <c r="GE92" s="83">
        <v>380000</v>
      </c>
      <c r="GF92" s="83">
        <v>800000</v>
      </c>
      <c r="GG92" s="83">
        <f t="shared" si="268"/>
        <v>94581</v>
      </c>
      <c r="GH92" s="79">
        <f t="shared" si="240"/>
        <v>1274581</v>
      </c>
      <c r="GI92" s="82">
        <f t="shared" si="373"/>
        <v>1302556</v>
      </c>
      <c r="GJ92" s="83">
        <f t="shared" si="373"/>
        <v>665558</v>
      </c>
      <c r="GK92" s="83">
        <f t="shared" si="373"/>
        <v>1393000</v>
      </c>
      <c r="GL92" s="83">
        <f t="shared" si="373"/>
        <v>300028.90000000002</v>
      </c>
      <c r="GM92" s="83">
        <f t="shared" si="373"/>
        <v>259304.56</v>
      </c>
      <c r="GN92" s="79">
        <f t="shared" si="357"/>
        <v>2617891.46</v>
      </c>
      <c r="GO92" s="83">
        <f t="shared" si="374"/>
        <v>200935</v>
      </c>
      <c r="GP92" s="83">
        <f t="shared" si="374"/>
        <v>73046</v>
      </c>
      <c r="GQ92" s="83">
        <v>69397</v>
      </c>
      <c r="GR92" s="82">
        <v>42288</v>
      </c>
      <c r="GS92" s="79">
        <f t="shared" si="192"/>
        <v>44369.91</v>
      </c>
      <c r="GT92" s="83">
        <f t="shared" si="375"/>
        <v>2410599</v>
      </c>
      <c r="GU92" s="1">
        <v>22824</v>
      </c>
      <c r="GV92" s="1">
        <v>27576</v>
      </c>
      <c r="GW92" s="79">
        <f t="shared" si="261"/>
        <v>993960</v>
      </c>
      <c r="GX92" s="1">
        <v>33063.449999999997</v>
      </c>
      <c r="GY92" s="1" t="s">
        <v>398</v>
      </c>
      <c r="GZ92" s="1">
        <v>91610</v>
      </c>
      <c r="HA92" s="1">
        <v>269217</v>
      </c>
      <c r="HB92" s="79">
        <f t="shared" si="241"/>
        <v>3097677</v>
      </c>
      <c r="HC92" s="86" t="str">
        <f t="shared" si="379"/>
        <v>dic21 nov22</v>
      </c>
      <c r="HD92" s="1">
        <v>60637</v>
      </c>
      <c r="HE92" s="79">
        <f t="shared" si="380"/>
        <v>692719</v>
      </c>
      <c r="HF92" s="86" t="str">
        <f t="shared" si="381"/>
        <v>dic21 nov22</v>
      </c>
      <c r="HG92" s="1">
        <v>205000</v>
      </c>
      <c r="HH92" s="79">
        <f t="shared" si="242"/>
        <v>2331335</v>
      </c>
      <c r="HI92" s="86" t="str">
        <f t="shared" si="382"/>
        <v>dic21 nov22</v>
      </c>
      <c r="HJ92" s="83">
        <v>114709</v>
      </c>
      <c r="HK92" s="79">
        <f t="shared" si="278"/>
        <v>67022.759999999995</v>
      </c>
      <c r="HL92" s="86" t="str">
        <f t="shared" si="383"/>
        <v>dic21 nov22</v>
      </c>
      <c r="HM92" s="79">
        <f t="shared" si="358"/>
        <v>2398357.7599999998</v>
      </c>
      <c r="HN92" s="87">
        <f t="shared" si="297"/>
        <v>-2.8803267397980337E-2</v>
      </c>
      <c r="HO92" s="1">
        <v>1046000000</v>
      </c>
      <c r="HP92" s="79">
        <f t="shared" si="386"/>
        <v>11574.349742615621</v>
      </c>
      <c r="HQ92" s="86" t="str">
        <f t="shared" si="384"/>
        <v>dic21 nov22</v>
      </c>
      <c r="HR92" s="1"/>
      <c r="HS92" s="1"/>
      <c r="HT92" s="1"/>
      <c r="HU92" s="1">
        <v>650000</v>
      </c>
      <c r="HV92" s="1" t="s">
        <v>389</v>
      </c>
      <c r="HW92" s="1">
        <v>1500000</v>
      </c>
      <c r="HX92" s="1" t="s">
        <v>399</v>
      </c>
      <c r="HY92" s="1">
        <v>3850000</v>
      </c>
      <c r="HZ92" s="1" t="s">
        <v>389</v>
      </c>
      <c r="IA92" s="1">
        <f t="shared" si="376"/>
        <v>21570000</v>
      </c>
      <c r="IB92" s="1" t="s">
        <v>389</v>
      </c>
      <c r="IC92" s="1">
        <v>39940000</v>
      </c>
      <c r="ID92" s="1" t="s">
        <v>389</v>
      </c>
      <c r="IE92" s="1">
        <v>800000</v>
      </c>
      <c r="IF92" s="1" t="s">
        <v>389</v>
      </c>
      <c r="IG92" s="1">
        <f t="shared" si="365"/>
        <v>7400000</v>
      </c>
      <c r="IH92" s="1" t="s">
        <v>399</v>
      </c>
      <c r="II92" s="79">
        <f t="shared" si="359"/>
        <v>75060000</v>
      </c>
      <c r="IJ92" s="97">
        <f t="shared" si="308"/>
        <v>1.9040737312717446</v>
      </c>
      <c r="IK92" s="1" t="s">
        <v>389</v>
      </c>
      <c r="IL92" s="7">
        <v>46.04</v>
      </c>
      <c r="IM92" s="7">
        <v>48.3</v>
      </c>
      <c r="IN92" s="97">
        <v>188.6</v>
      </c>
      <c r="IO92" s="7">
        <v>16.89</v>
      </c>
      <c r="IP92" s="176">
        <f t="shared" si="369"/>
        <v>5.9356067942694777</v>
      </c>
      <c r="IQ92" s="7">
        <v>18</v>
      </c>
      <c r="IR92" s="98">
        <f t="shared" si="397"/>
        <v>7.01</v>
      </c>
      <c r="IS92" s="98">
        <f t="shared" si="397"/>
        <v>4.3099999999999996</v>
      </c>
      <c r="IT92" s="98">
        <f t="shared" si="397"/>
        <v>13.02</v>
      </c>
      <c r="IU92" s="98">
        <f t="shared" si="397"/>
        <v>1.44</v>
      </c>
      <c r="IV92" s="94">
        <f t="shared" si="360"/>
        <v>18.77</v>
      </c>
      <c r="IW92" s="1"/>
      <c r="IX92" s="1"/>
      <c r="IY92" s="105">
        <v>1.88</v>
      </c>
      <c r="IZ92" s="161">
        <v>0.3</v>
      </c>
      <c r="JA92" s="83">
        <v>2813</v>
      </c>
      <c r="JB92" s="7">
        <v>40.33</v>
      </c>
      <c r="JC92" s="1"/>
      <c r="JD92" s="1"/>
      <c r="JF92" s="2">
        <v>14.835861399999999</v>
      </c>
      <c r="JG92" s="2">
        <v>22.47426432</v>
      </c>
      <c r="JH92" s="2">
        <v>85.099139799999989</v>
      </c>
      <c r="JI92" s="2">
        <v>203.39629721</v>
      </c>
      <c r="JJ92" s="2">
        <v>579.47806146000005</v>
      </c>
      <c r="JK92" s="2">
        <v>106.58558735000001</v>
      </c>
      <c r="JL92" s="2">
        <v>3413.9943260600003</v>
      </c>
      <c r="JM92" s="2">
        <v>10.65554</v>
      </c>
      <c r="JN92" s="2">
        <v>158.19321539000003</v>
      </c>
      <c r="JO92" s="2">
        <v>16.985680380000005</v>
      </c>
      <c r="JP92" s="2">
        <v>0</v>
      </c>
      <c r="JQ92" s="2">
        <v>0.68748600000000004</v>
      </c>
      <c r="JR92" s="2">
        <v>2.2659872500000002</v>
      </c>
      <c r="JS92" s="2">
        <v>0</v>
      </c>
      <c r="JT92" s="2">
        <v>0.16093199999999999</v>
      </c>
      <c r="JU92" s="2">
        <v>77.449795309999999</v>
      </c>
      <c r="JV92" s="2">
        <v>8.0370945900000006</v>
      </c>
      <c r="JW92" s="2">
        <v>10.172265399999999</v>
      </c>
      <c r="JX92" s="2">
        <v>11.531533580000001</v>
      </c>
      <c r="JY92" s="2">
        <v>0</v>
      </c>
      <c r="JZ92" s="2">
        <v>2.5939215799999999</v>
      </c>
      <c r="KA92" s="2">
        <v>0.17749999999999999</v>
      </c>
      <c r="KB92" s="2">
        <v>28.769997110000002</v>
      </c>
      <c r="KC92" s="2">
        <v>136.09986096</v>
      </c>
      <c r="KD92" s="2">
        <v>11.086418249999999</v>
      </c>
      <c r="KE92" s="2">
        <v>12.97807542</v>
      </c>
      <c r="KF92" s="2">
        <v>53.715518810000006</v>
      </c>
      <c r="KG92" s="2">
        <v>342.68232461000008</v>
      </c>
      <c r="KH92" s="2">
        <v>167.62191332</v>
      </c>
      <c r="KI92" s="2">
        <v>19.069193389999999</v>
      </c>
      <c r="KJ92" s="2">
        <v>1.0656519800000002</v>
      </c>
      <c r="KK92" s="171">
        <v>13.016290730000001</v>
      </c>
      <c r="KL92" s="171">
        <v>4.3800639999999995E-2</v>
      </c>
      <c r="KM92" s="171">
        <v>0.36097794</v>
      </c>
      <c r="KN92" s="171">
        <v>5.5431869000000003</v>
      </c>
      <c r="KO92" s="171">
        <v>16.725979240000004</v>
      </c>
      <c r="KP92" s="171">
        <v>0.21936422</v>
      </c>
      <c r="KQ92" s="171">
        <v>117.89752109</v>
      </c>
      <c r="KR92" s="171">
        <v>2.3155990000000001E-2</v>
      </c>
      <c r="KS92" s="171">
        <v>0.15503899999999998</v>
      </c>
      <c r="KT92" s="171">
        <v>1.0036533000000001</v>
      </c>
      <c r="KU92" s="171">
        <v>1.4896021499999998</v>
      </c>
      <c r="KV92" s="171">
        <v>2.7300000000000001E-2</v>
      </c>
      <c r="KW92" s="171">
        <v>0.69046918999999995</v>
      </c>
      <c r="KX92" s="171">
        <v>0</v>
      </c>
      <c r="KY92" s="171">
        <v>0.16014</v>
      </c>
      <c r="KZ92" s="171">
        <v>2.89069318</v>
      </c>
      <c r="LA92" s="171">
        <v>0.38693978000000001</v>
      </c>
      <c r="LB92" s="171">
        <v>5.4328000000000001E-2</v>
      </c>
      <c r="LC92" s="171">
        <v>0.12479487</v>
      </c>
      <c r="LD92" s="171">
        <v>0</v>
      </c>
      <c r="LE92" s="171">
        <v>0</v>
      </c>
      <c r="LF92" s="171">
        <v>4.77876E-2</v>
      </c>
      <c r="LG92" s="171">
        <v>18.931102379999999</v>
      </c>
      <c r="LH92" s="171">
        <v>4.23429112</v>
      </c>
      <c r="LI92" s="171">
        <v>0.77264063999999999</v>
      </c>
      <c r="LJ92" s="171">
        <v>5.9353800000000005E-2</v>
      </c>
      <c r="LK92" s="171">
        <v>5.9863547400000003</v>
      </c>
      <c r="LL92" s="171">
        <v>2.6207546900000001</v>
      </c>
      <c r="LM92" s="171">
        <v>2.4168714900000001</v>
      </c>
      <c r="LN92" s="171">
        <v>0.68639446999999998</v>
      </c>
      <c r="LO92" s="171">
        <v>7.2061905900000003</v>
      </c>
      <c r="LQ92" s="85">
        <f t="shared" si="247"/>
        <v>4450.8165799199996</v>
      </c>
      <c r="LR92" s="85">
        <f t="shared" si="248"/>
        <v>3.1144052499999999</v>
      </c>
      <c r="LS92" s="85">
        <f t="shared" si="249"/>
        <v>18.209359989999999</v>
      </c>
      <c r="LT92" s="85">
        <f t="shared" si="250"/>
        <v>2.7714215800000002</v>
      </c>
      <c r="LU92" s="85">
        <f t="shared" si="251"/>
        <v>140.70586015999999</v>
      </c>
      <c r="LV92" s="85">
        <f t="shared" si="252"/>
        <v>0.87790919000000001</v>
      </c>
      <c r="LW92" s="85">
        <f t="shared" si="253"/>
        <v>0.44126778</v>
      </c>
      <c r="LX92" s="85">
        <f t="shared" si="254"/>
        <v>4.77876E-2</v>
      </c>
      <c r="LZ92" s="131">
        <v>257.31</v>
      </c>
      <c r="MA92" s="171">
        <v>173.27</v>
      </c>
      <c r="MB92"/>
      <c r="MC92"/>
      <c r="MD92"/>
      <c r="MF92"/>
      <c r="MG92"/>
      <c r="MH92" s="83">
        <v>407.77</v>
      </c>
      <c r="MI92" s="83">
        <v>140.69999999999999</v>
      </c>
      <c r="MJ92" s="83">
        <v>206.65</v>
      </c>
      <c r="MK92"/>
      <c r="ML92" s="83">
        <v>327.27999999999997</v>
      </c>
      <c r="MM92" s="83">
        <v>215.5</v>
      </c>
      <c r="MN92" s="83"/>
      <c r="MO92" s="83">
        <v>227.07</v>
      </c>
      <c r="MP92" s="83">
        <v>336.02</v>
      </c>
      <c r="MQ92" s="83">
        <v>423.17</v>
      </c>
      <c r="MR92"/>
      <c r="MT92" s="83"/>
      <c r="MU92" s="83">
        <v>110.58</v>
      </c>
      <c r="MV92"/>
      <c r="MW92"/>
      <c r="MX92"/>
      <c r="MY92" s="83">
        <v>369.28</v>
      </c>
      <c r="MZ92" s="83">
        <v>877</v>
      </c>
      <c r="NA92" s="83">
        <v>412.71</v>
      </c>
      <c r="NB92" s="83">
        <v>1208.9000000000001</v>
      </c>
      <c r="NC92" s="83">
        <v>210.21</v>
      </c>
      <c r="ND92" s="1">
        <v>1690</v>
      </c>
      <c r="NE92" s="1">
        <v>946.84</v>
      </c>
    </row>
    <row r="93" spans="1:369">
      <c r="A93" s="38">
        <f t="shared" si="334"/>
        <v>44896</v>
      </c>
      <c r="B93" s="36">
        <f t="shared" si="366"/>
        <v>12</v>
      </c>
      <c r="C93" s="36">
        <f t="shared" si="367"/>
        <v>2022</v>
      </c>
      <c r="D93" s="36">
        <f t="shared" si="347"/>
        <v>93</v>
      </c>
      <c r="E93" s="38">
        <f t="shared" si="335"/>
        <v>44896</v>
      </c>
      <c r="F93" s="7">
        <v>179.29</v>
      </c>
      <c r="G93" s="7">
        <v>1134.5999999999999</v>
      </c>
      <c r="H93" s="1">
        <f>[2]NACIONALES!$D81</f>
        <v>107591.7</v>
      </c>
      <c r="I93" s="7">
        <v>116</v>
      </c>
      <c r="J93" s="7">
        <v>820</v>
      </c>
      <c r="K93" s="7">
        <v>10</v>
      </c>
      <c r="L93" s="7">
        <v>36.9</v>
      </c>
      <c r="N93" s="5">
        <v>2.4700000000000002</v>
      </c>
      <c r="O93" s="5">
        <v>2.08</v>
      </c>
      <c r="P93" s="78">
        <f t="shared" si="398"/>
        <v>387.49051250000002</v>
      </c>
      <c r="Q93" s="143">
        <v>4400</v>
      </c>
      <c r="R93" s="79">
        <f t="shared" si="336"/>
        <v>44000</v>
      </c>
      <c r="S93" s="6">
        <v>265.29000000000002</v>
      </c>
      <c r="T93" s="184">
        <f>73390.25/F93</f>
        <v>409.33822299068549</v>
      </c>
      <c r="U93" s="143">
        <v>263.10500000000002</v>
      </c>
      <c r="V93" s="143">
        <v>394.51</v>
      </c>
      <c r="W93">
        <v>291</v>
      </c>
      <c r="X93" s="6">
        <v>327.755</v>
      </c>
      <c r="Y93" s="79">
        <f t="shared" si="337"/>
        <v>47563.844100000002</v>
      </c>
      <c r="Z93" s="79">
        <f t="shared" si="338"/>
        <v>73390.25</v>
      </c>
      <c r="AA93" s="79">
        <f t="shared" si="339"/>
        <v>47172.095450000001</v>
      </c>
      <c r="AB93" s="79">
        <f t="shared" si="340"/>
        <v>70731.697899999999</v>
      </c>
      <c r="AC93" s="79">
        <f t="shared" si="341"/>
        <v>52173.39</v>
      </c>
      <c r="AD93" s="79">
        <f t="shared" si="342"/>
        <v>58763.193949999993</v>
      </c>
      <c r="AE93" s="79">
        <f t="shared" si="343"/>
        <v>58299.078566666663</v>
      </c>
      <c r="AF93" s="1">
        <v>126614.2</v>
      </c>
      <c r="AG93" s="1">
        <v>70080</v>
      </c>
      <c r="AH93" s="1">
        <v>266000</v>
      </c>
      <c r="AI93" s="5">
        <v>104.8064</v>
      </c>
      <c r="AJ93" s="5">
        <v>77.892499999999998</v>
      </c>
      <c r="AK93" s="5">
        <v>63.311500000000002</v>
      </c>
      <c r="AL93" s="5">
        <v>62.825400000000002</v>
      </c>
      <c r="AM93" s="78">
        <f t="shared" si="344"/>
        <v>82.865729999999999</v>
      </c>
      <c r="AN93" s="7">
        <v>5097.3214285714284</v>
      </c>
      <c r="AO93" s="7">
        <v>2658.75</v>
      </c>
      <c r="AP93" s="78">
        <f t="shared" si="385"/>
        <v>2658.75</v>
      </c>
      <c r="AQ93" s="7">
        <v>3131.7460317460318</v>
      </c>
      <c r="AR93" s="7">
        <v>1664.5874999999999</v>
      </c>
      <c r="AS93" s="7">
        <v>1176.9230769230769</v>
      </c>
      <c r="AT93" s="7">
        <v>1835.4124999999999</v>
      </c>
      <c r="AU93" s="78">
        <f t="shared" si="348"/>
        <v>1558.9743589743587</v>
      </c>
      <c r="AV93" s="7">
        <v>1882.6984126984128</v>
      </c>
      <c r="AW93" s="7">
        <v>5598.75</v>
      </c>
      <c r="AX93" s="7">
        <v>2196.09375</v>
      </c>
      <c r="AY93" s="7">
        <v>1766.875</v>
      </c>
      <c r="AZ93" s="7">
        <v>1188.2293749999999</v>
      </c>
      <c r="BA93" s="7">
        <v>1648.148148148148</v>
      </c>
      <c r="BB93" s="94">
        <f t="shared" si="345"/>
        <v>1781.9228009259259</v>
      </c>
      <c r="BC93" s="68">
        <v>8133</v>
      </c>
      <c r="BD93" s="68">
        <v>5850</v>
      </c>
      <c r="BE93" s="7">
        <v>4200</v>
      </c>
      <c r="BF93" s="7">
        <v>2500</v>
      </c>
      <c r="BG93" s="94">
        <f t="shared" si="349"/>
        <v>5170.75</v>
      </c>
      <c r="BH93" s="7">
        <v>287.33</v>
      </c>
      <c r="BI93" s="182">
        <f>60+40</f>
        <v>100</v>
      </c>
      <c r="BJ93" s="78">
        <f t="shared" si="350"/>
        <v>387.33</v>
      </c>
      <c r="BK93" s="7">
        <v>306.21800000000002</v>
      </c>
      <c r="BL93" s="7">
        <v>366.77</v>
      </c>
      <c r="BM93" s="94">
        <f t="shared" si="351"/>
        <v>336.49400000000003</v>
      </c>
      <c r="BN93" s="5">
        <v>66.239999999999995</v>
      </c>
      <c r="BO93" s="84">
        <v>291.60000000000002</v>
      </c>
      <c r="BP93" s="58">
        <v>219.77</v>
      </c>
      <c r="BQ93" s="94">
        <f t="shared" si="346"/>
        <v>284.41700000000003</v>
      </c>
      <c r="BR93" s="95">
        <f>+(262.04+261.89+257.33+254.26)/4</f>
        <v>258.88</v>
      </c>
      <c r="BS93" s="97">
        <v>850</v>
      </c>
      <c r="BT93" s="7">
        <f>0.81*F93</f>
        <v>145.22489999999999</v>
      </c>
      <c r="BU93" s="79">
        <f t="shared" si="237"/>
        <v>10635.6747</v>
      </c>
      <c r="BV93" s="7">
        <v>361.3</v>
      </c>
      <c r="BW93" s="7">
        <v>900</v>
      </c>
      <c r="BY93" s="92">
        <f>BY$10*(1+((H93/H$10-1)*costos!$B$5+((I93*F93)/(I$10*F$10)-1)*costos!$E$5+((J93*F93)/((J$10*F$10)-1)*costos!$F$5/3+((K93*F93)/(K$10*F$10)-1)*costos!$F$5/3+((U93*F93)/(U$10*F$10)-1)*costos!$F$5/3+((L93*F93)/(L$10*F$10)-1)*costos!$G$5+((N93*F93)/(N$10*F$10)-1)*costos!$J$5+((V93*F93)/(V$10*F$10)-1)*costos!$K$5)))</f>
        <v>2274.366849213859</v>
      </c>
      <c r="BZ93" s="92">
        <f>$BZ$10*(1+((H93/$H$10-1)*costos!$B$6+((I93*F93)/($I$10*$F$10)-1)*costos!$E$6+((J93*F93)/(($J$10*$F$10)-1)*costos!$F$6/3+((K93*F93)/($K$10*$F$10)-1)*costos!$F$6/3+((U93*F93)/($U$10*$F$10)-1)*costos!$F$6/3+((L93*F93)/($L$10*$F$10)-1)*costos!$G$6+((Q93*F93)/($Q$10*$F$10)-1)*costos!$J$6+((V93*F93)/($V$10*$F$10)-1)*costos!$K$6)))</f>
        <v>1909.1258203523416</v>
      </c>
      <c r="CA93" s="92">
        <f>CA$10*(1+((H93/H$10-1)*costos!$B$7+((I93*F93)/(I$10*F$10)-1)*costos!$E$7+((J93*F93)/((J$10*F$10)-1)*costos!$F$7/3+((K93*F93)/(K$10*F$10)-1)*costos!$F$7/3+((U93*F93)/(U$10*F$10)-1)*costos!$F$7/3+((L93*F93)/(L$10*F$10)-1)*costos!$G$7+((S93*F93)/(S$10*F$10)-1)*costos!$J$7+((V93*F93)/(V$10*F$10)-1)*costos!$K$7)))</f>
        <v>2202.0788739521167</v>
      </c>
      <c r="CB93" s="92">
        <f>CB$10*(1+((H93/H$10-1)*costos!$B$8+((I93*F93)/(I$10*F$10)-1)*costos!$E$8+((J93*F93)/((J$10*F$10)-1)*costos!$F$8/3+((K93*F93)/(K$10*F$10)-1)*costos!$F$8/3+((U93*F93)/(U$10*F$10)-1)*costos!$F$8/3+((L93*F93)/(L$10*F$10)-1)*costos!$G$8+((T93*F93)/(T$10*F$10)-1)*costos!$J$8+((V93*F93)/(V$10*F$10)-1)*costos!$K$8)))</f>
        <v>2033.7698570791567</v>
      </c>
      <c r="CC93" s="92">
        <f>CC$10*(1+((H93/H$10-1)*costos!$B$9+((I93*F93)/(I$10*F$10)-1)*costos!$E$9+((J93*F93)/((J$10*F$10)-1)*costos!$F$9/3+((K93*F93)/(K$10*F$10)-1)*costos!$F$9/3+((U93*F93)/(U$10*F$10)-1)*costos!$F$9/3+((L93*F93)/(L$10*F$10)-1)*costos!$G$9+((U93*F93)/(U$10*F$10)-1)*costos!$J$9+((V93*F93)/(V$10*F$10)-1)*costos!$K$9)))</f>
        <v>2154.0199010966976</v>
      </c>
      <c r="CD93" s="92">
        <f>CD$10*(1+((H93/H$10-1)*costos!$B$11+((I93*F93)/(I$10*F$10)-1)*costos!$E$11+((J93*F93)/((J$10*F$10)-1)*costos!$F$11/3+((K93*F93)/(K$10*F$10)-1)*costos!$F$11/3+((U93*F93)/(U$10*F$10)-1)*costos!$F$11/3+((L93*F93)/(L$10*F$10)-1)*costos!$G$11+((V93*F93)/(V$10*F$10)-1)*costos!$J$11+((V93*F93)/(V$10*F$10)-1)*costos!$K$11)))</f>
        <v>2171.8552406448835</v>
      </c>
      <c r="CE93" s="92">
        <f>CE$10*(1+((H93/H$10-1)*costos!$B$12+((I93*F93)/(I$10*F$10)-1)*costos!$E$12+((J93*F93)/((J$10*F$10)-1)*costos!$F$12/3+((K93*F93)/(K$10*F$10)-1)*costos!$F$12/3+((U93*F93)/(U$10*F$10)-1)*costos!$F$12/3+((L93*F93)/(L$10*F$10)-1)*costos!$G$12+((W93*F93)/(W$10*F$10)-1)*costos!$J$12+((V93*F93)/(V$10*F$10)-1)*costos!$K$12)))</f>
        <v>2201.9763304142534</v>
      </c>
      <c r="CF93" s="92">
        <f>CF$10*(1+((H93/H$10-1)*costos!$B$13+((I93*F93)/(I$10*F$10)-1)*costos!$E$13+((J93*F93)/((J$10*F$10)-1)*costos!$F$13/3+((K93*F93)/(K$10*F$10)-1)*costos!$F$13/3+((U93*F93)/(U$10*F$10)-1)*costos!$F$13/3+((L93*F93)/(L$10*F$10)-1)*costos!$G$13+((X93*F93)/(X$10*F$10)-1)*costos!$J$13+((V93*F93)/(V$10*F$10)-1)*costos!$K$13)))</f>
        <v>2308.2049071105116</v>
      </c>
      <c r="CG93" s="92">
        <f t="shared" si="388"/>
        <v>2178.6508517162702</v>
      </c>
      <c r="CH93" s="92">
        <f>CH$10*(1+((H93/H$10-1)*costos!$B$10+((I93*F93)/(I$10*F$10)-1)*costos!$E$10+((J93*F93)/((J$10*F$10)-1)*costos!$F$10/3+((K93*F93)/(K$10*F$10)-1)*costos!$F$10/3+((U93*F93)/(U$10*F$10)-1)*costos!$F$10/3+((L93*F93)/(L$10*F$10)-1)*costos!$G$10+((AF93)/(AF$10)-1)*costos!$J$10+((V93*F93)/(V$10*F$10)-1)*costos!$K$10)))</f>
        <v>2067.5842972640298</v>
      </c>
      <c r="CI93" s="92">
        <f>CI$10*(1+((H93/H$10-1)*costos!$B$15+((I93*F93)/(I$10*F$10)-1)*costos!$E$15+((J93*F93)/((J$10*F$10)-1)*costos!$F$15/3+((K93*F93)/(K$10*F$10)-1)*costos!$F$15/3+((U93*F93)/(U$10*F$10)-1)*costos!$F$15/3+((L93*F93)/(L$10*F$10)-1)*costos!$G$15+((AV93)/(AV$10)-1)*costos!$J$15+((V93*F93)/(V$10*F$10)-1)*costos!$K$15)))</f>
        <v>2244.5523814460257</v>
      </c>
      <c r="CJ93" s="92">
        <f>CJ$10*(1+((H93/H$10-1)*costos!$B$16+((I93*F93)/(I$10*F$10)-1)*costos!$E$16+((J93*F93)/((J$10*F$10)-1)*costos!$F$16/3+((K93*F93)/(K$10*F$10)-1)*costos!$F$16/3+((U93*F93)/(U$10*F$10)-1)*costos!$F$16/3+((L93*F93)/(L$10*F$10)-1)*costos!$G$16+((AW93)/(AW$10)-1)*costos!$J$16+((V93*F93)/(V$10*F$10)-1)*costos!$K$16)))</f>
        <v>1880.434195328126</v>
      </c>
      <c r="CK93" s="92">
        <f>CK$10*(1+((H93/H$10-1)*costos!$B$17+((I93*F93)/(I$10*F$10)-1)*costos!$E$17+((J93*F93)/((J$10*F$10)-1)*costos!$F$17/3+((K93*F93)/(K$10*F$10)-1)*costos!$F$17/3+((U93*F93)/(U$10*F$10)-1)*costos!$F$17/3+((L93*F93)/(L$10*F$10)-1)*costos!$G$17+((AX93)/(AX$10)-1)*costos!$J$17+((V93*F93)/(V$10*F$10)-1)*costos!$K$17)))</f>
        <v>2165.8598626791545</v>
      </c>
      <c r="CL93" s="92">
        <f>CL$10*(1+((H93/H$10-1)*costos!$B$18+((I93*F93)/(I$10*F$10)-1)*costos!$E$18+((J93*F93)/((J$10*F$10)-1)*costos!$F$18/3+((K93*F93)/(K$10*F$10)-1)*costos!$F$18/3+((U93*F93)/(U$10*F$10)-1)*costos!$F$18/3+((L93*F93)/(L$10*F$10)-1)*costos!$G$18+((AY93)/(AY$10)-1)*costos!$J$18+((V93*F93)/(V$10*F$10)-1)*costos!$K$18)))</f>
        <v>2026.1372832944303</v>
      </c>
      <c r="CM93" s="92">
        <f>CM$10*(1+((H93/H$10-1)*costos!$B$19+((I93*F93)/(I$10*F$10)-1)*costos!$E$19+((J93*F93)/((J$10*F$10)-1)*costos!$F$19/3+((K93*F93)/(K$10*F$10)-1)*costos!$F$19/3+((U93*F93)/(U$10*F$10)-1)*costos!$F$19/3+((L93*F93)/(L$10*F$10)-1)*costos!$G$19+((AZ93)/(AZ$10)-1)*costos!$J$19+((V93*F93)/(V$10*F$10)-1)*costos!$K$19)))</f>
        <v>1556.5432999452189</v>
      </c>
      <c r="CN93" s="92">
        <f>CN$10*(1+((H93/H$10-1)*costos!$B$20+((I93*F93)/(I$10*F$10)-1)*costos!$E$20+((J93*F93)/((J$10*F$10)-1)*costos!$F$20/3+((K93*F93)/(K$10*F$10)-1)*costos!$F$20/3+((U93*F93)/(U$10*F$10)-1)*costos!$F$20/3+((L93*F93)/(L$10*F$10)-1)*costos!$G$20+((BA93)/(BA$10)-1)*costos!$J$20+((V93*F93)/(V$10*F$10)-1)*costos!$K$20)))</f>
        <v>1772.7944633176155</v>
      </c>
      <c r="CO93" s="92">
        <f t="shared" si="389"/>
        <v>1880.3337273091047</v>
      </c>
      <c r="CP93" s="92">
        <f>CP$10*(1+((H93/H$10-1)*costos!$B$22+((I93*F93)/(I$10*F$10)-1)*costos!$E$22+((J93*F93)/((J$10*F$10)-1)*costos!$F$22/3+((K93*F93)/(K$10*F$10)-1)*costos!$F$22/3+((U93*F93)/(U$10*F$10)-1)*costos!$F$22/3+((L93*F93)/(L$10*F$10)-1)*costos!$G$22+(((AVERAGE(AI93:AL93))/((AVERAGE(AI$10:AL$10))-1)*costos!$J$22+((V93*F93)/(V$10*F$10)-1)*costos!$K$22)))))</f>
        <v>2101.9149529511405</v>
      </c>
      <c r="CQ93" s="92">
        <f>CQ$10*(1+((H93/H$10-1)*costos!$B$23+((I93*F93)/(I$10*F$10)-1)*costos!$E$23+((J93*F93)/((J$10*F$10)-1)*costos!$F$23/3+((K93*F93)/(K$10*F$10)-1)*costos!$F$23/3+((U93*F93)/(U$10*F$10)-1)*costos!$F$23/3+((L93*F93)/(L$10*F$10)-1)*costos!$G$23+((AN93)/(AN$10)-1)*costos!$J$23+((V93*F93)/(V$10*F$10)-1)*costos!$K$23)))</f>
        <v>1764.8460369526028</v>
      </c>
      <c r="CR93" s="92">
        <f>CR$10*(1+((H93/H$10-1)*costos!$B$24+((I93*F93)/(I$10*F$10)-1)*costos!$E$24+((J93*F93)/((J$10*F$10)-1)*costos!$F$24/3+((K93*F93)/(K$10*F$10)-1)*costos!$F$24/3+((U93*F93)/(U$10*F$10)-1)*costos!$F$24/3+((L93*F93)/(L$10*F$10)-1)*costos!$G$24+((AO93)/(AO$10)-1)*costos!$J$24+((V93*F93)/(V$10*F$10)-1)*costos!$K$24)))</f>
        <v>1731.2402825807189</v>
      </c>
      <c r="CS93" s="92">
        <f t="shared" si="352"/>
        <v>1748.0431597666609</v>
      </c>
      <c r="CT93" s="92">
        <f>CT$10*(1+((H93/H$10-1)*costos!$B$25+((I93*F93)/(I$10*F$10)-1)*costos!$E$25+((J93*F93)/((J$10*F$10)-1)*costos!$F$25/3+((K93*F93)/(K$10*F$10)-1)*costos!$F$25/3+((U93*F93)/(U$10*F$10)-1)*costos!$F$25/3+((L93*F93)/(L$10*F$10)-1)*costos!$G$25+((AQ93)/(AQ$10)-1)*costos!$J$25+((V93*F93)/(V$10*F$10)-1)*costos!$K$25)))</f>
        <v>1785.2994771814156</v>
      </c>
      <c r="CU93" s="92">
        <f>CU$10*(1+((H93/H$10-1)*costos!$B$26+((I93*F93)/(I$10*F$10)-1)*costos!$E$26+((J93*F93)/((J$10*F$10)-1)*costos!$F$26/3+((K93*F93)/(K$10*F$10)-1)*costos!$F$26/3+((U93*F93)/(U$10*F$10)-1)*costos!$F$26/3+((L93*F93)/(L$10*F$10)-1)*costos!$G$26+((AR93)/(AR$10)-1)*costos!$J$26+((V93*F93)/(V$10*F$10)-1)*costos!$K$26)))</f>
        <v>1825.2583135233194</v>
      </c>
      <c r="CV93" s="92">
        <f>CV$10*(1+((H93/H$10-1)*costos!$B$27+((I93*F93)/(I$10*F$10)-1)*costos!$E$27+((J93*F93)/((J$10*F$10)-1)*costos!$F$27/3+((K93*F93)/(K$10*F$10)-1)*costos!$F$27/3+((U93*F93)/(U$10*F$10)-1)*costos!$F$27/3+((L93*F93)/(L$10*F$10)-1)*costos!$G$27+((AS93)/(AS$10)-1)*costos!$J$27+((V93*F93)/(V$10*F$10)-1)*costos!$K$27)))</f>
        <v>1790.6431777378798</v>
      </c>
      <c r="CW93" s="92">
        <f>CW$10*(1+((H93/H$10-1)*costos!$B$28+((I93*F93)/(I$10*F$10)-1)*costos!$E$28+((J93*F93)/((J$10*F$10)-1)*costos!$F$28/3+((K93*F93)/(K$10*F$10)-1)*costos!$F$28/3+((U93*F93)/(U$10*F$10)-1)*costos!$F$28/3+((L93*F93)/(L$10*F$10)-1)*costos!$G$28+((AS93)/(AS$10)-1)*costos!$J$28+((V93*F93)/(V$10*F$10)-1)*costos!$K$28)))</f>
        <v>1790.6431777378798</v>
      </c>
      <c r="CX93" s="92">
        <f t="shared" si="390"/>
        <v>1802.1815563330263</v>
      </c>
      <c r="CY93" s="92">
        <f>CY$10*(1+((H93/H$10-1)*costos!$B$32+((I93*F93)/(I$10*F$10)-1)*costos!$E$32+((J93*F93)/((J$10*F$10)-1)*costos!$F$32/3+((K93*F93)/(K$10*F$10)-1)*costos!$F$32/3+((U93*F93)/(U$10*F$10)-1)*costos!$F$32/3+((L93*F93)/(L$10*F$10)-1)*costos!$G$32+((AG93)/(AG$10)-1)*costos!$J$32+((V93*F93)/(V$10*F$10)-1)*costos!$K$32)))</f>
        <v>1591.8084417358621</v>
      </c>
      <c r="CZ93" s="69">
        <f>CZ$10*(1+((H93/H$10-1)*costos!$B$31+((I93*F93)/(I$10*F$10)-1)*costos!$E$30+((J93*F93)/((J$10*F$10)-1)*costos!$F$30/3+((K93*F93)/(K$10*F$10)-1)*costos!$F$30/3+((U93*F93)/(U$10*F$10)-1)*costos!$F$30/3+((L93*F93)/(L$10*F$10)-1)*costos!$G$30+((BG93)/(BG$10)-1)*costos!$J$30+((V93*F93)/(V$10*F$10)-1)*costos!$K$30)))</f>
        <v>2066.9781768410085</v>
      </c>
      <c r="DA93" s="69">
        <f>DA$10*(1+((H93/H$10-1)*costos!$B$31+((I93*F93)/(I$10*F$10)-1)*costos!$E$31+((J93*F93)/((J$10*F$10)-1)*costos!$F$31/3+((K93*F93)/(K$10*F$10)-1)*costos!$F$31/3+((U93*F93)/(U$10*F$10)-1)*costos!$F$31/3+((L93*F93)/(L$10*F$10)-1)*costos!$G$31+((BJ93)/(BJ$10)-1)*costos!$J$31+((V93*F93)/(V$10*F$10)-1)*costos!$K$31)))</f>
        <v>1667.7969133692154</v>
      </c>
      <c r="DB93" s="69">
        <f>DB$10*(1+((H93/H$10-1)*costos!$B$36+((I93*F93)/(I$10*F$10)-1)*costos!$E$36+((J93*F93)/((J$10*F$10)-1)*costos!$F$36/3+((K93*F93)/(K$10*F$10)-1)*costos!$F$36/3+((U93*F93)/(U$10*F$10)-1)*costos!$F$36/3+((L93*F93)/(L$10*F$10)-1)*costos!$G$36+((BK93)/(BK$10)-1)*costos!$J$36+((V93*F93)/(V$10*F$10)-1)*costos!$K$36)))</f>
        <v>1872.2302143476852</v>
      </c>
      <c r="DC93" s="69">
        <f>DC$10*(1+((H93/H$10-1)*costos!$B$37+((I93*F93)/(I$10*F$10)-1)*costos!$E$37+((U93*F93)/(U$10*F$10)-1)*costos!$F$37+((L93*F93)/(L$10*F$10)-1)*costos!$G$37+((BN93)/(BN$10)-1)*costos!$J$37+((V93*F93)/(V$10*F$10)-1)*costos!$K$37))</f>
        <v>2085.7781079526203</v>
      </c>
      <c r="DD93" s="69">
        <f>DD$10*(1+((H93/H$10-1)*costos!$B$39+((I93*F93)/(I$10*F$10)-1)*costos!$E$39+((U93*F93)/(U$10*F$10)-1)*costos!$F$39+((L93*F93)/(L$10*F$10)-1)*costos!$G$39+((BR93)/(BR$10)-1)*costos!$J$39+((V93*F93)/(V$10*F$10)-1)*costos!$K$39))</f>
        <v>2057.5600367459197</v>
      </c>
      <c r="DE93" s="69">
        <f>DD$10*(1+((H93/H$10-1)*costos!$B$35+((I93*F93)/(I$10*F$10)-1)*costos!$E$35+((U93*F93)/(U$10*F$10)-1)*costos!$F$35+((L93*F93)/(L$10*F$10)-1)*costos!$G$35+((BR93)/(BR$10)-1)*costos!$J$35+((V93*F93)/(V$10*F$10)-1)*costos!$K$35))</f>
        <v>1860.8746694342508</v>
      </c>
      <c r="DF93" s="69">
        <f>DF$10*(1+((H93/H$10-1)*costos!$B$40+((I93*F93)/(I$10*F$10)-1)*costos!$E$40+((U93*F93)/(U$10*F$10)-1)*costos!$F$40+((L93*F93)/(L$10*F$10)-1)*costos!$G$40+((BP93)/(BP$10)-1)*costos!$J$40+((V93*F93)/(V$10*F$10)-1)*costos!$K$40))</f>
        <v>2168.3877019620218</v>
      </c>
      <c r="DG93" s="92">
        <f t="shared" si="391"/>
        <v>2014.6311856981363</v>
      </c>
      <c r="DH93" s="69">
        <f>DH$10*(1+((H93/H$10-1)*costos!$B$34+((I93*F93)/(I$10*F$10)-1)*costos!$E$34+((J93*F93)/((J$10*F$10)-1)*costos!$F$34/3+((K93*F93)/(K$10*F$10)-1)*costos!$F$34/3+((U93*F93)/(U$10*F$10)-1)*costos!$F$34/3+((L93*F93)/(L$10*F$10)-1)*costos!$G$34+((BV93)/(BV$10)-1)*costos!$J$34+((V93*F93)/(V$10*F$10)-1)*costos!$K$34)))</f>
        <v>1766.209957074436</v>
      </c>
      <c r="DI93" s="69">
        <f>DI$10*(1+((H93/H$10-1)*costos!$B$38+((I93*F93)/(I$10*F$10)-1)*costos!$E$38+((J93*F93)/((J$10*F$10)-1)*costos!$F$38/3+((K93*F93)/(K$10*F$10)-1)*costos!$F$38/3+((U93*F93)/(U$10*F$10)-1)*costos!$F$38/3+((L93*F93)/(L$10*F$10)-1)*costos!$G$38+((BU93)/(BU$10)-1)*costos!$J$38+((V93*F93)/(V$10*F$10)-1)*costos!$K$38)))</f>
        <v>1585.5241636390188</v>
      </c>
      <c r="DK93" s="1">
        <v>580000</v>
      </c>
      <c r="DL93" s="1" t="s">
        <v>399</v>
      </c>
      <c r="DM93" s="1">
        <v>200000</v>
      </c>
      <c r="DN93" s="1" t="s">
        <v>399</v>
      </c>
      <c r="DO93" s="1">
        <v>1800000</v>
      </c>
      <c r="DP93" s="1" t="s">
        <v>399</v>
      </c>
      <c r="DQ93" s="1">
        <v>2200000</v>
      </c>
      <c r="DR93" s="1" t="s">
        <v>399</v>
      </c>
      <c r="DS93" s="1">
        <v>7300000</v>
      </c>
      <c r="DT93" s="1" t="s">
        <v>399</v>
      </c>
      <c r="DU93" s="1">
        <v>16500000</v>
      </c>
      <c r="DV93" s="1" t="s">
        <v>399</v>
      </c>
      <c r="DW93" s="1">
        <v>930000</v>
      </c>
      <c r="DX93" s="1" t="s">
        <v>399</v>
      </c>
      <c r="DY93" s="1">
        <v>5907000</v>
      </c>
      <c r="DZ93" s="1" t="s">
        <v>399</v>
      </c>
      <c r="EA93" s="79">
        <f t="shared" si="353"/>
        <v>34637000</v>
      </c>
      <c r="EB93" s="1">
        <v>373795</v>
      </c>
      <c r="EC93" s="1" t="s">
        <v>399</v>
      </c>
      <c r="ED93" s="1">
        <v>209277</v>
      </c>
      <c r="EE93" s="143">
        <v>2022</v>
      </c>
      <c r="EF93" s="1">
        <v>207047</v>
      </c>
      <c r="EG93" s="6">
        <v>2022</v>
      </c>
      <c r="EH93" s="1">
        <v>53416435</v>
      </c>
      <c r="EI93" s="6">
        <v>2022</v>
      </c>
      <c r="EJ93" s="1">
        <v>5477107</v>
      </c>
      <c r="EK93" s="6">
        <v>2022</v>
      </c>
      <c r="EL93" s="1">
        <v>12461845</v>
      </c>
      <c r="EM93" s="6">
        <v>2022</v>
      </c>
      <c r="EN93" s="1">
        <v>3169981</v>
      </c>
      <c r="EO93" s="6">
        <v>2021</v>
      </c>
      <c r="EP93" s="82">
        <f t="shared" si="392"/>
        <v>6552</v>
      </c>
      <c r="EQ93" s="83">
        <v>3500000</v>
      </c>
      <c r="ER93" s="1">
        <f t="shared" si="189"/>
        <v>74633.333333333328</v>
      </c>
      <c r="ES93" s="1"/>
      <c r="ET93" s="83">
        <f t="shared" si="393"/>
        <v>17456</v>
      </c>
      <c r="EU93" s="83">
        <f t="shared" si="393"/>
        <v>19445</v>
      </c>
      <c r="EV93" s="83">
        <f t="shared" si="393"/>
        <v>9018</v>
      </c>
      <c r="EW93" s="83">
        <f t="shared" si="393"/>
        <v>17386</v>
      </c>
      <c r="EX93" s="79">
        <f t="shared" si="354"/>
        <v>63305</v>
      </c>
      <c r="EY93" s="83">
        <f t="shared" si="394"/>
        <v>20049</v>
      </c>
      <c r="EZ93" s="83">
        <f t="shared" si="370"/>
        <v>33638</v>
      </c>
      <c r="FA93" s="83">
        <f t="shared" si="371"/>
        <v>19948</v>
      </c>
      <c r="FB93" s="83">
        <f t="shared" si="372"/>
        <v>15432</v>
      </c>
      <c r="FC93" s="79">
        <f t="shared" si="307"/>
        <v>35380</v>
      </c>
      <c r="FD93" s="83">
        <f t="shared" si="395"/>
        <v>56856.849999999991</v>
      </c>
      <c r="FE93" s="1"/>
      <c r="FF93" s="1">
        <v>1100000</v>
      </c>
      <c r="FG93" s="1" t="s">
        <v>389</v>
      </c>
      <c r="FH93" s="1">
        <v>1200000</v>
      </c>
      <c r="FI93" s="1" t="s">
        <v>389</v>
      </c>
      <c r="FJ93" s="1">
        <v>4700000</v>
      </c>
      <c r="FK93" s="1" t="s">
        <v>399</v>
      </c>
      <c r="FL93" s="1">
        <v>4000000</v>
      </c>
      <c r="FM93" s="1" t="s">
        <v>389</v>
      </c>
      <c r="FN93" s="139">
        <v>50000000</v>
      </c>
      <c r="FO93" s="1" t="s">
        <v>399</v>
      </c>
      <c r="FP93" s="1">
        <v>44000000</v>
      </c>
      <c r="FQ93" s="1" t="s">
        <v>389</v>
      </c>
      <c r="FR93" s="1">
        <v>2800000</v>
      </c>
      <c r="FS93" s="1" t="s">
        <v>389</v>
      </c>
      <c r="FT93" s="1">
        <v>12555000</v>
      </c>
      <c r="FU93" s="1" t="s">
        <v>399</v>
      </c>
      <c r="FV93" s="79">
        <f t="shared" si="355"/>
        <v>118055000</v>
      </c>
      <c r="FW93" s="1">
        <v>1350000</v>
      </c>
      <c r="FX93" s="1" t="s">
        <v>389</v>
      </c>
      <c r="FY93" s="1">
        <v>17040.787</v>
      </c>
      <c r="FZ93" s="79">
        <f t="shared" si="377"/>
        <v>829236.78700000001</v>
      </c>
      <c r="GA93" s="86" t="str">
        <f t="shared" si="378"/>
        <v>ene22 dic22</v>
      </c>
      <c r="GB93" s="1">
        <v>19368031</v>
      </c>
      <c r="GC93" s="6">
        <v>2022</v>
      </c>
      <c r="GD93" s="83">
        <v>1770000</v>
      </c>
      <c r="GE93" s="83">
        <v>380000</v>
      </c>
      <c r="GF93" s="83">
        <v>800000</v>
      </c>
      <c r="GG93" s="83">
        <f t="shared" si="268"/>
        <v>94581</v>
      </c>
      <c r="GH93" s="79">
        <f t="shared" si="240"/>
        <v>1274581</v>
      </c>
      <c r="GI93" s="82">
        <f t="shared" si="373"/>
        <v>1302556</v>
      </c>
      <c r="GJ93" s="83">
        <f t="shared" si="373"/>
        <v>665558</v>
      </c>
      <c r="GK93" s="83">
        <f t="shared" si="373"/>
        <v>1393000</v>
      </c>
      <c r="GL93" s="83">
        <f t="shared" si="373"/>
        <v>300028.90000000002</v>
      </c>
      <c r="GM93" s="83">
        <f t="shared" si="373"/>
        <v>259304.56</v>
      </c>
      <c r="GN93" s="79">
        <f t="shared" si="357"/>
        <v>2617891.46</v>
      </c>
      <c r="GO93" s="83">
        <f t="shared" si="374"/>
        <v>200935</v>
      </c>
      <c r="GP93" s="83">
        <f t="shared" si="374"/>
        <v>73046</v>
      </c>
      <c r="GQ93" s="83">
        <v>184142</v>
      </c>
      <c r="GR93" s="82">
        <v>42288</v>
      </c>
      <c r="GS93" s="79">
        <f t="shared" si="192"/>
        <v>47812.26</v>
      </c>
      <c r="GT93" s="83">
        <f t="shared" si="375"/>
        <v>2410599</v>
      </c>
      <c r="GU93" s="1">
        <v>17631</v>
      </c>
      <c r="GV93" s="1">
        <v>27508</v>
      </c>
      <c r="GW93" s="79">
        <f t="shared" si="261"/>
        <v>989510</v>
      </c>
      <c r="GX93" s="1">
        <v>33063.449999999997</v>
      </c>
      <c r="GY93" s="1" t="s">
        <v>398</v>
      </c>
      <c r="GZ93" s="1">
        <v>91610</v>
      </c>
      <c r="HA93" s="1">
        <v>277425</v>
      </c>
      <c r="HB93" s="79">
        <f t="shared" si="241"/>
        <v>3115071</v>
      </c>
      <c r="HC93" s="86" t="str">
        <f t="shared" si="379"/>
        <v>ene22 dic22</v>
      </c>
      <c r="HD93" s="83">
        <v>61223</v>
      </c>
      <c r="HE93" s="79">
        <f t="shared" si="380"/>
        <v>693575</v>
      </c>
      <c r="HF93" s="86" t="str">
        <f t="shared" si="381"/>
        <v>ene22 dic22</v>
      </c>
      <c r="HG93" s="1">
        <v>197000</v>
      </c>
      <c r="HH93" s="79">
        <f t="shared" si="242"/>
        <v>2322335</v>
      </c>
      <c r="HI93" s="86" t="str">
        <f t="shared" si="382"/>
        <v>ene22 dic22</v>
      </c>
      <c r="HJ93" s="1">
        <v>101696</v>
      </c>
      <c r="HK93" s="79">
        <f t="shared" si="278"/>
        <v>67559.520000000004</v>
      </c>
      <c r="HL93" s="86" t="str">
        <f t="shared" si="383"/>
        <v>ene22 dic22</v>
      </c>
      <c r="HM93" s="79">
        <f t="shared" si="358"/>
        <v>2389894.52</v>
      </c>
      <c r="HN93" s="87">
        <f t="shared" si="297"/>
        <v>-1.6048910966755869E-2</v>
      </c>
      <c r="HO93" s="1">
        <v>1030000000</v>
      </c>
      <c r="HP93" s="79">
        <f t="shared" si="386"/>
        <v>11557.549742615622</v>
      </c>
      <c r="HQ93" s="86" t="str">
        <f t="shared" si="384"/>
        <v>ene22 dic22</v>
      </c>
      <c r="HR93" s="1"/>
      <c r="HS93" s="1"/>
      <c r="HT93" s="1"/>
      <c r="HU93" s="1">
        <v>650000</v>
      </c>
      <c r="HV93" s="1" t="s">
        <v>389</v>
      </c>
      <c r="HW93" s="1">
        <v>1500000</v>
      </c>
      <c r="HX93" s="1" t="s">
        <v>399</v>
      </c>
      <c r="HY93" s="1">
        <v>3850000</v>
      </c>
      <c r="HZ93" s="1" t="s">
        <v>389</v>
      </c>
      <c r="IA93" s="1">
        <f t="shared" si="376"/>
        <v>21570000</v>
      </c>
      <c r="IB93" s="1" t="s">
        <v>389</v>
      </c>
      <c r="IC93" s="1">
        <v>39940000</v>
      </c>
      <c r="ID93" s="1" t="s">
        <v>389</v>
      </c>
      <c r="IE93" s="1">
        <v>800000</v>
      </c>
      <c r="IF93" s="1" t="s">
        <v>389</v>
      </c>
      <c r="IG93" s="1">
        <f t="shared" si="365"/>
        <v>7400000</v>
      </c>
      <c r="IH93" s="1" t="s">
        <v>399</v>
      </c>
      <c r="II93" s="79">
        <f t="shared" si="359"/>
        <v>75060000</v>
      </c>
      <c r="IJ93" s="97">
        <f t="shared" si="308"/>
        <v>1.9040737312717446</v>
      </c>
      <c r="IK93" s="1" t="s">
        <v>389</v>
      </c>
      <c r="IL93" s="7">
        <v>45.71</v>
      </c>
      <c r="IM93" s="7">
        <v>48.66</v>
      </c>
      <c r="IN93" s="97">
        <v>188.6</v>
      </c>
      <c r="IO93" s="97">
        <v>16.760000000000002</v>
      </c>
      <c r="IP93" s="176">
        <f t="shared" si="369"/>
        <v>5.9356067942694777</v>
      </c>
      <c r="IQ93" s="7">
        <v>18</v>
      </c>
      <c r="IR93" s="98">
        <f t="shared" si="397"/>
        <v>7.01</v>
      </c>
      <c r="IS93" s="98">
        <f t="shared" si="397"/>
        <v>4.3099999999999996</v>
      </c>
      <c r="IT93" s="98">
        <f t="shared" si="397"/>
        <v>13.02</v>
      </c>
      <c r="IU93" s="98">
        <f t="shared" si="397"/>
        <v>1.44</v>
      </c>
      <c r="IV93" s="94">
        <f t="shared" si="360"/>
        <v>18.77</v>
      </c>
      <c r="IW93" s="1"/>
      <c r="IX93" s="1"/>
      <c r="IY93" s="105">
        <v>1.88</v>
      </c>
      <c r="IZ93" s="161">
        <v>0.3</v>
      </c>
      <c r="JA93" s="83">
        <v>2813</v>
      </c>
      <c r="JB93" s="7">
        <v>40.33</v>
      </c>
      <c r="JC93" s="1"/>
      <c r="JD93" s="1"/>
      <c r="JF93" s="2">
        <v>13.370618389999997</v>
      </c>
      <c r="JG93" s="2">
        <v>29.656605189999997</v>
      </c>
      <c r="JH93" s="2">
        <v>187.31142105000001</v>
      </c>
      <c r="JI93" s="2">
        <v>187.97071968999998</v>
      </c>
      <c r="JJ93" s="2">
        <v>572.21409252999979</v>
      </c>
      <c r="JK93" s="2">
        <v>105.24839114999997</v>
      </c>
      <c r="JL93" s="2">
        <v>2781.3884775000006</v>
      </c>
      <c r="JM93" s="2">
        <v>27.185629390000003</v>
      </c>
      <c r="JN93" s="2">
        <v>395.43912432999997</v>
      </c>
      <c r="JO93" s="2">
        <v>21.056863770000003</v>
      </c>
      <c r="JP93" s="2">
        <v>0</v>
      </c>
      <c r="JQ93" s="2">
        <v>0.90131790000000001</v>
      </c>
      <c r="JR93" s="2">
        <v>2.6966734799999998</v>
      </c>
      <c r="JS93" s="2">
        <v>0</v>
      </c>
      <c r="JT93" s="2">
        <v>0.105</v>
      </c>
      <c r="JU93" s="2">
        <v>76.334805869999997</v>
      </c>
      <c r="JV93" s="2">
        <v>4.9679329499999998</v>
      </c>
      <c r="JW93" s="2">
        <v>7.9138857700000003</v>
      </c>
      <c r="JX93" s="2">
        <v>9.8306596499999994</v>
      </c>
      <c r="JY93" s="2">
        <v>0</v>
      </c>
      <c r="JZ93" s="2">
        <v>1.78564474</v>
      </c>
      <c r="KA93" s="2">
        <v>0.20062840000000001</v>
      </c>
      <c r="KB93" s="2">
        <v>27.46490245</v>
      </c>
      <c r="KC93" s="2">
        <v>57.64022373000001</v>
      </c>
      <c r="KD93" s="2">
        <v>8.5781493200000014</v>
      </c>
      <c r="KE93" s="2">
        <v>13.663636670000002</v>
      </c>
      <c r="KF93" s="2">
        <v>47.273016750000004</v>
      </c>
      <c r="KG93" s="2">
        <v>285.58164063999999</v>
      </c>
      <c r="KH93" s="2">
        <v>152.11245593000001</v>
      </c>
      <c r="KI93" s="2">
        <v>20.44206312</v>
      </c>
      <c r="KJ93" s="2">
        <v>2.01275629</v>
      </c>
      <c r="KK93" s="171">
        <v>11.833805730000002</v>
      </c>
      <c r="KL93" s="171">
        <v>2.9352990000000002E-2</v>
      </c>
      <c r="KM93" s="171">
        <v>5.9926369999999993E-2</v>
      </c>
      <c r="KN93" s="171">
        <v>0</v>
      </c>
      <c r="KO93" s="171">
        <v>0</v>
      </c>
      <c r="KP93" s="171">
        <v>2.016E-3</v>
      </c>
      <c r="KQ93" s="171">
        <v>2.485938E-2</v>
      </c>
      <c r="KR93" s="171">
        <v>0</v>
      </c>
      <c r="KS93" s="171">
        <v>0</v>
      </c>
      <c r="KT93" s="171">
        <v>2.8427559999999998E-2</v>
      </c>
      <c r="KU93" s="171">
        <v>0</v>
      </c>
      <c r="KV93" s="171">
        <v>0</v>
      </c>
      <c r="KW93" s="171">
        <v>0.60248590000000002</v>
      </c>
      <c r="KX93" s="171">
        <v>0</v>
      </c>
      <c r="KY93" s="171">
        <v>0</v>
      </c>
      <c r="KZ93" s="171">
        <v>0.47826376000000004</v>
      </c>
      <c r="LA93" s="171">
        <v>2.5551390000000004E-2</v>
      </c>
      <c r="LB93" s="171">
        <v>0</v>
      </c>
      <c r="LC93" s="171">
        <v>9.9750000000000005E-2</v>
      </c>
      <c r="LD93" s="171">
        <v>0</v>
      </c>
      <c r="LE93" s="171">
        <v>0</v>
      </c>
      <c r="LF93" s="171">
        <v>0</v>
      </c>
      <c r="LG93" s="171">
        <v>19.891111379999998</v>
      </c>
      <c r="LH93" s="171">
        <v>4.0127527599999997</v>
      </c>
      <c r="LI93" s="171">
        <v>0.25391999999999998</v>
      </c>
      <c r="LJ93" s="171">
        <v>0</v>
      </c>
      <c r="LK93" s="171">
        <v>0.59472115000000003</v>
      </c>
      <c r="LL93" s="171">
        <v>1.58647798</v>
      </c>
      <c r="LM93" s="171">
        <v>0</v>
      </c>
      <c r="LN93" s="171">
        <v>0.86735239999999991</v>
      </c>
      <c r="LO93" s="171">
        <v>3.658397E-2</v>
      </c>
      <c r="LQ93" s="85">
        <f t="shared" si="247"/>
        <v>4151.50946449</v>
      </c>
      <c r="LR93" s="85">
        <f t="shared" si="248"/>
        <v>3.7029913799999998</v>
      </c>
      <c r="LS93" s="85">
        <f t="shared" si="249"/>
        <v>12.88181872</v>
      </c>
      <c r="LT93" s="85">
        <f t="shared" si="250"/>
        <v>1.98627314</v>
      </c>
      <c r="LU93" s="85">
        <f t="shared" si="251"/>
        <v>8.4785749999999993E-2</v>
      </c>
      <c r="LV93" s="85">
        <f t="shared" si="252"/>
        <v>0.60248590000000002</v>
      </c>
      <c r="LW93" s="85">
        <f t="shared" si="253"/>
        <v>2.5551390000000004E-2</v>
      </c>
      <c r="LX93" s="85">
        <f t="shared" si="254"/>
        <v>0</v>
      </c>
      <c r="LZ93" s="131">
        <v>266.52</v>
      </c>
      <c r="MA93" s="171">
        <v>183.52</v>
      </c>
      <c r="MB93"/>
      <c r="MC93"/>
      <c r="MD93"/>
      <c r="MF93"/>
      <c r="MG93"/>
      <c r="MH93" s="83">
        <v>428.42</v>
      </c>
      <c r="MI93" s="83">
        <v>146.91</v>
      </c>
      <c r="MJ93" s="83">
        <v>210.94</v>
      </c>
      <c r="MK93"/>
      <c r="ML93" s="83">
        <v>255.06</v>
      </c>
      <c r="MM93" s="83">
        <v>231.77</v>
      </c>
      <c r="MN93" s="83"/>
      <c r="MO93" s="83">
        <v>261.27</v>
      </c>
      <c r="MP93" s="83">
        <v>358.15</v>
      </c>
      <c r="MQ93" s="83">
        <v>477.11</v>
      </c>
      <c r="MR93"/>
      <c r="MT93" s="83"/>
      <c r="MU93" s="83">
        <v>136.5</v>
      </c>
      <c r="MV93"/>
      <c r="MW93"/>
      <c r="MX93"/>
      <c r="MY93" s="83">
        <v>377.13</v>
      </c>
      <c r="MZ93" s="83">
        <v>969</v>
      </c>
      <c r="NA93" s="83">
        <v>426.32</v>
      </c>
      <c r="NB93" s="83">
        <v>1239.2</v>
      </c>
      <c r="NC93" s="83">
        <v>216.31</v>
      </c>
      <c r="ND93" s="1">
        <v>1690</v>
      </c>
      <c r="NE93" s="1">
        <v>957.8</v>
      </c>
    </row>
    <row r="94" spans="1:369">
      <c r="A94" s="38">
        <f t="shared" si="334"/>
        <v>44927</v>
      </c>
      <c r="B94" s="36">
        <v>1</v>
      </c>
      <c r="C94" s="36">
        <f>+C93+1</f>
        <v>2023</v>
      </c>
      <c r="D94" s="36">
        <f t="shared" si="347"/>
        <v>94</v>
      </c>
      <c r="E94" s="38">
        <f t="shared" si="335"/>
        <v>44927</v>
      </c>
      <c r="F94" s="7">
        <v>189.02</v>
      </c>
      <c r="G94" s="7">
        <v>1203</v>
      </c>
      <c r="H94" s="1">
        <f>[2]NACIONALES!$D82</f>
        <v>107591.7</v>
      </c>
      <c r="I94" s="7">
        <v>113</v>
      </c>
      <c r="J94" s="7">
        <v>730</v>
      </c>
      <c r="K94" s="7">
        <v>10</v>
      </c>
      <c r="L94" s="7">
        <v>34.799999999999997</v>
      </c>
      <c r="N94" s="5">
        <v>2.52</v>
      </c>
      <c r="O94" s="5">
        <v>2.13</v>
      </c>
      <c r="P94" s="78">
        <f t="shared" si="398"/>
        <v>417.49792500000007</v>
      </c>
      <c r="Q94" s="6">
        <v>5150</v>
      </c>
      <c r="R94" s="79">
        <f t="shared" si="336"/>
        <v>51500</v>
      </c>
      <c r="S94" s="6">
        <v>263.63</v>
      </c>
      <c r="T94" s="181">
        <f>81542.31/F94</f>
        <v>431.39514337107181</v>
      </c>
      <c r="U94" s="143">
        <v>261.53636363636366</v>
      </c>
      <c r="V94" s="143">
        <v>398.33181818181816</v>
      </c>
      <c r="W94">
        <v>296</v>
      </c>
      <c r="X94" s="6">
        <v>309.50588235294117</v>
      </c>
      <c r="Y94" s="79">
        <f t="shared" si="337"/>
        <v>49831.342600000004</v>
      </c>
      <c r="Z94" s="79">
        <f t="shared" si="338"/>
        <v>81542.31</v>
      </c>
      <c r="AA94" s="79">
        <f t="shared" si="339"/>
        <v>49435.60345454546</v>
      </c>
      <c r="AB94" s="79">
        <f t="shared" si="340"/>
        <v>75292.680272727273</v>
      </c>
      <c r="AC94" s="79">
        <f t="shared" si="341"/>
        <v>55949.920000000006</v>
      </c>
      <c r="AD94" s="79">
        <f t="shared" si="342"/>
        <v>58502.801882352942</v>
      </c>
      <c r="AE94" s="79">
        <f t="shared" si="343"/>
        <v>61759.109701604284</v>
      </c>
      <c r="AF94" s="1">
        <v>133907.5</v>
      </c>
      <c r="AG94" s="1">
        <v>70080</v>
      </c>
      <c r="AH94" s="1">
        <v>266000</v>
      </c>
      <c r="AI94" s="5">
        <v>112.5087</v>
      </c>
      <c r="AJ94" s="5">
        <v>77.225200000000001</v>
      </c>
      <c r="AK94" s="5">
        <v>66.253500000000003</v>
      </c>
      <c r="AL94" s="5">
        <v>59.247100000000003</v>
      </c>
      <c r="AM94" s="78">
        <f t="shared" si="344"/>
        <v>86.288224000000014</v>
      </c>
      <c r="AN94" s="7">
        <v>6851.7006802721089</v>
      </c>
      <c r="AO94" s="7">
        <v>2730.2714285714283</v>
      </c>
      <c r="AP94" s="78">
        <f t="shared" si="385"/>
        <v>2730.2714285714283</v>
      </c>
      <c r="AQ94" s="7">
        <v>3301.1904761904761</v>
      </c>
      <c r="AR94" s="7">
        <v>1610.7142857142858</v>
      </c>
      <c r="AS94" s="7">
        <v>2946.6666666666665</v>
      </c>
      <c r="AT94" s="7">
        <v>2774.609523809524</v>
      </c>
      <c r="AU94" s="78">
        <f t="shared" si="348"/>
        <v>2443.9968253968254</v>
      </c>
      <c r="AV94" s="7">
        <v>2344.021739130435</v>
      </c>
      <c r="AW94" s="7">
        <v>5423.8095238095239</v>
      </c>
      <c r="AX94" s="7">
        <v>2553.0714285714294</v>
      </c>
      <c r="AY94" s="7">
        <v>2515.2671755725191</v>
      </c>
      <c r="AZ94" s="7">
        <v>2063.4571428571426</v>
      </c>
      <c r="BA94" s="7">
        <v>2240.2777777777778</v>
      </c>
      <c r="BB94" s="94">
        <f t="shared" si="345"/>
        <v>2470.2051678177636</v>
      </c>
      <c r="BC94" s="165">
        <v>8133</v>
      </c>
      <c r="BD94" s="165">
        <v>5850</v>
      </c>
      <c r="BE94" s="7">
        <v>4200</v>
      </c>
      <c r="BF94" s="7">
        <v>2500</v>
      </c>
      <c r="BG94" s="94">
        <f t="shared" si="349"/>
        <v>5170.75</v>
      </c>
      <c r="BH94" s="7">
        <v>431.74</v>
      </c>
      <c r="BI94" s="7">
        <v>0</v>
      </c>
      <c r="BJ94" s="78">
        <f t="shared" si="350"/>
        <v>431.74</v>
      </c>
      <c r="BK94" s="7">
        <v>346.98</v>
      </c>
      <c r="BL94" s="97">
        <v>358.9</v>
      </c>
      <c r="BM94" s="94">
        <f t="shared" si="351"/>
        <v>352.94</v>
      </c>
      <c r="BN94" s="5">
        <v>69.98</v>
      </c>
      <c r="BO94" s="84">
        <v>272.8</v>
      </c>
      <c r="BP94" s="185">
        <f>+(184.88/178.43)*BP93</f>
        <v>227.71438435240711</v>
      </c>
      <c r="BQ94" s="94">
        <f t="shared" si="346"/>
        <v>268.29143843524071</v>
      </c>
      <c r="BR94" s="7">
        <f>+(268.2+264.97+266.47+268.36)/4</f>
        <v>267</v>
      </c>
      <c r="BS94" s="97">
        <v>950</v>
      </c>
      <c r="BT94" s="7">
        <f>0.83*F94</f>
        <v>156.88659999999999</v>
      </c>
      <c r="BU94" s="79">
        <f t="shared" si="237"/>
        <v>11870.659799999999</v>
      </c>
      <c r="BV94" s="7">
        <v>401.6</v>
      </c>
      <c r="BW94" s="7">
        <v>900</v>
      </c>
      <c r="BY94" s="92">
        <f>BY$10*(1+((H94/H$10-1)*costos!$B$5+((I94*F94)/(I$10*F$10)-1)*costos!$E$5+((J94*F94)/((J$10*F$10)-1)*costos!$F$5/3+((K94*F94)/(K$10*F$10)-1)*costos!$F$5/3+((U94*F94)/(U$10*F$10)-1)*costos!$F$5/3+((L94*F94)/(L$10*F$10)-1)*costos!$G$5+((N94*F94)/(N$10*F$10)-1)*costos!$J$5+((V94*F94)/(V$10*F$10)-1)*costos!$K$5)))</f>
        <v>2375.2771436768157</v>
      </c>
      <c r="BZ94" s="92">
        <f>$BZ$10*(1+((H94/$H$10-1)*costos!$B$6+((I94*F94)/($I$10*$F$10)-1)*costos!$E$6+((J94*F94)/(($J$10*$F$10)-1)*costos!$F$6/3+((K94*F94)/($K$10*$F$10)-1)*costos!$F$6/3+((U94*F94)/($U$10*$F$10)-1)*costos!$F$6/3+((L94*F94)/($L$10*$F$10)-1)*costos!$G$6+((Q94*F94)/($Q$10*$F$10)-1)*costos!$J$6+((V94*F94)/($V$10*$F$10)-1)*costos!$K$6)))</f>
        <v>1969.9259079063854</v>
      </c>
      <c r="CA94" s="92">
        <f>CA$10*(1+((H94/H$10-1)*costos!$B$7+((I94*F94)/(I$10*F$10)-1)*costos!$E$7+((J94*F94)/((J$10*F$10)-1)*costos!$F$7/3+((K94*F94)/(K$10*F$10)-1)*costos!$F$7/3+((U94*F94)/(U$10*F$10)-1)*costos!$F$7/3+((L94*F94)/(L$10*F$10)-1)*costos!$G$7+((S94*F94)/(S$10*F$10)-1)*costos!$J$7+((V94*F94)/(V$10*F$10)-1)*costos!$K$7)))</f>
        <v>2281.8510322720622</v>
      </c>
      <c r="CB94" s="92">
        <f>CB$10*(1+((H94/H$10-1)*costos!$B$8+((I94*F94)/(I$10*F$10)-1)*costos!$E$8+((J94*F94)/((J$10*F$10)-1)*costos!$F$8/3+((K94*F94)/(K$10*F$10)-1)*costos!$F$8/3+((U94*F94)/(U$10*F$10)-1)*costos!$F$8/3+((L94*F94)/(L$10*F$10)-1)*costos!$G$8+((T94*F94)/(T$10*F$10)-1)*costos!$J$8+((V94*F94)/(V$10*F$10)-1)*costos!$K$8)))</f>
        <v>2146.2438191710912</v>
      </c>
      <c r="CC94" s="92">
        <f>CC$10*(1+((H94/H$10-1)*costos!$B$9+((I94*F94)/(I$10*F$10)-1)*costos!$E$9+((J94*F94)/((J$10*F$10)-1)*costos!$F$9/3+((K94*F94)/(K$10*F$10)-1)*costos!$F$9/3+((U94*F94)/(U$10*F$10)-1)*costos!$F$9/3+((L94*F94)/(L$10*F$10)-1)*costos!$G$9+((U94*F94)/(U$10*F$10)-1)*costos!$J$9+((V94*F94)/(V$10*F$10)-1)*costos!$K$9)))</f>
        <v>2227.5625296043509</v>
      </c>
      <c r="CD94" s="92">
        <f>CD$10*(1+((H94/H$10-1)*costos!$B$11+((I94*F94)/(I$10*F$10)-1)*costos!$E$11+((J94*F94)/((J$10*F$10)-1)*costos!$F$11/3+((K94*F94)/(K$10*F$10)-1)*costos!$F$11/3+((U94*F94)/(U$10*F$10)-1)*costos!$F$11/3+((L94*F94)/(L$10*F$10)-1)*costos!$G$11+((V94*F94)/(V$10*F$10)-1)*costos!$J$11+((V94*F94)/(V$10*F$10)-1)*costos!$K$11)))</f>
        <v>2271.5925118937039</v>
      </c>
      <c r="CE94" s="92">
        <f>CE$10*(1+((H94/H$10-1)*costos!$B$12+((I94*F94)/(I$10*F$10)-1)*costos!$E$12+((J94*F94)/((J$10*F$10)-1)*costos!$F$12/3+((K94*F94)/(K$10*F$10)-1)*costos!$F$12/3+((U94*F94)/(U$10*F$10)-1)*costos!$F$12/3+((L94*F94)/(L$10*F$10)-1)*costos!$G$12+((W94*F94)/(W$10*F$10)-1)*costos!$J$12+((V94*F94)/(V$10*F$10)-1)*costos!$K$12)))</f>
        <v>2294.1982151017924</v>
      </c>
      <c r="CF94" s="92">
        <f>CF$10*(1+((H94/H$10-1)*costos!$B$13+((I94*F94)/(I$10*F$10)-1)*costos!$E$13+((J94*F94)/((J$10*F$10)-1)*costos!$F$13/3+((K94*F94)/(K$10*F$10)-1)*costos!$F$13/3+((U94*F94)/(U$10*F$10)-1)*costos!$F$13/3+((L94*F94)/(L$10*F$10)-1)*costos!$G$13+((X94*F94)/(X$10*F$10)-1)*costos!$J$13+((V94*F94)/(V$10*F$10)-1)*costos!$K$13)))</f>
        <v>2363.8369549875692</v>
      </c>
      <c r="CG94" s="92">
        <f t="shared" si="388"/>
        <v>2264.2141771717615</v>
      </c>
      <c r="CH94" s="92">
        <f>CH$10*(1+((H94/H$10-1)*costos!$B$10+((I94*F94)/(I$10*F$10)-1)*costos!$E$10+((J94*F94)/((J$10*F$10)-1)*costos!$F$10/3+((K94*F94)/(K$10*F$10)-1)*costos!$F$10/3+((U94*F94)/(U$10*F$10)-1)*costos!$F$10/3+((L94*F94)/(L$10*F$10)-1)*costos!$G$10+((AF94)/(AF$10)-1)*costos!$J$10+((V94*F94)/(V$10*F$10)-1)*costos!$K$10)))</f>
        <v>2157.3075965266498</v>
      </c>
      <c r="CI94" s="92">
        <f>CI$10*(1+((H94/H$10-1)*costos!$B$15+((I94*F94)/(I$10*F$10)-1)*costos!$E$15+((J94*F94)/((J$10*F$10)-1)*costos!$F$15/3+((K94*F94)/(K$10*F$10)-1)*costos!$F$15/3+((U94*F94)/(U$10*F$10)-1)*costos!$F$15/3+((L94*F94)/(L$10*F$10)-1)*costos!$G$15+((AV94)/(AV$10)-1)*costos!$J$15+((V94*F94)/(V$10*F$10)-1)*costos!$K$15)))</f>
        <v>2362.5321723513266</v>
      </c>
      <c r="CJ94" s="92">
        <f>CJ$10*(1+((H94/H$10-1)*costos!$B$16+((I94*F94)/(I$10*F$10)-1)*costos!$E$16+((J94*F94)/((J$10*F$10)-1)*costos!$F$16/3+((K94*F94)/(K$10*F$10)-1)*costos!$F$16/3+((U94*F94)/(U$10*F$10)-1)*costos!$F$16/3+((L94*F94)/(L$10*F$10)-1)*costos!$G$16+((AW94)/(AW$10)-1)*costos!$J$16+((V94*F94)/(V$10*F$10)-1)*costos!$K$16)))</f>
        <v>1879.2215506330604</v>
      </c>
      <c r="CK94" s="92">
        <f>CK$10*(1+((H94/H$10-1)*costos!$B$17+((I94*F94)/(I$10*F$10)-1)*costos!$E$17+((J94*F94)/((J$10*F$10)-1)*costos!$F$17/3+((K94*F94)/(K$10*F$10)-1)*costos!$F$17/3+((U94*F94)/(U$10*F$10)-1)*costos!$F$17/3+((L94*F94)/(L$10*F$10)-1)*costos!$G$17+((AX94)/(AX$10)-1)*costos!$J$17+((V94*F94)/(V$10*F$10)-1)*costos!$K$17)))</f>
        <v>2274.7485356032498</v>
      </c>
      <c r="CL94" s="92">
        <f>CL$10*(1+((H94/H$10-1)*costos!$B$18+((I94*F94)/(I$10*F$10)-1)*costos!$E$18+((J94*F94)/((J$10*F$10)-1)*costos!$F$18/3+((K94*F94)/(K$10*F$10)-1)*costos!$F$18/3+((U94*F94)/(U$10*F$10)-1)*costos!$F$18/3+((L94*F94)/(L$10*F$10)-1)*costos!$G$18+((AY94)/(AY$10)-1)*costos!$J$18+((V94*F94)/(V$10*F$10)-1)*costos!$K$18)))</f>
        <v>2219.0572039381091</v>
      </c>
      <c r="CM94" s="92">
        <f>CM$10*(1+((H94/H$10-1)*costos!$B$19+((I94*F94)/(I$10*F$10)-1)*costos!$E$19+((J94*F94)/((J$10*F$10)-1)*costos!$F$19/3+((K94*F94)/(K$10*F$10)-1)*costos!$F$19/3+((U94*F94)/(U$10*F$10)-1)*costos!$F$19/3+((L94*F94)/(L$10*F$10)-1)*costos!$G$19+((AZ94)/(AZ$10)-1)*costos!$J$19+((V94*F94)/(V$10*F$10)-1)*costos!$K$19)))</f>
        <v>1768.8218204604191</v>
      </c>
      <c r="CN94" s="92">
        <f>CN$10*(1+((H94/H$10-1)*costos!$B$20+((I94*F94)/(I$10*F$10)-1)*costos!$E$20+((J94*F94)/((J$10*F$10)-1)*costos!$F$20/3+((K94*F94)/(K$10*F$10)-1)*costos!$F$20/3+((U94*F94)/(U$10*F$10)-1)*costos!$F$20/3+((L94*F94)/(L$10*F$10)-1)*costos!$G$20+((BA94)/(BA$10)-1)*costos!$J$20+((V94*F94)/(V$10*F$10)-1)*costos!$K$20)))</f>
        <v>1909.4650044112554</v>
      </c>
      <c r="CO94" s="92">
        <f t="shared" ref="CO94:CO111" si="399">+AVERAGE(CK94:CN94)</f>
        <v>2043.0231411032582</v>
      </c>
      <c r="CP94" s="92">
        <f>CP$10*(1+((H94/H$10-1)*costos!$B$22+((I94*F94)/(I$10*F$10)-1)*costos!$E$22+((J94*F94)/((J$10*F$10)-1)*costos!$F$22/3+((K94*F94)/(K$10*F$10)-1)*costos!$F$22/3+((U94*F94)/(U$10*F$10)-1)*costos!$F$22/3+((L94*F94)/(L$10*F$10)-1)*costos!$G$22+(((AVERAGE(AI94:AL94))/((AVERAGE(AI$10:AL$10))-1)*costos!$J$22+((V94*F94)/(V$10*F$10)-1)*costos!$K$22)))))</f>
        <v>2133.1666705960351</v>
      </c>
      <c r="CQ94" s="92">
        <f>CQ$10*(1+((H94/H$10-1)*costos!$B$23+((I94*F94)/(I$10*F$10)-1)*costos!$E$23+((J94*F94)/((J$10*F$10)-1)*costos!$F$23/3+((K94*F94)/(K$10*F$10)-1)*costos!$F$23/3+((U94*F94)/(U$10*F$10)-1)*costos!$F$23/3+((L94*F94)/(L$10*F$10)-1)*costos!$G$23+((AN94)/(AN$10)-1)*costos!$J$23+((V94*F94)/(V$10*F$10)-1)*costos!$K$23)))</f>
        <v>1869.6753877005424</v>
      </c>
      <c r="CR94" s="92">
        <f>CR$10*(1+((H94/H$10-1)*costos!$B$24+((I94*F94)/(I$10*F$10)-1)*costos!$E$24+((J94*F94)/((J$10*F$10)-1)*costos!$F$24/3+((K94*F94)/(K$10*F$10)-1)*costos!$F$24/3+((U94*F94)/(U$10*F$10)-1)*costos!$F$24/3+((L94*F94)/(L$10*F$10)-1)*costos!$G$24+((AO94)/(AO$10)-1)*costos!$J$24+((V94*F94)/(V$10*F$10)-1)*costos!$K$24)))</f>
        <v>1753.5689435891061</v>
      </c>
      <c r="CS94" s="92">
        <f t="shared" si="352"/>
        <v>1811.6221656448242</v>
      </c>
      <c r="CT94" s="92">
        <f>CT$10*(1+((H94/H$10-1)*costos!$B$25+((I94*F94)/(I$10*F$10)-1)*costos!$E$25+((J94*F94)/((J$10*F$10)-1)*costos!$F$25/3+((K94*F94)/(K$10*F$10)-1)*costos!$F$25/3+((U94*F94)/(U$10*F$10)-1)*costos!$F$25/3+((L94*F94)/(L$10*F$10)-1)*costos!$G$25+((AQ94)/(AQ$10)-1)*costos!$J$25+((V94*F94)/(V$10*F$10)-1)*costos!$K$25)))</f>
        <v>1817.0078811493133</v>
      </c>
      <c r="CU94" s="92">
        <f>CU$10*(1+((H94/H$10-1)*costos!$B$26+((I94*F94)/(I$10*F$10)-1)*costos!$E$26+((J94*F94)/((J$10*F$10)-1)*costos!$F$26/3+((K94*F94)/(K$10*F$10)-1)*costos!$F$26/3+((U94*F94)/(U$10*F$10)-1)*costos!$F$26/3+((L94*F94)/(L$10*F$10)-1)*costos!$G$26+((AR94)/(AR$10)-1)*costos!$J$26+((V94*F94)/(V$10*F$10)-1)*costos!$K$26)))</f>
        <v>1843.317102552031</v>
      </c>
      <c r="CV94" s="92">
        <f>CV$10*(1+((H94/H$10-1)*costos!$B$27+((I94*F94)/(I$10*F$10)-1)*costos!$E$27+((J94*F94)/((J$10*F$10)-1)*costos!$F$27/3+((K94*F94)/(K$10*F$10)-1)*costos!$F$27/3+((U94*F94)/(U$10*F$10)-1)*costos!$F$27/3+((L94*F94)/(L$10*F$10)-1)*costos!$G$27+((AS94)/(AS$10)-1)*costos!$J$27+((V94*F94)/(V$10*F$10)-1)*costos!$K$27)))</f>
        <v>1930.8518766481775</v>
      </c>
      <c r="CW94" s="92">
        <f>CW$10*(1+((H94/H$10-1)*costos!$B$28+((I94*F94)/(I$10*F$10)-1)*costos!$E$28+((J94*F94)/((J$10*F$10)-1)*costos!$F$28/3+((K94*F94)/(K$10*F$10)-1)*costos!$F$28/3+((U94*F94)/(U$10*F$10)-1)*costos!$F$28/3+((L94*F94)/(L$10*F$10)-1)*costos!$G$28+((AS94)/(AS$10)-1)*costos!$J$28+((V94*F94)/(V$10*F$10)-1)*costos!$K$28)))</f>
        <v>1930.8518766481775</v>
      </c>
      <c r="CX94" s="92">
        <f t="shared" ref="CX94:CX111" si="400">+AVERAGE(CU94:CW94)</f>
        <v>1901.6736186161288</v>
      </c>
      <c r="CY94" s="92">
        <f>CY$10*(1+((H94/H$10-1)*costos!$B$32+((I94*F94)/(I$10*F$10)-1)*costos!$E$32+((J94*F94)/((J$10*F$10)-1)*costos!$F$32/3+((K94*F94)/(K$10*F$10)-1)*costos!$F$32/3+((U94*F94)/(U$10*F$10)-1)*costos!$F$32/3+((L94*F94)/(L$10*F$10)-1)*costos!$G$32+((AG94)/(AG$10)-1)*costos!$J$32+((V94*F94)/(V$10*F$10)-1)*costos!$K$32)))</f>
        <v>1599.5752148128543</v>
      </c>
      <c r="CZ94" s="69">
        <f>CZ$10*(1+((H94/H$10-1)*costos!$B$31+((I94*F94)/(I$10*F$10)-1)*costos!$E$30+((J94*F94)/((J$10*F$10)-1)*costos!$F$30/3+((K94*F94)/(K$10*F$10)-1)*costos!$F$30/3+((U94*F94)/(U$10*F$10)-1)*costos!$F$30/3+((L94*F94)/(L$10*F$10)-1)*costos!$G$30+((BG94)/(BG$10)-1)*costos!$J$30+((V94*F94)/(V$10*F$10)-1)*costos!$K$30)))</f>
        <v>2091.5390321691307</v>
      </c>
      <c r="DA94" s="69">
        <f>DA$10*(1+((H94/H$10-1)*costos!$B$31+((I94*F94)/(I$10*F$10)-1)*costos!$E$31+((J94*F94)/((J$10*F$10)-1)*costos!$F$31/3+((K94*F94)/(K$10*F$10)-1)*costos!$F$31/3+((U94*F94)/(U$10*F$10)-1)*costos!$F$31/3+((L94*F94)/(L$10*F$10)-1)*costos!$G$31+((BJ94)/(BJ$10)-1)*costos!$J$31+((V94*F94)/(V$10*F$10)-1)*costos!$K$31)))</f>
        <v>1686.4063637283468</v>
      </c>
      <c r="DB94" s="69">
        <f>DB$10*(1+((H94/H$10-1)*costos!$B$36+((I94*F94)/(I$10*F$10)-1)*costos!$E$36+((J94*F94)/((J$10*F$10)-1)*costos!$F$36/3+((K94*F94)/(K$10*F$10)-1)*costos!$F$36/3+((U94*F94)/(U$10*F$10)-1)*costos!$F$36/3+((L94*F94)/(L$10*F$10)-1)*costos!$G$36+((BK94)/(BK$10)-1)*costos!$J$36+((V94*F94)/(V$10*F$10)-1)*costos!$K$36)))</f>
        <v>1918.4293913644879</v>
      </c>
      <c r="DC94" s="69">
        <f>DC$10*(1+((H94/H$10-1)*costos!$B$37+((I94*F94)/(I$10*F$10)-1)*costos!$E$37+((U94*F94)/(U$10*F$10)-1)*costos!$F$37+((L94*F94)/(L$10*F$10)-1)*costos!$G$37+((BN94)/(BN$10)-1)*costos!$J$37+((V94*F94)/(V$10*F$10)-1)*costos!$K$37))</f>
        <v>2173.1167891031346</v>
      </c>
      <c r="DD94" s="69">
        <f>DD$10*(1+((H94/H$10-1)*costos!$B$39+((I94*F94)/(I$10*F$10)-1)*costos!$E$39+((U94*F94)/(U$10*F$10)-1)*costos!$F$39+((L94*F94)/(L$10*F$10)-1)*costos!$G$39+((BR94)/(BR$10)-1)*costos!$J$39+((V94*F94)/(V$10*F$10)-1)*costos!$K$39))</f>
        <v>2139.1004347245507</v>
      </c>
      <c r="DE94" s="69">
        <f>DD$10*(1+((H94/H$10-1)*costos!$B$35+((I94*F94)/(I$10*F$10)-1)*costos!$E$35+((U94*F94)/(U$10*F$10)-1)*costos!$F$35+((L94*F94)/(L$10*F$10)-1)*costos!$G$35+((BR94)/(BR$10)-1)*costos!$J$35+((V94*F94)/(V$10*F$10)-1)*costos!$K$35))</f>
        <v>1936.0986803914163</v>
      </c>
      <c r="DF94" s="69">
        <f>DF$10*(1+((H94/H$10-1)*costos!$B$40+((I94*F94)/(I$10*F$10)-1)*costos!$E$40+((U94*F94)/(U$10*F$10)-1)*costos!$F$40+((L94*F94)/(L$10*F$10)-1)*costos!$G$40+((BP94)/(BP$10)-1)*costos!$J$40+((V94*F94)/(V$10*F$10)-1)*costos!$K$40))</f>
        <v>2260.4187818732307</v>
      </c>
      <c r="DG94" s="92">
        <f t="shared" si="391"/>
        <v>2098.2587311323236</v>
      </c>
      <c r="DH94" s="69">
        <f>DH$10*(1+((H94/H$10-1)*costos!$B$34+((I94*F94)/(I$10*F$10)-1)*costos!$E$34+((J94*F94)/((J$10*F$10)-1)*costos!$F$34/3+((K94*F94)/(K$10*F$10)-1)*costos!$F$34/3+((U94*F94)/(U$10*F$10)-1)*costos!$F$34/3+((L94*F94)/(L$10*F$10)-1)*costos!$G$34+((BV94)/(BV$10)-1)*costos!$J$34+((V94*F94)/(V$10*F$10)-1)*costos!$K$34)))</f>
        <v>1800.5364444809345</v>
      </c>
      <c r="DI94" s="69">
        <f>DI$10*(1+((H94/H$10-1)*costos!$B$38+((I94*F94)/(I$10*F$10)-1)*costos!$E$38+((J94*F94)/((J$10*F$10)-1)*costos!$F$38/3+((K94*F94)/(K$10*F$10)-1)*costos!$F$38/3+((U94*F94)/(U$10*F$10)-1)*costos!$F$38/3+((L94*F94)/(L$10*F$10)-1)*costos!$G$38+((BU94)/(BU$10)-1)*costos!$J$38+((V94*F94)/(V$10*F$10)-1)*costos!$K$38)))</f>
        <v>1617.9602067595467</v>
      </c>
      <c r="DK94" s="1">
        <v>580000</v>
      </c>
      <c r="DL94" s="1" t="s">
        <v>399</v>
      </c>
      <c r="DM94" s="1">
        <v>190000</v>
      </c>
      <c r="DN94" s="1" t="s">
        <v>399</v>
      </c>
      <c r="DO94" s="1">
        <v>1800000</v>
      </c>
      <c r="DP94" s="1" t="s">
        <v>399</v>
      </c>
      <c r="DQ94" s="1">
        <v>2200000</v>
      </c>
      <c r="DR94" s="1" t="s">
        <v>399</v>
      </c>
      <c r="DS94" s="1">
        <v>7100000</v>
      </c>
      <c r="DT94" s="1" t="s">
        <v>399</v>
      </c>
      <c r="DU94" s="1">
        <v>16300000</v>
      </c>
      <c r="DV94" s="1" t="s">
        <v>399</v>
      </c>
      <c r="DW94" s="1">
        <v>930000</v>
      </c>
      <c r="DX94" s="1" t="s">
        <v>399</v>
      </c>
      <c r="DY94" s="1">
        <v>5907000</v>
      </c>
      <c r="DZ94" s="1" t="s">
        <v>399</v>
      </c>
      <c r="EA94" s="79">
        <f t="shared" si="353"/>
        <v>34237000</v>
      </c>
      <c r="EB94" s="1">
        <v>373795</v>
      </c>
      <c r="EC94" s="1" t="s">
        <v>399</v>
      </c>
      <c r="ED94" s="1">
        <v>222162</v>
      </c>
      <c r="EE94" s="143">
        <v>2023</v>
      </c>
      <c r="EF94" s="1">
        <v>204847</v>
      </c>
      <c r="EG94" s="6">
        <v>2023</v>
      </c>
      <c r="EH94" s="1">
        <v>54242595</v>
      </c>
      <c r="EI94" s="6">
        <v>2023</v>
      </c>
      <c r="EJ94" s="1">
        <v>5477107</v>
      </c>
      <c r="EK94" s="6">
        <v>2022</v>
      </c>
      <c r="EL94" s="1">
        <v>12461845</v>
      </c>
      <c r="EM94" s="6">
        <v>2022</v>
      </c>
      <c r="EN94" s="1">
        <v>3169981</v>
      </c>
      <c r="EO94" s="6">
        <v>2021</v>
      </c>
      <c r="EP94" s="83">
        <v>9328</v>
      </c>
      <c r="EQ94" s="83">
        <v>3500000</v>
      </c>
      <c r="ER94" s="1">
        <f>46598+29746+3572</f>
        <v>79916</v>
      </c>
      <c r="ES94" s="1"/>
      <c r="ET94" s="83">
        <v>20677</v>
      </c>
      <c r="EU94" s="83">
        <v>19532</v>
      </c>
      <c r="EV94" s="83">
        <v>9103</v>
      </c>
      <c r="EW94" s="83">
        <v>17281</v>
      </c>
      <c r="EX94" s="79">
        <f t="shared" si="354"/>
        <v>66593</v>
      </c>
      <c r="EY94" s="83">
        <v>20193</v>
      </c>
      <c r="EZ94" s="83">
        <v>32682</v>
      </c>
      <c r="FA94" s="83">
        <v>19526</v>
      </c>
      <c r="FB94" s="83">
        <v>19463</v>
      </c>
      <c r="FC94" s="79">
        <f t="shared" si="307"/>
        <v>38989</v>
      </c>
      <c r="FD94" s="83">
        <v>54743</v>
      </c>
      <c r="FE94" s="1"/>
      <c r="FF94" s="1">
        <v>1100000</v>
      </c>
      <c r="FG94" s="1" t="s">
        <v>389</v>
      </c>
      <c r="FH94" s="1">
        <v>1200000</v>
      </c>
      <c r="FI94" s="1" t="s">
        <v>389</v>
      </c>
      <c r="FJ94" s="1">
        <v>4600000</v>
      </c>
      <c r="FK94" s="1" t="s">
        <v>399</v>
      </c>
      <c r="FL94" s="1">
        <v>4000000</v>
      </c>
      <c r="FM94" s="1" t="s">
        <v>389</v>
      </c>
      <c r="FN94" s="1">
        <v>44500000</v>
      </c>
      <c r="FO94" s="1" t="s">
        <v>399</v>
      </c>
      <c r="FP94" s="1">
        <v>44000000</v>
      </c>
      <c r="FQ94" s="1" t="s">
        <v>389</v>
      </c>
      <c r="FR94" s="1">
        <v>2800000</v>
      </c>
      <c r="FS94" s="1" t="s">
        <v>389</v>
      </c>
      <c r="FT94" s="1">
        <v>12555000</v>
      </c>
      <c r="FU94" s="1" t="s">
        <v>399</v>
      </c>
      <c r="FV94" s="79">
        <f t="shared" si="355"/>
        <v>112455000</v>
      </c>
      <c r="FW94" s="1">
        <v>1350000</v>
      </c>
      <c r="FX94" s="1" t="s">
        <v>389</v>
      </c>
      <c r="FY94" s="1">
        <v>9506.5630000000001</v>
      </c>
      <c r="FZ94" s="79">
        <f t="shared" si="377"/>
        <v>827487.35</v>
      </c>
      <c r="GA94" s="86" t="str">
        <f t="shared" si="378"/>
        <v>feb22 ene23</v>
      </c>
      <c r="GB94" s="1">
        <v>14553117</v>
      </c>
      <c r="GC94" s="6">
        <v>2023</v>
      </c>
      <c r="GD94" s="83">
        <v>2315000</v>
      </c>
      <c r="GE94" s="83">
        <v>377000</v>
      </c>
      <c r="GF94" s="83">
        <v>1061000</v>
      </c>
      <c r="GG94" s="83">
        <v>127000</v>
      </c>
      <c r="GH94" s="79">
        <f t="shared" si="240"/>
        <v>1565000</v>
      </c>
      <c r="GI94" s="82">
        <f t="shared" si="373"/>
        <v>1302556</v>
      </c>
      <c r="GJ94" s="83">
        <v>687701</v>
      </c>
      <c r="GK94" s="83">
        <v>1430078.41</v>
      </c>
      <c r="GL94" s="83">
        <v>302535.34000000003</v>
      </c>
      <c r="GM94" s="83">
        <v>257597.81</v>
      </c>
      <c r="GN94" s="79">
        <f t="shared" si="357"/>
        <v>2677912.56</v>
      </c>
      <c r="GO94" s="83">
        <v>202394.36</v>
      </c>
      <c r="GP94" s="83">
        <v>73395</v>
      </c>
      <c r="GQ94" s="83">
        <v>181042.75</v>
      </c>
      <c r="GR94" s="82">
        <v>37995</v>
      </c>
      <c r="GS94" s="79">
        <f t="shared" si="192"/>
        <v>43426.282500000001</v>
      </c>
      <c r="GT94" s="83">
        <v>2365997</v>
      </c>
      <c r="GU94" s="1">
        <f>36938-12821</f>
        <v>24117</v>
      </c>
      <c r="GV94" s="1">
        <v>20042</v>
      </c>
      <c r="GW94" s="79">
        <f t="shared" si="261"/>
        <v>980096</v>
      </c>
      <c r="GX94" s="1">
        <v>33126.813000000002</v>
      </c>
      <c r="GY94" s="1" t="s">
        <v>402</v>
      </c>
      <c r="GZ94" s="1">
        <v>87408</v>
      </c>
      <c r="HA94" s="1">
        <v>270955</v>
      </c>
      <c r="HB94" s="79">
        <f t="shared" si="241"/>
        <v>3163396</v>
      </c>
      <c r="HC94" s="86" t="str">
        <f t="shared" si="379"/>
        <v>feb22 ene23</v>
      </c>
      <c r="HD94" s="82">
        <v>61223</v>
      </c>
      <c r="HE94" s="79">
        <f t="shared" si="380"/>
        <v>706147</v>
      </c>
      <c r="HF94" s="86" t="str">
        <f t="shared" si="381"/>
        <v>feb22 ene23</v>
      </c>
      <c r="HG94" s="83">
        <v>197000</v>
      </c>
      <c r="HH94" s="79">
        <f t="shared" si="242"/>
        <v>2335985</v>
      </c>
      <c r="HI94" s="86" t="str">
        <f t="shared" si="382"/>
        <v>feb22 ene23</v>
      </c>
      <c r="HJ94" s="1">
        <v>102509</v>
      </c>
      <c r="HK94" s="79">
        <f t="shared" si="278"/>
        <v>67592.88</v>
      </c>
      <c r="HL94" s="86" t="str">
        <f t="shared" si="383"/>
        <v>feb22 ene23</v>
      </c>
      <c r="HM94" s="79">
        <f t="shared" si="358"/>
        <v>2403577.88</v>
      </c>
      <c r="HN94" s="87">
        <f t="shared" si="297"/>
        <v>3.489380147377541E-2</v>
      </c>
      <c r="HO94" s="1">
        <v>955000000</v>
      </c>
      <c r="HP94" s="79">
        <f t="shared" si="386"/>
        <v>11589.749742615622</v>
      </c>
      <c r="HQ94" s="86" t="str">
        <f t="shared" si="384"/>
        <v>feb22 ene23</v>
      </c>
      <c r="HR94" s="1"/>
      <c r="HS94" s="1"/>
      <c r="HT94" s="1"/>
      <c r="HU94" s="1">
        <v>650000</v>
      </c>
      <c r="HV94" s="1" t="s">
        <v>389</v>
      </c>
      <c r="HW94" s="1">
        <v>1500000</v>
      </c>
      <c r="HX94" s="1" t="s">
        <v>410</v>
      </c>
      <c r="HY94" s="1">
        <v>4300000</v>
      </c>
      <c r="HZ94" s="1" t="s">
        <v>399</v>
      </c>
      <c r="IA94" s="1">
        <f t="shared" si="376"/>
        <v>21570000</v>
      </c>
      <c r="IB94" s="1" t="s">
        <v>389</v>
      </c>
      <c r="IC94" s="1">
        <v>39940000</v>
      </c>
      <c r="ID94" s="1" t="s">
        <v>389</v>
      </c>
      <c r="IE94" s="1">
        <v>800000</v>
      </c>
      <c r="IF94" s="1" t="s">
        <v>389</v>
      </c>
      <c r="IG94" s="1">
        <f t="shared" si="365"/>
        <v>7400000</v>
      </c>
      <c r="IH94" s="1" t="s">
        <v>410</v>
      </c>
      <c r="II94" s="79">
        <f t="shared" si="359"/>
        <v>75510000</v>
      </c>
      <c r="IJ94" s="97">
        <f t="shared" si="308"/>
        <v>1.9040737312717446</v>
      </c>
      <c r="IK94" s="1" t="s">
        <v>389</v>
      </c>
      <c r="IL94" s="95">
        <v>45.71</v>
      </c>
      <c r="IM94" s="95">
        <v>48.66</v>
      </c>
      <c r="IN94" s="7">
        <v>188.6</v>
      </c>
      <c r="IO94" s="97">
        <v>16.97</v>
      </c>
      <c r="IP94" s="176">
        <f>285300595/IP$2</f>
        <v>6.139895208369488</v>
      </c>
      <c r="IQ94" s="176">
        <v>16.7</v>
      </c>
      <c r="IR94" s="98">
        <v>6.92</v>
      </c>
      <c r="IS94" s="98">
        <v>4.57</v>
      </c>
      <c r="IT94" s="98">
        <v>13.61</v>
      </c>
      <c r="IU94" s="98">
        <v>1.56</v>
      </c>
      <c r="IV94" s="94">
        <f t="shared" si="360"/>
        <v>19.739999999999998</v>
      </c>
      <c r="IW94" s="1"/>
      <c r="IX94" s="1"/>
      <c r="IY94" s="105">
        <v>1.88</v>
      </c>
      <c r="IZ94" s="161">
        <v>0.3</v>
      </c>
      <c r="JA94" s="83">
        <v>2813</v>
      </c>
      <c r="JB94" s="7">
        <v>35.950000000000003</v>
      </c>
      <c r="JC94" s="1"/>
      <c r="JD94" s="1"/>
      <c r="JF94" s="2">
        <v>1.2234686099999996</v>
      </c>
      <c r="JG94" s="2">
        <v>28.8463791</v>
      </c>
      <c r="JH94" s="2">
        <v>280.04253470999998</v>
      </c>
      <c r="JI94" s="2">
        <v>59.348691090000003</v>
      </c>
      <c r="JJ94" s="2">
        <v>398.06677914999983</v>
      </c>
      <c r="JK94" s="2">
        <v>130.05927615000002</v>
      </c>
      <c r="JL94" s="2">
        <v>1701.8489056200001</v>
      </c>
      <c r="JM94" s="2">
        <v>20.821188500000002</v>
      </c>
      <c r="JN94" s="2">
        <v>258.16347123999998</v>
      </c>
      <c r="JO94" s="2">
        <v>21.159077390000004</v>
      </c>
      <c r="JP94" s="2">
        <v>0</v>
      </c>
      <c r="JQ94" s="2">
        <v>0.231049</v>
      </c>
      <c r="JR94" s="2">
        <v>1.2642906699999998</v>
      </c>
      <c r="JS94" s="2">
        <v>0</v>
      </c>
      <c r="JT94" s="2">
        <v>0.44066711999999997</v>
      </c>
      <c r="JU94" s="2">
        <v>66.649594010000001</v>
      </c>
      <c r="JV94" s="2">
        <v>1.8633979099999998</v>
      </c>
      <c r="JW94" s="2">
        <v>9.9457108200000004</v>
      </c>
      <c r="JX94" s="2">
        <v>8.3946768800000005</v>
      </c>
      <c r="JY94" s="2">
        <v>0</v>
      </c>
      <c r="JZ94" s="2">
        <v>2.0891778199999997</v>
      </c>
      <c r="KA94" s="2">
        <v>0.51749999999999996</v>
      </c>
      <c r="KB94" s="2">
        <v>29.568283169999997</v>
      </c>
      <c r="KC94" s="2">
        <v>36.311671529999998</v>
      </c>
      <c r="KD94" s="2">
        <v>3.3752363299999999</v>
      </c>
      <c r="KE94" s="2">
        <v>18.752158659999996</v>
      </c>
      <c r="KF94" s="2">
        <v>45.90045215</v>
      </c>
      <c r="KG94" s="2">
        <v>285.75014393999987</v>
      </c>
      <c r="KH94" s="2">
        <v>135.61809928</v>
      </c>
      <c r="KI94" s="2">
        <v>14.681416690000001</v>
      </c>
      <c r="KJ94" s="2">
        <v>1.8299806799999998</v>
      </c>
      <c r="KK94" s="171">
        <v>9.8858098699999992</v>
      </c>
      <c r="KL94" s="171">
        <v>2.7127990000000001E-2</v>
      </c>
      <c r="KM94" s="171">
        <v>0.20624160000000002</v>
      </c>
      <c r="KN94" s="171">
        <v>1.4671300000000002E-2</v>
      </c>
      <c r="KO94" s="171">
        <v>2.5272250099999995</v>
      </c>
      <c r="KP94" s="171">
        <v>9.1243839999999993E-2</v>
      </c>
      <c r="KQ94" s="171">
        <v>10.698251959999999</v>
      </c>
      <c r="KR94" s="171">
        <v>1.856783E-2</v>
      </c>
      <c r="KS94" s="171">
        <v>0.13833000000000001</v>
      </c>
      <c r="KT94" s="171">
        <v>1.03402496</v>
      </c>
      <c r="KU94" s="171">
        <v>0.11168649999999999</v>
      </c>
      <c r="KV94" s="171">
        <v>0.15597438</v>
      </c>
      <c r="KW94" s="171">
        <v>1.77521255</v>
      </c>
      <c r="KX94" s="171">
        <v>0</v>
      </c>
      <c r="KY94" s="171">
        <v>0</v>
      </c>
      <c r="KZ94" s="171">
        <v>0.12503209999999998</v>
      </c>
      <c r="LA94" s="171">
        <v>0.23405334</v>
      </c>
      <c r="LB94" s="171">
        <v>0</v>
      </c>
      <c r="LC94" s="171">
        <v>0.17131807000000002</v>
      </c>
      <c r="LD94" s="171">
        <v>0</v>
      </c>
      <c r="LE94" s="171">
        <v>0.18301057000000001</v>
      </c>
      <c r="LF94" s="171">
        <v>0.27579606000000001</v>
      </c>
      <c r="LG94" s="171">
        <v>23.096508839999995</v>
      </c>
      <c r="LH94" s="171">
        <v>3.6075394200000002</v>
      </c>
      <c r="LI94" s="171">
        <v>0.75479300000000005</v>
      </c>
      <c r="LJ94" s="171">
        <v>0</v>
      </c>
      <c r="LK94" s="171">
        <v>3.7432468400000003</v>
      </c>
      <c r="LL94" s="171">
        <v>4.3987828499999999</v>
      </c>
      <c r="LM94" s="171">
        <v>2.4321035299999991</v>
      </c>
      <c r="LN94" s="171">
        <v>0.85465582000000007</v>
      </c>
      <c r="LO94" s="171">
        <v>7.6286560299999993</v>
      </c>
      <c r="LQ94" s="85">
        <f t="shared" si="247"/>
        <v>2718.2915703099998</v>
      </c>
      <c r="LR94" s="85">
        <f t="shared" si="248"/>
        <v>1.93600679</v>
      </c>
      <c r="LS94" s="85">
        <f t="shared" si="249"/>
        <v>11.80910873</v>
      </c>
      <c r="LT94" s="85">
        <f t="shared" si="250"/>
        <v>2.6066778199999998</v>
      </c>
      <c r="LU94" s="85">
        <f t="shared" si="251"/>
        <v>13.603287699999997</v>
      </c>
      <c r="LV94" s="85">
        <f t="shared" si="252"/>
        <v>1.93118693</v>
      </c>
      <c r="LW94" s="85">
        <f t="shared" si="253"/>
        <v>0.23405334</v>
      </c>
      <c r="LX94" s="85">
        <f t="shared" si="254"/>
        <v>0.45880662999999999</v>
      </c>
      <c r="LZ94" s="131">
        <v>278.67</v>
      </c>
      <c r="MA94" s="171">
        <v>198.02</v>
      </c>
      <c r="MB94"/>
      <c r="MC94"/>
      <c r="MD94"/>
      <c r="MF94"/>
      <c r="MG94"/>
      <c r="MH94" s="83">
        <v>435.66</v>
      </c>
      <c r="MI94" s="83">
        <v>160.13999999999999</v>
      </c>
      <c r="MJ94" s="83">
        <v>263.02</v>
      </c>
      <c r="MK94"/>
      <c r="ML94" s="83">
        <v>277.64</v>
      </c>
      <c r="MM94" s="83">
        <v>381.92</v>
      </c>
      <c r="MN94" s="83"/>
      <c r="MO94" s="83">
        <v>267.76</v>
      </c>
      <c r="MP94" s="83">
        <v>386.94</v>
      </c>
      <c r="MQ94" s="83">
        <v>624.80999999999995</v>
      </c>
      <c r="MR94"/>
      <c r="MT94" s="83"/>
      <c r="MU94" s="83">
        <v>203.25</v>
      </c>
      <c r="MV94"/>
      <c r="MW94"/>
      <c r="MX94"/>
      <c r="MY94" s="83">
        <v>393.1</v>
      </c>
      <c r="MZ94" s="83">
        <v>1078</v>
      </c>
      <c r="NA94" s="83">
        <v>444.98</v>
      </c>
      <c r="NB94" s="83">
        <v>1276.95</v>
      </c>
      <c r="NC94" s="83">
        <v>225.27</v>
      </c>
      <c r="ND94" s="1">
        <v>1770</v>
      </c>
      <c r="NE94" s="1">
        <v>992.29</v>
      </c>
    </row>
    <row r="95" spans="1:369">
      <c r="A95" s="38">
        <f t="shared" si="334"/>
        <v>44958</v>
      </c>
      <c r="B95" s="36">
        <f t="shared" ref="B95:B105" si="401">+B94+1</f>
        <v>2</v>
      </c>
      <c r="C95" s="36">
        <f t="shared" ref="C95:C105" si="402">+C94</f>
        <v>2023</v>
      </c>
      <c r="D95" s="36">
        <f t="shared" si="347"/>
        <v>95</v>
      </c>
      <c r="E95" s="38">
        <f t="shared" si="335"/>
        <v>44958</v>
      </c>
      <c r="F95" s="7">
        <v>198.33</v>
      </c>
      <c r="G95" s="7">
        <v>1287.7</v>
      </c>
      <c r="H95" s="1">
        <f>[2]NACIONALES!$D83</f>
        <v>118003.8</v>
      </c>
      <c r="I95" s="7">
        <v>112</v>
      </c>
      <c r="J95" s="7">
        <v>630</v>
      </c>
      <c r="K95" s="7">
        <v>8.3000000000000007</v>
      </c>
      <c r="L95" s="7">
        <v>33.200000000000003</v>
      </c>
      <c r="N95" s="5">
        <v>2.66</v>
      </c>
      <c r="O95" s="5">
        <v>2.2400000000000002</v>
      </c>
      <c r="P95" s="78">
        <f t="shared" si="398"/>
        <v>461.61307500000004</v>
      </c>
      <c r="Q95" s="6">
        <v>5500</v>
      </c>
      <c r="R95" s="79">
        <f t="shared" si="336"/>
        <v>55000</v>
      </c>
      <c r="S95" s="6">
        <v>254.75</v>
      </c>
      <c r="T95" s="181">
        <f>79466.67/F95</f>
        <v>400.67901981545907</v>
      </c>
      <c r="U95" s="143">
        <v>259.45000000000005</v>
      </c>
      <c r="V95" s="143">
        <v>383.93888888888887</v>
      </c>
      <c r="W95" s="6">
        <v>327</v>
      </c>
      <c r="X95" s="6">
        <v>303.05500000000001</v>
      </c>
      <c r="Y95" s="79">
        <f t="shared" si="337"/>
        <v>50524.567500000005</v>
      </c>
      <c r="Z95" s="79">
        <f t="shared" si="338"/>
        <v>79466.67</v>
      </c>
      <c r="AA95" s="79">
        <f t="shared" si="339"/>
        <v>51456.71850000001</v>
      </c>
      <c r="AB95" s="79">
        <f t="shared" si="340"/>
        <v>76146.599833333341</v>
      </c>
      <c r="AC95" s="79">
        <f t="shared" si="341"/>
        <v>64853.91</v>
      </c>
      <c r="AD95" s="79">
        <f t="shared" si="342"/>
        <v>60104.898150000008</v>
      </c>
      <c r="AE95" s="79">
        <f t="shared" si="343"/>
        <v>63758.893997222222</v>
      </c>
      <c r="AF95" s="1">
        <v>140622.38888888888</v>
      </c>
      <c r="AG95" s="1">
        <v>70080</v>
      </c>
      <c r="AH95" s="1">
        <v>266000</v>
      </c>
      <c r="AI95" s="5">
        <v>137</v>
      </c>
      <c r="AJ95" s="5">
        <v>69.895700000000005</v>
      </c>
      <c r="AK95" s="5">
        <v>62.844499999999996</v>
      </c>
      <c r="AL95" s="5">
        <v>65.000399999999999</v>
      </c>
      <c r="AM95" s="78">
        <f t="shared" si="344"/>
        <v>97.755493999999999</v>
      </c>
      <c r="AN95" s="7">
        <v>8345.7364341085267</v>
      </c>
      <c r="AO95" s="7">
        <v>2911.1388888888887</v>
      </c>
      <c r="AP95" s="78">
        <f t="shared" si="385"/>
        <v>2911.1388888888887</v>
      </c>
      <c r="AQ95" s="7">
        <v>3042.6666666666665</v>
      </c>
      <c r="AR95" s="7">
        <v>3086.4285714285716</v>
      </c>
      <c r="AS95" s="7">
        <v>4228.5714285714284</v>
      </c>
      <c r="AT95" s="7">
        <v>4771.0222222222219</v>
      </c>
      <c r="AU95" s="78">
        <f>IFERROR(+AVERAGE(AQ95:AT95),"")</f>
        <v>3782.1722222222224</v>
      </c>
      <c r="AV95" s="7">
        <v>2093.4693877551022</v>
      </c>
      <c r="AW95" s="7">
        <v>6302.7777777777774</v>
      </c>
      <c r="AX95" s="7">
        <v>2314.1444444444442</v>
      </c>
      <c r="AY95" s="7">
        <v>2007.090909090909</v>
      </c>
      <c r="AZ95" s="7">
        <v>1699.2722222222221</v>
      </c>
      <c r="BA95" s="7">
        <v>1926.8421052631579</v>
      </c>
      <c r="BB95" s="94">
        <f t="shared" si="345"/>
        <v>2089.7919516805482</v>
      </c>
      <c r="BC95" s="68">
        <v>8133</v>
      </c>
      <c r="BD95" s="68">
        <v>6050</v>
      </c>
      <c r="BE95" s="7">
        <v>5900</v>
      </c>
      <c r="BF95" s="7">
        <v>3500</v>
      </c>
      <c r="BG95" s="94">
        <f t="shared" si="349"/>
        <v>5895.75</v>
      </c>
      <c r="BH95" s="7">
        <v>633.33000000000004</v>
      </c>
      <c r="BI95" s="95">
        <v>0</v>
      </c>
      <c r="BJ95" s="78">
        <f t="shared" si="350"/>
        <v>633.33000000000004</v>
      </c>
      <c r="BK95" s="7">
        <v>462.017</v>
      </c>
      <c r="BL95" s="7">
        <v>496.56</v>
      </c>
      <c r="BM95" s="94">
        <f t="shared" si="351"/>
        <v>479.2885</v>
      </c>
      <c r="BN95" s="5">
        <v>74.040000000000006</v>
      </c>
      <c r="BO95" s="161">
        <v>313.89999999999998</v>
      </c>
      <c r="BP95" s="105">
        <v>258.44</v>
      </c>
      <c r="BQ95" s="94">
        <f t="shared" si="346"/>
        <v>308.35399999999998</v>
      </c>
      <c r="BR95" s="97">
        <f>+(278.49+282.15+280.39+282.61+281.92)/5</f>
        <v>281.11199999999997</v>
      </c>
      <c r="BS95" s="97">
        <v>1000</v>
      </c>
      <c r="BT95" s="7">
        <f>0.85*F95</f>
        <v>168.5805</v>
      </c>
      <c r="BU95" s="79">
        <f t="shared" si="237"/>
        <v>12505.7415</v>
      </c>
      <c r="BV95" s="7">
        <v>402.4</v>
      </c>
      <c r="BW95" s="7">
        <v>850</v>
      </c>
      <c r="BY95" s="92">
        <f>BY$10*(1+((H95/H$10-1)*costos!$B$5+((I95*F95)/(I$10*F$10)-1)*costos!$E$5+((J95*F95)/((J$10*F$10)-1)*costos!$F$5/3+((K95*F95)/(K$10*F$10)-1)*costos!$F$5/3+((U95*F95)/(U$10*F$10)-1)*costos!$F$5/3+((L95*F95)/(L$10*F$10)-1)*costos!$G$5+((N95*F95)/(N$10*F$10)-1)*costos!$J$5+((V95*F95)/(V$10*F$10)-1)*costos!$K$5)))</f>
        <v>2451.9053071530534</v>
      </c>
      <c r="BZ95" s="92">
        <f>$BZ$10*(1+((H95/$H$10-1)*costos!$B$6+((I95*F95)/($I$10*$F$10)-1)*costos!$E$6+((J95*F95)/(($J$10*$F$10)-1)*costos!$F$6/3+((K95*F95)/($K$10*$F$10)-1)*costos!$F$6/3+((U95*F95)/($U$10*$F$10)-1)*costos!$F$6/3+((L95*F95)/($L$10*$F$10)-1)*costos!$G$6+((Q95*F95)/($Q$10*$F$10)-1)*costos!$J$6+((V95*F95)/($V$10*$F$10)-1)*costos!$K$6)))</f>
        <v>1979.231912798263</v>
      </c>
      <c r="CA95" s="92">
        <f>CA$10*(1+((H95/H$10-1)*costos!$B$7+((I95*F95)/(I$10*F$10)-1)*costos!$E$7+((J95*F95)/((J$10*F$10)-1)*costos!$F$7/3+((K95*F95)/(K$10*F$10)-1)*costos!$F$7/3+((U95*F95)/(U$10*F$10)-1)*costos!$F$7/3+((L95*F95)/(L$10*F$10)-1)*costos!$G$7+((S95*F95)/(S$10*F$10)-1)*costos!$J$7+((V95*F95)/(V$10*F$10)-1)*costos!$K$7)))</f>
        <v>2255.2181830602058</v>
      </c>
      <c r="CB95" s="92">
        <f>CB$10*(1+((H95/H$10-1)*costos!$B$8+((I95*F95)/(I$10*F$10)-1)*costos!$E$8+((J95*F95)/((J$10*F$10)-1)*costos!$F$8/3+((K95*F95)/(K$10*F$10)-1)*costos!$F$8/3+((U95*F95)/(U$10*F$10)-1)*costos!$F$8/3+((L95*F95)/(L$10*F$10)-1)*costos!$G$8+((T95*F95)/(T$10*F$10)-1)*costos!$J$8+((V95*F95)/(V$10*F$10)-1)*costos!$K$8)))</f>
        <v>2120.1768748671748</v>
      </c>
      <c r="CC95" s="92">
        <f>CC$10*(1+((H95/H$10-1)*costos!$B$9+((I95*F95)/(I$10*F$10)-1)*costos!$E$9+((J95*F95)/((J$10*F$10)-1)*costos!$F$9/3+((K95*F95)/(K$10*F$10)-1)*costos!$F$9/3+((U95*F95)/(U$10*F$10)-1)*costos!$F$9/3+((L95*F95)/(L$10*F$10)-1)*costos!$G$9+((U95*F95)/(U$10*F$10)-1)*costos!$J$9+((V95*F95)/(V$10*F$10)-1)*costos!$K$9)))</f>
        <v>2231.9484037522557</v>
      </c>
      <c r="CD95" s="92">
        <f>CD$10*(1+((H95/H$10-1)*costos!$B$11+((I95*F95)/(I$10*F$10)-1)*costos!$E$11+((J95*F95)/((J$10*F$10)-1)*costos!$F$11/3+((K95*F95)/(K$10*F$10)-1)*costos!$F$11/3+((U95*F95)/(U$10*F$10)-1)*costos!$F$11/3+((L95*F95)/(L$10*F$10)-1)*costos!$G$11+((V95*F95)/(V$10*F$10)-1)*costos!$J$11+((V95*F95)/(V$10*F$10)-1)*costos!$K$11)))</f>
        <v>2258.1140893743841</v>
      </c>
      <c r="CE95" s="92">
        <f>CE$10*(1+((H95/H$10-1)*costos!$B$12+((I95*F95)/(I$10*F$10)-1)*costos!$E$12+((J95*F95)/((J$10*F$10)-1)*costos!$F$12/3+((K95*F95)/(K$10*F$10)-1)*costos!$F$12/3+((U95*F95)/(U$10*F$10)-1)*costos!$F$12/3+((L95*F95)/(L$10*F$10)-1)*costos!$G$12+((W95*F95)/(W$10*F$10)-1)*costos!$J$12+((V95*F95)/(V$10*F$10)-1)*costos!$K$12)))</f>
        <v>2410.3074296546743</v>
      </c>
      <c r="CF95" s="92">
        <f>CF$10*(1+((H95/H$10-1)*costos!$B$13+((I95*F95)/(I$10*F$10)-1)*costos!$E$13+((J95*F95)/((J$10*F$10)-1)*costos!$F$13/3+((K95*F95)/(K$10*F$10)-1)*costos!$F$13/3+((U95*F95)/(U$10*F$10)-1)*costos!$F$13/3+((L95*F95)/(L$10*F$10)-1)*costos!$G$13+((X95*F95)/(X$10*F$10)-1)*costos!$J$13+((V95*F95)/(V$10*F$10)-1)*costos!$K$13)))</f>
        <v>2349.5703168814925</v>
      </c>
      <c r="CG95" s="92">
        <f t="shared" si="388"/>
        <v>2270.8892162650313</v>
      </c>
      <c r="CH95" s="92">
        <f>CH$10*(1+((H95/H$10-1)*costos!$B$10+((I95*F95)/(I$10*F$10)-1)*costos!$E$10+((J95*F95)/((J$10*F$10)-1)*costos!$F$10/3+((K95*F95)/(K$10*F$10)-1)*costos!$F$10/3+((U95*F95)/(U$10*F$10)-1)*costos!$F$10/3+((L95*F95)/(L$10*F$10)-1)*costos!$G$10+((AF95)/(AF$10)-1)*costos!$J$10+((V95*F95)/(V$10*F$10)-1)*costos!$K$10)))</f>
        <v>2173.2668159143432</v>
      </c>
      <c r="CI95" s="92">
        <f>CI$10*(1+((H95/H$10-1)*costos!$B$15+((I95*F95)/(I$10*F$10)-1)*costos!$E$15+((J95*F95)/((J$10*F$10)-1)*costos!$F$15/3+((K95*F95)/(K$10*F$10)-1)*costos!$F$15/3+((U95*F95)/(U$10*F$10)-1)*costos!$F$15/3+((L95*F95)/(L$10*F$10)-1)*costos!$G$15+((AV95)/(AV$10)-1)*costos!$J$15+((V95*F95)/(V$10*F$10)-1)*costos!$K$15)))</f>
        <v>2270.1042822385684</v>
      </c>
      <c r="CJ95" s="92">
        <f>CJ$10*(1+((H95/H$10-1)*costos!$B$16+((I95*F95)/(I$10*F$10)-1)*costos!$E$16+((J95*F95)/((J$10*F$10)-1)*costos!$F$16/3+((K95*F95)/(K$10*F$10)-1)*costos!$F$16/3+((U95*F95)/(U$10*F$10)-1)*costos!$F$16/3+((L95*F95)/(L$10*F$10)-1)*costos!$G$16+((AW95)/(AW$10)-1)*costos!$J$16+((V95*F95)/(V$10*F$10)-1)*costos!$K$16)))</f>
        <v>1996.5921552049049</v>
      </c>
      <c r="CK95" s="92">
        <f>CK$10*(1+((H95/H$10-1)*costos!$B$17+((I95*F95)/(I$10*F$10)-1)*costos!$E$17+((J95*F95)/((J$10*F$10)-1)*costos!$F$17/3+((K95*F95)/(K$10*F$10)-1)*costos!$F$17/3+((U95*F95)/(U$10*F$10)-1)*costos!$F$17/3+((L95*F95)/(L$10*F$10)-1)*costos!$G$17+((AX95)/(AX$10)-1)*costos!$J$17+((V95*F95)/(V$10*F$10)-1)*costos!$K$17)))</f>
        <v>2190.4241976157045</v>
      </c>
      <c r="CL95" s="92">
        <f>CL$10*(1+((H95/H$10-1)*costos!$B$18+((I95*F95)/(I$10*F$10)-1)*costos!$E$18+((J95*F95)/((J$10*F$10)-1)*costos!$F$18/3+((K95*F95)/(K$10*F$10)-1)*costos!$F$18/3+((U95*F95)/(U$10*F$10)-1)*costos!$F$18/3+((L95*F95)/(L$10*F$10)-1)*costos!$G$18+((AY95)/(AY$10)-1)*costos!$J$18+((V95*F95)/(V$10*F$10)-1)*costos!$K$18)))</f>
        <v>2073.965230541643</v>
      </c>
      <c r="CM95" s="92">
        <f>CM$10*(1+((H95/H$10-1)*costos!$B$19+((I95*F95)/(I$10*F$10)-1)*costos!$E$19+((J95*F95)/((J$10*F$10)-1)*costos!$F$19/3+((K95*F95)/(K$10*F$10)-1)*costos!$F$19/3+((U95*F95)/(U$10*F$10)-1)*costos!$F$19/3+((L95*F95)/(L$10*F$10)-1)*costos!$G$19+((AZ95)/(AZ$10)-1)*costos!$J$19+((V95*F95)/(V$10*F$10)-1)*costos!$K$19)))</f>
        <v>1709.2161977798783</v>
      </c>
      <c r="CN95" s="92">
        <f>CN$10*(1+((H95/H$10-1)*costos!$B$20+((I95*F95)/(I$10*F$10)-1)*costos!$E$20+((J95*F95)/((J$10*F$10)-1)*costos!$F$20/3+((K95*F95)/(K$10*F$10)-1)*costos!$F$20/3+((U95*F95)/(U$10*F$10)-1)*costos!$F$20/3+((L95*F95)/(L$10*F$10)-1)*costos!$G$20+((BA95)/(BA$10)-1)*costos!$J$20+((V95*F95)/(V$10*F$10)-1)*costos!$K$20)))</f>
        <v>1873.0093067094863</v>
      </c>
      <c r="CO95" s="92">
        <f t="shared" si="399"/>
        <v>1961.6537331616778</v>
      </c>
      <c r="CP95" s="92">
        <f>CP$10*(1+((H95/H$10-1)*costos!$B$22+((I95*F95)/(I$10*F$10)-1)*costos!$E$22+((J95*F95)/((J$10*F$10)-1)*costos!$F$22/3+((K95*F95)/(K$10*F$10)-1)*costos!$F$22/3+((U95*F95)/(U$10*F$10)-1)*costos!$F$22/3+((L95*F95)/(L$10*F$10)-1)*costos!$G$22+(((AVERAGE(AI95:AL95))/((AVERAGE(AI$10:AL$10))-1)*costos!$J$22+((V95*F95)/(V$10*F$10)-1)*costos!$K$22)))))</f>
        <v>2198.3784047026747</v>
      </c>
      <c r="CQ95" s="92">
        <f>CQ$10*(1+((H95/H$10-1)*costos!$B$23+((I95*F95)/(I$10*F$10)-1)*costos!$E$23+((J95*F95)/((J$10*F$10)-1)*costos!$F$23/3+((K95*F95)/(K$10*F$10)-1)*costos!$F$23/3+((U95*F95)/(U$10*F$10)-1)*costos!$F$23/3+((L95*F95)/(L$10*F$10)-1)*costos!$G$23+((AN95)/(AN$10)-1)*costos!$J$23+((V95*F95)/(V$10*F$10)-1)*costos!$K$23)))</f>
        <v>1970.2054475935406</v>
      </c>
      <c r="CR95" s="92">
        <f>CR$10*(1+((H95/H$10-1)*costos!$B$24+((I95*F95)/(I$10*F$10)-1)*costos!$E$24+((J95*F95)/((J$10*F$10)-1)*costos!$F$24/3+((K95*F95)/(K$10*F$10)-1)*costos!$F$24/3+((U95*F95)/(U$10*F$10)-1)*costos!$F$24/3+((L95*F95)/(L$10*F$10)-1)*costos!$G$24+((AO95)/(AO$10)-1)*costos!$J$24+((V95*F95)/(V$10*F$10)-1)*costos!$K$24)))</f>
        <v>1793.9284505379981</v>
      </c>
      <c r="CS95" s="92">
        <f t="shared" si="352"/>
        <v>1882.0669490657692</v>
      </c>
      <c r="CT95" s="92">
        <f>CT$10*(1+((H95/H$10-1)*costos!$B$25+((I95*F95)/(I$10*F$10)-1)*costos!$E$25+((J95*F95)/((J$10*F$10)-1)*costos!$F$25/3+((K95*F95)/(K$10*F$10)-1)*costos!$F$25/3+((U95*F95)/(U$10*F$10)-1)*costos!$F$25/3+((L95*F95)/(L$10*F$10)-1)*costos!$G$25+((AQ95)/(AQ$10)-1)*costos!$J$25+((V95*F95)/(V$10*F$10)-1)*costos!$K$25)))</f>
        <v>1812.5610110985306</v>
      </c>
      <c r="CU95" s="92">
        <f>CU$10*(1+((H95/H$10-1)*costos!$B$26+((I95*F95)/(I$10*F$10)-1)*costos!$E$26+((J95*F95)/((J$10*F$10)-1)*costos!$F$26/3+((K95*F95)/(K$10*F$10)-1)*costos!$F$26/3+((U95*F95)/(U$10*F$10)-1)*costos!$F$26/3+((L95*F95)/(L$10*F$10)-1)*costos!$G$26+((AR95)/(AR$10)-1)*costos!$J$26+((V95*F95)/(V$10*F$10)-1)*costos!$K$26)))</f>
        <v>1933.5752664428433</v>
      </c>
      <c r="CV95" s="92">
        <f>CV$10*(1+((H95/H$10-1)*costos!$B$27+((I95*F95)/(I$10*F$10)-1)*costos!$E$27+((J95*F95)/((J$10*F$10)-1)*costos!$F$27/3+((K95*F95)/(K$10*F$10)-1)*costos!$F$27/3+((U95*F95)/(U$10*F$10)-1)*costos!$F$27/3+((L95*F95)/(L$10*F$10)-1)*costos!$G$27+((AS95)/(AS$10)-1)*costos!$J$27+((V95*F95)/(V$10*F$10)-1)*costos!$K$27)))</f>
        <v>2006.3909220147088</v>
      </c>
      <c r="CW95" s="92">
        <f>CW$10*(1+((H95/H$10-1)*costos!$B$28+((I95*F95)/(I$10*F$10)-1)*costos!$E$28+((J95*F95)/((J$10*F$10)-1)*costos!$F$28/3+((K95*F95)/(K$10*F$10)-1)*costos!$F$28/3+((U95*F95)/(U$10*F$10)-1)*costos!$F$28/3+((L95*F95)/(L$10*F$10)-1)*costos!$G$28+((AS95)/(AS$10)-1)*costos!$J$28+((V95*F95)/(V$10*F$10)-1)*costos!$K$28)))</f>
        <v>2006.3909220147088</v>
      </c>
      <c r="CX95" s="92">
        <f t="shared" si="400"/>
        <v>1982.1190368240871</v>
      </c>
      <c r="CY95" s="92">
        <f>CY$10*(1+((H95/H$10-1)*costos!$B$32+((I95*F95)/(I$10*F$10)-1)*costos!$E$32+((J95*F95)/((J$10*F$10)-1)*costos!$F$32/3+((K95*F95)/(K$10*F$10)-1)*costos!$F$32/3+((U95*F95)/(U$10*F$10)-1)*costos!$F$32/3+((L95*F95)/(L$10*F$10)-1)*costos!$G$32+((AG95)/(AG$10)-1)*costos!$J$32+((V95*F95)/(V$10*F$10)-1)*costos!$K$32)))</f>
        <v>1673.8032931889052</v>
      </c>
      <c r="CZ95" s="69">
        <f>CZ$10*(1+((H95/H$10-1)*costos!$B$31+((I95*F95)/(I$10*F$10)-1)*costos!$E$30+((J95*F95)/((J$10*F$10)-1)*costos!$F$30/3+((K95*F95)/(K$10*F$10)-1)*costos!$F$30/3+((U95*F95)/(U$10*F$10)-1)*costos!$F$30/3+((L95*F95)/(L$10*F$10)-1)*costos!$G$30+((BG95)/(BG$10)-1)*costos!$J$30+((V95*F95)/(V$10*F$10)-1)*costos!$K$30)))</f>
        <v>2163.7313117734243</v>
      </c>
      <c r="DA95" s="69">
        <f>DA$10*(1+((H95/H$10-1)*costos!$B$31+((I95*F95)/(I$10*F$10)-1)*costos!$E$31+((J95*F95)/((J$10*F$10)-1)*costos!$F$31/3+((K95*F95)/(K$10*F$10)-1)*costos!$F$31/3+((U95*F95)/(U$10*F$10)-1)*costos!$F$31/3+((L95*F95)/(L$10*F$10)-1)*costos!$G$31+((BJ95)/(BJ$10)-1)*costos!$J$31+((V95*F95)/(V$10*F$10)-1)*costos!$K$31)))</f>
        <v>1761.2334569641937</v>
      </c>
      <c r="DB95" s="69">
        <f>DB$10*(1+((H95/H$10-1)*costos!$B$36+((I95*F95)/(I$10*F$10)-1)*costos!$E$36+((J95*F95)/((J$10*F$10)-1)*costos!$F$36/3+((K95*F95)/(K$10*F$10)-1)*costos!$F$36/3+((U95*F95)/(U$10*F$10)-1)*costos!$F$36/3+((L95*F95)/(L$10*F$10)-1)*costos!$G$36+((BK95)/(BK$10)-1)*costos!$J$36+((V95*F95)/(V$10*F$10)-1)*costos!$K$36)))</f>
        <v>1976.2664189356358</v>
      </c>
      <c r="DC95" s="69">
        <f>DC$10*(1+((H95/H$10-1)*costos!$B$37+((I95*F95)/(I$10*F$10)-1)*costos!$E$37+((U95*F95)/(U$10*F$10)-1)*costos!$F$37+((L95*F95)/(L$10*F$10)-1)*costos!$G$37+((BN95)/(BN$10)-1)*costos!$J$37+((V95*F95)/(V$10*F$10)-1)*costos!$K$37))</f>
        <v>2272.2107672241536</v>
      </c>
      <c r="DD95" s="69">
        <f>DD$10*(1+((H95/H$10-1)*costos!$B$39+((I95*F95)/(I$10*F$10)-1)*costos!$E$39+((U95*F95)/(U$10*F$10)-1)*costos!$F$39+((L95*F95)/(L$10*F$10)-1)*costos!$G$39+((BR95)/(BR$10)-1)*costos!$J$39+((V95*F95)/(V$10*F$10)-1)*costos!$K$39))</f>
        <v>2236.6058454800473</v>
      </c>
      <c r="DE95" s="69">
        <f>DD$10*(1+((H95/H$10-1)*costos!$B$35+((I95*F95)/(I$10*F$10)-1)*costos!$E$35+((U95*F95)/(U$10*F$10)-1)*costos!$F$35+((L95*F95)/(L$10*F$10)-1)*costos!$G$35+((BR95)/(BR$10)-1)*costos!$J$35+((V95*F95)/(V$10*F$10)-1)*costos!$K$35))</f>
        <v>2030.3819989246531</v>
      </c>
      <c r="DF95" s="69">
        <f>DF$10*(1+((H95/H$10-1)*costos!$B$40+((I95*F95)/(I$10*F$10)-1)*costos!$E$40+((U95*F95)/(U$10*F$10)-1)*costos!$F$40+((L95*F95)/(L$10*F$10)-1)*costos!$G$40+((BP95)/(BP$10)-1)*costos!$J$40+((V95*F95)/(V$10*F$10)-1)*costos!$K$40))</f>
        <v>2365.3280471267367</v>
      </c>
      <c r="DG95" s="92">
        <f t="shared" si="391"/>
        <v>2197.8550230256951</v>
      </c>
      <c r="DH95" s="69">
        <f>DH$10*(1+((H95/H$10-1)*costos!$B$34+((I95*F95)/(I$10*F$10)-1)*costos!$E$34+((J95*F95)/((J$10*F$10)-1)*costos!$F$34/3+((K95*F95)/(K$10*F$10)-1)*costos!$F$34/3+((U95*F95)/(U$10*F$10)-1)*costos!$F$34/3+((L95*F95)/(L$10*F$10)-1)*costos!$G$34+((BV95)/(BV$10)-1)*costos!$J$34+((V95*F95)/(V$10*F$10)-1)*costos!$K$34)))</f>
        <v>1831.7235833279337</v>
      </c>
      <c r="DI95" s="69">
        <f>DI$10*(1+((H95/H$10-1)*costos!$B$38+((I95*F95)/(I$10*F$10)-1)*costos!$E$38+((J95*F95)/((J$10*F$10)-1)*costos!$F$38/3+((K95*F95)/(K$10*F$10)-1)*costos!$F$38/3+((U95*F95)/(U$10*F$10)-1)*costos!$F$38/3+((L95*F95)/(L$10*F$10)-1)*costos!$G$38+((BU95)/(BU$10)-1)*costos!$J$38+((V95*F95)/(V$10*F$10)-1)*costos!$K$38)))</f>
        <v>1694.3939048436871</v>
      </c>
      <c r="DK95" s="1">
        <v>580000</v>
      </c>
      <c r="DL95" s="1" t="s">
        <v>399</v>
      </c>
      <c r="DM95" s="1">
        <v>190000</v>
      </c>
      <c r="DN95" s="1" t="s">
        <v>399</v>
      </c>
      <c r="DO95" s="1">
        <v>1800000</v>
      </c>
      <c r="DP95" s="1" t="s">
        <v>399</v>
      </c>
      <c r="DQ95" s="1">
        <v>2300000</v>
      </c>
      <c r="DR95" s="1" t="s">
        <v>399</v>
      </c>
      <c r="DS95" s="1">
        <v>7100000</v>
      </c>
      <c r="DT95" s="1" t="s">
        <v>399</v>
      </c>
      <c r="DU95" s="1">
        <v>16200000</v>
      </c>
      <c r="DV95" s="1" t="s">
        <v>399</v>
      </c>
      <c r="DW95" s="1">
        <v>930000</v>
      </c>
      <c r="DX95" s="1" t="s">
        <v>399</v>
      </c>
      <c r="DY95" s="1">
        <v>5907000</v>
      </c>
      <c r="DZ95" s="1" t="s">
        <v>399</v>
      </c>
      <c r="EA95" s="79">
        <f t="shared" si="353"/>
        <v>34237000</v>
      </c>
      <c r="EB95" s="1">
        <v>373795</v>
      </c>
      <c r="EC95" s="1" t="s">
        <v>399</v>
      </c>
      <c r="ED95" s="1">
        <v>222162</v>
      </c>
      <c r="EE95" s="143">
        <v>2023</v>
      </c>
      <c r="EF95" s="1">
        <v>204847</v>
      </c>
      <c r="EG95" s="6">
        <v>2023</v>
      </c>
      <c r="EH95" s="1">
        <v>54242595</v>
      </c>
      <c r="EI95" s="6">
        <v>2023</v>
      </c>
      <c r="EJ95" s="1">
        <v>5477107</v>
      </c>
      <c r="EK95" s="6">
        <v>2022</v>
      </c>
      <c r="EL95" s="1">
        <v>12461845</v>
      </c>
      <c r="EM95" s="6">
        <v>2022</v>
      </c>
      <c r="EN95" s="1">
        <v>3169981</v>
      </c>
      <c r="EO95" s="6">
        <v>2021</v>
      </c>
      <c r="EP95" s="83">
        <v>9310</v>
      </c>
      <c r="EQ95" s="83">
        <v>3500000</v>
      </c>
      <c r="ER95" s="1">
        <f t="shared" ref="ER95:ER105" si="403">46598+29746+3572</f>
        <v>79916</v>
      </c>
      <c r="ES95" s="1"/>
      <c r="ET95" s="83">
        <f t="shared" si="393"/>
        <v>20677</v>
      </c>
      <c r="EU95" s="83">
        <f t="shared" si="393"/>
        <v>19532</v>
      </c>
      <c r="EV95" s="83">
        <f t="shared" si="393"/>
        <v>9103</v>
      </c>
      <c r="EW95" s="83">
        <f t="shared" si="393"/>
        <v>17281</v>
      </c>
      <c r="EX95" s="79">
        <f t="shared" si="354"/>
        <v>66593</v>
      </c>
      <c r="EY95" s="83">
        <f t="shared" si="394"/>
        <v>20193</v>
      </c>
      <c r="EZ95" s="83">
        <f>+EZ94</f>
        <v>32682</v>
      </c>
      <c r="FA95" s="83">
        <f>+FA94</f>
        <v>19526</v>
      </c>
      <c r="FB95" s="83">
        <f>+FB94</f>
        <v>19463</v>
      </c>
      <c r="FC95" s="79">
        <f t="shared" si="307"/>
        <v>38989</v>
      </c>
      <c r="FD95" s="83">
        <f t="shared" si="395"/>
        <v>54743</v>
      </c>
      <c r="FE95" s="1"/>
      <c r="FF95" s="1">
        <v>1100000</v>
      </c>
      <c r="FG95" s="1" t="s">
        <v>389</v>
      </c>
      <c r="FH95" s="1">
        <v>1200000</v>
      </c>
      <c r="FI95" s="1" t="s">
        <v>389</v>
      </c>
      <c r="FJ95" s="1">
        <v>4600000</v>
      </c>
      <c r="FK95" s="1" t="s">
        <v>399</v>
      </c>
      <c r="FL95" s="1">
        <v>4000000</v>
      </c>
      <c r="FM95" s="1" t="s">
        <v>389</v>
      </c>
      <c r="FN95" s="1">
        <v>41000000</v>
      </c>
      <c r="FO95" s="1" t="s">
        <v>399</v>
      </c>
      <c r="FP95" s="1">
        <v>44000000</v>
      </c>
      <c r="FQ95" s="1" t="s">
        <v>389</v>
      </c>
      <c r="FR95" s="1">
        <v>2800000</v>
      </c>
      <c r="FS95" s="1" t="s">
        <v>389</v>
      </c>
      <c r="FT95" s="1">
        <v>12555000</v>
      </c>
      <c r="FU95" s="1" t="s">
        <v>399</v>
      </c>
      <c r="FV95" s="79">
        <f t="shared" si="355"/>
        <v>108955000</v>
      </c>
      <c r="FW95" s="1">
        <v>1350000</v>
      </c>
      <c r="FX95" s="1" t="s">
        <v>389</v>
      </c>
      <c r="FY95" s="1">
        <v>13846.919</v>
      </c>
      <c r="FZ95" s="79">
        <f t="shared" si="377"/>
        <v>822157.26899999997</v>
      </c>
      <c r="GA95" s="86" t="str">
        <f t="shared" si="378"/>
        <v>mar22 feb23</v>
      </c>
      <c r="GB95" s="1">
        <v>14553117</v>
      </c>
      <c r="GC95" s="6">
        <v>2023</v>
      </c>
      <c r="GD95" s="83">
        <v>2315000</v>
      </c>
      <c r="GE95" s="83">
        <v>377000</v>
      </c>
      <c r="GF95" s="83">
        <v>1061000</v>
      </c>
      <c r="GG95" s="83">
        <v>127000</v>
      </c>
      <c r="GH95" s="79">
        <f t="shared" si="240"/>
        <v>1565000</v>
      </c>
      <c r="GI95" s="82">
        <f t="shared" si="373"/>
        <v>1302556</v>
      </c>
      <c r="GJ95" s="83">
        <f t="shared" si="373"/>
        <v>687701</v>
      </c>
      <c r="GK95" s="83">
        <f t="shared" si="373"/>
        <v>1430078.41</v>
      </c>
      <c r="GL95" s="83">
        <f t="shared" si="373"/>
        <v>302535.34000000003</v>
      </c>
      <c r="GM95" s="83">
        <f t="shared" si="373"/>
        <v>257597.81</v>
      </c>
      <c r="GN95" s="79">
        <f t="shared" si="357"/>
        <v>2677912.56</v>
      </c>
      <c r="GO95" s="83">
        <f t="shared" si="374"/>
        <v>202394.36</v>
      </c>
      <c r="GP95" s="83">
        <f t="shared" si="374"/>
        <v>73395</v>
      </c>
      <c r="GQ95" s="83">
        <v>141440.5</v>
      </c>
      <c r="GR95" s="1">
        <v>37995</v>
      </c>
      <c r="GS95" s="79">
        <f t="shared" si="192"/>
        <v>42238.214999999997</v>
      </c>
      <c r="GT95" s="83">
        <f>+GT94</f>
        <v>2365997</v>
      </c>
      <c r="GU95" s="1">
        <f>116944-63796</f>
        <v>53148</v>
      </c>
      <c r="GV95" s="1">
        <v>34394</v>
      </c>
      <c r="GW95" s="79">
        <f t="shared" si="261"/>
        <v>936106</v>
      </c>
      <c r="GX95" s="1">
        <v>33126.813000000002</v>
      </c>
      <c r="GY95" s="1" t="s">
        <v>402</v>
      </c>
      <c r="GZ95" s="1">
        <v>87408</v>
      </c>
      <c r="HA95" s="1">
        <v>238150</v>
      </c>
      <c r="HB95" s="79">
        <f t="shared" si="241"/>
        <v>3169820</v>
      </c>
      <c r="HC95" s="86" t="str">
        <f t="shared" si="379"/>
        <v>mar22 feb23</v>
      </c>
      <c r="HD95" s="1">
        <v>53378</v>
      </c>
      <c r="HE95" s="79">
        <f t="shared" si="380"/>
        <v>709088</v>
      </c>
      <c r="HF95" s="86" t="str">
        <f t="shared" si="381"/>
        <v>mar22 feb23</v>
      </c>
      <c r="HG95" s="1">
        <v>166000</v>
      </c>
      <c r="HH95" s="79">
        <f t="shared" si="242"/>
        <v>2326000</v>
      </c>
      <c r="HI95" s="86" t="str">
        <f t="shared" si="382"/>
        <v>mar22 feb23</v>
      </c>
      <c r="HJ95" s="1">
        <v>78632</v>
      </c>
      <c r="HK95" s="79">
        <f t="shared" si="278"/>
        <v>67075.199999999997</v>
      </c>
      <c r="HL95" s="86" t="str">
        <f t="shared" si="383"/>
        <v>mar22 feb23</v>
      </c>
      <c r="HM95" s="79">
        <f t="shared" si="358"/>
        <v>2393075.2000000002</v>
      </c>
      <c r="HN95" s="87">
        <f t="shared" si="297"/>
        <v>-1.3359480328471673E-2</v>
      </c>
      <c r="HO95" s="1">
        <v>805000000</v>
      </c>
      <c r="HP95" s="79">
        <f t="shared" si="386"/>
        <v>11578.849742615621</v>
      </c>
      <c r="HQ95" s="86" t="str">
        <f t="shared" si="384"/>
        <v>mar22 feb23</v>
      </c>
      <c r="HR95" s="1"/>
      <c r="HS95" s="1"/>
      <c r="HT95" s="1"/>
      <c r="HU95" s="1">
        <v>650000</v>
      </c>
      <c r="HV95" s="1" t="s">
        <v>389</v>
      </c>
      <c r="HW95" s="1">
        <v>1500000</v>
      </c>
      <c r="HX95" s="1" t="s">
        <v>410</v>
      </c>
      <c r="HY95" s="1">
        <v>4300000</v>
      </c>
      <c r="HZ95" s="1" t="s">
        <v>399</v>
      </c>
      <c r="IA95" s="1">
        <f>(3.57+18)*1000000</f>
        <v>21570000</v>
      </c>
      <c r="IB95" s="1" t="s">
        <v>389</v>
      </c>
      <c r="IC95" s="1">
        <v>39940000</v>
      </c>
      <c r="ID95" s="1" t="s">
        <v>389</v>
      </c>
      <c r="IE95" s="1">
        <v>800000</v>
      </c>
      <c r="IF95" s="1" t="s">
        <v>389</v>
      </c>
      <c r="IG95" s="1">
        <f t="shared" si="365"/>
        <v>7400000</v>
      </c>
      <c r="IH95" s="1" t="s">
        <v>410</v>
      </c>
      <c r="II95" s="79">
        <f t="shared" si="359"/>
        <v>75510000</v>
      </c>
      <c r="IJ95" s="97">
        <f>(7373000*12)/$IJ$2</f>
        <v>1.9040737312717446</v>
      </c>
      <c r="IK95" s="1" t="s">
        <v>389</v>
      </c>
      <c r="IL95" s="7">
        <v>45.56</v>
      </c>
      <c r="IM95" s="7">
        <v>49.14</v>
      </c>
      <c r="IN95" s="7">
        <v>188.6</v>
      </c>
      <c r="IO95" s="7">
        <v>16.93</v>
      </c>
      <c r="IP95" s="176">
        <f t="shared" ref="IP95:IP105" si="404">285300595/IP$2</f>
        <v>6.139895208369488</v>
      </c>
      <c r="IQ95" s="176">
        <v>16.7</v>
      </c>
      <c r="IR95" s="98">
        <f t="shared" si="397"/>
        <v>6.92</v>
      </c>
      <c r="IS95" s="98">
        <f t="shared" si="397"/>
        <v>4.57</v>
      </c>
      <c r="IT95" s="98">
        <f t="shared" si="397"/>
        <v>13.61</v>
      </c>
      <c r="IU95" s="98">
        <f t="shared" si="397"/>
        <v>1.56</v>
      </c>
      <c r="IV95" s="94">
        <f t="shared" si="360"/>
        <v>19.739999999999998</v>
      </c>
      <c r="IW95" s="1"/>
      <c r="IX95" s="1"/>
      <c r="IY95" s="105">
        <v>1.88</v>
      </c>
      <c r="IZ95" s="161">
        <v>0.3</v>
      </c>
      <c r="JA95" s="83">
        <v>2813</v>
      </c>
      <c r="JB95" s="7">
        <v>35.950000000000003</v>
      </c>
      <c r="JC95" s="1"/>
      <c r="JD95" s="1"/>
      <c r="JF95" s="2">
        <v>2.2053805500000006</v>
      </c>
      <c r="JG95" s="2">
        <v>17.134564559999998</v>
      </c>
      <c r="JH95" s="2">
        <v>159.59072807000001</v>
      </c>
      <c r="JI95" s="2">
        <v>118.71822146000001</v>
      </c>
      <c r="JJ95" s="2">
        <v>610.82641348000016</v>
      </c>
      <c r="JK95" s="2">
        <v>116.52197384999999</v>
      </c>
      <c r="JL95" s="2">
        <v>1781.4186872500002</v>
      </c>
      <c r="JM95" s="2">
        <v>19.6916431</v>
      </c>
      <c r="JN95" s="2">
        <v>106.41429246999998</v>
      </c>
      <c r="JO95" s="2">
        <v>25.884569989999999</v>
      </c>
      <c r="JP95" s="2">
        <v>0</v>
      </c>
      <c r="JQ95" s="2">
        <v>0.98901187999999995</v>
      </c>
      <c r="JR95" s="2">
        <v>1.1964005499999999</v>
      </c>
      <c r="JS95" s="2">
        <v>0</v>
      </c>
      <c r="JT95" s="2">
        <v>0.33343552000000004</v>
      </c>
      <c r="JU95" s="2">
        <v>58.070113270000007</v>
      </c>
      <c r="JV95" s="2">
        <v>4.0804375500000001</v>
      </c>
      <c r="JW95" s="2">
        <v>33.196537290000002</v>
      </c>
      <c r="JX95" s="2">
        <v>8.8018886399999996</v>
      </c>
      <c r="JY95" s="2">
        <v>0</v>
      </c>
      <c r="JZ95" s="2">
        <v>4.3313326700000001</v>
      </c>
      <c r="KA95" s="2">
        <v>0.17499999999999999</v>
      </c>
      <c r="KB95" s="2">
        <v>31.026984670000001</v>
      </c>
      <c r="KC95" s="2">
        <v>99.771490689999993</v>
      </c>
      <c r="KD95" s="2">
        <v>8.9774099899999982</v>
      </c>
      <c r="KE95" s="2">
        <v>15.47450873</v>
      </c>
      <c r="KF95" s="2">
        <v>50.712421620000008</v>
      </c>
      <c r="KG95" s="2">
        <v>296.44265344999985</v>
      </c>
      <c r="KH95" s="2">
        <v>163.45053632000003</v>
      </c>
      <c r="KI95" s="2">
        <v>28.978678630000001</v>
      </c>
      <c r="KJ95" s="2">
        <v>2.1116566699999999</v>
      </c>
      <c r="KK95" s="171">
        <v>8.0897496800000006</v>
      </c>
      <c r="KL95" s="171">
        <v>1.0492100000000001E-3</v>
      </c>
      <c r="KM95" s="171">
        <v>0.59512326000000004</v>
      </c>
      <c r="KN95" s="171">
        <v>4.6575000000000002E-4</v>
      </c>
      <c r="KO95" s="171">
        <v>2.2221749999999998E-2</v>
      </c>
      <c r="KP95" s="171">
        <v>0.10975939999999999</v>
      </c>
      <c r="KQ95" s="171">
        <v>235.38016359</v>
      </c>
      <c r="KR95" s="171">
        <v>0.1585288</v>
      </c>
      <c r="KS95" s="171">
        <v>0.13433506000000001</v>
      </c>
      <c r="KT95" s="171">
        <v>0.41620179000000002</v>
      </c>
      <c r="KU95" s="171">
        <v>0.68698649000000001</v>
      </c>
      <c r="KV95" s="171">
        <v>1.7639999999999999E-2</v>
      </c>
      <c r="KW95" s="171">
        <v>1.11572855</v>
      </c>
      <c r="KX95" s="171">
        <v>0</v>
      </c>
      <c r="KY95" s="171">
        <v>0</v>
      </c>
      <c r="KZ95" s="171">
        <v>0.32453726999999999</v>
      </c>
      <c r="LA95" s="171">
        <v>0.53282898000000001</v>
      </c>
      <c r="LB95" s="171">
        <v>2.6474000000000001E-2</v>
      </c>
      <c r="LC95" s="171">
        <v>8.1154000000000004E-2</v>
      </c>
      <c r="LD95" s="171">
        <v>0</v>
      </c>
      <c r="LE95" s="171">
        <v>0.41722744000000006</v>
      </c>
      <c r="LF95" s="171">
        <v>0.23480627000000001</v>
      </c>
      <c r="LG95" s="171">
        <v>19.314417040000002</v>
      </c>
      <c r="LH95" s="171">
        <v>3.8674547000000001</v>
      </c>
      <c r="LI95" s="171">
        <v>0.38311624</v>
      </c>
      <c r="LJ95" s="171">
        <v>0</v>
      </c>
      <c r="LK95" s="171">
        <v>1.80858622</v>
      </c>
      <c r="LL95" s="171">
        <v>4.398381099999999</v>
      </c>
      <c r="LM95" s="171">
        <v>2.3068511200000001</v>
      </c>
      <c r="LN95" s="171">
        <v>0.27087241000000001</v>
      </c>
      <c r="LO95" s="171">
        <v>4.6739966500000012</v>
      </c>
      <c r="LQ95" s="85">
        <f t="shared" si="247"/>
        <v>2796.6599858300006</v>
      </c>
      <c r="LR95" s="85">
        <f t="shared" si="248"/>
        <v>2.5188479500000001</v>
      </c>
      <c r="LS95" s="85">
        <f t="shared" si="249"/>
        <v>37.276974840000001</v>
      </c>
      <c r="LT95" s="85">
        <f t="shared" si="250"/>
        <v>4.5063326699999999</v>
      </c>
      <c r="LU95" s="85">
        <f t="shared" si="251"/>
        <v>236.29083821</v>
      </c>
      <c r="LV95" s="85">
        <f t="shared" si="252"/>
        <v>1.1333685500000001</v>
      </c>
      <c r="LW95" s="85">
        <f t="shared" si="253"/>
        <v>0.55930298000000001</v>
      </c>
      <c r="LX95" s="85">
        <f t="shared" si="254"/>
        <v>0.6520337100000001</v>
      </c>
      <c r="LZ95" s="131">
        <v>290.01</v>
      </c>
      <c r="MA95" s="171">
        <v>226.87</v>
      </c>
      <c r="MB95"/>
      <c r="MC95"/>
      <c r="MD95"/>
      <c r="MF95"/>
      <c r="MG95"/>
      <c r="MH95" s="83">
        <v>459.15</v>
      </c>
      <c r="MI95" s="83">
        <v>172.29</v>
      </c>
      <c r="MJ95" s="83">
        <v>256.7</v>
      </c>
      <c r="MK95"/>
      <c r="ML95" s="83">
        <v>277.08999999999997</v>
      </c>
      <c r="MM95" s="83">
        <v>310.64</v>
      </c>
      <c r="MN95" s="83"/>
      <c r="MO95" s="83">
        <v>267.33</v>
      </c>
      <c r="MP95" s="83">
        <v>414.26</v>
      </c>
      <c r="MQ95" s="83">
        <v>653.26</v>
      </c>
      <c r="MR95"/>
      <c r="MT95" s="83"/>
      <c r="MU95" s="83">
        <v>350.32</v>
      </c>
      <c r="MV95"/>
      <c r="MW95"/>
      <c r="MX95"/>
      <c r="MY95" s="83">
        <v>413.83</v>
      </c>
      <c r="MZ95" s="83">
        <v>1055</v>
      </c>
      <c r="NA95" s="83">
        <v>444.2</v>
      </c>
      <c r="NB95" s="83">
        <v>1587.5</v>
      </c>
      <c r="NC95" s="83">
        <v>236.04</v>
      </c>
      <c r="ND95" s="1">
        <v>1890</v>
      </c>
      <c r="NE95" s="1">
        <v>1105.4000000000001</v>
      </c>
    </row>
    <row r="96" spans="1:369">
      <c r="A96" s="38">
        <f t="shared" si="334"/>
        <v>44986</v>
      </c>
      <c r="B96" s="36">
        <f t="shared" si="401"/>
        <v>3</v>
      </c>
      <c r="C96" s="36">
        <f t="shared" si="402"/>
        <v>2023</v>
      </c>
      <c r="D96" s="36">
        <f t="shared" si="347"/>
        <v>96</v>
      </c>
      <c r="E96" s="38">
        <f t="shared" si="335"/>
        <v>44986</v>
      </c>
      <c r="F96" s="7">
        <v>209.75</v>
      </c>
      <c r="G96" s="7">
        <v>1381.2</v>
      </c>
      <c r="H96" s="1">
        <f>[2]NACIONALES!$D84</f>
        <v>118003.8</v>
      </c>
      <c r="I96" s="7">
        <v>111</v>
      </c>
      <c r="J96" s="7">
        <v>600</v>
      </c>
      <c r="K96" s="7">
        <v>9.3000000000000007</v>
      </c>
      <c r="L96" s="7">
        <v>37.9</v>
      </c>
      <c r="N96" s="5">
        <v>2.6</v>
      </c>
      <c r="O96" s="5">
        <v>2.1800000000000002</v>
      </c>
      <c r="P96" s="78">
        <f t="shared" si="398"/>
        <v>476.23737500000004</v>
      </c>
      <c r="Q96" s="143">
        <v>6400</v>
      </c>
      <c r="R96" s="79">
        <f t="shared" si="336"/>
        <v>64000</v>
      </c>
      <c r="S96" s="6">
        <v>247.38</v>
      </c>
      <c r="T96" s="6">
        <f>75346.95/F96</f>
        <v>359.22264600715135</v>
      </c>
      <c r="U96" s="143">
        <v>249.7318181818182</v>
      </c>
      <c r="V96" s="143">
        <v>386.7</v>
      </c>
      <c r="W96" s="6">
        <v>316.39999999999998</v>
      </c>
      <c r="X96" s="6">
        <v>288.63600000000002</v>
      </c>
      <c r="Y96" s="79">
        <f t="shared" si="337"/>
        <v>51887.955000000002</v>
      </c>
      <c r="Z96" s="79">
        <f t="shared" si="338"/>
        <v>75346.95</v>
      </c>
      <c r="AA96" s="79">
        <f t="shared" si="339"/>
        <v>52381.248863636371</v>
      </c>
      <c r="AB96" s="79">
        <f t="shared" si="340"/>
        <v>81110.324999999997</v>
      </c>
      <c r="AC96" s="79">
        <f t="shared" si="341"/>
        <v>66364.899999999994</v>
      </c>
      <c r="AD96" s="79">
        <f t="shared" si="342"/>
        <v>60541.401000000005</v>
      </c>
      <c r="AE96" s="79">
        <f t="shared" si="343"/>
        <v>64605.463310606072</v>
      </c>
      <c r="AF96" s="1">
        <v>149474.81818181818</v>
      </c>
      <c r="AG96" s="1">
        <v>70080</v>
      </c>
      <c r="AH96" s="1">
        <v>266000</v>
      </c>
      <c r="AI96" s="5">
        <v>139.81788</v>
      </c>
      <c r="AJ96" s="105">
        <v>132.4188</v>
      </c>
      <c r="AK96" s="105">
        <v>114.1875</v>
      </c>
      <c r="AL96" s="105">
        <v>104.80410000000001</v>
      </c>
      <c r="AM96" s="78">
        <f t="shared" si="344"/>
        <v>124.4547108</v>
      </c>
      <c r="AN96" s="7">
        <v>6707.5862068965516</v>
      </c>
      <c r="AO96" s="7">
        <v>2518.0227272727275</v>
      </c>
      <c r="AP96" s="78">
        <f t="shared" si="385"/>
        <v>2518.0227272727275</v>
      </c>
      <c r="AQ96" s="7">
        <v>2983.0188679245284</v>
      </c>
      <c r="AR96" s="7">
        <v>3131.2</v>
      </c>
      <c r="AS96" s="7">
        <v>4530.1886792452833</v>
      </c>
      <c r="AT96" s="7">
        <v>6995.4590909090903</v>
      </c>
      <c r="AU96" s="78">
        <f t="shared" si="348"/>
        <v>4885.6159233847911</v>
      </c>
      <c r="AV96" s="7">
        <v>1888.8888888888889</v>
      </c>
      <c r="AW96" s="7">
        <v>5077.272727272727</v>
      </c>
      <c r="AX96" s="7">
        <v>1835.9227272727271</v>
      </c>
      <c r="AY96" s="7">
        <v>3772.136752136752</v>
      </c>
      <c r="AZ96" s="7">
        <v>1750.4545454545455</v>
      </c>
      <c r="BA96" s="7">
        <v>1362.7272727272727</v>
      </c>
      <c r="BB96" s="94">
        <f t="shared" si="345"/>
        <v>2333.7156382198045</v>
      </c>
      <c r="BC96" s="165">
        <v>8445</v>
      </c>
      <c r="BD96" s="68">
        <v>6050</v>
      </c>
      <c r="BE96" s="7">
        <v>5900</v>
      </c>
      <c r="BF96" s="7">
        <v>4000</v>
      </c>
      <c r="BG96" s="94">
        <f t="shared" si="349"/>
        <v>6098.75</v>
      </c>
      <c r="BH96" s="7">
        <v>633.33000000000004</v>
      </c>
      <c r="BI96" s="97">
        <v>83</v>
      </c>
      <c r="BJ96" s="78">
        <f t="shared" si="350"/>
        <v>716.33</v>
      </c>
      <c r="BK96" s="7">
        <v>474.24900000000002</v>
      </c>
      <c r="BL96" s="7">
        <v>486.67</v>
      </c>
      <c r="BM96" s="94">
        <f t="shared" si="351"/>
        <v>480.45950000000005</v>
      </c>
      <c r="BN96" s="5">
        <v>81.53</v>
      </c>
      <c r="BO96" s="84">
        <v>420.8</v>
      </c>
      <c r="BP96" s="84">
        <v>356</v>
      </c>
      <c r="BQ96" s="94">
        <f t="shared" si="346"/>
        <v>414.32000000000005</v>
      </c>
      <c r="BR96" s="7">
        <v>298.44</v>
      </c>
      <c r="BS96" s="95">
        <f>+BS95</f>
        <v>1000</v>
      </c>
      <c r="BT96" s="7">
        <f>0.79*F96</f>
        <v>165.70250000000001</v>
      </c>
      <c r="BU96" s="79">
        <f t="shared" si="237"/>
        <v>12497.1075</v>
      </c>
      <c r="BV96" s="7">
        <v>430.4</v>
      </c>
      <c r="BW96" s="7">
        <v>850</v>
      </c>
      <c r="BY96" s="92">
        <f>BY$10*(1+((H96/H$10-1)*costos!$B$5+((I96*F96)/(I$10*F$10)-1)*costos!$E$5+((J96*F96)/((J$10*F$10)-1)*costos!$F$5/3+((K96*F96)/(K$10*F$10)-1)*costos!$F$5/3+((U96*F96)/(U$10*F$10)-1)*costos!$F$5/3+((L96*F96)/(L$10*F$10)-1)*costos!$G$5+((N96*F96)/(N$10*F$10)-1)*costos!$J$5+((V96*F96)/(V$10*F$10)-1)*costos!$K$5)))</f>
        <v>2586.0743222203228</v>
      </c>
      <c r="BZ96" s="92">
        <f>$BZ$10*(1+((H96/$H$10-1)*costos!$B$6+((I96*F96)/($I$10*$F$10)-1)*costos!$E$6+((J96*F96)/(($J$10*$F$10)-1)*costos!$F$6/3+((K96*F96)/($K$10*$F$10)-1)*costos!$F$6/3+((U96*F96)/($U$10*$F$10)-1)*costos!$F$6/3+((L96*F96)/($L$10*$F$10)-1)*costos!$G$6+((Q96*F96)/($Q$10*$F$10)-1)*costos!$J$6+((V96*F96)/($V$10*$F$10)-1)*costos!$K$6)))</f>
        <v>2114.5500306263029</v>
      </c>
      <c r="CA96" s="92">
        <f>CA$10*(1+((H96/H$10-1)*costos!$B$7+((I96*F96)/(I$10*F$10)-1)*costos!$E$7+((J96*F96)/((J$10*F$10)-1)*costos!$F$7/3+((K96*F96)/(K$10*F$10)-1)*costos!$F$7/3+((U96*F96)/(U$10*F$10)-1)*costos!$F$7/3+((L96*F96)/(L$10*F$10)-1)*costos!$G$7+((S96*F96)/(S$10*F$10)-1)*costos!$J$7+((V96*F96)/(V$10*F$10)-1)*costos!$K$7)))</f>
        <v>2427.7946988510125</v>
      </c>
      <c r="CB96" s="92">
        <f>CB$10*(1+((H96/H$10-1)*costos!$B$8+((I96*F96)/(I$10*F$10)-1)*costos!$E$8+((J96*F96)/((J$10*F$10)-1)*costos!$F$8/3+((K96*F96)/(K$10*F$10)-1)*costos!$F$8/3+((U96*F96)/(U$10*F$10)-1)*costos!$F$8/3+((L96*F96)/(L$10*F$10)-1)*costos!$G$8+((T96*F96)/(T$10*F$10)-1)*costos!$J$8+((V96*F96)/(V$10*F$10)-1)*costos!$K$8)))</f>
        <v>2236.9646334474546</v>
      </c>
      <c r="CC96" s="92">
        <f>CC$10*(1+((H96/H$10-1)*costos!$B$9+((I96*F96)/(I$10*F$10)-1)*costos!$E$9+((J96*F96)/((J$10*F$10)-1)*costos!$F$9/3+((K96*F96)/(K$10*F$10)-1)*costos!$F$9/3+((U96*F96)/(U$10*F$10)-1)*costos!$F$9/3+((L96*F96)/(L$10*F$10)-1)*costos!$G$9+((U96*F96)/(U$10*F$10)-1)*costos!$J$9+((V96*F96)/(V$10*F$10)-1)*costos!$K$9)))</f>
        <v>2403.6854303722398</v>
      </c>
      <c r="CD96" s="92">
        <f>CD$10*(1+((H96/H$10-1)*costos!$B$11+((I96*F96)/(I$10*F$10)-1)*costos!$E$11+((J96*F96)/((J$10*F$10)-1)*costos!$F$11/3+((K96*F96)/(K$10*F$10)-1)*costos!$F$11/3+((U96*F96)/(U$10*F$10)-1)*costos!$F$11/3+((L96*F96)/(L$10*F$10)-1)*costos!$G$11+((V96*F96)/(V$10*F$10)-1)*costos!$J$11+((V96*F96)/(V$10*F$10)-1)*costos!$K$11)))</f>
        <v>2440.6896879968913</v>
      </c>
      <c r="CE96" s="92">
        <f>CE$10*(1+((H96/H$10-1)*costos!$B$12+((I96*F96)/(I$10*F$10)-1)*costos!$E$12+((J96*F96)/((J$10*F$10)-1)*costos!$F$12/3+((K96*F96)/(K$10*F$10)-1)*costos!$F$12/3+((U96*F96)/(U$10*F$10)-1)*costos!$F$12/3+((L96*F96)/(L$10*F$10)-1)*costos!$G$12+((W96*F96)/(W$10*F$10)-1)*costos!$J$12+((V96*F96)/(V$10*F$10)-1)*costos!$K$12)))</f>
        <v>2590.9982157885424</v>
      </c>
      <c r="CF96" s="92">
        <f>CF$10*(1+((H96/H$10-1)*costos!$B$13+((I96*F96)/(I$10*F$10)-1)*costos!$E$13+((J96*F96)/((J$10*F$10)-1)*costos!$F$13/3+((K96*F96)/(K$10*F$10)-1)*costos!$F$13/3+((U96*F96)/(U$10*F$10)-1)*costos!$F$13/3+((L96*F96)/(L$10*F$10)-1)*costos!$G$13+((X96*F96)/(X$10*F$10)-1)*costos!$J$13+((V96*F96)/(V$10*F$10)-1)*costos!$K$13)))</f>
        <v>2514.151054808191</v>
      </c>
      <c r="CG96" s="92">
        <f t="shared" si="388"/>
        <v>2435.7139535440551</v>
      </c>
      <c r="CH96" s="92">
        <f>CH$10*(1+((H96/H$10-1)*costos!$B$10+((I96*F96)/(I$10*F$10)-1)*costos!$E$10+((J96*F96)/((J$10*F$10)-1)*costos!$F$10/3+((K96*F96)/(K$10*F$10)-1)*costos!$F$10/3+((U96*F96)/(U$10*F$10)-1)*costos!$F$10/3+((L96*F96)/(L$10*F$10)-1)*costos!$G$10+((AF96)/(AF$10)-1)*costos!$J$10+((V96*F96)/(V$10*F$10)-1)*costos!$K$10)))</f>
        <v>2342.1153703067498</v>
      </c>
      <c r="CI96" s="92">
        <f>CI$10*(1+((H96/H$10-1)*costos!$B$15+((I96*F96)/(I$10*F$10)-1)*costos!$E$15+((J96*F96)/((J$10*F$10)-1)*costos!$F$15/3+((K96*F96)/(K$10*F$10)-1)*costos!$F$15/3+((U96*F96)/(U$10*F$10)-1)*costos!$F$15/3+((L96*F96)/(L$10*F$10)-1)*costos!$G$15+((AV96)/(AV$10)-1)*costos!$J$15+((V96*F96)/(V$10*F$10)-1)*costos!$K$15)))</f>
        <v>2383.1570387975789</v>
      </c>
      <c r="CJ96" s="92">
        <f>CJ$10*(1+((H96/H$10-1)*costos!$B$16+((I96*F96)/(I$10*F$10)-1)*costos!$E$16+((J96*F96)/((J$10*F$10)-1)*costos!$F$16/3+((K96*F96)/(K$10*F$10)-1)*costos!$F$16/3+((U96*F96)/(U$10*F$10)-1)*costos!$F$16/3+((L96*F96)/(L$10*F$10)-1)*costos!$G$16+((AW96)/(AW$10)-1)*costos!$J$16+((V96*F96)/(V$10*F$10)-1)*costos!$K$16)))</f>
        <v>1956.2964104426612</v>
      </c>
      <c r="CK96" s="92">
        <f>CK$10*(1+((H96/H$10-1)*costos!$B$17+((I96*F96)/(I$10*F$10)-1)*costos!$E$17+((J96*F96)/((J$10*F$10)-1)*costos!$F$17/3+((K96*F96)/(K$10*F$10)-1)*costos!$F$17/3+((U96*F96)/(U$10*F$10)-1)*costos!$F$17/3+((L96*F96)/(L$10*F$10)-1)*costos!$G$17+((AX96)/(AX$10)-1)*costos!$J$17+((V96*F96)/(V$10*F$10)-1)*costos!$K$17)))</f>
        <v>2205.7604993841805</v>
      </c>
      <c r="CL96" s="92">
        <f>CL$10*(1+((H96/H$10-1)*costos!$B$18+((I96*F96)/(I$10*F$10)-1)*costos!$E$18+((J96*F96)/((J$10*F$10)-1)*costos!$F$18/3+((K96*F96)/(K$10*F$10)-1)*costos!$F$18/3+((U96*F96)/(U$10*F$10)-1)*costos!$F$18/3+((L96*F96)/(L$10*F$10)-1)*costos!$G$18+((AY96)/(AY$10)-1)*costos!$J$18+((V96*F96)/(V$10*F$10)-1)*costos!$K$18)))</f>
        <v>2610.6903739676031</v>
      </c>
      <c r="CM96" s="92">
        <f>CM$10*(1+((H96/H$10-1)*costos!$B$19+((I96*F96)/(I$10*F$10)-1)*costos!$E$19+((J96*F96)/((J$10*F$10)-1)*costos!$F$19/3+((K96*F96)/(K$10*F$10)-1)*costos!$F$19/3+((U96*F96)/(U$10*F$10)-1)*costos!$F$19/3+((L96*F96)/(L$10*F$10)-1)*costos!$G$19+((AZ96)/(AZ$10)-1)*costos!$J$19+((V96*F96)/(V$10*F$10)-1)*costos!$K$19)))</f>
        <v>1809.6953044614756</v>
      </c>
      <c r="CN96" s="92">
        <f>CN$10*(1+((H96/H$10-1)*costos!$B$20+((I96*F96)/(I$10*F$10)-1)*costos!$E$20+((J96*F96)/((J$10*F$10)-1)*costos!$F$20/3+((K96*F96)/(K$10*F$10)-1)*costos!$F$20/3+((U96*F96)/(U$10*F$10)-1)*costos!$F$20/3+((L96*F96)/(L$10*F$10)-1)*costos!$G$20+((BA96)/(BA$10)-1)*costos!$J$20+((V96*F96)/(V$10*F$10)-1)*costos!$K$20)))</f>
        <v>1844.1039141937842</v>
      </c>
      <c r="CO96" s="92">
        <f t="shared" si="399"/>
        <v>2117.5625230017608</v>
      </c>
      <c r="CP96" s="92">
        <f>CP$10*(1+((H96/H$10-1)*costos!$B$22+((I96*F96)/(I$10*F$10)-1)*costos!$E$22+((J96*F96)/((J$10*F$10)-1)*costos!$F$22/3+((K96*F96)/(K$10*F$10)-1)*costos!$F$22/3+((U96*F96)/(U$10*F$10)-1)*costos!$F$22/3+((L96*F96)/(L$10*F$10)-1)*costos!$G$22+(((AVERAGE(AI96:AL96))/((AVERAGE(AI$10:AL$10))-1)*costos!$J$22+((V96*F96)/(V$10*F$10)-1)*costos!$K$22)))))</f>
        <v>2513.1182329798976</v>
      </c>
      <c r="CQ96" s="92">
        <f>CQ$10*(1+((H96/H$10-1)*costos!$B$23+((I96*F96)/(I$10*F$10)-1)*costos!$E$23+((J96*F96)/((J$10*F$10)-1)*costos!$F$23/3+((K96*F96)/(K$10*F$10)-1)*costos!$F$23/3+((U96*F96)/(U$10*F$10)-1)*costos!$F$23/3+((L96*F96)/(L$10*F$10)-1)*costos!$G$23+((AN96)/(AN$10)-1)*costos!$J$23+((V96*F96)/(V$10*F$10)-1)*costos!$K$23)))</f>
        <v>1966.5410898607458</v>
      </c>
      <c r="CR96" s="92">
        <f>CR$10*(1+((H96/H$10-1)*costos!$B$24+((I96*F96)/(I$10*F$10)-1)*costos!$E$24+((J96*F96)/((J$10*F$10)-1)*costos!$F$24/3+((K96*F96)/(K$10*F$10)-1)*costos!$F$24/3+((U96*F96)/(U$10*F$10)-1)*costos!$F$24/3+((L96*F96)/(L$10*F$10)-1)*costos!$G$24+((AO96)/(AO$10)-1)*costos!$J$24+((V96*F96)/(V$10*F$10)-1)*costos!$K$24)))</f>
        <v>1839.8578712872325</v>
      </c>
      <c r="CS96" s="92">
        <f t="shared" si="352"/>
        <v>1903.1994805739891</v>
      </c>
      <c r="CT96" s="92">
        <f>CT$10*(1+((H96/H$10-1)*costos!$B$25+((I96*F96)/(I$10*F$10)-1)*costos!$E$25+((J96*F96)/((J$10*F$10)-1)*costos!$F$25/3+((K96*F96)/(K$10*F$10)-1)*costos!$F$25/3+((U96*F96)/(U$10*F$10)-1)*costos!$F$25/3+((L96*F96)/(L$10*F$10)-1)*costos!$G$25+((AQ96)/(AQ$10)-1)*costos!$J$25+((V96*F96)/(V$10*F$10)-1)*costos!$K$25)))</f>
        <v>1902.1124140671432</v>
      </c>
      <c r="CU96" s="92">
        <f>CU$10*(1+((H96/H$10-1)*costos!$B$26+((I96*F96)/(I$10*F$10)-1)*costos!$E$26+((J96*F96)/((J$10*F$10)-1)*costos!$F$26/3+((K96*F96)/(K$10*F$10)-1)*costos!$F$26/3+((U96*F96)/(U$10*F$10)-1)*costos!$F$26/3+((L96*F96)/(L$10*F$10)-1)*costos!$G$26+((AR96)/(AR$10)-1)*costos!$J$26+((V96*F96)/(V$10*F$10)-1)*costos!$K$26)))</f>
        <v>2057.0180484252655</v>
      </c>
      <c r="CV96" s="92">
        <f>CV$10*(1+((H96/H$10-1)*costos!$B$27+((I96*F96)/(I$10*F$10)-1)*costos!$E$27+((J96*F96)/((J$10*F$10)-1)*costos!$F$27/3+((K96*F96)/(K$10*F$10)-1)*costos!$F$27/3+((U96*F96)/(U$10*F$10)-1)*costos!$F$27/3+((L96*F96)/(L$10*F$10)-1)*costos!$G$27+((AS96)/(AS$10)-1)*costos!$J$27+((V96*F96)/(V$10*F$10)-1)*costos!$K$27)))</f>
        <v>2146.9759271171388</v>
      </c>
      <c r="CW96" s="92">
        <f>CW$10*(1+((H96/H$10-1)*costos!$B$28+((I96*F96)/(I$10*F$10)-1)*costos!$E$28+((J96*F96)/((J$10*F$10)-1)*costos!$F$28/3+((K96*F96)/(K$10*F$10)-1)*costos!$F$28/3+((U96*F96)/(U$10*F$10)-1)*costos!$F$28/3+((L96*F96)/(L$10*F$10)-1)*costos!$G$28+((AS96)/(AS$10)-1)*costos!$J$28+((V96*F96)/(V$10*F$10)-1)*costos!$K$28)))</f>
        <v>2146.9759271171388</v>
      </c>
      <c r="CX96" s="92">
        <f t="shared" si="400"/>
        <v>2116.989967553181</v>
      </c>
      <c r="CY96" s="92">
        <f>CY$10*(1+((H96/H$10-1)*costos!$B$32+((I96*F96)/(I$10*F$10)-1)*costos!$E$32+((J96*F96)/((J$10*F$10)-1)*costos!$F$32/3+((K96*F96)/(K$10*F$10)-1)*costos!$F$32/3+((U96*F96)/(U$10*F$10)-1)*costos!$F$32/3+((L96*F96)/(L$10*F$10)-1)*costos!$G$32+((AG96)/(AG$10)-1)*costos!$J$32+((V96*F96)/(V$10*F$10)-1)*costos!$K$32)))</f>
        <v>1730.2705412294094</v>
      </c>
      <c r="CZ96" s="69">
        <f>CZ$10*(1+((H96/H$10-1)*costos!$B$31+((I96*F96)/(I$10*F$10)-1)*costos!$E$30+((J96*F96)/((J$10*F$10)-1)*costos!$F$30/3+((K96*F96)/(K$10*F$10)-1)*costos!$F$30/3+((U96*F96)/(U$10*F$10)-1)*costos!$F$30/3+((L96*F96)/(L$10*F$10)-1)*costos!$G$30+((BG96)/(BG$10)-1)*costos!$J$30+((V96*F96)/(V$10*F$10)-1)*costos!$K$30)))</f>
        <v>2254.992639094166</v>
      </c>
      <c r="DA96" s="69">
        <f>DA$10*(1+((H96/H$10-1)*costos!$B$31+((I96*F96)/(I$10*F$10)-1)*costos!$E$31+((J96*F96)/((J$10*F$10)-1)*costos!$F$31/3+((K96*F96)/(K$10*F$10)-1)*costos!$F$31/3+((U96*F96)/(U$10*F$10)-1)*costos!$F$31/3+((L96*F96)/(L$10*F$10)-1)*costos!$G$31+((BJ96)/(BJ$10)-1)*costos!$J$31+((V96*F96)/(V$10*F$10)-1)*costos!$K$31)))</f>
        <v>1825.4670237886937</v>
      </c>
      <c r="DB96" s="69">
        <f>DB$10*(1+((H96/H$10-1)*costos!$B$36+((I96*F96)/(I$10*F$10)-1)*costos!$E$36+((J96*F96)/((J$10*F$10)-1)*costos!$F$36/3+((K96*F96)/(K$10*F$10)-1)*costos!$F$36/3+((U96*F96)/(U$10*F$10)-1)*costos!$F$36/3+((L96*F96)/(L$10*F$10)-1)*costos!$G$36+((BK96)/(BK$10)-1)*costos!$J$36+((V96*F96)/(V$10*F$10)-1)*costos!$K$36)))</f>
        <v>2091.4093480990205</v>
      </c>
      <c r="DC96" s="69">
        <f>DC$10*(1+((H96/H$10-1)*costos!$B$37+((I96*F96)/(I$10*F$10)-1)*costos!$E$37+((U96*F96)/(U$10*F$10)-1)*costos!$F$37+((L96*F96)/(L$10*F$10)-1)*costos!$G$37+((BN96)/(BN$10)-1)*costos!$J$37+((V96*F96)/(V$10*F$10)-1)*costos!$K$37))</f>
        <v>2332.047965976677</v>
      </c>
      <c r="DD96" s="69">
        <f>DD$10*(1+((H96/H$10-1)*costos!$B$39+((I96*F96)/(I$10*F$10)-1)*costos!$E$39+((U96*F96)/(U$10*F$10)-1)*costos!$F$39+((L96*F96)/(L$10*F$10)-1)*costos!$G$39+((BR96)/(BR$10)-1)*costos!$J$39+((V96*F96)/(V$10*F$10)-1)*costos!$K$39))</f>
        <v>2291.692167342545</v>
      </c>
      <c r="DE96" s="69">
        <f>DD$10*(1+((H96/H$10-1)*costos!$B$35+((I96*F96)/(I$10*F$10)-1)*costos!$E$35+((U96*F96)/(U$10*F$10)-1)*costos!$F$35+((L96*F96)/(L$10*F$10)-1)*costos!$G$35+((BR96)/(BR$10)-1)*costos!$J$35+((V96*F96)/(V$10*F$10)-1)*costos!$K$35))</f>
        <v>2061.1072634542033</v>
      </c>
      <c r="DF96" s="69">
        <f>DF$10*(1+((H96/H$10-1)*costos!$B$40+((I96*F96)/(I$10*F$10)-1)*costos!$E$40+((U96*F96)/(U$10*F$10)-1)*costos!$F$40+((L96*F96)/(L$10*F$10)-1)*costos!$G$40+((BP96)/(BP$10)-1)*costos!$J$40+((V96*F96)/(V$10*F$10)-1)*costos!$K$40))</f>
        <v>2460.4670686673576</v>
      </c>
      <c r="DG96" s="92">
        <f t="shared" si="391"/>
        <v>2260.7871660607807</v>
      </c>
      <c r="DH96" s="69">
        <f>DH$10*(1+((H96/H$10-1)*costos!$B$34+((I96*F96)/(I$10*F$10)-1)*costos!$E$34+((J96*F96)/((J$10*F$10)-1)*costos!$F$34/3+((K96*F96)/(K$10*F$10)-1)*costos!$F$34/3+((U96*F96)/(U$10*F$10)-1)*costos!$F$34/3+((L96*F96)/(L$10*F$10)-1)*costos!$G$34+((BV96)/(BV$10)-1)*costos!$J$34+((V96*F96)/(V$10*F$10)-1)*costos!$K$34)))</f>
        <v>1933.3283176117284</v>
      </c>
      <c r="DI96" s="69">
        <f>DI$10*(1+((H96/H$10-1)*costos!$B$38+((I96*F96)/(I$10*F$10)-1)*costos!$E$38+((J96*F96)/((J$10*F$10)-1)*costos!$F$38/3+((K96*F96)/(K$10*F$10)-1)*costos!$F$38/3+((U96*F96)/(U$10*F$10)-1)*costos!$F$38/3+((L96*F96)/(L$10*F$10)-1)*costos!$G$38+((BU96)/(BU$10)-1)*costos!$J$38+((V96*F96)/(V$10*F$10)-1)*costos!$K$38)))</f>
        <v>1737.6404850525128</v>
      </c>
      <c r="DK96" s="1">
        <v>580000</v>
      </c>
      <c r="DL96" s="1" t="s">
        <v>399</v>
      </c>
      <c r="DM96" s="1">
        <v>190000</v>
      </c>
      <c r="DN96" s="1" t="s">
        <v>399</v>
      </c>
      <c r="DO96" s="1">
        <v>1800000</v>
      </c>
      <c r="DP96" s="1" t="s">
        <v>399</v>
      </c>
      <c r="DQ96" s="1">
        <v>2300000</v>
      </c>
      <c r="DR96" s="1" t="s">
        <v>399</v>
      </c>
      <c r="DS96" s="1">
        <v>7100000</v>
      </c>
      <c r="DT96" s="1" t="s">
        <v>399</v>
      </c>
      <c r="DU96" s="1">
        <v>16000000</v>
      </c>
      <c r="DV96" s="1" t="s">
        <v>399</v>
      </c>
      <c r="DW96" s="1">
        <v>900000</v>
      </c>
      <c r="DX96" s="1" t="s">
        <v>399</v>
      </c>
      <c r="DY96" s="1">
        <v>5907000</v>
      </c>
      <c r="DZ96" s="1" t="s">
        <v>399</v>
      </c>
      <c r="EA96" s="79">
        <f t="shared" si="353"/>
        <v>34007000</v>
      </c>
      <c r="EB96" s="1">
        <v>373795</v>
      </c>
      <c r="EC96" s="1" t="s">
        <v>399</v>
      </c>
      <c r="ED96" s="1">
        <v>222162</v>
      </c>
      <c r="EE96" s="143">
        <v>2023</v>
      </c>
      <c r="EF96" s="1">
        <v>204847</v>
      </c>
      <c r="EG96" s="6">
        <v>2023</v>
      </c>
      <c r="EH96" s="1">
        <v>54242595</v>
      </c>
      <c r="EI96" s="6">
        <v>2023</v>
      </c>
      <c r="EJ96" s="1">
        <v>5887401</v>
      </c>
      <c r="EK96" s="6">
        <v>2023</v>
      </c>
      <c r="EL96" s="1">
        <v>12461845</v>
      </c>
      <c r="EM96" s="6">
        <v>2022</v>
      </c>
      <c r="EN96" s="1">
        <v>3169981</v>
      </c>
      <c r="EO96" s="6">
        <v>2021</v>
      </c>
      <c r="EP96" s="83">
        <v>9302</v>
      </c>
      <c r="EQ96" s="83">
        <v>3500000</v>
      </c>
      <c r="ER96" s="1">
        <f t="shared" si="403"/>
        <v>79916</v>
      </c>
      <c r="ES96" s="1"/>
      <c r="ET96" s="83">
        <f t="shared" si="393"/>
        <v>20677</v>
      </c>
      <c r="EU96" s="83">
        <f t="shared" si="393"/>
        <v>19532</v>
      </c>
      <c r="EV96" s="83">
        <f t="shared" si="393"/>
        <v>9103</v>
      </c>
      <c r="EW96" s="83">
        <f t="shared" si="393"/>
        <v>17281</v>
      </c>
      <c r="EX96" s="79">
        <f t="shared" si="354"/>
        <v>66593</v>
      </c>
      <c r="EY96" s="83">
        <f t="shared" si="394"/>
        <v>20193</v>
      </c>
      <c r="EZ96" s="83">
        <f t="shared" si="394"/>
        <v>32682</v>
      </c>
      <c r="FA96" s="83">
        <f t="shared" ref="FA96:FA105" si="405">+FA95</f>
        <v>19526</v>
      </c>
      <c r="FB96" s="83">
        <f t="shared" ref="FB96:FB129" si="406">+FB95</f>
        <v>19463</v>
      </c>
      <c r="FC96" s="79">
        <f t="shared" si="307"/>
        <v>38989</v>
      </c>
      <c r="FD96" s="83">
        <f t="shared" si="395"/>
        <v>54743</v>
      </c>
      <c r="FE96" s="1"/>
      <c r="FF96" s="1">
        <v>1100000</v>
      </c>
      <c r="FG96" s="1" t="s">
        <v>389</v>
      </c>
      <c r="FH96" s="1">
        <v>1200000</v>
      </c>
      <c r="FI96" s="1" t="s">
        <v>389</v>
      </c>
      <c r="FJ96" s="1">
        <v>4600000</v>
      </c>
      <c r="FK96" s="1" t="s">
        <v>399</v>
      </c>
      <c r="FL96" s="1">
        <v>5000000</v>
      </c>
      <c r="FM96" s="1" t="s">
        <v>399</v>
      </c>
      <c r="FN96" s="1">
        <v>36000000</v>
      </c>
      <c r="FO96" s="1" t="s">
        <v>399</v>
      </c>
      <c r="FP96" s="1">
        <v>44000000</v>
      </c>
      <c r="FQ96" s="1" t="s">
        <v>389</v>
      </c>
      <c r="FR96" s="1">
        <v>2800000</v>
      </c>
      <c r="FS96" s="1" t="s">
        <v>389</v>
      </c>
      <c r="FT96" s="1">
        <v>12555000</v>
      </c>
      <c r="FU96" s="1" t="s">
        <v>399</v>
      </c>
      <c r="FV96" s="79">
        <f t="shared" si="355"/>
        <v>104955000</v>
      </c>
      <c r="FW96" s="1">
        <v>1350000</v>
      </c>
      <c r="FX96" s="1" t="s">
        <v>389</v>
      </c>
      <c r="FY96" s="1">
        <v>40120</v>
      </c>
      <c r="FZ96" s="79">
        <f t="shared" si="377"/>
        <v>819110.26899999997</v>
      </c>
      <c r="GA96" s="86" t="str">
        <f t="shared" si="378"/>
        <v>abr22 mar23</v>
      </c>
      <c r="GB96" s="1">
        <v>14553117</v>
      </c>
      <c r="GC96" s="6">
        <v>2023</v>
      </c>
      <c r="GD96" s="83">
        <v>2315000</v>
      </c>
      <c r="GE96" s="83">
        <v>377000</v>
      </c>
      <c r="GF96" s="83">
        <v>1061000</v>
      </c>
      <c r="GG96" s="83">
        <v>127000</v>
      </c>
      <c r="GH96" s="79">
        <f t="shared" si="240"/>
        <v>1565000</v>
      </c>
      <c r="GI96" s="82">
        <f t="shared" si="373"/>
        <v>1302556</v>
      </c>
      <c r="GJ96" s="83">
        <f t="shared" si="373"/>
        <v>687701</v>
      </c>
      <c r="GK96" s="83">
        <f t="shared" si="373"/>
        <v>1430078.41</v>
      </c>
      <c r="GL96" s="83">
        <f t="shared" si="373"/>
        <v>302535.34000000003</v>
      </c>
      <c r="GM96" s="83">
        <f t="shared" si="373"/>
        <v>257597.81</v>
      </c>
      <c r="GN96" s="79">
        <f t="shared" si="357"/>
        <v>2677912.56</v>
      </c>
      <c r="GO96" s="83">
        <f t="shared" si="374"/>
        <v>202394.36</v>
      </c>
      <c r="GP96" s="83">
        <f t="shared" si="374"/>
        <v>73395</v>
      </c>
      <c r="GQ96" s="83">
        <v>118858</v>
      </c>
      <c r="GR96" s="1">
        <v>37995</v>
      </c>
      <c r="GS96" s="79">
        <f t="shared" si="192"/>
        <v>41560.74</v>
      </c>
      <c r="GT96" s="83">
        <f t="shared" ref="GT96:GT127" si="407">+GT95</f>
        <v>2365997</v>
      </c>
      <c r="GU96" s="1">
        <v>79670</v>
      </c>
      <c r="GV96" s="1">
        <v>30081</v>
      </c>
      <c r="GW96" s="79">
        <f t="shared" si="261"/>
        <v>862992</v>
      </c>
      <c r="GX96" s="1">
        <v>33126.813000000002</v>
      </c>
      <c r="GY96" s="1" t="s">
        <v>402</v>
      </c>
      <c r="GZ96" s="1">
        <v>87408</v>
      </c>
      <c r="HA96" s="1">
        <v>292439</v>
      </c>
      <c r="HB96" s="79">
        <f t="shared" si="241"/>
        <v>3202124</v>
      </c>
      <c r="HC96" s="86" t="str">
        <f t="shared" si="379"/>
        <v>abr22 mar23</v>
      </c>
      <c r="HD96" s="1">
        <v>65243</v>
      </c>
      <c r="HE96" s="79">
        <f t="shared" si="380"/>
        <v>712214</v>
      </c>
      <c r="HF96" s="86" t="str">
        <f t="shared" si="381"/>
        <v>abr22 mar23</v>
      </c>
      <c r="HG96" s="1">
        <v>185000</v>
      </c>
      <c r="HH96" s="79">
        <f t="shared" si="242"/>
        <v>2311000</v>
      </c>
      <c r="HI96" s="86" t="str">
        <f t="shared" si="382"/>
        <v>abr22 mar23</v>
      </c>
      <c r="HJ96" s="1">
        <v>95614</v>
      </c>
      <c r="HK96" s="79">
        <f t="shared" si="278"/>
        <v>67712.460000000006</v>
      </c>
      <c r="HL96" s="86" t="str">
        <f t="shared" si="383"/>
        <v>abr22 mar23</v>
      </c>
      <c r="HM96" s="79">
        <f t="shared" si="358"/>
        <v>2378712.46</v>
      </c>
      <c r="HN96" s="87">
        <f t="shared" si="297"/>
        <v>-3.1742727907759005E-2</v>
      </c>
      <c r="HO96" s="1">
        <v>822000000</v>
      </c>
      <c r="HP96" s="79">
        <f t="shared" si="386"/>
        <v>11551.901819690347</v>
      </c>
      <c r="HQ96" s="86" t="str">
        <f t="shared" si="384"/>
        <v>abr22 mar23</v>
      </c>
      <c r="HR96" s="1"/>
      <c r="HS96" s="1"/>
      <c r="HT96" s="1"/>
      <c r="HU96" s="1">
        <v>700000</v>
      </c>
      <c r="HV96" s="1" t="s">
        <v>399</v>
      </c>
      <c r="HW96" s="1">
        <v>1500000</v>
      </c>
      <c r="HX96" s="1" t="s">
        <v>410</v>
      </c>
      <c r="HY96" s="1">
        <v>4300000</v>
      </c>
      <c r="HZ96" s="1" t="s">
        <v>399</v>
      </c>
      <c r="IA96" s="1">
        <f t="shared" ref="IA96:IA102" si="408">(3.5+17.5)*1000000</f>
        <v>21000000</v>
      </c>
      <c r="IB96" s="1" t="s">
        <v>399</v>
      </c>
      <c r="IC96" s="1">
        <v>39940000</v>
      </c>
      <c r="ID96" s="1" t="s">
        <v>389</v>
      </c>
      <c r="IE96" s="1">
        <v>750000</v>
      </c>
      <c r="IF96" s="1" t="s">
        <v>399</v>
      </c>
      <c r="IG96" s="1">
        <f t="shared" si="365"/>
        <v>7400000</v>
      </c>
      <c r="IH96" s="1" t="s">
        <v>410</v>
      </c>
      <c r="II96" s="79">
        <f t="shared" si="359"/>
        <v>74890000</v>
      </c>
      <c r="IJ96" s="97">
        <f t="shared" ref="IJ96:IJ107" si="409">(7700000*12)/$IJ$2</f>
        <v>1.9885213252125911</v>
      </c>
      <c r="IK96" s="1" t="s">
        <v>399</v>
      </c>
      <c r="IL96" s="7">
        <v>45.46</v>
      </c>
      <c r="IM96" s="95">
        <v>50.29</v>
      </c>
      <c r="IN96" s="7">
        <v>188.6</v>
      </c>
      <c r="IO96" s="7">
        <v>16.88</v>
      </c>
      <c r="IP96" s="176">
        <f t="shared" si="404"/>
        <v>6.139895208369488</v>
      </c>
      <c r="IQ96" s="176">
        <v>16.7</v>
      </c>
      <c r="IR96" s="98">
        <f t="shared" si="397"/>
        <v>6.92</v>
      </c>
      <c r="IS96" s="98">
        <f t="shared" si="397"/>
        <v>4.57</v>
      </c>
      <c r="IT96" s="98">
        <f t="shared" si="397"/>
        <v>13.61</v>
      </c>
      <c r="IU96" s="98">
        <f t="shared" si="397"/>
        <v>1.56</v>
      </c>
      <c r="IV96" s="94">
        <f t="shared" si="360"/>
        <v>19.739999999999998</v>
      </c>
      <c r="IW96" s="1"/>
      <c r="IX96" s="1"/>
      <c r="IY96" s="105">
        <v>1.88</v>
      </c>
      <c r="IZ96" s="161">
        <v>0.3</v>
      </c>
      <c r="JA96" s="83">
        <v>2813</v>
      </c>
      <c r="JB96" s="7">
        <v>35.950000000000003</v>
      </c>
      <c r="JC96" s="1"/>
      <c r="JD96" s="1"/>
      <c r="JF96" s="2">
        <v>0.81365803999999953</v>
      </c>
      <c r="JG96" s="2">
        <v>20.357260950000001</v>
      </c>
      <c r="JH96" s="2">
        <v>156.00446097</v>
      </c>
      <c r="JI96" s="2">
        <v>203.62266692999998</v>
      </c>
      <c r="JJ96" s="2">
        <v>747.39118572999985</v>
      </c>
      <c r="JK96" s="2">
        <v>134.53858048999999</v>
      </c>
      <c r="JL96" s="2">
        <v>1567.2380915599997</v>
      </c>
      <c r="JM96" s="2">
        <v>0.62071278000000008</v>
      </c>
      <c r="JN96" s="2">
        <v>193.97652653999998</v>
      </c>
      <c r="JO96" s="2">
        <v>30.470799569999997</v>
      </c>
      <c r="JP96" s="2">
        <v>0</v>
      </c>
      <c r="JQ96" s="2">
        <v>3.9830953099999995</v>
      </c>
      <c r="JR96" s="2">
        <v>2.3365247600000001</v>
      </c>
      <c r="JS96" s="2">
        <v>0</v>
      </c>
      <c r="JT96" s="2">
        <v>0.48277442000000004</v>
      </c>
      <c r="JU96" s="2">
        <v>70.498219510000013</v>
      </c>
      <c r="JV96" s="2">
        <v>7.4502019900000001</v>
      </c>
      <c r="JW96" s="2">
        <v>39.305204359999998</v>
      </c>
      <c r="JX96" s="2">
        <v>9.7874413199999992</v>
      </c>
      <c r="JY96" s="2">
        <v>0</v>
      </c>
      <c r="JZ96" s="2">
        <v>1.3700925799999997</v>
      </c>
      <c r="KA96" s="2">
        <v>0.36330100000000004</v>
      </c>
      <c r="KB96" s="2">
        <v>19.140443850000004</v>
      </c>
      <c r="KC96" s="2">
        <v>41.736807310000003</v>
      </c>
      <c r="KD96" s="2">
        <v>12.484662230000001</v>
      </c>
      <c r="KE96" s="2">
        <v>18.814354810000005</v>
      </c>
      <c r="KF96" s="2">
        <v>18.061317600000002</v>
      </c>
      <c r="KG96" s="2">
        <v>339.25205494000011</v>
      </c>
      <c r="KH96" s="2">
        <v>138.26089648999999</v>
      </c>
      <c r="KI96" s="2">
        <v>22.417077500000001</v>
      </c>
      <c r="KJ96" s="2">
        <v>1.32254655</v>
      </c>
      <c r="KK96" s="171">
        <v>8.39418884</v>
      </c>
      <c r="KL96" s="171">
        <v>2.0500000000000002E-3</v>
      </c>
      <c r="KM96" s="171">
        <v>0.56751175000000009</v>
      </c>
      <c r="KN96" s="171">
        <v>0.33323190999999996</v>
      </c>
      <c r="KO96" s="171">
        <v>0.53875484000000007</v>
      </c>
      <c r="KP96" s="171">
        <v>5.2170000000000003E-3</v>
      </c>
      <c r="KQ96" s="171">
        <v>815.22615770999994</v>
      </c>
      <c r="KR96" s="171">
        <v>6.9176109999999999E-2</v>
      </c>
      <c r="KS96" s="171">
        <v>0.26443719999999998</v>
      </c>
      <c r="KT96" s="171">
        <v>1.2023484900000001</v>
      </c>
      <c r="KU96" s="171">
        <v>1.7463627799999999</v>
      </c>
      <c r="KV96" s="171">
        <v>0</v>
      </c>
      <c r="KW96" s="171">
        <v>0.56045690999999997</v>
      </c>
      <c r="KX96" s="171">
        <v>0</v>
      </c>
      <c r="KY96" s="171">
        <v>0</v>
      </c>
      <c r="KZ96" s="171">
        <v>1.1160735099999999</v>
      </c>
      <c r="LA96" s="171">
        <v>0.90025571000000004</v>
      </c>
      <c r="LB96" s="171">
        <v>2.2540000000000001E-2</v>
      </c>
      <c r="LC96" s="171">
        <v>7.5782760000000005E-2</v>
      </c>
      <c r="LD96" s="171">
        <v>0</v>
      </c>
      <c r="LE96" s="171">
        <v>0.81195925000000002</v>
      </c>
      <c r="LF96" s="171">
        <v>0.39616097</v>
      </c>
      <c r="LG96" s="171">
        <v>30.845388820000004</v>
      </c>
      <c r="LH96" s="171">
        <v>6.0969073500000004</v>
      </c>
      <c r="LI96" s="171">
        <v>0.74918092999999997</v>
      </c>
      <c r="LJ96" s="171">
        <v>0</v>
      </c>
      <c r="LK96" s="171">
        <v>6.4691643499999998</v>
      </c>
      <c r="LL96" s="171">
        <v>5.3486285699999998</v>
      </c>
      <c r="LM96" s="171">
        <v>3.2446467999999999</v>
      </c>
      <c r="LN96" s="171">
        <v>0.28431688999999999</v>
      </c>
      <c r="LO96" s="171">
        <v>6.8596205599999998</v>
      </c>
      <c r="LQ96" s="85">
        <f t="shared" si="247"/>
        <v>2868.8536445099994</v>
      </c>
      <c r="LR96" s="85">
        <f t="shared" si="248"/>
        <v>6.8023944899999993</v>
      </c>
      <c r="LS96" s="85">
        <f t="shared" si="249"/>
        <v>46.755406350000001</v>
      </c>
      <c r="LT96" s="85">
        <f t="shared" si="250"/>
        <v>1.7333935799999998</v>
      </c>
      <c r="LU96" s="85">
        <f t="shared" si="251"/>
        <v>816.99926951999987</v>
      </c>
      <c r="LV96" s="85">
        <f t="shared" si="252"/>
        <v>0.56045690999999997</v>
      </c>
      <c r="LW96" s="85">
        <f t="shared" si="253"/>
        <v>0.92279571000000005</v>
      </c>
      <c r="LX96" s="85">
        <f t="shared" si="254"/>
        <v>1.2081202200000001</v>
      </c>
      <c r="LZ96" s="131">
        <v>302.77999999999997</v>
      </c>
      <c r="MA96" s="171">
        <v>242.47</v>
      </c>
      <c r="MB96"/>
      <c r="MC96"/>
      <c r="MD96"/>
      <c r="MF96"/>
      <c r="MG96"/>
      <c r="MH96" s="83">
        <v>505.58</v>
      </c>
      <c r="MI96" s="83">
        <v>176.24</v>
      </c>
      <c r="MJ96" s="83">
        <v>246.9</v>
      </c>
      <c r="MK96"/>
      <c r="ML96" s="83">
        <v>229.54</v>
      </c>
      <c r="MM96" s="83">
        <v>426.62</v>
      </c>
      <c r="MN96" s="83"/>
      <c r="MO96" s="83">
        <v>251.23</v>
      </c>
      <c r="MP96" s="83">
        <v>433.03</v>
      </c>
      <c r="MQ96" s="83">
        <v>600.34</v>
      </c>
      <c r="MR96"/>
      <c r="MT96" s="83"/>
      <c r="MU96" s="83">
        <v>503.01</v>
      </c>
      <c r="MV96"/>
      <c r="MW96"/>
      <c r="MX96"/>
      <c r="MY96" s="83">
        <v>439.37</v>
      </c>
      <c r="MZ96" s="83">
        <v>1131</v>
      </c>
      <c r="NA96" s="83">
        <v>582.29999999999995</v>
      </c>
      <c r="NB96" s="83">
        <v>1801.2</v>
      </c>
      <c r="NC96" s="83">
        <v>251.87</v>
      </c>
      <c r="ND96" s="1">
        <v>1950</v>
      </c>
      <c r="NE96" s="1">
        <v>1202.5999999999999</v>
      </c>
    </row>
    <row r="97" spans="1:369">
      <c r="A97" s="38">
        <f t="shared" si="334"/>
        <v>45017</v>
      </c>
      <c r="B97" s="36">
        <f t="shared" si="401"/>
        <v>4</v>
      </c>
      <c r="C97" s="36">
        <f t="shared" si="402"/>
        <v>2023</v>
      </c>
      <c r="D97" s="36">
        <f t="shared" si="347"/>
        <v>97</v>
      </c>
      <c r="E97" s="38">
        <f t="shared" si="335"/>
        <v>45017</v>
      </c>
      <c r="F97" s="7">
        <v>222.916</v>
      </c>
      <c r="G97" s="7">
        <v>1497.2</v>
      </c>
      <c r="H97" s="1">
        <f>[2]NACIONALES!$D85</f>
        <v>124945.2</v>
      </c>
      <c r="I97" s="7">
        <v>109</v>
      </c>
      <c r="J97" s="7">
        <v>530</v>
      </c>
      <c r="K97" s="7">
        <v>6.8</v>
      </c>
      <c r="L97" s="7">
        <v>36.200000000000003</v>
      </c>
      <c r="N97" s="5">
        <v>2.5299999999999998</v>
      </c>
      <c r="O97" s="5">
        <v>2.06</v>
      </c>
      <c r="P97" s="78">
        <f t="shared" si="398"/>
        <v>486.012609</v>
      </c>
      <c r="Q97" s="6">
        <v>6400</v>
      </c>
      <c r="R97" s="79">
        <f t="shared" si="336"/>
        <v>64000</v>
      </c>
      <c r="S97" s="6">
        <f>57000/F97</f>
        <v>255.70169929480164</v>
      </c>
      <c r="T97" s="6">
        <f>73773.89/F97</f>
        <v>330.94928134364517</v>
      </c>
      <c r="U97" s="143">
        <v>242.9153846153846</v>
      </c>
      <c r="V97" s="143">
        <v>359.15000000000003</v>
      </c>
      <c r="W97">
        <v>310</v>
      </c>
      <c r="X97" s="6">
        <v>232.6875</v>
      </c>
      <c r="Y97" s="79">
        <f t="shared" si="337"/>
        <v>57000</v>
      </c>
      <c r="Z97" s="79">
        <f t="shared" si="338"/>
        <v>73773.89</v>
      </c>
      <c r="AA97" s="79">
        <f t="shared" si="339"/>
        <v>54149.725876923068</v>
      </c>
      <c r="AB97" s="79">
        <f t="shared" si="340"/>
        <v>80060.281400000007</v>
      </c>
      <c r="AC97" s="79">
        <f t="shared" si="341"/>
        <v>69103.959999999992</v>
      </c>
      <c r="AD97" s="79">
        <f t="shared" si="342"/>
        <v>51869.766750000003</v>
      </c>
      <c r="AE97" s="79">
        <f t="shared" si="343"/>
        <v>64326.270671153841</v>
      </c>
      <c r="AF97" s="1">
        <v>159843</v>
      </c>
      <c r="AG97" s="1">
        <v>107000</v>
      </c>
      <c r="AH97" s="1">
        <v>406600</v>
      </c>
      <c r="AI97" s="5">
        <v>183.57640000000001</v>
      </c>
      <c r="AJ97" s="105">
        <v>141.9057</v>
      </c>
      <c r="AK97" s="105">
        <v>133.7046</v>
      </c>
      <c r="AL97" s="105">
        <v>112.8237</v>
      </c>
      <c r="AM97" s="78">
        <f t="shared" si="344"/>
        <v>151.962256</v>
      </c>
      <c r="AN97" s="7">
        <v>6563.1578947368425</v>
      </c>
      <c r="AO97" s="7">
        <v>2885.5777777777766</v>
      </c>
      <c r="AP97" s="78">
        <f t="shared" si="385"/>
        <v>2885.5777777777766</v>
      </c>
      <c r="AQ97" s="7">
        <v>2344.4444444444443</v>
      </c>
      <c r="AR97" s="7">
        <v>3195.8333333333335</v>
      </c>
      <c r="AS97" s="7">
        <v>6525</v>
      </c>
      <c r="AT97" s="7">
        <v>6821.4833333333336</v>
      </c>
      <c r="AU97" s="78">
        <f t="shared" si="348"/>
        <v>5514.1055555555549</v>
      </c>
      <c r="AV97" s="7">
        <v>1724.8611111111111</v>
      </c>
      <c r="AW97" s="7">
        <v>5189.4444444444443</v>
      </c>
      <c r="AX97" s="7">
        <v>1589.8111111111109</v>
      </c>
      <c r="AY97" s="7">
        <v>5851.9902912621355</v>
      </c>
      <c r="AZ97" s="7">
        <v>1766.5333333333333</v>
      </c>
      <c r="BA97" s="7">
        <v>1089.3333333333333</v>
      </c>
      <c r="BB97" s="94">
        <f t="shared" si="345"/>
        <v>2786.0426734987414</v>
      </c>
      <c r="BC97" s="68">
        <v>8782</v>
      </c>
      <c r="BD97" s="68">
        <v>6050</v>
      </c>
      <c r="BE97" s="7">
        <v>5900</v>
      </c>
      <c r="BF97" s="7">
        <v>4000</v>
      </c>
      <c r="BG97" s="94">
        <f t="shared" si="349"/>
        <v>6183</v>
      </c>
      <c r="BH97" s="7">
        <v>633.33000000000004</v>
      </c>
      <c r="BI97" s="7">
        <v>83</v>
      </c>
      <c r="BJ97" s="78">
        <f t="shared" si="350"/>
        <v>716.33</v>
      </c>
      <c r="BK97" s="7">
        <v>488.17399999999998</v>
      </c>
      <c r="BL97" s="7">
        <v>481.85</v>
      </c>
      <c r="BM97" s="94">
        <f t="shared" si="351"/>
        <v>485.012</v>
      </c>
      <c r="BN97" s="5">
        <v>89.36</v>
      </c>
      <c r="BO97" s="84">
        <v>470.2</v>
      </c>
      <c r="BP97" s="84">
        <v>427.5</v>
      </c>
      <c r="BQ97" s="94">
        <f t="shared" si="346"/>
        <v>465.93</v>
      </c>
      <c r="BR97" s="7">
        <f>+(300.46+304.31+320.13+319.16)/4</f>
        <v>311.01499999999999</v>
      </c>
      <c r="BS97" s="97">
        <v>1100</v>
      </c>
      <c r="BT97" s="7">
        <f>0.75*F97</f>
        <v>167.18700000000001</v>
      </c>
      <c r="BU97" s="79">
        <f t="shared" si="237"/>
        <v>13701.561</v>
      </c>
      <c r="BV97" s="7">
        <v>424</v>
      </c>
      <c r="BW97" s="7">
        <v>850</v>
      </c>
      <c r="BY97" s="92">
        <f>BY$10*(1+((H97/H$10-1)*costos!$B$5+((I97*F97)/(I$10*F$10)-1)*costos!$E$5+((J97*F97)/((J$10*F$10)-1)*costos!$F$5/3+((K97*F97)/(K$10*F$10)-1)*costos!$F$5/3+((U97*F97)/(U$10*F$10)-1)*costos!$F$5/3+((L97*F97)/(L$10*F$10)-1)*costos!$G$5+((N97*F97)/(N$10*F$10)-1)*costos!$J$5+((V97*F97)/(V$10*F$10)-1)*costos!$K$5)))</f>
        <v>2563.9893780645439</v>
      </c>
      <c r="BZ97" s="92">
        <f>$BZ$10*(1+((H97/$H$10-1)*costos!$B$6+((I97*F97)/($I$10*$F$10)-1)*costos!$E$6+((J97*F97)/(($J$10*$F$10)-1)*costos!$F$6/3+((K97*F97)/($K$10*$F$10)-1)*costos!$F$6/3+((U97*F97)/($U$10*$F$10)-1)*costos!$F$6/3+((L97*F97)/($L$10*$F$10)-1)*costos!$G$6+((Q97*F97)/($Q$10*$F$10)-1)*costos!$J$6+((V97*F97)/($V$10*$F$10)-1)*costos!$K$6)))</f>
        <v>2101.3222325859474</v>
      </c>
      <c r="CA97" s="92">
        <f>CA$10*(1+((H97/H$10-1)*costos!$B$7+((I97*F97)/(I$10*F$10)-1)*costos!$E$7+((J97*F97)/((J$10*F$10)-1)*costos!$F$7/3+((K97*F97)/(K$10*F$10)-1)*costos!$F$7/3+((U97*F97)/(U$10*F$10)-1)*costos!$F$7/3+((L97*F97)/(L$10*F$10)-1)*costos!$G$7+((S97*F97)/(S$10*F$10)-1)*costos!$J$7+((V97*F97)/(V$10*F$10)-1)*costos!$K$7)))</f>
        <v>2410.8717445795232</v>
      </c>
      <c r="CB97" s="92">
        <f>CB$10*(1+((H97/H$10-1)*costos!$B$8+((I97*F97)/(I$10*F$10)-1)*costos!$E$8+((J97*F97)/((J$10*F$10)-1)*costos!$F$8/3+((K97*F97)/(K$10*F$10)-1)*costos!$F$8/3+((U97*F97)/(U$10*F$10)-1)*costos!$F$8/3+((L97*F97)/(L$10*F$10)-1)*costos!$G$8+((T97*F97)/(T$10*F$10)-1)*costos!$J$8+((V97*F97)/(V$10*F$10)-1)*costos!$K$8)))</f>
        <v>2188.1954647109696</v>
      </c>
      <c r="CC97" s="92">
        <f>CC$10*(1+((H97/H$10-1)*costos!$B$9+((I97*F97)/(I$10*F$10)-1)*costos!$E$9+((J97*F97)/((J$10*F$10)-1)*costos!$F$9/3+((K97*F97)/(K$10*F$10)-1)*costos!$F$9/3+((U97*F97)/(U$10*F$10)-1)*costos!$F$9/3+((L97*F97)/(L$10*F$10)-1)*costos!$G$9+((U97*F97)/(U$10*F$10)-1)*costos!$J$9+((V97*F97)/(V$10*F$10)-1)*costos!$K$9)))</f>
        <v>2380.5636580769942</v>
      </c>
      <c r="CD97" s="92">
        <f>CD$10*(1+((H97/H$10-1)*costos!$B$11+((I97*F97)/(I$10*F$10)-1)*costos!$E$11+((J97*F97)/((J$10*F$10)-1)*costos!$F$11/3+((K97*F97)/(K$10*F$10)-1)*costos!$F$11/3+((U97*F97)/(U$10*F$10)-1)*costos!$F$11/3+((L97*F97)/(L$10*F$10)-1)*costos!$G$11+((V97*F97)/(V$10*F$10)-1)*costos!$J$11+((V97*F97)/(V$10*F$10)-1)*costos!$K$11)))</f>
        <v>2376.2825061209915</v>
      </c>
      <c r="CE97" s="92">
        <f>CE$10*(1+((H97/H$10-1)*costos!$B$12+((I97*F97)/(I$10*F$10)-1)*costos!$E$12+((J97*F97)/((J$10*F$10)-1)*costos!$F$12/3+((K97*F97)/(K$10*F$10)-1)*costos!$F$12/3+((U97*F97)/(U$10*F$10)-1)*costos!$F$12/3+((L97*F97)/(L$10*F$10)-1)*costos!$G$12+((W97*F97)/(W$10*F$10)-1)*costos!$J$12+((V97*F97)/(V$10*F$10)-1)*costos!$K$12)))</f>
        <v>2590.4628206071343</v>
      </c>
      <c r="CF97" s="92">
        <f>CF$10*(1+((H97/H$10-1)*costos!$B$13+((I97*F97)/(I$10*F$10)-1)*costos!$E$13+((J97*F97)/((J$10*F$10)-1)*costos!$F$13/3+((K97*F97)/(K$10*F$10)-1)*costos!$F$13/3+((U97*F97)/(U$10*F$10)-1)*costos!$F$13/3+((L97*F97)/(L$10*F$10)-1)*costos!$G$13+((X97*F97)/(X$10*F$10)-1)*costos!$J$13+((V97*F97)/(V$10*F$10)-1)*costos!$K$13)))</f>
        <v>2364.0448197465948</v>
      </c>
      <c r="CG97" s="92">
        <f t="shared" si="388"/>
        <v>2385.0701689737011</v>
      </c>
      <c r="CH97" s="92">
        <f>CH$10*(1+((H97/H$10-1)*costos!$B$10+((I97*F97)/(I$10*F$10)-1)*costos!$E$10+((J97*F97)/((J$10*F$10)-1)*costos!$F$10/3+((K97*F97)/(K$10*F$10)-1)*costos!$F$10/3+((U97*F97)/(U$10*F$10)-1)*costos!$F$10/3+((L97*F97)/(L$10*F$10)-1)*costos!$G$10+((AF97)/(AF$10)-1)*costos!$J$10+((V97*F97)/(V$10*F$10)-1)*costos!$K$10)))</f>
        <v>2349.7814878351091</v>
      </c>
      <c r="CI97" s="92">
        <f>CI$10*(1+((H97/H$10-1)*costos!$B$15+((I97*F97)/(I$10*F$10)-1)*costos!$E$15+((J97*F97)/((J$10*F$10)-1)*costos!$F$15/3+((K97*F97)/(K$10*F$10)-1)*costos!$F$15/3+((U97*F97)/(U$10*F$10)-1)*costos!$F$15/3+((L97*F97)/(L$10*F$10)-1)*costos!$G$15+((AV97)/(AV$10)-1)*costos!$J$15+((V97*F97)/(V$10*F$10)-1)*costos!$K$15)))</f>
        <v>2255.8599660781197</v>
      </c>
      <c r="CJ97" s="92">
        <f>CJ$10*(1+((H97/H$10-1)*costos!$B$16+((I97*F97)/(I$10*F$10)-1)*costos!$E$16+((J97*F97)/((J$10*F$10)-1)*costos!$F$16/3+((K97*F97)/(K$10*F$10)-1)*costos!$F$16/3+((U97*F97)/(U$10*F$10)-1)*costos!$F$16/3+((L97*F97)/(L$10*F$10)-1)*costos!$G$16+((AW97)/(AW$10)-1)*costos!$J$16+((V97*F97)/(V$10*F$10)-1)*costos!$K$16)))</f>
        <v>1972.3182915708264</v>
      </c>
      <c r="CK97" s="92">
        <f>CK$10*(1+((H97/H$10-1)*costos!$B$17+((I97*F97)/(I$10*F$10)-1)*costos!$E$17+((J97*F97)/((J$10*F$10)-1)*costos!$F$17/3+((K97*F97)/(K$10*F$10)-1)*costos!$F$17/3+((U97*F97)/(U$10*F$10)-1)*costos!$F$17/3+((L97*F97)/(L$10*F$10)-1)*costos!$G$17+((AX97)/(AX$10)-1)*costos!$J$17+((V97*F97)/(V$10*F$10)-1)*costos!$K$17)))</f>
        <v>2080.9771507893452</v>
      </c>
      <c r="CL97" s="92">
        <f>CL$10*(1+((H97/H$10-1)*costos!$B$18+((I97*F97)/(I$10*F$10)-1)*costos!$E$18+((J97*F97)/((J$10*F$10)-1)*costos!$F$18/3+((K97*F97)/(K$10*F$10)-1)*costos!$F$18/3+((U97*F97)/(U$10*F$10)-1)*costos!$F$18/3+((L97*F97)/(L$10*F$10)-1)*costos!$G$18+((AY97)/(AY$10)-1)*costos!$J$18+((V97*F97)/(V$10*F$10)-1)*costos!$K$18)))</f>
        <v>3004.5354698273686</v>
      </c>
      <c r="CM97" s="92">
        <f>CM$10*(1+((H97/H$10-1)*costos!$B$19+((I97*F97)/(I$10*F$10)-1)*costos!$E$19+((J97*F97)/((J$10*F$10)-1)*costos!$F$19/3+((K97*F97)/(K$10*F$10)-1)*costos!$F$19/3+((U97*F97)/(U$10*F$10)-1)*costos!$F$19/3+((L97*F97)/(L$10*F$10)-1)*costos!$G$19+((AZ97)/(AZ$10)-1)*costos!$J$19+((V97*F97)/(V$10*F$10)-1)*costos!$K$19)))</f>
        <v>1810.397254070135</v>
      </c>
      <c r="CN97" s="92">
        <f>CN$10*(1+((H97/H$10-1)*costos!$B$20+((I97*F97)/(I$10*F$10)-1)*costos!$E$20+((J97*F97)/((J$10*F$10)-1)*costos!$F$20/3+((K97*F97)/(K$10*F$10)-1)*costos!$F$20/3+((U97*F97)/(U$10*F$10)-1)*costos!$F$20/3+((L97*F97)/(L$10*F$10)-1)*costos!$G$20+((BA97)/(BA$10)-1)*costos!$J$20+((V97*F97)/(V$10*F$10)-1)*costos!$K$20)))</f>
        <v>1782.1633632462233</v>
      </c>
      <c r="CO97" s="92">
        <f t="shared" si="399"/>
        <v>2169.5183094832678</v>
      </c>
      <c r="CP97" s="92">
        <f>CP$10*(1+((H97/H$10-1)*costos!$B$22+((I97*F97)/(I$10*F$10)-1)*costos!$E$22+((J97*F97)/((J$10*F$10)-1)*costos!$F$22/3+((K97*F97)/(K$10*F$10)-1)*costos!$F$22/3+((U97*F97)/(U$10*F$10)-1)*costos!$F$22/3+((L97*F97)/(L$10*F$10)-1)*costos!$G$22+(((AVERAGE(AI97:AL97))/((AVERAGE(AI$10:AL$10))-1)*costos!$J$22+((V97*F97)/(V$10*F$10)-1)*costos!$K$22)))))</f>
        <v>2633.525440495966</v>
      </c>
      <c r="CQ97" s="92">
        <f>CQ$10*(1+((H97/H$10-1)*costos!$B$23+((I97*F97)/(I$10*F$10)-1)*costos!$E$23+((J97*F97)/((J$10*F$10)-1)*costos!$F$23/3+((K97*F97)/(K$10*F$10)-1)*costos!$F$23/3+((U97*F97)/(U$10*F$10)-1)*costos!$F$23/3+((L97*F97)/(L$10*F$10)-1)*costos!$G$23+((AN97)/(AN$10)-1)*costos!$J$23+((V97*F97)/(V$10*F$10)-1)*costos!$K$23)))</f>
        <v>1944.022640750849</v>
      </c>
      <c r="CR97" s="92">
        <f>CR$10*(1+((H97/H$10-1)*costos!$B$24+((I97*F97)/(I$10*F$10)-1)*costos!$E$24+((J97*F97)/((J$10*F$10)-1)*costos!$F$24/3+((K97*F97)/(K$10*F$10)-1)*costos!$F$24/3+((U97*F97)/(U$10*F$10)-1)*costos!$F$24/3+((L97*F97)/(L$10*F$10)-1)*costos!$G$24+((AO97)/(AO$10)-1)*costos!$J$24+((V97*F97)/(V$10*F$10)-1)*costos!$K$24)))</f>
        <v>1855.5338698004355</v>
      </c>
      <c r="CS97" s="92">
        <f t="shared" si="352"/>
        <v>1899.7782552756421</v>
      </c>
      <c r="CT97" s="92">
        <f>CT$10*(1+((H97/H$10-1)*costos!$B$25+((I97*F97)/(I$10*F$10)-1)*costos!$E$25+((J97*F97)/((J$10*F$10)-1)*costos!$F$25/3+((K97*F97)/(K$10*F$10)-1)*costos!$F$25/3+((U97*F97)/(U$10*F$10)-1)*costos!$F$25/3+((L97*F97)/(L$10*F$10)-1)*costos!$G$25+((AQ97)/(AQ$10)-1)*costos!$J$25+((V97*F97)/(V$10*F$10)-1)*costos!$K$25)))</f>
        <v>1833.5414364974868</v>
      </c>
      <c r="CU97" s="92">
        <f>CU$10*(1+((H97/H$10-1)*costos!$B$26+((I97*F97)/(I$10*F$10)-1)*costos!$E$26+((J97*F97)/((J$10*F$10)-1)*costos!$F$26/3+((K97*F97)/(K$10*F$10)-1)*costos!$F$26/3+((U97*F97)/(U$10*F$10)-1)*costos!$F$26/3+((L97*F97)/(L$10*F$10)-1)*costos!$G$26+((AR97)/(AR$10)-1)*costos!$J$26+((V97*F97)/(V$10*F$10)-1)*costos!$K$26)))</f>
        <v>2007.519270176278</v>
      </c>
      <c r="CV97" s="92">
        <f>CV$10*(1+((H97/H$10-1)*costos!$B$27+((I97*F97)/(I$10*F$10)-1)*costos!$E$27+((J97*F97)/((J$10*F$10)-1)*costos!$F$27/3+((K97*F97)/(K$10*F$10)-1)*costos!$F$27/3+((U97*F97)/(U$10*F$10)-1)*costos!$F$27/3+((L97*F97)/(L$10*F$10)-1)*costos!$G$27+((AS97)/(AS$10)-1)*costos!$J$27+((V97*F97)/(V$10*F$10)-1)*costos!$K$27)))</f>
        <v>2226.6209847873915</v>
      </c>
      <c r="CW97" s="92">
        <f>CW$10*(1+((H97/H$10-1)*costos!$B$28+((I97*F97)/(I$10*F$10)-1)*costos!$E$28+((J97*F97)/((J$10*F$10)-1)*costos!$F$28/3+((K97*F97)/(K$10*F$10)-1)*costos!$F$28/3+((U97*F97)/(U$10*F$10)-1)*costos!$F$28/3+((L97*F97)/(L$10*F$10)-1)*costos!$G$28+((AS97)/(AS$10)-1)*costos!$J$28+((V97*F97)/(V$10*F$10)-1)*costos!$K$28)))</f>
        <v>2226.6209847873915</v>
      </c>
      <c r="CX97" s="92">
        <f t="shared" si="400"/>
        <v>2153.5870799170202</v>
      </c>
      <c r="CY97" s="92">
        <f>CY$10*(1+((H97/H$10-1)*costos!$B$32+((I97*F97)/(I$10*F$10)-1)*costos!$E$32+((J97*F97)/((J$10*F$10)-1)*costos!$F$32/3+((K97*F97)/(K$10*F$10)-1)*costos!$F$32/3+((U97*F97)/(U$10*F$10)-1)*costos!$F$32/3+((L97*F97)/(L$10*F$10)-1)*costos!$G$32+((AG97)/(AG$10)-1)*costos!$J$32+((V97*F97)/(V$10*F$10)-1)*costos!$K$32)))</f>
        <v>1828.2896666000461</v>
      </c>
      <c r="CZ97" s="69">
        <f>CZ$10*(1+((H97/H$10-1)*costos!$B$31+((I97*F97)/(I$10*F$10)-1)*costos!$E$30+((J97*F97)/((J$10*F$10)-1)*costos!$F$30/3+((K97*F97)/(K$10*F$10)-1)*costos!$F$30/3+((U97*F97)/(U$10*F$10)-1)*costos!$F$30/3+((L97*F97)/(L$10*F$10)-1)*costos!$G$30+((BG97)/(BG$10)-1)*costos!$J$30+((V97*F97)/(V$10*F$10)-1)*costos!$K$30)))</f>
        <v>2278.3620503554603</v>
      </c>
      <c r="DA97" s="69">
        <f>DA$10*(1+((H97/H$10-1)*costos!$B$31+((I97*F97)/(I$10*F$10)-1)*costos!$E$31+((J97*F97)/((J$10*F$10)-1)*costos!$F$31/3+((K97*F97)/(K$10*F$10)-1)*costos!$F$31/3+((U97*F97)/(U$10*F$10)-1)*costos!$F$31/3+((L97*F97)/(L$10*F$10)-1)*costos!$G$31+((BJ97)/(BJ$10)-1)*costos!$J$31+((V97*F97)/(V$10*F$10)-1)*costos!$K$31)))</f>
        <v>1838.0779345601993</v>
      </c>
      <c r="DB97" s="69">
        <f>DB$10*(1+((H97/H$10-1)*costos!$B$36+((I97*F97)/(I$10*F$10)-1)*costos!$E$36+((J97*F97)/((J$10*F$10)-1)*costos!$F$36/3+((K97*F97)/(K$10*F$10)-1)*costos!$F$36/3+((U97*F97)/(U$10*F$10)-1)*costos!$F$36/3+((L97*F97)/(L$10*F$10)-1)*costos!$G$36+((BK97)/(BK$10)-1)*costos!$J$36+((V97*F97)/(V$10*F$10)-1)*costos!$K$36)))</f>
        <v>2037.1982486506297</v>
      </c>
      <c r="DC97" s="69">
        <f>DC$10*(1+((H97/H$10-1)*costos!$B$37+((I97*F97)/(I$10*F$10)-1)*costos!$E$37+((U97*F97)/(U$10*F$10)-1)*costos!$F$37+((L97*F97)/(L$10*F$10)-1)*costos!$G$37+((BN97)/(BN$10)-1)*costos!$J$37+((V97*F97)/(V$10*F$10)-1)*costos!$K$37))</f>
        <v>2427.2384056491119</v>
      </c>
      <c r="DD97" s="69">
        <f>DD$10*(1+((H97/H$10-1)*costos!$B$39+((I97*F97)/(I$10*F$10)-1)*costos!$E$39+((U97*F97)/(U$10*F$10)-1)*costos!$F$39+((L97*F97)/(L$10*F$10)-1)*costos!$G$39+((BR97)/(BR$10)-1)*costos!$J$39+((V97*F97)/(V$10*F$10)-1)*costos!$K$39))</f>
        <v>2376.2894530238409</v>
      </c>
      <c r="DE97" s="69">
        <f>DD$10*(1+((H97/H$10-1)*costos!$B$35+((I97*F97)/(I$10*F$10)-1)*costos!$E$35+((U97*F97)/(U$10*F$10)-1)*costos!$F$35+((L97*F97)/(L$10*F$10)-1)*costos!$G$35+((BR97)/(BR$10)-1)*costos!$J$35+((V97*F97)/(V$10*F$10)-1)*costos!$K$35))</f>
        <v>2137.9562862052057</v>
      </c>
      <c r="DF97" s="69">
        <f>DF$10*(1+((H97/H$10-1)*costos!$B$40+((I97*F97)/(I$10*F$10)-1)*costos!$E$40+((U97*F97)/(U$10*F$10)-1)*costos!$F$40+((L97*F97)/(L$10*F$10)-1)*costos!$G$40+((BP97)/(BP$10)-1)*costos!$J$40+((V97*F97)/(V$10*F$10)-1)*costos!$K$40))</f>
        <v>2570.8238385597883</v>
      </c>
      <c r="DG97" s="92">
        <f t="shared" si="391"/>
        <v>2354.390062382497</v>
      </c>
      <c r="DH97" s="69">
        <f>DH$10*(1+((H97/H$10-1)*costos!$B$34+((I97*F97)/(I$10*F$10)-1)*costos!$E$34+((J97*F97)/((J$10*F$10)-1)*costos!$F$34/3+((K97*F97)/(K$10*F$10)-1)*costos!$F$34/3+((U97*F97)/(U$10*F$10)-1)*costos!$F$34/3+((L97*F97)/(L$10*F$10)-1)*costos!$G$34+((BV97)/(BV$10)-1)*costos!$J$34+((V97*F97)/(V$10*F$10)-1)*costos!$K$34)))</f>
        <v>1919.3729730569878</v>
      </c>
      <c r="DI97" s="69">
        <f>DI$10*(1+((H97/H$10-1)*costos!$B$38+((I97*F97)/(I$10*F$10)-1)*costos!$E$38+((J97*F97)/((J$10*F$10)-1)*costos!$F$38/3+((K97*F97)/(K$10*F$10)-1)*costos!$F$38/3+((U97*F97)/(U$10*F$10)-1)*costos!$F$38/3+((L97*F97)/(L$10*F$10)-1)*costos!$G$38+((BU97)/(BU$10)-1)*costos!$J$38+((V97*F97)/(V$10*F$10)-1)*costos!$K$38)))</f>
        <v>1783.570974404649</v>
      </c>
      <c r="DK97" s="1">
        <v>580000</v>
      </c>
      <c r="DL97" s="1" t="s">
        <v>399</v>
      </c>
      <c r="DM97" s="1">
        <v>190000</v>
      </c>
      <c r="DN97" s="1" t="s">
        <v>399</v>
      </c>
      <c r="DO97" s="1">
        <v>1800000</v>
      </c>
      <c r="DP97" s="1" t="s">
        <v>399</v>
      </c>
      <c r="DQ97" s="1">
        <v>2300000</v>
      </c>
      <c r="DR97" s="1" t="s">
        <v>399</v>
      </c>
      <c r="DS97" s="1">
        <v>7100000</v>
      </c>
      <c r="DT97" s="1" t="s">
        <v>399</v>
      </c>
      <c r="DU97" s="1">
        <v>16000000</v>
      </c>
      <c r="DV97" s="1" t="s">
        <v>399</v>
      </c>
      <c r="DW97" s="1">
        <v>900000</v>
      </c>
      <c r="DX97" s="1" t="s">
        <v>399</v>
      </c>
      <c r="DY97" s="1">
        <v>5907000</v>
      </c>
      <c r="DZ97" s="1" t="s">
        <v>399</v>
      </c>
      <c r="EA97" s="79">
        <f t="shared" si="353"/>
        <v>34007000</v>
      </c>
      <c r="EB97" s="1">
        <v>373795</v>
      </c>
      <c r="EC97" s="1" t="s">
        <v>399</v>
      </c>
      <c r="ED97" s="1">
        <v>222162</v>
      </c>
      <c r="EE97" s="143">
        <v>2023</v>
      </c>
      <c r="EF97" s="1">
        <v>204847</v>
      </c>
      <c r="EG97" s="6">
        <v>2023</v>
      </c>
      <c r="EH97" s="1">
        <v>54242595</v>
      </c>
      <c r="EI97" s="6">
        <v>2023</v>
      </c>
      <c r="EJ97" s="1">
        <v>5887401</v>
      </c>
      <c r="EK97" s="6">
        <v>2023</v>
      </c>
      <c r="EL97" s="1">
        <v>12461845</v>
      </c>
      <c r="EM97" s="6">
        <v>2022</v>
      </c>
      <c r="EN97" s="1">
        <v>3169981</v>
      </c>
      <c r="EO97" s="6">
        <v>2021</v>
      </c>
      <c r="EP97" s="83">
        <v>9305</v>
      </c>
      <c r="EQ97" s="83">
        <v>3500000</v>
      </c>
      <c r="ER97" s="1">
        <f t="shared" si="403"/>
        <v>79916</v>
      </c>
      <c r="ES97" s="1"/>
      <c r="ET97" s="83">
        <f t="shared" si="393"/>
        <v>20677</v>
      </c>
      <c r="EU97" s="83">
        <f t="shared" si="393"/>
        <v>19532</v>
      </c>
      <c r="EV97" s="83">
        <f t="shared" si="393"/>
        <v>9103</v>
      </c>
      <c r="EW97" s="83">
        <f t="shared" si="393"/>
        <v>17281</v>
      </c>
      <c r="EX97" s="79">
        <f t="shared" si="354"/>
        <v>66593</v>
      </c>
      <c r="EY97" s="83">
        <f t="shared" si="394"/>
        <v>20193</v>
      </c>
      <c r="EZ97" s="83">
        <f t="shared" si="394"/>
        <v>32682</v>
      </c>
      <c r="FA97" s="83">
        <f t="shared" si="405"/>
        <v>19526</v>
      </c>
      <c r="FB97" s="83">
        <f t="shared" si="406"/>
        <v>19463</v>
      </c>
      <c r="FC97" s="79">
        <f t="shared" si="307"/>
        <v>38989</v>
      </c>
      <c r="FD97" s="83">
        <f t="shared" si="395"/>
        <v>54743</v>
      </c>
      <c r="FE97" s="1"/>
      <c r="FF97" s="1">
        <v>900000</v>
      </c>
      <c r="FG97" s="1" t="s">
        <v>399</v>
      </c>
      <c r="FH97" s="1">
        <v>1170000</v>
      </c>
      <c r="FI97" s="1" t="s">
        <v>399</v>
      </c>
      <c r="FJ97" s="1">
        <v>4600000</v>
      </c>
      <c r="FK97" s="1" t="s">
        <v>399</v>
      </c>
      <c r="FL97" s="1">
        <v>4900000</v>
      </c>
      <c r="FM97" s="1" t="s">
        <v>399</v>
      </c>
      <c r="FN97" s="1">
        <v>36000000</v>
      </c>
      <c r="FO97" s="1" t="s">
        <v>399</v>
      </c>
      <c r="FP97" s="1">
        <v>27700000</v>
      </c>
      <c r="FQ97" s="1" t="s">
        <v>399</v>
      </c>
      <c r="FR97" s="1">
        <v>2000000</v>
      </c>
      <c r="FS97" s="1" t="s">
        <v>399</v>
      </c>
      <c r="FT97" s="1">
        <v>12555000</v>
      </c>
      <c r="FU97" s="1" t="s">
        <v>399</v>
      </c>
      <c r="FV97" s="79">
        <f t="shared" si="355"/>
        <v>87755000</v>
      </c>
      <c r="FW97" s="1">
        <v>940426</v>
      </c>
      <c r="FX97" s="1" t="s">
        <v>399</v>
      </c>
      <c r="FY97" s="1">
        <v>61645</v>
      </c>
      <c r="FZ97" s="79">
        <f t="shared" si="377"/>
        <v>825592.26899999997</v>
      </c>
      <c r="GA97" s="86" t="str">
        <f t="shared" si="378"/>
        <v>may22 abr23</v>
      </c>
      <c r="GB97" s="1">
        <v>14553117</v>
      </c>
      <c r="GC97" s="6">
        <v>2023</v>
      </c>
      <c r="GD97" s="83">
        <v>2315000</v>
      </c>
      <c r="GE97" s="83">
        <v>377000</v>
      </c>
      <c r="GF97" s="83">
        <v>1061000</v>
      </c>
      <c r="GG97" s="83">
        <v>127000</v>
      </c>
      <c r="GH97" s="79">
        <f t="shared" si="240"/>
        <v>1565000</v>
      </c>
      <c r="GI97" s="82">
        <f t="shared" si="373"/>
        <v>1302556</v>
      </c>
      <c r="GJ97" s="83">
        <f t="shared" si="373"/>
        <v>687701</v>
      </c>
      <c r="GK97" s="83">
        <f t="shared" si="373"/>
        <v>1430078.41</v>
      </c>
      <c r="GL97" s="83">
        <f t="shared" si="373"/>
        <v>302535.34000000003</v>
      </c>
      <c r="GM97" s="83">
        <f t="shared" si="373"/>
        <v>257597.81</v>
      </c>
      <c r="GN97" s="79">
        <f t="shared" si="357"/>
        <v>2677912.56</v>
      </c>
      <c r="GO97" s="83">
        <f t="shared" si="374"/>
        <v>202394.36</v>
      </c>
      <c r="GP97" s="83">
        <f t="shared" si="374"/>
        <v>73395</v>
      </c>
      <c r="GQ97" s="83">
        <v>87868</v>
      </c>
      <c r="GR97" s="1">
        <v>37995</v>
      </c>
      <c r="GS97" s="79">
        <f t="shared" si="192"/>
        <v>40631.040000000001</v>
      </c>
      <c r="GT97" s="83">
        <f t="shared" si="407"/>
        <v>2365997</v>
      </c>
      <c r="GU97" s="1">
        <v>62857</v>
      </c>
      <c r="GV97" s="1">
        <v>25921</v>
      </c>
      <c r="GW97" s="79">
        <f t="shared" si="261"/>
        <v>820902</v>
      </c>
      <c r="GX97" s="1">
        <v>33126.813000000002</v>
      </c>
      <c r="GY97" s="1" t="s">
        <v>402</v>
      </c>
      <c r="GZ97" s="1">
        <v>87408</v>
      </c>
      <c r="HA97" s="1">
        <v>262381</v>
      </c>
      <c r="HB97" s="79">
        <f t="shared" si="241"/>
        <v>3224145</v>
      </c>
      <c r="HC97" s="86" t="str">
        <f t="shared" si="379"/>
        <v>may22 abr23</v>
      </c>
      <c r="HD97" s="1">
        <v>60317</v>
      </c>
      <c r="HE97" s="79">
        <f t="shared" si="380"/>
        <v>713286</v>
      </c>
      <c r="HF97" s="86" t="str">
        <f t="shared" si="381"/>
        <v>may22 abr23</v>
      </c>
      <c r="HG97" s="1">
        <v>184000</v>
      </c>
      <c r="HH97" s="79">
        <f t="shared" si="242"/>
        <v>2311000</v>
      </c>
      <c r="HI97" s="86" t="str">
        <f t="shared" si="382"/>
        <v>may22 abr23</v>
      </c>
      <c r="HJ97" s="1">
        <v>87787</v>
      </c>
      <c r="HK97" s="79">
        <f t="shared" si="278"/>
        <v>68253.240000000005</v>
      </c>
      <c r="HL97" s="86" t="str">
        <f t="shared" si="383"/>
        <v>may22 abr23</v>
      </c>
      <c r="HM97" s="79">
        <f t="shared" si="358"/>
        <v>2379253.2400000002</v>
      </c>
      <c r="HN97" s="87">
        <f t="shared" si="297"/>
        <v>1.8647944995304977E-2</v>
      </c>
      <c r="HO97" s="1">
        <v>853000000</v>
      </c>
      <c r="HP97" s="79">
        <f t="shared" si="386"/>
        <v>11567.517319784512</v>
      </c>
      <c r="HQ97" s="86" t="str">
        <f t="shared" si="384"/>
        <v>may22 abr23</v>
      </c>
      <c r="HR97" s="1"/>
      <c r="HS97" s="1"/>
      <c r="HT97" s="1"/>
      <c r="HU97" s="1">
        <v>700000</v>
      </c>
      <c r="HV97" s="1" t="s">
        <v>399</v>
      </c>
      <c r="HW97" s="1">
        <v>1500000</v>
      </c>
      <c r="HX97" s="1" t="s">
        <v>410</v>
      </c>
      <c r="HY97" s="1">
        <v>4300000</v>
      </c>
      <c r="HZ97" s="1" t="s">
        <v>399</v>
      </c>
      <c r="IA97" s="1">
        <f t="shared" si="408"/>
        <v>21000000</v>
      </c>
      <c r="IB97" s="1" t="s">
        <v>399</v>
      </c>
      <c r="IC97" s="1">
        <v>38500000</v>
      </c>
      <c r="ID97" s="1" t="s">
        <v>399</v>
      </c>
      <c r="IE97" s="1">
        <v>750000</v>
      </c>
      <c r="IF97" s="1" t="s">
        <v>399</v>
      </c>
      <c r="IG97" s="1">
        <f t="shared" si="365"/>
        <v>7400000</v>
      </c>
      <c r="IH97" s="1" t="s">
        <v>410</v>
      </c>
      <c r="II97" s="79">
        <f t="shared" si="359"/>
        <v>73450000</v>
      </c>
      <c r="IJ97" s="97">
        <f t="shared" si="409"/>
        <v>1.9885213252125911</v>
      </c>
      <c r="IK97" s="1" t="s">
        <v>399</v>
      </c>
      <c r="IL97" s="7">
        <v>45.74</v>
      </c>
      <c r="IM97" s="7">
        <v>50.29</v>
      </c>
      <c r="IN97" s="7">
        <v>188.6</v>
      </c>
      <c r="IO97" s="7">
        <v>16.77</v>
      </c>
      <c r="IP97" s="176">
        <f t="shared" si="404"/>
        <v>6.139895208369488</v>
      </c>
      <c r="IQ97" s="176">
        <v>16.7</v>
      </c>
      <c r="IR97" s="98">
        <f t="shared" si="397"/>
        <v>6.92</v>
      </c>
      <c r="IS97" s="98">
        <f t="shared" si="397"/>
        <v>4.57</v>
      </c>
      <c r="IT97" s="98">
        <f t="shared" si="397"/>
        <v>13.61</v>
      </c>
      <c r="IU97" s="98">
        <f t="shared" si="397"/>
        <v>1.56</v>
      </c>
      <c r="IV97" s="94">
        <f t="shared" si="360"/>
        <v>19.739999999999998</v>
      </c>
      <c r="IW97" s="1"/>
      <c r="IX97" s="1"/>
      <c r="IY97" s="105">
        <v>1.88</v>
      </c>
      <c r="IZ97" s="161">
        <v>0.3</v>
      </c>
      <c r="JA97" s="83">
        <v>2813</v>
      </c>
      <c r="JB97" s="7">
        <v>35.950000000000003</v>
      </c>
      <c r="JC97" s="1"/>
      <c r="JD97" s="1"/>
      <c r="JF97" s="2">
        <v>1.1182586999999999</v>
      </c>
      <c r="JG97" s="2">
        <v>44.848914040000004</v>
      </c>
      <c r="JH97" s="2">
        <v>159.70446779</v>
      </c>
      <c r="JI97" s="2">
        <v>258.19948132000002</v>
      </c>
      <c r="JJ97" s="2">
        <v>579.71756881999977</v>
      </c>
      <c r="JK97" s="2">
        <v>98.470728969999996</v>
      </c>
      <c r="JL97" s="2">
        <v>2013.2375782500001</v>
      </c>
      <c r="JM97" s="2">
        <v>10.183817489999999</v>
      </c>
      <c r="JN97" s="2">
        <v>95.92656224000001</v>
      </c>
      <c r="JO97" s="2">
        <v>27.637267510000001</v>
      </c>
      <c r="JP97" s="2">
        <v>0</v>
      </c>
      <c r="JQ97" s="2">
        <v>6.6461530899999994</v>
      </c>
      <c r="JR97" s="2">
        <v>2.0321734899999999</v>
      </c>
      <c r="JS97" s="2">
        <v>0</v>
      </c>
      <c r="JT97" s="2">
        <v>0.55967083000000006</v>
      </c>
      <c r="JU97" s="2">
        <v>73.17738731</v>
      </c>
      <c r="JV97" s="2">
        <v>12.9621689</v>
      </c>
      <c r="JW97" s="2">
        <v>35.250037780000007</v>
      </c>
      <c r="JX97" s="2">
        <v>12.728419699999998</v>
      </c>
      <c r="JY97" s="2">
        <v>0</v>
      </c>
      <c r="JZ97" s="2">
        <v>0.79067076000000003</v>
      </c>
      <c r="KA97" s="2">
        <v>1.1764019999999999</v>
      </c>
      <c r="KB97" s="2">
        <v>20.56411928</v>
      </c>
      <c r="KC97" s="2">
        <v>13.328405800000001</v>
      </c>
      <c r="KD97" s="2">
        <v>10.5511423</v>
      </c>
      <c r="KE97" s="2">
        <v>23.512884059999998</v>
      </c>
      <c r="KF97" s="2">
        <v>18.00257775</v>
      </c>
      <c r="KG97" s="2">
        <v>337.45013477999998</v>
      </c>
      <c r="KH97" s="2">
        <v>115.47027065</v>
      </c>
      <c r="KI97" s="2">
        <v>21.006605250000003</v>
      </c>
      <c r="KJ97" s="2">
        <v>1.5228158499999997</v>
      </c>
      <c r="KK97" s="171">
        <v>6.8489806600000005</v>
      </c>
      <c r="KL97" s="171">
        <v>1.8036480000000001E-2</v>
      </c>
      <c r="KM97" s="171">
        <v>0.11981778</v>
      </c>
      <c r="KN97" s="171">
        <v>4.0018999999999997E-4</v>
      </c>
      <c r="KO97" s="171">
        <v>6.0448908500000007</v>
      </c>
      <c r="KP97" s="171">
        <v>0</v>
      </c>
      <c r="KQ97" s="171">
        <v>672.18301242000007</v>
      </c>
      <c r="KR97" s="171">
        <v>0</v>
      </c>
      <c r="KS97" s="171">
        <v>7.9469009999999993E-2</v>
      </c>
      <c r="KT97" s="171">
        <v>0.73241972</v>
      </c>
      <c r="KU97" s="171">
        <v>1.36422954</v>
      </c>
      <c r="KV97" s="171">
        <v>0</v>
      </c>
      <c r="KW97" s="171">
        <v>2.0483479400000002</v>
      </c>
      <c r="KX97" s="171">
        <v>0</v>
      </c>
      <c r="KY97" s="171">
        <v>0</v>
      </c>
      <c r="KZ97" s="171">
        <v>1.8665371000000002</v>
      </c>
      <c r="LA97" s="171">
        <v>1.255846</v>
      </c>
      <c r="LB97" s="171">
        <v>1.7836000000000001E-2</v>
      </c>
      <c r="LC97" s="171">
        <v>0.12078066</v>
      </c>
      <c r="LD97" s="171">
        <v>0</v>
      </c>
      <c r="LE97" s="171">
        <v>1.2758325500000001</v>
      </c>
      <c r="LF97" s="171">
        <v>4.5211800000000003E-2</v>
      </c>
      <c r="LG97" s="171">
        <v>25.77809422</v>
      </c>
      <c r="LH97" s="171">
        <v>5.5724239500000001</v>
      </c>
      <c r="LI97" s="171">
        <v>0.94532128999999998</v>
      </c>
      <c r="LJ97" s="171">
        <v>0</v>
      </c>
      <c r="LK97" s="171">
        <v>1.73014019</v>
      </c>
      <c r="LL97" s="171">
        <v>3.8261937100000005</v>
      </c>
      <c r="LM97" s="171">
        <v>2.2926081099999998</v>
      </c>
      <c r="LN97" s="171">
        <v>0.21283820000000001</v>
      </c>
      <c r="LO97" s="171">
        <v>5.5541627499999997</v>
      </c>
      <c r="LQ97" s="85">
        <f t="shared" si="247"/>
        <v>3116.9694759099998</v>
      </c>
      <c r="LR97" s="85">
        <f t="shared" si="248"/>
        <v>9.2379974100000002</v>
      </c>
      <c r="LS97" s="85">
        <f t="shared" si="249"/>
        <v>48.212206680000008</v>
      </c>
      <c r="LT97" s="85">
        <f t="shared" si="250"/>
        <v>1.96707276</v>
      </c>
      <c r="LU97" s="85">
        <f t="shared" si="251"/>
        <v>678.42759025000009</v>
      </c>
      <c r="LV97" s="85">
        <f t="shared" si="252"/>
        <v>2.0483479400000002</v>
      </c>
      <c r="LW97" s="85">
        <f t="shared" si="253"/>
        <v>1.273682</v>
      </c>
      <c r="LX97" s="85">
        <f t="shared" si="254"/>
        <v>1.32104435</v>
      </c>
      <c r="LZ97" s="131">
        <v>318.07</v>
      </c>
      <c r="MA97" s="171">
        <v>269.86</v>
      </c>
      <c r="MB97"/>
      <c r="MC97"/>
      <c r="MD97"/>
      <c r="MF97"/>
      <c r="MG97"/>
      <c r="MH97" s="83">
        <v>545.94000000000005</v>
      </c>
      <c r="MI97" s="83">
        <v>185.36</v>
      </c>
      <c r="MJ97" s="83">
        <v>240.82</v>
      </c>
      <c r="MK97"/>
      <c r="ML97" s="83">
        <v>202.09</v>
      </c>
      <c r="MM97" s="83">
        <v>697</v>
      </c>
      <c r="MN97" s="83"/>
      <c r="MO97" s="83">
        <v>238.53</v>
      </c>
      <c r="MP97" s="83">
        <v>465.77</v>
      </c>
      <c r="MQ97" s="83">
        <v>587.48</v>
      </c>
      <c r="MR97"/>
      <c r="MT97" s="83"/>
      <c r="MU97" s="83">
        <v>602.48</v>
      </c>
      <c r="MV97"/>
      <c r="MW97"/>
      <c r="MX97"/>
      <c r="MY97" s="83">
        <v>474.11</v>
      </c>
      <c r="MZ97" s="83">
        <v>1153</v>
      </c>
      <c r="NA97" s="83">
        <v>739.07</v>
      </c>
      <c r="NB97" s="83">
        <v>1860.7</v>
      </c>
      <c r="NC97" s="83">
        <v>271.29000000000002</v>
      </c>
      <c r="ND97" s="1">
        <v>1979</v>
      </c>
      <c r="NE97" s="1">
        <v>1259.1199999999999</v>
      </c>
    </row>
    <row r="98" spans="1:369">
      <c r="A98" s="38">
        <f t="shared" si="334"/>
        <v>45047</v>
      </c>
      <c r="B98" s="36">
        <f t="shared" si="401"/>
        <v>5</v>
      </c>
      <c r="C98" s="36">
        <f t="shared" si="402"/>
        <v>2023</v>
      </c>
      <c r="D98" s="36">
        <f t="shared" si="347"/>
        <v>98</v>
      </c>
      <c r="E98" s="38">
        <f t="shared" si="335"/>
        <v>45047</v>
      </c>
      <c r="F98" s="7">
        <v>239.97499999999999</v>
      </c>
      <c r="G98" s="7">
        <v>1613.6</v>
      </c>
      <c r="H98" s="1">
        <f>[2]NACIONALES!$D86</f>
        <v>124945.2</v>
      </c>
      <c r="I98" s="7">
        <v>106</v>
      </c>
      <c r="J98" s="7">
        <v>595</v>
      </c>
      <c r="K98" s="7">
        <v>6.5</v>
      </c>
      <c r="L98" s="7">
        <v>34.1</v>
      </c>
      <c r="N98" s="5">
        <v>2.46</v>
      </c>
      <c r="O98" s="5">
        <v>1.96</v>
      </c>
      <c r="P98" s="78">
        <f t="shared" si="398"/>
        <v>503.82751249999995</v>
      </c>
      <c r="Q98" s="6">
        <v>8500</v>
      </c>
      <c r="R98" s="79">
        <f t="shared" si="336"/>
        <v>85000</v>
      </c>
      <c r="S98" s="6">
        <f>56166.67/F98</f>
        <v>234.05217210126054</v>
      </c>
      <c r="T98" s="6">
        <f>92700/F98</f>
        <v>386.29023856651736</v>
      </c>
      <c r="U98" s="6">
        <v>193.5</v>
      </c>
      <c r="V98" s="143">
        <v>361.78000000000003</v>
      </c>
      <c r="W98" s="6">
        <v>283.75</v>
      </c>
      <c r="X98" s="6">
        <v>238.81</v>
      </c>
      <c r="Y98" s="79">
        <f t="shared" si="337"/>
        <v>56166.67</v>
      </c>
      <c r="Z98" s="79">
        <f t="shared" si="338"/>
        <v>92700</v>
      </c>
      <c r="AA98" s="79">
        <f t="shared" si="339"/>
        <v>46435.162499999999</v>
      </c>
      <c r="AB98" s="79">
        <f t="shared" si="340"/>
        <v>86818.155500000008</v>
      </c>
      <c r="AC98" s="79">
        <f t="shared" si="341"/>
        <v>68092.90625</v>
      </c>
      <c r="AD98" s="79">
        <f t="shared" si="342"/>
        <v>57308.429749999996</v>
      </c>
      <c r="AE98" s="79">
        <f t="shared" si="343"/>
        <v>67920.220666666661</v>
      </c>
      <c r="AF98" s="1">
        <v>202453.4</v>
      </c>
      <c r="AG98" s="1">
        <v>112000</v>
      </c>
      <c r="AH98" s="1">
        <v>425600</v>
      </c>
      <c r="AI98" s="5">
        <v>164.22370000000001</v>
      </c>
      <c r="AJ98" s="5">
        <v>163.41460000000001</v>
      </c>
      <c r="AK98" s="5">
        <v>133.24019999999999</v>
      </c>
      <c r="AL98" s="5">
        <v>127.4751</v>
      </c>
      <c r="AM98" s="78">
        <f t="shared" si="344"/>
        <v>147.31596200000001</v>
      </c>
      <c r="AN98" s="7">
        <v>7226.0204081632655</v>
      </c>
      <c r="AO98" s="7">
        <v>3155.1</v>
      </c>
      <c r="AP98" s="78">
        <f t="shared" si="385"/>
        <v>3155.1</v>
      </c>
      <c r="AQ98" s="7">
        <v>2403.6363636363635</v>
      </c>
      <c r="AR98" s="7">
        <v>4224.4090909090919</v>
      </c>
      <c r="AS98" s="7">
        <v>7785.7142857142853</v>
      </c>
      <c r="AT98" s="7">
        <v>5460.5590909090906</v>
      </c>
      <c r="AU98" s="78">
        <f t="shared" si="348"/>
        <v>5823.5608225108226</v>
      </c>
      <c r="AV98" s="7">
        <v>2066.2790697674418</v>
      </c>
      <c r="AW98" s="7">
        <v>5188.0952380952385</v>
      </c>
      <c r="AX98" s="7">
        <v>1612.333333333333</v>
      </c>
      <c r="AY98" s="7">
        <v>8314.5989304812829</v>
      </c>
      <c r="AZ98" s="7">
        <v>1680.3571428571429</v>
      </c>
      <c r="BA98" s="7">
        <v>1124.7619047619048</v>
      </c>
      <c r="BB98" s="94">
        <f t="shared" si="345"/>
        <v>3460.6504965622607</v>
      </c>
      <c r="BC98" s="68">
        <v>8634</v>
      </c>
      <c r="BD98" s="68">
        <v>6202.12</v>
      </c>
      <c r="BE98" s="95">
        <v>5900</v>
      </c>
      <c r="BF98" s="95">
        <v>4000</v>
      </c>
      <c r="BG98" s="94">
        <f t="shared" si="349"/>
        <v>6184.03</v>
      </c>
      <c r="BH98" s="7">
        <v>633.33000000000004</v>
      </c>
      <c r="BI98" s="7">
        <v>83</v>
      </c>
      <c r="BJ98" s="78">
        <f t="shared" si="350"/>
        <v>716.33</v>
      </c>
      <c r="BK98" s="7">
        <v>489.875</v>
      </c>
      <c r="BL98" s="7">
        <v>482.82</v>
      </c>
      <c r="BM98" s="94">
        <f t="shared" si="351"/>
        <v>486.34749999999997</v>
      </c>
      <c r="BN98" s="5">
        <v>96.58</v>
      </c>
      <c r="BO98" s="84">
        <v>391.4</v>
      </c>
      <c r="BP98" s="84">
        <v>432.9</v>
      </c>
      <c r="BQ98" s="94">
        <f t="shared" si="346"/>
        <v>395.55</v>
      </c>
      <c r="BR98" s="7">
        <f>(323.13+329.04+330.4+326.08)/4</f>
        <v>327.16250000000002</v>
      </c>
      <c r="BS98" s="97">
        <v>1200</v>
      </c>
      <c r="BT98" s="7">
        <f>0.76*F98</f>
        <v>182.381</v>
      </c>
      <c r="BU98" s="79">
        <f t="shared" si="237"/>
        <v>14947.143</v>
      </c>
      <c r="BV98" s="7">
        <v>427</v>
      </c>
      <c r="BW98" s="7">
        <v>1250</v>
      </c>
      <c r="BY98" s="92">
        <f>BY$10*(1+((H98/H$10-1)*costos!$B$5+((I98*F98)/(I$10*F$10)-1)*costos!$E$5+((J98*F98)/((J$10*F$10)-1)*costos!$F$5/3+((K98*F98)/(K$10*F$10)-1)*costos!$F$5/3+((U98*F98)/(U$10*F$10)-1)*costos!$F$5/3+((L98*F98)/(L$10*F$10)-1)*costos!$G$5+((N98*F98)/(N$10*F$10)-1)*costos!$J$5+((V98*F98)/(V$10*F$10)-1)*costos!$K$5)))</f>
        <v>2664.1890186426963</v>
      </c>
      <c r="BZ98" s="92">
        <f>$BZ$10*(1+((H98/$H$10-1)*costos!$B$6+((I98*F98)/($I$10*$F$10)-1)*costos!$E$6+((J98*F98)/(($J$10*$F$10)-1)*costos!$F$6/3+((K98*F98)/($K$10*$F$10)-1)*costos!$F$6/3+((U98*F98)/($U$10*$F$10)-1)*costos!$F$6/3+((L98*F98)/($L$10*$F$10)-1)*costos!$G$6+((Q98*F98)/($Q$10*$F$10)-1)*costos!$J$6+((V98*F98)/($V$10*$F$10)-1)*costos!$K$6)))</f>
        <v>2199.3061328748709</v>
      </c>
      <c r="CA98" s="92">
        <f>CA$10*(1+((H98/H$10-1)*costos!$B$7+((I98*F98)/(I$10*F$10)-1)*costos!$E$7+((J98*F98)/((J$10*F$10)-1)*costos!$F$7/3+((K98*F98)/(K$10*F$10)-1)*costos!$F$7/3+((U98*F98)/(U$10*F$10)-1)*costos!$F$7/3+((L98*F98)/(L$10*F$10)-1)*costos!$G$7+((S98*F98)/(S$10*F$10)-1)*costos!$J$7+((V98*F98)/(V$10*F$10)-1)*costos!$K$7)))</f>
        <v>2483.5515264328965</v>
      </c>
      <c r="CB98" s="92">
        <f>CB$10*(1+((H98/H$10-1)*costos!$B$8+((I98*F98)/(I$10*F$10)-1)*costos!$E$8+((J98*F98)/((J$10*F$10)-1)*costos!$F$8/3+((K98*F98)/(K$10*F$10)-1)*costos!$F$8/3+((U98*F98)/(U$10*F$10)-1)*costos!$F$8/3+((L98*F98)/(L$10*F$10)-1)*costos!$G$8+((T98*F98)/(T$10*F$10)-1)*costos!$J$8+((V98*F98)/(V$10*F$10)-1)*costos!$K$8)))</f>
        <v>2407.7356388136764</v>
      </c>
      <c r="CC98" s="92">
        <f>CC$10*(1+((H98/H$10-1)*costos!$B$9+((I98*F98)/(I$10*F$10)-1)*costos!$E$9+((J98*F98)/((J$10*F$10)-1)*costos!$F$9/3+((K98*F98)/(K$10*F$10)-1)*costos!$F$9/3+((U98*F98)/(U$10*F$10)-1)*costos!$F$9/3+((L98*F98)/(L$10*F$10)-1)*costos!$G$9+((U98*F98)/(U$10*F$10)-1)*costos!$J$9+((V98*F98)/(V$10*F$10)-1)*costos!$K$9)))</f>
        <v>2320.9940076758089</v>
      </c>
      <c r="CD98" s="92">
        <f>CD$10*(1+((H98/H$10-1)*costos!$B$11+((I98*F98)/(I$10*F$10)-1)*costos!$E$11+((J98*F98)/((J$10*F$10)-1)*costos!$F$11/3+((K98*F98)/(K$10*F$10)-1)*costos!$F$11/3+((U98*F98)/(U$10*F$10)-1)*costos!$F$11/3+((L98*F98)/(L$10*F$10)-1)*costos!$G$11+((V98*F98)/(V$10*F$10)-1)*costos!$J$11+((V98*F98)/(V$10*F$10)-1)*costos!$K$11)))</f>
        <v>2523.301928436098</v>
      </c>
      <c r="CE98" s="92">
        <f>CE$10*(1+((H98/H$10-1)*costos!$B$12+((I98*F98)/(I$10*F$10)-1)*costos!$E$12+((J98*F98)/((J$10*F$10)-1)*costos!$F$12/3+((K98*F98)/(K$10*F$10)-1)*costos!$F$12/3+((U98*F98)/(U$10*F$10)-1)*costos!$F$12/3+((L98*F98)/(L$10*F$10)-1)*costos!$G$12+((W98*F98)/(W$10*F$10)-1)*costos!$J$12+((V98*F98)/(V$10*F$10)-1)*costos!$K$12)))</f>
        <v>2627.876643806208</v>
      </c>
      <c r="CF98" s="92">
        <f>CF$10*(1+((H98/H$10-1)*costos!$B$13+((I98*F98)/(I$10*F$10)-1)*costos!$E$13+((J98*F98)/((J$10*F$10)-1)*costos!$F$13/3+((K98*F98)/(K$10*F$10)-1)*costos!$F$13/3+((U98*F98)/(U$10*F$10)-1)*costos!$F$13/3+((L98*F98)/(L$10*F$10)-1)*costos!$G$13+((X98*F98)/(X$10*F$10)-1)*costos!$J$13+((V98*F98)/(V$10*F$10)-1)*costos!$K$13)))</f>
        <v>2502.6576558351485</v>
      </c>
      <c r="CG98" s="92">
        <f t="shared" si="388"/>
        <v>2477.6862334999728</v>
      </c>
      <c r="CH98" s="92">
        <f>CH$10*(1+((H98/H$10-1)*costos!$B$10+((I98*F98)/(I$10*F$10)-1)*costos!$E$10+((J98*F98)/((J$10*F$10)-1)*costos!$F$10/3+((K98*F98)/(K$10*F$10)-1)*costos!$F$10/3+((U98*F98)/(U$10*F$10)-1)*costos!$F$10/3+((L98*F98)/(L$10*F$10)-1)*costos!$G$10+((AF98)/(AF$10)-1)*costos!$J$10+((V98*F98)/(V$10*F$10)-1)*costos!$K$10)))</f>
        <v>2665.3697183616523</v>
      </c>
      <c r="CI98" s="92">
        <f>CI$10*(1+((H98/H$10-1)*costos!$B$15+((I98*F98)/(I$10*F$10)-1)*costos!$E$15+((J98*F98)/((J$10*F$10)-1)*costos!$F$15/3+((K98*F98)/(K$10*F$10)-1)*costos!$F$15/3+((U98*F98)/(U$10*F$10)-1)*costos!$F$15/3+((L98*F98)/(L$10*F$10)-1)*costos!$G$15+((AV98)/(AV$10)-1)*costos!$J$15+((V98*F98)/(V$10*F$10)-1)*costos!$K$15)))</f>
        <v>2360.1335399813233</v>
      </c>
      <c r="CJ98" s="92">
        <f>CJ$10*(1+((H98/H$10-1)*costos!$B$16+((I98*F98)/(I$10*F$10)-1)*costos!$E$16+((J98*F98)/((J$10*F$10)-1)*costos!$F$16/3+((K98*F98)/(K$10*F$10)-1)*costos!$F$16/3+((U98*F98)/(U$10*F$10)-1)*costos!$F$16/3+((L98*F98)/(L$10*F$10)-1)*costos!$G$16+((AW98)/(AW$10)-1)*costos!$J$16+((V98*F98)/(V$10*F$10)-1)*costos!$K$16)))</f>
        <v>1989.546873453261</v>
      </c>
      <c r="CK98" s="92">
        <f>CK$10*(1+((H98/H$10-1)*costos!$B$17+((I98*F98)/(I$10*F$10)-1)*costos!$E$17+((J98*F98)/((J$10*F$10)-1)*costos!$F$17/3+((K98*F98)/(K$10*F$10)-1)*costos!$F$17/3+((U98*F98)/(U$10*F$10)-1)*costos!$F$17/3+((L98*F98)/(L$10*F$10)-1)*costos!$G$17+((AX98)/(AX$10)-1)*costos!$J$17+((V98*F98)/(V$10*F$10)-1)*costos!$K$17)))</f>
        <v>2114.1054638599553</v>
      </c>
      <c r="CL98" s="92">
        <f>CL$10*(1+((H98/H$10-1)*costos!$B$18+((I98*F98)/(I$10*F$10)-1)*costos!$E$18+((J98*F98)/((J$10*F$10)-1)*costos!$F$18/3+((K98*F98)/(K$10*F$10)-1)*costos!$F$18/3+((U98*F98)/(U$10*F$10)-1)*costos!$F$18/3+((L98*F98)/(L$10*F$10)-1)*costos!$G$18+((AY98)/(AY$10)-1)*costos!$J$18+((V98*F98)/(V$10*F$10)-1)*costos!$K$18)))</f>
        <v>3587.9751785531575</v>
      </c>
      <c r="CM98" s="92">
        <f>CM$10*(1+((H98/H$10-1)*costos!$B$19+((I98*F98)/(I$10*F$10)-1)*costos!$E$19+((J98*F98)/((J$10*F$10)-1)*costos!$F$19/3+((K98*F98)/(K$10*F$10)-1)*costos!$F$19/3+((U98*F98)/(U$10*F$10)-1)*costos!$F$19/3+((L98*F98)/(L$10*F$10)-1)*costos!$G$19+((AZ98)/(AZ$10)-1)*costos!$J$19+((V98*F98)/(V$10*F$10)-1)*costos!$K$19)))</f>
        <v>1807.6210281745098</v>
      </c>
      <c r="CN98" s="92">
        <f>CN$10*(1+((H98/H$10-1)*costos!$B$20+((I98*F98)/(I$10*F$10)-1)*costos!$E$20+((J98*F98)/((J$10*F$10)-1)*costos!$F$20/3+((K98*F98)/(K$10*F$10)-1)*costos!$F$20/3+((U98*F98)/(U$10*F$10)-1)*costos!$F$20/3+((L98*F98)/(L$10*F$10)-1)*costos!$G$20+((BA98)/(BA$10)-1)*costos!$J$20+((V98*F98)/(V$10*F$10)-1)*costos!$K$20)))</f>
        <v>1805.0804263148841</v>
      </c>
      <c r="CO98" s="92">
        <f t="shared" si="399"/>
        <v>2328.6955242256267</v>
      </c>
      <c r="CP98" s="92">
        <f>CP$10*(1+((H98/H$10-1)*costos!$B$22+((I98*F98)/(I$10*F$10)-1)*costos!$E$22+((J98*F98)/((J$10*F$10)-1)*costos!$F$22/3+((K98*F98)/(K$10*F$10)-1)*costos!$F$22/3+((U98*F98)/(U$10*F$10)-1)*costos!$F$22/3+((L98*F98)/(L$10*F$10)-1)*costos!$G$22+(((AVERAGE(AI98:AL98))/((AVERAGE(AI$10:AL$10))-1)*costos!$J$22+((V98*F98)/(V$10*F$10)-1)*costos!$K$22)))))</f>
        <v>2688.2459065233588</v>
      </c>
      <c r="CQ98" s="92">
        <f>CQ$10*(1+((H98/H$10-1)*costos!$B$23+((I98*F98)/(I$10*F$10)-1)*costos!$E$23+((J98*F98)/((J$10*F$10)-1)*costos!$F$23/3+((K98*F98)/(K$10*F$10)-1)*costos!$F$23/3+((U98*F98)/(U$10*F$10)-1)*costos!$F$23/3+((L98*F98)/(L$10*F$10)-1)*costos!$G$23+((AN98)/(AN$10)-1)*costos!$J$23+((V98*F98)/(V$10*F$10)-1)*costos!$K$23)))</f>
        <v>1997.3380977513721</v>
      </c>
      <c r="CR98" s="92">
        <f>CR$10*(1+((H98/H$10-1)*costos!$B$24+((I98*F98)/(I$10*F$10)-1)*costos!$E$24+((J98*F98)/((J$10*F$10)-1)*costos!$F$24/3+((K98*F98)/(K$10*F$10)-1)*costos!$F$24/3+((U98*F98)/(U$10*F$10)-1)*costos!$F$24/3+((L98*F98)/(L$10*F$10)-1)*costos!$G$24+((AO98)/(AO$10)-1)*costos!$J$24+((V98*F98)/(V$10*F$10)-1)*costos!$K$24)))</f>
        <v>1898.0694536958615</v>
      </c>
      <c r="CS98" s="92">
        <f t="shared" si="352"/>
        <v>1947.7037757236167</v>
      </c>
      <c r="CT98" s="92">
        <f>CT$10*(1+((H98/H$10-1)*costos!$B$25+((I98*F98)/(I$10*F$10)-1)*costos!$E$25+((J98*F98)/((J$10*F$10)-1)*costos!$F$25/3+((K98*F98)/(K$10*F$10)-1)*costos!$F$25/3+((U98*F98)/(U$10*F$10)-1)*costos!$F$25/3+((L98*F98)/(L$10*F$10)-1)*costos!$G$25+((AQ98)/(AQ$10)-1)*costos!$J$25+((V98*F98)/(V$10*F$10)-1)*costos!$K$25)))</f>
        <v>1863.9838202563278</v>
      </c>
      <c r="CU98" s="92">
        <f>CU$10*(1+((H98/H$10-1)*costos!$B$26+((I98*F98)/(I$10*F$10)-1)*costos!$E$26+((J98*F98)/((J$10*F$10)-1)*costos!$F$26/3+((K98*F98)/(K$10*F$10)-1)*costos!$F$26/3+((U98*F98)/(U$10*F$10)-1)*costos!$F$26/3+((L98*F98)/(L$10*F$10)-1)*costos!$G$26+((AR98)/(AR$10)-1)*costos!$J$26+((V98*F98)/(V$10*F$10)-1)*costos!$K$26)))</f>
        <v>2103.7295324498568</v>
      </c>
      <c r="CV98" s="92">
        <f>CV$10*(1+((H98/H$10-1)*costos!$B$27+((I98*F98)/(I$10*F$10)-1)*costos!$E$27+((J98*F98)/((J$10*F$10)-1)*costos!$F$27/3+((K98*F98)/(K$10*F$10)-1)*costos!$F$27/3+((U98*F98)/(U$10*F$10)-1)*costos!$F$27/3+((L98*F98)/(L$10*F$10)-1)*costos!$G$27+((AS98)/(AS$10)-1)*costos!$J$27+((V98*F98)/(V$10*F$10)-1)*costos!$K$27)))</f>
        <v>2337.156661261678</v>
      </c>
      <c r="CW98" s="92">
        <f>CW$10*(1+((H98/H$10-1)*costos!$B$28+((I98*F98)/(I$10*F$10)-1)*costos!$E$28+((J98*F98)/((J$10*F$10)-1)*costos!$F$28/3+((K98*F98)/(K$10*F$10)-1)*costos!$F$28/3+((U98*F98)/(U$10*F$10)-1)*costos!$F$28/3+((L98*F98)/(L$10*F$10)-1)*costos!$G$28+((AS98)/(AS$10)-1)*costos!$J$28+((V98*F98)/(V$10*F$10)-1)*costos!$K$28)))</f>
        <v>2337.156661261678</v>
      </c>
      <c r="CX98" s="92">
        <f t="shared" si="400"/>
        <v>2259.3476183244043</v>
      </c>
      <c r="CY98" s="92">
        <f>CY$10*(1+((H98/H$10-1)*costos!$B$32+((I98*F98)/(I$10*F$10)-1)*costos!$E$32+((J98*F98)/((J$10*F$10)-1)*costos!$F$32/3+((K98*F98)/(K$10*F$10)-1)*costos!$F$32/3+((U98*F98)/(U$10*F$10)-1)*costos!$F$32/3+((L98*F98)/(L$10*F$10)-1)*costos!$G$32+((AG98)/(AG$10)-1)*costos!$J$32+((V98*F98)/(V$10*F$10)-1)*costos!$K$32)))</f>
        <v>1848.3393880862061</v>
      </c>
      <c r="CZ98" s="69">
        <f>CZ$10*(1+((H98/H$10-1)*costos!$B$31+((I98*F98)/(I$10*F$10)-1)*costos!$E$30+((J98*F98)/((J$10*F$10)-1)*costos!$F$30/3+((K98*F98)/(K$10*F$10)-1)*costos!$F$30/3+((U98*F98)/(U$10*F$10)-1)*costos!$F$30/3+((L98*F98)/(L$10*F$10)-1)*costos!$G$30+((BG98)/(BG$10)-1)*costos!$J$30+((V98*F98)/(V$10*F$10)-1)*costos!$K$30)))</f>
        <v>2315.6370486043297</v>
      </c>
      <c r="DA98" s="69">
        <f>DA$10*(1+((H98/H$10-1)*costos!$B$31+((I98*F98)/(I$10*F$10)-1)*costos!$E$31+((J98*F98)/((J$10*F$10)-1)*costos!$F$31/3+((K98*F98)/(K$10*F$10)-1)*costos!$F$31/3+((U98*F98)/(U$10*F$10)-1)*costos!$F$31/3+((L98*F98)/(L$10*F$10)-1)*costos!$G$31+((BJ98)/(BJ$10)-1)*costos!$J$31+((V98*F98)/(V$10*F$10)-1)*costos!$K$31)))</f>
        <v>1856.2623700598558</v>
      </c>
      <c r="DB98" s="69">
        <f>DB$10*(1+((H98/H$10-1)*costos!$B$36+((I98*F98)/(I$10*F$10)-1)*costos!$E$36+((J98*F98)/((J$10*F$10)-1)*costos!$F$36/3+((K98*F98)/(K$10*F$10)-1)*costos!$F$36/3+((U98*F98)/(U$10*F$10)-1)*costos!$F$36/3+((L98*F98)/(L$10*F$10)-1)*costos!$G$36+((BK98)/(BK$10)-1)*costos!$J$36+((V98*F98)/(V$10*F$10)-1)*costos!$K$36)))</f>
        <v>2059.4709436204953</v>
      </c>
      <c r="DC98" s="69">
        <f>DC$10*(1+((H98/H$10-1)*costos!$B$37+((I98*F98)/(I$10*F$10)-1)*costos!$E$37+((U98*F98)/(U$10*F$10)-1)*costos!$F$37+((L98*F98)/(L$10*F$10)-1)*costos!$G$37+((BN98)/(BN$10)-1)*costos!$J$37+((V98*F98)/(V$10*F$10)-1)*costos!$K$37))</f>
        <v>2206.9401417008371</v>
      </c>
      <c r="DD98" s="69">
        <f>DD$10*(1+((H98/H$10-1)*costos!$B$39+((I98*F98)/(I$10*F$10)-1)*costos!$E$39+((U98*F98)/(U$10*F$10)-1)*costos!$F$39+((L98*F98)/(L$10*F$10)-1)*costos!$G$39+((BR98)/(BR$10)-1)*costos!$J$39+((V98*F98)/(V$10*F$10)-1)*costos!$K$39))</f>
        <v>2140.0451803860888</v>
      </c>
      <c r="DE98" s="69">
        <f>DD$10*(1+((H98/H$10-1)*costos!$B$35+((I98*F98)/(I$10*F$10)-1)*costos!$E$35+((U98*F98)/(U$10*F$10)-1)*costos!$F$35+((L98*F98)/(L$10*F$10)-1)*costos!$G$35+((BR98)/(BR$10)-1)*costos!$J$35+((V98*F98)/(V$10*F$10)-1)*costos!$K$35))</f>
        <v>1881.5753064030396</v>
      </c>
      <c r="DF98" s="69">
        <f>DF$10*(1+((H98/H$10-1)*costos!$B$40+((I98*F98)/(I$10*F$10)-1)*costos!$E$40+((U98*F98)/(U$10*F$10)-1)*costos!$F$40+((L98*F98)/(L$10*F$10)-1)*costos!$G$40+((BP98)/(BP$10)-1)*costos!$J$40+((V98*F98)/(V$10*F$10)-1)*costos!$K$40))</f>
        <v>2281.1353947448661</v>
      </c>
      <c r="DG98" s="92">
        <f t="shared" si="391"/>
        <v>2081.3553505739528</v>
      </c>
      <c r="DH98" s="69">
        <f>DH$10*(1+((H98/H$10-1)*costos!$B$34+((I98*F98)/(I$10*F$10)-1)*costos!$E$34+((J98*F98)/((J$10*F$10)-1)*costos!$F$34/3+((K98*F98)/(K$10*F$10)-1)*costos!$F$34/3+((U98*F98)/(U$10*F$10)-1)*costos!$F$34/3+((L98*F98)/(L$10*F$10)-1)*costos!$G$34+((BV98)/(BV$10)-1)*costos!$J$34+((V98*F98)/(V$10*F$10)-1)*costos!$K$34)))</f>
        <v>1939.8021900040512</v>
      </c>
      <c r="DI98" s="69">
        <f>DI$10*(1+((H98/H$10-1)*costos!$B$38+((I98*F98)/(I$10*F$10)-1)*costos!$E$38+((J98*F98)/((J$10*F$10)-1)*costos!$F$38/3+((K98*F98)/(K$10*F$10)-1)*costos!$F$38/3+((U98*F98)/(U$10*F$10)-1)*costos!$F$38/3+((L98*F98)/(L$10*F$10)-1)*costos!$G$38+((BU98)/(BU$10)-1)*costos!$J$38+((V98*F98)/(V$10*F$10)-1)*costos!$K$38)))</f>
        <v>1817.5192216489286</v>
      </c>
      <c r="DK98" s="1">
        <v>580000</v>
      </c>
      <c r="DL98" s="1" t="s">
        <v>399</v>
      </c>
      <c r="DM98" s="1">
        <v>190000</v>
      </c>
      <c r="DN98" s="1" t="s">
        <v>399</v>
      </c>
      <c r="DO98" s="1">
        <v>1600000</v>
      </c>
      <c r="DP98" s="1" t="s">
        <v>410</v>
      </c>
      <c r="DQ98" s="1">
        <v>2300000</v>
      </c>
      <c r="DR98" s="1" t="s">
        <v>399</v>
      </c>
      <c r="DS98" s="1">
        <v>7100000</v>
      </c>
      <c r="DT98" s="1" t="s">
        <v>399</v>
      </c>
      <c r="DU98" s="1">
        <v>16000000</v>
      </c>
      <c r="DV98" s="1" t="s">
        <v>399</v>
      </c>
      <c r="DW98" s="1">
        <v>900000</v>
      </c>
      <c r="DX98" s="1" t="s">
        <v>399</v>
      </c>
      <c r="DY98" s="1">
        <v>5916000</v>
      </c>
      <c r="DZ98" s="1" t="s">
        <v>410</v>
      </c>
      <c r="EA98" s="79">
        <f t="shared" si="353"/>
        <v>33816000</v>
      </c>
      <c r="EB98" s="1">
        <v>373795</v>
      </c>
      <c r="EC98" s="1" t="s">
        <v>399</v>
      </c>
      <c r="ED98" s="1">
        <v>222162</v>
      </c>
      <c r="EE98" s="143">
        <v>2023</v>
      </c>
      <c r="EF98" s="1">
        <v>204847</v>
      </c>
      <c r="EG98" s="6">
        <v>2023</v>
      </c>
      <c r="EH98" s="1">
        <v>54242595</v>
      </c>
      <c r="EI98" s="6">
        <v>2023</v>
      </c>
      <c r="EJ98" s="1">
        <v>5887401</v>
      </c>
      <c r="EK98" s="6">
        <v>2023</v>
      </c>
      <c r="EL98" s="1">
        <v>12461845</v>
      </c>
      <c r="EM98" s="6">
        <v>2022</v>
      </c>
      <c r="EN98" s="1">
        <v>3169981</v>
      </c>
      <c r="EO98" s="6">
        <v>2021</v>
      </c>
      <c r="EP98" s="83">
        <v>9228</v>
      </c>
      <c r="EQ98" s="83">
        <v>3500000</v>
      </c>
      <c r="ER98" s="1">
        <f t="shared" si="403"/>
        <v>79916</v>
      </c>
      <c r="ES98" s="1"/>
      <c r="ET98" s="83">
        <f t="shared" si="393"/>
        <v>20677</v>
      </c>
      <c r="EU98" s="83">
        <f t="shared" si="393"/>
        <v>19532</v>
      </c>
      <c r="EV98" s="83">
        <f t="shared" si="393"/>
        <v>9103</v>
      </c>
      <c r="EW98" s="83">
        <f t="shared" si="393"/>
        <v>17281</v>
      </c>
      <c r="EX98" s="79">
        <f t="shared" si="354"/>
        <v>66593</v>
      </c>
      <c r="EY98" s="83">
        <f t="shared" si="394"/>
        <v>20193</v>
      </c>
      <c r="EZ98" s="83">
        <f t="shared" si="394"/>
        <v>32682</v>
      </c>
      <c r="FA98" s="83">
        <f t="shared" si="405"/>
        <v>19526</v>
      </c>
      <c r="FB98" s="83">
        <f t="shared" si="406"/>
        <v>19463</v>
      </c>
      <c r="FC98" s="79">
        <f t="shared" ref="FC98:FC103" si="410">+FB98+FA98</f>
        <v>38989</v>
      </c>
      <c r="FD98" s="83">
        <f t="shared" si="395"/>
        <v>54743</v>
      </c>
      <c r="FE98" s="1"/>
      <c r="FF98" s="1">
        <v>900000</v>
      </c>
      <c r="FG98" s="1" t="s">
        <v>399</v>
      </c>
      <c r="FH98" s="1">
        <v>1100000</v>
      </c>
      <c r="FI98" s="1" t="s">
        <v>399</v>
      </c>
      <c r="FJ98" s="1">
        <v>4600000</v>
      </c>
      <c r="FK98" s="1" t="s">
        <v>399</v>
      </c>
      <c r="FL98" s="1">
        <v>4900000</v>
      </c>
      <c r="FM98" s="1" t="s">
        <v>399</v>
      </c>
      <c r="FN98" s="1">
        <v>36000000</v>
      </c>
      <c r="FO98" s="1" t="s">
        <v>399</v>
      </c>
      <c r="FP98" s="1">
        <v>25500000</v>
      </c>
      <c r="FQ98" s="1" t="s">
        <v>399</v>
      </c>
      <c r="FR98" s="1">
        <v>2000000</v>
      </c>
      <c r="FS98" s="1" t="s">
        <v>399</v>
      </c>
      <c r="FT98" s="1">
        <v>12555000</v>
      </c>
      <c r="FU98" s="1" t="s">
        <v>399</v>
      </c>
      <c r="FV98" s="79">
        <f t="shared" si="355"/>
        <v>85555000</v>
      </c>
      <c r="FW98" s="1">
        <v>940426</v>
      </c>
      <c r="FX98" s="1" t="s">
        <v>399</v>
      </c>
      <c r="FY98" s="1">
        <v>122379</v>
      </c>
      <c r="FZ98" s="79">
        <f t="shared" si="377"/>
        <v>836839.26899999997</v>
      </c>
      <c r="GA98" s="86" t="str">
        <f t="shared" si="378"/>
        <v>jun22 may23</v>
      </c>
      <c r="GB98" s="1">
        <v>14553117</v>
      </c>
      <c r="GC98" s="6">
        <v>2023</v>
      </c>
      <c r="GD98" s="83">
        <v>2315000</v>
      </c>
      <c r="GE98" s="83">
        <v>377000</v>
      </c>
      <c r="GF98" s="83">
        <v>1061000</v>
      </c>
      <c r="GG98" s="83">
        <v>127000</v>
      </c>
      <c r="GH98" s="79">
        <f t="shared" si="240"/>
        <v>1565000</v>
      </c>
      <c r="GI98" s="82">
        <f t="shared" si="373"/>
        <v>1302556</v>
      </c>
      <c r="GJ98" s="83">
        <f t="shared" si="373"/>
        <v>687701</v>
      </c>
      <c r="GK98" s="83">
        <f t="shared" si="373"/>
        <v>1430078.41</v>
      </c>
      <c r="GL98" s="83">
        <f t="shared" si="373"/>
        <v>302535.34000000003</v>
      </c>
      <c r="GM98" s="83">
        <f t="shared" si="373"/>
        <v>257597.81</v>
      </c>
      <c r="GN98" s="79">
        <f t="shared" si="357"/>
        <v>2677912.56</v>
      </c>
      <c r="GO98" s="83">
        <f t="shared" si="374"/>
        <v>202394.36</v>
      </c>
      <c r="GP98" s="83">
        <f t="shared" si="374"/>
        <v>73395</v>
      </c>
      <c r="GQ98" s="83">
        <v>64081.5</v>
      </c>
      <c r="GR98" s="1">
        <v>37995</v>
      </c>
      <c r="GS98" s="79">
        <f t="shared" si="192"/>
        <v>39917.445</v>
      </c>
      <c r="GT98" s="83">
        <f t="shared" si="407"/>
        <v>2365997</v>
      </c>
      <c r="GU98" s="1">
        <f>63582-14443</f>
        <v>49139</v>
      </c>
      <c r="GV98" s="1">
        <f>57453-29434</f>
        <v>28019</v>
      </c>
      <c r="GW98" s="79">
        <f t="shared" si="261"/>
        <v>794454</v>
      </c>
      <c r="GX98" s="1">
        <v>33126.813000000002</v>
      </c>
      <c r="GY98" s="1" t="s">
        <v>402</v>
      </c>
      <c r="GZ98" s="1">
        <v>87408</v>
      </c>
      <c r="HA98" s="1">
        <v>288219</v>
      </c>
      <c r="HB98" s="79">
        <f t="shared" si="241"/>
        <v>3245071</v>
      </c>
      <c r="HC98" s="86" t="str">
        <f t="shared" si="379"/>
        <v>jun22 may23</v>
      </c>
      <c r="HD98" s="178">
        <v>67147</v>
      </c>
      <c r="HE98" s="79">
        <f t="shared" si="380"/>
        <v>716180</v>
      </c>
      <c r="HF98" s="86" t="str">
        <f t="shared" si="381"/>
        <v>jun22 may23</v>
      </c>
      <c r="HG98" s="1">
        <v>196000</v>
      </c>
      <c r="HH98" s="79">
        <f t="shared" si="242"/>
        <v>2318000</v>
      </c>
      <c r="HI98" s="86" t="str">
        <f t="shared" si="382"/>
        <v>jun22 may23</v>
      </c>
      <c r="HJ98" s="178">
        <v>100299</v>
      </c>
      <c r="HK98" s="79">
        <f t="shared" si="278"/>
        <v>68386.14</v>
      </c>
      <c r="HL98" s="86" t="str">
        <f t="shared" si="383"/>
        <v>jun22 may23</v>
      </c>
      <c r="HM98" s="79">
        <f t="shared" si="358"/>
        <v>2386386.14</v>
      </c>
      <c r="HN98" s="87">
        <f t="shared" si="297"/>
        <v>-2.4247040414865806E-2</v>
      </c>
      <c r="HO98" s="1">
        <v>882000000</v>
      </c>
      <c r="HP98" s="79">
        <f t="shared" si="386"/>
        <v>11545.6</v>
      </c>
      <c r="HQ98" s="86" t="str">
        <f t="shared" si="384"/>
        <v>jun22 may23</v>
      </c>
      <c r="HR98" s="1"/>
      <c r="HS98" s="1"/>
      <c r="HT98" s="1"/>
      <c r="HU98" s="1">
        <v>700000</v>
      </c>
      <c r="HV98" s="1" t="s">
        <v>399</v>
      </c>
      <c r="HW98" s="1">
        <v>1500000</v>
      </c>
      <c r="HX98" s="1" t="s">
        <v>410</v>
      </c>
      <c r="HY98" s="1">
        <v>4300000</v>
      </c>
      <c r="HZ98" s="1" t="s">
        <v>399</v>
      </c>
      <c r="IA98" s="1">
        <f t="shared" si="408"/>
        <v>21000000</v>
      </c>
      <c r="IB98" s="1" t="s">
        <v>399</v>
      </c>
      <c r="IC98" s="1">
        <v>38500000</v>
      </c>
      <c r="ID98" s="1" t="s">
        <v>399</v>
      </c>
      <c r="IE98" s="1">
        <v>750000</v>
      </c>
      <c r="IF98" s="1" t="s">
        <v>399</v>
      </c>
      <c r="IG98" s="1">
        <f t="shared" si="365"/>
        <v>7400000</v>
      </c>
      <c r="IH98" s="1" t="s">
        <v>410</v>
      </c>
      <c r="II98" s="79">
        <f t="shared" si="359"/>
        <v>73450000</v>
      </c>
      <c r="IJ98" s="97">
        <f t="shared" si="409"/>
        <v>1.9885213252125911</v>
      </c>
      <c r="IK98" s="1" t="s">
        <v>399</v>
      </c>
      <c r="IL98" s="186">
        <v>45.99</v>
      </c>
      <c r="IM98" s="7">
        <v>50.44</v>
      </c>
      <c r="IN98" s="7">
        <v>188.6</v>
      </c>
      <c r="IO98" s="7">
        <v>16.72</v>
      </c>
      <c r="IP98" s="176">
        <f t="shared" si="404"/>
        <v>6.139895208369488</v>
      </c>
      <c r="IQ98" s="176">
        <v>16.7</v>
      </c>
      <c r="IR98" s="98">
        <f t="shared" si="397"/>
        <v>6.92</v>
      </c>
      <c r="IS98" s="98">
        <f t="shared" si="397"/>
        <v>4.57</v>
      </c>
      <c r="IT98" s="98">
        <f t="shared" si="397"/>
        <v>13.61</v>
      </c>
      <c r="IU98" s="98">
        <f t="shared" si="397"/>
        <v>1.56</v>
      </c>
      <c r="IV98" s="94">
        <f t="shared" si="360"/>
        <v>19.739999999999998</v>
      </c>
      <c r="IW98" s="1"/>
      <c r="IX98" s="1"/>
      <c r="IY98" s="105">
        <v>1.88</v>
      </c>
      <c r="IZ98" s="161">
        <v>0.3</v>
      </c>
      <c r="JA98" s="83">
        <v>2813</v>
      </c>
      <c r="JB98" s="7">
        <v>35.950000000000003</v>
      </c>
      <c r="JC98" s="1"/>
      <c r="JD98" s="1"/>
      <c r="JF98" s="2">
        <v>5.3927380000000005</v>
      </c>
      <c r="JG98" s="2">
        <v>22.255101539999998</v>
      </c>
      <c r="JH98" s="2">
        <v>123.20283649000001</v>
      </c>
      <c r="JI98" s="2">
        <v>215.20485632</v>
      </c>
      <c r="JJ98" s="2">
        <v>605.68918315999997</v>
      </c>
      <c r="JK98" s="2">
        <v>102.39153366000001</v>
      </c>
      <c r="JL98" s="2">
        <v>2690.5606663499998</v>
      </c>
      <c r="JM98" s="2">
        <v>80.942818269999989</v>
      </c>
      <c r="JN98" s="2">
        <v>77.229926210000016</v>
      </c>
      <c r="JO98" s="2">
        <v>30.80704394</v>
      </c>
      <c r="JP98" s="2">
        <v>0</v>
      </c>
      <c r="JQ98" s="2">
        <v>7.8726735100000012</v>
      </c>
      <c r="JR98" s="2">
        <v>2.43753748</v>
      </c>
      <c r="JS98" s="2">
        <v>0</v>
      </c>
      <c r="JT98" s="2">
        <v>0.33089286000000001</v>
      </c>
      <c r="JU98" s="2">
        <v>82.508437450000031</v>
      </c>
      <c r="JV98" s="2">
        <v>12.807594879999998</v>
      </c>
      <c r="JW98" s="2">
        <v>27.022428790000003</v>
      </c>
      <c r="JX98" s="2">
        <v>36.673678940000002</v>
      </c>
      <c r="JY98" s="2">
        <v>0</v>
      </c>
      <c r="JZ98" s="2">
        <v>0.68785399999999997</v>
      </c>
      <c r="KA98" s="2">
        <v>0.09</v>
      </c>
      <c r="KB98" s="2">
        <v>23.814064600000002</v>
      </c>
      <c r="KC98" s="2">
        <v>19.014000799999998</v>
      </c>
      <c r="KD98" s="2">
        <v>8.6499339499999994</v>
      </c>
      <c r="KE98" s="2">
        <v>17.476901599999998</v>
      </c>
      <c r="KF98" s="2">
        <v>20.776878260000004</v>
      </c>
      <c r="KG98" s="2">
        <v>390.63577031</v>
      </c>
      <c r="KH98" s="2">
        <v>116.29617616</v>
      </c>
      <c r="KI98" s="2">
        <v>21.704121750000002</v>
      </c>
      <c r="KJ98" s="2">
        <v>1.2719750699999999</v>
      </c>
      <c r="KK98" s="171">
        <v>9.1724036200000008</v>
      </c>
      <c r="KL98" s="171">
        <v>0.10892111</v>
      </c>
      <c r="KM98" s="171">
        <v>0.12315501</v>
      </c>
      <c r="KN98" s="171">
        <v>1.36020242</v>
      </c>
      <c r="KO98" s="171">
        <v>0.58063414000000002</v>
      </c>
      <c r="KP98" s="171">
        <v>6.1200000000000002E-4</v>
      </c>
      <c r="KQ98" s="171">
        <v>677.33989417999987</v>
      </c>
      <c r="KR98" s="171">
        <v>0</v>
      </c>
      <c r="KS98" s="171">
        <v>0.34380327999999993</v>
      </c>
      <c r="KT98" s="171">
        <v>1.1348675200000002</v>
      </c>
      <c r="KU98" s="171">
        <v>1.11559404</v>
      </c>
      <c r="KV98" s="171">
        <v>0</v>
      </c>
      <c r="KW98" s="171">
        <v>1.7301791</v>
      </c>
      <c r="KX98" s="171">
        <v>0</v>
      </c>
      <c r="KY98" s="171">
        <v>0</v>
      </c>
      <c r="KZ98" s="171">
        <v>2.6711612799999997</v>
      </c>
      <c r="LA98" s="171">
        <v>1.1946952400000002</v>
      </c>
      <c r="LB98" s="171">
        <v>6.0014289999999998E-2</v>
      </c>
      <c r="LC98" s="171">
        <v>5.560843E-2</v>
      </c>
      <c r="LD98" s="171">
        <v>0</v>
      </c>
      <c r="LE98" s="171">
        <v>0.18255869</v>
      </c>
      <c r="LF98" s="171">
        <v>0.12916800000000001</v>
      </c>
      <c r="LG98" s="171">
        <v>26.663923630000003</v>
      </c>
      <c r="LH98" s="171">
        <v>6.4262316399999984</v>
      </c>
      <c r="LI98" s="171">
        <v>1.06290057</v>
      </c>
      <c r="LJ98" s="171">
        <v>7.038E-3</v>
      </c>
      <c r="LK98" s="171">
        <v>6.8027163900000005</v>
      </c>
      <c r="LL98" s="171">
        <v>7.3409295600000002</v>
      </c>
      <c r="LM98" s="171">
        <v>3.0093188999999998</v>
      </c>
      <c r="LN98" s="171">
        <v>0.12834936</v>
      </c>
      <c r="LO98" s="171">
        <v>6.3615663699999985</v>
      </c>
      <c r="LQ98" s="85">
        <f t="shared" si="247"/>
        <v>3792.8302867999996</v>
      </c>
      <c r="LR98" s="85">
        <f t="shared" si="248"/>
        <v>10.641103850000002</v>
      </c>
      <c r="LS98" s="85">
        <f t="shared" si="249"/>
        <v>39.830023670000003</v>
      </c>
      <c r="LT98" s="85">
        <f t="shared" si="250"/>
        <v>0.77785399999999993</v>
      </c>
      <c r="LU98" s="85">
        <f t="shared" si="251"/>
        <v>679.74768902999983</v>
      </c>
      <c r="LV98" s="85">
        <f t="shared" si="252"/>
        <v>1.7301791</v>
      </c>
      <c r="LW98" s="85">
        <f t="shared" si="253"/>
        <v>1.2547095300000002</v>
      </c>
      <c r="LX98" s="85">
        <f t="shared" si="254"/>
        <v>0.31172668999999997</v>
      </c>
      <c r="LZ98" s="131">
        <v>341.15</v>
      </c>
      <c r="MA98" s="171">
        <v>318.44</v>
      </c>
      <c r="MB98"/>
      <c r="MC98"/>
      <c r="MD98"/>
      <c r="MF98"/>
      <c r="MG98"/>
      <c r="MH98" s="83">
        <v>617.19000000000005</v>
      </c>
      <c r="MI98" s="83">
        <v>193.13</v>
      </c>
      <c r="MJ98" s="83">
        <v>251.59</v>
      </c>
      <c r="MK98"/>
      <c r="ML98" s="83">
        <v>194.87</v>
      </c>
      <c r="MM98" s="83">
        <v>964.66</v>
      </c>
      <c r="MN98" s="83"/>
      <c r="MO98" s="83">
        <v>236.99</v>
      </c>
      <c r="MP98" s="83">
        <v>506.03</v>
      </c>
      <c r="MQ98" s="83">
        <v>604.74</v>
      </c>
      <c r="MR98"/>
      <c r="MT98" s="83"/>
      <c r="MU98" s="83">
        <v>462.43</v>
      </c>
      <c r="MV98"/>
      <c r="MW98"/>
      <c r="MX98"/>
      <c r="MY98" s="83">
        <v>540.39</v>
      </c>
      <c r="MZ98" s="83">
        <v>1285</v>
      </c>
      <c r="NA98" s="83">
        <v>727.32</v>
      </c>
      <c r="NB98" s="83">
        <v>1873.54</v>
      </c>
      <c r="NC98" s="83">
        <v>293.3</v>
      </c>
      <c r="ND98" s="1">
        <v>1980</v>
      </c>
      <c r="NE98" s="1">
        <v>1333.52</v>
      </c>
    </row>
    <row r="99" spans="1:369" ht="14.4" thickBot="1">
      <c r="A99" s="38">
        <f t="shared" si="334"/>
        <v>45078</v>
      </c>
      <c r="B99" s="36">
        <f t="shared" si="401"/>
        <v>6</v>
      </c>
      <c r="C99" s="36">
        <f t="shared" si="402"/>
        <v>2023</v>
      </c>
      <c r="D99" s="36">
        <f t="shared" si="347"/>
        <v>99</v>
      </c>
      <c r="E99" s="38">
        <f t="shared" si="335"/>
        <v>45078</v>
      </c>
      <c r="F99" s="7">
        <v>258.67500000000001</v>
      </c>
      <c r="G99" s="7">
        <v>1709.6</v>
      </c>
      <c r="H99" s="1">
        <f>[2]NACIONALES!$D87</f>
        <v>136745.57999999996</v>
      </c>
      <c r="I99" s="7">
        <v>102</v>
      </c>
      <c r="J99" s="7">
        <v>580</v>
      </c>
      <c r="K99" s="7">
        <v>6</v>
      </c>
      <c r="L99" s="7">
        <v>31.5</v>
      </c>
      <c r="N99" s="5">
        <v>2.2799999999999998</v>
      </c>
      <c r="O99" s="5">
        <v>1.77</v>
      </c>
      <c r="P99" s="78">
        <f t="shared" si="398"/>
        <v>497.62603124999998</v>
      </c>
      <c r="Q99" s="6">
        <v>9500</v>
      </c>
      <c r="R99" s="79">
        <f t="shared" si="336"/>
        <v>95000</v>
      </c>
      <c r="S99" s="6">
        <v>180</v>
      </c>
      <c r="T99" s="6">
        <f>67540/F99</f>
        <v>261.09983570116941</v>
      </c>
      <c r="U99" s="6">
        <v>193.28</v>
      </c>
      <c r="V99" s="6">
        <v>331.48500000000001</v>
      </c>
      <c r="W99" s="6">
        <v>269</v>
      </c>
      <c r="X99" s="6">
        <v>231.05500000000001</v>
      </c>
      <c r="Y99" s="79">
        <f t="shared" si="337"/>
        <v>46561.5</v>
      </c>
      <c r="Z99" s="79">
        <f t="shared" si="338"/>
        <v>67540</v>
      </c>
      <c r="AA99" s="79">
        <f t="shared" si="339"/>
        <v>49996.704000000005</v>
      </c>
      <c r="AB99" s="79">
        <f t="shared" si="340"/>
        <v>85746.882375000001</v>
      </c>
      <c r="AC99" s="79">
        <f t="shared" si="341"/>
        <v>69583.574999999997</v>
      </c>
      <c r="AD99" s="79">
        <f t="shared" si="342"/>
        <v>59768.152125000008</v>
      </c>
      <c r="AE99" s="79">
        <f t="shared" si="343"/>
        <v>63199.468916666672</v>
      </c>
      <c r="AF99" s="1">
        <v>234860.4</v>
      </c>
      <c r="AG99" s="1">
        <v>112000</v>
      </c>
      <c r="AH99" s="1">
        <v>425600</v>
      </c>
      <c r="AI99" s="5">
        <v>152.512</v>
      </c>
      <c r="AJ99" s="5">
        <v>124.9592</v>
      </c>
      <c r="AK99" s="5">
        <v>125.8098</v>
      </c>
      <c r="AL99" s="5">
        <v>124.5791</v>
      </c>
      <c r="AM99" s="78">
        <f t="shared" si="344"/>
        <v>137.76342</v>
      </c>
      <c r="AN99" s="7">
        <v>7857.9220779220777</v>
      </c>
      <c r="AO99" s="7">
        <v>3266.5</v>
      </c>
      <c r="AP99" s="78">
        <f t="shared" si="385"/>
        <v>3266.5</v>
      </c>
      <c r="AQ99" s="7">
        <v>2171.5789473684213</v>
      </c>
      <c r="AR99" s="7">
        <v>4435.8947368421059</v>
      </c>
      <c r="AS99" s="7">
        <v>5541.666666666667</v>
      </c>
      <c r="AT99" s="7">
        <v>4524.8052631578948</v>
      </c>
      <c r="AU99" s="78">
        <f t="shared" si="348"/>
        <v>4834.1222222222232</v>
      </c>
      <c r="AV99" s="7">
        <v>3133.8709677419356</v>
      </c>
      <c r="AW99" s="7">
        <v>4921.0526315789475</v>
      </c>
      <c r="AX99" s="7">
        <v>1638.5789473684208</v>
      </c>
      <c r="AY99" s="7">
        <v>5587.0370370370374</v>
      </c>
      <c r="AZ99" s="7">
        <v>1573.1578947368421</v>
      </c>
      <c r="BA99" s="7">
        <v>1183.8095238095239</v>
      </c>
      <c r="BB99" s="94">
        <f t="shared" si="345"/>
        <v>2694.5401543983417</v>
      </c>
      <c r="BC99" s="68">
        <v>9499</v>
      </c>
      <c r="BD99" s="68">
        <v>6202.12</v>
      </c>
      <c r="BE99" s="95">
        <f t="shared" ref="BE99:BF103" si="411">+BE98*BC99/BC98</f>
        <v>6491.0933518647207</v>
      </c>
      <c r="BF99" s="95">
        <f t="shared" si="411"/>
        <v>4000</v>
      </c>
      <c r="BG99" s="94">
        <f t="shared" si="349"/>
        <v>6548.0533379661802</v>
      </c>
      <c r="BH99" s="7">
        <v>633.33000000000004</v>
      </c>
      <c r="BI99" s="7">
        <v>83</v>
      </c>
      <c r="BJ99" s="78">
        <f t="shared" si="350"/>
        <v>716.33</v>
      </c>
      <c r="BK99" s="7">
        <v>484.31900000000002</v>
      </c>
      <c r="BL99" s="7">
        <v>495.86</v>
      </c>
      <c r="BM99" s="94">
        <f t="shared" si="351"/>
        <v>490.08950000000004</v>
      </c>
      <c r="BN99" s="5">
        <v>102.2</v>
      </c>
      <c r="BO99" s="84">
        <v>374.4</v>
      </c>
      <c r="BP99" s="84">
        <v>437.3</v>
      </c>
      <c r="BQ99" s="94">
        <f t="shared" si="346"/>
        <v>380.69</v>
      </c>
      <c r="BR99" s="7">
        <f>+(333.72+336.15+333.34+337.01)/4</f>
        <v>335.05500000000001</v>
      </c>
      <c r="BS99" s="95">
        <f>+BS98</f>
        <v>1200</v>
      </c>
      <c r="BT99" s="7">
        <f>0.96*F99</f>
        <v>248.328</v>
      </c>
      <c r="BU99" s="79">
        <f t="shared" si="237"/>
        <v>15144.984</v>
      </c>
      <c r="BV99" s="7">
        <v>419</v>
      </c>
      <c r="BW99" s="7">
        <v>1150</v>
      </c>
      <c r="BY99" s="92">
        <f>BY$10*(1+((H99/H$10-1)*costos!$B$5+((I99*F99)/(I$10*F$10)-1)*costos!$E$5+((J99*F99)/((J$10*F$10)-1)*costos!$F$5/3+((K99*F99)/(K$10*F$10)-1)*costos!$F$5/3+((U99*F99)/(U$10*F$10)-1)*costos!$F$5/3+((L99*F99)/(L$10*F$10)-1)*costos!$G$5+((N99*F99)/(N$10*F$10)-1)*costos!$J$5+((V99*F99)/(V$10*F$10)-1)*costos!$K$5)))</f>
        <v>2710.7883852551699</v>
      </c>
      <c r="BZ99" s="92">
        <f>$BZ$10*(1+((H99/$H$10-1)*costos!$B$6+((I99*F99)/($I$10*$F$10)-1)*costos!$E$6+((J99*F99)/(($J$10*$F$10)-1)*costos!$F$6/3+((K99*F99)/($K$10*$F$10)-1)*costos!$F$6/3+((U99*F99)/($U$10*$F$10)-1)*costos!$F$6/3+((L99*F99)/($L$10*$F$10)-1)*costos!$G$6+((Q99*F99)/($Q$10*$F$10)-1)*costos!$J$6+((V99*F99)/($V$10*$F$10)-1)*costos!$K$6)))</f>
        <v>2249.9363075011302</v>
      </c>
      <c r="CA99" s="92">
        <f>CA$10*(1+((H99/H$10-1)*costos!$B$7+((I99*F99)/(I$10*F$10)-1)*costos!$E$7+((J99*F99)/((J$10*F$10)-1)*costos!$F$7/3+((K99*F99)/(K$10*F$10)-1)*costos!$F$7/3+((U99*F99)/(U$10*F$10)-1)*costos!$F$7/3+((L99*F99)/(L$10*F$10)-1)*costos!$G$7+((S99*F99)/(S$10*F$10)-1)*costos!$J$7+((V99*F99)/(V$10*F$10)-1)*costos!$K$7)))</f>
        <v>2402.078717665132</v>
      </c>
      <c r="CB99" s="92">
        <f>CB$10*(1+((H99/H$10-1)*costos!$B$8+((I99*F99)/(I$10*F$10)-1)*costos!$E$8+((J99*F99)/((J$10*F$10)-1)*costos!$F$8/3+((K99*F99)/(K$10*F$10)-1)*costos!$F$8/3+((U99*F99)/(U$10*F$10)-1)*costos!$F$8/3+((L99*F99)/(L$10*F$10)-1)*costos!$G$8+((T99*F99)/(T$10*F$10)-1)*costos!$J$8+((V99*F99)/(V$10*F$10)-1)*costos!$K$8)))</f>
        <v>2236.3262366065219</v>
      </c>
      <c r="CC99" s="92">
        <f>CC$10*(1+((H99/H$10-1)*costos!$B$9+((I99*F99)/(I$10*F$10)-1)*costos!$E$9+((J99*F99)/((J$10*F$10)-1)*costos!$F$9/3+((K99*F99)/(K$10*F$10)-1)*costos!$F$9/3+((U99*F99)/(U$10*F$10)-1)*costos!$F$9/3+((L99*F99)/(L$10*F$10)-1)*costos!$G$9+((U99*F99)/(U$10*F$10)-1)*costos!$J$9+((V99*F99)/(V$10*F$10)-1)*costos!$K$9)))</f>
        <v>2388.0709379728883</v>
      </c>
      <c r="CD99" s="92">
        <f>CD$10*(1+((H99/H$10-1)*costos!$B$11+((I99*F99)/(I$10*F$10)-1)*costos!$E$11+((J99*F99)/((J$10*F$10)-1)*costos!$F$11/3+((K99*F99)/(K$10*F$10)-1)*costos!$F$11/3+((U99*F99)/(U$10*F$10)-1)*costos!$F$11/3+((L99*F99)/(L$10*F$10)-1)*costos!$G$11+((V99*F99)/(V$10*F$10)-1)*costos!$J$11+((V99*F99)/(V$10*F$10)-1)*costos!$K$11)))</f>
        <v>2523.3351247545993</v>
      </c>
      <c r="CE99" s="92">
        <f>CE$10*(1+((H99/H$10-1)*costos!$B$12+((I99*F99)/(I$10*F$10)-1)*costos!$E$12+((J99*F99)/((J$10*F$10)-1)*costos!$F$12/3+((K99*F99)/(K$10*F$10)-1)*costos!$F$12/3+((U99*F99)/(U$10*F$10)-1)*costos!$F$12/3+((L99*F99)/(L$10*F$10)-1)*costos!$G$12+((W99*F99)/(W$10*F$10)-1)*costos!$J$12+((V99*F99)/(V$10*F$10)-1)*costos!$K$12)))</f>
        <v>2666.37859290192</v>
      </c>
      <c r="CF99" s="92">
        <f>CF$10*(1+((H99/H$10-1)*costos!$B$13+((I99*F99)/(I$10*F$10)-1)*costos!$E$13+((J99*F99)/((J$10*F$10)-1)*costos!$F$13/3+((K99*F99)/(K$10*F$10)-1)*costos!$F$13/3+((U99*F99)/(U$10*F$10)-1)*costos!$F$13/3+((L99*F99)/(L$10*F$10)-1)*costos!$G$13+((X99*F99)/(X$10*F$10)-1)*costos!$J$13+((V99*F99)/(V$10*F$10)-1)*costos!$K$13)))</f>
        <v>2545.343369612141</v>
      </c>
      <c r="CG99" s="92">
        <f t="shared" si="388"/>
        <v>2460.2554965855338</v>
      </c>
      <c r="CH99" s="92">
        <f>CH$10*(1+((H99/H$10-1)*costos!$B$10+((I99*F99)/(I$10*F$10)-1)*costos!$E$10+((J99*F99)/((J$10*F$10)-1)*costos!$F$10/3+((K99*F99)/(K$10*F$10)-1)*costos!$F$10/3+((U99*F99)/(U$10*F$10)-1)*costos!$F$10/3+((L99*F99)/(L$10*F$10)-1)*costos!$G$10+((AF99)/(AF$10)-1)*costos!$J$10+((V99*F99)/(V$10*F$10)-1)*costos!$K$10)))</f>
        <v>2867.2480082291613</v>
      </c>
      <c r="CI99" s="92">
        <f>CI$10*(1+((H99/H$10-1)*costos!$B$15+((I99*F99)/(I$10*F$10)-1)*costos!$E$15+((J99*F99)/((J$10*F$10)-1)*costos!$F$15/3+((K99*F99)/(K$10*F$10)-1)*costos!$F$15/3+((U99*F99)/(U$10*F$10)-1)*costos!$F$15/3+((L99*F99)/(L$10*F$10)-1)*costos!$G$15+((AV99)/(AV$10)-1)*costos!$J$15+((V99*F99)/(V$10*F$10)-1)*costos!$K$15)))</f>
        <v>2619.5592699595436</v>
      </c>
      <c r="CJ99" s="92">
        <f>CJ$10*(1+((H99/H$10-1)*costos!$B$16+((I99*F99)/(I$10*F$10)-1)*costos!$E$16+((J99*F99)/((J$10*F$10)-1)*costos!$F$16/3+((K99*F99)/(K$10*F$10)-1)*costos!$F$16/3+((U99*F99)/(U$10*F$10)-1)*costos!$F$16/3+((L99*F99)/(L$10*F$10)-1)*costos!$G$16+((AW99)/(AW$10)-1)*costos!$J$16+((V99*F99)/(V$10*F$10)-1)*costos!$K$16)))</f>
        <v>2067.5434572778477</v>
      </c>
      <c r="CK99" s="92">
        <f>CK$10*(1+((H99/H$10-1)*costos!$B$17+((I99*F99)/(I$10*F$10)-1)*costos!$E$17+((J99*F99)/((J$10*F$10)-1)*costos!$F$17/3+((K99*F99)/(K$10*F$10)-1)*costos!$F$17/3+((U99*F99)/(U$10*F$10)-1)*costos!$F$17/3+((L99*F99)/(L$10*F$10)-1)*costos!$G$17+((AX99)/(AX$10)-1)*costos!$J$17+((V99*F99)/(V$10*F$10)-1)*costos!$K$17)))</f>
        <v>2190.6823743134714</v>
      </c>
      <c r="CL99" s="92">
        <f>CL$10*(1+((H99/H$10-1)*costos!$B$18+((I99*F99)/(I$10*F$10)-1)*costos!$E$18+((J99*F99)/((J$10*F$10)-1)*costos!$F$18/3+((K99*F99)/(K$10*F$10)-1)*costos!$F$18/3+((U99*F99)/(U$10*F$10)-1)*costos!$F$18/3+((L99*F99)/(L$10*F$10)-1)*costos!$G$18+((AY99)/(AY$10)-1)*costos!$J$18+((V99*F99)/(V$10*F$10)-1)*costos!$K$18)))</f>
        <v>3036.7298025853265</v>
      </c>
      <c r="CM99" s="92">
        <f>CM$10*(1+((H99/H$10-1)*costos!$B$19+((I99*F99)/(I$10*F$10)-1)*costos!$E$19+((J99*F99)/((J$10*F$10)-1)*costos!$F$19/3+((K99*F99)/(K$10*F$10)-1)*costos!$F$19/3+((U99*F99)/(U$10*F$10)-1)*costos!$F$19/3+((L99*F99)/(L$10*F$10)-1)*costos!$G$19+((AZ99)/(AZ$10)-1)*costos!$J$19+((V99*F99)/(V$10*F$10)-1)*costos!$K$19)))</f>
        <v>1856.2877748813537</v>
      </c>
      <c r="CN99" s="92">
        <f>CN$10*(1+((H99/H$10-1)*costos!$B$20+((I99*F99)/(I$10*F$10)-1)*costos!$E$20+((J99*F99)/((J$10*F$10)-1)*costos!$F$20/3+((K99*F99)/(K$10*F$10)-1)*costos!$F$20/3+((U99*F99)/(U$10*F$10)-1)*costos!$F$20/3+((L99*F99)/(L$10*F$10)-1)*costos!$G$20+((BA99)/(BA$10)-1)*costos!$J$20+((V99*F99)/(V$10*F$10)-1)*costos!$K$20)))</f>
        <v>1904.6219596428266</v>
      </c>
      <c r="CO99" s="92">
        <f t="shared" si="399"/>
        <v>2247.0804778557444</v>
      </c>
      <c r="CP99" s="92">
        <f>CP$10*(1+((H99/H$10-1)*costos!$B$22+((I99*F99)/(I$10*F$10)-1)*costos!$E$22+((J99*F99)/((J$10*F$10)-1)*costos!$F$22/3+((K99*F99)/(K$10*F$10)-1)*costos!$F$22/3+((U99*F99)/(U$10*F$10)-1)*costos!$F$22/3+((L99*F99)/(L$10*F$10)-1)*costos!$G$22+(((AVERAGE(AI99:AL99))/((AVERAGE(AI$10:AL$10))-1)*costos!$J$22+((V99*F99)/(V$10*F$10)-1)*costos!$K$22)))))</f>
        <v>2700.0743037639777</v>
      </c>
      <c r="CQ99" s="92">
        <f>CQ$10*(1+((H99/H$10-1)*costos!$B$23+((I99*F99)/(I$10*F$10)-1)*costos!$E$23+((J99*F99)/((J$10*F$10)-1)*costos!$F$23/3+((K99*F99)/(K$10*F$10)-1)*costos!$F$23/3+((U99*F99)/(U$10*F$10)-1)*costos!$F$23/3+((L99*F99)/(L$10*F$10)-1)*costos!$G$23+((AN99)/(AN$10)-1)*costos!$J$23+((V99*F99)/(V$10*F$10)-1)*costos!$K$23)))</f>
        <v>2125.2304492806943</v>
      </c>
      <c r="CR99" s="92">
        <f>CR$10*(1+((H99/H$10-1)*costos!$B$24+((I99*F99)/(I$10*F$10)-1)*costos!$E$24+((J99*F99)/((J$10*F$10)-1)*costos!$F$24/3+((K99*F99)/(K$10*F$10)-1)*costos!$F$24/3+((U99*F99)/(U$10*F$10)-1)*costos!$F$24/3+((L99*F99)/(L$10*F$10)-1)*costos!$G$24+((AO99)/(AO$10)-1)*costos!$J$24+((V99*F99)/(V$10*F$10)-1)*costos!$K$24)))</f>
        <v>2003.4476074037664</v>
      </c>
      <c r="CS99" s="92">
        <f t="shared" si="352"/>
        <v>2064.3390283422304</v>
      </c>
      <c r="CT99" s="92">
        <f>CT$10*(1+((H99/H$10-1)*costos!$B$25+((I99*F99)/(I$10*F$10)-1)*costos!$E$25+((J99*F99)/((J$10*F$10)-1)*costos!$F$25/3+((K99*F99)/(K$10*F$10)-1)*costos!$F$25/3+((U99*F99)/(U$10*F$10)-1)*costos!$F$25/3+((L99*F99)/(L$10*F$10)-1)*costos!$G$25+((AQ99)/(AQ$10)-1)*costos!$J$25+((V99*F99)/(V$10*F$10)-1)*costos!$K$25)))</f>
        <v>1936.8824256732005</v>
      </c>
      <c r="CU99" s="92">
        <f>CU$10*(1+((H99/H$10-1)*costos!$B$26+((I99*F99)/(I$10*F$10)-1)*costos!$E$26+((J99*F99)/((J$10*F$10)-1)*costos!$F$26/3+((K99*F99)/(K$10*F$10)-1)*costos!$F$26/3+((U99*F99)/(U$10*F$10)-1)*costos!$F$26/3+((L99*F99)/(L$10*F$10)-1)*costos!$G$26+((AR99)/(AR$10)-1)*costos!$J$26+((V99*F99)/(V$10*F$10)-1)*costos!$K$26)))</f>
        <v>2204.2678806167073</v>
      </c>
      <c r="CV99" s="92">
        <f>CV$10*(1+((H99/H$10-1)*costos!$B$27+((I99*F99)/(I$10*F$10)-1)*costos!$E$27+((J99*F99)/((J$10*F$10)-1)*costos!$F$27/3+((K99*F99)/(K$10*F$10)-1)*costos!$F$27/3+((U99*F99)/(U$10*F$10)-1)*costos!$F$27/3+((L99*F99)/(L$10*F$10)-1)*costos!$G$27+((AS99)/(AS$10)-1)*costos!$J$27+((V99*F99)/(V$10*F$10)-1)*costos!$K$27)))</f>
        <v>2273.0537161540569</v>
      </c>
      <c r="CW99" s="92">
        <f>CW$10*(1+((H99/H$10-1)*costos!$B$28+((I99*F99)/(I$10*F$10)-1)*costos!$E$28+((J99*F99)/((J$10*F$10)-1)*costos!$F$28/3+((K99*F99)/(K$10*F$10)-1)*costos!$F$28/3+((U99*F99)/(U$10*F$10)-1)*costos!$F$28/3+((L99*F99)/(L$10*F$10)-1)*costos!$G$28+((AS99)/(AS$10)-1)*costos!$J$28+((V99*F99)/(V$10*F$10)-1)*costos!$K$28)))</f>
        <v>2273.0537161540569</v>
      </c>
      <c r="CX99" s="92">
        <f t="shared" si="400"/>
        <v>2250.1251043082734</v>
      </c>
      <c r="CY99" s="92">
        <f>CY$10*(1+((H99/H$10-1)*costos!$B$32+((I99*F99)/(I$10*F$10)-1)*costos!$E$32+((J99*F99)/((J$10*F$10)-1)*costos!$F$32/3+((K99*F99)/(K$10*F$10)-1)*costos!$F$32/3+((U99*F99)/(U$10*F$10)-1)*costos!$F$32/3+((L99*F99)/(L$10*F$10)-1)*costos!$G$32+((AG99)/(AG$10)-1)*costos!$J$32+((V99*F99)/(V$10*F$10)-1)*costos!$K$32)))</f>
        <v>1965.5871959261049</v>
      </c>
      <c r="CZ99" s="69">
        <f>CZ$10*(1+((H99/H$10-1)*costos!$B$31+((I99*F99)/(I$10*F$10)-1)*costos!$E$30+((J99*F99)/((J$10*F$10)-1)*costos!$F$30/3+((K99*F99)/(K$10*F$10)-1)*costos!$F$30/3+((U99*F99)/(U$10*F$10)-1)*costos!$F$30/3+((L99*F99)/(L$10*F$10)-1)*costos!$G$30+((BG99)/(BG$10)-1)*costos!$J$30+((V99*F99)/(V$10*F$10)-1)*costos!$K$30)))</f>
        <v>2457.9582864140521</v>
      </c>
      <c r="DA99" s="69">
        <f>DA$10*(1+((H99/H$10-1)*costos!$B$31+((I99*F99)/(I$10*F$10)-1)*costos!$E$31+((J99*F99)/((J$10*F$10)-1)*costos!$F$31/3+((K99*F99)/(K$10*F$10)-1)*costos!$F$31/3+((U99*F99)/(U$10*F$10)-1)*costos!$F$31/3+((L99*F99)/(L$10*F$10)-1)*costos!$G$31+((BJ99)/(BJ$10)-1)*costos!$J$31+((V99*F99)/(V$10*F$10)-1)*costos!$K$31)))</f>
        <v>1980.8031751780338</v>
      </c>
      <c r="DB99" s="69">
        <f>DB$10*(1+((H99/H$10-1)*costos!$B$36+((I99*F99)/(I$10*F$10)-1)*costos!$E$36+((J99*F99)/((J$10*F$10)-1)*costos!$F$36/3+((K99*F99)/(K$10*F$10)-1)*costos!$F$36/3+((U99*F99)/(U$10*F$10)-1)*costos!$F$36/3+((L99*F99)/(L$10*F$10)-1)*costos!$G$36+((BK99)/(BK$10)-1)*costos!$J$36+((V99*F99)/(V$10*F$10)-1)*costos!$K$36)))</f>
        <v>2147.1803441585939</v>
      </c>
      <c r="DC99" s="69">
        <f>DC$10*(1+((H99/H$10-1)*costos!$B$37+((I99*F99)/(I$10*F$10)-1)*costos!$E$37+((U99*F99)/(U$10*F$10)-1)*costos!$F$37+((L99*F99)/(L$10*F$10)-1)*costos!$G$37+((BN99)/(BN$10)-1)*costos!$J$37+((V99*F99)/(V$10*F$10)-1)*costos!$K$37))</f>
        <v>2361.8022309441635</v>
      </c>
      <c r="DD99" s="69">
        <f>DD$10*(1+((H99/H$10-1)*costos!$B$39+((I99*F99)/(I$10*F$10)-1)*costos!$E$39+((U99*F99)/(U$10*F$10)-1)*costos!$F$39+((L99*F99)/(L$10*F$10)-1)*costos!$G$39+((BR99)/(BR$10)-1)*costos!$J$39+((V99*F99)/(V$10*F$10)-1)*costos!$K$39))</f>
        <v>2288.9257241052478</v>
      </c>
      <c r="DE99" s="69">
        <f>DD$10*(1+((H99/H$10-1)*costos!$B$35+((I99*F99)/(I$10*F$10)-1)*costos!$E$35+((U99*F99)/(U$10*F$10)-1)*costos!$F$35+((L99*F99)/(L$10*F$10)-1)*costos!$G$35+((BR99)/(BR$10)-1)*costos!$J$35+((V99*F99)/(V$10*F$10)-1)*costos!$K$35))</f>
        <v>2030.6675078865403</v>
      </c>
      <c r="DF99" s="69">
        <f>DF$10*(1+((H99/H$10-1)*costos!$B$40+((I99*F99)/(I$10*F$10)-1)*costos!$E$40+((U99*F99)/(U$10*F$10)-1)*costos!$F$40+((L99*F99)/(L$10*F$10)-1)*costos!$G$40+((BP99)/(BP$10)-1)*costos!$J$40+((V99*F99)/(V$10*F$10)-1)*costos!$K$40))</f>
        <v>2435.689605622319</v>
      </c>
      <c r="DG99" s="92">
        <f t="shared" si="391"/>
        <v>2233.1785567544298</v>
      </c>
      <c r="DH99" s="69">
        <f>DH$10*(1+((H99/H$10-1)*costos!$B$34+((I99*F99)/(I$10*F$10)-1)*costos!$E$34+((J99*F99)/((J$10*F$10)-1)*costos!$F$34/3+((K99*F99)/(K$10*F$10)-1)*costos!$F$34/3+((U99*F99)/(U$10*F$10)-1)*costos!$F$34/3+((L99*F99)/(L$10*F$10)-1)*costos!$G$34+((BV99)/(BV$10)-1)*costos!$J$34+((V99*F99)/(V$10*F$10)-1)*costos!$K$34)))</f>
        <v>2037.5270686071999</v>
      </c>
      <c r="DI99" s="69">
        <f>DI$10*(1+((H99/H$10-1)*costos!$B$38+((I99*F99)/(I$10*F$10)-1)*costos!$E$38+((J99*F99)/((J$10*F$10)-1)*costos!$F$38/3+((K99*F99)/(K$10*F$10)-1)*costos!$F$38/3+((U99*F99)/(U$10*F$10)-1)*costos!$F$38/3+((L99*F99)/(L$10*F$10)-1)*costos!$G$38+((BU99)/(BU$10)-1)*costos!$J$38+((V99*F99)/(V$10*F$10)-1)*costos!$K$38)))</f>
        <v>1934.6430772027973</v>
      </c>
      <c r="DK99" s="1">
        <v>580000</v>
      </c>
      <c r="DL99" s="1" t="s">
        <v>399</v>
      </c>
      <c r="DM99" s="1">
        <v>190000</v>
      </c>
      <c r="DN99" s="1" t="s">
        <v>399</v>
      </c>
      <c r="DO99" s="1">
        <v>1600000</v>
      </c>
      <c r="DP99" s="1" t="s">
        <v>410</v>
      </c>
      <c r="DQ99" s="1">
        <v>2300000</v>
      </c>
      <c r="DR99" s="1" t="s">
        <v>399</v>
      </c>
      <c r="DS99" s="1">
        <v>7100000</v>
      </c>
      <c r="DT99" s="1" t="s">
        <v>399</v>
      </c>
      <c r="DU99" s="1">
        <v>16000000</v>
      </c>
      <c r="DV99" s="1" t="s">
        <v>399</v>
      </c>
      <c r="DW99" s="1">
        <v>800000</v>
      </c>
      <c r="DX99" s="1" t="s">
        <v>399</v>
      </c>
      <c r="DY99" s="1">
        <v>5916000</v>
      </c>
      <c r="DZ99" s="1" t="s">
        <v>410</v>
      </c>
      <c r="EA99" s="79">
        <f t="shared" si="353"/>
        <v>33716000</v>
      </c>
      <c r="EB99" s="1">
        <v>373795</v>
      </c>
      <c r="EC99" s="1" t="s">
        <v>399</v>
      </c>
      <c r="ED99" s="1">
        <v>222162</v>
      </c>
      <c r="EE99" s="143">
        <v>2023</v>
      </c>
      <c r="EF99" s="1">
        <v>204847</v>
      </c>
      <c r="EG99" s="6">
        <v>2023</v>
      </c>
      <c r="EH99" s="1">
        <v>54242595</v>
      </c>
      <c r="EI99" s="6">
        <v>2023</v>
      </c>
      <c r="EJ99" s="1">
        <v>5887401</v>
      </c>
      <c r="EK99" s="6">
        <v>2023</v>
      </c>
      <c r="EL99" s="1">
        <v>12461845</v>
      </c>
      <c r="EM99" s="6">
        <v>2022</v>
      </c>
      <c r="EN99" s="1">
        <v>3169981</v>
      </c>
      <c r="EO99" s="6">
        <v>2021</v>
      </c>
      <c r="EP99" s="83">
        <v>9326</v>
      </c>
      <c r="EQ99" s="83">
        <v>3500000</v>
      </c>
      <c r="ER99" s="1">
        <f t="shared" si="403"/>
        <v>79916</v>
      </c>
      <c r="ES99" s="1"/>
      <c r="ET99" s="83">
        <f t="shared" si="393"/>
        <v>20677</v>
      </c>
      <c r="EU99" s="83">
        <f t="shared" si="393"/>
        <v>19532</v>
      </c>
      <c r="EV99" s="83">
        <f t="shared" si="393"/>
        <v>9103</v>
      </c>
      <c r="EW99" s="83">
        <f t="shared" si="393"/>
        <v>17281</v>
      </c>
      <c r="EX99" s="79">
        <f t="shared" si="354"/>
        <v>66593</v>
      </c>
      <c r="EY99" s="83">
        <f t="shared" si="394"/>
        <v>20193</v>
      </c>
      <c r="EZ99" s="83">
        <f t="shared" si="394"/>
        <v>32682</v>
      </c>
      <c r="FA99" s="83">
        <f t="shared" si="405"/>
        <v>19526</v>
      </c>
      <c r="FB99" s="83">
        <f t="shared" si="406"/>
        <v>19463</v>
      </c>
      <c r="FC99" s="79">
        <f t="shared" si="410"/>
        <v>38989</v>
      </c>
      <c r="FD99" s="83">
        <f t="shared" si="395"/>
        <v>54743</v>
      </c>
      <c r="FE99" s="1"/>
      <c r="FF99" s="1">
        <v>900000</v>
      </c>
      <c r="FG99" s="1" t="s">
        <v>399</v>
      </c>
      <c r="FH99" s="1">
        <v>1100000</v>
      </c>
      <c r="FI99" s="1" t="s">
        <v>399</v>
      </c>
      <c r="FJ99" s="1">
        <v>4600000</v>
      </c>
      <c r="FK99" s="1" t="s">
        <v>399</v>
      </c>
      <c r="FL99" s="1">
        <v>4900000</v>
      </c>
      <c r="FM99" s="1" t="s">
        <v>399</v>
      </c>
      <c r="FN99" s="1">
        <v>36000000</v>
      </c>
      <c r="FO99" s="1" t="s">
        <v>399</v>
      </c>
      <c r="FP99" s="1">
        <v>25000000</v>
      </c>
      <c r="FQ99" s="1" t="s">
        <v>399</v>
      </c>
      <c r="FR99" s="1">
        <v>1700000</v>
      </c>
      <c r="FS99" s="1" t="s">
        <v>399</v>
      </c>
      <c r="FT99" s="1">
        <v>12555000</v>
      </c>
      <c r="FU99" s="1" t="s">
        <v>399</v>
      </c>
      <c r="FV99" s="79">
        <f t="shared" si="355"/>
        <v>84755000</v>
      </c>
      <c r="FW99" s="1">
        <v>940426</v>
      </c>
      <c r="FX99" s="1" t="s">
        <v>399</v>
      </c>
      <c r="FY99" s="1">
        <v>138993</v>
      </c>
      <c r="FZ99" s="79">
        <f t="shared" si="377"/>
        <v>834186.26900000009</v>
      </c>
      <c r="GA99" s="86" t="str">
        <f t="shared" si="378"/>
        <v>jul22 jun23</v>
      </c>
      <c r="GB99" s="1">
        <v>14553117</v>
      </c>
      <c r="GC99" s="6">
        <v>2023</v>
      </c>
      <c r="GD99" s="83">
        <v>2315000</v>
      </c>
      <c r="GE99" s="83">
        <v>377000</v>
      </c>
      <c r="GF99" s="83">
        <v>1061000</v>
      </c>
      <c r="GG99" s="83">
        <v>127000</v>
      </c>
      <c r="GH99" s="79">
        <f t="shared" si="240"/>
        <v>1565000</v>
      </c>
      <c r="GI99" s="82">
        <f t="shared" si="373"/>
        <v>1302556</v>
      </c>
      <c r="GJ99" s="83">
        <f t="shared" si="373"/>
        <v>687701</v>
      </c>
      <c r="GK99" s="83">
        <f t="shared" si="373"/>
        <v>1430078.41</v>
      </c>
      <c r="GL99" s="83">
        <f t="shared" si="373"/>
        <v>302535.34000000003</v>
      </c>
      <c r="GM99" s="83">
        <f t="shared" si="373"/>
        <v>257597.81</v>
      </c>
      <c r="GN99" s="79">
        <f t="shared" si="357"/>
        <v>2677912.56</v>
      </c>
      <c r="GO99" s="83">
        <f t="shared" si="374"/>
        <v>202394.36</v>
      </c>
      <c r="GP99" s="83">
        <f t="shared" si="374"/>
        <v>73395</v>
      </c>
      <c r="GQ99" s="1">
        <v>37273</v>
      </c>
      <c r="GR99" s="83">
        <v>36622</v>
      </c>
      <c r="GS99" s="79">
        <f t="shared" ref="GS99:GS131" si="412">+GR99+GQ99*0.03</f>
        <v>37740.19</v>
      </c>
      <c r="GT99" s="83">
        <f t="shared" si="407"/>
        <v>2365997</v>
      </c>
      <c r="GU99" s="1">
        <f>56339-12207</f>
        <v>44132</v>
      </c>
      <c r="GV99" s="1">
        <f>44981-17984</f>
        <v>26997</v>
      </c>
      <c r="GW99" s="79">
        <f t="shared" si="261"/>
        <v>788700</v>
      </c>
      <c r="GX99" s="1">
        <v>33126.813000000002</v>
      </c>
      <c r="GY99" s="1" t="s">
        <v>402</v>
      </c>
      <c r="GZ99" s="1">
        <v>87408</v>
      </c>
      <c r="HA99" s="1">
        <v>297185</v>
      </c>
      <c r="HB99" s="79">
        <f t="shared" si="241"/>
        <v>3277512</v>
      </c>
      <c r="HC99" s="86" t="str">
        <f t="shared" si="379"/>
        <v>jul22 jun23</v>
      </c>
      <c r="HD99" s="178">
        <v>64703</v>
      </c>
      <c r="HE99" s="79">
        <f t="shared" si="380"/>
        <v>721331</v>
      </c>
      <c r="HF99" s="86" t="str">
        <f t="shared" si="381"/>
        <v>jul22 jun23</v>
      </c>
      <c r="HG99" s="1">
        <v>192000</v>
      </c>
      <c r="HH99" s="79">
        <f t="shared" si="242"/>
        <v>2314000</v>
      </c>
      <c r="HI99" s="86" t="str">
        <f t="shared" si="382"/>
        <v>jul22 jun23</v>
      </c>
      <c r="HJ99" s="178">
        <v>91698</v>
      </c>
      <c r="HK99" s="79">
        <f t="shared" si="278"/>
        <v>68514.3</v>
      </c>
      <c r="HL99" s="86" t="str">
        <f t="shared" si="383"/>
        <v>jul22 jun23</v>
      </c>
      <c r="HM99" s="79">
        <f t="shared" si="358"/>
        <v>2382514.2999999998</v>
      </c>
      <c r="HN99" s="87">
        <f t="shared" si="297"/>
        <v>-8.6596674688251829E-3</v>
      </c>
      <c r="HO99" s="1">
        <v>906283332</v>
      </c>
      <c r="HP99" s="79">
        <f t="shared" si="386"/>
        <v>11537.683332000001</v>
      </c>
      <c r="HQ99" s="86" t="str">
        <f t="shared" si="384"/>
        <v>jul22 jun23</v>
      </c>
      <c r="HR99" s="1"/>
      <c r="HS99" s="1"/>
      <c r="HT99" s="1"/>
      <c r="HU99" s="1">
        <v>700000</v>
      </c>
      <c r="HV99" s="1" t="s">
        <v>399</v>
      </c>
      <c r="HW99" s="1">
        <v>1500000</v>
      </c>
      <c r="HX99" s="1" t="s">
        <v>410</v>
      </c>
      <c r="HY99" s="1">
        <v>4300000</v>
      </c>
      <c r="HZ99" s="1" t="s">
        <v>399</v>
      </c>
      <c r="IA99" s="1">
        <f t="shared" si="408"/>
        <v>21000000</v>
      </c>
      <c r="IB99" s="1" t="s">
        <v>399</v>
      </c>
      <c r="IC99" s="1">
        <v>38500000</v>
      </c>
      <c r="ID99" s="1" t="s">
        <v>399</v>
      </c>
      <c r="IE99" s="1">
        <v>750000</v>
      </c>
      <c r="IF99" s="1" t="s">
        <v>399</v>
      </c>
      <c r="IG99" s="1">
        <f t="shared" si="365"/>
        <v>7400000</v>
      </c>
      <c r="IH99" s="1" t="s">
        <v>410</v>
      </c>
      <c r="II99" s="79">
        <f t="shared" si="359"/>
        <v>73450000</v>
      </c>
      <c r="IJ99" s="97">
        <f t="shared" si="409"/>
        <v>1.9885213252125911</v>
      </c>
      <c r="IK99" s="1" t="s">
        <v>399</v>
      </c>
      <c r="IL99" s="182">
        <v>46</v>
      </c>
      <c r="IM99" s="7">
        <v>51.32</v>
      </c>
      <c r="IN99" s="7">
        <v>188.6</v>
      </c>
      <c r="IO99" s="7">
        <v>16.670000000000002</v>
      </c>
      <c r="IP99" s="176">
        <f t="shared" si="404"/>
        <v>6.139895208369488</v>
      </c>
      <c r="IQ99" s="176">
        <v>16.7</v>
      </c>
      <c r="IR99" s="98">
        <f t="shared" si="397"/>
        <v>6.92</v>
      </c>
      <c r="IS99" s="98">
        <f t="shared" si="397"/>
        <v>4.57</v>
      </c>
      <c r="IT99" s="98">
        <f t="shared" si="397"/>
        <v>13.61</v>
      </c>
      <c r="IU99" s="98">
        <f t="shared" si="397"/>
        <v>1.56</v>
      </c>
      <c r="IV99" s="94">
        <f t="shared" si="360"/>
        <v>19.739999999999998</v>
      </c>
      <c r="IW99" s="1"/>
      <c r="IX99" s="1"/>
      <c r="IY99" s="105">
        <v>1.88</v>
      </c>
      <c r="IZ99" s="161">
        <v>0.3</v>
      </c>
      <c r="JA99" s="83">
        <v>2813</v>
      </c>
      <c r="JB99" s="7">
        <v>35.950000000000003</v>
      </c>
      <c r="JC99" s="1"/>
      <c r="JD99" s="1"/>
      <c r="JF99" s="2">
        <v>2.3595063199999995</v>
      </c>
      <c r="JG99" s="2">
        <v>21.418726320000001</v>
      </c>
      <c r="JH99" s="2">
        <v>140.62514052</v>
      </c>
      <c r="JI99" s="2">
        <v>151.45746105000001</v>
      </c>
      <c r="JJ99" s="2">
        <v>750.5849572300001</v>
      </c>
      <c r="JK99" s="2">
        <v>89.79279253</v>
      </c>
      <c r="JL99" s="2">
        <v>2249.1007870399994</v>
      </c>
      <c r="JM99" s="2">
        <v>10.328057080000001</v>
      </c>
      <c r="JN99" s="2">
        <v>86.076339700000005</v>
      </c>
      <c r="JO99" s="2">
        <v>26.2743097</v>
      </c>
      <c r="JP99" s="2">
        <v>0</v>
      </c>
      <c r="JQ99" s="2">
        <v>4.6827897799999993</v>
      </c>
      <c r="JR99" s="2">
        <v>3.0590236400000004</v>
      </c>
      <c r="JS99" s="2">
        <v>0</v>
      </c>
      <c r="JT99" s="2">
        <v>1.387384E-2</v>
      </c>
      <c r="JU99" s="2">
        <v>61.526627820000002</v>
      </c>
      <c r="JV99" s="2">
        <v>8.7651813800000014</v>
      </c>
      <c r="JW99" s="2">
        <v>21.551970270000002</v>
      </c>
      <c r="JX99" s="2">
        <v>48.639479369999997</v>
      </c>
      <c r="JY99" s="2">
        <v>0</v>
      </c>
      <c r="JZ99" s="2">
        <v>1.24879154</v>
      </c>
      <c r="KA99" s="2">
        <v>2.5000000000000001E-3</v>
      </c>
      <c r="KB99" s="2">
        <v>26.5668471</v>
      </c>
      <c r="KC99" s="2">
        <v>34.825160650000001</v>
      </c>
      <c r="KD99" s="2">
        <v>9.3876240000000006</v>
      </c>
      <c r="KE99" s="2">
        <v>14.837575590000002</v>
      </c>
      <c r="KF99" s="2">
        <v>20.281404040000002</v>
      </c>
      <c r="KG99" s="2">
        <v>308.34921994000001</v>
      </c>
      <c r="KH99" s="2">
        <v>100.85116919999999</v>
      </c>
      <c r="KI99" s="2">
        <v>12.26162961</v>
      </c>
      <c r="KJ99" s="2">
        <v>1.8176867299999997</v>
      </c>
      <c r="KK99" s="171">
        <v>7.1486482300000009</v>
      </c>
      <c r="KL99" s="171">
        <v>3.9243889999999997E-2</v>
      </c>
      <c r="KM99" s="171">
        <v>0.35539929000000003</v>
      </c>
      <c r="KN99" s="171">
        <v>0.51010381999999999</v>
      </c>
      <c r="KO99" s="171">
        <v>2.0827674800000002</v>
      </c>
      <c r="KP99" s="171">
        <v>0.13456720999999999</v>
      </c>
      <c r="KQ99" s="171">
        <v>825.26774868999996</v>
      </c>
      <c r="KR99" s="171">
        <v>0.58970502000000002</v>
      </c>
      <c r="KS99" s="171">
        <v>3.6820550000000001E-2</v>
      </c>
      <c r="KT99" s="171">
        <v>1.6364950999999999</v>
      </c>
      <c r="KU99" s="171">
        <v>1.1944894100000001</v>
      </c>
      <c r="KV99" s="171">
        <v>0</v>
      </c>
      <c r="KW99" s="171">
        <v>0.42388491999999994</v>
      </c>
      <c r="KX99" s="171">
        <v>0</v>
      </c>
      <c r="KY99" s="171">
        <v>0</v>
      </c>
      <c r="KZ99" s="171">
        <v>1.2618213600000001</v>
      </c>
      <c r="LA99" s="171">
        <v>0.34636184000000003</v>
      </c>
      <c r="LB99" s="171">
        <v>0</v>
      </c>
      <c r="LC99" s="171">
        <v>9.3519190000000002E-2</v>
      </c>
      <c r="LD99" s="171">
        <v>0</v>
      </c>
      <c r="LE99" s="171">
        <v>0</v>
      </c>
      <c r="LF99" s="171">
        <v>0</v>
      </c>
      <c r="LG99" s="171">
        <v>25.979397770000002</v>
      </c>
      <c r="LH99" s="171">
        <v>8.5152603000000013</v>
      </c>
      <c r="LI99" s="171">
        <v>1.1220479999999999</v>
      </c>
      <c r="LJ99" s="171">
        <v>0</v>
      </c>
      <c r="LK99" s="171">
        <v>4.2620939999999994</v>
      </c>
      <c r="LL99" s="171">
        <v>3.8355995800000002</v>
      </c>
      <c r="LM99" s="171">
        <v>1.8108909100000001</v>
      </c>
      <c r="LN99" s="171">
        <v>0.16069122999999999</v>
      </c>
      <c r="LO99" s="171">
        <v>4.5685913500000002</v>
      </c>
      <c r="LQ99" s="85">
        <f t="shared" si="247"/>
        <v>3388.1727426199996</v>
      </c>
      <c r="LR99" s="85">
        <f t="shared" si="248"/>
        <v>7.7556872599999993</v>
      </c>
      <c r="LS99" s="85">
        <f t="shared" si="249"/>
        <v>30.317151650000003</v>
      </c>
      <c r="LT99" s="85">
        <f t="shared" si="250"/>
        <v>1.25129154</v>
      </c>
      <c r="LU99" s="85">
        <f t="shared" si="251"/>
        <v>828.84254484999997</v>
      </c>
      <c r="LV99" s="85">
        <f t="shared" si="252"/>
        <v>0.42388491999999994</v>
      </c>
      <c r="LW99" s="85">
        <f t="shared" si="253"/>
        <v>0.34636184000000003</v>
      </c>
      <c r="LX99" s="85">
        <f t="shared" si="254"/>
        <v>0</v>
      </c>
      <c r="LZ99" s="131">
        <v>355.05</v>
      </c>
      <c r="MA99" s="171">
        <v>358.85</v>
      </c>
      <c r="MB99"/>
      <c r="MC99"/>
      <c r="MD99"/>
      <c r="MF99"/>
      <c r="MG99"/>
      <c r="MH99" s="83">
        <v>698.16</v>
      </c>
      <c r="MI99" s="83">
        <v>196.65</v>
      </c>
      <c r="MJ99" s="83">
        <v>313.8</v>
      </c>
      <c r="MK99"/>
      <c r="ML99" s="83">
        <v>203.67</v>
      </c>
      <c r="MM99" s="83">
        <v>710.44</v>
      </c>
      <c r="MN99" s="83"/>
      <c r="MO99" s="83">
        <v>235.1</v>
      </c>
      <c r="MP99" s="83">
        <v>570.53</v>
      </c>
      <c r="MQ99" s="83">
        <v>607.28</v>
      </c>
      <c r="MR99"/>
      <c r="MT99" s="83"/>
      <c r="MU99" s="83">
        <v>342.64</v>
      </c>
      <c r="MV99"/>
      <c r="MW99"/>
      <c r="MX99"/>
      <c r="MY99" s="83">
        <v>630.17999999999995</v>
      </c>
      <c r="MZ99" s="83">
        <v>1404</v>
      </c>
      <c r="NA99" s="83">
        <v>678.86</v>
      </c>
      <c r="NB99" s="83">
        <v>1907.21</v>
      </c>
      <c r="NC99" s="83">
        <v>309.63</v>
      </c>
      <c r="ND99" s="1">
        <v>2100</v>
      </c>
      <c r="NE99" s="1">
        <v>1372.65</v>
      </c>
    </row>
    <row r="100" spans="1:369" ht="13.2" customHeight="1" thickBot="1">
      <c r="A100" s="38">
        <f t="shared" si="334"/>
        <v>45108</v>
      </c>
      <c r="B100" s="36">
        <f t="shared" si="401"/>
        <v>7</v>
      </c>
      <c r="C100" s="36">
        <f t="shared" si="402"/>
        <v>2023</v>
      </c>
      <c r="D100" s="36">
        <f t="shared" si="347"/>
        <v>100</v>
      </c>
      <c r="E100" s="38">
        <f t="shared" si="335"/>
        <v>45108</v>
      </c>
      <c r="F100" s="7">
        <v>278.14</v>
      </c>
      <c r="G100" s="7">
        <v>1818.1</v>
      </c>
      <c r="H100" s="1">
        <f>[2]NACIONALES!$D88</f>
        <v>141604.55999999997</v>
      </c>
      <c r="I100" s="7">
        <v>98</v>
      </c>
      <c r="J100" s="7">
        <v>570</v>
      </c>
      <c r="K100" s="7">
        <v>5.8</v>
      </c>
      <c r="L100" s="7">
        <v>29</v>
      </c>
      <c r="M100" s="183"/>
      <c r="N100" s="5">
        <v>1.87</v>
      </c>
      <c r="O100" s="5">
        <v>1.42</v>
      </c>
      <c r="P100" s="78">
        <f t="shared" si="398"/>
        <v>434.66328499999992</v>
      </c>
      <c r="Q100" s="6">
        <v>11500</v>
      </c>
      <c r="R100" s="79">
        <f t="shared" si="336"/>
        <v>115000</v>
      </c>
      <c r="S100" s="6">
        <v>182.5</v>
      </c>
      <c r="T100" s="6">
        <f>87105/F100</f>
        <v>313.16962680664415</v>
      </c>
      <c r="U100" s="6">
        <v>186.86</v>
      </c>
      <c r="V100" s="6">
        <v>332.94761904761907</v>
      </c>
      <c r="W100" s="6">
        <v>272</v>
      </c>
      <c r="X100" s="6">
        <v>232.92857142857142</v>
      </c>
      <c r="Y100" s="79">
        <f t="shared" si="337"/>
        <v>50760.549999999996</v>
      </c>
      <c r="Z100" s="79">
        <f t="shared" si="338"/>
        <v>87105</v>
      </c>
      <c r="AA100" s="79">
        <f t="shared" si="339"/>
        <v>51973.240400000002</v>
      </c>
      <c r="AB100" s="79">
        <f t="shared" si="340"/>
        <v>92606.050761904757</v>
      </c>
      <c r="AC100" s="79">
        <f t="shared" si="341"/>
        <v>75654.080000000002</v>
      </c>
      <c r="AD100" s="79">
        <f t="shared" si="342"/>
        <v>64786.752857142848</v>
      </c>
      <c r="AE100" s="79">
        <f t="shared" si="343"/>
        <v>70480.945669841269</v>
      </c>
      <c r="AF100" s="1">
        <v>250426</v>
      </c>
      <c r="AG100" s="1">
        <v>120000</v>
      </c>
      <c r="AH100" s="1">
        <v>456000</v>
      </c>
      <c r="AI100" s="5">
        <v>188.45089999999999</v>
      </c>
      <c r="AJ100" s="5">
        <v>145.46109999999999</v>
      </c>
      <c r="AK100" s="5">
        <v>121.57340000000001</v>
      </c>
      <c r="AL100" s="5">
        <v>127.4179</v>
      </c>
      <c r="AM100" s="78">
        <f t="shared" si="344"/>
        <v>154.69523800000002</v>
      </c>
      <c r="AN100" s="7">
        <v>8852.023121387283</v>
      </c>
      <c r="AO100" s="7">
        <v>4110.25238095238</v>
      </c>
      <c r="AP100" s="78">
        <f t="shared" si="385"/>
        <v>4110.25238095238</v>
      </c>
      <c r="AQ100" s="7">
        <v>1620.4545454545455</v>
      </c>
      <c r="AR100" s="7">
        <v>4240.4380952380952</v>
      </c>
      <c r="AS100" s="97">
        <v>3618.9</v>
      </c>
      <c r="AT100" s="7">
        <v>4023.8095238095239</v>
      </c>
      <c r="AU100" s="78">
        <f t="shared" si="348"/>
        <v>3961.049206349207</v>
      </c>
      <c r="AV100" s="7">
        <v>4818.125</v>
      </c>
      <c r="AW100" s="7">
        <v>4733.333333333333</v>
      </c>
      <c r="AX100" s="7">
        <v>2033.9571428571428</v>
      </c>
      <c r="AY100" s="7">
        <v>3190.4245283018868</v>
      </c>
      <c r="AZ100" s="7">
        <v>1420</v>
      </c>
      <c r="BA100" s="7">
        <v>1288.0952380952381</v>
      </c>
      <c r="BB100" s="94">
        <f t="shared" si="345"/>
        <v>2111.1865753219527</v>
      </c>
      <c r="BC100" s="68">
        <v>9879</v>
      </c>
      <c r="BD100" s="68">
        <v>7197</v>
      </c>
      <c r="BE100" s="95">
        <f t="shared" si="411"/>
        <v>6750.7644197359277</v>
      </c>
      <c r="BF100" s="95">
        <f t="shared" si="411"/>
        <v>4641.6386654885746</v>
      </c>
      <c r="BG100" s="94">
        <f t="shared" si="349"/>
        <v>7117.1007713061254</v>
      </c>
      <c r="BH100" s="7">
        <v>633.33000000000004</v>
      </c>
      <c r="BI100" s="7">
        <v>83</v>
      </c>
      <c r="BJ100" s="78">
        <f t="shared" si="350"/>
        <v>716.33</v>
      </c>
      <c r="BK100" s="7">
        <v>506.85</v>
      </c>
      <c r="BL100" s="7">
        <v>546.98</v>
      </c>
      <c r="BM100" s="94">
        <f t="shared" si="351"/>
        <v>526.91499999999996</v>
      </c>
      <c r="BN100" s="5">
        <v>106.74</v>
      </c>
      <c r="BO100" s="161">
        <v>437.4</v>
      </c>
      <c r="BP100" s="84">
        <v>468.1</v>
      </c>
      <c r="BQ100" s="94">
        <f t="shared" si="346"/>
        <v>440.46999999999997</v>
      </c>
      <c r="BR100" s="7">
        <f>+(360.1+359.6+355.15+352.48)/4</f>
        <v>356.83249999999998</v>
      </c>
      <c r="BS100" s="7">
        <v>1200</v>
      </c>
      <c r="BT100" s="7">
        <f>0.99*F100</f>
        <v>275.35859999999997</v>
      </c>
      <c r="BU100" s="79">
        <f t="shared" si="237"/>
        <v>15226.075800000001</v>
      </c>
      <c r="BV100" s="7">
        <v>427.6</v>
      </c>
      <c r="BW100" s="7">
        <v>1300</v>
      </c>
      <c r="BY100" s="92">
        <f>BY$10*(1+((H100/H$10-1)*costos!$B$5+((I100*F100)/(I$10*F$10)-1)*costos!$E$5+((J100*F100)/((J$10*F$10)-1)*costos!$F$5/3+((K100*F100)/(K$10*F$10)-1)*costos!$F$5/3+((U100*F100)/(U$10*F$10)-1)*costos!$F$5/3+((L100*F100)/(L$10*F$10)-1)*costos!$G$5+((N100*F100)/(N$10*F$10)-1)*costos!$J$5+((V100*F100)/(V$10*F$10)-1)*costos!$K$5)))</f>
        <v>2656.9869867902939</v>
      </c>
      <c r="BZ100" s="92">
        <f>$BZ$10*(1+((H100/$H$10-1)*costos!$B$6+((I100*F100)/($I$10*$F$10)-1)*costos!$E$6+((J100*F100)/(($J$10*$F$10)-1)*costos!$F$6/3+((K100*F100)/($K$10*$F$10)-1)*costos!$F$6/3+((U100*F100)/($U$10*$F$10)-1)*costos!$F$6/3+((L100*F100)/($L$10*$F$10)-1)*costos!$G$6+((Q100*F100)/($Q$10*$F$10)-1)*costos!$J$6+((V100*F100)/($V$10*$F$10)-1)*costos!$K$6)))</f>
        <v>2349.1095057840816</v>
      </c>
      <c r="CA100" s="92">
        <f>CA$10*(1+((H100/H$10-1)*costos!$B$7+((I100*F100)/(I$10*F$10)-1)*costos!$E$7+((J100*F100)/((J$10*F$10)-1)*costos!$F$7/3+((K100*F100)/(K$10*F$10)-1)*costos!$F$7/3+((U100*F100)/(U$10*F$10)-1)*costos!$F$7/3+((L100*F100)/(L$10*F$10)-1)*costos!$G$7+((S100*F100)/(S$10*F$10)-1)*costos!$J$7+((V100*F100)/(V$10*F$10)-1)*costos!$K$7)))</f>
        <v>2537.627391473512</v>
      </c>
      <c r="CB100" s="92">
        <f>CB$10*(1+((H100/H$10-1)*costos!$B$8+((I100*F100)/(I$10*F$10)-1)*costos!$E$8+((J100*F100)/((J$10*F$10)-1)*costos!$F$8/3+((K100*F100)/(K$10*F$10)-1)*costos!$F$8/3+((U100*F100)/(U$10*F$10)-1)*costos!$F$8/3+((L100*F100)/(L$10*F$10)-1)*costos!$G$8+((T100*F100)/(T$10*F$10)-1)*costos!$J$8+((V100*F100)/(V$10*F$10)-1)*costos!$K$8)))</f>
        <v>2461.1584352681002</v>
      </c>
      <c r="CC100" s="92">
        <f>CC$10*(1+((H100/H$10-1)*costos!$B$9+((I100*F100)/(I$10*F$10)-1)*costos!$E$9+((J100*F100)/((J$10*F$10)-1)*costos!$F$9/3+((K100*F100)/(K$10*F$10)-1)*costos!$F$9/3+((U100*F100)/(U$10*F$10)-1)*costos!$F$9/3+((L100*F100)/(L$10*F$10)-1)*costos!$G$9+((U100*F100)/(U$10*F$10)-1)*costos!$J$9+((V100*F100)/(V$10*F$10)-1)*costos!$K$9)))</f>
        <v>2481.1329808052319</v>
      </c>
      <c r="CD100" s="92">
        <f>CD$10*(1+((H100/H$10-1)*costos!$B$11+((I100*F100)/(I$10*F$10)-1)*costos!$E$11+((J100*F100)/((J$10*F$10)-1)*costos!$F$11/3+((K100*F100)/(K$10*F$10)-1)*costos!$F$11/3+((U100*F100)/(U$10*F$10)-1)*costos!$F$11/3+((L100*F100)/(L$10*F$10)-1)*costos!$G$11+((V100*F100)/(V$10*F$10)-1)*costos!$J$11+((V100*F100)/(V$10*F$10)-1)*costos!$K$11)))</f>
        <v>2678.5973908794826</v>
      </c>
      <c r="CE100" s="92">
        <f>CE$10*(1+((H100/H$10-1)*costos!$B$12+((I100*F100)/(I$10*F$10)-1)*costos!$E$12+((J100*F100)/((J$10*F$10)-1)*costos!$F$12/3+((K100*F100)/(K$10*F$10)-1)*costos!$F$12/3+((U100*F100)/(U$10*F$10)-1)*costos!$F$12/3+((L100*F100)/(L$10*F$10)-1)*costos!$G$12+((W100*F100)/(W$10*F$10)-1)*costos!$J$12+((V100*F100)/(V$10*F$10)-1)*costos!$K$12)))</f>
        <v>2815.635395435897</v>
      </c>
      <c r="CF100" s="92">
        <f>CF$10*(1+((H100/H$10-1)*costos!$B$13+((I100*F100)/(I$10*F$10)-1)*costos!$E$13+((J100*F100)/((J$10*F$10)-1)*costos!$F$13/3+((K100*F100)/(K$10*F$10)-1)*costos!$F$13/3+((U100*F100)/(U$10*F$10)-1)*costos!$F$13/3+((L100*F100)/(L$10*F$10)-1)*costos!$G$13+((X100*F100)/(X$10*F$10)-1)*costos!$J$13+((V100*F100)/(V$10*F$10)-1)*costos!$K$13)))</f>
        <v>2688.623127503015</v>
      </c>
      <c r="CG100" s="92">
        <f t="shared" si="388"/>
        <v>2610.4624535608732</v>
      </c>
      <c r="CH100" s="92">
        <f>CH$10*(1+((H100/H$10-1)*costos!$B$10+((I100*F100)/(I$10*F$10)-1)*costos!$E$10+((J100*F100)/((J$10*F$10)-1)*costos!$F$10/3+((K100*F100)/(K$10*F$10)-1)*costos!$F$10/3+((U100*F100)/(U$10*F$10)-1)*costos!$F$10/3+((L100*F100)/(L$10*F$10)-1)*costos!$G$10+((AF100)/(AF$10)-1)*costos!$J$10+((V100*F100)/(V$10*F$10)-1)*costos!$K$10)))</f>
        <v>3034.3576225291072</v>
      </c>
      <c r="CI100" s="92">
        <f>CI$10*(1+((H100/H$10-1)*costos!$B$15+((I100*F100)/(I$10*F$10)-1)*costos!$E$15+((J100*F100)/((J$10*F$10)-1)*costos!$F$15/3+((K100*F100)/(K$10*F$10)-1)*costos!$F$15/3+((U100*F100)/(U$10*F$10)-1)*costos!$F$15/3+((L100*F100)/(L$10*F$10)-1)*costos!$G$15+((AV100)/(AV$10)-1)*costos!$J$15+((V100*F100)/(V$10*F$10)-1)*costos!$K$15)))</f>
        <v>2995.6895548041703</v>
      </c>
      <c r="CJ100" s="92">
        <f>CJ$10*(1+((H100/H$10-1)*costos!$B$16+((I100*F100)/(I$10*F$10)-1)*costos!$E$16+((J100*F100)/((J$10*F$10)-1)*costos!$F$16/3+((K100*F100)/(K$10*F$10)-1)*costos!$F$16/3+((U100*F100)/(U$10*F$10)-1)*costos!$F$16/3+((L100*F100)/(L$10*F$10)-1)*costos!$G$16+((AW100)/(AW$10)-1)*costos!$J$16+((V100*F100)/(V$10*F$10)-1)*costos!$K$16)))</f>
        <v>2109.5277408935981</v>
      </c>
      <c r="CK100" s="92">
        <f>CK$10*(1+((H100/H$10-1)*costos!$B$17+((I100*F100)/(I$10*F$10)-1)*costos!$E$17+((J100*F100)/((J$10*F$10)-1)*costos!$F$17/3+((K100*F100)/(K$10*F$10)-1)*costos!$F$17/3+((U100*F100)/(U$10*F$10)-1)*costos!$F$17/3+((L100*F100)/(L$10*F$10)-1)*costos!$G$17+((AX100)/(AX$10)-1)*costos!$J$17+((V100*F100)/(V$10*F$10)-1)*costos!$K$17)))</f>
        <v>2344.0144581971913</v>
      </c>
      <c r="CL100" s="92">
        <f>CL$10*(1+((H100/H$10-1)*costos!$B$18+((I100*F100)/(I$10*F$10)-1)*costos!$E$18+((J100*F100)/((J$10*F$10)-1)*costos!$F$18/3+((K100*F100)/(K$10*F$10)-1)*costos!$F$18/3+((U100*F100)/(U$10*F$10)-1)*costos!$F$18/3+((L100*F100)/(L$10*F$10)-1)*costos!$G$18+((AY100)/(AY$10)-1)*costos!$J$18+((V100*F100)/(V$10*F$10)-1)*costos!$K$18)))</f>
        <v>2560.1033607784211</v>
      </c>
      <c r="CM100" s="92">
        <f>CM$10*(1+((H100/H$10-1)*costos!$B$19+((I100*F100)/(I$10*F$10)-1)*costos!$E$19+((J100*F100)/((J$10*F$10)-1)*costos!$F$19/3+((K100*F100)/(K$10*F$10)-1)*costos!$F$19/3+((U100*F100)/(U$10*F$10)-1)*costos!$F$19/3+((L100*F100)/(L$10*F$10)-1)*costos!$G$19+((AZ100)/(AZ$10)-1)*costos!$J$19+((V100*F100)/(V$10*F$10)-1)*costos!$K$19)))</f>
        <v>1864.0589986312179</v>
      </c>
      <c r="CN100" s="92">
        <f>CN$10*(1+((H100/H$10-1)*costos!$B$20+((I100*F100)/(I$10*F$10)-1)*costos!$E$20+((J100*F100)/((J$10*F$10)-1)*costos!$F$20/3+((K100*F100)/(K$10*F$10)-1)*costos!$F$20/3+((U100*F100)/(U$10*F$10)-1)*costos!$F$20/3+((L100*F100)/(L$10*F$10)-1)*costos!$G$20+((BA100)/(BA$10)-1)*costos!$J$20+((V100*F100)/(V$10*F$10)-1)*costos!$K$20)))</f>
        <v>1976.1415926625034</v>
      </c>
      <c r="CO100" s="92">
        <f t="shared" si="399"/>
        <v>2186.0796025673335</v>
      </c>
      <c r="CP100" s="92">
        <f>CP$10*(1+((H100/H$10-1)*costos!$B$22+((I100*F100)/(I$10*F$10)-1)*costos!$E$22+((J100*F100)/((J$10*F$10)-1)*costos!$F$22/3+((K100*F100)/(K$10*F$10)-1)*costos!$F$22/3+((U100*F100)/(U$10*F$10)-1)*costos!$F$22/3+((L100*F100)/(L$10*F$10)-1)*costos!$G$22+(((AVERAGE(AI100:AL100))/((AVERAGE(AI$10:AL$10))-1)*costos!$J$22+((V100*F100)/(V$10*F$10)-1)*costos!$K$22)))))</f>
        <v>2851.7238697587431</v>
      </c>
      <c r="CQ100" s="92">
        <f>CQ$10*(1+((H100/H$10-1)*costos!$B$23+((I100*F100)/(I$10*F$10)-1)*costos!$E$23+((J100*F100)/((J$10*F$10)-1)*costos!$F$23/3+((K100*F100)/(K$10*F$10)-1)*costos!$F$23/3+((U100*F100)/(U$10*F$10)-1)*costos!$F$23/3+((L100*F100)/(L$10*F$10)-1)*costos!$G$23+((AN100)/(AN$10)-1)*costos!$J$23+((V100*F100)/(V$10*F$10)-1)*costos!$K$23)))</f>
        <v>2235.5035155423666</v>
      </c>
      <c r="CR100" s="92">
        <f>CR$10*(1+((H100/H$10-1)*costos!$B$24+((I100*F100)/(I$10*F$10)-1)*costos!$E$24+((J100*F100)/((J$10*F$10)-1)*costos!$F$24/3+((K100*F100)/(K$10*F$10)-1)*costos!$F$24/3+((U100*F100)/(U$10*F$10)-1)*costos!$F$24/3+((L100*F100)/(L$10*F$10)-1)*costos!$G$24+((AO100)/(AO$10)-1)*costos!$J$24+((V100*F100)/(V$10*F$10)-1)*costos!$K$24)))</f>
        <v>2134.5153052319224</v>
      </c>
      <c r="CS100" s="92">
        <f t="shared" si="352"/>
        <v>2185.0094103871443</v>
      </c>
      <c r="CT100" s="92">
        <f>CT$10*(1+((H100/H$10-1)*costos!$B$25+((I100*F100)/(I$10*F$10)-1)*costos!$E$25+((J100*F100)/((J$10*F$10)-1)*costos!$F$25/3+((K100*F100)/(K$10*F$10)-1)*costos!$F$25/3+((U100*F100)/(U$10*F$10)-1)*costos!$F$25/3+((L100*F100)/(L$10*F$10)-1)*costos!$G$25+((AQ100)/(AQ$10)-1)*costos!$J$25+((V100*F100)/(V$10*F$10)-1)*costos!$K$25)))</f>
        <v>1959.2655121858406</v>
      </c>
      <c r="CU100" s="92">
        <f>CU$10*(1+((H100/H$10-1)*costos!$B$26+((I100*F100)/(I$10*F$10)-1)*costos!$E$26+((J100*F100)/((J$10*F$10)-1)*costos!$F$26/3+((K100*F100)/(K$10*F$10)-1)*costos!$F$26/3+((U100*F100)/(U$10*F$10)-1)*costos!$F$26/3+((L100*F100)/(L$10*F$10)-1)*costos!$G$26+((AR100)/(AR$10)-1)*costos!$J$26+((V100*F100)/(V$10*F$10)-1)*costos!$K$26)))</f>
        <v>2254.3857983690718</v>
      </c>
      <c r="CV100" s="92">
        <f>CV$10*(1+((H100/H$10-1)*costos!$B$27+((I100*F100)/(I$10*F$10)-1)*costos!$E$27+((J100*F100)/((J$10*F$10)-1)*costos!$F$27/3+((K100*F100)/(K$10*F$10)-1)*costos!$F$27/3+((U100*F100)/(U$10*F$10)-1)*costos!$F$27/3+((L100*F100)/(L$10*F$10)-1)*costos!$G$27+((AS100)/(AS$10)-1)*costos!$J$27+((V100*F100)/(V$10*F$10)-1)*costos!$K$27)))</f>
        <v>2207.7638775531486</v>
      </c>
      <c r="CW100" s="92">
        <f>CW$10*(1+((H100/H$10-1)*costos!$B$28+((I100*F100)/(I$10*F$10)-1)*costos!$E$28+((J100*F100)/((J$10*F$10)-1)*costos!$F$28/3+((K100*F100)/(K$10*F$10)-1)*costos!$F$28/3+((U100*F100)/(U$10*F$10)-1)*costos!$F$28/3+((L100*F100)/(L$10*F$10)-1)*costos!$G$28+((AS100)/(AS$10)-1)*costos!$J$28+((V100*F100)/(V$10*F$10)-1)*costos!$K$28)))</f>
        <v>2207.7638775531486</v>
      </c>
      <c r="CX100" s="92">
        <f t="shared" si="400"/>
        <v>2223.3045178251232</v>
      </c>
      <c r="CY100" s="92">
        <f>CY$10*(1+((H100/H$10-1)*costos!$B$32+((I100*F100)/(I$10*F$10)-1)*costos!$E$32+((J100*F100)/((J$10*F$10)-1)*costos!$F$32/3+((K100*F100)/(K$10*F$10)-1)*costos!$F$32/3+((U100*F100)/(U$10*F$10)-1)*costos!$F$32/3+((L100*F100)/(L$10*F$10)-1)*costos!$G$32+((AG100)/(AG$10)-1)*costos!$J$32+((V100*F100)/(V$10*F$10)-1)*costos!$K$32)))</f>
        <v>2037.0203879771072</v>
      </c>
      <c r="CZ100" s="69">
        <f>CZ$10*(1+((H100/H$10-1)*costos!$B$31+((I100*F100)/(I$10*F$10)-1)*costos!$E$30+((J100*F100)/((J$10*F$10)-1)*costos!$F$30/3+((K100*F100)/(K$10*F$10)-1)*costos!$F$30/3+((U100*F100)/(U$10*F$10)-1)*costos!$F$30/3+((L100*F100)/(L$10*F$10)-1)*costos!$G$30+((BG100)/(BG$10)-1)*costos!$J$30+((V100*F100)/(V$10*F$10)-1)*costos!$K$30)))</f>
        <v>2546.0160359479546</v>
      </c>
      <c r="DA100" s="69">
        <f>DA$10*(1+((H100/H$10-1)*costos!$B$31+((I100*F100)/(I$10*F$10)-1)*costos!$E$31+((J100*F100)/((J$10*F$10)-1)*costos!$F$31/3+((K100*F100)/(K$10*F$10)-1)*costos!$F$31/3+((U100*F100)/(U$10*F$10)-1)*costos!$F$31/3+((L100*F100)/(L$10*F$10)-1)*costos!$G$31+((BJ100)/(BJ$10)-1)*costos!$J$31+((V100*F100)/(V$10*F$10)-1)*costos!$K$31)))</f>
        <v>2050.9726890775573</v>
      </c>
      <c r="DB100" s="69">
        <f>DB$10*(1+((H100/H$10-1)*costos!$B$36+((I100*F100)/(I$10*F$10)-1)*costos!$E$36+((J100*F100)/((J$10*F$10)-1)*costos!$F$36/3+((K100*F100)/(K$10*F$10)-1)*costos!$F$36/3+((U100*F100)/(U$10*F$10)-1)*costos!$F$36/3+((L100*F100)/(L$10*F$10)-1)*costos!$G$36+((BK100)/(BK$10)-1)*costos!$J$36+((V100*F100)/(V$10*F$10)-1)*costos!$K$36)))</f>
        <v>2227.1451820371317</v>
      </c>
      <c r="DC100" s="69">
        <f>DC$10*(1+((H100/H$10-1)*costos!$B$37+((I100*F100)/(I$10*F$10)-1)*costos!$E$37+((U100*F100)/(U$10*F$10)-1)*costos!$F$37+((L100*F100)/(L$10*F$10)-1)*costos!$G$37+((BN100)/(BN$10)-1)*costos!$J$37+((V100*F100)/(V$10*F$10)-1)*costos!$K$37))</f>
        <v>2452.4482806673673</v>
      </c>
      <c r="DD100" s="69">
        <f>DD$10*(1+((H100/H$10-1)*costos!$B$39+((I100*F100)/(I$10*F$10)-1)*costos!$E$39+((U100*F100)/(U$10*F$10)-1)*costos!$F$39+((L100*F100)/(L$10*F$10)-1)*costos!$G$39+((BR100)/(BR$10)-1)*costos!$J$39+((V100*F100)/(V$10*F$10)-1)*costos!$K$39))</f>
        <v>2377.0104711776339</v>
      </c>
      <c r="DE100" s="69">
        <f>DD$10*(1+((H100/H$10-1)*costos!$B$35+((I100*F100)/(I$10*F$10)-1)*costos!$E$35+((U100*F100)/(U$10*F$10)-1)*costos!$F$35+((L100*F100)/(L$10*F$10)-1)*costos!$G$35+((BR100)/(BR$10)-1)*costos!$J$35+((V100*F100)/(V$10*F$10)-1)*costos!$K$35))</f>
        <v>2109.0080775660531</v>
      </c>
      <c r="DF100" s="69">
        <f>DF$10*(1+((H100/H$10-1)*costos!$B$40+((I100*F100)/(I$10*F$10)-1)*costos!$E$40+((U100*F100)/(U$10*F$10)-1)*costos!$F$40+((L100*F100)/(L$10*F$10)-1)*costos!$G$40+((BP100)/(BP$10)-1)*costos!$J$40+((V100*F100)/(V$10*F$10)-1)*costos!$K$40))</f>
        <v>2532.0527784828228</v>
      </c>
      <c r="DG100" s="92">
        <f t="shared" si="391"/>
        <v>2320.5304280244382</v>
      </c>
      <c r="DH100" s="69">
        <f>DH$10*(1+((H100/H$10-1)*costos!$B$34+((I100*F100)/(I$10*F$10)-1)*costos!$E$34+((J100*F100)/((J$10*F$10)-1)*costos!$F$34/3+((K100*F100)/(K$10*F$10)-1)*costos!$F$34/3+((U100*F100)/(U$10*F$10)-1)*costos!$F$34/3+((L100*F100)/(L$10*F$10)-1)*costos!$G$34+((BV100)/(BV$10)-1)*costos!$J$34+((V100*F100)/(V$10*F$10)-1)*costos!$K$34)))</f>
        <v>2102.6016514802782</v>
      </c>
      <c r="DI100" s="69">
        <f>DI$10*(1+((H100/H$10-1)*costos!$B$38+((I100*F100)/(I$10*F$10)-1)*costos!$E$38+((J100*F100)/((J$10*F$10)-1)*costos!$F$38/3+((K100*F100)/(K$10*F$10)-1)*costos!$F$38/3+((U100*F100)/(U$10*F$10)-1)*costos!$F$38/3+((L100*F100)/(L$10*F$10)-1)*costos!$G$38+((BU100)/(BU$10)-1)*costos!$J$38+((V100*F100)/(V$10*F$10)-1)*costos!$K$38)))</f>
        <v>1994.8228972586562</v>
      </c>
      <c r="DK100" s="1">
        <v>580000</v>
      </c>
      <c r="DL100" s="1" t="s">
        <v>399</v>
      </c>
      <c r="DM100" s="1">
        <v>190000</v>
      </c>
      <c r="DN100" s="1" t="s">
        <v>399</v>
      </c>
      <c r="DO100" s="1">
        <v>1600000</v>
      </c>
      <c r="DP100" s="1" t="s">
        <v>410</v>
      </c>
      <c r="DQ100" s="1">
        <v>2450000</v>
      </c>
      <c r="DR100" s="1" t="s">
        <v>410</v>
      </c>
      <c r="DS100" s="1">
        <v>7100000</v>
      </c>
      <c r="DT100" s="1" t="s">
        <v>399</v>
      </c>
      <c r="DU100" s="1">
        <v>16000000</v>
      </c>
      <c r="DV100" s="1" t="s">
        <v>399</v>
      </c>
      <c r="DW100" s="1">
        <v>740000</v>
      </c>
      <c r="DX100" s="1" t="s">
        <v>410</v>
      </c>
      <c r="DY100" s="1">
        <v>5916000</v>
      </c>
      <c r="DZ100" s="1" t="s">
        <v>410</v>
      </c>
      <c r="EA100" s="79">
        <f t="shared" si="353"/>
        <v>33806000</v>
      </c>
      <c r="EB100" s="1">
        <v>373795</v>
      </c>
      <c r="EC100" s="1" t="s">
        <v>399</v>
      </c>
      <c r="ED100" s="1">
        <v>222162</v>
      </c>
      <c r="EE100" s="143">
        <v>2023</v>
      </c>
      <c r="EF100" s="1">
        <v>204847</v>
      </c>
      <c r="EG100" s="6">
        <v>2023</v>
      </c>
      <c r="EH100" s="1">
        <v>54242595</v>
      </c>
      <c r="EI100" s="6">
        <v>2023</v>
      </c>
      <c r="EJ100" s="1">
        <v>5887401</v>
      </c>
      <c r="EK100" s="6">
        <v>2023</v>
      </c>
      <c r="EL100" s="1">
        <v>12461845</v>
      </c>
      <c r="EM100" s="6">
        <v>2022</v>
      </c>
      <c r="EN100" s="1">
        <v>3169981</v>
      </c>
      <c r="EO100" s="6">
        <v>2021</v>
      </c>
      <c r="EP100" s="83">
        <v>9374</v>
      </c>
      <c r="EQ100" s="83">
        <v>3500000</v>
      </c>
      <c r="ER100" s="1">
        <f t="shared" si="403"/>
        <v>79916</v>
      </c>
      <c r="ES100" s="1"/>
      <c r="ET100" s="83">
        <f t="shared" si="393"/>
        <v>20677</v>
      </c>
      <c r="EU100" s="83">
        <f t="shared" si="393"/>
        <v>19532</v>
      </c>
      <c r="EV100" s="83">
        <f t="shared" si="393"/>
        <v>9103</v>
      </c>
      <c r="EW100" s="83">
        <f t="shared" si="393"/>
        <v>17281</v>
      </c>
      <c r="EX100" s="79">
        <f t="shared" si="354"/>
        <v>66593</v>
      </c>
      <c r="EY100" s="83">
        <f t="shared" si="394"/>
        <v>20193</v>
      </c>
      <c r="EZ100" s="83">
        <f t="shared" si="394"/>
        <v>32682</v>
      </c>
      <c r="FA100" s="83">
        <f t="shared" si="405"/>
        <v>19526</v>
      </c>
      <c r="FB100" s="83">
        <f t="shared" si="406"/>
        <v>19463</v>
      </c>
      <c r="FC100" s="79">
        <f t="shared" si="410"/>
        <v>38989</v>
      </c>
      <c r="FD100" s="83">
        <f t="shared" si="395"/>
        <v>54743</v>
      </c>
      <c r="FE100" s="1"/>
      <c r="FF100" s="1">
        <v>900000</v>
      </c>
      <c r="FG100" s="1" t="s">
        <v>399</v>
      </c>
      <c r="FH100" s="1">
        <v>1100000</v>
      </c>
      <c r="FI100" s="1" t="s">
        <v>399</v>
      </c>
      <c r="FJ100" s="1">
        <v>4600000</v>
      </c>
      <c r="FK100" s="1" t="s">
        <v>399</v>
      </c>
      <c r="FL100" s="1">
        <v>4900000</v>
      </c>
      <c r="FM100" s="1" t="s">
        <v>399</v>
      </c>
      <c r="FN100" s="1">
        <v>34000000</v>
      </c>
      <c r="FO100" s="1" t="s">
        <v>399</v>
      </c>
      <c r="FP100" s="1">
        <v>25000000</v>
      </c>
      <c r="FQ100" s="1" t="s">
        <v>399</v>
      </c>
      <c r="FR100" s="1">
        <v>1600000</v>
      </c>
      <c r="FS100" s="1" t="s">
        <v>399</v>
      </c>
      <c r="FT100" s="1">
        <v>12555000</v>
      </c>
      <c r="FU100" s="1" t="s">
        <v>399</v>
      </c>
      <c r="FV100" s="79">
        <f t="shared" si="355"/>
        <v>82655000</v>
      </c>
      <c r="FW100" s="1">
        <v>940426</v>
      </c>
      <c r="FX100" s="1" t="s">
        <v>399</v>
      </c>
      <c r="FY100" s="83">
        <v>135409</v>
      </c>
      <c r="FZ100" s="79">
        <f t="shared" si="377"/>
        <v>801859.26900000009</v>
      </c>
      <c r="GA100" s="86" t="str">
        <f t="shared" si="378"/>
        <v>ago22 jul23</v>
      </c>
      <c r="GB100" s="1">
        <v>14553117</v>
      </c>
      <c r="GC100" s="6">
        <v>2023</v>
      </c>
      <c r="GD100" s="83">
        <v>2315000</v>
      </c>
      <c r="GE100" s="83">
        <v>377000</v>
      </c>
      <c r="GF100" s="83">
        <v>1061000</v>
      </c>
      <c r="GG100" s="83">
        <v>127000</v>
      </c>
      <c r="GH100" s="79">
        <f t="shared" si="240"/>
        <v>1565000</v>
      </c>
      <c r="GI100" s="82">
        <f t="shared" si="373"/>
        <v>1302556</v>
      </c>
      <c r="GJ100" s="83">
        <f t="shared" si="373"/>
        <v>687701</v>
      </c>
      <c r="GK100" s="83">
        <f t="shared" si="373"/>
        <v>1430078.41</v>
      </c>
      <c r="GL100" s="83">
        <f t="shared" si="373"/>
        <v>302535.34000000003</v>
      </c>
      <c r="GM100" s="83">
        <f t="shared" si="373"/>
        <v>257597.81</v>
      </c>
      <c r="GN100" s="79">
        <f t="shared" si="357"/>
        <v>2677912.56</v>
      </c>
      <c r="GO100" s="83">
        <f t="shared" si="374"/>
        <v>202394.36</v>
      </c>
      <c r="GP100" s="83">
        <f t="shared" si="374"/>
        <v>73395</v>
      </c>
      <c r="GQ100" s="83">
        <v>22839</v>
      </c>
      <c r="GR100" s="1">
        <v>35181</v>
      </c>
      <c r="GS100" s="79">
        <f t="shared" si="412"/>
        <v>35866.17</v>
      </c>
      <c r="GT100" s="83">
        <f t="shared" si="407"/>
        <v>2365997</v>
      </c>
      <c r="GU100" s="1">
        <f>34058-5461</f>
        <v>28597</v>
      </c>
      <c r="GV100" s="1">
        <f>35026-8790</f>
        <v>26236</v>
      </c>
      <c r="GW100" s="79">
        <f t="shared" si="261"/>
        <v>785554</v>
      </c>
      <c r="GX100" s="1">
        <v>33126.813000000002</v>
      </c>
      <c r="GY100" s="1" t="s">
        <v>402</v>
      </c>
      <c r="GZ100" s="1">
        <v>87408</v>
      </c>
      <c r="HA100" s="1">
        <v>290121</v>
      </c>
      <c r="HB100" s="79">
        <f t="shared" si="241"/>
        <v>3306787</v>
      </c>
      <c r="HC100" s="86" t="str">
        <f t="shared" si="379"/>
        <v>ago22 jul23</v>
      </c>
      <c r="HD100" s="1">
        <v>64756</v>
      </c>
      <c r="HE100" s="79">
        <f t="shared" si="380"/>
        <v>729107</v>
      </c>
      <c r="HF100" s="86" t="str">
        <f t="shared" si="381"/>
        <v>ago22 jul23</v>
      </c>
      <c r="HG100" s="1">
        <v>187000</v>
      </c>
      <c r="HH100" s="79">
        <f t="shared" si="242"/>
        <v>2308000</v>
      </c>
      <c r="HI100" s="86" t="str">
        <f t="shared" si="382"/>
        <v>ago22 jul23</v>
      </c>
      <c r="HJ100" s="178">
        <v>99098</v>
      </c>
      <c r="HK100" s="79">
        <f t="shared" si="278"/>
        <v>69424.680000000008</v>
      </c>
      <c r="HL100" s="86" t="str">
        <f t="shared" si="383"/>
        <v>ago22 jul23</v>
      </c>
      <c r="HM100" s="79">
        <f t="shared" si="358"/>
        <v>2377424.6800000002</v>
      </c>
      <c r="HN100" s="87">
        <f t="shared" si="297"/>
        <v>-1.4149989892864312E-3</v>
      </c>
      <c r="HO100" s="1">
        <v>988000000</v>
      </c>
      <c r="HP100" s="79">
        <f t="shared" si="386"/>
        <v>11536.283332000001</v>
      </c>
      <c r="HQ100" s="86" t="str">
        <f t="shared" si="384"/>
        <v>ago22 jul23</v>
      </c>
      <c r="HR100" s="1"/>
      <c r="HS100" s="1"/>
      <c r="HT100" s="1"/>
      <c r="HU100" s="1">
        <v>700000</v>
      </c>
      <c r="HV100" s="1" t="s">
        <v>399</v>
      </c>
      <c r="HW100" s="1">
        <v>1500000</v>
      </c>
      <c r="HX100" s="1" t="s">
        <v>410</v>
      </c>
      <c r="HY100" s="1">
        <v>4300000</v>
      </c>
      <c r="HZ100" s="1" t="s">
        <v>399</v>
      </c>
      <c r="IA100" s="1">
        <f t="shared" si="408"/>
        <v>21000000</v>
      </c>
      <c r="IB100" s="1" t="s">
        <v>399</v>
      </c>
      <c r="IC100" s="1">
        <v>38500000</v>
      </c>
      <c r="ID100" s="1" t="s">
        <v>399</v>
      </c>
      <c r="IE100" s="1">
        <v>750000</v>
      </c>
      <c r="IF100" s="1" t="s">
        <v>399</v>
      </c>
      <c r="IG100" s="1">
        <f t="shared" si="365"/>
        <v>7400000</v>
      </c>
      <c r="IH100" s="1" t="s">
        <v>410</v>
      </c>
      <c r="II100" s="79">
        <f t="shared" si="359"/>
        <v>73450000</v>
      </c>
      <c r="IJ100" s="97">
        <f t="shared" si="409"/>
        <v>1.9885213252125911</v>
      </c>
      <c r="IK100" s="1" t="s">
        <v>399</v>
      </c>
      <c r="IL100" s="186">
        <v>45.9</v>
      </c>
      <c r="IM100" s="7">
        <v>51.72</v>
      </c>
      <c r="IN100" s="7">
        <v>188.6</v>
      </c>
      <c r="IO100" s="7">
        <v>16.670000000000002</v>
      </c>
      <c r="IP100" s="176">
        <f t="shared" si="404"/>
        <v>6.139895208369488</v>
      </c>
      <c r="IQ100" s="176">
        <v>16.7</v>
      </c>
      <c r="IR100" s="98">
        <f t="shared" si="397"/>
        <v>6.92</v>
      </c>
      <c r="IS100" s="98">
        <f t="shared" si="397"/>
        <v>4.57</v>
      </c>
      <c r="IT100" s="98">
        <f t="shared" si="397"/>
        <v>13.61</v>
      </c>
      <c r="IU100" s="98">
        <f t="shared" si="397"/>
        <v>1.56</v>
      </c>
      <c r="IV100" s="94">
        <f t="shared" si="360"/>
        <v>19.739999999999998</v>
      </c>
      <c r="IW100" s="1"/>
      <c r="IX100" s="1"/>
      <c r="IY100" s="105">
        <v>1.88</v>
      </c>
      <c r="IZ100" s="161">
        <v>0.3</v>
      </c>
      <c r="JA100" s="83">
        <v>2813</v>
      </c>
      <c r="JB100" s="7">
        <v>35.950000000000003</v>
      </c>
      <c r="JC100" s="1"/>
      <c r="JD100" s="1"/>
      <c r="JF100" s="2">
        <v>3.12980459</v>
      </c>
      <c r="JG100" s="2">
        <v>26.338491399999999</v>
      </c>
      <c r="JH100" s="2">
        <v>132.62170833999997</v>
      </c>
      <c r="JI100" s="2">
        <v>192.53945115999994</v>
      </c>
      <c r="JJ100" s="2">
        <v>883.00150006000013</v>
      </c>
      <c r="JK100" s="2">
        <v>100.03941109999997</v>
      </c>
      <c r="JL100" s="2">
        <v>1994.72660649</v>
      </c>
      <c r="JM100" s="2">
        <v>23.516337899999996</v>
      </c>
      <c r="JN100" s="2">
        <v>79.031750100000011</v>
      </c>
      <c r="JO100" s="2">
        <v>30.386509889999999</v>
      </c>
      <c r="JP100" s="2">
        <v>0</v>
      </c>
      <c r="JQ100" s="2">
        <v>1.9867826200000001</v>
      </c>
      <c r="JR100" s="2">
        <v>2.9761328199999992</v>
      </c>
      <c r="JS100" s="2">
        <v>0</v>
      </c>
      <c r="JT100" s="2">
        <v>2.5000000000000001E-3</v>
      </c>
      <c r="JU100" s="2">
        <v>79.411450110000018</v>
      </c>
      <c r="JV100" s="2">
        <v>29.149014759999996</v>
      </c>
      <c r="JW100" s="2">
        <v>18.893336139999999</v>
      </c>
      <c r="JX100" s="2">
        <v>45.13221532</v>
      </c>
      <c r="JY100" s="2">
        <v>0</v>
      </c>
      <c r="JZ100" s="2">
        <v>7.5775361799999992</v>
      </c>
      <c r="KA100" s="2">
        <v>0</v>
      </c>
      <c r="KB100" s="2">
        <v>25.088845019999997</v>
      </c>
      <c r="KC100" s="2">
        <v>55.773078730000002</v>
      </c>
      <c r="KD100" s="2">
        <v>8.6995030900000003</v>
      </c>
      <c r="KE100" s="2">
        <v>17.230385739999999</v>
      </c>
      <c r="KF100" s="2">
        <v>25.827296739999998</v>
      </c>
      <c r="KG100" s="2">
        <v>378.12790802000001</v>
      </c>
      <c r="KH100" s="2">
        <v>118.84770241</v>
      </c>
      <c r="KI100" s="2">
        <v>11.898747670000001</v>
      </c>
      <c r="KJ100" s="2">
        <v>2.0502103900000002</v>
      </c>
      <c r="KK100" s="171">
        <v>7.69051375</v>
      </c>
      <c r="KL100" s="171">
        <v>8.7189080000000002E-2</v>
      </c>
      <c r="KM100" s="171">
        <v>0.15519941999999998</v>
      </c>
      <c r="KN100" s="171">
        <v>2.4387953199999997</v>
      </c>
      <c r="KO100" s="171">
        <v>1.59886222</v>
      </c>
      <c r="KP100" s="171">
        <v>0.12031510000000001</v>
      </c>
      <c r="KQ100" s="171">
        <v>534.69433853999999</v>
      </c>
      <c r="KR100" s="171">
        <v>3.2166790000000001E-2</v>
      </c>
      <c r="KS100" s="171">
        <v>0.14674573999999999</v>
      </c>
      <c r="KT100" s="171">
        <v>1.3747401999999997</v>
      </c>
      <c r="KU100" s="171">
        <v>0.91695114999999994</v>
      </c>
      <c r="KV100" s="171">
        <v>0</v>
      </c>
      <c r="KW100" s="171">
        <v>1.6528733800000002</v>
      </c>
      <c r="KX100" s="171">
        <v>0</v>
      </c>
      <c r="KY100" s="171">
        <v>0</v>
      </c>
      <c r="KZ100" s="171">
        <v>1.2166211999999998</v>
      </c>
      <c r="LA100" s="171">
        <v>0.92880831000000008</v>
      </c>
      <c r="LB100" s="171">
        <v>2.9482700000000001E-2</v>
      </c>
      <c r="LC100" s="171">
        <v>3.8225599999999998E-2</v>
      </c>
      <c r="LD100" s="171">
        <v>0</v>
      </c>
      <c r="LE100" s="171">
        <v>7.7426949999999994E-2</v>
      </c>
      <c r="LF100" s="171">
        <v>0.25659999999999999</v>
      </c>
      <c r="LG100" s="171">
        <v>24.97777258</v>
      </c>
      <c r="LH100" s="171">
        <v>8.0901624599999984</v>
      </c>
      <c r="LI100" s="171">
        <v>1.25031731</v>
      </c>
      <c r="LJ100" s="171">
        <v>0</v>
      </c>
      <c r="LK100" s="171">
        <v>4.0034089300000009</v>
      </c>
      <c r="LL100" s="171">
        <v>3.8179622399999995</v>
      </c>
      <c r="LM100" s="171">
        <v>2.29115132</v>
      </c>
      <c r="LN100" s="171">
        <v>8.1248630000000002E-2</v>
      </c>
      <c r="LO100" s="171">
        <v>4.1641835499999997</v>
      </c>
      <c r="LQ100" s="85">
        <f t="shared" si="247"/>
        <v>3305.4373540500001</v>
      </c>
      <c r="LR100" s="85">
        <f t="shared" si="248"/>
        <v>4.9654154400000001</v>
      </c>
      <c r="LS100" s="85">
        <f t="shared" si="249"/>
        <v>48.042350899999995</v>
      </c>
      <c r="LT100" s="85">
        <f t="shared" si="250"/>
        <v>7.5775361799999992</v>
      </c>
      <c r="LU100" s="85">
        <f t="shared" si="251"/>
        <v>539.06610803000001</v>
      </c>
      <c r="LV100" s="85">
        <f t="shared" si="252"/>
        <v>1.6528733800000002</v>
      </c>
      <c r="LW100" s="85">
        <f t="shared" si="253"/>
        <v>0.95829101000000005</v>
      </c>
      <c r="LX100" s="85">
        <f t="shared" si="254"/>
        <v>0.33402694999999999</v>
      </c>
      <c r="LZ100" s="131">
        <v>375.43</v>
      </c>
      <c r="MA100" s="171">
        <v>403.18</v>
      </c>
      <c r="MB100"/>
      <c r="MC100"/>
      <c r="MD100"/>
      <c r="MF100"/>
      <c r="MG100"/>
      <c r="MH100" s="83">
        <v>756.05</v>
      </c>
      <c r="MI100" s="83">
        <v>207.44</v>
      </c>
      <c r="MJ100" s="83">
        <v>420.69</v>
      </c>
      <c r="MK100"/>
      <c r="ML100" s="83">
        <v>243.76</v>
      </c>
      <c r="MM100" s="83">
        <v>538.54999999999995</v>
      </c>
      <c r="MN100" s="83"/>
      <c r="MO100" s="83">
        <v>245.23</v>
      </c>
      <c r="MP100" s="83">
        <v>614.51</v>
      </c>
      <c r="MQ100" s="83">
        <v>654.30999999999995</v>
      </c>
      <c r="MR100"/>
      <c r="MT100" s="83"/>
      <c r="MU100" s="83">
        <v>334.91</v>
      </c>
      <c r="MV100"/>
      <c r="MW100"/>
      <c r="MX100"/>
      <c r="MY100" s="83">
        <v>681.82</v>
      </c>
      <c r="MZ100" s="83">
        <v>1500</v>
      </c>
      <c r="NA100" s="83">
        <v>687.3</v>
      </c>
      <c r="NB100" s="83">
        <v>1906.5</v>
      </c>
      <c r="NC100" s="83">
        <v>330.57</v>
      </c>
      <c r="ND100" s="1">
        <v>2229</v>
      </c>
      <c r="NE100" s="1">
        <v>1411.2</v>
      </c>
    </row>
    <row r="101" spans="1:369" ht="13.2" customHeight="1" thickBot="1">
      <c r="A101" s="38">
        <f t="shared" si="334"/>
        <v>45139</v>
      </c>
      <c r="B101" s="36">
        <f t="shared" si="401"/>
        <v>8</v>
      </c>
      <c r="C101" s="36">
        <f t="shared" si="402"/>
        <v>2023</v>
      </c>
      <c r="D101" s="36">
        <f t="shared" si="347"/>
        <v>101</v>
      </c>
      <c r="E101" s="38">
        <f t="shared" si="335"/>
        <v>45139</v>
      </c>
      <c r="F101" s="7">
        <v>356.5</v>
      </c>
      <c r="G101" s="7">
        <v>2044.3</v>
      </c>
      <c r="H101" s="1">
        <f>[2]NACIONALES!$D89</f>
        <v>196263.92015999998</v>
      </c>
      <c r="I101" s="7">
        <v>97</v>
      </c>
      <c r="J101" s="7">
        <v>750</v>
      </c>
      <c r="K101" s="7">
        <v>5.8</v>
      </c>
      <c r="L101" s="7">
        <v>35.5</v>
      </c>
      <c r="M101" s="183"/>
      <c r="N101" s="5">
        <v>1.79</v>
      </c>
      <c r="O101" s="5">
        <v>1.4</v>
      </c>
      <c r="P101" s="78">
        <f t="shared" si="398"/>
        <v>540.18662500000005</v>
      </c>
      <c r="Q101" s="143">
        <v>10277</v>
      </c>
      <c r="R101" s="79">
        <f t="shared" si="336"/>
        <v>102770</v>
      </c>
      <c r="S101" s="6">
        <f>67556.25/F101</f>
        <v>189.49859747545582</v>
      </c>
      <c r="T101" s="6">
        <f>115481.25/F101</f>
        <v>323.9305750350631</v>
      </c>
      <c r="U101" s="6">
        <v>185</v>
      </c>
      <c r="V101" s="6">
        <v>332.06363636363636</v>
      </c>
      <c r="W101" s="6">
        <v>282.5</v>
      </c>
      <c r="X101" s="6">
        <v>234.97727272727272</v>
      </c>
      <c r="Y101" s="79">
        <f t="shared" si="337"/>
        <v>67556.25</v>
      </c>
      <c r="Z101" s="79">
        <f t="shared" si="338"/>
        <v>115481.25</v>
      </c>
      <c r="AA101" s="79">
        <f t="shared" si="339"/>
        <v>65952.5</v>
      </c>
      <c r="AB101" s="79">
        <f t="shared" si="340"/>
        <v>118380.68636363637</v>
      </c>
      <c r="AC101" s="79">
        <f t="shared" si="341"/>
        <v>100711.25</v>
      </c>
      <c r="AD101" s="79">
        <f t="shared" si="342"/>
        <v>83769.397727272721</v>
      </c>
      <c r="AE101" s="79">
        <f t="shared" si="343"/>
        <v>91975.222348484851</v>
      </c>
      <c r="AF101" s="1">
        <v>300147.90000000002</v>
      </c>
      <c r="AG101" s="1">
        <v>120000</v>
      </c>
      <c r="AH101" s="1">
        <v>456000</v>
      </c>
      <c r="AI101" s="5">
        <v>178.91909999999999</v>
      </c>
      <c r="AJ101" s="5">
        <v>137.95339999999999</v>
      </c>
      <c r="AK101" s="5">
        <v>131.64420000000001</v>
      </c>
      <c r="AL101" s="5">
        <v>82.423299999999998</v>
      </c>
      <c r="AM101" s="78">
        <f t="shared" si="344"/>
        <v>141.830006</v>
      </c>
      <c r="AN101" s="7">
        <v>9877.2946859903386</v>
      </c>
      <c r="AO101" s="7">
        <v>4183.04347826087</v>
      </c>
      <c r="AP101" s="78">
        <f t="shared" si="385"/>
        <v>4183.04347826087</v>
      </c>
      <c r="AQ101" s="7">
        <v>1791.304347826087</v>
      </c>
      <c r="AR101" s="7">
        <v>4491.1739130434798</v>
      </c>
      <c r="AS101" s="7">
        <v>4362</v>
      </c>
      <c r="AT101" s="7">
        <v>3815.9217391304364</v>
      </c>
      <c r="AU101" s="78">
        <f t="shared" si="348"/>
        <v>4223.0318840579721</v>
      </c>
      <c r="AV101" s="7">
        <v>5458.484848484848</v>
      </c>
      <c r="AW101" s="7">
        <v>5490.625</v>
      </c>
      <c r="AX101" s="7">
        <v>2078.2521739130434</v>
      </c>
      <c r="AY101" s="7">
        <v>4579.6641791044776</v>
      </c>
      <c r="AZ101" s="7">
        <v>1484.9260869565219</v>
      </c>
      <c r="BA101" s="7">
        <v>1444.3478260869565</v>
      </c>
      <c r="BB101" s="94">
        <f t="shared" si="345"/>
        <v>2565.2584072391664</v>
      </c>
      <c r="BC101" s="68">
        <v>10300</v>
      </c>
      <c r="BD101" s="68">
        <v>7197</v>
      </c>
      <c r="BE101" s="95">
        <f t="shared" si="411"/>
        <v>7038.4526291406064</v>
      </c>
      <c r="BF101" s="95">
        <f t="shared" si="411"/>
        <v>4641.6386654885746</v>
      </c>
      <c r="BG101" s="94">
        <f t="shared" si="349"/>
        <v>7294.2728236572957</v>
      </c>
      <c r="BH101" s="7">
        <v>633.33000000000004</v>
      </c>
      <c r="BI101" s="7">
        <f>83+150</f>
        <v>233</v>
      </c>
      <c r="BJ101" s="78">
        <f t="shared" si="350"/>
        <v>866.33</v>
      </c>
      <c r="BK101" s="7">
        <v>743.64700000000005</v>
      </c>
      <c r="BL101" s="7">
        <v>714.07</v>
      </c>
      <c r="BM101" s="94">
        <f t="shared" si="351"/>
        <v>728.85850000000005</v>
      </c>
      <c r="BN101" s="5">
        <v>111.1</v>
      </c>
      <c r="BO101" s="84">
        <v>769</v>
      </c>
      <c r="BP101" s="84">
        <v>566</v>
      </c>
      <c r="BQ101" s="94">
        <f t="shared" si="346"/>
        <v>748.7</v>
      </c>
      <c r="BR101" s="7">
        <f>+(462.91+410.42+391.61+367.37)/4</f>
        <v>408.07749999999999</v>
      </c>
      <c r="BS101" s="7">
        <v>1400</v>
      </c>
      <c r="BT101" s="7">
        <f>0.98*F101</f>
        <v>349.37</v>
      </c>
      <c r="BU101" s="79">
        <f t="shared" si="237"/>
        <v>17848.11</v>
      </c>
      <c r="BV101" s="7">
        <v>434</v>
      </c>
      <c r="BW101" s="7">
        <v>1100</v>
      </c>
      <c r="BY101" s="92">
        <f>BY$10*(1+((H101/H$10-1)*costos!$B$5+((I101*F101)/(I$10*F$10)-1)*costos!$E$5+((J101*F101)/((J$10*F$10)-1)*costos!$F$5/3+((K101*F101)/(K$10*F$10)-1)*costos!$F$5/3+((U101*F101)/(U$10*F$10)-1)*costos!$F$5/3+((L101*F101)/(L$10*F$10)-1)*costos!$G$5+((N101*F101)/(N$10*F$10)-1)*costos!$J$5+((V101*F101)/(V$10*F$10)-1)*costos!$K$5)))</f>
        <v>3472.4680169862431</v>
      </c>
      <c r="BZ101" s="92">
        <f>$BZ$10*(1+((H101/$H$10-1)*costos!$B$6+((I101*F101)/($I$10*$F$10)-1)*costos!$E$6+((J101*F101)/(($J$10*$F$10)-1)*costos!$F$6/3+((K101*F101)/($K$10*$F$10)-1)*costos!$F$6/3+((U101*F101)/($U$10*$F$10)-1)*costos!$F$6/3+((L101*F101)/($L$10*$F$10)-1)*costos!$G$6+((Q101*F101)/($Q$10*$F$10)-1)*costos!$J$6+((V101*F101)/($V$10*$F$10)-1)*costos!$K$6)))</f>
        <v>3086.5115136477671</v>
      </c>
      <c r="CA101" s="92">
        <f>CA$10*(1+((H101/H$10-1)*costos!$B$7+((I101*F101)/(I$10*F$10)-1)*costos!$E$7+((J101*F101)/((J$10*F$10)-1)*costos!$F$7/3+((K101*F101)/(K$10*F$10)-1)*costos!$F$7/3+((U101*F101)/(U$10*F$10)-1)*costos!$F$7/3+((L101*F101)/(L$10*F$10)-1)*costos!$G$7+((S101*F101)/(S$10*F$10)-1)*costos!$J$7+((V101*F101)/(V$10*F$10)-1)*costos!$K$7)))</f>
        <v>3434.7902761168143</v>
      </c>
      <c r="CB101" s="92">
        <f>CB$10*(1+((H101/H$10-1)*costos!$B$8+((I101*F101)/(I$10*F$10)-1)*costos!$E$8+((J101*F101)/((J$10*F$10)-1)*costos!$F$8/3+((K101*F101)/(K$10*F$10)-1)*costos!$F$8/3+((U101*F101)/(U$10*F$10)-1)*costos!$F$8/3+((L101*F101)/(L$10*F$10)-1)*costos!$G$8+((T101*F101)/(T$10*F$10)-1)*costos!$J$8+((V101*F101)/(V$10*F$10)-1)*costos!$K$8)))</f>
        <v>3317.3525898090743</v>
      </c>
      <c r="CC101" s="92">
        <f>CC$10*(1+((H101/H$10-1)*costos!$B$9+((I101*F101)/(I$10*F$10)-1)*costos!$E$9+((J101*F101)/((J$10*F$10)-1)*costos!$F$9/3+((K101*F101)/(K$10*F$10)-1)*costos!$F$9/3+((U101*F101)/(U$10*F$10)-1)*costos!$F$9/3+((L101*F101)/(L$10*F$10)-1)*costos!$G$9+((U101*F101)/(U$10*F$10)-1)*costos!$J$9+((V101*F101)/(V$10*F$10)-1)*costos!$K$9)))</f>
        <v>3359.3566830334621</v>
      </c>
      <c r="CD101" s="92">
        <f>CD$10*(1+((H101/H$10-1)*costos!$B$11+((I101*F101)/(I$10*F$10)-1)*costos!$E$11+((J101*F101)/((J$10*F$10)-1)*costos!$F$11/3+((K101*F101)/(K$10*F$10)-1)*costos!$F$11/3+((U101*F101)/(U$10*F$10)-1)*costos!$F$11/3+((L101*F101)/(L$10*F$10)-1)*costos!$G$11+((V101*F101)/(V$10*F$10)-1)*costos!$J$11+((V101*F101)/(V$10*F$10)-1)*costos!$K$11)))</f>
        <v>3547.9359069681977</v>
      </c>
      <c r="CE101" s="92">
        <f>CE$10*(1+((H101/H$10-1)*costos!$B$12+((I101*F101)/(I$10*F$10)-1)*costos!$E$12+((J101*F101)/((J$10*F$10)-1)*costos!$F$12/3+((K101*F101)/(K$10*F$10)-1)*costos!$F$12/3+((U101*F101)/(U$10*F$10)-1)*costos!$F$12/3+((L101*F101)/(L$10*F$10)-1)*costos!$G$12+((W101*F101)/(W$10*F$10)-1)*costos!$J$12+((V101*F101)/(V$10*F$10)-1)*costos!$K$12)))</f>
        <v>3864.6241914321708</v>
      </c>
      <c r="CF101" s="92">
        <f>CF$10*(1+((H101/H$10-1)*costos!$B$13+((I101*F101)/(I$10*F$10)-1)*costos!$E$13+((J101*F101)/((J$10*F$10)-1)*costos!$F$13/3+((K101*F101)/(K$10*F$10)-1)*costos!$F$13/3+((U101*F101)/(U$10*F$10)-1)*costos!$F$13/3+((L101*F101)/(L$10*F$10)-1)*costos!$G$13+((X101*F101)/(X$10*F$10)-1)*costos!$J$13+((V101*F101)/(V$10*F$10)-1)*costos!$K$13)))</f>
        <v>3606.7939976135067</v>
      </c>
      <c r="CG101" s="92">
        <f t="shared" si="388"/>
        <v>3521.8089408288706</v>
      </c>
      <c r="CH101" s="92">
        <f>CH$10*(1+((H101/H$10-1)*costos!$B$10+((I101*F101)/(I$10*F$10)-1)*costos!$E$10+((J101*F101)/((J$10*F$10)-1)*costos!$F$10/3+((K101*F101)/(K$10*F$10)-1)*costos!$F$10/3+((U101*F101)/(U$10*F$10)-1)*costos!$F$10/3+((L101*F101)/(L$10*F$10)-1)*costos!$G$10+((AF101)/(AF$10)-1)*costos!$J$10+((V101*F101)/(V$10*F$10)-1)*costos!$K$10)))</f>
        <v>3872.2656778956766</v>
      </c>
      <c r="CI101" s="92">
        <f>CI$10*(1+((H101/H$10-1)*costos!$B$15+((I101*F101)/(I$10*F$10)-1)*costos!$E$15+((J101*F101)/((J$10*F$10)-1)*costos!$F$15/3+((K101*F101)/(K$10*F$10)-1)*costos!$F$15/3+((U101*F101)/(U$10*F$10)-1)*costos!$F$15/3+((L101*F101)/(L$10*F$10)-1)*costos!$G$15+((AV101)/(AV$10)-1)*costos!$J$15+((V101*F101)/(V$10*F$10)-1)*costos!$K$15)))</f>
        <v>3925.3090932757018</v>
      </c>
      <c r="CJ101" s="92">
        <f>CJ$10*(1+((H101/H$10-1)*costos!$B$16+((I101*F101)/(I$10*F$10)-1)*costos!$E$16+((J101*F101)/((J$10*F$10)-1)*costos!$F$16/3+((K101*F101)/(K$10*F$10)-1)*costos!$F$16/3+((U101*F101)/(U$10*F$10)-1)*costos!$F$16/3+((L101*F101)/(L$10*F$10)-1)*costos!$G$16+((AW101)/(AW$10)-1)*costos!$J$16+((V101*F101)/(V$10*F$10)-1)*costos!$K$16)))</f>
        <v>2827.5312067537739</v>
      </c>
      <c r="CK101" s="92">
        <f>CK$10*(1+((H101/H$10-1)*costos!$B$17+((I101*F101)/(I$10*F$10)-1)*costos!$E$17+((J101*F101)/((J$10*F$10)-1)*costos!$F$17/3+((K101*F101)/(K$10*F$10)-1)*costos!$F$17/3+((U101*F101)/(U$10*F$10)-1)*costos!$F$17/3+((L101*F101)/(L$10*F$10)-1)*costos!$G$17+((AX101)/(AX$10)-1)*costos!$J$17+((V101*F101)/(V$10*F$10)-1)*costos!$K$17)))</f>
        <v>3094.9981936669192</v>
      </c>
      <c r="CL101" s="92">
        <f>CL$10*(1+((H101/H$10-1)*costos!$B$18+((I101*F101)/(I$10*F$10)-1)*costos!$E$18+((J101*F101)/((J$10*F$10)-1)*costos!$F$18/3+((K101*F101)/(K$10*F$10)-1)*costos!$F$18/3+((U101*F101)/(U$10*F$10)-1)*costos!$F$18/3+((L101*F101)/(L$10*F$10)-1)*costos!$G$18+((AY101)/(AY$10)-1)*costos!$J$18+((V101*F101)/(V$10*F$10)-1)*costos!$K$18)))</f>
        <v>3625.9794225512273</v>
      </c>
      <c r="CM101" s="92">
        <f>CM$10*(1+((H101/H$10-1)*costos!$B$19+((I101*F101)/(I$10*F$10)-1)*costos!$E$19+((J101*F101)/((J$10*F$10)-1)*costos!$F$19/3+((K101*F101)/(K$10*F$10)-1)*costos!$F$19/3+((U101*F101)/(U$10*F$10)-1)*costos!$F$19/3+((L101*F101)/(L$10*F$10)-1)*costos!$G$19+((AZ101)/(AZ$10)-1)*costos!$J$19+((V101*F101)/(V$10*F$10)-1)*costos!$K$19)))</f>
        <v>2506.1566920447644</v>
      </c>
      <c r="CN101" s="92">
        <f>CN$10*(1+((H101/H$10-1)*costos!$B$20+((I101*F101)/(I$10*F$10)-1)*costos!$E$20+((J101*F101)/((J$10*F$10)-1)*costos!$F$20/3+((K101*F101)/(K$10*F$10)-1)*costos!$F$20/3+((U101*F101)/(U$10*F$10)-1)*costos!$F$20/3+((L101*F101)/(L$10*F$10)-1)*costos!$G$20+((BA101)/(BA$10)-1)*costos!$J$20+((V101*F101)/(V$10*F$10)-1)*costos!$K$20)))</f>
        <v>2707.7537108137954</v>
      </c>
      <c r="CO101" s="92">
        <f t="shared" si="399"/>
        <v>2983.7220047691762</v>
      </c>
      <c r="CP101" s="92">
        <f>CP$10*(1+((H101/H$10-1)*costos!$B$22+((I101*F101)/(I$10*F$10)-1)*costos!$E$22+((J101*F101)/((J$10*F$10)-1)*costos!$F$22/3+((K101*F101)/(K$10*F$10)-1)*costos!$F$22/3+((U101*F101)/(U$10*F$10)-1)*costos!$F$22/3+((L101*F101)/(L$10*F$10)-1)*costos!$G$22+(((AVERAGE(AI101:AL101))/((AVERAGE(AI$10:AL$10))-1)*costos!$J$22+((V101*F101)/(V$10*F$10)-1)*costos!$K$22)))))</f>
        <v>3482.9285059796789</v>
      </c>
      <c r="CQ101" s="92">
        <f>CQ$10*(1+((H101/H$10-1)*costos!$B$23+((I101*F101)/(I$10*F$10)-1)*costos!$E$23+((J101*F101)/((J$10*F$10)-1)*costos!$F$23/3+((K101*F101)/(K$10*F$10)-1)*costos!$F$23/3+((U101*F101)/(U$10*F$10)-1)*costos!$F$23/3+((L101*F101)/(L$10*F$10)-1)*costos!$G$23+((AN101)/(AN$10)-1)*costos!$J$23+((V101*F101)/(V$10*F$10)-1)*costos!$K$23)))</f>
        <v>2976.5941456384717</v>
      </c>
      <c r="CR101" s="92">
        <f>CR$10*(1+((H101/H$10-1)*costos!$B$24+((I101*F101)/(I$10*F$10)-1)*costos!$E$24+((J101*F101)/((J$10*F$10)-1)*costos!$F$24/3+((K101*F101)/(K$10*F$10)-1)*costos!$F$24/3+((U101*F101)/(U$10*F$10)-1)*costos!$F$24/3+((L101*F101)/(L$10*F$10)-1)*costos!$G$24+((AO101)/(AO$10)-1)*costos!$J$24+((V101*F101)/(V$10*F$10)-1)*costos!$K$24)))</f>
        <v>2829.9981769098863</v>
      </c>
      <c r="CS101" s="92">
        <f t="shared" si="352"/>
        <v>2903.2961612741792</v>
      </c>
      <c r="CT101" s="92">
        <f>CT$10*(1+((H101/H$10-1)*costos!$B$25+((I101*F101)/(I$10*F$10)-1)*costos!$E$25+((J101*F101)/((J$10*F$10)-1)*costos!$F$25/3+((K101*F101)/(K$10*F$10)-1)*costos!$F$25/3+((U101*F101)/(U$10*F$10)-1)*costos!$F$25/3+((L101*F101)/(L$10*F$10)-1)*costos!$G$25+((AQ101)/(AQ$10)-1)*costos!$J$25+((V101*F101)/(V$10*F$10)-1)*costos!$K$25)))</f>
        <v>2674.0120362452476</v>
      </c>
      <c r="CU101" s="92">
        <f>CU$10*(1+((H101/H$10-1)*costos!$B$26+((I101*F101)/(I$10*F$10)-1)*costos!$E$26+((J101*F101)/((J$10*F$10)-1)*costos!$F$26/3+((K101*F101)/(K$10*F$10)-1)*costos!$F$26/3+((U101*F101)/(U$10*F$10)-1)*costos!$F$26/3+((L101*F101)/(L$10*F$10)-1)*costos!$G$26+((AR101)/(AR$10)-1)*costos!$J$26+((V101*F101)/(V$10*F$10)-1)*costos!$K$26)))</f>
        <v>3047.8991747726768</v>
      </c>
      <c r="CV101" s="92">
        <f>CV$10*(1+((H101/H$10-1)*costos!$B$27+((I101*F101)/(I$10*F$10)-1)*costos!$E$27+((J101*F101)/((J$10*F$10)-1)*costos!$F$27/3+((K101*F101)/(K$10*F$10)-1)*costos!$F$27/3+((U101*F101)/(U$10*F$10)-1)*costos!$F$27/3+((L101*F101)/(L$10*F$10)-1)*costos!$G$27+((AS101)/(AS$10)-1)*costos!$J$27+((V101*F101)/(V$10*F$10)-1)*costos!$K$27)))</f>
        <v>3033.9433759747303</v>
      </c>
      <c r="CW101" s="92">
        <f>CW$10*(1+((H101/H$10-1)*costos!$B$28+((I101*F101)/(I$10*F$10)-1)*costos!$E$28+((J101*F101)/((J$10*F$10)-1)*costos!$F$28/3+((K101*F101)/(K$10*F$10)-1)*costos!$F$28/3+((U101*F101)/(U$10*F$10)-1)*costos!$F$28/3+((L101*F101)/(L$10*F$10)-1)*costos!$G$28+((AS101)/(AS$10)-1)*costos!$J$28+((V101*F101)/(V$10*F$10)-1)*costos!$K$28)))</f>
        <v>3033.9433759747303</v>
      </c>
      <c r="CX101" s="92">
        <f t="shared" si="400"/>
        <v>3038.5953089073791</v>
      </c>
      <c r="CY101" s="92">
        <f>CY$10*(1+((H101/H$10-1)*costos!$B$32+((I101*F101)/(I$10*F$10)-1)*costos!$E$32+((J101*F101)/((J$10*F$10)-1)*costos!$F$32/3+((K101*F101)/(K$10*F$10)-1)*costos!$F$32/3+((U101*F101)/(U$10*F$10)-1)*costos!$F$32/3+((L101*F101)/(L$10*F$10)-1)*costos!$G$32+((AG101)/(AG$10)-1)*costos!$J$32+((V101*F101)/(V$10*F$10)-1)*costos!$K$32)))</f>
        <v>2761.4178388481159</v>
      </c>
      <c r="CZ101" s="69">
        <f>CZ$10*(1+((H101/H$10-1)*costos!$B$31+((I101*F101)/(I$10*F$10)-1)*costos!$E$30+((J101*F101)/((J$10*F$10)-1)*costos!$F$30/3+((K101*F101)/(K$10*F$10)-1)*costos!$F$30/3+((U101*F101)/(U$10*F$10)-1)*costos!$F$30/3+((L101*F101)/(L$10*F$10)-1)*costos!$G$30+((BG101)/(BG$10)-1)*costos!$J$30+((V101*F101)/(V$10*F$10)-1)*costos!$K$30)))</f>
        <v>3470.0938403282094</v>
      </c>
      <c r="DA101" s="69">
        <f>DA$10*(1+((H101/H$10-1)*costos!$B$31+((I101*F101)/(I$10*F$10)-1)*costos!$E$31+((J101*F101)/((J$10*F$10)-1)*costos!$F$31/3+((K101*F101)/(K$10*F$10)-1)*costos!$F$31/3+((U101*F101)/(U$10*F$10)-1)*costos!$F$31/3+((L101*F101)/(L$10*F$10)-1)*costos!$G$31+((BJ101)/(BJ$10)-1)*costos!$J$31+((V101*F101)/(V$10*F$10)-1)*costos!$K$31)))</f>
        <v>2813.6390790252799</v>
      </c>
      <c r="DB101" s="69">
        <f>DB$10*(1+((H101/H$10-1)*costos!$B$36+((I101*F101)/(I$10*F$10)-1)*costos!$E$36+((J101*F101)/((J$10*F$10)-1)*costos!$F$36/3+((K101*F101)/(K$10*F$10)-1)*costos!$F$36/3+((U101*F101)/(U$10*F$10)-1)*costos!$F$36/3+((L101*F101)/(L$10*F$10)-1)*costos!$G$36+((BK101)/(BK$10)-1)*costos!$J$36+((V101*F101)/(V$10*F$10)-1)*costos!$K$36)))</f>
        <v>3128.5719317370858</v>
      </c>
      <c r="DC101" s="69">
        <f>DC$10*(1+((H101/H$10-1)*costos!$B$37+((I101*F101)/(I$10*F$10)-1)*costos!$E$37+((U101*F101)/(U$10*F$10)-1)*costos!$F$37+((L101*F101)/(L$10*F$10)-1)*costos!$G$37+((BN101)/(BN$10)-1)*costos!$J$37+((V101*F101)/(V$10*F$10)-1)*costos!$K$37))</f>
        <v>3094.5949741106019</v>
      </c>
      <c r="DD101" s="69">
        <f>DD$10*(1+((H101/H$10-1)*costos!$B$39+((I101*F101)/(I$10*F$10)-1)*costos!$E$39+((U101*F101)/(U$10*F$10)-1)*costos!$F$39+((L101*F101)/(L$10*F$10)-1)*costos!$G$39+((BR101)/(BR$10)-1)*costos!$J$39+((V101*F101)/(V$10*F$10)-1)*costos!$K$39))</f>
        <v>3048.1146738257598</v>
      </c>
      <c r="DE101" s="69">
        <f>DD$10*(1+((H101/H$10-1)*costos!$B$35+((I101*F101)/(I$10*F$10)-1)*costos!$E$35+((U101*F101)/(U$10*F$10)-1)*costos!$F$35+((L101*F101)/(L$10*F$10)-1)*costos!$G$35+((BR101)/(BR$10)-1)*costos!$J$35+((V101*F101)/(V$10*F$10)-1)*costos!$K$35))</f>
        <v>2715.9281416950685</v>
      </c>
      <c r="DF101" s="69">
        <f>DF$10*(1+((H101/H$10-1)*costos!$B$40+((I101*F101)/(I$10*F$10)-1)*costos!$E$40+((U101*F101)/(U$10*F$10)-1)*costos!$F$40+((L101*F101)/(L$10*F$10)-1)*costos!$G$40+((BP101)/(BP$10)-1)*costos!$J$40+((V101*F101)/(V$10*F$10)-1)*costos!$K$40))</f>
        <v>3245.5609524543765</v>
      </c>
      <c r="DG101" s="92">
        <f t="shared" si="391"/>
        <v>2980.7445470747225</v>
      </c>
      <c r="DH101" s="69">
        <f>DH$10*(1+((H101/H$10-1)*costos!$B$34+((I101*F101)/(I$10*F$10)-1)*costos!$E$34+((J101*F101)/((J$10*F$10)-1)*costos!$F$34/3+((K101*F101)/(K$10*F$10)-1)*costos!$F$34/3+((U101*F101)/(U$10*F$10)-1)*costos!$F$34/3+((L101*F101)/(L$10*F$10)-1)*costos!$G$34+((BV101)/(BV$10)-1)*costos!$J$34+((V101*F101)/(V$10*F$10)-1)*costos!$K$34)))</f>
        <v>2854.1912581374368</v>
      </c>
      <c r="DI101" s="69">
        <f>DI$10*(1+((H101/H$10-1)*costos!$B$38+((I101*F101)/(I$10*F$10)-1)*costos!$E$38+((J101*F101)/((J$10*F$10)-1)*costos!$F$38/3+((K101*F101)/(K$10*F$10)-1)*costos!$F$38/3+((U101*F101)/(U$10*F$10)-1)*costos!$F$38/3+((L101*F101)/(L$10*F$10)-1)*costos!$G$38+((BU101)/(BU$10)-1)*costos!$J$38+((V101*F101)/(V$10*F$10)-1)*costos!$K$38)))</f>
        <v>2703.0633019266534</v>
      </c>
      <c r="DK101" s="1">
        <v>580000</v>
      </c>
      <c r="DL101" s="1" t="s">
        <v>399</v>
      </c>
      <c r="DM101" s="1">
        <v>190000</v>
      </c>
      <c r="DN101" s="1" t="s">
        <v>399</v>
      </c>
      <c r="DO101" s="1">
        <v>1600000</v>
      </c>
      <c r="DP101" s="1" t="s">
        <v>410</v>
      </c>
      <c r="DQ101" s="1">
        <v>2450000</v>
      </c>
      <c r="DR101" s="1" t="s">
        <v>410</v>
      </c>
      <c r="DS101" s="1">
        <v>7300000</v>
      </c>
      <c r="DT101" s="1" t="s">
        <v>410</v>
      </c>
      <c r="DU101" s="1">
        <v>16000000</v>
      </c>
      <c r="DV101" s="1" t="s">
        <v>399</v>
      </c>
      <c r="DW101" s="1">
        <v>740000</v>
      </c>
      <c r="DX101" s="1" t="s">
        <v>410</v>
      </c>
      <c r="DY101" s="1">
        <v>5916000</v>
      </c>
      <c r="DZ101" s="1" t="s">
        <v>410</v>
      </c>
      <c r="EA101" s="79">
        <f t="shared" si="353"/>
        <v>34006000</v>
      </c>
      <c r="EB101" s="1">
        <v>373795</v>
      </c>
      <c r="EC101" s="1" t="s">
        <v>399</v>
      </c>
      <c r="ED101" s="1">
        <v>222162</v>
      </c>
      <c r="EE101" s="143">
        <v>2023</v>
      </c>
      <c r="EF101" s="1">
        <v>204847</v>
      </c>
      <c r="EG101" s="6">
        <v>2023</v>
      </c>
      <c r="EH101" s="1">
        <v>54242595</v>
      </c>
      <c r="EI101" s="6">
        <v>2023</v>
      </c>
      <c r="EJ101" s="1">
        <v>5887401</v>
      </c>
      <c r="EK101" s="6">
        <v>2023</v>
      </c>
      <c r="EL101" s="1">
        <v>12461845</v>
      </c>
      <c r="EM101" s="6">
        <v>2022</v>
      </c>
      <c r="EN101" s="1">
        <v>3169981</v>
      </c>
      <c r="EO101" s="6">
        <v>2021</v>
      </c>
      <c r="EP101" s="83">
        <v>9295</v>
      </c>
      <c r="EQ101" s="83">
        <v>3500000</v>
      </c>
      <c r="ER101" s="1">
        <f t="shared" si="403"/>
        <v>79916</v>
      </c>
      <c r="ES101" s="1"/>
      <c r="ET101" s="83">
        <f t="shared" si="393"/>
        <v>20677</v>
      </c>
      <c r="EU101" s="83">
        <f t="shared" si="393"/>
        <v>19532</v>
      </c>
      <c r="EV101" s="83">
        <f t="shared" si="393"/>
        <v>9103</v>
      </c>
      <c r="EW101" s="83">
        <f t="shared" si="393"/>
        <v>17281</v>
      </c>
      <c r="EX101" s="79">
        <f t="shared" si="354"/>
        <v>66593</v>
      </c>
      <c r="EY101" s="83">
        <f t="shared" si="394"/>
        <v>20193</v>
      </c>
      <c r="EZ101" s="83">
        <f t="shared" si="394"/>
        <v>32682</v>
      </c>
      <c r="FA101" s="83">
        <f t="shared" si="405"/>
        <v>19526</v>
      </c>
      <c r="FB101" s="83">
        <f t="shared" si="406"/>
        <v>19463</v>
      </c>
      <c r="FC101" s="79">
        <f t="shared" si="410"/>
        <v>38989</v>
      </c>
      <c r="FD101" s="83">
        <f t="shared" si="395"/>
        <v>54743</v>
      </c>
      <c r="FE101" s="1"/>
      <c r="FF101" s="1">
        <v>900000</v>
      </c>
      <c r="FG101" s="1" t="s">
        <v>399</v>
      </c>
      <c r="FH101" s="1">
        <v>1100000</v>
      </c>
      <c r="FI101" s="1" t="s">
        <v>399</v>
      </c>
      <c r="FJ101" s="1">
        <v>4600000</v>
      </c>
      <c r="FK101" s="1" t="s">
        <v>399</v>
      </c>
      <c r="FL101" s="1">
        <v>5000000</v>
      </c>
      <c r="FM101" s="1" t="s">
        <v>399</v>
      </c>
      <c r="FN101" s="1">
        <v>54000000</v>
      </c>
      <c r="FO101" s="1" t="s">
        <v>410</v>
      </c>
      <c r="FP101" s="1">
        <v>25000000</v>
      </c>
      <c r="FQ101" s="1" t="s">
        <v>399</v>
      </c>
      <c r="FR101" s="1">
        <v>1600000</v>
      </c>
      <c r="FS101" s="1" t="s">
        <v>399</v>
      </c>
      <c r="FT101" s="1">
        <v>12555000</v>
      </c>
      <c r="FU101" s="1" t="s">
        <v>399</v>
      </c>
      <c r="FV101" s="79">
        <f t="shared" si="355"/>
        <v>102755000</v>
      </c>
      <c r="FW101" s="1">
        <v>940426</v>
      </c>
      <c r="FX101" s="1" t="s">
        <v>399</v>
      </c>
      <c r="FY101" s="1">
        <v>144582</v>
      </c>
      <c r="FZ101" s="79">
        <f t="shared" si="377"/>
        <v>777889.26899999997</v>
      </c>
      <c r="GA101" s="86" t="str">
        <f t="shared" si="378"/>
        <v>sept22 ago23</v>
      </c>
      <c r="GB101" s="1">
        <v>14553117</v>
      </c>
      <c r="GC101" s="6">
        <v>2023</v>
      </c>
      <c r="GD101" s="83">
        <v>2315000</v>
      </c>
      <c r="GE101" s="83">
        <v>377000</v>
      </c>
      <c r="GF101" s="83">
        <v>1061000</v>
      </c>
      <c r="GG101" s="83">
        <v>127000</v>
      </c>
      <c r="GH101" s="79">
        <f t="shared" si="240"/>
        <v>1565000</v>
      </c>
      <c r="GI101" s="82">
        <f t="shared" si="373"/>
        <v>1302556</v>
      </c>
      <c r="GJ101" s="83">
        <f t="shared" si="373"/>
        <v>687701</v>
      </c>
      <c r="GK101" s="83">
        <f t="shared" si="373"/>
        <v>1430078.41</v>
      </c>
      <c r="GL101" s="83">
        <f t="shared" si="373"/>
        <v>302535.34000000003</v>
      </c>
      <c r="GM101" s="83">
        <f t="shared" si="373"/>
        <v>257597.81</v>
      </c>
      <c r="GN101" s="79">
        <f t="shared" si="357"/>
        <v>2677912.56</v>
      </c>
      <c r="GO101" s="83">
        <f t="shared" si="374"/>
        <v>202394.36</v>
      </c>
      <c r="GP101" s="83">
        <f t="shared" si="374"/>
        <v>73395</v>
      </c>
      <c r="GQ101" s="83">
        <v>26758</v>
      </c>
      <c r="GR101" s="1">
        <v>35181</v>
      </c>
      <c r="GS101" s="79">
        <f t="shared" si="412"/>
        <v>35983.74</v>
      </c>
      <c r="GT101" s="83">
        <f t="shared" si="407"/>
        <v>2365997</v>
      </c>
      <c r="GU101" s="1">
        <f>29904-4037</f>
        <v>25867</v>
      </c>
      <c r="GV101" s="1">
        <f>38636-9871</f>
        <v>28765</v>
      </c>
      <c r="GW101" s="79">
        <f t="shared" si="261"/>
        <v>785395</v>
      </c>
      <c r="GX101" s="1">
        <v>33126.813000000002</v>
      </c>
      <c r="GY101" s="1" t="s">
        <v>402</v>
      </c>
      <c r="GZ101" s="1">
        <v>87408</v>
      </c>
      <c r="HA101" s="1">
        <v>278725</v>
      </c>
      <c r="HB101" s="79">
        <f t="shared" si="241"/>
        <v>3295545</v>
      </c>
      <c r="HC101" s="86" t="str">
        <f t="shared" si="379"/>
        <v>sept22 ago23</v>
      </c>
      <c r="HD101" s="83">
        <v>68563</v>
      </c>
      <c r="HE101" s="79">
        <f t="shared" si="380"/>
        <v>739965</v>
      </c>
      <c r="HF101" s="86" t="str">
        <f t="shared" si="381"/>
        <v>sept22 ago23</v>
      </c>
      <c r="HG101" s="1">
        <v>208000</v>
      </c>
      <c r="HH101" s="79">
        <f t="shared" si="242"/>
        <v>2310000</v>
      </c>
      <c r="HI101" s="86" t="str">
        <f t="shared" si="382"/>
        <v>sept22 ago23</v>
      </c>
      <c r="HJ101" s="178">
        <v>102499</v>
      </c>
      <c r="HK101" s="79">
        <f t="shared" si="278"/>
        <v>69919.8</v>
      </c>
      <c r="HL101" s="86" t="str">
        <f t="shared" si="383"/>
        <v>sept22 ago23</v>
      </c>
      <c r="HM101" s="79">
        <f t="shared" si="358"/>
        <v>2379919.7999999998</v>
      </c>
      <c r="HN101" s="87">
        <f t="shared" si="297"/>
        <v>-3.7664783427495685E-3</v>
      </c>
      <c r="HO101" s="1">
        <v>1058000000</v>
      </c>
      <c r="HP101" s="79">
        <f t="shared" si="386"/>
        <v>11532.283332000001</v>
      </c>
      <c r="HQ101" s="86" t="str">
        <f t="shared" si="384"/>
        <v>sept22 ago23</v>
      </c>
      <c r="HR101" s="1"/>
      <c r="HS101" s="1"/>
      <c r="HT101" s="1"/>
      <c r="HU101" s="1">
        <v>700000</v>
      </c>
      <c r="HV101" s="1" t="s">
        <v>399</v>
      </c>
      <c r="HW101" s="1">
        <v>1500000</v>
      </c>
      <c r="HX101" s="1" t="s">
        <v>410</v>
      </c>
      <c r="HY101" s="1">
        <v>4300000</v>
      </c>
      <c r="HZ101" s="1" t="s">
        <v>399</v>
      </c>
      <c r="IA101" s="1">
        <f t="shared" si="408"/>
        <v>21000000</v>
      </c>
      <c r="IB101" s="1" t="s">
        <v>399</v>
      </c>
      <c r="IC101" s="1">
        <v>38500000</v>
      </c>
      <c r="ID101" s="1" t="s">
        <v>399</v>
      </c>
      <c r="IE101" s="1">
        <v>750000</v>
      </c>
      <c r="IF101" s="1" t="s">
        <v>399</v>
      </c>
      <c r="IG101" s="1">
        <f t="shared" si="365"/>
        <v>7400000</v>
      </c>
      <c r="IH101" s="1" t="s">
        <v>410</v>
      </c>
      <c r="II101" s="79">
        <f t="shared" si="359"/>
        <v>73450000</v>
      </c>
      <c r="IJ101" s="97">
        <f t="shared" si="409"/>
        <v>1.9885213252125911</v>
      </c>
      <c r="IK101" s="1" t="s">
        <v>399</v>
      </c>
      <c r="IL101" s="182">
        <v>46.09</v>
      </c>
      <c r="IM101" s="7">
        <v>51.15</v>
      </c>
      <c r="IN101" s="7">
        <v>188.6</v>
      </c>
      <c r="IO101" s="97">
        <v>16.68</v>
      </c>
      <c r="IP101" s="176">
        <f t="shared" si="404"/>
        <v>6.139895208369488</v>
      </c>
      <c r="IQ101" s="176">
        <v>16.7</v>
      </c>
      <c r="IR101" s="98">
        <f t="shared" si="397"/>
        <v>6.92</v>
      </c>
      <c r="IS101" s="98">
        <f t="shared" si="397"/>
        <v>4.57</v>
      </c>
      <c r="IT101" s="98">
        <f t="shared" si="397"/>
        <v>13.61</v>
      </c>
      <c r="IU101" s="98">
        <f t="shared" si="397"/>
        <v>1.56</v>
      </c>
      <c r="IV101" s="94">
        <f t="shared" si="360"/>
        <v>19.739999999999998</v>
      </c>
      <c r="IW101" s="1"/>
      <c r="IX101" s="1"/>
      <c r="IY101" s="105">
        <v>1.88</v>
      </c>
      <c r="IZ101" s="161">
        <v>0.3</v>
      </c>
      <c r="JA101" s="83">
        <v>2813</v>
      </c>
      <c r="JB101" s="7">
        <v>35.950000000000003</v>
      </c>
      <c r="JC101" s="1"/>
      <c r="JD101" s="1"/>
      <c r="JF101" s="2">
        <v>14.3155891</v>
      </c>
      <c r="JG101" s="2">
        <v>9.600226039999999</v>
      </c>
      <c r="JH101" s="2">
        <v>82.610017839999998</v>
      </c>
      <c r="JI101" s="2">
        <v>187.0933091</v>
      </c>
      <c r="JJ101" s="2">
        <v>1022.3658666199999</v>
      </c>
      <c r="JK101" s="2">
        <v>102.43695814</v>
      </c>
      <c r="JL101" s="2">
        <v>2038.98087906</v>
      </c>
      <c r="JM101" s="2">
        <v>44.094731449999998</v>
      </c>
      <c r="JN101" s="2">
        <v>47.661471349999999</v>
      </c>
      <c r="JO101" s="2">
        <v>26.11967611</v>
      </c>
      <c r="JP101" s="2">
        <v>0</v>
      </c>
      <c r="JQ101" s="2">
        <v>0.62197731999999994</v>
      </c>
      <c r="JR101" s="2">
        <v>2.3646109300000004</v>
      </c>
      <c r="JS101" s="2">
        <v>0</v>
      </c>
      <c r="JT101" s="2">
        <v>1.2503999999999999E-2</v>
      </c>
      <c r="JU101" s="2">
        <v>67.769583350000005</v>
      </c>
      <c r="JV101" s="2">
        <v>10.57193655</v>
      </c>
      <c r="JW101" s="2">
        <v>14.728663150000001</v>
      </c>
      <c r="JX101" s="2">
        <v>34.656822310000003</v>
      </c>
      <c r="JY101" s="2">
        <v>0</v>
      </c>
      <c r="JZ101" s="2">
        <v>10.604759649999997</v>
      </c>
      <c r="KA101" s="2">
        <v>0.1190962</v>
      </c>
      <c r="KB101" s="2">
        <v>23.667757810000001</v>
      </c>
      <c r="KC101" s="2">
        <v>60.888504160000004</v>
      </c>
      <c r="KD101" s="2">
        <v>8.6649559600000003</v>
      </c>
      <c r="KE101" s="2">
        <v>21.325973759999997</v>
      </c>
      <c r="KF101" s="2">
        <v>32.053320659999997</v>
      </c>
      <c r="KG101" s="2">
        <v>371.72573624</v>
      </c>
      <c r="KH101" s="2">
        <v>120.47507141999999</v>
      </c>
      <c r="KI101" s="2">
        <v>12.745889309999999</v>
      </c>
      <c r="KJ101" s="2">
        <v>1.4694087300000001</v>
      </c>
      <c r="KK101" s="171">
        <v>9.2876289100000005</v>
      </c>
      <c r="KL101" s="171">
        <v>5.5773490000000002E-2</v>
      </c>
      <c r="KM101" s="171">
        <v>0.31660917999999999</v>
      </c>
      <c r="KN101" s="171">
        <v>1.1927203100000001</v>
      </c>
      <c r="KO101" s="171">
        <v>2.5805131200000004</v>
      </c>
      <c r="KP101" s="171">
        <v>2.7416000000000002E-4</v>
      </c>
      <c r="KQ101" s="171">
        <v>490.08395410000008</v>
      </c>
      <c r="KR101" s="171">
        <v>0.81674226999999999</v>
      </c>
      <c r="KS101" s="171">
        <v>9.884219000000001E-2</v>
      </c>
      <c r="KT101" s="171">
        <v>2.8868213899999997</v>
      </c>
      <c r="KU101" s="171">
        <v>0.88368341000000006</v>
      </c>
      <c r="KV101" s="171">
        <v>0</v>
      </c>
      <c r="KW101" s="171">
        <v>2.5091586699999997</v>
      </c>
      <c r="KX101" s="171">
        <v>0</v>
      </c>
      <c r="KY101" s="171">
        <v>0</v>
      </c>
      <c r="KZ101" s="171">
        <v>1.8704580099999999</v>
      </c>
      <c r="LA101" s="171">
        <v>0.35746821000000001</v>
      </c>
      <c r="LB101" s="171">
        <v>0</v>
      </c>
      <c r="LC101" s="171">
        <v>7.2436600000000004E-2</v>
      </c>
      <c r="LD101" s="171">
        <v>0</v>
      </c>
      <c r="LE101" s="171">
        <v>3.0606999999999997E-4</v>
      </c>
      <c r="LF101" s="171">
        <v>0</v>
      </c>
      <c r="LG101" s="171">
        <v>23.390239519999994</v>
      </c>
      <c r="LH101" s="171">
        <v>7.0989514199999997</v>
      </c>
      <c r="LI101" s="171">
        <v>1.1317222</v>
      </c>
      <c r="LJ101" s="171">
        <v>0</v>
      </c>
      <c r="LK101" s="171">
        <v>1.3237541899999998</v>
      </c>
      <c r="LL101" s="171">
        <v>2.4632922899999996</v>
      </c>
      <c r="LM101" s="171">
        <v>1.3202370399999999</v>
      </c>
      <c r="LN101" s="171">
        <v>0.46645720000000002</v>
      </c>
      <c r="LO101" s="171">
        <v>2.84758625</v>
      </c>
      <c r="LQ101" s="85">
        <f t="shared" si="247"/>
        <v>3422.8062754199996</v>
      </c>
      <c r="LR101" s="85">
        <f t="shared" si="248"/>
        <v>2.9990922500000003</v>
      </c>
      <c r="LS101" s="85">
        <f t="shared" si="249"/>
        <v>25.300599699999999</v>
      </c>
      <c r="LT101" s="85">
        <f t="shared" si="250"/>
        <v>10.723855849999996</v>
      </c>
      <c r="LU101" s="85">
        <f t="shared" si="251"/>
        <v>495.08938117000014</v>
      </c>
      <c r="LV101" s="85">
        <f t="shared" si="252"/>
        <v>2.5091586699999997</v>
      </c>
      <c r="LW101" s="85">
        <f t="shared" si="253"/>
        <v>0.35746821000000001</v>
      </c>
      <c r="LX101" s="85">
        <f t="shared" si="254"/>
        <v>3.0606999999999997E-4</v>
      </c>
      <c r="LZ101" s="131">
        <v>423.47</v>
      </c>
      <c r="MA101" s="171">
        <v>460.4</v>
      </c>
      <c r="MB101"/>
      <c r="MC101"/>
      <c r="MD101"/>
      <c r="MF101"/>
      <c r="MG101"/>
      <c r="MH101" s="83">
        <v>861.81</v>
      </c>
      <c r="MI101" s="83">
        <v>222.91</v>
      </c>
      <c r="MJ101" s="83">
        <v>539.83000000000004</v>
      </c>
      <c r="MK101"/>
      <c r="ML101" s="83">
        <v>260.93</v>
      </c>
      <c r="MM101" s="83">
        <v>709.89</v>
      </c>
      <c r="MN101" s="83"/>
      <c r="MO101" s="83">
        <v>256.42</v>
      </c>
      <c r="MP101" s="83">
        <v>671.9</v>
      </c>
      <c r="MQ101" s="83">
        <v>721.2</v>
      </c>
      <c r="MR101"/>
      <c r="MT101" s="83"/>
      <c r="MU101" s="83">
        <v>381.08</v>
      </c>
      <c r="MV101"/>
      <c r="MW101"/>
      <c r="MX101"/>
      <c r="MY101" s="83">
        <v>765.02</v>
      </c>
      <c r="MZ101" s="83">
        <v>1476</v>
      </c>
      <c r="NA101" s="83">
        <v>798.1</v>
      </c>
      <c r="NB101" s="83">
        <v>2509.5</v>
      </c>
      <c r="NC101" s="83">
        <v>357.21</v>
      </c>
      <c r="ND101" s="1">
        <v>2750</v>
      </c>
      <c r="NE101" s="1">
        <v>1688</v>
      </c>
    </row>
    <row r="102" spans="1:369" ht="13.2" customHeight="1" thickBot="1">
      <c r="A102" s="38">
        <f t="shared" si="334"/>
        <v>45170</v>
      </c>
      <c r="B102" s="36">
        <f t="shared" si="401"/>
        <v>9</v>
      </c>
      <c r="C102" s="36">
        <f t="shared" si="402"/>
        <v>2023</v>
      </c>
      <c r="D102" s="36">
        <f t="shared" si="347"/>
        <v>102</v>
      </c>
      <c r="E102" s="38">
        <f t="shared" si="335"/>
        <v>45170</v>
      </c>
      <c r="F102" s="7">
        <v>365.5</v>
      </c>
      <c r="G102" s="7">
        <v>2304.9</v>
      </c>
      <c r="H102" s="1">
        <f>[2]NACIONALES!$D90</f>
        <v>211965.0337728</v>
      </c>
      <c r="I102" s="7">
        <v>88</v>
      </c>
      <c r="J102" s="7">
        <v>770</v>
      </c>
      <c r="K102" s="7">
        <v>6.2</v>
      </c>
      <c r="L102" s="7">
        <v>28</v>
      </c>
      <c r="M102" s="183"/>
      <c r="N102" s="5">
        <v>1.88</v>
      </c>
      <c r="O102" s="5">
        <v>1.51</v>
      </c>
      <c r="P102" s="78">
        <f t="shared" si="398"/>
        <v>588.5463749999999</v>
      </c>
      <c r="Q102" s="6">
        <v>16000</v>
      </c>
      <c r="R102" s="79">
        <f t="shared" si="336"/>
        <v>160000</v>
      </c>
      <c r="S102" s="6">
        <f>66500/F102</f>
        <v>181.94254445964432</v>
      </c>
      <c r="T102" s="6">
        <f>118000/F102</f>
        <v>322.84541723666212</v>
      </c>
      <c r="U102" s="6">
        <v>186.6</v>
      </c>
      <c r="V102" s="6">
        <v>342.2285714285714</v>
      </c>
      <c r="W102" s="6">
        <v>282.08999999999997</v>
      </c>
      <c r="X102" s="6">
        <v>231.54285714285717</v>
      </c>
      <c r="Y102" s="79">
        <f t="shared" si="337"/>
        <v>66500</v>
      </c>
      <c r="Z102" s="79">
        <f t="shared" si="338"/>
        <v>118000</v>
      </c>
      <c r="AA102" s="79">
        <f t="shared" si="339"/>
        <v>68202.3</v>
      </c>
      <c r="AB102" s="79">
        <f t="shared" si="340"/>
        <v>125084.54285714285</v>
      </c>
      <c r="AC102" s="79">
        <f t="shared" si="341"/>
        <v>103103.89499999999</v>
      </c>
      <c r="AD102" s="79">
        <f t="shared" si="342"/>
        <v>84628.914285714302</v>
      </c>
      <c r="AE102" s="79">
        <f t="shared" si="343"/>
        <v>94253.275357142862</v>
      </c>
      <c r="AF102" s="1">
        <v>333158.59999999998</v>
      </c>
      <c r="AG102" s="1">
        <v>120000</v>
      </c>
      <c r="AH102" s="1">
        <v>456000</v>
      </c>
      <c r="AI102" s="5">
        <v>197.53739999999999</v>
      </c>
      <c r="AJ102" s="5">
        <v>142.4777</v>
      </c>
      <c r="AK102" s="5">
        <v>164.76509999999999</v>
      </c>
      <c r="AL102" s="5">
        <v>100.9194</v>
      </c>
      <c r="AM102" s="78">
        <f t="shared" si="344"/>
        <v>163.62589399999999</v>
      </c>
      <c r="AN102" s="7">
        <v>11869.915254237289</v>
      </c>
      <c r="AO102" s="7">
        <v>4329.5952380952385</v>
      </c>
      <c r="AP102" s="78">
        <f t="shared" si="385"/>
        <v>4329.5952380952385</v>
      </c>
      <c r="AQ102" s="7">
        <v>2226.7441860465115</v>
      </c>
      <c r="AR102" s="7">
        <v>4683.9619047619053</v>
      </c>
      <c r="AS102" s="7">
        <v>4331.7647058823532</v>
      </c>
      <c r="AT102" s="7">
        <v>7300.7904761904765</v>
      </c>
      <c r="AU102" s="78">
        <f t="shared" si="348"/>
        <v>5438.8390289449117</v>
      </c>
      <c r="AV102" s="7">
        <v>4980</v>
      </c>
      <c r="AW102" s="7">
        <v>6069.0476190476193</v>
      </c>
      <c r="AX102" s="7">
        <v>2289.1047619047622</v>
      </c>
      <c r="AY102" s="7">
        <v>4745.7456140350878</v>
      </c>
      <c r="AZ102" s="7">
        <v>1455.2380952380952</v>
      </c>
      <c r="BA102" s="7">
        <v>1437.1428571428571</v>
      </c>
      <c r="BB102" s="94">
        <f t="shared" si="345"/>
        <v>2654.0573795600112</v>
      </c>
      <c r="BC102" s="68">
        <v>12579</v>
      </c>
      <c r="BD102" s="68">
        <v>9149</v>
      </c>
      <c r="BE102" s="95">
        <f t="shared" si="411"/>
        <v>8595.7956914523966</v>
      </c>
      <c r="BF102" s="95">
        <f t="shared" si="411"/>
        <v>5900.5630332853925</v>
      </c>
      <c r="BG102" s="94">
        <f t="shared" si="349"/>
        <v>9056.0896811844468</v>
      </c>
      <c r="BH102" s="7">
        <v>633.33000000000004</v>
      </c>
      <c r="BI102" s="7">
        <f>83+150</f>
        <v>233</v>
      </c>
      <c r="BJ102" s="78">
        <f t="shared" si="350"/>
        <v>866.33</v>
      </c>
      <c r="BK102" s="7">
        <v>732.57899999999995</v>
      </c>
      <c r="BL102" s="7">
        <v>883.59</v>
      </c>
      <c r="BM102" s="94">
        <f t="shared" si="351"/>
        <v>808.08449999999993</v>
      </c>
      <c r="BN102" s="5">
        <v>118.36</v>
      </c>
      <c r="BO102" s="187">
        <v>769</v>
      </c>
      <c r="BP102" s="84">
        <v>639.70000000000005</v>
      </c>
      <c r="BQ102" s="94">
        <f t="shared" si="346"/>
        <v>756.07</v>
      </c>
      <c r="BR102" s="7">
        <v>478</v>
      </c>
      <c r="BS102" s="95">
        <f>+BS101</f>
        <v>1400</v>
      </c>
      <c r="BT102" s="7">
        <f>1.1*F102</f>
        <v>402.05</v>
      </c>
      <c r="BU102" s="79">
        <f t="shared" si="237"/>
        <v>18006.150000000001</v>
      </c>
      <c r="BV102" s="7">
        <v>501</v>
      </c>
      <c r="BW102" s="7">
        <v>1450</v>
      </c>
      <c r="BY102" s="92">
        <f>BY$10*(1+((H102/H$10-1)*costos!$B$5+((I102*F102)/(I$10*F$10)-1)*costos!$E$5+((J102*F102)/((J$10*F$10)-1)*costos!$F$5/3+((K102*F102)/(K$10*F$10)-1)*costos!$F$5/3+((U102*F102)/(U$10*F$10)-1)*costos!$F$5/3+((L102*F102)/(L$10*F$10)-1)*costos!$G$5+((N102*F102)/(N$10*F$10)-1)*costos!$J$5+((V102*F102)/(V$10*F$10)-1)*costos!$K$5)))</f>
        <v>3633.5602811039762</v>
      </c>
      <c r="BZ102" s="92">
        <f>$BZ$10*(1+((H102/$H$10-1)*costos!$B$6+((I102*F102)/($I$10*$F$10)-1)*costos!$E$6+((J102*F102)/(($J$10*$F$10)-1)*costos!$F$6/3+((K102*F102)/($K$10*$F$10)-1)*costos!$F$6/3+((U102*F102)/($U$10*$F$10)-1)*costos!$F$6/3+((L102*F102)/($L$10*$F$10)-1)*costos!$G$6+((Q102*F102)/($Q$10*$F$10)-1)*costos!$J$6+((V102*F102)/($V$10*$F$10)-1)*costos!$K$6)))</f>
        <v>3035.5361238492469</v>
      </c>
      <c r="CA102" s="92">
        <f>CA$10*(1+((H102/H$10-1)*costos!$B$7+((I102*F102)/(I$10*F$10)-1)*costos!$E$7+((J102*F102)/((J$10*F$10)-1)*costos!$F$7/3+((K102*F102)/(K$10*F$10)-1)*costos!$F$7/3+((U102*F102)/(U$10*F$10)-1)*costos!$F$7/3+((L102*F102)/(L$10*F$10)-1)*costos!$G$7+((S102*F102)/(S$10*F$10)-1)*costos!$J$7+((V102*F102)/(V$10*F$10)-1)*costos!$K$7)))</f>
        <v>3427.5059972890558</v>
      </c>
      <c r="CB102" s="92">
        <f>CB$10*(1+((H102/H$10-1)*costos!$B$8+((I102*F102)/(I$10*F$10)-1)*costos!$E$8+((J102*F102)/((J$10*F$10)-1)*costos!$F$8/3+((K102*F102)/(K$10*F$10)-1)*costos!$F$8/3+((U102*F102)/(U$10*F$10)-1)*costos!$F$8/3+((L102*F102)/(L$10*F$10)-1)*costos!$G$8+((T102*F102)/(T$10*F$10)-1)*costos!$J$8+((V102*F102)/(V$10*F$10)-1)*costos!$K$8)))</f>
        <v>3306.619570577147</v>
      </c>
      <c r="CC102" s="92">
        <f>CC$10*(1+((H102/H$10-1)*costos!$B$9+((I102*F102)/(I$10*F$10)-1)*costos!$E$9+((J102*F102)/((J$10*F$10)-1)*costos!$F$9/3+((K102*F102)/(K$10*F$10)-1)*costos!$F$9/3+((U102*F102)/(U$10*F$10)-1)*costos!$F$9/3+((L102*F102)/(L$10*F$10)-1)*costos!$G$9+((U102*F102)/(U$10*F$10)-1)*costos!$J$9+((V102*F102)/(V$10*F$10)-1)*costos!$K$9)))</f>
        <v>3324.581391707889</v>
      </c>
      <c r="CD102" s="92">
        <f>CD$10*(1+((H102/H$10-1)*costos!$B$11+((I102*F102)/(I$10*F$10)-1)*costos!$E$11+((J102*F102)/((J$10*F$10)-1)*costos!$F$11/3+((K102*F102)/(K$10*F$10)-1)*costos!$F$11/3+((U102*F102)/(U$10*F$10)-1)*costos!$F$11/3+((L102*F102)/(L$10*F$10)-1)*costos!$G$11+((V102*F102)/(V$10*F$10)-1)*costos!$J$11+((V102*F102)/(V$10*F$10)-1)*costos!$K$11)))</f>
        <v>3631.601465922337</v>
      </c>
      <c r="CE102" s="92">
        <f>CE$10*(1+((H102/H$10-1)*costos!$B$12+((I102*F102)/(I$10*F$10)-1)*costos!$E$12+((J102*F102)/((J$10*F$10)-1)*costos!$F$12/3+((K102*F102)/(K$10*F$10)-1)*costos!$F$12/3+((U102*F102)/(U$10*F$10)-1)*costos!$F$12/3+((L102*F102)/(L$10*F$10)-1)*costos!$G$12+((W102*F102)/(W$10*F$10)-1)*costos!$J$12+((V102*F102)/(V$10*F$10)-1)*costos!$K$12)))</f>
        <v>3805.0421302978784</v>
      </c>
      <c r="CF102" s="92">
        <f>CF$10*(1+((H102/H$10-1)*costos!$B$13+((I102*F102)/(I$10*F$10)-1)*costos!$E$13+((J102*F102)/((J$10*F$10)-1)*costos!$F$13/3+((K102*F102)/(K$10*F$10)-1)*costos!$F$13/3+((U102*F102)/(U$10*F$10)-1)*costos!$F$13/3+((L102*F102)/(L$10*F$10)-1)*costos!$G$13+((X102*F102)/(X$10*F$10)-1)*costos!$J$13+((V102*F102)/(V$10*F$10)-1)*costos!$K$13)))</f>
        <v>3613.8424058313099</v>
      </c>
      <c r="CG102" s="92">
        <f t="shared" si="388"/>
        <v>3518.1988269376029</v>
      </c>
      <c r="CH102" s="92">
        <f>CH$10*(1+((H102/H$10-1)*costos!$B$10+((I102*F102)/(I$10*F$10)-1)*costos!$E$10+((J102*F102)/((J$10*F$10)-1)*costos!$F$10/3+((K102*F102)/(K$10*F$10)-1)*costos!$F$10/3+((U102*F102)/(U$10*F$10)-1)*costos!$F$10/3+((L102*F102)/(L$10*F$10)-1)*costos!$G$10+((AF102)/(AF$10)-1)*costos!$J$10+((V102*F102)/(V$10*F$10)-1)*costos!$K$10)))</f>
        <v>4082.0298612760075</v>
      </c>
      <c r="CI102" s="92">
        <f>CI$10*(1+((H102/H$10-1)*costos!$B$15+((I102*F102)/(I$10*F$10)-1)*costos!$E$15+((J102*F102)/((J$10*F$10)-1)*costos!$F$15/3+((K102*F102)/(K$10*F$10)-1)*costos!$F$15/3+((U102*F102)/(U$10*F$10)-1)*costos!$F$15/3+((L102*F102)/(L$10*F$10)-1)*costos!$G$15+((AV102)/(AV$10)-1)*costos!$J$15+((V102*F102)/(V$10*F$10)-1)*costos!$K$15)))</f>
        <v>3896.5686540169195</v>
      </c>
      <c r="CJ102" s="92">
        <f>CJ$10*(1+((H102/H$10-1)*costos!$B$16+((I102*F102)/(I$10*F$10)-1)*costos!$E$16+((J102*F102)/((J$10*F$10)-1)*costos!$F$16/3+((K102*F102)/(K$10*F$10)-1)*costos!$F$16/3+((U102*F102)/(U$10*F$10)-1)*costos!$F$16/3+((L102*F102)/(L$10*F$10)-1)*costos!$G$16+((AW102)/(AW$10)-1)*costos!$J$16+((V102*F102)/(V$10*F$10)-1)*costos!$K$16)))</f>
        <v>2969.5451212140711</v>
      </c>
      <c r="CK102" s="92">
        <f>CK$10*(1+((H102/H$10-1)*costos!$B$17+((I102*F102)/(I$10*F$10)-1)*costos!$E$17+((J102*F102)/((J$10*F$10)-1)*costos!$F$17/3+((K102*F102)/(K$10*F$10)-1)*costos!$F$17/3+((U102*F102)/(U$10*F$10)-1)*costos!$F$17/3+((L102*F102)/(L$10*F$10)-1)*costos!$G$17+((AX102)/(AX$10)-1)*costos!$J$17+((V102*F102)/(V$10*F$10)-1)*costos!$K$17)))</f>
        <v>3159.933141800313</v>
      </c>
      <c r="CL102" s="92">
        <f>CL$10*(1+((H102/H$10-1)*costos!$B$18+((I102*F102)/(I$10*F$10)-1)*costos!$E$18+((J102*F102)/((J$10*F$10)-1)*costos!$F$18/3+((K102*F102)/(K$10*F$10)-1)*costos!$F$18/3+((U102*F102)/(U$10*F$10)-1)*costos!$F$18/3+((L102*F102)/(L$10*F$10)-1)*costos!$G$18+((AY102)/(AY$10)-1)*costos!$J$18+((V102*F102)/(V$10*F$10)-1)*costos!$K$18)))</f>
        <v>3684.7460710364116</v>
      </c>
      <c r="CM102" s="92">
        <f>CM$10*(1+((H102/H$10-1)*costos!$B$19+((I102*F102)/(I$10*F$10)-1)*costos!$E$19+((J102*F102)/((J$10*F$10)-1)*costos!$F$19/3+((K102*F102)/(K$10*F$10)-1)*costos!$F$19/3+((U102*F102)/(U$10*F$10)-1)*costos!$F$19/3+((L102*F102)/(L$10*F$10)-1)*costos!$G$19+((AZ102)/(AZ$10)-1)*costos!$J$19+((V102*F102)/(V$10*F$10)-1)*costos!$K$19)))</f>
        <v>2508.9337294532343</v>
      </c>
      <c r="CN102" s="92">
        <f>CN$10*(1+((H102/H$10-1)*costos!$B$20+((I102*F102)/(I$10*F$10)-1)*costos!$E$20+((J102*F102)/((J$10*F$10)-1)*costos!$F$20/3+((K102*F102)/(K$10*F$10)-1)*costos!$F$20/3+((U102*F102)/(U$10*F$10)-1)*costos!$F$20/3+((L102*F102)/(L$10*F$10)-1)*costos!$G$20+((BA102)/(BA$10)-1)*costos!$J$20+((V102*F102)/(V$10*F$10)-1)*costos!$K$20)))</f>
        <v>2744.7400750892666</v>
      </c>
      <c r="CO102" s="92">
        <f t="shared" si="399"/>
        <v>3024.5882543448065</v>
      </c>
      <c r="CP102" s="92">
        <f>CP$10*(1+((H102/H$10-1)*costos!$B$22+((I102*F102)/(I$10*F$10)-1)*costos!$E$22+((J102*F102)/((J$10*F$10)-1)*costos!$F$22/3+((K102*F102)/(K$10*F$10)-1)*costos!$F$22/3+((U102*F102)/(U$10*F$10)-1)*costos!$F$22/3+((L102*F102)/(L$10*F$10)-1)*costos!$G$22+(((AVERAGE(AI102:AL102))/((AVERAGE(AI$10:AL$10))-1)*costos!$J$22+((V102*F102)/(V$10*F$10)-1)*costos!$K$22)))))</f>
        <v>3675.0641934683417</v>
      </c>
      <c r="CQ102" s="92">
        <f>CQ$10*(1+((H102/H$10-1)*costos!$B$23+((I102*F102)/(I$10*F$10)-1)*costos!$E$23+((J102*F102)/((J$10*F$10)-1)*costos!$F$23/3+((K102*F102)/(K$10*F$10)-1)*costos!$F$23/3+((U102*F102)/(U$10*F$10)-1)*costos!$F$23/3+((L102*F102)/(L$10*F$10)-1)*costos!$G$23+((AN102)/(AN$10)-1)*costos!$J$23+((V102*F102)/(V$10*F$10)-1)*costos!$K$23)))</f>
        <v>3164.1076187851922</v>
      </c>
      <c r="CR102" s="92">
        <f>CR$10*(1+((H102/H$10-1)*costos!$B$24+((I102*F102)/(I$10*F$10)-1)*costos!$E$24+((J102*F102)/((J$10*F$10)-1)*costos!$F$24/3+((K102*F102)/(K$10*F$10)-1)*costos!$F$24/3+((U102*F102)/(U$10*F$10)-1)*costos!$F$24/3+((L102*F102)/(L$10*F$10)-1)*costos!$G$24+((AO102)/(AO$10)-1)*costos!$J$24+((V102*F102)/(V$10*F$10)-1)*costos!$K$24)))</f>
        <v>2929.3000697671609</v>
      </c>
      <c r="CS102" s="92">
        <f t="shared" si="352"/>
        <v>3046.7038442761768</v>
      </c>
      <c r="CT102" s="92">
        <f>CT$10*(1+((H102/H$10-1)*costos!$B$25+((I102*F102)/(I$10*F$10)-1)*costos!$E$25+((J102*F102)/((J$10*F$10)-1)*costos!$F$25/3+((K102*F102)/(K$10*F$10)-1)*costos!$F$25/3+((U102*F102)/(U$10*F$10)-1)*costos!$F$25/3+((L102*F102)/(L$10*F$10)-1)*costos!$G$25+((AQ102)/(AQ$10)-1)*costos!$J$25+((V102*F102)/(V$10*F$10)-1)*costos!$K$25)))</f>
        <v>2758.8242301236733</v>
      </c>
      <c r="CU102" s="92">
        <f>CU$10*(1+((H102/H$10-1)*costos!$B$26+((I102*F102)/(I$10*F$10)-1)*costos!$E$26+((J102*F102)/((J$10*F$10)-1)*costos!$F$26/3+((K102*F102)/(K$10*F$10)-1)*costos!$F$26/3+((U102*F102)/(U$10*F$10)-1)*costos!$F$26/3+((L102*F102)/(L$10*F$10)-1)*costos!$G$26+((AR102)/(AR$10)-1)*costos!$J$26+((V102*F102)/(V$10*F$10)-1)*costos!$K$26)))</f>
        <v>3111.998443014425</v>
      </c>
      <c r="CV102" s="92">
        <f>CV$10*(1+((H102/H$10-1)*costos!$B$27+((I102*F102)/(I$10*F$10)-1)*costos!$E$27+((J102*F102)/((J$10*F$10)-1)*costos!$F$27/3+((K102*F102)/(K$10*F$10)-1)*costos!$F$27/3+((U102*F102)/(U$10*F$10)-1)*costos!$F$27/3+((L102*F102)/(L$10*F$10)-1)*costos!$G$27+((AS102)/(AS$10)-1)*costos!$J$27+((V102*F102)/(V$10*F$10)-1)*costos!$K$27)))</f>
        <v>3082.8839861915021</v>
      </c>
      <c r="CW102" s="92">
        <f>CW$10*(1+((H102/H$10-1)*costos!$B$28+((I102*F102)/(I$10*F$10)-1)*costos!$E$28+((J102*F102)/((J$10*F$10)-1)*costos!$F$28/3+((K102*F102)/(K$10*F$10)-1)*costos!$F$28/3+((U102*F102)/(U$10*F$10)-1)*costos!$F$28/3+((L102*F102)/(L$10*F$10)-1)*costos!$G$28+((AS102)/(AS$10)-1)*costos!$J$28+((V102*F102)/(V$10*F$10)-1)*costos!$K$28)))</f>
        <v>3082.8839861915021</v>
      </c>
      <c r="CX102" s="92">
        <f t="shared" si="400"/>
        <v>3092.5888051324764</v>
      </c>
      <c r="CY102" s="92">
        <f>CY$10*(1+((H102/H$10-1)*costos!$B$32+((I102*F102)/(I$10*F$10)-1)*costos!$E$32+((J102*F102)/((J$10*F$10)-1)*costos!$F$32/3+((K102*F102)/(K$10*F$10)-1)*costos!$F$32/3+((U102*F102)/(U$10*F$10)-1)*costos!$F$32/3+((L102*F102)/(L$10*F$10)-1)*costos!$G$32+((AG102)/(AG$10)-1)*costos!$J$32+((V102*F102)/(V$10*F$10)-1)*costos!$K$32)))</f>
        <v>2867.0199111646307</v>
      </c>
      <c r="CZ102" s="69">
        <f>CZ$10*(1+((H102/H$10-1)*costos!$B$31+((I102*F102)/(I$10*F$10)-1)*costos!$E$30+((J102*F102)/((J$10*F$10)-1)*costos!$F$30/3+((K102*F102)/(K$10*F$10)-1)*costos!$F$30/3+((U102*F102)/(U$10*F$10)-1)*costos!$F$30/3+((L102*F102)/(L$10*F$10)-1)*costos!$G$30+((BG102)/(BG$10)-1)*costos!$J$30+((V102*F102)/(V$10*F$10)-1)*costos!$K$30)))</f>
        <v>3569.6116564316208</v>
      </c>
      <c r="DA102" s="69">
        <f>DA$10*(1+((H102/H$10-1)*costos!$B$31+((I102*F102)/(I$10*F$10)-1)*costos!$E$31+((J102*F102)/((J$10*F$10)-1)*costos!$F$31/3+((K102*F102)/(K$10*F$10)-1)*costos!$F$31/3+((U102*F102)/(U$10*F$10)-1)*costos!$F$31/3+((L102*F102)/(L$10*F$10)-1)*costos!$G$31+((BJ102)/(BJ$10)-1)*costos!$J$31+((V102*F102)/(V$10*F$10)-1)*costos!$K$31)))</f>
        <v>2956.4195514386265</v>
      </c>
      <c r="DB102" s="69">
        <f>DB$10*(1+((H102/H$10-1)*costos!$B$36+((I102*F102)/(I$10*F$10)-1)*costos!$E$36+((J102*F102)/((J$10*F$10)-1)*costos!$F$36/3+((K102*F102)/(K$10*F$10)-1)*costos!$F$36/3+((U102*F102)/(U$10*F$10)-1)*costos!$F$36/3+((L102*F102)/(L$10*F$10)-1)*costos!$G$36+((BK102)/(BK$10)-1)*costos!$J$36+((V102*F102)/(V$10*F$10)-1)*costos!$K$36)))</f>
        <v>3221.357045875935</v>
      </c>
      <c r="DC102" s="69">
        <f>DC$10*(1+((H102/H$10-1)*costos!$B$37+((I102*F102)/(I$10*F$10)-1)*costos!$E$37+((U102*F102)/(U$10*F$10)-1)*costos!$F$37+((L102*F102)/(L$10*F$10)-1)*costos!$G$37+((BN102)/(BN$10)-1)*costos!$J$37+((V102*F102)/(V$10*F$10)-1)*costos!$K$37))</f>
        <v>3167.5416170005251</v>
      </c>
      <c r="DD102" s="69">
        <f>DD$10*(1+((H102/H$10-1)*costos!$B$39+((I102*F102)/(I$10*F$10)-1)*costos!$E$39+((U102*F102)/(U$10*F$10)-1)*costos!$F$39+((L102*F102)/(L$10*F$10)-1)*costos!$G$39+((BR102)/(BR$10)-1)*costos!$J$39+((V102*F102)/(V$10*F$10)-1)*costos!$K$39))</f>
        <v>3136.099445198126</v>
      </c>
      <c r="DE102" s="69">
        <f>DD$10*(1+((H102/H$10-1)*costos!$B$35+((I102*F102)/(I$10*F$10)-1)*costos!$E$35+((U102*F102)/(U$10*F$10)-1)*costos!$F$35+((L102*F102)/(L$10*F$10)-1)*costos!$G$35+((BR102)/(BR$10)-1)*costos!$J$35+((V102*F102)/(V$10*F$10)-1)*costos!$K$35))</f>
        <v>2831.584906092879</v>
      </c>
      <c r="DF102" s="69">
        <f>DF$10*(1+((H102/H$10-1)*costos!$B$40+((I102*F102)/(I$10*F$10)-1)*costos!$E$40+((U102*F102)/(U$10*F$10)-1)*costos!$F$40+((L102*F102)/(L$10*F$10)-1)*costos!$G$40+((BP102)/(BP$10)-1)*costos!$J$40+((V102*F102)/(V$10*F$10)-1)*costos!$K$40))</f>
        <v>3345.1457312361981</v>
      </c>
      <c r="DG102" s="92">
        <f t="shared" si="391"/>
        <v>3088.3653186645388</v>
      </c>
      <c r="DH102" s="69">
        <f>DH$10*(1+((H102/H$10-1)*costos!$B$34+((I102*F102)/(I$10*F$10)-1)*costos!$E$34+((J102*F102)/((J$10*F$10)-1)*costos!$F$34/3+((K102*F102)/(K$10*F$10)-1)*costos!$F$34/3+((U102*F102)/(U$10*F$10)-1)*costos!$F$34/3+((L102*F102)/(L$10*F$10)-1)*costos!$G$34+((BV102)/(BV$10)-1)*costos!$J$34+((V102*F102)/(V$10*F$10)-1)*costos!$K$34)))</f>
        <v>2966.4413532557423</v>
      </c>
      <c r="DI102" s="69">
        <f>DI$10*(1+((H102/H$10-1)*costos!$B$38+((I102*F102)/(I$10*F$10)-1)*costos!$E$38+((J102*F102)/((J$10*F$10)-1)*costos!$F$38/3+((K102*F102)/(K$10*F$10)-1)*costos!$F$38/3+((U102*F102)/(U$10*F$10)-1)*costos!$F$38/3+((L102*F102)/(L$10*F$10)-1)*costos!$G$38+((BU102)/(BU$10)-1)*costos!$J$38+((V102*F102)/(V$10*F$10)-1)*costos!$K$38)))</f>
        <v>2840.5346702836368</v>
      </c>
      <c r="DK102" s="1">
        <v>580000</v>
      </c>
      <c r="DL102" s="1" t="s">
        <v>399</v>
      </c>
      <c r="DM102" s="1">
        <v>200000</v>
      </c>
      <c r="DN102" s="1" t="s">
        <v>399</v>
      </c>
      <c r="DO102" s="1">
        <v>1600000</v>
      </c>
      <c r="DP102" s="1" t="s">
        <v>410</v>
      </c>
      <c r="DQ102" s="1">
        <v>2400000</v>
      </c>
      <c r="DR102" s="1" t="s">
        <v>410</v>
      </c>
      <c r="DS102" s="1">
        <v>7300000</v>
      </c>
      <c r="DT102" s="1" t="s">
        <v>410</v>
      </c>
      <c r="DU102" s="1">
        <v>16000000</v>
      </c>
      <c r="DV102" s="1" t="s">
        <v>399</v>
      </c>
      <c r="DW102" s="1">
        <v>750000</v>
      </c>
      <c r="DX102" s="1" t="s">
        <v>410</v>
      </c>
      <c r="DY102" s="1">
        <v>5916000</v>
      </c>
      <c r="DZ102" s="1" t="s">
        <v>410</v>
      </c>
      <c r="EA102" s="79">
        <f t="shared" si="353"/>
        <v>33966000</v>
      </c>
      <c r="EB102" s="1">
        <v>416490</v>
      </c>
      <c r="EC102" s="1" t="s">
        <v>410</v>
      </c>
      <c r="ED102" s="1">
        <v>222162</v>
      </c>
      <c r="EE102" s="143">
        <v>2023</v>
      </c>
      <c r="EF102" s="1">
        <v>204847</v>
      </c>
      <c r="EG102" s="6">
        <v>2023</v>
      </c>
      <c r="EH102" s="1">
        <v>54242595</v>
      </c>
      <c r="EI102" s="6">
        <v>2023</v>
      </c>
      <c r="EJ102" s="1">
        <v>5887401</v>
      </c>
      <c r="EK102" s="6">
        <v>2023</v>
      </c>
      <c r="EL102" s="1">
        <v>12461845</v>
      </c>
      <c r="EM102" s="6">
        <v>2022</v>
      </c>
      <c r="EN102" s="1">
        <v>3169981</v>
      </c>
      <c r="EO102" s="6">
        <v>2021</v>
      </c>
      <c r="EP102" s="83">
        <v>9372</v>
      </c>
      <c r="EQ102" s="83">
        <v>3500000</v>
      </c>
      <c r="ER102" s="1">
        <f t="shared" si="403"/>
        <v>79916</v>
      </c>
      <c r="ES102" s="1"/>
      <c r="ET102" s="83">
        <f t="shared" si="393"/>
        <v>20677</v>
      </c>
      <c r="EU102" s="83">
        <f t="shared" si="393"/>
        <v>19532</v>
      </c>
      <c r="EV102" s="83">
        <f t="shared" si="393"/>
        <v>9103</v>
      </c>
      <c r="EW102" s="83">
        <f t="shared" si="393"/>
        <v>17281</v>
      </c>
      <c r="EX102" s="79">
        <f t="shared" si="354"/>
        <v>66593</v>
      </c>
      <c r="EY102" s="83">
        <f t="shared" si="394"/>
        <v>20193</v>
      </c>
      <c r="EZ102" s="83">
        <f t="shared" si="394"/>
        <v>32682</v>
      </c>
      <c r="FA102" s="83">
        <f t="shared" si="405"/>
        <v>19526</v>
      </c>
      <c r="FB102" s="83">
        <f t="shared" si="406"/>
        <v>19463</v>
      </c>
      <c r="FC102" s="79">
        <f t="shared" si="410"/>
        <v>38989</v>
      </c>
      <c r="FD102" s="83">
        <f t="shared" si="395"/>
        <v>54743</v>
      </c>
      <c r="FE102" s="1"/>
      <c r="FF102" s="1">
        <v>900000</v>
      </c>
      <c r="FG102" s="1" t="s">
        <v>399</v>
      </c>
      <c r="FH102" s="1">
        <v>1200000</v>
      </c>
      <c r="FI102" s="1" t="s">
        <v>399</v>
      </c>
      <c r="FJ102" s="1">
        <v>4600000</v>
      </c>
      <c r="FK102" s="1" t="s">
        <v>399</v>
      </c>
      <c r="FL102" s="1">
        <v>5000000</v>
      </c>
      <c r="FM102" s="1" t="s">
        <v>399</v>
      </c>
      <c r="FN102" s="1">
        <v>54000000</v>
      </c>
      <c r="FO102" s="1" t="s">
        <v>410</v>
      </c>
      <c r="FP102" s="1">
        <v>25000000</v>
      </c>
      <c r="FQ102" s="1" t="s">
        <v>399</v>
      </c>
      <c r="FR102" s="1">
        <v>1600000</v>
      </c>
      <c r="FS102" s="1" t="s">
        <v>399</v>
      </c>
      <c r="FT102" s="1">
        <v>12555000</v>
      </c>
      <c r="FU102" s="1" t="s">
        <v>399</v>
      </c>
      <c r="FV102" s="79">
        <f t="shared" si="355"/>
        <v>102755000</v>
      </c>
      <c r="FW102" s="1">
        <v>940426</v>
      </c>
      <c r="FX102" s="1" t="s">
        <v>399</v>
      </c>
      <c r="FY102" s="1">
        <v>68633</v>
      </c>
      <c r="FZ102" s="79">
        <f t="shared" si="377"/>
        <v>752155.26899999997</v>
      </c>
      <c r="GA102" s="86" t="str">
        <f t="shared" si="378"/>
        <v>oct22 sept23</v>
      </c>
      <c r="GB102" s="1">
        <v>14553117</v>
      </c>
      <c r="GC102" s="6">
        <v>2023</v>
      </c>
      <c r="GD102" s="83">
        <v>2315000</v>
      </c>
      <c r="GE102" s="83">
        <v>377000</v>
      </c>
      <c r="GF102" s="83">
        <v>1061000</v>
      </c>
      <c r="GG102" s="83">
        <v>127000</v>
      </c>
      <c r="GH102" s="79">
        <f t="shared" si="240"/>
        <v>1565000</v>
      </c>
      <c r="GI102" s="82">
        <f t="shared" si="373"/>
        <v>1302556</v>
      </c>
      <c r="GJ102" s="83">
        <f t="shared" si="373"/>
        <v>687701</v>
      </c>
      <c r="GK102" s="83">
        <f t="shared" si="373"/>
        <v>1430078.41</v>
      </c>
      <c r="GL102" s="83">
        <f t="shared" si="373"/>
        <v>302535.34000000003</v>
      </c>
      <c r="GM102" s="83">
        <f t="shared" si="373"/>
        <v>257597.81</v>
      </c>
      <c r="GN102" s="79">
        <f t="shared" si="357"/>
        <v>2677912.56</v>
      </c>
      <c r="GO102" s="83">
        <f t="shared" si="374"/>
        <v>202394.36</v>
      </c>
      <c r="GP102" s="83">
        <f t="shared" si="374"/>
        <v>73395</v>
      </c>
      <c r="GQ102" s="83">
        <v>30795</v>
      </c>
      <c r="GR102" s="1">
        <v>35181</v>
      </c>
      <c r="GS102" s="79">
        <f t="shared" si="412"/>
        <v>36104.85</v>
      </c>
      <c r="GT102" s="83">
        <f t="shared" si="407"/>
        <v>2365997</v>
      </c>
      <c r="GU102" s="1">
        <f>27249-2978</f>
        <v>24271</v>
      </c>
      <c r="GV102" s="1">
        <f>40012-9352</f>
        <v>30660</v>
      </c>
      <c r="GW102" s="79">
        <f t="shared" si="261"/>
        <v>786631</v>
      </c>
      <c r="GX102" s="1">
        <v>33126.813000000002</v>
      </c>
      <c r="GY102" s="1" t="s">
        <v>402</v>
      </c>
      <c r="GZ102" s="1">
        <v>87408</v>
      </c>
      <c r="HA102" s="178">
        <v>265186</v>
      </c>
      <c r="HB102" s="79">
        <f t="shared" si="241"/>
        <v>3284258</v>
      </c>
      <c r="HC102" s="86" t="str">
        <f t="shared" si="379"/>
        <v>oct22 sept23</v>
      </c>
      <c r="HD102" s="180">
        <v>64529</v>
      </c>
      <c r="HE102" s="79">
        <f t="shared" si="380"/>
        <v>751562</v>
      </c>
      <c r="HF102" s="86" t="str">
        <f t="shared" si="381"/>
        <v>oct22 sept23</v>
      </c>
      <c r="HG102" s="1">
        <v>188000</v>
      </c>
      <c r="HH102" s="79">
        <f t="shared" si="242"/>
        <v>2296000</v>
      </c>
      <c r="HI102" s="86" t="str">
        <f t="shared" si="382"/>
        <v>oct22 sept23</v>
      </c>
      <c r="HJ102" s="178">
        <v>93886</v>
      </c>
      <c r="HK102" s="79">
        <f t="shared" si="278"/>
        <v>70087.56</v>
      </c>
      <c r="HL102" s="86" t="str">
        <f t="shared" si="383"/>
        <v>oct22 sept23</v>
      </c>
      <c r="HM102" s="79">
        <f t="shared" si="358"/>
        <v>2366087.56</v>
      </c>
      <c r="HN102" s="87">
        <f t="shared" si="297"/>
        <v>-3.6346691519105301E-2</v>
      </c>
      <c r="HO102" s="1">
        <v>1034000000</v>
      </c>
      <c r="HP102" s="79">
        <f t="shared" si="386"/>
        <v>11493.283332000001</v>
      </c>
      <c r="HQ102" s="86" t="str">
        <f t="shared" si="384"/>
        <v>oct22 sept23</v>
      </c>
      <c r="HR102" s="1"/>
      <c r="HS102" s="1"/>
      <c r="HT102" s="1"/>
      <c r="HU102" s="1">
        <v>700000</v>
      </c>
      <c r="HV102" s="1" t="s">
        <v>399</v>
      </c>
      <c r="HW102" s="1">
        <v>1500000</v>
      </c>
      <c r="HX102" s="1" t="s">
        <v>410</v>
      </c>
      <c r="HY102" s="1">
        <v>4300000</v>
      </c>
      <c r="HZ102" s="1" t="s">
        <v>399</v>
      </c>
      <c r="IA102" s="1">
        <f t="shared" si="408"/>
        <v>21000000</v>
      </c>
      <c r="IB102" s="1" t="s">
        <v>399</v>
      </c>
      <c r="IC102" s="1">
        <v>38500000</v>
      </c>
      <c r="ID102" s="1" t="s">
        <v>399</v>
      </c>
      <c r="IE102" s="1">
        <v>750000</v>
      </c>
      <c r="IF102" s="1" t="s">
        <v>399</v>
      </c>
      <c r="IG102" s="1">
        <f t="shared" si="365"/>
        <v>7400000</v>
      </c>
      <c r="IH102" s="1" t="s">
        <v>410</v>
      </c>
      <c r="II102" s="79">
        <f t="shared" si="359"/>
        <v>73450000</v>
      </c>
      <c r="IJ102" s="97">
        <f t="shared" si="409"/>
        <v>1.9885213252125911</v>
      </c>
      <c r="IK102" s="1" t="s">
        <v>399</v>
      </c>
      <c r="IL102" s="186">
        <v>45.88</v>
      </c>
      <c r="IM102" s="7">
        <v>51.01</v>
      </c>
      <c r="IN102" s="7">
        <v>188.6</v>
      </c>
      <c r="IO102" s="7">
        <v>16.71</v>
      </c>
      <c r="IP102" s="176">
        <f t="shared" si="404"/>
        <v>6.139895208369488</v>
      </c>
      <c r="IQ102" s="176">
        <v>16.7</v>
      </c>
      <c r="IR102" s="98">
        <f t="shared" si="397"/>
        <v>6.92</v>
      </c>
      <c r="IS102" s="98">
        <f t="shared" si="397"/>
        <v>4.57</v>
      </c>
      <c r="IT102" s="98">
        <f t="shared" si="397"/>
        <v>13.61</v>
      </c>
      <c r="IU102" s="98">
        <f t="shared" si="397"/>
        <v>1.56</v>
      </c>
      <c r="IV102" s="94">
        <f t="shared" si="360"/>
        <v>19.739999999999998</v>
      </c>
      <c r="IW102" s="1"/>
      <c r="IX102" s="1"/>
      <c r="IY102" s="105">
        <v>1.88</v>
      </c>
      <c r="IZ102" s="161">
        <v>0.3</v>
      </c>
      <c r="JA102" s="83">
        <v>2813</v>
      </c>
      <c r="JB102" s="7">
        <v>35.950000000000003</v>
      </c>
      <c r="JC102" s="1"/>
      <c r="JD102" s="1"/>
      <c r="JF102" s="2">
        <v>16.61514231</v>
      </c>
      <c r="JG102" s="2">
        <v>12.24327484</v>
      </c>
      <c r="JH102" s="2">
        <v>153.58045444000001</v>
      </c>
      <c r="JI102" s="2">
        <v>225.57921037999998</v>
      </c>
      <c r="JJ102" s="2">
        <v>807.54438919000017</v>
      </c>
      <c r="JK102" s="2">
        <v>102.74257099999998</v>
      </c>
      <c r="JL102" s="2">
        <v>1643.3799617700001</v>
      </c>
      <c r="JM102" s="2">
        <v>36.555526460000003</v>
      </c>
      <c r="JN102" s="2">
        <v>71.305439109999995</v>
      </c>
      <c r="JO102" s="2">
        <v>29.35689408</v>
      </c>
      <c r="JP102" s="2">
        <v>0</v>
      </c>
      <c r="JQ102" s="2">
        <v>0.36234388000000001</v>
      </c>
      <c r="JR102" s="2">
        <v>1.9638612699999998</v>
      </c>
      <c r="JS102" s="2">
        <v>0</v>
      </c>
      <c r="JT102" s="2">
        <v>3.0883000000000001E-2</v>
      </c>
      <c r="JU102" s="2">
        <v>86.673250950000011</v>
      </c>
      <c r="JV102" s="2">
        <v>11.844286239999999</v>
      </c>
      <c r="JW102" s="2">
        <v>12.35980846</v>
      </c>
      <c r="JX102" s="2">
        <v>12.875708500000002</v>
      </c>
      <c r="JY102" s="2">
        <v>0</v>
      </c>
      <c r="JZ102" s="2">
        <v>3.3735687800000003</v>
      </c>
      <c r="KA102" s="2">
        <v>0.52830180000000004</v>
      </c>
      <c r="KB102" s="2">
        <v>25.649224320000002</v>
      </c>
      <c r="KC102" s="2">
        <v>33.051481680000002</v>
      </c>
      <c r="KD102" s="2">
        <v>11.833514059999999</v>
      </c>
      <c r="KE102" s="2">
        <v>16.805607889999997</v>
      </c>
      <c r="KF102" s="2">
        <v>24.343011479999998</v>
      </c>
      <c r="KG102" s="2">
        <v>292.91820976000002</v>
      </c>
      <c r="KH102" s="2">
        <v>114.82793965999997</v>
      </c>
      <c r="KI102" s="2">
        <v>10.49137048</v>
      </c>
      <c r="KJ102" s="2">
        <v>1.8830951399999996</v>
      </c>
      <c r="KK102" s="171">
        <v>8.1137987799999998</v>
      </c>
      <c r="KL102" s="171">
        <v>0.10767879</v>
      </c>
      <c r="KM102" s="171">
        <v>0.66085614999999998</v>
      </c>
      <c r="KN102" s="171">
        <v>5.4130949999999997E-2</v>
      </c>
      <c r="KO102" s="171">
        <v>2.5698116099999999</v>
      </c>
      <c r="KP102" s="171">
        <v>5.563009E-2</v>
      </c>
      <c r="KQ102" s="171">
        <v>319.16022236000003</v>
      </c>
      <c r="KR102" s="171">
        <v>1.7862099999999999E-2</v>
      </c>
      <c r="KS102" s="171">
        <v>0.11961441</v>
      </c>
      <c r="KT102" s="171">
        <v>1.9864389700000002</v>
      </c>
      <c r="KU102" s="171">
        <v>0.13955175</v>
      </c>
      <c r="KV102" s="171">
        <v>0</v>
      </c>
      <c r="KW102" s="171">
        <v>1.3263511099999998</v>
      </c>
      <c r="KX102" s="171">
        <v>0</v>
      </c>
      <c r="KY102" s="171">
        <v>0</v>
      </c>
      <c r="KZ102" s="171">
        <v>1.3147188099999998</v>
      </c>
      <c r="LA102" s="171">
        <v>0.35373779999999999</v>
      </c>
      <c r="LB102" s="171">
        <v>2.0368599999999997E-2</v>
      </c>
      <c r="LC102" s="171">
        <v>9.2476799999999998E-2</v>
      </c>
      <c r="LD102" s="171">
        <v>0</v>
      </c>
      <c r="LE102" s="171">
        <v>0</v>
      </c>
      <c r="LF102" s="171">
        <v>0.36129600000000001</v>
      </c>
      <c r="LG102" s="171">
        <v>16.68359323</v>
      </c>
      <c r="LH102" s="171">
        <v>5.9427570699999999</v>
      </c>
      <c r="LI102" s="171">
        <v>1.6581343500000001</v>
      </c>
      <c r="LJ102" s="171">
        <v>0</v>
      </c>
      <c r="LK102" s="171">
        <v>2.66724104</v>
      </c>
      <c r="LL102" s="171">
        <v>2.3401237999999998</v>
      </c>
      <c r="LM102" s="171">
        <v>1.2699740900000001</v>
      </c>
      <c r="LN102" s="171">
        <v>0.29250390000000004</v>
      </c>
      <c r="LO102" s="171">
        <v>3.3244473500000002</v>
      </c>
      <c r="LQ102" s="85">
        <f t="shared" si="247"/>
        <v>2937.94498135</v>
      </c>
      <c r="LR102" s="85">
        <f t="shared" si="248"/>
        <v>2.35708815</v>
      </c>
      <c r="LS102" s="85">
        <f t="shared" si="249"/>
        <v>24.204094699999999</v>
      </c>
      <c r="LT102" s="85">
        <f t="shared" si="250"/>
        <v>3.9018705800000002</v>
      </c>
      <c r="LU102" s="85">
        <f t="shared" si="251"/>
        <v>322.58249758000005</v>
      </c>
      <c r="LV102" s="85">
        <f t="shared" si="252"/>
        <v>1.3263511099999998</v>
      </c>
      <c r="LW102" s="85">
        <f t="shared" si="253"/>
        <v>0.37410640000000001</v>
      </c>
      <c r="LX102" s="85">
        <f t="shared" si="254"/>
        <v>0.36129600000000001</v>
      </c>
      <c r="LZ102" s="131">
        <v>471.34</v>
      </c>
      <c r="MA102" s="171">
        <v>582.04</v>
      </c>
      <c r="MB102"/>
      <c r="MC102"/>
      <c r="MD102"/>
      <c r="MF102"/>
      <c r="MG102"/>
      <c r="MH102" s="83">
        <v>980.2</v>
      </c>
      <c r="MI102" s="83">
        <v>241.22</v>
      </c>
      <c r="MJ102" s="83">
        <v>616.41999999999996</v>
      </c>
      <c r="MK102"/>
      <c r="ML102" s="83">
        <v>280.61</v>
      </c>
      <c r="MM102" s="83">
        <v>702.43</v>
      </c>
      <c r="MN102" s="83"/>
      <c r="MO102" s="83">
        <v>262.2</v>
      </c>
      <c r="MP102" s="83">
        <v>734.03</v>
      </c>
      <c r="MQ102" s="83">
        <v>832.47</v>
      </c>
      <c r="MR102"/>
      <c r="MT102" s="83"/>
      <c r="MU102" s="83">
        <v>449.05</v>
      </c>
      <c r="MV102"/>
      <c r="MW102"/>
      <c r="MX102"/>
      <c r="MY102" s="83">
        <v>855.92</v>
      </c>
      <c r="MZ102" s="83">
        <v>1616</v>
      </c>
      <c r="NA102" s="83">
        <v>945</v>
      </c>
      <c r="NB102" s="83">
        <v>2953.9</v>
      </c>
      <c r="NC102" s="83">
        <v>381.93</v>
      </c>
      <c r="ND102" s="1">
        <v>3000</v>
      </c>
      <c r="NE102" s="1">
        <v>1868.5</v>
      </c>
    </row>
    <row r="103" spans="1:369">
      <c r="A103" s="38">
        <f t="shared" si="334"/>
        <v>45200</v>
      </c>
      <c r="B103" s="36">
        <f t="shared" si="401"/>
        <v>10</v>
      </c>
      <c r="C103" s="36">
        <f t="shared" si="402"/>
        <v>2023</v>
      </c>
      <c r="D103" s="36">
        <f t="shared" si="347"/>
        <v>103</v>
      </c>
      <c r="E103" s="38">
        <f t="shared" si="335"/>
        <v>45200</v>
      </c>
      <c r="F103" s="7">
        <v>365.5</v>
      </c>
      <c r="G103" s="7">
        <v>2496.3000000000002</v>
      </c>
      <c r="H103" s="1">
        <f>[2]NACIONALES!$D91</f>
        <v>226802.58613689602</v>
      </c>
      <c r="I103" s="7">
        <v>87</v>
      </c>
      <c r="J103" s="7">
        <v>840</v>
      </c>
      <c r="K103" s="7">
        <v>5.8</v>
      </c>
      <c r="L103" s="7">
        <v>27.9</v>
      </c>
      <c r="N103" s="5">
        <v>2.16</v>
      </c>
      <c r="O103" s="5">
        <v>1.78</v>
      </c>
      <c r="P103" s="78">
        <f t="shared" si="398"/>
        <v>684.03325000000007</v>
      </c>
      <c r="Q103" s="6">
        <v>21000</v>
      </c>
      <c r="R103" s="79">
        <f t="shared" si="336"/>
        <v>210000</v>
      </c>
      <c r="S103" s="6">
        <f>85000/F103</f>
        <v>232.55813953488371</v>
      </c>
      <c r="T103" s="6">
        <f>132800/F103</f>
        <v>363.33789329685362</v>
      </c>
      <c r="U103" s="188">
        <v>192.68</v>
      </c>
      <c r="V103" s="6">
        <v>340.96499999999997</v>
      </c>
      <c r="W103" s="6">
        <v>286.25</v>
      </c>
      <c r="X103" s="6">
        <v>239.03000000000003</v>
      </c>
      <c r="Y103" s="79">
        <f t="shared" si="337"/>
        <v>85000</v>
      </c>
      <c r="Z103" s="79">
        <f t="shared" si="338"/>
        <v>132800</v>
      </c>
      <c r="AA103" s="79">
        <f t="shared" si="339"/>
        <v>70424.540000000008</v>
      </c>
      <c r="AB103" s="79">
        <f t="shared" si="340"/>
        <v>124622.70749999999</v>
      </c>
      <c r="AC103" s="79">
        <f t="shared" si="341"/>
        <v>104624.375</v>
      </c>
      <c r="AD103" s="79">
        <f t="shared" si="342"/>
        <v>87365.465000000011</v>
      </c>
      <c r="AE103" s="79">
        <f t="shared" si="343"/>
        <v>100806.18124999999</v>
      </c>
      <c r="AF103" s="1">
        <v>333851.7</v>
      </c>
      <c r="AG103" s="1">
        <v>169360</v>
      </c>
      <c r="AH103" s="1">
        <v>643570</v>
      </c>
      <c r="AI103" s="5">
        <v>188.75120000000001</v>
      </c>
      <c r="AJ103" s="5">
        <v>132.50489999999999</v>
      </c>
      <c r="AK103" s="5">
        <v>180.58449999999999</v>
      </c>
      <c r="AL103" s="5">
        <v>110.59910000000001</v>
      </c>
      <c r="AM103" s="78">
        <f t="shared" si="344"/>
        <v>165.62150200000002</v>
      </c>
      <c r="AN103" s="7">
        <v>13855.709342560554</v>
      </c>
      <c r="AO103" s="7">
        <v>4437.6454545454553</v>
      </c>
      <c r="AP103" s="78">
        <f t="shared" si="385"/>
        <v>4437.6454545454553</v>
      </c>
      <c r="AQ103" s="7">
        <v>2900</v>
      </c>
      <c r="AR103" s="7">
        <v>4759.181818181818</v>
      </c>
      <c r="AS103" s="7">
        <v>4576.136363636364</v>
      </c>
      <c r="AT103" s="7">
        <v>8066.6727272727285</v>
      </c>
      <c r="AU103" s="78">
        <f t="shared" si="348"/>
        <v>5800.6636363636362</v>
      </c>
      <c r="AV103" s="7">
        <v>4310.0961538461543</v>
      </c>
      <c r="AW103" s="7">
        <v>7009.090909090909</v>
      </c>
      <c r="AX103" s="7">
        <v>2295.2318181818182</v>
      </c>
      <c r="AY103" s="7">
        <v>7221.0801393728225</v>
      </c>
      <c r="AZ103" s="7">
        <v>1613.6727272727271</v>
      </c>
      <c r="BA103" s="7">
        <v>1340</v>
      </c>
      <c r="BB103" s="94">
        <f t="shared" si="345"/>
        <v>3362.9059730581071</v>
      </c>
      <c r="BC103" s="68">
        <v>13887</v>
      </c>
      <c r="BD103" s="68">
        <v>9149</v>
      </c>
      <c r="BE103" s="95">
        <f t="shared" si="411"/>
        <v>9489.6108408617074</v>
      </c>
      <c r="BF103" s="95">
        <f t="shared" si="411"/>
        <v>5900.5630332853925</v>
      </c>
      <c r="BG103" s="94">
        <f t="shared" si="349"/>
        <v>9606.5434685367745</v>
      </c>
      <c r="BH103" s="7">
        <v>633.33000000000004</v>
      </c>
      <c r="BI103" s="7">
        <f>83+150</f>
        <v>233</v>
      </c>
      <c r="BJ103" s="78">
        <f t="shared" si="350"/>
        <v>866.33</v>
      </c>
      <c r="BK103" s="7">
        <v>877.39400000000001</v>
      </c>
      <c r="BL103" s="7">
        <v>1003.75</v>
      </c>
      <c r="BM103" s="94">
        <f t="shared" si="351"/>
        <v>940.572</v>
      </c>
      <c r="BN103" s="5">
        <v>130.16999999999999</v>
      </c>
      <c r="BO103" s="84">
        <v>819.9</v>
      </c>
      <c r="BP103" s="84">
        <v>640.79999999999995</v>
      </c>
      <c r="BQ103" s="94">
        <f t="shared" si="346"/>
        <v>801.99</v>
      </c>
      <c r="BR103" s="96">
        <v>680</v>
      </c>
      <c r="BS103" s="7">
        <v>1700</v>
      </c>
      <c r="BT103" s="7">
        <f>1.1*F103</f>
        <v>402.05</v>
      </c>
      <c r="BU103" s="79">
        <f t="shared" si="237"/>
        <v>21606.15</v>
      </c>
      <c r="BV103" s="7">
        <v>564</v>
      </c>
      <c r="BW103" s="7">
        <v>1450</v>
      </c>
      <c r="BY103" s="92">
        <f>BY$10*(1+((H103/H$10-1)*costos!$B$5+((I103*F103)/(I$10*F$10)-1)*costos!$E$5+((J103*F103)/((J$10*F$10)-1)*costos!$F$5/3+((K103*F103)/(K$10*F$10)-1)*costos!$F$5/3+((U103*F103)/(U$10*F$10)-1)*costos!$F$5/3+((L103*F103)/(L$10*F$10)-1)*costos!$G$5+((N103*F103)/(N$10*F$10)-1)*costos!$J$5+((V103*F103)/(V$10*F$10)-1)*costos!$K$5)))</f>
        <v>3860.4974987661549</v>
      </c>
      <c r="BZ103" s="92">
        <f>$BZ$10*(1+((H103/$H$10-1)*costos!$B$6+((I103*F103)/($I$10*$F$10)-1)*costos!$E$6+((J103*F103)/(($J$10*$F$10)-1)*costos!$F$6/3+((K103*F103)/($K$10*$F$10)-1)*costos!$F$6/3+((U103*F103)/($U$10*$F$10)-1)*costos!$F$6/3+((L103*F103)/($L$10*$F$10)-1)*costos!$G$6+((Q103*F103)/($Q$10*$F$10)-1)*costos!$J$6+((V103*F103)/($V$10*$F$10)-1)*costos!$K$6)))</f>
        <v>3031.8453094604656</v>
      </c>
      <c r="CA103" s="92">
        <f>CA$10*(1+((H103/H$10-1)*costos!$B$7+((I103*F103)/(I$10*F$10)-1)*costos!$E$7+((J103*F103)/((J$10*F$10)-1)*costos!$F$7/3+((K103*F103)/(K$10*F$10)-1)*costos!$F$7/3+((U103*F103)/(U$10*F$10)-1)*costos!$F$7/3+((L103*F103)/(L$10*F$10)-1)*costos!$G$7+((S103*F103)/(S$10*F$10)-1)*costos!$J$7+((V103*F103)/(V$10*F$10)-1)*costos!$K$7)))</f>
        <v>3628.4489724738696</v>
      </c>
      <c r="CB103" s="92">
        <f>CB$10*(1+((H103/H$10-1)*costos!$B$8+((I103*F103)/(I$10*F$10)-1)*costos!$E$8+((J103*F103)/((J$10*F$10)-1)*costos!$F$8/3+((K103*F103)/(K$10*F$10)-1)*costos!$F$8/3+((U103*F103)/(U$10*F$10)-1)*costos!$F$8/3+((L103*F103)/(L$10*F$10)-1)*costos!$G$8+((T103*F103)/(T$10*F$10)-1)*costos!$J$8+((V103*F103)/(V$10*F$10)-1)*costos!$K$8)))</f>
        <v>3411.7900689280268</v>
      </c>
      <c r="CC103" s="92">
        <f>CC$10*(1+((H103/H$10-1)*costos!$B$9+((I103*F103)/(I$10*F$10)-1)*costos!$E$9+((J103*F103)/((J$10*F$10)-1)*costos!$F$9/3+((K103*F103)/(K$10*F$10)-1)*costos!$F$9/3+((U103*F103)/(U$10*F$10)-1)*costos!$F$9/3+((L103*F103)/(L$10*F$10)-1)*costos!$G$9+((U103*F103)/(U$10*F$10)-1)*costos!$J$9+((V103*F103)/(V$10*F$10)-1)*costos!$K$9)))</f>
        <v>3364.2668359192221</v>
      </c>
      <c r="CD103" s="92">
        <f>CD$10*(1+((H103/H$10-1)*costos!$B$11+((I103*F103)/(I$10*F$10)-1)*costos!$E$11+((J103*F103)/((J$10*F$10)-1)*costos!$F$11/3+((K103*F103)/(K$10*F$10)-1)*costos!$F$11/3+((U103*F103)/(U$10*F$10)-1)*costos!$F$11/3+((L103*F103)/(L$10*F$10)-1)*costos!$G$11+((V103*F103)/(V$10*F$10)-1)*costos!$J$11+((V103*F103)/(V$10*F$10)-1)*costos!$K$11)))</f>
        <v>3630.8033895230819</v>
      </c>
      <c r="CE103" s="92">
        <f>CE$10*(1+((H103/H$10-1)*costos!$B$12+((I103*F103)/(I$10*F$10)-1)*costos!$E$12+((J103*F103)/((J$10*F$10)-1)*costos!$F$12/3+((K103*F103)/(K$10*F$10)-1)*costos!$F$12/3+((U103*F103)/(U$10*F$10)-1)*costos!$F$12/3+((L103*F103)/(L$10*F$10)-1)*costos!$G$12+((W103*F103)/(W$10*F$10)-1)*costos!$J$12+((V103*F103)/(V$10*F$10)-1)*costos!$K$12)))</f>
        <v>3833.3966512290035</v>
      </c>
      <c r="CF103" s="92">
        <f>CF$10*(1+((H103/H$10-1)*costos!$B$13+((I103*F103)/(I$10*F$10)-1)*costos!$E$13+((J103*F103)/((J$10*F$10)-1)*costos!$F$13/3+((K103*F103)/(K$10*F$10)-1)*costos!$F$13/3+((U103*F103)/(U$10*F$10)-1)*costos!$F$13/3+((L103*F103)/(L$10*F$10)-1)*costos!$G$13+((X103*F103)/(X$10*F$10)-1)*costos!$J$13+((V103*F103)/(V$10*F$10)-1)*costos!$K$13)))</f>
        <v>3646.2511820655463</v>
      </c>
      <c r="CG103" s="92">
        <f t="shared" si="388"/>
        <v>3585.8261833564579</v>
      </c>
      <c r="CH103" s="92">
        <f>CH$10*(1+((H103/H$10-1)*costos!$B$10+((I103*F103)/(I$10*F$10)-1)*costos!$E$10+((J103*F103)/((J$10*F$10)-1)*costos!$F$10/3+((K103*F103)/(K$10*F$10)-1)*costos!$F$10/3+((U103*F103)/(U$10*F$10)-1)*costos!$F$10/3+((L103*F103)/(L$10*F$10)-1)*costos!$G$10+((AF103)/(AF$10)-1)*costos!$J$10+((V103*F103)/(V$10*F$10)-1)*costos!$K$10)))</f>
        <v>4090.5894958629337</v>
      </c>
      <c r="CI103" s="92">
        <f>CI$10*(1+((H103/H$10-1)*costos!$B$15+((I103*F103)/(I$10*F$10)-1)*costos!$E$15+((J103*F103)/((J$10*F$10)-1)*costos!$F$15/3+((K103*F103)/(K$10*F$10)-1)*costos!$F$15/3+((U103*F103)/(U$10*F$10)-1)*costos!$F$15/3+((L103*F103)/(L$10*F$10)-1)*costos!$G$15+((AV103)/(AV$10)-1)*costos!$J$15+((V103*F103)/(V$10*F$10)-1)*costos!$K$15)))</f>
        <v>3831.7422003983211</v>
      </c>
      <c r="CJ103" s="92">
        <f>CJ$10*(1+((H103/H$10-1)*costos!$B$16+((I103*F103)/(I$10*F$10)-1)*costos!$E$16+((J103*F103)/((J$10*F$10)-1)*costos!$F$16/3+((K103*F103)/(K$10*F$10)-1)*costos!$F$16/3+((U103*F103)/(U$10*F$10)-1)*costos!$F$16/3+((L103*F103)/(L$10*F$10)-1)*costos!$G$16+((AW103)/(AW$10)-1)*costos!$J$16+((V103*F103)/(V$10*F$10)-1)*costos!$K$16)))</f>
        <v>3153.2483322790313</v>
      </c>
      <c r="CK103" s="92">
        <f>CK$10*(1+((H103/H$10-1)*costos!$B$17+((I103*F103)/(I$10*F$10)-1)*costos!$E$17+((J103*F103)/((J$10*F$10)-1)*costos!$F$17/3+((K103*F103)/(K$10*F$10)-1)*costos!$F$17/3+((U103*F103)/(U$10*F$10)-1)*costos!$F$17/3+((L103*F103)/(L$10*F$10)-1)*costos!$G$17+((AX103)/(AX$10)-1)*costos!$J$17+((V103*F103)/(V$10*F$10)-1)*costos!$K$17)))</f>
        <v>3219.9714633985172</v>
      </c>
      <c r="CL103" s="92">
        <f>CL$10*(1+((H103/H$10-1)*costos!$B$18+((I103*F103)/(I$10*F$10)-1)*costos!$E$18+((J103*F103)/((J$10*F$10)-1)*costos!$F$18/3+((K103*F103)/(K$10*F$10)-1)*costos!$F$18/3+((U103*F103)/(U$10*F$10)-1)*costos!$F$18/3+((L103*F103)/(L$10*F$10)-1)*costos!$G$18+((AY103)/(AY$10)-1)*costos!$J$18+((V103*F103)/(V$10*F$10)-1)*costos!$K$18)))</f>
        <v>4298.1292857950066</v>
      </c>
      <c r="CM103" s="92">
        <f>CM$10*(1+((H103/H$10-1)*costos!$B$19+((I103*F103)/(I$10*F$10)-1)*costos!$E$19+((J103*F103)/((J$10*F$10)-1)*costos!$F$19/3+((K103*F103)/(K$10*F$10)-1)*costos!$F$19/3+((U103*F103)/(U$10*F$10)-1)*costos!$F$19/3+((L103*F103)/(L$10*F$10)-1)*costos!$G$19+((AZ103)/(AZ$10)-1)*costos!$J$19+((V103*F103)/(V$10*F$10)-1)*costos!$K$19)))</f>
        <v>2621.1324098852751</v>
      </c>
      <c r="CN103" s="92">
        <f>CN$10*(1+((H103/H$10-1)*costos!$B$20+((I103*F103)/(I$10*F$10)-1)*costos!$E$20+((J103*F103)/((J$10*F$10)-1)*costos!$F$20/3+((K103*F103)/(K$10*F$10)-1)*costos!$F$20/3+((U103*F103)/(U$10*F$10)-1)*costos!$F$20/3+((L103*F103)/(L$10*F$10)-1)*costos!$G$20+((BA103)/(BA$10)-1)*costos!$J$20+((V103*F103)/(V$10*F$10)-1)*costos!$K$20)))</f>
        <v>2819.3515286526713</v>
      </c>
      <c r="CO103" s="92">
        <f t="shared" si="399"/>
        <v>3239.6461719328672</v>
      </c>
      <c r="CP103" s="92">
        <f>CP$10*(1+((H103/H$10-1)*costos!$B$22+((I103*F103)/(I$10*F$10)-1)*costos!$E$22+((J103*F103)/((J$10*F$10)-1)*costos!$F$22/3+((K103*F103)/(K$10*F$10)-1)*costos!$F$22/3+((U103*F103)/(U$10*F$10)-1)*costos!$F$22/3+((L103*F103)/(L$10*F$10)-1)*costos!$G$22+(((AVERAGE(AI103:AL103))/((AVERAGE(AI$10:AL$10))-1)*costos!$J$22+((V103*F103)/(V$10*F$10)-1)*costos!$K$22)))))</f>
        <v>3778.1146008708211</v>
      </c>
      <c r="CQ103" s="92">
        <f>CQ$10*(1+((H103/H$10-1)*costos!$B$23+((I103*F103)/(I$10*F$10)-1)*costos!$E$23+((J103*F103)/((J$10*F$10)-1)*costos!$F$23/3+((K103*F103)/(K$10*F$10)-1)*costos!$F$23/3+((U103*F103)/(U$10*F$10)-1)*costos!$F$23/3+((L103*F103)/(L$10*F$10)-1)*costos!$G$23+((AN103)/(AN$10)-1)*costos!$J$23+((V103*F103)/(V$10*F$10)-1)*costos!$K$23)))</f>
        <v>3361.9210566591605</v>
      </c>
      <c r="CR103" s="92">
        <f>CR$10*(1+((H103/H$10-1)*costos!$B$24+((I103*F103)/(I$10*F$10)-1)*costos!$E$24+((J103*F103)/((J$10*F$10)-1)*costos!$F$24/3+((K103*F103)/(K$10*F$10)-1)*costos!$F$24/3+((U103*F103)/(U$10*F$10)-1)*costos!$F$24/3+((L103*F103)/(L$10*F$10)-1)*costos!$G$24+((AO103)/(AO$10)-1)*costos!$J$24+((V103*F103)/(V$10*F$10)-1)*costos!$K$24)))</f>
        <v>3036.0087741657394</v>
      </c>
      <c r="CS103" s="92">
        <f t="shared" si="352"/>
        <v>3198.96491541245</v>
      </c>
      <c r="CT103" s="92">
        <f>CT$10*(1+((H103/H$10-1)*costos!$B$25+((I103*F103)/(I$10*F$10)-1)*costos!$E$25+((J103*F103)/((J$10*F$10)-1)*costos!$F$25/3+((K103*F103)/(K$10*F$10)-1)*costos!$F$25/3+((U103*F103)/(U$10*F$10)-1)*costos!$F$25/3+((L103*F103)/(L$10*F$10)-1)*costos!$G$25+((AQ103)/(AQ$10)-1)*costos!$J$25+((V103*F103)/(V$10*F$10)-1)*costos!$K$25)))</f>
        <v>2886.7485181071488</v>
      </c>
      <c r="CU103" s="92">
        <f>CU$10*(1+((H103/H$10-1)*costos!$B$26+((I103*F103)/(I$10*F$10)-1)*costos!$E$26+((J103*F103)/((J$10*F$10)-1)*costos!$F$26/3+((K103*F103)/(K$10*F$10)-1)*costos!$F$26/3+((U103*F103)/(U$10*F$10)-1)*costos!$F$26/3+((L103*F103)/(L$10*F$10)-1)*costos!$G$26+((AR103)/(AR$10)-1)*costos!$J$26+((V103*F103)/(V$10*F$10)-1)*costos!$K$26)))</f>
        <v>3196.6641877149032</v>
      </c>
      <c r="CV103" s="92">
        <f>CV$10*(1+((H103/H$10-1)*costos!$B$27+((I103*F103)/(I$10*F$10)-1)*costos!$E$27+((J103*F103)/((J$10*F$10)-1)*costos!$F$27/3+((K103*F103)/(K$10*F$10)-1)*costos!$F$27/3+((U103*F103)/(U$10*F$10)-1)*costos!$F$27/3+((L103*F103)/(L$10*F$10)-1)*costos!$G$27+((AS103)/(AS$10)-1)*costos!$J$27+((V103*F103)/(V$10*F$10)-1)*costos!$K$27)))</f>
        <v>3178.7850854795652</v>
      </c>
      <c r="CW103" s="92">
        <f>CW$10*(1+((H103/H$10-1)*costos!$B$28+((I103*F103)/(I$10*F$10)-1)*costos!$E$28+((J103*F103)/((J$10*F$10)-1)*costos!$F$28/3+((K103*F103)/(K$10*F$10)-1)*costos!$F$28/3+((U103*F103)/(U$10*F$10)-1)*costos!$F$28/3+((L103*F103)/(L$10*F$10)-1)*costos!$G$28+((AS103)/(AS$10)-1)*costos!$J$28+((V103*F103)/(V$10*F$10)-1)*costos!$K$28)))</f>
        <v>3178.7850854795652</v>
      </c>
      <c r="CX103" s="92">
        <f t="shared" si="400"/>
        <v>3184.7447862246777</v>
      </c>
      <c r="CY103" s="92">
        <f>CY$10*(1+((H103/H$10-1)*costos!$B$32+((I103*F103)/(I$10*F$10)-1)*costos!$E$32+((J103*F103)/((J$10*F$10)-1)*costos!$F$32/3+((K103*F103)/(K$10*F$10)-1)*costos!$F$32/3+((U103*F103)/(U$10*F$10)-1)*costos!$F$32/3+((L103*F103)/(L$10*F$10)-1)*costos!$G$32+((AG103)/(AG$10)-1)*costos!$J$32+((V103*F103)/(V$10*F$10)-1)*costos!$K$32)))</f>
        <v>3086.9239606889428</v>
      </c>
      <c r="CZ103" s="69">
        <f>CZ$10*(1+((H103/H$10-1)*costos!$B$31+((I103*F103)/(I$10*F$10)-1)*costos!$E$30+((J103*F103)/((J$10*F$10)-1)*costos!$F$30/3+((K103*F103)/(K$10*F$10)-1)*costos!$F$30/3+((U103*F103)/(U$10*F$10)-1)*costos!$F$30/3+((L103*F103)/(L$10*F$10)-1)*costos!$G$30+((BG103)/(BG$10)-1)*costos!$J$30+((V103*F103)/(V$10*F$10)-1)*costos!$K$30)))</f>
        <v>3701.7563896423526</v>
      </c>
      <c r="DA103" s="69">
        <f>DA$10*(1+((H103/H$10-1)*costos!$B$31+((I103*F103)/(I$10*F$10)-1)*costos!$E$31+((J103*F103)/((J$10*F$10)-1)*costos!$F$31/3+((K103*F103)/(K$10*F$10)-1)*costos!$F$31/3+((U103*F103)/(U$10*F$10)-1)*costos!$F$31/3+((L103*F103)/(L$10*F$10)-1)*costos!$G$31+((BJ103)/(BJ$10)-1)*costos!$J$31+((V103*F103)/(V$10*F$10)-1)*costos!$K$31)))</f>
        <v>3090.2864944863636</v>
      </c>
      <c r="DB103" s="69">
        <f>DB$10*(1+((H103/H$10-1)*costos!$B$36+((I103*F103)/(I$10*F$10)-1)*costos!$E$36+((J103*F103)/((J$10*F$10)-1)*costos!$F$36/3+((K103*F103)/(K$10*F$10)-1)*costos!$F$36/3+((U103*F103)/(U$10*F$10)-1)*costos!$F$36/3+((L103*F103)/(L$10*F$10)-1)*costos!$G$36+((BK103)/(BK$10)-1)*costos!$J$36+((V103*F103)/(V$10*F$10)-1)*costos!$K$36)))</f>
        <v>3401.4978273212187</v>
      </c>
      <c r="DC103" s="69">
        <f>DC$10*(1+((H103/H$10-1)*costos!$B$37+((I103*F103)/(I$10*F$10)-1)*costos!$E$37+((U103*F103)/(U$10*F$10)-1)*costos!$F$37+((L103*F103)/(L$10*F$10)-1)*costos!$G$37+((BN103)/(BN$10)-1)*costos!$J$37+((V103*F103)/(V$10*F$10)-1)*costos!$K$37))</f>
        <v>3277.495496214884</v>
      </c>
      <c r="DD103" s="69">
        <f>DD$10*(1+((H103/H$10-1)*costos!$B$39+((I103*F103)/(I$10*F$10)-1)*costos!$E$39+((U103*F103)/(U$10*F$10)-1)*costos!$F$39+((L103*F103)/(L$10*F$10)-1)*costos!$G$39+((BR103)/(BR$10)-1)*costos!$J$39+((V103*F103)/(V$10*F$10)-1)*costos!$K$39))</f>
        <v>3301.2782722754255</v>
      </c>
      <c r="DE103" s="69">
        <f>DD$10*(1+((H103/H$10-1)*costos!$B$35+((I103*F103)/(I$10*F$10)-1)*costos!$E$35+((U103*F103)/(U$10*F$10)-1)*costos!$F$35+((L103*F103)/(L$10*F$10)-1)*costos!$G$35+((BR103)/(BR$10)-1)*costos!$J$35+((V103*F103)/(V$10*F$10)-1)*costos!$K$35))</f>
        <v>2944.0769012495593</v>
      </c>
      <c r="DF103" s="69">
        <f>DF$10*(1+((H103/H$10-1)*costos!$B$40+((I103*F103)/(I$10*F$10)-1)*costos!$E$40+((U103*F103)/(U$10*F$10)-1)*costos!$F$40+((L103*F103)/(L$10*F$10)-1)*costos!$G$40+((BP103)/(BP$10)-1)*costos!$J$40+((V103*F103)/(V$10*F$10)-1)*costos!$K$40))</f>
        <v>3445.4465898974695</v>
      </c>
      <c r="DG103" s="92">
        <f t="shared" si="391"/>
        <v>3194.7617455735144</v>
      </c>
      <c r="DH103" s="69">
        <f>DH$10*(1+((H103/H$10-1)*costos!$B$34+((I103*F103)/(I$10*F$10)-1)*costos!$E$34+((J103*F103)/((J$10*F$10)-1)*costos!$F$34/3+((K103*F103)/(K$10*F$10)-1)*costos!$F$34/3+((U103*F103)/(U$10*F$10)-1)*costos!$F$34/3+((L103*F103)/(L$10*F$10)-1)*costos!$G$34+((BV103)/(BV$10)-1)*costos!$J$34+((V103*F103)/(V$10*F$10)-1)*costos!$K$34)))</f>
        <v>3103.7025820425761</v>
      </c>
      <c r="DI103" s="69">
        <f>DI$10*(1+((H103/H$10-1)*costos!$B$38+((I103*F103)/(I$10*F$10)-1)*costos!$E$38+((J103*F103)/((J$10*F$10)-1)*costos!$F$38/3+((K103*F103)/(K$10*F$10)-1)*costos!$F$38/3+((U103*F103)/(U$10*F$10)-1)*costos!$F$38/3+((L103*F103)/(L$10*F$10)-1)*costos!$G$38+((BU103)/(BU$10)-1)*costos!$J$38+((V103*F103)/(V$10*F$10)-1)*costos!$K$38)))</f>
        <v>3038.215975672731</v>
      </c>
      <c r="DK103" s="1">
        <v>580000</v>
      </c>
      <c r="DL103" s="1" t="s">
        <v>399</v>
      </c>
      <c r="DM103" s="1">
        <v>190000</v>
      </c>
      <c r="DN103" s="1" t="s">
        <v>399</v>
      </c>
      <c r="DO103" s="1">
        <v>1600000</v>
      </c>
      <c r="DP103" s="1" t="s">
        <v>410</v>
      </c>
      <c r="DQ103" s="1">
        <v>2200000</v>
      </c>
      <c r="DR103" s="1" t="s">
        <v>410</v>
      </c>
      <c r="DS103" s="1">
        <v>7100000</v>
      </c>
      <c r="DT103" s="1" t="s">
        <v>410</v>
      </c>
      <c r="DU103" s="1">
        <v>16500000</v>
      </c>
      <c r="DV103" s="1" t="s">
        <v>410</v>
      </c>
      <c r="DW103" s="1">
        <v>750000</v>
      </c>
      <c r="DX103" s="1" t="s">
        <v>410</v>
      </c>
      <c r="DY103" s="1">
        <v>5916000</v>
      </c>
      <c r="DZ103" s="1" t="s">
        <v>410</v>
      </c>
      <c r="EA103" s="79">
        <f t="shared" si="353"/>
        <v>34066000</v>
      </c>
      <c r="EB103" s="1">
        <v>416490</v>
      </c>
      <c r="EC103" s="1" t="s">
        <v>410</v>
      </c>
      <c r="ED103" s="1">
        <v>222162</v>
      </c>
      <c r="EE103" s="143">
        <v>2023</v>
      </c>
      <c r="EF103" s="1">
        <v>204847</v>
      </c>
      <c r="EG103" s="6">
        <v>2023</v>
      </c>
      <c r="EH103" s="1">
        <v>54242595</v>
      </c>
      <c r="EI103" s="6">
        <v>2023</v>
      </c>
      <c r="EJ103" s="1">
        <v>5887401</v>
      </c>
      <c r="EK103" s="6">
        <v>2023</v>
      </c>
      <c r="EL103" s="1">
        <v>12461845</v>
      </c>
      <c r="EM103" s="6">
        <v>2022</v>
      </c>
      <c r="EN103" s="1">
        <v>3169981</v>
      </c>
      <c r="EO103" s="6">
        <v>2021</v>
      </c>
      <c r="EP103" s="83">
        <v>9418</v>
      </c>
      <c r="EQ103" s="83">
        <v>3500000</v>
      </c>
      <c r="ER103" s="1">
        <f t="shared" si="403"/>
        <v>79916</v>
      </c>
      <c r="ES103" s="1"/>
      <c r="ET103" s="83">
        <f t="shared" si="393"/>
        <v>20677</v>
      </c>
      <c r="EU103" s="83">
        <f t="shared" si="393"/>
        <v>19532</v>
      </c>
      <c r="EV103" s="83">
        <f t="shared" si="393"/>
        <v>9103</v>
      </c>
      <c r="EW103" s="83">
        <f t="shared" si="393"/>
        <v>17281</v>
      </c>
      <c r="EX103" s="79">
        <f t="shared" si="354"/>
        <v>66593</v>
      </c>
      <c r="EY103" s="83">
        <f t="shared" si="394"/>
        <v>20193</v>
      </c>
      <c r="EZ103" s="83">
        <f t="shared" si="394"/>
        <v>32682</v>
      </c>
      <c r="FA103" s="83">
        <f t="shared" si="405"/>
        <v>19526</v>
      </c>
      <c r="FB103" s="83">
        <f t="shared" si="406"/>
        <v>19463</v>
      </c>
      <c r="FC103" s="79">
        <f t="shared" si="410"/>
        <v>38989</v>
      </c>
      <c r="FD103" s="83">
        <f t="shared" si="395"/>
        <v>54743</v>
      </c>
      <c r="FE103" s="1"/>
      <c r="FF103" s="1">
        <v>900000</v>
      </c>
      <c r="FG103" s="1" t="s">
        <v>399</v>
      </c>
      <c r="FH103" s="1">
        <v>1200000</v>
      </c>
      <c r="FI103" s="1" t="s">
        <v>399</v>
      </c>
      <c r="FJ103" s="1">
        <v>4600000</v>
      </c>
      <c r="FK103" s="1" t="s">
        <v>399</v>
      </c>
      <c r="FL103" s="1">
        <v>5000000</v>
      </c>
      <c r="FM103" s="1" t="s">
        <v>399</v>
      </c>
      <c r="FN103" s="1">
        <v>55000000</v>
      </c>
      <c r="FO103" s="1" t="s">
        <v>410</v>
      </c>
      <c r="FP103" s="1">
        <v>25000000</v>
      </c>
      <c r="FQ103" s="1" t="s">
        <v>399</v>
      </c>
      <c r="FR103" s="1">
        <v>1600000</v>
      </c>
      <c r="FS103" s="1" t="s">
        <v>399</v>
      </c>
      <c r="FT103" s="1">
        <v>12555000</v>
      </c>
      <c r="FU103" s="1" t="s">
        <v>399</v>
      </c>
      <c r="FV103" s="79">
        <f t="shared" si="355"/>
        <v>103755000</v>
      </c>
      <c r="FW103" s="1">
        <v>940426</v>
      </c>
      <c r="FX103" s="1" t="s">
        <v>399</v>
      </c>
      <c r="FY103" s="1">
        <v>0</v>
      </c>
      <c r="FZ103" s="79">
        <f t="shared" si="377"/>
        <v>752155.26899999997</v>
      </c>
      <c r="GA103" s="86" t="str">
        <f t="shared" si="378"/>
        <v>nov22 oct23</v>
      </c>
      <c r="GB103" s="1">
        <v>14553117</v>
      </c>
      <c r="GC103" s="6">
        <v>2023</v>
      </c>
      <c r="GD103" s="83">
        <v>2315000</v>
      </c>
      <c r="GE103" s="83">
        <v>377000</v>
      </c>
      <c r="GF103" s="83">
        <v>1061000</v>
      </c>
      <c r="GG103" s="83">
        <v>127000</v>
      </c>
      <c r="GH103" s="79">
        <f t="shared" si="240"/>
        <v>1565000</v>
      </c>
      <c r="GI103" s="82">
        <f t="shared" si="373"/>
        <v>1302556</v>
      </c>
      <c r="GJ103" s="83">
        <f t="shared" si="373"/>
        <v>687701</v>
      </c>
      <c r="GK103" s="83">
        <f t="shared" si="373"/>
        <v>1430078.41</v>
      </c>
      <c r="GL103" s="83">
        <f t="shared" si="373"/>
        <v>302535.34000000003</v>
      </c>
      <c r="GM103" s="83">
        <f t="shared" si="373"/>
        <v>257597.81</v>
      </c>
      <c r="GN103" s="79">
        <f t="shared" si="357"/>
        <v>2677912.56</v>
      </c>
      <c r="GO103" s="83">
        <f t="shared" si="374"/>
        <v>202394.36</v>
      </c>
      <c r="GP103" s="83">
        <f t="shared" si="374"/>
        <v>73395</v>
      </c>
      <c r="GQ103" s="83">
        <v>37918</v>
      </c>
      <c r="GR103" s="1">
        <v>35181</v>
      </c>
      <c r="GS103" s="79">
        <f t="shared" si="412"/>
        <v>36318.54</v>
      </c>
      <c r="GT103" s="83">
        <f t="shared" si="407"/>
        <v>2365997</v>
      </c>
      <c r="GU103" s="1">
        <f>20214-2116</f>
        <v>18098</v>
      </c>
      <c r="GV103" s="1">
        <f>35812-8104</f>
        <v>27708</v>
      </c>
      <c r="GW103" s="79">
        <f t="shared" si="261"/>
        <v>784258</v>
      </c>
      <c r="GX103" s="1">
        <v>33126.813000000002</v>
      </c>
      <c r="GY103" s="1" t="s">
        <v>402</v>
      </c>
      <c r="GZ103" s="1">
        <v>87408</v>
      </c>
      <c r="HA103" s="178">
        <v>259000</v>
      </c>
      <c r="HB103" s="79">
        <f t="shared" si="241"/>
        <v>3289003</v>
      </c>
      <c r="HC103" s="86" t="str">
        <f t="shared" si="379"/>
        <v>nov22 oct23</v>
      </c>
      <c r="HD103" s="1">
        <v>65971</v>
      </c>
      <c r="HE103" s="79">
        <f t="shared" si="380"/>
        <v>757690</v>
      </c>
      <c r="HF103" s="86" t="str">
        <f t="shared" si="381"/>
        <v>nov22 oct23</v>
      </c>
      <c r="HG103" s="1">
        <v>199000</v>
      </c>
      <c r="HH103" s="79">
        <f t="shared" si="242"/>
        <v>2304000</v>
      </c>
      <c r="HI103" s="86" t="str">
        <f t="shared" si="382"/>
        <v>nov22 oct23</v>
      </c>
      <c r="HJ103" s="1">
        <v>92710</v>
      </c>
      <c r="HK103" s="79">
        <f t="shared" si="278"/>
        <v>69668.22</v>
      </c>
      <c r="HL103" s="86" t="str">
        <f t="shared" si="383"/>
        <v>nov22 oct23</v>
      </c>
      <c r="HM103" s="79">
        <f t="shared" si="358"/>
        <v>2373668.2200000002</v>
      </c>
      <c r="HN103" s="87">
        <f t="shared" si="297"/>
        <v>-4.3087971274685777E-2</v>
      </c>
      <c r="HO103" s="1">
        <v>1066000000</v>
      </c>
      <c r="HP103" s="79">
        <f t="shared" si="386"/>
        <v>11445.283332000001</v>
      </c>
      <c r="HQ103" s="86" t="str">
        <f t="shared" si="384"/>
        <v>nov22 oct23</v>
      </c>
      <c r="HR103" s="1"/>
      <c r="HS103" s="1"/>
      <c r="HT103" s="1"/>
      <c r="HU103" s="1">
        <v>700000</v>
      </c>
      <c r="HV103" s="1" t="s">
        <v>399</v>
      </c>
      <c r="HW103" s="1">
        <v>1500000</v>
      </c>
      <c r="HX103" s="1" t="s">
        <v>410</v>
      </c>
      <c r="HY103" s="1">
        <v>4300000</v>
      </c>
      <c r="HZ103" s="1" t="s">
        <v>399</v>
      </c>
      <c r="IA103" s="1">
        <f t="shared" ref="IA103:IA108" si="413">(3.5+17.5)*1000000</f>
        <v>21000000</v>
      </c>
      <c r="IB103" s="1" t="s">
        <v>399</v>
      </c>
      <c r="IC103" s="1">
        <v>38500000</v>
      </c>
      <c r="ID103" s="1" t="s">
        <v>399</v>
      </c>
      <c r="IE103" s="1">
        <v>750000</v>
      </c>
      <c r="IF103" s="1" t="s">
        <v>399</v>
      </c>
      <c r="IG103" s="1">
        <f t="shared" si="365"/>
        <v>7400000</v>
      </c>
      <c r="IH103" s="1" t="s">
        <v>410</v>
      </c>
      <c r="II103" s="79">
        <f t="shared" si="359"/>
        <v>73450000</v>
      </c>
      <c r="IJ103" s="97">
        <f t="shared" si="409"/>
        <v>1.9885213252125911</v>
      </c>
      <c r="IK103" s="1" t="s">
        <v>399</v>
      </c>
      <c r="IL103" s="7">
        <v>46.13</v>
      </c>
      <c r="IM103" s="7">
        <v>51.15</v>
      </c>
      <c r="IN103" s="7">
        <v>188.6</v>
      </c>
      <c r="IO103" s="7">
        <v>16.760000000000002</v>
      </c>
      <c r="IP103" s="176">
        <f t="shared" si="404"/>
        <v>6.139895208369488</v>
      </c>
      <c r="IQ103" s="176">
        <v>16.7</v>
      </c>
      <c r="IR103" s="98">
        <f t="shared" si="397"/>
        <v>6.92</v>
      </c>
      <c r="IS103" s="98">
        <f t="shared" si="397"/>
        <v>4.57</v>
      </c>
      <c r="IT103" s="98">
        <f t="shared" si="397"/>
        <v>13.61</v>
      </c>
      <c r="IU103" s="98">
        <f t="shared" si="397"/>
        <v>1.56</v>
      </c>
      <c r="IV103" s="94">
        <f t="shared" si="360"/>
        <v>19.739999999999998</v>
      </c>
      <c r="IW103" s="1"/>
      <c r="IX103" s="1"/>
      <c r="IY103" s="105">
        <v>1.88</v>
      </c>
      <c r="IZ103" s="161">
        <v>0.3</v>
      </c>
      <c r="JA103" s="83">
        <v>2813</v>
      </c>
      <c r="JB103" s="7">
        <v>35.950000000000003</v>
      </c>
      <c r="JC103" s="1"/>
      <c r="JD103" s="1"/>
      <c r="JF103" s="2">
        <v>14.398572559999998</v>
      </c>
      <c r="JG103" s="2">
        <v>11.823193960000001</v>
      </c>
      <c r="JH103" s="2">
        <v>46.257881820000001</v>
      </c>
      <c r="JI103" s="2">
        <v>176.75811727000001</v>
      </c>
      <c r="JJ103" s="2">
        <v>417.15981240000002</v>
      </c>
      <c r="JK103" s="2">
        <v>89.024842150000026</v>
      </c>
      <c r="JL103" s="2">
        <v>1748.2723919199998</v>
      </c>
      <c r="JM103" s="2">
        <v>12.25969731</v>
      </c>
      <c r="JN103" s="2">
        <v>38.899187259999991</v>
      </c>
      <c r="JO103" s="2">
        <v>23.44114875</v>
      </c>
      <c r="JP103" s="2">
        <v>0</v>
      </c>
      <c r="JQ103" s="2">
        <v>0.91333360000000008</v>
      </c>
      <c r="JR103" s="2">
        <v>3.37192253</v>
      </c>
      <c r="JS103" s="2">
        <v>0</v>
      </c>
      <c r="JT103" s="2">
        <v>7.0888999999999994E-2</v>
      </c>
      <c r="JU103" s="2">
        <v>81.396405279999982</v>
      </c>
      <c r="JV103" s="2">
        <v>7.6947181300000009</v>
      </c>
      <c r="JW103" s="2">
        <v>9.1856411099999988</v>
      </c>
      <c r="JX103" s="2">
        <v>12.223117719999999</v>
      </c>
      <c r="JY103" s="2">
        <v>0</v>
      </c>
      <c r="JZ103" s="2">
        <v>4.3002710999999998</v>
      </c>
      <c r="KA103" s="2">
        <v>0.1925</v>
      </c>
      <c r="KB103" s="2">
        <v>24.373047020000001</v>
      </c>
      <c r="KC103" s="2">
        <v>51.381121719999996</v>
      </c>
      <c r="KD103" s="2">
        <v>10.17972451</v>
      </c>
      <c r="KE103" s="2">
        <v>17.891480939999997</v>
      </c>
      <c r="KF103" s="2">
        <v>35.017556320000004</v>
      </c>
      <c r="KG103" s="2">
        <v>273.58963931999995</v>
      </c>
      <c r="KH103" s="2">
        <v>134.16752365000002</v>
      </c>
      <c r="KI103" s="2">
        <v>9.5091132299999988</v>
      </c>
      <c r="KJ103" s="2">
        <v>1.4110336399999999</v>
      </c>
      <c r="KK103" s="171">
        <v>7.5746309199999997</v>
      </c>
      <c r="KL103" s="171">
        <v>0.19098301000000001</v>
      </c>
      <c r="KM103" s="171">
        <v>0.10987036999999999</v>
      </c>
      <c r="KN103" s="171">
        <v>0.26450879999999999</v>
      </c>
      <c r="KO103" s="171">
        <v>21.069347470000004</v>
      </c>
      <c r="KP103" s="171">
        <v>0.45286999999999999</v>
      </c>
      <c r="KQ103" s="171">
        <v>222.59716574000001</v>
      </c>
      <c r="KR103" s="171">
        <v>0.3972678</v>
      </c>
      <c r="KS103" s="171">
        <v>0.23926624000000002</v>
      </c>
      <c r="KT103" s="171">
        <v>1.0171737099999998</v>
      </c>
      <c r="KU103" s="171">
        <v>0.47948613000000001</v>
      </c>
      <c r="KV103" s="171">
        <v>0</v>
      </c>
      <c r="KW103" s="171">
        <v>1.5225679400000001</v>
      </c>
      <c r="KX103" s="171">
        <v>0</v>
      </c>
      <c r="KY103" s="171">
        <v>0</v>
      </c>
      <c r="KZ103" s="171">
        <v>1.7214946800000002</v>
      </c>
      <c r="LA103" s="171">
        <v>0.27525109999999997</v>
      </c>
      <c r="LB103" s="171">
        <v>3.2034E-2</v>
      </c>
      <c r="LC103" s="171">
        <v>0.11566295</v>
      </c>
      <c r="LD103" s="171">
        <v>0</v>
      </c>
      <c r="LE103" s="171">
        <v>1.956285E-2</v>
      </c>
      <c r="LF103" s="171">
        <v>0.25025035000000001</v>
      </c>
      <c r="LG103" s="171">
        <v>21.937746180000001</v>
      </c>
      <c r="LH103" s="171">
        <v>5.4312745199999997</v>
      </c>
      <c r="LI103" s="171">
        <v>2.31537419</v>
      </c>
      <c r="LJ103" s="171">
        <v>0</v>
      </c>
      <c r="LK103" s="171">
        <v>3.9253711099999995</v>
      </c>
      <c r="LL103" s="171">
        <v>2.53051044</v>
      </c>
      <c r="LM103" s="171">
        <v>2.0947676</v>
      </c>
      <c r="LN103" s="171">
        <v>0.58632921999999998</v>
      </c>
      <c r="LO103" s="171">
        <v>2.01592043</v>
      </c>
      <c r="LQ103" s="85">
        <f t="shared" si="247"/>
        <v>2439.6070879799995</v>
      </c>
      <c r="LR103" s="85">
        <f t="shared" si="248"/>
        <v>4.3561451300000007</v>
      </c>
      <c r="LS103" s="85">
        <f t="shared" si="249"/>
        <v>16.880359240000001</v>
      </c>
      <c r="LT103" s="85">
        <f t="shared" si="250"/>
        <v>4.4927710999999997</v>
      </c>
      <c r="LU103" s="85">
        <f t="shared" si="251"/>
        <v>244.67742642000002</v>
      </c>
      <c r="LV103" s="85">
        <f t="shared" si="252"/>
        <v>1.5225679400000001</v>
      </c>
      <c r="LW103" s="85">
        <f t="shared" si="253"/>
        <v>0.30728509999999998</v>
      </c>
      <c r="LX103" s="85">
        <f t="shared" si="254"/>
        <v>0.26981320000000003</v>
      </c>
      <c r="LZ103" s="131">
        <v>523.03</v>
      </c>
      <c r="MA103" s="171">
        <v>789.18</v>
      </c>
      <c r="MB103"/>
      <c r="MC103"/>
      <c r="MD103"/>
      <c r="MF103"/>
      <c r="MG103"/>
      <c r="MH103" s="83">
        <v>1076.98</v>
      </c>
      <c r="MI103" s="83">
        <v>269.52</v>
      </c>
      <c r="MJ103" s="83">
        <v>604.95000000000005</v>
      </c>
      <c r="MK103"/>
      <c r="ML103" s="83">
        <v>286.68</v>
      </c>
      <c r="MM103" s="83">
        <v>874.29</v>
      </c>
      <c r="MN103" s="83"/>
      <c r="MO103" s="83">
        <v>267.64</v>
      </c>
      <c r="MP103" s="83">
        <v>799.13</v>
      </c>
      <c r="MQ103" s="83">
        <v>909.44</v>
      </c>
      <c r="MR103"/>
      <c r="MT103" s="83"/>
      <c r="MU103" s="83">
        <v>458.72</v>
      </c>
      <c r="MV103"/>
      <c r="MW103"/>
      <c r="MX103"/>
      <c r="MY103" s="83">
        <v>917.2</v>
      </c>
      <c r="MZ103" s="83">
        <v>1753</v>
      </c>
      <c r="NA103" s="83">
        <v>1039</v>
      </c>
      <c r="NB103" s="83">
        <v>3028</v>
      </c>
      <c r="NC103" s="83">
        <v>413.3</v>
      </c>
      <c r="ND103" s="1">
        <v>3800</v>
      </c>
      <c r="NE103" s="1">
        <v>2083</v>
      </c>
    </row>
    <row r="104" spans="1:369">
      <c r="A104" s="38">
        <f t="shared" si="334"/>
        <v>45231</v>
      </c>
      <c r="B104" s="36">
        <f t="shared" si="401"/>
        <v>11</v>
      </c>
      <c r="C104" s="36">
        <f t="shared" si="402"/>
        <v>2023</v>
      </c>
      <c r="D104" s="36">
        <f t="shared" si="347"/>
        <v>104</v>
      </c>
      <c r="E104" s="38">
        <f t="shared" si="335"/>
        <v>45231</v>
      </c>
      <c r="F104" s="7">
        <v>366.5</v>
      </c>
      <c r="G104" s="7">
        <v>2816.0628000000002</v>
      </c>
      <c r="H104" s="1">
        <f>[2]NACIONALES!$D92</f>
        <v>260822.9740574304</v>
      </c>
      <c r="I104" s="7">
        <v>124</v>
      </c>
      <c r="J104" s="7">
        <v>840</v>
      </c>
      <c r="K104" s="7">
        <v>7.8</v>
      </c>
      <c r="L104" s="7">
        <v>38.1</v>
      </c>
      <c r="N104" s="5">
        <f>+(2.77+2.6+2.49+2.8)/4</f>
        <v>2.665</v>
      </c>
      <c r="O104" s="5">
        <f>+(2.35+2.27+2.15+2.38)/4</f>
        <v>2.2874999999999996</v>
      </c>
      <c r="P104" s="78">
        <f t="shared" si="398"/>
        <v>862.16834374999985</v>
      </c>
      <c r="Q104" s="6">
        <v>28000</v>
      </c>
      <c r="R104" s="79">
        <f t="shared" si="336"/>
        <v>280000</v>
      </c>
      <c r="S104" s="6">
        <f>95176/F104</f>
        <v>259.68894952251026</v>
      </c>
      <c r="T104" s="6">
        <v>290</v>
      </c>
      <c r="U104" s="188">
        <v>190.25</v>
      </c>
      <c r="V104" s="6">
        <v>340.8047619047619</v>
      </c>
      <c r="W104" s="6">
        <v>282</v>
      </c>
      <c r="X104" s="6">
        <v>235.14761904761906</v>
      </c>
      <c r="Y104" s="79">
        <f t="shared" si="337"/>
        <v>95176.000000000015</v>
      </c>
      <c r="Z104" s="79">
        <f t="shared" si="338"/>
        <v>106285</v>
      </c>
      <c r="AA104" s="79">
        <f t="shared" si="339"/>
        <v>69726.625</v>
      </c>
      <c r="AB104" s="79">
        <f t="shared" si="340"/>
        <v>124904.94523809524</v>
      </c>
      <c r="AC104" s="79">
        <f t="shared" si="341"/>
        <v>103353</v>
      </c>
      <c r="AD104" s="79">
        <f t="shared" si="342"/>
        <v>86181.60238095239</v>
      </c>
      <c r="AE104" s="79">
        <f t="shared" si="343"/>
        <v>97604.528769841272</v>
      </c>
      <c r="AF104" s="1">
        <v>336294</v>
      </c>
      <c r="AG104" s="1">
        <v>169360</v>
      </c>
      <c r="AH104" s="1">
        <v>643570</v>
      </c>
      <c r="AI104" s="5">
        <v>216.46</v>
      </c>
      <c r="AJ104" s="5">
        <v>162.19999999999999</v>
      </c>
      <c r="AK104" s="5">
        <v>142.35</v>
      </c>
      <c r="AL104" s="5">
        <v>132.31</v>
      </c>
      <c r="AM104" s="78">
        <f t="shared" si="344"/>
        <v>174.82500000000002</v>
      </c>
      <c r="AN104" s="7">
        <v>15045.642857142857</v>
      </c>
      <c r="AO104" s="7">
        <v>4755.7952380952383</v>
      </c>
      <c r="AP104" s="78">
        <f t="shared" si="385"/>
        <v>4755.7952380952383</v>
      </c>
      <c r="AQ104" s="7">
        <v>4345.2380952380954</v>
      </c>
      <c r="AR104" s="7">
        <v>5555.9523809523807</v>
      </c>
      <c r="AS104" s="7">
        <v>4927.0588235294117</v>
      </c>
      <c r="AT104" s="7">
        <v>10424.619047619048</v>
      </c>
      <c r="AU104" s="78">
        <f t="shared" si="348"/>
        <v>6969.2100840336134</v>
      </c>
      <c r="AV104" s="7">
        <v>4627.727272727273</v>
      </c>
      <c r="AW104" s="7">
        <v>8535</v>
      </c>
      <c r="AX104" s="7">
        <v>3080.6249999999991</v>
      </c>
      <c r="AY104" s="7">
        <v>7907.7956989247314</v>
      </c>
      <c r="AZ104" s="7">
        <v>2348.75</v>
      </c>
      <c r="BA104" s="7">
        <v>1715.25</v>
      </c>
      <c r="BB104" s="94">
        <f t="shared" si="345"/>
        <v>4048.0092219235366</v>
      </c>
      <c r="BC104" s="68">
        <v>15636</v>
      </c>
      <c r="BD104" s="68">
        <v>10797</v>
      </c>
      <c r="BE104" s="95">
        <f>+BE103*BC104/BC103</f>
        <v>10684.781097984711</v>
      </c>
      <c r="BF104" s="95">
        <f>+BF103*BD104/BD103</f>
        <v>6963.4254093761492</v>
      </c>
      <c r="BG104" s="94">
        <f t="shared" si="349"/>
        <v>11020.301626840215</v>
      </c>
      <c r="BH104" s="7">
        <v>633.33000000000004</v>
      </c>
      <c r="BI104" s="7">
        <f>83+150</f>
        <v>233</v>
      </c>
      <c r="BJ104" s="78">
        <f t="shared" si="350"/>
        <v>866.33</v>
      </c>
      <c r="BK104" s="7">
        <v>981.06799999999998</v>
      </c>
      <c r="BL104" s="7">
        <v>1180.8399999999999</v>
      </c>
      <c r="BM104" s="94">
        <f t="shared" si="351"/>
        <v>1080.954</v>
      </c>
      <c r="BN104" s="5">
        <v>150.01</v>
      </c>
      <c r="BO104" s="84">
        <v>915.2</v>
      </c>
      <c r="BP104" s="84">
        <f>1397.2/1313.2*BP103</f>
        <v>681.78933901918981</v>
      </c>
      <c r="BQ104" s="94">
        <f t="shared" si="346"/>
        <v>891.85893390191904</v>
      </c>
      <c r="BR104" s="96">
        <f>+(744.69+676.45+682.86+641.36+629.93)/5</f>
        <v>675.05799999999999</v>
      </c>
      <c r="BS104" s="7">
        <v>2100</v>
      </c>
      <c r="BT104" s="7">
        <f>1.01*F104</f>
        <v>370.16500000000002</v>
      </c>
      <c r="BU104" s="79">
        <f t="shared" si="237"/>
        <v>26310.494999999999</v>
      </c>
      <c r="BV104" s="7">
        <v>715</v>
      </c>
      <c r="BW104" s="695">
        <v>1450</v>
      </c>
      <c r="BY104" s="92">
        <f>BY$10*(1+((H104/H$10-1)*costos!$B$5+((I104*F104)/(I$10*F$10)-1)*costos!$E$5+((J104*F104)/((J$10*F$10)-1)*costos!$F$5/3+((K104*F104)/(K$10*F$10)-1)*costos!$F$5/3+((U104*F104)/(U$10*F$10)-1)*costos!$F$5/3+((L104*F104)/(L$10*F$10)-1)*costos!$G$5+((N104*F104)/(N$10*F$10)-1)*costos!$J$5+((V104*F104)/(V$10*F$10)-1)*costos!$K$5)))</f>
        <v>4568.8548594359145</v>
      </c>
      <c r="BZ104" s="92">
        <f>$BZ$10*(1+((H104/$H$10-1)*costos!$B$6+((I104*F104)/($I$10*$F$10)-1)*costos!$E$6+((J104*F104)/(($J$10*$F$10)-1)*costos!$F$6/3+((K104*F104)/($K$10*$F$10)-1)*costos!$F$6/3+((U104*F104)/($U$10*$F$10)-1)*costos!$F$6/3+((L104*F104)/($L$10*$F$10)-1)*costos!$G$6+((Q104*F104)/($Q$10*$F$10)-1)*costos!$J$6+((V104*F104)/($V$10*$F$10)-1)*costos!$K$6)))</f>
        <v>3758.8346429261846</v>
      </c>
      <c r="CA104" s="92">
        <f>CA$10*(1+((H104/H$10-1)*costos!$B$7+((I104*F104)/(I$10*F$10)-1)*costos!$E$7+((J104*F104)/((J$10*F$10)-1)*costos!$F$7/3+((K104*F104)/(K$10*F$10)-1)*costos!$F$7/3+((U104*F104)/(U$10*F$10)-1)*costos!$F$7/3+((L104*F104)/(L$10*F$10)-1)*costos!$G$7+((S104*F104)/(S$10*F$10)-1)*costos!$J$7+((V104*F104)/(V$10*F$10)-1)*costos!$K$7)))</f>
        <v>4121.8371743307234</v>
      </c>
      <c r="CB104" s="92">
        <f>CB$10*(1+((H104/H$10-1)*costos!$B$8+((I104*F104)/(I$10*F$10)-1)*costos!$E$8+((J104*F104)/((J$10*F$10)-1)*costos!$F$8/3+((K104*F104)/(K$10*F$10)-1)*costos!$F$8/3+((U104*F104)/(U$10*F$10)-1)*costos!$F$8/3+((L104*F104)/(L$10*F$10)-1)*costos!$G$8+((T104*F104)/(T$10*F$10)-1)*costos!$J$8+((V104*F104)/(V$10*F$10)-1)*costos!$K$8)))</f>
        <v>3572.7373884329736</v>
      </c>
      <c r="CC104" s="92">
        <f>CC$10*(1+((H104/H$10-1)*costos!$B$9+((I104*F104)/(I$10*F$10)-1)*costos!$E$9+((J104*F104)/((J$10*F$10)-1)*costos!$F$9/3+((K104*F104)/(K$10*F$10)-1)*costos!$F$9/3+((U104*F104)/(U$10*F$10)-1)*costos!$F$9/3+((L104*F104)/(L$10*F$10)-1)*costos!$G$9+((U104*F104)/(U$10*F$10)-1)*costos!$J$9+((V104*F104)/(V$10*F$10)-1)*costos!$K$9)))</f>
        <v>3734.113971734665</v>
      </c>
      <c r="CD104" s="92">
        <f>CD$10*(1+((H104/H$10-1)*costos!$B$11+((I104*F104)/(I$10*F$10)-1)*costos!$E$11+((J104*F104)/((J$10*F$10)-1)*costos!$F$11/3+((K104*F104)/(K$10*F$10)-1)*costos!$F$11/3+((U104*F104)/(U$10*F$10)-1)*costos!$F$11/3+((L104*F104)/(L$10*F$10)-1)*costos!$G$11+((V104*F104)/(V$10*F$10)-1)*costos!$J$11+((V104*F104)/(V$10*F$10)-1)*costos!$K$11)))</f>
        <v>3925.9343271150315</v>
      </c>
      <c r="CE104" s="92">
        <f>CE$10*(1+((H104/H$10-1)*costos!$B$12+((I104*F104)/(I$10*F$10)-1)*costos!$E$12+((J104*F104)/((J$10*F$10)-1)*costos!$F$12/3+((K104*F104)/(K$10*F$10)-1)*costos!$F$12/3+((U104*F104)/(U$10*F$10)-1)*costos!$F$12/3+((L104*F104)/(L$10*F$10)-1)*costos!$G$12+((W104*F104)/(W$10*F$10)-1)*costos!$J$12+((V104*F104)/(V$10*F$10)-1)*costos!$K$12)))</f>
        <v>4239.8348207445615</v>
      </c>
      <c r="CF104" s="92">
        <f>CF$10*(1+((H104/H$10-1)*costos!$B$13+((I104*F104)/(I$10*F$10)-1)*costos!$E$13+((J104*F104)/((J$10*F$10)-1)*costos!$F$13/3+((K104*F104)/(K$10*F$10)-1)*costos!$F$13/3+((U104*F104)/(U$10*F$10)-1)*costos!$F$13/3+((L104*F104)/(L$10*F$10)-1)*costos!$G$13+((X104*F104)/(X$10*F$10)-1)*costos!$J$13+((V104*F104)/(V$10*F$10)-1)*costos!$K$13)))</f>
        <v>4036.7433911685866</v>
      </c>
      <c r="CG104" s="92">
        <f t="shared" si="388"/>
        <v>3938.5335122544238</v>
      </c>
      <c r="CH104" s="92">
        <f>CH$10*(1+((H104/H$10-1)*costos!$B$10+((I104*F104)/(I$10*F$10)-1)*costos!$E$10+((J104*F104)/((J$10*F$10)-1)*costos!$F$10/3+((K104*F104)/(K$10*F$10)-1)*costos!$F$10/3+((U104*F104)/(U$10*F$10)-1)*costos!$F$10/3+((L104*F104)/(L$10*F$10)-1)*costos!$G$10+((AF104)/(AF$10)-1)*costos!$J$10+((V104*F104)/(V$10*F$10)-1)*costos!$K$10)))</f>
        <v>4390.1794444812858</v>
      </c>
      <c r="CI104" s="92">
        <f>CI$10*(1+((H104/H$10-1)*costos!$B$15+((I104*F104)/(I$10*F$10)-1)*costos!$E$15+((J104*F104)/((J$10*F$10)-1)*costos!$F$15/3+((K104*F104)/(K$10*F$10)-1)*costos!$F$15/3+((U104*F104)/(U$10*F$10)-1)*costos!$F$15/3+((L104*F104)/(L$10*F$10)-1)*costos!$G$15+((AV104)/(AV$10)-1)*costos!$J$15+((V104*F104)/(V$10*F$10)-1)*costos!$K$15)))</f>
        <v>4435.0857166523483</v>
      </c>
      <c r="CJ104" s="92">
        <f>CJ$10*(1+((H104/H$10-1)*costos!$B$16+((I104*F104)/(I$10*F$10)-1)*costos!$E$16+((J104*F104)/((J$10*F$10)-1)*costos!$F$16/3+((K104*F104)/(K$10*F$10)-1)*costos!$F$16/3+((U104*F104)/(U$10*F$10)-1)*costos!$F$16/3+((L104*F104)/(L$10*F$10)-1)*costos!$G$16+((AW104)/(AW$10)-1)*costos!$J$16+((V104*F104)/(V$10*F$10)-1)*costos!$K$16)))</f>
        <v>3750.0518796726142</v>
      </c>
      <c r="CK104" s="92">
        <f>CK$10*(1+((H104/H$10-1)*costos!$B$17+((I104*F104)/(I$10*F$10)-1)*costos!$E$17+((J104*F104)/((J$10*F$10)-1)*costos!$F$17/3+((K104*F104)/(K$10*F$10)-1)*costos!$F$17/3+((U104*F104)/(U$10*F$10)-1)*costos!$F$17/3+((L104*F104)/(L$10*F$10)-1)*costos!$G$17+((AX104)/(AX$10)-1)*costos!$J$17+((V104*F104)/(V$10*F$10)-1)*costos!$K$17)))</f>
        <v>3939.7146991444943</v>
      </c>
      <c r="CL104" s="92">
        <f>CL$10*(1+((H104/H$10-1)*costos!$B$18+((I104*F104)/(I$10*F$10)-1)*costos!$E$18+((J104*F104)/((J$10*F$10)-1)*costos!$F$18/3+((K104*F104)/(K$10*F$10)-1)*costos!$F$18/3+((U104*F104)/(U$10*F$10)-1)*costos!$F$18/3+((L104*F104)/(L$10*F$10)-1)*costos!$G$18+((AY104)/(AY$10)-1)*costos!$J$18+((V104*F104)/(V$10*F$10)-1)*costos!$K$18)))</f>
        <v>4909.8117418790434</v>
      </c>
      <c r="CM104" s="92">
        <f>CM$10*(1+((H104/H$10-1)*costos!$B$19+((I104*F104)/(I$10*F$10)-1)*costos!$E$19+((J104*F104)/((J$10*F$10)-1)*costos!$F$19/3+((K104*F104)/(K$10*F$10)-1)*costos!$F$19/3+((U104*F104)/(U$10*F$10)-1)*costos!$F$19/3+((L104*F104)/(L$10*F$10)-1)*costos!$G$19+((AZ104)/(AZ$10)-1)*costos!$J$19+((V104*F104)/(V$10*F$10)-1)*costos!$K$19)))</f>
        <v>3245.9688127657528</v>
      </c>
      <c r="CN104" s="92">
        <f>CN$10*(1+((H104/H$10-1)*costos!$B$20+((I104*F104)/(I$10*F$10)-1)*costos!$E$20+((J104*F104)/((J$10*F$10)-1)*costos!$F$20/3+((K104*F104)/(K$10*F$10)-1)*costos!$F$20/3+((U104*F104)/(U$10*F$10)-1)*costos!$F$20/3+((L104*F104)/(L$10*F$10)-1)*costos!$G$20+((BA104)/(BA$10)-1)*costos!$J$20+((V104*F104)/(V$10*F$10)-1)*costos!$K$20)))</f>
        <v>3375.3076744955051</v>
      </c>
      <c r="CO104" s="92">
        <f t="shared" si="399"/>
        <v>3867.7007320711987</v>
      </c>
      <c r="CP104" s="92">
        <f>CP$10*(1+((H104/H$10-1)*costos!$B$22+((I104*F104)/(I$10*F$10)-1)*costos!$E$22+((J104*F104)/((J$10*F$10)-1)*costos!$F$22/3+((K104*F104)/(K$10*F$10)-1)*costos!$F$22/3+((U104*F104)/(U$10*F$10)-1)*costos!$F$22/3+((L104*F104)/(L$10*F$10)-1)*costos!$G$22+(((AVERAGE(AI104:AL104))/((AVERAGE(AI$10:AL$10))-1)*costos!$J$22+((V104*F104)/(V$10*F$10)-1)*costos!$K$22)))))</f>
        <v>4423.6265928203484</v>
      </c>
      <c r="CQ104" s="92">
        <f>CQ$10*(1+((H104/H$10-1)*costos!$B$23+((I104*F104)/(I$10*F$10)-1)*costos!$E$23+((J104*F104)/((J$10*F$10)-1)*costos!$F$23/3+((K104*F104)/(K$10*F$10)-1)*costos!$F$23/3+((U104*F104)/(U$10*F$10)-1)*costos!$F$23/3+((L104*F104)/(L$10*F$10)-1)*costos!$G$23+((AN104)/(AN$10)-1)*costos!$J$23+((V104*F104)/(V$10*F$10)-1)*costos!$K$23)))</f>
        <v>3907.0794483334907</v>
      </c>
      <c r="CR104" s="92">
        <f>CR$10*(1+((H104/H$10-1)*costos!$B$24+((I104*F104)/(I$10*F$10)-1)*costos!$E$24+((J104*F104)/((J$10*F$10)-1)*costos!$F$24/3+((K104*F104)/(K$10*F$10)-1)*costos!$F$24/3+((U104*F104)/(U$10*F$10)-1)*costos!$F$24/3+((L104*F104)/(L$10*F$10)-1)*costos!$G$24+((AO104)/(AO$10)-1)*costos!$J$24+((V104*F104)/(V$10*F$10)-1)*costos!$K$24)))</f>
        <v>3547.8836870319947</v>
      </c>
      <c r="CS104" s="92">
        <f t="shared" si="352"/>
        <v>3727.4815676827429</v>
      </c>
      <c r="CT104" s="92">
        <f>CT$10*(1+((H104/H$10-1)*costos!$B$25+((I104*F104)/(I$10*F$10)-1)*costos!$E$25+((J104*F104)/((J$10*F$10)-1)*costos!$F$25/3+((K104*F104)/(K$10*F$10)-1)*costos!$F$25/3+((U104*F104)/(U$10*F$10)-1)*costos!$F$25/3+((L104*F104)/(L$10*F$10)-1)*costos!$G$25+((AQ104)/(AQ$10)-1)*costos!$J$25+((V104*F104)/(V$10*F$10)-1)*costos!$K$25)))</f>
        <v>3522.8800583179209</v>
      </c>
      <c r="CU104" s="92">
        <f>CU$10*(1+((H104/H$10-1)*costos!$B$26+((I104*F104)/(I$10*F$10)-1)*costos!$E$26+((J104*F104)/((J$10*F$10)-1)*costos!$F$26/3+((K104*F104)/(K$10*F$10)-1)*costos!$F$26/3+((U104*F104)/(U$10*F$10)-1)*costos!$F$26/3+((L104*F104)/(L$10*F$10)-1)*costos!$G$26+((AR104)/(AR$10)-1)*costos!$J$26+((V104*F104)/(V$10*F$10)-1)*costos!$K$26)))</f>
        <v>3793.9608876142884</v>
      </c>
      <c r="CV104" s="92">
        <f>CV$10*(1+((H104/H$10-1)*costos!$B$27+((I104*F104)/(I$10*F$10)-1)*costos!$E$27+((J104*F104)/((J$10*F$10)-1)*costos!$F$27/3+((K104*F104)/(K$10*F$10)-1)*costos!$F$27/3+((U104*F104)/(U$10*F$10)-1)*costos!$F$27/3+((L104*F104)/(L$10*F$10)-1)*costos!$G$27+((AS104)/(AS$10)-1)*costos!$J$27+((V104*F104)/(V$10*F$10)-1)*costos!$K$27)))</f>
        <v>3745.2917805713746</v>
      </c>
      <c r="CW104" s="92">
        <f>CW$10*(1+((H104/H$10-1)*costos!$B$28+((I104*F104)/(I$10*F$10)-1)*costos!$E$28+((J104*F104)/((J$10*F$10)-1)*costos!$F$28/3+((K104*F104)/(K$10*F$10)-1)*costos!$F$28/3+((U104*F104)/(U$10*F$10)-1)*costos!$F$28/3+((L104*F104)/(L$10*F$10)-1)*costos!$G$28+((AS104)/(AS$10)-1)*costos!$J$28+((V104*F104)/(V$10*F$10)-1)*costos!$K$28)))</f>
        <v>3745.2917805713746</v>
      </c>
      <c r="CX104" s="92">
        <f t="shared" si="400"/>
        <v>3761.514816252346</v>
      </c>
      <c r="CY104" s="92">
        <f>CY$10*(1+((H104/H$10-1)*costos!$B$32+((I104*F104)/(I$10*F$10)-1)*costos!$E$32+((J104*F104)/((J$10*F$10)-1)*costos!$F$32/3+((K104*F104)/(K$10*F$10)-1)*costos!$F$32/3+((U104*F104)/(U$10*F$10)-1)*costos!$F$32/3+((L104*F104)/(L$10*F$10)-1)*costos!$G$32+((AG104)/(AG$10)-1)*costos!$J$32+((V104*F104)/(V$10*F$10)-1)*costos!$K$32)))</f>
        <v>3578.6702374911306</v>
      </c>
      <c r="CZ104" s="69">
        <f>CZ$10*(1+((H104/H$10-1)*costos!$B$31+((I104*F104)/(I$10*F$10)-1)*costos!$E$30+((J104*F104)/((J$10*F$10)-1)*costos!$F$30/3+((K104*F104)/(K$10*F$10)-1)*costos!$F$30/3+((U104*F104)/(U$10*F$10)-1)*costos!$F$30/3+((L104*F104)/(L$10*F$10)-1)*costos!$G$30+((BG104)/(BG$10)-1)*costos!$J$30+((V104*F104)/(V$10*F$10)-1)*costos!$K$30)))</f>
        <v>4485.0920241917083</v>
      </c>
      <c r="DA104" s="69">
        <f>DA$10*(1+((H104/H$10-1)*costos!$B$31+((I104*F104)/(I$10*F$10)-1)*costos!$E$31+((J104*F104)/((J$10*F$10)-1)*costos!$F$31/3+((K104*F104)/(K$10*F$10)-1)*costos!$F$31/3+((U104*F104)/(U$10*F$10)-1)*costos!$F$31/3+((L104*F104)/(L$10*F$10)-1)*costos!$G$31+((BJ104)/(BJ$10)-1)*costos!$J$31+((V104*F104)/(V$10*F$10)-1)*costos!$K$31)))</f>
        <v>3616.4684406972165</v>
      </c>
      <c r="DB104" s="69">
        <f>DB$10*(1+((H104/H$10-1)*costos!$B$36+((I104*F104)/(I$10*F$10)-1)*costos!$E$36+((J104*F104)/((J$10*F$10)-1)*costos!$F$36/3+((K104*F104)/(K$10*F$10)-1)*costos!$F$36/3+((U104*F104)/(U$10*F$10)-1)*costos!$F$36/3+((L104*F104)/(L$10*F$10)-1)*costos!$G$36+((BK104)/(BK$10)-1)*costos!$J$36+((V104*F104)/(V$10*F$10)-1)*costos!$K$36)))</f>
        <v>3945.015833548885</v>
      </c>
      <c r="DC104" s="69">
        <f>DC$10*(1+((H104/H$10-1)*costos!$B$37+((I104*F104)/(I$10*F$10)-1)*costos!$E$37+((U104*F104)/(U$10*F$10)-1)*costos!$F$37+((L104*F104)/(L$10*F$10)-1)*costos!$G$37+((BN104)/(BN$10)-1)*costos!$J$37+((V104*F104)/(V$10*F$10)-1)*costos!$K$37))</f>
        <v>3527.7285782139179</v>
      </c>
      <c r="DD104" s="69">
        <f>DD$10*(1+((H104/H$10-1)*costos!$B$39+((I104*F104)/(I$10*F$10)-1)*costos!$E$39+((U104*F104)/(U$10*F$10)-1)*costos!$F$39+((L104*F104)/(L$10*F$10)-1)*costos!$G$39+((BR104)/(BR$10)-1)*costos!$J$39+((V104*F104)/(V$10*F$10)-1)*costos!$K$39))</f>
        <v>3484.9613548657508</v>
      </c>
      <c r="DE104" s="69">
        <f>DD$10*(1+((H104/H$10-1)*costos!$B$35+((I104*F104)/(I$10*F$10)-1)*costos!$E$35+((U104*F104)/(U$10*F$10)-1)*costos!$F$35+((L104*F104)/(L$10*F$10)-1)*costos!$G$35+((BR104)/(BR$10)-1)*costos!$J$35+((V104*F104)/(V$10*F$10)-1)*costos!$K$35))</f>
        <v>3009.4775903529558</v>
      </c>
      <c r="DF104" s="69">
        <f>DF$10*(1+((H104/H$10-1)*costos!$B$40+((I104*F104)/(I$10*F$10)-1)*costos!$E$40+((U104*F104)/(U$10*F$10)-1)*costos!$F$40+((L104*F104)/(L$10*F$10)-1)*costos!$G$40+((BP104)/(BP$10)-1)*costos!$J$40+((V104*F104)/(V$10*F$10)-1)*costos!$K$40))</f>
        <v>3560.4620026220764</v>
      </c>
      <c r="DG104" s="92">
        <f t="shared" si="391"/>
        <v>3284.9697964875159</v>
      </c>
      <c r="DH104" s="69">
        <f>DH$10*(1+((H104/H$10-1)*costos!$B$34+((I104*F104)/(I$10*F$10)-1)*costos!$E$34+((J104*F104)/((J$10*F$10)-1)*costos!$F$34/3+((K104*F104)/(K$10*F$10)-1)*costos!$F$34/3+((U104*F104)/(U$10*F$10)-1)*costos!$F$34/3+((L104*F104)/(L$10*F$10)-1)*costos!$G$34+((BV104)/(BV$10)-1)*costos!$J$34+((V104*F104)/(V$10*F$10)-1)*costos!$K$34)))</f>
        <v>3691.7447864465416</v>
      </c>
      <c r="DI104" s="69">
        <f>DI$10*(1+((H104/H$10-1)*costos!$B$38+((I104*F104)/(I$10*F$10)-1)*costos!$E$38+((J104*F104)/((J$10*F$10)-1)*costos!$F$38/3+((K104*F104)/(K$10*F$10)-1)*costos!$F$38/3+((U104*F104)/(U$10*F$10)-1)*costos!$F$38/3+((L104*F104)/(L$10*F$10)-1)*costos!$G$38+((BU104)/(BU$10)-1)*costos!$J$38+((V104*F104)/(V$10*F$10)-1)*costos!$K$38)))</f>
        <v>3560.2119403281904</v>
      </c>
      <c r="DK104" s="1">
        <v>650000</v>
      </c>
      <c r="DL104" s="1" t="s">
        <v>410</v>
      </c>
      <c r="DM104" s="1">
        <v>200000</v>
      </c>
      <c r="DN104" s="1" t="s">
        <v>410</v>
      </c>
      <c r="DO104" s="1">
        <v>1600000</v>
      </c>
      <c r="DP104" s="1" t="s">
        <v>410</v>
      </c>
      <c r="DQ104" s="1">
        <v>2150000</v>
      </c>
      <c r="DR104" s="1" t="s">
        <v>410</v>
      </c>
      <c r="DS104" s="1">
        <v>7100000</v>
      </c>
      <c r="DT104" s="1" t="s">
        <v>410</v>
      </c>
      <c r="DU104" s="1">
        <v>16600000</v>
      </c>
      <c r="DV104" s="1" t="s">
        <v>410</v>
      </c>
      <c r="DW104" s="1">
        <v>750000</v>
      </c>
      <c r="DX104" s="1" t="s">
        <v>410</v>
      </c>
      <c r="DY104" s="1">
        <v>5916000</v>
      </c>
      <c r="DZ104" s="1" t="s">
        <v>410</v>
      </c>
      <c r="EA104" s="79">
        <f t="shared" si="353"/>
        <v>34116000</v>
      </c>
      <c r="EB104" s="1">
        <v>416490</v>
      </c>
      <c r="EC104" s="1" t="s">
        <v>410</v>
      </c>
      <c r="ED104" s="1">
        <v>222162</v>
      </c>
      <c r="EE104" s="143">
        <v>2023</v>
      </c>
      <c r="EF104" s="1">
        <v>204847</v>
      </c>
      <c r="EG104" s="6">
        <v>2023</v>
      </c>
      <c r="EH104" s="1">
        <v>54242595</v>
      </c>
      <c r="EI104" s="6">
        <v>2023</v>
      </c>
      <c r="EJ104" s="1">
        <v>5887401</v>
      </c>
      <c r="EK104" s="6">
        <v>2023</v>
      </c>
      <c r="EL104" s="1">
        <v>12461845</v>
      </c>
      <c r="EM104" s="6">
        <v>2022</v>
      </c>
      <c r="EN104" s="1">
        <v>3169981</v>
      </c>
      <c r="EO104" s="6">
        <v>2021</v>
      </c>
      <c r="EP104" s="83">
        <v>9375</v>
      </c>
      <c r="EQ104" s="83">
        <v>3500000</v>
      </c>
      <c r="ER104" s="1">
        <f t="shared" si="403"/>
        <v>79916</v>
      </c>
      <c r="ES104" s="1"/>
      <c r="ET104" s="83">
        <f t="shared" si="393"/>
        <v>20677</v>
      </c>
      <c r="EU104" s="83">
        <f t="shared" si="393"/>
        <v>19532</v>
      </c>
      <c r="EV104" s="83">
        <f t="shared" si="393"/>
        <v>9103</v>
      </c>
      <c r="EW104" s="83">
        <f t="shared" si="393"/>
        <v>17281</v>
      </c>
      <c r="EX104" s="79">
        <f t="shared" si="354"/>
        <v>66593</v>
      </c>
      <c r="EY104" s="83">
        <f t="shared" si="394"/>
        <v>20193</v>
      </c>
      <c r="EZ104" s="83">
        <f t="shared" si="394"/>
        <v>32682</v>
      </c>
      <c r="FA104" s="83">
        <f t="shared" si="405"/>
        <v>19526</v>
      </c>
      <c r="FB104" s="83">
        <f t="shared" si="406"/>
        <v>19463</v>
      </c>
      <c r="FC104" s="79">
        <f t="shared" ref="FC104:FC112" si="414">+FB104+FA104</f>
        <v>38989</v>
      </c>
      <c r="FD104" s="83">
        <f t="shared" si="395"/>
        <v>54743</v>
      </c>
      <c r="FE104" s="1"/>
      <c r="FF104" s="1">
        <v>900000</v>
      </c>
      <c r="FG104" s="1" t="s">
        <v>399</v>
      </c>
      <c r="FH104" s="1">
        <v>1200000</v>
      </c>
      <c r="FI104" s="1" t="s">
        <v>399</v>
      </c>
      <c r="FJ104" s="1">
        <v>5600000</v>
      </c>
      <c r="FK104" s="1" t="s">
        <v>410</v>
      </c>
      <c r="FL104" s="1">
        <v>5000000</v>
      </c>
      <c r="FM104" s="1" t="s">
        <v>399</v>
      </c>
      <c r="FN104" s="1">
        <v>55000000</v>
      </c>
      <c r="FO104" s="1" t="s">
        <v>410</v>
      </c>
      <c r="FP104" s="1">
        <v>25000000</v>
      </c>
      <c r="FQ104" s="1" t="s">
        <v>399</v>
      </c>
      <c r="FR104" s="1">
        <v>1600000</v>
      </c>
      <c r="FS104" s="1" t="s">
        <v>399</v>
      </c>
      <c r="FT104" s="1">
        <v>15853000</v>
      </c>
      <c r="FU104" s="1" t="s">
        <v>410</v>
      </c>
      <c r="FV104" s="79">
        <f t="shared" si="355"/>
        <v>108053000</v>
      </c>
      <c r="FW104" s="1">
        <v>940426</v>
      </c>
      <c r="FX104" s="1" t="s">
        <v>399</v>
      </c>
      <c r="FY104" s="1">
        <v>6.5</v>
      </c>
      <c r="FZ104" s="79">
        <f t="shared" si="377"/>
        <v>752161.76899999997</v>
      </c>
      <c r="GA104" s="86" t="str">
        <f t="shared" si="378"/>
        <v>dic22 nov23</v>
      </c>
      <c r="GB104" s="1">
        <v>14553117</v>
      </c>
      <c r="GC104" s="6">
        <v>2023</v>
      </c>
      <c r="GD104" s="83">
        <v>2315000</v>
      </c>
      <c r="GE104" s="83">
        <v>377000</v>
      </c>
      <c r="GF104" s="83">
        <v>1061000</v>
      </c>
      <c r="GG104" s="83">
        <v>127000</v>
      </c>
      <c r="GH104" s="79">
        <f t="shared" si="240"/>
        <v>1565000</v>
      </c>
      <c r="GI104" s="82">
        <f t="shared" si="373"/>
        <v>1302556</v>
      </c>
      <c r="GJ104" s="83">
        <f t="shared" si="373"/>
        <v>687701</v>
      </c>
      <c r="GK104" s="83">
        <f t="shared" si="373"/>
        <v>1430078.41</v>
      </c>
      <c r="GL104" s="83">
        <f t="shared" si="373"/>
        <v>302535.34000000003</v>
      </c>
      <c r="GM104" s="83">
        <f t="shared" si="373"/>
        <v>257597.81</v>
      </c>
      <c r="GN104" s="79">
        <f t="shared" si="357"/>
        <v>2677912.56</v>
      </c>
      <c r="GO104" s="83">
        <f t="shared" si="374"/>
        <v>202394.36</v>
      </c>
      <c r="GP104" s="83">
        <f t="shared" si="374"/>
        <v>73395</v>
      </c>
      <c r="GQ104" s="83">
        <v>57195</v>
      </c>
      <c r="GR104" s="1">
        <v>35181</v>
      </c>
      <c r="GS104" s="79">
        <f t="shared" si="412"/>
        <v>36896.85</v>
      </c>
      <c r="GT104" s="83">
        <f t="shared" si="407"/>
        <v>2365997</v>
      </c>
      <c r="GU104" s="1">
        <f>19999-1965</f>
        <v>18034</v>
      </c>
      <c r="GV104" s="1">
        <f>32623-6355</f>
        <v>26268</v>
      </c>
      <c r="GW104" s="79">
        <f t="shared" si="261"/>
        <v>778160</v>
      </c>
      <c r="GX104" s="1">
        <v>33126.813000000002</v>
      </c>
      <c r="GY104" s="1" t="s">
        <v>402</v>
      </c>
      <c r="GZ104" s="1">
        <v>87408</v>
      </c>
      <c r="HA104" s="178">
        <v>283354</v>
      </c>
      <c r="HB104" s="79">
        <f t="shared" si="241"/>
        <v>3303140</v>
      </c>
      <c r="HC104" s="86" t="str">
        <f t="shared" si="379"/>
        <v>dic22 nov23</v>
      </c>
      <c r="HD104" s="1">
        <v>64252</v>
      </c>
      <c r="HE104" s="79">
        <f t="shared" si="380"/>
        <v>761305</v>
      </c>
      <c r="HF104" s="86" t="str">
        <f t="shared" si="381"/>
        <v>dic22 nov23</v>
      </c>
      <c r="HG104" s="1">
        <v>194000</v>
      </c>
      <c r="HH104" s="79">
        <f t="shared" si="242"/>
        <v>2293000</v>
      </c>
      <c r="HI104" s="86" t="str">
        <f t="shared" si="382"/>
        <v>dic22 nov23</v>
      </c>
      <c r="HJ104" s="1">
        <v>90101</v>
      </c>
      <c r="HK104" s="79">
        <f t="shared" si="278"/>
        <v>68191.740000000005</v>
      </c>
      <c r="HL104" s="86" t="str">
        <f t="shared" si="383"/>
        <v>dic22 nov23</v>
      </c>
      <c r="HM104" s="79">
        <f t="shared" si="358"/>
        <v>2361191.7400000002</v>
      </c>
      <c r="HN104" s="87">
        <f t="shared" si="297"/>
        <v>-4.3594646271510551E-2</v>
      </c>
      <c r="HO104" s="1">
        <v>1000400000</v>
      </c>
      <c r="HP104" s="79">
        <f t="shared" si="386"/>
        <v>11399.683332000001</v>
      </c>
      <c r="HQ104" s="86" t="str">
        <f t="shared" si="384"/>
        <v>dic22 nov23</v>
      </c>
      <c r="HR104" s="1"/>
      <c r="HS104" s="1"/>
      <c r="HT104" s="1"/>
      <c r="HU104" s="1">
        <v>700000</v>
      </c>
      <c r="HV104" s="1" t="s">
        <v>399</v>
      </c>
      <c r="HW104" s="1">
        <v>1500000</v>
      </c>
      <c r="HX104" s="1" t="s">
        <v>410</v>
      </c>
      <c r="HY104" s="1">
        <v>4300000</v>
      </c>
      <c r="HZ104" s="1" t="s">
        <v>399</v>
      </c>
      <c r="IA104" s="1">
        <f t="shared" si="413"/>
        <v>21000000</v>
      </c>
      <c r="IB104" s="1" t="s">
        <v>399</v>
      </c>
      <c r="IC104" s="1">
        <v>38500000</v>
      </c>
      <c r="ID104" s="1" t="s">
        <v>399</v>
      </c>
      <c r="IE104" s="1">
        <v>750000</v>
      </c>
      <c r="IF104" s="1" t="s">
        <v>399</v>
      </c>
      <c r="IG104" s="1">
        <f t="shared" ref="IG104:IG116" si="415">(6.5+0.9)*1000000</f>
        <v>7400000</v>
      </c>
      <c r="IH104" s="1" t="s">
        <v>410</v>
      </c>
      <c r="II104" s="79">
        <f t="shared" si="359"/>
        <v>73450000</v>
      </c>
      <c r="IJ104" s="97">
        <f t="shared" si="409"/>
        <v>1.9885213252125911</v>
      </c>
      <c r="IK104" s="1" t="s">
        <v>399</v>
      </c>
      <c r="IL104" s="7">
        <v>46.03</v>
      </c>
      <c r="IM104" s="7">
        <v>51.3</v>
      </c>
      <c r="IN104" s="7">
        <v>196.8</v>
      </c>
      <c r="IO104" s="7">
        <v>16.75</v>
      </c>
      <c r="IP104" s="176">
        <f t="shared" si="404"/>
        <v>6.139895208369488</v>
      </c>
      <c r="IQ104" s="176">
        <v>16.7</v>
      </c>
      <c r="IR104" s="98">
        <f t="shared" si="397"/>
        <v>6.92</v>
      </c>
      <c r="IS104" s="98">
        <f t="shared" si="397"/>
        <v>4.57</v>
      </c>
      <c r="IT104" s="98">
        <f t="shared" si="397"/>
        <v>13.61</v>
      </c>
      <c r="IU104" s="98">
        <f t="shared" si="397"/>
        <v>1.56</v>
      </c>
      <c r="IV104" s="94">
        <f t="shared" si="360"/>
        <v>19.739999999999998</v>
      </c>
      <c r="IW104" s="1"/>
      <c r="IX104" s="1"/>
      <c r="IY104" s="105">
        <v>1.88</v>
      </c>
      <c r="IZ104" s="161">
        <v>0.3</v>
      </c>
      <c r="JA104" s="83">
        <v>2813</v>
      </c>
      <c r="JB104" s="7">
        <v>35.950000000000003</v>
      </c>
      <c r="JC104" s="1"/>
      <c r="JD104" s="1"/>
      <c r="JF104" s="2">
        <v>15.019774559999998</v>
      </c>
      <c r="JG104" s="2">
        <v>16.180063639999997</v>
      </c>
      <c r="JH104" s="2">
        <v>88.632958180000003</v>
      </c>
      <c r="JI104" s="2">
        <v>137.55607605</v>
      </c>
      <c r="JJ104" s="2">
        <v>365.44781301000006</v>
      </c>
      <c r="JK104" s="2">
        <v>96.183340330000021</v>
      </c>
      <c r="JL104" s="2">
        <v>1768.4178617100001</v>
      </c>
      <c r="JM104" s="2">
        <v>10.5025</v>
      </c>
      <c r="JN104" s="2">
        <v>71.37895859999999</v>
      </c>
      <c r="JO104" s="2">
        <v>22.013274209999999</v>
      </c>
      <c r="JP104" s="2">
        <v>0</v>
      </c>
      <c r="JQ104" s="2">
        <v>1.8026764400000002</v>
      </c>
      <c r="JR104" s="2">
        <v>1.91385483</v>
      </c>
      <c r="JS104" s="2">
        <v>0</v>
      </c>
      <c r="JT104" s="2">
        <v>5.2676000000000001E-2</v>
      </c>
      <c r="JU104" s="2">
        <v>76.246675170000003</v>
      </c>
      <c r="JV104" s="2">
        <v>6.0435801600000003</v>
      </c>
      <c r="JW104" s="2">
        <v>9.5758461100000005</v>
      </c>
      <c r="JX104" s="2">
        <v>11.925228279999999</v>
      </c>
      <c r="JY104" s="2">
        <v>0</v>
      </c>
      <c r="JZ104" s="2">
        <v>7.5427843799999996</v>
      </c>
      <c r="KA104" s="2">
        <v>0.34250000000000003</v>
      </c>
      <c r="KB104" s="2">
        <v>26.00374025</v>
      </c>
      <c r="KC104" s="2">
        <v>36.8257318</v>
      </c>
      <c r="KD104" s="2">
        <v>8.6156523299999996</v>
      </c>
      <c r="KE104" s="2">
        <v>13.943876809999997</v>
      </c>
      <c r="KF104" s="2">
        <v>30.603465830000005</v>
      </c>
      <c r="KG104" s="2">
        <v>321.39038838999994</v>
      </c>
      <c r="KH104" s="2">
        <v>136.81239812999999</v>
      </c>
      <c r="KI104" s="2">
        <v>13.412348609999999</v>
      </c>
      <c r="KJ104" s="2">
        <v>1.3743196699999998</v>
      </c>
      <c r="KK104" s="171">
        <v>6.9479693099999986</v>
      </c>
      <c r="KL104" s="171">
        <v>3.3462720000000001E-2</v>
      </c>
      <c r="KM104" s="171">
        <v>0.14247557</v>
      </c>
      <c r="KN104" s="171">
        <v>0.10491911000000001</v>
      </c>
      <c r="KO104" s="171">
        <v>23.661512440000003</v>
      </c>
      <c r="KP104" s="171">
        <v>0.11713932000000001</v>
      </c>
      <c r="KQ104" s="171">
        <v>236.51797877000001</v>
      </c>
      <c r="KR104" s="171">
        <v>0.18231122999999999</v>
      </c>
      <c r="KS104" s="171">
        <v>0.15912052999999998</v>
      </c>
      <c r="KT104" s="171">
        <v>2.7337765599999999</v>
      </c>
      <c r="KU104" s="171">
        <v>0.39667624000000001</v>
      </c>
      <c r="KV104" s="171">
        <v>0</v>
      </c>
      <c r="KW104" s="171">
        <v>1.9475411499999997</v>
      </c>
      <c r="KX104" s="171">
        <v>0</v>
      </c>
      <c r="KY104" s="171">
        <v>1.559984E-2</v>
      </c>
      <c r="KZ104" s="171">
        <v>1.2280305999999999</v>
      </c>
      <c r="LA104" s="171">
        <v>0.99056763999999997</v>
      </c>
      <c r="LB104" s="171">
        <v>2.7972E-2</v>
      </c>
      <c r="LC104" s="171">
        <v>9.1006570000000009E-2</v>
      </c>
      <c r="LD104" s="171">
        <v>0</v>
      </c>
      <c r="LE104" s="171">
        <v>1.8223369999999999E-2</v>
      </c>
      <c r="LF104" s="171">
        <v>0</v>
      </c>
      <c r="LG104" s="171">
        <v>12.114691449999999</v>
      </c>
      <c r="LH104" s="171">
        <v>4.9563280900000004</v>
      </c>
      <c r="LI104" s="171">
        <v>2.4189343299999999</v>
      </c>
      <c r="LJ104" s="171">
        <v>0</v>
      </c>
      <c r="LK104" s="171">
        <v>4.3280037599999996</v>
      </c>
      <c r="LL104" s="171">
        <v>3.5927978000000009</v>
      </c>
      <c r="LM104" s="171">
        <v>2.1288867499999999</v>
      </c>
      <c r="LN104" s="171">
        <v>0.74167351000000015</v>
      </c>
      <c r="LO104" s="171">
        <v>1.8536983500000002</v>
      </c>
      <c r="LQ104" s="85">
        <f t="shared" si="247"/>
        <v>2441.9361675499999</v>
      </c>
      <c r="LR104" s="85">
        <f t="shared" si="248"/>
        <v>3.7692072699999999</v>
      </c>
      <c r="LS104" s="85">
        <f t="shared" si="249"/>
        <v>15.619426270000002</v>
      </c>
      <c r="LT104" s="85">
        <f t="shared" si="250"/>
        <v>7.8852843799999999</v>
      </c>
      <c r="LU104" s="85">
        <f t="shared" si="251"/>
        <v>260.76831764999997</v>
      </c>
      <c r="LV104" s="85">
        <f t="shared" si="252"/>
        <v>1.9631409899999996</v>
      </c>
      <c r="LW104" s="85">
        <f t="shared" si="253"/>
        <v>1.01853964</v>
      </c>
      <c r="LX104" s="85">
        <f t="shared" si="254"/>
        <v>1.8223369999999999E-2</v>
      </c>
      <c r="LZ104" s="131">
        <v>622.87</v>
      </c>
      <c r="MA104" s="171">
        <v>1020.69</v>
      </c>
      <c r="MB104"/>
      <c r="MC104"/>
      <c r="MD104"/>
      <c r="MF104"/>
      <c r="MG104"/>
      <c r="MH104" s="83">
        <v>1244.72</v>
      </c>
      <c r="MI104" s="83">
        <v>323.26</v>
      </c>
      <c r="MJ104" s="83">
        <v>621.42999999999995</v>
      </c>
      <c r="MK104"/>
      <c r="ML104" s="83">
        <v>349.77</v>
      </c>
      <c r="MM104" s="83">
        <v>1187.8399999999999</v>
      </c>
      <c r="MN104" s="83"/>
      <c r="MO104" s="83">
        <v>279.55</v>
      </c>
      <c r="MP104" s="83">
        <v>906.93</v>
      </c>
      <c r="MQ104" s="83">
        <v>1066.79</v>
      </c>
      <c r="MR104"/>
      <c r="MT104" s="83"/>
      <c r="MU104" s="83">
        <v>505.71</v>
      </c>
      <c r="MV104"/>
      <c r="MW104"/>
      <c r="MX104"/>
      <c r="MY104" s="83">
        <v>1069.27</v>
      </c>
      <c r="MZ104" s="83">
        <v>2067</v>
      </c>
      <c r="NA104" s="83">
        <v>1190</v>
      </c>
      <c r="NB104" s="83">
        <v>3475</v>
      </c>
      <c r="NC104" s="83">
        <v>457.1</v>
      </c>
      <c r="ND104" s="1">
        <v>5250</v>
      </c>
      <c r="NE104" s="1">
        <v>2442</v>
      </c>
    </row>
    <row r="105" spans="1:369">
      <c r="A105" s="38">
        <f t="shared" si="334"/>
        <v>45261</v>
      </c>
      <c r="B105" s="36">
        <f t="shared" si="401"/>
        <v>12</v>
      </c>
      <c r="C105" s="36">
        <f t="shared" si="402"/>
        <v>2023</v>
      </c>
      <c r="D105" s="36">
        <f t="shared" si="347"/>
        <v>105</v>
      </c>
      <c r="E105" s="38">
        <f t="shared" si="335"/>
        <v>45261</v>
      </c>
      <c r="F105" s="7">
        <v>806.75</v>
      </c>
      <c r="G105" s="7">
        <v>3533.1922</v>
      </c>
      <c r="H105" s="1">
        <f>[2]NACIONALES!$D93</f>
        <v>294729.96068489633</v>
      </c>
      <c r="I105" s="7">
        <v>99</v>
      </c>
      <c r="J105" s="7">
        <v>890</v>
      </c>
      <c r="K105" s="7">
        <v>7.8</v>
      </c>
      <c r="L105" s="7">
        <v>23.9</v>
      </c>
      <c r="N105" s="5">
        <f>+(1.56+2.3+2.88)/3</f>
        <v>2.2466666666666666</v>
      </c>
      <c r="O105" s="5">
        <f>+(1.37+1.97+2.47)/3</f>
        <v>1.9366666666666668</v>
      </c>
      <c r="P105" s="78">
        <f t="shared" si="398"/>
        <v>1603.0794791666667</v>
      </c>
      <c r="Q105" s="6">
        <v>36000</v>
      </c>
      <c r="R105" s="79">
        <f t="shared" si="336"/>
        <v>360000</v>
      </c>
      <c r="S105" s="6">
        <v>181.5</v>
      </c>
      <c r="T105" s="6">
        <f>203000/F105</f>
        <v>251.62689804772234</v>
      </c>
      <c r="U105" s="188">
        <v>186.32</v>
      </c>
      <c r="V105" s="6">
        <v>313.92000000000007</v>
      </c>
      <c r="W105" s="6">
        <v>281</v>
      </c>
      <c r="X105" s="6">
        <v>223.90666666666669</v>
      </c>
      <c r="Y105" s="79">
        <f t="shared" si="337"/>
        <v>146425.125</v>
      </c>
      <c r="Z105" s="79">
        <f t="shared" si="338"/>
        <v>203000</v>
      </c>
      <c r="AA105" s="79">
        <f t="shared" si="339"/>
        <v>150313.66</v>
      </c>
      <c r="AB105" s="79">
        <f t="shared" si="340"/>
        <v>253254.96000000005</v>
      </c>
      <c r="AC105" s="79">
        <f t="shared" si="341"/>
        <v>226696.75</v>
      </c>
      <c r="AD105" s="79">
        <f t="shared" si="342"/>
        <v>180636.70333333337</v>
      </c>
      <c r="AE105" s="79">
        <f t="shared" si="343"/>
        <v>193387.86638888888</v>
      </c>
      <c r="AF105" s="1">
        <v>434893</v>
      </c>
      <c r="AG105" s="1">
        <v>210000</v>
      </c>
      <c r="AH105" s="1">
        <v>798000</v>
      </c>
      <c r="AI105" s="5">
        <v>247.58</v>
      </c>
      <c r="AJ105" s="5">
        <v>181.24</v>
      </c>
      <c r="AK105" s="5">
        <v>164.99</v>
      </c>
      <c r="AL105" s="5">
        <v>147.77000000000001</v>
      </c>
      <c r="AM105" s="78">
        <f t="shared" si="344"/>
        <v>199.49860000000001</v>
      </c>
      <c r="AN105" s="7">
        <v>17153.424657534248</v>
      </c>
      <c r="AO105" s="7">
        <v>7761.6578947368425</v>
      </c>
      <c r="AP105" s="78">
        <f t="shared" si="385"/>
        <v>7761.6578947368425</v>
      </c>
      <c r="AQ105" s="7">
        <v>8500</v>
      </c>
      <c r="AR105" s="7">
        <v>7426.3157894736842</v>
      </c>
      <c r="AS105" s="7">
        <v>5906.7796610169489</v>
      </c>
      <c r="AT105" s="7">
        <v>10986.78947368421</v>
      </c>
      <c r="AU105" s="78">
        <f t="shared" si="348"/>
        <v>8106.6283080582807</v>
      </c>
      <c r="AV105" s="7">
        <v>6385.8974358974356</v>
      </c>
      <c r="AW105" s="7">
        <v>9373.6842105263149</v>
      </c>
      <c r="AX105" s="7">
        <v>3947.4105263157894</v>
      </c>
      <c r="AY105" s="7">
        <v>4837.1428571428569</v>
      </c>
      <c r="AZ105" s="7">
        <v>5390.347368421053</v>
      </c>
      <c r="BA105" s="7">
        <v>2567.5510204081634</v>
      </c>
      <c r="BB105" s="94">
        <f t="shared" si="345"/>
        <v>4469.7098937820738</v>
      </c>
      <c r="BC105" s="68">
        <v>19981</v>
      </c>
      <c r="BD105" s="68">
        <v>13496.25</v>
      </c>
      <c r="BE105" s="7">
        <v>13500</v>
      </c>
      <c r="BF105" s="7">
        <v>11000</v>
      </c>
      <c r="BG105" s="94">
        <f t="shared" si="349"/>
        <v>14494.3125</v>
      </c>
      <c r="BH105" s="7">
        <v>1400</v>
      </c>
      <c r="BI105" s="7">
        <v>0</v>
      </c>
      <c r="BJ105" s="78">
        <f t="shared" si="350"/>
        <v>1400</v>
      </c>
      <c r="BK105" s="7">
        <v>1426.2280000000001</v>
      </c>
      <c r="BL105" s="7">
        <v>2046.28</v>
      </c>
      <c r="BM105" s="94">
        <f t="shared" si="351"/>
        <v>1736.2539999999999</v>
      </c>
      <c r="BN105" s="5">
        <v>193.65</v>
      </c>
      <c r="BO105" s="84">
        <v>1019</v>
      </c>
      <c r="BP105" s="84">
        <v>839.7</v>
      </c>
      <c r="BQ105" s="94">
        <f t="shared" si="346"/>
        <v>1001.07</v>
      </c>
      <c r="BR105" s="96">
        <v>932.35</v>
      </c>
      <c r="BS105" s="7">
        <v>3000</v>
      </c>
      <c r="BT105" s="7">
        <f>1.03*F105</f>
        <v>830.95249999999999</v>
      </c>
      <c r="BU105" s="79">
        <f t="shared" si="237"/>
        <v>38492.857499999998</v>
      </c>
      <c r="BV105" s="7">
        <v>1031</v>
      </c>
      <c r="BW105" s="695">
        <v>1450</v>
      </c>
      <c r="BY105" s="92">
        <f>BY$10*(1+((H105/H$10-1)*costos!$B$5+((I105*F105)/(I$10*F$10)-1)*costos!$E$5+((J105*F105)/((J$10*F$10)-1)*costos!$F$5/3+((K105*F105)/(K$10*F$10)-1)*costos!$F$5/3+((U105*F105)/(U$10*F$10)-1)*costos!$F$5/3+((L105*F105)/(L$10*F$10)-1)*costos!$G$5+((N105*F105)/(N$10*F$10)-1)*costos!$J$5+((V105*F105)/(V$10*F$10)-1)*costos!$K$5)))</f>
        <v>8543.9622857337545</v>
      </c>
      <c r="BZ105" s="92">
        <f>$BZ$10*(1+((H105/$H$10-1)*costos!$B$6+((I105*F105)/($I$10*$F$10)-1)*costos!$E$6+((J105*F105)/(($J$10*$F$10)-1)*costos!$F$6/3+((K105*F105)/($K$10*$F$10)-1)*costos!$F$6/3+((U105*F105)/($U$10*$F$10)-1)*costos!$F$6/3+((L105*F105)/($L$10*$F$10)-1)*costos!$G$6+((Q105*F105)/($Q$10*$F$10)-1)*costos!$J$6+((V105*F105)/($V$10*$F$10)-1)*costos!$K$6)))</f>
        <v>7068.3328482194765</v>
      </c>
      <c r="CA105" s="92">
        <f>CA$10*(1+((H105/H$10-1)*costos!$B$7+((I105*F105)/(I$10*F$10)-1)*costos!$E$7+((J105*F105)/((J$10*F$10)-1)*costos!$F$7/3+((K105*F105)/(K$10*F$10)-1)*costos!$F$7/3+((U105*F105)/(U$10*F$10)-1)*costos!$F$7/3+((L105*F105)/(L$10*F$10)-1)*costos!$G$7+((S105*F105)/(S$10*F$10)-1)*costos!$J$7+((V105*F105)/(V$10*F$10)-1)*costos!$K$7)))</f>
        <v>7646.1739116571653</v>
      </c>
      <c r="CB105" s="92">
        <f>CB$10*(1+((H105/H$10-1)*costos!$B$8+((I105*F105)/(I$10*F$10)-1)*costos!$E$8+((J105*F105)/((J$10*F$10)-1)*costos!$F$8/3+((K105*F105)/(K$10*F$10)-1)*costos!$F$8/3+((U105*F105)/(U$10*F$10)-1)*costos!$F$8/3+((L105*F105)/(L$10*F$10)-1)*costos!$G$8+((T105*F105)/(T$10*F$10)-1)*costos!$J$8+((V105*F105)/(V$10*F$10)-1)*costos!$K$8)))</f>
        <v>6782.8758310038193</v>
      </c>
      <c r="CC105" s="92">
        <f>CC$10*(1+((H105/H$10-1)*costos!$B$9+((I105*F105)/(I$10*F$10)-1)*costos!$E$9+((J105*F105)/((J$10*F$10)-1)*costos!$F$9/3+((K105*F105)/(K$10*F$10)-1)*costos!$F$9/3+((U105*F105)/(U$10*F$10)-1)*costos!$F$9/3+((L105*F105)/(L$10*F$10)-1)*costos!$G$9+((U105*F105)/(U$10*F$10)-1)*costos!$J$9+((V105*F105)/(V$10*F$10)-1)*costos!$K$9)))</f>
        <v>7285.4456878777564</v>
      </c>
      <c r="CD105" s="92">
        <f>CD$10*(1+((H105/H$10-1)*costos!$B$11+((I105*F105)/(I$10*F$10)-1)*costos!$E$11+((J105*F105)/((J$10*F$10)-1)*costos!$F$11/3+((K105*F105)/(K$10*F$10)-1)*costos!$F$11/3+((U105*F105)/(U$10*F$10)-1)*costos!$F$11/3+((L105*F105)/(L$10*F$10)-1)*costos!$G$11+((V105*F105)/(V$10*F$10)-1)*costos!$J$11+((V105*F105)/(V$10*F$10)-1)*costos!$K$11)))</f>
        <v>7775.2771268288625</v>
      </c>
      <c r="CE105" s="92">
        <f>CE$10*(1+((H105/H$10-1)*costos!$B$12+((I105*F105)/(I$10*F$10)-1)*costos!$E$12+((J105*F105)/((J$10*F$10)-1)*costos!$F$12/3+((K105*F105)/(K$10*F$10)-1)*costos!$F$12/3+((U105*F105)/(U$10*F$10)-1)*costos!$F$12/3+((L105*F105)/(L$10*F$10)-1)*costos!$G$12+((W105*F105)/(W$10*F$10)-1)*costos!$J$12+((V105*F105)/(V$10*F$10)-1)*costos!$K$12)))</f>
        <v>8368.3532791346443</v>
      </c>
      <c r="CF105" s="92">
        <f>CF$10*(1+((H105/H$10-1)*costos!$B$13+((I105*F105)/(I$10*F$10)-1)*costos!$E$13+((J105*F105)/((J$10*F$10)-1)*costos!$F$13/3+((K105*F105)/(K$10*F$10)-1)*costos!$F$13/3+((U105*F105)/(U$10*F$10)-1)*costos!$F$13/3+((L105*F105)/(L$10*F$10)-1)*costos!$G$13+((X105*F105)/(X$10*F$10)-1)*costos!$J$13+((V105*F105)/(V$10*F$10)-1)*costos!$K$13)))</f>
        <v>7983.2568628916706</v>
      </c>
      <c r="CG105" s="92">
        <f t="shared" si="388"/>
        <v>7640.230449898987</v>
      </c>
      <c r="CH105" s="92">
        <f>CH$10*(1+((H105/H$10-1)*costos!$B$10+((I105*F105)/(I$10*F$10)-1)*costos!$E$10+((J105*F105)/((J$10*F$10)-1)*costos!$F$10/3+((K105*F105)/(K$10*F$10)-1)*costos!$F$10/3+((U105*F105)/(U$10*F$10)-1)*costos!$F$10/3+((L105*F105)/(L$10*F$10)-1)*costos!$G$10+((AF105)/(AF$10)-1)*costos!$J$10+((V105*F105)/(V$10*F$10)-1)*costos!$K$10)))</f>
        <v>7331.4438171353841</v>
      </c>
      <c r="CI105" s="92">
        <f>CI$10*(1+((H105/H$10-1)*costos!$B$15+((I105*F105)/(I$10*F$10)-1)*costos!$E$15+((J105*F105)/((J$10*F$10)-1)*costos!$F$15/3+((K105*F105)/(K$10*F$10)-1)*costos!$F$15/3+((U105*F105)/(U$10*F$10)-1)*costos!$F$15/3+((L105*F105)/(L$10*F$10)-1)*costos!$G$15+((AV105)/(AV$10)-1)*costos!$J$15+((V105*F105)/(V$10*F$10)-1)*costos!$K$15)))</f>
        <v>7954.5684424429055</v>
      </c>
      <c r="CJ105" s="92">
        <f>CJ$10*(1+((H105/H$10-1)*costos!$B$16+((I105*F105)/(I$10*F$10)-1)*costos!$E$16+((J105*F105)/((J$10*F$10)-1)*costos!$F$16/3+((K105*F105)/(K$10*F$10)-1)*costos!$F$16/3+((U105*F105)/(U$10*F$10)-1)*costos!$F$16/3+((L105*F105)/(L$10*F$10)-1)*costos!$G$16+((AW105)/(AW$10)-1)*costos!$J$16+((V105*F105)/(V$10*F$10)-1)*costos!$K$16)))</f>
        <v>5324.4594732450951</v>
      </c>
      <c r="CK105" s="92">
        <f>CK$10*(1+((H105/H$10-1)*costos!$B$17+((I105*F105)/(I$10*F$10)-1)*costos!$E$17+((J105*F105)/((J$10*F$10)-1)*costos!$F$17/3+((K105*F105)/(K$10*F$10)-1)*costos!$F$17/3+((U105*F105)/(U$10*F$10)-1)*costos!$F$17/3+((L105*F105)/(L$10*F$10)-1)*costos!$G$17+((AX105)/(AX$10)-1)*costos!$J$17+((V105*F105)/(V$10*F$10)-1)*costos!$K$17)))</f>
        <v>6615.9475424071443</v>
      </c>
      <c r="CL105" s="92">
        <f>CL$10*(1+((H105/H$10-1)*costos!$B$18+((I105*F105)/(I$10*F$10)-1)*costos!$E$18+((J105*F105)/((J$10*F$10)-1)*costos!$F$18/3+((K105*F105)/(K$10*F$10)-1)*costos!$F$18/3+((U105*F105)/(U$10*F$10)-1)*costos!$F$18/3+((L105*F105)/(L$10*F$10)-1)*costos!$G$18+((AY105)/(AY$10)-1)*costos!$J$18+((V105*F105)/(V$10*F$10)-1)*costos!$K$18)))</f>
        <v>6671.9781989117591</v>
      </c>
      <c r="CM105" s="92">
        <f>CM$10*(1+((H105/H$10-1)*costos!$B$19+((I105*F105)/(I$10*F$10)-1)*costos!$E$19+((J105*F105)/((J$10*F$10)-1)*costos!$F$19/3+((K105*F105)/(K$10*F$10)-1)*costos!$F$19/3+((U105*F105)/(U$10*F$10)-1)*costos!$F$19/3+((L105*F105)/(L$10*F$10)-1)*costos!$G$19+((AZ105)/(AZ$10)-1)*costos!$J$19+((V105*F105)/(V$10*F$10)-1)*costos!$K$19)))</f>
        <v>5371.9614454027433</v>
      </c>
      <c r="CN105" s="92">
        <f>CN$10*(1+((H105/H$10-1)*costos!$B$20+((I105*F105)/(I$10*F$10)-1)*costos!$E$20+((J105*F105)/((J$10*F$10)-1)*costos!$F$20/3+((K105*F105)/(K$10*F$10)-1)*costos!$F$20/3+((U105*F105)/(U$10*F$10)-1)*costos!$F$20/3+((L105*F105)/(L$10*F$10)-1)*costos!$G$20+((BA105)/(BA$10)-1)*costos!$J$20+((V105*F105)/(V$10*F$10)-1)*costos!$K$20)))</f>
        <v>5068.1819308131016</v>
      </c>
      <c r="CO105" s="92">
        <f t="shared" si="399"/>
        <v>5932.0172793836873</v>
      </c>
      <c r="CP105" s="92">
        <f>CP$10*(1+((H105/H$10-1)*costos!$B$22+((I105*F105)/(I$10*F$10)-1)*costos!$E$22+((J105*F105)/((J$10*F$10)-1)*costos!$F$22/3+((K105*F105)/(K$10*F$10)-1)*costos!$F$22/3+((U105*F105)/(U$10*F$10)-1)*costos!$F$22/3+((L105*F105)/(L$10*F$10)-1)*costos!$G$22+(((AVERAGE(AI105:AL105))/((AVERAGE(AI$10:AL$10))-1)*costos!$J$22+((V105*F105)/(V$10*F$10)-1)*costos!$K$22)))))</f>
        <v>6601.0209393136493</v>
      </c>
      <c r="CQ105" s="92">
        <f>CQ$10*(1+((H105/H$10-1)*costos!$B$23+((I105*F105)/(I$10*F$10)-1)*costos!$E$23+((J105*F105)/((J$10*F$10)-1)*costos!$F$23/3+((K105*F105)/(K$10*F$10)-1)*costos!$F$23/3+((U105*F105)/(U$10*F$10)-1)*costos!$F$23/3+((L105*F105)/(L$10*F$10)-1)*costos!$G$23+((AN105)/(AN$10)-1)*costos!$J$23+((V105*F105)/(V$10*F$10)-1)*costos!$K$23)))</f>
        <v>5827.4694938620114</v>
      </c>
      <c r="CR105" s="92">
        <f>CR$10*(1+((H105/H$10-1)*costos!$B$24+((I105*F105)/(I$10*F$10)-1)*costos!$E$24+((J105*F105)/((J$10*F$10)-1)*costos!$F$24/3+((K105*F105)/(K$10*F$10)-1)*costos!$F$24/3+((U105*F105)/(U$10*F$10)-1)*costos!$F$24/3+((L105*F105)/(L$10*F$10)-1)*costos!$G$24+((AO105)/(AO$10)-1)*costos!$J$24+((V105*F105)/(V$10*F$10)-1)*costos!$K$24)))</f>
        <v>5614.6897702721826</v>
      </c>
      <c r="CS105" s="92">
        <f t="shared" si="352"/>
        <v>5721.079632067097</v>
      </c>
      <c r="CT105" s="92">
        <f>CT$10*(1+((H105/H$10-1)*costos!$B$25+((I105*F105)/(I$10*F$10)-1)*costos!$E$25+((J105*F105)/((J$10*F$10)-1)*costos!$F$25/3+((K105*F105)/(K$10*F$10)-1)*costos!$F$25/3+((U105*F105)/(U$10*F$10)-1)*costos!$F$25/3+((L105*F105)/(L$10*F$10)-1)*costos!$G$25+((AQ105)/(AQ$10)-1)*costos!$J$25+((V105*F105)/(V$10*F$10)-1)*costos!$K$25)))</f>
        <v>5884.4225253948061</v>
      </c>
      <c r="CU105" s="92">
        <f>CU$10*(1+((H105/H$10-1)*costos!$B$26+((I105*F105)/(I$10*F$10)-1)*costos!$E$26+((J105*F105)/((J$10*F$10)-1)*costos!$F$26/3+((K105*F105)/(K$10*F$10)-1)*costos!$F$26/3+((U105*F105)/(U$10*F$10)-1)*costos!$F$26/3+((L105*F105)/(L$10*F$10)-1)*costos!$G$26+((AR105)/(AR$10)-1)*costos!$J$26+((V105*F105)/(V$10*F$10)-1)*costos!$K$26)))</f>
        <v>6341.2035232561875</v>
      </c>
      <c r="CV105" s="92">
        <f>CV$10*(1+((H105/H$10-1)*costos!$B$27+((I105*F105)/(I$10*F$10)-1)*costos!$E$27+((J105*F105)/((J$10*F$10)-1)*costos!$F$27/3+((K105*F105)/(K$10*F$10)-1)*costos!$F$27/3+((U105*F105)/(U$10*F$10)-1)*costos!$F$27/3+((L105*F105)/(L$10*F$10)-1)*costos!$G$27+((AS105)/(AS$10)-1)*costos!$J$27+((V105*F105)/(V$10*F$10)-1)*costos!$K$27)))</f>
        <v>6230.6977785604586</v>
      </c>
      <c r="CW105" s="92">
        <f>CW$10*(1+((H105/H$10-1)*costos!$B$28+((I105*F105)/(I$10*F$10)-1)*costos!$E$28+((J105*F105)/((J$10*F$10)-1)*costos!$F$28/3+((K105*F105)/(K$10*F$10)-1)*costos!$F$28/3+((U105*F105)/(U$10*F$10)-1)*costos!$F$28/3+((L105*F105)/(L$10*F$10)-1)*costos!$G$28+((AS105)/(AS$10)-1)*costos!$J$28+((V105*F105)/(V$10*F$10)-1)*costos!$K$28)))</f>
        <v>6230.6977785604586</v>
      </c>
      <c r="CX105" s="92">
        <f t="shared" si="400"/>
        <v>6267.5330267923682</v>
      </c>
      <c r="CY105" s="92">
        <f>CY$10*(1+((H105/H$10-1)*costos!$B$32+((I105*F105)/(I$10*F$10)-1)*costos!$E$32+((J105*F105)/((J$10*F$10)-1)*costos!$F$32/3+((K105*F105)/(K$10*F$10)-1)*costos!$F$32/3+((U105*F105)/(U$10*F$10)-1)*costos!$F$32/3+((L105*F105)/(L$10*F$10)-1)*costos!$G$32+((AG105)/(AG$10)-1)*costos!$J$32+((V105*F105)/(V$10*F$10)-1)*costos!$K$32)))</f>
        <v>4824.5498045625</v>
      </c>
      <c r="CZ105" s="69">
        <f>CZ$10*(1+((H105/H$10-1)*costos!$B$31+((I105*F105)/(I$10*F$10)-1)*costos!$E$30+((J105*F105)/((J$10*F$10)-1)*costos!$F$30/3+((K105*F105)/(K$10*F$10)-1)*costos!$F$30/3+((U105*F105)/(U$10*F$10)-1)*costos!$F$30/3+((L105*F105)/(L$10*F$10)-1)*costos!$G$30+((BG105)/(BG$10)-1)*costos!$J$30+((V105*F105)/(V$10*F$10)-1)*costos!$K$30)))</f>
        <v>6863.1898009148163</v>
      </c>
      <c r="DA105" s="69">
        <f>DA$10*(1+((H105/H$10-1)*costos!$B$31+((I105*F105)/(I$10*F$10)-1)*costos!$E$31+((J105*F105)/((J$10*F$10)-1)*costos!$F$31/3+((K105*F105)/(K$10*F$10)-1)*costos!$F$31/3+((U105*F105)/(U$10*F$10)-1)*costos!$F$31/3+((L105*F105)/(L$10*F$10)-1)*costos!$G$31+((BJ105)/(BJ$10)-1)*costos!$J$31+((V105*F105)/(V$10*F$10)-1)*costos!$K$31)))</f>
        <v>5333.8378383292074</v>
      </c>
      <c r="DB105" s="69">
        <f>DB$10*(1+((H105/H$10-1)*costos!$B$36+((I105*F105)/(I$10*F$10)-1)*costos!$E$36+((J105*F105)/((J$10*F$10)-1)*costos!$F$36/3+((K105*F105)/(K$10*F$10)-1)*costos!$F$36/3+((U105*F105)/(U$10*F$10)-1)*costos!$F$36/3+((L105*F105)/(L$10*F$10)-1)*costos!$G$36+((BK105)/(BK$10)-1)*costos!$J$36+((V105*F105)/(V$10*F$10)-1)*costos!$K$36)))</f>
        <v>6597.8503471252279</v>
      </c>
      <c r="DC105" s="69">
        <f>DC$10*(1+((H105/H$10-1)*costos!$B$37+((I105*F105)/(I$10*F$10)-1)*costos!$E$37+((U105*F105)/(U$10*F$10)-1)*costos!$F$37+((L105*F105)/(L$10*F$10)-1)*costos!$G$37+((BN105)/(BN$10)-1)*costos!$J$37+((V105*F105)/(V$10*F$10)-1)*costos!$K$37))</f>
        <v>6723.0921390817766</v>
      </c>
      <c r="DD105" s="69">
        <f>DD$10*(1+((H105/H$10-1)*costos!$B$39+((I105*F105)/(I$10*F$10)-1)*costos!$E$39+((U105*F105)/(U$10*F$10)-1)*costos!$F$39+((L105*F105)/(L$10*F$10)-1)*costos!$G$39+((BR105)/(BR$10)-1)*costos!$J$39+((V105*F105)/(V$10*F$10)-1)*costos!$K$39))</f>
        <v>6612.2666293293423</v>
      </c>
      <c r="DE105" s="69">
        <f>DD$10*(1+((H105/H$10-1)*costos!$B$35+((I105*F105)/(I$10*F$10)-1)*costos!$E$35+((U105*F105)/(U$10*F$10)-1)*costos!$F$35+((L105*F105)/(L$10*F$10)-1)*costos!$G$35+((BR105)/(BR$10)-1)*costos!$J$35+((V105*F105)/(V$10*F$10)-1)*costos!$K$35))</f>
        <v>5775.9562112972735</v>
      </c>
      <c r="DF105" s="69">
        <f>DF$10*(1+((H105/H$10-1)*costos!$B$40+((I105*F105)/(I$10*F$10)-1)*costos!$E$40+((U105*F105)/(U$10*F$10)-1)*costos!$F$40+((L105*F105)/(L$10*F$10)-1)*costos!$G$40+((BP105)/(BP$10)-1)*costos!$J$40+((V105*F105)/(V$10*F$10)-1)*costos!$K$40))</f>
        <v>6943.6140933023225</v>
      </c>
      <c r="DG105" s="92">
        <f t="shared" si="391"/>
        <v>6359.785152299798</v>
      </c>
      <c r="DH105" s="69">
        <f>DH$10*(1+((H105/H$10-1)*costos!$B$34+((I105*F105)/(I$10*F$10)-1)*costos!$E$34+((J105*F105)/((J$10*F$10)-1)*costos!$F$34/3+((K105*F105)/(K$10*F$10)-1)*costos!$F$34/3+((U105*F105)/(U$10*F$10)-1)*costos!$F$34/3+((L105*F105)/(L$10*F$10)-1)*costos!$G$34+((BV105)/(BV$10)-1)*costos!$J$34+((V105*F105)/(V$10*F$10)-1)*costos!$K$34)))</f>
        <v>5659.4986500510377</v>
      </c>
      <c r="DI105" s="69">
        <f>DI$10*(1+((H105/H$10-1)*costos!$B$38+((I105*F105)/(I$10*F$10)-1)*costos!$E$38+((J105*F105)/((J$10*F$10)-1)*costos!$F$38/3+((K105*F105)/(K$10*F$10)-1)*costos!$F$38/3+((U105*F105)/(U$10*F$10)-1)*costos!$F$38/3+((L105*F105)/(L$10*F$10)-1)*costos!$G$38+((BU105)/(BU$10)-1)*costos!$J$38+((V105*F105)/(V$10*F$10)-1)*costos!$K$38)))</f>
        <v>4991.4960159189814</v>
      </c>
      <c r="DK105" s="1">
        <v>650000</v>
      </c>
      <c r="DL105" s="1" t="s">
        <v>410</v>
      </c>
      <c r="DM105" s="1">
        <v>200000</v>
      </c>
      <c r="DN105" s="1" t="s">
        <v>410</v>
      </c>
      <c r="DO105" s="1">
        <v>1530000</v>
      </c>
      <c r="DP105" s="1" t="s">
        <v>410</v>
      </c>
      <c r="DQ105" s="1">
        <v>2060000</v>
      </c>
      <c r="DR105" s="1" t="s">
        <v>410</v>
      </c>
      <c r="DS105" s="1">
        <v>7100000</v>
      </c>
      <c r="DT105" s="1" t="s">
        <v>410</v>
      </c>
      <c r="DU105" s="1">
        <v>16700000</v>
      </c>
      <c r="DV105" s="1" t="s">
        <v>410</v>
      </c>
      <c r="DW105" s="1">
        <v>760000</v>
      </c>
      <c r="DX105" s="1" t="s">
        <v>410</v>
      </c>
      <c r="DY105" s="1">
        <v>5916000</v>
      </c>
      <c r="DZ105" s="1" t="s">
        <v>410</v>
      </c>
      <c r="EA105" s="79">
        <f t="shared" si="353"/>
        <v>34066000</v>
      </c>
      <c r="EB105" s="1">
        <v>416490</v>
      </c>
      <c r="EC105" s="1" t="s">
        <v>410</v>
      </c>
      <c r="ED105" s="1">
        <v>222162</v>
      </c>
      <c r="EE105" s="143">
        <v>2023</v>
      </c>
      <c r="EF105" s="1">
        <v>204847</v>
      </c>
      <c r="EG105" s="6">
        <v>2023</v>
      </c>
      <c r="EH105" s="1">
        <v>54242595</v>
      </c>
      <c r="EI105" s="6">
        <v>2023</v>
      </c>
      <c r="EJ105" s="1">
        <v>5887401</v>
      </c>
      <c r="EK105" s="6">
        <v>2023</v>
      </c>
      <c r="EL105" s="1">
        <v>12461845</v>
      </c>
      <c r="EM105" s="6">
        <v>2022</v>
      </c>
      <c r="EN105" s="1">
        <v>3169981</v>
      </c>
      <c r="EO105" s="6">
        <v>2021</v>
      </c>
      <c r="EP105" s="83">
        <v>9356</v>
      </c>
      <c r="EQ105" s="83">
        <v>3500000</v>
      </c>
      <c r="ER105" s="1">
        <f t="shared" si="403"/>
        <v>79916</v>
      </c>
      <c r="ES105" s="1"/>
      <c r="ET105" s="83">
        <f t="shared" si="393"/>
        <v>20677</v>
      </c>
      <c r="EU105" s="83">
        <f t="shared" si="393"/>
        <v>19532</v>
      </c>
      <c r="EV105" s="83">
        <f t="shared" si="393"/>
        <v>9103</v>
      </c>
      <c r="EW105" s="83">
        <f t="shared" si="393"/>
        <v>17281</v>
      </c>
      <c r="EX105" s="79">
        <f t="shared" si="354"/>
        <v>66593</v>
      </c>
      <c r="EY105" s="83">
        <f t="shared" si="394"/>
        <v>20193</v>
      </c>
      <c r="EZ105" s="83">
        <f t="shared" si="394"/>
        <v>32682</v>
      </c>
      <c r="FA105" s="83">
        <f t="shared" si="405"/>
        <v>19526</v>
      </c>
      <c r="FB105" s="83">
        <f t="shared" si="406"/>
        <v>19463</v>
      </c>
      <c r="FC105" s="79">
        <f t="shared" si="414"/>
        <v>38989</v>
      </c>
      <c r="FD105" s="83">
        <f t="shared" si="395"/>
        <v>54743</v>
      </c>
      <c r="FE105" s="1"/>
      <c r="FF105" s="1">
        <v>900000</v>
      </c>
      <c r="FG105" s="1" t="s">
        <v>399</v>
      </c>
      <c r="FH105" s="1">
        <v>1200000</v>
      </c>
      <c r="FI105" s="1" t="s">
        <v>399</v>
      </c>
      <c r="FJ105" s="1">
        <v>5570000</v>
      </c>
      <c r="FK105" s="1" t="s">
        <v>410</v>
      </c>
      <c r="FL105" s="1">
        <v>5000000</v>
      </c>
      <c r="FM105" s="1" t="s">
        <v>399</v>
      </c>
      <c r="FN105" s="1">
        <v>55000000</v>
      </c>
      <c r="FO105" s="1" t="s">
        <v>410</v>
      </c>
      <c r="FP105" s="1">
        <v>25000000</v>
      </c>
      <c r="FQ105" s="1" t="s">
        <v>399</v>
      </c>
      <c r="FR105" s="1">
        <v>1600000</v>
      </c>
      <c r="FS105" s="1" t="s">
        <v>399</v>
      </c>
      <c r="FT105" s="1">
        <v>15853000</v>
      </c>
      <c r="FU105" s="1" t="s">
        <v>410</v>
      </c>
      <c r="FV105" s="79">
        <f t="shared" si="355"/>
        <v>108023000</v>
      </c>
      <c r="FW105" s="1">
        <v>940426</v>
      </c>
      <c r="FX105" s="1" t="s">
        <v>399</v>
      </c>
      <c r="FY105" s="1">
        <v>39045</v>
      </c>
      <c r="FZ105" s="79">
        <f t="shared" si="377"/>
        <v>774165.98200000008</v>
      </c>
      <c r="GA105" s="86" t="str">
        <f t="shared" si="378"/>
        <v>ene23 dic23</v>
      </c>
      <c r="GB105" s="1">
        <v>14553117</v>
      </c>
      <c r="GC105" s="6">
        <v>2023</v>
      </c>
      <c r="GD105" s="83">
        <v>2315000</v>
      </c>
      <c r="GE105" s="83">
        <v>377000</v>
      </c>
      <c r="GF105" s="83">
        <v>1061000</v>
      </c>
      <c r="GG105" s="83">
        <v>127000</v>
      </c>
      <c r="GH105" s="79">
        <f t="shared" si="240"/>
        <v>1565000</v>
      </c>
      <c r="GI105" s="82">
        <f t="shared" si="373"/>
        <v>1302556</v>
      </c>
      <c r="GJ105" s="83">
        <f t="shared" si="373"/>
        <v>687701</v>
      </c>
      <c r="GK105" s="83">
        <f t="shared" si="373"/>
        <v>1430078.41</v>
      </c>
      <c r="GL105" s="83">
        <f t="shared" si="373"/>
        <v>302535.34000000003</v>
      </c>
      <c r="GM105" s="83">
        <f t="shared" si="373"/>
        <v>257597.81</v>
      </c>
      <c r="GN105" s="79">
        <f t="shared" si="357"/>
        <v>2677912.56</v>
      </c>
      <c r="GO105" s="83">
        <f t="shared" si="374"/>
        <v>202394.36</v>
      </c>
      <c r="GP105" s="83">
        <f t="shared" ref="GP105:GP116" si="416">+GP104</f>
        <v>73395</v>
      </c>
      <c r="GQ105" s="83">
        <v>150162.75</v>
      </c>
      <c r="GR105" s="1">
        <v>35181</v>
      </c>
      <c r="GS105" s="79">
        <f t="shared" si="412"/>
        <v>39685.8825</v>
      </c>
      <c r="GT105" s="83">
        <f t="shared" si="407"/>
        <v>2365997</v>
      </c>
      <c r="GU105" s="1">
        <f>12856-1051</f>
        <v>11805</v>
      </c>
      <c r="GV105" s="1">
        <f>31894-5323</f>
        <v>26571</v>
      </c>
      <c r="GW105" s="79">
        <f t="shared" si="261"/>
        <v>771397</v>
      </c>
      <c r="GX105" s="1">
        <v>33126.813000000002</v>
      </c>
      <c r="GY105" s="1" t="s">
        <v>402</v>
      </c>
      <c r="GZ105" s="1">
        <v>87408</v>
      </c>
      <c r="HA105" s="1">
        <v>245281</v>
      </c>
      <c r="HB105" s="79">
        <f t="shared" si="241"/>
        <v>3270996</v>
      </c>
      <c r="HC105" s="86" t="str">
        <f t="shared" si="379"/>
        <v>ene23 dic23</v>
      </c>
      <c r="HD105" s="1">
        <v>62354</v>
      </c>
      <c r="HE105" s="79">
        <f t="shared" si="380"/>
        <v>762436</v>
      </c>
      <c r="HF105" s="86" t="str">
        <f t="shared" si="381"/>
        <v>ene23 dic23</v>
      </c>
      <c r="HG105" s="1">
        <v>188000</v>
      </c>
      <c r="HH105" s="79">
        <f t="shared" si="242"/>
        <v>2284000</v>
      </c>
      <c r="HI105" s="86" t="str">
        <f t="shared" si="382"/>
        <v>ene23 dic23</v>
      </c>
      <c r="HJ105" s="1">
        <v>88530</v>
      </c>
      <c r="HK105" s="79">
        <f t="shared" si="278"/>
        <v>67401.78</v>
      </c>
      <c r="HL105" s="86" t="str">
        <f t="shared" si="383"/>
        <v>ene23 dic23</v>
      </c>
      <c r="HM105" s="79">
        <f t="shared" si="358"/>
        <v>2351401.7799999998</v>
      </c>
      <c r="HN105" s="87">
        <f t="shared" si="297"/>
        <v>-7.6699029126213625E-2</v>
      </c>
      <c r="HO105" s="1">
        <v>951000000</v>
      </c>
      <c r="HP105" s="79">
        <f t="shared" si="386"/>
        <v>11320.683332000001</v>
      </c>
      <c r="HQ105" s="86" t="str">
        <f t="shared" si="384"/>
        <v>ene23 dic23</v>
      </c>
      <c r="HR105" s="1"/>
      <c r="HS105" s="1"/>
      <c r="HT105" s="1"/>
      <c r="HU105" s="1">
        <v>700000</v>
      </c>
      <c r="HV105" s="1" t="s">
        <v>399</v>
      </c>
      <c r="HW105" s="1">
        <v>1500000</v>
      </c>
      <c r="HX105" s="1" t="s">
        <v>410</v>
      </c>
      <c r="HY105" s="1">
        <v>4300000</v>
      </c>
      <c r="HZ105" s="1" t="s">
        <v>399</v>
      </c>
      <c r="IA105" s="1">
        <f t="shared" si="413"/>
        <v>21000000</v>
      </c>
      <c r="IB105" s="1" t="s">
        <v>399</v>
      </c>
      <c r="IC105" s="1">
        <v>38500000</v>
      </c>
      <c r="ID105" s="1" t="s">
        <v>399</v>
      </c>
      <c r="IE105" s="1">
        <v>750000</v>
      </c>
      <c r="IF105" s="1" t="s">
        <v>399</v>
      </c>
      <c r="IG105" s="1">
        <f t="shared" si="415"/>
        <v>7400000</v>
      </c>
      <c r="IH105" s="1" t="s">
        <v>410</v>
      </c>
      <c r="II105" s="79">
        <f t="shared" si="359"/>
        <v>73450000</v>
      </c>
      <c r="IJ105" s="97">
        <f t="shared" si="409"/>
        <v>1.9885213252125911</v>
      </c>
      <c r="IK105" s="1" t="s">
        <v>399</v>
      </c>
      <c r="IL105" s="7">
        <v>45.85</v>
      </c>
      <c r="IM105" s="186">
        <v>42.59</v>
      </c>
      <c r="IN105" s="7">
        <v>196.8</v>
      </c>
      <c r="IO105" s="7">
        <v>16.72</v>
      </c>
      <c r="IP105" s="176">
        <f t="shared" si="404"/>
        <v>6.139895208369488</v>
      </c>
      <c r="IQ105" s="176">
        <v>16.7</v>
      </c>
      <c r="IR105" s="98">
        <f t="shared" si="397"/>
        <v>6.92</v>
      </c>
      <c r="IS105" s="98">
        <f t="shared" si="397"/>
        <v>4.57</v>
      </c>
      <c r="IT105" s="98">
        <f t="shared" si="397"/>
        <v>13.61</v>
      </c>
      <c r="IU105" s="98">
        <f t="shared" si="397"/>
        <v>1.56</v>
      </c>
      <c r="IV105" s="94">
        <f t="shared" si="360"/>
        <v>19.739999999999998</v>
      </c>
      <c r="IW105" s="1"/>
      <c r="IX105" s="1"/>
      <c r="IY105" s="105">
        <v>1.88</v>
      </c>
      <c r="IZ105" s="161">
        <v>0.3</v>
      </c>
      <c r="JA105" s="83">
        <v>2813</v>
      </c>
      <c r="JB105" s="7">
        <v>35.950000000000003</v>
      </c>
      <c r="JC105" s="1"/>
      <c r="JD105" s="1"/>
      <c r="JF105" s="2">
        <v>8.4463773399999997</v>
      </c>
      <c r="JG105" s="2">
        <v>15.82785018</v>
      </c>
      <c r="JH105" s="2">
        <v>52.283356619999999</v>
      </c>
      <c r="JI105" s="2">
        <v>116.40345418999999</v>
      </c>
      <c r="JJ105" s="2">
        <v>325.28621910999988</v>
      </c>
      <c r="JK105" s="2">
        <v>90.064767340000003</v>
      </c>
      <c r="JL105" s="2">
        <v>2077.0509025600004</v>
      </c>
      <c r="JM105" s="2">
        <v>1.4289939199999999</v>
      </c>
      <c r="JN105" s="2">
        <v>383.21689906</v>
      </c>
      <c r="JO105" s="2">
        <v>26.000694290000002</v>
      </c>
      <c r="JP105" s="2">
        <v>0</v>
      </c>
      <c r="JQ105" s="2">
        <v>2.1414712699999998</v>
      </c>
      <c r="JR105" s="2">
        <v>2.04962292</v>
      </c>
      <c r="JS105" s="2">
        <v>0</v>
      </c>
      <c r="JT105" s="2">
        <v>5.33888E-2</v>
      </c>
      <c r="JU105" s="2">
        <v>71.762443020000006</v>
      </c>
      <c r="JV105" s="2">
        <v>4.7040095199999996</v>
      </c>
      <c r="JW105" s="2">
        <v>7.0498702700000004</v>
      </c>
      <c r="JX105" s="2">
        <v>12.105150140000001</v>
      </c>
      <c r="JY105" s="2">
        <v>0</v>
      </c>
      <c r="JZ105" s="2">
        <v>3.4682140500000003</v>
      </c>
      <c r="KA105" s="2">
        <v>0.18</v>
      </c>
      <c r="KB105" s="2">
        <v>24.797754910000005</v>
      </c>
      <c r="KC105" s="2">
        <v>56.890802439999995</v>
      </c>
      <c r="KD105" s="2">
        <v>7.1224329199999996</v>
      </c>
      <c r="KE105" s="2">
        <v>12.805239539999999</v>
      </c>
      <c r="KF105" s="2">
        <v>35.210116300000003</v>
      </c>
      <c r="KG105" s="2">
        <v>325.97502911999987</v>
      </c>
      <c r="KH105" s="2">
        <v>153.04661877999999</v>
      </c>
      <c r="KI105" s="2">
        <v>15.83663735</v>
      </c>
      <c r="KJ105" s="2">
        <v>1.5576121499999998</v>
      </c>
      <c r="KK105" s="171">
        <v>3.5587731599999999</v>
      </c>
      <c r="KL105" s="171">
        <v>3.973985E-2</v>
      </c>
      <c r="KM105" s="171">
        <v>0.11384013000000001</v>
      </c>
      <c r="KN105" s="171">
        <v>1.7440000000000001E-4</v>
      </c>
      <c r="KO105" s="171">
        <v>16.080303620000002</v>
      </c>
      <c r="KP105" s="171">
        <v>0.24194792999999998</v>
      </c>
      <c r="KQ105" s="171">
        <v>285.68010467000005</v>
      </c>
      <c r="KR105" s="171">
        <v>2.1714290000000001E-2</v>
      </c>
      <c r="KS105" s="171">
        <v>2.4895050000000002E-2</v>
      </c>
      <c r="KT105" s="171">
        <v>2.1384397699999997</v>
      </c>
      <c r="KU105" s="171">
        <v>0.24099903000000003</v>
      </c>
      <c r="KV105" s="171">
        <v>3.4589599999999998E-2</v>
      </c>
      <c r="KW105" s="171">
        <v>1.3307838300000001</v>
      </c>
      <c r="KX105" s="171">
        <v>0</v>
      </c>
      <c r="KY105" s="171">
        <v>2.323414E-2</v>
      </c>
      <c r="KZ105" s="171">
        <v>1.01193058</v>
      </c>
      <c r="LA105" s="171">
        <v>0.22142464000000001</v>
      </c>
      <c r="LB105" s="171">
        <v>0</v>
      </c>
      <c r="LC105" s="171">
        <v>6.66268E-2</v>
      </c>
      <c r="LD105" s="171">
        <v>0</v>
      </c>
      <c r="LE105" s="171">
        <v>0.24456166000000001</v>
      </c>
      <c r="LF105" s="171">
        <v>0.129132</v>
      </c>
      <c r="LG105" s="171">
        <v>9.5859924200000002</v>
      </c>
      <c r="LH105" s="171">
        <v>2.2553329799999999</v>
      </c>
      <c r="LI105" s="171">
        <v>1.8796713600000001</v>
      </c>
      <c r="LJ105" s="171">
        <v>4.0599999999999997E-2</v>
      </c>
      <c r="LK105" s="171">
        <v>2.60999925</v>
      </c>
      <c r="LL105" s="171">
        <v>3.3410357400000001</v>
      </c>
      <c r="LM105" s="171">
        <v>1.8227840799999999</v>
      </c>
      <c r="LN105" s="171">
        <v>0.34283965</v>
      </c>
      <c r="LO105" s="171">
        <v>3.3747357299999998</v>
      </c>
      <c r="LQ105" s="85">
        <f t="shared" si="247"/>
        <v>2955.6698254600001</v>
      </c>
      <c r="LR105" s="85">
        <f t="shared" si="248"/>
        <v>4.244482989999999</v>
      </c>
      <c r="LS105" s="85">
        <f t="shared" si="249"/>
        <v>11.753879789999999</v>
      </c>
      <c r="LT105" s="85">
        <f t="shared" si="250"/>
        <v>3.6482140500000004</v>
      </c>
      <c r="LU105" s="85">
        <f t="shared" si="251"/>
        <v>301.92103216000004</v>
      </c>
      <c r="LV105" s="85">
        <f t="shared" si="252"/>
        <v>1.38860757</v>
      </c>
      <c r="LW105" s="85">
        <f t="shared" si="253"/>
        <v>0.22142464000000001</v>
      </c>
      <c r="LX105" s="85">
        <f t="shared" si="254"/>
        <v>0.37369366000000004</v>
      </c>
      <c r="LZ105" s="83">
        <v>846.3</v>
      </c>
      <c r="MA105" s="83">
        <v>1557.53</v>
      </c>
      <c r="MB105"/>
      <c r="MC105"/>
      <c r="MD105"/>
      <c r="MF105"/>
      <c r="MG105"/>
      <c r="MH105" s="83">
        <v>1534.79</v>
      </c>
      <c r="MI105" s="83">
        <v>492.38</v>
      </c>
      <c r="MJ105" s="83">
        <v>715.39</v>
      </c>
      <c r="MK105"/>
      <c r="ML105" s="83">
        <v>393.08</v>
      </c>
      <c r="MM105" s="83">
        <v>896.42</v>
      </c>
      <c r="MN105" s="83"/>
      <c r="MO105" s="83">
        <v>380.62</v>
      </c>
      <c r="MP105" s="83">
        <v>1189.79</v>
      </c>
      <c r="MQ105" s="83">
        <v>1336.87</v>
      </c>
      <c r="MR105"/>
      <c r="MT105" s="83"/>
      <c r="MU105" s="83">
        <v>692.39</v>
      </c>
      <c r="MV105"/>
      <c r="MW105"/>
      <c r="MX105"/>
      <c r="MY105" s="83">
        <v>1397.19</v>
      </c>
      <c r="MZ105" s="83">
        <v>2505</v>
      </c>
      <c r="NA105" s="83">
        <v>1448</v>
      </c>
      <c r="NB105" s="83">
        <v>5052</v>
      </c>
      <c r="NC105" s="83">
        <v>614.66</v>
      </c>
      <c r="ND105" s="1">
        <v>6240</v>
      </c>
      <c r="NE105" s="1">
        <v>3395</v>
      </c>
    </row>
    <row r="106" spans="1:369">
      <c r="A106" s="38">
        <f t="shared" ref="A106:A137" si="417">(B106&amp;"-"&amp;C106)+0</f>
        <v>45292</v>
      </c>
      <c r="B106" s="36">
        <v>1</v>
      </c>
      <c r="C106" s="36">
        <f>+C105+1</f>
        <v>2024</v>
      </c>
      <c r="D106" s="36">
        <f t="shared" si="347"/>
        <v>106</v>
      </c>
      <c r="E106" s="38">
        <f t="shared" ref="E106:E141" si="418">+A106</f>
        <v>45292</v>
      </c>
      <c r="F106" s="7">
        <v>817.83</v>
      </c>
      <c r="G106" s="7">
        <v>4261.5324000000001</v>
      </c>
      <c r="H106" s="1">
        <f>[2]NACIONALES!$D94</f>
        <v>333044.85557393281</v>
      </c>
      <c r="I106" s="7">
        <v>99</v>
      </c>
      <c r="J106" s="7">
        <v>950</v>
      </c>
      <c r="K106" s="7">
        <v>7.8</v>
      </c>
      <c r="L106" s="7">
        <v>23.9</v>
      </c>
      <c r="N106" s="5">
        <f>(1.59+1.54+1.54+1.55)/4</f>
        <v>1.5549999999999999</v>
      </c>
      <c r="O106" s="5">
        <f>(1.24+1.25+1.25+1.25)/4</f>
        <v>1.2475000000000001</v>
      </c>
      <c r="P106" s="78">
        <f t="shared" si="398"/>
        <v>1088.6850731249999</v>
      </c>
      <c r="Q106" s="6">
        <v>43000</v>
      </c>
      <c r="R106" s="79">
        <f t="shared" ref="R106:R137" si="419">IFERROR(Q106*10,"")</f>
        <v>430000</v>
      </c>
      <c r="S106" s="6">
        <v>196.6</v>
      </c>
      <c r="T106" s="6">
        <f>276204/F106</f>
        <v>337.72788965922012</v>
      </c>
      <c r="U106" s="188">
        <f>157000/F106</f>
        <v>191.97143660662974</v>
      </c>
      <c r="V106" s="6">
        <v>287</v>
      </c>
      <c r="W106" s="6">
        <f>156000/F106</f>
        <v>190.74868860276584</v>
      </c>
      <c r="X106" s="6">
        <v>222.24</v>
      </c>
      <c r="Y106" s="79">
        <f t="shared" ref="Y106:Y135" si="420">IFERROR(+AVERAGE(S106)*$F106,"")</f>
        <v>160785.378</v>
      </c>
      <c r="Z106" s="79">
        <f t="shared" ref="Z106:Z135" si="421">IFERROR(+AVERAGE(T106)*$F106,"")</f>
        <v>276204</v>
      </c>
      <c r="AA106" s="79">
        <f t="shared" ref="AA106:AA135" si="422">IFERROR(+AVERAGE(U106)*$F106,"")</f>
        <v>157000</v>
      </c>
      <c r="AB106" s="79">
        <f t="shared" ref="AB106:AB135" si="423">IFERROR(+AVERAGE(V106)*$F106,"")</f>
        <v>234717.21000000002</v>
      </c>
      <c r="AC106" s="79">
        <f t="shared" ref="AC106:AC135" si="424">IFERROR(+AVERAGE(W106)*$F106,"")</f>
        <v>156000</v>
      </c>
      <c r="AD106" s="79">
        <f t="shared" ref="AD106:AD135" si="425">IFERROR(+AVERAGE(X106)*$F106,"")</f>
        <v>181754.53920000003</v>
      </c>
      <c r="AE106" s="79">
        <f t="shared" ref="AE106:AE135" si="426">IFERROR(+AVERAGE(S106:X106)*F106,"")</f>
        <v>194410.18786666665</v>
      </c>
      <c r="AF106" s="1">
        <v>748864</v>
      </c>
      <c r="AG106" s="1">
        <v>250000</v>
      </c>
      <c r="AH106" s="1">
        <v>798000</v>
      </c>
      <c r="AI106" s="5">
        <v>325.14999999999998</v>
      </c>
      <c r="AJ106" s="5">
        <v>189.53</v>
      </c>
      <c r="AK106" s="5">
        <v>173.73</v>
      </c>
      <c r="AL106" s="5">
        <v>198.35</v>
      </c>
      <c r="AM106" s="78">
        <f t="shared" ref="AM106:AM112" si="427">+AI106*0.46+AJ106*0.04+AK106*0.26+AL106*0.24</f>
        <v>249.92399999999998</v>
      </c>
      <c r="AN106" s="7">
        <v>19479.253112033195</v>
      </c>
      <c r="AO106" s="7">
        <v>11409.636363636364</v>
      </c>
      <c r="AP106" s="78">
        <f t="shared" si="385"/>
        <v>11409.636363636364</v>
      </c>
      <c r="AQ106" s="7">
        <v>8757.575757575758</v>
      </c>
      <c r="AR106" s="7">
        <v>8727.7999999999993</v>
      </c>
      <c r="AS106" s="7">
        <v>10575.949367088608</v>
      </c>
      <c r="AT106" s="7">
        <v>22401.636363636364</v>
      </c>
      <c r="AU106" s="78">
        <f t="shared" si="348"/>
        <v>13901.79524357499</v>
      </c>
      <c r="AV106" s="7">
        <v>5064.4859813084113</v>
      </c>
      <c r="AW106" s="7">
        <v>9955.5555555555547</v>
      </c>
      <c r="AX106" s="7">
        <v>5009.3629629629622</v>
      </c>
      <c r="AY106" s="7">
        <v>5233.4883720930229</v>
      </c>
      <c r="AZ106" s="7">
        <v>7334.6296296296296</v>
      </c>
      <c r="BA106" s="7">
        <v>3555.2631578947367</v>
      </c>
      <c r="BB106" s="94">
        <f t="shared" si="345"/>
        <v>5632.3004195818285</v>
      </c>
      <c r="BC106" s="68">
        <v>29130</v>
      </c>
      <c r="BD106" s="68">
        <v>18219.939999999999</v>
      </c>
      <c r="BE106" s="97">
        <v>20500</v>
      </c>
      <c r="BF106" s="97">
        <v>15500</v>
      </c>
      <c r="BG106" s="94">
        <f t="shared" si="349"/>
        <v>20837.485000000001</v>
      </c>
      <c r="BH106" s="7">
        <v>2820</v>
      </c>
      <c r="BI106" s="7">
        <v>0</v>
      </c>
      <c r="BJ106" s="78">
        <f t="shared" si="350"/>
        <v>2820</v>
      </c>
      <c r="BK106" s="7">
        <v>1479.296</v>
      </c>
      <c r="BL106" s="7">
        <v>1965.38</v>
      </c>
      <c r="BM106" s="94">
        <f t="shared" si="351"/>
        <v>1722.3380000000002</v>
      </c>
      <c r="BN106" s="5">
        <v>243.92</v>
      </c>
      <c r="BO106" s="84">
        <f>+(26000*6+24000*10+22000)/17/20/1.105</f>
        <v>1112.5898323130159</v>
      </c>
      <c r="BP106" s="84">
        <v>800</v>
      </c>
      <c r="BQ106" s="94">
        <f t="shared" si="346"/>
        <v>1081.3308490817144</v>
      </c>
      <c r="BR106" s="96">
        <f>+(1143.25+1155.18+1132.48+1100.04)/4</f>
        <v>1132.7375000000002</v>
      </c>
      <c r="BS106" s="7">
        <v>3200</v>
      </c>
      <c r="BT106" s="7">
        <f>1.04*F106</f>
        <v>850.54320000000007</v>
      </c>
      <c r="BU106" s="79">
        <f t="shared" si="237"/>
        <v>40951.6296</v>
      </c>
      <c r="BV106" s="7">
        <v>1228</v>
      </c>
      <c r="BW106" s="7">
        <v>1746.4</v>
      </c>
      <c r="BY106" s="92">
        <f>BY$10*(1+((H106/H$10-1)*costos!$B$5+((I106*F106)/(I$10*F$10)-1)*costos!$E$5+((J106*F106)/((J$10*F$10)-1)*costos!$F$5/3+((K106*F106)/(K$10*F$10)-1)*costos!$F$5/3+((U106*F106)/(U$10*F$10)-1)*costos!$F$5/3+((L106*F106)/(L$10*F$10)-1)*costos!$G$5+((N106*F106)/(N$10*F$10)-1)*costos!$J$5+((V106*F106)/(V$10*F$10)-1)*costos!$K$5)))</f>
        <v>7658.3635046010786</v>
      </c>
      <c r="BZ106" s="92">
        <f>$BZ$10*(1+((H106/$H$10-1)*costos!$B$6+((I106*F106)/($I$10*$F$10)-1)*costos!$E$6+((J106*F106)/(($J$10*$F$10)-1)*costos!$F$6/3+((K106*F106)/($K$10*$F$10)-1)*costos!$F$6/3+((U106*F106)/($U$10*$F$10)-1)*costos!$F$6/3+((L106*F106)/($L$10*$F$10)-1)*costos!$G$6+((Q106*F106)/($Q$10*$F$10)-1)*costos!$J$6+((V106*F106)/($V$10*$F$10)-1)*costos!$K$6)))</f>
        <v>7093.036762161928</v>
      </c>
      <c r="CA106" s="92">
        <f>CA$10*(1+((H106/H$10-1)*costos!$B$7+((I106*F106)/(I$10*F$10)-1)*costos!$E$7+((J106*F106)/((J$10*F$10)-1)*costos!$F$7/3+((K106*F106)/(K$10*F$10)-1)*costos!$F$7/3+((U106*F106)/(U$10*F$10)-1)*costos!$F$7/3+((L106*F106)/(L$10*F$10)-1)*costos!$G$7+((S106*F106)/(S$10*F$10)-1)*costos!$J$7+((V106*F106)/(V$10*F$10)-1)*costos!$K$7)))</f>
        <v>7770.1678505081982</v>
      </c>
      <c r="CB106" s="92">
        <f>CB$10*(1+((H106/H$10-1)*costos!$B$8+((I106*F106)/(I$10*F$10)-1)*costos!$E$8+((J106*F106)/((J$10*F$10)-1)*costos!$F$8/3+((K106*F106)/(K$10*F$10)-1)*costos!$F$8/3+((U106*F106)/(U$10*F$10)-1)*costos!$F$8/3+((L106*F106)/(L$10*F$10)-1)*costos!$G$8+((T106*F106)/(T$10*F$10)-1)*costos!$J$8+((V106*F106)/(V$10*F$10)-1)*costos!$K$8)))</f>
        <v>7210.3721114001955</v>
      </c>
      <c r="CC106" s="92">
        <f>CC$10*(1+((H106/H$10-1)*costos!$B$9+((I106*F106)/(I$10*F$10)-1)*costos!$E$9+((J106*F106)/((J$10*F$10)-1)*costos!$F$9/3+((K106*F106)/(K$10*F$10)-1)*costos!$F$9/3+((U106*F106)/(U$10*F$10)-1)*costos!$F$9/3+((L106*F106)/(L$10*F$10)-1)*costos!$G$9+((U106*F106)/(U$10*F$10)-1)*costos!$J$9+((V106*F106)/(V$10*F$10)-1)*costos!$K$9)))</f>
        <v>7381.2944153274511</v>
      </c>
      <c r="CD106" s="92">
        <f>CD$10*(1+((H106/H$10-1)*costos!$B$11+((I106*F106)/(I$10*F$10)-1)*costos!$E$11+((J106*F106)/((J$10*F$10)-1)*costos!$F$11/3+((K106*F106)/(K$10*F$10)-1)*costos!$F$11/3+((U106*F106)/(U$10*F$10)-1)*costos!$F$11/3+((L106*F106)/(L$10*F$10)-1)*costos!$G$11+((V106*F106)/(V$10*F$10)-1)*costos!$J$11+((V106*F106)/(V$10*F$10)-1)*costos!$K$11)))</f>
        <v>7517.0083651780415</v>
      </c>
      <c r="CE106" s="92">
        <f>CE$10*(1+((H106/H$10-1)*costos!$B$12+((I106*F106)/(I$10*F$10)-1)*costos!$E$12+((J106*F106)/((J$10*F$10)-1)*costos!$F$12/3+((K106*F106)/(K$10*F$10)-1)*costos!$F$12/3+((U106*F106)/(U$10*F$10)-1)*costos!$F$12/3+((L106*F106)/(L$10*F$10)-1)*costos!$G$12+((W106*F106)/(W$10*F$10)-1)*costos!$J$12+((V106*F106)/(V$10*F$10)-1)*costos!$K$12)))</f>
        <v>7270.1975667921261</v>
      </c>
      <c r="CF106" s="92">
        <f>CF$10*(1+((H106/H$10-1)*costos!$B$13+((I106*F106)/(I$10*F$10)-1)*costos!$E$13+((J106*F106)/((J$10*F$10)-1)*costos!$F$13/3+((K106*F106)/(K$10*F$10)-1)*costos!$F$13/3+((U106*F106)/(U$10*F$10)-1)*costos!$F$13/3+((L106*F106)/(L$10*F$10)-1)*costos!$G$13+((X106*F106)/(X$10*F$10)-1)*costos!$J$13+((V106*F106)/(V$10*F$10)-1)*costos!$K$13)))</f>
        <v>7955.2450303415399</v>
      </c>
      <c r="CG106" s="92">
        <f t="shared" si="388"/>
        <v>7517.3808899245923</v>
      </c>
      <c r="CH106" s="92">
        <f>CH$10*(1+((H106/H$10-1)*costos!$B$10+((I106*F106)/(I$10*F$10)-1)*costos!$E$10+((J106*F106)/((J$10*F$10)-1)*costos!$F$10/3+((K106*F106)/(K$10*F$10)-1)*costos!$F$10/3+((U106*F106)/(U$10*F$10)-1)*costos!$F$10/3+((L106*F106)/(L$10*F$10)-1)*costos!$G$10+((AF106)/(AF$10)-1)*costos!$J$10+((V106*F106)/(V$10*F$10)-1)*costos!$K$10)))</f>
        <v>9109.3956392506079</v>
      </c>
      <c r="CI106" s="92">
        <f>CI$10*(1+((H106/H$10-1)*costos!$B$15+((I106*F106)/(I$10*F$10)-1)*costos!$E$15+((J106*F106)/((J$10*F$10)-1)*costos!$F$15/3+((K106*F106)/(K$10*F$10)-1)*costos!$F$15/3+((U106*F106)/(U$10*F$10)-1)*costos!$F$15/3+((L106*F106)/(L$10*F$10)-1)*costos!$G$15+((AV106)/(AV$10)-1)*costos!$J$15+((V106*F106)/(V$10*F$10)-1)*costos!$K$15)))</f>
        <v>7986.8231814332885</v>
      </c>
      <c r="CJ106" s="92">
        <f>CJ$10*(1+((H106/H$10-1)*costos!$B$16+((I106*F106)/(I$10*F$10)-1)*costos!$E$16+((J106*F106)/((J$10*F$10)-1)*costos!$F$16/3+((K106*F106)/(K$10*F$10)-1)*costos!$F$16/3+((U106*F106)/(U$10*F$10)-1)*costos!$F$16/3+((L106*F106)/(L$10*F$10)-1)*costos!$G$16+((AW106)/(AW$10)-1)*costos!$J$16+((V106*F106)/(V$10*F$10)-1)*costos!$K$16)))</f>
        <v>5714.7030685304499</v>
      </c>
      <c r="CK106" s="92">
        <f>CK$10*(1+((H106/H$10-1)*costos!$B$17+((I106*F106)/(I$10*F$10)-1)*costos!$E$17+((J106*F106)/((J$10*F$10)-1)*costos!$F$17/3+((K106*F106)/(K$10*F$10)-1)*costos!$F$17/3+((U106*F106)/(U$10*F$10)-1)*costos!$F$17/3+((L106*F106)/(L$10*F$10)-1)*costos!$G$17+((AX106)/(AX$10)-1)*costos!$J$17+((V106*F106)/(V$10*F$10)-1)*costos!$K$17)))</f>
        <v>7153.4811687283864</v>
      </c>
      <c r="CL106" s="92">
        <f>CL$10*(1+((H106/H$10-1)*costos!$B$18+((I106*F106)/(I$10*F$10)-1)*costos!$E$18+((J106*F106)/((J$10*F$10)-1)*costos!$F$18/3+((K106*F106)/(K$10*F$10)-1)*costos!$F$18/3+((U106*F106)/(U$10*F$10)-1)*costos!$F$18/3+((L106*F106)/(L$10*F$10)-1)*costos!$G$18+((AY106)/(AY$10)-1)*costos!$J$18+((V106*F106)/(V$10*F$10)-1)*costos!$K$18)))</f>
        <v>7000.1196039800316</v>
      </c>
      <c r="CM106" s="92">
        <f>CM$10*(1+((H106/H$10-1)*costos!$B$19+((I106*F106)/(I$10*F$10)-1)*costos!$E$19+((J106*F106)/((J$10*F$10)-1)*costos!$F$19/3+((K106*F106)/(K$10*F$10)-1)*costos!$F$19/3+((U106*F106)/(U$10*F$10)-1)*costos!$F$19/3+((L106*F106)/(L$10*F$10)-1)*costos!$G$19+((AZ106)/(AZ$10)-1)*costos!$J$19+((V106*F106)/(V$10*F$10)-1)*costos!$K$19)))</f>
        <v>6085.5997756286406</v>
      </c>
      <c r="CN106" s="92">
        <f>CN$10*(1+((H106/H$10-1)*costos!$B$20+((I106*F106)/(I$10*F$10)-1)*costos!$E$20+((J106*F106)/((J$10*F$10)-1)*costos!$F$20/3+((K106*F106)/(K$10*F$10)-1)*costos!$F$20/3+((U106*F106)/(U$10*F$10)-1)*costos!$F$20/3+((L106*F106)/(L$10*F$10)-1)*costos!$G$20+((BA106)/(BA$10)-1)*costos!$J$20+((V106*F106)/(V$10*F$10)-1)*costos!$K$20)))</f>
        <v>5596.6512027036179</v>
      </c>
      <c r="CO106" s="92">
        <f t="shared" si="399"/>
        <v>6458.9629377601696</v>
      </c>
      <c r="CP106" s="92">
        <f>CP$10*(1+((H106/H$10-1)*costos!$B$22+((I106*F106)/(I$10*F$10)-1)*costos!$E$22+((J106*F106)/((J$10*F$10)-1)*costos!$F$22/3+((K106*F106)/(K$10*F$10)-1)*costos!$F$22/3+((U106*F106)/(U$10*F$10)-1)*costos!$F$22/3+((L106*F106)/(L$10*F$10)-1)*costos!$G$22+(((AVERAGE(AI106:AL106))/((AVERAGE(AI$10:AL$10))-1)*costos!$J$22+((V106*F106)/(V$10*F$10)-1)*costos!$K$22)))))</f>
        <v>7162.9412159284811</v>
      </c>
      <c r="CQ106" s="92">
        <f>CQ$10*(1+((H106/H$10-1)*costos!$B$23+((I106*F106)/(I$10*F$10)-1)*costos!$E$23+((J106*F106)/((J$10*F$10)-1)*costos!$F$23/3+((K106*F106)/(K$10*F$10)-1)*costos!$F$23/3+((U106*F106)/(U$10*F$10)-1)*costos!$F$23/3+((L106*F106)/(L$10*F$10)-1)*costos!$G$23+((AN106)/(AN$10)-1)*costos!$J$23+((V106*F106)/(V$10*F$10)-1)*costos!$K$23)))</f>
        <v>6284.1332497564417</v>
      </c>
      <c r="CR106" s="92">
        <f>CR$10*(1+((H106/H$10-1)*costos!$B$24+((I106*F106)/(I$10*F$10)-1)*costos!$E$24+((J106*F106)/((J$10*F$10)-1)*costos!$F$24/3+((K106*F106)/(K$10*F$10)-1)*costos!$F$24/3+((U106*F106)/(U$10*F$10)-1)*costos!$F$24/3+((L106*F106)/(L$10*F$10)-1)*costos!$G$24+((AO106)/(AO$10)-1)*costos!$J$24+((V106*F106)/(V$10*F$10)-1)*costos!$K$24)))</f>
        <v>6260.7634835198132</v>
      </c>
      <c r="CS106" s="92">
        <f t="shared" si="352"/>
        <v>6272.4483666381275</v>
      </c>
      <c r="CT106" s="92">
        <f>CT$10*(1+((H106/H$10-1)*costos!$B$25+((I106*F106)/(I$10*F$10)-1)*costos!$E$25+((J106*F106)/((J$10*F$10)-1)*costos!$F$25/3+((K106*F106)/(K$10*F$10)-1)*costos!$F$25/3+((U106*F106)/(U$10*F$10)-1)*costos!$F$25/3+((L106*F106)/(L$10*F$10)-1)*costos!$G$25+((AQ106)/(AQ$10)-1)*costos!$J$25+((V106*F106)/(V$10*F$10)-1)*costos!$K$25)))</f>
        <v>6215.3348526469645</v>
      </c>
      <c r="CU106" s="92">
        <f>CU$10*(1+((H106/H$10-1)*costos!$B$26+((I106*F106)/(I$10*F$10)-1)*costos!$E$26+((J106*F106)/((J$10*F$10)-1)*costos!$F$26/3+((K106*F106)/(K$10*F$10)-1)*costos!$F$26/3+((U106*F106)/(U$10*F$10)-1)*costos!$F$26/3+((L106*F106)/(L$10*F$10)-1)*costos!$G$26+((AR106)/(AR$10)-1)*costos!$J$26+((V106*F106)/(V$10*F$10)-1)*costos!$K$26)))</f>
        <v>6758.0627617551045</v>
      </c>
      <c r="CV106" s="92">
        <f>CV$10*(1+((H106/H$10-1)*costos!$B$27+((I106*F106)/(I$10*F$10)-1)*costos!$E$27+((J106*F106)/((J$10*F$10)-1)*costos!$F$27/3+((K106*F106)/(K$10*F$10)-1)*costos!$F$27/3+((U106*F106)/(U$10*F$10)-1)*costos!$F$27/3+((L106*F106)/(L$10*F$10)-1)*costos!$G$27+((AS106)/(AS$10)-1)*costos!$J$27+((V106*F106)/(V$10*F$10)-1)*costos!$K$27)))</f>
        <v>6871.4763250096084</v>
      </c>
      <c r="CW106" s="92">
        <f>CW$10*(1+((H106/H$10-1)*costos!$B$28+((I106*F106)/(I$10*F$10)-1)*costos!$E$28+((J106*F106)/((J$10*F$10)-1)*costos!$F$28/3+((K106*F106)/(K$10*F$10)-1)*costos!$F$28/3+((U106*F106)/(U$10*F$10)-1)*costos!$F$28/3+((L106*F106)/(L$10*F$10)-1)*costos!$G$28+((AS106)/(AS$10)-1)*costos!$J$28+((V106*F106)/(V$10*F$10)-1)*costos!$K$28)))</f>
        <v>6871.4763250096084</v>
      </c>
      <c r="CX106" s="92">
        <f t="shared" si="400"/>
        <v>6833.6718039247744</v>
      </c>
      <c r="CY106" s="92">
        <f>CY$10*(1+((H106/H$10-1)*costos!$B$32+((I106*F106)/(I$10*F$10)-1)*costos!$E$32+((J106*F106)/((J$10*F$10)-1)*costos!$F$32/3+((K106*F106)/(K$10*F$10)-1)*costos!$F$32/3+((U106*F106)/(U$10*F$10)-1)*costos!$F$32/3+((L106*F106)/(L$10*F$10)-1)*costos!$G$32+((AG106)/(AG$10)-1)*costos!$J$32+((V106*F106)/(V$10*F$10)-1)*costos!$K$32)))</f>
        <v>5291.5325989145049</v>
      </c>
      <c r="CZ106" s="69">
        <f>CZ$10*(1+((H106/H$10-1)*costos!$B$31+((I106*F106)/(I$10*F$10)-1)*costos!$E$30+((J106*F106)/((J$10*F$10)-1)*costos!$F$30/3+((K106*F106)/(K$10*F$10)-1)*costos!$F$30/3+((U106*F106)/(U$10*F$10)-1)*costos!$F$30/3+((L106*F106)/(L$10*F$10)-1)*costos!$G$30+((BG106)/(BG$10)-1)*costos!$J$30+((V106*F106)/(V$10*F$10)-1)*costos!$K$30)))</f>
        <v>7344.836783487116</v>
      </c>
      <c r="DA106" s="69">
        <f>DA$10*(1+((H106/H$10-1)*costos!$B$31+((I106*F106)/(I$10*F$10)-1)*costos!$E$31+((J106*F106)/((J$10*F$10)-1)*costos!$F$31/3+((K106*F106)/(K$10*F$10)-1)*costos!$F$31/3+((U106*F106)/(U$10*F$10)-1)*costos!$F$31/3+((L106*F106)/(L$10*F$10)-1)*costos!$G$31+((BJ106)/(BJ$10)-1)*costos!$J$31+((V106*F106)/(V$10*F$10)-1)*costos!$K$31)))</f>
        <v>5863.0465836816984</v>
      </c>
      <c r="DB106" s="69">
        <f>DB$10*(1+((H106/H$10-1)*costos!$B$36+((I106*F106)/(I$10*F$10)-1)*costos!$E$36+((J106*F106)/((J$10*F$10)-1)*costos!$F$36/3+((K106*F106)/(K$10*F$10)-1)*costos!$F$36/3+((U106*F106)/(U$10*F$10)-1)*costos!$F$36/3+((L106*F106)/(L$10*F$10)-1)*costos!$G$36+((BK106)/(BK$10)-1)*costos!$J$36+((V106*F106)/(V$10*F$10)-1)*costos!$K$36)))</f>
        <v>6983.4762841516294</v>
      </c>
      <c r="DC106" s="69">
        <f>DC$10*(1+((H106/H$10-1)*costos!$B$37+((I106*F106)/(I$10*F$10)-1)*costos!$E$37+((U106*F106)/(U$10*F$10)-1)*costos!$F$37+((L106*F106)/(L$10*F$10)-1)*costos!$G$37+((BN106)/(BN$10)-1)*costos!$J$37+((V106*F106)/(V$10*F$10)-1)*costos!$K$37))</f>
        <v>7101.6915600638822</v>
      </c>
      <c r="DD106" s="69">
        <f>DD$10*(1+((H106/H$10-1)*costos!$B$39+((I106*F106)/(I$10*F$10)-1)*costos!$E$39+((U106*F106)/(U$10*F$10)-1)*costos!$F$39+((L106*F106)/(L$10*F$10)-1)*costos!$G$39+((BR106)/(BR$10)-1)*costos!$J$39+((V106*F106)/(V$10*F$10)-1)*costos!$K$39))</f>
        <v>6980.7895365741106</v>
      </c>
      <c r="DE106" s="69">
        <f>DD$10*(1+((H106/H$10-1)*costos!$B$35+((I106*F106)/(I$10*F$10)-1)*costos!$E$35+((U106*F106)/(U$10*F$10)-1)*costos!$F$35+((L106*F106)/(L$10*F$10)-1)*costos!$G$35+((BR106)/(BR$10)-1)*costos!$J$35+((V106*F106)/(V$10*F$10)-1)*costos!$K$35))</f>
        <v>6097.9442298526119</v>
      </c>
      <c r="DF106" s="69">
        <f>DF$10*(1+((H106/H$10-1)*costos!$B$40+((I106*F106)/(I$10*F$10)-1)*costos!$E$40+((U106*F106)/(U$10*F$10)-1)*costos!$F$40+((L106*F106)/(L$10*F$10)-1)*costos!$G$40+((BP106)/(BP$10)-1)*costos!$J$40+((V106*F106)/(V$10*F$10)-1)*costos!$K$40))</f>
        <v>7232.2461694310587</v>
      </c>
      <c r="DG106" s="92">
        <f t="shared" si="391"/>
        <v>6665.0951996418353</v>
      </c>
      <c r="DH106" s="69">
        <f>DH$10*(1+((H106/H$10-1)*costos!$B$34+((I106*F106)/(I$10*F$10)-1)*costos!$E$34+((J106*F106)/((J$10*F$10)-1)*costos!$F$34/3+((K106*F106)/(K$10*F$10)-1)*costos!$F$34/3+((U106*F106)/(U$10*F$10)-1)*costos!$F$34/3+((L106*F106)/(L$10*F$10)-1)*costos!$G$34+((BV106)/(BV$10)-1)*costos!$J$34+((V106*F106)/(V$10*F$10)-1)*costos!$K$34)))</f>
        <v>6116.9107182233402</v>
      </c>
      <c r="DI106" s="69">
        <f>DI$10*(1+((H106/H$10-1)*costos!$B$38+((I106*F106)/(I$10*F$10)-1)*costos!$E$38+((J106*F106)/((J$10*F$10)-1)*costos!$F$38/3+((K106*F106)/(K$10*F$10)-1)*costos!$F$38/3+((U106*F106)/(U$10*F$10)-1)*costos!$F$38/3+((L106*F106)/(L$10*F$10)-1)*costos!$G$38+((BU106)/(BU$10)-1)*costos!$J$38+((V106*F106)/(V$10*F$10)-1)*costos!$K$38)))</f>
        <v>5423.2459371604891</v>
      </c>
      <c r="DK106" s="1">
        <v>650000</v>
      </c>
      <c r="DL106" s="1" t="s">
        <v>410</v>
      </c>
      <c r="DM106" s="1">
        <v>200000</v>
      </c>
      <c r="DN106" s="1" t="s">
        <v>410</v>
      </c>
      <c r="DO106" s="1">
        <v>1500000</v>
      </c>
      <c r="DP106" s="1" t="s">
        <v>410</v>
      </c>
      <c r="DQ106" s="1">
        <v>2060000</v>
      </c>
      <c r="DR106" s="1" t="s">
        <v>410</v>
      </c>
      <c r="DS106" s="1">
        <v>7200000</v>
      </c>
      <c r="DT106" s="1" t="s">
        <v>410</v>
      </c>
      <c r="DU106" s="1">
        <v>16700000</v>
      </c>
      <c r="DV106" s="1" t="s">
        <v>410</v>
      </c>
      <c r="DW106" s="1">
        <v>760000</v>
      </c>
      <c r="DX106" s="1" t="s">
        <v>410</v>
      </c>
      <c r="DY106" s="1">
        <v>5916000</v>
      </c>
      <c r="DZ106" s="1" t="s">
        <v>410</v>
      </c>
      <c r="EA106" s="79">
        <f t="shared" si="353"/>
        <v>34136000</v>
      </c>
      <c r="EB106" s="1">
        <v>416490</v>
      </c>
      <c r="EC106" s="1" t="s">
        <v>410</v>
      </c>
      <c r="ED106" s="1">
        <v>230256</v>
      </c>
      <c r="EE106" s="143">
        <v>2024</v>
      </c>
      <c r="EF106" s="1">
        <v>199946</v>
      </c>
      <c r="EG106" s="6">
        <v>2024</v>
      </c>
      <c r="EH106" s="1">
        <v>52783892</v>
      </c>
      <c r="EI106" s="6">
        <v>2024</v>
      </c>
      <c r="EJ106" s="1">
        <v>5887401</v>
      </c>
      <c r="EK106" s="6">
        <v>2023</v>
      </c>
      <c r="EL106" s="1">
        <v>12461845</v>
      </c>
      <c r="EM106" s="6">
        <v>2022</v>
      </c>
      <c r="EN106" s="1">
        <v>3169981</v>
      </c>
      <c r="EO106" s="6">
        <v>2021</v>
      </c>
      <c r="EP106" s="83">
        <v>9171</v>
      </c>
      <c r="EQ106" s="83">
        <v>3500000</v>
      </c>
      <c r="ER106" s="1">
        <f>47319+28576+4353</f>
        <v>80248</v>
      </c>
      <c r="ES106" s="1"/>
      <c r="ET106" s="83">
        <v>19357</v>
      </c>
      <c r="EU106" s="83">
        <v>18703</v>
      </c>
      <c r="EV106" s="83">
        <v>8927</v>
      </c>
      <c r="EW106" s="83">
        <v>17408</v>
      </c>
      <c r="EX106" s="79">
        <f>+SUM(ET106:EW106)</f>
        <v>64395</v>
      </c>
      <c r="EY106" s="83">
        <v>20031</v>
      </c>
      <c r="EZ106" s="83">
        <v>34815</v>
      </c>
      <c r="FA106" s="83">
        <v>19900</v>
      </c>
      <c r="FB106" s="83">
        <v>18184</v>
      </c>
      <c r="FC106" s="79">
        <f t="shared" si="414"/>
        <v>38084</v>
      </c>
      <c r="FD106" s="83">
        <f t="shared" si="395"/>
        <v>54743</v>
      </c>
      <c r="FE106" s="1"/>
      <c r="FF106" s="1">
        <v>900000</v>
      </c>
      <c r="FG106" s="1" t="s">
        <v>399</v>
      </c>
      <c r="FH106" s="1">
        <v>1200000</v>
      </c>
      <c r="FI106" s="1" t="s">
        <v>399</v>
      </c>
      <c r="FJ106" s="1">
        <v>5100000</v>
      </c>
      <c r="FK106" s="1" t="s">
        <v>410</v>
      </c>
      <c r="FL106" s="1">
        <v>5000000</v>
      </c>
      <c r="FM106" s="1" t="s">
        <v>399</v>
      </c>
      <c r="FN106" s="1">
        <v>56500000</v>
      </c>
      <c r="FO106" s="1" t="s">
        <v>410</v>
      </c>
      <c r="FP106" s="1">
        <v>25000000</v>
      </c>
      <c r="FQ106" s="1" t="s">
        <v>399</v>
      </c>
      <c r="FR106" s="1">
        <v>1600000</v>
      </c>
      <c r="FS106" s="1" t="s">
        <v>399</v>
      </c>
      <c r="FT106" s="1">
        <v>15853000</v>
      </c>
      <c r="FU106" s="1" t="s">
        <v>410</v>
      </c>
      <c r="FV106" s="79">
        <f t="shared" si="355"/>
        <v>109053000</v>
      </c>
      <c r="FW106" s="1">
        <v>940426</v>
      </c>
      <c r="FX106" s="1" t="s">
        <v>399</v>
      </c>
      <c r="FY106" s="1">
        <v>21143</v>
      </c>
      <c r="FZ106" s="79">
        <f t="shared" si="377"/>
        <v>785802.41899999999</v>
      </c>
      <c r="GA106" s="86" t="str">
        <f t="shared" si="378"/>
        <v>feb23 ene24</v>
      </c>
      <c r="GB106" s="1">
        <v>19189740</v>
      </c>
      <c r="GC106" s="6">
        <v>2024</v>
      </c>
      <c r="GD106" s="1">
        <v>1714000</v>
      </c>
      <c r="GE106" s="1">
        <v>424000</v>
      </c>
      <c r="GF106" s="1">
        <v>1165000</v>
      </c>
      <c r="GG106" s="1">
        <v>145000</v>
      </c>
      <c r="GH106" s="79">
        <f t="shared" si="240"/>
        <v>1734000</v>
      </c>
      <c r="GI106" s="82">
        <f t="shared" si="373"/>
        <v>1302556</v>
      </c>
      <c r="GJ106" s="83">
        <v>682423</v>
      </c>
      <c r="GK106" s="83">
        <v>1391495</v>
      </c>
      <c r="GL106" s="83">
        <v>305049</v>
      </c>
      <c r="GM106" s="83">
        <v>260419</v>
      </c>
      <c r="GN106" s="79">
        <f t="shared" si="357"/>
        <v>2639386</v>
      </c>
      <c r="GO106" s="83">
        <v>201734</v>
      </c>
      <c r="GP106" s="83">
        <v>69297</v>
      </c>
      <c r="GQ106" s="83">
        <v>167998</v>
      </c>
      <c r="GR106" s="1">
        <v>34035</v>
      </c>
      <c r="GS106" s="79">
        <f t="shared" si="412"/>
        <v>39074.94</v>
      </c>
      <c r="GT106" s="83">
        <v>2111561</v>
      </c>
      <c r="GU106" s="1">
        <f>10170+5933</f>
        <v>16103</v>
      </c>
      <c r="GV106" s="1">
        <f>3893+16355</f>
        <v>20248</v>
      </c>
      <c r="GW106" s="79">
        <f t="shared" si="261"/>
        <v>763589</v>
      </c>
      <c r="GX106" s="1">
        <v>30804.553</v>
      </c>
      <c r="GY106" s="1" t="s">
        <v>436</v>
      </c>
      <c r="GZ106" s="1">
        <v>80786</v>
      </c>
      <c r="HA106" s="1">
        <f>504263-HA107</f>
        <v>266622</v>
      </c>
      <c r="HB106" s="79">
        <f t="shared" si="241"/>
        <v>3266663</v>
      </c>
      <c r="HC106" s="86" t="str">
        <f t="shared" si="379"/>
        <v>feb23 ene24</v>
      </c>
      <c r="HD106" s="1">
        <v>58951</v>
      </c>
      <c r="HE106" s="79">
        <f t="shared" si="380"/>
        <v>760164</v>
      </c>
      <c r="HF106" s="86" t="str">
        <f t="shared" si="381"/>
        <v>feb23 ene24</v>
      </c>
      <c r="HG106" s="1">
        <v>206000</v>
      </c>
      <c r="HH106" s="79">
        <f t="shared" si="242"/>
        <v>2293000</v>
      </c>
      <c r="HI106" s="86" t="str">
        <f t="shared" si="382"/>
        <v>feb23 ene24</v>
      </c>
      <c r="HJ106" s="1">
        <v>105272</v>
      </c>
      <c r="HK106" s="79">
        <f t="shared" si="278"/>
        <v>67567.56</v>
      </c>
      <c r="HL106" s="86" t="str">
        <f t="shared" si="383"/>
        <v>feb23 ene24</v>
      </c>
      <c r="HM106" s="79">
        <f t="shared" si="358"/>
        <v>2360567.56</v>
      </c>
      <c r="HN106" s="87">
        <f t="shared" si="297"/>
        <v>-0.12637072984293196</v>
      </c>
      <c r="HO106" s="1">
        <v>834315953</v>
      </c>
      <c r="HP106" s="79">
        <f t="shared" si="386"/>
        <v>11199.999285</v>
      </c>
      <c r="HQ106" s="86" t="str">
        <f t="shared" si="384"/>
        <v>feb23 ene24</v>
      </c>
      <c r="HR106" s="1"/>
      <c r="HS106" s="1"/>
      <c r="HT106" s="1"/>
      <c r="HU106" s="1">
        <v>700000</v>
      </c>
      <c r="HV106" s="1" t="s">
        <v>399</v>
      </c>
      <c r="HW106" s="1">
        <v>1500000</v>
      </c>
      <c r="HX106" s="1" t="s">
        <v>410</v>
      </c>
      <c r="HY106" s="1">
        <v>4300000</v>
      </c>
      <c r="HZ106" s="1" t="s">
        <v>399</v>
      </c>
      <c r="IA106" s="1">
        <f t="shared" si="413"/>
        <v>21000000</v>
      </c>
      <c r="IB106" s="1" t="s">
        <v>399</v>
      </c>
      <c r="IC106" s="1">
        <v>38500000</v>
      </c>
      <c r="ID106" s="1" t="s">
        <v>399</v>
      </c>
      <c r="IE106" s="1">
        <v>750000</v>
      </c>
      <c r="IF106" s="1" t="s">
        <v>399</v>
      </c>
      <c r="IG106" s="1">
        <f t="shared" si="415"/>
        <v>7400000</v>
      </c>
      <c r="IH106" s="1" t="s">
        <v>410</v>
      </c>
      <c r="II106" s="79">
        <f t="shared" si="359"/>
        <v>73450000</v>
      </c>
      <c r="IJ106" s="97">
        <f t="shared" si="409"/>
        <v>1.9885213252125911</v>
      </c>
      <c r="IK106" s="1" t="s">
        <v>399</v>
      </c>
      <c r="IL106" s="7">
        <v>48.52</v>
      </c>
      <c r="IM106" s="7">
        <v>52.06</v>
      </c>
      <c r="IN106" s="7">
        <v>187.7</v>
      </c>
      <c r="IO106" s="7">
        <v>16.68</v>
      </c>
      <c r="IP106" s="176">
        <f>258789745/IP$2</f>
        <v>5.5693606783423002</v>
      </c>
      <c r="IQ106" s="176">
        <v>16.3</v>
      </c>
      <c r="IR106" s="98">
        <v>6.09</v>
      </c>
      <c r="IS106" s="98">
        <v>4.03</v>
      </c>
      <c r="IT106" s="98">
        <v>11.98</v>
      </c>
      <c r="IU106" s="98">
        <v>1.38</v>
      </c>
      <c r="IV106" s="94">
        <f t="shared" si="360"/>
        <v>17.39</v>
      </c>
      <c r="IW106" s="1"/>
      <c r="IX106" s="1"/>
      <c r="IY106" s="80">
        <v>1.88</v>
      </c>
      <c r="IZ106" s="88">
        <v>0.3</v>
      </c>
      <c r="JA106" s="1">
        <v>2813</v>
      </c>
      <c r="JB106" s="95">
        <f>JB105</f>
        <v>35.950000000000003</v>
      </c>
      <c r="JC106" s="1"/>
      <c r="JD106" s="1"/>
      <c r="JF106" s="2">
        <v>8.1062574399999985</v>
      </c>
      <c r="JG106" s="2">
        <v>10.68224592</v>
      </c>
      <c r="JH106" s="2">
        <v>309.68664117999998</v>
      </c>
      <c r="JI106" s="2">
        <v>186.90200711000003</v>
      </c>
      <c r="JJ106" s="2">
        <v>603.88383887999998</v>
      </c>
      <c r="JK106" s="2">
        <v>100.80321882999999</v>
      </c>
      <c r="JL106" s="2">
        <v>2069.0570584700004</v>
      </c>
      <c r="JM106" s="2">
        <v>12.112857649999999</v>
      </c>
      <c r="JN106" s="2">
        <v>747.53387028000009</v>
      </c>
      <c r="JO106" s="2">
        <v>24.143815810000007</v>
      </c>
      <c r="JP106" s="2">
        <v>0</v>
      </c>
      <c r="JQ106" s="2">
        <v>1.6278383000000001</v>
      </c>
      <c r="JR106" s="2">
        <v>1.8773617400000002</v>
      </c>
      <c r="JS106" s="2">
        <v>0</v>
      </c>
      <c r="JT106" s="2">
        <v>0.46482000000000001</v>
      </c>
      <c r="JU106" s="2">
        <v>57.397509530000008</v>
      </c>
      <c r="JV106" s="2">
        <v>4.2287171700000004</v>
      </c>
      <c r="JW106" s="2">
        <v>7.280486390000001</v>
      </c>
      <c r="JX106" s="2">
        <v>6.86283741</v>
      </c>
      <c r="JY106" s="2">
        <v>0</v>
      </c>
      <c r="JZ106" s="2">
        <v>4.2619123000000005</v>
      </c>
      <c r="KA106" s="2">
        <v>0.09</v>
      </c>
      <c r="KB106" s="2">
        <v>23.104867779999999</v>
      </c>
      <c r="KC106" s="2">
        <v>40.108989959999995</v>
      </c>
      <c r="KD106" s="2">
        <v>9.2397224899999983</v>
      </c>
      <c r="KE106" s="2">
        <v>10.971998660000001</v>
      </c>
      <c r="KF106" s="2">
        <v>32.51792974</v>
      </c>
      <c r="KG106" s="2">
        <v>324.84866957999998</v>
      </c>
      <c r="KH106" s="2">
        <v>139.44218023000002</v>
      </c>
      <c r="KI106" s="2">
        <v>16.644595240000001</v>
      </c>
      <c r="KJ106" s="2">
        <v>1.2009935999999999</v>
      </c>
      <c r="KK106" s="171">
        <v>7.4159317900000001</v>
      </c>
      <c r="KL106" s="171">
        <v>0.8256</v>
      </c>
      <c r="KM106" s="171">
        <v>0.19568537000000003</v>
      </c>
      <c r="KN106" s="171">
        <v>4.1572700000000002E-3</v>
      </c>
      <c r="KO106" s="171">
        <v>2.7708389499999995</v>
      </c>
      <c r="KP106" s="171">
        <v>0.79684906</v>
      </c>
      <c r="KQ106" s="171">
        <v>60.271596720000005</v>
      </c>
      <c r="KR106" s="171">
        <v>0</v>
      </c>
      <c r="KS106" s="171">
        <v>0.28351377</v>
      </c>
      <c r="KT106" s="171">
        <v>1.5496506000000003</v>
      </c>
      <c r="KU106" s="171">
        <v>0.21358802999999996</v>
      </c>
      <c r="KV106" s="171">
        <v>6.3600000000000002E-3</v>
      </c>
      <c r="KW106" s="171">
        <v>6.2062739999999998E-2</v>
      </c>
      <c r="KX106" s="171">
        <v>0</v>
      </c>
      <c r="KY106" s="171">
        <v>0</v>
      </c>
      <c r="KZ106" s="171">
        <v>0.41683354000000006</v>
      </c>
      <c r="LA106" s="171">
        <v>8.4911199999999992E-2</v>
      </c>
      <c r="LB106" s="171">
        <v>0</v>
      </c>
      <c r="LC106" s="171">
        <v>0.11405444000000001</v>
      </c>
      <c r="LD106" s="171">
        <v>0</v>
      </c>
      <c r="LE106" s="171">
        <v>0.21045872000000002</v>
      </c>
      <c r="LF106" s="171">
        <v>0.29545924999999995</v>
      </c>
      <c r="LG106" s="171">
        <v>9.0834929199999994</v>
      </c>
      <c r="LH106" s="171">
        <v>3.2870284000000001</v>
      </c>
      <c r="LI106" s="171">
        <v>1.0621514699999999</v>
      </c>
      <c r="LJ106" s="171">
        <v>0</v>
      </c>
      <c r="LK106" s="171">
        <v>4.07849503</v>
      </c>
      <c r="LL106" s="171">
        <v>1.4792882700000001</v>
      </c>
      <c r="LM106" s="171">
        <v>3.0425877200000002</v>
      </c>
      <c r="LN106" s="171">
        <v>0.90541722000000002</v>
      </c>
      <c r="LO106" s="171">
        <v>3.1162246899999997</v>
      </c>
      <c r="LQ106" s="85">
        <f t="shared" si="247"/>
        <v>3929.1762735700004</v>
      </c>
      <c r="LR106" s="85">
        <f t="shared" si="248"/>
        <v>3.9700200400000001</v>
      </c>
      <c r="LS106" s="85">
        <f t="shared" si="249"/>
        <v>11.509203560000001</v>
      </c>
      <c r="LT106" s="85">
        <f t="shared" si="250"/>
        <v>4.3519123000000004</v>
      </c>
      <c r="LU106" s="85">
        <f t="shared" si="251"/>
        <v>63.525792080000002</v>
      </c>
      <c r="LV106" s="85">
        <f t="shared" si="252"/>
        <v>6.8422739999999996E-2</v>
      </c>
      <c r="LW106" s="85">
        <f t="shared" si="253"/>
        <v>8.4911199999999992E-2</v>
      </c>
      <c r="LX106" s="85">
        <f t="shared" si="254"/>
        <v>0.50591796999999994</v>
      </c>
      <c r="LZ106" s="83">
        <v>1093.0999999999999</v>
      </c>
      <c r="MA106" s="83">
        <v>2046.61</v>
      </c>
      <c r="MB106"/>
      <c r="MC106"/>
      <c r="MD106"/>
      <c r="MF106"/>
      <c r="MG106"/>
      <c r="MH106" s="83">
        <v>1790.62</v>
      </c>
      <c r="MI106" s="83">
        <v>665.79</v>
      </c>
      <c r="MJ106" s="83">
        <v>721.76</v>
      </c>
      <c r="MK106"/>
      <c r="ML106" s="83">
        <v>476.72</v>
      </c>
      <c r="MM106" s="83">
        <v>745.25</v>
      </c>
      <c r="MN106" s="83"/>
      <c r="MO106" s="83">
        <v>516.97</v>
      </c>
      <c r="MP106" s="83">
        <v>1442.1</v>
      </c>
      <c r="MQ106" s="83">
        <v>1625.11</v>
      </c>
      <c r="MR106"/>
      <c r="MT106" s="83"/>
      <c r="MU106" s="83">
        <v>1096.93</v>
      </c>
      <c r="MV106"/>
      <c r="MW106"/>
      <c r="MX106"/>
      <c r="MY106" s="83">
        <v>1699.22</v>
      </c>
      <c r="MZ106" s="83">
        <v>2995</v>
      </c>
      <c r="NA106" s="83">
        <v>1835</v>
      </c>
      <c r="NB106" s="83">
        <v>5864</v>
      </c>
      <c r="NC106" s="83">
        <v>842.24</v>
      </c>
      <c r="ND106" s="1">
        <v>7000</v>
      </c>
      <c r="NE106" s="1">
        <v>4429</v>
      </c>
    </row>
    <row r="107" spans="1:369">
      <c r="A107" s="38">
        <f t="shared" si="417"/>
        <v>45323</v>
      </c>
      <c r="B107" s="36">
        <f t="shared" ref="B107:B117" si="428">+B106+1</f>
        <v>2</v>
      </c>
      <c r="C107" s="36">
        <f t="shared" ref="C107:C117" si="429">+C106</f>
        <v>2024</v>
      </c>
      <c r="D107" s="36">
        <f t="shared" si="347"/>
        <v>107</v>
      </c>
      <c r="E107" s="38">
        <f t="shared" si="418"/>
        <v>45323</v>
      </c>
      <c r="F107" s="7">
        <v>834.57</v>
      </c>
      <c r="G107" s="7">
        <v>4825.7880999999998</v>
      </c>
      <c r="H107" s="1">
        <f>[2]NACIONALES!$D95</f>
        <v>379671.13535428338</v>
      </c>
      <c r="I107" s="7">
        <v>101</v>
      </c>
      <c r="J107" s="7">
        <v>830</v>
      </c>
      <c r="K107" s="7">
        <v>7</v>
      </c>
      <c r="L107" s="7">
        <v>29.1</v>
      </c>
      <c r="N107" s="5">
        <f>(1.61+1.6+1.6+1.61)/4</f>
        <v>1.6050000000000002</v>
      </c>
      <c r="O107" s="5">
        <f>(1.21+1.22+1.22+1.23)/4</f>
        <v>1.2199999999999998</v>
      </c>
      <c r="P107" s="78">
        <f t="shared" si="398"/>
        <v>1119.88861875</v>
      </c>
      <c r="Q107" s="6">
        <v>43000</v>
      </c>
      <c r="R107" s="79">
        <f t="shared" si="419"/>
        <v>430000</v>
      </c>
      <c r="S107" s="6">
        <v>196</v>
      </c>
      <c r="T107" s="6">
        <f>278377/F107</f>
        <v>333.55740081718727</v>
      </c>
      <c r="U107" s="188">
        <f>148000/F107</f>
        <v>177.3368321411026</v>
      </c>
      <c r="V107" s="6">
        <v>279.89999999999998</v>
      </c>
      <c r="W107" s="6">
        <f>158200/F107</f>
        <v>189.55869489677318</v>
      </c>
      <c r="X107" s="6">
        <v>212.07</v>
      </c>
      <c r="Y107" s="79">
        <f t="shared" si="420"/>
        <v>163575.72</v>
      </c>
      <c r="Z107" s="79">
        <f t="shared" si="421"/>
        <v>278377</v>
      </c>
      <c r="AA107" s="79">
        <f t="shared" si="422"/>
        <v>148000</v>
      </c>
      <c r="AB107" s="79">
        <f t="shared" si="423"/>
        <v>233596.14299999998</v>
      </c>
      <c r="AC107" s="79">
        <f t="shared" si="424"/>
        <v>158200</v>
      </c>
      <c r="AD107" s="79">
        <f t="shared" si="425"/>
        <v>176987.2599</v>
      </c>
      <c r="AE107" s="79">
        <f t="shared" si="426"/>
        <v>193122.68714999998</v>
      </c>
      <c r="AF107" s="1">
        <v>758115.42857142852</v>
      </c>
      <c r="AG107" s="1">
        <v>300000</v>
      </c>
      <c r="AH107" s="1">
        <v>912000</v>
      </c>
      <c r="AI107" s="5">
        <v>362.46</v>
      </c>
      <c r="AJ107" s="5">
        <v>314.62</v>
      </c>
      <c r="AK107" s="5">
        <v>216.84</v>
      </c>
      <c r="AL107" s="5">
        <v>217.67</v>
      </c>
      <c r="AM107" s="78">
        <f t="shared" si="427"/>
        <v>287.93559999999997</v>
      </c>
      <c r="AN107" s="7">
        <v>23080.246913580246</v>
      </c>
      <c r="AO107" s="7">
        <v>12548.36</v>
      </c>
      <c r="AP107" s="78">
        <f t="shared" si="385"/>
        <v>12548.36</v>
      </c>
      <c r="AQ107" s="7">
        <v>10661.904761904761</v>
      </c>
      <c r="AR107" s="7">
        <v>14859.652631578949</v>
      </c>
      <c r="AS107" s="7">
        <v>12166.666666666666</v>
      </c>
      <c r="AT107" s="7">
        <v>22636.720000000001</v>
      </c>
      <c r="AU107" s="78">
        <f t="shared" si="348"/>
        <v>16554.346432748538</v>
      </c>
      <c r="AV107" s="7">
        <v>6744.1860465116279</v>
      </c>
      <c r="AW107" s="7">
        <v>10512</v>
      </c>
      <c r="AX107" s="7">
        <v>8923.24</v>
      </c>
      <c r="AY107" s="7">
        <v>6543.7451737451738</v>
      </c>
      <c r="AZ107" s="7">
        <v>7173.9039999999986</v>
      </c>
      <c r="BA107" s="7">
        <v>3398.3333333333335</v>
      </c>
      <c r="BB107" s="94">
        <f t="shared" si="345"/>
        <v>6890.8514371514366</v>
      </c>
      <c r="BC107" s="68">
        <v>32625</v>
      </c>
      <c r="BD107" s="68">
        <v>21963</v>
      </c>
      <c r="BE107" s="95">
        <f>+BE106*BC107/BC106</f>
        <v>22959.577754891863</v>
      </c>
      <c r="BF107" s="95">
        <f>+BF106*BD107/BD106</f>
        <v>18684.282165583423</v>
      </c>
      <c r="BG107" s="94">
        <f t="shared" si="349"/>
        <v>24057.964980118821</v>
      </c>
      <c r="BH107" s="7">
        <v>2820</v>
      </c>
      <c r="BI107" s="7">
        <v>0</v>
      </c>
      <c r="BJ107" s="78">
        <f t="shared" si="350"/>
        <v>2820</v>
      </c>
      <c r="BK107" s="7">
        <v>1738.1969999999999</v>
      </c>
      <c r="BL107" s="7">
        <v>2087.0700000000002</v>
      </c>
      <c r="BM107" s="94">
        <f t="shared" si="351"/>
        <v>1912.6334999999999</v>
      </c>
      <c r="BN107" s="5">
        <v>291.69</v>
      </c>
      <c r="BO107" s="84">
        <v>1452.72</v>
      </c>
      <c r="BP107" s="84">
        <v>916.83</v>
      </c>
      <c r="BQ107" s="94">
        <f t="shared" si="346"/>
        <v>1399.1310000000001</v>
      </c>
      <c r="BR107" s="96">
        <f>(1079.24+1052.05+1032.67+1015.21)/4</f>
        <v>1044.7925</v>
      </c>
      <c r="BS107" s="7">
        <v>3200</v>
      </c>
      <c r="BT107" s="7">
        <f>1.01*F107</f>
        <v>842.91570000000002</v>
      </c>
      <c r="BU107" s="79">
        <f t="shared" si="237"/>
        <v>40928.747100000001</v>
      </c>
      <c r="BV107" s="7">
        <v>1404</v>
      </c>
      <c r="BW107" s="7">
        <v>1954</v>
      </c>
      <c r="BY107" s="92">
        <f>BY$10*(1+((H107/H$10-1)*costos!$B$5+((I107*F107)/(I$10*F$10)-1)*costos!$E$5+((J107*F107)/((J$10*F$10)-1)*costos!$F$5/3+((K107*F107)/(K$10*F$10)-1)*costos!$F$5/3+((U107*F107)/(U$10*F$10)-1)*costos!$F$5/3+((L107*F107)/(L$10*F$10)-1)*costos!$G$5+((N107*F107)/(N$10*F$10)-1)*costos!$J$5+((V107*F107)/(V$10*F$10)-1)*costos!$K$5)))</f>
        <v>7711.1975632431067</v>
      </c>
      <c r="BZ107" s="92">
        <f>$BZ$10*(1+((H107/$H$10-1)*costos!$B$6+((I107*F107)/($I$10*$F$10)-1)*costos!$E$6+((J107*F107)/(($J$10*$F$10)-1)*costos!$F$6/3+((K107*F107)/($K$10*$F$10)-1)*costos!$F$6/3+((U107*F107)/($U$10*$F$10)-1)*costos!$F$6/3+((L107*F107)/($L$10*$F$10)-1)*costos!$G$6+((Q107*F107)/($Q$10*$F$10)-1)*costos!$J$6+((V107*F107)/($V$10*$F$10)-1)*costos!$K$6)))</f>
        <v>7148.9336137999544</v>
      </c>
      <c r="CA107" s="92">
        <f>CA$10*(1+((H107/H$10-1)*costos!$B$7+((I107*F107)/(I$10*F$10)-1)*costos!$E$7+((J107*F107)/((J$10*F$10)-1)*costos!$F$7/3+((K107*F107)/(K$10*F$10)-1)*costos!$F$7/3+((U107*F107)/(U$10*F$10)-1)*costos!$F$7/3+((L107*F107)/(L$10*F$10)-1)*costos!$G$7+((S107*F107)/(S$10*F$10)-1)*costos!$J$7+((V107*F107)/(V$10*F$10)-1)*costos!$K$7)))</f>
        <v>7769.7372369163277</v>
      </c>
      <c r="CB107" s="92">
        <f>CB$10*(1+((H107/H$10-1)*costos!$B$8+((I107*F107)/(I$10*F$10)-1)*costos!$E$8+((J107*F107)/((J$10*F$10)-1)*costos!$F$8/3+((K107*F107)/(K$10*F$10)-1)*costos!$F$8/3+((U107*F107)/(U$10*F$10)-1)*costos!$F$8/3+((L107*F107)/(L$10*F$10)-1)*costos!$G$8+((T107*F107)/(T$10*F$10)-1)*costos!$J$8+((V107*F107)/(V$10*F$10)-1)*costos!$K$8)))</f>
        <v>7322.87828074972</v>
      </c>
      <c r="CC107" s="92">
        <f>CC$10*(1+((H107/H$10-1)*costos!$B$9+((I107*F107)/(I$10*F$10)-1)*costos!$E$9+((J107*F107)/((J$10*F$10)-1)*costos!$F$9/3+((K107*F107)/(K$10*F$10)-1)*costos!$F$9/3+((U107*F107)/(U$10*F$10)-1)*costos!$F$9/3+((L107*F107)/(L$10*F$10)-1)*costos!$G$9+((U107*F107)/(U$10*F$10)-1)*costos!$J$9+((V107*F107)/(V$10*F$10)-1)*costos!$K$9)))</f>
        <v>7360.3429050567611</v>
      </c>
      <c r="CD107" s="92">
        <f>CD$10*(1+((H107/H$10-1)*costos!$B$11+((I107*F107)/(I$10*F$10)-1)*costos!$E$11+((J107*F107)/((J$10*F$10)-1)*costos!$F$11/3+((K107*F107)/(K$10*F$10)-1)*costos!$F$11/3+((U107*F107)/(U$10*F$10)-1)*costos!$F$11/3+((L107*F107)/(L$10*F$10)-1)*costos!$G$11+((V107*F107)/(V$10*F$10)-1)*costos!$J$11+((V107*F107)/(V$10*F$10)-1)*costos!$K$11)))</f>
        <v>7492.1802193758222</v>
      </c>
      <c r="CE107" s="92">
        <f>CE$10*(1+((H107/H$10-1)*costos!$B$12+((I107*F107)/(I$10*F$10)-1)*costos!$E$12+((J107*F107)/((J$10*F$10)-1)*costos!$F$12/3+((K107*F107)/(K$10*F$10)-1)*costos!$F$12/3+((U107*F107)/(U$10*F$10)-1)*costos!$F$12/3+((L107*F107)/(L$10*F$10)-1)*costos!$G$12+((W107*F107)/(W$10*F$10)-1)*costos!$J$12+((V107*F107)/(V$10*F$10)-1)*costos!$K$12)))</f>
        <v>7460.1073676882861</v>
      </c>
      <c r="CF107" s="92">
        <f>CF$10*(1+((H107/H$10-1)*costos!$B$13+((I107*F107)/(I$10*F$10)-1)*costos!$E$13+((J107*F107)/((J$10*F$10)-1)*costos!$F$13/3+((K107*F107)/(K$10*F$10)-1)*costos!$F$13/3+((U107*F107)/(U$10*F$10)-1)*costos!$F$13/3+((L107*F107)/(L$10*F$10)-1)*costos!$G$13+((X107*F107)/(X$10*F$10)-1)*costos!$J$13+((V107*F107)/(V$10*F$10)-1)*costos!$K$13)))</f>
        <v>7898.5216448599485</v>
      </c>
      <c r="CG107" s="92">
        <f t="shared" si="388"/>
        <v>7550.6279424411441</v>
      </c>
      <c r="CH107" s="92">
        <f>CH$10*(1+((H107/H$10-1)*costos!$B$10+((I107*F107)/(I$10*F$10)-1)*costos!$E$10+((J107*F107)/((J$10*F$10)-1)*costos!$F$10/3+((K107*F107)/(K$10*F$10)-1)*costos!$F$10/3+((U107*F107)/(U$10*F$10)-1)*costos!$F$10/3+((L107*F107)/(L$10*F$10)-1)*costos!$G$10+((AF107)/(AF$10)-1)*costos!$J$10+((V107*F107)/(V$10*F$10)-1)*costos!$K$10)))</f>
        <v>9122.4847796304839</v>
      </c>
      <c r="CI107" s="92">
        <f>CI$10*(1+((H107/H$10-1)*costos!$B$15+((I107*F107)/(I$10*F$10)-1)*costos!$E$15+((J107*F107)/((J$10*F$10)-1)*costos!$F$15/3+((K107*F107)/(K$10*F$10)-1)*costos!$F$15/3+((U107*F107)/(U$10*F$10)-1)*costos!$F$15/3+((L107*F107)/(L$10*F$10)-1)*costos!$G$15+((AV107)/(AV$10)-1)*costos!$J$15+((V107*F107)/(V$10*F$10)-1)*costos!$K$15)))</f>
        <v>8154.8063869354155</v>
      </c>
      <c r="CJ107" s="92">
        <f>CJ$10*(1+((H107/H$10-1)*costos!$B$16+((I107*F107)/(I$10*F$10)-1)*costos!$E$16+((J107*F107)/((J$10*F$10)-1)*costos!$F$16/3+((K107*F107)/(K$10*F$10)-1)*costos!$F$16/3+((U107*F107)/(U$10*F$10)-1)*costos!$F$16/3+((L107*F107)/(L$10*F$10)-1)*costos!$G$16+((AW107)/(AW$10)-1)*costos!$J$16+((V107*F107)/(V$10*F$10)-1)*costos!$K$16)))</f>
        <v>6004.226632817762</v>
      </c>
      <c r="CK107" s="92">
        <f>CK$10*(1+((H107/H$10-1)*costos!$B$17+((I107*F107)/(I$10*F$10)-1)*costos!$E$17+((J107*F107)/((J$10*F$10)-1)*costos!$F$17/3+((K107*F107)/(K$10*F$10)-1)*costos!$F$17/3+((U107*F107)/(U$10*F$10)-1)*costos!$F$17/3+((L107*F107)/(L$10*F$10)-1)*costos!$G$17+((AX107)/(AX$10)-1)*costos!$J$17+((V107*F107)/(V$10*F$10)-1)*costos!$K$17)))</f>
        <v>8135.8246437333974</v>
      </c>
      <c r="CL107" s="92">
        <f>CL$10*(1+((H107/H$10-1)*costos!$B$18+((I107*F107)/(I$10*F$10)-1)*costos!$E$18+((J107*F107)/((J$10*F$10)-1)*costos!$F$18/3+((K107*F107)/(K$10*F$10)-1)*costos!$F$18/3+((U107*F107)/(U$10*F$10)-1)*costos!$F$18/3+((L107*F107)/(L$10*F$10)-1)*costos!$G$18+((AY107)/(AY$10)-1)*costos!$J$18+((V107*F107)/(V$10*F$10)-1)*costos!$K$18)))</f>
        <v>7332.0918286737451</v>
      </c>
      <c r="CM107" s="92">
        <f>CM$10*(1+((H107/H$10-1)*costos!$B$19+((I107*F107)/(I$10*F$10)-1)*costos!$E$19+((J107*F107)/((J$10*F$10)-1)*costos!$F$19/3+((K107*F107)/(K$10*F$10)-1)*costos!$F$19/3+((U107*F107)/(U$10*F$10)-1)*costos!$F$19/3+((L107*F107)/(L$10*F$10)-1)*costos!$G$19+((AZ107)/(AZ$10)-1)*costos!$J$19+((V107*F107)/(V$10*F$10)-1)*costos!$K$19)))</f>
        <v>6313.5861520741355</v>
      </c>
      <c r="CN107" s="92">
        <f>CN$10*(1+((H107/H$10-1)*costos!$B$20+((I107*F107)/(I$10*F$10)-1)*costos!$E$20+((J107*F107)/((J$10*F$10)-1)*costos!$F$20/3+((K107*F107)/(K$10*F$10)-1)*costos!$F$20/3+((U107*F107)/(U$10*F$10)-1)*costos!$F$20/3+((L107*F107)/(L$10*F$10)-1)*costos!$G$20+((BA107)/(BA$10)-1)*costos!$J$20+((V107*F107)/(V$10*F$10)-1)*costos!$K$20)))</f>
        <v>5855.4835073773465</v>
      </c>
      <c r="CO107" s="92">
        <f t="shared" si="399"/>
        <v>6909.2465329646557</v>
      </c>
      <c r="CP107" s="92">
        <f>CP$10*(1+((H107/H$10-1)*costos!$B$22+((I107*F107)/(I$10*F$10)-1)*costos!$E$22+((J107*F107)/((J$10*F$10)-1)*costos!$F$22/3+((K107*F107)/(K$10*F$10)-1)*costos!$F$22/3+((U107*F107)/(U$10*F$10)-1)*costos!$F$22/3+((L107*F107)/(L$10*F$10)-1)*costos!$G$22+(((AVERAGE(AI107:AL107))/((AVERAGE(AI$10:AL$10))-1)*costos!$J$22+((V107*F107)/(V$10*F$10)-1)*costos!$K$22)))))</f>
        <v>7682.8727873527841</v>
      </c>
      <c r="CQ107" s="92">
        <f>CQ$10*(1+((H107/H$10-1)*costos!$B$23+((I107*F107)/(I$10*F$10)-1)*costos!$E$23+((J107*F107)/((J$10*F$10)-1)*costos!$F$23/3+((K107*F107)/(K$10*F$10)-1)*costos!$F$23/3+((U107*F107)/(U$10*F$10)-1)*costos!$F$23/3+((L107*F107)/(L$10*F$10)-1)*costos!$G$23+((AN107)/(AN$10)-1)*costos!$J$23+((V107*F107)/(V$10*F$10)-1)*costos!$K$23)))</f>
        <v>6637.9138053657643</v>
      </c>
      <c r="CR107" s="92">
        <f>CR$10*(1+((H107/H$10-1)*costos!$B$24+((I107*F107)/(I$10*F$10)-1)*costos!$E$24+((J107*F107)/((J$10*F$10)-1)*costos!$F$24/3+((K107*F107)/(K$10*F$10)-1)*costos!$F$24/3+((U107*F107)/(U$10*F$10)-1)*costos!$F$24/3+((L107*F107)/(L$10*F$10)-1)*costos!$G$24+((AO107)/(AO$10)-1)*costos!$J$24+((V107*F107)/(V$10*F$10)-1)*costos!$K$24)))</f>
        <v>6528.6153143219508</v>
      </c>
      <c r="CS107" s="92">
        <f t="shared" si="352"/>
        <v>6583.2645598438576</v>
      </c>
      <c r="CT107" s="92">
        <f>CT$10*(1+((H107/H$10-1)*costos!$B$25+((I107*F107)/(I$10*F$10)-1)*costos!$E$25+((J107*F107)/((J$10*F$10)-1)*costos!$F$25/3+((K107*F107)/(K$10*F$10)-1)*costos!$F$25/3+((U107*F107)/(U$10*F$10)-1)*costos!$F$25/3+((L107*F107)/(L$10*F$10)-1)*costos!$G$25+((AQ107)/(AQ$10)-1)*costos!$J$25+((V107*F107)/(V$10*F$10)-1)*costos!$K$25)))</f>
        <v>6483.7020648205507</v>
      </c>
      <c r="CU107" s="92">
        <f>CU$10*(1+((H107/H$10-1)*costos!$B$26+((I107*F107)/(I$10*F$10)-1)*costos!$E$26+((J107*F107)/((J$10*F$10)-1)*costos!$F$26/3+((K107*F107)/(K$10*F$10)-1)*costos!$F$26/3+((U107*F107)/(U$10*F$10)-1)*costos!$F$26/3+((L107*F107)/(L$10*F$10)-1)*costos!$G$26+((AR107)/(AR$10)-1)*costos!$J$26+((V107*F107)/(V$10*F$10)-1)*costos!$K$26)))</f>
        <v>7248.5923470426569</v>
      </c>
      <c r="CV107" s="92">
        <f>CV$10*(1+((H107/H$10-1)*costos!$B$27+((I107*F107)/(I$10*F$10)-1)*costos!$E$27+((J107*F107)/((J$10*F$10)-1)*costos!$F$27/3+((K107*F107)/(K$10*F$10)-1)*costos!$F$27/3+((U107*F107)/(U$10*F$10)-1)*costos!$F$27/3+((L107*F107)/(L$10*F$10)-1)*costos!$G$27+((AS107)/(AS$10)-1)*costos!$J$27+((V107*F107)/(V$10*F$10)-1)*costos!$K$27)))</f>
        <v>7050.7421059324488</v>
      </c>
      <c r="CW107" s="92">
        <f>CW$10*(1+((H107/H$10-1)*costos!$B$28+((I107*F107)/(I$10*F$10)-1)*costos!$E$28+((J107*F107)/((J$10*F$10)-1)*costos!$F$28/3+((K107*F107)/(K$10*F$10)-1)*costos!$F$28/3+((U107*F107)/(U$10*F$10)-1)*costos!$F$28/3+((L107*F107)/(L$10*F$10)-1)*costos!$G$28+((AS107)/(AS$10)-1)*costos!$J$28+((V107*F107)/(V$10*F$10)-1)*costos!$K$28)))</f>
        <v>7050.7421059324488</v>
      </c>
      <c r="CX107" s="92">
        <f t="shared" si="400"/>
        <v>7116.6921863025173</v>
      </c>
      <c r="CY107" s="92">
        <f>CY$10*(1+((H107/H$10-1)*costos!$B$32+((I107*F107)/(I$10*F$10)-1)*costos!$E$32+((J107*F107)/((J$10*F$10)-1)*costos!$F$32/3+((K107*F107)/(K$10*F$10)-1)*costos!$F$32/3+((U107*F107)/(U$10*F$10)-1)*costos!$F$32/3+((L107*F107)/(L$10*F$10)-1)*costos!$G$32+((AG107)/(AG$10)-1)*costos!$J$32+((V107*F107)/(V$10*F$10)-1)*costos!$K$32)))</f>
        <v>5797.0716437591436</v>
      </c>
      <c r="CZ107" s="69">
        <f>CZ$10*(1+((H107/H$10-1)*costos!$B$31+((I107*F107)/(I$10*F$10)-1)*costos!$E$30+((J107*F107)/((J$10*F$10)-1)*costos!$F$30/3+((K107*F107)/(K$10*F$10)-1)*costos!$F$30/3+((U107*F107)/(U$10*F$10)-1)*costos!$F$30/3+((L107*F107)/(L$10*F$10)-1)*costos!$G$30+((BG107)/(BG$10)-1)*costos!$J$30+((V107*F107)/(V$10*F$10)-1)*costos!$K$30)))</f>
        <v>7710.8747349605064</v>
      </c>
      <c r="DA107" s="69">
        <f>DA$10*(1+((H107/H$10-1)*costos!$B$31+((I107*F107)/(I$10*F$10)-1)*costos!$E$31+((J107*F107)/((J$10*F$10)-1)*costos!$F$31/3+((K107*F107)/(K$10*F$10)-1)*costos!$F$31/3+((U107*F107)/(U$10*F$10)-1)*costos!$F$31/3+((L107*F107)/(L$10*F$10)-1)*costos!$G$31+((BJ107)/(BJ$10)-1)*costos!$J$31+((V107*F107)/(V$10*F$10)-1)*costos!$K$31)))</f>
        <v>6140.5236386578372</v>
      </c>
      <c r="DB107" s="69">
        <f>DB$10*(1+((H107/H$10-1)*costos!$B$36+((I107*F107)/(I$10*F$10)-1)*costos!$E$36+((J107*F107)/((J$10*F$10)-1)*costos!$F$36/3+((K107*F107)/(K$10*F$10)-1)*costos!$F$36/3+((U107*F107)/(U$10*F$10)-1)*costos!$F$36/3+((L107*F107)/(L$10*F$10)-1)*costos!$G$36+((BK107)/(BK$10)-1)*costos!$J$36+((V107*F107)/(V$10*F$10)-1)*costos!$K$36)))</f>
        <v>7157.3875556453204</v>
      </c>
      <c r="DC107" s="69">
        <f>DC$10*(1+((H107/H$10-1)*costos!$B$37+((I107*F107)/(I$10*F$10)-1)*costos!$E$37+((U107*F107)/(U$10*F$10)-1)*costos!$F$37+((L107*F107)/(L$10*F$10)-1)*costos!$G$37+((BN107)/(BN$10)-1)*costos!$J$37+((V107*F107)/(V$10*F$10)-1)*costos!$K$37))</f>
        <v>7017.7372353483843</v>
      </c>
      <c r="DD107" s="69">
        <f>DD$10*(1+((H107/H$10-1)*costos!$B$39+((I107*F107)/(I$10*F$10)-1)*costos!$E$39+((U107*F107)/(U$10*F$10)-1)*costos!$F$39+((L107*F107)/(L$10*F$10)-1)*costos!$G$39+((BR107)/(BR$10)-1)*costos!$J$39+((V107*F107)/(V$10*F$10)-1)*costos!$K$39))</f>
        <v>6803.4539346039437</v>
      </c>
      <c r="DE107" s="69">
        <f>DD$10*(1+((H107/H$10-1)*costos!$B$35+((I107*F107)/(I$10*F$10)-1)*costos!$E$35+((U107*F107)/(U$10*F$10)-1)*costos!$F$35+((L107*F107)/(L$10*F$10)-1)*costos!$G$35+((BR107)/(BR$10)-1)*costos!$J$35+((V107*F107)/(V$10*F$10)-1)*costos!$K$35))</f>
        <v>5920.2664559558134</v>
      </c>
      <c r="DF107" s="69">
        <f>DF$10*(1+((H107/H$10-1)*costos!$B$40+((I107*F107)/(I$10*F$10)-1)*costos!$E$40+((U107*F107)/(U$10*F$10)-1)*costos!$F$40+((L107*F107)/(L$10*F$10)-1)*costos!$G$40+((BP107)/(BP$10)-1)*costos!$J$40+((V107*F107)/(V$10*F$10)-1)*costos!$K$40))</f>
        <v>7047.9131633562192</v>
      </c>
      <c r="DG107" s="92">
        <f t="shared" si="391"/>
        <v>6484.0898096560159</v>
      </c>
      <c r="DH107" s="69">
        <f>DH$10*(1+((H107/H$10-1)*costos!$B$34+((I107*F107)/(I$10*F$10)-1)*costos!$E$34+((J107*F107)/((J$10*F$10)-1)*costos!$F$34/3+((K107*F107)/(K$10*F$10)-1)*costos!$F$34/3+((U107*F107)/(U$10*F$10)-1)*costos!$F$34/3+((L107*F107)/(L$10*F$10)-1)*costos!$G$34+((BV107)/(BV$10)-1)*costos!$J$34+((V107*F107)/(V$10*F$10)-1)*costos!$K$34)))</f>
        <v>6438.1929634261323</v>
      </c>
      <c r="DI107" s="69">
        <f>DI$10*(1+((H107/H$10-1)*costos!$B$38+((I107*F107)/(I$10*F$10)-1)*costos!$E$38+((J107*F107)/((J$10*F$10)-1)*costos!$F$38/3+((K107*F107)/(K$10*F$10)-1)*costos!$F$38/3+((U107*F107)/(U$10*F$10)-1)*costos!$F$38/3+((L107*F107)/(L$10*F$10)-1)*costos!$G$38+((BU107)/(BU$10)-1)*costos!$J$38+((V107*F107)/(V$10*F$10)-1)*costos!$K$38)))</f>
        <v>5738.4336789239997</v>
      </c>
      <c r="DK107" s="1">
        <v>650000</v>
      </c>
      <c r="DL107" s="1" t="s">
        <v>410</v>
      </c>
      <c r="DM107" s="1">
        <v>200000</v>
      </c>
      <c r="DN107" s="1" t="s">
        <v>410</v>
      </c>
      <c r="DO107" s="1">
        <v>1500000</v>
      </c>
      <c r="DP107" s="1" t="s">
        <v>410</v>
      </c>
      <c r="DQ107" s="1">
        <v>2000000</v>
      </c>
      <c r="DR107" s="1" t="s">
        <v>410</v>
      </c>
      <c r="DS107" s="1">
        <v>7200000</v>
      </c>
      <c r="DT107" s="1" t="s">
        <v>410</v>
      </c>
      <c r="DU107" s="1">
        <v>16700000</v>
      </c>
      <c r="DV107" s="1" t="s">
        <v>410</v>
      </c>
      <c r="DW107" s="1">
        <v>770000</v>
      </c>
      <c r="DX107" s="1" t="s">
        <v>410</v>
      </c>
      <c r="DY107" s="1">
        <v>5916000</v>
      </c>
      <c r="DZ107" s="1" t="s">
        <v>410</v>
      </c>
      <c r="EA107" s="79">
        <f t="shared" si="353"/>
        <v>34086000</v>
      </c>
      <c r="EB107" s="1">
        <v>416490</v>
      </c>
      <c r="EC107" s="1" t="s">
        <v>410</v>
      </c>
      <c r="ED107" s="1">
        <v>230256</v>
      </c>
      <c r="EE107" s="143">
        <v>2024</v>
      </c>
      <c r="EF107" s="1">
        <v>199946</v>
      </c>
      <c r="EG107" s="6">
        <v>2024</v>
      </c>
      <c r="EH107" s="1">
        <v>52783892</v>
      </c>
      <c r="EI107" s="6">
        <v>2024</v>
      </c>
      <c r="EJ107" s="1">
        <v>5887401</v>
      </c>
      <c r="EK107" s="6">
        <v>2023</v>
      </c>
      <c r="EL107" s="1">
        <v>12461845</v>
      </c>
      <c r="EM107" s="6">
        <v>2022</v>
      </c>
      <c r="EN107" s="1">
        <v>3169981</v>
      </c>
      <c r="EO107" s="6">
        <v>2021</v>
      </c>
      <c r="EP107" s="83">
        <v>9163</v>
      </c>
      <c r="EQ107" s="83">
        <v>3500000</v>
      </c>
      <c r="ER107" s="1">
        <f t="shared" ref="ER107:ER117" si="430">47319+28576+4353</f>
        <v>80248</v>
      </c>
      <c r="ES107" s="1"/>
      <c r="ET107" s="83">
        <f t="shared" si="393"/>
        <v>19357</v>
      </c>
      <c r="EU107" s="83">
        <f t="shared" si="393"/>
        <v>18703</v>
      </c>
      <c r="EV107" s="83">
        <f t="shared" si="393"/>
        <v>8927</v>
      </c>
      <c r="EW107" s="83">
        <f t="shared" si="393"/>
        <v>17408</v>
      </c>
      <c r="EX107" s="79">
        <f t="shared" si="354"/>
        <v>64395</v>
      </c>
      <c r="EY107" s="83">
        <f t="shared" si="394"/>
        <v>20031</v>
      </c>
      <c r="EZ107" s="83">
        <f t="shared" si="394"/>
        <v>34815</v>
      </c>
      <c r="FA107" s="83">
        <f t="shared" ref="FA107:FA129" si="431">+FA106</f>
        <v>19900</v>
      </c>
      <c r="FB107" s="83">
        <f t="shared" si="406"/>
        <v>18184</v>
      </c>
      <c r="FC107" s="79">
        <f t="shared" si="414"/>
        <v>38084</v>
      </c>
      <c r="FD107" s="83">
        <f t="shared" si="395"/>
        <v>54743</v>
      </c>
      <c r="FE107" s="1"/>
      <c r="FF107" s="1">
        <v>900000</v>
      </c>
      <c r="FG107" s="1" t="s">
        <v>399</v>
      </c>
      <c r="FH107" s="1">
        <v>1200000</v>
      </c>
      <c r="FI107" s="1" t="s">
        <v>399</v>
      </c>
      <c r="FJ107" s="1">
        <v>5100000</v>
      </c>
      <c r="FK107" s="1" t="s">
        <v>410</v>
      </c>
      <c r="FL107" s="1">
        <v>4500000</v>
      </c>
      <c r="FM107" s="1" t="s">
        <v>410</v>
      </c>
      <c r="FN107" s="1">
        <v>54000000</v>
      </c>
      <c r="FO107" s="1" t="s">
        <v>410</v>
      </c>
      <c r="FP107" s="1">
        <v>25000000</v>
      </c>
      <c r="FQ107" s="1" t="s">
        <v>399</v>
      </c>
      <c r="FR107" s="1">
        <v>1600000</v>
      </c>
      <c r="FS107" s="1" t="s">
        <v>399</v>
      </c>
      <c r="FT107" s="1">
        <v>15853000</v>
      </c>
      <c r="FU107" s="1" t="s">
        <v>410</v>
      </c>
      <c r="FV107" s="79">
        <f t="shared" si="355"/>
        <v>106053000</v>
      </c>
      <c r="FW107" s="1">
        <v>940426</v>
      </c>
      <c r="FX107" s="1" t="s">
        <v>399</v>
      </c>
      <c r="FY107" s="1">
        <v>33794</v>
      </c>
      <c r="FZ107" s="79">
        <f t="shared" si="377"/>
        <v>805749.5</v>
      </c>
      <c r="GA107" s="86" t="str">
        <f t="shared" si="378"/>
        <v>mar23 feb24</v>
      </c>
      <c r="GB107" s="1">
        <v>19189740</v>
      </c>
      <c r="GC107" s="6">
        <v>2024</v>
      </c>
      <c r="GD107" s="1">
        <v>1714000</v>
      </c>
      <c r="GE107" s="1">
        <v>424000</v>
      </c>
      <c r="GF107" s="1">
        <v>1165000</v>
      </c>
      <c r="GG107" s="1">
        <v>145000</v>
      </c>
      <c r="GH107" s="79">
        <f t="shared" si="240"/>
        <v>1734000</v>
      </c>
      <c r="GI107" s="82">
        <f t="shared" si="373"/>
        <v>1302556</v>
      </c>
      <c r="GJ107" s="83">
        <f t="shared" si="373"/>
        <v>682423</v>
      </c>
      <c r="GK107" s="83">
        <f t="shared" si="373"/>
        <v>1391495</v>
      </c>
      <c r="GL107" s="83">
        <f t="shared" si="373"/>
        <v>305049</v>
      </c>
      <c r="GM107" s="83">
        <f t="shared" si="373"/>
        <v>260419</v>
      </c>
      <c r="GN107" s="79">
        <f t="shared" si="357"/>
        <v>2639386</v>
      </c>
      <c r="GO107" s="83">
        <f t="shared" si="374"/>
        <v>201734</v>
      </c>
      <c r="GP107" s="83">
        <f t="shared" si="416"/>
        <v>69297</v>
      </c>
      <c r="GQ107" s="83">
        <v>159131.5</v>
      </c>
      <c r="GR107" s="1">
        <v>34035</v>
      </c>
      <c r="GS107" s="79">
        <f t="shared" si="412"/>
        <v>38808.945</v>
      </c>
      <c r="GT107" s="83">
        <f t="shared" si="407"/>
        <v>2111561</v>
      </c>
      <c r="GU107" s="1">
        <f>44691+11465</f>
        <v>56156</v>
      </c>
      <c r="GV107" s="1">
        <f>3369+16519</f>
        <v>19888</v>
      </c>
      <c r="GW107" s="79">
        <f t="shared" si="261"/>
        <v>752091</v>
      </c>
      <c r="GX107" s="1">
        <v>30804.553</v>
      </c>
      <c r="GY107" s="1" t="s">
        <v>436</v>
      </c>
      <c r="GZ107" s="1">
        <v>80786</v>
      </c>
      <c r="HA107" s="1">
        <v>237641</v>
      </c>
      <c r="HB107" s="79">
        <f t="shared" si="241"/>
        <v>3266154</v>
      </c>
      <c r="HC107" s="86" t="str">
        <f t="shared" si="379"/>
        <v>mar23 feb24</v>
      </c>
      <c r="HD107" s="1">
        <v>54781</v>
      </c>
      <c r="HE107" s="79">
        <f t="shared" si="380"/>
        <v>761567</v>
      </c>
      <c r="HF107" s="86" t="str">
        <f t="shared" si="381"/>
        <v>mar23 feb24</v>
      </c>
      <c r="HG107" s="1">
        <v>175000</v>
      </c>
      <c r="HH107" s="79">
        <f t="shared" si="242"/>
        <v>2302000</v>
      </c>
      <c r="HI107" s="86" t="str">
        <f t="shared" si="382"/>
        <v>mar23 feb24</v>
      </c>
      <c r="HJ107" s="1">
        <v>92257</v>
      </c>
      <c r="HK107" s="79">
        <f t="shared" si="278"/>
        <v>68385.06</v>
      </c>
      <c r="HL107" s="86" t="str">
        <f t="shared" si="383"/>
        <v>mar23 feb24</v>
      </c>
      <c r="HM107" s="79">
        <f t="shared" si="358"/>
        <v>2370385.06</v>
      </c>
      <c r="HN107" s="87">
        <f t="shared" si="297"/>
        <v>-0.14782608695652177</v>
      </c>
      <c r="HO107" s="1">
        <v>686000000</v>
      </c>
      <c r="HP107" s="79">
        <f t="shared" si="386"/>
        <v>11080.999285</v>
      </c>
      <c r="HQ107" s="86" t="str">
        <f t="shared" si="384"/>
        <v>mar23 feb24</v>
      </c>
      <c r="HR107" s="1"/>
      <c r="HS107" s="1"/>
      <c r="HT107" s="1"/>
      <c r="HU107" s="1">
        <v>700000</v>
      </c>
      <c r="HV107" s="1" t="s">
        <v>399</v>
      </c>
      <c r="HW107" s="1">
        <v>1500000</v>
      </c>
      <c r="HX107" s="1" t="s">
        <v>410</v>
      </c>
      <c r="HY107" s="1">
        <v>4600000</v>
      </c>
      <c r="HZ107" s="1" t="s">
        <v>410</v>
      </c>
      <c r="IA107" s="1">
        <f t="shared" si="413"/>
        <v>21000000</v>
      </c>
      <c r="IB107" s="1" t="s">
        <v>399</v>
      </c>
      <c r="IC107" s="1">
        <v>38500000</v>
      </c>
      <c r="ID107" s="1" t="s">
        <v>399</v>
      </c>
      <c r="IE107" s="1">
        <v>750000</v>
      </c>
      <c r="IF107" s="1" t="s">
        <v>399</v>
      </c>
      <c r="IG107" s="1">
        <f t="shared" si="415"/>
        <v>7400000</v>
      </c>
      <c r="IH107" s="1" t="s">
        <v>410</v>
      </c>
      <c r="II107" s="79">
        <f t="shared" si="359"/>
        <v>73750000</v>
      </c>
      <c r="IJ107" s="97">
        <f t="shared" si="409"/>
        <v>1.9885213252125911</v>
      </c>
      <c r="IK107" s="1" t="s">
        <v>399</v>
      </c>
      <c r="IL107" s="7">
        <v>46.23</v>
      </c>
      <c r="IM107" s="7">
        <v>51.48</v>
      </c>
      <c r="IN107" s="7">
        <v>170.8</v>
      </c>
      <c r="IO107" s="7">
        <v>16.64</v>
      </c>
      <c r="IP107" s="176">
        <f t="shared" ref="IP107:IP117" si="432">258789745/IP$2</f>
        <v>5.5693606783423002</v>
      </c>
      <c r="IQ107" s="176">
        <v>16.3</v>
      </c>
      <c r="IR107" s="98">
        <f t="shared" si="397"/>
        <v>6.09</v>
      </c>
      <c r="IS107" s="98">
        <f t="shared" si="397"/>
        <v>4.03</v>
      </c>
      <c r="IT107" s="98">
        <f t="shared" si="397"/>
        <v>11.98</v>
      </c>
      <c r="IU107" s="98">
        <f t="shared" si="397"/>
        <v>1.38</v>
      </c>
      <c r="IV107" s="94">
        <f t="shared" si="360"/>
        <v>17.39</v>
      </c>
      <c r="IW107" s="1"/>
      <c r="IX107" s="1"/>
      <c r="IY107" s="80">
        <v>1.88</v>
      </c>
      <c r="IZ107" s="88">
        <v>0.3</v>
      </c>
      <c r="JA107" s="1">
        <v>2813</v>
      </c>
      <c r="JB107" s="95">
        <f t="shared" ref="JB107:JB137" si="433">JB106</f>
        <v>35.950000000000003</v>
      </c>
      <c r="JC107" s="1"/>
      <c r="JD107" s="1"/>
      <c r="JF107" s="2">
        <v>7.7064561400000011</v>
      </c>
      <c r="JG107" s="2">
        <v>13.355622539999999</v>
      </c>
      <c r="JH107" s="2">
        <v>191.36627730999999</v>
      </c>
      <c r="JI107" s="2">
        <v>111.98081332999999</v>
      </c>
      <c r="JJ107" s="2">
        <v>553.42208759999994</v>
      </c>
      <c r="JK107" s="2">
        <v>111.62267066999999</v>
      </c>
      <c r="JL107" s="2">
        <v>1669.0314365499999</v>
      </c>
      <c r="JM107" s="2">
        <v>0.25929000000000002</v>
      </c>
      <c r="JN107" s="2">
        <v>563.4256187200001</v>
      </c>
      <c r="JO107" s="2">
        <v>27.954086790000002</v>
      </c>
      <c r="JP107" s="2">
        <v>0</v>
      </c>
      <c r="JQ107" s="2">
        <v>5.5873405999999992</v>
      </c>
      <c r="JR107" s="2">
        <v>1.2655557900000001</v>
      </c>
      <c r="JS107" s="2">
        <v>0</v>
      </c>
      <c r="JT107" s="2">
        <v>0.80853788000000004</v>
      </c>
      <c r="JU107" s="2">
        <v>59.429446169999991</v>
      </c>
      <c r="JV107" s="2">
        <v>4.7423584100000005</v>
      </c>
      <c r="JW107" s="2">
        <v>38.002211629999998</v>
      </c>
      <c r="JX107" s="2">
        <v>8.5632738799999988</v>
      </c>
      <c r="JY107" s="2">
        <v>0</v>
      </c>
      <c r="JZ107" s="2">
        <v>3.2681509099999997</v>
      </c>
      <c r="KA107" s="2">
        <v>0.09</v>
      </c>
      <c r="KB107" s="2">
        <v>23.932255000000001</v>
      </c>
      <c r="KC107" s="2">
        <v>36.249269399999989</v>
      </c>
      <c r="KD107" s="2">
        <v>8.8663402400000013</v>
      </c>
      <c r="KE107" s="2">
        <v>13.392344960000001</v>
      </c>
      <c r="KF107" s="2">
        <v>35.607742460000011</v>
      </c>
      <c r="KG107" s="2">
        <v>342.85888695999995</v>
      </c>
      <c r="KH107" s="2">
        <v>140.50614890000003</v>
      </c>
      <c r="KI107" s="2">
        <v>15.322430800000003</v>
      </c>
      <c r="KJ107" s="2">
        <v>1.56892272</v>
      </c>
      <c r="KK107" s="171">
        <v>5.2295233099999994</v>
      </c>
      <c r="KL107" s="171">
        <v>0.22536</v>
      </c>
      <c r="KM107" s="171">
        <v>5.6479760000000004E-2</v>
      </c>
      <c r="KN107" s="171">
        <v>0</v>
      </c>
      <c r="KO107" s="171">
        <v>2.4515551900000001</v>
      </c>
      <c r="KP107" s="171">
        <v>0.69674917999999986</v>
      </c>
      <c r="KQ107" s="171">
        <v>277.79311703999997</v>
      </c>
      <c r="KR107" s="171">
        <v>1.2535299999999999E-3</v>
      </c>
      <c r="KS107" s="171">
        <v>0.24156551999999998</v>
      </c>
      <c r="KT107" s="171">
        <v>1.6300787399999999</v>
      </c>
      <c r="KU107" s="171">
        <v>4.9277770000000005E-2</v>
      </c>
      <c r="KV107" s="171">
        <v>3.8300000000000001E-2</v>
      </c>
      <c r="KW107" s="171">
        <v>0.19044177000000001</v>
      </c>
      <c r="KX107" s="171">
        <v>0</v>
      </c>
      <c r="KY107" s="171">
        <v>0</v>
      </c>
      <c r="KZ107" s="171">
        <v>0.76659119999999992</v>
      </c>
      <c r="LA107" s="171">
        <v>0.12479459999999999</v>
      </c>
      <c r="LB107" s="171">
        <v>0</v>
      </c>
      <c r="LC107" s="171">
        <v>3.388998E-2</v>
      </c>
      <c r="LD107" s="171">
        <v>0</v>
      </c>
      <c r="LE107" s="171">
        <v>0.38930320999999996</v>
      </c>
      <c r="LF107" s="171">
        <v>0.18346335999999999</v>
      </c>
      <c r="LG107" s="171">
        <v>13.107541810000001</v>
      </c>
      <c r="LH107" s="171">
        <v>4.5019780499999991</v>
      </c>
      <c r="LI107" s="171">
        <v>2.4176205400000002</v>
      </c>
      <c r="LJ107" s="171">
        <v>0</v>
      </c>
      <c r="LK107" s="171">
        <v>1.8857013599999999</v>
      </c>
      <c r="LL107" s="171">
        <v>1.2696953500000001</v>
      </c>
      <c r="LM107" s="171">
        <v>0.38991597</v>
      </c>
      <c r="LN107" s="171">
        <v>0.31075020000000003</v>
      </c>
      <c r="LO107" s="171">
        <v>5.2341166499999998</v>
      </c>
      <c r="LQ107" s="85">
        <f t="shared" si="247"/>
        <v>3089.4855235099994</v>
      </c>
      <c r="LR107" s="85">
        <f t="shared" si="248"/>
        <v>7.66143427</v>
      </c>
      <c r="LS107" s="85">
        <f t="shared" si="249"/>
        <v>42.744570039999999</v>
      </c>
      <c r="LT107" s="85">
        <f t="shared" si="250"/>
        <v>3.3581509099999995</v>
      </c>
      <c r="LU107" s="85">
        <f t="shared" si="251"/>
        <v>280.54397103999997</v>
      </c>
      <c r="LV107" s="85">
        <f t="shared" si="252"/>
        <v>0.22874177000000001</v>
      </c>
      <c r="LW107" s="85">
        <f t="shared" si="253"/>
        <v>0.12479459999999999</v>
      </c>
      <c r="LX107" s="85">
        <f t="shared" si="254"/>
        <v>0.57276656999999997</v>
      </c>
      <c r="LZ107" s="83">
        <v>1172.99</v>
      </c>
      <c r="MA107" s="83">
        <v>2355.31</v>
      </c>
      <c r="MB107"/>
      <c r="MC107"/>
      <c r="MD107"/>
      <c r="MF107"/>
      <c r="MG107"/>
      <c r="MH107" s="83">
        <v>1942.55</v>
      </c>
      <c r="MI107" s="83">
        <v>741.12</v>
      </c>
      <c r="MJ107" s="83">
        <v>749.73</v>
      </c>
      <c r="MK107"/>
      <c r="ML107" s="83">
        <v>764.95</v>
      </c>
      <c r="MM107" s="83">
        <v>804.33</v>
      </c>
      <c r="MN107" s="83"/>
      <c r="MO107" s="83">
        <v>553.36</v>
      </c>
      <c r="MP107" s="83">
        <v>1674.35</v>
      </c>
      <c r="MQ107" s="83">
        <v>1958.52</v>
      </c>
      <c r="MR107"/>
      <c r="MT107" s="83"/>
      <c r="MU107" s="83">
        <v>1397</v>
      </c>
      <c r="MV107"/>
      <c r="MW107"/>
      <c r="MX107"/>
      <c r="MY107" s="83">
        <v>1833.75</v>
      </c>
      <c r="MZ107" s="83">
        <v>3666</v>
      </c>
      <c r="NA107" s="83">
        <v>1934</v>
      </c>
      <c r="NB107" s="83">
        <v>6058</v>
      </c>
      <c r="NC107" s="83">
        <v>1018.87</v>
      </c>
      <c r="ND107" s="1">
        <v>7350</v>
      </c>
      <c r="NE107" s="1">
        <v>4331</v>
      </c>
    </row>
    <row r="108" spans="1:369">
      <c r="A108" s="38">
        <f t="shared" si="417"/>
        <v>45352</v>
      </c>
      <c r="B108" s="36">
        <f t="shared" si="428"/>
        <v>3</v>
      </c>
      <c r="C108" s="36">
        <f t="shared" si="429"/>
        <v>2024</v>
      </c>
      <c r="D108" s="36">
        <f t="shared" si="347"/>
        <v>108</v>
      </c>
      <c r="E108" s="38">
        <f t="shared" si="418"/>
        <v>45352</v>
      </c>
      <c r="F108" s="7">
        <v>849.05</v>
      </c>
      <c r="G108" s="7">
        <v>5357.09</v>
      </c>
      <c r="H108" s="1">
        <f>[2]NACIONALES!$D96</f>
        <v>472007.14999999997</v>
      </c>
      <c r="I108" s="7">
        <v>105</v>
      </c>
      <c r="J108" s="7">
        <v>780</v>
      </c>
      <c r="K108" s="7">
        <v>6.6</v>
      </c>
      <c r="L108" s="7">
        <f>25403/888.7</f>
        <v>28.584449195454031</v>
      </c>
      <c r="N108" s="5">
        <f>(1.61+1.6+1.6+1.61)/4</f>
        <v>1.6050000000000002</v>
      </c>
      <c r="O108" s="5">
        <v>1.21</v>
      </c>
      <c r="P108" s="78">
        <f t="shared" si="398"/>
        <v>1135.2859812500001</v>
      </c>
      <c r="Q108" s="6">
        <v>35000</v>
      </c>
      <c r="R108" s="79">
        <f t="shared" si="419"/>
        <v>350000</v>
      </c>
      <c r="S108" s="6">
        <f>140636/F108</f>
        <v>165.6392438607856</v>
      </c>
      <c r="T108" s="6">
        <f>247923/F108</f>
        <v>292.00047111477534</v>
      </c>
      <c r="U108" s="188">
        <v>169.54736842105262</v>
      </c>
      <c r="V108" s="6">
        <v>289.23684210526312</v>
      </c>
      <c r="W108" s="6">
        <f>151400/F108</f>
        <v>178.31694246510807</v>
      </c>
      <c r="X108" s="6">
        <v>207.15</v>
      </c>
      <c r="Y108" s="79">
        <f t="shared" si="420"/>
        <v>140636</v>
      </c>
      <c r="Z108" s="79">
        <f t="shared" si="421"/>
        <v>247923</v>
      </c>
      <c r="AA108" s="79">
        <f t="shared" si="422"/>
        <v>143954.19315789471</v>
      </c>
      <c r="AB108" s="79">
        <f t="shared" si="423"/>
        <v>245576.54078947363</v>
      </c>
      <c r="AC108" s="79">
        <f t="shared" si="424"/>
        <v>151400</v>
      </c>
      <c r="AD108" s="79">
        <f t="shared" si="425"/>
        <v>175880.70749999999</v>
      </c>
      <c r="AE108" s="79">
        <f t="shared" si="426"/>
        <v>184228.40690789474</v>
      </c>
      <c r="AF108" s="1">
        <v>772706.07692307688</v>
      </c>
      <c r="AG108" s="83">
        <v>370000</v>
      </c>
      <c r="AH108" s="1">
        <v>950000</v>
      </c>
      <c r="AI108" s="5">
        <v>417.6</v>
      </c>
      <c r="AJ108" s="5">
        <v>347.78</v>
      </c>
      <c r="AK108" s="5">
        <v>225.72</v>
      </c>
      <c r="AL108" s="5">
        <v>249.76</v>
      </c>
      <c r="AM108" s="78">
        <f t="shared" si="427"/>
        <v>324.63679999999999</v>
      </c>
      <c r="AN108" s="7">
        <v>23606.741573033709</v>
      </c>
      <c r="AO108" s="7">
        <v>11732.25</v>
      </c>
      <c r="AP108" s="78">
        <f t="shared" si="385"/>
        <v>11732.25</v>
      </c>
      <c r="AQ108" s="7">
        <v>5653.5714285714284</v>
      </c>
      <c r="AR108" s="7">
        <v>10011</v>
      </c>
      <c r="AS108" s="7">
        <v>13159.574468085106</v>
      </c>
      <c r="AT108" s="7">
        <v>21285.25</v>
      </c>
      <c r="AU108" s="78">
        <f t="shared" si="348"/>
        <v>14818.608156028369</v>
      </c>
      <c r="AV108" s="7">
        <v>6830.833333333333</v>
      </c>
      <c r="AW108" s="7">
        <v>9575</v>
      </c>
      <c r="AX108" s="7">
        <v>10791.014999999999</v>
      </c>
      <c r="AY108" s="7">
        <v>10448.538011695906</v>
      </c>
      <c r="AZ108" s="7">
        <v>7831.875</v>
      </c>
      <c r="BA108" s="7">
        <v>3072.5</v>
      </c>
      <c r="BB108" s="94">
        <f t="shared" si="345"/>
        <v>8543.7712532488622</v>
      </c>
      <c r="BC108" s="68">
        <v>34582</v>
      </c>
      <c r="BD108" s="68">
        <v>23170</v>
      </c>
      <c r="BE108" s="95">
        <f>+BE107*BC108/BC107</f>
        <v>24336.80054926193</v>
      </c>
      <c r="BF108" s="95">
        <f>+BF107*BD108/BD107</f>
        <v>19711.096743457994</v>
      </c>
      <c r="BG108" s="94">
        <f t="shared" si="349"/>
        <v>25449.97432317998</v>
      </c>
      <c r="BH108" s="7">
        <v>2820</v>
      </c>
      <c r="BI108" s="7">
        <v>0</v>
      </c>
      <c r="BJ108" s="78">
        <f t="shared" si="350"/>
        <v>2820</v>
      </c>
      <c r="BK108" s="7">
        <v>1835.2349999999999</v>
      </c>
      <c r="BL108" s="7">
        <v>1979.58</v>
      </c>
      <c r="BM108" s="94">
        <f t="shared" si="351"/>
        <v>1907.4074999999998</v>
      </c>
      <c r="BN108" s="5">
        <v>331.68</v>
      </c>
      <c r="BO108" s="84">
        <v>1610.79</v>
      </c>
      <c r="BP108" s="84">
        <v>1191.25</v>
      </c>
      <c r="BQ108" s="94">
        <f>+BO108*0.9+BP108*0.1</f>
        <v>1568.836</v>
      </c>
      <c r="BR108" s="96">
        <v>1100</v>
      </c>
      <c r="BS108" s="7">
        <v>3200</v>
      </c>
      <c r="BT108" s="7">
        <f>1.01*F108</f>
        <v>857.54049999999995</v>
      </c>
      <c r="BU108" s="79">
        <f>+BS108*12+BT108*3</f>
        <v>40972.621500000001</v>
      </c>
      <c r="BV108" s="7">
        <v>1465</v>
      </c>
      <c r="BW108" s="7">
        <v>2275</v>
      </c>
      <c r="BY108" s="92">
        <f>BY$10*(1+((H108/H$10-1)*costos!$B$5+((I108*F108)/(I$10*F$10)-1)*costos!$E$5+((J108*F108)/((J$10*F$10)-1)*costos!$F$5/3+((K108*F108)/(K$10*F$10)-1)*costos!$F$5/3+((U108*F108)/(U$10*F$10)-1)*costos!$F$5/3+((L108*F108)/(L$10*F$10)-1)*costos!$G$5+((N108*F108)/(N$10*F$10)-1)*costos!$J$5+((V108*F108)/(V$10*F$10)-1)*costos!$K$5)))</f>
        <v>7930.3545149535094</v>
      </c>
      <c r="BZ108" s="92">
        <f>$BZ$10*(1+((H108/$H$10-1)*costos!$B$6+((I108*F108)/($I$10*$F$10)-1)*costos!$E$6+((J108*F108)/(($J$10*$F$10)-1)*costos!$F$6/3+((K108*F108)/($K$10*$F$10)-1)*costos!$F$6/3+((U108*F108)/($U$10*$F$10)-1)*costos!$F$6/3+((L108*F108)/($L$10*$F$10)-1)*costos!$G$6+((Q108*F108)/($Q$10*$F$10)-1)*costos!$J$6+((V108*F108)/($V$10*$F$10)-1)*costos!$K$6)))</f>
        <v>7386.0563142720139</v>
      </c>
      <c r="CA108" s="92">
        <f>CA$10*(1+((H108/H$10-1)*costos!$B$7+((I108*F108)/(I$10*F$10)-1)*costos!$E$7+((J108*F108)/((J$10*F$10)-1)*costos!$F$7/3+((K108*F108)/(K$10*F$10)-1)*costos!$F$7/3+((U108*F108)/(U$10*F$10)-1)*costos!$F$7/3+((L108*F108)/(L$10*F$10)-1)*costos!$G$7+((S108*F108)/(S$10*F$10)-1)*costos!$J$7+((V108*F108)/(V$10*F$10)-1)*costos!$K$7)))</f>
        <v>7582.6749908090842</v>
      </c>
      <c r="CB108" s="92">
        <f>CB$10*(1+((H108/H$10-1)*costos!$B$8+((I108*F108)/(I$10*F$10)-1)*costos!$E$8+((J108*F108)/((J$10*F$10)-1)*costos!$F$8/3+((K108*F108)/(K$10*F$10)-1)*costos!$F$8/3+((U108*F108)/(U$10*F$10)-1)*costos!$F$8/3+((L108*F108)/(L$10*F$10)-1)*costos!$G$8+((T108*F108)/(T$10*F$10)-1)*costos!$J$8+((V108*F108)/(V$10*F$10)-1)*costos!$K$8)))</f>
        <v>7210.7638535531078</v>
      </c>
      <c r="CC108" s="92">
        <f>CC$10*(1+((H108/H$10-1)*costos!$B$9+((I108*F108)/(I$10*F$10)-1)*costos!$E$9+((J108*F108)/((J$10*F$10)-1)*costos!$F$9/3+((K108*F108)/(K$10*F$10)-1)*costos!$F$9/3+((U108*F108)/(U$10*F$10)-1)*costos!$F$9/3+((L108*F108)/(L$10*F$10)-1)*costos!$G$9+((U108*F108)/(U$10*F$10)-1)*costos!$J$9+((V108*F108)/(V$10*F$10)-1)*costos!$K$9)))</f>
        <v>7323.9937285366041</v>
      </c>
      <c r="CD108" s="92">
        <f>CD$10*(1+((H108/H$10-1)*costos!$B$11+((I108*F108)/(I$10*F$10)-1)*costos!$E$11+((J108*F108)/((J$10*F$10)-1)*costos!$F$11/3+((K108*F108)/(K$10*F$10)-1)*costos!$F$11/3+((U108*F108)/(U$10*F$10)-1)*costos!$F$11/3+((L108*F108)/(L$10*F$10)-1)*costos!$G$11+((V108*F108)/(V$10*F$10)-1)*costos!$J$11+((V108*F108)/(V$10*F$10)-1)*costos!$K$11)))</f>
        <v>7686.2965841477699</v>
      </c>
      <c r="CE108" s="92">
        <f>CE$10*(1+((H108/H$10-1)*costos!$B$12+((I108*F108)/(I$10*F$10)-1)*costos!$E$12+((J108*F108)/((J$10*F$10)-1)*costos!$F$12/3+((K108*F108)/(K$10*F$10)-1)*costos!$F$12/3+((U108*F108)/(U$10*F$10)-1)*costos!$F$12/3+((L108*F108)/(L$10*F$10)-1)*costos!$G$12+((W108*F108)/(W$10*F$10)-1)*costos!$J$12+((V108*F108)/(V$10*F$10)-1)*costos!$K$12)))</f>
        <v>7376.1587620560103</v>
      </c>
      <c r="CF108" s="92">
        <f>CF$10*(1+((H108/H$10-1)*costos!$B$13+((I108*F108)/(I$10*F$10)-1)*costos!$E$13+((J108*F108)/((J$10*F$10)-1)*costos!$F$13/3+((K108*F108)/(K$10*F$10)-1)*costos!$F$13/3+((U108*F108)/(U$10*F$10)-1)*costos!$F$13/3+((L108*F108)/(L$10*F$10)-1)*costos!$G$13+((X108*F108)/(X$10*F$10)-1)*costos!$J$13+((V108*F108)/(V$10*F$10)-1)*costos!$K$13)))</f>
        <v>7957.4277843676055</v>
      </c>
      <c r="CG108" s="92">
        <f t="shared" si="388"/>
        <v>7522.885950578363</v>
      </c>
      <c r="CH108" s="92">
        <f>CH$10*(1+((H108/H$10-1)*costos!$B$10+((I108*F108)/(I$10*F$10)-1)*costos!$E$10+((J108*F108)/((J$10*F$10)-1)*costos!$F$10/3+((K108*F108)/(K$10*F$10)-1)*costos!$F$10/3+((U108*F108)/(U$10*F$10)-1)*costos!$F$10/3+((L108*F108)/(L$10*F$10)-1)*costos!$G$10+((AF108)/(AF$10)-1)*costos!$J$10+((V108*F108)/(V$10*F$10)-1)*costos!$K$10)))</f>
        <v>9266.2126900284002</v>
      </c>
      <c r="CI108" s="92">
        <f>CI$10*(1+((H108/H$10-1)*costos!$B$15+((I108*F108)/(I$10*F$10)-1)*costos!$E$15+((J108*F108)/((J$10*F$10)-1)*costos!$F$15/3+((K108*F108)/(K$10*F$10)-1)*costos!$F$15/3+((U108*F108)/(U$10*F$10)-1)*costos!$F$15/3+((L108*F108)/(L$10*F$10)-1)*costos!$G$15+((AV108)/(AV$10)-1)*costos!$J$15+((V108*F108)/(V$10*F$10)-1)*costos!$K$15)))</f>
        <v>8297.0205178110427</v>
      </c>
      <c r="CJ108" s="92">
        <f>CJ$10*(1+((H108/H$10-1)*costos!$B$16+((I108*F108)/(I$10*F$10)-1)*costos!$E$16+((J108*F108)/((J$10*F$10)-1)*costos!$F$16/3+((K108*F108)/(K$10*F$10)-1)*costos!$F$16/3+((U108*F108)/(U$10*F$10)-1)*costos!$F$16/3+((L108*F108)/(L$10*F$10)-1)*costos!$G$16+((AW108)/(AW$10)-1)*costos!$J$16+((V108*F108)/(V$10*F$10)-1)*costos!$K$16)))</f>
        <v>6520.5958501644063</v>
      </c>
      <c r="CK108" s="92">
        <f>CK$10*(1+((H108/H$10-1)*costos!$B$17+((I108*F108)/(I$10*F$10)-1)*costos!$E$17+((J108*F108)/((J$10*F$10)-1)*costos!$F$17/3+((K108*F108)/(K$10*F$10)-1)*costos!$F$17/3+((U108*F108)/(U$10*F$10)-1)*costos!$F$17/3+((L108*F108)/(L$10*F$10)-1)*costos!$G$17+((AX108)/(AX$10)-1)*costos!$J$17+((V108*F108)/(V$10*F$10)-1)*costos!$K$17)))</f>
        <v>8780.8069073364313</v>
      </c>
      <c r="CL108" s="92">
        <f>CL$10*(1+((H108/H$10-1)*costos!$B$18+((I108*F108)/(I$10*F$10)-1)*costos!$E$18+((J108*F108)/((J$10*F$10)-1)*costos!$F$18/3+((K108*F108)/(K$10*F$10)-1)*costos!$F$18/3+((U108*F108)/(U$10*F$10)-1)*costos!$F$18/3+((L108*F108)/(L$10*F$10)-1)*costos!$G$18+((AY108)/(AY$10)-1)*costos!$J$18+((V108*F108)/(V$10*F$10)-1)*costos!$K$18)))</f>
        <v>8376.2976110999443</v>
      </c>
      <c r="CM108" s="92">
        <f>CM$10*(1+((H108/H$10-1)*costos!$B$19+((I108*F108)/(I$10*F$10)-1)*costos!$E$19+((J108*F108)/((J$10*F$10)-1)*costos!$F$19/3+((K108*F108)/(K$10*F$10)-1)*costos!$F$19/3+((U108*F108)/(U$10*F$10)-1)*costos!$F$19/3+((L108*F108)/(L$10*F$10)-1)*costos!$G$19+((AZ108)/(AZ$10)-1)*costos!$J$19+((V108*F108)/(V$10*F$10)-1)*costos!$K$19)))</f>
        <v>6872.2435447940825</v>
      </c>
      <c r="CN108" s="92">
        <f>CN$10*(1+((H108/H$10-1)*costos!$B$20+((I108*F108)/(I$10*F$10)-1)*costos!$E$20+((J108*F108)/((J$10*F$10)-1)*costos!$F$20/3+((K108*F108)/(K$10*F$10)-1)*costos!$F$20/3+((U108*F108)/(U$10*F$10)-1)*costos!$F$20/3+((L108*F108)/(L$10*F$10)-1)*costos!$G$20+((BA108)/(BA$10)-1)*costos!$J$20+((V108*F108)/(V$10*F$10)-1)*costos!$K$20)))</f>
        <v>6282.5453690132535</v>
      </c>
      <c r="CO108" s="92">
        <f t="shared" si="399"/>
        <v>7577.9733580609272</v>
      </c>
      <c r="CP108" s="92">
        <f>CP$10*(1+((H108/H$10-1)*costos!$B$22+((I108*F108)/(I$10*F$10)-1)*costos!$E$22+((J108*F108)/((J$10*F$10)-1)*costos!$F$22/3+((K108*F108)/(K$10*F$10)-1)*costos!$F$22/3+((U108*F108)/(U$10*F$10)-1)*costos!$F$22/3+((L108*F108)/(L$10*F$10)-1)*costos!$G$22+(((AVERAGE(AI108:AL108))/((AVERAGE(AI$10:AL$10))-1)*costos!$J$22+((V108*F108)/(V$10*F$10)-1)*costos!$K$22)))))</f>
        <v>8431.5936654967081</v>
      </c>
      <c r="CQ108" s="92">
        <f>CQ$10*(1+((H108/H$10-1)*costos!$B$23+((I108*F108)/(I$10*F$10)-1)*costos!$E$23+((J108*F108)/((J$10*F$10)-1)*costos!$F$23/3+((K108*F108)/(K$10*F$10)-1)*costos!$F$23/3+((U108*F108)/(U$10*F$10)-1)*costos!$F$23/3+((L108*F108)/(L$10*F$10)-1)*costos!$G$23+((AN108)/(AN$10)-1)*costos!$J$23+((V108*F108)/(V$10*F$10)-1)*costos!$K$23)))</f>
        <v>7167.8711494044492</v>
      </c>
      <c r="CR108" s="92">
        <f>CR$10*(1+((H108/H$10-1)*costos!$B$24+((I108*F108)/(I$10*F$10)-1)*costos!$E$24+((J108*F108)/((J$10*F$10)-1)*costos!$F$24/3+((K108*F108)/(K$10*F$10)-1)*costos!$F$24/3+((U108*F108)/(U$10*F$10)-1)*costos!$F$24/3+((L108*F108)/(L$10*F$10)-1)*costos!$G$24+((AO108)/(AO$10)-1)*costos!$J$24+((V108*F108)/(V$10*F$10)-1)*costos!$K$24)))</f>
        <v>6963.3828116193999</v>
      </c>
      <c r="CS108" s="92">
        <f t="shared" si="352"/>
        <v>7065.6269805119246</v>
      </c>
      <c r="CT108" s="92">
        <f>CT$10*(1+((H108/H$10-1)*costos!$B$25+((I108*F108)/(I$10*F$10)-1)*costos!$E$25+((J108*F108)/((J$10*F$10)-1)*costos!$F$25/3+((K108*F108)/(K$10*F$10)-1)*costos!$F$25/3+((U108*F108)/(U$10*F$10)-1)*costos!$F$25/3+((L108*F108)/(L$10*F$10)-1)*costos!$G$25+((AQ108)/(AQ$10)-1)*costos!$J$25+((V108*F108)/(V$10*F$10)-1)*costos!$K$25)))</f>
        <v>6550.9712846044749</v>
      </c>
      <c r="CU108" s="92">
        <f>CU$10*(1+((H108/H$10-1)*costos!$B$26+((I108*F108)/(I$10*F$10)-1)*costos!$E$26+((J108*F108)/((J$10*F$10)-1)*costos!$F$26/3+((K108*F108)/(K$10*F$10)-1)*costos!$F$26/3+((U108*F108)/(U$10*F$10)-1)*costos!$F$26/3+((L108*F108)/(L$10*F$10)-1)*costos!$G$26+((AR108)/(AR$10)-1)*costos!$J$26+((V108*F108)/(V$10*F$10)-1)*costos!$K$26)))</f>
        <v>7241.8184141058537</v>
      </c>
      <c r="CV108" s="92">
        <f>CV$10*(1+((H108/H$10-1)*costos!$B$27+((I108*F108)/(I$10*F$10)-1)*costos!$E$27+((J108*F108)/((J$10*F$10)-1)*costos!$F$27/3+((K108*F108)/(K$10*F$10)-1)*costos!$F$27/3+((U108*F108)/(U$10*F$10)-1)*costos!$F$27/3+((L108*F108)/(L$10*F$10)-1)*costos!$G$27+((AS108)/(AS$10)-1)*costos!$J$27+((V108*F108)/(V$10*F$10)-1)*costos!$K$27)))</f>
        <v>7440.7753726957153</v>
      </c>
      <c r="CW108" s="92">
        <f>CW$10*(1+((H108/H$10-1)*costos!$B$28+((I108*F108)/(I$10*F$10)-1)*costos!$E$28+((J108*F108)/((J$10*F$10)-1)*costos!$F$28/3+((K108*F108)/(K$10*F$10)-1)*costos!$F$28/3+((U108*F108)/(U$10*F$10)-1)*costos!$F$28/3+((L108*F108)/(L$10*F$10)-1)*costos!$G$28+((AS108)/(AS$10)-1)*costos!$J$28+((V108*F108)/(V$10*F$10)-1)*costos!$K$28)))</f>
        <v>7440.7753726957153</v>
      </c>
      <c r="CX108" s="92">
        <f t="shared" si="400"/>
        <v>7374.4563864990951</v>
      </c>
      <c r="CY108" s="92">
        <f>CY$10*(1+((H108/H$10-1)*costos!$B$32+((I108*F108)/(I$10*F$10)-1)*costos!$E$32+((J108*F108)/((J$10*F$10)-1)*costos!$F$32/3+((K108*F108)/(K$10*F$10)-1)*costos!$F$32/3+((U108*F108)/(U$10*F$10)-1)*costos!$F$32/3+((L108*F108)/(L$10*F$10)-1)*costos!$G$32+((AG108)/(AG$10)-1)*costos!$J$32+((V108*F108)/(V$10*F$10)-1)*costos!$K$32)))</f>
        <v>6713.0533933892011</v>
      </c>
      <c r="CZ108" s="69">
        <f>CZ$10*(1+((H108/H$10-1)*costos!$B$31+((I108*F108)/(I$10*F$10)-1)*costos!$E$30+((J108*F108)/((J$10*F$10)-1)*costos!$F$30/3+((K108*F108)/(K$10*F$10)-1)*costos!$F$30/3+((U108*F108)/(U$10*F$10)-1)*costos!$F$30/3+((L108*F108)/(L$10*F$10)-1)*costos!$G$30+((BG108)/(BG$10)-1)*costos!$J$30+((V108*F108)/(V$10*F$10)-1)*costos!$K$30)))</f>
        <v>8542.6657508348071</v>
      </c>
      <c r="DA108" s="69">
        <f>DA$10*(1+((H108/H$10-1)*costos!$B$31+((I108*F108)/(I$10*F$10)-1)*costos!$E$31+((J108*F108)/((J$10*F$10)-1)*costos!$F$31/3+((K108*F108)/(K$10*F$10)-1)*costos!$F$31/3+((U108*F108)/(U$10*F$10)-1)*costos!$F$31/3+((L108*F108)/(L$10*F$10)-1)*costos!$G$31+((BJ108)/(BJ$10)-1)*costos!$J$31+((V108*F108)/(V$10*F$10)-1)*costos!$K$31)))</f>
        <v>6898.736551541856</v>
      </c>
      <c r="DB108" s="69">
        <f>DB$10*(1+((H108/H$10-1)*costos!$B$36+((I108*F108)/(I$10*F$10)-1)*costos!$E$36+((J108*F108)/((J$10*F$10)-1)*costos!$F$36/3+((K108*F108)/(K$10*F$10)-1)*costos!$F$36/3+((U108*F108)/(U$10*F$10)-1)*costos!$F$36/3+((L108*F108)/(L$10*F$10)-1)*costos!$G$36+((BK108)/(BK$10)-1)*costos!$J$36+((V108*F108)/(V$10*F$10)-1)*costos!$K$36)))</f>
        <v>7562.4790150493081</v>
      </c>
      <c r="DC108" s="69">
        <f>DC$10*(1+((H108/H$10-1)*costos!$B$37+((I108*F108)/(I$10*F$10)-1)*costos!$E$37+((U108*F108)/(U$10*F$10)-1)*costos!$F$37+((L108*F108)/(L$10*F$10)-1)*costos!$G$37+((BN108)/(BN$10)-1)*costos!$J$37+((V108*F108)/(V$10*F$10)-1)*costos!$K$37))</f>
        <v>7158.7855284572697</v>
      </c>
      <c r="DD108" s="69">
        <f>DD$10*(1+((H108/H$10-1)*costos!$B$39+((I108*F108)/(I$10*F$10)-1)*costos!$E$39+((U108*F108)/(U$10*F$10)-1)*costos!$F$39+((L108*F108)/(L$10*F$10)-1)*costos!$G$39+((BR108)/(BR$10)-1)*costos!$J$39+((V108*F108)/(V$10*F$10)-1)*costos!$K$39))</f>
        <v>6900.7290898792253</v>
      </c>
      <c r="DE108" s="69">
        <f>DD$10*(1+((H108/H$10-1)*costos!$B$35+((I108*F108)/(I$10*F$10)-1)*costos!$E$35+((U108*F108)/(U$10*F$10)-1)*costos!$F$35+((L108*F108)/(L$10*F$10)-1)*costos!$G$35+((BR108)/(BR$10)-1)*costos!$J$35+((V108*F108)/(V$10*F$10)-1)*costos!$K$35))</f>
        <v>6026.2690103477862</v>
      </c>
      <c r="DF108" s="69">
        <f>DF$10*(1+((H108/H$10-1)*costos!$B$40+((I108*F108)/(I$10*F$10)-1)*costos!$E$40+((U108*F108)/(U$10*F$10)-1)*costos!$F$40+((L108*F108)/(L$10*F$10)-1)*costos!$G$40+((BP108)/(BP$10)-1)*costos!$J$40+((V108*F108)/(V$10*F$10)-1)*costos!$K$40))</f>
        <v>7122.7665913765022</v>
      </c>
      <c r="DG108" s="92">
        <f t="shared" si="391"/>
        <v>6574.5178008621442</v>
      </c>
      <c r="DH108" s="69">
        <f>DH$10*(1+((H108/H$10-1)*costos!$B$34+((I108*F108)/(I$10*F$10)-1)*costos!$E$34+((J108*F108)/((J$10*F$10)-1)*costos!$F$34/3+((K108*F108)/(K$10*F$10)-1)*costos!$F$34/3+((U108*F108)/(U$10*F$10)-1)*costos!$F$34/3+((L108*F108)/(L$10*F$10)-1)*costos!$G$34+((BV108)/(BV$10)-1)*costos!$J$34+((V108*F108)/(V$10*F$10)-1)*costos!$K$34)))</f>
        <v>7022.0116542024552</v>
      </c>
      <c r="DI108" s="69">
        <f>DI$10*(1+((H108/H$10-1)*costos!$B$38+((I108*F108)/(I$10*F$10)-1)*costos!$E$38+((J108*F108)/((J$10*F$10)-1)*costos!$F$38/3+((K108*F108)/(K$10*F$10)-1)*costos!$F$38/3+((U108*F108)/(U$10*F$10)-1)*costos!$F$38/3+((L108*F108)/(L$10*F$10)-1)*costos!$G$38+((BU108)/(BU$10)-1)*costos!$J$38+((V108*F108)/(V$10*F$10)-1)*costos!$K$38)))</f>
        <v>6480.9284879384368</v>
      </c>
      <c r="DK108" s="1">
        <v>650000</v>
      </c>
      <c r="DL108" s="1" t="s">
        <v>410</v>
      </c>
      <c r="DM108" s="1">
        <v>200000</v>
      </c>
      <c r="DN108" s="1" t="s">
        <v>410</v>
      </c>
      <c r="DO108" s="1">
        <v>1500000</v>
      </c>
      <c r="DP108" s="1" t="s">
        <v>410</v>
      </c>
      <c r="DQ108" s="1">
        <v>2000000</v>
      </c>
      <c r="DR108" s="1" t="s">
        <v>410</v>
      </c>
      <c r="DS108" s="1">
        <v>7200000</v>
      </c>
      <c r="DT108" s="1" t="s">
        <v>410</v>
      </c>
      <c r="DU108" s="1">
        <v>16700000</v>
      </c>
      <c r="DV108" s="1" t="s">
        <v>410</v>
      </c>
      <c r="DW108" s="1">
        <v>770000</v>
      </c>
      <c r="DX108" s="1" t="s">
        <v>410</v>
      </c>
      <c r="DY108" s="1">
        <v>5916000</v>
      </c>
      <c r="DZ108" s="1" t="s">
        <v>410</v>
      </c>
      <c r="EA108" s="79">
        <f t="shared" si="353"/>
        <v>34086000</v>
      </c>
      <c r="EB108" s="1">
        <v>416490</v>
      </c>
      <c r="EC108" s="1" t="s">
        <v>410</v>
      </c>
      <c r="ED108" s="1">
        <v>230256</v>
      </c>
      <c r="EE108" s="143">
        <v>2024</v>
      </c>
      <c r="EF108" s="1">
        <v>199946</v>
      </c>
      <c r="EG108" s="6">
        <v>2024</v>
      </c>
      <c r="EH108" s="1">
        <v>52783892</v>
      </c>
      <c r="EI108" s="6">
        <v>2024</v>
      </c>
      <c r="EJ108" s="1">
        <v>6115215</v>
      </c>
      <c r="EK108" s="6">
        <v>2024</v>
      </c>
      <c r="EL108" s="1">
        <v>12461845</v>
      </c>
      <c r="EM108" s="6">
        <v>2022</v>
      </c>
      <c r="EN108" s="1">
        <v>3169981</v>
      </c>
      <c r="EO108" s="6">
        <v>2021</v>
      </c>
      <c r="EP108" s="83">
        <v>9218</v>
      </c>
      <c r="EQ108" s="83">
        <v>3500000</v>
      </c>
      <c r="ER108" s="1">
        <f t="shared" si="430"/>
        <v>80248</v>
      </c>
      <c r="ES108" s="1"/>
      <c r="ET108" s="83">
        <f t="shared" si="393"/>
        <v>19357</v>
      </c>
      <c r="EU108" s="83">
        <f t="shared" si="393"/>
        <v>18703</v>
      </c>
      <c r="EV108" s="83">
        <f t="shared" si="393"/>
        <v>8927</v>
      </c>
      <c r="EW108" s="83">
        <f t="shared" si="393"/>
        <v>17408</v>
      </c>
      <c r="EX108" s="79">
        <f t="shared" si="354"/>
        <v>64395</v>
      </c>
      <c r="EY108" s="83">
        <f t="shared" si="394"/>
        <v>20031</v>
      </c>
      <c r="EZ108" s="83">
        <f t="shared" si="394"/>
        <v>34815</v>
      </c>
      <c r="FA108" s="83">
        <f t="shared" si="431"/>
        <v>19900</v>
      </c>
      <c r="FB108" s="83">
        <f t="shared" si="406"/>
        <v>18184</v>
      </c>
      <c r="FC108" s="79">
        <f t="shared" si="414"/>
        <v>38084</v>
      </c>
      <c r="FD108" s="83">
        <f t="shared" si="395"/>
        <v>54743</v>
      </c>
      <c r="FE108" s="1"/>
      <c r="FF108" s="1">
        <v>900000</v>
      </c>
      <c r="FG108" s="1" t="s">
        <v>399</v>
      </c>
      <c r="FH108" s="1">
        <v>1200000</v>
      </c>
      <c r="FI108" s="1" t="s">
        <v>399</v>
      </c>
      <c r="FJ108" s="1">
        <v>5100000</v>
      </c>
      <c r="FK108" s="1" t="s">
        <v>410</v>
      </c>
      <c r="FL108" s="1">
        <v>4400000</v>
      </c>
      <c r="FM108" s="1" t="s">
        <v>410</v>
      </c>
      <c r="FN108" s="1">
        <v>54000000</v>
      </c>
      <c r="FO108" s="1" t="s">
        <v>410</v>
      </c>
      <c r="FP108" s="1">
        <v>25000000</v>
      </c>
      <c r="FQ108" s="1" t="s">
        <v>399</v>
      </c>
      <c r="FR108" s="1">
        <v>1600000</v>
      </c>
      <c r="FS108" s="1" t="s">
        <v>399</v>
      </c>
      <c r="FT108" s="1">
        <v>15853000</v>
      </c>
      <c r="FU108" s="1" t="s">
        <v>410</v>
      </c>
      <c r="FV108" s="79">
        <f t="shared" si="355"/>
        <v>105953000</v>
      </c>
      <c r="FW108" s="1">
        <v>940426</v>
      </c>
      <c r="FX108" s="1" t="s">
        <v>399</v>
      </c>
      <c r="FY108" s="1">
        <v>80513</v>
      </c>
      <c r="FZ108" s="79">
        <f t="shared" si="377"/>
        <v>846142.5</v>
      </c>
      <c r="GA108" s="86" t="str">
        <f t="shared" si="378"/>
        <v>abr23 mar24</v>
      </c>
      <c r="GB108" s="1">
        <v>19189740</v>
      </c>
      <c r="GC108" s="6">
        <v>2024</v>
      </c>
      <c r="GD108" s="1">
        <v>1714000</v>
      </c>
      <c r="GE108" s="1">
        <v>424000</v>
      </c>
      <c r="GF108" s="1">
        <v>1165000</v>
      </c>
      <c r="GG108" s="1">
        <v>145000</v>
      </c>
      <c r="GH108" s="79">
        <f t="shared" si="240"/>
        <v>1734000</v>
      </c>
      <c r="GI108" s="82">
        <f t="shared" si="373"/>
        <v>1302556</v>
      </c>
      <c r="GJ108" s="83">
        <f t="shared" si="373"/>
        <v>682423</v>
      </c>
      <c r="GK108" s="83">
        <f t="shared" si="373"/>
        <v>1391495</v>
      </c>
      <c r="GL108" s="83">
        <f t="shared" si="373"/>
        <v>305049</v>
      </c>
      <c r="GM108" s="83">
        <f t="shared" si="373"/>
        <v>260419</v>
      </c>
      <c r="GN108" s="79">
        <f t="shared" si="357"/>
        <v>2639386</v>
      </c>
      <c r="GO108" s="83">
        <f t="shared" si="374"/>
        <v>201734</v>
      </c>
      <c r="GP108" s="83">
        <f t="shared" si="416"/>
        <v>69297</v>
      </c>
      <c r="GQ108" s="83">
        <v>106336.75</v>
      </c>
      <c r="GR108" s="1">
        <v>34035</v>
      </c>
      <c r="GS108" s="79">
        <f t="shared" si="412"/>
        <v>37225.102500000001</v>
      </c>
      <c r="GT108" s="83">
        <f t="shared" si="407"/>
        <v>2111561</v>
      </c>
      <c r="GU108" s="1">
        <f>60929+13357</f>
        <v>74286</v>
      </c>
      <c r="GV108" s="1">
        <f>6603+22381</f>
        <v>28984</v>
      </c>
      <c r="GW108" s="79">
        <f t="shared" si="261"/>
        <v>745610</v>
      </c>
      <c r="GX108" s="1">
        <v>30804.553</v>
      </c>
      <c r="GY108" s="1" t="s">
        <v>436</v>
      </c>
      <c r="GZ108" s="1">
        <v>80786</v>
      </c>
      <c r="HA108" s="1">
        <v>238857</v>
      </c>
      <c r="HB108" s="79">
        <f t="shared" si="241"/>
        <v>3212572</v>
      </c>
      <c r="HC108" s="86" t="str">
        <f t="shared" si="379"/>
        <v>abr23 mar24</v>
      </c>
      <c r="HD108" s="1">
        <v>60897</v>
      </c>
      <c r="HE108" s="79">
        <f t="shared" si="380"/>
        <v>757221</v>
      </c>
      <c r="HF108" s="86" t="str">
        <f t="shared" si="381"/>
        <v>abr23 mar24</v>
      </c>
      <c r="HG108" s="1">
        <v>175000</v>
      </c>
      <c r="HH108" s="79">
        <f t="shared" si="242"/>
        <v>2292000</v>
      </c>
      <c r="HI108" s="86" t="str">
        <f t="shared" si="382"/>
        <v>abr23 mar24</v>
      </c>
      <c r="HJ108" s="1">
        <v>91813</v>
      </c>
      <c r="HK108" s="79">
        <f t="shared" si="278"/>
        <v>68157</v>
      </c>
      <c r="HL108" s="86" t="str">
        <f t="shared" si="383"/>
        <v>abr23 mar24</v>
      </c>
      <c r="HM108" s="79">
        <f t="shared" si="358"/>
        <v>2360157</v>
      </c>
      <c r="HN108" s="87">
        <f t="shared" si="297"/>
        <v>-0.14317786009732358</v>
      </c>
      <c r="HO108" s="1">
        <v>704307799</v>
      </c>
      <c r="HP108" s="79">
        <f t="shared" si="386"/>
        <v>10963.307084</v>
      </c>
      <c r="HQ108" s="86" t="str">
        <f t="shared" si="384"/>
        <v>abr23 mar24</v>
      </c>
      <c r="HR108" s="1"/>
      <c r="HS108" s="1"/>
      <c r="HT108" s="1"/>
      <c r="HU108" s="1">
        <v>700000</v>
      </c>
      <c r="HV108" s="1" t="s">
        <v>399</v>
      </c>
      <c r="HW108" s="1">
        <v>1500000</v>
      </c>
      <c r="HX108" s="1" t="s">
        <v>410</v>
      </c>
      <c r="HY108" s="1">
        <v>4600000</v>
      </c>
      <c r="HZ108" s="1" t="s">
        <v>410</v>
      </c>
      <c r="IA108" s="1">
        <f t="shared" si="413"/>
        <v>21000000</v>
      </c>
      <c r="IB108" s="1" t="s">
        <v>399</v>
      </c>
      <c r="IC108" s="1">
        <v>38500000</v>
      </c>
      <c r="ID108" s="1" t="s">
        <v>399</v>
      </c>
      <c r="IE108" s="1">
        <v>750000</v>
      </c>
      <c r="IF108" s="1" t="s">
        <v>399</v>
      </c>
      <c r="IG108" s="1">
        <f t="shared" si="415"/>
        <v>7400000</v>
      </c>
      <c r="IH108" s="1" t="s">
        <v>410</v>
      </c>
      <c r="II108" s="79">
        <f t="shared" si="359"/>
        <v>73750000</v>
      </c>
      <c r="IJ108" s="97">
        <f>(7700000*12)/$IJ$2</f>
        <v>1.9885213252125911</v>
      </c>
      <c r="IK108" s="1" t="s">
        <v>399</v>
      </c>
      <c r="IL108" s="7">
        <f>+IL107</f>
        <v>46.23</v>
      </c>
      <c r="IM108" s="7">
        <v>49.38</v>
      </c>
      <c r="IN108" s="7">
        <v>170.8</v>
      </c>
      <c r="IO108" s="7">
        <v>16.5</v>
      </c>
      <c r="IP108" s="176">
        <f t="shared" si="432"/>
        <v>5.5693606783423002</v>
      </c>
      <c r="IQ108" s="176">
        <v>16.3</v>
      </c>
      <c r="IR108" s="98">
        <f t="shared" si="397"/>
        <v>6.09</v>
      </c>
      <c r="IS108" s="98">
        <f t="shared" si="397"/>
        <v>4.03</v>
      </c>
      <c r="IT108" s="98">
        <f t="shared" si="397"/>
        <v>11.98</v>
      </c>
      <c r="IU108" s="98">
        <f t="shared" si="397"/>
        <v>1.38</v>
      </c>
      <c r="IV108" s="94">
        <f t="shared" si="360"/>
        <v>17.39</v>
      </c>
      <c r="IW108" s="1"/>
      <c r="IX108" s="1"/>
      <c r="IY108" s="80">
        <v>1.88</v>
      </c>
      <c r="IZ108" s="88">
        <v>0.3</v>
      </c>
      <c r="JA108" s="1">
        <v>2813</v>
      </c>
      <c r="JB108" s="95">
        <f t="shared" si="433"/>
        <v>35.950000000000003</v>
      </c>
      <c r="JC108" s="1"/>
      <c r="JD108" s="1"/>
      <c r="JF108" s="2">
        <v>18.510441480000001</v>
      </c>
      <c r="JG108" s="2">
        <v>34.376458229999997</v>
      </c>
      <c r="JH108" s="2">
        <v>166.7703664</v>
      </c>
      <c r="JI108" s="2">
        <v>200.80891638</v>
      </c>
      <c r="JJ108" s="2">
        <v>860.66885179000008</v>
      </c>
      <c r="JK108" s="2">
        <v>70.784594500000011</v>
      </c>
      <c r="JL108" s="2">
        <v>2109.94812938</v>
      </c>
      <c r="JM108" s="2">
        <v>0.77272859999999999</v>
      </c>
      <c r="JN108" s="2">
        <v>537.97496276999993</v>
      </c>
      <c r="JO108" s="2">
        <v>28.924508010000004</v>
      </c>
      <c r="JP108" s="2">
        <v>0</v>
      </c>
      <c r="JQ108" s="2">
        <v>9.5808307899999985</v>
      </c>
      <c r="JR108" s="2">
        <v>2.0511114500000001</v>
      </c>
      <c r="JS108" s="2">
        <v>0</v>
      </c>
      <c r="JT108" s="2">
        <v>0.72431360999999994</v>
      </c>
      <c r="JU108" s="2">
        <v>83.547570889999989</v>
      </c>
      <c r="JV108" s="2">
        <v>7.7245630600000004</v>
      </c>
      <c r="JW108" s="2">
        <v>52.351719089999996</v>
      </c>
      <c r="JX108" s="2">
        <v>8.3944111100000018</v>
      </c>
      <c r="JY108" s="2">
        <v>0</v>
      </c>
      <c r="JZ108" s="2">
        <v>2.6761317</v>
      </c>
      <c r="KA108" s="2">
        <v>0.19</v>
      </c>
      <c r="KB108" s="2">
        <v>26.653198490000001</v>
      </c>
      <c r="KC108" s="2">
        <v>30.191481329999998</v>
      </c>
      <c r="KD108" s="2">
        <v>12.408222910000001</v>
      </c>
      <c r="KE108" s="2">
        <v>22.082734950000003</v>
      </c>
      <c r="KF108" s="2">
        <v>40.013868680000002</v>
      </c>
      <c r="KG108" s="2">
        <v>350.14414257999977</v>
      </c>
      <c r="KH108" s="2">
        <v>126.46519539000002</v>
      </c>
      <c r="KI108" s="2">
        <v>22.437193859999997</v>
      </c>
      <c r="KJ108" s="2">
        <v>1.55421593</v>
      </c>
      <c r="KK108" s="171">
        <v>4.8118603300000009</v>
      </c>
      <c r="KL108" s="171">
        <v>8.6091799999999996E-2</v>
      </c>
      <c r="KM108" s="171">
        <v>0.28265035999999999</v>
      </c>
      <c r="KN108" s="171">
        <v>4.9590309999999992E-2</v>
      </c>
      <c r="KO108" s="171">
        <v>7.6849773199999989</v>
      </c>
      <c r="KP108" s="171">
        <v>0.12514284000000001</v>
      </c>
      <c r="KQ108" s="171">
        <v>381.70856877999995</v>
      </c>
      <c r="KR108" s="171">
        <v>0</v>
      </c>
      <c r="KS108" s="171">
        <v>0.1315422</v>
      </c>
      <c r="KT108" s="171">
        <v>0.5838748800000001</v>
      </c>
      <c r="KU108" s="171">
        <v>2.8195380000000003E-2</v>
      </c>
      <c r="KV108" s="171">
        <v>5.3200000000000001E-3</v>
      </c>
      <c r="KW108" s="171">
        <v>5.280178E-2</v>
      </c>
      <c r="KX108" s="171">
        <v>0</v>
      </c>
      <c r="KY108" s="171">
        <v>0</v>
      </c>
      <c r="KZ108" s="171">
        <v>0.49471243999999998</v>
      </c>
      <c r="LA108" s="171">
        <v>5.6721800000000003E-2</v>
      </c>
      <c r="LB108" s="171">
        <v>2.1092400000000001E-2</v>
      </c>
      <c r="LC108" s="171">
        <v>5.780979E-2</v>
      </c>
      <c r="LD108" s="171">
        <v>0</v>
      </c>
      <c r="LE108" s="171">
        <v>0.87382958999999993</v>
      </c>
      <c r="LF108" s="171">
        <v>0.19332849000000002</v>
      </c>
      <c r="LG108" s="171">
        <v>14.580088280000002</v>
      </c>
      <c r="LH108" s="171">
        <v>4.8853449399999995</v>
      </c>
      <c r="LI108" s="171">
        <v>3.1775986299999999</v>
      </c>
      <c r="LJ108" s="171">
        <v>5.2539300000000004E-2</v>
      </c>
      <c r="LK108" s="171">
        <v>1.27466579</v>
      </c>
      <c r="LL108" s="171">
        <v>2.2940615100000001</v>
      </c>
      <c r="LM108" s="171">
        <v>1.92660527</v>
      </c>
      <c r="LN108" s="171">
        <v>4.8750000000000002E-2</v>
      </c>
      <c r="LO108" s="171">
        <v>2.2524288500000003</v>
      </c>
      <c r="LQ108" s="85">
        <f t="shared" si="247"/>
        <v>3876.9439553199995</v>
      </c>
      <c r="LR108" s="85">
        <f t="shared" si="248"/>
        <v>12.356255849999998</v>
      </c>
      <c r="LS108" s="85">
        <f t="shared" si="249"/>
        <v>60.076282149999997</v>
      </c>
      <c r="LT108" s="85">
        <f t="shared" si="250"/>
        <v>2.8661316999999999</v>
      </c>
      <c r="LU108" s="85">
        <f t="shared" si="251"/>
        <v>389.85732896999997</v>
      </c>
      <c r="LV108" s="85">
        <f t="shared" si="252"/>
        <v>5.8121779999999998E-2</v>
      </c>
      <c r="LW108" s="85">
        <f t="shared" si="253"/>
        <v>7.78142E-2</v>
      </c>
      <c r="LX108" s="85">
        <f t="shared" si="254"/>
        <v>1.06715808</v>
      </c>
      <c r="LZ108" s="83">
        <v>1223.48</v>
      </c>
      <c r="MA108" s="83">
        <v>2445.35</v>
      </c>
      <c r="MB108"/>
      <c r="MC108"/>
      <c r="MD108"/>
      <c r="MF108"/>
      <c r="MG108"/>
      <c r="MH108" s="83">
        <v>2214.0700000000002</v>
      </c>
      <c r="MI108" s="83">
        <v>818.97</v>
      </c>
      <c r="MJ108" s="83">
        <v>748.7</v>
      </c>
      <c r="MK108"/>
      <c r="ML108" s="83">
        <v>950.73</v>
      </c>
      <c r="MM108" s="83">
        <v>1257.3</v>
      </c>
      <c r="MN108" s="83"/>
      <c r="MO108" s="83">
        <v>533.12</v>
      </c>
      <c r="MP108" s="83">
        <v>1771.02</v>
      </c>
      <c r="MQ108" s="83">
        <v>1913.59</v>
      </c>
      <c r="MR108"/>
      <c r="MT108" s="83"/>
      <c r="MU108" s="83">
        <v>1494.21</v>
      </c>
      <c r="MV108"/>
      <c r="MW108"/>
      <c r="MX108"/>
      <c r="MY108" s="83">
        <v>1980.3</v>
      </c>
      <c r="MZ108" s="83">
        <v>3743</v>
      </c>
      <c r="NA108" s="83">
        <v>2234</v>
      </c>
      <c r="NB108" s="83">
        <v>6572</v>
      </c>
      <c r="NC108" s="83">
        <v>1210.72</v>
      </c>
      <c r="ND108" s="1">
        <v>7350</v>
      </c>
      <c r="NE108" s="1">
        <v>4469</v>
      </c>
    </row>
    <row r="109" spans="1:369" ht="14.4" thickBot="1">
      <c r="A109" s="38">
        <f t="shared" si="417"/>
        <v>45383</v>
      </c>
      <c r="B109" s="36">
        <f t="shared" si="428"/>
        <v>4</v>
      </c>
      <c r="C109" s="36">
        <f t="shared" si="429"/>
        <v>2024</v>
      </c>
      <c r="D109" s="36">
        <f t="shared" si="347"/>
        <v>109</v>
      </c>
      <c r="E109" s="38">
        <f t="shared" si="418"/>
        <v>45383</v>
      </c>
      <c r="F109" s="7">
        <v>867.93</v>
      </c>
      <c r="G109" s="7">
        <v>5830.2271000000001</v>
      </c>
      <c r="H109" s="1">
        <f>[2]NACIONALES!$D97</f>
        <v>514487.7994649653</v>
      </c>
      <c r="I109" s="7">
        <v>107</v>
      </c>
      <c r="J109" s="7">
        <v>650</v>
      </c>
      <c r="K109" s="7">
        <v>5.4</v>
      </c>
      <c r="L109" s="7">
        <f>31657/905.3</f>
        <v>34.968518723075228</v>
      </c>
      <c r="N109" s="7">
        <f>(1.55+1.54+1.51+1.5)/4</f>
        <v>1.5249999999999999</v>
      </c>
      <c r="O109" s="7">
        <f>(1.14+1.13+1.11+1.09)/4</f>
        <v>1.1174999999999999</v>
      </c>
      <c r="P109" s="78">
        <f t="shared" si="398"/>
        <v>1089.4148868749999</v>
      </c>
      <c r="Q109" s="6">
        <v>30657.871738148988</v>
      </c>
      <c r="R109" s="79">
        <f t="shared" si="419"/>
        <v>306578.71738148987</v>
      </c>
      <c r="S109" s="6">
        <f>142666/F109</f>
        <v>164.37500720104157</v>
      </c>
      <c r="T109" s="6">
        <f>260000/F109</f>
        <v>299.56332883988341</v>
      </c>
      <c r="U109" s="188">
        <v>176.93333333333334</v>
      </c>
      <c r="V109" s="6">
        <v>291.23333333333335</v>
      </c>
      <c r="W109" s="6">
        <f>142000/F109</f>
        <v>163.60766421255173</v>
      </c>
      <c r="X109" s="6">
        <v>219</v>
      </c>
      <c r="Y109" s="79">
        <f t="shared" si="420"/>
        <v>142666</v>
      </c>
      <c r="Z109" s="79">
        <f t="shared" si="421"/>
        <v>260000</v>
      </c>
      <c r="AA109" s="79">
        <f t="shared" si="422"/>
        <v>153565.74799999999</v>
      </c>
      <c r="AB109" s="79">
        <f t="shared" si="423"/>
        <v>252770.147</v>
      </c>
      <c r="AC109" s="79">
        <f t="shared" si="424"/>
        <v>142000</v>
      </c>
      <c r="AD109" s="79">
        <f t="shared" si="425"/>
        <v>190076.66999999998</v>
      </c>
      <c r="AE109" s="79">
        <f t="shared" si="426"/>
        <v>190179.76083333333</v>
      </c>
      <c r="AF109" s="1">
        <v>781633.4</v>
      </c>
      <c r="AG109" s="83">
        <v>375000</v>
      </c>
      <c r="AH109" s="1">
        <f>+AG109/AG108*AH108</f>
        <v>962837.83783783787</v>
      </c>
      <c r="AI109" s="5">
        <v>410.59</v>
      </c>
      <c r="AJ109" s="5">
        <v>393.51</v>
      </c>
      <c r="AK109" s="5">
        <v>214.61</v>
      </c>
      <c r="AL109" s="5">
        <v>261.99</v>
      </c>
      <c r="AM109" s="78">
        <f t="shared" si="427"/>
        <v>323.28800000000001</v>
      </c>
      <c r="AN109" s="7">
        <v>24551.829268292684</v>
      </c>
      <c r="AO109" s="7">
        <v>13048.095238095239</v>
      </c>
      <c r="AP109" s="78">
        <f t="shared" si="385"/>
        <v>13048.095238095239</v>
      </c>
      <c r="AQ109" s="7">
        <v>5441.489361702128</v>
      </c>
      <c r="AR109" s="7">
        <v>7289.2857142857147</v>
      </c>
      <c r="AS109" s="7">
        <v>13318.181818181818</v>
      </c>
      <c r="AT109" s="7">
        <v>12920.523809523809</v>
      </c>
      <c r="AU109" s="78">
        <f t="shared" si="348"/>
        <v>11175.997113997115</v>
      </c>
      <c r="AV109" s="7">
        <v>6228.90625</v>
      </c>
      <c r="AW109" s="7">
        <v>10155.555555555555</v>
      </c>
      <c r="AX109" s="7">
        <v>11613.666666666666</v>
      </c>
      <c r="AY109" s="7">
        <v>16376.683937823835</v>
      </c>
      <c r="AZ109" s="7">
        <v>7142.8571428571431</v>
      </c>
      <c r="BA109" s="7">
        <v>3407.1428571428573</v>
      </c>
      <c r="BB109" s="94">
        <f t="shared" si="345"/>
        <v>10288.408236697096</v>
      </c>
      <c r="BC109" s="68">
        <v>36657</v>
      </c>
      <c r="BD109" s="68">
        <v>29226</v>
      </c>
      <c r="BE109" s="7">
        <v>25000</v>
      </c>
      <c r="BF109" s="7">
        <v>20500</v>
      </c>
      <c r="BG109" s="94">
        <f t="shared" si="349"/>
        <v>27845.75</v>
      </c>
      <c r="BH109" s="7">
        <v>2820</v>
      </c>
      <c r="BI109" s="7">
        <v>0</v>
      </c>
      <c r="BJ109" s="78">
        <f t="shared" si="350"/>
        <v>2820</v>
      </c>
      <c r="BK109" s="7">
        <v>1955.3679999999999</v>
      </c>
      <c r="BL109" s="7">
        <v>2086.38</v>
      </c>
      <c r="BM109" s="94">
        <f t="shared" si="351"/>
        <v>2020.874</v>
      </c>
      <c r="BN109" s="5">
        <v>354.87</v>
      </c>
      <c r="BO109" s="84">
        <v>1789.61</v>
      </c>
      <c r="BP109" s="84">
        <v>1191.25</v>
      </c>
      <c r="BQ109" s="94">
        <f>+BO109*0.9+BP109*0.1</f>
        <v>1729.7739999999999</v>
      </c>
      <c r="BR109" s="7">
        <v>962.43</v>
      </c>
      <c r="BS109" s="7">
        <v>3500</v>
      </c>
      <c r="BT109" s="7">
        <f>1*F109</f>
        <v>867.93</v>
      </c>
      <c r="BU109" s="79">
        <f>+BS109*12+BT109*3</f>
        <v>44603.79</v>
      </c>
      <c r="BV109" s="7">
        <v>1472</v>
      </c>
      <c r="BW109" s="7">
        <v>2200</v>
      </c>
      <c r="BY109" s="92">
        <f>BY$10*(1+((H109/H$10-1)*costos!$B$5+((I109*F109)/(I$10*F$10)-1)*costos!$E$5+((J109*F109)/((J$10*F$10)-1)*costos!$F$5/3+((K109*F109)/(K$10*F$10)-1)*costos!$F$5/3+((U109*F109)/(U$10*F$10)-1)*costos!$F$5/3+((L109*F109)/(L$10*F$10)-1)*costos!$G$5+((N109*F109)/(N$10*F$10)-1)*costos!$J$5+((V109*F109)/(V$10*F$10)-1)*costos!$K$5)))</f>
        <v>7819.2385153983378</v>
      </c>
      <c r="BZ109" s="92">
        <f>$BZ$10*(1+((H109/$H$10-1)*costos!$B$6+((I109*F109)/($I$10*$F$10)-1)*costos!$E$6+((J109*F109)/(($J$10*$F$10)-1)*costos!$F$6/3+((K109*F109)/($K$10*$F$10)-1)*costos!$F$6/3+((U109*F109)/($U$10*$F$10)-1)*costos!$F$6/3+((L109*F109)/($L$10*$F$10)-1)*costos!$G$6+((Q109*F109)/($Q$10*$F$10)-1)*costos!$J$6+((V109*F109)/($V$10*$F$10)-1)*costos!$K$6)))</f>
        <v>7521.7462419784424</v>
      </c>
      <c r="CA109" s="92">
        <f>CA$10*(1+((H109/H$10-1)*costos!$B$7+((I109*F109)/(I$10*F$10)-1)*costos!$E$7+((J109*F109)/((J$10*F$10)-1)*costos!$F$7/3+((K109*F109)/(K$10*F$10)-1)*costos!$F$7/3+((U109*F109)/(U$10*F$10)-1)*costos!$F$7/3+((L109*F109)/(L$10*F$10)-1)*costos!$G$7+((S109*F109)/(S$10*F$10)-1)*costos!$J$7+((V109*F109)/(V$10*F$10)-1)*costos!$K$7)))</f>
        <v>7688.6832781323374</v>
      </c>
      <c r="CB109" s="92">
        <f>CB$10*(1+((H109/H$10-1)*costos!$B$8+((I109*F109)/(I$10*F$10)-1)*costos!$E$8+((J109*F109)/((J$10*F$10)-1)*costos!$F$8/3+((K109*F109)/(K$10*F$10)-1)*costos!$F$8/3+((U109*F109)/(U$10*F$10)-1)*costos!$F$8/3+((L109*F109)/(L$10*F$10)-1)*costos!$G$8+((T109*F109)/(T$10*F$10)-1)*costos!$J$8+((V109*F109)/(V$10*F$10)-1)*costos!$K$8)))</f>
        <v>7529.070477505883</v>
      </c>
      <c r="CC109" s="92">
        <f>CC$10*(1+((H109/H$10-1)*costos!$B$9+((I109*F109)/(I$10*F$10)-1)*costos!$E$9+((J109*F109)/((J$10*F$10)-1)*costos!$F$9/3+((K109*F109)/(K$10*F$10)-1)*costos!$F$9/3+((U109*F109)/(U$10*F$10)-1)*costos!$F$9/3+((L109*F109)/(L$10*F$10)-1)*costos!$G$9+((U109*F109)/(U$10*F$10)-1)*costos!$J$9+((V109*F109)/(V$10*F$10)-1)*costos!$K$9)))</f>
        <v>7716.3007683026881</v>
      </c>
      <c r="CD109" s="92">
        <f>CD$10*(1+((H109/H$10-1)*costos!$B$11+((I109*F109)/(I$10*F$10)-1)*costos!$E$11+((J109*F109)/((J$10*F$10)-1)*costos!$F$11/3+((K109*F109)/(K$10*F$10)-1)*costos!$F$11/3+((U109*F109)/(U$10*F$10)-1)*costos!$F$11/3+((L109*F109)/(L$10*F$10)-1)*costos!$G$11+((V109*F109)/(V$10*F$10)-1)*costos!$J$11+((V109*F109)/(V$10*F$10)-1)*costos!$K$11)))</f>
        <v>7855.3440239626598</v>
      </c>
      <c r="CE109" s="92">
        <f>CE$10*(1+((H109/H$10-1)*costos!$B$12+((I109*F109)/(I$10*F$10)-1)*costos!$E$12+((J109*F109)/((J$10*F$10)-1)*costos!$F$12/3+((K109*F109)/(K$10*F$10)-1)*costos!$F$12/3+((U109*F109)/(U$10*F$10)-1)*costos!$F$12/3+((L109*F109)/(L$10*F$10)-1)*costos!$G$12+((W109*F109)/(W$10*F$10)-1)*costos!$J$12+((V109*F109)/(V$10*F$10)-1)*costos!$K$12)))</f>
        <v>7501.2248371207834</v>
      </c>
      <c r="CF109" s="92">
        <f>CF$10*(1+((H109/H$10-1)*costos!$B$13+((I109*F109)/(I$10*F$10)-1)*costos!$E$13+((J109*F109)/((J$10*F$10)-1)*costos!$F$13/3+((K109*F109)/(K$10*F$10)-1)*costos!$F$13/3+((U109*F109)/(U$10*F$10)-1)*costos!$F$13/3+((L109*F109)/(L$10*F$10)-1)*costos!$G$13+((X109*F109)/(X$10*F$10)-1)*costos!$J$13+((V109*F109)/(V$10*F$10)-1)*costos!$K$13)))</f>
        <v>8205.7458271200976</v>
      </c>
      <c r="CG109" s="92">
        <f t="shared" si="388"/>
        <v>7749.3948686907415</v>
      </c>
      <c r="CH109" s="92">
        <f>CH$10*(1+((H109/H$10-1)*costos!$B$10+((I109*F109)/(I$10*F$10)-1)*costos!$E$10+((J109*F109)/((J$10*F$10)-1)*costos!$F$10/3+((K109*F109)/(K$10*F$10)-1)*costos!$F$10/3+((U109*F109)/(U$10*F$10)-1)*costos!$F$10/3+((L109*F109)/(L$10*F$10)-1)*costos!$G$10+((AF109)/(AF$10)-1)*costos!$J$10+((V109*F109)/(V$10*F$10)-1)*costos!$K$10)))</f>
        <v>9365.7945385033108</v>
      </c>
      <c r="CI109" s="92">
        <f>CI$10*(1+((H109/H$10-1)*costos!$B$15+((I109*F109)/(I$10*F$10)-1)*costos!$E$15+((J109*F109)/((J$10*F$10)-1)*costos!$F$15/3+((K109*F109)/(K$10*F$10)-1)*costos!$F$15/3+((U109*F109)/(U$10*F$10)-1)*costos!$F$15/3+((L109*F109)/(L$10*F$10)-1)*costos!$G$15+((AV109)/(AV$10)-1)*costos!$J$15+((V109*F109)/(V$10*F$10)-1)*costos!$K$15)))</f>
        <v>8087.3963785291735</v>
      </c>
      <c r="CJ109" s="92">
        <f>CJ$10*(1+((H109/H$10-1)*costos!$B$16+((I109*F109)/(I$10*F$10)-1)*costos!$E$16+((J109*F109)/((J$10*F$10)-1)*costos!$F$16/3+((K109*F109)/(K$10*F$10)-1)*costos!$F$16/3+((U109*F109)/(U$10*F$10)-1)*costos!$F$16/3+((L109*F109)/(L$10*F$10)-1)*costos!$G$16+((AW109)/(AW$10)-1)*costos!$J$16+((V109*F109)/(V$10*F$10)-1)*costos!$K$16)))</f>
        <v>6796.6316185001688</v>
      </c>
      <c r="CK109" s="92">
        <f>CK$10*(1+((H109/H$10-1)*costos!$B$17+((I109*F109)/(I$10*F$10)-1)*costos!$E$17+((J109*F109)/((J$10*F$10)-1)*costos!$F$17/3+((K109*F109)/(K$10*F$10)-1)*costos!$F$17/3+((U109*F109)/(U$10*F$10)-1)*costos!$F$17/3+((L109*F109)/(L$10*F$10)-1)*costos!$G$17+((AX109)/(AX$10)-1)*costos!$J$17+((V109*F109)/(V$10*F$10)-1)*costos!$K$17)))</f>
        <v>9036.9870402010129</v>
      </c>
      <c r="CL109" s="92">
        <f>CL$10*(1+((H109/H$10-1)*costos!$B$18+((I109*F109)/(I$10*F$10)-1)*costos!$E$18+((J109*F109)/((J$10*F$10)-1)*costos!$F$18/3+((K109*F109)/(K$10*F$10)-1)*costos!$F$18/3+((U109*F109)/(U$10*F$10)-1)*costos!$F$18/3+((L109*F109)/(L$10*F$10)-1)*costos!$G$18+((AY109)/(AY$10)-1)*costos!$J$18+((V109*F109)/(V$10*F$10)-1)*costos!$K$18)))</f>
        <v>9789.0310302955713</v>
      </c>
      <c r="CM109" s="92">
        <f>CM$10*(1+((H109/H$10-1)*costos!$B$19+((I109*F109)/(I$10*F$10)-1)*costos!$E$19+((J109*F109)/((J$10*F$10)-1)*costos!$F$19/3+((K109*F109)/(K$10*F$10)-1)*costos!$F$19/3+((U109*F109)/(U$10*F$10)-1)*costos!$F$19/3+((L109*F109)/(L$10*F$10)-1)*costos!$G$19+((AZ109)/(AZ$10)-1)*costos!$J$19+((V109*F109)/(V$10*F$10)-1)*costos!$K$19)))</f>
        <v>7001.889301999593</v>
      </c>
      <c r="CN109" s="92">
        <f>CN$10*(1+((H109/H$10-1)*costos!$B$20+((I109*F109)/(I$10*F$10)-1)*costos!$E$20+((J109*F109)/((J$10*F$10)-1)*costos!$F$20/3+((K109*F109)/(K$10*F$10)-1)*costos!$F$20/3+((U109*F109)/(U$10*F$10)-1)*costos!$F$20/3+((L109*F109)/(L$10*F$10)-1)*costos!$G$20+((BA109)/(BA$10)-1)*costos!$J$20+((V109*F109)/(V$10*F$10)-1)*costos!$K$20)))</f>
        <v>6662.7550089227643</v>
      </c>
      <c r="CO109" s="92">
        <f t="shared" si="399"/>
        <v>8122.6655953547343</v>
      </c>
      <c r="CP109" s="92">
        <f>CP$10*(1+((H109/H$10-1)*costos!$B$22+((I109*F109)/(I$10*F$10)-1)*costos!$E$22+((J109*F109)/((J$10*F$10)-1)*costos!$F$22/3+((K109*F109)/(K$10*F$10)-1)*costos!$F$22/3+((U109*F109)/(U$10*F$10)-1)*costos!$F$22/3+((L109*F109)/(L$10*F$10)-1)*costos!$G$22+(((AVERAGE(AI109:AL109))/((AVERAGE(AI$10:AL$10))-1)*costos!$J$22+((V109*F109)/(V$10*F$10)-1)*costos!$K$22)))))</f>
        <v>8653.5605756308923</v>
      </c>
      <c r="CQ109" s="92">
        <f>CQ$10*(1+((H109/H$10-1)*costos!$B$23+((I109*F109)/(I$10*F$10)-1)*costos!$E$23+((J109*F109)/((J$10*F$10)-1)*costos!$F$23/3+((K109*F109)/(K$10*F$10)-1)*costos!$F$23/3+((U109*F109)/(U$10*F$10)-1)*costos!$F$23/3+((L109*F109)/(L$10*F$10)-1)*costos!$G$23+((AN109)/(AN$10)-1)*costos!$J$23+((V109*F109)/(V$10*F$10)-1)*costos!$K$23)))</f>
        <v>7377.4536670900743</v>
      </c>
      <c r="CR109" s="92">
        <f>CR$10*(1+((H109/H$10-1)*costos!$B$24+((I109*F109)/(I$10*F$10)-1)*costos!$E$24+((J109*F109)/((J$10*F$10)-1)*costos!$F$24/3+((K109*F109)/(K$10*F$10)-1)*costos!$F$24/3+((U109*F109)/(U$10*F$10)-1)*costos!$F$24/3+((L109*F109)/(L$10*F$10)-1)*costos!$G$24+((AO109)/(AO$10)-1)*costos!$J$24+((V109*F109)/(V$10*F$10)-1)*costos!$K$24)))</f>
        <v>7235.930900802251</v>
      </c>
      <c r="CS109" s="92">
        <f t="shared" si="352"/>
        <v>7306.6922839461622</v>
      </c>
      <c r="CT109" s="92">
        <f>CT$10*(1+((H109/H$10-1)*costos!$B$25+((I109*F109)/(I$10*F$10)-1)*costos!$E$25+((J109*F109)/((J$10*F$10)-1)*costos!$F$25/3+((K109*F109)/(K$10*F$10)-1)*costos!$F$25/3+((U109*F109)/(U$10*F$10)-1)*costos!$F$25/3+((L109*F109)/(L$10*F$10)-1)*costos!$G$25+((AQ109)/(AQ$10)-1)*costos!$J$25+((V109*F109)/(V$10*F$10)-1)*costos!$K$25)))</f>
        <v>6671.9064894464482</v>
      </c>
      <c r="CU109" s="92">
        <f>CU$10*(1+((H109/H$10-1)*costos!$B$26+((I109*F109)/(I$10*F$10)-1)*costos!$E$26+((J109*F109)/((J$10*F$10)-1)*costos!$F$26/3+((K109*F109)/(K$10*F$10)-1)*costos!$F$26/3+((U109*F109)/(U$10*F$10)-1)*costos!$F$26/3+((L109*F109)/(L$10*F$10)-1)*costos!$G$26+((AR109)/(AR$10)-1)*costos!$J$26+((V109*F109)/(V$10*F$10)-1)*costos!$K$26)))</f>
        <v>7139.5987492870645</v>
      </c>
      <c r="CV109" s="92">
        <f>CV$10*(1+((H109/H$10-1)*costos!$B$27+((I109*F109)/(I$10*F$10)-1)*costos!$E$27+((J109*F109)/((J$10*F$10)-1)*costos!$F$27/3+((K109*F109)/(K$10*F$10)-1)*costos!$F$27/3+((U109*F109)/(U$10*F$10)-1)*costos!$F$27/3+((L109*F109)/(L$10*F$10)-1)*costos!$G$27+((AS109)/(AS$10)-1)*costos!$J$27+((V109*F109)/(V$10*F$10)-1)*costos!$K$27)))</f>
        <v>7534.6021864667673</v>
      </c>
      <c r="CW109" s="92">
        <f>CW$10*(1+((H109/H$10-1)*costos!$B$28+((I109*F109)/(I$10*F$10)-1)*costos!$E$28+((J109*F109)/((J$10*F$10)-1)*costos!$F$28/3+((K109*F109)/(K$10*F$10)-1)*costos!$F$28/3+((U109*F109)/(U$10*F$10)-1)*costos!$F$28/3+((L109*F109)/(L$10*F$10)-1)*costos!$G$28+((AS109)/(AS$10)-1)*costos!$J$28+((V109*F109)/(V$10*F$10)-1)*costos!$K$28)))</f>
        <v>7534.6021864667673</v>
      </c>
      <c r="CX109" s="92">
        <f t="shared" si="400"/>
        <v>7402.9343740735321</v>
      </c>
      <c r="CY109" s="92">
        <f>CY$10*(1+((H109/H$10-1)*costos!$B$32+((I109*F109)/(I$10*F$10)-1)*costos!$E$32+((J109*F109)/((J$10*F$10)-1)*costos!$F$32/3+((K109*F109)/(K$10*F$10)-1)*costos!$F$32/3+((U109*F109)/(U$10*F$10)-1)*costos!$F$32/3+((L109*F109)/(L$10*F$10)-1)*costos!$G$32+((AG109)/(AG$10)-1)*costos!$J$32+((V109*F109)/(V$10*F$10)-1)*costos!$K$32)))</f>
        <v>7128.9573373528756</v>
      </c>
      <c r="CZ109" s="69">
        <f>CZ$10*(1+((H109/H$10-1)*costos!$B$31+((I109*F109)/(I$10*F$10)-1)*costos!$E$30+((J109*F109)/((J$10*F$10)-1)*costos!$F$30/3+((K109*F109)/(K$10*F$10)-1)*costos!$F$30/3+((U109*F109)/(U$10*F$10)-1)*costos!$F$30/3+((L109*F109)/(L$10*F$10)-1)*costos!$G$30+((BG109)/(BG$10)-1)*costos!$J$30+((V109*F109)/(V$10*F$10)-1)*costos!$K$30)))</f>
        <v>8887.7720093943553</v>
      </c>
      <c r="DA109" s="69">
        <f>DA$10*(1+((H109/H$10-1)*costos!$B$31+((I109*F109)/(I$10*F$10)-1)*costos!$E$31+((J109*F109)/((J$10*F$10)-1)*costos!$F$31/3+((K109*F109)/(K$10*F$10)-1)*costos!$F$31/3+((U109*F109)/(U$10*F$10)-1)*costos!$F$31/3+((L109*F109)/(L$10*F$10)-1)*costos!$G$31+((BJ109)/(BJ$10)-1)*costos!$J$31+((V109*F109)/(V$10*F$10)-1)*costos!$K$31)))</f>
        <v>7143.1688348853213</v>
      </c>
      <c r="DB109" s="69">
        <f>DB$10*(1+((H109/H$10-1)*costos!$B$36+((I109*F109)/(I$10*F$10)-1)*costos!$E$36+((J109*F109)/((J$10*F$10)-1)*costos!$F$36/3+((K109*F109)/(K$10*F$10)-1)*costos!$F$36/3+((U109*F109)/(U$10*F$10)-1)*costos!$F$36/3+((L109*F109)/(L$10*F$10)-1)*costos!$G$36+((BK109)/(BK$10)-1)*costos!$J$36+((V109*F109)/(V$10*F$10)-1)*costos!$K$36)))</f>
        <v>7643.0374229424333</v>
      </c>
      <c r="DC109" s="69">
        <f>DC$10*(1+((H109/H$10-1)*costos!$B$37+((I109*F109)/(I$10*F$10)-1)*costos!$E$37+((U109*F109)/(U$10*F$10)-1)*costos!$F$37+((L109*F109)/(L$10*F$10)-1)*costos!$G$37+((BN109)/(BN$10)-1)*costos!$J$37+((V109*F109)/(V$10*F$10)-1)*costos!$K$37))</f>
        <v>7631.2848962129447</v>
      </c>
      <c r="DD109" s="69">
        <f>DD$10*(1+((H109/H$10-1)*costos!$B$39+((I109*F109)/(I$10*F$10)-1)*costos!$E$39+((U109*F109)/(U$10*F$10)-1)*costos!$F$39+((L109*F109)/(L$10*F$10)-1)*costos!$G$39+((BR109)/(BR$10)-1)*costos!$J$39+((V109*F109)/(V$10*F$10)-1)*costos!$K$39))</f>
        <v>7321.0068680998729</v>
      </c>
      <c r="DE109" s="69">
        <f>DD$10*(1+((H109/H$10-1)*costos!$B$35+((I109*F109)/(I$10*F$10)-1)*costos!$E$35+((U109*F109)/(U$10*F$10)-1)*costos!$F$35+((L109*F109)/(L$10*F$10)-1)*costos!$G$35+((BR109)/(BR$10)-1)*costos!$J$35+((V109*F109)/(V$10*F$10)-1)*costos!$K$35))</f>
        <v>6456.3201107243085</v>
      </c>
      <c r="DF109" s="69">
        <f>DF$10*(1+((H109/H$10-1)*costos!$B$40+((I109*F109)/(I$10*F$10)-1)*costos!$E$40+((U109*F109)/(U$10*F$10)-1)*costos!$F$40+((L109*F109)/(L$10*F$10)-1)*costos!$G$40+((BP109)/(BP$10)-1)*costos!$J$40+((V109*F109)/(V$10*F$10)-1)*costos!$K$40))</f>
        <v>7617.8158674920096</v>
      </c>
      <c r="DG109" s="92">
        <f t="shared" si="391"/>
        <v>7037.0679891081591</v>
      </c>
      <c r="DH109" s="69">
        <f>DH$10*(1+((H109/H$10-1)*costos!$B$34+((I109*F109)/(I$10*F$10)-1)*costos!$E$34+((J109*F109)/((J$10*F$10)-1)*costos!$F$34/3+((K109*F109)/(K$10*F$10)-1)*costos!$F$34/3+((U109*F109)/(U$10*F$10)-1)*costos!$F$34/3+((L109*F109)/(L$10*F$10)-1)*costos!$G$34+((BV109)/(BV$10)-1)*costos!$J$34+((V109*F109)/(V$10*F$10)-1)*costos!$K$34)))</f>
        <v>7260.1523014831128</v>
      </c>
      <c r="DI109" s="69">
        <f>DI$10*(1+((H109/H$10-1)*costos!$B$38+((I109*F109)/(I$10*F$10)-1)*costos!$E$38+((J109*F109)/((J$10*F$10)-1)*costos!$F$38/3+((K109*F109)/(K$10*F$10)-1)*costos!$F$38/3+((U109*F109)/(U$10*F$10)-1)*costos!$F$38/3+((L109*F109)/(L$10*F$10)-1)*costos!$G$38+((BU109)/(BU$10)-1)*costos!$J$38+((V109*F109)/(V$10*F$10)-1)*costos!$K$38)))</f>
        <v>6835.5294285396749</v>
      </c>
      <c r="DK109" s="1">
        <v>650000</v>
      </c>
      <c r="DL109" s="1" t="s">
        <v>410</v>
      </c>
      <c r="DM109" s="1">
        <v>200000</v>
      </c>
      <c r="DN109" s="1" t="s">
        <v>410</v>
      </c>
      <c r="DO109" s="1">
        <v>1500000</v>
      </c>
      <c r="DP109" s="1" t="s">
        <v>410</v>
      </c>
      <c r="DQ109" s="1">
        <v>2000000</v>
      </c>
      <c r="DR109" s="1" t="s">
        <v>410</v>
      </c>
      <c r="DS109" s="1">
        <v>7167000</v>
      </c>
      <c r="DT109" s="1" t="s">
        <v>410</v>
      </c>
      <c r="DU109" s="1">
        <v>16550000</v>
      </c>
      <c r="DV109" s="1" t="s">
        <v>410</v>
      </c>
      <c r="DW109" s="1">
        <v>770000</v>
      </c>
      <c r="DX109" s="1" t="s">
        <v>410</v>
      </c>
      <c r="DY109" s="1">
        <v>5916000</v>
      </c>
      <c r="DZ109" s="1" t="s">
        <v>410</v>
      </c>
      <c r="EA109" s="79">
        <f t="shared" si="353"/>
        <v>33903000</v>
      </c>
      <c r="EB109" s="1">
        <v>416490</v>
      </c>
      <c r="EC109" s="1" t="s">
        <v>410</v>
      </c>
      <c r="ED109" s="1">
        <v>230256</v>
      </c>
      <c r="EE109" s="143">
        <v>2024</v>
      </c>
      <c r="EF109" s="1">
        <v>199946</v>
      </c>
      <c r="EG109" s="6">
        <v>2024</v>
      </c>
      <c r="EH109" s="1">
        <v>52783892</v>
      </c>
      <c r="EI109" s="6">
        <v>2024</v>
      </c>
      <c r="EJ109" s="1">
        <v>6115215</v>
      </c>
      <c r="EK109" s="6">
        <v>2024</v>
      </c>
      <c r="EL109" s="1">
        <v>12609460</v>
      </c>
      <c r="EM109" s="6">
        <v>2023</v>
      </c>
      <c r="EN109" s="1">
        <v>3169981</v>
      </c>
      <c r="EO109" s="6">
        <v>2021</v>
      </c>
      <c r="EP109" s="83">
        <v>9215</v>
      </c>
      <c r="EQ109" s="83">
        <v>3500000</v>
      </c>
      <c r="ER109" s="1">
        <f t="shared" si="430"/>
        <v>80248</v>
      </c>
      <c r="ES109" s="1"/>
      <c r="ET109" s="83">
        <f t="shared" si="393"/>
        <v>19357</v>
      </c>
      <c r="EU109" s="83">
        <f t="shared" si="393"/>
        <v>18703</v>
      </c>
      <c r="EV109" s="83">
        <f t="shared" si="393"/>
        <v>8927</v>
      </c>
      <c r="EW109" s="83">
        <f t="shared" si="393"/>
        <v>17408</v>
      </c>
      <c r="EX109" s="79">
        <f t="shared" si="354"/>
        <v>64395</v>
      </c>
      <c r="EY109" s="83">
        <f t="shared" si="394"/>
        <v>20031</v>
      </c>
      <c r="EZ109" s="83">
        <f t="shared" si="394"/>
        <v>34815</v>
      </c>
      <c r="FA109" s="83">
        <f t="shared" si="431"/>
        <v>19900</v>
      </c>
      <c r="FB109" s="83">
        <f t="shared" si="406"/>
        <v>18184</v>
      </c>
      <c r="FC109" s="79">
        <f t="shared" si="414"/>
        <v>38084</v>
      </c>
      <c r="FD109" s="83">
        <f t="shared" si="395"/>
        <v>54743</v>
      </c>
      <c r="FE109" s="1"/>
      <c r="FF109" s="1">
        <v>1300000</v>
      </c>
      <c r="FG109" s="1" t="s">
        <v>410</v>
      </c>
      <c r="FH109" s="1">
        <v>1300000</v>
      </c>
      <c r="FI109" s="1" t="s">
        <v>410</v>
      </c>
      <c r="FJ109" s="1">
        <v>5100000</v>
      </c>
      <c r="FK109" s="1" t="s">
        <v>410</v>
      </c>
      <c r="FL109" s="1">
        <v>4300000</v>
      </c>
      <c r="FM109" s="1" t="s">
        <v>410</v>
      </c>
      <c r="FN109" s="1">
        <v>49500000</v>
      </c>
      <c r="FO109" s="1" t="s">
        <v>410</v>
      </c>
      <c r="FP109" s="1">
        <v>49700000</v>
      </c>
      <c r="FQ109" s="1" t="s">
        <v>410</v>
      </c>
      <c r="FR109" s="1">
        <v>1600000</v>
      </c>
      <c r="FS109" s="1" t="s">
        <v>399</v>
      </c>
      <c r="FT109" s="1">
        <v>15853000</v>
      </c>
      <c r="FU109" s="1" t="s">
        <v>410</v>
      </c>
      <c r="FV109" s="79">
        <f t="shared" si="355"/>
        <v>126053000</v>
      </c>
      <c r="FW109" s="1">
        <v>1604722</v>
      </c>
      <c r="FX109" s="1" t="s">
        <v>410</v>
      </c>
      <c r="FY109" s="1">
        <v>132580</v>
      </c>
      <c r="FZ109" s="79">
        <f t="shared" si="377"/>
        <v>917077.5</v>
      </c>
      <c r="GA109" s="86" t="str">
        <f t="shared" si="378"/>
        <v>may23 abr24</v>
      </c>
      <c r="GB109" s="1">
        <v>19189740</v>
      </c>
      <c r="GC109" s="6">
        <v>2024</v>
      </c>
      <c r="GD109" s="1">
        <v>1714000</v>
      </c>
      <c r="GE109" s="1">
        <v>424000</v>
      </c>
      <c r="GF109" s="1">
        <v>1165000</v>
      </c>
      <c r="GG109" s="1">
        <v>145000</v>
      </c>
      <c r="GH109" s="79">
        <f t="shared" si="240"/>
        <v>1734000</v>
      </c>
      <c r="GI109" s="82">
        <f t="shared" si="373"/>
        <v>1302556</v>
      </c>
      <c r="GJ109" s="83">
        <f t="shared" si="373"/>
        <v>682423</v>
      </c>
      <c r="GK109" s="83">
        <f t="shared" si="373"/>
        <v>1391495</v>
      </c>
      <c r="GL109" s="83">
        <f t="shared" si="373"/>
        <v>305049</v>
      </c>
      <c r="GM109" s="83">
        <f t="shared" si="373"/>
        <v>260419</v>
      </c>
      <c r="GN109" s="79">
        <f t="shared" si="357"/>
        <v>2639386</v>
      </c>
      <c r="GO109" s="83">
        <f t="shared" si="374"/>
        <v>201734</v>
      </c>
      <c r="GP109" s="83">
        <f t="shared" si="416"/>
        <v>69297</v>
      </c>
      <c r="GQ109" s="83">
        <v>57442</v>
      </c>
      <c r="GR109" s="1">
        <v>34035</v>
      </c>
      <c r="GS109" s="79">
        <f t="shared" si="412"/>
        <v>35758.26</v>
      </c>
      <c r="GT109" s="83">
        <f t="shared" si="407"/>
        <v>2111561</v>
      </c>
      <c r="GU109" s="1">
        <f>50947+12372</f>
        <v>63319</v>
      </c>
      <c r="GV109" s="1">
        <f>11037+18201</f>
        <v>29238</v>
      </c>
      <c r="GW109" s="79">
        <f t="shared" si="261"/>
        <v>749389</v>
      </c>
      <c r="GX109" s="1">
        <v>30804.553</v>
      </c>
      <c r="GY109" s="1" t="s">
        <v>436</v>
      </c>
      <c r="GZ109" s="1">
        <v>80786</v>
      </c>
      <c r="HA109" s="1">
        <v>242199</v>
      </c>
      <c r="HB109" s="79">
        <f t="shared" si="241"/>
        <v>3192390</v>
      </c>
      <c r="HC109" s="86" t="str">
        <f t="shared" si="379"/>
        <v>may23 abr24</v>
      </c>
      <c r="HD109" s="1">
        <v>68442</v>
      </c>
      <c r="HE109" s="79">
        <f t="shared" si="380"/>
        <v>765346</v>
      </c>
      <c r="HF109" s="86" t="str">
        <f t="shared" si="381"/>
        <v>may23 abr24</v>
      </c>
      <c r="HG109" s="1">
        <v>189000</v>
      </c>
      <c r="HH109" s="79">
        <f t="shared" si="242"/>
        <v>2297000</v>
      </c>
      <c r="HI109" s="86" t="str">
        <f t="shared" si="382"/>
        <v>may23 abr24</v>
      </c>
      <c r="HJ109" s="1">
        <v>92795</v>
      </c>
      <c r="HK109" s="79">
        <f t="shared" si="278"/>
        <v>68457.48</v>
      </c>
      <c r="HL109" s="86" t="str">
        <f t="shared" si="383"/>
        <v>may23 abr24</v>
      </c>
      <c r="HM109" s="79">
        <f t="shared" si="358"/>
        <v>2365457.48</v>
      </c>
      <c r="HN109" s="87">
        <f t="shared" si="297"/>
        <v>-0.16295427901524029</v>
      </c>
      <c r="HO109" s="1">
        <v>714000000</v>
      </c>
      <c r="HP109" s="79">
        <f t="shared" si="386"/>
        <v>10824.307084</v>
      </c>
      <c r="HQ109" s="86" t="str">
        <f t="shared" si="384"/>
        <v>may23 abr24</v>
      </c>
      <c r="HR109" s="1"/>
      <c r="HS109" s="1"/>
      <c r="HT109" s="1"/>
      <c r="HU109" s="1">
        <v>700000</v>
      </c>
      <c r="HV109" s="1" t="s">
        <v>399</v>
      </c>
      <c r="HW109" s="1">
        <v>1500000</v>
      </c>
      <c r="HX109" s="1" t="s">
        <v>410</v>
      </c>
      <c r="HY109" s="1">
        <v>4600000</v>
      </c>
      <c r="HZ109" s="1" t="s">
        <v>410</v>
      </c>
      <c r="IA109" s="1">
        <f>(3.6+18)*1000000</f>
        <v>21600000</v>
      </c>
      <c r="IB109" s="1" t="s">
        <v>410</v>
      </c>
      <c r="IC109" s="1">
        <v>45000000</v>
      </c>
      <c r="ID109" s="1" t="s">
        <v>410</v>
      </c>
      <c r="IE109" s="1">
        <v>1500000</v>
      </c>
      <c r="IF109" s="1" t="s">
        <v>410</v>
      </c>
      <c r="IG109" s="1">
        <f t="shared" si="415"/>
        <v>7400000</v>
      </c>
      <c r="IH109" s="1" t="s">
        <v>410</v>
      </c>
      <c r="II109" s="79">
        <f t="shared" si="359"/>
        <v>81600000</v>
      </c>
      <c r="IJ109" s="97">
        <f t="shared" ref="IJ109:IJ119" si="434">(8350000*12)/$IJ$2</f>
        <v>2.1563835150032644</v>
      </c>
      <c r="IK109" s="1" t="s">
        <v>399</v>
      </c>
      <c r="IL109" s="7">
        <f>+IL108</f>
        <v>46.23</v>
      </c>
      <c r="IM109" s="7">
        <v>49.37</v>
      </c>
      <c r="IN109" s="7">
        <v>159.5</v>
      </c>
      <c r="IO109" s="7">
        <v>16.62</v>
      </c>
      <c r="IP109" s="176">
        <f t="shared" si="432"/>
        <v>5.5693606783423002</v>
      </c>
      <c r="IQ109" s="176">
        <v>16.3</v>
      </c>
      <c r="IR109" s="98">
        <f t="shared" si="397"/>
        <v>6.09</v>
      </c>
      <c r="IS109" s="98">
        <f t="shared" si="397"/>
        <v>4.03</v>
      </c>
      <c r="IT109" s="98">
        <f t="shared" si="397"/>
        <v>11.98</v>
      </c>
      <c r="IU109" s="98">
        <f t="shared" si="397"/>
        <v>1.38</v>
      </c>
      <c r="IV109" s="94">
        <f t="shared" si="360"/>
        <v>17.39</v>
      </c>
      <c r="IW109" s="1"/>
      <c r="IX109" s="1"/>
      <c r="IY109" s="80">
        <v>1.88</v>
      </c>
      <c r="IZ109" s="88">
        <v>0.3</v>
      </c>
      <c r="JA109" s="1">
        <v>2813</v>
      </c>
      <c r="JB109" s="95">
        <f t="shared" si="433"/>
        <v>35.950000000000003</v>
      </c>
      <c r="JC109" s="1"/>
      <c r="JD109" s="1"/>
      <c r="JF109" s="2">
        <v>18.258202080000007</v>
      </c>
      <c r="JG109" s="2">
        <v>22.35722878</v>
      </c>
      <c r="JH109" s="2">
        <v>95.042432099999999</v>
      </c>
      <c r="JI109" s="2">
        <v>146.95185445999999</v>
      </c>
      <c r="JJ109" s="2">
        <v>910.51869054999997</v>
      </c>
      <c r="JK109" s="2">
        <v>65.127016839999982</v>
      </c>
      <c r="JL109" s="2">
        <v>2445.0359502000001</v>
      </c>
      <c r="JM109" s="2">
        <v>0.09</v>
      </c>
      <c r="JN109" s="2">
        <v>220.44888877999998</v>
      </c>
      <c r="JO109" s="2">
        <v>33.675059580000003</v>
      </c>
      <c r="JP109" s="2">
        <v>0</v>
      </c>
      <c r="JQ109" s="2">
        <v>13.063914</v>
      </c>
      <c r="JR109" s="2">
        <v>1.41104976</v>
      </c>
      <c r="JS109" s="2">
        <v>0</v>
      </c>
      <c r="JT109" s="2">
        <v>0.39963144</v>
      </c>
      <c r="JU109" s="2">
        <v>70.799436420000006</v>
      </c>
      <c r="JV109" s="2">
        <v>10.309276389999999</v>
      </c>
      <c r="JW109" s="2">
        <v>36.54701326</v>
      </c>
      <c r="JX109" s="2">
        <v>15.35654993</v>
      </c>
      <c r="JY109" s="2">
        <v>0</v>
      </c>
      <c r="JZ109" s="2">
        <v>3.2760219999999998</v>
      </c>
      <c r="KA109" s="2">
        <v>2.5000000000000001E-3</v>
      </c>
      <c r="KB109" s="2">
        <v>32.635385889999995</v>
      </c>
      <c r="KC109" s="2">
        <v>17.697801470000002</v>
      </c>
      <c r="KD109" s="2">
        <v>8.852789640000001</v>
      </c>
      <c r="KE109" s="2">
        <v>16.174522229999997</v>
      </c>
      <c r="KF109" s="2">
        <v>39.062197300000001</v>
      </c>
      <c r="KG109" s="2">
        <v>316.28118749999999</v>
      </c>
      <c r="KH109" s="2">
        <v>118.3786056</v>
      </c>
      <c r="KI109" s="2">
        <v>22.502102959999998</v>
      </c>
      <c r="KJ109" s="2">
        <v>2.2533318799999997</v>
      </c>
      <c r="KK109" s="171">
        <v>3.9375346699999998</v>
      </c>
      <c r="KL109" s="171">
        <v>0.50080292000000004</v>
      </c>
      <c r="KM109" s="171">
        <v>0.14310648000000001</v>
      </c>
      <c r="KN109" s="171">
        <v>2.9990557599999996</v>
      </c>
      <c r="KO109" s="171">
        <v>1.4645786699999996</v>
      </c>
      <c r="KP109" s="171">
        <v>0.111375</v>
      </c>
      <c r="KQ109" s="171">
        <v>296.11216481000002</v>
      </c>
      <c r="KR109" s="171">
        <v>0.03</v>
      </c>
      <c r="KS109" s="171">
        <v>0.20538020000000001</v>
      </c>
      <c r="KT109" s="171">
        <v>1.4070700599999999</v>
      </c>
      <c r="KU109" s="171">
        <v>1.6812999999999999E-3</v>
      </c>
      <c r="KV109" s="171">
        <v>6.5636E-2</v>
      </c>
      <c r="KW109" s="171">
        <v>0.10505866</v>
      </c>
      <c r="KX109" s="171">
        <v>0</v>
      </c>
      <c r="KY109" s="171">
        <v>0</v>
      </c>
      <c r="KZ109" s="171">
        <v>1.01985657</v>
      </c>
      <c r="LA109" s="171">
        <v>0.23997390000000002</v>
      </c>
      <c r="LB109" s="171">
        <v>5.4900499999999998E-2</v>
      </c>
      <c r="LC109" s="171">
        <v>6.1385419999999996E-2</v>
      </c>
      <c r="LD109" s="171">
        <v>0</v>
      </c>
      <c r="LE109" s="171">
        <v>0.51376160000000004</v>
      </c>
      <c r="LF109" s="171">
        <v>0.31574400000000002</v>
      </c>
      <c r="LG109" s="171">
        <v>17.561880160000001</v>
      </c>
      <c r="LH109" s="171">
        <v>5.1284923700000009</v>
      </c>
      <c r="LI109" s="171">
        <v>3.2398820599999998</v>
      </c>
      <c r="LJ109" s="171">
        <v>0</v>
      </c>
      <c r="LK109" s="171">
        <v>4.2232492399999995</v>
      </c>
      <c r="LL109" s="171">
        <v>3.6004889900000006</v>
      </c>
      <c r="LM109" s="171">
        <v>1.6724867599999997</v>
      </c>
      <c r="LN109" s="171">
        <v>0.23010199000000001</v>
      </c>
      <c r="LO109" s="171">
        <v>3.5088459899999997</v>
      </c>
      <c r="LQ109" s="85">
        <f t="shared" si="247"/>
        <v>3818.0878160900002</v>
      </c>
      <c r="LR109" s="85">
        <f t="shared" si="248"/>
        <v>14.874595200000002</v>
      </c>
      <c r="LS109" s="85">
        <f t="shared" si="249"/>
        <v>46.856289650000001</v>
      </c>
      <c r="LT109" s="85">
        <f t="shared" si="250"/>
        <v>3.2785219999999997</v>
      </c>
      <c r="LU109" s="85">
        <f t="shared" si="251"/>
        <v>300.95428591999996</v>
      </c>
      <c r="LV109" s="85">
        <f t="shared" si="252"/>
        <v>0.17069466</v>
      </c>
      <c r="LW109" s="85">
        <f t="shared" si="253"/>
        <v>0.29487440000000004</v>
      </c>
      <c r="LX109" s="85">
        <f t="shared" si="254"/>
        <v>0.82950560000000007</v>
      </c>
      <c r="LZ109" s="83">
        <v>1282.05</v>
      </c>
      <c r="MA109" s="83">
        <v>2422.83</v>
      </c>
      <c r="MB109"/>
      <c r="MC109"/>
      <c r="MD109"/>
      <c r="MF109"/>
      <c r="MG109"/>
      <c r="MH109" s="83">
        <v>2376.84</v>
      </c>
      <c r="MI109" s="83">
        <v>816.97</v>
      </c>
      <c r="MJ109" s="83">
        <v>734.05</v>
      </c>
      <c r="MK109"/>
      <c r="ML109" s="83">
        <v>1056.1600000000001</v>
      </c>
      <c r="MM109" s="83">
        <v>2171.36</v>
      </c>
      <c r="MN109" s="83"/>
      <c r="MO109" s="83">
        <v>535.46</v>
      </c>
      <c r="MP109" s="83">
        <v>1957.46</v>
      </c>
      <c r="MQ109" s="83">
        <v>2000.46</v>
      </c>
      <c r="MR109"/>
      <c r="MT109" s="83"/>
      <c r="MU109" s="83">
        <v>1656.48</v>
      </c>
      <c r="MV109"/>
      <c r="MW109"/>
      <c r="MX109"/>
      <c r="MY109" s="83">
        <v>1988.45</v>
      </c>
      <c r="MZ109" s="83">
        <v>4171</v>
      </c>
      <c r="NA109" s="83">
        <v>2425</v>
      </c>
      <c r="NB109" s="83">
        <v>6795</v>
      </c>
      <c r="NC109" s="83">
        <v>1276.28</v>
      </c>
      <c r="ND109" s="1">
        <v>7000</v>
      </c>
      <c r="NE109" s="1">
        <v>4462</v>
      </c>
    </row>
    <row r="110" spans="1:369" ht="14.4" thickBot="1">
      <c r="A110" s="38">
        <f t="shared" si="417"/>
        <v>45413</v>
      </c>
      <c r="B110" s="36">
        <f t="shared" si="428"/>
        <v>5</v>
      </c>
      <c r="C110" s="36">
        <f t="shared" si="429"/>
        <v>2024</v>
      </c>
      <c r="D110" s="36">
        <f t="shared" si="347"/>
        <v>110</v>
      </c>
      <c r="E110" s="38">
        <f t="shared" si="418"/>
        <v>45413</v>
      </c>
      <c r="F110" s="7">
        <v>885.65</v>
      </c>
      <c r="G110" s="7">
        <v>6073.7165000000005</v>
      </c>
      <c r="H110" s="1">
        <f>[2]NACIONALES!$D98</f>
        <v>550501.94542751287</v>
      </c>
      <c r="I110" s="7">
        <v>109</v>
      </c>
      <c r="J110" s="7">
        <v>555</v>
      </c>
      <c r="K110" s="265">
        <v>5.3</v>
      </c>
      <c r="L110" s="7">
        <f>31657/F110</f>
        <v>35.744368542878114</v>
      </c>
      <c r="N110" s="7">
        <f>(1.48*3+1.5*2)/5</f>
        <v>1.488</v>
      </c>
      <c r="O110" s="7">
        <f>(1.12+1.14+1.16+1.15*2)/5</f>
        <v>1.1439999999999999</v>
      </c>
      <c r="P110" s="78">
        <f t="shared" si="398"/>
        <v>1107.2396299999998</v>
      </c>
      <c r="Q110" s="6">
        <v>32037.611533742329</v>
      </c>
      <c r="R110" s="79">
        <f t="shared" si="419"/>
        <v>320376.11533742328</v>
      </c>
      <c r="S110" s="6">
        <f>164705/F110</f>
        <v>185.97075594196355</v>
      </c>
      <c r="T110" s="6">
        <f>267136/F110</f>
        <v>301.62705357646928</v>
      </c>
      <c r="U110" s="188">
        <v>183.55</v>
      </c>
      <c r="V110" s="6">
        <v>303.95999999999998</v>
      </c>
      <c r="W110" s="6">
        <f>146772/F110</f>
        <v>165.72235081578503</v>
      </c>
      <c r="X110" s="6">
        <v>243</v>
      </c>
      <c r="Y110" s="79">
        <f t="shared" si="420"/>
        <v>164705</v>
      </c>
      <c r="Z110" s="79">
        <f t="shared" si="421"/>
        <v>267136</v>
      </c>
      <c r="AA110" s="79">
        <f t="shared" si="422"/>
        <v>162561.0575</v>
      </c>
      <c r="AB110" s="79">
        <f t="shared" si="423"/>
        <v>269202.174</v>
      </c>
      <c r="AC110" s="79">
        <f t="shared" si="424"/>
        <v>146772</v>
      </c>
      <c r="AD110" s="79">
        <f t="shared" si="425"/>
        <v>215212.94999999998</v>
      </c>
      <c r="AE110" s="79">
        <f t="shared" si="426"/>
        <v>204264.86358333332</v>
      </c>
      <c r="AF110" s="1">
        <v>788537.04761904757</v>
      </c>
      <c r="AG110" s="83">
        <f>+(350000+310000)/2</f>
        <v>330000</v>
      </c>
      <c r="AH110" s="1">
        <f>+AG110/AG109*AH109</f>
        <v>847297.29729729728</v>
      </c>
      <c r="AI110" s="5">
        <v>420.76</v>
      </c>
      <c r="AJ110" s="5">
        <v>333.76</v>
      </c>
      <c r="AK110" s="5">
        <v>232.91</v>
      </c>
      <c r="AL110" s="5">
        <v>270.01</v>
      </c>
      <c r="AM110" s="78">
        <f t="shared" si="427"/>
        <v>332.25899999999996</v>
      </c>
      <c r="AN110" s="7">
        <v>24630.208333333332</v>
      </c>
      <c r="AO110" s="7">
        <v>13459.454545454546</v>
      </c>
      <c r="AP110" s="78">
        <f t="shared" si="385"/>
        <v>13459.454545454546</v>
      </c>
      <c r="AQ110" s="7">
        <v>5739.130434782609</v>
      </c>
      <c r="AR110" s="7">
        <v>7531.3818181818169</v>
      </c>
      <c r="AS110" s="7">
        <v>13792.68</v>
      </c>
      <c r="AT110" s="7">
        <v>11068.181818181818</v>
      </c>
      <c r="AU110" s="78">
        <f t="shared" si="348"/>
        <v>10797.414545454545</v>
      </c>
      <c r="AV110" s="7">
        <v>6452.272727272727</v>
      </c>
      <c r="AW110" s="7">
        <v>10368.181818181818</v>
      </c>
      <c r="AX110" s="7">
        <v>11262.136363636364</v>
      </c>
      <c r="AY110" s="7">
        <v>35492.395437262356</v>
      </c>
      <c r="AZ110" s="7">
        <v>7010.6090909090908</v>
      </c>
      <c r="BA110" s="7">
        <v>3577.2727272727275</v>
      </c>
      <c r="BB110" s="94">
        <f t="shared" si="345"/>
        <v>15516.242419441563</v>
      </c>
      <c r="BC110" s="68">
        <v>36657</v>
      </c>
      <c r="BD110" s="68">
        <v>29226</v>
      </c>
      <c r="BE110" s="95">
        <f>+BE109*BC110/BC109</f>
        <v>25000</v>
      </c>
      <c r="BF110" s="95">
        <f>+BF109</f>
        <v>20500</v>
      </c>
      <c r="BG110" s="94">
        <f t="shared" si="349"/>
        <v>27845.75</v>
      </c>
      <c r="BH110" s="7">
        <v>2820</v>
      </c>
      <c r="BI110" s="7">
        <v>600</v>
      </c>
      <c r="BJ110" s="78">
        <f t="shared" si="350"/>
        <v>3420</v>
      </c>
      <c r="BK110" s="7">
        <v>1983.422</v>
      </c>
      <c r="BL110" s="7">
        <v>2069.7800000000002</v>
      </c>
      <c r="BM110" s="94">
        <f t="shared" si="351"/>
        <v>2026.6010000000001</v>
      </c>
      <c r="BN110" s="5">
        <v>389.33</v>
      </c>
      <c r="BO110" s="84">
        <v>1687.68</v>
      </c>
      <c r="BP110" s="84">
        <v>1191.25</v>
      </c>
      <c r="BQ110" s="94">
        <f t="shared" ref="BQ110:BQ141" si="435">IFERROR(+AVERAGE(BO110:BP110),"")</f>
        <v>1439.4650000000001</v>
      </c>
      <c r="BR110" s="97">
        <v>927.35</v>
      </c>
      <c r="BS110" s="7">
        <v>3500</v>
      </c>
      <c r="BT110" s="7">
        <f>1.05*F110</f>
        <v>929.9325</v>
      </c>
      <c r="BU110" s="79">
        <f t="shared" si="237"/>
        <v>44789.797500000001</v>
      </c>
      <c r="BV110" s="7">
        <v>1481</v>
      </c>
      <c r="BW110" s="7">
        <v>2182</v>
      </c>
      <c r="BY110" s="92">
        <f>BY$10*(1+((H110/H$10-1)*costos!$B$5+((I110*F110)/(I$10*F$10)-1)*costos!$E$5+((J110*F110)/((J$10*F$10)-1)*costos!$F$5/3+((K110*F110)/(K$10*F$10)-1)*costos!$F$5/3+((U110*F110)/(U$10*F$10)-1)*costos!$F$5/3+((L110*F110)/(L$10*F$10)-1)*costos!$G$5+((N110*F110)/(N$10*F$10)-1)*costos!$J$5+((V110*F110)/(V$10*F$10)-1)*costos!$K$5)))</f>
        <v>7939.0023659726839</v>
      </c>
      <c r="BZ110" s="92">
        <f>$BZ$10*(1+((H110/$H$10-1)*costos!$B$6+((I110*F110)/($I$10*$F$10)-1)*costos!$E$6+((J110*F110)/(($J$10*$F$10)-1)*costos!$F$6/3+((K110*F110)/($K$10*$F$10)-1)*costos!$F$6/3+((U110*F110)/($U$10*$F$10)-1)*costos!$F$6/3+((L110*F110)/($L$10*$F$10)-1)*costos!$G$6+((Q110*F110)/($Q$10*$F$10)-1)*costos!$J$6+((V110*F110)/($V$10*$F$10)-1)*costos!$K$6)))</f>
        <v>7767.8754858721986</v>
      </c>
      <c r="CA110" s="92">
        <f>CA$10*(1+((H110/H$10-1)*costos!$B$7+((I110*F110)/(I$10*F$10)-1)*costos!$E$7+((J110*F110)/((J$10*F$10)-1)*costos!$F$7/3+((K110*F110)/(K$10*F$10)-1)*costos!$F$7/3+((U110*F110)/(U$10*F$10)-1)*costos!$F$7/3+((L110*F110)/(L$10*F$10)-1)*costos!$G$7+((S110*F110)/(S$10*F$10)-1)*costos!$J$7+((V110*F110)/(V$10*F$10)-1)*costos!$K$7)))</f>
        <v>8086.4718844302433</v>
      </c>
      <c r="CB110" s="92">
        <f>CB$10*(1+((H110/H$10-1)*costos!$B$8+((I110*F110)/(I$10*F$10)-1)*costos!$E$8+((J110*F110)/((J$10*F$10)-1)*costos!$F$8/3+((K110*F110)/(K$10*F$10)-1)*costos!$F$8/3+((U110*F110)/(U$10*F$10)-1)*costos!$F$8/3+((L110*F110)/(L$10*F$10)-1)*costos!$G$8+((T110*F110)/(T$10*F$10)-1)*costos!$J$8+((V110*F110)/(V$10*F$10)-1)*costos!$K$8)))</f>
        <v>7795.0067963937163</v>
      </c>
      <c r="CC110" s="92">
        <f>CC$10*(1+((H110/H$10-1)*costos!$B$9+((I110*F110)/(I$10*F$10)-1)*costos!$E$9+((J110*F110)/((J$10*F$10)-1)*costos!$F$9/3+((K110*F110)/(K$10*F$10)-1)*costos!$F$9/3+((U110*F110)/(U$10*F$10)-1)*costos!$F$9/3+((L110*F110)/(L$10*F$10)-1)*costos!$G$9+((U110*F110)/(U$10*F$10)-1)*costos!$J$9+((V110*F110)/(V$10*F$10)-1)*costos!$K$9)))</f>
        <v>8009.9488242731495</v>
      </c>
      <c r="CD110" s="92">
        <f>CD$10*(1+((H110/H$10-1)*costos!$B$11+((I110*F110)/(I$10*F$10)-1)*costos!$E$11+((J110*F110)/((J$10*F$10)-1)*costos!$F$11/3+((K110*F110)/(K$10*F$10)-1)*costos!$F$11/3+((U110*F110)/(U$10*F$10)-1)*costos!$F$11/3+((L110*F110)/(L$10*F$10)-1)*costos!$G$11+((V110*F110)/(V$10*F$10)-1)*costos!$J$11+((V110*F110)/(V$10*F$10)-1)*costos!$K$11)))</f>
        <v>8192.865603127937</v>
      </c>
      <c r="CE110" s="92">
        <f>CE$10*(1+((H110/H$10-1)*costos!$B$12+((I110*F110)/(I$10*F$10)-1)*costos!$E$12+((J110*F110)/((J$10*F$10)-1)*costos!$F$12/3+((K110*F110)/(K$10*F$10)-1)*costos!$F$12/3+((U110*F110)/(U$10*F$10)-1)*costos!$F$12/3+((L110*F110)/(L$10*F$10)-1)*costos!$G$12+((W110*F110)/(W$10*F$10)-1)*costos!$J$12+((V110*F110)/(V$10*F$10)-1)*costos!$K$12)))</f>
        <v>7722.4931400092928</v>
      </c>
      <c r="CF110" s="92">
        <f>CF$10*(1+((H110/H$10-1)*costos!$B$13+((I110*F110)/(I$10*F$10)-1)*costos!$E$13+((J110*F110)/((J$10*F$10)-1)*costos!$F$13/3+((K110*F110)/(K$10*F$10)-1)*costos!$F$13/3+((U110*F110)/(U$10*F$10)-1)*costos!$F$13/3+((L110*F110)/(L$10*F$10)-1)*costos!$G$13+((X110*F110)/(X$10*F$10)-1)*costos!$J$13+((V110*F110)/(V$10*F$10)-1)*costos!$K$13)))</f>
        <v>8633.916870409188</v>
      </c>
      <c r="CG110" s="92">
        <f t="shared" si="388"/>
        <v>8073.45051977392</v>
      </c>
      <c r="CH110" s="92">
        <f>CH$10*(1+((H110/H$10-1)*costos!$B$10+((I110*F110)/(I$10*F$10)-1)*costos!$E$10+((J110*F110)/((J$10*F$10)-1)*costos!$F$10/3+((K110*F110)/(K$10*F$10)-1)*costos!$F$10/3+((U110*F110)/(U$10*F$10)-1)*costos!$F$10/3+((L110*F110)/(L$10*F$10)-1)*costos!$G$10+((AF110)/(AF$10)-1)*costos!$J$10+((V110*F110)/(V$10*F$10)-1)*costos!$K$10)))</f>
        <v>9546.6960696593742</v>
      </c>
      <c r="CI110" s="92">
        <f>CI$10*(1+((H110/H$10-1)*costos!$B$15+((I110*F110)/(I$10*F$10)-1)*costos!$E$15+((J110*F110)/((J$10*F$10)-1)*costos!$F$15/3+((K110*F110)/(K$10*F$10)-1)*costos!$F$15/3+((U110*F110)/(U$10*F$10)-1)*costos!$F$15/3+((L110*F110)/(L$10*F$10)-1)*costos!$G$15+((AV110)/(AV$10)-1)*costos!$J$15+((V110*F110)/(V$10*F$10)-1)*costos!$K$15)))</f>
        <v>8217.7707125193683</v>
      </c>
      <c r="CJ110" s="92">
        <f>CJ$10*(1+((H110/H$10-1)*costos!$B$16+((I110*F110)/(I$10*F$10)-1)*costos!$E$16+((J110*F110)/((J$10*F$10)-1)*costos!$F$16/3+((K110*F110)/(K$10*F$10)-1)*costos!$F$16/3+((U110*F110)/(U$10*F$10)-1)*costos!$F$16/3+((L110*F110)/(L$10*F$10)-1)*costos!$G$16+((AW110)/(AW$10)-1)*costos!$J$16+((V110*F110)/(V$10*F$10)-1)*costos!$K$16)))</f>
        <v>7064.1570326348301</v>
      </c>
      <c r="CK110" s="92">
        <f>CK$10*(1+((H110/H$10-1)*costos!$B$17+((I110*F110)/(I$10*F$10)-1)*costos!$E$17+((J110*F110)/((J$10*F$10)-1)*costos!$F$17/3+((K110*F110)/(K$10*F$10)-1)*costos!$F$17/3+((U110*F110)/(U$10*F$10)-1)*costos!$F$17/3+((L110*F110)/(L$10*F$10)-1)*costos!$G$17+((AX110)/(AX$10)-1)*costos!$J$17+((V110*F110)/(V$10*F$10)-1)*costos!$K$17)))</f>
        <v>9064.3955497154075</v>
      </c>
      <c r="CL110" s="92">
        <f>CL$10*(1+((H110/H$10-1)*costos!$B$18+((I110*F110)/(I$10*F$10)-1)*costos!$E$18+((J110*F110)/((J$10*F$10)-1)*costos!$F$18/3+((K110*F110)/(K$10*F$10)-1)*costos!$F$18/3+((U110*F110)/(U$10*F$10)-1)*costos!$F$18/3+((L110*F110)/(L$10*F$10)-1)*costos!$G$18+((AY110)/(AY$10)-1)*costos!$J$18+((V110*F110)/(V$10*F$10)-1)*costos!$K$18)))</f>
        <v>14195.230021486041</v>
      </c>
      <c r="CM110" s="92">
        <f>CM$10*(1+((H110/H$10-1)*costos!$B$19+((I110*F110)/(I$10*F$10)-1)*costos!$E$19+((J110*F110)/((J$10*F$10)-1)*costos!$F$19/3+((K110*F110)/(K$10*F$10)-1)*costos!$F$19/3+((U110*F110)/(U$10*F$10)-1)*costos!$F$19/3+((L110*F110)/(L$10*F$10)-1)*costos!$G$19+((AZ110)/(AZ$10)-1)*costos!$J$19+((V110*F110)/(V$10*F$10)-1)*costos!$K$19)))</f>
        <v>7175.6636510491007</v>
      </c>
      <c r="CN110" s="92">
        <f>CN$10*(1+((H110/H$10-1)*costos!$B$20+((I110*F110)/(I$10*F$10)-1)*costos!$E$20+((J110*F110)/((J$10*F$10)-1)*costos!$F$20/3+((K110*F110)/(K$10*F$10)-1)*costos!$F$20/3+((U110*F110)/(U$10*F$10)-1)*costos!$F$20/3+((L110*F110)/(L$10*F$10)-1)*costos!$G$20+((BA110)/(BA$10)-1)*costos!$J$20+((V110*F110)/(V$10*F$10)-1)*costos!$K$20)))</f>
        <v>6932.4656869053069</v>
      </c>
      <c r="CO110" s="92">
        <f t="shared" si="399"/>
        <v>9341.9387272889635</v>
      </c>
      <c r="CP110" s="92">
        <f>CP$10*(1+((H110/H$10-1)*costos!$B$22+((I110*F110)/(I$10*F$10)-1)*costos!$E$22+((J110*F110)/((J$10*F$10)-1)*costos!$F$22/3+((K110*F110)/(K$10*F$10)-1)*costos!$F$22/3+((U110*F110)/(U$10*F$10)-1)*costos!$F$22/3+((L110*F110)/(L$10*F$10)-1)*costos!$G$22+(((AVERAGE(AI110:AL110))/((AVERAGE(AI$10:AL$10))-1)*costos!$J$22+((V110*F110)/(V$10*F$10)-1)*costos!$K$22)))))</f>
        <v>8859.708212081965</v>
      </c>
      <c r="CQ110" s="92">
        <f>CQ$10*(1+((H110/H$10-1)*costos!$B$23+((I110*F110)/(I$10*F$10)-1)*costos!$E$23+((J110*F110)/((J$10*F$10)-1)*costos!$F$23/3+((K110*F110)/(K$10*F$10)-1)*costos!$F$23/3+((U110*F110)/(U$10*F$10)-1)*costos!$F$23/3+((L110*F110)/(L$10*F$10)-1)*costos!$G$23+((AN110)/(AN$10)-1)*costos!$J$23+((V110*F110)/(V$10*F$10)-1)*costos!$K$23)))</f>
        <v>7595.8716914659672</v>
      </c>
      <c r="CR110" s="92">
        <f>CR$10*(1+((H110/H$10-1)*costos!$B$24+((I110*F110)/(I$10*F$10)-1)*costos!$E$24+((J110*F110)/((J$10*F$10)-1)*costos!$F$24/3+((K110*F110)/(K$10*F$10)-1)*costos!$F$24/3+((U110*F110)/(U$10*F$10)-1)*costos!$F$24/3+((L110*F110)/(L$10*F$10)-1)*costos!$G$24+((AO110)/(AO$10)-1)*costos!$J$24+((V110*F110)/(V$10*F$10)-1)*costos!$K$24)))</f>
        <v>7484.9853973639483</v>
      </c>
      <c r="CS110" s="92">
        <f t="shared" si="352"/>
        <v>7540.4285444149573</v>
      </c>
      <c r="CT110" s="92">
        <f>CT$10*(1+((H110/H$10-1)*costos!$B$25+((I110*F110)/(I$10*F$10)-1)*costos!$E$25+((J110*F110)/((J$10*F$10)-1)*costos!$F$25/3+((K110*F110)/(K$10*F$10)-1)*costos!$F$25/3+((U110*F110)/(U$10*F$10)-1)*costos!$F$25/3+((L110*F110)/(L$10*F$10)-1)*costos!$G$25+((AQ110)/(AQ$10)-1)*costos!$J$25+((V110*F110)/(V$10*F$10)-1)*costos!$K$25)))</f>
        <v>6884.9828339001324</v>
      </c>
      <c r="CU110" s="92">
        <f>CU$10*(1+((H110/H$10-1)*costos!$B$26+((I110*F110)/(I$10*F$10)-1)*costos!$E$26+((J110*F110)/((J$10*F$10)-1)*costos!$F$26/3+((K110*F110)/(K$10*F$10)-1)*costos!$F$26/3+((U110*F110)/(U$10*F$10)-1)*costos!$F$26/3+((L110*F110)/(L$10*F$10)-1)*costos!$G$26+((AR110)/(AR$10)-1)*costos!$J$26+((V110*F110)/(V$10*F$10)-1)*costos!$K$26)))</f>
        <v>7311.8534732203443</v>
      </c>
      <c r="CV110" s="92">
        <f>CV$10*(1+((H110/H$10-1)*costos!$B$27+((I110*F110)/(I$10*F$10)-1)*costos!$E$27+((J110*F110)/((J$10*F$10)-1)*costos!$F$27/3+((K110*F110)/(K$10*F$10)-1)*costos!$F$27/3+((U110*F110)/(U$10*F$10)-1)*costos!$F$27/3+((L110*F110)/(L$10*F$10)-1)*costos!$G$27+((AS110)/(AS$10)-1)*costos!$J$27+((V110*F110)/(V$10*F$10)-1)*costos!$K$27)))</f>
        <v>7722.1294798490708</v>
      </c>
      <c r="CW110" s="92">
        <f>CW$10*(1+((H110/H$10-1)*costos!$B$28+((I110*F110)/(I$10*F$10)-1)*costos!$E$28+((J110*F110)/((J$10*F$10)-1)*costos!$F$28/3+((K110*F110)/(K$10*F$10)-1)*costos!$F$28/3+((U110*F110)/(U$10*F$10)-1)*costos!$F$28/3+((L110*F110)/(L$10*F$10)-1)*costos!$G$28+((AS110)/(AS$10)-1)*costos!$J$28+((V110*F110)/(V$10*F$10)-1)*costos!$K$28)))</f>
        <v>7722.1294798490708</v>
      </c>
      <c r="CX110" s="92">
        <f t="shared" si="400"/>
        <v>7585.3708109728286</v>
      </c>
      <c r="CY110" s="92">
        <f>CY$10*(1+((H110/H$10-1)*costos!$B$32+((I110*F110)/(I$10*F$10)-1)*costos!$E$32+((J110*F110)/((J$10*F$10)-1)*costos!$F$32/3+((K110*F110)/(K$10*F$10)-1)*costos!$F$32/3+((U110*F110)/(U$10*F$10)-1)*costos!$F$32/3+((L110*F110)/(L$10*F$10)-1)*costos!$G$32+((AG110)/(AG$10)-1)*costos!$J$32+((V110*F110)/(V$10*F$10)-1)*costos!$K$32)))</f>
        <v>7388.5155677444718</v>
      </c>
      <c r="CZ110" s="69">
        <f>CZ$10*(1+((H110/H$10-1)*costos!$B$31+((I110*F110)/(I$10*F$10)-1)*costos!$E$30+((J110*F110)/((J$10*F$10)-1)*costos!$F$30/3+((K110*F110)/(K$10*F$10)-1)*costos!$F$30/3+((U110*F110)/(U$10*F$10)-1)*costos!$F$30/3+((L110*F110)/(L$10*F$10)-1)*costos!$G$30+((BG110)/(BG$10)-1)*costos!$J$30+((V110*F110)/(V$10*F$10)-1)*costos!$K$30)))</f>
        <v>9254.2882224116656</v>
      </c>
      <c r="DA110" s="69">
        <f>DA$10*(1+((H110/H$10-1)*costos!$B$31+((I110*F110)/(I$10*F$10)-1)*costos!$E$31+((J110*F110)/((J$10*F$10)-1)*costos!$F$31/3+((K110*F110)/(K$10*F$10)-1)*costos!$F$31/3+((U110*F110)/(U$10*F$10)-1)*costos!$F$31/3+((L110*F110)/(L$10*F$10)-1)*costos!$G$31+((BJ110)/(BJ$10)-1)*costos!$J$31+((V110*F110)/(V$10*F$10)-1)*costos!$K$31)))</f>
        <v>7493.229088649503</v>
      </c>
      <c r="DB110" s="69">
        <f>DB$10*(1+((H110/H$10-1)*costos!$B$36+((I110*F110)/(I$10*F$10)-1)*costos!$E$36+((J110*F110)/((J$10*F$10)-1)*costos!$F$36/3+((K110*F110)/(K$10*F$10)-1)*costos!$F$36/3+((U110*F110)/(U$10*F$10)-1)*costos!$F$36/3+((L110*F110)/(L$10*F$10)-1)*costos!$G$36+((BK110)/(BK$10)-1)*costos!$J$36+((V110*F110)/(V$10*F$10)-1)*costos!$K$36)))</f>
        <v>7802.1975648895977</v>
      </c>
      <c r="DC110" s="69">
        <f>DC$10*(1+((H110/H$10-1)*costos!$B$37+((I110*F110)/(I$10*F$10)-1)*costos!$E$37+((U110*F110)/(U$10*F$10)-1)*costos!$F$37+((L110*F110)/(L$10*F$10)-1)*costos!$G$37+((BN110)/(BN$10)-1)*costos!$J$37+((V110*F110)/(V$10*F$10)-1)*costos!$K$37))</f>
        <v>8087.6814680346288</v>
      </c>
      <c r="DD110" s="69">
        <f>DD$10*(1+((H110/H$10-1)*costos!$B$39+((I110*F110)/(I$10*F$10)-1)*costos!$E$39+((U110*F110)/(U$10*F$10)-1)*costos!$F$39+((L110*F110)/(L$10*F$10)-1)*costos!$G$39+((BR110)/(BR$10)-1)*costos!$J$39+((V110*F110)/(V$10*F$10)-1)*costos!$K$39))</f>
        <v>7710.5250857589144</v>
      </c>
      <c r="DE110" s="69">
        <f>DD$10*(1+((H110/H$10-1)*costos!$B$35+((I110*F110)/(I$10*F$10)-1)*costos!$E$35+((U110*F110)/(U$10*F$10)-1)*costos!$F$35+((L110*F110)/(L$10*F$10)-1)*costos!$G$35+((BR110)/(BR$10)-1)*costos!$J$35+((V110*F110)/(V$10*F$10)-1)*costos!$K$35))</f>
        <v>6849.0514455131688</v>
      </c>
      <c r="DF110" s="69">
        <f>DF$10*(1+((H110/H$10-1)*costos!$B$40+((I110*F110)/(I$10*F$10)-1)*costos!$E$40+((U110*F110)/(U$10*F$10)-1)*costos!$F$40+((L110*F110)/(L$10*F$10)-1)*costos!$G$40+((BP110)/(BP$10)-1)*costos!$J$40+((V110*F110)/(V$10*F$10)-1)*costos!$K$40))</f>
        <v>8029.8145364411712</v>
      </c>
      <c r="DG110" s="92">
        <f t="shared" si="391"/>
        <v>7439.4329909771695</v>
      </c>
      <c r="DH110" s="69">
        <f>DH$10*(1+((H110/H$10-1)*costos!$B$34+((I110*F110)/(I$10*F$10)-1)*costos!$E$34+((J110*F110)/((J$10*F$10)-1)*costos!$F$34/3+((K110*F110)/(K$10*F$10)-1)*costos!$F$34/3+((U110*F110)/(U$10*F$10)-1)*costos!$F$34/3+((L110*F110)/(L$10*F$10)-1)*costos!$G$34+((BV110)/(BV$10)-1)*costos!$J$34+((V110*F110)/(V$10*F$10)-1)*costos!$K$34)))</f>
        <v>7507.1516552279472</v>
      </c>
      <c r="DI110" s="69">
        <f>DI$10*(1+((H110/H$10-1)*costos!$B$38+((I110*F110)/(I$10*F$10)-1)*costos!$E$38+((J110*F110)/((J$10*F$10)-1)*costos!$F$38/3+((K110*F110)/(K$10*F$10)-1)*costos!$F$38/3+((U110*F110)/(U$10*F$10)-1)*costos!$F$38/3+((L110*F110)/(L$10*F$10)-1)*costos!$G$38+((BU110)/(BU$10)-1)*costos!$J$38+((V110*F110)/(V$10*F$10)-1)*costos!$K$38)))</f>
        <v>7134.9585141631651</v>
      </c>
      <c r="DK110" s="1">
        <v>650000</v>
      </c>
      <c r="DL110" s="1" t="s">
        <v>410</v>
      </c>
      <c r="DM110" s="1">
        <v>200000</v>
      </c>
      <c r="DN110" s="1" t="s">
        <v>410</v>
      </c>
      <c r="DO110" s="1">
        <v>1500000</v>
      </c>
      <c r="DP110" s="1" t="s">
        <v>512</v>
      </c>
      <c r="DQ110" s="1">
        <v>1900000</v>
      </c>
      <c r="DR110" s="1" t="s">
        <v>410</v>
      </c>
      <c r="DS110" s="1">
        <v>7544000</v>
      </c>
      <c r="DT110" s="1" t="s">
        <v>410</v>
      </c>
      <c r="DU110" s="1">
        <v>16550000</v>
      </c>
      <c r="DV110" s="1" t="s">
        <v>410</v>
      </c>
      <c r="DW110" s="1">
        <v>770000</v>
      </c>
      <c r="DX110" s="1" t="s">
        <v>410</v>
      </c>
      <c r="DY110" s="1">
        <v>6550000</v>
      </c>
      <c r="DZ110" s="1" t="s">
        <v>512</v>
      </c>
      <c r="EA110" s="79">
        <f t="shared" si="353"/>
        <v>34814000</v>
      </c>
      <c r="EB110" s="1">
        <v>416490</v>
      </c>
      <c r="EC110" s="1" t="s">
        <v>410</v>
      </c>
      <c r="ED110" s="1">
        <v>230256</v>
      </c>
      <c r="EE110" s="143">
        <v>2024</v>
      </c>
      <c r="EF110" s="1">
        <v>199946</v>
      </c>
      <c r="EG110" s="6">
        <v>2024</v>
      </c>
      <c r="EH110" s="1">
        <v>52783892</v>
      </c>
      <c r="EI110" s="6">
        <v>2024</v>
      </c>
      <c r="EJ110" s="1">
        <v>6115215</v>
      </c>
      <c r="EK110" s="6">
        <v>2024</v>
      </c>
      <c r="EL110" s="1">
        <v>12609460</v>
      </c>
      <c r="EM110" s="6">
        <v>2023</v>
      </c>
      <c r="EN110" s="1">
        <v>3169981</v>
      </c>
      <c r="EO110" s="6">
        <v>2021</v>
      </c>
      <c r="EP110" s="83">
        <v>9147</v>
      </c>
      <c r="EQ110" s="83">
        <v>3500000</v>
      </c>
      <c r="ER110" s="1">
        <f t="shared" si="430"/>
        <v>80248</v>
      </c>
      <c r="ES110" s="1"/>
      <c r="ET110" s="83">
        <f t="shared" si="393"/>
        <v>19357</v>
      </c>
      <c r="EU110" s="83">
        <f t="shared" si="393"/>
        <v>18703</v>
      </c>
      <c r="EV110" s="83">
        <f t="shared" si="393"/>
        <v>8927</v>
      </c>
      <c r="EW110" s="83">
        <f t="shared" si="393"/>
        <v>17408</v>
      </c>
      <c r="EX110" s="79">
        <f t="shared" si="354"/>
        <v>64395</v>
      </c>
      <c r="EY110" s="83">
        <f t="shared" si="394"/>
        <v>20031</v>
      </c>
      <c r="EZ110" s="83">
        <f t="shared" si="394"/>
        <v>34815</v>
      </c>
      <c r="FA110" s="83">
        <f t="shared" si="431"/>
        <v>19900</v>
      </c>
      <c r="FB110" s="83">
        <f t="shared" si="406"/>
        <v>18184</v>
      </c>
      <c r="FC110" s="79">
        <f t="shared" si="414"/>
        <v>38084</v>
      </c>
      <c r="FD110" s="83">
        <f t="shared" si="395"/>
        <v>54743</v>
      </c>
      <c r="FE110" s="1"/>
      <c r="FF110" s="1">
        <v>1300000</v>
      </c>
      <c r="FG110" s="1" t="s">
        <v>410</v>
      </c>
      <c r="FH110" s="1">
        <v>1300000</v>
      </c>
      <c r="FI110" s="1" t="s">
        <v>410</v>
      </c>
      <c r="FJ110" s="1">
        <v>5100000</v>
      </c>
      <c r="FK110" s="1" t="s">
        <v>410</v>
      </c>
      <c r="FL110" s="1">
        <v>4200000</v>
      </c>
      <c r="FM110" s="1" t="s">
        <v>410</v>
      </c>
      <c r="FN110" s="1">
        <v>46500000</v>
      </c>
      <c r="FO110" s="1" t="s">
        <v>410</v>
      </c>
      <c r="FP110" s="1">
        <v>49700000</v>
      </c>
      <c r="FQ110" s="1" t="s">
        <v>410</v>
      </c>
      <c r="FR110" s="1">
        <v>2600000</v>
      </c>
      <c r="FS110" s="1" t="s">
        <v>410</v>
      </c>
      <c r="FT110" s="1">
        <v>15853000</v>
      </c>
      <c r="FU110" s="1" t="s">
        <v>410</v>
      </c>
      <c r="FV110" s="79">
        <f t="shared" si="355"/>
        <v>123953000</v>
      </c>
      <c r="FW110" s="1">
        <v>1604722</v>
      </c>
      <c r="FX110" s="1" t="s">
        <v>410</v>
      </c>
      <c r="FY110" s="1">
        <v>157336</v>
      </c>
      <c r="FZ110" s="79">
        <f t="shared" si="377"/>
        <v>952034.5</v>
      </c>
      <c r="GA110" s="86" t="str">
        <f t="shared" si="378"/>
        <v>jun23 may24</v>
      </c>
      <c r="GB110" s="1">
        <v>19189740</v>
      </c>
      <c r="GC110" s="6">
        <v>2024</v>
      </c>
      <c r="GD110" s="1">
        <v>1714000</v>
      </c>
      <c r="GE110" s="1">
        <v>424000</v>
      </c>
      <c r="GF110" s="1">
        <v>1165000</v>
      </c>
      <c r="GG110" s="1">
        <v>145000</v>
      </c>
      <c r="GH110" s="79">
        <f t="shared" si="240"/>
        <v>1734000</v>
      </c>
      <c r="GI110" s="82">
        <f t="shared" si="373"/>
        <v>1302556</v>
      </c>
      <c r="GJ110" s="83">
        <f t="shared" si="373"/>
        <v>682423</v>
      </c>
      <c r="GK110" s="83">
        <f t="shared" si="373"/>
        <v>1391495</v>
      </c>
      <c r="GL110" s="83">
        <f t="shared" si="373"/>
        <v>305049</v>
      </c>
      <c r="GM110" s="83">
        <f t="shared" si="373"/>
        <v>260419</v>
      </c>
      <c r="GN110" s="79">
        <f t="shared" si="357"/>
        <v>2639386</v>
      </c>
      <c r="GO110" s="83">
        <f t="shared" si="374"/>
        <v>201734</v>
      </c>
      <c r="GP110" s="83">
        <f t="shared" si="416"/>
        <v>69297</v>
      </c>
      <c r="GQ110" s="83">
        <v>38944</v>
      </c>
      <c r="GR110" s="1">
        <v>34035</v>
      </c>
      <c r="GS110" s="79">
        <f t="shared" si="412"/>
        <v>35203.32</v>
      </c>
      <c r="GT110" s="83">
        <f t="shared" si="407"/>
        <v>2111561</v>
      </c>
      <c r="GU110" s="1">
        <f>45860+8735</f>
        <v>54595</v>
      </c>
      <c r="GV110" s="1">
        <f>7384+19233</f>
        <v>26617</v>
      </c>
      <c r="GW110" s="79">
        <f t="shared" si="261"/>
        <v>753443</v>
      </c>
      <c r="GX110" s="1">
        <v>30804.553</v>
      </c>
      <c r="GY110" s="1" t="s">
        <v>436</v>
      </c>
      <c r="GZ110" s="1">
        <v>80786</v>
      </c>
      <c r="HA110" s="1">
        <v>265678</v>
      </c>
      <c r="HB110" s="79">
        <f t="shared" si="241"/>
        <v>3169849</v>
      </c>
      <c r="HC110" s="86" t="str">
        <f t="shared" si="379"/>
        <v>jun23 may24</v>
      </c>
      <c r="HD110" s="1">
        <v>73278</v>
      </c>
      <c r="HE110" s="79">
        <f t="shared" si="380"/>
        <v>771477</v>
      </c>
      <c r="HF110" s="86" t="str">
        <f t="shared" si="381"/>
        <v>jun23 may24</v>
      </c>
      <c r="HG110" s="1">
        <v>196000</v>
      </c>
      <c r="HH110" s="79">
        <f t="shared" si="242"/>
        <v>2297000</v>
      </c>
      <c r="HI110" s="86" t="str">
        <f t="shared" si="382"/>
        <v>jun23 may24</v>
      </c>
      <c r="HJ110" s="1">
        <v>94943</v>
      </c>
      <c r="HK110" s="79">
        <f t="shared" si="278"/>
        <v>68136.12</v>
      </c>
      <c r="HL110" s="86" t="str">
        <f t="shared" si="383"/>
        <v>jun23 may24</v>
      </c>
      <c r="HM110" s="79">
        <f t="shared" si="358"/>
        <v>2365136.12</v>
      </c>
      <c r="HN110" s="87">
        <f t="shared" si="297"/>
        <v>-0.10755395476085794</v>
      </c>
      <c r="HO110" s="1">
        <v>787137411.90092325</v>
      </c>
      <c r="HP110" s="79">
        <f t="shared" si="386"/>
        <v>10729.444495900923</v>
      </c>
      <c r="HQ110" s="86" t="str">
        <f t="shared" si="384"/>
        <v>jun23 may24</v>
      </c>
      <c r="HR110" s="1"/>
      <c r="HS110" s="1"/>
      <c r="HT110" s="1"/>
      <c r="HU110" s="1">
        <v>700000</v>
      </c>
      <c r="HV110" s="1" t="s">
        <v>410</v>
      </c>
      <c r="HW110" s="1">
        <v>1500000</v>
      </c>
      <c r="HX110" s="1" t="s">
        <v>410</v>
      </c>
      <c r="HY110" s="1">
        <v>4600000</v>
      </c>
      <c r="HZ110" s="1" t="s">
        <v>410</v>
      </c>
      <c r="IA110" s="1">
        <f>(3.6+18)*1000000</f>
        <v>21600000</v>
      </c>
      <c r="IB110" s="1" t="s">
        <v>410</v>
      </c>
      <c r="IC110" s="1">
        <v>45000000</v>
      </c>
      <c r="ID110" s="1" t="s">
        <v>410</v>
      </c>
      <c r="IE110" s="1">
        <v>1500000</v>
      </c>
      <c r="IF110" s="1" t="s">
        <v>410</v>
      </c>
      <c r="IG110" s="1">
        <f t="shared" si="415"/>
        <v>7400000</v>
      </c>
      <c r="IH110" s="1" t="s">
        <v>410</v>
      </c>
      <c r="II110" s="79">
        <f t="shared" si="359"/>
        <v>81600000</v>
      </c>
      <c r="IJ110" s="97">
        <f t="shared" si="434"/>
        <v>2.1563835150032644</v>
      </c>
      <c r="IK110" s="1" t="s">
        <v>410</v>
      </c>
      <c r="IL110" s="7">
        <v>45.52</v>
      </c>
      <c r="IM110" s="7">
        <v>49.18</v>
      </c>
      <c r="IN110" s="7">
        <v>155.80000000000001</v>
      </c>
      <c r="IO110" s="7">
        <v>16.68</v>
      </c>
      <c r="IP110" s="176">
        <f t="shared" si="432"/>
        <v>5.5693606783423002</v>
      </c>
      <c r="IQ110" s="176">
        <v>16.3</v>
      </c>
      <c r="IR110" s="98">
        <f t="shared" si="397"/>
        <v>6.09</v>
      </c>
      <c r="IS110" s="98">
        <f t="shared" si="397"/>
        <v>4.03</v>
      </c>
      <c r="IT110" s="98">
        <f t="shared" si="397"/>
        <v>11.98</v>
      </c>
      <c r="IU110" s="98">
        <f t="shared" si="397"/>
        <v>1.38</v>
      </c>
      <c r="IV110" s="94">
        <f t="shared" si="360"/>
        <v>17.39</v>
      </c>
      <c r="IW110" s="1"/>
      <c r="IX110" s="1"/>
      <c r="IY110" s="80">
        <v>1.88</v>
      </c>
      <c r="IZ110" s="88">
        <v>0.3</v>
      </c>
      <c r="JA110" s="1">
        <v>2813</v>
      </c>
      <c r="JB110" s="95">
        <f t="shared" si="433"/>
        <v>35.950000000000003</v>
      </c>
      <c r="JC110" s="1"/>
      <c r="JD110" s="1"/>
      <c r="JF110" s="2">
        <v>14.529816729999997</v>
      </c>
      <c r="JG110" s="2">
        <v>32.785113670000001</v>
      </c>
      <c r="JH110" s="2">
        <v>84.825069659999983</v>
      </c>
      <c r="JI110" s="2">
        <v>273.41087562000001</v>
      </c>
      <c r="JJ110" s="2">
        <v>730.02034002999994</v>
      </c>
      <c r="JK110" s="2">
        <v>63.473924160000003</v>
      </c>
      <c r="JL110" s="2">
        <v>3483.5287146800006</v>
      </c>
      <c r="JM110" s="2">
        <v>49.940609049999999</v>
      </c>
      <c r="JN110" s="2">
        <v>183.34017652000003</v>
      </c>
      <c r="JO110" s="2">
        <v>34.45773063</v>
      </c>
      <c r="JP110" s="2">
        <v>0</v>
      </c>
      <c r="JQ110" s="2">
        <v>10.070773300000001</v>
      </c>
      <c r="JR110" s="2">
        <v>1.7009031500000003</v>
      </c>
      <c r="JS110" s="2">
        <v>0</v>
      </c>
      <c r="JT110" s="2">
        <v>0.19261201</v>
      </c>
      <c r="JU110" s="2">
        <v>84.428757199999993</v>
      </c>
      <c r="JV110" s="2">
        <v>12.39432347</v>
      </c>
      <c r="JW110" s="2">
        <v>32.908446089999998</v>
      </c>
      <c r="JX110" s="2">
        <v>34.939358250000005</v>
      </c>
      <c r="JY110" s="2">
        <v>0</v>
      </c>
      <c r="JZ110" s="2">
        <v>2.1988176799999999</v>
      </c>
      <c r="KA110" s="2">
        <v>0.1075</v>
      </c>
      <c r="KB110" s="2">
        <v>19.29025034</v>
      </c>
      <c r="KC110" s="2">
        <v>31.625168280000004</v>
      </c>
      <c r="KD110" s="2">
        <v>7.2906957700000001</v>
      </c>
      <c r="KE110" s="2">
        <v>19.199801710000003</v>
      </c>
      <c r="KF110" s="2">
        <v>22.778743510000002</v>
      </c>
      <c r="KG110" s="2">
        <v>309.32423856999998</v>
      </c>
      <c r="KH110" s="2">
        <v>113.57779348999999</v>
      </c>
      <c r="KI110" s="2">
        <v>17.774232269999999</v>
      </c>
      <c r="KJ110" s="2">
        <v>1.9296841299999996</v>
      </c>
      <c r="KK110" s="2">
        <v>4.5516111999999991</v>
      </c>
      <c r="KL110" s="2">
        <v>0.23845672000000001</v>
      </c>
      <c r="KM110" s="2">
        <v>0.61797058000000005</v>
      </c>
      <c r="KN110" s="2">
        <v>0.38608139000000002</v>
      </c>
      <c r="KO110" s="2">
        <v>5.5839339999999993</v>
      </c>
      <c r="KP110" s="2">
        <v>8.714181E-2</v>
      </c>
      <c r="KQ110" s="2">
        <v>329.41429038000001</v>
      </c>
      <c r="KR110" s="2">
        <v>0.38584553000000005</v>
      </c>
      <c r="KS110" s="2">
        <v>0.16040794999999999</v>
      </c>
      <c r="KT110" s="2">
        <v>1.9938344900000002</v>
      </c>
      <c r="KU110" s="2">
        <v>0.12198517</v>
      </c>
      <c r="KV110" s="2">
        <v>0.1114098</v>
      </c>
      <c r="KW110" s="2">
        <v>1.4514015200000001</v>
      </c>
      <c r="KX110" s="2">
        <v>0</v>
      </c>
      <c r="KY110" s="2">
        <v>1.7099999999999999E-3</v>
      </c>
      <c r="KZ110" s="2">
        <v>1.3068112300000001</v>
      </c>
      <c r="LA110" s="2">
        <v>0.32288670000000003</v>
      </c>
      <c r="LB110" s="2">
        <v>0</v>
      </c>
      <c r="LC110" s="2">
        <v>3.755054E-2</v>
      </c>
      <c r="LD110" s="2">
        <v>0</v>
      </c>
      <c r="LE110" s="2">
        <v>0.14963789999999999</v>
      </c>
      <c r="LF110" s="2">
        <v>0.15787200000000001</v>
      </c>
      <c r="LG110" s="2">
        <v>19.941855059999995</v>
      </c>
      <c r="LH110" s="2">
        <v>5.5991701699999998</v>
      </c>
      <c r="LI110" s="2">
        <v>1.50586095</v>
      </c>
      <c r="LJ110" s="2">
        <v>0</v>
      </c>
      <c r="LK110" s="2">
        <v>1.7294530099999998</v>
      </c>
      <c r="LL110" s="2">
        <v>3.3189943100000003</v>
      </c>
      <c r="LM110" s="2">
        <v>1.6658761100000001</v>
      </c>
      <c r="LN110" s="2">
        <v>0.13589592</v>
      </c>
      <c r="LO110" s="2">
        <v>2.7920763000000002</v>
      </c>
      <c r="LQ110" s="85">
        <f t="shared" si="247"/>
        <v>4805.0657855600002</v>
      </c>
      <c r="LR110" s="85">
        <f t="shared" si="248"/>
        <v>11.964288460000001</v>
      </c>
      <c r="LS110" s="85">
        <f t="shared" si="249"/>
        <v>45.302769560000002</v>
      </c>
      <c r="LT110" s="85">
        <f t="shared" si="250"/>
        <v>2.3063176799999998</v>
      </c>
      <c r="LU110" s="85">
        <f t="shared" si="251"/>
        <v>336.54852982999995</v>
      </c>
      <c r="LV110" s="85">
        <f t="shared" si="252"/>
        <v>1.5645213200000003</v>
      </c>
      <c r="LW110" s="85">
        <f t="shared" si="253"/>
        <v>0.32288670000000003</v>
      </c>
      <c r="LX110" s="85">
        <f t="shared" si="254"/>
        <v>0.3075099</v>
      </c>
      <c r="LZ110" s="83">
        <v>1266.4000000000001</v>
      </c>
      <c r="MA110" s="83">
        <v>2351.11</v>
      </c>
      <c r="MB110"/>
      <c r="MC110"/>
      <c r="MD110"/>
      <c r="MF110"/>
      <c r="MG110"/>
      <c r="MH110" s="83">
        <v>2501.86</v>
      </c>
      <c r="MI110" s="83">
        <v>786.85</v>
      </c>
      <c r="MJ110" s="83">
        <v>714.83</v>
      </c>
      <c r="MK110"/>
      <c r="ML110" s="83">
        <v>1138.07</v>
      </c>
      <c r="MM110" s="83">
        <v>3750.92</v>
      </c>
      <c r="MN110" s="83"/>
      <c r="MO110" s="83">
        <v>553.88</v>
      </c>
      <c r="MP110" s="83">
        <v>2005.07</v>
      </c>
      <c r="MQ110" s="83">
        <v>2051.4699999999998</v>
      </c>
      <c r="MR110"/>
      <c r="MT110" s="83"/>
      <c r="MU110" s="83">
        <v>1091.94</v>
      </c>
      <c r="MV110"/>
      <c r="MW110"/>
      <c r="MX110"/>
      <c r="MY110" s="83">
        <v>2120.84</v>
      </c>
      <c r="MZ110" s="83">
        <v>4327</v>
      </c>
      <c r="NA110" s="83">
        <v>2539</v>
      </c>
      <c r="NB110" s="83">
        <v>6833</v>
      </c>
      <c r="NC110" s="83">
        <v>1320.05</v>
      </c>
      <c r="ND110" s="1">
        <v>7400</v>
      </c>
      <c r="NE110" s="1">
        <v>4420</v>
      </c>
    </row>
    <row r="111" spans="1:369" ht="14.4" thickBot="1">
      <c r="A111" s="38">
        <f t="shared" si="417"/>
        <v>45444</v>
      </c>
      <c r="B111" s="36">
        <f t="shared" si="428"/>
        <v>6</v>
      </c>
      <c r="C111" s="36">
        <f t="shared" si="429"/>
        <v>2024</v>
      </c>
      <c r="D111" s="36">
        <f t="shared" si="347"/>
        <v>111</v>
      </c>
      <c r="E111" s="38">
        <f t="shared" si="418"/>
        <v>45444</v>
      </c>
      <c r="F111" s="7">
        <v>902.5</v>
      </c>
      <c r="G111" s="7">
        <v>6351.7</v>
      </c>
      <c r="H111" s="1">
        <f>[2]NACIONALES!$D99</f>
        <v>578027.04269888857</v>
      </c>
      <c r="I111" s="7">
        <v>110</v>
      </c>
      <c r="J111" s="7">
        <v>534</v>
      </c>
      <c r="K111" s="265">
        <v>4.9000000000000004</v>
      </c>
      <c r="L111" s="7">
        <f>31657/F111</f>
        <v>35.077008310249305</v>
      </c>
      <c r="N111" s="7">
        <f>(1.48+1.52+1.53+1.54)/4</f>
        <v>1.5175000000000001</v>
      </c>
      <c r="O111" s="7">
        <f>(1.14+1.18+1.22+1.26)/4</f>
        <v>1.2</v>
      </c>
      <c r="P111" s="78">
        <f t="shared" si="398"/>
        <v>1164.95828125</v>
      </c>
      <c r="Q111" s="6">
        <v>38184.457925925926</v>
      </c>
      <c r="R111" s="79">
        <f t="shared" si="419"/>
        <v>381844.57925925928</v>
      </c>
      <c r="S111" s="6">
        <f>174923/F111</f>
        <v>193.82049861495844</v>
      </c>
      <c r="T111" s="6">
        <f>293000/F111</f>
        <v>324.65373961218836</v>
      </c>
      <c r="U111" s="188">
        <v>182.42</v>
      </c>
      <c r="V111" s="6">
        <v>300.27999999999997</v>
      </c>
      <c r="W111" s="6">
        <f>166247/F111</f>
        <v>184.20720221606649</v>
      </c>
      <c r="X111" s="6">
        <v>229</v>
      </c>
      <c r="Y111" s="79">
        <f t="shared" si="420"/>
        <v>174923</v>
      </c>
      <c r="Z111" s="79">
        <f t="shared" si="421"/>
        <v>293000</v>
      </c>
      <c r="AA111" s="79">
        <f t="shared" si="422"/>
        <v>164634.04999999999</v>
      </c>
      <c r="AB111" s="79">
        <f t="shared" si="423"/>
        <v>271002.69999999995</v>
      </c>
      <c r="AC111" s="79">
        <f t="shared" si="424"/>
        <v>166247</v>
      </c>
      <c r="AD111" s="79">
        <f t="shared" si="425"/>
        <v>206672.5</v>
      </c>
      <c r="AE111" s="79">
        <f t="shared" si="426"/>
        <v>212746.54166666666</v>
      </c>
      <c r="AF111" s="1">
        <v>809674.3529411765</v>
      </c>
      <c r="AG111" s="83">
        <v>300000</v>
      </c>
      <c r="AH111" s="1">
        <f>+AG111/AG110*AH110</f>
        <v>770270.27027027018</v>
      </c>
      <c r="AI111" s="5">
        <v>467.16</v>
      </c>
      <c r="AJ111" s="5">
        <v>315.54000000000002</v>
      </c>
      <c r="AK111" s="5">
        <v>270.86</v>
      </c>
      <c r="AL111" s="5">
        <v>272.95</v>
      </c>
      <c r="AM111" s="78">
        <f t="shared" si="427"/>
        <v>363.4468</v>
      </c>
      <c r="AN111" s="7">
        <v>23789.0625</v>
      </c>
      <c r="AO111" s="7">
        <v>13264.1875</v>
      </c>
      <c r="AP111" s="78">
        <f t="shared" si="385"/>
        <v>13264.1875</v>
      </c>
      <c r="AQ111" s="7">
        <v>5687.5</v>
      </c>
      <c r="AR111" s="7">
        <v>7484.7500000000009</v>
      </c>
      <c r="AS111" s="7">
        <v>8500</v>
      </c>
      <c r="AT111" s="7">
        <v>9868.75</v>
      </c>
      <c r="AU111" s="78">
        <f t="shared" si="348"/>
        <v>8617.8333333333339</v>
      </c>
      <c r="AV111" s="7">
        <v>7119.2982456140353</v>
      </c>
      <c r="AW111" s="7">
        <v>8346.1538461538457</v>
      </c>
      <c r="AX111" s="7">
        <v>12649.375</v>
      </c>
      <c r="AY111" s="7">
        <v>27256.296296296296</v>
      </c>
      <c r="AZ111" s="7">
        <v>7328.6437500000002</v>
      </c>
      <c r="BA111" s="7">
        <v>3525</v>
      </c>
      <c r="BB111" s="94">
        <f t="shared" si="345"/>
        <v>13650.521540637859</v>
      </c>
      <c r="BC111" s="68">
        <v>32387</v>
      </c>
      <c r="BD111" s="68">
        <v>29148</v>
      </c>
      <c r="BE111" s="95">
        <f>+BE110*BC111/BC110</f>
        <v>22087.868619908884</v>
      </c>
      <c r="BF111" s="95">
        <f>+BF110</f>
        <v>20500</v>
      </c>
      <c r="BG111" s="94">
        <f t="shared" si="349"/>
        <v>26030.717154977221</v>
      </c>
      <c r="BH111" s="7">
        <v>2820</v>
      </c>
      <c r="BI111" s="7">
        <v>600</v>
      </c>
      <c r="BJ111" s="78">
        <f t="shared" si="350"/>
        <v>3420</v>
      </c>
      <c r="BK111" s="7">
        <v>2007.6969999999999</v>
      </c>
      <c r="BL111" s="7">
        <v>2052.06</v>
      </c>
      <c r="BM111" s="94">
        <f t="shared" si="351"/>
        <v>2029.8784999999998</v>
      </c>
      <c r="BN111" s="5">
        <v>403.38</v>
      </c>
      <c r="BO111" s="84">
        <v>1680.85</v>
      </c>
      <c r="BP111" s="84">
        <v>1226.81</v>
      </c>
      <c r="BQ111" s="94">
        <f t="shared" si="435"/>
        <v>1453.83</v>
      </c>
      <c r="BR111" s="97">
        <v>924.03</v>
      </c>
      <c r="BS111" s="7">
        <v>3900</v>
      </c>
      <c r="BT111" s="7">
        <f>1.12*F111</f>
        <v>1010.8000000000001</v>
      </c>
      <c r="BU111" s="79">
        <f t="shared" ref="BU111:BU141" si="436">+BS111*12+BT111*3</f>
        <v>49832.4</v>
      </c>
      <c r="BV111" s="7">
        <v>1461</v>
      </c>
      <c r="BW111" s="7">
        <v>2167</v>
      </c>
      <c r="BY111" s="92">
        <f>BY$10*(1+((H111/H$10-1)*costos!$B$5+((I111*F111)/(I$10*F$10)-1)*costos!$E$5+((J111*F111)/((J$10*F$10)-1)*costos!$F$5/3+((K111*F111)/(K$10*F$10)-1)*costos!$F$5/3+((U111*F111)/(U$10*F$10)-1)*costos!$F$5/3+((L111*F111)/(L$10*F$10)-1)*costos!$G$5+((N111*F111)/(N$10*F$10)-1)*costos!$J$5+((V111*F111)/(V$10*F$10)-1)*costos!$K$5)))</f>
        <v>8070.9621397894225</v>
      </c>
      <c r="BZ111" s="92">
        <f>$BZ$10*(1+((H111/$H$10-1)*costos!$B$6+((I111*F111)/($I$10*$F$10)-1)*costos!$E$6+((J111*F111)/(($J$10*$F$10)-1)*costos!$F$6/3+((K111*F111)/($K$10*$F$10)-1)*costos!$F$6/3+((U111*F111)/($U$10*$F$10)-1)*costos!$F$6/3+((L111*F111)/($L$10*$F$10)-1)*costos!$G$6+((Q111*F111)/($Q$10*$F$10)-1)*costos!$J$6+((V111*F111)/($V$10*$F$10)-1)*costos!$K$6)))</f>
        <v>7866.6337134286805</v>
      </c>
      <c r="CA111" s="92">
        <f>CA$10*(1+((H111/H$10-1)*costos!$B$7+((I111*F111)/(I$10*F$10)-1)*costos!$E$7+((J111*F111)/((J$10*F$10)-1)*costos!$F$7/3+((K111*F111)/(K$10*F$10)-1)*costos!$F$7/3+((U111*F111)/(U$10*F$10)-1)*costos!$F$7/3+((L111*F111)/(L$10*F$10)-1)*costos!$G$7+((S111*F111)/(S$10*F$10)-1)*costos!$J$7+((V111*F111)/(V$10*F$10)-1)*costos!$K$7)))</f>
        <v>8184.1938671080325</v>
      </c>
      <c r="CB111" s="92">
        <f>CB$10*(1+((H111/H$10-1)*costos!$B$8+((I111*F111)/(I$10*F$10)-1)*costos!$E$8+((J111*F111)/((J$10*F$10)-1)*costos!$F$8/3+((K111*F111)/(K$10*F$10)-1)*costos!$F$8/3+((U111*F111)/(U$10*F$10)-1)*costos!$F$8/3+((L111*F111)/(L$10*F$10)-1)*costos!$G$8+((T111*F111)/(T$10*F$10)-1)*costos!$J$8+((V111*F111)/(V$10*F$10)-1)*costos!$K$8)))</f>
        <v>7993.2409945169284</v>
      </c>
      <c r="CC111" s="92">
        <f>CC$10*(1+((H111/H$10-1)*costos!$B$9+((I111*F111)/(I$10*F$10)-1)*costos!$E$9+((J111*F111)/((J$10*F$10)-1)*costos!$F$9/3+((K111*F111)/(K$10*F$10)-1)*costos!$F$9/3+((U111*F111)/(U$10*F$10)-1)*costos!$F$9/3+((L111*F111)/(L$10*F$10)-1)*costos!$G$9+((U111*F111)/(U$10*F$10)-1)*costos!$J$9+((V111*F111)/(V$10*F$10)-1)*costos!$K$9)))</f>
        <v>8029.5639936109437</v>
      </c>
      <c r="CD111" s="92">
        <f>CD$10*(1+((H111/H$10-1)*costos!$B$11+((I111*F111)/(I$10*F$10)-1)*costos!$E$11+((J111*F111)/((J$10*F$10)-1)*costos!$F$11/3+((K111*F111)/(K$10*F$10)-1)*costos!$F$11/3+((U111*F111)/(U$10*F$10)-1)*costos!$F$11/3+((L111*F111)/(L$10*F$10)-1)*costos!$G$11+((V111*F111)/(V$10*F$10)-1)*costos!$J$11+((V111*F111)/(V$10*F$10)-1)*costos!$K$11)))</f>
        <v>8209.7628130406247</v>
      </c>
      <c r="CE111" s="92">
        <f>CE$10*(1+((H111/H$10-1)*costos!$B$12+((I111*F111)/(I$10*F$10)-1)*costos!$E$12+((J111*F111)/((J$10*F$10)-1)*costos!$F$12/3+((K111*F111)/(K$10*F$10)-1)*costos!$F$12/3+((U111*F111)/(U$10*F$10)-1)*costos!$F$12/3+((L111*F111)/(L$10*F$10)-1)*costos!$G$12+((W111*F111)/(W$10*F$10)-1)*costos!$J$12+((V111*F111)/(V$10*F$10)-1)*costos!$K$12)))</f>
        <v>8023.495640653452</v>
      </c>
      <c r="CF111" s="92">
        <f>CF$10*(1+((H111/H$10-1)*costos!$B$13+((I111*F111)/(I$10*F$10)-1)*costos!$E$13+((J111*F111)/((J$10*F$10)-1)*costos!$F$13/3+((K111*F111)/(K$10*F$10)-1)*costos!$F$13/3+((U111*F111)/(U$10*F$10)-1)*costos!$F$13/3+((L111*F111)/(L$10*F$10)-1)*costos!$G$13+((X111*F111)/(X$10*F$10)-1)*costos!$J$13+((V111*F111)/(V$10*F$10)-1)*costos!$K$13)))</f>
        <v>8548.4677219333353</v>
      </c>
      <c r="CG111" s="92">
        <f t="shared" si="388"/>
        <v>8164.7875051438868</v>
      </c>
      <c r="CH111" s="92">
        <f>CH$10*(1+((H111/H$10-1)*costos!$B$10+((I111*F111)/(I$10*F$10)-1)*costos!$E$10+((J111*F111)/((J$10*F$10)-1)*costos!$F$10/3+((K111*F111)/(K$10*F$10)-1)*costos!$F$10/3+((U111*F111)/(U$10*F$10)-1)*costos!$F$10/3+((L111*F111)/(L$10*F$10)-1)*costos!$G$10+((AF111)/(AF$10)-1)*costos!$J$10+((V111*F111)/(V$10*F$10)-1)*costos!$K$10)))</f>
        <v>9667.8663664984506</v>
      </c>
      <c r="CI111" s="92">
        <f>CI$10*(1+((H111/H$10-1)*costos!$B$15+((I111*F111)/(I$10*F$10)-1)*costos!$E$15+((J111*F111)/((J$10*F$10)-1)*costos!$F$15/3+((K111*F111)/(K$10*F$10)-1)*costos!$F$15/3+((U111*F111)/(U$10*F$10)-1)*costos!$F$15/3+((L111*F111)/(L$10*F$10)-1)*costos!$G$15+((AV111)/(AV$10)-1)*costos!$J$15+((V111*F111)/(V$10*F$10)-1)*costos!$K$15)))</f>
        <v>8349.9929086673983</v>
      </c>
      <c r="CJ111" s="92">
        <f>CJ$10*(1+((H111/H$10-1)*costos!$B$16+((I111*F111)/(I$10*F$10)-1)*costos!$E$16+((J111*F111)/((J$10*F$10)-1)*costos!$F$16/3+((K111*F111)/(K$10*F$10)-1)*costos!$F$16/3+((U111*F111)/(U$10*F$10)-1)*costos!$F$16/3+((L111*F111)/(L$10*F$10)-1)*costos!$G$16+((AW111)/(AW$10)-1)*costos!$J$16+((V111*F111)/(V$10*F$10)-1)*costos!$K$16)))</f>
        <v>7070.0257667500264</v>
      </c>
      <c r="CK111" s="92">
        <f>CK$10*(1+((H111/H$10-1)*costos!$B$17+((I111*F111)/(I$10*F$10)-1)*costos!$E$17+((J111*F111)/((J$10*F$10)-1)*costos!$F$17/3+((K111*F111)/(K$10*F$10)-1)*costos!$F$17/3+((U111*F111)/(U$10*F$10)-1)*costos!$F$17/3+((L111*F111)/(L$10*F$10)-1)*costos!$G$17+((AX111)/(AX$10)-1)*costos!$J$17+((V111*F111)/(V$10*F$10)-1)*costos!$K$17)))</f>
        <v>9443.1456353818139</v>
      </c>
      <c r="CL111" s="92">
        <f>CL$10*(1+((H111/H$10-1)*costos!$B$18+((I111*F111)/(I$10*F$10)-1)*costos!$E$18+((J111*F111)/((J$10*F$10)-1)*costos!$F$18/3+((K111*F111)/(K$10*F$10)-1)*costos!$F$18/3+((U111*F111)/(U$10*F$10)-1)*costos!$F$18/3+((L111*F111)/(L$10*F$10)-1)*costos!$G$18+((AY111)/(AY$10)-1)*costos!$J$18+((V111*F111)/(V$10*F$10)-1)*costos!$K$18)))</f>
        <v>12372.174977853891</v>
      </c>
      <c r="CM111" s="92">
        <f>CM$10*(1+((H111/H$10-1)*costos!$B$19+((I111*F111)/(I$10*F$10)-1)*costos!$E$19+((J111*F111)/((J$10*F$10)-1)*costos!$F$19/3+((K111*F111)/(K$10*F$10)-1)*costos!$F$19/3+((U111*F111)/(U$10*F$10)-1)*costos!$F$19/3+((L111*F111)/(L$10*F$10)-1)*costos!$G$19+((AZ111)/(AZ$10)-1)*costos!$J$19+((V111*F111)/(V$10*F$10)-1)*costos!$K$19)))</f>
        <v>7365.5658226920905</v>
      </c>
      <c r="CN111" s="92">
        <f>CN$10*(1+((H111/H$10-1)*costos!$B$20+((I111*F111)/(I$10*F$10)-1)*costos!$E$20+((J111*F111)/((J$10*F$10)-1)*costos!$F$20/3+((K111*F111)/(K$10*F$10)-1)*costos!$F$20/3+((U111*F111)/(U$10*F$10)-1)*costos!$F$20/3+((L111*F111)/(L$10*F$10)-1)*costos!$G$20+((BA111)/(BA$10)-1)*costos!$J$20+((V111*F111)/(V$10*F$10)-1)*costos!$K$20)))</f>
        <v>7059.8598034600982</v>
      </c>
      <c r="CO111" s="92">
        <f t="shared" si="399"/>
        <v>9060.186559846974</v>
      </c>
      <c r="CP111" s="92">
        <f>CP$10*(1+((H111/H$10-1)*costos!$B$22+((I111*F111)/(I$10*F$10)-1)*costos!$E$22+((J111*F111)/((J$10*F$10)-1)*costos!$F$22/3+((K111*F111)/(K$10*F$10)-1)*costos!$F$22/3+((U111*F111)/(U$10*F$10)-1)*costos!$F$22/3+((L111*F111)/(L$10*F$10)-1)*costos!$G$22+(((AVERAGE(AI111:AL111))/((AVERAGE(AI$10:AL$10))-1)*costos!$J$22+((V111*F111)/(V$10*F$10)-1)*costos!$K$22)))))</f>
        <v>9135.4726722071573</v>
      </c>
      <c r="CQ111" s="92">
        <f>CQ$10*(1+((H111/H$10-1)*costos!$B$23+((I111*F111)/(I$10*F$10)-1)*costos!$E$23+((J111*F111)/((J$10*F$10)-1)*costos!$F$23/3+((K111*F111)/(K$10*F$10)-1)*costos!$F$23/3+((U111*F111)/(U$10*F$10)-1)*costos!$F$23/3+((L111*F111)/(L$10*F$10)-1)*costos!$G$23+((AN111)/(AN$10)-1)*costos!$J$23+((V111*F111)/(V$10*F$10)-1)*costos!$K$23)))</f>
        <v>7695.716593603197</v>
      </c>
      <c r="CR111" s="92">
        <f>CR$10*(1+((H111/H$10-1)*costos!$B$24+((I111*F111)/(I$10*F$10)-1)*costos!$E$24+((J111*F111)/((J$10*F$10)-1)*costos!$F$24/3+((K111*F111)/(K$10*F$10)-1)*costos!$F$24/3+((U111*F111)/(U$10*F$10)-1)*costos!$F$24/3+((L111*F111)/(L$10*F$10)-1)*costos!$G$24+((AO111)/(AO$10)-1)*costos!$J$24+((V111*F111)/(V$10*F$10)-1)*costos!$K$24)))</f>
        <v>7610.8493002345595</v>
      </c>
      <c r="CS111" s="92">
        <f t="shared" si="352"/>
        <v>7653.2829469188782</v>
      </c>
      <c r="CT111" s="92">
        <f>CT$10*(1+((H111/H$10-1)*costos!$B$25+((I111*F111)/(I$10*F$10)-1)*costos!$E$25+((J111*F111)/((J$10*F$10)-1)*costos!$F$25/3+((K111*F111)/(K$10*F$10)-1)*costos!$F$25/3+((U111*F111)/(U$10*F$10)-1)*costos!$F$25/3+((L111*F111)/(L$10*F$10)-1)*costos!$G$25+((AQ111)/(AQ$10)-1)*costos!$J$25+((V111*F111)/(V$10*F$10)-1)*costos!$K$25)))</f>
        <v>7002.0512915230593</v>
      </c>
      <c r="CU111" s="92">
        <f>CU$10*(1+((H111/H$10-1)*costos!$B$26+((I111*F111)/(I$10*F$10)-1)*costos!$E$26+((J111*F111)/((J$10*F$10)-1)*costos!$F$26/3+((K111*F111)/(K$10*F$10)-1)*costos!$F$26/3+((U111*F111)/(U$10*F$10)-1)*costos!$F$26/3+((L111*F111)/(L$10*F$10)-1)*costos!$G$26+((AR111)/(AR$10)-1)*costos!$J$26+((V111*F111)/(V$10*F$10)-1)*costos!$K$26)))</f>
        <v>7389.9522512480662</v>
      </c>
      <c r="CV111" s="92">
        <f>CV$10*(1+((H111/H$10-1)*costos!$B$27+((I111*F111)/(I$10*F$10)-1)*costos!$E$27+((J111*F111)/((J$10*F$10)-1)*costos!$F$27/3+((K111*F111)/(K$10*F$10)-1)*costos!$F$27/3+((U111*F111)/(U$10*F$10)-1)*costos!$F$27/3+((L111*F111)/(L$10*F$10)-1)*costos!$G$27+((AS111)/(AS$10)-1)*costos!$J$27+((V111*F111)/(V$10*F$10)-1)*costos!$K$27)))</f>
        <v>7449.0745575052442</v>
      </c>
      <c r="CW111" s="92">
        <f>CW$10*(1+((H111/H$10-1)*costos!$B$28+((I111*F111)/(I$10*F$10)-1)*costos!$E$28+((J111*F111)/((J$10*F$10)-1)*costos!$F$28/3+((K111*F111)/(K$10*F$10)-1)*costos!$F$28/3+((U111*F111)/(U$10*F$10)-1)*costos!$F$28/3+((L111*F111)/(L$10*F$10)-1)*costos!$G$28+((AS111)/(AS$10)-1)*costos!$J$28+((V111*F111)/(V$10*F$10)-1)*costos!$K$28)))</f>
        <v>7449.0745575052442</v>
      </c>
      <c r="CX111" s="92">
        <f t="shared" si="400"/>
        <v>7429.3671220861843</v>
      </c>
      <c r="CY111" s="92">
        <f>CY$10*(1+((H111/H$10-1)*costos!$B$32+((I111*F111)/(I$10*F$10)-1)*costos!$E$32+((J111*F111)/((J$10*F$10)-1)*costos!$F$32/3+((K111*F111)/(K$10*F$10)-1)*costos!$F$32/3+((U111*F111)/(U$10*F$10)-1)*costos!$F$32/3+((L111*F111)/(L$10*F$10)-1)*costos!$G$32+((AG111)/(AG$10)-1)*costos!$J$32+((V111*F111)/(V$10*F$10)-1)*costos!$K$32)))</f>
        <v>7571.2287718516691</v>
      </c>
      <c r="CZ111" s="69">
        <f>CZ$10*(1+((H111/H$10-1)*costos!$B$31+((I111*F111)/(I$10*F$10)-1)*costos!$E$30+((J111*F111)/((J$10*F$10)-1)*costos!$F$30/3+((K111*F111)/(K$10*F$10)-1)*costos!$F$30/3+((U111*F111)/(U$10*F$10)-1)*costos!$F$30/3+((L111*F111)/(L$10*F$10)-1)*costos!$G$30+((BG111)/(BG$10)-1)*costos!$J$30+((V111*F111)/(V$10*F$10)-1)*costos!$K$30)))</f>
        <v>9504.6893870157837</v>
      </c>
      <c r="DA111" s="69">
        <f>DA$10*(1+((H111/H$10-1)*costos!$B$31+((I111*F111)/(I$10*F$10)-1)*costos!$E$31+((J111*F111)/((J$10*F$10)-1)*costos!$F$31/3+((K111*F111)/(K$10*F$10)-1)*costos!$F$31/3+((U111*F111)/(U$10*F$10)-1)*costos!$F$31/3+((L111*F111)/(L$10*F$10)-1)*costos!$G$31+((BJ111)/(BJ$10)-1)*costos!$J$31+((V111*F111)/(V$10*F$10)-1)*costos!$K$31)))</f>
        <v>7715.3010831384281</v>
      </c>
      <c r="DB111" s="69">
        <f>DB$10*(1+((H111/H$10-1)*costos!$B$36+((I111*F111)/(I$10*F$10)-1)*costos!$E$36+((J111*F111)/((J$10*F$10)-1)*costos!$F$36/3+((K111*F111)/(K$10*F$10)-1)*costos!$F$36/3+((U111*F111)/(U$10*F$10)-1)*costos!$F$36/3+((L111*F111)/(L$10*F$10)-1)*costos!$G$36+((BK111)/(BK$10)-1)*costos!$J$36+((V111*F111)/(V$10*F$10)-1)*costos!$K$36)))</f>
        <v>7897.4941831998349</v>
      </c>
      <c r="DC111" s="69">
        <f>DC$10*(1+((H111/H$10-1)*costos!$B$37+((I111*F111)/(I$10*F$10)-1)*costos!$E$37+((U111*F111)/(U$10*F$10)-1)*costos!$F$37+((L111*F111)/(L$10*F$10)-1)*costos!$G$37+((BN111)/(BN$10)-1)*costos!$J$37+((V111*F111)/(V$10*F$10)-1)*costos!$K$37))</f>
        <v>8256.6337203053899</v>
      </c>
      <c r="DD111" s="69">
        <f>DD$10*(1+((H111/H$10-1)*costos!$B$39+((I111*F111)/(I$10*F$10)-1)*costos!$E$39+((U111*F111)/(U$10*F$10)-1)*costos!$F$39+((L111*F111)/(L$10*F$10)-1)*costos!$G$39+((BR111)/(BR$10)-1)*costos!$J$39+((V111*F111)/(V$10*F$10)-1)*costos!$K$39))</f>
        <v>7851.5070182262352</v>
      </c>
      <c r="DE111" s="69">
        <f>DD$10*(1+((H111/H$10-1)*costos!$B$35+((I111*F111)/(I$10*F$10)-1)*costos!$E$35+((U111*F111)/(U$10*F$10)-1)*costos!$F$35+((L111*F111)/(L$10*F$10)-1)*costos!$G$35+((BR111)/(BR$10)-1)*costos!$J$35+((V111*F111)/(V$10*F$10)-1)*costos!$K$35))</f>
        <v>6989.6239240225941</v>
      </c>
      <c r="DF111" s="69">
        <f>DF$10*(1+((H111/H$10-1)*costos!$B$40+((I111*F111)/(I$10*F$10)-1)*costos!$E$40+((U111*F111)/(U$10*F$10)-1)*costos!$F$40+((L111*F111)/(L$10*F$10)-1)*costos!$G$40+((BP111)/(BP$10)-1)*costos!$J$40+((V111*F111)/(V$10*F$10)-1)*costos!$K$40))</f>
        <v>8163.5251796003658</v>
      </c>
      <c r="DG111" s="92">
        <f t="shared" si="391"/>
        <v>7576.57455181148</v>
      </c>
      <c r="DH111" s="69">
        <f>DH$10*(1+((H111/H$10-1)*costos!$B$34+((I111*F111)/(I$10*F$10)-1)*costos!$E$34+((J111*F111)/((J$10*F$10)-1)*costos!$F$34/3+((K111*F111)/(K$10*F$10)-1)*costos!$F$34/3+((U111*F111)/(U$10*F$10)-1)*costos!$F$34/3+((L111*F111)/(L$10*F$10)-1)*costos!$G$34+((BV111)/(BV$10)-1)*costos!$J$34+((V111*F111)/(V$10*F$10)-1)*costos!$K$34)))</f>
        <v>7653.3523884859751</v>
      </c>
      <c r="DI111" s="69">
        <f>DI$10*(1+((H111/H$10-1)*costos!$B$38+((I111*F111)/(I$10*F$10)-1)*costos!$E$38+((J111*F111)/((J$10*F$10)-1)*costos!$F$38/3+((K111*F111)/(K$10*F$10)-1)*costos!$F$38/3+((U111*F111)/(U$10*F$10)-1)*costos!$F$38/3+((L111*F111)/(L$10*F$10)-1)*costos!$G$38+((BU111)/(BU$10)-1)*costos!$J$38+((V111*F111)/(V$10*F$10)-1)*costos!$K$38)))</f>
        <v>7444.7815685623991</v>
      </c>
      <c r="DK111" s="1">
        <v>650000</v>
      </c>
      <c r="DL111" s="1" t="s">
        <v>410</v>
      </c>
      <c r="DM111" s="1">
        <v>200000</v>
      </c>
      <c r="DN111" s="1" t="s">
        <v>410</v>
      </c>
      <c r="DO111" s="1">
        <v>1500000</v>
      </c>
      <c r="DP111" s="1" t="s">
        <v>512</v>
      </c>
      <c r="DQ111" s="1">
        <v>1900000</v>
      </c>
      <c r="DR111" s="1" t="s">
        <v>410</v>
      </c>
      <c r="DS111" s="1">
        <v>7600000</v>
      </c>
      <c r="DT111" s="1" t="s">
        <v>410</v>
      </c>
      <c r="DU111" s="1">
        <v>16700000</v>
      </c>
      <c r="DV111" s="1" t="s">
        <v>410</v>
      </c>
      <c r="DW111" s="1">
        <v>800000</v>
      </c>
      <c r="DX111" s="1" t="s">
        <v>410</v>
      </c>
      <c r="DY111" s="1">
        <v>6550000</v>
      </c>
      <c r="DZ111" s="1" t="s">
        <v>512</v>
      </c>
      <c r="EA111" s="79">
        <f t="shared" si="353"/>
        <v>35050000</v>
      </c>
      <c r="EB111" s="1">
        <v>416490</v>
      </c>
      <c r="EC111" s="1" t="s">
        <v>410</v>
      </c>
      <c r="ED111" s="1">
        <v>230256</v>
      </c>
      <c r="EE111" s="143">
        <v>2024</v>
      </c>
      <c r="EF111" s="1">
        <v>199946</v>
      </c>
      <c r="EG111" s="6">
        <v>2024</v>
      </c>
      <c r="EH111" s="1">
        <v>52783892</v>
      </c>
      <c r="EI111" s="6">
        <v>2024</v>
      </c>
      <c r="EJ111" s="1">
        <v>6115215</v>
      </c>
      <c r="EK111" s="6">
        <v>2024</v>
      </c>
      <c r="EL111" s="1">
        <v>12609460</v>
      </c>
      <c r="EM111" s="6">
        <v>2023</v>
      </c>
      <c r="EN111" s="1">
        <v>3169981</v>
      </c>
      <c r="EO111" s="6">
        <v>2021</v>
      </c>
      <c r="EP111" s="83">
        <v>9143</v>
      </c>
      <c r="EQ111" s="83">
        <v>3500000</v>
      </c>
      <c r="ER111" s="1">
        <f t="shared" si="430"/>
        <v>80248</v>
      </c>
      <c r="ES111" s="1"/>
      <c r="ET111" s="83">
        <f t="shared" si="393"/>
        <v>19357</v>
      </c>
      <c r="EU111" s="83">
        <f t="shared" si="393"/>
        <v>18703</v>
      </c>
      <c r="EV111" s="83">
        <f t="shared" si="393"/>
        <v>8927</v>
      </c>
      <c r="EW111" s="83">
        <f t="shared" si="393"/>
        <v>17408</v>
      </c>
      <c r="EX111" s="79">
        <f t="shared" si="354"/>
        <v>64395</v>
      </c>
      <c r="EY111" s="83">
        <f t="shared" si="394"/>
        <v>20031</v>
      </c>
      <c r="EZ111" s="83">
        <f t="shared" si="394"/>
        <v>34815</v>
      </c>
      <c r="FA111" s="83">
        <f t="shared" si="431"/>
        <v>19900</v>
      </c>
      <c r="FB111" s="83">
        <f t="shared" si="406"/>
        <v>18184</v>
      </c>
      <c r="FC111" s="79">
        <f t="shared" si="414"/>
        <v>38084</v>
      </c>
      <c r="FD111" s="83">
        <f t="shared" si="395"/>
        <v>54743</v>
      </c>
      <c r="FE111" s="1"/>
      <c r="FF111" s="1">
        <v>1300000</v>
      </c>
      <c r="FG111" s="1" t="s">
        <v>410</v>
      </c>
      <c r="FH111" s="1">
        <v>1300000</v>
      </c>
      <c r="FI111" s="1" t="s">
        <v>410</v>
      </c>
      <c r="FJ111" s="1">
        <v>5100000</v>
      </c>
      <c r="FK111" s="1" t="s">
        <v>410</v>
      </c>
      <c r="FL111" s="1">
        <v>4100000</v>
      </c>
      <c r="FM111" s="1" t="s">
        <v>410</v>
      </c>
      <c r="FN111" s="1">
        <v>46500000</v>
      </c>
      <c r="FO111" s="1" t="s">
        <v>410</v>
      </c>
      <c r="FP111" s="1">
        <v>49200000</v>
      </c>
      <c r="FQ111" s="1" t="s">
        <v>410</v>
      </c>
      <c r="FR111" s="1">
        <v>2600000</v>
      </c>
      <c r="FS111" s="1" t="s">
        <v>410</v>
      </c>
      <c r="FT111" s="1">
        <v>15853000</v>
      </c>
      <c r="FU111" s="1" t="s">
        <v>410</v>
      </c>
      <c r="FV111" s="79">
        <f t="shared" si="355"/>
        <v>123353000</v>
      </c>
      <c r="FW111" s="1">
        <v>1604722</v>
      </c>
      <c r="FX111" s="1" t="s">
        <v>410</v>
      </c>
      <c r="FY111" s="1">
        <v>137571</v>
      </c>
      <c r="FZ111" s="79">
        <f t="shared" si="377"/>
        <v>950612.5</v>
      </c>
      <c r="GA111" s="86" t="str">
        <f t="shared" si="378"/>
        <v>jul23 jun24</v>
      </c>
      <c r="GB111" s="1">
        <v>19189740</v>
      </c>
      <c r="GC111" s="6">
        <v>2024</v>
      </c>
      <c r="GD111" s="1">
        <v>1714000</v>
      </c>
      <c r="GE111" s="1">
        <v>424000</v>
      </c>
      <c r="GF111" s="1">
        <v>1165000</v>
      </c>
      <c r="GG111" s="1">
        <v>145000</v>
      </c>
      <c r="GH111" s="79">
        <f t="shared" si="240"/>
        <v>1734000</v>
      </c>
      <c r="GI111" s="82">
        <f t="shared" si="373"/>
        <v>1302556</v>
      </c>
      <c r="GJ111" s="83">
        <f t="shared" si="373"/>
        <v>682423</v>
      </c>
      <c r="GK111" s="83">
        <f t="shared" si="373"/>
        <v>1391495</v>
      </c>
      <c r="GL111" s="83">
        <f t="shared" si="373"/>
        <v>305049</v>
      </c>
      <c r="GM111" s="83">
        <f t="shared" si="373"/>
        <v>260419</v>
      </c>
      <c r="GN111" s="79">
        <f t="shared" si="357"/>
        <v>2639386</v>
      </c>
      <c r="GO111" s="83">
        <f t="shared" si="374"/>
        <v>201734</v>
      </c>
      <c r="GP111" s="83">
        <f t="shared" si="416"/>
        <v>69297</v>
      </c>
      <c r="GQ111" s="83">
        <v>19936</v>
      </c>
      <c r="GR111" s="1">
        <v>34035</v>
      </c>
      <c r="GS111" s="79">
        <f t="shared" si="412"/>
        <v>34633.08</v>
      </c>
      <c r="GT111" s="83">
        <f t="shared" si="407"/>
        <v>2111561</v>
      </c>
      <c r="GU111" s="1">
        <f>42799-7451</f>
        <v>35348</v>
      </c>
      <c r="GV111" s="1">
        <f>33996-9133</f>
        <v>24863</v>
      </c>
      <c r="GW111" s="79">
        <f t="shared" si="261"/>
        <v>742525</v>
      </c>
      <c r="GX111" s="1">
        <v>30804.553</v>
      </c>
      <c r="GY111" s="1" t="s">
        <v>436</v>
      </c>
      <c r="GZ111" s="1">
        <v>80786</v>
      </c>
      <c r="HA111" s="1">
        <v>232250</v>
      </c>
      <c r="HB111" s="79">
        <f t="shared" ref="HB111:HB129" si="437">+SUM(HA100:HA111)</f>
        <v>3104914</v>
      </c>
      <c r="HC111" s="86" t="str">
        <f t="shared" si="379"/>
        <v>jul23 jun24</v>
      </c>
      <c r="HD111" s="1">
        <v>65067</v>
      </c>
      <c r="HE111" s="79">
        <f t="shared" si="380"/>
        <v>771841</v>
      </c>
      <c r="HF111" s="86" t="str">
        <f t="shared" si="381"/>
        <v>jul23 jun24</v>
      </c>
      <c r="HG111" s="1">
        <v>167000</v>
      </c>
      <c r="HH111" s="79">
        <f t="shared" ref="HH111:HH126" si="438">+SUM(HG100:HG111)</f>
        <v>2272000</v>
      </c>
      <c r="HI111" s="86" t="str">
        <f t="shared" si="382"/>
        <v>jul23 jun24</v>
      </c>
      <c r="HJ111" s="1">
        <v>74850</v>
      </c>
      <c r="HK111" s="79">
        <f t="shared" si="278"/>
        <v>67125.240000000005</v>
      </c>
      <c r="HL111" s="86" t="str">
        <f t="shared" si="383"/>
        <v>jul23 jun24</v>
      </c>
      <c r="HM111" s="79">
        <f t="shared" si="358"/>
        <v>2339125.2400000002</v>
      </c>
      <c r="HN111" s="87">
        <f t="shared" si="297"/>
        <v>-7.1438849986485198E-2</v>
      </c>
      <c r="HO111" s="1">
        <v>841539493</v>
      </c>
      <c r="HP111" s="79">
        <f t="shared" si="386"/>
        <v>10664.700656900923</v>
      </c>
      <c r="HQ111" s="86" t="str">
        <f t="shared" si="384"/>
        <v>jul23 jun24</v>
      </c>
      <c r="HR111" s="1"/>
      <c r="HS111" s="1"/>
      <c r="HT111" s="1"/>
      <c r="HU111" s="1">
        <v>700000</v>
      </c>
      <c r="HV111" s="1" t="s">
        <v>410</v>
      </c>
      <c r="HW111" s="1">
        <v>1500000</v>
      </c>
      <c r="HX111" s="1" t="s">
        <v>410</v>
      </c>
      <c r="HY111" s="1">
        <v>4600000</v>
      </c>
      <c r="HZ111" s="1" t="s">
        <v>410</v>
      </c>
      <c r="IA111" s="1">
        <f>(3.6+18)*1000000</f>
        <v>21600000</v>
      </c>
      <c r="IB111" s="1" t="s">
        <v>410</v>
      </c>
      <c r="IC111" s="1">
        <v>45000000</v>
      </c>
      <c r="ID111" s="1" t="s">
        <v>410</v>
      </c>
      <c r="IE111" s="1">
        <v>1500000</v>
      </c>
      <c r="IF111" s="1" t="s">
        <v>410</v>
      </c>
      <c r="IG111" s="1">
        <f t="shared" si="415"/>
        <v>7400000</v>
      </c>
      <c r="IH111" s="1" t="s">
        <v>410</v>
      </c>
      <c r="II111" s="79">
        <f t="shared" si="359"/>
        <v>81600000</v>
      </c>
      <c r="IJ111" s="97">
        <f t="shared" si="434"/>
        <v>2.1563835150032644</v>
      </c>
      <c r="IK111" s="1" t="s">
        <v>410</v>
      </c>
      <c r="IL111" s="7">
        <v>44.85</v>
      </c>
      <c r="IM111" s="7">
        <v>47.58</v>
      </c>
      <c r="IN111" s="7">
        <v>156.30000000000001</v>
      </c>
      <c r="IO111" s="7">
        <v>16.64</v>
      </c>
      <c r="IP111" s="176">
        <f t="shared" si="432"/>
        <v>5.5693606783423002</v>
      </c>
      <c r="IQ111" s="176">
        <v>16.3</v>
      </c>
      <c r="IR111" s="98">
        <f t="shared" si="397"/>
        <v>6.09</v>
      </c>
      <c r="IS111" s="98">
        <f t="shared" si="397"/>
        <v>4.03</v>
      </c>
      <c r="IT111" s="98">
        <f t="shared" si="397"/>
        <v>11.98</v>
      </c>
      <c r="IU111" s="98">
        <f t="shared" si="397"/>
        <v>1.38</v>
      </c>
      <c r="IV111" s="94">
        <f t="shared" si="360"/>
        <v>17.39</v>
      </c>
      <c r="IW111" s="1"/>
      <c r="IX111" s="1"/>
      <c r="IY111" s="80">
        <v>1.88</v>
      </c>
      <c r="IZ111" s="88">
        <v>0.3</v>
      </c>
      <c r="JA111" s="1">
        <v>2813</v>
      </c>
      <c r="JB111" s="95">
        <f t="shared" si="433"/>
        <v>35.950000000000003</v>
      </c>
      <c r="JC111" s="1"/>
      <c r="JD111" s="1"/>
      <c r="JF111" s="2">
        <v>21.439575039999998</v>
      </c>
      <c r="JG111" s="2">
        <v>35.598317799999997</v>
      </c>
      <c r="JH111" s="2">
        <v>103.05695759</v>
      </c>
      <c r="JI111" s="2">
        <v>133.7857564</v>
      </c>
      <c r="JJ111" s="2">
        <v>599.92056376999983</v>
      </c>
      <c r="JK111" s="2">
        <v>98.487414479999984</v>
      </c>
      <c r="JL111" s="2">
        <v>3224.2360384699996</v>
      </c>
      <c r="JM111" s="2">
        <v>85.621992520000006</v>
      </c>
      <c r="JN111" s="2">
        <v>109.99468967999999</v>
      </c>
      <c r="JO111" s="2">
        <v>30.986019150000001</v>
      </c>
      <c r="JP111" s="2">
        <v>0</v>
      </c>
      <c r="JQ111" s="2">
        <v>4.5602030600000001</v>
      </c>
      <c r="JR111" s="2">
        <v>1.0288099500000001</v>
      </c>
      <c r="JS111" s="2">
        <v>0</v>
      </c>
      <c r="JT111" s="2">
        <v>4.7935999999999999E-2</v>
      </c>
      <c r="JU111" s="2">
        <v>55.887516779999999</v>
      </c>
      <c r="JV111" s="2">
        <v>26.14942551</v>
      </c>
      <c r="JW111" s="2">
        <v>20.513283869999999</v>
      </c>
      <c r="JX111" s="2">
        <v>48.881386450000008</v>
      </c>
      <c r="JY111" s="2">
        <v>0</v>
      </c>
      <c r="JZ111" s="2">
        <v>6.0914225200000001</v>
      </c>
      <c r="KA111" s="2">
        <v>1.0126399999999999E-2</v>
      </c>
      <c r="KB111" s="2">
        <v>16.38459563</v>
      </c>
      <c r="KC111" s="2">
        <v>58.671597329999997</v>
      </c>
      <c r="KD111" s="2">
        <v>11.077079630000002</v>
      </c>
      <c r="KE111" s="2">
        <v>20.702965450000001</v>
      </c>
      <c r="KF111" s="2">
        <v>19.314763240000005</v>
      </c>
      <c r="KG111" s="2">
        <v>311.98041742999999</v>
      </c>
      <c r="KH111" s="2">
        <v>102.41564730000002</v>
      </c>
      <c r="KI111" s="2">
        <v>19.03918719</v>
      </c>
      <c r="KJ111" s="2">
        <v>2.7596131099999996</v>
      </c>
      <c r="KK111" s="2">
        <v>3.2956469100000003</v>
      </c>
      <c r="KL111" s="2">
        <v>0.48301414000000004</v>
      </c>
      <c r="KM111" s="2">
        <v>0.60092099999999993</v>
      </c>
      <c r="KN111" s="2">
        <v>0.48928885999999999</v>
      </c>
      <c r="KO111" s="2">
        <v>2.0819342700000001</v>
      </c>
      <c r="KP111" s="2">
        <v>8.4906640000000005E-2</v>
      </c>
      <c r="KQ111" s="2">
        <v>289.91090764</v>
      </c>
      <c r="KR111" s="2">
        <v>0.20466999999999999</v>
      </c>
      <c r="KS111" s="2">
        <v>8.7640489999999988E-2</v>
      </c>
      <c r="KT111" s="2">
        <v>1.8725515799999999</v>
      </c>
      <c r="KU111" s="2">
        <v>0.1712014</v>
      </c>
      <c r="KV111" s="2">
        <v>7.195E-2</v>
      </c>
      <c r="KW111" s="2">
        <v>1.44153033</v>
      </c>
      <c r="KX111" s="2">
        <v>0</v>
      </c>
      <c r="KY111" s="2">
        <v>0</v>
      </c>
      <c r="KZ111" s="2">
        <v>0.34545517000000003</v>
      </c>
      <c r="LA111" s="2">
        <v>0.21821550000000001</v>
      </c>
      <c r="LB111" s="2">
        <v>0.1554111</v>
      </c>
      <c r="LC111" s="2">
        <v>2.2996290000000003E-2</v>
      </c>
      <c r="LD111" s="2">
        <v>0</v>
      </c>
      <c r="LE111" s="2">
        <v>0</v>
      </c>
      <c r="LF111" s="2">
        <v>0</v>
      </c>
      <c r="LG111" s="2">
        <v>13.53170609</v>
      </c>
      <c r="LH111" s="2">
        <v>4.3331795800000004</v>
      </c>
      <c r="LI111" s="2">
        <v>1.1554743999999999</v>
      </c>
      <c r="LJ111" s="2">
        <v>0</v>
      </c>
      <c r="LK111" s="2">
        <v>5.6916922899999998</v>
      </c>
      <c r="LL111" s="2">
        <v>2.3751918999999999</v>
      </c>
      <c r="LM111" s="2">
        <v>0.83472519000000012</v>
      </c>
      <c r="LN111" s="2">
        <v>0.24821200999999998</v>
      </c>
      <c r="LO111" s="2">
        <v>1.7163214500000001</v>
      </c>
      <c r="LQ111" s="85">
        <f t="shared" ref="LQ111:LQ129" si="439">+SUM(JH111:JJ111,JL111:JN111)</f>
        <v>4256.6159984299993</v>
      </c>
      <c r="LR111" s="85">
        <f t="shared" ref="LR111:LR128" si="440">+SUM(JQ111:JT111)</f>
        <v>5.6369490100000004</v>
      </c>
      <c r="LS111" s="85">
        <f t="shared" ref="LS111:LS128" si="441">+SUM(JV111:JW111)</f>
        <v>46.662709379999995</v>
      </c>
      <c r="LT111" s="85">
        <f t="shared" ref="LT111:LT128" si="442">+SUM(JY111:KA111)</f>
        <v>6.1015489199999999</v>
      </c>
      <c r="LU111" s="85">
        <f t="shared" ref="LU111:LU128" si="443">+SUM(KM111:KO111,KQ111:KS111)</f>
        <v>293.37536226000003</v>
      </c>
      <c r="LV111" s="85">
        <f t="shared" ref="LV111:LV128" si="444">+SUM(KV111:KY111)</f>
        <v>1.5134803299999999</v>
      </c>
      <c r="LW111" s="85">
        <f t="shared" ref="LW111:LW128" si="445">+SUM(LA111:LB111)</f>
        <v>0.37362660000000003</v>
      </c>
      <c r="LX111" s="85">
        <f t="shared" ref="LX111:LX128" si="446">+SUM(LD111:LF111)</f>
        <v>0</v>
      </c>
      <c r="LZ111" s="83">
        <v>1303.0999999999999</v>
      </c>
      <c r="MA111" s="83">
        <v>2336.91</v>
      </c>
      <c r="MB111"/>
      <c r="MC111"/>
      <c r="MD111"/>
      <c r="MF111"/>
      <c r="MG111"/>
      <c r="MH111" s="83">
        <v>2597.5</v>
      </c>
      <c r="MI111" s="83">
        <v>828.26</v>
      </c>
      <c r="MJ111" s="83">
        <v>708.8</v>
      </c>
      <c r="MK111"/>
      <c r="ML111" s="83">
        <v>1145.95</v>
      </c>
      <c r="MM111" s="83">
        <v>3458.52</v>
      </c>
      <c r="MN111" s="83"/>
      <c r="MO111" s="83">
        <v>595.57000000000005</v>
      </c>
      <c r="MP111" s="83">
        <v>2008</v>
      </c>
      <c r="MQ111" s="83">
        <v>2081.4699999999998</v>
      </c>
      <c r="MR111"/>
      <c r="MT111" s="83"/>
      <c r="MU111" s="83">
        <v>890.09</v>
      </c>
      <c r="MV111"/>
      <c r="MW111"/>
      <c r="MX111"/>
      <c r="MY111" s="83">
        <v>2230.3000000000002</v>
      </c>
      <c r="MZ111" s="83">
        <v>4690</v>
      </c>
      <c r="NA111" s="83">
        <v>2504</v>
      </c>
      <c r="NB111" s="83">
        <v>7062</v>
      </c>
      <c r="NC111" s="83">
        <v>1355.43</v>
      </c>
      <c r="ND111" s="1">
        <v>7400</v>
      </c>
      <c r="NE111" s="1">
        <v>4495</v>
      </c>
    </row>
    <row r="112" spans="1:369" ht="14.4" thickBot="1">
      <c r="A112" s="38">
        <f t="shared" si="417"/>
        <v>45474</v>
      </c>
      <c r="B112" s="36">
        <f t="shared" si="428"/>
        <v>7</v>
      </c>
      <c r="C112" s="36">
        <f t="shared" si="429"/>
        <v>2024</v>
      </c>
      <c r="D112" s="36">
        <f t="shared" si="347"/>
        <v>112</v>
      </c>
      <c r="E112" s="38">
        <f t="shared" si="418"/>
        <v>45474</v>
      </c>
      <c r="F112" s="97">
        <v>921.77</v>
      </c>
      <c r="G112" s="7">
        <v>6607.7479000000003</v>
      </c>
      <c r="H112" s="1">
        <f>[2]NACIONALES!$D100</f>
        <v>618488.93568781076</v>
      </c>
      <c r="I112" s="7">
        <v>112</v>
      </c>
      <c r="J112" s="7">
        <v>570</v>
      </c>
      <c r="K112" s="266">
        <v>4.9000000000000004</v>
      </c>
      <c r="L112" s="7">
        <v>33.200000000000003</v>
      </c>
      <c r="N112" s="97">
        <f>(1.54)/1</f>
        <v>1.54</v>
      </c>
      <c r="O112" s="97">
        <f>(1.25)/1</f>
        <v>1.25</v>
      </c>
      <c r="P112" s="105">
        <f t="shared" si="398"/>
        <v>1221.5756925000001</v>
      </c>
      <c r="Q112" s="143">
        <v>38704</v>
      </c>
      <c r="R112" s="83">
        <f t="shared" si="419"/>
        <v>387040</v>
      </c>
      <c r="S112" s="143">
        <f>180000/F112</f>
        <v>195.27647894811071</v>
      </c>
      <c r="T112" s="143">
        <f>305500/F112</f>
        <v>331.42757954804347</v>
      </c>
      <c r="U112" s="267">
        <v>176</v>
      </c>
      <c r="V112" s="143">
        <v>293.39999999999998</v>
      </c>
      <c r="W112" s="143">
        <f>170250/F112</f>
        <v>184.69900300508803</v>
      </c>
      <c r="X112" s="143">
        <v>221</v>
      </c>
      <c r="Y112" s="79">
        <f t="shared" si="420"/>
        <v>180000</v>
      </c>
      <c r="Z112" s="79">
        <f t="shared" si="421"/>
        <v>305500</v>
      </c>
      <c r="AA112" s="79">
        <f t="shared" si="422"/>
        <v>162231.51999999999</v>
      </c>
      <c r="AB112" s="79">
        <f t="shared" si="423"/>
        <v>270447.31799999997</v>
      </c>
      <c r="AC112" s="79">
        <f t="shared" si="424"/>
        <v>170250</v>
      </c>
      <c r="AD112" s="79">
        <f t="shared" si="425"/>
        <v>203711.16999999998</v>
      </c>
      <c r="AE112" s="79">
        <f t="shared" si="426"/>
        <v>215356.66800000001</v>
      </c>
      <c r="AF112" s="1">
        <v>827769.5</v>
      </c>
      <c r="AG112" s="83">
        <v>280000</v>
      </c>
      <c r="AH112" s="1">
        <f>+AG112/AG111*AH111</f>
        <v>718918.91891891882</v>
      </c>
      <c r="AI112" s="28">
        <v>444.93</v>
      </c>
      <c r="AJ112" s="28">
        <v>333.98</v>
      </c>
      <c r="AK112" s="28">
        <v>282.2</v>
      </c>
      <c r="AL112" s="28">
        <v>300.68</v>
      </c>
      <c r="AM112" s="78">
        <f t="shared" si="427"/>
        <v>363.56220000000002</v>
      </c>
      <c r="AN112" s="7">
        <v>21785.714285714286</v>
      </c>
      <c r="AO112" s="7">
        <v>16930.31818181818</v>
      </c>
      <c r="AP112" s="78">
        <f t="shared" si="385"/>
        <v>16930.31818181818</v>
      </c>
      <c r="AQ112" s="7">
        <v>5306.7226890756301</v>
      </c>
      <c r="AR112" s="7">
        <v>7176.1454545454535</v>
      </c>
      <c r="AS112" s="7">
        <v>10785.714285714286</v>
      </c>
      <c r="AT112" s="7">
        <v>9981.818181818182</v>
      </c>
      <c r="AU112" s="78">
        <f t="shared" si="348"/>
        <v>9314.5593073593063</v>
      </c>
      <c r="AV112" s="7">
        <v>9727.9661016949158</v>
      </c>
      <c r="AW112" s="7">
        <v>9286.363636363636</v>
      </c>
      <c r="AX112" s="7">
        <v>20794.227272727272</v>
      </c>
      <c r="AY112" s="7">
        <v>35812.272727272728</v>
      </c>
      <c r="AZ112" s="7">
        <v>10983.772727272728</v>
      </c>
      <c r="BA112" s="7">
        <v>3793.181818181818</v>
      </c>
      <c r="BB112" s="94">
        <f t="shared" si="345"/>
        <v>19145.753787878788</v>
      </c>
      <c r="BC112" s="179">
        <v>33520</v>
      </c>
      <c r="BD112" s="179">
        <v>30168</v>
      </c>
      <c r="BE112" s="7">
        <v>26000</v>
      </c>
      <c r="BF112" s="7">
        <v>20500</v>
      </c>
      <c r="BG112" s="94">
        <f t="shared" si="349"/>
        <v>27547</v>
      </c>
      <c r="BH112" s="7">
        <v>2820</v>
      </c>
      <c r="BI112" s="7">
        <v>600</v>
      </c>
      <c r="BJ112" s="78">
        <f t="shared" si="350"/>
        <v>3420</v>
      </c>
      <c r="BK112" s="97">
        <v>2067.8110000000001</v>
      </c>
      <c r="BL112" s="7">
        <v>2303.2199999999998</v>
      </c>
      <c r="BM112" s="94">
        <f t="shared" si="351"/>
        <v>2185.5155</v>
      </c>
      <c r="BN112">
        <v>411.7</v>
      </c>
      <c r="BO112" s="153">
        <v>1716.38</v>
      </c>
      <c r="BP112" s="84">
        <v>1313.31</v>
      </c>
      <c r="BQ112" s="94">
        <f t="shared" si="435"/>
        <v>1514.845</v>
      </c>
      <c r="BR112" s="7">
        <f>+(934.61+998.21+1019.32+1087.92)/4</f>
        <v>1010.0150000000001</v>
      </c>
      <c r="BS112" s="7">
        <v>4500</v>
      </c>
      <c r="BT112" s="7">
        <f>1.13*F112</f>
        <v>1041.6000999999999</v>
      </c>
      <c r="BU112" s="79">
        <f t="shared" si="436"/>
        <v>57124.800300000003</v>
      </c>
      <c r="BV112" s="7">
        <v>1573</v>
      </c>
      <c r="BW112" s="7">
        <v>2357</v>
      </c>
      <c r="BY112" s="268">
        <f>BY$10*(1+((H112/H$10-1)*costos!$B$5+((I112*F112)/(I$10*F$10)-1)*costos!$E$5+((J112*F112)/((J$10*F$10)-1)*costos!$F$5/3+((K112*F112)/(K$10*F$10)-1)*costos!$F$5/3+((U112*F112)/(U$10*F$10)-1)*costos!$F$5/3+((L112*F112)/(L$10*F$10)-1)*costos!$G$5+((N112*F112)/(N$10*F$10)-1)*costos!$J$5+((V112*F112)/(V$10*F$10)-1)*costos!$K$5)))</f>
        <v>8327.5582103925153</v>
      </c>
      <c r="BZ112" s="268">
        <f>$BZ$10*(1+((H112/$H$10-1)*costos!$B$6+((I112*F112)/($I$10*$F$10)-1)*costos!$E$6+((J112*F112)/(($J$10*$F$10)-1)*costos!$F$6/3+((K112*F112)/($K$10*$F$10)-1)*costos!$F$6/3+((U112*F112)/($U$10*$F$10)-1)*costos!$F$6/3+((L112*F112)/($L$10*$F$10)-1)*costos!$G$6+((Q112*F112)/($Q$10*$F$10)-1)*costos!$J$6+((V112*F112)/($V$10*$F$10)-1)*costos!$K$6)))</f>
        <v>8067.4189973479688</v>
      </c>
      <c r="CA112" s="268">
        <f>CA$10*(1+((H112/H$10-1)*costos!$B$7+((I112*F112)/(I$10*F$10)-1)*costos!$E$7+((J112*F112)/((J$10*F$10)-1)*costos!$F$7/3+((K112*F112)/(K$10*F$10)-1)*costos!$F$7/3+((U112*F112)/(U$10*F$10)-1)*costos!$F$7/3+((L112*F112)/(L$10*F$10)-1)*costos!$G$7+((S112*F112)/(S$10*F$10)-1)*costos!$J$7+((V112*F112)/(V$10*F$10)-1)*costos!$K$7)))</f>
        <v>8289.3543631521643</v>
      </c>
      <c r="CB112" s="268">
        <f>CB$10*(1+((H112/H$10-1)*costos!$B$8+((I112*F112)/(I$10*F$10)-1)*costos!$E$8+((J112*F112)/((J$10*F$10)-1)*costos!$F$8/3+((K112*F112)/(K$10*F$10)-1)*costos!$F$8/3+((U112*F112)/(U$10*F$10)-1)*costos!$F$8/3+((L112*F112)/(L$10*F$10)-1)*costos!$G$8+((T112*F112)/(T$10*F$10)-1)*costos!$J$8+((V112*F112)/(V$10*F$10)-1)*costos!$K$8)))</f>
        <v>8099.3590160133708</v>
      </c>
      <c r="CC112" s="268">
        <f>CC$10*(1+((H112/H$10-1)*costos!$B$9+((I112*F112)/(I$10*F$10)-1)*costos!$E$9+((J112*F112)/((J$10*F$10)-1)*costos!$F$9/3+((K112*F112)/(K$10*F$10)-1)*costos!$F$9/3+((U112*F112)/(U$10*F$10)-1)*costos!$F$9/3+((L112*F112)/(L$10*F$10)-1)*costos!$G$9+((U112*F112)/(U$10*F$10)-1)*costos!$J$9+((V112*F112)/(V$10*F$10)-1)*costos!$K$9)))</f>
        <v>7991.1780607200144</v>
      </c>
      <c r="CD112" s="268">
        <f>CD$10*(1+((H112/H$10-1)*costos!$B$11+((I112*F112)/(I$10*F$10)-1)*costos!$E$11+((J112*F112)/((J$10*F$10)-1)*costos!$F$11/3+((K112*F112)/(K$10*F$10)-1)*costos!$F$11/3+((U112*F112)/(U$10*F$10)-1)*costos!$F$11/3+((L112*F112)/(L$10*F$10)-1)*costos!$G$11+((V112*F112)/(V$10*F$10)-1)*costos!$J$11+((V112*F112)/(V$10*F$10)-1)*costos!$K$11)))</f>
        <v>8238.4414340986696</v>
      </c>
      <c r="CE112" s="268">
        <f>CE$10*(1+((H112/H$10-1)*costos!$B$12+((I112*F112)/(I$10*F$10)-1)*costos!$E$12+((J112*F112)/((J$10*F$10)-1)*costos!$F$12/3+((K112*F112)/(K$10*F$10)-1)*costos!$F$12/3+((U112*F112)/(U$10*F$10)-1)*costos!$F$12/3+((L112*F112)/(L$10*F$10)-1)*costos!$G$12+((W112*F112)/(W$10*F$10)-1)*costos!$J$12+((V112*F112)/(V$10*F$10)-1)*costos!$K$12)))</f>
        <v>8090.3539937791902</v>
      </c>
      <c r="CF112" s="268">
        <f>CF$10*(1+((H112/H$10-1)*costos!$B$13+((I112*F112)/(I$10*F$10)-1)*costos!$E$13+((J112*F112)/((J$10*F$10)-1)*costos!$F$13/3+((K112*F112)/(K$10*F$10)-1)*costos!$F$13/3+((U112*F112)/(U$10*F$10)-1)*costos!$F$13/3+((L112*F112)/(L$10*F$10)-1)*costos!$G$13+((X112*F112)/(X$10*F$10)-1)*costos!$J$13+((V112*F112)/(V$10*F$10)-1)*costos!$K$13)))</f>
        <v>8572.685550738739</v>
      </c>
      <c r="CG112" s="268">
        <f t="shared" ref="CG112:CG117" si="447">+AVERAGE(CA112:CF112)</f>
        <v>8213.5620697503564</v>
      </c>
      <c r="CH112" s="268">
        <f>CH$10*(1+((H112/H$10-1)*costos!$B$10+((I112*F112)/(I$10*F$10)-1)*costos!$E$10+((J112*F112)/((J$10*F$10)-1)*costos!$F$10/3+((K112*F112)/(K$10*F$10)-1)*costos!$F$10/3+((U112*F112)/(U$10*F$10)-1)*costos!$F$10/3+((L112*F112)/(L$10*F$10)-1)*costos!$G$10+((AF112)/(AF$10)-1)*costos!$J$10+((V112*F112)/(V$10*F$10)-1)*costos!$K$10)))</f>
        <v>9820.1383287531244</v>
      </c>
      <c r="CI112" s="268">
        <f>CI$10*(1+((H112/H$10-1)*costos!$B$15+((I112*F112)/(I$10*F$10)-1)*costos!$E$15+((J112*F112)/((J$10*F$10)-1)*costos!$F$15/3+((K112*F112)/(K$10*F$10)-1)*costos!$F$15/3+((U112*F112)/(U$10*F$10)-1)*costos!$F$15/3+((L112*F112)/(L$10*F$10)-1)*costos!$G$15+((AV112)/(AV$10)-1)*costos!$J$15+((V112*F112)/(V$10*F$10)-1)*costos!$K$15)))</f>
        <v>9025.9850988099479</v>
      </c>
      <c r="CJ112" s="268">
        <f>CJ$10*(1+((H112/H$10-1)*costos!$B$16+((I112*F112)/(I$10*F$10)-1)*costos!$E$16+((J112*F112)/((J$10*F$10)-1)*costos!$F$16/3+((K112*F112)/(K$10*F$10)-1)*costos!$F$16/3+((U112*F112)/(U$10*F$10)-1)*costos!$F$16/3+((L112*F112)/(L$10*F$10)-1)*costos!$G$16+((AW112)/(AW$10)-1)*costos!$J$16+((V112*F112)/(V$10*F$10)-1)*costos!$K$16)))</f>
        <v>7479.8288477004835</v>
      </c>
      <c r="CK112" s="268">
        <f>CK$10*(1+((H112/H$10-1)*costos!$B$17+((I112*F112)/(I$10*F$10)-1)*costos!$E$17+((J112*F112)/((J$10*F$10)-1)*costos!$F$17/3+((K112*F112)/(K$10*F$10)-1)*costos!$F$17/3+((U112*F112)/(U$10*F$10)-1)*costos!$F$17/3+((L112*F112)/(L$10*F$10)-1)*costos!$G$17+((AX112)/(AX$10)-1)*costos!$J$17+((V112*F112)/(V$10*F$10)-1)*costos!$K$17)))</f>
        <v>11622.347457181484</v>
      </c>
      <c r="CL112" s="268">
        <f>CL$10*(1+((H112/H$10-1)*costos!$B$18+((I112*F112)/(I$10*F$10)-1)*costos!$E$18+((J112*F112)/((J$10*F$10)-1)*costos!$F$18/3+((K112*F112)/(K$10*F$10)-1)*costos!$F$18/3+((U112*F112)/(U$10*F$10)-1)*costos!$F$18/3+((L112*F112)/(L$10*F$10)-1)*costos!$G$18+((AY112)/(AY$10)-1)*costos!$J$18+((V112*F112)/(V$10*F$10)-1)*costos!$K$18)))</f>
        <v>14450.773747691004</v>
      </c>
      <c r="CM112" s="268">
        <f>CM$10*(1+((H112/H$10-1)*costos!$B$19+((I112*F112)/(I$10*F$10)-1)*costos!$E$19+((J112*F112)/((J$10*F$10)-1)*costos!$F$19/3+((K112*F112)/(K$10*F$10)-1)*costos!$F$19/3+((U112*F112)/(U$10*F$10)-1)*costos!$F$19/3+((L112*F112)/(L$10*F$10)-1)*costos!$G$19+((AZ112)/(AZ$10)-1)*costos!$J$19+((V112*F112)/(V$10*F$10)-1)*costos!$K$19)))</f>
        <v>8424.2088236146519</v>
      </c>
      <c r="CN112" s="268">
        <f>CN$10*(1+((H112/H$10-1)*costos!$B$20+((I112*F112)/(I$10*F$10)-1)*costos!$E$20+((J112*F112)/((J$10*F$10)-1)*costos!$F$20/3+((K112*F112)/(K$10*F$10)-1)*costos!$F$20/3+((U112*F112)/(U$10*F$10)-1)*costos!$F$20/3+((L112*F112)/(L$10*F$10)-1)*costos!$G$20+((BA112)/(BA$10)-1)*costos!$J$20+((V112*F112)/(V$10*F$10)-1)*costos!$K$20)))</f>
        <v>7377.6306732783669</v>
      </c>
      <c r="CO112" s="268">
        <f t="shared" ref="CO112:CO117" si="448">+AVERAGE(CK112:CN112)</f>
        <v>10468.740175441377</v>
      </c>
      <c r="CP112" s="268">
        <f>CP$10*(1+((H112/H$10-1)*costos!$B$22+((I112*F112)/(I$10*F$10)-1)*costos!$E$22+((J112*F112)/((J$10*F$10)-1)*costos!$F$22/3+((K112*F112)/(K$10*F$10)-1)*costos!$F$22/3+((U112*F112)/(U$10*F$10)-1)*costos!$F$22/3+((L112*F112)/(L$10*F$10)-1)*costos!$G$22+(((AVERAGE(AI112:AL112))/((AVERAGE(AI$10:AL$10))-1)*costos!$J$22+((V112*F112)/(V$10*F$10)-1)*costos!$K$22)))))</f>
        <v>9542.9664192772871</v>
      </c>
      <c r="CQ112" s="92">
        <f>CQ$10*(1+((H112/H$10-1)*costos!$B$23+((I112*F112)/(I$10*F$10)-1)*costos!$E$23+((J112*F112)/((J$10*F$10)-1)*costos!$F$23/3+((K112*F112)/(K$10*F$10)-1)*costos!$F$23/3+((U112*F112)/(U$10*F$10)-1)*costos!$F$23/3+((L112*F112)/(L$10*F$10)-1)*costos!$G$23+((AN112)/(AN$10)-1)*costos!$J$23+((V112*F112)/(V$10*F$10)-1)*costos!$K$23)))</f>
        <v>7905.9633775789589</v>
      </c>
      <c r="CR112" s="268">
        <f>CR$10*(1+((H112/H$10-1)*costos!$B$24+((I112*F112)/(I$10*F$10)-1)*costos!$E$24+((J112*F112)/((J$10*F$10)-1)*costos!$F$24/3+((K112*F112)/(K$10*F$10)-1)*costos!$F$24/3+((U112*F112)/(U$10*F$10)-1)*costos!$F$24/3+((L112*F112)/(L$10*F$10)-1)*costos!$G$24+((AO112)/(AO$10)-1)*costos!$J$24+((V112*F112)/(V$10*F$10)-1)*costos!$K$24)))</f>
        <v>8230.4553435359794</v>
      </c>
      <c r="CS112" s="92">
        <f t="shared" si="352"/>
        <v>8068.2093605574692</v>
      </c>
      <c r="CT112" s="268">
        <f>CT$10*(1+((H112/H$10-1)*costos!$B$25+((I112*F112)/(I$10*F$10)-1)*costos!$E$25+((J112*F112)/((J$10*F$10)-1)*costos!$F$25/3+((K112*F112)/(K$10*F$10)-1)*costos!$F$25/3+((U112*F112)/(U$10*F$10)-1)*costos!$F$25/3+((L112*F112)/(L$10*F$10)-1)*costos!$G$25+((AQ112)/(AQ$10)-1)*costos!$J$25+((V112*F112)/(V$10*F$10)-1)*costos!$K$25)))</f>
        <v>7261.8734069968668</v>
      </c>
      <c r="CU112" s="268">
        <f>CU$10*(1+((H112/H$10-1)*costos!$B$26+((I112*F112)/(I$10*F$10)-1)*costos!$E$26+((J112*F112)/((J$10*F$10)-1)*costos!$F$26/3+((K112*F112)/(K$10*F$10)-1)*costos!$F$26/3+((U112*F112)/(U$10*F$10)-1)*costos!$F$26/3+((L112*F112)/(L$10*F$10)-1)*costos!$G$26+((AR112)/(AR$10)-1)*costos!$J$26+((V112*F112)/(V$10*F$10)-1)*costos!$K$26)))</f>
        <v>7629.978318485365</v>
      </c>
      <c r="CV112" s="268">
        <f>CV$10*(1+((H112/H$10-1)*costos!$B$27+((I112*F112)/(I$10*F$10)-1)*costos!$E$27+((J112*F112)/((J$10*F$10)-1)*costos!$F$27/3+((K112*F112)/(K$10*F$10)-1)*costos!$F$27/3+((U112*F112)/(U$10*F$10)-1)*costos!$F$27/3+((L112*F112)/(L$10*F$10)-1)*costos!$G$27+((AS112)/(AS$10)-1)*costos!$J$27+((V112*F112)/(V$10*F$10)-1)*costos!$K$27)))</f>
        <v>7863.1480195567474</v>
      </c>
      <c r="CW112" s="268">
        <f>CW$10*(1+((H112/H$10-1)*costos!$B$28+((I112*F112)/(I$10*F$10)-1)*costos!$E$28+((J112*F112)/((J$10*F$10)-1)*costos!$F$28/3+((K112*F112)/(K$10*F$10)-1)*costos!$F$28/3+((U112*F112)/(U$10*F$10)-1)*costos!$F$28/3+((L112*F112)/(L$10*F$10)-1)*costos!$G$28+((AS112)/(AS$10)-1)*costos!$J$28+((V112*F112)/(V$10*F$10)-1)*costos!$K$28)))</f>
        <v>7863.1480195567474</v>
      </c>
      <c r="CX112" s="268">
        <f t="shared" ref="CX112:CX117" si="449">+AVERAGE(CU112:CW112)</f>
        <v>7785.4247858662857</v>
      </c>
      <c r="CY112" s="268">
        <f>CY$10*(1+((H112/H$10-1)*costos!$B$32+((I112*F112)/(I$10*F$10)-1)*costos!$E$32+((J112*F112)/((J$10*F$10)-1)*costos!$F$32/3+((K112*F112)/(K$10*F$10)-1)*costos!$F$32/3+((U112*F112)/(U$10*F$10)-1)*costos!$F$32/3+((L112*F112)/(L$10*F$10)-1)*costos!$G$32+((AG112)/(AG$10)-1)*costos!$J$32+((V112*F112)/(V$10*F$10)-1)*costos!$K$32)))</f>
        <v>7918.7900794156885</v>
      </c>
      <c r="CZ112" s="69">
        <f>CZ$10*(1+((H112/H$10-1)*costos!$B$31+((I112*F112)/(I$10*F$10)-1)*costos!$E$30+((J112*F112)/((J$10*F$10)-1)*costos!$F$30/3+((K112*F112)/(K$10*F$10)-1)*costos!$F$30/3+((U112*F112)/(U$10*F$10)-1)*costos!$F$30/3+((L112*F112)/(L$10*F$10)-1)*costos!$G$30+((BG112)/(BG$10)-1)*costos!$J$30+((V112*F112)/(V$10*F$10)-1)*costos!$K$30)))</f>
        <v>9990.0295465228246</v>
      </c>
      <c r="DA112" s="69">
        <f>DA$10*(1+((H112/H$10-1)*costos!$B$31+((I112*F112)/(I$10*F$10)-1)*costos!$E$31+((J112*F112)/((J$10*F$10)-1)*costos!$F$31/3+((K112*F112)/(K$10*F$10)-1)*costos!$F$31/3+((U112*F112)/(U$10*F$10)-1)*costos!$F$31/3+((L112*F112)/(L$10*F$10)-1)*costos!$G$31+((BJ112)/(BJ$10)-1)*costos!$J$31+((V112*F112)/(V$10*F$10)-1)*costos!$K$31)))</f>
        <v>8136.1911606289141</v>
      </c>
      <c r="DB112" s="69">
        <f>DB$10*(1+((H112/H$10-1)*costos!$B$36+((I112*F112)/(I$10*F$10)-1)*costos!$E$36+((J112*F112)/((J$10*F$10)-1)*costos!$F$36/3+((K112*F112)/(K$10*F$10)-1)*costos!$F$36/3+((U112*F112)/(U$10*F$10)-1)*costos!$F$36/3+((L112*F112)/(L$10*F$10)-1)*costos!$G$36+((BK112)/(BK$10)-1)*costos!$J$36+((V112*F112)/(V$10*F$10)-1)*costos!$K$36)))</f>
        <v>8218.0653661302731</v>
      </c>
      <c r="DC112" s="69">
        <f>DC$10*(1+((H112/H$10-1)*costos!$B$37+((I112*F112)/(I$10*F$10)-1)*costos!$E$37+((U112*F112)/(U$10*F$10)-1)*costos!$F$37+((L112*F112)/(L$10*F$10)-1)*costos!$G$37+((BN112)/(BN$10)-1)*costos!$J$37+((V112*F112)/(V$10*F$10)-1)*costos!$K$37))</f>
        <v>8304.065150232469</v>
      </c>
      <c r="DD112" s="69">
        <f>DD$10*(1+((H112/H$10-1)*costos!$B$39+((I112*F112)/(I$10*F$10)-1)*costos!$E$39+((U112*F112)/(U$10*F$10)-1)*costos!$F$39+((L112*F112)/(L$10*F$10)-1)*costos!$G$39+((BR112)/(BR$10)-1)*costos!$J$39+((V112*F112)/(V$10*F$10)-1)*costos!$K$39))</f>
        <v>7903.4010379425026</v>
      </c>
      <c r="DE112" s="69">
        <f>DD$10*(1+((H112/H$10-1)*costos!$B$35+((I112*F112)/(I$10*F$10)-1)*costos!$E$35+((U112*F112)/(U$10*F$10)-1)*costos!$F$35+((L112*F112)/(L$10*F$10)-1)*costos!$G$35+((BR112)/(BR$10)-1)*costos!$J$35+((V112*F112)/(V$10*F$10)-1)*costos!$K$35))</f>
        <v>7015.1492559107392</v>
      </c>
      <c r="DF112" s="69">
        <f>DF$10*(1+((H112/H$10-1)*costos!$B$40+((I112*F112)/(I$10*F$10)-1)*costos!$E$40+((U112*F112)/(U$10*F$10)-1)*costos!$F$40+((L112*F112)/(L$10*F$10)-1)*costos!$G$40+((BP112)/(BP$10)-1)*costos!$J$40+((V112*F112)/(V$10*F$10)-1)*costos!$K$40))</f>
        <v>8152.7902261881181</v>
      </c>
      <c r="DG112" s="268">
        <f t="shared" si="391"/>
        <v>7583.9697410494282</v>
      </c>
      <c r="DH112" s="69">
        <f>DH$10*(1+((H112/H$10-1)*costos!$B$34+((I112*F112)/(I$10*F$10)-1)*costos!$E$34+((J112*F112)/((J$10*F$10)-1)*costos!$F$34/3+((K112*F112)/(K$10*F$10)-1)*costos!$F$34/3+((U112*F112)/(U$10*F$10)-1)*costos!$F$34/3+((L112*F112)/(L$10*F$10)-1)*costos!$G$34+((BV112)/(BV$10)-1)*costos!$J$34+((V112*F112)/(V$10*F$10)-1)*costos!$K$34)))</f>
        <v>8028.5444616366021</v>
      </c>
      <c r="DI112" s="69">
        <f>DI$10*(1+((H112/H$10-1)*costos!$B$38+((I112*F112)/(I$10*F$10)-1)*costos!$E$38+((J112*F112)/((J$10*F$10)-1)*costos!$F$38/3+((K112*F112)/(K$10*F$10)-1)*costos!$F$38/3+((U112*F112)/(U$10*F$10)-1)*costos!$F$38/3+((L112*F112)/(L$10*F$10)-1)*costos!$G$38+((BU112)/(BU$10)-1)*costos!$J$38+((V112*F112)/(V$10*F$10)-1)*costos!$K$38)))</f>
        <v>7960.8909998993677</v>
      </c>
      <c r="DK112" s="1">
        <v>650000</v>
      </c>
      <c r="DL112" s="1" t="s">
        <v>410</v>
      </c>
      <c r="DM112" s="1">
        <v>200000</v>
      </c>
      <c r="DN112" s="1" t="s">
        <v>410</v>
      </c>
      <c r="DO112" s="1">
        <v>1500000</v>
      </c>
      <c r="DP112" s="1" t="s">
        <v>512</v>
      </c>
      <c r="DQ112" s="1">
        <v>1900000</v>
      </c>
      <c r="DR112" s="1" t="s">
        <v>410</v>
      </c>
      <c r="DS112" s="1">
        <v>7600000</v>
      </c>
      <c r="DT112" s="1" t="s">
        <v>410</v>
      </c>
      <c r="DU112" s="1">
        <v>16700000</v>
      </c>
      <c r="DV112" s="1" t="s">
        <v>410</v>
      </c>
      <c r="DW112" s="1">
        <v>800000</v>
      </c>
      <c r="DX112" s="1" t="s">
        <v>410</v>
      </c>
      <c r="DY112" s="1">
        <v>6550000</v>
      </c>
      <c r="DZ112" s="1" t="s">
        <v>512</v>
      </c>
      <c r="EA112" s="79">
        <f t="shared" si="353"/>
        <v>35050000</v>
      </c>
      <c r="EB112" s="1">
        <v>416490</v>
      </c>
      <c r="EC112" s="1" t="s">
        <v>410</v>
      </c>
      <c r="ED112" s="1">
        <v>230256</v>
      </c>
      <c r="EE112" s="143">
        <v>2024</v>
      </c>
      <c r="EF112" s="1">
        <v>199946</v>
      </c>
      <c r="EG112" s="6">
        <v>2024</v>
      </c>
      <c r="EH112" s="1">
        <v>52783892</v>
      </c>
      <c r="EI112" s="6">
        <v>2024</v>
      </c>
      <c r="EJ112" s="1">
        <v>6115215</v>
      </c>
      <c r="EK112" s="6">
        <v>2024</v>
      </c>
      <c r="EL112" s="1">
        <v>12609460</v>
      </c>
      <c r="EM112" s="6">
        <v>2023</v>
      </c>
      <c r="EN112" s="1">
        <v>3169981</v>
      </c>
      <c r="EO112" s="6">
        <v>2021</v>
      </c>
      <c r="EP112" s="83">
        <v>9100</v>
      </c>
      <c r="EQ112" s="83">
        <v>3500000</v>
      </c>
      <c r="ER112" s="1">
        <f t="shared" si="430"/>
        <v>80248</v>
      </c>
      <c r="ES112" s="1"/>
      <c r="ET112" s="83">
        <f t="shared" si="393"/>
        <v>19357</v>
      </c>
      <c r="EU112" s="83">
        <f t="shared" si="393"/>
        <v>18703</v>
      </c>
      <c r="EV112" s="83">
        <f t="shared" si="393"/>
        <v>8927</v>
      </c>
      <c r="EW112" s="83">
        <f t="shared" si="393"/>
        <v>17408</v>
      </c>
      <c r="EX112" s="79">
        <f t="shared" si="354"/>
        <v>64395</v>
      </c>
      <c r="EY112" s="83">
        <f t="shared" si="394"/>
        <v>20031</v>
      </c>
      <c r="EZ112" s="83">
        <f t="shared" si="394"/>
        <v>34815</v>
      </c>
      <c r="FA112" s="83">
        <f t="shared" si="431"/>
        <v>19900</v>
      </c>
      <c r="FB112" s="83">
        <f t="shared" si="406"/>
        <v>18184</v>
      </c>
      <c r="FC112" s="79">
        <f t="shared" si="414"/>
        <v>38084</v>
      </c>
      <c r="FD112">
        <v>60376</v>
      </c>
      <c r="FE112" s="1"/>
      <c r="FF112" s="1">
        <v>1300000</v>
      </c>
      <c r="FG112" s="1" t="s">
        <v>410</v>
      </c>
      <c r="FH112" s="1">
        <v>1300000</v>
      </c>
      <c r="FI112" s="1" t="s">
        <v>410</v>
      </c>
      <c r="FJ112" s="1">
        <v>5100000</v>
      </c>
      <c r="FK112" s="1" t="s">
        <v>410</v>
      </c>
      <c r="FL112" s="1">
        <v>3900000</v>
      </c>
      <c r="FM112" s="1" t="s">
        <v>410</v>
      </c>
      <c r="FN112" s="1">
        <v>46500000</v>
      </c>
      <c r="FO112" s="1" t="s">
        <v>410</v>
      </c>
      <c r="FP112" s="1">
        <v>49000000</v>
      </c>
      <c r="FQ112" s="1" t="s">
        <v>410</v>
      </c>
      <c r="FR112" s="1">
        <v>2500000</v>
      </c>
      <c r="FS112" s="1" t="s">
        <v>410</v>
      </c>
      <c r="FT112" s="1">
        <v>15853000</v>
      </c>
      <c r="FU112" s="1" t="s">
        <v>410</v>
      </c>
      <c r="FV112" s="79">
        <f t="shared" si="355"/>
        <v>122853000</v>
      </c>
      <c r="FW112" s="1">
        <v>1604722</v>
      </c>
      <c r="FX112" s="1" t="s">
        <v>410</v>
      </c>
      <c r="FY112" s="1">
        <v>175998</v>
      </c>
      <c r="FZ112" s="79">
        <f t="shared" si="377"/>
        <v>991201.5</v>
      </c>
      <c r="GA112" s="86" t="str">
        <f t="shared" si="378"/>
        <v>ago23 jul24</v>
      </c>
      <c r="GB112" s="1">
        <v>19189740</v>
      </c>
      <c r="GC112" s="6">
        <v>2024</v>
      </c>
      <c r="GD112" s="1">
        <v>1714000</v>
      </c>
      <c r="GE112" s="1">
        <v>424000</v>
      </c>
      <c r="GF112" s="1">
        <v>1165000</v>
      </c>
      <c r="GG112" s="1">
        <v>145000</v>
      </c>
      <c r="GH112" s="79">
        <f t="shared" ref="GH112:GH129" si="450">GE112+GF112+GG112</f>
        <v>1734000</v>
      </c>
      <c r="GI112" s="82">
        <f t="shared" si="373"/>
        <v>1302556</v>
      </c>
      <c r="GJ112" s="83">
        <f t="shared" si="373"/>
        <v>682423</v>
      </c>
      <c r="GK112" s="83">
        <f t="shared" si="373"/>
        <v>1391495</v>
      </c>
      <c r="GL112" s="83">
        <f t="shared" si="373"/>
        <v>305049</v>
      </c>
      <c r="GM112" s="83">
        <f t="shared" si="373"/>
        <v>260419</v>
      </c>
      <c r="GN112" s="79">
        <f t="shared" si="357"/>
        <v>2639386</v>
      </c>
      <c r="GO112" s="83">
        <f t="shared" si="374"/>
        <v>201734</v>
      </c>
      <c r="GP112" s="83">
        <f t="shared" si="416"/>
        <v>69297</v>
      </c>
      <c r="GQ112" s="1">
        <f>+GQ100/GQ99*GQ111</f>
        <v>12215.767552920344</v>
      </c>
      <c r="GR112" s="1">
        <v>34035</v>
      </c>
      <c r="GS112" s="79">
        <f t="shared" si="412"/>
        <v>34401.473026587613</v>
      </c>
      <c r="GT112" s="83">
        <f t="shared" si="407"/>
        <v>2111561</v>
      </c>
      <c r="GU112" s="1">
        <f>38620-6501</f>
        <v>32119</v>
      </c>
      <c r="GV112" s="1">
        <f>29173-4697</f>
        <v>24476</v>
      </c>
      <c r="GW112" s="79">
        <f t="shared" si="261"/>
        <v>744287</v>
      </c>
      <c r="GX112" s="1">
        <v>30804.553</v>
      </c>
      <c r="GY112" s="1" t="s">
        <v>436</v>
      </c>
      <c r="GZ112" s="1">
        <v>80786</v>
      </c>
      <c r="HA112" s="1">
        <v>287642</v>
      </c>
      <c r="HB112" s="79">
        <f t="shared" si="437"/>
        <v>3102435</v>
      </c>
      <c r="HC112" s="86" t="str">
        <f t="shared" si="379"/>
        <v>ago23 jul24</v>
      </c>
      <c r="HD112" s="1">
        <v>77076</v>
      </c>
      <c r="HE112" s="79">
        <f t="shared" si="380"/>
        <v>784161</v>
      </c>
      <c r="HF112" s="86" t="str">
        <f t="shared" si="381"/>
        <v>ago23 jul24</v>
      </c>
      <c r="HG112" s="1">
        <v>212000</v>
      </c>
      <c r="HH112" s="79">
        <f t="shared" si="438"/>
        <v>2297000</v>
      </c>
      <c r="HI112" s="86" t="str">
        <f t="shared" si="382"/>
        <v>ago23 jul24</v>
      </c>
      <c r="HJ112" s="1">
        <f>+HJ111*HJ100/HJ99</f>
        <v>80890.371654779825</v>
      </c>
      <c r="HK112" s="79">
        <f t="shared" si="278"/>
        <v>66032.782299286802</v>
      </c>
      <c r="HL112" s="86" t="str">
        <f t="shared" si="383"/>
        <v>ago23 jul24</v>
      </c>
      <c r="HM112" s="79">
        <f t="shared" si="358"/>
        <v>2363032.7822992867</v>
      </c>
      <c r="HN112" s="87">
        <f t="shared" si="297"/>
        <v>-0.14777327935222673</v>
      </c>
      <c r="HO112" s="1">
        <v>842000000</v>
      </c>
      <c r="HP112" s="79">
        <f t="shared" si="386"/>
        <v>10518.700656900923</v>
      </c>
      <c r="HQ112" s="86" t="str">
        <f t="shared" si="384"/>
        <v>ago23 jul24</v>
      </c>
      <c r="HR112" s="1"/>
      <c r="HS112" s="1"/>
      <c r="HT112" s="1"/>
      <c r="HU112" s="1">
        <v>700000</v>
      </c>
      <c r="HV112" s="1" t="s">
        <v>410</v>
      </c>
      <c r="HW112" s="1">
        <v>1500000</v>
      </c>
      <c r="HX112" s="1" t="s">
        <v>410</v>
      </c>
      <c r="HY112" s="1">
        <v>4600000</v>
      </c>
      <c r="HZ112" s="1" t="s">
        <v>410</v>
      </c>
      <c r="IA112" s="1">
        <f>(3.6+18)*1000000</f>
        <v>21600000</v>
      </c>
      <c r="IB112" s="1" t="s">
        <v>410</v>
      </c>
      <c r="IC112" s="1">
        <v>45000000</v>
      </c>
      <c r="ID112" s="1" t="s">
        <v>410</v>
      </c>
      <c r="IE112" s="1">
        <v>1500000</v>
      </c>
      <c r="IF112" s="1" t="s">
        <v>410</v>
      </c>
      <c r="IG112" s="1">
        <f t="shared" si="415"/>
        <v>7400000</v>
      </c>
      <c r="IH112" s="1" t="s">
        <v>410</v>
      </c>
      <c r="II112" s="79">
        <f t="shared" si="359"/>
        <v>81600000</v>
      </c>
      <c r="IJ112" s="97">
        <f t="shared" si="434"/>
        <v>2.1563835150032644</v>
      </c>
      <c r="IK112" s="1" t="s">
        <v>410</v>
      </c>
      <c r="IL112" s="7">
        <v>45.32</v>
      </c>
      <c r="IM112" s="7">
        <v>47.8</v>
      </c>
      <c r="IN112" s="7">
        <v>160.6</v>
      </c>
      <c r="IO112" s="7">
        <v>16.84</v>
      </c>
      <c r="IP112" s="176">
        <f t="shared" si="432"/>
        <v>5.5693606783423002</v>
      </c>
      <c r="IQ112" s="176">
        <v>16.3</v>
      </c>
      <c r="IR112" s="478">
        <f t="shared" si="397"/>
        <v>6.09</v>
      </c>
      <c r="IS112" s="478">
        <f t="shared" si="397"/>
        <v>4.03</v>
      </c>
      <c r="IT112" s="478">
        <f t="shared" si="397"/>
        <v>11.98</v>
      </c>
      <c r="IU112" s="478">
        <f t="shared" si="397"/>
        <v>1.38</v>
      </c>
      <c r="IV112" s="94">
        <f t="shared" si="360"/>
        <v>17.39</v>
      </c>
      <c r="IW112" s="1"/>
      <c r="IX112" s="1"/>
      <c r="IY112" s="80">
        <v>1.88</v>
      </c>
      <c r="IZ112" s="88">
        <v>0.3</v>
      </c>
      <c r="JA112" s="1">
        <v>2813</v>
      </c>
      <c r="JB112" s="95">
        <f t="shared" si="433"/>
        <v>35.950000000000003</v>
      </c>
      <c r="JC112" s="1"/>
      <c r="JD112" s="1"/>
      <c r="JF112" s="2">
        <v>24.496622440000007</v>
      </c>
      <c r="JG112" s="2">
        <v>38.799980059999996</v>
      </c>
      <c r="JH112" s="2">
        <v>93.81418816</v>
      </c>
      <c r="JI112" s="2">
        <v>232.17708469999999</v>
      </c>
      <c r="JJ112" s="2">
        <v>973.64204068000004</v>
      </c>
      <c r="JK112" s="2">
        <v>115.53726275000001</v>
      </c>
      <c r="JL112" s="2">
        <v>2761.3654172900001</v>
      </c>
      <c r="JM112" s="2">
        <v>27.27165325</v>
      </c>
      <c r="JN112" s="2">
        <v>112.39676863999998</v>
      </c>
      <c r="JO112" s="2">
        <v>34.87822036</v>
      </c>
      <c r="JP112" s="2">
        <v>0</v>
      </c>
      <c r="JQ112" s="2">
        <v>0.89796284000000004</v>
      </c>
      <c r="JR112" s="2">
        <v>1.3093243399999999</v>
      </c>
      <c r="JS112" s="2">
        <v>0</v>
      </c>
      <c r="JT112" s="2">
        <v>1.36375E-2</v>
      </c>
      <c r="JU112" s="2">
        <v>115.95052356999999</v>
      </c>
      <c r="JV112" s="2">
        <v>11.32793485</v>
      </c>
      <c r="JW112" s="2">
        <v>24.008634539999999</v>
      </c>
      <c r="JX112" s="2">
        <v>45.106675070000009</v>
      </c>
      <c r="JY112" s="2">
        <v>0</v>
      </c>
      <c r="JZ112" s="2">
        <v>13.926532509999999</v>
      </c>
      <c r="KA112" s="2">
        <v>0.11473</v>
      </c>
      <c r="KB112" s="2">
        <v>18.147427050000005</v>
      </c>
      <c r="KC112" s="2">
        <v>56.365947810000002</v>
      </c>
      <c r="KD112" s="2">
        <v>8.3006057400000017</v>
      </c>
      <c r="KE112" s="2">
        <v>18.049853030000005</v>
      </c>
      <c r="KF112" s="2">
        <v>23.157032140000002</v>
      </c>
      <c r="KG112" s="2">
        <v>307.7105307999999</v>
      </c>
      <c r="KH112" s="2">
        <v>131.64359017999999</v>
      </c>
      <c r="KI112" s="2">
        <v>15.60716012</v>
      </c>
      <c r="KJ112" s="2">
        <v>4.3175895799999999</v>
      </c>
      <c r="KK112" s="171">
        <v>4.5361736000000006</v>
      </c>
      <c r="KL112" s="171">
        <v>0.18557204999999999</v>
      </c>
      <c r="KM112" s="171">
        <v>0.75760321999999991</v>
      </c>
      <c r="KN112" s="171">
        <v>1.29292125</v>
      </c>
      <c r="KO112" s="171">
        <v>1.2509573199999999</v>
      </c>
      <c r="KP112" s="171">
        <v>8.6628999999999998E-2</v>
      </c>
      <c r="KQ112" s="171">
        <v>387.36397040999998</v>
      </c>
      <c r="KR112" s="171">
        <v>7.9366850000000003E-2</v>
      </c>
      <c r="KS112" s="171">
        <v>0.19191552000000001</v>
      </c>
      <c r="KT112" s="171">
        <v>1.6294275100000002</v>
      </c>
      <c r="KU112" s="171">
        <v>0.15569543999999999</v>
      </c>
      <c r="KV112" s="171">
        <v>2.6282507400000004</v>
      </c>
      <c r="KW112" s="171">
        <v>2.4243124699999998</v>
      </c>
      <c r="KX112" s="171">
        <v>0</v>
      </c>
      <c r="KY112" s="171">
        <v>0</v>
      </c>
      <c r="KZ112" s="171">
        <v>2.3161338599999999</v>
      </c>
      <c r="LA112" s="171">
        <v>0.49785052000000002</v>
      </c>
      <c r="LB112" s="171">
        <v>2.0091999999999999E-2</v>
      </c>
      <c r="LC112" s="171">
        <v>6.9104790000000013E-2</v>
      </c>
      <c r="LD112" s="171">
        <v>0</v>
      </c>
      <c r="LE112" s="171">
        <v>0</v>
      </c>
      <c r="LF112" s="171">
        <v>0.23680799999999999</v>
      </c>
      <c r="LG112" s="171">
        <v>11.46589975</v>
      </c>
      <c r="LH112" s="171">
        <v>1.1636776099999999</v>
      </c>
      <c r="LI112" s="171">
        <v>1.7316709800000001</v>
      </c>
      <c r="LJ112" s="171">
        <v>0</v>
      </c>
      <c r="LK112" s="171">
        <v>1.5903026900000001</v>
      </c>
      <c r="LL112" s="171">
        <v>3.9954732900000005</v>
      </c>
      <c r="LM112" s="171">
        <v>2.5429137699999997</v>
      </c>
      <c r="LN112" s="171">
        <v>0.1577527</v>
      </c>
      <c r="LO112" s="171">
        <v>2.5935797799999998</v>
      </c>
      <c r="LQ112" s="85">
        <f t="shared" si="439"/>
        <v>4200.6671527199996</v>
      </c>
      <c r="LR112" s="85">
        <f t="shared" si="440"/>
        <v>2.22092468</v>
      </c>
      <c r="LS112" s="85">
        <f t="shared" si="441"/>
        <v>35.336569390000001</v>
      </c>
      <c r="LT112" s="85">
        <f t="shared" si="442"/>
        <v>14.041262509999999</v>
      </c>
      <c r="LU112" s="85">
        <f t="shared" si="443"/>
        <v>390.93673457</v>
      </c>
      <c r="LV112" s="85">
        <f t="shared" si="444"/>
        <v>5.0525632100000006</v>
      </c>
      <c r="LW112" s="85">
        <f t="shared" si="445"/>
        <v>0.51794252000000007</v>
      </c>
      <c r="LX112" s="85">
        <f t="shared" si="446"/>
        <v>0.23680799999999999</v>
      </c>
      <c r="LZ112" s="83">
        <v>1321.22</v>
      </c>
      <c r="MA112" s="83">
        <v>2301.88</v>
      </c>
      <c r="MB112"/>
      <c r="MC112"/>
      <c r="MD112"/>
      <c r="MF112"/>
      <c r="MG112"/>
      <c r="MH112" s="83">
        <v>2663.51</v>
      </c>
      <c r="MI112" s="83">
        <v>851.77</v>
      </c>
      <c r="MJ112" s="83">
        <v>913.17</v>
      </c>
      <c r="MK112"/>
      <c r="ML112" s="83">
        <v>1800.1</v>
      </c>
      <c r="MM112" s="83">
        <v>3640.04</v>
      </c>
      <c r="MN112" s="83"/>
      <c r="MO112" s="83">
        <v>609.23</v>
      </c>
      <c r="MP112" s="83">
        <v>2047.63</v>
      </c>
      <c r="MQ112" s="83">
        <v>2119.85</v>
      </c>
      <c r="MR112"/>
      <c r="MT112" s="83"/>
      <c r="MU112" s="83">
        <v>820.11</v>
      </c>
      <c r="MV112"/>
      <c r="MW112"/>
      <c r="MX112"/>
      <c r="MY112" s="83">
        <v>2256.08</v>
      </c>
      <c r="MZ112" s="83">
        <v>4525</v>
      </c>
      <c r="NA112" s="83">
        <v>2553</v>
      </c>
      <c r="NB112" s="83">
        <v>7106</v>
      </c>
      <c r="NC112" s="83">
        <v>1305.07</v>
      </c>
      <c r="ND112" s="1">
        <v>8690</v>
      </c>
      <c r="NE112" s="1">
        <v>4593</v>
      </c>
    </row>
    <row r="113" spans="1:369">
      <c r="A113" s="270">
        <f t="shared" si="417"/>
        <v>45505</v>
      </c>
      <c r="B113" s="36">
        <f t="shared" si="428"/>
        <v>8</v>
      </c>
      <c r="C113" s="36">
        <f t="shared" si="429"/>
        <v>2024</v>
      </c>
      <c r="D113" s="36">
        <f t="shared" si="347"/>
        <v>113</v>
      </c>
      <c r="E113" s="38">
        <f t="shared" si="418"/>
        <v>45505</v>
      </c>
      <c r="F113" s="7">
        <v>940.73</v>
      </c>
      <c r="G113" s="7">
        <v>6883.4</v>
      </c>
      <c r="H113" s="1">
        <f>[2]NACIONALES!$D101</f>
        <v>640136.04843688407</v>
      </c>
      <c r="I113" s="7">
        <v>113</v>
      </c>
      <c r="J113" s="7">
        <v>580</v>
      </c>
      <c r="K113" s="7">
        <v>4.9000000000000004</v>
      </c>
      <c r="L113" s="7">
        <v>32.6</v>
      </c>
      <c r="N113" s="5">
        <f>+(1.56+1.56+1.55)/3</f>
        <v>1.5566666666666666</v>
      </c>
      <c r="O113" s="5">
        <f>+(1.31+1.31+1.3)/3</f>
        <v>1.3066666666666666</v>
      </c>
      <c r="P113" s="78">
        <f t="shared" si="398"/>
        <v>1279.4711941666667</v>
      </c>
      <c r="Q113" s="6">
        <v>40000</v>
      </c>
      <c r="R113" s="83">
        <f t="shared" si="419"/>
        <v>400000</v>
      </c>
      <c r="S113" s="143">
        <f>160315.6/F113</f>
        <v>170.41616616882635</v>
      </c>
      <c r="T113" s="279">
        <v>338.92</v>
      </c>
      <c r="U113" s="188">
        <v>173</v>
      </c>
      <c r="V113" s="143">
        <v>307.95</v>
      </c>
      <c r="W113">
        <v>207</v>
      </c>
      <c r="X113">
        <v>249</v>
      </c>
      <c r="Y113" s="79">
        <f t="shared" si="420"/>
        <v>160315.6</v>
      </c>
      <c r="Z113" s="79">
        <f t="shared" si="421"/>
        <v>318832.21160000004</v>
      </c>
      <c r="AA113" s="79">
        <f t="shared" si="422"/>
        <v>162746.29</v>
      </c>
      <c r="AB113" s="79">
        <f t="shared" si="423"/>
        <v>289697.80349999998</v>
      </c>
      <c r="AC113" s="79">
        <f t="shared" si="424"/>
        <v>194731.11000000002</v>
      </c>
      <c r="AD113" s="79">
        <f t="shared" si="425"/>
        <v>234241.77000000002</v>
      </c>
      <c r="AE113" s="79">
        <f t="shared" si="426"/>
        <v>226760.79751666667</v>
      </c>
      <c r="AF113" s="1">
        <v>844774.7</v>
      </c>
      <c r="AG113" s="83">
        <v>210000</v>
      </c>
      <c r="AH113" s="82">
        <f>+AH112</f>
        <v>718918.91891891882</v>
      </c>
      <c r="AI113" s="5">
        <v>464.92</v>
      </c>
      <c r="AJ113" s="5">
        <v>313.95</v>
      </c>
      <c r="AK113" s="5">
        <v>273.08999999999997</v>
      </c>
      <c r="AL113" s="5">
        <v>297.33999999999997</v>
      </c>
      <c r="AM113" s="78">
        <f>+AI114*0.46+AJ114*0.04+AK114*0.26+AL114*0.24</f>
        <v>357.99060000000003</v>
      </c>
      <c r="AN113" s="7">
        <v>23025.316455696204</v>
      </c>
      <c r="AO113" s="7">
        <v>17017.863636363636</v>
      </c>
      <c r="AP113" s="78">
        <f t="shared" si="385"/>
        <v>17017.863636363636</v>
      </c>
      <c r="AQ113" s="7">
        <v>5722.826086956522</v>
      </c>
      <c r="AR113" s="7">
        <v>6999.6318181818197</v>
      </c>
      <c r="AS113" s="97">
        <v>6721.56</v>
      </c>
      <c r="AT113" s="7">
        <v>8897.7272727272721</v>
      </c>
      <c r="AU113" s="78">
        <f t="shared" si="348"/>
        <v>7539.6396969696971</v>
      </c>
      <c r="AV113" s="7">
        <v>13529.268292682927</v>
      </c>
      <c r="AW113" s="7">
        <v>9540.9090909090901</v>
      </c>
      <c r="AX113" s="7">
        <v>20038.227272727272</v>
      </c>
      <c r="AY113" s="7">
        <v>22919.158878504673</v>
      </c>
      <c r="AZ113" s="7">
        <v>10077.240909090908</v>
      </c>
      <c r="BA113" s="7">
        <v>4753.333333333333</v>
      </c>
      <c r="BB113" s="94">
        <f t="shared" si="345"/>
        <v>15363.55675918059</v>
      </c>
      <c r="BC113" s="285">
        <v>34425</v>
      </c>
      <c r="BD113" s="285">
        <v>30982</v>
      </c>
      <c r="BE113" s="280">
        <v>26000</v>
      </c>
      <c r="BF113" s="280">
        <v>20500</v>
      </c>
      <c r="BG113" s="94">
        <f t="shared" si="349"/>
        <v>27976.75</v>
      </c>
      <c r="BH113" s="7">
        <v>2820</v>
      </c>
      <c r="BI113" s="7">
        <f>600+255</f>
        <v>855</v>
      </c>
      <c r="BJ113" s="78">
        <f t="shared" si="350"/>
        <v>3675</v>
      </c>
      <c r="BK113" s="7">
        <v>2053.288</v>
      </c>
      <c r="BL113" s="7">
        <v>2460.12</v>
      </c>
      <c r="BM113" s="94">
        <f t="shared" si="351"/>
        <v>2256.7039999999997</v>
      </c>
      <c r="BN113" s="5">
        <v>418.74</v>
      </c>
      <c r="BO113" s="84">
        <v>2033.71</v>
      </c>
      <c r="BP113" s="84">
        <v>1326.89</v>
      </c>
      <c r="BQ113" s="94">
        <f t="shared" si="435"/>
        <v>1680.3000000000002</v>
      </c>
      <c r="BR113" s="7">
        <v>1230.69</v>
      </c>
      <c r="BS113" s="7">
        <v>4600</v>
      </c>
      <c r="BT113" s="7">
        <f>1.13*F113</f>
        <v>1063.0248999999999</v>
      </c>
      <c r="BU113" s="79">
        <f t="shared" si="436"/>
        <v>58389.074699999997</v>
      </c>
      <c r="BV113" s="7">
        <v>1606</v>
      </c>
      <c r="BW113" s="7">
        <v>2365</v>
      </c>
      <c r="BY113" s="268">
        <f>BY$10*(1+((H113/H$10-1)*costos!$B$5+((I113*F113)/(I$10*F$10)-1)*costos!$E$5+((J113*F113)/((J$10*F$10)-1)*costos!$F$5/3+((K113*F113)/(K$10*F$10)-1)*costos!$F$5/3+((U113*F113)/(U$10*F$10)-1)*costos!$F$5/3+((L113*F113)/(L$10*F$10)-1)*costos!$G$5+((N113*F113)/(N$10*F$10)-1)*costos!$J$5+((V113*F113)/(V$10*F$10)-1)*costos!$K$5)))</f>
        <v>8609.049738738282</v>
      </c>
      <c r="BZ113" s="268">
        <f>$BZ$10*(1+((H113/$H$10-1)*costos!$B$6+((I113*F113)/($I$10*$F$10)-1)*costos!$E$6+((J113*F113)/(($J$10*$F$10)-1)*costos!$F$6/3+((K113*F113)/($K$10*$F$10)-1)*costos!$F$6/3+((U113*F113)/($U$10*$F$10)-1)*costos!$F$6/3+((L113*F113)/($L$10*$F$10)-1)*costos!$G$6+((Q113*F113)/($Q$10*$F$10)-1)*costos!$J$6+((V113*F113)/($V$10*$F$10)-1)*costos!$K$6)))</f>
        <v>8352.389967395502</v>
      </c>
      <c r="CA113" s="268">
        <f>CA$10*(1+((H113/H$10-1)*costos!$B$7+((I113*F113)/(I$10*F$10)-1)*costos!$E$7+((J113*F113)/((J$10*F$10)-1)*costos!$F$7/3+((K113*F113)/(K$10*F$10)-1)*costos!$F$7/3+((U113*F113)/(U$10*F$10)-1)*costos!$F$7/3+((L113*F113)/(L$10*F$10)-1)*costos!$G$7+((S113*F113)/(S$10*F$10)-1)*costos!$J$7+((V113*F113)/(V$10*F$10)-1)*costos!$K$7)))</f>
        <v>8320.5196561054818</v>
      </c>
      <c r="CB113" s="268">
        <f>CB$10*(1+((H113/H$10-1)*costos!$B$8+((I113*F113)/(I$10*F$10)-1)*costos!$E$8+((J113*F113)/((J$10*F$10)-1)*costos!$F$8/3+((K113*F113)/(K$10*F$10)-1)*costos!$F$8/3+((U113*F113)/(U$10*F$10)-1)*costos!$F$8/3+((L113*F113)/(L$10*F$10)-1)*costos!$G$8+((T113*F113)/(T$10*F$10)-1)*costos!$J$8+((V113*F113)/(V$10*F$10)-1)*costos!$K$8)))</f>
        <v>8431.767409697497</v>
      </c>
      <c r="CC113" s="268">
        <f>CC$10*(1+((H113/H$10-1)*costos!$B$9+((I113*F113)/(I$10*F$10)-1)*costos!$E$9+((J113*F113)/((J$10*F$10)-1)*costos!$F$9/3+((K113*F113)/(K$10*F$10)-1)*costos!$F$9/3+((U113*F113)/(U$10*F$10)-1)*costos!$F$9/3+((L113*F113)/(L$10*F$10)-1)*costos!$G$9+((U113*F113)/(U$10*F$10)-1)*costos!$J$9+((V113*F113)/(V$10*F$10)-1)*costos!$K$9)))</f>
        <v>8167.3093133920902</v>
      </c>
      <c r="CD113" s="268">
        <f>CD$10*(1+((H113/H$10-1)*costos!$B$11+((I113*F113)/(I$10*F$10)-1)*costos!$E$11+((J113*F113)/((J$10*F$10)-1)*costos!$F$11/3+((K113*F113)/(K$10*F$10)-1)*costos!$F$11/3+((U113*F113)/(U$10*F$10)-1)*costos!$F$11/3+((L113*F113)/(L$10*F$10)-1)*costos!$G$11+((V113*F113)/(V$10*F$10)-1)*costos!$J$11+((V113*F113)/(V$10*F$10)-1)*costos!$K$11)))</f>
        <v>8660.5029413964621</v>
      </c>
      <c r="CE113" s="268">
        <f>CE$10*(1+((H113/H$10-1)*costos!$B$12+((I113*F113)/(I$10*F$10)-1)*costos!$E$12+((J113*F113)/((J$10*F$10)-1)*costos!$F$12/3+((K113*F113)/(K$10*F$10)-1)*costos!$F$12/3+((U113*F113)/(U$10*F$10)-1)*costos!$F$12/3+((L113*F113)/(L$10*F$10)-1)*costos!$G$12+((W113*F113)/(W$10*F$10)-1)*costos!$J$12+((V113*F113)/(V$10*F$10)-1)*costos!$K$12)))</f>
        <v>8623.9439301402545</v>
      </c>
      <c r="CF113" s="268">
        <f>CF$10*(1+((H113/H$10-1)*costos!$B$13+((I113*F113)/(I$10*F$10)-1)*costos!$E$13+((J113*F113)/((J$10*F$10)-1)*costos!$F$13/3+((K113*F113)/(K$10*F$10)-1)*costos!$F$13/3+((U113*F113)/(U$10*F$10)-1)*costos!$F$13/3+((L113*F113)/(L$10*F$10)-1)*costos!$G$13+((X113*F113)/(X$10*F$10)-1)*costos!$J$13+((V113*F113)/(V$10*F$10)-1)*costos!$K$13)))</f>
        <v>9118.0070072707003</v>
      </c>
      <c r="CG113" s="268">
        <f t="shared" si="447"/>
        <v>8553.675043000414</v>
      </c>
      <c r="CH113" s="268">
        <f>CH$10*(1+((H113/H$10-1)*costos!$B$10+((I113*F113)/(I$10*F$10)-1)*costos!$E$10+((J113*F113)/((J$10*F$10)-1)*costos!$F$10/3+((K113*F113)/(K$10*F$10)-1)*costos!$F$10/3+((U113*F113)/(U$10*F$10)-1)*costos!$F$10/3+((L113*F113)/(L$10*F$10)-1)*costos!$G$10+((AF113)/(AF$10)-1)*costos!$J$10+((V113*F113)/(V$10*F$10)-1)*costos!$K$10)))</f>
        <v>10119.386348658754</v>
      </c>
      <c r="CI113" s="268">
        <f>CI$10*(1+((H113/H$10-1)*costos!$B$15+((I113*F113)/(I$10*F$10)-1)*costos!$E$15+((J113*F113)/((J$10*F$10)-1)*costos!$F$15/3+((K113*F113)/(K$10*F$10)-1)*costos!$F$15/3+((U113*F113)/(U$10*F$10)-1)*costos!$F$15/3+((L113*F113)/(L$10*F$10)-1)*costos!$G$15+((AV113)/(AV$10)-1)*costos!$J$15+((V113*F113)/(V$10*F$10)-1)*costos!$K$15)))</f>
        <v>9889.0226515786599</v>
      </c>
      <c r="CJ113" s="268">
        <f>CJ$10*(1+((H113/H$10-1)*costos!$B$16+((I113*F113)/(I$10*F$10)-1)*costos!$E$16+((J113*F113)/((J$10*F$10)-1)*costos!$F$16/3+((K113*F113)/(K$10*F$10)-1)*costos!$F$16/3+((U113*F113)/(U$10*F$10)-1)*costos!$F$16/3+((L113*F113)/(L$10*F$10)-1)*costos!$G$16+((AW113)/(AW$10)-1)*costos!$J$16+((V113*F113)/(V$10*F$10)-1)*costos!$K$16)))</f>
        <v>7700.6017104008715</v>
      </c>
      <c r="CK113" s="268">
        <f>CK$10*(1+((H113/H$10-1)*costos!$B$17+((I113*F113)/(I$10*F$10)-1)*costos!$E$17+((J113*F113)/((J$10*F$10)-1)*costos!$F$17/3+((K113*F113)/(K$10*F$10)-1)*costos!$F$17/3+((U113*F113)/(U$10*F$10)-1)*costos!$F$17/3+((L113*F113)/(L$10*F$10)-1)*costos!$G$17+((AX113)/(AX$10)-1)*costos!$J$17+((V113*F113)/(V$10*F$10)-1)*costos!$K$17)))</f>
        <v>11590.642219555164</v>
      </c>
      <c r="CL113" s="268">
        <f>CL$10*(1+((H113/H$10-1)*costos!$B$18+((I113*F113)/(I$10*F$10)-1)*costos!$E$18+((J113*F113)/((J$10*F$10)-1)*costos!$F$18/3+((K113*F113)/(K$10*F$10)-1)*costos!$F$18/3+((U113*F113)/(U$10*F$10)-1)*costos!$F$18/3+((L113*F113)/(L$10*F$10)-1)*costos!$G$18+((AY113)/(AY$10)-1)*costos!$J$18+((V113*F113)/(V$10*F$10)-1)*costos!$K$18)))</f>
        <v>11719.092706143132</v>
      </c>
      <c r="CM113" s="268">
        <f>CM$10*(1+((H113/H$10-1)*costos!$B$19+((I113*F113)/(I$10*F$10)-1)*costos!$E$19+((J113*F113)/((J$10*F$10)-1)*costos!$F$19/3+((K113*F113)/(K$10*F$10)-1)*costos!$F$19/3+((U113*F113)/(U$10*F$10)-1)*costos!$F$19/3+((L113*F113)/(L$10*F$10)-1)*costos!$G$19+((AZ113)/(AZ$10)-1)*costos!$J$19+((V113*F113)/(V$10*F$10)-1)*costos!$K$19)))</f>
        <v>8365.5680508204878</v>
      </c>
      <c r="CN113" s="268">
        <f>CN$10*(1+((H113/H$10-1)*costos!$B$20+((I113*F113)/(I$10*F$10)-1)*costos!$E$20+((J113*F113)/((J$10*F$10)-1)*costos!$F$20/3+((K113*F113)/(K$10*F$10)-1)*costos!$F$20/3+((U113*F113)/(U$10*F$10)-1)*costos!$F$20/3+((L113*F113)/(L$10*F$10)-1)*costos!$G$20+((BA113)/(BA$10)-1)*costos!$J$20+((V113*F113)/(V$10*F$10)-1)*costos!$K$20)))</f>
        <v>7754.650959617331</v>
      </c>
      <c r="CO113" s="268">
        <f t="shared" si="448"/>
        <v>9857.4884840340274</v>
      </c>
      <c r="CP113" s="268">
        <f>CP$10*(1+((H113/H$10-1)*costos!$B$22+((I113*F113)/(I$10*F$10)-1)*costos!$E$22+((J113*F113)/((J$10*F$10)-1)*costos!$F$22/3+((K113*F113)/(K$10*F$10)-1)*costos!$F$22/3+((U113*F113)/(U$10*F$10)-1)*costos!$F$22/3+((L113*F113)/(L$10*F$10)-1)*costos!$G$22+(((AVERAGE(AI113:AL113))/((AVERAGE(AI$10:AL$10))-1)*costos!$J$22+((V113*F113)/(V$10*F$10)-1)*costos!$K$22)))))</f>
        <v>9743.8075273244394</v>
      </c>
      <c r="CQ113" s="92">
        <f>CQ$10*(1+((H113/H$10-1)*costos!$B$23+((I113*F113)/(I$10*F$10)-1)*costos!$E$23+((J113*F113)/((J$10*F$10)-1)*costos!$F$23/3+((K113*F113)/(K$10*F$10)-1)*costos!$F$23/3+((U113*F113)/(U$10*F$10)-1)*costos!$F$23/3+((L113*F113)/(L$10*F$10)-1)*costos!$G$23+((AN113)/(AN$10)-1)*costos!$J$23+((V113*F113)/(V$10*F$10)-1)*costos!$K$23)))</f>
        <v>8161.7455133558196</v>
      </c>
      <c r="CR113" s="268">
        <f>CR$10*(1+((H113/H$10-1)*costos!$B$24+((I113*F113)/(I$10*F$10)-1)*costos!$E$24+((J113*F113)/((J$10*F$10)-1)*costos!$F$24/3+((K113*F113)/(K$10*F$10)-1)*costos!$F$24/3+((U113*F113)/(U$10*F$10)-1)*costos!$F$24/3+((L113*F113)/(L$10*F$10)-1)*costos!$G$24+((AO113)/(AO$10)-1)*costos!$J$24+((V113*F113)/(V$10*F$10)-1)*costos!$K$24)))</f>
        <v>8431.0566392453093</v>
      </c>
      <c r="CS113" s="92">
        <f t="shared" si="352"/>
        <v>8296.4010763005645</v>
      </c>
      <c r="CT113" s="268">
        <f>CT$10*(1+((H113/H$10-1)*costos!$B$25+((I113*F113)/(I$10*F$10)-1)*costos!$E$25+((J113*F113)/((J$10*F$10)-1)*costos!$F$25/3+((K113*F113)/(K$10*F$10)-1)*costos!$F$25/3+((U113*F113)/(U$10*F$10)-1)*costos!$F$25/3+((L113*F113)/(L$10*F$10)-1)*costos!$G$25+((AQ113)/(AQ$10)-1)*costos!$J$25+((V113*F113)/(V$10*F$10)-1)*costos!$K$25)))</f>
        <v>7478.4153659743779</v>
      </c>
      <c r="CU113" s="268">
        <f>CU$10*(1+((H113/H$10-1)*costos!$B$26+((I113*F113)/(I$10*F$10)-1)*costos!$E$26+((J113*F113)/((J$10*F$10)-1)*costos!$F$26/3+((K113*F113)/(K$10*F$10)-1)*costos!$F$26/3+((U113*F113)/(U$10*F$10)-1)*costos!$F$26/3+((L113*F113)/(L$10*F$10)-1)*costos!$G$26+((AR113)/(AR$10)-1)*costos!$J$26+((V113*F113)/(V$10*F$10)-1)*costos!$K$26)))</f>
        <v>7797.6186389363211</v>
      </c>
      <c r="CV113" s="268">
        <f>CV$10*(1+((H113/H$10-1)*costos!$B$27+((I113*F113)/(I$10*F$10)-1)*costos!$E$27+((J113*F113)/((J$10*F$10)-1)*costos!$F$27/3+((K113*F113)/(K$10*F$10)-1)*costos!$F$27/3+((U113*F113)/(U$10*F$10)-1)*costos!$F$27/3+((L113*F113)/(L$10*F$10)-1)*costos!$G$27+((AS113)/(AS$10)-1)*costos!$J$27+((V113*F113)/(V$10*F$10)-1)*costos!$K$27)))</f>
        <v>7770.729872063579</v>
      </c>
      <c r="CW113" s="268">
        <f>CW$10*(1+((H113/H$10-1)*costos!$B$28+((I113*F113)/(I$10*F$10)-1)*costos!$E$28+((J113*F113)/((J$10*F$10)-1)*costos!$F$28/3+((K113*F113)/(K$10*F$10)-1)*costos!$F$28/3+((U113*F113)/(U$10*F$10)-1)*costos!$F$28/3+((L113*F113)/(L$10*F$10)-1)*costos!$G$28+((AS113)/(AS$10)-1)*costos!$J$28+((V113*F113)/(V$10*F$10)-1)*costos!$K$28)))</f>
        <v>7770.729872063579</v>
      </c>
      <c r="CX113" s="268">
        <f t="shared" si="449"/>
        <v>7779.6927943544933</v>
      </c>
      <c r="CY113" s="268">
        <f>CY$10*(1+((H113/H$10-1)*costos!$B$32+((I113*F113)/(I$10*F$10)-1)*costos!$E$32+((J113*F113)/((J$10*F$10)-1)*costos!$F$32/3+((K113*F113)/(K$10*F$10)-1)*costos!$F$32/3+((U113*F113)/(U$10*F$10)-1)*costos!$F$32/3+((L113*F113)/(L$10*F$10)-1)*costos!$G$32+((AG113)/(AG$10)-1)*costos!$J$32+((V113*F113)/(V$10*F$10)-1)*costos!$K$32)))</f>
        <v>8024.8529097173832</v>
      </c>
      <c r="CZ113" s="69">
        <f>CZ$10*(1+((H113/H$10-1)*costos!$B$31+((I113*F113)/(I$10*F$10)-1)*costos!$E$30+((J113*F113)/((J$10*F$10)-1)*costos!$F$30/3+((K113*F113)/(K$10*F$10)-1)*costos!$F$30/3+((U113*F113)/(U$10*F$10)-1)*costos!$F$30/3+((L113*F113)/(L$10*F$10)-1)*costos!$G$30+((BG113)/(BG$10)-1)*costos!$J$30+((V113*F113)/(V$10*F$10)-1)*costos!$K$30)))</f>
        <v>10287.627287185227</v>
      </c>
      <c r="DA113" s="69">
        <f>DA$10*(1+((H113/H$10-1)*costos!$B$31+((I113*F113)/(I$10*F$10)-1)*costos!$E$31+((J113*F113)/((J$10*F$10)-1)*costos!$F$31/3+((K113*F113)/(K$10*F$10)-1)*costos!$F$31/3+((U113*F113)/(U$10*F$10)-1)*costos!$F$31/3+((L113*F113)/(L$10*F$10)-1)*costos!$G$31+((BJ113)/(BJ$10)-1)*costos!$J$31+((V113*F113)/(V$10*F$10)-1)*costos!$K$31)))</f>
        <v>8400.285650527112</v>
      </c>
      <c r="DB113" s="69">
        <f>DB$10*(1+((H113/H$10-1)*costos!$B$36+((I113*F113)/(I$10*F$10)-1)*costos!$E$36+((J113*F113)/((J$10*F$10)-1)*costos!$F$36/3+((K113*F113)/(K$10*F$10)-1)*costos!$F$36/3+((U113*F113)/(U$10*F$10)-1)*costos!$F$36/3+((L113*F113)/(L$10*F$10)-1)*costos!$G$36+((BK113)/(BK$10)-1)*costos!$J$36+((V113*F113)/(V$10*F$10)-1)*costos!$K$36)))</f>
        <v>8391.6321391465408</v>
      </c>
      <c r="DC113" s="69">
        <f>DC$10*(1+((H113/H$10-1)*costos!$B$37+((I113*F113)/(I$10*F$10)-1)*costos!$E$37+((U113*F113)/(U$10*F$10)-1)*costos!$F$37+((L113*F113)/(L$10*F$10)-1)*costos!$G$37+((BN113)/(BN$10)-1)*costos!$J$37+((V113*F113)/(V$10*F$10)-1)*costos!$K$37))</f>
        <v>8405.7672968305269</v>
      </c>
      <c r="DD113" s="69">
        <f>DD$10*(1+((H113/H$10-1)*costos!$B$39+((I113*F113)/(I$10*F$10)-1)*costos!$E$39+((U113*F113)/(U$10*F$10)-1)*costos!$F$39+((L113*F113)/(L$10*F$10)-1)*costos!$G$39+((BR113)/(BR$10)-1)*costos!$J$39+((V113*F113)/(V$10*F$10)-1)*costos!$K$39))</f>
        <v>8062.3109587308645</v>
      </c>
      <c r="DE113" s="69">
        <f>DD$10*(1+((H113/H$10-1)*costos!$B$35+((I113*F113)/(I$10*F$10)-1)*costos!$E$35+((U113*F113)/(U$10*F$10)-1)*costos!$F$35+((L113*F113)/(L$10*F$10)-1)*costos!$G$35+((BR113)/(BR$10)-1)*costos!$J$35+((V113*F113)/(V$10*F$10)-1)*costos!$K$35))</f>
        <v>7088.6294899527047</v>
      </c>
      <c r="DF113" s="69">
        <f>DF$10*(1+((H113/H$10-1)*costos!$B$40+((I113*F113)/(I$10*F$10)-1)*costos!$E$40+((U113*F113)/(U$10*F$10)-1)*costos!$F$40+((L113*F113)/(L$10*F$10)-1)*costos!$G$40+((BP113)/(BP$10)-1)*costos!$J$40+((V113*F113)/(V$10*F$10)-1)*costos!$K$40))</f>
        <v>8212.7965075927896</v>
      </c>
      <c r="DG113" s="268">
        <f t="shared" si="391"/>
        <v>7650.7129987727476</v>
      </c>
      <c r="DH113" s="69">
        <f>DH$10*(1+((H113/H$10-1)*costos!$B$34+((I113*F113)/(I$10*F$10)-1)*costos!$E$34+((J113*F113)/((J$10*F$10)-1)*costos!$F$34/3+((K113*F113)/(K$10*F$10)-1)*costos!$F$34/3+((U113*F113)/(U$10*F$10)-1)*costos!$F$34/3+((L113*F113)/(L$10*F$10)-1)*costos!$G$34+((BV113)/(BV$10)-1)*costos!$J$34+((V113*F113)/(V$10*F$10)-1)*costos!$K$34)))</f>
        <v>8246.7402385667556</v>
      </c>
      <c r="DI113" s="69">
        <f>DI$10*(1+((H113/H$10-1)*costos!$B$38+((I113*F113)/(I$10*F$10)-1)*costos!$E$38+((J113*F113)/((J$10*F$10)-1)*costos!$F$38/3+((K113*F113)/(K$10*F$10)-1)*costos!$F$38/3+((U113*F113)/(U$10*F$10)-1)*costos!$F$38/3+((L113*F113)/(L$10*F$10)-1)*costos!$G$38+((BU113)/(BU$10)-1)*costos!$J$38+((V113*F113)/(V$10*F$10)-1)*costos!$K$38)))</f>
        <v>8201.4091420608238</v>
      </c>
      <c r="DK113" s="1">
        <v>650000</v>
      </c>
      <c r="DL113" s="1" t="s">
        <v>410</v>
      </c>
      <c r="DM113" s="1">
        <v>200000</v>
      </c>
      <c r="DN113" s="1" t="s">
        <v>410</v>
      </c>
      <c r="DO113" s="1">
        <v>1500000</v>
      </c>
      <c r="DP113" s="1" t="s">
        <v>512</v>
      </c>
      <c r="DQ113" s="1">
        <v>1900000</v>
      </c>
      <c r="DR113" s="1" t="s">
        <v>410</v>
      </c>
      <c r="DS113" s="1">
        <v>7600000</v>
      </c>
      <c r="DT113" s="1" t="s">
        <v>410</v>
      </c>
      <c r="DU113" s="1">
        <v>16600000</v>
      </c>
      <c r="DV113" s="1" t="s">
        <v>410</v>
      </c>
      <c r="DW113" s="1">
        <v>800000</v>
      </c>
      <c r="DX113" s="1" t="s">
        <v>410</v>
      </c>
      <c r="DY113" s="1">
        <v>6550000</v>
      </c>
      <c r="DZ113" s="1" t="s">
        <v>512</v>
      </c>
      <c r="EA113" s="79">
        <f t="shared" si="353"/>
        <v>34950000</v>
      </c>
      <c r="EB113" s="1">
        <v>416490</v>
      </c>
      <c r="EC113" s="1" t="s">
        <v>410</v>
      </c>
      <c r="ED113" s="1">
        <v>230256</v>
      </c>
      <c r="EE113" s="143">
        <v>2024</v>
      </c>
      <c r="EF113" s="1">
        <v>199946</v>
      </c>
      <c r="EG113" s="6">
        <v>2024</v>
      </c>
      <c r="EH113" s="1">
        <v>52783892</v>
      </c>
      <c r="EI113" s="6">
        <v>2024</v>
      </c>
      <c r="EJ113" s="1">
        <v>6115215</v>
      </c>
      <c r="EK113" s="6">
        <v>2024</v>
      </c>
      <c r="EL113" s="1">
        <v>12440906</v>
      </c>
      <c r="EM113" s="6">
        <v>2024</v>
      </c>
      <c r="EN113" s="1">
        <v>3169981</v>
      </c>
      <c r="EO113" s="6">
        <v>2021</v>
      </c>
      <c r="EP113" s="83">
        <v>9115</v>
      </c>
      <c r="EQ113" s="83">
        <v>3500000</v>
      </c>
      <c r="ER113" s="1">
        <f t="shared" si="430"/>
        <v>80248</v>
      </c>
      <c r="ES113" s="1"/>
      <c r="ET113" s="83">
        <f t="shared" ref="ET113:EW117" si="451">+ET112</f>
        <v>19357</v>
      </c>
      <c r="EU113" s="83">
        <f t="shared" si="451"/>
        <v>18703</v>
      </c>
      <c r="EV113" s="83">
        <f t="shared" si="451"/>
        <v>8927</v>
      </c>
      <c r="EW113" s="83">
        <f t="shared" si="451"/>
        <v>17408</v>
      </c>
      <c r="EX113" s="79">
        <f t="shared" si="354"/>
        <v>64395</v>
      </c>
      <c r="EY113" s="83">
        <f t="shared" si="394"/>
        <v>20031</v>
      </c>
      <c r="EZ113" s="83">
        <f t="shared" si="394"/>
        <v>34815</v>
      </c>
      <c r="FA113" s="83">
        <f t="shared" si="431"/>
        <v>19900</v>
      </c>
      <c r="FB113" s="83">
        <f t="shared" si="406"/>
        <v>18184</v>
      </c>
      <c r="FC113" s="79">
        <f t="shared" ref="FC113:FC123" si="452">+FB113+FA113</f>
        <v>38084</v>
      </c>
      <c r="FD113" s="83">
        <f t="shared" si="395"/>
        <v>60376</v>
      </c>
      <c r="FE113" s="1"/>
      <c r="FF113" s="1">
        <v>1300000</v>
      </c>
      <c r="FG113" s="1" t="s">
        <v>410</v>
      </c>
      <c r="FH113" s="1">
        <v>1300000</v>
      </c>
      <c r="FI113" s="1" t="s">
        <v>410</v>
      </c>
      <c r="FJ113" s="1">
        <v>5100000</v>
      </c>
      <c r="FK113" s="1" t="s">
        <v>410</v>
      </c>
      <c r="FL113" s="1">
        <v>3900000</v>
      </c>
      <c r="FM113" s="1" t="s">
        <v>410</v>
      </c>
      <c r="FN113" s="1">
        <v>46500000</v>
      </c>
      <c r="FO113" s="1" t="s">
        <v>410</v>
      </c>
      <c r="FP113" s="1">
        <v>48200000</v>
      </c>
      <c r="FQ113" s="1" t="s">
        <v>410</v>
      </c>
      <c r="FR113" s="1">
        <v>2500000</v>
      </c>
      <c r="FS113" s="1" t="s">
        <v>410</v>
      </c>
      <c r="FT113" s="1">
        <v>15853000</v>
      </c>
      <c r="FU113" s="1" t="s">
        <v>410</v>
      </c>
      <c r="FV113" s="79">
        <f t="shared" si="355"/>
        <v>122053000</v>
      </c>
      <c r="FW113" s="1">
        <v>1604722</v>
      </c>
      <c r="FX113" s="1" t="s">
        <v>410</v>
      </c>
      <c r="FY113" s="1">
        <v>149402</v>
      </c>
      <c r="FZ113" s="79">
        <f t="shared" si="377"/>
        <v>996021.5</v>
      </c>
      <c r="GA113" s="86" t="str">
        <f t="shared" si="378"/>
        <v>sept23 ago24</v>
      </c>
      <c r="GB113" s="1">
        <v>19189740</v>
      </c>
      <c r="GC113" s="6">
        <v>2024</v>
      </c>
      <c r="GD113" s="1">
        <v>1714000</v>
      </c>
      <c r="GE113" s="1">
        <v>424000</v>
      </c>
      <c r="GF113" s="1">
        <v>1165000</v>
      </c>
      <c r="GG113" s="1">
        <v>145000</v>
      </c>
      <c r="GH113" s="79">
        <f t="shared" si="450"/>
        <v>1734000</v>
      </c>
      <c r="GI113" s="82">
        <f t="shared" ref="GI113:GM116" si="453">+GI112</f>
        <v>1302556</v>
      </c>
      <c r="GJ113" s="83">
        <f t="shared" si="453"/>
        <v>682423</v>
      </c>
      <c r="GK113" s="83">
        <f t="shared" si="453"/>
        <v>1391495</v>
      </c>
      <c r="GL113" s="83">
        <f t="shared" si="453"/>
        <v>305049</v>
      </c>
      <c r="GM113" s="83">
        <f t="shared" si="453"/>
        <v>260419</v>
      </c>
      <c r="GN113" s="79">
        <f t="shared" si="357"/>
        <v>2639386</v>
      </c>
      <c r="GO113" s="83">
        <f>+GO112</f>
        <v>201734</v>
      </c>
      <c r="GP113" s="83">
        <f t="shared" si="416"/>
        <v>69297</v>
      </c>
      <c r="GQ113" s="1">
        <v>21997</v>
      </c>
      <c r="GR113" s="1">
        <v>34035</v>
      </c>
      <c r="GS113" s="79">
        <f t="shared" si="412"/>
        <v>34694.910000000003</v>
      </c>
      <c r="GT113" s="83">
        <f t="shared" si="407"/>
        <v>2111561</v>
      </c>
      <c r="GU113" s="1">
        <v>27704</v>
      </c>
      <c r="GV113" s="1">
        <v>27999</v>
      </c>
      <c r="GW113" s="79">
        <f t="shared" si="261"/>
        <v>745358</v>
      </c>
      <c r="GX113" s="1">
        <v>30804.553</v>
      </c>
      <c r="GY113" s="1" t="s">
        <v>436</v>
      </c>
      <c r="GZ113" s="1">
        <v>80786</v>
      </c>
      <c r="HA113" s="83">
        <v>280000</v>
      </c>
      <c r="HB113" s="79">
        <f t="shared" si="437"/>
        <v>3103710</v>
      </c>
      <c r="HC113" s="86" t="str">
        <f t="shared" si="379"/>
        <v>sept23 ago24</v>
      </c>
      <c r="HD113" s="1">
        <v>66891</v>
      </c>
      <c r="HE113" s="79">
        <f t="shared" si="380"/>
        <v>782489</v>
      </c>
      <c r="HF113" s="86" t="str">
        <f t="shared" si="381"/>
        <v>sept23 ago24</v>
      </c>
      <c r="HG113" s="1">
        <v>199000</v>
      </c>
      <c r="HH113" s="79">
        <f t="shared" si="438"/>
        <v>2288000</v>
      </c>
      <c r="HI113" s="86" t="str">
        <f t="shared" si="382"/>
        <v>sept23 ago24</v>
      </c>
      <c r="HJ113" s="1">
        <v>90701</v>
      </c>
      <c r="HK113" s="79">
        <f t="shared" si="278"/>
        <v>65324.902299286798</v>
      </c>
      <c r="HL113" s="86" t="str">
        <f t="shared" si="383"/>
        <v>sept23 ago24</v>
      </c>
      <c r="HM113" s="79">
        <f t="shared" si="358"/>
        <v>2353324.9022992868</v>
      </c>
      <c r="HN113" s="87">
        <f t="shared" si="297"/>
        <v>-0.1089347826086956</v>
      </c>
      <c r="HO113" s="1">
        <v>942747000</v>
      </c>
      <c r="HP113" s="79">
        <f t="shared" si="386"/>
        <v>10403.447656900922</v>
      </c>
      <c r="HQ113" s="86" t="str">
        <f t="shared" si="384"/>
        <v>sept23 ago24</v>
      </c>
      <c r="HR113" s="1"/>
      <c r="HS113" s="1"/>
      <c r="HT113" s="1"/>
      <c r="HU113" s="1">
        <v>700000</v>
      </c>
      <c r="HV113" s="1" t="s">
        <v>410</v>
      </c>
      <c r="HW113" s="1">
        <v>1500000</v>
      </c>
      <c r="HX113" s="1" t="s">
        <v>410</v>
      </c>
      <c r="HY113" s="1">
        <v>4600000</v>
      </c>
      <c r="HZ113" s="1" t="s">
        <v>410</v>
      </c>
      <c r="IA113" s="1">
        <f>(3.6+18)*1000000</f>
        <v>21600000</v>
      </c>
      <c r="IB113" s="1" t="s">
        <v>410</v>
      </c>
      <c r="IC113" s="1">
        <v>45000000</v>
      </c>
      <c r="ID113" s="1" t="s">
        <v>410</v>
      </c>
      <c r="IE113" s="1">
        <v>1500000</v>
      </c>
      <c r="IF113" s="1" t="s">
        <v>410</v>
      </c>
      <c r="IG113" s="1">
        <f t="shared" si="415"/>
        <v>7400000</v>
      </c>
      <c r="IH113" s="1" t="s">
        <v>410</v>
      </c>
      <c r="II113" s="79">
        <f t="shared" si="359"/>
        <v>81600000</v>
      </c>
      <c r="IJ113" s="97">
        <f t="shared" si="434"/>
        <v>2.1563835150032644</v>
      </c>
      <c r="IK113" s="1" t="s">
        <v>410</v>
      </c>
      <c r="IL113" s="7">
        <v>45.39</v>
      </c>
      <c r="IM113" s="7">
        <v>47.74</v>
      </c>
      <c r="IN113" s="95">
        <v>160.6</v>
      </c>
      <c r="IO113" s="7">
        <v>16.760000000000002</v>
      </c>
      <c r="IP113" s="176">
        <f t="shared" si="432"/>
        <v>5.5693606783423002</v>
      </c>
      <c r="IQ113" s="176">
        <v>16.3</v>
      </c>
      <c r="IR113" s="478">
        <f t="shared" si="397"/>
        <v>6.09</v>
      </c>
      <c r="IS113" s="478">
        <f t="shared" si="397"/>
        <v>4.03</v>
      </c>
      <c r="IT113" s="478">
        <f t="shared" si="397"/>
        <v>11.98</v>
      </c>
      <c r="IU113" s="478">
        <f t="shared" si="397"/>
        <v>1.38</v>
      </c>
      <c r="IV113" s="94">
        <f t="shared" si="360"/>
        <v>17.39</v>
      </c>
      <c r="IW113" s="1"/>
      <c r="IX113" s="1"/>
      <c r="IY113" s="80">
        <v>1.88</v>
      </c>
      <c r="IZ113" s="88">
        <v>0.3</v>
      </c>
      <c r="JA113" s="1">
        <v>2813</v>
      </c>
      <c r="JB113" s="95">
        <f t="shared" si="433"/>
        <v>35.950000000000003</v>
      </c>
      <c r="JC113" s="1"/>
      <c r="JD113" s="1"/>
      <c r="JF113" s="2">
        <v>19.20970509</v>
      </c>
      <c r="JG113" s="2">
        <v>16.658344929999998</v>
      </c>
      <c r="JH113" s="2">
        <v>104.22374323000001</v>
      </c>
      <c r="JI113" s="2">
        <v>244.83043373000001</v>
      </c>
      <c r="JJ113" s="2">
        <v>630.33453010999995</v>
      </c>
      <c r="JK113" s="2">
        <v>156.99934678</v>
      </c>
      <c r="JL113" s="2">
        <v>2269.7811649299997</v>
      </c>
      <c r="JM113" s="2">
        <v>22.316766399999999</v>
      </c>
      <c r="JN113" s="2">
        <v>77.140213490000008</v>
      </c>
      <c r="JO113" s="2">
        <v>30.584450140000001</v>
      </c>
      <c r="JP113" s="2">
        <v>0</v>
      </c>
      <c r="JQ113" s="2">
        <v>0.03</v>
      </c>
      <c r="JR113" s="2">
        <v>0.83142303000000006</v>
      </c>
      <c r="JS113" s="2">
        <v>0</v>
      </c>
      <c r="JT113" s="2">
        <v>3.0099999999999998E-2</v>
      </c>
      <c r="JU113" s="2">
        <v>99.074693340000039</v>
      </c>
      <c r="JV113" s="2">
        <v>8.5673280399999996</v>
      </c>
      <c r="JW113" s="2">
        <v>16.79143195</v>
      </c>
      <c r="JX113" s="2">
        <v>24.639493720000001</v>
      </c>
      <c r="JY113" s="2">
        <v>0</v>
      </c>
      <c r="JZ113" s="2">
        <v>10.140829510000001</v>
      </c>
      <c r="KA113" s="2">
        <v>0.1311068</v>
      </c>
      <c r="KB113" s="2">
        <v>13.62277192</v>
      </c>
      <c r="KC113" s="2">
        <v>45.888815350000002</v>
      </c>
      <c r="KD113" s="2">
        <v>9.4659040999999995</v>
      </c>
      <c r="KE113" s="2">
        <v>18.934177090000006</v>
      </c>
      <c r="KF113" s="2">
        <v>20.944876220000001</v>
      </c>
      <c r="KG113" s="2">
        <v>370.00520762000008</v>
      </c>
      <c r="KH113" s="2">
        <v>114.33182424</v>
      </c>
      <c r="KI113" s="2">
        <v>13.430479930000001</v>
      </c>
      <c r="KJ113" s="2">
        <v>2.3778769799999995</v>
      </c>
      <c r="KK113" s="171">
        <v>3.7690183000000008</v>
      </c>
      <c r="KL113" s="171">
        <v>0.23587240000000001</v>
      </c>
      <c r="KM113" s="171">
        <v>0.73281007999999992</v>
      </c>
      <c r="KN113" s="171">
        <v>6.5031200000000003E-3</v>
      </c>
      <c r="KO113" s="171">
        <v>1.5366670500000004</v>
      </c>
      <c r="KP113" s="171">
        <v>4.2737620000000004E-2</v>
      </c>
      <c r="KQ113" s="171">
        <v>211.96061081000005</v>
      </c>
      <c r="KR113" s="171">
        <v>0.33026</v>
      </c>
      <c r="KS113" s="171">
        <v>3.9651539999999999E-2</v>
      </c>
      <c r="KT113" s="171">
        <v>0.79104531999999994</v>
      </c>
      <c r="KU113" s="171">
        <v>0.18175015000000003</v>
      </c>
      <c r="KV113" s="171">
        <v>8.392309599999999</v>
      </c>
      <c r="KW113" s="171">
        <v>1.68573394</v>
      </c>
      <c r="KX113" s="171">
        <v>0</v>
      </c>
      <c r="KY113" s="171">
        <v>0</v>
      </c>
      <c r="KZ113" s="171">
        <v>2.4186424700000004</v>
      </c>
      <c r="LA113" s="171">
        <v>0.50068734000000004</v>
      </c>
      <c r="LB113" s="171">
        <v>3.5279999999999999E-2</v>
      </c>
      <c r="LC113" s="171">
        <v>0.10206799000000001</v>
      </c>
      <c r="LD113" s="171">
        <v>0</v>
      </c>
      <c r="LE113" s="171">
        <v>7.2500000000000004E-3</v>
      </c>
      <c r="LF113" s="171">
        <v>0</v>
      </c>
      <c r="LG113" s="171">
        <v>10.998476289999999</v>
      </c>
      <c r="LH113" s="171">
        <v>5.0602291599999996</v>
      </c>
      <c r="LI113" s="171">
        <v>0.60028256999999996</v>
      </c>
      <c r="LJ113" s="171">
        <v>0</v>
      </c>
      <c r="LK113" s="171">
        <v>2.1766254799999998</v>
      </c>
      <c r="LL113" s="171">
        <v>3.5031505699999994</v>
      </c>
      <c r="LM113" s="171">
        <v>0.81005326000000022</v>
      </c>
      <c r="LN113" s="171">
        <v>0.18624962</v>
      </c>
      <c r="LO113" s="171">
        <v>4.9251834299999988</v>
      </c>
      <c r="LQ113" s="85">
        <f t="shared" si="439"/>
        <v>3348.6268518899992</v>
      </c>
      <c r="LR113" s="85">
        <f t="shared" si="440"/>
        <v>0.89152303000000011</v>
      </c>
      <c r="LS113" s="85">
        <v>14.93334776</v>
      </c>
      <c r="LT113" s="85">
        <f t="shared" si="442"/>
        <v>10.271936310000001</v>
      </c>
      <c r="LU113" s="85">
        <f t="shared" si="443"/>
        <v>214.60650260000006</v>
      </c>
      <c r="LV113" s="85">
        <f t="shared" si="444"/>
        <v>10.078043539999999</v>
      </c>
      <c r="LW113" s="85">
        <v>0.3865221499999999</v>
      </c>
      <c r="LX113" s="85">
        <f t="shared" si="446"/>
        <v>7.2500000000000004E-3</v>
      </c>
      <c r="LZ113" s="83">
        <v>1325.89</v>
      </c>
      <c r="MA113" s="83">
        <v>2288.2600000000002</v>
      </c>
      <c r="MB113"/>
      <c r="MC113"/>
      <c r="MD113"/>
      <c r="MF113"/>
      <c r="MG113"/>
      <c r="MH113" s="83">
        <v>2774.95</v>
      </c>
      <c r="MI113" s="83">
        <v>829.47</v>
      </c>
      <c r="MJ113" s="83">
        <v>1274.1500000000001</v>
      </c>
      <c r="MK113"/>
      <c r="ML113" s="83">
        <v>1781.74</v>
      </c>
      <c r="MM113" s="83">
        <v>2844.48</v>
      </c>
      <c r="MN113" s="83"/>
      <c r="MO113" s="83">
        <v>664.06</v>
      </c>
      <c r="MP113" s="83">
        <v>2061.98</v>
      </c>
      <c r="MQ113" s="83">
        <v>2140.4899999999998</v>
      </c>
      <c r="MR113"/>
      <c r="MT113" s="83"/>
      <c r="MU113" s="83">
        <v>801.84</v>
      </c>
      <c r="MV113"/>
      <c r="MW113"/>
      <c r="MX113"/>
      <c r="MY113" s="83">
        <v>2240.42</v>
      </c>
      <c r="MZ113" s="83">
        <v>5094</v>
      </c>
      <c r="NA113" s="83">
        <v>2717</v>
      </c>
      <c r="NB113" s="83">
        <v>7233</v>
      </c>
      <c r="NC113" s="83">
        <v>1353.44</v>
      </c>
      <c r="ND113" s="1">
        <v>8700</v>
      </c>
      <c r="NE113" s="1">
        <v>4961</v>
      </c>
    </row>
    <row r="114" spans="1:369">
      <c r="A114" s="38">
        <f t="shared" si="417"/>
        <v>45536</v>
      </c>
      <c r="B114" s="36">
        <f t="shared" si="428"/>
        <v>9</v>
      </c>
      <c r="C114" s="36">
        <f t="shared" si="429"/>
        <v>2024</v>
      </c>
      <c r="D114" s="36">
        <f t="shared" si="347"/>
        <v>114</v>
      </c>
      <c r="E114" s="38">
        <f t="shared" si="418"/>
        <v>45536</v>
      </c>
      <c r="F114" s="7">
        <f>(941.1+981.1)/2</f>
        <v>961.1</v>
      </c>
      <c r="G114" s="7">
        <v>7122.2</v>
      </c>
      <c r="H114" s="1">
        <f>[2]NACIONALES!$D102</f>
        <v>659340.12988999055</v>
      </c>
      <c r="I114" s="7">
        <v>114</v>
      </c>
      <c r="J114" s="7">
        <v>550</v>
      </c>
      <c r="K114" s="7">
        <v>4.5</v>
      </c>
      <c r="L114" s="7">
        <v>37.4</v>
      </c>
      <c r="N114" s="7">
        <v>1.57</v>
      </c>
      <c r="O114" s="5">
        <f>+(1.28+1.31)/2</f>
        <v>1.2949999999999999</v>
      </c>
      <c r="P114" s="78">
        <f t="shared" si="398"/>
        <v>1307.9369625000002</v>
      </c>
      <c r="Q114" s="6">
        <v>40000</v>
      </c>
      <c r="R114" s="79">
        <f t="shared" si="419"/>
        <v>400000</v>
      </c>
      <c r="S114" s="143">
        <f>159500/F114</f>
        <v>165.9556757881594</v>
      </c>
      <c r="T114" s="279">
        <v>338.94</v>
      </c>
      <c r="U114" s="188">
        <v>177</v>
      </c>
      <c r="V114" s="143">
        <v>213.14</v>
      </c>
      <c r="W114">
        <v>197</v>
      </c>
      <c r="X114" s="6">
        <v>226</v>
      </c>
      <c r="Y114" s="79">
        <f t="shared" si="420"/>
        <v>159500</v>
      </c>
      <c r="Z114" s="79">
        <f t="shared" si="421"/>
        <v>325755.234</v>
      </c>
      <c r="AA114" s="79">
        <f t="shared" si="422"/>
        <v>170114.7</v>
      </c>
      <c r="AB114" s="79">
        <f t="shared" si="423"/>
        <v>204848.85399999999</v>
      </c>
      <c r="AC114" s="79">
        <f t="shared" si="424"/>
        <v>189336.7</v>
      </c>
      <c r="AD114" s="79">
        <f t="shared" si="425"/>
        <v>217208.6</v>
      </c>
      <c r="AE114" s="79">
        <f t="shared" si="426"/>
        <v>211127.34800000003</v>
      </c>
      <c r="AF114" s="1">
        <v>860913.1</v>
      </c>
      <c r="AG114" s="83">
        <v>210000</v>
      </c>
      <c r="AH114" s="82">
        <f>+AH113</f>
        <v>718918.91891891882</v>
      </c>
      <c r="AI114" s="5">
        <v>410.52</v>
      </c>
      <c r="AJ114" s="5">
        <v>270.38</v>
      </c>
      <c r="AK114" s="5">
        <v>306.89</v>
      </c>
      <c r="AL114" s="5">
        <v>327.27</v>
      </c>
      <c r="AM114" s="78">
        <f>+AI115*0.46+AJ115*0.04+AK115*0.26+AL115*0.24</f>
        <v>378.56420000000003</v>
      </c>
      <c r="AN114" s="7">
        <v>25058.988764044945</v>
      </c>
      <c r="AO114" s="7">
        <v>18980</v>
      </c>
      <c r="AP114" s="78">
        <f t="shared" si="385"/>
        <v>18980</v>
      </c>
      <c r="AQ114" s="7">
        <v>7225</v>
      </c>
      <c r="AR114" s="7">
        <v>8211.2999999999993</v>
      </c>
      <c r="AS114" s="97">
        <v>7342.2</v>
      </c>
      <c r="AT114" s="7">
        <v>10231.25</v>
      </c>
      <c r="AU114" s="78">
        <f t="shared" si="348"/>
        <v>8594.9166666666661</v>
      </c>
      <c r="AV114" s="7">
        <v>12272.649572649572</v>
      </c>
      <c r="AW114" s="7">
        <v>9119.0476190476184</v>
      </c>
      <c r="AX114" s="7">
        <v>13949.761904761905</v>
      </c>
      <c r="AY114" s="7">
        <v>26191.304347826088</v>
      </c>
      <c r="AZ114" s="97">
        <v>10275.66</v>
      </c>
      <c r="BA114" s="7">
        <v>6039.2857142857147</v>
      </c>
      <c r="BB114" s="94">
        <f t="shared" si="345"/>
        <v>15126.974223602487</v>
      </c>
      <c r="BC114" s="285">
        <v>35492</v>
      </c>
      <c r="BD114" s="285">
        <v>31943</v>
      </c>
      <c r="BE114" s="280">
        <v>26000</v>
      </c>
      <c r="BF114" s="280">
        <v>20500</v>
      </c>
      <c r="BG114" s="94">
        <f t="shared" si="349"/>
        <v>28483.75</v>
      </c>
      <c r="BH114" s="280">
        <v>2820</v>
      </c>
      <c r="BI114" s="97">
        <f t="shared" ref="BI114:BI118" si="454">600+255</f>
        <v>855</v>
      </c>
      <c r="BJ114" s="78">
        <f t="shared" si="350"/>
        <v>3675</v>
      </c>
      <c r="BK114" s="7">
        <v>1995.079</v>
      </c>
      <c r="BL114" s="7">
        <v>2561.85</v>
      </c>
      <c r="BM114" s="94">
        <f t="shared" si="351"/>
        <v>2278.4645</v>
      </c>
      <c r="BN114" s="5">
        <v>426.18</v>
      </c>
      <c r="BO114" s="84">
        <v>1975.88</v>
      </c>
      <c r="BP114" s="84">
        <v>1417.47</v>
      </c>
      <c r="BQ114" s="94">
        <f t="shared" si="435"/>
        <v>1696.6750000000002</v>
      </c>
      <c r="BR114" s="7">
        <v>1350.35</v>
      </c>
      <c r="BS114" s="7">
        <v>4500</v>
      </c>
      <c r="BT114" s="7">
        <f>1.09*F114</f>
        <v>1047.5990000000002</v>
      </c>
      <c r="BU114" s="79">
        <f t="shared" si="436"/>
        <v>57142.796999999999</v>
      </c>
      <c r="BV114" s="7">
        <v>1703</v>
      </c>
      <c r="BW114" s="7">
        <v>2664</v>
      </c>
      <c r="BY114" s="268">
        <f>BY$10*(1+((H114/H$10-1)*costos!$B$5+((I114*F114)/(I$10*F$10)-1)*costos!$E$5+((J114*F114)/((J$10*F$10)-1)*costos!$F$5/3+((K114*F114)/(K$10*F$10)-1)*costos!$F$5/3+((U114*F114)/(U$10*F$10)-1)*costos!$F$5/3+((L114*F114)/(L$10*F$10)-1)*costos!$G$5+((N114*F114)/(N$10*F$10)-1)*costos!$J$5+((V114*F114)/(V$10*F$10)-1)*costos!$K$5)))</f>
        <v>8399.1855065264099</v>
      </c>
      <c r="BZ114" s="268">
        <f>$BZ$10*(1+((H114/$H$10-1)*costos!$B$6+((I114*F114)/($I$10*$F$10)-1)*costos!$E$6+((J114*F114)/(($J$10*$F$10)-1)*costos!$F$6/3+((K114*F114)/($K$10*$F$10)-1)*costos!$F$6/3+((U114*F114)/($U$10*$F$10)-1)*costos!$F$6/3+((L114*F114)/($L$10*$F$10)-1)*costos!$G$6+((Q114*F114)/($Q$10*$F$10)-1)*costos!$J$6+((V114*F114)/($V$10*$F$10)-1)*costos!$K$6)))</f>
        <v>8019.0376218581323</v>
      </c>
      <c r="CA114" s="268">
        <f>CA$10*(1+((H114/H$10-1)*costos!$B$7+((I114*F114)/(I$10*F$10)-1)*costos!$E$7+((J114*F114)/((J$10*F$10)-1)*costos!$F$7/3+((K114*F114)/(K$10*F$10)-1)*costos!$F$7/3+((U114*F114)/(U$10*F$10)-1)*costos!$F$7/3+((L114*F114)/(L$10*F$10)-1)*costos!$G$7+((S114*F114)/(S$10*F$10)-1)*costos!$J$7+((V114*F114)/(V$10*F$10)-1)*costos!$K$7)))</f>
        <v>7771.7503102377177</v>
      </c>
      <c r="CB114" s="268">
        <f>CB$10*(1+((H114/H$10-1)*costos!$B$8+((I114*F114)/(I$10*F$10)-1)*costos!$E$8+((J114*F114)/((J$10*F$10)-1)*costos!$F$8/3+((K114*F114)/(K$10*F$10)-1)*costos!$F$8/3+((U114*F114)/(U$10*F$10)-1)*costos!$F$8/3+((L114*F114)/(L$10*F$10)-1)*costos!$G$8+((T114*F114)/(T$10*F$10)-1)*costos!$J$8+((V114*F114)/(V$10*F$10)-1)*costos!$K$8)))</f>
        <v>7901.1616545997258</v>
      </c>
      <c r="CC114" s="268">
        <f>CC$10*(1+((H114/H$10-1)*costos!$B$9+((I114*F114)/(I$10*F$10)-1)*costos!$E$9+((J114*F114)/((J$10*F$10)-1)*costos!$F$9/3+((K114*F114)/(K$10*F$10)-1)*costos!$F$9/3+((U114*F114)/(U$10*F$10)-1)*costos!$F$9/3+((L114*F114)/(L$10*F$10)-1)*costos!$G$9+((U114*F114)/(U$10*F$10)-1)*costos!$J$9+((V114*F114)/(V$10*F$10)-1)*costos!$K$9)))</f>
        <v>8060.0945443338087</v>
      </c>
      <c r="CD114" s="268">
        <f>CD$10*(1+((H114/H$10-1)*costos!$B$11+((I114*F114)/(I$10*F$10)-1)*costos!$E$11+((J114*F114)/((J$10*F$10)-1)*costos!$F$11/3+((K114*F114)/(K$10*F$10)-1)*costos!$F$11/3+((U114*F114)/(U$10*F$10)-1)*costos!$F$11/3+((L114*F114)/(L$10*F$10)-1)*costos!$G$11+((V114*F114)/(V$10*F$10)-1)*costos!$J$11+((V114*F114)/(V$10*F$10)-1)*costos!$K$11)))</f>
        <v>7182.2823180509249</v>
      </c>
      <c r="CE114" s="268">
        <f>CE$10*(1+((H114/H$10-1)*costos!$B$12+((I114*F114)/(I$10*F$10)-1)*costos!$E$12+((J114*F114)/((J$10*F$10)-1)*costos!$F$12/3+((K114*F114)/(K$10*F$10)-1)*costos!$F$12/3+((U114*F114)/(U$10*F$10)-1)*costos!$F$12/3+((L114*F114)/(L$10*F$10)-1)*costos!$G$12+((W114*F114)/(W$10*F$10)-1)*costos!$J$12+((V114*F114)/(V$10*F$10)-1)*costos!$K$12)))</f>
        <v>8473.368335762485</v>
      </c>
      <c r="CF114" s="268">
        <f>CF$10*(1+((H114/H$10-1)*costos!$B$13+((I114*F114)/(I$10*F$10)-1)*costos!$E$13+((J114*F114)/((J$10*F$10)-1)*costos!$F$13/3+((K114*F114)/(K$10*F$10)-1)*costos!$F$13/3+((U114*F114)/(U$10*F$10)-1)*costos!$F$13/3+((L114*F114)/(L$10*F$10)-1)*costos!$G$13+((X114*F114)/(X$10*F$10)-1)*costos!$J$13+((V114*F114)/(V$10*F$10)-1)*costos!$K$13)))</f>
        <v>8383.6192393628735</v>
      </c>
      <c r="CG114" s="268">
        <f t="shared" si="447"/>
        <v>7962.0460670579232</v>
      </c>
      <c r="CH114" s="268">
        <f>CH$10*(1+((H114/H$10-1)*costos!$B$10+((I114*F114)/(I$10*F$10)-1)*costos!$E$10+((J114*F114)/((J$10*F$10)-1)*costos!$F$10/3+((K114*F114)/(K$10*F$10)-1)*costos!$F$10/3+((U114*F114)/(U$10*F$10)-1)*costos!$F$10/3+((L114*F114)/(L$10*F$10)-1)*costos!$G$10+((AF114)/(AF$10)-1)*costos!$J$10+((V114*F114)/(V$10*F$10)-1)*costos!$K$10)))</f>
        <v>9696.2187175991567</v>
      </c>
      <c r="CI114" s="268">
        <f>CI$10*(1+((H114/H$10-1)*costos!$B$15+((I114*F114)/(I$10*F$10)-1)*costos!$E$15+((J114*F114)/((J$10*F$10)-1)*costos!$F$15/3+((K114*F114)/(K$10*F$10)-1)*costos!$F$15/3+((U114*F114)/(U$10*F$10)-1)*costos!$F$15/3+((L114*F114)/(L$10*F$10)-1)*costos!$G$15+((AV114)/(AV$10)-1)*costos!$J$15+((V114*F114)/(V$10*F$10)-1)*costos!$K$15)))</f>
        <v>9668.9374037411126</v>
      </c>
      <c r="CJ114" s="268">
        <f>CJ$10*(1+((H114/H$10-1)*costos!$B$16+((I114*F114)/(I$10*F$10)-1)*costos!$E$16+((J114*F114)/((J$10*F$10)-1)*costos!$F$16/3+((K114*F114)/(K$10*F$10)-1)*costos!$F$16/3+((U114*F114)/(U$10*F$10)-1)*costos!$F$16/3+((L114*F114)/(L$10*F$10)-1)*costos!$G$16+((AW114)/(AW$10)-1)*costos!$J$16+((V114*F114)/(V$10*F$10)-1)*costos!$K$16)))</f>
        <v>7855.9795643201387</v>
      </c>
      <c r="CK114" s="268">
        <f>CK$10*(1+((H114/H$10-1)*costos!$B$17+((I114*F114)/(I$10*F$10)-1)*costos!$E$17+((J114*F114)/((J$10*F$10)-1)*costos!$F$17/3+((K114*F114)/(K$10*F$10)-1)*costos!$F$17/3+((U114*F114)/(U$10*F$10)-1)*costos!$F$17/3+((L114*F114)/(L$10*F$10)-1)*costos!$G$17+((AX114)/(AX$10)-1)*costos!$J$17+((V114*F114)/(V$10*F$10)-1)*costos!$K$17)))</f>
        <v>10329.739118385765</v>
      </c>
      <c r="CL114" s="268">
        <f>CL$10*(1+((H114/H$10-1)*costos!$B$18+((I114*F114)/(I$10*F$10)-1)*costos!$E$18+((J114*F114)/((J$10*F$10)-1)*costos!$F$18/3+((K114*F114)/(K$10*F$10)-1)*costos!$F$18/3+((U114*F114)/(U$10*F$10)-1)*costos!$F$18/3+((L114*F114)/(L$10*F$10)-1)*costos!$G$18+((AY114)/(AY$10)-1)*costos!$J$18+((V114*F114)/(V$10*F$10)-1)*costos!$K$18)))</f>
        <v>12550.145979046401</v>
      </c>
      <c r="CM114" s="268">
        <f>CM$10*(1+((H114/H$10-1)*costos!$B$19+((I114*F114)/(I$10*F$10)-1)*costos!$E$19+((J114*F114)/((J$10*F$10)-1)*costos!$F$19/3+((K114*F114)/(K$10*F$10)-1)*costos!$F$19/3+((U114*F114)/(U$10*F$10)-1)*costos!$F$19/3+((L114*F114)/(L$10*F$10)-1)*costos!$G$19+((AZ114)/(AZ$10)-1)*costos!$J$19+((V114*F114)/(V$10*F$10)-1)*costos!$K$19)))</f>
        <v>8681.5485678341392</v>
      </c>
      <c r="CN114" s="268">
        <f>CN$10*(1+((H114/H$10-1)*costos!$B$20+((I114*F114)/(I$10*F$10)-1)*costos!$E$20+((J114*F114)/((J$10*F$10)-1)*costos!$F$20/3+((K114*F114)/(K$10*F$10)-1)*costos!$F$20/3+((U114*F114)/(U$10*F$10)-1)*costos!$F$20/3+((L114*F114)/(L$10*F$10)-1)*costos!$G$20+((BA114)/(BA$10)-1)*costos!$J$20+((V114*F114)/(V$10*F$10)-1)*costos!$K$20)))</f>
        <v>8310.4552361129845</v>
      </c>
      <c r="CO114" s="268">
        <f t="shared" si="448"/>
        <v>9967.9722253448235</v>
      </c>
      <c r="CP114" s="268">
        <f>CP$10*(1+((H114/H$10-1)*costos!$B$22+((I114*F114)/(I$10*F$10)-1)*costos!$E$22+((J114*F114)/((J$10*F$10)-1)*costos!$F$22/3+((K114*F114)/(K$10*F$10)-1)*costos!$F$22/3+((U114*F114)/(U$10*F$10)-1)*costos!$F$22/3+((L114*F114)/(L$10*F$10)-1)*costos!$G$22+(((AVERAGE(AI114:AL114))/((AVERAGE(AI$10:AL$10))-1)*costos!$J$22+((V114*F114)/(V$10*F$10)-1)*costos!$K$22)))))</f>
        <v>9868.6542597081134</v>
      </c>
      <c r="CQ114" s="92">
        <f>CQ$10*(1+((H114/H$10-1)*costos!$B$23+((I114*F114)/(I$10*F$10)-1)*costos!$E$23+((J114*F114)/((J$10*F$10)-1)*costos!$F$23/3+((K114*F114)/(K$10*F$10)-1)*costos!$F$23/3+((U114*F114)/(U$10*F$10)-1)*costos!$F$23/3+((L114*F114)/(L$10*F$10)-1)*costos!$G$23+((AN114)/(AN$10)-1)*costos!$J$23+((V114*F114)/(V$10*F$10)-1)*costos!$K$23)))</f>
        <v>8448.9946183267839</v>
      </c>
      <c r="CR114" s="268">
        <f>CR$10*(1+((H114/H$10-1)*costos!$B$24+((I114*F114)/(I$10*F$10)-1)*costos!$E$24+((J114*F114)/((J$10*F$10)-1)*costos!$F$24/3+((K114*F114)/(K$10*F$10)-1)*costos!$F$24/3+((U114*F114)/(U$10*F$10)-1)*costos!$F$24/3+((L114*F114)/(L$10*F$10)-1)*costos!$G$24+((AO114)/(AO$10)-1)*costos!$J$24+((V114*F114)/(V$10*F$10)-1)*costos!$K$24)))</f>
        <v>8780.6944920557762</v>
      </c>
      <c r="CS114" s="92">
        <f t="shared" si="352"/>
        <v>8614.844555191281</v>
      </c>
      <c r="CT114" s="268">
        <f>CT$10*(1+((H114/H$10-1)*costos!$B$25+((I114*F114)/(I$10*F$10)-1)*costos!$E$25+((J114*F114)/((J$10*F$10)-1)*costos!$F$25/3+((K114*F114)/(K$10*F$10)-1)*costos!$F$25/3+((U114*F114)/(U$10*F$10)-1)*costos!$F$25/3+((L114*F114)/(L$10*F$10)-1)*costos!$G$25+((AQ114)/(AQ$10)-1)*costos!$J$25+((V114*F114)/(V$10*F$10)-1)*costos!$K$25)))</f>
        <v>7778.6312039098793</v>
      </c>
      <c r="CU114" s="268">
        <f>CU$10*(1+((H114/H$10-1)*costos!$B$26+((I114*F114)/(I$10*F$10)-1)*costos!$E$26+((J114*F114)/((J$10*F$10)-1)*costos!$F$26/3+((K114*F114)/(K$10*F$10)-1)*costos!$F$26/3+((U114*F114)/(U$10*F$10)-1)*costos!$F$26/3+((L114*F114)/(L$10*F$10)-1)*costos!$G$26+((AR114)/(AR$10)-1)*costos!$J$26+((V114*F114)/(V$10*F$10)-1)*costos!$K$26)))</f>
        <v>8091.4030146356818</v>
      </c>
      <c r="CV114" s="268">
        <f>CV$10*(1+((H114/H$10-1)*costos!$B$27+((I114*F114)/(I$10*F$10)-1)*costos!$E$27+((J114*F114)/((J$10*F$10)-1)*costos!$F$27/3+((K114*F114)/(K$10*F$10)-1)*costos!$F$27/3+((U114*F114)/(U$10*F$10)-1)*costos!$F$27/3+((L114*F114)/(L$10*F$10)-1)*costos!$G$27+((AS114)/(AS$10)-1)*costos!$J$27+((V114*F114)/(V$10*F$10)-1)*costos!$K$27)))</f>
        <v>8023.5144750397067</v>
      </c>
      <c r="CW114" s="268">
        <f>CW$10*(1+((H114/H$10-1)*costos!$B$28+((I114*F114)/(I$10*F$10)-1)*costos!$E$28+((J114*F114)/((J$10*F$10)-1)*costos!$F$28/3+((K114*F114)/(K$10*F$10)-1)*costos!$F$28/3+((U114*F114)/(U$10*F$10)-1)*costos!$F$28/3+((L114*F114)/(L$10*F$10)-1)*costos!$G$28+((AS114)/(AS$10)-1)*costos!$J$28+((V114*F114)/(V$10*F$10)-1)*costos!$K$28)))</f>
        <v>8023.5144750397067</v>
      </c>
      <c r="CX114" s="268">
        <f t="shared" si="449"/>
        <v>8046.1439882383647</v>
      </c>
      <c r="CY114" s="268">
        <f>CY$10*(1+((H114/H$10-1)*costos!$B$32+((I114*F114)/(I$10*F$10)-1)*costos!$E$32+((J114*F114)/((J$10*F$10)-1)*costos!$F$32/3+((K114*F114)/(K$10*F$10)-1)*costos!$F$32/3+((U114*F114)/(U$10*F$10)-1)*costos!$F$32/3+((L114*F114)/(L$10*F$10)-1)*costos!$G$32+((AG114)/(AG$10)-1)*costos!$J$32+((V114*F114)/(V$10*F$10)-1)*costos!$K$32)))</f>
        <v>8296.163096091077</v>
      </c>
      <c r="CZ114" s="69">
        <f>CZ$10*(1+((H114/H$10-1)*costos!$B$31+((I114*F114)/(I$10*F$10)-1)*costos!$E$30+((J114*F114)/((J$10*F$10)-1)*costos!$F$30/3+((K114*F114)/(K$10*F$10)-1)*costos!$F$30/3+((U114*F114)/(U$10*F$10)-1)*costos!$F$30/3+((L114*F114)/(L$10*F$10)-1)*costos!$G$30+((BG114)/(BG$10)-1)*costos!$J$30+((V114*F114)/(V$10*F$10)-1)*costos!$K$30)))</f>
        <v>10568.566190409374</v>
      </c>
      <c r="DA114" s="69">
        <f>DA$10*(1+((H114/H$10-1)*costos!$B$31+((I114*F114)/(I$10*F$10)-1)*costos!$E$31+((J114*F114)/((J$10*F$10)-1)*costos!$F$31/3+((K114*F114)/(K$10*F$10)-1)*costos!$F$31/3+((U114*F114)/(U$10*F$10)-1)*costos!$F$31/3+((L114*F114)/(L$10*F$10)-1)*costos!$G$31+((BJ114)/(BJ$10)-1)*costos!$J$31+((V114*F114)/(V$10*F$10)-1)*costos!$K$31)))</f>
        <v>8587.7936782656234</v>
      </c>
      <c r="DB114" s="69">
        <f>DB$10*(1+((H114/H$10-1)*costos!$B$36+((I114*F114)/(I$10*F$10)-1)*costos!$E$36+((J114*F114)/((J$10*F$10)-1)*costos!$F$36/3+((K114*F114)/(K$10*F$10)-1)*costos!$F$36/3+((U114*F114)/(U$10*F$10)-1)*costos!$F$36/3+((L114*F114)/(L$10*F$10)-1)*costos!$G$36+((BK114)/(BK$10)-1)*costos!$J$36+((V114*F114)/(V$10*F$10)-1)*costos!$K$36)))</f>
        <v>8506.9924332949176</v>
      </c>
      <c r="DC114" s="69">
        <f>DC$10*(1+((H114/H$10-1)*costos!$B$37+((I114*F114)/(I$10*F$10)-1)*costos!$E$37+((U114*F114)/(U$10*F$10)-1)*costos!$F$37+((L114*F114)/(L$10*F$10)-1)*costos!$G$37+((BN114)/(BN$10)-1)*costos!$J$37+((V114*F114)/(V$10*F$10)-1)*costos!$K$37))</f>
        <v>8736.0521403332295</v>
      </c>
      <c r="DD114" s="69">
        <f>DD$10*(1+((H114/H$10-1)*costos!$B$39+((I114*F114)/(I$10*F$10)-1)*costos!$E$39+((U114*F114)/(U$10*F$10)-1)*costos!$F$39+((L114*F114)/(L$10*F$10)-1)*costos!$G$39+((BR114)/(BR$10)-1)*costos!$J$39+((V114*F114)/(V$10*F$10)-1)*costos!$K$39))</f>
        <v>8444.7930217757566</v>
      </c>
      <c r="DE114" s="69">
        <f>DD$10*(1+((H114/H$10-1)*costos!$B$35+((I114*F114)/(I$10*F$10)-1)*costos!$E$35+((U114*F114)/(U$10*F$10)-1)*costos!$F$35+((L114*F114)/(L$10*F$10)-1)*costos!$G$35+((BR114)/(BR$10)-1)*costos!$J$35+((V114*F114)/(V$10*F$10)-1)*costos!$K$35))</f>
        <v>7383.5172534603771</v>
      </c>
      <c r="DF114" s="69">
        <f>DF$10*(1+((H114/H$10-1)*costos!$B$40+((I114*F114)/(I$10*F$10)-1)*costos!$E$40+((U114*F114)/(U$10*F$10)-1)*costos!$F$40+((L114*F114)/(L$10*F$10)-1)*costos!$G$40+((BP114)/(BP$10)-1)*costos!$J$40+((V114*F114)/(V$10*F$10)-1)*costos!$K$40))</f>
        <v>8624.1297228865606</v>
      </c>
      <c r="DG114" s="268">
        <f t="shared" si="391"/>
        <v>8003.8234881734688</v>
      </c>
      <c r="DH114" s="69">
        <f>DH$10*(1+((H114/H$10-1)*costos!$B$34+((I114*F114)/(I$10*F$10)-1)*costos!$E$34+((J114*F114)/((J$10*F$10)-1)*costos!$F$34/3+((K114*F114)/(K$10*F$10)-1)*costos!$F$34/3+((U114*F114)/(U$10*F$10)-1)*costos!$F$34/3+((L114*F114)/(L$10*F$10)-1)*costos!$G$34+((BV114)/(BV$10)-1)*costos!$J$34+((V114*F114)/(V$10*F$10)-1)*costos!$K$34)))</f>
        <v>8528.6913322889777</v>
      </c>
      <c r="DI114" s="69">
        <f>DI$10*(1+((H114/H$10-1)*costos!$B$38+((I114*F114)/(I$10*F$10)-1)*costos!$E$38+((J114*F114)/((J$10*F$10)-1)*costos!$F$38/3+((K114*F114)/(K$10*F$10)-1)*costos!$F$38/3+((U114*F114)/(U$10*F$10)-1)*costos!$F$38/3+((L114*F114)/(L$10*F$10)-1)*costos!$G$38+((BU114)/(BU$10)-1)*costos!$J$38+((V114*F114)/(V$10*F$10)-1)*costos!$K$38)))</f>
        <v>8367.6019666189914</v>
      </c>
      <c r="DK114" s="1">
        <v>650000</v>
      </c>
      <c r="DL114" s="1" t="s">
        <v>410</v>
      </c>
      <c r="DM114" s="1">
        <v>215000</v>
      </c>
      <c r="DN114" s="1" t="s">
        <v>512</v>
      </c>
      <c r="DO114" s="1">
        <v>1500000</v>
      </c>
      <c r="DP114" s="1" t="s">
        <v>512</v>
      </c>
      <c r="DQ114" s="1">
        <v>2100000</v>
      </c>
      <c r="DR114" s="1" t="s">
        <v>512</v>
      </c>
      <c r="DS114" s="1">
        <v>7600000</v>
      </c>
      <c r="DT114" s="1" t="s">
        <v>410</v>
      </c>
      <c r="DU114" s="1">
        <v>16600000</v>
      </c>
      <c r="DV114" s="1" t="s">
        <v>410</v>
      </c>
      <c r="DW114" s="1">
        <v>1100000</v>
      </c>
      <c r="DX114" s="1" t="s">
        <v>512</v>
      </c>
      <c r="DY114" s="1">
        <v>6550000</v>
      </c>
      <c r="DZ114" s="1" t="s">
        <v>512</v>
      </c>
      <c r="EA114" s="79">
        <f t="shared" si="353"/>
        <v>35450000</v>
      </c>
      <c r="EB114" s="1">
        <v>521230</v>
      </c>
      <c r="EC114" s="1" t="s">
        <v>512</v>
      </c>
      <c r="ED114" s="1">
        <v>230256</v>
      </c>
      <c r="EE114" s="143">
        <v>2024</v>
      </c>
      <c r="EF114" s="1">
        <v>199946</v>
      </c>
      <c r="EG114" s="6">
        <v>2024</v>
      </c>
      <c r="EH114" s="1">
        <v>52783892</v>
      </c>
      <c r="EI114" s="6">
        <v>2024</v>
      </c>
      <c r="EJ114" s="1">
        <v>6115215</v>
      </c>
      <c r="EK114" s="6">
        <v>2024</v>
      </c>
      <c r="EL114" s="1">
        <v>12440906</v>
      </c>
      <c r="EM114" s="6">
        <v>2024</v>
      </c>
      <c r="EN114" s="1">
        <v>3169981</v>
      </c>
      <c r="EO114" s="6">
        <v>2021</v>
      </c>
      <c r="EP114" s="83">
        <v>9125</v>
      </c>
      <c r="EQ114" s="83">
        <v>3500000</v>
      </c>
      <c r="ER114" s="1">
        <f t="shared" si="430"/>
        <v>80248</v>
      </c>
      <c r="ES114" s="1"/>
      <c r="ET114" s="83">
        <f t="shared" si="451"/>
        <v>19357</v>
      </c>
      <c r="EU114" s="83">
        <f t="shared" si="451"/>
        <v>18703</v>
      </c>
      <c r="EV114" s="83">
        <f t="shared" si="451"/>
        <v>8927</v>
      </c>
      <c r="EW114" s="83">
        <f t="shared" si="451"/>
        <v>17408</v>
      </c>
      <c r="EX114" s="79">
        <f t="shared" si="354"/>
        <v>64395</v>
      </c>
      <c r="EY114" s="83">
        <f t="shared" si="394"/>
        <v>20031</v>
      </c>
      <c r="EZ114" s="83">
        <f t="shared" si="394"/>
        <v>34815</v>
      </c>
      <c r="FA114" s="83">
        <f t="shared" si="431"/>
        <v>19900</v>
      </c>
      <c r="FB114" s="83">
        <f t="shared" si="406"/>
        <v>18184</v>
      </c>
      <c r="FC114" s="79">
        <f t="shared" si="452"/>
        <v>38084</v>
      </c>
      <c r="FD114" s="83">
        <f t="shared" si="395"/>
        <v>60376</v>
      </c>
      <c r="FE114" s="1"/>
      <c r="FF114" s="1">
        <v>1300000</v>
      </c>
      <c r="FG114" s="1" t="s">
        <v>410</v>
      </c>
      <c r="FH114" s="1">
        <v>1300000</v>
      </c>
      <c r="FI114" s="1" t="s">
        <v>410</v>
      </c>
      <c r="FJ114" s="1">
        <v>5100000</v>
      </c>
      <c r="FK114" s="1" t="s">
        <v>410</v>
      </c>
      <c r="FL114" s="1">
        <v>3900000</v>
      </c>
      <c r="FM114" s="1" t="s">
        <v>410</v>
      </c>
      <c r="FN114" s="1">
        <v>46500000</v>
      </c>
      <c r="FO114" s="1" t="s">
        <v>410</v>
      </c>
      <c r="FP114" s="1">
        <v>48200000</v>
      </c>
      <c r="FQ114" s="1" t="s">
        <v>410</v>
      </c>
      <c r="FR114" s="1">
        <v>2500000</v>
      </c>
      <c r="FS114" s="1" t="s">
        <v>410</v>
      </c>
      <c r="FT114" s="1">
        <v>15853000</v>
      </c>
      <c r="FU114" s="1" t="s">
        <v>410</v>
      </c>
      <c r="FV114" s="79">
        <f t="shared" si="355"/>
        <v>122053000</v>
      </c>
      <c r="FW114" s="1">
        <v>1604722</v>
      </c>
      <c r="FX114" s="1" t="s">
        <v>410</v>
      </c>
      <c r="FY114" s="1">
        <v>79183</v>
      </c>
      <c r="FZ114" s="79">
        <f t="shared" si="377"/>
        <v>1006571.5</v>
      </c>
      <c r="GA114" s="86" t="str">
        <f t="shared" si="378"/>
        <v>oct23 sept24</v>
      </c>
      <c r="GB114" s="1">
        <v>19189740</v>
      </c>
      <c r="GC114" s="6">
        <v>2024</v>
      </c>
      <c r="GD114" s="1">
        <v>1714000</v>
      </c>
      <c r="GE114" s="1">
        <v>424000</v>
      </c>
      <c r="GF114" s="1">
        <v>1165000</v>
      </c>
      <c r="GG114" s="1">
        <v>145000</v>
      </c>
      <c r="GH114" s="79">
        <f t="shared" si="450"/>
        <v>1734000</v>
      </c>
      <c r="GI114" s="82">
        <f t="shared" si="453"/>
        <v>1302556</v>
      </c>
      <c r="GJ114" s="83">
        <f t="shared" si="453"/>
        <v>682423</v>
      </c>
      <c r="GK114" s="83">
        <f t="shared" si="453"/>
        <v>1391495</v>
      </c>
      <c r="GL114" s="83">
        <f t="shared" si="453"/>
        <v>305049</v>
      </c>
      <c r="GM114" s="83">
        <f t="shared" si="453"/>
        <v>260419</v>
      </c>
      <c r="GN114" s="79">
        <f t="shared" si="357"/>
        <v>2639386</v>
      </c>
      <c r="GO114" s="83">
        <f>+GO113</f>
        <v>201734</v>
      </c>
      <c r="GP114" s="83">
        <f t="shared" si="416"/>
        <v>69297</v>
      </c>
      <c r="GQ114" s="1">
        <v>21799</v>
      </c>
      <c r="GR114" s="1">
        <v>34035</v>
      </c>
      <c r="GS114" s="79">
        <f t="shared" si="412"/>
        <v>34688.97</v>
      </c>
      <c r="GT114" s="83">
        <f t="shared" si="407"/>
        <v>2111561</v>
      </c>
      <c r="GU114" s="1">
        <v>24071</v>
      </c>
      <c r="GV114" s="1">
        <v>28621</v>
      </c>
      <c r="GW114" s="79">
        <f t="shared" ref="GW114:GW129" si="455">SUM(GU103:GV114)</f>
        <v>743119</v>
      </c>
      <c r="GX114" s="1">
        <v>30804.553</v>
      </c>
      <c r="GY114" s="1" t="s">
        <v>436</v>
      </c>
      <c r="GZ114" s="1">
        <v>80786</v>
      </c>
      <c r="HA114" s="83">
        <v>279000</v>
      </c>
      <c r="HB114" s="79">
        <f t="shared" si="437"/>
        <v>3117524</v>
      </c>
      <c r="HC114" s="86" t="str">
        <f t="shared" si="379"/>
        <v>oct23 sept24</v>
      </c>
      <c r="HD114" s="1">
        <v>63587</v>
      </c>
      <c r="HE114" s="79">
        <f t="shared" si="380"/>
        <v>781547</v>
      </c>
      <c r="HF114" s="86" t="str">
        <f t="shared" si="381"/>
        <v>oct23 sept24</v>
      </c>
      <c r="HG114" s="1">
        <v>192000</v>
      </c>
      <c r="HH114" s="79">
        <f t="shared" si="438"/>
        <v>2292000</v>
      </c>
      <c r="HI114" s="86" t="str">
        <f t="shared" si="382"/>
        <v>oct23 sept24</v>
      </c>
      <c r="HJ114" s="1">
        <v>86250</v>
      </c>
      <c r="HK114" s="79">
        <f t="shared" si="278"/>
        <v>64866.742299286794</v>
      </c>
      <c r="HL114" s="86" t="str">
        <f t="shared" si="383"/>
        <v>oct23 sept24</v>
      </c>
      <c r="HM114" s="79">
        <f t="shared" si="358"/>
        <v>2356866.7422992866</v>
      </c>
      <c r="HN114" s="87">
        <f t="shared" si="297"/>
        <v>-3.9846228239845294E-2</v>
      </c>
      <c r="HO114" s="1">
        <v>992799000</v>
      </c>
      <c r="HP114" s="79">
        <f t="shared" si="386"/>
        <v>10362.246656900923</v>
      </c>
      <c r="HQ114" s="86" t="str">
        <f t="shared" si="384"/>
        <v>oct23 sept24</v>
      </c>
      <c r="HR114" s="1"/>
      <c r="HS114" s="1"/>
      <c r="HT114" s="1"/>
      <c r="HU114" s="1">
        <v>700000</v>
      </c>
      <c r="HV114" s="1" t="s">
        <v>410</v>
      </c>
      <c r="HW114" s="1">
        <v>1500000</v>
      </c>
      <c r="HX114" s="1" t="s">
        <v>410</v>
      </c>
      <c r="HY114" s="1">
        <v>4600000</v>
      </c>
      <c r="HZ114" s="1" t="s">
        <v>410</v>
      </c>
      <c r="IA114" s="1">
        <f t="shared" ref="IA114:IA119" si="456">(3.6+18)*1000000</f>
        <v>21600000</v>
      </c>
      <c r="IB114" s="1" t="s">
        <v>410</v>
      </c>
      <c r="IC114" s="1">
        <v>45000000</v>
      </c>
      <c r="ID114" s="1" t="s">
        <v>410</v>
      </c>
      <c r="IE114" s="1">
        <v>1500000</v>
      </c>
      <c r="IF114" s="1" t="s">
        <v>410</v>
      </c>
      <c r="IG114" s="1">
        <f t="shared" si="415"/>
        <v>7400000</v>
      </c>
      <c r="IH114" s="1" t="s">
        <v>410</v>
      </c>
      <c r="II114" s="79">
        <f t="shared" si="359"/>
        <v>81600000</v>
      </c>
      <c r="IJ114" s="97">
        <f t="shared" si="434"/>
        <v>2.1563835150032644</v>
      </c>
      <c r="IK114" s="1" t="s">
        <v>410</v>
      </c>
      <c r="IL114" s="7">
        <v>42.29</v>
      </c>
      <c r="IM114" s="7">
        <v>47.38</v>
      </c>
      <c r="IN114" s="95">
        <v>160.6</v>
      </c>
      <c r="IO114" s="7">
        <v>16.8</v>
      </c>
      <c r="IP114" s="176">
        <f t="shared" si="432"/>
        <v>5.5693606783423002</v>
      </c>
      <c r="IQ114" s="176">
        <v>16.3</v>
      </c>
      <c r="IR114" s="478">
        <f t="shared" ref="IR114:IU115" si="457">+IR113</f>
        <v>6.09</v>
      </c>
      <c r="IS114" s="478">
        <f t="shared" si="457"/>
        <v>4.03</v>
      </c>
      <c r="IT114" s="478">
        <f t="shared" si="457"/>
        <v>11.98</v>
      </c>
      <c r="IU114" s="478">
        <f t="shared" si="457"/>
        <v>1.38</v>
      </c>
      <c r="IV114" s="94">
        <f t="shared" si="360"/>
        <v>17.39</v>
      </c>
      <c r="IW114" s="1"/>
      <c r="IX114" s="1"/>
      <c r="IY114" s="80">
        <v>1.88</v>
      </c>
      <c r="IZ114" s="88">
        <v>0.3</v>
      </c>
      <c r="JA114" s="1">
        <v>2813</v>
      </c>
      <c r="JB114" s="95">
        <f t="shared" si="433"/>
        <v>35.950000000000003</v>
      </c>
      <c r="JC114" s="1"/>
      <c r="JD114" s="1"/>
      <c r="JF114" s="2">
        <v>21.922029789999996</v>
      </c>
      <c r="JG114" s="2">
        <v>26.198510359999997</v>
      </c>
      <c r="JH114" s="2">
        <v>150.10930296999999</v>
      </c>
      <c r="JI114" s="2">
        <v>206.09606002999999</v>
      </c>
      <c r="JJ114" s="2">
        <v>669.48603334999973</v>
      </c>
      <c r="JK114" s="2">
        <v>155.33708399000002</v>
      </c>
      <c r="JL114" s="2">
        <v>2292.97216592</v>
      </c>
      <c r="JM114" s="2">
        <v>32.4602687</v>
      </c>
      <c r="JN114" s="2">
        <v>59.680487890000002</v>
      </c>
      <c r="JO114" s="2">
        <v>36.879687310000008</v>
      </c>
      <c r="JP114" s="2">
        <v>0</v>
      </c>
      <c r="JQ114" s="2">
        <v>0</v>
      </c>
      <c r="JR114" s="2">
        <v>2.0161257399999997</v>
      </c>
      <c r="JS114" s="2">
        <v>0</v>
      </c>
      <c r="JT114" s="2">
        <v>0.16388376000000002</v>
      </c>
      <c r="JU114" s="2">
        <v>106.11166329999998</v>
      </c>
      <c r="JV114" s="2">
        <v>20.213999190000003</v>
      </c>
      <c r="JW114" s="2">
        <v>13.78311628</v>
      </c>
      <c r="JX114" s="2">
        <v>19.684849620000001</v>
      </c>
      <c r="JY114" s="2">
        <v>0</v>
      </c>
      <c r="JZ114" s="2">
        <v>14.709445869999998</v>
      </c>
      <c r="KA114" s="2">
        <v>0.54611279999999995</v>
      </c>
      <c r="KB114" s="2">
        <v>18.158715399999995</v>
      </c>
      <c r="KC114" s="2">
        <v>54.488227269999996</v>
      </c>
      <c r="KD114" s="2">
        <v>10.05873476</v>
      </c>
      <c r="KE114" s="2">
        <v>22.211636389999995</v>
      </c>
      <c r="KF114" s="2">
        <v>22.566015059999998</v>
      </c>
      <c r="KG114" s="2">
        <v>392.24577093999977</v>
      </c>
      <c r="KH114" s="2">
        <v>136.36151781000004</v>
      </c>
      <c r="KI114" s="2">
        <v>12.657815750000001</v>
      </c>
      <c r="KJ114" s="2">
        <v>2.1279038099999998</v>
      </c>
      <c r="KK114" s="171">
        <v>6.3060080799999998</v>
      </c>
      <c r="KL114" s="171">
        <v>0.40961613000000002</v>
      </c>
      <c r="KM114" s="171">
        <v>0.89763188000000005</v>
      </c>
      <c r="KN114" s="171">
        <v>1.7077387299999998</v>
      </c>
      <c r="KO114" s="171">
        <v>8.564410109999999</v>
      </c>
      <c r="KP114" s="171">
        <v>0.13444175</v>
      </c>
      <c r="KQ114" s="171">
        <v>254.02724699999999</v>
      </c>
      <c r="KR114" s="171">
        <v>6.9929160000000004E-2</v>
      </c>
      <c r="KS114" s="171">
        <v>1.6713000000000002E-2</v>
      </c>
      <c r="KT114" s="171">
        <v>2.0286618900000004</v>
      </c>
      <c r="KU114" s="171">
        <v>0.14711371000000001</v>
      </c>
      <c r="KV114" s="171">
        <v>7.6778486899999994</v>
      </c>
      <c r="KW114" s="171">
        <v>2.3911333300000002</v>
      </c>
      <c r="KX114" s="171">
        <v>0</v>
      </c>
      <c r="KY114" s="171">
        <v>0.21197170000000001</v>
      </c>
      <c r="KZ114" s="171">
        <v>2.4415022799999999</v>
      </c>
      <c r="LA114" s="171">
        <v>0.4035049</v>
      </c>
      <c r="LB114" s="171">
        <v>2.8527E-2</v>
      </c>
      <c r="LC114" s="171">
        <v>9.9244270000000009E-2</v>
      </c>
      <c r="LD114" s="171">
        <v>0</v>
      </c>
      <c r="LE114" s="171">
        <v>1.6801E-2</v>
      </c>
      <c r="LF114" s="171">
        <v>0.15787200000000001</v>
      </c>
      <c r="LG114" s="171">
        <v>16.942532470000003</v>
      </c>
      <c r="LH114" s="171">
        <v>5.3893107900000006</v>
      </c>
      <c r="LI114" s="171">
        <v>1.2494588400000002</v>
      </c>
      <c r="LJ114" s="171">
        <v>4.0664E-4</v>
      </c>
      <c r="LK114" s="171">
        <v>3.59052696</v>
      </c>
      <c r="LL114" s="171">
        <v>2.7432327000000001</v>
      </c>
      <c r="LM114" s="171">
        <v>1.0080099199999999</v>
      </c>
      <c r="LN114" s="171">
        <v>0.26088905000000001</v>
      </c>
      <c r="LO114" s="171">
        <v>7.3519509899999989</v>
      </c>
      <c r="LQ114" s="85">
        <f t="shared" si="439"/>
        <v>3410.80431886</v>
      </c>
      <c r="LR114" s="85">
        <f t="shared" si="440"/>
        <v>2.1800094999999997</v>
      </c>
      <c r="LS114" s="85">
        <v>22.303018159999997</v>
      </c>
      <c r="LT114" s="85">
        <f t="shared" si="442"/>
        <v>15.255558669999997</v>
      </c>
      <c r="LU114" s="85">
        <f t="shared" si="443"/>
        <v>265.28366987999999</v>
      </c>
      <c r="LV114" s="85">
        <f t="shared" si="444"/>
        <v>10.280953719999999</v>
      </c>
      <c r="LW114" s="85">
        <v>0.14837025000000001</v>
      </c>
      <c r="LX114" s="85">
        <f t="shared" si="446"/>
        <v>0.17467300000000002</v>
      </c>
      <c r="LZ114" s="83">
        <v>1329.9</v>
      </c>
      <c r="MA114" s="83">
        <v>2262</v>
      </c>
      <c r="MB114"/>
      <c r="MC114"/>
      <c r="MD114"/>
      <c r="MF114"/>
      <c r="MG114"/>
      <c r="MH114" s="83">
        <v>2878.01</v>
      </c>
      <c r="MI114" s="83">
        <v>829.22</v>
      </c>
      <c r="MJ114" s="83">
        <v>1326.9</v>
      </c>
      <c r="MK114"/>
      <c r="ML114" s="83">
        <v>1605.65</v>
      </c>
      <c r="MM114" s="83">
        <v>3076.63</v>
      </c>
      <c r="MN114" s="83"/>
      <c r="MO114" s="83">
        <v>849.07</v>
      </c>
      <c r="MP114" s="83">
        <v>2122.36</v>
      </c>
      <c r="MQ114" s="83">
        <v>2235.7800000000002</v>
      </c>
      <c r="MR114"/>
      <c r="MT114" s="83"/>
      <c r="MU114" s="83">
        <v>811.45</v>
      </c>
      <c r="MV114"/>
      <c r="MW114"/>
      <c r="MX114"/>
      <c r="MY114" s="83">
        <v>2195.85</v>
      </c>
      <c r="MZ114" s="83">
        <v>5239</v>
      </c>
      <c r="NA114" s="83">
        <v>2834</v>
      </c>
      <c r="NB114" s="83">
        <v>7271</v>
      </c>
      <c r="NC114" s="83">
        <v>1358.1</v>
      </c>
      <c r="ND114" s="1">
        <v>8700</v>
      </c>
      <c r="NE114" s="1">
        <v>5368</v>
      </c>
    </row>
    <row r="115" spans="1:369">
      <c r="A115" s="38">
        <f t="shared" si="417"/>
        <v>45566</v>
      </c>
      <c r="B115" s="36">
        <f t="shared" si="428"/>
        <v>10</v>
      </c>
      <c r="C115" s="36">
        <f t="shared" si="429"/>
        <v>2024</v>
      </c>
      <c r="D115" s="36">
        <f t="shared" si="347"/>
        <v>115</v>
      </c>
      <c r="E115" s="38">
        <f t="shared" si="418"/>
        <v>45566</v>
      </c>
      <c r="F115" s="7">
        <f>+(961+1001)/2</f>
        <v>981</v>
      </c>
      <c r="G115" s="7">
        <v>7314</v>
      </c>
      <c r="H115" s="1">
        <f>[2]NACIONALES!$D103</f>
        <v>675823.63313724031</v>
      </c>
      <c r="I115" s="7">
        <v>110</v>
      </c>
      <c r="J115" s="7">
        <v>530</v>
      </c>
      <c r="K115" s="7">
        <v>4.5</v>
      </c>
      <c r="L115" s="7">
        <v>36.9</v>
      </c>
      <c r="N115" s="5">
        <f>+(1.58+1.57+1.59+1.67)/4</f>
        <v>1.6025</v>
      </c>
      <c r="O115" s="5">
        <f>+(1.32+1.32+1.31+1.3)/4</f>
        <v>1.3125</v>
      </c>
      <c r="P115" s="78">
        <f t="shared" si="398"/>
        <v>1358.317125</v>
      </c>
      <c r="Q115" s="6">
        <v>38000</v>
      </c>
      <c r="R115" s="79">
        <f t="shared" si="419"/>
        <v>380000</v>
      </c>
      <c r="S115" s="143">
        <f>169153.85/F115</f>
        <v>172.43002038735983</v>
      </c>
      <c r="T115" s="279">
        <v>329.06</v>
      </c>
      <c r="U115" s="188">
        <v>187</v>
      </c>
      <c r="V115" s="143">
        <v>314.86</v>
      </c>
      <c r="W115">
        <v>197</v>
      </c>
      <c r="X115" s="6">
        <v>217</v>
      </c>
      <c r="Y115" s="79">
        <f t="shared" si="420"/>
        <v>169153.85</v>
      </c>
      <c r="Z115" s="79">
        <f t="shared" si="421"/>
        <v>322807.86</v>
      </c>
      <c r="AA115" s="79">
        <f t="shared" si="422"/>
        <v>183447</v>
      </c>
      <c r="AB115" s="79">
        <f t="shared" si="423"/>
        <v>308877.66000000003</v>
      </c>
      <c r="AC115" s="79">
        <f t="shared" si="424"/>
        <v>193257</v>
      </c>
      <c r="AD115" s="79">
        <f t="shared" si="425"/>
        <v>212877</v>
      </c>
      <c r="AE115" s="79">
        <f t="shared" si="426"/>
        <v>231736.72833333336</v>
      </c>
      <c r="AF115" s="1">
        <v>876141.3</v>
      </c>
      <c r="AG115" s="83">
        <v>210000</v>
      </c>
      <c r="AH115" s="82">
        <f>+AH114</f>
        <v>718918.91891891882</v>
      </c>
      <c r="AI115" s="5">
        <v>458.45</v>
      </c>
      <c r="AJ115" s="5">
        <v>349.19</v>
      </c>
      <c r="AK115" s="5">
        <v>287.12</v>
      </c>
      <c r="AL115" s="5">
        <v>329.41</v>
      </c>
      <c r="AM115" s="78">
        <f>+AI116*0.46+AJ116*0.04+AK116*0.26+AL116*0.24</f>
        <v>346.4</v>
      </c>
      <c r="AN115" s="97">
        <v>29846.159999999996</v>
      </c>
      <c r="AO115" s="97">
        <v>19788.48</v>
      </c>
      <c r="AP115" s="78">
        <f t="shared" si="385"/>
        <v>19788.48</v>
      </c>
      <c r="AQ115" s="97">
        <v>17768.7</v>
      </c>
      <c r="AR115" s="97">
        <v>11825.28</v>
      </c>
      <c r="AS115" s="97">
        <v>9393.66</v>
      </c>
      <c r="AT115" s="7">
        <v>12467.5</v>
      </c>
      <c r="AU115" s="78">
        <f t="shared" si="348"/>
        <v>11228.813333333334</v>
      </c>
      <c r="AV115" s="97">
        <v>15237</v>
      </c>
      <c r="AW115" s="7">
        <v>9228.5714285714294</v>
      </c>
      <c r="AX115" s="97">
        <v>7665.4</v>
      </c>
      <c r="AY115" s="97">
        <v>23267.52</v>
      </c>
      <c r="AZ115" s="97">
        <v>11805.66</v>
      </c>
      <c r="BA115" s="7">
        <v>7285.7142857142853</v>
      </c>
      <c r="BB115" s="94">
        <f t="shared" si="345"/>
        <v>13480.328571428572</v>
      </c>
      <c r="BC115" s="285">
        <v>36237</v>
      </c>
      <c r="BD115" s="285">
        <v>32614</v>
      </c>
      <c r="BE115" s="7">
        <v>25300</v>
      </c>
      <c r="BF115" s="7">
        <v>19000</v>
      </c>
      <c r="BG115" s="94">
        <f t="shared" si="349"/>
        <v>28287.75</v>
      </c>
      <c r="BH115" s="280">
        <v>2820</v>
      </c>
      <c r="BI115" s="97">
        <f t="shared" si="454"/>
        <v>855</v>
      </c>
      <c r="BJ115" s="78">
        <f t="shared" si="350"/>
        <v>3675</v>
      </c>
      <c r="BK115" s="7">
        <v>1956.0429999999999</v>
      </c>
      <c r="BL115" s="7">
        <v>2685.2</v>
      </c>
      <c r="BM115" s="94">
        <f t="shared" si="351"/>
        <v>2320.6214999999997</v>
      </c>
      <c r="BN115" s="5">
        <v>434.86</v>
      </c>
      <c r="BO115" s="84">
        <v>1973.26</v>
      </c>
      <c r="BP115" s="84">
        <v>1454.17</v>
      </c>
      <c r="BQ115" s="94">
        <f t="shared" si="435"/>
        <v>1713.7150000000001</v>
      </c>
      <c r="BR115" s="7">
        <v>1428.22</v>
      </c>
      <c r="BS115" s="7">
        <v>4850</v>
      </c>
      <c r="BT115" s="7">
        <f>1.12*F115</f>
        <v>1098.72</v>
      </c>
      <c r="BU115" s="79">
        <f t="shared" si="436"/>
        <v>61496.160000000003</v>
      </c>
      <c r="BV115" s="7">
        <v>1717</v>
      </c>
      <c r="BW115" s="7">
        <v>2455</v>
      </c>
      <c r="BY115" s="268">
        <f>BY$10*(1+((H115/H$10-1)*costos!$B$5+((I115*F115)/(I$10*F$10)-1)*costos!$E$5+((J115*F115)/((J$10*F$10)-1)*costos!$F$5/3+((K115*F115)/(K$10*F$10)-1)*costos!$F$5/3+((U115*F115)/(U$10*F$10)-1)*costos!$F$5/3+((L115*F115)/(L$10*F$10)-1)*costos!$G$5+((N115*F115)/(N$10*F$10)-1)*costos!$J$5+((V115*F115)/(V$10*F$10)-1)*costos!$K$5)))</f>
        <v>9038.3856726830418</v>
      </c>
      <c r="BZ115" s="268">
        <f>$BZ$10*(1+((H115/$H$10-1)*costos!$B$6+((I115*F115)/($I$10*$F$10)-1)*costos!$E$6+((J115*F115)/(($J$10*$F$10)-1)*costos!$F$6/3+((K115*F115)/($K$10*$F$10)-1)*costos!$F$6/3+((U115*F115)/($U$10*$F$10)-1)*costos!$F$6/3+((L115*F115)/($L$10*$F$10)-1)*costos!$G$6+((Q115*F115)/($Q$10*$F$10)-1)*costos!$J$6+((V115*F115)/($V$10*$F$10)-1)*costos!$K$6)))</f>
        <v>8641.1762142335101</v>
      </c>
      <c r="CA115" s="268">
        <f>CA$10*(1+((H115/H$10-1)*costos!$B$7+((I115*F115)/(I$10*F$10)-1)*costos!$E$7+((J115*F115)/((J$10*F$10)-1)*costos!$F$7/3+((K115*F115)/(K$10*F$10)-1)*costos!$F$7/3+((U115*F115)/(U$10*F$10)-1)*costos!$F$7/3+((L115*F115)/(L$10*F$10)-1)*costos!$G$7+((S115*F115)/(S$10*F$10)-1)*costos!$J$7+((V115*F115)/(V$10*F$10)-1)*costos!$K$7)))</f>
        <v>8812.1092002175519</v>
      </c>
      <c r="CB115" s="268">
        <f>CB$10*(1+((H115/H$10-1)*costos!$B$8+((I115*F115)/(I$10*F$10)-1)*costos!$E$8+((J115*F115)/((J$10*F$10)-1)*costos!$F$8/3+((K115*F115)/(K$10*F$10)-1)*costos!$F$8/3+((U115*F115)/(U$10*F$10)-1)*costos!$F$8/3+((L115*F115)/(L$10*F$10)-1)*costos!$G$8+((T115*F115)/(T$10*F$10)-1)*costos!$J$8+((V115*F115)/(V$10*F$10)-1)*costos!$K$8)))</f>
        <v>8903.9676827009262</v>
      </c>
      <c r="CC115" s="268">
        <f>CC$10*(1+((H115/H$10-1)*costos!$B$9+((I115*F115)/(I$10*F$10)-1)*costos!$E$9+((J115*F115)/((J$10*F$10)-1)*costos!$F$9/3+((K115*F115)/(K$10*F$10)-1)*costos!$F$9/3+((U115*F115)/(U$10*F$10)-1)*costos!$F$9/3+((L115*F115)/(L$10*F$10)-1)*costos!$G$9+((U115*F115)/(U$10*F$10)-1)*costos!$J$9+((V115*F115)/(V$10*F$10)-1)*costos!$K$9)))</f>
        <v>8950.6251186951995</v>
      </c>
      <c r="CD115" s="268">
        <f>CD$10*(1+((H115/H$10-1)*costos!$B$11+((I115*F115)/(I$10*F$10)-1)*costos!$E$11+((J115*F115)/((J$10*F$10)-1)*costos!$F$11/3+((K115*F115)/(K$10*F$10)-1)*costos!$F$11/3+((U115*F115)/(U$10*F$10)-1)*costos!$F$11/3+((L115*F115)/(L$10*F$10)-1)*costos!$G$11+((V115*F115)/(V$10*F$10)-1)*costos!$J$11+((V115*F115)/(V$10*F$10)-1)*costos!$K$11)))</f>
        <v>9211.6799911874277</v>
      </c>
      <c r="CE115" s="268">
        <f>CE$10*(1+((H115/H$10-1)*costos!$B$12+((I115*F115)/(I$10*F$10)-1)*costos!$E$12+((J115*F115)/((J$10*F$10)-1)*costos!$F$12/3+((K115*F115)/(K$10*F$10)-1)*costos!$F$12/3+((U115*F115)/(U$10*F$10)-1)*costos!$F$12/3+((L115*F115)/(L$10*F$10)-1)*costos!$G$12+((W115*F115)/(W$10*F$10)-1)*costos!$J$12+((V115*F115)/(V$10*F$10)-1)*costos!$K$12)))</f>
        <v>9060.5421722560095</v>
      </c>
      <c r="CF115" s="268">
        <f>CF$10*(1+((H115/H$10-1)*costos!$B$13+((I115*F115)/(I$10*F$10)-1)*costos!$E$13+((J115*F115)/((J$10*F$10)-1)*costos!$F$13/3+((K115*F115)/(K$10*F$10)-1)*costos!$F$13/3+((U115*F115)/(U$10*F$10)-1)*costos!$F$13/3+((L115*F115)/(L$10*F$10)-1)*costos!$G$13+((X115*F115)/(X$10*F$10)-1)*costos!$J$13+((V115*F115)/(V$10*F$10)-1)*costos!$K$13)))</f>
        <v>9323.864128960251</v>
      </c>
      <c r="CG115" s="268">
        <f t="shared" si="447"/>
        <v>9043.7980490028949</v>
      </c>
      <c r="CH115" s="268">
        <f>CH$10*(1+((H115/H$10-1)*costos!$B$10+((I115*F115)/(I$10*F$10)-1)*costos!$E$10+((J115*F115)/((J$10*F$10)-1)*costos!$F$10/3+((K115*F115)/(K$10*F$10)-1)*costos!$F$10/3+((U115*F115)/(U$10*F$10)-1)*costos!$F$10/3+((L115*F115)/(L$10*F$10)-1)*costos!$G$10+((AF115)/(AF$10)-1)*costos!$J$10+((V115*F115)/(V$10*F$10)-1)*costos!$K$10)))</f>
        <v>10594.356323761589</v>
      </c>
      <c r="CI115" s="268">
        <f>CI$10*(1+((H115/H$10-1)*costos!$B$15+((I115*F115)/(I$10*F$10)-1)*costos!$E$15+((J115*F115)/((J$10*F$10)-1)*costos!$F$15/3+((K115*F115)/(K$10*F$10)-1)*costos!$F$15/3+((U115*F115)/(U$10*F$10)-1)*costos!$F$15/3+((L115*F115)/(L$10*F$10)-1)*costos!$G$15+((AV115)/(AV$10)-1)*costos!$J$15+((V115*F115)/(V$10*F$10)-1)*costos!$K$15)))</f>
        <v>10479.057138953476</v>
      </c>
      <c r="CJ115" s="268">
        <f>CJ$10*(1+((H115/H$10-1)*costos!$B$16+((I115*F115)/(I$10*F$10)-1)*costos!$E$16+((J115*F115)/((J$10*F$10)-1)*costos!$F$16/3+((K115*F115)/(K$10*F$10)-1)*costos!$F$16/3+((U115*F115)/(U$10*F$10)-1)*costos!$F$16/3+((L115*F115)/(L$10*F$10)-1)*costos!$G$16+((AW115)/(AW$10)-1)*costos!$J$16+((V115*F115)/(V$10*F$10)-1)*costos!$K$16)))</f>
        <v>7998.7145344691271</v>
      </c>
      <c r="CK115" s="268">
        <f>CK$10*(1+((H115/H$10-1)*costos!$B$17+((I115*F115)/(I$10*F$10)-1)*costos!$E$17+((J115*F115)/((J$10*F$10)-1)*costos!$F$17/3+((K115*F115)/(K$10*F$10)-1)*costos!$F$17/3+((U115*F115)/(U$10*F$10)-1)*costos!$F$17/3+((L115*F115)/(L$10*F$10)-1)*costos!$G$17+((AX115)/(AX$10)-1)*costos!$J$17+((V115*F115)/(V$10*F$10)-1)*costos!$K$17)))</f>
        <v>8913.4476552584438</v>
      </c>
      <c r="CL115" s="268">
        <f>CL$10*(1+((H115/H$10-1)*costos!$B$18+((I115*F115)/(I$10*F$10)-1)*costos!$E$18+((J115*F115)/((J$10*F$10)-1)*costos!$F$18/3+((K115*F115)/(K$10*F$10)-1)*costos!$F$18/3+((U115*F115)/(U$10*F$10)-1)*costos!$F$18/3+((L115*F115)/(L$10*F$10)-1)*costos!$G$18+((AY115)/(AY$10)-1)*costos!$J$18+((V115*F115)/(V$10*F$10)-1)*costos!$K$18)))</f>
        <v>12180.484388511642</v>
      </c>
      <c r="CM115" s="268">
        <f>CM$10*(1+((H115/H$10-1)*costos!$B$19+((I115*F115)/(I$10*F$10)-1)*costos!$E$19+((J115*F115)/((J$10*F$10)-1)*costos!$F$19/3+((K115*F115)/(K$10*F$10)-1)*costos!$F$19/3+((U115*F115)/(U$10*F$10)-1)*costos!$F$19/3+((L115*F115)/(L$10*F$10)-1)*costos!$G$19+((AZ115)/(AZ$10)-1)*costos!$J$19+((V115*F115)/(V$10*F$10)-1)*costos!$K$19)))</f>
        <v>9142.5921184595263</v>
      </c>
      <c r="CN115" s="268">
        <f>CN$10*(1+((H115/H$10-1)*costos!$B$20+((I115*F115)/(I$10*F$10)-1)*costos!$E$20+((J115*F115)/((J$10*F$10)-1)*costos!$F$20/3+((K115*F115)/(K$10*F$10)-1)*costos!$F$20/3+((U115*F115)/(U$10*F$10)-1)*costos!$F$20/3+((L115*F115)/(L$10*F$10)-1)*costos!$G$20+((BA115)/(BA$10)-1)*costos!$J$20+((V115*F115)/(V$10*F$10)-1)*costos!$K$20)))</f>
        <v>8712.1334992315715</v>
      </c>
      <c r="CO115" s="268">
        <f t="shared" si="448"/>
        <v>9737.164415365296</v>
      </c>
      <c r="CP115" s="268">
        <f>CP$10*(1+((H115/H$10-1)*costos!$B$22+((I115*F115)/(I$10*F$10)-1)*costos!$E$22+((J115*F115)/((J$10*F$10)-1)*costos!$F$22/3+((K115*F115)/(K$10*F$10)-1)*costos!$F$22/3+((U115*F115)/(U$10*F$10)-1)*costos!$F$22/3+((L115*F115)/(L$10*F$10)-1)*costos!$G$22+(((AVERAGE(AI115:AL115))/((AVERAGE(AI$10:AL$10))-1)*costos!$J$22+((V115*F115)/(V$10*F$10)-1)*costos!$K$22)))))</f>
        <v>10147.24887214535</v>
      </c>
      <c r="CQ115" s="92">
        <f>CQ$10*(1+((H115/H$10-1)*costos!$B$23+((I115*F115)/(I$10*F$10)-1)*costos!$E$23+((J115*F115)/((J$10*F$10)-1)*costos!$F$23/3+((K115*F115)/(K$10*F$10)-1)*costos!$F$23/3+((U115*F115)/(U$10*F$10)-1)*costos!$F$23/3+((L115*F115)/(L$10*F$10)-1)*costos!$G$23+((AN115)/(AN$10)-1)*costos!$J$23+((V115*F115)/(V$10*F$10)-1)*costos!$K$23)))</f>
        <v>8824.6499054162887</v>
      </c>
      <c r="CR115" s="268">
        <f>CR$10*(1+((H115/H$10-1)*costos!$B$24+((I115*F115)/(I$10*F$10)-1)*costos!$E$24+((J115*F115)/((J$10*F$10)-1)*costos!$F$24/3+((K115*F115)/(K$10*F$10)-1)*costos!$F$24/3+((U115*F115)/(U$10*F$10)-1)*costos!$F$24/3+((L115*F115)/(L$10*F$10)-1)*costos!$G$24+((AO115)/(AO$10)-1)*costos!$J$24+((V115*F115)/(V$10*F$10)-1)*costos!$K$24)))</f>
        <v>8982.8040272800899</v>
      </c>
      <c r="CS115" s="92">
        <f t="shared" si="352"/>
        <v>8903.7269663481893</v>
      </c>
      <c r="CT115" s="268">
        <f>CT$10*(1+((H115/H$10-1)*costos!$B$25+((I115*F115)/(I$10*F$10)-1)*costos!$E$25+((J115*F115)/((J$10*F$10)-1)*costos!$F$25/3+((K115*F115)/(K$10*F$10)-1)*costos!$F$25/3+((U115*F115)/(U$10*F$10)-1)*costos!$F$25/3+((L115*F115)/(L$10*F$10)-1)*costos!$G$25+((AQ115)/(AQ$10)-1)*costos!$J$25+((V115*F115)/(V$10*F$10)-1)*costos!$K$25)))</f>
        <v>8628.8529671699907</v>
      </c>
      <c r="CU115" s="268">
        <f>CU$10*(1+((H115/H$10-1)*costos!$B$26+((I115*F115)/(I$10*F$10)-1)*costos!$E$26+((J115*F115)/((J$10*F$10)-1)*costos!$F$26/3+((K115*F115)/(K$10*F$10)-1)*costos!$F$26/3+((U115*F115)/(U$10*F$10)-1)*costos!$F$26/3+((L115*F115)/(L$10*F$10)-1)*costos!$G$26+((AR115)/(AR$10)-1)*costos!$J$26+((V115*F115)/(V$10*F$10)-1)*costos!$K$26)))</f>
        <v>8468.9836535032755</v>
      </c>
      <c r="CV115" s="268">
        <f>CV$10*(1+((H115/H$10-1)*costos!$B$27+((I115*F115)/(I$10*F$10)-1)*costos!$E$27+((J115*F115)/((J$10*F$10)-1)*costos!$F$27/3+((K115*F115)/(K$10*F$10)-1)*costos!$F$27/3+((U115*F115)/(U$10*F$10)-1)*costos!$F$27/3+((L115*F115)/(L$10*F$10)-1)*costos!$G$27+((AS115)/(AS$10)-1)*costos!$J$27+((V115*F115)/(V$10*F$10)-1)*costos!$K$27)))</f>
        <v>8292.2173737277299</v>
      </c>
      <c r="CW115" s="268">
        <f>CW$10*(1+((H115/H$10-1)*costos!$B$28+((I115*F115)/(I$10*F$10)-1)*costos!$E$28+((J115*F115)/((J$10*F$10)-1)*costos!$F$28/3+((K115*F115)/(K$10*F$10)-1)*costos!$F$28/3+((U115*F115)/(U$10*F$10)-1)*costos!$F$28/3+((L115*F115)/(L$10*F$10)-1)*costos!$G$28+((AS115)/(AS$10)-1)*costos!$J$28+((V115*F115)/(V$10*F$10)-1)*costos!$K$28)))</f>
        <v>8292.2173737277299</v>
      </c>
      <c r="CX115" s="268">
        <f t="shared" si="449"/>
        <v>8351.1394669862457</v>
      </c>
      <c r="CY115" s="268">
        <f>CY$10*(1+((H115/H$10-1)*costos!$B$32+((I115*F115)/(I$10*F$10)-1)*costos!$E$32+((J115*F115)/((J$10*F$10)-1)*costos!$F$32/3+((K115*F115)/(K$10*F$10)-1)*costos!$F$32/3+((U115*F115)/(U$10*F$10)-1)*costos!$F$32/3+((L115*F115)/(L$10*F$10)-1)*costos!$G$32+((AG115)/(AG$10)-1)*costos!$J$32+((V115*F115)/(V$10*F$10)-1)*costos!$K$32)))</f>
        <v>8463.1439859001566</v>
      </c>
      <c r="CZ115" s="69">
        <f>CZ$10*(1+((H115/H$10-1)*costos!$B$31+((I115*F115)/(I$10*F$10)-1)*costos!$E$30+((J115*F115)/((J$10*F$10)-1)*costos!$F$30/3+((K115*F115)/(K$10*F$10)-1)*costos!$F$30/3+((U115*F115)/(U$10*F$10)-1)*costos!$F$30/3+((L115*F115)/(L$10*F$10)-1)*costos!$G$30+((BG115)/(BG$10)-1)*costos!$J$30+((V115*F115)/(V$10*F$10)-1)*costos!$K$30)))</f>
        <v>10714.323745999429</v>
      </c>
      <c r="DA115" s="69">
        <f>DA$10*(1+((H115/H$10-1)*costos!$B$31+((I115*F115)/(I$10*F$10)-1)*costos!$E$31+((J115*F115)/((J$10*F$10)-1)*costos!$F$31/3+((K115*F115)/(K$10*F$10)-1)*costos!$F$31/3+((U115*F115)/(U$10*F$10)-1)*costos!$F$31/3+((L115*F115)/(L$10*F$10)-1)*costos!$G$31+((BJ115)/(BJ$10)-1)*costos!$J$31+((V115*F115)/(V$10*F$10)-1)*costos!$K$31)))</f>
        <v>8753.2426000628275</v>
      </c>
      <c r="DB115" s="69">
        <f>DB$10*(1+((H115/H$10-1)*costos!$B$36+((I115*F115)/(I$10*F$10)-1)*costos!$E$36+((J115*F115)/((J$10*F$10)-1)*costos!$F$36/3+((K115*F115)/(K$10*F$10)-1)*costos!$F$36/3+((U115*F115)/(U$10*F$10)-1)*costos!$F$36/3+((L115*F115)/(L$10*F$10)-1)*costos!$G$36+((BK115)/(BK$10)-1)*costos!$J$36+((V115*F115)/(V$10*F$10)-1)*costos!$K$36)))</f>
        <v>8632.8057751582746</v>
      </c>
      <c r="DC115" s="69">
        <f>DC$10*(1+((H115/H$10-1)*costos!$B$37+((I115*F115)/(I$10*F$10)-1)*costos!$E$37+((U115*F115)/(U$10*F$10)-1)*costos!$F$37+((L115*F115)/(L$10*F$10)-1)*costos!$G$37+((BN115)/(BN$10)-1)*costos!$J$37+((V115*F115)/(V$10*F$10)-1)*costos!$K$37))</f>
        <v>9184.3571291359149</v>
      </c>
      <c r="DD115" s="69">
        <f>DD$10*(1+((H115/H$10-1)*costos!$B$39+((I115*F115)/(I$10*F$10)-1)*costos!$E$39+((U115*F115)/(U$10*F$10)-1)*costos!$F$39+((L115*F115)/(L$10*F$10)-1)*costos!$G$39+((BR115)/(BR$10)-1)*costos!$J$39+((V115*F115)/(V$10*F$10)-1)*costos!$K$39))</f>
        <v>8925.0663913680328</v>
      </c>
      <c r="DE115" s="69">
        <f>DD$10*(1+((H115/H$10-1)*costos!$B$35+((I115*F115)/(I$10*F$10)-1)*costos!$E$35+((U115*F115)/(U$10*F$10)-1)*costos!$F$35+((L115*F115)/(L$10*F$10)-1)*costos!$G$35+((BR115)/(BR$10)-1)*costos!$J$35+((V115*F115)/(V$10*F$10)-1)*costos!$K$35))</f>
        <v>7869.5203723700233</v>
      </c>
      <c r="DF115" s="69">
        <f>DF$10*(1+((H115/H$10-1)*costos!$B$40+((I115*F115)/(I$10*F$10)-1)*costos!$E$40+((U115*F115)/(U$10*F$10)-1)*costos!$F$40+((L115*F115)/(L$10*F$10)-1)*costos!$G$40+((BP115)/(BP$10)-1)*costos!$J$40+((V115*F115)/(V$10*F$10)-1)*costos!$K$40))</f>
        <v>9167.7548475897365</v>
      </c>
      <c r="DG115" s="268">
        <f t="shared" si="391"/>
        <v>8518.6376099798799</v>
      </c>
      <c r="DH115" s="69">
        <f>DH$10*(1+((H115/H$10-1)*costos!$B$34+((I115*F115)/(I$10*F$10)-1)*costos!$E$34+((J115*F115)/((J$10*F$10)-1)*costos!$F$34/3+((K115*F115)/(K$10*F$10)-1)*costos!$F$34/3+((U115*F115)/(U$10*F$10)-1)*costos!$F$34/3+((L115*F115)/(L$10*F$10)-1)*costos!$G$34+((BV115)/(BV$10)-1)*costos!$J$34+((V115*F115)/(V$10*F$10)-1)*costos!$K$34)))</f>
        <v>8684.1502266177595</v>
      </c>
      <c r="DI115" s="69">
        <f>DI$10*(1+((H115/H$10-1)*costos!$B$38+((I115*F115)/(I$10*F$10)-1)*costos!$E$38+((J115*F115)/((J$10*F$10)-1)*costos!$F$38/3+((K115*F115)/(K$10*F$10)-1)*costos!$F$38/3+((U115*F115)/(U$10*F$10)-1)*costos!$F$38/3+((L115*F115)/(L$10*F$10)-1)*costos!$G$38+((BU115)/(BU$10)-1)*costos!$J$38+((V115*F115)/(V$10*F$10)-1)*costos!$K$38)))</f>
        <v>8609.6506873121834</v>
      </c>
      <c r="DK115" s="1">
        <v>690000</v>
      </c>
      <c r="DL115" s="1" t="s">
        <v>512</v>
      </c>
      <c r="DM115" s="1">
        <v>220000</v>
      </c>
      <c r="DN115" s="1" t="s">
        <v>512</v>
      </c>
      <c r="DO115" s="1">
        <v>1500000</v>
      </c>
      <c r="DP115" s="1" t="s">
        <v>512</v>
      </c>
      <c r="DQ115" s="1">
        <v>2000000</v>
      </c>
      <c r="DR115" s="1" t="s">
        <v>512</v>
      </c>
      <c r="DS115" s="178">
        <v>6600000</v>
      </c>
      <c r="DT115" s="1" t="s">
        <v>512</v>
      </c>
      <c r="DU115" s="1">
        <v>17800000</v>
      </c>
      <c r="DV115" s="1" t="s">
        <v>512</v>
      </c>
      <c r="DW115" s="1">
        <v>1100000</v>
      </c>
      <c r="DX115" s="1" t="s">
        <v>512</v>
      </c>
      <c r="DY115" s="1">
        <v>6550000</v>
      </c>
      <c r="DZ115" s="1" t="s">
        <v>512</v>
      </c>
      <c r="EA115" s="79">
        <f t="shared" si="353"/>
        <v>35550000</v>
      </c>
      <c r="EB115" s="1">
        <v>521230</v>
      </c>
      <c r="EC115" s="1" t="s">
        <v>512</v>
      </c>
      <c r="ED115" s="1">
        <v>230256</v>
      </c>
      <c r="EE115" s="143">
        <v>2024</v>
      </c>
      <c r="EF115" s="1">
        <v>199946</v>
      </c>
      <c r="EG115" s="6">
        <v>2024</v>
      </c>
      <c r="EH115" s="1">
        <v>52783892</v>
      </c>
      <c r="EI115" s="6">
        <v>2024</v>
      </c>
      <c r="EJ115" s="1">
        <v>6115215</v>
      </c>
      <c r="EK115" s="6">
        <v>2024</v>
      </c>
      <c r="EL115" s="1">
        <v>12440906</v>
      </c>
      <c r="EM115" s="6">
        <v>2024</v>
      </c>
      <c r="EN115" s="1">
        <v>3169981</v>
      </c>
      <c r="EO115" s="6">
        <v>2021</v>
      </c>
      <c r="EP115" s="83">
        <v>9082</v>
      </c>
      <c r="EQ115" s="83">
        <v>3500000</v>
      </c>
      <c r="ER115" s="1">
        <f t="shared" si="430"/>
        <v>80248</v>
      </c>
      <c r="ES115" s="1"/>
      <c r="ET115" s="83">
        <f t="shared" si="451"/>
        <v>19357</v>
      </c>
      <c r="EU115" s="83">
        <f t="shared" si="451"/>
        <v>18703</v>
      </c>
      <c r="EV115" s="83">
        <f t="shared" si="451"/>
        <v>8927</v>
      </c>
      <c r="EW115" s="83">
        <f t="shared" si="451"/>
        <v>17408</v>
      </c>
      <c r="EX115" s="79">
        <f t="shared" si="354"/>
        <v>64395</v>
      </c>
      <c r="EY115" s="83">
        <f t="shared" si="394"/>
        <v>20031</v>
      </c>
      <c r="EZ115" s="83">
        <f t="shared" si="394"/>
        <v>34815</v>
      </c>
      <c r="FA115" s="83">
        <f t="shared" si="431"/>
        <v>19900</v>
      </c>
      <c r="FB115" s="83">
        <f t="shared" si="406"/>
        <v>18184</v>
      </c>
      <c r="FC115" s="79">
        <f t="shared" si="452"/>
        <v>38084</v>
      </c>
      <c r="FD115" s="83">
        <f t="shared" si="395"/>
        <v>60376</v>
      </c>
      <c r="FE115" s="1"/>
      <c r="FF115" s="1">
        <v>1300000</v>
      </c>
      <c r="FG115" s="1" t="s">
        <v>410</v>
      </c>
      <c r="FH115" s="1">
        <v>1300000</v>
      </c>
      <c r="FI115" s="1" t="s">
        <v>410</v>
      </c>
      <c r="FJ115" s="1">
        <v>5100000</v>
      </c>
      <c r="FK115" s="1" t="s">
        <v>410</v>
      </c>
      <c r="FL115" s="1">
        <v>3900000</v>
      </c>
      <c r="FM115" s="1" t="s">
        <v>410</v>
      </c>
      <c r="FN115" s="1">
        <v>46500000</v>
      </c>
      <c r="FO115" s="1" t="s">
        <v>410</v>
      </c>
      <c r="FP115" s="1">
        <v>48200000</v>
      </c>
      <c r="FQ115" s="1" t="s">
        <v>410</v>
      </c>
      <c r="FR115" s="1">
        <v>2500000</v>
      </c>
      <c r="FS115" s="1" t="s">
        <v>410</v>
      </c>
      <c r="FT115" s="1">
        <v>15853000</v>
      </c>
      <c r="FU115" s="1" t="s">
        <v>410</v>
      </c>
      <c r="FV115" s="79">
        <f t="shared" si="355"/>
        <v>122053000</v>
      </c>
      <c r="FW115" s="1">
        <v>1604722</v>
      </c>
      <c r="FX115" s="1" t="s">
        <v>410</v>
      </c>
      <c r="FY115" s="1">
        <v>0</v>
      </c>
      <c r="FZ115" s="79">
        <f t="shared" si="377"/>
        <v>1006571.5</v>
      </c>
      <c r="GA115" s="86" t="str">
        <f t="shared" si="378"/>
        <v>nov23 oct24</v>
      </c>
      <c r="GB115" s="1">
        <v>19189740</v>
      </c>
      <c r="GC115" s="6">
        <v>2024</v>
      </c>
      <c r="GD115" s="1">
        <v>1714000</v>
      </c>
      <c r="GE115" s="1">
        <v>424000</v>
      </c>
      <c r="GF115" s="1">
        <v>1165000</v>
      </c>
      <c r="GG115" s="1">
        <v>145000</v>
      </c>
      <c r="GH115" s="79">
        <f t="shared" si="450"/>
        <v>1734000</v>
      </c>
      <c r="GI115" s="82">
        <f t="shared" si="453"/>
        <v>1302556</v>
      </c>
      <c r="GJ115" s="83">
        <f t="shared" si="453"/>
        <v>682423</v>
      </c>
      <c r="GK115" s="83">
        <f t="shared" si="453"/>
        <v>1391495</v>
      </c>
      <c r="GL115" s="83">
        <f t="shared" si="453"/>
        <v>305049</v>
      </c>
      <c r="GM115" s="83">
        <f t="shared" si="453"/>
        <v>260419</v>
      </c>
      <c r="GN115" s="79">
        <f t="shared" si="357"/>
        <v>2639386</v>
      </c>
      <c r="GO115" s="83">
        <f>+GO114</f>
        <v>201734</v>
      </c>
      <c r="GP115" s="83">
        <f t="shared" si="416"/>
        <v>69297</v>
      </c>
      <c r="GQ115" s="1">
        <v>36514</v>
      </c>
      <c r="GR115" s="1">
        <v>34035</v>
      </c>
      <c r="GS115" s="79">
        <f t="shared" si="412"/>
        <v>35130.42</v>
      </c>
      <c r="GT115" s="83">
        <f t="shared" si="407"/>
        <v>2111561</v>
      </c>
      <c r="GU115" s="1">
        <v>22733</v>
      </c>
      <c r="GV115" s="1">
        <v>29584</v>
      </c>
      <c r="GW115" s="79">
        <f t="shared" si="455"/>
        <v>749630</v>
      </c>
      <c r="GX115" s="1">
        <v>30804.553</v>
      </c>
      <c r="GY115" s="1" t="s">
        <v>436</v>
      </c>
      <c r="GZ115" s="1">
        <v>80786</v>
      </c>
      <c r="HA115" s="83">
        <v>293000</v>
      </c>
      <c r="HB115" s="79">
        <f t="shared" si="437"/>
        <v>3151524</v>
      </c>
      <c r="HC115" s="86" t="str">
        <f t="shared" si="379"/>
        <v>nov23 oct24</v>
      </c>
      <c r="HD115" s="1">
        <v>66745</v>
      </c>
      <c r="HE115" s="79">
        <f t="shared" si="380"/>
        <v>782321</v>
      </c>
      <c r="HF115" s="86" t="str">
        <f t="shared" si="381"/>
        <v>nov23 oct24</v>
      </c>
      <c r="HG115" s="1">
        <v>205000</v>
      </c>
      <c r="HH115" s="79">
        <f t="shared" si="438"/>
        <v>2298000</v>
      </c>
      <c r="HI115" s="86" t="str">
        <f t="shared" si="382"/>
        <v>nov23 oct24</v>
      </c>
      <c r="HJ115" s="1">
        <v>88170</v>
      </c>
      <c r="HK115" s="79">
        <f t="shared" si="278"/>
        <v>64594.342299286793</v>
      </c>
      <c r="HL115" s="86" t="str">
        <f t="shared" si="383"/>
        <v>nov23 oct24</v>
      </c>
      <c r="HM115" s="79">
        <f t="shared" si="358"/>
        <v>2362594.3422992867</v>
      </c>
      <c r="HN115" s="87">
        <f t="shared" si="297"/>
        <v>-4.7887429643527213E-2</v>
      </c>
      <c r="HO115" s="1">
        <v>1014952000</v>
      </c>
      <c r="HP115" s="79">
        <f t="shared" si="386"/>
        <v>10311.198656900922</v>
      </c>
      <c r="HQ115" s="86" t="str">
        <f t="shared" si="384"/>
        <v>nov23 oct24</v>
      </c>
      <c r="HR115" s="1"/>
      <c r="HS115" s="1"/>
      <c r="HT115" s="1"/>
      <c r="HU115" s="1">
        <v>700000</v>
      </c>
      <c r="HV115" s="1" t="s">
        <v>410</v>
      </c>
      <c r="HW115" s="1">
        <v>1500000</v>
      </c>
      <c r="HX115" s="1" t="s">
        <v>410</v>
      </c>
      <c r="HY115" s="1">
        <v>4600000</v>
      </c>
      <c r="HZ115" s="1" t="s">
        <v>410</v>
      </c>
      <c r="IA115" s="1">
        <f t="shared" si="456"/>
        <v>21600000</v>
      </c>
      <c r="IB115" s="1" t="s">
        <v>410</v>
      </c>
      <c r="IC115" s="1">
        <v>45000000</v>
      </c>
      <c r="ID115" s="1" t="s">
        <v>410</v>
      </c>
      <c r="IE115" s="1">
        <v>1500000</v>
      </c>
      <c r="IF115" s="1" t="s">
        <v>410</v>
      </c>
      <c r="IG115" s="1">
        <f t="shared" si="415"/>
        <v>7400000</v>
      </c>
      <c r="IH115" s="1" t="s">
        <v>410</v>
      </c>
      <c r="II115" s="79">
        <f t="shared" si="359"/>
        <v>81600000</v>
      </c>
      <c r="IJ115" s="97">
        <f t="shared" si="434"/>
        <v>2.1563835150032644</v>
      </c>
      <c r="IK115" s="1" t="s">
        <v>410</v>
      </c>
      <c r="IL115" s="7">
        <v>44.44</v>
      </c>
      <c r="IM115" s="7">
        <v>47.74</v>
      </c>
      <c r="IN115" s="95">
        <v>160.6</v>
      </c>
      <c r="IO115" s="7">
        <v>16.87</v>
      </c>
      <c r="IP115" s="176">
        <f t="shared" si="432"/>
        <v>5.5693606783423002</v>
      </c>
      <c r="IQ115" s="176">
        <v>16.3</v>
      </c>
      <c r="IR115" s="478">
        <f t="shared" si="457"/>
        <v>6.09</v>
      </c>
      <c r="IS115" s="478">
        <f t="shared" si="457"/>
        <v>4.03</v>
      </c>
      <c r="IT115" s="478">
        <f t="shared" si="457"/>
        <v>11.98</v>
      </c>
      <c r="IU115" s="478">
        <f t="shared" si="457"/>
        <v>1.38</v>
      </c>
      <c r="IV115" s="94">
        <f t="shared" si="360"/>
        <v>17.39</v>
      </c>
      <c r="IW115" s="1"/>
      <c r="IX115" s="1"/>
      <c r="IY115" s="80">
        <v>1.88</v>
      </c>
      <c r="IZ115" s="88">
        <v>0.3</v>
      </c>
      <c r="JA115" s="1">
        <v>2813</v>
      </c>
      <c r="JB115" s="95">
        <f t="shared" si="433"/>
        <v>35.950000000000003</v>
      </c>
      <c r="JC115" s="1"/>
      <c r="JD115" s="1"/>
      <c r="JF115" s="2">
        <v>17.696202909999993</v>
      </c>
      <c r="JG115" s="2">
        <v>22.506187060000002</v>
      </c>
      <c r="JH115" s="2">
        <v>93.94871624000001</v>
      </c>
      <c r="JI115" s="2">
        <v>194.06991567</v>
      </c>
      <c r="JJ115" s="2">
        <v>622.13819530000001</v>
      </c>
      <c r="JK115" s="2">
        <v>142.09253510999997</v>
      </c>
      <c r="JL115" s="2">
        <v>2463.2463241800001</v>
      </c>
      <c r="JM115" s="2">
        <v>19.034479449999999</v>
      </c>
      <c r="JN115" s="2">
        <v>93.279693350000002</v>
      </c>
      <c r="JO115" s="2">
        <v>38.158354570000007</v>
      </c>
      <c r="JP115" s="2">
        <v>0</v>
      </c>
      <c r="JQ115" s="2">
        <v>2.5000000000000001E-3</v>
      </c>
      <c r="JR115" s="2">
        <v>1.6822322700000001</v>
      </c>
      <c r="JS115" s="2">
        <v>0</v>
      </c>
      <c r="JT115" s="2">
        <v>1.7500000000000002E-2</v>
      </c>
      <c r="JU115" s="2">
        <v>88.790830600000021</v>
      </c>
      <c r="JV115" s="2">
        <v>9.5181649300000011</v>
      </c>
      <c r="JW115" s="2">
        <v>11.455335140000001</v>
      </c>
      <c r="JX115" s="2">
        <v>13.125980849999999</v>
      </c>
      <c r="JY115" s="2">
        <v>0</v>
      </c>
      <c r="JZ115" s="2">
        <v>16.937422650000002</v>
      </c>
      <c r="KA115" s="2">
        <v>0.1825</v>
      </c>
      <c r="KB115" s="2">
        <v>17.7783984</v>
      </c>
      <c r="KC115" s="2">
        <v>41.640055749999995</v>
      </c>
      <c r="KD115" s="2">
        <v>11.361751129999998</v>
      </c>
      <c r="KE115" s="2">
        <v>24.378519029999993</v>
      </c>
      <c r="KF115" s="2">
        <v>20.968439010000004</v>
      </c>
      <c r="KG115" s="2">
        <v>373.60267999999996</v>
      </c>
      <c r="KH115" s="2">
        <v>162.27196751000002</v>
      </c>
      <c r="KI115" s="2">
        <v>15.390557059999999</v>
      </c>
      <c r="KJ115" s="2">
        <v>3.1723580499999997</v>
      </c>
      <c r="KK115" s="171">
        <v>5.8112020999999991</v>
      </c>
      <c r="KL115" s="171">
        <v>0.50490091999999998</v>
      </c>
      <c r="KM115" s="171">
        <v>0.17006911999999999</v>
      </c>
      <c r="KN115" s="171">
        <v>4.6644499999999997E-3</v>
      </c>
      <c r="KO115" s="171">
        <v>3.9101114900000002</v>
      </c>
      <c r="KP115" s="171">
        <v>1.6271E-3</v>
      </c>
      <c r="KQ115" s="171">
        <v>294.08894190000001</v>
      </c>
      <c r="KR115" s="171">
        <v>0.95043706000000006</v>
      </c>
      <c r="KS115" s="171">
        <v>6.2662639999999992E-2</v>
      </c>
      <c r="KT115" s="171">
        <v>1.0529063700000001</v>
      </c>
      <c r="KU115" s="171">
        <v>0.15169276000000001</v>
      </c>
      <c r="KV115" s="171">
        <v>1.9386618</v>
      </c>
      <c r="KW115" s="171">
        <v>1.86195746</v>
      </c>
      <c r="KX115" s="171">
        <v>0</v>
      </c>
      <c r="KY115" s="171">
        <v>0.91323979</v>
      </c>
      <c r="KZ115" s="171">
        <v>2.9628047099999995</v>
      </c>
      <c r="LA115" s="171">
        <v>0.32242746</v>
      </c>
      <c r="LB115" s="171">
        <v>0</v>
      </c>
      <c r="LC115" s="171">
        <v>0.72071558999999996</v>
      </c>
      <c r="LD115" s="171">
        <v>0</v>
      </c>
      <c r="LE115" s="171">
        <v>1.6639999999999999E-3</v>
      </c>
      <c r="LF115" s="171">
        <v>0.22323465000000001</v>
      </c>
      <c r="LG115" s="171">
        <v>15.589800310000003</v>
      </c>
      <c r="LH115" s="171">
        <v>5.7062324599999998</v>
      </c>
      <c r="LI115" s="171">
        <v>2.6101839400000002</v>
      </c>
      <c r="LJ115" s="171">
        <v>0</v>
      </c>
      <c r="LK115" s="171">
        <v>4.0425458900000004</v>
      </c>
      <c r="LL115" s="171">
        <v>3.9160438699999998</v>
      </c>
      <c r="LM115" s="171">
        <v>0.92402921999999987</v>
      </c>
      <c r="LN115" s="171">
        <v>0.29342396000000004</v>
      </c>
      <c r="LO115" s="171">
        <v>10.87912704</v>
      </c>
      <c r="LQ115" s="85">
        <f t="shared" si="439"/>
        <v>3485.71732419</v>
      </c>
      <c r="LR115" s="85">
        <f t="shared" si="440"/>
        <v>1.7022322700000001</v>
      </c>
      <c r="LS115" s="85">
        <v>25.188374430000003</v>
      </c>
      <c r="LT115" s="85">
        <f t="shared" si="442"/>
        <v>17.119922650000003</v>
      </c>
      <c r="LU115" s="85">
        <f t="shared" si="443"/>
        <v>299.18688666000003</v>
      </c>
      <c r="LV115" s="85">
        <f t="shared" si="444"/>
        <v>4.7138590499999999</v>
      </c>
      <c r="LW115" s="85">
        <v>7.9820000000000002E-2</v>
      </c>
      <c r="LX115" s="85">
        <f t="shared" si="446"/>
        <v>0.22489865000000001</v>
      </c>
      <c r="LZ115" s="83">
        <v>1344.39</v>
      </c>
      <c r="MA115" s="83">
        <v>2285.88</v>
      </c>
      <c r="MB115"/>
      <c r="MC115"/>
      <c r="MD115"/>
      <c r="MF115"/>
      <c r="MG115"/>
      <c r="MH115" s="83">
        <v>2948.01</v>
      </c>
      <c r="MI115" s="83">
        <v>815.9</v>
      </c>
      <c r="MJ115" s="83">
        <v>1393.92</v>
      </c>
      <c r="MK115"/>
      <c r="ML115" s="83">
        <v>1301.44</v>
      </c>
      <c r="MM115" s="83">
        <v>2953.78</v>
      </c>
      <c r="MN115" s="83"/>
      <c r="MO115" s="83">
        <v>1158.6300000000001</v>
      </c>
      <c r="MP115" s="83">
        <v>2162.88</v>
      </c>
      <c r="MQ115" s="83">
        <v>2293.34</v>
      </c>
      <c r="MR115"/>
      <c r="MT115" s="83"/>
      <c r="MU115" s="83">
        <v>841.26</v>
      </c>
      <c r="MV115"/>
      <c r="MW115"/>
      <c r="MX115"/>
      <c r="MY115" s="83">
        <v>2199.79</v>
      </c>
      <c r="MZ115" s="83">
        <v>5353</v>
      </c>
      <c r="NA115" s="83">
        <v>2862</v>
      </c>
      <c r="NB115" s="83">
        <v>7585</v>
      </c>
      <c r="NC115" s="83">
        <v>1390.63</v>
      </c>
      <c r="ND115" s="1">
        <v>9800</v>
      </c>
      <c r="NE115" s="1">
        <v>5682</v>
      </c>
    </row>
    <row r="116" spans="1:369">
      <c r="A116" s="38">
        <f t="shared" si="417"/>
        <v>45597</v>
      </c>
      <c r="B116" s="36">
        <f t="shared" si="428"/>
        <v>11</v>
      </c>
      <c r="C116" s="36">
        <f t="shared" si="429"/>
        <v>2024</v>
      </c>
      <c r="D116" s="36">
        <f t="shared" si="347"/>
        <v>116</v>
      </c>
      <c r="E116" s="38">
        <f t="shared" si="418"/>
        <v>45597</v>
      </c>
      <c r="F116" s="7">
        <f>+(981.2+1021.29)/2</f>
        <v>1001.245</v>
      </c>
      <c r="G116" s="7">
        <v>7491.4</v>
      </c>
      <c r="H116" s="1">
        <f>[2]NACIONALES!$D104</f>
        <v>702180.75482959265</v>
      </c>
      <c r="I116" s="7">
        <v>111</v>
      </c>
      <c r="J116" s="7">
        <v>550</v>
      </c>
      <c r="K116" s="7">
        <v>4.5</v>
      </c>
      <c r="L116" s="7">
        <v>36.299999999999997</v>
      </c>
      <c r="N116" s="5">
        <f>+(1.67+1.66+1.64)/3</f>
        <v>1.6566666666666665</v>
      </c>
      <c r="O116" s="5">
        <f>+(1.29+1.29+1.24)/3</f>
        <v>1.2733333333333334</v>
      </c>
      <c r="P116" s="78">
        <f t="shared" si="398"/>
        <v>1393.4827287499998</v>
      </c>
      <c r="Q116" s="6">
        <v>35000</v>
      </c>
      <c r="R116" s="79">
        <f t="shared" si="419"/>
        <v>350000</v>
      </c>
      <c r="S116" s="143">
        <f>173700/F116</f>
        <v>173.48401240455632</v>
      </c>
      <c r="T116" s="279">
        <v>360.56</v>
      </c>
      <c r="U116" s="188">
        <v>185</v>
      </c>
      <c r="V116" s="143">
        <v>302.10000000000002</v>
      </c>
      <c r="W116">
        <v>213</v>
      </c>
      <c r="X116" s="6">
        <v>195</v>
      </c>
      <c r="Y116" s="79">
        <f t="shared" si="420"/>
        <v>173700</v>
      </c>
      <c r="Z116" s="79">
        <f t="shared" si="421"/>
        <v>361008.89720000001</v>
      </c>
      <c r="AA116" s="79">
        <f t="shared" si="422"/>
        <v>185230.32500000001</v>
      </c>
      <c r="AB116" s="79">
        <f t="shared" si="423"/>
        <v>302476.11450000003</v>
      </c>
      <c r="AC116" s="79">
        <f t="shared" si="424"/>
        <v>213265.185</v>
      </c>
      <c r="AD116" s="79">
        <f t="shared" si="425"/>
        <v>195242.77499999999</v>
      </c>
      <c r="AE116" s="79">
        <f t="shared" si="426"/>
        <v>238487.21611666665</v>
      </c>
      <c r="AF116" s="1">
        <v>886336.5</v>
      </c>
      <c r="AG116" s="1">
        <v>165000</v>
      </c>
      <c r="AH116" s="1">
        <v>950000</v>
      </c>
      <c r="AI116" s="5">
        <v>422.87</v>
      </c>
      <c r="AJ116" s="5">
        <v>371</v>
      </c>
      <c r="AK116" s="5">
        <v>282.23</v>
      </c>
      <c r="AL116" s="5">
        <v>265.25</v>
      </c>
      <c r="AM116" s="78">
        <f t="shared" ref="AM116:AM141" si="458">+AI116*0.46+AJ116*0.04+AK116*0.26+AL116*0.24</f>
        <v>346.4</v>
      </c>
      <c r="AN116" s="97">
        <v>31652.82</v>
      </c>
      <c r="AO116" s="97">
        <v>20343.96</v>
      </c>
      <c r="AP116" s="78">
        <f t="shared" si="385"/>
        <v>20343.96</v>
      </c>
      <c r="AQ116" s="97">
        <v>25603.920000000002</v>
      </c>
      <c r="AR116" s="97">
        <v>13784.039999999999</v>
      </c>
      <c r="AS116" s="97">
        <v>9979.1999999999989</v>
      </c>
      <c r="AT116" s="7">
        <v>14934.21052631579</v>
      </c>
      <c r="AU116" s="78">
        <f t="shared" si="348"/>
        <v>12899.150175438597</v>
      </c>
      <c r="AV116" s="97">
        <v>13858.4</v>
      </c>
      <c r="AW116" s="7">
        <v>9250</v>
      </c>
      <c r="AX116" s="97">
        <v>5494</v>
      </c>
      <c r="AY116" s="97">
        <v>11276.28</v>
      </c>
      <c r="AZ116" s="97">
        <v>12202.920000000002</v>
      </c>
      <c r="BA116" s="7">
        <v>13000</v>
      </c>
      <c r="BB116" s="94">
        <f t="shared" si="345"/>
        <v>11145.5</v>
      </c>
      <c r="BC116" s="166">
        <v>36962</v>
      </c>
      <c r="BD116" s="166">
        <v>33266</v>
      </c>
      <c r="BE116" s="7">
        <v>26500</v>
      </c>
      <c r="BF116" s="7">
        <v>19000</v>
      </c>
      <c r="BG116" s="94">
        <f t="shared" si="349"/>
        <v>28932</v>
      </c>
      <c r="BH116" s="280">
        <v>2820</v>
      </c>
      <c r="BI116" s="97">
        <f t="shared" si="454"/>
        <v>855</v>
      </c>
      <c r="BJ116" s="78">
        <f t="shared" si="350"/>
        <v>3675</v>
      </c>
      <c r="BK116" s="7">
        <v>2130.9299999999998</v>
      </c>
      <c r="BL116" s="7">
        <v>2770.06</v>
      </c>
      <c r="BM116" s="94">
        <f t="shared" si="351"/>
        <v>2450.4949999999999</v>
      </c>
      <c r="BN116" s="5">
        <v>439.73</v>
      </c>
      <c r="BO116" s="84">
        <v>2137.7600000000002</v>
      </c>
      <c r="BP116" s="84">
        <v>1477.77</v>
      </c>
      <c r="BQ116" s="94">
        <f t="shared" si="435"/>
        <v>1807.7650000000001</v>
      </c>
      <c r="BR116" s="7">
        <v>1464.03</v>
      </c>
      <c r="BS116" s="7">
        <v>4850</v>
      </c>
      <c r="BT116" s="7">
        <f>1.09*F116</f>
        <v>1091.3570500000001</v>
      </c>
      <c r="BU116" s="79">
        <f t="shared" si="436"/>
        <v>61474.071150000003</v>
      </c>
      <c r="BV116" s="7">
        <v>1776</v>
      </c>
      <c r="BW116" s="7">
        <v>2588.5</v>
      </c>
      <c r="BY116" s="268">
        <f>BY$10*(1+((H116/H$10-1)*costos!$B$5+((I116*F116)/(I$10*F$10)-1)*costos!$E$5+((J116*F116)/((J$10*F$10)-1)*costos!$F$5/3+((K116*F116)/(K$10*F$10)-1)*costos!$F$5/3+((U116*F116)/(U$10*F$10)-1)*costos!$F$5/3+((L116*F116)/(L$10*F$10)-1)*costos!$G$5+((N116*F116)/(N$10*F$10)-1)*costos!$J$5+((V116*F116)/(V$10*F$10)-1)*costos!$K$5)))</f>
        <v>9314.8522914416717</v>
      </c>
      <c r="BZ116" s="268">
        <f>$BZ$10*(1+((H116/$H$10-1)*costos!$B$6+((I116*F116)/($I$10*$F$10)-1)*costos!$E$6+((J116*F116)/(($J$10*$F$10)-1)*costos!$F$6/3+((K116*F116)/($K$10*$F$10)-1)*costos!$F$6/3+((U116*F116)/($U$10*$F$10)-1)*costos!$F$6/3+((L116*F116)/($L$10*$F$10)-1)*costos!$G$6+((Q116*F116)/($Q$10*$F$10)-1)*costos!$J$6+((V116*F116)/($V$10*$F$10)-1)*costos!$K$6)))</f>
        <v>8788.7348669384846</v>
      </c>
      <c r="CA116" s="268">
        <f>CA$10*(1+((H116/H$10-1)*costos!$B$7+((I116*F116)/(I$10*F$10)-1)*costos!$E$7+((J116*F116)/((J$10*F$10)-1)*costos!$F$7/3+((K116*F116)/(K$10*F$10)-1)*costos!$F$7/3+((U116*F116)/(U$10*F$10)-1)*costos!$F$7/3+((L116*F116)/(L$10*F$10)-1)*costos!$G$7+((S116*F116)/(S$10*F$10)-1)*costos!$J$7+((V116*F116)/(V$10*F$10)-1)*costos!$K$7)))</f>
        <v>8899.3479314401575</v>
      </c>
      <c r="CB116" s="268">
        <f>CB$10*(1+((H116/H$10-1)*costos!$B$8+((I116*F116)/(I$10*F$10)-1)*costos!$E$8+((J116*F116)/((J$10*F$10)-1)*costos!$F$8/3+((K116*F116)/(K$10*F$10)-1)*costos!$F$8/3+((U116*F116)/(U$10*F$10)-1)*costos!$F$8/3+((L116*F116)/(L$10*F$10)-1)*costos!$G$8+((T116*F116)/(T$10*F$10)-1)*costos!$J$8+((V116*F116)/(V$10*F$10)-1)*costos!$K$8)))</f>
        <v>9182.4263435215089</v>
      </c>
      <c r="CC116" s="268">
        <f>CC$10*(1+((H116/H$10-1)*costos!$B$9+((I116*F116)/(I$10*F$10)-1)*costos!$E$9+((J116*F116)/((J$10*F$10)-1)*costos!$F$9/3+((K116*F116)/(K$10*F$10)-1)*costos!$F$9/3+((U116*F116)/(U$10*F$10)-1)*costos!$F$9/3+((L116*F116)/(L$10*F$10)-1)*costos!$G$9+((U116*F116)/(U$10*F$10)-1)*costos!$J$9+((V116*F116)/(V$10*F$10)-1)*costos!$K$9)))</f>
        <v>9008.3866839156017</v>
      </c>
      <c r="CD116" s="268">
        <f>CD$10*(1+((H116/H$10-1)*costos!$B$11+((I116*F116)/(I$10*F$10)-1)*costos!$E$11+((J116*F116)/((J$10*F$10)-1)*costos!$F$11/3+((K116*F116)/(K$10*F$10)-1)*costos!$F$11/3+((U116*F116)/(U$10*F$10)-1)*costos!$F$11/3+((L116*F116)/(L$10*F$10)-1)*costos!$G$11+((V116*F116)/(V$10*F$10)-1)*costos!$J$11+((V116*F116)/(V$10*F$10)-1)*costos!$K$11)))</f>
        <v>9158.386298788364</v>
      </c>
      <c r="CE116" s="268">
        <f>CE$10*(1+((H116/H$10-1)*costos!$B$12+((I116*F116)/(I$10*F$10)-1)*costos!$E$12+((J116*F116)/((J$10*F$10)-1)*costos!$F$12/3+((K116*F116)/(K$10*F$10)-1)*costos!$F$12/3+((U116*F116)/(U$10*F$10)-1)*costos!$F$12/3+((L116*F116)/(L$10*F$10)-1)*costos!$G$12+((W116*F116)/(W$10*F$10)-1)*costos!$J$12+((V116*F116)/(V$10*F$10)-1)*costos!$K$12)))</f>
        <v>9423.4085409474974</v>
      </c>
      <c r="CF116" s="268">
        <f>CF$10*(1+((H116/H$10-1)*costos!$B$13+((I116*F116)/(I$10*F$10)-1)*costos!$E$13+((J116*F116)/((J$10*F$10)-1)*costos!$F$13/3+((K116*F116)/(K$10*F$10)-1)*costos!$F$13/3+((U116*F116)/(U$10*F$10)-1)*costos!$F$13/3+((L116*F116)/(L$10*F$10)-1)*costos!$G$13+((X116*F116)/(X$10*F$10)-1)*costos!$J$13+((V116*F116)/(V$10*F$10)-1)*costos!$K$13)))</f>
        <v>9190.1960175436434</v>
      </c>
      <c r="CG116" s="268">
        <f t="shared" si="447"/>
        <v>9143.6919693594609</v>
      </c>
      <c r="CH116" s="268">
        <f>CH$10*(1+((H116/H$10-1)*costos!$B$10+((I116*F116)/(I$10*F$10)-1)*costos!$E$10+((J116*F116)/((J$10*F$10)-1)*costos!$F$10/3+((K116*F116)/(K$10*F$10)-1)*costos!$F$10/3+((U116*F116)/(U$10*F$10)-1)*costos!$F$10/3+((L116*F116)/(L$10*F$10)-1)*costos!$G$10+((AF116)/(AF$10)-1)*costos!$J$10+((V116*F116)/(V$10*F$10)-1)*costos!$K$10)))</f>
        <v>10678.578185153177</v>
      </c>
      <c r="CI116" s="268">
        <f>CI$10*(1+((H116/H$10-1)*costos!$B$15+((I116*F116)/(I$10*F$10)-1)*costos!$E$15+((J116*F116)/((J$10*F$10)-1)*costos!$F$15/3+((K116*F116)/(K$10*F$10)-1)*costos!$F$15/3+((U116*F116)/(U$10*F$10)-1)*costos!$F$15/3+((L116*F116)/(L$10*F$10)-1)*costos!$G$15+((AV116)/(AV$10)-1)*costos!$J$15+((V116*F116)/(V$10*F$10)-1)*costos!$K$15)))</f>
        <v>10430.040372757559</v>
      </c>
      <c r="CJ116" s="268">
        <f>CJ$10*(1+((H116/H$10-1)*costos!$B$16+((I116*F116)/(I$10*F$10)-1)*costos!$E$16+((J116*F116)/((J$10*F$10)-1)*costos!$F$16/3+((K116*F116)/(K$10*F$10)-1)*costos!$F$16/3+((U116*F116)/(U$10*F$10)-1)*costos!$F$16/3+((L116*F116)/(L$10*F$10)-1)*costos!$G$16+((AW116)/(AW$10)-1)*costos!$J$16+((V116*F116)/(V$10*F$10)-1)*costos!$K$16)))</f>
        <v>8245.3727516938416</v>
      </c>
      <c r="CK116" s="268">
        <f>CK$10*(1+((H116/H$10-1)*costos!$B$17+((I116*F116)/(I$10*F$10)-1)*costos!$E$17+((J116*F116)/((J$10*F$10)-1)*costos!$F$17/3+((K116*F116)/(K$10*F$10)-1)*costos!$F$17/3+((U116*F116)/(U$10*F$10)-1)*costos!$F$17/3+((L116*F116)/(L$10*F$10)-1)*costos!$G$17+((AX116)/(AX$10)-1)*costos!$J$17+((V116*F116)/(V$10*F$10)-1)*costos!$K$17)))</f>
        <v>8579.1212507452601</v>
      </c>
      <c r="CL116" s="268">
        <f>CL$10*(1+((H116/H$10-1)*costos!$B$18+((I116*F116)/(I$10*F$10)-1)*costos!$E$18+((J116*F116)/((J$10*F$10)-1)*costos!$F$18/3+((K116*F116)/(K$10*F$10)-1)*costos!$F$18/3+((U116*F116)/(U$10*F$10)-1)*costos!$F$18/3+((L116*F116)/(L$10*F$10)-1)*costos!$G$18+((AY116)/(AY$10)-1)*costos!$J$18+((V116*F116)/(V$10*F$10)-1)*costos!$K$18)))</f>
        <v>9650.4660534803243</v>
      </c>
      <c r="CM116" s="268">
        <f>CM$10*(1+((H116/H$10-1)*costos!$B$19+((I116*F116)/(I$10*F$10)-1)*costos!$E$19+((J116*F116)/((J$10*F$10)-1)*costos!$F$19/3+((K116*F116)/(K$10*F$10)-1)*costos!$F$19/3+((U116*F116)/(U$10*F$10)-1)*costos!$F$19/3+((L116*F116)/(L$10*F$10)-1)*costos!$G$19+((AZ116)/(AZ$10)-1)*costos!$J$19+((V116*F116)/(V$10*F$10)-1)*costos!$K$19)))</f>
        <v>9421.1608468123559</v>
      </c>
      <c r="CN116" s="268">
        <f>CN$10*(1+((H116/H$10-1)*costos!$B$20+((I116*F116)/(I$10*F$10)-1)*costos!$E$20+((J116*F116)/((J$10*F$10)-1)*costos!$F$20/3+((K116*F116)/(K$10*F$10)-1)*costos!$F$20/3+((U116*F116)/(U$10*F$10)-1)*costos!$F$20/3+((L116*F116)/(L$10*F$10)-1)*costos!$G$20+((BA116)/(BA$10)-1)*costos!$J$20+((V116*F116)/(V$10*F$10)-1)*costos!$K$20)))</f>
        <v>10144.950017387842</v>
      </c>
      <c r="CO116" s="268">
        <f t="shared" si="448"/>
        <v>9448.9245421064461</v>
      </c>
      <c r="CP116" s="268">
        <f>CP$10*(1+((H116/H$10-1)*costos!$B$22+((I116*F116)/(I$10*F$10)-1)*costos!$E$22+((J116*F116)/((J$10*F$10)-1)*costos!$F$22/3+((K116*F116)/(K$10*F$10)-1)*costos!$F$22/3+((U116*F116)/(U$10*F$10)-1)*costos!$F$22/3+((L116*F116)/(L$10*F$10)-1)*costos!$G$22+(((AVERAGE(AI116:AL116))/((AVERAGE(AI$10:AL$10))-1)*costos!$J$22+((V116*F116)/(V$10*F$10)-1)*costos!$K$22)))))</f>
        <v>10286.786174413055</v>
      </c>
      <c r="CQ116" s="92">
        <f>CQ$10*(1+((H116/H$10-1)*costos!$B$23+((I116*F116)/(I$10*F$10)-1)*costos!$E$23+((J116*F116)/((J$10*F$10)-1)*costos!$F$23/3+((K116*F116)/(K$10*F$10)-1)*costos!$F$23/3+((U116*F116)/(U$10*F$10)-1)*costos!$F$23/3+((L116*F116)/(L$10*F$10)-1)*costos!$G$23+((AN116)/(AN$10)-1)*costos!$J$23+((V116*F116)/(V$10*F$10)-1)*costos!$K$23)))</f>
        <v>9155.0468243853866</v>
      </c>
      <c r="CR116" s="268">
        <f>CR$10*(1+((H116/H$10-1)*costos!$B$24+((I116*F116)/(I$10*F$10)-1)*costos!$E$24+((J116*F116)/((J$10*F$10)-1)*costos!$F$24/3+((K116*F116)/(K$10*F$10)-1)*costos!$F$24/3+((U116*F116)/(U$10*F$10)-1)*costos!$F$24/3+((L116*F116)/(L$10*F$10)-1)*costos!$G$24+((AO116)/(AO$10)-1)*costos!$J$24+((V116*F116)/(V$10*F$10)-1)*costos!$K$24)))</f>
        <v>9268.7583181372029</v>
      </c>
      <c r="CS116" s="92">
        <f t="shared" si="352"/>
        <v>9211.9025712612947</v>
      </c>
      <c r="CT116" s="268">
        <f>CT$10*(1+((H116/H$10-1)*costos!$B$25+((I116*F116)/(I$10*F$10)-1)*costos!$E$25+((J116*F116)/((J$10*F$10)-1)*costos!$F$25/3+((K116*F116)/(K$10*F$10)-1)*costos!$F$25/3+((U116*F116)/(U$10*F$10)-1)*costos!$F$25/3+((L116*F116)/(L$10*F$10)-1)*costos!$G$25+((AQ116)/(AQ$10)-1)*costos!$J$25+((V116*F116)/(V$10*F$10)-1)*costos!$K$25)))</f>
        <v>9406.8513790314228</v>
      </c>
      <c r="CU116" s="268">
        <f>CU$10*(1+((H116/H$10-1)*costos!$B$26+((I116*F116)/(I$10*F$10)-1)*costos!$E$26+((J116*F116)/((J$10*F$10)-1)*costos!$F$26/3+((K116*F116)/(K$10*F$10)-1)*costos!$F$26/3+((U116*F116)/(U$10*F$10)-1)*costos!$F$26/3+((L116*F116)/(L$10*F$10)-1)*costos!$G$26+((AR116)/(AR$10)-1)*costos!$J$26+((V116*F116)/(V$10*F$10)-1)*costos!$K$26)))</f>
        <v>8828.906133812703</v>
      </c>
      <c r="CV116" s="268">
        <f>CV$10*(1+((H116/H$10-1)*costos!$B$27+((I116*F116)/(I$10*F$10)-1)*costos!$E$27+((J116*F116)/((J$10*F$10)-1)*costos!$F$27/3+((K116*F116)/(K$10*F$10)-1)*costos!$F$27/3+((U116*F116)/(U$10*F$10)-1)*costos!$F$27/3+((L116*F116)/(L$10*F$10)-1)*costos!$G$27+((AS116)/(AS$10)-1)*costos!$J$27+((V116*F116)/(V$10*F$10)-1)*costos!$K$27)))</f>
        <v>8557.891483078387</v>
      </c>
      <c r="CW116" s="268">
        <f>CW$10*(1+((H116/H$10-1)*costos!$B$28+((I116*F116)/(I$10*F$10)-1)*costos!$E$28+((J116*F116)/((J$10*F$10)-1)*costos!$F$28/3+((K116*F116)/(K$10*F$10)-1)*costos!$F$28/3+((U116*F116)/(U$10*F$10)-1)*costos!$F$28/3+((L116*F116)/(L$10*F$10)-1)*costos!$G$28+((AS116)/(AS$10)-1)*costos!$J$28+((V116*F116)/(V$10*F$10)-1)*costos!$K$28)))</f>
        <v>8557.891483078387</v>
      </c>
      <c r="CX116" s="268">
        <f t="shared" si="449"/>
        <v>8648.2296999898263</v>
      </c>
      <c r="CY116" s="268">
        <f>CY$10*(1+((H116/H$10-1)*costos!$B$32+((I116*F116)/(I$10*F$10)-1)*costos!$E$32+((J116*F116)/((J$10*F$10)-1)*costos!$F$32/3+((K116*F116)/(K$10*F$10)-1)*costos!$F$32/3+((U116*F116)/(U$10*F$10)-1)*costos!$F$32/3+((L116*F116)/(L$10*F$10)-1)*costos!$G$32+((AG116)/(AG$10)-1)*costos!$J$32+((V116*F116)/(V$10*F$10)-1)*costos!$K$32)))</f>
        <v>8663.6144876793514</v>
      </c>
      <c r="CZ116" s="69">
        <f>CZ$10*(1+((H116/H$10-1)*costos!$B$31+((I116*F116)/(I$10*F$10)-1)*costos!$E$30+((J116*F116)/((J$10*F$10)-1)*costos!$F$30/3+((K116*F116)/(K$10*F$10)-1)*costos!$F$30/3+((U116*F116)/(U$10*F$10)-1)*costos!$F$30/3+((L116*F116)/(L$10*F$10)-1)*costos!$G$30+((BG116)/(BG$10)-1)*costos!$J$30+((V116*F116)/(V$10*F$10)-1)*costos!$K$30)))</f>
        <v>11072.650339292431</v>
      </c>
      <c r="DA116" s="69">
        <f>DA$10*(1+((H116/H$10-1)*costos!$B$31+((I116*F116)/(I$10*F$10)-1)*costos!$E$31+((J116*F116)/((J$10*F$10)-1)*costos!$F$31/3+((K116*F116)/(K$10*F$10)-1)*costos!$F$31/3+((U116*F116)/(U$10*F$10)-1)*costos!$F$31/3+((L116*F116)/(L$10*F$10)-1)*costos!$G$31+((BJ116)/(BJ$10)-1)*costos!$J$31+((V116*F116)/(V$10*F$10)-1)*costos!$K$31)))</f>
        <v>9052.8110307932111</v>
      </c>
      <c r="DB116" s="69">
        <f>DB$10*(1+((H116/H$10-1)*costos!$B$36+((I116*F116)/(I$10*F$10)-1)*costos!$E$36+((J116*F116)/((J$10*F$10)-1)*costos!$F$36/3+((K116*F116)/(K$10*F$10)-1)*costos!$F$36/3+((U116*F116)/(U$10*F$10)-1)*costos!$F$36/3+((L116*F116)/(L$10*F$10)-1)*costos!$G$36+((BK116)/(BK$10)-1)*costos!$J$36+((V116*F116)/(V$10*F$10)-1)*costos!$K$36)))</f>
        <v>8972.485554956811</v>
      </c>
      <c r="DC116" s="69">
        <f>DC$10*(1+((H116/H$10-1)*costos!$B$37+((I116*F116)/(I$10*F$10)-1)*costos!$E$37+((U116*F116)/(U$10*F$10)-1)*costos!$F$37+((L116*F116)/(L$10*F$10)-1)*costos!$G$37+((BN116)/(BN$10)-1)*costos!$J$37+((V116*F116)/(V$10*F$10)-1)*costos!$K$37))</f>
        <v>9332.0973153066225</v>
      </c>
      <c r="DD116" s="69">
        <f>DD$10*(1+((H116/H$10-1)*costos!$B$39+((I116*F116)/(I$10*F$10)-1)*costos!$E$39+((U116*F116)/(U$10*F$10)-1)*costos!$F$39+((L116*F116)/(L$10*F$10)-1)*costos!$G$39+((BR116)/(BR$10)-1)*costos!$J$39+((V116*F116)/(V$10*F$10)-1)*costos!$K$39))</f>
        <v>9073.0909237398428</v>
      </c>
      <c r="DE116" s="69">
        <f>DD$10*(1+((H116/H$10-1)*costos!$B$35+((I116*F116)/(I$10*F$10)-1)*costos!$E$35+((U116*F116)/(U$10*F$10)-1)*costos!$F$35+((L116*F116)/(L$10*F$10)-1)*costos!$G$35+((BR116)/(BR$10)-1)*costos!$J$35+((V116*F116)/(V$10*F$10)-1)*costos!$K$35))</f>
        <v>7997.424619076075</v>
      </c>
      <c r="DF116" s="69">
        <f>DF$10*(1+((H116/H$10-1)*costos!$B$40+((I116*F116)/(I$10*F$10)-1)*costos!$E$40+((U116*F116)/(U$10*F$10)-1)*costos!$F$40+((L116*F116)/(L$10*F$10)-1)*costos!$G$40+((BP116)/(BP$10)-1)*costos!$J$40+((V116*F116)/(V$10*F$10)-1)*costos!$K$40))</f>
        <v>9287.3257676827088</v>
      </c>
      <c r="DG116" s="268">
        <f t="shared" si="391"/>
        <v>8642.3751933793919</v>
      </c>
      <c r="DH116" s="69">
        <f>DH$10*(1+((H116/H$10-1)*costos!$B$34+((I116*F116)/(I$10*F$10)-1)*costos!$E$34+((J116*F116)/((J$10*F$10)-1)*costos!$F$34/3+((K116*F116)/(K$10*F$10)-1)*costos!$F$34/3+((U116*F116)/(U$10*F$10)-1)*costos!$F$34/3+((L116*F116)/(L$10*F$10)-1)*costos!$G$34+((BV116)/(BV$10)-1)*costos!$J$34+((V116*F116)/(V$10*F$10)-1)*costos!$K$34)))</f>
        <v>8964.0515363248014</v>
      </c>
      <c r="DI116" s="69">
        <f>DI$10*(1+((H116/H$10-1)*costos!$B$38+((I116*F116)/(I$10*F$10)-1)*costos!$E$38+((J116*F116)/((J$10*F$10)-1)*costos!$F$38/3+((K116*F116)/(K$10*F$10)-1)*costos!$F$38/3+((U116*F116)/(U$10*F$10)-1)*costos!$F$38/3+((L116*F116)/(L$10*F$10)-1)*costos!$G$38+((BU116)/(BU$10)-1)*costos!$J$38+((V116*F116)/(V$10*F$10)-1)*costos!$K$38)))</f>
        <v>8875.9049576894122</v>
      </c>
      <c r="DK116" s="1">
        <v>690000</v>
      </c>
      <c r="DL116" s="1" t="s">
        <v>512</v>
      </c>
      <c r="DM116" s="1">
        <v>230000</v>
      </c>
      <c r="DN116" s="1" t="s">
        <v>512</v>
      </c>
      <c r="DO116" s="1">
        <v>1600000</v>
      </c>
      <c r="DP116" s="1" t="s">
        <v>512</v>
      </c>
      <c r="DQ116" s="1">
        <v>2000000</v>
      </c>
      <c r="DR116" s="1" t="s">
        <v>512</v>
      </c>
      <c r="DS116" s="1">
        <v>6600000</v>
      </c>
      <c r="DT116" s="1" t="s">
        <v>512</v>
      </c>
      <c r="DU116" s="1">
        <v>17900000</v>
      </c>
      <c r="DV116" s="1" t="s">
        <v>512</v>
      </c>
      <c r="DW116" s="1">
        <v>1100000</v>
      </c>
      <c r="DX116" s="1" t="s">
        <v>512</v>
      </c>
      <c r="DY116" s="1">
        <v>6550000</v>
      </c>
      <c r="DZ116" s="1" t="s">
        <v>512</v>
      </c>
      <c r="EA116" s="79">
        <f t="shared" si="353"/>
        <v>35750000</v>
      </c>
      <c r="EB116" s="1">
        <v>521230</v>
      </c>
      <c r="EC116" s="1" t="s">
        <v>512</v>
      </c>
      <c r="ED116" s="1">
        <v>230256</v>
      </c>
      <c r="EE116" s="143">
        <v>2024</v>
      </c>
      <c r="EF116" s="1">
        <v>199946</v>
      </c>
      <c r="EG116" s="6">
        <v>2024</v>
      </c>
      <c r="EH116" s="1">
        <v>52783892</v>
      </c>
      <c r="EI116" s="6">
        <v>2024</v>
      </c>
      <c r="EJ116" s="1">
        <v>6115215</v>
      </c>
      <c r="EK116" s="6">
        <v>2024</v>
      </c>
      <c r="EL116" s="1">
        <v>12440906</v>
      </c>
      <c r="EM116" s="6">
        <v>2024</v>
      </c>
      <c r="EN116" s="1">
        <v>3169981</v>
      </c>
      <c r="EO116" s="6">
        <v>2021</v>
      </c>
      <c r="EP116" s="83">
        <v>9119</v>
      </c>
      <c r="EQ116" s="83">
        <v>3500000</v>
      </c>
      <c r="ER116" s="1">
        <f t="shared" si="430"/>
        <v>80248</v>
      </c>
      <c r="ES116" s="1"/>
      <c r="ET116" s="83">
        <f t="shared" si="451"/>
        <v>19357</v>
      </c>
      <c r="EU116" s="83">
        <f t="shared" si="451"/>
        <v>18703</v>
      </c>
      <c r="EV116" s="83">
        <f t="shared" si="451"/>
        <v>8927</v>
      </c>
      <c r="EW116" s="83">
        <f t="shared" si="451"/>
        <v>17408</v>
      </c>
      <c r="EX116" s="79">
        <f t="shared" si="354"/>
        <v>64395</v>
      </c>
      <c r="EY116" s="83">
        <f t="shared" si="394"/>
        <v>20031</v>
      </c>
      <c r="EZ116" s="83">
        <f t="shared" si="394"/>
        <v>34815</v>
      </c>
      <c r="FA116" s="83">
        <f t="shared" si="431"/>
        <v>19900</v>
      </c>
      <c r="FB116" s="83">
        <f t="shared" si="406"/>
        <v>18184</v>
      </c>
      <c r="FC116" s="79">
        <f t="shared" si="452"/>
        <v>38084</v>
      </c>
      <c r="FD116" s="83">
        <f t="shared" si="395"/>
        <v>60376</v>
      </c>
      <c r="FE116" s="1"/>
      <c r="FF116" s="1">
        <v>1300000</v>
      </c>
      <c r="FG116" s="1" t="s">
        <v>410</v>
      </c>
      <c r="FH116" s="1">
        <v>1300000</v>
      </c>
      <c r="FI116" s="1" t="s">
        <v>410</v>
      </c>
      <c r="FJ116" s="1">
        <v>5100000</v>
      </c>
      <c r="FK116" s="1" t="s">
        <v>410</v>
      </c>
      <c r="FL116" s="1">
        <v>3900000</v>
      </c>
      <c r="FM116" s="1" t="s">
        <v>410</v>
      </c>
      <c r="FN116" s="1">
        <v>46500000</v>
      </c>
      <c r="FO116" s="1" t="s">
        <v>410</v>
      </c>
      <c r="FP116" s="1">
        <v>48200000</v>
      </c>
      <c r="FQ116" s="1" t="s">
        <v>410</v>
      </c>
      <c r="FR116" s="1">
        <v>2500000</v>
      </c>
      <c r="FS116" s="1" t="s">
        <v>410</v>
      </c>
      <c r="FT116" s="1">
        <v>15853000</v>
      </c>
      <c r="FU116" s="1" t="s">
        <v>410</v>
      </c>
      <c r="FV116" s="79">
        <f t="shared" si="355"/>
        <v>122053000</v>
      </c>
      <c r="FW116" s="1">
        <v>1604722</v>
      </c>
      <c r="FX116" s="1" t="s">
        <v>410</v>
      </c>
      <c r="FY116" s="1">
        <v>0</v>
      </c>
      <c r="FZ116" s="79">
        <f t="shared" si="377"/>
        <v>1006565</v>
      </c>
      <c r="GA116" s="86" t="str">
        <f t="shared" si="378"/>
        <v>dic23 nov24</v>
      </c>
      <c r="GB116" s="1">
        <v>19189740</v>
      </c>
      <c r="GC116" s="6">
        <v>2024</v>
      </c>
      <c r="GD116" s="1">
        <v>1714000</v>
      </c>
      <c r="GE116" s="1">
        <v>424000</v>
      </c>
      <c r="GF116" s="1">
        <v>1165000</v>
      </c>
      <c r="GG116" s="1">
        <v>145000</v>
      </c>
      <c r="GH116" s="79">
        <f t="shared" si="450"/>
        <v>1734000</v>
      </c>
      <c r="GI116" s="82">
        <f t="shared" si="453"/>
        <v>1302556</v>
      </c>
      <c r="GJ116" s="83">
        <f t="shared" si="453"/>
        <v>682423</v>
      </c>
      <c r="GK116" s="83">
        <f t="shared" si="453"/>
        <v>1391495</v>
      </c>
      <c r="GL116" s="83">
        <f t="shared" si="453"/>
        <v>305049</v>
      </c>
      <c r="GM116" s="83">
        <f t="shared" si="453"/>
        <v>260419</v>
      </c>
      <c r="GN116" s="79">
        <f t="shared" si="357"/>
        <v>2639386</v>
      </c>
      <c r="GO116" s="83">
        <f>+GO115</f>
        <v>201734</v>
      </c>
      <c r="GP116" s="83">
        <f t="shared" si="416"/>
        <v>69297</v>
      </c>
      <c r="GQ116" s="1">
        <v>58810</v>
      </c>
      <c r="GR116" s="1">
        <v>34035</v>
      </c>
      <c r="GS116" s="79">
        <f t="shared" si="412"/>
        <v>35799.300000000003</v>
      </c>
      <c r="GT116" s="83">
        <f t="shared" si="407"/>
        <v>2111561</v>
      </c>
      <c r="GU116" s="1">
        <f>14740+6845</f>
        <v>21585</v>
      </c>
      <c r="GV116" s="83">
        <f>5632+23684</f>
        <v>29316</v>
      </c>
      <c r="GW116" s="79">
        <f t="shared" si="455"/>
        <v>756229</v>
      </c>
      <c r="GX116" s="1">
        <v>30804.553</v>
      </c>
      <c r="GY116" s="1" t="s">
        <v>436</v>
      </c>
      <c r="GZ116" s="1">
        <v>80786</v>
      </c>
      <c r="HA116" s="1">
        <v>259749</v>
      </c>
      <c r="HB116" s="79">
        <f t="shared" si="437"/>
        <v>3127919</v>
      </c>
      <c r="HC116" s="86" t="str">
        <f t="shared" si="379"/>
        <v>dic23 nov24</v>
      </c>
      <c r="HD116" s="1">
        <v>61492</v>
      </c>
      <c r="HE116" s="79">
        <f t="shared" si="380"/>
        <v>779561</v>
      </c>
      <c r="HF116" s="86" t="str">
        <f t="shared" si="381"/>
        <v>dic23 nov24</v>
      </c>
      <c r="HG116" s="1">
        <v>188000</v>
      </c>
      <c r="HH116" s="79">
        <f t="shared" si="438"/>
        <v>2292000</v>
      </c>
      <c r="HI116" s="86" t="str">
        <f t="shared" si="382"/>
        <v>dic23 nov24</v>
      </c>
      <c r="HJ116" s="1">
        <v>92954</v>
      </c>
      <c r="HK116" s="79">
        <f t="shared" si="278"/>
        <v>64765.522299286793</v>
      </c>
      <c r="HL116" s="86" t="str">
        <f t="shared" si="383"/>
        <v>dic23 nov24</v>
      </c>
      <c r="HM116" s="79">
        <f t="shared" si="358"/>
        <v>2356765.5222992869</v>
      </c>
      <c r="HN116" s="87">
        <f t="shared" si="297"/>
        <v>6.1720311875249845E-2</v>
      </c>
      <c r="HO116" s="1">
        <v>1062145000</v>
      </c>
      <c r="HP116" s="79">
        <f t="shared" si="386"/>
        <v>10372.943656900923</v>
      </c>
      <c r="HQ116" s="86" t="str">
        <f t="shared" si="384"/>
        <v>dic23 nov24</v>
      </c>
      <c r="HR116" s="1"/>
      <c r="HS116" s="1"/>
      <c r="HT116" s="1"/>
      <c r="HU116" s="1">
        <v>700000</v>
      </c>
      <c r="HV116" s="1" t="s">
        <v>410</v>
      </c>
      <c r="HW116" s="1">
        <v>1500000</v>
      </c>
      <c r="HX116" s="1" t="s">
        <v>410</v>
      </c>
      <c r="HY116" s="1">
        <v>4600000</v>
      </c>
      <c r="HZ116" s="1" t="s">
        <v>410</v>
      </c>
      <c r="IA116" s="1">
        <f t="shared" si="456"/>
        <v>21600000</v>
      </c>
      <c r="IB116" s="1" t="s">
        <v>410</v>
      </c>
      <c r="IC116" s="1">
        <v>45000000</v>
      </c>
      <c r="ID116" s="1" t="s">
        <v>410</v>
      </c>
      <c r="IE116" s="1">
        <v>1500000</v>
      </c>
      <c r="IF116" s="1" t="s">
        <v>410</v>
      </c>
      <c r="IG116" s="1">
        <f t="shared" si="415"/>
        <v>7400000</v>
      </c>
      <c r="IH116" s="1" t="s">
        <v>410</v>
      </c>
      <c r="II116" s="79">
        <f t="shared" si="359"/>
        <v>81600000</v>
      </c>
      <c r="IJ116" s="97">
        <f t="shared" si="434"/>
        <v>2.1563835150032644</v>
      </c>
      <c r="IK116" s="1" t="s">
        <v>410</v>
      </c>
      <c r="IL116" s="7">
        <v>46.01</v>
      </c>
      <c r="IM116" s="7">
        <v>46.91</v>
      </c>
      <c r="IN116" s="7">
        <v>168.7</v>
      </c>
      <c r="IO116" s="7">
        <v>16.89</v>
      </c>
      <c r="IP116" s="176">
        <f t="shared" si="432"/>
        <v>5.5693606783423002</v>
      </c>
      <c r="IQ116" s="176">
        <v>16.3</v>
      </c>
      <c r="IR116" s="478">
        <f t="shared" ref="IR116:IR129" si="459">+IR115</f>
        <v>6.09</v>
      </c>
      <c r="IS116" s="478">
        <f t="shared" ref="IS116:IU129" si="460">+IS115</f>
        <v>4.03</v>
      </c>
      <c r="IT116" s="478">
        <f t="shared" si="460"/>
        <v>11.98</v>
      </c>
      <c r="IU116" s="478">
        <f t="shared" si="460"/>
        <v>1.38</v>
      </c>
      <c r="IV116" s="94">
        <f t="shared" si="360"/>
        <v>17.39</v>
      </c>
      <c r="IW116" s="1"/>
      <c r="IX116" s="1"/>
      <c r="IY116" s="80">
        <v>1.88</v>
      </c>
      <c r="IZ116" s="88">
        <v>0.3</v>
      </c>
      <c r="JA116" s="1">
        <v>2813</v>
      </c>
      <c r="JB116" s="95">
        <f t="shared" si="433"/>
        <v>35.950000000000003</v>
      </c>
      <c r="JC116" s="1"/>
      <c r="JD116" s="1"/>
      <c r="JF116" s="2">
        <v>14.805583519999997</v>
      </c>
      <c r="JG116" s="2">
        <v>21.789652239999999</v>
      </c>
      <c r="JH116" s="2">
        <v>43.447707440000009</v>
      </c>
      <c r="JI116" s="2">
        <v>251.82818717000001</v>
      </c>
      <c r="JJ116" s="2">
        <v>535.75406972999997</v>
      </c>
      <c r="JK116" s="2">
        <v>153.43391492999999</v>
      </c>
      <c r="JL116" s="2">
        <v>2336.6383089699998</v>
      </c>
      <c r="JM116" s="2">
        <v>25.062819999999999</v>
      </c>
      <c r="JN116" s="2">
        <v>147.26872287999998</v>
      </c>
      <c r="JO116" s="2">
        <v>43.313690020000003</v>
      </c>
      <c r="JP116" s="2">
        <v>0</v>
      </c>
      <c r="JQ116" s="2">
        <v>2.5000000000000001E-3</v>
      </c>
      <c r="JR116" s="2">
        <v>1.61705648</v>
      </c>
      <c r="JS116" s="2">
        <v>0</v>
      </c>
      <c r="JT116" s="2">
        <v>2.5000000000000001E-3</v>
      </c>
      <c r="JU116" s="2">
        <v>87.09478919</v>
      </c>
      <c r="JV116" s="2">
        <v>10.972190839999998</v>
      </c>
      <c r="JW116" s="2">
        <v>12.62190637</v>
      </c>
      <c r="JX116" s="2">
        <v>12.926938</v>
      </c>
      <c r="JY116" s="2">
        <v>0</v>
      </c>
      <c r="JZ116" s="2">
        <v>12.04598908</v>
      </c>
      <c r="KA116" s="2">
        <v>0.18431999999999998</v>
      </c>
      <c r="KB116" s="2">
        <v>13.50721221</v>
      </c>
      <c r="KC116" s="2">
        <v>34.962073999999994</v>
      </c>
      <c r="KD116" s="2">
        <v>10.476429469999998</v>
      </c>
      <c r="KE116" s="2">
        <v>14.349162859999998</v>
      </c>
      <c r="KF116" s="2">
        <v>8.1147673099999995</v>
      </c>
      <c r="KG116" s="2">
        <v>363.37275483999991</v>
      </c>
      <c r="KH116" s="2">
        <v>173.78517034999999</v>
      </c>
      <c r="KI116" s="2">
        <v>15.79353798</v>
      </c>
      <c r="KJ116" s="2">
        <v>1.6096260199999999</v>
      </c>
      <c r="KK116" s="171">
        <v>5.6011509000000004</v>
      </c>
      <c r="KL116" s="171">
        <v>0.7620908099999999</v>
      </c>
      <c r="KM116" s="171">
        <v>0.39954752999999998</v>
      </c>
      <c r="KN116" s="171">
        <v>1.6645399999999999E-3</v>
      </c>
      <c r="KO116" s="171">
        <v>2.2207496900000003</v>
      </c>
      <c r="KP116" s="171">
        <v>2.6527899999999999E-3</v>
      </c>
      <c r="KQ116" s="171">
        <v>197.41856232000001</v>
      </c>
      <c r="KR116" s="171">
        <v>1.3097352899999999</v>
      </c>
      <c r="KS116" s="171">
        <v>6.5411780000000003E-2</v>
      </c>
      <c r="KT116" s="171">
        <v>1.8442369199999997</v>
      </c>
      <c r="KU116" s="171">
        <v>0.28059129999999999</v>
      </c>
      <c r="KV116" s="171">
        <v>0.34741094</v>
      </c>
      <c r="KW116" s="171">
        <v>1.0715197300000001</v>
      </c>
      <c r="KX116" s="171">
        <v>0</v>
      </c>
      <c r="KY116" s="171">
        <v>0.41178147999999998</v>
      </c>
      <c r="KZ116" s="171">
        <v>4.1008112300000006</v>
      </c>
      <c r="LA116" s="171">
        <v>0.17100739999999998</v>
      </c>
      <c r="LB116" s="171">
        <v>2.8586E-2</v>
      </c>
      <c r="LC116" s="171">
        <v>2.9499416699999998</v>
      </c>
      <c r="LD116" s="171">
        <v>0</v>
      </c>
      <c r="LE116" s="171">
        <v>2.0124220000000002E-2</v>
      </c>
      <c r="LF116" s="171">
        <v>0.33621902000000004</v>
      </c>
      <c r="LG116" s="171">
        <v>13.365554540000002</v>
      </c>
      <c r="LH116" s="171">
        <v>4.9762964800000002</v>
      </c>
      <c r="LI116" s="171">
        <v>2.1750064099999999</v>
      </c>
      <c r="LJ116" s="171">
        <v>0</v>
      </c>
      <c r="LK116" s="171">
        <v>3.7585351000000005</v>
      </c>
      <c r="LL116" s="171">
        <v>2.8647302900000002</v>
      </c>
      <c r="LM116" s="171">
        <v>2.6289957100000003</v>
      </c>
      <c r="LN116" s="171">
        <v>0.25055533999999996</v>
      </c>
      <c r="LO116" s="171">
        <v>10.919699229999997</v>
      </c>
      <c r="LQ116" s="85">
        <f t="shared" si="439"/>
        <v>3339.9998161899998</v>
      </c>
      <c r="LR116" s="85">
        <f t="shared" si="440"/>
        <v>1.6220564799999999</v>
      </c>
      <c r="LS116" s="85">
        <v>23.934850630000003</v>
      </c>
      <c r="LT116" s="85">
        <f t="shared" si="442"/>
        <v>12.23030908</v>
      </c>
      <c r="LU116" s="85">
        <f t="shared" si="443"/>
        <v>201.41567115000001</v>
      </c>
      <c r="LV116" s="85">
        <f t="shared" si="444"/>
        <v>1.8307121500000001</v>
      </c>
      <c r="LW116" s="85">
        <v>0.21798748000000001</v>
      </c>
      <c r="LX116" s="85">
        <f t="shared" si="446"/>
        <v>0.35634324000000006</v>
      </c>
      <c r="LZ116" s="83">
        <v>1336.85</v>
      </c>
      <c r="MA116" s="83">
        <v>2273.69</v>
      </c>
      <c r="MB116"/>
      <c r="MC116"/>
      <c r="MD116"/>
      <c r="MF116"/>
      <c r="MG116"/>
      <c r="MH116" s="83">
        <v>3040.97</v>
      </c>
      <c r="MI116" s="83">
        <v>830.61</v>
      </c>
      <c r="MJ116" s="83">
        <v>1197.23</v>
      </c>
      <c r="MK116"/>
      <c r="ML116" s="83">
        <v>1057.72</v>
      </c>
      <c r="MM116" s="83">
        <v>2018.04</v>
      </c>
      <c r="MN116" s="83"/>
      <c r="MO116" s="83">
        <v>1402.12</v>
      </c>
      <c r="MP116" s="83">
        <v>2153.7800000000002</v>
      </c>
      <c r="MQ116" s="83">
        <v>2406.75</v>
      </c>
      <c r="MR116"/>
      <c r="MT116" s="83"/>
      <c r="MU116" s="83">
        <v>875.01</v>
      </c>
      <c r="MV116"/>
      <c r="MW116"/>
      <c r="MX116"/>
      <c r="MY116" s="83">
        <v>2235.7399999999998</v>
      </c>
      <c r="MZ116" s="83">
        <v>5589</v>
      </c>
      <c r="NA116" s="83">
        <v>2889</v>
      </c>
      <c r="NB116" s="83">
        <v>7696</v>
      </c>
      <c r="NC116" s="83">
        <v>1428.74</v>
      </c>
      <c r="ND116" s="1">
        <v>9800</v>
      </c>
      <c r="NE116" s="1">
        <v>5803</v>
      </c>
    </row>
    <row r="117" spans="1:369">
      <c r="A117" s="38">
        <f t="shared" si="417"/>
        <v>45627</v>
      </c>
      <c r="B117" s="36">
        <f t="shared" si="428"/>
        <v>12</v>
      </c>
      <c r="C117" s="36">
        <f t="shared" si="429"/>
        <v>2024</v>
      </c>
      <c r="D117" s="36">
        <f t="shared" si="347"/>
        <v>117</v>
      </c>
      <c r="E117" s="38">
        <f t="shared" si="418"/>
        <v>45627</v>
      </c>
      <c r="F117" s="7">
        <f>+(1000.39+1040.39)/2</f>
        <v>1020.3900000000001</v>
      </c>
      <c r="G117" s="7">
        <v>7694</v>
      </c>
      <c r="H117" s="1">
        <f>[2]NACIONALES!$D105</f>
        <v>727459.26200345799</v>
      </c>
      <c r="I117" s="7">
        <v>110</v>
      </c>
      <c r="J117" s="7">
        <v>540</v>
      </c>
      <c r="K117" s="7">
        <v>4.4000000000000004</v>
      </c>
      <c r="L117" s="7">
        <v>35.5</v>
      </c>
      <c r="N117" s="7">
        <v>1.63</v>
      </c>
      <c r="O117" s="7">
        <v>1.23</v>
      </c>
      <c r="P117" s="78">
        <f t="shared" si="398"/>
        <v>1386.1998149999999</v>
      </c>
      <c r="Q117" s="6">
        <v>30000</v>
      </c>
      <c r="R117" s="79">
        <f t="shared" si="419"/>
        <v>300000</v>
      </c>
      <c r="S117" s="143">
        <f>172055.56/F117</f>
        <v>168.61745019061337</v>
      </c>
      <c r="T117" s="279">
        <v>370.95</v>
      </c>
      <c r="U117" s="188">
        <v>181</v>
      </c>
      <c r="V117" s="143">
        <v>285.66000000000003</v>
      </c>
      <c r="W117">
        <v>204</v>
      </c>
      <c r="X117" s="6">
        <v>196</v>
      </c>
      <c r="Y117" s="79">
        <f t="shared" si="420"/>
        <v>172055.56</v>
      </c>
      <c r="Z117" s="79">
        <f t="shared" si="421"/>
        <v>378513.67050000001</v>
      </c>
      <c r="AA117" s="79">
        <f t="shared" si="422"/>
        <v>184690.59000000003</v>
      </c>
      <c r="AB117" s="79">
        <f t="shared" si="423"/>
        <v>291484.60740000004</v>
      </c>
      <c r="AC117" s="79">
        <f t="shared" si="424"/>
        <v>208159.56000000003</v>
      </c>
      <c r="AD117" s="79">
        <f t="shared" si="425"/>
        <v>199996.44000000003</v>
      </c>
      <c r="AE117" s="79">
        <f t="shared" si="426"/>
        <v>239150.0713166667</v>
      </c>
      <c r="AF117" s="1">
        <v>891457.9</v>
      </c>
      <c r="AG117" s="1">
        <v>165000</v>
      </c>
      <c r="AH117" s="1">
        <v>950000</v>
      </c>
      <c r="AI117" s="5">
        <v>425.56</v>
      </c>
      <c r="AJ117" s="5">
        <v>353.11</v>
      </c>
      <c r="AK117" s="5">
        <v>276.61</v>
      </c>
      <c r="AL117" s="5">
        <v>319.68</v>
      </c>
      <c r="AM117" s="78">
        <f t="shared" si="458"/>
        <v>358.52380000000005</v>
      </c>
      <c r="AN117" s="7">
        <v>30507.575757575756</v>
      </c>
      <c r="AO117" s="7">
        <v>20241.21052631579</v>
      </c>
      <c r="AP117" s="78">
        <f t="shared" si="385"/>
        <v>20241.21052631579</v>
      </c>
      <c r="AQ117" s="7">
        <v>30854.166666666668</v>
      </c>
      <c r="AR117" s="7">
        <v>15125</v>
      </c>
      <c r="AS117" s="7">
        <v>8947.3684210526317</v>
      </c>
      <c r="AT117" s="7">
        <v>18495.63157894737</v>
      </c>
      <c r="AU117" s="78">
        <f t="shared" si="348"/>
        <v>14189.333333333334</v>
      </c>
      <c r="AV117" s="7">
        <v>5439.3617021276596</v>
      </c>
      <c r="AW117" s="7">
        <v>9357.894736842105</v>
      </c>
      <c r="AX117" s="7">
        <v>7945.2631578947367</v>
      </c>
      <c r="AY117" s="7">
        <v>6055.2475247524753</v>
      </c>
      <c r="AZ117" s="7">
        <v>10485.436842105262</v>
      </c>
      <c r="BA117" s="7">
        <v>16300</v>
      </c>
      <c r="BB117" s="94">
        <f t="shared" si="345"/>
        <v>10655.950335823056</v>
      </c>
      <c r="BC117" s="166">
        <v>37405</v>
      </c>
      <c r="BD117" s="166">
        <v>33665</v>
      </c>
      <c r="BE117" s="7">
        <v>20500</v>
      </c>
      <c r="BF117" s="7">
        <v>15500</v>
      </c>
      <c r="BG117" s="94">
        <f t="shared" si="349"/>
        <v>26767.5</v>
      </c>
      <c r="BH117" s="280">
        <v>2820</v>
      </c>
      <c r="BI117" s="97">
        <f t="shared" si="454"/>
        <v>855</v>
      </c>
      <c r="BJ117" s="78">
        <f t="shared" si="350"/>
        <v>3675</v>
      </c>
      <c r="BK117" s="7">
        <v>2362.1869999999999</v>
      </c>
      <c r="BL117" s="7">
        <v>2700</v>
      </c>
      <c r="BM117" s="94">
        <f t="shared" si="351"/>
        <v>2531.0934999999999</v>
      </c>
      <c r="BN117" s="5">
        <v>441.1</v>
      </c>
      <c r="BO117" s="84">
        <v>2154.79</v>
      </c>
      <c r="BP117" s="84">
        <v>1477.77</v>
      </c>
      <c r="BQ117" s="94">
        <f t="shared" si="435"/>
        <v>1816.28</v>
      </c>
      <c r="BR117" s="7">
        <v>1549.88</v>
      </c>
      <c r="BS117" s="7">
        <v>6000</v>
      </c>
      <c r="BT117" s="7">
        <f>1.1*F117</f>
        <v>1122.4290000000001</v>
      </c>
      <c r="BU117" s="79">
        <f t="shared" si="436"/>
        <v>75367.286999999997</v>
      </c>
      <c r="BV117" s="7">
        <v>1780</v>
      </c>
      <c r="BW117" s="7">
        <v>2657</v>
      </c>
      <c r="BY117" s="268">
        <f>BY$10*(1+((H117/H$10-1)*costos!$B$5+((I117*F117)/(I$10*F$10)-1)*costos!$E$5+((J117*F117)/((J$10*F$10)-1)*costos!$F$5/3+((K117*F117)/(K$10*F$10)-1)*costos!$F$5/3+((U117*F117)/(U$10*F$10)-1)*costos!$F$5/3+((L117*F117)/(L$10*F$10)-1)*costos!$G$5+((N117*F117)/(N$10*F$10)-1)*costos!$J$5+((V117*F117)/(V$10*F$10)-1)*costos!$K$5)))</f>
        <v>9327.4322215449647</v>
      </c>
      <c r="BZ117" s="268">
        <f>$BZ$10*(1+((H117/$H$10-1)*costos!$B$6+((I117*F117)/($I$10*$F$10)-1)*costos!$E$6+((J117*F117)/(($J$10*$F$10)-1)*costos!$F$6/3+((K117*F117)/($K$10*$F$10)-1)*costos!$F$6/3+((U117*F117)/($U$10*$F$10)-1)*costos!$F$6/3+((L117*F117)/($L$10*$F$10)-1)*costos!$G$6+((Q117*F117)/($Q$10*$F$10)-1)*costos!$J$6+((V117*F117)/($V$10*$F$10)-1)*costos!$K$6)))</f>
        <v>8768.743782254729</v>
      </c>
      <c r="CA117" s="268">
        <f>CA$10*(1+((H117/H$10-1)*costos!$B$7+((I117*F117)/(I$10*F$10)-1)*costos!$E$7+((J117*F117)/((J$10*F$10)-1)*costos!$F$7/3+((K117*F117)/(K$10*F$10)-1)*costos!$F$7/3+((U117*F117)/(U$10*F$10)-1)*costos!$F$7/3+((L117*F117)/(L$10*F$10)-1)*costos!$G$7+((S117*F117)/(S$10*F$10)-1)*costos!$J$7+((V117*F117)/(V$10*F$10)-1)*costos!$K$7)))</f>
        <v>8789.1396567637894</v>
      </c>
      <c r="CB117" s="268">
        <f>CB$10*(1+((H117/H$10-1)*costos!$B$8+((I117*F117)/(I$10*F$10)-1)*costos!$E$8+((J117*F117)/((J$10*F$10)-1)*costos!$F$8/3+((K117*F117)/(K$10*F$10)-1)*costos!$F$8/3+((U117*F117)/(U$10*F$10)-1)*costos!$F$8/3+((L117*F117)/(L$10*F$10)-1)*costos!$G$8+((T117*F117)/(T$10*F$10)-1)*costos!$J$8+((V117*F117)/(V$10*F$10)-1)*costos!$K$8)))</f>
        <v>9203.859964056197</v>
      </c>
      <c r="CC117" s="268">
        <f>CC$10*(1+((H117/H$10-1)*costos!$B$9+((I117*F117)/(I$10*F$10)-1)*costos!$E$9+((J117*F117)/((J$10*F$10)-1)*costos!$F$9/3+((K117*F117)/(K$10*F$10)-1)*costos!$F$9/3+((U117*F117)/(U$10*F$10)-1)*costos!$F$9/3+((L117*F117)/(L$10*F$10)-1)*costos!$G$9+((U117*F117)/(U$10*F$10)-1)*costos!$J$9+((V117*F117)/(V$10*F$10)-1)*costos!$K$9)))</f>
        <v>8927.796246237147</v>
      </c>
      <c r="CD117" s="268">
        <f>CD$10*(1+((H117/H$10-1)*costos!$B$11+((I117*F117)/(I$10*F$10)-1)*costos!$E$11+((J117*F117)/((J$10*F$10)-1)*costos!$F$11/3+((K117*F117)/(K$10*F$10)-1)*costos!$F$11/3+((U117*F117)/(U$10*F$10)-1)*costos!$F$11/3+((L117*F117)/(L$10*F$10)-1)*costos!$G$11+((V117*F117)/(V$10*F$10)-1)*costos!$J$11+((V117*F117)/(V$10*F$10)-1)*costos!$K$11)))</f>
        <v>8948.3989025263236</v>
      </c>
      <c r="CE117" s="268">
        <f>CE$10*(1+((H117/H$10-1)*costos!$B$12+((I117*F117)/(I$10*F$10)-1)*costos!$E$12+((J117*F117)/((J$10*F$10)-1)*costos!$F$12/3+((K117*F117)/(K$10*F$10)-1)*costos!$F$12/3+((U117*F117)/(U$10*F$10)-1)*costos!$F$12/3+((L117*F117)/(L$10*F$10)-1)*costos!$G$12+((W117*F117)/(W$10*F$10)-1)*costos!$J$12+((V117*F117)/(V$10*F$10)-1)*costos!$K$12)))</f>
        <v>9289.0640018409795</v>
      </c>
      <c r="CF117" s="268">
        <f>CF$10*(1+((H117/H$10-1)*costos!$B$13+((I117*F117)/(I$10*F$10)-1)*costos!$E$13+((J117*F117)/((J$10*F$10)-1)*costos!$F$13/3+((K117*F117)/(K$10*F$10)-1)*costos!$F$13/3+((U117*F117)/(U$10*F$10)-1)*costos!$F$13/3+((L117*F117)/(L$10*F$10)-1)*costos!$G$13+((X117*F117)/(X$10*F$10)-1)*costos!$J$13+((V117*F117)/(V$10*F$10)-1)*costos!$K$13)))</f>
        <v>9140.0147483990531</v>
      </c>
      <c r="CG117" s="268">
        <f t="shared" si="447"/>
        <v>9049.7122533039164</v>
      </c>
      <c r="CH117" s="268">
        <f>CH$10*(1+((H117/H$10-1)*costos!$B$10+((I117*F117)/(I$10*F$10)-1)*costos!$E$10+((J117*F117)/((J$10*F$10)-1)*costos!$F$10/3+((K117*F117)/(K$10*F$10)-1)*costos!$F$10/3+((U117*F117)/(U$10*F$10)-1)*costos!$F$10/3+((L117*F117)/(L$10*F$10)-1)*costos!$G$10+((AF117)/(AF$10)-1)*costos!$J$10+((V117*F117)/(V$10*F$10)-1)*costos!$K$10)))</f>
        <v>10628.872719150137</v>
      </c>
      <c r="CI117" s="268">
        <f>CI$10*(1+((H117/H$10-1)*costos!$B$15+((I117*F117)/(I$10*F$10)-1)*costos!$E$15+((J117*F117)/((J$10*F$10)-1)*costos!$F$15/3+((K117*F117)/(K$10*F$10)-1)*costos!$F$15/3+((U117*F117)/(U$10*F$10)-1)*costos!$F$15/3+((L117*F117)/(L$10*F$10)-1)*costos!$G$15+((AV117)/(AV$10)-1)*costos!$J$15+((V117*F117)/(V$10*F$10)-1)*costos!$K$15)))</f>
        <v>8986.4615840663555</v>
      </c>
      <c r="CJ117" s="268">
        <f>CJ$10*(1+((H117/H$10-1)*costos!$B$16+((I117*F117)/(I$10*F$10)-1)*costos!$E$16+((J117*F117)/((J$10*F$10)-1)*costos!$F$16/3+((K117*F117)/(K$10*F$10)-1)*costos!$F$16/3+((U117*F117)/(U$10*F$10)-1)*costos!$F$16/3+((L117*F117)/(L$10*F$10)-1)*costos!$G$16+((AW117)/(AW$10)-1)*costos!$J$16+((V117*F117)/(V$10*F$10)-1)*costos!$K$16)))</f>
        <v>8427.7054750736133</v>
      </c>
      <c r="CK117" s="268">
        <f>CK$10*(1+((H117/H$10-1)*costos!$B$17+((I117*F117)/(I$10*F$10)-1)*costos!$E$17+((J117*F117)/((J$10*F$10)-1)*costos!$F$17/3+((K117*F117)/(K$10*F$10)-1)*costos!$F$17/3+((U117*F117)/(U$10*F$10)-1)*costos!$F$17/3+((L117*F117)/(L$10*F$10)-1)*costos!$G$17+((AX117)/(AX$10)-1)*costos!$J$17+((V117*F117)/(V$10*F$10)-1)*costos!$K$17)))</f>
        <v>9248.5753288529304</v>
      </c>
      <c r="CL117" s="268">
        <f>CL$10*(1+((H117/H$10-1)*costos!$B$18+((I117*F117)/(I$10*F$10)-1)*costos!$E$18+((J117*F117)/((J$10*F$10)-1)*costos!$F$18/3+((K117*F117)/(K$10*F$10)-1)*costos!$F$18/3+((U117*F117)/(U$10*F$10)-1)*costos!$F$18/3+((L117*F117)/(L$10*F$10)-1)*costos!$G$18+((AY117)/(AY$10)-1)*costos!$J$18+((V117*F117)/(V$10*F$10)-1)*costos!$K$18)))</f>
        <v>8525.371986519498</v>
      </c>
      <c r="CM117" s="268">
        <f>CM$10*(1+((H117/H$10-1)*costos!$B$19+((I117*F117)/(I$10*F$10)-1)*costos!$E$19+((J117*F117)/((J$10*F$10)-1)*costos!$F$19/3+((K117*F117)/(K$10*F$10)-1)*costos!$F$19/3+((U117*F117)/(U$10*F$10)-1)*costos!$F$19/3+((L117*F117)/(L$10*F$10)-1)*costos!$G$19+((AZ117)/(AZ$10)-1)*costos!$J$19+((V117*F117)/(V$10*F$10)-1)*costos!$K$19)))</f>
        <v>9144.4144541079622</v>
      </c>
      <c r="CN117" s="268">
        <f>CN$10*(1+((H117/H$10-1)*costos!$B$20+((I117*F117)/(I$10*F$10)-1)*costos!$E$20+((J117*F117)/((J$10*F$10)-1)*costos!$F$20/3+((K117*F117)/(K$10*F$10)-1)*costos!$F$20/3+((U117*F117)/(U$10*F$10)-1)*costos!$F$20/3+((L117*F117)/(L$10*F$10)-1)*costos!$G$20+((BA117)/(BA$10)-1)*costos!$J$20+((V117*F117)/(V$10*F$10)-1)*costos!$K$20)))</f>
        <v>10993.313595335921</v>
      </c>
      <c r="CO117" s="268">
        <f t="shared" si="448"/>
        <v>9477.9188412040785</v>
      </c>
      <c r="CP117" s="268">
        <f>CP$10*(1+((H117/H$10-1)*costos!$B$22+((I117*F117)/(I$10*F$10)-1)*costos!$E$22+((J117*F117)/((J$10*F$10)-1)*costos!$F$22/3+((K117*F117)/(K$10*F$10)-1)*costos!$F$22/3+((U117*F117)/(U$10*F$10)-1)*costos!$F$22/3+((L117*F117)/(L$10*F$10)-1)*costos!$G$22+(((AVERAGE(AI117:AL117))/((AVERAGE(AI$10:AL$10))-1)*costos!$J$22+((V117*F117)/(V$10*F$10)-1)*costos!$K$22)))))</f>
        <v>10501.695222271172</v>
      </c>
      <c r="CQ117" s="92">
        <f>CQ$10*(1+((H117/H$10-1)*costos!$B$23+((I117*F117)/(I$10*F$10)-1)*costos!$E$23+((J117*F117)/((J$10*F$10)-1)*costos!$F$23/3+((K117*F117)/(K$10*F$10)-1)*costos!$F$23/3+((U117*F117)/(U$10*F$10)-1)*costos!$F$23/3+((L117*F117)/(L$10*F$10)-1)*costos!$G$23+((AN117)/(AN$10)-1)*costos!$J$23+((V117*F117)/(V$10*F$10)-1)*costos!$K$23)))</f>
        <v>9250.0958540033716</v>
      </c>
      <c r="CR117" s="268">
        <f>CR$10*(1+((H117/H$10-1)*costos!$B$24+((I117*F117)/(I$10*F$10)-1)*costos!$E$24+((J117*F117)/((J$10*F$10)-1)*costos!$F$24/3+((K117*F117)/(K$10*F$10)-1)*costos!$F$24/3+((U117*F117)/(U$10*F$10)-1)*costos!$F$24/3+((L117*F117)/(L$10*F$10)-1)*costos!$G$24+((AO117)/(AO$10)-1)*costos!$J$24+((V117*F117)/(V$10*F$10)-1)*costos!$K$24)))</f>
        <v>9412.9489853412233</v>
      </c>
      <c r="CS117" s="92">
        <f t="shared" si="352"/>
        <v>9331.5224196722975</v>
      </c>
      <c r="CT117" s="268">
        <f>CT$10*(1+((H117/H$10-1)*costos!$B$25+((I117*F117)/(I$10*F$10)-1)*costos!$E$25+((J117*F117)/((J$10*F$10)-1)*costos!$F$25/3+((K117*F117)/(K$10*F$10)-1)*costos!$F$25/3+((U117*F117)/(U$10*F$10)-1)*costos!$F$25/3+((L117*F117)/(L$10*F$10)-1)*costos!$G$25+((AQ117)/(AQ$10)-1)*costos!$J$25+((V117*F117)/(V$10*F$10)-1)*costos!$K$25)))</f>
        <v>9902.9296965221838</v>
      </c>
      <c r="CU117" s="268">
        <f>CU$10*(1+((H117/H$10-1)*costos!$B$26+((I117*F117)/(I$10*F$10)-1)*costos!$E$26+((J117*F117)/((J$10*F$10)-1)*costos!$F$26/3+((K117*F117)/(K$10*F$10)-1)*costos!$F$26/3+((U117*F117)/(U$10*F$10)-1)*costos!$F$26/3+((L117*F117)/(L$10*F$10)-1)*costos!$G$26+((AR117)/(AR$10)-1)*costos!$J$26+((V117*F117)/(V$10*F$10)-1)*costos!$K$26)))</f>
        <v>9030.5633310603007</v>
      </c>
      <c r="CV117" s="268">
        <f>CV$10*(1+((H117/H$10-1)*costos!$B$27+((I117*F117)/(I$10*F$10)-1)*costos!$E$27+((J117*F117)/((J$10*F$10)-1)*costos!$F$27/3+((K117*F117)/(K$10*F$10)-1)*costos!$F$27/3+((U117*F117)/(U$10*F$10)-1)*costos!$F$27/3+((L117*F117)/(L$10*F$10)-1)*costos!$G$27+((AS117)/(AS$10)-1)*costos!$J$27+((V117*F117)/(V$10*F$10)-1)*costos!$K$27)))</f>
        <v>8599.1118362519483</v>
      </c>
      <c r="CW117" s="268">
        <f>CW$10*(1+((H117/H$10-1)*costos!$B$28+((I117*F117)/(I$10*F$10)-1)*costos!$E$28+((J117*F117)/((J$10*F$10)-1)*costos!$F$28/3+((K117*F117)/(K$10*F$10)-1)*costos!$F$28/3+((U117*F117)/(U$10*F$10)-1)*costos!$F$28/3+((L117*F117)/(L$10*F$10)-1)*costos!$G$28+((AS117)/(AS$10)-1)*costos!$J$28+((V117*F117)/(V$10*F$10)-1)*costos!$K$28)))</f>
        <v>8599.1118362519483</v>
      </c>
      <c r="CX117" s="268">
        <f t="shared" si="449"/>
        <v>8742.9290011880657</v>
      </c>
      <c r="CY117" s="268">
        <f>CY$10*(1+((H117/H$10-1)*costos!$B$32+((I117*F117)/(I$10*F$10)-1)*costos!$E$32+((J117*F117)/((J$10*F$10)-1)*costos!$F$32/3+((K117*F117)/(K$10*F$10)-1)*costos!$F$32/3+((U117*F117)/(U$10*F$10)-1)*costos!$F$32/3+((L117*F117)/(L$10*F$10)-1)*costos!$G$32+((AG117)/(AG$10)-1)*costos!$J$32+((V117*F117)/(V$10*F$10)-1)*costos!$K$32)))</f>
        <v>8887.6920145842287</v>
      </c>
      <c r="CZ117" s="69">
        <f>CZ$10*(1+((H117/H$10-1)*costos!$B$31+((I117*F117)/(I$10*F$10)-1)*costos!$E$30+((J117*F117)/((J$10*F$10)-1)*costos!$F$30/3+((K117*F117)/(K$10*F$10)-1)*costos!$F$30/3+((U117*F117)/(U$10*F$10)-1)*costos!$F$30/3+((L117*F117)/(L$10*F$10)-1)*costos!$G$30+((BG117)/(BG$10)-1)*costos!$J$30+((V117*F117)/(V$10*F$10)-1)*costos!$K$30)))</f>
        <v>11297.627050362329</v>
      </c>
      <c r="DA117" s="69">
        <f>DA$10*(1+((H117/H$10-1)*costos!$B$31+((I117*F117)/(I$10*F$10)-1)*costos!$E$31+((J117*F117)/((J$10*F$10)-1)*costos!$F$31/3+((K117*F117)/(K$10*F$10)-1)*costos!$F$31/3+((U117*F117)/(U$10*F$10)-1)*costos!$F$31/3+((L117*F117)/(L$10*F$10)-1)*costos!$G$31+((BJ117)/(BJ$10)-1)*costos!$J$31+((V117*F117)/(V$10*F$10)-1)*costos!$K$31)))</f>
        <v>9273.5198806166827</v>
      </c>
      <c r="DB117" s="69">
        <f>DB$10*(1+((H117/H$10-1)*costos!$B$36+((I117*F117)/(I$10*F$10)-1)*costos!$E$36+((J117*F117)/((J$10*F$10)-1)*costos!$F$36/3+((K117*F117)/(K$10*F$10)-1)*costos!$F$36/3+((U117*F117)/(U$10*F$10)-1)*costos!$F$36/3+((L117*F117)/(L$10*F$10)-1)*costos!$G$36+((BK117)/(BK$10)-1)*costos!$J$36+((V117*F117)/(V$10*F$10)-1)*costos!$K$36)))</f>
        <v>9235.164257286302</v>
      </c>
      <c r="DC117" s="69">
        <f>DC$10*(1+((H117/H$10-1)*costos!$B$37+((I117*F117)/(I$10*F$10)-1)*costos!$E$37+((U117*F117)/(U$10*F$10)-1)*costos!$F$37+((L117*F117)/(L$10*F$10)-1)*costos!$G$37+((BN117)/(BN$10)-1)*costos!$J$37+((V117*F117)/(V$10*F$10)-1)*costos!$K$37))</f>
        <v>9368.2317911363207</v>
      </c>
      <c r="DD117" s="69">
        <f>DD$10*(1+((H117/H$10-1)*costos!$B$39+((I117*F117)/(I$10*F$10)-1)*costos!$E$39+((U117*F117)/(U$10*F$10)-1)*costos!$F$39+((L117*F117)/(L$10*F$10)-1)*costos!$G$39+((BR117)/(BR$10)-1)*costos!$J$39+((V117*F117)/(V$10*F$10)-1)*costos!$K$39))</f>
        <v>9139.625218570618</v>
      </c>
      <c r="DE117" s="69">
        <f>DD$10*(1+((H117/H$10-1)*costos!$B$35+((I117*F117)/(I$10*F$10)-1)*costos!$E$35+((U117*F117)/(U$10*F$10)-1)*costos!$F$35+((L117*F117)/(L$10*F$10)-1)*costos!$G$35+((BR117)/(BR$10)-1)*costos!$J$35+((V117*F117)/(V$10*F$10)-1)*costos!$K$35))</f>
        <v>8045.3168490363114</v>
      </c>
      <c r="DF117" s="69">
        <f>DF$10*(1+((H117/H$10-1)*costos!$B$40+((I117*F117)/(I$10*F$10)-1)*costos!$E$40+((U117*F117)/(U$10*F$10)-1)*costos!$F$40+((L117*F117)/(L$10*F$10)-1)*costos!$G$40+((BP117)/(BP$10)-1)*costos!$J$40+((V117*F117)/(V$10*F$10)-1)*costos!$K$40))</f>
        <v>9296.1246668680014</v>
      </c>
      <c r="DG117" s="268">
        <f t="shared" ref="DG117:DG122" si="461">+((DE117/$DE$10)*100+DF117)/2</f>
        <v>8670.7207579521564</v>
      </c>
      <c r="DH117" s="69">
        <f>DH$10*(1+((H117/H$10-1)*costos!$B$34+((I117*F117)/(I$10*F$10)-1)*costos!$E$34+((J117*F117)/((J$10*F$10)-1)*costos!$F$34/3+((K117*F117)/(K$10*F$10)-1)*costos!$F$34/3+((U117*F117)/(U$10*F$10)-1)*costos!$F$34/3+((L117*F117)/(L$10*F$10)-1)*costos!$G$34+((BV117)/(BV$10)-1)*costos!$J$34+((V117*F117)/(V$10*F$10)-1)*costos!$K$34)))</f>
        <v>9132.0558970408547</v>
      </c>
      <c r="DI117" s="69">
        <f>DI$10*(1+((H117/H$10-1)*costos!$B$38+((I117*F117)/(I$10*F$10)-1)*costos!$E$38+((J117*F117)/((J$10*F$10)-1)*costos!$F$38/3+((K117*F117)/(K$10*F$10)-1)*costos!$F$38/3+((U117*F117)/(U$10*F$10)-1)*costos!$F$38/3+((L117*F117)/(L$10*F$10)-1)*costos!$G$38+((BU117)/(BU$10)-1)*costos!$J$38+((V117*F117)/(V$10*F$10)-1)*costos!$K$38)))</f>
        <v>9348.6926859568448</v>
      </c>
      <c r="DK117" s="1">
        <v>690000</v>
      </c>
      <c r="DL117" s="1" t="s">
        <v>512</v>
      </c>
      <c r="DM117" s="1">
        <v>230000</v>
      </c>
      <c r="DN117" s="1" t="s">
        <v>512</v>
      </c>
      <c r="DO117" s="1">
        <v>1600000</v>
      </c>
      <c r="DP117" s="1" t="s">
        <v>512</v>
      </c>
      <c r="DQ117" s="1">
        <v>2000000</v>
      </c>
      <c r="DR117" s="1" t="s">
        <v>512</v>
      </c>
      <c r="DS117" s="1">
        <v>6600000</v>
      </c>
      <c r="DT117" s="1" t="s">
        <v>512</v>
      </c>
      <c r="DU117" s="1">
        <v>18000000</v>
      </c>
      <c r="DV117" s="1" t="s">
        <v>512</v>
      </c>
      <c r="DW117" s="1">
        <v>1100000</v>
      </c>
      <c r="DX117" s="1" t="s">
        <v>512</v>
      </c>
      <c r="DY117" s="1">
        <v>6550000</v>
      </c>
      <c r="DZ117" s="1" t="s">
        <v>512</v>
      </c>
      <c r="EA117" s="79">
        <f t="shared" si="353"/>
        <v>35850000</v>
      </c>
      <c r="EB117" s="1">
        <v>521230</v>
      </c>
      <c r="EC117" s="1" t="s">
        <v>512</v>
      </c>
      <c r="ED117" s="1">
        <v>230256</v>
      </c>
      <c r="EE117" s="143">
        <v>2024</v>
      </c>
      <c r="EF117" s="1">
        <v>199946</v>
      </c>
      <c r="EG117" s="6">
        <v>2024</v>
      </c>
      <c r="EH117" s="1">
        <v>52783892</v>
      </c>
      <c r="EI117" s="6">
        <v>2024</v>
      </c>
      <c r="EJ117" s="1">
        <v>6115215</v>
      </c>
      <c r="EK117" s="6">
        <v>2024</v>
      </c>
      <c r="EL117" s="1">
        <v>12440906</v>
      </c>
      <c r="EM117" s="6">
        <v>2024</v>
      </c>
      <c r="EN117" s="1">
        <v>3169981</v>
      </c>
      <c r="EO117" s="6">
        <v>2021</v>
      </c>
      <c r="EP117" s="83">
        <v>9173</v>
      </c>
      <c r="EQ117" s="83">
        <v>3500000</v>
      </c>
      <c r="ER117" s="1">
        <f t="shared" si="430"/>
        <v>80248</v>
      </c>
      <c r="ES117" s="1"/>
      <c r="ET117" s="83">
        <f t="shared" si="451"/>
        <v>19357</v>
      </c>
      <c r="EU117" s="83">
        <f t="shared" si="451"/>
        <v>18703</v>
      </c>
      <c r="EV117" s="83">
        <f t="shared" si="451"/>
        <v>8927</v>
      </c>
      <c r="EW117" s="83">
        <f t="shared" si="451"/>
        <v>17408</v>
      </c>
      <c r="EX117" s="79">
        <f t="shared" si="354"/>
        <v>64395</v>
      </c>
      <c r="EY117" s="83">
        <f t="shared" si="394"/>
        <v>20031</v>
      </c>
      <c r="EZ117" s="83">
        <f t="shared" si="394"/>
        <v>34815</v>
      </c>
      <c r="FA117" s="83">
        <f t="shared" si="431"/>
        <v>19900</v>
      </c>
      <c r="FB117" s="83">
        <f t="shared" si="406"/>
        <v>18184</v>
      </c>
      <c r="FC117" s="79">
        <f t="shared" si="452"/>
        <v>38084</v>
      </c>
      <c r="FD117" s="83">
        <f t="shared" si="395"/>
        <v>60376</v>
      </c>
      <c r="FE117" s="1"/>
      <c r="FF117" s="1">
        <v>1300000</v>
      </c>
      <c r="FG117" s="1" t="s">
        <v>410</v>
      </c>
      <c r="FH117" s="1">
        <v>1300000</v>
      </c>
      <c r="FI117" s="1" t="s">
        <v>410</v>
      </c>
      <c r="FJ117" s="1">
        <v>5100000</v>
      </c>
      <c r="FK117" s="1" t="s">
        <v>512</v>
      </c>
      <c r="FL117" s="1">
        <v>3900000</v>
      </c>
      <c r="FM117" s="1" t="s">
        <v>410</v>
      </c>
      <c r="FN117" s="1">
        <v>46500000</v>
      </c>
      <c r="FO117" s="1" t="s">
        <v>410</v>
      </c>
      <c r="FP117" s="1">
        <v>48200000</v>
      </c>
      <c r="FQ117" s="1" t="s">
        <v>410</v>
      </c>
      <c r="FR117" s="1">
        <v>2500000</v>
      </c>
      <c r="FS117" s="1" t="s">
        <v>410</v>
      </c>
      <c r="FT117" s="1">
        <v>15853000</v>
      </c>
      <c r="FU117" s="1" t="s">
        <v>410</v>
      </c>
      <c r="FV117" s="79">
        <f t="shared" si="355"/>
        <v>122053000</v>
      </c>
      <c r="FW117" s="1">
        <v>1604722</v>
      </c>
      <c r="FX117" s="1" t="s">
        <v>410</v>
      </c>
      <c r="FY117" s="1">
        <v>18211</v>
      </c>
      <c r="FZ117" s="79">
        <f t="shared" si="377"/>
        <v>985731</v>
      </c>
      <c r="GA117" s="86" t="str">
        <f t="shared" ref="GA117:GA141" si="462">TEXT($A106,"mmm")&amp;""&amp;MID($C106,3,2)&amp;" "&amp;TEXT($A117,"mmm")&amp;""&amp;MID($C117,3,2)</f>
        <v>ene24 dic24</v>
      </c>
      <c r="GB117" s="1">
        <v>19189740</v>
      </c>
      <c r="GC117" s="6">
        <v>2024</v>
      </c>
      <c r="GD117" s="1">
        <v>1714000</v>
      </c>
      <c r="GE117" s="1">
        <v>424000</v>
      </c>
      <c r="GF117" s="1">
        <v>1165000</v>
      </c>
      <c r="GG117" s="1">
        <v>145000</v>
      </c>
      <c r="GH117" s="79">
        <f t="shared" si="450"/>
        <v>1734000</v>
      </c>
      <c r="GI117" s="82">
        <f t="shared" ref="GI117:GM129" si="463">+GI116</f>
        <v>1302556</v>
      </c>
      <c r="GJ117" s="83">
        <f t="shared" si="463"/>
        <v>682423</v>
      </c>
      <c r="GK117" s="83">
        <f t="shared" si="463"/>
        <v>1391495</v>
      </c>
      <c r="GL117" s="83">
        <f t="shared" si="463"/>
        <v>305049</v>
      </c>
      <c r="GM117" s="83">
        <f t="shared" si="463"/>
        <v>260419</v>
      </c>
      <c r="GN117" s="79">
        <f t="shared" si="357"/>
        <v>2639386</v>
      </c>
      <c r="GO117" s="83">
        <f t="shared" ref="GO117:GP129" si="464">+GO116</f>
        <v>201734</v>
      </c>
      <c r="GP117" s="83">
        <f t="shared" si="464"/>
        <v>69297</v>
      </c>
      <c r="GQ117" s="83">
        <v>143810</v>
      </c>
      <c r="GR117" s="1">
        <v>34035</v>
      </c>
      <c r="GS117" s="79">
        <f t="shared" si="412"/>
        <v>38349.300000000003</v>
      </c>
      <c r="GT117" s="83">
        <f t="shared" si="407"/>
        <v>2111561</v>
      </c>
      <c r="GU117" s="83">
        <f>12291+5934</f>
        <v>18225</v>
      </c>
      <c r="GV117" s="83">
        <f>5394+20917</f>
        <v>26311</v>
      </c>
      <c r="GW117" s="79">
        <f t="shared" si="455"/>
        <v>762389</v>
      </c>
      <c r="GX117" s="1">
        <v>30804.553</v>
      </c>
      <c r="GY117" s="1" t="s">
        <v>436</v>
      </c>
      <c r="GZ117" s="1">
        <v>80786</v>
      </c>
      <c r="HA117" s="1">
        <v>280798</v>
      </c>
      <c r="HB117" s="79">
        <f t="shared" si="437"/>
        <v>3163436</v>
      </c>
      <c r="HC117" s="86" t="str">
        <f t="shared" ref="HC117:HC141" si="465">TEXT($A106,"mmm")&amp;""&amp;MID($C106,3,2)&amp;" "&amp;TEXT($A117,"mmm")&amp;""&amp;MID($C117,3,2)</f>
        <v>ene24 dic24</v>
      </c>
      <c r="HD117" s="1">
        <v>68570</v>
      </c>
      <c r="HE117" s="79">
        <f t="shared" si="380"/>
        <v>785777</v>
      </c>
      <c r="HF117" s="86" t="str">
        <f t="shared" ref="HF117:HF141" si="466">TEXT($A106,"mmm")&amp;""&amp;MID($C106,3,2)&amp;" "&amp;TEXT($A117,"mmm")&amp;""&amp;MID($C117,3,2)</f>
        <v>ene24 dic24</v>
      </c>
      <c r="HG117" s="1">
        <v>201000</v>
      </c>
      <c r="HH117" s="79">
        <f t="shared" si="438"/>
        <v>2305000</v>
      </c>
      <c r="HI117" s="86" t="str">
        <f t="shared" ref="HI117:HI141" si="467">TEXT($A106,"mmm")&amp;""&amp;MID($C106,3,2)&amp;" "&amp;TEXT($A117,"mmm")&amp;""&amp;MID($C117,3,2)</f>
        <v>ene24 dic24</v>
      </c>
      <c r="HJ117" s="1">
        <v>82963.399999999994</v>
      </c>
      <c r="HK117" s="79">
        <f t="shared" si="278"/>
        <v>64431.526299286779</v>
      </c>
      <c r="HL117" s="86" t="str">
        <f t="shared" ref="HL117:HL141" si="468">TEXT($A106,"mmm")&amp;""&amp;MID($C106,3,2)&amp;" "&amp;TEXT($A117,"mmm")&amp;""&amp;MID($C117,3,2)</f>
        <v>ene24 dic24</v>
      </c>
      <c r="HM117" s="79">
        <f t="shared" si="358"/>
        <v>2369431.5262992866</v>
      </c>
      <c r="HN117" s="87">
        <f t="shared" si="297"/>
        <v>7.1312302839116715E-2</v>
      </c>
      <c r="HO117" s="1">
        <v>1018818000</v>
      </c>
      <c r="HP117" s="79">
        <f t="shared" si="386"/>
        <v>10440.761656900922</v>
      </c>
      <c r="HQ117" s="86" t="str">
        <f t="shared" ref="HQ117:HQ141" si="469">TEXT($A106,"mmm")&amp;""&amp;MID($C106,3,2)&amp;" "&amp;TEXT($A117,"mmm")&amp;""&amp;MID($C117,3,2)</f>
        <v>ene24 dic24</v>
      </c>
      <c r="HR117" s="1"/>
      <c r="HS117" s="1"/>
      <c r="HT117" s="1"/>
      <c r="HU117" s="1">
        <v>700000</v>
      </c>
      <c r="HV117" s="1" t="s">
        <v>410</v>
      </c>
      <c r="HW117" s="1">
        <v>1400000</v>
      </c>
      <c r="HX117" s="1" t="s">
        <v>512</v>
      </c>
      <c r="HY117" s="1">
        <v>4600000</v>
      </c>
      <c r="HZ117" s="1" t="s">
        <v>410</v>
      </c>
      <c r="IA117" s="1">
        <f t="shared" si="456"/>
        <v>21600000</v>
      </c>
      <c r="IB117" s="1" t="s">
        <v>410</v>
      </c>
      <c r="IC117" s="1">
        <v>45000000</v>
      </c>
      <c r="ID117" s="1" t="s">
        <v>410</v>
      </c>
      <c r="IE117" s="1">
        <v>1500000</v>
      </c>
      <c r="IF117" s="1" t="s">
        <v>410</v>
      </c>
      <c r="IG117" s="1">
        <v>7480000</v>
      </c>
      <c r="IH117" s="1" t="s">
        <v>512</v>
      </c>
      <c r="II117" s="79">
        <f t="shared" si="359"/>
        <v>81580000</v>
      </c>
      <c r="IJ117" s="97">
        <f t="shared" si="434"/>
        <v>2.1563835150032644</v>
      </c>
      <c r="IK117" s="1" t="s">
        <v>410</v>
      </c>
      <c r="IL117" s="7">
        <v>45.2</v>
      </c>
      <c r="IM117" s="7">
        <v>47.81</v>
      </c>
      <c r="IN117" s="7">
        <v>170.9</v>
      </c>
      <c r="IO117" s="7">
        <v>17.13</v>
      </c>
      <c r="IP117" s="176">
        <f t="shared" si="432"/>
        <v>5.5693606783423002</v>
      </c>
      <c r="IQ117" s="176">
        <v>16.3</v>
      </c>
      <c r="IR117" s="478">
        <f t="shared" si="459"/>
        <v>6.09</v>
      </c>
      <c r="IS117" s="478">
        <f t="shared" si="460"/>
        <v>4.03</v>
      </c>
      <c r="IT117" s="478">
        <f t="shared" si="460"/>
        <v>11.98</v>
      </c>
      <c r="IU117" s="478">
        <f t="shared" si="460"/>
        <v>1.38</v>
      </c>
      <c r="IV117" s="94">
        <f t="shared" si="360"/>
        <v>17.39</v>
      </c>
      <c r="IW117" s="1"/>
      <c r="IX117" s="1"/>
      <c r="IY117" s="80">
        <v>1.88</v>
      </c>
      <c r="IZ117" s="88">
        <v>0.3</v>
      </c>
      <c r="JA117" s="1">
        <v>2813</v>
      </c>
      <c r="JB117" s="95">
        <f t="shared" si="433"/>
        <v>35.950000000000003</v>
      </c>
      <c r="JC117" s="1"/>
      <c r="JD117" s="1"/>
      <c r="JF117" s="2">
        <v>10.78045292</v>
      </c>
      <c r="JG117" s="2">
        <v>13.652213600000001</v>
      </c>
      <c r="JH117" s="2">
        <v>130.70557184</v>
      </c>
      <c r="JI117" s="2">
        <v>131.15903594</v>
      </c>
      <c r="JJ117" s="2">
        <v>595.42616701999987</v>
      </c>
      <c r="JK117" s="2">
        <v>142.99991008000001</v>
      </c>
      <c r="JL117" s="2">
        <v>2059.43945932</v>
      </c>
      <c r="JM117" s="2">
        <v>1.9799975699999997</v>
      </c>
      <c r="JN117" s="2">
        <v>395.13405054000003</v>
      </c>
      <c r="JO117" s="2">
        <v>35.227965569999995</v>
      </c>
      <c r="JP117" s="2">
        <v>0</v>
      </c>
      <c r="JQ117" s="2">
        <v>1.4999999999999999E-2</v>
      </c>
      <c r="JR117" s="2">
        <v>1.0553474899999999</v>
      </c>
      <c r="JS117" s="2">
        <v>0</v>
      </c>
      <c r="JT117" s="2">
        <v>0.09</v>
      </c>
      <c r="JU117" s="2">
        <v>85.381089520000018</v>
      </c>
      <c r="JV117" s="2">
        <v>7.2787885399999999</v>
      </c>
      <c r="JW117" s="2">
        <v>10.384642059999999</v>
      </c>
      <c r="JX117" s="2">
        <v>12.796723269999999</v>
      </c>
      <c r="JY117" s="2">
        <v>0</v>
      </c>
      <c r="JZ117" s="2">
        <v>17.64231771</v>
      </c>
      <c r="KA117" s="2">
        <v>0.41499999999999998</v>
      </c>
      <c r="KB117" s="2">
        <v>11.119065489999999</v>
      </c>
      <c r="KC117" s="2">
        <v>65.18720725</v>
      </c>
      <c r="KD117" s="2">
        <v>10.805856030000001</v>
      </c>
      <c r="KE117" s="2">
        <v>12.184475789999999</v>
      </c>
      <c r="KF117" s="2">
        <v>10.456415849999999</v>
      </c>
      <c r="KG117" s="2">
        <v>372.02787432000008</v>
      </c>
      <c r="KH117" s="2">
        <v>150.81206259999999</v>
      </c>
      <c r="KI117" s="2">
        <v>18.538380959999998</v>
      </c>
      <c r="KJ117" s="2">
        <v>1.9463367499999997</v>
      </c>
      <c r="KK117" s="2">
        <v>8.003268180000001</v>
      </c>
      <c r="KL117" s="2">
        <v>0.25440681999999998</v>
      </c>
      <c r="KM117" s="2">
        <v>0.42843596</v>
      </c>
      <c r="KN117" s="2">
        <v>3.4892920000000001E-2</v>
      </c>
      <c r="KO117" s="2">
        <v>2.5946599900000002</v>
      </c>
      <c r="KP117" s="2">
        <v>0.22862400000000002</v>
      </c>
      <c r="KQ117" s="2">
        <v>46.068522559999998</v>
      </c>
      <c r="KR117" s="2">
        <v>3.0428676100000005</v>
      </c>
      <c r="KS117" s="2">
        <v>2.3318100000000001E-2</v>
      </c>
      <c r="KT117" s="2">
        <v>1.1318278900000001</v>
      </c>
      <c r="KU117" s="2">
        <v>7.4560410000000008E-2</v>
      </c>
      <c r="KV117" s="2">
        <v>1.9726270000000001E-2</v>
      </c>
      <c r="KW117" s="2">
        <v>0.23190816</v>
      </c>
      <c r="KX117" s="2">
        <v>0</v>
      </c>
      <c r="KY117" s="2">
        <v>0</v>
      </c>
      <c r="KZ117" s="2">
        <v>1.6918772199999998</v>
      </c>
      <c r="LA117" s="2">
        <v>6.8745290000000001E-2</v>
      </c>
      <c r="LB117" s="2">
        <v>0</v>
      </c>
      <c r="LC117" s="2">
        <v>5.22547316</v>
      </c>
      <c r="LD117" s="2">
        <v>0</v>
      </c>
      <c r="LE117" s="2">
        <v>0.14311852</v>
      </c>
      <c r="LF117" s="2">
        <v>0.56385777999999998</v>
      </c>
      <c r="LG117" s="2">
        <v>14.036730870000001</v>
      </c>
      <c r="LH117" s="2">
        <v>6.9241559000000006</v>
      </c>
      <c r="LI117" s="2">
        <v>1.1744757299999999</v>
      </c>
      <c r="LJ117" s="2">
        <v>0</v>
      </c>
      <c r="LK117" s="2">
        <v>2.5011971499999999</v>
      </c>
      <c r="LL117" s="2">
        <v>6.7460545699999992</v>
      </c>
      <c r="LM117" s="2">
        <v>1.6254967600000001</v>
      </c>
      <c r="LN117" s="2">
        <v>0.18164933</v>
      </c>
      <c r="LO117" s="2">
        <v>16.354180840000001</v>
      </c>
      <c r="LP117" s="2"/>
      <c r="LQ117" s="85">
        <f t="shared" si="439"/>
        <v>3313.8442822299994</v>
      </c>
      <c r="LR117" s="85">
        <f t="shared" si="440"/>
        <v>1.1603474899999999</v>
      </c>
      <c r="LS117" s="85">
        <v>23.934850630000003</v>
      </c>
      <c r="LT117" s="85">
        <f t="shared" si="442"/>
        <v>18.05731771</v>
      </c>
      <c r="LU117" s="85">
        <f t="shared" si="443"/>
        <v>52.19269714</v>
      </c>
      <c r="LV117" s="85">
        <f t="shared" si="444"/>
        <v>0.25163443000000002</v>
      </c>
      <c r="LW117" s="85">
        <f t="shared" si="445"/>
        <v>6.8745290000000001E-2</v>
      </c>
      <c r="LX117" s="85">
        <f t="shared" si="446"/>
        <v>0.7069763</v>
      </c>
      <c r="LZ117" s="83">
        <v>1400.23</v>
      </c>
      <c r="MA117" s="83">
        <v>2190.58</v>
      </c>
      <c r="MB117"/>
      <c r="MC117"/>
      <c r="MD117"/>
      <c r="MF117"/>
      <c r="MG117"/>
      <c r="MH117" s="83">
        <v>3095.49</v>
      </c>
      <c r="MI117" s="83">
        <v>822.88</v>
      </c>
      <c r="MJ117" s="83">
        <v>1046.6199999999999</v>
      </c>
      <c r="MK117"/>
      <c r="ML117" s="83">
        <v>885.38</v>
      </c>
      <c r="MM117" s="83">
        <v>1261.57</v>
      </c>
      <c r="MN117" s="83"/>
      <c r="MO117" s="83">
        <v>1512.76</v>
      </c>
      <c r="MP117" s="83">
        <v>2166.11</v>
      </c>
      <c r="MQ117" s="83">
        <v>2407.09</v>
      </c>
      <c r="MR117"/>
      <c r="MT117" s="83"/>
      <c r="MU117" s="83">
        <v>906.13</v>
      </c>
      <c r="MV117"/>
      <c r="MW117"/>
      <c r="MX117"/>
      <c r="MY117" s="83">
        <v>2238.0500000000002</v>
      </c>
      <c r="MZ117" s="83">
        <v>6049</v>
      </c>
      <c r="NA117" s="83">
        <v>3071</v>
      </c>
      <c r="NB117" s="83">
        <v>8995</v>
      </c>
      <c r="NC117" s="83">
        <v>1454.57</v>
      </c>
      <c r="ND117" s="1">
        <v>10990</v>
      </c>
      <c r="NE117" s="1">
        <v>6416</v>
      </c>
    </row>
    <row r="118" spans="1:369">
      <c r="A118" s="38">
        <f t="shared" si="417"/>
        <v>45658</v>
      </c>
      <c r="B118" s="36">
        <v>1</v>
      </c>
      <c r="C118" s="36">
        <f>+C117+1</f>
        <v>2025</v>
      </c>
      <c r="D118" s="36">
        <f t="shared" si="347"/>
        <v>118</v>
      </c>
      <c r="E118" s="38">
        <f t="shared" si="418"/>
        <v>45658</v>
      </c>
      <c r="F118" s="281">
        <v>1043.25</v>
      </c>
      <c r="G118" s="7">
        <v>7864.1</v>
      </c>
      <c r="H118" s="1">
        <f>[2]NACIONALES!$D106</f>
        <v>752192.87691157556</v>
      </c>
      <c r="I118" s="281">
        <v>110</v>
      </c>
      <c r="J118" s="281">
        <v>510</v>
      </c>
      <c r="K118" s="281">
        <v>4.4000000000000004</v>
      </c>
      <c r="L118" s="281">
        <v>34.9</v>
      </c>
      <c r="N118" s="5">
        <f>+(1.6+1.6+1.63+1.51)/4</f>
        <v>1.585</v>
      </c>
      <c r="O118" s="5">
        <f>+(1.2+1.19+1.13+1.11)/4</f>
        <v>1.1575</v>
      </c>
      <c r="P118" s="78">
        <f t="shared" si="398"/>
        <v>1359.0287343749997</v>
      </c>
      <c r="Q118" s="6">
        <v>25000</v>
      </c>
      <c r="R118" s="79">
        <f t="shared" si="419"/>
        <v>250000</v>
      </c>
      <c r="S118" s="143">
        <f>187026.32/F118</f>
        <v>179.2727725856698</v>
      </c>
      <c r="T118" s="6">
        <f>343389.09/F118</f>
        <v>329.15321351545651</v>
      </c>
      <c r="U118" s="188">
        <v>199.07</v>
      </c>
      <c r="V118" s="143">
        <v>284.32</v>
      </c>
      <c r="W118" s="143">
        <v>206.6</v>
      </c>
      <c r="X118" s="6">
        <v>195.77</v>
      </c>
      <c r="Y118" s="79">
        <f t="shared" si="420"/>
        <v>187026.32</v>
      </c>
      <c r="Z118" s="79">
        <f t="shared" si="421"/>
        <v>343389.09</v>
      </c>
      <c r="AA118" s="79">
        <f t="shared" si="422"/>
        <v>207679.7775</v>
      </c>
      <c r="AB118" s="79">
        <f t="shared" si="423"/>
        <v>296616.83999999997</v>
      </c>
      <c r="AC118" s="79">
        <f t="shared" si="424"/>
        <v>215535.44999999998</v>
      </c>
      <c r="AD118" s="79">
        <f t="shared" si="425"/>
        <v>204237.05250000002</v>
      </c>
      <c r="AE118" s="79">
        <f t="shared" si="426"/>
        <v>242414.08833333332</v>
      </c>
      <c r="AF118" s="83">
        <f>872*F118</f>
        <v>909714</v>
      </c>
      <c r="AG118" s="1">
        <v>240000</v>
      </c>
      <c r="AH118" s="1">
        <v>900000</v>
      </c>
      <c r="AI118" s="5">
        <v>416.9</v>
      </c>
      <c r="AJ118" s="5">
        <v>320.88</v>
      </c>
      <c r="AK118" s="5">
        <v>287.56</v>
      </c>
      <c r="AL118" s="5">
        <v>312.93</v>
      </c>
      <c r="AM118" s="78">
        <f t="shared" si="458"/>
        <v>354.47800000000001</v>
      </c>
      <c r="AN118" s="7">
        <v>30850.64935064935</v>
      </c>
      <c r="AO118" s="7">
        <v>18191.227272727272</v>
      </c>
      <c r="AP118" s="78">
        <f t="shared" ref="AP118:AP135" si="470">IFERROR(+AVERAGE(AO118:AO118),"")</f>
        <v>18191.227272727272</v>
      </c>
      <c r="AQ118" s="7">
        <v>43830.357142857145</v>
      </c>
      <c r="AR118" s="7">
        <v>26187.5</v>
      </c>
      <c r="AS118" s="7">
        <v>7977.272727272727</v>
      </c>
      <c r="AT118" s="7">
        <v>21083.31818181818</v>
      </c>
      <c r="AU118" s="78">
        <f>IFERROR(+AVERAGE(AR118:AT118),"")</f>
        <v>18416.030303030304</v>
      </c>
      <c r="AV118" s="7">
        <v>3901.3333333333335</v>
      </c>
      <c r="AW118" s="7">
        <v>8894.1176470588234</v>
      </c>
      <c r="AX118" s="7">
        <v>5481.9588235294123</v>
      </c>
      <c r="AY118" s="7">
        <v>5692.5531914893618</v>
      </c>
      <c r="AZ118" s="7">
        <v>11649.64705882353</v>
      </c>
      <c r="BA118" s="95">
        <v>16300</v>
      </c>
      <c r="BB118" s="94">
        <f t="shared" si="345"/>
        <v>10262.76755319149</v>
      </c>
      <c r="BC118" s="68">
        <v>37929</v>
      </c>
      <c r="BD118" s="68">
        <v>34137</v>
      </c>
      <c r="BE118" s="7">
        <v>20500</v>
      </c>
      <c r="BF118" s="7">
        <v>15500</v>
      </c>
      <c r="BG118" s="94">
        <f>+IFERROR(AVERAGE(BC118:BF118),"")</f>
        <v>27016.5</v>
      </c>
      <c r="BH118" s="280">
        <v>2820</v>
      </c>
      <c r="BI118" s="554">
        <f t="shared" si="454"/>
        <v>855</v>
      </c>
      <c r="BJ118" s="78">
        <f t="shared" si="350"/>
        <v>3675</v>
      </c>
      <c r="BK118" s="7">
        <v>2479.7080000000001</v>
      </c>
      <c r="BL118" s="7">
        <v>3042</v>
      </c>
      <c r="BM118" s="94">
        <f t="shared" si="351"/>
        <v>2760.8540000000003</v>
      </c>
      <c r="BN118" s="5">
        <v>444.11</v>
      </c>
      <c r="BO118" s="84">
        <v>1765.3</v>
      </c>
      <c r="BP118" s="84">
        <v>1477.77</v>
      </c>
      <c r="BQ118" s="94">
        <f t="shared" si="435"/>
        <v>1621.5349999999999</v>
      </c>
      <c r="BR118" s="7">
        <f>+(1527+1574.99+1632.23+1640.66+1636.65)/5</f>
        <v>1602.3059999999998</v>
      </c>
      <c r="BS118" s="7">
        <v>5200</v>
      </c>
      <c r="BT118" s="7">
        <f>1.11*F118</f>
        <v>1158.0075000000002</v>
      </c>
      <c r="BU118" s="79">
        <f t="shared" si="436"/>
        <v>65874.022500000006</v>
      </c>
      <c r="BV118" s="97">
        <v>1812</v>
      </c>
      <c r="BW118" s="97">
        <v>2693</v>
      </c>
      <c r="BY118" s="268">
        <f>BY$10*(1+((H118/H$10-1)*costos!$B$5+((I118*F118)/(I$10*F$10)-1)*costos!$E$5+((J118*F118)/((J$10*F$10)-1)*costos!$F$5/3+((K118*F118)/(K$10*F$10)-1)*costos!$F$5/3+((U118*F118)/(U$10*F$10)-1)*costos!$F$5/3+((L118*F118)/(L$10*F$10)-1)*costos!$G$5+((N118*F118)/(N$10*F$10)-1)*costos!$J$5+((V118*F118)/(V$10*F$10)-1)*costos!$K$5)))</f>
        <v>9484.7744080586726</v>
      </c>
      <c r="BZ118" s="268">
        <f>$BZ$10*(1+((H118/$H$10-1)*costos!$B$6+((I118*F118)/($I$10*$F$10)-1)*costos!$E$6+((J118*F118)/(($J$10*$F$10)-1)*costos!$F$6/3+((K118*F118)/($K$10*$F$10)-1)*costos!$F$6/3+((U118*F118)/($U$10*$F$10)-1)*costos!$F$6/3+((L118*F118)/($L$10*$F$10)-1)*costos!$G$6+((Q118*F118)/($Q$10*$F$10)-1)*costos!$J$6+((V118*F118)/($V$10*$F$10)-1)*costos!$K$6)))</f>
        <v>8971.5428490126978</v>
      </c>
      <c r="CA118" s="268">
        <f>CA$10*(1+((H118/H$10-1)*costos!$B$7+((I118*F118)/(I$10*F$10)-1)*costos!$E$7+((J118*F118)/((J$10*F$10)-1)*costos!$F$7/3+((K118*F118)/(K$10*F$10)-1)*costos!$F$7/3+((U118*F118)/(U$10*F$10)-1)*costos!$F$7/3+((L118*F118)/(L$10*F$10)-1)*costos!$G$7+((S118*F118)/(S$10*F$10)-1)*costos!$J$7+((V118*F118)/(V$10*F$10)-1)*costos!$K$7)))</f>
        <v>9098.4435162174868</v>
      </c>
      <c r="CB118" s="268">
        <f>CB$10*(1+((H118/H$10-1)*costos!$B$8+((I118*F118)/(I$10*F$10)-1)*costos!$E$8+((J118*F118)/((J$10*F$10)-1)*costos!$F$8/3+((K118*F118)/(K$10*F$10)-1)*costos!$F$8/3+((U118*F118)/(U$10*F$10)-1)*costos!$F$8/3+((L118*F118)/(L$10*F$10)-1)*costos!$G$8+((T118*F118)/(T$10*F$10)-1)*costos!$J$8+((V118*F118)/(V$10*F$10)-1)*costos!$K$8)))</f>
        <v>9076.0054751844727</v>
      </c>
      <c r="CC118" s="268">
        <f>CC$10*(1+((H118/H$10-1)*costos!$B$9+((I118*F118)/(I$10*F$10)-1)*costos!$E$9+((J118*F118)/((J$10*F$10)-1)*costos!$F$9/3+((K118*F118)/(K$10*F$10)-1)*costos!$F$9/3+((U118*F118)/(U$10*F$10)-1)*costos!$F$9/3+((L118*F118)/(L$10*F$10)-1)*costos!$G$9+((U118*F118)/(U$10*F$10)-1)*costos!$J$9+((V118*F118)/(V$10*F$10)-1)*costos!$K$9)))</f>
        <v>9398.8005556607877</v>
      </c>
      <c r="CD118" s="268">
        <f>CD$10*(1+((H118/H$10-1)*costos!$B$11+((I118*F118)/(I$10*F$10)-1)*costos!$E$11+((J118*F118)/((J$10*F$10)-1)*costos!$F$11/3+((K118*F118)/(K$10*F$10)-1)*costos!$F$11/3+((U118*F118)/(U$10*F$10)-1)*costos!$F$11/3+((L118*F118)/(L$10*F$10)-1)*costos!$G$11+((V118*F118)/(V$10*F$10)-1)*costos!$J$11+((V118*F118)/(V$10*F$10)-1)*costos!$K$11)))</f>
        <v>9126.4720619394466</v>
      </c>
      <c r="CE118" s="268">
        <f>CE$10*(1+((H118/H$10-1)*costos!$B$12+((I118*F118)/(I$10*F$10)-1)*costos!$E$12+((J118*F118)/((J$10*F$10)-1)*costos!$F$12/3+((K118*F118)/(K$10*F$10)-1)*costos!$F$12/3+((U118*F118)/(U$10*F$10)-1)*costos!$F$12/3+((L118*F118)/(L$10*F$10)-1)*costos!$G$12+((W118*F118)/(W$10*F$10)-1)*costos!$J$12+((V118*F118)/(V$10*F$10)-1)*costos!$K$12)))</f>
        <v>9516.6566683959081</v>
      </c>
      <c r="CF118" s="268">
        <f>CF$10*(1+((H118/H$10-1)*costos!$B$13+((I118*F118)/(I$10*F$10)-1)*costos!$E$13+((J118*F118)/((J$10*F$10)-1)*costos!$F$13/3+((K118*F118)/(K$10*F$10)-1)*costos!$F$13/3+((U118*F118)/(U$10*F$10)-1)*costos!$F$13/3+((L118*F118)/(L$10*F$10)-1)*costos!$G$13+((X118*F118)/(X$10*F$10)-1)*costos!$J$13+((V118*F118)/(V$10*F$10)-1)*costos!$K$13)))</f>
        <v>9335.7282786143351</v>
      </c>
      <c r="CG118" s="268">
        <f t="shared" ref="CG118:CG127" si="471">+AVERAGE(CA118:CF118)</f>
        <v>9258.6844260020735</v>
      </c>
      <c r="CH118" s="268">
        <f>CH$10*(1+((H118/H$10-1)*costos!$B$10+((I118*F118)/(I$10*F$10)-1)*costos!$E$10+((J118*F118)/((J$10*F$10)-1)*costos!$F$10/3+((K118*F118)/(K$10*F$10)-1)*costos!$F$10/3+((U118*F118)/(U$10*F$10)-1)*costos!$F$10/3+((L118*F118)/(L$10*F$10)-1)*costos!$G$10+((AF118)/(AF$10)-1)*costos!$J$10+((V118*F118)/(V$10*F$10)-1)*costos!$K$10)))</f>
        <v>10855.356874001103</v>
      </c>
      <c r="CI118" s="268">
        <f>CI$10*(1+((H118/H$10-1)*costos!$B$15+((I118*F118)/(I$10*F$10)-1)*costos!$E$15+((J118*F118)/((J$10*F$10)-1)*costos!$F$15/3+((K118*F118)/(K$10*F$10)-1)*costos!$F$15/3+((U118*F118)/(U$10*F$10)-1)*costos!$F$15/3+((L118*F118)/(L$10*F$10)-1)*costos!$G$15+((AV118)/(AV$10)-1)*costos!$J$15+((V118*F118)/(V$10*F$10)-1)*costos!$K$15)))</f>
        <v>8949.4993879289832</v>
      </c>
      <c r="CJ118" s="268">
        <f>CJ$10*(1+((H118/H$10-1)*costos!$B$16+((I118*F118)/(I$10*F$10)-1)*costos!$E$16+((J118*F118)/((J$10*F$10)-1)*costos!$F$16/3+((K118*F118)/(K$10*F$10)-1)*costos!$F$16/3+((U118*F118)/(U$10*F$10)-1)*costos!$F$16/3+((L118*F118)/(L$10*F$10)-1)*costos!$G$16+((AW118)/(AW$10)-1)*costos!$J$16+((V118*F118)/(V$10*F$10)-1)*costos!$K$16)))</f>
        <v>8630.0372881429121</v>
      </c>
      <c r="CK118" s="268">
        <f>CK$10*(1+((H118/H$10-1)*costos!$B$17+((I118*F118)/(I$10*F$10)-1)*costos!$E$17+((J118*F118)/((J$10*F$10)-1)*costos!$F$17/3+((K118*F118)/(K$10*F$10)-1)*costos!$F$17/3+((U118*F118)/(U$10*F$10)-1)*costos!$F$17/3+((L118*F118)/(L$10*F$10)-1)*costos!$G$17+((AX118)/(AX$10)-1)*costos!$J$17+((V118*F118)/(V$10*F$10)-1)*costos!$K$17)))</f>
        <v>8858.0715616857833</v>
      </c>
      <c r="CL118" s="268">
        <f>CL$10*(1+((H118/H$10-1)*costos!$B$18+((I118*F118)/(I$10*F$10)-1)*costos!$E$18+((J118*F118)/((J$10*F$10)-1)*costos!$F$18/3+((K118*F118)/(K$10*F$10)-1)*costos!$F$18/3+((U118*F118)/(U$10*F$10)-1)*costos!$F$18/3+((L118*F118)/(L$10*F$10)-1)*costos!$G$18+((AY118)/(AY$10)-1)*costos!$J$18+((V118*F118)/(V$10*F$10)-1)*costos!$K$18)))</f>
        <v>8640.8262221784171</v>
      </c>
      <c r="CM118" s="268">
        <f>CM$10*(1+((H118/H$10-1)*costos!$B$19+((I118*F118)/(I$10*F$10)-1)*costos!$E$19+((J118*F118)/((J$10*F$10)-1)*costos!$F$19/3+((K118*F118)/(K$10*F$10)-1)*costos!$F$19/3+((U118*F118)/(U$10*F$10)-1)*costos!$F$19/3+((L118*F118)/(L$10*F$10)-1)*costos!$G$19+((AZ118)/(AZ$10)-1)*costos!$J$19+((V118*F118)/(V$10*F$10)-1)*costos!$K$19)))</f>
        <v>9600.5511960146268</v>
      </c>
      <c r="CN118" s="268">
        <f>CN$10*(1+((H118/H$10-1)*costos!$B$20+((I118*F118)/(I$10*F$10)-1)*costos!$E$20+((J118*F118)/((J$10*F$10)-1)*costos!$F$20/3+((K118*F118)/(K$10*F$10)-1)*costos!$F$20/3+((U118*F118)/(U$10*F$10)-1)*costos!$F$20/3+((L118*F118)/(L$10*F$10)-1)*costos!$G$20+((BA118)/(BA$10)-1)*costos!$J$20+((V118*F118)/(V$10*F$10)-1)*costos!$K$20)))</f>
        <v>11211.699346598267</v>
      </c>
      <c r="CO118" s="268">
        <f t="shared" ref="CO118:CO127" si="472">+AVERAGE(CK118:CN118)</f>
        <v>9577.7870816192735</v>
      </c>
      <c r="CP118" s="268">
        <f>CP$10*(1+((H118/H$10-1)*costos!$B$22+((I118*F118)/(I$10*F$10)-1)*costos!$E$22+((J118*F118)/((J$10*F$10)-1)*costos!$F$22/3+((K118*F118)/(K$10*F$10)-1)*costos!$F$22/3+((U118*F118)/(U$10*F$10)-1)*costos!$F$22/3+((L118*F118)/(L$10*F$10)-1)*costos!$G$22+(((AVERAGE(AI118:AL118))/((AVERAGE(AI$10:AL$10))-1)*costos!$J$22+((V118*F118)/(V$10*F$10)-1)*costos!$K$22)))))</f>
        <v>10705.058605675815</v>
      </c>
      <c r="CQ118" s="92">
        <f>CQ$10*(1+((H118/H$10-1)*costos!$B$23+((I118*F118)/(I$10*F$10)-1)*costos!$E$23+((J118*F118)/((J$10*F$10)-1)*costos!$F$23/3+((K118*F118)/(K$10*F$10)-1)*costos!$F$23/3+((U118*F118)/(U$10*F$10)-1)*costos!$F$23/3+((L118*F118)/(L$10*F$10)-1)*costos!$G$23+((AN118)/(AN$10)-1)*costos!$J$23+((V118*F118)/(V$10*F$10)-1)*costos!$K$23)))</f>
        <v>9508.4015811579611</v>
      </c>
      <c r="CR118" s="268">
        <f>CR$10*(1+((H118/H$10-1)*costos!$B$24+((I118*F118)/(I$10*F$10)-1)*costos!$E$24+((J118*F118)/((J$10*F$10)-1)*costos!$F$24/3+((K118*F118)/(K$10*F$10)-1)*costos!$F$24/3+((U118*F118)/(U$10*F$10)-1)*costos!$F$24/3+((L118*F118)/(L$10*F$10)-1)*costos!$G$24+((AO118)/(AO$10)-1)*costos!$J$24+((V118*F118)/(V$10*F$10)-1)*costos!$K$24)))</f>
        <v>9481.5633906772964</v>
      </c>
      <c r="CS118" s="92">
        <f t="shared" si="352"/>
        <v>9494.9824859176297</v>
      </c>
      <c r="CT118" s="268">
        <f>CT$10*(1+((H118/H$10-1)*costos!$B$25+((I118*F118)/(I$10*F$10)-1)*costos!$E$25+((J118*F118)/((J$10*F$10)-1)*costos!$F$25/3+((K118*F118)/(K$10*F$10)-1)*costos!$F$25/3+((U118*F118)/(U$10*F$10)-1)*costos!$F$25/3+((L118*F118)/(L$10*F$10)-1)*costos!$G$25+((AQ118)/(AQ$10)-1)*costos!$J$25+((V118*F118)/(V$10*F$10)-1)*costos!$K$25)))</f>
        <v>11041.908925803978</v>
      </c>
      <c r="CU118" s="268">
        <f>CU$10*(1+((H118/H$10-1)*costos!$B$26+((I118*F118)/(I$10*F$10)-1)*costos!$E$26+((J118*F118)/((J$10*F$10)-1)*costos!$F$26/3+((K118*F118)/(K$10*F$10)-1)*costos!$F$26/3+((U118*F118)/(U$10*F$10)-1)*costos!$F$26/3+((L118*F118)/(L$10*F$10)-1)*costos!$G$26+((AR118)/(AR$10)-1)*costos!$J$26+((V118*F118)/(V$10*F$10)-1)*costos!$K$26)))</f>
        <v>10022.583615188327</v>
      </c>
      <c r="CV118" s="268">
        <f>CV$10*(1+((H118/H$10-1)*costos!$B$27+((I118*F118)/(I$10*F$10)-1)*costos!$E$27+((J118*F118)/((J$10*F$10)-1)*costos!$F$27/3+((K118*F118)/(K$10*F$10)-1)*costos!$F$27/3+((U118*F118)/(U$10*F$10)-1)*costos!$F$27/3+((L118*F118)/(L$10*F$10)-1)*costos!$G$27+((AS118)/(AS$10)-1)*costos!$J$27+((V118*F118)/(V$10*F$10)-1)*costos!$K$27)))</f>
        <v>8772.5078481059845</v>
      </c>
      <c r="CW118" s="268">
        <f>CW$10*(1+((H118/H$10-1)*costos!$B$28+((I118*F118)/(I$10*F$10)-1)*costos!$E$28+((J118*F118)/((J$10*F$10)-1)*costos!$F$28/3+((K118*F118)/(K$10*F$10)-1)*costos!$F$28/3+((U118*F118)/(U$10*F$10)-1)*costos!$F$28/3+((L118*F118)/(L$10*F$10)-1)*costos!$G$28+((AS118)/(AS$10)-1)*costos!$J$28+((V118*F118)/(V$10*F$10)-1)*costos!$K$28)))</f>
        <v>8772.5078481059845</v>
      </c>
      <c r="CX118" s="268">
        <f t="shared" ref="CX118:CX127" si="473">+AVERAGE(CU118:CW118)</f>
        <v>9189.1997704667647</v>
      </c>
      <c r="CY118" s="268">
        <f>CY$10*(1+((H118/H$10-1)*costos!$B$32+((I118*F118)/(I$10*F$10)-1)*costos!$E$32+((J118*F118)/((J$10*F$10)-1)*costos!$F$32/3+((K118*F118)/(K$10*F$10)-1)*costos!$F$32/3+((U118*F118)/(U$10*F$10)-1)*costos!$F$32/3+((L118*F118)/(L$10*F$10)-1)*costos!$G$32+((AG118)/(AG$10)-1)*costos!$J$32+((V118*F118)/(V$10*F$10)-1)*costos!$K$32)))</f>
        <v>9284.4842147512882</v>
      </c>
      <c r="CZ118" s="69">
        <f>CZ$10*(1+((H118/H$10-1)*costos!$B$31+((I118*F118)/(I$10*F$10)-1)*costos!$E$30+((J118*F118)/((J$10*F$10)-1)*costos!$F$30/3+((K118*F118)/(K$10*F$10)-1)*costos!$F$30/3+((U118*F118)/(U$10*F$10)-1)*costos!$F$30/3+((L118*F118)/(L$10*F$10)-1)*costos!$G$30+((BG118)/(BG$10)-1)*costos!$J$30+((V118*F118)/(V$10*F$10)-1)*costos!$K$30)))</f>
        <v>11638.934261436856</v>
      </c>
      <c r="DA118" s="69">
        <f>DA$10*(1+((H118/H$10-1)*costos!$B$31+((I118*F118)/(I$10*F$10)-1)*costos!$E$31+((J118*F118)/((J$10*F$10)-1)*costos!$F$31/3+((K118*F118)/(K$10*F$10)-1)*costos!$F$31/3+((U118*F118)/(U$10*F$10)-1)*costos!$F$31/3+((L118*F118)/(L$10*F$10)-1)*costos!$G$31+((BJ118)/(BJ$10)-1)*costos!$J$31+((V118*F118)/(V$10*F$10)-1)*costos!$K$31)))</f>
        <v>9567.0975633731305</v>
      </c>
      <c r="DB118" s="69">
        <f>DB$10*(1+((H118/H$10-1)*costos!$B$36+((I118*F118)/(I$10*F$10)-1)*costos!$E$36+((J118*F118)/((J$10*F$10)-1)*costos!$F$36/3+((K118*F118)/(K$10*F$10)-1)*costos!$F$36/3+((U118*F118)/(U$10*F$10)-1)*costos!$F$36/3+((L118*F118)/(L$10*F$10)-1)*costos!$G$36+((BK118)/(BK$10)-1)*costos!$J$36+((V118*F118)/(V$10*F$10)-1)*costos!$K$36)))</f>
        <v>9554.9143787938156</v>
      </c>
      <c r="DC118" s="69">
        <f>DC$10*(1+((H118/H$10-1)*costos!$B$37+((I118*F118)/(I$10*F$10)-1)*costos!$E$37+((U118*F118)/(U$10*F$10)-1)*costos!$F$37+((L118*F118)/(L$10*F$10)-1)*costos!$G$37+((BN118)/(BN$10)-1)*costos!$J$37+((V118*F118)/(V$10*F$10)-1)*costos!$K$37))</f>
        <v>10184.99682110822</v>
      </c>
      <c r="DD118" s="69">
        <f>DD$10*(1+((H118/H$10-1)*costos!$B$39+((I118*F118)/(I$10*F$10)-1)*costos!$E$39+((U118*F118)/(U$10*F$10)-1)*costos!$F$39+((L118*F118)/(L$10*F$10)-1)*costos!$G$39+((BR118)/(BR$10)-1)*costos!$J$39+((V118*F118)/(V$10*F$10)-1)*costos!$K$39))</f>
        <v>9978.5797412305801</v>
      </c>
      <c r="DE118" s="69">
        <f>DD$10*(1+((H118/H$10-1)*costos!$B$35+((I118*F118)/(I$10*F$10)-1)*costos!$E$35+((U118*F118)/(U$10*F$10)-1)*costos!$F$35+((L118*F118)/(L$10*F$10)-1)*costos!$G$35+((BR118)/(BR$10)-1)*costos!$J$35+((V118*F118)/(V$10*F$10)-1)*costos!$K$35))</f>
        <v>8873.7356000230866</v>
      </c>
      <c r="DF118" s="69">
        <f>DF$10*(1+((H118/H$10-1)*costos!$B$40+((I118*F118)/(I$10*F$10)-1)*costos!$E$40+((U118*F118)/(U$10*F$10)-1)*costos!$F$40+((L118*F118)/(L$10*F$10)-1)*costos!$G$40+((BP118)/(BP$10)-1)*costos!$J$40+((V118*F118)/(V$10*F$10)-1)*costos!$K$40))</f>
        <v>10218.760567658119</v>
      </c>
      <c r="DG118" s="268">
        <f t="shared" si="461"/>
        <v>9546.2480838406027</v>
      </c>
      <c r="DH118" s="69">
        <f>DH$10*(1+((H118/H$10-1)*costos!$B$34+((I118*F118)/(I$10*F$10)-1)*costos!$E$34+((J118*F118)/((J$10*F$10)-1)*costos!$F$34/3+((K118*F118)/(K$10*F$10)-1)*costos!$F$34/3+((U118*F118)/(U$10*F$10)-1)*costos!$F$34/3+((L118*F118)/(L$10*F$10)-1)*costos!$G$34+((BV118)/(BV$10)-1)*costos!$J$34+((V118*F118)/(V$10*F$10)-1)*costos!$K$34)))</f>
        <v>9401.0513287052163</v>
      </c>
      <c r="DI118" s="69">
        <f>DI$10*(1+((H118/H$10-1)*costos!$B$38+((I118*F118)/(I$10*F$10)-1)*costos!$E$38+((J118*F118)/((J$10*F$10)-1)*costos!$F$38/3+((K118*F118)/(K$10*F$10)-1)*costos!$F$38/3+((U118*F118)/(U$10*F$10)-1)*costos!$F$38/3+((L118*F118)/(L$10*F$10)-1)*costos!$G$38+((BU118)/(BU$10)-1)*costos!$J$38+((V118*F118)/(V$10*F$10)-1)*costos!$K$38)))</f>
        <v>9431.1908831525234</v>
      </c>
      <c r="DK118" s="1">
        <v>690000</v>
      </c>
      <c r="DL118" s="1" t="s">
        <v>512</v>
      </c>
      <c r="DM118" s="1">
        <v>230000</v>
      </c>
      <c r="DN118" s="1" t="s">
        <v>512</v>
      </c>
      <c r="DO118" s="1">
        <v>1600000</v>
      </c>
      <c r="DP118" s="1" t="s">
        <v>512</v>
      </c>
      <c r="DQ118" s="1">
        <v>2000000</v>
      </c>
      <c r="DR118" s="1" t="s">
        <v>512</v>
      </c>
      <c r="DS118" s="1">
        <v>6600000</v>
      </c>
      <c r="DT118" s="1" t="s">
        <v>512</v>
      </c>
      <c r="DU118" s="1">
        <v>18000000</v>
      </c>
      <c r="DV118" s="1" t="s">
        <v>512</v>
      </c>
      <c r="DW118" s="1">
        <v>1100000</v>
      </c>
      <c r="DX118" s="1" t="s">
        <v>512</v>
      </c>
      <c r="DY118" s="1">
        <v>6550000</v>
      </c>
      <c r="DZ118" s="1" t="s">
        <v>512</v>
      </c>
      <c r="EA118" s="79">
        <f t="shared" si="353"/>
        <v>35850000</v>
      </c>
      <c r="EB118" s="1">
        <v>521230</v>
      </c>
      <c r="EC118" s="1" t="s">
        <v>512</v>
      </c>
      <c r="ED118" s="1">
        <v>231352</v>
      </c>
      <c r="EE118" s="143">
        <v>2025</v>
      </c>
      <c r="EF118" s="83">
        <v>196220</v>
      </c>
      <c r="EG118" s="143">
        <v>2025</v>
      </c>
      <c r="EH118" s="1">
        <v>51624909</v>
      </c>
      <c r="EI118" s="143">
        <v>2025</v>
      </c>
      <c r="EJ118" s="1">
        <v>6115215</v>
      </c>
      <c r="EK118" s="6">
        <v>2024</v>
      </c>
      <c r="EL118" s="1">
        <v>12440906</v>
      </c>
      <c r="EM118" s="6">
        <v>2024</v>
      </c>
      <c r="EN118" s="1">
        <v>3169981</v>
      </c>
      <c r="EO118" s="6">
        <v>2021</v>
      </c>
      <c r="EP118" s="83">
        <v>9090</v>
      </c>
      <c r="EQ118" s="83">
        <v>4000000</v>
      </c>
      <c r="ER118" s="83">
        <f>47213+28595+4103</f>
        <v>79911</v>
      </c>
      <c r="ES118" s="1"/>
      <c r="ET118" s="82">
        <f t="shared" ref="ET118:EW129" si="474">+ET117</f>
        <v>19357</v>
      </c>
      <c r="EU118" s="82">
        <f t="shared" si="474"/>
        <v>18703</v>
      </c>
      <c r="EV118" s="82">
        <f t="shared" si="474"/>
        <v>8927</v>
      </c>
      <c r="EW118" s="82">
        <f t="shared" si="474"/>
        <v>17408</v>
      </c>
      <c r="EX118" s="79">
        <f t="shared" si="354"/>
        <v>64395</v>
      </c>
      <c r="EY118" s="82">
        <f t="shared" si="394"/>
        <v>20031</v>
      </c>
      <c r="EZ118" s="83">
        <v>38177</v>
      </c>
      <c r="FA118" s="82">
        <f t="shared" si="431"/>
        <v>19900</v>
      </c>
      <c r="FB118" s="82">
        <f t="shared" si="406"/>
        <v>18184</v>
      </c>
      <c r="FC118" s="79">
        <f t="shared" si="452"/>
        <v>38084</v>
      </c>
      <c r="FD118" s="83">
        <f t="shared" si="395"/>
        <v>60376</v>
      </c>
      <c r="FE118" s="1"/>
      <c r="FF118" s="1">
        <v>1300000</v>
      </c>
      <c r="FG118" s="1" t="s">
        <v>410</v>
      </c>
      <c r="FH118" s="1">
        <v>1300000</v>
      </c>
      <c r="FI118" s="1" t="s">
        <v>410</v>
      </c>
      <c r="FJ118" s="1">
        <v>5100000</v>
      </c>
      <c r="FK118" s="1" t="s">
        <v>512</v>
      </c>
      <c r="FL118" s="1">
        <v>3900000</v>
      </c>
      <c r="FM118" s="1" t="s">
        <v>410</v>
      </c>
      <c r="FN118" s="1">
        <v>46500000</v>
      </c>
      <c r="FO118" s="1" t="s">
        <v>410</v>
      </c>
      <c r="FP118" s="1">
        <v>48200000</v>
      </c>
      <c r="FQ118" s="1" t="s">
        <v>410</v>
      </c>
      <c r="FR118" s="1">
        <v>2500000</v>
      </c>
      <c r="FS118" s="1" t="s">
        <v>410</v>
      </c>
      <c r="FT118" s="1">
        <v>18510000</v>
      </c>
      <c r="FU118" s="1" t="s">
        <v>512</v>
      </c>
      <c r="FV118" s="79">
        <f t="shared" si="355"/>
        <v>124710000</v>
      </c>
      <c r="FW118" s="1">
        <v>1604722</v>
      </c>
      <c r="FX118" s="1" t="s">
        <v>410</v>
      </c>
      <c r="FY118" s="1">
        <v>16962</v>
      </c>
      <c r="FZ118" s="79">
        <f t="shared" si="377"/>
        <v>981550</v>
      </c>
      <c r="GA118" s="86" t="str">
        <f t="shared" si="462"/>
        <v>feb24 ene25</v>
      </c>
      <c r="GB118" s="1">
        <v>19908335</v>
      </c>
      <c r="GC118" s="6">
        <v>2025</v>
      </c>
      <c r="GD118" s="83">
        <v>2213559</v>
      </c>
      <c r="GE118" s="83">
        <v>410324</v>
      </c>
      <c r="GF118" s="83">
        <v>1003144</v>
      </c>
      <c r="GG118" s="83">
        <v>129694</v>
      </c>
      <c r="GH118" s="79">
        <f t="shared" si="450"/>
        <v>1543162</v>
      </c>
      <c r="GI118" s="82">
        <f t="shared" si="463"/>
        <v>1302556</v>
      </c>
      <c r="GJ118" s="82">
        <f t="shared" si="463"/>
        <v>682423</v>
      </c>
      <c r="GK118" s="82">
        <f t="shared" si="463"/>
        <v>1391495</v>
      </c>
      <c r="GL118" s="82">
        <f t="shared" si="463"/>
        <v>305049</v>
      </c>
      <c r="GM118" s="82">
        <f t="shared" si="463"/>
        <v>260419</v>
      </c>
      <c r="GN118" s="79">
        <f t="shared" si="357"/>
        <v>2639386</v>
      </c>
      <c r="GO118" s="82">
        <f t="shared" si="464"/>
        <v>201734</v>
      </c>
      <c r="GP118" s="82">
        <v>75000</v>
      </c>
      <c r="GQ118" s="83">
        <v>167500</v>
      </c>
      <c r="GR118" s="1">
        <v>34035</v>
      </c>
      <c r="GS118" s="79">
        <f t="shared" si="412"/>
        <v>39060</v>
      </c>
      <c r="GT118" s="82">
        <f t="shared" si="407"/>
        <v>2111561</v>
      </c>
      <c r="GU118" s="1">
        <v>26123</v>
      </c>
      <c r="GV118" s="1">
        <v>21293</v>
      </c>
      <c r="GW118" s="79">
        <f t="shared" si="455"/>
        <v>773454</v>
      </c>
      <c r="GX118" s="83">
        <v>36041.686000000002</v>
      </c>
      <c r="GY118" s="1" t="s">
        <v>802</v>
      </c>
      <c r="GZ118" s="83">
        <v>119643</v>
      </c>
      <c r="HA118" s="1">
        <v>263854</v>
      </c>
      <c r="HB118" s="79">
        <f t="shared" si="437"/>
        <v>3160668</v>
      </c>
      <c r="HC118" s="86" t="str">
        <f t="shared" si="465"/>
        <v>feb24 ene25</v>
      </c>
      <c r="HD118" s="83">
        <v>61071</v>
      </c>
      <c r="HE118" s="79">
        <f t="shared" si="380"/>
        <v>787897</v>
      </c>
      <c r="HF118" s="86" t="str">
        <f t="shared" si="466"/>
        <v>feb24 ene25</v>
      </c>
      <c r="HG118" s="83">
        <v>206000</v>
      </c>
      <c r="HH118" s="79">
        <f t="shared" si="438"/>
        <v>2305000</v>
      </c>
      <c r="HI118" s="86" t="str">
        <f t="shared" si="467"/>
        <v>feb24 ene25</v>
      </c>
      <c r="HJ118" s="83">
        <v>105594</v>
      </c>
      <c r="HK118" s="79">
        <f t="shared" ref="HK118:HK129" si="475">+SUM(HJ107:HJ118)*1000*0.00006</f>
        <v>64450.846299286794</v>
      </c>
      <c r="HL118" s="86" t="str">
        <f t="shared" si="468"/>
        <v>feb24 ene25</v>
      </c>
      <c r="HM118" s="79">
        <f t="shared" si="358"/>
        <v>2369450.8462992869</v>
      </c>
      <c r="HN118" s="87">
        <f t="shared" si="297"/>
        <v>0.19139517400550043</v>
      </c>
      <c r="HO118" s="1">
        <v>994000000</v>
      </c>
      <c r="HP118" s="79">
        <f t="shared" si="386"/>
        <v>10600.445703900923</v>
      </c>
      <c r="HQ118" s="86" t="str">
        <f t="shared" si="469"/>
        <v>feb24 ene25</v>
      </c>
      <c r="HR118" s="1"/>
      <c r="HS118" s="1"/>
      <c r="HT118" s="1"/>
      <c r="HU118" s="1">
        <v>700000</v>
      </c>
      <c r="HV118" s="1" t="s">
        <v>410</v>
      </c>
      <c r="HW118" s="1">
        <v>1400000</v>
      </c>
      <c r="HX118" s="1" t="s">
        <v>512</v>
      </c>
      <c r="HY118" s="1">
        <v>4600000</v>
      </c>
      <c r="HZ118" s="1" t="s">
        <v>410</v>
      </c>
      <c r="IA118" s="1">
        <f t="shared" si="456"/>
        <v>21600000</v>
      </c>
      <c r="IB118" s="1" t="s">
        <v>410</v>
      </c>
      <c r="IC118" s="1">
        <v>47000000</v>
      </c>
      <c r="ID118" s="1" t="s">
        <v>410</v>
      </c>
      <c r="IE118" s="1">
        <f>(0.05+1.2)*1000000</f>
        <v>1250000</v>
      </c>
      <c r="IF118" s="1" t="s">
        <v>410</v>
      </c>
      <c r="IG118" s="1">
        <v>7480000</v>
      </c>
      <c r="IH118" s="1" t="s">
        <v>512</v>
      </c>
      <c r="II118" s="79">
        <f>+IG118+IE118+IC118+IA118+HY118+HW118</f>
        <v>83330000</v>
      </c>
      <c r="IJ118" s="97">
        <f t="shared" si="434"/>
        <v>2.1563835150032644</v>
      </c>
      <c r="IK118" s="1" t="s">
        <v>410</v>
      </c>
      <c r="IL118" s="97">
        <v>45.23</v>
      </c>
      <c r="IM118" s="7">
        <v>48.18</v>
      </c>
      <c r="IN118" s="7">
        <v>170.3</v>
      </c>
      <c r="IO118" s="97">
        <v>17.510000000000002</v>
      </c>
      <c r="IP118" s="176">
        <f>266833743/IP$2</f>
        <v>5.7424738987207355</v>
      </c>
      <c r="IQ118" s="176">
        <v>16.079999999999998</v>
      </c>
      <c r="IR118" s="478">
        <v>6.17</v>
      </c>
      <c r="IS118" s="478">
        <v>5.03</v>
      </c>
      <c r="IT118" s="478">
        <v>11</v>
      </c>
      <c r="IU118" s="478">
        <v>1.1000000000000001</v>
      </c>
      <c r="IV118" s="94">
        <f t="shared" si="360"/>
        <v>17.130000000000003</v>
      </c>
      <c r="IW118" s="1"/>
      <c r="IX118" s="1"/>
      <c r="IY118" s="80">
        <v>1.88</v>
      </c>
      <c r="IZ118" s="88">
        <v>0.3</v>
      </c>
      <c r="JA118" s="1">
        <v>2813</v>
      </c>
      <c r="JB118" s="95">
        <f t="shared" si="433"/>
        <v>35.950000000000003</v>
      </c>
      <c r="JC118" s="1"/>
      <c r="JD118" s="1"/>
      <c r="JF118" s="2">
        <v>6.462363250000001</v>
      </c>
      <c r="JG118" s="2">
        <v>22.007364089999996</v>
      </c>
      <c r="JH118" s="2">
        <v>230.24518530999995</v>
      </c>
      <c r="JI118" s="2">
        <v>140.89307301000002</v>
      </c>
      <c r="JJ118" s="2">
        <v>661.92712743000004</v>
      </c>
      <c r="JK118" s="2">
        <v>100.29183523999998</v>
      </c>
      <c r="JL118" s="2">
        <v>1569.6201865100002</v>
      </c>
      <c r="JM118" s="2">
        <v>20.584755779999998</v>
      </c>
      <c r="JN118" s="2">
        <v>607.95598188000008</v>
      </c>
      <c r="JO118" s="2">
        <v>28.030286839999999</v>
      </c>
      <c r="JP118" s="2">
        <v>0</v>
      </c>
      <c r="JQ118" s="2">
        <v>0.27331899999999998</v>
      </c>
      <c r="JR118" s="2">
        <v>1.24576486</v>
      </c>
      <c r="JS118" s="2">
        <v>0</v>
      </c>
      <c r="JT118" s="2">
        <v>0.20749999999999999</v>
      </c>
      <c r="JU118" s="2">
        <v>50.923025279999997</v>
      </c>
      <c r="JV118" s="2">
        <v>6.4234904199999994</v>
      </c>
      <c r="JW118" s="2">
        <v>13.925724349999998</v>
      </c>
      <c r="JX118" s="2">
        <v>6.679100720000001</v>
      </c>
      <c r="JY118" s="2">
        <v>0</v>
      </c>
      <c r="JZ118" s="2">
        <v>10.588218640000001</v>
      </c>
      <c r="KA118" s="2">
        <v>0.41499999999999998</v>
      </c>
      <c r="KB118" s="2">
        <v>10.200287200000002</v>
      </c>
      <c r="KC118" s="2">
        <v>6.2035308000000002</v>
      </c>
      <c r="KD118" s="2">
        <v>7.1690497699999991</v>
      </c>
      <c r="KE118" s="2">
        <v>9.6274282100000015</v>
      </c>
      <c r="KF118" s="2">
        <v>5.62476749</v>
      </c>
      <c r="KG118" s="2">
        <v>330.34833823999992</v>
      </c>
      <c r="KH118" s="2">
        <v>133.12937443000001</v>
      </c>
      <c r="KI118" s="2">
        <v>14.881609229999999</v>
      </c>
      <c r="KJ118" s="2">
        <v>1.4111442899999997</v>
      </c>
      <c r="KK118" s="2">
        <v>7.6983577599999995</v>
      </c>
      <c r="KL118" s="2">
        <v>0.84812041999999999</v>
      </c>
      <c r="KM118" s="2">
        <v>0.35551689999999997</v>
      </c>
      <c r="KN118" s="2">
        <v>0.90930934000000008</v>
      </c>
      <c r="KO118" s="2">
        <v>3.1964405900000008</v>
      </c>
      <c r="KP118" s="2">
        <v>5.2225250000000001E-2</v>
      </c>
      <c r="KQ118" s="2">
        <v>26.978239100000003</v>
      </c>
      <c r="KR118" s="2">
        <v>0.17571323999999999</v>
      </c>
      <c r="KS118" s="2">
        <v>0.26818175</v>
      </c>
      <c r="KT118" s="2">
        <v>0.79831189000000002</v>
      </c>
      <c r="KU118" s="2">
        <v>0.14172798</v>
      </c>
      <c r="KV118" s="2">
        <v>5.0753019999999996E-2</v>
      </c>
      <c r="KW118" s="2">
        <v>0.38512786999999993</v>
      </c>
      <c r="KX118" s="2">
        <v>0</v>
      </c>
      <c r="KY118" s="2">
        <v>0</v>
      </c>
      <c r="KZ118" s="2">
        <v>0.41117072999999998</v>
      </c>
      <c r="LA118" s="2">
        <v>0.18245199000000001</v>
      </c>
      <c r="LB118" s="2">
        <v>0</v>
      </c>
      <c r="LC118" s="2">
        <v>8.163788649999999</v>
      </c>
      <c r="LD118" s="2">
        <v>0</v>
      </c>
      <c r="LE118" s="2">
        <v>1.0502936200000001</v>
      </c>
      <c r="LF118" s="2">
        <v>0.43684469999999997</v>
      </c>
      <c r="LG118" s="2">
        <v>14.09144206</v>
      </c>
      <c r="LH118" s="2">
        <v>4.1108512499999996</v>
      </c>
      <c r="LI118" s="2">
        <v>1.1839526999999999</v>
      </c>
      <c r="LJ118" s="2">
        <v>0</v>
      </c>
      <c r="LK118" s="2">
        <v>2.5037689800000003</v>
      </c>
      <c r="LL118" s="2">
        <v>5.8644577399999989</v>
      </c>
      <c r="LM118" s="2">
        <v>2.9139955600000005</v>
      </c>
      <c r="LN118" s="2">
        <v>0.16347327</v>
      </c>
      <c r="LO118" s="2">
        <v>14.265215759999998</v>
      </c>
      <c r="LP118" s="2"/>
      <c r="LQ118" s="85">
        <f t="shared" si="439"/>
        <v>3231.2263099199999</v>
      </c>
      <c r="LR118" s="85">
        <f t="shared" si="440"/>
        <v>1.7265838599999999</v>
      </c>
      <c r="LS118" s="85">
        <v>23.934850630000003</v>
      </c>
      <c r="LT118" s="85">
        <f t="shared" si="442"/>
        <v>11.00321864</v>
      </c>
      <c r="LU118" s="85">
        <f t="shared" si="443"/>
        <v>31.883400920000003</v>
      </c>
      <c r="LV118" s="85">
        <f t="shared" si="444"/>
        <v>0.43588088999999991</v>
      </c>
      <c r="LW118" s="85">
        <f t="shared" si="445"/>
        <v>0.18245199000000001</v>
      </c>
      <c r="LX118" s="85">
        <f t="shared" si="446"/>
        <v>1.4871383200000001</v>
      </c>
      <c r="LZ118" s="83">
        <v>1448.77</v>
      </c>
      <c r="MA118" s="83">
        <v>2110.7600000000002</v>
      </c>
      <c r="MB118"/>
      <c r="MC118"/>
      <c r="MD118"/>
      <c r="MF118"/>
      <c r="MG118"/>
      <c r="MH118" s="83">
        <v>3154.17</v>
      </c>
      <c r="MI118" s="83">
        <v>818.77</v>
      </c>
      <c r="MJ118" s="83">
        <v>842.73</v>
      </c>
      <c r="MK118"/>
      <c r="ML118" s="83">
        <v>849.14</v>
      </c>
      <c r="MM118" s="83">
        <v>1554.1</v>
      </c>
      <c r="MN118" s="83"/>
      <c r="MO118" s="83">
        <v>1353.17</v>
      </c>
      <c r="MP118" s="83">
        <v>2189.77</v>
      </c>
      <c r="MQ118" s="83">
        <v>2419.2600000000002</v>
      </c>
      <c r="MR118"/>
      <c r="MT118" s="83"/>
      <c r="MU118" s="83">
        <v>984.23</v>
      </c>
      <c r="MV118"/>
      <c r="MW118"/>
      <c r="MX118"/>
      <c r="MY118" s="83">
        <v>2261.65</v>
      </c>
      <c r="MZ118" s="83">
        <v>6129</v>
      </c>
      <c r="NA118" s="83">
        <v>3097</v>
      </c>
      <c r="NB118" s="83">
        <v>9609</v>
      </c>
      <c r="NC118" s="83">
        <v>1483.06</v>
      </c>
      <c r="ND118" s="1">
        <v>11490</v>
      </c>
      <c r="NE118" s="1">
        <v>6714</v>
      </c>
    </row>
    <row r="119" spans="1:369">
      <c r="A119" s="38">
        <f t="shared" si="417"/>
        <v>45689</v>
      </c>
      <c r="B119" s="36">
        <f t="shared" ref="B119:B129" si="476">+B118+1</f>
        <v>2</v>
      </c>
      <c r="C119" s="36">
        <f t="shared" ref="C119:C129" si="477">+C118</f>
        <v>2025</v>
      </c>
      <c r="D119" s="36">
        <f t="shared" si="347"/>
        <v>119</v>
      </c>
      <c r="E119" s="38">
        <f t="shared" si="418"/>
        <v>45689</v>
      </c>
      <c r="F119" s="7">
        <v>1058.1125</v>
      </c>
      <c r="G119" s="7">
        <v>8053</v>
      </c>
      <c r="H119" s="1">
        <f>[2]NACIONALES!$D107</f>
        <v>773254.2774650997</v>
      </c>
      <c r="I119" s="7">
        <v>113</v>
      </c>
      <c r="J119" s="7">
        <v>550</v>
      </c>
      <c r="K119" s="7">
        <v>4.4000000000000004</v>
      </c>
      <c r="L119" s="7">
        <v>37.9</v>
      </c>
      <c r="N119" s="5">
        <f>+(1.49+1.5+1.5+1.5)/4</f>
        <v>1.4975000000000001</v>
      </c>
      <c r="O119" s="7">
        <v>1.1000000000000001</v>
      </c>
      <c r="P119" s="78">
        <f t="shared" si="398"/>
        <v>1305.5124289062499</v>
      </c>
      <c r="Q119" s="6">
        <v>24000</v>
      </c>
      <c r="R119" s="79">
        <f t="shared" si="419"/>
        <v>240000</v>
      </c>
      <c r="S119" s="143">
        <f>206225/F119</f>
        <v>194.89893560467343</v>
      </c>
      <c r="T119" s="6">
        <f>365582.5/F119</f>
        <v>345.50437689754165</v>
      </c>
      <c r="U119" s="188">
        <v>207.05</v>
      </c>
      <c r="V119" s="143">
        <v>308.14999999999998</v>
      </c>
      <c r="W119" s="6">
        <v>213.5</v>
      </c>
      <c r="X119" s="6">
        <v>210.76</v>
      </c>
      <c r="Y119" s="79">
        <f t="shared" si="420"/>
        <v>206225</v>
      </c>
      <c r="Z119" s="79">
        <f t="shared" si="421"/>
        <v>365582.5</v>
      </c>
      <c r="AA119" s="79">
        <f t="shared" si="422"/>
        <v>219082.19312499999</v>
      </c>
      <c r="AB119" s="79">
        <f t="shared" si="423"/>
        <v>326057.36687499995</v>
      </c>
      <c r="AC119" s="79">
        <f t="shared" si="424"/>
        <v>225907.01874999999</v>
      </c>
      <c r="AD119" s="79">
        <f t="shared" si="425"/>
        <v>223007.79049999997</v>
      </c>
      <c r="AE119" s="79">
        <f t="shared" si="426"/>
        <v>260976.97820833331</v>
      </c>
      <c r="AF119" s="83">
        <f>864.6*F119</f>
        <v>914844.0675</v>
      </c>
      <c r="AG119" s="1">
        <v>300000</v>
      </c>
      <c r="AH119" s="1">
        <v>1140000</v>
      </c>
      <c r="AI119" s="5">
        <v>432.61900000000003</v>
      </c>
      <c r="AJ119" s="5">
        <v>346.80829999999997</v>
      </c>
      <c r="AK119" s="5">
        <v>264.9486</v>
      </c>
      <c r="AL119" s="5">
        <v>289.6651</v>
      </c>
      <c r="AM119" s="78">
        <f t="shared" si="458"/>
        <v>351.28333199999997</v>
      </c>
      <c r="AN119" s="7">
        <v>30142.857142857141</v>
      </c>
      <c r="AO119" s="7">
        <v>16955.400000000001</v>
      </c>
      <c r="AP119" s="78">
        <f t="shared" si="470"/>
        <v>16955.400000000001</v>
      </c>
      <c r="AQ119" s="7">
        <v>26188.172043010753</v>
      </c>
      <c r="AR119" s="7">
        <v>20652.75</v>
      </c>
      <c r="AS119" s="7">
        <v>8044.4444444444443</v>
      </c>
      <c r="AT119" s="7">
        <v>23809.933333333334</v>
      </c>
      <c r="AU119" s="78">
        <f t="shared" si="348"/>
        <v>17502.375925925928</v>
      </c>
      <c r="AV119" s="7">
        <v>5955.7377049180332</v>
      </c>
      <c r="AW119" s="7">
        <v>9213.3333333333339</v>
      </c>
      <c r="AX119" s="7">
        <v>8140.8066666666664</v>
      </c>
      <c r="AY119" s="7">
        <v>6741.1764705882351</v>
      </c>
      <c r="AZ119" s="7">
        <v>9281.213333333335</v>
      </c>
      <c r="BA119" s="7">
        <v>4905.5555555555557</v>
      </c>
      <c r="BB119" s="94">
        <f t="shared" si="345"/>
        <v>7712.2543899782131</v>
      </c>
      <c r="BC119" s="68">
        <v>38232</v>
      </c>
      <c r="BD119" s="68">
        <v>34410</v>
      </c>
      <c r="BE119" s="7">
        <v>20500</v>
      </c>
      <c r="BF119" s="7">
        <v>15500</v>
      </c>
      <c r="BG119" s="94">
        <f>+IFERROR(AVERAGE(BC119:BF119),"")</f>
        <v>27160.5</v>
      </c>
      <c r="BH119" s="280">
        <v>2820</v>
      </c>
      <c r="BI119" s="97">
        <v>712</v>
      </c>
      <c r="BJ119" s="78">
        <f t="shared" si="350"/>
        <v>3532</v>
      </c>
      <c r="BK119" s="7">
        <v>2802.5360000000001</v>
      </c>
      <c r="BL119" s="7">
        <v>3285</v>
      </c>
      <c r="BM119" s="94">
        <f t="shared" si="351"/>
        <v>3043.768</v>
      </c>
      <c r="BN119" s="5">
        <v>447.42</v>
      </c>
      <c r="BO119" s="84">
        <v>2018.12</v>
      </c>
      <c r="BP119" s="84">
        <v>1507.93</v>
      </c>
      <c r="BQ119" s="94">
        <f t="shared" si="435"/>
        <v>1763.0250000000001</v>
      </c>
      <c r="BR119" s="7">
        <f>+(1643.07+1659.1+1663.8)/3</f>
        <v>1655.3233333333335</v>
      </c>
      <c r="BS119" s="7">
        <v>5800</v>
      </c>
      <c r="BT119" s="7">
        <f>1.22*F119</f>
        <v>1290.89725</v>
      </c>
      <c r="BU119" s="79">
        <f t="shared" si="436"/>
        <v>73472.691749999998</v>
      </c>
      <c r="BV119" s="7">
        <v>1821</v>
      </c>
      <c r="BW119" s="7">
        <v>3091</v>
      </c>
      <c r="BY119" s="268">
        <f>BY$10*(1+((H119/H$10-1)*costos!$B$5+((I119*F119)/(I$10*F$10)-1)*costos!$E$5+((J119*F119)/((J$10*F$10)-1)*costos!$F$5/3+((K119*F119)/(K$10*F$10)-1)*costos!$F$5/3+((U119*F119)/(U$10*F$10)-1)*costos!$F$5/3+((L119*F119)/(L$10*F$10)-1)*costos!$G$5+((N119*F119)/(N$10*F$10)-1)*costos!$J$5+((V119*F119)/(V$10*F$10)-1)*costos!$K$5)))</f>
        <v>9724.0774007818709</v>
      </c>
      <c r="BZ119" s="268">
        <f>$BZ$10*(1+((H119/$H$10-1)*costos!$B$6+((I119*F119)/($I$10*$F$10)-1)*costos!$E$6+((J119*F119)/(($J$10*$F$10)-1)*costos!$F$6/3+((K119*F119)/($K$10*$F$10)-1)*costos!$F$6/3+((U119*F119)/($U$10*$F$10)-1)*costos!$F$6/3+((L119*F119)/($L$10*$F$10)-1)*costos!$G$6+((Q119*F119)/($Q$10*$F$10)-1)*costos!$J$6+((V119*F119)/($V$10*$F$10)-1)*costos!$K$6)))</f>
        <v>9499.4641194322558</v>
      </c>
      <c r="CA119" s="268">
        <f>CA$10*(1+((H119/H$10-1)*costos!$B$7+((I119*F119)/(I$10*F$10)-1)*costos!$E$7+((J119*F119)/((J$10*F$10)-1)*costos!$F$7/3+((K119*F119)/(K$10*F$10)-1)*costos!$F$7/3+((U119*F119)/(U$10*F$10)-1)*costos!$F$7/3+((L119*F119)/(L$10*F$10)-1)*costos!$G$7+((S119*F119)/(S$10*F$10)-1)*costos!$J$7+((V119*F119)/(V$10*F$10)-1)*costos!$K$7)))</f>
        <v>9848.5702947464451</v>
      </c>
      <c r="CB119" s="268">
        <f>CB$10*(1+((H119/H$10-1)*costos!$B$8+((I119*F119)/(I$10*F$10)-1)*costos!$E$8+((J119*F119)/((J$10*F$10)-1)*costos!$F$8/3+((K119*F119)/(K$10*F$10)-1)*costos!$F$8/3+((U119*F119)/(U$10*F$10)-1)*costos!$F$8/3+((L119*F119)/(L$10*F$10)-1)*costos!$G$8+((T119*F119)/(T$10*F$10)-1)*costos!$J$8+((V119*F119)/(V$10*F$10)-1)*costos!$K$8)))</f>
        <v>9781.3926862778844</v>
      </c>
      <c r="CC119" s="268">
        <f>CC$10*(1+((H119/H$10-1)*costos!$B$9+((I119*F119)/(I$10*F$10)-1)*costos!$E$9+((J119*F119)/((J$10*F$10)-1)*costos!$F$9/3+((K119*F119)/(K$10*F$10)-1)*costos!$F$9/3+((U119*F119)/(U$10*F$10)-1)*costos!$F$9/3+((L119*F119)/(L$10*F$10)-1)*costos!$G$9+((U119*F119)/(U$10*F$10)-1)*costos!$J$9+((V119*F119)/(V$10*F$10)-1)*costos!$K$9)))</f>
        <v>10083.900639746751</v>
      </c>
      <c r="CD119" s="268">
        <f>CD$10*(1+((H119/H$10-1)*costos!$B$11+((I119*F119)/(I$10*F$10)-1)*costos!$E$11+((J119*F119)/((J$10*F$10)-1)*costos!$F$11/3+((K119*F119)/(K$10*F$10)-1)*costos!$F$11/3+((U119*F119)/(U$10*F$10)-1)*costos!$F$11/3+((L119*F119)/(L$10*F$10)-1)*costos!$G$11+((V119*F119)/(V$10*F$10)-1)*costos!$J$11+((V119*F119)/(V$10*F$10)-1)*costos!$K$11)))</f>
        <v>9915.7048861048024</v>
      </c>
      <c r="CE119" s="268">
        <f>CE$10*(1+((H119/H$10-1)*costos!$B$12+((I119*F119)/(I$10*F$10)-1)*costos!$E$12+((J119*F119)/((J$10*F$10)-1)*costos!$F$12/3+((K119*F119)/(K$10*F$10)-1)*costos!$F$12/3+((U119*F119)/(U$10*F$10)-1)*costos!$F$12/3+((L119*F119)/(L$10*F$10)-1)*costos!$G$12+((W119*F119)/(W$10*F$10)-1)*costos!$J$12+((V119*F119)/(V$10*F$10)-1)*costos!$K$12)))</f>
        <v>10169.154193703906</v>
      </c>
      <c r="CF119" s="268">
        <f>CF$10*(1+((H119/H$10-1)*costos!$B$13+((I119*F119)/(I$10*F$10)-1)*costos!$E$13+((J119*F119)/((J$10*F$10)-1)*costos!$F$13/3+((K119*F119)/(K$10*F$10)-1)*costos!$F$13/3+((U119*F119)/(U$10*F$10)-1)*costos!$F$13/3+((L119*F119)/(L$10*F$10)-1)*costos!$G$13+((X119*F119)/(X$10*F$10)-1)*costos!$J$13+((V119*F119)/(V$10*F$10)-1)*costos!$K$13)))</f>
        <v>10084.754136615567</v>
      </c>
      <c r="CG119" s="268">
        <f t="shared" si="471"/>
        <v>9980.579472865893</v>
      </c>
      <c r="CH119" s="268">
        <f>CH$10*(1+((H119/H$10-1)*costos!$B$10+((I119*F119)/(I$10*F$10)-1)*costos!$E$10+((J119*F119)/((J$10*F$10)-1)*costos!$F$10/3+((K119*F119)/(K$10*F$10)-1)*costos!$F$10/3+((U119*F119)/(U$10*F$10)-1)*costos!$F$10/3+((L119*F119)/(L$10*F$10)-1)*costos!$G$10+((AF119)/(AF$10)-1)*costos!$J$10+((V119*F119)/(V$10*F$10)-1)*costos!$K$10)))</f>
        <v>11313.252615466728</v>
      </c>
      <c r="CI119" s="268">
        <f>CI$10*(1+((H119/H$10-1)*costos!$B$15+((I119*F119)/(I$10*F$10)-1)*costos!$E$15+((J119*F119)/((J$10*F$10)-1)*costos!$F$15/3+((K119*F119)/(K$10*F$10)-1)*costos!$F$15/3+((U119*F119)/(U$10*F$10)-1)*costos!$F$15/3+((L119*F119)/(L$10*F$10)-1)*costos!$G$15+((AV119)/(AV$10)-1)*costos!$J$15+((V119*F119)/(V$10*F$10)-1)*costos!$K$15)))</f>
        <v>9755.8588603703065</v>
      </c>
      <c r="CJ119" s="268">
        <f>CJ$10*(1+((H119/H$10-1)*costos!$B$16+((I119*F119)/(I$10*F$10)-1)*costos!$E$16+((J119*F119)/((J$10*F$10)-1)*costos!$F$16/3+((K119*F119)/(K$10*F$10)-1)*costos!$F$16/3+((U119*F119)/(U$10*F$10)-1)*costos!$F$16/3+((L119*F119)/(L$10*F$10)-1)*costos!$G$16+((AW119)/(AW$10)-1)*costos!$J$16+((V119*F119)/(V$10*F$10)-1)*costos!$K$16)))</f>
        <v>8958.2438472329704</v>
      </c>
      <c r="CK119" s="268">
        <f>CK$10*(1+((H119/H$10-1)*costos!$B$17+((I119*F119)/(I$10*F$10)-1)*costos!$E$17+((J119*F119)/((J$10*F$10)-1)*costos!$F$17/3+((K119*F119)/(K$10*F$10)-1)*costos!$F$17/3+((U119*F119)/(U$10*F$10)-1)*costos!$F$17/3+((L119*F119)/(L$10*F$10)-1)*costos!$G$17+((AX119)/(AX$10)-1)*costos!$J$17+((V119*F119)/(V$10*F$10)-1)*costos!$K$17)))</f>
        <v>9895.635332395208</v>
      </c>
      <c r="CL119" s="268">
        <f>CL$10*(1+((H119/H$10-1)*costos!$B$18+((I119*F119)/(I$10*F$10)-1)*costos!$E$18+((J119*F119)/((J$10*F$10)-1)*costos!$F$18/3+((K119*F119)/(K$10*F$10)-1)*costos!$F$18/3+((U119*F119)/(U$10*F$10)-1)*costos!$F$18/3+((L119*F119)/(L$10*F$10)-1)*costos!$G$18+((AY119)/(AY$10)-1)*costos!$J$18+((V119*F119)/(V$10*F$10)-1)*costos!$K$18)))</f>
        <v>9303.5614142487211</v>
      </c>
      <c r="CM119" s="268">
        <f>CM$10*(1+((H119/H$10-1)*costos!$B$19+((I119*F119)/(I$10*F$10)-1)*costos!$E$19+((J119*F119)/((J$10*F$10)-1)*costos!$F$19/3+((K119*F119)/(K$10*F$10)-1)*costos!$F$19/3+((U119*F119)/(U$10*F$10)-1)*costos!$F$19/3+((L119*F119)/(L$10*F$10)-1)*costos!$G$19+((AZ119)/(AZ$10)-1)*costos!$J$19+((V119*F119)/(V$10*F$10)-1)*costos!$K$19)))</f>
        <v>9385.5666796912574</v>
      </c>
      <c r="CN119" s="268">
        <f>CN$10*(1+((H119/H$10-1)*costos!$B$20+((I119*F119)/(I$10*F$10)-1)*costos!$E$20+((J119*F119)/((J$10*F$10)-1)*costos!$F$20/3+((K119*F119)/(K$10*F$10)-1)*costos!$F$20/3+((U119*F119)/(U$10*F$10)-1)*costos!$F$20/3+((L119*F119)/(L$10*F$10)-1)*costos!$G$20+((BA119)/(BA$10)-1)*costos!$J$20+((V119*F119)/(V$10*F$10)-1)*costos!$K$20)))</f>
        <v>9140.5961683211026</v>
      </c>
      <c r="CO119" s="268">
        <f t="shared" si="472"/>
        <v>9431.3398986640714</v>
      </c>
      <c r="CP119" s="268">
        <f>CP$10*(1+((H119/H$10-1)*costos!$B$22+((I119*F119)/(I$10*F$10)-1)*costos!$E$22+((J119*F119)/((J$10*F$10)-1)*costos!$F$22/3+((K119*F119)/(K$10*F$10)-1)*costos!$F$22/3+((U119*F119)/(U$10*F$10)-1)*costos!$F$22/3+((L119*F119)/(L$10*F$10)-1)*costos!$G$22+(((AVERAGE(AI119:AL119))/((AVERAGE(AI$10:AL$10))-1)*costos!$J$22+((V119*F119)/(V$10*F$10)-1)*costos!$K$22)))))</f>
        <v>11035.496307876245</v>
      </c>
      <c r="CQ119" s="92">
        <f>CQ$10*(1+((H119/H$10-1)*costos!$B$23+((I119*F119)/(I$10*F$10)-1)*costos!$E$23+((J119*F119)/((J$10*F$10)-1)*costos!$F$23/3+((K119*F119)/(K$10*F$10)-1)*costos!$F$23/3+((U119*F119)/(U$10*F$10)-1)*costos!$F$23/3+((L119*F119)/(L$10*F$10)-1)*costos!$G$23+((AN119)/(AN$10)-1)*costos!$J$23+((V119*F119)/(V$10*F$10)-1)*costos!$K$23)))</f>
        <v>9797.4568153893251</v>
      </c>
      <c r="CR119" s="268">
        <f>CR$10*(1+((H119/H$10-1)*costos!$B$24+((I119*F119)/(I$10*F$10)-1)*costos!$E$24+((J119*F119)/((J$10*F$10)-1)*costos!$F$24/3+((K119*F119)/(K$10*F$10)-1)*costos!$F$24/3+((U119*F119)/(U$10*F$10)-1)*costos!$F$24/3+((L119*F119)/(L$10*F$10)-1)*costos!$G$24+((AO119)/(AO$10)-1)*costos!$J$24+((V119*F119)/(V$10*F$10)-1)*costos!$K$24)))</f>
        <v>9702.4092909063165</v>
      </c>
      <c r="CS119" s="92">
        <f t="shared" si="352"/>
        <v>9749.9330531478208</v>
      </c>
      <c r="CT119" s="268">
        <f>CT$10*(1+((H119/H$10-1)*costos!$B$25+((I119*F119)/(I$10*F$10)-1)*costos!$E$25+((J119*F119)/((J$10*F$10)-1)*costos!$F$25/3+((K119*F119)/(K$10*F$10)-1)*costos!$F$25/3+((U119*F119)/(U$10*F$10)-1)*costos!$F$25/3+((L119*F119)/(L$10*F$10)-1)*costos!$G$25+((AQ119)/(AQ$10)-1)*costos!$J$25+((V119*F119)/(V$10*F$10)-1)*costos!$K$25)))</f>
        <v>10157.594385717821</v>
      </c>
      <c r="CU119" s="268">
        <f>CU$10*(1+((H119/H$10-1)*costos!$B$26+((I119*F119)/(I$10*F$10)-1)*costos!$E$26+((J119*F119)/((J$10*F$10)-1)*costos!$F$26/3+((K119*F119)/(K$10*F$10)-1)*costos!$F$26/3+((U119*F119)/(U$10*F$10)-1)*costos!$F$26/3+((L119*F119)/(L$10*F$10)-1)*costos!$G$26+((AR119)/(AR$10)-1)*costos!$J$26+((V119*F119)/(V$10*F$10)-1)*costos!$K$26)))</f>
        <v>10037.153265499652</v>
      </c>
      <c r="CV119" s="268">
        <f>CV$10*(1+((H119/H$10-1)*costos!$B$27+((I119*F119)/(I$10*F$10)-1)*costos!$E$27+((J119*F119)/((J$10*F$10)-1)*costos!$F$27/3+((K119*F119)/(K$10*F$10)-1)*costos!$F$27/3+((U119*F119)/(U$10*F$10)-1)*costos!$F$27/3+((L119*F119)/(L$10*F$10)-1)*costos!$G$27+((AS119)/(AS$10)-1)*costos!$J$27+((V119*F119)/(V$10*F$10)-1)*costos!$K$27)))</f>
        <v>9168.6524039496944</v>
      </c>
      <c r="CW119" s="268">
        <f>CW$10*(1+((H119/H$10-1)*costos!$B$28+((I119*F119)/(I$10*F$10)-1)*costos!$E$28+((J119*F119)/((J$10*F$10)-1)*costos!$F$28/3+((K119*F119)/(K$10*F$10)-1)*costos!$F$28/3+((U119*F119)/(U$10*F$10)-1)*costos!$F$28/3+((L119*F119)/(L$10*F$10)-1)*costos!$G$28+((AS119)/(AS$10)-1)*costos!$J$28+((V119*F119)/(V$10*F$10)-1)*costos!$K$28)))</f>
        <v>9168.6524039496944</v>
      </c>
      <c r="CX119" s="268">
        <f t="shared" si="473"/>
        <v>9458.1526911330129</v>
      </c>
      <c r="CY119" s="268">
        <f>CY$10*(1+((H119/H$10-1)*costos!$B$32+((I119*F119)/(I$10*F$10)-1)*costos!$E$32+((J119*F119)/((J$10*F$10)-1)*costos!$F$32/3+((K119*F119)/(K$10*F$10)-1)*costos!$F$32/3+((U119*F119)/(U$10*F$10)-1)*costos!$F$32/3+((L119*F119)/(L$10*F$10)-1)*costos!$G$32+((AG119)/(AG$10)-1)*costos!$J$32+((V119*F119)/(V$10*F$10)-1)*costos!$K$32)))</f>
        <v>9719.6170766107443</v>
      </c>
      <c r="CZ119" s="69">
        <f>CZ$10*(1+((H119/H$10-1)*costos!$B$31+((I119*F119)/(I$10*F$10)-1)*costos!$E$30+((J119*F119)/((J$10*F$10)-1)*costos!$F$30/3+((K119*F119)/(K$10*F$10)-1)*costos!$F$30/3+((U119*F119)/(U$10*F$10)-1)*costos!$F$30/3+((L119*F119)/(L$10*F$10)-1)*costos!$G$30+((BG119)/(BG$10)-1)*costos!$J$30+((V119*F119)/(V$10*F$10)-1)*costos!$K$30)))</f>
        <v>12081.630754566766</v>
      </c>
      <c r="DA119" s="69">
        <f>DA$10*(1+((H119/H$10-1)*costos!$B$31+((I119*F119)/(I$10*F$10)-1)*costos!$E$31+((J119*F119)/((J$10*F$10)-1)*costos!$F$31/3+((K119*F119)/(K$10*F$10)-1)*costos!$F$31/3+((U119*F119)/(U$10*F$10)-1)*costos!$F$31/3+((L119*F119)/(L$10*F$10)-1)*costos!$G$31+((BJ119)/(BJ$10)-1)*costos!$J$31+((V119*F119)/(V$10*F$10)-1)*costos!$K$31)))</f>
        <v>9884.1611577513395</v>
      </c>
      <c r="DB119" s="69">
        <f>DB$10*(1+((H119/H$10-1)*costos!$B$36+((I119*F119)/(I$10*F$10)-1)*costos!$E$36+((J119*F119)/((J$10*F$10)-1)*costos!$F$36/3+((K119*F119)/(K$10*F$10)-1)*costos!$F$36/3+((U119*F119)/(U$10*F$10)-1)*costos!$F$36/3+((L119*F119)/(L$10*F$10)-1)*costos!$G$36+((BK119)/(BK$10)-1)*costos!$J$36+((V119*F119)/(V$10*F$10)-1)*costos!$K$36)))</f>
        <v>10111.023722735721</v>
      </c>
      <c r="DC119" s="69">
        <f>DC$10*(1+((H119/H$10-1)*costos!$B$37+((I119*F119)/(I$10*F$10)-1)*costos!$E$37+((U119*F119)/(U$10*F$10)-1)*costos!$F$37+((L119*F119)/(L$10*F$10)-1)*costos!$G$37+((BN119)/(BN$10)-1)*costos!$J$37+((V119*F119)/(V$10*F$10)-1)*costos!$K$37))</f>
        <v>10658.793380833098</v>
      </c>
      <c r="DD119" s="69">
        <f>DD$10*(1+((H119/H$10-1)*costos!$B$39+((I119*F119)/(I$10*F$10)-1)*costos!$E$39+((U119*F119)/(U$10*F$10)-1)*costos!$F$39+((L119*F119)/(L$10*F$10)-1)*costos!$G$39+((BR119)/(BR$10)-1)*costos!$J$39+((V119*F119)/(V$10*F$10)-1)*costos!$K$39))</f>
        <v>10476.340787581477</v>
      </c>
      <c r="DE119" s="69">
        <f>DD$10*(1+((H119/H$10-1)*costos!$B$35+((I119*F119)/(I$10*F$10)-1)*costos!$E$35+((U119*F119)/(U$10*F$10)-1)*costos!$F$35+((L119*F119)/(L$10*F$10)-1)*costos!$G$35+((BR119)/(BR$10)-1)*costos!$J$35+((V119*F119)/(V$10*F$10)-1)*costos!$K$35))</f>
        <v>9307.5237548258938</v>
      </c>
      <c r="DF119" s="69">
        <f>DF$10*(1+((H119/H$10-1)*costos!$B$40+((I119*F119)/(I$10*F$10)-1)*costos!$E$40+((U119*F119)/(U$10*F$10)-1)*costos!$F$40+((L119*F119)/(L$10*F$10)-1)*costos!$G$40+((BP119)/(BP$10)-1)*costos!$J$40+((V119*F119)/(V$10*F$10)-1)*costos!$K$40))</f>
        <v>10750.115308653076</v>
      </c>
      <c r="DG119" s="268">
        <f t="shared" si="461"/>
        <v>10028.819531739486</v>
      </c>
      <c r="DH119" s="69">
        <f>DH$10*(1+((H119/H$10-1)*costos!$B$34+((I119*F119)/(I$10*F$10)-1)*costos!$E$34+((J119*F119)/((J$10*F$10)-1)*costos!$F$34/3+((K119*F119)/(K$10*F$10)-1)*costos!$F$34/3+((U119*F119)/(U$10*F$10)-1)*costos!$F$34/3+((L119*F119)/(L$10*F$10)-1)*costos!$G$34+((BV119)/(BV$10)-1)*costos!$J$34+((V119*F119)/(V$10*F$10)-1)*costos!$K$34)))</f>
        <v>9765.6375014764453</v>
      </c>
      <c r="DI119" s="69">
        <f>DI$10*(1+((H119/H$10-1)*costos!$B$38+((I119*F119)/(I$10*F$10)-1)*costos!$E$38+((J119*F119)/((J$10*F$10)-1)*costos!$F$38/3+((K119*F119)/(K$10*F$10)-1)*costos!$F$38/3+((U119*F119)/(U$10*F$10)-1)*costos!$F$38/3+((L119*F119)/(L$10*F$10)-1)*costos!$G$38+((BU119)/(BU$10)-1)*costos!$J$38+((V119*F119)/(V$10*F$10)-1)*costos!$K$38)))</f>
        <v>9857.2618132846819</v>
      </c>
      <c r="DK119" s="1">
        <v>690000</v>
      </c>
      <c r="DL119" s="1" t="s">
        <v>512</v>
      </c>
      <c r="DM119" s="1">
        <v>230000</v>
      </c>
      <c r="DN119" s="1" t="s">
        <v>512</v>
      </c>
      <c r="DO119" s="1">
        <v>1700000</v>
      </c>
      <c r="DP119" s="1" t="s">
        <v>512</v>
      </c>
      <c r="DQ119" s="1">
        <v>2000000</v>
      </c>
      <c r="DR119" s="1" t="s">
        <v>512</v>
      </c>
      <c r="DS119" s="1">
        <v>6600000</v>
      </c>
      <c r="DT119" s="1" t="s">
        <v>512</v>
      </c>
      <c r="DU119" s="1">
        <v>18000000</v>
      </c>
      <c r="DV119" s="1" t="s">
        <v>512</v>
      </c>
      <c r="DW119" s="1">
        <v>1100000</v>
      </c>
      <c r="DX119" s="1" t="s">
        <v>512</v>
      </c>
      <c r="DY119" s="1">
        <v>6550000</v>
      </c>
      <c r="DZ119" s="1" t="s">
        <v>512</v>
      </c>
      <c r="EA119" s="79">
        <f t="shared" si="353"/>
        <v>35950000</v>
      </c>
      <c r="EB119" s="1">
        <v>521230</v>
      </c>
      <c r="EC119" s="1" t="s">
        <v>512</v>
      </c>
      <c r="ED119" s="1">
        <v>231352</v>
      </c>
      <c r="EE119" s="143">
        <v>2025</v>
      </c>
      <c r="EF119" s="83">
        <v>196220</v>
      </c>
      <c r="EG119" s="143">
        <v>2025</v>
      </c>
      <c r="EH119" s="1">
        <v>51624909</v>
      </c>
      <c r="EI119" s="143">
        <v>2025</v>
      </c>
      <c r="EJ119" s="1">
        <v>6115215</v>
      </c>
      <c r="EK119" s="6">
        <v>2024</v>
      </c>
      <c r="EL119" s="1">
        <v>12440906</v>
      </c>
      <c r="EM119" s="6">
        <v>2024</v>
      </c>
      <c r="EN119" s="1">
        <v>2840826</v>
      </c>
      <c r="EO119" s="6">
        <v>2025</v>
      </c>
      <c r="EP119" s="83">
        <v>9156</v>
      </c>
      <c r="EQ119" s="83">
        <v>4000000</v>
      </c>
      <c r="ER119" s="83">
        <f t="shared" ref="ER119:ER129" si="478">47213+28595+4103</f>
        <v>79911</v>
      </c>
      <c r="ES119" s="1"/>
      <c r="ET119" s="82">
        <f t="shared" si="474"/>
        <v>19357</v>
      </c>
      <c r="EU119" s="82">
        <f t="shared" si="474"/>
        <v>18703</v>
      </c>
      <c r="EV119" s="82">
        <f t="shared" si="474"/>
        <v>8927</v>
      </c>
      <c r="EW119" s="82">
        <f t="shared" si="474"/>
        <v>17408</v>
      </c>
      <c r="EX119" s="79">
        <f t="shared" si="354"/>
        <v>64395</v>
      </c>
      <c r="EY119" s="82">
        <f t="shared" si="394"/>
        <v>20031</v>
      </c>
      <c r="EZ119" s="83">
        <f t="shared" si="394"/>
        <v>38177</v>
      </c>
      <c r="FA119" s="82">
        <f t="shared" si="431"/>
        <v>19900</v>
      </c>
      <c r="FB119" s="82">
        <f t="shared" si="406"/>
        <v>18184</v>
      </c>
      <c r="FC119" s="79">
        <f t="shared" si="452"/>
        <v>38084</v>
      </c>
      <c r="FD119" s="83">
        <f t="shared" si="395"/>
        <v>60376</v>
      </c>
      <c r="FE119" s="1"/>
      <c r="FF119" s="1">
        <v>1300000</v>
      </c>
      <c r="FG119" s="1" t="s">
        <v>410</v>
      </c>
      <c r="FH119" s="1">
        <v>1300000</v>
      </c>
      <c r="FI119" s="1" t="s">
        <v>410</v>
      </c>
      <c r="FJ119" s="1">
        <v>4800000</v>
      </c>
      <c r="FK119" s="1" t="s">
        <v>512</v>
      </c>
      <c r="FL119" s="1">
        <v>4400000</v>
      </c>
      <c r="FM119" s="1" t="s">
        <v>512</v>
      </c>
      <c r="FN119" s="1">
        <v>46500000</v>
      </c>
      <c r="FO119" s="1" t="s">
        <v>410</v>
      </c>
      <c r="FP119" s="1">
        <v>48200000</v>
      </c>
      <c r="FQ119" s="1" t="s">
        <v>410</v>
      </c>
      <c r="FR119" s="1">
        <v>2500000</v>
      </c>
      <c r="FS119" s="1" t="s">
        <v>410</v>
      </c>
      <c r="FT119" s="1">
        <v>18510000</v>
      </c>
      <c r="FU119" s="1" t="s">
        <v>512</v>
      </c>
      <c r="FV119" s="79">
        <f t="shared" si="355"/>
        <v>124910000</v>
      </c>
      <c r="FW119" s="1">
        <v>1604722</v>
      </c>
      <c r="FX119" s="1" t="s">
        <v>410</v>
      </c>
      <c r="FY119" s="1">
        <v>16661</v>
      </c>
      <c r="FZ119" s="79">
        <f t="shared" si="377"/>
        <v>964417</v>
      </c>
      <c r="GA119" s="86" t="str">
        <f t="shared" si="462"/>
        <v>mar24 feb25</v>
      </c>
      <c r="GB119" s="1">
        <v>19908335</v>
      </c>
      <c r="GC119" s="6">
        <v>2025</v>
      </c>
      <c r="GD119" s="83">
        <v>2213559</v>
      </c>
      <c r="GE119" s="83">
        <v>410324</v>
      </c>
      <c r="GF119" s="83">
        <v>1003144</v>
      </c>
      <c r="GG119" s="83">
        <v>129694</v>
      </c>
      <c r="GH119" s="79">
        <f>GE119+GF119+GG119</f>
        <v>1543162</v>
      </c>
      <c r="GI119" s="82">
        <f t="shared" si="463"/>
        <v>1302556</v>
      </c>
      <c r="GJ119" s="82">
        <f t="shared" si="463"/>
        <v>682423</v>
      </c>
      <c r="GK119" s="82">
        <f t="shared" si="463"/>
        <v>1391495</v>
      </c>
      <c r="GL119" s="82">
        <f t="shared" si="463"/>
        <v>305049</v>
      </c>
      <c r="GM119" s="82">
        <f t="shared" si="463"/>
        <v>260419</v>
      </c>
      <c r="GN119" s="79">
        <f t="shared" si="357"/>
        <v>2639386</v>
      </c>
      <c r="GO119" s="82">
        <f t="shared" si="464"/>
        <v>201734</v>
      </c>
      <c r="GP119" s="82">
        <f t="shared" si="464"/>
        <v>75000</v>
      </c>
      <c r="GQ119" s="83">
        <v>164506</v>
      </c>
      <c r="GR119" s="1">
        <v>34035</v>
      </c>
      <c r="GS119" s="79">
        <f t="shared" si="412"/>
        <v>38970.18</v>
      </c>
      <c r="GT119" s="82">
        <f t="shared" si="407"/>
        <v>2111561</v>
      </c>
      <c r="GU119" s="1">
        <v>59085</v>
      </c>
      <c r="GV119" s="1">
        <f>5689+15977</f>
        <v>21666</v>
      </c>
      <c r="GW119" s="79">
        <f t="shared" si="455"/>
        <v>778161</v>
      </c>
      <c r="GX119" s="83">
        <v>36041.686000000002</v>
      </c>
      <c r="GY119" s="1" t="s">
        <v>802</v>
      </c>
      <c r="GZ119" s="83">
        <v>119643</v>
      </c>
      <c r="HA119" s="1">
        <v>234614</v>
      </c>
      <c r="HB119" s="79">
        <f t="shared" si="437"/>
        <v>3157641</v>
      </c>
      <c r="HC119" s="86" t="str">
        <f t="shared" si="465"/>
        <v>mar24 feb25</v>
      </c>
      <c r="HD119" s="1">
        <v>57138</v>
      </c>
      <c r="HE119" s="79">
        <f t="shared" si="380"/>
        <v>790254</v>
      </c>
      <c r="HF119" s="86" t="str">
        <f t="shared" si="466"/>
        <v>mar24 feb25</v>
      </c>
      <c r="HG119" s="1">
        <v>184000</v>
      </c>
      <c r="HH119" s="79">
        <f t="shared" si="438"/>
        <v>2314000</v>
      </c>
      <c r="HI119" s="86" t="str">
        <f t="shared" si="467"/>
        <v>mar24 feb25</v>
      </c>
      <c r="HJ119" s="1">
        <v>84436</v>
      </c>
      <c r="HK119" s="79">
        <f t="shared" si="475"/>
        <v>63981.586299286806</v>
      </c>
      <c r="HL119" s="86" t="str">
        <f t="shared" si="468"/>
        <v>mar24 feb25</v>
      </c>
      <c r="HM119" s="79">
        <f t="shared" si="358"/>
        <v>2377981.5862992867</v>
      </c>
      <c r="HN119" s="87">
        <f t="shared" si="297"/>
        <v>8.163265306122458E-2</v>
      </c>
      <c r="HO119" s="1">
        <v>742000000</v>
      </c>
      <c r="HP119" s="79">
        <f t="shared" si="386"/>
        <v>10656.445703900923</v>
      </c>
      <c r="HQ119" s="86" t="str">
        <f t="shared" si="469"/>
        <v>mar24 feb25</v>
      </c>
      <c r="HR119" s="1"/>
      <c r="HS119" s="1"/>
      <c r="HT119" s="1"/>
      <c r="HU119" s="1">
        <v>700000</v>
      </c>
      <c r="HV119" s="1" t="s">
        <v>410</v>
      </c>
      <c r="HW119" s="1">
        <v>1400000</v>
      </c>
      <c r="HX119" s="1" t="s">
        <v>512</v>
      </c>
      <c r="HY119" s="1">
        <v>4600000</v>
      </c>
      <c r="HZ119" s="1" t="s">
        <v>410</v>
      </c>
      <c r="IA119" s="1">
        <f t="shared" si="456"/>
        <v>21600000</v>
      </c>
      <c r="IB119" s="1" t="s">
        <v>410</v>
      </c>
      <c r="IC119" s="1">
        <v>47000000</v>
      </c>
      <c r="ID119" s="1" t="s">
        <v>410</v>
      </c>
      <c r="IE119" s="1">
        <f>(0.05+1.2)*1000000</f>
        <v>1250000</v>
      </c>
      <c r="IF119" s="1" t="s">
        <v>410</v>
      </c>
      <c r="IG119" s="1">
        <v>7480000</v>
      </c>
      <c r="IH119" s="1" t="s">
        <v>512</v>
      </c>
      <c r="II119" s="79">
        <f t="shared" ref="II119:II135" si="479">+IG119+IE119+IC119+IA119+HY119+HW119</f>
        <v>83330000</v>
      </c>
      <c r="IJ119" s="97">
        <f t="shared" si="434"/>
        <v>2.1563835150032644</v>
      </c>
      <c r="IK119" s="1" t="s">
        <v>410</v>
      </c>
      <c r="IL119" s="7">
        <v>45.61</v>
      </c>
      <c r="IM119" s="7">
        <v>48.75</v>
      </c>
      <c r="IN119" s="7">
        <v>181.1</v>
      </c>
      <c r="IO119" s="97">
        <v>17.73</v>
      </c>
      <c r="IP119" s="176">
        <f t="shared" ref="IP119:IP129" si="480">266833743/IP$2</f>
        <v>5.7424738987207355</v>
      </c>
      <c r="IQ119" s="176">
        <f>IQ118</f>
        <v>16.079999999999998</v>
      </c>
      <c r="IR119" s="478">
        <f t="shared" si="459"/>
        <v>6.17</v>
      </c>
      <c r="IS119" s="478">
        <f t="shared" si="460"/>
        <v>5.03</v>
      </c>
      <c r="IT119" s="478">
        <f t="shared" si="460"/>
        <v>11</v>
      </c>
      <c r="IU119" s="478">
        <f t="shared" si="460"/>
        <v>1.1000000000000001</v>
      </c>
      <c r="IV119" s="94">
        <f t="shared" si="360"/>
        <v>17.130000000000003</v>
      </c>
      <c r="IW119" s="1"/>
      <c r="IX119" s="1"/>
      <c r="IY119" s="80">
        <v>1.88</v>
      </c>
      <c r="IZ119" s="88">
        <v>0.3</v>
      </c>
      <c r="JA119" s="1">
        <v>2813</v>
      </c>
      <c r="JB119" s="95">
        <f t="shared" si="433"/>
        <v>35.950000000000003</v>
      </c>
      <c r="JC119" s="1"/>
      <c r="JD119" s="1"/>
      <c r="JF119" s="2">
        <v>8.6490729999999978</v>
      </c>
      <c r="JG119" s="2">
        <v>94.896967090000004</v>
      </c>
      <c r="JH119" s="2">
        <v>179.07920426999999</v>
      </c>
      <c r="JI119" s="2">
        <v>129.19613618999998</v>
      </c>
      <c r="JJ119" s="2">
        <v>649.03009867000026</v>
      </c>
      <c r="JK119" s="2">
        <v>129.66034791999999</v>
      </c>
      <c r="JL119" s="2">
        <v>1640.2530088200001</v>
      </c>
      <c r="JM119" s="2">
        <v>16.174937150000002</v>
      </c>
      <c r="JN119" s="2">
        <v>579.37786552</v>
      </c>
      <c r="JO119" s="2">
        <v>30.959664470000003</v>
      </c>
      <c r="JP119" s="2">
        <v>0</v>
      </c>
      <c r="JQ119" s="2">
        <v>0.90505519999999995</v>
      </c>
      <c r="JR119" s="2">
        <v>2.0880639599999999</v>
      </c>
      <c r="JS119" s="2">
        <v>0</v>
      </c>
      <c r="JT119" s="2">
        <v>0.68768700000000005</v>
      </c>
      <c r="JU119" s="2">
        <v>63.754065359999977</v>
      </c>
      <c r="JV119" s="2">
        <v>8.6503282699999993</v>
      </c>
      <c r="JW119" s="2">
        <v>37.746528730000009</v>
      </c>
      <c r="JX119" s="2">
        <v>7.26098439</v>
      </c>
      <c r="JY119" s="2">
        <v>0</v>
      </c>
      <c r="JZ119" s="2">
        <v>11.070028969999997</v>
      </c>
      <c r="KA119" s="2">
        <v>0.41249999999999998</v>
      </c>
      <c r="KB119" s="2">
        <v>14.484437890000001</v>
      </c>
      <c r="KC119" s="2">
        <v>9.7228914799999995</v>
      </c>
      <c r="KD119" s="2">
        <v>9.8166064800000008</v>
      </c>
      <c r="KE119" s="2">
        <v>15.906782769999998</v>
      </c>
      <c r="KF119" s="2">
        <v>8.0094020700000002</v>
      </c>
      <c r="KG119" s="2">
        <v>345.87150417999976</v>
      </c>
      <c r="KH119" s="2">
        <v>158.22857195999995</v>
      </c>
      <c r="KI119" s="2">
        <v>31.610464650000004</v>
      </c>
      <c r="KJ119" s="2">
        <v>3.87511991</v>
      </c>
      <c r="KK119" s="171">
        <v>9.7355070900000005</v>
      </c>
      <c r="KL119" s="171">
        <v>0.47281664000000007</v>
      </c>
      <c r="KM119" s="171">
        <v>0.25029460999999997</v>
      </c>
      <c r="KN119" s="171">
        <v>0.14861942999999997</v>
      </c>
      <c r="KO119" s="171">
        <v>3.8082863800000002</v>
      </c>
      <c r="KP119" s="171">
        <v>0</v>
      </c>
      <c r="KQ119" s="171">
        <v>283.81782139000001</v>
      </c>
      <c r="KR119" s="171">
        <v>0</v>
      </c>
      <c r="KS119" s="171">
        <v>0.11789339</v>
      </c>
      <c r="KT119" s="171">
        <v>0.86551083000000006</v>
      </c>
      <c r="KU119" s="171">
        <v>4.4833160000000004E-2</v>
      </c>
      <c r="KV119" s="171">
        <v>0</v>
      </c>
      <c r="KW119" s="171">
        <v>0.27889262000000004</v>
      </c>
      <c r="KX119" s="171">
        <v>0</v>
      </c>
      <c r="KY119" s="171">
        <v>0</v>
      </c>
      <c r="KZ119" s="171">
        <v>1.94679845</v>
      </c>
      <c r="LA119" s="171">
        <v>4.7323499999999998E-2</v>
      </c>
      <c r="LB119" s="171">
        <v>0</v>
      </c>
      <c r="LC119" s="171">
        <v>2.6899458300000001</v>
      </c>
      <c r="LD119" s="171">
        <v>0</v>
      </c>
      <c r="LE119" s="171">
        <v>1.0991278</v>
      </c>
      <c r="LF119" s="171">
        <v>0.46851831999999993</v>
      </c>
      <c r="LG119" s="171">
        <v>16.998994660000001</v>
      </c>
      <c r="LH119" s="171">
        <v>5.6310443999999995</v>
      </c>
      <c r="LI119" s="171">
        <v>2.0218665100000002</v>
      </c>
      <c r="LJ119" s="171">
        <v>3.5298E-3</v>
      </c>
      <c r="LK119" s="171">
        <v>4.5240591299999995</v>
      </c>
      <c r="LL119" s="171">
        <v>7.0677003599999999</v>
      </c>
      <c r="LM119" s="171">
        <v>2.90139879</v>
      </c>
      <c r="LN119" s="171">
        <v>0.19393855000000002</v>
      </c>
      <c r="LO119" s="171">
        <v>14.447589379999997</v>
      </c>
      <c r="LQ119" s="85">
        <f t="shared" si="439"/>
        <v>3193.1112506200002</v>
      </c>
      <c r="LR119" s="85">
        <f t="shared" si="440"/>
        <v>3.6808061599999999</v>
      </c>
      <c r="LS119" s="85">
        <f t="shared" si="441"/>
        <v>46.396857000000011</v>
      </c>
      <c r="LT119" s="85">
        <f t="shared" si="442"/>
        <v>11.482528969999997</v>
      </c>
      <c r="LU119" s="85">
        <f t="shared" si="443"/>
        <v>288.1429152</v>
      </c>
      <c r="LV119" s="85">
        <f t="shared" si="444"/>
        <v>0.27889262000000004</v>
      </c>
      <c r="LW119" s="85">
        <f t="shared" si="445"/>
        <v>4.7323499999999998E-2</v>
      </c>
      <c r="LX119" s="85">
        <f t="shared" si="446"/>
        <v>1.56764612</v>
      </c>
      <c r="LZ119" s="83">
        <v>1467.17</v>
      </c>
      <c r="MA119" s="83">
        <v>1937.98</v>
      </c>
      <c r="MB119"/>
      <c r="MC119"/>
      <c r="MD119"/>
      <c r="MF119"/>
      <c r="MG119"/>
      <c r="MH119" s="83">
        <v>3212.93</v>
      </c>
      <c r="MI119" s="83">
        <v>824.92</v>
      </c>
      <c r="MJ119" s="83">
        <v>790.79</v>
      </c>
      <c r="MK119"/>
      <c r="ML119" s="83">
        <v>798.26</v>
      </c>
      <c r="MM119" s="83">
        <v>1268.6500000000001</v>
      </c>
      <c r="MN119" s="83"/>
      <c r="MO119" s="83">
        <v>1184.25</v>
      </c>
      <c r="MP119" s="83">
        <v>2176.3000000000002</v>
      </c>
      <c r="MQ119" s="83">
        <v>2414.1999999999998</v>
      </c>
      <c r="MR119"/>
      <c r="MT119" s="83"/>
      <c r="MU119" s="83">
        <v>1110.3</v>
      </c>
      <c r="MV119"/>
      <c r="MW119"/>
      <c r="MX119"/>
      <c r="MY119" s="83">
        <v>2250.62</v>
      </c>
      <c r="MZ119" s="83">
        <v>6520</v>
      </c>
      <c r="NA119" s="83">
        <v>3100</v>
      </c>
      <c r="NB119" s="83">
        <v>9866</v>
      </c>
      <c r="NC119" s="83">
        <v>1496.62</v>
      </c>
      <c r="ND119" s="1">
        <v>11700</v>
      </c>
      <c r="NE119" s="1">
        <v>6734</v>
      </c>
    </row>
    <row r="120" spans="1:369">
      <c r="A120" s="38">
        <f t="shared" si="417"/>
        <v>45717</v>
      </c>
      <c r="B120" s="36">
        <f t="shared" si="476"/>
        <v>3</v>
      </c>
      <c r="C120" s="36">
        <f t="shared" si="477"/>
        <v>2025</v>
      </c>
      <c r="D120" s="36">
        <f t="shared" si="347"/>
        <v>120</v>
      </c>
      <c r="E120" s="38">
        <f t="shared" si="418"/>
        <v>45717</v>
      </c>
      <c r="F120" s="7">
        <v>1068.652</v>
      </c>
      <c r="G120" s="7">
        <v>8352.2999999999993</v>
      </c>
      <c r="H120" s="1">
        <f>[2]NACIONALES!$D108</f>
        <v>802533.3274651001</v>
      </c>
      <c r="I120" s="7">
        <v>113</v>
      </c>
      <c r="J120" s="7">
        <v>550</v>
      </c>
      <c r="K120" s="7">
        <v>4.4000000000000004</v>
      </c>
      <c r="L120" s="7">
        <v>37.9</v>
      </c>
      <c r="N120" s="5">
        <f>+(1.49+1.44+1.46+1.46)/4</f>
        <v>1.4624999999999999</v>
      </c>
      <c r="O120">
        <f>+(1.09+1.05+1.07+1.07)/4</f>
        <v>1.07</v>
      </c>
      <c r="P120" s="78">
        <f t="shared" si="398"/>
        <v>1285.5215652499999</v>
      </c>
      <c r="Q120" s="6">
        <v>25000</v>
      </c>
      <c r="R120" s="79">
        <f t="shared" si="419"/>
        <v>250000</v>
      </c>
      <c r="S120" s="143">
        <f>211807.69/F120</f>
        <v>198.200808120885</v>
      </c>
      <c r="T120" s="6">
        <f>333600/F120</f>
        <v>312.16897549436112</v>
      </c>
      <c r="U120" s="188">
        <v>196.33</v>
      </c>
      <c r="V120" s="143">
        <v>309.19</v>
      </c>
      <c r="W120" s="6">
        <v>225.83</v>
      </c>
      <c r="X120" s="6">
        <v>216.89</v>
      </c>
      <c r="Y120" s="79">
        <f t="shared" si="420"/>
        <v>211807.69</v>
      </c>
      <c r="Z120" s="79">
        <f t="shared" si="421"/>
        <v>333600</v>
      </c>
      <c r="AA120" s="79">
        <f t="shared" si="422"/>
        <v>209808.44716000001</v>
      </c>
      <c r="AB120" s="79">
        <f t="shared" si="423"/>
        <v>330416.51188000001</v>
      </c>
      <c r="AC120" s="79">
        <f t="shared" si="424"/>
        <v>241333.68116000004</v>
      </c>
      <c r="AD120" s="79">
        <f t="shared" si="425"/>
        <v>231779.93228000001</v>
      </c>
      <c r="AE120" s="79">
        <f t="shared" si="426"/>
        <v>259791.04374666669</v>
      </c>
      <c r="AF120" s="83">
        <f>836.7*F120</f>
        <v>894141.12840000005</v>
      </c>
      <c r="AG120" s="1">
        <v>285000</v>
      </c>
      <c r="AH120" s="1">
        <v>1150000</v>
      </c>
      <c r="AI120" s="5">
        <v>432.10340000000002</v>
      </c>
      <c r="AJ120" s="5">
        <v>269.69580000000002</v>
      </c>
      <c r="AK120" s="5">
        <v>267.14030000000002</v>
      </c>
      <c r="AL120" s="5">
        <v>305.86369999999999</v>
      </c>
      <c r="AM120" s="78">
        <f t="shared" si="458"/>
        <v>352.41916200000003</v>
      </c>
      <c r="AN120" s="7">
        <v>28175.324675324675</v>
      </c>
      <c r="AO120" s="7">
        <v>14255.052631578947</v>
      </c>
      <c r="AP120" s="78">
        <f t="shared" si="470"/>
        <v>14255.052631578947</v>
      </c>
      <c r="AQ120" s="7">
        <v>15753.731343283582</v>
      </c>
      <c r="AR120" s="7">
        <v>13500</v>
      </c>
      <c r="AS120" s="7">
        <v>9945.454545454546</v>
      </c>
      <c r="AT120" s="7">
        <v>20025.42105263158</v>
      </c>
      <c r="AU120" s="78">
        <f t="shared" si="348"/>
        <v>14490.291866028709</v>
      </c>
      <c r="AV120" s="7">
        <v>8870.5882352941171</v>
      </c>
      <c r="AW120" s="7">
        <v>11605.263157894737</v>
      </c>
      <c r="AX120" s="7">
        <v>8621.589473684211</v>
      </c>
      <c r="AY120" s="7">
        <v>17784.920634920636</v>
      </c>
      <c r="AZ120" s="7">
        <v>9370.5263157894733</v>
      </c>
      <c r="BA120" s="7">
        <v>4610.7142857142853</v>
      </c>
      <c r="BB120" s="94">
        <f t="shared" si="345"/>
        <v>10851.255648380209</v>
      </c>
      <c r="BC120" s="68">
        <v>38806</v>
      </c>
      <c r="BD120" s="68">
        <v>34926</v>
      </c>
      <c r="BE120" s="7">
        <v>27200</v>
      </c>
      <c r="BF120" s="97">
        <v>19000</v>
      </c>
      <c r="BG120" s="94">
        <f t="shared" si="349"/>
        <v>29983</v>
      </c>
      <c r="BH120" s="7">
        <v>3807</v>
      </c>
      <c r="BI120" s="97">
        <v>712</v>
      </c>
      <c r="BJ120" s="78">
        <f t="shared" si="350"/>
        <v>4519</v>
      </c>
      <c r="BK120" s="7">
        <v>2949.971</v>
      </c>
      <c r="BL120" s="7">
        <v>3485</v>
      </c>
      <c r="BM120" s="94">
        <f t="shared" si="351"/>
        <v>3217.4854999999998</v>
      </c>
      <c r="BN120" s="5">
        <v>453.14</v>
      </c>
      <c r="BO120" s="84">
        <v>2390.14</v>
      </c>
      <c r="BP120" s="84">
        <v>1718.71</v>
      </c>
      <c r="BQ120" s="94">
        <f t="shared" si="435"/>
        <v>2054.4250000000002</v>
      </c>
      <c r="BR120" s="7">
        <f>+(1635.02+1674.98+1633.34+1638.7)/4</f>
        <v>1645.51</v>
      </c>
      <c r="BS120" s="7">
        <v>6300</v>
      </c>
      <c r="BT120" s="7">
        <f>1.26*F120</f>
        <v>1346.50152</v>
      </c>
      <c r="BU120" s="79">
        <f t="shared" si="436"/>
        <v>79639.504560000001</v>
      </c>
      <c r="BV120" s="7">
        <v>1829</v>
      </c>
      <c r="BW120" s="7">
        <v>3182</v>
      </c>
      <c r="BY120" s="268">
        <f>BY$10*(1+((H120/H$10-1)*costos!$B$5+((I120*F120)/(I$10*F$10)-1)*costos!$E$5+((J120*F120)/((J$10*F$10)-1)*costos!$F$5/3+((K120*F120)/(K$10*F$10)-1)*costos!$F$5/3+((U120*F120)/(U$10*F$10)-1)*costos!$F$5/3+((L120*F120)/(L$10*F$10)-1)*costos!$G$5+((N120*F120)/(N$10*F$10)-1)*costos!$J$5+((V120*F120)/(V$10*F$10)-1)*costos!$K$5)))</f>
        <v>9752.0759990099123</v>
      </c>
      <c r="BZ120" s="268">
        <f>$BZ$10*(1+((H120/$H$10-1)*costos!$B$6+((I120*F120)/($I$10*$F$10)-1)*costos!$E$6+((J120*F120)/(($J$10*$F$10)-1)*costos!$F$6/3+((K120*F120)/($K$10*$F$10)-1)*costos!$F$6/3+((U120*F120)/($U$10*$F$10)-1)*costos!$F$6/3+((L120*F120)/($L$10*$F$10)-1)*costos!$G$6+((Q120*F120)/($Q$10*$F$10)-1)*costos!$J$6+((V120*F120)/($V$10*$F$10)-1)*costos!$K$6)))</f>
        <v>9576.2603554872785</v>
      </c>
      <c r="CA120" s="268">
        <f>CA$10*(1+((H120/H$10-1)*costos!$B$7+((I120*F120)/(I$10*F$10)-1)*costos!$E$7+((J120*F120)/((J$10*F$10)-1)*costos!$F$7/3+((K120*F120)/(K$10*F$10)-1)*costos!$F$7/3+((U120*F120)/(U$10*F$10)-1)*costos!$F$7/3+((L120*F120)/(L$10*F$10)-1)*costos!$G$7+((S120*F120)/(S$10*F$10)-1)*costos!$J$7+((V120*F120)/(V$10*F$10)-1)*costos!$K$7)))</f>
        <v>9950.1695358055822</v>
      </c>
      <c r="CB120" s="268">
        <f>CB$10*(1+((H120/H$10-1)*costos!$B$8+((I120*F120)/(I$10*F$10)-1)*costos!$E$8+((J120*F120)/((J$10*F$10)-1)*costos!$F$8/3+((K120*F120)/(K$10*F$10)-1)*costos!$F$8/3+((U120*F120)/(U$10*F$10)-1)*costos!$F$8/3+((L120*F120)/(L$10*F$10)-1)*costos!$G$8+((T120*F120)/(T$10*F$10)-1)*costos!$J$8+((V120*F120)/(V$10*F$10)-1)*costos!$K$8)))</f>
        <v>9611.6785078438224</v>
      </c>
      <c r="CC120" s="268">
        <f>CC$10*(1+((H120/H$10-1)*costos!$B$9+((I120*F120)/(I$10*F$10)-1)*costos!$E$9+((J120*F120)/((J$10*F$10)-1)*costos!$F$9/3+((K120*F120)/(K$10*F$10)-1)*costos!$F$9/3+((U120*F120)/(U$10*F$10)-1)*costos!$F$9/3+((L120*F120)/(L$10*F$10)-1)*costos!$G$9+((U120*F120)/(U$10*F$10)-1)*costos!$J$9+((V120*F120)/(V$10*F$10)-1)*costos!$K$9)))</f>
        <v>9980.9540523734122</v>
      </c>
      <c r="CD120" s="268">
        <f>CD$10*(1+((H120/H$10-1)*costos!$B$11+((I120*F120)/(I$10*F$10)-1)*costos!$E$11+((J120*F120)/((J$10*F$10)-1)*costos!$F$11/3+((K120*F120)/(K$10*F$10)-1)*costos!$F$11/3+((U120*F120)/(U$10*F$10)-1)*costos!$F$11/3+((L120*F120)/(L$10*F$10)-1)*costos!$G$11+((V120*F120)/(V$10*F$10)-1)*costos!$J$11+((V120*F120)/(V$10*F$10)-1)*costos!$K$11)))</f>
        <v>10004.542404025191</v>
      </c>
      <c r="CE120" s="268">
        <f>CE$10*(1+((H120/H$10-1)*costos!$B$12+((I120*F120)/(I$10*F$10)-1)*costos!$E$12+((J120*F120)/((J$10*F$10)-1)*costos!$F$12/3+((K120*F120)/(K$10*F$10)-1)*costos!$F$12/3+((U120*F120)/(U$10*F$10)-1)*costos!$F$12/3+((L120*F120)/(L$10*F$10)-1)*costos!$G$12+((W120*F120)/(W$10*F$10)-1)*costos!$J$12+((V120*F120)/(V$10*F$10)-1)*costos!$K$12)))</f>
        <v>10453.066748616195</v>
      </c>
      <c r="CF120" s="268">
        <f>CF$10*(1+((H120/H$10-1)*costos!$B$13+((I120*F120)/(I$10*F$10)-1)*costos!$E$13+((J120*F120)/((J$10*F$10)-1)*costos!$F$13/3+((K120*F120)/(K$10*F$10)-1)*costos!$F$13/3+((U120*F120)/(U$10*F$10)-1)*costos!$F$13/3+((L120*F120)/(L$10*F$10)-1)*costos!$G$13+((X120*F120)/(X$10*F$10)-1)*costos!$J$13+((V120*F120)/(V$10*F$10)-1)*costos!$K$13)))</f>
        <v>10218.254204126024</v>
      </c>
      <c r="CG120" s="268">
        <f t="shared" si="471"/>
        <v>10036.444242131704</v>
      </c>
      <c r="CH120" s="268">
        <f>CH$10*(1+((H120/H$10-1)*costos!$B$10+((I120*F120)/(I$10*F$10)-1)*costos!$E$10+((J120*F120)/((J$10*F$10)-1)*costos!$F$10/3+((K120*F120)/(K$10*F$10)-1)*costos!$F$10/3+((U120*F120)/(U$10*F$10)-1)*costos!$F$10/3+((L120*F120)/(L$10*F$10)-1)*costos!$G$10+((AF120)/(AF$10)-1)*costos!$J$10+((V120*F120)/(V$10*F$10)-1)*costos!$K$10)))</f>
        <v>11229.883936212187</v>
      </c>
      <c r="CI120" s="268">
        <f>CI$10*(1+((H120/H$10-1)*costos!$B$15+((I120*F120)/(I$10*F$10)-1)*costos!$E$15+((J120*F120)/((J$10*F$10)-1)*costos!$F$15/3+((K120*F120)/(K$10*F$10)-1)*costos!$F$15/3+((U120*F120)/(U$10*F$10)-1)*costos!$F$15/3+((L120*F120)/(L$10*F$10)-1)*costos!$G$15+((AV120)/(AV$10)-1)*costos!$J$15+((V120*F120)/(V$10*F$10)-1)*costos!$K$15)))</f>
        <v>10332.67673280927</v>
      </c>
      <c r="CJ120" s="268">
        <f>CJ$10*(1+((H120/H$10-1)*costos!$B$16+((I120*F120)/(I$10*F$10)-1)*costos!$E$16+((J120*F120)/((J$10*F$10)-1)*costos!$F$16/3+((K120*F120)/(K$10*F$10)-1)*costos!$F$16/3+((U120*F120)/(U$10*F$10)-1)*costos!$F$16/3+((L120*F120)/(L$10*F$10)-1)*costos!$G$16+((AW120)/(AW$10)-1)*costos!$J$16+((V120*F120)/(V$10*F$10)-1)*costos!$K$16)))</f>
        <v>9353.8261118268074</v>
      </c>
      <c r="CK120" s="268">
        <f>CK$10*(1+((H120/H$10-1)*costos!$B$17+((I120*F120)/(I$10*F$10)-1)*costos!$E$17+((J120*F120)/((J$10*F$10)-1)*costos!$F$17/3+((K120*F120)/(K$10*F$10)-1)*costos!$F$17/3+((U120*F120)/(U$10*F$10)-1)*costos!$F$17/3+((L120*F120)/(L$10*F$10)-1)*costos!$G$17+((AX120)/(AX$10)-1)*costos!$J$17+((V120*F120)/(V$10*F$10)-1)*costos!$K$17)))</f>
        <v>10096.200431698646</v>
      </c>
      <c r="CL120" s="268">
        <f>CL$10*(1+((H120/H$10-1)*costos!$B$18+((I120*F120)/(I$10*F$10)-1)*costos!$E$18+((J120*F120)/((J$10*F$10)-1)*costos!$F$18/3+((K120*F120)/(K$10*F$10)-1)*costos!$F$18/3+((U120*F120)/(U$10*F$10)-1)*costos!$F$18/3+((L120*F120)/(L$10*F$10)-1)*costos!$G$18+((AY120)/(AY$10)-1)*costos!$J$18+((V120*F120)/(V$10*F$10)-1)*costos!$K$18)))</f>
        <v>11862.436042348385</v>
      </c>
      <c r="CM120" s="268">
        <f>CM$10*(1+((H120/H$10-1)*costos!$B$19+((I120*F120)/(I$10*F$10)-1)*costos!$E$19+((J120*F120)/((J$10*F$10)-1)*costos!$F$19/3+((K120*F120)/(K$10*F$10)-1)*costos!$F$19/3+((U120*F120)/(U$10*F$10)-1)*costos!$F$19/3+((L120*F120)/(L$10*F$10)-1)*costos!$G$19+((AZ120)/(AZ$10)-1)*costos!$J$19+((V120*F120)/(V$10*F$10)-1)*costos!$K$19)))</f>
        <v>9552.9086847131184</v>
      </c>
      <c r="CN120" s="268">
        <f>CN$10*(1+((H120/H$10-1)*costos!$B$20+((I120*F120)/(I$10*F$10)-1)*costos!$E$20+((J120*F120)/((J$10*F$10)-1)*costos!$F$20/3+((K120*F120)/(K$10*F$10)-1)*costos!$F$20/3+((U120*F120)/(U$10*F$10)-1)*costos!$F$20/3+((L120*F120)/(L$10*F$10)-1)*costos!$G$20+((BA120)/(BA$10)-1)*costos!$J$20+((V120*F120)/(V$10*F$10)-1)*costos!$K$20)))</f>
        <v>9254.5302894035049</v>
      </c>
      <c r="CO120" s="268">
        <f t="shared" si="472"/>
        <v>10191.518862040914</v>
      </c>
      <c r="CP120" s="268">
        <f>CP$10*(1+((H120/H$10-1)*costos!$B$22+((I120*F120)/(I$10*F$10)-1)*costos!$E$22+((J120*F120)/((J$10*F$10)-1)*costos!$F$22/3+((K120*F120)/(K$10*F$10)-1)*costos!$F$22/3+((U120*F120)/(U$10*F$10)-1)*costos!$F$22/3+((L120*F120)/(L$10*F$10)-1)*costos!$G$22+(((AVERAGE(AI120:AL120))/((AVERAGE(AI$10:AL$10))-1)*costos!$J$22+((V120*F120)/(V$10*F$10)-1)*costos!$K$22)))))</f>
        <v>11124.512624880866</v>
      </c>
      <c r="CQ120" s="92">
        <f>CQ$10*(1+((H120/H$10-1)*costos!$B$23+((I120*F120)/(I$10*F$10)-1)*costos!$E$23+((J120*F120)/((J$10*F$10)-1)*costos!$F$23/3+((K120*F120)/(K$10*F$10)-1)*costos!$F$23/3+((U120*F120)/(U$10*F$10)-1)*costos!$F$23/3+((L120*F120)/(L$10*F$10)-1)*costos!$G$23+((AN120)/(AN$10)-1)*costos!$J$23+((V120*F120)/(V$10*F$10)-1)*costos!$K$23)))</f>
        <v>9869.2537846075047</v>
      </c>
      <c r="CR120" s="268">
        <f>CR$10*(1+((H120/H$10-1)*costos!$B$24+((I120*F120)/(I$10*F$10)-1)*costos!$E$24+((J120*F120)/((J$10*F$10)-1)*costos!$F$24/3+((K120*F120)/(K$10*F$10)-1)*costos!$F$24/3+((U120*F120)/(U$10*F$10)-1)*costos!$F$24/3+((L120*F120)/(L$10*F$10)-1)*costos!$G$24+((AO120)/(AO$10)-1)*costos!$J$24+((V120*F120)/(V$10*F$10)-1)*costos!$K$24)))</f>
        <v>9646.4047449078716</v>
      </c>
      <c r="CS120" s="92">
        <f t="shared" si="352"/>
        <v>9757.8292647576891</v>
      </c>
      <c r="CT120" s="268">
        <f>CT$10*(1+((H120/H$10-1)*costos!$B$25+((I120*F120)/(I$10*F$10)-1)*costos!$E$25+((J120*F120)/((J$10*F$10)-1)*costos!$F$25/3+((K120*F120)/(K$10*F$10)-1)*costos!$F$25/3+((U120*F120)/(U$10*F$10)-1)*costos!$F$25/3+((L120*F120)/(L$10*F$10)-1)*costos!$G$25+((AQ120)/(AQ$10)-1)*costos!$J$25+((V120*F120)/(V$10*F$10)-1)*costos!$K$25)))</f>
        <v>9573.3693049064368</v>
      </c>
      <c r="CU120" s="268">
        <f>CU$10*(1+((H120/H$10-1)*costos!$B$26+((I120*F120)/(I$10*F$10)-1)*costos!$E$26+((J120*F120)/((J$10*F$10)-1)*costos!$F$26/3+((K120*F120)/(K$10*F$10)-1)*costos!$F$26/3+((U120*F120)/(U$10*F$10)-1)*costos!$F$26/3+((L120*F120)/(L$10*F$10)-1)*costos!$G$26+((AR120)/(AR$10)-1)*costos!$J$26+((V120*F120)/(V$10*F$10)-1)*costos!$K$26)))</f>
        <v>9672.7765019979634</v>
      </c>
      <c r="CV120" s="268">
        <f>CV$10*(1+((H120/H$10-1)*costos!$B$27+((I120*F120)/(I$10*F$10)-1)*costos!$E$27+((J120*F120)/((J$10*F$10)-1)*costos!$F$27/3+((K120*F120)/(K$10*F$10)-1)*costos!$F$27/3+((U120*F120)/(U$10*F$10)-1)*costos!$F$27/3+((L120*F120)/(L$10*F$10)-1)*costos!$G$27+((AS120)/(AS$10)-1)*costos!$J$27+((V120*F120)/(V$10*F$10)-1)*costos!$K$27)))</f>
        <v>9418.8540941380943</v>
      </c>
      <c r="CW120" s="268">
        <f>CW$10*(1+((H120/H$10-1)*costos!$B$28+((I120*F120)/(I$10*F$10)-1)*costos!$E$28+((J120*F120)/((J$10*F$10)-1)*costos!$F$28/3+((K120*F120)/(K$10*F$10)-1)*costos!$F$28/3+((U120*F120)/(U$10*F$10)-1)*costos!$F$28/3+((L120*F120)/(L$10*F$10)-1)*costos!$G$28+((AS120)/(AS$10)-1)*costos!$J$28+((V120*F120)/(V$10*F$10)-1)*costos!$K$28)))</f>
        <v>9418.8540941380943</v>
      </c>
      <c r="CX120" s="268">
        <f t="shared" si="473"/>
        <v>9503.4948967580494</v>
      </c>
      <c r="CY120" s="268">
        <f>CY$10*(1+((H120/H$10-1)*costos!$B$32+((I120*F120)/(I$10*F$10)-1)*costos!$E$32+((J120*F120)/((J$10*F$10)-1)*costos!$F$32/3+((K120*F120)/(K$10*F$10)-1)*costos!$F$32/3+((U120*F120)/(U$10*F$10)-1)*costos!$F$32/3+((L120*F120)/(L$10*F$10)-1)*costos!$G$32+((AG120)/(AG$10)-1)*costos!$J$32+((V120*F120)/(V$10*F$10)-1)*costos!$K$32)))</f>
        <v>9957.273842636605</v>
      </c>
      <c r="CZ120" s="69">
        <f>CZ$10*(1+((H120/H$10-1)*costos!$B$31+((I120*F120)/(I$10*F$10)-1)*costos!$E$30+((J120*F120)/((J$10*F$10)-1)*costos!$F$30/3+((K120*F120)/(K$10*F$10)-1)*costos!$F$30/3+((U120*F120)/(U$10*F$10)-1)*costos!$F$30/3+((L120*F120)/(L$10*F$10)-1)*costos!$G$30+((BG120)/(BG$10)-1)*costos!$J$30+((V120*F120)/(V$10*F$10)-1)*costos!$K$30)))</f>
        <v>12362.27170472832</v>
      </c>
      <c r="DA120" s="69">
        <f>DA$10*(1+((H120/H$10-1)*costos!$B$31+((I120*F120)/(I$10*F$10)-1)*costos!$E$31+((J120*F120)/((J$10*F$10)-1)*costos!$F$31/3+((K120*F120)/(K$10*F$10)-1)*costos!$F$31/3+((U120*F120)/(U$10*F$10)-1)*costos!$F$31/3+((L120*F120)/(L$10*F$10)-1)*costos!$G$31+((BJ120)/(BJ$10)-1)*costos!$J$31+((V120*F120)/(V$10*F$10)-1)*costos!$K$31)))</f>
        <v>10205.810374048006</v>
      </c>
      <c r="DB120" s="69">
        <f>DB$10*(1+((H120/H$10-1)*costos!$B$36+((I120*F120)/(I$10*F$10)-1)*costos!$E$36+((J120*F120)/((J$10*F$10)-1)*costos!$F$36/3+((K120*F120)/(K$10*F$10)-1)*costos!$F$36/3+((U120*F120)/(U$10*F$10)-1)*costos!$F$36/3+((L120*F120)/(L$10*F$10)-1)*costos!$G$36+((BK120)/(BK$10)-1)*costos!$J$36+((V120*F120)/(V$10*F$10)-1)*costos!$K$36)))</f>
        <v>10329.838028045871</v>
      </c>
      <c r="DC120" s="69">
        <f>DC$10*(1+((H120/H$10-1)*costos!$B$37+((I120*F120)/(I$10*F$10)-1)*costos!$E$37+((U120*F120)/(U$10*F$10)-1)*costos!$F$37+((L120*F120)/(L$10*F$10)-1)*costos!$G$37+((BN120)/(BN$10)-1)*costos!$J$37+((V120*F120)/(V$10*F$10)-1)*costos!$K$37))</f>
        <v>10428.805901437217</v>
      </c>
      <c r="DD120" s="69">
        <f>DD$10*(1+((H120/H$10-1)*costos!$B$39+((I120*F120)/(I$10*F$10)-1)*costos!$E$39+((U120*F120)/(U$10*F$10)-1)*costos!$F$39+((L120*F120)/(L$10*F$10)-1)*costos!$G$39+((BR120)/(BR$10)-1)*costos!$J$39+((V120*F120)/(V$10*F$10)-1)*costos!$K$39))</f>
        <v>10236.023159757069</v>
      </c>
      <c r="DE120" s="69">
        <f>DD$10*(1+((H120/H$10-1)*costos!$B$35+((I120*F120)/(I$10*F$10)-1)*costos!$E$35+((U120*F120)/(U$10*F$10)-1)*costos!$F$35+((L120*F120)/(L$10*F$10)-1)*costos!$G$35+((BR120)/(BR$10)-1)*costos!$J$35+((V120*F120)/(V$10*F$10)-1)*costos!$K$35))</f>
        <v>9075.5734009907392</v>
      </c>
      <c r="DF120" s="69">
        <f>DF$10*(1+((H120/H$10-1)*costos!$B$40+((I120*F120)/(I$10*F$10)-1)*costos!$E$40+((U120*F120)/(U$10*F$10)-1)*costos!$F$40+((L120*F120)/(L$10*F$10)-1)*costos!$G$40+((BP120)/(BP$10)-1)*costos!$J$40+((V120*F120)/(V$10*F$10)-1)*costos!$K$40))</f>
        <v>10521.215513199373</v>
      </c>
      <c r="DG120" s="268">
        <f t="shared" si="461"/>
        <v>9798.3944570950553</v>
      </c>
      <c r="DH120" s="69">
        <f>DH$10*(1+((H120/H$10-1)*costos!$B$34+((I120*F120)/(I$10*F$10)-1)*costos!$E$34+((J120*F120)/((J$10*F$10)-1)*costos!$F$34/3+((K120*F120)/(K$10*F$10)-1)*costos!$F$34/3+((U120*F120)/(U$10*F$10)-1)*costos!$F$34/3+((L120*F120)/(L$10*F$10)-1)*costos!$G$34+((BV120)/(BV$10)-1)*costos!$J$34+((V120*F120)/(V$10*F$10)-1)*costos!$K$34)))</f>
        <v>9960.5846168951593</v>
      </c>
      <c r="DI120" s="69">
        <f>DI$10*(1+((H120/H$10-1)*costos!$B$38+((I120*F120)/(I$10*F$10)-1)*costos!$E$38+((J120*F120)/((J$10*F$10)-1)*costos!$F$38/3+((K120*F120)/(K$10*F$10)-1)*costos!$F$38/3+((U120*F120)/(U$10*F$10)-1)*costos!$F$38/3+((L120*F120)/(L$10*F$10)-1)*costos!$G$38+((BU120)/(BU$10)-1)*costos!$J$38+((V120*F120)/(V$10*F$10)-1)*costos!$K$38)))</f>
        <v>10214.343683543455</v>
      </c>
      <c r="DK120" s="1">
        <v>690000</v>
      </c>
      <c r="DL120" s="1" t="s">
        <v>512</v>
      </c>
      <c r="DM120" s="1">
        <v>230000</v>
      </c>
      <c r="DN120" s="1" t="s">
        <v>512</v>
      </c>
      <c r="DO120" s="1">
        <v>1700000</v>
      </c>
      <c r="DP120" s="1" t="s">
        <v>512</v>
      </c>
      <c r="DQ120" s="1">
        <v>2000000</v>
      </c>
      <c r="DR120" s="1" t="s">
        <v>512</v>
      </c>
      <c r="DS120" s="1">
        <v>6600000</v>
      </c>
      <c r="DT120" s="1" t="s">
        <v>512</v>
      </c>
      <c r="DU120" s="1">
        <v>18000000</v>
      </c>
      <c r="DV120" s="1" t="s">
        <v>512</v>
      </c>
      <c r="DW120" s="1">
        <v>1100000</v>
      </c>
      <c r="DX120" s="1" t="s">
        <v>512</v>
      </c>
      <c r="DY120" s="1">
        <v>6550000</v>
      </c>
      <c r="DZ120" s="1" t="s">
        <v>512</v>
      </c>
      <c r="EA120" s="79">
        <f t="shared" si="353"/>
        <v>35950000</v>
      </c>
      <c r="EB120" s="1">
        <v>521230</v>
      </c>
      <c r="EC120" s="1" t="s">
        <v>512</v>
      </c>
      <c r="ED120" s="1">
        <v>231352</v>
      </c>
      <c r="EE120" s="143">
        <v>2025</v>
      </c>
      <c r="EF120" s="83">
        <v>196220</v>
      </c>
      <c r="EG120" s="143">
        <v>2025</v>
      </c>
      <c r="EH120" s="1">
        <v>51624909</v>
      </c>
      <c r="EI120" s="143">
        <v>2025</v>
      </c>
      <c r="EJ120" s="1">
        <v>5987778</v>
      </c>
      <c r="EK120" s="6">
        <v>2025</v>
      </c>
      <c r="EL120" s="1">
        <v>12440906</v>
      </c>
      <c r="EM120" s="6">
        <v>2024</v>
      </c>
      <c r="EN120" s="1">
        <v>2908156</v>
      </c>
      <c r="EO120" s="6">
        <v>2025</v>
      </c>
      <c r="EP120" s="83">
        <v>9256</v>
      </c>
      <c r="EQ120" s="83">
        <v>4000000</v>
      </c>
      <c r="ER120" s="83">
        <f t="shared" si="478"/>
        <v>79911</v>
      </c>
      <c r="ES120" s="1"/>
      <c r="ET120" s="82">
        <f t="shared" si="474"/>
        <v>19357</v>
      </c>
      <c r="EU120" s="82">
        <f t="shared" si="474"/>
        <v>18703</v>
      </c>
      <c r="EV120" s="82">
        <f t="shared" si="474"/>
        <v>8927</v>
      </c>
      <c r="EW120" s="82">
        <f t="shared" si="474"/>
        <v>17408</v>
      </c>
      <c r="EX120" s="79">
        <f t="shared" si="354"/>
        <v>64395</v>
      </c>
      <c r="EY120" s="82">
        <f t="shared" si="394"/>
        <v>20031</v>
      </c>
      <c r="EZ120" s="83">
        <f t="shared" si="394"/>
        <v>38177</v>
      </c>
      <c r="FA120" s="82">
        <f t="shared" si="431"/>
        <v>19900</v>
      </c>
      <c r="FB120" s="82">
        <f t="shared" si="406"/>
        <v>18184</v>
      </c>
      <c r="FC120" s="79">
        <f t="shared" si="452"/>
        <v>38084</v>
      </c>
      <c r="FD120" s="83">
        <f t="shared" si="395"/>
        <v>60376</v>
      </c>
      <c r="FE120" s="1"/>
      <c r="FF120" s="1">
        <v>1300000</v>
      </c>
      <c r="FG120" s="1" t="s">
        <v>410</v>
      </c>
      <c r="FH120" s="1">
        <v>1300000</v>
      </c>
      <c r="FI120" s="1" t="s">
        <v>410</v>
      </c>
      <c r="FJ120" s="1">
        <v>4800000</v>
      </c>
      <c r="FK120" s="1" t="s">
        <v>512</v>
      </c>
      <c r="FL120" s="1">
        <v>4500000</v>
      </c>
      <c r="FM120" s="1" t="s">
        <v>512</v>
      </c>
      <c r="FN120" s="1">
        <v>46500000</v>
      </c>
      <c r="FO120" s="1" t="s">
        <v>410</v>
      </c>
      <c r="FP120" s="1">
        <v>48000000</v>
      </c>
      <c r="FQ120" s="1" t="s">
        <v>410</v>
      </c>
      <c r="FR120" s="1">
        <v>2500000</v>
      </c>
      <c r="FS120" s="1" t="s">
        <v>410</v>
      </c>
      <c r="FT120" s="1">
        <v>18510000</v>
      </c>
      <c r="FU120" s="1" t="s">
        <v>512</v>
      </c>
      <c r="FV120" s="79">
        <f t="shared" si="355"/>
        <v>124810000</v>
      </c>
      <c r="FW120" s="83">
        <v>1895131</v>
      </c>
      <c r="FX120" s="1" t="s">
        <v>512</v>
      </c>
      <c r="FY120" s="1">
        <v>31394</v>
      </c>
      <c r="FZ120" s="79">
        <f t="shared" si="377"/>
        <v>915298</v>
      </c>
      <c r="GA120" s="86" t="str">
        <f t="shared" si="462"/>
        <v>abr24 mar25</v>
      </c>
      <c r="GB120" s="1">
        <v>19908335</v>
      </c>
      <c r="GC120" s="6">
        <v>2025</v>
      </c>
      <c r="GD120" s="83">
        <v>2213559</v>
      </c>
      <c r="GE120" s="83">
        <v>410324</v>
      </c>
      <c r="GF120" s="83">
        <v>1003144</v>
      </c>
      <c r="GG120" s="83">
        <v>129694</v>
      </c>
      <c r="GH120" s="79">
        <f t="shared" si="450"/>
        <v>1543162</v>
      </c>
      <c r="GI120" s="82">
        <f t="shared" si="463"/>
        <v>1302556</v>
      </c>
      <c r="GJ120" s="82">
        <f t="shared" si="463"/>
        <v>682423</v>
      </c>
      <c r="GK120" s="82">
        <f t="shared" si="463"/>
        <v>1391495</v>
      </c>
      <c r="GL120" s="82">
        <f t="shared" si="463"/>
        <v>305049</v>
      </c>
      <c r="GM120" s="82">
        <f t="shared" si="463"/>
        <v>260419</v>
      </c>
      <c r="GN120" s="79">
        <f t="shared" si="357"/>
        <v>2639386</v>
      </c>
      <c r="GO120" s="82">
        <f t="shared" si="464"/>
        <v>201734</v>
      </c>
      <c r="GP120" s="82">
        <f t="shared" si="464"/>
        <v>75000</v>
      </c>
      <c r="GQ120" s="83">
        <v>108022</v>
      </c>
      <c r="GR120" s="1">
        <v>34035</v>
      </c>
      <c r="GS120" s="79">
        <f t="shared" si="412"/>
        <v>37275.660000000003</v>
      </c>
      <c r="GT120" s="82">
        <f t="shared" si="407"/>
        <v>2111561</v>
      </c>
      <c r="GU120" s="83">
        <f>57797+14024</f>
        <v>71821</v>
      </c>
      <c r="GV120" s="83">
        <f>8571+21511</f>
        <v>30082</v>
      </c>
      <c r="GW120" s="79">
        <f t="shared" si="455"/>
        <v>776794</v>
      </c>
      <c r="GX120" s="83">
        <v>36041.686000000002</v>
      </c>
      <c r="GY120" s="1" t="s">
        <v>802</v>
      </c>
      <c r="GZ120" s="83">
        <v>119643</v>
      </c>
      <c r="HA120" s="83">
        <v>234006</v>
      </c>
      <c r="HB120" s="79">
        <f t="shared" si="437"/>
        <v>3152790</v>
      </c>
      <c r="HC120" s="86" t="str">
        <f t="shared" si="465"/>
        <v>abr24 mar25</v>
      </c>
      <c r="HD120" s="1">
        <v>61322</v>
      </c>
      <c r="HE120" s="79">
        <f t="shared" si="380"/>
        <v>790679</v>
      </c>
      <c r="HF120" s="86" t="str">
        <f t="shared" si="466"/>
        <v>abr24 mar25</v>
      </c>
      <c r="HG120" s="1">
        <v>180000</v>
      </c>
      <c r="HH120" s="79">
        <f t="shared" si="438"/>
        <v>2319000</v>
      </c>
      <c r="HI120" s="86" t="str">
        <f t="shared" si="467"/>
        <v>abr24 mar25</v>
      </c>
      <c r="HJ120" s="1">
        <v>83485</v>
      </c>
      <c r="HK120" s="79">
        <f t="shared" si="475"/>
        <v>63481.906299286806</v>
      </c>
      <c r="HL120" s="86" t="str">
        <f t="shared" si="468"/>
        <v>abr24 mar25</v>
      </c>
      <c r="HM120" s="79">
        <f t="shared" si="358"/>
        <v>2382481.906299287</v>
      </c>
      <c r="HN120" s="87">
        <f t="shared" si="297"/>
        <v>0.15858435922274938</v>
      </c>
      <c r="HO120" s="1">
        <v>816000000</v>
      </c>
      <c r="HP120" s="79">
        <f t="shared" si="386"/>
        <v>10768.137904900923</v>
      </c>
      <c r="HQ120" s="86" t="str">
        <f t="shared" si="469"/>
        <v>abr24 mar25</v>
      </c>
      <c r="HR120" s="1"/>
      <c r="HS120" s="1"/>
      <c r="HT120" s="1"/>
      <c r="HU120" s="1">
        <v>700000</v>
      </c>
      <c r="HV120" s="1" t="s">
        <v>512</v>
      </c>
      <c r="HW120" s="1">
        <v>1400000</v>
      </c>
      <c r="HX120" s="1" t="s">
        <v>512</v>
      </c>
      <c r="HY120" s="83">
        <v>4730000</v>
      </c>
      <c r="HZ120" s="1" t="s">
        <v>512</v>
      </c>
      <c r="IA120" s="1">
        <v>20800000</v>
      </c>
      <c r="IB120" s="1" t="s">
        <v>512</v>
      </c>
      <c r="IC120" s="1">
        <v>47000000</v>
      </c>
      <c r="ID120" s="1" t="s">
        <v>410</v>
      </c>
      <c r="IE120" s="1">
        <f>(0.05+1.2)*1000000</f>
        <v>1250000</v>
      </c>
      <c r="IF120" s="1" t="s">
        <v>410</v>
      </c>
      <c r="IG120" s="1">
        <v>7480000</v>
      </c>
      <c r="IH120" s="1" t="s">
        <v>512</v>
      </c>
      <c r="II120" s="79">
        <f t="shared" si="479"/>
        <v>82660000</v>
      </c>
      <c r="IJ120" s="97">
        <f>(8350000*12)/$IJ$2</f>
        <v>2.1563835150032644</v>
      </c>
      <c r="IK120" s="1" t="s">
        <v>410</v>
      </c>
      <c r="IL120" s="97">
        <v>45.61</v>
      </c>
      <c r="IM120" s="97">
        <v>49.86</v>
      </c>
      <c r="IN120" s="7">
        <v>191</v>
      </c>
      <c r="IO120" s="97">
        <v>17.850000000000001</v>
      </c>
      <c r="IP120" s="176">
        <f t="shared" si="480"/>
        <v>5.7424738987207355</v>
      </c>
      <c r="IQ120" s="176">
        <f t="shared" ref="IQ120:IQ127" si="481">IQ119</f>
        <v>16.079999999999998</v>
      </c>
      <c r="IR120" s="478">
        <f t="shared" si="459"/>
        <v>6.17</v>
      </c>
      <c r="IS120" s="478">
        <f t="shared" si="460"/>
        <v>5.03</v>
      </c>
      <c r="IT120" s="478">
        <f t="shared" si="460"/>
        <v>11</v>
      </c>
      <c r="IU120" s="478">
        <f t="shared" si="460"/>
        <v>1.1000000000000001</v>
      </c>
      <c r="IV120" s="94">
        <f t="shared" si="360"/>
        <v>17.130000000000003</v>
      </c>
      <c r="IW120" s="1"/>
      <c r="IX120" s="1"/>
      <c r="IY120" s="80">
        <v>1.88</v>
      </c>
      <c r="IZ120" s="88">
        <v>0.3</v>
      </c>
      <c r="JA120" s="1">
        <v>2813</v>
      </c>
      <c r="JB120" s="95">
        <f t="shared" si="433"/>
        <v>35.950000000000003</v>
      </c>
      <c r="JC120" s="1"/>
      <c r="JD120" s="1"/>
      <c r="JF120" s="2">
        <v>6.7908860800000017</v>
      </c>
      <c r="JG120" s="2">
        <v>30.652184479999995</v>
      </c>
      <c r="JH120" s="2">
        <v>110.20249394</v>
      </c>
      <c r="JI120" s="2">
        <v>163.60897796</v>
      </c>
      <c r="JJ120" s="2">
        <v>686.64043340000023</v>
      </c>
      <c r="JK120" s="2">
        <v>104.16408064999997</v>
      </c>
      <c r="JL120" s="2">
        <v>1397.7491891700001</v>
      </c>
      <c r="JM120" s="2">
        <v>10.210000000000001</v>
      </c>
      <c r="JN120" s="2">
        <v>351.10835200000002</v>
      </c>
      <c r="JO120" s="2">
        <v>26.866894470000005</v>
      </c>
      <c r="JP120" s="2">
        <v>0</v>
      </c>
      <c r="JQ120" s="2">
        <v>3.0016233999999997</v>
      </c>
      <c r="JR120" s="2">
        <v>1.5393351500000003</v>
      </c>
      <c r="JS120" s="2">
        <v>0</v>
      </c>
      <c r="JT120" s="2">
        <v>0.25629176000000004</v>
      </c>
      <c r="JU120" s="2">
        <v>74.722979570000021</v>
      </c>
      <c r="JV120" s="2">
        <v>7.6647612399999998</v>
      </c>
      <c r="JW120" s="2">
        <v>51.50918861000001</v>
      </c>
      <c r="JX120" s="2">
        <v>4.9392217400000007</v>
      </c>
      <c r="JY120" s="2">
        <v>0</v>
      </c>
      <c r="JZ120" s="2">
        <v>3.4904505000000001</v>
      </c>
      <c r="KA120" s="2">
        <v>0.1075</v>
      </c>
      <c r="KB120" s="2">
        <v>9.9284284400000011</v>
      </c>
      <c r="KC120" s="2">
        <v>5.5120895000000001</v>
      </c>
      <c r="KD120" s="2">
        <v>7.8719914600000003</v>
      </c>
      <c r="KE120" s="2">
        <v>18.014525360000007</v>
      </c>
      <c r="KF120" s="2">
        <v>5.9149876199999998</v>
      </c>
      <c r="KG120" s="2">
        <v>275.41226476999998</v>
      </c>
      <c r="KH120" s="2">
        <v>90.118424640000015</v>
      </c>
      <c r="KI120" s="2">
        <v>18.662799830000001</v>
      </c>
      <c r="KJ120" s="2">
        <v>1.0764735399999998</v>
      </c>
      <c r="KK120" s="2">
        <v>7.9836210200000002</v>
      </c>
      <c r="KL120" s="2">
        <v>0.15613090000000002</v>
      </c>
      <c r="KM120" s="2">
        <v>0.68776546000000005</v>
      </c>
      <c r="KN120" s="2">
        <v>0.41219696999999994</v>
      </c>
      <c r="KO120" s="2">
        <v>0.30342928999999996</v>
      </c>
      <c r="KP120" s="2">
        <v>3.8992409999999998E-2</v>
      </c>
      <c r="KQ120" s="2">
        <v>237.84582385999997</v>
      </c>
      <c r="KR120" s="2">
        <v>0</v>
      </c>
      <c r="KS120" s="2">
        <v>0.15517225000000001</v>
      </c>
      <c r="KT120" s="2">
        <v>1.19924761</v>
      </c>
      <c r="KU120" s="2">
        <v>0.10344400999999999</v>
      </c>
      <c r="KV120" s="2">
        <v>0</v>
      </c>
      <c r="KW120" s="2">
        <v>0.52205221000000002</v>
      </c>
      <c r="KX120" s="2">
        <v>0</v>
      </c>
      <c r="KY120" s="2">
        <v>0</v>
      </c>
      <c r="KZ120" s="2">
        <v>3.23844815</v>
      </c>
      <c r="LA120" s="2">
        <v>0.1682236</v>
      </c>
      <c r="LB120" s="2">
        <v>3.2848000000000002E-2</v>
      </c>
      <c r="LC120" s="2">
        <v>0.30918252999999996</v>
      </c>
      <c r="LD120" s="2">
        <v>0</v>
      </c>
      <c r="LE120" s="2">
        <v>1.54161901</v>
      </c>
      <c r="LF120" s="2">
        <v>0.25309567999999999</v>
      </c>
      <c r="LG120" s="2">
        <v>12.082023640000001</v>
      </c>
      <c r="LH120" s="2">
        <v>5.7823087099999997</v>
      </c>
      <c r="LI120" s="2">
        <v>2.4041640299999996</v>
      </c>
      <c r="LJ120" s="2">
        <v>0</v>
      </c>
      <c r="LK120" s="2">
        <v>1.41927303</v>
      </c>
      <c r="LL120" s="2">
        <v>8.7569028099999997</v>
      </c>
      <c r="LM120" s="2">
        <v>2.6840408</v>
      </c>
      <c r="LN120" s="2">
        <v>0.15047392000000001</v>
      </c>
      <c r="LO120" s="2">
        <v>14.031594299999998</v>
      </c>
      <c r="LQ120" s="85">
        <f t="shared" si="439"/>
        <v>2719.5194464700007</v>
      </c>
      <c r="LR120" s="85">
        <f t="shared" si="440"/>
        <v>4.7972503099999999</v>
      </c>
      <c r="LS120" s="85">
        <f t="shared" si="441"/>
        <v>59.173949850000007</v>
      </c>
      <c r="LT120" s="85">
        <f t="shared" si="442"/>
        <v>3.5979505000000001</v>
      </c>
      <c r="LU120" s="85">
        <f t="shared" si="443"/>
        <v>239.40438782999996</v>
      </c>
      <c r="LV120" s="85">
        <f t="shared" si="444"/>
        <v>0.52205221000000002</v>
      </c>
      <c r="LW120" s="85">
        <f t="shared" si="445"/>
        <v>0.20107160000000002</v>
      </c>
      <c r="LX120" s="85">
        <f t="shared" si="446"/>
        <v>1.7947146899999999</v>
      </c>
      <c r="LZ120" s="83">
        <v>1495.63</v>
      </c>
      <c r="MA120" s="83">
        <v>1920</v>
      </c>
      <c r="MB120"/>
      <c r="MC120"/>
      <c r="MD120"/>
      <c r="MF120"/>
      <c r="MG120"/>
      <c r="MH120" s="83">
        <v>3333.96</v>
      </c>
      <c r="MI120" s="83">
        <v>824.81</v>
      </c>
      <c r="MJ120" s="83">
        <v>1013.58</v>
      </c>
      <c r="MK120"/>
      <c r="ML120" s="83">
        <v>794.92</v>
      </c>
      <c r="MM120" s="83">
        <v>2608.11</v>
      </c>
      <c r="MN120" s="83"/>
      <c r="MO120" s="83">
        <v>1032.24</v>
      </c>
      <c r="MP120" s="83">
        <v>2158.11</v>
      </c>
      <c r="MQ120" s="83">
        <v>2358.9</v>
      </c>
      <c r="MR120"/>
      <c r="MT120" s="83"/>
      <c r="MU120" s="83">
        <v>1240.8499999999999</v>
      </c>
      <c r="MV120"/>
      <c r="MW120"/>
      <c r="MX120"/>
      <c r="MY120" s="83">
        <v>2225.8200000000002</v>
      </c>
      <c r="MZ120" s="83">
        <v>6590</v>
      </c>
      <c r="NA120" s="83">
        <v>3234</v>
      </c>
      <c r="NB120" s="83">
        <v>10622</v>
      </c>
      <c r="NC120" s="83">
        <v>1486.19</v>
      </c>
      <c r="ND120" s="1">
        <v>11790</v>
      </c>
      <c r="NE120" s="1">
        <v>6980</v>
      </c>
    </row>
    <row r="121" spans="1:369">
      <c r="A121" s="270">
        <f t="shared" si="417"/>
        <v>45748</v>
      </c>
      <c r="B121" s="36">
        <f t="shared" si="476"/>
        <v>4</v>
      </c>
      <c r="C121" s="36">
        <f t="shared" si="477"/>
        <v>2025</v>
      </c>
      <c r="D121" s="36">
        <f t="shared" si="347"/>
        <v>121</v>
      </c>
      <c r="E121" s="38">
        <f t="shared" si="418"/>
        <v>45748</v>
      </c>
      <c r="F121" s="7">
        <v>1119.039</v>
      </c>
      <c r="G121" s="7">
        <v>8585.6</v>
      </c>
      <c r="H121" s="1">
        <f>[2]NACIONALES!$D109</f>
        <v>820558.66</v>
      </c>
      <c r="I121" s="7">
        <v>113</v>
      </c>
      <c r="J121" s="7">
        <v>530</v>
      </c>
      <c r="K121" s="7">
        <v>4.0999999999999996</v>
      </c>
      <c r="L121" s="7">
        <v>37.6</v>
      </c>
      <c r="N121" s="5">
        <f>+(1.4+1.38)/2</f>
        <v>1.39</v>
      </c>
      <c r="O121">
        <f>+(1.03+1.01)/2</f>
        <v>1.02</v>
      </c>
      <c r="P121" s="78">
        <f t="shared" si="398"/>
        <v>1281.01989525</v>
      </c>
      <c r="Q121" s="6">
        <v>23000</v>
      </c>
      <c r="R121" s="79">
        <f t="shared" si="419"/>
        <v>230000</v>
      </c>
      <c r="S121" s="143">
        <f>220714.29/F121</f>
        <v>197.23556551648335</v>
      </c>
      <c r="T121" s="6">
        <f>334668.42/F121</f>
        <v>299.06770005334931</v>
      </c>
      <c r="U121" s="188">
        <v>202.55</v>
      </c>
      <c r="V121" s="143">
        <v>284.33</v>
      </c>
      <c r="W121" s="6">
        <v>226.05199999999999</v>
      </c>
      <c r="X121" s="6">
        <v>215.56</v>
      </c>
      <c r="Y121" s="79">
        <f t="shared" si="420"/>
        <v>220714.29</v>
      </c>
      <c r="Z121" s="79">
        <f t="shared" si="421"/>
        <v>334668.42</v>
      </c>
      <c r="AA121" s="79">
        <f t="shared" si="422"/>
        <v>226661.34945000001</v>
      </c>
      <c r="AB121" s="79">
        <f t="shared" si="423"/>
        <v>318176.35887</v>
      </c>
      <c r="AC121" s="79">
        <f t="shared" si="424"/>
        <v>252961.004028</v>
      </c>
      <c r="AD121" s="79">
        <f t="shared" si="425"/>
        <v>241220.04684</v>
      </c>
      <c r="AE121" s="79">
        <f t="shared" si="426"/>
        <v>265733.57819799997</v>
      </c>
      <c r="AF121" s="83">
        <f>744.82*F121</f>
        <v>833482.62797999999</v>
      </c>
      <c r="AG121" s="1">
        <v>290000</v>
      </c>
      <c r="AH121" s="1">
        <v>1150000</v>
      </c>
      <c r="AI121" s="5">
        <v>418.84910000000002</v>
      </c>
      <c r="AJ121" s="5">
        <v>294.25880000000001</v>
      </c>
      <c r="AK121" s="5">
        <v>255.65299999999999</v>
      </c>
      <c r="AL121" s="5">
        <v>259.226</v>
      </c>
      <c r="AM121" s="78">
        <f t="shared" si="458"/>
        <v>333.12495800000005</v>
      </c>
      <c r="AN121" s="7">
        <v>26109.756097560974</v>
      </c>
      <c r="AO121" s="7">
        <v>14367.578947368422</v>
      </c>
      <c r="AP121" s="78">
        <f t="shared" si="470"/>
        <v>14367.578947368422</v>
      </c>
      <c r="AQ121" s="7">
        <v>10805.369127516778</v>
      </c>
      <c r="AR121" s="7">
        <v>11419.736842105263</v>
      </c>
      <c r="AS121" s="7">
        <v>12554.545454545454</v>
      </c>
      <c r="AT121" s="7">
        <v>16824.526315789473</v>
      </c>
      <c r="AU121" s="78">
        <f t="shared" si="348"/>
        <v>13599.602870813396</v>
      </c>
      <c r="AV121" s="7">
        <v>6483.59375</v>
      </c>
      <c r="AW121" s="7">
        <v>11763.157894736842</v>
      </c>
      <c r="AX121" s="7">
        <v>6167.4210526315792</v>
      </c>
      <c r="AY121" s="7">
        <v>22603.31950207469</v>
      </c>
      <c r="AZ121" s="7">
        <v>10040</v>
      </c>
      <c r="BA121" s="7">
        <v>4428.9473684210525</v>
      </c>
      <c r="BB121" s="94">
        <f t="shared" si="345"/>
        <v>11716.680855839462</v>
      </c>
      <c r="BC121" s="68">
        <v>38806</v>
      </c>
      <c r="BD121" s="68">
        <v>34926</v>
      </c>
      <c r="BE121" s="97">
        <v>27200</v>
      </c>
      <c r="BF121" s="97">
        <v>19000</v>
      </c>
      <c r="BG121" s="94">
        <f t="shared" si="349"/>
        <v>29983</v>
      </c>
      <c r="BH121" s="7">
        <v>3807</v>
      </c>
      <c r="BI121" s="97">
        <v>712</v>
      </c>
      <c r="BJ121" s="78">
        <f t="shared" si="350"/>
        <v>4519</v>
      </c>
      <c r="BK121" s="7">
        <v>2944</v>
      </c>
      <c r="BL121" s="7">
        <v>3611.08</v>
      </c>
      <c r="BM121" s="94">
        <f t="shared" si="351"/>
        <v>3277.54</v>
      </c>
      <c r="BN121" s="5">
        <v>461.01</v>
      </c>
      <c r="BO121" s="84">
        <v>2557.7399999999998</v>
      </c>
      <c r="BP121" s="84">
        <v>2180.15</v>
      </c>
      <c r="BQ121" s="94">
        <f t="shared" si="435"/>
        <v>2368.9449999999997</v>
      </c>
      <c r="BR121" s="7">
        <f>+(1638.7+1630.4+1648.07+1636.97+1651.93)/5</f>
        <v>1641.2139999999999</v>
      </c>
      <c r="BS121" s="7">
        <v>6800</v>
      </c>
      <c r="BT121" s="7">
        <f>1.3*F121</f>
        <v>1454.7507000000001</v>
      </c>
      <c r="BU121" s="79">
        <f t="shared" si="436"/>
        <v>85964.252099999998</v>
      </c>
      <c r="BV121" s="97">
        <v>1815</v>
      </c>
      <c r="BW121" s="97">
        <v>3052.6</v>
      </c>
      <c r="BY121" s="268">
        <f>BY$10*(1+((H121/H$10-1)*costos!$B$5+((I121*F121)/(I$10*F$10)-1)*costos!$E$5+((J121*F121)/((J$10*F$10)-1)*costos!$F$5/3+((K121*F121)/(K$10*F$10)-1)*costos!$F$5/3+((U121*F121)/(U$10*F$10)-1)*costos!$F$5/3+((L121*F121)/(L$10*F$10)-1)*costos!$G$5+((N121*F121)/(N$10*F$10)-1)*costos!$J$5+((V121*F121)/(V$10*F$10)-1)*costos!$K$5)))</f>
        <v>9842.602212857244</v>
      </c>
      <c r="BZ121" s="268">
        <f>$BZ$10*(1+((H121/$H$10-1)*costos!$B$6+((I121*F121)/($I$10*$F$10)-1)*costos!$E$6+((J121*F121)/(($J$10*$F$10)-1)*costos!$F$6/3+((K121*F121)/($K$10*$F$10)-1)*costos!$F$6/3+((U121*F121)/($U$10*$F$10)-1)*costos!$F$6/3+((L121*F121)/($L$10*$F$10)-1)*costos!$G$6+((Q121*F121)/($Q$10*$F$10)-1)*costos!$J$6+((V121*F121)/($V$10*$F$10)-1)*costos!$K$6)))</f>
        <v>9804.1719506496211</v>
      </c>
      <c r="CA121" s="268">
        <f>CA$10*(1+((H121/H$10-1)*costos!$B$7+((I121*F121)/(I$10*F$10)-1)*costos!$E$7+((J121*F121)/((J$10*F$10)-1)*costos!$F$7/3+((K121*F121)/(K$10*F$10)-1)*costos!$F$7/3+((U121*F121)/(U$10*F$10)-1)*costos!$F$7/3+((L121*F121)/(L$10*F$10)-1)*costos!$G$7+((S121*F121)/(S$10*F$10)-1)*costos!$J$7+((V121*F121)/(V$10*F$10)-1)*costos!$K$7)))</f>
        <v>10099.454818796359</v>
      </c>
      <c r="CB121" s="268">
        <f>CB$10*(1+((H121/H$10-1)*costos!$B$8+((I121*F121)/(I$10*F$10)-1)*costos!$E$8+((J121*F121)/((J$10*F$10)-1)*costos!$F$8/3+((K121*F121)/(K$10*F$10)-1)*costos!$F$8/3+((U121*F121)/(U$10*F$10)-1)*costos!$F$8/3+((L121*F121)/(L$10*F$10)-1)*costos!$G$8+((T121*F121)/(T$10*F$10)-1)*costos!$J$8+((V121*F121)/(V$10*F$10)-1)*costos!$K$8)))</f>
        <v>9647.1760793239391</v>
      </c>
      <c r="CC121" s="268">
        <f>CC$10*(1+((H121/H$10-1)*costos!$B$9+((I121*F121)/(I$10*F$10)-1)*costos!$E$9+((J121*F121)/((J$10*F$10)-1)*costos!$F$9/3+((K121*F121)/(K$10*F$10)-1)*costos!$F$9/3+((U121*F121)/(U$10*F$10)-1)*costos!$F$9/3+((L121*F121)/(L$10*F$10)-1)*costos!$G$9+((U121*F121)/(U$10*F$10)-1)*costos!$J$9+((V121*F121)/(V$10*F$10)-1)*costos!$K$9)))</f>
        <v>10326.55989758704</v>
      </c>
      <c r="CD121" s="268">
        <f>CD$10*(1+((H121/H$10-1)*costos!$B$11+((I121*F121)/(I$10*F$10)-1)*costos!$E$11+((J121*F121)/((J$10*F$10)-1)*costos!$F$11/3+((K121*F121)/(K$10*F$10)-1)*costos!$F$11/3+((U121*F121)/(U$10*F$10)-1)*costos!$F$11/3+((L121*F121)/(L$10*F$10)-1)*costos!$G$11+((V121*F121)/(V$10*F$10)-1)*costos!$J$11+((V121*F121)/(V$10*F$10)-1)*costos!$K$11)))</f>
        <v>9891.1793188638858</v>
      </c>
      <c r="CE121" s="268">
        <f>CE$10*(1+((H121/H$10-1)*costos!$B$12+((I121*F121)/(I$10*F$10)-1)*costos!$E$12+((J121*F121)/((J$10*F$10)-1)*costos!$F$12/3+((K121*F121)/(K$10*F$10)-1)*costos!$F$12/3+((U121*F121)/(U$10*F$10)-1)*costos!$F$12/3+((L121*F121)/(L$10*F$10)-1)*costos!$G$12+((W121*F121)/(W$10*F$10)-1)*costos!$J$12+((V121*F121)/(V$10*F$10)-1)*costos!$K$12)))</f>
        <v>10758.022937329195</v>
      </c>
      <c r="CF121" s="268">
        <f>CF$10*(1+((H121/H$10-1)*costos!$B$13+((I121*F121)/(I$10*F$10)-1)*costos!$E$13+((J121*F121)/((J$10*F$10)-1)*costos!$F$13/3+((K121*F121)/(K$10*F$10)-1)*costos!$F$13/3+((U121*F121)/(U$10*F$10)-1)*costos!$F$13/3+((L121*F121)/(L$10*F$10)-1)*costos!$G$13+((X121*F121)/(X$10*F$10)-1)*costos!$J$13+((V121*F121)/(V$10*F$10)-1)*costos!$K$13)))</f>
        <v>10366.857838586093</v>
      </c>
      <c r="CG121" s="268">
        <f t="shared" si="471"/>
        <v>10181.541815081086</v>
      </c>
      <c r="CH121" s="268">
        <f>CH$10*(1+((H121/H$10-1)*costos!$B$10+((I121*F121)/(I$10*F$10)-1)*costos!$E$10+((J121*F121)/((J$10*F$10)-1)*costos!$F$10/3+((K121*F121)/(K$10*F$10)-1)*costos!$F$10/3+((U121*F121)/(U$10*F$10)-1)*costos!$F$10/3+((L121*F121)/(L$10*F$10)-1)*costos!$G$10+((AF121)/(AF$10)-1)*costos!$J$10+((V121*F121)/(V$10*F$10)-1)*costos!$K$10)))</f>
        <v>10905.580906715928</v>
      </c>
      <c r="CI121" s="268">
        <f>CI$10*(1+((H121/H$10-1)*costos!$B$15+((I121*F121)/(I$10*F$10)-1)*costos!$E$15+((J121*F121)/((J$10*F$10)-1)*costos!$F$15/3+((K121*F121)/(K$10*F$10)-1)*costos!$F$15/3+((U121*F121)/(U$10*F$10)-1)*costos!$F$15/3+((L121*F121)/(L$10*F$10)-1)*costos!$G$15+((AV121)/(AV$10)-1)*costos!$J$15+((V121*F121)/(V$10*F$10)-1)*costos!$K$15)))</f>
        <v>10128.507880630868</v>
      </c>
      <c r="CJ121" s="268">
        <f>CJ$10*(1+((H121/H$10-1)*costos!$B$16+((I121*F121)/(I$10*F$10)-1)*costos!$E$16+((J121*F121)/((J$10*F$10)-1)*costos!$F$16/3+((K121*F121)/(K$10*F$10)-1)*costos!$F$16/3+((U121*F121)/(U$10*F$10)-1)*costos!$F$16/3+((L121*F121)/(L$10*F$10)-1)*costos!$G$16+((AW121)/(AW$10)-1)*costos!$J$16+((V121*F121)/(V$10*F$10)-1)*costos!$K$16)))</f>
        <v>9588.6677916827284</v>
      </c>
      <c r="CK121" s="268">
        <f>CK$10*(1+((H121/H$10-1)*costos!$B$17+((I121*F121)/(I$10*F$10)-1)*costos!$E$17+((J121*F121)/((J$10*F$10)-1)*costos!$F$17/3+((K121*F121)/(K$10*F$10)-1)*costos!$F$17/3+((U121*F121)/(U$10*F$10)-1)*costos!$F$17/3+((L121*F121)/(L$10*F$10)-1)*costos!$G$17+((AX121)/(AX$10)-1)*costos!$J$17+((V121*F121)/(V$10*F$10)-1)*costos!$K$17)))</f>
        <v>9732.1321716936782</v>
      </c>
      <c r="CL121" s="268">
        <f>CL$10*(1+((H121/H$10-1)*costos!$B$18+((I121*F121)/(I$10*F$10)-1)*costos!$E$18+((J121*F121)/((J$10*F$10)-1)*costos!$F$18/3+((K121*F121)/(K$10*F$10)-1)*costos!$F$18/3+((U121*F121)/(U$10*F$10)-1)*costos!$F$18/3+((L121*F121)/(L$10*F$10)-1)*costos!$G$18+((AY121)/(AY$10)-1)*costos!$J$18+((V121*F121)/(V$10*F$10)-1)*costos!$K$18)))</f>
        <v>13125.414323119983</v>
      </c>
      <c r="CM121" s="268">
        <f>CM$10*(1+((H121/H$10-1)*costos!$B$19+((I121*F121)/(I$10*F$10)-1)*costos!$E$19+((J121*F121)/((J$10*F$10)-1)*costos!$F$19/3+((K121*F121)/(K$10*F$10)-1)*costos!$F$19/3+((U121*F121)/(U$10*F$10)-1)*costos!$F$19/3+((L121*F121)/(L$10*F$10)-1)*costos!$G$19+((AZ121)/(AZ$10)-1)*costos!$J$19+((V121*F121)/(V$10*F$10)-1)*costos!$K$19)))</f>
        <v>9915.4491741213351</v>
      </c>
      <c r="CN121" s="268">
        <f>CN$10*(1+((H121/H$10-1)*costos!$B$20+((I121*F121)/(I$10*F$10)-1)*costos!$E$20+((J121*F121)/((J$10*F$10)-1)*costos!$F$20/3+((K121*F121)/(K$10*F$10)-1)*costos!$F$20/3+((U121*F121)/(U$10*F$10)-1)*costos!$F$20/3+((L121*F121)/(L$10*F$10)-1)*costos!$G$20+((BA121)/(BA$10)-1)*costos!$J$20+((V121*F121)/(V$10*F$10)-1)*costos!$K$20)))</f>
        <v>9437.2425528136737</v>
      </c>
      <c r="CO121" s="268">
        <f t="shared" si="472"/>
        <v>10552.559555437167</v>
      </c>
      <c r="CP121" s="268">
        <f>CP$10*(1+((H121/H$10-1)*costos!$B$22+((I121*F121)/(I$10*F$10)-1)*costos!$E$22+((J121*F121)/((J$10*F$10)-1)*costos!$F$22/3+((K121*F121)/(K$10*F$10)-1)*costos!$F$22/3+((U121*F121)/(U$10*F$10)-1)*costos!$F$22/3+((L121*F121)/(L$10*F$10)-1)*costos!$G$22+(((AVERAGE(AI121:AL121))/((AVERAGE(AI$10:AL$10))-1)*costos!$J$22+((V121*F121)/(V$10*F$10)-1)*costos!$K$22)))))</f>
        <v>11319.13733979933</v>
      </c>
      <c r="CQ121" s="92">
        <f>CQ$10*(1+((H121/H$10-1)*costos!$B$23+((I121*F121)/(I$10*F$10)-1)*costos!$E$23+((J121*F121)/((J$10*F$10)-1)*costos!$F$23/3+((K121*F121)/(K$10*F$10)-1)*costos!$F$23/3+((U121*F121)/(U$10*F$10)-1)*costos!$F$23/3+((L121*F121)/(L$10*F$10)-1)*costos!$G$23+((AN121)/(AN$10)-1)*costos!$J$23+((V121*F121)/(V$10*F$10)-1)*costos!$K$23)))</f>
        <v>9990.325821348044</v>
      </c>
      <c r="CR121" s="268">
        <f>CR$10*(1+((H121/H$10-1)*costos!$B$24+((I121*F121)/(I$10*F$10)-1)*costos!$E$24+((J121*F121)/((J$10*F$10)-1)*costos!$F$24/3+((K121*F121)/(K$10*F$10)-1)*costos!$F$24/3+((U121*F121)/(U$10*F$10)-1)*costos!$F$24/3+((L121*F121)/(L$10*F$10)-1)*costos!$G$24+((AO121)/(AO$10)-1)*costos!$J$24+((V121*F121)/(V$10*F$10)-1)*costos!$K$24)))</f>
        <v>9881.1545944114168</v>
      </c>
      <c r="CS121" s="92">
        <f t="shared" si="352"/>
        <v>9935.7402078797313</v>
      </c>
      <c r="CT121" s="268">
        <f>CT$10*(1+((H121/H$10-1)*costos!$B$25+((I121*F121)/(I$10*F$10)-1)*costos!$E$25+((J121*F121)/((J$10*F$10)-1)*costos!$F$25/3+((K121*F121)/(K$10*F$10)-1)*costos!$F$25/3+((U121*F121)/(U$10*F$10)-1)*costos!$F$25/3+((L121*F121)/(L$10*F$10)-1)*costos!$G$25+((AQ121)/(AQ$10)-1)*costos!$J$25+((V121*F121)/(V$10*F$10)-1)*costos!$K$25)))</f>
        <v>9469.8688954137469</v>
      </c>
      <c r="CU121" s="268">
        <f>CU$10*(1+((H121/H$10-1)*costos!$B$26+((I121*F121)/(I$10*F$10)-1)*costos!$E$26+((J121*F121)/((J$10*F$10)-1)*costos!$F$26/3+((K121*F121)/(K$10*F$10)-1)*costos!$F$26/3+((U121*F121)/(U$10*F$10)-1)*costos!$F$26/3+((L121*F121)/(L$10*F$10)-1)*costos!$G$26+((AR121)/(AR$10)-1)*costos!$J$26+((V121*F121)/(V$10*F$10)-1)*costos!$K$26)))</f>
        <v>9774.5660788460718</v>
      </c>
      <c r="CV121" s="268">
        <f>CV$10*(1+((H121/H$10-1)*costos!$B$27+((I121*F121)/(I$10*F$10)-1)*costos!$E$27+((J121*F121)/((J$10*F$10)-1)*costos!$F$27/3+((K121*F121)/(K$10*F$10)-1)*costos!$F$27/3+((U121*F121)/(U$10*F$10)-1)*costos!$F$27/3+((L121*F121)/(L$10*F$10)-1)*costos!$G$27+((AS121)/(AS$10)-1)*costos!$J$27+((V121*F121)/(V$10*F$10)-1)*costos!$K$27)))</f>
        <v>9837.0418967319074</v>
      </c>
      <c r="CW121" s="268">
        <f>CW$10*(1+((H121/H$10-1)*costos!$B$28+((I121*F121)/(I$10*F$10)-1)*costos!$E$28+((J121*F121)/((J$10*F$10)-1)*costos!$F$28/3+((K121*F121)/(K$10*F$10)-1)*costos!$F$28/3+((U121*F121)/(U$10*F$10)-1)*costos!$F$28/3+((L121*F121)/(L$10*F$10)-1)*costos!$G$28+((AS121)/(AS$10)-1)*costos!$J$28+((V121*F121)/(V$10*F$10)-1)*costos!$K$28)))</f>
        <v>9837.0418967319074</v>
      </c>
      <c r="CX121" s="268">
        <f t="shared" si="473"/>
        <v>9816.2166241032955</v>
      </c>
      <c r="CY121" s="268">
        <f>CY$10*(1+((H121/H$10-1)*costos!$B$32+((I121*F121)/(I$10*F$10)-1)*costos!$E$32+((J121*F121)/((J$10*F$10)-1)*costos!$F$32/3+((K121*F121)/(K$10*F$10)-1)*costos!$F$32/3+((U121*F121)/(U$10*F$10)-1)*costos!$F$32/3+((L121*F121)/(L$10*F$10)-1)*costos!$G$32+((AG121)/(AG$10)-1)*costos!$J$32+((V121*F121)/(V$10*F$10)-1)*costos!$K$32)))</f>
        <v>10205.02100880455</v>
      </c>
      <c r="CZ121" s="69">
        <f>CZ$10*(1+((H121/H$10-1)*costos!$B$31+((I121*F121)/(I$10*F$10)-1)*costos!$E$30+((J121*F121)/((J$10*F$10)-1)*costos!$F$30/3+((K121*F121)/(K$10*F$10)-1)*costos!$F$30/3+((U121*F121)/(U$10*F$10)-1)*costos!$F$30/3+((L121*F121)/(L$10*F$10)-1)*costos!$G$30+((BG121)/(BG$10)-1)*costos!$J$30+((V121*F121)/(V$10*F$10)-1)*costos!$K$30)))</f>
        <v>12718.791042803339</v>
      </c>
      <c r="DA121" s="69">
        <f>DA$10*(1+((H121/H$10-1)*costos!$B$31+((I121*F121)/(I$10*F$10)-1)*costos!$E$31+((J121*F121)/((J$10*F$10)-1)*costos!$F$31/3+((K121*F121)/(K$10*F$10)-1)*costos!$F$31/3+((U121*F121)/(U$10*F$10)-1)*costos!$F$31/3+((L121*F121)/(L$10*F$10)-1)*costos!$G$31+((BJ121)/(BJ$10)-1)*costos!$J$31+((V121*F121)/(V$10*F$10)-1)*costos!$K$31)))</f>
        <v>10458.048796636511</v>
      </c>
      <c r="DB121" s="69">
        <f>DB$10*(1+((H121/H$10-1)*costos!$B$36+((I121*F121)/(I$10*F$10)-1)*costos!$E$36+((J121*F121)/((J$10*F$10)-1)*costos!$F$36/3+((K121*F121)/(K$10*F$10)-1)*costos!$F$36/3+((U121*F121)/(U$10*F$10)-1)*costos!$F$36/3+((L121*F121)/(L$10*F$10)-1)*costos!$G$36+((BK121)/(BK$10)-1)*costos!$J$36+((V121*F121)/(V$10*F$10)-1)*costos!$K$36)))</f>
        <v>10545.390869428205</v>
      </c>
      <c r="DC121" s="69">
        <f>DC$10*(1+((H121/H$10-1)*costos!$B$37+((I121*F121)/(I$10*F$10)-1)*costos!$E$37+((U121*F121)/(U$10*F$10)-1)*costos!$F$37+((L121*F121)/(L$10*F$10)-1)*costos!$G$37+((BN121)/(BN$10)-1)*costos!$J$37+((V121*F121)/(V$10*F$10)-1)*costos!$K$37))</f>
        <v>11091.164885000075</v>
      </c>
      <c r="DD121" s="69">
        <f>DD$10*(1+((H121/H$10-1)*costos!$B$39+((I121*F121)/(I$10*F$10)-1)*costos!$E$39+((U121*F121)/(U$10*F$10)-1)*costos!$F$39+((L121*F121)/(L$10*F$10)-1)*costos!$G$39+((BR121)/(BR$10)-1)*costos!$J$39+((V121*F121)/(V$10*F$10)-1)*costos!$K$39))</f>
        <v>10880.150052570489</v>
      </c>
      <c r="DE121" s="69">
        <f>DD$10*(1+((H121/H$10-1)*costos!$B$35+((I121*F121)/(I$10*F$10)-1)*costos!$E$35+((U121*F121)/(U$10*F$10)-1)*costos!$F$35+((L121*F121)/(L$10*F$10)-1)*costos!$G$35+((BR121)/(BR$10)-1)*costos!$J$35+((V121*F121)/(V$10*F$10)-1)*costos!$K$35))</f>
        <v>9682.5931974410105</v>
      </c>
      <c r="DF121" s="69">
        <f>DF$10*(1+((H121/H$10-1)*costos!$B$40+((I121*F121)/(I$10*F$10)-1)*costos!$E$40+((U121*F121)/(U$10*F$10)-1)*costos!$F$40+((L121*F121)/(L$10*F$10)-1)*costos!$G$40+((BP121)/(BP$10)-1)*costos!$J$40+((V121*F121)/(V$10*F$10)-1)*costos!$K$40))</f>
        <v>11419.998860949692</v>
      </c>
      <c r="DG121" s="268">
        <f t="shared" si="461"/>
        <v>10551.296029195351</v>
      </c>
      <c r="DH121" s="69">
        <f>DH$10*(1+((H121/H$10-1)*costos!$B$34+((I121*F121)/(I$10*F$10)-1)*costos!$E$34+((J121*F121)/((J$10*F$10)-1)*costos!$F$34/3+((K121*F121)/(K$10*F$10)-1)*costos!$F$34/3+((U121*F121)/(U$10*F$10)-1)*costos!$F$34/3+((L121*F121)/(L$10*F$10)-1)*costos!$G$34+((BV121)/(BV$10)-1)*costos!$J$34+((V121*F121)/(V$10*F$10)-1)*costos!$K$34)))</f>
        <v>10194.403802892444</v>
      </c>
      <c r="DI121" s="69">
        <f>DI$10*(1+((H121/H$10-1)*costos!$B$38+((I121*F121)/(I$10*F$10)-1)*costos!$E$38+((J121*F121)/((J$10*F$10)-1)*costos!$F$38/3+((K121*F121)/(K$10*F$10)-1)*costos!$F$38/3+((U121*F121)/(U$10*F$10)-1)*costos!$F$38/3+((L121*F121)/(L$10*F$10)-1)*costos!$G$38+((BU121)/(BU$10)-1)*costos!$J$38+((V121*F121)/(V$10*F$10)-1)*costos!$K$38)))</f>
        <v>10546.015012963209</v>
      </c>
      <c r="DK121" s="1">
        <v>690000</v>
      </c>
      <c r="DL121" s="1" t="s">
        <v>512</v>
      </c>
      <c r="DM121" s="1">
        <v>230000</v>
      </c>
      <c r="DN121" s="1" t="s">
        <v>512</v>
      </c>
      <c r="DO121" s="1">
        <v>1700000</v>
      </c>
      <c r="DP121" s="1" t="s">
        <v>512</v>
      </c>
      <c r="DQ121" s="1">
        <v>2200000</v>
      </c>
      <c r="DR121" s="1" t="s">
        <v>512</v>
      </c>
      <c r="DS121" s="1">
        <v>6600000</v>
      </c>
      <c r="DT121" s="1" t="s">
        <v>512</v>
      </c>
      <c r="DU121" s="1">
        <v>17900000</v>
      </c>
      <c r="DV121" s="1" t="s">
        <v>512</v>
      </c>
      <c r="DW121" s="1">
        <v>1000000</v>
      </c>
      <c r="DX121" s="1" t="s">
        <v>512</v>
      </c>
      <c r="DY121" s="1">
        <v>6550000</v>
      </c>
      <c r="DZ121" s="1" t="s">
        <v>512</v>
      </c>
      <c r="EA121" s="79">
        <f t="shared" si="353"/>
        <v>35950000</v>
      </c>
      <c r="EB121" s="1">
        <v>521230</v>
      </c>
      <c r="EC121" s="1" t="s">
        <v>512</v>
      </c>
      <c r="ED121" s="1">
        <v>231352</v>
      </c>
      <c r="EE121" s="143">
        <v>2025</v>
      </c>
      <c r="EF121" s="83">
        <v>196220</v>
      </c>
      <c r="EG121" s="143">
        <v>2025</v>
      </c>
      <c r="EH121" s="1">
        <v>51624909</v>
      </c>
      <c r="EI121" s="143">
        <v>2025</v>
      </c>
      <c r="EJ121" s="1">
        <v>5987778</v>
      </c>
      <c r="EK121" s="6">
        <v>2025</v>
      </c>
      <c r="EL121" s="1">
        <v>12440906</v>
      </c>
      <c r="EM121" s="6">
        <v>2024</v>
      </c>
      <c r="EN121" s="1">
        <v>3011480</v>
      </c>
      <c r="EO121" s="6">
        <v>2025</v>
      </c>
      <c r="EP121" s="83">
        <v>9347</v>
      </c>
      <c r="EQ121" s="83">
        <v>4000000</v>
      </c>
      <c r="ER121" s="83">
        <f t="shared" si="478"/>
        <v>79911</v>
      </c>
      <c r="ES121" s="1"/>
      <c r="ET121" s="82">
        <f t="shared" si="474"/>
        <v>19357</v>
      </c>
      <c r="EU121" s="82">
        <f t="shared" si="474"/>
        <v>18703</v>
      </c>
      <c r="EV121" s="82">
        <f t="shared" si="474"/>
        <v>8927</v>
      </c>
      <c r="EW121" s="82">
        <f t="shared" si="474"/>
        <v>17408</v>
      </c>
      <c r="EX121" s="79">
        <f t="shared" si="354"/>
        <v>64395</v>
      </c>
      <c r="EY121" s="82">
        <f t="shared" si="394"/>
        <v>20031</v>
      </c>
      <c r="EZ121" s="83">
        <f t="shared" si="394"/>
        <v>38177</v>
      </c>
      <c r="FA121" s="82">
        <f t="shared" si="431"/>
        <v>19900</v>
      </c>
      <c r="FB121" s="82">
        <f t="shared" si="406"/>
        <v>18184</v>
      </c>
      <c r="FC121" s="79">
        <f t="shared" si="452"/>
        <v>38084</v>
      </c>
      <c r="FD121" s="83">
        <f t="shared" si="395"/>
        <v>60376</v>
      </c>
      <c r="FE121" s="1"/>
      <c r="FF121" s="1">
        <v>1100000</v>
      </c>
      <c r="FG121" s="1" t="s">
        <v>512</v>
      </c>
      <c r="FH121" s="1">
        <v>1600000</v>
      </c>
      <c r="FI121" s="1" t="s">
        <v>512</v>
      </c>
      <c r="FJ121" s="1">
        <v>4800000</v>
      </c>
      <c r="FK121" s="1" t="s">
        <v>512</v>
      </c>
      <c r="FL121" s="1">
        <v>4900000</v>
      </c>
      <c r="FM121" s="1" t="s">
        <v>512</v>
      </c>
      <c r="FN121" s="1">
        <v>49000000</v>
      </c>
      <c r="FO121" s="1" t="s">
        <v>512</v>
      </c>
      <c r="FP121" s="1">
        <v>49000000</v>
      </c>
      <c r="FQ121" s="1" t="s">
        <v>512</v>
      </c>
      <c r="FR121" s="1">
        <v>2900000</v>
      </c>
      <c r="FS121" s="1" t="s">
        <v>512</v>
      </c>
      <c r="FT121" s="1">
        <v>18510000</v>
      </c>
      <c r="FU121" s="1" t="s">
        <v>512</v>
      </c>
      <c r="FV121" s="79">
        <f t="shared" si="355"/>
        <v>129110000</v>
      </c>
      <c r="FW121" s="83">
        <v>1895131</v>
      </c>
      <c r="FX121" s="1" t="s">
        <v>512</v>
      </c>
      <c r="FY121" s="1">
        <v>109656</v>
      </c>
      <c r="FZ121" s="79">
        <f t="shared" si="377"/>
        <v>892374</v>
      </c>
      <c r="GA121" s="86" t="str">
        <f t="shared" si="462"/>
        <v>may24 abr25</v>
      </c>
      <c r="GB121" s="1">
        <v>19908335</v>
      </c>
      <c r="GC121" s="6">
        <v>2025</v>
      </c>
      <c r="GD121" s="83">
        <v>2213559</v>
      </c>
      <c r="GE121" s="83">
        <v>410324</v>
      </c>
      <c r="GF121" s="83">
        <v>1003144</v>
      </c>
      <c r="GG121" s="83">
        <v>129694</v>
      </c>
      <c r="GH121" s="79">
        <f>GE121+GF121+GG121</f>
        <v>1543162</v>
      </c>
      <c r="GI121" s="82">
        <f t="shared" si="463"/>
        <v>1302556</v>
      </c>
      <c r="GJ121" s="82">
        <f t="shared" si="463"/>
        <v>682423</v>
      </c>
      <c r="GK121" s="82">
        <f t="shared" si="463"/>
        <v>1391495</v>
      </c>
      <c r="GL121" s="82">
        <f t="shared" si="463"/>
        <v>305049</v>
      </c>
      <c r="GM121" s="82">
        <f t="shared" si="463"/>
        <v>260419</v>
      </c>
      <c r="GN121" s="79">
        <f t="shared" si="357"/>
        <v>2639386</v>
      </c>
      <c r="GO121" s="82">
        <f t="shared" si="464"/>
        <v>201734</v>
      </c>
      <c r="GP121" s="82">
        <f t="shared" si="464"/>
        <v>75000</v>
      </c>
      <c r="GQ121" s="83">
        <v>78770</v>
      </c>
      <c r="GR121" s="1">
        <v>34035</v>
      </c>
      <c r="GS121" s="79">
        <f>+GR121+GQ121*0.03</f>
        <v>36398.1</v>
      </c>
      <c r="GT121" s="82">
        <f t="shared" si="407"/>
        <v>2111561</v>
      </c>
      <c r="GU121" s="83">
        <f>48870+12254</f>
        <v>61124</v>
      </c>
      <c r="GV121" s="83">
        <f>8823+20417</f>
        <v>29240</v>
      </c>
      <c r="GW121" s="79">
        <f t="shared" si="455"/>
        <v>774601</v>
      </c>
      <c r="GX121" s="83">
        <v>36041.686000000002</v>
      </c>
      <c r="GY121" s="1" t="s">
        <v>802</v>
      </c>
      <c r="GZ121" s="83">
        <v>119643</v>
      </c>
      <c r="HA121" s="1">
        <v>257149</v>
      </c>
      <c r="HB121" s="79">
        <f t="shared" si="437"/>
        <v>3167740</v>
      </c>
      <c r="HC121" s="86" t="str">
        <f t="shared" si="465"/>
        <v>may24 abr25</v>
      </c>
      <c r="HD121" s="1">
        <v>67767</v>
      </c>
      <c r="HE121" s="79">
        <f t="shared" si="380"/>
        <v>790004</v>
      </c>
      <c r="HF121" s="86" t="str">
        <f t="shared" si="466"/>
        <v>may24 abr25</v>
      </c>
      <c r="HG121" s="1">
        <v>192000</v>
      </c>
      <c r="HH121" s="79">
        <f t="shared" si="438"/>
        <v>2322000</v>
      </c>
      <c r="HI121" s="86" t="str">
        <f t="shared" si="467"/>
        <v>may24 abr25</v>
      </c>
      <c r="HJ121" s="1">
        <v>81835</v>
      </c>
      <c r="HK121" s="79">
        <f t="shared" si="475"/>
        <v>62824.306299286793</v>
      </c>
      <c r="HL121" s="86" t="str">
        <f t="shared" si="468"/>
        <v>may24 abr25</v>
      </c>
      <c r="HM121" s="79">
        <f t="shared" si="358"/>
        <v>2384824.3062992869</v>
      </c>
      <c r="HN121" s="87">
        <f t="shared" si="297"/>
        <v>0.15272489775910358</v>
      </c>
      <c r="HO121" s="83">
        <v>823045577</v>
      </c>
      <c r="HP121" s="79">
        <f t="shared" si="386"/>
        <v>10877.183481900924</v>
      </c>
      <c r="HQ121" s="86" t="str">
        <f t="shared" si="469"/>
        <v>may24 abr25</v>
      </c>
      <c r="HR121" s="1"/>
      <c r="HS121" s="1"/>
      <c r="HT121" s="1"/>
      <c r="HU121" s="1">
        <v>700000</v>
      </c>
      <c r="HV121" s="1" t="s">
        <v>512</v>
      </c>
      <c r="HW121" s="1">
        <v>1400000</v>
      </c>
      <c r="HX121" s="1" t="s">
        <v>512</v>
      </c>
      <c r="HY121" s="83">
        <v>4730000</v>
      </c>
      <c r="HZ121" s="1" t="s">
        <v>512</v>
      </c>
      <c r="IA121" s="1">
        <v>20800000</v>
      </c>
      <c r="IB121" s="1" t="s">
        <v>512</v>
      </c>
      <c r="IC121" s="1">
        <v>48000000</v>
      </c>
      <c r="ID121" s="1" t="s">
        <v>512</v>
      </c>
      <c r="IE121" s="1">
        <f t="shared" ref="IE121:IE127" si="482">(0.05+0.8)*1000000</f>
        <v>850000.00000000012</v>
      </c>
      <c r="IF121" s="1" t="s">
        <v>512</v>
      </c>
      <c r="IG121" s="1">
        <v>7480000</v>
      </c>
      <c r="IH121" s="1" t="s">
        <v>512</v>
      </c>
      <c r="II121" s="79">
        <f t="shared" si="479"/>
        <v>83260000</v>
      </c>
      <c r="IJ121" s="97">
        <f t="shared" ref="IJ121:IJ125" si="483">(9250000*12)/$IJ$2</f>
        <v>2.3888080854826579</v>
      </c>
      <c r="IK121" s="1" t="s">
        <v>512</v>
      </c>
      <c r="IL121" s="7">
        <v>45.91</v>
      </c>
      <c r="IM121" s="7">
        <v>49.86</v>
      </c>
      <c r="IN121" s="7">
        <v>194.1</v>
      </c>
      <c r="IO121" s="97">
        <v>17.989999999999998</v>
      </c>
      <c r="IP121" s="176">
        <f t="shared" si="480"/>
        <v>5.7424738987207355</v>
      </c>
      <c r="IQ121" s="176">
        <f t="shared" si="481"/>
        <v>16.079999999999998</v>
      </c>
      <c r="IR121" s="478">
        <f t="shared" si="459"/>
        <v>6.17</v>
      </c>
      <c r="IS121" s="478">
        <f t="shared" si="460"/>
        <v>5.03</v>
      </c>
      <c r="IT121" s="478">
        <f t="shared" si="460"/>
        <v>11</v>
      </c>
      <c r="IU121" s="478">
        <f t="shared" si="460"/>
        <v>1.1000000000000001</v>
      </c>
      <c r="IV121" s="94">
        <f t="shared" si="360"/>
        <v>17.130000000000003</v>
      </c>
      <c r="IW121" s="1"/>
      <c r="IX121" s="1"/>
      <c r="IY121" s="80">
        <v>1.88</v>
      </c>
      <c r="IZ121" s="88">
        <v>0.3</v>
      </c>
      <c r="JA121" s="1">
        <v>2813</v>
      </c>
      <c r="JB121" s="95">
        <f t="shared" si="433"/>
        <v>35.950000000000003</v>
      </c>
      <c r="JC121" s="1"/>
      <c r="JD121" s="1"/>
      <c r="JF121" s="2">
        <v>7.3093251500000047</v>
      </c>
      <c r="JG121" s="2">
        <v>35.910188569999995</v>
      </c>
      <c r="JH121" s="2">
        <v>195.49146324</v>
      </c>
      <c r="JI121" s="2">
        <v>216.20265409000004</v>
      </c>
      <c r="JJ121" s="2">
        <v>870.00196454000002</v>
      </c>
      <c r="JK121" s="2">
        <v>94.262180470000018</v>
      </c>
      <c r="JL121" s="2">
        <v>2137.9029577099996</v>
      </c>
      <c r="JM121" s="2">
        <v>10.01</v>
      </c>
      <c r="JN121" s="2">
        <v>269.94272436</v>
      </c>
      <c r="JO121" s="2">
        <v>33.403797109999999</v>
      </c>
      <c r="JP121" s="2">
        <v>0</v>
      </c>
      <c r="JQ121" s="2">
        <v>4.3878572499999997</v>
      </c>
      <c r="JR121" s="2">
        <v>1.6768672000000002</v>
      </c>
      <c r="JS121" s="2">
        <v>0</v>
      </c>
      <c r="JT121" s="2">
        <v>0.59424897999999993</v>
      </c>
      <c r="JU121" s="2">
        <v>77.155977009999987</v>
      </c>
      <c r="JV121" s="2">
        <v>12.388887200000001</v>
      </c>
      <c r="JW121" s="2">
        <v>38.762098629999997</v>
      </c>
      <c r="JX121" s="2">
        <v>19.628316519999998</v>
      </c>
      <c r="JY121" s="2">
        <v>0</v>
      </c>
      <c r="JZ121" s="2">
        <v>5.5883096999999999</v>
      </c>
      <c r="KA121" s="2">
        <v>0.09</v>
      </c>
      <c r="KB121" s="2">
        <v>13.968637820000001</v>
      </c>
      <c r="KC121" s="2">
        <v>27.891120319999999</v>
      </c>
      <c r="KD121" s="2">
        <v>7.4906505000000001</v>
      </c>
      <c r="KE121" s="2">
        <v>23.185079629999997</v>
      </c>
      <c r="KF121" s="2">
        <v>9.0051498100000007</v>
      </c>
      <c r="KG121" s="2">
        <v>350.95842742999997</v>
      </c>
      <c r="KH121" s="2">
        <v>121.87302321000003</v>
      </c>
      <c r="KI121" s="2">
        <v>23.746863359999999</v>
      </c>
      <c r="KJ121" s="2">
        <v>1.76811707</v>
      </c>
      <c r="KK121" s="171">
        <v>10.467826709999999</v>
      </c>
      <c r="KL121" s="171">
        <v>0.34624290000000002</v>
      </c>
      <c r="KM121" s="171">
        <v>0.59761942999999995</v>
      </c>
      <c r="KN121" s="171">
        <v>1.6502030300000001</v>
      </c>
      <c r="KO121" s="171">
        <v>2.1689311999999998</v>
      </c>
      <c r="KP121" s="171">
        <v>1.0560452</v>
      </c>
      <c r="KQ121" s="171">
        <v>333.77584047999994</v>
      </c>
      <c r="KR121" s="171">
        <v>0</v>
      </c>
      <c r="KS121" s="171">
        <v>0.13839495999999998</v>
      </c>
      <c r="KT121" s="171">
        <v>0.62052411000000007</v>
      </c>
      <c r="KU121" s="171">
        <v>0.28762799999999999</v>
      </c>
      <c r="KV121" s="171">
        <v>8.7799999999999996E-3</v>
      </c>
      <c r="KW121" s="171">
        <v>0.72261702999999999</v>
      </c>
      <c r="KX121" s="171">
        <v>0</v>
      </c>
      <c r="KY121" s="171">
        <v>0</v>
      </c>
      <c r="KZ121" s="171">
        <v>3.476448889999999</v>
      </c>
      <c r="LA121" s="171">
        <v>0.29993478000000001</v>
      </c>
      <c r="LB121" s="171">
        <v>0.133299</v>
      </c>
      <c r="LC121" s="171">
        <v>0.12302177</v>
      </c>
      <c r="LD121" s="171">
        <v>0</v>
      </c>
      <c r="LE121" s="171">
        <v>0.50952913999999994</v>
      </c>
      <c r="LF121" s="171">
        <v>0.21778984000000001</v>
      </c>
      <c r="LG121" s="171">
        <v>13.20675994</v>
      </c>
      <c r="LH121" s="171">
        <v>5.1774083700000002</v>
      </c>
      <c r="LI121" s="171">
        <v>2.2730154199999997</v>
      </c>
      <c r="LJ121" s="171">
        <v>0</v>
      </c>
      <c r="LK121" s="171">
        <v>3.52939004</v>
      </c>
      <c r="LL121" s="171">
        <v>11.009236750000001</v>
      </c>
      <c r="LM121" s="171">
        <v>1.8496573299999999</v>
      </c>
      <c r="LN121" s="171">
        <v>0.19639201000000001</v>
      </c>
      <c r="LO121" s="171">
        <v>18.318769970000002</v>
      </c>
      <c r="LQ121" s="85">
        <f t="shared" si="439"/>
        <v>3699.5517639399995</v>
      </c>
      <c r="LR121" s="85">
        <f t="shared" si="440"/>
        <v>6.6589734299999996</v>
      </c>
      <c r="LS121" s="85">
        <f t="shared" si="441"/>
        <v>51.150985829999996</v>
      </c>
      <c r="LT121" s="85">
        <f t="shared" si="442"/>
        <v>5.6783096999999998</v>
      </c>
      <c r="LU121" s="85">
        <f t="shared" si="443"/>
        <v>338.33098909999995</v>
      </c>
      <c r="LV121" s="85">
        <f t="shared" si="444"/>
        <v>0.73139703</v>
      </c>
      <c r="LW121" s="85">
        <f t="shared" si="445"/>
        <v>0.43323378000000001</v>
      </c>
      <c r="LX121" s="85">
        <f t="shared" si="446"/>
        <v>0.72731897999999995</v>
      </c>
      <c r="LZ121" s="83">
        <v>1513</v>
      </c>
      <c r="MA121" s="83">
        <v>1851.68</v>
      </c>
      <c r="MB121"/>
      <c r="MC121"/>
      <c r="MD121"/>
      <c r="MF121"/>
      <c r="MG121"/>
      <c r="MH121" s="83">
        <v>3415.26</v>
      </c>
      <c r="MI121" s="83">
        <v>840.48</v>
      </c>
      <c r="MJ121" s="83">
        <v>897.46</v>
      </c>
      <c r="MK121"/>
      <c r="ML121" s="83">
        <v>753.46</v>
      </c>
      <c r="MM121" s="83">
        <v>3029.36</v>
      </c>
      <c r="MN121" s="83"/>
      <c r="MO121" s="83">
        <v>949.95</v>
      </c>
      <c r="MP121" s="83">
        <v>2220.1</v>
      </c>
      <c r="MQ121" s="83">
        <v>2414.64</v>
      </c>
      <c r="MR121"/>
      <c r="MT121" s="83"/>
      <c r="MU121" s="83">
        <v>1256.97</v>
      </c>
      <c r="MV121"/>
      <c r="MW121"/>
      <c r="MX121"/>
      <c r="MY121" s="83">
        <v>2164.08</v>
      </c>
      <c r="MZ121" s="83">
        <v>7066</v>
      </c>
      <c r="NA121" s="83">
        <v>3580</v>
      </c>
      <c r="NB121" s="83">
        <v>10980</v>
      </c>
      <c r="NC121" s="83">
        <v>1536.03</v>
      </c>
      <c r="ND121" s="1">
        <v>11790</v>
      </c>
      <c r="NE121" s="1">
        <v>7196</v>
      </c>
    </row>
    <row r="122" spans="1:369">
      <c r="A122" s="38">
        <f t="shared" si="417"/>
        <v>45778</v>
      </c>
      <c r="B122" s="36">
        <f t="shared" si="476"/>
        <v>5</v>
      </c>
      <c r="C122" s="36">
        <f t="shared" si="477"/>
        <v>2025</v>
      </c>
      <c r="D122" s="36">
        <f t="shared" si="347"/>
        <v>122</v>
      </c>
      <c r="E122" s="38">
        <f t="shared" si="418"/>
        <v>45778</v>
      </c>
      <c r="F122" s="7">
        <v>1139.25</v>
      </c>
      <c r="G122" s="7">
        <v>8714.4871000000003</v>
      </c>
      <c r="H122" s="1">
        <f>[2]NACIONALES!$D110</f>
        <v>828764.25</v>
      </c>
      <c r="I122" s="7">
        <v>100</v>
      </c>
      <c r="J122" s="7">
        <v>560</v>
      </c>
      <c r="K122" s="7">
        <v>4</v>
      </c>
      <c r="L122" s="7">
        <v>36.299999999999997</v>
      </c>
      <c r="N122" s="7">
        <v>1.45</v>
      </c>
      <c r="O122" s="7">
        <v>1.0449999999999999</v>
      </c>
      <c r="P122" s="78">
        <f t="shared" si="398"/>
        <v>1350.15365625</v>
      </c>
      <c r="Q122" s="6">
        <v>23000</v>
      </c>
      <c r="R122" s="79">
        <f t="shared" si="419"/>
        <v>230000</v>
      </c>
      <c r="S122" s="6">
        <v>180.83</v>
      </c>
      <c r="T122" s="6">
        <f>370000/F122</f>
        <v>324.77507131885011</v>
      </c>
      <c r="U122" s="188">
        <v>180.25</v>
      </c>
      <c r="V122" s="143">
        <v>287.52999999999997</v>
      </c>
      <c r="W122" s="6">
        <v>215</v>
      </c>
      <c r="X122" s="6">
        <v>201.85</v>
      </c>
      <c r="Y122" s="79">
        <f t="shared" si="420"/>
        <v>206010.57750000001</v>
      </c>
      <c r="Z122" s="79">
        <f t="shared" si="421"/>
        <v>370000</v>
      </c>
      <c r="AA122" s="79">
        <f t="shared" si="422"/>
        <v>205349.8125</v>
      </c>
      <c r="AB122" s="79">
        <f t="shared" si="423"/>
        <v>327568.55249999999</v>
      </c>
      <c r="AC122" s="79">
        <f t="shared" si="424"/>
        <v>244938.75</v>
      </c>
      <c r="AD122" s="79">
        <f t="shared" si="425"/>
        <v>229957.61249999999</v>
      </c>
      <c r="AE122" s="79">
        <f t="shared" si="426"/>
        <v>263970.88416666666</v>
      </c>
      <c r="AF122" s="83">
        <v>693600</v>
      </c>
      <c r="AG122" s="1">
        <f>AVERAGE(305000,295000)</f>
        <v>300000</v>
      </c>
      <c r="AH122" s="1">
        <f>AVERAGE(950000,1150000)</f>
        <v>1050000</v>
      </c>
      <c r="AI122" s="5">
        <v>430.27</v>
      </c>
      <c r="AJ122" s="5">
        <v>301.42</v>
      </c>
      <c r="AK122" s="5">
        <v>274.06</v>
      </c>
      <c r="AL122" s="5">
        <v>298.45999999999998</v>
      </c>
      <c r="AM122" s="78">
        <f t="shared" si="458"/>
        <v>352.86700000000002</v>
      </c>
      <c r="AN122" s="7">
        <v>24411.917098445596</v>
      </c>
      <c r="AO122" s="7">
        <v>15565</v>
      </c>
      <c r="AP122" s="78">
        <f t="shared" si="470"/>
        <v>15565</v>
      </c>
      <c r="AQ122" s="7">
        <v>9781.25</v>
      </c>
      <c r="AR122" s="7">
        <v>11213.25</v>
      </c>
      <c r="AS122" s="7">
        <v>11383.720930232557</v>
      </c>
      <c r="AT122" s="7">
        <v>13970</v>
      </c>
      <c r="AU122" s="78">
        <f t="shared" si="348"/>
        <v>12188.990310077519</v>
      </c>
      <c r="AV122" s="7">
        <v>5990.909090909091</v>
      </c>
      <c r="AW122" s="7">
        <v>11110</v>
      </c>
      <c r="AX122" s="7">
        <v>6005.835</v>
      </c>
      <c r="AY122" s="7">
        <v>18064.077669902912</v>
      </c>
      <c r="AZ122" s="7">
        <v>9264.25</v>
      </c>
      <c r="BA122" s="7">
        <v>4347.5</v>
      </c>
      <c r="BB122" s="94">
        <f t="shared" si="345"/>
        <v>10179.535880528587</v>
      </c>
      <c r="BC122" s="68">
        <v>40018</v>
      </c>
      <c r="BD122" s="68">
        <v>36017</v>
      </c>
      <c r="BE122" s="97">
        <v>27200</v>
      </c>
      <c r="BF122" s="97">
        <v>19000</v>
      </c>
      <c r="BG122" s="94">
        <f t="shared" si="349"/>
        <v>30558.75</v>
      </c>
      <c r="BH122" s="7">
        <v>3807</v>
      </c>
      <c r="BI122" s="97">
        <v>712</v>
      </c>
      <c r="BJ122" s="78">
        <f t="shared" si="350"/>
        <v>4519</v>
      </c>
      <c r="BK122" s="7">
        <v>2930</v>
      </c>
      <c r="BL122" s="7">
        <v>3505</v>
      </c>
      <c r="BM122" s="94">
        <f t="shared" si="351"/>
        <v>3217.5</v>
      </c>
      <c r="BN122" s="5">
        <v>467.92</v>
      </c>
      <c r="BO122" s="84">
        <v>2466.0749999999998</v>
      </c>
      <c r="BP122" s="84">
        <v>2201.58</v>
      </c>
      <c r="BQ122" s="94">
        <f t="shared" si="435"/>
        <v>2333.8274999999999</v>
      </c>
      <c r="BR122" s="7">
        <v>1636.05</v>
      </c>
      <c r="BS122" s="7">
        <v>6700</v>
      </c>
      <c r="BT122" s="7">
        <f>1.3*F122</f>
        <v>1481.0250000000001</v>
      </c>
      <c r="BU122" s="79">
        <f t="shared" si="436"/>
        <v>84843.074999999997</v>
      </c>
      <c r="BV122" s="7">
        <v>1957</v>
      </c>
      <c r="BW122" s="7">
        <v>3230.5</v>
      </c>
      <c r="BY122" s="268">
        <f>BY$10*(1+((H122/H$10-1)*costos!$B$5+((I122*F122)/(I$10*F$10)-1)*costos!$E$5+((J122*F122)/((J$10*F$10)-1)*costos!$F$5/3+((K122*F122)/(K$10*F$10)-1)*costos!$F$5/3+((U122*F122)/(U$10*F$10)-1)*costos!$F$5/3+((L122*F122)/(L$10*F$10)-1)*costos!$G$5+((N122*F122)/(N$10*F$10)-1)*costos!$J$5+((V122*F122)/(V$10*F$10)-1)*costos!$K$5)))</f>
        <v>9912.5619392841691</v>
      </c>
      <c r="BZ122" s="268">
        <f>$BZ$10*(1+((H122/$H$10-1)*costos!$B$6+((I122*F122)/($I$10*$F$10)-1)*costos!$E$6+((J122*F122)/(($J$10*$F$10)-1)*costos!$F$6/3+((K122*F122)/($K$10*$F$10)-1)*costos!$F$6/3+((U122*F122)/($U$10*$F$10)-1)*costos!$F$6/3+((L122*F122)/($L$10*$F$10)-1)*costos!$G$6+((Q122*F122)/($Q$10*$F$10)-1)*costos!$J$6+((V122*F122)/($V$10*$F$10)-1)*costos!$K$6)))</f>
        <v>9306.2658047078057</v>
      </c>
      <c r="CA122" s="268">
        <f>CA$10*(1+((H122/H$10-1)*costos!$B$7+((I122*F122)/(I$10*F$10)-1)*costos!$E$7+((J122*F122)/((J$10*F$10)-1)*costos!$F$7/3+((K122*F122)/(K$10*F$10)-1)*costos!$F$7/3+((U122*F122)/(U$10*F$10)-1)*costos!$F$7/3+((L122*F122)/(L$10*F$10)-1)*costos!$G$7+((S122*F122)/(S$10*F$10)-1)*costos!$J$7+((V122*F122)/(V$10*F$10)-1)*costos!$K$7)))</f>
        <v>9857.487122840741</v>
      </c>
      <c r="CB122" s="268">
        <f>CB$10*(1+((H122/H$10-1)*costos!$B$8+((I122*F122)/(I$10*F$10)-1)*costos!$E$8+((J122*F122)/((J$10*F$10)-1)*costos!$F$8/3+((K122*F122)/(K$10*F$10)-1)*costos!$F$8/3+((U122*F122)/(U$10*F$10)-1)*costos!$F$8/3+((L122*F122)/(L$10*F$10)-1)*costos!$G$8+((T122*F122)/(T$10*F$10)-1)*costos!$J$8+((V122*F122)/(V$10*F$10)-1)*costos!$K$8)))</f>
        <v>9833.7231715058406</v>
      </c>
      <c r="CC122" s="268">
        <f>CC$10*(1+((H122/H$10-1)*costos!$B$9+((I122*F122)/(I$10*F$10)-1)*costos!$E$9+((J122*F122)/((J$10*F$10)-1)*costos!$F$9/3+((K122*F122)/(K$10*F$10)-1)*costos!$F$9/3+((U122*F122)/(U$10*F$10)-1)*costos!$F$9/3+((L122*F122)/(L$10*F$10)-1)*costos!$G$9+((U122*F122)/(U$10*F$10)-1)*costos!$J$9+((V122*F122)/(V$10*F$10)-1)*costos!$K$9)))</f>
        <v>9927.8596678006634</v>
      </c>
      <c r="CD122" s="268">
        <f>CD$10*(1+((H122/H$10-1)*costos!$B$11+((I122*F122)/(I$10*F$10)-1)*costos!$E$11+((J122*F122)/((J$10*F$10)-1)*costos!$F$11/3+((K122*F122)/(K$10*F$10)-1)*costos!$F$11/3+((U122*F122)/(U$10*F$10)-1)*costos!$F$11/3+((L122*F122)/(L$10*F$10)-1)*costos!$G$11+((V122*F122)/(V$10*F$10)-1)*costos!$J$11+((V122*F122)/(V$10*F$10)-1)*costos!$K$11)))</f>
        <v>9945.5904738723912</v>
      </c>
      <c r="CE122" s="268">
        <f>CE$10*(1+((H122/H$10-1)*costos!$B$12+((I122*F122)/(I$10*F$10)-1)*costos!$E$12+((J122*F122)/((J$10*F$10)-1)*costos!$F$12/3+((K122*F122)/(K$10*F$10)-1)*costos!$F$12/3+((U122*F122)/(U$10*F$10)-1)*costos!$F$12/3+((L122*F122)/(L$10*F$10)-1)*costos!$G$12+((W122*F122)/(W$10*F$10)-1)*costos!$J$12+((V122*F122)/(V$10*F$10)-1)*costos!$K$12)))</f>
        <v>10516.306842460424</v>
      </c>
      <c r="CF122" s="268">
        <f>CF$10*(1+((H122/H$10-1)*costos!$B$13+((I122*F122)/(I$10*F$10)-1)*costos!$E$13+((J122*F122)/((J$10*F$10)-1)*costos!$F$13/3+((K122*F122)/(K$10*F$10)-1)*costos!$F$13/3+((U122*F122)/(U$10*F$10)-1)*costos!$F$13/3+((L122*F122)/(L$10*F$10)-1)*costos!$G$13+((X122*F122)/(X$10*F$10)-1)*costos!$J$13+((V122*F122)/(V$10*F$10)-1)*costos!$K$13)))</f>
        <v>10157.755334146666</v>
      </c>
      <c r="CG122" s="268">
        <f t="shared" si="471"/>
        <v>10039.787102104456</v>
      </c>
      <c r="CH122" s="268">
        <f>CH$10*(1+((H122/H$10-1)*costos!$B$10+((I122*F122)/(I$10*F$10)-1)*costos!$E$10+((J122*F122)/((J$10*F$10)-1)*costos!$F$10/3+((K122*F122)/(K$10*F$10)-1)*costos!$F$10/3+((U122*F122)/(U$10*F$10)-1)*costos!$F$10/3+((L122*F122)/(L$10*F$10)-1)*costos!$G$10+((AF122)/(AF$10)-1)*costos!$J$10+((V122*F122)/(V$10*F$10)-1)*costos!$K$10)))</f>
        <v>10028.863980684835</v>
      </c>
      <c r="CI122" s="268">
        <f>CI$10*(1+((H122/H$10-1)*costos!$B$15+((I122*F122)/(I$10*F$10)-1)*costos!$E$15+((J122*F122)/((J$10*F$10)-1)*costos!$F$15/3+((K122*F122)/(K$10*F$10)-1)*costos!$F$15/3+((U122*F122)/(U$10*F$10)-1)*costos!$F$15/3+((L122*F122)/(L$10*F$10)-1)*costos!$G$15+((AV122)/(AV$10)-1)*costos!$J$15+((V122*F122)/(V$10*F$10)-1)*costos!$K$15)))</f>
        <v>9848.3937767712541</v>
      </c>
      <c r="CJ122" s="268">
        <f>CJ$10*(1+((H122/H$10-1)*costos!$B$16+((I122*F122)/(I$10*F$10)-1)*costos!$E$16+((J122*F122)/((J$10*F$10)-1)*costos!$F$16/3+((K122*F122)/(K$10*F$10)-1)*costos!$F$16/3+((U122*F122)/(U$10*F$10)-1)*costos!$F$16/3+((L122*F122)/(L$10*F$10)-1)*costos!$G$16+((AW122)/(AW$10)-1)*costos!$J$16+((V122*F122)/(V$10*F$10)-1)*costos!$K$16)))</f>
        <v>9451.0275672580756</v>
      </c>
      <c r="CK122" s="268">
        <f>CK$10*(1+((H122/H$10-1)*costos!$B$17+((I122*F122)/(I$10*F$10)-1)*costos!$E$17+((J122*F122)/((J$10*F$10)-1)*costos!$F$17/3+((K122*F122)/(K$10*F$10)-1)*costos!$F$17/3+((U122*F122)/(U$10*F$10)-1)*costos!$F$17/3+((L122*F122)/(L$10*F$10)-1)*costos!$G$17+((AX122)/(AX$10)-1)*costos!$J$17+((V122*F122)/(V$10*F$10)-1)*costos!$K$17)))</f>
        <v>9524.2535170495612</v>
      </c>
      <c r="CL122" s="268">
        <f>CL$10*(1+((H122/H$10-1)*costos!$B$18+((I122*F122)/(I$10*F$10)-1)*costos!$E$18+((J122*F122)/((J$10*F$10)-1)*costos!$F$18/3+((K122*F122)/(K$10*F$10)-1)*costos!$F$18/3+((U122*F122)/(U$10*F$10)-1)*costos!$F$18/3+((L122*F122)/(L$10*F$10)-1)*costos!$G$18+((AY122)/(AY$10)-1)*costos!$J$18+((V122*F122)/(V$10*F$10)-1)*costos!$K$18)))</f>
        <v>12033.739611966877</v>
      </c>
      <c r="CM122" s="268">
        <f>CM$10*(1+((H122/H$10-1)*costos!$B$19+((I122*F122)/(I$10*F$10)-1)*costos!$E$19+((J122*F122)/((J$10*F$10)-1)*costos!$F$19/3+((K122*F122)/(K$10*F$10)-1)*costos!$F$19/3+((U122*F122)/(U$10*F$10)-1)*costos!$F$19/3+((L122*F122)/(L$10*F$10)-1)*costos!$G$19+((AZ122)/(AZ$10)-1)*costos!$J$19+((V122*F122)/(V$10*F$10)-1)*costos!$K$19)))</f>
        <v>9649.5068921802686</v>
      </c>
      <c r="CN122" s="268">
        <f>CN$10*(1+((H122/H$10-1)*costos!$B$20+((I122*F122)/(I$10*F$10)-1)*costos!$E$20+((J122*F122)/((J$10*F$10)-1)*costos!$F$20/3+((K122*F122)/(K$10*F$10)-1)*costos!$F$20/3+((U122*F122)/(U$10*F$10)-1)*costos!$F$20/3+((L122*F122)/(L$10*F$10)-1)*costos!$G$20+((BA122)/(BA$10)-1)*costos!$J$20+((V122*F122)/(V$10*F$10)-1)*costos!$K$20)))</f>
        <v>9367.2395445117054</v>
      </c>
      <c r="CO122" s="268">
        <f t="shared" si="472"/>
        <v>10143.684891427103</v>
      </c>
      <c r="CP122" s="268">
        <f>CP$10*(1+((H122/H$10-1)*costos!$B$22+((I122*F122)/(I$10*F$10)-1)*costos!$E$22+((J122*F122)/((J$10*F$10)-1)*costos!$F$22/3+((K122*F122)/(K$10*F$10)-1)*costos!$F$22/3+((U122*F122)/(U$10*F$10)-1)*costos!$F$22/3+((L122*F122)/(L$10*F$10)-1)*costos!$G$22+(((AVERAGE(AI122:AL122))/((AVERAGE(AI$10:AL$10))-1)*costos!$J$22+((V122*F122)/(V$10*F$10)-1)*costos!$K$22)))))</f>
        <v>11218.607774098165</v>
      </c>
      <c r="CQ122" s="92">
        <f>CQ$10*(1+((H122/H$10-1)*costos!$B$23+((I122*F122)/(I$10*F$10)-1)*costos!$E$23+((J122*F122)/((J$10*F$10)-1)*costos!$F$23/3+((K122*F122)/(K$10*F$10)-1)*costos!$F$23/3+((U122*F122)/(U$10*F$10)-1)*costos!$F$23/3+((L122*F122)/(L$10*F$10)-1)*costos!$G$23+((AN122)/(AN$10)-1)*costos!$J$23+((V122*F122)/(V$10*F$10)-1)*costos!$K$23)))</f>
        <v>9805.2195664077099</v>
      </c>
      <c r="CR122" s="268">
        <f>CR$10*(1+((H122/H$10-1)*costos!$B$24+((I122*F122)/(I$10*F$10)-1)*costos!$E$24+((J122*F122)/((J$10*F$10)-1)*costos!$F$24/3+((K122*F122)/(K$10*F$10)-1)*costos!$F$24/3+((U122*F122)/(U$10*F$10)-1)*costos!$F$24/3+((L122*F122)/(L$10*F$10)-1)*costos!$G$24+((AO122)/(AO$10)-1)*costos!$J$24+((V122*F122)/(V$10*F$10)-1)*costos!$K$24)))</f>
        <v>9882.4010608164881</v>
      </c>
      <c r="CS122" s="92">
        <f t="shared" si="352"/>
        <v>9843.810313612099</v>
      </c>
      <c r="CT122" s="268">
        <f>CT$10*(1+((H122/H$10-1)*costos!$B$25+((I122*F122)/(I$10*F$10)-1)*costos!$E$25+((J122*F122)/((J$10*F$10)-1)*costos!$F$25/3+((K122*F122)/(K$10*F$10)-1)*costos!$F$25/3+((U122*F122)/(U$10*F$10)-1)*costos!$F$25/3+((L122*F122)/(L$10*F$10)-1)*costos!$G$25+((AQ122)/(AQ$10)-1)*costos!$J$25+((V122*F122)/(V$10*F$10)-1)*costos!$K$25)))</f>
        <v>9227.0954158760978</v>
      </c>
      <c r="CU122" s="268">
        <f>CU$10*(1+((H122/H$10-1)*costos!$B$26+((I122*F122)/(I$10*F$10)-1)*costos!$E$26+((J122*F122)/((J$10*F$10)-1)*costos!$F$26/3+((K122*F122)/(K$10*F$10)-1)*costos!$F$26/3+((U122*F122)/(U$10*F$10)-1)*costos!$F$26/3+((L122*F122)/(L$10*F$10)-1)*costos!$G$26+((AR122)/(AR$10)-1)*costos!$J$26+((V122*F122)/(V$10*F$10)-1)*costos!$K$26)))</f>
        <v>9614.5650376267731</v>
      </c>
      <c r="CV122" s="268">
        <f>CV$10*(1+((H122/H$10-1)*costos!$B$27+((I122*F122)/(I$10*F$10)-1)*costos!$E$27+((J122*F122)/((J$10*F$10)-1)*costos!$F$27/3+((K122*F122)/(K$10*F$10)-1)*costos!$F$27/3+((U122*F122)/(U$10*F$10)-1)*costos!$F$27/3+((L122*F122)/(L$10*F$10)-1)*costos!$G$27+((AS122)/(AS$10)-1)*costos!$J$27+((V122*F122)/(V$10*F$10)-1)*costos!$K$27)))</f>
        <v>9612.72508114433</v>
      </c>
      <c r="CW122" s="268">
        <f>CW$10*(1+((H122/H$10-1)*costos!$B$28+((I122*F122)/(I$10*F$10)-1)*costos!$E$28+((J122*F122)/((J$10*F$10)-1)*costos!$F$28/3+((K122*F122)/(K$10*F$10)-1)*costos!$F$28/3+((U122*F122)/(U$10*F$10)-1)*costos!$F$28/3+((L122*F122)/(L$10*F$10)-1)*costos!$G$28+((AS122)/(AS$10)-1)*costos!$J$28+((V122*F122)/(V$10*F$10)-1)*costos!$K$28)))</f>
        <v>9612.72508114433</v>
      </c>
      <c r="CX122" s="268">
        <f t="shared" si="473"/>
        <v>9613.3383999718117</v>
      </c>
      <c r="CY122" s="268">
        <f>CY$10*(1+((H122/H$10-1)*costos!$B$32+((I122*F122)/(I$10*F$10)-1)*costos!$E$32+((J122*F122)/((J$10*F$10)-1)*costos!$F$32/3+((K122*F122)/(K$10*F$10)-1)*costos!$F$32/3+((U122*F122)/(U$10*F$10)-1)*costos!$F$32/3+((L122*F122)/(L$10*F$10)-1)*costos!$G$32+((AG122)/(AG$10)-1)*costos!$J$32+((V122*F122)/(V$10*F$10)-1)*costos!$K$32)))</f>
        <v>10209.702636474818</v>
      </c>
      <c r="CZ122" s="69">
        <f>CZ$10*(1+((H122/H$10-1)*costos!$B$31+((I122*F122)/(I$10*F$10)-1)*costos!$E$30+((J122*F122)/((J$10*F$10)-1)*costos!$F$30/3+((K122*F122)/(K$10*F$10)-1)*costos!$F$30/3+((U122*F122)/(U$10*F$10)-1)*costos!$F$30/3+((L122*F122)/(L$10*F$10)-1)*costos!$G$30+((BG122)/(BG$10)-1)*costos!$J$30+((V122*F122)/(V$10*F$10)-1)*costos!$K$30)))</f>
        <v>12447.208589965954</v>
      </c>
      <c r="DA122" s="69">
        <f>DA$10*(1+((H122/H$10-1)*costos!$B$31+((I122*F122)/(I$10*F$10)-1)*costos!$E$31+((J122*F122)/((J$10*F$10)-1)*costos!$F$31/3+((K122*F122)/(K$10*F$10)-1)*costos!$F$31/3+((U122*F122)/(U$10*F$10)-1)*costos!$F$31/3+((L122*F122)/(L$10*F$10)-1)*costos!$G$31+((BJ122)/(BJ$10)-1)*costos!$J$31+((V122*F122)/(V$10*F$10)-1)*costos!$K$31)))</f>
        <v>10383.036946934373</v>
      </c>
      <c r="DB122" s="69">
        <f>DB$10*(1+((H122/H$10-1)*costos!$B$36+((I122*F122)/(I$10*F$10)-1)*costos!$E$36+((J122*F122)/((J$10*F$10)-1)*costos!$F$36/3+((K122*F122)/(K$10*F$10)-1)*costos!$F$36/3+((U122*F122)/(U$10*F$10)-1)*costos!$F$36/3+((L122*F122)/(L$10*F$10)-1)*costos!$G$36+((BK122)/(BK$10)-1)*costos!$J$36+((V122*F122)/(V$10*F$10)-1)*costos!$K$36)))</f>
        <v>10450.837050958657</v>
      </c>
      <c r="DC122" s="69">
        <f>DC$10*(1+((H122/H$10-1)*costos!$B$37+((I122*F122)/(I$10*F$10)-1)*costos!$E$37+((U122*F122)/(U$10*F$10)-1)*costos!$F$37+((L122*F122)/(L$10*F$10)-1)*costos!$G$37+((BN122)/(BN$10)-1)*costos!$J$37+((V122*F122)/(V$10*F$10)-1)*costos!$K$37))</f>
        <v>10260.345395493228</v>
      </c>
      <c r="DD122" s="69">
        <f>DD$10*(1+((H122/H$10-1)*costos!$B$39+((I122*F122)/(I$10*F$10)-1)*costos!$E$39+((U122*F122)/(U$10*F$10)-1)*costos!$F$39+((L122*F122)/(L$10*F$10)-1)*costos!$G$39+((BR122)/(BR$10)-1)*costos!$J$39+((V122*F122)/(V$10*F$10)-1)*costos!$K$39))</f>
        <v>10080.54816462403</v>
      </c>
      <c r="DE122" s="69">
        <f>DD$10*(1+((H122/H$10-1)*costos!$B$35+((I122*F122)/(I$10*F$10)-1)*costos!$E$35+((U122*F122)/(U$10*F$10)-1)*costos!$F$35+((L122*F122)/(L$10*F$10)-1)*costos!$G$35+((BR122)/(BR$10)-1)*costos!$J$35+((V122*F122)/(V$10*F$10)-1)*costos!$K$35))</f>
        <v>8995.707616213982</v>
      </c>
      <c r="DF122" s="69">
        <f>DF$10*(1+((H122/H$10-1)*costos!$B$40+((I122*F122)/(I$10*F$10)-1)*costos!$E$40+((U122*F122)/(U$10*F$10)-1)*costos!$F$40+((L122*F122)/(L$10*F$10)-1)*costos!$G$40+((BP122)/(BP$10)-1)*costos!$J$40+((V122*F122)/(V$10*F$10)-1)*costos!$K$40))</f>
        <v>10565.923798776284</v>
      </c>
      <c r="DG122" s="268">
        <f t="shared" si="461"/>
        <v>9780.8157074951341</v>
      </c>
      <c r="DH122" s="69">
        <f>DH$10*(1+((H122/H$10-1)*costos!$B$34+((I122*F122)/(I$10*F$10)-1)*costos!$E$34+((J122*F122)/((J$10*F$10)-1)*costos!$F$34/3+((K122*F122)/(K$10*F$10)-1)*costos!$F$34/3+((U122*F122)/(U$10*F$10)-1)*costos!$F$34/3+((L122*F122)/(L$10*F$10)-1)*costos!$G$34+((BV122)/(BV$10)-1)*costos!$J$34+((V122*F122)/(V$10*F$10)-1)*costos!$K$34)))</f>
        <v>10181.56931290182</v>
      </c>
      <c r="DI122" s="69">
        <f>DI$10*(1+((H122/H$10-1)*costos!$B$38+((I122*F122)/(I$10*F$10)-1)*costos!$E$38+((J122*F122)/((J$10*F$10)-1)*costos!$F$38/3+((K122*F122)/(K$10*F$10)-1)*costos!$F$38/3+((U122*F122)/(U$10*F$10)-1)*costos!$F$38/3+((L122*F122)/(L$10*F$10)-1)*costos!$G$38+((BU122)/(BU$10)-1)*costos!$J$38+((V122*F122)/(V$10*F$10)-1)*costos!$K$38)))</f>
        <v>10517.890488312598</v>
      </c>
      <c r="DK122" s="1">
        <v>690000</v>
      </c>
      <c r="DL122" s="1" t="s">
        <v>512</v>
      </c>
      <c r="DM122" s="1">
        <v>230000</v>
      </c>
      <c r="DN122" s="1" t="s">
        <v>512</v>
      </c>
      <c r="DO122" s="1">
        <v>1600000</v>
      </c>
      <c r="DP122" s="1" t="s">
        <v>663</v>
      </c>
      <c r="DQ122" s="1">
        <v>2200000</v>
      </c>
      <c r="DR122" s="1" t="s">
        <v>512</v>
      </c>
      <c r="DS122" s="1">
        <v>7100000</v>
      </c>
      <c r="DT122" s="1" t="s">
        <v>512</v>
      </c>
      <c r="DU122" s="1">
        <v>17900000</v>
      </c>
      <c r="DV122" s="1" t="s">
        <v>512</v>
      </c>
      <c r="DW122" s="1">
        <v>1000000</v>
      </c>
      <c r="DX122" s="1" t="s">
        <v>512</v>
      </c>
      <c r="DY122" s="1">
        <v>6970000</v>
      </c>
      <c r="DZ122" s="1" t="s">
        <v>663</v>
      </c>
      <c r="EA122" s="79">
        <f t="shared" si="353"/>
        <v>36770000</v>
      </c>
      <c r="EB122" s="1">
        <v>521230</v>
      </c>
      <c r="EC122" s="1" t="s">
        <v>512</v>
      </c>
      <c r="ED122" s="1">
        <v>231352</v>
      </c>
      <c r="EE122" s="143">
        <v>2025</v>
      </c>
      <c r="EF122" s="83">
        <v>196220</v>
      </c>
      <c r="EG122" s="143">
        <v>2025</v>
      </c>
      <c r="EH122" s="1">
        <v>51624909</v>
      </c>
      <c r="EI122" s="143">
        <v>2025</v>
      </c>
      <c r="EJ122" s="1">
        <v>5987778</v>
      </c>
      <c r="EK122" s="6">
        <v>2025</v>
      </c>
      <c r="EL122" s="1">
        <v>11967429</v>
      </c>
      <c r="EM122" s="6">
        <v>2025</v>
      </c>
      <c r="EN122" s="1">
        <v>3017148</v>
      </c>
      <c r="EO122" s="6">
        <v>2025</v>
      </c>
      <c r="EP122" s="83">
        <v>9370</v>
      </c>
      <c r="EQ122" s="83">
        <v>4000000</v>
      </c>
      <c r="ER122" s="83">
        <f t="shared" si="478"/>
        <v>79911</v>
      </c>
      <c r="ET122" s="82">
        <f t="shared" si="474"/>
        <v>19357</v>
      </c>
      <c r="EU122" s="82">
        <f t="shared" si="474"/>
        <v>18703</v>
      </c>
      <c r="EV122" s="82">
        <f t="shared" si="474"/>
        <v>8927</v>
      </c>
      <c r="EW122" s="82">
        <f t="shared" si="474"/>
        <v>17408</v>
      </c>
      <c r="EX122" s="79">
        <f t="shared" si="354"/>
        <v>64395</v>
      </c>
      <c r="EY122" s="82">
        <f t="shared" si="394"/>
        <v>20031</v>
      </c>
      <c r="EZ122" s="83">
        <f t="shared" si="394"/>
        <v>38177</v>
      </c>
      <c r="FA122" s="82">
        <f t="shared" si="431"/>
        <v>19900</v>
      </c>
      <c r="FB122" s="82">
        <f t="shared" si="406"/>
        <v>18184</v>
      </c>
      <c r="FC122" s="79">
        <f t="shared" si="452"/>
        <v>38084</v>
      </c>
      <c r="FD122" s="83">
        <f t="shared" si="395"/>
        <v>60376</v>
      </c>
      <c r="FF122" s="1">
        <v>1050000</v>
      </c>
      <c r="FG122" s="1" t="s">
        <v>512</v>
      </c>
      <c r="FH122" s="1">
        <v>1600000</v>
      </c>
      <c r="FI122" s="1" t="s">
        <v>512</v>
      </c>
      <c r="FJ122" s="1">
        <v>5000000</v>
      </c>
      <c r="FK122" s="1" t="s">
        <v>512</v>
      </c>
      <c r="FL122" s="1">
        <v>5000000</v>
      </c>
      <c r="FM122" s="1" t="s">
        <v>512</v>
      </c>
      <c r="FN122" s="1">
        <v>49000000</v>
      </c>
      <c r="FO122" s="1" t="s">
        <v>512</v>
      </c>
      <c r="FP122" s="1">
        <v>50300000</v>
      </c>
      <c r="FQ122" s="1" t="s">
        <v>512</v>
      </c>
      <c r="FR122" s="1">
        <v>3000000</v>
      </c>
      <c r="FS122" s="1" t="s">
        <v>512</v>
      </c>
      <c r="FT122" s="1">
        <v>18510000</v>
      </c>
      <c r="FU122" s="1" t="s">
        <v>512</v>
      </c>
      <c r="FV122" s="79">
        <f t="shared" si="355"/>
        <v>130810000</v>
      </c>
      <c r="FW122" s="83">
        <v>1895131</v>
      </c>
      <c r="FX122" s="1" t="s">
        <v>512</v>
      </c>
      <c r="FY122" s="1">
        <v>141821</v>
      </c>
      <c r="FZ122" s="79">
        <f t="shared" si="377"/>
        <v>876859</v>
      </c>
      <c r="GA122" s="86" t="str">
        <f t="shared" si="462"/>
        <v>jun24 may25</v>
      </c>
      <c r="GB122" s="1">
        <v>19908335</v>
      </c>
      <c r="GC122" s="6">
        <v>2025</v>
      </c>
      <c r="GD122" s="83">
        <v>2213559</v>
      </c>
      <c r="GE122" s="83">
        <v>410324</v>
      </c>
      <c r="GF122" s="83">
        <v>1003144</v>
      </c>
      <c r="GG122" s="83">
        <v>129694</v>
      </c>
      <c r="GH122" s="79">
        <f t="shared" si="450"/>
        <v>1543162</v>
      </c>
      <c r="GI122" s="82">
        <f t="shared" si="463"/>
        <v>1302556</v>
      </c>
      <c r="GJ122" s="82">
        <f t="shared" si="463"/>
        <v>682423</v>
      </c>
      <c r="GK122" s="82">
        <f t="shared" si="463"/>
        <v>1391495</v>
      </c>
      <c r="GL122" s="82">
        <f t="shared" si="463"/>
        <v>305049</v>
      </c>
      <c r="GM122" s="82">
        <f t="shared" si="463"/>
        <v>260419</v>
      </c>
      <c r="GN122" s="79">
        <f t="shared" si="357"/>
        <v>2639386</v>
      </c>
      <c r="GO122" s="82">
        <f t="shared" si="464"/>
        <v>201734</v>
      </c>
      <c r="GP122" s="82">
        <f t="shared" si="464"/>
        <v>75000</v>
      </c>
      <c r="GQ122" s="1">
        <v>49484</v>
      </c>
      <c r="GR122" s="1">
        <v>34035</v>
      </c>
      <c r="GS122" s="79">
        <f>+GR122+GQ122*0.03</f>
        <v>35519.519999999997</v>
      </c>
      <c r="GT122" s="82">
        <f t="shared" si="407"/>
        <v>2111561</v>
      </c>
      <c r="GU122" s="83">
        <f>47297+11015</f>
        <v>58312</v>
      </c>
      <c r="GV122" s="83">
        <f>11200+22739</f>
        <v>33939</v>
      </c>
      <c r="GW122" s="79">
        <f t="shared" si="455"/>
        <v>785640</v>
      </c>
      <c r="GX122" s="83">
        <v>36041.686000000002</v>
      </c>
      <c r="GY122" s="1" t="s">
        <v>802</v>
      </c>
      <c r="GZ122" s="83">
        <v>119643</v>
      </c>
      <c r="HA122" s="1">
        <v>259682</v>
      </c>
      <c r="HB122" s="79">
        <f t="shared" si="437"/>
        <v>3161744</v>
      </c>
      <c r="HC122" s="86" t="str">
        <f t="shared" si="465"/>
        <v>jun24 may25</v>
      </c>
      <c r="HD122" s="1">
        <v>69929</v>
      </c>
      <c r="HE122" s="79">
        <f t="shared" si="380"/>
        <v>786655</v>
      </c>
      <c r="HF122" s="86" t="str">
        <f t="shared" si="466"/>
        <v>jun24 may25</v>
      </c>
      <c r="HG122" s="1">
        <v>189000</v>
      </c>
      <c r="HH122" s="79">
        <f t="shared" si="438"/>
        <v>2315000</v>
      </c>
      <c r="HI122" s="86" t="str">
        <f t="shared" si="467"/>
        <v>jun24 may25</v>
      </c>
      <c r="HJ122" s="1">
        <v>92953</v>
      </c>
      <c r="HK122" s="79">
        <f t="shared" si="475"/>
        <v>62704.906299286791</v>
      </c>
      <c r="HL122" s="86" t="str">
        <f t="shared" si="468"/>
        <v>jun24 may25</v>
      </c>
      <c r="HM122" s="79">
        <f t="shared" si="358"/>
        <v>2377704.906299287</v>
      </c>
      <c r="HN122" s="87">
        <f t="shared" si="297"/>
        <v>0.14067950071342161</v>
      </c>
      <c r="HO122" s="1">
        <v>897871510</v>
      </c>
      <c r="HP122" s="79">
        <f t="shared" si="386"/>
        <v>10987.917579999999</v>
      </c>
      <c r="HQ122" s="86" t="str">
        <f t="shared" si="469"/>
        <v>jun24 may25</v>
      </c>
      <c r="HU122" s="1">
        <v>700000</v>
      </c>
      <c r="HV122" s="1" t="s">
        <v>512</v>
      </c>
      <c r="HW122" s="1">
        <v>1460000</v>
      </c>
      <c r="HX122" s="1" t="s">
        <v>512</v>
      </c>
      <c r="HY122" s="83">
        <v>4730000</v>
      </c>
      <c r="HZ122" s="1" t="s">
        <v>512</v>
      </c>
      <c r="IA122" s="1">
        <f>(3.4+17.5)*1000000</f>
        <v>20900000</v>
      </c>
      <c r="IB122" s="1" t="s">
        <v>512</v>
      </c>
      <c r="IC122" s="1">
        <v>48000000</v>
      </c>
      <c r="ID122" s="1" t="s">
        <v>512</v>
      </c>
      <c r="IE122" s="1">
        <f t="shared" si="482"/>
        <v>850000.00000000012</v>
      </c>
      <c r="IF122" s="1" t="s">
        <v>512</v>
      </c>
      <c r="IG122" s="1">
        <f>(6.5+0.98)*1000000</f>
        <v>7480000</v>
      </c>
      <c r="IH122" s="1" t="s">
        <v>512</v>
      </c>
      <c r="II122" s="79">
        <f t="shared" si="479"/>
        <v>83420000</v>
      </c>
      <c r="IJ122" s="97">
        <f t="shared" si="483"/>
        <v>2.3888080854826579</v>
      </c>
      <c r="IK122" s="1" t="s">
        <v>512</v>
      </c>
      <c r="IL122" s="7">
        <v>45.78</v>
      </c>
      <c r="IM122" s="7">
        <v>49.79</v>
      </c>
      <c r="IN122" s="97">
        <v>195.7</v>
      </c>
      <c r="IO122" s="97">
        <v>18.079999999999998</v>
      </c>
      <c r="IP122" s="176">
        <f t="shared" si="480"/>
        <v>5.7424738987207355</v>
      </c>
      <c r="IQ122" s="176">
        <f t="shared" si="481"/>
        <v>16.079999999999998</v>
      </c>
      <c r="IR122" s="478">
        <f t="shared" si="459"/>
        <v>6.17</v>
      </c>
      <c r="IS122" s="478">
        <f t="shared" si="460"/>
        <v>5.03</v>
      </c>
      <c r="IT122" s="478">
        <f t="shared" si="460"/>
        <v>11</v>
      </c>
      <c r="IU122" s="478">
        <f t="shared" si="460"/>
        <v>1.1000000000000001</v>
      </c>
      <c r="IV122" s="94">
        <f t="shared" si="360"/>
        <v>17.130000000000003</v>
      </c>
      <c r="IY122" s="80">
        <v>1.88</v>
      </c>
      <c r="IZ122" s="88">
        <v>0.3</v>
      </c>
      <c r="JA122" s="1">
        <v>3735</v>
      </c>
      <c r="JB122" s="95">
        <f t="shared" si="433"/>
        <v>35.950000000000003</v>
      </c>
      <c r="JF122" s="2">
        <v>5.0945514700000007</v>
      </c>
      <c r="JG122" s="2">
        <v>39.974175860000003</v>
      </c>
      <c r="JH122" s="2">
        <v>73.149309850000009</v>
      </c>
      <c r="JI122" s="2">
        <v>363.51179731000008</v>
      </c>
      <c r="JJ122" s="2">
        <v>867.87367843000004</v>
      </c>
      <c r="JK122" s="2">
        <v>97.139552130000013</v>
      </c>
      <c r="JL122" s="2">
        <v>2538.7161489700002</v>
      </c>
      <c r="JM122" s="2">
        <v>57.607500000000002</v>
      </c>
      <c r="JN122" s="2">
        <v>319.38206723000002</v>
      </c>
      <c r="JO122" s="2">
        <v>32.790200410000004</v>
      </c>
      <c r="JP122" s="2">
        <v>0</v>
      </c>
      <c r="JQ122" s="2">
        <v>9.2251040999999994</v>
      </c>
      <c r="JR122" s="2">
        <v>1.20985733</v>
      </c>
      <c r="JS122" s="2">
        <v>0</v>
      </c>
      <c r="JT122" s="2">
        <v>0.35223209999999999</v>
      </c>
      <c r="JU122" s="2">
        <v>88.994061629999976</v>
      </c>
      <c r="JV122" s="2">
        <v>14.423782259999999</v>
      </c>
      <c r="JW122" s="2">
        <v>40.435607170000004</v>
      </c>
      <c r="JX122" s="2">
        <v>57.18443159000001</v>
      </c>
      <c r="JY122" s="2">
        <v>0</v>
      </c>
      <c r="JZ122" s="2">
        <v>9.4385622600000012</v>
      </c>
      <c r="KA122" s="2">
        <v>0.123332</v>
      </c>
      <c r="KB122" s="2">
        <v>14.949040589999999</v>
      </c>
      <c r="KC122" s="2">
        <v>121.04017274</v>
      </c>
      <c r="KD122" s="2">
        <v>10.492918690000002</v>
      </c>
      <c r="KE122" s="2">
        <v>25.223589140000001</v>
      </c>
      <c r="KF122" s="2">
        <v>7.3007548499999997</v>
      </c>
      <c r="KG122" s="2">
        <v>389.02912699999996</v>
      </c>
      <c r="KH122" s="2">
        <v>135.14119298</v>
      </c>
      <c r="KI122" s="2">
        <v>21.131437869999999</v>
      </c>
      <c r="KJ122" s="2">
        <v>2.2921349499999994</v>
      </c>
      <c r="KK122" s="171">
        <v>9.66008332</v>
      </c>
      <c r="KL122" s="171">
        <v>0.20050375000000001</v>
      </c>
      <c r="KM122" s="171">
        <v>0.40179747000000005</v>
      </c>
      <c r="KN122" s="171">
        <v>2.5809895999999997</v>
      </c>
      <c r="KO122" s="171">
        <v>1.58498063</v>
      </c>
      <c r="KP122" s="171">
        <v>1.9420499999999999E-3</v>
      </c>
      <c r="KQ122" s="171">
        <v>299.47377626000002</v>
      </c>
      <c r="KR122" s="171">
        <v>0</v>
      </c>
      <c r="KS122" s="171">
        <v>0.15581638</v>
      </c>
      <c r="KT122" s="171">
        <v>0.8744752400000001</v>
      </c>
      <c r="KU122" s="171">
        <v>0.33740116000000003</v>
      </c>
      <c r="KV122" s="171">
        <v>1.43476E-2</v>
      </c>
      <c r="KW122" s="171">
        <v>2.7343552499999997</v>
      </c>
      <c r="KX122" s="171">
        <v>0</v>
      </c>
      <c r="KY122" s="171">
        <v>0</v>
      </c>
      <c r="KZ122" s="171">
        <v>4.0554375800000004</v>
      </c>
      <c r="LA122" s="171">
        <v>0.55814960000000002</v>
      </c>
      <c r="LB122" s="171">
        <v>8.6400000000000001E-3</v>
      </c>
      <c r="LC122" s="171">
        <v>6.6228579999999995E-2</v>
      </c>
      <c r="LD122" s="171">
        <v>0</v>
      </c>
      <c r="LE122" s="171">
        <v>0.23953321999999996</v>
      </c>
      <c r="LF122" s="171">
        <v>0</v>
      </c>
      <c r="LG122" s="171">
        <v>16.050718710000002</v>
      </c>
      <c r="LH122" s="171">
        <v>4.00557768</v>
      </c>
      <c r="LI122" s="171">
        <v>3.5033770500000001</v>
      </c>
      <c r="LJ122" s="171">
        <v>1.5264E-3</v>
      </c>
      <c r="LK122" s="171">
        <v>5.2475744900000008</v>
      </c>
      <c r="LL122" s="171">
        <v>10.16779666</v>
      </c>
      <c r="LM122" s="171">
        <v>2.3449699800000001</v>
      </c>
      <c r="LN122" s="171">
        <v>0.18211829000000002</v>
      </c>
      <c r="LO122" s="171">
        <v>19.3334501</v>
      </c>
      <c r="LQ122" s="85">
        <f t="shared" si="439"/>
        <v>4220.2405017900001</v>
      </c>
      <c r="LR122" s="85">
        <f t="shared" si="440"/>
        <v>10.78719353</v>
      </c>
      <c r="LS122" s="85">
        <f t="shared" si="441"/>
        <v>54.859389430000007</v>
      </c>
      <c r="LT122" s="85">
        <f t="shared" si="442"/>
        <v>9.5618942600000008</v>
      </c>
      <c r="LU122" s="85">
        <f t="shared" si="443"/>
        <v>304.19736033999999</v>
      </c>
      <c r="LV122" s="85">
        <f t="shared" si="444"/>
        <v>2.7487028499999995</v>
      </c>
      <c r="LW122" s="85">
        <f t="shared" si="445"/>
        <v>0.5667896</v>
      </c>
      <c r="LX122" s="85">
        <f t="shared" si="446"/>
        <v>0.23953321999999996</v>
      </c>
      <c r="LZ122" s="83">
        <v>1525.34</v>
      </c>
      <c r="MA122" s="83">
        <v>1860.08</v>
      </c>
      <c r="MB122"/>
      <c r="MC122"/>
      <c r="MD122"/>
      <c r="MF122"/>
      <c r="MG122"/>
      <c r="MH122" s="83">
        <v>3491.53</v>
      </c>
      <c r="MI122" s="83">
        <v>858.57</v>
      </c>
      <c r="MJ122" s="83">
        <v>824.36</v>
      </c>
      <c r="MK122"/>
      <c r="ML122" s="83">
        <v>740.13</v>
      </c>
      <c r="MM122" s="83">
        <v>2758.44</v>
      </c>
      <c r="MN122" s="83"/>
      <c r="MO122" s="83">
        <v>909.8</v>
      </c>
      <c r="MP122" s="83">
        <v>2208.5500000000002</v>
      </c>
      <c r="MQ122" s="83">
        <v>2342.54</v>
      </c>
      <c r="MR122"/>
      <c r="MT122" s="83"/>
      <c r="MU122" s="83">
        <v>1124.8399999999999</v>
      </c>
      <c r="MV122"/>
      <c r="MW122"/>
      <c r="MX122"/>
      <c r="MY122" s="83">
        <v>2225.85</v>
      </c>
      <c r="MZ122" s="83">
        <v>7056</v>
      </c>
      <c r="NA122" s="83">
        <v>3634</v>
      </c>
      <c r="NB122" s="83">
        <v>11252</v>
      </c>
      <c r="NC122" s="83">
        <v>1543.94</v>
      </c>
      <c r="ND122" s="1">
        <v>11790</v>
      </c>
      <c r="NE122" s="1">
        <v>7401</v>
      </c>
    </row>
    <row r="123" spans="1:369">
      <c r="A123" s="38">
        <f t="shared" si="417"/>
        <v>45809</v>
      </c>
      <c r="B123" s="36">
        <f t="shared" si="476"/>
        <v>6</v>
      </c>
      <c r="C123" s="36">
        <f t="shared" si="477"/>
        <v>2025</v>
      </c>
      <c r="D123" s="36">
        <f t="shared" si="347"/>
        <v>123</v>
      </c>
      <c r="E123" s="38">
        <f t="shared" si="418"/>
        <v>45809</v>
      </c>
      <c r="F123" s="7">
        <v>1171.8421052631579</v>
      </c>
      <c r="G123" s="7">
        <v>8855.5681000000004</v>
      </c>
      <c r="H123" s="1">
        <f>[2]NACIONALES!$D111</f>
        <v>828764.25</v>
      </c>
      <c r="I123" s="7">
        <v>104</v>
      </c>
      <c r="J123" s="7">
        <v>550</v>
      </c>
      <c r="K123" s="7">
        <v>4</v>
      </c>
      <c r="L123" s="7">
        <v>36.700000000000003</v>
      </c>
      <c r="N123" s="7">
        <v>1.38</v>
      </c>
      <c r="O123" s="7">
        <v>1.0449999999999999</v>
      </c>
      <c r="P123" s="78">
        <f t="shared" si="398"/>
        <v>1349.8156249999997</v>
      </c>
      <c r="Q123" s="6">
        <v>20000</v>
      </c>
      <c r="R123" s="79">
        <f t="shared" si="419"/>
        <v>200000</v>
      </c>
      <c r="S123">
        <v>180</v>
      </c>
      <c r="T123" s="6">
        <f>396074/F123</f>
        <v>337.99263417920503</v>
      </c>
      <c r="U123">
        <v>178.6</v>
      </c>
      <c r="V123" s="143">
        <v>287.59473684210525</v>
      </c>
      <c r="W123" s="6">
        <v>206</v>
      </c>
      <c r="X123" s="6">
        <v>204.10526315789474</v>
      </c>
      <c r="Y123" s="79">
        <f t="shared" si="420"/>
        <v>210931.57894736843</v>
      </c>
      <c r="Z123" s="79">
        <f t="shared" si="421"/>
        <v>396074</v>
      </c>
      <c r="AA123" s="79">
        <f t="shared" si="422"/>
        <v>209291</v>
      </c>
      <c r="AB123" s="79">
        <f t="shared" si="423"/>
        <v>337015.62188365648</v>
      </c>
      <c r="AC123" s="79">
        <f t="shared" si="424"/>
        <v>241399.47368421053</v>
      </c>
      <c r="AD123" s="79">
        <f t="shared" si="425"/>
        <v>239179.14127423824</v>
      </c>
      <c r="AE123" s="79">
        <f t="shared" si="426"/>
        <v>272315.1359649123</v>
      </c>
      <c r="AF123" s="83">
        <f>596.11*F122</f>
        <v>679118.3175</v>
      </c>
      <c r="AG123" s="1">
        <f>AVERAGE(305000,295000)</f>
        <v>300000</v>
      </c>
      <c r="AH123" s="1">
        <f>AVERAGE(950000,1150000)</f>
        <v>1050000</v>
      </c>
      <c r="AI123" s="5">
        <v>350.32</v>
      </c>
      <c r="AJ123" s="5">
        <v>274.7</v>
      </c>
      <c r="AK123" s="5">
        <v>244.43</v>
      </c>
      <c r="AL123" s="5">
        <v>300</v>
      </c>
      <c r="AM123" s="78">
        <f t="shared" si="458"/>
        <v>307.68700000000001</v>
      </c>
      <c r="AN123" s="7">
        <v>25339.712918660287</v>
      </c>
      <c r="AO123" s="7">
        <v>17958.21052631579</v>
      </c>
      <c r="AP123" s="78">
        <f t="shared" si="470"/>
        <v>17958.21052631579</v>
      </c>
      <c r="AQ123" s="7">
        <v>8148.0263157894733</v>
      </c>
      <c r="AR123" s="7">
        <v>11599.473684210527</v>
      </c>
      <c r="AS123" s="7">
        <v>9688.0263157894733</v>
      </c>
      <c r="AT123" s="7">
        <v>12547.368421052632</v>
      </c>
      <c r="AU123" s="78">
        <f t="shared" si="348"/>
        <v>11278.289473684212</v>
      </c>
      <c r="AV123" s="7">
        <v>5715.2777777777774</v>
      </c>
      <c r="AW123" s="7">
        <v>11910.526315789473</v>
      </c>
      <c r="AX123" s="7">
        <v>5910.4315789473694</v>
      </c>
      <c r="AY123" s="7">
        <v>17806.122448979593</v>
      </c>
      <c r="AZ123" s="7">
        <v>7164.4736842105267</v>
      </c>
      <c r="BA123" s="7">
        <v>4010.5263157894738</v>
      </c>
      <c r="BB123" s="94">
        <f t="shared" si="345"/>
        <v>9416.5161773481323</v>
      </c>
      <c r="BC123" s="68">
        <v>41139</v>
      </c>
      <c r="BD123" s="68">
        <v>37026</v>
      </c>
      <c r="BE123" s="97">
        <v>27200</v>
      </c>
      <c r="BF123" s="97">
        <v>19000</v>
      </c>
      <c r="BG123" s="94">
        <f t="shared" si="349"/>
        <v>31091.25</v>
      </c>
      <c r="BH123" s="7">
        <v>3807</v>
      </c>
      <c r="BI123" s="97">
        <v>712</v>
      </c>
      <c r="BJ123" s="78">
        <f t="shared" si="350"/>
        <v>4519</v>
      </c>
      <c r="BK123" s="7">
        <v>2960</v>
      </c>
      <c r="BL123" s="7">
        <v>3688</v>
      </c>
      <c r="BM123" s="94">
        <f t="shared" si="351"/>
        <v>3324</v>
      </c>
      <c r="BN123" s="5">
        <v>472.87</v>
      </c>
      <c r="BO123" s="84">
        <v>2519.9</v>
      </c>
      <c r="BP123" s="84">
        <v>2433</v>
      </c>
      <c r="BQ123" s="94">
        <f t="shared" si="435"/>
        <v>2476.4499999999998</v>
      </c>
      <c r="BR123" s="7">
        <v>1628.29</v>
      </c>
      <c r="BS123" s="97">
        <v>6500</v>
      </c>
      <c r="BT123" s="95">
        <f>1.3*F123</f>
        <v>1523.3947368421054</v>
      </c>
      <c r="BU123" s="79">
        <f t="shared" si="436"/>
        <v>82570.18421052632</v>
      </c>
      <c r="BV123" s="7">
        <v>1935.5</v>
      </c>
      <c r="BW123" s="7">
        <v>3206</v>
      </c>
      <c r="BY123" s="268">
        <f>BY$10*(1+((H123/H$10-1)*costos!$B$5+((I123*F123)/(I$10*F$10)-1)*costos!$E$5+((J123*F123)/((J$10*F$10)-1)*costos!$F$5/3+((K123*F123)/(K$10*F$10)-1)*costos!$F$5/3+((U123*F123)/(U$10*F$10)-1)*costos!$F$5/3+((L123*F123)/(L$10*F$10)-1)*costos!$G$5+((N123*F123)/(N$10*F$10)-1)*costos!$J$5+((V123*F123)/(V$10*F$10)-1)*costos!$K$5)))</f>
        <v>10031.13655561282</v>
      </c>
      <c r="BZ123" s="268">
        <f>$BZ$10*(1+((H123/$H$10-1)*costos!$B$6+((I123*F123)/($I$10*$F$10)-1)*costos!$E$6+((J123*F123)/(($J$10*$F$10)-1)*costos!$F$6/3+((K123*F123)/($K$10*$F$10)-1)*costos!$F$6/3+((U123*F123)/($U$10*$F$10)-1)*costos!$F$6/3+((L123*F123)/($L$10*$F$10)-1)*costos!$G$6+((Q123*F123)/($Q$10*$F$10)-1)*costos!$J$6+((V123*F123)/($V$10*$F$10)-1)*costos!$K$6)))</f>
        <v>9755.5208336160122</v>
      </c>
      <c r="CA123" s="268">
        <f>CA$10*(1+((H123/H$10-1)*costos!$B$7+((I123*F123)/(I$10*F$10)-1)*costos!$E$7+((J123*F123)/((J$10*F$10)-1)*costos!$F$7/3+((K123*F123)/(K$10*F$10)-1)*costos!$F$7/3+((U123*F123)/(U$10*F$10)-1)*costos!$F$7/3+((L123*F123)/(L$10*F$10)-1)*costos!$G$7+((S123*F123)/(S$10*F$10)-1)*costos!$J$7+((V123*F123)/(V$10*F$10)-1)*costos!$K$7)))</f>
        <v>10167.548498928738</v>
      </c>
      <c r="CB123" s="268">
        <f>CB$10*(1+((H123/H$10-1)*costos!$B$8+((I123*F123)/(I$10*F$10)-1)*costos!$E$8+((J123*F123)/((J$10*F$10)-1)*costos!$F$8/3+((K123*F123)/(K$10*F$10)-1)*costos!$F$8/3+((U123*F123)/(U$10*F$10)-1)*costos!$F$8/3+((L123*F123)/(L$10*F$10)-1)*costos!$G$8+((T123*F123)/(T$10*F$10)-1)*costos!$J$8+((V123*F123)/(V$10*F$10)-1)*costos!$K$8)))</f>
        <v>10274.84944056645</v>
      </c>
      <c r="CC123" s="268">
        <f>CC$10*(1+((H123/H$10-1)*costos!$B$9+((I123*F123)/(I$10*F$10)-1)*costos!$E$9+((J123*F123)/((J$10*F$10)-1)*costos!$F$9/3+((K123*F123)/(K$10*F$10)-1)*costos!$F$9/3+((U123*F123)/(U$10*F$10)-1)*costos!$F$9/3+((L123*F123)/(L$10*F$10)-1)*costos!$G$9+((U123*F123)/(U$10*F$10)-1)*costos!$J$9+((V123*F123)/(V$10*F$10)-1)*costos!$K$9)))</f>
        <v>10216.156556173873</v>
      </c>
      <c r="CD123" s="268">
        <f>CD$10*(1+((H123/H$10-1)*costos!$B$11+((I123*F123)/(I$10*F$10)-1)*costos!$E$11+((J123*F123)/((J$10*F$10)-1)*costos!$F$11/3+((K123*F123)/(K$10*F$10)-1)*costos!$F$11/3+((U123*F123)/(U$10*F$10)-1)*costos!$F$11/3+((L123*F123)/(L$10*F$10)-1)*costos!$G$11+((V123*F123)/(V$10*F$10)-1)*costos!$J$11+((V123*F123)/(V$10*F$10)-1)*costos!$K$11)))</f>
        <v>10260.511715368357</v>
      </c>
      <c r="CE123" s="268">
        <f>CE$10*(1+((H123/H$10-1)*costos!$B$12+((I123*F123)/(I$10*F$10)-1)*costos!$E$12+((J123*F123)/((J$10*F$10)-1)*costos!$F$12/3+((K123*F123)/(K$10*F$10)-1)*costos!$F$12/3+((U123*F123)/(U$10*F$10)-1)*costos!$F$12/3+((L123*F123)/(L$10*F$10)-1)*costos!$G$12+((W123*F123)/(W$10*F$10)-1)*costos!$J$12+((V123*F123)/(V$10*F$10)-1)*costos!$K$12)))</f>
        <v>10698.883972680322</v>
      </c>
      <c r="CF123" s="268">
        <f>CF$10*(1+((H123/H$10-1)*costos!$B$13+((I123*F123)/(I$10*F$10)-1)*costos!$E$13+((J123*F123)/((J$10*F$10)-1)*costos!$F$13/3+((K123*F123)/(K$10*F$10)-1)*costos!$F$13/3+((U123*F123)/(U$10*F$10)-1)*costos!$F$13/3+((L123*F123)/(L$10*F$10)-1)*costos!$G$13+((X123*F123)/(X$10*F$10)-1)*costos!$J$13+((V123*F123)/(V$10*F$10)-1)*costos!$K$13)))</f>
        <v>10520.065297735246</v>
      </c>
      <c r="CG123" s="268">
        <f t="shared" si="471"/>
        <v>10356.335913575498</v>
      </c>
      <c r="CH123" s="268">
        <f>CH$10*(1+((H123/H$10-1)*costos!$B$10+((I123*F123)/(I$10*F$10)-1)*costos!$E$10+((J123*F123)/((J$10*F$10)-1)*costos!$F$10/3+((K123*F123)/(K$10*F$10)-1)*costos!$F$10/3+((U123*F123)/(U$10*F$10)-1)*costos!$F$10/3+((L123*F123)/(L$10*F$10)-1)*costos!$G$10+((AF123)/(AF$10)-1)*costos!$J$10+((V123*F123)/(V$10*F$10)-1)*costos!$K$10)))</f>
        <v>10148.964413382118</v>
      </c>
      <c r="CI123" s="268">
        <f>CI$10*(1+((H123/H$10-1)*costos!$B$15+((I123*F123)/(I$10*F$10)-1)*costos!$E$15+((J123*F123)/((J$10*F$10)-1)*costos!$F$15/3+((K123*F123)/(K$10*F$10)-1)*costos!$F$15/3+((U123*F123)/(U$10*F$10)-1)*costos!$F$15/3+((L123*F123)/(L$10*F$10)-1)*costos!$G$15+((AV123)/(AV$10)-1)*costos!$J$15+((V123*F123)/(V$10*F$10)-1)*costos!$K$15)))</f>
        <v>10033.186181561156</v>
      </c>
      <c r="CJ123" s="268">
        <f>CJ$10*(1+((H123/H$10-1)*costos!$B$16+((I123*F123)/(I$10*F$10)-1)*costos!$E$16+((J123*F123)/((J$10*F$10)-1)*costos!$F$16/3+((K123*F123)/(K$10*F$10)-1)*costos!$F$16/3+((U123*F123)/(U$10*F$10)-1)*costos!$F$16/3+((L123*F123)/(L$10*F$10)-1)*costos!$G$16+((AW123)/(AW$10)-1)*costos!$J$16+((V123*F123)/(V$10*F$10)-1)*costos!$K$16)))</f>
        <v>9636.1986637168593</v>
      </c>
      <c r="CK123" s="268">
        <f>CK$10*(1+((H123/H$10-1)*costos!$B$17+((I123*F123)/(I$10*F$10)-1)*costos!$E$17+((J123*F123)/((J$10*F$10)-1)*costos!$F$17/3+((K123*F123)/(K$10*F$10)-1)*costos!$F$17/3+((U123*F123)/(U$10*F$10)-1)*costos!$F$17/3+((L123*F123)/(L$10*F$10)-1)*costos!$G$17+((AX123)/(AX$10)-1)*costos!$J$17+((V123*F123)/(V$10*F$10)-1)*costos!$K$17)))</f>
        <v>9699.0935338350901</v>
      </c>
      <c r="CL123" s="268">
        <f>CL$10*(1+((H123/H$10-1)*costos!$B$18+((I123*F123)/(I$10*F$10)-1)*costos!$E$18+((J123*F123)/((J$10*F$10)-1)*costos!$F$18/3+((K123*F123)/(K$10*F$10)-1)*costos!$F$18/3+((U123*F123)/(U$10*F$10)-1)*costos!$F$18/3+((L123*F123)/(L$10*F$10)-1)*costos!$G$18+((AY123)/(AY$10)-1)*costos!$J$18+((V123*F123)/(V$10*F$10)-1)*costos!$K$18)))</f>
        <v>12145.688093442486</v>
      </c>
      <c r="CM123" s="268">
        <f>CM$10*(1+((H123/H$10-1)*costos!$B$19+((I123*F123)/(I$10*F$10)-1)*costos!$E$19+((J123*F123)/((J$10*F$10)-1)*costos!$F$19/3+((K123*F123)/(K$10*F$10)-1)*costos!$F$19/3+((U123*F123)/(U$10*F$10)-1)*costos!$F$19/3+((L123*F123)/(L$10*F$10)-1)*costos!$G$19+((AZ123)/(AZ$10)-1)*costos!$J$19+((V123*F123)/(V$10*F$10)-1)*costos!$K$19)))</f>
        <v>9303.2478631653739</v>
      </c>
      <c r="CN123" s="268">
        <f>CN$10*(1+((H123/H$10-1)*costos!$B$20+((I123*F123)/(I$10*F$10)-1)*costos!$E$20+((J123*F123)/((J$10*F$10)-1)*costos!$F$20/3+((K123*F123)/(K$10*F$10)-1)*costos!$F$20/3+((U123*F123)/(U$10*F$10)-1)*costos!$F$20/3+((L123*F123)/(L$10*F$10)-1)*costos!$G$20+((BA123)/(BA$10)-1)*costos!$J$20+((V123*F123)/(V$10*F$10)-1)*costos!$K$20)))</f>
        <v>9419.4376976511248</v>
      </c>
      <c r="CO123" s="268">
        <f t="shared" si="472"/>
        <v>10141.866797023518</v>
      </c>
      <c r="CP123" s="268">
        <f>CP$10*(1+((H123/H$10-1)*costos!$B$22+((I123*F123)/(I$10*F$10)-1)*costos!$E$22+((J123*F123)/((J$10*F$10)-1)*costos!$F$22/3+((K123*F123)/(K$10*F$10)-1)*costos!$F$22/3+((U123*F123)/(U$10*F$10)-1)*costos!$F$22/3+((L123*F123)/(L$10*F$10)-1)*costos!$G$22+(((AVERAGE(AI123:AL123))/((AVERAGE(AI$10:AL$10))-1)*costos!$J$22+((V123*F123)/(V$10*F$10)-1)*costos!$K$22)))))</f>
        <v>11211.567302520887</v>
      </c>
      <c r="CQ123" s="92">
        <f>CQ$10*(1+((H123/H$10-1)*costos!$B$23+((I123*F123)/(I$10*F$10)-1)*costos!$E$23+((J123*F123)/((J$10*F$10)-1)*costos!$F$23/3+((K123*F123)/(K$10*F$10)-1)*costos!$F$23/3+((U123*F123)/(U$10*F$10)-1)*costos!$F$23/3+((L123*F123)/(L$10*F$10)-1)*costos!$G$23+((AN123)/(AN$10)-1)*costos!$J$23+((V123*F123)/(V$10*F$10)-1)*costos!$K$23)))</f>
        <v>9986.8223791467026</v>
      </c>
      <c r="CR123" s="268">
        <f>CR$10*(1+((H123/H$10-1)*costos!$B$24+((I123*F123)/(I$10*F$10)-1)*costos!$E$24+((J123*F123)/((J$10*F$10)-1)*costos!$F$24/3+((K123*F123)/(K$10*F$10)-1)*costos!$F$24/3+((U123*F123)/(U$10*F$10)-1)*costos!$F$24/3+((L123*F123)/(L$10*F$10)-1)*costos!$G$24+((AO123)/(AO$10)-1)*costos!$J$24+((V123*F123)/(V$10*F$10)-1)*costos!$K$24)))</f>
        <v>10218.436955342489</v>
      </c>
      <c r="CS123" s="92">
        <f t="shared" si="352"/>
        <v>10102.629667244597</v>
      </c>
      <c r="CT123" s="268">
        <f>CT$10*(1+((H123/H$10-1)*costos!$B$25+((I123*F123)/(I$10*F$10)-1)*costos!$E$25+((J123*F123)/((J$10*F$10)-1)*costos!$F$25/3+((K123*F123)/(K$10*F$10)-1)*costos!$F$25/3+((U123*F123)/(U$10*F$10)-1)*costos!$F$25/3+((L123*F123)/(L$10*F$10)-1)*costos!$G$25+((AQ123)/(AQ$10)-1)*costos!$J$25+((V123*F123)/(V$10*F$10)-1)*costos!$K$25)))</f>
        <v>9294.4353883969306</v>
      </c>
      <c r="CU123" s="268">
        <f>CU$10*(1+((H123/H$10-1)*costos!$B$26+((I123*F123)/(I$10*F$10)-1)*costos!$E$26+((J123*F123)/((J$10*F$10)-1)*costos!$F$26/3+((K123*F123)/(K$10*F$10)-1)*costos!$F$26/3+((U123*F123)/(U$10*F$10)-1)*costos!$F$26/3+((L123*F123)/(L$10*F$10)-1)*costos!$G$26+((AR123)/(AR$10)-1)*costos!$J$26+((V123*F123)/(V$10*F$10)-1)*costos!$K$26)))</f>
        <v>9823.2860956554123</v>
      </c>
      <c r="CV123" s="268">
        <f>CV$10*(1+((H123/H$10-1)*costos!$B$27+((I123*F123)/(I$10*F$10)-1)*costos!$E$27+((J123*F123)/((J$10*F$10)-1)*costos!$F$27/3+((K123*F123)/(K$10*F$10)-1)*costos!$F$27/3+((U123*F123)/(U$10*F$10)-1)*costos!$F$27/3+((L123*F123)/(L$10*F$10)-1)*costos!$G$27+((AS123)/(AS$10)-1)*costos!$J$27+((V123*F123)/(V$10*F$10)-1)*costos!$K$27)))</f>
        <v>9681.6108463475666</v>
      </c>
      <c r="CW123" s="268">
        <f>CW$10*(1+((H123/H$10-1)*costos!$B$28+((I123*F123)/(I$10*F$10)-1)*costos!$E$28+((J123*F123)/((J$10*F$10)-1)*costos!$F$28/3+((K123*F123)/(K$10*F$10)-1)*costos!$F$28/3+((U123*F123)/(U$10*F$10)-1)*costos!$F$28/3+((L123*F123)/(L$10*F$10)-1)*costos!$G$28+((AS123)/(AS$10)-1)*costos!$J$28+((V123*F123)/(V$10*F$10)-1)*costos!$K$28)))</f>
        <v>9681.6108463475666</v>
      </c>
      <c r="CX123" s="268">
        <f t="shared" si="473"/>
        <v>9728.8359294501806</v>
      </c>
      <c r="CY123" s="268">
        <f>CY$10*(1+((H123/H$10-1)*costos!$B$32+((I123*F123)/(I$10*F$10)-1)*costos!$E$32+((J123*F123)/((J$10*F$10)-1)*costos!$F$32/3+((K123*F123)/(K$10*F$10)-1)*costos!$F$32/3+((U123*F123)/(U$10*F$10)-1)*costos!$F$32/3+((L123*F123)/(L$10*F$10)-1)*costos!$G$32+((AG123)/(AG$10)-1)*costos!$J$32+((V123*F123)/(V$10*F$10)-1)*costos!$K$32)))</f>
        <v>10298.80509480927</v>
      </c>
      <c r="CZ123" s="69">
        <f>CZ$10*(1+((H123/H$10-1)*costos!$B$31+((I123*F123)/(I$10*F$10)-1)*costos!$E$30+((J123*F123)/((J$10*F$10)-1)*costos!$F$30/3+((K123*F123)/(K$10*F$10)-1)*costos!$F$30/3+((U123*F123)/(U$10*F$10)-1)*costos!$F$30/3+((L123*F123)/(L$10*F$10)-1)*costos!$G$30+((BG123)/(BG$10)-1)*costos!$J$30+((V123*F123)/(V$10*F$10)-1)*costos!$K$30)))</f>
        <v>12705.498256874474</v>
      </c>
      <c r="DA123" s="69">
        <f>DA$10*(1+((H123/H$10-1)*costos!$B$31+((I123*F123)/(I$10*F$10)-1)*costos!$E$31+((J123*F123)/((J$10*F$10)-1)*costos!$F$31/3+((K123*F123)/(K$10*F$10)-1)*costos!$F$31/3+((U123*F123)/(U$10*F$10)-1)*costos!$F$31/3+((L123*F123)/(L$10*F$10)-1)*costos!$G$31+((BJ123)/(BJ$10)-1)*costos!$J$31+((V123*F123)/(V$10*F$10)-1)*costos!$K$31)))</f>
        <v>10499.784339555225</v>
      </c>
      <c r="DB123" s="69">
        <f>DB$10*(1+((H123/H$10-1)*costos!$B$36+((I123*F123)/(I$10*F$10)-1)*costos!$E$36+((J123*F123)/((J$10*F$10)-1)*costos!$F$36/3+((K123*F123)/(K$10*F$10)-1)*costos!$F$36/3+((U123*F123)/(U$10*F$10)-1)*costos!$F$36/3+((L123*F123)/(L$10*F$10)-1)*costos!$G$36+((BK123)/(BK$10)-1)*costos!$J$36+((V123*F123)/(V$10*F$10)-1)*costos!$K$36)))</f>
        <v>10606.96407236973</v>
      </c>
      <c r="DC123" s="69">
        <f>DC$10*(1+((H123/H$10-1)*costos!$B$37+((I123*F123)/(I$10*F$10)-1)*costos!$E$37+((U123*F123)/(U$10*F$10)-1)*costos!$F$37+((L123*F123)/(L$10*F$10)-1)*costos!$G$37+((BN123)/(BN$10)-1)*costos!$J$37+((V123*F123)/(V$10*F$10)-1)*costos!$K$37))</f>
        <v>10504.781115858304</v>
      </c>
      <c r="DD123" s="69">
        <f>DD$10*(1+((H123/H$10-1)*costos!$B$39+((I123*F123)/(I$10*F$10)-1)*costos!$E$39+((U123*F123)/(U$10*F$10)-1)*costos!$F$39+((L123*F123)/(L$10*F$10)-1)*costos!$G$39+((BR123)/(BR$10)-1)*costos!$J$39+((V123*F123)/(V$10*F$10)-1)*costos!$K$39))</f>
        <v>10288.282608386113</v>
      </c>
      <c r="DE123" s="69">
        <f>DD$10*(1+((H123/H$10-1)*costos!$B$35+((I123*F123)/(I$10*F$10)-1)*costos!$E$35+((U123*F123)/(U$10*F$10)-1)*costos!$F$35+((L123*F123)/(L$10*F$10)-1)*costos!$G$35+((BR123)/(BR$10)-1)*costos!$J$35+((V123*F123)/(V$10*F$10)-1)*costos!$K$35))</f>
        <v>9126.68657943783</v>
      </c>
      <c r="DF123" s="69">
        <f>DF$10*(1+((H123/H$10-1)*costos!$B$40+((I123*F123)/(I$10*F$10)-1)*costos!$E$40+((U123*F123)/(U$10*F$10)-1)*costos!$F$40+((L123*F123)/(L$10*F$10)-1)*costos!$G$40+((BP123)/(BP$10)-1)*costos!$J$40+((V123*F123)/(V$10*F$10)-1)*costos!$K$40))</f>
        <v>10860.231123396537</v>
      </c>
      <c r="DG123" s="268">
        <f t="shared" ref="DG123:DG128" si="484">+((DE123/$DE$10)*100+DF123)/2</f>
        <v>9993.4588514171846</v>
      </c>
      <c r="DH123" s="69">
        <f>DH$10*(1+((H123/H$10-1)*costos!$B$34+((I123*F123)/(I$10*F$10)-1)*costos!$E$34+((J123*F123)/((J$10*F$10)-1)*costos!$F$34/3+((K123*F123)/(K$10*F$10)-1)*costos!$F$34/3+((U123*F123)/(U$10*F$10)-1)*costos!$F$34/3+((L123*F123)/(L$10*F$10)-1)*costos!$G$34+((BV123)/(BV$10)-1)*costos!$J$34+((V123*F123)/(V$10*F$10)-1)*costos!$K$34)))</f>
        <v>10307.17543562585</v>
      </c>
      <c r="DI123" s="69">
        <f>DI$10*(1+((H123/H$10-1)*costos!$B$38+((I123*F123)/(I$10*F$10)-1)*costos!$E$38+((J123*F123)/((J$10*F$10)-1)*costos!$F$38/3+((K123*F123)/(K$10*F$10)-1)*costos!$F$38/3+((U123*F123)/(U$10*F$10)-1)*costos!$F$38/3+((L123*F123)/(L$10*F$10)-1)*costos!$G$38+((BU123)/(BU$10)-1)*costos!$J$38+((V123*F123)/(V$10*F$10)-1)*costos!$K$38)))</f>
        <v>10545.313325382322</v>
      </c>
      <c r="DK123" s="1">
        <v>690000</v>
      </c>
      <c r="DL123" s="1" t="s">
        <v>512</v>
      </c>
      <c r="DM123" s="1">
        <v>230000</v>
      </c>
      <c r="DN123" s="1" t="s">
        <v>512</v>
      </c>
      <c r="DO123" s="1">
        <v>1600000</v>
      </c>
      <c r="DP123" s="1" t="s">
        <v>663</v>
      </c>
      <c r="DQ123" s="1">
        <v>2300000</v>
      </c>
      <c r="DR123" s="1" t="s">
        <v>512</v>
      </c>
      <c r="DS123" s="1">
        <v>7100000</v>
      </c>
      <c r="DT123" s="1" t="s">
        <v>512</v>
      </c>
      <c r="DU123" s="1">
        <v>17800000</v>
      </c>
      <c r="DV123" s="1" t="s">
        <v>512</v>
      </c>
      <c r="DW123" s="1">
        <v>1000000</v>
      </c>
      <c r="DX123" s="1" t="s">
        <v>512</v>
      </c>
      <c r="DY123" s="1">
        <v>6970000</v>
      </c>
      <c r="DZ123" s="1" t="s">
        <v>663</v>
      </c>
      <c r="EA123" s="79">
        <f t="shared" si="353"/>
        <v>36770000</v>
      </c>
      <c r="EB123" s="1">
        <v>521230</v>
      </c>
      <c r="EC123" s="1" t="s">
        <v>512</v>
      </c>
      <c r="ED123" s="1">
        <v>231352</v>
      </c>
      <c r="EE123" s="143">
        <v>2025</v>
      </c>
      <c r="EF123" s="83">
        <v>196220</v>
      </c>
      <c r="EG123" s="143">
        <v>2025</v>
      </c>
      <c r="EH123" s="1">
        <v>51624909</v>
      </c>
      <c r="EI123" s="143">
        <v>2025</v>
      </c>
      <c r="EJ123" s="1">
        <v>5987778</v>
      </c>
      <c r="EK123" s="6">
        <v>2025</v>
      </c>
      <c r="EL123" s="1">
        <v>11967429</v>
      </c>
      <c r="EM123" s="6">
        <v>2025</v>
      </c>
      <c r="EN123" s="1">
        <v>2970570</v>
      </c>
      <c r="EO123" s="6">
        <v>2025</v>
      </c>
      <c r="EP123" s="83">
        <v>9358</v>
      </c>
      <c r="EQ123" s="83">
        <v>4000000</v>
      </c>
      <c r="ER123" s="83">
        <f t="shared" si="478"/>
        <v>79911</v>
      </c>
      <c r="ET123" s="82">
        <f t="shared" si="474"/>
        <v>19357</v>
      </c>
      <c r="EU123" s="82">
        <f t="shared" si="474"/>
        <v>18703</v>
      </c>
      <c r="EV123" s="82">
        <f t="shared" si="474"/>
        <v>8927</v>
      </c>
      <c r="EW123" s="82">
        <f t="shared" si="474"/>
        <v>17408</v>
      </c>
      <c r="EX123" s="79">
        <f t="shared" si="354"/>
        <v>64395</v>
      </c>
      <c r="EY123" s="82">
        <f t="shared" si="394"/>
        <v>20031</v>
      </c>
      <c r="EZ123" s="83">
        <f t="shared" si="394"/>
        <v>38177</v>
      </c>
      <c r="FA123" s="82">
        <f t="shared" si="431"/>
        <v>19900</v>
      </c>
      <c r="FB123" s="82">
        <f t="shared" si="406"/>
        <v>18184</v>
      </c>
      <c r="FC123" s="79">
        <f t="shared" si="452"/>
        <v>38084</v>
      </c>
      <c r="FD123" s="83">
        <f t="shared" si="395"/>
        <v>60376</v>
      </c>
      <c r="FF123" s="1">
        <v>1000000</v>
      </c>
      <c r="FG123" s="1" t="s">
        <v>512</v>
      </c>
      <c r="FH123" s="1">
        <v>1600000</v>
      </c>
      <c r="FI123" s="1" t="s">
        <v>512</v>
      </c>
      <c r="FJ123" s="1">
        <v>4800000</v>
      </c>
      <c r="FK123" s="1" t="s">
        <v>512</v>
      </c>
      <c r="FL123" s="1">
        <v>5100000</v>
      </c>
      <c r="FM123" s="1" t="s">
        <v>512</v>
      </c>
      <c r="FN123" s="1">
        <v>49000000</v>
      </c>
      <c r="FO123" s="1" t="s">
        <v>512</v>
      </c>
      <c r="FP123" s="1">
        <v>50300000</v>
      </c>
      <c r="FQ123" s="1" t="s">
        <v>512</v>
      </c>
      <c r="FR123" s="1">
        <v>3000000</v>
      </c>
      <c r="FS123" s="1" t="s">
        <v>512</v>
      </c>
      <c r="FT123" s="1">
        <v>18510000</v>
      </c>
      <c r="FU123" s="1" t="s">
        <v>512</v>
      </c>
      <c r="FV123" s="79">
        <f t="shared" si="355"/>
        <v>130710000</v>
      </c>
      <c r="FW123" s="83">
        <v>1895131</v>
      </c>
      <c r="FX123" s="1" t="s">
        <v>512</v>
      </c>
      <c r="FY123" s="1">
        <v>133369</v>
      </c>
      <c r="FZ123" s="79">
        <f t="shared" si="377"/>
        <v>872657</v>
      </c>
      <c r="GA123" s="86" t="str">
        <f t="shared" si="462"/>
        <v>jul24 jun25</v>
      </c>
      <c r="GB123" s="1">
        <v>19908335</v>
      </c>
      <c r="GC123" s="6">
        <v>2025</v>
      </c>
      <c r="GD123" s="83">
        <v>2213559</v>
      </c>
      <c r="GE123" s="83">
        <v>410324</v>
      </c>
      <c r="GF123" s="83">
        <v>1003144</v>
      </c>
      <c r="GG123" s="83">
        <v>129694</v>
      </c>
      <c r="GH123" s="79">
        <f t="shared" si="450"/>
        <v>1543162</v>
      </c>
      <c r="GI123" s="82">
        <f t="shared" si="463"/>
        <v>1302556</v>
      </c>
      <c r="GJ123" s="82">
        <f t="shared" si="463"/>
        <v>682423</v>
      </c>
      <c r="GK123" s="82">
        <f t="shared" si="463"/>
        <v>1391495</v>
      </c>
      <c r="GL123" s="82">
        <f t="shared" si="463"/>
        <v>305049</v>
      </c>
      <c r="GM123" s="82">
        <f t="shared" si="463"/>
        <v>260419</v>
      </c>
      <c r="GN123" s="79">
        <f t="shared" si="357"/>
        <v>2639386</v>
      </c>
      <c r="GO123" s="82">
        <f t="shared" si="464"/>
        <v>201734</v>
      </c>
      <c r="GP123" s="82">
        <f t="shared" si="464"/>
        <v>75000</v>
      </c>
      <c r="GQ123" s="83">
        <v>27442</v>
      </c>
      <c r="GR123" s="1">
        <v>34035</v>
      </c>
      <c r="GS123" s="79">
        <f t="shared" si="412"/>
        <v>34858.26</v>
      </c>
      <c r="GT123" s="82">
        <f t="shared" si="407"/>
        <v>2111561</v>
      </c>
      <c r="GU123" s="83">
        <f>32702+7417</f>
        <v>40119</v>
      </c>
      <c r="GV123" s="83">
        <f>8842+18327</f>
        <v>27169</v>
      </c>
      <c r="GW123" s="79">
        <f t="shared" si="455"/>
        <v>792717</v>
      </c>
      <c r="GX123" s="83">
        <v>36041.686000000002</v>
      </c>
      <c r="GY123" s="1" t="s">
        <v>802</v>
      </c>
      <c r="GZ123" s="83">
        <v>119643</v>
      </c>
      <c r="HA123" s="1">
        <v>260304</v>
      </c>
      <c r="HB123" s="79">
        <f t="shared" si="437"/>
        <v>3189798</v>
      </c>
      <c r="HC123" s="86" t="str">
        <f t="shared" si="465"/>
        <v>jul24 jun25</v>
      </c>
      <c r="HD123" s="1">
        <v>66995</v>
      </c>
      <c r="HE123" s="79">
        <f t="shared" si="380"/>
        <v>788583</v>
      </c>
      <c r="HF123" s="86" t="str">
        <f t="shared" si="466"/>
        <v>jul24 jun25</v>
      </c>
      <c r="HG123" s="1">
        <v>174000</v>
      </c>
      <c r="HH123" s="79">
        <f t="shared" si="438"/>
        <v>2322000</v>
      </c>
      <c r="HI123" s="86" t="str">
        <f t="shared" si="467"/>
        <v>jul24 jun25</v>
      </c>
      <c r="HJ123" s="1">
        <v>85725</v>
      </c>
      <c r="HK123" s="79">
        <f t="shared" si="475"/>
        <v>63357.406299286791</v>
      </c>
      <c r="HL123" s="86" t="str">
        <f t="shared" si="468"/>
        <v>jul24 jun25</v>
      </c>
      <c r="HM123" s="79">
        <f t="shared" si="358"/>
        <v>2385357.406299287</v>
      </c>
      <c r="HN123" s="87">
        <f t="shared" si="297"/>
        <v>0.10345181981851437</v>
      </c>
      <c r="HO123" s="1">
        <v>928598285</v>
      </c>
      <c r="HP123" s="79">
        <f t="shared" si="386"/>
        <v>11074.976371999999</v>
      </c>
      <c r="HQ123" s="86" t="str">
        <f t="shared" si="469"/>
        <v>jul24 jun25</v>
      </c>
      <c r="HU123" s="1">
        <v>990000</v>
      </c>
      <c r="HV123" s="1" t="s">
        <v>512</v>
      </c>
      <c r="HW123" s="1">
        <v>1460000</v>
      </c>
      <c r="HX123" s="1" t="s">
        <v>512</v>
      </c>
      <c r="HY123" s="83">
        <v>4730000</v>
      </c>
      <c r="HZ123" s="1" t="s">
        <v>512</v>
      </c>
      <c r="IA123" s="1">
        <f>(3+17.6)*1000000</f>
        <v>20600000</v>
      </c>
      <c r="IB123" s="1" t="s">
        <v>512</v>
      </c>
      <c r="IC123" s="1">
        <v>48000000</v>
      </c>
      <c r="ID123" s="1" t="s">
        <v>512</v>
      </c>
      <c r="IE123" s="1">
        <f t="shared" si="482"/>
        <v>850000.00000000012</v>
      </c>
      <c r="IF123" s="1" t="s">
        <v>512</v>
      </c>
      <c r="IG123" s="1">
        <f>(6.5+0.98)*1000000</f>
        <v>7480000</v>
      </c>
      <c r="IH123" s="1" t="s">
        <v>512</v>
      </c>
      <c r="II123" s="79">
        <f t="shared" si="479"/>
        <v>83120000</v>
      </c>
      <c r="IJ123" s="97">
        <f t="shared" si="483"/>
        <v>2.3888080854826579</v>
      </c>
      <c r="IK123" s="1" t="s">
        <v>512</v>
      </c>
      <c r="IL123" s="7">
        <v>45.9</v>
      </c>
      <c r="IM123" s="7">
        <v>50.33</v>
      </c>
      <c r="IN123" s="97">
        <v>191.3</v>
      </c>
      <c r="IO123" s="97">
        <v>18.239999999999998</v>
      </c>
      <c r="IP123" s="176">
        <f t="shared" si="480"/>
        <v>5.7424738987207355</v>
      </c>
      <c r="IQ123" s="176">
        <f t="shared" si="481"/>
        <v>16.079999999999998</v>
      </c>
      <c r="IR123" s="478">
        <f t="shared" si="459"/>
        <v>6.17</v>
      </c>
      <c r="IS123" s="478">
        <f t="shared" si="460"/>
        <v>5.03</v>
      </c>
      <c r="IT123" s="478">
        <f t="shared" si="460"/>
        <v>11</v>
      </c>
      <c r="IU123" s="478">
        <f t="shared" si="460"/>
        <v>1.1000000000000001</v>
      </c>
      <c r="IV123" s="94">
        <f t="shared" si="360"/>
        <v>17.130000000000003</v>
      </c>
      <c r="IY123" s="80">
        <v>1.88</v>
      </c>
      <c r="IZ123" s="88">
        <v>0.3</v>
      </c>
      <c r="JA123" s="1">
        <v>3555</v>
      </c>
      <c r="JB123" s="95">
        <f t="shared" si="433"/>
        <v>35.950000000000003</v>
      </c>
      <c r="JF123" s="2">
        <v>8.2931694499999988</v>
      </c>
      <c r="JG123" s="2">
        <v>31.537173230000004</v>
      </c>
      <c r="JH123" s="2">
        <v>93.147664890000001</v>
      </c>
      <c r="JI123" s="2">
        <v>261.44643857999995</v>
      </c>
      <c r="JJ123" s="2">
        <v>779.75587634999988</v>
      </c>
      <c r="JK123" s="2">
        <v>110.53778464999999</v>
      </c>
      <c r="JL123" s="2">
        <v>2319.5958480200002</v>
      </c>
      <c r="JM123" s="2">
        <v>71.619691849999995</v>
      </c>
      <c r="JN123" s="2">
        <v>236.97397905</v>
      </c>
      <c r="JO123" s="2">
        <v>34.03841525</v>
      </c>
      <c r="JP123" s="2">
        <v>0</v>
      </c>
      <c r="JQ123" s="2">
        <v>3.9518212999999998</v>
      </c>
      <c r="JR123" s="2">
        <v>1.66073888</v>
      </c>
      <c r="JS123" s="2">
        <v>0</v>
      </c>
      <c r="JT123" s="2">
        <v>1.7500000000000002E-2</v>
      </c>
      <c r="JU123" s="2">
        <v>71.170798900000008</v>
      </c>
      <c r="JV123" s="2">
        <v>13.992141960000001</v>
      </c>
      <c r="JW123" s="2">
        <v>28.994005870000006</v>
      </c>
      <c r="JX123" s="2">
        <v>59.92536432</v>
      </c>
      <c r="JY123" s="2">
        <v>0</v>
      </c>
      <c r="JZ123" s="2">
        <v>10.128860850000001</v>
      </c>
      <c r="KA123" s="2">
        <v>0.3278411</v>
      </c>
      <c r="KB123" s="2">
        <v>13.812450910000003</v>
      </c>
      <c r="KC123" s="2">
        <v>93.57534471000001</v>
      </c>
      <c r="KD123" s="2">
        <v>10.79513302</v>
      </c>
      <c r="KE123" s="2">
        <v>22.120083830000002</v>
      </c>
      <c r="KF123" s="2">
        <v>8.66231011</v>
      </c>
      <c r="KG123" s="2">
        <v>430.01977605999991</v>
      </c>
      <c r="KH123" s="2">
        <v>161.52973046</v>
      </c>
      <c r="KI123" s="2">
        <v>18.748166940000001</v>
      </c>
      <c r="KJ123" s="2">
        <v>2.3754365900000001</v>
      </c>
      <c r="KK123" s="171">
        <v>9.4337625599999999</v>
      </c>
      <c r="KL123" s="171">
        <v>0.4195122</v>
      </c>
      <c r="KM123" s="171">
        <v>0.44146342000000005</v>
      </c>
      <c r="KN123" s="171">
        <v>1.1723032399999997</v>
      </c>
      <c r="KO123" s="171">
        <v>2.9999802899999999</v>
      </c>
      <c r="KP123" s="171">
        <v>5.4312239999999998E-2</v>
      </c>
      <c r="KQ123" s="171">
        <v>268.97309851</v>
      </c>
      <c r="KR123" s="171">
        <v>4.1750000000000002E-2</v>
      </c>
      <c r="KS123" s="171">
        <v>0.12341389</v>
      </c>
      <c r="KT123" s="171">
        <v>0.75058031000000003</v>
      </c>
      <c r="KU123" s="171">
        <v>0.43177300000000002</v>
      </c>
      <c r="KV123" s="171">
        <v>2.4320000000000001E-2</v>
      </c>
      <c r="KW123" s="171">
        <v>1.7702334399999997</v>
      </c>
      <c r="KX123" s="171">
        <v>0</v>
      </c>
      <c r="KY123" s="171">
        <v>0</v>
      </c>
      <c r="KZ123" s="171">
        <v>5.0584831100000001</v>
      </c>
      <c r="LA123" s="171">
        <v>1.03656288</v>
      </c>
      <c r="LB123" s="171">
        <v>5.50152E-2</v>
      </c>
      <c r="LC123" s="171">
        <v>5.6088829999999999E-2</v>
      </c>
      <c r="LD123" s="171">
        <v>0</v>
      </c>
      <c r="LE123" s="171">
        <v>3.0819160000000002E-2</v>
      </c>
      <c r="LF123" s="171">
        <v>1.6020799999999998E-2</v>
      </c>
      <c r="LG123" s="171">
        <v>16.453753389999996</v>
      </c>
      <c r="LH123" s="171">
        <v>3.5013919399999995</v>
      </c>
      <c r="LI123" s="171">
        <v>1.6709123100000001</v>
      </c>
      <c r="LJ123" s="171">
        <v>0</v>
      </c>
      <c r="LK123" s="171">
        <v>3.4373023600000003</v>
      </c>
      <c r="LL123" s="171">
        <v>8.1579769499999983</v>
      </c>
      <c r="LM123" s="171">
        <v>3.2200157200000006</v>
      </c>
      <c r="LN123" s="171">
        <v>0.19937177999999997</v>
      </c>
      <c r="LO123" s="171">
        <v>13.531613630000001</v>
      </c>
      <c r="LQ123" s="85">
        <f t="shared" si="439"/>
        <v>3762.5394987399995</v>
      </c>
      <c r="LR123" s="85">
        <f t="shared" si="440"/>
        <v>5.6300601800000001</v>
      </c>
      <c r="LS123" s="85">
        <f t="shared" si="441"/>
        <v>42.986147830000007</v>
      </c>
      <c r="LT123" s="85">
        <f t="shared" si="442"/>
        <v>10.456701950000001</v>
      </c>
      <c r="LU123" s="85">
        <f t="shared" si="443"/>
        <v>273.75200934999998</v>
      </c>
      <c r="LV123" s="85">
        <f t="shared" si="444"/>
        <v>1.7945534399999996</v>
      </c>
      <c r="LW123" s="85">
        <f t="shared" si="445"/>
        <v>1.0915780799999999</v>
      </c>
      <c r="LX123" s="85">
        <f t="shared" si="446"/>
        <v>4.683996E-2</v>
      </c>
      <c r="LZ123" s="83">
        <v>1526.74</v>
      </c>
      <c r="MA123" s="83">
        <v>1844.34</v>
      </c>
      <c r="MB123"/>
      <c r="MC123"/>
      <c r="MD123"/>
      <c r="MF123"/>
      <c r="MG123"/>
      <c r="MH123" s="83">
        <v>3554.08</v>
      </c>
      <c r="MI123" s="83">
        <v>892.12</v>
      </c>
      <c r="MJ123" s="83">
        <v>828.41</v>
      </c>
      <c r="MK123"/>
      <c r="ML123" s="83">
        <v>719.03</v>
      </c>
      <c r="MM123" s="83">
        <v>2174.02</v>
      </c>
      <c r="MN123" s="83"/>
      <c r="MO123" s="83">
        <v>852.48</v>
      </c>
      <c r="MP123" s="83">
        <v>2221.89</v>
      </c>
      <c r="MQ123" s="83">
        <v>2352.9899999999998</v>
      </c>
      <c r="MR123"/>
      <c r="MT123" s="83"/>
      <c r="MU123" s="83">
        <v>974.67</v>
      </c>
      <c r="MV123"/>
      <c r="MW123"/>
      <c r="MX123"/>
      <c r="MY123" s="83">
        <v>2259.63</v>
      </c>
      <c r="MZ123" s="83">
        <v>7053</v>
      </c>
      <c r="NA123" s="83">
        <v>3711</v>
      </c>
      <c r="NB123" s="83">
        <v>11390</v>
      </c>
      <c r="NC123" s="83">
        <v>1574.27</v>
      </c>
      <c r="ND123" s="83">
        <v>11790</v>
      </c>
      <c r="NE123" s="1">
        <v>7281</v>
      </c>
    </row>
    <row r="124" spans="1:369">
      <c r="A124" s="38">
        <f t="shared" si="417"/>
        <v>45839</v>
      </c>
      <c r="B124" s="36">
        <f t="shared" si="476"/>
        <v>7</v>
      </c>
      <c r="C124" s="36">
        <f t="shared" si="477"/>
        <v>2025</v>
      </c>
      <c r="D124" s="36">
        <f t="shared" si="347"/>
        <v>124</v>
      </c>
      <c r="E124" s="38">
        <f t="shared" si="418"/>
        <v>45839</v>
      </c>
      <c r="F124" s="7">
        <v>1267.0227</v>
      </c>
      <c r="G124" s="7">
        <v>9023.973</v>
      </c>
      <c r="H124" s="1">
        <f>[2]NACIONALES!$D112</f>
        <v>861195.71</v>
      </c>
      <c r="I124" s="7">
        <v>108</v>
      </c>
      <c r="J124" s="7">
        <v>610</v>
      </c>
      <c r="K124" s="7">
        <v>4</v>
      </c>
      <c r="L124" s="7">
        <v>37.9</v>
      </c>
      <c r="N124" s="5">
        <f>AVERAGE(1.23,1.27,1.3,1.25)</f>
        <v>1.2625</v>
      </c>
      <c r="O124" s="5">
        <f>AVERAGE(0.95,0.99,1.03,1)</f>
        <v>0.99249999999999994</v>
      </c>
      <c r="P124" s="78">
        <f t="shared" ref="P124:P137" si="485">IFERROR(+AVERAGE(N124:O124)*0.95*(F124),"")</f>
        <v>1357.1396895374999</v>
      </c>
      <c r="Q124" s="6">
        <v>20000</v>
      </c>
      <c r="R124" s="79">
        <f t="shared" si="419"/>
        <v>200000</v>
      </c>
      <c r="S124" s="6">
        <v>183.75</v>
      </c>
      <c r="T124" s="6">
        <f>483480/F124</f>
        <v>381.5874806347195</v>
      </c>
      <c r="U124" s="188">
        <v>176.3</v>
      </c>
      <c r="V124" s="143">
        <v>284.8</v>
      </c>
      <c r="W124" s="6">
        <v>197</v>
      </c>
      <c r="X124" s="6">
        <v>204.1</v>
      </c>
      <c r="Y124" s="79">
        <f t="shared" si="420"/>
        <v>232815.42112499999</v>
      </c>
      <c r="Z124" s="79">
        <f t="shared" si="421"/>
        <v>483480</v>
      </c>
      <c r="AA124" s="79">
        <f t="shared" si="422"/>
        <v>223376.10201</v>
      </c>
      <c r="AB124" s="79">
        <f t="shared" si="423"/>
        <v>360848.06495999999</v>
      </c>
      <c r="AC124" s="79">
        <f t="shared" si="424"/>
        <v>249603.4719</v>
      </c>
      <c r="AD124" s="79">
        <f t="shared" si="425"/>
        <v>258599.33306999999</v>
      </c>
      <c r="AE124" s="79">
        <f t="shared" si="426"/>
        <v>301453.73217749991</v>
      </c>
      <c r="AF124" s="83">
        <f>593.89*F123</f>
        <v>695945.30789473688</v>
      </c>
      <c r="AG124" s="83">
        <f>AVERAGE(305000,295000)</f>
        <v>300000</v>
      </c>
      <c r="AH124" s="83">
        <f>AVERAGE(950000,1150000)</f>
        <v>1050000</v>
      </c>
      <c r="AI124" s="5">
        <v>393.79</v>
      </c>
      <c r="AJ124" s="5">
        <v>212.16</v>
      </c>
      <c r="AK124">
        <v>131.94</v>
      </c>
      <c r="AL124" s="5">
        <v>240.13</v>
      </c>
      <c r="AM124" s="78">
        <f t="shared" si="458"/>
        <v>281.56540000000001</v>
      </c>
      <c r="AN124" s="7">
        <v>25735.42600896861</v>
      </c>
      <c r="AO124" s="7">
        <v>21669.272727272728</v>
      </c>
      <c r="AP124" s="78">
        <f t="shared" si="470"/>
        <v>21669.272727272728</v>
      </c>
      <c r="AQ124" s="7">
        <v>8798.8505747126437</v>
      </c>
      <c r="AR124" s="7">
        <v>11052.363636363636</v>
      </c>
      <c r="AS124" s="7">
        <v>10187.054545454546</v>
      </c>
      <c r="AT124" s="7">
        <v>13633.181818181818</v>
      </c>
      <c r="AU124" s="78">
        <f t="shared" si="348"/>
        <v>11624.199999999999</v>
      </c>
      <c r="AV124" s="7">
        <v>6823.6842105263158</v>
      </c>
      <c r="AW124" s="7">
        <v>11568.181818181818</v>
      </c>
      <c r="AX124" s="7">
        <v>5716.6727272727258</v>
      </c>
      <c r="AY124" s="7">
        <v>13979.615384615385</v>
      </c>
      <c r="AZ124" s="7">
        <v>7110.227272727273</v>
      </c>
      <c r="BA124" s="7">
        <v>3625</v>
      </c>
      <c r="BB124" s="94">
        <f t="shared" si="345"/>
        <v>8193.7078088578091</v>
      </c>
      <c r="BC124" s="68">
        <v>41015</v>
      </c>
      <c r="BD124" s="68">
        <v>36915</v>
      </c>
      <c r="BE124" s="97">
        <v>25700</v>
      </c>
      <c r="BF124" s="97">
        <v>19000</v>
      </c>
      <c r="BG124" s="94">
        <f t="shared" si="349"/>
        <v>30657.5</v>
      </c>
      <c r="BH124" s="7">
        <v>3807</v>
      </c>
      <c r="BI124" s="97">
        <v>712</v>
      </c>
      <c r="BJ124" s="78">
        <f t="shared" si="350"/>
        <v>4519</v>
      </c>
      <c r="BK124" s="7">
        <v>2978</v>
      </c>
      <c r="BL124" s="7">
        <v>3749</v>
      </c>
      <c r="BM124" s="94">
        <f t="shared" si="351"/>
        <v>3363.5</v>
      </c>
      <c r="BN124" s="5">
        <v>473.26</v>
      </c>
      <c r="BO124" s="84">
        <f>AVERAGE(2647,2511,2420)</f>
        <v>2526</v>
      </c>
      <c r="BP124" s="84">
        <f>AVERAGE(2466,2466,2166)</f>
        <v>2366</v>
      </c>
      <c r="BQ124" s="94">
        <f t="shared" si="435"/>
        <v>2446</v>
      </c>
      <c r="BR124" s="7">
        <f>AVERAGE(1642.91,1636.99,1632.78)</f>
        <v>1637.5600000000002</v>
      </c>
      <c r="BS124" s="97">
        <v>6500</v>
      </c>
      <c r="BT124" s="97">
        <f>1.42*F124</f>
        <v>1799.1722339999999</v>
      </c>
      <c r="BU124" s="79">
        <f>+BS124*12+BT124*3</f>
        <v>83397.516701999994</v>
      </c>
      <c r="BV124" s="7">
        <v>1926</v>
      </c>
      <c r="BW124" s="7">
        <v>3507.8</v>
      </c>
      <c r="BY124" s="268">
        <f>BY$10*(1+((H124/H$10-1)*costos!$B$5+((I124*F124)/(I$10*F$10)-1)*costos!$E$5+((J124*F124)/((J$10*F$10)-1)*costos!$F$5/3+((K124*F124)/(K$10*F$10)-1)*costos!$F$5/3+((U124*F124)/(U$10*F$10)-1)*costos!$F$5/3+((L124*F124)/(L$10*F$10)-1)*costos!$G$5+((N124*F124)/(N$10*F$10)-1)*costos!$J$5+((V124*F124)/(V$10*F$10)-1)*costos!$K$5)))</f>
        <v>10641.228774787414</v>
      </c>
      <c r="BZ124" s="268">
        <f>$BZ$10*(1+((H124/$H$10-1)*costos!$B$6+((I124*F124)/($I$10*$F$10)-1)*costos!$E$6+((J124*F124)/(($J$10*$F$10)-1)*costos!$F$6/3+((K124*F124)/($K$10*$F$10)-1)*costos!$F$6/3+((U124*F124)/($U$10*$F$10)-1)*costos!$F$6/3+((L124*F124)/($L$10*$F$10)-1)*costos!$G$6+((Q124*F124)/($Q$10*$F$10)-1)*costos!$J$6+((V124*F124)/($V$10*$F$10)-1)*costos!$K$6)))</f>
        <v>10811.809214634</v>
      </c>
      <c r="CA124" s="268">
        <f>CA$10*(1+((H124/H$10-1)*costos!$B$7+((I124*F124)/(I$10*F$10)-1)*costos!$E$7+((J124*F124)/((J$10*F$10)-1)*costos!$F$7/3+((K124*F124)/(K$10*F$10)-1)*costos!$F$7/3+((U124*F124)/(U$10*F$10)-1)*costos!$F$7/3+((L124*F124)/(L$10*F$10)-1)*costos!$G$7+((S124*F124)/(S$10*F$10)-1)*costos!$J$7+((V124*F124)/(V$10*F$10)-1)*costos!$K$7)))</f>
        <v>11198.255286402635</v>
      </c>
      <c r="CB124" s="268">
        <f>CB$10*(1+((H124/H$10-1)*costos!$B$8+((I124*F124)/(I$10*F$10)-1)*costos!$E$8+((J124*F124)/((J$10*F$10)-1)*costos!$F$8/3+((K124*F124)/(K$10*F$10)-1)*costos!$F$8/3+((U124*F124)/(U$10*F$10)-1)*costos!$F$8/3+((L124*F124)/(L$10*F$10)-1)*costos!$G$8+((T124*F124)/(T$10*F$10)-1)*costos!$J$8+((V124*F124)/(V$10*F$10)-1)*costos!$K$8)))</f>
        <v>11624.712243676282</v>
      </c>
      <c r="CC124" s="268">
        <f>CC$10*(1+((H124/H$10-1)*costos!$B$9+((I124*F124)/(I$10*F$10)-1)*costos!$E$9+((J124*F124)/((J$10*F$10)-1)*costos!$F$9/3+((K124*F124)/(K$10*F$10)-1)*costos!$F$9/3+((U124*F124)/(U$10*F$10)-1)*costos!$F$9/3+((L124*F124)/(L$10*F$10)-1)*costos!$G$9+((U124*F124)/(U$10*F$10)-1)*costos!$J$9+((V124*F124)/(V$10*F$10)-1)*costos!$K$9)))</f>
        <v>11155.473204249622</v>
      </c>
      <c r="CD124" s="268">
        <f>CD$10*(1+((H124/H$10-1)*costos!$B$11+((I124*F124)/(I$10*F$10)-1)*costos!$E$11+((J124*F124)/((J$10*F$10)-1)*costos!$F$11/3+((K124*F124)/(K$10*F$10)-1)*costos!$F$11/3+((U124*F124)/(U$10*F$10)-1)*costos!$F$11/3+((L124*F124)/(L$10*F$10)-1)*costos!$G$11+((V124*F124)/(V$10*F$10)-1)*costos!$J$11+((V124*F124)/(V$10*F$10)-1)*costos!$K$11)))</f>
        <v>11164.942641718781</v>
      </c>
      <c r="CE124" s="268">
        <f>CE$10*(1+((H124/H$10-1)*costos!$B$12+((I124*F124)/(I$10*F$10)-1)*costos!$E$12+((J124*F124)/((J$10*F$10)-1)*costos!$F$12/3+((K124*F124)/(K$10*F$10)-1)*costos!$F$12/3+((U124*F124)/(U$10*F$10)-1)*costos!$F$12/3+((L124*F124)/(L$10*F$10)-1)*costos!$G$12+((W124*F124)/(W$10*F$10)-1)*costos!$J$12+((V124*F124)/(V$10*F$10)-1)*costos!$K$12)))</f>
        <v>11564.172037877202</v>
      </c>
      <c r="CF124" s="268">
        <f>CF$10*(1+((H124/H$10-1)*costos!$B$13+((I124*F124)/(I$10*F$10)-1)*costos!$E$13+((J124*F124)/((J$10*F$10)-1)*costos!$F$13/3+((K124*F124)/(K$10*F$10)-1)*costos!$F$13/3+((U124*F124)/(U$10*F$10)-1)*costos!$F$13/3+((L124*F124)/(L$10*F$10)-1)*costos!$G$13+((X124*F124)/(X$10*F$10)-1)*costos!$J$13+((V124*F124)/(V$10*F$10)-1)*costos!$K$13)))</f>
        <v>11531.719129052646</v>
      </c>
      <c r="CG124" s="268">
        <f t="shared" si="471"/>
        <v>11373.212423829527</v>
      </c>
      <c r="CH124" s="268">
        <f>CH$10*(1+((H124/H$10-1)*costos!$B$10+((I124*F124)/(I$10*F$10)-1)*costos!$E$10+((J124*F124)/((J$10*F$10)-1)*costos!$F$10/3+((K124*F124)/(K$10*F$10)-1)*costos!$F$10/3+((U124*F124)/(U$10*F$10)-1)*costos!$F$10/3+((L124*F124)/(L$10*F$10)-1)*costos!$G$10+((AF124)/(AF$10)-1)*costos!$J$10+((V124*F124)/(V$10*F$10)-1)*costos!$K$10)))</f>
        <v>10860.899786694172</v>
      </c>
      <c r="CI124" s="268">
        <f>CI$10*(1+((H124/H$10-1)*costos!$B$15+((I124*F124)/(I$10*F$10)-1)*costos!$E$15+((J124*F124)/((J$10*F$10)-1)*costos!$F$15/3+((K124*F124)/(K$10*F$10)-1)*costos!$F$15/3+((U124*F124)/(U$10*F$10)-1)*costos!$F$15/3+((L124*F124)/(L$10*F$10)-1)*costos!$G$15+((AV124)/(AV$10)-1)*costos!$J$15+((V124*F124)/(V$10*F$10)-1)*costos!$K$15)))</f>
        <v>11122.402877205886</v>
      </c>
      <c r="CJ124" s="268">
        <f>CJ$10*(1+((H124/H$10-1)*costos!$B$16+((I124*F124)/(I$10*F$10)-1)*costos!$E$16+((J124*F124)/((J$10*F$10)-1)*costos!$F$16/3+((K124*F124)/(K$10*F$10)-1)*costos!$F$16/3+((U124*F124)/(U$10*F$10)-1)*costos!$F$16/3+((L124*F124)/(L$10*F$10)-1)*costos!$G$16+((AW124)/(AW$10)-1)*costos!$J$16+((V124*F124)/(V$10*F$10)-1)*costos!$K$16)))</f>
        <v>10195.393620442359</v>
      </c>
      <c r="CK124" s="268">
        <f>CK$10*(1+((H124/H$10-1)*costos!$B$17+((I124*F124)/(I$10*F$10)-1)*costos!$E$17+((J124*F124)/((J$10*F$10)-1)*costos!$F$17/3+((K124*F124)/(K$10*F$10)-1)*costos!$F$17/3+((U124*F124)/(U$10*F$10)-1)*costos!$F$17/3+((L124*F124)/(L$10*F$10)-1)*costos!$G$17+((AX124)/(AX$10)-1)*costos!$J$17+((V124*F124)/(V$10*F$10)-1)*costos!$K$17)))</f>
        <v>10438.231925657143</v>
      </c>
      <c r="CL124" s="268">
        <f>CL$10*(1+((H124/H$10-1)*costos!$B$18+((I124*F124)/(I$10*F$10)-1)*costos!$E$18+((J124*F124)/((J$10*F$10)-1)*costos!$F$18/3+((K124*F124)/(K$10*F$10)-1)*costos!$F$18/3+((U124*F124)/(U$10*F$10)-1)*costos!$F$18/3+((L124*F124)/(L$10*F$10)-1)*costos!$G$18+((AY124)/(AY$10)-1)*costos!$J$18+((V124*F124)/(V$10*F$10)-1)*costos!$K$18)))</f>
        <v>12037.932341844653</v>
      </c>
      <c r="CM124" s="268">
        <f>CM$10*(1+((H124/H$10-1)*costos!$B$19+((I124*F124)/(I$10*F$10)-1)*costos!$E$19+((J124*F124)/((J$10*F$10)-1)*costos!$F$19/3+((K124*F124)/(K$10*F$10)-1)*costos!$F$19/3+((U124*F124)/(U$10*F$10)-1)*costos!$F$19/3+((L124*F124)/(L$10*F$10)-1)*costos!$G$19+((AZ124)/(AZ$10)-1)*costos!$J$19+((V124*F124)/(V$10*F$10)-1)*costos!$K$19)))</f>
        <v>9886.5657561516946</v>
      </c>
      <c r="CN124" s="268">
        <f>CN$10*(1+((H124/H$10-1)*costos!$B$20+((I124*F124)/(I$10*F$10)-1)*costos!$E$20+((J124*F124)/((J$10*F$10)-1)*costos!$F$20/3+((K124*F124)/(K$10*F$10)-1)*costos!$F$20/3+((U124*F124)/(U$10*F$10)-1)*costos!$F$20/3+((L124*F124)/(L$10*F$10)-1)*costos!$G$20+((BA124)/(BA$10)-1)*costos!$J$20+((V124*F124)/(V$10*F$10)-1)*costos!$K$20)))</f>
        <v>9962.6278051222253</v>
      </c>
      <c r="CO124" s="268">
        <f t="shared" si="472"/>
        <v>10581.339457193928</v>
      </c>
      <c r="CP124" s="268">
        <f>CP$10*(1+((H124/H$10-1)*costos!$B$22+((I124*F124)/(I$10*F$10)-1)*costos!$E$22+((J124*F124)/((J$10*F$10)-1)*costos!$F$22/3+((K124*F124)/(K$10*F$10)-1)*costos!$F$22/3+((U124*F124)/(U$10*F$10)-1)*costos!$F$22/3+((L124*F124)/(L$10*F$10)-1)*costos!$G$22+(((AVERAGE(AI124:AL124))/((AVERAGE(AI$10:AL$10))-1)*costos!$J$22+((V124*F124)/(V$10*F$10)-1)*costos!$K$22)))))</f>
        <v>11657.452820400305</v>
      </c>
      <c r="CQ124" s="92">
        <f>CQ$10*(1+((H124/H$10-1)*costos!$B$23+((I124*F124)/(I$10*F$10)-1)*costos!$E$23+((J124*F124)/((J$10*F$10)-1)*costos!$F$23/3+((K124*F124)/(K$10*F$10)-1)*costos!$F$23/3+((U124*F124)/(U$10*F$10)-1)*costos!$F$23/3+((L124*F124)/(L$10*F$10)-1)*costos!$G$23+((AN124)/(AN$10)-1)*costos!$J$23+((V124*F124)/(V$10*F$10)-1)*costos!$K$23)))</f>
        <v>10650.617103519511</v>
      </c>
      <c r="CR124" s="268">
        <f>CR$10*(1+((H124/H$10-1)*costos!$B$24+((I124*F124)/(I$10*F$10)-1)*costos!$E$24+((J124*F124)/((J$10*F$10)-1)*costos!$F$24/3+((K124*F124)/(K$10*F$10)-1)*costos!$F$24/3+((U124*F124)/(U$10*F$10)-1)*costos!$F$24/3+((L124*F124)/(L$10*F$10)-1)*costos!$G$24+((AO124)/(AO$10)-1)*costos!$J$24+((V124*F124)/(V$10*F$10)-1)*costos!$K$24)))</f>
        <v>11174.327736354258</v>
      </c>
      <c r="CS124" s="92">
        <f t="shared" si="352"/>
        <v>10912.472419936885</v>
      </c>
      <c r="CT124" s="268">
        <f>CT$10*(1+((H124/H$10-1)*costos!$B$25+((I124*F124)/(I$10*F$10)-1)*costos!$E$25+((J124*F124)/((J$10*F$10)-1)*costos!$F$25/3+((K124*F124)/(K$10*F$10)-1)*costos!$F$25/3+((U124*F124)/(U$10*F$10)-1)*costos!$F$25/3+((L124*F124)/(L$10*F$10)-1)*costos!$G$25+((AQ124)/(AQ$10)-1)*costos!$J$25+((V124*F124)/(V$10*F$10)-1)*costos!$K$25)))</f>
        <v>10059.313153966423</v>
      </c>
      <c r="CU124" s="268">
        <f>CU$10*(1+((H124/H$10-1)*costos!$B$26+((I124*F124)/(I$10*F$10)-1)*costos!$E$26+((J124*F124)/((J$10*F$10)-1)*costos!$F$26/3+((K124*F124)/(K$10*F$10)-1)*costos!$F$26/3+((U124*F124)/(U$10*F$10)-1)*costos!$F$26/3+((L124*F124)/(L$10*F$10)-1)*costos!$G$26+((AR124)/(AR$10)-1)*costos!$J$26+((V124*F124)/(V$10*F$10)-1)*costos!$K$26)))</f>
        <v>10570.368895743391</v>
      </c>
      <c r="CV124" s="268">
        <f>CV$10*(1+((H124/H$10-1)*costos!$B$27+((I124*F124)/(I$10*F$10)-1)*costos!$E$27+((J124*F124)/((J$10*F$10)-1)*costos!$F$27/3+((K124*F124)/(K$10*F$10)-1)*costos!$F$27/3+((U124*F124)/(U$10*F$10)-1)*costos!$F$27/3+((L124*F124)/(L$10*F$10)-1)*costos!$G$27+((AS124)/(AS$10)-1)*costos!$J$27+((V124*F124)/(V$10*F$10)-1)*costos!$K$27)))</f>
        <v>10499.376398972108</v>
      </c>
      <c r="CW124" s="268">
        <f>CW$10*(1+((H124/H$10-1)*costos!$B$28+((I124*F124)/(I$10*F$10)-1)*costos!$E$28+((J124*F124)/((J$10*F$10)-1)*costos!$F$28/3+((K124*F124)/(K$10*F$10)-1)*costos!$F$28/3+((U124*F124)/(U$10*F$10)-1)*costos!$F$28/3+((L124*F124)/(L$10*F$10)-1)*costos!$G$28+((AS124)/(AS$10)-1)*costos!$J$28+((V124*F124)/(V$10*F$10)-1)*costos!$K$28)))</f>
        <v>10499.376398972108</v>
      </c>
      <c r="CX124" s="268">
        <f t="shared" si="473"/>
        <v>10523.040564562536</v>
      </c>
      <c r="CY124" s="268">
        <f>CY$10*(1+((H124/H$10-1)*costos!$B$32+((I124*F124)/(I$10*F$10)-1)*costos!$E$32+((J124*F124)/((J$10*F$10)-1)*costos!$F$32/3+((K124*F124)/(K$10*F$10)-1)*costos!$F$32/3+((U124*F124)/(U$10*F$10)-1)*costos!$F$32/3+((L124*F124)/(L$10*F$10)-1)*costos!$G$32+((AG124)/(AG$10)-1)*costos!$J$32+((V124*F124)/(V$10*F$10)-1)*costos!$K$32)))</f>
        <v>10875.971523073436</v>
      </c>
      <c r="CZ124" s="69">
        <f>CZ$10*(1+((H124/H$10-1)*costos!$B$31+((I124*F124)/(I$10*F$10)-1)*costos!$E$30+((J124*F124)/((J$10*F$10)-1)*costos!$F$30/3+((K124*F124)/(K$10*F$10)-1)*costos!$F$30/3+((U124*F124)/(U$10*F$10)-1)*costos!$F$30/3+((L124*F124)/(L$10*F$10)-1)*costos!$G$30+((BG124)/(BG$10)-1)*costos!$J$30+((V124*F124)/(V$10*F$10)-1)*costos!$K$30)))</f>
        <v>13643.595200176569</v>
      </c>
      <c r="DA124" s="69">
        <f>DA$10*(1+((H124/H$10-1)*costos!$B$31+((I124*F124)/(I$10*F$10)-1)*costos!$E$31+((J124*F124)/((J$10*F$10)-1)*costos!$F$31/3+((K124*F124)/(K$10*F$10)-1)*costos!$F$31/3+((U124*F124)/(U$10*F$10)-1)*costos!$F$31/3+((L124*F124)/(L$10*F$10)-1)*costos!$G$31+((BJ124)/(BJ$10)-1)*costos!$J$31+((V124*F124)/(V$10*F$10)-1)*costos!$K$31)))</f>
        <v>11146.953028632286</v>
      </c>
      <c r="DB124" s="69">
        <f>DB$10*(1+((H124/H$10-1)*costos!$B$36+((I124*F124)/(I$10*F$10)-1)*costos!$E$36+((J124*F124)/((J$10*F$10)-1)*costos!$F$36/3+((K124*F124)/(K$10*F$10)-1)*costos!$F$36/3+((U124*F124)/(U$10*F$10)-1)*costos!$F$36/3+((L124*F124)/(L$10*F$10)-1)*costos!$G$36+((BK124)/(BK$10)-1)*costos!$J$36+((V124*F124)/(V$10*F$10)-1)*costos!$K$36)))</f>
        <v>11335.355339114154</v>
      </c>
      <c r="DC124" s="69">
        <f>DC$10*(1+((H124/H$10-1)*costos!$B$37+((I124*F124)/(I$10*F$10)-1)*costos!$E$37+((U124*F124)/(U$10*F$10)-1)*costos!$F$37+((L124*F124)/(L$10*F$10)-1)*costos!$G$37+((BN124)/(BN$10)-1)*costos!$J$37+((V124*F124)/(V$10*F$10)-1)*costos!$K$37))</f>
        <v>11213.278729002963</v>
      </c>
      <c r="DD124" s="69">
        <f>DD$10*(1+((H124/H$10-1)*costos!$B$39+((I124*F124)/(I$10*F$10)-1)*costos!$E$39+((U124*F124)/(U$10*F$10)-1)*costos!$F$39+((L124*F124)/(L$10*F$10)-1)*costos!$G$39+((BR124)/(BR$10)-1)*costos!$J$39+((V124*F124)/(V$10*F$10)-1)*costos!$K$39))</f>
        <v>10978.161593386281</v>
      </c>
      <c r="DE124" s="69">
        <f>DD$10*(1+((H124/H$10-1)*costos!$B$35+((I124*F124)/(I$10*F$10)-1)*costos!$E$35+((U124*F124)/(U$10*F$10)-1)*costos!$F$35+((L124*F124)/(L$10*F$10)-1)*costos!$G$35+((BR124)/(BR$10)-1)*costos!$J$35+((V124*F124)/(V$10*F$10)-1)*costos!$K$35))</f>
        <v>9679.2389874319124</v>
      </c>
      <c r="DF124" s="69">
        <f>DF$10*(1+((H124/H$10-1)*costos!$B$40+((I124*F124)/(I$10*F$10)-1)*costos!$E$40+((U124*F124)/(U$10*F$10)-1)*costos!$F$40+((L124*F124)/(L$10*F$10)-1)*costos!$G$40+((BP124)/(BP$10)-1)*costos!$J$40+((V124*F124)/(V$10*F$10)-1)*costos!$K$40))</f>
        <v>11515.799275731149</v>
      </c>
      <c r="DG124" s="268">
        <f t="shared" si="484"/>
        <v>10597.519131581532</v>
      </c>
      <c r="DH124" s="69">
        <f>DH$10*(1+((H124/H$10-1)*costos!$B$34+((I124*F124)/(I$10*F$10)-1)*costos!$E$34+((J124*F124)/((J$10*F$10)-1)*costos!$F$34/3+((K124*F124)/(K$10*F$10)-1)*costos!$F$34/3+((U124*F124)/(U$10*F$10)-1)*costos!$F$34/3+((L124*F124)/(L$10*F$10)-1)*costos!$G$34+((BV124)/(BV$10)-1)*costos!$J$34+((V124*F124)/(V$10*F$10)-1)*costos!$K$34)))</f>
        <v>10983.288429690827</v>
      </c>
      <c r="DI124" s="69">
        <f>DI$10*(1+((H124/H$10-1)*costos!$B$38+((I124*F124)/(I$10*F$10)-1)*costos!$E$38+((J124*F124)/((J$10*F$10)-1)*costos!$F$38/3+((K124*F124)/(K$10*F$10)-1)*costos!$F$38/3+((U124*F124)/(U$10*F$10)-1)*costos!$F$38/3+((L124*F124)/(L$10*F$10)-1)*costos!$G$38+((BU124)/(BU$10)-1)*costos!$J$38+((V124*F124)/(V$10*F$10)-1)*costos!$K$38)))</f>
        <v>11077.837423666198</v>
      </c>
      <c r="DK124" s="1">
        <v>690000</v>
      </c>
      <c r="DL124" s="1" t="s">
        <v>512</v>
      </c>
      <c r="DM124" s="1">
        <v>230000</v>
      </c>
      <c r="DN124" s="1" t="s">
        <v>512</v>
      </c>
      <c r="DO124" s="1">
        <v>1500000</v>
      </c>
      <c r="DP124" s="1" t="s">
        <v>663</v>
      </c>
      <c r="DQ124" s="1">
        <v>2300000</v>
      </c>
      <c r="DR124" s="1" t="s">
        <v>512</v>
      </c>
      <c r="DS124" s="1">
        <v>7100000</v>
      </c>
      <c r="DT124" s="1" t="s">
        <v>512</v>
      </c>
      <c r="DU124" s="1">
        <v>18000000</v>
      </c>
      <c r="DV124" s="1" t="s">
        <v>512</v>
      </c>
      <c r="DW124" s="1">
        <v>1000000</v>
      </c>
      <c r="DX124" s="1" t="s">
        <v>512</v>
      </c>
      <c r="DY124" s="1">
        <v>6970000</v>
      </c>
      <c r="DZ124" s="1" t="s">
        <v>663</v>
      </c>
      <c r="EA124" s="79">
        <f t="shared" si="353"/>
        <v>36870000</v>
      </c>
      <c r="EB124" s="1">
        <v>521230</v>
      </c>
      <c r="EC124" s="1" t="s">
        <v>512</v>
      </c>
      <c r="ED124" s="1">
        <v>231352</v>
      </c>
      <c r="EE124" s="143">
        <v>2025</v>
      </c>
      <c r="EF124" s="83">
        <v>196220</v>
      </c>
      <c r="EG124" s="143">
        <v>2025</v>
      </c>
      <c r="EH124" s="1">
        <v>51624909</v>
      </c>
      <c r="EI124" s="143">
        <v>2025</v>
      </c>
      <c r="EJ124" s="1">
        <v>5987778</v>
      </c>
      <c r="EK124" s="6">
        <v>2025</v>
      </c>
      <c r="EL124" s="1">
        <v>11967429</v>
      </c>
      <c r="EM124" s="6">
        <v>2025</v>
      </c>
      <c r="EN124" s="1">
        <v>2921701</v>
      </c>
      <c r="EO124" s="6">
        <v>2025</v>
      </c>
      <c r="EP124" s="1">
        <v>9245</v>
      </c>
      <c r="EQ124" s="83">
        <v>4000000</v>
      </c>
      <c r="ER124" s="83">
        <f t="shared" si="478"/>
        <v>79911</v>
      </c>
      <c r="ET124" s="82">
        <f t="shared" si="474"/>
        <v>19357</v>
      </c>
      <c r="EU124" s="82">
        <f t="shared" si="474"/>
        <v>18703</v>
      </c>
      <c r="EV124" s="82">
        <f t="shared" si="474"/>
        <v>8927</v>
      </c>
      <c r="EW124" s="82">
        <f t="shared" si="474"/>
        <v>17408</v>
      </c>
      <c r="EX124" s="79">
        <f t="shared" ref="EX124:EX129" si="486">+SUM(ET124:EW124)</f>
        <v>64395</v>
      </c>
      <c r="EY124" s="82">
        <f t="shared" si="394"/>
        <v>20031</v>
      </c>
      <c r="EZ124" s="83">
        <f t="shared" si="394"/>
        <v>38177</v>
      </c>
      <c r="FA124" s="82">
        <f t="shared" si="431"/>
        <v>19900</v>
      </c>
      <c r="FB124" s="82">
        <f t="shared" si="406"/>
        <v>18184</v>
      </c>
      <c r="FC124" s="79">
        <f t="shared" ref="FC124:FC129" si="487">+FB124+FA124</f>
        <v>38084</v>
      </c>
      <c r="FD124" s="83">
        <f t="shared" ref="FD124:FD129" si="488">+FD123</f>
        <v>60376</v>
      </c>
      <c r="FF124" s="1">
        <v>1050000</v>
      </c>
      <c r="FG124" s="1" t="s">
        <v>512</v>
      </c>
      <c r="FH124" s="1">
        <v>1600000</v>
      </c>
      <c r="FI124" s="1" t="s">
        <v>512</v>
      </c>
      <c r="FJ124" s="1">
        <v>5000000</v>
      </c>
      <c r="FK124" s="1" t="s">
        <v>512</v>
      </c>
      <c r="FL124" s="1">
        <v>5000000</v>
      </c>
      <c r="FM124" s="1" t="s">
        <v>512</v>
      </c>
      <c r="FN124" s="1">
        <v>49000000</v>
      </c>
      <c r="FO124" s="1" t="s">
        <v>512</v>
      </c>
      <c r="FP124" s="1">
        <v>50300000</v>
      </c>
      <c r="FQ124" s="1" t="s">
        <v>512</v>
      </c>
      <c r="FR124" s="1">
        <v>3100000</v>
      </c>
      <c r="FS124" s="1" t="s">
        <v>512</v>
      </c>
      <c r="FT124" s="1">
        <v>18510000</v>
      </c>
      <c r="FU124" s="1" t="s">
        <v>512</v>
      </c>
      <c r="FV124" s="79">
        <f t="shared" si="355"/>
        <v>130910000</v>
      </c>
      <c r="FW124" s="83">
        <v>1895131</v>
      </c>
      <c r="FX124" s="1" t="s">
        <v>512</v>
      </c>
      <c r="FY124" s="1">
        <v>190454</v>
      </c>
      <c r="FZ124" s="79">
        <f t="shared" si="377"/>
        <v>887113</v>
      </c>
      <c r="GA124" s="86" t="str">
        <f t="shared" si="462"/>
        <v>ago24 jul25</v>
      </c>
      <c r="GB124" s="1">
        <v>19908335</v>
      </c>
      <c r="GC124" s="6">
        <v>2025</v>
      </c>
      <c r="GD124" s="83">
        <v>2213559</v>
      </c>
      <c r="GE124" s="83">
        <v>410324</v>
      </c>
      <c r="GF124" s="83">
        <v>1003144</v>
      </c>
      <c r="GG124" s="83">
        <v>129694</v>
      </c>
      <c r="GH124" s="79">
        <f t="shared" si="450"/>
        <v>1543162</v>
      </c>
      <c r="GI124" s="82">
        <f t="shared" si="463"/>
        <v>1302556</v>
      </c>
      <c r="GJ124" s="82">
        <f t="shared" si="463"/>
        <v>682423</v>
      </c>
      <c r="GK124" s="82">
        <f t="shared" si="463"/>
        <v>1391495</v>
      </c>
      <c r="GL124" s="82">
        <f t="shared" si="463"/>
        <v>305049</v>
      </c>
      <c r="GM124" s="82">
        <f t="shared" si="463"/>
        <v>260419</v>
      </c>
      <c r="GN124" s="79">
        <f t="shared" si="357"/>
        <v>2639386</v>
      </c>
      <c r="GO124" s="82">
        <f t="shared" si="464"/>
        <v>201734</v>
      </c>
      <c r="GP124" s="82">
        <f t="shared" si="464"/>
        <v>75000</v>
      </c>
      <c r="GQ124" s="83">
        <v>23052</v>
      </c>
      <c r="GR124" s="1">
        <v>32041</v>
      </c>
      <c r="GS124" s="79">
        <f t="shared" si="412"/>
        <v>32732.560000000001</v>
      </c>
      <c r="GT124" s="82">
        <f t="shared" si="407"/>
        <v>2111561</v>
      </c>
      <c r="GU124" s="83">
        <f>22996+6590</f>
        <v>29586</v>
      </c>
      <c r="GV124" s="83">
        <f>8636+19368</f>
        <v>28004</v>
      </c>
      <c r="GW124" s="79">
        <f t="shared" si="455"/>
        <v>793712</v>
      </c>
      <c r="GX124" s="83">
        <v>36041.686000000002</v>
      </c>
      <c r="GY124" s="1" t="s">
        <v>802</v>
      </c>
      <c r="GZ124" s="83">
        <v>119643</v>
      </c>
      <c r="HA124" s="1">
        <v>290607</v>
      </c>
      <c r="HB124" s="79">
        <f t="shared" si="437"/>
        <v>3192763</v>
      </c>
      <c r="HC124" s="86" t="str">
        <f t="shared" si="465"/>
        <v>ago24 jul25</v>
      </c>
      <c r="HD124" s="1">
        <v>73740</v>
      </c>
      <c r="HE124" s="79">
        <f t="shared" si="380"/>
        <v>785247</v>
      </c>
      <c r="HF124" s="86" t="str">
        <f t="shared" si="466"/>
        <v>ago24 jul25</v>
      </c>
      <c r="HG124" s="1">
        <v>209000</v>
      </c>
      <c r="HH124" s="79">
        <f t="shared" si="438"/>
        <v>2319000</v>
      </c>
      <c r="HI124" s="86" t="str">
        <f t="shared" si="467"/>
        <v>ago24 jul25</v>
      </c>
      <c r="HJ124" s="1">
        <v>89464</v>
      </c>
      <c r="HK124" s="79">
        <f t="shared" si="475"/>
        <v>63871.823999999993</v>
      </c>
      <c r="HL124" s="86" t="str">
        <f t="shared" si="468"/>
        <v>ago24 jul25</v>
      </c>
      <c r="HM124" s="79">
        <f t="shared" si="358"/>
        <v>2382871.824</v>
      </c>
      <c r="HN124" s="87">
        <f t="shared" si="297"/>
        <v>0.20365040380047517</v>
      </c>
      <c r="HO124" s="1">
        <v>1013473640</v>
      </c>
      <c r="HP124" s="79">
        <f t="shared" si="386"/>
        <v>11246.450011999999</v>
      </c>
      <c r="HQ124" s="86" t="str">
        <f t="shared" si="469"/>
        <v>ago24 jul25</v>
      </c>
      <c r="HU124" s="1">
        <v>990000</v>
      </c>
      <c r="HV124" s="1" t="s">
        <v>512</v>
      </c>
      <c r="HW124" s="1">
        <v>1460000</v>
      </c>
      <c r="HX124" s="1" t="s">
        <v>512</v>
      </c>
      <c r="HY124" s="83">
        <v>4730000</v>
      </c>
      <c r="HZ124" s="1" t="s">
        <v>512</v>
      </c>
      <c r="IA124" s="1">
        <f>(3+17.6)*1000000</f>
        <v>20600000</v>
      </c>
      <c r="IB124" s="1" t="s">
        <v>512</v>
      </c>
      <c r="IC124" s="1">
        <v>48000000</v>
      </c>
      <c r="ID124" s="1" t="s">
        <v>512</v>
      </c>
      <c r="IE124" s="1">
        <f t="shared" si="482"/>
        <v>850000.00000000012</v>
      </c>
      <c r="IF124" s="1" t="s">
        <v>512</v>
      </c>
      <c r="IG124" s="1">
        <f>(6.7+0.98)*1000000</f>
        <v>7680000</v>
      </c>
      <c r="IH124" s="1" t="s">
        <v>512</v>
      </c>
      <c r="II124" s="79">
        <f t="shared" si="479"/>
        <v>83320000</v>
      </c>
      <c r="IJ124" s="97">
        <f t="shared" si="483"/>
        <v>2.3888080854826579</v>
      </c>
      <c r="IK124" s="1" t="s">
        <v>512</v>
      </c>
      <c r="IL124" s="7">
        <v>45.79</v>
      </c>
      <c r="IM124" s="7">
        <v>50.15</v>
      </c>
      <c r="IN124" s="97">
        <v>188.7</v>
      </c>
      <c r="IO124" s="7">
        <v>18.28</v>
      </c>
      <c r="IP124" s="176">
        <f t="shared" si="480"/>
        <v>5.7424738987207355</v>
      </c>
      <c r="IQ124" s="176">
        <f t="shared" si="481"/>
        <v>16.079999999999998</v>
      </c>
      <c r="IR124" s="478">
        <f t="shared" si="459"/>
        <v>6.17</v>
      </c>
      <c r="IS124" s="478">
        <f t="shared" si="460"/>
        <v>5.03</v>
      </c>
      <c r="IT124" s="478">
        <f t="shared" si="460"/>
        <v>11</v>
      </c>
      <c r="IU124" s="478">
        <f t="shared" si="460"/>
        <v>1.1000000000000001</v>
      </c>
      <c r="IV124" s="94">
        <f t="shared" si="360"/>
        <v>17.130000000000003</v>
      </c>
      <c r="IY124" s="80">
        <v>1.88</v>
      </c>
      <c r="IZ124" s="88">
        <v>0.3</v>
      </c>
      <c r="JA124" s="82">
        <v>3555</v>
      </c>
      <c r="JB124" s="95">
        <f t="shared" si="433"/>
        <v>35.950000000000003</v>
      </c>
      <c r="JF124" s="2">
        <v>9.0263359399999974</v>
      </c>
      <c r="JG124" s="2">
        <v>16.08135906</v>
      </c>
      <c r="JH124" s="2">
        <v>75.145225080000003</v>
      </c>
      <c r="JI124" s="2">
        <v>394.79732302000002</v>
      </c>
      <c r="JJ124" s="2">
        <v>893.39434483000002</v>
      </c>
      <c r="JK124" s="2">
        <v>108.38462631999997</v>
      </c>
      <c r="JL124" s="2">
        <v>2888.41461097</v>
      </c>
      <c r="JM124" s="2">
        <v>67.478873699999994</v>
      </c>
      <c r="JN124" s="2">
        <v>238.52347214999995</v>
      </c>
      <c r="JO124" s="2">
        <v>33.254909299999994</v>
      </c>
      <c r="JP124" s="2">
        <v>0</v>
      </c>
      <c r="JQ124" s="2">
        <v>1.1801919999999999</v>
      </c>
      <c r="JR124" s="2">
        <v>0.71544037000000005</v>
      </c>
      <c r="JS124" s="2">
        <v>0</v>
      </c>
      <c r="JT124" s="2">
        <v>5.0000000000000001E-3</v>
      </c>
      <c r="JU124" s="2">
        <v>101.39273792999998</v>
      </c>
      <c r="JV124" s="2">
        <v>12.693340749999999</v>
      </c>
      <c r="JW124" s="2">
        <v>18.621494700000003</v>
      </c>
      <c r="JX124" s="2">
        <v>57.773616530000005</v>
      </c>
      <c r="JY124" s="2">
        <v>0</v>
      </c>
      <c r="JZ124" s="2">
        <v>16.861554870000003</v>
      </c>
      <c r="KA124" s="2">
        <v>3.6291999999999998E-2</v>
      </c>
      <c r="KB124" s="2">
        <v>14.879273850000001</v>
      </c>
      <c r="KC124" s="2">
        <v>54.830270300000002</v>
      </c>
      <c r="KD124" s="2">
        <v>12.502816449999999</v>
      </c>
      <c r="KE124" s="2">
        <v>25.565397789999999</v>
      </c>
      <c r="KF124" s="2">
        <v>6.7443728600000004</v>
      </c>
      <c r="KG124" s="2">
        <v>434.66638176999993</v>
      </c>
      <c r="KH124" s="2">
        <v>145.54293837</v>
      </c>
      <c r="KI124" s="2">
        <v>19.636014689999996</v>
      </c>
      <c r="KJ124" s="2">
        <v>2.1371287799999998</v>
      </c>
      <c r="KK124" s="171">
        <v>11.035692889999996</v>
      </c>
      <c r="KL124" s="171">
        <v>0.13893236</v>
      </c>
      <c r="KM124" s="171">
        <v>0.81445039000000008</v>
      </c>
      <c r="KN124" s="171">
        <v>1.0879600200000001</v>
      </c>
      <c r="KO124" s="171">
        <v>6.2033861399999992</v>
      </c>
      <c r="KP124" s="171">
        <v>0.14424532000000001</v>
      </c>
      <c r="KQ124" s="171">
        <v>233.24182337000002</v>
      </c>
      <c r="KR124" s="171">
        <v>6.1606000000000001E-2</v>
      </c>
      <c r="KS124" s="171">
        <v>0.10286677000000001</v>
      </c>
      <c r="KT124" s="171">
        <v>1.2444918700000001</v>
      </c>
      <c r="KU124" s="171">
        <v>0.53543670999999993</v>
      </c>
      <c r="KV124" s="171">
        <v>6.5586799999999999E-3</v>
      </c>
      <c r="KW124" s="171">
        <v>1.5890697199999997</v>
      </c>
      <c r="KX124" s="171">
        <v>0</v>
      </c>
      <c r="KY124" s="171">
        <v>0</v>
      </c>
      <c r="KZ124" s="171">
        <v>3.10878063</v>
      </c>
      <c r="LA124" s="171">
        <v>1.1488402600000001</v>
      </c>
      <c r="LB124" s="171">
        <v>4.3395080000000003E-2</v>
      </c>
      <c r="LC124" s="171">
        <v>0.10281458</v>
      </c>
      <c r="LD124" s="171">
        <v>0</v>
      </c>
      <c r="LE124" s="171">
        <v>9.9999999999999995E-7</v>
      </c>
      <c r="LF124" s="171">
        <v>4.9905399999999999E-3</v>
      </c>
      <c r="LG124" s="171">
        <v>13.839856769999999</v>
      </c>
      <c r="LH124" s="171">
        <v>2.5223350999999994</v>
      </c>
      <c r="LI124" s="171">
        <v>2.3219247899999997</v>
      </c>
      <c r="LJ124" s="171">
        <v>0</v>
      </c>
      <c r="LK124" s="171">
        <v>2.0550383299999999</v>
      </c>
      <c r="LL124" s="171">
        <v>6.816705279999999</v>
      </c>
      <c r="LM124" s="171">
        <v>2.3716850700000007</v>
      </c>
      <c r="LN124" s="171">
        <v>7.1441070000000009E-2</v>
      </c>
      <c r="LO124" s="171">
        <v>11.837628230000002</v>
      </c>
      <c r="LQ124" s="85">
        <f t="shared" si="439"/>
        <v>4557.75384975</v>
      </c>
      <c r="LR124" s="85">
        <f t="shared" si="440"/>
        <v>1.9006323699999998</v>
      </c>
      <c r="LS124" s="85">
        <f t="shared" si="441"/>
        <v>31.314835450000004</v>
      </c>
      <c r="LT124" s="85">
        <f t="shared" si="442"/>
        <v>16.897846870000002</v>
      </c>
      <c r="LU124" s="85">
        <f t="shared" si="443"/>
        <v>241.51209269000003</v>
      </c>
      <c r="LV124" s="85">
        <f t="shared" si="444"/>
        <v>1.5956283999999996</v>
      </c>
      <c r="LW124" s="85">
        <f t="shared" si="445"/>
        <v>1.1922353400000001</v>
      </c>
      <c r="LX124" s="85">
        <f t="shared" si="446"/>
        <v>4.99154E-3</v>
      </c>
      <c r="LZ124" s="83">
        <v>1553.69</v>
      </c>
      <c r="MA124" s="83">
        <v>1848.08</v>
      </c>
      <c r="MB124"/>
      <c r="MC124"/>
      <c r="MD124"/>
      <c r="MF124"/>
      <c r="MG124"/>
      <c r="MH124" s="83">
        <v>3661.28</v>
      </c>
      <c r="MI124" s="83">
        <v>905.23</v>
      </c>
      <c r="MJ124" s="83">
        <v>870.54</v>
      </c>
      <c r="MK124"/>
      <c r="ML124" s="83">
        <v>703.69</v>
      </c>
      <c r="MM124" s="83">
        <v>2175.9299999999998</v>
      </c>
      <c r="MN124" s="83"/>
      <c r="MO124" s="83">
        <v>855.05</v>
      </c>
      <c r="MP124" s="83">
        <v>2194.58</v>
      </c>
      <c r="MQ124" s="83">
        <v>2390.62</v>
      </c>
      <c r="MR124"/>
      <c r="MT124" s="83"/>
      <c r="MU124" s="83">
        <v>971.05</v>
      </c>
      <c r="MV124"/>
      <c r="MW124"/>
      <c r="MX124"/>
      <c r="MY124" s="83">
        <v>2286.0100000000002</v>
      </c>
      <c r="MZ124" s="83">
        <v>7141</v>
      </c>
      <c r="NA124" s="83">
        <v>3872</v>
      </c>
      <c r="NB124" s="83">
        <v>11375</v>
      </c>
      <c r="NC124" s="83">
        <v>1584.36</v>
      </c>
      <c r="ND124" s="83">
        <v>11790</v>
      </c>
      <c r="NE124" s="1">
        <v>7251</v>
      </c>
    </row>
    <row r="125" spans="1:369">
      <c r="A125" s="38">
        <f t="shared" si="417"/>
        <v>45870</v>
      </c>
      <c r="B125" s="36">
        <f t="shared" si="476"/>
        <v>8</v>
      </c>
      <c r="C125" s="36">
        <f t="shared" si="477"/>
        <v>2025</v>
      </c>
      <c r="D125" s="36">
        <f t="shared" si="347"/>
        <v>125</v>
      </c>
      <c r="E125" s="38">
        <f t="shared" si="418"/>
        <v>45870</v>
      </c>
      <c r="F125" s="7">
        <v>1319.5</v>
      </c>
      <c r="G125" s="7">
        <v>9193.2000000000007</v>
      </c>
      <c r="H125" s="1">
        <f>[2]NACIONALES!$D113</f>
        <v>891530.07</v>
      </c>
      <c r="I125" s="7">
        <v>98</v>
      </c>
      <c r="J125" s="7">
        <v>620</v>
      </c>
      <c r="K125" s="7">
        <v>4</v>
      </c>
      <c r="L125" s="7">
        <v>33.6</v>
      </c>
      <c r="N125" s="5">
        <f>AVERAGE(1.23,1.27,1.3,1.25)</f>
        <v>1.2625</v>
      </c>
      <c r="O125" s="5">
        <f>AVERAGE(0.95,0.99,1.03,1)</f>
        <v>0.99249999999999994</v>
      </c>
      <c r="P125" s="78">
        <f t="shared" si="485"/>
        <v>1413.3494374999998</v>
      </c>
      <c r="Q125" s="6">
        <v>20000</v>
      </c>
      <c r="R125" s="79">
        <f t="shared" si="419"/>
        <v>200000</v>
      </c>
      <c r="S125" s="6">
        <v>185.74</v>
      </c>
      <c r="T125" s="6">
        <f>424500/F125</f>
        <v>321.71276998863203</v>
      </c>
      <c r="U125" s="188">
        <v>174.53</v>
      </c>
      <c r="V125" s="143">
        <v>294.77</v>
      </c>
      <c r="W125" s="6">
        <v>203</v>
      </c>
      <c r="X125" s="6">
        <v>195.29</v>
      </c>
      <c r="Y125" s="79">
        <f t="shared" si="420"/>
        <v>245083.93000000002</v>
      </c>
      <c r="Z125" s="79">
        <f t="shared" si="421"/>
        <v>424499.99999999994</v>
      </c>
      <c r="AA125" s="79">
        <f t="shared" si="422"/>
        <v>230292.33499999999</v>
      </c>
      <c r="AB125" s="79">
        <f t="shared" si="423"/>
        <v>388949.01499999996</v>
      </c>
      <c r="AC125" s="79">
        <f t="shared" si="424"/>
        <v>267858.5</v>
      </c>
      <c r="AD125" s="79">
        <f t="shared" si="425"/>
        <v>257685.155</v>
      </c>
      <c r="AE125" s="79">
        <f t="shared" si="426"/>
        <v>302394.82250000001</v>
      </c>
      <c r="AF125" s="83">
        <f>591*F124</f>
        <v>748810.41570000001</v>
      </c>
      <c r="AG125" s="83">
        <v>290000</v>
      </c>
      <c r="AH125" s="83">
        <v>950000</v>
      </c>
      <c r="AI125" s="5">
        <v>389.21</v>
      </c>
      <c r="AJ125" s="5">
        <v>252.69</v>
      </c>
      <c r="AK125" s="5">
        <v>225.91</v>
      </c>
      <c r="AL125" s="5">
        <v>235.19</v>
      </c>
      <c r="AM125" s="78">
        <f t="shared" si="458"/>
        <v>304.32639999999998</v>
      </c>
      <c r="AN125" s="7">
        <v>26480</v>
      </c>
      <c r="AO125" s="7">
        <v>20045.75</v>
      </c>
      <c r="AP125" s="78">
        <f t="shared" si="470"/>
        <v>20045.75</v>
      </c>
      <c r="AQ125" s="7">
        <v>9949.6402877697838</v>
      </c>
      <c r="AR125" s="7">
        <v>12081</v>
      </c>
      <c r="AS125" s="7">
        <v>10189.129999999999</v>
      </c>
      <c r="AT125" s="7">
        <v>13573.25</v>
      </c>
      <c r="AU125" s="78">
        <f t="shared" si="348"/>
        <v>11947.793333333333</v>
      </c>
      <c r="AV125" s="7">
        <v>5161.3207547169814</v>
      </c>
      <c r="AW125" s="7">
        <v>11775</v>
      </c>
      <c r="AX125" s="7">
        <v>5714.52</v>
      </c>
      <c r="AY125" s="7">
        <v>20802.325581395347</v>
      </c>
      <c r="AZ125" s="7">
        <v>6468.75</v>
      </c>
      <c r="BA125" s="7">
        <v>3470.2702702702704</v>
      </c>
      <c r="BB125" s="94">
        <f t="shared" si="345"/>
        <v>9871.4963401773875</v>
      </c>
      <c r="BC125" s="68">
        <v>41672</v>
      </c>
      <c r="BD125" s="68">
        <v>37505</v>
      </c>
      <c r="BE125" s="97">
        <v>25700</v>
      </c>
      <c r="BF125" s="97">
        <v>19000</v>
      </c>
      <c r="BG125" s="94">
        <f t="shared" si="349"/>
        <v>30969.25</v>
      </c>
      <c r="BH125" s="7">
        <v>3807</v>
      </c>
      <c r="BI125" s="97">
        <f>712+110</f>
        <v>822</v>
      </c>
      <c r="BJ125" s="78">
        <f t="shared" si="350"/>
        <v>4629</v>
      </c>
      <c r="BK125" s="7">
        <v>3056</v>
      </c>
      <c r="BL125" s="7">
        <v>3831</v>
      </c>
      <c r="BM125" s="94">
        <f t="shared" si="351"/>
        <v>3443.5</v>
      </c>
      <c r="BN125" s="5">
        <v>473.74</v>
      </c>
      <c r="BO125" s="84">
        <f>AVERAGE(2420,2420,2195,2013)</f>
        <v>2262</v>
      </c>
      <c r="BP125" s="84">
        <f>AVERAGE(2124,1189,2099,2099)</f>
        <v>1877.75</v>
      </c>
      <c r="BQ125" s="94">
        <f t="shared" si="435"/>
        <v>2069.875</v>
      </c>
      <c r="BR125" s="7">
        <f>AVERAGE(1634,1644,1647,1721)</f>
        <v>1661.5</v>
      </c>
      <c r="BS125" s="97">
        <v>6500</v>
      </c>
      <c r="BT125" s="97">
        <f>1.46*F125</f>
        <v>1926.47</v>
      </c>
      <c r="BU125" s="79">
        <f>+BS125*12+BT125*3</f>
        <v>83779.41</v>
      </c>
      <c r="BV125" s="7">
        <v>1945</v>
      </c>
      <c r="BW125" s="7">
        <v>3345.6</v>
      </c>
      <c r="BY125" s="268">
        <f>BY$10*(1+((H125/H$10-1)*costos!$B$5+((I125*F125)/(I$10*F$10)-1)*costos!$E$5+((J125*F125)/((J$10*F$10)-1)*costos!$F$5/3+((K125*F125)/(K$10*F$10)-1)*costos!$F$5/3+((U125*F125)/(U$10*F$10)-1)*costos!$F$5/3+((L125*F125)/(L$10*F$10)-1)*costos!$G$5+((N125*F125)/(N$10*F$10)-1)*costos!$J$5+((V125*F125)/(V$10*F$10)-1)*costos!$K$5)))</f>
        <v>10948.820509054232</v>
      </c>
      <c r="BZ125" s="268">
        <f>$BZ$10*(1+((H125/$H$10-1)*costos!$B$6+((I125*F125)/($I$10*$F$10)-1)*costos!$E$6+((J125*F125)/(($J$10*$F$10)-1)*costos!$F$6/3+((K125*F125)/($K$10*$F$10)-1)*costos!$F$6/3+((U125*F125)/($U$10*$F$10)-1)*costos!$F$6/3+((L125*F125)/($L$10*$F$10)-1)*costos!$G$6+((Q125*F125)/($Q$10*$F$10)-1)*costos!$J$6+((V125*F125)/($V$10*$F$10)-1)*costos!$K$6)))</f>
        <v>10704.433817355681</v>
      </c>
      <c r="CA125" s="268">
        <f>CA$10*(1+((H125/H$10-1)*costos!$B$7+((I125*F125)/(I$10*F$10)-1)*costos!$E$7+((J125*F125)/((J$10*F$10)-1)*costos!$F$7/3+((K125*F125)/(K$10*F$10)-1)*costos!$F$7/3+((U125*F125)/(U$10*F$10)-1)*costos!$F$7/3+((L125*F125)/(L$10*F$10)-1)*costos!$G$7+((S125*F125)/(S$10*F$10)-1)*costos!$J$7+((V125*F125)/(V$10*F$10)-1)*costos!$K$7)))</f>
        <v>11478.574164919231</v>
      </c>
      <c r="CB125" s="268">
        <f>CB$10*(1+((H125/H$10-1)*costos!$B$8+((I125*F125)/(I$10*F$10)-1)*costos!$E$8+((J125*F125)/((J$10*F$10)-1)*costos!$F$8/3+((K125*F125)/(K$10*F$10)-1)*costos!$F$8/3+((U125*F125)/(U$10*F$10)-1)*costos!$F$8/3+((L125*F125)/(L$10*F$10)-1)*costos!$G$8+((T125*F125)/(T$10*F$10)-1)*costos!$J$8+((V125*F125)/(V$10*F$10)-1)*costos!$K$8)))</f>
        <v>11313.862920761831</v>
      </c>
      <c r="CC125" s="268">
        <f>CC$10*(1+((H125/H$10-1)*costos!$B$9+((I125*F125)/(I$10*F$10)-1)*costos!$E$9+((J125*F125)/((J$10*F$10)-1)*costos!$F$9/3+((K125*F125)/(K$10*F$10)-1)*costos!$F$9/3+((U125*F125)/(U$10*F$10)-1)*costos!$F$9/3+((L125*F125)/(L$10*F$10)-1)*costos!$G$9+((U125*F125)/(U$10*F$10)-1)*costos!$J$9+((V125*F125)/(V$10*F$10)-1)*costos!$K$9)))</f>
        <v>11268.195026569118</v>
      </c>
      <c r="CD125" s="268">
        <f>CD$10*(1+((H125/H$10-1)*costos!$B$11+((I125*F125)/(I$10*F$10)-1)*costos!$E$11+((J125*F125)/((J$10*F$10)-1)*costos!$F$11/3+((K125*F125)/(K$10*F$10)-1)*costos!$F$11/3+((U125*F125)/(U$10*F$10)-1)*costos!$F$11/3+((L125*F125)/(L$10*F$10)-1)*costos!$G$11+((V125*F125)/(V$10*F$10)-1)*costos!$J$11+((V125*F125)/(V$10*F$10)-1)*costos!$K$11)))</f>
        <v>11629.691542872573</v>
      </c>
      <c r="CE125" s="268">
        <f>CE$10*(1+((H125/H$10-1)*costos!$B$12+((I125*F125)/(I$10*F$10)-1)*costos!$E$12+((J125*F125)/((J$10*F$10)-1)*costos!$F$12/3+((K125*F125)/(K$10*F$10)-1)*costos!$F$12/3+((U125*F125)/(U$10*F$10)-1)*costos!$F$12/3+((L125*F125)/(L$10*F$10)-1)*costos!$G$12+((W125*F125)/(W$10*F$10)-1)*costos!$J$12+((V125*F125)/(V$10*F$10)-1)*costos!$K$12)))</f>
        <v>11779.152268539809</v>
      </c>
      <c r="CF125" s="268">
        <f>CF$10*(1+((H125/H$10-1)*costos!$B$13+((I125*F125)/(I$10*F$10)-1)*costos!$E$13+((J125*F125)/((J$10*F$10)-1)*costos!$F$13/3+((K125*F125)/(K$10*F$10)-1)*costos!$F$13/3+((U125*F125)/(U$10*F$10)-1)*costos!$F$13/3+((L125*F125)/(L$10*F$10)-1)*costos!$G$13+((X125*F125)/(X$10*F$10)-1)*costos!$J$13+((V125*F125)/(V$10*F$10)-1)*costos!$K$13)))</f>
        <v>11668.707877062494</v>
      </c>
      <c r="CG125" s="268">
        <f t="shared" si="471"/>
        <v>11523.030633454176</v>
      </c>
      <c r="CH125" s="268">
        <f>CH$10*(1+((H125/H$10-1)*costos!$B$10+((I125*F125)/(I$10*F$10)-1)*costos!$E$10+((J125*F125)/((J$10*F$10)-1)*costos!$F$10/3+((K125*F125)/(K$10*F$10)-1)*costos!$F$10/3+((U125*F125)/(U$10*F$10)-1)*costos!$F$10/3+((L125*F125)/(L$10*F$10)-1)*costos!$G$10+((AF125)/(AF$10)-1)*costos!$J$10+((V125*F125)/(V$10*F$10)-1)*costos!$K$10)))</f>
        <v>11319.032527081681</v>
      </c>
      <c r="CI125" s="268">
        <f>CI$10*(1+((H125/H$10-1)*costos!$B$15+((I125*F125)/(I$10*F$10)-1)*costos!$E$15+((J125*F125)/((J$10*F$10)-1)*costos!$F$15/3+((K125*F125)/(K$10*F$10)-1)*costos!$F$15/3+((U125*F125)/(U$10*F$10)-1)*costos!$F$15/3+((L125*F125)/(L$10*F$10)-1)*costos!$G$15+((AV125)/(AV$10)-1)*costos!$J$15+((V125*F125)/(V$10*F$10)-1)*costos!$K$15)))</f>
        <v>10955.635889484571</v>
      </c>
      <c r="CJ125" s="268">
        <f>CJ$10*(1+((H125/H$10-1)*costos!$B$16+((I125*F125)/(I$10*F$10)-1)*costos!$E$16+((J125*F125)/((J$10*F$10)-1)*costos!$F$16/3+((K125*F125)/(K$10*F$10)-1)*costos!$F$16/3+((U125*F125)/(U$10*F$10)-1)*costos!$F$16/3+((L125*F125)/(L$10*F$10)-1)*costos!$G$16+((AW125)/(AW$10)-1)*costos!$J$16+((V125*F125)/(V$10*F$10)-1)*costos!$K$16)))</f>
        <v>10382.546823080225</v>
      </c>
      <c r="CK125" s="268">
        <f>CK$10*(1+((H125/H$10-1)*costos!$B$17+((I125*F125)/(I$10*F$10)-1)*costos!$E$17+((J125*F125)/((J$10*F$10)-1)*costos!$F$17/3+((K125*F125)/(K$10*F$10)-1)*costos!$F$17/3+((U125*F125)/(U$10*F$10)-1)*costos!$F$17/3+((L125*F125)/(L$10*F$10)-1)*costos!$G$17+((AX125)/(AX$10)-1)*costos!$J$17+((V125*F125)/(V$10*F$10)-1)*costos!$K$17)))</f>
        <v>10473.901909562966</v>
      </c>
      <c r="CL125" s="268">
        <f>CL$10*(1+((H125/H$10-1)*costos!$B$18+((I125*F125)/(I$10*F$10)-1)*costos!$E$18+((J125*F125)/((J$10*F$10)-1)*costos!$F$18/3+((K125*F125)/(K$10*F$10)-1)*costos!$F$18/3+((U125*F125)/(U$10*F$10)-1)*costos!$F$18/3+((L125*F125)/(L$10*F$10)-1)*costos!$G$18+((AY125)/(AY$10)-1)*costos!$J$18+((V125*F125)/(V$10*F$10)-1)*costos!$K$18)))</f>
        <v>13669.432660266471</v>
      </c>
      <c r="CM125" s="268">
        <f>CM$10*(1+((H125/H$10-1)*costos!$B$19+((I125*F125)/(I$10*F$10)-1)*costos!$E$19+((J125*F125)/((J$10*F$10)-1)*costos!$F$19/3+((K125*F125)/(K$10*F$10)-1)*costos!$F$19/3+((U125*F125)/(U$10*F$10)-1)*costos!$F$19/3+((L125*F125)/(L$10*F$10)-1)*costos!$G$19+((AZ125)/(AZ$10)-1)*costos!$J$19+((V125*F125)/(V$10*F$10)-1)*costos!$K$19)))</f>
        <v>9775.2107711095141</v>
      </c>
      <c r="CN125" s="268">
        <f>CN$10*(1+((H125/H$10-1)*costos!$B$20+((I125*F125)/(I$10*F$10)-1)*costos!$E$20+((J125*F125)/((J$10*F$10)-1)*costos!$F$20/3+((K125*F125)/(K$10*F$10)-1)*costos!$F$20/3+((U125*F125)/(U$10*F$10)-1)*costos!$F$20/3+((L125*F125)/(L$10*F$10)-1)*costos!$G$20+((BA125)/(BA$10)-1)*costos!$J$20+((V125*F125)/(V$10*F$10)-1)*costos!$K$20)))</f>
        <v>10028.523629981695</v>
      </c>
      <c r="CO125" s="268">
        <f t="shared" si="472"/>
        <v>10986.767242730162</v>
      </c>
      <c r="CP125" s="268">
        <f>CP$10*(1+((H125/H$10-1)*costos!$B$22+((I125*F125)/(I$10*F$10)-1)*costos!$E$22+((J125*F125)/((J$10*F$10)-1)*costos!$F$22/3+((K125*F125)/(K$10*F$10)-1)*costos!$F$22/3+((U125*F125)/(U$10*F$10)-1)*costos!$F$22/3+((L125*F125)/(L$10*F$10)-1)*costos!$G$22+(((AVERAGE(AI125:AL125))/((AVERAGE(AI$10:AL$10))-1)*costos!$J$22+((V125*F125)/(V$10*F$10)-1)*costos!$K$22)))))</f>
        <v>11955.362529600978</v>
      </c>
      <c r="CQ125" s="92">
        <f>CQ$10*(1+((H125/H$10-1)*costos!$B$23+((I125*F125)/(I$10*F$10)-1)*costos!$E$23+((J125*F125)/((J$10*F$10)-1)*costos!$F$23/3+((K125*F125)/(K$10*F$10)-1)*costos!$F$23/3+((U125*F125)/(U$10*F$10)-1)*costos!$F$23/3+((L125*F125)/(L$10*F$10)-1)*costos!$G$23+((AN125)/(AN$10)-1)*costos!$J$23+((V125*F125)/(V$10*F$10)-1)*costos!$K$23)))</f>
        <v>10848.74432896468</v>
      </c>
      <c r="CR125" s="268">
        <f>CR$10*(1+((H125/H$10-1)*costos!$B$24+((I125*F125)/(I$10*F$10)-1)*costos!$E$24+((J125*F125)/((J$10*F$10)-1)*costos!$F$24/3+((K125*F125)/(K$10*F$10)-1)*costos!$F$24/3+((U125*F125)/(U$10*F$10)-1)*costos!$F$24/3+((L125*F125)/(L$10*F$10)-1)*costos!$G$24+((AO125)/(AO$10)-1)*costos!$J$24+((V125*F125)/(V$10*F$10)-1)*costos!$K$24)))</f>
        <v>11198.367305435771</v>
      </c>
      <c r="CS125" s="92">
        <f t="shared" si="352"/>
        <v>11023.555817200226</v>
      </c>
      <c r="CT125" s="268">
        <f>CT$10*(1+((H125/H$10-1)*costos!$B$25+((I125*F125)/(I$10*F$10)-1)*costos!$E$25+((J125*F125)/((J$10*F$10)-1)*costos!$F$25/3+((K125*F125)/(K$10*F$10)-1)*costos!$F$25/3+((U125*F125)/(U$10*F$10)-1)*costos!$F$25/3+((L125*F125)/(L$10*F$10)-1)*costos!$G$25+((AQ125)/(AQ$10)-1)*costos!$J$25+((V125*F125)/(V$10*F$10)-1)*costos!$K$25)))</f>
        <v>10228.199283708269</v>
      </c>
      <c r="CU125" s="268">
        <f>CU$10*(1+((H125/H$10-1)*costos!$B$26+((I125*F125)/(I$10*F$10)-1)*costos!$E$26+((J125*F125)/((J$10*F$10)-1)*costos!$F$26/3+((K125*F125)/(K$10*F$10)-1)*costos!$F$26/3+((U125*F125)/(U$10*F$10)-1)*costos!$F$26/3+((L125*F125)/(L$10*F$10)-1)*costos!$G$26+((AR125)/(AR$10)-1)*costos!$J$26+((V125*F125)/(V$10*F$10)-1)*costos!$K$26)))</f>
        <v>10743.268544788001</v>
      </c>
      <c r="CV125" s="268">
        <f>CV$10*(1+((H125/H$10-1)*costos!$B$27+((I125*F125)/(I$10*F$10)-1)*costos!$E$27+((J125*F125)/((J$10*F$10)-1)*costos!$F$27/3+((K125*F125)/(K$10*F$10)-1)*costos!$F$27/3+((U125*F125)/(U$10*F$10)-1)*costos!$F$27/3+((L125*F125)/(L$10*F$10)-1)*costos!$G$27+((AS125)/(AS$10)-1)*costos!$J$27+((V125*F125)/(V$10*F$10)-1)*costos!$K$27)))</f>
        <v>10602.334849433537</v>
      </c>
      <c r="CW125" s="268">
        <f>CW$10*(1+((H125/H$10-1)*costos!$B$28+((I125*F125)/(I$10*F$10)-1)*costos!$E$28+((J125*F125)/((J$10*F$10)-1)*costos!$F$28/3+((K125*F125)/(K$10*F$10)-1)*costos!$F$28/3+((U125*F125)/(U$10*F$10)-1)*costos!$F$28/3+((L125*F125)/(L$10*F$10)-1)*costos!$G$28+((AS125)/(AS$10)-1)*costos!$J$28+((V125*F125)/(V$10*F$10)-1)*costos!$K$28)))</f>
        <v>10602.334849433537</v>
      </c>
      <c r="CX125" s="268">
        <f t="shared" si="473"/>
        <v>10649.312747885024</v>
      </c>
      <c r="CY125" s="268">
        <f>CY$10*(1+((H125/H$10-1)*costos!$B$32+((I125*F125)/(I$10*F$10)-1)*costos!$E$32+((J125*F125)/((J$10*F$10)-1)*costos!$F$32/3+((K125*F125)/(K$10*F$10)-1)*costos!$F$32/3+((U125*F125)/(U$10*F$10)-1)*costos!$F$32/3+((L125*F125)/(L$10*F$10)-1)*costos!$G$32+((AG125)/(AG$10)-1)*costos!$J$32+((V125*F125)/(V$10*F$10)-1)*costos!$K$32)))</f>
        <v>11070.984345801633</v>
      </c>
      <c r="CZ125" s="69">
        <f>CZ$10*(1+((H125/H$10-1)*costos!$B$31+((I125*F125)/(I$10*F$10)-1)*costos!$E$30+((J125*F125)/((J$10*F$10)-1)*costos!$F$30/3+((K125*F125)/(K$10*F$10)-1)*costos!$F$30/3+((U125*F125)/(U$10*F$10)-1)*costos!$F$30/3+((L125*F125)/(L$10*F$10)-1)*costos!$G$30+((BG125)/(BG$10)-1)*costos!$J$30+((V125*F125)/(V$10*F$10)-1)*costos!$K$30)))</f>
        <v>13764.746955366722</v>
      </c>
      <c r="DA125" s="69">
        <f>DA$10*(1+((H125/H$10-1)*costos!$B$31+((I125*F125)/(I$10*F$10)-1)*costos!$E$31+((J125*F125)/((J$10*F$10)-1)*costos!$F$31/3+((K125*F125)/(K$10*F$10)-1)*costos!$F$31/3+((U125*F125)/(U$10*F$10)-1)*costos!$F$31/3+((L125*F125)/(L$10*F$10)-1)*costos!$G$31+((BJ125)/(BJ$10)-1)*costos!$J$31+((V125*F125)/(V$10*F$10)-1)*costos!$K$31)))</f>
        <v>11411.105699658588</v>
      </c>
      <c r="DB125" s="69">
        <f>DB$10*(1+((H125/H$10-1)*costos!$B$36+((I125*F125)/(I$10*F$10)-1)*costos!$E$36+((J125*F125)/((J$10*F$10)-1)*costos!$F$36/3+((K125*F125)/(K$10*F$10)-1)*costos!$F$36/3+((U125*F125)/(U$10*F$10)-1)*costos!$F$36/3+((L125*F125)/(L$10*F$10)-1)*costos!$G$36+((BK125)/(BK$10)-1)*costos!$J$36+((V125*F125)/(V$10*F$10)-1)*costos!$K$36)))</f>
        <v>11582.039826128084</v>
      </c>
      <c r="DC125" s="69">
        <f>DC$10*(1+((H125/H$10-1)*costos!$B$37+((I125*F125)/(I$10*F$10)-1)*costos!$E$37+((U125*F125)/(U$10*F$10)-1)*costos!$F$37+((L125*F125)/(L$10*F$10)-1)*costos!$G$37+((BN125)/(BN$10)-1)*costos!$J$37+((V125*F125)/(V$10*F$10)-1)*costos!$K$37))</f>
        <v>11375.588366374526</v>
      </c>
      <c r="DD125" s="69">
        <f>DD$10*(1+((H125/H$10-1)*costos!$B$39+((I125*F125)/(I$10*F$10)-1)*costos!$E$39+((U125*F125)/(U$10*F$10)-1)*costos!$F$39+((L125*F125)/(L$10*F$10)-1)*costos!$G$39+((BR125)/(BR$10)-1)*costos!$J$39+((V125*F125)/(V$10*F$10)-1)*costos!$K$39))</f>
        <v>11176.191180626571</v>
      </c>
      <c r="DE125" s="69">
        <f>DD$10*(1+((H125/H$10-1)*costos!$B$35+((I125*F125)/(I$10*F$10)-1)*costos!$E$35+((U125*F125)/(U$10*F$10)-1)*costos!$F$35+((L125*F125)/(L$10*F$10)-1)*costos!$G$35+((BR125)/(BR$10)-1)*costos!$J$35+((V125*F125)/(V$10*F$10)-1)*costos!$K$35))</f>
        <v>9988.084483057235</v>
      </c>
      <c r="DF125" s="69">
        <f>DF$10*(1+((H125/H$10-1)*costos!$B$40+((I125*F125)/(I$10*F$10)-1)*costos!$E$40+((U125*F125)/(U$10*F$10)-1)*costos!$F$40+((L125*F125)/(L$10*F$10)-1)*costos!$G$40+((BP125)/(BP$10)-1)*costos!$J$40+((V125*F125)/(V$10*F$10)-1)*costos!$K$40))</f>
        <v>11543.678873334471</v>
      </c>
      <c r="DG125" s="268">
        <f t="shared" si="484"/>
        <v>10765.881678195852</v>
      </c>
      <c r="DH125" s="69">
        <f>DH$10*(1+((H125/H$10-1)*costos!$B$34+((I125*F125)/(I$10*F$10)-1)*costos!$E$34+((J125*F125)/((J$10*F$10)-1)*costos!$F$34/3+((K125*F125)/(K$10*F$10)-1)*costos!$F$34/3+((U125*F125)/(U$10*F$10)-1)*costos!$F$34/3+((L125*F125)/(L$10*F$10)-1)*costos!$G$34+((BV125)/(BV$10)-1)*costos!$J$34+((V125*F125)/(V$10*F$10)-1)*costos!$K$34)))</f>
        <v>11152.391831199298</v>
      </c>
      <c r="DI125" s="69">
        <f>DI$10*(1+((H125/H$10-1)*costos!$B$38+((I125*F125)/(I$10*F$10)-1)*costos!$E$38+((J125*F125)/((J$10*F$10)-1)*costos!$F$38/3+((K125*F125)/(K$10*F$10)-1)*costos!$F$38/3+((U125*F125)/(U$10*F$10)-1)*costos!$F$38/3+((L125*F125)/(L$10*F$10)-1)*costos!$G$38+((BU125)/(BU$10)-1)*costos!$J$38+((V125*F125)/(V$10*F$10)-1)*costos!$K$38)))</f>
        <v>11340.985328453446</v>
      </c>
      <c r="DK125" s="1">
        <v>690000</v>
      </c>
      <c r="DL125" s="1" t="s">
        <v>512</v>
      </c>
      <c r="DM125" s="1">
        <v>230000</v>
      </c>
      <c r="DN125" s="1" t="s">
        <v>512</v>
      </c>
      <c r="DO125" s="1">
        <v>1500000</v>
      </c>
      <c r="DP125" s="1" t="s">
        <v>663</v>
      </c>
      <c r="DQ125" s="1">
        <v>2700000</v>
      </c>
      <c r="DR125" s="1" t="s">
        <v>663</v>
      </c>
      <c r="DS125" s="1">
        <v>7800000</v>
      </c>
      <c r="DT125" s="1" t="s">
        <v>663</v>
      </c>
      <c r="DU125" s="1">
        <v>18000000</v>
      </c>
      <c r="DV125" s="1" t="s">
        <v>663</v>
      </c>
      <c r="DW125" s="1">
        <v>955000</v>
      </c>
      <c r="DX125" s="1" t="s">
        <v>663</v>
      </c>
      <c r="DY125" s="1">
        <v>6970000</v>
      </c>
      <c r="DZ125" s="1" t="s">
        <v>663</v>
      </c>
      <c r="EA125" s="79">
        <f t="shared" si="353"/>
        <v>37925000</v>
      </c>
      <c r="EB125" s="1">
        <v>521230</v>
      </c>
      <c r="EC125" s="1" t="s">
        <v>512</v>
      </c>
      <c r="ED125" s="1">
        <v>231352</v>
      </c>
      <c r="EE125" s="143">
        <v>2025</v>
      </c>
      <c r="EF125" s="83">
        <v>196220</v>
      </c>
      <c r="EG125" s="143">
        <v>2025</v>
      </c>
      <c r="EH125" s="1">
        <v>51624909</v>
      </c>
      <c r="EI125" s="143">
        <v>2025</v>
      </c>
      <c r="EJ125" s="1">
        <v>5987778</v>
      </c>
      <c r="EK125" s="6">
        <v>2025</v>
      </c>
      <c r="EL125" s="1">
        <v>11967429</v>
      </c>
      <c r="EM125" s="6">
        <v>2025</v>
      </c>
      <c r="EN125" s="1">
        <v>2872225</v>
      </c>
      <c r="EO125" s="6">
        <v>2025</v>
      </c>
      <c r="EP125" s="1">
        <v>9329</v>
      </c>
      <c r="EQ125" s="83">
        <v>4000000</v>
      </c>
      <c r="ER125" s="83">
        <f t="shared" si="478"/>
        <v>79911</v>
      </c>
      <c r="ET125" s="82">
        <f t="shared" si="474"/>
        <v>19357</v>
      </c>
      <c r="EU125" s="82">
        <f t="shared" si="474"/>
        <v>18703</v>
      </c>
      <c r="EV125" s="82">
        <f t="shared" si="474"/>
        <v>8927</v>
      </c>
      <c r="EW125" s="82">
        <f t="shared" si="474"/>
        <v>17408</v>
      </c>
      <c r="EX125" s="79">
        <f t="shared" si="486"/>
        <v>64395</v>
      </c>
      <c r="EY125" s="82">
        <f t="shared" si="394"/>
        <v>20031</v>
      </c>
      <c r="EZ125" s="83">
        <f t="shared" si="394"/>
        <v>38177</v>
      </c>
      <c r="FA125" s="82">
        <f t="shared" si="431"/>
        <v>19900</v>
      </c>
      <c r="FB125" s="82">
        <f t="shared" si="406"/>
        <v>18184</v>
      </c>
      <c r="FC125" s="79">
        <f t="shared" si="487"/>
        <v>38084</v>
      </c>
      <c r="FD125" s="82">
        <f t="shared" si="488"/>
        <v>60376</v>
      </c>
      <c r="FF125" s="1">
        <v>1100000</v>
      </c>
      <c r="FG125" s="1" t="s">
        <v>512</v>
      </c>
      <c r="FH125" s="1">
        <v>1600000</v>
      </c>
      <c r="FI125" s="1" t="s">
        <v>512</v>
      </c>
      <c r="FJ125" s="1">
        <v>5000000</v>
      </c>
      <c r="FK125" s="1" t="s">
        <v>512</v>
      </c>
      <c r="FL125" s="1">
        <v>5000000</v>
      </c>
      <c r="FM125" s="1" t="s">
        <v>512</v>
      </c>
      <c r="FN125" s="1">
        <v>49000000</v>
      </c>
      <c r="FO125" s="1" t="s">
        <v>512</v>
      </c>
      <c r="FP125" s="1">
        <v>50300000</v>
      </c>
      <c r="FQ125" s="1" t="s">
        <v>512</v>
      </c>
      <c r="FR125" s="1">
        <v>3100000</v>
      </c>
      <c r="FS125" s="1" t="s">
        <v>512</v>
      </c>
      <c r="FT125" s="1">
        <v>18510000</v>
      </c>
      <c r="FU125" s="1" t="s">
        <v>512</v>
      </c>
      <c r="FV125" s="79">
        <f t="shared" si="355"/>
        <v>130910000</v>
      </c>
      <c r="FW125" s="83">
        <v>1895131</v>
      </c>
      <c r="FX125" s="1" t="s">
        <v>512</v>
      </c>
      <c r="FY125" s="1">
        <v>147213</v>
      </c>
      <c r="FZ125" s="79">
        <f t="shared" si="377"/>
        <v>884924</v>
      </c>
      <c r="GA125" s="86" t="str">
        <f t="shared" si="462"/>
        <v>sept24 ago25</v>
      </c>
      <c r="GB125" s="1">
        <v>19908335</v>
      </c>
      <c r="GC125" s="6">
        <v>2025</v>
      </c>
      <c r="GD125" s="83">
        <v>2213559</v>
      </c>
      <c r="GE125" s="83">
        <v>410324</v>
      </c>
      <c r="GF125" s="83">
        <v>1003144</v>
      </c>
      <c r="GG125" s="83">
        <v>129694</v>
      </c>
      <c r="GH125" s="79">
        <f t="shared" si="450"/>
        <v>1543162</v>
      </c>
      <c r="GI125" s="82">
        <f t="shared" si="463"/>
        <v>1302556</v>
      </c>
      <c r="GJ125" s="82">
        <f t="shared" si="463"/>
        <v>682423</v>
      </c>
      <c r="GK125" s="82">
        <f t="shared" si="463"/>
        <v>1391495</v>
      </c>
      <c r="GL125" s="82">
        <f t="shared" si="463"/>
        <v>305049</v>
      </c>
      <c r="GM125" s="82">
        <f t="shared" si="463"/>
        <v>260419</v>
      </c>
      <c r="GN125" s="79">
        <f t="shared" si="357"/>
        <v>2639386</v>
      </c>
      <c r="GO125" s="82">
        <f t="shared" si="464"/>
        <v>201734</v>
      </c>
      <c r="GP125" s="82">
        <f t="shared" si="464"/>
        <v>75000</v>
      </c>
      <c r="GQ125" s="83">
        <v>22313</v>
      </c>
      <c r="GR125" s="83">
        <v>31107</v>
      </c>
      <c r="GS125" s="79">
        <f t="shared" si="412"/>
        <v>31776.39</v>
      </c>
      <c r="GT125" s="82">
        <f t="shared" si="407"/>
        <v>2111561</v>
      </c>
      <c r="GU125" s="83">
        <f>17895+8421</f>
        <v>26316</v>
      </c>
      <c r="GV125" s="83">
        <f>8902+24723</f>
        <v>33625</v>
      </c>
      <c r="GW125" s="79">
        <f t="shared" si="455"/>
        <v>797950</v>
      </c>
      <c r="GX125" s="83">
        <v>36041.686000000002</v>
      </c>
      <c r="GY125" s="1" t="s">
        <v>802</v>
      </c>
      <c r="GZ125" s="83">
        <v>119643</v>
      </c>
      <c r="HA125" s="1">
        <v>270798</v>
      </c>
      <c r="HB125" s="79">
        <f t="shared" si="437"/>
        <v>3183561</v>
      </c>
      <c r="HC125" s="86" t="str">
        <f t="shared" si="465"/>
        <v>sept24 ago25</v>
      </c>
      <c r="HD125" s="1">
        <v>68814</v>
      </c>
      <c r="HE125" s="79">
        <f t="shared" si="380"/>
        <v>787170</v>
      </c>
      <c r="HF125" s="86" t="str">
        <f t="shared" si="466"/>
        <v>sept24 ago25</v>
      </c>
      <c r="HG125" s="1">
        <v>191000</v>
      </c>
      <c r="HH125" s="79">
        <f t="shared" si="438"/>
        <v>2311000</v>
      </c>
      <c r="HI125" s="86" t="str">
        <f t="shared" si="467"/>
        <v>sept24 ago25</v>
      </c>
      <c r="HJ125" s="83">
        <v>91407</v>
      </c>
      <c r="HK125" s="79">
        <f>+SUM(HJ114:HJ125)*1000*0.00006</f>
        <v>63914.183999999994</v>
      </c>
      <c r="HL125" s="86" t="str">
        <f t="shared" si="468"/>
        <v>sept24 ago25</v>
      </c>
      <c r="HM125" s="79">
        <f t="shared" si="358"/>
        <v>2374914.1839999999</v>
      </c>
      <c r="HN125" s="87">
        <f t="shared" si="297"/>
        <v>0.15666843596426183</v>
      </c>
      <c r="HO125" s="1">
        <v>1090445698</v>
      </c>
      <c r="HP125" s="79">
        <f t="shared" si="386"/>
        <v>11394.148709999999</v>
      </c>
      <c r="HQ125" s="86" t="str">
        <f t="shared" si="469"/>
        <v>sept24 ago25</v>
      </c>
      <c r="HU125" s="1">
        <v>990000</v>
      </c>
      <c r="HV125" s="1" t="s">
        <v>512</v>
      </c>
      <c r="HW125" s="1">
        <v>1460000</v>
      </c>
      <c r="HX125" s="1" t="s">
        <v>512</v>
      </c>
      <c r="HY125" s="83">
        <v>4730000</v>
      </c>
      <c r="HZ125" s="1" t="s">
        <v>512</v>
      </c>
      <c r="IA125" s="1">
        <v>20600000</v>
      </c>
      <c r="IB125" s="1" t="s">
        <v>512</v>
      </c>
      <c r="IC125" s="1">
        <v>50500000</v>
      </c>
      <c r="ID125" s="1" t="s">
        <v>512</v>
      </c>
      <c r="IE125" s="1">
        <f t="shared" si="482"/>
        <v>850000.00000000012</v>
      </c>
      <c r="IF125" s="1" t="s">
        <v>512</v>
      </c>
      <c r="IG125" s="1">
        <f>(6.7+0.98)*1000000</f>
        <v>7680000</v>
      </c>
      <c r="IH125" s="1" t="s">
        <v>512</v>
      </c>
      <c r="II125" s="79">
        <f t="shared" si="479"/>
        <v>85820000</v>
      </c>
      <c r="IJ125" s="97">
        <f t="shared" si="483"/>
        <v>2.3888080854826579</v>
      </c>
      <c r="IK125" s="1" t="s">
        <v>663</v>
      </c>
      <c r="IL125" s="7">
        <v>45.67</v>
      </c>
      <c r="IM125" s="7">
        <v>49.93</v>
      </c>
      <c r="IN125" s="97">
        <v>185.2</v>
      </c>
      <c r="IO125" s="7">
        <v>18.38</v>
      </c>
      <c r="IP125" s="176">
        <f t="shared" si="480"/>
        <v>5.7424738987207355</v>
      </c>
      <c r="IQ125" s="176">
        <f t="shared" si="481"/>
        <v>16.079999999999998</v>
      </c>
      <c r="IR125" s="478">
        <f t="shared" si="459"/>
        <v>6.17</v>
      </c>
      <c r="IS125" s="478">
        <f t="shared" si="460"/>
        <v>5.03</v>
      </c>
      <c r="IT125" s="478">
        <f t="shared" si="460"/>
        <v>11</v>
      </c>
      <c r="IU125" s="478">
        <f t="shared" si="460"/>
        <v>1.1000000000000001</v>
      </c>
      <c r="IV125" s="94">
        <f t="shared" si="360"/>
        <v>17.130000000000003</v>
      </c>
      <c r="IY125" s="80">
        <v>1.88</v>
      </c>
      <c r="IZ125" s="88">
        <v>0.3</v>
      </c>
      <c r="JA125" s="82">
        <v>3555</v>
      </c>
      <c r="JB125" s="95">
        <f t="shared" si="433"/>
        <v>35.950000000000003</v>
      </c>
      <c r="JF125" s="2">
        <v>16.211576590000004</v>
      </c>
      <c r="JG125" s="2">
        <v>54.436744560000001</v>
      </c>
      <c r="JH125" s="2">
        <v>95.462297129999996</v>
      </c>
      <c r="JI125" s="2">
        <v>272.40413046999998</v>
      </c>
      <c r="JJ125" s="2">
        <v>610.61588126999993</v>
      </c>
      <c r="JK125" s="2">
        <v>119.79773589000003</v>
      </c>
      <c r="JL125" s="2">
        <v>3032.2939938299996</v>
      </c>
      <c r="JM125" s="2">
        <v>51.685727319999998</v>
      </c>
      <c r="JN125" s="2">
        <v>273.77466587999999</v>
      </c>
      <c r="JO125" s="2">
        <v>30.172516640000001</v>
      </c>
      <c r="JP125" s="2">
        <v>0</v>
      </c>
      <c r="JQ125" s="2">
        <v>0.53083819999999993</v>
      </c>
      <c r="JR125" s="2">
        <v>1.5314290399999999</v>
      </c>
      <c r="JS125" s="2">
        <v>0</v>
      </c>
      <c r="JT125" s="2">
        <v>0.32203109999999996</v>
      </c>
      <c r="JU125" s="2">
        <v>82.138745600000007</v>
      </c>
      <c r="JV125" s="2">
        <v>15.669595409999999</v>
      </c>
      <c r="JW125" s="2">
        <v>15.514393670000004</v>
      </c>
      <c r="JX125" s="2">
        <v>38.020287749999994</v>
      </c>
      <c r="JY125" s="2">
        <v>0</v>
      </c>
      <c r="JZ125" s="2">
        <v>14.222288370000001</v>
      </c>
      <c r="KA125" s="2">
        <v>0.12784000000000001</v>
      </c>
      <c r="KB125" s="2">
        <v>12.702036029999997</v>
      </c>
      <c r="KC125" s="2">
        <v>45.834687599999995</v>
      </c>
      <c r="KD125" s="2">
        <v>8.5848558799999992</v>
      </c>
      <c r="KE125" s="2">
        <v>20.973477770000002</v>
      </c>
      <c r="KF125" s="2">
        <v>6.5346210099999995</v>
      </c>
      <c r="KG125" s="2">
        <v>505.86158855000002</v>
      </c>
      <c r="KH125" s="2">
        <v>166.18279023000005</v>
      </c>
      <c r="KI125" s="2">
        <v>17.8919189</v>
      </c>
      <c r="KJ125" s="2">
        <v>2.08934314</v>
      </c>
      <c r="KK125" s="171">
        <v>10.908765819999998</v>
      </c>
      <c r="KL125" s="171">
        <v>0.26679149000000002</v>
      </c>
      <c r="KM125" s="171">
        <v>0.60080207000000008</v>
      </c>
      <c r="KN125" s="171">
        <v>0.12162415</v>
      </c>
      <c r="KO125" s="171">
        <v>0.76005977999999996</v>
      </c>
      <c r="KP125" s="171">
        <v>0.19844290000000001</v>
      </c>
      <c r="KQ125" s="171">
        <v>173.69860212000003</v>
      </c>
      <c r="KR125" s="171">
        <v>3.0000000000000001E-3</v>
      </c>
      <c r="KS125" s="171">
        <v>0.16156112</v>
      </c>
      <c r="KT125" s="171">
        <v>0.74439149999999998</v>
      </c>
      <c r="KU125" s="171">
        <v>0.30456642</v>
      </c>
      <c r="KV125" s="171">
        <v>9.4613000000000003E-2</v>
      </c>
      <c r="KW125" s="171">
        <v>1.3125597900000001</v>
      </c>
      <c r="KX125" s="171">
        <v>0</v>
      </c>
      <c r="KY125" s="171">
        <v>8.3700000000000007E-3</v>
      </c>
      <c r="KZ125" s="171">
        <v>3.3465065500000004</v>
      </c>
      <c r="LA125" s="171">
        <v>0.72520266</v>
      </c>
      <c r="LB125" s="171">
        <v>0</v>
      </c>
      <c r="LC125" s="171">
        <v>0.14496750999999999</v>
      </c>
      <c r="LD125" s="171">
        <v>0</v>
      </c>
      <c r="LE125" s="171">
        <v>2.631816E-2</v>
      </c>
      <c r="LF125" s="171">
        <v>0</v>
      </c>
      <c r="LG125" s="171">
        <v>17.838312650000002</v>
      </c>
      <c r="LH125" s="171">
        <v>3.4339864000000002</v>
      </c>
      <c r="LI125" s="171">
        <v>1.7438363500000003</v>
      </c>
      <c r="LJ125" s="171">
        <v>4.0170669999999999E-2</v>
      </c>
      <c r="LK125" s="171">
        <v>3.4351580800000003</v>
      </c>
      <c r="LL125" s="171">
        <v>9.6599299699999985</v>
      </c>
      <c r="LM125" s="171">
        <v>1.95823569</v>
      </c>
      <c r="LN125" s="171">
        <v>6.2847730000000004E-2</v>
      </c>
      <c r="LO125" s="171">
        <v>11.75892646</v>
      </c>
      <c r="LQ125" s="85">
        <f t="shared" si="439"/>
        <v>4336.2366958999992</v>
      </c>
      <c r="LR125" s="85">
        <f t="shared" si="440"/>
        <v>2.3842983399999995</v>
      </c>
      <c r="LS125" s="85">
        <f t="shared" si="441"/>
        <v>31.183989080000003</v>
      </c>
      <c r="LT125" s="85">
        <f t="shared" si="442"/>
        <v>14.350128370000002</v>
      </c>
      <c r="LU125" s="85">
        <f t="shared" si="443"/>
        <v>175.34564924</v>
      </c>
      <c r="LV125" s="85">
        <f t="shared" si="444"/>
        <v>1.4155427900000002</v>
      </c>
      <c r="LW125" s="85">
        <f t="shared" si="445"/>
        <v>0.72520266</v>
      </c>
      <c r="LX125" s="85">
        <f t="shared" si="446"/>
        <v>2.631816E-2</v>
      </c>
      <c r="LZ125" s="83">
        <v>1585.77</v>
      </c>
      <c r="MA125" s="83">
        <v>1811.63</v>
      </c>
      <c r="MB125"/>
      <c r="MC125"/>
      <c r="MD125"/>
      <c r="MF125"/>
      <c r="MG125"/>
      <c r="MH125" s="83">
        <v>3759.76</v>
      </c>
      <c r="MI125" s="83">
        <v>869.85</v>
      </c>
      <c r="MJ125" s="83">
        <v>855.43</v>
      </c>
      <c r="MK125"/>
      <c r="ML125" s="83">
        <v>716.66</v>
      </c>
      <c r="MM125" s="83">
        <v>2529.0100000000002</v>
      </c>
      <c r="MN125" s="83"/>
      <c r="MO125" s="83">
        <v>860.69</v>
      </c>
      <c r="MP125" s="83">
        <v>2218.63</v>
      </c>
      <c r="MQ125" s="83">
        <v>2487.5100000000002</v>
      </c>
      <c r="MR125"/>
      <c r="MT125" s="83"/>
      <c r="MU125" s="83">
        <v>1014.18</v>
      </c>
      <c r="MV125"/>
      <c r="MW125"/>
      <c r="MX125"/>
      <c r="MY125" s="83">
        <v>2322.0500000000002</v>
      </c>
      <c r="MZ125" s="83">
        <v>7206</v>
      </c>
      <c r="NA125" s="83">
        <v>3835</v>
      </c>
      <c r="NB125" s="83">
        <v>11281</v>
      </c>
      <c r="NC125" s="83">
        <v>1616.51</v>
      </c>
      <c r="ND125" s="83">
        <v>12290</v>
      </c>
      <c r="NE125" s="1">
        <v>7173</v>
      </c>
    </row>
    <row r="126" spans="1:369">
      <c r="A126" s="38">
        <f t="shared" si="417"/>
        <v>45901</v>
      </c>
      <c r="B126" s="36">
        <f t="shared" si="476"/>
        <v>9</v>
      </c>
      <c r="C126" s="36">
        <f t="shared" si="477"/>
        <v>2025</v>
      </c>
      <c r="D126" s="36">
        <f t="shared" si="347"/>
        <v>126</v>
      </c>
      <c r="E126" s="38">
        <f t="shared" si="418"/>
        <v>45901</v>
      </c>
      <c r="F126" s="7">
        <v>1393.8636363636363</v>
      </c>
      <c r="G126" s="7">
        <v>9384.0921999999991</v>
      </c>
      <c r="H126" s="1">
        <f>[2]NACIONALES!$D114</f>
        <v>922903.02</v>
      </c>
      <c r="I126" s="7">
        <v>99</v>
      </c>
      <c r="J126" s="7">
        <v>650</v>
      </c>
      <c r="K126" s="7">
        <v>4</v>
      </c>
      <c r="L126" s="7">
        <v>35.4</v>
      </c>
      <c r="N126" s="5">
        <f>AVERAGE(1.24,1.21,1.17,1.21)</f>
        <v>1.2075</v>
      </c>
      <c r="O126" s="5">
        <f>AVERAGE(0.99,0.96,0.94,0.97)</f>
        <v>0.96499999999999986</v>
      </c>
      <c r="P126" s="78">
        <f t="shared" si="485"/>
        <v>1438.3801562499998</v>
      </c>
      <c r="Q126" s="6">
        <v>22500</v>
      </c>
      <c r="R126" s="79">
        <f t="shared" si="419"/>
        <v>225000</v>
      </c>
      <c r="S126" s="6">
        <v>187.78</v>
      </c>
      <c r="T126" s="6">
        <f>424500/F126</f>
        <v>304.54916028045005</v>
      </c>
      <c r="U126" s="6">
        <v>176.09545454545454</v>
      </c>
      <c r="V126" s="6">
        <v>303.27727272727276</v>
      </c>
      <c r="W126" s="6">
        <v>198</v>
      </c>
      <c r="X126" s="6">
        <v>190.87727272727273</v>
      </c>
      <c r="Y126" s="79">
        <f t="shared" si="420"/>
        <v>261739.71363636362</v>
      </c>
      <c r="Z126" s="79">
        <f t="shared" si="421"/>
        <v>424500</v>
      </c>
      <c r="AA126" s="79">
        <f t="shared" si="422"/>
        <v>245453.05061983468</v>
      </c>
      <c r="AB126" s="79">
        <f t="shared" si="423"/>
        <v>422727.16219008266</v>
      </c>
      <c r="AC126" s="79">
        <f t="shared" si="424"/>
        <v>275985</v>
      </c>
      <c r="AD126" s="79">
        <f t="shared" si="425"/>
        <v>266056.88946280989</v>
      </c>
      <c r="AE126" s="79">
        <f t="shared" si="426"/>
        <v>316076.9693181818</v>
      </c>
      <c r="AF126" s="83">
        <f>591*F125</f>
        <v>779824.5</v>
      </c>
      <c r="AG126" s="83">
        <v>280000</v>
      </c>
      <c r="AH126" s="83">
        <v>950000</v>
      </c>
      <c r="AI126" s="5">
        <v>372.98</v>
      </c>
      <c r="AJ126" s="5">
        <v>214.49</v>
      </c>
      <c r="AK126" s="5">
        <v>254.55</v>
      </c>
      <c r="AL126" s="5">
        <v>250.3</v>
      </c>
      <c r="AM126" s="78">
        <f t="shared" si="458"/>
        <v>306.40540000000004</v>
      </c>
      <c r="AN126" s="7">
        <v>26032.110091743118</v>
      </c>
      <c r="AO126" s="7">
        <v>19478.863636363636</v>
      </c>
      <c r="AP126" s="78">
        <f t="shared" si="470"/>
        <v>19478.863636363636</v>
      </c>
      <c r="AQ126" s="7">
        <v>13121.09375</v>
      </c>
      <c r="AR126" s="7">
        <v>14635.181818181818</v>
      </c>
      <c r="AS126" s="7">
        <v>10424.422727272726</v>
      </c>
      <c r="AT126" s="7">
        <v>13518.181818181818</v>
      </c>
      <c r="AU126" s="78">
        <f t="shared" si="348"/>
        <v>12859.262121212121</v>
      </c>
      <c r="AV126" s="7">
        <v>5137.5939849624065</v>
      </c>
      <c r="AW126" s="7">
        <v>13272.727272727272</v>
      </c>
      <c r="AX126" s="7">
        <v>8094.9818181818182</v>
      </c>
      <c r="AY126" s="7">
        <v>26290.983606557376</v>
      </c>
      <c r="AZ126" s="7">
        <v>5984.090909090909</v>
      </c>
      <c r="BA126" s="7">
        <v>3854.5454545454545</v>
      </c>
      <c r="BB126" s="94">
        <f t="shared" si="345"/>
        <v>11952.680294750788</v>
      </c>
      <c r="BC126" s="68">
        <v>42838</v>
      </c>
      <c r="BD126" s="68">
        <v>38555</v>
      </c>
      <c r="BE126" s="97">
        <v>25700</v>
      </c>
      <c r="BF126" s="97">
        <v>19000</v>
      </c>
      <c r="BG126" s="94">
        <f t="shared" si="349"/>
        <v>31523.25</v>
      </c>
      <c r="BH126" s="7">
        <v>3807</v>
      </c>
      <c r="BI126" s="97">
        <f>822+307.2</f>
        <v>1129.2</v>
      </c>
      <c r="BJ126" s="78">
        <f t="shared" si="350"/>
        <v>4936.2</v>
      </c>
      <c r="BK126" s="7">
        <v>3183.3333333333335</v>
      </c>
      <c r="BL126" s="7">
        <v>4186.2</v>
      </c>
      <c r="BM126" s="94">
        <f t="shared" si="351"/>
        <v>3684.7666666666664</v>
      </c>
      <c r="BN126" s="482">
        <v>474.6</v>
      </c>
      <c r="BO126" s="84">
        <f>AVERAGE(2150,1832)</f>
        <v>1991</v>
      </c>
      <c r="BP126" s="84">
        <f>AVERAGE(2000,2066)</f>
        <v>2033</v>
      </c>
      <c r="BQ126" s="94">
        <f t="shared" si="435"/>
        <v>2012</v>
      </c>
      <c r="BR126" s="7">
        <f>AVERAGE(1721,1737,1751,1729)</f>
        <v>1734.5</v>
      </c>
      <c r="BS126" s="97">
        <v>6500</v>
      </c>
      <c r="BT126" s="97">
        <f>1.62*F126</f>
        <v>2258.0590909090911</v>
      </c>
      <c r="BU126" s="79">
        <f t="shared" si="436"/>
        <v>84774.177272727276</v>
      </c>
      <c r="BV126" s="7">
        <v>2034</v>
      </c>
      <c r="BW126" s="7">
        <v>3551.6</v>
      </c>
      <c r="BY126" s="268">
        <f>BY$10*(1+((H126/H$10-1)*costos!$B$5+((I126*F126)/(I$10*F$10)-1)*costos!$E$5+((J126*F126)/((J$10*F$10)-1)*costos!$F$5/3+((K126*F126)/(K$10*F$10)-1)*costos!$F$5/3+((U126*F126)/(U$10*F$10)-1)*costos!$F$5/3+((L126*F126)/(L$10*F$10)-1)*costos!$G$5+((N126*F126)/(N$10*F$10)-1)*costos!$J$5+((V126*F126)/(V$10*F$10)-1)*costos!$K$5)))</f>
        <v>11539.087835291699</v>
      </c>
      <c r="BZ126" s="268">
        <f>$BZ$10*(1+((H126/$H$10-1)*costos!$B$6+((I126*F126)/($I$10*$F$10)-1)*costos!$E$6+((J126*F126)/(($J$10*$F$10)-1)*costos!$F$6/3+((K126*F126)/($K$10*$F$10)-1)*costos!$F$6/3+((U126*F126)/($U$10*$F$10)-1)*costos!$F$6/3+((L126*F126)/($L$10*$F$10)-1)*costos!$G$6+((Q126*F126)/($Q$10*$F$10)-1)*costos!$J$6+((V126*F126)/($V$10*$F$10)-1)*costos!$K$6)))</f>
        <v>11515.235473010544</v>
      </c>
      <c r="CA126" s="268">
        <f>CA$10*(1+((H126/H$10-1)*costos!$B$7+((I126*F126)/(I$10*F$10)-1)*costos!$E$7+((J126*F126)/((J$10*F$10)-1)*costos!$F$7/3+((K126*F126)/(K$10*F$10)-1)*costos!$F$7/3+((U126*F126)/(U$10*F$10)-1)*costos!$F$7/3+((L126*F126)/(L$10*F$10)-1)*costos!$G$7+((S126*F126)/(S$10*F$10)-1)*costos!$J$7+((V126*F126)/(V$10*F$10)-1)*costos!$K$7)))</f>
        <v>12423.026183115018</v>
      </c>
      <c r="CB126" s="268">
        <f>CB$10*(1+((H126/H$10-1)*costos!$B$8+((I126*F126)/(I$10*F$10)-1)*costos!$E$8+((J126*F126)/((J$10*F$10)-1)*costos!$F$8/3+((K126*F126)/(K$10*F$10)-1)*costos!$F$8/3+((U126*F126)/(U$10*F$10)-1)*costos!$F$8/3+((L126*F126)/(L$10*F$10)-1)*costos!$G$8+((T126*F126)/(T$10*F$10)-1)*costos!$J$8+((V126*F126)/(V$10*F$10)-1)*costos!$K$8)))</f>
        <v>12047.895087710329</v>
      </c>
      <c r="CC126" s="268">
        <f>CC$10*(1+((H126/H$10-1)*costos!$B$9+((I126*F126)/(I$10*F$10)-1)*costos!$E$9+((J126*F126)/((J$10*F$10)-1)*costos!$F$9/3+((K126*F126)/(K$10*F$10)-1)*costos!$F$9/3+((U126*F126)/(U$10*F$10)-1)*costos!$F$9/3+((L126*F126)/(L$10*F$10)-1)*costos!$G$9+((U126*F126)/(U$10*F$10)-1)*costos!$J$9+((V126*F126)/(V$10*F$10)-1)*costos!$K$9)))</f>
        <v>12209.311441994705</v>
      </c>
      <c r="CD126" s="268">
        <f>CD$10*(1+((H126/H$10-1)*costos!$B$11+((I126*F126)/(I$10*F$10)-1)*costos!$E$11+((J126*F126)/((J$10*F$10)-1)*costos!$F$11/3+((K126*F126)/(K$10*F$10)-1)*costos!$F$11/3+((U126*F126)/(U$10*F$10)-1)*costos!$F$11/3+((L126*F126)/(L$10*F$10)-1)*costos!$G$11+((V126*F126)/(V$10*F$10)-1)*costos!$J$11+((V126*F126)/(V$10*F$10)-1)*costos!$K$11)))</f>
        <v>12639.149378110056</v>
      </c>
      <c r="CE126" s="268">
        <f>CE$10*(1+((H126/H$10-1)*costos!$B$12+((I126*F126)/(I$10*F$10)-1)*costos!$E$12+((J126*F126)/((J$10*F$10)-1)*costos!$F$12/3+((K126*F126)/(K$10*F$10)-1)*costos!$F$12/3+((U126*F126)/(U$10*F$10)-1)*costos!$F$12/3+((L126*F126)/(L$10*F$10)-1)*costos!$G$12+((W126*F126)/(W$10*F$10)-1)*costos!$J$12+((V126*F126)/(V$10*F$10)-1)*costos!$K$12)))</f>
        <v>12599.613772947201</v>
      </c>
      <c r="CF126" s="268">
        <f>CF$10*(1+((H126/H$10-1)*costos!$B$13+((I126*F126)/(I$10*F$10)-1)*costos!$E$13+((J126*F126)/((J$10*F$10)-1)*costos!$F$13/3+((K126*F126)/(K$10*F$10)-1)*costos!$F$13/3+((U126*F126)/(U$10*F$10)-1)*costos!$F$13/3+((L126*F126)/(L$10*F$10)-1)*costos!$G$13+((X126*F126)/(X$10*F$10)-1)*costos!$J$13+((V126*F126)/(V$10*F$10)-1)*costos!$K$13)))</f>
        <v>12540.544871115711</v>
      </c>
      <c r="CG126" s="268">
        <f t="shared" si="471"/>
        <v>12409.923455832171</v>
      </c>
      <c r="CH126" s="268">
        <f>CH$10*(1+((H126/H$10-1)*costos!$B$10+((I126*F126)/(I$10*F$10)-1)*costos!$E$10+((J126*F126)/((J$10*F$10)-1)*costos!$F$10/3+((K126*F126)/(K$10*F$10)-1)*costos!$F$10/3+((U126*F126)/(U$10*F$10)-1)*costos!$F$10/3+((L126*F126)/(L$10*F$10)-1)*costos!$G$10+((AF126)/(AF$10)-1)*costos!$J$10+((V126*F126)/(V$10*F$10)-1)*costos!$K$10)))</f>
        <v>12093.614515505673</v>
      </c>
      <c r="CI126" s="268">
        <f>CI$10*(1+((H126/H$10-1)*costos!$B$15+((I126*F126)/(I$10*F$10)-1)*costos!$E$15+((J126*F126)/((J$10*F$10)-1)*costos!$F$15/3+((K126*F126)/(K$10*F$10)-1)*costos!$F$15/3+((U126*F126)/(U$10*F$10)-1)*costos!$F$15/3+((L126*F126)/(L$10*F$10)-1)*costos!$G$15+((AV127)/(AV$10)-1)*costos!$J$15+((V126*F126)/(V$10*F$10)-1)*costos!$K$15)))</f>
        <v>11645.230598394266</v>
      </c>
      <c r="CJ126" s="268">
        <f>CJ$10*(1+((H126/H$10-1)*costos!$B$16+((I126*F126)/(I$10*F$10)-1)*costos!$E$16+((J126*F126)/((J$10*F$10)-1)*costos!$F$16/3+((K126*F126)/(K$10*F$10)-1)*costos!$F$16/3+((U126*F126)/(U$10*F$10)-1)*costos!$F$16/3+((L126*F126)/(L$10*F$10)-1)*costos!$G$16+((AW126)/(AW$10)-1)*costos!$J$16+((V126*F126)/(V$10*F$10)-1)*costos!$K$16)))</f>
        <v>10992.809897718589</v>
      </c>
      <c r="CK126" s="268">
        <f>CK$10*(1+((H126/H$10-1)*costos!$B$17+((I126*F126)/(I$10*F$10)-1)*costos!$E$17+((J126*F126)/((J$10*F$10)-1)*costos!$F$17/3+((K126*F126)/(K$10*F$10)-1)*costos!$F$17/3+((U126*F126)/(U$10*F$10)-1)*costos!$F$17/3+((L126*F126)/(L$10*F$10)-1)*costos!$G$17+((AX126)/(AX$10)-1)*costos!$J$17+((V126*F126)/(V$10*F$10)-1)*costos!$K$17)))</f>
        <v>11691.17784818053</v>
      </c>
      <c r="CL126" s="268">
        <f>CL$10*(1+((H126/H$10-1)*costos!$B$18+((I126*F126)/(I$10*F$10)-1)*costos!$E$18+((J126*F126)/((J$10*F$10)-1)*costos!$F$18/3+((K126*F126)/(K$10*F$10)-1)*costos!$F$18/3+((U126*F126)/(U$10*F$10)-1)*costos!$F$18/3+((L126*F126)/(L$10*F$10)-1)*costos!$G$18+((AY126)/(AY$10)-1)*costos!$J$18+((V126*F126)/(V$10*F$10)-1)*costos!$K$18)))</f>
        <v>15562.457914472043</v>
      </c>
      <c r="CM126" s="268">
        <f>CM$10*(1+((H126/H$10-1)*costos!$B$19+((I126*F126)/(I$10*F$10)-1)*costos!$E$19+((J126*F126)/((J$10*F$10)-1)*costos!$F$19/3+((K126*F126)/(K$10*F$10)-1)*costos!$F$19/3+((U126*F126)/(U$10*F$10)-1)*costos!$F$19/3+((L126*F126)/(L$10*F$10)-1)*costos!$G$19+((AZ126)/(AZ$10)-1)*costos!$J$19+((V126*F126)/(V$10*F$10)-1)*costos!$K$19)))</f>
        <v>10175.614231233934</v>
      </c>
      <c r="CN126" s="268">
        <f>CN$10*(1+((H126/H$10-1)*costos!$B$20+((I126*F126)/(I$10*F$10)-1)*costos!$E$20+((J126*F126)/((J$10*F$10)-1)*costos!$F$20/3+((K126*F126)/(K$10*F$10)-1)*costos!$F$20/3+((U126*F126)/(U$10*F$10)-1)*costos!$F$20/3+((L126*F126)/(L$10*F$10)-1)*costos!$G$20+((BA126)/(BA$10)-1)*costos!$J$20+((V126*F126)/(V$10*F$10)-1)*costos!$K$20)))</f>
        <v>10659.120014458244</v>
      </c>
      <c r="CO126" s="268">
        <f t="shared" si="472"/>
        <v>12022.092502086187</v>
      </c>
      <c r="CP126" s="268">
        <f>CP$10*(1+((H126/H$10-1)*costos!$B$22+((I126*F126)/(I$10*F$10)-1)*costos!$E$22+((J126*F126)/((J$10*F$10)-1)*costos!$F$22/3+((K126*F126)/(K$10*F$10)-1)*costos!$F$22/3+((U126*F126)/(U$10*F$10)-1)*costos!$F$22/3+((L126*F126)/(L$10*F$10)-1)*costos!$G$22+(((AVERAGE(AI126:AL126))/((AVERAGE(AI$10:AL$10))-1)*costos!$J$22+((V126*F126)/(V$10*F$10)-1)*costos!$K$22)))))</f>
        <v>12502.147098951411</v>
      </c>
      <c r="CQ126" s="92">
        <f>CQ$10*(1+((H126/H$10-1)*costos!$B$23+((I126*F126)/(I$10*F$10)-1)*costos!$E$23+((J126*F126)/((J$10*F$10)-1)*costos!$F$23/3+((K126*F126)/(K$10*F$10)-1)*costos!$F$23/3+((U126*F126)/(U$10*F$10)-1)*costos!$F$23/3+((L126*F126)/(L$10*F$10)-1)*costos!$G$23+((AN126)/(AN$10)-1)*costos!$J$23+((V126*F126)/(V$10*F$10)-1)*costos!$K$23)))</f>
        <v>11354.465184529136</v>
      </c>
      <c r="CR126" s="268">
        <f>CR$10*(1+((H126/H$10-1)*costos!$B$24+((I126*F126)/(I$10*F$10)-1)*costos!$E$24+((J126*F126)/((J$10*F$10)-1)*costos!$F$24/3+((K126*F126)/(K$10*F$10)-1)*costos!$F$24/3+((U126*F126)/(U$10*F$10)-1)*costos!$F$24/3+((L126*F126)/(L$10*F$10)-1)*costos!$G$24+((AO126)/(AO$10)-1)*costos!$J$24+((V126*F126)/(V$10*F$10)-1)*costos!$K$24)))</f>
        <v>11679.016683383312</v>
      </c>
      <c r="CS126" s="92">
        <f t="shared" si="352"/>
        <v>11516.740933956224</v>
      </c>
      <c r="CT126" s="268">
        <f>CT$10*(1+((H126/H$10-1)*costos!$B$25+((I126*F126)/(I$10*F$10)-1)*costos!$E$25+((J126*F126)/((J$10*F$10)-1)*costos!$F$25/3+((K126*F126)/(K$10*F$10)-1)*costos!$F$25/3+((U126*F126)/(U$10*F$10)-1)*costos!$F$25/3+((L126*F126)/(L$10*F$10)-1)*costos!$G$25+((AQ126)/(AQ$10)-1)*costos!$J$25+((V126*F126)/(V$10*F$10)-1)*costos!$K$25)))</f>
        <v>11020.741566656323</v>
      </c>
      <c r="CU126" s="268">
        <f>CU$10*(1+((H126/H$10-1)*costos!$B$26+((I126*F126)/(I$10*F$10)-1)*costos!$E$26+((J126*F126)/((J$10*F$10)-1)*costos!$F$26/3+((K126*F126)/(K$10*F$10)-1)*costos!$F$26/3+((U126*F126)/(U$10*F$10)-1)*costos!$F$26/3+((L126*F126)/(L$10*F$10)-1)*costos!$G$26+((AR126)/(AR$10)-1)*costos!$J$26+((V126*F126)/(V$10*F$10)-1)*costos!$K$26)))</f>
        <v>11557.496990643196</v>
      </c>
      <c r="CV126" s="268">
        <f>CV$10*(1+((H126/H$10-1)*costos!$B$27+((I126*F126)/(I$10*F$10)-1)*costos!$E$27+((J126*F126)/((J$10*F$10)-1)*costos!$F$27/3+((K126*F126)/(K$10*F$10)-1)*costos!$F$27/3+((U126*F126)/(U$10*F$10)-1)*costos!$F$27/3+((L126*F126)/(L$10*F$10)-1)*costos!$G$27+((AS126)/(AS$10)-1)*costos!$J$27+((V126*F126)/(V$10*F$10)-1)*costos!$K$27)))</f>
        <v>11258.301215653441</v>
      </c>
      <c r="CW126" s="268">
        <f>CW$10*(1+((H126/H$10-1)*costos!$B$28+((I126*F126)/(I$10*F$10)-1)*costos!$E$28+((J126*F126)/((J$10*F$10)-1)*costos!$F$28/3+((K126*F126)/(K$10*F$10)-1)*costos!$F$28/3+((U126*F126)/(U$10*F$10)-1)*costos!$F$28/3+((L126*F126)/(L$10*F$10)-1)*costos!$G$28+((AS126)/(AS$10)-1)*costos!$J$28+((V126*F126)/(V$10*F$10)-1)*costos!$K$28)))</f>
        <v>11258.301215653441</v>
      </c>
      <c r="CX126" s="268">
        <f t="shared" si="473"/>
        <v>11358.033140650026</v>
      </c>
      <c r="CY126" s="268">
        <f>CY$10*(1+((H126/H$10-1)*costos!$B$32+((I126*F126)/(I$10*F$10)-1)*costos!$E$32+((J126*F126)/((J$10*F$10)-1)*costos!$F$32/3+((K126*F126)/(K$10*F$10)-1)*costos!$F$32/3+((U126*F126)/(U$10*F$10)-1)*costos!$F$32/3+((L126*F126)/(L$10*F$10)-1)*costos!$G$32+((AG126)/(AG$10)-1)*costos!$J$32+((V126*F126)/(V$10*F$10)-1)*costos!$K$32)))</f>
        <v>11566.035274498079</v>
      </c>
      <c r="CZ126" s="69">
        <f>CZ$10*(1+((H126/H$10-1)*costos!$B$31+((I126*F126)/(I$10*F$10)-1)*costos!$E$30+((J126*F126)/((J$10*F$10)-1)*costos!$F$30/3+((K126*F126)/(K$10*F$10)-1)*costos!$F$30/3+((U126*F126)/(U$10*F$10)-1)*costos!$F$30/3+((L126*F126)/(L$10*F$10)-1)*costos!$G$30+((BG126)/(BG$10)-1)*costos!$J$30+((V126*F126)/(V$10*F$10)-1)*costos!$K$30)))</f>
        <v>14493.12792248171</v>
      </c>
      <c r="DA126" s="69">
        <f>DA$10*(1+((H126/H$10-1)*costos!$B$31+((I126*F126)/(I$10*F$10)-1)*costos!$E$31+((J126*F126)/((J$10*F$10)-1)*costos!$F$31/3+((K126*F126)/(K$10*F$10)-1)*costos!$F$31/3+((U126*F126)/(U$10*F$10)-1)*costos!$F$31/3+((L126*F126)/(L$10*F$10)-1)*costos!$G$31+((BJ126)/(BJ$10)-1)*costos!$J$31+((V126*F126)/(V$10*F$10)-1)*costos!$K$31)))</f>
        <v>11967.831630953066</v>
      </c>
      <c r="DB126" s="69">
        <f>DB$10*(1+((H126/H$10-1)*costos!$B$36+((I126*F126)/(I$10*F$10)-1)*costos!$E$36+((J126*F126)/((J$10*F$10)-1)*costos!$F$36/3+((K126*F126)/(K$10*F$10)-1)*costos!$F$36/3+((U126*F126)/(U$10*F$10)-1)*costos!$F$36/3+((L126*F126)/(L$10*F$10)-1)*costos!$G$36+((BK126)/(BK$10)-1)*costos!$J$36+((V126*F126)/(V$10*F$10)-1)*costos!$K$36)))</f>
        <v>12252.78084543916</v>
      </c>
      <c r="DC126" s="69">
        <f>DC$10*(1+((H126/H$10-1)*costos!$B$37+((I126*F126)/(I$10*F$10)-1)*costos!$E$37+((U126*F126)/(U$10*F$10)-1)*costos!$F$37+((L126*F126)/(L$10*F$10)-1)*costos!$G$37+((BN126)/(BN$10)-1)*costos!$J$37+((V126*F126)/(V$10*F$10)-1)*costos!$K$37))</f>
        <v>12034.476164000749</v>
      </c>
      <c r="DD126" s="69">
        <f>DD$10*(1+((H126/H$10-1)*costos!$B$39+((I126*F126)/(I$10*F$10)-1)*costos!$E$39+((U126*F126)/(U$10*F$10)-1)*costos!$F$39+((L126*F126)/(L$10*F$10)-1)*costos!$G$39+((BR126)/(BR$10)-1)*costos!$J$39+((V126*F126)/(V$10*F$10)-1)*costos!$K$39))</f>
        <v>11865.793314837641</v>
      </c>
      <c r="DE126" s="69">
        <f>DD$10*(1+((H126/H$10-1)*costos!$B$35+((I126*F126)/(I$10*F$10)-1)*costos!$E$35+((U126*F126)/(U$10*F$10)-1)*costos!$F$35+((L126*F126)/(L$10*F$10)-1)*costos!$G$35+((BR126)/(BR$10)-1)*costos!$J$35+((V126*F126)/(V$10*F$10)-1)*costos!$K$35))</f>
        <v>10573.626625341487</v>
      </c>
      <c r="DF126" s="69">
        <f>DF$10*(1+((H126/H$10-1)*costos!$B$40+((I126*F126)/(I$10*F$10)-1)*costos!$E$40+((U126*F126)/(U$10*F$10)-1)*costos!$F$40+((L126*F126)/(L$10*F$10)-1)*costos!$G$40+((BP126)/(BP$10)-1)*costos!$J$40+((V126*F126)/(V$10*F$10)-1)*costos!$K$40))</f>
        <v>12311.026658485998</v>
      </c>
      <c r="DG126" s="268">
        <f t="shared" si="484"/>
        <v>11442.326641913744</v>
      </c>
      <c r="DH126" s="69">
        <f>DH$10*(1+((H126/H$10-1)*costos!$B$34+((I126*F126)/(I$10*F$10)-1)*costos!$E$34+((J126*F126)/((J$10*F$10)-1)*costos!$F$34/3+((K126*F126)/(K$10*F$10)-1)*costos!$F$34/3+((U126*F126)/(U$10*F$10)-1)*costos!$F$34/3+((L126*F126)/(L$10*F$10)-1)*costos!$G$34+((BV126)/(BV$10)-1)*costos!$J$34+((V126*F126)/(V$10*F$10)-1)*costos!$K$34)))</f>
        <v>11769.486943616865</v>
      </c>
      <c r="DI126" s="69">
        <f>DI$10*(1+((H126/H$10-1)*costos!$B$38+((I126*F126)/(I$10*F$10)-1)*costos!$E$38+((J126*F126)/((J$10*F$10)-1)*costos!$F$38/3+((K126*F126)/(K$10*F$10)-1)*costos!$F$38/3+((U126*F126)/(U$10*F$10)-1)*costos!$F$38/3+((L126*F126)/(L$10*F$10)-1)*costos!$G$38+((BU126)/(BU$10)-1)*costos!$J$38+((V126*F126)/(V$10*F$10)-1)*costos!$K$38)))</f>
        <v>11808.314731800294</v>
      </c>
      <c r="DK126" s="1">
        <v>750000</v>
      </c>
      <c r="DL126" s="1" t="s">
        <v>663</v>
      </c>
      <c r="DM126" s="1">
        <v>210000</v>
      </c>
      <c r="DN126" s="1" t="s">
        <v>663</v>
      </c>
      <c r="DO126" s="1">
        <v>1500000</v>
      </c>
      <c r="DP126" s="1" t="s">
        <v>663</v>
      </c>
      <c r="DQ126" s="1">
        <v>2700000</v>
      </c>
      <c r="DR126" s="1" t="s">
        <v>663</v>
      </c>
      <c r="DS126" s="1">
        <v>7800000</v>
      </c>
      <c r="DT126" s="1" t="s">
        <v>663</v>
      </c>
      <c r="DU126" s="1">
        <v>17600000</v>
      </c>
      <c r="DV126" s="1" t="s">
        <v>663</v>
      </c>
      <c r="DW126" s="1">
        <v>950000</v>
      </c>
      <c r="DX126" s="1" t="s">
        <v>663</v>
      </c>
      <c r="DY126" s="1">
        <v>6970000</v>
      </c>
      <c r="DZ126" s="1" t="s">
        <v>663</v>
      </c>
      <c r="EA126" s="79">
        <f t="shared" si="353"/>
        <v>37520000</v>
      </c>
      <c r="EB126" s="1">
        <v>389000</v>
      </c>
      <c r="EC126" s="1" t="s">
        <v>663</v>
      </c>
      <c r="ED126" s="1">
        <v>231352</v>
      </c>
      <c r="EE126" s="143">
        <v>2025</v>
      </c>
      <c r="EF126" s="83">
        <v>196220</v>
      </c>
      <c r="EG126" s="143">
        <v>2025</v>
      </c>
      <c r="EH126" s="1">
        <v>51624909</v>
      </c>
      <c r="EI126" s="143">
        <v>2025</v>
      </c>
      <c r="EJ126" s="1">
        <v>5987778</v>
      </c>
      <c r="EK126" s="6">
        <v>2025</v>
      </c>
      <c r="EL126" s="1">
        <v>11967429</v>
      </c>
      <c r="EM126" s="6">
        <v>2025</v>
      </c>
      <c r="EN126" s="1">
        <v>2820421</v>
      </c>
      <c r="EO126" s="6">
        <v>2025</v>
      </c>
      <c r="EP126" s="83">
        <v>9402</v>
      </c>
      <c r="EQ126" s="83">
        <v>4000000</v>
      </c>
      <c r="ER126" s="83">
        <f t="shared" si="478"/>
        <v>79911</v>
      </c>
      <c r="ET126" s="82">
        <f t="shared" si="474"/>
        <v>19357</v>
      </c>
      <c r="EU126" s="82">
        <f t="shared" si="474"/>
        <v>18703</v>
      </c>
      <c r="EV126" s="82">
        <f t="shared" si="474"/>
        <v>8927</v>
      </c>
      <c r="EW126" s="82">
        <f t="shared" si="474"/>
        <v>17408</v>
      </c>
      <c r="EX126" s="79">
        <f t="shared" si="486"/>
        <v>64395</v>
      </c>
      <c r="EY126" s="82">
        <f t="shared" si="394"/>
        <v>20031</v>
      </c>
      <c r="EZ126" s="83">
        <f t="shared" si="394"/>
        <v>38177</v>
      </c>
      <c r="FA126" s="82">
        <f t="shared" si="431"/>
        <v>19900</v>
      </c>
      <c r="FB126" s="82">
        <f t="shared" si="406"/>
        <v>18184</v>
      </c>
      <c r="FC126" s="79">
        <f t="shared" si="487"/>
        <v>38084</v>
      </c>
      <c r="FD126" s="82">
        <f t="shared" si="488"/>
        <v>60376</v>
      </c>
      <c r="FF126" s="1">
        <v>1100000</v>
      </c>
      <c r="FG126" s="1" t="s">
        <v>512</v>
      </c>
      <c r="FH126" s="1">
        <v>1600000</v>
      </c>
      <c r="FI126" s="1" t="s">
        <v>512</v>
      </c>
      <c r="FJ126" s="1">
        <v>5300000</v>
      </c>
      <c r="FK126" s="1" t="s">
        <v>663</v>
      </c>
      <c r="FL126" s="1">
        <v>5800000</v>
      </c>
      <c r="FM126" s="1" t="s">
        <v>663</v>
      </c>
      <c r="FN126" s="1">
        <v>58000000</v>
      </c>
      <c r="FO126" s="1" t="s">
        <v>663</v>
      </c>
      <c r="FP126" s="1">
        <v>48500000</v>
      </c>
      <c r="FQ126" s="1" t="s">
        <v>663</v>
      </c>
      <c r="FR126" s="1">
        <v>3000000</v>
      </c>
      <c r="FS126" s="1" t="s">
        <v>663</v>
      </c>
      <c r="FT126" s="1">
        <v>22000000</v>
      </c>
      <c r="FU126" s="1" t="s">
        <v>663</v>
      </c>
      <c r="FV126" s="79">
        <f t="shared" si="355"/>
        <v>142600000</v>
      </c>
      <c r="FW126" s="83">
        <v>1389286</v>
      </c>
      <c r="FX126" s="1" t="s">
        <v>663</v>
      </c>
      <c r="FY126" s="1">
        <v>77375</v>
      </c>
      <c r="FZ126" s="79">
        <f t="shared" si="377"/>
        <v>883116</v>
      </c>
      <c r="GA126" s="86" t="str">
        <f t="shared" si="462"/>
        <v>oct24 sept25</v>
      </c>
      <c r="GB126" s="1">
        <v>19908335</v>
      </c>
      <c r="GC126" s="6">
        <v>2025</v>
      </c>
      <c r="GD126" s="83">
        <v>2213559</v>
      </c>
      <c r="GE126" s="83">
        <v>410324</v>
      </c>
      <c r="GF126" s="83">
        <v>1003144</v>
      </c>
      <c r="GG126" s="83">
        <v>129694</v>
      </c>
      <c r="GH126" s="79">
        <f t="shared" si="450"/>
        <v>1543162</v>
      </c>
      <c r="GI126" s="82">
        <f t="shared" si="463"/>
        <v>1302556</v>
      </c>
      <c r="GJ126" s="82">
        <f t="shared" si="463"/>
        <v>682423</v>
      </c>
      <c r="GK126" s="82">
        <f t="shared" si="463"/>
        <v>1391495</v>
      </c>
      <c r="GL126" s="82">
        <f t="shared" si="463"/>
        <v>305049</v>
      </c>
      <c r="GM126" s="82">
        <f t="shared" si="463"/>
        <v>260419</v>
      </c>
      <c r="GN126" s="79">
        <f t="shared" si="357"/>
        <v>2639386</v>
      </c>
      <c r="GO126" s="82">
        <f t="shared" si="464"/>
        <v>201734</v>
      </c>
      <c r="GP126" s="82">
        <f t="shared" si="464"/>
        <v>75000</v>
      </c>
      <c r="GQ126" s="83">
        <v>23861</v>
      </c>
      <c r="GR126" s="83">
        <v>31107</v>
      </c>
      <c r="GS126" s="79">
        <f t="shared" si="412"/>
        <v>31822.83</v>
      </c>
      <c r="GT126" s="82">
        <f t="shared" si="407"/>
        <v>2111561</v>
      </c>
      <c r="GU126" s="83">
        <f>18738+8035</f>
        <v>26773</v>
      </c>
      <c r="GV126" s="83">
        <f>9417+24890</f>
        <v>34307</v>
      </c>
      <c r="GW126" s="79">
        <f t="shared" si="455"/>
        <v>806338</v>
      </c>
      <c r="GX126" s="83">
        <v>36041.686000000002</v>
      </c>
      <c r="GY126" s="1" t="s">
        <v>802</v>
      </c>
      <c r="GZ126" s="83">
        <v>119643</v>
      </c>
      <c r="HA126" s="1">
        <v>271798</v>
      </c>
      <c r="HB126" s="79">
        <f t="shared" si="437"/>
        <v>3176359</v>
      </c>
      <c r="HC126" s="86" t="str">
        <f t="shared" si="465"/>
        <v>oct24 sept25</v>
      </c>
      <c r="HD126" s="1">
        <v>70839</v>
      </c>
      <c r="HE126" s="79">
        <f t="shared" si="380"/>
        <v>794422</v>
      </c>
      <c r="HF126" s="86" t="str">
        <f t="shared" si="466"/>
        <v>oct24 sept25</v>
      </c>
      <c r="HG126" s="1">
        <v>203000</v>
      </c>
      <c r="HH126" s="79">
        <f t="shared" si="438"/>
        <v>2322000</v>
      </c>
      <c r="HI126" s="86" t="str">
        <f t="shared" si="467"/>
        <v>oct24 sept25</v>
      </c>
      <c r="HJ126" s="1">
        <v>96459</v>
      </c>
      <c r="HK126" s="79">
        <f>+SUM(HJ115:HJ126)*1000*0.00006</f>
        <v>64526.724000000002</v>
      </c>
      <c r="HL126" s="86" t="str">
        <f t="shared" si="468"/>
        <v>oct24 sept25</v>
      </c>
      <c r="HM126" s="79">
        <f t="shared" si="358"/>
        <v>2386526.7239999999</v>
      </c>
      <c r="HN126" s="87">
        <f t="shared" si="297"/>
        <v>0.1234910520659267</v>
      </c>
      <c r="HO126" s="1">
        <v>1115400793</v>
      </c>
      <c r="HP126" s="79">
        <f t="shared" si="386"/>
        <v>11516.750502999999</v>
      </c>
      <c r="HQ126" s="86" t="str">
        <f t="shared" si="469"/>
        <v>oct24 sept25</v>
      </c>
      <c r="HU126" s="1">
        <v>990000</v>
      </c>
      <c r="HV126" s="1" t="s">
        <v>512</v>
      </c>
      <c r="HW126" s="1">
        <v>1460000</v>
      </c>
      <c r="HX126" s="1" t="s">
        <v>512</v>
      </c>
      <c r="HY126" s="83">
        <v>4730000</v>
      </c>
      <c r="HZ126" s="1" t="s">
        <v>512</v>
      </c>
      <c r="IA126" s="1">
        <f>(3+17.6)*1000000</f>
        <v>20600000</v>
      </c>
      <c r="IB126" s="1" t="s">
        <v>512</v>
      </c>
      <c r="IC126" s="1">
        <v>50500000</v>
      </c>
      <c r="ID126" s="1" t="s">
        <v>512</v>
      </c>
      <c r="IE126" s="1">
        <f t="shared" si="482"/>
        <v>850000.00000000012</v>
      </c>
      <c r="IF126" s="1" t="s">
        <v>512</v>
      </c>
      <c r="IG126" s="1">
        <f>(6.73+0.98)*1000000</f>
        <v>7710000.0000000009</v>
      </c>
      <c r="IH126" s="1" t="s">
        <v>512</v>
      </c>
      <c r="II126" s="79">
        <f t="shared" si="479"/>
        <v>85850000</v>
      </c>
      <c r="IJ126" s="97">
        <f>(9250000*12)/$IJ$2</f>
        <v>2.3888080854826579</v>
      </c>
      <c r="IK126" s="1" t="s">
        <v>663</v>
      </c>
      <c r="IL126" s="7">
        <v>46.08</v>
      </c>
      <c r="IM126" s="7">
        <v>49.84</v>
      </c>
      <c r="IN126" s="97">
        <v>182.6</v>
      </c>
      <c r="IO126" s="7">
        <v>18.600000000000001</v>
      </c>
      <c r="IP126" s="176">
        <f t="shared" si="480"/>
        <v>5.7424738987207355</v>
      </c>
      <c r="IQ126" s="176">
        <f t="shared" si="481"/>
        <v>16.079999999999998</v>
      </c>
      <c r="IR126" s="478">
        <f t="shared" si="459"/>
        <v>6.17</v>
      </c>
      <c r="IS126" s="478">
        <f t="shared" si="460"/>
        <v>5.03</v>
      </c>
      <c r="IT126" s="478">
        <f t="shared" si="460"/>
        <v>11</v>
      </c>
      <c r="IU126" s="478">
        <f t="shared" si="460"/>
        <v>1.1000000000000001</v>
      </c>
      <c r="IV126" s="94">
        <f t="shared" si="360"/>
        <v>17.130000000000003</v>
      </c>
      <c r="IY126" s="80">
        <v>1.88</v>
      </c>
      <c r="IZ126" s="88">
        <v>0.3</v>
      </c>
      <c r="JA126" s="82">
        <v>3555</v>
      </c>
      <c r="JB126" s="95">
        <f t="shared" si="433"/>
        <v>35.950000000000003</v>
      </c>
      <c r="JF126" s="2">
        <v>18.652099290000002</v>
      </c>
      <c r="JG126" s="2">
        <v>15.634826659999996</v>
      </c>
      <c r="JH126" s="2">
        <v>83.235661800000003</v>
      </c>
      <c r="JI126" s="2">
        <v>272.31538105000004</v>
      </c>
      <c r="JJ126" s="2">
        <v>483.44685553999989</v>
      </c>
      <c r="JK126" s="2">
        <v>137.05460552</v>
      </c>
      <c r="JL126" s="2">
        <v>3325.4566029700004</v>
      </c>
      <c r="JM126" s="2">
        <v>11.546835339999999</v>
      </c>
      <c r="JN126" s="2">
        <v>220.93591489000002</v>
      </c>
      <c r="JO126" s="2">
        <v>31.771959519999999</v>
      </c>
      <c r="JP126" s="2">
        <v>0</v>
      </c>
      <c r="JQ126" s="2">
        <v>0.15442800000000001</v>
      </c>
      <c r="JR126" s="2">
        <v>0.79042484000000002</v>
      </c>
      <c r="JS126" s="2">
        <v>0</v>
      </c>
      <c r="JT126" s="2">
        <v>5.0340000000000003E-2</v>
      </c>
      <c r="JU126" s="2">
        <v>103.29015631000003</v>
      </c>
      <c r="JV126" s="2">
        <v>23.96789236</v>
      </c>
      <c r="JW126" s="2">
        <v>17.078364690000001</v>
      </c>
      <c r="JX126" s="2">
        <v>27.617871260000001</v>
      </c>
      <c r="JY126" s="2">
        <v>0</v>
      </c>
      <c r="JZ126" s="2">
        <v>7.8217500800000002</v>
      </c>
      <c r="KA126" s="2">
        <v>0.53492799999999996</v>
      </c>
      <c r="KB126" s="2">
        <v>16.167947309999995</v>
      </c>
      <c r="KC126" s="2">
        <v>72.4463358</v>
      </c>
      <c r="KD126" s="2">
        <v>12.267837869999999</v>
      </c>
      <c r="KE126" s="2">
        <v>25.714133060000005</v>
      </c>
      <c r="KF126" s="2">
        <v>9.7942580100000001</v>
      </c>
      <c r="KG126" s="2">
        <v>536.17235368000001</v>
      </c>
      <c r="KH126" s="2">
        <v>202.06812983999998</v>
      </c>
      <c r="KI126" s="2">
        <v>19.550070639999998</v>
      </c>
      <c r="KJ126" s="2">
        <v>2.8298719000000001</v>
      </c>
      <c r="KK126" s="171">
        <v>9.0858989999999995</v>
      </c>
      <c r="KL126" s="171">
        <v>0.30085145999999996</v>
      </c>
      <c r="KM126" s="171">
        <v>1.3684569100000001</v>
      </c>
      <c r="KN126" s="171">
        <v>0.32615031999999999</v>
      </c>
      <c r="KO126" s="171">
        <v>2.4363805799999994</v>
      </c>
      <c r="KP126" s="171">
        <v>0.27773459</v>
      </c>
      <c r="KQ126" s="171">
        <v>175.41038189999995</v>
      </c>
      <c r="KR126" s="171">
        <v>1.5561E-2</v>
      </c>
      <c r="KS126" s="171">
        <v>0.21311633000000002</v>
      </c>
      <c r="KT126" s="171">
        <v>1.1250931100000001</v>
      </c>
      <c r="KU126" s="171">
        <v>0.45279353000000006</v>
      </c>
      <c r="KV126" s="171">
        <v>0.73196410999999995</v>
      </c>
      <c r="KW126" s="171">
        <v>1.7865804299999999</v>
      </c>
      <c r="KX126" s="171">
        <v>0</v>
      </c>
      <c r="KY126" s="171">
        <v>0</v>
      </c>
      <c r="KZ126" s="171">
        <v>6.2238594599999999</v>
      </c>
      <c r="LA126" s="171">
        <v>0.43976497000000003</v>
      </c>
      <c r="LB126" s="171">
        <v>0</v>
      </c>
      <c r="LC126" s="171">
        <v>0.21231149999999999</v>
      </c>
      <c r="LD126" s="171">
        <v>0</v>
      </c>
      <c r="LE126" s="171">
        <v>3.6450160000000002E-2</v>
      </c>
      <c r="LF126" s="171">
        <v>8.4655999999999995E-2</v>
      </c>
      <c r="LG126" s="171">
        <v>18.176691299999998</v>
      </c>
      <c r="LH126" s="171">
        <v>4.1999923900000002</v>
      </c>
      <c r="LI126" s="171">
        <v>2.1093840299999997</v>
      </c>
      <c r="LJ126" s="171">
        <v>0</v>
      </c>
      <c r="LK126" s="171">
        <v>5.5193633599999998</v>
      </c>
      <c r="LL126" s="171">
        <v>13.331294830000001</v>
      </c>
      <c r="LM126" s="171">
        <v>2.7814752500000006</v>
      </c>
      <c r="LN126" s="171">
        <v>0.12164886</v>
      </c>
      <c r="LO126" s="171">
        <v>13.92452713</v>
      </c>
      <c r="LQ126" s="85">
        <f t="shared" si="439"/>
        <v>4396.9372515900004</v>
      </c>
      <c r="LR126" s="85">
        <f t="shared" si="440"/>
        <v>0.99519284000000008</v>
      </c>
      <c r="LS126" s="85">
        <f t="shared" si="441"/>
        <v>41.046257050000001</v>
      </c>
      <c r="LT126" s="85">
        <f t="shared" si="442"/>
        <v>8.35667808</v>
      </c>
      <c r="LU126" s="85">
        <f t="shared" si="443"/>
        <v>179.77004703999992</v>
      </c>
      <c r="LV126" s="85">
        <f t="shared" si="444"/>
        <v>2.5185445399999997</v>
      </c>
      <c r="LW126" s="85">
        <f t="shared" si="445"/>
        <v>0.43976497000000003</v>
      </c>
      <c r="LX126" s="85">
        <f t="shared" si="446"/>
        <v>0.12110615999999999</v>
      </c>
      <c r="LZ126" s="83">
        <v>1635.68</v>
      </c>
      <c r="MA126" s="83">
        <v>1745.29</v>
      </c>
      <c r="MB126"/>
      <c r="MC126"/>
      <c r="MD126"/>
      <c r="MF126"/>
      <c r="MG126"/>
      <c r="MH126" s="83">
        <v>3833.99</v>
      </c>
      <c r="MI126" s="83">
        <v>914.65</v>
      </c>
      <c r="MJ126" s="83">
        <v>823</v>
      </c>
      <c r="MK126"/>
      <c r="ML126" s="83">
        <v>753.4</v>
      </c>
      <c r="MM126" s="83">
        <v>3310.32</v>
      </c>
      <c r="MN126" s="83"/>
      <c r="MO126" s="83">
        <v>922.05</v>
      </c>
      <c r="MP126" s="83">
        <v>2215.06</v>
      </c>
      <c r="MQ126" s="83">
        <v>2602.0700000000002</v>
      </c>
      <c r="MR126"/>
      <c r="MT126" s="83"/>
      <c r="MU126" s="83">
        <v>1060.5999999999999</v>
      </c>
      <c r="MV126"/>
      <c r="MW126"/>
      <c r="MX126"/>
      <c r="MY126" s="83">
        <v>2353.86</v>
      </c>
      <c r="MZ126" s="83">
        <v>7218</v>
      </c>
      <c r="NA126" s="83">
        <v>3808</v>
      </c>
      <c r="NB126" s="83">
        <v>11542</v>
      </c>
      <c r="NC126" s="83">
        <v>1580.18</v>
      </c>
      <c r="ND126" s="83">
        <v>12290</v>
      </c>
      <c r="NE126" s="1">
        <v>7394</v>
      </c>
    </row>
    <row r="127" spans="1:369">
      <c r="A127" s="38">
        <f t="shared" si="417"/>
        <v>45931</v>
      </c>
      <c r="B127" s="36">
        <f t="shared" si="476"/>
        <v>10</v>
      </c>
      <c r="C127" s="36">
        <f t="shared" si="477"/>
        <v>2025</v>
      </c>
      <c r="D127" s="36">
        <f t="shared" si="347"/>
        <v>127</v>
      </c>
      <c r="E127" s="38">
        <f t="shared" si="418"/>
        <v>45931</v>
      </c>
      <c r="F127" s="7">
        <v>1432.0227</v>
      </c>
      <c r="G127" s="7">
        <v>9603.8623000000007</v>
      </c>
      <c r="H127" s="1">
        <f>[2]NACIONALES!$D115</f>
        <v>954746.56</v>
      </c>
      <c r="I127" s="7">
        <v>96</v>
      </c>
      <c r="J127" s="7">
        <v>600</v>
      </c>
      <c r="K127" s="7">
        <v>4</v>
      </c>
      <c r="L127" s="7">
        <v>33.799999999999997</v>
      </c>
      <c r="N127" s="5">
        <f>AVERAGE(1.19,1.09,1.24,1.2,1.25)</f>
        <v>1.1940000000000002</v>
      </c>
      <c r="O127" s="5">
        <f>AVERAGE(1,0.96,0.99,0.94,0.94)</f>
        <v>0.96599999999999997</v>
      </c>
      <c r="P127" s="78">
        <f t="shared" si="485"/>
        <v>1469.2552902</v>
      </c>
      <c r="Q127" s="6">
        <v>22550</v>
      </c>
      <c r="R127" s="79">
        <f t="shared" si="419"/>
        <v>225500</v>
      </c>
      <c r="S127" s="6">
        <v>180</v>
      </c>
      <c r="T127" s="6">
        <f>424500/F127</f>
        <v>296.43384842991668</v>
      </c>
      <c r="U127" s="6">
        <v>175.87</v>
      </c>
      <c r="V127" s="143">
        <v>311.43</v>
      </c>
      <c r="W127" s="6">
        <v>194</v>
      </c>
      <c r="X127" s="6">
        <v>187.85</v>
      </c>
      <c r="Y127" s="79">
        <f t="shared" si="420"/>
        <v>257764.08600000001</v>
      </c>
      <c r="Z127" s="79">
        <f t="shared" si="421"/>
        <v>424500.00000000006</v>
      </c>
      <c r="AA127" s="79">
        <f t="shared" si="422"/>
        <v>251849.832249</v>
      </c>
      <c r="AB127" s="79">
        <f t="shared" si="423"/>
        <v>445974.82946099999</v>
      </c>
      <c r="AC127" s="79">
        <f t="shared" si="424"/>
        <v>277812.40379999997</v>
      </c>
      <c r="AD127" s="79">
        <f t="shared" si="425"/>
        <v>269005.46419500001</v>
      </c>
      <c r="AE127" s="79">
        <f t="shared" si="426"/>
        <v>321151.1026175</v>
      </c>
      <c r="AF127" s="83">
        <f>592*F126</f>
        <v>825167.27272727271</v>
      </c>
      <c r="AG127" s="83">
        <v>280000</v>
      </c>
      <c r="AH127" s="83">
        <v>950000</v>
      </c>
      <c r="AI127" s="5">
        <v>473.53</v>
      </c>
      <c r="AJ127" s="5">
        <v>298.3</v>
      </c>
      <c r="AK127" s="5">
        <v>417.51</v>
      </c>
      <c r="AL127" s="5">
        <v>273.52999999999997</v>
      </c>
      <c r="AM127" s="78">
        <f t="shared" si="458"/>
        <v>403.9556</v>
      </c>
      <c r="AN127" s="851">
        <v>30353.603603603602</v>
      </c>
      <c r="AO127" s="851">
        <v>25144.476190476191</v>
      </c>
      <c r="AP127" s="78">
        <f t="shared" si="470"/>
        <v>25144.476190476191</v>
      </c>
      <c r="AQ127" s="851">
        <v>26952</v>
      </c>
      <c r="AR127" s="851">
        <v>18417.476190476191</v>
      </c>
      <c r="AS127" s="851">
        <v>11934.619047619048</v>
      </c>
      <c r="AT127" s="851">
        <v>16045.238095238095</v>
      </c>
      <c r="AU127" s="78">
        <f t="shared" si="348"/>
        <v>15465.777777777776</v>
      </c>
      <c r="AV127" s="851">
        <v>4957.6642335766419</v>
      </c>
      <c r="AW127" s="851">
        <v>12333.333333333334</v>
      </c>
      <c r="AX127" s="851">
        <v>10509.99523809524</v>
      </c>
      <c r="AY127" s="851">
        <v>21303.470031545741</v>
      </c>
      <c r="AZ127" s="851">
        <v>6026.1904761904761</v>
      </c>
      <c r="BA127" s="851">
        <v>4519.0476190476193</v>
      </c>
      <c r="BB127" s="94">
        <f t="shared" si="345"/>
        <v>11348.833077545776</v>
      </c>
      <c r="BC127" s="68">
        <v>44166</v>
      </c>
      <c r="BD127" s="68">
        <v>39751</v>
      </c>
      <c r="BE127" s="97">
        <v>25000</v>
      </c>
      <c r="BF127" s="97">
        <v>19000</v>
      </c>
      <c r="BG127" s="94">
        <f t="shared" si="349"/>
        <v>31979.25</v>
      </c>
      <c r="BH127" s="7">
        <v>3807</v>
      </c>
      <c r="BI127" s="97">
        <f t="shared" ref="BI127:BI128" si="489">822+307.2</f>
        <v>1129.2</v>
      </c>
      <c r="BJ127" s="78">
        <f t="shared" si="350"/>
        <v>4936.2</v>
      </c>
      <c r="BK127" s="7">
        <v>3376.6120000000001</v>
      </c>
      <c r="BL127" s="7">
        <v>4506.8</v>
      </c>
      <c r="BM127" s="94">
        <f t="shared" si="351"/>
        <v>3941.7060000000001</v>
      </c>
      <c r="BN127" s="5">
        <v>475.43</v>
      </c>
      <c r="BO127" s="84">
        <f>AVERAGE(2013.57,2239.82,1877.82,1877.82)</f>
        <v>2002.2574999999999</v>
      </c>
      <c r="BP127" s="84">
        <f>AVERAGE(2000,2200)</f>
        <v>2100</v>
      </c>
      <c r="BQ127" s="94">
        <f t="shared" si="435"/>
        <v>2051.1287499999999</v>
      </c>
      <c r="BR127" s="7">
        <v>1779.79</v>
      </c>
      <c r="BS127" s="97">
        <v>6500</v>
      </c>
      <c r="BT127" s="97">
        <f>1.92*F127</f>
        <v>2749.4835840000001</v>
      </c>
      <c r="BU127" s="79">
        <f t="shared" si="436"/>
        <v>86248.450752000004</v>
      </c>
      <c r="BV127" s="7">
        <v>2195</v>
      </c>
      <c r="BW127" s="7">
        <v>3819</v>
      </c>
      <c r="BY127" s="268">
        <f>BY$10*(1+((H127/H$10-1)*costos!$B$5+((I127*F127)/(I$10*F$10)-1)*costos!$E$5+((J127*F127)/((J$10*F$10)-1)*costos!$F$5/3+((K127*F127)/(K$10*F$10)-1)*costos!$F$5/3+((U127*F127)/(U$10*F$10)-1)*costos!$F$5/3+((L127*F127)/(L$10*F$10)-1)*costos!$G$5+((N127*F127)/(N$10*F$10)-1)*costos!$J$5+((V127*F127)/(V$10*F$10)-1)*costos!$K$5)))</f>
        <v>11724.57051728266</v>
      </c>
      <c r="BZ127" s="268">
        <f>$BZ$10*(1+((H127/$H$10-1)*costos!$B$6+((I127*F127)/($I$10*$F$10)-1)*costos!$E$6+((J127*F127)/(($J$10*$F$10)-1)*costos!$F$6/3+((K127*F127)/($K$10*$F$10)-1)*costos!$F$6/3+((U127*F127)/($U$10*$F$10)-1)*costos!$F$6/3+((L127*F127)/($L$10*$F$10)-1)*costos!$G$6+((Q127*F127)/($Q$10*$F$10)-1)*costos!$J$6+((V127*F127)/($V$10*$F$10)-1)*costos!$K$6)))</f>
        <v>11625.447521355494</v>
      </c>
      <c r="CA127" s="268">
        <f>CA$10*(1+((H127/H$10-1)*costos!$B$7+((I127*F127)/(I$10*F$10)-1)*costos!$E$7+((J127*F127)/((J$10*F$10)-1)*costos!$F$7/3+((K127*F127)/(K$10*F$10)-1)*costos!$F$7/3+((U127*F127)/(U$10*F$10)-1)*costos!$F$7/3+((L127*F127)/(L$10*F$10)-1)*costos!$G$7+((S127*F127)/(S$10*F$10)-1)*costos!$J$7+((V127*F127)/(V$10*F$10)-1)*costos!$K$7)))</f>
        <v>12531.619279693745</v>
      </c>
      <c r="CB127" s="268">
        <f>CB$10*(1+((H127/H$10-1)*costos!$B$8+((I127*F127)/(I$10*F$10)-1)*costos!$E$8+((J127*F127)/((J$10*F$10)-1)*costos!$F$8/3+((K127*F127)/(K$10*F$10)-1)*costos!$F$8/3+((U127*F127)/(U$10*F$10)-1)*costos!$F$8/3+((L127*F127)/(L$10*F$10)-1)*costos!$G$8+((T127*F127)/(T$10*F$10)-1)*costos!$J$8+((V127*F127)/(V$10*F$10)-1)*costos!$K$8)))</f>
        <v>12220.763782456197</v>
      </c>
      <c r="CC127" s="268">
        <f>CC$10*(1+((H127/H$10-1)*costos!$B$9+((I127*F127)/(I$10*F$10)-1)*costos!$E$9+((J127*F127)/((J$10*F$10)-1)*costos!$F$9/3+((K127*F127)/(K$10*F$10)-1)*costos!$F$9/3+((U127*F127)/(U$10*F$10)-1)*costos!$F$9/3+((L127*F127)/(L$10*F$10)-1)*costos!$G$9+((U127*F127)/(U$10*F$10)-1)*costos!$J$9+((V127*F127)/(V$10*F$10)-1)*costos!$K$9)))</f>
        <v>12386.083237313575</v>
      </c>
      <c r="CD127" s="268">
        <f>CD$10*(1+((H127/H$10-1)*costos!$B$11+((I127*F127)/(I$10*F$10)-1)*costos!$E$11+((J127*F127)/((J$10*F$10)-1)*costos!$F$11/3+((K127*F127)/(K$10*F$10)-1)*costos!$F$11/3+((U127*F127)/(U$10*F$10)-1)*costos!$F$11/3+((L127*F127)/(L$10*F$10)-1)*costos!$G$11+((V127*F127)/(V$10*F$10)-1)*costos!$J$11+((V127*F127)/(V$10*F$10)-1)*costos!$K$11)))</f>
        <v>13046.95796041253</v>
      </c>
      <c r="CE127" s="268">
        <f>CE$10*(1+((H127/H$10-1)*costos!$B$12+((I127*F127)/(I$10*F$10)-1)*costos!$E$12+((J127*F127)/((J$10*F$10)-1)*costos!$F$12/3+((K127*F127)/(K$10*F$10)-1)*costos!$F$12/3+((U127*F127)/(U$10*F$10)-1)*costos!$F$12/3+((L127*F127)/(L$10*F$10)-1)*costos!$G$12+((W127*F127)/(W$10*F$10)-1)*costos!$J$12+((V127*F127)/(V$10*F$10)-1)*costos!$K$12)))</f>
        <v>12666.627428012018</v>
      </c>
      <c r="CF127" s="268">
        <f>CF$10*(1+((H127/H$10-1)*costos!$B$13+((I127*F127)/(I$10*F$10)-1)*costos!$E$13+((J127*F127)/((J$10*F$10)-1)*costos!$F$13/3+((K127*F127)/(K$10*F$10)-1)*costos!$F$13/3+((U127*F127)/(U$10*F$10)-1)*costos!$F$13/3+((L127*F127)/(L$10*F$10)-1)*costos!$G$13+((X127*F127)/(X$10*F$10)-1)*costos!$J$13+((V127*F127)/(V$10*F$10)-1)*costos!$K$13)))</f>
        <v>12729.151517215005</v>
      </c>
      <c r="CG127" s="268">
        <f t="shared" si="471"/>
        <v>12596.867200850511</v>
      </c>
      <c r="CH127" s="268">
        <f>CH$10*(1+((H127/H$10-1)*costos!$B$10+((I127*F127)/(I$10*F$10)-1)*costos!$E$10+((J127*F127)/((J$10*F$10)-1)*costos!$F$10/3+((K127*F127)/(K$10*F$10)-1)*costos!$F$10/3+((U127*F127)/(U$10*F$10)-1)*costos!$F$10/3+((L127*F127)/(L$10*F$10)-1)*costos!$G$10+((AF127)/(AF$10)-1)*costos!$J$10+((V127*F127)/(V$10*F$10)-1)*costos!$K$10)))</f>
        <v>12497.616793266192</v>
      </c>
      <c r="CI127" s="268">
        <f>CI$10*(1+((H127/H$10-1)*costos!$B$15+((I127*F127)/(I$10*F$10)-1)*costos!$E$15+((J127*F127)/((J$10*F$10)-1)*costos!$F$15/3+((K127*F127)/(K$10*F$10)-1)*costos!$F$15/3+((U127*F127)/(U$10*F$10)-1)*costos!$F$15/3+((L127*F127)/(L$10*F$10)-1)*costos!$G$15+((AV128)/(AV$10)-1)*costos!$J$15+((V127*F127)/(V$10*F$10)-1)*costos!$K$15)))</f>
        <v>11865.491788930934</v>
      </c>
      <c r="CJ127" s="268">
        <f>CJ$10*(1+((H127/H$10-1)*costos!$B$16+((I127*F127)/(I$10*F$10)-1)*costos!$E$16+((J127*F127)/((J$10*F$10)-1)*costos!$F$16/3+((K127*F127)/(K$10*F$10)-1)*costos!$F$16/3+((U127*F127)/(U$10*F$10)-1)*costos!$F$16/3+((L127*F127)/(L$10*F$10)-1)*costos!$G$16+((AW127)/(AW$10)-1)*costos!$J$16+((V127*F127)/(V$10*F$10)-1)*costos!$K$16)))</f>
        <v>11104.635542108232</v>
      </c>
      <c r="CK127" s="268">
        <f>CK$10*(1+((H127/H$10-1)*costos!$B$17+((I127*F127)/(I$10*F$10)-1)*costos!$E$17+((J127*F127)/((J$10*F$10)-1)*costos!$F$17/3+((K127*F127)/(K$10*F$10)-1)*costos!$F$17/3+((U127*F127)/(U$10*F$10)-1)*costos!$F$17/3+((L127*F127)/(L$10*F$10)-1)*costos!$G$17+((AX127)/(AX$10)-1)*costos!$J$17+((V127*F127)/(V$10*F$10)-1)*costos!$K$17)))</f>
        <v>12319.205545817844</v>
      </c>
      <c r="CL127" s="268">
        <f>CL$10*(1+((H127/H$10-1)*costos!$B$18+((I127*F127)/(I$10*F$10)-1)*costos!$E$18+((J127*F127)/((J$10*F$10)-1)*costos!$F$18/3+((K127*F127)/(K$10*F$10)-1)*costos!$F$18/3+((U127*F127)/(U$10*F$10)-1)*costos!$F$18/3+((L127*F127)/(L$10*F$10)-1)*costos!$G$18+((AY127)/(AY$10)-1)*costos!$J$18+((V127*F127)/(V$10*F$10)-1)*costos!$K$18)))</f>
        <v>14516.010453750136</v>
      </c>
      <c r="CM127" s="268">
        <f>CM$10*(1+((H127/H$10-1)*costos!$B$19+((I127*F127)/(I$10*F$10)-1)*costos!$E$19+((J127*F127)/((J$10*F$10)-1)*costos!$F$19/3+((K127*F127)/(K$10*F$10)-1)*costos!$F$19/3+((U127*F127)/(U$10*F$10)-1)*costos!$F$19/3+((L127*F127)/(L$10*F$10)-1)*costos!$G$19+((AZ127)/(AZ$10)-1)*costos!$J$19+((V127*F127)/(V$10*F$10)-1)*costos!$K$19)))</f>
        <v>10292.845723710403</v>
      </c>
      <c r="CN127" s="268">
        <f>CN$10*(1+((H127/H$10-1)*costos!$B$20+((I127*F127)/(I$10*F$10)-1)*costos!$E$20+((J127*F127)/((J$10*F$10)-1)*costos!$F$20/3+((K127*F127)/(K$10*F$10)-1)*costos!$F$20/3+((U127*F127)/(U$10*F$10)-1)*costos!$F$20/3+((L127*F127)/(L$10*F$10)-1)*costos!$G$20+((BA127)/(BA$10)-1)*costos!$J$20+((V127*F127)/(V$10*F$10)-1)*costos!$K$20)))</f>
        <v>10945.801252384779</v>
      </c>
      <c r="CO127" s="268">
        <f t="shared" si="472"/>
        <v>12018.465743915791</v>
      </c>
      <c r="CP127" s="268">
        <f>CP$10*(1+((H127/H$10-1)*costos!$B$22+((I127*F127)/(I$10*F$10)-1)*costos!$E$22+((J127*F127)/((J$10*F$10)-1)*costos!$F$22/3+((K127*F127)/(K$10*F$10)-1)*costos!$F$22/3+((U127*F127)/(U$10*F$10)-1)*costos!$F$22/3+((L127*F127)/(L$10*F$10)-1)*costos!$G$22+(((AVERAGE(AI127:AL127))/((AVERAGE(AI$10:AL$10))-1)*costos!$J$22+((V127*F127)/(V$10*F$10)-1)*costos!$K$22)))))</f>
        <v>13228.591666886283</v>
      </c>
      <c r="CQ127" s="92">
        <f>CQ$10*(1+((H127/H$10-1)*costos!$B$23+((I127*F127)/(I$10*F$10)-1)*costos!$E$23+((J127*F127)/((J$10*F$10)-1)*costos!$F$23/3+((K127*F127)/(K$10*F$10)-1)*costos!$F$23/3+((U127*F127)/(U$10*F$10)-1)*costos!$F$23/3+((L127*F127)/(L$10*F$10)-1)*costos!$G$23+((AN127)/(AN$10)-1)*costos!$J$23+((V127*F127)/(V$10*F$10)-1)*costos!$K$23)))</f>
        <v>11733.088485170294</v>
      </c>
      <c r="CR127" s="268">
        <f>CR$10*(1+((H127/H$10-1)*costos!$B$24+((I127*F127)/(I$10*F$10)-1)*costos!$E$24+((J127*F127)/((J$10*F$10)-1)*costos!$F$24/3+((K127*F127)/(K$10*F$10)-1)*costos!$F$24/3+((U127*F127)/(U$10*F$10)-1)*costos!$F$24/3+((L127*F127)/(L$10*F$10)-1)*costos!$G$24+((AO127)/(AO$10)-1)*costos!$J$24+((V127*F127)/(V$10*F$10)-1)*costos!$K$24)))</f>
        <v>12316.023068637667</v>
      </c>
      <c r="CS127" s="92">
        <f t="shared" si="352"/>
        <v>12024.555776903981</v>
      </c>
      <c r="CT127" s="268">
        <f>CT$10*(1+((H127/H$10-1)*costos!$B$25+((I127*F127)/(I$10*F$10)-1)*costos!$E$25+((J127*F127)/((J$10*F$10)-1)*costos!$F$25/3+((K127*F127)/(K$10*F$10)-1)*costos!$F$25/3+((U127*F127)/(U$10*F$10)-1)*costos!$F$25/3+((L127*F127)/(L$10*F$10)-1)*costos!$G$25+((AQ127)/(AQ$10)-1)*costos!$J$25+((V127*F127)/(V$10*F$10)-1)*costos!$K$25)))</f>
        <v>12105.593257313072</v>
      </c>
      <c r="CU127" s="268">
        <f>CU$10*(1+((H127/H$10-1)*costos!$B$26+((I127*F127)/(I$10*F$10)-1)*costos!$E$26+((J127*F127)/((J$10*F$10)-1)*costos!$F$26/3+((K127*F127)/(K$10*F$10)-1)*costos!$F$26/3+((U127*F127)/(U$10*F$10)-1)*costos!$F$26/3+((L127*F127)/(L$10*F$10)-1)*costos!$G$26+((AR127)/(AR$10)-1)*costos!$J$26+((V127*F127)/(V$10*F$10)-1)*costos!$K$26)))</f>
        <v>11908.388525027818</v>
      </c>
      <c r="CV127" s="268">
        <f>CV$10*(1+((H127/H$10-1)*costos!$B$27+((I127*F127)/(I$10*F$10)-1)*costos!$E$27+((J127*F127)/((J$10*F$10)-1)*costos!$F$27/3+((K127*F127)/(K$10*F$10)-1)*costos!$F$27/3+((U127*F127)/(U$10*F$10)-1)*costos!$F$27/3+((L127*F127)/(L$10*F$10)-1)*costos!$G$27+((AS127)/(AS$10)-1)*costos!$J$27+((V127*F127)/(V$10*F$10)-1)*costos!$K$27)))</f>
        <v>11452.611743645428</v>
      </c>
      <c r="CW127" s="268">
        <f>CW$10*(1+((H127/H$10-1)*costos!$B$28+((I127*F127)/(I$10*F$10)-1)*costos!$E$28+((J127*F127)/((J$10*F$10)-1)*costos!$F$28/3+((K127*F127)/(K$10*F$10)-1)*costos!$F$28/3+((U127*F127)/(U$10*F$10)-1)*costos!$F$28/3+((L127*F127)/(L$10*F$10)-1)*costos!$G$28+((AS127)/(AS$10)-1)*costos!$J$28+((V127*F127)/(V$10*F$10)-1)*costos!$K$28)))</f>
        <v>11452.611743645428</v>
      </c>
      <c r="CX127" s="268">
        <f t="shared" si="473"/>
        <v>11604.537337439559</v>
      </c>
      <c r="CY127" s="268">
        <f>CY$10*(1+((H127/H$10-1)*costos!$B$32+((I127*F127)/(I$10*F$10)-1)*costos!$E$32+((J127*F127)/((J$10*F$10)-1)*costos!$F$32/3+((K127*F127)/(K$10*F$10)-1)*costos!$F$32/3+((U127*F127)/(U$10*F$10)-1)*costos!$F$32/3+((L127*F127)/(L$10*F$10)-1)*costos!$G$32+((AG127)/(AG$10)-1)*costos!$J$32+((V127*F127)/(V$10*F$10)-1)*costos!$K$32)))</f>
        <v>11822.28850084903</v>
      </c>
      <c r="CZ127" s="69">
        <f>CZ$10*(1+((H127/H$10-1)*costos!$B$31+((I127*F127)/(I$10*F$10)-1)*costos!$E$30+((J127*F127)/((J$10*F$10)-1)*costos!$F$30/3+((K127*F127)/(K$10*F$10)-1)*costos!$F$30/3+((U127*F127)/(U$10*F$10)-1)*costos!$F$30/3+((L127*F127)/(L$10*F$10)-1)*costos!$G$30+((BG127)/(BG$10)-1)*costos!$J$30+((V127*F127)/(V$10*F$10)-1)*costos!$K$30)))</f>
        <v>14732.417872874668</v>
      </c>
      <c r="DA127" s="69">
        <f>DA$10*(1+((H127/H$10-1)*costos!$B$31+((I127*F127)/(I$10*F$10)-1)*costos!$E$31+((J127*F127)/((J$10*F$10)-1)*costos!$F$31/3+((K127*F127)/(K$10*F$10)-1)*costos!$F$31/3+((U127*F127)/(U$10*F$10)-1)*costos!$F$31/3+((L127*F127)/(L$10*F$10)-1)*costos!$G$31+((BJ127)/(BJ$10)-1)*costos!$J$31+((V127*F127)/(V$10*F$10)-1)*costos!$K$31)))</f>
        <v>12221.312630721703</v>
      </c>
      <c r="DB127" s="69">
        <f>DB$10*(1+((H127/H$10-1)*costos!$B$36+((I127*F127)/(I$10*F$10)-1)*costos!$E$36+((J127*F127)/((J$10*F$10)-1)*costos!$F$36/3+((K127*F127)/(K$10*F$10)-1)*costos!$F$36/3+((U127*F127)/(U$10*F$10)-1)*costos!$F$36/3+((L127*F127)/(L$10*F$10)-1)*costos!$G$36+((BK127)/(BK$10)-1)*costos!$J$36+((V127*F127)/(V$10*F$10)-1)*costos!$K$36)))</f>
        <v>12493.026543355083</v>
      </c>
      <c r="DC127" s="69">
        <f>DC$10*(1+((H127/H$10-1)*costos!$B$37+((I127*F127)/(I$10*F$10)-1)*costos!$E$37+((U127*F127)/(U$10*F$10)-1)*costos!$F$37+((L127*F127)/(L$10*F$10)-1)*costos!$G$37+((BN127)/(BN$10)-1)*costos!$J$37+((V127*F127)/(V$10*F$10)-1)*costos!$K$37))</f>
        <v>12280.120365260345</v>
      </c>
      <c r="DD127" s="69">
        <f>DD$10*(1+((H127/H$10-1)*costos!$B$39+((I127*F127)/(I$10*F$10)-1)*costos!$E$39+((U127*F127)/(U$10*F$10)-1)*costos!$F$39+((L127*F127)/(L$10*F$10)-1)*costos!$G$39+((BR127)/(BR$10)-1)*costos!$J$39+((V127*F127)/(V$10*F$10)-1)*costos!$K$39))</f>
        <v>12137.5798680919</v>
      </c>
      <c r="DE127" s="69">
        <f>DD$10*(1+((H127/H$10-1)*costos!$B$35+((I127*F127)/(I$10*F$10)-1)*costos!$E$35+((U127*F127)/(U$10*F$10)-1)*costos!$F$35+((L127*F127)/(L$10*F$10)-1)*costos!$G$35+((BR127)/(BR$10)-1)*costos!$J$35+((V127*F127)/(V$10*F$10)-1)*costos!$K$35))</f>
        <v>10869.13915520413</v>
      </c>
      <c r="DF127" s="69">
        <f>DF$10*(1+((H127/H$10-1)*costos!$B$40+((I127*F127)/(I$10*F$10)-1)*costos!$E$40+((U127*F127)/(U$10*F$10)-1)*costos!$F$40+((L127*F127)/(L$10*F$10)-1)*costos!$G$40+((BP127)/(BP$10)-1)*costos!$J$40+((V127*F127)/(V$10*F$10)-1)*costos!$K$40))</f>
        <v>12607.572075943644</v>
      </c>
      <c r="DG127" s="268">
        <f t="shared" si="484"/>
        <v>11738.355615573888</v>
      </c>
      <c r="DH127" s="69">
        <f>DH$10*(1+((H127/H$10-1)*costos!$B$34+((I127*F127)/(I$10*F$10)-1)*costos!$E$34+((J127*F127)/((J$10*F$10)-1)*costos!$F$34/3+((K127*F127)/(K$10*F$10)-1)*costos!$F$34/3+((U127*F127)/(U$10*F$10)-1)*costos!$F$34/3+((L127*F127)/(L$10*F$10)-1)*costos!$G$34+((BV127)/(BV$10)-1)*costos!$J$34+((V127*F127)/(V$10*F$10)-1)*costos!$K$34)))</f>
        <v>12020.276248962509</v>
      </c>
      <c r="DI127" s="69">
        <f>DI$10*(1+((H127/H$10-1)*costos!$B$38+((I127*F127)/(I$10*F$10)-1)*costos!$E$38+((J127*F127)/((J$10*F$10)-1)*costos!$F$38/3+((K127*F127)/(K$10*F$10)-1)*costos!$F$38/3+((U127*F127)/(U$10*F$10)-1)*costos!$F$38/3+((L127*F127)/(L$10*F$10)-1)*costos!$G$38+((BU127)/(BU$10)-1)*costos!$J$38+((V127*F127)/(V$10*F$10)-1)*costos!$K$38)))</f>
        <v>12087.728309142445</v>
      </c>
      <c r="DK127" s="1">
        <v>700000</v>
      </c>
      <c r="DL127" s="1" t="s">
        <v>663</v>
      </c>
      <c r="DM127" s="1">
        <v>200000</v>
      </c>
      <c r="DN127" s="1" t="s">
        <v>663</v>
      </c>
      <c r="DO127" s="1">
        <v>1500000</v>
      </c>
      <c r="DP127" s="1" t="s">
        <v>663</v>
      </c>
      <c r="DQ127" s="1">
        <v>2800000</v>
      </c>
      <c r="DR127" s="1" t="s">
        <v>663</v>
      </c>
      <c r="DS127" s="1">
        <v>7800000</v>
      </c>
      <c r="DT127" s="1" t="s">
        <v>663</v>
      </c>
      <c r="DU127" s="1">
        <v>17600000</v>
      </c>
      <c r="DV127" s="1" t="s">
        <v>663</v>
      </c>
      <c r="DW127" s="1">
        <v>930000</v>
      </c>
      <c r="DX127" s="1" t="s">
        <v>663</v>
      </c>
      <c r="DY127" s="1">
        <v>6970000</v>
      </c>
      <c r="DZ127" s="1" t="s">
        <v>663</v>
      </c>
      <c r="EA127" s="79">
        <f t="shared" si="353"/>
        <v>37600000</v>
      </c>
      <c r="EB127" s="1">
        <v>389000</v>
      </c>
      <c r="EC127" s="1" t="s">
        <v>663</v>
      </c>
      <c r="ED127" s="1">
        <v>231352</v>
      </c>
      <c r="EE127" s="143">
        <v>2025</v>
      </c>
      <c r="EF127" s="83">
        <v>196220</v>
      </c>
      <c r="EG127" s="143">
        <v>2025</v>
      </c>
      <c r="EH127" s="1">
        <v>51624909</v>
      </c>
      <c r="EI127" s="143">
        <v>2025</v>
      </c>
      <c r="EJ127" s="1">
        <v>5987778</v>
      </c>
      <c r="EK127" s="6">
        <v>2025</v>
      </c>
      <c r="EL127" s="1">
        <v>11967429</v>
      </c>
      <c r="EM127" s="6">
        <v>2025</v>
      </c>
      <c r="EN127" s="1">
        <v>2898684</v>
      </c>
      <c r="EO127" s="6">
        <v>2025</v>
      </c>
      <c r="EP127" s="83">
        <v>9455</v>
      </c>
      <c r="EQ127" s="83">
        <v>4000000</v>
      </c>
      <c r="ER127" s="83">
        <f t="shared" si="478"/>
        <v>79911</v>
      </c>
      <c r="ET127" s="82">
        <f t="shared" si="474"/>
        <v>19357</v>
      </c>
      <c r="EU127" s="82">
        <f t="shared" si="474"/>
        <v>18703</v>
      </c>
      <c r="EV127" s="82">
        <f t="shared" si="474"/>
        <v>8927</v>
      </c>
      <c r="EW127" s="82">
        <f t="shared" si="474"/>
        <v>17408</v>
      </c>
      <c r="EX127" s="79">
        <f t="shared" si="486"/>
        <v>64395</v>
      </c>
      <c r="EY127" s="82">
        <f t="shared" si="394"/>
        <v>20031</v>
      </c>
      <c r="EZ127" s="83">
        <f t="shared" si="394"/>
        <v>38177</v>
      </c>
      <c r="FA127" s="82">
        <f t="shared" si="431"/>
        <v>19900</v>
      </c>
      <c r="FB127" s="82">
        <f t="shared" si="406"/>
        <v>18184</v>
      </c>
      <c r="FC127" s="79">
        <f t="shared" si="487"/>
        <v>38084</v>
      </c>
      <c r="FD127" s="82">
        <f t="shared" si="488"/>
        <v>60376</v>
      </c>
      <c r="FF127" s="1">
        <v>1100000</v>
      </c>
      <c r="FG127" s="1" t="s">
        <v>512</v>
      </c>
      <c r="FH127" s="1">
        <v>1600000</v>
      </c>
      <c r="FI127" s="1" t="s">
        <v>512</v>
      </c>
      <c r="FJ127" s="1">
        <v>5300000</v>
      </c>
      <c r="FK127" s="1" t="s">
        <v>663</v>
      </c>
      <c r="FL127" s="1">
        <v>5800000</v>
      </c>
      <c r="FM127" s="1" t="s">
        <v>663</v>
      </c>
      <c r="FN127" s="1">
        <v>58000000</v>
      </c>
      <c r="FO127" s="1" t="s">
        <v>663</v>
      </c>
      <c r="FP127" s="1">
        <v>48500000</v>
      </c>
      <c r="FQ127" s="1" t="s">
        <v>663</v>
      </c>
      <c r="FR127" s="1">
        <v>3000000</v>
      </c>
      <c r="FS127" s="1" t="s">
        <v>663</v>
      </c>
      <c r="FT127" s="1">
        <v>22000000</v>
      </c>
      <c r="FU127" s="1" t="s">
        <v>663</v>
      </c>
      <c r="FV127" s="79">
        <f t="shared" si="355"/>
        <v>142600000</v>
      </c>
      <c r="FW127" s="83">
        <v>1389286</v>
      </c>
      <c r="FX127" s="1" t="s">
        <v>663</v>
      </c>
      <c r="FY127" s="1">
        <v>2371</v>
      </c>
      <c r="FZ127" s="79">
        <f t="shared" si="377"/>
        <v>885487</v>
      </c>
      <c r="GA127" s="86" t="str">
        <f t="shared" si="462"/>
        <v>nov24 oct25</v>
      </c>
      <c r="GB127" s="1">
        <v>19908335</v>
      </c>
      <c r="GC127" s="6">
        <v>2025</v>
      </c>
      <c r="GD127" s="83">
        <v>2213559</v>
      </c>
      <c r="GE127" s="83">
        <v>410324</v>
      </c>
      <c r="GF127" s="83">
        <v>1003144</v>
      </c>
      <c r="GG127" s="83">
        <v>129694</v>
      </c>
      <c r="GH127" s="79">
        <f t="shared" si="450"/>
        <v>1543162</v>
      </c>
      <c r="GI127" s="82">
        <f t="shared" si="463"/>
        <v>1302556</v>
      </c>
      <c r="GJ127" s="82">
        <f t="shared" si="463"/>
        <v>682423</v>
      </c>
      <c r="GK127" s="82">
        <f t="shared" si="463"/>
        <v>1391495</v>
      </c>
      <c r="GL127" s="82">
        <f t="shared" si="463"/>
        <v>305049</v>
      </c>
      <c r="GM127" s="82">
        <f t="shared" si="463"/>
        <v>260419</v>
      </c>
      <c r="GN127" s="79">
        <f t="shared" si="357"/>
        <v>2639386</v>
      </c>
      <c r="GO127" s="82">
        <f t="shared" si="464"/>
        <v>201734</v>
      </c>
      <c r="GP127" s="82">
        <f t="shared" si="464"/>
        <v>75000</v>
      </c>
      <c r="GQ127" s="1">
        <v>37226</v>
      </c>
      <c r="GR127" s="83">
        <v>31107</v>
      </c>
      <c r="GS127" s="79">
        <f t="shared" si="412"/>
        <v>32223.78</v>
      </c>
      <c r="GT127" s="82">
        <f t="shared" si="407"/>
        <v>2111561</v>
      </c>
      <c r="GU127" s="83">
        <f>13220+7603</f>
        <v>20823</v>
      </c>
      <c r="GV127" s="83">
        <f>7222+28036</f>
        <v>35258</v>
      </c>
      <c r="GW127" s="79">
        <f t="shared" si="455"/>
        <v>810102</v>
      </c>
      <c r="GX127" s="83">
        <v>36041.686000000002</v>
      </c>
      <c r="GY127" s="1" t="s">
        <v>802</v>
      </c>
      <c r="GZ127" s="83">
        <v>119643</v>
      </c>
      <c r="HA127" s="1">
        <v>278573</v>
      </c>
      <c r="HB127" s="79">
        <f>+SUM(HA116:HA127)</f>
        <v>3161932</v>
      </c>
      <c r="HC127" s="86" t="str">
        <f t="shared" si="465"/>
        <v>nov24 oct25</v>
      </c>
      <c r="HD127" s="1">
        <v>72036</v>
      </c>
      <c r="HE127" s="79">
        <f t="shared" si="380"/>
        <v>799713</v>
      </c>
      <c r="HF127" s="86" t="str">
        <f t="shared" si="466"/>
        <v>nov24 oct25</v>
      </c>
      <c r="HG127" s="1">
        <v>219000</v>
      </c>
      <c r="HH127" s="79">
        <f t="shared" ref="HH127:HH137" si="490">+SUM(HG116:HG127)</f>
        <v>2336000</v>
      </c>
      <c r="HI127" s="86" t="str">
        <f t="shared" si="467"/>
        <v>nov24 oct25</v>
      </c>
      <c r="HJ127" s="1">
        <v>103423</v>
      </c>
      <c r="HK127" s="79">
        <f t="shared" si="475"/>
        <v>65441.904000000002</v>
      </c>
      <c r="HL127" s="86" t="str">
        <f t="shared" si="468"/>
        <v>nov24 oct25</v>
      </c>
      <c r="HM127" s="79">
        <f t="shared" si="358"/>
        <v>2401441.9040000001</v>
      </c>
      <c r="HN127" s="87">
        <f t="shared" si="297"/>
        <v>0.14520025084930133</v>
      </c>
      <c r="HO127" s="1">
        <v>1162323285</v>
      </c>
      <c r="HP127" s="79">
        <f t="shared" si="386"/>
        <v>11664.121788</v>
      </c>
      <c r="HQ127" s="86" t="str">
        <f t="shared" si="469"/>
        <v>nov24 oct25</v>
      </c>
      <c r="HU127" s="1">
        <v>990000</v>
      </c>
      <c r="HV127" s="1" t="s">
        <v>512</v>
      </c>
      <c r="HW127" s="1">
        <v>1460000</v>
      </c>
      <c r="HX127" s="1" t="s">
        <v>512</v>
      </c>
      <c r="HY127" s="83">
        <v>4730000</v>
      </c>
      <c r="HZ127" s="1" t="s">
        <v>512</v>
      </c>
      <c r="IA127" s="1">
        <f>(3+17.6)*1000000</f>
        <v>20600000</v>
      </c>
      <c r="IB127" s="1" t="s">
        <v>512</v>
      </c>
      <c r="IC127" s="1">
        <v>50500000</v>
      </c>
      <c r="ID127" s="1" t="s">
        <v>512</v>
      </c>
      <c r="IE127" s="1">
        <f t="shared" si="482"/>
        <v>850000.00000000012</v>
      </c>
      <c r="IF127" s="1" t="s">
        <v>512</v>
      </c>
      <c r="IG127" s="1">
        <f>(6.73+0.98)*1000000</f>
        <v>7710000.0000000009</v>
      </c>
      <c r="IH127" s="1" t="s">
        <v>512</v>
      </c>
      <c r="II127" s="79">
        <f t="shared" si="479"/>
        <v>85850000</v>
      </c>
      <c r="IJ127" s="97">
        <f t="shared" ref="IJ127:IJ129" si="491">(9600000*12)/$IJ$2</f>
        <v>2.4791954184468667</v>
      </c>
      <c r="IK127" s="1" t="s">
        <v>663</v>
      </c>
      <c r="IL127" s="7">
        <v>46.5</v>
      </c>
      <c r="IM127" s="7">
        <v>49.56</v>
      </c>
      <c r="IN127" s="7">
        <v>179.9</v>
      </c>
      <c r="IO127" s="7">
        <v>18.72</v>
      </c>
      <c r="IP127" s="176">
        <f t="shared" si="480"/>
        <v>5.7424738987207355</v>
      </c>
      <c r="IQ127" s="176">
        <f t="shared" si="481"/>
        <v>16.079999999999998</v>
      </c>
      <c r="IR127" s="478">
        <f t="shared" si="459"/>
        <v>6.17</v>
      </c>
      <c r="IS127" s="478">
        <f t="shared" si="460"/>
        <v>5.03</v>
      </c>
      <c r="IT127" s="478">
        <f t="shared" si="460"/>
        <v>11</v>
      </c>
      <c r="IU127" s="478">
        <f t="shared" si="460"/>
        <v>1.1000000000000001</v>
      </c>
      <c r="IV127" s="94">
        <f t="shared" si="360"/>
        <v>17.130000000000003</v>
      </c>
      <c r="IY127" s="80">
        <v>1.88</v>
      </c>
      <c r="IZ127" s="88">
        <v>0.3</v>
      </c>
      <c r="JA127" s="82">
        <v>3555</v>
      </c>
      <c r="JB127" s="95">
        <f t="shared" si="433"/>
        <v>35.950000000000003</v>
      </c>
      <c r="JF127" s="2">
        <v>21.754931440000004</v>
      </c>
      <c r="JG127" s="2">
        <v>36.299912110000001</v>
      </c>
      <c r="JH127" s="2">
        <v>58.011658899999993</v>
      </c>
      <c r="JI127" s="2">
        <v>296.92994139999996</v>
      </c>
      <c r="JJ127" s="2">
        <v>408.78474411000002</v>
      </c>
      <c r="JK127" s="2">
        <v>153.65977728999999</v>
      </c>
      <c r="JL127" s="2">
        <v>2781.22633124</v>
      </c>
      <c r="JM127" s="2">
        <v>11.724220500000001</v>
      </c>
      <c r="JN127" s="2">
        <v>225.69280114</v>
      </c>
      <c r="JO127" s="2">
        <v>32.137001479999995</v>
      </c>
      <c r="JP127" s="2">
        <v>0</v>
      </c>
      <c r="JQ127" s="2">
        <v>2.5000000000000001E-3</v>
      </c>
      <c r="JR127" s="2">
        <v>1.4706078</v>
      </c>
      <c r="JS127" s="2">
        <v>0</v>
      </c>
      <c r="JT127" s="2">
        <v>5.5674419999999995E-2</v>
      </c>
      <c r="JU127" s="2">
        <v>79.565238250000007</v>
      </c>
      <c r="JV127" s="2">
        <v>10.66720278</v>
      </c>
      <c r="JW127" s="2">
        <v>14.240029049999999</v>
      </c>
      <c r="JX127" s="2">
        <v>15.59745008</v>
      </c>
      <c r="JY127" s="2">
        <v>0</v>
      </c>
      <c r="JZ127" s="2">
        <v>9.8384057999999985</v>
      </c>
      <c r="KA127" s="2">
        <v>0.27058500000000002</v>
      </c>
      <c r="KB127" s="2">
        <v>13.77020325</v>
      </c>
      <c r="KC127" s="2">
        <v>81.464957519999999</v>
      </c>
      <c r="KD127" s="2">
        <v>19.294760099999998</v>
      </c>
      <c r="KE127" s="2">
        <v>22.033355530000001</v>
      </c>
      <c r="KF127" s="2">
        <v>8.6585168299999999</v>
      </c>
      <c r="KG127" s="2">
        <v>535.90919134000001</v>
      </c>
      <c r="KH127" s="2">
        <v>210.64847638000006</v>
      </c>
      <c r="KI127" s="2">
        <v>21.077032079999999</v>
      </c>
      <c r="KJ127" s="2">
        <v>3.9252467499999995</v>
      </c>
      <c r="KK127" s="171">
        <v>10.164854930000002</v>
      </c>
      <c r="KL127" s="171">
        <v>0.17706282000000001</v>
      </c>
      <c r="KM127" s="171">
        <v>0.43971851000000001</v>
      </c>
      <c r="KN127" s="171">
        <v>0.24297491000000002</v>
      </c>
      <c r="KO127" s="171">
        <v>2.5887492900000009</v>
      </c>
      <c r="KP127" s="171">
        <v>9.9999999999999995E-7</v>
      </c>
      <c r="KQ127" s="171">
        <v>122.67470971000002</v>
      </c>
      <c r="KR127" s="171">
        <v>1.1928270000000001E-2</v>
      </c>
      <c r="KS127" s="171">
        <v>0.15760623999999998</v>
      </c>
      <c r="KT127" s="171">
        <v>1.1078551999999999</v>
      </c>
      <c r="KU127" s="171">
        <v>0.43603392000000002</v>
      </c>
      <c r="KV127" s="171">
        <v>0.72899765000000005</v>
      </c>
      <c r="KW127" s="171">
        <v>1.2801294799999998</v>
      </c>
      <c r="KX127" s="171">
        <v>0</v>
      </c>
      <c r="KY127" s="171">
        <v>1.9461599999999999E-2</v>
      </c>
      <c r="KZ127" s="171">
        <v>5.8187882499999999</v>
      </c>
      <c r="LA127" s="171">
        <v>0.16991200000000001</v>
      </c>
      <c r="LB127" s="171">
        <v>2.324273E-2</v>
      </c>
      <c r="LC127" s="171">
        <v>2.7039509800000006</v>
      </c>
      <c r="LD127" s="171">
        <v>0</v>
      </c>
      <c r="LE127" s="171">
        <v>0.34342195999999992</v>
      </c>
      <c r="LF127" s="171">
        <v>0.2089239</v>
      </c>
      <c r="LG127" s="171">
        <v>17.652505269999999</v>
      </c>
      <c r="LH127" s="171">
        <v>4.4276183800000002</v>
      </c>
      <c r="LI127" s="171">
        <v>1.9397561100000003</v>
      </c>
      <c r="LJ127" s="171">
        <v>0</v>
      </c>
      <c r="LK127" s="171">
        <v>2.9900732700000003</v>
      </c>
      <c r="LL127" s="171">
        <v>5.7331222099999994</v>
      </c>
      <c r="LM127" s="171">
        <v>2.2980596799999997</v>
      </c>
      <c r="LN127" s="171">
        <v>5.7726630000000001E-2</v>
      </c>
      <c r="LO127" s="171">
        <v>12.329496939999999</v>
      </c>
      <c r="LQ127" s="85">
        <f t="shared" si="439"/>
        <v>3782.3696972900002</v>
      </c>
      <c r="LR127" s="85">
        <f t="shared" si="440"/>
        <v>1.5287822199999999</v>
      </c>
      <c r="LS127" s="85">
        <f t="shared" si="441"/>
        <v>24.907231830000001</v>
      </c>
      <c r="LT127" s="85">
        <f t="shared" si="442"/>
        <v>10.108990799999999</v>
      </c>
      <c r="LU127" s="85">
        <f t="shared" si="443"/>
        <v>126.11568693000002</v>
      </c>
      <c r="LV127" s="85">
        <f t="shared" si="444"/>
        <v>2.0285887300000001</v>
      </c>
      <c r="LW127" s="85">
        <f t="shared" si="445"/>
        <v>0.19315473</v>
      </c>
      <c r="LX127" s="85">
        <f t="shared" si="446"/>
        <v>0.55234585999999997</v>
      </c>
      <c r="LZ127" s="83">
        <v>1648.05</v>
      </c>
      <c r="MA127" s="83">
        <v>1702.33</v>
      </c>
      <c r="MB127"/>
      <c r="MC127"/>
      <c r="MD127"/>
      <c r="MF127"/>
      <c r="MG127"/>
      <c r="MH127" s="83">
        <v>3908.68</v>
      </c>
      <c r="MI127" s="83">
        <v>914.61</v>
      </c>
      <c r="MJ127" s="83">
        <v>829.02</v>
      </c>
      <c r="MK127"/>
      <c r="ML127" s="83">
        <v>922.48</v>
      </c>
      <c r="MM127" s="83">
        <v>2998.37</v>
      </c>
      <c r="MN127" s="83"/>
      <c r="MO127" s="83">
        <v>991.28</v>
      </c>
      <c r="MP127" s="83">
        <v>2197.14</v>
      </c>
      <c r="MQ127" s="83">
        <v>2890.3</v>
      </c>
      <c r="MR127"/>
      <c r="MT127" s="83"/>
      <c r="MU127" s="83">
        <v>1071.0999999999999</v>
      </c>
      <c r="MV127"/>
      <c r="MW127"/>
      <c r="MX127"/>
      <c r="MY127" s="83">
        <v>2420.79</v>
      </c>
      <c r="MZ127" s="83">
        <v>7322</v>
      </c>
      <c r="NA127" s="83">
        <v>3775</v>
      </c>
      <c r="NB127" s="83">
        <v>12492</v>
      </c>
      <c r="NC127" s="83">
        <v>1591.71</v>
      </c>
      <c r="ND127" s="83">
        <v>13990</v>
      </c>
      <c r="NE127" s="83">
        <v>7565</v>
      </c>
    </row>
    <row r="128" spans="1:369">
      <c r="A128" s="38">
        <f t="shared" si="417"/>
        <v>45962</v>
      </c>
      <c r="B128" s="36">
        <f t="shared" si="476"/>
        <v>11</v>
      </c>
      <c r="C128" s="36">
        <f t="shared" si="477"/>
        <v>2025</v>
      </c>
      <c r="D128" s="36">
        <f t="shared" si="347"/>
        <v>128</v>
      </c>
      <c r="E128" s="38">
        <f t="shared" si="418"/>
        <v>45962</v>
      </c>
      <c r="F128" s="7">
        <v>1427.6176</v>
      </c>
      <c r="G128" s="7">
        <v>9841.3580999999995</v>
      </c>
      <c r="H128" s="1">
        <f>[2]NACIONALES!$D116</f>
        <v>979158.27</v>
      </c>
      <c r="I128" s="7">
        <v>103</v>
      </c>
      <c r="J128" s="7">
        <v>570</v>
      </c>
      <c r="K128" s="7">
        <v>4.0999999999999996</v>
      </c>
      <c r="L128" s="7">
        <v>33.1</v>
      </c>
      <c r="N128" s="5">
        <f>AVERAGE(1.22,1.23,1.23)</f>
        <v>1.2266666666666668</v>
      </c>
      <c r="O128" s="5">
        <f>AVERAGE(0.96,0.97,0.97)</f>
        <v>0.96666666666666667</v>
      </c>
      <c r="P128" s="78">
        <f t="shared" si="485"/>
        <v>1487.3396029333335</v>
      </c>
      <c r="Q128" s="6">
        <v>22550</v>
      </c>
      <c r="R128" s="79">
        <f t="shared" si="419"/>
        <v>225500</v>
      </c>
      <c r="S128" s="6">
        <v>181.5</v>
      </c>
      <c r="T128" s="6">
        <f>492082/F128</f>
        <v>344.68754097735973</v>
      </c>
      <c r="U128" s="6">
        <v>181.2</v>
      </c>
      <c r="V128" s="143">
        <v>322.7</v>
      </c>
      <c r="W128" s="6">
        <v>187</v>
      </c>
      <c r="X128" s="6">
        <v>185.5</v>
      </c>
      <c r="Y128" s="79">
        <f t="shared" si="420"/>
        <v>259112.5944</v>
      </c>
      <c r="Z128" s="79">
        <f t="shared" si="421"/>
        <v>492081.99999999994</v>
      </c>
      <c r="AA128" s="79">
        <f t="shared" si="422"/>
        <v>258684.30911999999</v>
      </c>
      <c r="AB128" s="79">
        <f t="shared" si="423"/>
        <v>460692.19952000002</v>
      </c>
      <c r="AC128" s="79">
        <f t="shared" si="424"/>
        <v>266964.49119999999</v>
      </c>
      <c r="AD128" s="79">
        <f t="shared" si="425"/>
        <v>264823.06479999999</v>
      </c>
      <c r="AE128" s="79">
        <f t="shared" si="426"/>
        <v>333726.44317333336</v>
      </c>
      <c r="AF128" s="83">
        <f>592*F127</f>
        <v>847757.43839999998</v>
      </c>
      <c r="AG128" s="83">
        <f>AVERAGE(240000,150000)</f>
        <v>195000</v>
      </c>
      <c r="AH128" s="83">
        <v>950000</v>
      </c>
      <c r="AI128" s="5">
        <v>499.75</v>
      </c>
      <c r="AJ128" s="5">
        <v>326.36</v>
      </c>
      <c r="AK128" s="5">
        <v>278.36</v>
      </c>
      <c r="AL128" s="5">
        <v>288.52999999999997</v>
      </c>
      <c r="AM128" s="78">
        <f t="shared" si="458"/>
        <v>384.56020000000001</v>
      </c>
      <c r="AN128" s="851">
        <v>39004.739336492894</v>
      </c>
      <c r="AO128" s="851">
        <v>33091.222222222219</v>
      </c>
      <c r="AP128" s="78">
        <f t="shared" si="470"/>
        <v>33091.222222222219</v>
      </c>
      <c r="AQ128" s="851">
        <v>27287.037037037036</v>
      </c>
      <c r="AR128" s="851">
        <v>25898.111111111109</v>
      </c>
      <c r="AS128" s="851">
        <v>14948.166666666666</v>
      </c>
      <c r="AT128" s="851">
        <v>22816.666666666668</v>
      </c>
      <c r="AU128" s="78">
        <f t="shared" si="348"/>
        <v>21220.981481481478</v>
      </c>
      <c r="AV128" s="851">
        <v>5844</v>
      </c>
      <c r="AW128" s="851">
        <v>11305.555555555555</v>
      </c>
      <c r="AX128" s="851">
        <v>14413.166666666666</v>
      </c>
      <c r="AY128" s="851">
        <v>13929.142857142857</v>
      </c>
      <c r="AZ128" s="851">
        <v>7127.7833333333328</v>
      </c>
      <c r="BA128" s="851">
        <v>11888.888888888889</v>
      </c>
      <c r="BB128" s="94">
        <f t="shared" si="345"/>
        <v>12424.660052910052</v>
      </c>
      <c r="BC128" s="68">
        <v>44166</v>
      </c>
      <c r="BD128" s="68">
        <v>39751</v>
      </c>
      <c r="BE128" s="97">
        <v>25000</v>
      </c>
      <c r="BF128" s="97">
        <v>19000</v>
      </c>
      <c r="BG128" s="94">
        <f t="shared" si="349"/>
        <v>31979.25</v>
      </c>
      <c r="BH128" s="7">
        <v>3807</v>
      </c>
      <c r="BI128" s="97">
        <f t="shared" si="489"/>
        <v>1129.2</v>
      </c>
      <c r="BJ128" s="78">
        <f t="shared" si="350"/>
        <v>4936.2</v>
      </c>
      <c r="BK128" s="7">
        <v>3913.5070000000001</v>
      </c>
      <c r="BL128" s="7">
        <v>4896</v>
      </c>
      <c r="BM128" s="94">
        <f t="shared" si="351"/>
        <v>4404.7534999999998</v>
      </c>
      <c r="BN128" s="5">
        <v>475.44</v>
      </c>
      <c r="BO128" s="84">
        <f>AVERAGE(2330,2330,1900,1787)</f>
        <v>2086.75</v>
      </c>
      <c r="BP128" s="84">
        <f>AVERAGE(2000,2200)</f>
        <v>2100</v>
      </c>
      <c r="BQ128" s="94">
        <f t="shared" si="435"/>
        <v>2093.375</v>
      </c>
      <c r="BR128" s="7">
        <f>AVERAGE(1835,1864,1831,1846)</f>
        <v>1844</v>
      </c>
      <c r="BS128" s="97">
        <v>6500</v>
      </c>
      <c r="BT128" s="97">
        <f>1.93*F128</f>
        <v>2755.3019679999998</v>
      </c>
      <c r="BU128" s="79">
        <f t="shared" si="436"/>
        <v>86265.905903999999</v>
      </c>
      <c r="BV128" s="7">
        <v>2303</v>
      </c>
      <c r="BW128" s="7">
        <v>3865.6</v>
      </c>
      <c r="BY128" s="268">
        <f>BY$10*(1+((H128/H$10-1)*costos!$B$5+((I128*F128)/(I$10*F$10)-1)*costos!$E$5+((J128*F128)/((J$10*F$10)-1)*costos!$F$5/3+((K128*F128)/(K$10*F$10)-1)*costos!$F$5/3+((U128*F128)/(U$10*F$10)-1)*costos!$F$5/3+((L128*F128)/(L$10*F$10)-1)*costos!$G$5+((N128*F128)/(N$10*F$10)-1)*costos!$J$5+((V128*F128)/(V$10*F$10)-1)*costos!$K$5)))</f>
        <v>11986.813643987394</v>
      </c>
      <c r="BZ128" s="268">
        <f>$BZ$10*(1+((H128/$H$10-1)*costos!$B$6+((I128*F128)/($I$10*$F$10)-1)*costos!$E$6+((J128*F128)/(($J$10*$F$10)-1)*costos!$F$6/3+((K128*F128)/($K$10*$F$10)-1)*costos!$F$6/3+((U128*F128)/($U$10*$F$10)-1)*costos!$F$6/3+((L128*F128)/($L$10*$F$10)-1)*costos!$G$6+((Q128*F128)/($Q$10*$F$10)-1)*costos!$J$6+((V128*F128)/($V$10*$F$10)-1)*costos!$K$6)))</f>
        <v>12101.095904354501</v>
      </c>
      <c r="CA128" s="268">
        <f>CA$10*(1+((H128/H$10-1)*costos!$B$7+((I128*F128)/(I$10*F$10)-1)*costos!$E$7+((J128*F128)/((J$10*F$10)-1)*costos!$F$7/3+((K128*F128)/(K$10*F$10)-1)*costos!$F$7/3+((U128*F128)/(U$10*F$10)-1)*costos!$F$7/3+((L128*F128)/(L$10*F$10)-1)*costos!$G$7+((S128*F128)/(S$10*F$10)-1)*costos!$J$7+((V128*F128)/(V$10*F$10)-1)*costos!$K$7)))</f>
        <v>12704.347400757621</v>
      </c>
      <c r="CB128" s="268">
        <f>CB$10*(1+((H128/H$10-1)*costos!$B$8+((I128*F128)/(I$10*F$10)-1)*costos!$E$8+((J128*F128)/((J$10*F$10)-1)*costos!$F$8/3+((K128*F128)/(K$10*F$10)-1)*costos!$F$8/3+((U128*F128)/(U$10*F$10)-1)*costos!$F$8/3+((L128*F128)/(L$10*F$10)-1)*costos!$G$8+((T128*F128)/(T$10*F$10)-1)*costos!$J$8+((V128*F128)/(V$10*F$10)-1)*costos!$K$8)))</f>
        <v>12871.418468909178</v>
      </c>
      <c r="CC128" s="268">
        <f>CC$10*(1+((H128/H$10-1)*costos!$B$9+((I128*F128)/(I$10*F$10)-1)*costos!$E$9+((J128*F128)/((J$10*F$10)-1)*costos!$F$9/3+((K128*F128)/(K$10*F$10)-1)*costos!$F$9/3+((U128*F128)/(U$10*F$10)-1)*costos!$F$9/3+((L128*F128)/(L$10*F$10)-1)*costos!$G$9+((U128*F128)/(U$10*F$10)-1)*costos!$J$9+((V128*F128)/(V$10*F$10)-1)*costos!$K$9)))</f>
        <v>12553.054513247518</v>
      </c>
      <c r="CD128" s="268">
        <f>CD$10*(1+((H128/H$10-1)*costos!$B$11+((I128*F128)/(I$10*F$10)-1)*costos!$E$11+((J128*F128)/((J$10*F$10)-1)*costos!$F$11/3+((K128*F128)/(K$10*F$10)-1)*costos!$F$11/3+((U128*F128)/(U$10*F$10)-1)*costos!$F$11/3+((L128*F128)/(L$10*F$10)-1)*costos!$G$11+((V128*F128)/(V$10*F$10)-1)*costos!$J$11+((V128*F128)/(V$10*F$10)-1)*costos!$K$11)))</f>
        <v>13351.187308303432</v>
      </c>
      <c r="CE128" s="268">
        <f>CE$10*(1+((H128/H$10-1)*costos!$B$12+((I128*F128)/(I$10*F$10)-1)*costos!$E$12+((J128*F128)/((J$10*F$10)-1)*costos!$F$12/3+((K128*F128)/(K$10*F$10)-1)*costos!$F$12/3+((U128*F128)/(U$10*F$10)-1)*costos!$F$12/3+((L128*F128)/(L$10*F$10)-1)*costos!$G$12+((W128*F128)/(W$10*F$10)-1)*costos!$J$12+((V128*F128)/(V$10*F$10)-1)*costos!$K$12)))</f>
        <v>12553.570523124832</v>
      </c>
      <c r="CF128" s="268">
        <f>CF$10*(1+((H128/H$10-1)*costos!$B$13+((I128*F128)/(I$10*F$10)-1)*costos!$E$13+((J128*F128)/((J$10*F$10)-1)*costos!$F$13/3+((K128*F128)/(K$10*F$10)-1)*costos!$F$13/3+((U128*F128)/(U$10*F$10)-1)*costos!$F$13/3+((L128*F128)/(L$10*F$10)-1)*costos!$G$13+((X128*F128)/(X$10*F$10)-1)*costos!$J$13+((V128*F128)/(V$10*F$10)-1)*costos!$K$13)))</f>
        <v>12866.043104529506</v>
      </c>
      <c r="CG128" s="268">
        <f t="shared" ref="CG128" si="492">+AVERAGE(CA128:CF128)</f>
        <v>12816.603553145347</v>
      </c>
      <c r="CH128" s="268">
        <f>CH$10*(1+((H128/H$10-1)*costos!$B$10+((I128*F128)/(I$10*F$10)-1)*costos!$E$10+((J128*F128)/((J$10*F$10)-1)*costos!$F$10/3+((K128*F128)/(K$10*F$10)-1)*costos!$F$10/3+((U128*F128)/(U$10*F$10)-1)*costos!$F$10/3+((L128*F128)/(L$10*F$10)-1)*costos!$G$10+((AF128)/(AF$10)-1)*costos!$J$10+((V128*F128)/(V$10*F$10)-1)*costos!$K$10)))</f>
        <v>12779.708207832618</v>
      </c>
      <c r="CI128" s="268">
        <f>CI$10*(1+((H128/H$10-1)*costos!$B$15+((I128*F128)/(I$10*F$10)-1)*costos!$E$15+((J128*F128)/((J$10*F$10)-1)*costos!$F$15/3+((K128*F128)/(K$10*F$10)-1)*costos!$F$15/3+((U128*F128)/(U$10*F$10)-1)*costos!$F$15/3+((L128*F128)/(L$10*F$10)-1)*costos!$G$15+((AV129)/(AV$10)-1)*costos!$J$15+((V128*F128)/(V$10*F$10)-1)*costos!$K$15)))</f>
        <v>12131.126255346515</v>
      </c>
      <c r="CJ128" s="268">
        <f>CJ$10*(1+((H128/H$10-1)*costos!$B$16+((I128*F128)/(I$10*F$10)-1)*costos!$E$16+((J128*F128)/((J$10*F$10)-1)*costos!$F$16/3+((K128*F128)/(K$10*F$10)-1)*costos!$F$16/3+((U128*F128)/(U$10*F$10)-1)*costos!$F$16/3+((L128*F128)/(L$10*F$10)-1)*costos!$G$16+((AW128)/(AW$10)-1)*costos!$J$16+((V128*F128)/(V$10*F$10)-1)*costos!$K$16)))</f>
        <v>11245.158581077454</v>
      </c>
      <c r="CK128" s="268">
        <f>CK$10*(1+((H128/H$10-1)*costos!$B$17+((I128*F128)/(I$10*F$10)-1)*costos!$E$17+((J128*F128)/((J$10*F$10)-1)*costos!$F$17/3+((K128*F128)/(K$10*F$10)-1)*costos!$F$17/3+((U128*F128)/(U$10*F$10)-1)*costos!$F$17/3+((L128*F128)/(L$10*F$10)-1)*costos!$G$17+((AX128)/(AX$10)-1)*costos!$J$17+((V128*F128)/(V$10*F$10)-1)*costos!$K$17)))</f>
        <v>13382.031978528261</v>
      </c>
      <c r="CL128" s="268">
        <f>CL$10*(1+((H128/H$10-1)*costos!$B$18+((I128*F128)/(I$10*F$10)-1)*costos!$E$18+((J128*F128)/((J$10*F$10)-1)*costos!$F$18/3+((K128*F128)/(K$10*F$10)-1)*costos!$F$18/3+((U128*F128)/(U$10*F$10)-1)*costos!$F$18/3+((L128*F128)/(L$10*F$10)-1)*costos!$G$18+((AY128)/(AY$10)-1)*costos!$J$18+((V128*F128)/(V$10*F$10)-1)*costos!$K$18)))</f>
        <v>12924.635560396211</v>
      </c>
      <c r="CM128" s="268">
        <f>CM$10*(1+((H128/H$10-1)*costos!$B$19+((I128*F128)/(I$10*F$10)-1)*costos!$E$19+((J128*F128)/((J$10*F$10)-1)*costos!$F$19/3+((K128*F128)/(K$10*F$10)-1)*costos!$F$19/3+((U128*F128)/(U$10*F$10)-1)*costos!$F$19/3+((L128*F128)/(L$10*F$10)-1)*costos!$G$19+((AZ128)/(AZ$10)-1)*costos!$J$19+((V128*F128)/(V$10*F$10)-1)*costos!$K$19)))</f>
        <v>10677.78923099729</v>
      </c>
      <c r="CN128" s="268">
        <f>CN$10*(1+((H128/H$10-1)*costos!$B$20+((I128*F128)/(I$10*F$10)-1)*costos!$E$20+((J128*F128)/((J$10*F$10)-1)*costos!$F$20/3+((K128*F128)/(K$10*F$10)-1)*costos!$F$20/3+((U128*F128)/(U$10*F$10)-1)*costos!$F$20/3+((L128*F128)/(L$10*F$10)-1)*costos!$G$20+((BA128)/(BA$10)-1)*costos!$J$20+((V128*F128)/(V$10*F$10)-1)*costos!$K$20)))</f>
        <v>12652.807399541443</v>
      </c>
      <c r="CO128" s="268">
        <f t="shared" ref="CO128" si="493">+AVERAGE(CK128:CN128)</f>
        <v>12409.316042365801</v>
      </c>
      <c r="CP128" s="268">
        <f>CP$10*(1+((H128/H$10-1)*costos!$B$22+((I128*F128)/(I$10*F$10)-1)*costos!$E$22+((J128*F128)/((J$10*F$10)-1)*costos!$F$22/3+((K128*F128)/(K$10*F$10)-1)*costos!$F$22/3+((U128*F128)/(U$10*F$10)-1)*costos!$F$22/3+((L128*F128)/(L$10*F$10)-1)*costos!$G$22+(((AVERAGE(AI128:AL128))/((AVERAGE(AI$10:AL$10))-1)*costos!$J$22+((V128*F128)/(V$10*F$10)-1)*costos!$K$22)))))</f>
        <v>13427.022735175615</v>
      </c>
      <c r="CQ128" s="92">
        <f>CQ$10*(1+((H128/H$10-1)*costos!$B$23+((I128*F128)/(I$10*F$10)-1)*costos!$E$23+((J128*F128)/((J$10*F$10)-1)*costos!$F$23/3+((K128*F128)/(K$10*F$10)-1)*costos!$F$23/3+((U128*F128)/(U$10*F$10)-1)*costos!$F$23/3+((L128*F128)/(L$10*F$10)-1)*costos!$G$23+((AN128)/(AN$10)-1)*costos!$J$23+((V128*F128)/(V$10*F$10)-1)*costos!$K$23)))</f>
        <v>12371.589364924344</v>
      </c>
      <c r="CR128" s="268">
        <f>CR$10*(1+((H128/H$10-1)*costos!$B$24+((I128*F128)/(I$10*F$10)-1)*costos!$E$24+((J128*F128)/((J$10*F$10)-1)*costos!$F$24/3+((K128*F128)/(K$10*F$10)-1)*costos!$F$24/3+((U128*F128)/(U$10*F$10)-1)*costos!$F$24/3+((L128*F128)/(L$10*F$10)-1)*costos!$G$24+((AO128)/(AO$10)-1)*costos!$J$24+((V128*F128)/(V$10*F$10)-1)*costos!$K$24)))</f>
        <v>13186.279947671614</v>
      </c>
      <c r="CS128" s="92">
        <f t="shared" si="352"/>
        <v>12778.934656297979</v>
      </c>
      <c r="CT128" s="268">
        <f>CT$10*(1+((H128/H$10-1)*costos!$B$25+((I128*F128)/(I$10*F$10)-1)*costos!$E$25+((J128*F128)/((J$10*F$10)-1)*costos!$F$25/3+((K128*F128)/(K$10*F$10)-1)*costos!$F$25/3+((U128*F128)/(U$10*F$10)-1)*costos!$F$25/3+((L128*F128)/(L$10*F$10)-1)*costos!$G$25+((AQ128)/(AQ$10)-1)*costos!$J$25+((V128*F128)/(V$10*F$10)-1)*costos!$K$25)))</f>
        <v>12343.151154315563</v>
      </c>
      <c r="CU128" s="268">
        <f>CU$10*(1+((H128/H$10-1)*costos!$B$26+((I128*F128)/(I$10*F$10)-1)*costos!$E$26+((J128*F128)/((J$10*F$10)-1)*costos!$F$26/3+((K128*F128)/(K$10*F$10)-1)*costos!$F$26/3+((U128*F128)/(U$10*F$10)-1)*costos!$F$26/3+((L128*F128)/(L$10*F$10)-1)*costos!$G$26+((AR128)/(AR$10)-1)*costos!$J$26+((V128*F128)/(V$10*F$10)-1)*costos!$K$26)))</f>
        <v>12570.967556021395</v>
      </c>
      <c r="CV128" s="268">
        <f>CV$10*(1+((H128/H$10-1)*costos!$B$27+((I128*F128)/(I$10*F$10)-1)*costos!$E$27+((J128*F128)/((J$10*F$10)-1)*costos!$F$27/3+((K128*F128)/(K$10*F$10)-1)*costos!$F$27/3+((U128*F128)/(U$10*F$10)-1)*costos!$F$27/3+((L128*F128)/(L$10*F$10)-1)*costos!$G$27+((AS128)/(AS$10)-1)*costos!$J$27+((V128*F128)/(V$10*F$10)-1)*costos!$K$27)))</f>
        <v>11807.290210657911</v>
      </c>
      <c r="CW128" s="268">
        <f>CW$10*(1+((H128/H$10-1)*costos!$B$28+((I128*F128)/(I$10*F$10)-1)*costos!$E$28+((J128*F128)/((J$10*F$10)-1)*costos!$F$28/3+((K128*F128)/(K$10*F$10)-1)*costos!$F$28/3+((U128*F128)/(U$10*F$10)-1)*costos!$F$28/3+((L128*F128)/(L$10*F$10)-1)*costos!$G$28+((AS128)/(AS$10)-1)*costos!$J$28+((V128*F128)/(V$10*F$10)-1)*costos!$K$28)))</f>
        <v>11807.290210657911</v>
      </c>
      <c r="CX128" s="268">
        <f t="shared" ref="CX128" si="494">+AVERAGE(CU128:CW128)</f>
        <v>12061.849325779074</v>
      </c>
      <c r="CY128" s="268">
        <f>CY$10*(1+((H128/H$10-1)*costos!$B$32+((I128*F128)/(I$10*F$10)-1)*costos!$E$32+((J128*F128)/((J$10*F$10)-1)*costos!$F$32/3+((K128*F128)/(K$10*F$10)-1)*costos!$F$32/3+((U128*F128)/(U$10*F$10)-1)*costos!$F$32/3+((L128*F128)/(L$10*F$10)-1)*costos!$G$32+((AG128)/(AG$10)-1)*costos!$J$32+((V128*F128)/(V$10*F$10)-1)*costos!$K$32)))</f>
        <v>11909.638721724985</v>
      </c>
      <c r="CZ128" s="69">
        <f>CZ$10*(1+((H128/H$10-1)*costos!$B$31+((I128*F128)/(I$10*F$10)-1)*costos!$E$30+((J128*F128)/((J$10*F$10)-1)*costos!$F$30/3+((K128*F128)/(K$10*F$10)-1)*costos!$F$30/3+((U128*F128)/(U$10*F$10)-1)*costos!$F$30/3+((L128*F128)/(L$10*F$10)-1)*costos!$G$30+((BG128)/(BG$10)-1)*costos!$J$30+((V128*F128)/(V$10*F$10)-1)*costos!$K$30)))</f>
        <v>15152.633872726032</v>
      </c>
      <c r="DA128" s="69">
        <f>DA$10*(1+((H128/H$10-1)*costos!$B$31+((I128*F128)/(I$10*F$10)-1)*costos!$E$31+((J128*F128)/((J$10*F$10)-1)*costos!$F$31/3+((K128*F128)/(K$10*F$10)-1)*costos!$F$31/3+((U128*F128)/(U$10*F$10)-1)*costos!$F$31/3+((L128*F128)/(L$10*F$10)-1)*costos!$G$31+((BJ128)/(BJ$10)-1)*costos!$J$31+((V128*F128)/(V$10*F$10)-1)*costos!$K$31)))</f>
        <v>12506.028355910183</v>
      </c>
      <c r="DB128" s="69">
        <f>DB$10*(1+((H128/H$10-1)*costos!$B$36+((I128*F128)/(I$10*F$10)-1)*costos!$E$36+((J128*F128)/((J$10*F$10)-1)*costos!$F$36/3+((K128*F128)/(K$10*F$10)-1)*costos!$F$36/3+((U128*F128)/(U$10*F$10)-1)*costos!$F$36/3+((L128*F128)/(L$10*F$10)-1)*costos!$G$36+((BK128)/(BK$10)-1)*costos!$J$36+((V128*F128)/(V$10*F$10)-1)*costos!$K$36)))</f>
        <v>12961.142323141605</v>
      </c>
      <c r="DC128" s="69">
        <f>DC$10*(1+((H128/H$10-1)*costos!$B$37+((I128*F128)/(I$10*F$10)-1)*costos!$E$37+((U128*F128)/(U$10*F$10)-1)*costos!$F$37+((L128*F128)/(L$10*F$10)-1)*costos!$G$37+((BN128)/(BN$10)-1)*costos!$J$37+((V128*F128)/(V$10*F$10)-1)*costos!$K$37))</f>
        <v>12661.601289432889</v>
      </c>
      <c r="DD128" s="69">
        <f>DD$10*(1+((H128/H$10-1)*costos!$B$39+((I128*F128)/(I$10*F$10)-1)*costos!$E$39+((U128*F128)/(U$10*F$10)-1)*costos!$F$39+((L128*F128)/(L$10*F$10)-1)*costos!$G$39+((BR128)/(BR$10)-1)*costos!$J$39+((V128*F128)/(V$10*F$10)-1)*costos!$K$39))</f>
        <v>12503.813321707197</v>
      </c>
      <c r="DE128" s="69">
        <f>DD$10*(1+((H128/H$10-1)*costos!$B$35+((I128*F128)/(I$10*F$10)-1)*costos!$E$35+((U128*F128)/(U$10*F$10)-1)*costos!$F$35+((L128*F128)/(L$10*F$10)-1)*costos!$G$35+((BR128)/(BR$10)-1)*costos!$J$35+((V128*F128)/(V$10*F$10)-1)*costos!$K$35))</f>
        <v>11159.844051337213</v>
      </c>
      <c r="DF128" s="69">
        <f>DF$10*(1+((H128/H$10-1)*costos!$B$40+((I128*F128)/(I$10*F$10)-1)*costos!$E$40+((U128*F128)/(U$10*F$10)-1)*costos!$F$40+((L128*F128)/(L$10*F$10)-1)*costos!$G$40+((BP128)/(BP$10)-1)*costos!$J$40+((V128*F128)/(V$10*F$10)-1)*costos!$K$40))</f>
        <v>12917.403065987131</v>
      </c>
      <c r="DG128" s="268">
        <f t="shared" si="484"/>
        <v>12038.623558662173</v>
      </c>
      <c r="DH128" s="69">
        <f>DH$10*(1+((H128/H$10-1)*costos!$B$34+((I128*F128)/(I$10*F$10)-1)*costos!$E$34+((J128*F128)/((J$10*F$10)-1)*costos!$F$34/3+((K128*F128)/(K$10*F$10)-1)*costos!$F$34/3+((U128*F128)/(U$10*F$10)-1)*costos!$F$34/3+((L128*F128)/(L$10*F$10)-1)*costos!$G$34+((BV128)/(BV$10)-1)*costos!$J$34+((V128*F128)/(V$10*F$10)-1)*costos!$K$34)))</f>
        <v>12265.258215444739</v>
      </c>
      <c r="DI128" s="69">
        <f>DI$10*(1+((H128/H$10-1)*costos!$B$38+((I128*F128)/(I$10*F$10)-1)*costos!$E$38+((J128*F128)/((J$10*F$10)-1)*costos!$F$38/3+((K128*F128)/(K$10*F$10)-1)*costos!$F$38/3+((U128*F128)/(U$10*F$10)-1)*costos!$F$38/3+((L128*F128)/(L$10*F$10)-1)*costos!$G$38+((BU128)/(BU$10)-1)*costos!$J$38+((V128*F128)/(V$10*F$10)-1)*costos!$K$38)))</f>
        <v>12320.117603064004</v>
      </c>
      <c r="DK128" s="1">
        <v>600000</v>
      </c>
      <c r="DL128" s="1" t="s">
        <v>663</v>
      </c>
      <c r="DM128" s="1">
        <v>190000</v>
      </c>
      <c r="DN128" s="1" t="s">
        <v>663</v>
      </c>
      <c r="DO128" s="1">
        <v>1450000</v>
      </c>
      <c r="DP128" s="1" t="s">
        <v>663</v>
      </c>
      <c r="DQ128" s="1">
        <v>2800000</v>
      </c>
      <c r="DR128" s="1" t="s">
        <v>663</v>
      </c>
      <c r="DS128" s="1">
        <v>7800000</v>
      </c>
      <c r="DT128" s="1" t="s">
        <v>663</v>
      </c>
      <c r="DU128" s="1">
        <v>17600000</v>
      </c>
      <c r="DV128" s="1" t="s">
        <v>663</v>
      </c>
      <c r="DW128" s="1">
        <v>900000</v>
      </c>
      <c r="DX128" s="1" t="s">
        <v>663</v>
      </c>
      <c r="DY128" s="1">
        <v>6970000</v>
      </c>
      <c r="DZ128" s="1" t="s">
        <v>663</v>
      </c>
      <c r="EA128" s="79">
        <f t="shared" si="353"/>
        <v>37520000</v>
      </c>
      <c r="EB128" s="1">
        <v>389000</v>
      </c>
      <c r="EC128" s="1" t="s">
        <v>663</v>
      </c>
      <c r="ED128" s="1">
        <v>231352</v>
      </c>
      <c r="EE128" s="143">
        <v>2025</v>
      </c>
      <c r="EF128" s="83">
        <v>196220</v>
      </c>
      <c r="EG128" s="143">
        <v>2025</v>
      </c>
      <c r="EH128" s="1">
        <v>51624909</v>
      </c>
      <c r="EI128" s="143">
        <v>2025</v>
      </c>
      <c r="EJ128" s="1">
        <v>5987778</v>
      </c>
      <c r="EK128" s="6">
        <v>2025</v>
      </c>
      <c r="EL128" s="1">
        <v>11967429</v>
      </c>
      <c r="EM128" s="6">
        <v>2025</v>
      </c>
      <c r="EN128" s="1">
        <v>2961733</v>
      </c>
      <c r="EO128" s="6">
        <v>2025</v>
      </c>
      <c r="EP128" s="83">
        <v>9478</v>
      </c>
      <c r="EQ128" s="83">
        <v>4000000</v>
      </c>
      <c r="ER128" s="83">
        <f t="shared" si="478"/>
        <v>79911</v>
      </c>
      <c r="ET128" s="82">
        <f t="shared" si="474"/>
        <v>19357</v>
      </c>
      <c r="EU128" s="82">
        <f t="shared" si="474"/>
        <v>18703</v>
      </c>
      <c r="EV128" s="82">
        <f t="shared" si="474"/>
        <v>8927</v>
      </c>
      <c r="EW128" s="82">
        <f t="shared" si="474"/>
        <v>17408</v>
      </c>
      <c r="EX128" s="79">
        <f t="shared" si="486"/>
        <v>64395</v>
      </c>
      <c r="EY128" s="82">
        <f t="shared" si="394"/>
        <v>20031</v>
      </c>
      <c r="EZ128" s="83">
        <f t="shared" si="394"/>
        <v>38177</v>
      </c>
      <c r="FA128" s="82">
        <f t="shared" si="431"/>
        <v>19900</v>
      </c>
      <c r="FB128" s="82">
        <f t="shared" si="406"/>
        <v>18184</v>
      </c>
      <c r="FC128" s="79">
        <f t="shared" si="487"/>
        <v>38084</v>
      </c>
      <c r="FD128" s="82">
        <f t="shared" si="488"/>
        <v>60376</v>
      </c>
      <c r="FF128" s="1">
        <v>1100000</v>
      </c>
      <c r="FG128" s="1" t="s">
        <v>512</v>
      </c>
      <c r="FH128" s="1">
        <v>1600000</v>
      </c>
      <c r="FI128" s="1" t="s">
        <v>512</v>
      </c>
      <c r="FJ128" s="1">
        <v>5300000</v>
      </c>
      <c r="FK128" s="1" t="s">
        <v>663</v>
      </c>
      <c r="FL128" s="1">
        <v>5800000</v>
      </c>
      <c r="FM128" s="1" t="s">
        <v>663</v>
      </c>
      <c r="FN128" s="1">
        <v>58000000</v>
      </c>
      <c r="FO128" s="1" t="s">
        <v>663</v>
      </c>
      <c r="FP128" s="1">
        <v>48500000</v>
      </c>
      <c r="FQ128" s="1" t="s">
        <v>663</v>
      </c>
      <c r="FR128" s="1">
        <v>3000000</v>
      </c>
      <c r="FS128" s="1" t="s">
        <v>663</v>
      </c>
      <c r="FT128" s="1">
        <v>27100000</v>
      </c>
      <c r="FU128" s="1" t="s">
        <v>663</v>
      </c>
      <c r="FV128" s="79">
        <f t="shared" si="355"/>
        <v>147700000</v>
      </c>
      <c r="FW128" s="83">
        <v>1389286</v>
      </c>
      <c r="FX128" s="1" t="s">
        <v>663</v>
      </c>
      <c r="FY128" s="1">
        <v>28.76</v>
      </c>
      <c r="FZ128" s="79">
        <f t="shared" si="377"/>
        <v>885515.76</v>
      </c>
      <c r="GA128" s="86" t="str">
        <f t="shared" si="462"/>
        <v>dic24 nov25</v>
      </c>
      <c r="GB128" s="1">
        <v>19908335</v>
      </c>
      <c r="GC128" s="6">
        <v>2025</v>
      </c>
      <c r="GD128" s="83">
        <v>2213559</v>
      </c>
      <c r="GE128" s="83">
        <v>410324</v>
      </c>
      <c r="GF128" s="83">
        <v>1003144</v>
      </c>
      <c r="GG128" s="83">
        <v>129694</v>
      </c>
      <c r="GH128" s="79">
        <f>GE128+GF128+GG128</f>
        <v>1543162</v>
      </c>
      <c r="GI128" s="82">
        <f t="shared" si="463"/>
        <v>1302556</v>
      </c>
      <c r="GJ128" s="82">
        <f t="shared" si="463"/>
        <v>682423</v>
      </c>
      <c r="GK128" s="82">
        <f t="shared" si="463"/>
        <v>1391495</v>
      </c>
      <c r="GL128" s="82">
        <f t="shared" si="463"/>
        <v>305049</v>
      </c>
      <c r="GM128" s="82">
        <f t="shared" si="463"/>
        <v>260419</v>
      </c>
      <c r="GN128" s="79">
        <f t="shared" ref="GN128:GN130" si="495">+SUM(GJ128:GM128)</f>
        <v>2639386</v>
      </c>
      <c r="GO128" s="82">
        <f t="shared" si="464"/>
        <v>201734</v>
      </c>
      <c r="GP128" s="82">
        <f t="shared" si="464"/>
        <v>75000</v>
      </c>
      <c r="GQ128" s="1">
        <v>53426</v>
      </c>
      <c r="GR128" s="83">
        <v>31107</v>
      </c>
      <c r="GS128" s="79">
        <f t="shared" si="412"/>
        <v>32709.78</v>
      </c>
      <c r="GT128" s="82">
        <f t="shared" ref="GT128:GT137" si="496">+GT127</f>
        <v>2111561</v>
      </c>
      <c r="GU128" s="83">
        <f>8814+4564</f>
        <v>13378</v>
      </c>
      <c r="GV128" s="83">
        <f>5399+21410</f>
        <v>26809</v>
      </c>
      <c r="GW128" s="79">
        <f t="shared" si="455"/>
        <v>799388</v>
      </c>
      <c r="GX128" s="83">
        <v>36041.686000000002</v>
      </c>
      <c r="GY128" s="1" t="s">
        <v>802</v>
      </c>
      <c r="GZ128" s="83">
        <v>119643</v>
      </c>
      <c r="HA128" s="1">
        <v>245024</v>
      </c>
      <c r="HB128" s="79">
        <f t="shared" si="437"/>
        <v>3147207</v>
      </c>
      <c r="HC128" s="86" t="str">
        <f t="shared" si="465"/>
        <v>dic24 nov25</v>
      </c>
      <c r="HD128" s="1">
        <v>65340</v>
      </c>
      <c r="HE128" s="79">
        <f t="shared" si="380"/>
        <v>803561</v>
      </c>
      <c r="HF128" s="86" t="str">
        <f t="shared" si="466"/>
        <v>dic24 nov25</v>
      </c>
      <c r="HG128" s="83">
        <v>187000</v>
      </c>
      <c r="HH128" s="79">
        <f t="shared" si="490"/>
        <v>2335000</v>
      </c>
      <c r="HI128" s="86" t="str">
        <f t="shared" si="467"/>
        <v>dic24 nov25</v>
      </c>
      <c r="HJ128" s="1">
        <v>91912</v>
      </c>
      <c r="HK128" s="79">
        <f t="shared" si="475"/>
        <v>65379.383999999998</v>
      </c>
      <c r="HL128" s="86" t="str">
        <f t="shared" si="468"/>
        <v>dic24 nov25</v>
      </c>
      <c r="HM128" s="79">
        <f t="shared" si="358"/>
        <v>2400379.3840000001</v>
      </c>
      <c r="HN128" s="87">
        <f t="shared" ref="HN128:HN137" si="497">+HO128/HO116-1</f>
        <v>3.7105276521266051E-2</v>
      </c>
      <c r="HO128" s="1">
        <v>1101556183.93068</v>
      </c>
      <c r="HP128" s="79">
        <f t="shared" si="386"/>
        <v>11703.532971930679</v>
      </c>
      <c r="HQ128" s="86" t="str">
        <f t="shared" si="469"/>
        <v>dic24 nov25</v>
      </c>
      <c r="HU128" s="1">
        <v>990000</v>
      </c>
      <c r="HV128" s="1" t="s">
        <v>512</v>
      </c>
      <c r="HW128" s="1">
        <v>1600000</v>
      </c>
      <c r="HX128" s="1" t="s">
        <v>663</v>
      </c>
      <c r="HY128" s="83">
        <v>4730000</v>
      </c>
      <c r="HZ128" s="1" t="s">
        <v>512</v>
      </c>
      <c r="IA128" s="1">
        <f>(3.1+17.7)*1000000</f>
        <v>20800000</v>
      </c>
      <c r="IB128" s="1" t="s">
        <v>512</v>
      </c>
      <c r="IC128" s="1">
        <v>50500000</v>
      </c>
      <c r="ID128" s="1" t="s">
        <v>512</v>
      </c>
      <c r="IE128" s="1">
        <f>(0.05+1)*1000000</f>
        <v>1050000</v>
      </c>
      <c r="IF128" s="1" t="s">
        <v>512</v>
      </c>
      <c r="IG128" s="1">
        <f>(7+1)*1000000</f>
        <v>8000000</v>
      </c>
      <c r="IH128" s="1" t="s">
        <v>663</v>
      </c>
      <c r="II128" s="79">
        <f t="shared" si="479"/>
        <v>86680000</v>
      </c>
      <c r="IJ128" s="97">
        <f t="shared" si="491"/>
        <v>2.4791954184468667</v>
      </c>
      <c r="IK128" s="1" t="s">
        <v>663</v>
      </c>
      <c r="IL128" s="97">
        <v>47.68</v>
      </c>
      <c r="IM128" s="7">
        <v>49.25</v>
      </c>
      <c r="IN128" s="97">
        <v>182.5</v>
      </c>
      <c r="IO128" s="97">
        <v>18.78</v>
      </c>
      <c r="IP128" s="176">
        <f t="shared" si="480"/>
        <v>5.7424738987207355</v>
      </c>
      <c r="IQ128" s="176">
        <f>IQ127</f>
        <v>16.079999999999998</v>
      </c>
      <c r="IR128" s="478">
        <f t="shared" si="459"/>
        <v>6.17</v>
      </c>
      <c r="IS128" s="478">
        <f t="shared" si="460"/>
        <v>5.03</v>
      </c>
      <c r="IT128" s="478">
        <f t="shared" si="460"/>
        <v>11</v>
      </c>
      <c r="IU128" s="478">
        <f t="shared" si="460"/>
        <v>1.1000000000000001</v>
      </c>
      <c r="IV128" s="94">
        <f t="shared" ref="IV128" si="498">+SUM(IS128:IU128)</f>
        <v>17.130000000000003</v>
      </c>
      <c r="IY128" s="80">
        <v>1.88</v>
      </c>
      <c r="IZ128" s="88">
        <v>0.3</v>
      </c>
      <c r="JA128" s="82">
        <v>3555</v>
      </c>
      <c r="JB128" s="95">
        <f t="shared" si="433"/>
        <v>35.950000000000003</v>
      </c>
      <c r="JF128" s="2">
        <v>19.935607340000004</v>
      </c>
      <c r="JG128" s="2">
        <v>36.759837599999997</v>
      </c>
      <c r="JH128" s="2">
        <v>90.729927210000014</v>
      </c>
      <c r="JI128" s="2">
        <v>320.81153310000008</v>
      </c>
      <c r="JJ128" s="2">
        <v>374.39541358999992</v>
      </c>
      <c r="JK128" s="2">
        <v>107.51173679000001</v>
      </c>
      <c r="JL128" s="2">
        <v>3355.4966808400004</v>
      </c>
      <c r="JM128" s="2">
        <v>73.120459960000005</v>
      </c>
      <c r="JN128" s="2">
        <v>448.82412109000012</v>
      </c>
      <c r="JO128" s="2">
        <v>29.033049210000001</v>
      </c>
      <c r="JP128" s="2">
        <v>0</v>
      </c>
      <c r="JQ128" s="2">
        <v>0.17102500000000001</v>
      </c>
      <c r="JR128" s="2">
        <v>0.96521789999999996</v>
      </c>
      <c r="JS128" s="2">
        <v>0</v>
      </c>
      <c r="JT128" s="2">
        <v>1.7500000000000002E-2</v>
      </c>
      <c r="JU128" s="2">
        <v>78.044882909999998</v>
      </c>
      <c r="JV128" s="2">
        <v>9.1395205299999986</v>
      </c>
      <c r="JW128" s="2">
        <v>11.43153491</v>
      </c>
      <c r="JX128" s="2">
        <v>17.524467369999996</v>
      </c>
      <c r="JY128" s="2">
        <v>0</v>
      </c>
      <c r="JZ128" s="2">
        <v>9.0535029500000004</v>
      </c>
      <c r="KA128" s="2">
        <v>0.26500000000000001</v>
      </c>
      <c r="KB128" s="2">
        <v>13.327102919999998</v>
      </c>
      <c r="KC128" s="2">
        <v>71.370433359999993</v>
      </c>
      <c r="KD128" s="2">
        <v>9.2986503200000001</v>
      </c>
      <c r="KE128" s="2">
        <v>18.275047940000004</v>
      </c>
      <c r="KF128" s="2">
        <v>10.343166379999998</v>
      </c>
      <c r="KG128" s="2">
        <v>474.71184945000005</v>
      </c>
      <c r="KH128" s="2">
        <v>166.84903940999999</v>
      </c>
      <c r="KI128" s="2">
        <v>22.774238799999999</v>
      </c>
      <c r="KJ128" s="2">
        <v>3.17480787</v>
      </c>
      <c r="KK128" s="171">
        <v>7.4817210700000008</v>
      </c>
      <c r="KL128" s="171">
        <v>3.2780709999999998E-2</v>
      </c>
      <c r="KM128" s="171">
        <v>0.77082344999999997</v>
      </c>
      <c r="KN128" s="171">
        <v>1.9662289999999999E-2</v>
      </c>
      <c r="KO128" s="171">
        <v>1.8397197200000002</v>
      </c>
      <c r="KP128" s="171">
        <v>2.1048300000000002E-3</v>
      </c>
      <c r="KQ128" s="171">
        <v>137.59478850999997</v>
      </c>
      <c r="KR128" s="171">
        <v>0.12224964999999999</v>
      </c>
      <c r="KS128" s="171">
        <v>0.14943831000000002</v>
      </c>
      <c r="KT128" s="171">
        <v>0.94273901999999998</v>
      </c>
      <c r="KU128" s="171">
        <v>0.27804433999999995</v>
      </c>
      <c r="KV128" s="171">
        <v>0.26440790999999997</v>
      </c>
      <c r="KW128" s="171">
        <v>0.43240662000000002</v>
      </c>
      <c r="KX128" s="171">
        <v>0</v>
      </c>
      <c r="KY128" s="171">
        <v>0.17914601999999999</v>
      </c>
      <c r="KZ128" s="171">
        <v>4.0370959900000001</v>
      </c>
      <c r="LA128" s="171">
        <v>0.52514642999999994</v>
      </c>
      <c r="LB128" s="171">
        <v>2.1363189999999997E-2</v>
      </c>
      <c r="LC128" s="171">
        <v>3.0500884099999999</v>
      </c>
      <c r="LD128" s="171">
        <v>0</v>
      </c>
      <c r="LE128" s="171">
        <v>8.0707830000000008E-2</v>
      </c>
      <c r="LF128" s="171">
        <v>0.29525990000000002</v>
      </c>
      <c r="LG128" s="171">
        <v>13.907008520000002</v>
      </c>
      <c r="LH128" s="171">
        <v>4.1345480800000001</v>
      </c>
      <c r="LI128" s="171">
        <v>1.0549183800000002</v>
      </c>
      <c r="LJ128" s="171">
        <v>0</v>
      </c>
      <c r="LK128" s="171">
        <v>3.1609685399999994</v>
      </c>
      <c r="LL128" s="171">
        <v>8.8931998399999994</v>
      </c>
      <c r="LM128" s="171">
        <v>1.7294343599999999</v>
      </c>
      <c r="LN128" s="171">
        <v>4.9819790000000003E-2</v>
      </c>
      <c r="LO128" s="171">
        <v>10.181194250000003</v>
      </c>
      <c r="LQ128" s="85">
        <f t="shared" si="439"/>
        <v>4663.3781357900007</v>
      </c>
      <c r="LR128" s="85">
        <f t="shared" si="440"/>
        <v>1.1537429000000001</v>
      </c>
      <c r="LS128" s="85">
        <f t="shared" si="441"/>
        <v>20.571055439999999</v>
      </c>
      <c r="LT128" s="85">
        <f t="shared" si="442"/>
        <v>9.318502950000001</v>
      </c>
      <c r="LU128" s="85">
        <f t="shared" si="443"/>
        <v>140.49668192999997</v>
      </c>
      <c r="LV128" s="85">
        <f t="shared" si="444"/>
        <v>0.87596054999999995</v>
      </c>
      <c r="LW128" s="85">
        <f t="shared" si="445"/>
        <v>0.54650961999999992</v>
      </c>
      <c r="LX128" s="85">
        <f t="shared" si="446"/>
        <v>0.37596773000000006</v>
      </c>
      <c r="LZ128" s="83">
        <v>1718.75</v>
      </c>
      <c r="MA128" s="83">
        <v>1684.46</v>
      </c>
      <c r="MB128"/>
      <c r="MC128"/>
      <c r="MD128"/>
      <c r="MF128"/>
      <c r="MG128"/>
      <c r="MH128" s="83">
        <v>3952.81</v>
      </c>
      <c r="MI128" s="83">
        <v>940.07</v>
      </c>
      <c r="MJ128" s="83">
        <v>940.91</v>
      </c>
      <c r="MK128"/>
      <c r="ML128" s="83">
        <v>1041.72</v>
      </c>
      <c r="MM128" s="83">
        <v>2202.7800000000002</v>
      </c>
      <c r="MN128" s="83"/>
      <c r="MO128" s="83">
        <v>1137.76</v>
      </c>
      <c r="MP128" s="83">
        <v>2199.0700000000002</v>
      </c>
      <c r="MQ128" s="83">
        <v>3443.9</v>
      </c>
      <c r="MR128"/>
      <c r="MT128" s="83"/>
      <c r="MU128" s="83">
        <v>1132.3599999999999</v>
      </c>
      <c r="MV128"/>
      <c r="MW128"/>
      <c r="MX128"/>
      <c r="MY128" s="83">
        <v>2430.54</v>
      </c>
      <c r="MZ128" s="83">
        <v>7732</v>
      </c>
      <c r="NA128" s="83">
        <v>3813</v>
      </c>
      <c r="NB128" s="83">
        <v>13405</v>
      </c>
      <c r="NC128" s="83">
        <v>1561.92</v>
      </c>
      <c r="ND128" s="83">
        <v>13990</v>
      </c>
      <c r="NE128" s="83">
        <v>7760</v>
      </c>
    </row>
    <row r="129" spans="1:369">
      <c r="A129" s="38">
        <f t="shared" si="417"/>
        <v>45992</v>
      </c>
      <c r="B129" s="36">
        <f t="shared" si="476"/>
        <v>12</v>
      </c>
      <c r="C129" s="36">
        <f t="shared" si="477"/>
        <v>2025</v>
      </c>
      <c r="D129" s="36">
        <f t="shared" si="347"/>
        <v>129</v>
      </c>
      <c r="E129" s="38">
        <f t="shared" si="418"/>
        <v>45992</v>
      </c>
      <c r="F129" s="7">
        <v>1447.8377</v>
      </c>
      <c r="G129" s="7">
        <v>10121.371499999999</v>
      </c>
      <c r="H129" s="1">
        <f>[2]NACIONALES!$D117</f>
        <v>1000908.17</v>
      </c>
      <c r="I129" s="7">
        <v>107</v>
      </c>
      <c r="J129" s="7">
        <v>560</v>
      </c>
      <c r="K129" s="7">
        <v>4.0999999999999996</v>
      </c>
      <c r="L129" s="7">
        <v>33.4</v>
      </c>
      <c r="N129" s="5">
        <f>AVERAGE(1.23,1.22,1.22,1.23)</f>
        <v>1.2250000000000001</v>
      </c>
      <c r="O129" s="5">
        <f>AVERAGE(0.97,0.96,0.96,0.97)</f>
        <v>0.96499999999999986</v>
      </c>
      <c r="P129" s="78">
        <f t="shared" si="485"/>
        <v>1506.1131674249998</v>
      </c>
      <c r="Q129" s="6">
        <v>24500</v>
      </c>
      <c r="R129" s="79">
        <f t="shared" si="419"/>
        <v>245000</v>
      </c>
      <c r="S129" s="6">
        <v>182.86</v>
      </c>
      <c r="T129" s="6">
        <f>494750.94/F129</f>
        <v>341.71712754820516</v>
      </c>
      <c r="U129" s="6">
        <v>181.78</v>
      </c>
      <c r="V129" s="143">
        <v>321.27999999999997</v>
      </c>
      <c r="W129" s="6">
        <v>196</v>
      </c>
      <c r="X129" s="6">
        <v>181.97</v>
      </c>
      <c r="Y129" s="79">
        <f t="shared" si="420"/>
        <v>264751.60182200006</v>
      </c>
      <c r="Z129" s="79">
        <f t="shared" si="421"/>
        <v>494750.94</v>
      </c>
      <c r="AA129" s="79">
        <f t="shared" si="422"/>
        <v>263187.93710600003</v>
      </c>
      <c r="AB129" s="79">
        <f t="shared" si="423"/>
        <v>465161.296256</v>
      </c>
      <c r="AC129" s="79">
        <f t="shared" si="424"/>
        <v>283776.18920000002</v>
      </c>
      <c r="AD129" s="79">
        <f t="shared" si="425"/>
        <v>263463.02626900002</v>
      </c>
      <c r="AE129" s="79">
        <f t="shared" si="426"/>
        <v>339181.83177550003</v>
      </c>
      <c r="AF129" s="83">
        <f>594*F128</f>
        <v>848004.85440000007</v>
      </c>
      <c r="AG129" s="83">
        <v>190000</v>
      </c>
      <c r="AH129" s="83">
        <v>950000</v>
      </c>
      <c r="AI129" s="5">
        <v>463.2</v>
      </c>
      <c r="AJ129" s="5">
        <v>324.48</v>
      </c>
      <c r="AK129" s="5">
        <v>149.11000000000001</v>
      </c>
      <c r="AL129" s="5">
        <v>328.18</v>
      </c>
      <c r="AM129" s="78">
        <f t="shared" si="458"/>
        <v>343.58299999999997</v>
      </c>
      <c r="AN129" s="851">
        <v>44743.016759776539</v>
      </c>
      <c r="AO129" s="851">
        <v>37044</v>
      </c>
      <c r="AP129" s="78">
        <f t="shared" si="470"/>
        <v>37044</v>
      </c>
      <c r="AQ129" s="851">
        <v>40975</v>
      </c>
      <c r="AR129" s="851">
        <v>26294.117647058825</v>
      </c>
      <c r="AS129" s="851">
        <v>22628.052631578947</v>
      </c>
      <c r="AT129" s="851">
        <v>25184.263157894737</v>
      </c>
      <c r="AU129" s="78">
        <f t="shared" si="348"/>
        <v>24702.144478844169</v>
      </c>
      <c r="AV129" s="851">
        <v>6472.4137931034484</v>
      </c>
      <c r="AW129" s="851">
        <v>13821.052631578947</v>
      </c>
      <c r="AX129" s="851">
        <v>11604.894736842105</v>
      </c>
      <c r="AY129" s="851">
        <v>7667.0329670329675</v>
      </c>
      <c r="AZ129" s="851">
        <v>7634.3</v>
      </c>
      <c r="BA129" s="851">
        <v>13100</v>
      </c>
      <c r="BB129" s="94">
        <f t="shared" si="345"/>
        <v>10426.593952830795</v>
      </c>
      <c r="BC129" s="68">
        <v>44166</v>
      </c>
      <c r="BD129" s="68">
        <v>39751</v>
      </c>
      <c r="BE129" s="97">
        <v>25000</v>
      </c>
      <c r="BF129" s="97">
        <v>19000</v>
      </c>
      <c r="BG129" s="94">
        <f t="shared" si="349"/>
        <v>31979.25</v>
      </c>
      <c r="BH129" s="7">
        <v>3807</v>
      </c>
      <c r="BI129" s="97">
        <f>822+307.2</f>
        <v>1129.2</v>
      </c>
      <c r="BJ129" s="78">
        <f t="shared" si="350"/>
        <v>4936.2</v>
      </c>
      <c r="BK129" s="7">
        <v>4281.3159999999998</v>
      </c>
      <c r="BL129" s="7">
        <v>5699.9</v>
      </c>
      <c r="BM129" s="94">
        <f t="shared" si="351"/>
        <v>4990.6080000000002</v>
      </c>
      <c r="BN129" s="5">
        <v>476.6</v>
      </c>
      <c r="BO129" s="84">
        <f>AVERAGE(2873.32,2737.57,2330.32,2466.07)</f>
        <v>2601.8200000000002</v>
      </c>
      <c r="BP129" s="84">
        <f>AVERAGE(1766.65,2066.65)</f>
        <v>1916.65</v>
      </c>
      <c r="BQ129" s="94">
        <f t="shared" si="435"/>
        <v>2259.2350000000001</v>
      </c>
      <c r="BR129" s="7">
        <f>AVERAGE(1839,1826.3837,1791,1810)</f>
        <v>1816.5959250000001</v>
      </c>
      <c r="BS129" s="97">
        <v>8100</v>
      </c>
      <c r="BT129" s="97">
        <f>1.97*F129</f>
        <v>2852.2402689999999</v>
      </c>
      <c r="BU129" s="79">
        <f t="shared" si="436"/>
        <v>105756.72080700001</v>
      </c>
      <c r="BV129" s="7">
        <v>2054.6999999999998</v>
      </c>
      <c r="BW129" s="7">
        <v>3916</v>
      </c>
      <c r="BY129" s="268">
        <f>BY$10*(1+((H129/H$10-1)*costos!$B$5+((I129*F129)/(I$10*F$10)-1)*costos!$E$5+((J129*F129)/((J$10*F$10)-1)*costos!$F$5/3+((K129*F129)/(K$10*F$10)-1)*costos!$F$5/3+((U129*F129)/(U$10*F$10)-1)*costos!$F$5/3+((L129*F129)/(L$10*F$10)-1)*costos!$G$5+((N129*F129)/(N$10*F$10)-1)*costos!$J$5+((V129*F129)/(V$10*F$10)-1)*costos!$K$5)))</f>
        <v>12205.759365581729</v>
      </c>
      <c r="BZ129" s="268">
        <f>$BZ$10*(1+((H129/$H$10-1)*costos!$B$6+((I129*F129)/($I$10*$F$10)-1)*costos!$E$6+((J129*F129)/(($J$10*$F$10)-1)*costos!$F$6/3+((K129*F129)/($K$10*$F$10)-1)*costos!$F$6/3+((U129*F129)/($U$10*$F$10)-1)*costos!$F$6/3+((L129*F129)/($L$10*$F$10)-1)*costos!$G$6+((Q129*F129)/($Q$10*$F$10)-1)*costos!$J$6+((V129*F129)/($V$10*$F$10)-1)*costos!$K$6)))</f>
        <v>12501.381479786864</v>
      </c>
      <c r="CA129" s="268">
        <f>CA$10*(1+((H129/H$10-1)*costos!$B$7+((I129*F129)/(I$10*F$10)-1)*costos!$E$7+((J129*F129)/((J$10*F$10)-1)*costos!$F$7/3+((K129*F129)/(K$10*F$10)-1)*costos!$F$7/3+((U129*F129)/(U$10*F$10)-1)*costos!$F$7/3+((L129*F129)/(L$10*F$10)-1)*costos!$G$7+((S129*F129)/(S$10*F$10)-1)*costos!$J$7+((V129*F129)/(V$10*F$10)-1)*costos!$K$7)))</f>
        <v>12940.550817595496</v>
      </c>
      <c r="CB129" s="268">
        <f>CB$10*(1+((H129/H$10-1)*costos!$B$8+((I129*F129)/(I$10*F$10)-1)*costos!$E$8+((J129*F129)/((J$10*F$10)-1)*costos!$F$8/3+((K129*F129)/(K$10*F$10)-1)*costos!$F$8/3+((U129*F129)/(U$10*F$10)-1)*costos!$F$8/3+((L129*F129)/(L$10*F$10)-1)*costos!$G$8+((T129*F129)/(T$10*F$10)-1)*costos!$J$8+((V129*F129)/(V$10*F$10)-1)*costos!$K$8)))</f>
        <v>13063.895686585021</v>
      </c>
      <c r="CC129" s="268">
        <f>CC$10*(1+((H129/H$10-1)*costos!$B$9+((I129*F129)/(I$10*F$10)-1)*costos!$E$9+((J129*F129)/((J$10*F$10)-1)*costos!$F$9/3+((K129*F129)/(K$10*F$10)-1)*costos!$F$9/3+((U129*F129)/(U$10*F$10)-1)*costos!$F$9/3+((L129*F129)/(L$10*F$10)-1)*costos!$G$9+((U129*F129)/(U$10*F$10)-1)*costos!$J$9+((V129*F129)/(V$10*F$10)-1)*costos!$K$9)))</f>
        <v>12773.780734866061</v>
      </c>
      <c r="CD129" s="268">
        <f>CD$10*(1+((H129/H$10-1)*costos!$B$11+((I129*F129)/(I$10*F$10)-1)*costos!$E$11+((J129*F129)/((J$10*F$10)-1)*costos!$F$11/3+((K129*F129)/(K$10*F$10)-1)*costos!$F$11/3+((U129*F129)/(U$10*F$10)-1)*costos!$F$11/3+((L129*F129)/(L$10*F$10)-1)*costos!$G$11+((V129*F129)/(V$10*F$10)-1)*costos!$J$11+((V129*F129)/(V$10*F$10)-1)*costos!$K$11)))</f>
        <v>13541.268764544237</v>
      </c>
      <c r="CE129" s="268">
        <f>CE$10*(1+((H129/H$10-1)*costos!$B$12+((I129*F129)/(I$10*F$10)-1)*costos!$E$12+((J129*F129)/((J$10*F$10)-1)*costos!$F$12/3+((K129*F129)/(K$10*F$10)-1)*costos!$F$12/3+((U129*F129)/(U$10*F$10)-1)*costos!$F$12/3+((L129*F129)/(L$10*F$10)-1)*costos!$G$12+((W129*F129)/(W$10*F$10)-1)*costos!$J$12+((V129*F129)/(V$10*F$10)-1)*costos!$K$12)))</f>
        <v>12987.077025774024</v>
      </c>
      <c r="CF129" s="268">
        <f>CF$10*(1+((H129/H$10-1)*costos!$B$13+((I129*F129)/(I$10*F$10)-1)*costos!$E$13+((J129*F129)/((J$10*F$10)-1)*costos!$F$13/3+((K129*F129)/(K$10*F$10)-1)*costos!$F$13/3+((U129*F129)/(U$10*F$10)-1)*costos!$F$13/3+((L129*F129)/(L$10*F$10)-1)*costos!$G$13+((X129*F129)/(X$10*F$10)-1)*costos!$J$13+((V129*F129)/(V$10*F$10)-1)*costos!$K$13)))</f>
        <v>13041.992232228655</v>
      </c>
      <c r="CG129" s="268">
        <f t="shared" ref="CG129" si="499">+AVERAGE(CA129:CF129)</f>
        <v>13058.094210265583</v>
      </c>
      <c r="CH129" s="268">
        <f>CH$10*(1+((H129/H$10-1)*costos!$B$10+((I129*F129)/(I$10*F$10)-1)*costos!$E$10+((J129*F129)/((J$10*F$10)-1)*costos!$F$10/3+((K129*F129)/(K$10*F$10)-1)*costos!$F$10/3+((U129*F129)/(U$10*F$10)-1)*costos!$F$10/3+((L129*F129)/(L$10*F$10)-1)*costos!$G$10+((AF129)/(AF$10)-1)*costos!$J$10+((V129*F129)/(V$10*F$10)-1)*costos!$K$10)))</f>
        <v>12921.775537639334</v>
      </c>
      <c r="CI129" s="268">
        <f>CI$10*(1+((H129/H$10-1)*costos!$B$15+((I129*F129)/(I$10*F$10)-1)*costos!$E$15+((J129*F129)/((J$10*F$10)-1)*costos!$F$15/3+((K129*F129)/(K$10*F$10)-1)*costos!$F$15/3+((U129*F129)/(U$10*F$10)-1)*costos!$F$15/3+((L129*F129)/(L$10*F$10)-1)*costos!$G$15+((AV131)/(AV$10)-1)*costos!$J$15+((V129*F129)/(V$10*F$10)-1)*costos!$K$15)))</f>
        <v>12950.36469223249</v>
      </c>
      <c r="CJ129" s="268">
        <f>CJ$10*(1+((H129/H$10-1)*costos!$B$16+((I129*F129)/(I$10*F$10)-1)*costos!$E$16+((J129*F129)/((J$10*F$10)-1)*costos!$F$16/3+((K129*F129)/(K$10*F$10)-1)*costos!$F$16/3+((U129*F129)/(U$10*F$10)-1)*costos!$F$16/3+((L129*F129)/(L$10*F$10)-1)*costos!$G$16+((AW129)/(AW$10)-1)*costos!$J$16+((V129*F129)/(V$10*F$10)-1)*costos!$K$16)))</f>
        <v>11698.920683815033</v>
      </c>
      <c r="CK129" s="268">
        <f>CK$10*(1+((H129/H$10-1)*costos!$B$17+((I129*F129)/(I$10*F$10)-1)*costos!$E$17+((J129*F129)/((J$10*F$10)-1)*costos!$F$17/3+((K129*F129)/(K$10*F$10)-1)*costos!$F$17/3+((U129*F129)/(U$10*F$10)-1)*costos!$F$17/3+((L129*F129)/(L$10*F$10)-1)*costos!$G$17+((AX129)/(AX$10)-1)*costos!$J$17+((V129*F129)/(V$10*F$10)-1)*costos!$K$17)))</f>
        <v>12916.912896902573</v>
      </c>
      <c r="CL129" s="268">
        <f>CL$10*(1+((H129/H$10-1)*costos!$B$18+((I129*F129)/(I$10*F$10)-1)*costos!$E$18+((J129*F129)/((J$10*F$10)-1)*costos!$F$18/3+((K129*F129)/(K$10*F$10)-1)*costos!$F$18/3+((U129*F129)/(U$10*F$10)-1)*costos!$F$18/3+((L129*F129)/(L$10*F$10)-1)*costos!$G$18+((AY129)/(AY$10)-1)*costos!$J$18+((V129*F129)/(V$10*F$10)-1)*costos!$K$18)))</f>
        <v>11696.273204881309</v>
      </c>
      <c r="CM129" s="268">
        <f>CM$10*(1+((H129/H$10-1)*costos!$B$19+((I129*F129)/(I$10*F$10)-1)*costos!$E$19+((J129*F129)/((J$10*F$10)-1)*costos!$F$19/3+((K129*F129)/(K$10*F$10)-1)*costos!$F$19/3+((U129*F129)/(U$10*F$10)-1)*costos!$F$19/3+((L129*F129)/(L$10*F$10)-1)*costos!$G$19+((AZ129)/(AZ$10)-1)*costos!$J$19+((V129*F129)/(V$10*F$10)-1)*costos!$K$19)))</f>
        <v>11003.456332012456</v>
      </c>
      <c r="CN129" s="268">
        <f>CN$10*(1+((H129/H$10-1)*costos!$B$20+((I129*F129)/(I$10*F$10)-1)*costos!$E$20+((J129*F129)/((J$10*F$10)-1)*costos!$F$20/3+((K129*F129)/(K$10*F$10)-1)*costos!$F$20/3+((U129*F129)/(U$10*F$10)-1)*costos!$F$20/3+((L129*F129)/(L$10*F$10)-1)*costos!$G$20+((BA129)/(BA$10)-1)*costos!$J$20+((V129*F129)/(V$10*F$10)-1)*costos!$K$20)))</f>
        <v>13130.219298866552</v>
      </c>
      <c r="CO129" s="268">
        <f t="shared" ref="CO129" si="500">+AVERAGE(CK129:CN129)</f>
        <v>12186.715433165722</v>
      </c>
      <c r="CP129" s="268">
        <f>CP$10*(1+((H129/H$10-1)*costos!$B$22+((I129*F129)/(I$10*F$10)-1)*costos!$E$22+((J129*F129)/((J$10*F$10)-1)*costos!$F$22/3+((K129*F129)/(K$10*F$10)-1)*costos!$F$22/3+((U129*F129)/(U$10*F$10)-1)*costos!$F$22/3+((L129*F129)/(L$10*F$10)-1)*costos!$G$22+(((AVERAGE(AI129:AL129))/((AVERAGE(AI$10:AL$10))-1)*costos!$J$22+((V129*F129)/(V$10*F$10)-1)*costos!$K$22)))))</f>
        <v>13536.988848693409</v>
      </c>
      <c r="CQ129" s="92">
        <f>CQ$10*(1+((H129/H$10-1)*costos!$B$23+((I129*F129)/(I$10*F$10)-1)*costos!$E$23+((J129*F129)/((J$10*F$10)-1)*costos!$F$23/3+((K129*F129)/(K$10*F$10)-1)*costos!$F$23/3+((U129*F129)/(U$10*F$10)-1)*costos!$F$23/3+((L129*F129)/(L$10*F$10)-1)*costos!$G$23+((AN129)/(AN$10)-1)*costos!$J$23+((V129*F129)/(V$10*F$10)-1)*costos!$K$23)))</f>
        <v>12899.293662312044</v>
      </c>
      <c r="CR129" s="268">
        <f>CR$10*(1+((H129/H$10-1)*costos!$B$24+((I129*F129)/(I$10*F$10)-1)*costos!$E$24+((J129*F129)/((J$10*F$10)-1)*costos!$F$24/3+((K129*F129)/(K$10*F$10)-1)*costos!$F$24/3+((U129*F129)/(U$10*F$10)-1)*costos!$F$24/3+((L129*F129)/(L$10*F$10)-1)*costos!$G$24+((AO129)/(AO$10)-1)*costos!$J$24+((V129*F129)/(V$10*F$10)-1)*costos!$K$24)))</f>
        <v>13756.854006942132</v>
      </c>
      <c r="CS129" s="92">
        <f t="shared" si="352"/>
        <v>13328.073834627088</v>
      </c>
      <c r="CT129" s="268">
        <f>CT$10*(1+((H129/H$10-1)*costos!$B$25+((I129*F129)/(I$10*F$10)-1)*costos!$E$25+((J129*F129)/((J$10*F$10)-1)*costos!$F$25/3+((K129*F129)/(K$10*F$10)-1)*costos!$F$25/3+((U129*F129)/(U$10*F$10)-1)*costos!$F$25/3+((L129*F129)/(L$10*F$10)-1)*costos!$G$25+((AQ129)/(AQ$10)-1)*costos!$J$25+((V129*F129)/(V$10*F$10)-1)*costos!$K$25)))</f>
        <v>13556.071273151252</v>
      </c>
      <c r="CU129" s="268">
        <f>CU$10*(1+((H129/H$10-1)*costos!$B$26+((I129*F129)/(I$10*F$10)-1)*costos!$E$26+((J129*F129)/((J$10*F$10)-1)*costos!$F$26/3+((K129*F129)/(K$10*F$10)-1)*costos!$F$26/3+((U129*F129)/(U$10*F$10)-1)*costos!$F$26/3+((L129*F129)/(L$10*F$10)-1)*costos!$G$26+((AR129)/(AR$10)-1)*costos!$J$26+((V129*F129)/(V$10*F$10)-1)*costos!$K$26)))</f>
        <v>12834.649866828882</v>
      </c>
      <c r="CV129" s="268">
        <f>CV$10*(1+((H129/H$10-1)*costos!$B$27+((I129*F129)/(I$10*F$10)-1)*costos!$E$27+((J129*F129)/((J$10*F$10)-1)*costos!$F$27/3+((K129*F129)/(K$10*F$10)-1)*costos!$F$27/3+((U129*F129)/(U$10*F$10)-1)*costos!$F$27/3+((L129*F129)/(L$10*F$10)-1)*costos!$G$27+((AS129)/(AS$10)-1)*costos!$J$27+((V129*F129)/(V$10*F$10)-1)*costos!$K$27)))</f>
        <v>12558.140628543106</v>
      </c>
      <c r="CW129" s="268">
        <f>CW$10*(1+((H129/H$10-1)*costos!$B$28+((I129*F129)/(I$10*F$10)-1)*costos!$E$28+((J129*F129)/((J$10*F$10)-1)*costos!$F$28/3+((K129*F129)/(K$10*F$10)-1)*costos!$F$28/3+((U129*F129)/(U$10*F$10)-1)*costos!$F$28/3+((L129*F129)/(L$10*F$10)-1)*costos!$G$28+((AS129)/(AS$10)-1)*costos!$J$28+((V129*F129)/(V$10*F$10)-1)*costos!$K$28)))</f>
        <v>12558.140628543106</v>
      </c>
      <c r="CX129" s="268">
        <f t="shared" ref="CX129" si="501">+AVERAGE(CU129:CW129)</f>
        <v>12650.310374638364</v>
      </c>
      <c r="CY129" s="268">
        <f>CY$10*(1+((H129/H$10-1)*costos!$B$32+((I129*F129)/(I$10*F$10)-1)*costos!$E$32+((J129*F129)/((J$10*F$10)-1)*costos!$F$32/3+((K129*F129)/(K$10*F$10)-1)*costos!$F$32/3+((U129*F129)/(U$10*F$10)-1)*costos!$F$32/3+((L129*F129)/(L$10*F$10)-1)*costos!$G$32+((AG129)/(AG$10)-1)*costos!$J$32+((V129*F129)/(V$10*F$10)-1)*costos!$K$32)))</f>
        <v>12163.321313427909</v>
      </c>
      <c r="CZ129" s="69">
        <f>CZ$10*(1+((H129/H$10-1)*costos!$B$31+((I129*F129)/(I$10*F$10)-1)*costos!$E$30+((J129*F129)/((J$10*F$10)-1)*costos!$F$30/3+((K129*F129)/(K$10*F$10)-1)*costos!$F$30/3+((U129*F129)/(U$10*F$10)-1)*costos!$F$30/3+((L129*F129)/(L$10*F$10)-1)*costos!$G$30+((BG129)/(BG$10)-1)*costos!$J$30+((V129*F129)/(V$10*F$10)-1)*costos!$K$30)))</f>
        <v>15568.655208789152</v>
      </c>
      <c r="DA129" s="69">
        <f>DA$10*(1+((H129/H$10-1)*costos!$B$31+((I129*F129)/(I$10*F$10)-1)*costos!$E$31+((J129*F129)/((J$10*F$10)-1)*costos!$F$31/3+((K129*F129)/(K$10*F$10)-1)*costos!$F$31/3+((U129*F129)/(U$10*F$10)-1)*costos!$F$31/3+((L129*F129)/(L$10*F$10)-1)*costos!$G$31+((BJ129)/(BJ$10)-1)*costos!$J$31+((V129*F129)/(V$10*F$10)-1)*costos!$K$31)))</f>
        <v>12790.429926405761</v>
      </c>
      <c r="DB129" s="69">
        <f>DB$10*(1+((H129/H$10-1)*costos!$B$36+((I129*F129)/(I$10*F$10)-1)*costos!$E$36+((J129*F129)/((J$10*F$10)-1)*costos!$F$36/3+((K129*F129)/(K$10*F$10)-1)*costos!$F$36/3+((U129*F129)/(U$10*F$10)-1)*costos!$F$36/3+((L129*F129)/(L$10*F$10)-1)*costos!$G$36+((BK129)/(BK$10)-1)*costos!$J$36+((V129*F129)/(V$10*F$10)-1)*costos!$K$36)))</f>
        <v>13395.365556967934</v>
      </c>
      <c r="DC129" s="69">
        <f>DC$10*(1+((H129/H$10-1)*costos!$B$37+((I129*F129)/(I$10*F$10)-1)*costos!$E$37+((U129*F129)/(U$10*F$10)-1)*costos!$F$37+((L129*F129)/(L$10*F$10)-1)*costos!$G$37+((BN129)/(BN$10)-1)*costos!$J$37+((V129*F129)/(V$10*F$10)-1)*costos!$K$37))</f>
        <v>12946.851493992119</v>
      </c>
      <c r="DD129" s="69">
        <f>DD$10*(1+((H129/H$10-1)*costos!$B$39+((I129*F129)/(I$10*F$10)-1)*costos!$E$39+((U129*F129)/(U$10*F$10)-1)*costos!$F$39+((L129*F129)/(L$10*F$10)-1)*costos!$G$39+((BR129)/(BR$10)-1)*costos!$J$39+((V129*F129)/(V$10*F$10)-1)*costos!$K$39))</f>
        <v>12758.453983753841</v>
      </c>
      <c r="DE129" s="69">
        <f>DD$10*(1+((H129/H$10-1)*costos!$B$35+((I129*F129)/(I$10*F$10)-1)*costos!$E$35+((U129*F129)/(U$10*F$10)-1)*costos!$F$35+((L129*F129)/(L$10*F$10)-1)*costos!$G$35+((BR129)/(BR$10)-1)*costos!$J$35+((V129*F129)/(V$10*F$10)-1)*costos!$K$35))</f>
        <v>11366.155174886519</v>
      </c>
      <c r="DF129" s="69">
        <f>DF$10*(1+((H129/H$10-1)*costos!$B$40+((I129*F129)/(I$10*F$10)-1)*costos!$E$40+((U129*F129)/(U$10*F$10)-1)*costos!$F$40+((L129*F129)/(L$10*F$10)-1)*costos!$G$40+((BP129)/(BP$10)-1)*costos!$J$40+((V129*F129)/(V$10*F$10)-1)*costos!$K$40))</f>
        <v>13076.487439006078</v>
      </c>
      <c r="DG129" s="268">
        <f t="shared" ref="DG129" si="502">+((DE129/$DE$10)*100+DF129)/2</f>
        <v>12221.321306946298</v>
      </c>
      <c r="DH129" s="69">
        <f>DH$10*(1+((H129/H$10-1)*costos!$B$34+((I129*F129)/(I$10*F$10)-1)*costos!$E$34+((J129*F129)/((J$10*F$10)-1)*costos!$F$34/3+((K129*F129)/(K$10*F$10)-1)*costos!$F$34/3+((U129*F129)/(U$10*F$10)-1)*costos!$F$34/3+((L129*F129)/(L$10*F$10)-1)*costos!$G$34+((BV129)/(BV$10)-1)*costos!$J$34+((V129*F129)/(V$10*F$10)-1)*costos!$K$34)))</f>
        <v>12395.161976852933</v>
      </c>
      <c r="DI129" s="69">
        <f>DI$10*(1+((H129/H$10-1)*costos!$B$38+((I129*F129)/(I$10*F$10)-1)*costos!$E$38+((J129*F129)/((J$10*F$10)-1)*costos!$F$38/3+((K129*F129)/(K$10*F$10)-1)*costos!$F$38/3+((U129*F129)/(U$10*F$10)-1)*costos!$F$38/3+((L129*F129)/(L$10*F$10)-1)*costos!$G$38+((BU129)/(BU$10)-1)*costos!$J$38+((V129*F129)/(V$10*F$10)-1)*costos!$K$38)))</f>
        <v>12923.220375801395</v>
      </c>
      <c r="DK129" s="1">
        <v>560000</v>
      </c>
      <c r="DL129" s="1" t="s">
        <v>663</v>
      </c>
      <c r="DM129" s="1">
        <v>200000</v>
      </c>
      <c r="DN129" s="1" t="s">
        <v>663</v>
      </c>
      <c r="DO129" s="1">
        <v>1400000</v>
      </c>
      <c r="DP129" s="1" t="s">
        <v>663</v>
      </c>
      <c r="DQ129" s="1">
        <v>2900000</v>
      </c>
      <c r="DR129" s="1" t="s">
        <v>663</v>
      </c>
      <c r="DS129" s="1">
        <v>7800000</v>
      </c>
      <c r="DT129" s="1" t="s">
        <v>663</v>
      </c>
      <c r="DU129" s="1">
        <v>17400000</v>
      </c>
      <c r="DV129" s="1" t="s">
        <v>663</v>
      </c>
      <c r="DW129" s="1">
        <v>900000</v>
      </c>
      <c r="DX129" s="1" t="s">
        <v>663</v>
      </c>
      <c r="DY129" s="1">
        <v>6970000</v>
      </c>
      <c r="DZ129" s="1" t="s">
        <v>663</v>
      </c>
      <c r="EA129" s="79">
        <f t="shared" si="353"/>
        <v>37370000</v>
      </c>
      <c r="EB129" s="1">
        <v>389000</v>
      </c>
      <c r="EC129" s="1" t="s">
        <v>663</v>
      </c>
      <c r="ED129" s="1">
        <v>231352</v>
      </c>
      <c r="EE129" s="143">
        <v>2025</v>
      </c>
      <c r="EF129" s="83">
        <v>196220</v>
      </c>
      <c r="EG129" s="143">
        <v>2025</v>
      </c>
      <c r="EH129" s="1">
        <v>51624909</v>
      </c>
      <c r="EI129" s="143">
        <v>2025</v>
      </c>
      <c r="EJ129" s="1">
        <v>5987778</v>
      </c>
      <c r="EK129" s="6">
        <v>2025</v>
      </c>
      <c r="EL129" s="1">
        <v>11967429</v>
      </c>
      <c r="EM129" s="6">
        <v>2025</v>
      </c>
      <c r="EN129" s="1">
        <v>2927559</v>
      </c>
      <c r="EO129" s="6">
        <v>2025</v>
      </c>
      <c r="EP129" s="83">
        <v>9409</v>
      </c>
      <c r="EQ129" s="83">
        <v>4000000</v>
      </c>
      <c r="ER129" s="83">
        <f t="shared" si="478"/>
        <v>79911</v>
      </c>
      <c r="ET129" s="82">
        <f t="shared" si="474"/>
        <v>19357</v>
      </c>
      <c r="EU129" s="82">
        <f t="shared" si="474"/>
        <v>18703</v>
      </c>
      <c r="EV129" s="82">
        <f t="shared" si="474"/>
        <v>8927</v>
      </c>
      <c r="EW129" s="82">
        <f t="shared" si="474"/>
        <v>17408</v>
      </c>
      <c r="EX129" s="79">
        <f t="shared" si="486"/>
        <v>64395</v>
      </c>
      <c r="EY129" s="82">
        <f t="shared" si="394"/>
        <v>20031</v>
      </c>
      <c r="EZ129" s="83">
        <f t="shared" si="394"/>
        <v>38177</v>
      </c>
      <c r="FA129" s="82">
        <f t="shared" si="431"/>
        <v>19900</v>
      </c>
      <c r="FB129" s="82">
        <f t="shared" si="406"/>
        <v>18184</v>
      </c>
      <c r="FC129" s="79">
        <f t="shared" si="487"/>
        <v>38084</v>
      </c>
      <c r="FD129" s="82">
        <f t="shared" si="488"/>
        <v>60376</v>
      </c>
      <c r="FF129" s="1">
        <v>1100000</v>
      </c>
      <c r="FG129" s="1" t="s">
        <v>512</v>
      </c>
      <c r="FH129" s="1">
        <v>1600000</v>
      </c>
      <c r="FI129" s="1" t="s">
        <v>512</v>
      </c>
      <c r="FJ129" s="1">
        <v>5400000</v>
      </c>
      <c r="FK129" s="1" t="s">
        <v>663</v>
      </c>
      <c r="FL129" s="1">
        <v>5800000</v>
      </c>
      <c r="FM129" s="1" t="s">
        <v>663</v>
      </c>
      <c r="FN129" s="1">
        <v>58000000</v>
      </c>
      <c r="FO129" s="1" t="s">
        <v>663</v>
      </c>
      <c r="FP129" s="1">
        <v>48500000</v>
      </c>
      <c r="FQ129" s="1" t="s">
        <v>663</v>
      </c>
      <c r="FR129" s="1">
        <v>3000000</v>
      </c>
      <c r="FS129" s="1" t="s">
        <v>663</v>
      </c>
      <c r="FT129" s="1">
        <v>27800000</v>
      </c>
      <c r="FU129" s="1" t="s">
        <v>663</v>
      </c>
      <c r="FV129" s="79">
        <f t="shared" si="355"/>
        <v>148500000</v>
      </c>
      <c r="FW129" s="83">
        <v>1389286</v>
      </c>
      <c r="FX129" s="1" t="s">
        <v>663</v>
      </c>
      <c r="FY129" s="1">
        <v>21033</v>
      </c>
      <c r="FZ129" s="79">
        <f t="shared" si="377"/>
        <v>888337.76</v>
      </c>
      <c r="GA129" s="86" t="str">
        <f t="shared" si="462"/>
        <v>ene25 dic25</v>
      </c>
      <c r="GB129" s="1">
        <v>19908335</v>
      </c>
      <c r="GC129" s="6">
        <v>2025</v>
      </c>
      <c r="GD129" s="83">
        <v>2213559</v>
      </c>
      <c r="GE129" s="83">
        <v>410324</v>
      </c>
      <c r="GF129" s="83">
        <v>1003144</v>
      </c>
      <c r="GG129" s="83">
        <v>129694</v>
      </c>
      <c r="GH129" s="79">
        <f t="shared" si="450"/>
        <v>1543162</v>
      </c>
      <c r="GI129" s="82">
        <f t="shared" si="463"/>
        <v>1302556</v>
      </c>
      <c r="GJ129" s="82">
        <f t="shared" si="463"/>
        <v>682423</v>
      </c>
      <c r="GK129" s="82">
        <f t="shared" si="463"/>
        <v>1391495</v>
      </c>
      <c r="GL129" s="82">
        <f t="shared" si="463"/>
        <v>305049</v>
      </c>
      <c r="GM129" s="82">
        <f t="shared" si="463"/>
        <v>260419</v>
      </c>
      <c r="GN129" s="79">
        <f t="shared" si="495"/>
        <v>2639386</v>
      </c>
      <c r="GO129" s="82">
        <f t="shared" si="464"/>
        <v>201734</v>
      </c>
      <c r="GP129" s="82">
        <f t="shared" si="464"/>
        <v>75000</v>
      </c>
      <c r="GQ129" s="83">
        <v>177417</v>
      </c>
      <c r="GR129" s="83">
        <v>31107</v>
      </c>
      <c r="GS129" s="79">
        <f t="shared" si="412"/>
        <v>36429.51</v>
      </c>
      <c r="GT129" s="82">
        <f t="shared" si="496"/>
        <v>2111561</v>
      </c>
      <c r="GU129" s="83">
        <f>3837+3456</f>
        <v>7293</v>
      </c>
      <c r="GV129" s="83">
        <f>4638+19844</f>
        <v>24482</v>
      </c>
      <c r="GW129" s="79">
        <f t="shared" si="455"/>
        <v>786627</v>
      </c>
      <c r="GX129" s="83">
        <v>36041.686000000002</v>
      </c>
      <c r="GY129" s="1" t="s">
        <v>802</v>
      </c>
      <c r="GZ129" s="83">
        <v>119643</v>
      </c>
      <c r="HA129" s="1">
        <v>260573</v>
      </c>
      <c r="HB129" s="79">
        <f t="shared" si="437"/>
        <v>3126982</v>
      </c>
      <c r="HC129" s="86" t="str">
        <f t="shared" si="465"/>
        <v>ene25 dic25</v>
      </c>
      <c r="HD129" s="1">
        <v>76921</v>
      </c>
      <c r="HE129" s="79">
        <f t="shared" si="380"/>
        <v>811912</v>
      </c>
      <c r="HF129" s="86" t="str">
        <f t="shared" si="466"/>
        <v>ene25 dic25</v>
      </c>
      <c r="HG129" s="83">
        <v>202000</v>
      </c>
      <c r="HH129" s="79">
        <f t="shared" si="490"/>
        <v>2336000</v>
      </c>
      <c r="HI129" s="86" t="str">
        <f t="shared" si="467"/>
        <v>ene25 dic25</v>
      </c>
      <c r="HJ129" s="83">
        <v>94094</v>
      </c>
      <c r="HK129" s="79">
        <f t="shared" si="475"/>
        <v>66047.22</v>
      </c>
      <c r="HL129" s="86" t="str">
        <f t="shared" si="468"/>
        <v>ene25 dic25</v>
      </c>
      <c r="HM129" s="79">
        <f t="shared" si="358"/>
        <v>2402047.2200000002</v>
      </c>
      <c r="HN129" s="87">
        <f t="shared" si="497"/>
        <v>2.5964019088787094E-2</v>
      </c>
      <c r="HO129" s="1">
        <v>1045270610</v>
      </c>
      <c r="HP129" s="79">
        <f t="shared" si="386"/>
        <v>11729.985581930679</v>
      </c>
      <c r="HQ129" s="86" t="str">
        <f t="shared" si="469"/>
        <v>ene25 dic25</v>
      </c>
      <c r="HU129" s="1">
        <v>990000</v>
      </c>
      <c r="HV129" s="1" t="s">
        <v>512</v>
      </c>
      <c r="HW129" s="1">
        <v>1600000</v>
      </c>
      <c r="HX129" s="1" t="s">
        <v>663</v>
      </c>
      <c r="HY129" s="83">
        <v>4730000</v>
      </c>
      <c r="HZ129" s="1" t="s">
        <v>512</v>
      </c>
      <c r="IA129" s="1">
        <f>(3.1+17.7)*1000000</f>
        <v>20800000</v>
      </c>
      <c r="IB129" s="1" t="s">
        <v>512</v>
      </c>
      <c r="IC129" s="1">
        <v>50500000</v>
      </c>
      <c r="ID129" s="1" t="s">
        <v>512</v>
      </c>
      <c r="IE129" s="1">
        <f>(0.05+1.1)*1000000</f>
        <v>1150000.0000000002</v>
      </c>
      <c r="IF129" s="1" t="s">
        <v>512</v>
      </c>
      <c r="IG129" s="1">
        <f>(7+1)*1000000</f>
        <v>8000000</v>
      </c>
      <c r="IH129" s="1" t="s">
        <v>663</v>
      </c>
      <c r="II129" s="79">
        <f>+IG129+IE129+IC129+IA129+HY129+HW129</f>
        <v>86780000</v>
      </c>
      <c r="IJ129" s="97">
        <f t="shared" si="491"/>
        <v>2.4791954184468667</v>
      </c>
      <c r="IK129" s="1" t="s">
        <v>663</v>
      </c>
      <c r="IL129" s="7">
        <v>47.7</v>
      </c>
      <c r="IM129" s="7">
        <v>49.95</v>
      </c>
      <c r="IN129" s="7">
        <v>181.1</v>
      </c>
      <c r="IO129" s="7">
        <v>18.899999999999999</v>
      </c>
      <c r="IP129" s="176">
        <f t="shared" si="480"/>
        <v>5.7424738987207355</v>
      </c>
      <c r="IQ129" s="176">
        <f>IQ128</f>
        <v>16.079999999999998</v>
      </c>
      <c r="IR129" s="478">
        <f t="shared" si="459"/>
        <v>6.17</v>
      </c>
      <c r="IS129" s="478">
        <f t="shared" si="460"/>
        <v>5.03</v>
      </c>
      <c r="IT129" s="478">
        <f t="shared" si="460"/>
        <v>11</v>
      </c>
      <c r="IU129" s="478">
        <f t="shared" si="460"/>
        <v>1.1000000000000001</v>
      </c>
      <c r="IV129" s="94">
        <f t="shared" si="360"/>
        <v>17.130000000000003</v>
      </c>
      <c r="IY129" s="80">
        <v>1.88</v>
      </c>
      <c r="IZ129" s="88">
        <v>0.3</v>
      </c>
      <c r="JA129" s="82">
        <v>3555</v>
      </c>
      <c r="JB129" s="95">
        <f t="shared" si="433"/>
        <v>35.950000000000003</v>
      </c>
      <c r="JF129" s="2">
        <v>14.028435419999997</v>
      </c>
      <c r="JG129" s="2">
        <v>12.625558100000001</v>
      </c>
      <c r="JH129" s="2">
        <v>124.52352689000001</v>
      </c>
      <c r="JI129" s="2">
        <v>305.84269829999994</v>
      </c>
      <c r="JJ129" s="2">
        <v>318.67968741999999</v>
      </c>
      <c r="JK129" s="2">
        <v>109.63040427999998</v>
      </c>
      <c r="JL129" s="2">
        <v>2372.8407975999999</v>
      </c>
      <c r="JM129" s="2">
        <v>31.986789179999999</v>
      </c>
      <c r="JN129" s="2">
        <v>748.11855557000013</v>
      </c>
      <c r="JO129" s="2">
        <v>34.54170027</v>
      </c>
      <c r="JP129" s="2">
        <v>2.5000000000000001E-3</v>
      </c>
      <c r="JQ129" s="2">
        <v>0.27025500000000002</v>
      </c>
      <c r="JR129" s="2">
        <v>1.1825811799999999</v>
      </c>
      <c r="JS129" s="2">
        <v>0</v>
      </c>
      <c r="JT129" s="2">
        <v>0.23027998</v>
      </c>
      <c r="JU129" s="2">
        <v>78.732425000000021</v>
      </c>
      <c r="JV129" s="2">
        <v>8.5222114300000005</v>
      </c>
      <c r="JW129" s="2">
        <v>5.7498950999999998</v>
      </c>
      <c r="JX129" s="2">
        <v>15.131830649999998</v>
      </c>
      <c r="JY129" s="2">
        <v>0</v>
      </c>
      <c r="JZ129" s="2">
        <v>5.94807328</v>
      </c>
      <c r="KA129" s="2">
        <v>0.17749999999999999</v>
      </c>
      <c r="KB129" s="2">
        <v>18.231882050000007</v>
      </c>
      <c r="KC129" s="2">
        <v>30.603557829999996</v>
      </c>
      <c r="KD129" s="2">
        <v>11.742414109999999</v>
      </c>
      <c r="KE129" s="2">
        <v>13.599247020000002</v>
      </c>
      <c r="KF129" s="2">
        <v>10.33831614</v>
      </c>
      <c r="KG129" s="2">
        <v>452.44590436999982</v>
      </c>
      <c r="KH129" s="2">
        <v>210.79864256000005</v>
      </c>
      <c r="KI129" s="2">
        <v>27.303396169999999</v>
      </c>
      <c r="KJ129" s="2">
        <v>3.0562051500000003</v>
      </c>
      <c r="KK129" s="171">
        <v>5.8762837499999998</v>
      </c>
      <c r="KL129" s="171">
        <v>0.22953033</v>
      </c>
      <c r="KM129" s="171">
        <v>0.59022839000000005</v>
      </c>
      <c r="KN129" s="171">
        <v>0.10519574</v>
      </c>
      <c r="KO129" s="171">
        <v>1.30451473</v>
      </c>
      <c r="KP129" s="171">
        <v>4.2275489999999999E-2</v>
      </c>
      <c r="KQ129" s="171">
        <v>49.770840689999993</v>
      </c>
      <c r="KR129" s="171">
        <v>2.389432E-2</v>
      </c>
      <c r="KS129" s="171">
        <v>0.19992615999999999</v>
      </c>
      <c r="KT129" s="171">
        <v>1.06092366</v>
      </c>
      <c r="KU129" s="171">
        <v>0.46571231000000002</v>
      </c>
      <c r="KV129" s="171">
        <v>5.9149609999999998E-2</v>
      </c>
      <c r="KW129" s="171">
        <v>0.46372708000000001</v>
      </c>
      <c r="KX129" s="171">
        <v>0</v>
      </c>
      <c r="KY129" s="171">
        <v>1.0309850000000001E-2</v>
      </c>
      <c r="KZ129" s="171">
        <v>2.0960773500000003</v>
      </c>
      <c r="LA129" s="171">
        <v>0.22248392</v>
      </c>
      <c r="LB129" s="171">
        <v>0.17298643</v>
      </c>
      <c r="LC129" s="171">
        <v>4.0663539399999999</v>
      </c>
      <c r="LD129" s="171">
        <v>0</v>
      </c>
      <c r="LE129" s="171">
        <v>0.40245102000000005</v>
      </c>
      <c r="LF129" s="171">
        <v>0.51372958000000002</v>
      </c>
      <c r="LG129" s="171">
        <v>16.564446050000001</v>
      </c>
      <c r="LH129" s="171">
        <v>3.7941515599999995</v>
      </c>
      <c r="LI129" s="171">
        <v>1.20972141</v>
      </c>
      <c r="LJ129" s="171">
        <v>2.9789999999999999E-3</v>
      </c>
      <c r="LK129" s="171">
        <v>4.8166289400000002</v>
      </c>
      <c r="LL129" s="171">
        <v>11.988372569999999</v>
      </c>
      <c r="LM129" s="171">
        <v>1.7114282299999999</v>
      </c>
      <c r="LN129" s="171">
        <v>0.37141849000000005</v>
      </c>
      <c r="LO129" s="171">
        <v>10.975213970000002</v>
      </c>
      <c r="LQ129" s="85">
        <f t="shared" si="439"/>
        <v>3901.9920549600001</v>
      </c>
      <c r="LR129" s="85">
        <f t="shared" ref="LR129" si="503">+SUM(JQ129:JT129)</f>
        <v>1.6831161599999998</v>
      </c>
      <c r="LS129" s="85">
        <f t="shared" ref="LS129" si="504">+SUM(JV129:JW129)</f>
        <v>14.27210653</v>
      </c>
      <c r="LT129" s="85">
        <f t="shared" ref="LT129" si="505">+SUM(JY129:KA129)</f>
        <v>6.1255732800000002</v>
      </c>
      <c r="LU129" s="85">
        <f t="shared" ref="LU129" si="506">+SUM(KM129:KO129,KQ129:KS129)</f>
        <v>51.994600029999987</v>
      </c>
      <c r="LV129" s="85">
        <f t="shared" ref="LV129" si="507">+SUM(KV129:KY129)</f>
        <v>0.53318653999999999</v>
      </c>
      <c r="LW129" s="85">
        <f t="shared" ref="LW129" si="508">+SUM(LA129:LB129)</f>
        <v>0.39547034999999997</v>
      </c>
      <c r="LX129" s="85">
        <f t="shared" ref="LX129" si="509">+SUM(LD129:LF129)</f>
        <v>0.91618060000000012</v>
      </c>
      <c r="LZ129" s="83">
        <v>1738.93</v>
      </c>
      <c r="MA129" s="83">
        <v>1701.36</v>
      </c>
      <c r="MB129"/>
      <c r="MC129"/>
      <c r="MD129"/>
      <c r="MF129"/>
      <c r="MG129"/>
      <c r="MH129" s="83">
        <v>4024</v>
      </c>
      <c r="MI129" s="83">
        <v>960.82</v>
      </c>
      <c r="MJ129" s="83">
        <v>930.53</v>
      </c>
      <c r="MK129"/>
      <c r="ML129" s="83">
        <v>1010.45</v>
      </c>
      <c r="MM129" s="83">
        <v>1460</v>
      </c>
      <c r="MN129" s="83"/>
      <c r="MO129" s="83">
        <v>1244.78</v>
      </c>
      <c r="MP129" s="83">
        <v>2253.4</v>
      </c>
      <c r="MQ129" s="83">
        <v>4009.31</v>
      </c>
      <c r="MR129"/>
      <c r="MT129" s="83"/>
      <c r="MU129" s="83">
        <v>1241.67</v>
      </c>
      <c r="MV129"/>
      <c r="MW129"/>
      <c r="MX129"/>
      <c r="MY129" s="83">
        <v>2446.02</v>
      </c>
      <c r="MZ129" s="83">
        <v>7820</v>
      </c>
      <c r="NA129" s="83">
        <v>3858</v>
      </c>
      <c r="NB129" s="83">
        <v>15340</v>
      </c>
      <c r="NC129" s="83">
        <v>1616.31</v>
      </c>
      <c r="ND129" s="83">
        <v>14990</v>
      </c>
      <c r="NE129" s="83">
        <v>8162</v>
      </c>
    </row>
    <row r="130" spans="1:369">
      <c r="A130" s="38">
        <f t="shared" si="417"/>
        <v>46023</v>
      </c>
      <c r="B130" s="36">
        <v>1</v>
      </c>
      <c r="C130" s="36">
        <f>+C129+1</f>
        <v>2026</v>
      </c>
      <c r="D130" s="36">
        <f t="shared" si="347"/>
        <v>130</v>
      </c>
      <c r="E130" s="38">
        <f t="shared" si="418"/>
        <v>46023</v>
      </c>
      <c r="F130" s="7">
        <v>1449.3347000000001</v>
      </c>
      <c r="G130" s="7">
        <v>10413.0309</v>
      </c>
      <c r="H130" s="1">
        <f>[2]NACIONALES!$D118</f>
        <v>1000908.17</v>
      </c>
      <c r="I130" s="7">
        <v>114</v>
      </c>
      <c r="J130" s="7">
        <v>545</v>
      </c>
      <c r="K130" s="7">
        <v>4.0999999999999996</v>
      </c>
      <c r="L130" s="7">
        <v>32.9</v>
      </c>
      <c r="N130" s="5">
        <f>AVERAGE(1.22,1.21,1.21,1.23,1.22)</f>
        <v>1.2179999999999997</v>
      </c>
      <c r="O130" s="5">
        <f>AVERAGE(0.96,0.95,0.96,0.97,1.04)</f>
        <v>0.97599999999999998</v>
      </c>
      <c r="P130" s="78">
        <f t="shared" si="485"/>
        <v>1510.4241576049999</v>
      </c>
      <c r="Q130" s="6">
        <v>25000</v>
      </c>
      <c r="R130" s="79">
        <f t="shared" si="419"/>
        <v>250000</v>
      </c>
      <c r="S130" s="6">
        <v>194.48</v>
      </c>
      <c r="T130" s="6">
        <f>501130/F130</f>
        <v>345.76554332135976</v>
      </c>
      <c r="U130" s="6">
        <v>181.28095238095236</v>
      </c>
      <c r="V130" s="6">
        <v>316.87142857142857</v>
      </c>
      <c r="W130" s="6">
        <v>202</v>
      </c>
      <c r="X130" s="6">
        <v>180.97647058823529</v>
      </c>
      <c r="Y130" s="79">
        <f t="shared" si="420"/>
        <v>281866.612456</v>
      </c>
      <c r="Z130" s="79">
        <f t="shared" si="421"/>
        <v>501130</v>
      </c>
      <c r="AA130" s="79">
        <f t="shared" si="422"/>
        <v>262736.77473476192</v>
      </c>
      <c r="AB130" s="79">
        <f t="shared" si="423"/>
        <v>459252.75686714286</v>
      </c>
      <c r="AC130" s="79">
        <f t="shared" si="424"/>
        <v>292765.60940000002</v>
      </c>
      <c r="AD130" s="79">
        <f t="shared" si="425"/>
        <v>262295.47870705882</v>
      </c>
      <c r="AE130" s="79">
        <f t="shared" si="426"/>
        <v>343341.20536082733</v>
      </c>
      <c r="AF130" s="83">
        <f>594*F129</f>
        <v>860015.59380000003</v>
      </c>
      <c r="AG130" s="83">
        <v>190000</v>
      </c>
      <c r="AH130" s="83">
        <v>950000</v>
      </c>
      <c r="AI130" s="5">
        <v>432.44</v>
      </c>
      <c r="AJ130" s="5">
        <v>132.1</v>
      </c>
      <c r="AK130" s="5">
        <v>202.26</v>
      </c>
      <c r="AL130" s="5">
        <v>232.99</v>
      </c>
      <c r="AM130" s="78">
        <f t="shared" si="458"/>
        <v>312.71159999999998</v>
      </c>
      <c r="AN130" s="7">
        <v>52497.487437185933</v>
      </c>
      <c r="AO130" s="7">
        <v>37431.809523809527</v>
      </c>
      <c r="AP130" s="78">
        <f t="shared" si="470"/>
        <v>37431.809523809527</v>
      </c>
      <c r="AQ130" s="7">
        <v>35506.849315068495</v>
      </c>
      <c r="AR130" s="97">
        <v>47553.335999999996</v>
      </c>
      <c r="AS130" s="7">
        <v>26169.190476190477</v>
      </c>
      <c r="AT130" s="7">
        <v>32103.190476190477</v>
      </c>
      <c r="AU130" s="78">
        <f t="shared" si="348"/>
        <v>35275.238984126983</v>
      </c>
      <c r="AV130" s="7">
        <v>8851.6949152542365</v>
      </c>
      <c r="AW130" s="7">
        <v>16142.857142857143</v>
      </c>
      <c r="AX130" s="7">
        <v>10588.095238095237</v>
      </c>
      <c r="AY130" s="7">
        <v>19231.756756756757</v>
      </c>
      <c r="AZ130" s="7">
        <v>13394.285714285714</v>
      </c>
      <c r="BA130" s="7">
        <v>11422.222222222223</v>
      </c>
      <c r="BB130" s="94">
        <f t="shared" si="345"/>
        <v>14565.368940368939</v>
      </c>
      <c r="BC130" s="68">
        <v>44166</v>
      </c>
      <c r="BD130" s="68">
        <v>39751</v>
      </c>
      <c r="BE130" s="97">
        <v>25000</v>
      </c>
      <c r="BF130" s="97">
        <v>19000</v>
      </c>
      <c r="BG130" s="94">
        <f t="shared" si="349"/>
        <v>31979.25</v>
      </c>
      <c r="BH130" s="7">
        <v>3807</v>
      </c>
      <c r="BI130" s="97">
        <f>822+307.2</f>
        <v>1129.2</v>
      </c>
      <c r="BJ130" s="78">
        <f t="shared" si="350"/>
        <v>4936.2</v>
      </c>
      <c r="BK130" s="7">
        <v>4318.8329999999996</v>
      </c>
      <c r="BL130" s="7">
        <v>5662.3</v>
      </c>
      <c r="BM130" s="94">
        <f t="shared" si="351"/>
        <v>4990.5664999999999</v>
      </c>
      <c r="BN130" s="5">
        <v>478.19</v>
      </c>
      <c r="BO130" s="84">
        <f>AVERAGE(2873.32,2873.32,2873.32,2737.57)</f>
        <v>2839.3825000000002</v>
      </c>
      <c r="BP130" s="84">
        <f>AVERAGE(1766,1966)</f>
        <v>1866</v>
      </c>
      <c r="BQ130" s="94">
        <f t="shared" si="435"/>
        <v>2352.6912499999999</v>
      </c>
      <c r="BR130" s="7">
        <f>AVERAGE(1822.78,1850,1860,1937.7,1960)</f>
        <v>1886.096</v>
      </c>
      <c r="BS130" s="97">
        <v>8000</v>
      </c>
      <c r="BT130" s="97">
        <f>2.04*F130</f>
        <v>2956.6427880000001</v>
      </c>
      <c r="BU130" s="79">
        <f t="shared" si="436"/>
        <v>104869.92836399999</v>
      </c>
      <c r="BV130" s="7">
        <v>2570.6999999999998</v>
      </c>
      <c r="BW130" s="7">
        <v>3815</v>
      </c>
      <c r="BY130" s="268">
        <f>BY$10*(1+((H130/H$10-1)*costos!$B$5+((I130*F130)/(I$10*F$10)-1)*costos!$E$5+((J130*F130)/((J$10*F$10)-1)*costos!$F$5/3+((K130*F130)/(K$10*F$10)-1)*costos!$F$5/3+((U130*F130)/(U$10*F$10)-1)*costos!$F$5/3+((L130*F130)/(L$10*F$10)-1)*costos!$G$5+((N130*F130)/(N$10*F$10)-1)*costos!$J$5+((V130*F130)/(V$10*F$10)-1)*costos!$K$5)))</f>
        <v>12236.980546446246</v>
      </c>
      <c r="BZ130" s="268">
        <f>$BZ$10*(1+((H130/$H$10-1)*costos!$B$6+((I130*F130)/($I$10*$F$10)-1)*costos!$E$6+((J130*F130)/(($J$10*$F$10)-1)*costos!$F$6/3+((K130*F130)/($K$10*$F$10)-1)*costos!$F$6/3+((U130*F130)/($U$10*$F$10)-1)*costos!$F$6/3+((L130*F130)/($L$10*$F$10)-1)*costos!$G$6+((Q130*F130)/($Q$10*$F$10)-1)*costos!$J$6+((V130*F130)/($V$10*$F$10)-1)*costos!$K$6)))</f>
        <v>12869.138078795053</v>
      </c>
      <c r="CA130" s="268">
        <f>CA$10*(1+((H130/H$10-1)*costos!$B$7+((I130*F130)/(I$10*F$10)-1)*costos!$E$7+((J130*F130)/((J$10*F$10)-1)*costos!$F$7/3+((K130*F130)/(K$10*F$10)-1)*costos!$F$7/3+((U130*F130)/(U$10*F$10)-1)*costos!$F$7/3+((L130*F130)/(L$10*F$10)-1)*costos!$G$7+((S130*F130)/(S$10*F$10)-1)*costos!$J$7+((V130*F130)/(V$10*F$10)-1)*costos!$K$7)))</f>
        <v>13109.613364756624</v>
      </c>
      <c r="CB130" s="268">
        <f>CB$10*(1+((H130/H$10-1)*costos!$B$8+((I130*F130)/(I$10*F$10)-1)*costos!$E$8+((J130*F130)/((J$10*F$10)-1)*costos!$F$8/3+((K130*F130)/(K$10*F$10)-1)*costos!$F$8/3+((U130*F130)/(U$10*F$10)-1)*costos!$F$8/3+((L130*F130)/(L$10*F$10)-1)*costos!$G$8+((T130*F130)/(T$10*F$10)-1)*costos!$J$8+((V130*F130)/(V$10*F$10)-1)*costos!$K$8)))</f>
        <v>13097.998097540869</v>
      </c>
      <c r="CC130" s="268">
        <f>CC$10*(1+((H130/H$10-1)*costos!$B$9+((I130*F130)/(I$10*F$10)-1)*costos!$E$9+((J130*F130)/((J$10*F$10)-1)*costos!$F$9/3+((K130*F130)/(K$10*F$10)-1)*costos!$F$9/3+((U130*F130)/(U$10*F$10)-1)*costos!$F$9/3+((L130*F130)/(L$10*F$10)-1)*costos!$G$9+((U130*F130)/(U$10*F$10)-1)*costos!$J$9+((V130*F130)/(V$10*F$10)-1)*costos!$K$9)))</f>
        <v>12720.655971376907</v>
      </c>
      <c r="CD130" s="268">
        <f>CD$10*(1+((H130/H$10-1)*costos!$B$11+((I130*F130)/(I$10*F$10)-1)*costos!$E$11+((J130*F130)/((J$10*F$10)-1)*costos!$F$11/3+((K130*F130)/(K$10*F$10)-1)*costos!$F$11/3+((U130*F130)/(U$10*F$10)-1)*costos!$F$11/3+((L130*F130)/(L$10*F$10)-1)*costos!$G$11+((V130*F130)/(V$10*F$10)-1)*costos!$J$11+((V130*F130)/(V$10*F$10)-1)*costos!$K$11)))</f>
        <v>13457.122709052061</v>
      </c>
      <c r="CE130" s="268">
        <f>CE$10*(1+((H130/H$10-1)*costos!$B$12+((I130*F130)/(I$10*F$10)-1)*costos!$E$12+((J130*F130)/((J$10*F$10)-1)*costos!$F$12/3+((K130*F130)/(K$10*F$10)-1)*costos!$F$12/3+((U130*F130)/(U$10*F$10)-1)*costos!$F$12/3+((L130*F130)/(L$10*F$10)-1)*costos!$G$12+((W130*F130)/(W$10*F$10)-1)*costos!$J$12+((V130*F130)/(V$10*F$10)-1)*costos!$K$12)))</f>
        <v>13115.584015458606</v>
      </c>
      <c r="CF130" s="268">
        <f>CF$10*(1+((H130/H$10-1)*costos!$B$13+((I130*F130)/(I$10*F$10)-1)*costos!$E$13+((J130*F130)/((J$10*F$10)-1)*costos!$F$13/3+((K130*F130)/(K$10*F$10)-1)*costos!$F$13/3+((U130*F130)/(U$10*F$10)-1)*costos!$F$13/3+((L130*F130)/(L$10*F$10)-1)*costos!$G$13+((X130*F130)/(X$10*F$10)-1)*costos!$J$13+((V130*F130)/(V$10*F$10)-1)*costos!$K$13)))</f>
        <v>13032.252444658339</v>
      </c>
      <c r="CG130" s="268">
        <f t="shared" ref="CG130" si="510">+AVERAGE(CA130:CF130)</f>
        <v>13088.871100473902</v>
      </c>
      <c r="CH130" s="268">
        <f>CH$10*(1+((H130/H$10-1)*costos!$B$10+((I130*F130)/(I$10*F$10)-1)*costos!$E$10+((J130*F130)/((J$10*F$10)-1)*costos!$F$10/3+((K130*F130)/(K$10*F$10)-1)*costos!$F$10/3+((U130*F130)/(U$10*F$10)-1)*costos!$F$10/3+((L130*F130)/(L$10*F$10)-1)*costos!$G$10+((AF130)/(AF$10)-1)*costos!$J$10+((V130*F130)/(V$10*F$10)-1)*costos!$K$10)))</f>
        <v>12993.051809481914</v>
      </c>
      <c r="CI130" s="268">
        <f>CI$10*(1+((H130/H$10-1)*costos!$B$15+((I130*F130)/(I$10*F$10)-1)*costos!$E$15+((J130*F130)/((J$10*F$10)-1)*costos!$F$15/3+((K130*F130)/(K$10*F$10)-1)*costos!$F$15/3+((U130*F130)/(U$10*F$10)-1)*costos!$F$15/3+((L130*F130)/(L$10*F$10)-1)*costos!$G$15+((AV132)/(AV$10)-1)*costos!$J$15+((V130*F130)/(V$10*F$10)-1)*costos!$K$15)))</f>
        <v>12831.315993268208</v>
      </c>
      <c r="CJ130" s="268">
        <f>CJ$10*(1+((H130/H$10-1)*costos!$B$16+((I130*F130)/(I$10*F$10)-1)*costos!$E$16+((J130*F130)/((J$10*F$10)-1)*costos!$F$16/3+((K130*F130)/(K$10*F$10)-1)*costos!$F$16/3+((U130*F130)/(U$10*F$10)-1)*costos!$F$16/3+((L130*F130)/(L$10*F$10)-1)*costos!$G$16+((AW131)/(AW$10)-1)*costos!$J$16+((V130*F130)/(V$10*F$10)-1)*costos!$K$16)))</f>
        <v>12111.955963412089</v>
      </c>
      <c r="CK130" s="268">
        <f>CK$10*(1+((H130/H$10-1)*costos!$B$17+((I130*F130)/(I$10*F$10)-1)*costos!$E$17+((J130*F130)/((J$10*F$10)-1)*costos!$F$17/3+((K130*F130)/(K$10*F$10)-1)*costos!$F$17/3+((U130*F130)/(U$10*F$10)-1)*costos!$F$17/3+((L130*F130)/(L$10*F$10)-1)*costos!$G$17+((AX131)/(AX$10)-1)*costos!$J$17+((V130*F130)/(V$10*F$10)-1)*costos!$K$17)))</f>
        <v>12557.184622606421</v>
      </c>
      <c r="CL130" s="268">
        <f>CL$10*(1+((H130/H$10-1)*costos!$B$18+((I130*F130)/(I$10*F$10)-1)*costos!$E$18+((J130*F130)/((J$10*F$10)-1)*costos!$F$18/3+((K130*F130)/(K$10*F$10)-1)*costos!$F$18/3+((U130*F130)/(U$10*F$10)-1)*costos!$F$18/3+((L130*F130)/(L$10*F$10)-1)*costos!$G$18+((AY131)/(AY$10)-1)*costos!$J$18+((V130*F130)/(V$10*F$10)-1)*costos!$K$18)))</f>
        <v>12748.823790996075</v>
      </c>
      <c r="CM130" s="268">
        <f>CM$10*(1+((H130/H$10-1)*costos!$B$19+((I130*F130)/(I$10*F$10)-1)*costos!$E$19+((J130*F130)/((J$10*F$10)-1)*costos!$F$19/3+((K130*F130)/(K$10*F$10)-1)*costos!$F$19/3+((U130*F130)/(U$10*F$10)-1)*costos!$F$19/3+((L130*F130)/(L$10*F$10)-1)*costos!$G$19+((AZ131)/(AZ$10)-1)*costos!$J$19+((V130*F130)/(V$10*F$10)-1)*costos!$K$19)))</f>
        <v>11531.933150452433</v>
      </c>
      <c r="CN130" s="268">
        <f>CN$10*(1+((H130/H$10-1)*costos!$B$20+((I130*F130)/(I$10*F$10)-1)*costos!$E$20+((J130*F130)/((J$10*F$10)-1)*costos!$F$20/3+((K130*F130)/(K$10*F$10)-1)*costos!$F$20/3+((U130*F130)/(U$10*F$10)-1)*costos!$F$20/3+((L130*F130)/(L$10*F$10)-1)*costos!$G$20+((BA131)/(BA$10)-1)*costos!$J$20+((V130*F130)/(V$10*F$10)-1)*costos!$K$20)))</f>
        <v>11668.107378969278</v>
      </c>
      <c r="CO130" s="268">
        <f t="shared" ref="CO130" si="511">+AVERAGE(CK130:CN130)</f>
        <v>12126.51223575605</v>
      </c>
      <c r="CP130" s="268">
        <f>CP$10*(1+((H130/H$10-1)*costos!$B$22+((I130*F130)/(I$10*F$10)-1)*costos!$E$22+((J130*F130)/((J$10*F$10)-1)*costos!$F$22/3+((K130*F130)/(K$10*F$10)-1)*costos!$F$22/3+((U130*F130)/(U$10*F$10)-1)*costos!$F$22/3+((L130*F130)/(L$10*F$10)-1)*costos!$G$22+(((AVERAGE(AI130:AL130))/((AVERAGE(AI$10:AL$10))-1)*costos!$J$22+((V130*F130)/(V$10*F$10)-1)*costos!$K$22)))))</f>
        <v>13298.751078474981</v>
      </c>
      <c r="CQ130" s="92">
        <f>CQ$10*(1+((H130/H$10-1)*costos!$B$23+((I130*F130)/(I$10*F$10)-1)*costos!$E$23+((J130*F130)/((J$10*F$10)-1)*costos!$F$23/3+((K130*F130)/(K$10*F$10)-1)*costos!$F$23/3+((U130*F130)/(U$10*F$10)-1)*costos!$F$23/3+((L130*F130)/(L$10*F$10)-1)*costos!$G$23+((AN130)/(AN$10)-1)*costos!$J$23+((V130*F130)/(V$10*F$10)-1)*costos!$K$23)))</f>
        <v>13347.972642446221</v>
      </c>
      <c r="CR130" s="268">
        <f>CR$10*(1+((H130/H$10-1)*costos!$B$24+((I130*F130)/(I$10*F$10)-1)*costos!$E$24+((J130*F130)/((J$10*F$10)-1)*costos!$F$24/3+((K130*F130)/(K$10*F$10)-1)*costos!$F$24/3+((U130*F130)/(U$10*F$10)-1)*costos!$F$24/3+((L130*F130)/(L$10*F$10)-1)*costos!$G$24+((AO131)/(AO$10)-1)*costos!$J$24+((V130*F130)/(V$10*F$10)-1)*costos!$K$24)))</f>
        <v>13504.118071021412</v>
      </c>
      <c r="CS130" s="92">
        <f t="shared" si="352"/>
        <v>13426.045356733815</v>
      </c>
      <c r="CT130" s="268">
        <f>CT$10*(1+((H130/H$10-1)*costos!$B$25+((I130*F130)/(I$10*F$10)-1)*costos!$E$25+((J130*F130)/((J$10*F$10)-1)*costos!$F$25/3+((K130*F130)/(K$10*F$10)-1)*costos!$F$25/3+((U130*F130)/(U$10*F$10)-1)*costos!$F$25/3+((L130*F130)/(L$10*F$10)-1)*costos!$G$25+((AQ131)/(AQ$10)-1)*costos!$J$25+((V130*F130)/(V$10*F$10)-1)*costos!$K$25)))</f>
        <v>12283.542242482414</v>
      </c>
      <c r="CU130" s="268">
        <f>CU$10*(1+((H130/H$10-1)*costos!$B$26+((I130*F130)/(I$10*F$10)-1)*costos!$E$26+((J130*F130)/((J$10*F$10)-1)*costos!$F$26/3+((K130*F130)/(K$10*F$10)-1)*costos!$F$26/3+((U130*F130)/(U$10*F$10)-1)*costos!$F$26/3+((L130*F130)/(L$10*F$10)-1)*costos!$G$26+((AR131)/(AR$10)-1)*costos!$J$26+((V130*F130)/(V$10*F$10)-1)*costos!$K$26)))</f>
        <v>12909.95385774394</v>
      </c>
      <c r="CV130" s="268">
        <f>CV$10*(1+((H130/H$10-1)*costos!$B$27+((I130*F130)/(I$10*F$10)-1)*costos!$E$27+((J130*F130)/((J$10*F$10)-1)*costos!$F$27/3+((K130*F130)/(K$10*F$10)-1)*costos!$F$27/3+((U130*F130)/(U$10*F$10)-1)*costos!$F$27/3+((L130*F130)/(L$10*F$10)-1)*costos!$G$27+((AS131)/(AS$10)-1)*costos!$J$27+((V130*F130)/(V$10*F$10)-1)*costos!$K$27)))</f>
        <v>12884.348984353463</v>
      </c>
      <c r="CW130" s="268">
        <f>CW$10*(1+((H130/H$10-1)*costos!$B$28+((I130*F130)/(I$10*F$10)-1)*costos!$E$28+((J130*F130)/((J$10*F$10)-1)*costos!$F$28/3+((K130*F130)/(K$10*F$10)-1)*costos!$F$28/3+((U130*F130)/(U$10*F$10)-1)*costos!$F$28/3+((L130*F130)/(L$10*F$10)-1)*costos!$G$28+((AS131)/(AS$10)-1)*costos!$J$28+((V130*F130)/(V$10*F$10)-1)*costos!$K$28)))</f>
        <v>12884.348984353463</v>
      </c>
      <c r="CX130" s="268">
        <f t="shared" ref="CX130" si="512">+AVERAGE(CU130:CW130)</f>
        <v>12892.883942150287</v>
      </c>
      <c r="CY130" s="268">
        <f>CY$10*(1+((H130/H$10-1)*costos!$B$32+((I130*F130)/(I$10*F$10)-1)*costos!$E$32+((J130*F130)/((J$10*F$10)-1)*costos!$F$32/3+((K130*F130)/(K$10*F$10)-1)*costos!$F$32/3+((U130*F130)/(U$10*F$10)-1)*costos!$F$32/3+((L130*F130)/(L$10*F$10)-1)*costos!$G$32+((AG130)/(AG$10)-1)*costos!$J$32+((V130*F130)/(V$10*F$10)-1)*costos!$K$32)))</f>
        <v>12185.498372963753</v>
      </c>
      <c r="CZ130" s="69">
        <f>CZ$10*(1+((H130/H$10-1)*costos!$B$31+((I130*F130)/(I$10*F$10)-1)*costos!$E$30+((J130*F130)/((J$10*F$10)-1)*costos!$F$30/3+((K130*F130)/(K$10*F$10)-1)*costos!$F$30/3+((U130*F130)/(U$10*F$10)-1)*costos!$F$30/3+((L130*F130)/(L$10*F$10)-1)*costos!$G$30+((BG130)/(BG$10)-1)*costos!$J$30+((V130*F130)/(V$10*F$10)-1)*costos!$K$30)))</f>
        <v>15792.956169624005</v>
      </c>
      <c r="DA130" s="69">
        <f>DA$10*(1+((H130/H$10-1)*costos!$B$31+((I130*F130)/(I$10*F$10)-1)*costos!$E$31+((J130*F130)/((J$10*F$10)-1)*costos!$F$31/3+((K130*F130)/(K$10*F$10)-1)*costos!$F$31/3+((U130*F130)/(U$10*F$10)-1)*costos!$F$31/3+((L130*F130)/(L$10*F$10)-1)*costos!$G$31+((BJ130)/(BJ$10)-1)*costos!$J$31+((V130*F130)/(V$10*F$10)-1)*costos!$K$31)))</f>
        <v>12865.387806211356</v>
      </c>
      <c r="DB130" s="69">
        <f>DB$10*(1+((H130/H$10-1)*costos!$B$36+((I130*F130)/(I$10*F$10)-1)*costos!$E$36+((J130*F130)/((J$10*F$10)-1)*costos!$F$36/3+((K130*F130)/(K$10*F$10)-1)*costos!$F$36/3+((U130*F130)/(U$10*F$10)-1)*costos!$F$36/3+((L130*F130)/(L$10*F$10)-1)*costos!$G$36+((BK130)/(BK$10)-1)*costos!$J$36+((V130*F130)/(V$10*F$10)-1)*costos!$K$36)))</f>
        <v>13428.302514486819</v>
      </c>
      <c r="DC130" s="69">
        <f>DC$10*(1+((H130/H$10-1)*costos!$B$37+((I130*F130)/(I$10*F$10)-1)*costos!$E$37+((U130*F130)/(U$10*F$10)-1)*costos!$F$37+((L130*F130)/(L$10*F$10)-1)*costos!$G$37+((BN130)/(BN$10)-1)*costos!$J$37+((V130*F130)/(V$10*F$10)-1)*costos!$K$37))</f>
        <v>13071.381654178194</v>
      </c>
      <c r="DD130" s="69">
        <f>DD$10*(1+((H130/H$10-1)*costos!$B$39+((I130*F130)/(I$10*F$10)-1)*costos!$E$39+((U130*F130)/(U$10*F$10)-1)*costos!$F$39+((L130*F130)/(L$10*F$10)-1)*costos!$G$39+((BR130)/(BR$10)-1)*costos!$J$39+((V130*F130)/(V$10*F$10)-1)*costos!$K$39))</f>
        <v>12853.239280350483</v>
      </c>
      <c r="DE130" s="69">
        <f>DD$10*(1+((H130/H$10-1)*costos!$B$35+((I130*F130)/(I$10*F$10)-1)*costos!$E$35+((U130*F130)/(U$10*F$10)-1)*costos!$F$35+((L130*F130)/(L$10*F$10)-1)*costos!$G$35+((BR130)/(BR$10)-1)*costos!$J$35+((V130*F130)/(V$10*F$10)-1)*costos!$K$35))</f>
        <v>11351.161526492377</v>
      </c>
      <c r="DF130" s="69">
        <f>DF$10*(1+((H130/H$10-1)*costos!$B$40+((I130*F130)/(I$10*F$10)-1)*costos!$E$40+((U130*F130)/(U$10*F$10)-1)*costos!$F$40+((L130*F130)/(L$10*F$10)-1)*costos!$G$40+((BP130)/(BP$10)-1)*costos!$J$40+((V130*F130)/(V$10*F$10)-1)*costos!$K$40))</f>
        <v>13066.007384848559</v>
      </c>
      <c r="DG130" s="268">
        <f t="shared" ref="DG130" si="513">+((DE130/$DE$10)*100+DF130)/2</f>
        <v>12208.584455670469</v>
      </c>
      <c r="DH130" s="69">
        <f>DH$10*(1+((H130/H$10-1)*costos!$B$34+((I130*F130)/(I$10*F$10)-1)*costos!$E$34+((J130*F130)/((J$10*F$10)-1)*costos!$F$34/3+((K130*F130)/(K$10*F$10)-1)*costos!$F$34/3+((U130*F130)/(U$10*F$10)-1)*costos!$F$34/3+((L130*F130)/(L$10*F$10)-1)*costos!$G$34+((BV130)/(BV$10)-1)*costos!$J$34+((V130*F130)/(V$10*F$10)-1)*costos!$K$34)))</f>
        <v>12678.290372866004</v>
      </c>
      <c r="DI130" s="69">
        <f>DI$10*(1+((H130/H$10-1)*costos!$B$38+((I130*F130)/(I$10*F$10)-1)*costos!$E$38+((J130*F130)/((J$10*F$10)-1)*costos!$F$38/3+((K130*F130)/(K$10*F$10)-1)*costos!$F$38/3+((U130*F130)/(U$10*F$10)-1)*costos!$F$38/3+((L130*F130)/(L$10*F$10)-1)*costos!$G$38+((BU130)/(BU$10)-1)*costos!$J$38+((V130*F130)/(V$10*F$10)-1)*costos!$K$38)))</f>
        <v>12933.047357982356</v>
      </c>
      <c r="DK130" s="1">
        <v>520000</v>
      </c>
      <c r="DL130" s="1" t="s">
        <v>663</v>
      </c>
      <c r="DM130" s="1">
        <v>200000</v>
      </c>
      <c r="DN130" s="1" t="s">
        <v>663</v>
      </c>
      <c r="DO130" s="1">
        <v>1350000</v>
      </c>
      <c r="DP130" s="1" t="s">
        <v>663</v>
      </c>
      <c r="DQ130" s="1">
        <v>3000000</v>
      </c>
      <c r="DR130" s="1" t="s">
        <v>663</v>
      </c>
      <c r="DS130" s="1">
        <v>7800000</v>
      </c>
      <c r="DT130" s="1" t="s">
        <v>663</v>
      </c>
      <c r="DU130" s="1">
        <v>17400000</v>
      </c>
      <c r="DV130" s="1" t="s">
        <v>663</v>
      </c>
      <c r="DW130" s="1">
        <v>900000</v>
      </c>
      <c r="DX130" s="1" t="s">
        <v>663</v>
      </c>
      <c r="DY130" s="1">
        <v>6970000</v>
      </c>
      <c r="DZ130" s="1" t="s">
        <v>663</v>
      </c>
      <c r="EA130" s="79">
        <f t="shared" si="353"/>
        <v>37420000</v>
      </c>
      <c r="EB130" s="1">
        <v>389000</v>
      </c>
      <c r="EC130" s="1" t="s">
        <v>663</v>
      </c>
      <c r="ED130" s="82">
        <v>231352</v>
      </c>
      <c r="EE130" s="144">
        <v>2025</v>
      </c>
      <c r="EF130" s="82">
        <v>196220</v>
      </c>
      <c r="EG130" s="144">
        <v>2025</v>
      </c>
      <c r="EH130" s="83">
        <v>50920790</v>
      </c>
      <c r="EI130" s="143">
        <v>2026</v>
      </c>
      <c r="EJ130" s="83">
        <v>5987778</v>
      </c>
      <c r="EK130" s="143">
        <v>2025</v>
      </c>
      <c r="EL130" s="1">
        <v>11967429</v>
      </c>
      <c r="EM130" s="6">
        <v>2025</v>
      </c>
      <c r="EN130" s="1">
        <v>2867103</v>
      </c>
      <c r="EO130" s="6">
        <v>2026</v>
      </c>
      <c r="EP130" s="83">
        <v>9429</v>
      </c>
      <c r="EQ130" s="83">
        <v>4000000</v>
      </c>
      <c r="ER130" s="82">
        <f>ER129</f>
        <v>79911</v>
      </c>
      <c r="ET130" s="82">
        <f t="shared" ref="ET130:EW137" si="514">+ET129</f>
        <v>19357</v>
      </c>
      <c r="EU130" s="82">
        <f t="shared" si="514"/>
        <v>18703</v>
      </c>
      <c r="EV130" s="82">
        <f t="shared" si="514"/>
        <v>8927</v>
      </c>
      <c r="EW130" s="82">
        <f t="shared" si="514"/>
        <v>17408</v>
      </c>
      <c r="EX130" s="79">
        <f t="shared" ref="EX130" si="515">+SUM(ET130:EW130)</f>
        <v>64395</v>
      </c>
      <c r="EY130" s="82">
        <f t="shared" ref="EY130:FB137" si="516">+EY129</f>
        <v>20031</v>
      </c>
      <c r="EZ130" s="83">
        <v>33722</v>
      </c>
      <c r="FA130" s="82">
        <f t="shared" si="516"/>
        <v>19900</v>
      </c>
      <c r="FB130" s="82">
        <f t="shared" si="516"/>
        <v>18184</v>
      </c>
      <c r="FC130" s="79">
        <f t="shared" ref="FC130" si="517">+FB130+FA130</f>
        <v>38084</v>
      </c>
      <c r="FD130" s="82">
        <f t="shared" ref="FD130:FD137" si="518">+FD129</f>
        <v>60376</v>
      </c>
      <c r="FF130" s="1">
        <v>1100000</v>
      </c>
      <c r="FG130" s="1" t="s">
        <v>512</v>
      </c>
      <c r="FH130" s="1">
        <v>1600000</v>
      </c>
      <c r="FI130" s="1" t="s">
        <v>512</v>
      </c>
      <c r="FJ130" s="1">
        <v>5400001</v>
      </c>
      <c r="FK130" s="1" t="s">
        <v>906</v>
      </c>
      <c r="FL130" s="1">
        <v>6200000</v>
      </c>
      <c r="FM130" s="1" t="s">
        <v>663</v>
      </c>
      <c r="FN130" s="1">
        <v>57000000</v>
      </c>
      <c r="FO130" s="1" t="s">
        <v>663</v>
      </c>
      <c r="FP130" s="1">
        <v>48500000</v>
      </c>
      <c r="FQ130" s="1" t="s">
        <v>663</v>
      </c>
      <c r="FR130" s="1">
        <v>3000000</v>
      </c>
      <c r="FS130" s="1" t="s">
        <v>663</v>
      </c>
      <c r="FT130" s="82">
        <v>27800000</v>
      </c>
      <c r="FU130" s="1" t="s">
        <v>663</v>
      </c>
      <c r="FV130" s="79">
        <f t="shared" si="355"/>
        <v>147900001</v>
      </c>
      <c r="FW130" s="83">
        <v>1389286</v>
      </c>
      <c r="FX130" s="1" t="s">
        <v>663</v>
      </c>
      <c r="FY130" s="1">
        <v>16903</v>
      </c>
      <c r="FZ130" s="79">
        <f>+SUM(FY119:FY130)</f>
        <v>888278.76</v>
      </c>
      <c r="GA130" s="86" t="str">
        <f t="shared" si="462"/>
        <v>feb25 ene26</v>
      </c>
      <c r="GB130" s="1">
        <v>18391299</v>
      </c>
      <c r="GC130" s="6">
        <v>2026</v>
      </c>
      <c r="GD130" s="82">
        <f>GD129</f>
        <v>2213559</v>
      </c>
      <c r="GE130" s="82">
        <f>GE129</f>
        <v>410324</v>
      </c>
      <c r="GF130" s="82">
        <f>GF129</f>
        <v>1003144</v>
      </c>
      <c r="GG130" s="82">
        <f>GG129</f>
        <v>129694</v>
      </c>
      <c r="GH130" s="79">
        <f t="shared" ref="GH130" si="519">GE130+GF130+GG130</f>
        <v>1543162</v>
      </c>
      <c r="GI130" s="82">
        <f t="shared" ref="GI130:GM137" si="520">+GI129</f>
        <v>1302556</v>
      </c>
      <c r="GJ130" s="82">
        <f t="shared" si="520"/>
        <v>682423</v>
      </c>
      <c r="GK130" s="82">
        <f t="shared" si="520"/>
        <v>1391495</v>
      </c>
      <c r="GL130" s="82">
        <f t="shared" si="520"/>
        <v>305049</v>
      </c>
      <c r="GM130" s="82">
        <f t="shared" si="520"/>
        <v>260419</v>
      </c>
      <c r="GN130" s="79">
        <f t="shared" si="495"/>
        <v>2639386</v>
      </c>
      <c r="GO130" s="82">
        <f t="shared" ref="GO130:GP137" si="521">+GO129</f>
        <v>201734</v>
      </c>
      <c r="GP130" s="82">
        <f t="shared" si="521"/>
        <v>75000</v>
      </c>
      <c r="GQ130" s="1">
        <v>174895</v>
      </c>
      <c r="GR130" s="83">
        <v>31107</v>
      </c>
      <c r="GS130" s="79">
        <f t="shared" si="412"/>
        <v>36353.85</v>
      </c>
      <c r="GT130" s="82">
        <f t="shared" si="496"/>
        <v>2111561</v>
      </c>
      <c r="GU130" s="83">
        <f>20196+8136</f>
        <v>28332</v>
      </c>
      <c r="GV130" s="83">
        <f>1964+15826</f>
        <v>17790</v>
      </c>
      <c r="GW130" s="79">
        <f t="shared" ref="GW130:GW137" si="522">SUM(GU119:GV130)</f>
        <v>785333</v>
      </c>
      <c r="GX130" s="82">
        <v>36041.686000000002</v>
      </c>
      <c r="GY130" s="82" t="s">
        <v>802</v>
      </c>
      <c r="GZ130" s="82">
        <v>119643</v>
      </c>
      <c r="HA130" s="1">
        <v>239055</v>
      </c>
      <c r="HB130" s="79">
        <f t="shared" ref="HB130:HB137" si="523">+SUM(HA119:HA130)</f>
        <v>3102183</v>
      </c>
      <c r="HC130" s="86" t="str">
        <f t="shared" si="465"/>
        <v>feb25 ene26</v>
      </c>
      <c r="HD130" s="1">
        <v>67334</v>
      </c>
      <c r="HE130" s="79">
        <f t="shared" si="380"/>
        <v>818175</v>
      </c>
      <c r="HF130" s="86" t="str">
        <f t="shared" si="466"/>
        <v>feb25 ene26</v>
      </c>
      <c r="HG130" s="83">
        <v>181000</v>
      </c>
      <c r="HH130" s="79">
        <f t="shared" si="490"/>
        <v>2311000</v>
      </c>
      <c r="HI130" s="86" t="str">
        <f t="shared" si="467"/>
        <v>feb25 ene26</v>
      </c>
      <c r="HJ130" s="83">
        <v>107910</v>
      </c>
      <c r="HK130" s="79">
        <f t="shared" ref="HK130:HK137" si="524">+SUM(HJ119:HJ130)*1000*0.00006</f>
        <v>66186.180000000008</v>
      </c>
      <c r="HL130" s="86" t="str">
        <f t="shared" si="468"/>
        <v>feb25 ene26</v>
      </c>
      <c r="HM130" s="79">
        <f t="shared" si="358"/>
        <v>2377186.1800000002</v>
      </c>
      <c r="HN130" s="87">
        <f t="shared" si="497"/>
        <v>-2.8178999999999954E-2</v>
      </c>
      <c r="HO130" s="1">
        <v>965990074</v>
      </c>
      <c r="HP130" s="79">
        <f t="shared" ref="HP130:HP137" si="525">+SUM(HO119:HO130)/1000000</f>
        <v>11701.975655930679</v>
      </c>
      <c r="HQ130" s="86" t="str">
        <f t="shared" si="469"/>
        <v>feb25 ene26</v>
      </c>
      <c r="HU130" s="1">
        <v>990000</v>
      </c>
      <c r="HV130" s="1" t="s">
        <v>512</v>
      </c>
      <c r="HW130" s="1">
        <v>1600000</v>
      </c>
      <c r="HX130" s="1" t="s">
        <v>663</v>
      </c>
      <c r="HY130" s="83">
        <v>4730000</v>
      </c>
      <c r="HZ130" s="1" t="s">
        <v>512</v>
      </c>
      <c r="IA130" s="1">
        <f>(3.1+17.7)*1000000</f>
        <v>20800000</v>
      </c>
      <c r="IB130" s="1" t="s">
        <v>512</v>
      </c>
      <c r="IC130" s="1">
        <v>50500000</v>
      </c>
      <c r="ID130" s="1" t="s">
        <v>512</v>
      </c>
      <c r="IE130" s="1">
        <f>(0.05+1.1)*1000000</f>
        <v>1150000.0000000002</v>
      </c>
      <c r="IF130" s="1" t="s">
        <v>512</v>
      </c>
      <c r="IG130" s="1">
        <f>(7+1)*1000000</f>
        <v>8000000</v>
      </c>
      <c r="IH130" s="1" t="s">
        <v>663</v>
      </c>
      <c r="II130" s="79">
        <f t="shared" si="479"/>
        <v>86780000</v>
      </c>
      <c r="IJ130" s="97">
        <f>(9600000*12)/$IJ$2</f>
        <v>2.4791954184468667</v>
      </c>
      <c r="IK130" s="1" t="s">
        <v>663</v>
      </c>
      <c r="IL130" s="7">
        <v>47.2</v>
      </c>
      <c r="IM130" s="7">
        <v>49.28</v>
      </c>
      <c r="IN130" s="97">
        <v>200</v>
      </c>
      <c r="IO130" s="7">
        <v>18.97</v>
      </c>
      <c r="IP130" s="97">
        <f>(21400512*12)/IP$2</f>
        <v>5.5266720107101239</v>
      </c>
      <c r="IQ130" s="176">
        <f>(1.2*12)</f>
        <v>14.399999999999999</v>
      </c>
      <c r="IR130" s="269">
        <f t="shared" ref="IR130:IU137" si="526">+IR129</f>
        <v>6.17</v>
      </c>
      <c r="IS130" s="269">
        <f t="shared" si="526"/>
        <v>5.03</v>
      </c>
      <c r="IT130" s="269">
        <f t="shared" si="526"/>
        <v>11</v>
      </c>
      <c r="IU130" s="269">
        <f t="shared" si="526"/>
        <v>1.1000000000000001</v>
      </c>
      <c r="IV130" s="94">
        <f t="shared" ref="IV130" si="527">+SUM(IS130:IU130)</f>
        <v>17.130000000000003</v>
      </c>
      <c r="IY130" s="80">
        <v>1.88</v>
      </c>
      <c r="IZ130" s="88">
        <v>0.3</v>
      </c>
      <c r="JA130" s="82">
        <v>3555</v>
      </c>
      <c r="JB130" s="95">
        <f t="shared" si="433"/>
        <v>35.950000000000003</v>
      </c>
      <c r="JF130" s="171">
        <v>12.342095660000002</v>
      </c>
      <c r="JG130" s="171">
        <v>25.485538569999999</v>
      </c>
      <c r="JH130" s="171">
        <v>388.69634743</v>
      </c>
      <c r="JI130" s="171">
        <v>397.79450831000003</v>
      </c>
      <c r="JJ130" s="171">
        <v>380.95256652</v>
      </c>
      <c r="JK130" s="171">
        <v>106.44432842999998</v>
      </c>
      <c r="JL130" s="171">
        <v>1888.3363997900003</v>
      </c>
      <c r="JM130" s="171">
        <v>11.146608329999999</v>
      </c>
      <c r="JN130" s="171">
        <v>1004.7103323100001</v>
      </c>
      <c r="JO130" s="171">
        <v>27.589055210000001</v>
      </c>
      <c r="JP130" s="171">
        <v>0</v>
      </c>
      <c r="JQ130" s="171">
        <v>0.14949000000000001</v>
      </c>
      <c r="JR130" s="171">
        <v>0.9370956800000001</v>
      </c>
      <c r="JS130" s="171">
        <v>0</v>
      </c>
      <c r="JT130" s="171">
        <v>0.62257050000000003</v>
      </c>
      <c r="JU130" s="171">
        <v>51.281836970000001</v>
      </c>
      <c r="JV130" s="171">
        <v>4.5167526199999992</v>
      </c>
      <c r="JW130" s="171">
        <v>21.288851679999997</v>
      </c>
      <c r="JX130" s="171">
        <v>11.93462152</v>
      </c>
      <c r="JY130" s="171">
        <v>0</v>
      </c>
      <c r="JZ130" s="171">
        <v>5.6907229299999997</v>
      </c>
      <c r="KA130" s="171">
        <v>0.5</v>
      </c>
      <c r="KB130" s="171">
        <v>13.84098623</v>
      </c>
      <c r="KC130" s="171">
        <v>13.8144042</v>
      </c>
      <c r="KD130" s="171">
        <v>7.9660401599999986</v>
      </c>
      <c r="KE130" s="171">
        <v>15.491239590000003</v>
      </c>
      <c r="KF130" s="171">
        <v>8.3583028800000001</v>
      </c>
      <c r="KG130" s="171">
        <v>435.35705272999991</v>
      </c>
      <c r="KH130" s="171">
        <v>160.91833684000002</v>
      </c>
      <c r="KI130" s="171">
        <v>31.916470830000002</v>
      </c>
      <c r="KJ130" s="171">
        <v>3.9903958900000003</v>
      </c>
      <c r="KK130" s="171">
        <v>5.6046989700000003</v>
      </c>
      <c r="KL130" s="171">
        <v>1.9795769999999997E-2</v>
      </c>
      <c r="KM130" s="171">
        <v>0.59943345000000003</v>
      </c>
      <c r="KN130" s="171">
        <v>3.6951200000000001E-3</v>
      </c>
      <c r="KO130" s="171">
        <v>2.1848609100000003</v>
      </c>
      <c r="KP130" s="171">
        <v>3.5242930000000006E-2</v>
      </c>
      <c r="KQ130" s="171">
        <v>24.497339740000005</v>
      </c>
      <c r="KR130" s="171">
        <v>0</v>
      </c>
      <c r="KS130" s="171">
        <v>0.27200588000000003</v>
      </c>
      <c r="KT130" s="171">
        <v>2.2861269800000001</v>
      </c>
      <c r="KU130" s="171">
        <v>0.35343590000000003</v>
      </c>
      <c r="KV130" s="171">
        <v>0.13204644000000001</v>
      </c>
      <c r="KW130" s="171">
        <v>0.46733760000000002</v>
      </c>
      <c r="KX130" s="171">
        <v>0</v>
      </c>
      <c r="KY130" s="171">
        <v>0</v>
      </c>
      <c r="KZ130" s="171">
        <v>0.82771172999999998</v>
      </c>
      <c r="LA130" s="171">
        <v>5.1857800000000009E-3</v>
      </c>
      <c r="LB130" s="171">
        <v>0</v>
      </c>
      <c r="LC130" s="171">
        <v>1.7304835599999999</v>
      </c>
      <c r="LD130" s="171">
        <v>0</v>
      </c>
      <c r="LE130" s="171">
        <v>0.59877593000000007</v>
      </c>
      <c r="LF130" s="171">
        <v>0.62677358000000005</v>
      </c>
      <c r="LG130" s="171">
        <v>15.974673770000001</v>
      </c>
      <c r="LH130" s="171">
        <v>2.54586113</v>
      </c>
      <c r="LI130" s="171">
        <v>1.1258133800000001</v>
      </c>
      <c r="LJ130" s="171">
        <v>0</v>
      </c>
      <c r="LK130" s="171">
        <v>1.1051948</v>
      </c>
      <c r="LL130" s="171">
        <v>9.2870214400000002</v>
      </c>
      <c r="LM130" s="171">
        <v>2.4748885299999999</v>
      </c>
      <c r="LN130" s="171">
        <v>0.11824628</v>
      </c>
      <c r="LO130" s="171">
        <v>9.4713607899999985</v>
      </c>
      <c r="LQ130" s="85">
        <f t="shared" ref="LQ130:LQ133" si="528">+SUM(JH130:JJ130,JL130:JN130)</f>
        <v>4071.6367626900005</v>
      </c>
      <c r="LR130" s="85">
        <f t="shared" ref="LR130:LR133" si="529">+SUM(JQ130:JT130)</f>
        <v>1.7091561800000004</v>
      </c>
      <c r="LS130" s="85">
        <f t="shared" ref="LS130:LS133" si="530">+SUM(JV130:JW130)</f>
        <v>25.805604299999995</v>
      </c>
      <c r="LT130" s="85">
        <f t="shared" ref="LT130:LT133" si="531">+SUM(JY130:KA130)</f>
        <v>6.1907229299999997</v>
      </c>
      <c r="LU130" s="85">
        <f t="shared" ref="LU130:LU133" si="532">+SUM(KM130:KO130,KQ130:KS130)</f>
        <v>27.557335100000003</v>
      </c>
      <c r="LV130" s="85">
        <f t="shared" ref="LV130:LV133" si="533">+SUM(KV130:KY130)</f>
        <v>0.59938404000000001</v>
      </c>
      <c r="LW130" s="85">
        <f t="shared" ref="LW130:LW133" si="534">+SUM(LA130:LB130)</f>
        <v>5.1857800000000009E-3</v>
      </c>
      <c r="LX130" s="85">
        <f t="shared" ref="LX130:LX133" si="535">+SUM(LD130:LF130)</f>
        <v>1.22554951</v>
      </c>
      <c r="LZ130" s="83">
        <v>1790.17</v>
      </c>
      <c r="MA130" s="83">
        <v>1711.31</v>
      </c>
      <c r="MB130"/>
      <c r="MC130"/>
      <c r="MD130"/>
      <c r="MF130"/>
      <c r="MG130"/>
      <c r="MH130" s="83">
        <v>4122.18</v>
      </c>
      <c r="MI130" s="83">
        <v>957.29</v>
      </c>
      <c r="MJ130" s="83">
        <v>1205.82</v>
      </c>
      <c r="ML130" s="83">
        <v>1004.69</v>
      </c>
      <c r="MM130" s="83">
        <v>2812.21</v>
      </c>
      <c r="MN130" s="83"/>
      <c r="MO130" s="83">
        <v>1305.99</v>
      </c>
      <c r="MP130" s="83">
        <v>2263.2600000000002</v>
      </c>
      <c r="MQ130" s="83">
        <v>4754.59</v>
      </c>
      <c r="MT130" s="83"/>
      <c r="MU130" s="83">
        <v>1615.69</v>
      </c>
      <c r="MW130"/>
      <c r="MX130"/>
      <c r="MY130" s="83">
        <v>2479.56</v>
      </c>
      <c r="MZ130" s="83">
        <v>7926</v>
      </c>
      <c r="NA130" s="83">
        <v>4069</v>
      </c>
      <c r="NB130" s="83">
        <v>16322</v>
      </c>
      <c r="NC130" s="83">
        <v>1655.28</v>
      </c>
      <c r="ND130" s="83">
        <v>14990</v>
      </c>
      <c r="NE130" s="83">
        <v>8241</v>
      </c>
    </row>
    <row r="131" spans="1:369">
      <c r="A131" s="38">
        <f t="shared" si="417"/>
        <v>46054</v>
      </c>
      <c r="B131" s="36">
        <f t="shared" ref="B131:B141" si="536">+B130+1</f>
        <v>2</v>
      </c>
      <c r="C131" s="36">
        <f t="shared" ref="C131:C141" si="537">+C130</f>
        <v>2026</v>
      </c>
      <c r="D131" s="36">
        <f t="shared" si="347"/>
        <v>131</v>
      </c>
      <c r="E131" s="38">
        <f t="shared" si="418"/>
        <v>46054</v>
      </c>
      <c r="F131" s="7">
        <v>1409.6570999999999</v>
      </c>
      <c r="G131" s="7">
        <v>10714.6255</v>
      </c>
      <c r="H131" s="1">
        <f>[2]NACIONALES!$D119</f>
        <v>1000908.17</v>
      </c>
      <c r="I131" s="7">
        <v>120</v>
      </c>
      <c r="J131" s="7">
        <v>580</v>
      </c>
      <c r="K131" s="7">
        <v>4.0999999999999996</v>
      </c>
      <c r="L131" s="7">
        <v>35.4</v>
      </c>
      <c r="N131" s="5">
        <f>AVERAGE(1.31,1.3,1.31,1.32)</f>
        <v>1.31</v>
      </c>
      <c r="O131" s="5">
        <f>AVERAGE(0.96,0.95,0.96,0.97,1.04)</f>
        <v>0.97599999999999998</v>
      </c>
      <c r="P131" s="78">
        <f t="shared" si="485"/>
        <v>1530.6761620349998</v>
      </c>
      <c r="Q131" s="6">
        <v>27000</v>
      </c>
      <c r="R131" s="79">
        <f t="shared" si="419"/>
        <v>270000</v>
      </c>
      <c r="S131" s="6">
        <v>195.58</v>
      </c>
      <c r="T131" s="6">
        <f>523945/F131</f>
        <v>371.68258862385755</v>
      </c>
      <c r="U131" s="6">
        <v>182.9388888888889</v>
      </c>
      <c r="V131" s="6">
        <v>318.91111111111104</v>
      </c>
      <c r="W131" s="6">
        <v>201</v>
      </c>
      <c r="X131" s="6">
        <v>180.97647058823529</v>
      </c>
      <c r="Y131" s="79">
        <f t="shared" si="420"/>
        <v>275700.73561799998</v>
      </c>
      <c r="Z131" s="79">
        <f t="shared" si="421"/>
        <v>523945</v>
      </c>
      <c r="AA131" s="79">
        <f t="shared" si="422"/>
        <v>257881.10358833332</v>
      </c>
      <c r="AB131" s="79">
        <f t="shared" si="423"/>
        <v>449555.31204666651</v>
      </c>
      <c r="AC131" s="79">
        <f t="shared" si="424"/>
        <v>283341.07709999999</v>
      </c>
      <c r="AD131" s="79">
        <f t="shared" si="425"/>
        <v>255114.76669764702</v>
      </c>
      <c r="AE131" s="79">
        <f t="shared" si="426"/>
        <v>340922.99917510781</v>
      </c>
      <c r="AF131" s="83">
        <f>592*F130</f>
        <v>858006.14240000001</v>
      </c>
      <c r="AG131" s="83">
        <v>220000</v>
      </c>
      <c r="AH131" s="83">
        <v>950000</v>
      </c>
      <c r="AI131" s="5">
        <v>318.93</v>
      </c>
      <c r="AJ131" s="5">
        <v>170.68</v>
      </c>
      <c r="AK131" s="5">
        <v>202.61</v>
      </c>
      <c r="AL131" s="5">
        <v>249.44</v>
      </c>
      <c r="AM131" s="78">
        <f t="shared" si="458"/>
        <v>266.07920000000001</v>
      </c>
      <c r="AN131" s="7">
        <v>51804.73372781065</v>
      </c>
      <c r="AO131" s="7">
        <v>33355.388888888891</v>
      </c>
      <c r="AP131" s="78">
        <f t="shared" si="470"/>
        <v>33355.388888888891</v>
      </c>
      <c r="AQ131" s="7">
        <v>21318.18181818182</v>
      </c>
      <c r="AR131" s="7">
        <v>26700</v>
      </c>
      <c r="AS131" s="7">
        <v>26788.888888888891</v>
      </c>
      <c r="AT131" s="7">
        <v>33009.388888888891</v>
      </c>
      <c r="AU131" s="78">
        <f t="shared" si="348"/>
        <v>28832.759259259259</v>
      </c>
      <c r="AV131" s="7">
        <v>9822.2222222222226</v>
      </c>
      <c r="AW131" s="7">
        <v>18000</v>
      </c>
      <c r="AX131" s="7">
        <v>9931.6684210526309</v>
      </c>
      <c r="AY131" s="7">
        <v>12527.096774193549</v>
      </c>
      <c r="AZ131" s="7">
        <v>9807.105263157895</v>
      </c>
      <c r="BA131" s="7">
        <v>6219.2307692307695</v>
      </c>
      <c r="BB131" s="94">
        <f t="shared" si="345"/>
        <v>10241.669807946251</v>
      </c>
      <c r="BC131" s="68">
        <v>44166</v>
      </c>
      <c r="BD131" s="68">
        <v>39751</v>
      </c>
      <c r="BE131" s="97">
        <v>25000</v>
      </c>
      <c r="BF131" s="97">
        <v>19000</v>
      </c>
      <c r="BG131" s="94">
        <f t="shared" si="349"/>
        <v>31979.25</v>
      </c>
      <c r="BH131" s="7">
        <v>3807</v>
      </c>
      <c r="BI131" s="97">
        <f t="shared" ref="BI131:BI132" si="538">822+307.2</f>
        <v>1129.2</v>
      </c>
      <c r="BJ131" s="78">
        <f t="shared" si="350"/>
        <v>4936.2</v>
      </c>
      <c r="BK131" s="7">
        <v>4745.0150000000003</v>
      </c>
      <c r="BL131" s="7">
        <v>6269</v>
      </c>
      <c r="BM131" s="94">
        <f t="shared" si="351"/>
        <v>5507.0074999999997</v>
      </c>
      <c r="BN131" s="5">
        <v>481.03</v>
      </c>
      <c r="BO131" s="84">
        <f>AVERAGE(2873,2963)</f>
        <v>2918</v>
      </c>
      <c r="BP131" s="84">
        <f>AVERAGE(1800,2066)</f>
        <v>1933</v>
      </c>
      <c r="BQ131" s="94">
        <f t="shared" si="435"/>
        <v>2425.5</v>
      </c>
      <c r="BR131" s="7">
        <v>1935.11</v>
      </c>
      <c r="BS131" s="97">
        <v>8000</v>
      </c>
      <c r="BT131" s="97">
        <f>2.29*F131</f>
        <v>3228.114759</v>
      </c>
      <c r="BU131" s="79">
        <f t="shared" si="436"/>
        <v>105684.344277</v>
      </c>
      <c r="BV131" s="7">
        <v>2721</v>
      </c>
      <c r="BW131" s="7">
        <v>3805.5</v>
      </c>
      <c r="BY131" s="268">
        <f>BY$10*(1+((H131/H$10-1)*costos!$B$5+((I131*F131)/(I$10*F$10)-1)*costos!$E$5+((J131*F131)/((J$10*F$10)-1)*costos!$F$5/3+((K131*F131)/(K$10*F$10)-1)*costos!$F$5/3+((U131*F131)/(U$10*F$10)-1)*costos!$F$5/3+((L131*F131)/(L$10*F$10)-1)*costos!$G$5+((N131*F131)/(N$10*F$10)-1)*costos!$J$5+((V131*F131)/(V$10*F$10)-1)*costos!$K$5)))</f>
        <v>12395.895087528943</v>
      </c>
      <c r="BZ131" s="268">
        <f>$BZ$10*(1+((H131/$H$10-1)*costos!$B$6+((I131*F131)/($I$10*$F$10)-1)*costos!$E$6+((J131*F131)/(($J$10*$F$10)-1)*costos!$F$6/3+((K131*F131)/($K$10*$F$10)-1)*costos!$F$6/3+((U131*F131)/($U$10*$F$10)-1)*costos!$F$6/3+((L131*F131)/($L$10*$F$10)-1)*costos!$G$6+((Q131*F131)/($Q$10*$F$10)-1)*costos!$J$6+((V131*F131)/($V$10*$F$10)-1)*costos!$K$6)))</f>
        <v>13000.428425713466</v>
      </c>
      <c r="CA131" s="268">
        <f>CA$10*(1+((H131/H$10-1)*costos!$B$7+((I131*F131)/(I$10*F$10)-1)*costos!$E$7+((J131*F131)/((J$10*F$10)-1)*costos!$F$7/3+((K131*F131)/(K$10*F$10)-1)*costos!$F$7/3+((U131*F131)/(U$10*F$10)-1)*costos!$F$7/3+((L131*F131)/(L$10*F$10)-1)*costos!$G$7+((S131*F131)/(S$10*F$10)-1)*costos!$J$7+((V131*F131)/(V$10*F$10)-1)*costos!$K$7)))</f>
        <v>13069.797846435615</v>
      </c>
      <c r="CB131" s="268">
        <f>CB$10*(1+((H131/H$10-1)*costos!$B$8+((I131*F131)/(I$10*F$10)-1)*costos!$E$8+((J131*F131)/((J$10*F$10)-1)*costos!$F$8/3+((K131*F131)/(K$10*F$10)-1)*costos!$F$8/3+((U131*F131)/(U$10*F$10)-1)*costos!$F$8/3+((L131*F131)/(L$10*F$10)-1)*costos!$G$8+((T131*F131)/(T$10*F$10)-1)*costos!$J$8+((V131*F131)/(V$10*F$10)-1)*costos!$K$8)))</f>
        <v>13291.652320426449</v>
      </c>
      <c r="CC131" s="268">
        <f>CC$10*(1+((H131/H$10-1)*costos!$B$9+((I131*F131)/(I$10*F$10)-1)*costos!$E$9+((J131*F131)/((J$10*F$10)-1)*costos!$F$9/3+((K131*F131)/(K$10*F$10)-1)*costos!$F$9/3+((U131*F131)/(U$10*F$10)-1)*costos!$F$9/3+((L131*F131)/(L$10*F$10)-1)*costos!$G$9+((U131*F131)/(U$10*F$10)-1)*costos!$J$9+((V131*F131)/(V$10*F$10)-1)*costos!$K$9)))</f>
        <v>12728.004574825663</v>
      </c>
      <c r="CD131" s="268">
        <f>CD$10*(1+((H131/H$10-1)*costos!$B$11+((I131*F131)/(I$10*F$10)-1)*costos!$E$11+((J131*F131)/((J$10*F$10)-1)*costos!$F$11/3+((K131*F131)/(K$10*F$10)-1)*costos!$F$11/3+((U131*F131)/(U$10*F$10)-1)*costos!$F$11/3+((L131*F131)/(L$10*F$10)-1)*costos!$G$11+((V131*F131)/(V$10*F$10)-1)*costos!$J$11+((V131*F131)/(V$10*F$10)-1)*costos!$K$11)))</f>
        <v>13355.15365919708</v>
      </c>
      <c r="CE131" s="268">
        <f>CE$10*(1+((H131/H$10-1)*costos!$B$12+((I131*F131)/(I$10*F$10)-1)*costos!$E$12+((J131*F131)/((J$10*F$10)-1)*costos!$F$12/3+((K131*F131)/(K$10*F$10)-1)*costos!$F$12/3+((U131*F131)/(U$10*F$10)-1)*costos!$F$12/3+((L131*F131)/(L$10*F$10)-1)*costos!$G$12+((W131*F131)/(W$10*F$10)-1)*costos!$J$12+((V131*F131)/(V$10*F$10)-1)*costos!$K$12)))</f>
        <v>13083.011943846521</v>
      </c>
      <c r="CF131" s="268">
        <f>CF$10*(1+((H131/H$10-1)*costos!$B$13+((I131*F131)/(I$10*F$10)-1)*costos!$E$13+((J131*F131)/((J$10*F$10)-1)*costos!$F$13/3+((K131*F131)/(K$10*F$10)-1)*costos!$F$13/3+((U131*F131)/(U$10*F$10)-1)*costos!$F$13/3+((L131*F131)/(L$10*F$10)-1)*costos!$G$13+((X131*F131)/(X$10*F$10)-1)*costos!$J$13+((V131*F131)/(V$10*F$10)-1)*costos!$K$13)))</f>
        <v>12990.168797447317</v>
      </c>
      <c r="CG131" s="268">
        <f t="shared" ref="CG131:CG133" si="539">+AVERAGE(CA131:CF131)</f>
        <v>13086.298190363108</v>
      </c>
      <c r="CH131" s="268">
        <f>CH$10*(1+((H131/H$10-1)*costos!$B$10+((I131*F131)/(I$10*F$10)-1)*costos!$E$10+((J131*F131)/((J$10*F$10)-1)*costos!$F$10/3+((K131*F131)/(K$10*F$10)-1)*costos!$F$10/3+((U131*F131)/(U$10*F$10)-1)*costos!$F$10/3+((L131*F131)/(L$10*F$10)-1)*costos!$G$10+((AF131)/(AF$10)-1)*costos!$J$10+((V131*F131)/(V$10*F$10)-1)*costos!$K$10)))</f>
        <v>12983.215645928487</v>
      </c>
      <c r="CI131" s="268">
        <f>CI$10*(1+((H131/H$10-1)*costos!$B$15+((I131*F131)/(I$10*F$10)-1)*costos!$E$15+((J131*F131)/((J$10*F$10)-1)*costos!$F$15/3+((K131*F131)/(K$10*F$10)-1)*costos!$F$15/3+((U131*F131)/(U$10*F$10)-1)*costos!$F$15/3+((L131*F131)/(L$10*F$10)-1)*costos!$G$15+((AV133)/(AV$10)-1)*costos!$J$15+((V131*F131)/(V$10*F$10)-1)*costos!$K$15)))</f>
        <v>13061.683018875612</v>
      </c>
      <c r="CJ131" s="268">
        <f>CJ$10*(1+((H131/H$10-1)*costos!$B$16+((I131*F131)/(I$10*F$10)-1)*costos!$E$16+((J131*F131)/((J$10*F$10)-1)*costos!$F$16/3+((K131*F131)/(K$10*F$10)-1)*costos!$F$16/3+((U131*F131)/(U$10*F$10)-1)*costos!$F$16/3+((L131*F131)/(L$10*F$10)-1)*costos!$G$16+((AW132)/(AW$10)-1)*costos!$J$16+((V131*F131)/(V$10*F$10)-1)*costos!$K$16)))</f>
        <v>12914.653357123689</v>
      </c>
      <c r="CK131" s="268">
        <f>CK$10*(1+((H131/H$10-1)*costos!$B$17+((I131*F131)/(I$10*F$10)-1)*costos!$E$17+((J131*F131)/((J$10*F$10)-1)*costos!$F$17/3+((K131*F131)/(K$10*F$10)-1)*costos!$F$17/3+((U131*F131)/(U$10*F$10)-1)*costos!$F$17/3+((L131*F131)/(L$10*F$10)-1)*costos!$G$17+((AX132)/(AX$10)-1)*costos!$J$17+((V131*F131)/(V$10*F$10)-1)*costos!$K$17)))</f>
        <v>13136.323623288688</v>
      </c>
      <c r="CL131" s="268">
        <f>CL$10*(1+((H131/H$10-1)*costos!$B$18+((I131*F131)/(I$10*F$10)-1)*costos!$E$18+((J131*F131)/((J$10*F$10)-1)*costos!$F$18/3+((K131*F131)/(K$10*F$10)-1)*costos!$F$18/3+((U131*F131)/(U$10*F$10)-1)*costos!$F$18/3+((L131*F131)/(L$10*F$10)-1)*costos!$G$18+((AY132)/(AY$10)-1)*costos!$J$18+((V131*F131)/(V$10*F$10)-1)*costos!$K$18)))</f>
        <v>12423.881403120862</v>
      </c>
      <c r="CM131" s="268">
        <f>CM$10*(1+((H131/H$10-1)*costos!$B$19+((I131*F131)/(I$10*F$10)-1)*costos!$E$19+((J131*F131)/((J$10*F$10)-1)*costos!$F$19/3+((K131*F131)/(K$10*F$10)-1)*costos!$F$19/3+((U131*F131)/(U$10*F$10)-1)*costos!$F$19/3+((L131*F131)/(L$10*F$10)-1)*costos!$G$19+((AZ132)/(AZ$10)-1)*costos!$J$19+((V131*F131)/(V$10*F$10)-1)*costos!$K$19)))</f>
        <v>11594.837386100326</v>
      </c>
      <c r="CN131" s="268">
        <f>CN$10*(1+((H131/H$10-1)*costos!$B$20+((I131*F131)/(I$10*F$10)-1)*costos!$E$20+((J131*F131)/((J$10*F$10)-1)*costos!$F$20/3+((K131*F131)/(K$10*F$10)-1)*costos!$F$20/3+((U131*F131)/(U$10*F$10)-1)*costos!$F$20/3+((L131*F131)/(L$10*F$10)-1)*costos!$G$20+((BA132)/(BA$10)-1)*costos!$J$20+((V131*F131)/(V$10*F$10)-1)*costos!$K$20)))</f>
        <v>11443.488684679398</v>
      </c>
      <c r="CO131" s="268">
        <f t="shared" ref="CO131:CO133" si="540">+AVERAGE(CK131:CN131)</f>
        <v>12149.632774297319</v>
      </c>
      <c r="CP131" s="268">
        <f>CP$10*(1+((H131/H$10-1)*costos!$B$22+((I131*F131)/(I$10*F$10)-1)*costos!$E$22+((J131*F131)/((J$10*F$10)-1)*costos!$F$22/3+((K131*F131)/(K$10*F$10)-1)*costos!$F$22/3+((U131*F131)/(U$10*F$10)-1)*costos!$F$22/3+((L131*F131)/(L$10*F$10)-1)*costos!$G$22+(((AVERAGE(AI131:AL131))/((AVERAGE(AI$10:AL$10))-1)*costos!$J$22+((V131*F131)/(V$10*F$10)-1)*costos!$K$22)))))</f>
        <v>13290.989010627422</v>
      </c>
      <c r="CQ131" s="92">
        <f>CQ$10*(1+((H131/H$10-1)*costos!$B$23+((I131*F131)/(I$10*F$10)-1)*costos!$E$23+((J131*F131)/((J$10*F$10)-1)*costos!$F$23/3+((K131*F131)/(K$10*F$10)-1)*costos!$F$23/3+((U131*F131)/(U$10*F$10)-1)*costos!$F$23/3+((L131*F131)/(L$10*F$10)-1)*costos!$G$23+((AN131)/(AN$10)-1)*costos!$J$23+((V131*F131)/(V$10*F$10)-1)*costos!$K$23)))</f>
        <v>13371.634695546498</v>
      </c>
      <c r="CR131" s="268">
        <f>CR$10*(1+((H131/H$10-1)*costos!$B$24+((I131*F131)/(I$10*F$10)-1)*costos!$E$24+((J131*F131)/((J$10*F$10)-1)*costos!$F$24/3+((K131*F131)/(K$10*F$10)-1)*costos!$F$24/3+((U131*F131)/(U$10*F$10)-1)*costos!$F$24/3+((L131*F131)/(L$10*F$10)-1)*costos!$G$24+((AO132)/(AO$10)-1)*costos!$J$24+((V131*F131)/(V$10*F$10)-1)*costos!$K$24)))</f>
        <v>12702.610211167872</v>
      </c>
      <c r="CS131" s="92">
        <f t="shared" si="352"/>
        <v>13037.122453357184</v>
      </c>
      <c r="CT131" s="268">
        <f>CT$10*(1+((H131/H$10-1)*costos!$B$25+((I131*F131)/(I$10*F$10)-1)*costos!$E$25+((J131*F131)/((J$10*F$10)-1)*costos!$F$25/3+((K131*F131)/(K$10*F$10)-1)*costos!$F$25/3+((U131*F131)/(U$10*F$10)-1)*costos!$F$25/3+((L131*F131)/(L$10*F$10)-1)*costos!$G$25+((AQ132)/(AQ$10)-1)*costos!$J$25+((V131*F131)/(V$10*F$10)-1)*costos!$K$25)))</f>
        <v>12390.484566873853</v>
      </c>
      <c r="CU131" s="268">
        <f>CU$10*(1+((H131/H$10-1)*costos!$B$26+((I131*F131)/(I$10*F$10)-1)*costos!$E$26+((J131*F131)/((J$10*F$10)-1)*costos!$F$26/3+((K131*F131)/(K$10*F$10)-1)*costos!$F$26/3+((U131*F131)/(U$10*F$10)-1)*costos!$F$26/3+((L131*F131)/(L$10*F$10)-1)*costos!$G$26+((AR132)/(AR$10)-1)*costos!$J$26+((V131*F131)/(V$10*F$10)-1)*costos!$K$26)))</f>
        <v>12307.549741383524</v>
      </c>
      <c r="CV131" s="268">
        <f>CV$10*(1+((H131/H$10-1)*costos!$B$27+((I131*F131)/(I$10*F$10)-1)*costos!$E$27+((J131*F131)/((J$10*F$10)-1)*costos!$F$27/3+((K131*F131)/(K$10*F$10)-1)*costos!$F$27/3+((U131*F131)/(U$10*F$10)-1)*costos!$F$27/3+((L131*F131)/(L$10*F$10)-1)*costos!$G$27+((AS132)/(AS$10)-1)*costos!$J$27+((V131*F131)/(V$10*F$10)-1)*costos!$K$27)))</f>
        <v>12621.289628985489</v>
      </c>
      <c r="CW131" s="268">
        <f>CW$10*(1+((H131/H$10-1)*costos!$B$28+((I131*F131)/(I$10*F$10)-1)*costos!$E$28+((J131*F131)/((J$10*F$10)-1)*costos!$F$28/3+((K131*F131)/(K$10*F$10)-1)*costos!$F$28/3+((U131*F131)/(U$10*F$10)-1)*costos!$F$28/3+((L131*F131)/(L$10*F$10)-1)*costos!$G$28+((AS132)/(AS$10)-1)*costos!$J$28+((V131*F131)/(V$10*F$10)-1)*costos!$K$28)))</f>
        <v>12621.289628985489</v>
      </c>
      <c r="CX131" s="268">
        <f t="shared" ref="CX131:CX133" si="541">+AVERAGE(CU131:CW131)</f>
        <v>12516.709666451499</v>
      </c>
      <c r="CY131" s="268">
        <f>CY$10*(1+((H131/H$10-1)*costos!$B$32+((I131*F131)/(I$10*F$10)-1)*costos!$E$32+((J131*F131)/((J$10*F$10)-1)*costos!$F$32/3+((K131*F131)/(K$10*F$10)-1)*costos!$F$32/3+((U131*F131)/(U$10*F$10)-1)*costos!$F$32/3+((L131*F131)/(L$10*F$10)-1)*costos!$G$32+((AG131)/(AG$10)-1)*costos!$J$32+((V131*F131)/(V$10*F$10)-1)*costos!$K$32)))</f>
        <v>12294.074812146788</v>
      </c>
      <c r="CZ131" s="69">
        <f>CZ$10*(1+((H131/H$10-1)*costos!$B$31+((I131*F131)/(I$10*F$10)-1)*costos!$E$30+((J131*F131)/((J$10*F$10)-1)*costos!$F$30/3+((K131*F131)/(K$10*F$10)-1)*costos!$F$30/3+((U131*F131)/(U$10*F$10)-1)*costos!$F$30/3+((L131*F131)/(L$10*F$10)-1)*costos!$G$30+((BG131)/(BG$10)-1)*costos!$J$30+((V131*F131)/(V$10*F$10)-1)*costos!$K$30)))</f>
        <v>15910.517344220651</v>
      </c>
      <c r="DA131" s="69">
        <f>DA$10*(1+((H131/H$10-1)*costos!$B$31+((I131*F131)/(I$10*F$10)-1)*costos!$E$31+((J131*F131)/((J$10*F$10)-1)*costos!$F$31/3+((K131*F131)/(K$10*F$10)-1)*costos!$F$31/3+((U131*F131)/(U$10*F$10)-1)*costos!$F$31/3+((L131*F131)/(L$10*F$10)-1)*costos!$G$31+((BJ131)/(BJ$10)-1)*costos!$J$31+((V131*F131)/(V$10*F$10)-1)*costos!$K$31)))</f>
        <v>12905.142719568252</v>
      </c>
      <c r="DB131" s="69">
        <f>DB$10*(1+((H131/H$10-1)*costos!$B$36+((I131*F131)/(I$10*F$10)-1)*costos!$E$36+((J131*F131)/((J$10*F$10)-1)*costos!$F$36/3+((K131*F131)/(K$10*F$10)-1)*costos!$F$36/3+((U131*F131)/(U$10*F$10)-1)*costos!$F$36/3+((L131*F131)/(L$10*F$10)-1)*costos!$G$36+((BK131)/(BK$10)-1)*costos!$J$36+((V131*F131)/(V$10*F$10)-1)*costos!$K$36)))</f>
        <v>13738.690476926211</v>
      </c>
      <c r="DC131" s="69">
        <f>DC$10*(1+((H131/H$10-1)*costos!$B$37+((I131*F131)/(I$10*F$10)-1)*costos!$E$37+((U131*F131)/(U$10*F$10)-1)*costos!$F$37+((L131*F131)/(L$10*F$10)-1)*costos!$G$37+((BN131)/(BN$10)-1)*costos!$J$37+((V131*F131)/(V$10*F$10)-1)*costos!$K$37))</f>
        <v>12975.52834767931</v>
      </c>
      <c r="DD131" s="69">
        <f>DD$10*(1+((H131/H$10-1)*costos!$B$39+((I131*F131)/(I$10*F$10)-1)*costos!$E$39+((U131*F131)/(U$10*F$10)-1)*costos!$F$39+((L131*F131)/(L$10*F$10)-1)*costos!$G$39+((BR131)/(BR$10)-1)*costos!$J$39+((V131*F131)/(V$10*F$10)-1)*costos!$K$39))</f>
        <v>12761.031855709267</v>
      </c>
      <c r="DE131" s="69">
        <f>DD$10*(1+((H131/H$10-1)*costos!$B$35+((I131*F131)/(I$10*F$10)-1)*costos!$E$35+((U131*F131)/(U$10*F$10)-1)*costos!$F$35+((L131*F131)/(L$10*F$10)-1)*costos!$G$35+((BR131)/(BR$10)-1)*costos!$J$35+((V131*F131)/(V$10*F$10)-1)*costos!$K$35))</f>
        <v>11189.791185062244</v>
      </c>
      <c r="DF131" s="69">
        <f>DF$10*(1+((H131/H$10-1)*costos!$B$40+((I131*F131)/(I$10*F$10)-1)*costos!$E$40+((U131*F131)/(U$10*F$10)-1)*costos!$F$40+((L131*F131)/(L$10*F$10)-1)*costos!$G$40+((BP131)/(BP$10)-1)*costos!$J$40+((V131*F131)/(V$10*F$10)-1)*costos!$K$40))</f>
        <v>12944.919776736257</v>
      </c>
      <c r="DG131" s="268">
        <f t="shared" ref="DG131:DG133" si="542">+((DE131/$DE$10)*100+DF131)/2</f>
        <v>12067.35548089925</v>
      </c>
      <c r="DH131" s="69">
        <f>DH$10*(1+((H131/H$10-1)*costos!$B$34+((I131*F131)/(I$10*F$10)-1)*costos!$E$34+((J131*F131)/((J$10*F$10)-1)*costos!$F$34/3+((K131*F131)/(K$10*F$10)-1)*costos!$F$34/3+((U131*F131)/(U$10*F$10)-1)*costos!$F$34/3+((L131*F131)/(L$10*F$10)-1)*costos!$G$34+((BV131)/(BV$10)-1)*costos!$J$34+((V131*F131)/(V$10*F$10)-1)*costos!$K$34)))</f>
        <v>12821.148142679169</v>
      </c>
      <c r="DI131" s="69">
        <f>DI$10*(1+((H131/H$10-1)*costos!$B$38+((I131*F131)/(I$10*F$10)-1)*costos!$E$38+((J131*F131)/((J$10*F$10)-1)*costos!$F$38/3+((K131*F131)/(K$10*F$10)-1)*costos!$F$38/3+((U131*F131)/(U$10*F$10)-1)*costos!$F$38/3+((L131*F131)/(L$10*F$10)-1)*costos!$G$38+((BU131)/(BU$10)-1)*costos!$J$38+((V131*F131)/(V$10*F$10)-1)*costos!$K$38)))</f>
        <v>12975.408450578894</v>
      </c>
      <c r="DK131" s="1">
        <v>480000</v>
      </c>
      <c r="DL131" s="1" t="s">
        <v>663</v>
      </c>
      <c r="DM131" s="1">
        <v>200000</v>
      </c>
      <c r="DN131" s="1" t="s">
        <v>663</v>
      </c>
      <c r="DO131" s="1">
        <v>1360000</v>
      </c>
      <c r="DP131" s="1" t="s">
        <v>663</v>
      </c>
      <c r="DQ131" s="1">
        <v>3100000</v>
      </c>
      <c r="DR131" s="1" t="s">
        <v>663</v>
      </c>
      <c r="DS131" s="1">
        <v>7800000</v>
      </c>
      <c r="DT131" s="1" t="s">
        <v>663</v>
      </c>
      <c r="DU131" s="1">
        <v>17300000</v>
      </c>
      <c r="DV131" s="1" t="s">
        <v>663</v>
      </c>
      <c r="DW131" s="1">
        <v>900000</v>
      </c>
      <c r="DX131" s="1" t="s">
        <v>663</v>
      </c>
      <c r="DY131" s="1">
        <v>6970000</v>
      </c>
      <c r="DZ131" s="1" t="s">
        <v>663</v>
      </c>
      <c r="EA131" s="79">
        <f t="shared" si="353"/>
        <v>37430000</v>
      </c>
      <c r="EB131" s="1">
        <v>381590</v>
      </c>
      <c r="EC131" s="1" t="s">
        <v>663</v>
      </c>
      <c r="ED131" s="82">
        <v>231352</v>
      </c>
      <c r="EE131" s="144">
        <v>2025</v>
      </c>
      <c r="EF131" s="82">
        <v>196220</v>
      </c>
      <c r="EG131" s="144">
        <v>2025</v>
      </c>
      <c r="EH131" s="83">
        <v>50920790</v>
      </c>
      <c r="EI131" s="143">
        <v>2026</v>
      </c>
      <c r="EJ131" s="83">
        <v>5987778</v>
      </c>
      <c r="EK131" s="143">
        <v>2025</v>
      </c>
      <c r="EL131" s="1">
        <v>11967429</v>
      </c>
      <c r="EM131" s="6">
        <v>2025</v>
      </c>
      <c r="EN131" s="1">
        <v>2819145</v>
      </c>
      <c r="EO131" s="6">
        <v>2026</v>
      </c>
      <c r="EP131" s="83">
        <v>9483</v>
      </c>
      <c r="EQ131" s="83">
        <v>4000000</v>
      </c>
      <c r="ER131" s="82">
        <f t="shared" ref="ER131:ER137" si="543">ER130</f>
        <v>79911</v>
      </c>
      <c r="ET131" s="82">
        <f t="shared" si="514"/>
        <v>19357</v>
      </c>
      <c r="EU131" s="82">
        <f t="shared" si="514"/>
        <v>18703</v>
      </c>
      <c r="EV131" s="82">
        <f t="shared" si="514"/>
        <v>8927</v>
      </c>
      <c r="EW131" s="82">
        <f t="shared" si="514"/>
        <v>17408</v>
      </c>
      <c r="EX131" s="79">
        <f t="shared" ref="EX131" si="544">+SUM(ET131:EW131)</f>
        <v>64395</v>
      </c>
      <c r="EY131" s="82">
        <f t="shared" si="516"/>
        <v>20031</v>
      </c>
      <c r="EZ131" s="83">
        <f t="shared" si="516"/>
        <v>33722</v>
      </c>
      <c r="FA131" s="82">
        <f t="shared" si="516"/>
        <v>19900</v>
      </c>
      <c r="FB131" s="82">
        <f t="shared" si="516"/>
        <v>18184</v>
      </c>
      <c r="FC131" s="79">
        <f t="shared" ref="FC131" si="545">+FB131+FA131</f>
        <v>38084</v>
      </c>
      <c r="FD131" s="82">
        <f t="shared" si="518"/>
        <v>60376</v>
      </c>
      <c r="FF131" s="1">
        <v>1100000</v>
      </c>
      <c r="FG131" s="1" t="s">
        <v>512</v>
      </c>
      <c r="FH131" s="1">
        <v>1600000</v>
      </c>
      <c r="FI131" s="1" t="s">
        <v>512</v>
      </c>
      <c r="FJ131" s="1">
        <v>5400002</v>
      </c>
      <c r="FK131" s="1" t="s">
        <v>907</v>
      </c>
      <c r="FL131" s="1">
        <v>6400000</v>
      </c>
      <c r="FM131" s="1" t="s">
        <v>663</v>
      </c>
      <c r="FN131" s="1">
        <v>57000000</v>
      </c>
      <c r="FO131" s="1" t="s">
        <v>663</v>
      </c>
      <c r="FP131" s="1">
        <v>48500000</v>
      </c>
      <c r="FQ131" s="1" t="s">
        <v>663</v>
      </c>
      <c r="FR131" s="1">
        <v>2900000</v>
      </c>
      <c r="FS131" s="1" t="s">
        <v>663</v>
      </c>
      <c r="FT131" s="82">
        <v>27800000</v>
      </c>
      <c r="FU131" s="1" t="s">
        <v>663</v>
      </c>
      <c r="FV131" s="79">
        <f t="shared" si="355"/>
        <v>148000002</v>
      </c>
      <c r="FW131" s="83">
        <v>1311996</v>
      </c>
      <c r="FX131" s="1" t="s">
        <v>663</v>
      </c>
      <c r="FY131" s="1">
        <v>18959</v>
      </c>
      <c r="FZ131" s="79">
        <f>+SUM(FY120:FY131)</f>
        <v>890576.76</v>
      </c>
      <c r="GA131" s="86" t="str">
        <f t="shared" si="462"/>
        <v>mar25 feb26</v>
      </c>
      <c r="GB131" s="1">
        <v>18391299</v>
      </c>
      <c r="GC131" s="6">
        <v>2026</v>
      </c>
      <c r="GD131" s="82">
        <f t="shared" ref="GD131:GD137" si="546">GD130</f>
        <v>2213559</v>
      </c>
      <c r="GE131" s="82">
        <f t="shared" ref="GE131:GE137" si="547">GE130</f>
        <v>410324</v>
      </c>
      <c r="GF131" s="82">
        <f t="shared" ref="GF131:GF137" si="548">GF130</f>
        <v>1003144</v>
      </c>
      <c r="GG131" s="82">
        <f t="shared" ref="GG131:GG137" si="549">GG130</f>
        <v>129694</v>
      </c>
      <c r="GH131" s="79">
        <f t="shared" ref="GH131" si="550">GE131+GF131+GG131</f>
        <v>1543162</v>
      </c>
      <c r="GI131" s="82">
        <f t="shared" si="520"/>
        <v>1302556</v>
      </c>
      <c r="GJ131" s="82">
        <f t="shared" si="520"/>
        <v>682423</v>
      </c>
      <c r="GK131" s="82">
        <f t="shared" si="520"/>
        <v>1391495</v>
      </c>
      <c r="GL131" s="82">
        <f t="shared" si="520"/>
        <v>305049</v>
      </c>
      <c r="GM131" s="82">
        <f t="shared" si="520"/>
        <v>260419</v>
      </c>
      <c r="GN131" s="79">
        <f t="shared" ref="GN131" si="551">+SUM(GJ131:GM131)</f>
        <v>2639386</v>
      </c>
      <c r="GO131" s="82">
        <f t="shared" si="521"/>
        <v>201734</v>
      </c>
      <c r="GP131" s="82">
        <f t="shared" si="521"/>
        <v>75000</v>
      </c>
      <c r="GQ131" s="1">
        <v>153226</v>
      </c>
      <c r="GR131" s="83">
        <v>31107</v>
      </c>
      <c r="GS131" s="79">
        <f t="shared" si="412"/>
        <v>35703.78</v>
      </c>
      <c r="GT131" s="82">
        <f t="shared" si="496"/>
        <v>2111561</v>
      </c>
      <c r="GU131" s="83">
        <f>45713+10072</f>
        <v>55785</v>
      </c>
      <c r="GV131" s="83">
        <f>4627+16202</f>
        <v>20829</v>
      </c>
      <c r="GW131" s="79">
        <f t="shared" si="522"/>
        <v>781196</v>
      </c>
      <c r="GX131" s="82">
        <v>36041.686000000002</v>
      </c>
      <c r="GY131" s="82" t="s">
        <v>802</v>
      </c>
      <c r="GZ131" s="82">
        <v>119643</v>
      </c>
      <c r="HA131" s="1">
        <v>216715</v>
      </c>
      <c r="HB131" s="79">
        <f t="shared" si="523"/>
        <v>3084284</v>
      </c>
      <c r="HC131" s="86" t="str">
        <f t="shared" si="465"/>
        <v>mar25 feb26</v>
      </c>
      <c r="HD131" s="1">
        <v>63825</v>
      </c>
      <c r="HE131" s="79">
        <f t="shared" si="380"/>
        <v>824862</v>
      </c>
      <c r="HF131" s="86" t="str">
        <f t="shared" si="466"/>
        <v>mar25 feb26</v>
      </c>
      <c r="HG131" s="83">
        <v>165000</v>
      </c>
      <c r="HH131" s="79">
        <f t="shared" si="490"/>
        <v>2292000</v>
      </c>
      <c r="HI131" s="86" t="str">
        <f t="shared" si="467"/>
        <v>mar25 feb26</v>
      </c>
      <c r="HJ131" s="1">
        <v>86630</v>
      </c>
      <c r="HK131" s="79">
        <f t="shared" si="524"/>
        <v>66317.820000000007</v>
      </c>
      <c r="HL131" s="86" t="str">
        <f t="shared" si="468"/>
        <v>mar25 feb26</v>
      </c>
      <c r="HM131" s="79">
        <f t="shared" si="358"/>
        <v>2358317.8199999998</v>
      </c>
      <c r="HN131" s="87">
        <f t="shared" si="497"/>
        <v>0.1061819690026955</v>
      </c>
      <c r="HO131" s="1">
        <v>820787021</v>
      </c>
      <c r="HP131" s="79">
        <f t="shared" si="525"/>
        <v>11780.762676930679</v>
      </c>
      <c r="HQ131" s="86" t="str">
        <f t="shared" si="469"/>
        <v>mar25 feb26</v>
      </c>
      <c r="HU131" s="1">
        <v>990000</v>
      </c>
      <c r="HV131" s="1" t="s">
        <v>512</v>
      </c>
      <c r="HW131" s="1">
        <v>1600000</v>
      </c>
      <c r="HX131" s="1" t="s">
        <v>663</v>
      </c>
      <c r="HY131" s="1">
        <v>6000000</v>
      </c>
      <c r="HZ131" s="1" t="s">
        <v>663</v>
      </c>
      <c r="IA131" s="1">
        <f>(3.1+17.7)*1000000</f>
        <v>20800000</v>
      </c>
      <c r="IB131" s="1" t="s">
        <v>512</v>
      </c>
      <c r="IC131" s="1">
        <v>50500000</v>
      </c>
      <c r="ID131" s="1" t="s">
        <v>512</v>
      </c>
      <c r="IE131" s="1">
        <f>(0.05+1.1)*1000000</f>
        <v>1150000.0000000002</v>
      </c>
      <c r="IF131" s="1" t="s">
        <v>512</v>
      </c>
      <c r="IG131" s="1">
        <f>(7+1)*1000000</f>
        <v>8000000</v>
      </c>
      <c r="IH131" s="1" t="s">
        <v>663</v>
      </c>
      <c r="II131" s="79">
        <f t="shared" si="479"/>
        <v>88050000</v>
      </c>
      <c r="IJ131" s="97">
        <f t="shared" ref="IJ131:IJ133" si="552">(8797600*12)/$IJ$2</f>
        <v>2.2719760013883494</v>
      </c>
      <c r="IK131" s="1" t="s">
        <v>663</v>
      </c>
      <c r="IL131" s="7">
        <v>47</v>
      </c>
      <c r="IM131" s="7">
        <v>48.84</v>
      </c>
      <c r="IN131" s="97">
        <v>198.5</v>
      </c>
      <c r="IO131" s="7">
        <v>19.100000000000001</v>
      </c>
      <c r="IP131" s="97">
        <f>(19284754*12)/IP$2</f>
        <v>4.980278516945301</v>
      </c>
      <c r="IQ131" s="176">
        <f>(1.145*12)</f>
        <v>13.74</v>
      </c>
      <c r="IR131" s="269">
        <f t="shared" si="526"/>
        <v>6.17</v>
      </c>
      <c r="IS131" s="269">
        <f t="shared" si="526"/>
        <v>5.03</v>
      </c>
      <c r="IT131" s="269">
        <f t="shared" si="526"/>
        <v>11</v>
      </c>
      <c r="IU131" s="269">
        <f t="shared" si="526"/>
        <v>1.1000000000000001</v>
      </c>
      <c r="IV131" s="94">
        <f t="shared" ref="IV131" si="553">+SUM(IS131:IU131)</f>
        <v>17.130000000000003</v>
      </c>
      <c r="IY131" s="80">
        <v>1.88</v>
      </c>
      <c r="IZ131" s="88">
        <v>0.3</v>
      </c>
      <c r="JA131" s="82">
        <v>3555</v>
      </c>
      <c r="JB131" s="95">
        <f t="shared" si="433"/>
        <v>35.950000000000003</v>
      </c>
      <c r="JF131" s="171">
        <v>12.588257429999995</v>
      </c>
      <c r="JG131" s="171">
        <v>90.314876920000003</v>
      </c>
      <c r="JH131" s="171">
        <v>473.28640142</v>
      </c>
      <c r="JI131" s="171">
        <v>416.08443222</v>
      </c>
      <c r="JJ131" s="171">
        <v>306.46308260999996</v>
      </c>
      <c r="JK131" s="171">
        <v>89.696667719999979</v>
      </c>
      <c r="JL131" s="171">
        <v>1186.5463193000003</v>
      </c>
      <c r="JM131" s="171">
        <v>2.5000000000000001E-3</v>
      </c>
      <c r="JN131" s="171">
        <v>851.94796606999989</v>
      </c>
      <c r="JO131" s="171">
        <v>27.540207300000002</v>
      </c>
      <c r="JP131" s="171">
        <v>0</v>
      </c>
      <c r="JQ131" s="171">
        <v>0.30518450000000003</v>
      </c>
      <c r="JR131" s="171">
        <v>0.57754092999999995</v>
      </c>
      <c r="JS131" s="171">
        <v>0</v>
      </c>
      <c r="JT131" s="171">
        <v>0.41702</v>
      </c>
      <c r="JU131" s="171">
        <v>62.074398439999996</v>
      </c>
      <c r="JV131" s="171">
        <v>6.9604206299999989</v>
      </c>
      <c r="JW131" s="171">
        <v>42.574454779999996</v>
      </c>
      <c r="JX131" s="171">
        <v>10.29842607</v>
      </c>
      <c r="JY131" s="171">
        <v>0</v>
      </c>
      <c r="JZ131" s="171">
        <v>4.6995593400000004</v>
      </c>
      <c r="KA131" s="171">
        <v>0.19</v>
      </c>
      <c r="KB131" s="171">
        <v>15.133510020000001</v>
      </c>
      <c r="KC131" s="171">
        <v>86.187029549999991</v>
      </c>
      <c r="KD131" s="171">
        <v>6.4893821299999992</v>
      </c>
      <c r="KE131" s="171">
        <v>22.465511939999999</v>
      </c>
      <c r="KF131" s="171">
        <v>9.221842539999999</v>
      </c>
      <c r="KG131" s="171">
        <v>393.3327183799999</v>
      </c>
      <c r="KH131" s="171">
        <v>139.65871150000001</v>
      </c>
      <c r="KI131" s="171">
        <v>32.255325069999998</v>
      </c>
      <c r="KJ131" s="171">
        <v>2.83989907</v>
      </c>
      <c r="KK131" s="171">
        <v>4.1096809499999996</v>
      </c>
      <c r="KL131" s="171">
        <v>0.15253662999999998</v>
      </c>
      <c r="KM131" s="171">
        <v>0.55439156999999994</v>
      </c>
      <c r="KN131" s="171">
        <v>6.0789000000000004E-4</v>
      </c>
      <c r="KO131" s="171">
        <v>0.47479638999999996</v>
      </c>
      <c r="KP131" s="171">
        <v>3.3E-4</v>
      </c>
      <c r="KQ131" s="171">
        <v>344.28677282000012</v>
      </c>
      <c r="KR131" s="171">
        <v>0</v>
      </c>
      <c r="KS131" s="171">
        <v>0.33267221999999996</v>
      </c>
      <c r="KT131" s="171">
        <v>1.0022204700000001</v>
      </c>
      <c r="KU131" s="171">
        <v>0.36896875000000001</v>
      </c>
      <c r="KV131" s="171">
        <v>2.177401E-2</v>
      </c>
      <c r="KW131" s="171">
        <v>0.20939272999999997</v>
      </c>
      <c r="KX131" s="171">
        <v>0</v>
      </c>
      <c r="KY131" s="171">
        <v>0</v>
      </c>
      <c r="KZ131" s="171">
        <v>1.8929445199999999</v>
      </c>
      <c r="LA131" s="171">
        <v>0.21133246</v>
      </c>
      <c r="LB131" s="171">
        <v>0.104633</v>
      </c>
      <c r="LC131" s="171">
        <v>0.39304520999999998</v>
      </c>
      <c r="LD131" s="171">
        <v>0</v>
      </c>
      <c r="LE131" s="171">
        <v>0.97754305999999991</v>
      </c>
      <c r="LF131" s="171">
        <v>0.22877140999999998</v>
      </c>
      <c r="LG131" s="171">
        <v>13.973435009999999</v>
      </c>
      <c r="LH131" s="171">
        <v>4.1810604400000004</v>
      </c>
      <c r="LI131" s="171">
        <v>1.2853964200000001</v>
      </c>
      <c r="LJ131" s="171">
        <v>0</v>
      </c>
      <c r="LK131" s="171">
        <v>1.5958006899999999</v>
      </c>
      <c r="LL131" s="171">
        <v>8.3972474800000008</v>
      </c>
      <c r="LM131" s="171">
        <v>2.0159010200000003</v>
      </c>
      <c r="LN131" s="171">
        <v>0.25499293999999995</v>
      </c>
      <c r="LO131" s="171">
        <v>12.802625309999998</v>
      </c>
      <c r="LQ131" s="85">
        <f t="shared" si="528"/>
        <v>3234.3307016200001</v>
      </c>
      <c r="LR131" s="85">
        <f t="shared" si="529"/>
        <v>1.29974543</v>
      </c>
      <c r="LS131" s="85">
        <f t="shared" si="530"/>
        <v>49.534875409999998</v>
      </c>
      <c r="LT131" s="85">
        <f t="shared" si="531"/>
        <v>4.8895593400000008</v>
      </c>
      <c r="LU131" s="85">
        <f t="shared" si="532"/>
        <v>345.64924089000016</v>
      </c>
      <c r="LV131" s="85">
        <f t="shared" si="533"/>
        <v>0.23116673999999998</v>
      </c>
      <c r="LW131" s="85">
        <f t="shared" si="534"/>
        <v>0.31596546000000003</v>
      </c>
      <c r="LX131" s="85">
        <f t="shared" si="535"/>
        <v>1.2063144699999999</v>
      </c>
      <c r="LZ131" s="83">
        <v>1803.28</v>
      </c>
      <c r="MA131" s="83">
        <v>1739.93</v>
      </c>
      <c r="MB131"/>
      <c r="MC131"/>
      <c r="MD131"/>
      <c r="MF131"/>
      <c r="MG131"/>
      <c r="MH131" s="83">
        <v>4201.87</v>
      </c>
      <c r="MI131" s="83">
        <v>972.65</v>
      </c>
      <c r="MJ131" s="83">
        <v>1303.25</v>
      </c>
      <c r="MK131" s="83">
        <v>2290</v>
      </c>
      <c r="ML131" s="83">
        <v>1004.54</v>
      </c>
      <c r="MM131" s="83">
        <v>2186.85</v>
      </c>
      <c r="MN131" s="83">
        <v>1699</v>
      </c>
      <c r="MO131" s="83">
        <v>1264.56</v>
      </c>
      <c r="MP131" s="83">
        <v>2266.39</v>
      </c>
      <c r="MQ131" s="83">
        <v>4651.5200000000004</v>
      </c>
      <c r="MR131" s="83">
        <v>5500</v>
      </c>
      <c r="MS131" s="83">
        <v>4500</v>
      </c>
      <c r="MT131" s="83">
        <v>5000</v>
      </c>
      <c r="MU131" s="83">
        <v>1756.28</v>
      </c>
      <c r="MV131" s="83">
        <v>3000</v>
      </c>
      <c r="MW131"/>
      <c r="MX131"/>
      <c r="MY131" s="83">
        <v>2524.87</v>
      </c>
      <c r="MZ131" s="83">
        <v>7876</v>
      </c>
      <c r="NA131" s="83">
        <v>4347</v>
      </c>
      <c r="NB131" s="83">
        <v>16853</v>
      </c>
      <c r="NC131" s="83">
        <v>1692.46</v>
      </c>
      <c r="ND131" s="83">
        <v>14990</v>
      </c>
      <c r="NE131" s="83">
        <v>8416</v>
      </c>
    </row>
    <row r="132" spans="1:369">
      <c r="A132" s="38">
        <f t="shared" si="417"/>
        <v>46082</v>
      </c>
      <c r="B132" s="36">
        <f t="shared" si="536"/>
        <v>3</v>
      </c>
      <c r="C132" s="36">
        <f t="shared" si="537"/>
        <v>2026</v>
      </c>
      <c r="D132" s="36">
        <f t="shared" si="347"/>
        <v>132</v>
      </c>
      <c r="E132" s="38">
        <f t="shared" si="418"/>
        <v>46082</v>
      </c>
      <c r="F132" s="7">
        <v>1396.3387</v>
      </c>
      <c r="G132" s="7">
        <v>11077.060799999999</v>
      </c>
      <c r="H132" s="1">
        <f>[2]NACIONALES!$D120</f>
        <v>1035939.62</v>
      </c>
      <c r="I132" s="7">
        <v>161</v>
      </c>
      <c r="J132" s="7">
        <v>890</v>
      </c>
      <c r="K132" s="7">
        <v>5</v>
      </c>
      <c r="L132" s="7">
        <v>37.200000000000003</v>
      </c>
      <c r="N132" s="5">
        <f>AVERAGE(1.31,1.3,1.31,1.32)</f>
        <v>1.31</v>
      </c>
      <c r="O132" s="5">
        <f>AVERAGE(1.08,1.07,1.08,1.09)</f>
        <v>1.08</v>
      </c>
      <c r="P132" s="78">
        <f t="shared" si="485"/>
        <v>1585.1935091750001</v>
      </c>
      <c r="Q132" s="6">
        <v>25000</v>
      </c>
      <c r="R132" s="79">
        <f t="shared" si="419"/>
        <v>250000</v>
      </c>
      <c r="S132" s="6">
        <v>201</v>
      </c>
      <c r="T132" s="6">
        <f>536143.7/F132</f>
        <v>383.96393367884161</v>
      </c>
      <c r="U132" s="6">
        <v>184.17499999999998</v>
      </c>
      <c r="V132" s="6">
        <v>325.61500000000001</v>
      </c>
      <c r="W132" s="6">
        <v>221</v>
      </c>
      <c r="X132" s="6">
        <v>218.34736842105261</v>
      </c>
      <c r="Y132" s="79">
        <f t="shared" si="420"/>
        <v>280664.07870000001</v>
      </c>
      <c r="Z132" s="79">
        <f t="shared" si="421"/>
        <v>536143.69999999995</v>
      </c>
      <c r="AA132" s="79">
        <f t="shared" si="422"/>
        <v>257170.68007249999</v>
      </c>
      <c r="AB132" s="79">
        <f t="shared" si="423"/>
        <v>454668.8258005</v>
      </c>
      <c r="AC132" s="79">
        <f t="shared" si="424"/>
        <v>308590.85269999999</v>
      </c>
      <c r="AD132" s="79">
        <f t="shared" si="425"/>
        <v>304886.88056947367</v>
      </c>
      <c r="AE132" s="79">
        <f t="shared" si="426"/>
        <v>357020.83630707895</v>
      </c>
      <c r="AF132" s="83">
        <f>600*F131</f>
        <v>845794.25999999989</v>
      </c>
      <c r="AG132" s="83">
        <v>240000</v>
      </c>
      <c r="AH132" s="83">
        <v>950000</v>
      </c>
      <c r="AI132" s="5">
        <v>393.41</v>
      </c>
      <c r="AJ132" s="5">
        <v>208.98</v>
      </c>
      <c r="AK132" s="5">
        <v>145.43</v>
      </c>
      <c r="AL132" s="5">
        <v>201.26</v>
      </c>
      <c r="AM132" s="78">
        <f t="shared" si="458"/>
        <v>275.44200000000001</v>
      </c>
      <c r="AN132" s="7">
        <v>41651.006711409398</v>
      </c>
      <c r="AO132" s="7">
        <v>23126.736842105263</v>
      </c>
      <c r="AP132" s="78">
        <f t="shared" si="470"/>
        <v>23126.736842105263</v>
      </c>
      <c r="AQ132" s="7">
        <v>21642.857142857141</v>
      </c>
      <c r="AR132" s="7">
        <v>16570.21052631579</v>
      </c>
      <c r="AS132" s="7">
        <v>21549.105263157893</v>
      </c>
      <c r="AT132" s="7">
        <v>30545.78947368421</v>
      </c>
      <c r="AU132" s="78">
        <f t="shared" si="348"/>
        <v>22888.36842105263</v>
      </c>
      <c r="AV132" s="7">
        <v>8808.6956521739139</v>
      </c>
      <c r="AW132" s="7">
        <v>27000</v>
      </c>
      <c r="AX132" s="7">
        <v>11889.157894736842</v>
      </c>
      <c r="AY132" s="7">
        <v>10734.44976076555</v>
      </c>
      <c r="AZ132" s="7">
        <v>9660.5210526315805</v>
      </c>
      <c r="BA132" s="7">
        <v>4755.2631578947367</v>
      </c>
      <c r="BB132" s="94">
        <f t="shared" ref="BB132:BB134" si="554">IFERROR(+AVERAGE(AX132,(AY132/18)*20,(AZ132/18)*20,BA132),"")</f>
        <v>9826.374933545987</v>
      </c>
      <c r="BC132" s="68">
        <v>44166</v>
      </c>
      <c r="BD132" s="68">
        <v>39751</v>
      </c>
      <c r="BE132" s="97">
        <v>24400</v>
      </c>
      <c r="BF132" s="97">
        <v>19000</v>
      </c>
      <c r="BG132" s="94">
        <f t="shared" si="349"/>
        <v>31829.25</v>
      </c>
      <c r="BH132" s="7">
        <v>5139.45</v>
      </c>
      <c r="BI132" s="97">
        <f t="shared" si="538"/>
        <v>1129.2</v>
      </c>
      <c r="BJ132" s="78">
        <f t="shared" si="350"/>
        <v>6268.65</v>
      </c>
      <c r="BK132" s="7">
        <v>4768.0469999999996</v>
      </c>
      <c r="BL132" s="7">
        <v>6808.88</v>
      </c>
      <c r="BM132" s="94">
        <f t="shared" si="351"/>
        <v>5788.4634999999998</v>
      </c>
      <c r="BN132" s="5">
        <v>489.16</v>
      </c>
      <c r="BO132" s="84">
        <v>2737.57</v>
      </c>
      <c r="BP132" s="84">
        <f>AVERAGE(1800,1866)</f>
        <v>1833</v>
      </c>
      <c r="BQ132" s="94">
        <f t="shared" si="435"/>
        <v>2285.2849999999999</v>
      </c>
      <c r="BR132" s="7">
        <f>AVERAGE(2018,2038,2062,2047)</f>
        <v>2041.25</v>
      </c>
      <c r="BS132" s="97">
        <v>8000</v>
      </c>
      <c r="BT132" s="97">
        <f>2.17*F132</f>
        <v>3030.054979</v>
      </c>
      <c r="BU132" s="79">
        <f t="shared" si="436"/>
        <v>105090.16493699999</v>
      </c>
      <c r="BV132" s="7">
        <v>2781</v>
      </c>
      <c r="BW132" s="7">
        <v>3859</v>
      </c>
      <c r="BY132" s="268">
        <f>BY$10*(1+((H132/H$10-1)*costos!$B$5+((I132*F132)/(I$10*F$10)-1)*costos!$E$5+((J132*F132)/((J$10*F$10)-1)*costos!$F$5/3+((K132*F132)/(K$10*F$10)-1)*costos!$F$5/3+((U132*F132)/(U$10*F$10)-1)*costos!$F$5/3+((L132*F132)/(L$10*F$10)-1)*costos!$G$5+((N132*F132)/(N$10*F$10)-1)*costos!$J$5+((V132*F132)/(V$10*F$10)-1)*costos!$K$5)))</f>
        <v>13776.182057558521</v>
      </c>
      <c r="BZ132" s="268">
        <f>$BZ$10*(1+((H132/$H$10-1)*costos!$B$6+((I132*F132)/($I$10*$F$10)-1)*costos!$E$6+((J132*F132)/(($J$10*$F$10)-1)*costos!$F$6/3+((K132*F132)/($K$10*$F$10)-1)*costos!$F$6/3+((U132*F132)/($U$10*$F$10)-1)*costos!$F$6/3+((L132*F132)/($L$10*$F$10)-1)*costos!$G$6+((Q132*F132)/($Q$10*$F$10)-1)*costos!$J$6+((V132*F132)/($V$10*$F$10)-1)*costos!$K$6)))</f>
        <v>15925.556429481843</v>
      </c>
      <c r="CA132" s="268">
        <f>CA$10*(1+((H132/H$10-1)*costos!$B$7+((I132*F132)/(I$10*F$10)-1)*costos!$E$7+((J132*F132)/((J$10*F$10)-1)*costos!$F$7/3+((K132*F132)/(K$10*F$10)-1)*costos!$F$7/3+((U132*F132)/(U$10*F$10)-1)*costos!$F$7/3+((L132*F132)/(L$10*F$10)-1)*costos!$G$7+((S132*F132)/(S$10*F$10)-1)*costos!$J$7+((V132*F132)/(V$10*F$10)-1)*costos!$K$7)))</f>
        <v>14466.564487839403</v>
      </c>
      <c r="CB132" s="268">
        <f>CB$10*(1+((H132/H$10-1)*costos!$B$8+((I132*F132)/(I$10*F$10)-1)*costos!$E$8+((J132*F132)/((J$10*F$10)-1)*costos!$F$8/3+((K132*F132)/(K$10*F$10)-1)*costos!$F$8/3+((U132*F132)/(U$10*F$10)-1)*costos!$F$8/3+((L132*F132)/(L$10*F$10)-1)*costos!$G$8+((T132*F132)/(T$10*F$10)-1)*costos!$J$8+((V132*F132)/(V$10*F$10)-1)*costos!$K$8)))</f>
        <v>14397.541801694872</v>
      </c>
      <c r="CC132" s="268">
        <f>CC$10*(1+((H132/H$10-1)*costos!$B$9+((I132*F132)/(I$10*F$10)-1)*costos!$E$9+((J132*F132)/((J$10*F$10)-1)*costos!$F$9/3+((K132*F132)/(K$10*F$10)-1)*costos!$F$9/3+((U132*F132)/(U$10*F$10)-1)*costos!$F$9/3+((L132*F132)/(L$10*F$10)-1)*costos!$G$9+((U132*F132)/(U$10*F$10)-1)*costos!$J$9+((V132*F132)/(V$10*F$10)-1)*costos!$K$9)))</f>
        <v>13680.878374858226</v>
      </c>
      <c r="CD132" s="268">
        <f>CD$10*(1+((H132/H$10-1)*costos!$B$11+((I132*F132)/(I$10*F$10)-1)*costos!$E$11+((J132*F132)/((J$10*F$10)-1)*costos!$F$11/3+((K132*F132)/(K$10*F$10)-1)*costos!$F$11/3+((U132*F132)/(U$10*F$10)-1)*costos!$F$11/3+((L132*F132)/(L$10*F$10)-1)*costos!$G$11+((V132*F132)/(V$10*F$10)-1)*costos!$J$11+((V132*F132)/(V$10*F$10)-1)*costos!$K$11)))</f>
        <v>14410.197757672029</v>
      </c>
      <c r="CE132" s="268">
        <f>CE$10*(1+((H132/H$10-1)*costos!$B$12+((I132*F132)/(I$10*F$10)-1)*costos!$E$12+((J132*F132)/((J$10*F$10)-1)*costos!$F$12/3+((K132*F132)/(K$10*F$10)-1)*costos!$F$12/3+((U132*F132)/(U$10*F$10)-1)*costos!$F$12/3+((L132*F132)/(L$10*F$10)-1)*costos!$G$12+((W132*F132)/(W$10*F$10)-1)*costos!$J$12+((V132*F132)/(V$10*F$10)-1)*costos!$K$12)))</f>
        <v>14565.400849490956</v>
      </c>
      <c r="CF132" s="268">
        <f>CF$10*(1+((H132/H$10-1)*costos!$B$13+((I132*F132)/(I$10*F$10)-1)*costos!$E$13+((J132*F132)/((J$10*F$10)-1)*costos!$F$13/3+((K132*F132)/(K$10*F$10)-1)*costos!$F$13/3+((U132*F132)/(U$10*F$10)-1)*costos!$F$13/3+((L132*F132)/(L$10*F$10)-1)*costos!$G$13+((X132*F132)/(X$10*F$10)-1)*costos!$J$13+((V132*F132)/(V$10*F$10)-1)*costos!$K$13)))</f>
        <v>14860.505259259691</v>
      </c>
      <c r="CG132" s="268">
        <f t="shared" si="539"/>
        <v>14396.848088469196</v>
      </c>
      <c r="CH132" s="268">
        <f>CH$10*(1+((H132/H$10-1)*costos!$B$10+((I132*F132)/(I$10*F$10)-1)*costos!$E$10+((J132*F132)/((J$10*F$10)-1)*costos!$F$10/3+((K132*F132)/(K$10*F$10)-1)*costos!$F$10/3+((U132*F132)/(U$10*F$10)-1)*costos!$F$10/3+((L132*F132)/(L$10*F$10)-1)*costos!$G$10+((AF132)/(AF$10)-1)*costos!$J$10+((V132*F132)/(V$10*F$10)-1)*costos!$K$10)))</f>
        <v>13970.032731695304</v>
      </c>
      <c r="CI132" s="268">
        <f>CI$10*(1+((H132/H$10-1)*costos!$B$15+((I132*F132)/(I$10*F$10)-1)*costos!$E$15+((J132*F132)/((J$10*F$10)-1)*costos!$F$15/3+((K132*F132)/(K$10*F$10)-1)*costos!$F$15/3+((U132*F132)/(U$10*F$10)-1)*costos!$F$15/3+((L132*F132)/(L$10*F$10)-1)*costos!$G$15+((AV134)/(AV$10)-1)*costos!$J$15+((V132*F132)/(V$10*F$10)-1)*costos!$K$15)))</f>
        <v>15668.086797624095</v>
      </c>
      <c r="CJ132" s="268">
        <f>CJ$10*(1+((H132/H$10-1)*costos!$B$16+((I132*F132)/(I$10*F$10)-1)*costos!$E$16+((J132*F132)/((J$10*F$10)-1)*costos!$F$16/3+((K132*F132)/(K$10*F$10)-1)*costos!$F$16/3+((U132*F132)/(U$10*F$10)-1)*costos!$F$16/3+((L132*F132)/(L$10*F$10)-1)*costos!$G$16+((AW133)/(AW$10)-1)*costos!$J$16+((V132*F132)/(V$10*F$10)-1)*costos!$K$16)))</f>
        <v>14390.554677992892</v>
      </c>
      <c r="CK132" s="268">
        <f>CK$10*(1+((H132/H$10-1)*costos!$B$17+((I132*F132)/(I$10*F$10)-1)*costos!$E$17+((J132*F132)/((J$10*F$10)-1)*costos!$F$17/3+((K132*F132)/(K$10*F$10)-1)*costos!$F$17/3+((U132*F132)/(U$10*F$10)-1)*costos!$F$17/3+((L132*F132)/(L$10*F$10)-1)*costos!$G$17+((AX133)/(AX$10)-1)*costos!$J$17+((V132*F132)/(V$10*F$10)-1)*costos!$K$17)))</f>
        <v>15026.958753273568</v>
      </c>
      <c r="CL132" s="268">
        <f>CL$10*(1+((H132/H$10-1)*costos!$B$18+((I132*F132)/(I$10*F$10)-1)*costos!$E$18+((J132*F132)/((J$10*F$10)-1)*costos!$F$18/3+((K132*F132)/(K$10*F$10)-1)*costos!$F$18/3+((U132*F132)/(U$10*F$10)-1)*costos!$F$18/3+((L132*F132)/(L$10*F$10)-1)*costos!$G$18+((AY133)/(AY$10)-1)*costos!$J$18+((V132*F132)/(V$10*F$10)-1)*costos!$K$18)))</f>
        <v>13375.024564111876</v>
      </c>
      <c r="CM132" s="268">
        <f>CM$10*(1+((H132/H$10-1)*costos!$B$19+((I132*F132)/(I$10*F$10)-1)*costos!$E$19+((J132*F132)/((J$10*F$10)-1)*costos!$F$19/3+((K132*F132)/(K$10*F$10)-1)*costos!$F$19/3+((U132*F132)/(U$10*F$10)-1)*costos!$F$19/3+((L132*F132)/(L$10*F$10)-1)*costos!$G$19+((AZ133)/(AZ$10)-1)*costos!$J$19+((V132*F132)/(V$10*F$10)-1)*costos!$K$19)))</f>
        <v>12544.22253978849</v>
      </c>
      <c r="CN132" s="268">
        <f>CN$10*(1+((H132/H$10-1)*costos!$B$20+((I132*F132)/(I$10*F$10)-1)*costos!$E$20+((J132*F132)/((J$10*F$10)-1)*costos!$F$20/3+((K132*F132)/(K$10*F$10)-1)*costos!$F$20/3+((U132*F132)/(U$10*F$10)-1)*costos!$F$20/3+((L132*F132)/(L$10*F$10)-1)*costos!$G$20+((BA133)/(BA$10)-1)*costos!$J$20+((V132*F132)/(V$10*F$10)-1)*costos!$K$20)))</f>
        <v>12593.654007629357</v>
      </c>
      <c r="CO132" s="268">
        <f t="shared" si="540"/>
        <v>13384.964966200823</v>
      </c>
      <c r="CP132" s="268">
        <f>CP$10*(1+((H132/H$10-1)*costos!$B$22+((I132*F132)/(I$10*F$10)-1)*costos!$E$22+((J132*F132)/((J$10*F$10)-1)*costos!$F$22/3+((K132*F132)/(K$10*F$10)-1)*costos!$F$22/3+((U132*F132)/(U$10*F$10)-1)*costos!$F$22/3+((L132*F132)/(L$10*F$10)-1)*costos!$G$22+(((AVERAGE(AI132:AL132))/((AVERAGE(AI$10:AL$10))-1)*costos!$J$22+((V132*F132)/(V$10*F$10)-1)*costos!$K$22)))))</f>
        <v>15174.819134028798</v>
      </c>
      <c r="CQ132" s="92">
        <f>CQ$10*(1+((H132/H$10-1)*costos!$B$23+((I132*F132)/(I$10*F$10)-1)*costos!$E$23+((J132*F132)/((J$10*F$10)-1)*costos!$F$23/3+((K132*F132)/(K$10*F$10)-1)*costos!$F$23/3+((U132*F132)/(U$10*F$10)-1)*costos!$F$23/3+((L132*F132)/(L$10*F$10)-1)*costos!$G$23+((AN132)/(AN$10)-1)*costos!$J$23+((V132*F132)/(V$10*F$10)-1)*costos!$K$23)))</f>
        <v>14235.020878836576</v>
      </c>
      <c r="CR132" s="268">
        <f>CR$10*(1+((H132/H$10-1)*costos!$B$24+((I132*F132)/(I$10*F$10)-1)*costos!$E$24+((J132*F132)/((J$10*F$10)-1)*costos!$F$24/3+((K132*F132)/(K$10*F$10)-1)*costos!$F$24/3+((U132*F132)/(U$10*F$10)-1)*costos!$F$24/3+((L132*F132)/(L$10*F$10)-1)*costos!$G$24+((AO133)/(AO$10)-1)*costos!$J$24+((V132*F132)/(V$10*F$10)-1)*costos!$K$24)))</f>
        <v>14002.771041618731</v>
      </c>
      <c r="CS132" s="92">
        <f t="shared" si="352"/>
        <v>14118.895960227654</v>
      </c>
      <c r="CT132" s="268">
        <f>CT$10*(1+((H132/H$10-1)*costos!$B$25+((I132*F132)/(I$10*F$10)-1)*costos!$E$25+((J132*F132)/((J$10*F$10)-1)*costos!$F$25/3+((K132*F132)/(K$10*F$10)-1)*costos!$F$25/3+((U132*F132)/(U$10*F$10)-1)*costos!$F$25/3+((L132*F132)/(L$10*F$10)-1)*costos!$G$25+((AQ133)/(AQ$10)-1)*costos!$J$25+((V132*F132)/(V$10*F$10)-1)*costos!$K$25)))</f>
        <v>13739.382329098156</v>
      </c>
      <c r="CU132" s="268">
        <f>CU$10*(1+((H132/H$10-1)*costos!$B$26+((I132*F132)/(I$10*F$10)-1)*costos!$E$26+((J132*F132)/((J$10*F$10)-1)*costos!$F$26/3+((K132*F132)/(K$10*F$10)-1)*costos!$F$26/3+((U132*F132)/(U$10*F$10)-1)*costos!$F$26/3+((L132*F132)/(L$10*F$10)-1)*costos!$G$26+((AR133)/(AR$10)-1)*costos!$J$26+((V132*F132)/(V$10*F$10)-1)*costos!$K$26)))</f>
        <v>13482.018362547655</v>
      </c>
      <c r="CV132" s="268">
        <f>CV$10*(1+((H132/H$10-1)*costos!$B$27+((I132*F132)/(I$10*F$10)-1)*costos!$E$27+((J132*F132)/((J$10*F$10)-1)*costos!$F$27/3+((K132*F132)/(K$10*F$10)-1)*costos!$F$27/3+((U132*F132)/(U$10*F$10)-1)*costos!$F$27/3+((L132*F132)/(L$10*F$10)-1)*costos!$G$27+((AS133)/(AS$10)-1)*costos!$J$27+((V132*F132)/(V$10*F$10)-1)*costos!$K$27)))</f>
        <v>14181.451356056374</v>
      </c>
      <c r="CW132" s="268">
        <f>CW$10*(1+((H132/H$10-1)*costos!$B$28+((I132*F132)/(I$10*F$10)-1)*costos!$E$28+((J132*F132)/((J$10*F$10)-1)*costos!$F$28/3+((K132*F132)/(K$10*F$10)-1)*costos!$F$28/3+((U132*F132)/(U$10*F$10)-1)*costos!$F$28/3+((L132*F132)/(L$10*F$10)-1)*costos!$G$28+((AS133)/(AS$10)-1)*costos!$J$28+((V132*F132)/(V$10*F$10)-1)*costos!$K$28)))</f>
        <v>14181.451356056374</v>
      </c>
      <c r="CX132" s="268">
        <f t="shared" si="541"/>
        <v>13948.307024886801</v>
      </c>
      <c r="CY132" s="268">
        <f>CY$10*(1+((H132/H$10-1)*costos!$B$32+((I132*F132)/(I$10*F$10)-1)*costos!$E$32+((J132*F132)/((J$10*F$10)-1)*costos!$F$32/3+((K132*F132)/(K$10*F$10)-1)*costos!$F$32/3+((U132*F132)/(U$10*F$10)-1)*costos!$F$32/3+((L132*F132)/(L$10*F$10)-1)*costos!$G$32+((AG132)/(AG$10)-1)*costos!$J$32+((V132*F132)/(V$10*F$10)-1)*costos!$K$32)))</f>
        <v>13256.222349468711</v>
      </c>
      <c r="CZ132" s="69">
        <f>CZ$10*(1+((H132/H$10-1)*costos!$B$31+((I132*F132)/(I$10*F$10)-1)*costos!$E$30+((J132*F132)/((J$10*F$10)-1)*costos!$F$30/3+((K132*F132)/(K$10*F$10)-1)*costos!$F$30/3+((U132*F132)/(U$10*F$10)-1)*costos!$F$30/3+((L132*F132)/(L$10*F$10)-1)*costos!$G$30+((BG132)/(BG$10)-1)*costos!$J$30+((V132*F132)/(V$10*F$10)-1)*costos!$K$30)))</f>
        <v>18216.1898010271</v>
      </c>
      <c r="DA132" s="69">
        <f>DA$10*(1+((H132/H$10-1)*costos!$B$31+((I132*F132)/(I$10*F$10)-1)*costos!$E$31+((J132*F132)/((J$10*F$10)-1)*costos!$F$31/3+((K132*F132)/(K$10*F$10)-1)*costos!$F$31/3+((U132*F132)/(U$10*F$10)-1)*costos!$F$31/3+((L132*F132)/(L$10*F$10)-1)*costos!$G$31+((BJ132)/(BJ$10)-1)*costos!$J$31+((V132*F132)/(V$10*F$10)-1)*costos!$K$31)))</f>
        <v>14387.670108413087</v>
      </c>
      <c r="DB132" s="69">
        <f>DB$10*(1+((H132/H$10-1)*costos!$B$36+((I132*F132)/(I$10*F$10)-1)*costos!$E$36+((J132*F132)/((J$10*F$10)-1)*costos!$F$36/3+((K132*F132)/(K$10*F$10)-1)*costos!$F$36/3+((U132*F132)/(U$10*F$10)-1)*costos!$F$36/3+((L132*F132)/(L$10*F$10)-1)*costos!$G$36+((BK132)/(BK$10)-1)*costos!$J$36+((V132*F132)/(V$10*F$10)-1)*costos!$K$36)))</f>
        <v>15287.945573489849</v>
      </c>
      <c r="DC132" s="69">
        <f>DC$10*(1+((H132/H$10-1)*costos!$B$37+((I132*F132)/(I$10*F$10)-1)*costos!$E$37+((U132*F132)/(U$10*F$10)-1)*costos!$F$37+((L132*F132)/(L$10*F$10)-1)*costos!$G$37+((BN132)/(BN$10)-1)*costos!$J$37+((V132*F132)/(V$10*F$10)-1)*costos!$K$37))</f>
        <v>13761.728044599837</v>
      </c>
      <c r="DD132" s="69">
        <f>DD$10*(1+((H132/H$10-1)*costos!$B$39+((I132*F132)/(I$10*F$10)-1)*costos!$E$39+((U132*F132)/(U$10*F$10)-1)*costos!$F$39+((L132*F132)/(L$10*F$10)-1)*costos!$G$39+((BR132)/(BR$10)-1)*costos!$J$39+((V132*F132)/(V$10*F$10)-1)*costos!$K$39))</f>
        <v>13341.144891834019</v>
      </c>
      <c r="DE132" s="69">
        <f>DD$10*(1+((H132/H$10-1)*costos!$B$35+((I132*F132)/(I$10*F$10)-1)*costos!$E$35+((U132*F132)/(U$10*F$10)-1)*costos!$F$35+((L132*F132)/(L$10*F$10)-1)*costos!$G$35+((BR132)/(BR$10)-1)*costos!$J$35+((V132*F132)/(V$10*F$10)-1)*costos!$K$35))</f>
        <v>11257.409148130069</v>
      </c>
      <c r="DF132" s="69">
        <f>DF$10*(1+((H132/H$10-1)*costos!$B$40+((I132*F132)/(I$10*F$10)-1)*costos!$E$40+((U132*F132)/(U$10*F$10)-1)*costos!$F$40+((L132*F132)/(L$10*F$10)-1)*costos!$G$40+((BP132)/(BP$10)-1)*costos!$J$40+((V132*F132)/(V$10*F$10)-1)*costos!$K$40))</f>
        <v>13127.314931148076</v>
      </c>
      <c r="DG132" s="268">
        <f t="shared" si="542"/>
        <v>12192.362039639072</v>
      </c>
      <c r="DH132" s="69">
        <f>DH$10*(1+((H132/H$10-1)*costos!$B$34+((I132*F132)/(I$10*F$10)-1)*costos!$E$34+((J132*F132)/((J$10*F$10)-1)*costos!$F$34/3+((K132*F132)/(K$10*F$10)-1)*costos!$F$34/3+((U132*F132)/(U$10*F$10)-1)*costos!$F$34/3+((L132*F132)/(L$10*F$10)-1)*costos!$G$34+((BV132)/(BV$10)-1)*costos!$J$34+((V132*F132)/(V$10*F$10)-1)*costos!$K$34)))</f>
        <v>14173.815536870743</v>
      </c>
      <c r="DI132" s="69">
        <f>DI$10*(1+((H132/H$10-1)*costos!$B$38+((I132*F132)/(I$10*F$10)-1)*costos!$E$38+((J132*F132)/((J$10*F$10)-1)*costos!$F$38/3+((K132*F132)/(K$10*F$10)-1)*costos!$F$38/3+((U132*F132)/(U$10*F$10)-1)*costos!$F$38/3+((L132*F132)/(L$10*F$10)-1)*costos!$G$38+((BU132)/(BU$10)-1)*costos!$J$38+((V132*F132)/(V$10*F$10)-1)*costos!$K$38)))</f>
        <v>13899.499637892481</v>
      </c>
      <c r="DK132" s="1">
        <v>450000</v>
      </c>
      <c r="DL132" s="1" t="s">
        <v>663</v>
      </c>
      <c r="DM132" s="1">
        <v>200000</v>
      </c>
      <c r="DN132" s="1" t="s">
        <v>663</v>
      </c>
      <c r="DO132" s="1">
        <v>1360000</v>
      </c>
      <c r="DP132" s="1" t="s">
        <v>663</v>
      </c>
      <c r="DQ132" s="1">
        <v>3100000</v>
      </c>
      <c r="DR132" s="1" t="s">
        <v>663</v>
      </c>
      <c r="DS132" s="1">
        <v>8100000</v>
      </c>
      <c r="DT132" s="1" t="s">
        <v>663</v>
      </c>
      <c r="DU132" s="1">
        <v>17300000</v>
      </c>
      <c r="DV132" s="1" t="s">
        <v>663</v>
      </c>
      <c r="DW132" s="1">
        <v>870000</v>
      </c>
      <c r="DX132" s="1" t="s">
        <v>663</v>
      </c>
      <c r="DY132" s="1">
        <v>6970000</v>
      </c>
      <c r="DZ132" s="1" t="s">
        <v>663</v>
      </c>
      <c r="EA132" s="79">
        <f t="shared" si="353"/>
        <v>37700000</v>
      </c>
      <c r="EB132" s="1">
        <v>381590</v>
      </c>
      <c r="EC132" s="1" t="s">
        <v>663</v>
      </c>
      <c r="ED132" s="82">
        <v>231352</v>
      </c>
      <c r="EE132" s="144">
        <v>2025</v>
      </c>
      <c r="EF132" s="82">
        <v>196220</v>
      </c>
      <c r="EG132" s="144">
        <v>2025</v>
      </c>
      <c r="EH132" s="83">
        <v>50920790</v>
      </c>
      <c r="EI132" s="143">
        <v>2026</v>
      </c>
      <c r="EJ132" s="83">
        <v>5987778</v>
      </c>
      <c r="EK132" s="143">
        <v>2025</v>
      </c>
      <c r="EL132" s="1">
        <v>11482381</v>
      </c>
      <c r="EM132" s="6">
        <v>2026</v>
      </c>
      <c r="EN132" s="1">
        <v>2920089</v>
      </c>
      <c r="EO132" s="6">
        <v>2026</v>
      </c>
      <c r="EP132" s="83">
        <v>9481</v>
      </c>
      <c r="EQ132" s="83">
        <v>4000000</v>
      </c>
      <c r="ER132" s="82">
        <f t="shared" si="543"/>
        <v>79911</v>
      </c>
      <c r="ET132" s="82">
        <f t="shared" si="514"/>
        <v>19357</v>
      </c>
      <c r="EU132" s="82">
        <f t="shared" si="514"/>
        <v>18703</v>
      </c>
      <c r="EV132" s="82">
        <f t="shared" si="514"/>
        <v>8927</v>
      </c>
      <c r="EW132" s="82">
        <f t="shared" si="514"/>
        <v>17408</v>
      </c>
      <c r="EX132" s="79">
        <f t="shared" ref="EX132" si="555">+SUM(ET132:EW132)</f>
        <v>64395</v>
      </c>
      <c r="EY132" s="82">
        <f t="shared" si="516"/>
        <v>20031</v>
      </c>
      <c r="EZ132" s="83">
        <f t="shared" si="516"/>
        <v>33722</v>
      </c>
      <c r="FA132" s="82">
        <f t="shared" si="516"/>
        <v>19900</v>
      </c>
      <c r="FB132" s="82">
        <f t="shared" si="516"/>
        <v>18184</v>
      </c>
      <c r="FC132" s="79">
        <f t="shared" ref="FC132" si="556">+FB132+FA132</f>
        <v>38084</v>
      </c>
      <c r="FD132" s="82">
        <f t="shared" si="518"/>
        <v>60376</v>
      </c>
      <c r="FF132" s="1">
        <v>1100000</v>
      </c>
      <c r="FG132" s="1" t="s">
        <v>512</v>
      </c>
      <c r="FH132" s="1">
        <v>1600000</v>
      </c>
      <c r="FI132" s="1" t="s">
        <v>512</v>
      </c>
      <c r="FJ132" s="1">
        <v>5400003</v>
      </c>
      <c r="FK132" s="1" t="s">
        <v>908</v>
      </c>
      <c r="FL132" s="1">
        <v>6400000</v>
      </c>
      <c r="FM132" s="1" t="s">
        <v>663</v>
      </c>
      <c r="FN132" s="1">
        <v>61000000</v>
      </c>
      <c r="FO132" s="1" t="s">
        <v>663</v>
      </c>
      <c r="FP132" s="1">
        <v>48600000</v>
      </c>
      <c r="FQ132" s="1" t="s">
        <v>663</v>
      </c>
      <c r="FR132" s="1">
        <v>2900000</v>
      </c>
      <c r="FS132" s="1" t="s">
        <v>663</v>
      </c>
      <c r="FT132" s="82">
        <v>27800000</v>
      </c>
      <c r="FU132" s="1" t="s">
        <v>663</v>
      </c>
      <c r="FV132" s="79">
        <f t="shared" si="355"/>
        <v>152100003</v>
      </c>
      <c r="FW132" s="83">
        <v>1311996</v>
      </c>
      <c r="FX132" s="1" t="s">
        <v>663</v>
      </c>
      <c r="FY132" s="1">
        <v>45045</v>
      </c>
      <c r="FZ132" s="79">
        <f>+SUM(FY121:FY132)</f>
        <v>904227.76</v>
      </c>
      <c r="GA132" s="86" t="str">
        <f t="shared" si="462"/>
        <v>abr25 mar26</v>
      </c>
      <c r="GB132" s="1">
        <v>18391299</v>
      </c>
      <c r="GC132" s="6">
        <v>2026</v>
      </c>
      <c r="GD132" s="82">
        <f t="shared" si="546"/>
        <v>2213559</v>
      </c>
      <c r="GE132" s="82">
        <f t="shared" si="547"/>
        <v>410324</v>
      </c>
      <c r="GF132" s="82">
        <f t="shared" si="548"/>
        <v>1003144</v>
      </c>
      <c r="GG132" s="82">
        <f t="shared" si="549"/>
        <v>129694</v>
      </c>
      <c r="GH132" s="79">
        <f t="shared" ref="GH132" si="557">GE132+GF132+GG132</f>
        <v>1543162</v>
      </c>
      <c r="GI132" s="82">
        <f t="shared" si="520"/>
        <v>1302556</v>
      </c>
      <c r="GJ132" s="82">
        <f t="shared" si="520"/>
        <v>682423</v>
      </c>
      <c r="GK132" s="82">
        <f t="shared" si="520"/>
        <v>1391495</v>
      </c>
      <c r="GL132" s="82">
        <f t="shared" si="520"/>
        <v>305049</v>
      </c>
      <c r="GM132" s="82">
        <f t="shared" si="520"/>
        <v>260419</v>
      </c>
      <c r="GN132" s="79">
        <f t="shared" ref="GN132:GN133" si="558">+SUM(GJ132:GM132)</f>
        <v>2639386</v>
      </c>
      <c r="GO132" s="82">
        <f t="shared" si="521"/>
        <v>201734</v>
      </c>
      <c r="GP132" s="82">
        <f t="shared" si="521"/>
        <v>75000</v>
      </c>
      <c r="GQ132" s="1">
        <v>116327</v>
      </c>
      <c r="GR132" s="83">
        <v>31107</v>
      </c>
      <c r="GS132" s="79">
        <f t="shared" ref="GS132:GS135" si="559">+GR132+GQ132*0.03</f>
        <v>34596.81</v>
      </c>
      <c r="GT132" s="82">
        <f t="shared" si="496"/>
        <v>2111561</v>
      </c>
      <c r="GU132" s="83">
        <f>52851+11421</f>
        <v>64272</v>
      </c>
      <c r="GV132" s="83">
        <f>5946+18473</f>
        <v>24419</v>
      </c>
      <c r="GW132" s="79">
        <f t="shared" si="522"/>
        <v>767984</v>
      </c>
      <c r="GX132" s="82">
        <v>36041.686000000002</v>
      </c>
      <c r="GY132" s="82" t="s">
        <v>802</v>
      </c>
      <c r="GZ132" s="82">
        <v>119643</v>
      </c>
      <c r="HA132" s="1">
        <v>243271</v>
      </c>
      <c r="HB132" s="79">
        <f t="shared" si="523"/>
        <v>3093549</v>
      </c>
      <c r="HC132" s="86" t="str">
        <f t="shared" si="465"/>
        <v>abr25 mar26</v>
      </c>
      <c r="HD132" s="1">
        <v>76652</v>
      </c>
      <c r="HE132" s="79">
        <f t="shared" ref="HE132:HE137" si="560">+SUM(HD121:HD132)</f>
        <v>840192</v>
      </c>
      <c r="HF132" s="86" t="str">
        <f t="shared" si="466"/>
        <v>abr25 mar26</v>
      </c>
      <c r="HG132" s="83">
        <v>191000</v>
      </c>
      <c r="HH132" s="79">
        <f t="shared" si="490"/>
        <v>2303000</v>
      </c>
      <c r="HI132" s="86" t="str">
        <f t="shared" si="467"/>
        <v>abr25 mar26</v>
      </c>
      <c r="HJ132" s="83">
        <v>94045</v>
      </c>
      <c r="HK132" s="79">
        <f t="shared" si="524"/>
        <v>66951.42</v>
      </c>
      <c r="HL132" s="86" t="str">
        <f t="shared" si="468"/>
        <v>abr25 mar26</v>
      </c>
      <c r="HM132" s="79">
        <f t="shared" si="358"/>
        <v>2369951.42</v>
      </c>
      <c r="HN132" s="87">
        <f t="shared" si="497"/>
        <v>7.982536151960784E-2</v>
      </c>
      <c r="HO132" s="1">
        <v>881137495</v>
      </c>
      <c r="HP132" s="79">
        <f t="shared" si="525"/>
        <v>11845.90017193068</v>
      </c>
      <c r="HQ132" s="86" t="str">
        <f t="shared" si="469"/>
        <v>abr25 mar26</v>
      </c>
      <c r="HU132" s="1">
        <v>990000</v>
      </c>
      <c r="HV132" s="1" t="s">
        <v>512</v>
      </c>
      <c r="HW132" s="1">
        <v>1600000</v>
      </c>
      <c r="HX132" s="1" t="s">
        <v>663</v>
      </c>
      <c r="HY132" s="1">
        <v>6000000</v>
      </c>
      <c r="HZ132" s="1" t="s">
        <v>663</v>
      </c>
      <c r="IA132" s="1">
        <f>(3.1+17.7)*1000000</f>
        <v>20800000</v>
      </c>
      <c r="IB132" s="1" t="s">
        <v>512</v>
      </c>
      <c r="IC132" s="1">
        <v>50500000</v>
      </c>
      <c r="ID132" s="1" t="s">
        <v>512</v>
      </c>
      <c r="IE132" s="1">
        <f>(0.05+1.1)*1000000</f>
        <v>1150000.0000000002</v>
      </c>
      <c r="IF132" s="1" t="s">
        <v>512</v>
      </c>
      <c r="IG132" s="1">
        <f>(7+1)*1000000</f>
        <v>8000000</v>
      </c>
      <c r="IH132" s="1" t="s">
        <v>663</v>
      </c>
      <c r="II132" s="79">
        <f t="shared" si="479"/>
        <v>88050000</v>
      </c>
      <c r="IJ132" s="97">
        <f t="shared" si="552"/>
        <v>2.2719760013883494</v>
      </c>
      <c r="IK132" s="1" t="s">
        <v>663</v>
      </c>
      <c r="IL132" s="7">
        <v>47.16</v>
      </c>
      <c r="IM132" s="7">
        <v>48.54</v>
      </c>
      <c r="IN132" s="97">
        <v>205</v>
      </c>
      <c r="IO132" s="7">
        <v>19.43</v>
      </c>
      <c r="IP132" s="97">
        <f>(24278491*12)/IP$2</f>
        <v>6.2699087139586966</v>
      </c>
      <c r="IQ132" s="176">
        <f>(1.2*12)</f>
        <v>14.399999999999999</v>
      </c>
      <c r="IR132" s="269">
        <f t="shared" si="526"/>
        <v>6.17</v>
      </c>
      <c r="IS132" s="269">
        <f t="shared" si="526"/>
        <v>5.03</v>
      </c>
      <c r="IT132" s="269">
        <f t="shared" si="526"/>
        <v>11</v>
      </c>
      <c r="IU132" s="269">
        <f t="shared" si="526"/>
        <v>1.1000000000000001</v>
      </c>
      <c r="IV132" s="94">
        <f t="shared" ref="IV132:IV133" si="561">+SUM(IS132:IU132)</f>
        <v>17.130000000000003</v>
      </c>
      <c r="IY132" s="80">
        <v>1.88</v>
      </c>
      <c r="IZ132" s="88">
        <v>0.3</v>
      </c>
      <c r="JA132" s="82">
        <v>3555</v>
      </c>
      <c r="JB132" s="95">
        <f t="shared" si="433"/>
        <v>35.950000000000003</v>
      </c>
      <c r="JF132" s="2">
        <v>12.781845520000003</v>
      </c>
      <c r="JG132" s="2">
        <v>21.288385250000005</v>
      </c>
      <c r="JH132" s="2">
        <v>173.12739558000001</v>
      </c>
      <c r="JI132" s="2">
        <v>557.47611791000008</v>
      </c>
      <c r="JJ132" s="2">
        <v>1158.9095312100001</v>
      </c>
      <c r="JK132" s="2">
        <v>125.25923582999999</v>
      </c>
      <c r="JL132" s="2">
        <v>1853.5526039800002</v>
      </c>
      <c r="JM132" s="2">
        <v>57.697366350000003</v>
      </c>
      <c r="JN132" s="2">
        <v>402.67543766999989</v>
      </c>
      <c r="JO132" s="2">
        <v>32.026461749999996</v>
      </c>
      <c r="JP132" s="2">
        <v>0</v>
      </c>
      <c r="JQ132" s="2">
        <v>4.9839162199999993</v>
      </c>
      <c r="JR132" s="2">
        <v>1.46589675</v>
      </c>
      <c r="JS132" s="2">
        <v>0</v>
      </c>
      <c r="JT132" s="2">
        <v>1.0533798999999999</v>
      </c>
      <c r="JU132" s="2">
        <v>79.896688470000015</v>
      </c>
      <c r="JV132" s="2">
        <v>9.9735822599999988</v>
      </c>
      <c r="JW132" s="2">
        <v>46.745874669999992</v>
      </c>
      <c r="JX132" s="2">
        <v>11.974438899999997</v>
      </c>
      <c r="JY132" s="2">
        <v>0</v>
      </c>
      <c r="JZ132" s="2">
        <v>4.5963070799999999</v>
      </c>
      <c r="KA132" s="2">
        <v>0.17499999999999999</v>
      </c>
      <c r="KB132" s="2">
        <v>16.76578641</v>
      </c>
      <c r="KC132" s="2">
        <v>10.172513039999997</v>
      </c>
      <c r="KD132" s="2">
        <v>11.30577291</v>
      </c>
      <c r="KE132" s="2">
        <v>42.687100790000002</v>
      </c>
      <c r="KF132" s="2">
        <v>9.6066541700000005</v>
      </c>
      <c r="KG132" s="2">
        <v>536.74004446000004</v>
      </c>
      <c r="KH132" s="2">
        <v>152.49764859000004</v>
      </c>
      <c r="KI132" s="2">
        <v>34.165160209999996</v>
      </c>
      <c r="KJ132" s="2">
        <v>3.2559529299999999</v>
      </c>
      <c r="KK132" s="2">
        <v>5.0269418100000003</v>
      </c>
      <c r="KL132" s="2">
        <v>0.19125684999999998</v>
      </c>
      <c r="KM132" s="2">
        <v>1.48627069</v>
      </c>
      <c r="KN132" s="2">
        <v>3.99045819</v>
      </c>
      <c r="KO132" s="2">
        <v>1.3040944899999998</v>
      </c>
      <c r="KP132" s="2">
        <v>7.5985750000000005E-2</v>
      </c>
      <c r="KQ132" s="2">
        <v>393.41884747999995</v>
      </c>
      <c r="KR132" s="2">
        <v>0.79866800000000004</v>
      </c>
      <c r="KS132" s="2">
        <v>0.52143158999999994</v>
      </c>
      <c r="KT132" s="2">
        <v>2.0004345900000002</v>
      </c>
      <c r="KU132" s="2">
        <v>0.85632428999999999</v>
      </c>
      <c r="KV132" s="2">
        <v>7.7990000000000004E-2</v>
      </c>
      <c r="KW132" s="2">
        <v>0.31329717000000001</v>
      </c>
      <c r="KX132" s="2">
        <v>0</v>
      </c>
      <c r="KY132" s="2">
        <v>0</v>
      </c>
      <c r="KZ132" s="2">
        <v>2.3774346500000001</v>
      </c>
      <c r="LA132" s="2">
        <v>0.57109239999999994</v>
      </c>
      <c r="LB132" s="2">
        <v>2.4233299999999999E-2</v>
      </c>
      <c r="LC132" s="2">
        <v>0.14656539999999998</v>
      </c>
      <c r="LD132" s="2">
        <v>0</v>
      </c>
      <c r="LE132" s="2">
        <v>0.81326339999999997</v>
      </c>
      <c r="LF132" s="2">
        <v>0.11491991999999999</v>
      </c>
      <c r="LG132" s="2">
        <v>15.225690909999999</v>
      </c>
      <c r="LH132" s="2">
        <v>3.8621701900000001</v>
      </c>
      <c r="LI132" s="2">
        <v>1.08154503</v>
      </c>
      <c r="LJ132" s="2">
        <v>0</v>
      </c>
      <c r="LK132" s="2">
        <v>5.3810388700000003</v>
      </c>
      <c r="LL132" s="2">
        <v>12.219695360000001</v>
      </c>
      <c r="LM132" s="2">
        <v>2.2584035399999993</v>
      </c>
      <c r="LN132" s="2">
        <v>0.18636467000000001</v>
      </c>
      <c r="LO132" s="2">
        <v>16.162930539999998</v>
      </c>
      <c r="LQ132" s="85">
        <f t="shared" si="528"/>
        <v>4203.4384527000002</v>
      </c>
      <c r="LR132" s="85">
        <f t="shared" si="529"/>
        <v>7.5031928699999995</v>
      </c>
      <c r="LS132" s="85">
        <f t="shared" si="530"/>
        <v>56.719456929999993</v>
      </c>
      <c r="LT132" s="85">
        <f t="shared" si="531"/>
        <v>4.7713070799999997</v>
      </c>
      <c r="LU132" s="85">
        <f t="shared" si="532"/>
        <v>401.51977044</v>
      </c>
      <c r="LV132" s="85">
        <f t="shared" si="533"/>
        <v>0.39128717000000002</v>
      </c>
      <c r="LW132" s="85">
        <f t="shared" si="534"/>
        <v>0.59532569999999996</v>
      </c>
      <c r="LX132" s="85">
        <f t="shared" si="535"/>
        <v>0.92818331999999992</v>
      </c>
      <c r="LZ132" s="83">
        <v>1826.18</v>
      </c>
      <c r="MA132" s="83">
        <v>1719.46</v>
      </c>
      <c r="MB132"/>
      <c r="MC132"/>
      <c r="MD132"/>
      <c r="MF132"/>
      <c r="MG132"/>
      <c r="MH132" s="83">
        <v>4268.7</v>
      </c>
      <c r="MI132" s="83">
        <v>955.88</v>
      </c>
      <c r="MJ132" s="83">
        <v>1270.56</v>
      </c>
      <c r="MK132" s="83">
        <v>3490</v>
      </c>
      <c r="ML132" s="83">
        <v>1002.39</v>
      </c>
      <c r="MM132" s="83">
        <v>2040.75</v>
      </c>
      <c r="MN132" s="83">
        <v>1450</v>
      </c>
      <c r="MO132" s="83">
        <v>1157.44</v>
      </c>
      <c r="MP132" s="83">
        <v>2291.75</v>
      </c>
      <c r="MQ132" s="83">
        <v>4072.72</v>
      </c>
      <c r="MR132" s="83">
        <v>3500</v>
      </c>
      <c r="MS132" s="83">
        <v>3500</v>
      </c>
      <c r="MT132" s="83">
        <v>2500</v>
      </c>
      <c r="MU132" s="83">
        <v>1905.07</v>
      </c>
      <c r="MV132" s="83">
        <v>3990</v>
      </c>
      <c r="MW132"/>
      <c r="MX132"/>
      <c r="MY132" s="83">
        <v>2511.8200000000002</v>
      </c>
      <c r="MZ132" s="83">
        <v>8013</v>
      </c>
      <c r="NA132" s="83">
        <v>4822</v>
      </c>
      <c r="NB132" s="83">
        <v>18617</v>
      </c>
      <c r="NC132" s="83">
        <v>1735.73</v>
      </c>
      <c r="ND132" s="83">
        <v>14990</v>
      </c>
      <c r="NE132" s="83">
        <v>8944</v>
      </c>
    </row>
    <row r="133" spans="1:369" ht="14.4">
      <c r="A133" s="38">
        <f t="shared" si="417"/>
        <v>46113</v>
      </c>
      <c r="B133" s="36">
        <f t="shared" si="536"/>
        <v>4</v>
      </c>
      <c r="C133" s="36">
        <f t="shared" si="537"/>
        <v>2026</v>
      </c>
      <c r="D133" s="36">
        <f t="shared" si="347"/>
        <v>133</v>
      </c>
      <c r="E133" s="38">
        <f t="shared" si="418"/>
        <v>46113</v>
      </c>
      <c r="F133" s="7">
        <v>1381.4522999999999</v>
      </c>
      <c r="G133" s="7">
        <v>11363.090399999999</v>
      </c>
      <c r="H133" s="1">
        <f>[2]NACIONALES!$D121</f>
        <v>1067017.3999999999</v>
      </c>
      <c r="I133" s="7">
        <v>163</v>
      </c>
      <c r="J133" s="7">
        <v>950</v>
      </c>
      <c r="K133" s="7">
        <v>5</v>
      </c>
      <c r="L133" s="7">
        <v>40.1</v>
      </c>
      <c r="N133" s="5">
        <f>AVERAGE(1.34,1.35,1.44,1.45)</f>
        <v>1.3950000000000002</v>
      </c>
      <c r="O133" s="5">
        <f>AVERAGE(1.16,1.19,1.28,1.29)</f>
        <v>1.23</v>
      </c>
      <c r="P133" s="78">
        <f t="shared" si="485"/>
        <v>1722.4983365624998</v>
      </c>
      <c r="Q133" s="6">
        <v>25000</v>
      </c>
      <c r="R133" s="79">
        <f t="shared" si="419"/>
        <v>250000</v>
      </c>
      <c r="S133" s="6">
        <v>205.4</v>
      </c>
      <c r="T133" s="6">
        <f>554538.5/F133</f>
        <v>401.41704494610491</v>
      </c>
      <c r="U133" s="6">
        <v>188.13125000000002</v>
      </c>
      <c r="V133" s="841">
        <v>320.40000000000003</v>
      </c>
      <c r="W133" s="6">
        <v>223</v>
      </c>
      <c r="X133" s="6">
        <v>221.25499999999997</v>
      </c>
      <c r="Y133" s="79">
        <f t="shared" si="420"/>
        <v>283750.30241999996</v>
      </c>
      <c r="Z133" s="79">
        <f t="shared" si="421"/>
        <v>554538.5</v>
      </c>
      <c r="AA133" s="79">
        <f t="shared" si="422"/>
        <v>259894.34801437502</v>
      </c>
      <c r="AB133" s="79">
        <f t="shared" si="423"/>
        <v>442617.31692000001</v>
      </c>
      <c r="AC133" s="79">
        <f t="shared" si="424"/>
        <v>308063.86290000001</v>
      </c>
      <c r="AD133" s="79">
        <f t="shared" si="425"/>
        <v>305653.22863649996</v>
      </c>
      <c r="AE133" s="79">
        <f t="shared" si="426"/>
        <v>359086.25981514581</v>
      </c>
      <c r="AF133" s="83">
        <f>647*F132</f>
        <v>903431.13890000002</v>
      </c>
      <c r="AG133" s="83">
        <v>240000</v>
      </c>
      <c r="AH133" s="83">
        <v>1050000</v>
      </c>
      <c r="AI133" s="5">
        <v>285.66000000000003</v>
      </c>
      <c r="AJ133" s="5">
        <v>265.66000000000003</v>
      </c>
      <c r="AK133" s="5">
        <v>317.05</v>
      </c>
      <c r="AL133" s="5">
        <v>202.74</v>
      </c>
      <c r="AM133" s="78">
        <f t="shared" si="458"/>
        <v>273.12060000000002</v>
      </c>
      <c r="AN133" s="7">
        <v>40917.050691244236</v>
      </c>
      <c r="AO133" s="7">
        <v>22228.666666666668</v>
      </c>
      <c r="AP133" s="78">
        <f t="shared" si="470"/>
        <v>22228.666666666668</v>
      </c>
      <c r="AQ133" s="7">
        <v>17157.024793388431</v>
      </c>
      <c r="AR133" s="7">
        <v>8964.2809523809501</v>
      </c>
      <c r="AS133" s="7">
        <v>19570.047619047618</v>
      </c>
      <c r="AT133" s="7">
        <v>24641.238095238095</v>
      </c>
      <c r="AU133" s="78">
        <f t="shared" si="348"/>
        <v>17725.18888888889</v>
      </c>
      <c r="AV133" s="7">
        <v>9717.460317460318</v>
      </c>
      <c r="AW133" s="7">
        <v>30000</v>
      </c>
      <c r="AX133" s="7">
        <v>12659.666666666666</v>
      </c>
      <c r="AY133" s="7">
        <v>9027.8195488721813</v>
      </c>
      <c r="AZ133" s="7">
        <v>9220.2523809523809</v>
      </c>
      <c r="BA133" s="7">
        <v>5302.3809523809523</v>
      </c>
      <c r="BB133" s="94">
        <f t="shared" si="554"/>
        <v>9559.4207741576156</v>
      </c>
      <c r="BC133" s="68">
        <v>44166</v>
      </c>
      <c r="BD133" s="68">
        <v>39751</v>
      </c>
      <c r="BE133" s="97">
        <v>24400</v>
      </c>
      <c r="BF133" s="97">
        <v>19000</v>
      </c>
      <c r="BG133" s="94">
        <f t="shared" si="349"/>
        <v>31829.25</v>
      </c>
      <c r="BH133" s="7">
        <v>5139.45</v>
      </c>
      <c r="BI133">
        <v>735.97</v>
      </c>
      <c r="BJ133" s="78">
        <f t="shared" si="350"/>
        <v>5875.42</v>
      </c>
      <c r="BK133" s="7">
        <v>4674.8</v>
      </c>
      <c r="BL133" s="7">
        <v>6409.68</v>
      </c>
      <c r="BM133" s="94">
        <f t="shared" si="351"/>
        <v>5542.24</v>
      </c>
      <c r="BN133" s="5">
        <v>498.18</v>
      </c>
      <c r="BO133" s="84">
        <f>AVERAGE(2918.57,2918.57,2918.57,2828,2828)</f>
        <v>2882.3420000000001</v>
      </c>
      <c r="BP133" s="84">
        <f>AVERAGE(1800,1866)</f>
        <v>1833</v>
      </c>
      <c r="BQ133" s="94">
        <f t="shared" si="435"/>
        <v>2357.6710000000003</v>
      </c>
      <c r="BR133" s="7">
        <v>2043.4</v>
      </c>
      <c r="BS133" s="97">
        <v>8500</v>
      </c>
      <c r="BT133" s="97">
        <f>2.11*F133</f>
        <v>2914.8643529999995</v>
      </c>
      <c r="BU133" s="79">
        <f t="shared" si="436"/>
        <v>110744.59305900001</v>
      </c>
      <c r="BV133" s="7">
        <v>2872</v>
      </c>
      <c r="BW133" s="7">
        <v>4092.6</v>
      </c>
      <c r="BY133" s="268">
        <f>BY$10*(1+((H133/H$10-1)*costos!$B$5+((I133*F133)/(I$10*F$10)-1)*costos!$E$5+((J133*F133)/((J$10*F$10)-1)*costos!$F$5/3+((K133*F133)/(K$10*F$10)-1)*costos!$F$5/3+((U133*F133)/(U$10*F$10)-1)*costos!$F$5/3+((L133*F133)/(L$10*F$10)-1)*costos!$G$5+((N133*F133)/(N$10*F$10)-1)*costos!$J$5+((V133*F133)/(V$10*F$10)-1)*costos!$K$5)))</f>
        <v>14083.784191268574</v>
      </c>
      <c r="BZ133" s="268">
        <f>$BZ$10*(1+((H133/$H$10-1)*costos!$B$6+((I133*F133)/($I$10*$F$10)-1)*costos!$E$6+((J133*F133)/(($J$10*$F$10)-1)*costos!$F$6/3+((K133*F133)/($K$10*$F$10)-1)*costos!$F$6/3+((U133*F133)/($U$10*$F$10)-1)*costos!$F$6/3+((L133*F133)/($L$10*$F$10)-1)*costos!$G$6+((Q133*F133)/($Q$10*$F$10)-1)*costos!$J$6+((V133*F133)/($V$10*$F$10)-1)*costos!$K$6)))</f>
        <v>15986.117857140351</v>
      </c>
      <c r="CA133" s="268">
        <f>CA$10*(1+((H133/H$10-1)*costos!$B$7+((I133*F133)/(I$10*F$10)-1)*costos!$E$7+((J133*F133)/((J$10*F$10)-1)*costos!$F$7/3+((K133*F133)/(K$10*F$10)-1)*costos!$F$7/3+((U133*F133)/(U$10*F$10)-1)*costos!$F$7/3+((L133*F133)/(L$10*F$10)-1)*costos!$G$7+((S133*F133)/(S$10*F$10)-1)*costos!$J$7+((V133*F133)/(V$10*F$10)-1)*costos!$K$7)))</f>
        <v>14612.787853099062</v>
      </c>
      <c r="CB133" s="268">
        <f>CB$10*(1+((H133/H$10-1)*costos!$B$8+((I133*F133)/(I$10*F$10)-1)*costos!$E$8+((J133*F133)/((J$10*F$10)-1)*costos!$F$8/3+((K133*F133)/(K$10*F$10)-1)*costos!$F$8/3+((U133*F133)/(U$10*F$10)-1)*costos!$F$8/3+((L133*F133)/(L$10*F$10)-1)*costos!$G$8+((T133*F133)/(T$10*F$10)-1)*costos!$J$8+((V133*F133)/(V$10*F$10)-1)*costos!$K$8)))</f>
        <v>14612.037804888729</v>
      </c>
      <c r="CC133" s="268">
        <f>CC$10*(1+((H133/H$10-1)*costos!$B$9+((I133*F133)/(I$10*F$10)-1)*costos!$E$9+((J133*F133)/((J$10*F$10)-1)*costos!$F$9/3+((K133*F133)/(K$10*F$10)-1)*costos!$F$9/3+((U133*F133)/(U$10*F$10)-1)*costos!$F$9/3+((L133*F133)/(L$10*F$10)-1)*costos!$G$9+((U133*F133)/(U$10*F$10)-1)*costos!$J$9+((V133*F133)/(V$10*F$10)-1)*costos!$K$9)))</f>
        <v>13918.462664563467</v>
      </c>
      <c r="CD133" s="268">
        <f>CD$10*(1+((H133/H$10-1)*costos!$B$11+((I133*F133)/(I$10*F$10)-1)*costos!$E$11+((J133*F133)/((J$10*F$10)-1)*costos!$F$11/3+((K133*F133)/(K$10*F$10)-1)*costos!$F$11/3+((U133*F133)/(U$10*F$10)-1)*costos!$F$11/3+((L133*F133)/(L$10*F$10)-1)*costos!$G$11+((V133*F133)/(V$10*F$10)-1)*costos!$J$11+((V133*F133)/(V$10*F$10)-1)*costos!$K$11)))</f>
        <v>14345.033307803425</v>
      </c>
      <c r="CE133" s="268">
        <f>CE$10*(1+((H133/H$10-1)*costos!$B$12+((I133*F133)/(I$10*F$10)-1)*costos!$E$12+((J133*F133)/((J$10*F$10)-1)*costos!$F$12/3+((K133*F133)/(K$10*F$10)-1)*costos!$F$12/3+((U133*F133)/(U$10*F$10)-1)*costos!$F$12/3+((L133*F133)/(L$10*F$10)-1)*costos!$G$12+((W133*F133)/(W$10*F$10)-1)*costos!$J$12+((V133*F133)/(V$10*F$10)-1)*costos!$K$12)))</f>
        <v>14782.919414208027</v>
      </c>
      <c r="CF133" s="268">
        <f>CF$10*(1+((H133/H$10-1)*costos!$B$13+((I133*F133)/(I$10*F$10)-1)*costos!$E$13+((J133*F133)/((J$10*F$10)-1)*costos!$F$13/3+((K133*F133)/(K$10*F$10)-1)*costos!$F$13/3+((U133*F133)/(U$10*F$10)-1)*costos!$F$13/3+((L133*F133)/(L$10*F$10)-1)*costos!$G$13+((X133*F133)/(X$10*F$10)-1)*costos!$J$13+((V133*F133)/(V$10*F$10)-1)*costos!$K$13)))</f>
        <v>14975.381682776122</v>
      </c>
      <c r="CG133" s="268">
        <f t="shared" si="539"/>
        <v>14541.103787889806</v>
      </c>
      <c r="CH133" s="268">
        <f>CH$10*(1+((H133/H$10-1)*costos!$B$10+((I133*F133)/(I$10*F$10)-1)*costos!$E$10+((J133*F133)/((J$10*F$10)-1)*costos!$F$10/3+((K133*F133)/(K$10*F$10)-1)*costos!$F$10/3+((U133*F133)/(U$10*F$10)-1)*costos!$F$10/3+((L133*F133)/(L$10*F$10)-1)*costos!$G$10+((AF133)/(AF$10)-1)*costos!$J$10+((V133*F133)/(V$10*F$10)-1)*costos!$K$10)))</f>
        <v>14358.609961741113</v>
      </c>
      <c r="CI133" s="268">
        <f>CI$10*(1+((H133/H$10-1)*costos!$B$15+((I133*F133)/(I$10*F$10)-1)*costos!$E$15+((J133*F133)/((J$10*F$10)-1)*costos!$F$15/3+((K133*F133)/(K$10*F$10)-1)*costos!$F$15/3+((U133*F133)/(U$10*F$10)-1)*costos!$F$15/3+((L133*F133)/(L$10*F$10)-1)*costos!$G$15+((AV135)/(AV$10)-1)*costos!$J$15+((V133*F133)/(V$10*F$10)-1)*costos!$K$15)))</f>
        <v>16236.921402684478</v>
      </c>
      <c r="CJ133" s="268">
        <f>CJ$10*(1+((H133/H$10-1)*costos!$B$16+((I133*F133)/(I$10*F$10)-1)*costos!$E$16+((J133*F133)/((J$10*F$10)-1)*costos!$F$16/3+((K133*F133)/(K$10*F$10)-1)*costos!$F$16/3+((U133*F133)/(U$10*F$10)-1)*costos!$F$16/3+((L133*F133)/(L$10*F$10)-1)*costos!$G$16+((AW134)/(AW$10)-1)*costos!$J$16+((V133*F133)/(V$10*F$10)-1)*costos!$K$16)))</f>
        <v>14735.671843844028</v>
      </c>
      <c r="CK133" s="268">
        <f>CK$10*(1+((H133/H$10-1)*costos!$B$17+((I133*F133)/(I$10*F$10)-1)*costos!$E$17+((J133*F133)/((J$10*F$10)-1)*costos!$F$17/3+((K133*F133)/(K$10*F$10)-1)*costos!$F$17/3+((U133*F133)/(U$10*F$10)-1)*costos!$F$17/3+((L133*F133)/(L$10*F$10)-1)*costos!$G$17+((AX134)/(AX$10)-1)*costos!$J$17+((V133*F133)/(V$10*F$10)-1)*costos!$K$17)))</f>
        <v>15418.386987022355</v>
      </c>
      <c r="CL133" s="268">
        <f>CL$10*(1+((H133/H$10-1)*costos!$B$18+((I133*F133)/(I$10*F$10)-1)*costos!$E$18+((J133*F133)/((J$10*F$10)-1)*costos!$F$18/3+((K133*F133)/(K$10*F$10)-1)*costos!$F$18/3+((U133*F133)/(U$10*F$10)-1)*costos!$F$18/3+((L133*F133)/(L$10*F$10)-1)*costos!$G$18+((AY134)/(AY$10)-1)*costos!$J$18+((V133*F133)/(V$10*F$10)-1)*costos!$K$18)))</f>
        <v>17192.451795713372</v>
      </c>
      <c r="CM133" s="268">
        <f>CM$10*(1+((H133/H$10-1)*costos!$B$19+((I133*F133)/(I$10*F$10)-1)*costos!$E$19+((J133*F133)/((J$10*F$10)-1)*costos!$F$19/3+((K133*F133)/(K$10*F$10)-1)*costos!$F$19/3+((U133*F133)/(U$10*F$10)-1)*costos!$F$19/3+((L133*F133)/(L$10*F$10)-1)*costos!$G$19+((AZ134)/(AZ$10)-1)*costos!$J$19+((V133*F133)/(V$10*F$10)-1)*costos!$K$19)))</f>
        <v>14325.745921834556</v>
      </c>
      <c r="CN133" s="268">
        <f>CN$10*(1+((H133/H$10-1)*costos!$B$20+((I133*F133)/(I$10*F$10)-1)*costos!$E$20+((J133*F133)/((J$10*F$10)-1)*costos!$F$20/3+((K133*F133)/(K$10*F$10)-1)*costos!$F$20/3+((U133*F133)/(U$10*F$10)-1)*costos!$F$20/3+((L133*F133)/(L$10*F$10)-1)*costos!$G$20+((BA134)/(BA$10)-1)*costos!$J$20+((V133*F133)/(V$10*F$10)-1)*costos!$K$20)))</f>
        <v>12976.505872861535</v>
      </c>
      <c r="CO133" s="268">
        <f t="shared" si="540"/>
        <v>14978.272644357954</v>
      </c>
      <c r="CP133" s="268">
        <f>CP$10*(1+((H133/H$10-1)*costos!$B$22+((I133*F133)/(I$10*F$10)-1)*costos!$E$22+((J133*F133)/((J$10*F$10)-1)*costos!$F$22/3+((K133*F133)/(K$10*F$10)-1)*costos!$F$22/3+((U133*F133)/(U$10*F$10)-1)*costos!$F$22/3+((L133*F133)/(L$10*F$10)-1)*costos!$G$22+(((AVERAGE(AI133:AL133))/((AVERAGE(AI$10:AL$10))-1)*costos!$J$22+((V133*F133)/(V$10*F$10)-1)*costos!$K$22)))))</f>
        <v>15644.888814230122</v>
      </c>
      <c r="CQ133" s="92">
        <f>CQ$10*(1+((H133/H$10-1)*costos!$B$23+((I133*F133)/(I$10*F$10)-1)*costos!$E$23+((J133*F133)/((J$10*F$10)-1)*costos!$F$23/3+((K133*F133)/(K$10*F$10)-1)*costos!$F$23/3+((U133*F133)/(U$10*F$10)-1)*costos!$F$23/3+((L133*F133)/(L$10*F$10)-1)*costos!$G$23+((AN133)/(AN$10)-1)*costos!$J$23+((V133*F133)/(V$10*F$10)-1)*costos!$K$23)))</f>
        <v>14510.966727792515</v>
      </c>
      <c r="CR133" s="268">
        <f>CR$10*(1+((H133/H$10-1)*costos!$B$24+((I133*F133)/(I$10*F$10)-1)*costos!$E$24+((J133*F133)/((J$10*F$10)-1)*costos!$F$24/3+((K133*F133)/(K$10*F$10)-1)*costos!$F$24/3+((U133*F133)/(U$10*F$10)-1)*costos!$F$24/3+((L133*F133)/(L$10*F$10)-1)*costos!$G$24+((AO134)/(AO$10)-1)*costos!$J$24+((V133*F133)/(V$10*F$10)-1)*costos!$K$24)))</f>
        <v>14404.2599490336</v>
      </c>
      <c r="CS133" s="92">
        <f t="shared" si="352"/>
        <v>14457.613338413057</v>
      </c>
      <c r="CT133" s="268">
        <f>CT$10*(1+((H133/H$10-1)*costos!$B$25+((I133*F133)/(I$10*F$10)-1)*costos!$E$25+((J133*F133)/((J$10*F$10)-1)*costos!$F$25/3+((K133*F133)/(K$10*F$10)-1)*costos!$F$25/3+((U133*F133)/(U$10*F$10)-1)*costos!$F$25/3+((L133*F133)/(L$10*F$10)-1)*costos!$G$25+((AQ134)/(AQ$10)-1)*costos!$J$25+((V133*F133)/(V$10*F$10)-1)*costos!$K$25)))</f>
        <v>13719.316660250444</v>
      </c>
      <c r="CU133" s="268">
        <f>CU$10*(1+((H133/H$10-1)*costos!$B$26+((I133*F133)/(I$10*F$10)-1)*costos!$E$26+((J133*F133)/((J$10*F$10)-1)*costos!$F$26/3+((K133*F133)/(K$10*F$10)-1)*costos!$F$26/3+((U133*F133)/(U$10*F$10)-1)*costos!$F$26/3+((L133*F133)/(L$10*F$10)-1)*costos!$G$26+((AR134)/(AR$10)-1)*costos!$J$26+((V133*F133)/(V$10*F$10)-1)*costos!$K$26)))</f>
        <v>14102.64976723218</v>
      </c>
      <c r="CV133" s="268">
        <f>CV$10*(1+((H133/H$10-1)*costos!$B$27+((I133*F133)/(I$10*F$10)-1)*costos!$E$27+((J133*F133)/((J$10*F$10)-1)*costos!$F$27/3+((K133*F133)/(K$10*F$10)-1)*costos!$F$27/3+((U133*F133)/(U$10*F$10)-1)*costos!$F$27/3+((L133*F133)/(L$10*F$10)-1)*costos!$G$27+((AS134)/(AS$10)-1)*costos!$J$27+((V133*F133)/(V$10*F$10)-1)*costos!$K$27)))</f>
        <v>14330.49151474907</v>
      </c>
      <c r="CW133" s="268">
        <f>CW$10*(1+((H133/H$10-1)*costos!$B$28+((I133*F133)/(I$10*F$10)-1)*costos!$E$28+((J133*F133)/((J$10*F$10)-1)*costos!$F$28/3+((K133*F133)/(K$10*F$10)-1)*costos!$F$28/3+((U133*F133)/(U$10*F$10)-1)*costos!$F$28/3+((L133*F133)/(L$10*F$10)-1)*costos!$G$28+((AS134)/(AS$10)-1)*costos!$J$28+((V133*F133)/(V$10*F$10)-1)*costos!$K$28)))</f>
        <v>14330.49151474907</v>
      </c>
      <c r="CX133" s="268">
        <f t="shared" si="541"/>
        <v>14254.544265576775</v>
      </c>
      <c r="CY133" s="268">
        <f>CY$10*(1+((H133/H$10-1)*costos!$B$32+((I133*F133)/(I$10*F$10)-1)*costos!$E$32+((J133*F133)/((J$10*F$10)-1)*costos!$F$32/3+((K133*F133)/(K$10*F$10)-1)*costos!$F$32/3+((U133*F133)/(U$10*F$10)-1)*costos!$F$32/3+((L133*F133)/(L$10*F$10)-1)*costos!$G$32+((AG133)/(AG$10)-1)*costos!$J$32+((V133*F133)/(V$10*F$10)-1)*costos!$K$32)))</f>
        <v>13638.46062913666</v>
      </c>
      <c r="CZ133" s="69">
        <f>CZ$10*(1+((H133/H$10-1)*costos!$B$31+((I133*F133)/(I$10*F$10)-1)*costos!$E$30+((J133*F133)/((J$10*F$10)-1)*costos!$F$30/3+((K133*F133)/(K$10*F$10)-1)*costos!$F$30/3+((U133*F133)/(U$10*F$10)-1)*costos!$F$30/3+((L133*F133)/(L$10*F$10)-1)*costos!$G$30+((BG133)/(BG$10)-1)*costos!$J$30+((V133*F133)/(V$10*F$10)-1)*costos!$K$30)))</f>
        <v>18603.755393190579</v>
      </c>
      <c r="DA133" s="69">
        <f>DA$10*(1+((H133/H$10-1)*costos!$B$31+((I133*F133)/(I$10*F$10)-1)*costos!$E$31+((J133*F133)/((J$10*F$10)-1)*costos!$F$31/3+((K133*F133)/(K$10*F$10)-1)*costos!$F$31/3+((U133*F133)/(U$10*F$10)-1)*costos!$F$31/3+((L133*F133)/(L$10*F$10)-1)*costos!$G$31+((BJ133)/(BJ$10)-1)*costos!$J$31+((V133*F133)/(V$10*F$10)-1)*costos!$K$31)))</f>
        <v>14703.566400221947</v>
      </c>
      <c r="DB133" s="69">
        <f>DB$10*(1+((H133/H$10-1)*costos!$B$36+((I133*F133)/(I$10*F$10)-1)*costos!$E$36+((J133*F133)/((J$10*F$10)-1)*costos!$F$36/3+((K133*F133)/(K$10*F$10)-1)*costos!$F$36/3+((U133*F133)/(U$10*F$10)-1)*costos!$F$36/3+((L133*F133)/(L$10*F$10)-1)*costos!$G$36+((BK133)/(BK$10)-1)*costos!$J$36+((V133*F133)/(V$10*F$10)-1)*costos!$K$36)))</f>
        <v>15563.343375250664</v>
      </c>
      <c r="DC133" s="69">
        <f>DC$10*(1+((H133/H$10-1)*costos!$B$37+((I133*F133)/(I$10*F$10)-1)*costos!$E$37+((U133*F133)/(U$10*F$10)-1)*costos!$F$37+((L133*F133)/(L$10*F$10)-1)*costos!$G$37+((BN133)/(BN$10)-1)*costos!$J$37+((V133*F133)/(V$10*F$10)-1)*costos!$K$37))</f>
        <v>13920.993741206092</v>
      </c>
      <c r="DD133" s="69">
        <f>DD$10*(1+((H133/H$10-1)*costos!$B$39+((I133*F133)/(I$10*F$10)-1)*costos!$E$39+((U133*F133)/(U$10*F$10)-1)*costos!$F$39+((L133*F133)/(L$10*F$10)-1)*costos!$G$39+((BR133)/(BR$10)-1)*costos!$J$39+((V133*F133)/(V$10*F$10)-1)*costos!$K$39))</f>
        <v>13514.983293441663</v>
      </c>
      <c r="DE133" s="69">
        <f>DD$10*(1+((H133/H$10-1)*costos!$B$35+((I133*F133)/(I$10*F$10)-1)*costos!$E$35+((U133*F133)/(U$10*F$10)-1)*costos!$F$35+((L133*F133)/(L$10*F$10)-1)*costos!$G$35+((BR133)/(BR$10)-1)*costos!$J$35+((V133*F133)/(V$10*F$10)-1)*costos!$K$35))</f>
        <v>11428.857545721872</v>
      </c>
      <c r="DF133" s="69">
        <f>DF$10*(1+((H133/H$10-1)*costos!$B$40+((I133*F133)/(I$10*F$10)-1)*costos!$E$40+((U133*F133)/(U$10*F$10)-1)*costos!$F$40+((L133*F133)/(L$10*F$10)-1)*costos!$G$40+((BP133)/(BP$10)-1)*costos!$J$40+((V133*F133)/(V$10*F$10)-1)*costos!$K$40))</f>
        <v>13304.558570303379</v>
      </c>
      <c r="DG133" s="268">
        <f t="shared" si="542"/>
        <v>12366.708058012626</v>
      </c>
      <c r="DH133" s="69">
        <f>DH$10*(1+((H133/H$10-1)*costos!$B$34+((I133*F133)/(I$10*F$10)-1)*costos!$E$34+((J133*F133)/((J$10*F$10)-1)*costos!$F$34/3+((K133*F133)/(K$10*F$10)-1)*costos!$F$34/3+((U133*F133)/(U$10*F$10)-1)*costos!$F$34/3+((L133*F133)/(L$10*F$10)-1)*costos!$G$34+((BV133)/(BV$10)-1)*costos!$J$34+((V133*F133)/(V$10*F$10)-1)*costos!$K$34)))</f>
        <v>14577.218162322135</v>
      </c>
      <c r="DI133" s="69">
        <f>DI$10*(1+((H133/H$10-1)*costos!$B$38+((I133*F133)/(I$10*F$10)-1)*costos!$E$38+((J133*F133)/((J$10*F$10)-1)*costos!$F$38/3+((K133*F133)/(K$10*F$10)-1)*costos!$F$38/3+((U133*F133)/(U$10*F$10)-1)*costos!$F$38/3+((L133*F133)/(L$10*F$10)-1)*costos!$G$38+((BU133)/(BU$10)-1)*costos!$J$38+((V133*F133)/(V$10*F$10)-1)*costos!$K$38)))</f>
        <v>14334.902849449974</v>
      </c>
      <c r="DK133" s="1">
        <v>390000</v>
      </c>
      <c r="DL133" s="1" t="s">
        <v>663</v>
      </c>
      <c r="DM133" s="1">
        <v>200000</v>
      </c>
      <c r="DN133" s="1" t="s">
        <v>663</v>
      </c>
      <c r="DO133" s="1">
        <v>1330000</v>
      </c>
      <c r="DP133" s="1" t="s">
        <v>663</v>
      </c>
      <c r="DQ133" s="1">
        <v>3100000</v>
      </c>
      <c r="DR133" s="1" t="s">
        <v>663</v>
      </c>
      <c r="DS133" s="1">
        <v>8400000</v>
      </c>
      <c r="DT133" s="1" t="s">
        <v>663</v>
      </c>
      <c r="DU133" s="1">
        <v>16500000</v>
      </c>
      <c r="DV133" s="1" t="s">
        <v>663</v>
      </c>
      <c r="DW133" s="1">
        <v>810000</v>
      </c>
      <c r="DX133" s="1" t="s">
        <v>663</v>
      </c>
      <c r="DY133" s="1">
        <v>6970000</v>
      </c>
      <c r="DZ133" s="1" t="s">
        <v>663</v>
      </c>
      <c r="EA133" s="79">
        <f t="shared" si="353"/>
        <v>37110000</v>
      </c>
      <c r="EB133" s="1">
        <v>381590</v>
      </c>
      <c r="EC133" s="1" t="s">
        <v>663</v>
      </c>
      <c r="ED133" s="82">
        <v>231352</v>
      </c>
      <c r="EE133" s="144">
        <v>2025</v>
      </c>
      <c r="EF133" s="82">
        <v>196220</v>
      </c>
      <c r="EG133" s="144">
        <v>2025</v>
      </c>
      <c r="EH133" s="83">
        <v>50920790</v>
      </c>
      <c r="EI133" s="143">
        <v>2026</v>
      </c>
      <c r="EJ133" s="83">
        <v>5387190</v>
      </c>
      <c r="EK133" s="143">
        <v>2026</v>
      </c>
      <c r="EL133" s="1">
        <v>11482381</v>
      </c>
      <c r="EM133" s="6">
        <v>2026</v>
      </c>
      <c r="EN133" s="1">
        <v>2995493</v>
      </c>
      <c r="EO133" s="6">
        <v>2026</v>
      </c>
      <c r="EP133" s="83">
        <v>9492</v>
      </c>
      <c r="EQ133" s="83">
        <v>4000000</v>
      </c>
      <c r="ER133" s="82">
        <f t="shared" si="543"/>
        <v>79911</v>
      </c>
      <c r="ET133" s="82">
        <f t="shared" si="514"/>
        <v>19357</v>
      </c>
      <c r="EU133" s="82">
        <f t="shared" si="514"/>
        <v>18703</v>
      </c>
      <c r="EV133" s="82">
        <f t="shared" si="514"/>
        <v>8927</v>
      </c>
      <c r="EW133" s="82">
        <f t="shared" si="514"/>
        <v>17408</v>
      </c>
      <c r="EX133" s="79">
        <f t="shared" ref="EX133" si="562">+SUM(ET133:EW133)</f>
        <v>64395</v>
      </c>
      <c r="EY133" s="82">
        <f t="shared" si="516"/>
        <v>20031</v>
      </c>
      <c r="EZ133" s="83">
        <f t="shared" si="516"/>
        <v>33722</v>
      </c>
      <c r="FA133" s="82">
        <f t="shared" si="516"/>
        <v>19900</v>
      </c>
      <c r="FB133" s="82">
        <f t="shared" si="516"/>
        <v>18184</v>
      </c>
      <c r="FC133" s="79">
        <f t="shared" ref="FC133" si="563">+FB133+FA133</f>
        <v>38084</v>
      </c>
      <c r="FD133" s="82">
        <f t="shared" si="518"/>
        <v>60376</v>
      </c>
      <c r="FF133" s="1">
        <v>795000</v>
      </c>
      <c r="FG133" s="1" t="s">
        <v>663</v>
      </c>
      <c r="FH133" s="1">
        <v>1400000</v>
      </c>
      <c r="FI133" s="1" t="s">
        <v>663</v>
      </c>
      <c r="FJ133" s="1">
        <v>5400004</v>
      </c>
      <c r="FK133" s="1" t="s">
        <v>909</v>
      </c>
      <c r="FL133" s="1">
        <v>6600000</v>
      </c>
      <c r="FM133" s="1" t="s">
        <v>663</v>
      </c>
      <c r="FN133" s="1">
        <v>64000000</v>
      </c>
      <c r="FO133" s="1" t="s">
        <v>663</v>
      </c>
      <c r="FP133" s="1">
        <v>50100000</v>
      </c>
      <c r="FQ133" s="1" t="s">
        <v>663</v>
      </c>
      <c r="FR133" s="1">
        <v>2900000</v>
      </c>
      <c r="FS133" s="1" t="s">
        <v>663</v>
      </c>
      <c r="FT133" s="82">
        <v>27800000</v>
      </c>
      <c r="FU133" s="1" t="s">
        <v>663</v>
      </c>
      <c r="FV133" s="79">
        <f t="shared" si="355"/>
        <v>156800004</v>
      </c>
      <c r="FW133" s="83">
        <v>1311996</v>
      </c>
      <c r="FX133" s="1" t="s">
        <v>663</v>
      </c>
      <c r="FY133" s="1">
        <v>71545</v>
      </c>
      <c r="FZ133" s="79">
        <f t="shared" ref="FZ133:FZ141" si="564">+SUM(FY122:FY133)</f>
        <v>866116.76</v>
      </c>
      <c r="GA133" s="86" t="str">
        <f t="shared" si="462"/>
        <v>may25 abr26</v>
      </c>
      <c r="GB133" s="1">
        <v>18391299</v>
      </c>
      <c r="GC133" s="6">
        <v>2026</v>
      </c>
      <c r="GD133" s="82">
        <f t="shared" si="546"/>
        <v>2213559</v>
      </c>
      <c r="GE133" s="82">
        <f t="shared" si="547"/>
        <v>410324</v>
      </c>
      <c r="GF133" s="82">
        <f t="shared" si="548"/>
        <v>1003144</v>
      </c>
      <c r="GG133" s="82">
        <f t="shared" si="549"/>
        <v>129694</v>
      </c>
      <c r="GH133" s="79">
        <f t="shared" ref="GH133" si="565">GE133+GF133+GG133</f>
        <v>1543162</v>
      </c>
      <c r="GI133" s="82">
        <f t="shared" si="520"/>
        <v>1302556</v>
      </c>
      <c r="GJ133" s="82">
        <f t="shared" si="520"/>
        <v>682423</v>
      </c>
      <c r="GK133" s="82">
        <f t="shared" si="520"/>
        <v>1391495</v>
      </c>
      <c r="GL133" s="82">
        <f t="shared" si="520"/>
        <v>305049</v>
      </c>
      <c r="GM133" s="82">
        <f t="shared" si="520"/>
        <v>260419</v>
      </c>
      <c r="GN133" s="79">
        <f t="shared" si="558"/>
        <v>2639386</v>
      </c>
      <c r="GO133" s="82">
        <f t="shared" si="521"/>
        <v>201734</v>
      </c>
      <c r="GP133" s="82">
        <f t="shared" si="521"/>
        <v>75000</v>
      </c>
      <c r="GQ133" s="1">
        <v>93354</v>
      </c>
      <c r="GR133" s="83">
        <v>31107</v>
      </c>
      <c r="GS133" s="79">
        <f t="shared" si="559"/>
        <v>33907.620000000003</v>
      </c>
      <c r="GT133" s="82">
        <f t="shared" si="496"/>
        <v>2111561</v>
      </c>
      <c r="GU133" s="83">
        <f>40668+11828</f>
        <v>52496</v>
      </c>
      <c r="GV133" s="83">
        <f>5146+18973</f>
        <v>24119</v>
      </c>
      <c r="GW133" s="79">
        <f t="shared" si="522"/>
        <v>754235</v>
      </c>
      <c r="GX133" s="82">
        <v>36041.686000000002</v>
      </c>
      <c r="GY133" s="82" t="s">
        <v>802</v>
      </c>
      <c r="GZ133" s="82">
        <v>119643</v>
      </c>
      <c r="HA133" s="1">
        <v>226053</v>
      </c>
      <c r="HB133" s="79">
        <f t="shared" si="523"/>
        <v>3062453</v>
      </c>
      <c r="HC133" s="86" t="str">
        <f t="shared" si="465"/>
        <v>may25 abr26</v>
      </c>
      <c r="HD133" s="1">
        <v>73227</v>
      </c>
      <c r="HE133" s="79">
        <f t="shared" si="560"/>
        <v>845652</v>
      </c>
      <c r="HF133" s="86" t="str">
        <f t="shared" si="466"/>
        <v>may25 abr26</v>
      </c>
      <c r="HG133" s="83">
        <v>179000</v>
      </c>
      <c r="HH133" s="79">
        <f t="shared" si="490"/>
        <v>2290000</v>
      </c>
      <c r="HI133" s="86" t="str">
        <f t="shared" si="467"/>
        <v>may25 abr26</v>
      </c>
      <c r="HJ133" s="1">
        <v>84972</v>
      </c>
      <c r="HK133" s="79">
        <f t="shared" si="524"/>
        <v>67139.64</v>
      </c>
      <c r="HL133" s="86" t="str">
        <f t="shared" si="468"/>
        <v>may25 abr26</v>
      </c>
      <c r="HM133" s="79">
        <f t="shared" si="358"/>
        <v>2357139.64</v>
      </c>
      <c r="HN133" s="87">
        <f t="shared" si="497"/>
        <v>5.1235497982635714E-3</v>
      </c>
      <c r="HO133" s="1">
        <v>827262492</v>
      </c>
      <c r="HP133" s="79">
        <f t="shared" si="525"/>
        <v>11850.117086930679</v>
      </c>
      <c r="HQ133" s="86" t="str">
        <f t="shared" si="469"/>
        <v>may25 abr26</v>
      </c>
      <c r="HU133" s="1">
        <v>950000</v>
      </c>
      <c r="HV133" s="1" t="s">
        <v>663</v>
      </c>
      <c r="HW133" s="1">
        <v>1600000</v>
      </c>
      <c r="HX133" s="1" t="s">
        <v>663</v>
      </c>
      <c r="HY133" s="83">
        <v>6000000</v>
      </c>
      <c r="HZ133" s="1" t="s">
        <v>663</v>
      </c>
      <c r="IA133" s="1">
        <f>(3.3+18)*1000000</f>
        <v>21300000</v>
      </c>
      <c r="IB133" s="1" t="s">
        <v>663</v>
      </c>
      <c r="IC133" s="1">
        <v>48500000</v>
      </c>
      <c r="ID133" s="1" t="s">
        <v>512</v>
      </c>
      <c r="IE133" s="1">
        <f>(0.3+1.2)*1000000</f>
        <v>1500000</v>
      </c>
      <c r="IF133" s="1" t="s">
        <v>512</v>
      </c>
      <c r="IG133" s="1">
        <f>(7.2+1.2)*1000000</f>
        <v>8400000</v>
      </c>
      <c r="IH133" s="1" t="s">
        <v>663</v>
      </c>
      <c r="II133" s="79">
        <f t="shared" si="479"/>
        <v>87300000</v>
      </c>
      <c r="IJ133" s="97">
        <f t="shared" si="552"/>
        <v>2.2719760013883494</v>
      </c>
      <c r="IK133" s="1" t="s">
        <v>663</v>
      </c>
      <c r="IL133" s="97">
        <v>47.02</v>
      </c>
      <c r="IM133" s="7">
        <v>47.94</v>
      </c>
      <c r="IN133" s="97">
        <v>196.9</v>
      </c>
      <c r="IO133" s="7">
        <v>19.53</v>
      </c>
      <c r="IP133" s="97">
        <f>(24638740*12)/IP$2</f>
        <v>6.3629428462816202</v>
      </c>
      <c r="IQ133" s="176">
        <f>(1.21*12)</f>
        <v>14.52</v>
      </c>
      <c r="IR133" s="269">
        <f t="shared" si="526"/>
        <v>6.17</v>
      </c>
      <c r="IS133" s="269">
        <f t="shared" si="526"/>
        <v>5.03</v>
      </c>
      <c r="IT133" s="269">
        <f t="shared" si="526"/>
        <v>11</v>
      </c>
      <c r="IU133" s="269">
        <f t="shared" si="526"/>
        <v>1.1000000000000001</v>
      </c>
      <c r="IV133" s="94">
        <f t="shared" si="561"/>
        <v>17.130000000000003</v>
      </c>
      <c r="IY133" s="80">
        <v>1.88</v>
      </c>
      <c r="IZ133" s="88">
        <v>0.3</v>
      </c>
      <c r="JA133" s="82">
        <v>3555</v>
      </c>
      <c r="JB133" s="95">
        <f t="shared" si="433"/>
        <v>35.950000000000003</v>
      </c>
      <c r="JF133" s="171">
        <v>12.094188589999995</v>
      </c>
      <c r="JG133" s="171">
        <v>63.44953374</v>
      </c>
      <c r="JH133" s="171">
        <v>87.822151730000002</v>
      </c>
      <c r="JI133" s="171">
        <v>389.51761714000003</v>
      </c>
      <c r="JJ133" s="171">
        <v>1170.1952704599998</v>
      </c>
      <c r="JK133" s="171">
        <v>100.29180120999997</v>
      </c>
      <c r="JL133" s="171">
        <v>2024.3919844999998</v>
      </c>
      <c r="JM133" s="171">
        <v>18.046057000000001</v>
      </c>
      <c r="JN133" s="171">
        <v>374.09148374999995</v>
      </c>
      <c r="JO133" s="171">
        <v>34.584187569999997</v>
      </c>
      <c r="JP133" s="171">
        <v>0</v>
      </c>
      <c r="JQ133" s="171">
        <v>10.010579249999999</v>
      </c>
      <c r="JR133" s="171">
        <v>1.2368303300000001</v>
      </c>
      <c r="JS133" s="171">
        <v>0</v>
      </c>
      <c r="JT133" s="171">
        <v>0.41961826000000002</v>
      </c>
      <c r="JU133" s="171">
        <v>77.857583390000002</v>
      </c>
      <c r="JV133" s="171">
        <v>11.042345079999999</v>
      </c>
      <c r="JW133" s="171">
        <v>40.017775420000007</v>
      </c>
      <c r="JX133" s="171">
        <v>37.259813820000005</v>
      </c>
      <c r="JY133" s="171">
        <v>0</v>
      </c>
      <c r="JZ133" s="171">
        <v>4.84808518</v>
      </c>
      <c r="KA133" s="171">
        <v>0.26249999999999996</v>
      </c>
      <c r="KB133" s="171">
        <v>18.593073950000004</v>
      </c>
      <c r="KC133" s="171">
        <v>37.459973120000001</v>
      </c>
      <c r="KD133" s="171">
        <v>6.8683825000000009</v>
      </c>
      <c r="KE133" s="171">
        <v>42.320391119999996</v>
      </c>
      <c r="KF133" s="171">
        <v>8.5791291300000001</v>
      </c>
      <c r="KG133" s="171">
        <v>424.30922868999994</v>
      </c>
      <c r="KH133" s="171">
        <v>134.67876954000002</v>
      </c>
      <c r="KI133" s="171">
        <v>37.632095870000001</v>
      </c>
      <c r="KJ133" s="171">
        <v>3.3258325500000003</v>
      </c>
      <c r="KK133" s="171">
        <v>6.0731055099999995</v>
      </c>
      <c r="KL133" s="171">
        <v>0.16027804000000001</v>
      </c>
      <c r="KM133" s="171">
        <v>1.1713477600000002</v>
      </c>
      <c r="KN133" s="171">
        <v>11.341059719999999</v>
      </c>
      <c r="KO133" s="171">
        <v>2.44398984</v>
      </c>
      <c r="KP133" s="171">
        <v>1.1297919999999999E-2</v>
      </c>
      <c r="KQ133" s="171">
        <v>414.85043602000002</v>
      </c>
      <c r="KR133" s="171">
        <v>0</v>
      </c>
      <c r="KS133" s="171">
        <v>0.94296634000000001</v>
      </c>
      <c r="KT133" s="171">
        <v>1.7409876799999999</v>
      </c>
      <c r="KU133" s="171">
        <v>0.95051858999999994</v>
      </c>
      <c r="KV133" s="171">
        <v>0.10097299999999999</v>
      </c>
      <c r="KW133" s="171">
        <v>0.47610129000000001</v>
      </c>
      <c r="KX133" s="171">
        <v>0</v>
      </c>
      <c r="KY133" s="171">
        <v>0</v>
      </c>
      <c r="KZ133" s="171">
        <v>4.4863890000000008</v>
      </c>
      <c r="LA133" s="171">
        <v>1.4265586299999999</v>
      </c>
      <c r="LB133" s="171">
        <v>2.3959999999999999E-2</v>
      </c>
      <c r="LC133" s="171">
        <v>0.11303278</v>
      </c>
      <c r="LD133" s="171">
        <v>0</v>
      </c>
      <c r="LE133" s="171">
        <v>0.33546076000000002</v>
      </c>
      <c r="LF133" s="171">
        <v>2.2308000000000001E-2</v>
      </c>
      <c r="LG133" s="171">
        <v>15.17794868</v>
      </c>
      <c r="LH133" s="171">
        <v>5.1064074300000009</v>
      </c>
      <c r="LI133" s="171">
        <v>1.8068878900000003</v>
      </c>
      <c r="LJ133" s="171">
        <v>3.6741E-3</v>
      </c>
      <c r="LK133" s="171">
        <v>3.2517762100000001</v>
      </c>
      <c r="LL133" s="171">
        <v>16.804039660000001</v>
      </c>
      <c r="LM133" s="171">
        <v>2.6208630999999998</v>
      </c>
      <c r="LN133" s="171">
        <v>0.15590026000000001</v>
      </c>
      <c r="LO133" s="171">
        <v>18.533270270000003</v>
      </c>
      <c r="LQ133" s="85">
        <f t="shared" si="528"/>
        <v>4064.0645645799996</v>
      </c>
      <c r="LR133" s="85">
        <f t="shared" si="529"/>
        <v>11.667027839999999</v>
      </c>
      <c r="LS133" s="85">
        <f t="shared" si="530"/>
        <v>51.060120500000004</v>
      </c>
      <c r="LT133" s="85">
        <f t="shared" si="531"/>
        <v>5.1105851800000002</v>
      </c>
      <c r="LU133" s="85">
        <f t="shared" si="532"/>
        <v>430.74979968000002</v>
      </c>
      <c r="LV133" s="85">
        <f t="shared" si="533"/>
        <v>0.57707428999999999</v>
      </c>
      <c r="LW133" s="85">
        <f t="shared" si="534"/>
        <v>1.4505186299999999</v>
      </c>
      <c r="LX133" s="85">
        <f t="shared" si="535"/>
        <v>0.35776876000000002</v>
      </c>
      <c r="LZ133" s="83">
        <v>1792.78</v>
      </c>
      <c r="MA133" s="83">
        <v>1713.73</v>
      </c>
      <c r="MB133"/>
      <c r="MC133"/>
      <c r="MD133"/>
      <c r="MF133"/>
      <c r="MG133"/>
      <c r="MH133" s="83">
        <v>4383.37</v>
      </c>
      <c r="MI133" s="83">
        <v>969.13</v>
      </c>
      <c r="MJ133" s="83">
        <v>1305.47</v>
      </c>
      <c r="MK133" s="83">
        <v>3790</v>
      </c>
      <c r="ML133" s="83">
        <v>1131.3599999999999</v>
      </c>
      <c r="MM133" s="83">
        <v>1704.85</v>
      </c>
      <c r="MN133" s="83">
        <v>1499</v>
      </c>
      <c r="MO133" s="83">
        <v>1167.54</v>
      </c>
      <c r="MP133" s="83">
        <v>2285.5500000000002</v>
      </c>
      <c r="MQ133" s="83">
        <v>3970.94</v>
      </c>
      <c r="MR133" s="83">
        <v>2490</v>
      </c>
      <c r="MS133" s="83">
        <v>2000</v>
      </c>
      <c r="MT133" s="83">
        <v>1000</v>
      </c>
      <c r="MU133" s="83">
        <v>2086.35</v>
      </c>
      <c r="MV133" s="83">
        <v>3000</v>
      </c>
      <c r="MW133"/>
      <c r="MX133"/>
      <c r="MY133" s="83">
        <v>2568.0300000000002</v>
      </c>
      <c r="MZ133" s="83">
        <v>8119</v>
      </c>
      <c r="NA133" s="83">
        <v>4936</v>
      </c>
      <c r="NB133" s="83">
        <v>18091</v>
      </c>
      <c r="NC133" s="83">
        <v>1819.68</v>
      </c>
      <c r="ND133" s="83">
        <v>14990</v>
      </c>
      <c r="NE133" s="83">
        <v>8903</v>
      </c>
    </row>
    <row r="134" spans="1:369">
      <c r="A134" s="38">
        <f t="shared" si="417"/>
        <v>46143</v>
      </c>
      <c r="B134" s="36">
        <f t="shared" si="536"/>
        <v>5</v>
      </c>
      <c r="C134" s="36">
        <f t="shared" si="537"/>
        <v>2026</v>
      </c>
      <c r="D134" s="36">
        <f t="shared" si="347"/>
        <v>134</v>
      </c>
      <c r="E134" s="38">
        <f t="shared" si="418"/>
        <v>46143</v>
      </c>
      <c r="F134" s="7">
        <v>1397.2372</v>
      </c>
      <c r="G134" s="7">
        <v>11607.393700000001</v>
      </c>
      <c r="H134" s="1">
        <f>[2]NACIONALES!$D122</f>
        <v>1093693.6100000001</v>
      </c>
      <c r="I134" s="7">
        <v>164</v>
      </c>
      <c r="J134" s="7">
        <v>810</v>
      </c>
      <c r="K134" s="7">
        <v>5.4</v>
      </c>
      <c r="L134" s="7">
        <v>39.6</v>
      </c>
      <c r="N134" s="5">
        <f>AVERAGE(1.53,1.55,1.57,1.56)</f>
        <v>1.5525000000000002</v>
      </c>
      <c r="O134" s="5">
        <f>AVERAGE(1.37,1.4,1.41,1.4)</f>
        <v>1.395</v>
      </c>
      <c r="P134" s="78">
        <f t="shared" si="485"/>
        <v>1956.219407325</v>
      </c>
      <c r="Q134" s="6">
        <v>28000</v>
      </c>
      <c r="R134" s="79">
        <f t="shared" si="419"/>
        <v>280000</v>
      </c>
      <c r="S134" s="6">
        <v>205.25</v>
      </c>
      <c r="T134" s="6">
        <f>588840/F134</f>
        <v>421.43166528918641</v>
      </c>
      <c r="U134" s="6">
        <v>195.2421052631579</v>
      </c>
      <c r="V134" s="6">
        <v>331.36249999999995</v>
      </c>
      <c r="W134" s="6">
        <v>230</v>
      </c>
      <c r="X134" s="6">
        <v>231.27368421052631</v>
      </c>
      <c r="Y134" s="79">
        <f t="shared" si="420"/>
        <v>286782.93530000001</v>
      </c>
      <c r="Z134" s="79">
        <f t="shared" si="421"/>
        <v>588840</v>
      </c>
      <c r="AA134" s="79">
        <f t="shared" si="422"/>
        <v>272799.53247999999</v>
      </c>
      <c r="AB134" s="79">
        <f t="shared" si="423"/>
        <v>462992.01168499992</v>
      </c>
      <c r="AC134" s="79">
        <f t="shared" si="424"/>
        <v>321364.55599999998</v>
      </c>
      <c r="AD134" s="79">
        <f t="shared" si="425"/>
        <v>323144.19495999999</v>
      </c>
      <c r="AE134" s="79">
        <f t="shared" si="426"/>
        <v>375987.20507083338</v>
      </c>
      <c r="AF134" s="83">
        <f>657*F133</f>
        <v>907614.16109999991</v>
      </c>
      <c r="AG134" s="83">
        <v>250000</v>
      </c>
      <c r="AH134" s="83">
        <v>1050000</v>
      </c>
      <c r="AI134" s="5">
        <v>311.85000000000002</v>
      </c>
      <c r="AJ134" s="5">
        <v>220.93</v>
      </c>
      <c r="AK134" s="5">
        <v>200.64</v>
      </c>
      <c r="AL134" s="5">
        <v>287.45</v>
      </c>
      <c r="AM134" s="78">
        <f t="shared" si="458"/>
        <v>273.44260000000003</v>
      </c>
      <c r="AN134" s="7">
        <v>41918.660287081337</v>
      </c>
      <c r="AO134" s="7">
        <v>23281.263157894737</v>
      </c>
      <c r="AP134" s="78">
        <f t="shared" si="470"/>
        <v>23281.263157894737</v>
      </c>
      <c r="AQ134" s="7">
        <v>12560.60606060606</v>
      </c>
      <c r="AR134" s="7">
        <v>13026.421052631578</v>
      </c>
      <c r="AS134" s="7">
        <v>16659.684210526317</v>
      </c>
      <c r="AT134" s="7">
        <v>20894.736842105263</v>
      </c>
      <c r="AU134" s="78">
        <f>IFERROR(+AVERAGE(AR134:AT134),"")</f>
        <v>16860.280701754386</v>
      </c>
      <c r="AV134" s="7">
        <v>12702.173913043478</v>
      </c>
      <c r="AW134" s="7">
        <v>30473.684210526317</v>
      </c>
      <c r="AX134" s="7">
        <v>12932.842105263158</v>
      </c>
      <c r="AY134" s="7">
        <v>24610.344827586207</v>
      </c>
      <c r="AZ134" s="7">
        <v>15561.473684210527</v>
      </c>
      <c r="BA134" s="7">
        <v>5392.105263157895</v>
      </c>
      <c r="BB134" s="94">
        <f t="shared" si="554"/>
        <v>15740.075317604356</v>
      </c>
      <c r="BC134" s="68">
        <v>44166</v>
      </c>
      <c r="BD134" s="68">
        <v>39751</v>
      </c>
      <c r="BE134" s="97">
        <v>24400</v>
      </c>
      <c r="BF134" s="97">
        <v>19000</v>
      </c>
      <c r="BG134" s="94">
        <f t="shared" si="349"/>
        <v>31829.25</v>
      </c>
      <c r="BH134" s="7">
        <v>5139.45</v>
      </c>
      <c r="BI134">
        <v>735.97</v>
      </c>
      <c r="BJ134" s="78">
        <f t="shared" si="350"/>
        <v>5875.42</v>
      </c>
      <c r="BK134" s="7">
        <v>4612.201</v>
      </c>
      <c r="BL134" s="7">
        <v>6284.77</v>
      </c>
      <c r="BM134" s="94">
        <f t="shared" si="351"/>
        <v>5448.4855000000007</v>
      </c>
      <c r="BN134" s="5">
        <v>508.74</v>
      </c>
      <c r="BO134" s="84">
        <v>2918.57</v>
      </c>
      <c r="BP134" s="84">
        <f>AVERAGE(1800,1866)</f>
        <v>1833</v>
      </c>
      <c r="BQ134" s="94">
        <f t="shared" si="435"/>
        <v>2375.7849999999999</v>
      </c>
      <c r="BR134" s="7">
        <v>2039.77</v>
      </c>
      <c r="BS134" s="97">
        <v>8800</v>
      </c>
      <c r="BT134" s="97">
        <f>2.43*F134</f>
        <v>3395.2863960000004</v>
      </c>
      <c r="BU134" s="79">
        <f t="shared" si="436"/>
        <v>115785.859188</v>
      </c>
      <c r="BV134" s="7">
        <v>2928</v>
      </c>
      <c r="BW134" s="7">
        <v>4147</v>
      </c>
      <c r="BY134" s="268">
        <f>BY$10*(1+((H134/H$10-1)*costos!$B$5+((I134*F134)/(I$10*F$10)-1)*costos!$E$5+((J134*F134)/((J$10*F$10)-1)*costos!$F$5/3+((K134*F134)/(K$10*F$10)-1)*costos!$F$5/3+((U134*F134)/(U$10*F$10)-1)*costos!$F$5/3+((L134*F134)/(L$10*F$10)-1)*costos!$G$5+((N134*F134)/(N$10*F$10)-1)*costos!$J$5+((V134*F134)/(V$10*F$10)-1)*costos!$K$5)))</f>
        <v>14638.345133679992</v>
      </c>
      <c r="BZ134" s="268">
        <f>$BZ$10*(1+((H134/$H$10-1)*costos!$B$6+((I134*F134)/($I$10*$F$10)-1)*costos!$E$6+((J134*F134)/(($J$10*$F$10)-1)*costos!$F$6/3+((K134*F134)/($K$10*$F$10)-1)*costos!$F$6/3+((U134*F134)/($U$10*$F$10)-1)*costos!$F$6/3+((L134*F134)/($L$10*$F$10)-1)*costos!$G$6+((Q134*F134)/($Q$10*$F$10)-1)*costos!$J$6+((V134*F134)/($V$10*$F$10)-1)*costos!$K$6)))</f>
        <v>16235.604095248649</v>
      </c>
      <c r="CA134" s="268">
        <f>CA$10*(1+((H134/H$10-1)*costos!$B$7+((I134*F134)/(I$10*F$10)-1)*costos!$E$7+((J134*F134)/((J$10*F$10)-1)*costos!$F$7/3+((K134*F134)/(K$10*F$10)-1)*costos!$F$7/3+((U134*F134)/(U$10*F$10)-1)*costos!$F$7/3+((L134*F134)/(L$10*F$10)-1)*costos!$G$7+((S134*F134)/(S$10*F$10)-1)*costos!$J$7+((V134*F134)/(V$10*F$10)-1)*costos!$K$7)))</f>
        <v>14781.562533073546</v>
      </c>
      <c r="CB134" s="268">
        <f>CB$10*(1+((H134/H$10-1)*costos!$B$8+((I134*F134)/(I$10*F$10)-1)*costos!$E$8+((J134*F134)/((J$10*F$10)-1)*costos!$F$8/3+((K134*F134)/(K$10*F$10)-1)*costos!$F$8/3+((U134*F134)/(U$10*F$10)-1)*costos!$F$8/3+((L134*F134)/(L$10*F$10)-1)*costos!$G$8+((T134*F134)/(T$10*F$10)-1)*costos!$J$8+((V134*F134)/(V$10*F$10)-1)*costos!$K$8)))</f>
        <v>15044.553623230289</v>
      </c>
      <c r="CC134" s="268">
        <f>CC$10*(1+((H134/H$10-1)*costos!$B$9+((I134*F134)/(I$10*F$10)-1)*costos!$E$9+((J134*F134)/((J$10*F$10)-1)*costos!$F$9/3+((K134*F134)/(K$10*F$10)-1)*costos!$F$9/3+((U134*F134)/(U$10*F$10)-1)*costos!$F$9/3+((L134*F134)/(L$10*F$10)-1)*costos!$G$9+((U134*F134)/(U$10*F$10)-1)*costos!$J$9+((V134*F134)/(V$10*F$10)-1)*costos!$K$9)))</f>
        <v>14206.055103289551</v>
      </c>
      <c r="CD134" s="268">
        <f>CD$10*(1+((H134/H$10-1)*costos!$B$11+((I134*F134)/(I$10*F$10)-1)*costos!$E$11+((J134*F134)/((J$10*F$10)-1)*costos!$F$11/3+((K134*F134)/(K$10*F$10)-1)*costos!$F$11/3+((U134*F134)/(U$10*F$10)-1)*costos!$F$11/3+((L134*F134)/(L$10*F$10)-1)*costos!$G$11+((V134*F134)/(V$10*F$10)-1)*costos!$J$11+((V134*F134)/(V$10*F$10)-1)*costos!$K$11)))</f>
        <v>14708.604358857698</v>
      </c>
      <c r="CE134" s="268">
        <f>CE$10*(1+((H134/H$10-1)*costos!$B$12+((I134*F134)/(I$10*F$10)-1)*costos!$E$12+((J134*F134)/((J$10*F$10)-1)*costos!$F$12/3+((K134*F134)/(K$10*F$10)-1)*costos!$F$12/3+((U134*F134)/(U$10*F$10)-1)*costos!$F$12/3+((L134*F134)/(L$10*F$10)-1)*costos!$G$12+((W134*F134)/(W$10*F$10)-1)*costos!$J$12+((V134*F134)/(V$10*F$10)-1)*costos!$K$12)))</f>
        <v>15061.92804451311</v>
      </c>
      <c r="CF134" s="268">
        <f>CF$10*(1+((H134/H$10-1)*costos!$B$13+((I134*F134)/(I$10*F$10)-1)*costos!$E$13+((J134*F134)/((J$10*F$10)-1)*costos!$F$13/3+((K134*F134)/(K$10*F$10)-1)*costos!$F$13/3+((U134*F134)/(U$10*F$10)-1)*costos!$F$13/3+((L134*F134)/(L$10*F$10)-1)*costos!$G$13+((X134*F134)/(X$10*F$10)-1)*costos!$J$13+((V134*F134)/(V$10*F$10)-1)*costos!$K$13)))</f>
        <v>15300.890701600303</v>
      </c>
      <c r="CG134" s="268">
        <f t="shared" ref="CG134" si="566">+AVERAGE(CA134:CF134)</f>
        <v>14850.599060760751</v>
      </c>
      <c r="CH134" s="268">
        <f>CH$10*(1+((H134/H$10-1)*costos!$B$10+((I134*F134)/(I$10*F$10)-1)*costos!$E$10+((J134*F134)/((J$10*F$10)-1)*costos!$F$10/3+((K134*F134)/(K$10*F$10)-1)*costos!$F$10/3+((U134*F134)/(U$10*F$10)-1)*costos!$F$10/3+((L134*F134)/(L$10*F$10)-1)*costos!$G$10+((AF134)/(AF$10)-1)*costos!$J$10+((V134*F134)/(V$10*F$10)-1)*costos!$K$10)))</f>
        <v>14512.798200032801</v>
      </c>
      <c r="CI134" s="268">
        <f>CI$10*(1+((H134/H$10-1)*costos!$B$15+((I134*F134)/(I$10*F$10)-1)*costos!$E$15+((J134*F134)/((J$10*F$10)-1)*costos!$F$15/3+((K134*F134)/(K$10*F$10)-1)*costos!$F$15/3+((U134*F134)/(U$10*F$10)-1)*costos!$F$15/3+((L134*F134)/(L$10*F$10)-1)*costos!$G$15+((AV136)/(AV$10)-1)*costos!$J$15+((V134*F134)/(V$10*F$10)-1)*costos!$K$15)))</f>
        <v>17021.795191864381</v>
      </c>
      <c r="CJ134" s="268">
        <f>CJ$10*(1+((H134/H$10-1)*costos!$B$16+((I134*F134)/(I$10*F$10)-1)*costos!$E$16+((J134*F134)/((J$10*F$10)-1)*costos!$F$16/3+((K134*F134)/(K$10*F$10)-1)*costos!$F$16/3+((U134*F134)/(U$10*F$10)-1)*costos!$F$16/3+((L134*F134)/(L$10*F$10)-1)*costos!$G$16+((AW135)/(AW$10)-1)*costos!$J$16+((V134*F134)/(V$10*F$10)-1)*costos!$K$16)))</f>
        <v>14710.064405005989</v>
      </c>
      <c r="CK134" s="268">
        <f>CK$10*(1+((H134/H$10-1)*costos!$B$17+((I134*F134)/(I$10*F$10)-1)*costos!$E$17+((J134*F134)/((J$10*F$10)-1)*costos!$F$17/3+((K134*F134)/(K$10*F$10)-1)*costos!$F$17/3+((U134*F134)/(U$10*F$10)-1)*costos!$F$17/3+((L134*F134)/(L$10*F$10)-1)*costos!$G$17+((AX135)/(AX$10)-1)*costos!$J$17+((V134*F134)/(V$10*F$10)-1)*costos!$K$17)))</f>
        <v>15412.807100650423</v>
      </c>
      <c r="CL134" s="268">
        <f>CL$10*(1+((H134/H$10-1)*costos!$B$18+((I134*F134)/(I$10*F$10)-1)*costos!$E$18+((J134*F134)/((J$10*F$10)-1)*costos!$F$18/3+((K134*F134)/(K$10*F$10)-1)*costos!$F$18/3+((U134*F134)/(U$10*F$10)-1)*costos!$F$18/3+((L134*F134)/(L$10*F$10)-1)*costos!$G$18+((AY135)/(AY$10)-1)*costos!$J$18+((V134*F134)/(V$10*F$10)-1)*costos!$K$18)))</f>
        <v>18684.383361831544</v>
      </c>
      <c r="CM134" s="268">
        <f>CM$10*(1+((H134/H$10-1)*costos!$B$19+((I134*F134)/(I$10*F$10)-1)*costos!$E$19+((J134*F134)/((J$10*F$10)-1)*costos!$F$19/3+((K134*F134)/(K$10*F$10)-1)*costos!$F$19/3+((U134*F134)/(U$10*F$10)-1)*costos!$F$19/3+((L134*F134)/(L$10*F$10)-1)*costos!$G$19+((AZ135)/(AZ$10)-1)*costos!$J$19+((V134*F134)/(V$10*F$10)-1)*costos!$K$19)))</f>
        <v>14133.074179943284</v>
      </c>
      <c r="CN134" s="268">
        <f>CN$10*(1+((H134/H$10-1)*costos!$B$20+((I134*F134)/(I$10*F$10)-1)*costos!$E$20+((J134*F134)/((J$10*F$10)-1)*costos!$F$20/3+((K134*F134)/(K$10*F$10)-1)*costos!$F$20/3+((U134*F134)/(U$10*F$10)-1)*costos!$F$20/3+((L134*F134)/(L$10*F$10)-1)*costos!$G$20+((BA135)/(BA$10)-1)*costos!$J$20+((V134*F134)/(V$10*F$10)-1)*costos!$K$20)))</f>
        <v>13262.436043889704</v>
      </c>
      <c r="CO134" s="268">
        <f t="shared" ref="CO134" si="567">+AVERAGE(CK134:CN134)</f>
        <v>15373.175171578738</v>
      </c>
      <c r="CP134" s="268">
        <f>CP$10*(1+((H134/H$10-1)*costos!$B$22+((I134*F134)/(I$10*F$10)-1)*costos!$E$22+((J134*F134)/((J$10*F$10)-1)*costos!$F$22/3+((K134*F134)/(K$10*F$10)-1)*costos!$F$22/3+((U134*F134)/(U$10*F$10)-1)*costos!$F$22/3+((L134*F134)/(L$10*F$10)-1)*costos!$G$22+(((AVERAGE(AI134:AL134))/((AVERAGE(AI$10:AL$10))-1)*costos!$J$22+((V134*F134)/(V$10*F$10)-1)*costos!$K$22)))))</f>
        <v>15738.50885315521</v>
      </c>
      <c r="CQ134" s="92">
        <f>CQ$10*(1+((H134/H$10-1)*costos!$B$23+((I134*F134)/(I$10*F$10)-1)*costos!$E$23+((J134*F134)/((J$10*F$10)-1)*costos!$F$23/3+((K134*F134)/(K$10*F$10)-1)*costos!$F$23/3+((U134*F134)/(U$10*F$10)-1)*costos!$F$23/3+((L134*F134)/(L$10*F$10)-1)*costos!$G$23+((AN134)/(AN$10)-1)*costos!$J$23+((V134*F134)/(V$10*F$10)-1)*costos!$K$23)))</f>
        <v>14689.700477102928</v>
      </c>
      <c r="CR134" s="268">
        <f>CR$10*(1+((H134/H$10-1)*costos!$B$24+((I134*F134)/(I$10*F$10)-1)*costos!$E$24+((J134*F134)/((J$10*F$10)-1)*costos!$F$24/3+((K134*F134)/(K$10*F$10)-1)*costos!$F$24/3+((U134*F134)/(U$10*F$10)-1)*costos!$F$24/3+((L134*F134)/(L$10*F$10)-1)*costos!$G$24+((AO135)/(AO$10)-1)*costos!$J$24+((V134*F134)/(V$10*F$10)-1)*costos!$K$24)))</f>
        <v>14526.64651965876</v>
      </c>
      <c r="CS134" s="92">
        <f t="shared" si="352"/>
        <v>14608.173498380844</v>
      </c>
      <c r="CT134" s="268">
        <f>CT$10*(1+((H134/H$10-1)*costos!$B$25+((I134*F134)/(I$10*F$10)-1)*costos!$E$25+((J134*F134)/((J$10*F$10)-1)*costos!$F$25/3+((K134*F134)/(K$10*F$10)-1)*costos!$F$25/3+((U134*F134)/(U$10*F$10)-1)*costos!$F$25/3+((L134*F134)/(L$10*F$10)-1)*costos!$G$25+((AQ135)/(AQ$10)-1)*costos!$J$25+((V134*F134)/(V$10*F$10)-1)*costos!$K$25)))</f>
        <v>13657.300591287054</v>
      </c>
      <c r="CU134" s="268">
        <f>CU$10*(1+((H134/H$10-1)*costos!$B$26+((I134*F134)/(I$10*F$10)-1)*costos!$E$26+((J134*F134)/((J$10*F$10)-1)*costos!$F$26/3+((K134*F134)/(K$10*F$10)-1)*costos!$F$26/3+((U134*F134)/(U$10*F$10)-1)*costos!$F$26/3+((L134*F134)/(L$10*F$10)-1)*costos!$G$26+((AR135)/(AR$10)-1)*costos!$J$26+((V134*F134)/(V$10*F$10)-1)*costos!$K$26)))</f>
        <v>14326.997084544328</v>
      </c>
      <c r="CV134" s="268">
        <f>CV$10*(1+((H134/H$10-1)*costos!$B$27+((I134*F134)/(I$10*F$10)-1)*costos!$E$27+((J134*F134)/((J$10*F$10)-1)*costos!$F$27/3+((K134*F134)/(K$10*F$10)-1)*costos!$F$27/3+((U134*F134)/(U$10*F$10)-1)*costos!$F$27/3+((L134*F134)/(L$10*F$10)-1)*costos!$G$27+((AS135)/(AS$10)-1)*costos!$J$27+((V134*F134)/(V$10*F$10)-1)*costos!$K$27)))</f>
        <v>14175.188993400823</v>
      </c>
      <c r="CW134" s="268">
        <f>CW$10*(1+((H134/H$10-1)*costos!$B$28+((I134*F134)/(I$10*F$10)-1)*costos!$E$28+((J134*F134)/((J$10*F$10)-1)*costos!$F$28/3+((K134*F134)/(K$10*F$10)-1)*costos!$F$28/3+((U134*F134)/(U$10*F$10)-1)*costos!$F$28/3+((L134*F134)/(L$10*F$10)-1)*costos!$G$28+((AS135)/(AS$10)-1)*costos!$J$28+((V134*F134)/(V$10*F$10)-1)*costos!$K$28)))</f>
        <v>14175.188993400823</v>
      </c>
      <c r="CX134" s="268">
        <f t="shared" ref="CX134" si="568">+AVERAGE(CU134:CW134)</f>
        <v>14225.791690448657</v>
      </c>
      <c r="CY134" s="268">
        <f>CY$10*(1+((H134/H$10-1)*costos!$B$32+((I134*F134)/(I$10*F$10)-1)*costos!$E$32+((J134*F134)/((J$10*F$10)-1)*costos!$F$32/3+((K134*F134)/(K$10*F$10)-1)*costos!$F$32/3+((U134*F134)/(U$10*F$10)-1)*costos!$F$32/3+((L134*F134)/(L$10*F$10)-1)*costos!$G$32+((AG134)/(AG$10)-1)*costos!$J$32+((V134*F134)/(V$10*F$10)-1)*costos!$K$32)))</f>
        <v>13876.781509211838</v>
      </c>
      <c r="CZ134" s="69">
        <f>CZ$10*(1+((H134/H$10-1)*costos!$B$31+((I134*F134)/(I$10*F$10)-1)*costos!$E$30+((J134*F134)/((J$10*F$10)-1)*costos!$F$30/3+((K134*F134)/(K$10*F$10)-1)*costos!$F$30/3+((U134*F134)/(U$10*F$10)-1)*costos!$F$30/3+((L134*F134)/(L$10*F$10)-1)*costos!$G$30+((BG134)/(BG$10)-1)*costos!$J$30+((V134*F134)/(V$10*F$10)-1)*costos!$K$30)))</f>
        <v>18868.226770699301</v>
      </c>
      <c r="DA134" s="69">
        <f>DA$10*(1+((H134/H$10-1)*costos!$B$31+((I134*F134)/(I$10*F$10)-1)*costos!$E$31+((J134*F134)/((J$10*F$10)-1)*costos!$F$31/3+((K134*F134)/(K$10*F$10)-1)*costos!$F$31/3+((U134*F134)/(U$10*F$10)-1)*costos!$F$31/3+((L134*F134)/(L$10*F$10)-1)*costos!$G$31+((BJ134)/(BJ$10)-1)*costos!$J$31+((V134*F134)/(V$10*F$10)-1)*costos!$K$31)))</f>
        <v>14913.835643514374</v>
      </c>
      <c r="DB134" s="69">
        <f>DB$10*(1+((H134/H$10-1)*costos!$B$36+((I134*F134)/(I$10*F$10)-1)*costos!$E$36+((J134*F134)/((J$10*F$10)-1)*costos!$F$36/3+((K134*F134)/(K$10*F$10)-1)*costos!$F$36/3+((U134*F134)/(U$10*F$10)-1)*costos!$F$36/3+((L134*F134)/(L$10*F$10)-1)*costos!$G$36+((BK134)/(BK$10)-1)*costos!$J$36+((V134*F134)/(V$10*F$10)-1)*costos!$K$36)))</f>
        <v>15577.293005627536</v>
      </c>
      <c r="DC134" s="69">
        <f>DC$10*(1+((H134/H$10-1)*costos!$B$37+((I134*F134)/(I$10*F$10)-1)*costos!$E$37+((U134*F134)/(U$10*F$10)-1)*costos!$F$37+((L134*F134)/(L$10*F$10)-1)*costos!$G$37+((BN134)/(BN$10)-1)*costos!$J$37+((V134*F134)/(V$10*F$10)-1)*costos!$K$37))</f>
        <v>14448.095366973066</v>
      </c>
      <c r="DD134" s="69">
        <f>DD$10*(1+((H134/H$10-1)*costos!$B$39+((I134*F134)/(I$10*F$10)-1)*costos!$E$39+((U134*F134)/(U$10*F$10)-1)*costos!$F$39+((L134*F134)/(L$10*F$10)-1)*costos!$G$39+((BR134)/(BR$10)-1)*costos!$J$39+((V134*F134)/(V$10*F$10)-1)*costos!$K$39))</f>
        <v>14019.290748560587</v>
      </c>
      <c r="DE134" s="69">
        <f>DD$10*(1+((H134/H$10-1)*costos!$B$35+((I134*F134)/(I$10*F$10)-1)*costos!$E$35+((U134*F134)/(U$10*F$10)-1)*costos!$F$35+((L134*F134)/(L$10*F$10)-1)*costos!$G$35+((BR134)/(BR$10)-1)*costos!$J$35+((V134*F134)/(V$10*F$10)-1)*costos!$K$35))</f>
        <v>11927.209680959691</v>
      </c>
      <c r="DF134" s="69">
        <f>DF$10*(1+((H134/H$10-1)*costos!$B$40+((I134*F134)/(I$10*F$10)-1)*costos!$E$40+((U134*F134)/(U$10*F$10)-1)*costos!$F$40+((L134*F134)/(L$10*F$10)-1)*costos!$G$40+((BP134)/(BP$10)-1)*costos!$J$40+((V134*F134)/(V$10*F$10)-1)*costos!$K$40))</f>
        <v>13843.166090449116</v>
      </c>
      <c r="DG134" s="268">
        <f t="shared" ref="DG134" si="569">+((DE134/$DE$10)*100+DF134)/2</f>
        <v>12885.187885704403</v>
      </c>
      <c r="DH134" s="69">
        <f>DH$10*(1+((H134/H$10-1)*costos!$B$34+((I134*F134)/(I$10*F$10)-1)*costos!$E$34+((J134*F134)/((J$10*F$10)-1)*costos!$F$34/3+((K134*F134)/(K$10*F$10)-1)*costos!$F$34/3+((U134*F134)/(U$10*F$10)-1)*costos!$F$34/3+((L134*F134)/(L$10*F$10)-1)*costos!$G$34+((BV134)/(BV$10)-1)*costos!$J$34+((V134*F134)/(V$10*F$10)-1)*costos!$K$34)))</f>
        <v>14742.883155308551</v>
      </c>
      <c r="DI134" s="69">
        <f>DI$10*(1+((H134/H$10-1)*costos!$B$38+((I134*F134)/(I$10*F$10)-1)*costos!$E$38+((J134*F134)/((J$10*F$10)-1)*costos!$F$38/3+((K134*F134)/(K$10*F$10)-1)*costos!$F$38/3+((U134*F134)/(U$10*F$10)-1)*costos!$F$38/3+((L134*F134)/(L$10*F$10)-1)*costos!$G$38+((BU134)/(BU$10)-1)*costos!$J$38+((V134*F134)/(V$10*F$10)-1)*costos!$K$38)))</f>
        <v>14631.260789606358</v>
      </c>
      <c r="DK134" s="1">
        <v>390000</v>
      </c>
      <c r="DL134" s="1" t="s">
        <v>663</v>
      </c>
      <c r="DM134" s="1">
        <v>200000</v>
      </c>
      <c r="DN134" s="1" t="s">
        <v>663</v>
      </c>
      <c r="DO134" s="1">
        <v>1320000</v>
      </c>
      <c r="DP134" s="1" t="s">
        <v>832</v>
      </c>
      <c r="DQ134" s="1">
        <v>3200000</v>
      </c>
      <c r="DR134" s="1" t="s">
        <v>663</v>
      </c>
      <c r="DS134" s="1">
        <v>8400000</v>
      </c>
      <c r="DT134" s="1" t="s">
        <v>663</v>
      </c>
      <c r="DU134" s="1">
        <v>16400000</v>
      </c>
      <c r="DV134" s="1" t="s">
        <v>663</v>
      </c>
      <c r="DW134" s="1">
        <v>770000</v>
      </c>
      <c r="DX134" s="1" t="s">
        <v>663</v>
      </c>
      <c r="DY134" s="1">
        <v>6600000</v>
      </c>
      <c r="DZ134" s="1" t="s">
        <v>832</v>
      </c>
      <c r="EA134" s="79">
        <f>+DY134+DW134+DU134+DS134+DQ134+DO134</f>
        <v>36690000</v>
      </c>
      <c r="EB134" s="1">
        <v>381590</v>
      </c>
      <c r="EC134" s="1" t="s">
        <v>663</v>
      </c>
      <c r="ED134" s="82">
        <v>231352</v>
      </c>
      <c r="EE134" s="144">
        <v>2025</v>
      </c>
      <c r="EF134" s="82">
        <v>196220</v>
      </c>
      <c r="EG134" s="144">
        <v>2025</v>
      </c>
      <c r="EH134" s="83">
        <v>50920790</v>
      </c>
      <c r="EI134" s="143">
        <v>2026</v>
      </c>
      <c r="EJ134" s="83">
        <v>5387190</v>
      </c>
      <c r="EK134" s="143">
        <v>2026</v>
      </c>
      <c r="EL134" s="1">
        <v>11482381</v>
      </c>
      <c r="EM134" s="6">
        <v>2026</v>
      </c>
      <c r="EN134" s="1">
        <v>3001543</v>
      </c>
      <c r="EO134" s="6">
        <v>2026</v>
      </c>
      <c r="EP134" s="83">
        <v>9432</v>
      </c>
      <c r="EQ134" s="83">
        <v>4000000</v>
      </c>
      <c r="ER134" s="82">
        <f t="shared" si="543"/>
        <v>79911</v>
      </c>
      <c r="ET134" s="82">
        <f t="shared" si="514"/>
        <v>19357</v>
      </c>
      <c r="EU134" s="82">
        <f t="shared" si="514"/>
        <v>18703</v>
      </c>
      <c r="EV134" s="82">
        <f t="shared" si="514"/>
        <v>8927</v>
      </c>
      <c r="EW134" s="82">
        <f t="shared" si="514"/>
        <v>17408</v>
      </c>
      <c r="EX134" s="79">
        <f t="shared" ref="EX134" si="570">+SUM(ET134:EW134)</f>
        <v>64395</v>
      </c>
      <c r="EY134" s="82">
        <f t="shared" si="516"/>
        <v>20031</v>
      </c>
      <c r="EZ134" s="83">
        <f t="shared" si="516"/>
        <v>33722</v>
      </c>
      <c r="FA134" s="82">
        <f t="shared" si="516"/>
        <v>19900</v>
      </c>
      <c r="FB134" s="82">
        <f t="shared" si="516"/>
        <v>18184</v>
      </c>
      <c r="FC134" s="79">
        <f t="shared" ref="FC134" si="571">+FB134+FA134</f>
        <v>38084</v>
      </c>
      <c r="FD134" s="82">
        <f t="shared" si="518"/>
        <v>60376</v>
      </c>
      <c r="FF134" s="1">
        <v>750000</v>
      </c>
      <c r="FG134" s="1" t="s">
        <v>663</v>
      </c>
      <c r="FH134" s="1">
        <v>1400000</v>
      </c>
      <c r="FI134" s="1" t="s">
        <v>663</v>
      </c>
      <c r="FJ134" s="1">
        <v>5400005</v>
      </c>
      <c r="FK134" s="1" t="s">
        <v>910</v>
      </c>
      <c r="FL134" s="1">
        <v>6600001</v>
      </c>
      <c r="FM134" s="1" t="s">
        <v>906</v>
      </c>
      <c r="FN134" s="1">
        <v>64000000</v>
      </c>
      <c r="FO134" s="1" t="s">
        <v>663</v>
      </c>
      <c r="FP134" s="1">
        <v>50100000</v>
      </c>
      <c r="FQ134" s="1" t="s">
        <v>663</v>
      </c>
      <c r="FR134" s="1">
        <v>2900000</v>
      </c>
      <c r="FS134" s="1" t="s">
        <v>663</v>
      </c>
      <c r="FT134" s="82">
        <v>27800000</v>
      </c>
      <c r="FU134" s="1" t="s">
        <v>663</v>
      </c>
      <c r="FV134" s="79">
        <f t="shared" si="355"/>
        <v>156800006</v>
      </c>
      <c r="FW134" s="83">
        <v>1311996</v>
      </c>
      <c r="FX134" s="1" t="s">
        <v>663</v>
      </c>
      <c r="FY134" s="1">
        <v>122875</v>
      </c>
      <c r="FZ134" s="79">
        <f t="shared" si="564"/>
        <v>847170.76</v>
      </c>
      <c r="GA134" s="86" t="str">
        <f t="shared" si="462"/>
        <v>jun25 may26</v>
      </c>
      <c r="GB134" s="1">
        <v>18391299</v>
      </c>
      <c r="GC134" s="6">
        <v>2026</v>
      </c>
      <c r="GD134" s="82">
        <f t="shared" si="546"/>
        <v>2213559</v>
      </c>
      <c r="GE134" s="82">
        <f t="shared" si="547"/>
        <v>410324</v>
      </c>
      <c r="GF134" s="82">
        <f t="shared" si="548"/>
        <v>1003144</v>
      </c>
      <c r="GG134" s="82">
        <f t="shared" si="549"/>
        <v>129694</v>
      </c>
      <c r="GH134" s="79">
        <f t="shared" ref="GH134" si="572">GE134+GF134+GG134</f>
        <v>1543162</v>
      </c>
      <c r="GI134" s="82">
        <f t="shared" si="520"/>
        <v>1302556</v>
      </c>
      <c r="GJ134" s="82">
        <f t="shared" si="520"/>
        <v>682423</v>
      </c>
      <c r="GK134" s="82">
        <f t="shared" si="520"/>
        <v>1391495</v>
      </c>
      <c r="GL134" s="82">
        <f t="shared" si="520"/>
        <v>305049</v>
      </c>
      <c r="GM134" s="82">
        <f t="shared" si="520"/>
        <v>260419</v>
      </c>
      <c r="GN134" s="79">
        <f t="shared" ref="GN134" si="573">+SUM(GJ134:GM134)</f>
        <v>2639386</v>
      </c>
      <c r="GO134" s="82">
        <f t="shared" si="521"/>
        <v>201734</v>
      </c>
      <c r="GP134" s="82">
        <f t="shared" si="521"/>
        <v>75000</v>
      </c>
      <c r="GQ134" s="1">
        <v>58859</v>
      </c>
      <c r="GR134" s="83">
        <v>31107</v>
      </c>
      <c r="GS134" s="79">
        <f t="shared" si="559"/>
        <v>32872.769999999997</v>
      </c>
      <c r="GT134" s="82">
        <f t="shared" si="496"/>
        <v>2111561</v>
      </c>
      <c r="GU134" s="83">
        <f>37855+8992</f>
        <v>46847</v>
      </c>
      <c r="GV134" s="83">
        <f>6653+16548</f>
        <v>23201</v>
      </c>
      <c r="GW134" s="79">
        <f t="shared" si="522"/>
        <v>732032</v>
      </c>
      <c r="GX134" s="82">
        <v>36041.686000000002</v>
      </c>
      <c r="GY134" s="82" t="s">
        <v>802</v>
      </c>
      <c r="GZ134" s="82">
        <v>119643</v>
      </c>
      <c r="HA134" s="1">
        <v>293803</v>
      </c>
      <c r="HB134" s="79">
        <f t="shared" si="523"/>
        <v>3096574</v>
      </c>
      <c r="HC134" s="86" t="str">
        <f t="shared" si="465"/>
        <v>jun25 may26</v>
      </c>
      <c r="HD134" s="1">
        <v>73565</v>
      </c>
      <c r="HE134" s="79">
        <f t="shared" si="560"/>
        <v>849288</v>
      </c>
      <c r="HF134" s="86" t="str">
        <f t="shared" si="466"/>
        <v>jun25 may26</v>
      </c>
      <c r="HG134" s="83">
        <v>166000</v>
      </c>
      <c r="HH134" s="79">
        <f t="shared" si="490"/>
        <v>2267000</v>
      </c>
      <c r="HI134" s="86" t="str">
        <f t="shared" si="467"/>
        <v>jun25 may26</v>
      </c>
      <c r="HJ134" s="83">
        <v>89492</v>
      </c>
      <c r="HK134" s="79">
        <f t="shared" si="524"/>
        <v>66931.98</v>
      </c>
      <c r="HL134" s="86" t="str">
        <f t="shared" si="468"/>
        <v>jun25 may26</v>
      </c>
      <c r="HM134" s="79">
        <f t="shared" si="358"/>
        <v>2333931.98</v>
      </c>
      <c r="HN134" s="87">
        <f t="shared" si="497"/>
        <v>1.972602293617709E-2</v>
      </c>
      <c r="HO134" s="1">
        <v>915582944</v>
      </c>
      <c r="HP134" s="79">
        <f t="shared" si="525"/>
        <v>11867.82852093068</v>
      </c>
      <c r="HQ134" s="86" t="str">
        <f t="shared" si="469"/>
        <v>jun25 may26</v>
      </c>
      <c r="HU134" s="1">
        <v>950000</v>
      </c>
      <c r="HV134" s="1" t="s">
        <v>663</v>
      </c>
      <c r="HW134" s="1">
        <v>1600000</v>
      </c>
      <c r="HX134" s="1" t="s">
        <v>663</v>
      </c>
      <c r="HY134" s="83">
        <v>6000000</v>
      </c>
      <c r="HZ134" s="1" t="s">
        <v>663</v>
      </c>
      <c r="IA134" s="1">
        <f>(3.3+18)*1000000</f>
        <v>21300000</v>
      </c>
      <c r="IB134" s="1" t="s">
        <v>663</v>
      </c>
      <c r="IC134" s="1">
        <v>48500000</v>
      </c>
      <c r="ID134" s="1" t="s">
        <v>663</v>
      </c>
      <c r="IE134" s="1">
        <f>(0.3+1.2)*1000000</f>
        <v>1500000</v>
      </c>
      <c r="IF134" s="1" t="s">
        <v>663</v>
      </c>
      <c r="IG134" s="1">
        <f>(7.2+1.2)*1000000</f>
        <v>8400000</v>
      </c>
      <c r="IH134" s="1" t="s">
        <v>663</v>
      </c>
      <c r="II134" s="79">
        <f t="shared" si="479"/>
        <v>87300000</v>
      </c>
      <c r="IJ134" s="97">
        <f>(8797600*12)/$IJ$2</f>
        <v>2.2719760013883494</v>
      </c>
      <c r="IK134" s="1" t="s">
        <v>663</v>
      </c>
      <c r="IL134" s="7">
        <v>46.71</v>
      </c>
      <c r="IM134" s="97">
        <v>47.36</v>
      </c>
      <c r="IN134" s="97">
        <v>192.3</v>
      </c>
      <c r="IO134" s="7">
        <v>19.59</v>
      </c>
      <c r="IP134" s="97">
        <f>(24275556*12)/IP$2</f>
        <v>6.2691507516094109</v>
      </c>
      <c r="IQ134" s="176">
        <f>(1.21*12)</f>
        <v>14.52</v>
      </c>
      <c r="IR134" s="269">
        <f t="shared" si="526"/>
        <v>6.17</v>
      </c>
      <c r="IS134" s="269">
        <f t="shared" si="526"/>
        <v>5.03</v>
      </c>
      <c r="IT134" s="269">
        <f t="shared" si="526"/>
        <v>11</v>
      </c>
      <c r="IU134" s="269">
        <f t="shared" si="526"/>
        <v>1.1000000000000001</v>
      </c>
      <c r="IV134" s="94">
        <f t="shared" ref="IV134" si="574">+SUM(IS134:IU134)</f>
        <v>17.130000000000003</v>
      </c>
      <c r="IY134" s="80">
        <v>1.88</v>
      </c>
      <c r="IZ134" s="88">
        <v>0.3</v>
      </c>
      <c r="JA134" s="82">
        <v>3555</v>
      </c>
      <c r="JB134" s="95">
        <f t="shared" si="433"/>
        <v>35.950000000000003</v>
      </c>
      <c r="JF134" s="171">
        <v>11.103674589999992</v>
      </c>
      <c r="JG134" s="171">
        <v>29.390449220000004</v>
      </c>
      <c r="JH134" s="171">
        <v>149.06502700999999</v>
      </c>
      <c r="JI134" s="171">
        <v>625.93683610999994</v>
      </c>
      <c r="JJ134" s="171">
        <v>994.11549667999986</v>
      </c>
      <c r="JK134" s="171">
        <v>126.60490711</v>
      </c>
      <c r="JL134" s="171">
        <v>2960.9080640899997</v>
      </c>
      <c r="JM134" s="171">
        <v>50.847639960000002</v>
      </c>
      <c r="JN134" s="171">
        <v>254.85744094</v>
      </c>
      <c r="JO134" s="171">
        <v>33.508485159999992</v>
      </c>
      <c r="JP134" s="171">
        <v>0</v>
      </c>
      <c r="JQ134" s="171">
        <v>10.341737069999999</v>
      </c>
      <c r="JR134" s="171">
        <v>1.3816687600000002</v>
      </c>
      <c r="JS134" s="171">
        <v>0</v>
      </c>
      <c r="JT134" s="171">
        <v>4.4999999999999998E-2</v>
      </c>
      <c r="JU134" s="171">
        <v>85.65420979999999</v>
      </c>
      <c r="JV134" s="171">
        <v>10.8495004</v>
      </c>
      <c r="JW134" s="171">
        <v>33.739374860000005</v>
      </c>
      <c r="JX134" s="171">
        <v>87.398151779999992</v>
      </c>
      <c r="JY134" s="171">
        <v>0</v>
      </c>
      <c r="JZ134" s="171">
        <v>4.7348313300000004</v>
      </c>
      <c r="KA134" s="171">
        <v>0.32750000000000001</v>
      </c>
      <c r="KB134" s="171">
        <v>16.951944609999998</v>
      </c>
      <c r="KC134" s="171">
        <v>56.707234039999996</v>
      </c>
      <c r="KD134" s="171">
        <v>10.248770849999998</v>
      </c>
      <c r="KE134" s="171">
        <v>41.621749510000001</v>
      </c>
      <c r="KF134" s="171">
        <v>9.8196206999999998</v>
      </c>
      <c r="KG134" s="171">
        <v>533.24077936000003</v>
      </c>
      <c r="KH134" s="171">
        <v>138.91731654</v>
      </c>
      <c r="KI134" s="171">
        <v>33.523126529999999</v>
      </c>
      <c r="KJ134" s="171">
        <v>4.62689489</v>
      </c>
      <c r="KK134" s="171">
        <v>4.6022526900000003</v>
      </c>
      <c r="KL134" s="171">
        <v>0.10270198</v>
      </c>
      <c r="KM134" s="171">
        <v>0.98902888000000022</v>
      </c>
      <c r="KN134" s="171">
        <v>3.98790135</v>
      </c>
      <c r="KO134" s="171">
        <v>0.82546257999999995</v>
      </c>
      <c r="KP134" s="171">
        <v>2.3628E-3</v>
      </c>
      <c r="KQ134" s="171">
        <v>454.82634113</v>
      </c>
      <c r="KR134" s="171">
        <v>0.1096</v>
      </c>
      <c r="KS134" s="171">
        <v>1.1515315699999999</v>
      </c>
      <c r="KT134" s="171">
        <v>1.05636789</v>
      </c>
      <c r="KU134" s="171">
        <v>1.0932718399999999</v>
      </c>
      <c r="KV134" s="171">
        <v>4.8120000000000003E-2</v>
      </c>
      <c r="KW134" s="171">
        <v>1.3884899599999998</v>
      </c>
      <c r="KX134" s="171">
        <v>0</v>
      </c>
      <c r="KY134" s="171">
        <v>0</v>
      </c>
      <c r="KZ134" s="171">
        <v>3.0241928699999998</v>
      </c>
      <c r="LA134" s="171">
        <v>1.2048406600000001</v>
      </c>
      <c r="LB134" s="171">
        <v>1.9751999999999999E-2</v>
      </c>
      <c r="LC134" s="171">
        <v>5.13464E-2</v>
      </c>
      <c r="LD134" s="171">
        <v>0</v>
      </c>
      <c r="LE134" s="171">
        <v>0.13906177</v>
      </c>
      <c r="LF134" s="171">
        <v>2.2308000000000001E-2</v>
      </c>
      <c r="LG134" s="171">
        <v>16.655697739999997</v>
      </c>
      <c r="LH134" s="171">
        <v>4.24949917</v>
      </c>
      <c r="LI134" s="171">
        <v>3.1947428599999999</v>
      </c>
      <c r="LJ134" s="171">
        <v>0</v>
      </c>
      <c r="LK134" s="171">
        <v>4.64961936</v>
      </c>
      <c r="LL134" s="171">
        <v>20.679241180000002</v>
      </c>
      <c r="LM134" s="171">
        <v>2.0152277500000002</v>
      </c>
      <c r="LN134" s="171">
        <v>0.32285518000000002</v>
      </c>
      <c r="LO134" s="171">
        <v>17.106185659999998</v>
      </c>
      <c r="LQ134" s="85">
        <f t="shared" ref="LQ134:LQ135" si="575">+SUM(JH134:JJ134,JL134:JN134)</f>
        <v>5035.7305047899999</v>
      </c>
      <c r="LR134" s="85">
        <f t="shared" ref="LR134:LR135" si="576">+SUM(JQ134:JT134)</f>
        <v>11.768405829999999</v>
      </c>
      <c r="LS134" s="85">
        <f t="shared" ref="LS134:LS135" si="577">+SUM(JV134:JW134)</f>
        <v>44.588875260000009</v>
      </c>
      <c r="LT134" s="85">
        <f t="shared" ref="LT134:LT135" si="578">+SUM(JY134:KA134)</f>
        <v>5.0623313300000001</v>
      </c>
      <c r="LU134" s="85">
        <f t="shared" ref="LU134:LU135" si="579">+SUM(KM134:KO134,KQ134:KS134)</f>
        <v>461.88986550999999</v>
      </c>
      <c r="LV134" s="85">
        <f t="shared" ref="LV134:LV135" si="580">+SUM(KV134:KY134)</f>
        <v>1.4366099599999997</v>
      </c>
      <c r="LW134" s="85">
        <f t="shared" ref="LW134:LW135" si="581">+SUM(LA134:LB134)</f>
        <v>1.2245926600000001</v>
      </c>
      <c r="LX134" s="85">
        <f t="shared" ref="LX134:LX135" si="582">+SUM(LD134:LF134)</f>
        <v>0.16136977</v>
      </c>
      <c r="LZ134" s="83">
        <v>1792.53</v>
      </c>
      <c r="MA134" s="83">
        <v>1750.9</v>
      </c>
      <c r="MB134"/>
      <c r="MC134"/>
      <c r="MD134"/>
      <c r="MF134"/>
      <c r="MG134"/>
      <c r="MH134" s="83">
        <v>4471.54</v>
      </c>
      <c r="MI134" s="83">
        <v>977.06</v>
      </c>
      <c r="MJ134" s="83">
        <v>1473.32</v>
      </c>
      <c r="MK134" s="83">
        <v>3790</v>
      </c>
      <c r="ML134" s="83">
        <v>1247.32</v>
      </c>
      <c r="MM134" s="83">
        <v>2775.52</v>
      </c>
      <c r="MN134" s="83">
        <v>1499</v>
      </c>
      <c r="MO134" s="83">
        <v>1139.6199999999999</v>
      </c>
      <c r="MP134" s="83">
        <v>2317.5300000000002</v>
      </c>
      <c r="MQ134" s="83">
        <v>3980.16</v>
      </c>
      <c r="MR134" s="83">
        <v>2999</v>
      </c>
      <c r="MS134" s="83">
        <v>1499</v>
      </c>
      <c r="MT134" s="83">
        <v>999</v>
      </c>
      <c r="MU134" s="83">
        <v>1577.62</v>
      </c>
      <c r="MV134" s="83">
        <v>2490</v>
      </c>
      <c r="MW134"/>
      <c r="MX134"/>
      <c r="MY134" s="83">
        <v>2614.73</v>
      </c>
      <c r="MZ134" s="83">
        <v>8207</v>
      </c>
      <c r="NA134" s="83">
        <v>5048</v>
      </c>
      <c r="NB134" s="83">
        <v>18154</v>
      </c>
      <c r="NC134" s="83">
        <v>1918.61</v>
      </c>
      <c r="ND134" s="83">
        <v>15990</v>
      </c>
      <c r="NE134" s="83">
        <v>9151</v>
      </c>
    </row>
    <row r="135" spans="1:369">
      <c r="A135" s="38">
        <f t="shared" si="417"/>
        <v>46174</v>
      </c>
      <c r="B135" s="36">
        <f t="shared" si="536"/>
        <v>6</v>
      </c>
      <c r="C135" s="36">
        <f t="shared" si="537"/>
        <v>2026</v>
      </c>
      <c r="D135" s="36">
        <f t="shared" si="347"/>
        <v>135</v>
      </c>
      <c r="E135" s="38">
        <f t="shared" si="418"/>
        <v>46174</v>
      </c>
      <c r="F135" s="7">
        <v>1444.76</v>
      </c>
      <c r="G135" s="7">
        <v>11826.4103</v>
      </c>
      <c r="H135" s="1">
        <f>[2]NACIONALES!$D123</f>
        <v>1093693.6100000001</v>
      </c>
      <c r="I135" s="7">
        <v>151</v>
      </c>
      <c r="J135" s="7">
        <v>570</v>
      </c>
      <c r="K135" s="7">
        <v>5.4</v>
      </c>
      <c r="L135" s="7">
        <v>37.9</v>
      </c>
      <c r="N135" s="5">
        <f>AVERAGE(1.53,1.54,1.54,1.51)</f>
        <v>1.53</v>
      </c>
      <c r="O135" s="5">
        <f>AVERAGE(1.38,1.4,1.4,1.37)</f>
        <v>1.3875</v>
      </c>
      <c r="P135" s="78">
        <f t="shared" si="485"/>
        <v>2002.1664674999997</v>
      </c>
      <c r="Q135" s="6">
        <v>28000</v>
      </c>
      <c r="R135" s="79">
        <f t="shared" si="419"/>
        <v>280000</v>
      </c>
      <c r="S135" s="6">
        <v>195.76</v>
      </c>
      <c r="T135" s="6">
        <f>648900/F135</f>
        <v>449.14034164843986</v>
      </c>
      <c r="U135" s="6">
        <v>180.14</v>
      </c>
      <c r="V135" s="6">
        <v>324</v>
      </c>
      <c r="W135" s="6">
        <v>229</v>
      </c>
      <c r="X135" s="6">
        <v>214.5</v>
      </c>
      <c r="Y135" s="79">
        <f t="shared" si="420"/>
        <v>282826.21759999997</v>
      </c>
      <c r="Z135" s="79">
        <f t="shared" si="421"/>
        <v>648900</v>
      </c>
      <c r="AA135" s="79">
        <f t="shared" si="422"/>
        <v>260259.06639999998</v>
      </c>
      <c r="AB135" s="79">
        <f t="shared" si="423"/>
        <v>468102.24</v>
      </c>
      <c r="AC135" s="79">
        <f t="shared" si="424"/>
        <v>330850.03999999998</v>
      </c>
      <c r="AD135" s="79">
        <f t="shared" si="425"/>
        <v>309901.02</v>
      </c>
      <c r="AE135" s="79">
        <f t="shared" si="426"/>
        <v>383473.09733333334</v>
      </c>
      <c r="AF135" s="83">
        <f>659*F135</f>
        <v>952096.84</v>
      </c>
      <c r="AG135" s="83">
        <v>260000</v>
      </c>
      <c r="AH135" s="83">
        <v>1050000</v>
      </c>
      <c r="AI135" s="5">
        <v>303.39999999999998</v>
      </c>
      <c r="AJ135" s="5">
        <v>80.239999999999995</v>
      </c>
      <c r="AK135" s="5">
        <v>251.69</v>
      </c>
      <c r="AL135" s="5">
        <v>193.94</v>
      </c>
      <c r="AM135" s="78">
        <f t="shared" si="458"/>
        <v>254.7586</v>
      </c>
      <c r="AN135" s="7">
        <v>40647.82608695652</v>
      </c>
      <c r="AO135" s="7">
        <v>23212.142857142859</v>
      </c>
      <c r="AP135" s="78">
        <f t="shared" si="470"/>
        <v>23212.142857142859</v>
      </c>
      <c r="AQ135" s="7">
        <v>10080.808080808081</v>
      </c>
      <c r="AR135" s="7">
        <v>15434.809523809523</v>
      </c>
      <c r="AS135" s="7">
        <v>13439.714285714286</v>
      </c>
      <c r="AT135" s="7">
        <v>16063.428571428571</v>
      </c>
      <c r="AU135" s="78">
        <f t="shared" si="348"/>
        <v>14979.317460317461</v>
      </c>
      <c r="AV135" s="7">
        <v>14334.375</v>
      </c>
      <c r="AW135" s="7">
        <v>28190.476190476191</v>
      </c>
      <c r="AX135" s="7">
        <v>12822.190476190477</v>
      </c>
      <c r="AY135" s="7">
        <v>31156.25</v>
      </c>
      <c r="AZ135" s="7">
        <v>14268.142857142857</v>
      </c>
      <c r="BA135" s="7">
        <v>6164</v>
      </c>
      <c r="BB135" s="94">
        <f>IFERROR(+AVERAGE(AX135,(AY135/18)*20,(AZ135/18)*20,BA135),"")</f>
        <v>17364.434523809527</v>
      </c>
      <c r="BC135" s="68">
        <v>44166</v>
      </c>
      <c r="BD135" s="68">
        <v>39751</v>
      </c>
      <c r="BE135" s="97">
        <v>24400</v>
      </c>
      <c r="BF135" s="97">
        <v>19000</v>
      </c>
      <c r="BG135" s="94">
        <f t="shared" ref="BG135:BG141" si="583">+IFERROR(AVERAGE(BC135:BF135),"")</f>
        <v>31829.25</v>
      </c>
      <c r="BH135" s="7">
        <v>5139.45</v>
      </c>
      <c r="BI135">
        <v>735.97</v>
      </c>
      <c r="BJ135" s="78">
        <f t="shared" si="350"/>
        <v>5875.42</v>
      </c>
      <c r="BK135" s="7">
        <v>4596.08</v>
      </c>
      <c r="BL135" s="7">
        <v>5758.85</v>
      </c>
      <c r="BM135" s="94">
        <f t="shared" si="351"/>
        <v>5177.4650000000001</v>
      </c>
      <c r="BN135" s="5">
        <v>518.16</v>
      </c>
      <c r="BO135" s="84">
        <f>AVERAGE(2692,2783,3054)</f>
        <v>2843</v>
      </c>
      <c r="BP135" s="84">
        <f>AVERAGE(1800,1866)</f>
        <v>1833</v>
      </c>
      <c r="BQ135" s="94">
        <f t="shared" si="435"/>
        <v>2338</v>
      </c>
      <c r="BR135" s="7">
        <v>2025.77</v>
      </c>
      <c r="BS135" s="97">
        <v>9000</v>
      </c>
      <c r="BT135" s="97">
        <f>2.17*F135</f>
        <v>3135.1291999999999</v>
      </c>
      <c r="BU135" s="79">
        <f t="shared" si="436"/>
        <v>117405.3876</v>
      </c>
      <c r="BV135" s="7">
        <v>2949</v>
      </c>
      <c r="BW135" s="7">
        <v>4703.8999999999996</v>
      </c>
      <c r="BY135" s="268">
        <f>BY$10*(1+((H135/H$10-1)*costos!$B$5+((I135*F135)/(I$10*F$10)-1)*costos!$E$5+((J135*F135)/((J$10*F$10)-1)*costos!$F$5/3+((K135*F135)/(K$10*F$10)-1)*costos!$F$5/3+((U135*F135)/(U$10*F$10)-1)*costos!$F$5/3+((L135*F135)/(L$10*F$10)-1)*costos!$G$5+((N135*F135)/(N$10*F$10)-1)*costos!$J$5+((V135*F135)/(V$10*F$10)-1)*costos!$K$5)))</f>
        <v>14225.139844443294</v>
      </c>
      <c r="BZ135" s="268">
        <f>$BZ$10*(1+((H135/$H$10-1)*costos!$B$6+((I135*F135)/($I$10*$F$10)-1)*costos!$E$6+((J135*F135)/(($J$10*$F$10)-1)*costos!$F$6/3+((K135*F135)/($K$10*$F$10)-1)*costos!$F$6/3+((U135*F135)/($U$10*$F$10)-1)*costos!$F$6/3+((L135*F135)/($L$10*$F$10)-1)*costos!$G$6+((Q135*F135)/($Q$10*$F$10)-1)*costos!$J$6+((V135*F135)/($V$10*$F$10)-1)*costos!$K$6)))</f>
        <v>15522.415666118866</v>
      </c>
      <c r="CA135" s="268">
        <f>CA$10*(1+((H135/H$10-1)*costos!$B$7+((I135*F135)/(I$10*F$10)-1)*costos!$E$7+((J135*F135)/((J$10*F$10)-1)*costos!$F$7/3+((K135*F135)/(K$10*F$10)-1)*costos!$F$7/3+((U135*F135)/(U$10*F$10)-1)*costos!$F$7/3+((L135*F135)/(L$10*F$10)-1)*costos!$G$7+((S135*F135)/(S$10*F$10)-1)*costos!$J$7+((V135*F135)/(V$10*F$10)-1)*costos!$K$7)))</f>
        <v>14276.103346721216</v>
      </c>
      <c r="CB135" s="268">
        <f>CB$10*(1+((H135/H$10-1)*costos!$B$8+((I135*F135)/(I$10*F$10)-1)*costos!$E$8+((J135*F135)/((J$10*F$10)-1)*costos!$F$8/3+((K135*F135)/(K$10*F$10)-1)*costos!$F$8/3+((U135*F135)/(U$10*F$10)-1)*costos!$F$8/3+((L135*F135)/(L$10*F$10)-1)*costos!$G$8+((T135*F135)/(T$10*F$10)-1)*costos!$J$8+((V135*F135)/(V$10*F$10)-1)*costos!$K$8)))</f>
        <v>15188.016165839836</v>
      </c>
      <c r="CC135" s="268">
        <f>CC$10*(1+((H135/H$10-1)*costos!$B$9+((I135*F135)/(I$10*F$10)-1)*costos!$E$9+((J135*F135)/((J$10*F$10)-1)*costos!$F$9/3+((K135*F135)/(K$10*F$10)-1)*costos!$F$9/3+((U135*F135)/(U$10*F$10)-1)*costos!$F$9/3+((L135*F135)/(L$10*F$10)-1)*costos!$G$9+((U135*F135)/(U$10*F$10)-1)*costos!$J$9+((V135*F135)/(V$10*F$10)-1)*costos!$K$9)))</f>
        <v>13665.117392654074</v>
      </c>
      <c r="CD135" s="268">
        <f>CD$10*(1+((H135/H$10-1)*costos!$B$11+((I135*F135)/(I$10*F$10)-1)*costos!$E$11+((J135*F135)/((J$10*F$10)-1)*costos!$F$11/3+((K135*F135)/(K$10*F$10)-1)*costos!$F$11/3+((U135*F135)/(U$10*F$10)-1)*costos!$F$11/3+((L135*F135)/(L$10*F$10)-1)*costos!$G$11+((V135*F135)/(V$10*F$10)-1)*costos!$J$11+((V135*F135)/(V$10*F$10)-1)*costos!$K$11)))</f>
        <v>14434.745232204488</v>
      </c>
      <c r="CE135" s="268">
        <f>CE$10*(1+((H135/H$10-1)*costos!$B$12+((I135*F135)/(I$10*F$10)-1)*costos!$E$12+((J135*F135)/((J$10*F$10)-1)*costos!$F$12/3+((K135*F135)/(K$10*F$10)-1)*costos!$F$12/3+((U135*F135)/(U$10*F$10)-1)*costos!$F$12/3+((L135*F135)/(L$10*F$10)-1)*costos!$G$12+((W135*F135)/(W$10*F$10)-1)*costos!$J$12+((V135*F135)/(V$10*F$10)-1)*costos!$K$12)))</f>
        <v>14839.66689334982</v>
      </c>
      <c r="CF135" s="268">
        <f>CF$10*(1+((H135/H$10-1)*costos!$B$13+((I135*F135)/(I$10*F$10)-1)*costos!$E$13+((J135*F135)/((J$10*F$10)-1)*costos!$F$13/3+((K135*F135)/(K$10*F$10)-1)*costos!$F$13/3+((U135*F135)/(U$10*F$10)-1)*costos!$F$13/3+((L135*F135)/(L$10*F$10)-1)*costos!$G$13+((X135*F135)/(X$10*F$10)-1)*costos!$J$13+((V135*F135)/(V$10*F$10)-1)*costos!$K$13)))</f>
        <v>14714.911684455425</v>
      </c>
      <c r="CG135" s="268">
        <f t="shared" ref="CG135" si="584">+AVERAGE(CA135:CF135)</f>
        <v>14519.760119204142</v>
      </c>
      <c r="CH135" s="268">
        <f>CH$10*(1+((H135/H$10-1)*costos!$B$10+((I135*F135)/(I$10*F$10)-1)*costos!$E$10+((J135*F135)/((J$10*F$10)-1)*costos!$F$10/3+((K135*F135)/(K$10*F$10)-1)*costos!$F$10/3+((U135*F135)/(U$10*F$10)-1)*costos!$F$10/3+((L135*F135)/(L$10*F$10)-1)*costos!$G$10+((AF135)/(AF$10)-1)*costos!$J$10+((V135*F135)/(V$10*F$10)-1)*costos!$K$10)))</f>
        <v>14423.270723064794</v>
      </c>
      <c r="CI135" s="268">
        <f>CI$10*(1+((H135/H$10-1)*costos!$B$15+((I135*F135)/(I$10*F$10)-1)*costos!$E$15+((J135*F135)/((J$10*F$10)-1)*costos!$F$15/3+((K135*F135)/(K$10*F$10)-1)*costos!$F$15/3+((U135*F135)/(U$10*F$10)-1)*costos!$F$15/3+((L135*F135)/(L$10*F$10)-1)*costos!$G$15+((AV137)/(AV$10)-1)*costos!$J$15+((V135*F135)/(V$10*F$10)-1)*costos!$K$15)))</f>
        <v>16833.334461696213</v>
      </c>
      <c r="CJ135" s="268">
        <f>CJ$10*(1+((H135/H$10-1)*costos!$B$16+((I135*F135)/(I$10*F$10)-1)*costos!$E$16+((J135*F135)/((J$10*F$10)-1)*costos!$F$16/3+((K135*F135)/(K$10*F$10)-1)*costos!$F$16/3+((U135*F135)/(U$10*F$10)-1)*costos!$F$16/3+((L135*F135)/(L$10*F$10)-1)*costos!$G$16+((AW136)/(AW$10)-1)*costos!$J$16+((V135*F135)/(V$10*F$10)-1)*costos!$K$16)))</f>
        <v>14296.366073784953</v>
      </c>
      <c r="CK135" s="268">
        <f>CK$10*(1+((H135/H$10-1)*costos!$B$17+((I135*F135)/(I$10*F$10)-1)*costos!$E$17+((J135*F135)/((J$10*F$10)-1)*costos!$F$17/3+((K135*F135)/(K$10*F$10)-1)*costos!$F$17/3+((U135*F135)/(U$10*F$10)-1)*costos!$F$17/3+((L135*F135)/(L$10*F$10)-1)*costos!$G$17+((AX136)/(AX$10)-1)*costos!$J$17+((V135*F135)/(V$10*F$10)-1)*costos!$K$17)))</f>
        <v>15714.571630353015</v>
      </c>
      <c r="CL135" s="268">
        <f>CL$10*(1+((H135/H$10-1)*costos!$B$18+((I135*F135)/(I$10*F$10)-1)*costos!$E$18+((J135*F135)/((J$10*F$10)-1)*costos!$F$18/3+((K135*F135)/(K$10*F$10)-1)*costos!$F$18/3+((U135*F135)/(U$10*F$10)-1)*costos!$F$18/3+((L135*F135)/(L$10*F$10)-1)*costos!$G$18+((AY136)/(AY$10)-1)*costos!$J$18+((V135*F135)/(V$10*F$10)-1)*costos!$K$18)))</f>
        <v>17811.125513497878</v>
      </c>
      <c r="CM135" s="268">
        <f>CM$10*(1+((H135/H$10-1)*costos!$B$19+((I135*F135)/(I$10*F$10)-1)*costos!$E$19+((J135*F135)/((J$10*F$10)-1)*costos!$F$19/3+((K135*F135)/(K$10*F$10)-1)*costos!$F$19/3+((U135*F135)/(U$10*F$10)-1)*costos!$F$19/3+((L135*F135)/(L$10*F$10)-1)*costos!$G$19+((AZ136)/(AZ$10)-1)*costos!$J$19+((V135*F135)/(V$10*F$10)-1)*costos!$K$19)))</f>
        <v>13292.571817173008</v>
      </c>
      <c r="CN135" s="268">
        <f>CN$10*(1+((H135/H$10-1)*costos!$B$20+((I135*F135)/(I$10*F$10)-1)*costos!$E$20+((J135*F135)/((J$10*F$10)-1)*costos!$F$20/3+((K135*F135)/(K$10*F$10)-1)*costos!$F$20/3+((U135*F135)/(U$10*F$10)-1)*costos!$F$20/3+((L135*F135)/(L$10*F$10)-1)*costos!$G$20+((BA136)/(BA$10)-1)*costos!$J$20+((V135*F135)/(V$10*F$10)-1)*costos!$K$20)))</f>
        <v>14226.538577709864</v>
      </c>
      <c r="CO135" s="268">
        <f t="shared" ref="CO135" si="585">+AVERAGE(CK135:CN135)</f>
        <v>15261.201884683442</v>
      </c>
      <c r="CP135" s="268">
        <f>CP$10*(1+((H135/H$10-1)*costos!$B$22+((I135*F135)/(I$10*F$10)-1)*costos!$E$22+((J135*F135)/((J$10*F$10)-1)*costos!$F$22/3+((K135*F135)/(K$10*F$10)-1)*costos!$F$22/3+((U135*F135)/(U$10*F$10)-1)*costos!$F$22/3+((L135*F135)/(L$10*F$10)-1)*costos!$G$22+(((AVERAGE(AI135:AL135))/((AVERAGE(AI$10:AL$10))-1)*costos!$J$22+((V135*F135)/(V$10*F$10)-1)*costos!$K$22)))))</f>
        <v>14910.247993334087</v>
      </c>
      <c r="CQ135" s="92">
        <f>CQ$10*(1+((H135/H$10-1)*costos!$B$23+((I135*F135)/(I$10*F$10)-1)*costos!$E$23+((J135*F135)/((J$10*F$10)-1)*costos!$F$23/3+((K135*F135)/(K$10*F$10)-1)*costos!$F$23/3+((U135*F135)/(U$10*F$10)-1)*costos!$F$23/3+((L135*F135)/(L$10*F$10)-1)*costos!$G$23+((AN135)/(AN$10)-1)*costos!$J$23+((V135*F135)/(V$10*F$10)-1)*costos!$K$23)))</f>
        <v>14174.292497946846</v>
      </c>
      <c r="CR135" s="268">
        <f>CR$10*(1+((H135/H$10-1)*costos!$B$24+((I135*F135)/(I$10*F$10)-1)*costos!$E$24+((J135*F135)/((J$10*F$10)-1)*costos!$F$24/3+((K135*F135)/(K$10*F$10)-1)*costos!$F$24/3+((U135*F135)/(U$10*F$10)-1)*costos!$F$24/3+((L135*F135)/(L$10*F$10)-1)*costos!$G$24+((AO136)/(AO$10)-1)*costos!$J$24+((V135*F135)/(V$10*F$10)-1)*costos!$K$24)))</f>
        <v>14149.911963836299</v>
      </c>
      <c r="CS135" s="92">
        <f t="shared" si="352"/>
        <v>14162.102230891573</v>
      </c>
      <c r="CT135" s="268">
        <f>CT$10*(1+((H135/H$10-1)*costos!$B$25+((I135*F135)/(I$10*F$10)-1)*costos!$E$25+((J135*F135)/((J$10*F$10)-1)*costos!$F$25/3+((K135*F135)/(K$10*F$10)-1)*costos!$F$25/3+((U135*F135)/(U$10*F$10)-1)*costos!$F$25/3+((L135*F135)/(L$10*F$10)-1)*costos!$G$25+((AQ136)/(AQ$10)-1)*costos!$J$25+((V135*F135)/(V$10*F$10)-1)*costos!$K$25)))</f>
        <v>13105.564819268739</v>
      </c>
      <c r="CU135" s="268">
        <f>CU$10*(1+((H135/H$10-1)*costos!$B$26+((I135*F135)/(I$10*F$10)-1)*costos!$E$26+((J135*F135)/((J$10*F$10)-1)*costos!$F$26/3+((K135*F135)/(K$10*F$10)-1)*costos!$F$26/3+((U135*F135)/(U$10*F$10)-1)*costos!$F$26/3+((L135*F135)/(L$10*F$10)-1)*costos!$G$26+((AR136)/(AR$10)-1)*costos!$J$26+((V135*F135)/(V$10*F$10)-1)*costos!$K$26)))</f>
        <v>13552.25906757862</v>
      </c>
      <c r="CV135" s="268">
        <f>CV$10*(1+((H135/H$10-1)*costos!$B$27+((I135*F135)/(I$10*F$10)-1)*costos!$E$27+((J135*F135)/((J$10*F$10)-1)*costos!$F$27/3+((K135*F135)/(K$10*F$10)-1)*costos!$F$27/3+((U135*F135)/(U$10*F$10)-1)*costos!$F$27/3+((L135*F135)/(L$10*F$10)-1)*costos!$G$27+((AS136)/(AS$10)-1)*costos!$J$27+((V135*F135)/(V$10*F$10)-1)*costos!$K$27)))</f>
        <v>13432.502223798243</v>
      </c>
      <c r="CW135" s="268">
        <f>CW$10*(1+((H135/H$10-1)*costos!$B$28+((I135*F135)/(I$10*F$10)-1)*costos!$E$28+((J135*F135)/((J$10*F$10)-1)*costos!$F$28/3+((K135*F135)/(K$10*F$10)-1)*costos!$F$28/3+((U135*F135)/(U$10*F$10)-1)*costos!$F$28/3+((L135*F135)/(L$10*F$10)-1)*costos!$G$28+((AS136)/(AS$10)-1)*costos!$J$28+((V135*F135)/(V$10*F$10)-1)*costos!$K$28)))</f>
        <v>13432.502223798243</v>
      </c>
      <c r="CX135" s="268">
        <f t="shared" ref="CX135" si="586">+AVERAGE(CU135:CW135)</f>
        <v>13472.421171725035</v>
      </c>
      <c r="CY135" s="268">
        <f>CY$10*(1+((H135/H$10-1)*costos!$B$32+((I135*F135)/(I$10*F$10)-1)*costos!$E$32+((J135*F135)/((J$10*F$10)-1)*costos!$F$32/3+((K135*F135)/(K$10*F$10)-1)*costos!$F$32/3+((U135*F135)/(U$10*F$10)-1)*costos!$F$32/3+((L135*F135)/(L$10*F$10)-1)*costos!$G$32+((AG135)/(AG$10)-1)*costos!$J$32+((V135*F135)/(V$10*F$10)-1)*costos!$K$32)))</f>
        <v>13659.743605167978</v>
      </c>
      <c r="CZ135" s="69">
        <f>CZ$10*(1+((H135/H$10-1)*costos!$B$31+((I135*F135)/(I$10*F$10)-1)*costos!$E$30+((J135*F135)/((J$10*F$10)-1)*costos!$F$30/3+((K135*F135)/(K$10*F$10)-1)*costos!$F$30/3+((U135*F135)/(U$10*F$10)-1)*costos!$F$30/3+((L135*F135)/(L$10*F$10)-1)*costos!$G$30+((BG135)/(BG$10)-1)*costos!$J$30+((V135*F135)/(V$10*F$10)-1)*costos!$K$30)))</f>
        <v>18265.370957880914</v>
      </c>
      <c r="DA135" s="69">
        <f>DA$10*(1+((H135/H$10-1)*costos!$B$31+((I135*F135)/(I$10*F$10)-1)*costos!$E$31+((J135*F135)/((J$10*F$10)-1)*costos!$F$31/3+((K135*F135)/(K$10*F$10)-1)*costos!$F$31/3+((U135*F135)/(U$10*F$10)-1)*costos!$F$31/3+((L135*F135)/(L$10*F$10)-1)*costos!$G$31+((BJ135)/(BJ$10)-1)*costos!$J$31+((V135*F135)/(V$10*F$10)-1)*costos!$K$31)))</f>
        <v>14515.365312140437</v>
      </c>
      <c r="DB135" s="69">
        <f>DB$10*(1+((H135/H$10-1)*costos!$B$36+((I135*F135)/(I$10*F$10)-1)*costos!$E$36+((J135*F135)/((J$10*F$10)-1)*costos!$F$36/3+((K135*F135)/(K$10*F$10)-1)*costos!$F$36/3+((U135*F135)/(U$10*F$10)-1)*costos!$F$36/3+((L135*F135)/(L$10*F$10)-1)*costos!$G$36+((BK135)/(BK$10)-1)*costos!$J$36+((V135*F135)/(V$10*F$10)-1)*costos!$K$36)))</f>
        <v>14954.605991526478</v>
      </c>
      <c r="DC135" s="69">
        <f>DC$10*(1+((H135/H$10-1)*costos!$B$37+((I135*F135)/(I$10*F$10)-1)*costos!$E$37+((U135*F135)/(U$10*F$10)-1)*costos!$F$37+((L135*F135)/(L$10*F$10)-1)*costos!$G$37+((BN135)/(BN$10)-1)*costos!$J$37+((V135*F135)/(V$10*F$10)-1)*costos!$K$37))</f>
        <v>13913.741278844005</v>
      </c>
      <c r="DD135" s="69">
        <f>DD$10*(1+((H135/H$10-1)*costos!$B$39+((I135*F135)/(I$10*F$10)-1)*costos!$E$39+((U135*F135)/(U$10*F$10)-1)*costos!$F$39+((L135*F135)/(L$10*F$10)-1)*costos!$G$39+((BR135)/(BR$10)-1)*costos!$J$39+((V135*F135)/(V$10*F$10)-1)*costos!$K$39))</f>
        <v>13503.404162949619</v>
      </c>
      <c r="DE135" s="69">
        <f>DD$10*(1+((H135/H$10-1)*costos!$B$35+((I135*F135)/(I$10*F$10)-1)*costos!$E$35+((U135*F135)/(U$10*F$10)-1)*costos!$F$35+((L135*F135)/(L$10*F$10)-1)*costos!$G$35+((BR135)/(BR$10)-1)*costos!$J$35+((V135*F135)/(V$10*F$10)-1)*costos!$K$35))</f>
        <v>11510.447665576705</v>
      </c>
      <c r="DF135" s="69">
        <f>DF$10*(1+((H135/H$10-1)*costos!$B$40+((I135*F135)/(I$10*F$10)-1)*costos!$E$40+((U135*F135)/(U$10*F$10)-1)*costos!$F$40+((L135*F135)/(L$10*F$10)-1)*costos!$G$40+((BP135)/(BP$10)-1)*costos!$J$40+((V135*F135)/(V$10*F$10)-1)*costos!$K$40))</f>
        <v>13316.02587115138</v>
      </c>
      <c r="DG135" s="268">
        <f t="shared" ref="DG135" si="587">+((DE135/$DE$10)*100+DF135)/2</f>
        <v>12413.236768364042</v>
      </c>
      <c r="DH135" s="69">
        <f>DH$10*(1+((H135/H$10-1)*costos!$B$34+((I135*F135)/(I$10*F$10)-1)*costos!$E$34+((J135*F135)/((J$10*F$10)-1)*costos!$F$34/3+((K135*F135)/(K$10*F$10)-1)*costos!$F$34/3+((U135*F135)/(U$10*F$10)-1)*costos!$F$34/3+((L135*F135)/(L$10*F$10)-1)*costos!$G$34+((BV135)/(BV$10)-1)*costos!$J$34+((V135*F135)/(V$10*F$10)-1)*costos!$K$34)))</f>
        <v>14316.542934248788</v>
      </c>
      <c r="DI135" s="69">
        <f>DI$10*(1+((H135/H$10-1)*costos!$B$38+((I135*F135)/(I$10*F$10)-1)*costos!$E$38+((J135*F135)/((J$10*F$10)-1)*costos!$F$38/3+((K135*F135)/(K$10*F$10)-1)*costos!$F$38/3+((U135*F135)/(U$10*F$10)-1)*costos!$F$38/3+((L135*F135)/(L$10*F$10)-1)*costos!$G$38+((BU135)/(BU$10)-1)*costos!$J$38+((V135*F135)/(V$10*F$10)-1)*costos!$K$38)))</f>
        <v>14403.783149644869</v>
      </c>
      <c r="DK135" s="1">
        <v>390000</v>
      </c>
      <c r="DL135" s="1" t="s">
        <v>663</v>
      </c>
      <c r="DM135" s="83">
        <v>200000</v>
      </c>
      <c r="DN135" s="83" t="s">
        <v>663</v>
      </c>
      <c r="DO135" s="1">
        <v>1330000</v>
      </c>
      <c r="DP135" s="1" t="s">
        <v>832</v>
      </c>
      <c r="DQ135" s="1">
        <v>3200000</v>
      </c>
      <c r="DR135" s="1" t="s">
        <v>663</v>
      </c>
      <c r="DS135" s="1">
        <v>8400000</v>
      </c>
      <c r="DT135" s="1" t="s">
        <v>663</v>
      </c>
      <c r="DU135" s="1">
        <v>16300000</v>
      </c>
      <c r="DV135" s="1" t="s">
        <v>663</v>
      </c>
      <c r="DW135" s="1">
        <v>760000</v>
      </c>
      <c r="DX135" s="1" t="s">
        <v>663</v>
      </c>
      <c r="DY135" s="1">
        <v>6600000</v>
      </c>
      <c r="DZ135" s="1" t="s">
        <v>832</v>
      </c>
      <c r="EA135" s="79">
        <f>+DY135+DW135+DU135+DS135+DQ135+DO135</f>
        <v>36590000</v>
      </c>
      <c r="EB135" s="1">
        <v>381590</v>
      </c>
      <c r="EC135" s="1" t="s">
        <v>663</v>
      </c>
      <c r="ED135" s="82">
        <v>231352</v>
      </c>
      <c r="EE135" s="144">
        <v>2025</v>
      </c>
      <c r="EF135" s="82">
        <v>196220</v>
      </c>
      <c r="EG135" s="144">
        <v>2025</v>
      </c>
      <c r="EH135" s="83">
        <v>50920790</v>
      </c>
      <c r="EI135" s="143">
        <v>2026</v>
      </c>
      <c r="EJ135" s="83">
        <v>5387190</v>
      </c>
      <c r="EK135" s="143">
        <v>2026</v>
      </c>
      <c r="EL135" s="1">
        <v>11482381</v>
      </c>
      <c r="EM135" s="6">
        <v>2026</v>
      </c>
      <c r="EN135" s="1">
        <v>3025163</v>
      </c>
      <c r="EO135" s="6">
        <v>2026</v>
      </c>
      <c r="EP135" s="83">
        <v>9412</v>
      </c>
      <c r="EQ135" s="83">
        <v>4000000</v>
      </c>
      <c r="ER135" s="82">
        <f t="shared" si="543"/>
        <v>79911</v>
      </c>
      <c r="ET135" s="82">
        <f t="shared" si="514"/>
        <v>19357</v>
      </c>
      <c r="EU135" s="82">
        <f t="shared" si="514"/>
        <v>18703</v>
      </c>
      <c r="EV135" s="82">
        <f t="shared" si="514"/>
        <v>8927</v>
      </c>
      <c r="EW135" s="82">
        <f t="shared" si="514"/>
        <v>17408</v>
      </c>
      <c r="EX135" s="79">
        <f t="shared" ref="EX135" si="588">+SUM(ET135:EW135)</f>
        <v>64395</v>
      </c>
      <c r="EY135" s="82">
        <f t="shared" si="516"/>
        <v>20031</v>
      </c>
      <c r="EZ135" s="83">
        <f t="shared" si="516"/>
        <v>33722</v>
      </c>
      <c r="FA135" s="82">
        <f t="shared" si="516"/>
        <v>19900</v>
      </c>
      <c r="FB135" s="82">
        <f t="shared" si="516"/>
        <v>18184</v>
      </c>
      <c r="FC135" s="79">
        <f t="shared" ref="FC135" si="589">+FB135+FA135</f>
        <v>38084</v>
      </c>
      <c r="FD135" s="82">
        <f t="shared" si="518"/>
        <v>60376</v>
      </c>
      <c r="FF135" s="1">
        <v>770000</v>
      </c>
      <c r="FG135" s="1" t="s">
        <v>663</v>
      </c>
      <c r="FH135" s="1">
        <v>1400000</v>
      </c>
      <c r="FI135" s="1" t="s">
        <v>663</v>
      </c>
      <c r="FJ135" s="1">
        <v>5400006</v>
      </c>
      <c r="FK135" s="1" t="s">
        <v>911</v>
      </c>
      <c r="FL135" s="1">
        <v>6600002</v>
      </c>
      <c r="FM135" s="1" t="s">
        <v>907</v>
      </c>
      <c r="FN135" s="1">
        <v>64000000</v>
      </c>
      <c r="FO135" s="1" t="s">
        <v>663</v>
      </c>
      <c r="FP135" s="1">
        <v>50100000</v>
      </c>
      <c r="FQ135" s="1" t="s">
        <v>663</v>
      </c>
      <c r="FR135" s="1">
        <v>2900000</v>
      </c>
      <c r="FS135" s="1" t="s">
        <v>663</v>
      </c>
      <c r="FT135" s="82">
        <v>27800000</v>
      </c>
      <c r="FU135" s="1" t="s">
        <v>663</v>
      </c>
      <c r="FV135" s="79">
        <f t="shared" si="355"/>
        <v>156800008</v>
      </c>
      <c r="FW135" s="83">
        <v>1311996</v>
      </c>
      <c r="FX135" s="1" t="s">
        <v>663</v>
      </c>
      <c r="FY135" s="1">
        <v>142441</v>
      </c>
      <c r="FZ135" s="79">
        <f t="shared" si="564"/>
        <v>856242.76</v>
      </c>
      <c r="GA135" s="86" t="str">
        <f t="shared" si="462"/>
        <v>jul25 jun26</v>
      </c>
      <c r="GB135" s="1">
        <v>18391299</v>
      </c>
      <c r="GC135" s="6">
        <v>2026</v>
      </c>
      <c r="GD135" s="82">
        <f t="shared" si="546"/>
        <v>2213559</v>
      </c>
      <c r="GE135" s="82">
        <f t="shared" si="547"/>
        <v>410324</v>
      </c>
      <c r="GF135" s="82">
        <f t="shared" si="548"/>
        <v>1003144</v>
      </c>
      <c r="GG135" s="82">
        <f t="shared" si="549"/>
        <v>129694</v>
      </c>
      <c r="GH135" s="79">
        <f t="shared" ref="GH135" si="590">GE135+GF135+GG135</f>
        <v>1543162</v>
      </c>
      <c r="GI135" s="82">
        <f t="shared" si="520"/>
        <v>1302556</v>
      </c>
      <c r="GJ135" s="82">
        <f t="shared" si="520"/>
        <v>682423</v>
      </c>
      <c r="GK135" s="82">
        <f t="shared" si="520"/>
        <v>1391495</v>
      </c>
      <c r="GL135" s="82">
        <f t="shared" si="520"/>
        <v>305049</v>
      </c>
      <c r="GM135" s="82">
        <f t="shared" si="520"/>
        <v>260419</v>
      </c>
      <c r="GN135" s="79">
        <f t="shared" ref="GN135" si="591">+SUM(GJ135:GM135)</f>
        <v>2639386</v>
      </c>
      <c r="GO135" s="82">
        <f t="shared" si="521"/>
        <v>201734</v>
      </c>
      <c r="GP135" s="82">
        <f t="shared" si="521"/>
        <v>75000</v>
      </c>
      <c r="GQ135" s="1">
        <v>31430</v>
      </c>
      <c r="GR135" s="83">
        <v>31038</v>
      </c>
      <c r="GS135" s="79">
        <f t="shared" si="559"/>
        <v>31980.9</v>
      </c>
      <c r="GT135" s="82">
        <f t="shared" si="496"/>
        <v>2111561</v>
      </c>
      <c r="GU135" s="83">
        <f>33776+7187</f>
        <v>40963</v>
      </c>
      <c r="GV135" s="83">
        <f>4571+16214</f>
        <v>20785</v>
      </c>
      <c r="GW135" s="79">
        <f t="shared" si="522"/>
        <v>726492</v>
      </c>
      <c r="GX135" s="82">
        <v>36042.686000000002</v>
      </c>
      <c r="GY135" s="82" t="s">
        <v>802</v>
      </c>
      <c r="GZ135" s="82">
        <v>119643</v>
      </c>
      <c r="HA135" s="1">
        <v>259775</v>
      </c>
      <c r="HB135" s="79">
        <f t="shared" si="523"/>
        <v>3096045</v>
      </c>
      <c r="HC135" s="86" t="str">
        <f t="shared" si="465"/>
        <v>jul25 jun26</v>
      </c>
      <c r="HD135" s="1">
        <v>81002</v>
      </c>
      <c r="HE135" s="79">
        <f t="shared" si="560"/>
        <v>863295</v>
      </c>
      <c r="HF135" s="86" t="str">
        <f t="shared" si="466"/>
        <v>jul25 jun26</v>
      </c>
      <c r="HG135" s="83">
        <v>188000</v>
      </c>
      <c r="HH135" s="79">
        <f t="shared" si="490"/>
        <v>2281000</v>
      </c>
      <c r="HI135" s="86" t="str">
        <f t="shared" si="467"/>
        <v>jul25 jun26</v>
      </c>
      <c r="HJ135" s="1">
        <v>86796</v>
      </c>
      <c r="HK135" s="79">
        <f t="shared" si="524"/>
        <v>66996.240000000005</v>
      </c>
      <c r="HL135" s="86" t="str">
        <f t="shared" si="468"/>
        <v>jul25 jun26</v>
      </c>
      <c r="HM135" s="79">
        <f t="shared" si="358"/>
        <v>2347996.2400000002</v>
      </c>
      <c r="HN135" s="87">
        <f t="shared" si="497"/>
        <v>1.5973178326514015E-2</v>
      </c>
      <c r="HO135" s="1">
        <v>943430951</v>
      </c>
      <c r="HP135" s="79">
        <f t="shared" si="525"/>
        <v>11882.66118693068</v>
      </c>
      <c r="HQ135" s="86" t="str">
        <f t="shared" si="469"/>
        <v>jul25 jun26</v>
      </c>
      <c r="HU135" s="1">
        <v>950000</v>
      </c>
      <c r="HV135" s="1" t="s">
        <v>663</v>
      </c>
      <c r="HW135" s="1">
        <v>1600000</v>
      </c>
      <c r="HX135" s="1" t="s">
        <v>663</v>
      </c>
      <c r="HY135" s="83">
        <v>6000000</v>
      </c>
      <c r="HZ135" s="1" t="s">
        <v>663</v>
      </c>
      <c r="IA135" s="1">
        <f>(3.3+18)*1000000</f>
        <v>21300000</v>
      </c>
      <c r="IB135" s="1" t="s">
        <v>663</v>
      </c>
      <c r="IC135" s="1">
        <v>48500000</v>
      </c>
      <c r="ID135" s="1" t="s">
        <v>663</v>
      </c>
      <c r="IE135" s="1">
        <f>(0.3+1.2)*1000000</f>
        <v>1500000</v>
      </c>
      <c r="IF135" s="1" t="s">
        <v>663</v>
      </c>
      <c r="IG135" s="1">
        <f>(7.2+1.2)*1000000</f>
        <v>8400000</v>
      </c>
      <c r="IH135" s="1" t="s">
        <v>663</v>
      </c>
      <c r="II135" s="79">
        <f t="shared" si="479"/>
        <v>87300000</v>
      </c>
      <c r="IJ135" s="97">
        <f>(8797600*12)/$IJ$2</f>
        <v>2.2719760013883494</v>
      </c>
      <c r="IK135" s="1" t="s">
        <v>663</v>
      </c>
      <c r="IL135" s="7">
        <v>46.71</v>
      </c>
      <c r="IM135" s="58">
        <v>47.28</v>
      </c>
      <c r="IN135" s="97">
        <v>192.6</v>
      </c>
      <c r="IO135" s="7">
        <v>19.93</v>
      </c>
      <c r="IP135" s="97">
        <f>(23458938*12)/IP$2</f>
        <v>6.0582595428363648</v>
      </c>
      <c r="IQ135" s="176">
        <f>(1.23*12)</f>
        <v>14.76</v>
      </c>
      <c r="IR135" s="269">
        <f t="shared" si="526"/>
        <v>6.17</v>
      </c>
      <c r="IS135" s="269">
        <f t="shared" si="526"/>
        <v>5.03</v>
      </c>
      <c r="IT135" s="269">
        <f t="shared" si="526"/>
        <v>11</v>
      </c>
      <c r="IU135" s="269">
        <f t="shared" si="526"/>
        <v>1.1000000000000001</v>
      </c>
      <c r="IV135" s="94">
        <f t="shared" ref="IV135" si="592">+SUM(IS135:IU135)</f>
        <v>17.130000000000003</v>
      </c>
      <c r="IY135" s="80">
        <v>1.88</v>
      </c>
      <c r="IZ135" s="88">
        <v>0.3</v>
      </c>
      <c r="JA135" s="82">
        <v>3555</v>
      </c>
      <c r="JB135" s="95">
        <f t="shared" si="433"/>
        <v>35.950000000000003</v>
      </c>
      <c r="JF135" s="171">
        <v>16.754484870000002</v>
      </c>
      <c r="JG135" s="171">
        <v>26.650133280000002</v>
      </c>
      <c r="JH135" s="171">
        <v>115.27627865999999</v>
      </c>
      <c r="JI135" s="171">
        <v>595.84876152000004</v>
      </c>
      <c r="JJ135" s="171">
        <v>791.69343159999994</v>
      </c>
      <c r="JK135" s="171">
        <v>103.15800954999999</v>
      </c>
      <c r="JL135" s="171">
        <v>2782.5504108499999</v>
      </c>
      <c r="JM135" s="171">
        <v>57.135942560000004</v>
      </c>
      <c r="JN135" s="171">
        <v>145.32731435999997</v>
      </c>
      <c r="JO135" s="171">
        <v>37.517881269999997</v>
      </c>
      <c r="JP135" s="171">
        <v>0</v>
      </c>
      <c r="JQ135" s="171">
        <v>7.3506554199999998</v>
      </c>
      <c r="JR135" s="171">
        <v>1.1376573000000001</v>
      </c>
      <c r="JS135" s="171">
        <v>0</v>
      </c>
      <c r="JT135" s="171">
        <v>3.0269999999999998E-2</v>
      </c>
      <c r="JU135" s="171">
        <v>79.130319490000005</v>
      </c>
      <c r="JV135" s="171">
        <v>11.57388319</v>
      </c>
      <c r="JW135" s="171">
        <v>31.756960279999998</v>
      </c>
      <c r="JX135" s="171">
        <v>87.493690209999997</v>
      </c>
      <c r="JY135" s="171">
        <v>0</v>
      </c>
      <c r="JZ135" s="171">
        <v>5.1711062200000004</v>
      </c>
      <c r="KA135" s="171">
        <v>0.59249999999999992</v>
      </c>
      <c r="KB135" s="171">
        <v>19.845367980000006</v>
      </c>
      <c r="KC135" s="171">
        <v>36.186583909999996</v>
      </c>
      <c r="KD135" s="171">
        <v>11.89200067</v>
      </c>
      <c r="KE135" s="171">
        <v>28.449320459999999</v>
      </c>
      <c r="KF135" s="171">
        <v>6.9442140999999999</v>
      </c>
      <c r="KG135" s="171">
        <v>550.16099316000009</v>
      </c>
      <c r="KH135" s="171">
        <v>169.98133484999997</v>
      </c>
      <c r="KI135" s="171">
        <v>34.873953459999996</v>
      </c>
      <c r="KJ135" s="171">
        <v>2.9139961099999998</v>
      </c>
      <c r="KK135" s="171">
        <v>7.7956888200000014</v>
      </c>
      <c r="KL135" s="171">
        <v>0.34271688000000006</v>
      </c>
      <c r="KM135" s="171">
        <v>1.02850788</v>
      </c>
      <c r="KN135" s="171">
        <v>1.8860904000000001</v>
      </c>
      <c r="KO135" s="171">
        <v>1.9032549000000001</v>
      </c>
      <c r="KP135" s="171">
        <v>3.7511610000000001E-2</v>
      </c>
      <c r="KQ135" s="171">
        <v>359.18512384000002</v>
      </c>
      <c r="KR135" s="171">
        <v>0</v>
      </c>
      <c r="KS135" s="171">
        <v>1.39769999</v>
      </c>
      <c r="KT135" s="171">
        <v>1.3561104000000002</v>
      </c>
      <c r="KU135" s="171">
        <v>1.4539633799999998</v>
      </c>
      <c r="KV135" s="171">
        <v>8.2875000000000004E-2</v>
      </c>
      <c r="KW135" s="171">
        <v>3.04645696</v>
      </c>
      <c r="KX135" s="171">
        <v>0</v>
      </c>
      <c r="KY135" s="171">
        <v>0</v>
      </c>
      <c r="KZ135" s="171">
        <v>3.2996336199999998</v>
      </c>
      <c r="LA135" s="171">
        <v>1.2399187</v>
      </c>
      <c r="LB135" s="171">
        <v>3.8590400000000004E-2</v>
      </c>
      <c r="LC135" s="171">
        <v>9.8716800000000007E-2</v>
      </c>
      <c r="LD135" s="171">
        <v>0</v>
      </c>
      <c r="LE135" s="171">
        <v>3.6497559999999998E-2</v>
      </c>
      <c r="LF135" s="171">
        <v>0</v>
      </c>
      <c r="LG135" s="171">
        <v>16.692081819999999</v>
      </c>
      <c r="LH135" s="171">
        <v>6.0739887699999997</v>
      </c>
      <c r="LI135" s="171">
        <v>1.6436615300000001</v>
      </c>
      <c r="LJ135" s="171">
        <v>2.5818E-3</v>
      </c>
      <c r="LK135" s="171">
        <v>3.9810733000000003</v>
      </c>
      <c r="LL135" s="171">
        <v>21.656690020000006</v>
      </c>
      <c r="LM135" s="171">
        <v>3.2827755199999999</v>
      </c>
      <c r="LN135" s="171">
        <v>0.24107202999999999</v>
      </c>
      <c r="LO135" s="171">
        <v>18.261070109999999</v>
      </c>
      <c r="LQ135" s="85">
        <f t="shared" si="575"/>
        <v>4487.8321395500006</v>
      </c>
      <c r="LR135" s="85">
        <f t="shared" si="576"/>
        <v>8.5185827199999995</v>
      </c>
      <c r="LS135" s="85">
        <f t="shared" si="577"/>
        <v>43.330843469999998</v>
      </c>
      <c r="LT135" s="85">
        <f t="shared" si="578"/>
        <v>5.7636062200000007</v>
      </c>
      <c r="LU135" s="85">
        <f t="shared" si="579"/>
        <v>365.40067700999998</v>
      </c>
      <c r="LV135" s="85">
        <f t="shared" si="580"/>
        <v>3.12933196</v>
      </c>
      <c r="LW135" s="85">
        <f t="shared" si="581"/>
        <v>1.2785091</v>
      </c>
      <c r="LX135" s="85">
        <f t="shared" si="582"/>
        <v>3.6497559999999998E-2</v>
      </c>
      <c r="LZ135" s="83">
        <v>1788.47</v>
      </c>
      <c r="MA135" s="83">
        <v>1783.17</v>
      </c>
      <c r="MB135"/>
      <c r="MC135"/>
      <c r="MD135"/>
      <c r="MF135"/>
      <c r="MG135"/>
      <c r="MH135" s="83">
        <v>4652.79</v>
      </c>
      <c r="MI135" s="83">
        <v>991.11</v>
      </c>
      <c r="MJ135" s="83">
        <v>1544.25</v>
      </c>
      <c r="MK135" s="83">
        <v>3790</v>
      </c>
      <c r="ML135" s="83">
        <v>1295.49</v>
      </c>
      <c r="MM135" s="83">
        <v>3400.05</v>
      </c>
      <c r="MN135" s="83">
        <v>1559</v>
      </c>
      <c r="MO135" s="83">
        <v>1192.04</v>
      </c>
      <c r="MP135" s="83">
        <v>2311.5100000000002</v>
      </c>
      <c r="MQ135" s="83">
        <v>3982.34</v>
      </c>
      <c r="MR135" s="83">
        <v>2999</v>
      </c>
      <c r="MS135" s="83">
        <v>1541.85</v>
      </c>
      <c r="MT135" s="83">
        <v>999</v>
      </c>
      <c r="MU135" s="83">
        <v>1279.8499999999999</v>
      </c>
      <c r="MV135" s="83">
        <v>1799</v>
      </c>
      <c r="MW135"/>
      <c r="MX135"/>
      <c r="MY135" s="83">
        <v>2605.29</v>
      </c>
      <c r="MZ135" s="83">
        <v>8834</v>
      </c>
      <c r="NA135" s="83">
        <v>4982</v>
      </c>
      <c r="NB135" s="83">
        <v>17916</v>
      </c>
      <c r="NC135" s="83">
        <v>1926.42</v>
      </c>
      <c r="ND135" s="83">
        <v>15990</v>
      </c>
      <c r="NE135" s="83">
        <v>9143</v>
      </c>
    </row>
    <row r="136" spans="1:369">
      <c r="A136" s="38">
        <f t="shared" si="417"/>
        <v>46204</v>
      </c>
      <c r="B136" s="36">
        <f t="shared" si="536"/>
        <v>7</v>
      </c>
      <c r="C136" s="36">
        <f t="shared" si="537"/>
        <v>2026</v>
      </c>
      <c r="D136" s="36">
        <f t="shared" si="347"/>
        <v>136</v>
      </c>
      <c r="E136" s="38">
        <f t="shared" si="418"/>
        <v>46204</v>
      </c>
      <c r="F136" s="7">
        <v>1487.0038095238092</v>
      </c>
      <c r="G136" s="7">
        <v>12076.393700000001</v>
      </c>
      <c r="H136" s="1">
        <f>[2]NACIONALES!$D124</f>
        <v>1144473.79</v>
      </c>
      <c r="I136" s="7">
        <v>155</v>
      </c>
      <c r="J136" s="7">
        <v>650</v>
      </c>
      <c r="K136" s="7">
        <v>5.4</v>
      </c>
      <c r="L136" s="7">
        <v>37.799999999999997</v>
      </c>
      <c r="N136" s="5">
        <f>AVERAGE(1.49,1.52,1.53,1.55,1.55)</f>
        <v>1.528</v>
      </c>
      <c r="O136" s="5">
        <f>AVERAGE(1.36,1.37,1.38,1.4,1.4)</f>
        <v>1.3820000000000001</v>
      </c>
      <c r="P136" s="78">
        <f t="shared" si="485"/>
        <v>2055.4110157142854</v>
      </c>
      <c r="Q136" s="6">
        <v>28000</v>
      </c>
      <c r="R136" s="79">
        <f t="shared" si="419"/>
        <v>280000</v>
      </c>
      <c r="S136" s="6">
        <v>193</v>
      </c>
      <c r="T136" s="6">
        <f>AVERAGE(693720,665550)/F136</f>
        <v>457.04993870704538</v>
      </c>
      <c r="U136" s="6">
        <v>186.00526315789469</v>
      </c>
      <c r="V136" s="6">
        <v>335.90555555555557</v>
      </c>
      <c r="W136" s="6">
        <v>224</v>
      </c>
      <c r="X136" s="6">
        <v>220.48571428571427</v>
      </c>
      <c r="Y136" s="79">
        <f t="shared" ref="Y136:Y137" si="593">IFERROR(+AVERAGE(S136)*$F136,"")</f>
        <v>286991.73523809516</v>
      </c>
      <c r="Z136" s="79">
        <f t="shared" ref="Z136:Z137" si="594">IFERROR(+AVERAGE(T136)*$F136,"")</f>
        <v>679635</v>
      </c>
      <c r="AA136" s="79">
        <f t="shared" ref="AA136:AA137" si="595">IFERROR(+AVERAGE(U136)*$F136,"")</f>
        <v>276590.53490726801</v>
      </c>
      <c r="AB136" s="79">
        <f t="shared" ref="AB136:AB137" si="596">IFERROR(+AVERAGE(V136)*$F136,"")</f>
        <v>499492.84075132268</v>
      </c>
      <c r="AC136" s="79">
        <f t="shared" ref="AC136:AC137" si="597">IFERROR(+AVERAGE(W136)*$F136,"")</f>
        <v>333088.85333333327</v>
      </c>
      <c r="AD136" s="79">
        <f t="shared" ref="AD136:AD137" si="598">IFERROR(+AVERAGE(X136)*$F136,"")</f>
        <v>327863.09708843526</v>
      </c>
      <c r="AE136" s="79">
        <f t="shared" ref="AE136:AE137" si="599">IFERROR(+AVERAGE(S136:X136)*F136,"")</f>
        <v>400610.34355307574</v>
      </c>
      <c r="AF136" s="83">
        <f>664*F136</f>
        <v>987370.52952380932</v>
      </c>
      <c r="AG136" s="83">
        <v>260000</v>
      </c>
      <c r="AH136" s="83">
        <v>1050000</v>
      </c>
      <c r="AI136" s="5">
        <v>397.35</v>
      </c>
      <c r="AJ136" s="5">
        <v>193.16</v>
      </c>
      <c r="AK136" s="5">
        <v>103.98</v>
      </c>
      <c r="AL136" s="5">
        <v>180.03</v>
      </c>
      <c r="AM136" s="78">
        <f t="shared" si="458"/>
        <v>260.74940000000004</v>
      </c>
      <c r="AN136" s="851">
        <v>40491.379999999997</v>
      </c>
      <c r="AO136" s="851">
        <v>24098.76</v>
      </c>
      <c r="AP136" s="78">
        <f>IFERROR(+AVERAGE(AN136:AO136),"")</f>
        <v>32295.07</v>
      </c>
      <c r="AQ136" s="851">
        <v>9863.4599999999991</v>
      </c>
      <c r="AR136" s="851">
        <v>13245</v>
      </c>
      <c r="AS136" s="893">
        <v>11690</v>
      </c>
      <c r="AT136" s="851">
        <v>14920.52</v>
      </c>
      <c r="AU136" s="78">
        <f t="shared" si="348"/>
        <v>13285.173333333334</v>
      </c>
      <c r="AV136" s="851">
        <v>18662.89</v>
      </c>
      <c r="AW136" s="851">
        <v>27547.62</v>
      </c>
      <c r="AX136" s="851">
        <v>16725.189999999999</v>
      </c>
      <c r="AY136" s="851">
        <v>29771.43</v>
      </c>
      <c r="AZ136" s="851">
        <v>12061.9</v>
      </c>
      <c r="BA136" s="851">
        <v>12300</v>
      </c>
      <c r="BB136" s="94">
        <f>IFERROR(+AVERAGE(AX136,(AY136/18)*20,(AZ136/18)*20,BA136),"")</f>
        <v>18876.666944444445</v>
      </c>
      <c r="BC136" s="68">
        <v>44166</v>
      </c>
      <c r="BD136" s="68">
        <v>39751</v>
      </c>
      <c r="BE136" s="97">
        <v>24400</v>
      </c>
      <c r="BF136" s="97">
        <v>19000</v>
      </c>
      <c r="BG136" s="94">
        <f t="shared" si="583"/>
        <v>31829.25</v>
      </c>
      <c r="BH136" s="7">
        <v>5139.45</v>
      </c>
      <c r="BI136">
        <v>735.97</v>
      </c>
      <c r="BJ136" s="78">
        <f t="shared" si="350"/>
        <v>5875.42</v>
      </c>
      <c r="BK136" s="7">
        <v>4680.6790000000001</v>
      </c>
      <c r="BL136" s="7">
        <v>6211.51</v>
      </c>
      <c r="BM136" s="94">
        <f t="shared" si="351"/>
        <v>5446.0945000000002</v>
      </c>
      <c r="BN136">
        <v>527.47</v>
      </c>
      <c r="BO136" s="84">
        <f>AVERAGE(2963,2737,2647)</f>
        <v>2782.3333333333335</v>
      </c>
      <c r="BP136" s="84">
        <f>AVERAGE(1666,1733)</f>
        <v>1699.5</v>
      </c>
      <c r="BQ136" s="78">
        <f t="shared" si="435"/>
        <v>2240.916666666667</v>
      </c>
      <c r="BR136" s="7">
        <v>2038.09</v>
      </c>
      <c r="BS136" s="97">
        <v>8500</v>
      </c>
      <c r="BT136" s="97">
        <f>2.7*F136</f>
        <v>4014.9102857142852</v>
      </c>
      <c r="BU136" s="79">
        <f t="shared" si="436"/>
        <v>114044.73085714286</v>
      </c>
      <c r="BV136" s="7">
        <v>3162</v>
      </c>
      <c r="BW136" s="7">
        <v>4661.8</v>
      </c>
      <c r="BY136" s="268">
        <f>BY$10*(1+((H136/H$10-1)*costos!$B$5+((I136*F136)/(I$10*F$10)-1)*costos!$E$5+((J136*F136)/((J$10*F$10)-1)*costos!$F$5/3+((K136*F136)/(K$10*F$10)-1)*costos!$F$5/3+((U136*F136)/(U$10*F$10)-1)*costos!$F$5/3+((L136*F136)/(L$10*F$10)-1)*costos!$G$5+((N136*F136)/(N$10*F$10)-1)*costos!$J$5+((V136*F136)/(V$10*F$10)-1)*costos!$K$5)))</f>
        <v>14989.587996030394</v>
      </c>
      <c r="BZ136" s="268">
        <f>$BZ$10*(1+((H136/$H$10-1)*costos!$B$6+((I136*F136)/($I$10*$F$10)-1)*costos!$E$6+((J136*F136)/(($J$10*$F$10)-1)*costos!$F$6/3+((K136*F136)/($K$10*$F$10)-1)*costos!$F$6/3+((U136*F136)/($U$10*$F$10)-1)*costos!$F$6/3+((L136*F136)/($L$10*$F$10)-1)*costos!$G$6+((Q136*F136)/($Q$10*$F$10)-1)*costos!$J$6+((V136*F136)/($V$10*$F$10)-1)*costos!$K$6)))</f>
        <v>16466.499342504016</v>
      </c>
      <c r="CA136" s="268">
        <f>CA$10*(1+((H136/H$10-1)*costos!$B$7+((I136*F136)/(I$10*F$10)-1)*costos!$E$7+((J136*F136)/((J$10*F$10)-1)*costos!$F$7/3+((K136*F136)/(K$10*F$10)-1)*costos!$F$7/3+((U136*F136)/(U$10*F$10)-1)*costos!$F$7/3+((L136*F136)/(L$10*F$10)-1)*costos!$G$7+((S136*F136)/(S$10*F$10)-1)*costos!$J$7+((V136*F136)/(V$10*F$10)-1)*costos!$K$7)))</f>
        <v>15030.282346481454</v>
      </c>
      <c r="CB136" s="268">
        <f>CB$10*(1+((H136/H$10-1)*costos!$B$8+((I136*F136)/(I$10*F$10)-1)*costos!$E$8+((J136*F136)/((J$10*F$10)-1)*costos!$F$8/3+((K136*F136)/(K$10*F$10)-1)*costos!$F$8/3+((U136*F136)/(U$10*F$10)-1)*costos!$F$8/3+((L136*F136)/(L$10*F$10)-1)*costos!$G$8+((T136*F136)/(T$10*F$10)-1)*costos!$J$8+((V136*F136)/(V$10*F$10)-1)*costos!$K$8)))</f>
        <v>16030.331088186651</v>
      </c>
      <c r="CC136" s="268">
        <f>CC$10*(1+((H136/H$10-1)*costos!$B$9+((I136*F136)/(I$10*F$10)-1)*costos!$E$9+((J136*F136)/((J$10*F$10)-1)*costos!$F$9/3+((K136*F136)/(K$10*F$10)-1)*costos!$F$9/3+((U136*F136)/(U$10*F$10)-1)*costos!$F$9/3+((L136*F136)/(L$10*F$10)-1)*costos!$G$9+((U136*F136)/(U$10*F$10)-1)*costos!$J$9+((V136*F136)/(V$10*F$10)-1)*costos!$K$9)))</f>
        <v>14463.432668844462</v>
      </c>
      <c r="CD136" s="268">
        <f>CD$10*(1+((H136/H$10-1)*costos!$B$11+((I136*F136)/(I$10*F$10)-1)*costos!$E$11+((J136*F136)/((J$10*F$10)-1)*costos!$F$11/3+((K136*F136)/(K$10*F$10)-1)*costos!$F$11/3+((U136*F136)/(U$10*F$10)-1)*costos!$F$11/3+((L136*F136)/(L$10*F$10)-1)*costos!$G$11+((V136*F136)/(V$10*F$10)-1)*costos!$J$11+((V136*F136)/(V$10*F$10)-1)*costos!$K$11)))</f>
        <v>15362.30996547452</v>
      </c>
      <c r="CE136" s="268">
        <f>CE$10*(1+((H136/H$10-1)*costos!$B$12+((I136*F136)/(I$10*F$10)-1)*costos!$E$12+((J136*F136)/((J$10*F$10)-1)*costos!$F$12/3+((K136*F136)/(K$10*F$10)-1)*costos!$F$12/3+((U136*F136)/(U$10*F$10)-1)*costos!$F$12/3+((L136*F136)/(L$10*F$10)-1)*costos!$G$12+((W136*F136)/(W$10*F$10)-1)*costos!$J$12+((V136*F136)/(V$10*F$10)-1)*costos!$K$12)))</f>
        <v>15402.131240925723</v>
      </c>
      <c r="CF136" s="268">
        <f>CF$10*(1+((H136/H$10-1)*costos!$B$13+((I136*F136)/(I$10*F$10)-1)*costos!$E$13+((J136*F136)/((J$10*F$10)-1)*costos!$F$13/3+((K136*F136)/(K$10*F$10)-1)*costos!$F$13/3+((U136*F136)/(U$10*F$10)-1)*costos!$F$13/3+((L136*F136)/(L$10*F$10)-1)*costos!$G$13+((X136*F136)/(X$10*F$10)-1)*costos!$J$13+((V136*F136)/(V$10*F$10)-1)*costos!$K$13)))</f>
        <v>15618.288374450725</v>
      </c>
      <c r="CG136" s="268">
        <f t="shared" ref="CG136" si="600">+AVERAGE(CA136:CF136)</f>
        <v>15317.795947393925</v>
      </c>
      <c r="CH136" s="268">
        <f>CH$10*(1+((H136/H$10-1)*costos!$B$10+((I136*F136)/(I$10*F$10)-1)*costos!$E$10+((J136*F136)/((J$10*F$10)-1)*costos!$F$10/3+((K136*F136)/(K$10*F$10)-1)*costos!$F$10/3+((U136*F136)/(U$10*F$10)-1)*costos!$F$10/3+((L136*F136)/(L$10*F$10)-1)*costos!$G$10+((AF136)/(AF$10)-1)*costos!$J$10+((V136*F136)/(V$10*F$10)-1)*costos!$K$10)))</f>
        <v>15196.613049313208</v>
      </c>
      <c r="CI136" s="268">
        <f>CI$10*(1+((H136/H$10-1)*costos!$B$15+((I136*F136)/(I$10*F$10)-1)*costos!$E$15+((J136*F136)/((J$10*F$10)-1)*costos!$F$15/3+((K136*F136)/(K$10*F$10)-1)*costos!$F$15/3+((U136*F136)/(U$10*F$10)-1)*costos!$F$15/3+((L136*F136)/(L$10*F$10)-1)*costos!$G$15+((AV138)/(AV$10)-1)*costos!$J$15+((V136*F136)/(V$10*F$10)-1)*costos!$K$15)))</f>
        <v>13753.374435309808</v>
      </c>
      <c r="CJ136" s="268">
        <f>CJ$10*(1+((H136/H$10-1)*costos!$B$16+((I136*F136)/(I$10*F$10)-1)*costos!$E$16+((J136*F136)/((J$10*F$10)-1)*costos!$F$16/3+((K136*F136)/(K$10*F$10)-1)*costos!$F$16/3+((U136*F136)/(U$10*F$10)-1)*costos!$F$16/3+((L136*F136)/(L$10*F$10)-1)*costos!$G$16+((AW137)/(AW$10)-1)*costos!$J$16+((V136*F136)/(V$10*F$10)-1)*costos!$K$16)))</f>
        <v>15000.712546707029</v>
      </c>
      <c r="CK136" s="268">
        <f>CK$10*(1+((H136/H$10-1)*costos!$B$17+((I136*F136)/(I$10*F$10)-1)*costos!$E$17+((J136*F136)/((J$10*F$10)-1)*costos!$F$17/3+((K136*F136)/(K$10*F$10)-1)*costos!$F$17/3+((U136*F136)/(U$10*F$10)-1)*costos!$F$17/3+((L136*F136)/(L$10*F$10)-1)*costos!$G$17+((AX137)/(AX$10)-1)*costos!$J$17+((V136*F136)/(V$10*F$10)-1)*costos!$K$17)))</f>
        <v>17706.64606730597</v>
      </c>
      <c r="CL136" s="268">
        <f>CL$10*(1+((H136/H$10-1)*costos!$B$18+((I136*F136)/(I$10*F$10)-1)*costos!$E$18+((J136*F136)/((J$10*F$10)-1)*costos!$F$18/3+((K136*F136)/(K$10*F$10)-1)*costos!$F$18/3+((U136*F136)/(U$10*F$10)-1)*costos!$F$18/3+((L136*F136)/(L$10*F$10)-1)*costos!$G$18+((AY137)/(AY$10)-1)*costos!$J$18+((V136*F136)/(V$10*F$10)-1)*costos!$K$18)))</f>
        <v>17285.446821267025</v>
      </c>
      <c r="CM136" s="268">
        <f>CM$10*(1+((H136/H$10-1)*costos!$B$19+((I136*F136)/(I$10*F$10)-1)*costos!$E$19+((J136*F136)/((J$10*F$10)-1)*costos!$F$19/3+((K136*F136)/(K$10*F$10)-1)*costos!$F$19/3+((U136*F136)/(U$10*F$10)-1)*costos!$F$19/3+((L136*F136)/(L$10*F$10)-1)*costos!$G$19+((AZ137)/(AZ$10)-1)*costos!$J$19+((V136*F136)/(V$10*F$10)-1)*costos!$K$19)))</f>
        <v>13681.252002370018</v>
      </c>
      <c r="CN136" s="268">
        <f>CN$10*(1+((H136/H$10-1)*costos!$B$20+((I136*F136)/(I$10*F$10)-1)*costos!$E$20+((J136*F136)/((J$10*F$10)-1)*costos!$F$20/3+((K136*F136)/(K$10*F$10)-1)*costos!$F$20/3+((U136*F136)/(U$10*F$10)-1)*costos!$F$20/3+((L136*F136)/(L$10*F$10)-1)*costos!$G$20+((BA137)/(BA$10)-1)*costos!$J$20+((V136*F136)/(V$10*F$10)-1)*costos!$K$20)))</f>
        <v>14824.539724981212</v>
      </c>
      <c r="CO136" s="268">
        <f t="shared" ref="CO136" si="601">+AVERAGE(CK136:CN136)</f>
        <v>15874.471153981056</v>
      </c>
      <c r="CP136" s="268">
        <f>CP$10*(1+((H136/H$10-1)*costos!$B$22+((I136*F136)/(I$10*F$10)-1)*costos!$E$22+((J136*F136)/((J$10*F$10)-1)*costos!$F$22/3+((K136*F136)/(K$10*F$10)-1)*costos!$F$22/3+((U136*F136)/(U$10*F$10)-1)*costos!$F$22/3+((L136*F136)/(L$10*F$10)-1)*costos!$G$22+(((AVERAGE(AI136:AL136))/((AVERAGE(AI$10:AL$10))-1)*costos!$J$22+((V136*F136)/(V$10*F$10)-1)*costos!$K$22)))))</f>
        <v>15749.771514937305</v>
      </c>
      <c r="CQ136" s="92">
        <f>CQ$10*(1+((H136/H$10-1)*costos!$B$23+((I136*F136)/(I$10*F$10)-1)*costos!$E$23+((J136*F136)/((J$10*F$10)-1)*costos!$F$23/3+((K136*F136)/(K$10*F$10)-1)*costos!$F$23/3+((U136*F136)/(U$10*F$10)-1)*costos!$F$23/3+((L136*F136)/(L$10*F$10)-1)*costos!$G$23+((AN136)/(AN$10)-1)*costos!$J$23+((V136*F136)/(V$10*F$10)-1)*costos!$K$23)))</f>
        <v>14842.545685935482</v>
      </c>
      <c r="CR136" s="268">
        <f>CR$10*(1+((H136/H$10-1)*costos!$B$24+((I136*F136)/(I$10*F$10)-1)*costos!$E$24+((J136*F136)/((J$10*F$10)-1)*costos!$F$24/3+((K136*F136)/(K$10*F$10)-1)*costos!$F$24/3+((U136*F136)/(U$10*F$10)-1)*costos!$F$24/3+((L136*F136)/(L$10*F$10)-1)*costos!$G$24+((AO137)/(AO$10)-1)*costos!$J$24+((V136*F136)/(V$10*F$10)-1)*costos!$K$24)))</f>
        <v>15050.88759639433</v>
      </c>
      <c r="CS136" s="92">
        <f t="shared" ref="CS136" si="602">+AVERAGE(CQ136:CR136)</f>
        <v>14946.716641164905</v>
      </c>
      <c r="CT136" s="268">
        <f>CT$10*(1+((H136/H$10-1)*costos!$B$25+((I136*F136)/(I$10*F$10)-1)*costos!$E$25+((J136*F136)/((J$10*F$10)-1)*costos!$F$25/3+((K136*F136)/(K$10*F$10)-1)*costos!$F$25/3+((U136*F136)/(U$10*F$10)-1)*costos!$F$25/3+((L136*F136)/(L$10*F$10)-1)*costos!$G$25+((AQ137)/(AQ$10)-1)*costos!$J$25+((V136*F136)/(V$10*F$10)-1)*costos!$K$25)))</f>
        <v>13864.929644314452</v>
      </c>
      <c r="CU136" s="268">
        <f>CU$10*(1+((H136/H$10-1)*costos!$B$26+((I136*F136)/(I$10*F$10)-1)*costos!$E$26+((J136*F136)/((J$10*F$10)-1)*costos!$F$26/3+((K136*F136)/(K$10*F$10)-1)*costos!$F$26/3+((U136*F136)/(U$10*F$10)-1)*costos!$F$26/3+((L136*F136)/(L$10*F$10)-1)*costos!$G$26+((AR137)/(AR$10)-1)*costos!$J$26+((V136*F136)/(V$10*F$10)-1)*costos!$K$26)))</f>
        <v>14172.120881642582</v>
      </c>
      <c r="CV136" s="268">
        <f>CV$10*(1+((H136/H$10-1)*costos!$B$27+((I136*F136)/(I$10*F$10)-1)*costos!$E$27+((J136*F136)/((J$10*F$10)-1)*costos!$F$27/3+((K136*F136)/(K$10*F$10)-1)*costos!$F$27/3+((U136*F136)/(U$10*F$10)-1)*costos!$F$27/3+((L136*F136)/(L$10*F$10)-1)*costos!$G$27+((AS137)/(AS$10)-1)*costos!$J$27+((V136*F136)/(V$10*F$10)-1)*costos!$K$27)))</f>
        <v>14175.874297152206</v>
      </c>
      <c r="CW136" s="268">
        <f>CW$10*(1+((H136/H$10-1)*costos!$B$28+((I136*F136)/(I$10*F$10)-1)*costos!$E$28+((J136*F136)/((J$10*F$10)-1)*costos!$F$28/3+((K136*F136)/(K$10*F$10)-1)*costos!$F$28/3+((U136*F136)/(U$10*F$10)-1)*costos!$F$28/3+((L136*F136)/(L$10*F$10)-1)*costos!$G$28+((AS137)/(AS$10)-1)*costos!$J$28+((V136*F136)/(V$10*F$10)-1)*costos!$K$28)))</f>
        <v>14175.874297152206</v>
      </c>
      <c r="CX136" s="268">
        <f t="shared" ref="CX136" si="603">+AVERAGE(CU136:CW136)</f>
        <v>14174.623158648998</v>
      </c>
      <c r="CY136" s="268">
        <f>CY$10*(1+((H136/H$10-1)*costos!$B$32+((I136*F136)/(I$10*F$10)-1)*costos!$E$32+((J136*F136)/((J$10*F$10)-1)*costos!$F$32/3+((K136*F136)/(K$10*F$10)-1)*costos!$F$32/3+((U136*F136)/(U$10*F$10)-1)*costos!$F$32/3+((L136*F136)/(L$10*F$10)-1)*costos!$G$32+((AG136)/(AG$10)-1)*costos!$J$32+((V136*F136)/(V$10*F$10)-1)*costos!$K$32)))</f>
        <v>14316.743579844058</v>
      </c>
      <c r="CZ136" s="69">
        <f>CZ$10*(1+((H136/H$10-1)*costos!$B$31+((I136*F136)/(I$10*F$10)-1)*costos!$E$30+((J136*F136)/((J$10*F$10)-1)*costos!$F$30/3+((K136*F136)/(K$10*F$10)-1)*costos!$F$30/3+((U136*F136)/(U$10*F$10)-1)*costos!$F$30/3+((L136*F136)/(L$10*F$10)-1)*costos!$G$30+((BG136)/(BG$10)-1)*costos!$J$30+((V136*F136)/(V$10*F$10)-1)*costos!$K$30)))</f>
        <v>19250.221069339026</v>
      </c>
      <c r="DA136" s="69">
        <f>DA$10*(1+((H136/H$10-1)*costos!$B$31+((I136*F136)/(I$10*F$10)-1)*costos!$E$31+((J136*F136)/((J$10*F$10)-1)*costos!$F$31/3+((K136*F136)/(K$10*F$10)-1)*costos!$F$31/3+((U136*F136)/(U$10*F$10)-1)*costos!$F$31/3+((L136*F136)/(L$10*F$10)-1)*costos!$G$31+((BJ136)/(BJ$10)-1)*costos!$J$31+((V136*F136)/(V$10*F$10)-1)*costos!$K$31)))</f>
        <v>15277.155036119444</v>
      </c>
      <c r="DB136" s="69">
        <f>DB$10*(1+((H136/H$10-1)*costos!$B$36+((I136*F136)/(I$10*F$10)-1)*costos!$E$36+((J136*F136)/((J$10*F$10)-1)*costos!$F$36/3+((K136*F136)/(K$10*F$10)-1)*costos!$F$36/3+((U136*F136)/(U$10*F$10)-1)*costos!$F$36/3+((L136*F136)/(L$10*F$10)-1)*costos!$G$36+((BK136)/(BK$10)-1)*costos!$J$36+((V136*F136)/(V$10*F$10)-1)*costos!$K$36)))</f>
        <v>15734.404449145752</v>
      </c>
      <c r="DC136" s="69">
        <f>DC$10*(1+((H136/H$10-1)*costos!$B$37+((I136*F136)/(I$10*F$10)-1)*costos!$E$37+((U136*F136)/(U$10*F$10)-1)*costos!$F$37+((L136*F136)/(L$10*F$10)-1)*costos!$G$37+((BN136)/(BN$10)-1)*costos!$J$37+((V136*F136)/(V$10*F$10)-1)*costos!$K$37))</f>
        <v>14697.320019053459</v>
      </c>
      <c r="DD136" s="69">
        <f>DD$10*(1+((H136/H$10-1)*costos!$B$39+((I136*F136)/(I$10*F$10)-1)*costos!$E$39+((U136*F136)/(U$10*F$10)-1)*costos!$F$39+((L136*F136)/(L$10*F$10)-1)*costos!$G$39+((BR136)/(BR$10)-1)*costos!$J$39+((V136*F136)/(V$10*F$10)-1)*costos!$K$39))</f>
        <v>14253.2809776881</v>
      </c>
      <c r="DE136" s="69">
        <f>DD$10*(1+((H136/H$10-1)*costos!$B$35+((I136*F136)/(I$10*F$10)-1)*costos!$E$35+((U136*F136)/(U$10*F$10)-1)*costos!$F$35+((L136*F136)/(L$10*F$10)-1)*costos!$G$35+((BR136)/(BR$10)-1)*costos!$J$35+((V136*F136)/(V$10*F$10)-1)*costos!$K$35))</f>
        <v>12185.437539383793</v>
      </c>
      <c r="DF136" s="69">
        <f>DF$10*(1+((H136/H$10-1)*costos!$B$40+((I136*F136)/(I$10*F$10)-1)*costos!$E$40+((U136*F136)/(U$10*F$10)-1)*costos!$F$40+((L136*F136)/(L$10*F$10)-1)*costos!$G$40+((BP136)/(BP$10)-1)*costos!$J$40+((V136*F136)/(V$10*F$10)-1)*costos!$K$40))</f>
        <v>14001.851393373616</v>
      </c>
      <c r="DG136" s="268">
        <f t="shared" ref="DG136" si="604">+((DE136/$DE$10)*100+DF136)/2</f>
        <v>13093.644466378704</v>
      </c>
      <c r="DH136" s="69">
        <f>DH$10*(1+((H136/H$10-1)*costos!$B$34+((I136*F136)/(I$10*F$10)-1)*costos!$E$34+((J136*F136)/((J$10*F$10)-1)*costos!$F$34/3+((K136*F136)/(K$10*F$10)-1)*costos!$F$34/3+((U136*F136)/(U$10*F$10)-1)*costos!$F$34/3+((L136*F136)/(L$10*F$10)-1)*costos!$G$34+((BV136)/(BV$10)-1)*costos!$J$34+((V136*F136)/(V$10*F$10)-1)*costos!$K$34)))</f>
        <v>15117.670981927557</v>
      </c>
      <c r="DI136" s="69">
        <f>DI$10*(1+((H136/H$10-1)*costos!$B$38+((I136*F136)/(I$10*F$10)-1)*costos!$E$38+((J136*F136)/((J$10*F$10)-1)*costos!$F$38/3+((K136*F136)/(K$10*F$10)-1)*costos!$F$38/3+((U136*F136)/(U$10*F$10)-1)*costos!$F$38/3+((L136*F136)/(L$10*F$10)-1)*costos!$G$38+((BU136)/(BU$10)-1)*costos!$J$38+((V136*F136)/(V$10*F$10)-1)*costos!$K$38)))</f>
        <v>14975.011261628504</v>
      </c>
      <c r="DK136" s="1">
        <v>390000</v>
      </c>
      <c r="DL136" s="1" t="s">
        <v>663</v>
      </c>
      <c r="DM136" s="83">
        <v>200000</v>
      </c>
      <c r="DN136" s="83" t="s">
        <v>663</v>
      </c>
      <c r="DO136" s="1">
        <v>1330000</v>
      </c>
      <c r="DP136" s="1" t="s">
        <v>832</v>
      </c>
      <c r="DQ136" s="1">
        <v>3200000</v>
      </c>
      <c r="DR136" s="1" t="s">
        <v>663</v>
      </c>
      <c r="DS136" s="1">
        <v>8400000</v>
      </c>
      <c r="DT136" s="1" t="s">
        <v>832</v>
      </c>
      <c r="DU136" s="1">
        <v>16200000</v>
      </c>
      <c r="DV136" s="1" t="s">
        <v>663</v>
      </c>
      <c r="DW136" s="1">
        <v>750000</v>
      </c>
      <c r="DX136" s="1" t="s">
        <v>663</v>
      </c>
      <c r="DY136" s="1">
        <v>6600000</v>
      </c>
      <c r="DZ136" s="1" t="s">
        <v>832</v>
      </c>
      <c r="EA136" s="79">
        <f>+DY136+DW136+DU136+DS136+DQ136+DO136</f>
        <v>36480000</v>
      </c>
      <c r="EB136" s="1">
        <v>381590</v>
      </c>
      <c r="EC136" s="1" t="s">
        <v>663</v>
      </c>
      <c r="ED136" s="82">
        <v>231352</v>
      </c>
      <c r="EE136" s="144">
        <v>2025</v>
      </c>
      <c r="EF136" s="82">
        <v>196220</v>
      </c>
      <c r="EG136" s="144">
        <v>2025</v>
      </c>
      <c r="EH136" s="83">
        <v>50920790</v>
      </c>
      <c r="EI136" s="143">
        <v>2026</v>
      </c>
      <c r="EJ136" s="83">
        <v>5387190</v>
      </c>
      <c r="EK136" s="143">
        <v>2026</v>
      </c>
      <c r="EL136" s="1">
        <v>11482381</v>
      </c>
      <c r="EM136" s="6">
        <v>2026</v>
      </c>
      <c r="EN136" s="1">
        <v>3062718</v>
      </c>
      <c r="EO136" s="6">
        <v>2026</v>
      </c>
      <c r="EP136" s="83">
        <v>9402</v>
      </c>
      <c r="EQ136" s="83">
        <v>4000000</v>
      </c>
      <c r="ER136" s="82">
        <f t="shared" si="543"/>
        <v>79911</v>
      </c>
      <c r="ET136" s="82">
        <f t="shared" si="514"/>
        <v>19357</v>
      </c>
      <c r="EU136" s="82">
        <f t="shared" si="514"/>
        <v>18703</v>
      </c>
      <c r="EV136" s="82">
        <f t="shared" si="514"/>
        <v>8927</v>
      </c>
      <c r="EW136" s="82">
        <f t="shared" si="514"/>
        <v>17408</v>
      </c>
      <c r="EX136" s="79">
        <f t="shared" ref="EX136:EX137" si="605">+SUM(ET136:EW136)</f>
        <v>64395</v>
      </c>
      <c r="EY136" s="82">
        <f t="shared" si="516"/>
        <v>20031</v>
      </c>
      <c r="EZ136" s="83">
        <f t="shared" si="516"/>
        <v>33722</v>
      </c>
      <c r="FA136" s="82">
        <f t="shared" si="516"/>
        <v>19900</v>
      </c>
      <c r="FB136" s="82">
        <f t="shared" si="516"/>
        <v>18184</v>
      </c>
      <c r="FC136" s="79">
        <f t="shared" ref="FC136:FC137" si="606">+FB136+FA136</f>
        <v>38084</v>
      </c>
      <c r="FD136" s="82">
        <f t="shared" si="518"/>
        <v>60376</v>
      </c>
      <c r="FF136" s="1">
        <v>770000</v>
      </c>
      <c r="FG136" s="1" t="s">
        <v>663</v>
      </c>
      <c r="FH136" s="1">
        <v>1400000</v>
      </c>
      <c r="FI136" s="1" t="s">
        <v>663</v>
      </c>
      <c r="FJ136" s="1">
        <v>5400007</v>
      </c>
      <c r="FK136" s="1" t="s">
        <v>912</v>
      </c>
      <c r="FL136" s="1">
        <v>6600003</v>
      </c>
      <c r="FM136" s="1" t="s">
        <v>908</v>
      </c>
      <c r="FN136" s="1">
        <v>64000000</v>
      </c>
      <c r="FO136" s="1" t="s">
        <v>663</v>
      </c>
      <c r="FP136" s="1">
        <v>50100000</v>
      </c>
      <c r="FQ136" s="1" t="s">
        <v>663</v>
      </c>
      <c r="FR136" s="1">
        <v>2800000</v>
      </c>
      <c r="FS136" s="1" t="s">
        <v>663</v>
      </c>
      <c r="FT136" s="82">
        <v>27800000</v>
      </c>
      <c r="FU136" s="83" t="s">
        <v>663</v>
      </c>
      <c r="FV136" s="79">
        <f t="shared" si="355"/>
        <v>156700010</v>
      </c>
      <c r="FW136" s="83">
        <v>1311996</v>
      </c>
      <c r="FX136" s="1" t="s">
        <v>663</v>
      </c>
      <c r="FY136" s="83">
        <v>151874</v>
      </c>
      <c r="FZ136" s="79">
        <f t="shared" si="564"/>
        <v>817662.76</v>
      </c>
      <c r="GA136" s="86" t="str">
        <f t="shared" si="462"/>
        <v>ago25 jul26</v>
      </c>
      <c r="GB136" s="1">
        <v>18391299</v>
      </c>
      <c r="GC136" s="6">
        <v>2026</v>
      </c>
      <c r="GD136" s="82">
        <f t="shared" si="546"/>
        <v>2213559</v>
      </c>
      <c r="GE136" s="82">
        <f t="shared" si="547"/>
        <v>410324</v>
      </c>
      <c r="GF136" s="82">
        <f t="shared" si="548"/>
        <v>1003144</v>
      </c>
      <c r="GG136" s="82">
        <f t="shared" si="549"/>
        <v>129694</v>
      </c>
      <c r="GH136" s="79">
        <f>GE136+GF136+GG136</f>
        <v>1543162</v>
      </c>
      <c r="GI136" s="82">
        <f t="shared" si="520"/>
        <v>1302556</v>
      </c>
      <c r="GJ136" s="82">
        <f t="shared" si="520"/>
        <v>682423</v>
      </c>
      <c r="GK136" s="82">
        <f t="shared" si="520"/>
        <v>1391495</v>
      </c>
      <c r="GL136" s="82">
        <f t="shared" si="520"/>
        <v>305049</v>
      </c>
      <c r="GM136" s="82">
        <f t="shared" si="520"/>
        <v>260419</v>
      </c>
      <c r="GN136" s="79">
        <f t="shared" ref="GN136:GN137" si="607">+SUM(GJ136:GM136)</f>
        <v>2639386</v>
      </c>
      <c r="GO136" s="82">
        <f t="shared" si="521"/>
        <v>201734</v>
      </c>
      <c r="GP136" s="82">
        <f t="shared" si="521"/>
        <v>75000</v>
      </c>
      <c r="GQ136" s="1">
        <v>25566</v>
      </c>
      <c r="GR136" s="83">
        <v>31038</v>
      </c>
      <c r="GS136" s="79">
        <f t="shared" ref="GS136:GS137" si="608">+GR136+GQ136*0.03</f>
        <v>31804.98</v>
      </c>
      <c r="GT136" s="82">
        <f t="shared" si="496"/>
        <v>2111561</v>
      </c>
      <c r="GU136" s="83">
        <f>21336+6120</f>
        <v>27456</v>
      </c>
      <c r="GV136" s="83">
        <f>4116+17388</f>
        <v>21504</v>
      </c>
      <c r="GW136" s="79">
        <f t="shared" si="522"/>
        <v>717862</v>
      </c>
      <c r="GX136" s="82">
        <v>36043.686000000002</v>
      </c>
      <c r="GY136" s="82" t="s">
        <v>802</v>
      </c>
      <c r="GZ136" s="82">
        <v>119644</v>
      </c>
      <c r="HA136" s="1">
        <v>267631</v>
      </c>
      <c r="HB136" s="79">
        <f t="shared" si="523"/>
        <v>3073069</v>
      </c>
      <c r="HC136" s="86" t="str">
        <f t="shared" si="465"/>
        <v>ago25 jul26</v>
      </c>
      <c r="HD136" s="1">
        <v>79656</v>
      </c>
      <c r="HE136" s="79">
        <f t="shared" si="560"/>
        <v>869211</v>
      </c>
      <c r="HF136" s="86" t="str">
        <f t="shared" si="466"/>
        <v>ago25 jul26</v>
      </c>
      <c r="HG136" s="83">
        <v>191000</v>
      </c>
      <c r="HH136" s="79">
        <f t="shared" si="490"/>
        <v>2263000</v>
      </c>
      <c r="HI136" s="86" t="str">
        <f t="shared" si="467"/>
        <v>ago25 jul26</v>
      </c>
      <c r="HJ136" s="83">
        <v>84185</v>
      </c>
      <c r="HK136" s="79">
        <f t="shared" si="524"/>
        <v>66679.5</v>
      </c>
      <c r="HL136" s="86" t="str">
        <f t="shared" si="468"/>
        <v>ago25 jul26</v>
      </c>
      <c r="HM136" s="79">
        <f t="shared" si="358"/>
        <v>2329679.5</v>
      </c>
      <c r="HN136" s="87">
        <f t="shared" si="497"/>
        <v>3.2085354484404638E-2</v>
      </c>
      <c r="HO136" s="1">
        <v>1045991301</v>
      </c>
      <c r="HP136" s="79">
        <f t="shared" si="525"/>
        <v>11915.17884793068</v>
      </c>
      <c r="HQ136" s="86" t="str">
        <f t="shared" si="469"/>
        <v>ago25 jul26</v>
      </c>
      <c r="HU136" s="1">
        <v>950000</v>
      </c>
      <c r="HV136" s="1" t="s">
        <v>663</v>
      </c>
      <c r="HW136" s="1">
        <v>1600000</v>
      </c>
      <c r="HX136" s="1" t="s">
        <v>663</v>
      </c>
      <c r="HY136" s="83">
        <v>6000000</v>
      </c>
      <c r="HZ136" s="1" t="s">
        <v>663</v>
      </c>
      <c r="IA136" s="1">
        <f>(3.3+18)*1000000</f>
        <v>21300000</v>
      </c>
      <c r="IB136" s="1" t="s">
        <v>663</v>
      </c>
      <c r="IC136" s="1">
        <v>48500000</v>
      </c>
      <c r="ID136" s="1" t="s">
        <v>663</v>
      </c>
      <c r="IE136" s="1">
        <f>(0.3+1.2)*1000000</f>
        <v>1500000</v>
      </c>
      <c r="IF136" s="1" t="s">
        <v>663</v>
      </c>
      <c r="IG136" s="1">
        <f>(7.2+1.2)*1000000</f>
        <v>8400000</v>
      </c>
      <c r="IH136" s="1" t="s">
        <v>663</v>
      </c>
      <c r="II136" s="79">
        <f>+IG136+IE136+IC136+IA136+HY136+HW136</f>
        <v>87300000</v>
      </c>
      <c r="IJ136" s="97">
        <f>(8797600*12)/$IJ$2</f>
        <v>2.2719760013883494</v>
      </c>
      <c r="IK136" s="1" t="s">
        <v>663</v>
      </c>
      <c r="IL136" s="7">
        <v>47.06</v>
      </c>
      <c r="IM136" s="7">
        <v>46.75</v>
      </c>
      <c r="IN136" s="97">
        <v>192</v>
      </c>
      <c r="IO136" s="7">
        <v>20.13</v>
      </c>
      <c r="IP136" s="97">
        <f>(24157122*12)/IP$2</f>
        <v>6.2385652276314589</v>
      </c>
      <c r="IQ136" s="176">
        <f>(1.26*12)</f>
        <v>15.120000000000001</v>
      </c>
      <c r="IR136" s="269">
        <f t="shared" si="526"/>
        <v>6.17</v>
      </c>
      <c r="IS136" s="269">
        <f t="shared" si="526"/>
        <v>5.03</v>
      </c>
      <c r="IT136" s="269">
        <f t="shared" si="526"/>
        <v>11</v>
      </c>
      <c r="IU136" s="269">
        <f t="shared" si="526"/>
        <v>1.1000000000000001</v>
      </c>
      <c r="IV136" s="94">
        <f t="shared" ref="IV136" si="609">+SUM(IS136:IU136)</f>
        <v>17.130000000000003</v>
      </c>
      <c r="IY136" s="80">
        <v>1.88</v>
      </c>
      <c r="IZ136" s="88">
        <v>0.3</v>
      </c>
      <c r="JA136" s="82">
        <v>3555</v>
      </c>
      <c r="JB136" s="95">
        <f t="shared" si="433"/>
        <v>35.950000000000003</v>
      </c>
      <c r="JF136" s="171">
        <v>20.543875600000003</v>
      </c>
      <c r="JG136" s="171">
        <v>24.701079360000001</v>
      </c>
      <c r="JH136" s="171">
        <v>55.240249970000001</v>
      </c>
      <c r="JI136" s="171">
        <v>482.71811409999998</v>
      </c>
      <c r="JJ136" s="171">
        <v>1251.0258039</v>
      </c>
      <c r="JK136" s="171">
        <v>93.723499819999986</v>
      </c>
      <c r="JL136" s="171">
        <v>2487.0899794700003</v>
      </c>
      <c r="JM136" s="171">
        <v>41.13741211</v>
      </c>
      <c r="JN136" s="171">
        <v>169.25072886999996</v>
      </c>
      <c r="JO136" s="171">
        <v>34.603880139999994</v>
      </c>
      <c r="JP136" s="171">
        <v>0</v>
      </c>
      <c r="JQ136" s="171">
        <v>2.84866302</v>
      </c>
      <c r="JR136" s="171">
        <v>1.3337142799999999</v>
      </c>
      <c r="JS136" s="171">
        <v>0</v>
      </c>
      <c r="JT136" s="171">
        <v>1.7500000000000002E-2</v>
      </c>
      <c r="JU136" s="171">
        <v>52.457926919999998</v>
      </c>
      <c r="JV136" s="171">
        <v>6.8796548400000006</v>
      </c>
      <c r="JW136" s="171">
        <v>21.577063630000001</v>
      </c>
      <c r="JX136" s="171">
        <v>82.304883329999981</v>
      </c>
      <c r="JY136" s="171">
        <v>0</v>
      </c>
      <c r="JZ136" s="171">
        <v>11.847708260000001</v>
      </c>
      <c r="KA136" s="171">
        <v>1.2781881899999998</v>
      </c>
      <c r="KB136" s="171">
        <v>16.938802989999999</v>
      </c>
      <c r="KC136" s="171">
        <v>112.95555809</v>
      </c>
      <c r="KD136" s="171">
        <v>10.842702859999999</v>
      </c>
      <c r="KE136" s="171">
        <v>27.275616299999996</v>
      </c>
      <c r="KF136" s="171">
        <v>8.0336216900000004</v>
      </c>
      <c r="KG136" s="171">
        <v>585.64182030999996</v>
      </c>
      <c r="KH136" s="171">
        <v>150.54991172000004</v>
      </c>
      <c r="KI136" s="171">
        <v>29.371587780000002</v>
      </c>
      <c r="KJ136" s="171">
        <v>2.5324276399999994</v>
      </c>
      <c r="KK136" s="171">
        <v>6.7458941900000005</v>
      </c>
      <c r="KL136" s="171">
        <v>0.11951553000000001</v>
      </c>
      <c r="KM136" s="171">
        <v>0.7910226199999999</v>
      </c>
      <c r="KN136" s="171">
        <v>0.8467261399999999</v>
      </c>
      <c r="KO136" s="171">
        <v>2.3670360400000003</v>
      </c>
      <c r="KP136" s="171">
        <v>0.37488668999999997</v>
      </c>
      <c r="KQ136" s="171">
        <v>430.90695567</v>
      </c>
      <c r="KR136" s="171">
        <v>0</v>
      </c>
      <c r="KS136" s="171">
        <v>1.0944210999999999</v>
      </c>
      <c r="KT136" s="171">
        <v>2.6781131599999997</v>
      </c>
      <c r="KU136" s="171">
        <v>1.0802067900000001</v>
      </c>
      <c r="KV136" s="171">
        <v>0.77876252000000001</v>
      </c>
      <c r="KW136" s="171">
        <v>2.7307468599999996</v>
      </c>
      <c r="KX136" s="171">
        <v>0</v>
      </c>
      <c r="KY136" s="171">
        <v>0</v>
      </c>
      <c r="KZ136" s="171">
        <v>3.9608430999999995</v>
      </c>
      <c r="LA136" s="171">
        <v>0.68261700999999997</v>
      </c>
      <c r="LB136" s="171">
        <v>7.6562500000000006E-2</v>
      </c>
      <c r="LC136" s="171">
        <v>0.12394238</v>
      </c>
      <c r="LD136" s="171">
        <v>0</v>
      </c>
      <c r="LE136" s="171">
        <v>2.0272560000000002E-2</v>
      </c>
      <c r="LF136" s="171">
        <v>0</v>
      </c>
      <c r="LG136" s="171">
        <v>18.016137319999999</v>
      </c>
      <c r="LH136" s="171">
        <v>4.311670369999999</v>
      </c>
      <c r="LI136" s="171">
        <v>2.6990890000000003</v>
      </c>
      <c r="LJ136" s="171">
        <v>0</v>
      </c>
      <c r="LK136" s="171">
        <v>6.0276803599999997</v>
      </c>
      <c r="LL136" s="171">
        <v>15.754209619999999</v>
      </c>
      <c r="LM136" s="171">
        <v>3.9316081499999997</v>
      </c>
      <c r="LN136" s="171">
        <v>9.6971659999999987E-2</v>
      </c>
      <c r="LO136" s="171">
        <v>18.649231880000002</v>
      </c>
      <c r="LQ136" s="85">
        <f t="shared" ref="LQ136" si="610">+SUM(JH136:JJ136,JL136:JN136)</f>
        <v>4486.4622884199998</v>
      </c>
      <c r="LR136" s="85">
        <f t="shared" ref="LR136" si="611">+SUM(JQ136:JT136)</f>
        <v>4.1998772999999998</v>
      </c>
      <c r="LS136" s="85">
        <f t="shared" ref="LS136" si="612">+SUM(JV136:JW136)</f>
        <v>28.456718470000002</v>
      </c>
      <c r="LT136" s="85">
        <f t="shared" ref="LT136" si="613">+SUM(JY136:KA136)</f>
        <v>13.125896450000001</v>
      </c>
      <c r="LU136" s="85">
        <f t="shared" ref="LU136" si="614">+SUM(KM136:KO136,KQ136:KS136)</f>
        <v>436.00616156999996</v>
      </c>
      <c r="LV136" s="85">
        <f t="shared" ref="LV136" si="615">+SUM(KV136:KY136)</f>
        <v>3.5095093799999995</v>
      </c>
      <c r="LW136" s="85">
        <f t="shared" ref="LW136" si="616">+SUM(LA136:LB136)</f>
        <v>0.75917950999999995</v>
      </c>
      <c r="LX136" s="85">
        <f t="shared" ref="LX136" si="617">+SUM(LD136:LF136)</f>
        <v>2.0272560000000002E-2</v>
      </c>
      <c r="LZ136" s="83">
        <v>1828.32</v>
      </c>
      <c r="MA136" s="83">
        <v>1838.91</v>
      </c>
      <c r="MB136"/>
      <c r="MC136"/>
      <c r="MD136"/>
      <c r="MF136"/>
      <c r="MG136"/>
      <c r="MH136" s="83">
        <v>4732.3500000000004</v>
      </c>
      <c r="MI136" s="83">
        <v>1019.68</v>
      </c>
      <c r="MJ136" s="83">
        <v>1865.66</v>
      </c>
      <c r="MK136" s="83">
        <v>4599</v>
      </c>
      <c r="ML136" s="83">
        <v>1516.61</v>
      </c>
      <c r="MM136" s="83">
        <v>3649.65</v>
      </c>
      <c r="MN136" s="83">
        <v>1489</v>
      </c>
      <c r="MO136" s="83">
        <v>1848.45</v>
      </c>
      <c r="MP136" s="83">
        <v>2329</v>
      </c>
      <c r="MQ136" s="83">
        <v>4065.34</v>
      </c>
      <c r="MR136" s="83">
        <v>2499</v>
      </c>
      <c r="MS136" s="83">
        <v>999</v>
      </c>
      <c r="MT136" s="83">
        <v>999</v>
      </c>
      <c r="MU136" s="83">
        <v>1181.6300000000001</v>
      </c>
      <c r="MV136" s="83">
        <v>2540</v>
      </c>
      <c r="MW136"/>
      <c r="MX136"/>
      <c r="MY136" s="83">
        <v>2589.71</v>
      </c>
      <c r="MZ136" s="83">
        <v>9729</v>
      </c>
      <c r="NA136" s="83">
        <v>4982</v>
      </c>
      <c r="NB136" s="83">
        <v>17704</v>
      </c>
      <c r="NC136" s="83">
        <v>1998.81</v>
      </c>
      <c r="ND136" s="82">
        <v>15990</v>
      </c>
      <c r="NE136" s="83">
        <v>9056</v>
      </c>
    </row>
    <row r="137" spans="1:369">
      <c r="A137" s="38">
        <f t="shared" si="417"/>
        <v>46235</v>
      </c>
      <c r="B137" s="36">
        <f t="shared" si="536"/>
        <v>8</v>
      </c>
      <c r="C137" s="36">
        <f t="shared" si="537"/>
        <v>2026</v>
      </c>
      <c r="D137" s="36">
        <f t="shared" si="347"/>
        <v>137</v>
      </c>
      <c r="E137" s="38">
        <f t="shared" si="418"/>
        <v>46235</v>
      </c>
      <c r="F137" s="7">
        <v>1499.9629</v>
      </c>
      <c r="G137" s="7">
        <v>12276.766</v>
      </c>
      <c r="H137" s="1">
        <f>[2]NACIONALES!$D125</f>
        <v>1183074.32</v>
      </c>
      <c r="I137" s="7">
        <v>153</v>
      </c>
      <c r="J137" s="7">
        <v>625</v>
      </c>
      <c r="K137" s="7">
        <v>4.7</v>
      </c>
      <c r="L137" s="7">
        <v>37.299999999999997</v>
      </c>
      <c r="N137" s="5">
        <f>AVERAGE(1.58,1.6,1.64,1.65)</f>
        <v>1.6175000000000002</v>
      </c>
      <c r="O137" s="5">
        <f>AVERAGE(1.43,1.45,1.48,1.5)</f>
        <v>1.4649999999999999</v>
      </c>
      <c r="P137" s="78">
        <f t="shared" si="485"/>
        <v>2196.2269286437499</v>
      </c>
      <c r="Q137" s="6">
        <v>30000</v>
      </c>
      <c r="R137" s="79">
        <f t="shared" si="419"/>
        <v>300000</v>
      </c>
      <c r="S137" s="6">
        <v>205</v>
      </c>
      <c r="T137" s="6">
        <f>746926/F137</f>
        <v>497.96298295111166</v>
      </c>
      <c r="U137" s="6">
        <v>169.65</v>
      </c>
      <c r="V137" s="6">
        <v>345</v>
      </c>
      <c r="W137" s="6">
        <v>216</v>
      </c>
      <c r="X137" s="6">
        <v>228</v>
      </c>
      <c r="Y137" s="79">
        <f t="shared" si="593"/>
        <v>307492.39449999999</v>
      </c>
      <c r="Z137" s="79">
        <f t="shared" si="594"/>
        <v>746926</v>
      </c>
      <c r="AA137" s="79">
        <f t="shared" si="595"/>
        <v>254468.70598500001</v>
      </c>
      <c r="AB137" s="79">
        <f t="shared" si="596"/>
        <v>517487.20049999998</v>
      </c>
      <c r="AC137" s="79">
        <f t="shared" si="597"/>
        <v>323991.98639999999</v>
      </c>
      <c r="AD137" s="79">
        <f t="shared" si="598"/>
        <v>341991.54119999998</v>
      </c>
      <c r="AE137" s="79">
        <f t="shared" si="599"/>
        <v>415392.97143083328</v>
      </c>
      <c r="AF137" s="83">
        <f>664*F137</f>
        <v>995975.36560000002</v>
      </c>
      <c r="AG137" s="83">
        <v>280000</v>
      </c>
      <c r="AH137" s="83">
        <v>1050000</v>
      </c>
      <c r="AI137" s="5">
        <v>380.74</v>
      </c>
      <c r="AJ137" s="5">
        <v>302.19</v>
      </c>
      <c r="AK137" s="5">
        <v>188.79</v>
      </c>
      <c r="AL137" s="5">
        <v>222.23</v>
      </c>
      <c r="AM137" s="78">
        <f t="shared" si="458"/>
        <v>289.64859999999999</v>
      </c>
      <c r="AN137" s="851">
        <v>39466.67</v>
      </c>
      <c r="AO137" s="851">
        <v>26772.45</v>
      </c>
      <c r="AP137" s="78">
        <f>IFERROR(+AVERAGE(AN137:AO137),"")</f>
        <v>33119.56</v>
      </c>
      <c r="AQ137" s="851">
        <v>10626.21</v>
      </c>
      <c r="AR137" s="851">
        <v>11512.35</v>
      </c>
      <c r="AS137" s="7">
        <v>11771.65</v>
      </c>
      <c r="AT137" s="7">
        <v>14335.2</v>
      </c>
      <c r="AU137" s="78">
        <f t="shared" si="348"/>
        <v>12539.733333333332</v>
      </c>
      <c r="AV137" s="851">
        <v>22163.040000000001</v>
      </c>
      <c r="AW137" s="851">
        <v>28250</v>
      </c>
      <c r="AX137" s="851">
        <v>22086.9</v>
      </c>
      <c r="AY137" s="851">
        <v>24498.9</v>
      </c>
      <c r="AZ137" s="851">
        <v>11400.2</v>
      </c>
      <c r="BA137" s="851">
        <v>12300</v>
      </c>
      <c r="BB137" s="94">
        <f>IFERROR(+AVERAGE(AX137,(AY137/18)*20,(AZ137/18)*20,BA137),"")</f>
        <v>18568.697222222225</v>
      </c>
      <c r="BC137" s="68">
        <v>44166</v>
      </c>
      <c r="BD137" s="68">
        <v>39751</v>
      </c>
      <c r="BE137" s="97">
        <v>24400</v>
      </c>
      <c r="BF137" s="97">
        <v>19000</v>
      </c>
      <c r="BG137" s="94">
        <f t="shared" si="583"/>
        <v>31829.25</v>
      </c>
      <c r="BH137" s="7">
        <v>5139.45</v>
      </c>
      <c r="BI137">
        <v>845.97</v>
      </c>
      <c r="BJ137" s="78">
        <f t="shared" si="350"/>
        <v>5985.42</v>
      </c>
      <c r="BK137" s="7">
        <v>4700.4759999999997</v>
      </c>
      <c r="BL137" s="7">
        <v>6187.46</v>
      </c>
      <c r="BM137" s="94">
        <f t="shared" si="351"/>
        <v>5443.9679999999998</v>
      </c>
      <c r="BN137" s="5">
        <v>535.12</v>
      </c>
      <c r="BO137" s="84">
        <v>2716</v>
      </c>
      <c r="BP137" s="84">
        <v>1647.2</v>
      </c>
      <c r="BQ137" s="78">
        <f t="shared" si="435"/>
        <v>2181.6</v>
      </c>
      <c r="BR137" s="7">
        <v>2056.85</v>
      </c>
      <c r="BS137" s="97">
        <v>8500</v>
      </c>
      <c r="BT137" s="97">
        <f>2.52*F137</f>
        <v>3779.906508</v>
      </c>
      <c r="BU137" s="79">
        <f t="shared" si="436"/>
        <v>113339.719524</v>
      </c>
      <c r="BV137" s="7">
        <v>3426</v>
      </c>
      <c r="BW137" s="7">
        <v>4595</v>
      </c>
      <c r="BY137" s="268">
        <f>BY$10*(1+((H137/H$10-1)*costos!$B$5+((I137*F137)/(I$10*F$10)-1)*costos!$E$5+((J137*F137)/((J$10*F$10)-1)*costos!$F$5/3+((K137*F137)/(K$10*F$10)-1)*costos!$F$5/3+((U137*F137)/(U$10*F$10)-1)*costos!$F$5/3+((L137*F137)/(L$10*F$10)-1)*costos!$G$5+((N137*F137)/(N$10*F$10)-1)*costos!$J$5+((V137*F137)/(V$10*F$10)-1)*costos!$K$5)))</f>
        <v>15125.332676779322</v>
      </c>
      <c r="BZ137" s="268">
        <f>$BZ$10*(1+((H137/$H$10-1)*costos!$B$6+((I137*F137)/($I$10*$F$10)-1)*costos!$E$6+((J137*F137)/(($J$10*$F$10)-1)*costos!$F$6/3+((K137*F137)/($K$10*$F$10)-1)*costos!$F$6/3+((U137*F137)/($U$10*$F$10)-1)*costos!$F$6/3+((L137*F137)/($L$10*$F$10)-1)*costos!$G$6+((Q137*F137)/($Q$10*$F$10)-1)*costos!$J$6+((V137*F137)/($V$10*$F$10)-1)*costos!$K$6)))</f>
        <v>16343.667946262991</v>
      </c>
      <c r="CA137" s="268">
        <f>CA$10*(1+((H137/H$10-1)*costos!$B$7+((I137*F137)/(I$10*F$10)-1)*costos!$E$7+((J137*F137)/((J$10*F$10)-1)*costos!$F$7/3+((K137*F137)/(K$10*F$10)-1)*costos!$F$7/3+((U137*F137)/(U$10*F$10)-1)*costos!$F$7/3+((L137*F137)/(L$10*F$10)-1)*costos!$G$7+((S137*F137)/(S$10*F$10)-1)*costos!$J$7+((V137*F137)/(V$10*F$10)-1)*costos!$K$7)))</f>
        <v>15098.888879089078</v>
      </c>
      <c r="CB137" s="268">
        <f>CB$10*(1+((H137/H$10-1)*costos!$B$8+((I137*F137)/(I$10*F$10)-1)*costos!$E$8+((J137*F137)/((J$10*F$10)-1)*costos!$F$8/3+((K137*F137)/(K$10*F$10)-1)*costos!$F$8/3+((U137*F137)/(U$10*F$10)-1)*costos!$F$8/3+((L137*F137)/(L$10*F$10)-1)*costos!$G$8+((T137*F137)/(T$10*F$10)-1)*costos!$J$8+((V137*F137)/(V$10*F$10)-1)*costos!$K$8)))</f>
        <v>16507.590671158337</v>
      </c>
      <c r="CC137" s="268">
        <f>CC$10*(1+((H137/H$10-1)*costos!$B$9+((I137*F137)/(I$10*F$10)-1)*costos!$E$9+((J137*F137)/((J$10*F$10)-1)*costos!$F$9/3+((K137*F137)/(K$10*F$10)-1)*costos!$F$9/3+((U137*F137)/(U$10*F$10)-1)*costos!$F$9/3+((L137*F137)/(L$10*F$10)-1)*costos!$G$9+((U137*F137)/(U$10*F$10)-1)*costos!$J$9+((V137*F137)/(V$10*F$10)-1)*costos!$K$9)))</f>
        <v>13998.823995346365</v>
      </c>
      <c r="CD137" s="268">
        <f>CD$10*(1+((H137/H$10-1)*costos!$B$11+((I137*F137)/(I$10*F$10)-1)*costos!$E$11+((J137*F137)/((J$10*F$10)-1)*costos!$F$11/3+((K137*F137)/(K$10*F$10)-1)*costos!$F$11/3+((U137*F137)/(U$10*F$10)-1)*costos!$F$11/3+((L137*F137)/(L$10*F$10)-1)*costos!$G$11+((V137*F137)/(V$10*F$10)-1)*costos!$J$11+((V137*F137)/(V$10*F$10)-1)*costos!$K$11)))</f>
        <v>15488.286655068001</v>
      </c>
      <c r="CE137" s="268">
        <f>CE$10*(1+((H137/H$10-1)*costos!$B$12+((I137*F137)/(I$10*F$10)-1)*costos!$E$12+((J137*F137)/((J$10*F$10)-1)*costos!$F$12/3+((K137*F137)/(K$10*F$10)-1)*costos!$F$12/3+((U137*F137)/(U$10*F$10)-1)*costos!$F$12/3+((L137*F137)/(L$10*F$10)-1)*costos!$G$12+((W137*F137)/(W$10*F$10)-1)*costos!$J$12+((V137*F137)/(V$10*F$10)-1)*costos!$K$12)))</f>
        <v>15115.441505913384</v>
      </c>
      <c r="CF137" s="268">
        <f>CF$10*(1+((H137/H$10-1)*costos!$B$13+((I137*F137)/(I$10*F$10)-1)*costos!$E$13+((J137*F137)/((J$10*F$10)-1)*costos!$F$13/3+((K137*F137)/(K$10*F$10)-1)*costos!$F$13/3+((U137*F137)/(U$10*F$10)-1)*costos!$F$13/3+((L137*F137)/(L$10*F$10)-1)*costos!$G$13+((X137*F137)/(X$10*F$10)-1)*costos!$J$13+((V137*F137)/(V$10*F$10)-1)*costos!$K$13)))</f>
        <v>15630.924163823385</v>
      </c>
      <c r="CG137" s="268">
        <f t="shared" ref="CG137" si="618">+AVERAGE(CA137:CF137)</f>
        <v>15306.659311733092</v>
      </c>
      <c r="CH137" s="268">
        <f>CH$10*(1+((H137/H$10-1)*costos!$B$10+((I137*F137)/(I$10*F$10)-1)*costos!$E$10+((J137*F137)/((J$10*F$10)-1)*costos!$F$10/3+((K137*F137)/(K$10*F$10)-1)*costos!$F$10/3+((U137*F137)/(U$10*F$10)-1)*costos!$F$10/3+((L137*F137)/(L$10*F$10)-1)*costos!$G$10+((AF137)/(AF$10)-1)*costos!$J$10+((V137*F137)/(V$10*F$10)-1)*costos!$K$10)))</f>
        <v>15159.74566744571</v>
      </c>
      <c r="CI137" s="268">
        <f>CI$10*(1+((H137/H$10-1)*costos!$B$15+((I137*F137)/(I$10*F$10)-1)*costos!$E$15+((J137*F137)/((J$10*F$10)-1)*costos!$F$15/3+((K137*F137)/(K$10*F$10)-1)*costos!$F$15/3+((U137*F137)/(U$10*F$10)-1)*costos!$F$15/3+((L137*F137)/(L$10*F$10)-1)*costos!$G$15+((AV139)/(AV$10)-1)*costos!$J$15+((V137*F137)/(V$10*F$10)-1)*costos!$K$15)))</f>
        <v>13370.227625568601</v>
      </c>
      <c r="CJ137" s="268">
        <f>CJ$10*(1+((H137/H$10-1)*costos!$B$16+((I137*F137)/(I$10*F$10)-1)*costos!$E$16+((J137*F137)/((J$10*F$10)-1)*costos!$F$16/3+((K137*F137)/(K$10*F$10)-1)*costos!$F$16/3+((U137*F137)/(U$10*F$10)-1)*costos!$F$16/3+((L137*F137)/(L$10*F$10)-1)*costos!$G$16+((AW138)/(AW$10)-1)*costos!$J$16+((V137*F137)/(V$10*F$10)-1)*costos!$K$16)))</f>
        <v>12706.503867988295</v>
      </c>
      <c r="CK137" s="268">
        <f>CK$10*(1+((H137/H$10-1)*costos!$B$17+((I137*F137)/(I$10*F$10)-1)*costos!$E$17+((J137*F137)/((J$10*F$10)-1)*costos!$F$17/3+((K137*F137)/(K$10*F$10)-1)*costos!$F$17/3+((U137*F137)/(U$10*F$10)-1)*costos!$F$17/3+((L137*F137)/(L$10*F$10)-1)*costos!$G$17+((AX138)/(AX$10)-1)*costos!$J$17+((V137*F137)/(V$10*F$10)-1)*costos!$K$17)))</f>
        <v>12058.638217031028</v>
      </c>
      <c r="CL137" s="268">
        <f>CL$10*(1+((H137/H$10-1)*costos!$B$18+((I137*F137)/(I$10*F$10)-1)*costos!$E$18+((J137*F137)/((J$10*F$10)-1)*costos!$F$18/3+((K137*F137)/(K$10*F$10)-1)*costos!$F$18/3+((U137*F137)/(U$10*F$10)-1)*costos!$F$18/3+((L137*F137)/(L$10*F$10)-1)*costos!$G$18+((AY138)/(AY$10)-1)*costos!$J$18+((V137*F137)/(V$10*F$10)-1)*costos!$K$18)))</f>
        <v>11543.53241101493</v>
      </c>
      <c r="CM137" s="268">
        <f>CM$10*(1+((H137/H$10-1)*costos!$B$19+((I137*F137)/(I$10*F$10)-1)*costos!$E$19+((J137*F137)/((J$10*F$10)-1)*costos!$F$19/3+((K137*F137)/(K$10*F$10)-1)*costos!$F$19/3+((U137*F137)/(U$10*F$10)-1)*costos!$F$19/3+((L137*F137)/(L$10*F$10)-1)*costos!$G$19+((AZ138)/(AZ$10)-1)*costos!$J$19+((V137*F137)/(V$10*F$10)-1)*costos!$K$19)))</f>
        <v>11046.229789215393</v>
      </c>
      <c r="CN137" s="268">
        <f>CN$10*(1+((H137/H$10-1)*costos!$B$20+((I137*F137)/(I$10*F$10)-1)*costos!$E$20+((J137*F137)/((J$10*F$10)-1)*costos!$F$20/3+((K137*F137)/(K$10*F$10)-1)*costos!$F$20/3+((U137*F137)/(U$10*F$10)-1)*costos!$F$20/3+((L137*F137)/(L$10*F$10)-1)*costos!$G$20+((BA138)/(BA$10)-1)*costos!$J$20+((V137*F137)/(V$10*F$10)-1)*costos!$K$20)))</f>
        <v>12219.495965577045</v>
      </c>
      <c r="CO137" s="268">
        <f t="shared" ref="CO137" si="619">+AVERAGE(CK137:CN137)</f>
        <v>11716.974095709598</v>
      </c>
      <c r="CP137" s="268">
        <f>CP$10*(1+((H137/H$10-1)*costos!$B$22+((I137*F137)/(I$10*F$10)-1)*costos!$E$22+((J137*F137)/((J$10*F$10)-1)*costos!$F$22/3+((K137*F137)/(K$10*F$10)-1)*costos!$F$22/3+((U137*F137)/(U$10*F$10)-1)*costos!$F$22/3+((L137*F137)/(L$10*F$10)-1)*costos!$G$22+(((AVERAGE(AI137:AL137))/((AVERAGE(AI$10:AL$10))-1)*costos!$J$22+((V137*F137)/(V$10*F$10)-1)*costos!$K$22)))))</f>
        <v>16052.217955676098</v>
      </c>
      <c r="CQ137" s="92">
        <f>CQ$10*(1+((H137/H$10-1)*costos!$B$23+((I137*F137)/(I$10*F$10)-1)*costos!$E$23+((J137*F137)/((J$10*F$10)-1)*costos!$F$23/3+((K137*F137)/(K$10*F$10)-1)*costos!$F$23/3+((U137*F137)/(U$10*F$10)-1)*costos!$F$23/3+((L137*F137)/(L$10*F$10)-1)*costos!$G$23+((AN137)/(AN$10)-1)*costos!$J$23+((V137*F137)/(V$10*F$10)-1)*costos!$K$23)))</f>
        <v>14754.497935388523</v>
      </c>
      <c r="CR137" s="268">
        <f>CR$10*(1+((H137/H$10-1)*costos!$B$24+((I137*F137)/(I$10*F$10)-1)*costos!$E$24+((J137*F137)/((J$10*F$10)-1)*costos!$F$24/3+((K137*F137)/(K$10*F$10)-1)*costos!$F$24/3+((U137*F137)/(U$10*F$10)-1)*costos!$F$24/3+((L137*F137)/(L$10*F$10)-1)*costos!$G$24+((AO138)/(AO$10)-1)*costos!$J$24+((V137*F137)/(V$10*F$10)-1)*costos!$K$24)))</f>
        <v>12763.259216831255</v>
      </c>
      <c r="CS137" s="92">
        <f t="shared" ref="CS137" si="620">+AVERAGE(CQ137:CR137)</f>
        <v>13758.878576109888</v>
      </c>
      <c r="CT137" s="268">
        <f>CT$10*(1+((H137/H$10-1)*costos!$B$25+((I137*F137)/(I$10*F$10)-1)*costos!$E$25+((J137*F137)/((J$10*F$10)-1)*costos!$F$25/3+((K137*F137)/(K$10*F$10)-1)*costos!$F$25/3+((U137*F137)/(U$10*F$10)-1)*costos!$F$25/3+((L137*F137)/(L$10*F$10)-1)*costos!$G$25+((AQ138)/(AQ$10)-1)*costos!$J$25+((V137*F137)/(V$10*F$10)-1)*costos!$K$25)))</f>
        <v>13015.224537188238</v>
      </c>
      <c r="CU137" s="268">
        <f>CU$10*(1+((H137/H$10-1)*costos!$B$26+((I137*F137)/(I$10*F$10)-1)*costos!$E$26+((J137*F137)/((J$10*F$10)-1)*costos!$F$26/3+((K137*F137)/(K$10*F$10)-1)*costos!$F$26/3+((U137*F137)/(U$10*F$10)-1)*costos!$F$26/3+((L137*F137)/(L$10*F$10)-1)*costos!$G$26+((AR138)/(AR$10)-1)*costos!$J$26+((V137*F137)/(V$10*F$10)-1)*costos!$K$26)))</f>
        <v>13172.305295173712</v>
      </c>
      <c r="CV137" s="268">
        <f>CV$10*(1+((H137/H$10-1)*costos!$B$27+((I137*F137)/(I$10*F$10)-1)*costos!$E$27+((J137*F137)/((J$10*F$10)-1)*costos!$F$27/3+((K137*F137)/(K$10*F$10)-1)*costos!$F$27/3+((U137*F137)/(U$10*F$10)-1)*costos!$F$27/3+((L137*F137)/(L$10*F$10)-1)*costos!$G$27+((AS138)/(AS$10)-1)*costos!$J$27+((V137*F137)/(V$10*F$10)-1)*costos!$K$27)))</f>
        <v>13172.305295173712</v>
      </c>
      <c r="CW137" s="268">
        <f>CW$10*(1+((H137/H$10-1)*costos!$B$28+((I137*F137)/(I$10*F$10)-1)*costos!$E$28+((J137*F137)/((J$10*F$10)-1)*costos!$F$28/3+((K137*F137)/(K$10*F$10)-1)*costos!$F$28/3+((U137*F137)/(U$10*F$10)-1)*costos!$F$28/3+((L137*F137)/(L$10*F$10)-1)*costos!$G$28+((AS138)/(AS$10)-1)*costos!$J$28+((V137*F137)/(V$10*F$10)-1)*costos!$K$28)))</f>
        <v>13172.305295173712</v>
      </c>
      <c r="CX137" s="268">
        <f t="shared" ref="CX137" si="621">+AVERAGE(CU137:CW137)</f>
        <v>13172.305295173712</v>
      </c>
      <c r="CY137" s="268">
        <f>CY$10*(1+((H137/H$10-1)*costos!$B$32+((I137*F137)/(I$10*F$10)-1)*costos!$E$32+((J137*F137)/((J$10*F$10)-1)*costos!$F$32/3+((K137*F137)/(K$10*F$10)-1)*costos!$F$32/3+((U137*F137)/(U$10*F$10)-1)*costos!$F$32/3+((L137*F137)/(L$10*F$10)-1)*costos!$G$32+((AG137)/(AG$10)-1)*costos!$J$32+((V137*F137)/(V$10*F$10)-1)*costos!$K$32)))</f>
        <v>14557.151457049025</v>
      </c>
      <c r="CZ137" s="69">
        <f>CZ$10*(1+((H137/H$10-1)*costos!$B$31+((I137*F137)/(I$10*F$10)-1)*costos!$E$30+((J137*F137)/((J$10*F$10)-1)*costos!$F$30/3+((K137*F137)/(K$10*F$10)-1)*costos!$F$30/3+((U137*F137)/(U$10*F$10)-1)*costos!$F$30/3+((L137*F137)/(L$10*F$10)-1)*costos!$G$30+((BG137)/(BG$10)-1)*costos!$J$30+((V137*F137)/(V$10*F$10)-1)*costos!$K$30)))</f>
        <v>19314.437547083409</v>
      </c>
      <c r="DA137" s="69">
        <f>DA$10*(1+((H137/H$10-1)*costos!$B$31+((I137*F137)/(I$10*F$10)-1)*costos!$E$31+((J137*F137)/((J$10*F$10)-1)*costos!$F$31/3+((K137*F137)/(K$10*F$10)-1)*costos!$F$31/3+((U137*F137)/(U$10*F$10)-1)*costos!$F$31/3+((L137*F137)/(L$10*F$10)-1)*costos!$G$31+((BJ137)/(BJ$10)-1)*costos!$J$31+((V137*F137)/(V$10*F$10)-1)*costos!$K$31)))</f>
        <v>15390.274110835449</v>
      </c>
      <c r="DB137" s="69">
        <f>DB$10*(1+((H137/H$10-1)*costos!$B$36+((I137*F137)/(I$10*F$10)-1)*costos!$E$36+((J137*F137)/((J$10*F$10)-1)*costos!$F$36/3+((K137*F137)/(K$10*F$10)-1)*costos!$F$36/3+((U137*F137)/(U$10*F$10)-1)*costos!$F$36/3+((L137*F137)/(L$10*F$10)-1)*costos!$G$36+((BK137)/(BK$10)-1)*costos!$J$36+((V137*F137)/(V$10*F$10)-1)*costos!$K$36)))</f>
        <v>15531.428966969372</v>
      </c>
      <c r="DC137" s="69">
        <f>DC$10*(1+((H137/H$10-1)*costos!$B$37+((I137*F137)/(I$10*F$10)-1)*costos!$E$37+((U137*F137)/(U$10*F$10)-1)*costos!$F$37+((L137*F137)/(L$10*F$10)-1)*costos!$G$37+((BN137)/(BN$10)-1)*costos!$J$37+((V137*F137)/(V$10*F$10)-1)*costos!$K$37))</f>
        <v>14039.78657374079</v>
      </c>
      <c r="DD137" s="69">
        <f>DD$10*(1+((H137/H$10-1)*costos!$B$39+((I137*F137)/(I$10*F$10)-1)*costos!$E$39+((U137*F137)/(U$10*F$10)-1)*costos!$F$39+((L137*F137)/(L$10*F$10)-1)*costos!$G$39+((BR137)/(BR$10)-1)*costos!$J$39+((V137*F137)/(V$10*F$10)-1)*costos!$K$39))</f>
        <v>13595.305001949215</v>
      </c>
      <c r="DE137" s="69">
        <f>DD$10*(1+((H137/H$10-1)*costos!$B$35+((I137*F137)/(I$10*F$10)-1)*costos!$E$35+((U137*F137)/(U$10*F$10)-1)*costos!$F$35+((L137*F137)/(L$10*F$10)-1)*costos!$G$35+((BR137)/(BR$10)-1)*costos!$J$35+((V137*F137)/(V$10*F$10)-1)*costos!$K$35))</f>
        <v>11550.776710541917</v>
      </c>
      <c r="DF137" s="69">
        <f>DF$10*(1+((H137/H$10-1)*costos!$B$40+((I137*F137)/(I$10*F$10)-1)*costos!$E$40+((U137*F137)/(U$10*F$10)-1)*costos!$F$40+((L137*F137)/(L$10*F$10)-1)*costos!$G$40+((BP137)/(BP$10)-1)*costos!$J$40+((V137*F137)/(V$10*F$10)-1)*costos!$K$40))</f>
        <v>13163.034153309303</v>
      </c>
      <c r="DG137" s="268">
        <f t="shared" ref="DG137" si="622">+((DE137/$DE$10)*100+DF137)/2</f>
        <v>12356.90543192561</v>
      </c>
      <c r="DH137" s="69">
        <f>DH$10*(1+((H137/H$10-1)*costos!$B$34+((I137*F137)/(I$10*F$10)-1)*costos!$E$34+((J137*F137)/((J$10*F$10)-1)*costos!$F$34/3+((K137*F137)/(K$10*F$10)-1)*costos!$F$34/3+((U137*F137)/(U$10*F$10)-1)*costos!$F$34/3+((L137*F137)/(L$10*F$10)-1)*costos!$G$34+((BV137)/(BV$10)-1)*costos!$J$34+((V137*F137)/(V$10*F$10)-1)*costos!$K$34)))</f>
        <v>15233.34169325668</v>
      </c>
      <c r="DI137" s="69">
        <f>DI$10*(1+((H137/H$10-1)*costos!$B$38+((I137*F137)/(I$10*F$10)-1)*costos!$E$38+((J137*F137)/((J$10*F$10)-1)*costos!$F$38/3+((K137*F137)/(K$10*F$10)-1)*costos!$F$38/3+((U137*F137)/(U$10*F$10)-1)*costos!$F$38/3+((L137*F137)/(L$10*F$10)-1)*costos!$G$38+((BU137)/(BU$10)-1)*costos!$J$38+((V137*F137)/(V$10*F$10)-1)*costos!$K$38)))</f>
        <v>15128.112662415504</v>
      </c>
      <c r="DK137" s="1">
        <v>390000</v>
      </c>
      <c r="DL137" s="1" t="s">
        <v>663</v>
      </c>
      <c r="DM137" s="1">
        <v>200000</v>
      </c>
      <c r="DN137" s="1" t="s">
        <v>663</v>
      </c>
      <c r="DO137" s="1">
        <v>1330000</v>
      </c>
      <c r="DP137" s="1" t="s">
        <v>832</v>
      </c>
      <c r="DQ137" s="1">
        <v>3200000</v>
      </c>
      <c r="DR137" s="1" t="s">
        <v>663</v>
      </c>
      <c r="DS137" s="1">
        <v>8400000</v>
      </c>
      <c r="DT137" s="1" t="s">
        <v>832</v>
      </c>
      <c r="DU137" s="1">
        <v>16200000</v>
      </c>
      <c r="DV137" s="1" t="s">
        <v>663</v>
      </c>
      <c r="DW137" s="1">
        <v>750000</v>
      </c>
      <c r="DX137" s="1" t="s">
        <v>663</v>
      </c>
      <c r="DY137" s="1">
        <v>6600000</v>
      </c>
      <c r="DZ137" s="1" t="s">
        <v>832</v>
      </c>
      <c r="EA137" s="79">
        <f t="shared" si="353"/>
        <v>36480000</v>
      </c>
      <c r="EB137" s="1">
        <v>389100</v>
      </c>
      <c r="EC137" t="s">
        <v>663</v>
      </c>
      <c r="ED137" s="82">
        <v>231352</v>
      </c>
      <c r="EE137" s="144">
        <v>2025</v>
      </c>
      <c r="EF137" s="82">
        <v>196220</v>
      </c>
      <c r="EG137" s="144">
        <v>2025</v>
      </c>
      <c r="EH137" s="83">
        <v>50920790</v>
      </c>
      <c r="EI137" s="6">
        <v>2026</v>
      </c>
      <c r="EJ137" s="83">
        <v>5387190</v>
      </c>
      <c r="EK137" s="6">
        <v>2026</v>
      </c>
      <c r="EL137" s="1">
        <v>11482381</v>
      </c>
      <c r="EM137" s="6">
        <v>2026</v>
      </c>
      <c r="EN137" s="1">
        <v>3010406</v>
      </c>
      <c r="EO137" s="6">
        <v>2026</v>
      </c>
      <c r="EP137" s="83">
        <v>9402</v>
      </c>
      <c r="EQ137" s="83">
        <v>4000000</v>
      </c>
      <c r="ER137" s="82">
        <f t="shared" si="543"/>
        <v>79911</v>
      </c>
      <c r="ET137" s="82">
        <f t="shared" si="514"/>
        <v>19357</v>
      </c>
      <c r="EU137" s="82">
        <f t="shared" si="514"/>
        <v>18703</v>
      </c>
      <c r="EV137" s="82">
        <f t="shared" si="514"/>
        <v>8927</v>
      </c>
      <c r="EW137" s="82">
        <f t="shared" si="514"/>
        <v>17408</v>
      </c>
      <c r="EX137" s="79">
        <f t="shared" si="605"/>
        <v>64395</v>
      </c>
      <c r="EY137" s="82">
        <f t="shared" si="516"/>
        <v>20031</v>
      </c>
      <c r="EZ137" s="83">
        <f t="shared" si="516"/>
        <v>33722</v>
      </c>
      <c r="FA137" s="82">
        <f t="shared" ref="FA137" si="623">+FA136</f>
        <v>19900</v>
      </c>
      <c r="FB137" s="82">
        <f t="shared" si="516"/>
        <v>18184</v>
      </c>
      <c r="FC137" s="79">
        <f t="shared" si="606"/>
        <v>38084</v>
      </c>
      <c r="FD137" s="82">
        <f t="shared" si="518"/>
        <v>60376</v>
      </c>
      <c r="FF137" s="1">
        <v>750000</v>
      </c>
      <c r="FG137" s="1" t="s">
        <v>663</v>
      </c>
      <c r="FH137" s="1">
        <v>1400000</v>
      </c>
      <c r="FI137" s="1" t="s">
        <v>663</v>
      </c>
      <c r="FJ137" s="1">
        <v>5400008</v>
      </c>
      <c r="FK137" s="1" t="s">
        <v>913</v>
      </c>
      <c r="FL137" s="1">
        <v>6600004</v>
      </c>
      <c r="FM137" s="1" t="s">
        <v>909</v>
      </c>
      <c r="FN137" s="1">
        <v>64000000</v>
      </c>
      <c r="FO137" s="1" t="s">
        <v>663</v>
      </c>
      <c r="FP137" s="1">
        <v>50100000</v>
      </c>
      <c r="FQ137" s="1" t="s">
        <v>663</v>
      </c>
      <c r="FR137" s="1">
        <v>2800000</v>
      </c>
      <c r="FS137" s="1" t="s">
        <v>663</v>
      </c>
      <c r="FT137" s="82">
        <v>27800000</v>
      </c>
      <c r="FU137" s="83" t="s">
        <v>663</v>
      </c>
      <c r="FV137" s="79">
        <f>+FT137+FR138+FP138+FN138+FL138+FJ138</f>
        <v>162250000</v>
      </c>
      <c r="FW137" s="83">
        <v>1311997</v>
      </c>
      <c r="FX137" s="1" t="s">
        <v>663</v>
      </c>
      <c r="FY137" s="83">
        <v>138806</v>
      </c>
      <c r="FZ137" s="79">
        <f t="shared" si="564"/>
        <v>809255.76</v>
      </c>
      <c r="GA137" s="86" t="str">
        <f t="shared" si="462"/>
        <v>sept25 ago26</v>
      </c>
      <c r="GB137" s="1">
        <v>18391299</v>
      </c>
      <c r="GC137" s="6">
        <v>2026</v>
      </c>
      <c r="GD137" s="82">
        <f t="shared" si="546"/>
        <v>2213559</v>
      </c>
      <c r="GE137" s="82">
        <f t="shared" si="547"/>
        <v>410324</v>
      </c>
      <c r="GF137" s="82">
        <f t="shared" si="548"/>
        <v>1003144</v>
      </c>
      <c r="GG137" s="82">
        <f t="shared" si="549"/>
        <v>129694</v>
      </c>
      <c r="GH137" s="79">
        <f>GE137+GF137+GG137</f>
        <v>1543162</v>
      </c>
      <c r="GI137" s="82">
        <f t="shared" si="520"/>
        <v>1302556</v>
      </c>
      <c r="GJ137" s="82">
        <f t="shared" si="520"/>
        <v>682423</v>
      </c>
      <c r="GK137" s="82">
        <f t="shared" si="520"/>
        <v>1391495</v>
      </c>
      <c r="GL137" s="82">
        <f t="shared" si="520"/>
        <v>305049</v>
      </c>
      <c r="GM137" s="82">
        <f t="shared" si="520"/>
        <v>260419</v>
      </c>
      <c r="GN137" s="79">
        <f t="shared" si="607"/>
        <v>2639386</v>
      </c>
      <c r="GO137" s="82">
        <f t="shared" si="521"/>
        <v>201734</v>
      </c>
      <c r="GP137" s="82">
        <f t="shared" si="521"/>
        <v>75000</v>
      </c>
      <c r="GQ137" s="1">
        <v>25259</v>
      </c>
      <c r="GR137" s="83">
        <v>29125</v>
      </c>
      <c r="GS137" s="79">
        <f t="shared" si="608"/>
        <v>29882.77</v>
      </c>
      <c r="GT137" s="82">
        <f t="shared" si="496"/>
        <v>2111561</v>
      </c>
      <c r="GU137" s="83">
        <f>19322+5874</f>
        <v>25196</v>
      </c>
      <c r="GV137" s="83">
        <f>4676+18737</f>
        <v>23413</v>
      </c>
      <c r="GW137" s="79">
        <f t="shared" si="522"/>
        <v>706530</v>
      </c>
      <c r="GX137" s="82">
        <v>36043.686000000002</v>
      </c>
      <c r="GY137" s="82" t="s">
        <v>802</v>
      </c>
      <c r="GZ137" s="82">
        <v>119644</v>
      </c>
      <c r="HA137" s="1">
        <v>148288</v>
      </c>
      <c r="HB137" s="79">
        <f t="shared" si="523"/>
        <v>2950559</v>
      </c>
      <c r="HC137" s="86" t="str">
        <f t="shared" si="465"/>
        <v>sept25 ago26</v>
      </c>
      <c r="HD137" s="1">
        <v>76575</v>
      </c>
      <c r="HE137" s="79">
        <f t="shared" si="560"/>
        <v>876972</v>
      </c>
      <c r="HF137" s="86" t="str">
        <f t="shared" si="466"/>
        <v>sept25 ago26</v>
      </c>
      <c r="HG137" s="83">
        <v>191000</v>
      </c>
      <c r="HH137" s="79">
        <f t="shared" si="490"/>
        <v>2263000</v>
      </c>
      <c r="HI137" s="86" t="str">
        <f t="shared" si="467"/>
        <v>sept25 ago26</v>
      </c>
      <c r="HJ137" s="1">
        <v>94148</v>
      </c>
      <c r="HK137" s="79">
        <f t="shared" si="524"/>
        <v>66843.960000000006</v>
      </c>
      <c r="HL137" s="86" t="str">
        <f t="shared" si="468"/>
        <v>sept25 ago26</v>
      </c>
      <c r="HM137" s="79">
        <f t="shared" si="358"/>
        <v>2329843.96</v>
      </c>
      <c r="HN137" s="87">
        <f t="shared" si="497"/>
        <v>2.2327434593629736E-2</v>
      </c>
      <c r="HO137" s="1">
        <v>1114792553</v>
      </c>
      <c r="HP137" s="79">
        <f t="shared" si="525"/>
        <v>11939.525702930679</v>
      </c>
      <c r="HQ137" s="86" t="str">
        <f t="shared" si="469"/>
        <v>sept25 ago26</v>
      </c>
      <c r="HU137" s="1">
        <v>950000</v>
      </c>
      <c r="HV137" s="1" t="s">
        <v>832</v>
      </c>
      <c r="HW137" s="1">
        <v>1600000</v>
      </c>
      <c r="HX137" s="1" t="s">
        <v>663</v>
      </c>
      <c r="HY137" s="83">
        <v>6000000</v>
      </c>
      <c r="HZ137" s="1" t="s">
        <v>663</v>
      </c>
      <c r="IA137" s="1">
        <v>21300000</v>
      </c>
      <c r="IB137" s="1" t="s">
        <v>832</v>
      </c>
      <c r="IC137" s="1">
        <v>48500000</v>
      </c>
      <c r="ID137" s="1" t="s">
        <v>832</v>
      </c>
      <c r="IE137" s="1">
        <v>1500000</v>
      </c>
      <c r="IF137" s="1" t="s">
        <v>832</v>
      </c>
      <c r="IG137" s="1">
        <f>(7.2+1.2)*1000000</f>
        <v>8400000</v>
      </c>
      <c r="IH137" s="1" t="s">
        <v>663</v>
      </c>
      <c r="II137" s="79">
        <f>+IG137+IE137+IC137+IA137+HY137+HW137</f>
        <v>87300000</v>
      </c>
      <c r="IJ137" s="97">
        <f>(8800000*12)/$IJ$2</f>
        <v>2.2725958002429612</v>
      </c>
      <c r="IK137" s="1" t="s">
        <v>663</v>
      </c>
      <c r="IL137" s="7">
        <v>47.11</v>
      </c>
      <c r="IM137" s="7">
        <v>46.21</v>
      </c>
      <c r="IN137" s="97">
        <v>192.8</v>
      </c>
      <c r="IO137" s="7">
        <v>20.36</v>
      </c>
      <c r="IP137" s="97">
        <f>(24502524*12)/IP$2</f>
        <v>6.3277651292900412</v>
      </c>
      <c r="IQ137" s="176">
        <f>(1.28*12)</f>
        <v>15.36</v>
      </c>
      <c r="IR137" s="269">
        <f t="shared" si="526"/>
        <v>6.17</v>
      </c>
      <c r="IS137" s="269">
        <f t="shared" si="526"/>
        <v>5.03</v>
      </c>
      <c r="IT137" s="269">
        <f t="shared" si="526"/>
        <v>11</v>
      </c>
      <c r="IU137" s="269">
        <f t="shared" si="526"/>
        <v>1.1000000000000001</v>
      </c>
      <c r="IV137" s="94">
        <f t="shared" ref="IV137" si="624">+SUM(IS137:IU137)</f>
        <v>17.130000000000003</v>
      </c>
      <c r="IY137" s="80">
        <v>1.88</v>
      </c>
      <c r="IZ137" s="88">
        <v>0.3</v>
      </c>
      <c r="JA137" s="83">
        <v>3650</v>
      </c>
      <c r="JB137" s="95">
        <f t="shared" si="433"/>
        <v>35.950000000000003</v>
      </c>
      <c r="JF137" s="171">
        <v>22.643675099999999</v>
      </c>
      <c r="JG137" s="171">
        <v>12.69750076</v>
      </c>
      <c r="JH137" s="171">
        <v>64.128457429999997</v>
      </c>
      <c r="JI137" s="171">
        <v>413.00666421</v>
      </c>
      <c r="JJ137" s="171">
        <v>890.00165112999991</v>
      </c>
      <c r="JK137" s="171">
        <v>122.15809098999999</v>
      </c>
      <c r="JL137" s="171">
        <v>2800.2714013700001</v>
      </c>
      <c r="JM137" s="171">
        <v>15.8772</v>
      </c>
      <c r="JN137" s="171">
        <v>293.7505867000001</v>
      </c>
      <c r="JO137" s="171">
        <v>31.689222000000001</v>
      </c>
      <c r="JP137" s="171">
        <v>0</v>
      </c>
      <c r="JQ137" s="171">
        <v>2.5000000000000001E-3</v>
      </c>
      <c r="JR137" s="171">
        <v>1.3858189300000001</v>
      </c>
      <c r="JS137" s="171">
        <v>0</v>
      </c>
      <c r="JT137" s="171">
        <v>2.6161500000000001E-2</v>
      </c>
      <c r="JU137" s="171">
        <v>57.979924069999996</v>
      </c>
      <c r="JV137" s="171">
        <v>9.1250752300000002</v>
      </c>
      <c r="JW137" s="171">
        <v>19.324811659999998</v>
      </c>
      <c r="JX137" s="171">
        <v>50.250050439999995</v>
      </c>
      <c r="JY137" s="171">
        <v>0</v>
      </c>
      <c r="JZ137" s="171">
        <v>8.7827540000000006</v>
      </c>
      <c r="KA137" s="171">
        <v>2.23094277</v>
      </c>
      <c r="KB137" s="171">
        <v>16.07329897</v>
      </c>
      <c r="KC137" s="171">
        <v>48.677116440000006</v>
      </c>
      <c r="KD137" s="171">
        <v>13.35283111</v>
      </c>
      <c r="KE137" s="171">
        <v>24.082283140000005</v>
      </c>
      <c r="KF137" s="171">
        <v>6.5175225899999996</v>
      </c>
      <c r="KG137" s="171">
        <v>664.83328535000021</v>
      </c>
      <c r="KH137" s="171">
        <v>154.99666101000003</v>
      </c>
      <c r="KI137" s="171">
        <v>37.363582219999998</v>
      </c>
      <c r="KJ137" s="171">
        <v>2.9791854299999998</v>
      </c>
      <c r="KK137" s="171">
        <v>6.8536994200000008</v>
      </c>
      <c r="KL137" s="171">
        <v>0.20789406999999999</v>
      </c>
      <c r="KM137" s="171">
        <v>0.80926483000000005</v>
      </c>
      <c r="KN137" s="171">
        <v>2.5186680000000003E-2</v>
      </c>
      <c r="KO137" s="171">
        <v>1.4462892300000001</v>
      </c>
      <c r="KP137" s="171">
        <v>2.8901699999999999E-2</v>
      </c>
      <c r="KQ137" s="171">
        <v>306.82540482000007</v>
      </c>
      <c r="KR137" s="171">
        <v>0</v>
      </c>
      <c r="KS137" s="171">
        <v>1.1646757300000001</v>
      </c>
      <c r="KT137" s="171">
        <v>5.6406057999999994</v>
      </c>
      <c r="KU137" s="171">
        <v>1.0196615200000001</v>
      </c>
      <c r="KV137" s="171">
        <v>3.4551686400000001</v>
      </c>
      <c r="KW137" s="171">
        <v>1.0381946799999999</v>
      </c>
      <c r="KX137" s="171">
        <v>0</v>
      </c>
      <c r="KY137" s="171">
        <v>0</v>
      </c>
      <c r="KZ137" s="171">
        <v>5.3962028099999992</v>
      </c>
      <c r="LA137" s="171">
        <v>0.45520708999999998</v>
      </c>
      <c r="LB137" s="171">
        <v>2.5732000000000001E-2</v>
      </c>
      <c r="LC137" s="171">
        <v>0.14425715</v>
      </c>
      <c r="LD137" s="171">
        <v>0</v>
      </c>
      <c r="LE137" s="171">
        <v>0</v>
      </c>
      <c r="LF137" s="171">
        <v>0</v>
      </c>
      <c r="LG137" s="171">
        <v>16.590936080000002</v>
      </c>
      <c r="LH137" s="171">
        <v>5.5489242099999991</v>
      </c>
      <c r="LI137" s="171">
        <v>2.6942235799999996</v>
      </c>
      <c r="LJ137" s="171">
        <v>0</v>
      </c>
      <c r="LK137" s="171">
        <v>3.7124954899999998</v>
      </c>
      <c r="LL137" s="171">
        <v>18.470735909999998</v>
      </c>
      <c r="LM137" s="171">
        <v>2.9625329300000001</v>
      </c>
      <c r="LN137" s="171">
        <v>0.14651821000000001</v>
      </c>
      <c r="LO137" s="171">
        <v>15.868826780000001</v>
      </c>
      <c r="LQ137" s="85">
        <f t="shared" ref="LQ137" si="625">+SUM(JH137:JJ137,JL137:JN137)</f>
        <v>4477.0359608400004</v>
      </c>
      <c r="LR137" s="85">
        <f t="shared" ref="LR137" si="626">+SUM(JQ137:JT137)</f>
        <v>1.41448043</v>
      </c>
      <c r="LS137" s="85">
        <f t="shared" ref="LS137" si="627">+SUM(JV137:JW137)</f>
        <v>28.449886889999998</v>
      </c>
      <c r="LT137" s="85">
        <f t="shared" ref="LT137" si="628">+SUM(JY137:KA137)</f>
        <v>11.013696770000001</v>
      </c>
      <c r="LU137" s="85">
        <f t="shared" ref="LU137" si="629">+SUM(KM137:KO137,KQ137:KS137)</f>
        <v>310.27082129000007</v>
      </c>
      <c r="LV137" s="85">
        <f t="shared" ref="LV137" si="630">+SUM(KV137:KY137)</f>
        <v>4.4933633200000003</v>
      </c>
      <c r="LW137" s="85">
        <f t="shared" ref="LW137" si="631">+SUM(LA137:LB137)</f>
        <v>0.48093908999999996</v>
      </c>
      <c r="LX137" s="85">
        <f t="shared" ref="LX137" si="632">+SUM(LD137:LF137)</f>
        <v>0</v>
      </c>
      <c r="LZ137" s="83">
        <v>1803.65</v>
      </c>
      <c r="MA137" s="83">
        <v>1858.04</v>
      </c>
      <c r="MB137"/>
      <c r="MC137"/>
      <c r="MD137"/>
      <c r="MF137"/>
      <c r="MG137"/>
      <c r="MH137" s="83">
        <v>4909.9799999999996</v>
      </c>
      <c r="MI137" s="83">
        <v>1058.7</v>
      </c>
      <c r="MJ137" s="83">
        <v>2275.91</v>
      </c>
      <c r="MK137" s="83">
        <v>4999</v>
      </c>
      <c r="ML137" s="83">
        <v>2163.96</v>
      </c>
      <c r="MM137" s="83">
        <v>3011.77</v>
      </c>
      <c r="MN137" s="83">
        <v>1299</v>
      </c>
      <c r="MO137" s="83">
        <v>2505.09</v>
      </c>
      <c r="MP137" s="83">
        <v>2316</v>
      </c>
      <c r="MQ137" s="83">
        <v>4001.68</v>
      </c>
      <c r="MR137" s="83">
        <v>2499</v>
      </c>
      <c r="MS137" s="83">
        <v>999</v>
      </c>
      <c r="MT137" s="83">
        <v>949</v>
      </c>
      <c r="MU137" s="83">
        <v>1171.57</v>
      </c>
      <c r="MV137" s="83">
        <v>2999</v>
      </c>
      <c r="MW137" s="83"/>
      <c r="MX137" s="83"/>
      <c r="MY137" s="83">
        <v>2619.1</v>
      </c>
      <c r="MZ137" s="83">
        <v>9300</v>
      </c>
      <c r="NA137" s="83">
        <v>4934</v>
      </c>
      <c r="NB137" s="83">
        <v>17650</v>
      </c>
      <c r="NC137" s="83">
        <v>2008.4</v>
      </c>
      <c r="ND137" s="82">
        <v>15990</v>
      </c>
      <c r="NE137" s="58">
        <v>9235</v>
      </c>
    </row>
    <row r="138" spans="1:369">
      <c r="A138" s="38">
        <f t="shared" ref="A138:A141" si="633">(B138&amp;"-"&amp;C138)+0</f>
        <v>46266</v>
      </c>
      <c r="B138" s="36">
        <f t="shared" si="536"/>
        <v>9</v>
      </c>
      <c r="C138" s="36">
        <f t="shared" si="537"/>
        <v>2026</v>
      </c>
      <c r="D138" s="36">
        <f t="shared" si="347"/>
        <v>138</v>
      </c>
      <c r="E138" s="38">
        <f t="shared" si="418"/>
        <v>46266</v>
      </c>
      <c r="F138" s="7"/>
      <c r="G138" s="7"/>
      <c r="H138" s="1">
        <f>[2]NACIONALES!$D126</f>
        <v>1216707.58</v>
      </c>
      <c r="W138" s="6"/>
      <c r="Y138" s="79"/>
      <c r="Z138" s="79"/>
      <c r="AA138" s="850"/>
      <c r="AB138" s="79"/>
      <c r="AC138" s="79"/>
      <c r="AD138" s="79"/>
      <c r="AE138" s="79"/>
      <c r="AF138" s="83"/>
      <c r="AM138" s="78">
        <f t="shared" si="458"/>
        <v>0</v>
      </c>
      <c r="AP138" s="78" t="str">
        <f>IFERROR(+AVERAGE(AN138:AO138),"")</f>
        <v/>
      </c>
      <c r="AT138" s="7"/>
      <c r="AU138" s="78" t="str">
        <f t="shared" si="348"/>
        <v/>
      </c>
      <c r="BC138" s="68">
        <v>44166</v>
      </c>
      <c r="BD138" s="68">
        <v>39751</v>
      </c>
      <c r="BG138" s="94">
        <f t="shared" si="583"/>
        <v>41958.5</v>
      </c>
      <c r="BJ138" s="78">
        <f t="shared" si="350"/>
        <v>0</v>
      </c>
      <c r="BK138" s="7">
        <v>4553.0379999999996</v>
      </c>
      <c r="BL138" s="7">
        <v>6135.4</v>
      </c>
      <c r="BM138" s="94">
        <f t="shared" si="351"/>
        <v>5344.2189999999991</v>
      </c>
      <c r="BO138" s="84"/>
      <c r="BQ138" s="78" t="str">
        <f t="shared" si="435"/>
        <v/>
      </c>
      <c r="BR138" s="7"/>
      <c r="BU138" s="79">
        <f t="shared" si="436"/>
        <v>0</v>
      </c>
      <c r="EA138" s="79">
        <f t="shared" si="353"/>
        <v>0</v>
      </c>
      <c r="EN138" s="1"/>
      <c r="FA138" s="82"/>
      <c r="FJ138" s="83">
        <v>5000000</v>
      </c>
      <c r="FK138" s="1" t="s">
        <v>832</v>
      </c>
      <c r="FL138" s="83">
        <v>7000000</v>
      </c>
      <c r="FM138" s="1" t="s">
        <v>832</v>
      </c>
      <c r="FN138" s="1">
        <v>66000000</v>
      </c>
      <c r="FO138" s="1" t="s">
        <v>832</v>
      </c>
      <c r="FP138" s="1">
        <v>53600000</v>
      </c>
      <c r="FQ138" s="1" t="s">
        <v>832</v>
      </c>
      <c r="FR138" s="1">
        <v>2850000</v>
      </c>
      <c r="FS138" s="1" t="s">
        <v>832</v>
      </c>
      <c r="FT138" s="82">
        <v>23400000</v>
      </c>
      <c r="FU138" s="1" t="s">
        <v>832</v>
      </c>
      <c r="FV138" s="79" t="e">
        <f>+FT138+#REF!+#REF!+#REF!+#REF!+#REF!</f>
        <v>#REF!</v>
      </c>
      <c r="FW138" s="83">
        <v>1483031</v>
      </c>
      <c r="FX138" s="1" t="s">
        <v>663</v>
      </c>
      <c r="FY138" s="1"/>
      <c r="FZ138" s="79">
        <f t="shared" si="564"/>
        <v>731880.76</v>
      </c>
      <c r="GA138" s="86" t="str">
        <f t="shared" si="462"/>
        <v>oct25 sept26</v>
      </c>
      <c r="GB138" s="1"/>
      <c r="GU138" s="83"/>
      <c r="GV138" s="83"/>
      <c r="GW138" s="79"/>
      <c r="HC138" s="86" t="str">
        <f t="shared" si="465"/>
        <v>oct25 sept26</v>
      </c>
      <c r="HF138" s="86" t="str">
        <f t="shared" si="466"/>
        <v>oct25 sept26</v>
      </c>
      <c r="HH138" s="79"/>
      <c r="HI138" s="86" t="str">
        <f t="shared" si="467"/>
        <v>oct25 sept26</v>
      </c>
      <c r="HL138" s="86" t="str">
        <f t="shared" si="468"/>
        <v>oct25 sept26</v>
      </c>
      <c r="HQ138" s="86" t="str">
        <f t="shared" si="469"/>
        <v>oct25 sept26</v>
      </c>
      <c r="JF138" s="171"/>
      <c r="JG138" s="171"/>
      <c r="JH138" s="171"/>
      <c r="JI138" s="171"/>
      <c r="JJ138" s="171"/>
      <c r="JK138" s="171"/>
      <c r="JL138" s="171"/>
      <c r="JM138" s="171"/>
      <c r="JN138" s="171"/>
      <c r="JO138" s="171"/>
      <c r="JP138" s="171"/>
      <c r="JQ138" s="171"/>
      <c r="JR138" s="171"/>
      <c r="JS138" s="171"/>
      <c r="JT138" s="171"/>
      <c r="JU138" s="171"/>
      <c r="JV138" s="171"/>
      <c r="JW138" s="171"/>
      <c r="JX138" s="171"/>
      <c r="JY138" s="171"/>
      <c r="JZ138" s="171"/>
      <c r="KA138" s="171"/>
      <c r="KB138" s="171"/>
      <c r="KC138" s="171"/>
      <c r="KD138" s="171"/>
      <c r="KE138" s="171"/>
      <c r="KF138" s="171"/>
      <c r="KG138" s="171"/>
      <c r="KH138" s="171"/>
      <c r="KI138" s="171"/>
      <c r="KJ138" s="171"/>
      <c r="KK138" s="171"/>
      <c r="KL138" s="171"/>
      <c r="KM138" s="171"/>
      <c r="KN138" s="171"/>
      <c r="KO138" s="171"/>
      <c r="KP138" s="171"/>
      <c r="KQ138" s="171"/>
      <c r="KR138" s="171"/>
      <c r="KS138" s="171"/>
      <c r="KT138" s="171"/>
      <c r="KU138" s="171"/>
      <c r="KV138" s="171"/>
      <c r="KW138" s="171"/>
      <c r="KX138" s="171"/>
      <c r="KY138" s="171"/>
      <c r="KZ138" s="171"/>
      <c r="LA138" s="171"/>
      <c r="LB138" s="171"/>
      <c r="LC138" s="171"/>
      <c r="LD138" s="171"/>
      <c r="LE138" s="171"/>
      <c r="LF138" s="171"/>
      <c r="LG138" s="171"/>
      <c r="LH138" s="171"/>
      <c r="LI138" s="171"/>
      <c r="LJ138" s="171"/>
      <c r="LK138" s="171"/>
      <c r="LL138" s="171"/>
      <c r="LM138" s="171"/>
      <c r="LN138" s="171"/>
      <c r="LO138" s="171"/>
      <c r="MB138"/>
      <c r="MC138"/>
      <c r="MD138"/>
      <c r="MF138"/>
      <c r="MG138"/>
      <c r="MH138" s="58"/>
      <c r="MK138" s="83">
        <v>4499</v>
      </c>
      <c r="ML138" s="58"/>
      <c r="MN138" s="131">
        <v>1999</v>
      </c>
      <c r="MO138" s="58"/>
      <c r="MQ138" s="58"/>
      <c r="MR138" s="131">
        <v>2499</v>
      </c>
      <c r="MS138" s="83">
        <v>1199</v>
      </c>
      <c r="MT138" s="83">
        <v>999</v>
      </c>
      <c r="MU138" s="83">
        <v>899</v>
      </c>
      <c r="MV138" s="83">
        <v>1699</v>
      </c>
      <c r="MW138"/>
      <c r="MX138"/>
      <c r="MZ138"/>
    </row>
    <row r="139" spans="1:369">
      <c r="A139" s="38">
        <f t="shared" si="633"/>
        <v>46296</v>
      </c>
      <c r="B139" s="36">
        <f t="shared" si="536"/>
        <v>10</v>
      </c>
      <c r="C139" s="36">
        <f t="shared" si="537"/>
        <v>2026</v>
      </c>
      <c r="D139" s="36">
        <f t="shared" si="347"/>
        <v>139</v>
      </c>
      <c r="E139" s="38">
        <f t="shared" si="418"/>
        <v>46296</v>
      </c>
      <c r="F139" s="7"/>
      <c r="G139" s="7"/>
      <c r="H139" s="1">
        <f>[2]NACIONALES!$D127</f>
        <v>1248298.53</v>
      </c>
      <c r="W139" s="6"/>
      <c r="Y139" s="79"/>
      <c r="Z139" s="79"/>
      <c r="AA139" s="79"/>
      <c r="AB139" s="79"/>
      <c r="AC139" s="79"/>
      <c r="AD139" s="79"/>
      <c r="AE139" s="79"/>
      <c r="AM139" s="78">
        <f t="shared" si="458"/>
        <v>0</v>
      </c>
      <c r="AP139" s="78" t="str">
        <f t="shared" ref="AP139:AP141" si="634">IFERROR(+AVERAGE(AN139:AO139),"")</f>
        <v/>
      </c>
      <c r="AT139" s="7"/>
      <c r="AU139" s="78" t="str">
        <f>IFERROR(+AVERAGE(AR139:AT139),"")</f>
        <v/>
      </c>
      <c r="BC139" s="68">
        <v>44166</v>
      </c>
      <c r="BD139" s="68">
        <v>39751</v>
      </c>
      <c r="BG139" s="94">
        <f t="shared" si="583"/>
        <v>41958.5</v>
      </c>
      <c r="BJ139" s="78">
        <f>+BH139+BI139</f>
        <v>0</v>
      </c>
      <c r="BO139" s="84"/>
      <c r="BQ139" s="78" t="str">
        <f t="shared" si="435"/>
        <v/>
      </c>
      <c r="BR139" s="7"/>
      <c r="BU139" s="79">
        <f t="shared" si="436"/>
        <v>0</v>
      </c>
      <c r="EA139" s="79">
        <f>+DY139+DW139+DU139+DS139+DQ139+DO139</f>
        <v>0</v>
      </c>
      <c r="EN139" s="1"/>
      <c r="FY139" s="1"/>
      <c r="FZ139" s="79">
        <f t="shared" si="564"/>
        <v>729509.76</v>
      </c>
      <c r="GA139" s="86" t="str">
        <f t="shared" si="462"/>
        <v>nov25 oct26</v>
      </c>
      <c r="GB139" s="1"/>
      <c r="GU139" s="83"/>
      <c r="GV139" s="83"/>
      <c r="HC139" s="86" t="str">
        <f t="shared" si="465"/>
        <v>nov25 oct26</v>
      </c>
      <c r="HF139" s="86" t="str">
        <f t="shared" si="466"/>
        <v>nov25 oct26</v>
      </c>
      <c r="HH139" s="79"/>
      <c r="HI139" s="86" t="str">
        <f t="shared" si="467"/>
        <v>nov25 oct26</v>
      </c>
      <c r="HL139" s="86" t="str">
        <f t="shared" si="468"/>
        <v>nov25 oct26</v>
      </c>
      <c r="HQ139" s="86" t="str">
        <f t="shared" si="469"/>
        <v>nov25 oct26</v>
      </c>
      <c r="MB139"/>
      <c r="MC139"/>
      <c r="MD139"/>
      <c r="MF139"/>
      <c r="MG139"/>
      <c r="MH139" s="58"/>
      <c r="MK139" s="83"/>
      <c r="ML139" s="58"/>
      <c r="MN139" s="131"/>
      <c r="MO139" s="58"/>
      <c r="MQ139" s="58"/>
      <c r="MR139" s="131"/>
      <c r="MS139" s="83"/>
      <c r="MT139" s="83"/>
      <c r="MU139" s="83"/>
      <c r="MV139"/>
      <c r="MW139"/>
      <c r="MX139"/>
      <c r="MZ139"/>
    </row>
    <row r="140" spans="1:369">
      <c r="A140" s="38">
        <f t="shared" si="633"/>
        <v>46327</v>
      </c>
      <c r="B140" s="36">
        <f t="shared" si="536"/>
        <v>11</v>
      </c>
      <c r="C140" s="36">
        <f t="shared" si="537"/>
        <v>2026</v>
      </c>
      <c r="D140" s="36">
        <f>+ROW()</f>
        <v>140</v>
      </c>
      <c r="E140" s="38">
        <f t="shared" si="418"/>
        <v>46327</v>
      </c>
      <c r="F140" s="7"/>
      <c r="G140" s="7"/>
      <c r="H140" s="282"/>
      <c r="W140" s="6"/>
      <c r="Y140" s="79"/>
      <c r="Z140" s="79"/>
      <c r="AA140" s="79"/>
      <c r="AB140" s="79"/>
      <c r="AC140" s="79"/>
      <c r="AD140" s="79"/>
      <c r="AE140" s="79"/>
      <c r="AM140" s="78">
        <f t="shared" si="458"/>
        <v>0</v>
      </c>
      <c r="AP140" s="78" t="str">
        <f t="shared" si="634"/>
        <v/>
      </c>
      <c r="AT140" s="7"/>
      <c r="AU140" s="78" t="str">
        <f>IFERROR(+AVERAGE(AR140:AT140),"")</f>
        <v/>
      </c>
      <c r="BG140" s="94" t="str">
        <f t="shared" si="583"/>
        <v/>
      </c>
      <c r="BJ140" s="78">
        <f>+BH140+BI140</f>
        <v>0</v>
      </c>
      <c r="BQ140" s="78" t="str">
        <f t="shared" si="435"/>
        <v/>
      </c>
      <c r="BR140" s="7"/>
      <c r="BU140" s="79">
        <f t="shared" si="436"/>
        <v>0</v>
      </c>
      <c r="EA140" s="79">
        <f>+DY140+DW140+DU140+DS140+DQ140+DO140</f>
        <v>0</v>
      </c>
      <c r="EN140" s="1"/>
      <c r="FY140" s="1"/>
      <c r="FZ140" s="79">
        <f t="shared" si="564"/>
        <v>729481</v>
      </c>
      <c r="GA140" s="86" t="str">
        <f t="shared" si="462"/>
        <v>dic25 nov26</v>
      </c>
      <c r="GB140" s="1"/>
      <c r="GU140" s="83"/>
      <c r="GV140" s="83"/>
      <c r="HC140" s="86" t="str">
        <f t="shared" si="465"/>
        <v>dic25 nov26</v>
      </c>
      <c r="HF140" s="86" t="str">
        <f t="shared" si="466"/>
        <v>dic25 nov26</v>
      </c>
      <c r="HH140" s="79"/>
      <c r="HI140" s="86" t="str">
        <f t="shared" si="467"/>
        <v>dic25 nov26</v>
      </c>
      <c r="HL140" s="86" t="str">
        <f t="shared" si="468"/>
        <v>dic25 nov26</v>
      </c>
      <c r="HQ140" s="86" t="str">
        <f t="shared" si="469"/>
        <v>dic25 nov26</v>
      </c>
      <c r="JF140" s="171"/>
      <c r="JG140" s="171"/>
      <c r="JH140" s="171"/>
      <c r="JI140" s="171"/>
      <c r="JJ140" s="171"/>
      <c r="JK140" s="171"/>
      <c r="JL140" s="171"/>
      <c r="JM140" s="171"/>
      <c r="JN140" s="171"/>
      <c r="JO140" s="171"/>
      <c r="JP140" s="171"/>
      <c r="JQ140" s="171"/>
      <c r="JR140" s="171"/>
      <c r="JS140" s="171"/>
      <c r="JT140" s="171"/>
      <c r="JU140" s="171"/>
      <c r="JV140" s="171"/>
      <c r="JW140" s="171"/>
      <c r="JX140" s="171"/>
      <c r="JY140" s="171"/>
      <c r="JZ140" s="171"/>
      <c r="KA140" s="171"/>
      <c r="KB140" s="171"/>
      <c r="KC140" s="171"/>
      <c r="KD140" s="171"/>
      <c r="KE140" s="171"/>
      <c r="KF140" s="171"/>
      <c r="KG140" s="171"/>
      <c r="KH140" s="171"/>
      <c r="KI140" s="171"/>
      <c r="KJ140" s="171"/>
      <c r="KK140" s="171"/>
      <c r="KL140" s="171"/>
      <c r="KM140" s="171"/>
      <c r="KN140" s="171"/>
      <c r="KO140" s="171"/>
      <c r="KP140" s="171"/>
      <c r="KQ140" s="171"/>
      <c r="KR140" s="171"/>
      <c r="KS140" s="171"/>
      <c r="KT140" s="171"/>
      <c r="KU140" s="171"/>
      <c r="KV140" s="171"/>
      <c r="KW140" s="171"/>
      <c r="KX140" s="171"/>
      <c r="KY140" s="171"/>
      <c r="KZ140" s="171"/>
      <c r="LA140" s="171"/>
      <c r="LB140" s="171"/>
      <c r="LC140" s="171"/>
      <c r="LD140" s="171"/>
      <c r="LE140" s="171"/>
      <c r="LF140" s="171"/>
      <c r="LG140" s="171"/>
      <c r="LH140" s="171"/>
      <c r="LI140" s="171"/>
      <c r="LJ140" s="171"/>
      <c r="LK140" s="171"/>
      <c r="LL140" s="171"/>
      <c r="LM140" s="171"/>
      <c r="LN140" s="171"/>
      <c r="LO140" s="171"/>
      <c r="MB140"/>
      <c r="MC140"/>
      <c r="MD140"/>
      <c r="MF140"/>
      <c r="MG140"/>
      <c r="MH140" s="58"/>
      <c r="MK140" s="83"/>
      <c r="ML140" s="58"/>
      <c r="MN140" s="131"/>
      <c r="MO140" s="58"/>
      <c r="MQ140" s="58"/>
      <c r="MR140" s="131"/>
      <c r="MS140" s="83"/>
      <c r="MT140" s="83"/>
      <c r="MU140" s="83"/>
      <c r="MV140"/>
      <c r="MW140"/>
      <c r="MX140"/>
      <c r="MZ140"/>
    </row>
    <row r="141" spans="1:369">
      <c r="A141" s="38">
        <f t="shared" si="633"/>
        <v>46357</v>
      </c>
      <c r="B141" s="36">
        <f t="shared" si="536"/>
        <v>12</v>
      </c>
      <c r="C141" s="36">
        <f t="shared" si="537"/>
        <v>2026</v>
      </c>
      <c r="D141" s="36">
        <f>+ROW()</f>
        <v>141</v>
      </c>
      <c r="E141" s="38">
        <f t="shared" si="418"/>
        <v>46357</v>
      </c>
      <c r="F141" s="7"/>
      <c r="G141" s="7"/>
      <c r="H141" s="282"/>
      <c r="W141" s="6"/>
      <c r="Y141" s="79"/>
      <c r="Z141" s="79"/>
      <c r="AA141" s="79"/>
      <c r="AB141" s="79"/>
      <c r="AC141" s="79"/>
      <c r="AD141" s="79"/>
      <c r="AE141" s="79"/>
      <c r="AM141" s="78">
        <f t="shared" si="458"/>
        <v>0</v>
      </c>
      <c r="AP141" s="78" t="str">
        <f t="shared" si="634"/>
        <v/>
      </c>
      <c r="AT141" s="7"/>
      <c r="AU141" s="78" t="str">
        <f>IFERROR(+AVERAGE(AR141:AT141),"")</f>
        <v/>
      </c>
      <c r="BG141" s="94" t="str">
        <f t="shared" si="583"/>
        <v/>
      </c>
      <c r="BJ141" s="78">
        <f>+BH141+BI141</f>
        <v>0</v>
      </c>
      <c r="BQ141" s="78" t="str">
        <f t="shared" si="435"/>
        <v/>
      </c>
      <c r="BR141" s="7"/>
      <c r="BU141" s="79">
        <f t="shared" si="436"/>
        <v>0</v>
      </c>
      <c r="EA141" s="79">
        <f>+DY141+DW141+DU141+DS141+DQ141+DO141</f>
        <v>0</v>
      </c>
      <c r="EN141" s="1"/>
      <c r="FY141" s="1"/>
      <c r="FZ141" s="79">
        <f t="shared" si="564"/>
        <v>708448</v>
      </c>
      <c r="GA141" s="86" t="str">
        <f t="shared" si="462"/>
        <v>ene26 dic26</v>
      </c>
      <c r="GB141" s="1"/>
      <c r="GU141" s="83"/>
      <c r="GV141" s="83"/>
      <c r="HC141" s="86" t="str">
        <f t="shared" si="465"/>
        <v>ene26 dic26</v>
      </c>
      <c r="HF141" s="86" t="str">
        <f t="shared" si="466"/>
        <v>ene26 dic26</v>
      </c>
      <c r="HH141" s="79"/>
      <c r="HI141" s="86" t="str">
        <f t="shared" si="467"/>
        <v>ene26 dic26</v>
      </c>
      <c r="HL141" s="86" t="str">
        <f t="shared" si="468"/>
        <v>ene26 dic26</v>
      </c>
      <c r="HQ141" s="86" t="str">
        <f t="shared" si="469"/>
        <v>ene26 dic26</v>
      </c>
      <c r="MB141"/>
      <c r="MC141"/>
      <c r="MD141"/>
      <c r="MF141"/>
      <c r="MG141"/>
      <c r="MH141" s="58"/>
      <c r="MK141" s="83"/>
      <c r="ML141" s="58"/>
      <c r="MN141" s="131"/>
      <c r="MO141" s="58"/>
      <c r="MQ141" s="58"/>
      <c r="MR141" s="131"/>
      <c r="MS141" s="131"/>
      <c r="MT141" s="83"/>
      <c r="MU141" s="83"/>
      <c r="MV141"/>
      <c r="MW141"/>
      <c r="MX141"/>
      <c r="MZ141"/>
    </row>
    <row r="142" spans="1:369">
      <c r="A142" s="7"/>
      <c r="B142" s="7" t="s">
        <v>334</v>
      </c>
      <c r="C142" s="7" t="s">
        <v>334</v>
      </c>
      <c r="D142" s="7" t="s">
        <v>334</v>
      </c>
      <c r="E142" s="7" t="s">
        <v>334</v>
      </c>
      <c r="F142" s="7" t="s">
        <v>334</v>
      </c>
      <c r="G142" s="7" t="s">
        <v>334</v>
      </c>
      <c r="H142" s="7" t="s">
        <v>334</v>
      </c>
      <c r="I142" s="7" t="s">
        <v>334</v>
      </c>
      <c r="J142" s="7" t="s">
        <v>334</v>
      </c>
      <c r="K142" s="7" t="s">
        <v>334</v>
      </c>
      <c r="L142" s="7" t="s">
        <v>334</v>
      </c>
      <c r="M142" t="s">
        <v>334</v>
      </c>
      <c r="N142" t="s">
        <v>334</v>
      </c>
      <c r="O142" t="s">
        <v>334</v>
      </c>
      <c r="P142" t="s">
        <v>334</v>
      </c>
      <c r="Q142" t="s">
        <v>334</v>
      </c>
      <c r="R142" t="s">
        <v>334</v>
      </c>
      <c r="S142" t="s">
        <v>334</v>
      </c>
      <c r="T142" t="s">
        <v>334</v>
      </c>
      <c r="U142" t="s">
        <v>334</v>
      </c>
      <c r="V142" t="s">
        <v>334</v>
      </c>
      <c r="W142" t="s">
        <v>334</v>
      </c>
      <c r="X142" t="s">
        <v>334</v>
      </c>
      <c r="Y142" t="s">
        <v>334</v>
      </c>
      <c r="Z142" t="s">
        <v>334</v>
      </c>
      <c r="AA142" t="s">
        <v>334</v>
      </c>
      <c r="AB142" t="s">
        <v>334</v>
      </c>
      <c r="AC142" t="s">
        <v>334</v>
      </c>
      <c r="AD142" t="s">
        <v>334</v>
      </c>
      <c r="AE142" t="s">
        <v>334</v>
      </c>
      <c r="AF142" t="s">
        <v>334</v>
      </c>
      <c r="AG142" t="s">
        <v>334</v>
      </c>
      <c r="AH142" t="s">
        <v>334</v>
      </c>
      <c r="AI142" t="s">
        <v>334</v>
      </c>
      <c r="AJ142" t="s">
        <v>334</v>
      </c>
      <c r="AK142" t="s">
        <v>334</v>
      </c>
      <c r="AL142" t="s">
        <v>334</v>
      </c>
      <c r="AM142" t="s">
        <v>334</v>
      </c>
      <c r="AN142" t="s">
        <v>334</v>
      </c>
      <c r="AO142" t="s">
        <v>334</v>
      </c>
      <c r="AP142" t="s">
        <v>334</v>
      </c>
      <c r="AQ142" t="s">
        <v>334</v>
      </c>
      <c r="AR142" t="s">
        <v>334</v>
      </c>
      <c r="AS142" t="s">
        <v>334</v>
      </c>
      <c r="AT142" t="s">
        <v>334</v>
      </c>
      <c r="AU142" t="s">
        <v>334</v>
      </c>
      <c r="AV142" t="s">
        <v>334</v>
      </c>
      <c r="AW142" t="s">
        <v>334</v>
      </c>
      <c r="AX142" t="s">
        <v>334</v>
      </c>
      <c r="AY142" t="s">
        <v>334</v>
      </c>
      <c r="AZ142" t="s">
        <v>334</v>
      </c>
      <c r="BA142" t="s">
        <v>334</v>
      </c>
      <c r="BB142" t="s">
        <v>334</v>
      </c>
      <c r="BC142" s="68" t="s">
        <v>334</v>
      </c>
      <c r="BD142" s="68" t="s">
        <v>334</v>
      </c>
      <c r="BE142" t="s">
        <v>334</v>
      </c>
      <c r="BF142" t="s">
        <v>334</v>
      </c>
      <c r="BG142" s="94" t="str">
        <f>+IFERROR(AVERAGE(BC142:BF142),"")</f>
        <v/>
      </c>
      <c r="BH142" t="s">
        <v>334</v>
      </c>
      <c r="BI142" t="s">
        <v>334</v>
      </c>
      <c r="BJ142" t="s">
        <v>334</v>
      </c>
      <c r="BK142" t="s">
        <v>334</v>
      </c>
      <c r="BL142" t="s">
        <v>334</v>
      </c>
      <c r="BM142" t="s">
        <v>334</v>
      </c>
      <c r="BN142" t="s">
        <v>334</v>
      </c>
      <c r="BO142" t="s">
        <v>334</v>
      </c>
      <c r="BP142" t="s">
        <v>334</v>
      </c>
      <c r="BQ142" t="s">
        <v>334</v>
      </c>
      <c r="BR142" t="s">
        <v>334</v>
      </c>
      <c r="BS142" t="s">
        <v>334</v>
      </c>
      <c r="BT142" t="s">
        <v>334</v>
      </c>
      <c r="BU142" t="s">
        <v>334</v>
      </c>
      <c r="BV142" t="s">
        <v>334</v>
      </c>
      <c r="BX142" t="s">
        <v>334</v>
      </c>
      <c r="BY142" s="1" t="s">
        <v>334</v>
      </c>
      <c r="BZ142" s="1" t="s">
        <v>334</v>
      </c>
      <c r="CA142" s="1" t="s">
        <v>334</v>
      </c>
      <c r="CB142" s="1" t="s">
        <v>334</v>
      </c>
      <c r="CC142" s="1" t="s">
        <v>334</v>
      </c>
      <c r="CD142" s="1" t="s">
        <v>334</v>
      </c>
      <c r="CE142" s="1" t="s">
        <v>334</v>
      </c>
      <c r="CF142" s="1" t="s">
        <v>334</v>
      </c>
      <c r="CG142" s="1" t="s">
        <v>334</v>
      </c>
      <c r="CH142" s="1" t="s">
        <v>334</v>
      </c>
      <c r="CI142" s="1" t="s">
        <v>334</v>
      </c>
      <c r="CJ142" s="1" t="s">
        <v>334</v>
      </c>
      <c r="CK142" s="1" t="s">
        <v>334</v>
      </c>
      <c r="CL142" s="1" t="s">
        <v>334</v>
      </c>
      <c r="CM142" s="1" t="s">
        <v>334</v>
      </c>
      <c r="CN142" s="1" t="s">
        <v>334</v>
      </c>
      <c r="CO142" s="1" t="s">
        <v>334</v>
      </c>
      <c r="CP142" s="1" t="s">
        <v>334</v>
      </c>
      <c r="CQ142" s="1" t="s">
        <v>334</v>
      </c>
      <c r="CR142" s="1" t="s">
        <v>334</v>
      </c>
      <c r="CS142" s="1" t="s">
        <v>334</v>
      </c>
      <c r="CT142" s="1" t="s">
        <v>334</v>
      </c>
      <c r="CU142" s="1" t="s">
        <v>334</v>
      </c>
      <c r="CV142" s="1" t="s">
        <v>334</v>
      </c>
      <c r="CW142" s="1" t="s">
        <v>334</v>
      </c>
      <c r="CX142" s="1" t="s">
        <v>334</v>
      </c>
      <c r="CY142" s="1" t="s">
        <v>334</v>
      </c>
      <c r="CZ142" s="1" t="s">
        <v>334</v>
      </c>
      <c r="DA142" s="1" t="s">
        <v>334</v>
      </c>
      <c r="DB142" s="1" t="s">
        <v>334</v>
      </c>
      <c r="DC142" s="1" t="s">
        <v>334</v>
      </c>
      <c r="DD142" s="1" t="s">
        <v>334</v>
      </c>
      <c r="DE142" s="1" t="s">
        <v>334</v>
      </c>
      <c r="DF142" s="1" t="s">
        <v>334</v>
      </c>
      <c r="DG142" s="1" t="s">
        <v>334</v>
      </c>
      <c r="DH142" s="1" t="s">
        <v>334</v>
      </c>
      <c r="DI142" s="1" t="s">
        <v>334</v>
      </c>
      <c r="DJ142" t="s">
        <v>334</v>
      </c>
      <c r="DL142" t="s">
        <v>334</v>
      </c>
      <c r="DM142" t="s">
        <v>334</v>
      </c>
      <c r="DN142" t="s">
        <v>334</v>
      </c>
      <c r="DO142" t="s">
        <v>334</v>
      </c>
      <c r="DP142" t="s">
        <v>334</v>
      </c>
      <c r="DQ142" t="s">
        <v>334</v>
      </c>
      <c r="DR142" t="s">
        <v>334</v>
      </c>
      <c r="DS142" t="s">
        <v>334</v>
      </c>
      <c r="DT142" t="s">
        <v>334</v>
      </c>
      <c r="DU142" t="s">
        <v>334</v>
      </c>
      <c r="DV142" t="s">
        <v>334</v>
      </c>
      <c r="DW142" t="s">
        <v>334</v>
      </c>
      <c r="DX142" t="s">
        <v>334</v>
      </c>
      <c r="DY142" t="s">
        <v>334</v>
      </c>
      <c r="DZ142" t="s">
        <v>334</v>
      </c>
      <c r="EA142" t="s">
        <v>334</v>
      </c>
      <c r="EB142" t="s">
        <v>334</v>
      </c>
      <c r="EC142" t="s">
        <v>334</v>
      </c>
      <c r="ED142" t="s">
        <v>334</v>
      </c>
      <c r="EE142" t="s">
        <v>334</v>
      </c>
      <c r="EF142" t="s">
        <v>334</v>
      </c>
      <c r="EG142" s="6" t="s">
        <v>334</v>
      </c>
      <c r="EH142" t="s">
        <v>334</v>
      </c>
      <c r="EI142" s="6" t="s">
        <v>334</v>
      </c>
      <c r="EJ142" t="s">
        <v>334</v>
      </c>
      <c r="EK142" s="6" t="s">
        <v>334</v>
      </c>
      <c r="EL142" t="s">
        <v>334</v>
      </c>
      <c r="EM142" s="6" t="s">
        <v>334</v>
      </c>
      <c r="EN142" t="s">
        <v>334</v>
      </c>
      <c r="EO142" s="6" t="s">
        <v>334</v>
      </c>
      <c r="EP142" t="s">
        <v>334</v>
      </c>
      <c r="EQ142" t="s">
        <v>334</v>
      </c>
      <c r="ER142" t="s">
        <v>334</v>
      </c>
      <c r="ES142" t="s">
        <v>334</v>
      </c>
      <c r="ET142" t="s">
        <v>334</v>
      </c>
      <c r="EU142" t="s">
        <v>334</v>
      </c>
      <c r="EV142" t="s">
        <v>334</v>
      </c>
      <c r="EW142" t="s">
        <v>334</v>
      </c>
      <c r="EX142" t="s">
        <v>334</v>
      </c>
      <c r="EY142" t="s">
        <v>334</v>
      </c>
      <c r="EZ142" t="s">
        <v>334</v>
      </c>
      <c r="FA142" t="s">
        <v>334</v>
      </c>
      <c r="FB142" t="s">
        <v>334</v>
      </c>
      <c r="FC142" t="s">
        <v>334</v>
      </c>
      <c r="FD142" t="s">
        <v>334</v>
      </c>
      <c r="FE142" t="s">
        <v>334</v>
      </c>
      <c r="FF142" t="s">
        <v>334</v>
      </c>
      <c r="FG142" t="s">
        <v>334</v>
      </c>
      <c r="FH142" t="s">
        <v>334</v>
      </c>
      <c r="FI142" t="s">
        <v>334</v>
      </c>
      <c r="FJ142" t="s">
        <v>334</v>
      </c>
      <c r="FK142" t="s">
        <v>334</v>
      </c>
      <c r="FL142" t="s">
        <v>334</v>
      </c>
      <c r="FM142" t="s">
        <v>334</v>
      </c>
      <c r="FN142" t="s">
        <v>334</v>
      </c>
      <c r="FO142" t="s">
        <v>334</v>
      </c>
      <c r="FP142" t="s">
        <v>334</v>
      </c>
      <c r="FQ142" t="s">
        <v>334</v>
      </c>
      <c r="FR142" t="s">
        <v>334</v>
      </c>
      <c r="FS142" t="s">
        <v>334</v>
      </c>
      <c r="FT142" t="s">
        <v>334</v>
      </c>
      <c r="FU142" t="s">
        <v>334</v>
      </c>
      <c r="FV142" t="s">
        <v>334</v>
      </c>
      <c r="FW142" t="s">
        <v>334</v>
      </c>
      <c r="FX142" t="s">
        <v>334</v>
      </c>
      <c r="FY142" t="s">
        <v>334</v>
      </c>
      <c r="FZ142" t="s">
        <v>334</v>
      </c>
      <c r="GA142" t="s">
        <v>334</v>
      </c>
      <c r="GB142" t="s">
        <v>334</v>
      </c>
      <c r="GC142" t="s">
        <v>334</v>
      </c>
      <c r="GD142" t="s">
        <v>334</v>
      </c>
      <c r="GE142" t="s">
        <v>334</v>
      </c>
      <c r="GF142" t="s">
        <v>334</v>
      </c>
      <c r="GG142" t="s">
        <v>334</v>
      </c>
      <c r="GH142" t="s">
        <v>334</v>
      </c>
      <c r="GI142" t="s">
        <v>334</v>
      </c>
      <c r="GJ142" t="s">
        <v>334</v>
      </c>
      <c r="GK142" t="s">
        <v>334</v>
      </c>
      <c r="GL142" t="s">
        <v>334</v>
      </c>
      <c r="GM142" t="s">
        <v>334</v>
      </c>
      <c r="GN142" t="s">
        <v>334</v>
      </c>
      <c r="GO142" t="s">
        <v>334</v>
      </c>
      <c r="GP142" t="s">
        <v>334</v>
      </c>
      <c r="GQ142" t="s">
        <v>334</v>
      </c>
      <c r="GR142" t="s">
        <v>334</v>
      </c>
      <c r="GS142" s="79" t="s">
        <v>334</v>
      </c>
      <c r="GT142" t="s">
        <v>334</v>
      </c>
      <c r="GU142" t="s">
        <v>334</v>
      </c>
      <c r="GV142" t="s">
        <v>334</v>
      </c>
      <c r="GW142" t="s">
        <v>334</v>
      </c>
      <c r="GX142" t="s">
        <v>334</v>
      </c>
      <c r="GY142" t="s">
        <v>334</v>
      </c>
      <c r="GZ142" t="s">
        <v>334</v>
      </c>
      <c r="HA142" t="s">
        <v>334</v>
      </c>
      <c r="HB142" t="s">
        <v>334</v>
      </c>
      <c r="HC142" t="s">
        <v>334</v>
      </c>
      <c r="HD142" t="s">
        <v>334</v>
      </c>
      <c r="HE142" t="s">
        <v>334</v>
      </c>
      <c r="HF142" t="s">
        <v>334</v>
      </c>
      <c r="HG142" t="s">
        <v>334</v>
      </c>
      <c r="HH142" t="s">
        <v>334</v>
      </c>
      <c r="HI142" t="s">
        <v>334</v>
      </c>
      <c r="HJ142" t="s">
        <v>334</v>
      </c>
      <c r="HK142" t="s">
        <v>334</v>
      </c>
      <c r="HL142" t="s">
        <v>334</v>
      </c>
      <c r="HM142" t="s">
        <v>334</v>
      </c>
      <c r="HN142" t="s">
        <v>334</v>
      </c>
      <c r="HO142" t="s">
        <v>334</v>
      </c>
      <c r="HP142" t="s">
        <v>334</v>
      </c>
      <c r="HQ142" t="s">
        <v>334</v>
      </c>
      <c r="HR142" t="s">
        <v>334</v>
      </c>
      <c r="HS142" t="s">
        <v>334</v>
      </c>
      <c r="HT142" t="s">
        <v>334</v>
      </c>
      <c r="HU142" t="s">
        <v>334</v>
      </c>
      <c r="HV142" t="s">
        <v>334</v>
      </c>
      <c r="HW142" t="s">
        <v>334</v>
      </c>
      <c r="HX142" t="s">
        <v>334</v>
      </c>
      <c r="HY142" t="s">
        <v>334</v>
      </c>
      <c r="HZ142" t="s">
        <v>334</v>
      </c>
      <c r="IA142" t="s">
        <v>334</v>
      </c>
      <c r="IB142" t="s">
        <v>334</v>
      </c>
      <c r="IC142" t="s">
        <v>334</v>
      </c>
      <c r="ID142" t="s">
        <v>334</v>
      </c>
      <c r="IE142" t="s">
        <v>334</v>
      </c>
      <c r="IF142" t="s">
        <v>334</v>
      </c>
      <c r="IG142" t="s">
        <v>334</v>
      </c>
      <c r="IH142" t="s">
        <v>334</v>
      </c>
      <c r="II142" t="s">
        <v>334</v>
      </c>
      <c r="IJ142" t="s">
        <v>334</v>
      </c>
      <c r="IK142" t="s">
        <v>334</v>
      </c>
      <c r="IL142" s="7" t="s">
        <v>334</v>
      </c>
      <c r="IM142" s="7" t="s">
        <v>334</v>
      </c>
      <c r="IN142" s="7" t="s">
        <v>334</v>
      </c>
      <c r="IO142" s="7" t="s">
        <v>334</v>
      </c>
      <c r="IP142" s="7" t="s">
        <v>334</v>
      </c>
      <c r="IQ142" s="7" t="s">
        <v>334</v>
      </c>
      <c r="IR142" s="7" t="s">
        <v>334</v>
      </c>
      <c r="IS142" s="7" t="s">
        <v>334</v>
      </c>
      <c r="IT142" s="7" t="s">
        <v>334</v>
      </c>
      <c r="IU142" s="7" t="s">
        <v>334</v>
      </c>
      <c r="IV142" s="7" t="s">
        <v>334</v>
      </c>
      <c r="IW142" t="s">
        <v>334</v>
      </c>
      <c r="IX142" t="s">
        <v>334</v>
      </c>
      <c r="IY142" s="5" t="s">
        <v>334</v>
      </c>
      <c r="IZ142" t="s">
        <v>334</v>
      </c>
      <c r="JA142" t="s">
        <v>334</v>
      </c>
      <c r="JB142" t="s">
        <v>334</v>
      </c>
      <c r="JC142" t="s">
        <v>334</v>
      </c>
      <c r="JD142" t="s">
        <v>334</v>
      </c>
      <c r="JE142" t="s">
        <v>334</v>
      </c>
      <c r="JF142" s="171" t="s">
        <v>334</v>
      </c>
      <c r="JG142" s="171" t="s">
        <v>334</v>
      </c>
      <c r="JH142" s="171" t="s">
        <v>334</v>
      </c>
      <c r="JI142" s="171" t="s">
        <v>334</v>
      </c>
      <c r="JJ142" s="171" t="s">
        <v>334</v>
      </c>
      <c r="JK142" s="171" t="s">
        <v>334</v>
      </c>
      <c r="JL142" s="171" t="s">
        <v>334</v>
      </c>
      <c r="JM142" s="171" t="s">
        <v>334</v>
      </c>
      <c r="JN142" s="171" t="s">
        <v>334</v>
      </c>
      <c r="JO142" s="171" t="s">
        <v>334</v>
      </c>
      <c r="JP142" s="171" t="s">
        <v>334</v>
      </c>
      <c r="JQ142" s="171" t="s">
        <v>334</v>
      </c>
      <c r="JR142" s="171" t="s">
        <v>334</v>
      </c>
      <c r="JS142" s="171" t="s">
        <v>334</v>
      </c>
      <c r="JT142" s="171" t="s">
        <v>334</v>
      </c>
      <c r="JU142" s="171" t="s">
        <v>334</v>
      </c>
      <c r="JV142" s="171" t="s">
        <v>334</v>
      </c>
      <c r="JW142" s="171" t="s">
        <v>334</v>
      </c>
      <c r="JX142" s="171" t="s">
        <v>334</v>
      </c>
      <c r="JY142" s="171" t="s">
        <v>334</v>
      </c>
      <c r="JZ142" s="171" t="s">
        <v>334</v>
      </c>
      <c r="KA142" s="171" t="s">
        <v>334</v>
      </c>
      <c r="KB142" s="171" t="s">
        <v>334</v>
      </c>
      <c r="KC142" s="171" t="s">
        <v>334</v>
      </c>
      <c r="KD142" s="171" t="s">
        <v>334</v>
      </c>
      <c r="KE142" s="171" t="s">
        <v>334</v>
      </c>
      <c r="KF142" s="171" t="s">
        <v>334</v>
      </c>
      <c r="KG142" s="171" t="s">
        <v>334</v>
      </c>
      <c r="KH142" s="171" t="s">
        <v>334</v>
      </c>
      <c r="KI142" s="171" t="s">
        <v>334</v>
      </c>
      <c r="KJ142" s="171" t="s">
        <v>334</v>
      </c>
      <c r="KK142" s="171" t="s">
        <v>334</v>
      </c>
      <c r="KL142" s="171" t="s">
        <v>334</v>
      </c>
      <c r="KM142" s="171" t="s">
        <v>334</v>
      </c>
      <c r="KN142" s="171" t="s">
        <v>334</v>
      </c>
      <c r="KO142" s="171" t="s">
        <v>334</v>
      </c>
      <c r="KP142" s="171" t="s">
        <v>334</v>
      </c>
      <c r="KQ142" s="171" t="s">
        <v>334</v>
      </c>
      <c r="KR142" s="171" t="s">
        <v>334</v>
      </c>
      <c r="KS142" s="171" t="s">
        <v>334</v>
      </c>
      <c r="KT142" s="171" t="s">
        <v>334</v>
      </c>
      <c r="KU142" s="171" t="s">
        <v>334</v>
      </c>
      <c r="KV142" s="171" t="s">
        <v>334</v>
      </c>
      <c r="KW142" s="171" t="s">
        <v>334</v>
      </c>
      <c r="KX142" s="171" t="s">
        <v>334</v>
      </c>
      <c r="KY142" s="171" t="s">
        <v>334</v>
      </c>
      <c r="KZ142" s="171" t="s">
        <v>334</v>
      </c>
      <c r="LA142" s="171" t="s">
        <v>334</v>
      </c>
      <c r="LB142" s="171" t="s">
        <v>334</v>
      </c>
      <c r="LC142" s="171" t="s">
        <v>334</v>
      </c>
      <c r="LD142" s="171" t="s">
        <v>334</v>
      </c>
      <c r="LE142" s="171" t="s">
        <v>334</v>
      </c>
      <c r="LF142" s="171" t="s">
        <v>334</v>
      </c>
      <c r="LG142" s="171" t="s">
        <v>334</v>
      </c>
      <c r="LH142" s="171" t="s">
        <v>334</v>
      </c>
      <c r="LI142" s="171" t="s">
        <v>334</v>
      </c>
      <c r="LJ142" s="171" t="s">
        <v>334</v>
      </c>
      <c r="LK142" s="171" t="s">
        <v>334</v>
      </c>
      <c r="LL142" s="171" t="s">
        <v>334</v>
      </c>
      <c r="LM142" s="171" t="s">
        <v>334</v>
      </c>
      <c r="LN142" s="171" t="s">
        <v>334</v>
      </c>
      <c r="LO142" s="171" t="s">
        <v>334</v>
      </c>
      <c r="LP142" t="s">
        <v>334</v>
      </c>
      <c r="LQ142" t="s">
        <v>334</v>
      </c>
      <c r="LR142" t="s">
        <v>334</v>
      </c>
      <c r="LS142" t="s">
        <v>334</v>
      </c>
      <c r="LT142" t="s">
        <v>334</v>
      </c>
      <c r="LU142" t="s">
        <v>334</v>
      </c>
      <c r="LV142" t="s">
        <v>334</v>
      </c>
      <c r="LW142" t="s">
        <v>334</v>
      </c>
      <c r="LX142" t="s">
        <v>334</v>
      </c>
      <c r="LY142" t="s">
        <v>334</v>
      </c>
      <c r="LZ142" s="131" t="s">
        <v>334</v>
      </c>
      <c r="MA142" s="131" t="s">
        <v>334</v>
      </c>
      <c r="MB142" s="131" t="s">
        <v>334</v>
      </c>
      <c r="MC142" s="131" t="s">
        <v>334</v>
      </c>
      <c r="MD142" s="131" t="s">
        <v>334</v>
      </c>
      <c r="ME142" s="131" t="s">
        <v>334</v>
      </c>
      <c r="MF142" s="131" t="s">
        <v>334</v>
      </c>
      <c r="MG142" s="131" t="s">
        <v>334</v>
      </c>
      <c r="MH142" s="131" t="s">
        <v>334</v>
      </c>
      <c r="MI142" s="131" t="s">
        <v>334</v>
      </c>
      <c r="MJ142" s="131" t="s">
        <v>334</v>
      </c>
      <c r="MK142" s="131" t="s">
        <v>334</v>
      </c>
      <c r="ML142" s="131" t="s">
        <v>334</v>
      </c>
      <c r="MM142" s="131" t="s">
        <v>334</v>
      </c>
      <c r="MN142" s="131" t="s">
        <v>334</v>
      </c>
      <c r="MO142" s="131" t="s">
        <v>334</v>
      </c>
      <c r="MP142" s="131" t="s">
        <v>334</v>
      </c>
      <c r="MQ142" s="131" t="s">
        <v>334</v>
      </c>
      <c r="MR142" s="131" t="s">
        <v>334</v>
      </c>
      <c r="MS142" s="131" t="s">
        <v>334</v>
      </c>
      <c r="MT142" s="131" t="s">
        <v>334</v>
      </c>
      <c r="MU142" s="131" t="s">
        <v>334</v>
      </c>
      <c r="MV142" s="131" t="s">
        <v>334</v>
      </c>
      <c r="MW142" s="131" t="s">
        <v>334</v>
      </c>
      <c r="MX142" s="131" t="s">
        <v>334</v>
      </c>
      <c r="MY142" s="131" t="s">
        <v>334</v>
      </c>
      <c r="MZ142" s="131" t="s">
        <v>334</v>
      </c>
      <c r="NA142" s="131" t="s">
        <v>334</v>
      </c>
      <c r="NB142" s="131" t="s">
        <v>334</v>
      </c>
      <c r="NC142" s="131" t="s">
        <v>334</v>
      </c>
      <c r="ND142" s="131" t="s">
        <v>334</v>
      </c>
      <c r="NE142" s="131" t="s">
        <v>334</v>
      </c>
    </row>
    <row r="143" spans="1:369">
      <c r="A143" s="36"/>
      <c r="B143" s="36"/>
      <c r="C143" s="36"/>
      <c r="D143" s="36"/>
      <c r="E143" s="36"/>
      <c r="DK143" s="10"/>
      <c r="JF143" s="171"/>
      <c r="JG143" s="171"/>
      <c r="JH143" s="171"/>
      <c r="JI143" s="171"/>
      <c r="JJ143" s="171"/>
      <c r="JK143" s="171"/>
      <c r="JL143" s="171"/>
      <c r="JM143" s="171"/>
      <c r="JN143" s="171"/>
      <c r="JO143" s="171"/>
      <c r="JP143" s="171"/>
      <c r="JQ143" s="171"/>
      <c r="JR143" s="171"/>
      <c r="JS143" s="171"/>
      <c r="JT143" s="171"/>
      <c r="JU143" s="171"/>
      <c r="JV143" s="171"/>
      <c r="JW143" s="171"/>
      <c r="JX143" s="171"/>
      <c r="JY143" s="171"/>
      <c r="JZ143" s="171"/>
      <c r="KA143" s="171"/>
      <c r="KB143" s="171"/>
      <c r="KC143" s="171"/>
      <c r="KD143" s="171"/>
      <c r="KE143" s="171"/>
      <c r="KF143" s="171"/>
      <c r="KG143" s="171"/>
      <c r="KH143" s="171"/>
      <c r="KI143" s="171"/>
      <c r="KJ143" s="171"/>
      <c r="KK143" s="171"/>
      <c r="KL143" s="171"/>
      <c r="KM143" s="171"/>
      <c r="KN143" s="171"/>
      <c r="KO143" s="171"/>
      <c r="KP143" s="171"/>
      <c r="KQ143" s="171"/>
      <c r="KR143" s="171"/>
      <c r="KS143" s="171"/>
      <c r="KT143" s="171"/>
      <c r="KU143" s="171"/>
      <c r="KV143" s="171"/>
      <c r="KW143" s="171"/>
      <c r="KX143" s="171"/>
      <c r="KY143" s="171"/>
      <c r="KZ143" s="171"/>
      <c r="LA143" s="171"/>
      <c r="LB143" s="171"/>
      <c r="LC143" s="171"/>
      <c r="LD143" s="171"/>
      <c r="LE143" s="171"/>
      <c r="LF143" s="171"/>
      <c r="LG143" s="171"/>
      <c r="LH143" s="171"/>
      <c r="LI143" s="171"/>
      <c r="LJ143" s="171"/>
      <c r="LK143" s="171"/>
      <c r="LL143" s="171"/>
      <c r="LM143" s="171"/>
      <c r="LN143" s="171"/>
      <c r="LO143" s="171"/>
    </row>
    <row r="144" spans="1:369">
      <c r="A144" s="173" t="s">
        <v>3</v>
      </c>
      <c r="B144" s="36"/>
      <c r="C144" s="36"/>
      <c r="D144" s="36"/>
      <c r="E144" s="36"/>
      <c r="G144" s="12"/>
      <c r="AW144" s="545"/>
      <c r="BC144" s="852"/>
      <c r="BD144" s="852"/>
      <c r="BE144" s="10"/>
      <c r="BF144" s="10"/>
      <c r="BK144" s="12"/>
      <c r="BL144" s="12"/>
      <c r="BM144" s="12"/>
      <c r="BN144" s="12"/>
      <c r="BO144" s="12"/>
      <c r="BP144" s="12"/>
      <c r="BQ144" s="12"/>
      <c r="BR144" s="12"/>
      <c r="BS144" s="12"/>
      <c r="BT144" s="12"/>
      <c r="BU144" s="12"/>
      <c r="BV144" s="12"/>
      <c r="BW144" s="12"/>
      <c r="EJ144" s="10"/>
      <c r="EN144" s="10"/>
      <c r="ER144" s="7"/>
      <c r="GB144">
        <f>GB133/GB121-1</f>
        <v>-7.6201048455332931E-2</v>
      </c>
      <c r="GH144" s="10"/>
      <c r="GQ144" s="1"/>
      <c r="HJ144" s="1"/>
      <c r="HP144" s="281"/>
      <c r="JF144" s="171"/>
      <c r="JG144" s="171"/>
      <c r="JH144" s="171"/>
      <c r="JI144" s="171"/>
      <c r="JJ144" s="171"/>
      <c r="JK144" s="171"/>
      <c r="JL144" s="171"/>
      <c r="JM144" s="171"/>
      <c r="JN144" s="171"/>
      <c r="JO144" s="171"/>
      <c r="JP144" s="171"/>
      <c r="JQ144" s="171"/>
      <c r="JR144" s="171"/>
      <c r="JS144" s="171"/>
      <c r="JT144" s="171"/>
      <c r="JU144" s="171"/>
      <c r="JV144" s="171"/>
      <c r="JW144" s="171"/>
      <c r="JX144" s="171"/>
      <c r="JY144" s="171"/>
      <c r="JZ144" s="171"/>
      <c r="KA144" s="171"/>
      <c r="KB144" s="171"/>
      <c r="KC144" s="171"/>
      <c r="KD144" s="171"/>
      <c r="KE144" s="171"/>
      <c r="KF144" s="171"/>
      <c r="KG144" s="171"/>
      <c r="KH144" s="171"/>
      <c r="KI144" s="171"/>
      <c r="KJ144" s="171"/>
      <c r="KK144" s="171"/>
      <c r="KL144" s="171"/>
      <c r="KM144" s="171"/>
      <c r="KN144" s="171"/>
      <c r="KO144" s="171"/>
      <c r="KP144" s="171"/>
      <c r="KQ144" s="171"/>
      <c r="KR144" s="171"/>
      <c r="KS144" s="171"/>
      <c r="KT144" s="171"/>
      <c r="KU144" s="171"/>
      <c r="KV144" s="171"/>
      <c r="KW144" s="171"/>
      <c r="KX144" s="171"/>
      <c r="KY144" s="171"/>
      <c r="KZ144" s="171"/>
      <c r="LA144" s="171"/>
      <c r="LB144" s="171"/>
      <c r="LC144" s="171"/>
      <c r="LD144" s="171"/>
      <c r="LE144" s="171"/>
      <c r="LF144" s="171"/>
      <c r="LG144" s="171"/>
      <c r="LH144" s="171"/>
      <c r="LI144" s="171"/>
      <c r="LJ144" s="171"/>
      <c r="LK144" s="171"/>
      <c r="LL144" s="171"/>
      <c r="LM144" s="171"/>
      <c r="LN144" s="171"/>
      <c r="LO144" s="171"/>
    </row>
    <row r="145" spans="1:384">
      <c r="A145" s="173" t="s">
        <v>5</v>
      </c>
      <c r="B145" s="36"/>
      <c r="C145" s="36"/>
      <c r="D145" s="36"/>
      <c r="E145" s="36"/>
      <c r="G145" s="12"/>
      <c r="AW145" s="12"/>
      <c r="BK145" s="12"/>
      <c r="BL145" s="12"/>
      <c r="BM145" s="12"/>
      <c r="BN145" s="12"/>
      <c r="BO145" s="12"/>
      <c r="BP145" s="12"/>
      <c r="BQ145" s="12"/>
      <c r="BR145" s="12"/>
      <c r="BS145" s="12"/>
      <c r="BT145" s="12"/>
      <c r="BU145" s="12"/>
      <c r="BV145" s="12"/>
      <c r="BW145" s="12"/>
      <c r="EJ145" s="1"/>
      <c r="EN145" s="1"/>
      <c r="ER145" s="12"/>
      <c r="GH145" s="1"/>
      <c r="GQ145" s="1"/>
      <c r="HJ145" s="1"/>
      <c r="IV145" s="7"/>
      <c r="JF145" s="171"/>
      <c r="JG145" s="171"/>
      <c r="JH145" s="171"/>
      <c r="JI145" s="171"/>
      <c r="JJ145" s="171"/>
      <c r="JK145" s="171"/>
      <c r="JL145" s="171"/>
      <c r="JM145" s="171"/>
      <c r="JN145" s="171"/>
      <c r="JO145" s="171"/>
      <c r="JP145" s="171"/>
      <c r="JQ145" s="171"/>
      <c r="JR145" s="171"/>
      <c r="JS145" s="171"/>
      <c r="JT145" s="171"/>
      <c r="JU145" s="171"/>
      <c r="JV145" s="171"/>
      <c r="JW145" s="171"/>
      <c r="JX145" s="171"/>
      <c r="JY145" s="171"/>
      <c r="JZ145" s="171"/>
      <c r="KA145" s="171"/>
      <c r="KB145" s="171"/>
      <c r="KC145" s="171"/>
      <c r="KD145" s="171"/>
      <c r="KE145" s="171"/>
      <c r="KF145" s="171"/>
      <c r="KG145" s="171"/>
      <c r="KH145" s="171"/>
      <c r="KI145" s="171"/>
      <c r="KJ145" s="171"/>
      <c r="KK145" s="171"/>
      <c r="KL145" s="171"/>
      <c r="KM145" s="171"/>
      <c r="KN145" s="171"/>
      <c r="KO145" s="171"/>
      <c r="KP145" s="171"/>
      <c r="KQ145" s="171"/>
      <c r="KR145" s="171"/>
      <c r="KS145" s="171"/>
      <c r="KT145" s="171"/>
      <c r="KU145" s="171"/>
      <c r="KV145" s="171"/>
      <c r="KW145" s="171"/>
      <c r="KX145" s="171"/>
      <c r="KY145" s="171"/>
      <c r="KZ145" s="171"/>
      <c r="LA145" s="171"/>
      <c r="LB145" s="171"/>
      <c r="LC145" s="171"/>
      <c r="LD145" s="171"/>
      <c r="LE145" s="171"/>
      <c r="LF145" s="171"/>
      <c r="LG145" s="171"/>
      <c r="LH145" s="171"/>
      <c r="LI145" s="171"/>
      <c r="LJ145" s="171"/>
      <c r="LK145" s="171"/>
      <c r="LL145" s="171"/>
      <c r="LM145" s="171"/>
      <c r="LN145" s="171"/>
      <c r="LO145" s="171"/>
    </row>
    <row r="146" spans="1:384">
      <c r="A146" s="173" t="s">
        <v>15</v>
      </c>
      <c r="B146" s="36"/>
      <c r="C146" s="36"/>
      <c r="D146" s="36"/>
      <c r="E146" s="36"/>
      <c r="AW146" s="12"/>
      <c r="HJ146" s="10"/>
      <c r="JF146" s="171"/>
      <c r="JG146" s="171"/>
      <c r="JH146" s="171"/>
      <c r="JI146" s="171"/>
      <c r="JJ146" s="171"/>
      <c r="JK146" s="171"/>
      <c r="JL146" s="171"/>
      <c r="JM146" s="171"/>
      <c r="JN146" s="171"/>
      <c r="JO146" s="171"/>
      <c r="JP146" s="171"/>
      <c r="JQ146" s="171"/>
      <c r="JR146" s="171"/>
      <c r="JS146" s="171"/>
      <c r="JT146" s="171"/>
      <c r="JU146" s="171"/>
      <c r="JV146" s="171"/>
      <c r="JW146" s="171"/>
      <c r="JX146" s="171"/>
      <c r="JY146" s="171"/>
      <c r="JZ146" s="171"/>
      <c r="KA146" s="171"/>
      <c r="KB146" s="171"/>
      <c r="KC146" s="171"/>
      <c r="KD146" s="171"/>
      <c r="KE146" s="171"/>
      <c r="KF146" s="171"/>
      <c r="KG146" s="171"/>
      <c r="KH146" s="171"/>
      <c r="KI146" s="171"/>
      <c r="KJ146" s="171"/>
      <c r="KK146" s="171"/>
      <c r="KL146" s="171"/>
      <c r="KM146" s="171"/>
      <c r="KN146" s="171"/>
      <c r="KO146" s="171"/>
      <c r="KP146" s="171"/>
      <c r="KQ146" s="171"/>
      <c r="KR146" s="171"/>
      <c r="KS146" s="171"/>
      <c r="KT146" s="171"/>
      <c r="KU146" s="171"/>
      <c r="KV146" s="171"/>
      <c r="KW146" s="171"/>
      <c r="KX146" s="171"/>
      <c r="KY146" s="171"/>
      <c r="KZ146" s="171"/>
      <c r="LA146" s="171"/>
      <c r="LB146" s="171"/>
      <c r="LC146" s="171"/>
      <c r="LD146" s="171"/>
      <c r="LE146" s="171"/>
      <c r="LF146" s="171"/>
      <c r="LG146" s="171"/>
      <c r="LH146" s="171"/>
      <c r="LI146" s="171"/>
      <c r="LJ146" s="171"/>
      <c r="LK146" s="171"/>
      <c r="LL146" s="171"/>
      <c r="LM146" s="171"/>
      <c r="LN146" s="171"/>
      <c r="LO146" s="171"/>
    </row>
    <row r="147" spans="1:384">
      <c r="A147" s="173" t="s">
        <v>2</v>
      </c>
      <c r="B147" s="36"/>
      <c r="C147" s="36"/>
      <c r="D147" s="36"/>
      <c r="E147" s="36"/>
      <c r="AW147" s="162"/>
      <c r="JF147" s="171"/>
      <c r="JG147" s="171"/>
      <c r="JH147" s="171"/>
      <c r="JI147" s="171"/>
      <c r="JJ147" s="171"/>
      <c r="JK147" s="171"/>
      <c r="JL147" s="171"/>
      <c r="JM147" s="171"/>
      <c r="JN147" s="171"/>
      <c r="JO147" s="171"/>
      <c r="JP147" s="171"/>
      <c r="JQ147" s="171"/>
      <c r="JR147" s="171"/>
      <c r="JS147" s="171"/>
      <c r="JT147" s="171"/>
      <c r="JU147" s="171"/>
      <c r="JV147" s="171"/>
      <c r="JW147" s="171"/>
      <c r="JX147" s="171"/>
      <c r="JY147" s="171"/>
      <c r="JZ147" s="171"/>
      <c r="KA147" s="171"/>
      <c r="KB147" s="171"/>
      <c r="KC147" s="171"/>
      <c r="KD147" s="171"/>
      <c r="KE147" s="171"/>
      <c r="KF147" s="171"/>
      <c r="KG147" s="171"/>
      <c r="KH147" s="171"/>
      <c r="KI147" s="171"/>
      <c r="KJ147" s="171"/>
      <c r="KK147" s="171"/>
      <c r="KL147" s="171"/>
      <c r="KM147" s="171"/>
      <c r="KN147" s="171"/>
      <c r="KO147" s="171"/>
      <c r="KP147" s="171"/>
      <c r="KQ147" s="171"/>
      <c r="KR147" s="171"/>
      <c r="KS147" s="171"/>
      <c r="KT147" s="171"/>
      <c r="KU147" s="171"/>
      <c r="KV147" s="171"/>
      <c r="KW147" s="171"/>
      <c r="KX147" s="171"/>
      <c r="KY147" s="171"/>
      <c r="KZ147" s="171"/>
      <c r="LA147" s="171"/>
      <c r="LB147" s="171"/>
      <c r="LC147" s="171"/>
      <c r="LD147" s="171"/>
      <c r="LE147" s="171"/>
      <c r="LF147" s="171"/>
      <c r="LG147" s="171"/>
      <c r="LH147" s="171"/>
      <c r="LI147" s="171"/>
      <c r="LJ147" s="171"/>
      <c r="LK147" s="171"/>
      <c r="LL147" s="171"/>
      <c r="LM147" s="171"/>
      <c r="LN147" s="171"/>
      <c r="LO147" s="171"/>
      <c r="NT147" t="str">
        <f>VLOOKUP(A7,datos!$1:$1048576,6)</f>
        <v>$/u$s</v>
      </c>
    </row>
    <row r="148" spans="1:384">
      <c r="A148" s="173" t="s">
        <v>9</v>
      </c>
      <c r="B148" s="36"/>
      <c r="C148" s="36"/>
      <c r="D148" s="36"/>
      <c r="E148" s="36"/>
      <c r="AW148" s="5"/>
      <c r="GB148" t="s">
        <v>810</v>
      </c>
      <c r="JF148" s="171"/>
      <c r="JG148" s="171"/>
      <c r="JH148" s="171"/>
      <c r="JI148" s="171"/>
      <c r="JJ148" s="171"/>
      <c r="JK148" s="171"/>
      <c r="JL148" s="171"/>
      <c r="JM148" s="171"/>
      <c r="JN148" s="171"/>
      <c r="JO148" s="171"/>
      <c r="JP148" s="171"/>
      <c r="JQ148" s="171"/>
      <c r="JR148" s="171"/>
      <c r="JS148" s="171"/>
      <c r="JT148" s="171"/>
      <c r="JU148" s="171"/>
      <c r="JV148" s="171"/>
      <c r="JW148" s="171"/>
      <c r="JX148" s="171"/>
      <c r="JY148" s="171"/>
      <c r="JZ148" s="171"/>
      <c r="KA148" s="171"/>
      <c r="KB148" s="171"/>
      <c r="KC148" s="171"/>
      <c r="KD148" s="171"/>
      <c r="KE148" s="171"/>
      <c r="KF148" s="171"/>
      <c r="KG148" s="171"/>
      <c r="KH148" s="171"/>
      <c r="KI148" s="171"/>
      <c r="KJ148" s="171"/>
      <c r="KK148" s="171"/>
      <c r="KL148" s="171"/>
      <c r="KM148" s="171"/>
      <c r="KN148" s="171"/>
      <c r="KO148" s="171"/>
      <c r="KP148" s="171"/>
      <c r="KQ148" s="171"/>
      <c r="KR148" s="171"/>
      <c r="KS148" s="171"/>
      <c r="KT148" s="171"/>
      <c r="KU148" s="171"/>
      <c r="KV148" s="171"/>
      <c r="KW148" s="171"/>
      <c r="KX148" s="171"/>
      <c r="KY148" s="171"/>
      <c r="KZ148" s="171"/>
      <c r="LA148" s="171"/>
      <c r="LB148" s="171"/>
      <c r="LC148" s="171"/>
      <c r="LD148" s="171"/>
      <c r="LE148" s="171"/>
      <c r="LF148" s="171"/>
      <c r="LG148" s="171"/>
      <c r="LH148" s="171"/>
      <c r="LI148" s="171"/>
      <c r="LJ148" s="171"/>
      <c r="LK148" s="171"/>
      <c r="LL148" s="171"/>
      <c r="LM148" s="171"/>
      <c r="LN148" s="171"/>
      <c r="LO148" s="171"/>
    </row>
    <row r="149" spans="1:384">
      <c r="A149" s="173" t="s">
        <v>7</v>
      </c>
      <c r="B149" s="36"/>
      <c r="C149" s="36"/>
      <c r="D149" s="36"/>
      <c r="E149" s="36"/>
      <c r="GA149">
        <v>2021</v>
      </c>
      <c r="GB149" s="1">
        <f>15630880+5307221</f>
        <v>20938101</v>
      </c>
      <c r="JF149" s="171"/>
      <c r="JG149" s="171"/>
      <c r="JH149" s="171"/>
      <c r="JI149" s="171"/>
      <c r="JJ149" s="171"/>
      <c r="JK149" s="171"/>
      <c r="JL149" s="171"/>
      <c r="JM149" s="171"/>
      <c r="JN149" s="171"/>
      <c r="JO149" s="171"/>
      <c r="JP149" s="171"/>
      <c r="JQ149" s="171"/>
      <c r="JR149" s="171"/>
      <c r="JS149" s="171"/>
      <c r="JT149" s="171"/>
      <c r="JU149" s="171"/>
      <c r="JV149" s="171"/>
      <c r="JW149" s="171"/>
      <c r="JX149" s="171"/>
      <c r="JY149" s="171"/>
      <c r="JZ149" s="171"/>
      <c r="KA149" s="171"/>
      <c r="KB149" s="171"/>
      <c r="KC149" s="171"/>
      <c r="KD149" s="171"/>
      <c r="KE149" s="171"/>
      <c r="KF149" s="171"/>
      <c r="KG149" s="171"/>
      <c r="KH149" s="171"/>
      <c r="KI149" s="171"/>
      <c r="KJ149" s="171"/>
      <c r="KK149" s="171"/>
      <c r="KL149" s="171"/>
      <c r="KM149" s="171"/>
      <c r="KN149" s="171"/>
      <c r="KO149" s="171"/>
      <c r="KP149" s="171"/>
      <c r="KQ149" s="171"/>
      <c r="KR149" s="171"/>
      <c r="KS149" s="171"/>
      <c r="KT149" s="171"/>
      <c r="KU149" s="171"/>
      <c r="KV149" s="171"/>
      <c r="KW149" s="171"/>
      <c r="KX149" s="171"/>
      <c r="KY149" s="171"/>
      <c r="KZ149" s="171"/>
      <c r="LA149" s="171"/>
      <c r="LB149" s="171"/>
      <c r="LC149" s="171"/>
      <c r="LD149" s="171"/>
      <c r="LE149" s="171"/>
      <c r="LF149" s="171"/>
      <c r="LG149" s="171"/>
      <c r="LH149" s="171"/>
      <c r="LI149" s="171"/>
      <c r="LJ149" s="171"/>
      <c r="LK149" s="171"/>
      <c r="LL149" s="171"/>
      <c r="LM149" s="171"/>
      <c r="LN149" s="171"/>
      <c r="LO149" s="171"/>
    </row>
    <row r="150" spans="1:384">
      <c r="A150" s="173" t="s">
        <v>8</v>
      </c>
      <c r="B150" s="36"/>
      <c r="C150" s="36"/>
      <c r="D150" s="36"/>
      <c r="E150" s="36"/>
      <c r="GA150">
        <v>2022</v>
      </c>
      <c r="GB150" s="1">
        <f>13243217+4681454</f>
        <v>17924671</v>
      </c>
      <c r="JF150" s="171"/>
      <c r="JG150" s="171"/>
      <c r="JH150" s="171"/>
      <c r="JI150" s="171"/>
      <c r="JJ150" s="171"/>
      <c r="JK150" s="171"/>
      <c r="JL150" s="171"/>
      <c r="JM150" s="171"/>
      <c r="JN150" s="171"/>
      <c r="JO150" s="171"/>
      <c r="JP150" s="171"/>
      <c r="JQ150" s="171"/>
      <c r="JR150" s="171"/>
      <c r="JS150" s="171"/>
      <c r="JT150" s="171"/>
      <c r="JU150" s="171"/>
      <c r="JV150" s="171"/>
      <c r="JW150" s="171"/>
      <c r="JX150" s="171"/>
      <c r="JY150" s="171"/>
      <c r="JZ150" s="171"/>
      <c r="KA150" s="171"/>
      <c r="KB150" s="171"/>
      <c r="KC150" s="171"/>
      <c r="KD150" s="171"/>
      <c r="KE150" s="171"/>
      <c r="KF150" s="171"/>
      <c r="KG150" s="171"/>
      <c r="KH150" s="171"/>
      <c r="KI150" s="171"/>
      <c r="KJ150" s="171"/>
      <c r="KK150" s="171"/>
      <c r="KL150" s="171"/>
      <c r="KM150" s="171"/>
      <c r="KN150" s="171"/>
      <c r="KO150" s="171"/>
      <c r="KP150" s="171"/>
      <c r="KQ150" s="171"/>
      <c r="KR150" s="171"/>
      <c r="KS150" s="171"/>
      <c r="KT150" s="171"/>
      <c r="KU150" s="171"/>
      <c r="KV150" s="171"/>
      <c r="KW150" s="171"/>
      <c r="KX150" s="171"/>
      <c r="KY150" s="171"/>
      <c r="KZ150" s="171"/>
      <c r="LA150" s="171"/>
      <c r="LB150" s="171"/>
      <c r="LC150" s="171"/>
      <c r="LD150" s="171"/>
      <c r="LE150" s="171"/>
      <c r="LF150" s="171"/>
      <c r="LG150" s="171"/>
      <c r="LH150" s="171"/>
      <c r="LI150" s="171"/>
      <c r="LJ150" s="171"/>
      <c r="LK150" s="171"/>
      <c r="LL150" s="171"/>
      <c r="LM150" s="171"/>
      <c r="LN150" s="171"/>
      <c r="LO150" s="171"/>
    </row>
    <row r="151" spans="1:384">
      <c r="A151" s="173" t="s">
        <v>347</v>
      </c>
      <c r="B151" s="36"/>
      <c r="C151" s="36"/>
      <c r="D151" s="36"/>
      <c r="E151" s="36"/>
      <c r="GA151">
        <v>2023</v>
      </c>
      <c r="GB151" s="1">
        <f>9347928+4126410</f>
        <v>13474338</v>
      </c>
      <c r="JF151" s="171"/>
      <c r="JG151" s="171"/>
      <c r="JH151" s="171"/>
      <c r="JI151" s="171"/>
      <c r="JJ151" s="171"/>
      <c r="JK151" s="171"/>
      <c r="JL151" s="171"/>
      <c r="JM151" s="171"/>
      <c r="JN151" s="171"/>
      <c r="JO151" s="171"/>
      <c r="JP151" s="171"/>
      <c r="JQ151" s="171"/>
      <c r="JR151" s="171"/>
      <c r="JS151" s="171"/>
      <c r="JT151" s="171"/>
      <c r="JU151" s="171"/>
      <c r="JV151" s="171"/>
      <c r="JW151" s="171"/>
      <c r="JX151" s="171"/>
      <c r="JY151" s="171"/>
      <c r="JZ151" s="171"/>
      <c r="KA151" s="171"/>
      <c r="KB151" s="171"/>
      <c r="KC151" s="171"/>
      <c r="KD151" s="171"/>
      <c r="KE151" s="171"/>
      <c r="KF151" s="171"/>
      <c r="KG151" s="171"/>
      <c r="KH151" s="171"/>
      <c r="KI151" s="171"/>
      <c r="KJ151" s="171"/>
      <c r="KK151" s="171"/>
      <c r="KL151" s="171"/>
      <c r="KM151" s="171"/>
      <c r="KN151" s="171"/>
      <c r="KO151" s="171"/>
      <c r="KP151" s="171"/>
      <c r="KQ151" s="171"/>
      <c r="KR151" s="171"/>
      <c r="KS151" s="171"/>
      <c r="KT151" s="171"/>
      <c r="KU151" s="171"/>
      <c r="KV151" s="171"/>
      <c r="KW151" s="171"/>
      <c r="KX151" s="171"/>
      <c r="KY151" s="171"/>
      <c r="KZ151" s="171"/>
      <c r="LA151" s="171"/>
      <c r="LB151" s="171"/>
      <c r="LC151" s="171"/>
      <c r="LD151" s="171"/>
      <c r="LE151" s="171"/>
      <c r="LF151" s="171"/>
      <c r="LG151" s="171"/>
      <c r="LH151" s="171"/>
      <c r="LI151" s="171"/>
      <c r="LJ151" s="171"/>
      <c r="LK151" s="171"/>
      <c r="LL151" s="171"/>
      <c r="LM151" s="171"/>
      <c r="LN151" s="171"/>
      <c r="LO151" s="171"/>
    </row>
    <row r="152" spans="1:384">
      <c r="A152" s="36"/>
      <c r="B152" s="36"/>
      <c r="C152" s="36"/>
      <c r="D152" s="36"/>
      <c r="E152" s="36"/>
      <c r="GA152">
        <v>2024</v>
      </c>
      <c r="GB152" s="1">
        <f>13624208+4423986</f>
        <v>18048194</v>
      </c>
      <c r="JF152" s="171"/>
      <c r="JG152" s="171"/>
      <c r="JH152" s="171"/>
      <c r="JI152" s="171"/>
      <c r="JJ152" s="171"/>
      <c r="JK152" s="171"/>
      <c r="JL152" s="171"/>
      <c r="JM152" s="171"/>
      <c r="JN152" s="171"/>
      <c r="JO152" s="171"/>
      <c r="JP152" s="171"/>
      <c r="JQ152" s="171"/>
      <c r="JR152" s="171"/>
      <c r="JS152" s="171"/>
      <c r="JT152" s="171"/>
      <c r="JU152" s="171"/>
      <c r="JV152" s="171"/>
      <c r="JW152" s="171"/>
      <c r="JX152" s="171"/>
      <c r="JY152" s="171"/>
      <c r="JZ152" s="171"/>
      <c r="KA152" s="171"/>
      <c r="KB152" s="171"/>
      <c r="KC152" s="171"/>
      <c r="KD152" s="171"/>
      <c r="KE152" s="171"/>
      <c r="KF152" s="171"/>
      <c r="KG152" s="171"/>
      <c r="KH152" s="171"/>
      <c r="KI152" s="171"/>
      <c r="KJ152" s="171"/>
      <c r="KK152" s="171"/>
      <c r="KL152" s="171"/>
      <c r="KM152" s="171"/>
      <c r="KN152" s="171"/>
      <c r="KO152" s="171"/>
      <c r="KP152" s="171"/>
      <c r="KQ152" s="171"/>
      <c r="KR152" s="171"/>
      <c r="KS152" s="171"/>
      <c r="KT152" s="171"/>
      <c r="KU152" s="171"/>
      <c r="KV152" s="171"/>
      <c r="KW152" s="171"/>
      <c r="KX152" s="171"/>
      <c r="KY152" s="171"/>
      <c r="KZ152" s="171"/>
      <c r="LA152" s="171"/>
      <c r="LB152" s="171"/>
      <c r="LC152" s="171"/>
      <c r="LD152" s="171"/>
      <c r="LE152" s="171"/>
      <c r="LF152" s="171"/>
      <c r="LG152" s="171"/>
      <c r="LH152" s="171"/>
      <c r="LI152" s="171"/>
      <c r="LJ152" s="171"/>
      <c r="LK152" s="171"/>
      <c r="LL152" s="171"/>
      <c r="LM152" s="171"/>
      <c r="LN152" s="171"/>
      <c r="LO152" s="171"/>
    </row>
    <row r="153" spans="1:384">
      <c r="A153" s="36"/>
      <c r="B153" s="36"/>
      <c r="C153" s="36"/>
      <c r="D153" s="36"/>
      <c r="E153" s="36"/>
      <c r="GA153">
        <v>2025</v>
      </c>
      <c r="GB153" s="1">
        <f>14791253+3968593</f>
        <v>18759846</v>
      </c>
      <c r="JF153" s="171"/>
      <c r="JG153" s="171"/>
      <c r="JH153" s="171"/>
      <c r="JI153" s="171"/>
      <c r="JJ153" s="171"/>
      <c r="JK153" s="171"/>
      <c r="JL153" s="171"/>
      <c r="JM153" s="171"/>
      <c r="JN153" s="171"/>
      <c r="JO153" s="171"/>
      <c r="JP153" s="171"/>
      <c r="JQ153" s="171"/>
      <c r="JR153" s="171"/>
      <c r="JS153" s="171"/>
      <c r="JT153" s="171"/>
      <c r="JU153" s="171"/>
      <c r="JV153" s="171"/>
      <c r="JW153" s="171"/>
      <c r="JX153" s="171"/>
      <c r="JY153" s="171"/>
      <c r="JZ153" s="171"/>
      <c r="KA153" s="171"/>
      <c r="KB153" s="171"/>
      <c r="KC153" s="171"/>
      <c r="KD153" s="171"/>
      <c r="KE153" s="171"/>
      <c r="KF153" s="171"/>
      <c r="KG153" s="171"/>
      <c r="KH153" s="171"/>
      <c r="KI153" s="171"/>
      <c r="KJ153" s="171"/>
      <c r="KK153" s="171"/>
      <c r="KL153" s="171"/>
      <c r="KM153" s="171"/>
      <c r="KN153" s="171"/>
      <c r="KO153" s="171"/>
      <c r="KP153" s="171"/>
      <c r="KQ153" s="171"/>
      <c r="KR153" s="171"/>
      <c r="KS153" s="171"/>
      <c r="KT153" s="171"/>
      <c r="KU153" s="171"/>
      <c r="KV153" s="171"/>
      <c r="KW153" s="171"/>
      <c r="KX153" s="171"/>
      <c r="KY153" s="171"/>
      <c r="KZ153" s="171"/>
      <c r="LA153" s="171"/>
      <c r="LB153" s="171"/>
      <c r="LC153" s="171"/>
      <c r="LD153" s="171"/>
      <c r="LE153" s="171"/>
      <c r="LF153" s="171"/>
      <c r="LG153" s="171"/>
      <c r="LH153" s="171"/>
      <c r="LI153" s="171"/>
      <c r="LJ153" s="171"/>
      <c r="LK153" s="171"/>
      <c r="LL153" s="171"/>
      <c r="LM153" s="171"/>
      <c r="LN153" s="171"/>
      <c r="LO153" s="171"/>
    </row>
    <row r="154" spans="1:384">
      <c r="A154" s="36"/>
      <c r="B154" s="36"/>
      <c r="C154" s="36"/>
      <c r="D154" s="36"/>
      <c r="E154" s="36"/>
      <c r="GA154">
        <v>2026</v>
      </c>
      <c r="GB154" s="1">
        <f>13147187+4097938</f>
        <v>17245125</v>
      </c>
      <c r="JF154" s="171"/>
      <c r="JG154" s="171"/>
      <c r="JH154" s="171"/>
      <c r="JI154" s="171"/>
      <c r="JJ154" s="171"/>
      <c r="JK154" s="171"/>
      <c r="JL154" s="171"/>
      <c r="JM154" s="171"/>
      <c r="JN154" s="171"/>
      <c r="JO154" s="171"/>
      <c r="JP154" s="171"/>
      <c r="JQ154" s="171"/>
      <c r="JR154" s="171"/>
      <c r="JS154" s="171"/>
      <c r="JT154" s="171"/>
      <c r="JU154" s="171"/>
      <c r="JV154" s="171"/>
      <c r="JW154" s="171"/>
      <c r="JX154" s="171"/>
      <c r="JY154" s="171"/>
      <c r="JZ154" s="171"/>
      <c r="KA154" s="171"/>
      <c r="KB154" s="171"/>
      <c r="KC154" s="171"/>
      <c r="KD154" s="171"/>
      <c r="KE154" s="171"/>
      <c r="KF154" s="171"/>
      <c r="KG154" s="171"/>
      <c r="KH154" s="171"/>
      <c r="KI154" s="171"/>
      <c r="KJ154" s="171"/>
      <c r="KK154" s="171"/>
      <c r="KL154" s="171"/>
      <c r="KM154" s="171"/>
      <c r="KN154" s="171"/>
      <c r="KO154" s="171"/>
      <c r="KP154" s="171"/>
      <c r="KQ154" s="171"/>
      <c r="KR154" s="171"/>
      <c r="KS154" s="171"/>
      <c r="KT154" s="171"/>
      <c r="KU154" s="171"/>
      <c r="KV154" s="171"/>
      <c r="KW154" s="171"/>
      <c r="KX154" s="171"/>
      <c r="KY154" s="171"/>
      <c r="KZ154" s="171"/>
      <c r="LA154" s="171"/>
      <c r="LB154" s="171"/>
      <c r="LC154" s="171"/>
      <c r="LD154" s="171"/>
      <c r="LE154" s="171"/>
      <c r="LF154" s="171"/>
      <c r="LG154" s="171"/>
      <c r="LH154" s="171"/>
      <c r="LI154" s="171"/>
      <c r="LJ154" s="171"/>
      <c r="LK154" s="171"/>
      <c r="LL154" s="171"/>
      <c r="LM154" s="171"/>
      <c r="LN154" s="171"/>
      <c r="LO154" s="171"/>
    </row>
    <row r="155" spans="1:384">
      <c r="A155" s="36"/>
      <c r="B155" s="36"/>
      <c r="C155" s="36"/>
      <c r="D155" s="36"/>
      <c r="E155" s="36"/>
      <c r="JF155" s="171"/>
      <c r="JG155" s="171"/>
      <c r="JH155" s="171"/>
      <c r="JI155" s="171"/>
      <c r="JJ155" s="171"/>
      <c r="JK155" s="171"/>
      <c r="JL155" s="171"/>
      <c r="JM155" s="171"/>
      <c r="JN155" s="171"/>
      <c r="JO155" s="171"/>
      <c r="JP155" s="171"/>
      <c r="JQ155" s="171"/>
      <c r="JR155" s="171"/>
      <c r="JS155" s="171"/>
      <c r="JT155" s="171"/>
      <c r="JU155" s="171"/>
      <c r="JV155" s="171"/>
      <c r="JW155" s="171"/>
      <c r="JX155" s="171"/>
      <c r="JY155" s="171"/>
      <c r="JZ155" s="171"/>
      <c r="KA155" s="171"/>
      <c r="KB155" s="171"/>
      <c r="KC155" s="171"/>
      <c r="KD155" s="171"/>
      <c r="KE155" s="171"/>
      <c r="KF155" s="171"/>
      <c r="KG155" s="171"/>
      <c r="KH155" s="171"/>
      <c r="KI155" s="171"/>
      <c r="KJ155" s="171"/>
      <c r="KK155" s="171"/>
      <c r="KL155" s="171"/>
      <c r="KM155" s="171"/>
      <c r="KN155" s="171"/>
      <c r="KO155" s="171"/>
      <c r="KP155" s="171"/>
      <c r="KQ155" s="171"/>
      <c r="KR155" s="171"/>
      <c r="KS155" s="171"/>
      <c r="KT155" s="171"/>
      <c r="KU155" s="171"/>
      <c r="KV155" s="171"/>
      <c r="KW155" s="171"/>
      <c r="KX155" s="171"/>
      <c r="KY155" s="171"/>
      <c r="KZ155" s="171"/>
      <c r="LA155" s="171"/>
      <c r="LB155" s="171"/>
      <c r="LC155" s="171"/>
      <c r="LD155" s="171"/>
      <c r="LE155" s="171"/>
      <c r="LF155" s="171"/>
      <c r="LG155" s="171"/>
      <c r="LH155" s="171"/>
      <c r="LI155" s="171"/>
      <c r="LJ155" s="171"/>
      <c r="LK155" s="171"/>
      <c r="LL155" s="171"/>
      <c r="LM155" s="171"/>
      <c r="LN155" s="171"/>
      <c r="LO155" s="171"/>
    </row>
    <row r="156" spans="1:384">
      <c r="A156" s="36"/>
      <c r="B156" s="36"/>
      <c r="C156" s="36"/>
      <c r="D156" s="36"/>
      <c r="E156" s="36"/>
      <c r="GB156" s="1">
        <f>AVERAGE(GB149:GB153)</f>
        <v>17829030</v>
      </c>
      <c r="JF156" s="171"/>
      <c r="JG156" s="171"/>
      <c r="JH156" s="171"/>
      <c r="JI156" s="171"/>
      <c r="JJ156" s="171"/>
      <c r="JK156" s="171"/>
      <c r="JL156" s="171"/>
      <c r="JM156" s="171"/>
      <c r="JN156" s="171"/>
      <c r="JO156" s="171"/>
      <c r="JP156" s="171"/>
      <c r="JQ156" s="171"/>
      <c r="JR156" s="171"/>
      <c r="JS156" s="171"/>
      <c r="JT156" s="171"/>
      <c r="JU156" s="171"/>
      <c r="JV156" s="171"/>
      <c r="JW156" s="171"/>
      <c r="JX156" s="171"/>
      <c r="JY156" s="171"/>
      <c r="JZ156" s="171"/>
      <c r="KA156" s="171"/>
      <c r="KB156" s="171"/>
      <c r="KC156" s="171"/>
      <c r="KD156" s="171"/>
      <c r="KE156" s="171"/>
      <c r="KF156" s="171"/>
      <c r="KG156" s="171"/>
      <c r="KH156" s="171"/>
      <c r="KI156" s="171"/>
      <c r="KJ156" s="171"/>
      <c r="KK156" s="171"/>
      <c r="KL156" s="171"/>
      <c r="KM156" s="171"/>
      <c r="KN156" s="171"/>
      <c r="KO156" s="171"/>
      <c r="KP156" s="171"/>
      <c r="KQ156" s="171"/>
      <c r="KR156" s="171"/>
      <c r="KS156" s="171"/>
      <c r="KT156" s="171"/>
      <c r="KU156" s="171"/>
      <c r="KV156" s="171"/>
      <c r="KW156" s="171"/>
      <c r="KX156" s="171"/>
      <c r="KY156" s="171"/>
      <c r="KZ156" s="171"/>
      <c r="LA156" s="171"/>
      <c r="LB156" s="171"/>
      <c r="LC156" s="171"/>
      <c r="LD156" s="171"/>
      <c r="LE156" s="171"/>
      <c r="LF156" s="171"/>
      <c r="LG156" s="171"/>
      <c r="LH156" s="171"/>
      <c r="LI156" s="171"/>
      <c r="LJ156" s="171"/>
      <c r="LK156" s="171"/>
      <c r="LL156" s="171"/>
      <c r="LM156" s="171"/>
      <c r="LN156" s="171"/>
      <c r="LO156" s="171"/>
    </row>
    <row r="157" spans="1:384">
      <c r="A157" s="36"/>
      <c r="B157" s="36"/>
      <c r="C157" s="36"/>
      <c r="D157" s="36"/>
      <c r="E157" s="36"/>
      <c r="GB157" s="10">
        <f>GB154/GB153-1</f>
        <v>-8.0742720382672606E-2</v>
      </c>
      <c r="JF157" s="171"/>
      <c r="JG157" s="171"/>
      <c r="JH157" s="171"/>
      <c r="JI157" s="171"/>
      <c r="JJ157" s="171"/>
      <c r="JK157" s="171"/>
      <c r="JL157" s="171"/>
      <c r="JM157" s="171"/>
      <c r="JN157" s="171"/>
      <c r="JO157" s="171"/>
      <c r="JP157" s="171"/>
      <c r="JQ157" s="171"/>
      <c r="JR157" s="171"/>
      <c r="JS157" s="171"/>
      <c r="JT157" s="171"/>
      <c r="JU157" s="171"/>
      <c r="JV157" s="171"/>
      <c r="JW157" s="171"/>
      <c r="JX157" s="171"/>
      <c r="JY157" s="171"/>
      <c r="JZ157" s="171"/>
      <c r="KA157" s="171"/>
      <c r="KB157" s="171"/>
      <c r="KC157" s="171"/>
      <c r="KD157" s="171"/>
      <c r="KE157" s="171"/>
      <c r="KF157" s="171"/>
      <c r="KG157" s="171"/>
      <c r="KH157" s="171"/>
      <c r="KI157" s="171"/>
      <c r="KJ157" s="171"/>
      <c r="KK157" s="171"/>
      <c r="KL157" s="171"/>
      <c r="KM157" s="171"/>
      <c r="KN157" s="171"/>
      <c r="KO157" s="171"/>
      <c r="KP157" s="171"/>
      <c r="KQ157" s="171"/>
      <c r="KR157" s="171"/>
      <c r="KS157" s="171"/>
      <c r="KT157" s="171"/>
      <c r="KU157" s="171"/>
      <c r="KV157" s="171"/>
      <c r="KW157" s="171"/>
      <c r="KX157" s="171"/>
      <c r="KY157" s="171"/>
      <c r="KZ157" s="171"/>
      <c r="LA157" s="171"/>
      <c r="LB157" s="171"/>
      <c r="LC157" s="171"/>
      <c r="LD157" s="171"/>
      <c r="LE157" s="171"/>
      <c r="LF157" s="171"/>
      <c r="LG157" s="171"/>
      <c r="LH157" s="171"/>
      <c r="LI157" s="171"/>
      <c r="LJ157" s="171"/>
      <c r="LK157" s="171"/>
      <c r="LL157" s="171"/>
      <c r="LM157" s="171"/>
      <c r="LN157" s="171"/>
      <c r="LO157" s="171"/>
    </row>
    <row r="158" spans="1:384">
      <c r="A158" s="36"/>
      <c r="B158" s="36"/>
      <c r="C158" s="36"/>
      <c r="D158" s="36"/>
      <c r="E158" s="36"/>
      <c r="BK158" s="1">
        <v>3052</v>
      </c>
      <c r="JF158" s="171"/>
      <c r="JG158" s="171"/>
      <c r="JH158" s="171"/>
      <c r="JI158" s="171"/>
      <c r="JJ158" s="171"/>
      <c r="JK158" s="171"/>
      <c r="JL158" s="171"/>
      <c r="JM158" s="171"/>
      <c r="JN158" s="171"/>
      <c r="JO158" s="171"/>
      <c r="JP158" s="171"/>
      <c r="JQ158" s="171"/>
      <c r="JR158" s="171"/>
      <c r="JS158" s="171"/>
      <c r="JT158" s="171"/>
      <c r="JU158" s="171"/>
      <c r="JV158" s="171"/>
      <c r="JW158" s="171"/>
      <c r="JX158" s="171"/>
      <c r="JY158" s="171"/>
      <c r="JZ158" s="171"/>
      <c r="KA158" s="171"/>
      <c r="KB158" s="171"/>
      <c r="KC158" s="171"/>
      <c r="KD158" s="171"/>
      <c r="KE158" s="171"/>
      <c r="KF158" s="171"/>
      <c r="KG158" s="171"/>
      <c r="KH158" s="171"/>
      <c r="KI158" s="171"/>
      <c r="KJ158" s="171"/>
      <c r="KK158" s="171"/>
      <c r="KL158" s="171"/>
      <c r="KM158" s="171"/>
      <c r="KN158" s="171"/>
      <c r="KO158" s="171"/>
      <c r="KP158" s="171"/>
      <c r="KQ158" s="171"/>
      <c r="KR158" s="171"/>
      <c r="KS158" s="171"/>
      <c r="KT158" s="171"/>
      <c r="KU158" s="171"/>
      <c r="KV158" s="171"/>
      <c r="KW158" s="171"/>
      <c r="KX158" s="171"/>
      <c r="KY158" s="171"/>
      <c r="KZ158" s="171"/>
      <c r="LA158" s="171"/>
      <c r="LB158" s="171"/>
      <c r="LC158" s="171"/>
      <c r="LD158" s="171"/>
      <c r="LE158" s="171"/>
      <c r="LF158" s="171"/>
      <c r="LG158" s="171"/>
      <c r="LH158" s="171"/>
      <c r="LI158" s="171"/>
      <c r="LJ158" s="171"/>
      <c r="LK158" s="171"/>
      <c r="LL158" s="171"/>
      <c r="LM158" s="171"/>
      <c r="LN158" s="171"/>
      <c r="LO158" s="171"/>
    </row>
    <row r="159" spans="1:384">
      <c r="A159" s="36"/>
      <c r="B159" s="36"/>
      <c r="C159" s="36"/>
      <c r="D159" s="36"/>
      <c r="E159" s="36"/>
      <c r="BK159" s="1">
        <v>2818</v>
      </c>
      <c r="JF159" s="171"/>
      <c r="JG159" s="171"/>
      <c r="JH159" s="171"/>
      <c r="JI159" s="171"/>
      <c r="JJ159" s="171"/>
      <c r="JK159" s="171"/>
      <c r="JL159" s="171"/>
      <c r="JM159" s="171"/>
      <c r="JN159" s="171"/>
      <c r="JO159" s="171"/>
      <c r="JP159" s="171"/>
      <c r="JQ159" s="171"/>
      <c r="JR159" s="171"/>
      <c r="JS159" s="171"/>
      <c r="JT159" s="171"/>
      <c r="JU159" s="171"/>
      <c r="JV159" s="171"/>
      <c r="JW159" s="171"/>
      <c r="JX159" s="171"/>
      <c r="JY159" s="171"/>
      <c r="JZ159" s="171"/>
      <c r="KA159" s="171"/>
      <c r="KB159" s="171"/>
      <c r="KC159" s="171"/>
      <c r="KD159" s="171"/>
      <c r="KE159" s="171"/>
      <c r="KF159" s="171"/>
      <c r="KG159" s="171"/>
      <c r="KH159" s="171"/>
      <c r="KI159" s="171"/>
      <c r="KJ159" s="171"/>
      <c r="KK159" s="171"/>
      <c r="KL159" s="171"/>
      <c r="KM159" s="171"/>
      <c r="KN159" s="171"/>
      <c r="KO159" s="171"/>
      <c r="KP159" s="171"/>
      <c r="KQ159" s="171"/>
      <c r="KR159" s="171"/>
      <c r="KS159" s="171"/>
      <c r="KT159" s="171"/>
      <c r="KU159" s="171"/>
      <c r="KV159" s="171"/>
      <c r="KW159" s="171"/>
      <c r="KX159" s="171"/>
      <c r="KY159" s="171"/>
      <c r="KZ159" s="171"/>
      <c r="LA159" s="171"/>
      <c r="LB159" s="171"/>
      <c r="LC159" s="171"/>
      <c r="LD159" s="171"/>
      <c r="LE159" s="171"/>
      <c r="LF159" s="171"/>
      <c r="LG159" s="171"/>
      <c r="LH159" s="171"/>
      <c r="LI159" s="171"/>
      <c r="LJ159" s="171"/>
      <c r="LK159" s="171"/>
      <c r="LL159" s="171"/>
      <c r="LM159" s="171"/>
      <c r="LN159" s="171"/>
      <c r="LO159" s="171"/>
    </row>
    <row r="160" spans="1:384">
      <c r="A160" s="36"/>
      <c r="B160" s="36"/>
      <c r="C160" s="36"/>
      <c r="D160" s="36"/>
      <c r="E160" s="36"/>
      <c r="JF160" s="171"/>
      <c r="JG160" s="171"/>
      <c r="JH160" s="171"/>
      <c r="JI160" s="171"/>
      <c r="JJ160" s="171"/>
      <c r="JK160" s="171"/>
      <c r="JL160" s="171"/>
      <c r="JM160" s="171"/>
      <c r="JN160" s="171"/>
      <c r="JO160" s="171"/>
      <c r="JP160" s="171"/>
      <c r="JQ160" s="171"/>
      <c r="JR160" s="171"/>
      <c r="JS160" s="171"/>
      <c r="JT160" s="171"/>
      <c r="JU160" s="171"/>
      <c r="JV160" s="171"/>
      <c r="JW160" s="171"/>
      <c r="JX160" s="171"/>
      <c r="JY160" s="171"/>
      <c r="JZ160" s="171"/>
      <c r="KA160" s="171"/>
      <c r="KB160" s="171"/>
      <c r="KC160" s="171"/>
      <c r="KD160" s="171"/>
      <c r="KE160" s="171"/>
      <c r="KF160" s="171"/>
      <c r="KG160" s="171"/>
      <c r="KH160" s="171"/>
      <c r="KI160" s="171"/>
      <c r="KJ160" s="171"/>
      <c r="KK160" s="171"/>
      <c r="KL160" s="171"/>
      <c r="KM160" s="171"/>
      <c r="KN160" s="171"/>
      <c r="KO160" s="171"/>
      <c r="KP160" s="171"/>
      <c r="KQ160" s="171"/>
      <c r="KR160" s="171"/>
      <c r="KS160" s="171"/>
      <c r="KT160" s="171"/>
      <c r="KU160" s="171"/>
      <c r="KV160" s="171"/>
      <c r="KW160" s="171"/>
      <c r="KX160" s="171"/>
      <c r="KY160" s="171"/>
      <c r="KZ160" s="171"/>
      <c r="LA160" s="171"/>
      <c r="LB160" s="171"/>
      <c r="LC160" s="171"/>
      <c r="LD160" s="171"/>
      <c r="LE160" s="171"/>
      <c r="LF160" s="171"/>
      <c r="LG160" s="171"/>
      <c r="LH160" s="171"/>
      <c r="LI160" s="171"/>
      <c r="LJ160" s="171"/>
      <c r="LK160" s="171"/>
      <c r="LL160" s="171"/>
      <c r="LM160" s="171"/>
      <c r="LN160" s="171"/>
      <c r="LO160" s="171"/>
    </row>
    <row r="161" spans="1:327">
      <c r="A161" s="36"/>
      <c r="B161" s="36"/>
      <c r="C161" s="36"/>
      <c r="D161" s="36"/>
      <c r="E161" s="36"/>
      <c r="JF161" s="171"/>
      <c r="JG161" s="171"/>
      <c r="JH161" s="171"/>
      <c r="JI161" s="171"/>
      <c r="JJ161" s="171"/>
      <c r="JK161" s="171"/>
      <c r="JL161" s="171"/>
      <c r="JM161" s="171"/>
      <c r="JN161" s="171"/>
      <c r="JO161" s="171"/>
      <c r="JP161" s="171"/>
      <c r="JQ161" s="171"/>
      <c r="JR161" s="171"/>
      <c r="JS161" s="171"/>
      <c r="JT161" s="171"/>
      <c r="JU161" s="171"/>
      <c r="JV161" s="171"/>
      <c r="JW161" s="171"/>
      <c r="JX161" s="171"/>
      <c r="JY161" s="171"/>
      <c r="JZ161" s="171"/>
      <c r="KA161" s="171"/>
      <c r="KB161" s="171"/>
      <c r="KC161" s="171"/>
      <c r="KD161" s="171"/>
      <c r="KE161" s="171"/>
      <c r="KF161" s="171"/>
      <c r="KG161" s="171"/>
      <c r="KH161" s="171"/>
      <c r="KI161" s="171"/>
      <c r="KJ161" s="171"/>
      <c r="KK161" s="171"/>
      <c r="KL161" s="171"/>
      <c r="KM161" s="171"/>
      <c r="KN161" s="171"/>
      <c r="KO161" s="171"/>
      <c r="KP161" s="171"/>
      <c r="KQ161" s="171"/>
      <c r="KR161" s="171"/>
      <c r="KS161" s="171"/>
      <c r="KT161" s="171"/>
      <c r="KU161" s="171"/>
      <c r="KV161" s="171"/>
      <c r="KW161" s="171"/>
      <c r="KX161" s="171"/>
      <c r="KY161" s="171"/>
      <c r="KZ161" s="171"/>
      <c r="LA161" s="171"/>
      <c r="LB161" s="171"/>
      <c r="LC161" s="171"/>
      <c r="LD161" s="171"/>
      <c r="LE161" s="171"/>
      <c r="LF161" s="171"/>
      <c r="LG161" s="171"/>
      <c r="LH161" s="171"/>
      <c r="LI161" s="171"/>
      <c r="LJ161" s="171"/>
      <c r="LK161" s="171"/>
      <c r="LL161" s="171"/>
      <c r="LM161" s="171"/>
      <c r="LN161" s="171"/>
      <c r="LO161" s="171"/>
    </row>
    <row r="162" spans="1:327">
      <c r="A162" s="36"/>
      <c r="B162" s="36"/>
      <c r="C162" s="36"/>
      <c r="D162" s="36"/>
      <c r="E162" s="36"/>
      <c r="JF162" s="171"/>
      <c r="JG162" s="171"/>
      <c r="JH162" s="171"/>
      <c r="JI162" s="171"/>
      <c r="JJ162" s="171"/>
      <c r="JK162" s="171"/>
      <c r="JL162" s="171"/>
      <c r="JM162" s="171"/>
      <c r="JN162" s="171"/>
      <c r="JO162" s="171"/>
      <c r="JP162" s="171"/>
      <c r="JQ162" s="171"/>
      <c r="JR162" s="171"/>
      <c r="JS162" s="171"/>
      <c r="JT162" s="171"/>
      <c r="JU162" s="171"/>
      <c r="JV162" s="171"/>
      <c r="JW162" s="171"/>
      <c r="JX162" s="171"/>
      <c r="JY162" s="171"/>
      <c r="JZ162" s="171"/>
      <c r="KA162" s="171"/>
      <c r="KB162" s="171"/>
      <c r="KC162" s="171"/>
      <c r="KD162" s="171"/>
      <c r="KE162" s="171"/>
      <c r="KF162" s="171"/>
      <c r="KG162" s="171"/>
      <c r="KH162" s="171"/>
      <c r="KI162" s="171"/>
      <c r="KJ162" s="171"/>
      <c r="KK162" s="171"/>
      <c r="KL162" s="171"/>
      <c r="KM162" s="171"/>
      <c r="KN162" s="171"/>
      <c r="KO162" s="171"/>
      <c r="KP162" s="171"/>
      <c r="KQ162" s="171"/>
      <c r="KR162" s="171"/>
      <c r="KS162" s="171"/>
      <c r="KT162" s="171"/>
      <c r="KU162" s="171"/>
      <c r="KV162" s="171"/>
      <c r="KW162" s="171"/>
      <c r="KX162" s="171"/>
      <c r="KY162" s="171"/>
      <c r="KZ162" s="171"/>
      <c r="LA162" s="171"/>
      <c r="LB162" s="171"/>
      <c r="LC162" s="171"/>
      <c r="LD162" s="171"/>
      <c r="LE162" s="171"/>
      <c r="LF162" s="171"/>
      <c r="LG162" s="171"/>
      <c r="LH162" s="171"/>
      <c r="LI162" s="171"/>
      <c r="LJ162" s="171"/>
      <c r="LK162" s="171"/>
      <c r="LL162" s="171"/>
      <c r="LM162" s="171"/>
      <c r="LN162" s="171"/>
      <c r="LO162" s="171"/>
    </row>
    <row r="163" spans="1:327">
      <c r="A163" s="36"/>
      <c r="B163" s="36"/>
      <c r="C163" s="36"/>
      <c r="D163" s="36"/>
      <c r="E163" s="36"/>
      <c r="JF163" s="171"/>
      <c r="JG163" s="171"/>
      <c r="JH163" s="171"/>
      <c r="JI163" s="171"/>
      <c r="JJ163" s="171"/>
      <c r="JK163" s="171"/>
      <c r="JL163" s="171"/>
      <c r="JM163" s="171"/>
      <c r="JN163" s="171"/>
      <c r="JO163" s="171"/>
      <c r="JP163" s="171"/>
      <c r="JQ163" s="171"/>
      <c r="JR163" s="171"/>
      <c r="JS163" s="171"/>
      <c r="JT163" s="171"/>
      <c r="JU163" s="171"/>
      <c r="JV163" s="171"/>
      <c r="JW163" s="171"/>
      <c r="JX163" s="171"/>
      <c r="JY163" s="171"/>
      <c r="JZ163" s="171"/>
      <c r="KA163" s="171"/>
      <c r="KB163" s="171"/>
      <c r="KC163" s="171"/>
      <c r="KD163" s="171"/>
      <c r="KE163" s="171"/>
      <c r="KF163" s="171"/>
      <c r="KG163" s="171"/>
      <c r="KH163" s="171"/>
      <c r="KI163" s="171"/>
      <c r="KJ163" s="171"/>
      <c r="KK163" s="171"/>
      <c r="KL163" s="171"/>
      <c r="KM163" s="171"/>
      <c r="KN163" s="171"/>
      <c r="KO163" s="171"/>
      <c r="KP163" s="171"/>
      <c r="KQ163" s="171"/>
      <c r="KR163" s="171"/>
      <c r="KS163" s="171"/>
      <c r="KT163" s="171"/>
      <c r="KU163" s="171"/>
      <c r="KV163" s="171"/>
      <c r="KW163" s="171"/>
      <c r="KX163" s="171"/>
      <c r="KY163" s="171"/>
      <c r="KZ163" s="171"/>
      <c r="LA163" s="171"/>
      <c r="LB163" s="171"/>
      <c r="LC163" s="171"/>
      <c r="LD163" s="171"/>
      <c r="LE163" s="171"/>
      <c r="LF163" s="171"/>
      <c r="LG163" s="171"/>
      <c r="LH163" s="171"/>
      <c r="LI163" s="171"/>
      <c r="LJ163" s="171"/>
      <c r="LK163" s="171"/>
      <c r="LL163" s="171"/>
      <c r="LM163" s="171"/>
      <c r="LN163" s="171"/>
      <c r="LO163" s="171"/>
    </row>
    <row r="164" spans="1:327">
      <c r="A164" s="36"/>
      <c r="B164" s="36"/>
      <c r="C164" s="36"/>
      <c r="D164" s="36"/>
      <c r="E164" s="36"/>
      <c r="JF164" s="171"/>
      <c r="JG164" s="171"/>
      <c r="JH164" s="171"/>
      <c r="JI164" s="171"/>
      <c r="JJ164" s="171"/>
      <c r="JK164" s="171"/>
      <c r="JL164" s="171"/>
      <c r="JM164" s="171"/>
      <c r="JN164" s="171"/>
      <c r="JO164" s="171"/>
      <c r="JP164" s="171"/>
      <c r="JQ164" s="171"/>
      <c r="JR164" s="171"/>
      <c r="JS164" s="171"/>
      <c r="JT164" s="171"/>
      <c r="JU164" s="171"/>
      <c r="JV164" s="171"/>
      <c r="JW164" s="171"/>
      <c r="JX164" s="171"/>
      <c r="JY164" s="171"/>
      <c r="JZ164" s="171"/>
      <c r="KA164" s="171"/>
      <c r="KB164" s="171"/>
      <c r="KC164" s="171"/>
      <c r="KD164" s="171"/>
      <c r="KE164" s="171"/>
      <c r="KF164" s="171"/>
      <c r="KG164" s="171"/>
      <c r="KH164" s="171"/>
      <c r="KI164" s="171"/>
      <c r="KJ164" s="171"/>
      <c r="KK164" s="171"/>
      <c r="KL164" s="171"/>
      <c r="KM164" s="171"/>
      <c r="KN164" s="171"/>
      <c r="KO164" s="171"/>
      <c r="KP164" s="171"/>
      <c r="KQ164" s="171"/>
      <c r="KR164" s="171"/>
      <c r="KS164" s="171"/>
      <c r="KT164" s="171"/>
      <c r="KU164" s="171"/>
      <c r="KV164" s="171"/>
      <c r="KW164" s="171"/>
      <c r="KX164" s="171"/>
      <c r="KY164" s="171"/>
      <c r="KZ164" s="171"/>
      <c r="LA164" s="171"/>
      <c r="LB164" s="171"/>
      <c r="LC164" s="171"/>
      <c r="LD164" s="171"/>
      <c r="LE164" s="171"/>
      <c r="LF164" s="171"/>
      <c r="LG164" s="171"/>
      <c r="LH164" s="171"/>
      <c r="LI164" s="171"/>
      <c r="LJ164" s="171"/>
      <c r="LK164" s="171"/>
      <c r="LL164" s="171"/>
      <c r="LM164" s="171"/>
      <c r="LN164" s="171"/>
      <c r="LO164" s="171"/>
    </row>
    <row r="165" spans="1:327">
      <c r="A165" s="36"/>
      <c r="B165" s="36"/>
      <c r="C165" s="36"/>
      <c r="D165" s="36"/>
      <c r="E165" s="36"/>
    </row>
    <row r="166" spans="1:327">
      <c r="A166" s="36"/>
      <c r="B166" s="36"/>
      <c r="C166" s="36"/>
      <c r="D166" s="36"/>
      <c r="E166" s="36"/>
    </row>
    <row r="167" spans="1:327">
      <c r="A167" s="36"/>
      <c r="B167" s="36"/>
      <c r="C167" s="36"/>
      <c r="D167" s="36"/>
      <c r="E167" s="36"/>
    </row>
    <row r="168" spans="1:327">
      <c r="A168" s="36"/>
      <c r="B168" s="36"/>
      <c r="C168" s="36"/>
      <c r="D168" s="36"/>
      <c r="E168" s="36"/>
    </row>
    <row r="169" spans="1:327">
      <c r="A169" s="36"/>
      <c r="B169" s="36"/>
      <c r="C169" s="36"/>
      <c r="D169" s="36"/>
      <c r="E169" s="36"/>
    </row>
    <row r="170" spans="1:327">
      <c r="A170" s="36"/>
      <c r="B170" s="36"/>
      <c r="C170" s="36"/>
      <c r="D170" s="36"/>
      <c r="E170" s="36"/>
    </row>
    <row r="171" spans="1:327">
      <c r="A171" s="36"/>
      <c r="B171" s="36"/>
      <c r="C171" s="36"/>
      <c r="D171" s="36"/>
      <c r="E171" s="36"/>
    </row>
    <row r="172" spans="1:327">
      <c r="A172" s="36"/>
      <c r="B172" s="36"/>
      <c r="C172" s="36"/>
      <c r="D172" s="36"/>
      <c r="E172" s="36"/>
    </row>
    <row r="173" spans="1:327">
      <c r="A173" s="36"/>
      <c r="B173" s="36"/>
      <c r="C173" s="36"/>
      <c r="D173" s="36"/>
      <c r="E173" s="36"/>
    </row>
    <row r="174" spans="1:327">
      <c r="A174" s="36"/>
      <c r="B174" s="36"/>
      <c r="C174" s="36"/>
      <c r="D174" s="36"/>
      <c r="E174" s="36"/>
    </row>
    <row r="175" spans="1:327">
      <c r="A175" s="36"/>
      <c r="B175" s="36"/>
      <c r="C175" s="36"/>
      <c r="D175" s="36"/>
      <c r="E175" s="36"/>
    </row>
    <row r="176" spans="1:327">
      <c r="A176" s="36"/>
      <c r="B176" s="36"/>
      <c r="C176" s="36"/>
      <c r="D176" s="36"/>
      <c r="E176" s="36"/>
    </row>
    <row r="177" spans="1:5">
      <c r="A177" s="36"/>
      <c r="B177" s="36"/>
      <c r="C177" s="36"/>
      <c r="D177" s="36"/>
      <c r="E177" s="36"/>
    </row>
    <row r="178" spans="1:5">
      <c r="A178" s="36"/>
      <c r="B178" s="36"/>
      <c r="C178" s="36"/>
      <c r="D178" s="36"/>
      <c r="E178" s="36"/>
    </row>
    <row r="179" spans="1:5">
      <c r="A179" s="36"/>
      <c r="B179" s="36"/>
      <c r="C179" s="36"/>
      <c r="D179" s="36"/>
      <c r="E179" s="36"/>
    </row>
    <row r="180" spans="1:5">
      <c r="A180" s="36"/>
      <c r="B180" s="36"/>
      <c r="C180" s="36"/>
      <c r="D180" s="36"/>
      <c r="E180" s="36"/>
    </row>
    <row r="181" spans="1:5">
      <c r="A181" s="36"/>
      <c r="B181" s="36"/>
      <c r="C181" s="36"/>
      <c r="D181" s="36"/>
      <c r="E181" s="36"/>
    </row>
    <row r="182" spans="1:5">
      <c r="A182" s="36"/>
      <c r="B182" s="36"/>
      <c r="C182" s="36"/>
      <c r="D182" s="36"/>
      <c r="E182" s="36"/>
    </row>
    <row r="183" spans="1:5">
      <c r="A183" s="36"/>
      <c r="B183" s="36"/>
      <c r="C183" s="36"/>
      <c r="D183" s="36"/>
      <c r="E183" s="36"/>
    </row>
    <row r="184" spans="1:5">
      <c r="A184" s="36"/>
      <c r="B184" s="36"/>
      <c r="C184" s="36"/>
      <c r="D184" s="36"/>
      <c r="E184" s="36"/>
    </row>
    <row r="185" spans="1:5">
      <c r="A185" s="36"/>
      <c r="B185" s="36"/>
      <c r="C185" s="36"/>
      <c r="D185" s="36"/>
      <c r="E185" s="36"/>
    </row>
  </sheetData>
  <phoneticPr fontId="87" type="noConversion"/>
  <dataValidations count="1">
    <dataValidation type="list" allowBlank="1" showInputMessage="1" showErrorMessage="1" sqref="BY3 EO3:FD3 EI3 EK3 DK3:EG3 EM3 FF3:JD3 LZ3:NE3 N3:BW3 A144:A151" xr:uid="{00000000-0002-0000-0000-000000000000}">
      <formula1>lis_rub</formula1>
    </dataValidation>
  </dataValidations>
  <hyperlinks>
    <hyperlink ref="A144" location="datos!AU142" display="Precio" xr:uid="{805E24D8-363E-4B93-9FF4-ADF333B50E99}"/>
    <hyperlink ref="A145" location="datos!CP142" display="Costo" xr:uid="{8C10350A-5CDA-46DD-880B-89E3F0AC13D7}"/>
    <hyperlink ref="A146" location="datos!EG142" display="Área/Stock" xr:uid="{7EA3FBAD-95B6-4B97-B901-F9051A2DB83D}"/>
    <hyperlink ref="A147" location="datos!GK142" display="Producción" xr:uid="{BFFBC6B6-BB56-47F2-9839-E773BEA78245}"/>
    <hyperlink ref="A148" location="datos!IK142" display="Consumo" xr:uid="{EF998F7A-82C2-4E58-B326-41D79E385EDB}"/>
    <hyperlink ref="A149" location="datos!JU142" display="Exportación" xr:uid="{57D95D92-4703-4550-ACBE-B9386039B3C7}"/>
    <hyperlink ref="A150" location="datos!LB142" display="Importación" xr:uid="{E0838303-4373-453A-B48E-B1FF5D609E8D}"/>
    <hyperlink ref="A151" location="datos!MO142" display="Consumidor" xr:uid="{B2CEC9B6-2034-4F8C-8C0A-1865FDD76B53}"/>
  </hyperlinks>
  <pageMargins left="0.7" right="0.7" top="0.75" bottom="0.75" header="0.3" footer="0.3"/>
  <pageSetup orientation="portrait" r:id="rId1"/>
  <ignoredErrors>
    <ignoredError sqref="LR10:LX68 BQ127 FZ21:FZ132 GN10 HB118:HB130 HH121:HH130 LR70:LX128 LR69:LS69 LU69:LX69 HP21:HP130 HK124:HK130 HK21:HK123 HH21:HH120 LR129:LX129 HB131 HE21 HE22:HE132 HH131:HH132 HK131:HK132 HP131:HP133 FZ133:FZ141 LR130:LX133 AU10:AU135 LR134:LX135 LR136:LX136" formulaRange="1"/>
    <ignoredError sqref="GN11:GN127" formula="1" formulaRange="1"/>
    <ignoredError sqref="GN128 IQ131" 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Z54"/>
  <sheetViews>
    <sheetView showGridLines="0" zoomScale="65" zoomScaleNormal="65" workbookViewId="0">
      <pane xSplit="1" ySplit="4" topLeftCell="BJ5" activePane="bottomRight" state="frozen"/>
      <selection pane="topRight" activeCell="B1" sqref="B1"/>
      <selection pane="bottomLeft" activeCell="A5" sqref="A5"/>
      <selection pane="bottomRight" activeCell="BX23" sqref="BX23:CZ23"/>
    </sheetView>
  </sheetViews>
  <sheetFormatPr baseColWidth="10" defaultColWidth="11.5546875" defaultRowHeight="13.2"/>
  <cols>
    <col min="1" max="1" width="19.33203125" style="271" customWidth="1"/>
    <col min="2" max="9" width="6.21875" style="272" bestFit="1" customWidth="1"/>
    <col min="10" max="10" width="5.88671875" style="272" bestFit="1" customWidth="1"/>
    <col min="11" max="11" width="5.6640625" style="272" bestFit="1" customWidth="1"/>
    <col min="12" max="13" width="5.88671875" style="272" bestFit="1" customWidth="1"/>
    <col min="14" max="21" width="6.21875" style="272" bestFit="1" customWidth="1"/>
    <col min="22" max="22" width="5.88671875" style="272" bestFit="1" customWidth="1"/>
    <col min="23" max="23" width="5.6640625" style="272" bestFit="1" customWidth="1"/>
    <col min="24" max="24" width="5.88671875" style="272" bestFit="1" customWidth="1"/>
    <col min="25" max="25" width="6.21875" style="272" bestFit="1" customWidth="1"/>
    <col min="26" max="33" width="6.5546875" style="272" bestFit="1" customWidth="1"/>
    <col min="34" max="34" width="6.21875" style="272" bestFit="1" customWidth="1"/>
    <col min="35" max="35" width="5.88671875" style="272" bestFit="1" customWidth="1"/>
    <col min="36" max="36" width="6.21875" style="272" bestFit="1" customWidth="1"/>
    <col min="37" max="37" width="5.88671875" style="272" bestFit="1" customWidth="1"/>
    <col min="38" max="45" width="6.21875" style="272" bestFit="1" customWidth="1"/>
    <col min="46" max="46" width="5.88671875" style="272" bestFit="1" customWidth="1"/>
    <col min="47" max="47" width="5.6640625" style="272" bestFit="1" customWidth="1"/>
    <col min="48" max="48" width="5.88671875" style="272" bestFit="1" customWidth="1"/>
    <col min="49" max="49" width="6.21875" style="272" bestFit="1" customWidth="1"/>
    <col min="50" max="57" width="6.5546875" style="272" bestFit="1" customWidth="1"/>
    <col min="58" max="58" width="6.21875" style="272" bestFit="1" customWidth="1"/>
    <col min="59" max="59" width="5.88671875" style="272" bestFit="1" customWidth="1"/>
    <col min="60" max="61" width="6.21875" style="272" bestFit="1" customWidth="1"/>
    <col min="62" max="69" width="6.5546875" style="272" bestFit="1" customWidth="1"/>
    <col min="70" max="70" width="6.21875" style="272" bestFit="1" customWidth="1"/>
    <col min="71" max="71" width="5.88671875" style="272" bestFit="1" customWidth="1"/>
    <col min="72" max="73" width="6.21875" style="272" bestFit="1" customWidth="1"/>
    <col min="74" max="81" width="6.5546875" style="272" bestFit="1" customWidth="1"/>
    <col min="82" max="82" width="6.21875" style="272" bestFit="1" customWidth="1"/>
    <col min="83" max="83" width="5.88671875" style="272" bestFit="1" customWidth="1"/>
    <col min="84" max="85" width="6.21875" style="272" bestFit="1" customWidth="1"/>
    <col min="86" max="90" width="6.5546875" style="272" bestFit="1" customWidth="1"/>
    <col min="91" max="93" width="6.5546875" style="271" bestFit="1" customWidth="1"/>
    <col min="94" max="94" width="6.21875" style="271" bestFit="1" customWidth="1"/>
    <col min="95" max="95" width="5.88671875" style="271" bestFit="1" customWidth="1"/>
    <col min="96" max="97" width="6.21875" style="271" bestFit="1" customWidth="1"/>
    <col min="98" max="105" width="6.5546875" style="271" bestFit="1" customWidth="1"/>
    <col min="106" max="108" width="6.109375" style="271" bestFit="1" customWidth="1"/>
    <col min="109" max="109" width="4.6640625" style="271" customWidth="1"/>
    <col min="110" max="110" width="5.88671875" style="271" customWidth="1"/>
    <col min="111" max="111" width="4.88671875" style="271" customWidth="1"/>
    <col min="112" max="112" width="4.5546875" style="271" customWidth="1"/>
    <col min="113" max="113" width="4.88671875" style="271" customWidth="1"/>
    <col min="114" max="114" width="7.6640625" style="271" customWidth="1"/>
    <col min="115" max="117" width="5" style="271" bestFit="1" customWidth="1"/>
    <col min="118" max="118" width="4.6640625" style="271" customWidth="1"/>
    <col min="119" max="119" width="3" style="271" bestFit="1" customWidth="1"/>
    <col min="120" max="120" width="16.33203125" style="271" bestFit="1" customWidth="1"/>
    <col min="121" max="121" width="5.88671875" style="271" bestFit="1" customWidth="1"/>
    <col min="122" max="122" width="8.44140625" style="271" customWidth="1"/>
    <col min="123" max="123" width="7.6640625" style="271" customWidth="1"/>
    <col min="124" max="16384" width="11.5546875" style="271"/>
  </cols>
  <sheetData>
    <row r="1" spans="1:130">
      <c r="B1" s="271"/>
      <c r="C1" s="271"/>
      <c r="D1" s="271"/>
      <c r="E1" s="271"/>
      <c r="F1" s="271"/>
      <c r="G1" s="271"/>
      <c r="H1" s="271"/>
      <c r="I1" s="271"/>
      <c r="J1" s="271"/>
      <c r="K1" s="271"/>
      <c r="L1" s="271"/>
      <c r="M1" s="271"/>
      <c r="N1" s="271"/>
      <c r="O1" s="271"/>
      <c r="P1" s="271"/>
      <c r="Q1" s="271"/>
      <c r="R1" s="271"/>
      <c r="S1" s="271"/>
      <c r="T1" s="271"/>
      <c r="U1" s="271"/>
      <c r="V1" s="271"/>
      <c r="W1" s="271"/>
      <c r="X1" s="271"/>
      <c r="Y1" s="271"/>
      <c r="Z1" s="271"/>
      <c r="AA1" s="271"/>
      <c r="AB1" s="271"/>
      <c r="AC1" s="271"/>
      <c r="AD1" s="271"/>
      <c r="AE1" s="271"/>
      <c r="AF1" s="271"/>
      <c r="AG1" s="271"/>
      <c r="AH1" s="271"/>
      <c r="AI1" s="271"/>
      <c r="AJ1" s="271"/>
      <c r="AK1" s="271"/>
      <c r="AL1" s="271"/>
      <c r="AM1" s="271"/>
      <c r="AN1" s="271"/>
      <c r="AO1" s="271"/>
      <c r="AP1" s="271"/>
      <c r="AQ1" s="271"/>
      <c r="AR1" s="271"/>
      <c r="AS1" s="271"/>
      <c r="AT1" s="271"/>
      <c r="AU1" s="271"/>
      <c r="AV1" s="271"/>
      <c r="AW1" s="271"/>
      <c r="AX1" s="271"/>
      <c r="AY1" s="271"/>
      <c r="AZ1" s="271"/>
      <c r="BA1" s="271"/>
      <c r="BB1" s="271"/>
      <c r="BC1" s="271"/>
      <c r="BD1" s="271"/>
      <c r="BE1" s="271"/>
      <c r="BF1" s="271"/>
      <c r="BG1" s="271"/>
      <c r="BH1" s="271"/>
      <c r="BI1" s="271"/>
      <c r="BJ1" s="271"/>
      <c r="BK1" s="271"/>
      <c r="BL1" s="271"/>
      <c r="BM1" s="271"/>
      <c r="BN1" s="271"/>
      <c r="BO1" s="271"/>
      <c r="BP1" s="271"/>
      <c r="BQ1" s="271"/>
      <c r="BR1" s="271"/>
      <c r="BS1" s="271"/>
      <c r="BT1" s="271"/>
      <c r="BU1" s="271"/>
      <c r="BV1" s="271"/>
      <c r="BW1" s="271"/>
      <c r="BX1" s="271"/>
      <c r="BY1" s="271"/>
      <c r="BZ1" s="271"/>
      <c r="CA1" s="271"/>
      <c r="CB1" s="271"/>
      <c r="CC1" s="271"/>
      <c r="CD1" s="271"/>
      <c r="CE1" s="271"/>
      <c r="CF1" s="271"/>
      <c r="CG1" s="271"/>
      <c r="CH1" s="271"/>
      <c r="CI1" s="271"/>
      <c r="CJ1" s="271"/>
      <c r="CK1" s="271"/>
      <c r="CL1" s="271"/>
      <c r="CS1" s="271" t="s">
        <v>708</v>
      </c>
      <c r="CT1" s="271" t="s">
        <v>709</v>
      </c>
      <c r="CU1" s="271" t="s">
        <v>710</v>
      </c>
      <c r="CV1" s="271" t="s">
        <v>711</v>
      </c>
      <c r="CW1" s="271" t="s">
        <v>712</v>
      </c>
      <c r="CX1" s="271" t="s">
        <v>713</v>
      </c>
      <c r="CY1" s="271" t="s">
        <v>714</v>
      </c>
      <c r="CZ1" s="271" t="s">
        <v>715</v>
      </c>
      <c r="DA1" s="271" t="s">
        <v>803</v>
      </c>
      <c r="DB1" s="271" t="s">
        <v>740</v>
      </c>
      <c r="DC1" s="271" t="s">
        <v>760</v>
      </c>
      <c r="DD1" s="271" t="s">
        <v>761</v>
      </c>
      <c r="DE1" s="272"/>
      <c r="DF1" s="272"/>
      <c r="DG1" s="273" t="s">
        <v>287</v>
      </c>
    </row>
    <row r="2" spans="1:130">
      <c r="B2" s="1038">
        <v>2018</v>
      </c>
      <c r="C2" s="1038"/>
      <c r="D2" s="1038"/>
      <c r="E2" s="1038"/>
      <c r="F2" s="1038"/>
      <c r="G2" s="1038"/>
      <c r="H2" s="1038"/>
      <c r="I2" s="1038"/>
      <c r="J2" s="1038"/>
      <c r="K2" s="1038"/>
      <c r="L2" s="1038"/>
      <c r="M2" s="1037">
        <v>2019</v>
      </c>
      <c r="N2" s="1037"/>
      <c r="O2" s="1037"/>
      <c r="P2" s="1037"/>
      <c r="Q2" s="1037"/>
      <c r="R2" s="1037"/>
      <c r="S2" s="1037"/>
      <c r="T2" s="1037"/>
      <c r="U2" s="1037"/>
      <c r="V2" s="1037"/>
      <c r="W2" s="1037"/>
      <c r="X2" s="1037"/>
      <c r="Y2" s="1038">
        <v>2020</v>
      </c>
      <c r="Z2" s="1038"/>
      <c r="AA2" s="1038"/>
      <c r="AB2" s="1038"/>
      <c r="AC2" s="1038"/>
      <c r="AD2" s="1038"/>
      <c r="AE2" s="1038"/>
      <c r="AF2" s="1038"/>
      <c r="AG2" s="1038"/>
      <c r="AH2" s="1038"/>
      <c r="AI2" s="1038"/>
      <c r="AJ2" s="1038"/>
      <c r="AK2" s="1037">
        <v>2021</v>
      </c>
      <c r="AL2" s="1037"/>
      <c r="AM2" s="1037"/>
      <c r="AN2" s="1037"/>
      <c r="AO2" s="1037"/>
      <c r="AP2" s="1037"/>
      <c r="AQ2" s="1037"/>
      <c r="AR2" s="1037"/>
      <c r="AS2" s="1037"/>
      <c r="AT2" s="1037"/>
      <c r="AU2" s="1037"/>
      <c r="AV2" s="1037"/>
      <c r="AW2" s="1038">
        <v>2022</v>
      </c>
      <c r="AX2" s="1038"/>
      <c r="AY2" s="1038"/>
      <c r="AZ2" s="1038"/>
      <c r="BA2" s="1038"/>
      <c r="BB2" s="1038"/>
      <c r="BC2" s="1038"/>
      <c r="BD2" s="1038"/>
      <c r="BE2" s="1038"/>
      <c r="BF2" s="1038"/>
      <c r="BG2" s="1038"/>
      <c r="BH2" s="1038"/>
      <c r="BI2" s="1037">
        <v>2023</v>
      </c>
      <c r="BJ2" s="1037"/>
      <c r="BK2" s="1037"/>
      <c r="BL2" s="1037"/>
      <c r="BM2" s="1037"/>
      <c r="BN2" s="1037"/>
      <c r="BO2" s="1037"/>
      <c r="BP2" s="1037"/>
      <c r="BQ2" s="1037"/>
      <c r="BR2" s="1037"/>
      <c r="BS2" s="1037"/>
      <c r="BT2" s="1037"/>
      <c r="BU2" s="1038">
        <v>2024</v>
      </c>
      <c r="BV2" s="1038"/>
      <c r="BW2" s="1038"/>
      <c r="BX2" s="1038"/>
      <c r="BY2" s="1038"/>
      <c r="BZ2" s="1038"/>
      <c r="CA2" s="1038"/>
      <c r="CB2" s="1038"/>
      <c r="CC2" s="1038"/>
      <c r="CD2" s="1038"/>
      <c r="CE2" s="1038"/>
      <c r="CF2" s="1038"/>
      <c r="CG2" s="1037">
        <v>2025</v>
      </c>
      <c r="CH2" s="1037"/>
      <c r="CI2" s="1037"/>
      <c r="CJ2" s="1037"/>
      <c r="CK2" s="1037"/>
      <c r="CL2" s="1037"/>
      <c r="CM2" s="1037"/>
      <c r="CN2" s="1037"/>
      <c r="CO2" s="1037"/>
      <c r="CP2" s="1037"/>
      <c r="CQ2" s="1037"/>
      <c r="CR2" s="1037"/>
      <c r="CS2" s="1038">
        <v>2026</v>
      </c>
      <c r="CT2" s="1038"/>
      <c r="CU2" s="1038"/>
      <c r="CV2" s="1038"/>
      <c r="CW2" s="1038"/>
      <c r="CX2" s="1038"/>
      <c r="CY2" s="1038"/>
      <c r="CZ2" s="1038"/>
      <c r="DA2" s="1038"/>
      <c r="DB2" s="1038"/>
      <c r="DC2" s="1038"/>
      <c r="DD2" s="1038"/>
      <c r="DE2" s="544"/>
      <c r="DF2" s="544"/>
      <c r="DG2" s="544"/>
      <c r="DH2" s="544"/>
      <c r="DI2" s="544"/>
      <c r="DJ2" s="544"/>
      <c r="DK2" s="544"/>
      <c r="DL2" s="544"/>
      <c r="DM2" s="544"/>
      <c r="DN2" s="704"/>
    </row>
    <row r="3" spans="1:130">
      <c r="A3" s="919" t="s">
        <v>258</v>
      </c>
      <c r="B3" s="920">
        <v>43132</v>
      </c>
      <c r="C3" s="920">
        <v>43160</v>
      </c>
      <c r="D3" s="920">
        <v>43191</v>
      </c>
      <c r="E3" s="920">
        <v>43221</v>
      </c>
      <c r="F3" s="920">
        <v>43252</v>
      </c>
      <c r="G3" s="920">
        <v>43282</v>
      </c>
      <c r="H3" s="920">
        <v>43313</v>
      </c>
      <c r="I3" s="920">
        <v>43344</v>
      </c>
      <c r="J3" s="920">
        <v>43374</v>
      </c>
      <c r="K3" s="920">
        <v>43405</v>
      </c>
      <c r="L3" s="920">
        <v>43435</v>
      </c>
      <c r="M3" s="920">
        <v>43466</v>
      </c>
      <c r="N3" s="920">
        <v>43497</v>
      </c>
      <c r="O3" s="920">
        <v>43525</v>
      </c>
      <c r="P3" s="920">
        <v>43556</v>
      </c>
      <c r="Q3" s="920">
        <v>43586</v>
      </c>
      <c r="R3" s="920">
        <v>43617</v>
      </c>
      <c r="S3" s="920">
        <v>43647</v>
      </c>
      <c r="T3" s="920">
        <v>43678</v>
      </c>
      <c r="U3" s="920">
        <v>43709</v>
      </c>
      <c r="V3" s="920">
        <v>43739</v>
      </c>
      <c r="W3" s="920">
        <v>43770</v>
      </c>
      <c r="X3" s="920">
        <v>43800</v>
      </c>
      <c r="Y3" s="920">
        <v>43831</v>
      </c>
      <c r="Z3" s="920">
        <v>43862</v>
      </c>
      <c r="AA3" s="920">
        <v>43891</v>
      </c>
      <c r="AB3" s="920">
        <v>43922</v>
      </c>
      <c r="AC3" s="920">
        <v>43952</v>
      </c>
      <c r="AD3" s="920">
        <v>43983</v>
      </c>
      <c r="AE3" s="920">
        <v>44013</v>
      </c>
      <c r="AF3" s="920">
        <v>44044</v>
      </c>
      <c r="AG3" s="920">
        <v>44075</v>
      </c>
      <c r="AH3" s="920">
        <v>44105</v>
      </c>
      <c r="AI3" s="920">
        <v>44136</v>
      </c>
      <c r="AJ3" s="920">
        <v>44166</v>
      </c>
      <c r="AK3" s="920">
        <v>44197</v>
      </c>
      <c r="AL3" s="920">
        <v>44228</v>
      </c>
      <c r="AM3" s="920">
        <v>44256</v>
      </c>
      <c r="AN3" s="920">
        <v>44287</v>
      </c>
      <c r="AO3" s="920">
        <v>44317</v>
      </c>
      <c r="AP3" s="920">
        <v>44348</v>
      </c>
      <c r="AQ3" s="920">
        <v>44378</v>
      </c>
      <c r="AR3" s="920">
        <v>44409</v>
      </c>
      <c r="AS3" s="920">
        <v>44440</v>
      </c>
      <c r="AT3" s="920">
        <v>44470</v>
      </c>
      <c r="AU3" s="920">
        <v>44501</v>
      </c>
      <c r="AV3" s="920">
        <v>44531</v>
      </c>
      <c r="AW3" s="920">
        <v>44562</v>
      </c>
      <c r="AX3" s="920">
        <v>44593</v>
      </c>
      <c r="AY3" s="920">
        <v>44621</v>
      </c>
      <c r="AZ3" s="920">
        <v>44652</v>
      </c>
      <c r="BA3" s="920">
        <v>44682</v>
      </c>
      <c r="BB3" s="920">
        <v>44713</v>
      </c>
      <c r="BC3" s="920">
        <v>44743</v>
      </c>
      <c r="BD3" s="920">
        <v>44774</v>
      </c>
      <c r="BE3" s="920">
        <v>44805</v>
      </c>
      <c r="BF3" s="920">
        <v>44835</v>
      </c>
      <c r="BG3" s="920">
        <v>44866</v>
      </c>
      <c r="BH3" s="920">
        <v>44896</v>
      </c>
      <c r="BI3" s="920">
        <v>44927</v>
      </c>
      <c r="BJ3" s="920">
        <v>44958</v>
      </c>
      <c r="BK3" s="920">
        <v>44986</v>
      </c>
      <c r="BL3" s="920">
        <v>45017</v>
      </c>
      <c r="BM3" s="920">
        <v>45047</v>
      </c>
      <c r="BN3" s="920">
        <v>45078</v>
      </c>
      <c r="BO3" s="920">
        <v>45108</v>
      </c>
      <c r="BP3" s="920">
        <v>45139</v>
      </c>
      <c r="BQ3" s="920">
        <v>45170</v>
      </c>
      <c r="BR3" s="920">
        <v>45200</v>
      </c>
      <c r="BS3" s="920">
        <v>45231</v>
      </c>
      <c r="BT3" s="920">
        <v>45261</v>
      </c>
      <c r="BU3" s="920">
        <v>45292</v>
      </c>
      <c r="BV3" s="920">
        <v>45323</v>
      </c>
      <c r="BW3" s="920">
        <v>45352</v>
      </c>
      <c r="BX3" s="920">
        <v>45383</v>
      </c>
      <c r="BY3" s="920">
        <v>45413</v>
      </c>
      <c r="BZ3" s="920">
        <v>45444</v>
      </c>
      <c r="CA3" s="920">
        <v>45474</v>
      </c>
      <c r="CB3" s="920">
        <v>45505</v>
      </c>
      <c r="CC3" s="920">
        <v>45536</v>
      </c>
      <c r="CD3" s="920">
        <v>45566</v>
      </c>
      <c r="CE3" s="920">
        <v>45597</v>
      </c>
      <c r="CF3" s="920">
        <v>45627</v>
      </c>
      <c r="CG3" s="920">
        <v>45658</v>
      </c>
      <c r="CH3" s="920">
        <v>45689</v>
      </c>
      <c r="CI3" s="920">
        <v>45717</v>
      </c>
      <c r="CJ3" s="920">
        <v>45748</v>
      </c>
      <c r="CK3" s="920">
        <v>45778</v>
      </c>
      <c r="CL3" s="920">
        <v>45809</v>
      </c>
      <c r="CM3" s="920">
        <v>45839</v>
      </c>
      <c r="CN3" s="920">
        <v>45870</v>
      </c>
      <c r="CO3" s="920">
        <v>45901</v>
      </c>
      <c r="CP3" s="920">
        <v>45931</v>
      </c>
      <c r="CQ3" s="920">
        <v>45962</v>
      </c>
      <c r="CR3" s="920">
        <v>45992</v>
      </c>
      <c r="CS3" s="920">
        <v>46023</v>
      </c>
      <c r="CT3" s="920">
        <v>46054</v>
      </c>
      <c r="CU3" s="920">
        <v>46082</v>
      </c>
      <c r="CV3" s="920">
        <v>46113</v>
      </c>
      <c r="CW3" s="920">
        <v>46143</v>
      </c>
      <c r="CX3" s="920">
        <v>46174</v>
      </c>
      <c r="CY3" s="920">
        <v>46204</v>
      </c>
      <c r="CZ3" s="920">
        <v>46235</v>
      </c>
      <c r="DA3" s="920">
        <v>46266</v>
      </c>
      <c r="DB3" s="920">
        <v>46296</v>
      </c>
      <c r="DC3" s="920">
        <v>46327</v>
      </c>
      <c r="DD3" s="920">
        <v>46357</v>
      </c>
      <c r="DE3" s="511"/>
      <c r="DF3" s="511"/>
    </row>
    <row r="4" spans="1:130">
      <c r="B4" s="271">
        <v>2</v>
      </c>
      <c r="C4" s="271">
        <v>3</v>
      </c>
      <c r="D4" s="271">
        <v>4</v>
      </c>
      <c r="E4" s="271">
        <v>5</v>
      </c>
      <c r="F4" s="271">
        <v>6</v>
      </c>
      <c r="G4" s="271">
        <v>7</v>
      </c>
      <c r="H4" s="271">
        <v>8</v>
      </c>
      <c r="I4" s="271">
        <v>9</v>
      </c>
      <c r="J4" s="271">
        <v>10</v>
      </c>
      <c r="K4" s="271">
        <v>11</v>
      </c>
      <c r="L4" s="271">
        <v>12</v>
      </c>
      <c r="M4" s="271">
        <v>13</v>
      </c>
      <c r="N4" s="271">
        <v>14</v>
      </c>
      <c r="O4" s="271">
        <v>15</v>
      </c>
      <c r="P4" s="271">
        <v>16</v>
      </c>
      <c r="Q4" s="271">
        <v>17</v>
      </c>
      <c r="R4" s="271">
        <v>18</v>
      </c>
      <c r="S4" s="271">
        <v>19</v>
      </c>
      <c r="T4" s="271">
        <v>20</v>
      </c>
      <c r="U4" s="271">
        <v>21</v>
      </c>
      <c r="V4" s="271">
        <v>22</v>
      </c>
      <c r="W4" s="271">
        <v>23</v>
      </c>
      <c r="X4" s="271">
        <v>24</v>
      </c>
      <c r="Y4" s="271">
        <v>25</v>
      </c>
      <c r="Z4" s="271">
        <v>26</v>
      </c>
      <c r="AA4" s="271">
        <v>27</v>
      </c>
      <c r="AB4" s="271">
        <v>28</v>
      </c>
      <c r="AC4" s="271">
        <v>29</v>
      </c>
      <c r="AD4" s="271">
        <v>30</v>
      </c>
      <c r="AE4" s="271">
        <v>31</v>
      </c>
      <c r="AF4" s="271">
        <v>32</v>
      </c>
      <c r="AG4" s="271">
        <v>33</v>
      </c>
      <c r="AH4" s="271">
        <v>34</v>
      </c>
      <c r="AI4" s="271">
        <v>35</v>
      </c>
      <c r="AJ4" s="271">
        <v>36</v>
      </c>
      <c r="AK4" s="271">
        <v>37</v>
      </c>
      <c r="AL4" s="271">
        <v>38</v>
      </c>
      <c r="AM4" s="271">
        <v>39</v>
      </c>
      <c r="AN4" s="271">
        <v>40</v>
      </c>
      <c r="AO4" s="271">
        <v>41</v>
      </c>
      <c r="AP4" s="271">
        <v>42</v>
      </c>
      <c r="AQ4" s="271">
        <v>43</v>
      </c>
      <c r="AR4" s="271">
        <v>44</v>
      </c>
      <c r="AS4" s="271">
        <v>45</v>
      </c>
      <c r="AT4" s="271">
        <v>46</v>
      </c>
      <c r="AU4" s="271">
        <v>47</v>
      </c>
      <c r="AV4" s="271">
        <v>48</v>
      </c>
      <c r="AW4" s="271">
        <v>49</v>
      </c>
      <c r="AX4" s="271">
        <v>50</v>
      </c>
      <c r="AY4" s="271">
        <v>51</v>
      </c>
      <c r="AZ4" s="271">
        <v>52</v>
      </c>
      <c r="BA4" s="271">
        <v>53</v>
      </c>
      <c r="BB4" s="271">
        <v>54</v>
      </c>
      <c r="BC4" s="271">
        <v>55</v>
      </c>
      <c r="BD4" s="271">
        <v>56</v>
      </c>
      <c r="BE4" s="271">
        <v>57</v>
      </c>
      <c r="BF4" s="271">
        <v>58</v>
      </c>
      <c r="BG4" s="271">
        <v>59</v>
      </c>
      <c r="BH4" s="271">
        <v>60</v>
      </c>
      <c r="BI4" s="271">
        <v>61</v>
      </c>
      <c r="BJ4" s="271">
        <v>62</v>
      </c>
      <c r="BK4" s="271">
        <v>63</v>
      </c>
      <c r="BL4" s="271">
        <v>64</v>
      </c>
      <c r="BM4" s="271">
        <v>65</v>
      </c>
      <c r="BN4" s="271">
        <v>66</v>
      </c>
      <c r="BO4" s="271">
        <v>67</v>
      </c>
      <c r="BP4" s="271">
        <v>68</v>
      </c>
      <c r="BQ4" s="271">
        <v>69</v>
      </c>
      <c r="BR4" s="271">
        <v>70</v>
      </c>
      <c r="BS4" s="271">
        <f t="shared" ref="BS4:DD4" si="0">+COLUMN()</f>
        <v>71</v>
      </c>
      <c r="BT4" s="271">
        <f t="shared" si="0"/>
        <v>72</v>
      </c>
      <c r="BU4" s="271">
        <f t="shared" si="0"/>
        <v>73</v>
      </c>
      <c r="BV4" s="271">
        <f t="shared" si="0"/>
        <v>74</v>
      </c>
      <c r="BW4" s="271">
        <f t="shared" si="0"/>
        <v>75</v>
      </c>
      <c r="BX4" s="271">
        <f t="shared" si="0"/>
        <v>76</v>
      </c>
      <c r="BY4" s="271">
        <f t="shared" si="0"/>
        <v>77</v>
      </c>
      <c r="BZ4" s="271">
        <f t="shared" si="0"/>
        <v>78</v>
      </c>
      <c r="CA4" s="271">
        <f t="shared" si="0"/>
        <v>79</v>
      </c>
      <c r="CB4" s="271">
        <f t="shared" si="0"/>
        <v>80</v>
      </c>
      <c r="CC4" s="271">
        <f t="shared" si="0"/>
        <v>81</v>
      </c>
      <c r="CD4" s="271">
        <f t="shared" si="0"/>
        <v>82</v>
      </c>
      <c r="CE4" s="271">
        <f t="shared" si="0"/>
        <v>83</v>
      </c>
      <c r="CF4" s="271">
        <f t="shared" si="0"/>
        <v>84</v>
      </c>
      <c r="CG4" s="271">
        <f t="shared" si="0"/>
        <v>85</v>
      </c>
      <c r="CH4" s="271">
        <f t="shared" si="0"/>
        <v>86</v>
      </c>
      <c r="CI4" s="271">
        <f t="shared" si="0"/>
        <v>87</v>
      </c>
      <c r="CJ4" s="271">
        <f t="shared" si="0"/>
        <v>88</v>
      </c>
      <c r="CK4" s="271">
        <f t="shared" si="0"/>
        <v>89</v>
      </c>
      <c r="CL4" s="271">
        <f t="shared" si="0"/>
        <v>90</v>
      </c>
      <c r="CM4" s="271">
        <f t="shared" si="0"/>
        <v>91</v>
      </c>
      <c r="CN4" s="271">
        <f t="shared" si="0"/>
        <v>92</v>
      </c>
      <c r="CO4" s="271">
        <f t="shared" si="0"/>
        <v>93</v>
      </c>
      <c r="CP4" s="271">
        <f t="shared" si="0"/>
        <v>94</v>
      </c>
      <c r="CQ4" s="271">
        <f t="shared" si="0"/>
        <v>95</v>
      </c>
      <c r="CR4" s="271">
        <f t="shared" si="0"/>
        <v>96</v>
      </c>
      <c r="CS4" s="271">
        <f t="shared" si="0"/>
        <v>97</v>
      </c>
      <c r="CT4" s="271">
        <f t="shared" si="0"/>
        <v>98</v>
      </c>
      <c r="CU4" s="271">
        <f t="shared" si="0"/>
        <v>99</v>
      </c>
      <c r="CV4" s="271">
        <f t="shared" si="0"/>
        <v>100</v>
      </c>
      <c r="CW4" s="271">
        <f t="shared" si="0"/>
        <v>101</v>
      </c>
      <c r="CX4" s="271">
        <f t="shared" si="0"/>
        <v>102</v>
      </c>
      <c r="CY4" s="271">
        <f t="shared" si="0"/>
        <v>103</v>
      </c>
      <c r="CZ4" s="271">
        <f t="shared" si="0"/>
        <v>104</v>
      </c>
      <c r="DA4" s="271">
        <f t="shared" si="0"/>
        <v>105</v>
      </c>
      <c r="DB4" s="271">
        <f t="shared" si="0"/>
        <v>106</v>
      </c>
      <c r="DC4" s="271">
        <f t="shared" si="0"/>
        <v>107</v>
      </c>
      <c r="DD4" s="271">
        <f t="shared" si="0"/>
        <v>108</v>
      </c>
      <c r="DE4" s="272"/>
      <c r="DF4" s="537" t="s">
        <v>754</v>
      </c>
      <c r="DG4" s="538" t="s">
        <v>751</v>
      </c>
      <c r="DH4" s="539" t="s">
        <v>752</v>
      </c>
      <c r="DI4" s="540" t="s">
        <v>753</v>
      </c>
      <c r="DK4" s="538" t="s">
        <v>751</v>
      </c>
      <c r="DL4" s="539" t="s">
        <v>752</v>
      </c>
      <c r="DM4" s="540" t="s">
        <v>753</v>
      </c>
      <c r="DN4" s="705"/>
      <c r="DO4" s="532"/>
      <c r="DP4" s="532" t="s">
        <v>758</v>
      </c>
      <c r="DQ4" s="532" t="s">
        <v>755</v>
      </c>
      <c r="DR4" s="532" t="s">
        <v>756</v>
      </c>
      <c r="DS4" s="532" t="s">
        <v>757</v>
      </c>
      <c r="DU4" s="538" t="s">
        <v>751</v>
      </c>
      <c r="DV4" s="539" t="s">
        <v>752</v>
      </c>
      <c r="DW4" s="540" t="s">
        <v>753</v>
      </c>
    </row>
    <row r="5" spans="1:130" ht="17.25" customHeight="1">
      <c r="A5" s="274" t="s">
        <v>28</v>
      </c>
      <c r="B5" s="275">
        <v>3</v>
      </c>
      <c r="C5" s="275">
        <v>3</v>
      </c>
      <c r="D5" s="275">
        <v>3</v>
      </c>
      <c r="E5" s="275">
        <v>3</v>
      </c>
      <c r="F5" s="275">
        <v>3</v>
      </c>
      <c r="G5" s="275">
        <v>2</v>
      </c>
      <c r="H5" s="275">
        <v>2</v>
      </c>
      <c r="I5" s="275">
        <v>2</v>
      </c>
      <c r="J5" s="275">
        <v>2</v>
      </c>
      <c r="K5" s="275">
        <v>2</v>
      </c>
      <c r="L5" s="275">
        <v>2</v>
      </c>
      <c r="M5" s="275">
        <v>2</v>
      </c>
      <c r="N5" s="275">
        <v>2</v>
      </c>
      <c r="O5" s="275">
        <v>3</v>
      </c>
      <c r="P5" s="275">
        <v>2</v>
      </c>
      <c r="Q5" s="275">
        <v>3</v>
      </c>
      <c r="R5" s="275">
        <v>3</v>
      </c>
      <c r="S5" s="275">
        <v>3</v>
      </c>
      <c r="T5" s="275">
        <v>3</v>
      </c>
      <c r="U5" s="275">
        <v>3</v>
      </c>
      <c r="V5" s="275">
        <v>3</v>
      </c>
      <c r="W5" s="275">
        <v>3</v>
      </c>
      <c r="X5" s="275">
        <v>3</v>
      </c>
      <c r="Y5" s="275">
        <v>3</v>
      </c>
      <c r="Z5" s="275">
        <v>4</v>
      </c>
      <c r="AA5" s="275">
        <v>4</v>
      </c>
      <c r="AB5" s="275">
        <v>5</v>
      </c>
      <c r="AC5" s="275">
        <v>5</v>
      </c>
      <c r="AD5" s="275">
        <v>5</v>
      </c>
      <c r="AE5" s="275">
        <v>5</v>
      </c>
      <c r="AF5" s="275">
        <v>5</v>
      </c>
      <c r="AG5" s="275">
        <v>5</v>
      </c>
      <c r="AH5" s="275">
        <v>5</v>
      </c>
      <c r="AI5" s="275">
        <v>4</v>
      </c>
      <c r="AJ5" s="275">
        <v>3</v>
      </c>
      <c r="AK5" s="275">
        <v>3</v>
      </c>
      <c r="AL5" s="275">
        <v>3</v>
      </c>
      <c r="AM5" s="275">
        <v>3</v>
      </c>
      <c r="AN5" s="275">
        <v>2</v>
      </c>
      <c r="AO5" s="275">
        <v>2</v>
      </c>
      <c r="AP5" s="275">
        <v>2</v>
      </c>
      <c r="AQ5" s="275">
        <v>2</v>
      </c>
      <c r="AR5" s="275">
        <v>2</v>
      </c>
      <c r="AS5" s="275">
        <v>2</v>
      </c>
      <c r="AT5" s="275">
        <v>2</v>
      </c>
      <c r="AU5" s="275">
        <v>2</v>
      </c>
      <c r="AV5" s="275">
        <v>2</v>
      </c>
      <c r="AW5" s="275">
        <v>2</v>
      </c>
      <c r="AX5" s="275">
        <v>3</v>
      </c>
      <c r="AY5" s="275">
        <v>3</v>
      </c>
      <c r="AZ5" s="275">
        <v>2</v>
      </c>
      <c r="BA5" s="275">
        <v>3</v>
      </c>
      <c r="BB5" s="275">
        <v>3</v>
      </c>
      <c r="BC5" s="275">
        <v>3</v>
      </c>
      <c r="BD5" s="275">
        <v>3</v>
      </c>
      <c r="BE5" s="275">
        <v>3</v>
      </c>
      <c r="BF5" s="275">
        <v>3</v>
      </c>
      <c r="BG5" s="275">
        <v>3</v>
      </c>
      <c r="BH5" s="275">
        <v>4</v>
      </c>
      <c r="BI5" s="275">
        <v>4</v>
      </c>
      <c r="BJ5" s="275">
        <v>5</v>
      </c>
      <c r="BK5" s="275">
        <v>4</v>
      </c>
      <c r="BL5" s="275">
        <v>4</v>
      </c>
      <c r="BM5" s="275">
        <v>5</v>
      </c>
      <c r="BN5" s="275">
        <v>5</v>
      </c>
      <c r="BO5" s="275">
        <v>5</v>
      </c>
      <c r="BP5" s="275">
        <v>5</v>
      </c>
      <c r="BQ5" s="275">
        <v>5</v>
      </c>
      <c r="BR5" s="275">
        <v>5</v>
      </c>
      <c r="BS5" s="275">
        <f>+'Nov23'!$BC6</f>
        <v>5</v>
      </c>
      <c r="BT5" s="275">
        <f>+'Dic23'!$BC6</f>
        <v>4</v>
      </c>
      <c r="BU5" s="275">
        <f>+'Ene24'!$BC6</f>
        <v>4</v>
      </c>
      <c r="BV5" s="275">
        <f>+'Feb24'!$BC6</f>
        <v>4</v>
      </c>
      <c r="BW5" s="275">
        <f>+'Mar24'!$BC6</f>
        <v>4</v>
      </c>
      <c r="BX5" s="275">
        <f>+'Abr24'!$BC6</f>
        <v>4</v>
      </c>
      <c r="BY5" s="275">
        <f>+'May24'!BC6</f>
        <v>3</v>
      </c>
      <c r="BZ5" s="275">
        <f>+'Jun24'!BC6</f>
        <v>3</v>
      </c>
      <c r="CA5" s="275">
        <f>+'Jul24'!BC6</f>
        <v>3</v>
      </c>
      <c r="CB5" s="275">
        <f>+'Ago24'!BB6</f>
        <v>3</v>
      </c>
      <c r="CC5" s="275">
        <f>+'Sep24'!BB6</f>
        <v>3</v>
      </c>
      <c r="CD5" s="275">
        <f>+'Oct24'!BB6</f>
        <v>3</v>
      </c>
      <c r="CE5" s="275">
        <f>+'Nov24'!BB6</f>
        <v>3</v>
      </c>
      <c r="CF5" s="275">
        <f>+'Dic24'!BB6</f>
        <v>3</v>
      </c>
      <c r="CG5" s="272">
        <f>+'Ene25'!BC6</f>
        <v>4</v>
      </c>
      <c r="CH5" s="272">
        <f>+'Feb25'!BC6</f>
        <v>4</v>
      </c>
      <c r="CI5" s="272">
        <f>+'Mar25'!BC6</f>
        <v>4</v>
      </c>
      <c r="CJ5" s="272">
        <f>+'Abr25'!BD6</f>
        <v>4</v>
      </c>
      <c r="CK5" s="272">
        <f>+'May25'!BD6</f>
        <v>3</v>
      </c>
      <c r="CL5" s="272">
        <f>+'Jun25'!BD6</f>
        <v>3</v>
      </c>
      <c r="CM5" s="272">
        <f>+'Jul25'!BD6</f>
        <v>3</v>
      </c>
      <c r="CN5" s="272">
        <f>+'Ago25'!BC6</f>
        <v>3</v>
      </c>
      <c r="CO5" s="272">
        <f>+'Sep25'!BC6</f>
        <v>4</v>
      </c>
      <c r="CP5" s="272">
        <f>+'Oct25'!BC6</f>
        <v>4</v>
      </c>
      <c r="CQ5" s="272">
        <f>+'Nov25'!BC6</f>
        <v>4</v>
      </c>
      <c r="CR5" s="272">
        <f>+'Dic25'!BC6</f>
        <v>4</v>
      </c>
      <c r="CS5" s="703">
        <f>+'Ene26'!BC6</f>
        <v>4</v>
      </c>
      <c r="CT5" s="703">
        <f>+'Feb26'!$BC6</f>
        <v>4</v>
      </c>
      <c r="CU5" s="703">
        <f>+'Mar26'!$BC6</f>
        <v>4</v>
      </c>
      <c r="CV5" s="703">
        <f>+'Abr26'!$BC6</f>
        <v>4</v>
      </c>
      <c r="CW5" s="703">
        <f>+'May26'!$BC6</f>
        <v>4</v>
      </c>
      <c r="CX5" s="703">
        <f>+'Jun26'!$BC6</f>
        <v>4</v>
      </c>
      <c r="CY5" s="703">
        <f>+'Jul26'!$BC6</f>
        <v>4</v>
      </c>
      <c r="CZ5" s="703">
        <f>+'Ago26'!$BC6</f>
        <v>4</v>
      </c>
      <c r="DA5" s="272"/>
      <c r="DB5" s="272"/>
      <c r="DC5" s="272"/>
      <c r="DE5" s="272"/>
      <c r="DF5" s="534">
        <f t="shared" ref="DF5:DF23" si="1">SUM(DG5:DI5)</f>
        <v>103</v>
      </c>
      <c r="DG5" s="532">
        <f>COUNTIFS(B5:DD5,"&gt;=1",B5:DD5,"&lt;=2")</f>
        <v>20</v>
      </c>
      <c r="DH5" s="532">
        <f>COUNTIF(B5:DD5,3)</f>
        <v>40</v>
      </c>
      <c r="DI5" s="532">
        <f>COUNTIFS(B5:DD5,"&gt;=4",B5:DD5,"&lt;=5")</f>
        <v>43</v>
      </c>
      <c r="DK5" s="533">
        <f>DG5/$DF5</f>
        <v>0.1941747572815534</v>
      </c>
      <c r="DL5" s="533">
        <f t="shared" ref="DL5:DL23" si="2">DH5/$DF5</f>
        <v>0.38834951456310679</v>
      </c>
      <c r="DM5" s="533">
        <f t="shared" ref="DM5:DM23" si="3">DI5/$DF5</f>
        <v>0.41747572815533979</v>
      </c>
      <c r="DN5" s="533"/>
      <c r="DO5" s="532">
        <v>18</v>
      </c>
      <c r="DP5" s="271" t="s">
        <v>219</v>
      </c>
      <c r="DQ5" s="533">
        <v>5.8252427184466021E-2</v>
      </c>
      <c r="DR5" s="533">
        <v>0.21359223300970873</v>
      </c>
      <c r="DS5" s="533">
        <v>0.72815533980582525</v>
      </c>
      <c r="DU5" s="532">
        <v>20</v>
      </c>
      <c r="DV5" s="532">
        <v>0</v>
      </c>
      <c r="DW5" s="532">
        <f>DI5*-1</f>
        <v>-43</v>
      </c>
    </row>
    <row r="6" spans="1:130" ht="17.25" customHeight="1">
      <c r="A6" s="274" t="s">
        <v>13</v>
      </c>
      <c r="B6" s="275">
        <v>4</v>
      </c>
      <c r="C6" s="275">
        <v>4</v>
      </c>
      <c r="D6" s="275">
        <v>4</v>
      </c>
      <c r="E6" s="275">
        <v>4</v>
      </c>
      <c r="F6" s="275">
        <v>4</v>
      </c>
      <c r="G6" s="275">
        <v>3</v>
      </c>
      <c r="H6" s="275">
        <v>3</v>
      </c>
      <c r="I6" s="275">
        <v>5</v>
      </c>
      <c r="J6" s="275">
        <v>5</v>
      </c>
      <c r="K6" s="275">
        <v>5</v>
      </c>
      <c r="L6" s="275">
        <v>3</v>
      </c>
      <c r="M6" s="275">
        <v>3</v>
      </c>
      <c r="N6" s="275">
        <v>3</v>
      </c>
      <c r="O6" s="275">
        <v>5</v>
      </c>
      <c r="P6" s="275">
        <v>5</v>
      </c>
      <c r="Q6" s="275">
        <v>5</v>
      </c>
      <c r="R6" s="275">
        <v>5</v>
      </c>
      <c r="S6" s="275">
        <v>5</v>
      </c>
      <c r="T6" s="275">
        <v>5</v>
      </c>
      <c r="U6" s="275">
        <v>5</v>
      </c>
      <c r="V6" s="275">
        <v>5</v>
      </c>
      <c r="W6" s="275">
        <v>4</v>
      </c>
      <c r="X6" s="275">
        <v>5</v>
      </c>
      <c r="Y6" s="275">
        <v>5</v>
      </c>
      <c r="Z6" s="275">
        <v>5</v>
      </c>
      <c r="AA6" s="275">
        <v>3</v>
      </c>
      <c r="AB6" s="275">
        <v>4</v>
      </c>
      <c r="AC6" s="275">
        <v>4</v>
      </c>
      <c r="AD6" s="275">
        <v>3</v>
      </c>
      <c r="AE6" s="275">
        <v>3</v>
      </c>
      <c r="AF6" s="275">
        <v>3</v>
      </c>
      <c r="AG6" s="275">
        <v>2</v>
      </c>
      <c r="AH6" s="275">
        <v>2</v>
      </c>
      <c r="AI6" s="275">
        <v>2</v>
      </c>
      <c r="AJ6" s="275">
        <v>2</v>
      </c>
      <c r="AK6" s="275">
        <v>2</v>
      </c>
      <c r="AL6" s="275">
        <v>2</v>
      </c>
      <c r="AM6" s="275">
        <v>2</v>
      </c>
      <c r="AN6" s="275">
        <v>2</v>
      </c>
      <c r="AO6" s="275">
        <v>3</v>
      </c>
      <c r="AP6" s="275">
        <v>3</v>
      </c>
      <c r="AQ6" s="275">
        <v>3</v>
      </c>
      <c r="AR6" s="275">
        <v>3</v>
      </c>
      <c r="AS6" s="275">
        <v>4</v>
      </c>
      <c r="AT6" s="275">
        <v>4</v>
      </c>
      <c r="AU6" s="275">
        <v>4</v>
      </c>
      <c r="AV6" s="275">
        <v>5</v>
      </c>
      <c r="AW6" s="275">
        <v>5</v>
      </c>
      <c r="AX6" s="275">
        <v>5</v>
      </c>
      <c r="AY6" s="275">
        <v>5</v>
      </c>
      <c r="AZ6" s="275">
        <v>5</v>
      </c>
      <c r="BA6" s="275">
        <v>5</v>
      </c>
      <c r="BB6" s="275">
        <v>4</v>
      </c>
      <c r="BC6" s="275">
        <v>4</v>
      </c>
      <c r="BD6" s="275">
        <v>4</v>
      </c>
      <c r="BE6" s="275">
        <v>4</v>
      </c>
      <c r="BF6" s="275">
        <v>4</v>
      </c>
      <c r="BG6" s="275">
        <v>4</v>
      </c>
      <c r="BH6" s="275">
        <v>4</v>
      </c>
      <c r="BI6" s="275">
        <v>4</v>
      </c>
      <c r="BJ6" s="275">
        <v>4</v>
      </c>
      <c r="BK6" s="275">
        <v>3</v>
      </c>
      <c r="BL6" s="275">
        <v>3</v>
      </c>
      <c r="BM6" s="275">
        <v>3</v>
      </c>
      <c r="BN6" s="275">
        <v>3</v>
      </c>
      <c r="BO6" s="275">
        <v>3</v>
      </c>
      <c r="BP6" s="275">
        <v>3</v>
      </c>
      <c r="BQ6" s="275">
        <v>4</v>
      </c>
      <c r="BR6" s="275">
        <v>5</v>
      </c>
      <c r="BS6" s="275">
        <f>+'Nov23'!$BC7</f>
        <v>4</v>
      </c>
      <c r="BT6" s="275">
        <f>+'Dic23'!$BC7</f>
        <v>3</v>
      </c>
      <c r="BU6" s="275">
        <f>+'Ene24'!$BC7</f>
        <v>2</v>
      </c>
      <c r="BV6" s="275">
        <f>+'Feb24'!$BC7</f>
        <v>2</v>
      </c>
      <c r="BW6" s="275">
        <f>+'Mar24'!$BC7</f>
        <v>2</v>
      </c>
      <c r="BX6" s="275">
        <f>+'Abr24'!$BC7</f>
        <v>2</v>
      </c>
      <c r="BY6" s="275">
        <f>+'May24'!BC7</f>
        <v>2</v>
      </c>
      <c r="BZ6" s="275">
        <f>+'Jun24'!BC7</f>
        <v>2</v>
      </c>
      <c r="CA6" s="275">
        <f>+'Jul24'!BC7</f>
        <v>4</v>
      </c>
      <c r="CB6" s="275">
        <f>+'Ago24'!BB7</f>
        <v>4</v>
      </c>
      <c r="CC6" s="275">
        <f>+'Sep24'!BB7</f>
        <v>4</v>
      </c>
      <c r="CD6" s="275">
        <f>+'Oct24'!BB7</f>
        <v>4</v>
      </c>
      <c r="CE6" s="275">
        <f>+'Nov24'!BB7</f>
        <v>4</v>
      </c>
      <c r="CF6" s="275">
        <f>+'Dic24'!BB7</f>
        <v>4</v>
      </c>
      <c r="CG6" s="272">
        <f>+'Ene25'!BC7</f>
        <v>4</v>
      </c>
      <c r="CH6" s="272">
        <f>+'Feb25'!BC7</f>
        <v>4</v>
      </c>
      <c r="CI6" s="272">
        <f>+'Mar25'!BC7</f>
        <v>4</v>
      </c>
      <c r="CJ6" s="272">
        <f>+'Abr25'!BD7</f>
        <v>4</v>
      </c>
      <c r="CK6" s="272">
        <f>+'May25'!BD7</f>
        <v>4</v>
      </c>
      <c r="CL6" s="272">
        <f>+'Jun25'!BD7</f>
        <v>4</v>
      </c>
      <c r="CM6" s="272">
        <f>+'Jul25'!BD7</f>
        <v>4</v>
      </c>
      <c r="CN6" s="272">
        <f>+'Ago25'!BC7</f>
        <v>4</v>
      </c>
      <c r="CO6" s="272">
        <f>+'Sep25'!BC7</f>
        <v>4</v>
      </c>
      <c r="CP6" s="272">
        <f>+'Oct25'!BC7</f>
        <v>4</v>
      </c>
      <c r="CQ6" s="272">
        <f>+'Nov25'!BC7</f>
        <v>4</v>
      </c>
      <c r="CR6" s="272">
        <f>+'Dic25'!BC7</f>
        <v>4</v>
      </c>
      <c r="CS6" s="703">
        <f>+'Ene26'!BC7</f>
        <v>4</v>
      </c>
      <c r="CT6" s="703">
        <f>+'Feb26'!$BC7</f>
        <v>4</v>
      </c>
      <c r="CU6" s="703">
        <f>+'Mar26'!$BC7</f>
        <v>4</v>
      </c>
      <c r="CV6" s="703">
        <f>+'Abr26'!$BC7</f>
        <v>3</v>
      </c>
      <c r="CW6" s="703">
        <f>+'May26'!$BC7</f>
        <v>3</v>
      </c>
      <c r="CX6" s="703">
        <f>+'Jun26'!$BC7</f>
        <v>3</v>
      </c>
      <c r="CY6" s="703">
        <f>+'Jul26'!$BC7</f>
        <v>4</v>
      </c>
      <c r="CZ6" s="703">
        <f>+'Ago26'!$BC7</f>
        <v>4</v>
      </c>
      <c r="DA6" s="272"/>
      <c r="DB6" s="272"/>
      <c r="DC6" s="272"/>
      <c r="DE6" s="272"/>
      <c r="DF6" s="534">
        <f t="shared" si="1"/>
        <v>103</v>
      </c>
      <c r="DG6" s="532">
        <f t="shared" ref="DG6" si="4">COUNTIFS(B6:DD6,"&gt;=1",B6:DD6,"&lt;=2")</f>
        <v>14</v>
      </c>
      <c r="DH6" s="532">
        <f t="shared" ref="DH6:DH23" si="5">COUNTIF(B6:DD6,3)</f>
        <v>23</v>
      </c>
      <c r="DI6" s="532">
        <f t="shared" ref="DI6:DI23" si="6">COUNTIFS(B6:DD6,"&gt;=4",B6:DD6,"&lt;=5")</f>
        <v>66</v>
      </c>
      <c r="DK6" s="533">
        <f t="shared" ref="DK6:DK23" si="7">DG6/$DF6</f>
        <v>0.13592233009708737</v>
      </c>
      <c r="DL6" s="533">
        <f t="shared" si="2"/>
        <v>0.22330097087378642</v>
      </c>
      <c r="DM6" s="533">
        <f t="shared" si="3"/>
        <v>0.64077669902912626</v>
      </c>
      <c r="DN6" s="533"/>
      <c r="DO6" s="532">
        <v>9</v>
      </c>
      <c r="DP6" s="271" t="s">
        <v>65</v>
      </c>
      <c r="DQ6" s="533">
        <v>0.10679611650485436</v>
      </c>
      <c r="DR6" s="533">
        <v>0.24271844660194175</v>
      </c>
      <c r="DS6" s="533">
        <v>0.65048543689320393</v>
      </c>
      <c r="DU6" s="532">
        <v>14</v>
      </c>
      <c r="DV6" s="532">
        <v>0</v>
      </c>
      <c r="DW6" s="532">
        <f t="shared" ref="DW6:DW23" si="8">DI6*-1</f>
        <v>-66</v>
      </c>
    </row>
    <row r="7" spans="1:130" ht="17.25" customHeight="1">
      <c r="A7" s="274" t="s">
        <v>215</v>
      </c>
      <c r="B7" s="275">
        <v>2</v>
      </c>
      <c r="C7" s="275">
        <v>2</v>
      </c>
      <c r="D7" s="275">
        <v>1</v>
      </c>
      <c r="E7" s="275">
        <v>3</v>
      </c>
      <c r="F7" s="275">
        <v>3</v>
      </c>
      <c r="G7" s="275">
        <v>4</v>
      </c>
      <c r="H7" s="275">
        <v>4</v>
      </c>
      <c r="I7" s="275">
        <v>4</v>
      </c>
      <c r="J7" s="275">
        <v>5</v>
      </c>
      <c r="K7" s="275">
        <v>5</v>
      </c>
      <c r="L7" s="275">
        <v>2</v>
      </c>
      <c r="M7" s="275">
        <v>2</v>
      </c>
      <c r="N7" s="275">
        <v>1</v>
      </c>
      <c r="O7" s="275">
        <v>1</v>
      </c>
      <c r="P7" s="275">
        <v>1</v>
      </c>
      <c r="Q7" s="275">
        <v>1</v>
      </c>
      <c r="R7" s="275">
        <v>1</v>
      </c>
      <c r="S7" s="275">
        <v>1</v>
      </c>
      <c r="T7" s="275">
        <v>1</v>
      </c>
      <c r="U7" s="275">
        <v>1</v>
      </c>
      <c r="V7" s="275">
        <v>1</v>
      </c>
      <c r="W7" s="275">
        <v>1</v>
      </c>
      <c r="X7" s="275">
        <v>1</v>
      </c>
      <c r="Y7" s="275">
        <v>1</v>
      </c>
      <c r="Z7" s="275">
        <v>1</v>
      </c>
      <c r="AA7" s="275">
        <v>2</v>
      </c>
      <c r="AB7" s="275">
        <v>2</v>
      </c>
      <c r="AC7" s="275">
        <v>2</v>
      </c>
      <c r="AD7" s="275">
        <v>2</v>
      </c>
      <c r="AE7" s="275">
        <v>3</v>
      </c>
      <c r="AF7" s="275">
        <v>3</v>
      </c>
      <c r="AG7" s="275">
        <v>3</v>
      </c>
      <c r="AH7" s="275">
        <v>3</v>
      </c>
      <c r="AI7" s="275">
        <v>4</v>
      </c>
      <c r="AJ7" s="275">
        <v>2</v>
      </c>
      <c r="AK7" s="275">
        <v>3</v>
      </c>
      <c r="AL7" s="275">
        <v>3</v>
      </c>
      <c r="AM7" s="275">
        <v>3</v>
      </c>
      <c r="AN7" s="275">
        <v>4</v>
      </c>
      <c r="AO7" s="275">
        <v>4</v>
      </c>
      <c r="AP7" s="275">
        <v>4</v>
      </c>
      <c r="AQ7" s="275">
        <v>4</v>
      </c>
      <c r="AR7" s="275">
        <v>4</v>
      </c>
      <c r="AS7" s="275">
        <v>4</v>
      </c>
      <c r="AT7" s="275">
        <v>4</v>
      </c>
      <c r="AU7" s="275">
        <v>4</v>
      </c>
      <c r="AV7" s="275">
        <v>4</v>
      </c>
      <c r="AW7" s="275">
        <v>4</v>
      </c>
      <c r="AX7" s="275">
        <v>4</v>
      </c>
      <c r="AY7" s="275">
        <v>4</v>
      </c>
      <c r="AZ7" s="275">
        <v>3</v>
      </c>
      <c r="BA7" s="275">
        <v>2</v>
      </c>
      <c r="BB7" s="275">
        <v>3</v>
      </c>
      <c r="BC7" s="275">
        <v>3</v>
      </c>
      <c r="BD7" s="275">
        <v>3</v>
      </c>
      <c r="BE7" s="275">
        <v>2</v>
      </c>
      <c r="BF7" s="275">
        <v>2</v>
      </c>
      <c r="BG7" s="275">
        <v>2</v>
      </c>
      <c r="BH7" s="275">
        <v>3</v>
      </c>
      <c r="BI7" s="275">
        <v>2</v>
      </c>
      <c r="BJ7" s="275">
        <v>2</v>
      </c>
      <c r="BK7" s="275">
        <v>2</v>
      </c>
      <c r="BL7" s="275">
        <v>2</v>
      </c>
      <c r="BM7" s="275">
        <v>2</v>
      </c>
      <c r="BN7" s="275">
        <v>3</v>
      </c>
      <c r="BO7" s="275">
        <v>3</v>
      </c>
      <c r="BP7" s="275">
        <v>3</v>
      </c>
      <c r="BQ7" s="275">
        <v>4</v>
      </c>
      <c r="BR7" s="275">
        <v>4</v>
      </c>
      <c r="BS7" s="275">
        <f>+'Nov23'!$BC8</f>
        <v>4</v>
      </c>
      <c r="BT7" s="275">
        <f>+'Dic23'!$BC8</f>
        <v>5</v>
      </c>
      <c r="BU7" s="275">
        <f>+'Ene24'!$BC8</f>
        <v>2</v>
      </c>
      <c r="BV7" s="275">
        <f>+'Feb24'!$BC8</f>
        <v>1</v>
      </c>
      <c r="BW7" s="275">
        <f>+'Mar24'!$BC8</f>
        <v>1</v>
      </c>
      <c r="BX7" s="275">
        <f>+'Abr24'!$BC8</f>
        <v>2</v>
      </c>
      <c r="BY7" s="275">
        <f>+'May24'!BC8</f>
        <v>3</v>
      </c>
      <c r="BZ7" s="275">
        <f>+'Jun24'!BC8</f>
        <v>3</v>
      </c>
      <c r="CA7" s="275">
        <f>+'Jul24'!BC8</f>
        <v>3</v>
      </c>
      <c r="CB7" s="275">
        <f>+'Ago24'!BB8</f>
        <v>3</v>
      </c>
      <c r="CC7" s="275">
        <f>+'Sep24'!BB8</f>
        <v>3</v>
      </c>
      <c r="CD7" s="275">
        <f>+'Oct24'!BB8</f>
        <v>3</v>
      </c>
      <c r="CE7" s="275">
        <f>+'Nov24'!BB8</f>
        <v>3</v>
      </c>
      <c r="CF7" s="275">
        <f>+'Dic24'!BB8</f>
        <v>3</v>
      </c>
      <c r="CG7" s="272">
        <f>+'Ene25'!BC8</f>
        <v>3</v>
      </c>
      <c r="CH7" s="272">
        <f>+'Feb25'!BC8</f>
        <v>3</v>
      </c>
      <c r="CI7" s="272">
        <f>+'Mar25'!BC8</f>
        <v>3</v>
      </c>
      <c r="CJ7" s="272">
        <f>+'Abr25'!BD8</f>
        <v>3</v>
      </c>
      <c r="CK7" s="272">
        <f>+'May25'!BD8</f>
        <v>3</v>
      </c>
      <c r="CL7" s="272">
        <f>+'Jun25'!BD8</f>
        <v>2</v>
      </c>
      <c r="CM7" s="272">
        <f>+'Jul25'!BD8</f>
        <v>2</v>
      </c>
      <c r="CN7" s="272">
        <f>+'Ago25'!BC8</f>
        <v>2</v>
      </c>
      <c r="CO7" s="272">
        <f>+'Sep25'!BC8</f>
        <v>2</v>
      </c>
      <c r="CP7" s="272">
        <f>+'Oct25'!BC8</f>
        <v>2</v>
      </c>
      <c r="CQ7" s="272">
        <f>+'Nov25'!BC8</f>
        <v>3</v>
      </c>
      <c r="CR7" s="272">
        <f>+'Dic25'!BC8</f>
        <v>3</v>
      </c>
      <c r="CS7" s="703">
        <f>+'Ene26'!BC8</f>
        <v>3</v>
      </c>
      <c r="CT7" s="703">
        <f>+'Feb26'!$BC8</f>
        <v>3</v>
      </c>
      <c r="CU7" s="703">
        <f>+'Mar26'!$BC8</f>
        <v>3</v>
      </c>
      <c r="CV7" s="703">
        <f>+'Abr26'!$BC8</f>
        <v>3</v>
      </c>
      <c r="CW7" s="703">
        <f>+'May26'!$BC8</f>
        <v>3</v>
      </c>
      <c r="CX7" s="703">
        <f>+'Jun26'!$BC8</f>
        <v>3</v>
      </c>
      <c r="CY7" s="703">
        <f>+'Jul26'!$BC8</f>
        <v>3</v>
      </c>
      <c r="CZ7" s="703">
        <f>+'Ago26'!$BC8</f>
        <v>3</v>
      </c>
      <c r="DA7" s="272"/>
      <c r="DB7" s="272"/>
      <c r="DC7" s="272"/>
      <c r="DE7" s="272"/>
      <c r="DF7" s="534">
        <f t="shared" si="1"/>
        <v>103</v>
      </c>
      <c r="DG7" s="532">
        <f>COUNTIFS(B7:DD7,"&gt;=1",B7:DD7,"&lt;=2")</f>
        <v>41</v>
      </c>
      <c r="DH7" s="532">
        <f t="shared" si="5"/>
        <v>40</v>
      </c>
      <c r="DI7" s="532">
        <f t="shared" si="6"/>
        <v>22</v>
      </c>
      <c r="DK7" s="533">
        <f t="shared" si="7"/>
        <v>0.39805825242718446</v>
      </c>
      <c r="DL7" s="533">
        <f t="shared" si="2"/>
        <v>0.38834951456310679</v>
      </c>
      <c r="DM7" s="533">
        <f t="shared" si="3"/>
        <v>0.21359223300970873</v>
      </c>
      <c r="DN7" s="533"/>
      <c r="DO7" s="532">
        <v>2</v>
      </c>
      <c r="DP7" s="271" t="s">
        <v>13</v>
      </c>
      <c r="DQ7" s="533">
        <v>0.13592233009708737</v>
      </c>
      <c r="DR7" s="533">
        <v>0.22330097087378642</v>
      </c>
      <c r="DS7" s="533">
        <v>0.64077669902912626</v>
      </c>
      <c r="DU7" s="532">
        <v>41</v>
      </c>
      <c r="DV7" s="532">
        <v>0</v>
      </c>
      <c r="DW7" s="532">
        <f t="shared" si="8"/>
        <v>-22</v>
      </c>
    </row>
    <row r="8" spans="1:130" ht="17.25" customHeight="1">
      <c r="A8" s="274" t="s">
        <v>77</v>
      </c>
      <c r="B8" s="275">
        <v>2</v>
      </c>
      <c r="C8" s="275">
        <v>2</v>
      </c>
      <c r="D8" s="275">
        <v>1</v>
      </c>
      <c r="E8" s="275">
        <v>2</v>
      </c>
      <c r="F8" s="275">
        <v>2</v>
      </c>
      <c r="G8" s="275">
        <v>3</v>
      </c>
      <c r="H8" s="275">
        <v>3</v>
      </c>
      <c r="I8" s="275">
        <v>2</v>
      </c>
      <c r="J8" s="275">
        <v>2</v>
      </c>
      <c r="K8" s="275">
        <v>3</v>
      </c>
      <c r="L8" s="275">
        <v>2</v>
      </c>
      <c r="M8" s="275">
        <v>1</v>
      </c>
      <c r="N8" s="275">
        <v>2</v>
      </c>
      <c r="O8" s="275">
        <v>3</v>
      </c>
      <c r="P8" s="275">
        <v>3</v>
      </c>
      <c r="Q8" s="275">
        <v>2</v>
      </c>
      <c r="R8" s="275">
        <v>2</v>
      </c>
      <c r="S8" s="275">
        <v>1</v>
      </c>
      <c r="T8" s="275">
        <v>2</v>
      </c>
      <c r="U8" s="275">
        <v>3</v>
      </c>
      <c r="V8" s="275">
        <v>2</v>
      </c>
      <c r="W8" s="275">
        <v>2</v>
      </c>
      <c r="X8" s="275">
        <v>2</v>
      </c>
      <c r="Y8" s="275">
        <v>2</v>
      </c>
      <c r="Z8" s="275">
        <v>2</v>
      </c>
      <c r="AA8" s="275">
        <v>2</v>
      </c>
      <c r="AB8" s="275">
        <v>2</v>
      </c>
      <c r="AC8" s="275">
        <v>2</v>
      </c>
      <c r="AD8" s="275">
        <v>2</v>
      </c>
      <c r="AE8" s="275">
        <v>2</v>
      </c>
      <c r="AF8" s="275">
        <v>2</v>
      </c>
      <c r="AG8" s="275">
        <v>2</v>
      </c>
      <c r="AH8" s="275">
        <v>2</v>
      </c>
      <c r="AI8" s="275">
        <v>2</v>
      </c>
      <c r="AJ8" s="275">
        <v>3</v>
      </c>
      <c r="AK8" s="275">
        <v>2</v>
      </c>
      <c r="AL8" s="275">
        <v>2</v>
      </c>
      <c r="AM8" s="275">
        <v>2</v>
      </c>
      <c r="AN8" s="275">
        <v>4</v>
      </c>
      <c r="AO8" s="275">
        <v>4</v>
      </c>
      <c r="AP8" s="275">
        <v>5</v>
      </c>
      <c r="AQ8" s="275">
        <v>5</v>
      </c>
      <c r="AR8" s="275">
        <v>5</v>
      </c>
      <c r="AS8" s="275">
        <v>5</v>
      </c>
      <c r="AT8" s="275">
        <v>4</v>
      </c>
      <c r="AU8" s="275">
        <v>4</v>
      </c>
      <c r="AV8" s="275">
        <v>4</v>
      </c>
      <c r="AW8" s="275">
        <v>4</v>
      </c>
      <c r="AX8" s="275">
        <v>4</v>
      </c>
      <c r="AY8" s="275">
        <v>4</v>
      </c>
      <c r="AZ8" s="275">
        <v>4</v>
      </c>
      <c r="BA8" s="275">
        <v>4</v>
      </c>
      <c r="BB8" s="275">
        <v>4</v>
      </c>
      <c r="BC8" s="275">
        <v>4</v>
      </c>
      <c r="BD8" s="275">
        <v>4</v>
      </c>
      <c r="BE8" s="275">
        <v>4</v>
      </c>
      <c r="BF8" s="275">
        <v>5</v>
      </c>
      <c r="BG8" s="275">
        <v>4</v>
      </c>
      <c r="BH8" s="275">
        <v>5</v>
      </c>
      <c r="BI8" s="275">
        <v>4</v>
      </c>
      <c r="BJ8" s="275">
        <v>3</v>
      </c>
      <c r="BK8" s="275">
        <v>4</v>
      </c>
      <c r="BL8" s="275">
        <v>4</v>
      </c>
      <c r="BM8" s="275">
        <v>3</v>
      </c>
      <c r="BN8" s="275">
        <v>4</v>
      </c>
      <c r="BO8" s="275">
        <v>4</v>
      </c>
      <c r="BP8" s="275">
        <v>4</v>
      </c>
      <c r="BQ8" s="275">
        <v>4</v>
      </c>
      <c r="BR8" s="275">
        <v>3</v>
      </c>
      <c r="BS8" s="275">
        <f>+'Nov23'!$BC9</f>
        <v>3</v>
      </c>
      <c r="BT8" s="275">
        <f>+'Dic23'!$BC9</f>
        <v>3</v>
      </c>
      <c r="BU8" s="275">
        <f>+'Ene24'!$BC9</f>
        <v>2</v>
      </c>
      <c r="BV8" s="275">
        <f>+'Feb24'!$BC9</f>
        <v>2</v>
      </c>
      <c r="BW8" s="275">
        <f>+'Mar24'!$BC9</f>
        <v>2</v>
      </c>
      <c r="BX8" s="275">
        <f>+'Abr24'!$BC9</f>
        <v>4</v>
      </c>
      <c r="BY8" s="275">
        <f>+'May24'!BC9</f>
        <v>4</v>
      </c>
      <c r="BZ8" s="275">
        <f>+'Jun24'!BC9</f>
        <v>3</v>
      </c>
      <c r="CA8" s="275">
        <f>+'Jul24'!BC9</f>
        <v>3</v>
      </c>
      <c r="CB8" s="275">
        <f>+'Ago24'!BB9</f>
        <v>3</v>
      </c>
      <c r="CC8" s="275">
        <f>+'Sep24'!BB9</f>
        <v>3</v>
      </c>
      <c r="CD8" s="275">
        <f>+'Oct24'!BB9</f>
        <v>3</v>
      </c>
      <c r="CE8" s="275">
        <f>+'Nov24'!BB9</f>
        <v>3</v>
      </c>
      <c r="CF8" s="275">
        <f>+'Dic24'!BB9</f>
        <v>3</v>
      </c>
      <c r="CG8" s="272">
        <f>+'Ene25'!BC9</f>
        <v>3</v>
      </c>
      <c r="CH8" s="272">
        <f>+'Feb25'!BC9</f>
        <v>3</v>
      </c>
      <c r="CI8" s="272">
        <f>+'Mar25'!BC9</f>
        <v>2</v>
      </c>
      <c r="CJ8" s="272">
        <f>+'Abr25'!BD9</f>
        <v>2</v>
      </c>
      <c r="CK8" s="272">
        <f>+'May25'!BD9</f>
        <v>2</v>
      </c>
      <c r="CL8" s="272">
        <f>+'Jun25'!BD9</f>
        <v>2</v>
      </c>
      <c r="CM8" s="272">
        <f>+'Jul25'!BD9</f>
        <v>2</v>
      </c>
      <c r="CN8" s="272">
        <f>+'Ago25'!BC9</f>
        <v>1</v>
      </c>
      <c r="CO8" s="272">
        <f>+'Sep25'!BC9</f>
        <v>1</v>
      </c>
      <c r="CP8" s="272">
        <f>+'Oct25'!BC9</f>
        <v>2</v>
      </c>
      <c r="CQ8" s="272">
        <f>+'Nov25'!BC9</f>
        <v>1</v>
      </c>
      <c r="CR8" s="272">
        <f>+'Dic25'!BC9</f>
        <v>2</v>
      </c>
      <c r="CS8" s="703">
        <f>+'Ene26'!BC9</f>
        <v>2</v>
      </c>
      <c r="CT8" s="703">
        <f>+'Feb26'!$BC9</f>
        <v>2</v>
      </c>
      <c r="CU8" s="703">
        <f>+'Mar26'!$BC9</f>
        <v>2</v>
      </c>
      <c r="CV8" s="703">
        <f>+'Abr26'!$BC9</f>
        <v>2</v>
      </c>
      <c r="CW8" s="703">
        <f>+'May26'!$BC9</f>
        <v>2</v>
      </c>
      <c r="CX8" s="703">
        <f>+'Jun26'!$BC9</f>
        <v>2</v>
      </c>
      <c r="CY8" s="703">
        <f>+'Jul26'!$BC9</f>
        <v>2</v>
      </c>
      <c r="CZ8" s="703">
        <f>+'Ago26'!$BC9</f>
        <v>2</v>
      </c>
      <c r="DA8" s="272"/>
      <c r="DB8" s="272"/>
      <c r="DC8" s="272"/>
      <c r="DE8" s="272"/>
      <c r="DF8" s="534">
        <f t="shared" si="1"/>
        <v>103</v>
      </c>
      <c r="DG8" s="532">
        <f t="shared" ref="DG8:DG23" si="9">COUNTIFS(B8:DD8,"&gt;=1",B8:DD8,"&lt;=2")</f>
        <v>52</v>
      </c>
      <c r="DH8" s="532">
        <f t="shared" si="5"/>
        <v>21</v>
      </c>
      <c r="DI8" s="532">
        <f t="shared" si="6"/>
        <v>30</v>
      </c>
      <c r="DK8" s="533">
        <f t="shared" si="7"/>
        <v>0.50485436893203883</v>
      </c>
      <c r="DL8" s="533">
        <f t="shared" si="2"/>
        <v>0.20388349514563106</v>
      </c>
      <c r="DM8" s="533">
        <f t="shared" si="3"/>
        <v>0.29126213592233008</v>
      </c>
      <c r="DN8" s="533"/>
      <c r="DO8" s="532">
        <v>5</v>
      </c>
      <c r="DP8" s="271" t="s">
        <v>221</v>
      </c>
      <c r="DQ8" s="533">
        <v>0.13592233009708737</v>
      </c>
      <c r="DR8" s="533">
        <v>0.22330097087378642</v>
      </c>
      <c r="DS8" s="533">
        <v>0.64077669902912626</v>
      </c>
      <c r="DU8" s="532">
        <v>45</v>
      </c>
      <c r="DV8" s="532">
        <v>0</v>
      </c>
      <c r="DW8" s="532">
        <f t="shared" si="8"/>
        <v>-30</v>
      </c>
    </row>
    <row r="9" spans="1:130" ht="17.25" customHeight="1">
      <c r="A9" s="274" t="s">
        <v>221</v>
      </c>
      <c r="B9" s="275">
        <v>4</v>
      </c>
      <c r="C9" s="275">
        <v>4</v>
      </c>
      <c r="D9" s="275">
        <v>4</v>
      </c>
      <c r="E9" s="275">
        <v>4</v>
      </c>
      <c r="F9" s="275">
        <v>4</v>
      </c>
      <c r="G9" s="275">
        <v>3</v>
      </c>
      <c r="H9" s="275">
        <v>4</v>
      </c>
      <c r="I9" s="275">
        <v>4</v>
      </c>
      <c r="J9" s="275">
        <v>3</v>
      </c>
      <c r="K9" s="275">
        <v>4</v>
      </c>
      <c r="L9" s="275">
        <v>4</v>
      </c>
      <c r="M9" s="275">
        <v>4</v>
      </c>
      <c r="N9" s="275">
        <v>5</v>
      </c>
      <c r="O9" s="275">
        <v>5</v>
      </c>
      <c r="P9" s="275">
        <v>5</v>
      </c>
      <c r="Q9" s="275">
        <v>5</v>
      </c>
      <c r="R9" s="275">
        <v>5</v>
      </c>
      <c r="S9" s="275">
        <v>4</v>
      </c>
      <c r="T9" s="275">
        <v>4</v>
      </c>
      <c r="U9" s="275">
        <v>4</v>
      </c>
      <c r="V9" s="275">
        <v>4</v>
      </c>
      <c r="W9" s="275">
        <v>4</v>
      </c>
      <c r="X9" s="275">
        <v>3</v>
      </c>
      <c r="Y9" s="275">
        <v>3</v>
      </c>
      <c r="Z9" s="275">
        <v>2</v>
      </c>
      <c r="AA9" s="275">
        <v>2</v>
      </c>
      <c r="AB9" s="275">
        <v>2</v>
      </c>
      <c r="AC9" s="275">
        <v>2</v>
      </c>
      <c r="AD9" s="275">
        <v>2</v>
      </c>
      <c r="AE9" s="275">
        <v>2</v>
      </c>
      <c r="AF9" s="275">
        <v>2</v>
      </c>
      <c r="AG9" s="275">
        <v>2</v>
      </c>
      <c r="AH9" s="275">
        <v>2</v>
      </c>
      <c r="AI9" s="275">
        <v>2</v>
      </c>
      <c r="AJ9" s="275">
        <v>3</v>
      </c>
      <c r="AK9" s="275">
        <v>2</v>
      </c>
      <c r="AL9" s="275">
        <v>2</v>
      </c>
      <c r="AM9" s="275">
        <v>2</v>
      </c>
      <c r="AN9" s="275">
        <v>3</v>
      </c>
      <c r="AO9" s="275">
        <v>3</v>
      </c>
      <c r="AP9" s="275">
        <v>4</v>
      </c>
      <c r="AQ9" s="275">
        <v>3</v>
      </c>
      <c r="AR9" s="275">
        <v>4</v>
      </c>
      <c r="AS9" s="275">
        <v>4</v>
      </c>
      <c r="AT9" s="275">
        <v>5</v>
      </c>
      <c r="AU9" s="275">
        <v>5</v>
      </c>
      <c r="AV9" s="275">
        <v>5</v>
      </c>
      <c r="AW9" s="275">
        <v>5</v>
      </c>
      <c r="AX9" s="275">
        <v>5</v>
      </c>
      <c r="AY9" s="275">
        <v>5</v>
      </c>
      <c r="AZ9" s="275">
        <v>5</v>
      </c>
      <c r="BA9" s="275">
        <v>5</v>
      </c>
      <c r="BB9" s="275">
        <v>5</v>
      </c>
      <c r="BC9" s="275">
        <v>5</v>
      </c>
      <c r="BD9" s="275">
        <v>5</v>
      </c>
      <c r="BE9" s="275">
        <v>5</v>
      </c>
      <c r="BF9" s="275">
        <v>4</v>
      </c>
      <c r="BG9" s="275">
        <v>5</v>
      </c>
      <c r="BH9" s="275">
        <v>4</v>
      </c>
      <c r="BI9" s="275">
        <v>4</v>
      </c>
      <c r="BJ9" s="275">
        <v>4</v>
      </c>
      <c r="BK9" s="275">
        <v>4</v>
      </c>
      <c r="BL9" s="275">
        <v>4</v>
      </c>
      <c r="BM9" s="275">
        <v>4</v>
      </c>
      <c r="BN9" s="275">
        <v>5</v>
      </c>
      <c r="BO9" s="275">
        <v>5</v>
      </c>
      <c r="BP9" s="275">
        <v>5</v>
      </c>
      <c r="BQ9" s="275">
        <v>4</v>
      </c>
      <c r="BR9" s="275">
        <v>4</v>
      </c>
      <c r="BS9" s="275">
        <f>+'Nov23'!$BC10</f>
        <v>4</v>
      </c>
      <c r="BT9" s="275">
        <f>+'Dic23'!$BC10</f>
        <v>5</v>
      </c>
      <c r="BU9" s="275">
        <f>+'Ene24'!$BC10</f>
        <v>3</v>
      </c>
      <c r="BV9" s="275">
        <f>+'Feb24'!$BC10</f>
        <v>3</v>
      </c>
      <c r="BW9" s="275">
        <f>+'Mar24'!$BC10</f>
        <v>4</v>
      </c>
      <c r="BX9" s="275">
        <f>+'Abr24'!$BC10</f>
        <v>4</v>
      </c>
      <c r="BY9" s="275">
        <f>+'May24'!BC10</f>
        <v>5</v>
      </c>
      <c r="BZ9" s="275">
        <f>+'Jun24'!BC10</f>
        <v>4</v>
      </c>
      <c r="CA9" s="275">
        <f>+'Jul24'!BC10</f>
        <v>4</v>
      </c>
      <c r="CB9" s="275">
        <f>+'Ago24'!BB10</f>
        <v>4</v>
      </c>
      <c r="CC9" s="275">
        <f>+'Sep24'!BB10</f>
        <v>4</v>
      </c>
      <c r="CD9" s="275">
        <f>+'Oct24'!BB10</f>
        <v>4</v>
      </c>
      <c r="CE9" s="275">
        <f>+'Nov24'!BB10</f>
        <v>4</v>
      </c>
      <c r="CF9" s="275">
        <f>+'Dic24'!BB10</f>
        <v>4</v>
      </c>
      <c r="CG9" s="272">
        <f>+'Ene25'!BC10</f>
        <v>3</v>
      </c>
      <c r="CH9" s="272">
        <f>+'Feb25'!BC10</f>
        <v>4</v>
      </c>
      <c r="CI9" s="272">
        <f>+'Mar25'!BC10</f>
        <v>4</v>
      </c>
      <c r="CJ9" s="272">
        <f>+'Abr25'!BD10</f>
        <v>4</v>
      </c>
      <c r="CK9" s="272">
        <f>+'May25'!BD10</f>
        <v>4</v>
      </c>
      <c r="CL9" s="272">
        <f>+'Jun25'!BD10</f>
        <v>3</v>
      </c>
      <c r="CM9" s="272">
        <f>+'Jul25'!BD10</f>
        <v>2</v>
      </c>
      <c r="CN9" s="272">
        <f>+'Ago25'!BC10</f>
        <v>3</v>
      </c>
      <c r="CO9" s="272">
        <f>+'Sep25'!BC10</f>
        <v>3</v>
      </c>
      <c r="CP9" s="272">
        <f>+'Oct25'!BC10</f>
        <v>3</v>
      </c>
      <c r="CQ9" s="272">
        <f>+'Nov25'!BC10</f>
        <v>3</v>
      </c>
      <c r="CR9" s="272">
        <f>+'Dic25'!BC10</f>
        <v>3</v>
      </c>
      <c r="CS9" s="703">
        <f>+'Ene26'!BC10</f>
        <v>3</v>
      </c>
      <c r="CT9" s="703">
        <f>+'Feb26'!$BC10</f>
        <v>3</v>
      </c>
      <c r="CU9" s="703">
        <f>+'Mar26'!$BC10</f>
        <v>3</v>
      </c>
      <c r="CV9" s="703">
        <f>+'Abr26'!$BC10</f>
        <v>3</v>
      </c>
      <c r="CW9" s="703">
        <f>+'May26'!$BC10</f>
        <v>3</v>
      </c>
      <c r="CX9" s="703">
        <f>+'Jun26'!$BC10</f>
        <v>3</v>
      </c>
      <c r="CY9" s="703">
        <f>+'Jul26'!$BC10</f>
        <v>4</v>
      </c>
      <c r="CZ9" s="703">
        <f>+'Ago26'!$BC10</f>
        <v>4</v>
      </c>
      <c r="DA9" s="272"/>
      <c r="DB9" s="272"/>
      <c r="DC9" s="272"/>
      <c r="DE9" s="272"/>
      <c r="DF9" s="534">
        <f t="shared" si="1"/>
        <v>103</v>
      </c>
      <c r="DG9" s="532">
        <f t="shared" si="9"/>
        <v>14</v>
      </c>
      <c r="DH9" s="532">
        <f t="shared" si="5"/>
        <v>23</v>
      </c>
      <c r="DI9" s="532">
        <f t="shared" si="6"/>
        <v>66</v>
      </c>
      <c r="DK9" s="533">
        <f t="shared" si="7"/>
        <v>0.13592233009708737</v>
      </c>
      <c r="DL9" s="533">
        <f t="shared" si="2"/>
        <v>0.22330097087378642</v>
      </c>
      <c r="DM9" s="533">
        <f t="shared" si="3"/>
        <v>0.64077669902912626</v>
      </c>
      <c r="DN9" s="533"/>
      <c r="DO9" s="532">
        <v>6</v>
      </c>
      <c r="DP9" s="271" t="s">
        <v>116</v>
      </c>
      <c r="DQ9" s="533">
        <v>0.18446601941747573</v>
      </c>
      <c r="DR9" s="533">
        <v>0.28155339805825241</v>
      </c>
      <c r="DS9" s="533">
        <v>0.53398058252427183</v>
      </c>
      <c r="DU9" s="532">
        <v>14</v>
      </c>
      <c r="DV9" s="532">
        <v>0</v>
      </c>
      <c r="DW9" s="532">
        <f t="shared" si="8"/>
        <v>-66</v>
      </c>
    </row>
    <row r="10" spans="1:130" ht="17.25" customHeight="1">
      <c r="A10" s="274" t="s">
        <v>116</v>
      </c>
      <c r="B10" s="275">
        <v>4</v>
      </c>
      <c r="C10" s="275">
        <v>4</v>
      </c>
      <c r="D10" s="275">
        <v>4</v>
      </c>
      <c r="E10" s="275">
        <v>3</v>
      </c>
      <c r="F10" s="275">
        <v>5</v>
      </c>
      <c r="G10" s="275">
        <v>5</v>
      </c>
      <c r="H10" s="275">
        <v>5</v>
      </c>
      <c r="I10" s="275">
        <v>5</v>
      </c>
      <c r="J10" s="275">
        <v>4</v>
      </c>
      <c r="K10" s="275">
        <v>4</v>
      </c>
      <c r="L10" s="275">
        <v>4</v>
      </c>
      <c r="M10" s="275">
        <v>4</v>
      </c>
      <c r="N10" s="275">
        <v>4</v>
      </c>
      <c r="O10" s="275">
        <v>4</v>
      </c>
      <c r="P10" s="275">
        <v>4</v>
      </c>
      <c r="Q10" s="275">
        <v>4</v>
      </c>
      <c r="R10" s="275">
        <v>4</v>
      </c>
      <c r="S10" s="275">
        <v>4</v>
      </c>
      <c r="T10" s="275">
        <v>5</v>
      </c>
      <c r="U10" s="275">
        <v>4</v>
      </c>
      <c r="V10" s="275">
        <v>4</v>
      </c>
      <c r="W10" s="275">
        <v>4</v>
      </c>
      <c r="X10" s="275">
        <v>4</v>
      </c>
      <c r="Y10" s="275">
        <v>4</v>
      </c>
      <c r="Z10" s="275">
        <v>4</v>
      </c>
      <c r="AA10" s="275">
        <v>3</v>
      </c>
      <c r="AB10" s="275">
        <v>4</v>
      </c>
      <c r="AC10" s="275">
        <v>4</v>
      </c>
      <c r="AD10" s="275">
        <v>3</v>
      </c>
      <c r="AE10" s="275">
        <v>3</v>
      </c>
      <c r="AF10" s="275">
        <v>3</v>
      </c>
      <c r="AG10" s="275">
        <v>3</v>
      </c>
      <c r="AH10" s="275">
        <v>4</v>
      </c>
      <c r="AI10" s="275">
        <v>4</v>
      </c>
      <c r="AJ10" s="275">
        <v>2</v>
      </c>
      <c r="AK10" s="275">
        <v>2</v>
      </c>
      <c r="AL10" s="275">
        <v>2</v>
      </c>
      <c r="AM10" s="275">
        <v>2</v>
      </c>
      <c r="AN10" s="275">
        <v>2</v>
      </c>
      <c r="AO10" s="275">
        <v>2</v>
      </c>
      <c r="AP10" s="275">
        <v>2</v>
      </c>
      <c r="AQ10" s="275">
        <v>2</v>
      </c>
      <c r="AR10" s="275">
        <v>2</v>
      </c>
      <c r="AS10" s="275">
        <v>2</v>
      </c>
      <c r="AT10" s="275">
        <v>1</v>
      </c>
      <c r="AU10" s="275">
        <v>1</v>
      </c>
      <c r="AV10" s="275">
        <v>2</v>
      </c>
      <c r="AW10" s="275">
        <v>2</v>
      </c>
      <c r="AX10" s="275">
        <v>3</v>
      </c>
      <c r="AY10" s="275">
        <v>2</v>
      </c>
      <c r="AZ10" s="275">
        <v>2</v>
      </c>
      <c r="BA10" s="275">
        <v>2</v>
      </c>
      <c r="BB10" s="275">
        <v>3</v>
      </c>
      <c r="BC10" s="275">
        <v>2</v>
      </c>
      <c r="BD10" s="275">
        <v>2</v>
      </c>
      <c r="BE10" s="275">
        <v>3</v>
      </c>
      <c r="BF10" s="275">
        <v>3</v>
      </c>
      <c r="BG10" s="275">
        <v>3</v>
      </c>
      <c r="BH10" s="275">
        <v>3</v>
      </c>
      <c r="BI10" s="275">
        <v>4</v>
      </c>
      <c r="BJ10" s="275">
        <v>4</v>
      </c>
      <c r="BK10" s="275">
        <v>4</v>
      </c>
      <c r="BL10" s="275">
        <v>4</v>
      </c>
      <c r="BM10" s="275">
        <v>4</v>
      </c>
      <c r="BN10" s="275">
        <v>4</v>
      </c>
      <c r="BO10" s="275">
        <v>4</v>
      </c>
      <c r="BP10" s="275">
        <v>4</v>
      </c>
      <c r="BQ10" s="275">
        <v>4</v>
      </c>
      <c r="BR10" s="275">
        <v>4</v>
      </c>
      <c r="BS10" s="275">
        <f>+'Nov23'!$BC11</f>
        <v>4</v>
      </c>
      <c r="BT10" s="275">
        <f>+'Dic23'!$BC11</f>
        <v>4</v>
      </c>
      <c r="BU10" s="275">
        <f>+'Ene24'!$BC11</f>
        <v>3</v>
      </c>
      <c r="BV10" s="275">
        <f>+'Feb24'!$BC11</f>
        <v>3</v>
      </c>
      <c r="BW10" s="275">
        <f>+'Mar24'!$BC11</f>
        <v>4</v>
      </c>
      <c r="BX10" s="275">
        <f>+'Abr24'!$BC11</f>
        <v>4</v>
      </c>
      <c r="BY10" s="275">
        <f>+'May24'!BC11</f>
        <v>4</v>
      </c>
      <c r="BZ10" s="275">
        <f>+'Jun24'!BC11</f>
        <v>4</v>
      </c>
      <c r="CA10" s="275">
        <f>+'Jul24'!BC11</f>
        <v>4</v>
      </c>
      <c r="CB10" s="275">
        <f>+'Ago24'!BB11</f>
        <v>4</v>
      </c>
      <c r="CC10" s="275">
        <f>+'Sep24'!BB11</f>
        <v>4</v>
      </c>
      <c r="CD10" s="275">
        <f>+'Oct24'!BB11</f>
        <v>4</v>
      </c>
      <c r="CE10" s="275">
        <f>+'Nov24'!BB11</f>
        <v>4</v>
      </c>
      <c r="CF10" s="275">
        <f>+'Dic24'!BB11</f>
        <v>4</v>
      </c>
      <c r="CG10" s="272">
        <f>+'Ene25'!BC11</f>
        <v>3</v>
      </c>
      <c r="CH10" s="272">
        <f>+'Feb25'!BC11</f>
        <v>3</v>
      </c>
      <c r="CI10" s="272">
        <f>+'Mar25'!BC11</f>
        <v>3</v>
      </c>
      <c r="CJ10" s="272">
        <f>+'Abr25'!BD11</f>
        <v>3</v>
      </c>
      <c r="CK10" s="272">
        <f>+'May25'!BD11</f>
        <v>3</v>
      </c>
      <c r="CL10" s="272">
        <f>+'Jun25'!BD11</f>
        <v>3</v>
      </c>
      <c r="CM10" s="272">
        <f>+'Jul25'!BD11</f>
        <v>3</v>
      </c>
      <c r="CN10" s="272">
        <f>+'Ago25'!BC11</f>
        <v>3</v>
      </c>
      <c r="CO10" s="272">
        <f>+'Sep25'!BC11</f>
        <v>3</v>
      </c>
      <c r="CP10" s="272">
        <f>+'Oct25'!BC11</f>
        <v>3</v>
      </c>
      <c r="CQ10" s="272">
        <f>+'Nov25'!BC11</f>
        <v>3</v>
      </c>
      <c r="CR10" s="272">
        <f>+'Dic25'!BC11</f>
        <v>3</v>
      </c>
      <c r="CS10" s="703">
        <f>+'Ene26'!BC11</f>
        <v>3</v>
      </c>
      <c r="CT10" s="703">
        <f>+'Feb26'!$BC11</f>
        <v>4</v>
      </c>
      <c r="CU10" s="703">
        <f>+'Mar26'!$BC11</f>
        <v>4</v>
      </c>
      <c r="CV10" s="703">
        <f>+'Abr26'!$BC11</f>
        <v>4</v>
      </c>
      <c r="CW10" s="703">
        <f>+'May26'!$BC11</f>
        <v>4</v>
      </c>
      <c r="CX10" s="703">
        <f>+'Jun26'!$BC11</f>
        <v>4</v>
      </c>
      <c r="CY10" s="703">
        <f>+'Jul26'!$BC11</f>
        <v>3</v>
      </c>
      <c r="CZ10" s="703">
        <f>+'Ago26'!$BC11</f>
        <v>3</v>
      </c>
      <c r="DA10" s="272"/>
      <c r="DB10" s="272"/>
      <c r="DC10" s="272"/>
      <c r="DE10" s="272"/>
      <c r="DF10" s="534">
        <f t="shared" si="1"/>
        <v>103</v>
      </c>
      <c r="DG10" s="532">
        <f t="shared" si="9"/>
        <v>19</v>
      </c>
      <c r="DH10" s="532">
        <f t="shared" si="5"/>
        <v>29</v>
      </c>
      <c r="DI10" s="532">
        <f t="shared" si="6"/>
        <v>55</v>
      </c>
      <c r="DK10" s="533">
        <f t="shared" si="7"/>
        <v>0.18446601941747573</v>
      </c>
      <c r="DL10" s="533">
        <f t="shared" si="2"/>
        <v>0.28155339805825241</v>
      </c>
      <c r="DM10" s="533">
        <f t="shared" si="3"/>
        <v>0.53398058252427183</v>
      </c>
      <c r="DN10" s="533"/>
      <c r="DO10" s="532">
        <v>13</v>
      </c>
      <c r="DP10" s="271" t="s">
        <v>222</v>
      </c>
      <c r="DQ10" s="533">
        <v>0.25242718446601942</v>
      </c>
      <c r="DR10" s="533">
        <v>0.23300970873786409</v>
      </c>
      <c r="DS10" s="533">
        <v>0.5145631067961165</v>
      </c>
      <c r="DU10" s="532">
        <v>19</v>
      </c>
      <c r="DV10" s="532">
        <v>0</v>
      </c>
      <c r="DW10" s="532">
        <f t="shared" si="8"/>
        <v>-55</v>
      </c>
    </row>
    <row r="11" spans="1:130" ht="17.25" customHeight="1">
      <c r="A11" s="274" t="s">
        <v>216</v>
      </c>
      <c r="B11" s="275">
        <v>1</v>
      </c>
      <c r="C11" s="275">
        <v>3</v>
      </c>
      <c r="D11" s="275">
        <v>3</v>
      </c>
      <c r="E11" s="275">
        <v>4</v>
      </c>
      <c r="F11" s="275">
        <v>4</v>
      </c>
      <c r="G11" s="275">
        <v>2</v>
      </c>
      <c r="H11" s="275">
        <v>2</v>
      </c>
      <c r="I11" s="275">
        <v>2</v>
      </c>
      <c r="J11" s="275">
        <v>1</v>
      </c>
      <c r="K11" s="275">
        <v>1</v>
      </c>
      <c r="L11" s="275">
        <v>3</v>
      </c>
      <c r="M11" s="275">
        <v>1</v>
      </c>
      <c r="N11" s="275">
        <v>1</v>
      </c>
      <c r="O11" s="275">
        <v>2</v>
      </c>
      <c r="P11" s="275">
        <v>3</v>
      </c>
      <c r="Q11" s="275">
        <v>2</v>
      </c>
      <c r="R11" s="275">
        <v>2</v>
      </c>
      <c r="S11" s="275">
        <v>2</v>
      </c>
      <c r="T11" s="275">
        <v>2</v>
      </c>
      <c r="U11" s="275">
        <v>2</v>
      </c>
      <c r="V11" s="275">
        <v>2</v>
      </c>
      <c r="W11" s="275">
        <v>2</v>
      </c>
      <c r="X11" s="275">
        <v>2</v>
      </c>
      <c r="Y11" s="275">
        <v>2</v>
      </c>
      <c r="Z11" s="275">
        <v>2</v>
      </c>
      <c r="AA11" s="275">
        <v>2</v>
      </c>
      <c r="AB11" s="275">
        <v>2</v>
      </c>
      <c r="AC11" s="275">
        <v>2</v>
      </c>
      <c r="AD11" s="275">
        <v>2</v>
      </c>
      <c r="AE11" s="275">
        <v>2</v>
      </c>
      <c r="AF11" s="275">
        <v>2</v>
      </c>
      <c r="AG11" s="275">
        <v>2</v>
      </c>
      <c r="AH11" s="275">
        <v>3</v>
      </c>
      <c r="AI11" s="275">
        <v>3</v>
      </c>
      <c r="AJ11" s="275">
        <v>3</v>
      </c>
      <c r="AK11" s="275">
        <v>2</v>
      </c>
      <c r="AL11" s="275">
        <v>2</v>
      </c>
      <c r="AM11" s="275">
        <v>2</v>
      </c>
      <c r="AN11" s="275">
        <v>2</v>
      </c>
      <c r="AO11" s="275">
        <v>2</v>
      </c>
      <c r="AP11" s="275">
        <v>2</v>
      </c>
      <c r="AQ11" s="275">
        <v>3</v>
      </c>
      <c r="AR11" s="275">
        <v>3</v>
      </c>
      <c r="AS11" s="275">
        <v>2</v>
      </c>
      <c r="AT11" s="275">
        <v>2</v>
      </c>
      <c r="AU11" s="275">
        <v>2</v>
      </c>
      <c r="AV11" s="275">
        <v>3</v>
      </c>
      <c r="AW11" s="275">
        <v>3</v>
      </c>
      <c r="AX11" s="275">
        <v>3</v>
      </c>
      <c r="AY11" s="275">
        <v>3</v>
      </c>
      <c r="AZ11" s="275">
        <v>3</v>
      </c>
      <c r="BA11" s="275">
        <v>3</v>
      </c>
      <c r="BB11" s="275">
        <v>2</v>
      </c>
      <c r="BC11" s="275">
        <v>3</v>
      </c>
      <c r="BD11" s="275">
        <v>3</v>
      </c>
      <c r="BE11" s="275">
        <v>3</v>
      </c>
      <c r="BF11" s="275">
        <v>3</v>
      </c>
      <c r="BG11" s="275">
        <v>3</v>
      </c>
      <c r="BH11" s="275">
        <v>4</v>
      </c>
      <c r="BI11" s="275">
        <v>4</v>
      </c>
      <c r="BJ11" s="275">
        <v>5</v>
      </c>
      <c r="BK11" s="275">
        <v>5</v>
      </c>
      <c r="BL11" s="275">
        <v>5</v>
      </c>
      <c r="BM11" s="275">
        <v>5</v>
      </c>
      <c r="BN11" s="275">
        <v>5</v>
      </c>
      <c r="BO11" s="275">
        <v>5</v>
      </c>
      <c r="BP11" s="275">
        <v>5</v>
      </c>
      <c r="BQ11" s="275">
        <v>5</v>
      </c>
      <c r="BR11" s="275">
        <v>5</v>
      </c>
      <c r="BS11" s="275">
        <f>+'Nov23'!$BC12</f>
        <v>5</v>
      </c>
      <c r="BT11" s="275">
        <f>+'Dic23'!$BC12</f>
        <v>5</v>
      </c>
      <c r="BU11" s="275">
        <f>+'Ene24'!$BC12</f>
        <v>5</v>
      </c>
      <c r="BV11" s="275">
        <f>+'Feb24'!$BC12</f>
        <v>5</v>
      </c>
      <c r="BW11" s="275">
        <f>+'Mar24'!$BC12</f>
        <v>5</v>
      </c>
      <c r="BX11" s="275">
        <f>+'Abr24'!$BC12</f>
        <v>5</v>
      </c>
      <c r="BY11" s="275">
        <f>+'May24'!BC12</f>
        <v>4</v>
      </c>
      <c r="BZ11" s="275">
        <f>+'Jun24'!BC12</f>
        <v>4</v>
      </c>
      <c r="CA11" s="275">
        <f>+'Jul24'!BC12</f>
        <v>4</v>
      </c>
      <c r="CB11" s="275">
        <f>+'Ago24'!BB12</f>
        <v>4</v>
      </c>
      <c r="CC11" s="275">
        <f>+'Sep24'!BB12</f>
        <v>4</v>
      </c>
      <c r="CD11" s="275">
        <f>+'Oct24'!BB12</f>
        <v>4</v>
      </c>
      <c r="CE11" s="275">
        <f>+'Nov24'!BB12</f>
        <v>4</v>
      </c>
      <c r="CF11" s="275">
        <f>+'Dic24'!BB12</f>
        <v>4</v>
      </c>
      <c r="CG11" s="272">
        <f>+'Ene25'!BC12</f>
        <v>3</v>
      </c>
      <c r="CH11" s="272">
        <f>+'Feb25'!BC12</f>
        <v>3</v>
      </c>
      <c r="CI11" s="272">
        <f>+'Mar25'!BC12</f>
        <v>3</v>
      </c>
      <c r="CJ11" s="272">
        <f>+'Abr25'!BD12</f>
        <v>3</v>
      </c>
      <c r="CK11" s="272">
        <f>+'May25'!BD12</f>
        <v>3</v>
      </c>
      <c r="CL11" s="272">
        <f>+'Jun25'!BD12</f>
        <v>3</v>
      </c>
      <c r="CM11" s="272">
        <f>+'Jul25'!BD12</f>
        <v>2</v>
      </c>
      <c r="CN11" s="272">
        <f>+'Ago25'!BC12</f>
        <v>2</v>
      </c>
      <c r="CO11" s="272">
        <f>+'Sep25'!BC12</f>
        <v>1</v>
      </c>
      <c r="CP11" s="272">
        <f>+'Oct25'!BC12</f>
        <v>2</v>
      </c>
      <c r="CQ11" s="272">
        <f>+'Nov25'!BC12</f>
        <v>2</v>
      </c>
      <c r="CR11" s="272">
        <f>+'Dic25'!BC12</f>
        <v>2</v>
      </c>
      <c r="CS11" s="703">
        <f>+'Ene26'!BC12</f>
        <v>1</v>
      </c>
      <c r="CT11" s="703">
        <f>+'Feb26'!$BC12</f>
        <v>2</v>
      </c>
      <c r="CU11" s="703">
        <f>+'Mar26'!$BC12</f>
        <v>2</v>
      </c>
      <c r="CV11" s="703">
        <f>+'Abr26'!$BC12</f>
        <v>1</v>
      </c>
      <c r="CW11" s="703">
        <f>+'May26'!$BC12</f>
        <v>1</v>
      </c>
      <c r="CX11" s="703">
        <f>+'Jun26'!$BC12</f>
        <v>1</v>
      </c>
      <c r="CY11" s="703">
        <f>+'Jul26'!$BC12</f>
        <v>1</v>
      </c>
      <c r="CZ11" s="703">
        <f>+'Ago26'!$BC12</f>
        <v>1</v>
      </c>
      <c r="DA11" s="272"/>
      <c r="DB11" s="272"/>
      <c r="DC11" s="272"/>
      <c r="DE11" s="272"/>
      <c r="DF11" s="534">
        <f t="shared" si="1"/>
        <v>103</v>
      </c>
      <c r="DG11" s="532">
        <f t="shared" si="9"/>
        <v>50</v>
      </c>
      <c r="DH11" s="532">
        <f t="shared" si="5"/>
        <v>26</v>
      </c>
      <c r="DI11" s="532">
        <f t="shared" si="6"/>
        <v>27</v>
      </c>
      <c r="DK11" s="533">
        <f t="shared" si="7"/>
        <v>0.4854368932038835</v>
      </c>
      <c r="DL11" s="533">
        <f t="shared" si="2"/>
        <v>0.25242718446601942</v>
      </c>
      <c r="DM11" s="533">
        <f t="shared" si="3"/>
        <v>0.26213592233009708</v>
      </c>
      <c r="DN11" s="533"/>
      <c r="DO11" s="532">
        <v>14</v>
      </c>
      <c r="DP11" s="271" t="s">
        <v>66</v>
      </c>
      <c r="DQ11" s="533">
        <v>0.13592233009708737</v>
      </c>
      <c r="DR11" s="533">
        <v>0.34951456310679613</v>
      </c>
      <c r="DS11" s="533">
        <v>0.5145631067961165</v>
      </c>
      <c r="DU11" s="532">
        <v>43</v>
      </c>
      <c r="DV11" s="532">
        <v>0</v>
      </c>
      <c r="DW11" s="532">
        <f t="shared" si="8"/>
        <v>-27</v>
      </c>
    </row>
    <row r="12" spans="1:130" ht="17.25" customHeight="1">
      <c r="A12" s="274" t="s">
        <v>217</v>
      </c>
      <c r="B12" s="275">
        <v>4</v>
      </c>
      <c r="C12" s="275">
        <v>4</v>
      </c>
      <c r="D12" s="275">
        <v>4</v>
      </c>
      <c r="E12" s="275">
        <v>4</v>
      </c>
      <c r="F12" s="275">
        <v>4</v>
      </c>
      <c r="G12" s="275">
        <v>3</v>
      </c>
      <c r="H12" s="275">
        <v>3</v>
      </c>
      <c r="I12" s="275">
        <v>4</v>
      </c>
      <c r="J12" s="275">
        <v>3</v>
      </c>
      <c r="K12" s="275">
        <v>3</v>
      </c>
      <c r="L12" s="275">
        <v>4</v>
      </c>
      <c r="M12" s="275">
        <v>4</v>
      </c>
      <c r="N12" s="275">
        <v>4</v>
      </c>
      <c r="O12" s="275">
        <v>3</v>
      </c>
      <c r="P12" s="275">
        <v>2</v>
      </c>
      <c r="Q12" s="275">
        <v>2</v>
      </c>
      <c r="R12" s="275">
        <v>3</v>
      </c>
      <c r="S12" s="275">
        <v>3</v>
      </c>
      <c r="T12" s="275">
        <v>3</v>
      </c>
      <c r="U12" s="275">
        <v>2</v>
      </c>
      <c r="V12" s="275">
        <v>1</v>
      </c>
      <c r="W12" s="275">
        <v>2</v>
      </c>
      <c r="X12" s="275">
        <v>2</v>
      </c>
      <c r="Y12" s="275">
        <v>3</v>
      </c>
      <c r="Z12" s="275">
        <v>2</v>
      </c>
      <c r="AA12" s="275">
        <v>2</v>
      </c>
      <c r="AB12" s="275">
        <v>1</v>
      </c>
      <c r="AC12" s="275">
        <v>1</v>
      </c>
      <c r="AD12" s="275">
        <v>1</v>
      </c>
      <c r="AE12" s="275">
        <v>2</v>
      </c>
      <c r="AF12" s="275">
        <v>2</v>
      </c>
      <c r="AG12" s="275">
        <v>3</v>
      </c>
      <c r="AH12" s="275">
        <v>3</v>
      </c>
      <c r="AI12" s="275">
        <v>3</v>
      </c>
      <c r="AJ12" s="275">
        <v>4</v>
      </c>
      <c r="AK12" s="275">
        <v>4</v>
      </c>
      <c r="AL12" s="275">
        <v>4</v>
      </c>
      <c r="AM12" s="275">
        <v>4</v>
      </c>
      <c r="AN12" s="275">
        <v>5</v>
      </c>
      <c r="AO12" s="275">
        <v>4</v>
      </c>
      <c r="AP12" s="275">
        <v>5</v>
      </c>
      <c r="AQ12" s="275">
        <v>4</v>
      </c>
      <c r="AR12" s="275">
        <v>4</v>
      </c>
      <c r="AS12" s="275">
        <v>4</v>
      </c>
      <c r="AT12" s="275">
        <v>4</v>
      </c>
      <c r="AU12" s="275">
        <v>5</v>
      </c>
      <c r="AV12" s="275">
        <v>5</v>
      </c>
      <c r="AW12" s="275">
        <v>3</v>
      </c>
      <c r="AX12" s="275">
        <v>3</v>
      </c>
      <c r="AY12" s="275">
        <v>4</v>
      </c>
      <c r="AZ12" s="275">
        <v>5</v>
      </c>
      <c r="BA12" s="275">
        <v>4</v>
      </c>
      <c r="BB12" s="275">
        <v>4</v>
      </c>
      <c r="BC12" s="275">
        <v>4</v>
      </c>
      <c r="BD12" s="275">
        <v>2</v>
      </c>
      <c r="BE12" s="275">
        <v>2</v>
      </c>
      <c r="BF12" s="275">
        <v>3</v>
      </c>
      <c r="BG12" s="275">
        <v>3</v>
      </c>
      <c r="BH12" s="275">
        <v>3</v>
      </c>
      <c r="BI12" s="275">
        <v>3</v>
      </c>
      <c r="BJ12" s="275">
        <v>3</v>
      </c>
      <c r="BK12" s="275">
        <v>3</v>
      </c>
      <c r="BL12" s="275">
        <v>3</v>
      </c>
      <c r="BM12" s="275">
        <v>3</v>
      </c>
      <c r="BN12" s="275">
        <v>3</v>
      </c>
      <c r="BO12" s="275">
        <v>3</v>
      </c>
      <c r="BP12" s="275">
        <v>3</v>
      </c>
      <c r="BQ12" s="275">
        <v>3</v>
      </c>
      <c r="BR12" s="275">
        <v>3</v>
      </c>
      <c r="BS12" s="275">
        <f>+'Nov23'!$BC13</f>
        <v>3</v>
      </c>
      <c r="BT12" s="275">
        <f>+'Dic23'!$BC13</f>
        <v>3</v>
      </c>
      <c r="BU12" s="275">
        <f>+'Ene24'!$BC13</f>
        <v>3</v>
      </c>
      <c r="BV12" s="275">
        <f>+'Feb24'!$BC13</f>
        <v>3</v>
      </c>
      <c r="BW12" s="275">
        <f>+'Mar24'!$BC13</f>
        <v>3</v>
      </c>
      <c r="BX12" s="275">
        <f>+'Abr24'!$BC13</f>
        <v>3</v>
      </c>
      <c r="BY12" s="275">
        <f>+'May24'!BC13</f>
        <v>2</v>
      </c>
      <c r="BZ12" s="275">
        <f>+'Jun24'!BC13</f>
        <v>2</v>
      </c>
      <c r="CA12" s="275">
        <f>+'Jul24'!BC13</f>
        <v>3</v>
      </c>
      <c r="CB12" s="275">
        <f>+'Ago24'!BB13</f>
        <v>3</v>
      </c>
      <c r="CC12" s="275">
        <f>+'Sep24'!BB13</f>
        <v>3</v>
      </c>
      <c r="CD12" s="275">
        <f>+'Oct24'!BB13</f>
        <v>3</v>
      </c>
      <c r="CE12" s="275">
        <f>+'Nov24'!BB13</f>
        <v>3</v>
      </c>
      <c r="CF12" s="275">
        <f>+'Dic24'!BB13</f>
        <v>3</v>
      </c>
      <c r="CG12" s="272">
        <f>+'Ene25'!BC13</f>
        <v>3</v>
      </c>
      <c r="CH12" s="272">
        <f>+'Feb25'!BC13</f>
        <v>4</v>
      </c>
      <c r="CI12" s="272">
        <f>+'Mar25'!BC13</f>
        <v>3</v>
      </c>
      <c r="CJ12" s="272">
        <f>+'Abr25'!BD13</f>
        <v>3</v>
      </c>
      <c r="CK12" s="272">
        <f>+'May25'!BD13</f>
        <v>3</v>
      </c>
      <c r="CL12" s="272">
        <f>+'Jun25'!BD13</f>
        <v>5</v>
      </c>
      <c r="CM12" s="272">
        <f>+'Jul25'!BD13</f>
        <v>4</v>
      </c>
      <c r="CN12" s="272">
        <f>+'Ago25'!BC13</f>
        <v>5</v>
      </c>
      <c r="CO12" s="272">
        <f>+'Sep25'!BC13</f>
        <v>4</v>
      </c>
      <c r="CP12" s="272">
        <f>+'Oct25'!BC13</f>
        <v>4</v>
      </c>
      <c r="CQ12" s="272">
        <f>+'Nov25'!BC13</f>
        <v>4</v>
      </c>
      <c r="CR12" s="272">
        <f>+'Dic25'!BC13</f>
        <v>4</v>
      </c>
      <c r="CS12" s="703">
        <f>+'Ene26'!BC13</f>
        <v>4</v>
      </c>
      <c r="CT12" s="703">
        <f>+'Feb26'!$BC13</f>
        <v>4</v>
      </c>
      <c r="CU12" s="703">
        <f>+'Mar26'!$BC13</f>
        <v>4</v>
      </c>
      <c r="CV12" s="703">
        <f>+'Abr26'!$BC13</f>
        <v>4</v>
      </c>
      <c r="CW12" s="703">
        <f>+'May26'!$BC13</f>
        <v>4</v>
      </c>
      <c r="CX12" s="703">
        <f>+'Jun26'!$BC13</f>
        <v>4</v>
      </c>
      <c r="CY12" s="703">
        <f>+'Jul26'!$BC13</f>
        <v>4</v>
      </c>
      <c r="CZ12" s="703">
        <f>+'Ago26'!$BC13</f>
        <v>4</v>
      </c>
      <c r="DA12" s="272"/>
      <c r="DB12" s="272"/>
      <c r="DC12" s="272"/>
      <c r="DE12" s="272"/>
      <c r="DF12" s="534">
        <f t="shared" si="1"/>
        <v>103</v>
      </c>
      <c r="DG12" s="532">
        <f t="shared" si="9"/>
        <v>17</v>
      </c>
      <c r="DH12" s="532">
        <f t="shared" si="5"/>
        <v>43</v>
      </c>
      <c r="DI12" s="532">
        <f t="shared" si="6"/>
        <v>43</v>
      </c>
      <c r="DK12" s="533">
        <f t="shared" si="7"/>
        <v>0.1650485436893204</v>
      </c>
      <c r="DL12" s="533">
        <f t="shared" si="2"/>
        <v>0.41747572815533979</v>
      </c>
      <c r="DM12" s="533">
        <f t="shared" si="3"/>
        <v>0.41747572815533979</v>
      </c>
      <c r="DN12" s="533"/>
      <c r="DO12" s="532">
        <v>15</v>
      </c>
      <c r="DP12" s="271" t="s">
        <v>218</v>
      </c>
      <c r="DQ12" s="533">
        <v>0.14000000000000001</v>
      </c>
      <c r="DR12" s="533">
        <v>0.37</v>
      </c>
      <c r="DS12" s="533">
        <v>0.49</v>
      </c>
      <c r="DU12" s="532">
        <v>17</v>
      </c>
      <c r="DV12" s="532">
        <v>0</v>
      </c>
      <c r="DW12" s="532">
        <f t="shared" si="8"/>
        <v>-43</v>
      </c>
    </row>
    <row r="13" spans="1:130" ht="17.25" customHeight="1">
      <c r="A13" s="274" t="s">
        <v>65</v>
      </c>
      <c r="B13" s="275">
        <v>4</v>
      </c>
      <c r="C13" s="275">
        <v>4</v>
      </c>
      <c r="D13" s="275">
        <v>4</v>
      </c>
      <c r="E13" s="275">
        <v>5</v>
      </c>
      <c r="F13" s="275">
        <v>5</v>
      </c>
      <c r="G13" s="275">
        <v>5</v>
      </c>
      <c r="H13" s="275">
        <v>5</v>
      </c>
      <c r="I13" s="275">
        <v>5</v>
      </c>
      <c r="J13" s="275">
        <v>5</v>
      </c>
      <c r="K13" s="275">
        <v>5</v>
      </c>
      <c r="L13" s="275">
        <v>2</v>
      </c>
      <c r="M13" s="275">
        <v>2</v>
      </c>
      <c r="N13" s="275">
        <v>3</v>
      </c>
      <c r="O13" s="275">
        <v>2</v>
      </c>
      <c r="P13" s="275">
        <v>2</v>
      </c>
      <c r="Q13" s="275">
        <v>2</v>
      </c>
      <c r="R13" s="275">
        <v>2</v>
      </c>
      <c r="S13" s="275">
        <v>1</v>
      </c>
      <c r="T13" s="275">
        <v>2</v>
      </c>
      <c r="U13" s="275">
        <v>2</v>
      </c>
      <c r="V13" s="275">
        <v>2</v>
      </c>
      <c r="W13" s="275">
        <v>2</v>
      </c>
      <c r="X13" s="275">
        <v>3</v>
      </c>
      <c r="Y13" s="275">
        <v>4</v>
      </c>
      <c r="Z13" s="275">
        <v>3</v>
      </c>
      <c r="AA13" s="275">
        <v>3</v>
      </c>
      <c r="AB13" s="275">
        <v>4</v>
      </c>
      <c r="AC13" s="275">
        <v>4</v>
      </c>
      <c r="AD13" s="275">
        <v>4</v>
      </c>
      <c r="AE13" s="275">
        <v>4</v>
      </c>
      <c r="AF13" s="275">
        <v>5</v>
      </c>
      <c r="AG13" s="275">
        <v>5</v>
      </c>
      <c r="AH13" s="275">
        <v>5</v>
      </c>
      <c r="AI13" s="275">
        <v>5</v>
      </c>
      <c r="AJ13" s="275">
        <v>5</v>
      </c>
      <c r="AK13" s="275">
        <v>5</v>
      </c>
      <c r="AL13" s="275">
        <v>5</v>
      </c>
      <c r="AM13" s="275">
        <v>3</v>
      </c>
      <c r="AN13" s="275">
        <v>3</v>
      </c>
      <c r="AO13" s="275">
        <v>3</v>
      </c>
      <c r="AP13" s="275">
        <v>3</v>
      </c>
      <c r="AQ13" s="275">
        <v>3</v>
      </c>
      <c r="AR13" s="275">
        <v>3</v>
      </c>
      <c r="AS13" s="275">
        <v>4</v>
      </c>
      <c r="AT13" s="275">
        <v>4</v>
      </c>
      <c r="AU13" s="275">
        <v>4</v>
      </c>
      <c r="AV13" s="275">
        <v>4</v>
      </c>
      <c r="AW13" s="275">
        <v>4</v>
      </c>
      <c r="AX13" s="275">
        <v>4</v>
      </c>
      <c r="AY13" s="275">
        <v>4</v>
      </c>
      <c r="AZ13" s="275">
        <v>3</v>
      </c>
      <c r="BA13" s="275">
        <v>3</v>
      </c>
      <c r="BB13" s="275">
        <v>3</v>
      </c>
      <c r="BC13" s="275">
        <v>4</v>
      </c>
      <c r="BD13" s="275">
        <v>4</v>
      </c>
      <c r="BE13" s="275">
        <v>4</v>
      </c>
      <c r="BF13" s="275">
        <v>4</v>
      </c>
      <c r="BG13" s="275">
        <v>4</v>
      </c>
      <c r="BH13" s="275">
        <v>4</v>
      </c>
      <c r="BI13" s="275">
        <v>5</v>
      </c>
      <c r="BJ13" s="275">
        <v>5</v>
      </c>
      <c r="BK13" s="275">
        <v>5</v>
      </c>
      <c r="BL13" s="275">
        <v>5</v>
      </c>
      <c r="BM13" s="275">
        <v>5</v>
      </c>
      <c r="BN13" s="275">
        <v>5</v>
      </c>
      <c r="BO13" s="275">
        <v>5</v>
      </c>
      <c r="BP13" s="275">
        <v>5</v>
      </c>
      <c r="BQ13" s="275">
        <v>5</v>
      </c>
      <c r="BR13" s="275">
        <v>5</v>
      </c>
      <c r="BS13" s="275">
        <f>+'Nov23'!$BC14</f>
        <v>5</v>
      </c>
      <c r="BT13" s="275">
        <f>+'Dic23'!$BC14</f>
        <v>5</v>
      </c>
      <c r="BU13" s="275">
        <f>+'Ene24'!$BC14</f>
        <v>5</v>
      </c>
      <c r="BV13" s="275">
        <f>+'Feb24'!$BC14</f>
        <v>4</v>
      </c>
      <c r="BW13" s="275">
        <f>+'Mar24'!$BC14</f>
        <v>4</v>
      </c>
      <c r="BX13" s="275">
        <f>+'Abr24'!$BC14</f>
        <v>4</v>
      </c>
      <c r="BY13" s="275">
        <f>+'May24'!BC14</f>
        <v>4</v>
      </c>
      <c r="BZ13" s="275">
        <f>+'Jun24'!BC14</f>
        <v>4</v>
      </c>
      <c r="CA13" s="275">
        <f>+'Jul24'!BC14</f>
        <v>4</v>
      </c>
      <c r="CB13" s="275">
        <f>+'Ago24'!BB14</f>
        <v>4</v>
      </c>
      <c r="CC13" s="275">
        <f>+'Sep24'!BB14</f>
        <v>4</v>
      </c>
      <c r="CD13" s="275">
        <f>+'Oct24'!BB14</f>
        <v>4</v>
      </c>
      <c r="CE13" s="275">
        <f>+'Nov24'!BB14</f>
        <v>4</v>
      </c>
      <c r="CF13" s="275">
        <f>+'Dic24'!BB14</f>
        <v>4</v>
      </c>
      <c r="CG13" s="272">
        <f>+'Ene25'!BC14</f>
        <v>3</v>
      </c>
      <c r="CH13" s="272">
        <f>+'Feb25'!BC14</f>
        <v>3</v>
      </c>
      <c r="CI13" s="272">
        <f>+'Mar25'!BC14</f>
        <v>3</v>
      </c>
      <c r="CJ13" s="272">
        <f>+'Abr25'!BD14</f>
        <v>3</v>
      </c>
      <c r="CK13" s="272">
        <f>+'May25'!BD14</f>
        <v>3</v>
      </c>
      <c r="CL13" s="272">
        <f>+'Jun25'!BD14</f>
        <v>3</v>
      </c>
      <c r="CM13" s="272">
        <f>+'Jul25'!BD14</f>
        <v>3</v>
      </c>
      <c r="CN13" s="272">
        <f>+'Ago25'!BC14</f>
        <v>3</v>
      </c>
      <c r="CO13" s="272">
        <f>+'Sep25'!BC14</f>
        <v>3</v>
      </c>
      <c r="CP13" s="272">
        <f>+'Oct25'!BC14</f>
        <v>3</v>
      </c>
      <c r="CQ13" s="272">
        <f>+'Nov25'!BC14</f>
        <v>3</v>
      </c>
      <c r="CR13" s="272">
        <f>+'Dic25'!BC14</f>
        <v>3</v>
      </c>
      <c r="CS13" s="703">
        <f>+'Ene26'!BC14</f>
        <v>4</v>
      </c>
      <c r="CT13" s="703">
        <f>+'Feb26'!$BC14</f>
        <v>4</v>
      </c>
      <c r="CU13" s="703">
        <f>+'Mar26'!$BC14</f>
        <v>4</v>
      </c>
      <c r="CV13" s="703">
        <f>+'Abr26'!$BC14</f>
        <v>4</v>
      </c>
      <c r="CW13" s="703">
        <f>+'May26'!$BC14</f>
        <v>4</v>
      </c>
      <c r="CX13" s="703">
        <f>+'Jun26'!$BC14</f>
        <v>4</v>
      </c>
      <c r="CY13" s="703">
        <f>+'Jul26'!$BC14</f>
        <v>4</v>
      </c>
      <c r="CZ13" s="703">
        <f>+'Ago26'!$BC14</f>
        <v>4</v>
      </c>
      <c r="DA13" s="272"/>
      <c r="DB13" s="272"/>
      <c r="DC13" s="272"/>
      <c r="DE13" s="272"/>
      <c r="DF13" s="534">
        <f t="shared" si="1"/>
        <v>103</v>
      </c>
      <c r="DG13" s="532">
        <f t="shared" si="9"/>
        <v>11</v>
      </c>
      <c r="DH13" s="532">
        <f t="shared" si="5"/>
        <v>25</v>
      </c>
      <c r="DI13" s="532">
        <f t="shared" si="6"/>
        <v>67</v>
      </c>
      <c r="DK13" s="533">
        <f t="shared" si="7"/>
        <v>0.10679611650485436</v>
      </c>
      <c r="DL13" s="533">
        <f t="shared" si="2"/>
        <v>0.24271844660194175</v>
      </c>
      <c r="DM13" s="533">
        <f t="shared" si="3"/>
        <v>0.65048543689320393</v>
      </c>
      <c r="DN13" s="533"/>
      <c r="DO13" s="532">
        <v>19</v>
      </c>
      <c r="DP13" s="271" t="s">
        <v>39</v>
      </c>
      <c r="DQ13" s="533">
        <v>0.32038834951456313</v>
      </c>
      <c r="DR13" s="533">
        <v>0.1941747572815534</v>
      </c>
      <c r="DS13" s="533">
        <v>0.4854368932038835</v>
      </c>
      <c r="DU13" s="532">
        <v>11</v>
      </c>
      <c r="DV13" s="532">
        <v>0</v>
      </c>
      <c r="DW13" s="532">
        <f t="shared" si="8"/>
        <v>-67</v>
      </c>
      <c r="DY13" s="271">
        <v>1</v>
      </c>
      <c r="DZ13" s="918">
        <f>DZ23/DY22</f>
        <v>0.1</v>
      </c>
    </row>
    <row r="14" spans="1:130" ht="17.25" customHeight="1">
      <c r="A14" s="274" t="s">
        <v>68</v>
      </c>
      <c r="B14" s="275">
        <v>4</v>
      </c>
      <c r="C14" s="275">
        <v>4</v>
      </c>
      <c r="D14" s="275">
        <v>4</v>
      </c>
      <c r="E14" s="275">
        <v>2</v>
      </c>
      <c r="F14" s="275">
        <v>3</v>
      </c>
      <c r="G14" s="275">
        <v>2</v>
      </c>
      <c r="H14" s="275">
        <v>2</v>
      </c>
      <c r="I14" s="275">
        <v>3</v>
      </c>
      <c r="J14" s="275">
        <v>1</v>
      </c>
      <c r="K14" s="275">
        <v>1</v>
      </c>
      <c r="L14" s="275">
        <v>3</v>
      </c>
      <c r="M14" s="275">
        <v>2</v>
      </c>
      <c r="N14" s="275">
        <v>3</v>
      </c>
      <c r="O14" s="275">
        <v>1</v>
      </c>
      <c r="P14" s="275">
        <v>2</v>
      </c>
      <c r="Q14" s="275">
        <v>2</v>
      </c>
      <c r="R14" s="275">
        <v>2</v>
      </c>
      <c r="S14" s="275">
        <v>2</v>
      </c>
      <c r="T14" s="275">
        <v>3</v>
      </c>
      <c r="U14" s="275">
        <v>3</v>
      </c>
      <c r="V14" s="275">
        <v>3</v>
      </c>
      <c r="W14" s="275">
        <v>2</v>
      </c>
      <c r="X14" s="275">
        <v>3</v>
      </c>
      <c r="Y14" s="275">
        <v>3</v>
      </c>
      <c r="Z14" s="275">
        <v>2</v>
      </c>
      <c r="AA14" s="275">
        <v>3</v>
      </c>
      <c r="AB14" s="275">
        <v>2</v>
      </c>
      <c r="AC14" s="275">
        <v>2</v>
      </c>
      <c r="AD14" s="275">
        <v>2</v>
      </c>
      <c r="AE14" s="275">
        <v>2</v>
      </c>
      <c r="AF14" s="275">
        <v>2</v>
      </c>
      <c r="AG14" s="275">
        <v>2</v>
      </c>
      <c r="AH14" s="275">
        <v>3</v>
      </c>
      <c r="AI14" s="275">
        <v>3</v>
      </c>
      <c r="AJ14" s="275">
        <v>3</v>
      </c>
      <c r="AK14" s="275">
        <v>3</v>
      </c>
      <c r="AL14" s="275">
        <v>3</v>
      </c>
      <c r="AM14" s="275">
        <v>3</v>
      </c>
      <c r="AN14" s="275">
        <v>3</v>
      </c>
      <c r="AO14" s="275">
        <v>3</v>
      </c>
      <c r="AP14" s="275">
        <v>3</v>
      </c>
      <c r="AQ14" s="275">
        <v>3</v>
      </c>
      <c r="AR14" s="275">
        <v>4</v>
      </c>
      <c r="AS14" s="275">
        <v>3</v>
      </c>
      <c r="AT14" s="275">
        <v>2</v>
      </c>
      <c r="AU14" s="275">
        <v>2</v>
      </c>
      <c r="AV14" s="275">
        <v>3</v>
      </c>
      <c r="AW14" s="275">
        <v>4</v>
      </c>
      <c r="AX14" s="275">
        <v>4</v>
      </c>
      <c r="AY14" s="275">
        <v>4</v>
      </c>
      <c r="AZ14" s="275">
        <v>4</v>
      </c>
      <c r="BA14" s="275">
        <v>4</v>
      </c>
      <c r="BB14" s="275">
        <v>3</v>
      </c>
      <c r="BC14" s="275">
        <v>3</v>
      </c>
      <c r="BD14" s="275">
        <v>3</v>
      </c>
      <c r="BE14" s="275">
        <v>3</v>
      </c>
      <c r="BF14" s="275">
        <v>3</v>
      </c>
      <c r="BG14" s="275">
        <v>3</v>
      </c>
      <c r="BH14" s="275">
        <v>3</v>
      </c>
      <c r="BI14" s="275">
        <v>4</v>
      </c>
      <c r="BJ14" s="275">
        <v>4</v>
      </c>
      <c r="BK14" s="275">
        <v>4</v>
      </c>
      <c r="BL14" s="275">
        <v>4</v>
      </c>
      <c r="BM14" s="275">
        <v>4</v>
      </c>
      <c r="BN14" s="275">
        <v>4</v>
      </c>
      <c r="BO14" s="275">
        <v>4</v>
      </c>
      <c r="BP14" s="275">
        <v>4</v>
      </c>
      <c r="BQ14" s="275">
        <v>4</v>
      </c>
      <c r="BR14" s="275">
        <v>4</v>
      </c>
      <c r="BS14" s="275">
        <f>+'Nov23'!$BC15</f>
        <v>4</v>
      </c>
      <c r="BT14" s="275">
        <f>+'Dic23'!$BC15</f>
        <v>4</v>
      </c>
      <c r="BU14" s="275">
        <f>+'Ene24'!$BC15</f>
        <v>4</v>
      </c>
      <c r="BV14" s="275">
        <f>+'Feb24'!$BC15</f>
        <v>3</v>
      </c>
      <c r="BW14" s="275">
        <f>+'Mar24'!$BC15</f>
        <v>3</v>
      </c>
      <c r="BX14" s="275">
        <f>+'Abr24'!$BC15</f>
        <v>3</v>
      </c>
      <c r="BY14" s="275">
        <f>+'May24'!BC15</f>
        <v>4</v>
      </c>
      <c r="BZ14" s="275">
        <f>+'Jun24'!BC15</f>
        <v>4</v>
      </c>
      <c r="CA14" s="275">
        <f>+'Jul24'!BC15</f>
        <v>5</v>
      </c>
      <c r="CB14" s="275">
        <f>+'Ago24'!BB15</f>
        <v>5</v>
      </c>
      <c r="CC14" s="275">
        <f>+'Sep24'!BB15</f>
        <v>5</v>
      </c>
      <c r="CD14" s="275">
        <f>+'Oct24'!BB15</f>
        <v>5</v>
      </c>
      <c r="CE14" s="275">
        <f>+'Nov24'!BB15</f>
        <v>5</v>
      </c>
      <c r="CF14" s="275">
        <f>+'Dic24'!BB15</f>
        <v>5</v>
      </c>
      <c r="CG14" s="272">
        <f>+'Ene25'!BC15</f>
        <v>5</v>
      </c>
      <c r="CH14" s="272">
        <f>+'Feb25'!BC15</f>
        <v>5</v>
      </c>
      <c r="CI14" s="272">
        <f>+'Mar25'!BC15</f>
        <v>4</v>
      </c>
      <c r="CJ14" s="272">
        <f>+'Abr25'!BD15</f>
        <v>4</v>
      </c>
      <c r="CK14" s="272">
        <f>+'May25'!BD15</f>
        <v>4</v>
      </c>
      <c r="CL14" s="272">
        <f>+'Jun25'!BD15</f>
        <v>4</v>
      </c>
      <c r="CM14" s="272">
        <f>+'Jul25'!BD15</f>
        <v>4</v>
      </c>
      <c r="CN14" s="272">
        <f>+'Ago25'!BC15</f>
        <v>3</v>
      </c>
      <c r="CO14" s="272">
        <f>+'Sep25'!BC15</f>
        <v>3</v>
      </c>
      <c r="CP14" s="272">
        <f>+'Oct25'!BC15</f>
        <v>3</v>
      </c>
      <c r="CQ14" s="272">
        <f>+'Nov25'!BC15</f>
        <v>3</v>
      </c>
      <c r="CR14" s="272">
        <f>+'Dic25'!BC15</f>
        <v>3</v>
      </c>
      <c r="CS14" s="703">
        <f>+'Ene26'!BC15</f>
        <v>3</v>
      </c>
      <c r="CT14" s="703">
        <f>+'Feb26'!$BC15</f>
        <v>4</v>
      </c>
      <c r="CU14" s="703">
        <f>+'Mar26'!$BC15</f>
        <v>4</v>
      </c>
      <c r="CV14" s="703">
        <f>+'Abr26'!$BC15</f>
        <v>4</v>
      </c>
      <c r="CW14" s="703">
        <f>+'May26'!$BC15</f>
        <v>4</v>
      </c>
      <c r="CX14" s="703">
        <f>+'Jun26'!$BC15</f>
        <v>4</v>
      </c>
      <c r="CY14" s="703">
        <f>+'Jul26'!$BC15</f>
        <v>4</v>
      </c>
      <c r="CZ14" s="703">
        <f>+'Ago26'!$BC15</f>
        <v>4</v>
      </c>
      <c r="DA14" s="272"/>
      <c r="DB14" s="272"/>
      <c r="DC14" s="272"/>
      <c r="DE14" s="272"/>
      <c r="DF14" s="534">
        <f t="shared" si="1"/>
        <v>103</v>
      </c>
      <c r="DG14" s="532">
        <f t="shared" si="9"/>
        <v>21</v>
      </c>
      <c r="DH14" s="532">
        <f t="shared" si="5"/>
        <v>38</v>
      </c>
      <c r="DI14" s="532">
        <f t="shared" si="6"/>
        <v>44</v>
      </c>
      <c r="DK14" s="533">
        <f t="shared" si="7"/>
        <v>0.20388349514563106</v>
      </c>
      <c r="DL14" s="533">
        <f t="shared" si="2"/>
        <v>0.36893203883495146</v>
      </c>
      <c r="DM14" s="533">
        <f t="shared" si="3"/>
        <v>0.42718446601941745</v>
      </c>
      <c r="DN14" s="533"/>
      <c r="DO14" s="532">
        <v>10</v>
      </c>
      <c r="DP14" s="271" t="s">
        <v>68</v>
      </c>
      <c r="DQ14" s="535">
        <v>0.20388349514563106</v>
      </c>
      <c r="DR14" s="533">
        <v>0.36893203883495146</v>
      </c>
      <c r="DS14" s="533">
        <v>0.42718446601941745</v>
      </c>
      <c r="DU14" s="532">
        <v>21</v>
      </c>
      <c r="DV14" s="532">
        <v>0</v>
      </c>
      <c r="DW14" s="532">
        <f t="shared" si="8"/>
        <v>-44</v>
      </c>
      <c r="DY14" s="271">
        <v>2</v>
      </c>
      <c r="DZ14" s="918">
        <f>DZ13</f>
        <v>0.1</v>
      </c>
    </row>
    <row r="15" spans="1:130" ht="17.25" customHeight="1">
      <c r="A15" s="274" t="s">
        <v>25</v>
      </c>
      <c r="B15" s="275">
        <v>1</v>
      </c>
      <c r="C15" s="275">
        <v>1</v>
      </c>
      <c r="D15" s="275">
        <v>1</v>
      </c>
      <c r="E15" s="275">
        <v>1</v>
      </c>
      <c r="F15" s="275">
        <v>2</v>
      </c>
      <c r="G15" s="275">
        <v>1</v>
      </c>
      <c r="H15" s="275">
        <v>2</v>
      </c>
      <c r="I15" s="275">
        <v>3</v>
      </c>
      <c r="J15" s="275">
        <v>3</v>
      </c>
      <c r="K15" s="275">
        <v>3</v>
      </c>
      <c r="L15" s="275">
        <v>3</v>
      </c>
      <c r="M15" s="275">
        <v>2</v>
      </c>
      <c r="N15" s="275">
        <v>2</v>
      </c>
      <c r="O15" s="275">
        <v>2</v>
      </c>
      <c r="P15" s="275">
        <v>3</v>
      </c>
      <c r="Q15" s="275">
        <v>3</v>
      </c>
      <c r="R15" s="275">
        <v>3</v>
      </c>
      <c r="S15" s="275">
        <v>2</v>
      </c>
      <c r="T15" s="275">
        <v>2</v>
      </c>
      <c r="U15" s="275">
        <v>3</v>
      </c>
      <c r="V15" s="275">
        <v>3</v>
      </c>
      <c r="W15" s="275">
        <v>2</v>
      </c>
      <c r="X15" s="275">
        <v>3</v>
      </c>
      <c r="Y15" s="275">
        <v>3</v>
      </c>
      <c r="Z15" s="275">
        <v>3</v>
      </c>
      <c r="AA15" s="275">
        <v>2</v>
      </c>
      <c r="AB15" s="275">
        <v>2</v>
      </c>
      <c r="AC15" s="275">
        <v>1</v>
      </c>
      <c r="AD15" s="275">
        <v>1</v>
      </c>
      <c r="AE15" s="275">
        <v>1</v>
      </c>
      <c r="AF15" s="275">
        <v>1</v>
      </c>
      <c r="AG15" s="275">
        <v>1</v>
      </c>
      <c r="AH15" s="275">
        <v>2</v>
      </c>
      <c r="AI15" s="275">
        <v>2</v>
      </c>
      <c r="AJ15" s="275">
        <v>2</v>
      </c>
      <c r="AK15" s="275">
        <v>2</v>
      </c>
      <c r="AL15" s="275">
        <v>2</v>
      </c>
      <c r="AM15" s="275">
        <v>2</v>
      </c>
      <c r="AN15" s="275">
        <v>2</v>
      </c>
      <c r="AO15" s="275">
        <v>2</v>
      </c>
      <c r="AP15" s="275">
        <v>2</v>
      </c>
      <c r="AQ15" s="275">
        <v>3</v>
      </c>
      <c r="AR15" s="275">
        <v>3</v>
      </c>
      <c r="AS15" s="275">
        <v>4</v>
      </c>
      <c r="AT15" s="275">
        <v>4</v>
      </c>
      <c r="AU15" s="275">
        <v>4</v>
      </c>
      <c r="AV15" s="275">
        <v>4</v>
      </c>
      <c r="AW15" s="275">
        <v>4</v>
      </c>
      <c r="AX15" s="275">
        <v>4</v>
      </c>
      <c r="AY15" s="275">
        <v>5</v>
      </c>
      <c r="AZ15" s="275">
        <v>5</v>
      </c>
      <c r="BA15" s="275">
        <v>5</v>
      </c>
      <c r="BB15" s="275">
        <v>5</v>
      </c>
      <c r="BC15" s="275">
        <v>5</v>
      </c>
      <c r="BD15" s="275">
        <v>5</v>
      </c>
      <c r="BE15" s="275">
        <v>4</v>
      </c>
      <c r="BF15" s="275">
        <v>4</v>
      </c>
      <c r="BG15" s="275">
        <v>4</v>
      </c>
      <c r="BH15" s="275">
        <v>4</v>
      </c>
      <c r="BI15" s="275">
        <v>4</v>
      </c>
      <c r="BJ15" s="275">
        <v>4</v>
      </c>
      <c r="BK15" s="275">
        <v>4</v>
      </c>
      <c r="BL15" s="275">
        <v>4</v>
      </c>
      <c r="BM15" s="275">
        <v>3</v>
      </c>
      <c r="BN15" s="275">
        <v>3</v>
      </c>
      <c r="BO15" s="275">
        <v>3</v>
      </c>
      <c r="BP15" s="275">
        <v>3</v>
      </c>
      <c r="BQ15" s="275">
        <v>3</v>
      </c>
      <c r="BR15" s="275">
        <v>2</v>
      </c>
      <c r="BS15" s="275">
        <f>+'Nov23'!$BC16</f>
        <v>2</v>
      </c>
      <c r="BT15" s="275">
        <f>+'Dic23'!$BC16</f>
        <v>2</v>
      </c>
      <c r="BU15" s="275">
        <f>+'Ene24'!$BC16</f>
        <v>2</v>
      </c>
      <c r="BV15" s="275">
        <f>+'Feb24'!$BC16</f>
        <v>2</v>
      </c>
      <c r="BW15" s="275">
        <f>+'Mar24'!$BC16</f>
        <v>2</v>
      </c>
      <c r="BX15" s="275">
        <f>+'Abr24'!$BC16</f>
        <v>2</v>
      </c>
      <c r="BY15" s="275">
        <f>+'May24'!BC16</f>
        <v>3</v>
      </c>
      <c r="BZ15" s="275">
        <f>+'Jun24'!BC16</f>
        <v>3</v>
      </c>
      <c r="CA15" s="275">
        <f>+'Jul24'!BC16</f>
        <v>4</v>
      </c>
      <c r="CB15" s="275">
        <f>+'Ago24'!BB16</f>
        <v>4</v>
      </c>
      <c r="CC15" s="275">
        <f>+'Sep24'!BB16</f>
        <v>4</v>
      </c>
      <c r="CD15" s="275">
        <f>+'Oct24'!BB16</f>
        <v>4</v>
      </c>
      <c r="CE15" s="275">
        <f>+'Nov24'!BB16</f>
        <v>4</v>
      </c>
      <c r="CF15" s="275">
        <f>+'Dic24'!BB16</f>
        <v>4</v>
      </c>
      <c r="CG15" s="272">
        <f>+'Ene25'!BC16</f>
        <v>2</v>
      </c>
      <c r="CH15" s="272">
        <f>+'Feb25'!BC16</f>
        <v>2</v>
      </c>
      <c r="CI15" s="272">
        <f>+'Mar25'!BC16</f>
        <v>3</v>
      </c>
      <c r="CJ15" s="272">
        <f>+'Abr25'!BD16</f>
        <v>3</v>
      </c>
      <c r="CK15" s="272">
        <f>+'May25'!BD16</f>
        <v>3</v>
      </c>
      <c r="CL15" s="272">
        <f>+'Jun25'!BD16</f>
        <v>3</v>
      </c>
      <c r="CM15" s="272">
        <f>+'Jul25'!BD16</f>
        <v>3</v>
      </c>
      <c r="CN15" s="272">
        <f>+'Ago25'!BC16</f>
        <v>3</v>
      </c>
      <c r="CO15" s="272">
        <f>+'Sep25'!BC16</f>
        <v>3</v>
      </c>
      <c r="CP15" s="272">
        <f>+'Oct25'!BC16</f>
        <v>3</v>
      </c>
      <c r="CQ15" s="272">
        <f>+'Nov25'!BC16</f>
        <v>3</v>
      </c>
      <c r="CR15" s="272">
        <f>+'Dic25'!BC16</f>
        <v>3</v>
      </c>
      <c r="CS15" s="703">
        <f>+'Ene26'!BC16</f>
        <v>4</v>
      </c>
      <c r="CT15" s="703">
        <f>+'Feb26'!$BC16</f>
        <v>4</v>
      </c>
      <c r="CU15" s="703">
        <f>+'Mar26'!$BC16</f>
        <v>4</v>
      </c>
      <c r="CV15" s="703">
        <f>+'Abr26'!$BC16</f>
        <v>4</v>
      </c>
      <c r="CW15" s="703">
        <f>+'May26'!$BC16</f>
        <v>4</v>
      </c>
      <c r="CX15" s="703">
        <f>+'Jun26'!$BC16</f>
        <v>3</v>
      </c>
      <c r="CY15" s="703">
        <f>+'Jul26'!$BC16</f>
        <v>4</v>
      </c>
      <c r="CZ15" s="703">
        <f>+'Ago26'!$BC16</f>
        <v>4</v>
      </c>
      <c r="DA15" s="272"/>
      <c r="DB15" s="272"/>
      <c r="DC15" s="272"/>
      <c r="DE15" s="272"/>
      <c r="DF15" s="534">
        <f t="shared" si="1"/>
        <v>103</v>
      </c>
      <c r="DG15" s="532">
        <f t="shared" si="9"/>
        <v>38</v>
      </c>
      <c r="DH15" s="532">
        <f t="shared" si="5"/>
        <v>32</v>
      </c>
      <c r="DI15" s="532">
        <f t="shared" si="6"/>
        <v>33</v>
      </c>
      <c r="DK15" s="533">
        <f t="shared" si="7"/>
        <v>0.36893203883495146</v>
      </c>
      <c r="DL15" s="533">
        <f t="shared" si="2"/>
        <v>0.31067961165048541</v>
      </c>
      <c r="DM15" s="533">
        <f t="shared" si="3"/>
        <v>0.32038834951456313</v>
      </c>
      <c r="DN15" s="533"/>
      <c r="DO15" s="532">
        <v>1</v>
      </c>
      <c r="DP15" s="271" t="s">
        <v>28</v>
      </c>
      <c r="DQ15" s="533">
        <v>0.1941747572815534</v>
      </c>
      <c r="DR15" s="533">
        <v>0.38834951456310679</v>
      </c>
      <c r="DS15" s="533">
        <v>0.41747572815533979</v>
      </c>
      <c r="DU15" s="532">
        <v>38</v>
      </c>
      <c r="DV15" s="532">
        <v>0</v>
      </c>
      <c r="DW15" s="532">
        <f t="shared" si="8"/>
        <v>-33</v>
      </c>
      <c r="DY15" s="271">
        <v>3</v>
      </c>
      <c r="DZ15" s="918">
        <f t="shared" ref="DZ15:DZ22" si="10">DZ14</f>
        <v>0.1</v>
      </c>
    </row>
    <row r="16" spans="1:130" ht="17.25" customHeight="1">
      <c r="A16" s="274" t="s">
        <v>76</v>
      </c>
      <c r="B16" s="275">
        <v>3</v>
      </c>
      <c r="C16" s="275">
        <v>3</v>
      </c>
      <c r="D16" s="275">
        <v>3</v>
      </c>
      <c r="E16" s="275">
        <v>3</v>
      </c>
      <c r="F16" s="275">
        <v>3</v>
      </c>
      <c r="G16" s="275">
        <v>3</v>
      </c>
      <c r="H16" s="275">
        <v>2</v>
      </c>
      <c r="I16" s="275">
        <v>2</v>
      </c>
      <c r="J16" s="275">
        <v>2</v>
      </c>
      <c r="K16" s="275">
        <v>2</v>
      </c>
      <c r="L16" s="275">
        <v>2</v>
      </c>
      <c r="M16" s="275">
        <v>2</v>
      </c>
      <c r="N16" s="275">
        <v>3</v>
      </c>
      <c r="O16" s="275">
        <v>3</v>
      </c>
      <c r="P16" s="275">
        <v>3</v>
      </c>
      <c r="Q16" s="275">
        <v>3</v>
      </c>
      <c r="R16" s="275">
        <v>3</v>
      </c>
      <c r="S16" s="275">
        <v>3</v>
      </c>
      <c r="T16" s="275">
        <v>3</v>
      </c>
      <c r="U16" s="275">
        <v>3</v>
      </c>
      <c r="V16" s="275">
        <v>4</v>
      </c>
      <c r="W16" s="275">
        <v>4</v>
      </c>
      <c r="X16" s="275">
        <v>3</v>
      </c>
      <c r="Y16" s="275">
        <v>3</v>
      </c>
      <c r="Z16" s="275">
        <v>3</v>
      </c>
      <c r="AA16" s="275">
        <v>3</v>
      </c>
      <c r="AB16" s="275">
        <v>3</v>
      </c>
      <c r="AC16" s="275">
        <v>3</v>
      </c>
      <c r="AD16" s="275">
        <v>3</v>
      </c>
      <c r="AE16" s="275">
        <v>2</v>
      </c>
      <c r="AF16" s="275">
        <v>2</v>
      </c>
      <c r="AG16" s="275">
        <v>1</v>
      </c>
      <c r="AH16" s="275">
        <v>1</v>
      </c>
      <c r="AI16" s="275">
        <v>1</v>
      </c>
      <c r="AJ16" s="275">
        <v>1</v>
      </c>
      <c r="AK16" s="275">
        <v>1</v>
      </c>
      <c r="AL16" s="275">
        <v>1</v>
      </c>
      <c r="AM16" s="275">
        <v>1</v>
      </c>
      <c r="AN16" s="275">
        <v>1</v>
      </c>
      <c r="AO16" s="275">
        <v>1</v>
      </c>
      <c r="AP16" s="275">
        <v>1</v>
      </c>
      <c r="AQ16" s="275">
        <v>1</v>
      </c>
      <c r="AR16" s="275">
        <v>2</v>
      </c>
      <c r="AS16" s="275">
        <v>2</v>
      </c>
      <c r="AT16" s="275">
        <v>2</v>
      </c>
      <c r="AU16" s="275">
        <v>3</v>
      </c>
      <c r="AV16" s="275">
        <v>3</v>
      </c>
      <c r="AW16" s="275">
        <v>4</v>
      </c>
      <c r="AX16" s="275">
        <v>4</v>
      </c>
      <c r="AY16" s="275">
        <v>4</v>
      </c>
      <c r="AZ16" s="275">
        <v>5</v>
      </c>
      <c r="BA16" s="275">
        <v>4</v>
      </c>
      <c r="BB16" s="275">
        <v>3</v>
      </c>
      <c r="BC16" s="275">
        <v>3</v>
      </c>
      <c r="BD16" s="275">
        <v>3</v>
      </c>
      <c r="BE16" s="275">
        <v>4</v>
      </c>
      <c r="BF16" s="275">
        <v>3</v>
      </c>
      <c r="BG16" s="275">
        <v>4</v>
      </c>
      <c r="BH16" s="275">
        <v>4</v>
      </c>
      <c r="BI16" s="275">
        <v>4</v>
      </c>
      <c r="BJ16" s="275">
        <v>4</v>
      </c>
      <c r="BK16" s="275">
        <v>3</v>
      </c>
      <c r="BL16" s="275">
        <v>3</v>
      </c>
      <c r="BM16" s="275">
        <v>3</v>
      </c>
      <c r="BN16" s="275">
        <v>5</v>
      </c>
      <c r="BO16" s="275">
        <v>5</v>
      </c>
      <c r="BP16" s="275">
        <v>5</v>
      </c>
      <c r="BQ16" s="275">
        <v>5</v>
      </c>
      <c r="BR16" s="275">
        <v>5</v>
      </c>
      <c r="BS16" s="275">
        <f>+'Nov23'!$BC17</f>
        <v>5</v>
      </c>
      <c r="BT16" s="275">
        <f>+'Dic23'!$BC17</f>
        <v>5</v>
      </c>
      <c r="BU16" s="275">
        <f>+'Ene24'!$BC17</f>
        <v>5</v>
      </c>
      <c r="BV16" s="275">
        <f>+'Feb24'!$BC17</f>
        <v>5</v>
      </c>
      <c r="BW16" s="275">
        <f>+'Mar24'!$BC17</f>
        <v>5</v>
      </c>
      <c r="BX16" s="275">
        <f>+'Abr24'!$BC17</f>
        <v>5</v>
      </c>
      <c r="BY16" s="275">
        <f>+'May24'!BC17</f>
        <v>5</v>
      </c>
      <c r="BZ16" s="275">
        <f>+'Jun24'!BC17</f>
        <v>5</v>
      </c>
      <c r="CA16" s="275">
        <f>+'Jul24'!BC17</f>
        <v>5</v>
      </c>
      <c r="CB16" s="275">
        <f>+'Ago24'!BB17</f>
        <v>5</v>
      </c>
      <c r="CC16" s="275">
        <f>+'Sep24'!BB17</f>
        <v>5</v>
      </c>
      <c r="CD16" s="275">
        <f>+'Oct24'!BB17</f>
        <v>5</v>
      </c>
      <c r="CE16" s="275">
        <f>+'Nov24'!BB17</f>
        <v>5</v>
      </c>
      <c r="CF16" s="275">
        <f>+'Dic24'!BB17</f>
        <v>5</v>
      </c>
      <c r="CG16" s="272">
        <f>+'Ene25'!BC17</f>
        <v>3</v>
      </c>
      <c r="CH16" s="272">
        <f>+'Feb25'!BC17</f>
        <v>3</v>
      </c>
      <c r="CI16" s="272">
        <f>+'Mar25'!BC17</f>
        <v>3</v>
      </c>
      <c r="CJ16" s="272">
        <f>+'Abr25'!BD17</f>
        <v>3</v>
      </c>
      <c r="CK16" s="272">
        <f>+'May25'!BD17</f>
        <v>3</v>
      </c>
      <c r="CL16" s="272">
        <f>+'Jun25'!BD17</f>
        <v>3</v>
      </c>
      <c r="CM16" s="272">
        <f>+'Jul25'!BD17</f>
        <v>3</v>
      </c>
      <c r="CN16" s="272">
        <f>+'Ago25'!BC17</f>
        <v>3</v>
      </c>
      <c r="CO16" s="272">
        <f>+'Sep25'!BC17</f>
        <v>3</v>
      </c>
      <c r="CP16" s="272">
        <f>+'Oct25'!BC17</f>
        <v>2</v>
      </c>
      <c r="CQ16" s="272">
        <f>+'Nov25'!BC17</f>
        <v>2</v>
      </c>
      <c r="CR16" s="272">
        <f>+'Dic25'!BC17</f>
        <v>2</v>
      </c>
      <c r="CS16" s="703">
        <f>+'Ene26'!BC17</f>
        <v>2</v>
      </c>
      <c r="CT16" s="703">
        <f>+'Feb26'!$BC17</f>
        <v>2</v>
      </c>
      <c r="CU16" s="703">
        <f>+'Mar26'!$BC17</f>
        <v>2</v>
      </c>
      <c r="CV16" s="703">
        <f>+'Abr26'!$BC17</f>
        <v>2</v>
      </c>
      <c r="CW16" s="703">
        <f>+'May26'!$BC17</f>
        <v>2</v>
      </c>
      <c r="CX16" s="703">
        <f>+'Jun26'!$BC17</f>
        <v>2</v>
      </c>
      <c r="CY16" s="703">
        <f>+'Jul26'!$BC17</f>
        <v>2</v>
      </c>
      <c r="CZ16" s="703">
        <f>+'Ago26'!$BC17</f>
        <v>2</v>
      </c>
      <c r="DA16" s="272"/>
      <c r="DB16" s="272"/>
      <c r="DC16" s="272"/>
      <c r="DE16" s="272"/>
      <c r="DF16" s="534">
        <f t="shared" si="1"/>
        <v>103</v>
      </c>
      <c r="DG16" s="532">
        <f t="shared" si="9"/>
        <v>33</v>
      </c>
      <c r="DH16" s="532">
        <f t="shared" si="5"/>
        <v>39</v>
      </c>
      <c r="DI16" s="532">
        <f t="shared" si="6"/>
        <v>31</v>
      </c>
      <c r="DK16" s="533">
        <f t="shared" si="7"/>
        <v>0.32038834951456313</v>
      </c>
      <c r="DL16" s="533">
        <f t="shared" si="2"/>
        <v>0.37864077669902912</v>
      </c>
      <c r="DM16" s="533">
        <f t="shared" si="3"/>
        <v>0.30097087378640774</v>
      </c>
      <c r="DN16" s="533"/>
      <c r="DO16" s="532">
        <v>8</v>
      </c>
      <c r="DP16" s="271" t="s">
        <v>217</v>
      </c>
      <c r="DQ16" s="533">
        <v>0.1650485436893204</v>
      </c>
      <c r="DR16" s="533">
        <v>0.41747572815533979</v>
      </c>
      <c r="DS16" s="533">
        <v>0.41747572815533979</v>
      </c>
      <c r="DU16" s="532">
        <v>26</v>
      </c>
      <c r="DV16" s="532">
        <v>0</v>
      </c>
      <c r="DW16" s="532">
        <f t="shared" si="8"/>
        <v>-31</v>
      </c>
      <c r="DY16" s="271">
        <v>4</v>
      </c>
      <c r="DZ16" s="918">
        <f t="shared" si="10"/>
        <v>0.1</v>
      </c>
    </row>
    <row r="17" spans="1:130" ht="17.25" customHeight="1">
      <c r="A17" s="274" t="s">
        <v>222</v>
      </c>
      <c r="B17" s="275">
        <v>4</v>
      </c>
      <c r="C17" s="275">
        <v>4</v>
      </c>
      <c r="D17" s="275">
        <v>4</v>
      </c>
      <c r="E17" s="275">
        <v>4</v>
      </c>
      <c r="F17" s="275">
        <v>4</v>
      </c>
      <c r="G17" s="275">
        <v>4</v>
      </c>
      <c r="H17" s="275">
        <v>4</v>
      </c>
      <c r="I17" s="275">
        <v>3</v>
      </c>
      <c r="J17" s="275">
        <v>5</v>
      </c>
      <c r="K17" s="275">
        <v>5</v>
      </c>
      <c r="L17" s="275">
        <v>5</v>
      </c>
      <c r="M17" s="275">
        <v>5</v>
      </c>
      <c r="N17" s="275">
        <v>5</v>
      </c>
      <c r="O17" s="275">
        <v>3</v>
      </c>
      <c r="P17" s="275">
        <v>3</v>
      </c>
      <c r="Q17" s="275">
        <v>4</v>
      </c>
      <c r="R17" s="275">
        <v>3</v>
      </c>
      <c r="S17" s="275">
        <v>2</v>
      </c>
      <c r="T17" s="275">
        <v>2</v>
      </c>
      <c r="U17" s="275">
        <v>2</v>
      </c>
      <c r="V17" s="275">
        <v>2</v>
      </c>
      <c r="W17" s="275">
        <v>3</v>
      </c>
      <c r="X17" s="275">
        <v>3</v>
      </c>
      <c r="Y17" s="275">
        <v>3</v>
      </c>
      <c r="Z17" s="275">
        <v>3</v>
      </c>
      <c r="AA17" s="275">
        <v>4</v>
      </c>
      <c r="AB17" s="275">
        <v>5</v>
      </c>
      <c r="AC17" s="275">
        <v>5</v>
      </c>
      <c r="AD17" s="275">
        <v>5</v>
      </c>
      <c r="AE17" s="275">
        <v>5</v>
      </c>
      <c r="AF17" s="275">
        <v>5</v>
      </c>
      <c r="AG17" s="275">
        <v>5</v>
      </c>
      <c r="AH17" s="275">
        <v>5</v>
      </c>
      <c r="AI17" s="275">
        <v>4</v>
      </c>
      <c r="AJ17" s="275">
        <v>4</v>
      </c>
      <c r="AK17" s="275">
        <v>4</v>
      </c>
      <c r="AL17" s="275">
        <v>4</v>
      </c>
      <c r="AM17" s="275">
        <v>4</v>
      </c>
      <c r="AN17" s="275">
        <v>3</v>
      </c>
      <c r="AO17" s="275">
        <v>3</v>
      </c>
      <c r="AP17" s="275">
        <v>3</v>
      </c>
      <c r="AQ17" s="275">
        <v>4</v>
      </c>
      <c r="AR17" s="275">
        <v>4</v>
      </c>
      <c r="AS17" s="275">
        <v>4</v>
      </c>
      <c r="AT17" s="275">
        <v>3</v>
      </c>
      <c r="AU17" s="275">
        <v>4</v>
      </c>
      <c r="AV17" s="275">
        <v>3</v>
      </c>
      <c r="AW17" s="275">
        <v>3</v>
      </c>
      <c r="AX17" s="275">
        <v>3</v>
      </c>
      <c r="AY17" s="275">
        <v>3</v>
      </c>
      <c r="AZ17" s="275">
        <v>3</v>
      </c>
      <c r="BA17" s="275">
        <v>3</v>
      </c>
      <c r="BB17" s="275">
        <v>2</v>
      </c>
      <c r="BC17" s="275">
        <v>2</v>
      </c>
      <c r="BD17" s="275">
        <v>2</v>
      </c>
      <c r="BE17" s="275">
        <v>4</v>
      </c>
      <c r="BF17" s="275">
        <v>3</v>
      </c>
      <c r="BG17" s="275">
        <v>4</v>
      </c>
      <c r="BH17" s="275">
        <v>4</v>
      </c>
      <c r="BI17" s="275">
        <v>4</v>
      </c>
      <c r="BJ17" s="275">
        <v>4</v>
      </c>
      <c r="BK17" s="275">
        <v>4</v>
      </c>
      <c r="BL17" s="275">
        <v>4</v>
      </c>
      <c r="BM17" s="275">
        <v>3</v>
      </c>
      <c r="BN17" s="275">
        <v>3</v>
      </c>
      <c r="BO17" s="275">
        <v>3</v>
      </c>
      <c r="BP17" s="275">
        <v>3</v>
      </c>
      <c r="BQ17" s="275">
        <v>4</v>
      </c>
      <c r="BR17" s="275">
        <v>4</v>
      </c>
      <c r="BS17" s="275">
        <f>+'Nov23'!$BC18</f>
        <v>4</v>
      </c>
      <c r="BT17" s="275">
        <f>+'Dic23'!$BC18</f>
        <v>4</v>
      </c>
      <c r="BU17" s="275">
        <f>+'Ene24'!$BC18</f>
        <v>4</v>
      </c>
      <c r="BV17" s="275">
        <f>+'Feb24'!$BC18</f>
        <v>4</v>
      </c>
      <c r="BW17" s="275">
        <f>+'Mar24'!$BC18</f>
        <v>4</v>
      </c>
      <c r="BX17" s="275">
        <f>+'Abr24'!$BC18</f>
        <v>4</v>
      </c>
      <c r="BY17" s="275">
        <f>+'May24'!BC18</f>
        <v>5</v>
      </c>
      <c r="BZ17" s="275">
        <f>+'Jun24'!BC18</f>
        <v>5</v>
      </c>
      <c r="CA17" s="275">
        <f>+'Jul24'!BC18</f>
        <v>4</v>
      </c>
      <c r="CB17" s="275">
        <f>+'Ago24'!BB18</f>
        <v>4</v>
      </c>
      <c r="CC17" s="275">
        <f>+'Sep24'!BB18</f>
        <v>4</v>
      </c>
      <c r="CD17" s="275">
        <f>+'Oct24'!BB18</f>
        <v>4</v>
      </c>
      <c r="CE17" s="275">
        <f>+'Nov24'!BB18</f>
        <v>4</v>
      </c>
      <c r="CF17" s="275">
        <f>+'Dic24'!BB18</f>
        <v>4</v>
      </c>
      <c r="CG17" s="272">
        <f>+'Ene25'!BC18</f>
        <v>3</v>
      </c>
      <c r="CH17" s="272">
        <f>+'Feb25'!BC18</f>
        <v>2</v>
      </c>
      <c r="CI17" s="272">
        <f>+'Mar25'!BC18</f>
        <v>2</v>
      </c>
      <c r="CJ17" s="272">
        <f>+'Abr25'!BD18</f>
        <v>2</v>
      </c>
      <c r="CK17" s="272">
        <f>+'May25'!BD18</f>
        <v>2</v>
      </c>
      <c r="CL17" s="272">
        <f>+'Jun25'!BD18</f>
        <v>1</v>
      </c>
      <c r="CM17" s="272">
        <f>+'Jul25'!BD18</f>
        <v>1</v>
      </c>
      <c r="CN17" s="272">
        <f>+'Ago25'!BC18</f>
        <v>2</v>
      </c>
      <c r="CO17" s="272">
        <f>+'Sep25'!BC18</f>
        <v>2</v>
      </c>
      <c r="CP17" s="272">
        <f>+'Oct25'!BC18</f>
        <v>2</v>
      </c>
      <c r="CQ17" s="272">
        <f>+'Nov25'!BC18</f>
        <v>2</v>
      </c>
      <c r="CR17" s="272">
        <f>+'Dic25'!BC18</f>
        <v>2</v>
      </c>
      <c r="CS17" s="703">
        <f>+'Ene26'!BC18</f>
        <v>2</v>
      </c>
      <c r="CT17" s="703">
        <f>+'Feb26'!$BC18</f>
        <v>2</v>
      </c>
      <c r="CU17" s="703">
        <f>+'Mar26'!$BC18</f>
        <v>2</v>
      </c>
      <c r="CV17" s="703">
        <f>+'Abr26'!$BC18</f>
        <v>2</v>
      </c>
      <c r="CW17" s="703">
        <f>+'May26'!$BC18</f>
        <v>2</v>
      </c>
      <c r="CX17" s="703">
        <f>+'Jun26'!$BC18</f>
        <v>2</v>
      </c>
      <c r="CY17" s="703">
        <f>+'Jul26'!$BC18</f>
        <v>2</v>
      </c>
      <c r="CZ17" s="703">
        <f>+'Ago26'!$BC18</f>
        <v>2</v>
      </c>
      <c r="DA17" s="272"/>
      <c r="DB17" s="272"/>
      <c r="DC17" s="272"/>
      <c r="DE17" s="272"/>
      <c r="DF17" s="534">
        <f t="shared" si="1"/>
        <v>103</v>
      </c>
      <c r="DG17" s="532">
        <f t="shared" si="9"/>
        <v>26</v>
      </c>
      <c r="DH17" s="532">
        <f t="shared" si="5"/>
        <v>24</v>
      </c>
      <c r="DI17" s="532">
        <f t="shared" si="6"/>
        <v>53</v>
      </c>
      <c r="DK17" s="533">
        <f t="shared" si="7"/>
        <v>0.25242718446601942</v>
      </c>
      <c r="DL17" s="533">
        <f t="shared" si="2"/>
        <v>0.23300970873786409</v>
      </c>
      <c r="DM17" s="533">
        <f t="shared" si="3"/>
        <v>0.5145631067961165</v>
      </c>
      <c r="DN17" s="533"/>
      <c r="DO17" s="532">
        <v>17</v>
      </c>
      <c r="DP17" s="271" t="s">
        <v>75</v>
      </c>
      <c r="DQ17" s="533">
        <v>0.1941747572815534</v>
      </c>
      <c r="DR17" s="533">
        <v>0.39805825242718446</v>
      </c>
      <c r="DS17" s="533">
        <v>0.40776699029126212</v>
      </c>
      <c r="DU17" s="532">
        <v>19</v>
      </c>
      <c r="DV17" s="532">
        <v>0</v>
      </c>
      <c r="DW17" s="532">
        <f t="shared" si="8"/>
        <v>-53</v>
      </c>
      <c r="DY17" s="271">
        <v>5</v>
      </c>
      <c r="DZ17" s="918">
        <f t="shared" si="10"/>
        <v>0.1</v>
      </c>
    </row>
    <row r="18" spans="1:130" ht="17.25" customHeight="1">
      <c r="A18" s="274" t="s">
        <v>66</v>
      </c>
      <c r="B18" s="275">
        <v>4</v>
      </c>
      <c r="C18" s="275">
        <v>4</v>
      </c>
      <c r="D18" s="275">
        <v>4</v>
      </c>
      <c r="E18" s="275">
        <v>4</v>
      </c>
      <c r="F18" s="275">
        <v>4</v>
      </c>
      <c r="G18" s="275">
        <v>4</v>
      </c>
      <c r="H18" s="275">
        <v>4</v>
      </c>
      <c r="I18" s="275">
        <v>5</v>
      </c>
      <c r="J18" s="275">
        <v>4</v>
      </c>
      <c r="K18" s="275">
        <v>4</v>
      </c>
      <c r="L18" s="275">
        <v>5</v>
      </c>
      <c r="M18" s="275">
        <v>5</v>
      </c>
      <c r="N18" s="275">
        <v>5</v>
      </c>
      <c r="O18" s="275">
        <v>4</v>
      </c>
      <c r="P18" s="275">
        <v>5</v>
      </c>
      <c r="Q18" s="275">
        <v>3</v>
      </c>
      <c r="R18" s="275">
        <v>2</v>
      </c>
      <c r="S18" s="275">
        <v>2</v>
      </c>
      <c r="T18" s="275">
        <v>2</v>
      </c>
      <c r="U18" s="275">
        <v>2</v>
      </c>
      <c r="V18" s="275">
        <v>3</v>
      </c>
      <c r="W18" s="275">
        <v>4</v>
      </c>
      <c r="X18" s="275">
        <v>4</v>
      </c>
      <c r="Y18" s="275">
        <v>2</v>
      </c>
      <c r="Z18" s="275">
        <v>2</v>
      </c>
      <c r="AA18" s="275">
        <v>3</v>
      </c>
      <c r="AB18" s="275">
        <v>2</v>
      </c>
      <c r="AC18" s="275">
        <v>2</v>
      </c>
      <c r="AD18" s="275">
        <v>2</v>
      </c>
      <c r="AE18" s="275">
        <v>2</v>
      </c>
      <c r="AF18" s="275">
        <v>3</v>
      </c>
      <c r="AG18" s="275">
        <v>3</v>
      </c>
      <c r="AH18" s="275">
        <v>3</v>
      </c>
      <c r="AI18" s="275">
        <v>3</v>
      </c>
      <c r="AJ18" s="275">
        <v>3</v>
      </c>
      <c r="AK18" s="275">
        <v>2</v>
      </c>
      <c r="AL18" s="275">
        <v>3</v>
      </c>
      <c r="AM18" s="275">
        <v>4</v>
      </c>
      <c r="AN18" s="275">
        <v>4</v>
      </c>
      <c r="AO18" s="275">
        <v>4</v>
      </c>
      <c r="AP18" s="275">
        <v>5</v>
      </c>
      <c r="AQ18" s="275">
        <v>5</v>
      </c>
      <c r="AR18" s="275">
        <v>5</v>
      </c>
      <c r="AS18" s="275">
        <v>4</v>
      </c>
      <c r="AT18" s="275">
        <v>4</v>
      </c>
      <c r="AU18" s="275">
        <v>5</v>
      </c>
      <c r="AV18" s="275">
        <v>5</v>
      </c>
      <c r="AW18" s="275">
        <v>5</v>
      </c>
      <c r="AX18" s="275">
        <v>5</v>
      </c>
      <c r="AY18" s="275">
        <v>5</v>
      </c>
      <c r="AZ18" s="275">
        <v>5</v>
      </c>
      <c r="BA18" s="275">
        <v>5</v>
      </c>
      <c r="BB18" s="275">
        <v>3</v>
      </c>
      <c r="BC18" s="275">
        <v>3</v>
      </c>
      <c r="BD18" s="275">
        <v>2</v>
      </c>
      <c r="BE18" s="275">
        <v>2</v>
      </c>
      <c r="BF18" s="275">
        <v>3</v>
      </c>
      <c r="BG18" s="275">
        <v>3</v>
      </c>
      <c r="BH18" s="275">
        <v>3</v>
      </c>
      <c r="BI18" s="275">
        <v>3</v>
      </c>
      <c r="BJ18" s="275">
        <v>3</v>
      </c>
      <c r="BK18" s="275">
        <v>3</v>
      </c>
      <c r="BL18" s="275">
        <v>3</v>
      </c>
      <c r="BM18" s="275">
        <v>3</v>
      </c>
      <c r="BN18" s="275">
        <v>4</v>
      </c>
      <c r="BO18" s="275">
        <v>4</v>
      </c>
      <c r="BP18" s="275">
        <v>4</v>
      </c>
      <c r="BQ18" s="275">
        <v>4</v>
      </c>
      <c r="BR18" s="275">
        <v>3</v>
      </c>
      <c r="BS18" s="275">
        <f>+'Nov23'!$BC19</f>
        <v>3</v>
      </c>
      <c r="BT18" s="275">
        <f>+'Dic23'!$BC19</f>
        <v>3</v>
      </c>
      <c r="BU18" s="275">
        <f>+'Ene24'!$BC19</f>
        <v>4</v>
      </c>
      <c r="BV18" s="275">
        <f>+'Feb24'!$BC19</f>
        <v>3</v>
      </c>
      <c r="BW18" s="275">
        <f>+'Mar24'!$BC19</f>
        <v>4</v>
      </c>
      <c r="BX18" s="275">
        <f>+'Abr24'!$BC19</f>
        <v>4</v>
      </c>
      <c r="BY18" s="275">
        <f>+'May24'!BC19</f>
        <v>4</v>
      </c>
      <c r="BZ18" s="275">
        <f>+'Jun24'!BC19</f>
        <v>4</v>
      </c>
      <c r="CA18" s="275">
        <f>+'Jul24'!BC19</f>
        <v>3</v>
      </c>
      <c r="CB18" s="275">
        <f>+'Ago24'!BB19</f>
        <v>3</v>
      </c>
      <c r="CC18" s="275">
        <f>+'Sep24'!BB19</f>
        <v>3</v>
      </c>
      <c r="CD18" s="275">
        <f>+'Oct24'!BB19</f>
        <v>3</v>
      </c>
      <c r="CE18" s="275">
        <f>+'Nov24'!BB19</f>
        <v>3</v>
      </c>
      <c r="CF18" s="275">
        <f>+'Dic24'!BB19</f>
        <v>3</v>
      </c>
      <c r="CG18" s="272">
        <f>+'Ene25'!BC19</f>
        <v>4</v>
      </c>
      <c r="CH18" s="272">
        <f>+'Feb25'!BC19</f>
        <v>3</v>
      </c>
      <c r="CI18" s="272">
        <f>+'Mar25'!BC19</f>
        <v>3</v>
      </c>
      <c r="CJ18" s="272">
        <f>+'Abr25'!BD19</f>
        <v>3</v>
      </c>
      <c r="CK18" s="272">
        <f>+'May25'!BD19</f>
        <v>4</v>
      </c>
      <c r="CL18" s="272">
        <f>+'Jun25'!BD19</f>
        <v>4</v>
      </c>
      <c r="CM18" s="272">
        <f>+'Jul25'!BD19</f>
        <v>4</v>
      </c>
      <c r="CN18" s="272">
        <f>+'Ago25'!BC19</f>
        <v>5</v>
      </c>
      <c r="CO18" s="272">
        <f>+'Sep25'!BC19</f>
        <v>4</v>
      </c>
      <c r="CP18" s="272">
        <f>+'Oct25'!BC19</f>
        <v>4</v>
      </c>
      <c r="CQ18" s="272">
        <f>+'Nov25'!BC19</f>
        <v>4</v>
      </c>
      <c r="CR18" s="272">
        <f>+'Dic25'!BC19</f>
        <v>4</v>
      </c>
      <c r="CS18" s="703">
        <f>+'Ene26'!BC19</f>
        <v>4</v>
      </c>
      <c r="CT18" s="703">
        <f>+'Feb26'!$BC19</f>
        <v>4</v>
      </c>
      <c r="CU18" s="703">
        <f>+'Mar26'!$BC19</f>
        <v>4</v>
      </c>
      <c r="CV18" s="703">
        <f>+'Abr26'!$BC19</f>
        <v>3</v>
      </c>
      <c r="CW18" s="703">
        <f>+'May26'!$BC19</f>
        <v>3</v>
      </c>
      <c r="CX18" s="703">
        <f>+'Jun26'!$BC19</f>
        <v>3</v>
      </c>
      <c r="CY18" s="703">
        <f>+'Jul26'!$BC19</f>
        <v>3</v>
      </c>
      <c r="CZ18" s="703">
        <f>+'Ago26'!$BC19</f>
        <v>2</v>
      </c>
      <c r="DA18" s="272"/>
      <c r="DB18" s="272"/>
      <c r="DC18" s="272"/>
      <c r="DE18" s="272"/>
      <c r="DF18" s="534">
        <f t="shared" si="1"/>
        <v>103</v>
      </c>
      <c r="DG18" s="532">
        <f t="shared" si="9"/>
        <v>14</v>
      </c>
      <c r="DH18" s="532">
        <f t="shared" si="5"/>
        <v>36</v>
      </c>
      <c r="DI18" s="532">
        <f t="shared" si="6"/>
        <v>53</v>
      </c>
      <c r="DK18" s="533">
        <f t="shared" si="7"/>
        <v>0.13592233009708737</v>
      </c>
      <c r="DL18" s="533">
        <f t="shared" si="2"/>
        <v>0.34951456310679613</v>
      </c>
      <c r="DM18" s="533">
        <f t="shared" si="3"/>
        <v>0.5145631067961165</v>
      </c>
      <c r="DN18" s="533"/>
      <c r="DO18" s="532">
        <v>11</v>
      </c>
      <c r="DP18" s="271" t="s">
        <v>25</v>
      </c>
      <c r="DQ18" s="533">
        <v>0.36893203883495146</v>
      </c>
      <c r="DR18" s="533">
        <v>0.31067961165048541</v>
      </c>
      <c r="DS18" s="533">
        <v>0.32038834951456313</v>
      </c>
      <c r="DU18" s="532">
        <v>13</v>
      </c>
      <c r="DV18" s="532">
        <v>0</v>
      </c>
      <c r="DW18" s="532">
        <f t="shared" si="8"/>
        <v>-53</v>
      </c>
      <c r="DY18" s="271">
        <v>6</v>
      </c>
      <c r="DZ18" s="918">
        <f t="shared" si="10"/>
        <v>0.1</v>
      </c>
    </row>
    <row r="19" spans="1:130" ht="17.25" customHeight="1">
      <c r="A19" s="274" t="s">
        <v>218</v>
      </c>
      <c r="B19" s="276"/>
      <c r="C19" s="276"/>
      <c r="D19" s="276"/>
      <c r="E19" s="275">
        <v>5</v>
      </c>
      <c r="F19" s="275">
        <v>5</v>
      </c>
      <c r="G19" s="275">
        <v>5</v>
      </c>
      <c r="H19" s="275">
        <v>5</v>
      </c>
      <c r="I19" s="275">
        <v>3</v>
      </c>
      <c r="J19" s="275">
        <v>3</v>
      </c>
      <c r="K19" s="275">
        <v>4</v>
      </c>
      <c r="L19" s="275">
        <v>4</v>
      </c>
      <c r="M19" s="275">
        <v>4</v>
      </c>
      <c r="N19" s="275">
        <v>5</v>
      </c>
      <c r="O19" s="275">
        <v>5</v>
      </c>
      <c r="P19" s="275">
        <v>4</v>
      </c>
      <c r="Q19" s="275">
        <v>4</v>
      </c>
      <c r="R19" s="275">
        <v>4</v>
      </c>
      <c r="S19" s="275">
        <v>4</v>
      </c>
      <c r="T19" s="275">
        <v>4</v>
      </c>
      <c r="U19" s="275">
        <v>4</v>
      </c>
      <c r="V19" s="275">
        <v>4</v>
      </c>
      <c r="W19" s="275">
        <v>4</v>
      </c>
      <c r="X19" s="275">
        <v>4</v>
      </c>
      <c r="Y19" s="275">
        <v>3</v>
      </c>
      <c r="Z19" s="275">
        <v>4</v>
      </c>
      <c r="AA19" s="275">
        <v>4</v>
      </c>
      <c r="AB19" s="275">
        <v>2</v>
      </c>
      <c r="AC19" s="275">
        <v>2</v>
      </c>
      <c r="AD19" s="275">
        <v>1</v>
      </c>
      <c r="AE19" s="275">
        <v>2</v>
      </c>
      <c r="AF19" s="275">
        <v>2</v>
      </c>
      <c r="AG19" s="275">
        <v>2</v>
      </c>
      <c r="AH19" s="275">
        <v>2</v>
      </c>
      <c r="AI19" s="275">
        <v>2</v>
      </c>
      <c r="AJ19" s="275">
        <v>1</v>
      </c>
      <c r="AK19" s="275">
        <v>1</v>
      </c>
      <c r="AL19" s="275">
        <v>1</v>
      </c>
      <c r="AM19" s="275">
        <v>2</v>
      </c>
      <c r="AN19" s="275">
        <v>3</v>
      </c>
      <c r="AO19" s="275">
        <v>3</v>
      </c>
      <c r="AP19" s="275">
        <v>3</v>
      </c>
      <c r="AQ19" s="275">
        <v>3</v>
      </c>
      <c r="AR19" s="275">
        <v>3</v>
      </c>
      <c r="AS19" s="275">
        <v>3</v>
      </c>
      <c r="AT19" s="275">
        <v>4</v>
      </c>
      <c r="AU19" s="275">
        <v>4</v>
      </c>
      <c r="AV19" s="275">
        <v>4</v>
      </c>
      <c r="AW19" s="275">
        <v>4</v>
      </c>
      <c r="AX19" s="275">
        <v>4</v>
      </c>
      <c r="AY19" s="275">
        <v>5</v>
      </c>
      <c r="AZ19" s="275">
        <v>5</v>
      </c>
      <c r="BA19" s="275">
        <v>5</v>
      </c>
      <c r="BB19" s="275">
        <v>5</v>
      </c>
      <c r="BC19" s="275">
        <v>5</v>
      </c>
      <c r="BD19" s="275">
        <v>5</v>
      </c>
      <c r="BE19" s="275">
        <v>4</v>
      </c>
      <c r="BF19" s="275">
        <v>4</v>
      </c>
      <c r="BG19" s="275">
        <v>4</v>
      </c>
      <c r="BH19" s="275">
        <v>4</v>
      </c>
      <c r="BI19" s="275">
        <v>4</v>
      </c>
      <c r="BJ19" s="275">
        <v>4</v>
      </c>
      <c r="BK19" s="275">
        <v>4</v>
      </c>
      <c r="BL19" s="275">
        <v>4</v>
      </c>
      <c r="BM19" s="275">
        <v>4</v>
      </c>
      <c r="BN19" s="275">
        <v>4</v>
      </c>
      <c r="BO19" s="275">
        <v>3</v>
      </c>
      <c r="BP19" s="275">
        <v>3</v>
      </c>
      <c r="BQ19" s="275">
        <v>3</v>
      </c>
      <c r="BR19" s="275">
        <v>3</v>
      </c>
      <c r="BS19" s="275">
        <f>+'Nov23'!$BC20</f>
        <v>3</v>
      </c>
      <c r="BT19" s="275">
        <f>+'Dic23'!$BC20</f>
        <v>3</v>
      </c>
      <c r="BU19" s="275">
        <f>+'Ene24'!$BC20</f>
        <v>3</v>
      </c>
      <c r="BV19" s="275">
        <f>+'Feb24'!$BC20</f>
        <v>3</v>
      </c>
      <c r="BW19" s="275">
        <f>+'Mar24'!$BC20</f>
        <v>4</v>
      </c>
      <c r="BX19" s="275">
        <f>+'Abr24'!$BC20</f>
        <v>4</v>
      </c>
      <c r="BY19" s="275">
        <f>+'May24'!BC20</f>
        <v>4</v>
      </c>
      <c r="BZ19" s="275">
        <f>+'Jun24'!BC20</f>
        <v>4</v>
      </c>
      <c r="CA19" s="275">
        <f>+'Jul24'!BC20</f>
        <v>3</v>
      </c>
      <c r="CB19" s="275">
        <f>+'Ago24'!BB20</f>
        <v>3</v>
      </c>
      <c r="CC19" s="275">
        <f>+'Sep24'!BB20</f>
        <v>3</v>
      </c>
      <c r="CD19" s="275">
        <f>+'Oct24'!BB20</f>
        <v>3</v>
      </c>
      <c r="CE19" s="275">
        <f>+'Nov24'!BB20</f>
        <v>3</v>
      </c>
      <c r="CF19" s="275">
        <f>+'Dic24'!BB20</f>
        <v>3</v>
      </c>
      <c r="CG19" s="272">
        <f>+'Ene25'!BC20</f>
        <v>3</v>
      </c>
      <c r="CH19" s="272">
        <f>+'Feb25'!BC20</f>
        <v>4</v>
      </c>
      <c r="CI19" s="272">
        <f>+'Mar25'!BC20</f>
        <v>4</v>
      </c>
      <c r="CJ19" s="272">
        <f>+'Abr25'!BD20</f>
        <v>4</v>
      </c>
      <c r="CK19" s="272">
        <f>+'May25'!BD20</f>
        <v>4</v>
      </c>
      <c r="CL19" s="272">
        <f>+'Jun25'!BD20</f>
        <v>3</v>
      </c>
      <c r="CM19" s="272">
        <f>+'Jul25'!BD20</f>
        <v>2</v>
      </c>
      <c r="CN19" s="272">
        <f>+'Ago25'!BC20</f>
        <v>2</v>
      </c>
      <c r="CO19" s="272">
        <f>+'Sep25'!BC20</f>
        <v>3</v>
      </c>
      <c r="CP19" s="272">
        <f>+'Oct25'!BC20</f>
        <v>3</v>
      </c>
      <c r="CQ19" s="272">
        <f>+'Nov25'!BC20</f>
        <v>3</v>
      </c>
      <c r="CR19" s="272">
        <f>+'Dic25'!BC20</f>
        <v>3</v>
      </c>
      <c r="CS19" s="703">
        <f>+'Ene26'!BC20</f>
        <v>3</v>
      </c>
      <c r="CT19" s="703">
        <f>+'Feb26'!$BC20</f>
        <v>3</v>
      </c>
      <c r="CU19" s="703">
        <f>+'Mar26'!$BC20</f>
        <v>3</v>
      </c>
      <c r="CV19" s="703">
        <f>+'Abr26'!$BC20</f>
        <v>3</v>
      </c>
      <c r="CW19" s="703">
        <f>+'May26'!$BC20</f>
        <v>3</v>
      </c>
      <c r="CX19" s="703">
        <f>+'Jun26'!$BC20</f>
        <v>3</v>
      </c>
      <c r="CY19" s="703">
        <f>+'Jul26'!$BC20</f>
        <v>3</v>
      </c>
      <c r="CZ19" s="703">
        <f>+'Ago26'!$BC20</f>
        <v>3</v>
      </c>
      <c r="DA19" s="272"/>
      <c r="DB19" s="272"/>
      <c r="DC19" s="272"/>
      <c r="DE19" s="272"/>
      <c r="DF19" s="534">
        <f t="shared" si="1"/>
        <v>100</v>
      </c>
      <c r="DG19" s="532">
        <f t="shared" si="9"/>
        <v>14</v>
      </c>
      <c r="DH19" s="532">
        <f t="shared" si="5"/>
        <v>37</v>
      </c>
      <c r="DI19" s="532">
        <f t="shared" si="6"/>
        <v>49</v>
      </c>
      <c r="DK19" s="533">
        <f t="shared" si="7"/>
        <v>0.14000000000000001</v>
      </c>
      <c r="DL19" s="533">
        <f t="shared" si="2"/>
        <v>0.37</v>
      </c>
      <c r="DM19" s="533">
        <f t="shared" si="3"/>
        <v>0.49</v>
      </c>
      <c r="DN19" s="533"/>
      <c r="DO19" s="532">
        <v>12</v>
      </c>
      <c r="DP19" s="271" t="s">
        <v>76</v>
      </c>
      <c r="DQ19" s="533">
        <v>0.32038834951456313</v>
      </c>
      <c r="DR19" s="533">
        <v>0.37864077669902912</v>
      </c>
      <c r="DS19" s="533">
        <v>0.30097087378640774</v>
      </c>
      <c r="DU19" s="532">
        <v>14</v>
      </c>
      <c r="DV19" s="532">
        <v>0</v>
      </c>
      <c r="DW19" s="532">
        <f t="shared" si="8"/>
        <v>-49</v>
      </c>
      <c r="DY19" s="271">
        <v>7</v>
      </c>
      <c r="DZ19" s="918">
        <f t="shared" si="10"/>
        <v>0.1</v>
      </c>
    </row>
    <row r="20" spans="1:130" ht="17.25" customHeight="1">
      <c r="A20" s="274" t="s">
        <v>121</v>
      </c>
      <c r="B20" s="275">
        <v>2</v>
      </c>
      <c r="C20" s="275">
        <v>2</v>
      </c>
      <c r="D20" s="275">
        <v>2</v>
      </c>
      <c r="E20" s="275">
        <v>3</v>
      </c>
      <c r="F20" s="275">
        <v>3</v>
      </c>
      <c r="G20" s="275">
        <v>4</v>
      </c>
      <c r="H20" s="275">
        <v>5</v>
      </c>
      <c r="I20" s="275">
        <v>3</v>
      </c>
      <c r="J20" s="275">
        <v>3</v>
      </c>
      <c r="K20" s="275">
        <v>4</v>
      </c>
      <c r="L20" s="275">
        <v>2</v>
      </c>
      <c r="M20" s="275">
        <v>1</v>
      </c>
      <c r="N20" s="275">
        <v>1</v>
      </c>
      <c r="O20" s="275">
        <v>1</v>
      </c>
      <c r="P20" s="275">
        <v>1</v>
      </c>
      <c r="Q20" s="275">
        <v>2</v>
      </c>
      <c r="R20" s="275">
        <v>1</v>
      </c>
      <c r="S20" s="275">
        <v>1</v>
      </c>
      <c r="T20" s="275">
        <v>1</v>
      </c>
      <c r="U20" s="275">
        <v>1</v>
      </c>
      <c r="V20" s="275">
        <v>1</v>
      </c>
      <c r="W20" s="275">
        <v>2</v>
      </c>
      <c r="X20" s="275">
        <v>2</v>
      </c>
      <c r="Y20" s="275">
        <v>2</v>
      </c>
      <c r="Z20" s="275">
        <v>2</v>
      </c>
      <c r="AA20" s="275">
        <v>2</v>
      </c>
      <c r="AB20" s="275">
        <v>4</v>
      </c>
      <c r="AC20" s="275">
        <v>5</v>
      </c>
      <c r="AD20" s="275">
        <v>5</v>
      </c>
      <c r="AE20" s="275">
        <v>5</v>
      </c>
      <c r="AF20" s="275">
        <v>2</v>
      </c>
      <c r="AG20" s="275">
        <v>1</v>
      </c>
      <c r="AH20" s="275">
        <v>2</v>
      </c>
      <c r="AI20" s="275">
        <v>2</v>
      </c>
      <c r="AJ20" s="275">
        <v>2</v>
      </c>
      <c r="AK20" s="275">
        <v>2</v>
      </c>
      <c r="AL20" s="275">
        <v>2</v>
      </c>
      <c r="AM20" s="275">
        <v>2</v>
      </c>
      <c r="AN20" s="275">
        <v>1</v>
      </c>
      <c r="AO20" s="275">
        <v>2</v>
      </c>
      <c r="AP20" s="275">
        <v>2</v>
      </c>
      <c r="AQ20" s="275">
        <v>2</v>
      </c>
      <c r="AR20" s="275">
        <v>2</v>
      </c>
      <c r="AS20" s="275">
        <v>2</v>
      </c>
      <c r="AT20" s="275">
        <v>3</v>
      </c>
      <c r="AU20" s="275">
        <v>2</v>
      </c>
      <c r="AV20" s="275">
        <v>3</v>
      </c>
      <c r="AW20" s="275">
        <v>2</v>
      </c>
      <c r="AX20" s="275">
        <v>3</v>
      </c>
      <c r="AY20" s="275">
        <v>3</v>
      </c>
      <c r="AZ20" s="275">
        <v>3</v>
      </c>
      <c r="BA20" s="275">
        <v>3</v>
      </c>
      <c r="BB20" s="275">
        <v>3</v>
      </c>
      <c r="BC20" s="275">
        <v>3</v>
      </c>
      <c r="BD20" s="275">
        <v>3</v>
      </c>
      <c r="BE20" s="275">
        <v>4</v>
      </c>
      <c r="BF20" s="275">
        <v>2</v>
      </c>
      <c r="BG20" s="275">
        <v>4</v>
      </c>
      <c r="BH20" s="275">
        <v>4</v>
      </c>
      <c r="BI20" s="275">
        <v>3</v>
      </c>
      <c r="BJ20" s="275">
        <v>3</v>
      </c>
      <c r="BK20" s="275">
        <v>3</v>
      </c>
      <c r="BL20" s="275">
        <v>3</v>
      </c>
      <c r="BM20" s="275">
        <v>3</v>
      </c>
      <c r="BN20" s="275">
        <v>4</v>
      </c>
      <c r="BO20" s="275">
        <v>4</v>
      </c>
      <c r="BP20" s="275">
        <v>4</v>
      </c>
      <c r="BQ20" s="275">
        <v>3</v>
      </c>
      <c r="BR20" s="275">
        <v>3</v>
      </c>
      <c r="BS20" s="275">
        <f>+'Nov23'!$BC21</f>
        <v>3</v>
      </c>
      <c r="BT20" s="275">
        <f>+'Dic23'!$BC21</f>
        <v>2</v>
      </c>
      <c r="BU20" s="275">
        <f>+'Ene24'!$BC21</f>
        <v>1</v>
      </c>
      <c r="BV20" s="275">
        <f>+'Feb24'!$BC21</f>
        <v>2</v>
      </c>
      <c r="BW20" s="275">
        <f>+'Mar24'!$BC21</f>
        <v>4</v>
      </c>
      <c r="BX20" s="275">
        <f>+'Abr24'!$BC21</f>
        <v>5</v>
      </c>
      <c r="BY20" s="275">
        <f>+'May24'!BC21</f>
        <v>3</v>
      </c>
      <c r="BZ20" s="275">
        <f>+'Jun24'!BC21</f>
        <v>4</v>
      </c>
      <c r="CA20" s="275">
        <f>+'Jul24'!BC21</f>
        <v>3</v>
      </c>
      <c r="CB20" s="275">
        <f>+'Ago24'!BB21</f>
        <v>3</v>
      </c>
      <c r="CC20" s="275">
        <f>+'Sep24'!BB21</f>
        <v>3</v>
      </c>
      <c r="CD20" s="275">
        <f>+'Oct24'!BB21</f>
        <v>3</v>
      </c>
      <c r="CE20" s="275">
        <f>+'Nov24'!BB21</f>
        <v>3</v>
      </c>
      <c r="CF20" s="275">
        <f>+'Dic24'!BB21</f>
        <v>3</v>
      </c>
      <c r="CG20" s="272">
        <f>+'Ene25'!BC21</f>
        <v>2</v>
      </c>
      <c r="CH20" s="272">
        <f>+'Feb25'!BC21</f>
        <v>3</v>
      </c>
      <c r="CI20" s="272">
        <f>+'Mar25'!BC21</f>
        <v>3</v>
      </c>
      <c r="CJ20" s="272">
        <f>+'Abr25'!BD21</f>
        <v>3</v>
      </c>
      <c r="CK20" s="272">
        <f>+'May25'!BD21</f>
        <v>2</v>
      </c>
      <c r="CL20" s="272">
        <f>+'Jun25'!BD21</f>
        <v>1</v>
      </c>
      <c r="CM20" s="272">
        <f>+'Jul25'!BD21</f>
        <v>1</v>
      </c>
      <c r="CN20" s="272">
        <f>+'Ago25'!BC21</f>
        <v>2</v>
      </c>
      <c r="CO20" s="272">
        <f>+'Sep25'!BC21</f>
        <v>2</v>
      </c>
      <c r="CP20" s="272">
        <f>+'Oct25'!BC21</f>
        <v>2</v>
      </c>
      <c r="CQ20" s="272">
        <f>+'Nov25'!BC21</f>
        <v>2</v>
      </c>
      <c r="CR20" s="272">
        <f>+'Dic25'!BC21</f>
        <v>3</v>
      </c>
      <c r="CS20" s="703">
        <f>+'Ene26'!BC21</f>
        <v>3</v>
      </c>
      <c r="CT20" s="703">
        <f>+'Feb26'!$BC21</f>
        <v>3</v>
      </c>
      <c r="CU20" s="703">
        <f>+'Mar26'!$BC21</f>
        <v>3</v>
      </c>
      <c r="CV20" s="703">
        <f>+'Abr26'!$BC21</f>
        <v>3</v>
      </c>
      <c r="CW20" s="703">
        <f>+'May26'!$BC21</f>
        <v>3</v>
      </c>
      <c r="CX20" s="703">
        <f>+'Jun26'!$BC21</f>
        <v>3</v>
      </c>
      <c r="CY20" s="703">
        <f>+'Jul26'!$BC21</f>
        <v>3</v>
      </c>
      <c r="CZ20" s="703">
        <f>+'Ago26'!$BC21</f>
        <v>3</v>
      </c>
      <c r="DA20" s="272"/>
      <c r="DB20" s="272"/>
      <c r="DC20" s="272"/>
      <c r="DE20" s="272"/>
      <c r="DF20" s="534">
        <f t="shared" si="1"/>
        <v>103</v>
      </c>
      <c r="DG20" s="532">
        <f t="shared" si="9"/>
        <v>47</v>
      </c>
      <c r="DH20" s="532">
        <f t="shared" si="5"/>
        <v>40</v>
      </c>
      <c r="DI20" s="532">
        <f t="shared" si="6"/>
        <v>16</v>
      </c>
      <c r="DK20" s="533">
        <f t="shared" si="7"/>
        <v>0.4563106796116505</v>
      </c>
      <c r="DL20" s="533">
        <f t="shared" si="2"/>
        <v>0.38834951456310679</v>
      </c>
      <c r="DM20" s="533">
        <f t="shared" si="3"/>
        <v>0.1553398058252427</v>
      </c>
      <c r="DN20" s="533"/>
      <c r="DO20" s="532">
        <v>4</v>
      </c>
      <c r="DP20" s="271" t="s">
        <v>77</v>
      </c>
      <c r="DQ20" s="533">
        <v>0.50485436893203883</v>
      </c>
      <c r="DR20" s="533">
        <v>0.20388349514563106</v>
      </c>
      <c r="DS20" s="533">
        <v>0.29126213592233008</v>
      </c>
      <c r="DU20" s="532">
        <v>47</v>
      </c>
      <c r="DV20" s="532">
        <v>0</v>
      </c>
      <c r="DW20" s="532">
        <f t="shared" si="8"/>
        <v>-16</v>
      </c>
      <c r="DY20" s="271">
        <v>8</v>
      </c>
      <c r="DZ20" s="918">
        <f t="shared" si="10"/>
        <v>0.1</v>
      </c>
    </row>
    <row r="21" spans="1:130" ht="17.25" customHeight="1">
      <c r="A21" s="274" t="s">
        <v>75</v>
      </c>
      <c r="B21" s="275">
        <v>5</v>
      </c>
      <c r="C21" s="275">
        <v>5</v>
      </c>
      <c r="D21" s="275">
        <v>5</v>
      </c>
      <c r="E21" s="275">
        <v>5</v>
      </c>
      <c r="F21" s="275">
        <v>5</v>
      </c>
      <c r="G21" s="275">
        <v>5</v>
      </c>
      <c r="H21" s="275">
        <v>5</v>
      </c>
      <c r="I21" s="275">
        <v>3</v>
      </c>
      <c r="J21" s="275">
        <v>3</v>
      </c>
      <c r="K21" s="275">
        <v>4</v>
      </c>
      <c r="L21" s="275">
        <v>4</v>
      </c>
      <c r="M21" s="275">
        <v>3</v>
      </c>
      <c r="N21" s="275">
        <v>4</v>
      </c>
      <c r="O21" s="275">
        <v>4</v>
      </c>
      <c r="P21" s="275">
        <v>4</v>
      </c>
      <c r="Q21" s="275">
        <v>3</v>
      </c>
      <c r="R21" s="275">
        <v>3</v>
      </c>
      <c r="S21" s="275">
        <v>2</v>
      </c>
      <c r="T21" s="275">
        <v>2</v>
      </c>
      <c r="U21" s="275">
        <v>2</v>
      </c>
      <c r="V21" s="275">
        <v>3</v>
      </c>
      <c r="W21" s="275">
        <v>4</v>
      </c>
      <c r="X21" s="275">
        <v>2</v>
      </c>
      <c r="Y21" s="275">
        <v>4</v>
      </c>
      <c r="Z21" s="275">
        <v>2</v>
      </c>
      <c r="AA21" s="275">
        <v>3</v>
      </c>
      <c r="AB21" s="275">
        <v>3</v>
      </c>
      <c r="AC21" s="275">
        <v>5</v>
      </c>
      <c r="AD21" s="275">
        <v>5</v>
      </c>
      <c r="AE21" s="275">
        <v>5</v>
      </c>
      <c r="AF21" s="275">
        <v>5</v>
      </c>
      <c r="AG21" s="275">
        <v>5</v>
      </c>
      <c r="AH21" s="275">
        <v>5</v>
      </c>
      <c r="AI21" s="275">
        <v>4</v>
      </c>
      <c r="AJ21" s="275">
        <v>4</v>
      </c>
      <c r="AK21" s="275">
        <v>4</v>
      </c>
      <c r="AL21" s="275">
        <v>4</v>
      </c>
      <c r="AM21" s="275">
        <v>2</v>
      </c>
      <c r="AN21" s="275">
        <v>2</v>
      </c>
      <c r="AO21" s="275">
        <v>2</v>
      </c>
      <c r="AP21" s="275">
        <v>2</v>
      </c>
      <c r="AQ21" s="275">
        <v>2</v>
      </c>
      <c r="AR21" s="275">
        <v>2</v>
      </c>
      <c r="AS21" s="275">
        <v>2</v>
      </c>
      <c r="AT21" s="275">
        <v>3</v>
      </c>
      <c r="AU21" s="275">
        <v>3</v>
      </c>
      <c r="AV21" s="275">
        <v>3</v>
      </c>
      <c r="AW21" s="275">
        <v>3</v>
      </c>
      <c r="AX21" s="275">
        <v>4</v>
      </c>
      <c r="AY21" s="275">
        <v>4</v>
      </c>
      <c r="AZ21" s="275">
        <v>4</v>
      </c>
      <c r="BA21" s="275">
        <v>4</v>
      </c>
      <c r="BB21" s="275">
        <v>4</v>
      </c>
      <c r="BC21" s="275">
        <v>4</v>
      </c>
      <c r="BD21" s="275">
        <v>4</v>
      </c>
      <c r="BE21" s="275">
        <v>4</v>
      </c>
      <c r="BF21" s="275">
        <v>4</v>
      </c>
      <c r="BG21" s="275">
        <v>3</v>
      </c>
      <c r="BH21" s="275">
        <v>3</v>
      </c>
      <c r="BI21" s="275">
        <v>3</v>
      </c>
      <c r="BJ21" s="275">
        <v>3</v>
      </c>
      <c r="BK21" s="275">
        <v>3</v>
      </c>
      <c r="BL21" s="275">
        <v>3</v>
      </c>
      <c r="BM21" s="275">
        <v>4</v>
      </c>
      <c r="BN21" s="275">
        <v>4</v>
      </c>
      <c r="BO21" s="275">
        <v>4</v>
      </c>
      <c r="BP21" s="275">
        <v>4</v>
      </c>
      <c r="BQ21" s="275">
        <v>4</v>
      </c>
      <c r="BR21" s="275">
        <v>4</v>
      </c>
      <c r="BS21" s="275">
        <f>+'Nov23'!$BC22</f>
        <v>4</v>
      </c>
      <c r="BT21" s="275">
        <f>+'Dic23'!$BC22</f>
        <v>3</v>
      </c>
      <c r="BU21" s="275">
        <f>+'Ene24'!$BC22</f>
        <v>3</v>
      </c>
      <c r="BV21" s="275">
        <f>+'Feb24'!$BC22</f>
        <v>3</v>
      </c>
      <c r="BW21" s="275">
        <f>+'Mar24'!$BC22</f>
        <v>4</v>
      </c>
      <c r="BX21" s="275">
        <f>+'Abr24'!$BC22</f>
        <v>4</v>
      </c>
      <c r="BY21" s="275">
        <f>+'May24'!BC22</f>
        <v>3</v>
      </c>
      <c r="BZ21" s="275">
        <f>+'Jun24'!BC22</f>
        <v>2</v>
      </c>
      <c r="CA21" s="275">
        <f>+'Jul24'!BC22</f>
        <v>2</v>
      </c>
      <c r="CB21" s="275">
        <f>+'Ago24'!BB22</f>
        <v>2</v>
      </c>
      <c r="CC21" s="275">
        <f>+'Sep24'!BB22</f>
        <v>2</v>
      </c>
      <c r="CD21" s="275">
        <f>+'Oct24'!BB22</f>
        <v>2</v>
      </c>
      <c r="CE21" s="275">
        <f>+'Nov24'!BB22</f>
        <v>2</v>
      </c>
      <c r="CF21" s="275">
        <f>+'Dic24'!BB22</f>
        <v>2</v>
      </c>
      <c r="CG21" s="272">
        <f>+'Ene25'!BC22</f>
        <v>2</v>
      </c>
      <c r="CH21" s="272">
        <f>+'Feb25'!BC22</f>
        <v>3</v>
      </c>
      <c r="CI21" s="272">
        <f>+'Mar25'!BC22</f>
        <v>3</v>
      </c>
      <c r="CJ21" s="272">
        <f>+'Abr25'!BD22</f>
        <v>3</v>
      </c>
      <c r="CK21" s="272">
        <f>+'May25'!BD22</f>
        <v>3</v>
      </c>
      <c r="CL21" s="272">
        <f>+'Jun25'!BD22</f>
        <v>3</v>
      </c>
      <c r="CM21" s="272">
        <f>+'Jul25'!BD22</f>
        <v>3</v>
      </c>
      <c r="CN21" s="272">
        <f>+'Ago25'!BC22</f>
        <v>3</v>
      </c>
      <c r="CO21" s="272">
        <f>+'Sep25'!BC22</f>
        <v>3</v>
      </c>
      <c r="CP21" s="272">
        <f>+'Oct25'!BC22</f>
        <v>3</v>
      </c>
      <c r="CQ21" s="272">
        <f>+'Nov25'!BC22</f>
        <v>3</v>
      </c>
      <c r="CR21" s="272">
        <f>+'Dic25'!BC22</f>
        <v>3</v>
      </c>
      <c r="CS21" s="703">
        <f>+'Ene26'!BC22</f>
        <v>3</v>
      </c>
      <c r="CT21" s="703">
        <f>+'Feb26'!$BC22</f>
        <v>3</v>
      </c>
      <c r="CU21" s="703">
        <f>+'Mar26'!$BC22</f>
        <v>3</v>
      </c>
      <c r="CV21" s="703">
        <f>+'Abr26'!$BC22</f>
        <v>3</v>
      </c>
      <c r="CW21" s="703">
        <f>+'May26'!$BC22</f>
        <v>3</v>
      </c>
      <c r="CX21" s="703">
        <f>+'Jun26'!$BC22</f>
        <v>3</v>
      </c>
      <c r="CY21" s="703">
        <f>+'Jul26'!$BC22</f>
        <v>3</v>
      </c>
      <c r="CZ21" s="703">
        <f>+'Ago26'!$BC22</f>
        <v>3</v>
      </c>
      <c r="DA21" s="272"/>
      <c r="DB21" s="272"/>
      <c r="DC21" s="272"/>
      <c r="DE21" s="272"/>
      <c r="DF21" s="534">
        <f t="shared" si="1"/>
        <v>103</v>
      </c>
      <c r="DG21" s="532">
        <f t="shared" si="9"/>
        <v>20</v>
      </c>
      <c r="DH21" s="532">
        <f t="shared" si="5"/>
        <v>41</v>
      </c>
      <c r="DI21" s="532">
        <f t="shared" si="6"/>
        <v>42</v>
      </c>
      <c r="DK21" s="533">
        <f t="shared" si="7"/>
        <v>0.1941747572815534</v>
      </c>
      <c r="DL21" s="533">
        <f t="shared" si="2"/>
        <v>0.39805825242718446</v>
      </c>
      <c r="DM21" s="533">
        <f t="shared" si="3"/>
        <v>0.40776699029126212</v>
      </c>
      <c r="DN21" s="533"/>
      <c r="DO21" s="532">
        <v>7</v>
      </c>
      <c r="DP21" s="271" t="s">
        <v>216</v>
      </c>
      <c r="DQ21" s="533">
        <v>0.4854368932038835</v>
      </c>
      <c r="DR21" s="533">
        <v>0.25242718446601942</v>
      </c>
      <c r="DS21" s="533">
        <v>0.26213592233009708</v>
      </c>
      <c r="DU21" s="532">
        <v>20</v>
      </c>
      <c r="DV21" s="532">
        <v>0</v>
      </c>
      <c r="DW21" s="532">
        <f t="shared" si="8"/>
        <v>-42</v>
      </c>
      <c r="DY21" s="271">
        <v>9</v>
      </c>
      <c r="DZ21" s="918">
        <f t="shared" si="10"/>
        <v>0.1</v>
      </c>
    </row>
    <row r="22" spans="1:130" ht="17.25" customHeight="1">
      <c r="A22" s="274" t="s">
        <v>219</v>
      </c>
      <c r="B22" s="275">
        <v>4</v>
      </c>
      <c r="C22" s="275">
        <v>4</v>
      </c>
      <c r="D22" s="275">
        <v>4</v>
      </c>
      <c r="E22" s="275">
        <v>4</v>
      </c>
      <c r="F22" s="275">
        <v>4</v>
      </c>
      <c r="G22" s="275">
        <v>4</v>
      </c>
      <c r="H22" s="275">
        <v>4</v>
      </c>
      <c r="I22" s="275">
        <v>4</v>
      </c>
      <c r="J22" s="275">
        <v>4</v>
      </c>
      <c r="K22" s="275">
        <v>4</v>
      </c>
      <c r="L22" s="275">
        <v>5</v>
      </c>
      <c r="M22" s="275">
        <v>5</v>
      </c>
      <c r="N22" s="275">
        <v>5</v>
      </c>
      <c r="O22" s="275">
        <v>5</v>
      </c>
      <c r="P22" s="275">
        <v>5</v>
      </c>
      <c r="Q22" s="275">
        <v>5</v>
      </c>
      <c r="R22" s="275">
        <v>5</v>
      </c>
      <c r="S22" s="275">
        <v>5</v>
      </c>
      <c r="T22" s="275">
        <v>4</v>
      </c>
      <c r="U22" s="275">
        <v>4</v>
      </c>
      <c r="V22" s="275">
        <v>4</v>
      </c>
      <c r="W22" s="275">
        <v>4</v>
      </c>
      <c r="X22" s="275">
        <v>5</v>
      </c>
      <c r="Y22" s="275">
        <v>4</v>
      </c>
      <c r="Z22" s="275">
        <v>4</v>
      </c>
      <c r="AA22" s="275">
        <v>3</v>
      </c>
      <c r="AB22" s="275">
        <v>4</v>
      </c>
      <c r="AC22" s="275">
        <v>3</v>
      </c>
      <c r="AD22" s="275">
        <v>4</v>
      </c>
      <c r="AE22" s="275">
        <v>4</v>
      </c>
      <c r="AF22" s="275">
        <v>3</v>
      </c>
      <c r="AG22" s="275">
        <v>3</v>
      </c>
      <c r="AH22" s="275">
        <v>3</v>
      </c>
      <c r="AI22" s="275">
        <v>3</v>
      </c>
      <c r="AJ22" s="275">
        <v>3</v>
      </c>
      <c r="AK22" s="275">
        <v>3</v>
      </c>
      <c r="AL22" s="275">
        <v>3</v>
      </c>
      <c r="AM22" s="275">
        <v>3</v>
      </c>
      <c r="AN22" s="275">
        <v>3</v>
      </c>
      <c r="AO22" s="275">
        <v>3</v>
      </c>
      <c r="AP22" s="275">
        <v>3</v>
      </c>
      <c r="AQ22" s="275">
        <v>2</v>
      </c>
      <c r="AR22" s="275">
        <v>3</v>
      </c>
      <c r="AS22" s="275">
        <v>2</v>
      </c>
      <c r="AT22" s="275">
        <v>2</v>
      </c>
      <c r="AU22" s="275">
        <v>2</v>
      </c>
      <c r="AV22" s="275">
        <v>2</v>
      </c>
      <c r="AW22" s="275">
        <v>4</v>
      </c>
      <c r="AX22" s="275">
        <v>4</v>
      </c>
      <c r="AY22" s="275">
        <v>3</v>
      </c>
      <c r="AZ22" s="275">
        <v>2</v>
      </c>
      <c r="BA22" s="275">
        <v>3</v>
      </c>
      <c r="BB22" s="275">
        <v>3</v>
      </c>
      <c r="BC22" s="275">
        <v>3</v>
      </c>
      <c r="BD22" s="275">
        <v>3</v>
      </c>
      <c r="BE22" s="275">
        <v>3</v>
      </c>
      <c r="BF22" s="275">
        <v>4</v>
      </c>
      <c r="BG22" s="275">
        <v>3</v>
      </c>
      <c r="BH22" s="275">
        <v>3</v>
      </c>
      <c r="BI22" s="275">
        <v>5</v>
      </c>
      <c r="BJ22" s="275">
        <v>5</v>
      </c>
      <c r="BK22" s="275">
        <v>5</v>
      </c>
      <c r="BL22" s="275">
        <v>5</v>
      </c>
      <c r="BM22" s="275">
        <v>5</v>
      </c>
      <c r="BN22" s="275">
        <v>5</v>
      </c>
      <c r="BO22" s="275">
        <v>5</v>
      </c>
      <c r="BP22" s="275">
        <v>5</v>
      </c>
      <c r="BQ22" s="275">
        <v>5</v>
      </c>
      <c r="BR22" s="275">
        <v>5</v>
      </c>
      <c r="BS22" s="275">
        <f>+'Nov23'!$BC23</f>
        <v>5</v>
      </c>
      <c r="BT22" s="275">
        <f>+'Dic23'!$BC23</f>
        <v>5</v>
      </c>
      <c r="BU22" s="275">
        <f>+'Ene24'!$BC23</f>
        <v>5</v>
      </c>
      <c r="BV22" s="275">
        <f>+'Feb24'!$BC23</f>
        <v>5</v>
      </c>
      <c r="BW22" s="275">
        <f>+'Mar24'!$BC23</f>
        <v>5</v>
      </c>
      <c r="BX22" s="275">
        <f>+'Abr24'!$BC23</f>
        <v>5</v>
      </c>
      <c r="BY22" s="275">
        <f>+'May24'!BC23</f>
        <v>5</v>
      </c>
      <c r="BZ22" s="275">
        <f>+'Jun24'!BC23</f>
        <v>5</v>
      </c>
      <c r="CA22" s="275">
        <f>+'Jul24'!BC23</f>
        <v>4</v>
      </c>
      <c r="CB22" s="275">
        <f>+'Ago24'!BB23</f>
        <v>4</v>
      </c>
      <c r="CC22" s="275">
        <f>+'Sep24'!BB23</f>
        <v>4</v>
      </c>
      <c r="CD22" s="275">
        <f>+'Oct24'!BB23</f>
        <v>4</v>
      </c>
      <c r="CE22" s="275">
        <f>+'Nov24'!BB23</f>
        <v>4</v>
      </c>
      <c r="CF22" s="275">
        <f>+'Dic24'!BB23</f>
        <v>4</v>
      </c>
      <c r="CG22" s="272">
        <f>+'Ene25'!BC23</f>
        <v>4</v>
      </c>
      <c r="CH22" s="272">
        <f>+'Feb25'!BC23</f>
        <v>4</v>
      </c>
      <c r="CI22" s="272">
        <f>+'Mar25'!BC23</f>
        <v>4</v>
      </c>
      <c r="CJ22" s="272">
        <f>+'Abr25'!BD23</f>
        <v>4</v>
      </c>
      <c r="CK22" s="272">
        <f>+'May25'!BD23</f>
        <v>4</v>
      </c>
      <c r="CL22" s="272">
        <f>+'Jun25'!BD23</f>
        <v>4</v>
      </c>
      <c r="CM22" s="272">
        <f>+'Jul25'!BD23</f>
        <v>4</v>
      </c>
      <c r="CN22" s="272">
        <f>+'Ago25'!BC23</f>
        <v>4</v>
      </c>
      <c r="CO22" s="272">
        <f>+'Sep25'!BC23</f>
        <v>4</v>
      </c>
      <c r="CP22" s="272">
        <f>+'Oct25'!BC23</f>
        <v>4</v>
      </c>
      <c r="CQ22" s="272">
        <f>+'Nov25'!BC23</f>
        <v>4</v>
      </c>
      <c r="CR22" s="272">
        <f>+'Dic25'!BC23</f>
        <v>4</v>
      </c>
      <c r="CS22" s="703">
        <f>+'Ene26'!BC23</f>
        <v>5</v>
      </c>
      <c r="CT22" s="703">
        <f>+'Feb26'!$BC23</f>
        <v>5</v>
      </c>
      <c r="CU22" s="703">
        <f>+'Mar26'!$BC23</f>
        <v>4</v>
      </c>
      <c r="CV22" s="703">
        <f>+'Abr26'!$BC23</f>
        <v>5</v>
      </c>
      <c r="CW22" s="703">
        <f>+'May26'!$BC23</f>
        <v>4</v>
      </c>
      <c r="CX22" s="703">
        <f>+'Jun26'!$BC23</f>
        <v>4</v>
      </c>
      <c r="CY22" s="703">
        <f>+'Jul26'!$BC23</f>
        <v>5</v>
      </c>
      <c r="CZ22" s="703">
        <f>+'Ago26'!$BC23</f>
        <v>5</v>
      </c>
      <c r="DA22" s="272"/>
      <c r="DB22" s="272"/>
      <c r="DC22" s="272"/>
      <c r="DE22" s="272"/>
      <c r="DF22" s="534">
        <f t="shared" si="1"/>
        <v>103</v>
      </c>
      <c r="DG22" s="532">
        <f t="shared" si="9"/>
        <v>6</v>
      </c>
      <c r="DH22" s="532">
        <f t="shared" si="5"/>
        <v>22</v>
      </c>
      <c r="DI22" s="532">
        <f t="shared" si="6"/>
        <v>75</v>
      </c>
      <c r="DK22" s="533">
        <f t="shared" si="7"/>
        <v>5.8252427184466021E-2</v>
      </c>
      <c r="DL22" s="533">
        <f t="shared" si="2"/>
        <v>0.21359223300970873</v>
      </c>
      <c r="DM22" s="533">
        <f t="shared" si="3"/>
        <v>0.72815533980582525</v>
      </c>
      <c r="DN22" s="533"/>
      <c r="DO22" s="532">
        <v>3</v>
      </c>
      <c r="DP22" s="271" t="s">
        <v>215</v>
      </c>
      <c r="DQ22" s="533">
        <v>0.39805825242718446</v>
      </c>
      <c r="DR22" s="533">
        <v>0.38834951456310679</v>
      </c>
      <c r="DS22" s="533">
        <v>0.21359223300970873</v>
      </c>
      <c r="DU22" s="532">
        <v>6</v>
      </c>
      <c r="DV22" s="532">
        <v>0</v>
      </c>
      <c r="DW22" s="532">
        <f t="shared" si="8"/>
        <v>-75</v>
      </c>
      <c r="DY22" s="271">
        <v>10</v>
      </c>
      <c r="DZ22" s="918">
        <f t="shared" si="10"/>
        <v>0.1</v>
      </c>
    </row>
    <row r="23" spans="1:130" ht="17.25" customHeight="1">
      <c r="A23" s="274" t="s">
        <v>39</v>
      </c>
      <c r="B23" s="275">
        <v>4</v>
      </c>
      <c r="C23" s="275">
        <v>4</v>
      </c>
      <c r="D23" s="275">
        <v>4</v>
      </c>
      <c r="E23" s="275">
        <v>4</v>
      </c>
      <c r="F23" s="275">
        <v>4</v>
      </c>
      <c r="G23" s="275">
        <v>4</v>
      </c>
      <c r="H23" s="275">
        <v>4</v>
      </c>
      <c r="I23" s="275">
        <v>4</v>
      </c>
      <c r="J23" s="275">
        <v>3</v>
      </c>
      <c r="K23" s="275">
        <v>3</v>
      </c>
      <c r="L23" s="275">
        <v>3</v>
      </c>
      <c r="M23" s="275">
        <v>3</v>
      </c>
      <c r="N23" s="275">
        <v>3</v>
      </c>
      <c r="O23" s="275">
        <v>2</v>
      </c>
      <c r="P23" s="275">
        <v>2</v>
      </c>
      <c r="Q23" s="275">
        <v>2</v>
      </c>
      <c r="R23" s="275">
        <v>2</v>
      </c>
      <c r="S23" s="275">
        <v>2</v>
      </c>
      <c r="T23" s="275">
        <v>2</v>
      </c>
      <c r="U23" s="275">
        <v>2</v>
      </c>
      <c r="V23" s="275">
        <v>1</v>
      </c>
      <c r="W23" s="275">
        <v>1</v>
      </c>
      <c r="X23" s="275">
        <v>1</v>
      </c>
      <c r="Y23" s="275">
        <v>2</v>
      </c>
      <c r="Z23" s="275">
        <v>2</v>
      </c>
      <c r="AA23" s="275">
        <v>2</v>
      </c>
      <c r="AB23" s="275">
        <v>3</v>
      </c>
      <c r="AC23" s="275">
        <v>2</v>
      </c>
      <c r="AD23" s="275">
        <v>3</v>
      </c>
      <c r="AE23" s="275">
        <v>3</v>
      </c>
      <c r="AF23" s="275">
        <v>3</v>
      </c>
      <c r="AG23" s="275">
        <v>3</v>
      </c>
      <c r="AH23" s="275">
        <v>4</v>
      </c>
      <c r="AI23" s="275">
        <v>4</v>
      </c>
      <c r="AJ23" s="275">
        <v>3</v>
      </c>
      <c r="AK23" s="275">
        <v>2</v>
      </c>
      <c r="AL23" s="275">
        <v>2</v>
      </c>
      <c r="AM23" s="275">
        <v>2</v>
      </c>
      <c r="AN23" s="275">
        <v>2</v>
      </c>
      <c r="AO23" s="275">
        <v>2</v>
      </c>
      <c r="AP23" s="275">
        <v>2</v>
      </c>
      <c r="AQ23" s="275">
        <v>2</v>
      </c>
      <c r="AR23" s="275">
        <v>3</v>
      </c>
      <c r="AS23" s="275">
        <v>3</v>
      </c>
      <c r="AT23" s="275">
        <v>3</v>
      </c>
      <c r="AU23" s="275">
        <v>2</v>
      </c>
      <c r="AV23" s="275">
        <v>2</v>
      </c>
      <c r="AW23" s="275">
        <v>3</v>
      </c>
      <c r="AX23" s="275">
        <v>3</v>
      </c>
      <c r="AY23" s="275">
        <v>3</v>
      </c>
      <c r="AZ23" s="275">
        <v>4</v>
      </c>
      <c r="BA23" s="275">
        <v>4</v>
      </c>
      <c r="BB23" s="275">
        <v>4</v>
      </c>
      <c r="BC23" s="275">
        <v>4</v>
      </c>
      <c r="BD23" s="275">
        <v>4</v>
      </c>
      <c r="BE23" s="275">
        <v>4</v>
      </c>
      <c r="BF23" s="275">
        <v>3</v>
      </c>
      <c r="BG23" s="275">
        <v>4</v>
      </c>
      <c r="BH23" s="275">
        <v>4</v>
      </c>
      <c r="BI23" s="275">
        <v>4</v>
      </c>
      <c r="BJ23" s="275">
        <v>4</v>
      </c>
      <c r="BK23" s="275">
        <v>4</v>
      </c>
      <c r="BL23" s="275">
        <v>3</v>
      </c>
      <c r="BM23" s="275">
        <v>2</v>
      </c>
      <c r="BN23" s="275">
        <v>2</v>
      </c>
      <c r="BO23" s="275">
        <v>2</v>
      </c>
      <c r="BP23" s="275">
        <v>2</v>
      </c>
      <c r="BQ23" s="275">
        <v>2</v>
      </c>
      <c r="BR23" s="275">
        <v>2</v>
      </c>
      <c r="BS23" s="275">
        <f>+'Nov23'!$BC24</f>
        <v>2</v>
      </c>
      <c r="BT23" s="275">
        <f>+'Dic23'!$BC24</f>
        <v>3</v>
      </c>
      <c r="BU23" s="275">
        <f>+'Ene24'!$BC24</f>
        <v>2</v>
      </c>
      <c r="BV23" s="275">
        <f>+'Feb24'!$BC24</f>
        <v>2</v>
      </c>
      <c r="BW23" s="275">
        <f>+'Mar24'!$BC24</f>
        <v>2</v>
      </c>
      <c r="BX23" s="275">
        <f>+'Abr24'!$BC24</f>
        <v>4</v>
      </c>
      <c r="BY23" s="275">
        <f>+'May24'!BC24</f>
        <v>4</v>
      </c>
      <c r="BZ23" s="275">
        <f>+'Jun24'!BC24</f>
        <v>4</v>
      </c>
      <c r="CA23" s="275">
        <f>+'Jul24'!BC24</f>
        <v>4</v>
      </c>
      <c r="CB23" s="275">
        <f>+'Ago24'!BB24</f>
        <v>4</v>
      </c>
      <c r="CC23" s="275">
        <f>+'Sep24'!BB24</f>
        <v>4</v>
      </c>
      <c r="CD23" s="275">
        <f>+'Oct24'!BB24</f>
        <v>4</v>
      </c>
      <c r="CE23" s="275">
        <f>+'Nov24'!BB24</f>
        <v>4</v>
      </c>
      <c r="CF23" s="275">
        <f>+'Dic24'!BB24</f>
        <v>4</v>
      </c>
      <c r="CG23" s="272">
        <f>+'Ene25'!BC24</f>
        <v>4</v>
      </c>
      <c r="CH23" s="272">
        <f>+'Feb25'!BC24</f>
        <v>4</v>
      </c>
      <c r="CI23" s="272">
        <f>+'Mar25'!BC24</f>
        <v>4</v>
      </c>
      <c r="CJ23" s="272">
        <f>+'Abr25'!BD24</f>
        <v>4</v>
      </c>
      <c r="CK23" s="272">
        <f>+'May25'!BD24</f>
        <v>4</v>
      </c>
      <c r="CL23" s="272">
        <f>+'Jun25'!BD24</f>
        <v>4</v>
      </c>
      <c r="CM23" s="272">
        <f>+'Jul25'!BD24</f>
        <v>4</v>
      </c>
      <c r="CN23" s="272">
        <f>+'Ago25'!BC24</f>
        <v>4</v>
      </c>
      <c r="CO23" s="272">
        <f>+'Sep25'!BC24</f>
        <v>4</v>
      </c>
      <c r="CP23" s="272">
        <f>+'Oct25'!BC24</f>
        <v>4</v>
      </c>
      <c r="CQ23" s="272">
        <f>+'Nov25'!BC24</f>
        <v>4</v>
      </c>
      <c r="CR23" s="272">
        <f>+'Dic25'!BC24</f>
        <v>4</v>
      </c>
      <c r="CS23" s="703">
        <f>+'Ene26'!BC24</f>
        <v>4</v>
      </c>
      <c r="CT23" s="703">
        <f>+'Feb26'!$BC24</f>
        <v>4</v>
      </c>
      <c r="CU23" s="703">
        <f>+'Mar26'!$BC24</f>
        <v>4</v>
      </c>
      <c r="CV23" s="703">
        <f>+'Abr26'!$BC24</f>
        <v>4</v>
      </c>
      <c r="CW23" s="703">
        <f>+'May26'!$BC24</f>
        <v>4</v>
      </c>
      <c r="CX23" s="703">
        <f>+'Jun26'!$BC24</f>
        <v>4</v>
      </c>
      <c r="CY23" s="703">
        <f>+'Jul26'!$BC24</f>
        <v>4</v>
      </c>
      <c r="CZ23" s="703">
        <f>+'Ago26'!$BC24</f>
        <v>4</v>
      </c>
      <c r="DA23" s="272"/>
      <c r="DB23" s="272"/>
      <c r="DC23" s="272"/>
      <c r="DE23" s="272"/>
      <c r="DF23" s="534">
        <f t="shared" si="1"/>
        <v>103</v>
      </c>
      <c r="DG23" s="532">
        <f t="shared" si="9"/>
        <v>33</v>
      </c>
      <c r="DH23" s="532">
        <f t="shared" si="5"/>
        <v>20</v>
      </c>
      <c r="DI23" s="532">
        <f t="shared" si="6"/>
        <v>50</v>
      </c>
      <c r="DK23" s="533">
        <f t="shared" si="7"/>
        <v>0.32038834951456313</v>
      </c>
      <c r="DL23" s="533">
        <f t="shared" si="2"/>
        <v>0.1941747572815534</v>
      </c>
      <c r="DM23" s="533">
        <f t="shared" si="3"/>
        <v>0.4854368932038835</v>
      </c>
      <c r="DN23" s="533"/>
      <c r="DO23" s="532">
        <v>16</v>
      </c>
      <c r="DP23" s="271" t="s">
        <v>121</v>
      </c>
      <c r="DQ23" s="533">
        <v>0.4563106796116505</v>
      </c>
      <c r="DR23" s="533">
        <v>0.38834951456310679</v>
      </c>
      <c r="DS23" s="533">
        <v>0.1553398058252427</v>
      </c>
      <c r="DU23" s="532">
        <v>33</v>
      </c>
      <c r="DV23" s="532">
        <v>0</v>
      </c>
      <c r="DW23" s="532">
        <f t="shared" si="8"/>
        <v>-50</v>
      </c>
      <c r="DZ23" s="533">
        <v>1</v>
      </c>
    </row>
    <row r="25" spans="1:130">
      <c r="A25" s="897">
        <v>1</v>
      </c>
      <c r="B25" s="921">
        <f>COUNTIFS(B5:B23,"&gt;=1",B5:B23,"&lt;=2")</f>
        <v>5</v>
      </c>
      <c r="C25" s="921">
        <f t="shared" ref="C25:BN25" si="11">COUNTIFS(C5:C23,"&gt;=1",C5:C23,"&lt;=2")</f>
        <v>4</v>
      </c>
      <c r="D25" s="921">
        <f t="shared" si="11"/>
        <v>4</v>
      </c>
      <c r="E25" s="921">
        <f t="shared" si="11"/>
        <v>3</v>
      </c>
      <c r="F25" s="921">
        <f t="shared" si="11"/>
        <v>2</v>
      </c>
      <c r="G25" s="921">
        <f t="shared" si="11"/>
        <v>4</v>
      </c>
      <c r="H25" s="921">
        <f t="shared" si="11"/>
        <v>5</v>
      </c>
      <c r="I25" s="921">
        <f t="shared" si="11"/>
        <v>4</v>
      </c>
      <c r="J25" s="921">
        <f t="shared" si="11"/>
        <v>5</v>
      </c>
      <c r="K25" s="921">
        <f t="shared" si="11"/>
        <v>4</v>
      </c>
      <c r="L25" s="921">
        <f t="shared" si="11"/>
        <v>6</v>
      </c>
      <c r="M25" s="921">
        <f t="shared" si="11"/>
        <v>9</v>
      </c>
      <c r="N25" s="921">
        <f t="shared" si="11"/>
        <v>6</v>
      </c>
      <c r="O25" s="921">
        <f t="shared" si="11"/>
        <v>7</v>
      </c>
      <c r="P25" s="921">
        <f t="shared" si="11"/>
        <v>7</v>
      </c>
      <c r="Q25" s="921">
        <f t="shared" si="11"/>
        <v>8</v>
      </c>
      <c r="R25" s="921">
        <f t="shared" si="11"/>
        <v>8</v>
      </c>
      <c r="S25" s="921">
        <f t="shared" si="11"/>
        <v>11</v>
      </c>
      <c r="T25" s="921">
        <f t="shared" si="11"/>
        <v>10</v>
      </c>
      <c r="U25" s="921">
        <f t="shared" si="11"/>
        <v>9</v>
      </c>
      <c r="V25" s="921">
        <f t="shared" si="11"/>
        <v>8</v>
      </c>
      <c r="W25" s="921">
        <f t="shared" si="11"/>
        <v>9</v>
      </c>
      <c r="X25" s="921">
        <f t="shared" si="11"/>
        <v>7</v>
      </c>
      <c r="Y25" s="921">
        <f t="shared" si="11"/>
        <v>6</v>
      </c>
      <c r="Z25" s="921">
        <f t="shared" si="11"/>
        <v>10</v>
      </c>
      <c r="AA25" s="921">
        <f t="shared" si="11"/>
        <v>8</v>
      </c>
      <c r="AB25" s="921">
        <f t="shared" si="11"/>
        <v>9</v>
      </c>
      <c r="AC25" s="921">
        <f t="shared" si="11"/>
        <v>10</v>
      </c>
      <c r="AD25" s="921">
        <f t="shared" si="11"/>
        <v>9</v>
      </c>
      <c r="AE25" s="921">
        <f t="shared" si="11"/>
        <v>9</v>
      </c>
      <c r="AF25" s="921">
        <f t="shared" si="11"/>
        <v>9</v>
      </c>
      <c r="AG25" s="921">
        <f t="shared" si="11"/>
        <v>9</v>
      </c>
      <c r="AH25" s="921">
        <f t="shared" si="11"/>
        <v>7</v>
      </c>
      <c r="AI25" s="921">
        <f t="shared" si="11"/>
        <v>7</v>
      </c>
      <c r="AJ25" s="921">
        <f t="shared" si="11"/>
        <v>7</v>
      </c>
      <c r="AK25" s="921">
        <f t="shared" si="11"/>
        <v>11</v>
      </c>
      <c r="AL25" s="921">
        <f t="shared" si="11"/>
        <v>10</v>
      </c>
      <c r="AM25" s="921">
        <f t="shared" si="11"/>
        <v>11</v>
      </c>
      <c r="AN25" s="921">
        <f t="shared" si="11"/>
        <v>9</v>
      </c>
      <c r="AO25" s="921">
        <f t="shared" si="11"/>
        <v>8</v>
      </c>
      <c r="AP25" s="921">
        <f t="shared" si="11"/>
        <v>8</v>
      </c>
      <c r="AQ25" s="921">
        <f t="shared" si="11"/>
        <v>7</v>
      </c>
      <c r="AR25" s="921">
        <f t="shared" si="11"/>
        <v>5</v>
      </c>
      <c r="AS25" s="921">
        <f t="shared" si="11"/>
        <v>7</v>
      </c>
      <c r="AT25" s="921">
        <f t="shared" si="11"/>
        <v>6</v>
      </c>
      <c r="AU25" s="921">
        <f t="shared" si="11"/>
        <v>7</v>
      </c>
      <c r="AV25" s="921">
        <f t="shared" si="11"/>
        <v>4</v>
      </c>
      <c r="AW25" s="921">
        <f t="shared" si="11"/>
        <v>3</v>
      </c>
      <c r="AX25" s="921">
        <f t="shared" si="11"/>
        <v>0</v>
      </c>
      <c r="AY25" s="921">
        <f t="shared" si="11"/>
        <v>1</v>
      </c>
      <c r="AZ25" s="921">
        <f t="shared" si="11"/>
        <v>3</v>
      </c>
      <c r="BA25" s="921">
        <f t="shared" si="11"/>
        <v>2</v>
      </c>
      <c r="BB25" s="921">
        <f t="shared" si="11"/>
        <v>2</v>
      </c>
      <c r="BC25" s="921">
        <f t="shared" si="11"/>
        <v>2</v>
      </c>
      <c r="BD25" s="921">
        <f t="shared" si="11"/>
        <v>4</v>
      </c>
      <c r="BE25" s="921">
        <f t="shared" si="11"/>
        <v>3</v>
      </c>
      <c r="BF25" s="921">
        <f t="shared" si="11"/>
        <v>2</v>
      </c>
      <c r="BG25" s="921">
        <f t="shared" si="11"/>
        <v>1</v>
      </c>
      <c r="BH25" s="921">
        <f t="shared" si="11"/>
        <v>0</v>
      </c>
      <c r="BI25" s="921">
        <f t="shared" si="11"/>
        <v>1</v>
      </c>
      <c r="BJ25" s="921">
        <f t="shared" si="11"/>
        <v>1</v>
      </c>
      <c r="BK25" s="921">
        <f t="shared" si="11"/>
        <v>1</v>
      </c>
      <c r="BL25" s="921">
        <f t="shared" si="11"/>
        <v>1</v>
      </c>
      <c r="BM25" s="921">
        <f t="shared" si="11"/>
        <v>2</v>
      </c>
      <c r="BN25" s="921">
        <f t="shared" si="11"/>
        <v>1</v>
      </c>
      <c r="BO25" s="921">
        <f t="shared" ref="BO25:CX25" si="12">COUNTIFS(BO5:BO23,"&gt;=1",BO5:BO23,"&lt;=2")</f>
        <v>1</v>
      </c>
      <c r="BP25" s="921">
        <f t="shared" si="12"/>
        <v>1</v>
      </c>
      <c r="BQ25" s="921">
        <f t="shared" si="12"/>
        <v>1</v>
      </c>
      <c r="BR25" s="921">
        <f t="shared" si="12"/>
        <v>2</v>
      </c>
      <c r="BS25" s="921">
        <f t="shared" si="12"/>
        <v>2</v>
      </c>
      <c r="BT25" s="921">
        <f t="shared" si="12"/>
        <v>2</v>
      </c>
      <c r="BU25" s="921">
        <f t="shared" si="12"/>
        <v>6</v>
      </c>
      <c r="BV25" s="921">
        <f t="shared" si="12"/>
        <v>6</v>
      </c>
      <c r="BW25" s="921">
        <f t="shared" si="12"/>
        <v>5</v>
      </c>
      <c r="BX25" s="921">
        <f t="shared" si="12"/>
        <v>3</v>
      </c>
      <c r="BY25" s="921">
        <f t="shared" si="12"/>
        <v>2</v>
      </c>
      <c r="BZ25" s="921">
        <f t="shared" si="12"/>
        <v>3</v>
      </c>
      <c r="CA25" s="921">
        <f t="shared" si="12"/>
        <v>1</v>
      </c>
      <c r="CB25" s="921">
        <f t="shared" si="12"/>
        <v>1</v>
      </c>
      <c r="CC25" s="921">
        <f t="shared" si="12"/>
        <v>1</v>
      </c>
      <c r="CD25" s="921">
        <f t="shared" si="12"/>
        <v>1</v>
      </c>
      <c r="CE25" s="921">
        <f t="shared" si="12"/>
        <v>1</v>
      </c>
      <c r="CF25" s="921">
        <f t="shared" si="12"/>
        <v>1</v>
      </c>
      <c r="CG25" s="921">
        <f t="shared" si="12"/>
        <v>3</v>
      </c>
      <c r="CH25" s="921">
        <f t="shared" si="12"/>
        <v>2</v>
      </c>
      <c r="CI25" s="921">
        <f t="shared" si="12"/>
        <v>2</v>
      </c>
      <c r="CJ25" s="921">
        <f t="shared" si="12"/>
        <v>2</v>
      </c>
      <c r="CK25" s="921">
        <f t="shared" si="12"/>
        <v>3</v>
      </c>
      <c r="CL25" s="921">
        <f t="shared" si="12"/>
        <v>4</v>
      </c>
      <c r="CM25" s="921">
        <f t="shared" si="12"/>
        <v>7</v>
      </c>
      <c r="CN25" s="921">
        <f t="shared" si="12"/>
        <v>6</v>
      </c>
      <c r="CO25" s="921">
        <f t="shared" si="12"/>
        <v>5</v>
      </c>
      <c r="CP25" s="921">
        <f t="shared" si="12"/>
        <v>6</v>
      </c>
      <c r="CQ25" s="921">
        <f t="shared" si="12"/>
        <v>5</v>
      </c>
      <c r="CR25" s="921">
        <f t="shared" si="12"/>
        <v>4</v>
      </c>
      <c r="CS25" s="921">
        <f t="shared" si="12"/>
        <v>4</v>
      </c>
      <c r="CT25" s="921">
        <f t="shared" si="12"/>
        <v>4</v>
      </c>
      <c r="CU25" s="921">
        <f t="shared" si="12"/>
        <v>4</v>
      </c>
      <c r="CV25" s="921">
        <f t="shared" si="12"/>
        <v>4</v>
      </c>
      <c r="CW25" s="921">
        <f t="shared" si="12"/>
        <v>4</v>
      </c>
      <c r="CX25" s="921">
        <f t="shared" si="12"/>
        <v>4</v>
      </c>
      <c r="CY25" s="921">
        <f t="shared" ref="CY25:CZ25" si="13">COUNTIFS(CY5:CY23,"&gt;=1",CY5:CY23,"&lt;=2")</f>
        <v>4</v>
      </c>
      <c r="CZ25" s="921">
        <f t="shared" si="13"/>
        <v>5</v>
      </c>
    </row>
    <row r="26" spans="1:130">
      <c r="A26" s="898">
        <v>3</v>
      </c>
      <c r="B26" s="271">
        <f>COUNTIF(B5:B23,3)</f>
        <v>2</v>
      </c>
      <c r="C26" s="271">
        <f t="shared" ref="C26:BN26" si="14">COUNTIF(C5:C23,3)</f>
        <v>3</v>
      </c>
      <c r="D26" s="271">
        <f t="shared" si="14"/>
        <v>3</v>
      </c>
      <c r="E26" s="271">
        <f t="shared" si="14"/>
        <v>5</v>
      </c>
      <c r="F26" s="271">
        <f t="shared" si="14"/>
        <v>5</v>
      </c>
      <c r="G26" s="271">
        <f t="shared" si="14"/>
        <v>5</v>
      </c>
      <c r="H26" s="271">
        <f t="shared" si="14"/>
        <v>3</v>
      </c>
      <c r="I26" s="271">
        <f t="shared" si="14"/>
        <v>6</v>
      </c>
      <c r="J26" s="271">
        <f t="shared" si="14"/>
        <v>7</v>
      </c>
      <c r="K26" s="271">
        <f t="shared" si="14"/>
        <v>4</v>
      </c>
      <c r="L26" s="271">
        <f t="shared" si="14"/>
        <v>5</v>
      </c>
      <c r="M26" s="271">
        <f t="shared" si="14"/>
        <v>3</v>
      </c>
      <c r="N26" s="271">
        <f t="shared" si="14"/>
        <v>5</v>
      </c>
      <c r="O26" s="271">
        <f t="shared" si="14"/>
        <v>5</v>
      </c>
      <c r="P26" s="271">
        <f t="shared" si="14"/>
        <v>5</v>
      </c>
      <c r="Q26" s="271">
        <f t="shared" si="14"/>
        <v>5</v>
      </c>
      <c r="R26" s="271">
        <f t="shared" si="14"/>
        <v>6</v>
      </c>
      <c r="S26" s="271">
        <f t="shared" si="14"/>
        <v>3</v>
      </c>
      <c r="T26" s="271">
        <f t="shared" si="14"/>
        <v>4</v>
      </c>
      <c r="U26" s="271">
        <f t="shared" si="14"/>
        <v>5</v>
      </c>
      <c r="V26" s="271">
        <f t="shared" si="14"/>
        <v>5</v>
      </c>
      <c r="W26" s="271">
        <f t="shared" si="14"/>
        <v>2</v>
      </c>
      <c r="X26" s="271">
        <f t="shared" si="14"/>
        <v>7</v>
      </c>
      <c r="Y26" s="271">
        <f t="shared" si="14"/>
        <v>8</v>
      </c>
      <c r="Z26" s="271">
        <f t="shared" si="14"/>
        <v>4</v>
      </c>
      <c r="AA26" s="271">
        <f t="shared" si="14"/>
        <v>8</v>
      </c>
      <c r="AB26" s="271">
        <f t="shared" si="14"/>
        <v>3</v>
      </c>
      <c r="AC26" s="271">
        <f t="shared" si="14"/>
        <v>2</v>
      </c>
      <c r="AD26" s="271">
        <f t="shared" si="14"/>
        <v>4</v>
      </c>
      <c r="AE26" s="271">
        <f t="shared" si="14"/>
        <v>4</v>
      </c>
      <c r="AF26" s="271">
        <f t="shared" si="14"/>
        <v>6</v>
      </c>
      <c r="AG26" s="271">
        <f t="shared" si="14"/>
        <v>6</v>
      </c>
      <c r="AH26" s="271">
        <f t="shared" si="14"/>
        <v>6</v>
      </c>
      <c r="AI26" s="271">
        <f t="shared" si="14"/>
        <v>5</v>
      </c>
      <c r="AJ26" s="271">
        <f t="shared" si="14"/>
        <v>8</v>
      </c>
      <c r="AK26" s="271">
        <f t="shared" si="14"/>
        <v>4</v>
      </c>
      <c r="AL26" s="271">
        <f t="shared" si="14"/>
        <v>5</v>
      </c>
      <c r="AM26" s="271">
        <f t="shared" si="14"/>
        <v>5</v>
      </c>
      <c r="AN26" s="271">
        <f t="shared" si="14"/>
        <v>6</v>
      </c>
      <c r="AO26" s="271">
        <f t="shared" si="14"/>
        <v>7</v>
      </c>
      <c r="AP26" s="271">
        <f t="shared" si="14"/>
        <v>6</v>
      </c>
      <c r="AQ26" s="271">
        <f t="shared" si="14"/>
        <v>7</v>
      </c>
      <c r="AR26" s="271">
        <f t="shared" si="14"/>
        <v>7</v>
      </c>
      <c r="AS26" s="271">
        <f t="shared" si="14"/>
        <v>3</v>
      </c>
      <c r="AT26" s="271">
        <f t="shared" si="14"/>
        <v>4</v>
      </c>
      <c r="AU26" s="271">
        <f t="shared" si="14"/>
        <v>2</v>
      </c>
      <c r="AV26" s="271">
        <f t="shared" si="14"/>
        <v>6</v>
      </c>
      <c r="AW26" s="271">
        <f t="shared" si="14"/>
        <v>5</v>
      </c>
      <c r="AX26" s="271">
        <f t="shared" si="14"/>
        <v>7</v>
      </c>
      <c r="AY26" s="271">
        <f t="shared" si="14"/>
        <v>6</v>
      </c>
      <c r="AZ26" s="271">
        <f t="shared" si="14"/>
        <v>5</v>
      </c>
      <c r="BA26" s="271">
        <f t="shared" si="14"/>
        <v>6</v>
      </c>
      <c r="BB26" s="271">
        <f t="shared" si="14"/>
        <v>9</v>
      </c>
      <c r="BC26" s="271">
        <f t="shared" si="14"/>
        <v>8</v>
      </c>
      <c r="BD26" s="271">
        <f t="shared" si="14"/>
        <v>7</v>
      </c>
      <c r="BE26" s="271">
        <f t="shared" si="14"/>
        <v>5</v>
      </c>
      <c r="BF26" s="271">
        <f t="shared" si="14"/>
        <v>9</v>
      </c>
      <c r="BG26" s="271">
        <f t="shared" si="14"/>
        <v>8</v>
      </c>
      <c r="BH26" s="271">
        <f t="shared" si="14"/>
        <v>7</v>
      </c>
      <c r="BI26" s="271">
        <f t="shared" si="14"/>
        <v>4</v>
      </c>
      <c r="BJ26" s="271">
        <f t="shared" si="14"/>
        <v>5</v>
      </c>
      <c r="BK26" s="271">
        <f t="shared" si="14"/>
        <v>6</v>
      </c>
      <c r="BL26" s="271">
        <f t="shared" si="14"/>
        <v>7</v>
      </c>
      <c r="BM26" s="271">
        <f t="shared" si="14"/>
        <v>8</v>
      </c>
      <c r="BN26" s="271">
        <f t="shared" si="14"/>
        <v>5</v>
      </c>
      <c r="BO26" s="271">
        <f t="shared" ref="BO26:CX26" si="15">COUNTIF(BO5:BO23,3)</f>
        <v>6</v>
      </c>
      <c r="BP26" s="271">
        <f t="shared" si="15"/>
        <v>6</v>
      </c>
      <c r="BQ26" s="271">
        <f t="shared" si="15"/>
        <v>4</v>
      </c>
      <c r="BR26" s="271">
        <f t="shared" si="15"/>
        <v>5</v>
      </c>
      <c r="BS26" s="271">
        <f t="shared" si="15"/>
        <v>5</v>
      </c>
      <c r="BT26" s="271">
        <f t="shared" si="15"/>
        <v>7</v>
      </c>
      <c r="BU26" s="271">
        <f t="shared" si="15"/>
        <v>5</v>
      </c>
      <c r="BV26" s="271">
        <f t="shared" si="15"/>
        <v>7</v>
      </c>
      <c r="BW26" s="271">
        <f t="shared" si="15"/>
        <v>2</v>
      </c>
      <c r="BX26" s="271">
        <f t="shared" si="15"/>
        <v>2</v>
      </c>
      <c r="BY26" s="271">
        <f t="shared" si="15"/>
        <v>5</v>
      </c>
      <c r="BZ26" s="271">
        <f t="shared" si="15"/>
        <v>4</v>
      </c>
      <c r="CA26" s="271">
        <f t="shared" si="15"/>
        <v>7</v>
      </c>
      <c r="CB26" s="271">
        <f t="shared" si="15"/>
        <v>7</v>
      </c>
      <c r="CC26" s="271">
        <f t="shared" si="15"/>
        <v>7</v>
      </c>
      <c r="CD26" s="271">
        <f t="shared" si="15"/>
        <v>7</v>
      </c>
      <c r="CE26" s="271">
        <f t="shared" si="15"/>
        <v>7</v>
      </c>
      <c r="CF26" s="271">
        <f t="shared" si="15"/>
        <v>7</v>
      </c>
      <c r="CG26" s="271">
        <f t="shared" si="15"/>
        <v>10</v>
      </c>
      <c r="CH26" s="271">
        <f t="shared" si="15"/>
        <v>9</v>
      </c>
      <c r="CI26" s="271">
        <f t="shared" si="15"/>
        <v>10</v>
      </c>
      <c r="CJ26" s="271">
        <f t="shared" si="15"/>
        <v>10</v>
      </c>
      <c r="CK26" s="271">
        <f t="shared" si="15"/>
        <v>9</v>
      </c>
      <c r="CL26" s="271">
        <f t="shared" si="15"/>
        <v>9</v>
      </c>
      <c r="CM26" s="271">
        <f t="shared" si="15"/>
        <v>6</v>
      </c>
      <c r="CN26" s="271">
        <f t="shared" si="15"/>
        <v>8</v>
      </c>
      <c r="CO26" s="271">
        <f t="shared" si="15"/>
        <v>8</v>
      </c>
      <c r="CP26" s="271">
        <f t="shared" si="15"/>
        <v>7</v>
      </c>
      <c r="CQ26" s="271">
        <f t="shared" si="15"/>
        <v>8</v>
      </c>
      <c r="CR26" s="271">
        <f t="shared" si="15"/>
        <v>9</v>
      </c>
      <c r="CS26" s="271">
        <f t="shared" si="15"/>
        <v>7</v>
      </c>
      <c r="CT26" s="271">
        <f t="shared" si="15"/>
        <v>5</v>
      </c>
      <c r="CU26" s="271">
        <f t="shared" si="15"/>
        <v>5</v>
      </c>
      <c r="CV26" s="271">
        <f t="shared" si="15"/>
        <v>7</v>
      </c>
      <c r="CW26" s="271">
        <f t="shared" si="15"/>
        <v>7</v>
      </c>
      <c r="CX26" s="271">
        <f t="shared" si="15"/>
        <v>8</v>
      </c>
      <c r="CY26" s="271">
        <f t="shared" ref="CY26:CZ26" si="16">COUNTIF(CY5:CY23,3)</f>
        <v>6</v>
      </c>
      <c r="CZ26" s="271">
        <f t="shared" si="16"/>
        <v>5</v>
      </c>
    </row>
    <row r="27" spans="1:130">
      <c r="A27" s="896">
        <v>5</v>
      </c>
      <c r="B27" s="921">
        <f>COUNTIFS(B5:B23,"&gt;=4",B5:B23,"&lt;=5")</f>
        <v>11</v>
      </c>
      <c r="C27" s="921">
        <f t="shared" ref="C27:BN27" si="17">COUNTIFS(C5:C23,"&gt;=4",C5:C23,"&lt;=5")</f>
        <v>11</v>
      </c>
      <c r="D27" s="921">
        <f t="shared" si="17"/>
        <v>11</v>
      </c>
      <c r="E27" s="921">
        <f t="shared" si="17"/>
        <v>11</v>
      </c>
      <c r="F27" s="921">
        <f t="shared" si="17"/>
        <v>12</v>
      </c>
      <c r="G27" s="921">
        <f t="shared" si="17"/>
        <v>10</v>
      </c>
      <c r="H27" s="921">
        <f t="shared" si="17"/>
        <v>11</v>
      </c>
      <c r="I27" s="921">
        <f t="shared" si="17"/>
        <v>9</v>
      </c>
      <c r="J27" s="921">
        <f t="shared" si="17"/>
        <v>7</v>
      </c>
      <c r="K27" s="921">
        <f t="shared" si="17"/>
        <v>11</v>
      </c>
      <c r="L27" s="921">
        <f t="shared" si="17"/>
        <v>8</v>
      </c>
      <c r="M27" s="921">
        <f t="shared" si="17"/>
        <v>7</v>
      </c>
      <c r="N27" s="921">
        <f t="shared" si="17"/>
        <v>8</v>
      </c>
      <c r="O27" s="921">
        <f t="shared" si="17"/>
        <v>7</v>
      </c>
      <c r="P27" s="921">
        <f t="shared" si="17"/>
        <v>7</v>
      </c>
      <c r="Q27" s="921">
        <f t="shared" si="17"/>
        <v>6</v>
      </c>
      <c r="R27" s="921">
        <f t="shared" si="17"/>
        <v>5</v>
      </c>
      <c r="S27" s="921">
        <f t="shared" si="17"/>
        <v>5</v>
      </c>
      <c r="T27" s="921">
        <f t="shared" si="17"/>
        <v>5</v>
      </c>
      <c r="U27" s="921">
        <f t="shared" si="17"/>
        <v>5</v>
      </c>
      <c r="V27" s="921">
        <f t="shared" si="17"/>
        <v>6</v>
      </c>
      <c r="W27" s="921">
        <f t="shared" si="17"/>
        <v>8</v>
      </c>
      <c r="X27" s="921">
        <f t="shared" si="17"/>
        <v>5</v>
      </c>
      <c r="Y27" s="921">
        <f t="shared" si="17"/>
        <v>5</v>
      </c>
      <c r="Z27" s="921">
        <f t="shared" si="17"/>
        <v>5</v>
      </c>
      <c r="AA27" s="921">
        <f t="shared" si="17"/>
        <v>3</v>
      </c>
      <c r="AB27" s="921">
        <f t="shared" si="17"/>
        <v>7</v>
      </c>
      <c r="AC27" s="921">
        <f t="shared" si="17"/>
        <v>7</v>
      </c>
      <c r="AD27" s="921">
        <f t="shared" si="17"/>
        <v>6</v>
      </c>
      <c r="AE27" s="921">
        <f t="shared" si="17"/>
        <v>6</v>
      </c>
      <c r="AF27" s="921">
        <f t="shared" si="17"/>
        <v>4</v>
      </c>
      <c r="AG27" s="921">
        <f t="shared" si="17"/>
        <v>4</v>
      </c>
      <c r="AH27" s="921">
        <f t="shared" si="17"/>
        <v>6</v>
      </c>
      <c r="AI27" s="921">
        <f t="shared" si="17"/>
        <v>7</v>
      </c>
      <c r="AJ27" s="921">
        <f t="shared" si="17"/>
        <v>4</v>
      </c>
      <c r="AK27" s="921">
        <f t="shared" si="17"/>
        <v>4</v>
      </c>
      <c r="AL27" s="921">
        <f t="shared" si="17"/>
        <v>4</v>
      </c>
      <c r="AM27" s="921">
        <f t="shared" si="17"/>
        <v>3</v>
      </c>
      <c r="AN27" s="921">
        <f t="shared" si="17"/>
        <v>4</v>
      </c>
      <c r="AO27" s="921">
        <f t="shared" si="17"/>
        <v>4</v>
      </c>
      <c r="AP27" s="921">
        <f t="shared" si="17"/>
        <v>5</v>
      </c>
      <c r="AQ27" s="921">
        <f t="shared" si="17"/>
        <v>5</v>
      </c>
      <c r="AR27" s="921">
        <f t="shared" si="17"/>
        <v>7</v>
      </c>
      <c r="AS27" s="921">
        <f t="shared" si="17"/>
        <v>9</v>
      </c>
      <c r="AT27" s="921">
        <f t="shared" si="17"/>
        <v>9</v>
      </c>
      <c r="AU27" s="921">
        <f t="shared" si="17"/>
        <v>10</v>
      </c>
      <c r="AV27" s="921">
        <f t="shared" si="17"/>
        <v>9</v>
      </c>
      <c r="AW27" s="921">
        <f t="shared" si="17"/>
        <v>11</v>
      </c>
      <c r="AX27" s="921">
        <f t="shared" si="17"/>
        <v>12</v>
      </c>
      <c r="AY27" s="921">
        <f t="shared" si="17"/>
        <v>12</v>
      </c>
      <c r="AZ27" s="921">
        <f t="shared" si="17"/>
        <v>11</v>
      </c>
      <c r="BA27" s="921">
        <f t="shared" si="17"/>
        <v>11</v>
      </c>
      <c r="BB27" s="921">
        <f t="shared" si="17"/>
        <v>8</v>
      </c>
      <c r="BC27" s="921">
        <f t="shared" si="17"/>
        <v>9</v>
      </c>
      <c r="BD27" s="921">
        <f t="shared" si="17"/>
        <v>8</v>
      </c>
      <c r="BE27" s="921">
        <f t="shared" si="17"/>
        <v>11</v>
      </c>
      <c r="BF27" s="921">
        <f t="shared" si="17"/>
        <v>8</v>
      </c>
      <c r="BG27" s="921">
        <f t="shared" si="17"/>
        <v>10</v>
      </c>
      <c r="BH27" s="921">
        <f t="shared" si="17"/>
        <v>12</v>
      </c>
      <c r="BI27" s="921">
        <f t="shared" si="17"/>
        <v>14</v>
      </c>
      <c r="BJ27" s="921">
        <f t="shared" si="17"/>
        <v>13</v>
      </c>
      <c r="BK27" s="921">
        <f t="shared" si="17"/>
        <v>12</v>
      </c>
      <c r="BL27" s="921">
        <f t="shared" si="17"/>
        <v>11</v>
      </c>
      <c r="BM27" s="921">
        <f t="shared" si="17"/>
        <v>9</v>
      </c>
      <c r="BN27" s="921">
        <f t="shared" si="17"/>
        <v>13</v>
      </c>
      <c r="BO27" s="921">
        <f t="shared" ref="BO27:CX27" si="18">COUNTIFS(BO5:BO23,"&gt;=4",BO5:BO23,"&lt;=5")</f>
        <v>12</v>
      </c>
      <c r="BP27" s="921">
        <f t="shared" si="18"/>
        <v>12</v>
      </c>
      <c r="BQ27" s="921">
        <f t="shared" si="18"/>
        <v>14</v>
      </c>
      <c r="BR27" s="921">
        <f t="shared" si="18"/>
        <v>12</v>
      </c>
      <c r="BS27" s="921">
        <f t="shared" si="18"/>
        <v>12</v>
      </c>
      <c r="BT27" s="921">
        <f t="shared" si="18"/>
        <v>10</v>
      </c>
      <c r="BU27" s="921">
        <f t="shared" si="18"/>
        <v>8</v>
      </c>
      <c r="BV27" s="921">
        <f t="shared" si="18"/>
        <v>6</v>
      </c>
      <c r="BW27" s="921">
        <f t="shared" si="18"/>
        <v>12</v>
      </c>
      <c r="BX27" s="921">
        <f t="shared" si="18"/>
        <v>14</v>
      </c>
      <c r="BY27" s="921">
        <f t="shared" si="18"/>
        <v>12</v>
      </c>
      <c r="BZ27" s="921">
        <f t="shared" si="18"/>
        <v>12</v>
      </c>
      <c r="CA27" s="921">
        <f t="shared" si="18"/>
        <v>11</v>
      </c>
      <c r="CB27" s="921">
        <f t="shared" si="18"/>
        <v>11</v>
      </c>
      <c r="CC27" s="921">
        <f t="shared" si="18"/>
        <v>11</v>
      </c>
      <c r="CD27" s="921">
        <f t="shared" si="18"/>
        <v>11</v>
      </c>
      <c r="CE27" s="921">
        <f t="shared" si="18"/>
        <v>11</v>
      </c>
      <c r="CF27" s="921">
        <f t="shared" si="18"/>
        <v>11</v>
      </c>
      <c r="CG27" s="921">
        <f t="shared" si="18"/>
        <v>6</v>
      </c>
      <c r="CH27" s="921">
        <f t="shared" si="18"/>
        <v>8</v>
      </c>
      <c r="CI27" s="921">
        <f t="shared" si="18"/>
        <v>7</v>
      </c>
      <c r="CJ27" s="921">
        <f t="shared" si="18"/>
        <v>7</v>
      </c>
      <c r="CK27" s="921">
        <f t="shared" si="18"/>
        <v>7</v>
      </c>
      <c r="CL27" s="921">
        <f t="shared" si="18"/>
        <v>6</v>
      </c>
      <c r="CM27" s="921">
        <f t="shared" si="18"/>
        <v>6</v>
      </c>
      <c r="CN27" s="921">
        <f t="shared" si="18"/>
        <v>5</v>
      </c>
      <c r="CO27" s="921">
        <f t="shared" si="18"/>
        <v>6</v>
      </c>
      <c r="CP27" s="921">
        <f t="shared" si="18"/>
        <v>6</v>
      </c>
      <c r="CQ27" s="921">
        <f t="shared" si="18"/>
        <v>6</v>
      </c>
      <c r="CR27" s="921">
        <f t="shared" si="18"/>
        <v>6</v>
      </c>
      <c r="CS27" s="921">
        <f t="shared" si="18"/>
        <v>8</v>
      </c>
      <c r="CT27" s="921">
        <f t="shared" si="18"/>
        <v>10</v>
      </c>
      <c r="CU27" s="921">
        <f t="shared" si="18"/>
        <v>10</v>
      </c>
      <c r="CV27" s="921">
        <f t="shared" si="18"/>
        <v>8</v>
      </c>
      <c r="CW27" s="921">
        <f t="shared" si="18"/>
        <v>8</v>
      </c>
      <c r="CX27" s="921">
        <f t="shared" si="18"/>
        <v>7</v>
      </c>
      <c r="CY27" s="921">
        <f t="shared" ref="CY27:CZ27" si="19">COUNTIFS(CY5:CY23,"&gt;=4",CY5:CY23,"&lt;=5")</f>
        <v>9</v>
      </c>
      <c r="CZ27" s="921">
        <f t="shared" si="19"/>
        <v>9</v>
      </c>
    </row>
    <row r="28" spans="1:130">
      <c r="B28" s="921">
        <f>SUM(B25:B27)</f>
        <v>18</v>
      </c>
      <c r="C28" s="921">
        <f t="shared" ref="C28:BN28" si="20">SUM(C25:C27)</f>
        <v>18</v>
      </c>
      <c r="D28" s="921">
        <f t="shared" si="20"/>
        <v>18</v>
      </c>
      <c r="E28" s="921">
        <f t="shared" si="20"/>
        <v>19</v>
      </c>
      <c r="F28" s="921">
        <f t="shared" si="20"/>
        <v>19</v>
      </c>
      <c r="G28" s="921">
        <f t="shared" si="20"/>
        <v>19</v>
      </c>
      <c r="H28" s="921">
        <f t="shared" si="20"/>
        <v>19</v>
      </c>
      <c r="I28" s="921">
        <f t="shared" si="20"/>
        <v>19</v>
      </c>
      <c r="J28" s="921">
        <f t="shared" si="20"/>
        <v>19</v>
      </c>
      <c r="K28" s="921">
        <f t="shared" si="20"/>
        <v>19</v>
      </c>
      <c r="L28" s="921">
        <f t="shared" si="20"/>
        <v>19</v>
      </c>
      <c r="M28" s="921">
        <f t="shared" si="20"/>
        <v>19</v>
      </c>
      <c r="N28" s="921">
        <f t="shared" si="20"/>
        <v>19</v>
      </c>
      <c r="O28" s="921">
        <f t="shared" si="20"/>
        <v>19</v>
      </c>
      <c r="P28" s="921">
        <f t="shared" si="20"/>
        <v>19</v>
      </c>
      <c r="Q28" s="921">
        <f t="shared" si="20"/>
        <v>19</v>
      </c>
      <c r="R28" s="921">
        <f t="shared" si="20"/>
        <v>19</v>
      </c>
      <c r="S28" s="921">
        <f t="shared" si="20"/>
        <v>19</v>
      </c>
      <c r="T28" s="921">
        <f t="shared" si="20"/>
        <v>19</v>
      </c>
      <c r="U28" s="921">
        <f t="shared" si="20"/>
        <v>19</v>
      </c>
      <c r="V28" s="921">
        <f t="shared" si="20"/>
        <v>19</v>
      </c>
      <c r="W28" s="921">
        <f t="shared" si="20"/>
        <v>19</v>
      </c>
      <c r="X28" s="921">
        <f t="shared" si="20"/>
        <v>19</v>
      </c>
      <c r="Y28" s="921">
        <f t="shared" si="20"/>
        <v>19</v>
      </c>
      <c r="Z28" s="921">
        <f t="shared" si="20"/>
        <v>19</v>
      </c>
      <c r="AA28" s="921">
        <f t="shared" si="20"/>
        <v>19</v>
      </c>
      <c r="AB28" s="921">
        <f t="shared" si="20"/>
        <v>19</v>
      </c>
      <c r="AC28" s="921">
        <f t="shared" si="20"/>
        <v>19</v>
      </c>
      <c r="AD28" s="921">
        <f t="shared" si="20"/>
        <v>19</v>
      </c>
      <c r="AE28" s="921">
        <f t="shared" si="20"/>
        <v>19</v>
      </c>
      <c r="AF28" s="921">
        <f t="shared" si="20"/>
        <v>19</v>
      </c>
      <c r="AG28" s="921">
        <f t="shared" si="20"/>
        <v>19</v>
      </c>
      <c r="AH28" s="921">
        <f t="shared" si="20"/>
        <v>19</v>
      </c>
      <c r="AI28" s="921">
        <f t="shared" si="20"/>
        <v>19</v>
      </c>
      <c r="AJ28" s="921">
        <f t="shared" si="20"/>
        <v>19</v>
      </c>
      <c r="AK28" s="921">
        <f t="shared" si="20"/>
        <v>19</v>
      </c>
      <c r="AL28" s="921">
        <f t="shared" si="20"/>
        <v>19</v>
      </c>
      <c r="AM28" s="921">
        <f t="shared" si="20"/>
        <v>19</v>
      </c>
      <c r="AN28" s="921">
        <f t="shared" si="20"/>
        <v>19</v>
      </c>
      <c r="AO28" s="921">
        <f t="shared" si="20"/>
        <v>19</v>
      </c>
      <c r="AP28" s="921">
        <f t="shared" si="20"/>
        <v>19</v>
      </c>
      <c r="AQ28" s="921">
        <f t="shared" si="20"/>
        <v>19</v>
      </c>
      <c r="AR28" s="921">
        <f t="shared" si="20"/>
        <v>19</v>
      </c>
      <c r="AS28" s="921">
        <f t="shared" si="20"/>
        <v>19</v>
      </c>
      <c r="AT28" s="921">
        <f t="shared" si="20"/>
        <v>19</v>
      </c>
      <c r="AU28" s="921">
        <f t="shared" si="20"/>
        <v>19</v>
      </c>
      <c r="AV28" s="921">
        <f t="shared" si="20"/>
        <v>19</v>
      </c>
      <c r="AW28" s="921">
        <f t="shared" si="20"/>
        <v>19</v>
      </c>
      <c r="AX28" s="921">
        <f t="shared" si="20"/>
        <v>19</v>
      </c>
      <c r="AY28" s="921">
        <f t="shared" si="20"/>
        <v>19</v>
      </c>
      <c r="AZ28" s="921">
        <f t="shared" si="20"/>
        <v>19</v>
      </c>
      <c r="BA28" s="921">
        <f t="shared" si="20"/>
        <v>19</v>
      </c>
      <c r="BB28" s="921">
        <f t="shared" si="20"/>
        <v>19</v>
      </c>
      <c r="BC28" s="921">
        <f t="shared" si="20"/>
        <v>19</v>
      </c>
      <c r="BD28" s="921">
        <f t="shared" si="20"/>
        <v>19</v>
      </c>
      <c r="BE28" s="921">
        <f t="shared" si="20"/>
        <v>19</v>
      </c>
      <c r="BF28" s="921">
        <f t="shared" si="20"/>
        <v>19</v>
      </c>
      <c r="BG28" s="921">
        <f t="shared" si="20"/>
        <v>19</v>
      </c>
      <c r="BH28" s="921">
        <f t="shared" si="20"/>
        <v>19</v>
      </c>
      <c r="BI28" s="921">
        <f t="shared" si="20"/>
        <v>19</v>
      </c>
      <c r="BJ28" s="921">
        <f t="shared" si="20"/>
        <v>19</v>
      </c>
      <c r="BK28" s="921">
        <f t="shared" si="20"/>
        <v>19</v>
      </c>
      <c r="BL28" s="921">
        <f t="shared" si="20"/>
        <v>19</v>
      </c>
      <c r="BM28" s="921">
        <f t="shared" si="20"/>
        <v>19</v>
      </c>
      <c r="BN28" s="921">
        <f t="shared" si="20"/>
        <v>19</v>
      </c>
      <c r="BO28" s="921">
        <f t="shared" ref="BO28:CY28" si="21">SUM(BO25:BO27)</f>
        <v>19</v>
      </c>
      <c r="BP28" s="921">
        <f t="shared" si="21"/>
        <v>19</v>
      </c>
      <c r="BQ28" s="921">
        <f t="shared" si="21"/>
        <v>19</v>
      </c>
      <c r="BR28" s="921">
        <f t="shared" si="21"/>
        <v>19</v>
      </c>
      <c r="BS28" s="921">
        <f t="shared" si="21"/>
        <v>19</v>
      </c>
      <c r="BT28" s="921">
        <f t="shared" si="21"/>
        <v>19</v>
      </c>
      <c r="BU28" s="921">
        <f t="shared" si="21"/>
        <v>19</v>
      </c>
      <c r="BV28" s="921">
        <f t="shared" si="21"/>
        <v>19</v>
      </c>
      <c r="BW28" s="921">
        <f t="shared" si="21"/>
        <v>19</v>
      </c>
      <c r="BX28" s="921">
        <f t="shared" si="21"/>
        <v>19</v>
      </c>
      <c r="BY28" s="921">
        <f t="shared" si="21"/>
        <v>19</v>
      </c>
      <c r="BZ28" s="921">
        <f t="shared" si="21"/>
        <v>19</v>
      </c>
      <c r="CA28" s="921">
        <f t="shared" si="21"/>
        <v>19</v>
      </c>
      <c r="CB28" s="921">
        <f t="shared" si="21"/>
        <v>19</v>
      </c>
      <c r="CC28" s="921">
        <f t="shared" si="21"/>
        <v>19</v>
      </c>
      <c r="CD28" s="921">
        <f t="shared" si="21"/>
        <v>19</v>
      </c>
      <c r="CE28" s="921">
        <f t="shared" si="21"/>
        <v>19</v>
      </c>
      <c r="CF28" s="921">
        <f t="shared" si="21"/>
        <v>19</v>
      </c>
      <c r="CG28" s="921">
        <f t="shared" si="21"/>
        <v>19</v>
      </c>
      <c r="CH28" s="921">
        <f t="shared" si="21"/>
        <v>19</v>
      </c>
      <c r="CI28" s="921">
        <f t="shared" si="21"/>
        <v>19</v>
      </c>
      <c r="CJ28" s="921">
        <f t="shared" si="21"/>
        <v>19</v>
      </c>
      <c r="CK28" s="921">
        <f t="shared" si="21"/>
        <v>19</v>
      </c>
      <c r="CL28" s="921">
        <f t="shared" si="21"/>
        <v>19</v>
      </c>
      <c r="CM28" s="921">
        <f t="shared" si="21"/>
        <v>19</v>
      </c>
      <c r="CN28" s="921">
        <f t="shared" si="21"/>
        <v>19</v>
      </c>
      <c r="CO28" s="921">
        <f t="shared" si="21"/>
        <v>19</v>
      </c>
      <c r="CP28" s="921">
        <f t="shared" si="21"/>
        <v>19</v>
      </c>
      <c r="CQ28" s="921">
        <f t="shared" si="21"/>
        <v>19</v>
      </c>
      <c r="CR28" s="921">
        <f t="shared" si="21"/>
        <v>19</v>
      </c>
      <c r="CS28" s="921">
        <f t="shared" si="21"/>
        <v>19</v>
      </c>
      <c r="CT28" s="921">
        <f t="shared" si="21"/>
        <v>19</v>
      </c>
      <c r="CU28" s="921">
        <f t="shared" si="21"/>
        <v>19</v>
      </c>
      <c r="CV28" s="921">
        <f t="shared" si="21"/>
        <v>19</v>
      </c>
      <c r="CW28" s="921">
        <f t="shared" si="21"/>
        <v>19</v>
      </c>
      <c r="CX28" s="921">
        <f t="shared" si="21"/>
        <v>19</v>
      </c>
      <c r="CY28" s="921">
        <f t="shared" si="21"/>
        <v>19</v>
      </c>
      <c r="CZ28" s="921">
        <f t="shared" ref="CZ28" si="22">SUM(CZ25:CZ27)</f>
        <v>19</v>
      </c>
    </row>
    <row r="29" spans="1:130">
      <c r="B29" s="271"/>
      <c r="C29" s="271"/>
      <c r="D29" s="271"/>
      <c r="E29" s="271"/>
      <c r="F29" s="271"/>
      <c r="G29" s="271"/>
      <c r="H29" s="271"/>
      <c r="I29" s="271"/>
      <c r="J29" s="271"/>
      <c r="K29" s="271"/>
      <c r="L29" s="271"/>
      <c r="M29" s="271"/>
      <c r="N29" s="271"/>
      <c r="O29" s="271"/>
      <c r="P29" s="271"/>
      <c r="Q29" s="271"/>
      <c r="R29" s="271"/>
      <c r="S29" s="271"/>
      <c r="T29" s="271"/>
      <c r="U29" s="271"/>
      <c r="V29" s="271"/>
      <c r="W29" s="271"/>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1"/>
      <c r="BP29" s="271"/>
      <c r="BQ29" s="271"/>
      <c r="BR29" s="271"/>
      <c r="BS29" s="271"/>
      <c r="BT29" s="271"/>
      <c r="BU29" s="271"/>
      <c r="BV29" s="271"/>
      <c r="BW29" s="271"/>
      <c r="BX29" s="271"/>
      <c r="BY29" s="271"/>
      <c r="BZ29" s="271"/>
      <c r="CA29" s="271"/>
      <c r="CB29" s="271"/>
      <c r="CC29" s="271"/>
      <c r="CD29" s="271"/>
      <c r="CE29" s="271"/>
      <c r="CF29" s="271"/>
      <c r="CG29" s="271"/>
      <c r="CH29" s="271"/>
      <c r="CI29" s="271"/>
      <c r="CJ29" s="271"/>
      <c r="CK29" s="271"/>
      <c r="CL29" s="271"/>
    </row>
    <row r="30" spans="1:130" ht="13.95" customHeight="1">
      <c r="B30" s="1035">
        <v>2018</v>
      </c>
      <c r="C30" s="1035"/>
      <c r="D30" s="1035"/>
      <c r="E30" s="1035"/>
      <c r="F30" s="1035"/>
      <c r="G30" s="1035"/>
      <c r="H30" s="1035"/>
      <c r="I30" s="1035"/>
      <c r="J30" s="1035"/>
      <c r="K30" s="1035"/>
      <c r="L30" s="1035"/>
      <c r="M30" s="1036">
        <v>2019</v>
      </c>
      <c r="N30" s="1036"/>
      <c r="O30" s="1036"/>
      <c r="P30" s="1036"/>
      <c r="Q30" s="1036"/>
      <c r="R30" s="1036"/>
      <c r="S30" s="1036"/>
      <c r="T30" s="1036"/>
      <c r="U30" s="1036"/>
      <c r="V30" s="1036"/>
      <c r="W30" s="1036"/>
      <c r="X30" s="1036"/>
      <c r="Y30" s="1035">
        <v>2020</v>
      </c>
      <c r="Z30" s="1035"/>
      <c r="AA30" s="1035"/>
      <c r="AB30" s="1035"/>
      <c r="AC30" s="1035"/>
      <c r="AD30" s="1035"/>
      <c r="AE30" s="1035"/>
      <c r="AF30" s="1035"/>
      <c r="AG30" s="1035"/>
      <c r="AH30" s="1035"/>
      <c r="AI30" s="1035"/>
      <c r="AJ30" s="1035"/>
      <c r="AK30" s="1036">
        <v>2021</v>
      </c>
      <c r="AL30" s="1036"/>
      <c r="AM30" s="1036"/>
      <c r="AN30" s="1036"/>
      <c r="AO30" s="1036"/>
      <c r="AP30" s="1036"/>
      <c r="AQ30" s="1036"/>
      <c r="AR30" s="1036"/>
      <c r="AS30" s="1036"/>
      <c r="AT30" s="1036"/>
      <c r="AU30" s="1036"/>
      <c r="AV30" s="1036"/>
      <c r="AW30" s="1035">
        <v>2022</v>
      </c>
      <c r="AX30" s="1035"/>
      <c r="AY30" s="1035"/>
      <c r="AZ30" s="1035"/>
      <c r="BA30" s="1035"/>
      <c r="BB30" s="1035"/>
      <c r="BC30" s="1035"/>
      <c r="BD30" s="1035"/>
      <c r="BE30" s="1035"/>
      <c r="BF30" s="1035"/>
      <c r="BG30" s="1035"/>
      <c r="BH30" s="1035"/>
      <c r="BI30" s="1036">
        <v>2023</v>
      </c>
      <c r="BJ30" s="1036"/>
      <c r="BK30" s="1036"/>
      <c r="BL30" s="1036"/>
      <c r="BM30" s="1036"/>
      <c r="BN30" s="1036"/>
      <c r="BO30" s="1036"/>
      <c r="BP30" s="1036"/>
      <c r="BQ30" s="1036"/>
      <c r="BR30" s="1036"/>
      <c r="BS30" s="1036"/>
      <c r="BT30" s="1036"/>
      <c r="BU30" s="1035">
        <v>2024</v>
      </c>
      <c r="BV30" s="1035"/>
      <c r="BW30" s="1035"/>
      <c r="BX30" s="1035"/>
      <c r="BY30" s="1035"/>
      <c r="BZ30" s="1035"/>
      <c r="CA30" s="1035"/>
      <c r="CB30" s="1035"/>
      <c r="CC30" s="1035"/>
      <c r="CD30" s="1035"/>
      <c r="CE30" s="1035"/>
      <c r="CF30" s="1035"/>
      <c r="CG30" s="1036">
        <v>2025</v>
      </c>
      <c r="CH30" s="1036"/>
      <c r="CI30" s="1036"/>
      <c r="CJ30" s="1036"/>
      <c r="CK30" s="1036"/>
      <c r="CL30" s="1036"/>
      <c r="CM30" s="1036"/>
      <c r="CN30" s="1036"/>
      <c r="CO30" s="1036"/>
      <c r="CP30" s="1036"/>
      <c r="CQ30" s="1036"/>
      <c r="CR30" s="1036"/>
      <c r="CS30" s="1035">
        <v>2026</v>
      </c>
      <c r="CT30" s="1035"/>
      <c r="CU30" s="1035"/>
      <c r="CV30" s="1035"/>
      <c r="CW30" s="1035"/>
      <c r="CX30" s="1035"/>
      <c r="CY30" s="1035"/>
      <c r="CZ30" s="1035"/>
      <c r="DA30" s="1035"/>
      <c r="DB30" s="1035"/>
      <c r="DC30" s="1035"/>
      <c r="DD30" s="1035"/>
    </row>
    <row r="31" spans="1:130" ht="13.95" customHeight="1">
      <c r="B31" s="1035" t="s">
        <v>874</v>
      </c>
      <c r="C31" s="1035"/>
      <c r="D31" s="1035"/>
      <c r="E31" s="1035" t="s">
        <v>875</v>
      </c>
      <c r="F31" s="1035"/>
      <c r="G31" s="1035"/>
      <c r="H31" s="1035"/>
      <c r="I31" s="1035" t="s">
        <v>876</v>
      </c>
      <c r="J31" s="1035"/>
      <c r="K31" s="1035"/>
      <c r="L31" s="1035"/>
      <c r="M31" s="1036" t="s">
        <v>874</v>
      </c>
      <c r="N31" s="1036"/>
      <c r="O31" s="1036"/>
      <c r="P31" s="1036"/>
      <c r="Q31" s="1036" t="s">
        <v>875</v>
      </c>
      <c r="R31" s="1036"/>
      <c r="S31" s="1036"/>
      <c r="T31" s="1036"/>
      <c r="U31" s="1036" t="s">
        <v>876</v>
      </c>
      <c r="V31" s="1036"/>
      <c r="W31" s="1036"/>
      <c r="X31" s="1036"/>
      <c r="Y31" s="1035" t="s">
        <v>874</v>
      </c>
      <c r="Z31" s="1035"/>
      <c r="AA31" s="1035"/>
      <c r="AB31" s="1035"/>
      <c r="AC31" s="1035" t="s">
        <v>875</v>
      </c>
      <c r="AD31" s="1035"/>
      <c r="AE31" s="1035"/>
      <c r="AF31" s="1035"/>
      <c r="AG31" s="1035" t="s">
        <v>876</v>
      </c>
      <c r="AH31" s="1035"/>
      <c r="AI31" s="1035"/>
      <c r="AJ31" s="1035"/>
      <c r="AK31" s="1036" t="s">
        <v>874</v>
      </c>
      <c r="AL31" s="1036"/>
      <c r="AM31" s="1036"/>
      <c r="AN31" s="1036"/>
      <c r="AO31" s="1036" t="s">
        <v>875</v>
      </c>
      <c r="AP31" s="1036"/>
      <c r="AQ31" s="1036"/>
      <c r="AR31" s="1036"/>
      <c r="AS31" s="1036" t="s">
        <v>876</v>
      </c>
      <c r="AT31" s="1036"/>
      <c r="AU31" s="1036"/>
      <c r="AV31" s="1036"/>
      <c r="AW31" s="1035" t="s">
        <v>874</v>
      </c>
      <c r="AX31" s="1035"/>
      <c r="AY31" s="1035"/>
      <c r="AZ31" s="1035"/>
      <c r="BA31" s="1035" t="s">
        <v>875</v>
      </c>
      <c r="BB31" s="1035"/>
      <c r="BC31" s="1035"/>
      <c r="BD31" s="1035"/>
      <c r="BE31" s="1035" t="s">
        <v>876</v>
      </c>
      <c r="BF31" s="1035"/>
      <c r="BG31" s="1035"/>
      <c r="BH31" s="1035"/>
      <c r="BI31" s="1036" t="s">
        <v>874</v>
      </c>
      <c r="BJ31" s="1036"/>
      <c r="BK31" s="1036"/>
      <c r="BL31" s="1036"/>
      <c r="BM31" s="1036" t="s">
        <v>875</v>
      </c>
      <c r="BN31" s="1036"/>
      <c r="BO31" s="1036"/>
      <c r="BP31" s="1036"/>
      <c r="BQ31" s="1036" t="s">
        <v>876</v>
      </c>
      <c r="BR31" s="1036"/>
      <c r="BS31" s="1036"/>
      <c r="BT31" s="1036"/>
      <c r="BU31" s="1035" t="s">
        <v>874</v>
      </c>
      <c r="BV31" s="1035"/>
      <c r="BW31" s="1035"/>
      <c r="BX31" s="1035"/>
      <c r="BY31" s="1035" t="s">
        <v>875</v>
      </c>
      <c r="BZ31" s="1035"/>
      <c r="CA31" s="1035"/>
      <c r="CB31" s="1035"/>
      <c r="CC31" s="1035" t="s">
        <v>876</v>
      </c>
      <c r="CD31" s="1035"/>
      <c r="CE31" s="1035"/>
      <c r="CF31" s="1035"/>
      <c r="CG31" s="1036" t="s">
        <v>874</v>
      </c>
      <c r="CH31" s="1036"/>
      <c r="CI31" s="1036"/>
      <c r="CJ31" s="1036"/>
      <c r="CK31" s="1036" t="s">
        <v>875</v>
      </c>
      <c r="CL31" s="1036"/>
      <c r="CM31" s="1036"/>
      <c r="CN31" s="1036"/>
      <c r="CO31" s="1036" t="s">
        <v>876</v>
      </c>
      <c r="CP31" s="1036"/>
      <c r="CQ31" s="1036"/>
      <c r="CR31" s="1036"/>
      <c r="CS31" s="1035" t="s">
        <v>874</v>
      </c>
      <c r="CT31" s="1035"/>
      <c r="CU31" s="1035"/>
      <c r="CV31" s="1035"/>
      <c r="CW31" s="1035" t="s">
        <v>875</v>
      </c>
      <c r="CX31" s="1035"/>
      <c r="CY31" s="1035"/>
      <c r="CZ31" s="1035"/>
      <c r="DA31" s="1035" t="s">
        <v>876</v>
      </c>
      <c r="DB31" s="1035"/>
      <c r="DC31" s="1035"/>
      <c r="DD31" s="1035"/>
    </row>
    <row r="32" spans="1:130">
      <c r="B32" s="922">
        <f t="shared" ref="B32:AG32" si="23">(B25*$A25+B26*$A26+B27*$A27)/B28</f>
        <v>3.6666666666666665</v>
      </c>
      <c r="C32" s="922">
        <f t="shared" si="23"/>
        <v>3.7777777777777777</v>
      </c>
      <c r="D32" s="922">
        <f t="shared" si="23"/>
        <v>3.7777777777777777</v>
      </c>
      <c r="E32" s="922">
        <f t="shared" si="23"/>
        <v>3.8421052631578947</v>
      </c>
      <c r="F32" s="922">
        <f t="shared" si="23"/>
        <v>4.0526315789473681</v>
      </c>
      <c r="G32" s="922">
        <f t="shared" si="23"/>
        <v>3.6315789473684212</v>
      </c>
      <c r="H32" s="922">
        <f t="shared" si="23"/>
        <v>3.6315789473684212</v>
      </c>
      <c r="I32" s="922">
        <f t="shared" si="23"/>
        <v>3.5263157894736841</v>
      </c>
      <c r="J32" s="922">
        <f t="shared" si="23"/>
        <v>3.2105263157894739</v>
      </c>
      <c r="K32" s="922">
        <f t="shared" si="23"/>
        <v>3.736842105263158</v>
      </c>
      <c r="L32" s="922">
        <f t="shared" si="23"/>
        <v>3.2105263157894739</v>
      </c>
      <c r="M32" s="922">
        <f t="shared" si="23"/>
        <v>2.7894736842105261</v>
      </c>
      <c r="N32" s="922">
        <f t="shared" si="23"/>
        <v>3.2105263157894739</v>
      </c>
      <c r="O32" s="922">
        <f t="shared" si="23"/>
        <v>3</v>
      </c>
      <c r="P32" s="922">
        <f t="shared" si="23"/>
        <v>3</v>
      </c>
      <c r="Q32" s="922">
        <f t="shared" si="23"/>
        <v>2.7894736842105261</v>
      </c>
      <c r="R32" s="922">
        <f t="shared" si="23"/>
        <v>2.6842105263157894</v>
      </c>
      <c r="S32" s="922">
        <f t="shared" si="23"/>
        <v>2.3684210526315788</v>
      </c>
      <c r="T32" s="922">
        <f t="shared" si="23"/>
        <v>2.4736842105263159</v>
      </c>
      <c r="U32" s="922">
        <f t="shared" si="23"/>
        <v>2.5789473684210527</v>
      </c>
      <c r="V32" s="922">
        <f t="shared" si="23"/>
        <v>2.7894736842105261</v>
      </c>
      <c r="W32" s="922">
        <f t="shared" si="23"/>
        <v>2.8947368421052633</v>
      </c>
      <c r="X32" s="922">
        <f t="shared" si="23"/>
        <v>2.7894736842105261</v>
      </c>
      <c r="Y32" s="922">
        <f t="shared" si="23"/>
        <v>2.8947368421052633</v>
      </c>
      <c r="Z32" s="922">
        <f t="shared" si="23"/>
        <v>2.4736842105263159</v>
      </c>
      <c r="AA32" s="922">
        <f t="shared" si="23"/>
        <v>2.4736842105263159</v>
      </c>
      <c r="AB32" s="922">
        <f t="shared" si="23"/>
        <v>2.7894736842105261</v>
      </c>
      <c r="AC32" s="922">
        <f t="shared" si="23"/>
        <v>2.6842105263157894</v>
      </c>
      <c r="AD32" s="922">
        <f t="shared" si="23"/>
        <v>2.6842105263157894</v>
      </c>
      <c r="AE32" s="922">
        <f t="shared" si="23"/>
        <v>2.6842105263157894</v>
      </c>
      <c r="AF32" s="922">
        <f t="shared" si="23"/>
        <v>2.4736842105263159</v>
      </c>
      <c r="AG32" s="922">
        <f t="shared" si="23"/>
        <v>2.4736842105263159</v>
      </c>
      <c r="AH32" s="922">
        <f t="shared" ref="AH32:BM32" si="24">(AH25*$A25+AH26*$A26+AH27*$A27)/AH28</f>
        <v>2.8947368421052633</v>
      </c>
      <c r="AI32" s="922">
        <f t="shared" si="24"/>
        <v>3</v>
      </c>
      <c r="AJ32" s="922">
        <f t="shared" si="24"/>
        <v>2.6842105263157894</v>
      </c>
      <c r="AK32" s="922">
        <f t="shared" si="24"/>
        <v>2.263157894736842</v>
      </c>
      <c r="AL32" s="922">
        <f t="shared" si="24"/>
        <v>2.3684210526315788</v>
      </c>
      <c r="AM32" s="922">
        <f t="shared" si="24"/>
        <v>2.1578947368421053</v>
      </c>
      <c r="AN32" s="922">
        <f t="shared" si="24"/>
        <v>2.4736842105263159</v>
      </c>
      <c r="AO32" s="922">
        <f t="shared" si="24"/>
        <v>2.5789473684210527</v>
      </c>
      <c r="AP32" s="922">
        <f t="shared" si="24"/>
        <v>2.6842105263157894</v>
      </c>
      <c r="AQ32" s="922">
        <f t="shared" si="24"/>
        <v>2.7894736842105261</v>
      </c>
      <c r="AR32" s="922">
        <f t="shared" si="24"/>
        <v>3.2105263157894739</v>
      </c>
      <c r="AS32" s="922">
        <f t="shared" si="24"/>
        <v>3.2105263157894739</v>
      </c>
      <c r="AT32" s="922">
        <f t="shared" si="24"/>
        <v>3.3157894736842106</v>
      </c>
      <c r="AU32" s="922">
        <f t="shared" si="24"/>
        <v>3.3157894736842106</v>
      </c>
      <c r="AV32" s="922">
        <f t="shared" si="24"/>
        <v>3.5263157894736841</v>
      </c>
      <c r="AW32" s="922">
        <f t="shared" si="24"/>
        <v>3.8421052631578947</v>
      </c>
      <c r="AX32" s="922">
        <f t="shared" si="24"/>
        <v>4.2631578947368425</v>
      </c>
      <c r="AY32" s="922">
        <f t="shared" si="24"/>
        <v>4.1578947368421053</v>
      </c>
      <c r="AZ32" s="922">
        <f t="shared" si="24"/>
        <v>3.8421052631578947</v>
      </c>
      <c r="BA32" s="922">
        <f t="shared" si="24"/>
        <v>3.9473684210526314</v>
      </c>
      <c r="BB32" s="922">
        <f t="shared" si="24"/>
        <v>3.6315789473684212</v>
      </c>
      <c r="BC32" s="922">
        <f t="shared" si="24"/>
        <v>3.736842105263158</v>
      </c>
      <c r="BD32" s="922">
        <f t="shared" si="24"/>
        <v>3.4210526315789473</v>
      </c>
      <c r="BE32" s="922">
        <f t="shared" si="24"/>
        <v>3.8421052631578947</v>
      </c>
      <c r="BF32" s="922">
        <f t="shared" si="24"/>
        <v>3.6315789473684212</v>
      </c>
      <c r="BG32" s="922">
        <f t="shared" si="24"/>
        <v>3.9473684210526314</v>
      </c>
      <c r="BH32" s="922">
        <f t="shared" si="24"/>
        <v>4.2631578947368425</v>
      </c>
      <c r="BI32" s="922">
        <f t="shared" si="24"/>
        <v>4.3684210526315788</v>
      </c>
      <c r="BJ32" s="922">
        <f t="shared" si="24"/>
        <v>4.2631578947368425</v>
      </c>
      <c r="BK32" s="922">
        <f t="shared" si="24"/>
        <v>4.1578947368421053</v>
      </c>
      <c r="BL32" s="922">
        <f t="shared" si="24"/>
        <v>4.0526315789473681</v>
      </c>
      <c r="BM32" s="922">
        <f t="shared" si="24"/>
        <v>3.736842105263158</v>
      </c>
      <c r="BN32" s="922">
        <f t="shared" ref="BN32:CS32" si="25">(BN25*$A25+BN26*$A26+BN27*$A27)/BN28</f>
        <v>4.2631578947368425</v>
      </c>
      <c r="BO32" s="922">
        <f t="shared" si="25"/>
        <v>4.1578947368421053</v>
      </c>
      <c r="BP32" s="922">
        <f t="shared" si="25"/>
        <v>4.1578947368421053</v>
      </c>
      <c r="BQ32" s="922">
        <f t="shared" si="25"/>
        <v>4.3684210526315788</v>
      </c>
      <c r="BR32" s="922">
        <f t="shared" si="25"/>
        <v>4.0526315789473681</v>
      </c>
      <c r="BS32" s="922">
        <f t="shared" si="25"/>
        <v>4.0526315789473681</v>
      </c>
      <c r="BT32" s="922">
        <f t="shared" si="25"/>
        <v>3.8421052631578947</v>
      </c>
      <c r="BU32" s="922">
        <f t="shared" si="25"/>
        <v>3.2105263157894739</v>
      </c>
      <c r="BV32" s="922">
        <f t="shared" si="25"/>
        <v>3</v>
      </c>
      <c r="BW32" s="922">
        <f t="shared" si="25"/>
        <v>3.736842105263158</v>
      </c>
      <c r="BX32" s="922">
        <f t="shared" si="25"/>
        <v>4.1578947368421053</v>
      </c>
      <c r="BY32" s="922">
        <f t="shared" si="25"/>
        <v>4.0526315789473681</v>
      </c>
      <c r="BZ32" s="922">
        <f t="shared" si="25"/>
        <v>3.9473684210526314</v>
      </c>
      <c r="CA32" s="922">
        <f t="shared" si="25"/>
        <v>4.0526315789473681</v>
      </c>
      <c r="CB32" s="922">
        <f t="shared" si="25"/>
        <v>4.0526315789473681</v>
      </c>
      <c r="CC32" s="922">
        <f t="shared" si="25"/>
        <v>4.0526315789473681</v>
      </c>
      <c r="CD32" s="922">
        <f t="shared" si="25"/>
        <v>4.0526315789473681</v>
      </c>
      <c r="CE32" s="922">
        <f t="shared" si="25"/>
        <v>4.0526315789473681</v>
      </c>
      <c r="CF32" s="922">
        <f t="shared" si="25"/>
        <v>4.0526315789473681</v>
      </c>
      <c r="CG32" s="922">
        <f t="shared" si="25"/>
        <v>3.3157894736842106</v>
      </c>
      <c r="CH32" s="922">
        <f t="shared" si="25"/>
        <v>3.6315789473684212</v>
      </c>
      <c r="CI32" s="922">
        <f t="shared" si="25"/>
        <v>3.5263157894736841</v>
      </c>
      <c r="CJ32" s="922">
        <f t="shared" si="25"/>
        <v>3.5263157894736841</v>
      </c>
      <c r="CK32" s="922">
        <f t="shared" si="25"/>
        <v>3.4210526315789473</v>
      </c>
      <c r="CL32" s="922">
        <f t="shared" si="25"/>
        <v>3.2105263157894739</v>
      </c>
      <c r="CM32" s="922">
        <f t="shared" si="25"/>
        <v>2.8947368421052633</v>
      </c>
      <c r="CN32" s="922">
        <f t="shared" si="25"/>
        <v>2.8947368421052633</v>
      </c>
      <c r="CO32" s="922">
        <f t="shared" si="25"/>
        <v>3.1052631578947367</v>
      </c>
      <c r="CP32" s="922">
        <f t="shared" si="25"/>
        <v>3</v>
      </c>
      <c r="CQ32" s="922">
        <f t="shared" si="25"/>
        <v>3.1052631578947367</v>
      </c>
      <c r="CR32" s="922">
        <f t="shared" si="25"/>
        <v>3.2105263157894739</v>
      </c>
      <c r="CS32" s="922">
        <f t="shared" si="25"/>
        <v>3.4210526315789473</v>
      </c>
      <c r="CT32" s="922">
        <f t="shared" ref="CT32:CZ32" si="26">(CT25*$A25+CT26*$A26+CT27*$A27)/CT28</f>
        <v>3.6315789473684212</v>
      </c>
      <c r="CU32" s="922">
        <f t="shared" si="26"/>
        <v>3.6315789473684212</v>
      </c>
      <c r="CV32" s="922">
        <f t="shared" si="26"/>
        <v>3.4210526315789473</v>
      </c>
      <c r="CW32" s="922">
        <f t="shared" si="26"/>
        <v>3.4210526315789473</v>
      </c>
      <c r="CX32" s="922">
        <f t="shared" si="26"/>
        <v>3.3157894736842106</v>
      </c>
      <c r="CY32" s="922">
        <f t="shared" si="26"/>
        <v>3.5263157894736841</v>
      </c>
      <c r="CZ32" s="922">
        <f t="shared" si="26"/>
        <v>3.4210526315789473</v>
      </c>
      <c r="DA32" s="532"/>
      <c r="DB32" s="532"/>
      <c r="DC32" s="532"/>
      <c r="DD32" s="532"/>
    </row>
    <row r="33" spans="2:90">
      <c r="B33" s="277"/>
      <c r="C33" s="277"/>
      <c r="D33" s="277"/>
      <c r="E33" s="277"/>
      <c r="F33" s="277"/>
      <c r="G33" s="277"/>
      <c r="H33" s="277"/>
      <c r="I33" s="277"/>
      <c r="J33" s="277"/>
      <c r="K33" s="277"/>
      <c r="L33" s="277"/>
      <c r="M33" s="277"/>
      <c r="N33" s="277"/>
      <c r="O33" s="277"/>
      <c r="P33" s="277"/>
      <c r="Q33" s="277"/>
      <c r="R33" s="277"/>
      <c r="S33" s="277"/>
      <c r="T33" s="277"/>
      <c r="U33" s="277"/>
      <c r="V33" s="277"/>
      <c r="W33" s="277"/>
      <c r="X33" s="277"/>
      <c r="Y33" s="277"/>
      <c r="Z33" s="277"/>
      <c r="AA33" s="277"/>
      <c r="AB33" s="277"/>
      <c r="AC33" s="277"/>
      <c r="AD33" s="277"/>
      <c r="AE33" s="277"/>
      <c r="AF33" s="277"/>
      <c r="AG33" s="277"/>
      <c r="AH33" s="277"/>
      <c r="AI33" s="277"/>
      <c r="AJ33" s="277"/>
      <c r="AK33" s="277"/>
      <c r="AL33" s="277"/>
      <c r="AM33" s="277"/>
      <c r="AN33" s="277"/>
      <c r="AO33" s="277"/>
      <c r="AP33" s="277"/>
      <c r="AQ33" s="277"/>
      <c r="AR33" s="277"/>
      <c r="AS33" s="277"/>
      <c r="AT33" s="277"/>
      <c r="AU33" s="277"/>
      <c r="AV33" s="277"/>
      <c r="AW33" s="277"/>
      <c r="AX33" s="277"/>
      <c r="AY33" s="277"/>
      <c r="AZ33" s="277"/>
      <c r="BA33" s="277"/>
      <c r="BB33" s="277"/>
      <c r="BC33" s="277"/>
      <c r="BD33" s="277"/>
      <c r="BE33" s="277"/>
      <c r="BF33" s="277"/>
      <c r="BG33" s="277"/>
      <c r="BH33" s="277"/>
      <c r="BI33" s="277"/>
      <c r="BJ33" s="277"/>
      <c r="BK33" s="277"/>
      <c r="BL33" s="277"/>
      <c r="BM33" s="277"/>
      <c r="BN33" s="277"/>
      <c r="BO33" s="277"/>
      <c r="BP33" s="277"/>
      <c r="BQ33" s="277"/>
      <c r="BR33" s="277"/>
      <c r="BS33" s="277"/>
      <c r="BT33" s="277"/>
      <c r="BU33" s="277"/>
      <c r="BV33" s="277"/>
      <c r="BW33" s="277"/>
      <c r="BX33" s="277"/>
      <c r="BY33" s="277"/>
      <c r="BZ33" s="277"/>
      <c r="CA33" s="277"/>
      <c r="CB33" s="277"/>
      <c r="CC33" s="277"/>
      <c r="CD33" s="277"/>
      <c r="CE33" s="277"/>
      <c r="CF33" s="277"/>
      <c r="CG33" s="277"/>
      <c r="CH33" s="277"/>
      <c r="CI33" s="277"/>
      <c r="CJ33" s="277"/>
      <c r="CK33" s="277"/>
      <c r="CL33" s="277"/>
    </row>
    <row r="50" spans="66:66">
      <c r="BN50" s="278"/>
    </row>
    <row r="51" spans="66:66">
      <c r="BN51" s="278"/>
    </row>
    <row r="52" spans="66:66">
      <c r="BN52" s="278"/>
    </row>
    <row r="53" spans="66:66">
      <c r="BN53" s="278"/>
    </row>
    <row r="54" spans="66:66">
      <c r="BN54" s="278"/>
    </row>
  </sheetData>
  <autoFilter ref="DO4:DS4" xr:uid="{00000000-0001-0000-0600-000000000000}">
    <sortState xmlns:xlrd2="http://schemas.microsoft.com/office/spreadsheetml/2017/richdata2" ref="DO5:DS23">
      <sortCondition descending="1" ref="DS4"/>
    </sortState>
  </autoFilter>
  <mergeCells count="45">
    <mergeCell ref="CK31:CN31"/>
    <mergeCell ref="CO31:CR31"/>
    <mergeCell ref="CS31:CV31"/>
    <mergeCell ref="CW31:CZ31"/>
    <mergeCell ref="DA31:DD31"/>
    <mergeCell ref="BQ31:BT31"/>
    <mergeCell ref="BU31:BX31"/>
    <mergeCell ref="BY31:CB31"/>
    <mergeCell ref="CC31:CF31"/>
    <mergeCell ref="CG31:CJ31"/>
    <mergeCell ref="AW31:AZ31"/>
    <mergeCell ref="BA31:BD31"/>
    <mergeCell ref="BE31:BH31"/>
    <mergeCell ref="BI31:BL31"/>
    <mergeCell ref="BM31:BP31"/>
    <mergeCell ref="CG30:CR30"/>
    <mergeCell ref="CS30:DD30"/>
    <mergeCell ref="B31:D31"/>
    <mergeCell ref="E31:H31"/>
    <mergeCell ref="I31:L31"/>
    <mergeCell ref="M31:P31"/>
    <mergeCell ref="Q31:T31"/>
    <mergeCell ref="U31:X31"/>
    <mergeCell ref="Y31:AB31"/>
    <mergeCell ref="AC31:AF31"/>
    <mergeCell ref="AG31:AJ31"/>
    <mergeCell ref="AK31:AN31"/>
    <mergeCell ref="AO31:AR31"/>
    <mergeCell ref="AS31:AV31"/>
    <mergeCell ref="BU30:CF30"/>
    <mergeCell ref="BI30:BT30"/>
    <mergeCell ref="CG2:CR2"/>
    <mergeCell ref="CS2:DD2"/>
    <mergeCell ref="BU2:CF2"/>
    <mergeCell ref="BI2:BT2"/>
    <mergeCell ref="B2:L2"/>
    <mergeCell ref="M2:X2"/>
    <mergeCell ref="Y2:AJ2"/>
    <mergeCell ref="AK2:AV2"/>
    <mergeCell ref="AW2:BH2"/>
    <mergeCell ref="B30:L30"/>
    <mergeCell ref="M30:X30"/>
    <mergeCell ref="Y30:AJ30"/>
    <mergeCell ref="AK30:AV30"/>
    <mergeCell ref="AW30:BH30"/>
  </mergeCells>
  <phoneticPr fontId="87" type="noConversion"/>
  <conditionalFormatting sqref="B5:DC23 DE5:DF23">
    <cfRule type="cellIs" dxfId="473" priority="6" operator="equal">
      <formula>5</formula>
    </cfRule>
    <cfRule type="cellIs" dxfId="472" priority="7" operator="equal">
      <formula>4</formula>
    </cfRule>
    <cfRule type="cellIs" dxfId="471" priority="8" operator="equal">
      <formula>3</formula>
    </cfRule>
    <cfRule type="cellIs" dxfId="470" priority="9" operator="equal">
      <formula>2</formula>
    </cfRule>
    <cfRule type="cellIs" dxfId="469" priority="10" operator="equal">
      <formula>1</formula>
    </cfRule>
  </conditionalFormatting>
  <conditionalFormatting sqref="S8 S9:T9 S10 S11:T12 S13 S14:T20 S22:T23">
    <cfRule type="cellIs" dxfId="468" priority="6101" operator="equal">
      <formula>5</formula>
    </cfRule>
    <cfRule type="cellIs" dxfId="467" priority="6102" operator="equal">
      <formula>4</formula>
    </cfRule>
    <cfRule type="cellIs" dxfId="466" priority="6103" operator="equal">
      <formula>3</formula>
    </cfRule>
    <cfRule type="cellIs" dxfId="465" priority="6104" operator="equal">
      <formula>2</formula>
    </cfRule>
    <cfRule type="cellIs" dxfId="464" priority="6105" operator="equal">
      <formula>1</formula>
    </cfRule>
  </conditionalFormatting>
  <conditionalFormatting sqref="S21">
    <cfRule type="cellIs" dxfId="463" priority="6061" operator="equal">
      <formula>5</formula>
    </cfRule>
    <cfRule type="cellIs" dxfId="462" priority="6062" operator="equal">
      <formula>4</formula>
    </cfRule>
    <cfRule type="cellIs" dxfId="461" priority="6063" operator="equal">
      <formula>3</formula>
    </cfRule>
    <cfRule type="cellIs" dxfId="460" priority="6064" operator="equal">
      <formula>2</formula>
    </cfRule>
    <cfRule type="cellIs" dxfId="459" priority="6065" operator="equal">
      <formula>1</formula>
    </cfRule>
  </conditionalFormatting>
  <conditionalFormatting sqref="S5:T7">
    <cfRule type="cellIs" dxfId="458" priority="6096" operator="equal">
      <formula>5</formula>
    </cfRule>
    <cfRule type="cellIs" dxfId="457" priority="6097" operator="equal">
      <formula>4</formula>
    </cfRule>
    <cfRule type="cellIs" dxfId="456" priority="6098" operator="equal">
      <formula>3</formula>
    </cfRule>
    <cfRule type="cellIs" dxfId="455" priority="6099" operator="equal">
      <formula>2</formula>
    </cfRule>
    <cfRule type="cellIs" dxfId="454" priority="6100" operator="equal">
      <formula>1</formula>
    </cfRule>
  </conditionalFormatting>
  <pageMargins left="0.7" right="0.7" top="0.75" bottom="0.75" header="0.3" footer="0.3"/>
  <pageSetup paperSize="9" orientation="portrait" r:id="rId1"/>
  <ignoredErrors>
    <ignoredError sqref="B25:B27" formulaRange="1"/>
  </ignoredError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CE70-D861-41B9-AEDB-5F4D3A089382}">
  <dimension ref="A1:M42"/>
  <sheetViews>
    <sheetView zoomScale="70" zoomScaleNormal="70" workbookViewId="0">
      <selection activeCell="I15" sqref="I15"/>
    </sheetView>
  </sheetViews>
  <sheetFormatPr baseColWidth="10" defaultRowHeight="13.8"/>
  <cols>
    <col min="1" max="1" width="18" customWidth="1"/>
    <col min="2" max="11" width="10.33203125" customWidth="1"/>
    <col min="12" max="13" width="11.33203125" customWidth="1"/>
  </cols>
  <sheetData>
    <row r="1" spans="1:13">
      <c r="A1" s="19" t="s">
        <v>866</v>
      </c>
    </row>
    <row r="2" spans="1:13">
      <c r="A2" s="857" t="s">
        <v>864</v>
      </c>
    </row>
    <row r="3" spans="1:13">
      <c r="A3" s="858" t="s">
        <v>864</v>
      </c>
    </row>
    <row r="4" spans="1:13">
      <c r="A4" s="860" t="s">
        <v>867</v>
      </c>
    </row>
    <row r="5" spans="1:13">
      <c r="A5" s="859" t="s">
        <v>865</v>
      </c>
    </row>
    <row r="7" spans="1:13">
      <c r="A7" s="888" t="s">
        <v>1</v>
      </c>
      <c r="B7" s="871" t="s">
        <v>853</v>
      </c>
      <c r="C7" s="871" t="s">
        <v>854</v>
      </c>
      <c r="D7" s="871" t="s">
        <v>855</v>
      </c>
      <c r="E7" s="871" t="s">
        <v>856</v>
      </c>
      <c r="F7" s="871" t="s">
        <v>857</v>
      </c>
      <c r="G7" s="871" t="s">
        <v>847</v>
      </c>
      <c r="H7" s="871" t="s">
        <v>858</v>
      </c>
      <c r="I7" s="871" t="s">
        <v>859</v>
      </c>
      <c r="J7" s="871" t="s">
        <v>860</v>
      </c>
      <c r="K7" s="871" t="s">
        <v>861</v>
      </c>
      <c r="L7" s="871" t="s">
        <v>862</v>
      </c>
      <c r="M7" s="872" t="s">
        <v>863</v>
      </c>
    </row>
    <row r="8" spans="1:13">
      <c r="A8" s="889" t="s">
        <v>12</v>
      </c>
      <c r="B8" s="884"/>
      <c r="C8" s="867"/>
      <c r="D8" s="867"/>
      <c r="E8" s="868"/>
      <c r="F8" s="869"/>
      <c r="G8" s="869"/>
      <c r="H8" s="863"/>
      <c r="I8" s="892"/>
      <c r="J8" s="892"/>
      <c r="K8" s="892"/>
      <c r="L8" s="870"/>
      <c r="M8" s="873"/>
    </row>
    <row r="9" spans="1:13">
      <c r="A9" s="889" t="s">
        <v>552</v>
      </c>
      <c r="B9" s="885"/>
      <c r="C9" s="861"/>
      <c r="D9" s="861"/>
      <c r="E9" s="862"/>
      <c r="F9" s="862"/>
      <c r="G9" s="863"/>
      <c r="H9" s="863"/>
      <c r="I9" s="864"/>
      <c r="J9" s="864"/>
      <c r="K9" s="865"/>
      <c r="L9" s="865"/>
      <c r="M9" s="874"/>
    </row>
    <row r="10" spans="1:13">
      <c r="A10" s="889" t="s">
        <v>21</v>
      </c>
      <c r="B10" s="886"/>
      <c r="C10" s="864"/>
      <c r="D10" s="864"/>
      <c r="E10" s="864"/>
      <c r="F10" s="864"/>
      <c r="G10" s="865"/>
      <c r="H10" s="865"/>
      <c r="I10" s="861"/>
      <c r="J10" s="861"/>
      <c r="K10" s="861"/>
      <c r="L10" s="862"/>
      <c r="M10" s="875"/>
    </row>
    <row r="11" spans="1:13">
      <c r="A11" s="889" t="s">
        <v>24</v>
      </c>
      <c r="B11" s="885"/>
      <c r="C11" s="863"/>
      <c r="D11" s="863"/>
      <c r="E11" s="862"/>
      <c r="F11" s="864"/>
      <c r="G11" s="864"/>
      <c r="H11" s="864"/>
      <c r="I11" s="864"/>
      <c r="J11" s="866"/>
      <c r="K11" s="866"/>
      <c r="L11" s="865"/>
      <c r="M11" s="876"/>
    </row>
    <row r="12" spans="1:13">
      <c r="A12" s="889" t="s">
        <v>22</v>
      </c>
      <c r="B12" s="885"/>
      <c r="C12" s="861"/>
      <c r="D12" s="861"/>
      <c r="E12" s="861"/>
      <c r="F12" s="862"/>
      <c r="G12" s="862"/>
      <c r="H12" s="864"/>
      <c r="I12" s="864"/>
      <c r="J12" s="864"/>
      <c r="K12" s="864"/>
      <c r="L12" s="866"/>
      <c r="M12" s="874"/>
    </row>
    <row r="13" spans="1:13">
      <c r="A13" s="889" t="s">
        <v>23</v>
      </c>
      <c r="B13" s="886"/>
      <c r="C13" s="864"/>
      <c r="D13" s="864"/>
      <c r="E13" s="864"/>
      <c r="F13" s="864"/>
      <c r="G13" s="865"/>
      <c r="H13" s="865"/>
      <c r="I13" s="861"/>
      <c r="J13" s="861"/>
      <c r="K13" s="861"/>
      <c r="L13" s="861"/>
      <c r="M13" s="875"/>
    </row>
    <row r="14" spans="1:13">
      <c r="A14" s="890" t="s">
        <v>25</v>
      </c>
      <c r="B14" s="885"/>
      <c r="C14" s="861"/>
      <c r="D14" s="861"/>
      <c r="E14" s="861"/>
      <c r="F14" s="862"/>
      <c r="G14" s="862"/>
      <c r="H14" s="864"/>
      <c r="I14" s="864"/>
      <c r="J14" s="864"/>
      <c r="K14" s="925"/>
      <c r="L14" s="866"/>
      <c r="M14" s="876"/>
    </row>
    <row r="15" spans="1:13">
      <c r="A15" s="890" t="s">
        <v>28</v>
      </c>
      <c r="B15" s="885"/>
      <c r="C15" s="861"/>
      <c r="D15" s="861"/>
      <c r="E15" s="861"/>
      <c r="F15" s="863"/>
      <c r="G15" s="863"/>
      <c r="H15" s="863"/>
      <c r="I15" s="862"/>
      <c r="J15" s="864"/>
      <c r="K15" s="864"/>
      <c r="L15" s="866"/>
      <c r="M15" s="874"/>
    </row>
    <row r="16" spans="1:13">
      <c r="A16" s="891" t="s">
        <v>13</v>
      </c>
      <c r="B16" s="887"/>
      <c r="C16" s="877"/>
      <c r="D16" s="878"/>
      <c r="E16" s="878"/>
      <c r="F16" s="879"/>
      <c r="G16" s="880"/>
      <c r="H16" s="880"/>
      <c r="I16" s="880"/>
      <c r="J16" s="881"/>
      <c r="K16" s="881"/>
      <c r="L16" s="882"/>
      <c r="M16" s="883"/>
    </row>
    <row r="17" spans="1:13">
      <c r="A17" t="s">
        <v>39</v>
      </c>
      <c r="B17" s="947"/>
      <c r="C17" s="948"/>
      <c r="D17" s="949"/>
      <c r="E17" s="950"/>
      <c r="F17" s="951" t="s">
        <v>868</v>
      </c>
      <c r="G17" s="951"/>
      <c r="H17" s="951"/>
      <c r="I17" s="951"/>
      <c r="J17" s="950"/>
      <c r="K17" s="952" t="s">
        <v>891</v>
      </c>
      <c r="L17" s="952"/>
      <c r="M17" s="953" t="s">
        <v>883</v>
      </c>
    </row>
    <row r="18" spans="1:13">
      <c r="A18" s="933" t="s">
        <v>882</v>
      </c>
      <c r="B18" s="924" t="s">
        <v>884</v>
      </c>
      <c r="C18" s="925" t="s">
        <v>885</v>
      </c>
      <c r="D18" s="925" t="s">
        <v>70</v>
      </c>
      <c r="E18" s="864"/>
      <c r="F18" s="864"/>
      <c r="G18" s="863" t="s">
        <v>870</v>
      </c>
      <c r="H18" s="863"/>
      <c r="I18" s="863"/>
      <c r="J18" s="926" t="s">
        <v>883</v>
      </c>
      <c r="K18" s="926"/>
      <c r="L18" s="927" t="s">
        <v>871</v>
      </c>
      <c r="M18" s="928"/>
    </row>
    <row r="19" spans="1:13">
      <c r="A19" s="933" t="s">
        <v>221</v>
      </c>
      <c r="B19" s="927"/>
      <c r="C19" s="927"/>
      <c r="D19" s="864"/>
      <c r="E19" s="864"/>
      <c r="F19" s="925" t="s">
        <v>181</v>
      </c>
      <c r="G19" s="925"/>
      <c r="H19" s="925"/>
      <c r="I19" s="925"/>
      <c r="J19" s="936" t="s">
        <v>870</v>
      </c>
      <c r="K19" s="936"/>
      <c r="L19" s="936"/>
      <c r="M19" s="928" t="s">
        <v>871</v>
      </c>
    </row>
    <row r="20" spans="1:13">
      <c r="A20" s="937" t="s">
        <v>73</v>
      </c>
      <c r="B20" s="932"/>
      <c r="C20" s="929"/>
      <c r="D20" s="938" t="s">
        <v>887</v>
      </c>
      <c r="E20" s="938"/>
      <c r="F20" s="938"/>
      <c r="G20" s="939" t="s">
        <v>886</v>
      </c>
      <c r="H20" s="939"/>
      <c r="I20" s="939"/>
      <c r="J20" s="938" t="s">
        <v>888</v>
      </c>
      <c r="K20" s="930"/>
      <c r="L20" s="940"/>
      <c r="M20" s="934"/>
    </row>
    <row r="21" spans="1:13">
      <c r="A21" s="937" t="s">
        <v>889</v>
      </c>
      <c r="B21" s="932"/>
      <c r="C21" s="929"/>
      <c r="D21" s="941"/>
      <c r="E21" s="938" t="s">
        <v>887</v>
      </c>
      <c r="F21" s="938"/>
      <c r="G21" s="939" t="s">
        <v>886</v>
      </c>
      <c r="H21" s="939"/>
      <c r="I21" s="939"/>
      <c r="J21" s="942" t="s">
        <v>890</v>
      </c>
      <c r="K21" s="931"/>
      <c r="L21" s="943"/>
      <c r="M21" s="935"/>
    </row>
    <row r="22" spans="1:13">
      <c r="A22" s="937" t="s">
        <v>115</v>
      </c>
      <c r="B22" s="954"/>
      <c r="C22" s="929"/>
      <c r="D22" s="944"/>
      <c r="E22" s="944"/>
      <c r="F22" s="945"/>
      <c r="G22" s="945"/>
      <c r="H22" s="945"/>
      <c r="I22" s="945"/>
      <c r="J22" s="944"/>
      <c r="K22" s="946"/>
      <c r="L22" s="946"/>
      <c r="M22" s="934"/>
    </row>
    <row r="23" spans="1:13">
      <c r="A23" s="933" t="s">
        <v>219</v>
      </c>
      <c r="B23" s="955"/>
      <c r="C23" s="956"/>
      <c r="D23" s="957" t="s">
        <v>869</v>
      </c>
      <c r="E23" s="958"/>
      <c r="F23" s="958"/>
      <c r="G23" s="863" t="s">
        <v>870</v>
      </c>
      <c r="H23" s="863"/>
      <c r="I23" s="863"/>
      <c r="J23" s="926" t="s">
        <v>883</v>
      </c>
      <c r="K23" s="926"/>
      <c r="L23" s="926"/>
      <c r="M23" s="928" t="s">
        <v>871</v>
      </c>
    </row>
    <row r="25" spans="1:13">
      <c r="A25" t="s">
        <v>217</v>
      </c>
    </row>
    <row r="26" spans="1:13">
      <c r="A26" s="937" t="s">
        <v>112</v>
      </c>
      <c r="B26" s="959" t="s">
        <v>893</v>
      </c>
      <c r="C26" s="868"/>
      <c r="D26" s="868"/>
      <c r="E26" s="868"/>
      <c r="F26" s="960"/>
      <c r="G26" s="960"/>
      <c r="H26" s="961" t="s">
        <v>892</v>
      </c>
      <c r="I26" s="961"/>
      <c r="J26" s="861"/>
      <c r="K26" s="861"/>
      <c r="L26" s="861"/>
      <c r="M26" s="876"/>
    </row>
    <row r="27" spans="1:13">
      <c r="A27" s="937" t="s">
        <v>113</v>
      </c>
      <c r="B27" s="962" t="s">
        <v>895</v>
      </c>
      <c r="C27" s="863"/>
      <c r="D27" s="863"/>
      <c r="E27" s="863"/>
      <c r="F27" s="929"/>
      <c r="G27" s="929"/>
      <c r="H27" s="866" t="s">
        <v>894</v>
      </c>
      <c r="I27" s="866"/>
      <c r="J27" s="866"/>
      <c r="K27" s="861"/>
      <c r="L27" s="861"/>
      <c r="M27" s="876"/>
    </row>
    <row r="28" spans="1:13">
      <c r="A28" s="937" t="s">
        <v>114</v>
      </c>
      <c r="B28" s="963" t="s">
        <v>893</v>
      </c>
      <c r="C28" s="964"/>
      <c r="D28" s="964"/>
      <c r="E28" s="964"/>
      <c r="F28" s="964"/>
      <c r="G28" s="965"/>
      <c r="H28" s="965"/>
      <c r="I28" s="965"/>
      <c r="J28" s="956" t="s">
        <v>892</v>
      </c>
      <c r="K28" s="956"/>
      <c r="L28" s="956"/>
      <c r="M28" s="966"/>
    </row>
    <row r="31" spans="1:13">
      <c r="A31" t="s">
        <v>66</v>
      </c>
    </row>
    <row r="32" spans="1:13">
      <c r="A32" s="135" t="s">
        <v>75</v>
      </c>
      <c r="G32" s="857" t="s">
        <v>872</v>
      </c>
      <c r="H32" s="857"/>
      <c r="I32" s="857"/>
      <c r="J32" s="858" t="s">
        <v>873</v>
      </c>
      <c r="L32" s="860"/>
      <c r="M32" s="860"/>
    </row>
    <row r="34" spans="1:1">
      <c r="A34" t="s">
        <v>68</v>
      </c>
    </row>
    <row r="36" spans="1:1">
      <c r="A36" t="s">
        <v>116</v>
      </c>
    </row>
    <row r="37" spans="1:1">
      <c r="A37" t="s">
        <v>76</v>
      </c>
    </row>
    <row r="38" spans="1:1">
      <c r="A38" t="s">
        <v>222</v>
      </c>
    </row>
    <row r="39" spans="1:1">
      <c r="A39" t="s">
        <v>121</v>
      </c>
    </row>
    <row r="40" spans="1:1">
      <c r="A40" t="s">
        <v>215</v>
      </c>
    </row>
    <row r="41" spans="1:1">
      <c r="A41" t="s">
        <v>77</v>
      </c>
    </row>
    <row r="42" spans="1:1">
      <c r="A42" t="s">
        <v>65</v>
      </c>
    </row>
  </sheetData>
  <phoneticPr fontId="87"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C062F-4A6A-472B-8DA4-FA366B6A84B9}">
  <sheetPr>
    <tabColor rgb="FFFFFF00"/>
  </sheetPr>
  <dimension ref="A1:S50"/>
  <sheetViews>
    <sheetView zoomScale="80" zoomScaleNormal="80" workbookViewId="0">
      <pane xSplit="1" ySplit="5" topLeftCell="B6" activePane="bottomRight" state="frozen"/>
      <selection pane="topRight" activeCell="B1" sqref="B1"/>
      <selection pane="bottomLeft" activeCell="A6" sqref="A6"/>
      <selection pane="bottomRight" activeCell="R6" sqref="R6:R24"/>
    </sheetView>
  </sheetViews>
  <sheetFormatPr baseColWidth="10" defaultRowHeight="13.8"/>
  <cols>
    <col min="1" max="1" width="16.33203125" bestFit="1" customWidth="1"/>
    <col min="2" max="2" width="13.109375" customWidth="1"/>
    <col min="3" max="3" width="14" customWidth="1"/>
    <col min="4" max="6" width="5.5546875" customWidth="1"/>
    <col min="7" max="9" width="6" customWidth="1"/>
    <col min="10" max="10" width="7.6640625" customWidth="1"/>
    <col min="11" max="11" width="12" customWidth="1"/>
    <col min="13" max="13" width="4.33203125" customWidth="1"/>
  </cols>
  <sheetData>
    <row r="1" spans="1:18" ht="15" customHeight="1">
      <c r="A1" s="785"/>
      <c r="B1" s="1055" t="s">
        <v>220</v>
      </c>
      <c r="C1" s="1055" t="s">
        <v>248</v>
      </c>
      <c r="D1" s="1057" t="s">
        <v>679</v>
      </c>
      <c r="E1" s="1058"/>
      <c r="F1" s="1058"/>
      <c r="G1" s="1058"/>
      <c r="H1" s="1058"/>
      <c r="I1" s="1058"/>
      <c r="J1" s="1058"/>
      <c r="K1" s="1059"/>
      <c r="L1" s="1039" t="s">
        <v>681</v>
      </c>
    </row>
    <row r="2" spans="1:18">
      <c r="A2" s="786"/>
      <c r="B2" s="1056"/>
      <c r="C2" s="1056"/>
      <c r="D2" s="1060"/>
      <c r="E2" s="1061"/>
      <c r="F2" s="1061"/>
      <c r="G2" s="1061"/>
      <c r="H2" s="1061"/>
      <c r="I2" s="1061"/>
      <c r="J2" s="1061"/>
      <c r="K2" s="1062"/>
      <c r="L2" s="1040"/>
    </row>
    <row r="3" spans="1:18">
      <c r="A3" s="585"/>
      <c r="B3" s="787">
        <v>0.5</v>
      </c>
      <c r="C3" s="787">
        <v>0.25</v>
      </c>
      <c r="D3" s="1042">
        <v>0.25</v>
      </c>
      <c r="E3" s="1043"/>
      <c r="F3" s="1043"/>
      <c r="G3" s="1043"/>
      <c r="H3" s="1043"/>
      <c r="I3" s="1043"/>
      <c r="J3" s="1043"/>
      <c r="K3" s="1044"/>
      <c r="L3" s="1040"/>
    </row>
    <row r="4" spans="1:18">
      <c r="A4" s="584"/>
      <c r="B4" s="788"/>
      <c r="C4" s="788"/>
      <c r="D4" s="1045" t="s">
        <v>825</v>
      </c>
      <c r="E4" s="1046"/>
      <c r="F4" s="1046"/>
      <c r="G4" s="1047" t="s">
        <v>903</v>
      </c>
      <c r="H4" s="1048"/>
      <c r="I4" s="1049"/>
      <c r="J4" s="1050" t="s">
        <v>904</v>
      </c>
      <c r="K4" s="1052" t="s">
        <v>824</v>
      </c>
      <c r="L4" s="1040"/>
      <c r="N4" s="583">
        <v>46204</v>
      </c>
      <c r="P4" s="583">
        <v>46235</v>
      </c>
      <c r="R4" s="807">
        <f>P4</f>
        <v>46235</v>
      </c>
    </row>
    <row r="5" spans="1:18">
      <c r="A5" s="582"/>
      <c r="B5" s="582"/>
      <c r="C5" s="582"/>
      <c r="D5" s="782" t="s">
        <v>813</v>
      </c>
      <c r="E5" s="783" t="s">
        <v>246</v>
      </c>
      <c r="F5" s="784" t="s">
        <v>814</v>
      </c>
      <c r="G5" s="813" t="s">
        <v>813</v>
      </c>
      <c r="H5" s="814" t="s">
        <v>246</v>
      </c>
      <c r="I5" s="815" t="s">
        <v>814</v>
      </c>
      <c r="J5" s="1051"/>
      <c r="K5" s="1053"/>
      <c r="L5" s="1041"/>
      <c r="N5" s="581" t="s">
        <v>704</v>
      </c>
      <c r="P5" s="581" t="s">
        <v>680</v>
      </c>
      <c r="R5" s="808" t="s">
        <v>826</v>
      </c>
    </row>
    <row r="6" spans="1:18">
      <c r="A6" s="790" t="s">
        <v>28</v>
      </c>
      <c r="B6" s="811">
        <v>2</v>
      </c>
      <c r="C6" s="811">
        <v>5</v>
      </c>
      <c r="D6" s="798">
        <v>0.32140000000000002</v>
      </c>
      <c r="E6" s="799">
        <v>0.28570000000000001</v>
      </c>
      <c r="F6" s="800">
        <v>0.39290000000000003</v>
      </c>
      <c r="G6" s="991">
        <f>VLOOKUP(A6,'Ago26'!$A$1:$Z$24,21)*D6</f>
        <v>0.1502175290965625</v>
      </c>
      <c r="H6" s="992">
        <f>VLOOKUP(A6,'Ago26'!$A$1:$Z$24,23)*(-1)*E6</f>
        <v>6.4642515018452196E-2</v>
      </c>
      <c r="I6" s="993">
        <f>VLOOKUP(A6,'Ago26'!$A$1:$Z$24,25)*F6</f>
        <v>0</v>
      </c>
      <c r="J6" s="818">
        <f>SUM(G6:I6)</f>
        <v>0.21486004411501469</v>
      </c>
      <c r="K6" s="780">
        <f>IFERROR(IF(J6&gt;0.15,1,IF(J6&gt;0.03,2,IF(J6&gt;=-0.03,3,IF(J6&gt;=-0.15,4,5)))),"error")</f>
        <v>1</v>
      </c>
      <c r="L6" s="793">
        <f>B6*B$3+C6*C$3+K6*D$3</f>
        <v>2.5</v>
      </c>
      <c r="N6" s="580">
        <v>4</v>
      </c>
      <c r="O6" s="141" t="s">
        <v>905</v>
      </c>
      <c r="P6" s="579">
        <f t="shared" ref="P6:P24" si="0">ROUND(L6,0)</f>
        <v>3</v>
      </c>
      <c r="R6" s="809">
        <v>4</v>
      </c>
    </row>
    <row r="7" spans="1:18">
      <c r="A7" s="789" t="s">
        <v>13</v>
      </c>
      <c r="B7" s="779">
        <v>4</v>
      </c>
      <c r="C7" s="779">
        <v>4</v>
      </c>
      <c r="D7" s="801">
        <v>0.48039999999999999</v>
      </c>
      <c r="E7" s="802">
        <v>1.9599999999999999E-2</v>
      </c>
      <c r="F7" s="803">
        <v>0.5</v>
      </c>
      <c r="G7" s="816">
        <f>VLOOKUP(A7,'Ago26'!$A$1:$Z$24,21)*D7</f>
        <v>-1.682290502925915E-2</v>
      </c>
      <c r="H7" s="817">
        <f>VLOOKUP(A7,'Ago26'!$A$1:$Z$24,23)*(-1)*E7</f>
        <v>1.1247885513631912E-2</v>
      </c>
      <c r="I7" s="994">
        <f>VLOOKUP(A7,'Ago26'!$A$1:$Z$24,25)*F7</f>
        <v>-2.0202020202020221E-2</v>
      </c>
      <c r="J7" s="803">
        <f t="shared" ref="J7:J24" si="1">SUM(G7:I7)</f>
        <v>-2.5777039717647457E-2</v>
      </c>
      <c r="K7" s="779">
        <f t="shared" ref="K7:K24" si="2">IFERROR(IF(J7&gt;0.15,1,IF(J7&gt;0.03,2,IF(J7&gt;=-0.03,3,IF(J7&gt;=-0.15,4,5)))),"error")</f>
        <v>3</v>
      </c>
      <c r="L7" s="796">
        <f t="shared" ref="L7:L24" si="3">B7*B$3+C7*C$3+K7*D$3</f>
        <v>3.75</v>
      </c>
      <c r="N7" s="576">
        <v>4</v>
      </c>
      <c r="O7" s="141"/>
      <c r="P7" s="575">
        <f t="shared" si="0"/>
        <v>4</v>
      </c>
      <c r="R7" s="809">
        <v>4</v>
      </c>
    </row>
    <row r="8" spans="1:18">
      <c r="A8" s="791" t="s">
        <v>215</v>
      </c>
      <c r="B8" s="811">
        <v>3</v>
      </c>
      <c r="C8" s="811">
        <v>3</v>
      </c>
      <c r="D8" s="798">
        <v>8.1100000000000005E-2</v>
      </c>
      <c r="E8" s="799">
        <v>9.9099999999999994E-2</v>
      </c>
      <c r="F8" s="800">
        <v>0.81979999999999997</v>
      </c>
      <c r="G8" s="816">
        <f>VLOOKUP(A8,'Ago26'!$A$1:$Z$24,21)*D8</f>
        <v>-9.25758139683556E-3</v>
      </c>
      <c r="H8" s="817">
        <f>VLOOKUP(A8,'Ago26'!$A$1:$Z$24,23)*(-1)*E8</f>
        <v>-1.5213168860268208E-2</v>
      </c>
      <c r="I8" s="994">
        <f>VLOOKUP(A8,'Ago26'!$A$1:$Z$24,25)*F8</f>
        <v>2.5848740967812457E-2</v>
      </c>
      <c r="J8" s="818">
        <f t="shared" si="1"/>
        <v>1.3779907107086889E-3</v>
      </c>
      <c r="K8" s="780">
        <f t="shared" si="2"/>
        <v>3</v>
      </c>
      <c r="L8" s="794">
        <f t="shared" si="3"/>
        <v>3</v>
      </c>
      <c r="N8" s="577">
        <v>3</v>
      </c>
      <c r="O8" s="141"/>
      <c r="P8" s="575">
        <f t="shared" si="0"/>
        <v>3</v>
      </c>
      <c r="R8" s="809">
        <v>3</v>
      </c>
    </row>
    <row r="9" spans="1:18">
      <c r="A9" s="789" t="s">
        <v>77</v>
      </c>
      <c r="B9" s="779">
        <v>2</v>
      </c>
      <c r="C9" s="779">
        <v>3</v>
      </c>
      <c r="D9" s="801">
        <v>0.27450000000000002</v>
      </c>
      <c r="E9" s="802">
        <v>1.9599999999999999E-2</v>
      </c>
      <c r="F9" s="803">
        <v>0.70589999999999997</v>
      </c>
      <c r="G9" s="816">
        <f>VLOOKUP(A9,'Ago26'!$A$1:$Z$24,21)*D9</f>
        <v>9.3803827324149824E-2</v>
      </c>
      <c r="H9" s="817">
        <f>VLOOKUP(A9,'Ago26'!$A$1:$Z$24,23)*(-1)*E9</f>
        <v>-1.8587682083341821E-2</v>
      </c>
      <c r="I9" s="994">
        <f>VLOOKUP(A9,'Ago26'!$A$1:$Z$24,25)*F9</f>
        <v>-5.2592589625475673E-2</v>
      </c>
      <c r="J9" s="803">
        <f t="shared" si="1"/>
        <v>2.2623555615332323E-2</v>
      </c>
      <c r="K9" s="779">
        <f t="shared" si="2"/>
        <v>3</v>
      </c>
      <c r="L9" s="797">
        <f t="shared" si="3"/>
        <v>2.5</v>
      </c>
      <c r="N9" s="578">
        <v>2</v>
      </c>
      <c r="O9" s="141"/>
      <c r="P9" s="575">
        <f t="shared" si="0"/>
        <v>3</v>
      </c>
      <c r="R9" s="809">
        <v>2</v>
      </c>
    </row>
    <row r="10" spans="1:18">
      <c r="A10" s="791" t="s">
        <v>221</v>
      </c>
      <c r="B10" s="811">
        <v>3.5</v>
      </c>
      <c r="C10" s="811">
        <v>3.5</v>
      </c>
      <c r="D10" s="798">
        <v>0.17480000000000001</v>
      </c>
      <c r="E10" s="799">
        <v>2.9100000000000001E-2</v>
      </c>
      <c r="F10" s="800">
        <v>0.79610000000000003</v>
      </c>
      <c r="G10" s="816">
        <f>VLOOKUP(A10,'Ago26'!$A$1:$Z$24,21)*D10</f>
        <v>-6.7013573642077329E-2</v>
      </c>
      <c r="H10" s="817">
        <f>VLOOKUP(A10,'Ago26'!$A$1:$Z$24,23)*(-1)*E10</f>
        <v>5.7581304722565405E-3</v>
      </c>
      <c r="I10" s="994">
        <f>VLOOKUP(A10,'Ago26'!$A$1:$Z$24,25)*F10</f>
        <v>0</v>
      </c>
      <c r="J10" s="818">
        <f t="shared" si="1"/>
        <v>-6.1255443169820789E-2</v>
      </c>
      <c r="K10" s="780">
        <f t="shared" si="2"/>
        <v>4</v>
      </c>
      <c r="L10" s="794">
        <f t="shared" si="3"/>
        <v>3.625</v>
      </c>
      <c r="N10" s="578">
        <v>4</v>
      </c>
      <c r="O10" s="141"/>
      <c r="P10" s="575">
        <f t="shared" si="0"/>
        <v>4</v>
      </c>
      <c r="R10" s="809">
        <v>4</v>
      </c>
    </row>
    <row r="11" spans="1:18">
      <c r="A11" s="789" t="s">
        <v>116</v>
      </c>
      <c r="B11" s="996">
        <v>4.5</v>
      </c>
      <c r="C11" s="779">
        <v>3</v>
      </c>
      <c r="D11" s="801">
        <v>0.1176</v>
      </c>
      <c r="E11" s="802">
        <v>0.34639999999999999</v>
      </c>
      <c r="F11" s="803">
        <v>0.53590000000000004</v>
      </c>
      <c r="G11" s="816">
        <f>VLOOKUP(A11,'Ago26'!$A$1:$Z$24,21)*D11</f>
        <v>2.142672833797923E-2</v>
      </c>
      <c r="H11" s="817">
        <f>VLOOKUP(A11,'Ago26'!$A$1:$Z$24,23)*(-1)*E11</f>
        <v>-2.7080703068963867E-2</v>
      </c>
      <c r="I11" s="994">
        <f>VLOOKUP(A11,'Ago26'!$A$1:$Z$24,25)*F11</f>
        <v>0</v>
      </c>
      <c r="J11" s="803">
        <f t="shared" si="1"/>
        <v>-5.6539747309846365E-3</v>
      </c>
      <c r="K11" s="779">
        <f t="shared" si="2"/>
        <v>3</v>
      </c>
      <c r="L11" s="797">
        <f t="shared" si="3"/>
        <v>3.75</v>
      </c>
      <c r="N11" s="577">
        <v>4</v>
      </c>
      <c r="O11" s="141"/>
      <c r="P11" s="575">
        <f t="shared" si="0"/>
        <v>4</v>
      </c>
      <c r="R11" s="809">
        <v>3</v>
      </c>
    </row>
    <row r="12" spans="1:18">
      <c r="A12" s="791" t="s">
        <v>216</v>
      </c>
      <c r="B12" s="811">
        <v>2</v>
      </c>
      <c r="C12" s="811">
        <v>2.5</v>
      </c>
      <c r="D12" s="798">
        <v>0.71699999999999997</v>
      </c>
      <c r="E12" s="799">
        <v>5.6599999999999998E-2</v>
      </c>
      <c r="F12" s="800">
        <v>0.22639999999999999</v>
      </c>
      <c r="G12" s="816">
        <f>VLOOKUP(A12,'Ago26'!$A$1:$Z$24,21)*D12</f>
        <v>0.12485060428042903</v>
      </c>
      <c r="H12" s="817">
        <f>VLOOKUP(A12,'Ago26'!$A$1:$Z$24,23)*(-1)*E12</f>
        <v>-1.1834569674676708E-2</v>
      </c>
      <c r="I12" s="994">
        <f>VLOOKUP(A12,'Ago26'!$A$1:$Z$24,25)*F12</f>
        <v>0</v>
      </c>
      <c r="J12" s="818">
        <f t="shared" si="1"/>
        <v>0.11301603460575232</v>
      </c>
      <c r="K12" s="780">
        <f t="shared" si="2"/>
        <v>2</v>
      </c>
      <c r="L12" s="794">
        <f t="shared" si="3"/>
        <v>2.125</v>
      </c>
      <c r="N12" s="578">
        <v>1</v>
      </c>
      <c r="O12" s="141"/>
      <c r="P12" s="575">
        <f t="shared" si="0"/>
        <v>2</v>
      </c>
      <c r="R12" s="809">
        <v>1</v>
      </c>
    </row>
    <row r="13" spans="1:18">
      <c r="A13" s="789" t="s">
        <v>217</v>
      </c>
      <c r="B13" s="996">
        <v>2</v>
      </c>
      <c r="C13" s="779">
        <v>3</v>
      </c>
      <c r="D13" s="801">
        <v>6.9900000000000004E-2</v>
      </c>
      <c r="E13" s="802">
        <v>0.30070000000000002</v>
      </c>
      <c r="F13" s="803">
        <v>0.62939999999999996</v>
      </c>
      <c r="G13" s="816">
        <f>VLOOKUP(A13,'Ago26'!$A$1:$Z$24,21)*D13</f>
        <v>1.4556467741642315E-2</v>
      </c>
      <c r="H13" s="817">
        <f>VLOOKUP(A13,'Ago26'!$A$1:$Z$24,23)*(-1)*E13</f>
        <v>7.0945386431296373E-2</v>
      </c>
      <c r="I13" s="994">
        <f>VLOOKUP(A13,'Ago26'!$A$1:$Z$24,25)*F13</f>
        <v>0</v>
      </c>
      <c r="J13" s="803">
        <f t="shared" si="1"/>
        <v>8.5501854172938693E-2</v>
      </c>
      <c r="K13" s="779">
        <f t="shared" si="2"/>
        <v>2</v>
      </c>
      <c r="L13" s="796">
        <f t="shared" si="3"/>
        <v>2.25</v>
      </c>
      <c r="N13" s="576">
        <v>4</v>
      </c>
      <c r="O13" s="141" t="s">
        <v>905</v>
      </c>
      <c r="P13" s="575">
        <f t="shared" si="0"/>
        <v>2</v>
      </c>
      <c r="R13" s="809">
        <v>4</v>
      </c>
    </row>
    <row r="14" spans="1:18">
      <c r="A14" s="791" t="s">
        <v>65</v>
      </c>
      <c r="B14" s="811">
        <v>5</v>
      </c>
      <c r="C14" s="811">
        <v>2.5</v>
      </c>
      <c r="D14" s="798">
        <v>0.23530000000000001</v>
      </c>
      <c r="E14" s="799">
        <v>1.9599999999999999E-2</v>
      </c>
      <c r="F14" s="800">
        <v>0.74509999999999998</v>
      </c>
      <c r="G14" s="816">
        <f>VLOOKUP(A14,'Ago26'!$A$1:$Z$24,21)*D14</f>
        <v>3.4934206294134025E-2</v>
      </c>
      <c r="H14" s="817">
        <f>VLOOKUP(A14,'Ago26'!$A$1:$Z$24,23)*(-1)*E14</f>
        <v>-2.7082514692842526E-3</v>
      </c>
      <c r="I14" s="994">
        <f>VLOOKUP(A14,'Ago26'!$A$1:$Z$24,25)*F14</f>
        <v>3.0576457883369428E-2</v>
      </c>
      <c r="J14" s="818">
        <f t="shared" si="1"/>
        <v>6.2802412708219207E-2</v>
      </c>
      <c r="K14" s="780">
        <f t="shared" si="2"/>
        <v>2</v>
      </c>
      <c r="L14" s="794">
        <f t="shared" si="3"/>
        <v>3.625</v>
      </c>
      <c r="N14" s="577">
        <v>4</v>
      </c>
      <c r="O14" s="141"/>
      <c r="P14" s="575">
        <f t="shared" si="0"/>
        <v>4</v>
      </c>
      <c r="R14" s="809">
        <v>4</v>
      </c>
    </row>
    <row r="15" spans="1:18">
      <c r="A15" s="789" t="s">
        <v>68</v>
      </c>
      <c r="B15" s="845">
        <v>2</v>
      </c>
      <c r="C15" s="779">
        <v>3</v>
      </c>
      <c r="D15" s="801">
        <v>0</v>
      </c>
      <c r="E15" s="802">
        <v>1</v>
      </c>
      <c r="F15" s="803">
        <v>0</v>
      </c>
      <c r="G15" s="816">
        <f>VLOOKUP(A15,'Ago26'!$A$1:$Z$24,21)*D15</f>
        <v>0</v>
      </c>
      <c r="H15" s="817">
        <f>VLOOKUP(A15,'Ago26'!$A$1:$Z$24,23)*(-1)*E15</f>
        <v>-2.1008985026031439</v>
      </c>
      <c r="I15" s="994">
        <f>VLOOKUP(A15,'Ago26'!$A$1:$Z$24,25)*F15</f>
        <v>0</v>
      </c>
      <c r="J15" s="803">
        <f t="shared" si="1"/>
        <v>-2.1008985026031439</v>
      </c>
      <c r="K15" s="779">
        <f t="shared" si="2"/>
        <v>5</v>
      </c>
      <c r="L15" s="796">
        <f t="shared" si="3"/>
        <v>3</v>
      </c>
      <c r="N15" s="577">
        <v>4</v>
      </c>
      <c r="O15" s="141" t="s">
        <v>905</v>
      </c>
      <c r="P15" s="575">
        <f t="shared" si="0"/>
        <v>3</v>
      </c>
      <c r="R15" s="809">
        <v>4</v>
      </c>
    </row>
    <row r="16" spans="1:18">
      <c r="A16" s="791" t="s">
        <v>25</v>
      </c>
      <c r="B16" s="811">
        <v>3</v>
      </c>
      <c r="C16" s="811">
        <v>4</v>
      </c>
      <c r="D16" s="798">
        <v>0.73833333333333329</v>
      </c>
      <c r="E16" s="799">
        <v>0</v>
      </c>
      <c r="F16" s="800">
        <v>0.26166666666666671</v>
      </c>
      <c r="G16" s="816">
        <f>VLOOKUP(A16,'Ago26'!$A$1:$Z$24,21)*D16</f>
        <v>-4.1982072140935731E-2</v>
      </c>
      <c r="H16" s="817">
        <f>VLOOKUP(A16,'Ago26'!$A$1:$Z$24,23)*(-1)*E16</f>
        <v>0</v>
      </c>
      <c r="I16" s="994">
        <f>VLOOKUP(A16,'Ago26'!$A$1:$Z$24,25)*F16</f>
        <v>-1.2729729729729718E-2</v>
      </c>
      <c r="J16" s="818">
        <f t="shared" si="1"/>
        <v>-5.4711801870665447E-2</v>
      </c>
      <c r="K16" s="780">
        <f t="shared" si="2"/>
        <v>4</v>
      </c>
      <c r="L16" s="794">
        <f t="shared" si="3"/>
        <v>3.5</v>
      </c>
      <c r="N16" s="576">
        <v>4</v>
      </c>
      <c r="O16" s="141"/>
      <c r="P16" s="575">
        <f t="shared" si="0"/>
        <v>4</v>
      </c>
      <c r="R16" s="809">
        <v>4</v>
      </c>
    </row>
    <row r="17" spans="1:19">
      <c r="A17" s="789" t="s">
        <v>76</v>
      </c>
      <c r="B17" s="779">
        <v>1</v>
      </c>
      <c r="C17" s="779">
        <v>3</v>
      </c>
      <c r="D17" s="801">
        <v>0.9</v>
      </c>
      <c r="E17" s="802">
        <v>0</v>
      </c>
      <c r="F17" s="803">
        <v>0.1</v>
      </c>
      <c r="G17" s="816">
        <f>VLOOKUP(A17,'Ago26'!$A$1:$Z$24,21)*D17</f>
        <v>0.34759689795738763</v>
      </c>
      <c r="H17" s="817">
        <f>VLOOKUP(A17,'Ago26'!$A$1:$Z$24,23)*(-1)*E17</f>
        <v>0</v>
      </c>
      <c r="I17" s="994">
        <f>VLOOKUP(A17,'Ago26'!$A$1:$Z$24,25)*F17</f>
        <v>0</v>
      </c>
      <c r="J17" s="803">
        <f t="shared" si="1"/>
        <v>0.34759689795738763</v>
      </c>
      <c r="K17" s="779">
        <f t="shared" si="2"/>
        <v>1</v>
      </c>
      <c r="L17" s="796">
        <f t="shared" si="3"/>
        <v>1.5</v>
      </c>
      <c r="N17" s="578">
        <v>2</v>
      </c>
      <c r="O17" s="141"/>
      <c r="P17" s="575">
        <f t="shared" si="0"/>
        <v>2</v>
      </c>
      <c r="R17" s="809">
        <v>2</v>
      </c>
    </row>
    <row r="18" spans="1:19">
      <c r="A18" s="791" t="s">
        <v>222</v>
      </c>
      <c r="B18" s="811">
        <v>1</v>
      </c>
      <c r="C18" s="811">
        <v>3</v>
      </c>
      <c r="D18" s="798">
        <v>0.36630000000000001</v>
      </c>
      <c r="E18" s="799">
        <v>9.9000000000000008E-3</v>
      </c>
      <c r="F18" s="800">
        <v>0.62380000000000002</v>
      </c>
      <c r="G18" s="816">
        <f>VLOOKUP(A18,'Ago26'!$A$1:$Z$24,21)*D18</f>
        <v>0.21321726411709988</v>
      </c>
      <c r="H18" s="817">
        <f>VLOOKUP(A18,'Ago26'!$A$1:$Z$24,23)*(-1)*E18</f>
        <v>3.7256351168415107E-4</v>
      </c>
      <c r="I18" s="994">
        <f>VLOOKUP(A18,'Ago26'!$A$1:$Z$24,25)*F18</f>
        <v>1.6669760900140627E-2</v>
      </c>
      <c r="J18" s="818">
        <f t="shared" si="1"/>
        <v>0.23025958852892467</v>
      </c>
      <c r="K18" s="780">
        <f t="shared" si="2"/>
        <v>1</v>
      </c>
      <c r="L18" s="794">
        <f t="shared" si="3"/>
        <v>1.5</v>
      </c>
      <c r="N18" s="578">
        <v>2</v>
      </c>
      <c r="O18" s="141"/>
      <c r="P18" s="575">
        <f t="shared" si="0"/>
        <v>2</v>
      </c>
      <c r="R18" s="809">
        <v>2</v>
      </c>
    </row>
    <row r="19" spans="1:19">
      <c r="A19" s="789" t="s">
        <v>66</v>
      </c>
      <c r="B19" s="779">
        <v>1</v>
      </c>
      <c r="C19" s="779">
        <v>3</v>
      </c>
      <c r="D19" s="801">
        <v>0.36699999999999999</v>
      </c>
      <c r="E19" s="802">
        <v>8.2600000000000007E-2</v>
      </c>
      <c r="F19" s="803">
        <v>0.55049999999999999</v>
      </c>
      <c r="G19" s="816">
        <f>VLOOKUP(A19,'Ago26'!$A$1:$Z$24,21)*D19</f>
        <v>-1.5070980783357373E-2</v>
      </c>
      <c r="H19" s="817">
        <f>VLOOKUP(A19,'Ago26'!$A$1:$Z$24,23)*(-1)*E19</f>
        <v>-5.5520634897661264E-2</v>
      </c>
      <c r="I19" s="994">
        <f>VLOOKUP(A19,'Ago26'!$A$1:$Z$24,25)*F19</f>
        <v>0</v>
      </c>
      <c r="J19" s="803">
        <f t="shared" si="1"/>
        <v>-7.0591615681018641E-2</v>
      </c>
      <c r="K19" s="779">
        <f t="shared" si="2"/>
        <v>4</v>
      </c>
      <c r="L19" s="796">
        <f t="shared" si="3"/>
        <v>2.25</v>
      </c>
      <c r="N19" s="576">
        <v>3</v>
      </c>
      <c r="O19" s="141" t="s">
        <v>905</v>
      </c>
      <c r="P19" s="575">
        <f t="shared" si="0"/>
        <v>2</v>
      </c>
      <c r="R19" s="809">
        <v>2</v>
      </c>
    </row>
    <row r="20" spans="1:19">
      <c r="A20" s="791" t="s">
        <v>218</v>
      </c>
      <c r="B20" s="811">
        <v>2</v>
      </c>
      <c r="C20" s="811">
        <v>3.5</v>
      </c>
      <c r="D20" s="798">
        <v>0.48620000000000002</v>
      </c>
      <c r="E20" s="799">
        <v>8.2600000000000007E-2</v>
      </c>
      <c r="F20" s="800">
        <v>0.43120000000000003</v>
      </c>
      <c r="G20" s="816">
        <f>VLOOKUP(A20,'Ago26'!$A$1:$Z$24,21)*D20</f>
        <v>-8.4892577084668859E-3</v>
      </c>
      <c r="H20" s="817">
        <f>VLOOKUP(A20,'Ago26'!$A$1:$Z$24,23)*(-1)*E20</f>
        <v>-4.5516033440211517E-2</v>
      </c>
      <c r="I20" s="994">
        <f>VLOOKUP(A20,'Ago26'!$A$1:$Z$24,25)*F20</f>
        <v>0</v>
      </c>
      <c r="J20" s="818">
        <f t="shared" si="1"/>
        <v>-5.40052911486784E-2</v>
      </c>
      <c r="K20" s="780">
        <f t="shared" si="2"/>
        <v>4</v>
      </c>
      <c r="L20" s="794">
        <f t="shared" si="3"/>
        <v>2.875</v>
      </c>
      <c r="N20" s="577">
        <v>3</v>
      </c>
      <c r="O20" s="141"/>
      <c r="P20" s="575">
        <f t="shared" si="0"/>
        <v>3</v>
      </c>
      <c r="R20" s="809">
        <v>3</v>
      </c>
    </row>
    <row r="21" spans="1:19">
      <c r="A21" s="789" t="s">
        <v>121</v>
      </c>
      <c r="B21" s="779">
        <v>2.5</v>
      </c>
      <c r="C21" s="779">
        <v>2</v>
      </c>
      <c r="D21" s="801">
        <v>0.37859999999999999</v>
      </c>
      <c r="E21" s="802">
        <v>1.9400000000000001E-2</v>
      </c>
      <c r="F21" s="803">
        <v>0.60189999999999999</v>
      </c>
      <c r="G21" s="816">
        <f>VLOOKUP(A21,'Ago26'!$A$1:$Z$24,21)*D21</f>
        <v>0.19850174336168389</v>
      </c>
      <c r="H21" s="817">
        <f>VLOOKUP(A21,'Ago26'!$A$1:$Z$24,23)*(-1)*E21</f>
        <v>-1.3370691350619831E-3</v>
      </c>
      <c r="I21" s="994">
        <f>VLOOKUP(A21,'Ago26'!$A$1:$Z$24,25)*F21</f>
        <v>6.4840152339499427E-2</v>
      </c>
      <c r="J21" s="803">
        <f t="shared" si="1"/>
        <v>0.26200482656612134</v>
      </c>
      <c r="K21" s="779">
        <f t="shared" si="2"/>
        <v>1</v>
      </c>
      <c r="L21" s="797">
        <f t="shared" si="3"/>
        <v>2</v>
      </c>
      <c r="N21" s="578">
        <v>3</v>
      </c>
      <c r="O21" s="141" t="s">
        <v>905</v>
      </c>
      <c r="P21" s="575">
        <f t="shared" si="0"/>
        <v>2</v>
      </c>
      <c r="R21" s="809">
        <v>3</v>
      </c>
    </row>
    <row r="22" spans="1:19">
      <c r="A22" s="791" t="s">
        <v>75</v>
      </c>
      <c r="B22" s="811">
        <v>2.5</v>
      </c>
      <c r="C22" s="811">
        <v>3</v>
      </c>
      <c r="D22" s="798">
        <v>1.7000000000000001E-2</v>
      </c>
      <c r="E22" s="799">
        <v>0.43180000000000002</v>
      </c>
      <c r="F22" s="800">
        <v>0.55110000000000003</v>
      </c>
      <c r="G22" s="816">
        <f>VLOOKUP(A22,'Ago26'!$A$1:$Z$24,21)*D22</f>
        <v>2.9447722090146749E-3</v>
      </c>
      <c r="H22" s="817">
        <f>VLOOKUP(A22,'Ago26'!$A$1:$Z$24,23)*(-1)*E22</f>
        <v>3.569324829749871E-2</v>
      </c>
      <c r="I22" s="994">
        <f>VLOOKUP(A22,'Ago26'!$A$1:$Z$24,25)*F22</f>
        <v>0</v>
      </c>
      <c r="J22" s="818">
        <f t="shared" si="1"/>
        <v>3.8638020506513382E-2</v>
      </c>
      <c r="K22" s="780">
        <f t="shared" si="2"/>
        <v>2</v>
      </c>
      <c r="L22" s="794">
        <f t="shared" si="3"/>
        <v>2.5</v>
      </c>
      <c r="N22" s="577">
        <v>3</v>
      </c>
      <c r="O22" s="141"/>
      <c r="P22" s="575">
        <f t="shared" si="0"/>
        <v>3</v>
      </c>
      <c r="R22" s="809">
        <v>3</v>
      </c>
    </row>
    <row r="23" spans="1:19">
      <c r="A23" s="789" t="s">
        <v>219</v>
      </c>
      <c r="B23" s="779">
        <v>5</v>
      </c>
      <c r="C23" s="779">
        <v>3.5</v>
      </c>
      <c r="D23" s="801">
        <v>0.8</v>
      </c>
      <c r="E23" s="802">
        <v>0.2</v>
      </c>
      <c r="F23" s="803">
        <v>0</v>
      </c>
      <c r="G23" s="816">
        <f>VLOOKUP(A23,'Ago26'!$A$1:$Z$24,21)*D23</f>
        <v>-7.5010056766432964E-2</v>
      </c>
      <c r="H23" s="817">
        <f>VLOOKUP(A23,'Ago26'!$A$1:$Z$24,23)*(-1)*E23</f>
        <v>-4.2423555743468594E-2</v>
      </c>
      <c r="I23" s="994">
        <f>VLOOKUP(A23,'Ago26'!$A$1:$Z$24,25)*F23</f>
        <v>0</v>
      </c>
      <c r="J23" s="803">
        <f t="shared" si="1"/>
        <v>-0.11743361250990156</v>
      </c>
      <c r="K23" s="779">
        <f t="shared" si="2"/>
        <v>4</v>
      </c>
      <c r="L23" s="796">
        <f t="shared" si="3"/>
        <v>4.375</v>
      </c>
      <c r="N23" s="576">
        <v>5</v>
      </c>
      <c r="O23" s="141"/>
      <c r="P23" s="575">
        <f t="shared" si="0"/>
        <v>4</v>
      </c>
      <c r="R23" s="809">
        <v>5</v>
      </c>
    </row>
    <row r="24" spans="1:19">
      <c r="A24" s="792" t="s">
        <v>39</v>
      </c>
      <c r="B24" s="812">
        <v>5</v>
      </c>
      <c r="C24" s="812">
        <v>3.5</v>
      </c>
      <c r="D24" s="804">
        <v>0.22550000000000001</v>
      </c>
      <c r="E24" s="805">
        <v>1.9599999999999999E-2</v>
      </c>
      <c r="F24" s="806">
        <v>0.75490000000000002</v>
      </c>
      <c r="G24" s="894">
        <f>VLOOKUP(A24,'Ago26'!$A$1:$Z$24,21)*D24</f>
        <v>2.7158968288806592E-2</v>
      </c>
      <c r="H24" s="895">
        <f>VLOOKUP(A24,'Ago26'!$A$1:$Z$24,23)*(-1)*E24</f>
        <v>2.0033505948022518E-3</v>
      </c>
      <c r="I24" s="995">
        <f>VLOOKUP(A24,'Ago26'!$A$1:$Z$24,25)*F24</f>
        <v>7.6941812492207828E-2</v>
      </c>
      <c r="J24" s="819">
        <f t="shared" si="1"/>
        <v>0.10610413137581667</v>
      </c>
      <c r="K24" s="781">
        <f t="shared" si="2"/>
        <v>2</v>
      </c>
      <c r="L24" s="795">
        <f t="shared" si="3"/>
        <v>3.875</v>
      </c>
      <c r="N24" s="574">
        <v>4</v>
      </c>
      <c r="O24" s="141"/>
      <c r="P24" s="573">
        <f t="shared" si="0"/>
        <v>4</v>
      </c>
      <c r="R24" s="849">
        <v>4</v>
      </c>
    </row>
    <row r="26" spans="1:19">
      <c r="N26" s="6"/>
      <c r="O26" s="6"/>
      <c r="P26" s="6"/>
      <c r="Q26" s="6" t="s">
        <v>827</v>
      </c>
      <c r="R26" s="810">
        <f t="shared" ref="R26" si="4">COUNTIF(R6:R24,1)+COUNTIF(R6:R24,2)</f>
        <v>5</v>
      </c>
      <c r="S26" s="707">
        <f>+R26/$R$29</f>
        <v>0.26315789473684209</v>
      </c>
    </row>
    <row r="27" spans="1:19">
      <c r="N27" s="6"/>
      <c r="O27" s="6"/>
      <c r="P27" s="6"/>
      <c r="Q27" s="6" t="s">
        <v>828</v>
      </c>
      <c r="R27" s="810">
        <f t="shared" ref="R27" si="5">COUNTIF(R6:R24,3)</f>
        <v>5</v>
      </c>
      <c r="S27" s="707">
        <f>+R27/$R$29</f>
        <v>0.26315789473684209</v>
      </c>
    </row>
    <row r="28" spans="1:19">
      <c r="N28" s="6"/>
      <c r="O28" s="6"/>
      <c r="P28" s="6"/>
      <c r="Q28" s="6" t="s">
        <v>829</v>
      </c>
      <c r="R28" s="810">
        <f t="shared" ref="R28" si="6">COUNTIF(R6:R24,4)+COUNTIF(R6:R24,5)</f>
        <v>9</v>
      </c>
      <c r="S28" s="707">
        <f>+R28/$R$29</f>
        <v>0.47368421052631576</v>
      </c>
    </row>
    <row r="29" spans="1:19">
      <c r="A29" s="19" t="s">
        <v>901</v>
      </c>
      <c r="R29" s="810">
        <f>SUM(R26:R28)</f>
        <v>19</v>
      </c>
    </row>
    <row r="30" spans="1:19">
      <c r="A30" s="923" t="s">
        <v>28</v>
      </c>
      <c r="B30" s="173" t="s">
        <v>896</v>
      </c>
    </row>
    <row r="31" spans="1:19">
      <c r="A31" s="923" t="s">
        <v>13</v>
      </c>
    </row>
    <row r="32" spans="1:19">
      <c r="A32" s="923" t="s">
        <v>215</v>
      </c>
    </row>
    <row r="33" spans="1:2">
      <c r="A33" s="923" t="s">
        <v>77</v>
      </c>
    </row>
    <row r="34" spans="1:2">
      <c r="A34" s="923" t="s">
        <v>221</v>
      </c>
    </row>
    <row r="35" spans="1:2">
      <c r="A35" s="923" t="s">
        <v>116</v>
      </c>
    </row>
    <row r="36" spans="1:2">
      <c r="A36" s="923" t="s">
        <v>216</v>
      </c>
    </row>
    <row r="37" spans="1:2">
      <c r="A37" s="923" t="s">
        <v>217</v>
      </c>
    </row>
    <row r="38" spans="1:2">
      <c r="A38" s="923" t="s">
        <v>65</v>
      </c>
    </row>
    <row r="39" spans="1:2">
      <c r="A39" s="923" t="s">
        <v>68</v>
      </c>
    </row>
    <row r="40" spans="1:2">
      <c r="A40" s="923" t="s">
        <v>25</v>
      </c>
    </row>
    <row r="41" spans="1:2">
      <c r="A41" s="923" t="s">
        <v>76</v>
      </c>
    </row>
    <row r="42" spans="1:2">
      <c r="A42" s="923" t="s">
        <v>222</v>
      </c>
    </row>
    <row r="43" spans="1:2">
      <c r="A43" s="1054" t="s">
        <v>66</v>
      </c>
      <c r="B43" s="173" t="s">
        <v>881</v>
      </c>
    </row>
    <row r="44" spans="1:2">
      <c r="A44" s="1054"/>
      <c r="B44" s="173" t="s">
        <v>899</v>
      </c>
    </row>
    <row r="45" spans="1:2">
      <c r="A45" s="923" t="s">
        <v>218</v>
      </c>
      <c r="B45" s="173" t="s">
        <v>880</v>
      </c>
    </row>
    <row r="46" spans="1:2">
      <c r="A46" s="923" t="s">
        <v>121</v>
      </c>
    </row>
    <row r="47" spans="1:2">
      <c r="A47" s="923" t="s">
        <v>75</v>
      </c>
    </row>
    <row r="48" spans="1:2">
      <c r="A48" s="1054" t="s">
        <v>219</v>
      </c>
      <c r="B48" s="173" t="s">
        <v>633</v>
      </c>
    </row>
    <row r="49" spans="1:2">
      <c r="A49" s="1054"/>
      <c r="B49" s="173" t="s">
        <v>900</v>
      </c>
    </row>
    <row r="50" spans="1:2">
      <c r="A50" s="923" t="s">
        <v>39</v>
      </c>
      <c r="B50" s="173" t="s">
        <v>902</v>
      </c>
    </row>
  </sheetData>
  <mergeCells count="11">
    <mergeCell ref="A43:A44"/>
    <mergeCell ref="A48:A49"/>
    <mergeCell ref="B1:B2"/>
    <mergeCell ref="C1:C2"/>
    <mergeCell ref="D1:K2"/>
    <mergeCell ref="L1:L5"/>
    <mergeCell ref="D3:K3"/>
    <mergeCell ref="D4:F4"/>
    <mergeCell ref="G4:I4"/>
    <mergeCell ref="J4:J5"/>
    <mergeCell ref="K4:K5"/>
  </mergeCells>
  <conditionalFormatting sqref="N6:N24">
    <cfRule type="cellIs" dxfId="453" priority="6" operator="equal">
      <formula>5</formula>
    </cfRule>
    <cfRule type="cellIs" dxfId="452" priority="7" operator="equal">
      <formula>4</formula>
    </cfRule>
    <cfRule type="cellIs" dxfId="451" priority="8" operator="equal">
      <formula>3</formula>
    </cfRule>
    <cfRule type="cellIs" dxfId="450" priority="9" operator="equal">
      <formula>2</formula>
    </cfRule>
    <cfRule type="cellIs" dxfId="449" priority="10" operator="equal">
      <formula>1</formula>
    </cfRule>
  </conditionalFormatting>
  <conditionalFormatting sqref="P6:P24">
    <cfRule type="cellIs" dxfId="448" priority="1" operator="equal">
      <formula>5</formula>
    </cfRule>
    <cfRule type="cellIs" dxfId="447" priority="2" operator="equal">
      <formula>4</formula>
    </cfRule>
    <cfRule type="cellIs" dxfId="446" priority="3" operator="equal">
      <formula>3</formula>
    </cfRule>
    <cfRule type="cellIs" dxfId="445" priority="4" operator="equal">
      <formula>2</formula>
    </cfRule>
    <cfRule type="cellIs" dxfId="444" priority="5" operator="equal">
      <formula>1</formula>
    </cfRule>
  </conditionalFormatting>
  <hyperlinks>
    <hyperlink ref="B45" r:id="rId1" xr:uid="{81E7BDD5-E2C2-4EB5-8CB6-23327EDBF6EC}"/>
    <hyperlink ref="B43" r:id="rId2" xr:uid="{7C3282AC-AFFC-4D86-BE45-BA09DA2D29E3}"/>
    <hyperlink ref="B30" r:id="rId3" xr:uid="{92A8A068-7CFE-45EE-9512-912CBD1CF575}"/>
    <hyperlink ref="B48" r:id="rId4" xr:uid="{3D58D8C5-90AC-4944-A973-18E8DD51A4C0}"/>
    <hyperlink ref="B49" r:id="rId5" xr:uid="{A2550A01-9B4F-4DE6-B008-2ABB3611012C}"/>
    <hyperlink ref="B50" r:id="rId6" xr:uid="{840E0734-CFA2-4CD1-9AA2-F86EAEA65AA0}"/>
  </hyperlinks>
  <pageMargins left="0.7" right="0.7" top="0.75" bottom="0.75" header="0.3" footer="0.3"/>
  <drawing r:id="rId7"/>
  <legacy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86963-DCB7-4462-B603-4442BC9849E8}">
  <sheetPr>
    <tabColor theme="5" tint="-0.249977111117893"/>
    <pageSetUpPr fitToPage="1"/>
  </sheetPr>
  <dimension ref="A1:FI47"/>
  <sheetViews>
    <sheetView showGridLines="0" zoomScale="70" zoomScaleNormal="70" workbookViewId="0">
      <pane xSplit="4" topLeftCell="BM1" activePane="topRight" state="frozen"/>
      <selection pane="topRight" activeCell="BT22" sqref="BT22"/>
    </sheetView>
  </sheetViews>
  <sheetFormatPr baseColWidth="10" defaultRowHeight="18.75" customHeight="1"/>
  <cols>
    <col min="1" max="1" width="18.88671875" style="11" customWidth="1"/>
    <col min="2" max="2" width="2.109375" style="11" hidden="1" customWidth="1"/>
    <col min="3" max="3" width="5.44140625" style="154" hidden="1" customWidth="1"/>
    <col min="4" max="4" width="0.1093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5.33203125" bestFit="1" customWidth="1"/>
    <col min="27" max="27" width="1.44140625" customWidth="1"/>
    <col min="28" max="28" width="53" style="11" hidden="1" customWidth="1"/>
    <col min="29" max="38" width="1.88671875" style="57" customWidth="1"/>
    <col min="39" max="39" width="2" style="57" customWidth="1"/>
    <col min="40" max="40" width="3.5546875" style="57" customWidth="1"/>
    <col min="41" max="41" width="1.44140625" style="57" customWidth="1"/>
    <col min="42" max="42" width="5.5546875" style="28" hidden="1" customWidth="1"/>
    <col min="43" max="44" width="5.6640625" style="28" hidden="1" customWidth="1"/>
    <col min="45" max="45" width="6.33203125" style="28" hidden="1" customWidth="1"/>
    <col min="46" max="46" width="5.6640625" hidden="1" customWidth="1"/>
    <col min="47" max="48" width="6.33203125" hidden="1" customWidth="1"/>
    <col min="49" max="49" width="5.6640625" hidden="1" customWidth="1"/>
    <col min="50" max="50" width="6" hidden="1" customWidth="1"/>
    <col min="51" max="51" width="5.33203125" hidden="1" customWidth="1"/>
    <col min="52" max="52" width="5.6640625" hidden="1" customWidth="1"/>
    <col min="53" max="53" width="5.5546875" hidden="1" customWidth="1"/>
    <col min="54" max="54" width="7.44140625" customWidth="1"/>
    <col min="55" max="55" width="11.6640625" style="141" customWidth="1"/>
    <col min="56" max="56" width="12" customWidth="1"/>
    <col min="57" max="57" width="0.88671875" customWidth="1"/>
    <col min="58" max="58" width="10.6640625" customWidth="1"/>
    <col min="59" max="61" width="8.88671875" bestFit="1" customWidth="1"/>
    <col min="62" max="62" width="3.6640625" customWidth="1"/>
    <col min="63" max="63" width="1.33203125" customWidth="1"/>
    <col min="64" max="64" width="12.88671875" customWidth="1"/>
    <col min="65" max="65" width="12.44140625" customWidth="1"/>
    <col min="66" max="66" width="2.44140625" customWidth="1"/>
    <col min="67" max="67" width="5.109375" customWidth="1"/>
    <col min="68" max="68" width="14.44140625" bestFit="1" customWidth="1"/>
    <col min="69" max="69" width="12.5546875" customWidth="1"/>
    <col min="70" max="70" width="2.44140625" customWidth="1"/>
    <col min="71" max="71" width="8.109375" customWidth="1"/>
    <col min="72" max="73" width="7.5546875" customWidth="1"/>
    <col min="74" max="74" width="2.88671875" customWidth="1"/>
    <col min="75" max="75" width="0.88671875" customWidth="1"/>
    <col min="76" max="77" width="7.44140625" customWidth="1"/>
    <col min="78" max="79" width="7.109375" customWidth="1"/>
    <col min="80" max="81" width="9.88671875" bestFit="1" customWidth="1"/>
    <col min="82" max="82" width="4.33203125" customWidth="1"/>
    <col min="83" max="83" width="7.109375" bestFit="1" customWidth="1"/>
    <col min="84" max="84" width="7.88671875" bestFit="1" customWidth="1"/>
    <col min="85" max="86" width="7.88671875" customWidth="1"/>
    <col min="87" max="87" width="10.88671875" customWidth="1"/>
    <col min="88" max="88" width="7" bestFit="1" customWidth="1"/>
    <col min="89" max="89" width="11" bestFit="1" customWidth="1"/>
    <col min="90" max="90" width="7.44140625" bestFit="1" customWidth="1"/>
    <col min="91" max="91" width="6.88671875" bestFit="1" customWidth="1"/>
    <col min="92" max="92" width="7" bestFit="1" customWidth="1"/>
    <col min="93" max="93" width="7.44140625" bestFit="1" customWidth="1"/>
    <col min="94" max="94" width="7.109375" bestFit="1" customWidth="1"/>
    <col min="95" max="95" width="6.6640625" bestFit="1" customWidth="1"/>
    <col min="96" max="96" width="6.8867187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2" width="7.44140625" bestFit="1" customWidth="1"/>
    <col min="103" max="103" width="6.88671875" bestFit="1" customWidth="1"/>
    <col min="104" max="104" width="6.5546875" bestFit="1" customWidth="1"/>
    <col min="105" max="105" width="6.88671875" bestFit="1" customWidth="1"/>
    <col min="106" max="106" width="7.109375" bestFit="1" customWidth="1"/>
    <col min="107" max="107" width="6.6640625" bestFit="1" customWidth="1"/>
    <col min="108" max="108" width="6.88671875" bestFit="1" customWidth="1"/>
    <col min="109" max="109" width="7.44140625" bestFit="1" customWidth="1"/>
    <col min="110" max="110" width="6.6640625" bestFit="1" customWidth="1"/>
    <col min="111" max="111" width="6.109375" bestFit="1" customWidth="1"/>
    <col min="112" max="112" width="7" bestFit="1" customWidth="1"/>
    <col min="113" max="113" width="5" customWidth="1"/>
    <col min="114" max="114" width="11.33203125" bestFit="1" customWidth="1"/>
    <col min="115" max="115" width="9.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3" width="6.6640625" bestFit="1" customWidth="1"/>
    <col min="134" max="134" width="7.44140625" bestFit="1" customWidth="1"/>
    <col min="135" max="136" width="6.664062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46235</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46235</v>
      </c>
      <c r="BH1" s="3">
        <v>46204</v>
      </c>
      <c r="BI1" s="3">
        <f>+VLOOKUP(BI2,datos!$D:$E,2,FALSE)</f>
        <v>45870</v>
      </c>
      <c r="BL1" s="3">
        <f>+A1</f>
        <v>46235</v>
      </c>
      <c r="BM1" s="3">
        <f>+VLOOKUP(BM2,datos!$D:$E,2,FALSE)</f>
        <v>45870</v>
      </c>
      <c r="BP1" s="3">
        <f>+A1</f>
        <v>46235</v>
      </c>
      <c r="BQ1" s="3">
        <f>+VLOOKUP(BQ2,datos!$D:$E,2,FALSE)</f>
        <v>45870</v>
      </c>
      <c r="BT1" t="s">
        <v>279</v>
      </c>
      <c r="BU1" t="s">
        <v>280</v>
      </c>
      <c r="BX1" t="s">
        <v>279</v>
      </c>
      <c r="BY1" t="s">
        <v>280</v>
      </c>
      <c r="CB1" t="s">
        <v>282</v>
      </c>
      <c r="CC1" t="s">
        <v>283</v>
      </c>
      <c r="CF1" s="3">
        <f>+A1</f>
        <v>46235</v>
      </c>
      <c r="CG1" s="3">
        <f>+VLOOKUP(CG2,datos!$D:$E,2,FALSE)</f>
        <v>46204</v>
      </c>
      <c r="CH1" s="3">
        <f>+VLOOKUP(CH2,datos!$D:$E,2,FALSE)</f>
        <v>45870</v>
      </c>
      <c r="CJ1" s="3">
        <f>+A1</f>
        <v>46235</v>
      </c>
      <c r="CK1" s="3">
        <f>+VLOOKUP(CK2,datos!$D:$E,2,FALSE)</f>
        <v>46235</v>
      </c>
      <c r="CL1" s="3">
        <f>+VLOOKUP(CL2,datos!$D:$E,2,FALSE)</f>
        <v>46204</v>
      </c>
      <c r="CM1" s="3">
        <f>+VLOOKUP(CM2,datos!$D:$E,2,FALSE)</f>
        <v>46174</v>
      </c>
      <c r="CN1" s="3">
        <f>+VLOOKUP(CN2,datos!$D:$E,2,FALSE)</f>
        <v>46143</v>
      </c>
      <c r="CO1" s="3">
        <f>+VLOOKUP(CO2,datos!$D:$E,2,FALSE)</f>
        <v>46113</v>
      </c>
      <c r="CP1" s="3">
        <f>+VLOOKUP(CP2,datos!$D:$E,2,FALSE)</f>
        <v>46082</v>
      </c>
      <c r="CQ1" s="3">
        <f>+VLOOKUP(CQ2,datos!$D:$E,2,FALSE)</f>
        <v>46054</v>
      </c>
      <c r="CR1" s="3">
        <f>+VLOOKUP(CR2,datos!$D:$E,2,FALSE)</f>
        <v>46023</v>
      </c>
      <c r="CS1" s="3">
        <f>+VLOOKUP(CS2,datos!$D:$E,2,FALSE)</f>
        <v>45992</v>
      </c>
      <c r="CT1" s="3">
        <f>+VLOOKUP(CT2,datos!$D:$E,2,FALSE)</f>
        <v>45962</v>
      </c>
      <c r="CU1" s="3">
        <f>+VLOOKUP(CU2,datos!$D:$E,2,FALSE)</f>
        <v>45931</v>
      </c>
      <c r="CV1" s="3">
        <f>+VLOOKUP(CV2,datos!$D:$E,2,FALSE)</f>
        <v>45901</v>
      </c>
      <c r="CW1" s="3">
        <f>+VLOOKUP(CW2,datos!$D:$E,2,FALSE)</f>
        <v>45870</v>
      </c>
      <c r="CX1" s="3">
        <f>+VLOOKUP(CX2,datos!$D:$E,2,FALSE)</f>
        <v>45839</v>
      </c>
      <c r="CY1" s="3">
        <f>+VLOOKUP(CY2,datos!$D:$E,2,FALSE)</f>
        <v>45809</v>
      </c>
      <c r="CZ1" s="3">
        <f>+VLOOKUP(CZ2,datos!$D:$E,2,FALSE)</f>
        <v>45778</v>
      </c>
      <c r="DA1" s="3">
        <f>+VLOOKUP(DA2,datos!$D:$E,2,FALSE)</f>
        <v>45748</v>
      </c>
      <c r="DB1" s="3">
        <f>+VLOOKUP(DB2,datos!$D:$E,2,FALSE)</f>
        <v>45717</v>
      </c>
      <c r="DC1" s="3">
        <f>+VLOOKUP(DC2,datos!$D:$E,2,FALSE)</f>
        <v>45689</v>
      </c>
      <c r="DD1" s="3">
        <f>+VLOOKUP(DD2,datos!$D:$E,2,FALSE)</f>
        <v>45658</v>
      </c>
      <c r="DE1" s="3">
        <f>+VLOOKUP(DE2,datos!$D:$E,2,FALSE)</f>
        <v>45627</v>
      </c>
      <c r="DF1" s="3">
        <f>+VLOOKUP(DF2,datos!$D:$E,2,FALSE)</f>
        <v>45597</v>
      </c>
      <c r="DG1" s="3">
        <f>+VLOOKUP(DG2,datos!$D:$E,2,FALSE)</f>
        <v>45566</v>
      </c>
      <c r="DH1" s="3">
        <f>+VLOOKUP(DH2,datos!$D:$E,2,FALSE)</f>
        <v>45536</v>
      </c>
      <c r="DJ1" s="3">
        <f>+CK1</f>
        <v>46235</v>
      </c>
      <c r="DK1" s="3">
        <f>+VLOOKUP(DK2,datos!$D:$E,2,FALSE)</f>
        <v>46204</v>
      </c>
      <c r="DL1" s="3">
        <f>+VLOOKUP(DL2,datos!$D:$E,2,FALSE)</f>
        <v>46174</v>
      </c>
      <c r="DM1" s="3">
        <f>+VLOOKUP(DM2,datos!$D:$E,2,FALSE)</f>
        <v>46143</v>
      </c>
      <c r="DN1" s="3">
        <f>+VLOOKUP(DN2,datos!$D:$E,2,FALSE)</f>
        <v>46113</v>
      </c>
      <c r="DO1" s="3">
        <f>+VLOOKUP(DO2,datos!$D:$E,2,FALSE)</f>
        <v>46082</v>
      </c>
      <c r="DP1" s="3">
        <f>+VLOOKUP(DP2,datos!$D:$E,2,FALSE)</f>
        <v>46054</v>
      </c>
      <c r="DQ1" s="3">
        <f>+VLOOKUP(DQ2,datos!$D:$E,2,FALSE)</f>
        <v>46023</v>
      </c>
      <c r="DR1" s="3">
        <f>+VLOOKUP(DR2,datos!$D:$E,2,FALSE)</f>
        <v>45992</v>
      </c>
      <c r="DS1" s="3">
        <f>+VLOOKUP(DS2,datos!$D:$E,2,FALSE)</f>
        <v>45962</v>
      </c>
      <c r="DT1" s="3">
        <f>+VLOOKUP(DT2,datos!$D:$E,2,FALSE)</f>
        <v>45931</v>
      </c>
      <c r="DU1" s="3">
        <f>+VLOOKUP(DU2,datos!$D:$E,2,FALSE)</f>
        <v>45901</v>
      </c>
      <c r="DV1" s="3">
        <f>+VLOOKUP(DV2,datos!$D:$E,2,FALSE)</f>
        <v>45870</v>
      </c>
      <c r="DW1" s="3">
        <f>+VLOOKUP(DW2,datos!$D:$E,2,FALSE)</f>
        <v>45839</v>
      </c>
      <c r="DX1" s="3">
        <f>+VLOOKUP(DX2,datos!$D:$E,2,FALSE)</f>
        <v>45809</v>
      </c>
      <c r="DY1" s="3">
        <f>+VLOOKUP(DY2,datos!$D:$E,2,FALSE)</f>
        <v>45778</v>
      </c>
      <c r="DZ1" s="3">
        <f>+VLOOKUP(DZ2,datos!$D:$E,2,FALSE)</f>
        <v>45748</v>
      </c>
      <c r="EA1" s="3">
        <f>+VLOOKUP(EA2,datos!$D:$E,2,FALSE)</f>
        <v>45717</v>
      </c>
      <c r="EB1" s="3">
        <f>+VLOOKUP(EB2,datos!$D:$E,2,FALSE)</f>
        <v>45689</v>
      </c>
      <c r="EC1" s="3">
        <f>+VLOOKUP(EC2,datos!$D:$E,2,FALSE)</f>
        <v>45658</v>
      </c>
      <c r="ED1" s="3">
        <f>+VLOOKUP(ED2,datos!$D:$E,2,FALSE)</f>
        <v>45627</v>
      </c>
      <c r="EE1" s="3">
        <f>+VLOOKUP(EE2,datos!$D:$E,2,FALSE)</f>
        <v>45597</v>
      </c>
      <c r="EF1" s="3">
        <f>+VLOOKUP(EF2,datos!$D:$E,2,FALSE)</f>
        <v>45566</v>
      </c>
      <c r="EG1" s="3">
        <f>+VLOOKUP(EG2,datos!$D:$E,2,FALSE)</f>
        <v>45536</v>
      </c>
      <c r="EI1" s="700">
        <f>+CK1</f>
        <v>46235</v>
      </c>
      <c r="EJ1" s="700">
        <f t="shared" ref="EJ1:FF1" si="0">+CL1</f>
        <v>46204</v>
      </c>
      <c r="EK1" s="3">
        <f t="shared" si="0"/>
        <v>46174</v>
      </c>
      <c r="EL1" s="3">
        <f t="shared" si="0"/>
        <v>46143</v>
      </c>
      <c r="EM1" s="3">
        <f t="shared" si="0"/>
        <v>46113</v>
      </c>
      <c r="EN1" s="3">
        <f t="shared" si="0"/>
        <v>46082</v>
      </c>
      <c r="EO1" s="3">
        <f t="shared" si="0"/>
        <v>46054</v>
      </c>
      <c r="EP1" s="3">
        <f t="shared" si="0"/>
        <v>46023</v>
      </c>
      <c r="EQ1" s="3">
        <f t="shared" si="0"/>
        <v>45992</v>
      </c>
      <c r="ER1" s="3">
        <f t="shared" si="0"/>
        <v>45962</v>
      </c>
      <c r="ES1" s="3">
        <f t="shared" si="0"/>
        <v>45931</v>
      </c>
      <c r="ET1" s="3">
        <f t="shared" si="0"/>
        <v>45901</v>
      </c>
      <c r="EU1" s="3">
        <f t="shared" si="0"/>
        <v>45870</v>
      </c>
      <c r="EV1" s="3">
        <f t="shared" si="0"/>
        <v>45839</v>
      </c>
      <c r="EW1" s="3">
        <f t="shared" si="0"/>
        <v>45809</v>
      </c>
      <c r="EX1" s="3">
        <f t="shared" si="0"/>
        <v>45778</v>
      </c>
      <c r="EY1" s="3">
        <f t="shared" si="0"/>
        <v>45748</v>
      </c>
      <c r="EZ1" s="3">
        <f t="shared" si="0"/>
        <v>45717</v>
      </c>
      <c r="FA1" s="3">
        <f t="shared" si="0"/>
        <v>45689</v>
      </c>
      <c r="FB1" s="3">
        <f t="shared" si="0"/>
        <v>45658</v>
      </c>
      <c r="FC1" s="3">
        <f t="shared" si="0"/>
        <v>45627</v>
      </c>
      <c r="FD1" s="3">
        <f t="shared" si="0"/>
        <v>45597</v>
      </c>
      <c r="FE1" s="3">
        <f t="shared" si="0"/>
        <v>45566</v>
      </c>
      <c r="FF1" s="3">
        <f t="shared" si="0"/>
        <v>45536</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45901</v>
      </c>
      <c r="AQ2" s="174">
        <f>VLOOKUP(VLOOKUP(+$A$1,ran_ma,2,FALSE)-10,ran_idma,2,FALSE)</f>
        <v>45931</v>
      </c>
      <c r="AR2" s="174">
        <f>VLOOKUP(VLOOKUP(+$A$1,ran_ma,2,FALSE)-9,ran_idma,2,FALSE)</f>
        <v>45962</v>
      </c>
      <c r="AS2" s="174">
        <f>VLOOKUP(VLOOKUP(+$A$1,ran_ma,2,FALSE)-8,ran_idma,2,FALSE)</f>
        <v>45992</v>
      </c>
      <c r="AT2" s="59">
        <f>VLOOKUP(VLOOKUP(+$A$1,ran_ma,2,FALSE)-7,ran_idma,2,FALSE)</f>
        <v>46023</v>
      </c>
      <c r="AU2" s="59">
        <f>VLOOKUP(VLOOKUP(+$A$1,ran_ma,2,FALSE)-6,ran_idma,2,FALSE)</f>
        <v>46054</v>
      </c>
      <c r="AV2" s="59">
        <f>VLOOKUP(VLOOKUP(+$A$1,ran_ma,2,FALSE)-5,ran_idma,2,FALSE)</f>
        <v>46082</v>
      </c>
      <c r="AW2" s="59">
        <f>VLOOKUP(VLOOKUP(+$A$1,ran_ma,2,FALSE)-4,ran_idma,2,FALSE)</f>
        <v>46113</v>
      </c>
      <c r="AX2" s="59">
        <f>VLOOKUP(VLOOKUP(+$A$1,ran_ma,2,FALSE)-3,ran_idma,2,FALSE)</f>
        <v>46143</v>
      </c>
      <c r="AY2" s="59">
        <f>VLOOKUP(VLOOKUP(+$A$1,ran_ma,2,FALSE)-2,ran_idma,2,FALSE)</f>
        <v>46174</v>
      </c>
      <c r="AZ2" s="59">
        <f>VLOOKUP(VLOOKUP(+$A$1,ran_ma,2,FALSE)-1,ran_idma,2,FALSE)</f>
        <v>46204</v>
      </c>
      <c r="BA2" s="59">
        <f>VLOOKUP(VLOOKUP(+$A$1,ran_ma,2,FALSE)-0,ran_idma,2,FALSE)</f>
        <v>46235</v>
      </c>
      <c r="BB2" s="59"/>
      <c r="BC2" s="170"/>
      <c r="BE2" s="9" t="s">
        <v>272</v>
      </c>
      <c r="BG2">
        <f>+VLOOKUP(BG1,ran_dat,datos!$D$1,FALSE)</f>
        <v>137</v>
      </c>
      <c r="BH2">
        <f>+BG2-1</f>
        <v>136</v>
      </c>
      <c r="BI2">
        <f>+BG2-12</f>
        <v>125</v>
      </c>
      <c r="BK2" s="9"/>
      <c r="BL2">
        <f>+VLOOKUP(BL1,ran_dat,datos!$D$1,FALSE)</f>
        <v>137</v>
      </c>
      <c r="BM2">
        <f>+BL2-12</f>
        <v>125</v>
      </c>
      <c r="BO2" s="9"/>
      <c r="BP2">
        <f>+VLOOKUP(BP1,ran_dat,datos!$D$1,FALSE)</f>
        <v>137</v>
      </c>
      <c r="BQ2">
        <f>+BP2-12</f>
        <v>125</v>
      </c>
      <c r="BS2" s="9"/>
      <c r="BW2" s="9"/>
      <c r="CD2" s="386"/>
      <c r="CE2" s="9"/>
      <c r="CF2">
        <f>+VLOOKUP(CF1,ran_dat,datos!$D$1,FALSE)</f>
        <v>137</v>
      </c>
      <c r="CG2">
        <f>+CF2-1</f>
        <v>136</v>
      </c>
      <c r="CH2">
        <f>+CF2-12</f>
        <v>125</v>
      </c>
      <c r="CI2" s="386"/>
      <c r="CJ2">
        <f>+VLOOKUP(CJ1,ran_dat,datos!$D$1,FALSE)</f>
        <v>137</v>
      </c>
      <c r="CK2">
        <f>+CJ2</f>
        <v>137</v>
      </c>
      <c r="CL2">
        <f t="shared" ref="CL2:DH2" si="1">+CK2-1</f>
        <v>136</v>
      </c>
      <c r="CM2">
        <f t="shared" si="1"/>
        <v>135</v>
      </c>
      <c r="CN2">
        <f t="shared" si="1"/>
        <v>134</v>
      </c>
      <c r="CO2">
        <f t="shared" si="1"/>
        <v>133</v>
      </c>
      <c r="CP2">
        <f t="shared" si="1"/>
        <v>132</v>
      </c>
      <c r="CQ2">
        <f t="shared" si="1"/>
        <v>131</v>
      </c>
      <c r="CR2">
        <f t="shared" si="1"/>
        <v>130</v>
      </c>
      <c r="CS2">
        <f t="shared" si="1"/>
        <v>129</v>
      </c>
      <c r="CT2">
        <f t="shared" si="1"/>
        <v>128</v>
      </c>
      <c r="CU2">
        <f t="shared" si="1"/>
        <v>127</v>
      </c>
      <c r="CV2">
        <f t="shared" si="1"/>
        <v>126</v>
      </c>
      <c r="CW2">
        <f t="shared" si="1"/>
        <v>125</v>
      </c>
      <c r="CX2">
        <f t="shared" si="1"/>
        <v>124</v>
      </c>
      <c r="CY2">
        <f t="shared" si="1"/>
        <v>123</v>
      </c>
      <c r="CZ2">
        <f t="shared" si="1"/>
        <v>122</v>
      </c>
      <c r="DA2">
        <f t="shared" si="1"/>
        <v>121</v>
      </c>
      <c r="DB2">
        <f t="shared" si="1"/>
        <v>120</v>
      </c>
      <c r="DC2">
        <f t="shared" si="1"/>
        <v>119</v>
      </c>
      <c r="DD2">
        <f t="shared" si="1"/>
        <v>118</v>
      </c>
      <c r="DE2">
        <f t="shared" si="1"/>
        <v>117</v>
      </c>
      <c r="DF2">
        <f t="shared" si="1"/>
        <v>116</v>
      </c>
      <c r="DG2">
        <f t="shared" si="1"/>
        <v>115</v>
      </c>
      <c r="DH2">
        <f t="shared" si="1"/>
        <v>114</v>
      </c>
      <c r="DJ2">
        <f>+VLOOKUP(DJ1,ran_dat,datos!$D$1,FALSE)</f>
        <v>137</v>
      </c>
      <c r="DK2">
        <f t="shared" ref="DK2:EG2" si="2">+DJ2-1</f>
        <v>136</v>
      </c>
      <c r="DL2">
        <f t="shared" si="2"/>
        <v>135</v>
      </c>
      <c r="DM2">
        <f t="shared" si="2"/>
        <v>134</v>
      </c>
      <c r="DN2">
        <f t="shared" si="2"/>
        <v>133</v>
      </c>
      <c r="DO2">
        <f t="shared" si="2"/>
        <v>132</v>
      </c>
      <c r="DP2">
        <f t="shared" si="2"/>
        <v>131</v>
      </c>
      <c r="DQ2">
        <f t="shared" si="2"/>
        <v>130</v>
      </c>
      <c r="DR2">
        <f t="shared" si="2"/>
        <v>129</v>
      </c>
      <c r="DS2">
        <f t="shared" si="2"/>
        <v>128</v>
      </c>
      <c r="DT2">
        <f t="shared" si="2"/>
        <v>127</v>
      </c>
      <c r="DU2">
        <f t="shared" si="2"/>
        <v>126</v>
      </c>
      <c r="DV2">
        <f t="shared" si="2"/>
        <v>125</v>
      </c>
      <c r="DW2">
        <f t="shared" si="2"/>
        <v>124</v>
      </c>
      <c r="DX2">
        <f t="shared" si="2"/>
        <v>123</v>
      </c>
      <c r="DY2">
        <f t="shared" si="2"/>
        <v>122</v>
      </c>
      <c r="DZ2">
        <f t="shared" si="2"/>
        <v>121</v>
      </c>
      <c r="EA2">
        <f t="shared" si="2"/>
        <v>120</v>
      </c>
      <c r="EB2">
        <f t="shared" si="2"/>
        <v>119</v>
      </c>
      <c r="EC2">
        <f t="shared" si="2"/>
        <v>118</v>
      </c>
      <c r="ED2">
        <f t="shared" si="2"/>
        <v>117</v>
      </c>
      <c r="EE2">
        <f t="shared" si="2"/>
        <v>116</v>
      </c>
      <c r="EF2">
        <f t="shared" si="2"/>
        <v>115</v>
      </c>
      <c r="EG2">
        <f t="shared" si="2"/>
        <v>114</v>
      </c>
      <c r="EI2" s="14">
        <f>+VLOOKUP(EI1,ran_dat,datos!$D$1,FALSE)</f>
        <v>137</v>
      </c>
      <c r="EJ2" s="14">
        <f t="shared" ref="EJ2:FF2" si="3">+EI2-1</f>
        <v>136</v>
      </c>
      <c r="EK2">
        <f t="shared" si="3"/>
        <v>135</v>
      </c>
      <c r="EL2">
        <f t="shared" si="3"/>
        <v>134</v>
      </c>
      <c r="EM2">
        <f t="shared" si="3"/>
        <v>133</v>
      </c>
      <c r="EN2">
        <f t="shared" si="3"/>
        <v>132</v>
      </c>
      <c r="EO2">
        <f t="shared" si="3"/>
        <v>131</v>
      </c>
      <c r="EP2">
        <f t="shared" si="3"/>
        <v>130</v>
      </c>
      <c r="EQ2">
        <f t="shared" si="3"/>
        <v>129</v>
      </c>
      <c r="ER2">
        <f t="shared" si="3"/>
        <v>128</v>
      </c>
      <c r="ES2">
        <f t="shared" si="3"/>
        <v>127</v>
      </c>
      <c r="ET2">
        <f t="shared" si="3"/>
        <v>126</v>
      </c>
      <c r="EU2">
        <f t="shared" si="3"/>
        <v>125</v>
      </c>
      <c r="EV2">
        <f t="shared" si="3"/>
        <v>124</v>
      </c>
      <c r="EW2">
        <f t="shared" si="3"/>
        <v>123</v>
      </c>
      <c r="EX2">
        <f t="shared" si="3"/>
        <v>122</v>
      </c>
      <c r="EY2">
        <f t="shared" si="3"/>
        <v>121</v>
      </c>
      <c r="EZ2">
        <f t="shared" si="3"/>
        <v>120</v>
      </c>
      <c r="FA2">
        <f t="shared" si="3"/>
        <v>119</v>
      </c>
      <c r="FB2">
        <f t="shared" si="3"/>
        <v>118</v>
      </c>
      <c r="FC2">
        <f t="shared" si="3"/>
        <v>117</v>
      </c>
      <c r="FD2">
        <f t="shared" si="3"/>
        <v>116</v>
      </c>
      <c r="FE2">
        <f t="shared" si="3"/>
        <v>115</v>
      </c>
      <c r="FF2">
        <f t="shared" si="3"/>
        <v>114</v>
      </c>
    </row>
    <row r="3" spans="1:164" ht="18.75" customHeight="1">
      <c r="A3" s="220"/>
      <c r="C3" s="155"/>
      <c r="D3" s="196">
        <v>0.33</v>
      </c>
      <c r="E3" s="100">
        <f>IFERROR(+BG5/BH5-1,"")</f>
        <v>1.6592064235202875E-2</v>
      </c>
      <c r="F3" s="56" t="s">
        <v>515</v>
      </c>
      <c r="G3" s="56"/>
      <c r="H3" s="56"/>
      <c r="I3" s="60">
        <f>IFERROR(+BG5/BI5-1,"")</f>
        <v>0.33541813514336671</v>
      </c>
      <c r="J3" s="56" t="s">
        <v>515</v>
      </c>
      <c r="K3" s="56"/>
      <c r="L3" s="56"/>
      <c r="M3" s="32"/>
      <c r="N3" s="196">
        <v>0.33</v>
      </c>
      <c r="O3" s="31"/>
      <c r="S3" s="32"/>
      <c r="T3" s="196">
        <v>0.33</v>
      </c>
      <c r="U3" s="150" t="str">
        <f>TEXT(CV1,"MMM-YY")&amp;"."&amp;TEXT(CK1,"MMM-YY")&amp;" vs "&amp;TEXT(DH1,"MMM-YY")&amp;"."&amp;TEXT(CW1,"MMM-YY")</f>
        <v>sept-25.ago-26 vs sept-24.ago-25</v>
      </c>
      <c r="Y3" s="59" t="str">
        <f>TEXT(CK1,"MMM-YY")&amp;" vs "&amp;TEXT(CW1,"MMM-YY")</f>
        <v>ago-26 vs ago-25</v>
      </c>
      <c r="BE3" s="4" t="s">
        <v>3</v>
      </c>
      <c r="BF3" s="4"/>
      <c r="BG3" s="4"/>
      <c r="BH3" s="4"/>
      <c r="BI3" s="4"/>
      <c r="BK3" s="20" t="s">
        <v>15</v>
      </c>
      <c r="BL3" s="20"/>
      <c r="BM3" s="20"/>
      <c r="BO3" s="21" t="s">
        <v>2</v>
      </c>
      <c r="BP3" s="21"/>
      <c r="BQ3" s="21"/>
      <c r="BS3" s="4" t="s">
        <v>7</v>
      </c>
      <c r="BT3" s="4"/>
      <c r="BU3" s="4"/>
      <c r="BW3" s="43" t="s">
        <v>8</v>
      </c>
      <c r="BX3" s="43"/>
      <c r="BY3" s="43"/>
      <c r="CA3" s="22" t="s">
        <v>9</v>
      </c>
      <c r="CB3" s="22"/>
      <c r="CC3" s="22"/>
      <c r="CD3" s="178"/>
      <c r="CE3" s="27" t="s">
        <v>5</v>
      </c>
      <c r="CF3" s="27"/>
      <c r="CG3" s="27"/>
      <c r="CH3" s="27"/>
      <c r="CI3" s="178"/>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O4" s="9"/>
      <c r="BS4" s="9"/>
      <c r="BW4" s="9"/>
      <c r="CE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12276.766</v>
      </c>
      <c r="BH5" s="2">
        <f t="shared" si="4"/>
        <v>12076.393700000001</v>
      </c>
      <c r="BI5" s="2">
        <f t="shared" si="4"/>
        <v>9193.2000000000007</v>
      </c>
    </row>
    <row r="6" spans="1:164" ht="18.75" customHeight="1">
      <c r="A6" s="243" t="s">
        <v>28</v>
      </c>
      <c r="B6" s="246"/>
      <c r="C6" s="156">
        <f t="shared" ref="C6:C24" si="5">+D6*$D$3+N6*$N$3+T6*$T$3</f>
        <v>0</v>
      </c>
      <c r="D6" s="198">
        <v>-2</v>
      </c>
      <c r="E6" s="248">
        <f t="shared" ref="E6:E24" si="6">IFERROR(+BG6/BH6-1,"")</f>
        <v>6.850985610803928E-2</v>
      </c>
      <c r="F6" s="249">
        <f t="shared" ref="F6:F24" si="7">+E6-$E$3</f>
        <v>5.1917791872836405E-2</v>
      </c>
      <c r="G6" s="248">
        <f t="shared" ref="G6:G24" si="8">IFERROR(+CF6/CG6-1,"")</f>
        <v>9.0559314095142174E-3</v>
      </c>
      <c r="H6" s="249">
        <f t="shared" ref="H6:H24" si="9">E6-G6</f>
        <v>5.9453924698525062E-2</v>
      </c>
      <c r="I6" s="248">
        <f t="shared" ref="I6:I24" si="10">IFERROR(+BG6/BI6-1,"")</f>
        <v>0.55391644159036946</v>
      </c>
      <c r="J6" s="249">
        <f t="shared" ref="J6:J24" si="11">+I6-$I$3</f>
        <v>0.21849830644700274</v>
      </c>
      <c r="K6" s="248">
        <f t="shared" ref="K6:K24" si="12">IFERROR(+CF6/CH6-1,"")</f>
        <v>0.38145772544826029</v>
      </c>
      <c r="L6" s="249">
        <f t="shared" ref="L6:L24" si="13">I6-K6</f>
        <v>0.17245871614210917</v>
      </c>
      <c r="M6" s="250"/>
      <c r="N6" s="24">
        <v>1</v>
      </c>
      <c r="O6" s="248">
        <f>IFERROR(+BL6/BM6-1,"")</f>
        <v>-0.43478260869565222</v>
      </c>
      <c r="P6" s="251">
        <f>+O6</f>
        <v>-0.43478260869565222</v>
      </c>
      <c r="Q6" s="248">
        <f t="shared" ref="Q6:Q24" si="14">IFERROR(+BP6/BQ6-1,"")</f>
        <v>-0.31818181818181823</v>
      </c>
      <c r="R6" s="251">
        <f>+Q6</f>
        <v>-0.31818181818181823</v>
      </c>
      <c r="S6" s="250"/>
      <c r="T6" s="24">
        <v>1</v>
      </c>
      <c r="U6" s="248">
        <f t="shared" ref="U6:U24" si="15">IFERROR(+BT6/BU6-1,"")</f>
        <v>0.46738496918656658</v>
      </c>
      <c r="V6" s="252">
        <f t="shared" ref="V6:V24" si="16">+U6</f>
        <v>0.46738496918656658</v>
      </c>
      <c r="W6" s="701">
        <f>IFERROR(IF(BX6&lt;0.5,"",+BX6/BY6-1),"")</f>
        <v>-0.22626011557036119</v>
      </c>
      <c r="X6" s="252">
        <f t="shared" ref="X6:X24" si="17">+W6</f>
        <v>-0.22626011557036119</v>
      </c>
      <c r="Y6" s="248"/>
      <c r="Z6" s="252">
        <f t="shared" ref="Z6:Z24" si="18">+Y6</f>
        <v>0</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VLOOKUP($A6,historia!$A$5:$DD$24,+HLOOKUP(AP$2,historia!$A$3:$EC$4,2,FALSE),FALSE)</f>
        <v>4</v>
      </c>
      <c r="AQ6" s="28">
        <f>VLOOKUP($A6,historia!$A$5:$DD$24,+HLOOKUP(AQ$2,historia!$A$3:$EC$4,2,FALSE),FALSE)</f>
        <v>4</v>
      </c>
      <c r="AR6" s="28">
        <f>VLOOKUP($A6,historia!$A$5:$DD$24,+HLOOKUP(AR$2,historia!$A$3:$EC$4,2,FALSE),FALSE)</f>
        <v>4</v>
      </c>
      <c r="AS6" s="28">
        <f>VLOOKUP($A6,historia!$A$5:$DD$24,+HLOOKUP(AS$2,historia!$A$3:$EC$4,2,FALSE),FALSE)</f>
        <v>4</v>
      </c>
      <c r="AT6" s="58">
        <f>VLOOKUP($A6,historia!$A$5:$DD$24,+HLOOKUP(AT$2,historia!$A$3:$EC$4,2,FALSE),FALSE)</f>
        <v>4</v>
      </c>
      <c r="AU6" s="58">
        <f>VLOOKUP($A6,historia!$A$5:$DD$24,+HLOOKUP(AU$2,historia!$A$3:$EC$4,2,FALSE),FALSE)</f>
        <v>4</v>
      </c>
      <c r="AV6" s="58">
        <f>VLOOKUP($A6,historia!$A$5:$DD$24,+HLOOKUP(AV$2,historia!$A$3:$EC$4,2,FALSE),FALSE)</f>
        <v>4</v>
      </c>
      <c r="AW6" s="58">
        <f>VLOOKUP($A6,historia!$A$5:$DD$24,+HLOOKUP(AW$2,historia!$A$3:$EC$4,2,FALSE),FALSE)</f>
        <v>4</v>
      </c>
      <c r="AX6" s="58">
        <f>VLOOKUP($A6,historia!$A$5:$DD$24,+HLOOKUP(AX$2,historia!$A$3:$EC$4,2,FALSE),FALSE)</f>
        <v>4</v>
      </c>
      <c r="AY6" s="58">
        <f>VLOOKUP($A6,historia!$A$5:$DD$24,+HLOOKUP(AY$2,historia!$A$3:$EC$4,2,FALSE),FALSE)</f>
        <v>4</v>
      </c>
      <c r="AZ6" s="58">
        <f>VLOOKUP($A6,historia!$A$5:$DD$24,+HLOOKUP(AZ$2,historia!$A$3:$EC$4,2,FALSE),FALSE)</f>
        <v>4</v>
      </c>
      <c r="BA6" s="58">
        <f>VLOOKUP($A6,historia!$A$5:$DD$24,+HLOOKUP(BA$2,historia!$A$3:$EC$4,2,FALSE),FALSE)</f>
        <v>4</v>
      </c>
      <c r="BB6" s="58"/>
      <c r="BC6" s="286">
        <v>4</v>
      </c>
      <c r="BD6" t="str">
        <f t="shared" ref="BD6:BD24" si="19">+A6</f>
        <v>Algodón</v>
      </c>
      <c r="BE6">
        <f>+datos!P1</f>
        <v>16</v>
      </c>
      <c r="BF6" s="2" t="str">
        <f t="shared" si="4"/>
        <v>$/kg</v>
      </c>
      <c r="BG6" s="2">
        <f t="shared" si="4"/>
        <v>2196.2269286437499</v>
      </c>
      <c r="BH6" s="2">
        <f t="shared" si="4"/>
        <v>2055.4110157142854</v>
      </c>
      <c r="BI6" s="2">
        <f t="shared" si="4"/>
        <v>1413.3494374999998</v>
      </c>
      <c r="BK6" s="1">
        <f>+datos!DK1</f>
        <v>115</v>
      </c>
      <c r="BL6" s="1">
        <f t="shared" ref="BL6:BM24" si="20">+VLOOKUP(BL$1,ran_dat,$BK6,FALSE)</f>
        <v>390000</v>
      </c>
      <c r="BM6" s="1">
        <f t="shared" si="20"/>
        <v>690000</v>
      </c>
      <c r="BO6" s="1">
        <f>+datos!FF1</f>
        <v>162</v>
      </c>
      <c r="BP6" s="1">
        <f>+VLOOKUP(BP$1,ran_dat,$BO6,FALSE)</f>
        <v>750000</v>
      </c>
      <c r="BQ6" s="1">
        <f t="shared" ref="BP6:BQ24" si="21">+VLOOKUP(BQ$1,ran_dat,$BO6,FALSE)</f>
        <v>1100000</v>
      </c>
      <c r="BS6" s="1">
        <f>+datos!JF1</f>
        <v>266</v>
      </c>
      <c r="BT6" s="1">
        <f>+SUM(CK6:CV6)</f>
        <v>195.22317085</v>
      </c>
      <c r="BU6" s="1">
        <f>+SUM(CW6:DH6)</f>
        <v>133.04155007</v>
      </c>
      <c r="BW6" s="1">
        <f>+datos!KK1</f>
        <v>297</v>
      </c>
      <c r="BX6" s="2">
        <f t="shared" ref="BX6:BX24" si="22">+SUM(DJ6:DU6)</f>
        <v>79.420721109999988</v>
      </c>
      <c r="BY6" s="2">
        <f t="shared" ref="BY6:BY24" si="23">+SUM(DV6:EG6)</f>
        <v>102.64524642999999</v>
      </c>
      <c r="CA6" s="1">
        <f>+datos!HS1</f>
        <v>227</v>
      </c>
      <c r="CB6" s="1">
        <f t="shared" ref="CB6:CB24" si="24">+EI6</f>
        <v>0</v>
      </c>
      <c r="CC6" s="1">
        <f t="shared" ref="CC6:CC24" si="25">+EU6</f>
        <v>0</v>
      </c>
      <c r="CD6" s="1"/>
      <c r="CE6">
        <f>+datos!BY1</f>
        <v>77</v>
      </c>
      <c r="CF6" s="2">
        <f t="shared" ref="CF6:CH24" si="26">+VLOOKUP(CF$1,ran_dat,$CE6,FALSE)</f>
        <v>15125.332676779322</v>
      </c>
      <c r="CG6" s="2">
        <f t="shared" si="26"/>
        <v>14989.587996030394</v>
      </c>
      <c r="CH6" s="2">
        <f t="shared" si="26"/>
        <v>10948.820509054232</v>
      </c>
      <c r="CI6" s="1"/>
      <c r="CK6" s="1">
        <f t="shared" ref="CK6:CZ21" si="27">+VLOOKUP(CK$1,ran_dat,$BS6,FALSE)</f>
        <v>22.643675099999999</v>
      </c>
      <c r="CL6" s="1">
        <f t="shared" si="27"/>
        <v>20.543875600000003</v>
      </c>
      <c r="CM6" s="1">
        <f t="shared" si="27"/>
        <v>16.754484870000002</v>
      </c>
      <c r="CN6" s="1">
        <f t="shared" si="27"/>
        <v>11.103674589999992</v>
      </c>
      <c r="CO6" s="1">
        <f t="shared" si="27"/>
        <v>12.094188589999995</v>
      </c>
      <c r="CP6" s="1">
        <f t="shared" si="27"/>
        <v>12.781845520000003</v>
      </c>
      <c r="CQ6" s="1">
        <f t="shared" si="27"/>
        <v>12.588257429999995</v>
      </c>
      <c r="CR6" s="1">
        <f t="shared" si="27"/>
        <v>12.342095660000002</v>
      </c>
      <c r="CS6" s="1">
        <f t="shared" si="27"/>
        <v>14.028435419999997</v>
      </c>
      <c r="CT6" s="1">
        <f t="shared" si="27"/>
        <v>19.935607340000004</v>
      </c>
      <c r="CU6" s="1">
        <f t="shared" si="27"/>
        <v>21.754931440000004</v>
      </c>
      <c r="CV6" s="1">
        <f t="shared" si="27"/>
        <v>18.652099290000002</v>
      </c>
      <c r="CW6" s="1">
        <f t="shared" si="27"/>
        <v>16.211576590000004</v>
      </c>
      <c r="CX6" s="1">
        <f t="shared" si="27"/>
        <v>9.0263359399999974</v>
      </c>
      <c r="CY6" s="1">
        <f t="shared" si="27"/>
        <v>8.2931694499999988</v>
      </c>
      <c r="CZ6" s="1">
        <f t="shared" si="27"/>
        <v>5.0945514700000007</v>
      </c>
      <c r="DA6" s="1">
        <f t="shared" ref="DA6:DH21" si="28">+VLOOKUP(DA$1,ran_dat,$BS6,FALSE)</f>
        <v>7.3093251500000047</v>
      </c>
      <c r="DB6" s="1">
        <f t="shared" si="28"/>
        <v>6.7908860800000017</v>
      </c>
      <c r="DC6" s="1">
        <f t="shared" si="28"/>
        <v>8.6490729999999978</v>
      </c>
      <c r="DD6" s="1">
        <f t="shared" si="28"/>
        <v>6.462363250000001</v>
      </c>
      <c r="DE6" s="1">
        <f t="shared" si="28"/>
        <v>10.78045292</v>
      </c>
      <c r="DF6" s="1">
        <f t="shared" si="28"/>
        <v>14.805583519999997</v>
      </c>
      <c r="DG6" s="1">
        <f t="shared" si="28"/>
        <v>17.696202909999993</v>
      </c>
      <c r="DH6" s="1">
        <f t="shared" si="28"/>
        <v>21.922029789999996</v>
      </c>
      <c r="DJ6" s="1">
        <f t="shared" ref="DJ6:DY21" si="29">+VLOOKUP(DJ$1,ran_dat,$BW6,FALSE)</f>
        <v>6.8536994200000008</v>
      </c>
      <c r="DK6" s="1">
        <f t="shared" si="29"/>
        <v>6.7458941900000005</v>
      </c>
      <c r="DL6" s="1">
        <f t="shared" si="29"/>
        <v>7.7956888200000014</v>
      </c>
      <c r="DM6" s="1">
        <f t="shared" si="29"/>
        <v>4.6022526900000003</v>
      </c>
      <c r="DN6" s="1">
        <f t="shared" si="29"/>
        <v>6.0731055099999995</v>
      </c>
      <c r="DO6" s="1">
        <f t="shared" si="29"/>
        <v>5.0269418100000003</v>
      </c>
      <c r="DP6" s="1">
        <f t="shared" si="29"/>
        <v>4.1096809499999996</v>
      </c>
      <c r="DQ6" s="1">
        <f t="shared" si="29"/>
        <v>5.6046989700000003</v>
      </c>
      <c r="DR6" s="1">
        <f t="shared" si="29"/>
        <v>5.8762837499999998</v>
      </c>
      <c r="DS6" s="1">
        <f t="shared" si="29"/>
        <v>7.4817210700000008</v>
      </c>
      <c r="DT6" s="1">
        <f t="shared" si="29"/>
        <v>10.164854930000002</v>
      </c>
      <c r="DU6" s="1">
        <f t="shared" si="29"/>
        <v>9.0858989999999995</v>
      </c>
      <c r="DV6" s="1">
        <f t="shared" si="29"/>
        <v>10.908765819999998</v>
      </c>
      <c r="DW6" s="1">
        <f t="shared" si="29"/>
        <v>11.035692889999996</v>
      </c>
      <c r="DX6" s="1">
        <f t="shared" si="29"/>
        <v>9.4337625599999999</v>
      </c>
      <c r="DY6" s="1">
        <f t="shared" si="29"/>
        <v>9.66008332</v>
      </c>
      <c r="DZ6" s="1">
        <f t="shared" ref="DZ6:EG20" si="30">+VLOOKUP(DZ$1,ran_dat,$BW6,FALSE)</f>
        <v>10.467826709999999</v>
      </c>
      <c r="EA6" s="1">
        <f t="shared" si="30"/>
        <v>7.9836210200000002</v>
      </c>
      <c r="EB6" s="1">
        <f t="shared" si="30"/>
        <v>9.7355070900000005</v>
      </c>
      <c r="EC6" s="1">
        <f t="shared" si="30"/>
        <v>7.6983577599999995</v>
      </c>
      <c r="ED6" s="1">
        <f t="shared" si="30"/>
        <v>8.003268180000001</v>
      </c>
      <c r="EE6" s="1">
        <f t="shared" si="30"/>
        <v>5.6011509000000004</v>
      </c>
      <c r="EF6" s="1">
        <f t="shared" si="30"/>
        <v>5.8112020999999991</v>
      </c>
      <c r="EG6" s="1">
        <f t="shared" si="30"/>
        <v>6.3060080799999998</v>
      </c>
      <c r="EI6" s="14">
        <f>+VLOOKUP(EI$1,ran_dat,$CA6,FALSE)</f>
        <v>0</v>
      </c>
      <c r="EJ6" s="14">
        <f t="shared" ref="EJ6:FF21" si="31">+VLOOKUP(EJ$1,ran_dat,$CA6,FALSE)</f>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si="31"/>
        <v>0</v>
      </c>
      <c r="EY6" s="1">
        <f t="shared" si="31"/>
        <v>0</v>
      </c>
      <c r="EZ6" s="1">
        <f t="shared" si="31"/>
        <v>0</v>
      </c>
      <c r="FA6" s="1">
        <f t="shared" si="31"/>
        <v>0</v>
      </c>
      <c r="FB6" s="1">
        <f t="shared" si="31"/>
        <v>0</v>
      </c>
      <c r="FC6" s="1">
        <f t="shared" si="31"/>
        <v>0</v>
      </c>
      <c r="FD6" s="1">
        <f t="shared" si="31"/>
        <v>0</v>
      </c>
      <c r="FE6" s="1">
        <f t="shared" si="31"/>
        <v>0</v>
      </c>
      <c r="FF6" s="1">
        <f t="shared" si="31"/>
        <v>0</v>
      </c>
      <c r="FH6" s="162">
        <f t="shared" ref="FH6:FH24" si="32">+I6-K6</f>
        <v>0.17245871614210917</v>
      </c>
    </row>
    <row r="7" spans="1:164" ht="18.75" customHeight="1">
      <c r="A7" s="244" t="s">
        <v>13</v>
      </c>
      <c r="B7" s="247"/>
      <c r="C7" s="228">
        <f t="shared" si="5"/>
        <v>-0.33</v>
      </c>
      <c r="D7" s="229">
        <v>-1</v>
      </c>
      <c r="E7" s="253">
        <f t="shared" si="6"/>
        <v>7.1428571428571397E-2</v>
      </c>
      <c r="F7" s="254">
        <f t="shared" si="7"/>
        <v>5.4836507193368522E-2</v>
      </c>
      <c r="G7" s="253">
        <f t="shared" si="8"/>
        <v>-7.4594723314364009E-3</v>
      </c>
      <c r="H7" s="254">
        <f t="shared" si="9"/>
        <v>7.8888043760007798E-2</v>
      </c>
      <c r="I7" s="253">
        <f t="shared" si="10"/>
        <v>0.5</v>
      </c>
      <c r="J7" s="254">
        <f t="shared" si="11"/>
        <v>0.16458186485663329</v>
      </c>
      <c r="K7" s="253">
        <f t="shared" si="12"/>
        <v>0.52681292865430329</v>
      </c>
      <c r="L7" s="254">
        <f t="shared" si="13"/>
        <v>-2.6812928654303292E-2</v>
      </c>
      <c r="M7" s="255"/>
      <c r="N7" s="256">
        <v>1</v>
      </c>
      <c r="O7" s="253">
        <f t="shared" ref="O7:O24" si="33">IFERROR(+BL7/BM7-1,"")</f>
        <v>-0.13043478260869568</v>
      </c>
      <c r="P7" s="257">
        <f t="shared" ref="P7:P24" si="34">+O7</f>
        <v>-0.13043478260869568</v>
      </c>
      <c r="Q7" s="253">
        <f t="shared" si="14"/>
        <v>-0.125</v>
      </c>
      <c r="R7" s="257">
        <f t="shared" ref="R7:R24" si="35">+Q7</f>
        <v>-0.125</v>
      </c>
      <c r="S7" s="255"/>
      <c r="T7" s="256">
        <v>-1</v>
      </c>
      <c r="U7" s="253">
        <f t="shared" si="15"/>
        <v>-3.5018536697042357E-2</v>
      </c>
      <c r="V7" s="258">
        <f t="shared" si="16"/>
        <v>-3.5018536697042357E-2</v>
      </c>
      <c r="W7" s="253">
        <f t="shared" ref="W7:W24" si="36">IFERROR(IF(BX7&lt;0.5,"",+BX7/BY7-1),"")</f>
        <v>-0.57387170987917924</v>
      </c>
      <c r="X7" s="258">
        <f t="shared" si="17"/>
        <v>-0.57387170987917924</v>
      </c>
      <c r="Y7" s="253">
        <f t="shared" ref="Y7:Y25" si="37">IFERROR(+CB7/CC7-1,"")</f>
        <v>-4.0404040404040442E-2</v>
      </c>
      <c r="Z7" s="258">
        <f t="shared" si="18"/>
        <v>-4.0404040404040442E-2</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VLOOKUP($A7,historia!$A$5:$DD$24,+HLOOKUP(AP$2,historia!$A$3:$EC$4,2,FALSE),FALSE)</f>
        <v>4</v>
      </c>
      <c r="AQ7" s="28">
        <f>VLOOKUP($A7,historia!$A$5:$DD$24,+HLOOKUP(AQ$2,historia!$A$3:$EC$4,2,FALSE),FALSE)</f>
        <v>4</v>
      </c>
      <c r="AR7" s="28">
        <f>VLOOKUP($A7,historia!$A$5:$DD$24,+HLOOKUP(AR$2,historia!$A$3:$EC$4,2,FALSE),FALSE)</f>
        <v>4</v>
      </c>
      <c r="AS7" s="28">
        <f>VLOOKUP($A7,historia!$A$5:$DD$24,+HLOOKUP(AS$2,historia!$A$3:$EC$4,2,FALSE),FALSE)</f>
        <v>4</v>
      </c>
      <c r="AT7" s="58">
        <f>VLOOKUP($A7,historia!$A$5:$DD$24,+HLOOKUP(AT$2,historia!$A$3:$EC$4,2,FALSE),FALSE)</f>
        <v>4</v>
      </c>
      <c r="AU7" s="58">
        <f>VLOOKUP($A7,historia!$A$5:$DD$24,+HLOOKUP(AU$2,historia!$A$3:$EC$4,2,FALSE),FALSE)</f>
        <v>4</v>
      </c>
      <c r="AV7" s="58">
        <f>VLOOKUP($A7,historia!$A$5:$DD$24,+HLOOKUP(AV$2,historia!$A$3:$EC$4,2,FALSE),FALSE)</f>
        <v>4</v>
      </c>
      <c r="AW7" s="58">
        <f>VLOOKUP($A7,historia!$A$5:$DD$24,+HLOOKUP(AW$2,historia!$A$3:$EC$4,2,FALSE),FALSE)</f>
        <v>3</v>
      </c>
      <c r="AX7" s="58">
        <f>VLOOKUP($A7,historia!$A$5:$DD$24,+HLOOKUP(AX$2,historia!$A$3:$EC$4,2,FALSE),FALSE)</f>
        <v>3</v>
      </c>
      <c r="AY7" s="58">
        <f>VLOOKUP($A7,historia!$A$5:$DD$24,+HLOOKUP(AY$2,historia!$A$3:$EC$4,2,FALSE),FALSE)</f>
        <v>3</v>
      </c>
      <c r="AZ7" s="58">
        <f>VLOOKUP($A7,historia!$A$5:$DD$24,+HLOOKUP(AZ$2,historia!$A$3:$EC$4,2,FALSE),FALSE)</f>
        <v>4</v>
      </c>
      <c r="BA7" s="58">
        <f>VLOOKUP($A7,historia!$A$5:$DD$24,+HLOOKUP(BA$2,historia!$A$3:$EC$4,2,FALSE),FALSE)</f>
        <v>4</v>
      </c>
      <c r="BB7" s="58"/>
      <c r="BC7" s="286">
        <v>4</v>
      </c>
      <c r="BD7" t="str">
        <f t="shared" si="19"/>
        <v>Arroz</v>
      </c>
      <c r="BE7">
        <f>+datos!R1</f>
        <v>18</v>
      </c>
      <c r="BF7" s="2" t="str">
        <f t="shared" si="4"/>
        <v>$/t</v>
      </c>
      <c r="BG7" s="2">
        <f t="shared" si="4"/>
        <v>300000</v>
      </c>
      <c r="BH7" s="2">
        <f t="shared" si="4"/>
        <v>280000</v>
      </c>
      <c r="BI7" s="2">
        <f t="shared" si="4"/>
        <v>200000</v>
      </c>
      <c r="BK7" s="1">
        <f>+datos!DM1</f>
        <v>117</v>
      </c>
      <c r="BL7" s="1">
        <f t="shared" si="20"/>
        <v>200000</v>
      </c>
      <c r="BM7" s="1">
        <f t="shared" si="20"/>
        <v>230000</v>
      </c>
      <c r="BO7" s="1">
        <f>+datos!FH1</f>
        <v>164</v>
      </c>
      <c r="BP7" s="1">
        <f t="shared" si="21"/>
        <v>1400000</v>
      </c>
      <c r="BQ7" s="1">
        <f t="shared" si="21"/>
        <v>1600000</v>
      </c>
      <c r="BS7" s="1">
        <f>+datos!JG1</f>
        <v>267</v>
      </c>
      <c r="BT7" s="1">
        <f t="shared" ref="BT7:BT24" si="38">+SUM(CK7:CV7)</f>
        <v>395.29763157000002</v>
      </c>
      <c r="BU7" s="1">
        <f t="shared" ref="BU7:BU24" si="39">+SUM(CW7:DH7)</f>
        <v>409.64272019999999</v>
      </c>
      <c r="BW7" s="1">
        <f>+datos!KL1</f>
        <v>298</v>
      </c>
      <c r="BX7" s="2">
        <f t="shared" si="22"/>
        <v>2.0369210699999996</v>
      </c>
      <c r="BY7" s="2">
        <f t="shared" si="23"/>
        <v>4.7800653399999993</v>
      </c>
      <c r="CA7" s="1">
        <f>+datos!HU1</f>
        <v>229</v>
      </c>
      <c r="CB7" s="1">
        <f t="shared" si="24"/>
        <v>950000</v>
      </c>
      <c r="CC7" s="1">
        <f t="shared" si="25"/>
        <v>990000</v>
      </c>
      <c r="CD7" s="1"/>
      <c r="CE7">
        <f>+datos!BZ1</f>
        <v>78</v>
      </c>
      <c r="CF7" s="2">
        <f t="shared" si="26"/>
        <v>16343.667946262991</v>
      </c>
      <c r="CG7" s="2">
        <f t="shared" si="26"/>
        <v>16466.499342504016</v>
      </c>
      <c r="CH7" s="2">
        <f t="shared" si="26"/>
        <v>10704.433817355681</v>
      </c>
      <c r="CI7" s="1"/>
      <c r="CK7" s="1">
        <f t="shared" si="27"/>
        <v>12.69750076</v>
      </c>
      <c r="CL7" s="1">
        <f t="shared" si="27"/>
        <v>24.701079360000001</v>
      </c>
      <c r="CM7" s="1">
        <f t="shared" si="27"/>
        <v>26.650133280000002</v>
      </c>
      <c r="CN7" s="1">
        <f t="shared" si="27"/>
        <v>29.390449220000004</v>
      </c>
      <c r="CO7" s="1">
        <f t="shared" si="27"/>
        <v>63.44953374</v>
      </c>
      <c r="CP7" s="1">
        <f t="shared" si="27"/>
        <v>21.288385250000005</v>
      </c>
      <c r="CQ7" s="1">
        <f t="shared" si="27"/>
        <v>90.314876920000003</v>
      </c>
      <c r="CR7" s="1">
        <f t="shared" si="27"/>
        <v>25.485538569999999</v>
      </c>
      <c r="CS7" s="1">
        <f t="shared" si="27"/>
        <v>12.625558100000001</v>
      </c>
      <c r="CT7" s="1">
        <f t="shared" si="27"/>
        <v>36.759837599999997</v>
      </c>
      <c r="CU7" s="1">
        <f t="shared" si="27"/>
        <v>36.299912110000001</v>
      </c>
      <c r="CV7" s="1">
        <f t="shared" si="27"/>
        <v>15.634826659999996</v>
      </c>
      <c r="CW7" s="1">
        <f t="shared" si="27"/>
        <v>54.436744560000001</v>
      </c>
      <c r="CX7" s="1">
        <f t="shared" si="27"/>
        <v>16.08135906</v>
      </c>
      <c r="CY7" s="1">
        <f t="shared" si="27"/>
        <v>31.537173230000004</v>
      </c>
      <c r="CZ7" s="1">
        <f t="shared" si="27"/>
        <v>39.974175860000003</v>
      </c>
      <c r="DA7" s="1">
        <f t="shared" si="28"/>
        <v>35.910188569999995</v>
      </c>
      <c r="DB7" s="1">
        <f t="shared" si="28"/>
        <v>30.652184479999995</v>
      </c>
      <c r="DC7" s="1">
        <f t="shared" si="28"/>
        <v>94.896967090000004</v>
      </c>
      <c r="DD7" s="1">
        <f t="shared" si="28"/>
        <v>22.007364089999996</v>
      </c>
      <c r="DE7" s="1">
        <f t="shared" si="28"/>
        <v>13.652213600000001</v>
      </c>
      <c r="DF7" s="1">
        <f t="shared" si="28"/>
        <v>21.789652239999999</v>
      </c>
      <c r="DG7" s="1">
        <f t="shared" si="28"/>
        <v>22.506187060000002</v>
      </c>
      <c r="DH7" s="1">
        <f t="shared" si="28"/>
        <v>26.198510359999997</v>
      </c>
      <c r="DJ7" s="1">
        <f t="shared" si="29"/>
        <v>0.20789406999999999</v>
      </c>
      <c r="DK7" s="1">
        <f t="shared" si="29"/>
        <v>0.11951553000000001</v>
      </c>
      <c r="DL7" s="1">
        <f t="shared" si="29"/>
        <v>0.34271688000000006</v>
      </c>
      <c r="DM7" s="1">
        <f t="shared" si="29"/>
        <v>0.10270198</v>
      </c>
      <c r="DN7" s="1">
        <f t="shared" si="29"/>
        <v>0.16027804000000001</v>
      </c>
      <c r="DO7" s="1">
        <f t="shared" si="29"/>
        <v>0.19125684999999998</v>
      </c>
      <c r="DP7" s="1">
        <f t="shared" si="29"/>
        <v>0.15253662999999998</v>
      </c>
      <c r="DQ7" s="1">
        <f t="shared" si="29"/>
        <v>1.9795769999999997E-2</v>
      </c>
      <c r="DR7" s="1">
        <f t="shared" si="29"/>
        <v>0.22953033</v>
      </c>
      <c r="DS7" s="1">
        <f t="shared" si="29"/>
        <v>3.2780709999999998E-2</v>
      </c>
      <c r="DT7" s="1">
        <f t="shared" si="29"/>
        <v>0.17706282000000001</v>
      </c>
      <c r="DU7" s="1">
        <f t="shared" si="29"/>
        <v>0.30085145999999996</v>
      </c>
      <c r="DV7" s="1">
        <f t="shared" si="29"/>
        <v>0.26679149000000002</v>
      </c>
      <c r="DW7" s="1">
        <f t="shared" si="29"/>
        <v>0.13893236</v>
      </c>
      <c r="DX7" s="1">
        <f t="shared" si="29"/>
        <v>0.4195122</v>
      </c>
      <c r="DY7" s="1">
        <f t="shared" si="29"/>
        <v>0.20050375000000001</v>
      </c>
      <c r="DZ7" s="1">
        <f t="shared" si="30"/>
        <v>0.34624290000000002</v>
      </c>
      <c r="EA7" s="1">
        <f t="shared" si="30"/>
        <v>0.15613090000000002</v>
      </c>
      <c r="EB7" s="1">
        <f t="shared" si="30"/>
        <v>0.47281664000000007</v>
      </c>
      <c r="EC7" s="1">
        <f t="shared" si="30"/>
        <v>0.84812041999999999</v>
      </c>
      <c r="ED7" s="1">
        <f t="shared" si="30"/>
        <v>0.25440681999999998</v>
      </c>
      <c r="EE7" s="1">
        <f t="shared" si="30"/>
        <v>0.7620908099999999</v>
      </c>
      <c r="EF7" s="1">
        <f t="shared" si="30"/>
        <v>0.50490091999999998</v>
      </c>
      <c r="EG7" s="1">
        <f t="shared" si="30"/>
        <v>0.40961613000000002</v>
      </c>
      <c r="EI7" s="14">
        <f t="shared" ref="EI7:EX22" si="40">+VLOOKUP(EI$1,ran_dat,$CA7,FALSE)</f>
        <v>950000</v>
      </c>
      <c r="EJ7" s="14">
        <f t="shared" si="40"/>
        <v>950000</v>
      </c>
      <c r="EK7" s="1">
        <f t="shared" si="40"/>
        <v>950000</v>
      </c>
      <c r="EL7" s="1">
        <f t="shared" si="40"/>
        <v>950000</v>
      </c>
      <c r="EM7" s="1">
        <f t="shared" si="40"/>
        <v>950000</v>
      </c>
      <c r="EN7" s="1">
        <f t="shared" si="40"/>
        <v>990000</v>
      </c>
      <c r="EO7" s="1">
        <f t="shared" si="40"/>
        <v>990000</v>
      </c>
      <c r="EP7" s="1">
        <f t="shared" si="40"/>
        <v>990000</v>
      </c>
      <c r="EQ7" s="1">
        <f t="shared" si="40"/>
        <v>990000</v>
      </c>
      <c r="ER7" s="1">
        <f t="shared" si="40"/>
        <v>990000</v>
      </c>
      <c r="ES7" s="1">
        <f t="shared" si="40"/>
        <v>990000</v>
      </c>
      <c r="ET7" s="1">
        <f t="shared" si="40"/>
        <v>990000</v>
      </c>
      <c r="EU7" s="1">
        <f t="shared" si="40"/>
        <v>990000</v>
      </c>
      <c r="EV7" s="1">
        <f t="shared" si="40"/>
        <v>990000</v>
      </c>
      <c r="EW7" s="1">
        <f t="shared" si="40"/>
        <v>990000</v>
      </c>
      <c r="EX7" s="1">
        <f t="shared" si="40"/>
        <v>700000</v>
      </c>
      <c r="EY7" s="1">
        <f t="shared" si="31"/>
        <v>700000</v>
      </c>
      <c r="EZ7" s="1">
        <f t="shared" si="31"/>
        <v>700000</v>
      </c>
      <c r="FA7" s="1">
        <f t="shared" si="31"/>
        <v>700000</v>
      </c>
      <c r="FB7" s="1">
        <f t="shared" si="31"/>
        <v>700000</v>
      </c>
      <c r="FC7" s="1">
        <f t="shared" si="31"/>
        <v>700000</v>
      </c>
      <c r="FD7" s="1">
        <f t="shared" si="31"/>
        <v>700000</v>
      </c>
      <c r="FE7" s="1">
        <f t="shared" si="31"/>
        <v>700000</v>
      </c>
      <c r="FF7" s="1">
        <f t="shared" si="31"/>
        <v>700000</v>
      </c>
      <c r="FH7" s="162">
        <f t="shared" si="32"/>
        <v>-2.6812928654303292E-2</v>
      </c>
    </row>
    <row r="8" spans="1:164" ht="18.75" customHeight="1">
      <c r="A8" s="243" t="s">
        <v>215</v>
      </c>
      <c r="B8" s="246"/>
      <c r="C8" s="156">
        <f t="shared" si="5"/>
        <v>-0.33</v>
      </c>
      <c r="D8" s="198">
        <v>0</v>
      </c>
      <c r="E8" s="248">
        <f t="shared" si="6"/>
        <v>-2.6469822617232741E-2</v>
      </c>
      <c r="F8" s="249">
        <f t="shared" si="7"/>
        <v>-4.3061886852435616E-2</v>
      </c>
      <c r="G8" s="248">
        <f t="shared" si="8"/>
        <v>-5.6266919141180316E-2</v>
      </c>
      <c r="H8" s="249">
        <f t="shared" si="9"/>
        <v>2.9797096523947575E-2</v>
      </c>
      <c r="I8" s="248">
        <f t="shared" si="10"/>
        <v>5.3976689413612E-2</v>
      </c>
      <c r="J8" s="249">
        <f t="shared" si="11"/>
        <v>-0.28144144572975471</v>
      </c>
      <c r="K8" s="248">
        <f t="shared" si="12"/>
        <v>0.14778387885797217</v>
      </c>
      <c r="L8" s="249">
        <f t="shared" si="13"/>
        <v>-9.3807189444360173E-2</v>
      </c>
      <c r="M8" s="250"/>
      <c r="N8" s="24">
        <v>0</v>
      </c>
      <c r="O8" s="248">
        <f t="shared" si="33"/>
        <v>7.8250616357593561E-3</v>
      </c>
      <c r="P8" s="251">
        <f t="shared" si="34"/>
        <v>7.8250616357593561E-3</v>
      </c>
      <c r="Q8" s="248">
        <f t="shared" si="14"/>
        <v>-1.8977622140472272E-2</v>
      </c>
      <c r="R8" s="251">
        <f t="shared" si="35"/>
        <v>-1.8977622140472272E-2</v>
      </c>
      <c r="S8" s="250"/>
      <c r="T8" s="24">
        <v>-1</v>
      </c>
      <c r="U8" s="248">
        <f t="shared" si="15"/>
        <v>-0.11415020218046312</v>
      </c>
      <c r="V8" s="252">
        <f t="shared" si="16"/>
        <v>-0.11415020218046312</v>
      </c>
      <c r="W8" s="248">
        <f t="shared" si="36"/>
        <v>0.15351330837808486</v>
      </c>
      <c r="X8" s="252">
        <f t="shared" si="17"/>
        <v>0.15351330837808486</v>
      </c>
      <c r="Y8" s="248">
        <f t="shared" si="37"/>
        <v>3.1530545215677552E-2</v>
      </c>
      <c r="Z8" s="252">
        <f t="shared" si="18"/>
        <v>3.1530545215677552E-2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VLOOKUP($A8,historia!$A$5:$DD$24,+HLOOKUP(AP$2,historia!$A$3:$EC$4,2,FALSE),FALSE)</f>
        <v>2</v>
      </c>
      <c r="AQ8" s="28">
        <f>VLOOKUP($A8,historia!$A$5:$DD$24,+HLOOKUP(AQ$2,historia!$A$3:$EC$4,2,FALSE),FALSE)</f>
        <v>2</v>
      </c>
      <c r="AR8" s="28">
        <f>VLOOKUP($A8,historia!$A$5:$DD$24,+HLOOKUP(AR$2,historia!$A$3:$EC$4,2,FALSE),FALSE)</f>
        <v>3</v>
      </c>
      <c r="AS8" s="28">
        <f>VLOOKUP($A8,historia!$A$5:$DD$24,+HLOOKUP(AS$2,historia!$A$3:$EC$4,2,FALSE),FALSE)</f>
        <v>3</v>
      </c>
      <c r="AT8" s="58">
        <f>VLOOKUP($A8,historia!$A$5:$DD$24,+HLOOKUP(AT$2,historia!$A$3:$EC$4,2,FALSE),FALSE)</f>
        <v>3</v>
      </c>
      <c r="AU8" s="58">
        <f>VLOOKUP($A8,historia!$A$5:$DD$24,+HLOOKUP(AU$2,historia!$A$3:$EC$4,2,FALSE),FALSE)</f>
        <v>3</v>
      </c>
      <c r="AV8" s="58">
        <f>VLOOKUP($A8,historia!$A$5:$DD$24,+HLOOKUP(AV$2,historia!$A$3:$EC$4,2,FALSE),FALSE)</f>
        <v>3</v>
      </c>
      <c r="AW8" s="58">
        <f>VLOOKUP($A8,historia!$A$5:$DD$24,+HLOOKUP(AW$2,historia!$A$3:$EC$4,2,FALSE),FALSE)</f>
        <v>3</v>
      </c>
      <c r="AX8" s="58">
        <f>VLOOKUP($A8,historia!$A$5:$DD$24,+HLOOKUP(AX$2,historia!$A$3:$EC$4,2,FALSE),FALSE)</f>
        <v>3</v>
      </c>
      <c r="AY8" s="58">
        <f>VLOOKUP($A8,historia!$A$5:$DD$24,+HLOOKUP(AY$2,historia!$A$3:$EC$4,2,FALSE),FALSE)</f>
        <v>3</v>
      </c>
      <c r="AZ8" s="58">
        <f>VLOOKUP($A8,historia!$A$5:$DD$24,+HLOOKUP(AZ$2,historia!$A$3:$EC$4,2,FALSE),FALSE)</f>
        <v>3</v>
      </c>
      <c r="BA8" s="58">
        <f>VLOOKUP($A8,historia!$A$5:$DG$24,+HLOOKUP(BA$2,historia!$A$3:$EC$4,2,FALSE),FALSE)</f>
        <v>3</v>
      </c>
      <c r="BB8" s="58"/>
      <c r="BC8" s="286">
        <v>3</v>
      </c>
      <c r="BD8" t="str">
        <f t="shared" si="19"/>
        <v>Aves</v>
      </c>
      <c r="BE8">
        <f>+datos!BQ1</f>
        <v>69</v>
      </c>
      <c r="BF8" s="2" t="str">
        <f t="shared" si="4"/>
        <v>prom pond huevo-carne</v>
      </c>
      <c r="BG8" s="2">
        <f t="shared" si="4"/>
        <v>2181.6</v>
      </c>
      <c r="BH8" s="2">
        <f t="shared" si="4"/>
        <v>2240.916666666667</v>
      </c>
      <c r="BI8" s="2">
        <f t="shared" si="4"/>
        <v>2069.875</v>
      </c>
      <c r="BK8" s="1">
        <f>+datos!EP1</f>
        <v>146</v>
      </c>
      <c r="BL8" s="1">
        <f t="shared" si="20"/>
        <v>9402</v>
      </c>
      <c r="BM8" s="1">
        <f t="shared" si="20"/>
        <v>9329</v>
      </c>
      <c r="BO8" s="1">
        <f>+datos!HM1</f>
        <v>221</v>
      </c>
      <c r="BP8" s="1">
        <f t="shared" si="21"/>
        <v>2329843.96</v>
      </c>
      <c r="BQ8" s="1">
        <f t="shared" si="21"/>
        <v>2374914.1839999999</v>
      </c>
      <c r="BS8" s="1">
        <f>+datos!KF1</f>
        <v>292</v>
      </c>
      <c r="BT8" s="1">
        <f t="shared" si="38"/>
        <v>106.21516516</v>
      </c>
      <c r="BU8" s="1">
        <f t="shared" si="39"/>
        <v>119.90200305</v>
      </c>
      <c r="BW8" s="1">
        <f>+datos!LK1</f>
        <v>323</v>
      </c>
      <c r="BX8" s="2">
        <f t="shared" si="22"/>
        <v>46.191713190000002</v>
      </c>
      <c r="BY8" s="2">
        <f t="shared" si="23"/>
        <v>40.044369539999998</v>
      </c>
      <c r="CA8" s="1">
        <f>+datos!IL1</f>
        <v>246</v>
      </c>
      <c r="CB8" s="2">
        <f t="shared" si="24"/>
        <v>47.11</v>
      </c>
      <c r="CC8" s="2">
        <f t="shared" si="25"/>
        <v>45.67</v>
      </c>
      <c r="CD8" s="2">
        <f>CB8-CC8</f>
        <v>1.4399999999999977</v>
      </c>
      <c r="CE8">
        <f>+datos!DG1</f>
        <v>111</v>
      </c>
      <c r="CF8" s="2">
        <f t="shared" si="26"/>
        <v>12356.90543192561</v>
      </c>
      <c r="CG8" s="2">
        <f t="shared" si="26"/>
        <v>13093.644466378704</v>
      </c>
      <c r="CH8" s="2">
        <f t="shared" si="26"/>
        <v>10765.881678195852</v>
      </c>
      <c r="CI8" s="2"/>
      <c r="CJ8" s="2">
        <f>CB8-CC8</f>
        <v>1.4399999999999977</v>
      </c>
      <c r="CK8" s="1">
        <f t="shared" si="27"/>
        <v>6.5175225899999996</v>
      </c>
      <c r="CL8" s="1">
        <f t="shared" si="27"/>
        <v>8.0336216900000004</v>
      </c>
      <c r="CM8" s="1">
        <f t="shared" si="27"/>
        <v>6.9442140999999999</v>
      </c>
      <c r="CN8" s="1">
        <f t="shared" si="27"/>
        <v>9.8196206999999998</v>
      </c>
      <c r="CO8" s="1">
        <f t="shared" si="27"/>
        <v>8.5791291300000001</v>
      </c>
      <c r="CP8" s="1">
        <f t="shared" si="27"/>
        <v>9.6066541700000005</v>
      </c>
      <c r="CQ8" s="1">
        <f t="shared" si="27"/>
        <v>9.221842539999999</v>
      </c>
      <c r="CR8" s="1">
        <f t="shared" si="27"/>
        <v>8.3583028800000001</v>
      </c>
      <c r="CS8" s="1">
        <f t="shared" si="27"/>
        <v>10.33831614</v>
      </c>
      <c r="CT8" s="1">
        <f t="shared" si="27"/>
        <v>10.343166379999998</v>
      </c>
      <c r="CU8" s="1">
        <f t="shared" si="27"/>
        <v>8.6585168299999999</v>
      </c>
      <c r="CV8" s="1">
        <f t="shared" si="27"/>
        <v>9.7942580100000001</v>
      </c>
      <c r="CW8" s="1">
        <f t="shared" si="27"/>
        <v>6.5346210099999995</v>
      </c>
      <c r="CX8" s="1">
        <f t="shared" si="27"/>
        <v>6.7443728600000004</v>
      </c>
      <c r="CY8" s="1">
        <f t="shared" si="27"/>
        <v>8.66231011</v>
      </c>
      <c r="CZ8" s="1">
        <f t="shared" si="27"/>
        <v>7.3007548499999997</v>
      </c>
      <c r="DA8" s="1">
        <f t="shared" si="28"/>
        <v>9.0051498100000007</v>
      </c>
      <c r="DB8" s="1">
        <f t="shared" si="28"/>
        <v>5.9149876199999998</v>
      </c>
      <c r="DC8" s="1">
        <f t="shared" si="28"/>
        <v>8.0094020700000002</v>
      </c>
      <c r="DD8" s="1">
        <f t="shared" si="28"/>
        <v>5.62476749</v>
      </c>
      <c r="DE8" s="1">
        <f t="shared" si="28"/>
        <v>10.456415849999999</v>
      </c>
      <c r="DF8" s="1">
        <f t="shared" si="28"/>
        <v>8.1147673099999995</v>
      </c>
      <c r="DG8" s="1">
        <f t="shared" si="28"/>
        <v>20.968439010000004</v>
      </c>
      <c r="DH8" s="1">
        <f t="shared" si="28"/>
        <v>22.566015059999998</v>
      </c>
      <c r="DJ8" s="1">
        <f t="shared" si="29"/>
        <v>3.7124954899999998</v>
      </c>
      <c r="DK8" s="1">
        <f t="shared" si="29"/>
        <v>6.0276803599999997</v>
      </c>
      <c r="DL8" s="1">
        <f t="shared" si="29"/>
        <v>3.9810733000000003</v>
      </c>
      <c r="DM8" s="1">
        <f t="shared" si="29"/>
        <v>4.64961936</v>
      </c>
      <c r="DN8" s="1">
        <f t="shared" si="29"/>
        <v>3.2517762100000001</v>
      </c>
      <c r="DO8" s="1">
        <f t="shared" si="29"/>
        <v>5.3810388700000003</v>
      </c>
      <c r="DP8" s="1">
        <f t="shared" si="29"/>
        <v>1.5958006899999999</v>
      </c>
      <c r="DQ8" s="1">
        <f t="shared" si="29"/>
        <v>1.1051948</v>
      </c>
      <c r="DR8" s="1">
        <f t="shared" si="29"/>
        <v>4.8166289400000002</v>
      </c>
      <c r="DS8" s="1">
        <f t="shared" si="29"/>
        <v>3.1609685399999994</v>
      </c>
      <c r="DT8" s="1">
        <f t="shared" si="29"/>
        <v>2.9900732700000003</v>
      </c>
      <c r="DU8" s="1">
        <f t="shared" si="29"/>
        <v>5.5193633599999998</v>
      </c>
      <c r="DV8" s="1">
        <f t="shared" si="29"/>
        <v>3.4351580800000003</v>
      </c>
      <c r="DW8" s="1">
        <f t="shared" si="29"/>
        <v>2.0550383299999999</v>
      </c>
      <c r="DX8" s="1">
        <f t="shared" si="29"/>
        <v>3.4373023600000003</v>
      </c>
      <c r="DY8" s="1">
        <f t="shared" si="29"/>
        <v>5.2475744900000008</v>
      </c>
      <c r="DZ8" s="1">
        <f t="shared" si="30"/>
        <v>3.52939004</v>
      </c>
      <c r="EA8" s="1">
        <f t="shared" si="30"/>
        <v>1.41927303</v>
      </c>
      <c r="EB8" s="1">
        <f t="shared" si="30"/>
        <v>4.5240591299999995</v>
      </c>
      <c r="EC8" s="1">
        <f t="shared" si="30"/>
        <v>2.5037689800000003</v>
      </c>
      <c r="ED8" s="1">
        <f t="shared" si="30"/>
        <v>2.5011971499999999</v>
      </c>
      <c r="EE8" s="1">
        <f t="shared" si="30"/>
        <v>3.7585351000000005</v>
      </c>
      <c r="EF8" s="1">
        <f t="shared" si="30"/>
        <v>4.0425458900000004</v>
      </c>
      <c r="EG8" s="1">
        <f t="shared" si="30"/>
        <v>3.59052696</v>
      </c>
      <c r="EI8" s="14">
        <f t="shared" si="40"/>
        <v>47.11</v>
      </c>
      <c r="EJ8" s="14">
        <f t="shared" si="40"/>
        <v>47.06</v>
      </c>
      <c r="EK8" s="1">
        <f t="shared" si="40"/>
        <v>46.71</v>
      </c>
      <c r="EL8" s="1">
        <f t="shared" si="40"/>
        <v>46.71</v>
      </c>
      <c r="EM8" s="1">
        <f t="shared" si="40"/>
        <v>47.02</v>
      </c>
      <c r="EN8" s="1">
        <f t="shared" si="40"/>
        <v>47.16</v>
      </c>
      <c r="EO8" s="1">
        <f t="shared" si="40"/>
        <v>47</v>
      </c>
      <c r="EP8" s="1">
        <f t="shared" si="40"/>
        <v>47.2</v>
      </c>
      <c r="EQ8" s="1">
        <f t="shared" si="40"/>
        <v>47.7</v>
      </c>
      <c r="ER8" s="1">
        <f t="shared" si="40"/>
        <v>47.68</v>
      </c>
      <c r="ES8" s="1">
        <f t="shared" si="40"/>
        <v>46.5</v>
      </c>
      <c r="ET8" s="1">
        <f t="shared" si="40"/>
        <v>46.08</v>
      </c>
      <c r="EU8" s="1">
        <f t="shared" si="40"/>
        <v>45.67</v>
      </c>
      <c r="EV8" s="1">
        <f t="shared" si="40"/>
        <v>45.79</v>
      </c>
      <c r="EW8" s="1">
        <f t="shared" si="40"/>
        <v>45.9</v>
      </c>
      <c r="EX8" s="1">
        <f t="shared" si="40"/>
        <v>45.78</v>
      </c>
      <c r="EY8" s="1">
        <f t="shared" si="31"/>
        <v>45.91</v>
      </c>
      <c r="EZ8" s="1">
        <f t="shared" si="31"/>
        <v>45.61</v>
      </c>
      <c r="FA8" s="1">
        <f t="shared" si="31"/>
        <v>45.61</v>
      </c>
      <c r="FB8" s="1">
        <f t="shared" si="31"/>
        <v>45.23</v>
      </c>
      <c r="FC8" s="1">
        <f t="shared" si="31"/>
        <v>45.2</v>
      </c>
      <c r="FD8" s="1">
        <f t="shared" si="31"/>
        <v>46.01</v>
      </c>
      <c r="FE8" s="1">
        <f t="shared" si="31"/>
        <v>44.44</v>
      </c>
      <c r="FF8" s="1">
        <f t="shared" si="31"/>
        <v>42.29</v>
      </c>
      <c r="FH8" s="162">
        <f t="shared" si="32"/>
        <v>-9.3807189444360173E-2</v>
      </c>
    </row>
    <row r="9" spans="1:164" ht="18.75" customHeight="1">
      <c r="A9" s="244" t="s">
        <v>77</v>
      </c>
      <c r="B9" s="247"/>
      <c r="C9" s="228">
        <v>0</v>
      </c>
      <c r="D9" s="229">
        <v>1</v>
      </c>
      <c r="E9" s="253">
        <f t="shared" si="6"/>
        <v>-3.9046329438463534E-4</v>
      </c>
      <c r="F9" s="254">
        <f t="shared" si="7"/>
        <v>-1.698252752958751E-2</v>
      </c>
      <c r="G9" s="253">
        <f t="shared" si="8"/>
        <v>-1.2900105805237483E-2</v>
      </c>
      <c r="H9" s="254">
        <f t="shared" si="9"/>
        <v>1.2509642510852848E-2</v>
      </c>
      <c r="I9" s="253">
        <f t="shared" si="10"/>
        <v>0.58094032234644977</v>
      </c>
      <c r="J9" s="254">
        <f t="shared" si="11"/>
        <v>0.24552218720308305</v>
      </c>
      <c r="K9" s="253">
        <f t="shared" si="12"/>
        <v>0.340992536731898</v>
      </c>
      <c r="L9" s="254">
        <f t="shared" si="13"/>
        <v>0.23994778561455177</v>
      </c>
      <c r="M9" s="255"/>
      <c r="N9" s="256">
        <v>-1</v>
      </c>
      <c r="O9" s="253">
        <f t="shared" si="33"/>
        <v>-1.3639133000699299E-2</v>
      </c>
      <c r="P9" s="257">
        <f t="shared" si="34"/>
        <v>-1.3639133000699299E-2</v>
      </c>
      <c r="Q9" s="253">
        <f t="shared" si="14"/>
        <v>-7.3189111187126565E-2</v>
      </c>
      <c r="R9" s="257">
        <f t="shared" si="35"/>
        <v>-7.3189111187126565E-2</v>
      </c>
      <c r="S9" s="255"/>
      <c r="T9" s="256">
        <v>0</v>
      </c>
      <c r="U9" s="253">
        <f t="shared" si="15"/>
        <v>0.34172614690036363</v>
      </c>
      <c r="V9" s="258">
        <f t="shared" si="16"/>
        <v>0.34172614690036363</v>
      </c>
      <c r="W9" s="253">
        <f t="shared" si="36"/>
        <v>0.94835112670111332</v>
      </c>
      <c r="X9" s="258">
        <f t="shared" si="17"/>
        <v>0.94835112670111332</v>
      </c>
      <c r="Y9" s="253">
        <f t="shared" si="37"/>
        <v>-7.4504306028439826E-2</v>
      </c>
      <c r="Z9" s="258">
        <f t="shared" si="18"/>
        <v>-7.4504306028439826E-2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VLOOKUP($A9,historia!$A$5:$DD$24,+HLOOKUP(AP$2,historia!$A$3:$EC$4,2,FALSE),FALSE)</f>
        <v>1</v>
      </c>
      <c r="AQ9" s="28">
        <f>VLOOKUP($A9,historia!$A$5:$DD$24,+HLOOKUP(AQ$2,historia!$A$3:$EC$4,2,FALSE),FALSE)</f>
        <v>2</v>
      </c>
      <c r="AR9" s="28">
        <f>VLOOKUP($A9,historia!$A$5:$DD$24,+HLOOKUP(AR$2,historia!$A$3:$EC$4,2,FALSE),FALSE)</f>
        <v>1</v>
      </c>
      <c r="AS9" s="28">
        <f>VLOOKUP($A9,historia!$A$5:$DD$24,+HLOOKUP(AS$2,historia!$A$3:$EC$4,2,FALSE),FALSE)</f>
        <v>2</v>
      </c>
      <c r="AT9" s="58">
        <f>VLOOKUP($A9,historia!$A$5:$DD$24,+HLOOKUP(AT$2,historia!$A$3:$EC$4,2,FALSE),FALSE)</f>
        <v>2</v>
      </c>
      <c r="AU9" s="58">
        <f>VLOOKUP($A9,historia!$A$5:$DD$24,+HLOOKUP(AU$2,historia!$A$3:$EC$4,2,FALSE),FALSE)</f>
        <v>2</v>
      </c>
      <c r="AV9" s="58">
        <f>VLOOKUP($A9,historia!$A$5:$DD$24,+HLOOKUP(AV$2,historia!$A$3:$EC$4,2,FALSE),FALSE)</f>
        <v>2</v>
      </c>
      <c r="AW9" s="58">
        <f>VLOOKUP($A9,historia!$A$5:$DD$24,+HLOOKUP(AW$2,historia!$A$3:$EC$4,2,FALSE),FALSE)</f>
        <v>2</v>
      </c>
      <c r="AX9" s="58">
        <f>VLOOKUP($A9,historia!$A$5:$DD$24,+HLOOKUP(AX$2,historia!$A$3:$EC$4,2,FALSE),FALSE)</f>
        <v>2</v>
      </c>
      <c r="AY9" s="58">
        <f>VLOOKUP($A9,historia!$A$5:$DD$24,+HLOOKUP(AY$2,historia!$A$3:$EC$4,2,FALSE),FALSE)</f>
        <v>2</v>
      </c>
      <c r="AZ9" s="58">
        <f>VLOOKUP($A9,historia!$A$5:$DD$24,+HLOOKUP(AZ$2,historia!$A$3:$EC$4,2,FALSE),FALSE)</f>
        <v>2</v>
      </c>
      <c r="BA9" s="58">
        <f>VLOOKUP($A9,historia!$A$5:$DG$24,+HLOOKUP(BA$2,historia!$A$3:$EC$4,2,FALSE),FALSE)</f>
        <v>2</v>
      </c>
      <c r="BB9" s="58"/>
      <c r="BC9" s="286">
        <v>2</v>
      </c>
      <c r="BD9" t="str">
        <f t="shared" si="19"/>
        <v>Bovinos</v>
      </c>
      <c r="BE9">
        <f>+datos!BM1</f>
        <v>65</v>
      </c>
      <c r="BF9" s="2" t="str">
        <f t="shared" si="4"/>
        <v>$/kg</v>
      </c>
      <c r="BG9" s="2">
        <f t="shared" si="4"/>
        <v>5443.9679999999998</v>
      </c>
      <c r="BH9" s="2">
        <f t="shared" si="4"/>
        <v>5446.0945000000002</v>
      </c>
      <c r="BI9" s="2">
        <f t="shared" si="4"/>
        <v>3443.5</v>
      </c>
      <c r="BK9" s="1">
        <f>+datos!EH1</f>
        <v>138</v>
      </c>
      <c r="BL9" s="1">
        <f t="shared" si="20"/>
        <v>50920790</v>
      </c>
      <c r="BM9" s="1">
        <f t="shared" si="20"/>
        <v>51624909</v>
      </c>
      <c r="BO9" s="1">
        <f>+datos!HB1</f>
        <v>210</v>
      </c>
      <c r="BP9" s="1">
        <f t="shared" si="21"/>
        <v>2950559</v>
      </c>
      <c r="BQ9" s="1">
        <f t="shared" si="21"/>
        <v>3183561</v>
      </c>
      <c r="BS9" s="1">
        <f>+datos!KG1</f>
        <v>293</v>
      </c>
      <c r="BT9" s="1">
        <f t="shared" si="38"/>
        <v>6122.8552212800005</v>
      </c>
      <c r="BU9" s="1">
        <f t="shared" si="39"/>
        <v>4563.4164880999988</v>
      </c>
      <c r="BW9" s="1">
        <f>+datos!LL1</f>
        <v>324</v>
      </c>
      <c r="BX9" s="2">
        <f t="shared" si="22"/>
        <v>163.21487012</v>
      </c>
      <c r="BY9" s="2">
        <f t="shared" si="23"/>
        <v>83.770767949999993</v>
      </c>
      <c r="CA9" s="1">
        <f>+datos!IM1</f>
        <v>247</v>
      </c>
      <c r="CB9" s="2">
        <f t="shared" si="24"/>
        <v>46.21</v>
      </c>
      <c r="CC9" s="2">
        <f t="shared" si="25"/>
        <v>49.93</v>
      </c>
      <c r="CD9" s="2">
        <f>CB9-CC9</f>
        <v>-3.7199999999999989</v>
      </c>
      <c r="CE9">
        <f>+datos!DB1</f>
        <v>106</v>
      </c>
      <c r="CF9" s="2">
        <f t="shared" si="26"/>
        <v>15531.428966969372</v>
      </c>
      <c r="CG9" s="2">
        <f t="shared" si="26"/>
        <v>15734.404449145752</v>
      </c>
      <c r="CH9" s="2">
        <f t="shared" si="26"/>
        <v>11582.039826128084</v>
      </c>
      <c r="CI9" s="2"/>
      <c r="CK9" s="1">
        <f t="shared" si="27"/>
        <v>664.83328535000021</v>
      </c>
      <c r="CL9" s="1">
        <f t="shared" si="27"/>
        <v>585.64182030999996</v>
      </c>
      <c r="CM9" s="1">
        <f t="shared" si="27"/>
        <v>550.16099316000009</v>
      </c>
      <c r="CN9" s="1">
        <f t="shared" si="27"/>
        <v>533.24077936000003</v>
      </c>
      <c r="CO9" s="1">
        <f t="shared" si="27"/>
        <v>424.30922868999994</v>
      </c>
      <c r="CP9" s="1">
        <f t="shared" si="27"/>
        <v>536.74004446000004</v>
      </c>
      <c r="CQ9" s="1">
        <f t="shared" si="27"/>
        <v>393.3327183799999</v>
      </c>
      <c r="CR9" s="1">
        <f t="shared" si="27"/>
        <v>435.35705272999991</v>
      </c>
      <c r="CS9" s="1">
        <f t="shared" si="27"/>
        <v>452.44590436999982</v>
      </c>
      <c r="CT9" s="1">
        <f t="shared" si="27"/>
        <v>474.71184945000005</v>
      </c>
      <c r="CU9" s="1">
        <f t="shared" si="27"/>
        <v>535.90919134000001</v>
      </c>
      <c r="CV9" s="1">
        <f t="shared" si="27"/>
        <v>536.17235368000001</v>
      </c>
      <c r="CW9" s="1">
        <f t="shared" si="27"/>
        <v>505.86158855000002</v>
      </c>
      <c r="CX9" s="1">
        <f t="shared" si="27"/>
        <v>434.66638176999993</v>
      </c>
      <c r="CY9" s="1">
        <f t="shared" si="27"/>
        <v>430.01977605999991</v>
      </c>
      <c r="CZ9" s="1">
        <f t="shared" si="27"/>
        <v>389.02912699999996</v>
      </c>
      <c r="DA9" s="1">
        <f t="shared" si="28"/>
        <v>350.95842742999997</v>
      </c>
      <c r="DB9" s="1">
        <f t="shared" si="28"/>
        <v>275.41226476999998</v>
      </c>
      <c r="DC9" s="1">
        <f t="shared" si="28"/>
        <v>345.87150417999976</v>
      </c>
      <c r="DD9" s="1">
        <f t="shared" si="28"/>
        <v>330.34833823999992</v>
      </c>
      <c r="DE9" s="1">
        <f t="shared" si="28"/>
        <v>372.02787432000008</v>
      </c>
      <c r="DF9" s="1">
        <f t="shared" si="28"/>
        <v>363.37275483999991</v>
      </c>
      <c r="DG9" s="1">
        <f t="shared" si="28"/>
        <v>373.60267999999996</v>
      </c>
      <c r="DH9" s="1">
        <f t="shared" si="28"/>
        <v>392.24577093999977</v>
      </c>
      <c r="DJ9" s="1">
        <f t="shared" si="29"/>
        <v>18.470735909999998</v>
      </c>
      <c r="DK9" s="1">
        <f t="shared" si="29"/>
        <v>15.754209619999999</v>
      </c>
      <c r="DL9" s="1">
        <f t="shared" si="29"/>
        <v>21.656690020000006</v>
      </c>
      <c r="DM9" s="1">
        <f t="shared" si="29"/>
        <v>20.679241180000002</v>
      </c>
      <c r="DN9" s="1">
        <f t="shared" si="29"/>
        <v>16.804039660000001</v>
      </c>
      <c r="DO9" s="1">
        <f t="shared" si="29"/>
        <v>12.219695360000001</v>
      </c>
      <c r="DP9" s="1">
        <f t="shared" si="29"/>
        <v>8.3972474800000008</v>
      </c>
      <c r="DQ9" s="1">
        <f t="shared" si="29"/>
        <v>9.2870214400000002</v>
      </c>
      <c r="DR9" s="1">
        <f t="shared" si="29"/>
        <v>11.988372569999999</v>
      </c>
      <c r="DS9" s="1">
        <f t="shared" si="29"/>
        <v>8.8931998399999994</v>
      </c>
      <c r="DT9" s="1">
        <f t="shared" si="29"/>
        <v>5.7331222099999994</v>
      </c>
      <c r="DU9" s="1">
        <f t="shared" si="29"/>
        <v>13.331294830000001</v>
      </c>
      <c r="DV9" s="1">
        <f t="shared" si="29"/>
        <v>9.6599299699999985</v>
      </c>
      <c r="DW9" s="1">
        <f t="shared" si="29"/>
        <v>6.816705279999999</v>
      </c>
      <c r="DX9" s="1">
        <f t="shared" si="29"/>
        <v>8.1579769499999983</v>
      </c>
      <c r="DY9" s="1">
        <f t="shared" si="29"/>
        <v>10.16779666</v>
      </c>
      <c r="DZ9" s="1">
        <f t="shared" si="30"/>
        <v>11.009236750000001</v>
      </c>
      <c r="EA9" s="1">
        <f t="shared" si="30"/>
        <v>8.7569028099999997</v>
      </c>
      <c r="EB9" s="1">
        <f t="shared" si="30"/>
        <v>7.0677003599999999</v>
      </c>
      <c r="EC9" s="1">
        <f t="shared" si="30"/>
        <v>5.8644577399999989</v>
      </c>
      <c r="ED9" s="1">
        <f t="shared" si="30"/>
        <v>6.7460545699999992</v>
      </c>
      <c r="EE9" s="1">
        <f t="shared" si="30"/>
        <v>2.8647302900000002</v>
      </c>
      <c r="EF9" s="1">
        <f t="shared" si="30"/>
        <v>3.9160438699999998</v>
      </c>
      <c r="EG9" s="1">
        <f t="shared" si="30"/>
        <v>2.7432327000000001</v>
      </c>
      <c r="EI9" s="14">
        <f t="shared" si="40"/>
        <v>46.21</v>
      </c>
      <c r="EJ9" s="14">
        <f t="shared" si="40"/>
        <v>46.75</v>
      </c>
      <c r="EK9" s="1">
        <f t="shared" si="40"/>
        <v>47.28</v>
      </c>
      <c r="EL9" s="1">
        <f t="shared" si="40"/>
        <v>47.36</v>
      </c>
      <c r="EM9" s="1">
        <f t="shared" si="40"/>
        <v>47.94</v>
      </c>
      <c r="EN9" s="1">
        <f t="shared" si="40"/>
        <v>48.54</v>
      </c>
      <c r="EO9" s="1">
        <f t="shared" si="40"/>
        <v>48.84</v>
      </c>
      <c r="EP9" s="1">
        <f t="shared" si="40"/>
        <v>49.28</v>
      </c>
      <c r="EQ9" s="1">
        <f t="shared" si="40"/>
        <v>49.95</v>
      </c>
      <c r="ER9" s="1">
        <f t="shared" si="40"/>
        <v>49.25</v>
      </c>
      <c r="ES9" s="1">
        <f t="shared" si="40"/>
        <v>49.56</v>
      </c>
      <c r="ET9" s="1">
        <f t="shared" si="40"/>
        <v>49.84</v>
      </c>
      <c r="EU9" s="1">
        <f t="shared" si="40"/>
        <v>49.93</v>
      </c>
      <c r="EV9" s="1">
        <f t="shared" si="40"/>
        <v>50.15</v>
      </c>
      <c r="EW9" s="1">
        <f t="shared" si="40"/>
        <v>50.33</v>
      </c>
      <c r="EX9" s="1">
        <f t="shared" si="40"/>
        <v>49.79</v>
      </c>
      <c r="EY9" s="1">
        <f t="shared" si="31"/>
        <v>49.86</v>
      </c>
      <c r="EZ9" s="1">
        <f t="shared" si="31"/>
        <v>49.86</v>
      </c>
      <c r="FA9" s="1">
        <f t="shared" si="31"/>
        <v>48.75</v>
      </c>
      <c r="FB9" s="1">
        <f t="shared" si="31"/>
        <v>48.18</v>
      </c>
      <c r="FC9" s="1">
        <f t="shared" si="31"/>
        <v>47.81</v>
      </c>
      <c r="FD9" s="1">
        <f t="shared" si="31"/>
        <v>46.91</v>
      </c>
      <c r="FE9" s="1">
        <f t="shared" si="31"/>
        <v>47.74</v>
      </c>
      <c r="FF9" s="1">
        <f t="shared" si="31"/>
        <v>47.38</v>
      </c>
      <c r="FH9" s="162">
        <f t="shared" si="32"/>
        <v>0.23994778561455177</v>
      </c>
    </row>
    <row r="10" spans="1:164" ht="18" customHeight="1">
      <c r="A10" s="263" t="s">
        <v>221</v>
      </c>
      <c r="B10" s="246"/>
      <c r="C10" s="156">
        <f t="shared" si="5"/>
        <v>0</v>
      </c>
      <c r="D10" s="198">
        <v>-1</v>
      </c>
      <c r="E10" s="248">
        <f t="shared" si="6"/>
        <v>-5.6110671746347984E-2</v>
      </c>
      <c r="F10" s="249">
        <f t="shared" si="7"/>
        <v>-7.2702735981550859E-2</v>
      </c>
      <c r="G10" s="248">
        <f t="shared" si="8"/>
        <v>-7.0712134795886783E-2</v>
      </c>
      <c r="H10" s="249">
        <f t="shared" si="9"/>
        <v>1.4601463049538799E-2</v>
      </c>
      <c r="I10" s="248">
        <f t="shared" si="10"/>
        <v>4.9543876721447555E-2</v>
      </c>
      <c r="J10" s="249">
        <f t="shared" si="11"/>
        <v>-0.28587425842191916</v>
      </c>
      <c r="K10" s="248">
        <f t="shared" si="12"/>
        <v>0.23691599702429245</v>
      </c>
      <c r="L10" s="249">
        <f t="shared" si="13"/>
        <v>-0.18737212030284489</v>
      </c>
      <c r="M10" s="250"/>
      <c r="N10" s="24">
        <v>0</v>
      </c>
      <c r="O10" s="248">
        <f t="shared" si="33"/>
        <v>0</v>
      </c>
      <c r="P10" s="251">
        <f t="shared" si="34"/>
        <v>0</v>
      </c>
      <c r="Q10" s="248">
        <f t="shared" si="14"/>
        <v>0</v>
      </c>
      <c r="R10" s="251">
        <f t="shared" si="35"/>
        <v>0</v>
      </c>
      <c r="S10" s="250"/>
      <c r="T10" s="24">
        <v>1</v>
      </c>
      <c r="U10" s="248">
        <f t="shared" si="15"/>
        <v>-0.38337284692263918</v>
      </c>
      <c r="V10" s="252">
        <f t="shared" si="16"/>
        <v>-0.38337284692263918</v>
      </c>
      <c r="W10" s="248">
        <f t="shared" si="36"/>
        <v>-0.19787389939025912</v>
      </c>
      <c r="X10" s="252">
        <f t="shared" si="17"/>
        <v>-0.19787389939025912</v>
      </c>
      <c r="Y10" s="248">
        <f t="shared" si="37"/>
        <v>0</v>
      </c>
      <c r="Z10" s="252">
        <f t="shared" si="18"/>
        <v>0</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VLOOKUP($A10,historia!$A$5:$DD$24,+HLOOKUP(AP$2,historia!$A$3:$EC$4,2,FALSE),FALSE)</f>
        <v>3</v>
      </c>
      <c r="AQ10" s="28">
        <f>VLOOKUP($A10,historia!$A$5:$DD$24,+HLOOKUP(AQ$2,historia!$A$3:$EC$4,2,FALSE),FALSE)</f>
        <v>3</v>
      </c>
      <c r="AR10" s="28">
        <f>VLOOKUP($A10,historia!$A$5:$DD$24,+HLOOKUP(AR$2,historia!$A$3:$EC$4,2,FALSE),FALSE)</f>
        <v>3</v>
      </c>
      <c r="AS10" s="28">
        <f>VLOOKUP($A10,historia!$A$5:$DD$24,+HLOOKUP(AS$2,historia!$A$3:$EC$4,2,FALSE),FALSE)</f>
        <v>3</v>
      </c>
      <c r="AT10" s="58">
        <f>VLOOKUP($A10,historia!$A$5:$DD$24,+HLOOKUP(AT$2,historia!$A$3:$EC$4,2,FALSE),FALSE)</f>
        <v>3</v>
      </c>
      <c r="AU10" s="58">
        <f>VLOOKUP($A10,historia!$A$5:$DD$24,+HLOOKUP(AU$2,historia!$A$3:$EC$4,2,FALSE),FALSE)</f>
        <v>3</v>
      </c>
      <c r="AV10" s="58">
        <f>VLOOKUP($A10,historia!$A$5:$DD$24,+HLOOKUP(AV$2,historia!$A$3:$EC$4,2,FALSE),FALSE)</f>
        <v>3</v>
      </c>
      <c r="AW10" s="58">
        <f>VLOOKUP($A10,historia!$A$5:$DD$24,+HLOOKUP(AW$2,historia!$A$3:$EC$4,2,FALSE),FALSE)</f>
        <v>3</v>
      </c>
      <c r="AX10" s="58">
        <f>VLOOKUP($A10,historia!$A$5:$DD$24,+HLOOKUP(AX$2,historia!$A$3:$EC$4,2,FALSE),FALSE)</f>
        <v>3</v>
      </c>
      <c r="AY10" s="58">
        <f>VLOOKUP($A10,historia!$A$5:$DD$24,+HLOOKUP(AY$2,historia!$A$3:$EC$4,2,FALSE),FALSE)</f>
        <v>3</v>
      </c>
      <c r="AZ10" s="58">
        <f>VLOOKUP($A10,historia!$A$5:$DD$24,+HLOOKUP(AZ$2,historia!$A$3:$EC$4,2,FALSE),FALSE)</f>
        <v>4</v>
      </c>
      <c r="BA10" s="58">
        <f>VLOOKUP($A10,historia!$A$5:$DG$24,+HLOOKUP(BA$2,historia!$A$3:$EC$4,2,FALSE),FALSE)</f>
        <v>4</v>
      </c>
      <c r="BB10" s="58"/>
      <c r="BC10" s="286">
        <v>4</v>
      </c>
      <c r="BD10" t="str">
        <f t="shared" si="19"/>
        <v>Cítricos Dulces</v>
      </c>
      <c r="BE10">
        <f>+datos!AU1</f>
        <v>47</v>
      </c>
      <c r="BF10" s="2" t="str">
        <f t="shared" si="4"/>
        <v>$/caja 18kg</v>
      </c>
      <c r="BG10" s="2">
        <f t="shared" si="4"/>
        <v>12539.733333333332</v>
      </c>
      <c r="BH10" s="2">
        <f t="shared" si="4"/>
        <v>13285.173333333334</v>
      </c>
      <c r="BI10" s="2">
        <f t="shared" si="4"/>
        <v>11947.793333333333</v>
      </c>
      <c r="BK10" s="1">
        <f>+datos!ER1</f>
        <v>148</v>
      </c>
      <c r="BL10" s="1">
        <f t="shared" si="20"/>
        <v>79911</v>
      </c>
      <c r="BM10" s="1">
        <f t="shared" si="20"/>
        <v>79911</v>
      </c>
      <c r="BO10" s="1">
        <f>+datos!GH1</f>
        <v>190</v>
      </c>
      <c r="BP10" s="1">
        <f t="shared" si="21"/>
        <v>1543162</v>
      </c>
      <c r="BQ10" s="1">
        <f t="shared" si="21"/>
        <v>1543162</v>
      </c>
      <c r="BS10" s="1">
        <f>+datos!LT1</f>
        <v>332</v>
      </c>
      <c r="BT10" s="1">
        <f t="shared" si="38"/>
        <v>89.837450409999988</v>
      </c>
      <c r="BU10" s="1">
        <f t="shared" si="39"/>
        <v>145.69168737000001</v>
      </c>
      <c r="BV10" s="1"/>
      <c r="BW10" s="1">
        <f>+datos!LX1</f>
        <v>336</v>
      </c>
      <c r="BX10" s="2">
        <f t="shared" si="22"/>
        <v>5.9015563000000002</v>
      </c>
      <c r="BY10" s="2">
        <f t="shared" si="23"/>
        <v>7.3573921799999997</v>
      </c>
      <c r="CA10" s="1">
        <f>+datos!IV1</f>
        <v>256</v>
      </c>
      <c r="CB10" s="1">
        <f t="shared" si="24"/>
        <v>17.130000000000003</v>
      </c>
      <c r="CC10" s="1">
        <f t="shared" si="25"/>
        <v>17.130000000000003</v>
      </c>
      <c r="CD10" s="1"/>
      <c r="CE10">
        <f>+datos!CX1</f>
        <v>102</v>
      </c>
      <c r="CF10" s="2">
        <f t="shared" si="26"/>
        <v>13172.305295173712</v>
      </c>
      <c r="CG10" s="2">
        <f t="shared" si="26"/>
        <v>14174.623158648998</v>
      </c>
      <c r="CH10" s="2">
        <f t="shared" si="26"/>
        <v>10649.312747885024</v>
      </c>
      <c r="CI10" s="1"/>
      <c r="CK10" s="1">
        <f t="shared" si="27"/>
        <v>11.013696770000001</v>
      </c>
      <c r="CL10" s="1">
        <f t="shared" si="27"/>
        <v>13.125896450000001</v>
      </c>
      <c r="CM10" s="1">
        <f t="shared" si="27"/>
        <v>5.7636062200000007</v>
      </c>
      <c r="CN10" s="1">
        <f t="shared" si="27"/>
        <v>5.0623313300000001</v>
      </c>
      <c r="CO10" s="1">
        <f t="shared" si="27"/>
        <v>5.1105851800000002</v>
      </c>
      <c r="CP10" s="1">
        <f t="shared" si="27"/>
        <v>4.7713070799999997</v>
      </c>
      <c r="CQ10" s="1">
        <f t="shared" si="27"/>
        <v>4.8895593400000008</v>
      </c>
      <c r="CR10" s="1">
        <f t="shared" si="27"/>
        <v>6.1907229299999997</v>
      </c>
      <c r="CS10" s="1">
        <f t="shared" si="27"/>
        <v>6.1255732800000002</v>
      </c>
      <c r="CT10" s="1">
        <f t="shared" si="27"/>
        <v>9.318502950000001</v>
      </c>
      <c r="CU10" s="1">
        <f t="shared" si="27"/>
        <v>10.108990799999999</v>
      </c>
      <c r="CV10" s="1">
        <f t="shared" si="27"/>
        <v>8.35667808</v>
      </c>
      <c r="CW10" s="1">
        <f t="shared" si="27"/>
        <v>14.350128370000002</v>
      </c>
      <c r="CX10" s="1">
        <f t="shared" si="27"/>
        <v>16.897846870000002</v>
      </c>
      <c r="CY10" s="1">
        <f t="shared" si="27"/>
        <v>10.456701950000001</v>
      </c>
      <c r="CZ10" s="1">
        <f t="shared" si="27"/>
        <v>9.5618942600000008</v>
      </c>
      <c r="DA10" s="1">
        <f t="shared" si="28"/>
        <v>5.6783096999999998</v>
      </c>
      <c r="DB10" s="1">
        <f t="shared" si="28"/>
        <v>3.5979505000000001</v>
      </c>
      <c r="DC10" s="1">
        <f t="shared" si="28"/>
        <v>11.482528969999997</v>
      </c>
      <c r="DD10" s="1">
        <f t="shared" si="28"/>
        <v>11.00321864</v>
      </c>
      <c r="DE10" s="1">
        <f t="shared" si="28"/>
        <v>18.05731771</v>
      </c>
      <c r="DF10" s="1">
        <f t="shared" si="28"/>
        <v>12.23030908</v>
      </c>
      <c r="DG10" s="1">
        <f t="shared" si="28"/>
        <v>17.119922650000003</v>
      </c>
      <c r="DH10" s="1">
        <f t="shared" si="28"/>
        <v>15.255558669999997</v>
      </c>
      <c r="DJ10" s="2">
        <f t="shared" si="29"/>
        <v>0</v>
      </c>
      <c r="DK10" s="2">
        <f t="shared" si="29"/>
        <v>2.0272560000000002E-2</v>
      </c>
      <c r="DL10" s="1">
        <f t="shared" si="29"/>
        <v>3.6497559999999998E-2</v>
      </c>
      <c r="DM10" s="1">
        <f t="shared" si="29"/>
        <v>0.16136977</v>
      </c>
      <c r="DN10" s="1">
        <f t="shared" si="29"/>
        <v>0.35776876000000002</v>
      </c>
      <c r="DO10" s="1">
        <f t="shared" si="29"/>
        <v>0.92818331999999992</v>
      </c>
      <c r="DP10" s="1">
        <f t="shared" si="29"/>
        <v>1.2063144699999999</v>
      </c>
      <c r="DQ10" s="1">
        <f t="shared" si="29"/>
        <v>1.22554951</v>
      </c>
      <c r="DR10" s="1">
        <f t="shared" si="29"/>
        <v>0.91618060000000012</v>
      </c>
      <c r="DS10" s="1">
        <f t="shared" si="29"/>
        <v>0.37596773000000006</v>
      </c>
      <c r="DT10" s="1">
        <f t="shared" si="29"/>
        <v>0.55234585999999997</v>
      </c>
      <c r="DU10" s="1">
        <f t="shared" si="29"/>
        <v>0.12110615999999999</v>
      </c>
      <c r="DV10" s="1">
        <f t="shared" si="29"/>
        <v>2.631816E-2</v>
      </c>
      <c r="DW10" s="1">
        <f t="shared" si="29"/>
        <v>4.99154E-3</v>
      </c>
      <c r="DX10" s="1">
        <f t="shared" si="29"/>
        <v>4.683996E-2</v>
      </c>
      <c r="DY10" s="1">
        <f t="shared" si="29"/>
        <v>0.23953321999999996</v>
      </c>
      <c r="DZ10" s="1">
        <f t="shared" si="30"/>
        <v>0.72731897999999995</v>
      </c>
      <c r="EA10" s="1">
        <f t="shared" si="30"/>
        <v>1.7947146899999999</v>
      </c>
      <c r="EB10" s="1">
        <f t="shared" si="30"/>
        <v>1.56764612</v>
      </c>
      <c r="EC10" s="1">
        <f t="shared" si="30"/>
        <v>1.4871383200000001</v>
      </c>
      <c r="ED10" s="1">
        <f t="shared" si="30"/>
        <v>0.7069763</v>
      </c>
      <c r="EE10" s="1">
        <f t="shared" si="30"/>
        <v>0.35634324000000006</v>
      </c>
      <c r="EF10" s="1">
        <f t="shared" si="30"/>
        <v>0.22489865000000001</v>
      </c>
      <c r="EG10" s="1">
        <f t="shared" si="30"/>
        <v>0.17467300000000002</v>
      </c>
      <c r="EI10" s="14">
        <f t="shared" si="40"/>
        <v>17.130000000000003</v>
      </c>
      <c r="EJ10" s="14">
        <f t="shared" si="40"/>
        <v>17.130000000000003</v>
      </c>
      <c r="EK10" s="1">
        <f t="shared" si="40"/>
        <v>17.130000000000003</v>
      </c>
      <c r="EL10" s="1">
        <f t="shared" si="40"/>
        <v>17.130000000000003</v>
      </c>
      <c r="EM10" s="1">
        <f t="shared" si="40"/>
        <v>17.130000000000003</v>
      </c>
      <c r="EN10" s="1">
        <f t="shared" si="40"/>
        <v>17.130000000000003</v>
      </c>
      <c r="EO10" s="1">
        <f t="shared" si="40"/>
        <v>17.130000000000003</v>
      </c>
      <c r="EP10" s="1">
        <f t="shared" si="40"/>
        <v>17.130000000000003</v>
      </c>
      <c r="EQ10" s="1">
        <f t="shared" si="40"/>
        <v>17.130000000000003</v>
      </c>
      <c r="ER10" s="1">
        <f t="shared" si="40"/>
        <v>17.130000000000003</v>
      </c>
      <c r="ES10" s="1">
        <f t="shared" si="40"/>
        <v>17.130000000000003</v>
      </c>
      <c r="ET10" s="1">
        <f t="shared" si="40"/>
        <v>17.130000000000003</v>
      </c>
      <c r="EU10" s="1">
        <f t="shared" si="40"/>
        <v>17.130000000000003</v>
      </c>
      <c r="EV10" s="1">
        <f t="shared" si="40"/>
        <v>17.130000000000003</v>
      </c>
      <c r="EW10" s="1">
        <f t="shared" si="40"/>
        <v>17.130000000000003</v>
      </c>
      <c r="EX10" s="1">
        <f t="shared" si="40"/>
        <v>17.130000000000003</v>
      </c>
      <c r="EY10" s="1">
        <f t="shared" si="31"/>
        <v>17.130000000000003</v>
      </c>
      <c r="EZ10" s="1">
        <f t="shared" si="31"/>
        <v>17.130000000000003</v>
      </c>
      <c r="FA10" s="1">
        <f t="shared" si="31"/>
        <v>17.130000000000003</v>
      </c>
      <c r="FB10" s="1">
        <f t="shared" si="31"/>
        <v>17.130000000000003</v>
      </c>
      <c r="FC10" s="1">
        <f t="shared" si="31"/>
        <v>17.39</v>
      </c>
      <c r="FD10" s="1">
        <f t="shared" si="31"/>
        <v>17.39</v>
      </c>
      <c r="FE10" s="1">
        <f t="shared" si="31"/>
        <v>17.39</v>
      </c>
      <c r="FF10" s="1">
        <f t="shared" si="31"/>
        <v>17.39</v>
      </c>
      <c r="FH10" s="162">
        <f t="shared" si="32"/>
        <v>-0.18737212030284489</v>
      </c>
    </row>
    <row r="11" spans="1:164" ht="18.75" customHeight="1">
      <c r="A11" s="244" t="s">
        <v>116</v>
      </c>
      <c r="B11" s="247"/>
      <c r="C11" s="228">
        <f t="shared" si="5"/>
        <v>-0.33</v>
      </c>
      <c r="D11" s="229">
        <v>1</v>
      </c>
      <c r="E11" s="253">
        <f t="shared" si="6"/>
        <v>0</v>
      </c>
      <c r="F11" s="254">
        <f t="shared" si="7"/>
        <v>-1.6592064235202875E-2</v>
      </c>
      <c r="G11" s="253">
        <f t="shared" si="8"/>
        <v>3.3358826121048235E-3</v>
      </c>
      <c r="H11" s="254">
        <f t="shared" si="9"/>
        <v>-3.3358826121048235E-3</v>
      </c>
      <c r="I11" s="253">
        <f t="shared" si="10"/>
        <v>2.7769481017460906E-2</v>
      </c>
      <c r="J11" s="254">
        <f t="shared" si="11"/>
        <v>-0.30764865412590581</v>
      </c>
      <c r="K11" s="253">
        <f t="shared" si="12"/>
        <v>0.40318144675757561</v>
      </c>
      <c r="L11" s="254">
        <f t="shared" si="13"/>
        <v>-0.37541196574011471</v>
      </c>
      <c r="M11" s="255"/>
      <c r="N11" s="256"/>
      <c r="O11" s="253" t="str">
        <f t="shared" si="33"/>
        <v/>
      </c>
      <c r="P11" s="257" t="str">
        <f t="shared" si="34"/>
        <v/>
      </c>
      <c r="Q11" s="253">
        <f t="shared" si="14"/>
        <v>0</v>
      </c>
      <c r="R11" s="257">
        <f t="shared" si="35"/>
        <v>0</v>
      </c>
      <c r="S11" s="255"/>
      <c r="T11" s="24">
        <v>-2</v>
      </c>
      <c r="U11" s="253">
        <f t="shared" si="15"/>
        <v>0.18220007090118395</v>
      </c>
      <c r="V11" s="258">
        <f t="shared" si="16"/>
        <v>0.18220007090118395</v>
      </c>
      <c r="W11" s="253">
        <f t="shared" si="36"/>
        <v>7.8177549275299851E-2</v>
      </c>
      <c r="X11" s="258">
        <f t="shared" si="17"/>
        <v>7.8177549275299851E-2</v>
      </c>
      <c r="Y11" s="253"/>
      <c r="Z11" s="258">
        <f t="shared" si="18"/>
        <v>0</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VLOOKUP($A11,historia!$A$5:$DD$24,+HLOOKUP(AP$2,historia!$A$3:$EC$4,2,FALSE),FALSE)</f>
        <v>3</v>
      </c>
      <c r="AQ11" s="28">
        <f>VLOOKUP($A11,historia!$A$5:$DD$24,+HLOOKUP(AQ$2,historia!$A$3:$EC$4,2,FALSE),FALSE)</f>
        <v>3</v>
      </c>
      <c r="AR11" s="28">
        <f>VLOOKUP($A11,historia!$A$5:$DD$24,+HLOOKUP(AR$2,historia!$A$3:$EC$4,2,FALSE),FALSE)</f>
        <v>3</v>
      </c>
      <c r="AS11" s="28">
        <f>VLOOKUP($A11,historia!$A$5:$DD$24,+HLOOKUP(AS$2,historia!$A$3:$EC$4,2,FALSE),FALSE)</f>
        <v>3</v>
      </c>
      <c r="AT11" s="58">
        <f>VLOOKUP($A11,historia!$A$5:$DD$24,+HLOOKUP(AT$2,historia!$A$3:$EC$4,2,FALSE),FALSE)</f>
        <v>3</v>
      </c>
      <c r="AU11" s="58">
        <f>VLOOKUP($A11,historia!$A$5:$DD$24,+HLOOKUP(AU$2,historia!$A$3:$EC$4,2,FALSE),FALSE)</f>
        <v>4</v>
      </c>
      <c r="AV11" s="58">
        <f>VLOOKUP($A11,historia!$A$5:$DD$24,+HLOOKUP(AV$2,historia!$A$3:$EC$4,2,FALSE),FALSE)</f>
        <v>4</v>
      </c>
      <c r="AW11" s="58">
        <f>VLOOKUP($A11,historia!$A$5:$DD$24,+HLOOKUP(AW$2,historia!$A$3:$EC$4,2,FALSE),FALSE)</f>
        <v>4</v>
      </c>
      <c r="AX11" s="58">
        <f>VLOOKUP($A11,historia!$A$5:$DD$24,+HLOOKUP(AX$2,historia!$A$3:$EC$4,2,FALSE),FALSE)</f>
        <v>4</v>
      </c>
      <c r="AY11" s="58">
        <f>VLOOKUP($A11,historia!$A$5:$DD$24,+HLOOKUP(AY$2,historia!$A$3:$EC$4,2,FALSE),FALSE)</f>
        <v>4</v>
      </c>
      <c r="AZ11" s="58">
        <f>VLOOKUP($A11,historia!$A$5:$DD$24,+HLOOKUP(AZ$2,historia!$A$3:$EC$4,2,FALSE),FALSE)</f>
        <v>3</v>
      </c>
      <c r="BA11" s="58">
        <f>VLOOKUP($A11,historia!$A$5:$DG$24,+HLOOKUP(BA$2,historia!$A$3:$EC$4,2,FALSE),FALSE)</f>
        <v>3</v>
      </c>
      <c r="BB11" s="58"/>
      <c r="BC11" s="286">
        <v>3</v>
      </c>
      <c r="BD11" t="str">
        <f t="shared" si="19"/>
        <v>Forestal</v>
      </c>
      <c r="BE11">
        <f>+datos!BG1</f>
        <v>59</v>
      </c>
      <c r="BF11" s="2" t="str">
        <f t="shared" si="4"/>
        <v>$/t</v>
      </c>
      <c r="BG11" s="2">
        <f t="shared" si="4"/>
        <v>31829.25</v>
      </c>
      <c r="BH11" s="2">
        <f t="shared" si="4"/>
        <v>31829.25</v>
      </c>
      <c r="BI11" s="2">
        <f t="shared" si="4"/>
        <v>30969.25</v>
      </c>
      <c r="BK11" s="1">
        <f>+datos!ES1</f>
        <v>149</v>
      </c>
      <c r="BL11" s="1">
        <f t="shared" si="20"/>
        <v>0</v>
      </c>
      <c r="BM11" s="1">
        <f t="shared" si="20"/>
        <v>0</v>
      </c>
      <c r="BO11" s="1">
        <f>+datos!GI1</f>
        <v>191</v>
      </c>
      <c r="BP11" s="1">
        <f t="shared" si="21"/>
        <v>1302556</v>
      </c>
      <c r="BQ11" s="1">
        <f t="shared" si="21"/>
        <v>1302556</v>
      </c>
      <c r="BS11" s="1">
        <f>+datos!KB1</f>
        <v>288</v>
      </c>
      <c r="BT11" s="1">
        <f t="shared" si="38"/>
        <v>195.63990669</v>
      </c>
      <c r="BU11" s="1">
        <f t="shared" si="39"/>
        <v>165.48798423</v>
      </c>
      <c r="BW11" s="1">
        <f>+datos!LG1</f>
        <v>319</v>
      </c>
      <c r="BX11" s="2">
        <f t="shared" si="22"/>
        <v>194.60725246999999</v>
      </c>
      <c r="BY11" s="2">
        <f t="shared" si="23"/>
        <v>180.49648001000003</v>
      </c>
      <c r="CA11" s="1">
        <f>+datos!IW1</f>
        <v>257</v>
      </c>
      <c r="CB11" s="1">
        <f t="shared" si="24"/>
        <v>0</v>
      </c>
      <c r="CC11" s="1">
        <f t="shared" si="25"/>
        <v>0</v>
      </c>
      <c r="CD11" s="1"/>
      <c r="CE11">
        <f>+datos!CZ1</f>
        <v>104</v>
      </c>
      <c r="CF11" s="2">
        <f t="shared" si="26"/>
        <v>19314.437547083409</v>
      </c>
      <c r="CG11" s="2">
        <f t="shared" si="26"/>
        <v>19250.221069339026</v>
      </c>
      <c r="CH11" s="2">
        <f t="shared" si="26"/>
        <v>13764.746955366722</v>
      </c>
      <c r="CI11" s="1"/>
      <c r="CK11" s="1">
        <f t="shared" si="27"/>
        <v>16.07329897</v>
      </c>
      <c r="CL11" s="1">
        <f t="shared" si="27"/>
        <v>16.938802989999999</v>
      </c>
      <c r="CM11" s="1">
        <f t="shared" si="27"/>
        <v>19.845367980000006</v>
      </c>
      <c r="CN11" s="1">
        <f t="shared" si="27"/>
        <v>16.951944609999998</v>
      </c>
      <c r="CO11" s="1">
        <f t="shared" si="27"/>
        <v>18.593073950000004</v>
      </c>
      <c r="CP11" s="1">
        <f t="shared" si="27"/>
        <v>16.76578641</v>
      </c>
      <c r="CQ11" s="1">
        <f t="shared" si="27"/>
        <v>15.133510020000001</v>
      </c>
      <c r="CR11" s="1">
        <f t="shared" si="27"/>
        <v>13.84098623</v>
      </c>
      <c r="CS11" s="1">
        <f t="shared" si="27"/>
        <v>18.231882050000007</v>
      </c>
      <c r="CT11" s="1">
        <f t="shared" si="27"/>
        <v>13.327102919999998</v>
      </c>
      <c r="CU11" s="1">
        <f t="shared" si="27"/>
        <v>13.77020325</v>
      </c>
      <c r="CV11" s="1">
        <f t="shared" si="27"/>
        <v>16.167947309999995</v>
      </c>
      <c r="CW11" s="1">
        <f t="shared" si="27"/>
        <v>12.702036029999997</v>
      </c>
      <c r="CX11" s="1">
        <f t="shared" si="27"/>
        <v>14.879273850000001</v>
      </c>
      <c r="CY11" s="1">
        <f t="shared" si="27"/>
        <v>13.812450910000003</v>
      </c>
      <c r="CZ11" s="1">
        <f t="shared" si="27"/>
        <v>14.949040589999999</v>
      </c>
      <c r="DA11" s="1">
        <f t="shared" si="28"/>
        <v>13.968637820000001</v>
      </c>
      <c r="DB11" s="1">
        <f t="shared" si="28"/>
        <v>9.9284284400000011</v>
      </c>
      <c r="DC11" s="1">
        <f t="shared" si="28"/>
        <v>14.484437890000001</v>
      </c>
      <c r="DD11" s="1">
        <f t="shared" si="28"/>
        <v>10.200287200000002</v>
      </c>
      <c r="DE11" s="1">
        <f t="shared" si="28"/>
        <v>11.119065489999999</v>
      </c>
      <c r="DF11" s="1">
        <f t="shared" si="28"/>
        <v>13.50721221</v>
      </c>
      <c r="DG11" s="1">
        <f t="shared" si="28"/>
        <v>17.7783984</v>
      </c>
      <c r="DH11" s="1">
        <f t="shared" si="28"/>
        <v>18.158715399999995</v>
      </c>
      <c r="DJ11" s="1">
        <f t="shared" si="29"/>
        <v>16.590936080000002</v>
      </c>
      <c r="DK11" s="1">
        <f t="shared" si="29"/>
        <v>18.016137319999999</v>
      </c>
      <c r="DL11" s="1">
        <f t="shared" si="29"/>
        <v>16.692081819999999</v>
      </c>
      <c r="DM11" s="1">
        <f t="shared" si="29"/>
        <v>16.655697739999997</v>
      </c>
      <c r="DN11" s="1">
        <f t="shared" si="29"/>
        <v>15.17794868</v>
      </c>
      <c r="DO11" s="1">
        <f t="shared" si="29"/>
        <v>15.225690909999999</v>
      </c>
      <c r="DP11" s="1">
        <f t="shared" si="29"/>
        <v>13.973435009999999</v>
      </c>
      <c r="DQ11" s="1">
        <f t="shared" si="29"/>
        <v>15.974673770000001</v>
      </c>
      <c r="DR11" s="1">
        <f t="shared" si="29"/>
        <v>16.564446050000001</v>
      </c>
      <c r="DS11" s="1">
        <f t="shared" si="29"/>
        <v>13.907008520000002</v>
      </c>
      <c r="DT11" s="1">
        <f t="shared" si="29"/>
        <v>17.652505269999999</v>
      </c>
      <c r="DU11" s="1">
        <f t="shared" si="29"/>
        <v>18.176691299999998</v>
      </c>
      <c r="DV11" s="1">
        <f t="shared" si="29"/>
        <v>17.838312650000002</v>
      </c>
      <c r="DW11" s="1">
        <f t="shared" si="29"/>
        <v>13.839856769999999</v>
      </c>
      <c r="DX11" s="1">
        <f t="shared" si="29"/>
        <v>16.453753389999996</v>
      </c>
      <c r="DY11" s="1">
        <f t="shared" si="29"/>
        <v>16.050718710000002</v>
      </c>
      <c r="DZ11" s="1">
        <f t="shared" si="30"/>
        <v>13.20675994</v>
      </c>
      <c r="EA11" s="1">
        <f t="shared" si="30"/>
        <v>12.082023640000001</v>
      </c>
      <c r="EB11" s="1">
        <f t="shared" si="30"/>
        <v>16.998994660000001</v>
      </c>
      <c r="EC11" s="1">
        <f t="shared" si="30"/>
        <v>14.09144206</v>
      </c>
      <c r="ED11" s="1">
        <f t="shared" si="30"/>
        <v>14.036730870000001</v>
      </c>
      <c r="EE11" s="1">
        <f t="shared" si="30"/>
        <v>13.365554540000002</v>
      </c>
      <c r="EF11" s="1">
        <f t="shared" si="30"/>
        <v>15.589800310000003</v>
      </c>
      <c r="EG11" s="1">
        <f t="shared" si="30"/>
        <v>16.942532470000003</v>
      </c>
      <c r="EI11" s="14">
        <f t="shared" si="40"/>
        <v>0</v>
      </c>
      <c r="EJ11" s="14">
        <f t="shared" si="40"/>
        <v>0</v>
      </c>
      <c r="EK11" s="1">
        <f t="shared" si="40"/>
        <v>0</v>
      </c>
      <c r="EL11" s="1">
        <f t="shared" si="40"/>
        <v>0</v>
      </c>
      <c r="EM11" s="1">
        <f t="shared" si="40"/>
        <v>0</v>
      </c>
      <c r="EN11" s="1">
        <f t="shared" si="40"/>
        <v>0</v>
      </c>
      <c r="EO11" s="1">
        <f t="shared" si="40"/>
        <v>0</v>
      </c>
      <c r="EP11" s="1">
        <f t="shared" si="40"/>
        <v>0</v>
      </c>
      <c r="EQ11" s="1">
        <f t="shared" si="40"/>
        <v>0</v>
      </c>
      <c r="ER11" s="1">
        <f t="shared" si="40"/>
        <v>0</v>
      </c>
      <c r="ES11" s="1">
        <f t="shared" si="40"/>
        <v>0</v>
      </c>
      <c r="ET11" s="1">
        <f t="shared" si="40"/>
        <v>0</v>
      </c>
      <c r="EU11" s="1">
        <f t="shared" si="40"/>
        <v>0</v>
      </c>
      <c r="EV11" s="1">
        <f t="shared" si="40"/>
        <v>0</v>
      </c>
      <c r="EW11" s="1">
        <f t="shared" si="40"/>
        <v>0</v>
      </c>
      <c r="EX11" s="1">
        <f t="shared" si="40"/>
        <v>0</v>
      </c>
      <c r="EY11" s="1">
        <f t="shared" si="31"/>
        <v>0</v>
      </c>
      <c r="EZ11" s="1">
        <f t="shared" si="31"/>
        <v>0</v>
      </c>
      <c r="FA11" s="1">
        <f t="shared" si="31"/>
        <v>0</v>
      </c>
      <c r="FB11" s="1">
        <f t="shared" si="31"/>
        <v>0</v>
      </c>
      <c r="FC11" s="1">
        <f t="shared" si="31"/>
        <v>0</v>
      </c>
      <c r="FD11" s="1">
        <f t="shared" si="31"/>
        <v>0</v>
      </c>
      <c r="FE11" s="1">
        <f t="shared" si="31"/>
        <v>0</v>
      </c>
      <c r="FF11" s="1">
        <f t="shared" si="31"/>
        <v>0</v>
      </c>
      <c r="FH11" s="162">
        <f t="shared" si="32"/>
        <v>-0.37541196574011471</v>
      </c>
    </row>
    <row r="12" spans="1:164" ht="18.75" customHeight="1">
      <c r="A12" s="243" t="s">
        <v>216</v>
      </c>
      <c r="B12" s="246"/>
      <c r="C12" s="156">
        <f t="shared" si="5"/>
        <v>-0.33</v>
      </c>
      <c r="D12" s="198">
        <v>-1</v>
      </c>
      <c r="E12" s="248">
        <f t="shared" si="6"/>
        <v>3.6900265097121743E-2</v>
      </c>
      <c r="F12" s="249">
        <f t="shared" si="7"/>
        <v>2.0308200861918868E-2</v>
      </c>
      <c r="G12" s="248">
        <f t="shared" si="8"/>
        <v>-7.2703904002113795E-4</v>
      </c>
      <c r="H12" s="249">
        <f t="shared" si="9"/>
        <v>3.7627304137142881E-2</v>
      </c>
      <c r="I12" s="248">
        <f t="shared" si="10"/>
        <v>0.37367752528512055</v>
      </c>
      <c r="J12" s="249">
        <f t="shared" si="11"/>
        <v>3.8259390141753835E-2</v>
      </c>
      <c r="K12" s="248">
        <f t="shared" si="12"/>
        <v>0.32835360753915865</v>
      </c>
      <c r="L12" s="249">
        <f t="shared" si="13"/>
        <v>4.5323917745961895E-2</v>
      </c>
      <c r="M12" s="250"/>
      <c r="N12" s="24">
        <v>1</v>
      </c>
      <c r="O12" s="248">
        <f t="shared" si="33"/>
        <v>-3.8101516150296666E-2</v>
      </c>
      <c r="P12" s="251">
        <f t="shared" si="34"/>
        <v>-3.8101516150296666E-2</v>
      </c>
      <c r="Q12" s="248">
        <f t="shared" si="14"/>
        <v>0.23940111527003283</v>
      </c>
      <c r="R12" s="251">
        <f t="shared" si="35"/>
        <v>0.23940111527003283</v>
      </c>
      <c r="S12" s="250"/>
      <c r="T12" s="24">
        <v>-1</v>
      </c>
      <c r="U12" s="248">
        <f t="shared" si="15"/>
        <v>0.1741291552028299</v>
      </c>
      <c r="V12" s="252">
        <f t="shared" si="16"/>
        <v>0.1741291552028299</v>
      </c>
      <c r="W12" s="248">
        <f t="shared" si="36"/>
        <v>0.20909133700842242</v>
      </c>
      <c r="X12" s="252">
        <f t="shared" si="17"/>
        <v>0.20909133700842242</v>
      </c>
      <c r="Y12" s="248"/>
      <c r="Z12" s="252">
        <f t="shared" si="18"/>
        <v>0</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VLOOKUP($A12,historia!$A$5:$DD$24,+HLOOKUP(AP$2,historia!$A$3:$EC$4,2,FALSE),FALSE)</f>
        <v>1</v>
      </c>
      <c r="AQ12" s="28">
        <f>VLOOKUP($A12,historia!$A$5:$DD$24,+HLOOKUP(AQ$2,historia!$A$3:$EC$4,2,FALSE),FALSE)</f>
        <v>2</v>
      </c>
      <c r="AR12" s="28">
        <f>VLOOKUP($A12,historia!$A$5:$DD$24,+HLOOKUP(AR$2,historia!$A$3:$EC$4,2,FALSE),FALSE)</f>
        <v>2</v>
      </c>
      <c r="AS12" s="28">
        <f>VLOOKUP($A12,historia!$A$5:$DD$24,+HLOOKUP(AS$2,historia!$A$3:$EC$4,2,FALSE),FALSE)</f>
        <v>2</v>
      </c>
      <c r="AT12" s="58">
        <f>VLOOKUP($A12,historia!$A$5:$DD$24,+HLOOKUP(AT$2,historia!$A$3:$EC$4,2,FALSE),FALSE)</f>
        <v>1</v>
      </c>
      <c r="AU12" s="58">
        <f>VLOOKUP($A12,historia!$A$5:$DD$24,+HLOOKUP(AU$2,historia!$A$3:$EC$4,2,FALSE),FALSE)</f>
        <v>2</v>
      </c>
      <c r="AV12" s="58">
        <f>VLOOKUP($A12,historia!$A$5:$DD$24,+HLOOKUP(AV$2,historia!$A$3:$EC$4,2,FALSE),FALSE)</f>
        <v>2</v>
      </c>
      <c r="AW12" s="58">
        <f>VLOOKUP($A12,historia!$A$5:$DD$24,+HLOOKUP(AW$2,historia!$A$3:$EC$4,2,FALSE),FALSE)</f>
        <v>1</v>
      </c>
      <c r="AX12" s="58">
        <f>VLOOKUP($A12,historia!$A$5:$DD$24,+HLOOKUP(AX$2,historia!$A$3:$EC$4,2,FALSE),FALSE)</f>
        <v>1</v>
      </c>
      <c r="AY12" s="58">
        <f>VLOOKUP($A12,historia!$A$5:$DD$24,+HLOOKUP(AY$2,historia!$A$3:$EC$4,2,FALSE),FALSE)</f>
        <v>1</v>
      </c>
      <c r="AZ12" s="58">
        <f>VLOOKUP($A12,historia!$A$5:$DD$24,+HLOOKUP(AZ$2,historia!$A$3:$EC$4,2,FALSE),FALSE)</f>
        <v>1</v>
      </c>
      <c r="BA12" s="58">
        <f>VLOOKUP($A12,historia!$A$5:$DG$24,+HLOOKUP(BA$2,historia!$A$3:$EC$4,2,FALSE),FALSE)</f>
        <v>1</v>
      </c>
      <c r="BB12" s="58"/>
      <c r="BC12" s="286">
        <v>1</v>
      </c>
      <c r="BD12" t="str">
        <f t="shared" si="19"/>
        <v>Granos</v>
      </c>
      <c r="BE12">
        <f>+datos!AE1</f>
        <v>31</v>
      </c>
      <c r="BF12" s="2" t="str">
        <f t="shared" si="4"/>
        <v>$/t</v>
      </c>
      <c r="BG12" s="2">
        <f t="shared" si="4"/>
        <v>415392.97143083328</v>
      </c>
      <c r="BH12" s="2">
        <f t="shared" si="4"/>
        <v>400610.34355307574</v>
      </c>
      <c r="BI12" s="2">
        <f t="shared" si="4"/>
        <v>302394.82250000001</v>
      </c>
      <c r="BK12" s="1">
        <f>+datos!EA1</f>
        <v>131</v>
      </c>
      <c r="BL12" s="1">
        <f t="shared" si="20"/>
        <v>36480000</v>
      </c>
      <c r="BM12" s="1">
        <f t="shared" si="20"/>
        <v>37925000</v>
      </c>
      <c r="BO12" s="1">
        <f>+datos!FV1</f>
        <v>178</v>
      </c>
      <c r="BP12" s="1">
        <f t="shared" si="21"/>
        <v>162250000</v>
      </c>
      <c r="BQ12" s="1">
        <f t="shared" si="21"/>
        <v>130910000</v>
      </c>
      <c r="BS12" s="1">
        <f>+datos!LQ1</f>
        <v>329</v>
      </c>
      <c r="BT12" s="1">
        <f>+SUM(CK12:CV12)</f>
        <v>50805.208514820006</v>
      </c>
      <c r="BU12" s="1">
        <f t="shared" si="39"/>
        <v>43270.545058600001</v>
      </c>
      <c r="BW12" s="1">
        <f>+datos!LU1</f>
        <v>333</v>
      </c>
      <c r="BX12" s="2">
        <f t="shared" si="22"/>
        <v>3277.4206874199999</v>
      </c>
      <c r="BY12" s="2">
        <f t="shared" si="23"/>
        <v>2710.6477295000004</v>
      </c>
      <c r="CA12" s="1">
        <f>+datos!II1</f>
        <v>243</v>
      </c>
      <c r="CB12" s="1">
        <f t="shared" si="24"/>
        <v>87300000</v>
      </c>
      <c r="CC12" s="1">
        <f t="shared" si="25"/>
        <v>85820000</v>
      </c>
      <c r="CD12" s="1"/>
      <c r="CE12">
        <f>+datos!CG1</f>
        <v>85</v>
      </c>
      <c r="CF12" s="2">
        <f t="shared" si="26"/>
        <v>15306.659311733092</v>
      </c>
      <c r="CG12" s="2">
        <f t="shared" si="26"/>
        <v>15317.795947393925</v>
      </c>
      <c r="CH12" s="2">
        <f t="shared" si="26"/>
        <v>11523.030633454176</v>
      </c>
      <c r="CI12" s="1"/>
      <c r="CK12" s="1">
        <f>+VLOOKUP(CK$1,ran_dat,$BS12,FALSE)</f>
        <v>4477.0359608400004</v>
      </c>
      <c r="CL12" s="1">
        <f t="shared" si="27"/>
        <v>4486.4622884199998</v>
      </c>
      <c r="CM12" s="1">
        <f t="shared" si="27"/>
        <v>4487.8321395500006</v>
      </c>
      <c r="CN12" s="1">
        <f t="shared" si="27"/>
        <v>5035.7305047899999</v>
      </c>
      <c r="CO12" s="1">
        <f t="shared" si="27"/>
        <v>4064.0645645799996</v>
      </c>
      <c r="CP12" s="1">
        <f t="shared" si="27"/>
        <v>4203.4384527000002</v>
      </c>
      <c r="CQ12" s="1">
        <f t="shared" si="27"/>
        <v>3234.3307016200001</v>
      </c>
      <c r="CR12" s="1">
        <f t="shared" si="27"/>
        <v>4071.6367626900005</v>
      </c>
      <c r="CS12" s="1">
        <f t="shared" si="27"/>
        <v>3901.9920549600001</v>
      </c>
      <c r="CT12" s="1">
        <f t="shared" si="27"/>
        <v>4663.3781357900007</v>
      </c>
      <c r="CU12" s="1">
        <f t="shared" si="27"/>
        <v>3782.3696972900002</v>
      </c>
      <c r="CV12" s="1">
        <f t="shared" si="27"/>
        <v>4396.9372515900004</v>
      </c>
      <c r="CW12" s="1">
        <f t="shared" si="27"/>
        <v>4336.2366958999992</v>
      </c>
      <c r="CX12" s="1">
        <f t="shared" si="27"/>
        <v>4557.75384975</v>
      </c>
      <c r="CY12" s="1">
        <f t="shared" si="27"/>
        <v>3762.5394987399995</v>
      </c>
      <c r="CZ12" s="1">
        <f t="shared" si="27"/>
        <v>4220.2405017900001</v>
      </c>
      <c r="DA12" s="1">
        <f t="shared" si="28"/>
        <v>3699.5517639399995</v>
      </c>
      <c r="DB12" s="1">
        <f t="shared" si="28"/>
        <v>2719.5194464700007</v>
      </c>
      <c r="DC12" s="1">
        <f t="shared" si="28"/>
        <v>3193.1112506200002</v>
      </c>
      <c r="DD12" s="1">
        <f t="shared" si="28"/>
        <v>3231.2263099199999</v>
      </c>
      <c r="DE12" s="1">
        <f t="shared" si="28"/>
        <v>3313.8442822299994</v>
      </c>
      <c r="DF12" s="1">
        <f t="shared" si="28"/>
        <v>3339.9998161899998</v>
      </c>
      <c r="DG12" s="1">
        <f t="shared" si="28"/>
        <v>3485.71732419</v>
      </c>
      <c r="DH12" s="1">
        <f t="shared" si="28"/>
        <v>3410.80431886</v>
      </c>
      <c r="DJ12" s="1">
        <f t="shared" si="29"/>
        <v>310.27082129000007</v>
      </c>
      <c r="DK12" s="1">
        <f t="shared" si="29"/>
        <v>436.00616156999996</v>
      </c>
      <c r="DL12" s="1">
        <f t="shared" si="29"/>
        <v>365.40067700999998</v>
      </c>
      <c r="DM12" s="1">
        <f t="shared" si="29"/>
        <v>461.88986550999999</v>
      </c>
      <c r="DN12" s="1">
        <f t="shared" si="29"/>
        <v>430.74979968000002</v>
      </c>
      <c r="DO12" s="1">
        <f t="shared" si="29"/>
        <v>401.51977044</v>
      </c>
      <c r="DP12" s="1">
        <f t="shared" si="29"/>
        <v>345.64924089000016</v>
      </c>
      <c r="DQ12" s="1">
        <f t="shared" si="29"/>
        <v>27.557335100000003</v>
      </c>
      <c r="DR12" s="1">
        <f t="shared" si="29"/>
        <v>51.994600029999987</v>
      </c>
      <c r="DS12" s="1">
        <f t="shared" si="29"/>
        <v>140.49668192999997</v>
      </c>
      <c r="DT12" s="1">
        <f t="shared" si="29"/>
        <v>126.11568693000002</v>
      </c>
      <c r="DU12" s="1">
        <f t="shared" si="29"/>
        <v>179.77004703999992</v>
      </c>
      <c r="DV12" s="1">
        <f t="shared" si="29"/>
        <v>175.34564924</v>
      </c>
      <c r="DW12" s="1">
        <f t="shared" si="29"/>
        <v>241.51209269000003</v>
      </c>
      <c r="DX12" s="1">
        <f t="shared" si="29"/>
        <v>273.75200934999998</v>
      </c>
      <c r="DY12" s="1">
        <f t="shared" si="29"/>
        <v>304.19736033999999</v>
      </c>
      <c r="DZ12" s="1">
        <f t="shared" si="30"/>
        <v>338.33098909999995</v>
      </c>
      <c r="EA12" s="1">
        <f t="shared" si="30"/>
        <v>239.40438782999996</v>
      </c>
      <c r="EB12" s="1">
        <f t="shared" si="30"/>
        <v>288.1429152</v>
      </c>
      <c r="EC12" s="1">
        <f t="shared" si="30"/>
        <v>31.883400920000003</v>
      </c>
      <c r="ED12" s="1">
        <f t="shared" si="30"/>
        <v>52.19269714</v>
      </c>
      <c r="EE12" s="1">
        <f t="shared" si="30"/>
        <v>201.41567115000001</v>
      </c>
      <c r="EF12" s="1">
        <f t="shared" si="30"/>
        <v>299.18688666000003</v>
      </c>
      <c r="EG12" s="1">
        <f t="shared" si="30"/>
        <v>265.28366987999999</v>
      </c>
      <c r="EI12" s="14">
        <f t="shared" si="40"/>
        <v>87300000</v>
      </c>
      <c r="EJ12" s="14">
        <f t="shared" si="40"/>
        <v>87300000</v>
      </c>
      <c r="EK12" s="1">
        <f t="shared" si="40"/>
        <v>87300000</v>
      </c>
      <c r="EL12" s="1">
        <f t="shared" si="40"/>
        <v>87300000</v>
      </c>
      <c r="EM12" s="1">
        <f t="shared" si="40"/>
        <v>87300000</v>
      </c>
      <c r="EN12" s="1">
        <f t="shared" si="40"/>
        <v>88050000</v>
      </c>
      <c r="EO12" s="1">
        <f t="shared" si="40"/>
        <v>88050000</v>
      </c>
      <c r="EP12" s="1">
        <f t="shared" si="40"/>
        <v>86780000</v>
      </c>
      <c r="EQ12" s="1">
        <f t="shared" si="40"/>
        <v>86780000</v>
      </c>
      <c r="ER12" s="1">
        <f t="shared" si="40"/>
        <v>86680000</v>
      </c>
      <c r="ES12" s="1">
        <f t="shared" si="40"/>
        <v>85850000</v>
      </c>
      <c r="ET12" s="1">
        <f t="shared" si="40"/>
        <v>85850000</v>
      </c>
      <c r="EU12" s="1">
        <f t="shared" si="40"/>
        <v>85820000</v>
      </c>
      <c r="EV12" s="1">
        <f t="shared" si="40"/>
        <v>83320000</v>
      </c>
      <c r="EW12" s="1">
        <f t="shared" si="40"/>
        <v>83120000</v>
      </c>
      <c r="EX12" s="1">
        <f t="shared" si="40"/>
        <v>83420000</v>
      </c>
      <c r="EY12" s="1">
        <f t="shared" si="31"/>
        <v>83260000</v>
      </c>
      <c r="EZ12" s="1">
        <f t="shared" si="31"/>
        <v>82660000</v>
      </c>
      <c r="FA12" s="1">
        <f t="shared" si="31"/>
        <v>83330000</v>
      </c>
      <c r="FB12" s="1">
        <f t="shared" si="31"/>
        <v>83330000</v>
      </c>
      <c r="FC12" s="1">
        <f t="shared" si="31"/>
        <v>81580000</v>
      </c>
      <c r="FD12" s="1">
        <f t="shared" si="31"/>
        <v>81600000</v>
      </c>
      <c r="FE12" s="1">
        <f t="shared" si="31"/>
        <v>81600000</v>
      </c>
      <c r="FF12" s="1">
        <f t="shared" si="31"/>
        <v>81600000</v>
      </c>
      <c r="FH12" s="162">
        <f t="shared" si="32"/>
        <v>4.5323917745961895E-2</v>
      </c>
    </row>
    <row r="13" spans="1:164" ht="18.75" customHeight="1">
      <c r="A13" s="244" t="s">
        <v>217</v>
      </c>
      <c r="B13" s="247"/>
      <c r="C13" s="228">
        <f t="shared" si="5"/>
        <v>0</v>
      </c>
      <c r="D13" s="229">
        <v>0</v>
      </c>
      <c r="E13" s="253">
        <f t="shared" si="6"/>
        <v>-1.6314835830319008E-2</v>
      </c>
      <c r="F13" s="254">
        <f t="shared" si="7"/>
        <v>-3.2906900065521882E-2</v>
      </c>
      <c r="G13" s="253">
        <f t="shared" si="8"/>
        <v>-0.26189830312733453</v>
      </c>
      <c r="H13" s="254">
        <f t="shared" si="9"/>
        <v>0.24558346729701552</v>
      </c>
      <c r="I13" s="253">
        <f t="shared" si="10"/>
        <v>0.88104179775125679</v>
      </c>
      <c r="J13" s="254">
        <f t="shared" si="11"/>
        <v>0.54562366260789008</v>
      </c>
      <c r="K13" s="253">
        <f t="shared" si="12"/>
        <v>6.6462393973314216E-2</v>
      </c>
      <c r="L13" s="254">
        <f t="shared" si="13"/>
        <v>0.81457940377794258</v>
      </c>
      <c r="M13" s="255"/>
      <c r="N13" s="256">
        <v>0</v>
      </c>
      <c r="O13" s="253">
        <f t="shared" si="33"/>
        <v>0</v>
      </c>
      <c r="P13" s="257">
        <f t="shared" si="34"/>
        <v>0</v>
      </c>
      <c r="Q13" s="253">
        <f t="shared" si="14"/>
        <v>0</v>
      </c>
      <c r="R13" s="257">
        <f t="shared" si="35"/>
        <v>0</v>
      </c>
      <c r="S13" s="255"/>
      <c r="T13" s="256">
        <v>0</v>
      </c>
      <c r="U13" s="253">
        <f t="shared" si="15"/>
        <v>0.20824703493050523</v>
      </c>
      <c r="V13" s="258">
        <f t="shared" si="16"/>
        <v>0.20824703493050523</v>
      </c>
      <c r="W13" s="253">
        <f t="shared" si="36"/>
        <v>-0.23593410851777974</v>
      </c>
      <c r="X13" s="258">
        <f t="shared" si="17"/>
        <v>-0.23593410851777974</v>
      </c>
      <c r="Y13" s="253"/>
      <c r="Z13" s="258">
        <f t="shared" si="18"/>
        <v>0</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VLOOKUP($A13,historia!$A$5:$DD$24,+HLOOKUP(AP$2,historia!$A$3:$EC$4,2,FALSE),FALSE)</f>
        <v>4</v>
      </c>
      <c r="AQ13" s="28">
        <f>VLOOKUP($A13,historia!$A$5:$DD$24,+HLOOKUP(AQ$2,historia!$A$3:$EC$4,2,FALSE),FALSE)</f>
        <v>4</v>
      </c>
      <c r="AR13" s="28">
        <f>VLOOKUP($A13,historia!$A$5:$DD$24,+HLOOKUP(AR$2,historia!$A$3:$EC$4,2,FALSE),FALSE)</f>
        <v>4</v>
      </c>
      <c r="AS13" s="28">
        <f>VLOOKUP($A13,historia!$A$5:$DD$24,+HLOOKUP(AS$2,historia!$A$3:$EC$4,2,FALSE),FALSE)</f>
        <v>4</v>
      </c>
      <c r="AT13" s="58">
        <f>VLOOKUP($A13,historia!$A$5:$DD$24,+HLOOKUP(AT$2,historia!$A$3:$EC$4,2,FALSE),FALSE)</f>
        <v>4</v>
      </c>
      <c r="AU13" s="58">
        <f>VLOOKUP($A13,historia!$A$5:$DD$24,+HLOOKUP(AU$2,historia!$A$3:$EC$4,2,FALSE),FALSE)</f>
        <v>4</v>
      </c>
      <c r="AV13" s="58">
        <f>VLOOKUP($A13,historia!$A$5:$DD$24,+HLOOKUP(AV$2,historia!$A$3:$EC$4,2,FALSE),FALSE)</f>
        <v>4</v>
      </c>
      <c r="AW13" s="58">
        <f>VLOOKUP($A13,historia!$A$5:$DD$24,+HLOOKUP(AW$2,historia!$A$3:$EC$4,2,FALSE),FALSE)</f>
        <v>4</v>
      </c>
      <c r="AX13" s="58">
        <f>VLOOKUP($A13,historia!$A$5:$DD$24,+HLOOKUP(AX$2,historia!$A$3:$EC$4,2,FALSE),FALSE)</f>
        <v>4</v>
      </c>
      <c r="AY13" s="58">
        <f>VLOOKUP($A13,historia!$A$5:$DD$24,+HLOOKUP(AY$2,historia!$A$3:$EC$4,2,FALSE),FALSE)</f>
        <v>4</v>
      </c>
      <c r="AZ13" s="58">
        <f>VLOOKUP($A13,historia!$A$5:$DD$24,+HLOOKUP(AZ$2,historia!$A$3:$EC$4,2,FALSE),FALSE)</f>
        <v>4</v>
      </c>
      <c r="BA13" s="58">
        <f>VLOOKUP($A13,historia!$A$5:$DG$24,+HLOOKUP(BA$2,historia!$A$3:$EC$4,2,FALSE),FALSE)</f>
        <v>4</v>
      </c>
      <c r="BB13" s="58"/>
      <c r="BC13" s="286">
        <v>4</v>
      </c>
      <c r="BD13" t="str">
        <f t="shared" si="19"/>
        <v>Hortalizas</v>
      </c>
      <c r="BE13">
        <f>+datos!BB1</f>
        <v>54</v>
      </c>
      <c r="BF13" s="2" t="str">
        <f t="shared" si="4"/>
        <v>$/kg</v>
      </c>
      <c r="BG13" s="2">
        <f t="shared" si="4"/>
        <v>18568.697222222225</v>
      </c>
      <c r="BH13" s="2">
        <f t="shared" si="4"/>
        <v>18876.666944444445</v>
      </c>
      <c r="BI13" s="2">
        <f t="shared" si="4"/>
        <v>9871.4963401773875</v>
      </c>
      <c r="BK13" s="1">
        <f>+datos!EX1</f>
        <v>154</v>
      </c>
      <c r="BL13" s="1">
        <f t="shared" si="20"/>
        <v>64395</v>
      </c>
      <c r="BM13" s="1">
        <f t="shared" si="20"/>
        <v>64395</v>
      </c>
      <c r="BO13" s="1">
        <f>+datos!GN1</f>
        <v>196</v>
      </c>
      <c r="BP13" s="1">
        <f t="shared" si="21"/>
        <v>2639386</v>
      </c>
      <c r="BQ13" s="1">
        <f t="shared" si="21"/>
        <v>2639386</v>
      </c>
      <c r="BS13" s="1">
        <f>+datos!LR1</f>
        <v>330</v>
      </c>
      <c r="BT13" s="1">
        <f t="shared" si="38"/>
        <v>53.441302719999996</v>
      </c>
      <c r="BU13" s="1">
        <f t="shared" si="39"/>
        <v>44.230443919999999</v>
      </c>
      <c r="BW13" s="1">
        <f>+datos!LV1</f>
        <v>334</v>
      </c>
      <c r="BX13" s="2">
        <f t="shared" si="22"/>
        <v>20.324007220000002</v>
      </c>
      <c r="BY13" s="2">
        <f t="shared" si="23"/>
        <v>26.599809579999999</v>
      </c>
      <c r="CA13" s="1">
        <f>+datos!IX1</f>
        <v>258</v>
      </c>
      <c r="CB13" s="1">
        <f t="shared" si="24"/>
        <v>0</v>
      </c>
      <c r="CC13" s="1">
        <f t="shared" si="25"/>
        <v>0</v>
      </c>
      <c r="CD13" s="1"/>
      <c r="CE13">
        <f>+datos!CO1</f>
        <v>93</v>
      </c>
      <c r="CF13" s="2">
        <f t="shared" si="26"/>
        <v>11716.974095709598</v>
      </c>
      <c r="CG13" s="2">
        <f t="shared" si="26"/>
        <v>15874.471153981056</v>
      </c>
      <c r="CH13" s="2">
        <f t="shared" si="26"/>
        <v>10986.767242730162</v>
      </c>
      <c r="CI13" s="1"/>
      <c r="CK13" s="1">
        <f t="shared" si="27"/>
        <v>1.41448043</v>
      </c>
      <c r="CL13" s="1">
        <f t="shared" si="27"/>
        <v>4.1998772999999998</v>
      </c>
      <c r="CM13" s="1">
        <f t="shared" si="27"/>
        <v>8.5185827199999995</v>
      </c>
      <c r="CN13" s="1">
        <f t="shared" si="27"/>
        <v>11.768405829999999</v>
      </c>
      <c r="CO13" s="1">
        <f t="shared" si="27"/>
        <v>11.667027839999999</v>
      </c>
      <c r="CP13" s="1">
        <f t="shared" si="27"/>
        <v>7.5031928699999995</v>
      </c>
      <c r="CQ13" s="1">
        <f t="shared" si="27"/>
        <v>1.29974543</v>
      </c>
      <c r="CR13" s="1">
        <f t="shared" si="27"/>
        <v>1.7091561800000004</v>
      </c>
      <c r="CS13" s="1">
        <f t="shared" si="27"/>
        <v>1.6831161599999998</v>
      </c>
      <c r="CT13" s="1">
        <f t="shared" si="27"/>
        <v>1.1537429000000001</v>
      </c>
      <c r="CU13" s="1">
        <f t="shared" si="27"/>
        <v>1.5287822199999999</v>
      </c>
      <c r="CV13" s="1">
        <f t="shared" si="27"/>
        <v>0.99519284000000008</v>
      </c>
      <c r="CW13" s="1">
        <f t="shared" si="27"/>
        <v>2.3842983399999995</v>
      </c>
      <c r="CX13" s="1">
        <f t="shared" si="27"/>
        <v>1.9006323699999998</v>
      </c>
      <c r="CY13" s="1">
        <f t="shared" si="27"/>
        <v>5.6300601800000001</v>
      </c>
      <c r="CZ13" s="1">
        <f t="shared" si="27"/>
        <v>10.78719353</v>
      </c>
      <c r="DA13" s="1">
        <f t="shared" si="28"/>
        <v>6.6589734299999996</v>
      </c>
      <c r="DB13" s="1">
        <f t="shared" si="28"/>
        <v>4.7972503099999999</v>
      </c>
      <c r="DC13" s="1">
        <f t="shared" si="28"/>
        <v>3.6808061599999999</v>
      </c>
      <c r="DD13" s="1">
        <f t="shared" si="28"/>
        <v>1.7265838599999999</v>
      </c>
      <c r="DE13" s="1">
        <f t="shared" si="28"/>
        <v>1.1603474899999999</v>
      </c>
      <c r="DF13" s="1">
        <f t="shared" si="28"/>
        <v>1.6220564799999999</v>
      </c>
      <c r="DG13" s="1">
        <f t="shared" si="28"/>
        <v>1.7022322700000001</v>
      </c>
      <c r="DH13" s="1">
        <f t="shared" si="28"/>
        <v>2.1800094999999997</v>
      </c>
      <c r="DJ13" s="1">
        <f t="shared" si="29"/>
        <v>4.4933633200000003</v>
      </c>
      <c r="DK13" s="1">
        <f t="shared" si="29"/>
        <v>3.5095093799999995</v>
      </c>
      <c r="DL13" s="1">
        <f t="shared" si="29"/>
        <v>3.12933196</v>
      </c>
      <c r="DM13" s="1">
        <f t="shared" si="29"/>
        <v>1.4366099599999997</v>
      </c>
      <c r="DN13" s="1">
        <f t="shared" si="29"/>
        <v>0.57707428999999999</v>
      </c>
      <c r="DO13" s="1">
        <f t="shared" si="29"/>
        <v>0.39128717000000002</v>
      </c>
      <c r="DP13" s="1">
        <f t="shared" si="29"/>
        <v>0.23116673999999998</v>
      </c>
      <c r="DQ13" s="1">
        <f t="shared" si="29"/>
        <v>0.59938404000000001</v>
      </c>
      <c r="DR13" s="1">
        <f t="shared" si="29"/>
        <v>0.53318653999999999</v>
      </c>
      <c r="DS13" s="1">
        <f t="shared" si="29"/>
        <v>0.87596054999999995</v>
      </c>
      <c r="DT13" s="1">
        <f t="shared" si="29"/>
        <v>2.0285887300000001</v>
      </c>
      <c r="DU13" s="1">
        <f t="shared" si="29"/>
        <v>2.5185445399999997</v>
      </c>
      <c r="DV13" s="1">
        <f t="shared" si="29"/>
        <v>1.4155427900000002</v>
      </c>
      <c r="DW13" s="1">
        <f t="shared" si="29"/>
        <v>1.5956283999999996</v>
      </c>
      <c r="DX13" s="1">
        <f t="shared" si="29"/>
        <v>1.7945534399999996</v>
      </c>
      <c r="DY13" s="1">
        <f t="shared" si="29"/>
        <v>2.7487028499999995</v>
      </c>
      <c r="DZ13" s="1">
        <f t="shared" si="30"/>
        <v>0.73139703</v>
      </c>
      <c r="EA13" s="1">
        <f t="shared" si="30"/>
        <v>0.52205221000000002</v>
      </c>
      <c r="EB13" s="1">
        <f t="shared" si="30"/>
        <v>0.27889262000000004</v>
      </c>
      <c r="EC13" s="1">
        <f t="shared" si="30"/>
        <v>0.43588088999999991</v>
      </c>
      <c r="ED13" s="1">
        <f t="shared" si="30"/>
        <v>0.25163443000000002</v>
      </c>
      <c r="EE13" s="1">
        <f t="shared" si="30"/>
        <v>1.8307121500000001</v>
      </c>
      <c r="EF13" s="1">
        <f t="shared" si="30"/>
        <v>4.7138590499999999</v>
      </c>
      <c r="EG13" s="1">
        <f t="shared" si="30"/>
        <v>10.280953719999999</v>
      </c>
      <c r="EI13" s="14">
        <f t="shared" si="40"/>
        <v>0</v>
      </c>
      <c r="EJ13" s="14">
        <f t="shared" si="40"/>
        <v>0</v>
      </c>
      <c r="EK13" s="1">
        <f t="shared" si="40"/>
        <v>0</v>
      </c>
      <c r="EL13" s="1">
        <f t="shared" si="40"/>
        <v>0</v>
      </c>
      <c r="EM13" s="1">
        <f t="shared" si="40"/>
        <v>0</v>
      </c>
      <c r="EN13" s="1">
        <f t="shared" si="40"/>
        <v>0</v>
      </c>
      <c r="EO13" s="1">
        <f t="shared" si="40"/>
        <v>0</v>
      </c>
      <c r="EP13" s="1">
        <f t="shared" si="40"/>
        <v>0</v>
      </c>
      <c r="EQ13" s="1">
        <f t="shared" si="40"/>
        <v>0</v>
      </c>
      <c r="ER13" s="1">
        <f t="shared" si="40"/>
        <v>0</v>
      </c>
      <c r="ES13" s="1">
        <f t="shared" si="40"/>
        <v>0</v>
      </c>
      <c r="ET13" s="1">
        <f t="shared" si="40"/>
        <v>0</v>
      </c>
      <c r="EU13" s="1">
        <f t="shared" si="40"/>
        <v>0</v>
      </c>
      <c r="EV13" s="1">
        <f t="shared" si="40"/>
        <v>0</v>
      </c>
      <c r="EW13" s="1">
        <f t="shared" si="40"/>
        <v>0</v>
      </c>
      <c r="EX13" s="1">
        <f t="shared" si="40"/>
        <v>0</v>
      </c>
      <c r="EY13" s="1">
        <f t="shared" si="31"/>
        <v>0</v>
      </c>
      <c r="EZ13" s="1">
        <f t="shared" si="31"/>
        <v>0</v>
      </c>
      <c r="FA13" s="1">
        <f t="shared" si="31"/>
        <v>0</v>
      </c>
      <c r="FB13" s="1">
        <f t="shared" si="31"/>
        <v>0</v>
      </c>
      <c r="FC13" s="1">
        <f t="shared" si="31"/>
        <v>0</v>
      </c>
      <c r="FD13" s="1">
        <f t="shared" si="31"/>
        <v>0</v>
      </c>
      <c r="FE13" s="1">
        <f t="shared" si="31"/>
        <v>0</v>
      </c>
      <c r="FF13" s="1">
        <f t="shared" si="31"/>
        <v>0</v>
      </c>
      <c r="FH13" s="162">
        <f t="shared" si="32"/>
        <v>0.81457940377794258</v>
      </c>
    </row>
    <row r="14" spans="1:164" ht="18" customHeight="1">
      <c r="A14" s="243" t="s">
        <v>65</v>
      </c>
      <c r="B14" s="246"/>
      <c r="C14" s="156">
        <f t="shared" si="5"/>
        <v>-0.33</v>
      </c>
      <c r="D14" s="198">
        <v>1</v>
      </c>
      <c r="E14" s="572">
        <f t="shared" si="6"/>
        <v>1.450319449447357E-2</v>
      </c>
      <c r="F14" s="249">
        <f t="shared" si="7"/>
        <v>-2.0888697407293044E-3</v>
      </c>
      <c r="G14" s="248">
        <f t="shared" si="8"/>
        <v>-4.4738322664285013E-2</v>
      </c>
      <c r="H14" s="249">
        <f t="shared" si="9"/>
        <v>5.9241517158758583E-2</v>
      </c>
      <c r="I14" s="248">
        <f t="shared" si="10"/>
        <v>0.12956474015282637</v>
      </c>
      <c r="J14" s="249">
        <f t="shared" si="11"/>
        <v>-0.20585339499054034</v>
      </c>
      <c r="K14" s="248">
        <f t="shared" si="12"/>
        <v>0.2342031129784421</v>
      </c>
      <c r="L14" s="249">
        <f t="shared" si="13"/>
        <v>-0.10463837282561572</v>
      </c>
      <c r="M14" s="250"/>
      <c r="N14" s="24">
        <v>-1</v>
      </c>
      <c r="O14" s="248">
        <f t="shared" si="33"/>
        <v>4.8109392544107843E-2</v>
      </c>
      <c r="P14" s="251">
        <f t="shared" si="34"/>
        <v>4.8109392544107843E-2</v>
      </c>
      <c r="Q14" s="248">
        <f t="shared" si="14"/>
        <v>4.7864654640853876E-2</v>
      </c>
      <c r="R14" s="251">
        <f t="shared" si="35"/>
        <v>4.7864654640853876E-2</v>
      </c>
      <c r="S14" s="250"/>
      <c r="T14" s="24">
        <v>-1</v>
      </c>
      <c r="U14" s="248">
        <f t="shared" si="15"/>
        <v>0.14846666508344253</v>
      </c>
      <c r="V14" s="252">
        <f t="shared" si="16"/>
        <v>0.14846666508344253</v>
      </c>
      <c r="W14" s="248">
        <f t="shared" si="36"/>
        <v>0.13817609537164555</v>
      </c>
      <c r="X14" s="252">
        <f t="shared" si="17"/>
        <v>0.13817609537164555</v>
      </c>
      <c r="Y14" s="248">
        <f t="shared" si="37"/>
        <v>4.103671706263512E-2</v>
      </c>
      <c r="Z14" s="252">
        <f t="shared" si="18"/>
        <v>4.103671706263512E-2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VLOOKUP($A14,historia!$A$5:$DD$24,+HLOOKUP(AP$2,historia!$A$3:$EC$4,2,FALSE),FALSE)</f>
        <v>3</v>
      </c>
      <c r="AQ14" s="28">
        <f>VLOOKUP($A14,historia!$A$5:$DD$24,+HLOOKUP(AQ$2,historia!$A$3:$EC$4,2,FALSE),FALSE)</f>
        <v>3</v>
      </c>
      <c r="AR14" s="28">
        <f>VLOOKUP($A14,historia!$A$5:$DD$24,+HLOOKUP(AR$2,historia!$A$3:$EC$4,2,FALSE),FALSE)</f>
        <v>3</v>
      </c>
      <c r="AS14" s="28">
        <f>VLOOKUP($A14,historia!$A$5:$DD$24,+HLOOKUP(AS$2,historia!$A$3:$EC$4,2,FALSE),FALSE)</f>
        <v>3</v>
      </c>
      <c r="AT14" s="58">
        <f>VLOOKUP($A14,historia!$A$5:$DD$24,+HLOOKUP(AT$2,historia!$A$3:$EC$4,2,FALSE),FALSE)</f>
        <v>4</v>
      </c>
      <c r="AU14" s="58">
        <f>VLOOKUP($A14,historia!$A$5:$DD$24,+HLOOKUP(AU$2,historia!$A$3:$EC$4,2,FALSE),FALSE)</f>
        <v>4</v>
      </c>
      <c r="AV14" s="58">
        <f>VLOOKUP($A14,historia!$A$5:$DD$24,+HLOOKUP(AV$2,historia!$A$3:$EC$4,2,FALSE),FALSE)</f>
        <v>4</v>
      </c>
      <c r="AW14" s="58">
        <f>VLOOKUP($A14,historia!$A$5:$DD$24,+HLOOKUP(AW$2,historia!$A$3:$EC$4,2,FALSE),FALSE)</f>
        <v>4</v>
      </c>
      <c r="AX14" s="58">
        <f>VLOOKUP($A14,historia!$A$5:$DD$24,+HLOOKUP(AX$2,historia!$A$3:$EC$4,2,FALSE),FALSE)</f>
        <v>4</v>
      </c>
      <c r="AY14" s="58">
        <f>VLOOKUP($A14,historia!$A$5:$DD$24,+HLOOKUP(AY$2,historia!$A$3:$EC$4,2,FALSE),FALSE)</f>
        <v>4</v>
      </c>
      <c r="AZ14" s="58">
        <f>VLOOKUP($A14,historia!$A$5:$DD$24,+HLOOKUP(AZ$2,historia!$A$3:$EC$4,2,FALSE),FALSE)</f>
        <v>4</v>
      </c>
      <c r="BA14" s="58">
        <f>VLOOKUP($A14,historia!$A$5:$DG$24,+HLOOKUP(BA$2,historia!$A$3:$EC$4,2,FALSE),FALSE)</f>
        <v>4</v>
      </c>
      <c r="BB14" s="58"/>
      <c r="BC14" s="286">
        <v>4</v>
      </c>
      <c r="BD14" t="str">
        <f t="shared" si="19"/>
        <v>Leche</v>
      </c>
      <c r="BE14">
        <f>+datos!BN1</f>
        <v>66</v>
      </c>
      <c r="BF14" s="2" t="str">
        <f t="shared" si="4"/>
        <v>$/l</v>
      </c>
      <c r="BG14" s="487">
        <f t="shared" si="4"/>
        <v>535.12</v>
      </c>
      <c r="BH14" s="487">
        <f t="shared" si="4"/>
        <v>527.47</v>
      </c>
      <c r="BI14" s="487">
        <f t="shared" si="4"/>
        <v>473.74</v>
      </c>
      <c r="BK14" s="1">
        <f>+datos!EN1</f>
        <v>144</v>
      </c>
      <c r="BL14" s="1">
        <f t="shared" si="20"/>
        <v>3010406</v>
      </c>
      <c r="BM14" s="1">
        <f t="shared" si="20"/>
        <v>2872225</v>
      </c>
      <c r="BO14" s="1">
        <f>+datos!HP1</f>
        <v>224</v>
      </c>
      <c r="BP14" s="1">
        <f t="shared" si="21"/>
        <v>11939.525702930679</v>
      </c>
      <c r="BQ14" s="1">
        <f t="shared" si="21"/>
        <v>11394.148709999999</v>
      </c>
      <c r="BS14" s="1">
        <f>+datos!KH1</f>
        <v>294</v>
      </c>
      <c r="BT14" s="1">
        <f t="shared" si="38"/>
        <v>1992.5629787800001</v>
      </c>
      <c r="BU14" s="1">
        <f t="shared" si="39"/>
        <v>1734.9767645500003</v>
      </c>
      <c r="BW14" s="1">
        <f>+datos!LM1</f>
        <v>325</v>
      </c>
      <c r="BX14" s="2">
        <f t="shared" si="22"/>
        <v>30.082598059999995</v>
      </c>
      <c r="BY14" s="2">
        <f t="shared" si="23"/>
        <v>26.430530550000004</v>
      </c>
      <c r="CA14" s="1">
        <f>+datos!IN1</f>
        <v>248</v>
      </c>
      <c r="CB14" s="1">
        <f t="shared" si="24"/>
        <v>192.8</v>
      </c>
      <c r="CC14" s="1">
        <f t="shared" si="25"/>
        <v>185.2</v>
      </c>
      <c r="CD14" s="1"/>
      <c r="CE14">
        <f>+datos!DC1</f>
        <v>107</v>
      </c>
      <c r="CF14" s="2">
        <f t="shared" si="26"/>
        <v>14039.78657374079</v>
      </c>
      <c r="CG14" s="2">
        <f t="shared" si="26"/>
        <v>14697.320019053459</v>
      </c>
      <c r="CH14" s="2">
        <f t="shared" si="26"/>
        <v>11375.588366374526</v>
      </c>
      <c r="CI14" s="1"/>
      <c r="CK14" s="1">
        <f t="shared" si="27"/>
        <v>154.99666101000003</v>
      </c>
      <c r="CL14" s="1">
        <f t="shared" si="27"/>
        <v>150.54991172000004</v>
      </c>
      <c r="CM14" s="1">
        <f t="shared" si="27"/>
        <v>169.98133484999997</v>
      </c>
      <c r="CN14" s="1">
        <f t="shared" si="27"/>
        <v>138.91731654</v>
      </c>
      <c r="CO14" s="1">
        <f t="shared" si="27"/>
        <v>134.67876954000002</v>
      </c>
      <c r="CP14" s="1">
        <f t="shared" si="27"/>
        <v>152.49764859000004</v>
      </c>
      <c r="CQ14" s="1">
        <f t="shared" si="27"/>
        <v>139.65871150000001</v>
      </c>
      <c r="CR14" s="1">
        <f t="shared" si="27"/>
        <v>160.91833684000002</v>
      </c>
      <c r="CS14" s="1">
        <f t="shared" si="27"/>
        <v>210.79864256000005</v>
      </c>
      <c r="CT14" s="1">
        <f t="shared" si="27"/>
        <v>166.84903940999999</v>
      </c>
      <c r="CU14" s="1">
        <f t="shared" si="27"/>
        <v>210.64847638000006</v>
      </c>
      <c r="CV14" s="1">
        <f t="shared" si="27"/>
        <v>202.06812983999998</v>
      </c>
      <c r="CW14" s="1">
        <f t="shared" si="27"/>
        <v>166.18279023000005</v>
      </c>
      <c r="CX14" s="1">
        <f t="shared" si="27"/>
        <v>145.54293837</v>
      </c>
      <c r="CY14" s="1">
        <f t="shared" si="27"/>
        <v>161.52973046</v>
      </c>
      <c r="CZ14" s="1">
        <f t="shared" si="27"/>
        <v>135.14119298</v>
      </c>
      <c r="DA14" s="1">
        <f t="shared" si="28"/>
        <v>121.87302321000003</v>
      </c>
      <c r="DB14" s="1">
        <f t="shared" si="28"/>
        <v>90.118424640000015</v>
      </c>
      <c r="DC14" s="1">
        <f t="shared" si="28"/>
        <v>158.22857195999995</v>
      </c>
      <c r="DD14" s="1">
        <f t="shared" si="28"/>
        <v>133.12937443000001</v>
      </c>
      <c r="DE14" s="1">
        <f t="shared" si="28"/>
        <v>150.81206259999999</v>
      </c>
      <c r="DF14" s="1">
        <f t="shared" si="28"/>
        <v>173.78517034999999</v>
      </c>
      <c r="DG14" s="1">
        <f t="shared" si="28"/>
        <v>162.27196751000002</v>
      </c>
      <c r="DH14" s="1">
        <f t="shared" si="28"/>
        <v>136.36151781000004</v>
      </c>
      <c r="DJ14" s="1">
        <f t="shared" si="29"/>
        <v>2.9625329300000001</v>
      </c>
      <c r="DK14" s="1">
        <f t="shared" si="29"/>
        <v>3.9316081499999997</v>
      </c>
      <c r="DL14" s="1">
        <f t="shared" si="29"/>
        <v>3.2827755199999999</v>
      </c>
      <c r="DM14" s="1">
        <f t="shared" si="29"/>
        <v>2.0152277500000002</v>
      </c>
      <c r="DN14" s="1">
        <f t="shared" si="29"/>
        <v>2.6208630999999998</v>
      </c>
      <c r="DO14" s="1">
        <f t="shared" si="29"/>
        <v>2.2584035399999993</v>
      </c>
      <c r="DP14" s="1">
        <f t="shared" si="29"/>
        <v>2.0159010200000003</v>
      </c>
      <c r="DQ14" s="1">
        <f t="shared" si="29"/>
        <v>2.4748885299999999</v>
      </c>
      <c r="DR14" s="1">
        <f t="shared" si="29"/>
        <v>1.7114282299999999</v>
      </c>
      <c r="DS14" s="1">
        <f t="shared" si="29"/>
        <v>1.7294343599999999</v>
      </c>
      <c r="DT14" s="1">
        <f t="shared" si="29"/>
        <v>2.2980596799999997</v>
      </c>
      <c r="DU14" s="1">
        <f t="shared" si="29"/>
        <v>2.7814752500000006</v>
      </c>
      <c r="DV14" s="1">
        <f t="shared" si="29"/>
        <v>1.95823569</v>
      </c>
      <c r="DW14" s="1">
        <f t="shared" si="29"/>
        <v>2.3716850700000007</v>
      </c>
      <c r="DX14" s="1">
        <f t="shared" si="29"/>
        <v>3.2200157200000006</v>
      </c>
      <c r="DY14" s="1">
        <f t="shared" si="29"/>
        <v>2.3449699800000001</v>
      </c>
      <c r="DZ14" s="1">
        <f t="shared" si="30"/>
        <v>1.8496573299999999</v>
      </c>
      <c r="EA14" s="1">
        <f t="shared" si="30"/>
        <v>2.6840408</v>
      </c>
      <c r="EB14" s="1">
        <f t="shared" si="30"/>
        <v>2.90139879</v>
      </c>
      <c r="EC14" s="1">
        <f t="shared" si="30"/>
        <v>2.9139955600000005</v>
      </c>
      <c r="ED14" s="1">
        <f t="shared" si="30"/>
        <v>1.6254967600000001</v>
      </c>
      <c r="EE14" s="1">
        <f t="shared" si="30"/>
        <v>2.6289957100000003</v>
      </c>
      <c r="EF14" s="1">
        <f t="shared" si="30"/>
        <v>0.92402921999999987</v>
      </c>
      <c r="EG14" s="1">
        <f t="shared" si="30"/>
        <v>1.0080099199999999</v>
      </c>
      <c r="EI14" s="14">
        <f t="shared" si="40"/>
        <v>192.8</v>
      </c>
      <c r="EJ14" s="14">
        <f t="shared" si="40"/>
        <v>192</v>
      </c>
      <c r="EK14" s="1">
        <f t="shared" si="40"/>
        <v>192.6</v>
      </c>
      <c r="EL14" s="1">
        <f t="shared" si="40"/>
        <v>192.3</v>
      </c>
      <c r="EM14" s="1">
        <f t="shared" si="40"/>
        <v>196.9</v>
      </c>
      <c r="EN14" s="1">
        <f t="shared" si="40"/>
        <v>205</v>
      </c>
      <c r="EO14" s="1">
        <f t="shared" si="40"/>
        <v>198.5</v>
      </c>
      <c r="EP14" s="1">
        <f t="shared" si="40"/>
        <v>200</v>
      </c>
      <c r="EQ14" s="1">
        <f t="shared" si="40"/>
        <v>181.1</v>
      </c>
      <c r="ER14" s="1">
        <f t="shared" si="40"/>
        <v>182.5</v>
      </c>
      <c r="ES14" s="1">
        <f t="shared" si="40"/>
        <v>179.9</v>
      </c>
      <c r="ET14" s="1">
        <f t="shared" si="40"/>
        <v>182.6</v>
      </c>
      <c r="EU14" s="1">
        <f t="shared" si="40"/>
        <v>185.2</v>
      </c>
      <c r="EV14" s="1">
        <f t="shared" si="40"/>
        <v>188.7</v>
      </c>
      <c r="EW14" s="1">
        <f t="shared" si="40"/>
        <v>191.3</v>
      </c>
      <c r="EX14" s="1">
        <f t="shared" si="40"/>
        <v>195.7</v>
      </c>
      <c r="EY14" s="1">
        <f t="shared" si="31"/>
        <v>194.1</v>
      </c>
      <c r="EZ14" s="1">
        <f t="shared" si="31"/>
        <v>191</v>
      </c>
      <c r="FA14" s="1">
        <f t="shared" si="31"/>
        <v>181.1</v>
      </c>
      <c r="FB14" s="1">
        <f t="shared" si="31"/>
        <v>170.3</v>
      </c>
      <c r="FC14" s="1">
        <f t="shared" si="31"/>
        <v>170.9</v>
      </c>
      <c r="FD14" s="1">
        <f t="shared" si="31"/>
        <v>168.7</v>
      </c>
      <c r="FE14" s="1">
        <f t="shared" si="31"/>
        <v>160.6</v>
      </c>
      <c r="FF14" s="1">
        <f t="shared" si="31"/>
        <v>160.6</v>
      </c>
      <c r="FH14" s="162">
        <f t="shared" si="32"/>
        <v>-0.10463837282561572</v>
      </c>
    </row>
    <row r="15" spans="1:164" ht="18.75" customHeight="1">
      <c r="A15" s="244" t="s">
        <v>68</v>
      </c>
      <c r="B15" s="247"/>
      <c r="C15" s="228">
        <v>0</v>
      </c>
      <c r="D15" s="229">
        <v>-1</v>
      </c>
      <c r="E15" s="253">
        <f t="shared" si="6"/>
        <v>2.5496939481523206E-2</v>
      </c>
      <c r="F15" s="254">
        <f t="shared" si="7"/>
        <v>8.9048752463203318E-3</v>
      </c>
      <c r="G15" s="253">
        <f t="shared" si="8"/>
        <v>-0.15293998012263499</v>
      </c>
      <c r="H15" s="254">
        <f t="shared" si="9"/>
        <v>0.1784369196041582</v>
      </c>
      <c r="I15" s="253">
        <f t="shared" si="10"/>
        <v>1.3991507430997876</v>
      </c>
      <c r="J15" s="254">
        <f t="shared" si="11"/>
        <v>1.0637326079564209</v>
      </c>
      <c r="K15" s="253">
        <f t="shared" si="12"/>
        <v>0.22383304255772307</v>
      </c>
      <c r="L15" s="254">
        <f t="shared" si="13"/>
        <v>1.1753177005420645</v>
      </c>
      <c r="M15" s="255"/>
      <c r="N15" s="256">
        <v>0</v>
      </c>
      <c r="O15" s="253">
        <f t="shared" si="33"/>
        <v>0</v>
      </c>
      <c r="P15" s="257">
        <f t="shared" si="34"/>
        <v>0</v>
      </c>
      <c r="Q15" s="253">
        <f t="shared" si="14"/>
        <v>0</v>
      </c>
      <c r="R15" s="257">
        <f t="shared" si="35"/>
        <v>0</v>
      </c>
      <c r="S15" s="255"/>
      <c r="T15" s="256">
        <v>-1</v>
      </c>
      <c r="U15" s="253"/>
      <c r="V15" s="258">
        <f t="shared" si="16"/>
        <v>0</v>
      </c>
      <c r="W15" s="253">
        <f t="shared" si="36"/>
        <v>2.1008985026031439</v>
      </c>
      <c r="X15" s="258">
        <f t="shared" si="17"/>
        <v>2.1008985026031439</v>
      </c>
      <c r="Y15" s="253">
        <f t="shared" si="37"/>
        <v>0</v>
      </c>
      <c r="Z15" s="258">
        <f t="shared" si="18"/>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VLOOKUP($A15,historia!$A$5:$DD$24,+HLOOKUP(AP$2,historia!$A$3:$EC$4,2,FALSE),FALSE)</f>
        <v>3</v>
      </c>
      <c r="AQ15" s="28">
        <f>VLOOKUP($A15,historia!$A$5:$DD$24,+HLOOKUP(AQ$2,historia!$A$3:$EC$4,2,FALSE),FALSE)</f>
        <v>3</v>
      </c>
      <c r="AR15" s="28">
        <f>VLOOKUP($A15,historia!$A$5:$DD$24,+HLOOKUP(AR$2,historia!$A$3:$EC$4,2,FALSE),FALSE)</f>
        <v>3</v>
      </c>
      <c r="AS15" s="28">
        <f>VLOOKUP($A15,historia!$A$5:$DD$24,+HLOOKUP(AS$2,historia!$A$3:$EC$4,2,FALSE),FALSE)</f>
        <v>3</v>
      </c>
      <c r="AT15" s="58">
        <f>VLOOKUP($A15,historia!$A$5:$DD$24,+HLOOKUP(AT$2,historia!$A$3:$EC$4,2,FALSE),FALSE)</f>
        <v>3</v>
      </c>
      <c r="AU15" s="58">
        <f>VLOOKUP($A15,historia!$A$5:$DD$24,+HLOOKUP(AU$2,historia!$A$3:$EC$4,2,FALSE),FALSE)</f>
        <v>4</v>
      </c>
      <c r="AV15" s="58">
        <f>VLOOKUP($A15,historia!$A$5:$DD$24,+HLOOKUP(AV$2,historia!$A$3:$EC$4,2,FALSE),FALSE)</f>
        <v>4</v>
      </c>
      <c r="AW15" s="58">
        <f>VLOOKUP($A15,historia!$A$5:$DD$24,+HLOOKUP(AW$2,historia!$A$3:$EC$4,2,FALSE),FALSE)</f>
        <v>4</v>
      </c>
      <c r="AX15" s="58">
        <f>VLOOKUP($A15,historia!$A$5:$DD$24,+HLOOKUP(AX$2,historia!$A$3:$EC$4,2,FALSE),FALSE)</f>
        <v>4</v>
      </c>
      <c r="AY15" s="58">
        <f>VLOOKUP($A15,historia!$A$5:$DD$24,+HLOOKUP(AY$2,historia!$A$3:$EC$4,2,FALSE),FALSE)</f>
        <v>4</v>
      </c>
      <c r="AZ15" s="58">
        <f>VLOOKUP($A15,historia!$A$5:$DD$24,+HLOOKUP(AZ$2,historia!$A$3:$EC$4,2,FALSE),FALSE)</f>
        <v>4</v>
      </c>
      <c r="BA15" s="58">
        <f>VLOOKUP($A15,historia!$A$5:$DG$24,+HLOOKUP(BA$2,historia!$A$3:$EC$4,2,FALSE),FALSE)</f>
        <v>4</v>
      </c>
      <c r="BB15" s="58"/>
      <c r="BC15" s="286">
        <v>4</v>
      </c>
      <c r="BD15" t="str">
        <f t="shared" si="19"/>
        <v>Mandioca</v>
      </c>
      <c r="BE15">
        <f>+datos!AW1</f>
        <v>49</v>
      </c>
      <c r="BF15" s="2" t="str">
        <f t="shared" si="4"/>
        <v>$/bolsa40kg</v>
      </c>
      <c r="BG15" s="2">
        <f t="shared" si="4"/>
        <v>28250</v>
      </c>
      <c r="BH15" s="2">
        <f t="shared" si="4"/>
        <v>27547.62</v>
      </c>
      <c r="BI15" s="2">
        <f t="shared" si="4"/>
        <v>11775</v>
      </c>
      <c r="BK15" s="1">
        <f>+datos!EY1</f>
        <v>155</v>
      </c>
      <c r="BL15" s="1">
        <f t="shared" si="20"/>
        <v>20031</v>
      </c>
      <c r="BM15" s="1">
        <f t="shared" si="20"/>
        <v>20031</v>
      </c>
      <c r="BO15" s="1">
        <f>+datos!GO1</f>
        <v>197</v>
      </c>
      <c r="BP15" s="1">
        <f t="shared" si="21"/>
        <v>201734</v>
      </c>
      <c r="BQ15" s="1">
        <f t="shared" si="21"/>
        <v>201734</v>
      </c>
      <c r="BS15" s="1">
        <f>+datos!JP1</f>
        <v>276</v>
      </c>
      <c r="BT15" s="1">
        <f t="shared" si="38"/>
        <v>2.5000000000000001E-3</v>
      </c>
      <c r="BU15" s="1">
        <f t="shared" si="39"/>
        <v>0</v>
      </c>
      <c r="BW15" s="1">
        <f>+datos!KU1</f>
        <v>307</v>
      </c>
      <c r="BX15" s="2">
        <f t="shared" si="22"/>
        <v>8.808935159999999</v>
      </c>
      <c r="BY15" s="2">
        <f t="shared" si="23"/>
        <v>2.84076862</v>
      </c>
      <c r="CA15" s="1">
        <f>+datos!IY1</f>
        <v>259</v>
      </c>
      <c r="CB15" s="1">
        <f t="shared" si="24"/>
        <v>1.88</v>
      </c>
      <c r="CC15" s="1">
        <f t="shared" si="25"/>
        <v>1.88</v>
      </c>
      <c r="CD15" s="1"/>
      <c r="CE15">
        <f>+datos!CJ1</f>
        <v>88</v>
      </c>
      <c r="CF15" s="2">
        <f t="shared" si="26"/>
        <v>12706.503867988295</v>
      </c>
      <c r="CG15" s="2">
        <f t="shared" si="26"/>
        <v>15000.712546707029</v>
      </c>
      <c r="CH15" s="2">
        <f t="shared" si="26"/>
        <v>10382.546823080225</v>
      </c>
      <c r="CI15" s="1"/>
      <c r="CK15" s="1">
        <f t="shared" si="27"/>
        <v>0</v>
      </c>
      <c r="CL15" s="1">
        <f t="shared" si="27"/>
        <v>0</v>
      </c>
      <c r="CM15" s="1">
        <f t="shared" si="27"/>
        <v>0</v>
      </c>
      <c r="CN15" s="1">
        <f t="shared" si="27"/>
        <v>0</v>
      </c>
      <c r="CO15" s="1">
        <f t="shared" si="27"/>
        <v>0</v>
      </c>
      <c r="CP15" s="1">
        <f t="shared" si="27"/>
        <v>0</v>
      </c>
      <c r="CQ15" s="1">
        <f t="shared" si="27"/>
        <v>0</v>
      </c>
      <c r="CR15" s="1">
        <f t="shared" si="27"/>
        <v>0</v>
      </c>
      <c r="CS15" s="1">
        <f t="shared" si="27"/>
        <v>2.5000000000000001E-3</v>
      </c>
      <c r="CT15" s="1">
        <f t="shared" si="27"/>
        <v>0</v>
      </c>
      <c r="CU15" s="1">
        <f t="shared" si="27"/>
        <v>0</v>
      </c>
      <c r="CV15" s="1">
        <f t="shared" si="27"/>
        <v>0</v>
      </c>
      <c r="CW15" s="1">
        <f t="shared" si="27"/>
        <v>0</v>
      </c>
      <c r="CX15" s="1">
        <f t="shared" si="27"/>
        <v>0</v>
      </c>
      <c r="CY15" s="1">
        <f t="shared" si="27"/>
        <v>0</v>
      </c>
      <c r="CZ15" s="1">
        <f t="shared" si="27"/>
        <v>0</v>
      </c>
      <c r="DA15" s="1">
        <f t="shared" si="28"/>
        <v>0</v>
      </c>
      <c r="DB15" s="1">
        <f t="shared" si="28"/>
        <v>0</v>
      </c>
      <c r="DC15" s="1">
        <f t="shared" si="28"/>
        <v>0</v>
      </c>
      <c r="DD15" s="1">
        <f t="shared" si="28"/>
        <v>0</v>
      </c>
      <c r="DE15" s="1">
        <f t="shared" si="28"/>
        <v>0</v>
      </c>
      <c r="DF15" s="1">
        <f t="shared" si="28"/>
        <v>0</v>
      </c>
      <c r="DG15" s="1">
        <f t="shared" si="28"/>
        <v>0</v>
      </c>
      <c r="DH15" s="1">
        <f t="shared" si="28"/>
        <v>0</v>
      </c>
      <c r="DJ15" s="14">
        <f t="shared" si="29"/>
        <v>1.0196615200000001</v>
      </c>
      <c r="DK15" s="14">
        <f t="shared" si="29"/>
        <v>1.0802067900000001</v>
      </c>
      <c r="DL15" s="1">
        <f t="shared" si="29"/>
        <v>1.4539633799999998</v>
      </c>
      <c r="DM15" s="1">
        <f t="shared" si="29"/>
        <v>1.0932718399999999</v>
      </c>
      <c r="DN15" s="1">
        <f t="shared" si="29"/>
        <v>0.95051858999999994</v>
      </c>
      <c r="DO15" s="1">
        <f t="shared" si="29"/>
        <v>0.85632428999999999</v>
      </c>
      <c r="DP15" s="1">
        <f t="shared" si="29"/>
        <v>0.36896875000000001</v>
      </c>
      <c r="DQ15" s="1">
        <f t="shared" si="29"/>
        <v>0.35343590000000003</v>
      </c>
      <c r="DR15" s="1">
        <f t="shared" si="29"/>
        <v>0.46571231000000002</v>
      </c>
      <c r="DS15" s="1">
        <f t="shared" si="29"/>
        <v>0.27804433999999995</v>
      </c>
      <c r="DT15" s="1">
        <f t="shared" si="29"/>
        <v>0.43603392000000002</v>
      </c>
      <c r="DU15" s="1">
        <f t="shared" si="29"/>
        <v>0.45279353000000006</v>
      </c>
      <c r="DV15" s="1">
        <f t="shared" si="29"/>
        <v>0.30456642</v>
      </c>
      <c r="DW15" s="1">
        <f t="shared" si="29"/>
        <v>0.53543670999999993</v>
      </c>
      <c r="DX15" s="1">
        <f t="shared" si="29"/>
        <v>0.43177300000000002</v>
      </c>
      <c r="DY15" s="1">
        <f t="shared" si="29"/>
        <v>0.33740116000000003</v>
      </c>
      <c r="DZ15" s="1">
        <f t="shared" si="30"/>
        <v>0.28762799999999999</v>
      </c>
      <c r="EA15" s="1">
        <f t="shared" si="30"/>
        <v>0.10344400999999999</v>
      </c>
      <c r="EB15" s="1">
        <f t="shared" si="30"/>
        <v>4.4833160000000004E-2</v>
      </c>
      <c r="EC15" s="1">
        <f t="shared" si="30"/>
        <v>0.14172798</v>
      </c>
      <c r="ED15" s="1">
        <f t="shared" si="30"/>
        <v>7.4560410000000008E-2</v>
      </c>
      <c r="EE15" s="1">
        <f t="shared" si="30"/>
        <v>0.28059129999999999</v>
      </c>
      <c r="EF15" s="1">
        <f t="shared" si="30"/>
        <v>0.15169276000000001</v>
      </c>
      <c r="EG15" s="1">
        <f t="shared" si="30"/>
        <v>0.14711371000000001</v>
      </c>
      <c r="EI15" s="14">
        <f t="shared" si="40"/>
        <v>1.88</v>
      </c>
      <c r="EJ15" s="14">
        <f t="shared" si="40"/>
        <v>1.88</v>
      </c>
      <c r="EK15" s="1">
        <f t="shared" si="40"/>
        <v>1.88</v>
      </c>
      <c r="EL15" s="1">
        <f t="shared" si="40"/>
        <v>1.88</v>
      </c>
      <c r="EM15" s="1">
        <f t="shared" si="40"/>
        <v>1.88</v>
      </c>
      <c r="EN15" s="1">
        <f t="shared" si="40"/>
        <v>1.88</v>
      </c>
      <c r="EO15" s="1">
        <f t="shared" si="40"/>
        <v>1.88</v>
      </c>
      <c r="EP15" s="1">
        <f t="shared" si="40"/>
        <v>1.88</v>
      </c>
      <c r="EQ15" s="1">
        <f t="shared" si="40"/>
        <v>1.88</v>
      </c>
      <c r="ER15" s="1">
        <f t="shared" si="40"/>
        <v>1.88</v>
      </c>
      <c r="ES15" s="1">
        <f t="shared" si="40"/>
        <v>1.88</v>
      </c>
      <c r="ET15" s="1">
        <f t="shared" si="40"/>
        <v>1.88</v>
      </c>
      <c r="EU15" s="1">
        <f t="shared" si="40"/>
        <v>1.88</v>
      </c>
      <c r="EV15" s="1">
        <f t="shared" si="40"/>
        <v>1.88</v>
      </c>
      <c r="EW15" s="1">
        <f t="shared" si="40"/>
        <v>1.88</v>
      </c>
      <c r="EX15" s="1">
        <f t="shared" si="40"/>
        <v>1.88</v>
      </c>
      <c r="EY15" s="1">
        <f t="shared" si="31"/>
        <v>1.88</v>
      </c>
      <c r="EZ15" s="1">
        <f t="shared" si="31"/>
        <v>1.88</v>
      </c>
      <c r="FA15" s="1">
        <f t="shared" si="31"/>
        <v>1.88</v>
      </c>
      <c r="FB15" s="1">
        <f t="shared" si="31"/>
        <v>1.88</v>
      </c>
      <c r="FC15" s="1">
        <f t="shared" si="31"/>
        <v>1.88</v>
      </c>
      <c r="FD15" s="1">
        <f t="shared" si="31"/>
        <v>1.88</v>
      </c>
      <c r="FE15" s="1">
        <f t="shared" si="31"/>
        <v>1.88</v>
      </c>
      <c r="FF15" s="1">
        <f t="shared" si="31"/>
        <v>1.88</v>
      </c>
      <c r="FH15" s="162">
        <f t="shared" si="32"/>
        <v>1.1753177005420645</v>
      </c>
    </row>
    <row r="16" spans="1:164" ht="18" customHeight="1">
      <c r="A16" s="243" t="s">
        <v>25</v>
      </c>
      <c r="B16" s="246"/>
      <c r="C16" s="156">
        <f t="shared" si="5"/>
        <v>-0.66</v>
      </c>
      <c r="D16" s="198">
        <v>-1</v>
      </c>
      <c r="E16" s="248">
        <f t="shared" si="6"/>
        <v>8.7149006567379672E-3</v>
      </c>
      <c r="F16" s="249">
        <f t="shared" si="7"/>
        <v>-7.8771635784649074E-3</v>
      </c>
      <c r="G16" s="248">
        <f t="shared" si="8"/>
        <v>-2.4260262301779578E-3</v>
      </c>
      <c r="H16" s="249">
        <f t="shared" si="9"/>
        <v>1.1140926886915925E-2</v>
      </c>
      <c r="I16" s="248">
        <f t="shared" si="10"/>
        <v>0.33007680544740592</v>
      </c>
      <c r="J16" s="249">
        <f t="shared" si="11"/>
        <v>-5.3413296959607948E-3</v>
      </c>
      <c r="K16" s="248">
        <f t="shared" si="12"/>
        <v>0.33931461290307441</v>
      </c>
      <c r="L16" s="249">
        <f t="shared" si="13"/>
        <v>-9.2378074556684897E-3</v>
      </c>
      <c r="M16" s="250"/>
      <c r="N16" s="24">
        <v>1</v>
      </c>
      <c r="O16" s="248">
        <f t="shared" si="33"/>
        <v>-0.25349653703739228</v>
      </c>
      <c r="P16" s="251">
        <f t="shared" si="34"/>
        <v>-0.25349653703739228</v>
      </c>
      <c r="Q16" s="248">
        <f t="shared" si="14"/>
        <v>-0.30770115627890626</v>
      </c>
      <c r="R16" s="251">
        <f t="shared" si="35"/>
        <v>-0.30770115627890626</v>
      </c>
      <c r="S16" s="250"/>
      <c r="T16" s="24">
        <v>-2</v>
      </c>
      <c r="U16" s="248">
        <f t="shared" si="15"/>
        <v>-5.6860594321809121E-2</v>
      </c>
      <c r="V16" s="252">
        <f t="shared" si="16"/>
        <v>-5.6860594321809121E-2</v>
      </c>
      <c r="W16" s="248">
        <f>IFERROR(+BX16/BY16-1,"")</f>
        <v>-0.53560929112623978</v>
      </c>
      <c r="X16" s="258">
        <f t="shared" si="17"/>
        <v>-0.53560929112623978</v>
      </c>
      <c r="Y16" s="248">
        <f t="shared" si="37"/>
        <v>-4.8648648648648596E-2</v>
      </c>
      <c r="Z16" s="252">
        <f t="shared" si="18"/>
        <v>-4.8648648648648596E-2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VLOOKUP($A16,historia!$A$5:$DD$24,+HLOOKUP(AP$2,historia!$A$3:$EC$4,2,FALSE),FALSE)</f>
        <v>3</v>
      </c>
      <c r="AQ16" s="28">
        <f>VLOOKUP($A16,historia!$A$5:$DD$24,+HLOOKUP(AQ$2,historia!$A$3:$EC$4,2,FALSE),FALSE)</f>
        <v>3</v>
      </c>
      <c r="AR16" s="28">
        <f>VLOOKUP($A16,historia!$A$5:$DD$24,+HLOOKUP(AR$2,historia!$A$3:$EC$4,2,FALSE),FALSE)</f>
        <v>3</v>
      </c>
      <c r="AS16" s="28">
        <f>VLOOKUP($A16,historia!$A$5:$DD$24,+HLOOKUP(AS$2,historia!$A$3:$EC$4,2,FALSE),FALSE)</f>
        <v>3</v>
      </c>
      <c r="AT16" s="58">
        <f>VLOOKUP($A16,historia!$A$5:$DD$24,+HLOOKUP(AT$2,historia!$A$3:$EC$4,2,FALSE),FALSE)</f>
        <v>4</v>
      </c>
      <c r="AU16" s="58">
        <f>VLOOKUP($A16,historia!$A$5:$DD$24,+HLOOKUP(AU$2,historia!$A$3:$EC$4,2,FALSE),FALSE)</f>
        <v>4</v>
      </c>
      <c r="AV16" s="58">
        <f>VLOOKUP($A16,historia!$A$5:$DD$24,+HLOOKUP(AV$2,historia!$A$3:$EC$4,2,FALSE),FALSE)</f>
        <v>4</v>
      </c>
      <c r="AW16" s="58">
        <f>VLOOKUP($A16,historia!$A$5:$DD$24,+HLOOKUP(AW$2,historia!$A$3:$EC$4,2,FALSE),FALSE)</f>
        <v>4</v>
      </c>
      <c r="AX16" s="58">
        <f>VLOOKUP($A16,historia!$A$5:$DD$24,+HLOOKUP(AX$2,historia!$A$3:$EC$4,2,FALSE),FALSE)</f>
        <v>4</v>
      </c>
      <c r="AY16" s="58">
        <f>VLOOKUP($A16,historia!$A$5:$DD$24,+HLOOKUP(AY$2,historia!$A$3:$EC$4,2,FALSE),FALSE)</f>
        <v>3</v>
      </c>
      <c r="AZ16" s="58">
        <f>VLOOKUP($A16,historia!$A$5:$DD$24,+HLOOKUP(AZ$2,historia!$A$3:$EC$4,2,FALSE),FALSE)</f>
        <v>4</v>
      </c>
      <c r="BA16" s="58">
        <f>VLOOKUP($A16,historia!$A$5:$DG$24,+HLOOKUP(BA$2,historia!$A$3:$EC$4,2,FALSE),FALSE)</f>
        <v>4</v>
      </c>
      <c r="BB16" s="58"/>
      <c r="BC16" s="286">
        <v>4</v>
      </c>
      <c r="BD16" t="str">
        <f t="shared" si="19"/>
        <v>Maní</v>
      </c>
      <c r="BE16">
        <f>+datos!AF1</f>
        <v>32</v>
      </c>
      <c r="BF16" s="2" t="str">
        <f t="shared" si="4"/>
        <v>$/t</v>
      </c>
      <c r="BG16" s="2">
        <f t="shared" si="4"/>
        <v>995975.36560000002</v>
      </c>
      <c r="BH16" s="2">
        <f t="shared" si="4"/>
        <v>987370.52952380932</v>
      </c>
      <c r="BI16" s="2">
        <f t="shared" si="4"/>
        <v>748810.41570000001</v>
      </c>
      <c r="BK16" s="1">
        <f>+datos!EB1</f>
        <v>132</v>
      </c>
      <c r="BL16" s="1">
        <f t="shared" si="20"/>
        <v>389100</v>
      </c>
      <c r="BM16" s="1">
        <f t="shared" si="20"/>
        <v>521230</v>
      </c>
      <c r="BO16" s="1">
        <f>+datos!FW1</f>
        <v>179</v>
      </c>
      <c r="BP16" s="1">
        <f t="shared" si="21"/>
        <v>1311997</v>
      </c>
      <c r="BQ16" s="1">
        <f t="shared" si="21"/>
        <v>1895131</v>
      </c>
      <c r="BS16" s="1">
        <f>+datos!JK1</f>
        <v>271</v>
      </c>
      <c r="BT16" s="1">
        <f t="shared" si="38"/>
        <v>1375.1930645399998</v>
      </c>
      <c r="BU16" s="1">
        <f t="shared" si="39"/>
        <v>1458.10158738</v>
      </c>
      <c r="BW16" s="1">
        <f>+datos!KP1</f>
        <v>302</v>
      </c>
      <c r="BX16" s="2">
        <f t="shared" si="22"/>
        <v>0.88863530999999996</v>
      </c>
      <c r="BY16" s="2">
        <f t="shared" si="23"/>
        <v>1.9135510099999999</v>
      </c>
      <c r="CA16" s="1">
        <f>+datos!IJ1</f>
        <v>244</v>
      </c>
      <c r="CB16" s="2">
        <f t="shared" si="24"/>
        <v>2.2725958002429612</v>
      </c>
      <c r="CC16" s="2">
        <f t="shared" si="25"/>
        <v>2.3888080854826579</v>
      </c>
      <c r="CD16" s="1"/>
      <c r="CE16">
        <f>+datos!CH1</f>
        <v>86</v>
      </c>
      <c r="CF16" s="2">
        <f t="shared" si="26"/>
        <v>15159.74566744571</v>
      </c>
      <c r="CG16" s="2">
        <f t="shared" si="26"/>
        <v>15196.613049313208</v>
      </c>
      <c r="CH16" s="2">
        <f t="shared" si="26"/>
        <v>11319.032527081681</v>
      </c>
      <c r="CI16" s="1"/>
      <c r="CK16" s="1">
        <f t="shared" si="27"/>
        <v>122.15809098999999</v>
      </c>
      <c r="CL16" s="1">
        <f t="shared" si="27"/>
        <v>93.723499819999986</v>
      </c>
      <c r="CM16" s="1">
        <f t="shared" si="27"/>
        <v>103.15800954999999</v>
      </c>
      <c r="CN16" s="1">
        <f t="shared" si="27"/>
        <v>126.60490711</v>
      </c>
      <c r="CO16" s="1">
        <f t="shared" si="27"/>
        <v>100.29180120999997</v>
      </c>
      <c r="CP16" s="1">
        <f t="shared" si="27"/>
        <v>125.25923582999999</v>
      </c>
      <c r="CQ16" s="1">
        <f t="shared" si="27"/>
        <v>89.696667719999979</v>
      </c>
      <c r="CR16" s="1">
        <f t="shared" si="27"/>
        <v>106.44432842999998</v>
      </c>
      <c r="CS16" s="1">
        <f t="shared" si="27"/>
        <v>109.63040427999998</v>
      </c>
      <c r="CT16" s="1">
        <f t="shared" si="27"/>
        <v>107.51173679000001</v>
      </c>
      <c r="CU16" s="1">
        <f t="shared" si="27"/>
        <v>153.65977728999999</v>
      </c>
      <c r="CV16" s="1">
        <f t="shared" si="27"/>
        <v>137.05460552</v>
      </c>
      <c r="CW16" s="1">
        <f t="shared" si="27"/>
        <v>119.79773589000003</v>
      </c>
      <c r="CX16" s="1">
        <f t="shared" si="27"/>
        <v>108.38462631999997</v>
      </c>
      <c r="CY16" s="1">
        <f t="shared" si="27"/>
        <v>110.53778464999999</v>
      </c>
      <c r="CZ16" s="1">
        <f t="shared" si="27"/>
        <v>97.139552130000013</v>
      </c>
      <c r="DA16" s="1">
        <f t="shared" si="28"/>
        <v>94.262180470000018</v>
      </c>
      <c r="DB16" s="1">
        <f t="shared" si="28"/>
        <v>104.16408064999997</v>
      </c>
      <c r="DC16" s="1">
        <f t="shared" si="28"/>
        <v>129.66034791999999</v>
      </c>
      <c r="DD16" s="1">
        <f t="shared" si="28"/>
        <v>100.29183523999998</v>
      </c>
      <c r="DE16" s="1">
        <f t="shared" si="28"/>
        <v>142.99991008000001</v>
      </c>
      <c r="DF16" s="1">
        <f t="shared" si="28"/>
        <v>153.43391492999999</v>
      </c>
      <c r="DG16" s="1">
        <f t="shared" si="28"/>
        <v>142.09253510999997</v>
      </c>
      <c r="DH16" s="1">
        <f t="shared" si="28"/>
        <v>155.33708399000002</v>
      </c>
      <c r="DJ16" s="1">
        <f t="shared" si="29"/>
        <v>2.8901699999999999E-2</v>
      </c>
      <c r="DK16" s="1">
        <f t="shared" si="29"/>
        <v>0.37488668999999997</v>
      </c>
      <c r="DL16" s="1">
        <f t="shared" si="29"/>
        <v>3.7511610000000001E-2</v>
      </c>
      <c r="DM16" s="1">
        <f t="shared" si="29"/>
        <v>2.3628E-3</v>
      </c>
      <c r="DN16" s="1">
        <f t="shared" si="29"/>
        <v>1.1297919999999999E-2</v>
      </c>
      <c r="DO16" s="1">
        <f t="shared" si="29"/>
        <v>7.5985750000000005E-2</v>
      </c>
      <c r="DP16" s="1">
        <f t="shared" si="29"/>
        <v>3.3E-4</v>
      </c>
      <c r="DQ16" s="1">
        <f t="shared" si="29"/>
        <v>3.5242930000000006E-2</v>
      </c>
      <c r="DR16" s="1">
        <f t="shared" si="29"/>
        <v>4.2275489999999999E-2</v>
      </c>
      <c r="DS16" s="1">
        <f t="shared" si="29"/>
        <v>2.1048300000000002E-3</v>
      </c>
      <c r="DT16" s="1">
        <f t="shared" si="29"/>
        <v>9.9999999999999995E-7</v>
      </c>
      <c r="DU16" s="1">
        <f t="shared" si="29"/>
        <v>0.27773459</v>
      </c>
      <c r="DV16" s="1">
        <f t="shared" si="29"/>
        <v>0.19844290000000001</v>
      </c>
      <c r="DW16" s="1">
        <f t="shared" si="29"/>
        <v>0.14424532000000001</v>
      </c>
      <c r="DX16" s="1">
        <f t="shared" si="29"/>
        <v>5.4312239999999998E-2</v>
      </c>
      <c r="DY16" s="1">
        <f t="shared" si="29"/>
        <v>1.9420499999999999E-3</v>
      </c>
      <c r="DZ16" s="1">
        <f t="shared" si="30"/>
        <v>1.0560452</v>
      </c>
      <c r="EA16" s="1">
        <f t="shared" si="30"/>
        <v>3.8992409999999998E-2</v>
      </c>
      <c r="EB16" s="1">
        <f t="shared" si="30"/>
        <v>0</v>
      </c>
      <c r="EC16" s="1">
        <f t="shared" si="30"/>
        <v>5.2225250000000001E-2</v>
      </c>
      <c r="ED16" s="1">
        <f t="shared" si="30"/>
        <v>0.22862400000000002</v>
      </c>
      <c r="EE16" s="1">
        <f t="shared" si="30"/>
        <v>2.6527899999999999E-3</v>
      </c>
      <c r="EF16" s="1">
        <f t="shared" si="30"/>
        <v>1.6271E-3</v>
      </c>
      <c r="EG16" s="1">
        <f t="shared" si="30"/>
        <v>0.13444175</v>
      </c>
      <c r="EI16" s="14">
        <f t="shared" si="40"/>
        <v>2.2725958002429612</v>
      </c>
      <c r="EJ16" s="14">
        <f t="shared" si="40"/>
        <v>2.2719760013883494</v>
      </c>
      <c r="EK16" s="1">
        <f t="shared" si="40"/>
        <v>2.2719760013883494</v>
      </c>
      <c r="EL16" s="1">
        <f t="shared" si="40"/>
        <v>2.2719760013883494</v>
      </c>
      <c r="EM16" s="1">
        <f t="shared" si="40"/>
        <v>2.2719760013883494</v>
      </c>
      <c r="EN16" s="1">
        <f t="shared" si="40"/>
        <v>2.2719760013883494</v>
      </c>
      <c r="EO16" s="1">
        <f t="shared" si="40"/>
        <v>2.2719760013883494</v>
      </c>
      <c r="EP16" s="1">
        <f t="shared" si="40"/>
        <v>2.4791954184468667</v>
      </c>
      <c r="EQ16" s="1">
        <f t="shared" si="40"/>
        <v>2.4791954184468667</v>
      </c>
      <c r="ER16" s="1">
        <f t="shared" si="40"/>
        <v>2.4791954184468667</v>
      </c>
      <c r="ES16" s="1">
        <f t="shared" si="40"/>
        <v>2.4791954184468667</v>
      </c>
      <c r="ET16" s="1">
        <f t="shared" si="40"/>
        <v>2.3888080854826579</v>
      </c>
      <c r="EU16" s="1">
        <f t="shared" si="40"/>
        <v>2.3888080854826579</v>
      </c>
      <c r="EV16" s="1">
        <f t="shared" si="40"/>
        <v>2.3888080854826579</v>
      </c>
      <c r="EW16" s="1">
        <f t="shared" si="40"/>
        <v>2.3888080854826579</v>
      </c>
      <c r="EX16" s="1">
        <f t="shared" si="40"/>
        <v>2.3888080854826579</v>
      </c>
      <c r="EY16" s="1">
        <f t="shared" si="31"/>
        <v>2.3888080854826579</v>
      </c>
      <c r="EZ16" s="1">
        <f t="shared" si="31"/>
        <v>2.1563835150032644</v>
      </c>
      <c r="FA16" s="1">
        <f t="shared" si="31"/>
        <v>2.1563835150032644</v>
      </c>
      <c r="FB16" s="1">
        <f t="shared" si="31"/>
        <v>2.1563835150032644</v>
      </c>
      <c r="FC16" s="1">
        <f t="shared" si="31"/>
        <v>2.1563835150032644</v>
      </c>
      <c r="FD16" s="1">
        <f t="shared" si="31"/>
        <v>2.1563835150032644</v>
      </c>
      <c r="FE16" s="1">
        <f t="shared" si="31"/>
        <v>2.1563835150032644</v>
      </c>
      <c r="FF16" s="1">
        <f t="shared" si="31"/>
        <v>2.1563835150032644</v>
      </c>
      <c r="FH16" s="162">
        <f t="shared" si="32"/>
        <v>-9.2378074556684897E-3</v>
      </c>
    </row>
    <row r="17" spans="1:164" ht="18.75" customHeight="1">
      <c r="A17" s="244" t="s">
        <v>76</v>
      </c>
      <c r="B17" s="247"/>
      <c r="C17" s="228">
        <f t="shared" si="5"/>
        <v>-0.99</v>
      </c>
      <c r="D17" s="229">
        <v>-1</v>
      </c>
      <c r="E17" s="253">
        <f t="shared" si="6"/>
        <v>8.3491461100569264E-2</v>
      </c>
      <c r="F17" s="254">
        <f t="shared" si="7"/>
        <v>6.689939686536639E-2</v>
      </c>
      <c r="G17" s="253">
        <f t="shared" si="8"/>
        <v>7.6513579021135758E-3</v>
      </c>
      <c r="H17" s="254">
        <f t="shared" si="9"/>
        <v>7.5840103198455688E-2</v>
      </c>
      <c r="I17" s="253">
        <f t="shared" si="10"/>
        <v>0.76143958868894601</v>
      </c>
      <c r="J17" s="254">
        <f t="shared" si="11"/>
        <v>0.4260214535455793</v>
      </c>
      <c r="K17" s="253">
        <f t="shared" si="12"/>
        <v>0.36592597568539054</v>
      </c>
      <c r="L17" s="254">
        <f t="shared" si="13"/>
        <v>0.39551361300355548</v>
      </c>
      <c r="M17" s="255"/>
      <c r="N17" s="256">
        <v>-1</v>
      </c>
      <c r="O17" s="253">
        <f>IFERROR(+BL17/BM17-1,"")</f>
        <v>0</v>
      </c>
      <c r="P17" s="257">
        <f t="shared" si="34"/>
        <v>0</v>
      </c>
      <c r="Q17" s="253">
        <f t="shared" si="14"/>
        <v>0</v>
      </c>
      <c r="R17" s="257">
        <f t="shared" si="35"/>
        <v>0</v>
      </c>
      <c r="S17" s="255"/>
      <c r="T17" s="256">
        <v>-1</v>
      </c>
      <c r="U17" s="253">
        <f t="shared" si="15"/>
        <v>0.38621877550820849</v>
      </c>
      <c r="V17" s="258">
        <f t="shared" si="16"/>
        <v>0.38621877550820849</v>
      </c>
      <c r="W17" s="248">
        <f>IFERROR(+BX17/BY17-1,"")</f>
        <v>-0.79762897923039444</v>
      </c>
      <c r="X17" s="258">
        <f t="shared" si="17"/>
        <v>-0.79762897923039444</v>
      </c>
      <c r="Y17" s="253">
        <f t="shared" si="37"/>
        <v>0</v>
      </c>
      <c r="Z17" s="258">
        <f t="shared" si="18"/>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VLOOKUP($A17,historia!$A$5:$DD$24,+HLOOKUP(AP$2,historia!$A$3:$EC$4,2,FALSE),FALSE)</f>
        <v>3</v>
      </c>
      <c r="AQ17" s="28">
        <f>VLOOKUP($A17,historia!$A$5:$DD$24,+HLOOKUP(AQ$2,historia!$A$3:$EC$4,2,FALSE),FALSE)</f>
        <v>2</v>
      </c>
      <c r="AR17" s="28">
        <f>VLOOKUP($A17,historia!$A$5:$DD$24,+HLOOKUP(AR$2,historia!$A$3:$EC$4,2,FALSE),FALSE)</f>
        <v>2</v>
      </c>
      <c r="AS17" s="28">
        <f>VLOOKUP($A17,historia!$A$5:$DD$24,+HLOOKUP(AS$2,historia!$A$3:$EC$4,2,FALSE),FALSE)</f>
        <v>2</v>
      </c>
      <c r="AT17" s="58">
        <f>VLOOKUP($A17,historia!$A$5:$DD$24,+HLOOKUP(AT$2,historia!$A$3:$EC$4,2,FALSE),FALSE)</f>
        <v>2</v>
      </c>
      <c r="AU17" s="58">
        <f>VLOOKUP($A17,historia!$A$5:$DD$24,+HLOOKUP(AU$2,historia!$A$3:$EC$4,2,FALSE),FALSE)</f>
        <v>2</v>
      </c>
      <c r="AV17" s="58">
        <f>VLOOKUP($A17,historia!$A$5:$DD$24,+HLOOKUP(AV$2,historia!$A$3:$EC$4,2,FALSE),FALSE)</f>
        <v>2</v>
      </c>
      <c r="AW17" s="58">
        <f>VLOOKUP($A17,historia!$A$5:$DD$24,+HLOOKUP(AW$2,historia!$A$3:$EC$4,2,FALSE),FALSE)</f>
        <v>2</v>
      </c>
      <c r="AX17" s="58">
        <f>VLOOKUP($A17,historia!$A$5:$DD$24,+HLOOKUP(AX$2,historia!$A$3:$EC$4,2,FALSE),FALSE)</f>
        <v>2</v>
      </c>
      <c r="AY17" s="58">
        <f>VLOOKUP($A17,historia!$A$5:$DD$24,+HLOOKUP(AY$2,historia!$A$3:$EC$4,2,FALSE),FALSE)</f>
        <v>2</v>
      </c>
      <c r="AZ17" s="58">
        <f>VLOOKUP($A17,historia!$A$5:$DD$24,+HLOOKUP(AZ$2,historia!$A$3:$EC$4,2,FALSE),FALSE)</f>
        <v>2</v>
      </c>
      <c r="BA17" s="58">
        <f>VLOOKUP($A17,historia!$A$5:$DG$24,+HLOOKUP(BA$2,historia!$A$3:$EC$4,2,FALSE),FALSE)</f>
        <v>2</v>
      </c>
      <c r="BB17" s="58"/>
      <c r="BC17" s="286">
        <v>2</v>
      </c>
      <c r="BD17" t="str">
        <f t="shared" si="19"/>
        <v>Miel</v>
      </c>
      <c r="BE17">
        <f>+datos!BV1</f>
        <v>74</v>
      </c>
      <c r="BF17" s="2" t="str">
        <f t="shared" si="4"/>
        <v>$/kg</v>
      </c>
      <c r="BG17" s="2">
        <f t="shared" si="4"/>
        <v>3426</v>
      </c>
      <c r="BH17" s="2">
        <f t="shared" si="4"/>
        <v>3162</v>
      </c>
      <c r="BI17" s="2">
        <f t="shared" si="4"/>
        <v>1945</v>
      </c>
      <c r="BK17" s="1">
        <f>+datos!EQ1</f>
        <v>147</v>
      </c>
      <c r="BL17" s="1">
        <f t="shared" si="20"/>
        <v>4000000</v>
      </c>
      <c r="BM17" s="1">
        <f t="shared" si="20"/>
        <v>4000000</v>
      </c>
      <c r="BO17" s="1">
        <f>+datos!GP1</f>
        <v>198</v>
      </c>
      <c r="BP17" s="1">
        <f t="shared" si="21"/>
        <v>75000</v>
      </c>
      <c r="BQ17" s="1">
        <f t="shared" si="21"/>
        <v>75000</v>
      </c>
      <c r="BS17" s="1">
        <f>+datos!KE1</f>
        <v>291</v>
      </c>
      <c r="BT17" s="1">
        <f t="shared" si="38"/>
        <v>324.01499639999992</v>
      </c>
      <c r="BU17" s="1">
        <f t="shared" si="39"/>
        <v>233.74015857000003</v>
      </c>
      <c r="BW17" s="1">
        <f>+datos!LJ1</f>
        <v>322</v>
      </c>
      <c r="BX17" s="2">
        <f t="shared" si="22"/>
        <v>9.2349000000000007E-3</v>
      </c>
      <c r="BY17" s="2">
        <f>+SUM(DV17:EG17)</f>
        <v>4.5633509999999995E-2</v>
      </c>
      <c r="CA17" s="1">
        <f>+datos!IZ1</f>
        <v>260</v>
      </c>
      <c r="CB17" s="2">
        <f t="shared" si="24"/>
        <v>0.3</v>
      </c>
      <c r="CC17" s="2">
        <f t="shared" si="25"/>
        <v>0.3</v>
      </c>
      <c r="CD17" s="2"/>
      <c r="CE17">
        <f>+datos!DH1</f>
        <v>112</v>
      </c>
      <c r="CF17" s="2">
        <f t="shared" si="26"/>
        <v>15233.34169325668</v>
      </c>
      <c r="CG17" s="2">
        <f t="shared" si="26"/>
        <v>15117.670981927557</v>
      </c>
      <c r="CH17" s="2">
        <f t="shared" si="26"/>
        <v>11152.391831199298</v>
      </c>
      <c r="CI17" s="2"/>
      <c r="CK17" s="1">
        <f t="shared" si="27"/>
        <v>24.082283140000005</v>
      </c>
      <c r="CL17" s="1">
        <f t="shared" si="27"/>
        <v>27.275616299999996</v>
      </c>
      <c r="CM17" s="1">
        <f t="shared" si="27"/>
        <v>28.449320459999999</v>
      </c>
      <c r="CN17" s="1">
        <f t="shared" si="27"/>
        <v>41.621749510000001</v>
      </c>
      <c r="CO17" s="1">
        <f t="shared" si="27"/>
        <v>42.320391119999996</v>
      </c>
      <c r="CP17" s="1">
        <f t="shared" si="27"/>
        <v>42.687100790000002</v>
      </c>
      <c r="CQ17" s="1">
        <f t="shared" si="27"/>
        <v>22.465511939999999</v>
      </c>
      <c r="CR17" s="1">
        <f t="shared" si="27"/>
        <v>15.491239590000003</v>
      </c>
      <c r="CS17" s="1">
        <f t="shared" si="27"/>
        <v>13.599247020000002</v>
      </c>
      <c r="CT17" s="1">
        <f t="shared" si="27"/>
        <v>18.275047940000004</v>
      </c>
      <c r="CU17" s="1">
        <f t="shared" si="27"/>
        <v>22.033355530000001</v>
      </c>
      <c r="CV17" s="1">
        <f t="shared" si="27"/>
        <v>25.714133060000005</v>
      </c>
      <c r="CW17" s="1">
        <f t="shared" si="27"/>
        <v>20.973477770000002</v>
      </c>
      <c r="CX17" s="1">
        <f t="shared" si="27"/>
        <v>25.565397789999999</v>
      </c>
      <c r="CY17" s="1">
        <f t="shared" si="27"/>
        <v>22.120083830000002</v>
      </c>
      <c r="CZ17" s="1">
        <f t="shared" si="27"/>
        <v>25.223589140000001</v>
      </c>
      <c r="DA17" s="1">
        <f t="shared" si="28"/>
        <v>23.185079629999997</v>
      </c>
      <c r="DB17" s="1">
        <f t="shared" si="28"/>
        <v>18.014525360000007</v>
      </c>
      <c r="DC17" s="1">
        <f t="shared" si="28"/>
        <v>15.906782769999998</v>
      </c>
      <c r="DD17" s="1">
        <f t="shared" si="28"/>
        <v>9.6274282100000015</v>
      </c>
      <c r="DE17" s="1">
        <f t="shared" si="28"/>
        <v>12.184475789999999</v>
      </c>
      <c r="DF17" s="1">
        <f t="shared" si="28"/>
        <v>14.349162859999998</v>
      </c>
      <c r="DG17" s="1">
        <f t="shared" si="28"/>
        <v>24.378519029999993</v>
      </c>
      <c r="DH17" s="1">
        <f t="shared" si="28"/>
        <v>22.211636389999995</v>
      </c>
      <c r="DJ17" s="1">
        <f t="shared" si="29"/>
        <v>0</v>
      </c>
      <c r="DK17" s="1">
        <f t="shared" si="29"/>
        <v>0</v>
      </c>
      <c r="DL17" s="1">
        <f t="shared" si="29"/>
        <v>2.5818E-3</v>
      </c>
      <c r="DM17" s="1">
        <f t="shared" si="29"/>
        <v>0</v>
      </c>
      <c r="DN17" s="1">
        <f t="shared" si="29"/>
        <v>3.6741E-3</v>
      </c>
      <c r="DO17" s="1">
        <f t="shared" si="29"/>
        <v>0</v>
      </c>
      <c r="DP17" s="1">
        <f t="shared" si="29"/>
        <v>0</v>
      </c>
      <c r="DQ17" s="1">
        <f t="shared" si="29"/>
        <v>0</v>
      </c>
      <c r="DR17" s="1">
        <f t="shared" si="29"/>
        <v>2.9789999999999999E-3</v>
      </c>
      <c r="DS17" s="1">
        <f t="shared" si="29"/>
        <v>0</v>
      </c>
      <c r="DT17" s="1">
        <f t="shared" si="29"/>
        <v>0</v>
      </c>
      <c r="DU17" s="1">
        <f t="shared" si="29"/>
        <v>0</v>
      </c>
      <c r="DV17" s="1">
        <f t="shared" si="29"/>
        <v>4.0170669999999999E-2</v>
      </c>
      <c r="DW17" s="1">
        <f t="shared" si="29"/>
        <v>0</v>
      </c>
      <c r="DX17" s="1">
        <f t="shared" si="29"/>
        <v>0</v>
      </c>
      <c r="DY17" s="1">
        <f t="shared" si="29"/>
        <v>1.5264E-3</v>
      </c>
      <c r="DZ17" s="1">
        <f t="shared" si="30"/>
        <v>0</v>
      </c>
      <c r="EA17" s="1">
        <f t="shared" si="30"/>
        <v>0</v>
      </c>
      <c r="EB17" s="1">
        <f t="shared" si="30"/>
        <v>3.5298E-3</v>
      </c>
      <c r="EC17" s="1">
        <f t="shared" si="30"/>
        <v>0</v>
      </c>
      <c r="ED17" s="1">
        <f t="shared" si="30"/>
        <v>0</v>
      </c>
      <c r="EE17" s="1">
        <f t="shared" si="30"/>
        <v>0</v>
      </c>
      <c r="EF17" s="1">
        <f t="shared" si="30"/>
        <v>0</v>
      </c>
      <c r="EG17" s="1">
        <f t="shared" si="30"/>
        <v>4.0664E-4</v>
      </c>
      <c r="EI17" s="14">
        <f t="shared" si="40"/>
        <v>0.3</v>
      </c>
      <c r="EJ17" s="14">
        <f t="shared" si="40"/>
        <v>0.3</v>
      </c>
      <c r="EK17" s="1">
        <f t="shared" si="40"/>
        <v>0.3</v>
      </c>
      <c r="EL17" s="1">
        <f t="shared" si="40"/>
        <v>0.3</v>
      </c>
      <c r="EM17" s="1">
        <f t="shared" si="40"/>
        <v>0.3</v>
      </c>
      <c r="EN17" s="1">
        <f t="shared" si="40"/>
        <v>0.3</v>
      </c>
      <c r="EO17" s="1">
        <f t="shared" si="40"/>
        <v>0.3</v>
      </c>
      <c r="EP17" s="1">
        <f t="shared" si="40"/>
        <v>0.3</v>
      </c>
      <c r="EQ17" s="1">
        <f t="shared" si="40"/>
        <v>0.3</v>
      </c>
      <c r="ER17" s="1">
        <f t="shared" si="40"/>
        <v>0.3</v>
      </c>
      <c r="ES17" s="1">
        <f t="shared" si="40"/>
        <v>0.3</v>
      </c>
      <c r="ET17" s="1">
        <f t="shared" si="40"/>
        <v>0.3</v>
      </c>
      <c r="EU17" s="1">
        <f t="shared" si="40"/>
        <v>0.3</v>
      </c>
      <c r="EV17" s="1">
        <f t="shared" si="40"/>
        <v>0.3</v>
      </c>
      <c r="EW17" s="1">
        <f t="shared" si="40"/>
        <v>0.3</v>
      </c>
      <c r="EX17" s="1">
        <f t="shared" si="40"/>
        <v>0.3</v>
      </c>
      <c r="EY17" s="1">
        <f t="shared" si="31"/>
        <v>0.3</v>
      </c>
      <c r="EZ17" s="1">
        <f t="shared" si="31"/>
        <v>0.3</v>
      </c>
      <c r="FA17" s="1">
        <f t="shared" si="31"/>
        <v>0.3</v>
      </c>
      <c r="FB17" s="1">
        <f t="shared" si="31"/>
        <v>0.3</v>
      </c>
      <c r="FC17" s="1">
        <f t="shared" si="31"/>
        <v>0.3</v>
      </c>
      <c r="FD17" s="1">
        <f t="shared" si="31"/>
        <v>0.3</v>
      </c>
      <c r="FE17" s="1">
        <f t="shared" si="31"/>
        <v>0.3</v>
      </c>
      <c r="FF17" s="1">
        <f t="shared" si="31"/>
        <v>0.3</v>
      </c>
      <c r="FH17" s="162">
        <f t="shared" si="32"/>
        <v>0.39551361300355548</v>
      </c>
    </row>
    <row r="18" spans="1:164" ht="18.75" customHeight="1">
      <c r="A18" s="243" t="s">
        <v>222</v>
      </c>
      <c r="B18" s="246"/>
      <c r="C18" s="156">
        <f t="shared" si="5"/>
        <v>-0.33</v>
      </c>
      <c r="D18" s="198">
        <v>1</v>
      </c>
      <c r="E18" s="248">
        <f t="shared" si="6"/>
        <v>-6.181884317180586E-3</v>
      </c>
      <c r="F18" s="249">
        <f t="shared" si="7"/>
        <v>-2.2773948552383461E-2</v>
      </c>
      <c r="G18" s="248">
        <f t="shared" si="8"/>
        <v>1.0223792030080281E-2</v>
      </c>
      <c r="H18" s="249">
        <f t="shared" si="9"/>
        <v>-1.6405676347260867E-2</v>
      </c>
      <c r="I18" s="253">
        <f t="shared" si="10"/>
        <v>0.35283501667056383</v>
      </c>
      <c r="J18" s="254">
        <f t="shared" si="11"/>
        <v>1.7416881527197114E-2</v>
      </c>
      <c r="K18" s="248">
        <f t="shared" si="12"/>
        <v>0.33393283072684343</v>
      </c>
      <c r="L18" s="249">
        <f t="shared" si="13"/>
        <v>1.8902185943720395E-2</v>
      </c>
      <c r="M18" s="250"/>
      <c r="N18" s="24">
        <v>-1</v>
      </c>
      <c r="O18" s="248">
        <f t="shared" si="33"/>
        <v>-4.0530677056868303E-2</v>
      </c>
      <c r="P18" s="251">
        <f t="shared" si="34"/>
        <v>-4.0530677056868303E-2</v>
      </c>
      <c r="Q18" s="248">
        <f t="shared" si="14"/>
        <v>-5.9592043023137586E-2</v>
      </c>
      <c r="R18" s="251">
        <f t="shared" si="35"/>
        <v>-5.9592043023137586E-2</v>
      </c>
      <c r="S18" s="250"/>
      <c r="T18" s="24">
        <v>-1</v>
      </c>
      <c r="U18" s="248">
        <f t="shared" si="15"/>
        <v>0.5820837131233958</v>
      </c>
      <c r="V18" s="252">
        <f t="shared" si="16"/>
        <v>0.5820837131233958</v>
      </c>
      <c r="W18" s="248">
        <f t="shared" si="36"/>
        <v>-3.7632677947894044E-2</v>
      </c>
      <c r="X18" s="252">
        <f t="shared" si="17"/>
        <v>-3.7632677947894044E-2</v>
      </c>
      <c r="Y18" s="248">
        <f t="shared" si="37"/>
        <v>2.6722925457102642E-2</v>
      </c>
      <c r="Z18" s="252">
        <f t="shared" si="18"/>
        <v>2.6722925457102642E-2</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VLOOKUP($A18,historia!$A$5:$DD$24,+HLOOKUP(AP$2,historia!$A$3:$EC$4,2,FALSE),FALSE)</f>
        <v>2</v>
      </c>
      <c r="AQ18" s="28">
        <f>VLOOKUP($A18,historia!$A$5:$DD$24,+HLOOKUP(AQ$2,historia!$A$3:$EC$4,2,FALSE),FALSE)</f>
        <v>2</v>
      </c>
      <c r="AR18" s="28">
        <f>VLOOKUP($A18,historia!$A$5:$DD$24,+HLOOKUP(AR$2,historia!$A$3:$EC$4,2,FALSE),FALSE)</f>
        <v>2</v>
      </c>
      <c r="AS18" s="28">
        <f>VLOOKUP($A18,historia!$A$5:$DD$24,+HLOOKUP(AS$2,historia!$A$3:$EC$4,2,FALSE),FALSE)</f>
        <v>2</v>
      </c>
      <c r="AT18" s="58">
        <f>VLOOKUP($A18,historia!$A$5:$DD$24,+HLOOKUP(AT$2,historia!$A$3:$EC$4,2,FALSE),FALSE)</f>
        <v>2</v>
      </c>
      <c r="AU18" s="58">
        <f>VLOOKUP($A18,historia!$A$5:$DD$24,+HLOOKUP(AU$2,historia!$A$3:$EC$4,2,FALSE),FALSE)</f>
        <v>2</v>
      </c>
      <c r="AV18" s="58">
        <f>VLOOKUP($A18,historia!$A$5:$DD$24,+HLOOKUP(AV$2,historia!$A$3:$EC$4,2,FALSE),FALSE)</f>
        <v>2</v>
      </c>
      <c r="AW18" s="58">
        <f>VLOOKUP($A18,historia!$A$5:$DD$24,+HLOOKUP(AW$2,historia!$A$3:$EC$4,2,FALSE),FALSE)</f>
        <v>2</v>
      </c>
      <c r="AX18" s="58">
        <f>VLOOKUP($A18,historia!$A$5:$DD$24,+HLOOKUP(AX$2,historia!$A$3:$EC$4,2,FALSE),FALSE)</f>
        <v>2</v>
      </c>
      <c r="AY18" s="58">
        <f>VLOOKUP($A18,historia!$A$5:$DD$24,+HLOOKUP(AY$2,historia!$A$3:$EC$4,2,FALSE),FALSE)</f>
        <v>2</v>
      </c>
      <c r="AZ18" s="58">
        <f>VLOOKUP($A18,historia!$A$5:$DD$24,+HLOOKUP(AZ$2,historia!$A$3:$EC$4,2,FALSE),FALSE)</f>
        <v>2</v>
      </c>
      <c r="BA18" s="58">
        <f>VLOOKUP($A18,historia!$A$5:$DG$24,+HLOOKUP(BA$2,historia!$A$3:$EC$4,2,FALSE),FALSE)</f>
        <v>2</v>
      </c>
      <c r="BB18" s="58"/>
      <c r="BC18" s="286">
        <v>2</v>
      </c>
      <c r="BD18" t="str">
        <f t="shared" si="19"/>
        <v>Ovino</v>
      </c>
      <c r="BE18">
        <f>+datos!BU1</f>
        <v>73</v>
      </c>
      <c r="BF18" s="2" t="str">
        <f t="shared" si="4"/>
        <v>$/kg</v>
      </c>
      <c r="BG18" s="2">
        <f t="shared" si="4"/>
        <v>113339.719524</v>
      </c>
      <c r="BH18" s="2">
        <f t="shared" si="4"/>
        <v>114044.73085714286</v>
      </c>
      <c r="BI18" s="2">
        <f t="shared" si="4"/>
        <v>83779.41</v>
      </c>
      <c r="BK18" s="1">
        <f>+datos!EL1</f>
        <v>142</v>
      </c>
      <c r="BL18" s="1">
        <f t="shared" si="20"/>
        <v>11482381</v>
      </c>
      <c r="BM18" s="1">
        <f t="shared" si="20"/>
        <v>11967429</v>
      </c>
      <c r="BO18" s="1">
        <f>+datos!GS1</f>
        <v>201</v>
      </c>
      <c r="BP18" s="1">
        <f t="shared" si="21"/>
        <v>29882.77</v>
      </c>
      <c r="BQ18" s="1">
        <f t="shared" si="21"/>
        <v>31776.39</v>
      </c>
      <c r="BS18" s="1">
        <f>+datos!KI1</f>
        <v>295</v>
      </c>
      <c r="BT18" s="1">
        <f t="shared" si="38"/>
        <v>361.80603965999995</v>
      </c>
      <c r="BU18" s="1">
        <f t="shared" si="39"/>
        <v>228.68956721999996</v>
      </c>
      <c r="BW18" s="1">
        <f>+datos!LN1</f>
        <v>326</v>
      </c>
      <c r="BX18" s="2">
        <f t="shared" si="22"/>
        <v>2.123535</v>
      </c>
      <c r="BY18" s="2">
        <f t="shared" si="23"/>
        <v>2.2065742999999998</v>
      </c>
      <c r="CA18" s="1">
        <f>+datos!JA1</f>
        <v>261</v>
      </c>
      <c r="CB18" s="1">
        <f t="shared" si="24"/>
        <v>3650</v>
      </c>
      <c r="CC18" s="1">
        <f t="shared" si="25"/>
        <v>3555</v>
      </c>
      <c r="CD18" s="1"/>
      <c r="CE18">
        <f>+datos!DI1</f>
        <v>113</v>
      </c>
      <c r="CF18" s="2">
        <f t="shared" si="26"/>
        <v>15128.112662415504</v>
      </c>
      <c r="CG18" s="2">
        <f t="shared" si="26"/>
        <v>14975.011261628504</v>
      </c>
      <c r="CH18" s="2">
        <f t="shared" si="26"/>
        <v>11340.985328453446</v>
      </c>
      <c r="CI18" s="1"/>
      <c r="CK18" s="1">
        <f t="shared" si="27"/>
        <v>37.363582219999998</v>
      </c>
      <c r="CL18" s="1">
        <f t="shared" si="27"/>
        <v>29.371587780000002</v>
      </c>
      <c r="CM18" s="1">
        <f t="shared" si="27"/>
        <v>34.873953459999996</v>
      </c>
      <c r="CN18" s="1">
        <f t="shared" si="27"/>
        <v>33.523126529999999</v>
      </c>
      <c r="CO18" s="1">
        <f t="shared" si="27"/>
        <v>37.632095870000001</v>
      </c>
      <c r="CP18" s="1">
        <f t="shared" si="27"/>
        <v>34.165160209999996</v>
      </c>
      <c r="CQ18" s="1">
        <f t="shared" si="27"/>
        <v>32.255325069999998</v>
      </c>
      <c r="CR18" s="1">
        <f t="shared" si="27"/>
        <v>31.916470830000002</v>
      </c>
      <c r="CS18" s="1">
        <f t="shared" si="27"/>
        <v>27.303396169999999</v>
      </c>
      <c r="CT18" s="1">
        <f t="shared" si="27"/>
        <v>22.774238799999999</v>
      </c>
      <c r="CU18" s="1">
        <f t="shared" si="27"/>
        <v>21.077032079999999</v>
      </c>
      <c r="CV18" s="1">
        <f t="shared" si="27"/>
        <v>19.550070639999998</v>
      </c>
      <c r="CW18" s="1">
        <f t="shared" si="27"/>
        <v>17.8919189</v>
      </c>
      <c r="CX18" s="1">
        <f t="shared" si="27"/>
        <v>19.636014689999996</v>
      </c>
      <c r="CY18" s="1">
        <f t="shared" si="27"/>
        <v>18.748166940000001</v>
      </c>
      <c r="CZ18" s="1">
        <f t="shared" si="27"/>
        <v>21.131437869999999</v>
      </c>
      <c r="DA18" s="1">
        <f t="shared" si="28"/>
        <v>23.746863359999999</v>
      </c>
      <c r="DB18" s="1">
        <f t="shared" si="28"/>
        <v>18.662799830000001</v>
      </c>
      <c r="DC18" s="1">
        <f t="shared" si="28"/>
        <v>31.610464650000004</v>
      </c>
      <c r="DD18" s="1">
        <f t="shared" si="28"/>
        <v>14.881609229999999</v>
      </c>
      <c r="DE18" s="1">
        <f t="shared" si="28"/>
        <v>18.538380959999998</v>
      </c>
      <c r="DF18" s="1">
        <f t="shared" si="28"/>
        <v>15.79353798</v>
      </c>
      <c r="DG18" s="1">
        <f t="shared" si="28"/>
        <v>15.390557059999999</v>
      </c>
      <c r="DH18" s="1">
        <f t="shared" si="28"/>
        <v>12.657815750000001</v>
      </c>
      <c r="DJ18" s="1">
        <f t="shared" si="29"/>
        <v>0.14651821000000001</v>
      </c>
      <c r="DK18" s="1">
        <f t="shared" si="29"/>
        <v>9.6971659999999987E-2</v>
      </c>
      <c r="DL18" s="1">
        <f t="shared" si="29"/>
        <v>0.24107202999999999</v>
      </c>
      <c r="DM18" s="1">
        <f t="shared" si="29"/>
        <v>0.32285518000000002</v>
      </c>
      <c r="DN18" s="1">
        <f t="shared" si="29"/>
        <v>0.15590026000000001</v>
      </c>
      <c r="DO18" s="1">
        <f t="shared" si="29"/>
        <v>0.18636467000000001</v>
      </c>
      <c r="DP18" s="1">
        <f t="shared" si="29"/>
        <v>0.25499293999999995</v>
      </c>
      <c r="DQ18" s="1">
        <f t="shared" si="29"/>
        <v>0.11824628</v>
      </c>
      <c r="DR18" s="1">
        <f t="shared" si="29"/>
        <v>0.37141849000000005</v>
      </c>
      <c r="DS18" s="1">
        <f t="shared" si="29"/>
        <v>4.9819790000000003E-2</v>
      </c>
      <c r="DT18" s="1">
        <f t="shared" si="29"/>
        <v>5.7726630000000001E-2</v>
      </c>
      <c r="DU18" s="1">
        <f t="shared" si="29"/>
        <v>0.12164886</v>
      </c>
      <c r="DV18" s="1">
        <f t="shared" si="29"/>
        <v>6.2847730000000004E-2</v>
      </c>
      <c r="DW18" s="1">
        <f t="shared" si="29"/>
        <v>7.1441070000000009E-2</v>
      </c>
      <c r="DX18" s="1">
        <f t="shared" si="29"/>
        <v>0.19937177999999997</v>
      </c>
      <c r="DY18" s="1">
        <f t="shared" si="29"/>
        <v>0.18211829000000002</v>
      </c>
      <c r="DZ18" s="1">
        <f t="shared" si="30"/>
        <v>0.19639201000000001</v>
      </c>
      <c r="EA18" s="1">
        <f t="shared" si="30"/>
        <v>0.15047392000000001</v>
      </c>
      <c r="EB18" s="1">
        <f t="shared" si="30"/>
        <v>0.19393855000000002</v>
      </c>
      <c r="EC18" s="1">
        <f t="shared" si="30"/>
        <v>0.16347327</v>
      </c>
      <c r="ED18" s="1">
        <f t="shared" si="30"/>
        <v>0.18164933</v>
      </c>
      <c r="EE18" s="1">
        <f t="shared" si="30"/>
        <v>0.25055533999999996</v>
      </c>
      <c r="EF18" s="1">
        <f t="shared" si="30"/>
        <v>0.29342396000000004</v>
      </c>
      <c r="EG18" s="1">
        <f t="shared" si="30"/>
        <v>0.26088905000000001</v>
      </c>
      <c r="EI18" s="14">
        <f t="shared" si="40"/>
        <v>3650</v>
      </c>
      <c r="EJ18" s="14">
        <f t="shared" si="40"/>
        <v>3555</v>
      </c>
      <c r="EK18" s="1">
        <f t="shared" si="40"/>
        <v>3555</v>
      </c>
      <c r="EL18" s="1">
        <f t="shared" si="40"/>
        <v>3555</v>
      </c>
      <c r="EM18" s="1">
        <f t="shared" si="40"/>
        <v>3555</v>
      </c>
      <c r="EN18" s="1">
        <f t="shared" si="40"/>
        <v>3555</v>
      </c>
      <c r="EO18" s="1">
        <f t="shared" si="40"/>
        <v>3555</v>
      </c>
      <c r="EP18" s="1">
        <f t="shared" si="40"/>
        <v>3555</v>
      </c>
      <c r="EQ18" s="1">
        <f t="shared" si="40"/>
        <v>3555</v>
      </c>
      <c r="ER18" s="1">
        <f t="shared" si="40"/>
        <v>3555</v>
      </c>
      <c r="ES18" s="1">
        <f t="shared" si="40"/>
        <v>3555</v>
      </c>
      <c r="ET18" s="1">
        <f t="shared" si="40"/>
        <v>3555</v>
      </c>
      <c r="EU18" s="1">
        <f t="shared" si="40"/>
        <v>3555</v>
      </c>
      <c r="EV18" s="1">
        <f t="shared" si="40"/>
        <v>3555</v>
      </c>
      <c r="EW18" s="1">
        <f t="shared" si="40"/>
        <v>3555</v>
      </c>
      <c r="EX18" s="1">
        <f t="shared" si="40"/>
        <v>3735</v>
      </c>
      <c r="EY18" s="1">
        <f t="shared" si="31"/>
        <v>2813</v>
      </c>
      <c r="EZ18" s="1">
        <f t="shared" si="31"/>
        <v>2813</v>
      </c>
      <c r="FA18" s="1">
        <f t="shared" si="31"/>
        <v>2813</v>
      </c>
      <c r="FB18" s="1">
        <f t="shared" si="31"/>
        <v>2813</v>
      </c>
      <c r="FC18" s="1">
        <f t="shared" si="31"/>
        <v>2813</v>
      </c>
      <c r="FD18" s="1">
        <f t="shared" si="31"/>
        <v>2813</v>
      </c>
      <c r="FE18" s="1">
        <f t="shared" si="31"/>
        <v>2813</v>
      </c>
      <c r="FF18" s="1">
        <f t="shared" si="31"/>
        <v>2813</v>
      </c>
      <c r="FH18" s="162">
        <f t="shared" si="32"/>
        <v>1.8902185943720395E-2</v>
      </c>
    </row>
    <row r="19" spans="1:164" ht="18.75" customHeight="1">
      <c r="A19" s="244" t="s">
        <v>66</v>
      </c>
      <c r="B19" s="247"/>
      <c r="C19" s="228">
        <f t="shared" si="5"/>
        <v>0</v>
      </c>
      <c r="D19" s="229">
        <v>-1</v>
      </c>
      <c r="E19" s="253">
        <f t="shared" si="6"/>
        <v>0.18754598028493996</v>
      </c>
      <c r="F19" s="254">
        <f t="shared" si="7"/>
        <v>0.17095391604973709</v>
      </c>
      <c r="G19" s="253">
        <f t="shared" si="8"/>
        <v>-2.7858385703331989E-2</v>
      </c>
      <c r="H19" s="254">
        <f t="shared" si="9"/>
        <v>0.21540436598827195</v>
      </c>
      <c r="I19" s="253">
        <f t="shared" si="10"/>
        <v>3.2940636812282946</v>
      </c>
      <c r="J19" s="254">
        <f t="shared" si="11"/>
        <v>2.9586455460849281</v>
      </c>
      <c r="K19" s="253">
        <f t="shared" si="12"/>
        <v>0.22039722389839578</v>
      </c>
      <c r="L19" s="254">
        <f t="shared" si="13"/>
        <v>3.0736664573298986</v>
      </c>
      <c r="M19" s="255"/>
      <c r="N19" s="256">
        <v>0</v>
      </c>
      <c r="O19" s="253">
        <f t="shared" si="33"/>
        <v>-0.1166932970112895</v>
      </c>
      <c r="P19" s="257">
        <f t="shared" si="34"/>
        <v>-0.1166932970112895</v>
      </c>
      <c r="Q19" s="253">
        <f t="shared" si="14"/>
        <v>0</v>
      </c>
      <c r="R19" s="257">
        <v>-0.01</v>
      </c>
      <c r="S19" s="255"/>
      <c r="T19" s="256">
        <v>1</v>
      </c>
      <c r="U19" s="253">
        <f t="shared" si="15"/>
        <v>-4.1065342733943799E-2</v>
      </c>
      <c r="V19" s="258">
        <f t="shared" si="16"/>
        <v>-4.1065342733943799E-2</v>
      </c>
      <c r="W19" s="253">
        <f t="shared" si="36"/>
        <v>0.67216265009275133</v>
      </c>
      <c r="X19" s="258">
        <f t="shared" si="17"/>
        <v>0.67216265009275133</v>
      </c>
      <c r="Y19" s="253"/>
      <c r="Z19" s="258">
        <f t="shared" si="18"/>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VLOOKUP($A19,historia!$A$5:$DD$24,+HLOOKUP(AP$2,historia!$A$3:$EC$4,2,FALSE),FALSE)</f>
        <v>4</v>
      </c>
      <c r="AQ19" s="28">
        <f>VLOOKUP($A19,historia!$A$5:$DD$24,+HLOOKUP(AQ$2,historia!$A$3:$EC$4,2,FALSE),FALSE)</f>
        <v>4</v>
      </c>
      <c r="AR19" s="28">
        <f>VLOOKUP($A19,historia!$A$5:$DD$24,+HLOOKUP(AR$2,historia!$A$3:$EC$4,2,FALSE),FALSE)</f>
        <v>4</v>
      </c>
      <c r="AS19" s="28">
        <f>VLOOKUP($A19,historia!$A$5:$DD$24,+HLOOKUP(AS$2,historia!$A$3:$EC$4,2,FALSE),FALSE)</f>
        <v>4</v>
      </c>
      <c r="AT19" s="58">
        <f>VLOOKUP($A19,historia!$A$5:$DD$24,+HLOOKUP(AT$2,historia!$A$3:$EC$4,2,FALSE),FALSE)</f>
        <v>4</v>
      </c>
      <c r="AU19" s="58">
        <f>VLOOKUP($A19,historia!$A$5:$DD$24,+HLOOKUP(AU$2,historia!$A$3:$EC$4,2,FALSE),FALSE)</f>
        <v>4</v>
      </c>
      <c r="AV19" s="58">
        <f>VLOOKUP($A19,historia!$A$5:$DD$24,+HLOOKUP(AV$2,historia!$A$3:$EC$4,2,FALSE),FALSE)</f>
        <v>4</v>
      </c>
      <c r="AW19" s="58">
        <f>VLOOKUP($A19,historia!$A$5:$DD$24,+HLOOKUP(AW$2,historia!$A$3:$EC$4,2,FALSE),FALSE)</f>
        <v>3</v>
      </c>
      <c r="AX19" s="58">
        <f>VLOOKUP($A19,historia!$A$5:$DD$24,+HLOOKUP(AX$2,historia!$A$3:$EC$4,2,FALSE),FALSE)</f>
        <v>3</v>
      </c>
      <c r="AY19" s="58">
        <f>VLOOKUP($A19,historia!$A$5:$DD$24,+HLOOKUP(AY$2,historia!$A$3:$EC$4,2,FALSE),FALSE)</f>
        <v>3</v>
      </c>
      <c r="AZ19" s="58">
        <f>VLOOKUP($A19,historia!$A$5:$DD$24,+HLOOKUP(AZ$2,historia!$A$3:$EC$4,2,FALSE),FALSE)</f>
        <v>3</v>
      </c>
      <c r="BA19" s="58">
        <f>VLOOKUP($A19,historia!$A$5:$DG$24,+HLOOKUP(BA$2,historia!$A$3:$EC$4,2,FALSE),FALSE)</f>
        <v>2</v>
      </c>
      <c r="BB19" s="58"/>
      <c r="BC19" s="286">
        <v>2</v>
      </c>
      <c r="BD19" t="str">
        <f t="shared" si="19"/>
        <v>Papa</v>
      </c>
      <c r="BE19">
        <f>+datos!AV1</f>
        <v>48</v>
      </c>
      <c r="BF19" s="2" t="str">
        <f t="shared" si="4"/>
        <v>$/bolsa 20kg</v>
      </c>
      <c r="BG19" s="2">
        <f t="shared" si="4"/>
        <v>22163.040000000001</v>
      </c>
      <c r="BH19" s="2">
        <f t="shared" si="4"/>
        <v>18662.89</v>
      </c>
      <c r="BI19" s="2">
        <f t="shared" si="4"/>
        <v>5161.3207547169814</v>
      </c>
      <c r="BK19" s="1">
        <f>+datos!EZ1</f>
        <v>156</v>
      </c>
      <c r="BL19" s="1">
        <f t="shared" si="20"/>
        <v>33722</v>
      </c>
      <c r="BM19" s="1">
        <f t="shared" si="20"/>
        <v>38177</v>
      </c>
      <c r="BO19" s="1">
        <f>+datos!GT1</f>
        <v>202</v>
      </c>
      <c r="BP19" s="1">
        <f t="shared" si="21"/>
        <v>2111561</v>
      </c>
      <c r="BQ19" s="1">
        <f t="shared" si="21"/>
        <v>2111561</v>
      </c>
      <c r="BS19" s="1">
        <f>+datos!JO1</f>
        <v>275</v>
      </c>
      <c r="BT19" s="1">
        <f t="shared" si="38"/>
        <v>386.54309087999997</v>
      </c>
      <c r="BU19" s="1">
        <f t="shared" si="39"/>
        <v>403.09638196000009</v>
      </c>
      <c r="BW19" s="1">
        <f>+datos!KT1</f>
        <v>306</v>
      </c>
      <c r="BX19" s="2">
        <f t="shared" si="22"/>
        <v>21.997577960000001</v>
      </c>
      <c r="BY19" s="2">
        <f t="shared" si="23"/>
        <v>13.155166430000001</v>
      </c>
      <c r="CA19" s="1">
        <f>+datos!JB1</f>
        <v>262</v>
      </c>
      <c r="CB19" s="1">
        <f t="shared" si="24"/>
        <v>35.950000000000003</v>
      </c>
      <c r="CC19" s="1">
        <f t="shared" si="25"/>
        <v>35.950000000000003</v>
      </c>
      <c r="CD19" s="1"/>
      <c r="CE19">
        <f>+datos!CI1</f>
        <v>87</v>
      </c>
      <c r="CF19" s="2">
        <f t="shared" si="26"/>
        <v>13370.227625568601</v>
      </c>
      <c r="CG19" s="2">
        <f t="shared" si="26"/>
        <v>13753.374435309808</v>
      </c>
      <c r="CH19" s="2">
        <f t="shared" si="26"/>
        <v>10955.635889484571</v>
      </c>
      <c r="CI19" s="1"/>
      <c r="CK19" s="1">
        <f t="shared" si="27"/>
        <v>31.689222000000001</v>
      </c>
      <c r="CL19" s="1">
        <f t="shared" si="27"/>
        <v>34.603880139999994</v>
      </c>
      <c r="CM19" s="1">
        <f t="shared" si="27"/>
        <v>37.517881269999997</v>
      </c>
      <c r="CN19" s="1">
        <f t="shared" si="27"/>
        <v>33.508485159999992</v>
      </c>
      <c r="CO19" s="1">
        <f t="shared" si="27"/>
        <v>34.584187569999997</v>
      </c>
      <c r="CP19" s="1">
        <f t="shared" si="27"/>
        <v>32.026461749999996</v>
      </c>
      <c r="CQ19" s="1">
        <f t="shared" si="27"/>
        <v>27.540207300000002</v>
      </c>
      <c r="CR19" s="1">
        <f t="shared" si="27"/>
        <v>27.589055210000001</v>
      </c>
      <c r="CS19" s="1">
        <f t="shared" si="27"/>
        <v>34.54170027</v>
      </c>
      <c r="CT19" s="1">
        <f t="shared" si="27"/>
        <v>29.033049210000001</v>
      </c>
      <c r="CU19" s="1">
        <f t="shared" si="27"/>
        <v>32.137001479999995</v>
      </c>
      <c r="CV19" s="1">
        <f t="shared" si="27"/>
        <v>31.771959519999999</v>
      </c>
      <c r="CW19" s="1">
        <f t="shared" si="27"/>
        <v>30.172516640000001</v>
      </c>
      <c r="CX19" s="1">
        <f t="shared" si="27"/>
        <v>33.254909299999994</v>
      </c>
      <c r="CY19" s="1">
        <f t="shared" si="27"/>
        <v>34.03841525</v>
      </c>
      <c r="CZ19" s="1">
        <f t="shared" si="27"/>
        <v>32.790200410000004</v>
      </c>
      <c r="DA19" s="1">
        <f t="shared" si="28"/>
        <v>33.403797109999999</v>
      </c>
      <c r="DB19" s="1">
        <f t="shared" si="28"/>
        <v>26.866894470000005</v>
      </c>
      <c r="DC19" s="1">
        <f t="shared" si="28"/>
        <v>30.959664470000003</v>
      </c>
      <c r="DD19" s="1">
        <f t="shared" si="28"/>
        <v>28.030286839999999</v>
      </c>
      <c r="DE19" s="1">
        <f t="shared" si="28"/>
        <v>35.227965569999995</v>
      </c>
      <c r="DF19" s="1">
        <f t="shared" si="28"/>
        <v>43.313690020000003</v>
      </c>
      <c r="DG19" s="1">
        <f t="shared" si="28"/>
        <v>38.158354570000007</v>
      </c>
      <c r="DH19" s="1">
        <f t="shared" si="28"/>
        <v>36.879687310000008</v>
      </c>
      <c r="DJ19" s="1">
        <f t="shared" si="29"/>
        <v>5.6406057999999994</v>
      </c>
      <c r="DK19" s="1">
        <f t="shared" si="29"/>
        <v>2.6781131599999997</v>
      </c>
      <c r="DL19" s="1">
        <f t="shared" si="29"/>
        <v>1.3561104000000002</v>
      </c>
      <c r="DM19" s="1">
        <f t="shared" si="29"/>
        <v>1.05636789</v>
      </c>
      <c r="DN19" s="1">
        <f t="shared" si="29"/>
        <v>1.7409876799999999</v>
      </c>
      <c r="DO19" s="1">
        <f t="shared" si="29"/>
        <v>2.0004345900000002</v>
      </c>
      <c r="DP19" s="1">
        <f t="shared" si="29"/>
        <v>1.0022204700000001</v>
      </c>
      <c r="DQ19" s="1">
        <f t="shared" si="29"/>
        <v>2.2861269800000001</v>
      </c>
      <c r="DR19" s="1">
        <f t="shared" si="29"/>
        <v>1.06092366</v>
      </c>
      <c r="DS19" s="1">
        <f t="shared" si="29"/>
        <v>0.94273901999999998</v>
      </c>
      <c r="DT19" s="1">
        <f t="shared" si="29"/>
        <v>1.1078551999999999</v>
      </c>
      <c r="DU19" s="1">
        <f t="shared" si="29"/>
        <v>1.1250931100000001</v>
      </c>
      <c r="DV19" s="1">
        <f t="shared" si="29"/>
        <v>0.74439149999999998</v>
      </c>
      <c r="DW19" s="1">
        <f t="shared" si="29"/>
        <v>1.2444918700000001</v>
      </c>
      <c r="DX19" s="1">
        <f t="shared" si="29"/>
        <v>0.75058031000000003</v>
      </c>
      <c r="DY19" s="1">
        <f t="shared" si="29"/>
        <v>0.8744752400000001</v>
      </c>
      <c r="DZ19" s="1">
        <f t="shared" si="30"/>
        <v>0.62052411000000007</v>
      </c>
      <c r="EA19" s="1">
        <f t="shared" si="30"/>
        <v>1.19924761</v>
      </c>
      <c r="EB19" s="1">
        <f t="shared" si="30"/>
        <v>0.86551083000000006</v>
      </c>
      <c r="EC19" s="1">
        <f t="shared" si="30"/>
        <v>0.79831189000000002</v>
      </c>
      <c r="ED19" s="1">
        <f t="shared" si="30"/>
        <v>1.1318278900000001</v>
      </c>
      <c r="EE19" s="1">
        <f t="shared" si="30"/>
        <v>1.8442369199999997</v>
      </c>
      <c r="EF19" s="1">
        <f t="shared" si="30"/>
        <v>1.0529063700000001</v>
      </c>
      <c r="EG19" s="1">
        <f t="shared" si="30"/>
        <v>2.0286618900000004</v>
      </c>
      <c r="EI19" s="14">
        <f t="shared" si="40"/>
        <v>35.950000000000003</v>
      </c>
      <c r="EJ19" s="14">
        <f t="shared" si="40"/>
        <v>35.950000000000003</v>
      </c>
      <c r="EK19" s="1">
        <f t="shared" si="40"/>
        <v>35.950000000000003</v>
      </c>
      <c r="EL19" s="1">
        <f t="shared" si="40"/>
        <v>35.950000000000003</v>
      </c>
      <c r="EM19" s="1">
        <f t="shared" si="40"/>
        <v>35.950000000000003</v>
      </c>
      <c r="EN19" s="1">
        <f t="shared" si="40"/>
        <v>35.950000000000003</v>
      </c>
      <c r="EO19" s="1">
        <f t="shared" si="40"/>
        <v>35.950000000000003</v>
      </c>
      <c r="EP19" s="1">
        <f t="shared" si="40"/>
        <v>35.950000000000003</v>
      </c>
      <c r="EQ19" s="1">
        <f t="shared" si="40"/>
        <v>35.950000000000003</v>
      </c>
      <c r="ER19" s="1">
        <f t="shared" si="40"/>
        <v>35.950000000000003</v>
      </c>
      <c r="ES19" s="1">
        <f t="shared" si="40"/>
        <v>35.950000000000003</v>
      </c>
      <c r="ET19" s="1">
        <f t="shared" si="40"/>
        <v>35.950000000000003</v>
      </c>
      <c r="EU19" s="1">
        <f t="shared" si="40"/>
        <v>35.950000000000003</v>
      </c>
      <c r="EV19" s="1">
        <f t="shared" si="40"/>
        <v>35.950000000000003</v>
      </c>
      <c r="EW19" s="1">
        <f t="shared" si="40"/>
        <v>35.950000000000003</v>
      </c>
      <c r="EX19" s="1">
        <f t="shared" si="40"/>
        <v>35.950000000000003</v>
      </c>
      <c r="EY19" s="1">
        <f t="shared" si="31"/>
        <v>35.950000000000003</v>
      </c>
      <c r="EZ19" s="1">
        <f t="shared" si="31"/>
        <v>35.950000000000003</v>
      </c>
      <c r="FA19" s="1">
        <f t="shared" si="31"/>
        <v>35.950000000000003</v>
      </c>
      <c r="FB19" s="1">
        <f t="shared" si="31"/>
        <v>35.950000000000003</v>
      </c>
      <c r="FC19" s="1">
        <f t="shared" si="31"/>
        <v>35.950000000000003</v>
      </c>
      <c r="FD19" s="1">
        <f t="shared" si="31"/>
        <v>35.950000000000003</v>
      </c>
      <c r="FE19" s="1">
        <f t="shared" si="31"/>
        <v>35.950000000000003</v>
      </c>
      <c r="FF19" s="1">
        <f t="shared" si="31"/>
        <v>35.950000000000003</v>
      </c>
      <c r="FH19" s="162">
        <f t="shared" si="32"/>
        <v>3.0736664573298986</v>
      </c>
    </row>
    <row r="20" spans="1:164" ht="17.399999999999999" customHeight="1">
      <c r="A20" s="263" t="s">
        <v>218</v>
      </c>
      <c r="B20" s="246"/>
      <c r="C20" s="156">
        <f t="shared" si="5"/>
        <v>0</v>
      </c>
      <c r="D20" s="198">
        <v>-1</v>
      </c>
      <c r="E20" s="248">
        <f t="shared" si="6"/>
        <v>2.5529902861334497E-2</v>
      </c>
      <c r="F20" s="249">
        <f t="shared" si="7"/>
        <v>8.9378386261316223E-3</v>
      </c>
      <c r="G20" s="248">
        <f t="shared" si="8"/>
        <v>-7.9471504917914881E-2</v>
      </c>
      <c r="H20" s="249">
        <f t="shared" si="9"/>
        <v>0.10500140777924938</v>
      </c>
      <c r="I20" s="248">
        <f t="shared" si="10"/>
        <v>0.65219859571230798</v>
      </c>
      <c r="J20" s="249">
        <f t="shared" si="11"/>
        <v>0.31678046056894127</v>
      </c>
      <c r="K20" s="248">
        <f t="shared" si="12"/>
        <v>0.24813434106640031</v>
      </c>
      <c r="L20" s="249">
        <f t="shared" si="13"/>
        <v>0.40406425464590767</v>
      </c>
      <c r="M20" s="250"/>
      <c r="N20" s="24">
        <v>-1</v>
      </c>
      <c r="O20" s="248">
        <f t="shared" si="33"/>
        <v>0</v>
      </c>
      <c r="P20" s="251">
        <f t="shared" si="34"/>
        <v>0</v>
      </c>
      <c r="Q20" s="248">
        <f t="shared" si="14"/>
        <v>-0.11456858199135289</v>
      </c>
      <c r="R20" s="251">
        <f t="shared" si="35"/>
        <v>-0.11456858199135289</v>
      </c>
      <c r="S20" s="250"/>
      <c r="T20" s="24">
        <v>2</v>
      </c>
      <c r="U20" s="248">
        <f t="shared" si="15"/>
        <v>-1.7460423094337485E-2</v>
      </c>
      <c r="V20" s="252">
        <f t="shared" si="16"/>
        <v>-1.7460423094337485E-2</v>
      </c>
      <c r="W20" s="248">
        <f t="shared" si="36"/>
        <v>0.55104156707277863</v>
      </c>
      <c r="X20" s="252">
        <f t="shared" si="17"/>
        <v>0.55104156707277863</v>
      </c>
      <c r="Y20" s="248"/>
      <c r="Z20" s="252">
        <f t="shared" si="18"/>
        <v>0</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VLOOKUP($A20,historia!$A$5:$DD$24,+HLOOKUP(AP$2,historia!$A$3:$EC$4,2,FALSE),FALSE)</f>
        <v>3</v>
      </c>
      <c r="AQ20" s="28">
        <f>VLOOKUP($A20,historia!$A$5:$DD$24,+HLOOKUP(AQ$2,historia!$A$3:$EC$4,2,FALSE),FALSE)</f>
        <v>3</v>
      </c>
      <c r="AR20" s="28">
        <f>VLOOKUP($A20,historia!$A$5:$DD$24,+HLOOKUP(AR$2,historia!$A$3:$EC$4,2,FALSE),FALSE)</f>
        <v>3</v>
      </c>
      <c r="AS20" s="28">
        <f>VLOOKUP($A20,historia!$A$5:$DD$24,+HLOOKUP(AS$2,historia!$A$3:$EC$4,2,FALSE),FALSE)</f>
        <v>3</v>
      </c>
      <c r="AT20" s="58">
        <f>VLOOKUP($A20,historia!$A$5:$DD$24,+HLOOKUP(AT$2,historia!$A$3:$EC$4,2,FALSE),FALSE)</f>
        <v>3</v>
      </c>
      <c r="AU20" s="58">
        <f>VLOOKUP($A20,historia!$A$5:$DD$24,+HLOOKUP(AU$2,historia!$A$3:$EC$4,2,FALSE),FALSE)</f>
        <v>3</v>
      </c>
      <c r="AV20" s="58">
        <f>VLOOKUP($A20,historia!$A$5:$DD$24,+HLOOKUP(AV$2,historia!$A$3:$EC$4,2,FALSE),FALSE)</f>
        <v>3</v>
      </c>
      <c r="AW20" s="58">
        <f>VLOOKUP($A20,historia!$A$5:$DD$24,+HLOOKUP(AW$2,historia!$A$3:$EC$4,2,FALSE),FALSE)</f>
        <v>3</v>
      </c>
      <c r="AX20" s="58">
        <f>VLOOKUP($A20,historia!$A$5:$DD$24,+HLOOKUP(AX$2,historia!$A$3:$EC$4,2,FALSE),FALSE)</f>
        <v>3</v>
      </c>
      <c r="AY20" s="58">
        <f>VLOOKUP($A20,historia!$A$5:$DD$24,+HLOOKUP(AY$2,historia!$A$3:$EC$4,2,FALSE),FALSE)</f>
        <v>3</v>
      </c>
      <c r="AZ20" s="58">
        <f>VLOOKUP($A20,historia!$A$5:$DD$24,+HLOOKUP(AZ$2,historia!$A$3:$EC$4,2,FALSE),FALSE)</f>
        <v>3</v>
      </c>
      <c r="BA20" s="58">
        <f>VLOOKUP($A20,historia!$A$5:$DG$24,+HLOOKUP(BA$2,historia!$A$3:$EC$4,2,FALSE),FALSE)</f>
        <v>3</v>
      </c>
      <c r="BB20" s="58"/>
      <c r="BC20" s="286">
        <v>3</v>
      </c>
      <c r="BD20" t="str">
        <f t="shared" si="19"/>
        <v>Peras y Manzanas</v>
      </c>
      <c r="BE20">
        <f>+datos!AP1</f>
        <v>42</v>
      </c>
      <c r="BF20" s="2" t="str">
        <f t="shared" si="4"/>
        <v>$/caja 18kg</v>
      </c>
      <c r="BG20" s="2">
        <f t="shared" si="4"/>
        <v>33119.56</v>
      </c>
      <c r="BH20" s="2">
        <f t="shared" si="4"/>
        <v>32295.07</v>
      </c>
      <c r="BI20" s="2">
        <f t="shared" si="4"/>
        <v>20045.75</v>
      </c>
      <c r="BK20" s="1">
        <f>+datos!FC1</f>
        <v>159</v>
      </c>
      <c r="BL20" s="1">
        <f t="shared" si="20"/>
        <v>38084</v>
      </c>
      <c r="BM20" s="1">
        <f t="shared" si="20"/>
        <v>38084</v>
      </c>
      <c r="BO20" s="1">
        <f>+datos!GW1</f>
        <v>205</v>
      </c>
      <c r="BP20" s="1">
        <f t="shared" si="21"/>
        <v>706530</v>
      </c>
      <c r="BQ20" s="1">
        <f t="shared" si="21"/>
        <v>797950</v>
      </c>
      <c r="BS20" s="1">
        <f>+datos!LS1</f>
        <v>331</v>
      </c>
      <c r="BT20" s="1">
        <f t="shared" si="38"/>
        <v>428.74303207999998</v>
      </c>
      <c r="BU20" s="1">
        <f t="shared" si="39"/>
        <v>436.36209895000013</v>
      </c>
      <c r="BW20" s="1">
        <f>+datos!LW1</f>
        <v>335</v>
      </c>
      <c r="BX20" s="2">
        <f t="shared" si="22"/>
        <v>7.6851155999999996</v>
      </c>
      <c r="BY20" s="2">
        <f t="shared" si="23"/>
        <v>4.9548095699999992</v>
      </c>
      <c r="CA20" s="1">
        <f>+datos!JC1</f>
        <v>263</v>
      </c>
      <c r="CB20" s="1">
        <f t="shared" si="24"/>
        <v>0</v>
      </c>
      <c r="CC20" s="1">
        <f t="shared" si="25"/>
        <v>0</v>
      </c>
      <c r="CD20" s="1"/>
      <c r="CE20">
        <f>+datos!CS1</f>
        <v>97</v>
      </c>
      <c r="CF20" s="2">
        <f t="shared" si="26"/>
        <v>13758.878576109888</v>
      </c>
      <c r="CG20" s="2">
        <f t="shared" si="26"/>
        <v>14946.716641164905</v>
      </c>
      <c r="CH20" s="2">
        <f t="shared" si="26"/>
        <v>11023.555817200226</v>
      </c>
      <c r="CI20" s="1"/>
      <c r="CK20" s="1">
        <f t="shared" si="27"/>
        <v>28.449886889999998</v>
      </c>
      <c r="CL20" s="1">
        <f t="shared" si="27"/>
        <v>28.456718470000002</v>
      </c>
      <c r="CM20" s="1">
        <f t="shared" si="27"/>
        <v>43.330843469999998</v>
      </c>
      <c r="CN20" s="1">
        <f t="shared" si="27"/>
        <v>44.588875260000009</v>
      </c>
      <c r="CO20" s="1">
        <f t="shared" si="27"/>
        <v>51.060120500000004</v>
      </c>
      <c r="CP20" s="1">
        <f t="shared" si="27"/>
        <v>56.719456929999993</v>
      </c>
      <c r="CQ20" s="1">
        <f t="shared" si="27"/>
        <v>49.534875409999998</v>
      </c>
      <c r="CR20" s="1">
        <f t="shared" si="27"/>
        <v>25.805604299999995</v>
      </c>
      <c r="CS20" s="1">
        <f t="shared" si="27"/>
        <v>14.27210653</v>
      </c>
      <c r="CT20" s="1">
        <f t="shared" si="27"/>
        <v>20.571055439999999</v>
      </c>
      <c r="CU20" s="1">
        <f t="shared" si="27"/>
        <v>24.907231830000001</v>
      </c>
      <c r="CV20" s="1">
        <f t="shared" si="27"/>
        <v>41.046257050000001</v>
      </c>
      <c r="CW20" s="1">
        <f t="shared" si="27"/>
        <v>31.183989080000003</v>
      </c>
      <c r="CX20" s="1">
        <f t="shared" si="27"/>
        <v>31.314835450000004</v>
      </c>
      <c r="CY20" s="1">
        <f t="shared" si="27"/>
        <v>42.986147830000007</v>
      </c>
      <c r="CZ20" s="1">
        <f t="shared" si="27"/>
        <v>54.859389430000007</v>
      </c>
      <c r="DA20" s="1">
        <f t="shared" si="28"/>
        <v>51.150985829999996</v>
      </c>
      <c r="DB20" s="1">
        <f t="shared" si="28"/>
        <v>59.173949850000007</v>
      </c>
      <c r="DC20" s="1">
        <f t="shared" si="28"/>
        <v>46.396857000000011</v>
      </c>
      <c r="DD20" s="1">
        <f t="shared" si="28"/>
        <v>23.934850630000003</v>
      </c>
      <c r="DE20" s="1">
        <f t="shared" si="28"/>
        <v>23.934850630000003</v>
      </c>
      <c r="DF20" s="1">
        <f t="shared" si="28"/>
        <v>23.934850630000003</v>
      </c>
      <c r="DG20" s="1">
        <f t="shared" si="28"/>
        <v>25.188374430000003</v>
      </c>
      <c r="DH20" s="1">
        <f t="shared" si="28"/>
        <v>22.303018159999997</v>
      </c>
      <c r="DJ20" s="1">
        <f t="shared" si="29"/>
        <v>0.48093908999999996</v>
      </c>
      <c r="DK20" s="1">
        <f t="shared" si="29"/>
        <v>0.75917950999999995</v>
      </c>
      <c r="DL20" s="1">
        <f t="shared" si="29"/>
        <v>1.2785091</v>
      </c>
      <c r="DM20" s="1">
        <f t="shared" si="29"/>
        <v>1.2245926600000001</v>
      </c>
      <c r="DN20" s="1">
        <f t="shared" si="29"/>
        <v>1.4505186299999999</v>
      </c>
      <c r="DO20" s="1">
        <f t="shared" si="29"/>
        <v>0.59532569999999996</v>
      </c>
      <c r="DP20" s="1">
        <f t="shared" si="29"/>
        <v>0.31596546000000003</v>
      </c>
      <c r="DQ20" s="1">
        <f t="shared" si="29"/>
        <v>5.1857800000000009E-3</v>
      </c>
      <c r="DR20" s="1">
        <f t="shared" si="29"/>
        <v>0.39547034999999997</v>
      </c>
      <c r="DS20" s="1">
        <f t="shared" si="29"/>
        <v>0.54650961999999992</v>
      </c>
      <c r="DT20" s="1">
        <f t="shared" si="29"/>
        <v>0.19315473</v>
      </c>
      <c r="DU20" s="1">
        <f t="shared" si="29"/>
        <v>0.43976497000000003</v>
      </c>
      <c r="DV20" s="1">
        <f t="shared" si="29"/>
        <v>0.72520266</v>
      </c>
      <c r="DW20" s="1">
        <f t="shared" si="29"/>
        <v>1.1922353400000001</v>
      </c>
      <c r="DX20" s="1">
        <f t="shared" si="29"/>
        <v>1.0915780799999999</v>
      </c>
      <c r="DY20" s="1">
        <f t="shared" si="29"/>
        <v>0.5667896</v>
      </c>
      <c r="DZ20" s="1">
        <f t="shared" si="30"/>
        <v>0.43323378000000001</v>
      </c>
      <c r="EA20" s="1">
        <f t="shared" si="30"/>
        <v>0.20107160000000002</v>
      </c>
      <c r="EB20" s="1">
        <f t="shared" si="30"/>
        <v>4.7323499999999998E-2</v>
      </c>
      <c r="EC20" s="1">
        <f t="shared" si="30"/>
        <v>0.18245199000000001</v>
      </c>
      <c r="ED20" s="1">
        <f t="shared" si="30"/>
        <v>6.8745290000000001E-2</v>
      </c>
      <c r="EE20" s="1">
        <f t="shared" si="30"/>
        <v>0.21798748000000001</v>
      </c>
      <c r="EF20" s="1">
        <f t="shared" si="30"/>
        <v>7.9820000000000002E-2</v>
      </c>
      <c r="EG20" s="1">
        <f t="shared" si="30"/>
        <v>0.14837025000000001</v>
      </c>
      <c r="EI20" s="14">
        <f t="shared" si="40"/>
        <v>0</v>
      </c>
      <c r="EJ20" s="14">
        <f t="shared" si="40"/>
        <v>0</v>
      </c>
      <c r="EK20" s="1">
        <f t="shared" si="40"/>
        <v>0</v>
      </c>
      <c r="EL20" s="1">
        <f t="shared" si="40"/>
        <v>0</v>
      </c>
      <c r="EM20" s="1">
        <f t="shared" si="40"/>
        <v>0</v>
      </c>
      <c r="EN20" s="1">
        <f t="shared" si="40"/>
        <v>0</v>
      </c>
      <c r="EO20" s="1">
        <f t="shared" si="40"/>
        <v>0</v>
      </c>
      <c r="EP20" s="1">
        <f t="shared" si="40"/>
        <v>0</v>
      </c>
      <c r="EQ20" s="1">
        <f t="shared" si="40"/>
        <v>0</v>
      </c>
      <c r="ER20" s="1">
        <f t="shared" si="40"/>
        <v>0</v>
      </c>
      <c r="ES20" s="1">
        <f t="shared" si="40"/>
        <v>0</v>
      </c>
      <c r="ET20" s="1">
        <f t="shared" si="40"/>
        <v>0</v>
      </c>
      <c r="EU20" s="1">
        <f t="shared" si="40"/>
        <v>0</v>
      </c>
      <c r="EV20" s="1">
        <f t="shared" si="40"/>
        <v>0</v>
      </c>
      <c r="EW20" s="1">
        <f t="shared" si="40"/>
        <v>0</v>
      </c>
      <c r="EX20" s="1">
        <f t="shared" si="40"/>
        <v>0</v>
      </c>
      <c r="EY20" s="1">
        <f t="shared" si="31"/>
        <v>0</v>
      </c>
      <c r="EZ20" s="1">
        <f t="shared" si="31"/>
        <v>0</v>
      </c>
      <c r="FA20" s="1">
        <f t="shared" si="31"/>
        <v>0</v>
      </c>
      <c r="FB20" s="1">
        <f t="shared" si="31"/>
        <v>0</v>
      </c>
      <c r="FC20" s="1">
        <f t="shared" si="31"/>
        <v>0</v>
      </c>
      <c r="FD20" s="1">
        <f t="shared" si="31"/>
        <v>0</v>
      </c>
      <c r="FE20" s="1">
        <f t="shared" si="31"/>
        <v>0</v>
      </c>
      <c r="FF20" s="1">
        <f t="shared" si="31"/>
        <v>0</v>
      </c>
      <c r="FH20" s="162">
        <f t="shared" si="32"/>
        <v>0.40406425464590767</v>
      </c>
    </row>
    <row r="21" spans="1:164" ht="18" customHeight="1">
      <c r="A21" s="244" t="s">
        <v>121</v>
      </c>
      <c r="B21" s="247"/>
      <c r="C21" s="228">
        <f t="shared" si="5"/>
        <v>0</v>
      </c>
      <c r="D21" s="229">
        <v>-2</v>
      </c>
      <c r="E21" s="253">
        <f t="shared" si="6"/>
        <v>9.2046965541265902E-3</v>
      </c>
      <c r="F21" s="254">
        <f t="shared" si="7"/>
        <v>-7.3873676810762845E-3</v>
      </c>
      <c r="G21" s="253">
        <f t="shared" si="8"/>
        <v>-4.6163123898902425E-2</v>
      </c>
      <c r="H21" s="254">
        <f t="shared" si="9"/>
        <v>5.5367820453029015E-2</v>
      </c>
      <c r="I21" s="253">
        <f t="shared" si="10"/>
        <v>0.23794763767679794</v>
      </c>
      <c r="J21" s="254">
        <f t="shared" si="11"/>
        <v>-9.7470497466568773E-2</v>
      </c>
      <c r="K21" s="253">
        <f t="shared" si="12"/>
        <v>0.2164524373487875</v>
      </c>
      <c r="L21" s="254">
        <f t="shared" si="13"/>
        <v>2.1495200328010444E-2</v>
      </c>
      <c r="M21" s="255"/>
      <c r="N21" s="256">
        <v>1</v>
      </c>
      <c r="O21" s="253">
        <f t="shared" si="33"/>
        <v>-0.10030231581731985</v>
      </c>
      <c r="P21" s="257">
        <f t="shared" si="34"/>
        <v>-0.10030231581731985</v>
      </c>
      <c r="Q21" s="253">
        <f t="shared" si="14"/>
        <v>0.11408209154312288</v>
      </c>
      <c r="R21" s="257">
        <f t="shared" si="35"/>
        <v>0.11408209154312288</v>
      </c>
      <c r="S21" s="255"/>
      <c r="T21" s="256">
        <v>1</v>
      </c>
      <c r="U21" s="253">
        <f t="shared" si="15"/>
        <v>0.52430465758500766</v>
      </c>
      <c r="V21" s="258">
        <f t="shared" si="16"/>
        <v>0.52430465758500766</v>
      </c>
      <c r="W21" s="253">
        <f t="shared" si="36"/>
        <v>6.892108943618469E-2</v>
      </c>
      <c r="X21" s="258">
        <f t="shared" si="17"/>
        <v>6.892108943618469E-2</v>
      </c>
      <c r="Y21" s="253">
        <f t="shared" si="37"/>
        <v>0.10772578890097928</v>
      </c>
      <c r="Z21" s="258">
        <f t="shared" si="18"/>
        <v>0.10772578890097928</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VLOOKUP($A21,historia!$A$5:$DD$24,+HLOOKUP(AP$2,historia!$A$3:$EC$4,2,FALSE),FALSE)</f>
        <v>2</v>
      </c>
      <c r="AQ21" s="28">
        <f>VLOOKUP($A21,historia!$A$5:$DD$24,+HLOOKUP(AQ$2,historia!$A$3:$EC$4,2,FALSE),FALSE)</f>
        <v>2</v>
      </c>
      <c r="AR21" s="28">
        <f>VLOOKUP($A21,historia!$A$5:$DD$24,+HLOOKUP(AR$2,historia!$A$3:$EC$4,2,FALSE),FALSE)</f>
        <v>2</v>
      </c>
      <c r="AS21" s="28">
        <f>VLOOKUP($A21,historia!$A$5:$DD$24,+HLOOKUP(AS$2,historia!$A$3:$EC$4,2,FALSE),FALSE)</f>
        <v>3</v>
      </c>
      <c r="AT21" s="58">
        <f>VLOOKUP($A21,historia!$A$5:$DD$24,+HLOOKUP(AT$2,historia!$A$3:$EC$4,2,FALSE),FALSE)</f>
        <v>3</v>
      </c>
      <c r="AU21" s="58">
        <f>VLOOKUP($A21,historia!$A$5:$DD$24,+HLOOKUP(AU$2,historia!$A$3:$EC$4,2,FALSE),FALSE)</f>
        <v>3</v>
      </c>
      <c r="AV21" s="58">
        <f>VLOOKUP($A21,historia!$A$5:$DD$24,+HLOOKUP(AV$2,historia!$A$3:$EC$4,2,FALSE),FALSE)</f>
        <v>3</v>
      </c>
      <c r="AW21" s="58">
        <f>VLOOKUP($A21,historia!$A$5:$DD$24,+HLOOKUP(AW$2,historia!$A$3:$EC$4,2,FALSE),FALSE)</f>
        <v>3</v>
      </c>
      <c r="AX21" s="58">
        <f>VLOOKUP($A21,historia!$A$5:$DD$24,+HLOOKUP(AX$2,historia!$A$3:$EC$4,2,FALSE),FALSE)</f>
        <v>3</v>
      </c>
      <c r="AY21" s="58">
        <f>VLOOKUP($A21,historia!$A$5:$DD$24,+HLOOKUP(AY$2,historia!$A$3:$EC$4,2,FALSE),FALSE)</f>
        <v>3</v>
      </c>
      <c r="AZ21" s="58">
        <f>VLOOKUP($A21,historia!$A$5:$DD$24,+HLOOKUP(AZ$2,historia!$A$3:$EC$4,2,FALSE),FALSE)</f>
        <v>3</v>
      </c>
      <c r="BA21" s="58">
        <f>VLOOKUP($A21,historia!$A$5:$DG$24,+HLOOKUP(BA$2,historia!$A$3:$EC$4,2,FALSE),FALSE)</f>
        <v>3</v>
      </c>
      <c r="BB21" s="58"/>
      <c r="BC21" s="286">
        <v>3</v>
      </c>
      <c r="BD21" t="str">
        <f t="shared" si="19"/>
        <v>Porcinos</v>
      </c>
      <c r="BE21">
        <f>+datos!BR1</f>
        <v>70</v>
      </c>
      <c r="BF21" s="2" t="str">
        <f t="shared" si="4"/>
        <v>$/kg</v>
      </c>
      <c r="BG21" s="2">
        <f t="shared" si="4"/>
        <v>2056.85</v>
      </c>
      <c r="BH21" s="2">
        <f t="shared" si="4"/>
        <v>2038.09</v>
      </c>
      <c r="BI21" s="2">
        <f t="shared" si="4"/>
        <v>1661.5</v>
      </c>
      <c r="BK21" s="1">
        <f>+datos!EJ1</f>
        <v>140</v>
      </c>
      <c r="BL21" s="1">
        <f t="shared" si="20"/>
        <v>5387190</v>
      </c>
      <c r="BM21" s="1">
        <f t="shared" si="20"/>
        <v>5987778</v>
      </c>
      <c r="BO21" s="1">
        <f>+datos!HE1</f>
        <v>213</v>
      </c>
      <c r="BP21" s="1">
        <f t="shared" si="21"/>
        <v>876972</v>
      </c>
      <c r="BQ21" s="1">
        <f t="shared" si="21"/>
        <v>787170</v>
      </c>
      <c r="BS21" s="1">
        <f>+datos!KJ1</f>
        <v>296</v>
      </c>
      <c r="BT21" s="2">
        <f t="shared" si="38"/>
        <v>39.450716180000001</v>
      </c>
      <c r="BU21" s="2">
        <f t="shared" si="39"/>
        <v>25.881122900000001</v>
      </c>
      <c r="BW21" s="1">
        <f>+datos!LO1</f>
        <v>327</v>
      </c>
      <c r="BX21" s="2">
        <f t="shared" si="22"/>
        <v>174.26593363000001</v>
      </c>
      <c r="BY21" s="2">
        <f t="shared" si="23"/>
        <v>163.02974593000002</v>
      </c>
      <c r="CA21" s="1">
        <f>+datos!IO1</f>
        <v>249</v>
      </c>
      <c r="CB21" s="2">
        <f t="shared" si="24"/>
        <v>20.36</v>
      </c>
      <c r="CC21" s="2">
        <f t="shared" si="25"/>
        <v>18.38</v>
      </c>
      <c r="CD21" s="2">
        <f>CB21-CC21</f>
        <v>1.9800000000000004</v>
      </c>
      <c r="CE21">
        <f>+datos!DD1</f>
        <v>108</v>
      </c>
      <c r="CF21" s="2">
        <f t="shared" si="26"/>
        <v>13595.305001949215</v>
      </c>
      <c r="CG21" s="2">
        <f t="shared" si="26"/>
        <v>14253.2809776881</v>
      </c>
      <c r="CH21" s="2">
        <f t="shared" si="26"/>
        <v>11176.191180626571</v>
      </c>
      <c r="CI21" s="2"/>
      <c r="CK21" s="1">
        <f t="shared" si="27"/>
        <v>2.9791854299999998</v>
      </c>
      <c r="CL21" s="1">
        <f t="shared" si="27"/>
        <v>2.5324276399999994</v>
      </c>
      <c r="CM21" s="1">
        <f t="shared" si="27"/>
        <v>2.9139961099999998</v>
      </c>
      <c r="CN21" s="1">
        <f t="shared" si="27"/>
        <v>4.62689489</v>
      </c>
      <c r="CO21" s="1">
        <f t="shared" si="27"/>
        <v>3.3258325500000003</v>
      </c>
      <c r="CP21" s="1">
        <f t="shared" si="27"/>
        <v>3.2559529299999999</v>
      </c>
      <c r="CQ21" s="1">
        <f t="shared" si="27"/>
        <v>2.83989907</v>
      </c>
      <c r="CR21" s="1">
        <f t="shared" si="27"/>
        <v>3.9903958900000003</v>
      </c>
      <c r="CS21" s="1">
        <f t="shared" si="27"/>
        <v>3.0562051500000003</v>
      </c>
      <c r="CT21" s="1">
        <f t="shared" si="27"/>
        <v>3.17480787</v>
      </c>
      <c r="CU21" s="1">
        <f t="shared" si="27"/>
        <v>3.9252467499999995</v>
      </c>
      <c r="CV21" s="1">
        <f t="shared" si="27"/>
        <v>2.8298719000000001</v>
      </c>
      <c r="CW21" s="1">
        <f t="shared" si="27"/>
        <v>2.08934314</v>
      </c>
      <c r="CX21" s="1">
        <f t="shared" si="27"/>
        <v>2.1371287799999998</v>
      </c>
      <c r="CY21" s="1">
        <f t="shared" si="27"/>
        <v>2.3754365900000001</v>
      </c>
      <c r="CZ21" s="1">
        <f t="shared" si="27"/>
        <v>2.2921349499999994</v>
      </c>
      <c r="DA21" s="1">
        <f t="shared" si="28"/>
        <v>1.76811707</v>
      </c>
      <c r="DB21" s="1">
        <f t="shared" si="28"/>
        <v>1.0764735399999998</v>
      </c>
      <c r="DC21" s="1">
        <f t="shared" si="28"/>
        <v>3.87511991</v>
      </c>
      <c r="DD21" s="1">
        <f t="shared" si="28"/>
        <v>1.4111442899999997</v>
      </c>
      <c r="DE21" s="1">
        <f t="shared" si="28"/>
        <v>1.9463367499999997</v>
      </c>
      <c r="DF21" s="1">
        <f t="shared" si="28"/>
        <v>1.6096260199999999</v>
      </c>
      <c r="DG21" s="1">
        <f t="shared" si="28"/>
        <v>3.1723580499999997</v>
      </c>
      <c r="DH21" s="1">
        <f t="shared" si="28"/>
        <v>2.1279038099999998</v>
      </c>
      <c r="DJ21" s="1">
        <f t="shared" si="29"/>
        <v>15.868826780000001</v>
      </c>
      <c r="DK21" s="1">
        <f t="shared" si="29"/>
        <v>18.649231880000002</v>
      </c>
      <c r="DL21" s="1">
        <f t="shared" si="29"/>
        <v>18.261070109999999</v>
      </c>
      <c r="DM21" s="1">
        <f t="shared" si="29"/>
        <v>17.106185659999998</v>
      </c>
      <c r="DN21" s="1">
        <f t="shared" si="29"/>
        <v>18.533270270000003</v>
      </c>
      <c r="DO21" s="1">
        <f t="shared" si="29"/>
        <v>16.162930539999998</v>
      </c>
      <c r="DP21" s="1">
        <f t="shared" si="29"/>
        <v>12.802625309999998</v>
      </c>
      <c r="DQ21" s="1">
        <f t="shared" si="29"/>
        <v>9.4713607899999985</v>
      </c>
      <c r="DR21" s="1">
        <f t="shared" si="29"/>
        <v>10.975213970000002</v>
      </c>
      <c r="DS21" s="1">
        <f t="shared" si="29"/>
        <v>10.181194250000003</v>
      </c>
      <c r="DT21" s="1">
        <f t="shared" si="29"/>
        <v>12.329496939999999</v>
      </c>
      <c r="DU21" s="1">
        <f t="shared" si="29"/>
        <v>13.92452713</v>
      </c>
      <c r="DV21" s="1">
        <f t="shared" si="29"/>
        <v>11.75892646</v>
      </c>
      <c r="DW21" s="1">
        <f t="shared" si="29"/>
        <v>11.837628230000002</v>
      </c>
      <c r="DX21" s="1">
        <f t="shared" si="29"/>
        <v>13.531613630000001</v>
      </c>
      <c r="DY21" s="1">
        <f t="shared" ref="DY21:EG24" si="41">+VLOOKUP(DY$1,ran_dat,$BW21,FALSE)</f>
        <v>19.3334501</v>
      </c>
      <c r="DZ21" s="1">
        <f t="shared" si="41"/>
        <v>18.318769970000002</v>
      </c>
      <c r="EA21" s="1">
        <f t="shared" si="41"/>
        <v>14.031594299999998</v>
      </c>
      <c r="EB21" s="1">
        <f t="shared" si="41"/>
        <v>14.447589379999997</v>
      </c>
      <c r="EC21" s="1">
        <f t="shared" si="41"/>
        <v>14.265215759999998</v>
      </c>
      <c r="ED21" s="1">
        <f t="shared" si="41"/>
        <v>16.354180840000001</v>
      </c>
      <c r="EE21" s="1">
        <f t="shared" si="41"/>
        <v>10.919699229999997</v>
      </c>
      <c r="EF21" s="1">
        <f t="shared" si="41"/>
        <v>10.87912704</v>
      </c>
      <c r="EG21" s="1">
        <f t="shared" si="41"/>
        <v>7.3519509899999989</v>
      </c>
      <c r="EI21" s="14">
        <f t="shared" si="40"/>
        <v>20.36</v>
      </c>
      <c r="EJ21" s="14">
        <f t="shared" si="40"/>
        <v>20.13</v>
      </c>
      <c r="EK21" s="1">
        <f t="shared" si="40"/>
        <v>19.93</v>
      </c>
      <c r="EL21" s="1">
        <f t="shared" si="40"/>
        <v>19.59</v>
      </c>
      <c r="EM21" s="1">
        <f t="shared" si="40"/>
        <v>19.53</v>
      </c>
      <c r="EN21" s="1">
        <f t="shared" si="40"/>
        <v>19.43</v>
      </c>
      <c r="EO21" s="1">
        <f t="shared" si="40"/>
        <v>19.100000000000001</v>
      </c>
      <c r="EP21" s="1">
        <f t="shared" si="40"/>
        <v>18.97</v>
      </c>
      <c r="EQ21" s="1">
        <f t="shared" si="40"/>
        <v>18.899999999999999</v>
      </c>
      <c r="ER21" s="1">
        <f t="shared" si="40"/>
        <v>18.78</v>
      </c>
      <c r="ES21" s="1">
        <f t="shared" si="40"/>
        <v>18.72</v>
      </c>
      <c r="ET21" s="1">
        <f t="shared" si="40"/>
        <v>18.600000000000001</v>
      </c>
      <c r="EU21" s="1">
        <f t="shared" si="40"/>
        <v>18.38</v>
      </c>
      <c r="EV21" s="1">
        <f t="shared" si="40"/>
        <v>18.28</v>
      </c>
      <c r="EW21" s="1">
        <f t="shared" si="40"/>
        <v>18.239999999999998</v>
      </c>
      <c r="EX21" s="1">
        <f t="shared" si="40"/>
        <v>18.079999999999998</v>
      </c>
      <c r="EY21" s="1">
        <f t="shared" si="31"/>
        <v>17.989999999999998</v>
      </c>
      <c r="EZ21" s="1">
        <f t="shared" si="31"/>
        <v>17.850000000000001</v>
      </c>
      <c r="FA21" s="1">
        <f t="shared" si="31"/>
        <v>17.73</v>
      </c>
      <c r="FB21" s="1">
        <f t="shared" si="31"/>
        <v>17.510000000000002</v>
      </c>
      <c r="FC21" s="1">
        <f t="shared" si="31"/>
        <v>17.13</v>
      </c>
      <c r="FD21" s="1">
        <f t="shared" si="31"/>
        <v>16.89</v>
      </c>
      <c r="FE21" s="1">
        <f t="shared" si="31"/>
        <v>16.87</v>
      </c>
      <c r="FF21" s="1">
        <f t="shared" si="31"/>
        <v>16.8</v>
      </c>
      <c r="FH21" s="162">
        <f t="shared" si="32"/>
        <v>2.1495200328010444E-2</v>
      </c>
    </row>
    <row r="22" spans="1:164" ht="18.75" customHeight="1">
      <c r="A22" s="243" t="s">
        <v>75</v>
      </c>
      <c r="B22" s="246"/>
      <c r="C22" s="156">
        <f t="shared" si="5"/>
        <v>0.66</v>
      </c>
      <c r="D22" s="198">
        <v>1</v>
      </c>
      <c r="E22" s="248">
        <f t="shared" si="6"/>
        <v>1.8722065826783485E-2</v>
      </c>
      <c r="F22" s="249">
        <f t="shared" si="7"/>
        <v>2.1300015915806103E-3</v>
      </c>
      <c r="G22" s="248">
        <f t="shared" si="8"/>
        <v>7.4044594329611968E-3</v>
      </c>
      <c r="H22" s="249">
        <f t="shared" si="9"/>
        <v>1.1317606393822288E-2</v>
      </c>
      <c r="I22" s="248">
        <f t="shared" si="10"/>
        <v>0.29302657161373946</v>
      </c>
      <c r="J22" s="249">
        <f t="shared" si="11"/>
        <v>-4.2391563529627252E-2</v>
      </c>
      <c r="K22" s="248">
        <f t="shared" si="12"/>
        <v>0.34871015271516725</v>
      </c>
      <c r="L22" s="249">
        <f t="shared" si="13"/>
        <v>-5.5683581101427793E-2</v>
      </c>
      <c r="M22" s="250"/>
      <c r="N22" s="24">
        <v>0</v>
      </c>
      <c r="O22" s="248">
        <f t="shared" si="33"/>
        <v>0</v>
      </c>
      <c r="P22" s="251">
        <f t="shared" si="34"/>
        <v>0</v>
      </c>
      <c r="Q22" s="248">
        <f t="shared" si="14"/>
        <v>5.5491299713272824E-5</v>
      </c>
      <c r="R22" s="251">
        <f t="shared" si="35"/>
        <v>5.5491299713272824E-5</v>
      </c>
      <c r="S22" s="250"/>
      <c r="T22" s="24">
        <v>1</v>
      </c>
      <c r="U22" s="248">
        <f t="shared" si="15"/>
        <v>0.17322189464792204</v>
      </c>
      <c r="V22" s="252">
        <f t="shared" si="16"/>
        <v>0.17322189464792204</v>
      </c>
      <c r="W22" s="248">
        <f t="shared" si="36"/>
        <v>-8.2661529174383297E-2</v>
      </c>
      <c r="X22" s="252">
        <f t="shared" si="17"/>
        <v>-8.2661529174383297E-2</v>
      </c>
      <c r="Y22" s="248"/>
      <c r="Z22" s="252">
        <f t="shared" si="18"/>
        <v>0</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VLOOKUP($A22,historia!$A$5:$DD$24,+HLOOKUP(AP$2,historia!$A$3:$EC$4,2,FALSE),FALSE)</f>
        <v>3</v>
      </c>
      <c r="AQ22" s="28">
        <f>VLOOKUP($A22,historia!$A$5:$DD$24,+HLOOKUP(AQ$2,historia!$A$3:$EC$4,2,FALSE),FALSE)</f>
        <v>3</v>
      </c>
      <c r="AR22" s="28">
        <f>VLOOKUP($A22,historia!$A$5:$DD$24,+HLOOKUP(AR$2,historia!$A$3:$EC$4,2,FALSE),FALSE)</f>
        <v>3</v>
      </c>
      <c r="AS22" s="28">
        <f>VLOOKUP($A22,historia!$A$5:$DD$24,+HLOOKUP(AS$2,historia!$A$3:$EC$4,2,FALSE),FALSE)</f>
        <v>3</v>
      </c>
      <c r="AT22" s="58">
        <f>VLOOKUP($A22,historia!$A$5:$DD$24,+HLOOKUP(AT$2,historia!$A$3:$EC$4,2,FALSE),FALSE)</f>
        <v>3</v>
      </c>
      <c r="AU22" s="58">
        <f>VLOOKUP($A22,historia!$A$5:$DD$24,+HLOOKUP(AU$2,historia!$A$3:$EC$4,2,FALSE),FALSE)</f>
        <v>3</v>
      </c>
      <c r="AV22" s="58">
        <f>VLOOKUP($A22,historia!$A$5:$DD$24,+HLOOKUP(AV$2,historia!$A$3:$EC$4,2,FALSE),FALSE)</f>
        <v>3</v>
      </c>
      <c r="AW22" s="58">
        <f>VLOOKUP($A22,historia!$A$5:$DD$24,+HLOOKUP(AW$2,historia!$A$3:$EC$4,2,FALSE),FALSE)</f>
        <v>3</v>
      </c>
      <c r="AX22" s="58">
        <f>VLOOKUP($A22,historia!$A$5:$DD$24,+HLOOKUP(AX$2,historia!$A$3:$EC$4,2,FALSE),FALSE)</f>
        <v>3</v>
      </c>
      <c r="AY22" s="58">
        <f>VLOOKUP($A22,historia!$A$5:$DD$24,+HLOOKUP(AY$2,historia!$A$3:$EC$4,2,FALSE),FALSE)</f>
        <v>3</v>
      </c>
      <c r="AZ22" s="58">
        <f>VLOOKUP($A22,historia!$A$5:$DD$24,+HLOOKUP(AZ$2,historia!$A$3:$EC$4,2,FALSE),FALSE)</f>
        <v>3</v>
      </c>
      <c r="BA22" s="58">
        <f>VLOOKUP($A22,historia!$A$5:$DG$24,+HLOOKUP(BA$2,historia!$A$3:$EC$4,2,FALSE),FALSE)</f>
        <v>3</v>
      </c>
      <c r="BB22" s="58"/>
      <c r="BC22" s="286">
        <v>3</v>
      </c>
      <c r="BD22" t="str">
        <f t="shared" si="19"/>
        <v>Tabaco</v>
      </c>
      <c r="BE22">
        <f>+datos!BJ1</f>
        <v>62</v>
      </c>
      <c r="BF22" s="2" t="str">
        <f t="shared" si="4"/>
        <v>$/kg</v>
      </c>
      <c r="BG22" s="2">
        <f t="shared" si="4"/>
        <v>5985.42</v>
      </c>
      <c r="BH22" s="2">
        <f t="shared" si="4"/>
        <v>5875.42</v>
      </c>
      <c r="BI22" s="2">
        <f t="shared" si="4"/>
        <v>4629</v>
      </c>
      <c r="BK22" s="1">
        <f>+datos!FD1</f>
        <v>160</v>
      </c>
      <c r="BL22" s="1">
        <f t="shared" si="20"/>
        <v>60376</v>
      </c>
      <c r="BM22" s="1">
        <f t="shared" si="20"/>
        <v>60376</v>
      </c>
      <c r="BO22" s="1">
        <f>+datos!GX1</f>
        <v>206</v>
      </c>
      <c r="BP22" s="1">
        <f t="shared" si="21"/>
        <v>36043.686000000002</v>
      </c>
      <c r="BQ22" s="1">
        <f t="shared" si="21"/>
        <v>36041.686000000002</v>
      </c>
      <c r="BS22" s="1">
        <f>+datos!KC1</f>
        <v>289</v>
      </c>
      <c r="BT22" s="1">
        <f t="shared" si="38"/>
        <v>658.04569690000005</v>
      </c>
      <c r="BU22" s="1">
        <f t="shared" si="39"/>
        <v>560.88767171999996</v>
      </c>
      <c r="BW22" s="1">
        <f>+datos!LH1</f>
        <v>320</v>
      </c>
      <c r="BX22" s="2">
        <f t="shared" si="22"/>
        <v>52.435892119999998</v>
      </c>
      <c r="BY22" s="2">
        <f t="shared" si="23"/>
        <v>57.160899480000012</v>
      </c>
      <c r="CA22" s="1">
        <f>+datos!JD1</f>
        <v>264</v>
      </c>
      <c r="CB22" s="1">
        <f t="shared" si="24"/>
        <v>0</v>
      </c>
      <c r="CC22" s="1">
        <f t="shared" si="25"/>
        <v>0</v>
      </c>
      <c r="CD22" s="1"/>
      <c r="CE22">
        <f>+datos!DA1</f>
        <v>105</v>
      </c>
      <c r="CF22" s="2">
        <f t="shared" si="26"/>
        <v>15390.274110835449</v>
      </c>
      <c r="CG22" s="2">
        <f t="shared" si="26"/>
        <v>15277.155036119444</v>
      </c>
      <c r="CH22" s="2">
        <f t="shared" si="26"/>
        <v>11411.105699658588</v>
      </c>
      <c r="CI22" s="1"/>
      <c r="CK22" s="1">
        <f t="shared" ref="CK22:CZ24" si="42">+VLOOKUP(CK$1,ran_dat,$BS22,FALSE)</f>
        <v>48.677116440000006</v>
      </c>
      <c r="CL22" s="1">
        <f t="shared" si="42"/>
        <v>112.95555809</v>
      </c>
      <c r="CM22" s="1">
        <f t="shared" si="42"/>
        <v>36.186583909999996</v>
      </c>
      <c r="CN22" s="1">
        <f t="shared" si="42"/>
        <v>56.707234039999996</v>
      </c>
      <c r="CO22" s="1">
        <f t="shared" si="42"/>
        <v>37.459973120000001</v>
      </c>
      <c r="CP22" s="1">
        <f t="shared" si="42"/>
        <v>10.172513039999997</v>
      </c>
      <c r="CQ22" s="1">
        <f t="shared" si="42"/>
        <v>86.187029549999991</v>
      </c>
      <c r="CR22" s="1">
        <f t="shared" si="42"/>
        <v>13.8144042</v>
      </c>
      <c r="CS22" s="1">
        <f t="shared" si="42"/>
        <v>30.603557829999996</v>
      </c>
      <c r="CT22" s="1">
        <f t="shared" si="42"/>
        <v>71.370433359999993</v>
      </c>
      <c r="CU22" s="1">
        <f t="shared" si="42"/>
        <v>81.464957519999999</v>
      </c>
      <c r="CV22" s="1">
        <f t="shared" si="42"/>
        <v>72.4463358</v>
      </c>
      <c r="CW22" s="1">
        <f t="shared" si="42"/>
        <v>45.834687599999995</v>
      </c>
      <c r="CX22" s="1">
        <f t="shared" si="42"/>
        <v>54.830270300000002</v>
      </c>
      <c r="CY22" s="1">
        <f t="shared" si="42"/>
        <v>93.57534471000001</v>
      </c>
      <c r="CZ22" s="1">
        <f t="shared" si="42"/>
        <v>121.04017274</v>
      </c>
      <c r="DA22" s="1">
        <f t="shared" ref="DA22:DH24" si="43">+VLOOKUP(DA$1,ran_dat,$BS22,FALSE)</f>
        <v>27.891120319999999</v>
      </c>
      <c r="DB22" s="1">
        <f t="shared" si="43"/>
        <v>5.5120895000000001</v>
      </c>
      <c r="DC22" s="1">
        <f t="shared" si="43"/>
        <v>9.7228914799999995</v>
      </c>
      <c r="DD22" s="1">
        <f t="shared" si="43"/>
        <v>6.2035308000000002</v>
      </c>
      <c r="DE22" s="1">
        <f t="shared" si="43"/>
        <v>65.18720725</v>
      </c>
      <c r="DF22" s="1">
        <f t="shared" si="43"/>
        <v>34.962073999999994</v>
      </c>
      <c r="DG22" s="1">
        <f t="shared" si="43"/>
        <v>41.640055749999995</v>
      </c>
      <c r="DH22" s="1">
        <f t="shared" si="43"/>
        <v>54.488227269999996</v>
      </c>
      <c r="DJ22" s="1">
        <f t="shared" ref="DJ22:DY24" si="44">+VLOOKUP(DJ$1,ran_dat,$BW22,FALSE)</f>
        <v>5.5489242099999991</v>
      </c>
      <c r="DK22" s="1">
        <f t="shared" si="44"/>
        <v>4.311670369999999</v>
      </c>
      <c r="DL22" s="1">
        <f t="shared" si="44"/>
        <v>6.0739887699999997</v>
      </c>
      <c r="DM22" s="1">
        <f t="shared" si="44"/>
        <v>4.24949917</v>
      </c>
      <c r="DN22" s="1">
        <f t="shared" si="44"/>
        <v>5.1064074300000009</v>
      </c>
      <c r="DO22" s="1">
        <f t="shared" si="44"/>
        <v>3.8621701900000001</v>
      </c>
      <c r="DP22" s="1">
        <f t="shared" si="44"/>
        <v>4.1810604400000004</v>
      </c>
      <c r="DQ22" s="1">
        <f t="shared" si="44"/>
        <v>2.54586113</v>
      </c>
      <c r="DR22" s="1">
        <f t="shared" si="44"/>
        <v>3.7941515599999995</v>
      </c>
      <c r="DS22" s="1">
        <f t="shared" si="44"/>
        <v>4.1345480800000001</v>
      </c>
      <c r="DT22" s="1">
        <f t="shared" si="44"/>
        <v>4.4276183800000002</v>
      </c>
      <c r="DU22" s="1">
        <f t="shared" si="44"/>
        <v>4.1999923900000002</v>
      </c>
      <c r="DV22" s="1">
        <f t="shared" si="44"/>
        <v>3.4339864000000002</v>
      </c>
      <c r="DW22" s="1">
        <f t="shared" si="44"/>
        <v>2.5223350999999994</v>
      </c>
      <c r="DX22" s="1">
        <f t="shared" si="44"/>
        <v>3.5013919399999995</v>
      </c>
      <c r="DY22" s="1">
        <f t="shared" si="44"/>
        <v>4.00557768</v>
      </c>
      <c r="DZ22" s="1">
        <f t="shared" si="41"/>
        <v>5.1774083700000002</v>
      </c>
      <c r="EA22" s="1">
        <f t="shared" si="41"/>
        <v>5.7823087099999997</v>
      </c>
      <c r="EB22" s="1">
        <f t="shared" si="41"/>
        <v>5.6310443999999995</v>
      </c>
      <c r="EC22" s="1">
        <f t="shared" si="41"/>
        <v>4.1108512499999996</v>
      </c>
      <c r="ED22" s="1">
        <f t="shared" si="41"/>
        <v>6.9241559000000006</v>
      </c>
      <c r="EE22" s="1">
        <f t="shared" si="41"/>
        <v>4.9762964800000002</v>
      </c>
      <c r="EF22" s="1">
        <f t="shared" si="41"/>
        <v>5.7062324599999998</v>
      </c>
      <c r="EG22" s="1">
        <f t="shared" si="41"/>
        <v>5.3893107900000006</v>
      </c>
      <c r="EI22" s="14">
        <f t="shared" si="40"/>
        <v>0</v>
      </c>
      <c r="EJ22" s="14">
        <f t="shared" si="40"/>
        <v>0</v>
      </c>
      <c r="EK22" s="1">
        <f t="shared" si="40"/>
        <v>0</v>
      </c>
      <c r="EL22" s="1">
        <f t="shared" si="40"/>
        <v>0</v>
      </c>
      <c r="EM22" s="1">
        <f t="shared" si="40"/>
        <v>0</v>
      </c>
      <c r="EN22" s="1">
        <f t="shared" si="40"/>
        <v>0</v>
      </c>
      <c r="EO22" s="1">
        <f t="shared" si="40"/>
        <v>0</v>
      </c>
      <c r="EP22" s="1">
        <f t="shared" si="40"/>
        <v>0</v>
      </c>
      <c r="EQ22" s="1">
        <f t="shared" si="40"/>
        <v>0</v>
      </c>
      <c r="ER22" s="1">
        <f t="shared" si="40"/>
        <v>0</v>
      </c>
      <c r="ES22" s="1">
        <f t="shared" si="40"/>
        <v>0</v>
      </c>
      <c r="ET22" s="1">
        <f t="shared" si="40"/>
        <v>0</v>
      </c>
      <c r="EU22" s="1">
        <f t="shared" si="40"/>
        <v>0</v>
      </c>
      <c r="EV22" s="1">
        <f t="shared" si="40"/>
        <v>0</v>
      </c>
      <c r="EW22" s="1">
        <f t="shared" si="40"/>
        <v>0</v>
      </c>
      <c r="EX22" s="1">
        <f t="shared" ref="EX22:FF24" si="45">+VLOOKUP(EX$1,ran_dat,$CA22,FALSE)</f>
        <v>0</v>
      </c>
      <c r="EY22" s="1">
        <f t="shared" si="45"/>
        <v>0</v>
      </c>
      <c r="EZ22" s="1">
        <f t="shared" si="45"/>
        <v>0</v>
      </c>
      <c r="FA22" s="1">
        <f t="shared" si="45"/>
        <v>0</v>
      </c>
      <c r="FB22" s="1">
        <f t="shared" si="45"/>
        <v>0</v>
      </c>
      <c r="FC22" s="1">
        <f t="shared" si="45"/>
        <v>0</v>
      </c>
      <c r="FD22" s="1">
        <f t="shared" si="45"/>
        <v>0</v>
      </c>
      <c r="FE22" s="1">
        <f t="shared" si="45"/>
        <v>0</v>
      </c>
      <c r="FF22" s="1">
        <f t="shared" si="45"/>
        <v>0</v>
      </c>
      <c r="FH22" s="162">
        <f t="shared" si="32"/>
        <v>-5.5683581101427793E-2</v>
      </c>
    </row>
    <row r="23" spans="1:164" ht="18.75" customHeight="1">
      <c r="A23" s="244" t="s">
        <v>219</v>
      </c>
      <c r="B23" s="247"/>
      <c r="C23" s="228">
        <f t="shared" si="5"/>
        <v>-0.99</v>
      </c>
      <c r="D23" s="229">
        <v>-1</v>
      </c>
      <c r="E23" s="253">
        <f t="shared" si="6"/>
        <v>0.11083131926669809</v>
      </c>
      <c r="F23" s="254">
        <f t="shared" si="7"/>
        <v>9.4239255031495217E-2</v>
      </c>
      <c r="G23" s="253">
        <f t="shared" si="8"/>
        <v>1.9203227199324768E-2</v>
      </c>
      <c r="H23" s="254">
        <f t="shared" si="9"/>
        <v>9.1628092067373323E-2</v>
      </c>
      <c r="I23" s="253">
        <f t="shared" si="10"/>
        <v>-4.8230452566717763E-2</v>
      </c>
      <c r="J23" s="254">
        <f t="shared" si="11"/>
        <v>-0.38364858771008448</v>
      </c>
      <c r="K23" s="253">
        <f t="shared" si="12"/>
        <v>0.34267931364954252</v>
      </c>
      <c r="L23" s="254">
        <f t="shared" si="13"/>
        <v>-0.39090976621626028</v>
      </c>
      <c r="M23" s="255"/>
      <c r="N23" s="256">
        <v>-2</v>
      </c>
      <c r="O23" s="253">
        <f t="shared" si="33"/>
        <v>0</v>
      </c>
      <c r="P23" s="257">
        <f t="shared" si="34"/>
        <v>0</v>
      </c>
      <c r="Q23" s="253">
        <f t="shared" si="14"/>
        <v>-7.6201048455332931E-2</v>
      </c>
      <c r="R23" s="257">
        <f t="shared" si="35"/>
        <v>-7.6201048455332931E-2</v>
      </c>
      <c r="S23" s="255"/>
      <c r="T23" s="256">
        <v>0</v>
      </c>
      <c r="U23" s="253">
        <f t="shared" si="15"/>
        <v>-9.3762570958041191E-2</v>
      </c>
      <c r="V23" s="258">
        <f t="shared" si="16"/>
        <v>-9.3762570958041191E-2</v>
      </c>
      <c r="W23" s="253">
        <f t="shared" si="36"/>
        <v>0.21211777871734294</v>
      </c>
      <c r="X23" s="258">
        <f t="shared" si="17"/>
        <v>0.21211777871734294</v>
      </c>
      <c r="Y23" s="253">
        <f t="shared" si="37"/>
        <v>-4.4776119402984982E-2</v>
      </c>
      <c r="Z23" s="258">
        <f t="shared" si="18"/>
        <v>-4.4776119402984982E-2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VLOOKUP($A23,historia!$A$5:$DD$24,+HLOOKUP(AP$2,historia!$A$3:$EC$4,2,FALSE),FALSE)</f>
        <v>4</v>
      </c>
      <c r="AQ23" s="28">
        <f>VLOOKUP($A23,historia!$A$5:$DD$24,+HLOOKUP(AQ$2,historia!$A$3:$EC$4,2,FALSE),FALSE)</f>
        <v>4</v>
      </c>
      <c r="AR23" s="28">
        <f>VLOOKUP($A23,historia!$A$5:$DD$24,+HLOOKUP(AR$2,historia!$A$3:$EC$4,2,FALSE),FALSE)</f>
        <v>4</v>
      </c>
      <c r="AS23" s="28">
        <f>VLOOKUP($A23,historia!$A$5:$DD$24,+HLOOKUP(AS$2,historia!$A$3:$EC$4,2,FALSE),FALSE)</f>
        <v>4</v>
      </c>
      <c r="AT23" s="58">
        <f>VLOOKUP($A23,historia!$A$5:$DD$24,+HLOOKUP(AT$2,historia!$A$3:$EC$4,2,FALSE),FALSE)</f>
        <v>5</v>
      </c>
      <c r="AU23" s="58">
        <f>VLOOKUP($A23,historia!$A$5:$DD$24,+HLOOKUP(AU$2,historia!$A$3:$EC$4,2,FALSE),FALSE)</f>
        <v>5</v>
      </c>
      <c r="AV23" s="58">
        <f>VLOOKUP($A23,historia!$A$5:$DD$24,+HLOOKUP(AV$2,historia!$A$3:$EC$4,2,FALSE),FALSE)</f>
        <v>4</v>
      </c>
      <c r="AW23" s="58">
        <f>VLOOKUP($A23,historia!$A$5:$DD$24,+HLOOKUP(AW$2,historia!$A$3:$EC$4,2,FALSE),FALSE)</f>
        <v>5</v>
      </c>
      <c r="AX23" s="58">
        <f>VLOOKUP($A23,historia!$A$5:$DD$24,+HLOOKUP(AX$2,historia!$A$3:$EC$4,2,FALSE),FALSE)</f>
        <v>4</v>
      </c>
      <c r="AY23" s="58">
        <f>VLOOKUP($A23,historia!$A$5:$DD$24,+HLOOKUP(AY$2,historia!$A$3:$EC$4,2,FALSE),FALSE)</f>
        <v>4</v>
      </c>
      <c r="AZ23" s="58">
        <f>VLOOKUP($A23,historia!$A$5:$DD$24,+HLOOKUP(AZ$2,historia!$A$3:$EC$4,2,FALSE),FALSE)</f>
        <v>5</v>
      </c>
      <c r="BA23" s="58">
        <f>VLOOKUP($A23,historia!$A$5:$DG$24,+HLOOKUP(BA$2,historia!$A$3:$EC$4,2,FALSE),FALSE)</f>
        <v>5</v>
      </c>
      <c r="BB23" s="58"/>
      <c r="BC23" s="286">
        <v>5</v>
      </c>
      <c r="BD23" t="str">
        <f t="shared" si="19"/>
        <v>Vino y Mosto</v>
      </c>
      <c r="BE23">
        <f>+datos!AM1</f>
        <v>39</v>
      </c>
      <c r="BF23" s="2" t="str">
        <f t="shared" si="4"/>
        <v>$/l</v>
      </c>
      <c r="BG23" s="2">
        <f t="shared" si="4"/>
        <v>289.64859999999999</v>
      </c>
      <c r="BH23" s="2">
        <f t="shared" si="4"/>
        <v>260.74940000000004</v>
      </c>
      <c r="BI23" s="2">
        <f t="shared" si="4"/>
        <v>304.32639999999998</v>
      </c>
      <c r="BK23" s="1">
        <f>+datos!EF1</f>
        <v>136</v>
      </c>
      <c r="BL23" s="1">
        <f t="shared" si="20"/>
        <v>196220</v>
      </c>
      <c r="BM23" s="1">
        <f t="shared" si="20"/>
        <v>196220</v>
      </c>
      <c r="BO23" s="1">
        <f>+datos!GB1</f>
        <v>184</v>
      </c>
      <c r="BP23" s="1">
        <f t="shared" si="21"/>
        <v>18391299</v>
      </c>
      <c r="BQ23" s="1">
        <f t="shared" si="21"/>
        <v>19908335</v>
      </c>
      <c r="BS23" s="1">
        <f>+datos!JU1</f>
        <v>281</v>
      </c>
      <c r="BT23" s="1">
        <f t="shared" si="38"/>
        <v>885.96559002000004</v>
      </c>
      <c r="BU23" s="1">
        <f t="shared" si="39"/>
        <v>977.63076389000025</v>
      </c>
      <c r="BW23" s="1">
        <f>+datos!KZ1</f>
        <v>312</v>
      </c>
      <c r="BX23" s="2">
        <f t="shared" si="22"/>
        <v>43.441173350000007</v>
      </c>
      <c r="BY23" s="2">
        <f t="shared" si="23"/>
        <v>35.839069529999996</v>
      </c>
      <c r="CA23" s="1">
        <f>+datos!IQ1</f>
        <v>251</v>
      </c>
      <c r="CB23" s="2">
        <f t="shared" si="24"/>
        <v>15.36</v>
      </c>
      <c r="CC23" s="2">
        <f t="shared" si="25"/>
        <v>16.079999999999998</v>
      </c>
      <c r="CD23" s="2"/>
      <c r="CE23">
        <f>+datos!CP1</f>
        <v>94</v>
      </c>
      <c r="CF23" s="2">
        <f t="shared" si="26"/>
        <v>16052.217955676098</v>
      </c>
      <c r="CG23" s="2">
        <f t="shared" si="26"/>
        <v>15749.771514937305</v>
      </c>
      <c r="CH23" s="2">
        <f t="shared" si="26"/>
        <v>11955.362529600978</v>
      </c>
      <c r="CI23" s="2"/>
      <c r="CK23" s="1">
        <f t="shared" si="42"/>
        <v>57.979924069999996</v>
      </c>
      <c r="CL23" s="1">
        <f t="shared" si="42"/>
        <v>52.457926919999998</v>
      </c>
      <c r="CM23" s="1">
        <f t="shared" si="42"/>
        <v>79.130319490000005</v>
      </c>
      <c r="CN23" s="1">
        <f t="shared" si="42"/>
        <v>85.65420979999999</v>
      </c>
      <c r="CO23" s="1">
        <f t="shared" si="42"/>
        <v>77.857583390000002</v>
      </c>
      <c r="CP23" s="1">
        <f t="shared" si="42"/>
        <v>79.896688470000015</v>
      </c>
      <c r="CQ23" s="1">
        <f t="shared" si="42"/>
        <v>62.074398439999996</v>
      </c>
      <c r="CR23" s="1">
        <f t="shared" si="42"/>
        <v>51.281836970000001</v>
      </c>
      <c r="CS23" s="1">
        <f t="shared" si="42"/>
        <v>78.732425000000021</v>
      </c>
      <c r="CT23" s="1">
        <f t="shared" si="42"/>
        <v>78.044882909999998</v>
      </c>
      <c r="CU23" s="1">
        <f t="shared" si="42"/>
        <v>79.565238250000007</v>
      </c>
      <c r="CV23" s="1">
        <f t="shared" si="42"/>
        <v>103.29015631000003</v>
      </c>
      <c r="CW23" s="1">
        <f t="shared" si="42"/>
        <v>82.138745600000007</v>
      </c>
      <c r="CX23" s="1">
        <f t="shared" si="42"/>
        <v>101.39273792999998</v>
      </c>
      <c r="CY23" s="1">
        <f t="shared" si="42"/>
        <v>71.170798900000008</v>
      </c>
      <c r="CZ23" s="1">
        <f t="shared" si="42"/>
        <v>88.994061629999976</v>
      </c>
      <c r="DA23" s="1">
        <f t="shared" si="43"/>
        <v>77.155977009999987</v>
      </c>
      <c r="DB23" s="1">
        <f t="shared" si="43"/>
        <v>74.722979570000021</v>
      </c>
      <c r="DC23" s="1">
        <f t="shared" si="43"/>
        <v>63.754065359999977</v>
      </c>
      <c r="DD23" s="1">
        <f t="shared" si="43"/>
        <v>50.923025279999997</v>
      </c>
      <c r="DE23" s="1">
        <f t="shared" si="43"/>
        <v>85.381089520000018</v>
      </c>
      <c r="DF23" s="1">
        <f t="shared" si="43"/>
        <v>87.09478919</v>
      </c>
      <c r="DG23" s="1">
        <f t="shared" si="43"/>
        <v>88.790830600000021</v>
      </c>
      <c r="DH23" s="1">
        <f t="shared" si="43"/>
        <v>106.11166329999998</v>
      </c>
      <c r="DJ23" s="1">
        <f t="shared" si="44"/>
        <v>5.3962028099999992</v>
      </c>
      <c r="DK23" s="1">
        <f t="shared" si="44"/>
        <v>3.9608430999999995</v>
      </c>
      <c r="DL23" s="1">
        <f t="shared" si="44"/>
        <v>3.2996336199999998</v>
      </c>
      <c r="DM23" s="1">
        <f t="shared" si="44"/>
        <v>3.0241928699999998</v>
      </c>
      <c r="DN23" s="1">
        <f t="shared" si="44"/>
        <v>4.4863890000000008</v>
      </c>
      <c r="DO23" s="1">
        <f t="shared" si="44"/>
        <v>2.3774346500000001</v>
      </c>
      <c r="DP23" s="1">
        <f t="shared" si="44"/>
        <v>1.8929445199999999</v>
      </c>
      <c r="DQ23" s="1">
        <f t="shared" si="44"/>
        <v>0.82771172999999998</v>
      </c>
      <c r="DR23" s="1">
        <f t="shared" si="44"/>
        <v>2.0960773500000003</v>
      </c>
      <c r="DS23" s="1">
        <f t="shared" si="44"/>
        <v>4.0370959900000001</v>
      </c>
      <c r="DT23" s="1">
        <f t="shared" si="44"/>
        <v>5.8187882499999999</v>
      </c>
      <c r="DU23" s="1">
        <f t="shared" si="44"/>
        <v>6.2238594599999999</v>
      </c>
      <c r="DV23" s="1">
        <f t="shared" si="44"/>
        <v>3.3465065500000004</v>
      </c>
      <c r="DW23" s="1">
        <f t="shared" si="44"/>
        <v>3.10878063</v>
      </c>
      <c r="DX23" s="1">
        <f t="shared" si="44"/>
        <v>5.0584831100000001</v>
      </c>
      <c r="DY23" s="1">
        <f t="shared" si="44"/>
        <v>4.0554375800000004</v>
      </c>
      <c r="DZ23" s="1">
        <f t="shared" si="41"/>
        <v>3.476448889999999</v>
      </c>
      <c r="EA23" s="1">
        <f t="shared" si="41"/>
        <v>3.23844815</v>
      </c>
      <c r="EB23" s="1">
        <f t="shared" si="41"/>
        <v>1.94679845</v>
      </c>
      <c r="EC23" s="1">
        <f t="shared" si="41"/>
        <v>0.41117072999999998</v>
      </c>
      <c r="ED23" s="1">
        <f t="shared" si="41"/>
        <v>1.6918772199999998</v>
      </c>
      <c r="EE23" s="1">
        <f t="shared" si="41"/>
        <v>4.1008112300000006</v>
      </c>
      <c r="EF23" s="1">
        <f t="shared" si="41"/>
        <v>2.9628047099999995</v>
      </c>
      <c r="EG23" s="1">
        <f t="shared" si="41"/>
        <v>2.4415022799999999</v>
      </c>
      <c r="EI23" s="14">
        <f t="shared" ref="EI23:EX24" si="46">+VLOOKUP(EI$1,ran_dat,$CA23,FALSE)</f>
        <v>15.36</v>
      </c>
      <c r="EJ23" s="14">
        <f t="shared" si="46"/>
        <v>15.120000000000001</v>
      </c>
      <c r="EK23" s="1">
        <f t="shared" si="46"/>
        <v>14.76</v>
      </c>
      <c r="EL23" s="1">
        <f t="shared" si="46"/>
        <v>14.52</v>
      </c>
      <c r="EM23" s="1">
        <f t="shared" si="46"/>
        <v>14.52</v>
      </c>
      <c r="EN23" s="1">
        <f t="shared" si="46"/>
        <v>14.399999999999999</v>
      </c>
      <c r="EO23" s="1">
        <f t="shared" si="46"/>
        <v>13.74</v>
      </c>
      <c r="EP23" s="1">
        <f t="shared" si="46"/>
        <v>14.399999999999999</v>
      </c>
      <c r="EQ23" s="1">
        <f t="shared" si="46"/>
        <v>16.079999999999998</v>
      </c>
      <c r="ER23" s="1">
        <f t="shared" si="46"/>
        <v>16.079999999999998</v>
      </c>
      <c r="ES23" s="1">
        <f t="shared" si="46"/>
        <v>16.079999999999998</v>
      </c>
      <c r="ET23" s="1">
        <f t="shared" si="46"/>
        <v>16.079999999999998</v>
      </c>
      <c r="EU23" s="1">
        <f t="shared" si="46"/>
        <v>16.079999999999998</v>
      </c>
      <c r="EV23" s="1">
        <f t="shared" si="46"/>
        <v>16.079999999999998</v>
      </c>
      <c r="EW23" s="1">
        <f t="shared" si="46"/>
        <v>16.079999999999998</v>
      </c>
      <c r="EX23" s="1">
        <f t="shared" si="46"/>
        <v>16.079999999999998</v>
      </c>
      <c r="EY23" s="1">
        <f t="shared" si="45"/>
        <v>16.079999999999998</v>
      </c>
      <c r="EZ23" s="1">
        <f t="shared" si="45"/>
        <v>16.079999999999998</v>
      </c>
      <c r="FA23" s="1">
        <f t="shared" si="45"/>
        <v>16.079999999999998</v>
      </c>
      <c r="FB23" s="1">
        <f t="shared" si="45"/>
        <v>16.079999999999998</v>
      </c>
      <c r="FC23" s="1">
        <f t="shared" si="45"/>
        <v>16.3</v>
      </c>
      <c r="FD23" s="1">
        <f t="shared" si="45"/>
        <v>16.3</v>
      </c>
      <c r="FE23" s="1">
        <f t="shared" si="45"/>
        <v>16.3</v>
      </c>
      <c r="FF23" s="1">
        <f t="shared" si="45"/>
        <v>16.3</v>
      </c>
      <c r="FH23" s="162">
        <f t="shared" si="32"/>
        <v>-0.39090976621626028</v>
      </c>
    </row>
    <row r="24" spans="1:164" ht="18.75" customHeight="1">
      <c r="A24" s="243" t="s">
        <v>39</v>
      </c>
      <c r="B24" s="246"/>
      <c r="C24" s="156">
        <f t="shared" si="5"/>
        <v>-0.65999999999999992</v>
      </c>
      <c r="D24" s="198">
        <v>-3</v>
      </c>
      <c r="E24" s="248">
        <f t="shared" si="6"/>
        <v>7.6923076923076872E-2</v>
      </c>
      <c r="F24" s="249">
        <f t="shared" si="7"/>
        <v>6.0331012687873997E-2</v>
      </c>
      <c r="G24" s="248">
        <f t="shared" si="8"/>
        <v>1.6792078161085966E-2</v>
      </c>
      <c r="H24" s="249">
        <f t="shared" si="9"/>
        <v>6.0130998761990906E-2</v>
      </c>
      <c r="I24" s="248">
        <f t="shared" si="10"/>
        <v>-3.4482758620689613E-2</v>
      </c>
      <c r="J24" s="249">
        <f t="shared" si="11"/>
        <v>-0.36990089376405633</v>
      </c>
      <c r="K24" s="248">
        <f t="shared" si="12"/>
        <v>0.31489224466019827</v>
      </c>
      <c r="L24" s="249">
        <f t="shared" si="13"/>
        <v>-0.34937500328088789</v>
      </c>
      <c r="M24" s="250"/>
      <c r="N24" s="24">
        <v>1</v>
      </c>
      <c r="O24" s="248">
        <f t="shared" si="33"/>
        <v>0</v>
      </c>
      <c r="P24" s="251">
        <f t="shared" si="34"/>
        <v>0</v>
      </c>
      <c r="Q24" s="248">
        <f t="shared" si="14"/>
        <v>-8.5508179233470871E-2</v>
      </c>
      <c r="R24" s="251">
        <f t="shared" si="35"/>
        <v>-8.5508179233470871E-2</v>
      </c>
      <c r="S24" s="250"/>
      <c r="T24" s="24">
        <v>0</v>
      </c>
      <c r="U24" s="248">
        <f t="shared" si="15"/>
        <v>0.12043888376410905</v>
      </c>
      <c r="V24" s="252">
        <f t="shared" si="16"/>
        <v>0.12043888376410905</v>
      </c>
      <c r="W24" s="248">
        <f t="shared" si="36"/>
        <v>-0.10221176504093121</v>
      </c>
      <c r="X24" s="258">
        <f t="shared" si="17"/>
        <v>-0.10221176504093121</v>
      </c>
      <c r="Y24" s="248">
        <f t="shared" si="37"/>
        <v>0.10192318517976928</v>
      </c>
      <c r="Z24" s="252">
        <f t="shared" si="18"/>
        <v>0.10192318517976928</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VLOOKUP($A24,historia!$A$5:$DD$24,+HLOOKUP(AP$2,historia!$A$3:$EC$4,2,FALSE),FALSE)</f>
        <v>4</v>
      </c>
      <c r="AQ24" s="28">
        <f>VLOOKUP($A24,historia!$A$5:$DD$24,+HLOOKUP(AQ$2,historia!$A$3:$EC$4,2,FALSE),FALSE)</f>
        <v>4</v>
      </c>
      <c r="AR24" s="28">
        <f>VLOOKUP($A24,historia!$A$5:$DD$24,+HLOOKUP(AR$2,historia!$A$3:$EC$4,2,FALSE),FALSE)</f>
        <v>4</v>
      </c>
      <c r="AS24" s="28">
        <f>VLOOKUP($A24,historia!$A$5:$DD$24,+HLOOKUP(AS$2,historia!$A$3:$EC$4,2,FALSE),FALSE)</f>
        <v>4</v>
      </c>
      <c r="AT24" s="58">
        <f>VLOOKUP($A24,historia!$A$5:$DD$24,+HLOOKUP(AT$2,historia!$A$3:$EC$4,2,FALSE),FALSE)</f>
        <v>4</v>
      </c>
      <c r="AU24" s="58">
        <f>VLOOKUP($A24,historia!$A$5:$DD$24,+HLOOKUP(AU$2,historia!$A$3:$EC$4,2,FALSE),FALSE)</f>
        <v>4</v>
      </c>
      <c r="AV24" s="58">
        <f>VLOOKUP($A24,historia!$A$5:$DD$24,+HLOOKUP(AV$2,historia!$A$3:$EC$4,2,FALSE),FALSE)</f>
        <v>4</v>
      </c>
      <c r="AW24" s="58">
        <f>VLOOKUP($A24,historia!$A$5:$DD$24,+HLOOKUP(AW$2,historia!$A$3:$EC$4,2,FALSE),FALSE)</f>
        <v>4</v>
      </c>
      <c r="AX24" s="58">
        <f>VLOOKUP($A24,historia!$A$5:$DD$24,+HLOOKUP(AX$2,historia!$A$3:$EC$4,2,FALSE),FALSE)</f>
        <v>4</v>
      </c>
      <c r="AY24" s="58">
        <f>VLOOKUP($A24,historia!$A$5:$DD$24,+HLOOKUP(AY$2,historia!$A$3:$EC$4,2,FALSE),FALSE)</f>
        <v>4</v>
      </c>
      <c r="AZ24" s="58">
        <f>VLOOKUP($A24,historia!$A$5:$DD$24,+HLOOKUP(AZ$2,historia!$A$3:$EC$4,2,FALSE),FALSE)</f>
        <v>4</v>
      </c>
      <c r="BA24" s="58">
        <f>VLOOKUP($A24,historia!$A$5:$DG$24,+HLOOKUP(BA$2,historia!$A$3:$EC$4,2,FALSE),FALSE)</f>
        <v>4</v>
      </c>
      <c r="BB24" s="58"/>
      <c r="BC24" s="286">
        <v>4</v>
      </c>
      <c r="BD24" t="str">
        <f t="shared" si="19"/>
        <v>Yerba Mate</v>
      </c>
      <c r="BE24">
        <f>+datos!AG1</f>
        <v>33</v>
      </c>
      <c r="BF24" s="2" t="str">
        <f t="shared" si="4"/>
        <v>$/t</v>
      </c>
      <c r="BG24" s="2">
        <f t="shared" si="4"/>
        <v>280000</v>
      </c>
      <c r="BH24" s="2">
        <f t="shared" si="4"/>
        <v>260000</v>
      </c>
      <c r="BI24" s="2">
        <f t="shared" si="4"/>
        <v>290000</v>
      </c>
      <c r="BK24" s="1">
        <f>+datos!ED1</f>
        <v>134</v>
      </c>
      <c r="BL24" s="1">
        <f t="shared" si="20"/>
        <v>231352</v>
      </c>
      <c r="BM24" s="1">
        <f t="shared" si="20"/>
        <v>231352</v>
      </c>
      <c r="BO24" s="1">
        <f>+datos!FZ1</f>
        <v>182</v>
      </c>
      <c r="BP24" s="1">
        <f t="shared" si="21"/>
        <v>809255.76</v>
      </c>
      <c r="BQ24" s="1">
        <f t="shared" si="21"/>
        <v>884924</v>
      </c>
      <c r="BS24" s="1">
        <f>+datos!KD1</f>
        <v>290</v>
      </c>
      <c r="BT24" s="1">
        <f t="shared" si="38"/>
        <v>131.56954558999999</v>
      </c>
      <c r="BU24" s="1">
        <f t="shared" si="39"/>
        <v>117.42679364</v>
      </c>
      <c r="BW24" s="1">
        <f>+datos!LI1</f>
        <v>321</v>
      </c>
      <c r="BX24" s="2">
        <f t="shared" si="22"/>
        <v>21.845139620000001</v>
      </c>
      <c r="BY24" s="2">
        <f t="shared" si="23"/>
        <v>24.332174079999998</v>
      </c>
      <c r="CA24" s="1">
        <f>+datos!IP1</f>
        <v>250</v>
      </c>
      <c r="CB24" s="2">
        <f t="shared" si="24"/>
        <v>6.3277651292900412</v>
      </c>
      <c r="CC24" s="2">
        <f t="shared" si="25"/>
        <v>5.7424738987207355</v>
      </c>
      <c r="CD24" s="2"/>
      <c r="CE24">
        <f>+datos!CY1</f>
        <v>103</v>
      </c>
      <c r="CF24" s="2">
        <f t="shared" si="26"/>
        <v>14557.151457049025</v>
      </c>
      <c r="CG24" s="2">
        <f t="shared" si="26"/>
        <v>14316.743579844058</v>
      </c>
      <c r="CH24" s="2">
        <f t="shared" si="26"/>
        <v>11070.984345801633</v>
      </c>
      <c r="CI24" s="2"/>
      <c r="CK24" s="1">
        <f t="shared" si="42"/>
        <v>13.35283111</v>
      </c>
      <c r="CL24" s="1">
        <f t="shared" si="42"/>
        <v>10.842702859999999</v>
      </c>
      <c r="CM24" s="1">
        <f t="shared" si="42"/>
        <v>11.89200067</v>
      </c>
      <c r="CN24" s="1">
        <f t="shared" si="42"/>
        <v>10.248770849999998</v>
      </c>
      <c r="CO24" s="1">
        <f t="shared" si="42"/>
        <v>6.8683825000000009</v>
      </c>
      <c r="CP24" s="1">
        <f t="shared" si="42"/>
        <v>11.30577291</v>
      </c>
      <c r="CQ24" s="1">
        <f t="shared" si="42"/>
        <v>6.4893821299999992</v>
      </c>
      <c r="CR24" s="1">
        <f t="shared" si="42"/>
        <v>7.9660401599999986</v>
      </c>
      <c r="CS24" s="1">
        <f t="shared" si="42"/>
        <v>11.742414109999999</v>
      </c>
      <c r="CT24" s="1">
        <f t="shared" si="42"/>
        <v>9.2986503200000001</v>
      </c>
      <c r="CU24" s="1">
        <f t="shared" si="42"/>
        <v>19.294760099999998</v>
      </c>
      <c r="CV24" s="1">
        <f t="shared" si="42"/>
        <v>12.267837869999999</v>
      </c>
      <c r="CW24" s="1">
        <f t="shared" si="42"/>
        <v>8.5848558799999992</v>
      </c>
      <c r="CX24" s="1">
        <f t="shared" si="42"/>
        <v>12.502816449999999</v>
      </c>
      <c r="CY24" s="1">
        <f t="shared" si="42"/>
        <v>10.79513302</v>
      </c>
      <c r="CZ24" s="1">
        <f t="shared" si="42"/>
        <v>10.492918690000002</v>
      </c>
      <c r="DA24" s="1">
        <f t="shared" si="43"/>
        <v>7.4906505000000001</v>
      </c>
      <c r="DB24" s="1">
        <f t="shared" si="43"/>
        <v>7.8719914600000003</v>
      </c>
      <c r="DC24" s="1">
        <f t="shared" si="43"/>
        <v>9.8166064800000008</v>
      </c>
      <c r="DD24" s="1">
        <f t="shared" si="43"/>
        <v>7.1690497699999991</v>
      </c>
      <c r="DE24" s="1">
        <f t="shared" si="43"/>
        <v>10.805856030000001</v>
      </c>
      <c r="DF24" s="1">
        <f t="shared" si="43"/>
        <v>10.476429469999998</v>
      </c>
      <c r="DG24" s="1">
        <f t="shared" si="43"/>
        <v>11.361751129999998</v>
      </c>
      <c r="DH24" s="1">
        <f t="shared" si="43"/>
        <v>10.05873476</v>
      </c>
      <c r="DJ24" s="1">
        <f t="shared" si="44"/>
        <v>2.6942235799999996</v>
      </c>
      <c r="DK24" s="1">
        <f t="shared" si="44"/>
        <v>2.6990890000000003</v>
      </c>
      <c r="DL24" s="1">
        <f t="shared" si="44"/>
        <v>1.6436615300000001</v>
      </c>
      <c r="DM24" s="1">
        <f t="shared" si="44"/>
        <v>3.1947428599999999</v>
      </c>
      <c r="DN24" s="1">
        <f t="shared" si="44"/>
        <v>1.8068878900000003</v>
      </c>
      <c r="DO24" s="1">
        <f t="shared" si="44"/>
        <v>1.08154503</v>
      </c>
      <c r="DP24" s="1">
        <f t="shared" si="44"/>
        <v>1.2853964200000001</v>
      </c>
      <c r="DQ24" s="1">
        <f t="shared" si="44"/>
        <v>1.1258133800000001</v>
      </c>
      <c r="DR24" s="1">
        <f t="shared" si="44"/>
        <v>1.20972141</v>
      </c>
      <c r="DS24" s="1">
        <f t="shared" si="44"/>
        <v>1.0549183800000002</v>
      </c>
      <c r="DT24" s="1">
        <f t="shared" si="44"/>
        <v>1.9397561100000003</v>
      </c>
      <c r="DU24" s="1">
        <f t="shared" si="44"/>
        <v>2.1093840299999997</v>
      </c>
      <c r="DV24" s="1">
        <f t="shared" si="44"/>
        <v>1.7438363500000003</v>
      </c>
      <c r="DW24" s="1">
        <f t="shared" si="44"/>
        <v>2.3219247899999997</v>
      </c>
      <c r="DX24" s="1">
        <f t="shared" si="44"/>
        <v>1.6709123100000001</v>
      </c>
      <c r="DY24" s="1">
        <f t="shared" si="44"/>
        <v>3.5033770500000001</v>
      </c>
      <c r="DZ24" s="1">
        <f t="shared" si="41"/>
        <v>2.2730154199999997</v>
      </c>
      <c r="EA24" s="1">
        <f t="shared" si="41"/>
        <v>2.4041640299999996</v>
      </c>
      <c r="EB24" s="1">
        <f t="shared" si="41"/>
        <v>2.0218665100000002</v>
      </c>
      <c r="EC24" s="1">
        <f t="shared" si="41"/>
        <v>1.1839526999999999</v>
      </c>
      <c r="ED24" s="1">
        <f t="shared" si="41"/>
        <v>1.1744757299999999</v>
      </c>
      <c r="EE24" s="1">
        <f t="shared" si="41"/>
        <v>2.1750064099999999</v>
      </c>
      <c r="EF24" s="1">
        <f t="shared" si="41"/>
        <v>2.6101839400000002</v>
      </c>
      <c r="EG24" s="1">
        <f t="shared" si="41"/>
        <v>1.2494588400000002</v>
      </c>
      <c r="EI24" s="14">
        <f t="shared" si="46"/>
        <v>6.3277651292900412</v>
      </c>
      <c r="EJ24" s="14">
        <f t="shared" si="46"/>
        <v>6.2385652276314589</v>
      </c>
      <c r="EK24" s="1">
        <f t="shared" si="46"/>
        <v>6.0582595428363648</v>
      </c>
      <c r="EL24" s="1">
        <f t="shared" si="46"/>
        <v>6.2691507516094109</v>
      </c>
      <c r="EM24" s="1">
        <f t="shared" si="46"/>
        <v>6.3629428462816202</v>
      </c>
      <c r="EN24" s="1">
        <f t="shared" si="46"/>
        <v>6.2699087139586966</v>
      </c>
      <c r="EO24" s="1">
        <f t="shared" si="46"/>
        <v>4.980278516945301</v>
      </c>
      <c r="EP24" s="1">
        <f t="shared" si="46"/>
        <v>5.5266720107101239</v>
      </c>
      <c r="EQ24" s="1">
        <f t="shared" si="46"/>
        <v>5.7424738987207355</v>
      </c>
      <c r="ER24" s="1">
        <f t="shared" si="46"/>
        <v>5.7424738987207355</v>
      </c>
      <c r="ES24" s="1">
        <f t="shared" si="46"/>
        <v>5.7424738987207355</v>
      </c>
      <c r="ET24" s="1">
        <f t="shared" si="46"/>
        <v>5.7424738987207355</v>
      </c>
      <c r="EU24" s="1">
        <f t="shared" si="46"/>
        <v>5.7424738987207355</v>
      </c>
      <c r="EV24" s="1">
        <f t="shared" si="46"/>
        <v>5.7424738987207355</v>
      </c>
      <c r="EW24" s="1">
        <f t="shared" si="46"/>
        <v>5.7424738987207355</v>
      </c>
      <c r="EX24" s="1">
        <f t="shared" si="46"/>
        <v>5.7424738987207355</v>
      </c>
      <c r="EY24" s="1">
        <f t="shared" si="45"/>
        <v>5.7424738987207355</v>
      </c>
      <c r="EZ24" s="1">
        <f t="shared" si="45"/>
        <v>5.7424738987207355</v>
      </c>
      <c r="FA24" s="1">
        <f t="shared" si="45"/>
        <v>5.7424738987207355</v>
      </c>
      <c r="FB24" s="1">
        <f t="shared" si="45"/>
        <v>5.7424738987207355</v>
      </c>
      <c r="FC24" s="1">
        <f t="shared" si="45"/>
        <v>5.5693606783423002</v>
      </c>
      <c r="FD24" s="1">
        <f t="shared" si="45"/>
        <v>5.5693606783423002</v>
      </c>
      <c r="FE24" s="1">
        <f t="shared" si="45"/>
        <v>5.5693606783423002</v>
      </c>
      <c r="FF24" s="1">
        <f t="shared" si="45"/>
        <v>5.5693606783423002</v>
      </c>
      <c r="FH24" s="162">
        <f t="shared" si="32"/>
        <v>-0.34937500328088789</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37"/>
        <v/>
      </c>
      <c r="Z25" s="194"/>
      <c r="AA25" s="30"/>
      <c r="AB25" s="57"/>
      <c r="AT25" s="58"/>
      <c r="AU25" s="58"/>
      <c r="AV25" s="58"/>
      <c r="AW25" s="58"/>
      <c r="AX25" s="58"/>
      <c r="AY25" s="58"/>
      <c r="AZ25" s="58"/>
      <c r="BA25" s="58"/>
      <c r="BB25" s="58"/>
      <c r="BF25" s="2"/>
      <c r="BG25" s="2"/>
      <c r="BH25" s="2"/>
      <c r="BI25" s="2"/>
      <c r="BK25" s="1"/>
      <c r="BL25" s="1"/>
      <c r="BM25" s="1"/>
      <c r="BO25" s="1"/>
      <c r="BP25" s="1"/>
      <c r="BQ25" s="1"/>
      <c r="BS25" s="1"/>
      <c r="BT25" s="1"/>
      <c r="BU25" s="1"/>
      <c r="BW25" s="1"/>
      <c r="BX25" s="2"/>
      <c r="BY25" s="2"/>
      <c r="CA25" s="1"/>
      <c r="CB25" s="1"/>
      <c r="CC25" s="1"/>
      <c r="CD25" s="1"/>
      <c r="CF25" s="2"/>
      <c r="CG25" s="2"/>
      <c r="CH25" s="2"/>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G26" s="12"/>
      <c r="K26" s="12"/>
      <c r="O26" s="12"/>
      <c r="Y26" s="386"/>
      <c r="AB26" s="57"/>
      <c r="BI26" s="2"/>
      <c r="BP26" s="1"/>
      <c r="BT26" s="1"/>
    </row>
    <row r="27" spans="1:164" ht="18.75" customHeight="1">
      <c r="K27" s="177"/>
      <c r="X27" s="162"/>
      <c r="BC27" s="751"/>
      <c r="BL27" s="1"/>
      <c r="BM27" s="1"/>
      <c r="BP27" s="1"/>
      <c r="BQ27" s="1"/>
      <c r="BT27" s="1">
        <f>BT21-BU21</f>
        <v>13.569593279999999</v>
      </c>
      <c r="BU27" s="1"/>
      <c r="BX27" s="1"/>
      <c r="BY27" s="1"/>
      <c r="FH27" s="167">
        <f>+COUNTIF(FH6:FH24,"&gt;0")</f>
        <v>10</v>
      </c>
    </row>
    <row r="28" spans="1:164" ht="18.75" customHeight="1">
      <c r="C28" s="156"/>
      <c r="E28" s="167"/>
      <c r="F28" s="29"/>
      <c r="I28" s="167"/>
      <c r="J28" s="29"/>
      <c r="L28" s="29"/>
      <c r="O28"/>
      <c r="P28" s="262"/>
      <c r="R28" s="262"/>
      <c r="U28" s="29"/>
      <c r="BD28" s="706"/>
      <c r="BP28" s="167"/>
      <c r="BT28" s="10"/>
      <c r="BX28" s="10"/>
      <c r="DK28" s="847"/>
    </row>
    <row r="29" spans="1:164" ht="18.75" customHeight="1">
      <c r="C29" s="156"/>
      <c r="E29" s="167"/>
      <c r="F29" s="29"/>
      <c r="I29" s="167"/>
      <c r="J29" s="29"/>
      <c r="L29" s="29"/>
      <c r="O29"/>
      <c r="P29" s="262"/>
      <c r="R29" s="262"/>
      <c r="U29" s="29"/>
      <c r="BP29" s="167"/>
    </row>
    <row r="30" spans="1:164" ht="18.75" customHeight="1">
      <c r="C30" s="156"/>
      <c r="E30" s="167"/>
      <c r="F30" s="29"/>
      <c r="I30" s="167"/>
      <c r="J30" s="29"/>
      <c r="L30" s="29"/>
      <c r="O30"/>
      <c r="P30" s="262"/>
      <c r="R30" s="262"/>
      <c r="U30" s="29"/>
      <c r="X30" s="14"/>
      <c r="BP30" s="167"/>
      <c r="BS30" s="1"/>
    </row>
    <row r="31" spans="1:164" ht="18.75" customHeight="1">
      <c r="K31" s="12"/>
    </row>
    <row r="32" spans="1:164" ht="18.75" customHeight="1">
      <c r="C32" s="157"/>
      <c r="I32" s="14"/>
      <c r="J32" s="14"/>
      <c r="K32" s="14"/>
      <c r="Y32" s="163"/>
    </row>
    <row r="33" spans="1:165" ht="18.75" customHeight="1">
      <c r="C33" s="157"/>
    </row>
    <row r="34" spans="1:165" s="23" customFormat="1" ht="18.75" customHeight="1">
      <c r="A34" s="11"/>
      <c r="B34" s="11"/>
      <c r="C34" s="157"/>
      <c r="D34" s="57"/>
      <c r="E34" s="12"/>
      <c r="F34" s="37"/>
      <c r="G34"/>
      <c r="H34" s="37"/>
      <c r="I34" s="12"/>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2">
      <iconSet>
        <cfvo type="percent" val="0"/>
        <cfvo type="num" val="0"/>
        <cfvo type="num" val="0" gte="0"/>
      </iconSet>
    </cfRule>
  </conditionalFormatting>
  <conditionalFormatting sqref="F28:F30">
    <cfRule type="iconSet" priority="6">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10">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1">
      <iconSet>
        <cfvo type="percent" val="0"/>
        <cfvo type="num" val="0"/>
        <cfvo type="num" val="0" gte="0"/>
      </iconSet>
    </cfRule>
  </conditionalFormatting>
  <conditionalFormatting sqref="J18">
    <cfRule type="iconSet" priority="3">
      <iconSet>
        <cfvo type="percent" val="0"/>
        <cfvo type="num" val="0"/>
        <cfvo type="num" val="0" gte="0"/>
      </iconSet>
    </cfRule>
  </conditionalFormatting>
  <conditionalFormatting sqref="J28:J30">
    <cfRule type="iconSet" priority="8">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7">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4">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4">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9">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3">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
      <iconSet>
        <cfvo type="percent" val="0"/>
        <cfvo type="num" val="0"/>
        <cfvo type="num" val="0" gte="0"/>
      </iconSet>
    </cfRule>
  </conditionalFormatting>
  <conditionalFormatting sqref="Z11">
    <cfRule type="iconSet" priority="20">
      <iconSet>
        <cfvo type="percent" val="0"/>
        <cfvo type="num" val="0"/>
        <cfvo type="num" val="0" gte="0"/>
      </iconSet>
    </cfRule>
  </conditionalFormatting>
  <conditionalFormatting sqref="Z12">
    <cfRule type="iconSet" priority="1">
      <iconSet>
        <cfvo type="percent" val="0"/>
        <cfvo type="num" val="0"/>
        <cfvo type="num" val="0" gte="0"/>
      </iconSet>
    </cfRule>
  </conditionalFormatting>
  <conditionalFormatting sqref="Z13">
    <cfRule type="iconSet" priority="19">
      <iconSet>
        <cfvo type="percent" val="0"/>
        <cfvo type="num" val="0"/>
        <cfvo type="num" val="0" gte="0"/>
      </iconSet>
    </cfRule>
  </conditionalFormatting>
  <conditionalFormatting sqref="Z18">
    <cfRule type="iconSet" priority="18">
      <iconSet>
        <cfvo type="percent" val="0"/>
        <cfvo type="num" val="0"/>
        <cfvo type="num" val="0" gte="0"/>
      </iconSet>
    </cfRule>
  </conditionalFormatting>
  <conditionalFormatting sqref="Z19">
    <cfRule type="iconSet" priority="17">
      <iconSet>
        <cfvo type="percent" val="0"/>
        <cfvo type="num" val="0"/>
        <cfvo type="num" val="0" gte="0"/>
      </iconSet>
    </cfRule>
  </conditionalFormatting>
  <conditionalFormatting sqref="Z20">
    <cfRule type="iconSet" priority="16">
      <iconSet>
        <cfvo type="percent" val="0"/>
        <cfvo type="num" val="0"/>
        <cfvo type="num" val="0" gte="0"/>
      </iconSet>
    </cfRule>
  </conditionalFormatting>
  <conditionalFormatting sqref="Z22">
    <cfRule type="iconSet" priority="15">
      <iconSet>
        <cfvo type="percent" val="0"/>
        <cfvo type="num" val="0"/>
        <cfvo type="num" val="0" gte="0"/>
      </iconSet>
    </cfRule>
  </conditionalFormatting>
  <conditionalFormatting sqref="Z24">
    <cfRule type="iconSet" priority="5">
      <iconSet>
        <cfvo type="percent" val="0"/>
        <cfvo type="num" val="0"/>
        <cfvo type="num" val="0" gte="0"/>
      </iconSet>
    </cfRule>
  </conditionalFormatting>
  <conditionalFormatting sqref="AC6:AM24 AC25 AE25:AM25">
    <cfRule type="expression" dxfId="443" priority="48">
      <formula>AP6=3</formula>
    </cfRule>
    <cfRule type="expression" dxfId="442" priority="49">
      <formula>AP6=5</formula>
    </cfRule>
    <cfRule type="expression" dxfId="441" priority="50">
      <formula>AP6=4</formula>
    </cfRule>
    <cfRule type="expression" dxfId="440" priority="51">
      <formula>AP6=2</formula>
    </cfRule>
    <cfRule type="expression" dxfId="439" priority="52">
      <formula>AP6=1</formula>
    </cfRule>
    <cfRule type="expression" dxfId="438" priority="53">
      <formula>AP6=0</formula>
    </cfRule>
  </conditionalFormatting>
  <conditionalFormatting sqref="AN6:AN25">
    <cfRule type="expression" dxfId="437" priority="65">
      <formula>BA6=0</formula>
    </cfRule>
    <cfRule type="expression" dxfId="436" priority="60">
      <formula>BA6=3</formula>
    </cfRule>
    <cfRule type="expression" dxfId="435" priority="61">
      <formula>BA6=5</formula>
    </cfRule>
    <cfRule type="expression" dxfId="434" priority="62">
      <formula>BA6=4</formula>
    </cfRule>
    <cfRule type="expression" dxfId="433" priority="63">
      <formula>BA6=2</formula>
    </cfRule>
    <cfRule type="expression" dxfId="432" priority="64">
      <formula>BA6=1</formula>
    </cfRule>
  </conditionalFormatting>
  <conditionalFormatting sqref="AO6:AO25">
    <cfRule type="expression" dxfId="431" priority="54">
      <formula>#REF!=3</formula>
    </cfRule>
    <cfRule type="expression" dxfId="430" priority="55">
      <formula>#REF!=5</formula>
    </cfRule>
    <cfRule type="expression" dxfId="429" priority="56">
      <formula>#REF!=4</formula>
    </cfRule>
    <cfRule type="expression" dxfId="428" priority="58">
      <formula>#REF!=1</formula>
    </cfRule>
    <cfRule type="expression" dxfId="427" priority="59">
      <formula>#REF!=0</formula>
    </cfRule>
    <cfRule type="expression" dxfId="426" priority="57">
      <formula>#REF!=2</formula>
    </cfRule>
  </conditionalFormatting>
  <conditionalFormatting sqref="FH6:FH25 FH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B1" xr:uid="{7A482D4C-C22C-4475-95CA-FC0E4DE4595B}">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31" id="{70D578DB-ACE1-420D-A9F6-7B53E9E6CB04}">
            <x14:iconSet custom="1">
              <x14:cfvo type="percent">
                <xm:f>0</xm:f>
              </x14:cfvo>
              <x14:cfvo type="num">
                <xm:f>0</xm:f>
              </x14:cfvo>
              <x14:cfvo type="num" gte="0">
                <xm:f>0</xm:f>
              </x14:cfvo>
              <x14:cfIcon iconSet="3TrafficLights1" iconId="2"/>
              <x14:cfIcon iconSet="3TrafficLights1" iconId="1"/>
              <x14:cfIcon iconSet="3TrafficLights1" iconId="0"/>
            </x14:iconSet>
          </x14:cfRule>
          <xm:sqref>X6:X24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E1D37DC-5AE3-45C8-AC0E-5C497C477811}">
          <x14:formula1>
            <xm:f>datos!$A$10:$A$178</xm:f>
          </x14:formula1>
          <xm:sqref>A1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7907-9CBE-4E85-81C6-5BA22DAE1D3D}">
  <sheetPr>
    <tabColor theme="5" tint="-0.249977111117893"/>
    <pageSetUpPr fitToPage="1"/>
  </sheetPr>
  <dimension ref="A1:FI47"/>
  <sheetViews>
    <sheetView showGridLines="0" zoomScale="70" zoomScaleNormal="70" workbookViewId="0">
      <pane xSplit="4" topLeftCell="E1" activePane="topRight" state="frozen"/>
      <selection pane="topRight" activeCell="BD25" sqref="BD25"/>
    </sheetView>
  </sheetViews>
  <sheetFormatPr baseColWidth="10" defaultRowHeight="18.75" customHeight="1"/>
  <cols>
    <col min="1" max="1" width="18.88671875" style="11" customWidth="1"/>
    <col min="2" max="2" width="2.109375" style="11" hidden="1" customWidth="1"/>
    <col min="3" max="3" width="5.44140625" style="154" hidden="1" customWidth="1"/>
    <col min="4" max="4" width="0.1093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5.33203125" bestFit="1" customWidth="1"/>
    <col min="27" max="27" width="1.44140625" customWidth="1"/>
    <col min="28" max="28" width="53" style="11" hidden="1" customWidth="1"/>
    <col min="29" max="38" width="1.88671875" style="57" customWidth="1"/>
    <col min="39" max="39" width="2" style="57" customWidth="1"/>
    <col min="40" max="40" width="3.5546875" style="57" customWidth="1"/>
    <col min="41" max="41" width="1.44140625" style="57" customWidth="1"/>
    <col min="42" max="42" width="5.5546875" style="28" hidden="1" customWidth="1"/>
    <col min="43" max="44" width="5.6640625" style="28" hidden="1" customWidth="1"/>
    <col min="45" max="45" width="6.33203125" style="28" hidden="1" customWidth="1"/>
    <col min="46" max="46" width="5.6640625" hidden="1" customWidth="1"/>
    <col min="47" max="48" width="6.33203125" hidden="1" customWidth="1"/>
    <col min="49" max="49" width="5.6640625" hidden="1" customWidth="1"/>
    <col min="50" max="50" width="6" hidden="1" customWidth="1"/>
    <col min="51" max="51" width="5.33203125" hidden="1" customWidth="1"/>
    <col min="52" max="52" width="5.6640625" hidden="1" customWidth="1"/>
    <col min="53" max="53" width="5.5546875" hidden="1" customWidth="1"/>
    <col min="54" max="54" width="7.44140625" customWidth="1"/>
    <col min="55" max="55" width="11.6640625" style="141" customWidth="1"/>
    <col min="56" max="56" width="12" customWidth="1"/>
    <col min="57" max="57" width="0.88671875" customWidth="1"/>
    <col min="58" max="58" width="10.6640625" customWidth="1"/>
    <col min="59" max="61" width="8.88671875" bestFit="1" customWidth="1"/>
    <col min="62" max="62" width="3.6640625" customWidth="1"/>
    <col min="63" max="63" width="1.33203125" customWidth="1"/>
    <col min="64" max="64" width="12.88671875" customWidth="1"/>
    <col min="65" max="65" width="12.44140625" customWidth="1"/>
    <col min="66" max="66" width="2.44140625" customWidth="1"/>
    <col min="67" max="67" width="5.109375" customWidth="1"/>
    <col min="68" max="68" width="14.44140625" bestFit="1" customWidth="1"/>
    <col min="69" max="69" width="12.5546875" customWidth="1"/>
    <col min="70" max="70" width="2.44140625" customWidth="1"/>
    <col min="71" max="71" width="8.109375" customWidth="1"/>
    <col min="72" max="73" width="7.5546875" customWidth="1"/>
    <col min="74" max="74" width="2.88671875" customWidth="1"/>
    <col min="75" max="75" width="0.88671875" customWidth="1"/>
    <col min="76" max="77" width="7.44140625" customWidth="1"/>
    <col min="78" max="79" width="7.109375" customWidth="1"/>
    <col min="80" max="81" width="9.88671875" bestFit="1" customWidth="1"/>
    <col min="82" max="82" width="4.33203125" customWidth="1"/>
    <col min="83" max="83" width="7.109375" bestFit="1" customWidth="1"/>
    <col min="84" max="84" width="7.88671875" bestFit="1" customWidth="1"/>
    <col min="85" max="86" width="7.88671875" customWidth="1"/>
    <col min="87" max="87" width="10.88671875" customWidth="1"/>
    <col min="88" max="88" width="7" bestFit="1" customWidth="1"/>
    <col min="89" max="89" width="11" bestFit="1" customWidth="1"/>
    <col min="90" max="90" width="7.44140625" bestFit="1" customWidth="1"/>
    <col min="91" max="91" width="6.88671875" bestFit="1" customWidth="1"/>
    <col min="92" max="92" width="7" bestFit="1" customWidth="1"/>
    <col min="93" max="93" width="7.44140625" bestFit="1" customWidth="1"/>
    <col min="94" max="94" width="7.109375" bestFit="1" customWidth="1"/>
    <col min="95" max="95" width="6.6640625" bestFit="1" customWidth="1"/>
    <col min="96" max="96" width="6.8867187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2" width="7.44140625" bestFit="1" customWidth="1"/>
    <col min="103" max="103" width="6.88671875" bestFit="1" customWidth="1"/>
    <col min="104" max="104" width="6.5546875" bestFit="1" customWidth="1"/>
    <col min="105" max="105" width="6.88671875" bestFit="1" customWidth="1"/>
    <col min="106" max="106" width="7.109375" bestFit="1" customWidth="1"/>
    <col min="107" max="107" width="6.6640625" bestFit="1" customWidth="1"/>
    <col min="108" max="108" width="6.88671875" bestFit="1" customWidth="1"/>
    <col min="109" max="109" width="7.44140625" bestFit="1" customWidth="1"/>
    <col min="110" max="110" width="6.6640625" bestFit="1" customWidth="1"/>
    <col min="111" max="111" width="6.109375" bestFit="1" customWidth="1"/>
    <col min="112" max="112" width="7" bestFit="1" customWidth="1"/>
    <col min="113" max="113" width="5" customWidth="1"/>
    <col min="114" max="114" width="11.33203125" bestFit="1" customWidth="1"/>
    <col min="115" max="115" width="9.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3" width="6.6640625" bestFit="1" customWidth="1"/>
    <col min="134" max="134" width="7.44140625" bestFit="1" customWidth="1"/>
    <col min="135" max="136" width="6.664062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46204</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46204</v>
      </c>
      <c r="BH1" s="3">
        <v>46174</v>
      </c>
      <c r="BI1" s="3">
        <f>+VLOOKUP(BI2,datos!$D:$E,2,FALSE)</f>
        <v>45839</v>
      </c>
      <c r="BL1" s="3">
        <f>+A1</f>
        <v>46204</v>
      </c>
      <c r="BM1" s="3">
        <f>+VLOOKUP(BM2,datos!$D:$E,2,FALSE)</f>
        <v>45839</v>
      </c>
      <c r="BP1" s="3">
        <f>+A1</f>
        <v>46204</v>
      </c>
      <c r="BQ1" s="3">
        <f>+VLOOKUP(BQ2,datos!$D:$E,2,FALSE)</f>
        <v>45839</v>
      </c>
      <c r="BT1" t="s">
        <v>279</v>
      </c>
      <c r="BU1" t="s">
        <v>280</v>
      </c>
      <c r="BX1" t="s">
        <v>279</v>
      </c>
      <c r="BY1" t="s">
        <v>280</v>
      </c>
      <c r="CB1" t="s">
        <v>282</v>
      </c>
      <c r="CC1" t="s">
        <v>283</v>
      </c>
      <c r="CF1" s="3">
        <f>+A1</f>
        <v>46204</v>
      </c>
      <c r="CG1" s="3">
        <f>+VLOOKUP(CG2,datos!$D:$E,2,FALSE)</f>
        <v>46174</v>
      </c>
      <c r="CH1" s="3">
        <f>+VLOOKUP(CH2,datos!$D:$E,2,FALSE)</f>
        <v>45839</v>
      </c>
      <c r="CJ1" s="3">
        <f>+A1</f>
        <v>46204</v>
      </c>
      <c r="CK1" s="3">
        <f>+VLOOKUP(CK2,datos!$D:$E,2,FALSE)</f>
        <v>46204</v>
      </c>
      <c r="CL1" s="3">
        <f>+VLOOKUP(CL2,datos!$D:$E,2,FALSE)</f>
        <v>46174</v>
      </c>
      <c r="CM1" s="3">
        <f>+VLOOKUP(CM2,datos!$D:$E,2,FALSE)</f>
        <v>46143</v>
      </c>
      <c r="CN1" s="3">
        <f>+VLOOKUP(CN2,datos!$D:$E,2,FALSE)</f>
        <v>46113</v>
      </c>
      <c r="CO1" s="3">
        <f>+VLOOKUP(CO2,datos!$D:$E,2,FALSE)</f>
        <v>46082</v>
      </c>
      <c r="CP1" s="3">
        <f>+VLOOKUP(CP2,datos!$D:$E,2,FALSE)</f>
        <v>46054</v>
      </c>
      <c r="CQ1" s="3">
        <f>+VLOOKUP(CQ2,datos!$D:$E,2,FALSE)</f>
        <v>46023</v>
      </c>
      <c r="CR1" s="3">
        <f>+VLOOKUP(CR2,datos!$D:$E,2,FALSE)</f>
        <v>45992</v>
      </c>
      <c r="CS1" s="3">
        <f>+VLOOKUP(CS2,datos!$D:$E,2,FALSE)</f>
        <v>45962</v>
      </c>
      <c r="CT1" s="3">
        <f>+VLOOKUP(CT2,datos!$D:$E,2,FALSE)</f>
        <v>45931</v>
      </c>
      <c r="CU1" s="3">
        <f>+VLOOKUP(CU2,datos!$D:$E,2,FALSE)</f>
        <v>45901</v>
      </c>
      <c r="CV1" s="3">
        <f>+VLOOKUP(CV2,datos!$D:$E,2,FALSE)</f>
        <v>45870</v>
      </c>
      <c r="CW1" s="3">
        <f>+VLOOKUP(CW2,datos!$D:$E,2,FALSE)</f>
        <v>45839</v>
      </c>
      <c r="CX1" s="3">
        <f>+VLOOKUP(CX2,datos!$D:$E,2,FALSE)</f>
        <v>45809</v>
      </c>
      <c r="CY1" s="3">
        <f>+VLOOKUP(CY2,datos!$D:$E,2,FALSE)</f>
        <v>45778</v>
      </c>
      <c r="CZ1" s="3">
        <f>+VLOOKUP(CZ2,datos!$D:$E,2,FALSE)</f>
        <v>45748</v>
      </c>
      <c r="DA1" s="3">
        <f>+VLOOKUP(DA2,datos!$D:$E,2,FALSE)</f>
        <v>45717</v>
      </c>
      <c r="DB1" s="3">
        <f>+VLOOKUP(DB2,datos!$D:$E,2,FALSE)</f>
        <v>45689</v>
      </c>
      <c r="DC1" s="3">
        <f>+VLOOKUP(DC2,datos!$D:$E,2,FALSE)</f>
        <v>45658</v>
      </c>
      <c r="DD1" s="3">
        <f>+VLOOKUP(DD2,datos!$D:$E,2,FALSE)</f>
        <v>45627</v>
      </c>
      <c r="DE1" s="3">
        <f>+VLOOKUP(DE2,datos!$D:$E,2,FALSE)</f>
        <v>45597</v>
      </c>
      <c r="DF1" s="3">
        <f>+VLOOKUP(DF2,datos!$D:$E,2,FALSE)</f>
        <v>45566</v>
      </c>
      <c r="DG1" s="3">
        <f>+VLOOKUP(DG2,datos!$D:$E,2,FALSE)</f>
        <v>45536</v>
      </c>
      <c r="DH1" s="3">
        <f>+VLOOKUP(DH2,datos!$D:$E,2,FALSE)</f>
        <v>45505</v>
      </c>
      <c r="DJ1" s="3">
        <f>+CK1</f>
        <v>46204</v>
      </c>
      <c r="DK1" s="3">
        <f>+VLOOKUP(DK2,datos!$D:$E,2,FALSE)</f>
        <v>46174</v>
      </c>
      <c r="DL1" s="3">
        <f>+VLOOKUP(DL2,datos!$D:$E,2,FALSE)</f>
        <v>46143</v>
      </c>
      <c r="DM1" s="3">
        <f>+VLOOKUP(DM2,datos!$D:$E,2,FALSE)</f>
        <v>46113</v>
      </c>
      <c r="DN1" s="3">
        <f>+VLOOKUP(DN2,datos!$D:$E,2,FALSE)</f>
        <v>46082</v>
      </c>
      <c r="DO1" s="3">
        <f>+VLOOKUP(DO2,datos!$D:$E,2,FALSE)</f>
        <v>46054</v>
      </c>
      <c r="DP1" s="3">
        <f>+VLOOKUP(DP2,datos!$D:$E,2,FALSE)</f>
        <v>46023</v>
      </c>
      <c r="DQ1" s="3">
        <f>+VLOOKUP(DQ2,datos!$D:$E,2,FALSE)</f>
        <v>45992</v>
      </c>
      <c r="DR1" s="3">
        <f>+VLOOKUP(DR2,datos!$D:$E,2,FALSE)</f>
        <v>45962</v>
      </c>
      <c r="DS1" s="3">
        <f>+VLOOKUP(DS2,datos!$D:$E,2,FALSE)</f>
        <v>45931</v>
      </c>
      <c r="DT1" s="3">
        <f>+VLOOKUP(DT2,datos!$D:$E,2,FALSE)</f>
        <v>45901</v>
      </c>
      <c r="DU1" s="3">
        <f>+VLOOKUP(DU2,datos!$D:$E,2,FALSE)</f>
        <v>45870</v>
      </c>
      <c r="DV1" s="3">
        <f>+VLOOKUP(DV2,datos!$D:$E,2,FALSE)</f>
        <v>45839</v>
      </c>
      <c r="DW1" s="3">
        <f>+VLOOKUP(DW2,datos!$D:$E,2,FALSE)</f>
        <v>45809</v>
      </c>
      <c r="DX1" s="3">
        <f>+VLOOKUP(DX2,datos!$D:$E,2,FALSE)</f>
        <v>45778</v>
      </c>
      <c r="DY1" s="3">
        <f>+VLOOKUP(DY2,datos!$D:$E,2,FALSE)</f>
        <v>45748</v>
      </c>
      <c r="DZ1" s="3">
        <f>+VLOOKUP(DZ2,datos!$D:$E,2,FALSE)</f>
        <v>45717</v>
      </c>
      <c r="EA1" s="3">
        <f>+VLOOKUP(EA2,datos!$D:$E,2,FALSE)</f>
        <v>45689</v>
      </c>
      <c r="EB1" s="3">
        <f>+VLOOKUP(EB2,datos!$D:$E,2,FALSE)</f>
        <v>45658</v>
      </c>
      <c r="EC1" s="3">
        <f>+VLOOKUP(EC2,datos!$D:$E,2,FALSE)</f>
        <v>45627</v>
      </c>
      <c r="ED1" s="3">
        <f>+VLOOKUP(ED2,datos!$D:$E,2,FALSE)</f>
        <v>45597</v>
      </c>
      <c r="EE1" s="3">
        <f>+VLOOKUP(EE2,datos!$D:$E,2,FALSE)</f>
        <v>45566</v>
      </c>
      <c r="EF1" s="3">
        <f>+VLOOKUP(EF2,datos!$D:$E,2,FALSE)</f>
        <v>45536</v>
      </c>
      <c r="EG1" s="3">
        <f>+VLOOKUP(EG2,datos!$D:$E,2,FALSE)</f>
        <v>45505</v>
      </c>
      <c r="EI1" s="700">
        <f>+CK1</f>
        <v>46204</v>
      </c>
      <c r="EJ1" s="700">
        <f t="shared" ref="EJ1:FF1" si="0">+CL1</f>
        <v>46174</v>
      </c>
      <c r="EK1" s="3">
        <f t="shared" si="0"/>
        <v>46143</v>
      </c>
      <c r="EL1" s="3">
        <f t="shared" si="0"/>
        <v>46113</v>
      </c>
      <c r="EM1" s="3">
        <f t="shared" si="0"/>
        <v>46082</v>
      </c>
      <c r="EN1" s="3">
        <f t="shared" si="0"/>
        <v>46054</v>
      </c>
      <c r="EO1" s="3">
        <f t="shared" si="0"/>
        <v>46023</v>
      </c>
      <c r="EP1" s="3">
        <f t="shared" si="0"/>
        <v>45992</v>
      </c>
      <c r="EQ1" s="3">
        <f t="shared" si="0"/>
        <v>45962</v>
      </c>
      <c r="ER1" s="3">
        <f t="shared" si="0"/>
        <v>45931</v>
      </c>
      <c r="ES1" s="3">
        <f t="shared" si="0"/>
        <v>45901</v>
      </c>
      <c r="ET1" s="3">
        <f t="shared" si="0"/>
        <v>45870</v>
      </c>
      <c r="EU1" s="3">
        <f t="shared" si="0"/>
        <v>45839</v>
      </c>
      <c r="EV1" s="3">
        <f t="shared" si="0"/>
        <v>45809</v>
      </c>
      <c r="EW1" s="3">
        <f t="shared" si="0"/>
        <v>45778</v>
      </c>
      <c r="EX1" s="3">
        <f t="shared" si="0"/>
        <v>45748</v>
      </c>
      <c r="EY1" s="3">
        <f t="shared" si="0"/>
        <v>45717</v>
      </c>
      <c r="EZ1" s="3">
        <f t="shared" si="0"/>
        <v>45689</v>
      </c>
      <c r="FA1" s="3">
        <f t="shared" si="0"/>
        <v>45658</v>
      </c>
      <c r="FB1" s="3">
        <f t="shared" si="0"/>
        <v>45627</v>
      </c>
      <c r="FC1" s="3">
        <f t="shared" si="0"/>
        <v>45597</v>
      </c>
      <c r="FD1" s="3">
        <f t="shared" si="0"/>
        <v>45566</v>
      </c>
      <c r="FE1" s="3">
        <f t="shared" si="0"/>
        <v>45536</v>
      </c>
      <c r="FF1" s="3">
        <f t="shared" si="0"/>
        <v>45505</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45870</v>
      </c>
      <c r="AQ2" s="174">
        <f>VLOOKUP(VLOOKUP(+$A$1,ran_ma,2,FALSE)-10,ran_idma,2,FALSE)</f>
        <v>45901</v>
      </c>
      <c r="AR2" s="174">
        <f>VLOOKUP(VLOOKUP(+$A$1,ran_ma,2,FALSE)-9,ran_idma,2,FALSE)</f>
        <v>45931</v>
      </c>
      <c r="AS2" s="174">
        <f>VLOOKUP(VLOOKUP(+$A$1,ran_ma,2,FALSE)-8,ran_idma,2,FALSE)</f>
        <v>45962</v>
      </c>
      <c r="AT2" s="59">
        <f>VLOOKUP(VLOOKUP(+$A$1,ran_ma,2,FALSE)-7,ran_idma,2,FALSE)</f>
        <v>45992</v>
      </c>
      <c r="AU2" s="59">
        <f>VLOOKUP(VLOOKUP(+$A$1,ran_ma,2,FALSE)-6,ran_idma,2,FALSE)</f>
        <v>46023</v>
      </c>
      <c r="AV2" s="59">
        <f>VLOOKUP(VLOOKUP(+$A$1,ran_ma,2,FALSE)-5,ran_idma,2,FALSE)</f>
        <v>46054</v>
      </c>
      <c r="AW2" s="59">
        <f>VLOOKUP(VLOOKUP(+$A$1,ran_ma,2,FALSE)-4,ran_idma,2,FALSE)</f>
        <v>46082</v>
      </c>
      <c r="AX2" s="59">
        <f>VLOOKUP(VLOOKUP(+$A$1,ran_ma,2,FALSE)-3,ran_idma,2,FALSE)</f>
        <v>46113</v>
      </c>
      <c r="AY2" s="59">
        <f>VLOOKUP(VLOOKUP(+$A$1,ran_ma,2,FALSE)-2,ran_idma,2,FALSE)</f>
        <v>46143</v>
      </c>
      <c r="AZ2" s="59">
        <f>VLOOKUP(VLOOKUP(+$A$1,ran_ma,2,FALSE)-1,ran_idma,2,FALSE)</f>
        <v>46174</v>
      </c>
      <c r="BA2" s="59">
        <f>VLOOKUP(VLOOKUP(+$A$1,ran_ma,2,FALSE)-0,ran_idma,2,FALSE)</f>
        <v>46204</v>
      </c>
      <c r="BB2" s="59"/>
      <c r="BC2" s="170"/>
      <c r="BE2" s="9" t="s">
        <v>272</v>
      </c>
      <c r="BG2">
        <f>+VLOOKUP(BG1,ran_dat,datos!$D$1,FALSE)</f>
        <v>136</v>
      </c>
      <c r="BH2">
        <f>+BG2-1</f>
        <v>135</v>
      </c>
      <c r="BI2">
        <f>+BG2-12</f>
        <v>124</v>
      </c>
      <c r="BK2" s="9"/>
      <c r="BL2">
        <f>+VLOOKUP(BL1,ran_dat,datos!$D$1,FALSE)</f>
        <v>136</v>
      </c>
      <c r="BM2">
        <f>+BL2-12</f>
        <v>124</v>
      </c>
      <c r="BO2" s="9"/>
      <c r="BP2">
        <f>+VLOOKUP(BP1,ran_dat,datos!$D$1,FALSE)</f>
        <v>136</v>
      </c>
      <c r="BQ2">
        <f>+BP2-12</f>
        <v>124</v>
      </c>
      <c r="BS2" s="9"/>
      <c r="BW2" s="9"/>
      <c r="CD2" s="386"/>
      <c r="CE2" s="9"/>
      <c r="CF2">
        <f>+VLOOKUP(CF1,ran_dat,datos!$D$1,FALSE)</f>
        <v>136</v>
      </c>
      <c r="CG2">
        <f>+CF2-1</f>
        <v>135</v>
      </c>
      <c r="CH2">
        <f>+CF2-12</f>
        <v>124</v>
      </c>
      <c r="CI2" s="386"/>
      <c r="CJ2">
        <f>+VLOOKUP(CJ1,ran_dat,datos!$D$1,FALSE)</f>
        <v>136</v>
      </c>
      <c r="CK2">
        <f>+CJ2</f>
        <v>136</v>
      </c>
      <c r="CL2">
        <f t="shared" ref="CL2:DH2" si="1">+CK2-1</f>
        <v>135</v>
      </c>
      <c r="CM2">
        <f t="shared" si="1"/>
        <v>134</v>
      </c>
      <c r="CN2">
        <f t="shared" si="1"/>
        <v>133</v>
      </c>
      <c r="CO2">
        <f t="shared" si="1"/>
        <v>132</v>
      </c>
      <c r="CP2">
        <f t="shared" si="1"/>
        <v>131</v>
      </c>
      <c r="CQ2">
        <f t="shared" si="1"/>
        <v>130</v>
      </c>
      <c r="CR2">
        <f t="shared" si="1"/>
        <v>129</v>
      </c>
      <c r="CS2">
        <f t="shared" si="1"/>
        <v>128</v>
      </c>
      <c r="CT2">
        <f t="shared" si="1"/>
        <v>127</v>
      </c>
      <c r="CU2">
        <f t="shared" si="1"/>
        <v>126</v>
      </c>
      <c r="CV2">
        <f t="shared" si="1"/>
        <v>125</v>
      </c>
      <c r="CW2">
        <f t="shared" si="1"/>
        <v>124</v>
      </c>
      <c r="CX2">
        <f t="shared" si="1"/>
        <v>123</v>
      </c>
      <c r="CY2">
        <f t="shared" si="1"/>
        <v>122</v>
      </c>
      <c r="CZ2">
        <f t="shared" si="1"/>
        <v>121</v>
      </c>
      <c r="DA2">
        <f t="shared" si="1"/>
        <v>120</v>
      </c>
      <c r="DB2">
        <f t="shared" si="1"/>
        <v>119</v>
      </c>
      <c r="DC2">
        <f t="shared" si="1"/>
        <v>118</v>
      </c>
      <c r="DD2">
        <f t="shared" si="1"/>
        <v>117</v>
      </c>
      <c r="DE2">
        <f t="shared" si="1"/>
        <v>116</v>
      </c>
      <c r="DF2">
        <f t="shared" si="1"/>
        <v>115</v>
      </c>
      <c r="DG2">
        <f t="shared" si="1"/>
        <v>114</v>
      </c>
      <c r="DH2">
        <f t="shared" si="1"/>
        <v>113</v>
      </c>
      <c r="DJ2">
        <f>+VLOOKUP(DJ1,ran_dat,datos!$D$1,FALSE)</f>
        <v>136</v>
      </c>
      <c r="DK2">
        <f t="shared" ref="DK2:EG2" si="2">+DJ2-1</f>
        <v>135</v>
      </c>
      <c r="DL2">
        <f t="shared" si="2"/>
        <v>134</v>
      </c>
      <c r="DM2">
        <f t="shared" si="2"/>
        <v>133</v>
      </c>
      <c r="DN2">
        <f t="shared" si="2"/>
        <v>132</v>
      </c>
      <c r="DO2">
        <f t="shared" si="2"/>
        <v>131</v>
      </c>
      <c r="DP2">
        <f t="shared" si="2"/>
        <v>130</v>
      </c>
      <c r="DQ2">
        <f t="shared" si="2"/>
        <v>129</v>
      </c>
      <c r="DR2">
        <f t="shared" si="2"/>
        <v>128</v>
      </c>
      <c r="DS2">
        <f t="shared" si="2"/>
        <v>127</v>
      </c>
      <c r="DT2">
        <f t="shared" si="2"/>
        <v>126</v>
      </c>
      <c r="DU2">
        <f t="shared" si="2"/>
        <v>125</v>
      </c>
      <c r="DV2">
        <f t="shared" si="2"/>
        <v>124</v>
      </c>
      <c r="DW2">
        <f t="shared" si="2"/>
        <v>123</v>
      </c>
      <c r="DX2">
        <f t="shared" si="2"/>
        <v>122</v>
      </c>
      <c r="DY2">
        <f t="shared" si="2"/>
        <v>121</v>
      </c>
      <c r="DZ2">
        <f t="shared" si="2"/>
        <v>120</v>
      </c>
      <c r="EA2">
        <f t="shared" si="2"/>
        <v>119</v>
      </c>
      <c r="EB2">
        <f t="shared" si="2"/>
        <v>118</v>
      </c>
      <c r="EC2">
        <f t="shared" si="2"/>
        <v>117</v>
      </c>
      <c r="ED2">
        <f t="shared" si="2"/>
        <v>116</v>
      </c>
      <c r="EE2">
        <f t="shared" si="2"/>
        <v>115</v>
      </c>
      <c r="EF2">
        <f t="shared" si="2"/>
        <v>114</v>
      </c>
      <c r="EG2">
        <f t="shared" si="2"/>
        <v>113</v>
      </c>
      <c r="EI2" s="14">
        <f>+VLOOKUP(EI1,ran_dat,datos!$D$1,FALSE)</f>
        <v>136</v>
      </c>
      <c r="EJ2" s="14">
        <f t="shared" ref="EJ2:FF2" si="3">+EI2-1</f>
        <v>135</v>
      </c>
      <c r="EK2">
        <f t="shared" si="3"/>
        <v>134</v>
      </c>
      <c r="EL2">
        <f t="shared" si="3"/>
        <v>133</v>
      </c>
      <c r="EM2">
        <f t="shared" si="3"/>
        <v>132</v>
      </c>
      <c r="EN2">
        <f t="shared" si="3"/>
        <v>131</v>
      </c>
      <c r="EO2">
        <f t="shared" si="3"/>
        <v>130</v>
      </c>
      <c r="EP2">
        <f t="shared" si="3"/>
        <v>129</v>
      </c>
      <c r="EQ2">
        <f t="shared" si="3"/>
        <v>128</v>
      </c>
      <c r="ER2">
        <f t="shared" si="3"/>
        <v>127</v>
      </c>
      <c r="ES2">
        <f t="shared" si="3"/>
        <v>126</v>
      </c>
      <c r="ET2">
        <f t="shared" si="3"/>
        <v>125</v>
      </c>
      <c r="EU2">
        <f t="shared" si="3"/>
        <v>124</v>
      </c>
      <c r="EV2">
        <f t="shared" si="3"/>
        <v>123</v>
      </c>
      <c r="EW2">
        <f t="shared" si="3"/>
        <v>122</v>
      </c>
      <c r="EX2">
        <f t="shared" si="3"/>
        <v>121</v>
      </c>
      <c r="EY2">
        <f t="shared" si="3"/>
        <v>120</v>
      </c>
      <c r="EZ2">
        <f t="shared" si="3"/>
        <v>119</v>
      </c>
      <c r="FA2">
        <f t="shared" si="3"/>
        <v>118</v>
      </c>
      <c r="FB2">
        <f t="shared" si="3"/>
        <v>117</v>
      </c>
      <c r="FC2">
        <f t="shared" si="3"/>
        <v>116</v>
      </c>
      <c r="FD2">
        <f t="shared" si="3"/>
        <v>115</v>
      </c>
      <c r="FE2">
        <f t="shared" si="3"/>
        <v>114</v>
      </c>
      <c r="FF2">
        <f t="shared" si="3"/>
        <v>113</v>
      </c>
    </row>
    <row r="3" spans="1:164" ht="18.75" customHeight="1">
      <c r="A3" s="220"/>
      <c r="C3" s="155"/>
      <c r="D3" s="196">
        <v>0.33</v>
      </c>
      <c r="E3" s="100">
        <f>IFERROR(+BG5/BH5-1,"")</f>
        <v>2.1137724267861868E-2</v>
      </c>
      <c r="F3" s="56" t="s">
        <v>515</v>
      </c>
      <c r="G3" s="56"/>
      <c r="H3" s="56"/>
      <c r="I3" s="60">
        <f>IFERROR(+BG5/BI5-1,"")</f>
        <v>0.33825685205396794</v>
      </c>
      <c r="J3" s="56" t="s">
        <v>515</v>
      </c>
      <c r="K3" s="56"/>
      <c r="L3" s="56"/>
      <c r="M3" s="32"/>
      <c r="N3" s="196">
        <v>0.33</v>
      </c>
      <c r="O3" s="31"/>
      <c r="S3" s="32"/>
      <c r="T3" s="196">
        <v>0.33</v>
      </c>
      <c r="U3" s="150" t="str">
        <f>TEXT(CV1,"MMM-YY")&amp;"."&amp;TEXT(CK1,"MMM-YY")&amp;" vs "&amp;TEXT(DH1,"MMM-YY")&amp;"."&amp;TEXT(CW1,"MMM-YY")</f>
        <v>ago-25.jul-26 vs ago-24.jul-25</v>
      </c>
      <c r="Y3" s="59" t="str">
        <f>TEXT(CK1,"MMM-YY")&amp;" vs "&amp;TEXT(CW1,"MMM-YY")</f>
        <v>jul-26 vs jul-25</v>
      </c>
      <c r="BE3" s="4" t="s">
        <v>3</v>
      </c>
      <c r="BF3" s="4"/>
      <c r="BG3" s="4"/>
      <c r="BH3" s="4"/>
      <c r="BI3" s="4"/>
      <c r="BK3" s="20" t="s">
        <v>15</v>
      </c>
      <c r="BL3" s="20"/>
      <c r="BM3" s="20"/>
      <c r="BO3" s="21" t="s">
        <v>2</v>
      </c>
      <c r="BP3" s="21"/>
      <c r="BQ3" s="21"/>
      <c r="BS3" s="4" t="s">
        <v>7</v>
      </c>
      <c r="BT3" s="4"/>
      <c r="BU3" s="4"/>
      <c r="BW3" s="43" t="s">
        <v>8</v>
      </c>
      <c r="BX3" s="43"/>
      <c r="BY3" s="43"/>
      <c r="CA3" s="22" t="s">
        <v>9</v>
      </c>
      <c r="CB3" s="22"/>
      <c r="CC3" s="22"/>
      <c r="CD3" s="178"/>
      <c r="CE3" s="27" t="s">
        <v>5</v>
      </c>
      <c r="CF3" s="27"/>
      <c r="CG3" s="27"/>
      <c r="CH3" s="27"/>
      <c r="CI3" s="178"/>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O4" s="9"/>
      <c r="BS4" s="9"/>
      <c r="BW4" s="9"/>
      <c r="CE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12076.393700000001</v>
      </c>
      <c r="BH5" s="2">
        <f t="shared" si="4"/>
        <v>11826.4103</v>
      </c>
      <c r="BI5" s="2">
        <f t="shared" si="4"/>
        <v>9023.973</v>
      </c>
    </row>
    <row r="6" spans="1:164" ht="18.75" customHeight="1">
      <c r="A6" s="243" t="s">
        <v>28</v>
      </c>
      <c r="B6" s="246"/>
      <c r="C6" s="156">
        <f t="shared" ref="C6:C24" si="5">+D6*$D$3+N6*$N$3+T6*$T$3</f>
        <v>0</v>
      </c>
      <c r="D6" s="198">
        <v>-2</v>
      </c>
      <c r="E6" s="248">
        <f t="shared" ref="E6:E24" si="6">IFERROR(+BG6/BH6-1,"")</f>
        <v>2.6593467165979101E-2</v>
      </c>
      <c r="F6" s="249">
        <f t="shared" ref="F6:F24" si="7">+E6-$E$3</f>
        <v>5.4557428981172329E-3</v>
      </c>
      <c r="G6" s="248">
        <f t="shared" ref="G6:G24" si="8">IFERROR(+CF6/CG6-1,"")</f>
        <v>5.3739236306046712E-2</v>
      </c>
      <c r="H6" s="249">
        <f t="shared" ref="H6:H24" si="9">E6-G6</f>
        <v>-2.714576914006761E-2</v>
      </c>
      <c r="I6" s="248">
        <f t="shared" ref="I6:I24" si="10">IFERROR(+BG6/BI6-1,"")</f>
        <v>0.51451691492034235</v>
      </c>
      <c r="J6" s="249">
        <f t="shared" ref="J6:J24" si="11">+I6-$I$3</f>
        <v>0.17626006286637441</v>
      </c>
      <c r="K6" s="248">
        <f t="shared" ref="K6:K24" si="12">IFERROR(+CF6/CH6-1,"")</f>
        <v>0.40863318638028701</v>
      </c>
      <c r="L6" s="249">
        <f t="shared" ref="L6:L24" si="13">I6-K6</f>
        <v>0.10588372854005534</v>
      </c>
      <c r="M6" s="250"/>
      <c r="N6" s="24">
        <v>1</v>
      </c>
      <c r="O6" s="248">
        <f>IFERROR(+BL6/BM6-1,"")</f>
        <v>-0.43478260869565222</v>
      </c>
      <c r="P6" s="251">
        <f>+O6</f>
        <v>-0.43478260869565222</v>
      </c>
      <c r="Q6" s="248">
        <f t="shared" ref="Q6:Q24" si="14">IFERROR(+BP6/BQ6-1,"")</f>
        <v>-0.26666666666666672</v>
      </c>
      <c r="R6" s="251">
        <f>+Q6</f>
        <v>-0.26666666666666672</v>
      </c>
      <c r="S6" s="250"/>
      <c r="T6" s="24">
        <v>1</v>
      </c>
      <c r="U6" s="248">
        <f t="shared" ref="U6:U24" si="15">IFERROR(+BT6/BU6-1,"")</f>
        <v>0.38776476337274279</v>
      </c>
      <c r="V6" s="252">
        <f t="shared" ref="V6:V24" si="16">+U6</f>
        <v>0.38776476337274279</v>
      </c>
      <c r="W6" s="701">
        <f>IFERROR(IF(BX6&lt;0.5,"",+BX6/BY6-1),"")</f>
        <v>-0.12595831169193983</v>
      </c>
      <c r="X6" s="252">
        <f t="shared" ref="X6:X24" si="17">+W6</f>
        <v>-0.12595831169193983</v>
      </c>
      <c r="Y6" s="248"/>
      <c r="Z6" s="252">
        <f t="shared" ref="Z6:Z24" si="18">+Y6</f>
        <v>0</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VLOOKUP($A6,historia!$A$5:$DD$24,+HLOOKUP(AP$2,historia!$A$3:$EC$4,2,FALSE),FALSE)</f>
        <v>3</v>
      </c>
      <c r="AQ6" s="28">
        <f>VLOOKUP($A6,historia!$A$5:$DD$24,+HLOOKUP(AQ$2,historia!$A$3:$EC$4,2,FALSE),FALSE)</f>
        <v>4</v>
      </c>
      <c r="AR6" s="28">
        <f>VLOOKUP($A6,historia!$A$5:$DD$24,+HLOOKUP(AR$2,historia!$A$3:$EC$4,2,FALSE),FALSE)</f>
        <v>4</v>
      </c>
      <c r="AS6" s="28">
        <f>VLOOKUP($A6,historia!$A$5:$DD$24,+HLOOKUP(AS$2,historia!$A$3:$EC$4,2,FALSE),FALSE)</f>
        <v>4</v>
      </c>
      <c r="AT6" s="58">
        <f>VLOOKUP($A6,historia!$A$5:$DD$24,+HLOOKUP(AT$2,historia!$A$3:$EC$4,2,FALSE),FALSE)</f>
        <v>4</v>
      </c>
      <c r="AU6" s="58">
        <f>VLOOKUP($A6,historia!$A$5:$DD$24,+HLOOKUP(AU$2,historia!$A$3:$EC$4,2,FALSE),FALSE)</f>
        <v>4</v>
      </c>
      <c r="AV6" s="58">
        <f>VLOOKUP($A6,historia!$A$5:$DD$24,+HLOOKUP(AV$2,historia!$A$3:$EC$4,2,FALSE),FALSE)</f>
        <v>4</v>
      </c>
      <c r="AW6" s="58">
        <f>VLOOKUP($A6,historia!$A$5:$DD$24,+HLOOKUP(AW$2,historia!$A$3:$EC$4,2,FALSE),FALSE)</f>
        <v>4</v>
      </c>
      <c r="AX6" s="58">
        <f>VLOOKUP($A6,historia!$A$5:$DD$24,+HLOOKUP(AX$2,historia!$A$3:$EC$4,2,FALSE),FALSE)</f>
        <v>4</v>
      </c>
      <c r="AY6" s="58">
        <f>VLOOKUP($A6,historia!$A$5:$DD$24,+HLOOKUP(AY$2,historia!$A$3:$EC$4,2,FALSE),FALSE)</f>
        <v>4</v>
      </c>
      <c r="AZ6" s="58">
        <f>VLOOKUP($A6,historia!$A$5:$DD$24,+HLOOKUP(AZ$2,historia!$A$3:$EC$4,2,FALSE),FALSE)</f>
        <v>4</v>
      </c>
      <c r="BA6" s="58">
        <f>VLOOKUP($A6,historia!$A$5:$DD$24,+HLOOKUP(BA$2,historia!$A$3:$EC$4,2,FALSE),FALSE)</f>
        <v>4</v>
      </c>
      <c r="BB6" s="58"/>
      <c r="BC6" s="286">
        <v>4</v>
      </c>
      <c r="BD6" t="str">
        <f t="shared" ref="BD6:BD24" si="19">+A6</f>
        <v>Algodón</v>
      </c>
      <c r="BE6">
        <f>+datos!P1</f>
        <v>16</v>
      </c>
      <c r="BF6" s="2" t="str">
        <f t="shared" si="4"/>
        <v>$/kg</v>
      </c>
      <c r="BG6" s="2">
        <f t="shared" si="4"/>
        <v>2055.4110157142854</v>
      </c>
      <c r="BH6" s="2">
        <f t="shared" si="4"/>
        <v>2002.1664674999997</v>
      </c>
      <c r="BI6" s="2">
        <f t="shared" si="4"/>
        <v>1357.1396895374999</v>
      </c>
      <c r="BK6" s="1">
        <f>+datos!DK1</f>
        <v>115</v>
      </c>
      <c r="BL6" s="1">
        <f t="shared" ref="BL6:BM24" si="20">+VLOOKUP(BL$1,ran_dat,$BK6,FALSE)</f>
        <v>390000</v>
      </c>
      <c r="BM6" s="1">
        <f t="shared" si="20"/>
        <v>690000</v>
      </c>
      <c r="BO6" s="1">
        <f>+datos!FF1</f>
        <v>162</v>
      </c>
      <c r="BP6" s="1">
        <f>+VLOOKUP(BP$1,ran_dat,$BO6,FALSE)</f>
        <v>770000</v>
      </c>
      <c r="BQ6" s="1">
        <f t="shared" ref="BP6:BQ24" si="21">+VLOOKUP(BQ$1,ran_dat,$BO6,FALSE)</f>
        <v>1050000</v>
      </c>
      <c r="BS6" s="1">
        <f>+datos!JF1</f>
        <v>266</v>
      </c>
      <c r="BT6" s="1">
        <f>+SUM(CK6:CV6)</f>
        <v>188.79107234</v>
      </c>
      <c r="BU6" s="1">
        <f>+SUM(CW6:DH6)</f>
        <v>136.03967856999998</v>
      </c>
      <c r="BW6" s="1">
        <f>+datos!KK1</f>
        <v>297</v>
      </c>
      <c r="BX6" s="2">
        <f t="shared" ref="BX6:BX24" si="22">+SUM(DJ6:DU6)</f>
        <v>83.475787510000004</v>
      </c>
      <c r="BY6" s="2">
        <f t="shared" ref="BY6:BY24" si="23">+SUM(DV6:EG6)</f>
        <v>95.50549891</v>
      </c>
      <c r="CA6" s="1">
        <f>+datos!HS1</f>
        <v>227</v>
      </c>
      <c r="CB6" s="1">
        <f t="shared" ref="CB6:CB24" si="24">+EI6</f>
        <v>0</v>
      </c>
      <c r="CC6" s="1">
        <f t="shared" ref="CC6:CC24" si="25">+EU6</f>
        <v>0</v>
      </c>
      <c r="CD6" s="1"/>
      <c r="CE6">
        <f>+datos!BY1</f>
        <v>77</v>
      </c>
      <c r="CF6" s="2">
        <f t="shared" ref="CF6:CH24" si="26">+VLOOKUP(CF$1,ran_dat,$CE6,FALSE)</f>
        <v>14989.587996030394</v>
      </c>
      <c r="CG6" s="2">
        <f t="shared" si="26"/>
        <v>14225.139844443294</v>
      </c>
      <c r="CH6" s="2">
        <f t="shared" si="26"/>
        <v>10641.228774787414</v>
      </c>
      <c r="CI6" s="1"/>
      <c r="CK6" s="1">
        <f t="shared" ref="CK6:CZ21" si="27">+VLOOKUP(CK$1,ran_dat,$BS6,FALSE)</f>
        <v>20.543875600000003</v>
      </c>
      <c r="CL6" s="1">
        <f t="shared" si="27"/>
        <v>16.754484870000002</v>
      </c>
      <c r="CM6" s="1">
        <f t="shared" si="27"/>
        <v>11.103674589999992</v>
      </c>
      <c r="CN6" s="1">
        <f t="shared" si="27"/>
        <v>12.094188589999995</v>
      </c>
      <c r="CO6" s="1">
        <f t="shared" si="27"/>
        <v>12.781845520000003</v>
      </c>
      <c r="CP6" s="1">
        <f t="shared" si="27"/>
        <v>12.588257429999995</v>
      </c>
      <c r="CQ6" s="1">
        <f t="shared" si="27"/>
        <v>12.342095660000002</v>
      </c>
      <c r="CR6" s="1">
        <f t="shared" si="27"/>
        <v>14.028435419999997</v>
      </c>
      <c r="CS6" s="1">
        <f t="shared" si="27"/>
        <v>19.935607340000004</v>
      </c>
      <c r="CT6" s="1">
        <f t="shared" si="27"/>
        <v>21.754931440000004</v>
      </c>
      <c r="CU6" s="1">
        <f t="shared" si="27"/>
        <v>18.652099290000002</v>
      </c>
      <c r="CV6" s="1">
        <f t="shared" si="27"/>
        <v>16.211576590000004</v>
      </c>
      <c r="CW6" s="1">
        <f t="shared" si="27"/>
        <v>9.0263359399999974</v>
      </c>
      <c r="CX6" s="1">
        <f t="shared" si="27"/>
        <v>8.2931694499999988</v>
      </c>
      <c r="CY6" s="1">
        <f t="shared" si="27"/>
        <v>5.0945514700000007</v>
      </c>
      <c r="CZ6" s="1">
        <f t="shared" si="27"/>
        <v>7.3093251500000047</v>
      </c>
      <c r="DA6" s="1">
        <f t="shared" ref="DA6:DH21" si="28">+VLOOKUP(DA$1,ran_dat,$BS6,FALSE)</f>
        <v>6.7908860800000017</v>
      </c>
      <c r="DB6" s="1">
        <f t="shared" si="28"/>
        <v>8.6490729999999978</v>
      </c>
      <c r="DC6" s="1">
        <f t="shared" si="28"/>
        <v>6.462363250000001</v>
      </c>
      <c r="DD6" s="1">
        <f t="shared" si="28"/>
        <v>10.78045292</v>
      </c>
      <c r="DE6" s="1">
        <f t="shared" si="28"/>
        <v>14.805583519999997</v>
      </c>
      <c r="DF6" s="1">
        <f t="shared" si="28"/>
        <v>17.696202909999993</v>
      </c>
      <c r="DG6" s="1">
        <f t="shared" si="28"/>
        <v>21.922029789999996</v>
      </c>
      <c r="DH6" s="1">
        <f t="shared" si="28"/>
        <v>19.20970509</v>
      </c>
      <c r="DJ6" s="1">
        <f t="shared" ref="DJ6:DY21" si="29">+VLOOKUP(DJ$1,ran_dat,$BW6,FALSE)</f>
        <v>6.7458941900000005</v>
      </c>
      <c r="DK6" s="1">
        <f t="shared" si="29"/>
        <v>7.7956888200000014</v>
      </c>
      <c r="DL6" s="1">
        <f t="shared" si="29"/>
        <v>4.6022526900000003</v>
      </c>
      <c r="DM6" s="1">
        <f t="shared" si="29"/>
        <v>6.0731055099999995</v>
      </c>
      <c r="DN6" s="1">
        <f t="shared" si="29"/>
        <v>5.0269418100000003</v>
      </c>
      <c r="DO6" s="1">
        <f t="shared" si="29"/>
        <v>4.1096809499999996</v>
      </c>
      <c r="DP6" s="1">
        <f t="shared" si="29"/>
        <v>5.6046989700000003</v>
      </c>
      <c r="DQ6" s="1">
        <f t="shared" si="29"/>
        <v>5.8762837499999998</v>
      </c>
      <c r="DR6" s="1">
        <f t="shared" si="29"/>
        <v>7.4817210700000008</v>
      </c>
      <c r="DS6" s="1">
        <f t="shared" si="29"/>
        <v>10.164854930000002</v>
      </c>
      <c r="DT6" s="1">
        <f t="shared" si="29"/>
        <v>9.0858989999999995</v>
      </c>
      <c r="DU6" s="1">
        <f t="shared" si="29"/>
        <v>10.908765819999998</v>
      </c>
      <c r="DV6" s="1">
        <f t="shared" si="29"/>
        <v>11.035692889999996</v>
      </c>
      <c r="DW6" s="1">
        <f t="shared" si="29"/>
        <v>9.4337625599999999</v>
      </c>
      <c r="DX6" s="1">
        <f t="shared" si="29"/>
        <v>9.66008332</v>
      </c>
      <c r="DY6" s="1">
        <f t="shared" si="29"/>
        <v>10.467826709999999</v>
      </c>
      <c r="DZ6" s="1">
        <f t="shared" ref="DZ6:EG20" si="30">+VLOOKUP(DZ$1,ran_dat,$BW6,FALSE)</f>
        <v>7.9836210200000002</v>
      </c>
      <c r="EA6" s="1">
        <f t="shared" si="30"/>
        <v>9.7355070900000005</v>
      </c>
      <c r="EB6" s="1">
        <f t="shared" si="30"/>
        <v>7.6983577599999995</v>
      </c>
      <c r="EC6" s="1">
        <f t="shared" si="30"/>
        <v>8.003268180000001</v>
      </c>
      <c r="ED6" s="1">
        <f t="shared" si="30"/>
        <v>5.6011509000000004</v>
      </c>
      <c r="EE6" s="1">
        <f t="shared" si="30"/>
        <v>5.8112020999999991</v>
      </c>
      <c r="EF6" s="1">
        <f t="shared" si="30"/>
        <v>6.3060080799999998</v>
      </c>
      <c r="EG6" s="1">
        <f t="shared" si="30"/>
        <v>3.7690183000000008</v>
      </c>
      <c r="EI6" s="14">
        <f>+VLOOKUP(EI$1,ran_dat,$CA6,FALSE)</f>
        <v>0</v>
      </c>
      <c r="EJ6" s="14">
        <f t="shared" ref="EJ6:FF21" si="31">+VLOOKUP(EJ$1,ran_dat,$CA6,FALSE)</f>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si="31"/>
        <v>0</v>
      </c>
      <c r="EY6" s="1">
        <f t="shared" si="31"/>
        <v>0</v>
      </c>
      <c r="EZ6" s="1">
        <f t="shared" si="31"/>
        <v>0</v>
      </c>
      <c r="FA6" s="1">
        <f t="shared" si="31"/>
        <v>0</v>
      </c>
      <c r="FB6" s="1">
        <f t="shared" si="31"/>
        <v>0</v>
      </c>
      <c r="FC6" s="1">
        <f t="shared" si="31"/>
        <v>0</v>
      </c>
      <c r="FD6" s="1">
        <f t="shared" si="31"/>
        <v>0</v>
      </c>
      <c r="FE6" s="1">
        <f t="shared" si="31"/>
        <v>0</v>
      </c>
      <c r="FF6" s="1">
        <f t="shared" si="31"/>
        <v>0</v>
      </c>
      <c r="FH6" s="162">
        <f t="shared" ref="FH6:FH24" si="32">+I6-K6</f>
        <v>0.10588372854005534</v>
      </c>
    </row>
    <row r="7" spans="1:164" ht="18.75" customHeight="1">
      <c r="A7" s="244" t="s">
        <v>13</v>
      </c>
      <c r="B7" s="247"/>
      <c r="C7" s="228">
        <f t="shared" si="5"/>
        <v>-0.33</v>
      </c>
      <c r="D7" s="229">
        <v>-1</v>
      </c>
      <c r="E7" s="253">
        <f t="shared" si="6"/>
        <v>0</v>
      </c>
      <c r="F7" s="254">
        <f t="shared" si="7"/>
        <v>-2.1137724267861868E-2</v>
      </c>
      <c r="G7" s="253">
        <f t="shared" si="8"/>
        <v>6.082066713661205E-2</v>
      </c>
      <c r="H7" s="254">
        <f t="shared" si="9"/>
        <v>-6.082066713661205E-2</v>
      </c>
      <c r="I7" s="253">
        <f t="shared" si="10"/>
        <v>0.39999999999999991</v>
      </c>
      <c r="J7" s="254">
        <f t="shared" si="11"/>
        <v>6.1743147946031973E-2</v>
      </c>
      <c r="K7" s="253">
        <f t="shared" si="12"/>
        <v>0.5230105355740351</v>
      </c>
      <c r="L7" s="254">
        <f t="shared" si="13"/>
        <v>-0.12301053557403518</v>
      </c>
      <c r="M7" s="255"/>
      <c r="N7" s="256">
        <v>1</v>
      </c>
      <c r="O7" s="253">
        <f t="shared" ref="O7:O24" si="33">IFERROR(+BL7/BM7-1,"")</f>
        <v>-0.13043478260869568</v>
      </c>
      <c r="P7" s="257">
        <f t="shared" ref="P7:P24" si="34">+O7</f>
        <v>-0.13043478260869568</v>
      </c>
      <c r="Q7" s="253">
        <f t="shared" si="14"/>
        <v>-0.125</v>
      </c>
      <c r="R7" s="257">
        <f t="shared" ref="R7:R24" si="35">+Q7</f>
        <v>-0.125</v>
      </c>
      <c r="S7" s="255"/>
      <c r="T7" s="256">
        <v>-1</v>
      </c>
      <c r="U7" s="253">
        <f t="shared" si="15"/>
        <v>0.17525896192488277</v>
      </c>
      <c r="V7" s="258">
        <f t="shared" si="16"/>
        <v>0.17525896192488277</v>
      </c>
      <c r="W7" s="253">
        <f t="shared" ref="W7:W24" si="36">IFERROR(IF(BX7&lt;0.5,"",+BX7/BY7-1),"")</f>
        <v>-0.55869573610204137</v>
      </c>
      <c r="X7" s="258">
        <f t="shared" si="17"/>
        <v>-0.55869573610204137</v>
      </c>
      <c r="Y7" s="253">
        <f t="shared" ref="Y7:Y25" si="37">IFERROR(+CB7/CC7-1,"")</f>
        <v>-4.0404040404040442E-2</v>
      </c>
      <c r="Z7" s="258">
        <f t="shared" si="18"/>
        <v>-4.0404040404040442E-2</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VLOOKUP($A7,historia!$A$5:$DD$24,+HLOOKUP(AP$2,historia!$A$3:$EC$4,2,FALSE),FALSE)</f>
        <v>4</v>
      </c>
      <c r="AQ7" s="28">
        <f>VLOOKUP($A7,historia!$A$5:$DD$24,+HLOOKUP(AQ$2,historia!$A$3:$EC$4,2,FALSE),FALSE)</f>
        <v>4</v>
      </c>
      <c r="AR7" s="28">
        <f>VLOOKUP($A7,historia!$A$5:$DD$24,+HLOOKUP(AR$2,historia!$A$3:$EC$4,2,FALSE),FALSE)</f>
        <v>4</v>
      </c>
      <c r="AS7" s="28">
        <f>VLOOKUP($A7,historia!$A$5:$DD$24,+HLOOKUP(AS$2,historia!$A$3:$EC$4,2,FALSE),FALSE)</f>
        <v>4</v>
      </c>
      <c r="AT7" s="58">
        <f>VLOOKUP($A7,historia!$A$5:$DD$24,+HLOOKUP(AT$2,historia!$A$3:$EC$4,2,FALSE),FALSE)</f>
        <v>4</v>
      </c>
      <c r="AU7" s="58">
        <f>VLOOKUP($A7,historia!$A$5:$DD$24,+HLOOKUP(AU$2,historia!$A$3:$EC$4,2,FALSE),FALSE)</f>
        <v>4</v>
      </c>
      <c r="AV7" s="58">
        <f>VLOOKUP($A7,historia!$A$5:$DD$24,+HLOOKUP(AV$2,historia!$A$3:$EC$4,2,FALSE),FALSE)</f>
        <v>4</v>
      </c>
      <c r="AW7" s="58">
        <f>VLOOKUP($A7,historia!$A$5:$DD$24,+HLOOKUP(AW$2,historia!$A$3:$EC$4,2,FALSE),FALSE)</f>
        <v>4</v>
      </c>
      <c r="AX7" s="58">
        <f>VLOOKUP($A7,historia!$A$5:$DD$24,+HLOOKUP(AX$2,historia!$A$3:$EC$4,2,FALSE),FALSE)</f>
        <v>3</v>
      </c>
      <c r="AY7" s="58">
        <f>VLOOKUP($A7,historia!$A$5:$DD$24,+HLOOKUP(AY$2,historia!$A$3:$EC$4,2,FALSE),FALSE)</f>
        <v>3</v>
      </c>
      <c r="AZ7" s="58">
        <f>VLOOKUP($A7,historia!$A$5:$DD$24,+HLOOKUP(AZ$2,historia!$A$3:$EC$4,2,FALSE),FALSE)</f>
        <v>3</v>
      </c>
      <c r="BA7" s="58">
        <f>VLOOKUP($A7,historia!$A$5:$DD$24,+HLOOKUP(BA$2,historia!$A$3:$EC$4,2,FALSE),FALSE)</f>
        <v>4</v>
      </c>
      <c r="BB7" s="58"/>
      <c r="BC7" s="286">
        <v>4</v>
      </c>
      <c r="BD7" t="str">
        <f t="shared" si="19"/>
        <v>Arroz</v>
      </c>
      <c r="BE7">
        <f>+datos!R1</f>
        <v>18</v>
      </c>
      <c r="BF7" s="2" t="str">
        <f t="shared" si="4"/>
        <v>$/t</v>
      </c>
      <c r="BG7" s="2">
        <f t="shared" si="4"/>
        <v>280000</v>
      </c>
      <c r="BH7" s="2">
        <f t="shared" si="4"/>
        <v>280000</v>
      </c>
      <c r="BI7" s="2">
        <f t="shared" si="4"/>
        <v>200000</v>
      </c>
      <c r="BK7" s="1">
        <f>+datos!DM1</f>
        <v>117</v>
      </c>
      <c r="BL7" s="1">
        <f t="shared" si="20"/>
        <v>200000</v>
      </c>
      <c r="BM7" s="1">
        <f t="shared" si="20"/>
        <v>230000</v>
      </c>
      <c r="BO7" s="1">
        <f>+datos!FH1</f>
        <v>164</v>
      </c>
      <c r="BP7" s="1">
        <f t="shared" si="21"/>
        <v>1400000</v>
      </c>
      <c r="BQ7" s="1">
        <f t="shared" si="21"/>
        <v>1600000</v>
      </c>
      <c r="BS7" s="1">
        <f>+datos!JG1</f>
        <v>267</v>
      </c>
      <c r="BT7" s="1">
        <f t="shared" ref="BT7:BT24" si="38">+SUM(CK7:CV7)</f>
        <v>437.03687537000002</v>
      </c>
      <c r="BU7" s="1">
        <f t="shared" ref="BU7:BU24" si="39">+SUM(CW7:DH7)</f>
        <v>371.86432056999996</v>
      </c>
      <c r="BW7" s="1">
        <f>+datos!KL1</f>
        <v>298</v>
      </c>
      <c r="BX7" s="2">
        <f t="shared" si="22"/>
        <v>2.0958184900000001</v>
      </c>
      <c r="BY7" s="2">
        <f t="shared" si="23"/>
        <v>4.749146249999999</v>
      </c>
      <c r="CA7" s="1">
        <f>+datos!HU1</f>
        <v>229</v>
      </c>
      <c r="CB7" s="1">
        <f t="shared" si="24"/>
        <v>950000</v>
      </c>
      <c r="CC7" s="1">
        <f t="shared" si="25"/>
        <v>990000</v>
      </c>
      <c r="CD7" s="1"/>
      <c r="CE7">
        <f>+datos!BZ1</f>
        <v>78</v>
      </c>
      <c r="CF7" s="2">
        <f t="shared" si="26"/>
        <v>16466.499342504016</v>
      </c>
      <c r="CG7" s="2">
        <f t="shared" si="26"/>
        <v>15522.415666118866</v>
      </c>
      <c r="CH7" s="2">
        <f t="shared" si="26"/>
        <v>10811.809214634</v>
      </c>
      <c r="CI7" s="1"/>
      <c r="CK7" s="1">
        <f t="shared" si="27"/>
        <v>24.701079360000001</v>
      </c>
      <c r="CL7" s="1">
        <f t="shared" si="27"/>
        <v>26.650133280000002</v>
      </c>
      <c r="CM7" s="1">
        <f t="shared" si="27"/>
        <v>29.390449220000004</v>
      </c>
      <c r="CN7" s="1">
        <f t="shared" si="27"/>
        <v>63.44953374</v>
      </c>
      <c r="CO7" s="1">
        <f t="shared" si="27"/>
        <v>21.288385250000005</v>
      </c>
      <c r="CP7" s="1">
        <f t="shared" si="27"/>
        <v>90.314876920000003</v>
      </c>
      <c r="CQ7" s="1">
        <f t="shared" si="27"/>
        <v>25.485538569999999</v>
      </c>
      <c r="CR7" s="1">
        <f t="shared" si="27"/>
        <v>12.625558100000001</v>
      </c>
      <c r="CS7" s="1">
        <f t="shared" si="27"/>
        <v>36.759837599999997</v>
      </c>
      <c r="CT7" s="1">
        <f t="shared" si="27"/>
        <v>36.299912110000001</v>
      </c>
      <c r="CU7" s="1">
        <f t="shared" si="27"/>
        <v>15.634826659999996</v>
      </c>
      <c r="CV7" s="1">
        <f t="shared" si="27"/>
        <v>54.436744560000001</v>
      </c>
      <c r="CW7" s="1">
        <f t="shared" si="27"/>
        <v>16.08135906</v>
      </c>
      <c r="CX7" s="1">
        <f t="shared" si="27"/>
        <v>31.537173230000004</v>
      </c>
      <c r="CY7" s="1">
        <f t="shared" si="27"/>
        <v>39.974175860000003</v>
      </c>
      <c r="CZ7" s="1">
        <f t="shared" si="27"/>
        <v>35.910188569999995</v>
      </c>
      <c r="DA7" s="1">
        <f t="shared" si="28"/>
        <v>30.652184479999995</v>
      </c>
      <c r="DB7" s="1">
        <f t="shared" si="28"/>
        <v>94.896967090000004</v>
      </c>
      <c r="DC7" s="1">
        <f t="shared" si="28"/>
        <v>22.007364089999996</v>
      </c>
      <c r="DD7" s="1">
        <f t="shared" si="28"/>
        <v>13.652213600000001</v>
      </c>
      <c r="DE7" s="1">
        <f t="shared" si="28"/>
        <v>21.789652239999999</v>
      </c>
      <c r="DF7" s="1">
        <f t="shared" si="28"/>
        <v>22.506187060000002</v>
      </c>
      <c r="DG7" s="1">
        <f t="shared" si="28"/>
        <v>26.198510359999997</v>
      </c>
      <c r="DH7" s="1">
        <f t="shared" si="28"/>
        <v>16.658344929999998</v>
      </c>
      <c r="DJ7" s="1">
        <f t="shared" si="29"/>
        <v>0.11951553000000001</v>
      </c>
      <c r="DK7" s="1">
        <f t="shared" si="29"/>
        <v>0.34271688000000006</v>
      </c>
      <c r="DL7" s="1">
        <f t="shared" si="29"/>
        <v>0.10270198</v>
      </c>
      <c r="DM7" s="1">
        <f t="shared" si="29"/>
        <v>0.16027804000000001</v>
      </c>
      <c r="DN7" s="1">
        <f t="shared" si="29"/>
        <v>0.19125684999999998</v>
      </c>
      <c r="DO7" s="1">
        <f t="shared" si="29"/>
        <v>0.15253662999999998</v>
      </c>
      <c r="DP7" s="1">
        <f t="shared" si="29"/>
        <v>1.9795769999999997E-2</v>
      </c>
      <c r="DQ7" s="1">
        <f t="shared" si="29"/>
        <v>0.22953033</v>
      </c>
      <c r="DR7" s="1">
        <f t="shared" si="29"/>
        <v>3.2780709999999998E-2</v>
      </c>
      <c r="DS7" s="1">
        <f t="shared" si="29"/>
        <v>0.17706282000000001</v>
      </c>
      <c r="DT7" s="1">
        <f t="shared" si="29"/>
        <v>0.30085145999999996</v>
      </c>
      <c r="DU7" s="1">
        <f t="shared" si="29"/>
        <v>0.26679149000000002</v>
      </c>
      <c r="DV7" s="1">
        <f t="shared" si="29"/>
        <v>0.13893236</v>
      </c>
      <c r="DW7" s="1">
        <f t="shared" si="29"/>
        <v>0.4195122</v>
      </c>
      <c r="DX7" s="1">
        <f t="shared" si="29"/>
        <v>0.20050375000000001</v>
      </c>
      <c r="DY7" s="1">
        <f t="shared" si="29"/>
        <v>0.34624290000000002</v>
      </c>
      <c r="DZ7" s="1">
        <f t="shared" si="30"/>
        <v>0.15613090000000002</v>
      </c>
      <c r="EA7" s="1">
        <f t="shared" si="30"/>
        <v>0.47281664000000007</v>
      </c>
      <c r="EB7" s="1">
        <f t="shared" si="30"/>
        <v>0.84812041999999999</v>
      </c>
      <c r="EC7" s="1">
        <f t="shared" si="30"/>
        <v>0.25440681999999998</v>
      </c>
      <c r="ED7" s="1">
        <f t="shared" si="30"/>
        <v>0.7620908099999999</v>
      </c>
      <c r="EE7" s="1">
        <f t="shared" si="30"/>
        <v>0.50490091999999998</v>
      </c>
      <c r="EF7" s="1">
        <f t="shared" si="30"/>
        <v>0.40961613000000002</v>
      </c>
      <c r="EG7" s="1">
        <f t="shared" si="30"/>
        <v>0.23587240000000001</v>
      </c>
      <c r="EI7" s="14">
        <f t="shared" ref="EI7:EX22" si="40">+VLOOKUP(EI$1,ran_dat,$CA7,FALSE)</f>
        <v>950000</v>
      </c>
      <c r="EJ7" s="14">
        <f t="shared" si="40"/>
        <v>950000</v>
      </c>
      <c r="EK7" s="1">
        <f t="shared" si="40"/>
        <v>950000</v>
      </c>
      <c r="EL7" s="1">
        <f t="shared" si="40"/>
        <v>950000</v>
      </c>
      <c r="EM7" s="1">
        <f t="shared" si="40"/>
        <v>990000</v>
      </c>
      <c r="EN7" s="1">
        <f t="shared" si="40"/>
        <v>990000</v>
      </c>
      <c r="EO7" s="1">
        <f t="shared" si="40"/>
        <v>990000</v>
      </c>
      <c r="EP7" s="1">
        <f t="shared" si="40"/>
        <v>990000</v>
      </c>
      <c r="EQ7" s="1">
        <f t="shared" si="40"/>
        <v>990000</v>
      </c>
      <c r="ER7" s="1">
        <f t="shared" si="40"/>
        <v>990000</v>
      </c>
      <c r="ES7" s="1">
        <f t="shared" si="40"/>
        <v>990000</v>
      </c>
      <c r="ET7" s="1">
        <f t="shared" si="40"/>
        <v>990000</v>
      </c>
      <c r="EU7" s="1">
        <f t="shared" si="40"/>
        <v>990000</v>
      </c>
      <c r="EV7" s="1">
        <f t="shared" si="40"/>
        <v>990000</v>
      </c>
      <c r="EW7" s="1">
        <f t="shared" si="40"/>
        <v>700000</v>
      </c>
      <c r="EX7" s="1">
        <f t="shared" si="40"/>
        <v>700000</v>
      </c>
      <c r="EY7" s="1">
        <f t="shared" si="31"/>
        <v>700000</v>
      </c>
      <c r="EZ7" s="1">
        <f t="shared" si="31"/>
        <v>700000</v>
      </c>
      <c r="FA7" s="1">
        <f t="shared" si="31"/>
        <v>700000</v>
      </c>
      <c r="FB7" s="1">
        <f t="shared" si="31"/>
        <v>700000</v>
      </c>
      <c r="FC7" s="1">
        <f t="shared" si="31"/>
        <v>700000</v>
      </c>
      <c r="FD7" s="1">
        <f t="shared" si="31"/>
        <v>700000</v>
      </c>
      <c r="FE7" s="1">
        <f t="shared" si="31"/>
        <v>700000</v>
      </c>
      <c r="FF7" s="1">
        <f t="shared" si="31"/>
        <v>700000</v>
      </c>
      <c r="FH7" s="162">
        <f t="shared" si="32"/>
        <v>-0.12301053557403518</v>
      </c>
    </row>
    <row r="8" spans="1:164" ht="18.75" customHeight="1">
      <c r="A8" s="243" t="s">
        <v>215</v>
      </c>
      <c r="B8" s="246"/>
      <c r="C8" s="156">
        <f t="shared" si="5"/>
        <v>-0.33</v>
      </c>
      <c r="D8" s="198">
        <v>0</v>
      </c>
      <c r="E8" s="248">
        <f t="shared" si="6"/>
        <v>-4.1524094667807154E-2</v>
      </c>
      <c r="F8" s="249">
        <f t="shared" si="7"/>
        <v>-6.2661818935669023E-2</v>
      </c>
      <c r="G8" s="248">
        <f t="shared" si="8"/>
        <v>5.4813076614209644E-2</v>
      </c>
      <c r="H8" s="249">
        <f t="shared" si="9"/>
        <v>-9.6337171282016798E-2</v>
      </c>
      <c r="I8" s="248">
        <f t="shared" si="10"/>
        <v>-8.3844371763423187E-2</v>
      </c>
      <c r="J8" s="249">
        <f t="shared" si="11"/>
        <v>-0.42210122381739112</v>
      </c>
      <c r="K8" s="248">
        <f t="shared" si="12"/>
        <v>0.235538648603002</v>
      </c>
      <c r="L8" s="249">
        <f t="shared" si="13"/>
        <v>-0.31938302036642519</v>
      </c>
      <c r="M8" s="250"/>
      <c r="N8" s="24">
        <v>0</v>
      </c>
      <c r="O8" s="248">
        <f t="shared" si="33"/>
        <v>1.6982152514873006E-2</v>
      </c>
      <c r="P8" s="251">
        <f t="shared" si="34"/>
        <v>1.6982152514873006E-2</v>
      </c>
      <c r="Q8" s="248">
        <f t="shared" si="14"/>
        <v>-2.2322780211782023E-2</v>
      </c>
      <c r="R8" s="251">
        <f t="shared" si="35"/>
        <v>-2.2322780211782023E-2</v>
      </c>
      <c r="S8" s="250"/>
      <c r="T8" s="24">
        <v>-1</v>
      </c>
      <c r="U8" s="248">
        <f t="shared" si="15"/>
        <v>-0.209065017919981</v>
      </c>
      <c r="V8" s="252">
        <f t="shared" si="16"/>
        <v>-0.209065017919981</v>
      </c>
      <c r="W8" s="248">
        <f t="shared" si="36"/>
        <v>0.18379231705190602</v>
      </c>
      <c r="X8" s="252">
        <f t="shared" si="17"/>
        <v>0.18379231705190602</v>
      </c>
      <c r="Y8" s="248">
        <f t="shared" si="37"/>
        <v>2.7735313387202476E-2</v>
      </c>
      <c r="Z8" s="252">
        <f t="shared" si="18"/>
        <v>2.7735313387202476E-2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VLOOKUP($A8,historia!$A$5:$DD$24,+HLOOKUP(AP$2,historia!$A$3:$EC$4,2,FALSE),FALSE)</f>
        <v>2</v>
      </c>
      <c r="AQ8" s="28">
        <f>VLOOKUP($A8,historia!$A$5:$DD$24,+HLOOKUP(AQ$2,historia!$A$3:$EC$4,2,FALSE),FALSE)</f>
        <v>2</v>
      </c>
      <c r="AR8" s="28">
        <f>VLOOKUP($A8,historia!$A$5:$DD$24,+HLOOKUP(AR$2,historia!$A$3:$EC$4,2,FALSE),FALSE)</f>
        <v>2</v>
      </c>
      <c r="AS8" s="28">
        <f>VLOOKUP($A8,historia!$A$5:$DD$24,+HLOOKUP(AS$2,historia!$A$3:$EC$4,2,FALSE),FALSE)</f>
        <v>3</v>
      </c>
      <c r="AT8" s="58">
        <f>VLOOKUP($A8,historia!$A$5:$DD$24,+HLOOKUP(AT$2,historia!$A$3:$EC$4,2,FALSE),FALSE)</f>
        <v>3</v>
      </c>
      <c r="AU8" s="58">
        <f>VLOOKUP($A8,historia!$A$5:$DD$24,+HLOOKUP(AU$2,historia!$A$3:$EC$4,2,FALSE),FALSE)</f>
        <v>3</v>
      </c>
      <c r="AV8" s="58">
        <f>VLOOKUP($A8,historia!$A$5:$DD$24,+HLOOKUP(AV$2,historia!$A$3:$EC$4,2,FALSE),FALSE)</f>
        <v>3</v>
      </c>
      <c r="AW8" s="58">
        <f>VLOOKUP($A8,historia!$A$5:$DD$24,+HLOOKUP(AW$2,historia!$A$3:$EC$4,2,FALSE),FALSE)</f>
        <v>3</v>
      </c>
      <c r="AX8" s="58">
        <f>VLOOKUP($A8,historia!$A$5:$DD$24,+HLOOKUP(AX$2,historia!$A$3:$EC$4,2,FALSE),FALSE)</f>
        <v>3</v>
      </c>
      <c r="AY8" s="58">
        <f>VLOOKUP($A8,historia!$A$5:$DD$24,+HLOOKUP(AY$2,historia!$A$3:$EC$4,2,FALSE),FALSE)</f>
        <v>3</v>
      </c>
      <c r="AZ8" s="58">
        <f>VLOOKUP($A8,historia!$A$5:$DD$24,+HLOOKUP(AZ$2,historia!$A$3:$EC$4,2,FALSE),FALSE)</f>
        <v>3</v>
      </c>
      <c r="BA8" s="58">
        <f>VLOOKUP($A8,historia!$A$5:$DG$24,+HLOOKUP(BA$2,historia!$A$3:$EC$4,2,FALSE),FALSE)</f>
        <v>3</v>
      </c>
      <c r="BB8" s="58"/>
      <c r="BC8" s="286">
        <v>3</v>
      </c>
      <c r="BD8" t="str">
        <f t="shared" si="19"/>
        <v>Aves</v>
      </c>
      <c r="BE8">
        <f>+datos!BQ1</f>
        <v>69</v>
      </c>
      <c r="BF8" s="2" t="str">
        <f t="shared" si="4"/>
        <v>prom pond huevo-carne</v>
      </c>
      <c r="BG8" s="2">
        <f t="shared" si="4"/>
        <v>2240.916666666667</v>
      </c>
      <c r="BH8" s="2">
        <f t="shared" si="4"/>
        <v>2338</v>
      </c>
      <c r="BI8" s="2">
        <f t="shared" si="4"/>
        <v>2446</v>
      </c>
      <c r="BK8" s="1">
        <f>+datos!EP1</f>
        <v>146</v>
      </c>
      <c r="BL8" s="1">
        <f t="shared" si="20"/>
        <v>9402</v>
      </c>
      <c r="BM8" s="1">
        <f t="shared" si="20"/>
        <v>9245</v>
      </c>
      <c r="BO8" s="1">
        <f>+datos!HM1</f>
        <v>221</v>
      </c>
      <c r="BP8" s="1">
        <f t="shared" si="21"/>
        <v>2329679.5</v>
      </c>
      <c r="BQ8" s="1">
        <f t="shared" si="21"/>
        <v>2382871.824</v>
      </c>
      <c r="BS8" s="1">
        <f>+datos!KF1</f>
        <v>292</v>
      </c>
      <c r="BT8" s="1">
        <f t="shared" si="38"/>
        <v>106.23226357999999</v>
      </c>
      <c r="BU8" s="1">
        <f t="shared" si="39"/>
        <v>134.31225826000002</v>
      </c>
      <c r="BW8" s="1">
        <f>+datos!LK1</f>
        <v>323</v>
      </c>
      <c r="BX8" s="2">
        <f t="shared" si="22"/>
        <v>45.914375780000007</v>
      </c>
      <c r="BY8" s="2">
        <f t="shared" si="23"/>
        <v>38.785836939999996</v>
      </c>
      <c r="CA8" s="1">
        <f>+datos!IL1</f>
        <v>246</v>
      </c>
      <c r="CB8" s="2">
        <f t="shared" si="24"/>
        <v>47.06</v>
      </c>
      <c r="CC8" s="2">
        <f t="shared" si="25"/>
        <v>45.79</v>
      </c>
      <c r="CD8" s="2">
        <f>CB8-CC8</f>
        <v>1.2700000000000031</v>
      </c>
      <c r="CE8">
        <f>+datos!DG1</f>
        <v>111</v>
      </c>
      <c r="CF8" s="2">
        <f t="shared" si="26"/>
        <v>13093.644466378704</v>
      </c>
      <c r="CG8" s="2">
        <f t="shared" si="26"/>
        <v>12413.236768364042</v>
      </c>
      <c r="CH8" s="2">
        <f t="shared" si="26"/>
        <v>10597.519131581532</v>
      </c>
      <c r="CI8" s="2"/>
      <c r="CJ8" s="2">
        <f>CB8-CC8</f>
        <v>1.2700000000000031</v>
      </c>
      <c r="CK8" s="1">
        <f t="shared" si="27"/>
        <v>8.0336216900000004</v>
      </c>
      <c r="CL8" s="1">
        <f t="shared" si="27"/>
        <v>6.9442140999999999</v>
      </c>
      <c r="CM8" s="1">
        <f t="shared" si="27"/>
        <v>9.8196206999999998</v>
      </c>
      <c r="CN8" s="1">
        <f t="shared" si="27"/>
        <v>8.5791291300000001</v>
      </c>
      <c r="CO8" s="1">
        <f t="shared" si="27"/>
        <v>9.6066541700000005</v>
      </c>
      <c r="CP8" s="1">
        <f t="shared" si="27"/>
        <v>9.221842539999999</v>
      </c>
      <c r="CQ8" s="1">
        <f t="shared" si="27"/>
        <v>8.3583028800000001</v>
      </c>
      <c r="CR8" s="1">
        <f t="shared" si="27"/>
        <v>10.33831614</v>
      </c>
      <c r="CS8" s="1">
        <f t="shared" si="27"/>
        <v>10.343166379999998</v>
      </c>
      <c r="CT8" s="1">
        <f t="shared" si="27"/>
        <v>8.6585168299999999</v>
      </c>
      <c r="CU8" s="1">
        <f t="shared" si="27"/>
        <v>9.7942580100000001</v>
      </c>
      <c r="CV8" s="1">
        <f t="shared" si="27"/>
        <v>6.5346210099999995</v>
      </c>
      <c r="CW8" s="1">
        <f t="shared" si="27"/>
        <v>6.7443728600000004</v>
      </c>
      <c r="CX8" s="1">
        <f t="shared" si="27"/>
        <v>8.66231011</v>
      </c>
      <c r="CY8" s="1">
        <f t="shared" si="27"/>
        <v>7.3007548499999997</v>
      </c>
      <c r="CZ8" s="1">
        <f t="shared" si="27"/>
        <v>9.0051498100000007</v>
      </c>
      <c r="DA8" s="1">
        <f t="shared" si="28"/>
        <v>5.9149876199999998</v>
      </c>
      <c r="DB8" s="1">
        <f t="shared" si="28"/>
        <v>8.0094020700000002</v>
      </c>
      <c r="DC8" s="1">
        <f t="shared" si="28"/>
        <v>5.62476749</v>
      </c>
      <c r="DD8" s="1">
        <f t="shared" si="28"/>
        <v>10.456415849999999</v>
      </c>
      <c r="DE8" s="1">
        <f t="shared" si="28"/>
        <v>8.1147673099999995</v>
      </c>
      <c r="DF8" s="1">
        <f t="shared" si="28"/>
        <v>20.968439010000004</v>
      </c>
      <c r="DG8" s="1">
        <f t="shared" si="28"/>
        <v>22.566015059999998</v>
      </c>
      <c r="DH8" s="1">
        <f t="shared" si="28"/>
        <v>20.944876220000001</v>
      </c>
      <c r="DJ8" s="1">
        <f t="shared" si="29"/>
        <v>6.0276803599999997</v>
      </c>
      <c r="DK8" s="1">
        <f t="shared" si="29"/>
        <v>3.9810733000000003</v>
      </c>
      <c r="DL8" s="1">
        <f t="shared" si="29"/>
        <v>4.64961936</v>
      </c>
      <c r="DM8" s="1">
        <f t="shared" si="29"/>
        <v>3.2517762100000001</v>
      </c>
      <c r="DN8" s="1">
        <f t="shared" si="29"/>
        <v>5.3810388700000003</v>
      </c>
      <c r="DO8" s="1">
        <f t="shared" si="29"/>
        <v>1.5958006899999999</v>
      </c>
      <c r="DP8" s="1">
        <f t="shared" si="29"/>
        <v>1.1051948</v>
      </c>
      <c r="DQ8" s="1">
        <f t="shared" si="29"/>
        <v>4.8166289400000002</v>
      </c>
      <c r="DR8" s="1">
        <f t="shared" si="29"/>
        <v>3.1609685399999994</v>
      </c>
      <c r="DS8" s="1">
        <f t="shared" si="29"/>
        <v>2.9900732700000003</v>
      </c>
      <c r="DT8" s="1">
        <f t="shared" si="29"/>
        <v>5.5193633599999998</v>
      </c>
      <c r="DU8" s="1">
        <f t="shared" si="29"/>
        <v>3.4351580800000003</v>
      </c>
      <c r="DV8" s="1">
        <f t="shared" si="29"/>
        <v>2.0550383299999999</v>
      </c>
      <c r="DW8" s="1">
        <f t="shared" si="29"/>
        <v>3.4373023600000003</v>
      </c>
      <c r="DX8" s="1">
        <f t="shared" si="29"/>
        <v>5.2475744900000008</v>
      </c>
      <c r="DY8" s="1">
        <f t="shared" si="29"/>
        <v>3.52939004</v>
      </c>
      <c r="DZ8" s="1">
        <f t="shared" si="30"/>
        <v>1.41927303</v>
      </c>
      <c r="EA8" s="1">
        <f t="shared" si="30"/>
        <v>4.5240591299999995</v>
      </c>
      <c r="EB8" s="1">
        <f t="shared" si="30"/>
        <v>2.5037689800000003</v>
      </c>
      <c r="EC8" s="1">
        <f t="shared" si="30"/>
        <v>2.5011971499999999</v>
      </c>
      <c r="ED8" s="1">
        <f t="shared" si="30"/>
        <v>3.7585351000000005</v>
      </c>
      <c r="EE8" s="1">
        <f t="shared" si="30"/>
        <v>4.0425458900000004</v>
      </c>
      <c r="EF8" s="1">
        <f t="shared" si="30"/>
        <v>3.59052696</v>
      </c>
      <c r="EG8" s="1">
        <f t="shared" si="30"/>
        <v>2.1766254799999998</v>
      </c>
      <c r="EI8" s="14">
        <f t="shared" si="40"/>
        <v>47.06</v>
      </c>
      <c r="EJ8" s="14">
        <f t="shared" si="40"/>
        <v>46.71</v>
      </c>
      <c r="EK8" s="1">
        <f t="shared" si="40"/>
        <v>46.71</v>
      </c>
      <c r="EL8" s="1">
        <f t="shared" si="40"/>
        <v>47.02</v>
      </c>
      <c r="EM8" s="1">
        <f t="shared" si="40"/>
        <v>47.16</v>
      </c>
      <c r="EN8" s="1">
        <f t="shared" si="40"/>
        <v>47</v>
      </c>
      <c r="EO8" s="1">
        <f t="shared" si="40"/>
        <v>47.2</v>
      </c>
      <c r="EP8" s="1">
        <f t="shared" si="40"/>
        <v>47.7</v>
      </c>
      <c r="EQ8" s="1">
        <f t="shared" si="40"/>
        <v>47.68</v>
      </c>
      <c r="ER8" s="1">
        <f t="shared" si="40"/>
        <v>46.5</v>
      </c>
      <c r="ES8" s="1">
        <f t="shared" si="40"/>
        <v>46.08</v>
      </c>
      <c r="ET8" s="1">
        <f t="shared" si="40"/>
        <v>45.67</v>
      </c>
      <c r="EU8" s="1">
        <f t="shared" si="40"/>
        <v>45.79</v>
      </c>
      <c r="EV8" s="1">
        <f t="shared" si="40"/>
        <v>45.9</v>
      </c>
      <c r="EW8" s="1">
        <f t="shared" si="40"/>
        <v>45.78</v>
      </c>
      <c r="EX8" s="1">
        <f t="shared" si="40"/>
        <v>45.91</v>
      </c>
      <c r="EY8" s="1">
        <f t="shared" si="31"/>
        <v>45.61</v>
      </c>
      <c r="EZ8" s="1">
        <f t="shared" si="31"/>
        <v>45.61</v>
      </c>
      <c r="FA8" s="1">
        <f t="shared" si="31"/>
        <v>45.23</v>
      </c>
      <c r="FB8" s="1">
        <f t="shared" si="31"/>
        <v>45.2</v>
      </c>
      <c r="FC8" s="1">
        <f t="shared" si="31"/>
        <v>46.01</v>
      </c>
      <c r="FD8" s="1">
        <f t="shared" si="31"/>
        <v>44.44</v>
      </c>
      <c r="FE8" s="1">
        <f t="shared" si="31"/>
        <v>42.29</v>
      </c>
      <c r="FF8" s="1">
        <f t="shared" si="31"/>
        <v>45.39</v>
      </c>
      <c r="FH8" s="162">
        <f t="shared" si="32"/>
        <v>-0.31938302036642519</v>
      </c>
    </row>
    <row r="9" spans="1:164" ht="18.75" customHeight="1">
      <c r="A9" s="244" t="s">
        <v>77</v>
      </c>
      <c r="B9" s="247"/>
      <c r="C9" s="228">
        <v>0</v>
      </c>
      <c r="D9" s="229">
        <v>1</v>
      </c>
      <c r="E9" s="253">
        <f t="shared" si="6"/>
        <v>5.1884368122237401E-2</v>
      </c>
      <c r="F9" s="254">
        <f t="shared" si="7"/>
        <v>3.0746643854375533E-2</v>
      </c>
      <c r="G9" s="253">
        <f t="shared" si="8"/>
        <v>5.21443666293262E-2</v>
      </c>
      <c r="H9" s="254">
        <f t="shared" si="9"/>
        <v>-2.599985070887989E-4</v>
      </c>
      <c r="I9" s="253">
        <f t="shared" si="10"/>
        <v>0.61917481789802298</v>
      </c>
      <c r="J9" s="254">
        <f t="shared" si="11"/>
        <v>0.28091796584405504</v>
      </c>
      <c r="K9" s="253">
        <f t="shared" si="12"/>
        <v>0.38808215344181507</v>
      </c>
      <c r="L9" s="254">
        <f t="shared" si="13"/>
        <v>0.23109266445620791</v>
      </c>
      <c r="M9" s="255"/>
      <c r="N9" s="256">
        <v>-1</v>
      </c>
      <c r="O9" s="253">
        <f t="shared" si="33"/>
        <v>-1.3639133000699299E-2</v>
      </c>
      <c r="P9" s="257">
        <f t="shared" si="34"/>
        <v>-1.3639133000699299E-2</v>
      </c>
      <c r="Q9" s="253">
        <f t="shared" si="14"/>
        <v>-3.7489159076323553E-2</v>
      </c>
      <c r="R9" s="257">
        <f t="shared" si="35"/>
        <v>-3.7489159076323553E-2</v>
      </c>
      <c r="S9" s="255"/>
      <c r="T9" s="256">
        <v>0</v>
      </c>
      <c r="U9" s="253">
        <f t="shared" si="15"/>
        <v>0.3469909792578707</v>
      </c>
      <c r="V9" s="258">
        <f t="shared" si="16"/>
        <v>0.3469909792578707</v>
      </c>
      <c r="W9" s="253">
        <f t="shared" si="36"/>
        <v>0.98938447906888349</v>
      </c>
      <c r="X9" s="258">
        <f t="shared" si="17"/>
        <v>0.98938447906888349</v>
      </c>
      <c r="Y9" s="253">
        <f t="shared" si="37"/>
        <v>-6.7796610169491456E-2</v>
      </c>
      <c r="Z9" s="258">
        <f t="shared" si="18"/>
        <v>-6.7796610169491456E-2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VLOOKUP($A9,historia!$A$5:$DD$24,+HLOOKUP(AP$2,historia!$A$3:$EC$4,2,FALSE),FALSE)</f>
        <v>1</v>
      </c>
      <c r="AQ9" s="28">
        <f>VLOOKUP($A9,historia!$A$5:$DD$24,+HLOOKUP(AQ$2,historia!$A$3:$EC$4,2,FALSE),FALSE)</f>
        <v>1</v>
      </c>
      <c r="AR9" s="28">
        <f>VLOOKUP($A9,historia!$A$5:$DD$24,+HLOOKUP(AR$2,historia!$A$3:$EC$4,2,FALSE),FALSE)</f>
        <v>2</v>
      </c>
      <c r="AS9" s="28">
        <f>VLOOKUP($A9,historia!$A$5:$DD$24,+HLOOKUP(AS$2,historia!$A$3:$EC$4,2,FALSE),FALSE)</f>
        <v>1</v>
      </c>
      <c r="AT9" s="58">
        <f>VLOOKUP($A9,historia!$A$5:$DD$24,+HLOOKUP(AT$2,historia!$A$3:$EC$4,2,FALSE),FALSE)</f>
        <v>2</v>
      </c>
      <c r="AU9" s="58">
        <f>VLOOKUP($A9,historia!$A$5:$DD$24,+HLOOKUP(AU$2,historia!$A$3:$EC$4,2,FALSE),FALSE)</f>
        <v>2</v>
      </c>
      <c r="AV9" s="58">
        <f>VLOOKUP($A9,historia!$A$5:$DD$24,+HLOOKUP(AV$2,historia!$A$3:$EC$4,2,FALSE),FALSE)</f>
        <v>2</v>
      </c>
      <c r="AW9" s="58">
        <f>VLOOKUP($A9,historia!$A$5:$DD$24,+HLOOKUP(AW$2,historia!$A$3:$EC$4,2,FALSE),FALSE)</f>
        <v>2</v>
      </c>
      <c r="AX9" s="58">
        <f>VLOOKUP($A9,historia!$A$5:$DD$24,+HLOOKUP(AX$2,historia!$A$3:$EC$4,2,FALSE),FALSE)</f>
        <v>2</v>
      </c>
      <c r="AY9" s="58">
        <f>VLOOKUP($A9,historia!$A$5:$DD$24,+HLOOKUP(AY$2,historia!$A$3:$EC$4,2,FALSE),FALSE)</f>
        <v>2</v>
      </c>
      <c r="AZ9" s="58">
        <f>VLOOKUP($A9,historia!$A$5:$DD$24,+HLOOKUP(AZ$2,historia!$A$3:$EC$4,2,FALSE),FALSE)</f>
        <v>2</v>
      </c>
      <c r="BA9" s="58">
        <f>VLOOKUP($A9,historia!$A$5:$DG$24,+HLOOKUP(BA$2,historia!$A$3:$EC$4,2,FALSE),FALSE)</f>
        <v>2</v>
      </c>
      <c r="BB9" s="58"/>
      <c r="BC9" s="286">
        <v>2</v>
      </c>
      <c r="BD9" t="str">
        <f t="shared" si="19"/>
        <v>Bovinos</v>
      </c>
      <c r="BE9">
        <f>+datos!BM1</f>
        <v>65</v>
      </c>
      <c r="BF9" s="2" t="str">
        <f t="shared" si="4"/>
        <v>$/kg</v>
      </c>
      <c r="BG9" s="2">
        <f t="shared" si="4"/>
        <v>5446.0945000000002</v>
      </c>
      <c r="BH9" s="2">
        <f t="shared" si="4"/>
        <v>5177.4650000000001</v>
      </c>
      <c r="BI9" s="2">
        <f t="shared" si="4"/>
        <v>3363.5</v>
      </c>
      <c r="BK9" s="1">
        <f>+datos!EH1</f>
        <v>138</v>
      </c>
      <c r="BL9" s="1">
        <f t="shared" si="20"/>
        <v>50920790</v>
      </c>
      <c r="BM9" s="1">
        <f t="shared" si="20"/>
        <v>51624909</v>
      </c>
      <c r="BO9" s="1">
        <f>+datos!HB1</f>
        <v>210</v>
      </c>
      <c r="BP9" s="1">
        <f t="shared" si="21"/>
        <v>3073069</v>
      </c>
      <c r="BQ9" s="1">
        <f t="shared" si="21"/>
        <v>3192763</v>
      </c>
      <c r="BS9" s="1">
        <f>+datos!KG1</f>
        <v>293</v>
      </c>
      <c r="BT9" s="1">
        <f t="shared" si="38"/>
        <v>5963.8835244800002</v>
      </c>
      <c r="BU9" s="1">
        <f t="shared" si="39"/>
        <v>4427.5601071699994</v>
      </c>
      <c r="BW9" s="1">
        <f>+datos!LL1</f>
        <v>324</v>
      </c>
      <c r="BX9" s="2">
        <f t="shared" si="22"/>
        <v>154.40406418000001</v>
      </c>
      <c r="BY9" s="2">
        <f t="shared" si="23"/>
        <v>77.613988549999988</v>
      </c>
      <c r="CA9" s="1">
        <f>+datos!IM1</f>
        <v>247</v>
      </c>
      <c r="CB9" s="2">
        <f t="shared" si="24"/>
        <v>46.75</v>
      </c>
      <c r="CC9" s="2">
        <f t="shared" si="25"/>
        <v>50.15</v>
      </c>
      <c r="CD9" s="2">
        <f>CB9-CC9</f>
        <v>-3.3999999999999986</v>
      </c>
      <c r="CE9">
        <f>+datos!DB1</f>
        <v>106</v>
      </c>
      <c r="CF9" s="2">
        <f t="shared" si="26"/>
        <v>15734.404449145752</v>
      </c>
      <c r="CG9" s="2">
        <f t="shared" si="26"/>
        <v>14954.605991526478</v>
      </c>
      <c r="CH9" s="2">
        <f t="shared" si="26"/>
        <v>11335.355339114154</v>
      </c>
      <c r="CI9" s="2"/>
      <c r="CK9" s="1">
        <f t="shared" si="27"/>
        <v>585.64182030999996</v>
      </c>
      <c r="CL9" s="1">
        <f t="shared" si="27"/>
        <v>550.16099316000009</v>
      </c>
      <c r="CM9" s="1">
        <f t="shared" si="27"/>
        <v>533.24077936000003</v>
      </c>
      <c r="CN9" s="1">
        <f t="shared" si="27"/>
        <v>424.30922868999994</v>
      </c>
      <c r="CO9" s="1">
        <f t="shared" si="27"/>
        <v>536.74004446000004</v>
      </c>
      <c r="CP9" s="1">
        <f t="shared" si="27"/>
        <v>393.3327183799999</v>
      </c>
      <c r="CQ9" s="1">
        <f t="shared" si="27"/>
        <v>435.35705272999991</v>
      </c>
      <c r="CR9" s="1">
        <f t="shared" si="27"/>
        <v>452.44590436999982</v>
      </c>
      <c r="CS9" s="1">
        <f t="shared" si="27"/>
        <v>474.71184945000005</v>
      </c>
      <c r="CT9" s="1">
        <f t="shared" si="27"/>
        <v>535.90919134000001</v>
      </c>
      <c r="CU9" s="1">
        <f t="shared" si="27"/>
        <v>536.17235368000001</v>
      </c>
      <c r="CV9" s="1">
        <f t="shared" si="27"/>
        <v>505.86158855000002</v>
      </c>
      <c r="CW9" s="1">
        <f t="shared" si="27"/>
        <v>434.66638176999993</v>
      </c>
      <c r="CX9" s="1">
        <f t="shared" si="27"/>
        <v>430.01977605999991</v>
      </c>
      <c r="CY9" s="1">
        <f t="shared" si="27"/>
        <v>389.02912699999996</v>
      </c>
      <c r="CZ9" s="1">
        <f t="shared" si="27"/>
        <v>350.95842742999997</v>
      </c>
      <c r="DA9" s="1">
        <f t="shared" si="28"/>
        <v>275.41226476999998</v>
      </c>
      <c r="DB9" s="1">
        <f t="shared" si="28"/>
        <v>345.87150417999976</v>
      </c>
      <c r="DC9" s="1">
        <f t="shared" si="28"/>
        <v>330.34833823999992</v>
      </c>
      <c r="DD9" s="1">
        <f t="shared" si="28"/>
        <v>372.02787432000008</v>
      </c>
      <c r="DE9" s="1">
        <f t="shared" si="28"/>
        <v>363.37275483999991</v>
      </c>
      <c r="DF9" s="1">
        <f t="shared" si="28"/>
        <v>373.60267999999996</v>
      </c>
      <c r="DG9" s="1">
        <f t="shared" si="28"/>
        <v>392.24577093999977</v>
      </c>
      <c r="DH9" s="1">
        <f t="shared" si="28"/>
        <v>370.00520762000008</v>
      </c>
      <c r="DJ9" s="1">
        <f t="shared" si="29"/>
        <v>15.754209619999999</v>
      </c>
      <c r="DK9" s="1">
        <f t="shared" si="29"/>
        <v>21.656690020000006</v>
      </c>
      <c r="DL9" s="1">
        <f t="shared" si="29"/>
        <v>20.679241180000002</v>
      </c>
      <c r="DM9" s="1">
        <f t="shared" si="29"/>
        <v>16.804039660000001</v>
      </c>
      <c r="DN9" s="1">
        <f t="shared" si="29"/>
        <v>12.219695360000001</v>
      </c>
      <c r="DO9" s="1">
        <f t="shared" si="29"/>
        <v>8.3972474800000008</v>
      </c>
      <c r="DP9" s="1">
        <f t="shared" si="29"/>
        <v>9.2870214400000002</v>
      </c>
      <c r="DQ9" s="1">
        <f t="shared" si="29"/>
        <v>11.988372569999999</v>
      </c>
      <c r="DR9" s="1">
        <f t="shared" si="29"/>
        <v>8.8931998399999994</v>
      </c>
      <c r="DS9" s="1">
        <f t="shared" si="29"/>
        <v>5.7331222099999994</v>
      </c>
      <c r="DT9" s="1">
        <f t="shared" si="29"/>
        <v>13.331294830000001</v>
      </c>
      <c r="DU9" s="1">
        <f t="shared" si="29"/>
        <v>9.6599299699999985</v>
      </c>
      <c r="DV9" s="1">
        <f t="shared" si="29"/>
        <v>6.816705279999999</v>
      </c>
      <c r="DW9" s="1">
        <f t="shared" si="29"/>
        <v>8.1579769499999983</v>
      </c>
      <c r="DX9" s="1">
        <f t="shared" si="29"/>
        <v>10.16779666</v>
      </c>
      <c r="DY9" s="1">
        <f t="shared" si="29"/>
        <v>11.009236750000001</v>
      </c>
      <c r="DZ9" s="1">
        <f t="shared" si="30"/>
        <v>8.7569028099999997</v>
      </c>
      <c r="EA9" s="1">
        <f t="shared" si="30"/>
        <v>7.0677003599999999</v>
      </c>
      <c r="EB9" s="1">
        <f t="shared" si="30"/>
        <v>5.8644577399999989</v>
      </c>
      <c r="EC9" s="1">
        <f t="shared" si="30"/>
        <v>6.7460545699999992</v>
      </c>
      <c r="ED9" s="1">
        <f t="shared" si="30"/>
        <v>2.8647302900000002</v>
      </c>
      <c r="EE9" s="1">
        <f t="shared" si="30"/>
        <v>3.9160438699999998</v>
      </c>
      <c r="EF9" s="1">
        <f t="shared" si="30"/>
        <v>2.7432327000000001</v>
      </c>
      <c r="EG9" s="1">
        <f t="shared" si="30"/>
        <v>3.5031505699999994</v>
      </c>
      <c r="EI9" s="14">
        <f t="shared" si="40"/>
        <v>46.75</v>
      </c>
      <c r="EJ9" s="14">
        <f t="shared" si="40"/>
        <v>47.28</v>
      </c>
      <c r="EK9" s="1">
        <f t="shared" si="40"/>
        <v>47.36</v>
      </c>
      <c r="EL9" s="1">
        <f t="shared" si="40"/>
        <v>47.94</v>
      </c>
      <c r="EM9" s="1">
        <f t="shared" si="40"/>
        <v>48.54</v>
      </c>
      <c r="EN9" s="1">
        <f t="shared" si="40"/>
        <v>48.84</v>
      </c>
      <c r="EO9" s="1">
        <f t="shared" si="40"/>
        <v>49.28</v>
      </c>
      <c r="EP9" s="1">
        <f t="shared" si="40"/>
        <v>49.95</v>
      </c>
      <c r="EQ9" s="1">
        <f t="shared" si="40"/>
        <v>49.25</v>
      </c>
      <c r="ER9" s="1">
        <f t="shared" si="40"/>
        <v>49.56</v>
      </c>
      <c r="ES9" s="1">
        <f t="shared" si="40"/>
        <v>49.84</v>
      </c>
      <c r="ET9" s="1">
        <f t="shared" si="40"/>
        <v>49.93</v>
      </c>
      <c r="EU9" s="1">
        <f t="shared" si="40"/>
        <v>50.15</v>
      </c>
      <c r="EV9" s="1">
        <f t="shared" si="40"/>
        <v>50.33</v>
      </c>
      <c r="EW9" s="1">
        <f t="shared" si="40"/>
        <v>49.79</v>
      </c>
      <c r="EX9" s="1">
        <f t="shared" si="40"/>
        <v>49.86</v>
      </c>
      <c r="EY9" s="1">
        <f t="shared" si="31"/>
        <v>49.86</v>
      </c>
      <c r="EZ9" s="1">
        <f t="shared" si="31"/>
        <v>48.75</v>
      </c>
      <c r="FA9" s="1">
        <f t="shared" si="31"/>
        <v>48.18</v>
      </c>
      <c r="FB9" s="1">
        <f t="shared" si="31"/>
        <v>47.81</v>
      </c>
      <c r="FC9" s="1">
        <f t="shared" si="31"/>
        <v>46.91</v>
      </c>
      <c r="FD9" s="1">
        <f t="shared" si="31"/>
        <v>47.74</v>
      </c>
      <c r="FE9" s="1">
        <f t="shared" si="31"/>
        <v>47.38</v>
      </c>
      <c r="FF9" s="1">
        <f t="shared" si="31"/>
        <v>47.74</v>
      </c>
      <c r="FH9" s="162">
        <f t="shared" si="32"/>
        <v>0.23109266445620791</v>
      </c>
    </row>
    <row r="10" spans="1:164" ht="18" customHeight="1">
      <c r="A10" s="263" t="s">
        <v>221</v>
      </c>
      <c r="B10" s="246"/>
      <c r="C10" s="156">
        <f t="shared" si="5"/>
        <v>0</v>
      </c>
      <c r="D10" s="198">
        <v>-1</v>
      </c>
      <c r="E10" s="248">
        <f t="shared" si="6"/>
        <v>-0.11309888661297007</v>
      </c>
      <c r="F10" s="249">
        <f t="shared" si="7"/>
        <v>-0.13423661088083194</v>
      </c>
      <c r="G10" s="248">
        <f t="shared" si="8"/>
        <v>5.2121439641279466E-2</v>
      </c>
      <c r="H10" s="249">
        <f t="shared" si="9"/>
        <v>-0.16522032625424954</v>
      </c>
      <c r="I10" s="248">
        <f t="shared" si="10"/>
        <v>0.14288925976267919</v>
      </c>
      <c r="J10" s="249">
        <f t="shared" si="11"/>
        <v>-0.19536759229128875</v>
      </c>
      <c r="K10" s="248">
        <f t="shared" si="12"/>
        <v>0.34700831681515676</v>
      </c>
      <c r="L10" s="249">
        <f t="shared" si="13"/>
        <v>-0.20411905705247757</v>
      </c>
      <c r="M10" s="250"/>
      <c r="N10" s="24">
        <v>0</v>
      </c>
      <c r="O10" s="248">
        <f t="shared" si="33"/>
        <v>0</v>
      </c>
      <c r="P10" s="251">
        <f t="shared" si="34"/>
        <v>0</v>
      </c>
      <c r="Q10" s="248">
        <f t="shared" si="14"/>
        <v>0</v>
      </c>
      <c r="R10" s="251">
        <f t="shared" si="35"/>
        <v>0</v>
      </c>
      <c r="S10" s="250"/>
      <c r="T10" s="24">
        <v>1</v>
      </c>
      <c r="U10" s="248">
        <f t="shared" si="15"/>
        <v>-0.34205506469537328</v>
      </c>
      <c r="V10" s="252">
        <f t="shared" si="16"/>
        <v>-0.34205506469537328</v>
      </c>
      <c r="W10" s="248">
        <f t="shared" si="36"/>
        <v>-0.19220322735217688</v>
      </c>
      <c r="X10" s="252">
        <f t="shared" si="17"/>
        <v>-0.19220322735217688</v>
      </c>
      <c r="Y10" s="248">
        <f t="shared" si="37"/>
        <v>0</v>
      </c>
      <c r="Z10" s="252">
        <f t="shared" si="18"/>
        <v>0</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VLOOKUP($A10,historia!$A$5:$DD$24,+HLOOKUP(AP$2,historia!$A$3:$EC$4,2,FALSE),FALSE)</f>
        <v>3</v>
      </c>
      <c r="AQ10" s="28">
        <f>VLOOKUP($A10,historia!$A$5:$DD$24,+HLOOKUP(AQ$2,historia!$A$3:$EC$4,2,FALSE),FALSE)</f>
        <v>3</v>
      </c>
      <c r="AR10" s="28">
        <f>VLOOKUP($A10,historia!$A$5:$DD$24,+HLOOKUP(AR$2,historia!$A$3:$EC$4,2,FALSE),FALSE)</f>
        <v>3</v>
      </c>
      <c r="AS10" s="28">
        <f>VLOOKUP($A10,historia!$A$5:$DD$24,+HLOOKUP(AS$2,historia!$A$3:$EC$4,2,FALSE),FALSE)</f>
        <v>3</v>
      </c>
      <c r="AT10" s="58">
        <f>VLOOKUP($A10,historia!$A$5:$DD$24,+HLOOKUP(AT$2,historia!$A$3:$EC$4,2,FALSE),FALSE)</f>
        <v>3</v>
      </c>
      <c r="AU10" s="58">
        <f>VLOOKUP($A10,historia!$A$5:$DD$24,+HLOOKUP(AU$2,historia!$A$3:$EC$4,2,FALSE),FALSE)</f>
        <v>3</v>
      </c>
      <c r="AV10" s="58">
        <f>VLOOKUP($A10,historia!$A$5:$DD$24,+HLOOKUP(AV$2,historia!$A$3:$EC$4,2,FALSE),FALSE)</f>
        <v>3</v>
      </c>
      <c r="AW10" s="58">
        <f>VLOOKUP($A10,historia!$A$5:$DD$24,+HLOOKUP(AW$2,historia!$A$3:$EC$4,2,FALSE),FALSE)</f>
        <v>3</v>
      </c>
      <c r="AX10" s="58">
        <f>VLOOKUP($A10,historia!$A$5:$DD$24,+HLOOKUP(AX$2,historia!$A$3:$EC$4,2,FALSE),FALSE)</f>
        <v>3</v>
      </c>
      <c r="AY10" s="58">
        <f>VLOOKUP($A10,historia!$A$5:$DD$24,+HLOOKUP(AY$2,historia!$A$3:$EC$4,2,FALSE),FALSE)</f>
        <v>3</v>
      </c>
      <c r="AZ10" s="58">
        <f>VLOOKUP($A10,historia!$A$5:$DD$24,+HLOOKUP(AZ$2,historia!$A$3:$EC$4,2,FALSE),FALSE)</f>
        <v>3</v>
      </c>
      <c r="BA10" s="58">
        <f>VLOOKUP($A10,historia!$A$5:$DG$24,+HLOOKUP(BA$2,historia!$A$3:$EC$4,2,FALSE),FALSE)</f>
        <v>4</v>
      </c>
      <c r="BB10" s="58"/>
      <c r="BC10" s="286">
        <v>4</v>
      </c>
      <c r="BD10" t="str">
        <f t="shared" si="19"/>
        <v>Cítricos Dulces</v>
      </c>
      <c r="BE10">
        <f>+datos!AU1</f>
        <v>47</v>
      </c>
      <c r="BF10" s="2" t="str">
        <f t="shared" si="4"/>
        <v>$/caja 18kg</v>
      </c>
      <c r="BG10" s="2">
        <f t="shared" si="4"/>
        <v>13285.173333333334</v>
      </c>
      <c r="BH10" s="2">
        <f t="shared" si="4"/>
        <v>14979.317460317461</v>
      </c>
      <c r="BI10" s="2">
        <f t="shared" si="4"/>
        <v>11624.199999999999</v>
      </c>
      <c r="BK10" s="1">
        <f>+datos!ER1</f>
        <v>148</v>
      </c>
      <c r="BL10" s="1">
        <f t="shared" si="20"/>
        <v>79911</v>
      </c>
      <c r="BM10" s="1">
        <f t="shared" si="20"/>
        <v>79911</v>
      </c>
      <c r="BO10" s="1">
        <f>+datos!GH1</f>
        <v>190</v>
      </c>
      <c r="BP10" s="1">
        <f t="shared" si="21"/>
        <v>1543162</v>
      </c>
      <c r="BQ10" s="1">
        <f t="shared" si="21"/>
        <v>1543162</v>
      </c>
      <c r="BS10" s="1">
        <f>+datos!LT1</f>
        <v>332</v>
      </c>
      <c r="BT10" s="1">
        <f t="shared" si="38"/>
        <v>93.17388201</v>
      </c>
      <c r="BU10" s="1">
        <f t="shared" si="39"/>
        <v>141.61349530999999</v>
      </c>
      <c r="BV10" s="1"/>
      <c r="BW10" s="1">
        <f>+datos!LX1</f>
        <v>336</v>
      </c>
      <c r="BX10" s="2">
        <f t="shared" si="22"/>
        <v>5.92787446</v>
      </c>
      <c r="BY10" s="2">
        <f t="shared" si="23"/>
        <v>7.3383240200000008</v>
      </c>
      <c r="CA10" s="1">
        <f>+datos!IV1</f>
        <v>256</v>
      </c>
      <c r="CB10" s="1">
        <f t="shared" si="24"/>
        <v>17.130000000000003</v>
      </c>
      <c r="CC10" s="1">
        <f t="shared" si="25"/>
        <v>17.130000000000003</v>
      </c>
      <c r="CD10" s="1"/>
      <c r="CE10">
        <f>+datos!CX1</f>
        <v>102</v>
      </c>
      <c r="CF10" s="2">
        <f t="shared" si="26"/>
        <v>14174.623158648998</v>
      </c>
      <c r="CG10" s="2">
        <f t="shared" si="26"/>
        <v>13472.421171725035</v>
      </c>
      <c r="CH10" s="2">
        <f t="shared" si="26"/>
        <v>10523.040564562536</v>
      </c>
      <c r="CI10" s="1"/>
      <c r="CK10" s="1">
        <f t="shared" si="27"/>
        <v>13.125896450000001</v>
      </c>
      <c r="CL10" s="1">
        <f t="shared" si="27"/>
        <v>5.7636062200000007</v>
      </c>
      <c r="CM10" s="1">
        <f t="shared" si="27"/>
        <v>5.0623313300000001</v>
      </c>
      <c r="CN10" s="1">
        <f t="shared" si="27"/>
        <v>5.1105851800000002</v>
      </c>
      <c r="CO10" s="1">
        <f t="shared" si="27"/>
        <v>4.7713070799999997</v>
      </c>
      <c r="CP10" s="1">
        <f t="shared" si="27"/>
        <v>4.8895593400000008</v>
      </c>
      <c r="CQ10" s="1">
        <f t="shared" si="27"/>
        <v>6.1907229299999997</v>
      </c>
      <c r="CR10" s="1">
        <f t="shared" si="27"/>
        <v>6.1255732800000002</v>
      </c>
      <c r="CS10" s="1">
        <f t="shared" si="27"/>
        <v>9.318502950000001</v>
      </c>
      <c r="CT10" s="1">
        <f t="shared" si="27"/>
        <v>10.108990799999999</v>
      </c>
      <c r="CU10" s="1">
        <f t="shared" si="27"/>
        <v>8.35667808</v>
      </c>
      <c r="CV10" s="1">
        <f t="shared" si="27"/>
        <v>14.350128370000002</v>
      </c>
      <c r="CW10" s="1">
        <f t="shared" si="27"/>
        <v>16.897846870000002</v>
      </c>
      <c r="CX10" s="1">
        <f t="shared" si="27"/>
        <v>10.456701950000001</v>
      </c>
      <c r="CY10" s="1">
        <f t="shared" si="27"/>
        <v>9.5618942600000008</v>
      </c>
      <c r="CZ10" s="1">
        <f t="shared" si="27"/>
        <v>5.6783096999999998</v>
      </c>
      <c r="DA10" s="1">
        <f t="shared" si="28"/>
        <v>3.5979505000000001</v>
      </c>
      <c r="DB10" s="1">
        <f t="shared" si="28"/>
        <v>11.482528969999997</v>
      </c>
      <c r="DC10" s="1">
        <f t="shared" si="28"/>
        <v>11.00321864</v>
      </c>
      <c r="DD10" s="1">
        <f t="shared" si="28"/>
        <v>18.05731771</v>
      </c>
      <c r="DE10" s="1">
        <f t="shared" si="28"/>
        <v>12.23030908</v>
      </c>
      <c r="DF10" s="1">
        <f t="shared" si="28"/>
        <v>17.119922650000003</v>
      </c>
      <c r="DG10" s="1">
        <f t="shared" si="28"/>
        <v>15.255558669999997</v>
      </c>
      <c r="DH10" s="1">
        <f t="shared" si="28"/>
        <v>10.271936310000001</v>
      </c>
      <c r="DJ10" s="2">
        <f t="shared" si="29"/>
        <v>2.0272560000000002E-2</v>
      </c>
      <c r="DK10" s="2">
        <f t="shared" si="29"/>
        <v>3.6497559999999998E-2</v>
      </c>
      <c r="DL10" s="1">
        <f t="shared" si="29"/>
        <v>0.16136977</v>
      </c>
      <c r="DM10" s="1">
        <f t="shared" si="29"/>
        <v>0.35776876000000002</v>
      </c>
      <c r="DN10" s="1">
        <f t="shared" si="29"/>
        <v>0.92818331999999992</v>
      </c>
      <c r="DO10" s="1">
        <f t="shared" si="29"/>
        <v>1.2063144699999999</v>
      </c>
      <c r="DP10" s="1">
        <f t="shared" si="29"/>
        <v>1.22554951</v>
      </c>
      <c r="DQ10" s="1">
        <f t="shared" si="29"/>
        <v>0.91618060000000012</v>
      </c>
      <c r="DR10" s="1">
        <f t="shared" si="29"/>
        <v>0.37596773000000006</v>
      </c>
      <c r="DS10" s="1">
        <f t="shared" si="29"/>
        <v>0.55234585999999997</v>
      </c>
      <c r="DT10" s="1">
        <f t="shared" si="29"/>
        <v>0.12110615999999999</v>
      </c>
      <c r="DU10" s="1">
        <f t="shared" si="29"/>
        <v>2.631816E-2</v>
      </c>
      <c r="DV10" s="1">
        <f t="shared" si="29"/>
        <v>4.99154E-3</v>
      </c>
      <c r="DW10" s="1">
        <f t="shared" si="29"/>
        <v>4.683996E-2</v>
      </c>
      <c r="DX10" s="1">
        <f t="shared" si="29"/>
        <v>0.23953321999999996</v>
      </c>
      <c r="DY10" s="1">
        <f t="shared" si="29"/>
        <v>0.72731897999999995</v>
      </c>
      <c r="DZ10" s="1">
        <f t="shared" si="30"/>
        <v>1.7947146899999999</v>
      </c>
      <c r="EA10" s="1">
        <f t="shared" si="30"/>
        <v>1.56764612</v>
      </c>
      <c r="EB10" s="1">
        <f t="shared" si="30"/>
        <v>1.4871383200000001</v>
      </c>
      <c r="EC10" s="1">
        <f t="shared" si="30"/>
        <v>0.7069763</v>
      </c>
      <c r="ED10" s="1">
        <f t="shared" si="30"/>
        <v>0.35634324000000006</v>
      </c>
      <c r="EE10" s="1">
        <f t="shared" si="30"/>
        <v>0.22489865000000001</v>
      </c>
      <c r="EF10" s="1">
        <f t="shared" si="30"/>
        <v>0.17467300000000002</v>
      </c>
      <c r="EG10" s="1">
        <f t="shared" si="30"/>
        <v>7.2500000000000004E-3</v>
      </c>
      <c r="EI10" s="14">
        <f t="shared" si="40"/>
        <v>17.130000000000003</v>
      </c>
      <c r="EJ10" s="14">
        <f t="shared" si="40"/>
        <v>17.130000000000003</v>
      </c>
      <c r="EK10" s="1">
        <f t="shared" si="40"/>
        <v>17.130000000000003</v>
      </c>
      <c r="EL10" s="1">
        <f t="shared" si="40"/>
        <v>17.130000000000003</v>
      </c>
      <c r="EM10" s="1">
        <f t="shared" si="40"/>
        <v>17.130000000000003</v>
      </c>
      <c r="EN10" s="1">
        <f t="shared" si="40"/>
        <v>17.130000000000003</v>
      </c>
      <c r="EO10" s="1">
        <f t="shared" si="40"/>
        <v>17.130000000000003</v>
      </c>
      <c r="EP10" s="1">
        <f t="shared" si="40"/>
        <v>17.130000000000003</v>
      </c>
      <c r="EQ10" s="1">
        <f t="shared" si="40"/>
        <v>17.130000000000003</v>
      </c>
      <c r="ER10" s="1">
        <f t="shared" si="40"/>
        <v>17.130000000000003</v>
      </c>
      <c r="ES10" s="1">
        <f t="shared" si="40"/>
        <v>17.130000000000003</v>
      </c>
      <c r="ET10" s="1">
        <f t="shared" si="40"/>
        <v>17.130000000000003</v>
      </c>
      <c r="EU10" s="1">
        <f t="shared" si="40"/>
        <v>17.130000000000003</v>
      </c>
      <c r="EV10" s="1">
        <f t="shared" si="40"/>
        <v>17.130000000000003</v>
      </c>
      <c r="EW10" s="1">
        <f t="shared" si="40"/>
        <v>17.130000000000003</v>
      </c>
      <c r="EX10" s="1">
        <f t="shared" si="40"/>
        <v>17.130000000000003</v>
      </c>
      <c r="EY10" s="1">
        <f t="shared" si="31"/>
        <v>17.130000000000003</v>
      </c>
      <c r="EZ10" s="1">
        <f t="shared" si="31"/>
        <v>17.130000000000003</v>
      </c>
      <c r="FA10" s="1">
        <f t="shared" si="31"/>
        <v>17.130000000000003</v>
      </c>
      <c r="FB10" s="1">
        <f t="shared" si="31"/>
        <v>17.39</v>
      </c>
      <c r="FC10" s="1">
        <f t="shared" si="31"/>
        <v>17.39</v>
      </c>
      <c r="FD10" s="1">
        <f t="shared" si="31"/>
        <v>17.39</v>
      </c>
      <c r="FE10" s="1">
        <f t="shared" si="31"/>
        <v>17.39</v>
      </c>
      <c r="FF10" s="1">
        <f t="shared" si="31"/>
        <v>17.39</v>
      </c>
      <c r="FH10" s="162">
        <f t="shared" si="32"/>
        <v>-0.20411905705247757</v>
      </c>
    </row>
    <row r="11" spans="1:164" ht="18.75" customHeight="1">
      <c r="A11" s="244" t="s">
        <v>116</v>
      </c>
      <c r="B11" s="247"/>
      <c r="C11" s="228">
        <f t="shared" si="5"/>
        <v>-0.33</v>
      </c>
      <c r="D11" s="229">
        <v>1</v>
      </c>
      <c r="E11" s="253">
        <f t="shared" si="6"/>
        <v>0</v>
      </c>
      <c r="F11" s="254">
        <f t="shared" si="7"/>
        <v>-2.1137724267861868E-2</v>
      </c>
      <c r="G11" s="253">
        <f t="shared" si="8"/>
        <v>5.3918976719888656E-2</v>
      </c>
      <c r="H11" s="254">
        <f t="shared" si="9"/>
        <v>-5.3918976719888656E-2</v>
      </c>
      <c r="I11" s="253">
        <f t="shared" si="10"/>
        <v>3.822066378537059E-2</v>
      </c>
      <c r="J11" s="254">
        <f t="shared" si="11"/>
        <v>-0.30003618826859735</v>
      </c>
      <c r="K11" s="253">
        <f t="shared" si="12"/>
        <v>0.41093463906712047</v>
      </c>
      <c r="L11" s="254">
        <f t="shared" si="13"/>
        <v>-0.37271397528174988</v>
      </c>
      <c r="M11" s="255"/>
      <c r="N11" s="256"/>
      <c r="O11" s="253" t="str">
        <f t="shared" si="33"/>
        <v/>
      </c>
      <c r="P11" s="257" t="str">
        <f t="shared" si="34"/>
        <v/>
      </c>
      <c r="Q11" s="253">
        <f t="shared" si="14"/>
        <v>0</v>
      </c>
      <c r="R11" s="257">
        <f t="shared" si="35"/>
        <v>0</v>
      </c>
      <c r="S11" s="255"/>
      <c r="T11" s="24">
        <v>-2</v>
      </c>
      <c r="U11" s="253">
        <f t="shared" si="15"/>
        <v>0.15540005121938316</v>
      </c>
      <c r="V11" s="258">
        <f t="shared" si="16"/>
        <v>0.15540005121938316</v>
      </c>
      <c r="W11" s="253">
        <f t="shared" si="36"/>
        <v>0.12782687102221879</v>
      </c>
      <c r="X11" s="258">
        <f t="shared" si="17"/>
        <v>0.12782687102221879</v>
      </c>
      <c r="Y11" s="253"/>
      <c r="Z11" s="258">
        <f t="shared" si="18"/>
        <v>0</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VLOOKUP($A11,historia!$A$5:$DD$24,+HLOOKUP(AP$2,historia!$A$3:$EC$4,2,FALSE),FALSE)</f>
        <v>3</v>
      </c>
      <c r="AQ11" s="28">
        <f>VLOOKUP($A11,historia!$A$5:$DD$24,+HLOOKUP(AQ$2,historia!$A$3:$EC$4,2,FALSE),FALSE)</f>
        <v>3</v>
      </c>
      <c r="AR11" s="28">
        <f>VLOOKUP($A11,historia!$A$5:$DD$24,+HLOOKUP(AR$2,historia!$A$3:$EC$4,2,FALSE),FALSE)</f>
        <v>3</v>
      </c>
      <c r="AS11" s="28">
        <f>VLOOKUP($A11,historia!$A$5:$DD$24,+HLOOKUP(AS$2,historia!$A$3:$EC$4,2,FALSE),FALSE)</f>
        <v>3</v>
      </c>
      <c r="AT11" s="58">
        <f>VLOOKUP($A11,historia!$A$5:$DD$24,+HLOOKUP(AT$2,historia!$A$3:$EC$4,2,FALSE),FALSE)</f>
        <v>3</v>
      </c>
      <c r="AU11" s="58">
        <f>VLOOKUP($A11,historia!$A$5:$DD$24,+HLOOKUP(AU$2,historia!$A$3:$EC$4,2,FALSE),FALSE)</f>
        <v>3</v>
      </c>
      <c r="AV11" s="58">
        <f>VLOOKUP($A11,historia!$A$5:$DD$24,+HLOOKUP(AV$2,historia!$A$3:$EC$4,2,FALSE),FALSE)</f>
        <v>4</v>
      </c>
      <c r="AW11" s="58">
        <f>VLOOKUP($A11,historia!$A$5:$DD$24,+HLOOKUP(AW$2,historia!$A$3:$EC$4,2,FALSE),FALSE)</f>
        <v>4</v>
      </c>
      <c r="AX11" s="58">
        <f>VLOOKUP($A11,historia!$A$5:$DD$24,+HLOOKUP(AX$2,historia!$A$3:$EC$4,2,FALSE),FALSE)</f>
        <v>4</v>
      </c>
      <c r="AY11" s="58">
        <f>VLOOKUP($A11,historia!$A$5:$DD$24,+HLOOKUP(AY$2,historia!$A$3:$EC$4,2,FALSE),FALSE)</f>
        <v>4</v>
      </c>
      <c r="AZ11" s="58">
        <f>VLOOKUP($A11,historia!$A$5:$DD$24,+HLOOKUP(AZ$2,historia!$A$3:$EC$4,2,FALSE),FALSE)</f>
        <v>4</v>
      </c>
      <c r="BA11" s="58">
        <f>VLOOKUP($A11,historia!$A$5:$DG$24,+HLOOKUP(BA$2,historia!$A$3:$EC$4,2,FALSE),FALSE)</f>
        <v>3</v>
      </c>
      <c r="BB11" s="58"/>
      <c r="BC11" s="286">
        <v>3</v>
      </c>
      <c r="BD11" t="str">
        <f t="shared" si="19"/>
        <v>Forestal</v>
      </c>
      <c r="BE11">
        <f>+datos!BG1</f>
        <v>59</v>
      </c>
      <c r="BF11" s="2" t="str">
        <f t="shared" si="4"/>
        <v>$/t</v>
      </c>
      <c r="BG11" s="2">
        <f t="shared" si="4"/>
        <v>31829.25</v>
      </c>
      <c r="BH11" s="2">
        <f t="shared" si="4"/>
        <v>31829.25</v>
      </c>
      <c r="BI11" s="2">
        <f t="shared" si="4"/>
        <v>30657.5</v>
      </c>
      <c r="BK11" s="1">
        <f>+datos!ES1</f>
        <v>149</v>
      </c>
      <c r="BL11" s="1">
        <f t="shared" si="20"/>
        <v>0</v>
      </c>
      <c r="BM11" s="1">
        <f t="shared" si="20"/>
        <v>0</v>
      </c>
      <c r="BO11" s="1">
        <f>+datos!GI1</f>
        <v>191</v>
      </c>
      <c r="BP11" s="1">
        <f t="shared" si="21"/>
        <v>1302556</v>
      </c>
      <c r="BQ11" s="1">
        <f t="shared" si="21"/>
        <v>1302556</v>
      </c>
      <c r="BS11" s="1">
        <f>+datos!KB1</f>
        <v>288</v>
      </c>
      <c r="BT11" s="1">
        <f t="shared" si="38"/>
        <v>192.26864375</v>
      </c>
      <c r="BU11" s="1">
        <f t="shared" si="39"/>
        <v>166.40872012</v>
      </c>
      <c r="BW11" s="1">
        <f>+datos!LG1</f>
        <v>319</v>
      </c>
      <c r="BX11" s="2">
        <f t="shared" si="22"/>
        <v>195.85462903999999</v>
      </c>
      <c r="BY11" s="2">
        <f t="shared" si="23"/>
        <v>173.65664365000003</v>
      </c>
      <c r="CA11" s="1">
        <f>+datos!IW1</f>
        <v>257</v>
      </c>
      <c r="CB11" s="1">
        <f t="shared" si="24"/>
        <v>0</v>
      </c>
      <c r="CC11" s="1">
        <f t="shared" si="25"/>
        <v>0</v>
      </c>
      <c r="CD11" s="1"/>
      <c r="CE11">
        <f>+datos!CZ1</f>
        <v>104</v>
      </c>
      <c r="CF11" s="2">
        <f t="shared" si="26"/>
        <v>19250.221069339026</v>
      </c>
      <c r="CG11" s="2">
        <f t="shared" si="26"/>
        <v>18265.370957880914</v>
      </c>
      <c r="CH11" s="2">
        <f t="shared" si="26"/>
        <v>13643.595200176569</v>
      </c>
      <c r="CI11" s="1"/>
      <c r="CK11" s="1">
        <f t="shared" si="27"/>
        <v>16.938802989999999</v>
      </c>
      <c r="CL11" s="1">
        <f t="shared" si="27"/>
        <v>19.845367980000006</v>
      </c>
      <c r="CM11" s="1">
        <f t="shared" si="27"/>
        <v>16.951944609999998</v>
      </c>
      <c r="CN11" s="1">
        <f t="shared" si="27"/>
        <v>18.593073950000004</v>
      </c>
      <c r="CO11" s="1">
        <f t="shared" si="27"/>
        <v>16.76578641</v>
      </c>
      <c r="CP11" s="1">
        <f t="shared" si="27"/>
        <v>15.133510020000001</v>
      </c>
      <c r="CQ11" s="1">
        <f t="shared" si="27"/>
        <v>13.84098623</v>
      </c>
      <c r="CR11" s="1">
        <f t="shared" si="27"/>
        <v>18.231882050000007</v>
      </c>
      <c r="CS11" s="1">
        <f t="shared" si="27"/>
        <v>13.327102919999998</v>
      </c>
      <c r="CT11" s="1">
        <f t="shared" si="27"/>
        <v>13.77020325</v>
      </c>
      <c r="CU11" s="1">
        <f t="shared" si="27"/>
        <v>16.167947309999995</v>
      </c>
      <c r="CV11" s="1">
        <f t="shared" si="27"/>
        <v>12.702036029999997</v>
      </c>
      <c r="CW11" s="1">
        <f t="shared" si="27"/>
        <v>14.879273850000001</v>
      </c>
      <c r="CX11" s="1">
        <f t="shared" si="27"/>
        <v>13.812450910000003</v>
      </c>
      <c r="CY11" s="1">
        <f t="shared" si="27"/>
        <v>14.949040589999999</v>
      </c>
      <c r="CZ11" s="1">
        <f t="shared" si="27"/>
        <v>13.968637820000001</v>
      </c>
      <c r="DA11" s="1">
        <f t="shared" si="28"/>
        <v>9.9284284400000011</v>
      </c>
      <c r="DB11" s="1">
        <f t="shared" si="28"/>
        <v>14.484437890000001</v>
      </c>
      <c r="DC11" s="1">
        <f t="shared" si="28"/>
        <v>10.200287200000002</v>
      </c>
      <c r="DD11" s="1">
        <f t="shared" si="28"/>
        <v>11.119065489999999</v>
      </c>
      <c r="DE11" s="1">
        <f t="shared" si="28"/>
        <v>13.50721221</v>
      </c>
      <c r="DF11" s="1">
        <f t="shared" si="28"/>
        <v>17.7783984</v>
      </c>
      <c r="DG11" s="1">
        <f t="shared" si="28"/>
        <v>18.158715399999995</v>
      </c>
      <c r="DH11" s="1">
        <f t="shared" si="28"/>
        <v>13.62277192</v>
      </c>
      <c r="DJ11" s="1">
        <f t="shared" si="29"/>
        <v>18.016137319999999</v>
      </c>
      <c r="DK11" s="1">
        <f t="shared" si="29"/>
        <v>16.692081819999999</v>
      </c>
      <c r="DL11" s="1">
        <f t="shared" si="29"/>
        <v>16.655697739999997</v>
      </c>
      <c r="DM11" s="1">
        <f t="shared" si="29"/>
        <v>15.17794868</v>
      </c>
      <c r="DN11" s="1">
        <f t="shared" si="29"/>
        <v>15.225690909999999</v>
      </c>
      <c r="DO11" s="1">
        <f t="shared" si="29"/>
        <v>13.973435009999999</v>
      </c>
      <c r="DP11" s="1">
        <f t="shared" si="29"/>
        <v>15.974673770000001</v>
      </c>
      <c r="DQ11" s="1">
        <f t="shared" si="29"/>
        <v>16.564446050000001</v>
      </c>
      <c r="DR11" s="1">
        <f t="shared" si="29"/>
        <v>13.907008520000002</v>
      </c>
      <c r="DS11" s="1">
        <f t="shared" si="29"/>
        <v>17.652505269999999</v>
      </c>
      <c r="DT11" s="1">
        <f t="shared" si="29"/>
        <v>18.176691299999998</v>
      </c>
      <c r="DU11" s="1">
        <f t="shared" si="29"/>
        <v>17.838312650000002</v>
      </c>
      <c r="DV11" s="1">
        <f t="shared" si="29"/>
        <v>13.839856769999999</v>
      </c>
      <c r="DW11" s="1">
        <f t="shared" si="29"/>
        <v>16.453753389999996</v>
      </c>
      <c r="DX11" s="1">
        <f t="shared" si="29"/>
        <v>16.050718710000002</v>
      </c>
      <c r="DY11" s="1">
        <f t="shared" si="29"/>
        <v>13.20675994</v>
      </c>
      <c r="DZ11" s="1">
        <f t="shared" si="30"/>
        <v>12.082023640000001</v>
      </c>
      <c r="EA11" s="1">
        <f t="shared" si="30"/>
        <v>16.998994660000001</v>
      </c>
      <c r="EB11" s="1">
        <f t="shared" si="30"/>
        <v>14.09144206</v>
      </c>
      <c r="EC11" s="1">
        <f t="shared" si="30"/>
        <v>14.036730870000001</v>
      </c>
      <c r="ED11" s="1">
        <f t="shared" si="30"/>
        <v>13.365554540000002</v>
      </c>
      <c r="EE11" s="1">
        <f t="shared" si="30"/>
        <v>15.589800310000003</v>
      </c>
      <c r="EF11" s="1">
        <f t="shared" si="30"/>
        <v>16.942532470000003</v>
      </c>
      <c r="EG11" s="1">
        <f t="shared" si="30"/>
        <v>10.998476289999999</v>
      </c>
      <c r="EI11" s="14">
        <f t="shared" si="40"/>
        <v>0</v>
      </c>
      <c r="EJ11" s="14">
        <f t="shared" si="40"/>
        <v>0</v>
      </c>
      <c r="EK11" s="1">
        <f t="shared" si="40"/>
        <v>0</v>
      </c>
      <c r="EL11" s="1">
        <f t="shared" si="40"/>
        <v>0</v>
      </c>
      <c r="EM11" s="1">
        <f t="shared" si="40"/>
        <v>0</v>
      </c>
      <c r="EN11" s="1">
        <f t="shared" si="40"/>
        <v>0</v>
      </c>
      <c r="EO11" s="1">
        <f t="shared" si="40"/>
        <v>0</v>
      </c>
      <c r="EP11" s="1">
        <f t="shared" si="40"/>
        <v>0</v>
      </c>
      <c r="EQ11" s="1">
        <f t="shared" si="40"/>
        <v>0</v>
      </c>
      <c r="ER11" s="1">
        <f t="shared" si="40"/>
        <v>0</v>
      </c>
      <c r="ES11" s="1">
        <f t="shared" si="40"/>
        <v>0</v>
      </c>
      <c r="ET11" s="1">
        <f t="shared" si="40"/>
        <v>0</v>
      </c>
      <c r="EU11" s="1">
        <f t="shared" si="40"/>
        <v>0</v>
      </c>
      <c r="EV11" s="1">
        <f t="shared" si="40"/>
        <v>0</v>
      </c>
      <c r="EW11" s="1">
        <f t="shared" si="40"/>
        <v>0</v>
      </c>
      <c r="EX11" s="1">
        <f t="shared" si="40"/>
        <v>0</v>
      </c>
      <c r="EY11" s="1">
        <f t="shared" si="31"/>
        <v>0</v>
      </c>
      <c r="EZ11" s="1">
        <f t="shared" si="31"/>
        <v>0</v>
      </c>
      <c r="FA11" s="1">
        <f t="shared" si="31"/>
        <v>0</v>
      </c>
      <c r="FB11" s="1">
        <f t="shared" si="31"/>
        <v>0</v>
      </c>
      <c r="FC11" s="1">
        <f t="shared" si="31"/>
        <v>0</v>
      </c>
      <c r="FD11" s="1">
        <f t="shared" si="31"/>
        <v>0</v>
      </c>
      <c r="FE11" s="1">
        <f t="shared" si="31"/>
        <v>0</v>
      </c>
      <c r="FF11" s="1">
        <f t="shared" si="31"/>
        <v>0</v>
      </c>
      <c r="FH11" s="162">
        <f t="shared" si="32"/>
        <v>-0.37271397528174988</v>
      </c>
    </row>
    <row r="12" spans="1:164" ht="18.75" customHeight="1">
      <c r="A12" s="243" t="s">
        <v>216</v>
      </c>
      <c r="B12" s="246"/>
      <c r="C12" s="156">
        <f t="shared" si="5"/>
        <v>-0.33</v>
      </c>
      <c r="D12" s="198">
        <v>-1</v>
      </c>
      <c r="E12" s="248">
        <f t="shared" si="6"/>
        <v>4.4689565810260401E-2</v>
      </c>
      <c r="F12" s="249">
        <f t="shared" si="7"/>
        <v>2.3551841542398533E-2</v>
      </c>
      <c r="G12" s="248">
        <f t="shared" si="8"/>
        <v>5.4962053204603789E-2</v>
      </c>
      <c r="H12" s="249">
        <f t="shared" si="9"/>
        <v>-1.0272487394343388E-2</v>
      </c>
      <c r="I12" s="248">
        <f t="shared" si="10"/>
        <v>0.32892812657960757</v>
      </c>
      <c r="J12" s="249">
        <f t="shared" si="11"/>
        <v>-9.3287254743603665E-3</v>
      </c>
      <c r="K12" s="248">
        <f t="shared" si="12"/>
        <v>0.34683107784917278</v>
      </c>
      <c r="L12" s="249">
        <f t="shared" si="13"/>
        <v>-1.7902951269565204E-2</v>
      </c>
      <c r="M12" s="250"/>
      <c r="N12" s="24">
        <v>1</v>
      </c>
      <c r="O12" s="248">
        <f t="shared" si="33"/>
        <v>-1.057770545158665E-2</v>
      </c>
      <c r="P12" s="251">
        <f t="shared" si="34"/>
        <v>-1.057770545158665E-2</v>
      </c>
      <c r="Q12" s="248">
        <f t="shared" si="14"/>
        <v>0.19700565273852266</v>
      </c>
      <c r="R12" s="251">
        <f t="shared" si="35"/>
        <v>0.19700565273852266</v>
      </c>
      <c r="S12" s="250"/>
      <c r="T12" s="24">
        <v>-1</v>
      </c>
      <c r="U12" s="248">
        <f t="shared" si="15"/>
        <v>0.19822356212389747</v>
      </c>
      <c r="V12" s="252">
        <f t="shared" si="16"/>
        <v>0.19822356212389747</v>
      </c>
      <c r="W12" s="248">
        <f t="shared" si="36"/>
        <v>0.1427636303828308</v>
      </c>
      <c r="X12" s="252">
        <f t="shared" si="17"/>
        <v>0.1427636303828308</v>
      </c>
      <c r="Y12" s="248"/>
      <c r="Z12" s="252">
        <f t="shared" si="18"/>
        <v>0</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VLOOKUP($A12,historia!$A$5:$DD$24,+HLOOKUP(AP$2,historia!$A$3:$EC$4,2,FALSE),FALSE)</f>
        <v>2</v>
      </c>
      <c r="AQ12" s="28">
        <f>VLOOKUP($A12,historia!$A$5:$DD$24,+HLOOKUP(AQ$2,historia!$A$3:$EC$4,2,FALSE),FALSE)</f>
        <v>1</v>
      </c>
      <c r="AR12" s="28">
        <f>VLOOKUP($A12,historia!$A$5:$DD$24,+HLOOKUP(AR$2,historia!$A$3:$EC$4,2,FALSE),FALSE)</f>
        <v>2</v>
      </c>
      <c r="AS12" s="28">
        <f>VLOOKUP($A12,historia!$A$5:$DD$24,+HLOOKUP(AS$2,historia!$A$3:$EC$4,2,FALSE),FALSE)</f>
        <v>2</v>
      </c>
      <c r="AT12" s="58">
        <f>VLOOKUP($A12,historia!$A$5:$DD$24,+HLOOKUP(AT$2,historia!$A$3:$EC$4,2,FALSE),FALSE)</f>
        <v>2</v>
      </c>
      <c r="AU12" s="58">
        <f>VLOOKUP($A12,historia!$A$5:$DD$24,+HLOOKUP(AU$2,historia!$A$3:$EC$4,2,FALSE),FALSE)</f>
        <v>1</v>
      </c>
      <c r="AV12" s="58">
        <f>VLOOKUP($A12,historia!$A$5:$DD$24,+HLOOKUP(AV$2,historia!$A$3:$EC$4,2,FALSE),FALSE)</f>
        <v>2</v>
      </c>
      <c r="AW12" s="58">
        <f>VLOOKUP($A12,historia!$A$5:$DD$24,+HLOOKUP(AW$2,historia!$A$3:$EC$4,2,FALSE),FALSE)</f>
        <v>2</v>
      </c>
      <c r="AX12" s="58">
        <f>VLOOKUP($A12,historia!$A$5:$DD$24,+HLOOKUP(AX$2,historia!$A$3:$EC$4,2,FALSE),FALSE)</f>
        <v>1</v>
      </c>
      <c r="AY12" s="58">
        <f>VLOOKUP($A12,historia!$A$5:$DD$24,+HLOOKUP(AY$2,historia!$A$3:$EC$4,2,FALSE),FALSE)</f>
        <v>1</v>
      </c>
      <c r="AZ12" s="58">
        <f>VLOOKUP($A12,historia!$A$5:$DD$24,+HLOOKUP(AZ$2,historia!$A$3:$EC$4,2,FALSE),FALSE)</f>
        <v>1</v>
      </c>
      <c r="BA12" s="58">
        <f>VLOOKUP($A12,historia!$A$5:$DG$24,+HLOOKUP(BA$2,historia!$A$3:$EC$4,2,FALSE),FALSE)</f>
        <v>1</v>
      </c>
      <c r="BB12" s="58"/>
      <c r="BC12" s="286">
        <v>1</v>
      </c>
      <c r="BD12" t="str">
        <f t="shared" si="19"/>
        <v>Granos</v>
      </c>
      <c r="BE12">
        <f>+datos!AE1</f>
        <v>31</v>
      </c>
      <c r="BF12" s="2" t="str">
        <f t="shared" si="4"/>
        <v>$/t</v>
      </c>
      <c r="BG12" s="2">
        <f t="shared" si="4"/>
        <v>400610.34355307574</v>
      </c>
      <c r="BH12" s="2">
        <f t="shared" si="4"/>
        <v>383473.09733333334</v>
      </c>
      <c r="BI12" s="2">
        <f t="shared" si="4"/>
        <v>301453.73217749991</v>
      </c>
      <c r="BK12" s="1">
        <f>+datos!EA1</f>
        <v>131</v>
      </c>
      <c r="BL12" s="1">
        <f t="shared" si="20"/>
        <v>36480000</v>
      </c>
      <c r="BM12" s="1">
        <f t="shared" si="20"/>
        <v>36870000</v>
      </c>
      <c r="BO12" s="1">
        <f>+datos!FV1</f>
        <v>178</v>
      </c>
      <c r="BP12" s="1">
        <f t="shared" si="21"/>
        <v>156700010</v>
      </c>
      <c r="BQ12" s="1">
        <f t="shared" si="21"/>
        <v>130910000</v>
      </c>
      <c r="BS12" s="1">
        <f>+datos!LQ1</f>
        <v>329</v>
      </c>
      <c r="BT12" s="1">
        <f>+SUM(CK12:CV12)</f>
        <v>50664.409249880002</v>
      </c>
      <c r="BU12" s="1">
        <f t="shared" si="39"/>
        <v>42282.93521458999</v>
      </c>
      <c r="BW12" s="1">
        <f>+datos!LU1</f>
        <v>333</v>
      </c>
      <c r="BX12" s="2">
        <f t="shared" si="22"/>
        <v>3142.4955153699998</v>
      </c>
      <c r="BY12" s="2">
        <f t="shared" si="23"/>
        <v>2749.9085828600005</v>
      </c>
      <c r="CA12" s="1">
        <f>+datos!II1</f>
        <v>243</v>
      </c>
      <c r="CB12" s="1">
        <f t="shared" si="24"/>
        <v>87300000</v>
      </c>
      <c r="CC12" s="1">
        <f t="shared" si="25"/>
        <v>83320000</v>
      </c>
      <c r="CD12" s="1"/>
      <c r="CE12">
        <f>+datos!CG1</f>
        <v>85</v>
      </c>
      <c r="CF12" s="2">
        <f t="shared" si="26"/>
        <v>15317.795947393925</v>
      </c>
      <c r="CG12" s="2">
        <f t="shared" si="26"/>
        <v>14519.760119204142</v>
      </c>
      <c r="CH12" s="2">
        <f t="shared" si="26"/>
        <v>11373.212423829527</v>
      </c>
      <c r="CI12" s="1"/>
      <c r="CK12" s="1">
        <f>+VLOOKUP(CK$1,ran_dat,$BS12,FALSE)</f>
        <v>4486.4622884199998</v>
      </c>
      <c r="CL12" s="1">
        <f t="shared" si="27"/>
        <v>4487.8321395500006</v>
      </c>
      <c r="CM12" s="1">
        <f t="shared" si="27"/>
        <v>5035.7305047899999</v>
      </c>
      <c r="CN12" s="1">
        <f t="shared" si="27"/>
        <v>4064.0645645799996</v>
      </c>
      <c r="CO12" s="1">
        <f t="shared" si="27"/>
        <v>4203.4384527000002</v>
      </c>
      <c r="CP12" s="1">
        <f t="shared" si="27"/>
        <v>3234.3307016200001</v>
      </c>
      <c r="CQ12" s="1">
        <f t="shared" si="27"/>
        <v>4071.6367626900005</v>
      </c>
      <c r="CR12" s="1">
        <f t="shared" si="27"/>
        <v>3901.9920549600001</v>
      </c>
      <c r="CS12" s="1">
        <f t="shared" si="27"/>
        <v>4663.3781357900007</v>
      </c>
      <c r="CT12" s="1">
        <f t="shared" si="27"/>
        <v>3782.3696972900002</v>
      </c>
      <c r="CU12" s="1">
        <f t="shared" si="27"/>
        <v>4396.9372515900004</v>
      </c>
      <c r="CV12" s="1">
        <f t="shared" si="27"/>
        <v>4336.2366958999992</v>
      </c>
      <c r="CW12" s="1">
        <f t="shared" si="27"/>
        <v>4557.75384975</v>
      </c>
      <c r="CX12" s="1">
        <f t="shared" si="27"/>
        <v>3762.5394987399995</v>
      </c>
      <c r="CY12" s="1">
        <f t="shared" si="27"/>
        <v>4220.2405017900001</v>
      </c>
      <c r="CZ12" s="1">
        <f t="shared" si="27"/>
        <v>3699.5517639399995</v>
      </c>
      <c r="DA12" s="1">
        <f t="shared" si="28"/>
        <v>2719.5194464700007</v>
      </c>
      <c r="DB12" s="1">
        <f t="shared" si="28"/>
        <v>3193.1112506200002</v>
      </c>
      <c r="DC12" s="1">
        <f t="shared" si="28"/>
        <v>3231.2263099199999</v>
      </c>
      <c r="DD12" s="1">
        <f t="shared" si="28"/>
        <v>3313.8442822299994</v>
      </c>
      <c r="DE12" s="1">
        <f t="shared" si="28"/>
        <v>3339.9998161899998</v>
      </c>
      <c r="DF12" s="1">
        <f t="shared" si="28"/>
        <v>3485.71732419</v>
      </c>
      <c r="DG12" s="1">
        <f t="shared" si="28"/>
        <v>3410.80431886</v>
      </c>
      <c r="DH12" s="1">
        <f t="shared" si="28"/>
        <v>3348.6268518899992</v>
      </c>
      <c r="DJ12" s="1">
        <f t="shared" si="29"/>
        <v>436.00616156999996</v>
      </c>
      <c r="DK12" s="1">
        <f t="shared" si="29"/>
        <v>365.40067700999998</v>
      </c>
      <c r="DL12" s="1">
        <f t="shared" si="29"/>
        <v>461.88986550999999</v>
      </c>
      <c r="DM12" s="1">
        <f t="shared" si="29"/>
        <v>430.74979968000002</v>
      </c>
      <c r="DN12" s="1">
        <f t="shared" si="29"/>
        <v>401.51977044</v>
      </c>
      <c r="DO12" s="1">
        <f t="shared" si="29"/>
        <v>345.64924089000016</v>
      </c>
      <c r="DP12" s="1">
        <f t="shared" si="29"/>
        <v>27.557335100000003</v>
      </c>
      <c r="DQ12" s="1">
        <f t="shared" si="29"/>
        <v>51.994600029999987</v>
      </c>
      <c r="DR12" s="1">
        <f t="shared" si="29"/>
        <v>140.49668192999997</v>
      </c>
      <c r="DS12" s="1">
        <f t="shared" si="29"/>
        <v>126.11568693000002</v>
      </c>
      <c r="DT12" s="1">
        <f t="shared" si="29"/>
        <v>179.77004703999992</v>
      </c>
      <c r="DU12" s="1">
        <f t="shared" si="29"/>
        <v>175.34564924</v>
      </c>
      <c r="DV12" s="1">
        <f t="shared" si="29"/>
        <v>241.51209269000003</v>
      </c>
      <c r="DW12" s="1">
        <f t="shared" si="29"/>
        <v>273.75200934999998</v>
      </c>
      <c r="DX12" s="1">
        <f t="shared" si="29"/>
        <v>304.19736033999999</v>
      </c>
      <c r="DY12" s="1">
        <f t="shared" si="29"/>
        <v>338.33098909999995</v>
      </c>
      <c r="DZ12" s="1">
        <f t="shared" si="30"/>
        <v>239.40438782999996</v>
      </c>
      <c r="EA12" s="1">
        <f t="shared" si="30"/>
        <v>288.1429152</v>
      </c>
      <c r="EB12" s="1">
        <f t="shared" si="30"/>
        <v>31.883400920000003</v>
      </c>
      <c r="EC12" s="1">
        <f t="shared" si="30"/>
        <v>52.19269714</v>
      </c>
      <c r="ED12" s="1">
        <f t="shared" si="30"/>
        <v>201.41567115000001</v>
      </c>
      <c r="EE12" s="1">
        <f t="shared" si="30"/>
        <v>299.18688666000003</v>
      </c>
      <c r="EF12" s="1">
        <f t="shared" si="30"/>
        <v>265.28366987999999</v>
      </c>
      <c r="EG12" s="1">
        <f t="shared" si="30"/>
        <v>214.60650260000006</v>
      </c>
      <c r="EI12" s="14">
        <f t="shared" si="40"/>
        <v>87300000</v>
      </c>
      <c r="EJ12" s="14">
        <f t="shared" si="40"/>
        <v>87300000</v>
      </c>
      <c r="EK12" s="1">
        <f t="shared" si="40"/>
        <v>87300000</v>
      </c>
      <c r="EL12" s="1">
        <f t="shared" si="40"/>
        <v>87300000</v>
      </c>
      <c r="EM12" s="1">
        <f t="shared" si="40"/>
        <v>88050000</v>
      </c>
      <c r="EN12" s="1">
        <f t="shared" si="40"/>
        <v>88050000</v>
      </c>
      <c r="EO12" s="1">
        <f t="shared" si="40"/>
        <v>86780000</v>
      </c>
      <c r="EP12" s="1">
        <f t="shared" si="40"/>
        <v>86780000</v>
      </c>
      <c r="EQ12" s="1">
        <f t="shared" si="40"/>
        <v>86680000</v>
      </c>
      <c r="ER12" s="1">
        <f t="shared" si="40"/>
        <v>85850000</v>
      </c>
      <c r="ES12" s="1">
        <f t="shared" si="40"/>
        <v>85850000</v>
      </c>
      <c r="ET12" s="1">
        <f t="shared" si="40"/>
        <v>85820000</v>
      </c>
      <c r="EU12" s="1">
        <f t="shared" si="40"/>
        <v>83320000</v>
      </c>
      <c r="EV12" s="1">
        <f t="shared" si="40"/>
        <v>83120000</v>
      </c>
      <c r="EW12" s="1">
        <f t="shared" si="40"/>
        <v>83420000</v>
      </c>
      <c r="EX12" s="1">
        <f t="shared" si="40"/>
        <v>83260000</v>
      </c>
      <c r="EY12" s="1">
        <f t="shared" si="31"/>
        <v>82660000</v>
      </c>
      <c r="EZ12" s="1">
        <f t="shared" si="31"/>
        <v>83330000</v>
      </c>
      <c r="FA12" s="1">
        <f t="shared" si="31"/>
        <v>83330000</v>
      </c>
      <c r="FB12" s="1">
        <f t="shared" si="31"/>
        <v>81580000</v>
      </c>
      <c r="FC12" s="1">
        <f t="shared" si="31"/>
        <v>81600000</v>
      </c>
      <c r="FD12" s="1">
        <f t="shared" si="31"/>
        <v>81600000</v>
      </c>
      <c r="FE12" s="1">
        <f t="shared" si="31"/>
        <v>81600000</v>
      </c>
      <c r="FF12" s="1">
        <f t="shared" si="31"/>
        <v>81600000</v>
      </c>
      <c r="FH12" s="162">
        <f t="shared" si="32"/>
        <v>-1.7902951269565204E-2</v>
      </c>
    </row>
    <row r="13" spans="1:164" ht="18.75" customHeight="1">
      <c r="A13" s="244" t="s">
        <v>217</v>
      </c>
      <c r="B13" s="247"/>
      <c r="C13" s="228">
        <f t="shared" si="5"/>
        <v>0</v>
      </c>
      <c r="D13" s="229">
        <v>0</v>
      </c>
      <c r="E13" s="253">
        <f t="shared" si="6"/>
        <v>8.7087916313162816E-2</v>
      </c>
      <c r="F13" s="254">
        <f t="shared" si="7"/>
        <v>6.5950192045300948E-2</v>
      </c>
      <c r="G13" s="253">
        <f t="shared" si="8"/>
        <v>4.0184860532715083E-2</v>
      </c>
      <c r="H13" s="254">
        <f t="shared" si="9"/>
        <v>4.6903055780447733E-2</v>
      </c>
      <c r="I13" s="253">
        <f t="shared" si="10"/>
        <v>1.3038003532464049</v>
      </c>
      <c r="J13" s="254">
        <f t="shared" si="11"/>
        <v>0.96554350119243693</v>
      </c>
      <c r="K13" s="253">
        <f t="shared" si="12"/>
        <v>0.50023267075025091</v>
      </c>
      <c r="L13" s="254">
        <f t="shared" si="13"/>
        <v>0.80356768249615396</v>
      </c>
      <c r="M13" s="255"/>
      <c r="N13" s="256">
        <v>0</v>
      </c>
      <c r="O13" s="253">
        <f t="shared" si="33"/>
        <v>0</v>
      </c>
      <c r="P13" s="257">
        <f t="shared" si="34"/>
        <v>0</v>
      </c>
      <c r="Q13" s="253">
        <f t="shared" si="14"/>
        <v>0</v>
      </c>
      <c r="R13" s="257">
        <f t="shared" si="35"/>
        <v>0</v>
      </c>
      <c r="S13" s="255"/>
      <c r="T13" s="256">
        <v>0</v>
      </c>
      <c r="U13" s="253">
        <f t="shared" si="15"/>
        <v>0.27314199392871363</v>
      </c>
      <c r="V13" s="258">
        <f t="shared" si="16"/>
        <v>0.27314199392871363</v>
      </c>
      <c r="W13" s="253">
        <f t="shared" si="36"/>
        <v>-0.51091727885658345</v>
      </c>
      <c r="X13" s="258">
        <f t="shared" si="17"/>
        <v>-0.51091727885658345</v>
      </c>
      <c r="Y13" s="253"/>
      <c r="Z13" s="258">
        <f t="shared" si="18"/>
        <v>0</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VLOOKUP($A13,historia!$A$5:$DD$24,+HLOOKUP(AP$2,historia!$A$3:$EC$4,2,FALSE),FALSE)</f>
        <v>5</v>
      </c>
      <c r="AQ13" s="28">
        <f>VLOOKUP($A13,historia!$A$5:$DD$24,+HLOOKUP(AQ$2,historia!$A$3:$EC$4,2,FALSE),FALSE)</f>
        <v>4</v>
      </c>
      <c r="AR13" s="28">
        <f>VLOOKUP($A13,historia!$A$5:$DD$24,+HLOOKUP(AR$2,historia!$A$3:$EC$4,2,FALSE),FALSE)</f>
        <v>4</v>
      </c>
      <c r="AS13" s="28">
        <f>VLOOKUP($A13,historia!$A$5:$DD$24,+HLOOKUP(AS$2,historia!$A$3:$EC$4,2,FALSE),FALSE)</f>
        <v>4</v>
      </c>
      <c r="AT13" s="58">
        <f>VLOOKUP($A13,historia!$A$5:$DD$24,+HLOOKUP(AT$2,historia!$A$3:$EC$4,2,FALSE),FALSE)</f>
        <v>4</v>
      </c>
      <c r="AU13" s="58">
        <f>VLOOKUP($A13,historia!$A$5:$DD$24,+HLOOKUP(AU$2,historia!$A$3:$EC$4,2,FALSE),FALSE)</f>
        <v>4</v>
      </c>
      <c r="AV13" s="58">
        <f>VLOOKUP($A13,historia!$A$5:$DD$24,+HLOOKUP(AV$2,historia!$A$3:$EC$4,2,FALSE),FALSE)</f>
        <v>4</v>
      </c>
      <c r="AW13" s="58">
        <f>VLOOKUP($A13,historia!$A$5:$DD$24,+HLOOKUP(AW$2,historia!$A$3:$EC$4,2,FALSE),FALSE)</f>
        <v>4</v>
      </c>
      <c r="AX13" s="58">
        <f>VLOOKUP($A13,historia!$A$5:$DD$24,+HLOOKUP(AX$2,historia!$A$3:$EC$4,2,FALSE),FALSE)</f>
        <v>4</v>
      </c>
      <c r="AY13" s="58">
        <f>VLOOKUP($A13,historia!$A$5:$DD$24,+HLOOKUP(AY$2,historia!$A$3:$EC$4,2,FALSE),FALSE)</f>
        <v>4</v>
      </c>
      <c r="AZ13" s="58">
        <f>VLOOKUP($A13,historia!$A$5:$DD$24,+HLOOKUP(AZ$2,historia!$A$3:$EC$4,2,FALSE),FALSE)</f>
        <v>4</v>
      </c>
      <c r="BA13" s="58">
        <f>VLOOKUP($A13,historia!$A$5:$DG$24,+HLOOKUP(BA$2,historia!$A$3:$EC$4,2,FALSE),FALSE)</f>
        <v>4</v>
      </c>
      <c r="BB13" s="58"/>
      <c r="BC13" s="286">
        <v>4</v>
      </c>
      <c r="BD13" t="str">
        <f t="shared" si="19"/>
        <v>Hortalizas</v>
      </c>
      <c r="BE13">
        <f>+datos!BB1</f>
        <v>54</v>
      </c>
      <c r="BF13" s="2" t="str">
        <f t="shared" si="4"/>
        <v>$/kg</v>
      </c>
      <c r="BG13" s="2">
        <f t="shared" si="4"/>
        <v>18876.666944444445</v>
      </c>
      <c r="BH13" s="2">
        <f t="shared" si="4"/>
        <v>17364.434523809527</v>
      </c>
      <c r="BI13" s="2">
        <f t="shared" si="4"/>
        <v>8193.7078088578091</v>
      </c>
      <c r="BK13" s="1">
        <f>+datos!EX1</f>
        <v>154</v>
      </c>
      <c r="BL13" s="1">
        <f t="shared" si="20"/>
        <v>64395</v>
      </c>
      <c r="BM13" s="1">
        <f t="shared" si="20"/>
        <v>64395</v>
      </c>
      <c r="BO13" s="1">
        <f>+datos!GN1</f>
        <v>196</v>
      </c>
      <c r="BP13" s="1">
        <f t="shared" si="21"/>
        <v>2639386</v>
      </c>
      <c r="BQ13" s="1">
        <f t="shared" si="21"/>
        <v>2639386</v>
      </c>
      <c r="BS13" s="1">
        <f>+datos!LR1</f>
        <v>330</v>
      </c>
      <c r="BT13" s="1">
        <f t="shared" si="38"/>
        <v>54.411120629999992</v>
      </c>
      <c r="BU13" s="1">
        <f t="shared" si="39"/>
        <v>42.73766861</v>
      </c>
      <c r="BW13" s="1">
        <f>+datos!LV1</f>
        <v>334</v>
      </c>
      <c r="BX13" s="2">
        <f t="shared" si="22"/>
        <v>17.246186690000002</v>
      </c>
      <c r="BY13" s="2">
        <f t="shared" si="23"/>
        <v>35.262310329999991</v>
      </c>
      <c r="CA13" s="1">
        <f>+datos!IX1</f>
        <v>258</v>
      </c>
      <c r="CB13" s="1">
        <f t="shared" si="24"/>
        <v>0</v>
      </c>
      <c r="CC13" s="1">
        <f t="shared" si="25"/>
        <v>0</v>
      </c>
      <c r="CD13" s="1"/>
      <c r="CE13">
        <f>+datos!CO1</f>
        <v>93</v>
      </c>
      <c r="CF13" s="2">
        <f t="shared" si="26"/>
        <v>15874.471153981056</v>
      </c>
      <c r="CG13" s="2">
        <f t="shared" si="26"/>
        <v>15261.201884683442</v>
      </c>
      <c r="CH13" s="2">
        <f t="shared" si="26"/>
        <v>10581.339457193928</v>
      </c>
      <c r="CI13" s="1"/>
      <c r="CK13" s="1">
        <f t="shared" si="27"/>
        <v>4.1998772999999998</v>
      </c>
      <c r="CL13" s="1">
        <f t="shared" si="27"/>
        <v>8.5185827199999995</v>
      </c>
      <c r="CM13" s="1">
        <f t="shared" si="27"/>
        <v>11.768405829999999</v>
      </c>
      <c r="CN13" s="1">
        <f t="shared" si="27"/>
        <v>11.667027839999999</v>
      </c>
      <c r="CO13" s="1">
        <f t="shared" si="27"/>
        <v>7.5031928699999995</v>
      </c>
      <c r="CP13" s="1">
        <f t="shared" si="27"/>
        <v>1.29974543</v>
      </c>
      <c r="CQ13" s="1">
        <f t="shared" si="27"/>
        <v>1.7091561800000004</v>
      </c>
      <c r="CR13" s="1">
        <f t="shared" si="27"/>
        <v>1.6831161599999998</v>
      </c>
      <c r="CS13" s="1">
        <f t="shared" si="27"/>
        <v>1.1537429000000001</v>
      </c>
      <c r="CT13" s="1">
        <f t="shared" si="27"/>
        <v>1.5287822199999999</v>
      </c>
      <c r="CU13" s="1">
        <f t="shared" si="27"/>
        <v>0.99519284000000008</v>
      </c>
      <c r="CV13" s="1">
        <f t="shared" si="27"/>
        <v>2.3842983399999995</v>
      </c>
      <c r="CW13" s="1">
        <f t="shared" si="27"/>
        <v>1.9006323699999998</v>
      </c>
      <c r="CX13" s="1">
        <f t="shared" si="27"/>
        <v>5.6300601800000001</v>
      </c>
      <c r="CY13" s="1">
        <f t="shared" si="27"/>
        <v>10.78719353</v>
      </c>
      <c r="CZ13" s="1">
        <f t="shared" si="27"/>
        <v>6.6589734299999996</v>
      </c>
      <c r="DA13" s="1">
        <f t="shared" si="28"/>
        <v>4.7972503099999999</v>
      </c>
      <c r="DB13" s="1">
        <f t="shared" si="28"/>
        <v>3.6808061599999999</v>
      </c>
      <c r="DC13" s="1">
        <f t="shared" si="28"/>
        <v>1.7265838599999999</v>
      </c>
      <c r="DD13" s="1">
        <f t="shared" si="28"/>
        <v>1.1603474899999999</v>
      </c>
      <c r="DE13" s="1">
        <f t="shared" si="28"/>
        <v>1.6220564799999999</v>
      </c>
      <c r="DF13" s="1">
        <f t="shared" si="28"/>
        <v>1.7022322700000001</v>
      </c>
      <c r="DG13" s="1">
        <f t="shared" si="28"/>
        <v>2.1800094999999997</v>
      </c>
      <c r="DH13" s="1">
        <f t="shared" si="28"/>
        <v>0.89152303000000011</v>
      </c>
      <c r="DJ13" s="1">
        <f t="shared" si="29"/>
        <v>3.5095093799999995</v>
      </c>
      <c r="DK13" s="1">
        <f t="shared" si="29"/>
        <v>3.12933196</v>
      </c>
      <c r="DL13" s="1">
        <f t="shared" si="29"/>
        <v>1.4366099599999997</v>
      </c>
      <c r="DM13" s="1">
        <f t="shared" si="29"/>
        <v>0.57707428999999999</v>
      </c>
      <c r="DN13" s="1">
        <f t="shared" si="29"/>
        <v>0.39128717000000002</v>
      </c>
      <c r="DO13" s="1">
        <f t="shared" si="29"/>
        <v>0.23116673999999998</v>
      </c>
      <c r="DP13" s="1">
        <f t="shared" si="29"/>
        <v>0.59938404000000001</v>
      </c>
      <c r="DQ13" s="1">
        <f t="shared" si="29"/>
        <v>0.53318653999999999</v>
      </c>
      <c r="DR13" s="1">
        <f t="shared" si="29"/>
        <v>0.87596054999999995</v>
      </c>
      <c r="DS13" s="1">
        <f t="shared" si="29"/>
        <v>2.0285887300000001</v>
      </c>
      <c r="DT13" s="1">
        <f t="shared" si="29"/>
        <v>2.5185445399999997</v>
      </c>
      <c r="DU13" s="1">
        <f t="shared" si="29"/>
        <v>1.4155427900000002</v>
      </c>
      <c r="DV13" s="1">
        <f t="shared" si="29"/>
        <v>1.5956283999999996</v>
      </c>
      <c r="DW13" s="1">
        <f t="shared" si="29"/>
        <v>1.7945534399999996</v>
      </c>
      <c r="DX13" s="1">
        <f t="shared" si="29"/>
        <v>2.7487028499999995</v>
      </c>
      <c r="DY13" s="1">
        <f t="shared" si="29"/>
        <v>0.73139703</v>
      </c>
      <c r="DZ13" s="1">
        <f t="shared" si="30"/>
        <v>0.52205221000000002</v>
      </c>
      <c r="EA13" s="1">
        <f t="shared" si="30"/>
        <v>0.27889262000000004</v>
      </c>
      <c r="EB13" s="1">
        <f t="shared" si="30"/>
        <v>0.43588088999999991</v>
      </c>
      <c r="EC13" s="1">
        <f t="shared" si="30"/>
        <v>0.25163443000000002</v>
      </c>
      <c r="ED13" s="1">
        <f t="shared" si="30"/>
        <v>1.8307121500000001</v>
      </c>
      <c r="EE13" s="1">
        <f t="shared" si="30"/>
        <v>4.7138590499999999</v>
      </c>
      <c r="EF13" s="1">
        <f t="shared" si="30"/>
        <v>10.280953719999999</v>
      </c>
      <c r="EG13" s="1">
        <f t="shared" si="30"/>
        <v>10.078043539999999</v>
      </c>
      <c r="EI13" s="14">
        <f t="shared" si="40"/>
        <v>0</v>
      </c>
      <c r="EJ13" s="14">
        <f t="shared" si="40"/>
        <v>0</v>
      </c>
      <c r="EK13" s="1">
        <f t="shared" si="40"/>
        <v>0</v>
      </c>
      <c r="EL13" s="1">
        <f t="shared" si="40"/>
        <v>0</v>
      </c>
      <c r="EM13" s="1">
        <f t="shared" si="40"/>
        <v>0</v>
      </c>
      <c r="EN13" s="1">
        <f t="shared" si="40"/>
        <v>0</v>
      </c>
      <c r="EO13" s="1">
        <f t="shared" si="40"/>
        <v>0</v>
      </c>
      <c r="EP13" s="1">
        <f t="shared" si="40"/>
        <v>0</v>
      </c>
      <c r="EQ13" s="1">
        <f t="shared" si="40"/>
        <v>0</v>
      </c>
      <c r="ER13" s="1">
        <f t="shared" si="40"/>
        <v>0</v>
      </c>
      <c r="ES13" s="1">
        <f t="shared" si="40"/>
        <v>0</v>
      </c>
      <c r="ET13" s="1">
        <f t="shared" si="40"/>
        <v>0</v>
      </c>
      <c r="EU13" s="1">
        <f t="shared" si="40"/>
        <v>0</v>
      </c>
      <c r="EV13" s="1">
        <f t="shared" si="40"/>
        <v>0</v>
      </c>
      <c r="EW13" s="1">
        <f t="shared" si="40"/>
        <v>0</v>
      </c>
      <c r="EX13" s="1">
        <f t="shared" si="40"/>
        <v>0</v>
      </c>
      <c r="EY13" s="1">
        <f t="shared" si="31"/>
        <v>0</v>
      </c>
      <c r="EZ13" s="1">
        <f t="shared" si="31"/>
        <v>0</v>
      </c>
      <c r="FA13" s="1">
        <f t="shared" si="31"/>
        <v>0</v>
      </c>
      <c r="FB13" s="1">
        <f t="shared" si="31"/>
        <v>0</v>
      </c>
      <c r="FC13" s="1">
        <f t="shared" si="31"/>
        <v>0</v>
      </c>
      <c r="FD13" s="1">
        <f t="shared" si="31"/>
        <v>0</v>
      </c>
      <c r="FE13" s="1">
        <f t="shared" si="31"/>
        <v>0</v>
      </c>
      <c r="FF13" s="1">
        <f t="shared" si="31"/>
        <v>0</v>
      </c>
      <c r="FH13" s="162">
        <f t="shared" si="32"/>
        <v>0.80356768249615396</v>
      </c>
    </row>
    <row r="14" spans="1:164" ht="18" customHeight="1">
      <c r="A14" s="243" t="s">
        <v>65</v>
      </c>
      <c r="B14" s="246"/>
      <c r="C14" s="156">
        <f t="shared" si="5"/>
        <v>-0.33</v>
      </c>
      <c r="D14" s="198">
        <v>1</v>
      </c>
      <c r="E14" s="572">
        <f t="shared" si="6"/>
        <v>1.7967423189748422E-2</v>
      </c>
      <c r="F14" s="249">
        <f t="shared" si="7"/>
        <v>-3.1703010781134466E-3</v>
      </c>
      <c r="G14" s="248">
        <f t="shared" si="8"/>
        <v>5.6316897411402556E-2</v>
      </c>
      <c r="H14" s="249">
        <f t="shared" si="9"/>
        <v>-3.8349474221654134E-2</v>
      </c>
      <c r="I14" s="248">
        <f t="shared" si="10"/>
        <v>0.11454591556438332</v>
      </c>
      <c r="J14" s="249">
        <f t="shared" si="11"/>
        <v>-0.22371093648958462</v>
      </c>
      <c r="K14" s="248">
        <f t="shared" si="12"/>
        <v>0.31070674102116813</v>
      </c>
      <c r="L14" s="249">
        <f t="shared" si="13"/>
        <v>-0.19616082545678482</v>
      </c>
      <c r="M14" s="250"/>
      <c r="N14" s="24">
        <v>-1</v>
      </c>
      <c r="O14" s="248">
        <f t="shared" si="33"/>
        <v>4.8265376915707758E-2</v>
      </c>
      <c r="P14" s="251">
        <f t="shared" si="34"/>
        <v>4.8265376915707758E-2</v>
      </c>
      <c r="Q14" s="248">
        <f t="shared" si="14"/>
        <v>5.9461326482324939E-2</v>
      </c>
      <c r="R14" s="251">
        <f t="shared" si="35"/>
        <v>5.9461326482324939E-2</v>
      </c>
      <c r="S14" s="250"/>
      <c r="T14" s="24">
        <v>-1</v>
      </c>
      <c r="U14" s="248">
        <f t="shared" si="15"/>
        <v>0.19049277820725541</v>
      </c>
      <c r="V14" s="252">
        <f t="shared" si="16"/>
        <v>0.19049277820725541</v>
      </c>
      <c r="W14" s="248">
        <f t="shared" si="36"/>
        <v>0.15014241090198199</v>
      </c>
      <c r="X14" s="252">
        <f t="shared" si="17"/>
        <v>0.15014241090198199</v>
      </c>
      <c r="Y14" s="248">
        <f t="shared" si="37"/>
        <v>1.7488076311605871E-2</v>
      </c>
      <c r="Z14" s="252">
        <f t="shared" si="18"/>
        <v>1.7488076311605871E-2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VLOOKUP($A14,historia!$A$5:$DD$24,+HLOOKUP(AP$2,historia!$A$3:$EC$4,2,FALSE),FALSE)</f>
        <v>3</v>
      </c>
      <c r="AQ14" s="28">
        <f>VLOOKUP($A14,historia!$A$5:$DD$24,+HLOOKUP(AQ$2,historia!$A$3:$EC$4,2,FALSE),FALSE)</f>
        <v>3</v>
      </c>
      <c r="AR14" s="28">
        <f>VLOOKUP($A14,historia!$A$5:$DD$24,+HLOOKUP(AR$2,historia!$A$3:$EC$4,2,FALSE),FALSE)</f>
        <v>3</v>
      </c>
      <c r="AS14" s="28">
        <f>VLOOKUP($A14,historia!$A$5:$DD$24,+HLOOKUP(AS$2,historia!$A$3:$EC$4,2,FALSE),FALSE)</f>
        <v>3</v>
      </c>
      <c r="AT14" s="58">
        <f>VLOOKUP($A14,historia!$A$5:$DD$24,+HLOOKUP(AT$2,historia!$A$3:$EC$4,2,FALSE),FALSE)</f>
        <v>3</v>
      </c>
      <c r="AU14" s="58">
        <f>VLOOKUP($A14,historia!$A$5:$DD$24,+HLOOKUP(AU$2,historia!$A$3:$EC$4,2,FALSE),FALSE)</f>
        <v>4</v>
      </c>
      <c r="AV14" s="58">
        <f>VLOOKUP($A14,historia!$A$5:$DD$24,+HLOOKUP(AV$2,historia!$A$3:$EC$4,2,FALSE),FALSE)</f>
        <v>4</v>
      </c>
      <c r="AW14" s="58">
        <f>VLOOKUP($A14,historia!$A$5:$DD$24,+HLOOKUP(AW$2,historia!$A$3:$EC$4,2,FALSE),FALSE)</f>
        <v>4</v>
      </c>
      <c r="AX14" s="58">
        <f>VLOOKUP($A14,historia!$A$5:$DD$24,+HLOOKUP(AX$2,historia!$A$3:$EC$4,2,FALSE),FALSE)</f>
        <v>4</v>
      </c>
      <c r="AY14" s="58">
        <f>VLOOKUP($A14,historia!$A$5:$DD$24,+HLOOKUP(AY$2,historia!$A$3:$EC$4,2,FALSE),FALSE)</f>
        <v>4</v>
      </c>
      <c r="AZ14" s="58">
        <f>VLOOKUP($A14,historia!$A$5:$DD$24,+HLOOKUP(AZ$2,historia!$A$3:$EC$4,2,FALSE),FALSE)</f>
        <v>4</v>
      </c>
      <c r="BA14" s="58">
        <f>VLOOKUP($A14,historia!$A$5:$DG$24,+HLOOKUP(BA$2,historia!$A$3:$EC$4,2,FALSE),FALSE)</f>
        <v>4</v>
      </c>
      <c r="BB14" s="58"/>
      <c r="BC14" s="286">
        <v>4</v>
      </c>
      <c r="BD14" t="str">
        <f t="shared" si="19"/>
        <v>Leche</v>
      </c>
      <c r="BE14">
        <f>+datos!BN1</f>
        <v>66</v>
      </c>
      <c r="BF14" s="2" t="str">
        <f t="shared" si="4"/>
        <v>$/l</v>
      </c>
      <c r="BG14" s="487">
        <f t="shared" si="4"/>
        <v>527.47</v>
      </c>
      <c r="BH14" s="487">
        <f t="shared" si="4"/>
        <v>518.16</v>
      </c>
      <c r="BI14" s="487">
        <f t="shared" si="4"/>
        <v>473.26</v>
      </c>
      <c r="BK14" s="1">
        <f>+datos!EN1</f>
        <v>144</v>
      </c>
      <c r="BL14" s="1">
        <f t="shared" si="20"/>
        <v>3062718</v>
      </c>
      <c r="BM14" s="1">
        <f t="shared" si="20"/>
        <v>2921701</v>
      </c>
      <c r="BO14" s="1">
        <f>+datos!HP1</f>
        <v>224</v>
      </c>
      <c r="BP14" s="1">
        <f t="shared" si="21"/>
        <v>11915.17884793068</v>
      </c>
      <c r="BQ14" s="1">
        <f t="shared" si="21"/>
        <v>11246.450011999999</v>
      </c>
      <c r="BS14" s="1">
        <f>+datos!KH1</f>
        <v>294</v>
      </c>
      <c r="BT14" s="1">
        <f t="shared" si="38"/>
        <v>2003.7491080000002</v>
      </c>
      <c r="BU14" s="1">
        <f t="shared" si="39"/>
        <v>1683.1257985600002</v>
      </c>
      <c r="BW14" s="1">
        <f>+datos!LM1</f>
        <v>325</v>
      </c>
      <c r="BX14" s="2">
        <f t="shared" si="22"/>
        <v>29.078300819999999</v>
      </c>
      <c r="BY14" s="2">
        <f t="shared" si="23"/>
        <v>25.282348120000005</v>
      </c>
      <c r="CA14" s="1">
        <f>+datos!IN1</f>
        <v>248</v>
      </c>
      <c r="CB14" s="1">
        <f t="shared" si="24"/>
        <v>192</v>
      </c>
      <c r="CC14" s="1">
        <f t="shared" si="25"/>
        <v>188.7</v>
      </c>
      <c r="CD14" s="1"/>
      <c r="CE14">
        <f>+datos!DC1</f>
        <v>107</v>
      </c>
      <c r="CF14" s="2">
        <f t="shared" si="26"/>
        <v>14697.320019053459</v>
      </c>
      <c r="CG14" s="2">
        <f t="shared" si="26"/>
        <v>13913.741278844005</v>
      </c>
      <c r="CH14" s="2">
        <f t="shared" si="26"/>
        <v>11213.278729002963</v>
      </c>
      <c r="CI14" s="1"/>
      <c r="CK14" s="1">
        <f t="shared" si="27"/>
        <v>150.54991172000004</v>
      </c>
      <c r="CL14" s="1">
        <f t="shared" si="27"/>
        <v>169.98133484999997</v>
      </c>
      <c r="CM14" s="1">
        <f t="shared" si="27"/>
        <v>138.91731654</v>
      </c>
      <c r="CN14" s="1">
        <f t="shared" si="27"/>
        <v>134.67876954000002</v>
      </c>
      <c r="CO14" s="1">
        <f t="shared" si="27"/>
        <v>152.49764859000004</v>
      </c>
      <c r="CP14" s="1">
        <f t="shared" si="27"/>
        <v>139.65871150000001</v>
      </c>
      <c r="CQ14" s="1">
        <f t="shared" si="27"/>
        <v>160.91833684000002</v>
      </c>
      <c r="CR14" s="1">
        <f t="shared" si="27"/>
        <v>210.79864256000005</v>
      </c>
      <c r="CS14" s="1">
        <f t="shared" si="27"/>
        <v>166.84903940999999</v>
      </c>
      <c r="CT14" s="1">
        <f t="shared" si="27"/>
        <v>210.64847638000006</v>
      </c>
      <c r="CU14" s="1">
        <f t="shared" si="27"/>
        <v>202.06812983999998</v>
      </c>
      <c r="CV14" s="1">
        <f t="shared" si="27"/>
        <v>166.18279023000005</v>
      </c>
      <c r="CW14" s="1">
        <f t="shared" si="27"/>
        <v>145.54293837</v>
      </c>
      <c r="CX14" s="1">
        <f t="shared" si="27"/>
        <v>161.52973046</v>
      </c>
      <c r="CY14" s="1">
        <f t="shared" si="27"/>
        <v>135.14119298</v>
      </c>
      <c r="CZ14" s="1">
        <f t="shared" si="27"/>
        <v>121.87302321000003</v>
      </c>
      <c r="DA14" s="1">
        <f t="shared" si="28"/>
        <v>90.118424640000015</v>
      </c>
      <c r="DB14" s="1">
        <f t="shared" si="28"/>
        <v>158.22857195999995</v>
      </c>
      <c r="DC14" s="1">
        <f t="shared" si="28"/>
        <v>133.12937443000001</v>
      </c>
      <c r="DD14" s="1">
        <f t="shared" si="28"/>
        <v>150.81206259999999</v>
      </c>
      <c r="DE14" s="1">
        <f t="shared" si="28"/>
        <v>173.78517034999999</v>
      </c>
      <c r="DF14" s="1">
        <f t="shared" si="28"/>
        <v>162.27196751000002</v>
      </c>
      <c r="DG14" s="1">
        <f t="shared" si="28"/>
        <v>136.36151781000004</v>
      </c>
      <c r="DH14" s="1">
        <f t="shared" si="28"/>
        <v>114.33182424</v>
      </c>
      <c r="DJ14" s="1">
        <f t="shared" si="29"/>
        <v>3.9316081499999997</v>
      </c>
      <c r="DK14" s="1">
        <f t="shared" si="29"/>
        <v>3.2827755199999999</v>
      </c>
      <c r="DL14" s="1">
        <f t="shared" si="29"/>
        <v>2.0152277500000002</v>
      </c>
      <c r="DM14" s="1">
        <f t="shared" si="29"/>
        <v>2.6208630999999998</v>
      </c>
      <c r="DN14" s="1">
        <f t="shared" si="29"/>
        <v>2.2584035399999993</v>
      </c>
      <c r="DO14" s="1">
        <f t="shared" si="29"/>
        <v>2.0159010200000003</v>
      </c>
      <c r="DP14" s="1">
        <f t="shared" si="29"/>
        <v>2.4748885299999999</v>
      </c>
      <c r="DQ14" s="1">
        <f t="shared" si="29"/>
        <v>1.7114282299999999</v>
      </c>
      <c r="DR14" s="1">
        <f t="shared" si="29"/>
        <v>1.7294343599999999</v>
      </c>
      <c r="DS14" s="1">
        <f t="shared" si="29"/>
        <v>2.2980596799999997</v>
      </c>
      <c r="DT14" s="1">
        <f t="shared" si="29"/>
        <v>2.7814752500000006</v>
      </c>
      <c r="DU14" s="1">
        <f t="shared" si="29"/>
        <v>1.95823569</v>
      </c>
      <c r="DV14" s="1">
        <f t="shared" si="29"/>
        <v>2.3716850700000007</v>
      </c>
      <c r="DW14" s="1">
        <f t="shared" si="29"/>
        <v>3.2200157200000006</v>
      </c>
      <c r="DX14" s="1">
        <f t="shared" si="29"/>
        <v>2.3449699800000001</v>
      </c>
      <c r="DY14" s="1">
        <f t="shared" si="29"/>
        <v>1.8496573299999999</v>
      </c>
      <c r="DZ14" s="1">
        <f t="shared" si="30"/>
        <v>2.6840408</v>
      </c>
      <c r="EA14" s="1">
        <f t="shared" si="30"/>
        <v>2.90139879</v>
      </c>
      <c r="EB14" s="1">
        <f t="shared" si="30"/>
        <v>2.9139955600000005</v>
      </c>
      <c r="EC14" s="1">
        <f t="shared" si="30"/>
        <v>1.6254967600000001</v>
      </c>
      <c r="ED14" s="1">
        <f t="shared" si="30"/>
        <v>2.6289957100000003</v>
      </c>
      <c r="EE14" s="1">
        <f t="shared" si="30"/>
        <v>0.92402921999999987</v>
      </c>
      <c r="EF14" s="1">
        <f t="shared" si="30"/>
        <v>1.0080099199999999</v>
      </c>
      <c r="EG14" s="1">
        <f t="shared" si="30"/>
        <v>0.81005326000000022</v>
      </c>
      <c r="EI14" s="14">
        <f t="shared" si="40"/>
        <v>192</v>
      </c>
      <c r="EJ14" s="14">
        <f t="shared" si="40"/>
        <v>192.6</v>
      </c>
      <c r="EK14" s="1">
        <f t="shared" si="40"/>
        <v>192.3</v>
      </c>
      <c r="EL14" s="1">
        <f t="shared" si="40"/>
        <v>196.9</v>
      </c>
      <c r="EM14" s="1">
        <f t="shared" si="40"/>
        <v>205</v>
      </c>
      <c r="EN14" s="1">
        <f t="shared" si="40"/>
        <v>198.5</v>
      </c>
      <c r="EO14" s="1">
        <f t="shared" si="40"/>
        <v>200</v>
      </c>
      <c r="EP14" s="1">
        <f t="shared" si="40"/>
        <v>181.1</v>
      </c>
      <c r="EQ14" s="1">
        <f t="shared" si="40"/>
        <v>182.5</v>
      </c>
      <c r="ER14" s="1">
        <f t="shared" si="40"/>
        <v>179.9</v>
      </c>
      <c r="ES14" s="1">
        <f t="shared" si="40"/>
        <v>182.6</v>
      </c>
      <c r="ET14" s="1">
        <f t="shared" si="40"/>
        <v>185.2</v>
      </c>
      <c r="EU14" s="1">
        <f t="shared" si="40"/>
        <v>188.7</v>
      </c>
      <c r="EV14" s="1">
        <f t="shared" si="40"/>
        <v>191.3</v>
      </c>
      <c r="EW14" s="1">
        <f t="shared" si="40"/>
        <v>195.7</v>
      </c>
      <c r="EX14" s="1">
        <f t="shared" si="40"/>
        <v>194.1</v>
      </c>
      <c r="EY14" s="1">
        <f t="shared" si="31"/>
        <v>191</v>
      </c>
      <c r="EZ14" s="1">
        <f t="shared" si="31"/>
        <v>181.1</v>
      </c>
      <c r="FA14" s="1">
        <f t="shared" si="31"/>
        <v>170.3</v>
      </c>
      <c r="FB14" s="1">
        <f t="shared" si="31"/>
        <v>170.9</v>
      </c>
      <c r="FC14" s="1">
        <f t="shared" si="31"/>
        <v>168.7</v>
      </c>
      <c r="FD14" s="1">
        <f t="shared" si="31"/>
        <v>160.6</v>
      </c>
      <c r="FE14" s="1">
        <f t="shared" si="31"/>
        <v>160.6</v>
      </c>
      <c r="FF14" s="1">
        <f t="shared" si="31"/>
        <v>160.6</v>
      </c>
      <c r="FH14" s="162">
        <f t="shared" si="32"/>
        <v>-0.19616082545678482</v>
      </c>
    </row>
    <row r="15" spans="1:164" ht="18.75" customHeight="1">
      <c r="A15" s="244" t="s">
        <v>68</v>
      </c>
      <c r="B15" s="247"/>
      <c r="C15" s="228">
        <v>0</v>
      </c>
      <c r="D15" s="229">
        <v>-1</v>
      </c>
      <c r="E15" s="253">
        <f t="shared" si="6"/>
        <v>-2.2804020270270287E-2</v>
      </c>
      <c r="F15" s="254">
        <f t="shared" si="7"/>
        <v>-4.3941744538132155E-2</v>
      </c>
      <c r="G15" s="253">
        <f t="shared" si="8"/>
        <v>4.9267518003307531E-2</v>
      </c>
      <c r="H15" s="254">
        <f t="shared" si="9"/>
        <v>-7.2071538273577818E-2</v>
      </c>
      <c r="I15" s="253">
        <f t="shared" si="10"/>
        <v>1.3813266797642436</v>
      </c>
      <c r="J15" s="254">
        <f t="shared" si="11"/>
        <v>1.0430698277102757</v>
      </c>
      <c r="K15" s="253">
        <f t="shared" si="12"/>
        <v>0.47132255066932638</v>
      </c>
      <c r="L15" s="254">
        <f t="shared" si="13"/>
        <v>0.91000412909491724</v>
      </c>
      <c r="M15" s="255"/>
      <c r="N15" s="256">
        <v>0</v>
      </c>
      <c r="O15" s="253">
        <f t="shared" si="33"/>
        <v>0</v>
      </c>
      <c r="P15" s="257">
        <f t="shared" si="34"/>
        <v>0</v>
      </c>
      <c r="Q15" s="253">
        <f t="shared" si="14"/>
        <v>0</v>
      </c>
      <c r="R15" s="257">
        <f t="shared" si="35"/>
        <v>0</v>
      </c>
      <c r="S15" s="255"/>
      <c r="T15" s="256">
        <v>-1</v>
      </c>
      <c r="U15" s="253"/>
      <c r="V15" s="258">
        <f t="shared" si="16"/>
        <v>0</v>
      </c>
      <c r="W15" s="253">
        <f t="shared" si="36"/>
        <v>1.9779183067723758</v>
      </c>
      <c r="X15" s="258">
        <f t="shared" si="17"/>
        <v>1.9779183067723758</v>
      </c>
      <c r="Y15" s="253">
        <f t="shared" si="37"/>
        <v>0</v>
      </c>
      <c r="Z15" s="258">
        <f t="shared" si="18"/>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VLOOKUP($A15,historia!$A$5:$DD$24,+HLOOKUP(AP$2,historia!$A$3:$EC$4,2,FALSE),FALSE)</f>
        <v>3</v>
      </c>
      <c r="AQ15" s="28">
        <f>VLOOKUP($A15,historia!$A$5:$DD$24,+HLOOKUP(AQ$2,historia!$A$3:$EC$4,2,FALSE),FALSE)</f>
        <v>3</v>
      </c>
      <c r="AR15" s="28">
        <f>VLOOKUP($A15,historia!$A$5:$DD$24,+HLOOKUP(AR$2,historia!$A$3:$EC$4,2,FALSE),FALSE)</f>
        <v>3</v>
      </c>
      <c r="AS15" s="28">
        <f>VLOOKUP($A15,historia!$A$5:$DD$24,+HLOOKUP(AS$2,historia!$A$3:$EC$4,2,FALSE),FALSE)</f>
        <v>3</v>
      </c>
      <c r="AT15" s="58">
        <f>VLOOKUP($A15,historia!$A$5:$DD$24,+HLOOKUP(AT$2,historia!$A$3:$EC$4,2,FALSE),FALSE)</f>
        <v>3</v>
      </c>
      <c r="AU15" s="58">
        <f>VLOOKUP($A15,historia!$A$5:$DD$24,+HLOOKUP(AU$2,historia!$A$3:$EC$4,2,FALSE),FALSE)</f>
        <v>3</v>
      </c>
      <c r="AV15" s="58">
        <f>VLOOKUP($A15,historia!$A$5:$DD$24,+HLOOKUP(AV$2,historia!$A$3:$EC$4,2,FALSE),FALSE)</f>
        <v>4</v>
      </c>
      <c r="AW15" s="58">
        <f>VLOOKUP($A15,historia!$A$5:$DD$24,+HLOOKUP(AW$2,historia!$A$3:$EC$4,2,FALSE),FALSE)</f>
        <v>4</v>
      </c>
      <c r="AX15" s="58">
        <f>VLOOKUP($A15,historia!$A$5:$DD$24,+HLOOKUP(AX$2,historia!$A$3:$EC$4,2,FALSE),FALSE)</f>
        <v>4</v>
      </c>
      <c r="AY15" s="58">
        <f>VLOOKUP($A15,historia!$A$5:$DD$24,+HLOOKUP(AY$2,historia!$A$3:$EC$4,2,FALSE),FALSE)</f>
        <v>4</v>
      </c>
      <c r="AZ15" s="58">
        <f>VLOOKUP($A15,historia!$A$5:$DD$24,+HLOOKUP(AZ$2,historia!$A$3:$EC$4,2,FALSE),FALSE)</f>
        <v>4</v>
      </c>
      <c r="BA15" s="58">
        <f>VLOOKUP($A15,historia!$A$5:$DG$24,+HLOOKUP(BA$2,historia!$A$3:$EC$4,2,FALSE),FALSE)</f>
        <v>4</v>
      </c>
      <c r="BB15" s="58"/>
      <c r="BC15" s="286">
        <v>4</v>
      </c>
      <c r="BD15" t="str">
        <f t="shared" si="19"/>
        <v>Mandioca</v>
      </c>
      <c r="BE15">
        <f>+datos!AW1</f>
        <v>49</v>
      </c>
      <c r="BF15" s="2" t="str">
        <f t="shared" si="4"/>
        <v>$/bolsa40kg</v>
      </c>
      <c r="BG15" s="2">
        <f t="shared" si="4"/>
        <v>27547.62</v>
      </c>
      <c r="BH15" s="2">
        <f t="shared" si="4"/>
        <v>28190.476190476191</v>
      </c>
      <c r="BI15" s="2">
        <f t="shared" si="4"/>
        <v>11568.181818181818</v>
      </c>
      <c r="BK15" s="1">
        <f>+datos!EY1</f>
        <v>155</v>
      </c>
      <c r="BL15" s="1">
        <f t="shared" si="20"/>
        <v>20031</v>
      </c>
      <c r="BM15" s="1">
        <f t="shared" si="20"/>
        <v>20031</v>
      </c>
      <c r="BO15" s="1">
        <f>+datos!GO1</f>
        <v>197</v>
      </c>
      <c r="BP15" s="1">
        <f t="shared" si="21"/>
        <v>201734</v>
      </c>
      <c r="BQ15" s="1">
        <f t="shared" si="21"/>
        <v>201734</v>
      </c>
      <c r="BS15" s="1">
        <f>+datos!JP1</f>
        <v>276</v>
      </c>
      <c r="BT15" s="1">
        <f t="shared" si="38"/>
        <v>2.5000000000000001E-3</v>
      </c>
      <c r="BU15" s="1">
        <f t="shared" si="39"/>
        <v>0</v>
      </c>
      <c r="BW15" s="1">
        <f>+datos!KU1</f>
        <v>307</v>
      </c>
      <c r="BX15" s="2">
        <f t="shared" si="22"/>
        <v>8.0938400599999998</v>
      </c>
      <c r="BY15" s="2">
        <f t="shared" si="23"/>
        <v>2.71795235</v>
      </c>
      <c r="CA15" s="1">
        <f>+datos!IY1</f>
        <v>259</v>
      </c>
      <c r="CB15" s="1">
        <f t="shared" si="24"/>
        <v>1.88</v>
      </c>
      <c r="CC15" s="1">
        <f t="shared" si="25"/>
        <v>1.88</v>
      </c>
      <c r="CD15" s="1"/>
      <c r="CE15">
        <f>+datos!CJ1</f>
        <v>88</v>
      </c>
      <c r="CF15" s="2">
        <f t="shared" si="26"/>
        <v>15000.712546707029</v>
      </c>
      <c r="CG15" s="2">
        <f t="shared" si="26"/>
        <v>14296.366073784953</v>
      </c>
      <c r="CH15" s="2">
        <f t="shared" si="26"/>
        <v>10195.393620442359</v>
      </c>
      <c r="CI15" s="1"/>
      <c r="CK15" s="1">
        <f t="shared" si="27"/>
        <v>0</v>
      </c>
      <c r="CL15" s="1">
        <f t="shared" si="27"/>
        <v>0</v>
      </c>
      <c r="CM15" s="1">
        <f t="shared" si="27"/>
        <v>0</v>
      </c>
      <c r="CN15" s="1">
        <f t="shared" si="27"/>
        <v>0</v>
      </c>
      <c r="CO15" s="1">
        <f t="shared" si="27"/>
        <v>0</v>
      </c>
      <c r="CP15" s="1">
        <f t="shared" si="27"/>
        <v>0</v>
      </c>
      <c r="CQ15" s="1">
        <f t="shared" si="27"/>
        <v>0</v>
      </c>
      <c r="CR15" s="1">
        <f t="shared" si="27"/>
        <v>2.5000000000000001E-3</v>
      </c>
      <c r="CS15" s="1">
        <f t="shared" si="27"/>
        <v>0</v>
      </c>
      <c r="CT15" s="1">
        <f t="shared" si="27"/>
        <v>0</v>
      </c>
      <c r="CU15" s="1">
        <f t="shared" si="27"/>
        <v>0</v>
      </c>
      <c r="CV15" s="1">
        <f t="shared" si="27"/>
        <v>0</v>
      </c>
      <c r="CW15" s="1">
        <f t="shared" si="27"/>
        <v>0</v>
      </c>
      <c r="CX15" s="1">
        <f t="shared" si="27"/>
        <v>0</v>
      </c>
      <c r="CY15" s="1">
        <f t="shared" si="27"/>
        <v>0</v>
      </c>
      <c r="CZ15" s="1">
        <f t="shared" si="27"/>
        <v>0</v>
      </c>
      <c r="DA15" s="1">
        <f t="shared" si="28"/>
        <v>0</v>
      </c>
      <c r="DB15" s="1">
        <f t="shared" si="28"/>
        <v>0</v>
      </c>
      <c r="DC15" s="1">
        <f t="shared" si="28"/>
        <v>0</v>
      </c>
      <c r="DD15" s="1">
        <f t="shared" si="28"/>
        <v>0</v>
      </c>
      <c r="DE15" s="1">
        <f t="shared" si="28"/>
        <v>0</v>
      </c>
      <c r="DF15" s="1">
        <f t="shared" si="28"/>
        <v>0</v>
      </c>
      <c r="DG15" s="1">
        <f t="shared" si="28"/>
        <v>0</v>
      </c>
      <c r="DH15" s="1">
        <f t="shared" si="28"/>
        <v>0</v>
      </c>
      <c r="DJ15" s="14">
        <f t="shared" si="29"/>
        <v>1.0802067900000001</v>
      </c>
      <c r="DK15" s="14">
        <f t="shared" si="29"/>
        <v>1.4539633799999998</v>
      </c>
      <c r="DL15" s="1">
        <f t="shared" si="29"/>
        <v>1.0932718399999999</v>
      </c>
      <c r="DM15" s="1">
        <f t="shared" si="29"/>
        <v>0.95051858999999994</v>
      </c>
      <c r="DN15" s="1">
        <f t="shared" si="29"/>
        <v>0.85632428999999999</v>
      </c>
      <c r="DO15" s="1">
        <f t="shared" si="29"/>
        <v>0.36896875000000001</v>
      </c>
      <c r="DP15" s="1">
        <f t="shared" si="29"/>
        <v>0.35343590000000003</v>
      </c>
      <c r="DQ15" s="1">
        <f t="shared" si="29"/>
        <v>0.46571231000000002</v>
      </c>
      <c r="DR15" s="1">
        <f t="shared" si="29"/>
        <v>0.27804433999999995</v>
      </c>
      <c r="DS15" s="1">
        <f t="shared" si="29"/>
        <v>0.43603392000000002</v>
      </c>
      <c r="DT15" s="1">
        <f t="shared" si="29"/>
        <v>0.45279353000000006</v>
      </c>
      <c r="DU15" s="1">
        <f t="shared" si="29"/>
        <v>0.30456642</v>
      </c>
      <c r="DV15" s="1">
        <f t="shared" si="29"/>
        <v>0.53543670999999993</v>
      </c>
      <c r="DW15" s="1">
        <f t="shared" si="29"/>
        <v>0.43177300000000002</v>
      </c>
      <c r="DX15" s="1">
        <f t="shared" si="29"/>
        <v>0.33740116000000003</v>
      </c>
      <c r="DY15" s="1">
        <f t="shared" si="29"/>
        <v>0.28762799999999999</v>
      </c>
      <c r="DZ15" s="1">
        <f t="shared" si="30"/>
        <v>0.10344400999999999</v>
      </c>
      <c r="EA15" s="1">
        <f t="shared" si="30"/>
        <v>4.4833160000000004E-2</v>
      </c>
      <c r="EB15" s="1">
        <f t="shared" si="30"/>
        <v>0.14172798</v>
      </c>
      <c r="EC15" s="1">
        <f t="shared" si="30"/>
        <v>7.4560410000000008E-2</v>
      </c>
      <c r="ED15" s="1">
        <f t="shared" si="30"/>
        <v>0.28059129999999999</v>
      </c>
      <c r="EE15" s="1">
        <f t="shared" si="30"/>
        <v>0.15169276000000001</v>
      </c>
      <c r="EF15" s="1">
        <f t="shared" si="30"/>
        <v>0.14711371000000001</v>
      </c>
      <c r="EG15" s="1">
        <f t="shared" si="30"/>
        <v>0.18175015000000003</v>
      </c>
      <c r="EI15" s="14">
        <f t="shared" si="40"/>
        <v>1.88</v>
      </c>
      <c r="EJ15" s="14">
        <f t="shared" si="40"/>
        <v>1.88</v>
      </c>
      <c r="EK15" s="1">
        <f t="shared" si="40"/>
        <v>1.88</v>
      </c>
      <c r="EL15" s="1">
        <f t="shared" si="40"/>
        <v>1.88</v>
      </c>
      <c r="EM15" s="1">
        <f t="shared" si="40"/>
        <v>1.88</v>
      </c>
      <c r="EN15" s="1">
        <f t="shared" si="40"/>
        <v>1.88</v>
      </c>
      <c r="EO15" s="1">
        <f t="shared" si="40"/>
        <v>1.88</v>
      </c>
      <c r="EP15" s="1">
        <f t="shared" si="40"/>
        <v>1.88</v>
      </c>
      <c r="EQ15" s="1">
        <f t="shared" si="40"/>
        <v>1.88</v>
      </c>
      <c r="ER15" s="1">
        <f t="shared" si="40"/>
        <v>1.88</v>
      </c>
      <c r="ES15" s="1">
        <f t="shared" si="40"/>
        <v>1.88</v>
      </c>
      <c r="ET15" s="1">
        <f t="shared" si="40"/>
        <v>1.88</v>
      </c>
      <c r="EU15" s="1">
        <f t="shared" si="40"/>
        <v>1.88</v>
      </c>
      <c r="EV15" s="1">
        <f t="shared" si="40"/>
        <v>1.88</v>
      </c>
      <c r="EW15" s="1">
        <f t="shared" si="40"/>
        <v>1.88</v>
      </c>
      <c r="EX15" s="1">
        <f t="shared" si="40"/>
        <v>1.88</v>
      </c>
      <c r="EY15" s="1">
        <f t="shared" si="31"/>
        <v>1.88</v>
      </c>
      <c r="EZ15" s="1">
        <f t="shared" si="31"/>
        <v>1.88</v>
      </c>
      <c r="FA15" s="1">
        <f t="shared" si="31"/>
        <v>1.88</v>
      </c>
      <c r="FB15" s="1">
        <f t="shared" si="31"/>
        <v>1.88</v>
      </c>
      <c r="FC15" s="1">
        <f t="shared" si="31"/>
        <v>1.88</v>
      </c>
      <c r="FD15" s="1">
        <f t="shared" si="31"/>
        <v>1.88</v>
      </c>
      <c r="FE15" s="1">
        <f t="shared" si="31"/>
        <v>1.88</v>
      </c>
      <c r="FF15" s="1">
        <f t="shared" si="31"/>
        <v>1.88</v>
      </c>
      <c r="FH15" s="162">
        <f t="shared" si="32"/>
        <v>0.91000412909491724</v>
      </c>
    </row>
    <row r="16" spans="1:164" ht="18" customHeight="1">
      <c r="A16" s="243" t="s">
        <v>25</v>
      </c>
      <c r="B16" s="246"/>
      <c r="C16" s="156">
        <f t="shared" si="5"/>
        <v>-0.66</v>
      </c>
      <c r="D16" s="198">
        <v>-1</v>
      </c>
      <c r="E16" s="248">
        <f t="shared" si="6"/>
        <v>3.7048426212410668E-2</v>
      </c>
      <c r="F16" s="249">
        <f t="shared" si="7"/>
        <v>1.59107019445488E-2</v>
      </c>
      <c r="G16" s="248">
        <f t="shared" si="8"/>
        <v>5.3617680836547832E-2</v>
      </c>
      <c r="H16" s="249">
        <f t="shared" si="9"/>
        <v>-1.6569254624137164E-2</v>
      </c>
      <c r="I16" s="248">
        <f t="shared" si="10"/>
        <v>0.41874730431137719</v>
      </c>
      <c r="J16" s="249">
        <f t="shared" si="11"/>
        <v>8.0490452257409251E-2</v>
      </c>
      <c r="K16" s="248">
        <f t="shared" si="12"/>
        <v>0.39920387332279539</v>
      </c>
      <c r="L16" s="249">
        <f t="shared" si="13"/>
        <v>1.95434309885818E-2</v>
      </c>
      <c r="M16" s="250"/>
      <c r="N16" s="24">
        <v>1</v>
      </c>
      <c r="O16" s="248">
        <f t="shared" si="33"/>
        <v>-0.26790476373194172</v>
      </c>
      <c r="P16" s="251">
        <f t="shared" si="34"/>
        <v>-0.26790476373194172</v>
      </c>
      <c r="Q16" s="248">
        <f t="shared" si="14"/>
        <v>-0.30770168394691444</v>
      </c>
      <c r="R16" s="251">
        <f t="shared" si="35"/>
        <v>-0.30770168394691444</v>
      </c>
      <c r="S16" s="250"/>
      <c r="T16" s="24">
        <v>-2</v>
      </c>
      <c r="U16" s="248">
        <f t="shared" si="15"/>
        <v>-8.1903448726447614E-2</v>
      </c>
      <c r="V16" s="252">
        <f t="shared" si="16"/>
        <v>-8.1903448726447614E-2</v>
      </c>
      <c r="W16" s="248">
        <f>IFERROR(+BX16/BY16-1,"")</f>
        <v>-0.39802652079144629</v>
      </c>
      <c r="X16" s="258">
        <f t="shared" si="17"/>
        <v>-0.39802652079144629</v>
      </c>
      <c r="Y16" s="248">
        <f t="shared" si="37"/>
        <v>-4.8908108108108084E-2</v>
      </c>
      <c r="Z16" s="252">
        <f t="shared" si="18"/>
        <v>-4.8908108108108084E-2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VLOOKUP($A16,historia!$A$5:$DD$24,+HLOOKUP(AP$2,historia!$A$3:$EC$4,2,FALSE),FALSE)</f>
        <v>3</v>
      </c>
      <c r="AQ16" s="28">
        <f>VLOOKUP($A16,historia!$A$5:$DD$24,+HLOOKUP(AQ$2,historia!$A$3:$EC$4,2,FALSE),FALSE)</f>
        <v>3</v>
      </c>
      <c r="AR16" s="28">
        <f>VLOOKUP($A16,historia!$A$5:$DD$24,+HLOOKUP(AR$2,historia!$A$3:$EC$4,2,FALSE),FALSE)</f>
        <v>3</v>
      </c>
      <c r="AS16" s="28">
        <f>VLOOKUP($A16,historia!$A$5:$DD$24,+HLOOKUP(AS$2,historia!$A$3:$EC$4,2,FALSE),FALSE)</f>
        <v>3</v>
      </c>
      <c r="AT16" s="58">
        <f>VLOOKUP($A16,historia!$A$5:$DD$24,+HLOOKUP(AT$2,historia!$A$3:$EC$4,2,FALSE),FALSE)</f>
        <v>3</v>
      </c>
      <c r="AU16" s="58">
        <f>VLOOKUP($A16,historia!$A$5:$DD$24,+HLOOKUP(AU$2,historia!$A$3:$EC$4,2,FALSE),FALSE)</f>
        <v>4</v>
      </c>
      <c r="AV16" s="58">
        <f>VLOOKUP($A16,historia!$A$5:$DD$24,+HLOOKUP(AV$2,historia!$A$3:$EC$4,2,FALSE),FALSE)</f>
        <v>4</v>
      </c>
      <c r="AW16" s="58">
        <f>VLOOKUP($A16,historia!$A$5:$DD$24,+HLOOKUP(AW$2,historia!$A$3:$EC$4,2,FALSE),FALSE)</f>
        <v>4</v>
      </c>
      <c r="AX16" s="58">
        <f>VLOOKUP($A16,historia!$A$5:$DD$24,+HLOOKUP(AX$2,historia!$A$3:$EC$4,2,FALSE),FALSE)</f>
        <v>4</v>
      </c>
      <c r="AY16" s="58">
        <f>VLOOKUP($A16,historia!$A$5:$DD$24,+HLOOKUP(AY$2,historia!$A$3:$EC$4,2,FALSE),FALSE)</f>
        <v>4</v>
      </c>
      <c r="AZ16" s="58">
        <f>VLOOKUP($A16,historia!$A$5:$DD$24,+HLOOKUP(AZ$2,historia!$A$3:$EC$4,2,FALSE),FALSE)</f>
        <v>3</v>
      </c>
      <c r="BA16" s="58">
        <f>VLOOKUP($A16,historia!$A$5:$DG$24,+HLOOKUP(BA$2,historia!$A$3:$EC$4,2,FALSE),FALSE)</f>
        <v>4</v>
      </c>
      <c r="BB16" s="58"/>
      <c r="BC16" s="286">
        <v>4</v>
      </c>
      <c r="BD16" t="str">
        <f t="shared" si="19"/>
        <v>Maní</v>
      </c>
      <c r="BE16">
        <f>+datos!AF1</f>
        <v>32</v>
      </c>
      <c r="BF16" s="2" t="str">
        <f t="shared" si="4"/>
        <v>$/t</v>
      </c>
      <c r="BG16" s="2">
        <f t="shared" si="4"/>
        <v>987370.52952380932</v>
      </c>
      <c r="BH16" s="2">
        <f t="shared" si="4"/>
        <v>952096.84</v>
      </c>
      <c r="BI16" s="2">
        <f t="shared" si="4"/>
        <v>695945.30789473688</v>
      </c>
      <c r="BK16" s="1">
        <f>+datos!EB1</f>
        <v>132</v>
      </c>
      <c r="BL16" s="1">
        <f t="shared" si="20"/>
        <v>381590</v>
      </c>
      <c r="BM16" s="1">
        <f t="shared" si="20"/>
        <v>521230</v>
      </c>
      <c r="BO16" s="1">
        <f>+datos!FW1</f>
        <v>179</v>
      </c>
      <c r="BP16" s="1">
        <f t="shared" si="21"/>
        <v>1311996</v>
      </c>
      <c r="BQ16" s="1">
        <f t="shared" si="21"/>
        <v>1895131</v>
      </c>
      <c r="BS16" s="1">
        <f>+datos!JK1</f>
        <v>271</v>
      </c>
      <c r="BT16" s="1">
        <f t="shared" si="38"/>
        <v>1372.8327094399999</v>
      </c>
      <c r="BU16" s="1">
        <f t="shared" si="39"/>
        <v>1495.3031982699999</v>
      </c>
      <c r="BW16" s="1">
        <f>+datos!KP1</f>
        <v>302</v>
      </c>
      <c r="BX16" s="2">
        <f t="shared" si="22"/>
        <v>1.05817651</v>
      </c>
      <c r="BY16" s="2">
        <f t="shared" si="23"/>
        <v>1.7578457300000001</v>
      </c>
      <c r="CA16" s="1">
        <f>+datos!IJ1</f>
        <v>244</v>
      </c>
      <c r="CB16" s="2">
        <f t="shared" si="24"/>
        <v>2.2719760013883494</v>
      </c>
      <c r="CC16" s="2">
        <f t="shared" si="25"/>
        <v>2.3888080854826579</v>
      </c>
      <c r="CD16" s="1"/>
      <c r="CE16">
        <f>+datos!CH1</f>
        <v>86</v>
      </c>
      <c r="CF16" s="2">
        <f t="shared" si="26"/>
        <v>15196.613049313208</v>
      </c>
      <c r="CG16" s="2">
        <f t="shared" si="26"/>
        <v>14423.270723064794</v>
      </c>
      <c r="CH16" s="2">
        <f t="shared" si="26"/>
        <v>10860.899786694172</v>
      </c>
      <c r="CI16" s="1"/>
      <c r="CK16" s="1">
        <f t="shared" si="27"/>
        <v>93.723499819999986</v>
      </c>
      <c r="CL16" s="1">
        <f t="shared" si="27"/>
        <v>103.15800954999999</v>
      </c>
      <c r="CM16" s="1">
        <f t="shared" si="27"/>
        <v>126.60490711</v>
      </c>
      <c r="CN16" s="1">
        <f t="shared" si="27"/>
        <v>100.29180120999997</v>
      </c>
      <c r="CO16" s="1">
        <f t="shared" si="27"/>
        <v>125.25923582999999</v>
      </c>
      <c r="CP16" s="1">
        <f t="shared" si="27"/>
        <v>89.696667719999979</v>
      </c>
      <c r="CQ16" s="1">
        <f t="shared" si="27"/>
        <v>106.44432842999998</v>
      </c>
      <c r="CR16" s="1">
        <f t="shared" si="27"/>
        <v>109.63040427999998</v>
      </c>
      <c r="CS16" s="1">
        <f t="shared" si="27"/>
        <v>107.51173679000001</v>
      </c>
      <c r="CT16" s="1">
        <f t="shared" si="27"/>
        <v>153.65977728999999</v>
      </c>
      <c r="CU16" s="1">
        <f t="shared" si="27"/>
        <v>137.05460552</v>
      </c>
      <c r="CV16" s="1">
        <f t="shared" si="27"/>
        <v>119.79773589000003</v>
      </c>
      <c r="CW16" s="1">
        <f t="shared" si="27"/>
        <v>108.38462631999997</v>
      </c>
      <c r="CX16" s="1">
        <f t="shared" si="27"/>
        <v>110.53778464999999</v>
      </c>
      <c r="CY16" s="1">
        <f t="shared" si="27"/>
        <v>97.139552130000013</v>
      </c>
      <c r="CZ16" s="1">
        <f t="shared" si="27"/>
        <v>94.262180470000018</v>
      </c>
      <c r="DA16" s="1">
        <f t="shared" si="28"/>
        <v>104.16408064999997</v>
      </c>
      <c r="DB16" s="1">
        <f t="shared" si="28"/>
        <v>129.66034791999999</v>
      </c>
      <c r="DC16" s="1">
        <f t="shared" si="28"/>
        <v>100.29183523999998</v>
      </c>
      <c r="DD16" s="1">
        <f t="shared" si="28"/>
        <v>142.99991008000001</v>
      </c>
      <c r="DE16" s="1">
        <f t="shared" si="28"/>
        <v>153.43391492999999</v>
      </c>
      <c r="DF16" s="1">
        <f t="shared" si="28"/>
        <v>142.09253510999997</v>
      </c>
      <c r="DG16" s="1">
        <f t="shared" si="28"/>
        <v>155.33708399000002</v>
      </c>
      <c r="DH16" s="1">
        <f t="shared" si="28"/>
        <v>156.99934678</v>
      </c>
      <c r="DJ16" s="1">
        <f t="shared" si="29"/>
        <v>0.37488668999999997</v>
      </c>
      <c r="DK16" s="1">
        <f t="shared" si="29"/>
        <v>3.7511610000000001E-2</v>
      </c>
      <c r="DL16" s="1">
        <f t="shared" si="29"/>
        <v>2.3628E-3</v>
      </c>
      <c r="DM16" s="1">
        <f t="shared" si="29"/>
        <v>1.1297919999999999E-2</v>
      </c>
      <c r="DN16" s="1">
        <f t="shared" si="29"/>
        <v>7.5985750000000005E-2</v>
      </c>
      <c r="DO16" s="1">
        <f t="shared" si="29"/>
        <v>3.3E-4</v>
      </c>
      <c r="DP16" s="1">
        <f t="shared" si="29"/>
        <v>3.5242930000000006E-2</v>
      </c>
      <c r="DQ16" s="1">
        <f t="shared" si="29"/>
        <v>4.2275489999999999E-2</v>
      </c>
      <c r="DR16" s="1">
        <f t="shared" si="29"/>
        <v>2.1048300000000002E-3</v>
      </c>
      <c r="DS16" s="1">
        <f t="shared" si="29"/>
        <v>9.9999999999999995E-7</v>
      </c>
      <c r="DT16" s="1">
        <f t="shared" si="29"/>
        <v>0.27773459</v>
      </c>
      <c r="DU16" s="1">
        <f t="shared" si="29"/>
        <v>0.19844290000000001</v>
      </c>
      <c r="DV16" s="1">
        <f t="shared" si="29"/>
        <v>0.14424532000000001</v>
      </c>
      <c r="DW16" s="1">
        <f t="shared" si="29"/>
        <v>5.4312239999999998E-2</v>
      </c>
      <c r="DX16" s="1">
        <f t="shared" si="29"/>
        <v>1.9420499999999999E-3</v>
      </c>
      <c r="DY16" s="1">
        <f t="shared" si="29"/>
        <v>1.0560452</v>
      </c>
      <c r="DZ16" s="1">
        <f t="shared" si="30"/>
        <v>3.8992409999999998E-2</v>
      </c>
      <c r="EA16" s="1">
        <f t="shared" si="30"/>
        <v>0</v>
      </c>
      <c r="EB16" s="1">
        <f t="shared" si="30"/>
        <v>5.2225250000000001E-2</v>
      </c>
      <c r="EC16" s="1">
        <f t="shared" si="30"/>
        <v>0.22862400000000002</v>
      </c>
      <c r="ED16" s="1">
        <f t="shared" si="30"/>
        <v>2.6527899999999999E-3</v>
      </c>
      <c r="EE16" s="1">
        <f t="shared" si="30"/>
        <v>1.6271E-3</v>
      </c>
      <c r="EF16" s="1">
        <f t="shared" si="30"/>
        <v>0.13444175</v>
      </c>
      <c r="EG16" s="1">
        <f t="shared" si="30"/>
        <v>4.2737620000000004E-2</v>
      </c>
      <c r="EI16" s="14">
        <f t="shared" si="40"/>
        <v>2.2719760013883494</v>
      </c>
      <c r="EJ16" s="14">
        <f t="shared" si="40"/>
        <v>2.2719760013883494</v>
      </c>
      <c r="EK16" s="1">
        <f t="shared" si="40"/>
        <v>2.2719760013883494</v>
      </c>
      <c r="EL16" s="1">
        <f t="shared" si="40"/>
        <v>2.2719760013883494</v>
      </c>
      <c r="EM16" s="1">
        <f t="shared" si="40"/>
        <v>2.2719760013883494</v>
      </c>
      <c r="EN16" s="1">
        <f t="shared" si="40"/>
        <v>2.2719760013883494</v>
      </c>
      <c r="EO16" s="1">
        <f t="shared" si="40"/>
        <v>2.4791954184468667</v>
      </c>
      <c r="EP16" s="1">
        <f t="shared" si="40"/>
        <v>2.4791954184468667</v>
      </c>
      <c r="EQ16" s="1">
        <f t="shared" si="40"/>
        <v>2.4791954184468667</v>
      </c>
      <c r="ER16" s="1">
        <f t="shared" si="40"/>
        <v>2.4791954184468667</v>
      </c>
      <c r="ES16" s="1">
        <f t="shared" si="40"/>
        <v>2.3888080854826579</v>
      </c>
      <c r="ET16" s="1">
        <f t="shared" si="40"/>
        <v>2.3888080854826579</v>
      </c>
      <c r="EU16" s="1">
        <f t="shared" si="40"/>
        <v>2.3888080854826579</v>
      </c>
      <c r="EV16" s="1">
        <f t="shared" si="40"/>
        <v>2.3888080854826579</v>
      </c>
      <c r="EW16" s="1">
        <f t="shared" si="40"/>
        <v>2.3888080854826579</v>
      </c>
      <c r="EX16" s="1">
        <f t="shared" si="40"/>
        <v>2.3888080854826579</v>
      </c>
      <c r="EY16" s="1">
        <f t="shared" si="31"/>
        <v>2.1563835150032644</v>
      </c>
      <c r="EZ16" s="1">
        <f t="shared" si="31"/>
        <v>2.1563835150032644</v>
      </c>
      <c r="FA16" s="1">
        <f t="shared" si="31"/>
        <v>2.1563835150032644</v>
      </c>
      <c r="FB16" s="1">
        <f t="shared" si="31"/>
        <v>2.1563835150032644</v>
      </c>
      <c r="FC16" s="1">
        <f t="shared" si="31"/>
        <v>2.1563835150032644</v>
      </c>
      <c r="FD16" s="1">
        <f t="shared" si="31"/>
        <v>2.1563835150032644</v>
      </c>
      <c r="FE16" s="1">
        <f t="shared" si="31"/>
        <v>2.1563835150032644</v>
      </c>
      <c r="FF16" s="1">
        <f t="shared" si="31"/>
        <v>2.1563835150032644</v>
      </c>
      <c r="FH16" s="162">
        <f t="shared" si="32"/>
        <v>1.95434309885818E-2</v>
      </c>
    </row>
    <row r="17" spans="1:164" ht="18.75" customHeight="1">
      <c r="A17" s="244" t="s">
        <v>76</v>
      </c>
      <c r="B17" s="247"/>
      <c r="C17" s="228">
        <f t="shared" si="5"/>
        <v>-0.99</v>
      </c>
      <c r="D17" s="229">
        <v>-1</v>
      </c>
      <c r="E17" s="253">
        <f t="shared" si="6"/>
        <v>7.2227873855544189E-2</v>
      </c>
      <c r="F17" s="254">
        <f t="shared" si="7"/>
        <v>5.1090149587682321E-2</v>
      </c>
      <c r="G17" s="253">
        <f t="shared" si="8"/>
        <v>5.5958205228600733E-2</v>
      </c>
      <c r="H17" s="254">
        <f t="shared" si="9"/>
        <v>1.6269668626943457E-2</v>
      </c>
      <c r="I17" s="253">
        <f t="shared" si="10"/>
        <v>0.64174454828660443</v>
      </c>
      <c r="J17" s="254">
        <f t="shared" si="11"/>
        <v>0.30348769623263649</v>
      </c>
      <c r="K17" s="253">
        <f t="shared" si="12"/>
        <v>0.37642483657812043</v>
      </c>
      <c r="L17" s="254">
        <f t="shared" si="13"/>
        <v>0.26531971170848401</v>
      </c>
      <c r="M17" s="255"/>
      <c r="N17" s="256">
        <v>-1</v>
      </c>
      <c r="O17" s="253">
        <f>IFERROR(+BL17/BM17-1,"")</f>
        <v>0</v>
      </c>
      <c r="P17" s="257">
        <f t="shared" si="34"/>
        <v>0</v>
      </c>
      <c r="Q17" s="253">
        <f t="shared" si="14"/>
        <v>0</v>
      </c>
      <c r="R17" s="257">
        <f t="shared" si="35"/>
        <v>0</v>
      </c>
      <c r="S17" s="255"/>
      <c r="T17" s="256">
        <v>-1</v>
      </c>
      <c r="U17" s="253">
        <f t="shared" si="15"/>
        <v>0.38500217026537809</v>
      </c>
      <c r="V17" s="258">
        <f t="shared" si="16"/>
        <v>0.38500217026537809</v>
      </c>
      <c r="W17" s="248">
        <f>IFERROR(+BX17/BY17-1,"")</f>
        <v>8.0439350228086486</v>
      </c>
      <c r="X17" s="258">
        <f t="shared" si="17"/>
        <v>8.0439350228086486</v>
      </c>
      <c r="Y17" s="253">
        <f t="shared" si="37"/>
        <v>0</v>
      </c>
      <c r="Z17" s="258">
        <f t="shared" si="18"/>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VLOOKUP($A17,historia!$A$5:$DD$24,+HLOOKUP(AP$2,historia!$A$3:$EC$4,2,FALSE),FALSE)</f>
        <v>3</v>
      </c>
      <c r="AQ17" s="28">
        <f>VLOOKUP($A17,historia!$A$5:$DD$24,+HLOOKUP(AQ$2,historia!$A$3:$EC$4,2,FALSE),FALSE)</f>
        <v>3</v>
      </c>
      <c r="AR17" s="28">
        <f>VLOOKUP($A17,historia!$A$5:$DD$24,+HLOOKUP(AR$2,historia!$A$3:$EC$4,2,FALSE),FALSE)</f>
        <v>2</v>
      </c>
      <c r="AS17" s="28">
        <f>VLOOKUP($A17,historia!$A$5:$DD$24,+HLOOKUP(AS$2,historia!$A$3:$EC$4,2,FALSE),FALSE)</f>
        <v>2</v>
      </c>
      <c r="AT17" s="58">
        <f>VLOOKUP($A17,historia!$A$5:$DD$24,+HLOOKUP(AT$2,historia!$A$3:$EC$4,2,FALSE),FALSE)</f>
        <v>2</v>
      </c>
      <c r="AU17" s="58">
        <f>VLOOKUP($A17,historia!$A$5:$DD$24,+HLOOKUP(AU$2,historia!$A$3:$EC$4,2,FALSE),FALSE)</f>
        <v>2</v>
      </c>
      <c r="AV17" s="58">
        <f>VLOOKUP($A17,historia!$A$5:$DD$24,+HLOOKUP(AV$2,historia!$A$3:$EC$4,2,FALSE),FALSE)</f>
        <v>2</v>
      </c>
      <c r="AW17" s="58">
        <f>VLOOKUP($A17,historia!$A$5:$DD$24,+HLOOKUP(AW$2,historia!$A$3:$EC$4,2,FALSE),FALSE)</f>
        <v>2</v>
      </c>
      <c r="AX17" s="58">
        <f>VLOOKUP($A17,historia!$A$5:$DD$24,+HLOOKUP(AX$2,historia!$A$3:$EC$4,2,FALSE),FALSE)</f>
        <v>2</v>
      </c>
      <c r="AY17" s="58">
        <f>VLOOKUP($A17,historia!$A$5:$DD$24,+HLOOKUP(AY$2,historia!$A$3:$EC$4,2,FALSE),FALSE)</f>
        <v>2</v>
      </c>
      <c r="AZ17" s="58">
        <f>VLOOKUP($A17,historia!$A$5:$DD$24,+HLOOKUP(AZ$2,historia!$A$3:$EC$4,2,FALSE),FALSE)</f>
        <v>2</v>
      </c>
      <c r="BA17" s="58">
        <f>VLOOKUP($A17,historia!$A$5:$DG$24,+HLOOKUP(BA$2,historia!$A$3:$EC$4,2,FALSE),FALSE)</f>
        <v>2</v>
      </c>
      <c r="BB17" s="58"/>
      <c r="BC17" s="286">
        <v>2</v>
      </c>
      <c r="BD17" t="str">
        <f t="shared" si="19"/>
        <v>Miel</v>
      </c>
      <c r="BE17">
        <f>+datos!BV1</f>
        <v>74</v>
      </c>
      <c r="BF17" s="2" t="str">
        <f t="shared" si="4"/>
        <v>$/kg</v>
      </c>
      <c r="BG17" s="2">
        <f t="shared" si="4"/>
        <v>3162</v>
      </c>
      <c r="BH17" s="2">
        <f t="shared" si="4"/>
        <v>2949</v>
      </c>
      <c r="BI17" s="2">
        <f t="shared" si="4"/>
        <v>1926</v>
      </c>
      <c r="BK17" s="1">
        <f>+datos!EQ1</f>
        <v>147</v>
      </c>
      <c r="BL17" s="1">
        <f t="shared" si="20"/>
        <v>4000000</v>
      </c>
      <c r="BM17" s="1">
        <f t="shared" si="20"/>
        <v>4000000</v>
      </c>
      <c r="BO17" s="1">
        <f>+datos!GP1</f>
        <v>198</v>
      </c>
      <c r="BP17" s="1">
        <f t="shared" si="21"/>
        <v>75000</v>
      </c>
      <c r="BQ17" s="1">
        <f t="shared" si="21"/>
        <v>75000</v>
      </c>
      <c r="BS17" s="1">
        <f>+datos!KE1</f>
        <v>291</v>
      </c>
      <c r="BT17" s="1">
        <f t="shared" si="38"/>
        <v>320.90619102999995</v>
      </c>
      <c r="BU17" s="1">
        <f t="shared" si="39"/>
        <v>231.70085789000001</v>
      </c>
      <c r="BW17" s="1">
        <f>+datos!LJ1</f>
        <v>322</v>
      </c>
      <c r="BX17" s="2">
        <f t="shared" si="22"/>
        <v>4.9405569999999996E-2</v>
      </c>
      <c r="BY17" s="2">
        <f>+SUM(DV17:EG17)</f>
        <v>5.4628400000000001E-3</v>
      </c>
      <c r="CA17" s="1">
        <f>+datos!IZ1</f>
        <v>260</v>
      </c>
      <c r="CB17" s="2">
        <f t="shared" si="24"/>
        <v>0.3</v>
      </c>
      <c r="CC17" s="2">
        <f t="shared" si="25"/>
        <v>0.3</v>
      </c>
      <c r="CD17" s="2"/>
      <c r="CE17">
        <f>+datos!DH1</f>
        <v>112</v>
      </c>
      <c r="CF17" s="2">
        <f t="shared" si="26"/>
        <v>15117.670981927557</v>
      </c>
      <c r="CG17" s="2">
        <f t="shared" si="26"/>
        <v>14316.542934248788</v>
      </c>
      <c r="CH17" s="2">
        <f t="shared" si="26"/>
        <v>10983.288429690827</v>
      </c>
      <c r="CI17" s="2"/>
      <c r="CK17" s="1">
        <f t="shared" si="27"/>
        <v>27.275616299999996</v>
      </c>
      <c r="CL17" s="1">
        <f t="shared" si="27"/>
        <v>28.449320459999999</v>
      </c>
      <c r="CM17" s="1">
        <f t="shared" si="27"/>
        <v>41.621749510000001</v>
      </c>
      <c r="CN17" s="1">
        <f t="shared" si="27"/>
        <v>42.320391119999996</v>
      </c>
      <c r="CO17" s="1">
        <f t="shared" si="27"/>
        <v>42.687100790000002</v>
      </c>
      <c r="CP17" s="1">
        <f t="shared" si="27"/>
        <v>22.465511939999999</v>
      </c>
      <c r="CQ17" s="1">
        <f t="shared" si="27"/>
        <v>15.491239590000003</v>
      </c>
      <c r="CR17" s="1">
        <f t="shared" si="27"/>
        <v>13.599247020000002</v>
      </c>
      <c r="CS17" s="1">
        <f t="shared" si="27"/>
        <v>18.275047940000004</v>
      </c>
      <c r="CT17" s="1">
        <f t="shared" si="27"/>
        <v>22.033355530000001</v>
      </c>
      <c r="CU17" s="1">
        <f t="shared" si="27"/>
        <v>25.714133060000005</v>
      </c>
      <c r="CV17" s="1">
        <f t="shared" si="27"/>
        <v>20.973477770000002</v>
      </c>
      <c r="CW17" s="1">
        <f t="shared" si="27"/>
        <v>25.565397789999999</v>
      </c>
      <c r="CX17" s="1">
        <f t="shared" si="27"/>
        <v>22.120083830000002</v>
      </c>
      <c r="CY17" s="1">
        <f t="shared" si="27"/>
        <v>25.223589140000001</v>
      </c>
      <c r="CZ17" s="1">
        <f t="shared" si="27"/>
        <v>23.185079629999997</v>
      </c>
      <c r="DA17" s="1">
        <f t="shared" si="28"/>
        <v>18.014525360000007</v>
      </c>
      <c r="DB17" s="1">
        <f t="shared" si="28"/>
        <v>15.906782769999998</v>
      </c>
      <c r="DC17" s="1">
        <f t="shared" si="28"/>
        <v>9.6274282100000015</v>
      </c>
      <c r="DD17" s="1">
        <f t="shared" si="28"/>
        <v>12.184475789999999</v>
      </c>
      <c r="DE17" s="1">
        <f t="shared" si="28"/>
        <v>14.349162859999998</v>
      </c>
      <c r="DF17" s="1">
        <f t="shared" si="28"/>
        <v>24.378519029999993</v>
      </c>
      <c r="DG17" s="1">
        <f t="shared" si="28"/>
        <v>22.211636389999995</v>
      </c>
      <c r="DH17" s="1">
        <f t="shared" si="28"/>
        <v>18.934177090000006</v>
      </c>
      <c r="DJ17" s="1">
        <f t="shared" si="29"/>
        <v>0</v>
      </c>
      <c r="DK17" s="1">
        <f t="shared" si="29"/>
        <v>2.5818E-3</v>
      </c>
      <c r="DL17" s="1">
        <f t="shared" si="29"/>
        <v>0</v>
      </c>
      <c r="DM17" s="1">
        <f t="shared" si="29"/>
        <v>3.6741E-3</v>
      </c>
      <c r="DN17" s="1">
        <f t="shared" si="29"/>
        <v>0</v>
      </c>
      <c r="DO17" s="1">
        <f t="shared" si="29"/>
        <v>0</v>
      </c>
      <c r="DP17" s="1">
        <f t="shared" si="29"/>
        <v>0</v>
      </c>
      <c r="DQ17" s="1">
        <f t="shared" si="29"/>
        <v>2.9789999999999999E-3</v>
      </c>
      <c r="DR17" s="1">
        <f t="shared" si="29"/>
        <v>0</v>
      </c>
      <c r="DS17" s="1">
        <f t="shared" si="29"/>
        <v>0</v>
      </c>
      <c r="DT17" s="1">
        <f t="shared" si="29"/>
        <v>0</v>
      </c>
      <c r="DU17" s="1">
        <f t="shared" si="29"/>
        <v>4.0170669999999999E-2</v>
      </c>
      <c r="DV17" s="1">
        <f t="shared" si="29"/>
        <v>0</v>
      </c>
      <c r="DW17" s="1">
        <f t="shared" si="29"/>
        <v>0</v>
      </c>
      <c r="DX17" s="1">
        <f t="shared" si="29"/>
        <v>1.5264E-3</v>
      </c>
      <c r="DY17" s="1">
        <f t="shared" si="29"/>
        <v>0</v>
      </c>
      <c r="DZ17" s="1">
        <f t="shared" si="30"/>
        <v>0</v>
      </c>
      <c r="EA17" s="1">
        <f t="shared" si="30"/>
        <v>3.5298E-3</v>
      </c>
      <c r="EB17" s="1">
        <f t="shared" si="30"/>
        <v>0</v>
      </c>
      <c r="EC17" s="1">
        <f t="shared" si="30"/>
        <v>0</v>
      </c>
      <c r="ED17" s="1">
        <f t="shared" si="30"/>
        <v>0</v>
      </c>
      <c r="EE17" s="1">
        <f t="shared" si="30"/>
        <v>0</v>
      </c>
      <c r="EF17" s="1">
        <f t="shared" si="30"/>
        <v>4.0664E-4</v>
      </c>
      <c r="EG17" s="1">
        <f t="shared" si="30"/>
        <v>0</v>
      </c>
      <c r="EI17" s="14">
        <f t="shared" si="40"/>
        <v>0.3</v>
      </c>
      <c r="EJ17" s="14">
        <f t="shared" si="40"/>
        <v>0.3</v>
      </c>
      <c r="EK17" s="1">
        <f t="shared" si="40"/>
        <v>0.3</v>
      </c>
      <c r="EL17" s="1">
        <f t="shared" si="40"/>
        <v>0.3</v>
      </c>
      <c r="EM17" s="1">
        <f t="shared" si="40"/>
        <v>0.3</v>
      </c>
      <c r="EN17" s="1">
        <f t="shared" si="40"/>
        <v>0.3</v>
      </c>
      <c r="EO17" s="1">
        <f t="shared" si="40"/>
        <v>0.3</v>
      </c>
      <c r="EP17" s="1">
        <f t="shared" si="40"/>
        <v>0.3</v>
      </c>
      <c r="EQ17" s="1">
        <f t="shared" si="40"/>
        <v>0.3</v>
      </c>
      <c r="ER17" s="1">
        <f t="shared" si="40"/>
        <v>0.3</v>
      </c>
      <c r="ES17" s="1">
        <f t="shared" si="40"/>
        <v>0.3</v>
      </c>
      <c r="ET17" s="1">
        <f t="shared" si="40"/>
        <v>0.3</v>
      </c>
      <c r="EU17" s="1">
        <f t="shared" si="40"/>
        <v>0.3</v>
      </c>
      <c r="EV17" s="1">
        <f t="shared" si="40"/>
        <v>0.3</v>
      </c>
      <c r="EW17" s="1">
        <f t="shared" si="40"/>
        <v>0.3</v>
      </c>
      <c r="EX17" s="1">
        <f t="shared" si="40"/>
        <v>0.3</v>
      </c>
      <c r="EY17" s="1">
        <f t="shared" si="31"/>
        <v>0.3</v>
      </c>
      <c r="EZ17" s="1">
        <f t="shared" si="31"/>
        <v>0.3</v>
      </c>
      <c r="FA17" s="1">
        <f t="shared" si="31"/>
        <v>0.3</v>
      </c>
      <c r="FB17" s="1">
        <f t="shared" si="31"/>
        <v>0.3</v>
      </c>
      <c r="FC17" s="1">
        <f t="shared" si="31"/>
        <v>0.3</v>
      </c>
      <c r="FD17" s="1">
        <f t="shared" si="31"/>
        <v>0.3</v>
      </c>
      <c r="FE17" s="1">
        <f t="shared" si="31"/>
        <v>0.3</v>
      </c>
      <c r="FF17" s="1">
        <f t="shared" si="31"/>
        <v>0.3</v>
      </c>
      <c r="FH17" s="162">
        <f t="shared" si="32"/>
        <v>0.26531971170848401</v>
      </c>
    </row>
    <row r="18" spans="1:164" ht="18.75" customHeight="1">
      <c r="A18" s="243" t="s">
        <v>222</v>
      </c>
      <c r="B18" s="246"/>
      <c r="C18" s="156">
        <f t="shared" si="5"/>
        <v>-0.33</v>
      </c>
      <c r="D18" s="198">
        <v>1</v>
      </c>
      <c r="E18" s="248">
        <f t="shared" si="6"/>
        <v>-2.862438267574996E-2</v>
      </c>
      <c r="F18" s="249">
        <f t="shared" si="7"/>
        <v>-4.9762106943611828E-2</v>
      </c>
      <c r="G18" s="248">
        <f t="shared" si="8"/>
        <v>3.9658199936016159E-2</v>
      </c>
      <c r="H18" s="249">
        <f t="shared" si="9"/>
        <v>-6.8282582611766118E-2</v>
      </c>
      <c r="I18" s="253">
        <f t="shared" si="10"/>
        <v>0.36748353388810084</v>
      </c>
      <c r="J18" s="254">
        <f t="shared" si="11"/>
        <v>2.9226681834132906E-2</v>
      </c>
      <c r="K18" s="248">
        <f t="shared" si="12"/>
        <v>0.35179915437615628</v>
      </c>
      <c r="L18" s="249">
        <f t="shared" si="13"/>
        <v>1.5684379511944568E-2</v>
      </c>
      <c r="M18" s="250"/>
      <c r="N18" s="24">
        <v>-1</v>
      </c>
      <c r="O18" s="248">
        <f t="shared" si="33"/>
        <v>-4.0530677056868303E-2</v>
      </c>
      <c r="P18" s="251">
        <f t="shared" si="34"/>
        <v>-4.0530677056868303E-2</v>
      </c>
      <c r="Q18" s="248">
        <f t="shared" si="14"/>
        <v>-2.8338144037618918E-2</v>
      </c>
      <c r="R18" s="251">
        <f t="shared" si="35"/>
        <v>-2.8338144037618918E-2</v>
      </c>
      <c r="S18" s="250"/>
      <c r="T18" s="24">
        <v>-1</v>
      </c>
      <c r="U18" s="248">
        <f t="shared" si="15"/>
        <v>0.5267236051594697</v>
      </c>
      <c r="V18" s="252">
        <f t="shared" si="16"/>
        <v>0.5267236051594697</v>
      </c>
      <c r="W18" s="248">
        <f t="shared" si="36"/>
        <v>-0.12451271873297554</v>
      </c>
      <c r="X18" s="252">
        <f t="shared" si="17"/>
        <v>-0.12451271873297554</v>
      </c>
      <c r="Y18" s="248">
        <f t="shared" si="37"/>
        <v>0</v>
      </c>
      <c r="Z18" s="252">
        <f t="shared" si="18"/>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VLOOKUP($A18,historia!$A$5:$DD$24,+HLOOKUP(AP$2,historia!$A$3:$EC$4,2,FALSE),FALSE)</f>
        <v>2</v>
      </c>
      <c r="AQ18" s="28">
        <f>VLOOKUP($A18,historia!$A$5:$DD$24,+HLOOKUP(AQ$2,historia!$A$3:$EC$4,2,FALSE),FALSE)</f>
        <v>2</v>
      </c>
      <c r="AR18" s="28">
        <f>VLOOKUP($A18,historia!$A$5:$DD$24,+HLOOKUP(AR$2,historia!$A$3:$EC$4,2,FALSE),FALSE)</f>
        <v>2</v>
      </c>
      <c r="AS18" s="28">
        <f>VLOOKUP($A18,historia!$A$5:$DD$24,+HLOOKUP(AS$2,historia!$A$3:$EC$4,2,FALSE),FALSE)</f>
        <v>2</v>
      </c>
      <c r="AT18" s="58">
        <f>VLOOKUP($A18,historia!$A$5:$DD$24,+HLOOKUP(AT$2,historia!$A$3:$EC$4,2,FALSE),FALSE)</f>
        <v>2</v>
      </c>
      <c r="AU18" s="58">
        <f>VLOOKUP($A18,historia!$A$5:$DD$24,+HLOOKUP(AU$2,historia!$A$3:$EC$4,2,FALSE),FALSE)</f>
        <v>2</v>
      </c>
      <c r="AV18" s="58">
        <f>VLOOKUP($A18,historia!$A$5:$DD$24,+HLOOKUP(AV$2,historia!$A$3:$EC$4,2,FALSE),FALSE)</f>
        <v>2</v>
      </c>
      <c r="AW18" s="58">
        <f>VLOOKUP($A18,historia!$A$5:$DD$24,+HLOOKUP(AW$2,historia!$A$3:$EC$4,2,FALSE),FALSE)</f>
        <v>2</v>
      </c>
      <c r="AX18" s="58">
        <f>VLOOKUP($A18,historia!$A$5:$DD$24,+HLOOKUP(AX$2,historia!$A$3:$EC$4,2,FALSE),FALSE)</f>
        <v>2</v>
      </c>
      <c r="AY18" s="58">
        <f>VLOOKUP($A18,historia!$A$5:$DD$24,+HLOOKUP(AY$2,historia!$A$3:$EC$4,2,FALSE),FALSE)</f>
        <v>2</v>
      </c>
      <c r="AZ18" s="58">
        <f>VLOOKUP($A18,historia!$A$5:$DD$24,+HLOOKUP(AZ$2,historia!$A$3:$EC$4,2,FALSE),FALSE)</f>
        <v>2</v>
      </c>
      <c r="BA18" s="58">
        <f>VLOOKUP($A18,historia!$A$5:$DG$24,+HLOOKUP(BA$2,historia!$A$3:$EC$4,2,FALSE),FALSE)</f>
        <v>2</v>
      </c>
      <c r="BB18" s="58"/>
      <c r="BC18" s="286">
        <v>2</v>
      </c>
      <c r="BD18" t="str">
        <f t="shared" si="19"/>
        <v>Ovino</v>
      </c>
      <c r="BE18">
        <f>+datos!BU1</f>
        <v>73</v>
      </c>
      <c r="BF18" s="2" t="str">
        <f t="shared" si="4"/>
        <v>$/kg</v>
      </c>
      <c r="BG18" s="2">
        <f t="shared" si="4"/>
        <v>114044.73085714286</v>
      </c>
      <c r="BH18" s="2">
        <f t="shared" si="4"/>
        <v>117405.3876</v>
      </c>
      <c r="BI18" s="2">
        <f t="shared" si="4"/>
        <v>83397.516701999994</v>
      </c>
      <c r="BK18" s="1">
        <f>+datos!EL1</f>
        <v>142</v>
      </c>
      <c r="BL18" s="1">
        <f t="shared" si="20"/>
        <v>11482381</v>
      </c>
      <c r="BM18" s="1">
        <f t="shared" si="20"/>
        <v>11967429</v>
      </c>
      <c r="BO18" s="1">
        <f>+datos!GS1</f>
        <v>201</v>
      </c>
      <c r="BP18" s="1">
        <f t="shared" si="21"/>
        <v>31804.98</v>
      </c>
      <c r="BQ18" s="1">
        <f t="shared" si="21"/>
        <v>32732.560000000001</v>
      </c>
      <c r="BS18" s="1">
        <f>+datos!KI1</f>
        <v>295</v>
      </c>
      <c r="BT18" s="1">
        <f t="shared" si="38"/>
        <v>342.33437633999995</v>
      </c>
      <c r="BU18" s="1">
        <f t="shared" si="39"/>
        <v>224.22812825</v>
      </c>
      <c r="BW18" s="1">
        <f>+datos!LN1</f>
        <v>326</v>
      </c>
      <c r="BX18" s="2">
        <f t="shared" si="22"/>
        <v>2.0398645200000001</v>
      </c>
      <c r="BY18" s="2">
        <f t="shared" si="23"/>
        <v>2.32997619</v>
      </c>
      <c r="CA18" s="1">
        <f>+datos!JA1</f>
        <v>261</v>
      </c>
      <c r="CB18" s="1">
        <f t="shared" si="24"/>
        <v>3555</v>
      </c>
      <c r="CC18" s="1">
        <f t="shared" si="25"/>
        <v>3555</v>
      </c>
      <c r="CD18" s="1"/>
      <c r="CE18">
        <f>+datos!DI1</f>
        <v>113</v>
      </c>
      <c r="CF18" s="2">
        <f t="shared" si="26"/>
        <v>14975.011261628504</v>
      </c>
      <c r="CG18" s="2">
        <f t="shared" si="26"/>
        <v>14403.783149644869</v>
      </c>
      <c r="CH18" s="2">
        <f t="shared" si="26"/>
        <v>11077.837423666198</v>
      </c>
      <c r="CI18" s="1"/>
      <c r="CK18" s="1">
        <f t="shared" si="27"/>
        <v>29.371587780000002</v>
      </c>
      <c r="CL18" s="1">
        <f t="shared" si="27"/>
        <v>34.873953459999996</v>
      </c>
      <c r="CM18" s="1">
        <f t="shared" si="27"/>
        <v>33.523126529999999</v>
      </c>
      <c r="CN18" s="1">
        <f t="shared" si="27"/>
        <v>37.632095870000001</v>
      </c>
      <c r="CO18" s="1">
        <f t="shared" si="27"/>
        <v>34.165160209999996</v>
      </c>
      <c r="CP18" s="1">
        <f t="shared" si="27"/>
        <v>32.255325069999998</v>
      </c>
      <c r="CQ18" s="1">
        <f t="shared" si="27"/>
        <v>31.916470830000002</v>
      </c>
      <c r="CR18" s="1">
        <f t="shared" si="27"/>
        <v>27.303396169999999</v>
      </c>
      <c r="CS18" s="1">
        <f t="shared" si="27"/>
        <v>22.774238799999999</v>
      </c>
      <c r="CT18" s="1">
        <f t="shared" si="27"/>
        <v>21.077032079999999</v>
      </c>
      <c r="CU18" s="1">
        <f t="shared" si="27"/>
        <v>19.550070639999998</v>
      </c>
      <c r="CV18" s="1">
        <f t="shared" si="27"/>
        <v>17.8919189</v>
      </c>
      <c r="CW18" s="1">
        <f t="shared" si="27"/>
        <v>19.636014689999996</v>
      </c>
      <c r="CX18" s="1">
        <f t="shared" si="27"/>
        <v>18.748166940000001</v>
      </c>
      <c r="CY18" s="1">
        <f t="shared" si="27"/>
        <v>21.131437869999999</v>
      </c>
      <c r="CZ18" s="1">
        <f t="shared" si="27"/>
        <v>23.746863359999999</v>
      </c>
      <c r="DA18" s="1">
        <f t="shared" si="28"/>
        <v>18.662799830000001</v>
      </c>
      <c r="DB18" s="1">
        <f t="shared" si="28"/>
        <v>31.610464650000004</v>
      </c>
      <c r="DC18" s="1">
        <f t="shared" si="28"/>
        <v>14.881609229999999</v>
      </c>
      <c r="DD18" s="1">
        <f t="shared" si="28"/>
        <v>18.538380959999998</v>
      </c>
      <c r="DE18" s="1">
        <f t="shared" si="28"/>
        <v>15.79353798</v>
      </c>
      <c r="DF18" s="1">
        <f t="shared" si="28"/>
        <v>15.390557059999999</v>
      </c>
      <c r="DG18" s="1">
        <f t="shared" si="28"/>
        <v>12.657815750000001</v>
      </c>
      <c r="DH18" s="1">
        <f t="shared" si="28"/>
        <v>13.430479930000001</v>
      </c>
      <c r="DJ18" s="1">
        <f t="shared" si="29"/>
        <v>9.6971659999999987E-2</v>
      </c>
      <c r="DK18" s="1">
        <f t="shared" si="29"/>
        <v>0.24107202999999999</v>
      </c>
      <c r="DL18" s="1">
        <f t="shared" si="29"/>
        <v>0.32285518000000002</v>
      </c>
      <c r="DM18" s="1">
        <f t="shared" si="29"/>
        <v>0.15590026000000001</v>
      </c>
      <c r="DN18" s="1">
        <f t="shared" si="29"/>
        <v>0.18636467000000001</v>
      </c>
      <c r="DO18" s="1">
        <f t="shared" si="29"/>
        <v>0.25499293999999995</v>
      </c>
      <c r="DP18" s="1">
        <f t="shared" si="29"/>
        <v>0.11824628</v>
      </c>
      <c r="DQ18" s="1">
        <f t="shared" si="29"/>
        <v>0.37141849000000005</v>
      </c>
      <c r="DR18" s="1">
        <f t="shared" si="29"/>
        <v>4.9819790000000003E-2</v>
      </c>
      <c r="DS18" s="1">
        <f t="shared" si="29"/>
        <v>5.7726630000000001E-2</v>
      </c>
      <c r="DT18" s="1">
        <f t="shared" si="29"/>
        <v>0.12164886</v>
      </c>
      <c r="DU18" s="1">
        <f t="shared" si="29"/>
        <v>6.2847730000000004E-2</v>
      </c>
      <c r="DV18" s="1">
        <f t="shared" si="29"/>
        <v>7.1441070000000009E-2</v>
      </c>
      <c r="DW18" s="1">
        <f t="shared" si="29"/>
        <v>0.19937177999999997</v>
      </c>
      <c r="DX18" s="1">
        <f t="shared" si="29"/>
        <v>0.18211829000000002</v>
      </c>
      <c r="DY18" s="1">
        <f t="shared" si="29"/>
        <v>0.19639201000000001</v>
      </c>
      <c r="DZ18" s="1">
        <f t="shared" si="30"/>
        <v>0.15047392000000001</v>
      </c>
      <c r="EA18" s="1">
        <f t="shared" si="30"/>
        <v>0.19393855000000002</v>
      </c>
      <c r="EB18" s="1">
        <f t="shared" si="30"/>
        <v>0.16347327</v>
      </c>
      <c r="EC18" s="1">
        <f t="shared" si="30"/>
        <v>0.18164933</v>
      </c>
      <c r="ED18" s="1">
        <f t="shared" si="30"/>
        <v>0.25055533999999996</v>
      </c>
      <c r="EE18" s="1">
        <f t="shared" si="30"/>
        <v>0.29342396000000004</v>
      </c>
      <c r="EF18" s="1">
        <f t="shared" si="30"/>
        <v>0.26088905000000001</v>
      </c>
      <c r="EG18" s="1">
        <f t="shared" si="30"/>
        <v>0.18624962</v>
      </c>
      <c r="EI18" s="14">
        <f t="shared" si="40"/>
        <v>3555</v>
      </c>
      <c r="EJ18" s="14">
        <f t="shared" si="40"/>
        <v>3555</v>
      </c>
      <c r="EK18" s="1">
        <f t="shared" si="40"/>
        <v>3555</v>
      </c>
      <c r="EL18" s="1">
        <f t="shared" si="40"/>
        <v>3555</v>
      </c>
      <c r="EM18" s="1">
        <f t="shared" si="40"/>
        <v>3555</v>
      </c>
      <c r="EN18" s="1">
        <f t="shared" si="40"/>
        <v>3555</v>
      </c>
      <c r="EO18" s="1">
        <f t="shared" si="40"/>
        <v>3555</v>
      </c>
      <c r="EP18" s="1">
        <f t="shared" si="40"/>
        <v>3555</v>
      </c>
      <c r="EQ18" s="1">
        <f t="shared" si="40"/>
        <v>3555</v>
      </c>
      <c r="ER18" s="1">
        <f t="shared" si="40"/>
        <v>3555</v>
      </c>
      <c r="ES18" s="1">
        <f t="shared" si="40"/>
        <v>3555</v>
      </c>
      <c r="ET18" s="1">
        <f t="shared" si="40"/>
        <v>3555</v>
      </c>
      <c r="EU18" s="1">
        <f t="shared" si="40"/>
        <v>3555</v>
      </c>
      <c r="EV18" s="1">
        <f t="shared" si="40"/>
        <v>3555</v>
      </c>
      <c r="EW18" s="1">
        <f t="shared" si="40"/>
        <v>3735</v>
      </c>
      <c r="EX18" s="1">
        <f t="shared" si="40"/>
        <v>2813</v>
      </c>
      <c r="EY18" s="1">
        <f t="shared" si="31"/>
        <v>2813</v>
      </c>
      <c r="EZ18" s="1">
        <f t="shared" si="31"/>
        <v>2813</v>
      </c>
      <c r="FA18" s="1">
        <f t="shared" si="31"/>
        <v>2813</v>
      </c>
      <c r="FB18" s="1">
        <f t="shared" si="31"/>
        <v>2813</v>
      </c>
      <c r="FC18" s="1">
        <f t="shared" si="31"/>
        <v>2813</v>
      </c>
      <c r="FD18" s="1">
        <f t="shared" si="31"/>
        <v>2813</v>
      </c>
      <c r="FE18" s="1">
        <f t="shared" si="31"/>
        <v>2813</v>
      </c>
      <c r="FF18" s="1">
        <f t="shared" si="31"/>
        <v>2813</v>
      </c>
      <c r="FH18" s="162">
        <f t="shared" si="32"/>
        <v>1.5684379511944568E-2</v>
      </c>
    </row>
    <row r="19" spans="1:164" ht="18.75" customHeight="1">
      <c r="A19" s="244" t="s">
        <v>66</v>
      </c>
      <c r="B19" s="247"/>
      <c r="C19" s="228">
        <f t="shared" si="5"/>
        <v>0</v>
      </c>
      <c r="D19" s="229">
        <v>-1</v>
      </c>
      <c r="E19" s="253">
        <f t="shared" si="6"/>
        <v>0.30196747329409201</v>
      </c>
      <c r="F19" s="254">
        <f t="shared" si="7"/>
        <v>0.28082974902623015</v>
      </c>
      <c r="G19" s="253">
        <f t="shared" si="8"/>
        <v>-0.18296791009498259</v>
      </c>
      <c r="H19" s="254">
        <f t="shared" si="9"/>
        <v>0.4849353833890746</v>
      </c>
      <c r="I19" s="253">
        <f t="shared" si="10"/>
        <v>1.7350166602391051</v>
      </c>
      <c r="J19" s="254">
        <f t="shared" si="11"/>
        <v>1.3967598081851371</v>
      </c>
      <c r="K19" s="253">
        <f t="shared" si="12"/>
        <v>0.23654704717591213</v>
      </c>
      <c r="L19" s="254">
        <f t="shared" si="13"/>
        <v>1.4984696130631929</v>
      </c>
      <c r="M19" s="255"/>
      <c r="N19" s="256">
        <v>0</v>
      </c>
      <c r="O19" s="253">
        <f t="shared" si="33"/>
        <v>-0.1166932970112895</v>
      </c>
      <c r="P19" s="257">
        <f t="shared" si="34"/>
        <v>-0.1166932970112895</v>
      </c>
      <c r="Q19" s="253">
        <f t="shared" si="14"/>
        <v>0</v>
      </c>
      <c r="R19" s="257">
        <v>-0.01</v>
      </c>
      <c r="S19" s="255"/>
      <c r="T19" s="256">
        <v>1</v>
      </c>
      <c r="U19" s="253">
        <f t="shared" si="15"/>
        <v>-4.5803095579159736E-2</v>
      </c>
      <c r="V19" s="258">
        <f t="shared" si="16"/>
        <v>-4.5803095579159736E-2</v>
      </c>
      <c r="W19" s="253">
        <f t="shared" si="36"/>
        <v>0.2953792231794703</v>
      </c>
      <c r="X19" s="258">
        <f t="shared" si="17"/>
        <v>0.2953792231794703</v>
      </c>
      <c r="Y19" s="253"/>
      <c r="Z19" s="258">
        <f t="shared" si="18"/>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VLOOKUP($A19,historia!$A$5:$DD$24,+HLOOKUP(AP$2,historia!$A$3:$EC$4,2,FALSE),FALSE)</f>
        <v>5</v>
      </c>
      <c r="AQ19" s="28">
        <f>VLOOKUP($A19,historia!$A$5:$DD$24,+HLOOKUP(AQ$2,historia!$A$3:$EC$4,2,FALSE),FALSE)</f>
        <v>4</v>
      </c>
      <c r="AR19" s="28">
        <f>VLOOKUP($A19,historia!$A$5:$DD$24,+HLOOKUP(AR$2,historia!$A$3:$EC$4,2,FALSE),FALSE)</f>
        <v>4</v>
      </c>
      <c r="AS19" s="28">
        <f>VLOOKUP($A19,historia!$A$5:$DD$24,+HLOOKUP(AS$2,historia!$A$3:$EC$4,2,FALSE),FALSE)</f>
        <v>4</v>
      </c>
      <c r="AT19" s="58">
        <f>VLOOKUP($A19,historia!$A$5:$DD$24,+HLOOKUP(AT$2,historia!$A$3:$EC$4,2,FALSE),FALSE)</f>
        <v>4</v>
      </c>
      <c r="AU19" s="58">
        <f>VLOOKUP($A19,historia!$A$5:$DD$24,+HLOOKUP(AU$2,historia!$A$3:$EC$4,2,FALSE),FALSE)</f>
        <v>4</v>
      </c>
      <c r="AV19" s="58">
        <f>VLOOKUP($A19,historia!$A$5:$DD$24,+HLOOKUP(AV$2,historia!$A$3:$EC$4,2,FALSE),FALSE)</f>
        <v>4</v>
      </c>
      <c r="AW19" s="58">
        <f>VLOOKUP($A19,historia!$A$5:$DD$24,+HLOOKUP(AW$2,historia!$A$3:$EC$4,2,FALSE),FALSE)</f>
        <v>4</v>
      </c>
      <c r="AX19" s="58">
        <f>VLOOKUP($A19,historia!$A$5:$DD$24,+HLOOKUP(AX$2,historia!$A$3:$EC$4,2,FALSE),FALSE)</f>
        <v>3</v>
      </c>
      <c r="AY19" s="58">
        <f>VLOOKUP($A19,historia!$A$5:$DD$24,+HLOOKUP(AY$2,historia!$A$3:$EC$4,2,FALSE),FALSE)</f>
        <v>3</v>
      </c>
      <c r="AZ19" s="58">
        <f>VLOOKUP($A19,historia!$A$5:$DD$24,+HLOOKUP(AZ$2,historia!$A$3:$EC$4,2,FALSE),FALSE)</f>
        <v>3</v>
      </c>
      <c r="BA19" s="58">
        <f>VLOOKUP($A19,historia!$A$5:$DG$24,+HLOOKUP(BA$2,historia!$A$3:$EC$4,2,FALSE),FALSE)</f>
        <v>3</v>
      </c>
      <c r="BB19" s="58"/>
      <c r="BC19" s="286">
        <v>3</v>
      </c>
      <c r="BD19" t="str">
        <f t="shared" si="19"/>
        <v>Papa</v>
      </c>
      <c r="BE19">
        <f>+datos!AV1</f>
        <v>48</v>
      </c>
      <c r="BF19" s="2" t="str">
        <f t="shared" si="4"/>
        <v>$/bolsa 20kg</v>
      </c>
      <c r="BG19" s="2">
        <f t="shared" si="4"/>
        <v>18662.89</v>
      </c>
      <c r="BH19" s="2">
        <f t="shared" si="4"/>
        <v>14334.375</v>
      </c>
      <c r="BI19" s="2">
        <f t="shared" si="4"/>
        <v>6823.6842105263158</v>
      </c>
      <c r="BK19" s="1">
        <f>+datos!EZ1</f>
        <v>156</v>
      </c>
      <c r="BL19" s="1">
        <f t="shared" si="20"/>
        <v>33722</v>
      </c>
      <c r="BM19" s="1">
        <f t="shared" si="20"/>
        <v>38177</v>
      </c>
      <c r="BO19" s="1">
        <f>+datos!GT1</f>
        <v>202</v>
      </c>
      <c r="BP19" s="1">
        <f t="shared" si="21"/>
        <v>2111561</v>
      </c>
      <c r="BQ19" s="1">
        <f t="shared" si="21"/>
        <v>2111561</v>
      </c>
      <c r="BS19" s="1">
        <f>+datos!JO1</f>
        <v>275</v>
      </c>
      <c r="BT19" s="1">
        <f t="shared" si="38"/>
        <v>385.02638551999996</v>
      </c>
      <c r="BU19" s="1">
        <f t="shared" si="39"/>
        <v>403.50831546000006</v>
      </c>
      <c r="BW19" s="1">
        <f>+datos!KT1</f>
        <v>306</v>
      </c>
      <c r="BX19" s="2">
        <f t="shared" si="22"/>
        <v>17.101363660000001</v>
      </c>
      <c r="BY19" s="2">
        <f t="shared" si="23"/>
        <v>13.201820250000001</v>
      </c>
      <c r="CA19" s="1">
        <f>+datos!JB1</f>
        <v>262</v>
      </c>
      <c r="CB19" s="1">
        <f t="shared" si="24"/>
        <v>35.950000000000003</v>
      </c>
      <c r="CC19" s="1">
        <f t="shared" si="25"/>
        <v>35.950000000000003</v>
      </c>
      <c r="CD19" s="1"/>
      <c r="CE19">
        <f>+datos!CI1</f>
        <v>87</v>
      </c>
      <c r="CF19" s="2">
        <f t="shared" si="26"/>
        <v>13753.374435309808</v>
      </c>
      <c r="CG19" s="2">
        <f t="shared" si="26"/>
        <v>16833.334461696213</v>
      </c>
      <c r="CH19" s="2">
        <f t="shared" si="26"/>
        <v>11122.402877205886</v>
      </c>
      <c r="CI19" s="1"/>
      <c r="CK19" s="1">
        <f t="shared" si="27"/>
        <v>34.603880139999994</v>
      </c>
      <c r="CL19" s="1">
        <f t="shared" si="27"/>
        <v>37.517881269999997</v>
      </c>
      <c r="CM19" s="1">
        <f t="shared" si="27"/>
        <v>33.508485159999992</v>
      </c>
      <c r="CN19" s="1">
        <f t="shared" si="27"/>
        <v>34.584187569999997</v>
      </c>
      <c r="CO19" s="1">
        <f t="shared" si="27"/>
        <v>32.026461749999996</v>
      </c>
      <c r="CP19" s="1">
        <f t="shared" si="27"/>
        <v>27.540207300000002</v>
      </c>
      <c r="CQ19" s="1">
        <f t="shared" si="27"/>
        <v>27.589055210000001</v>
      </c>
      <c r="CR19" s="1">
        <f t="shared" si="27"/>
        <v>34.54170027</v>
      </c>
      <c r="CS19" s="1">
        <f t="shared" si="27"/>
        <v>29.033049210000001</v>
      </c>
      <c r="CT19" s="1">
        <f t="shared" si="27"/>
        <v>32.137001479999995</v>
      </c>
      <c r="CU19" s="1">
        <f t="shared" si="27"/>
        <v>31.771959519999999</v>
      </c>
      <c r="CV19" s="1">
        <f t="shared" si="27"/>
        <v>30.172516640000001</v>
      </c>
      <c r="CW19" s="1">
        <f t="shared" si="27"/>
        <v>33.254909299999994</v>
      </c>
      <c r="CX19" s="1">
        <f t="shared" si="27"/>
        <v>34.03841525</v>
      </c>
      <c r="CY19" s="1">
        <f t="shared" si="27"/>
        <v>32.790200410000004</v>
      </c>
      <c r="CZ19" s="1">
        <f t="shared" si="27"/>
        <v>33.403797109999999</v>
      </c>
      <c r="DA19" s="1">
        <f t="shared" si="28"/>
        <v>26.866894470000005</v>
      </c>
      <c r="DB19" s="1">
        <f t="shared" si="28"/>
        <v>30.959664470000003</v>
      </c>
      <c r="DC19" s="1">
        <f t="shared" si="28"/>
        <v>28.030286839999999</v>
      </c>
      <c r="DD19" s="1">
        <f t="shared" si="28"/>
        <v>35.227965569999995</v>
      </c>
      <c r="DE19" s="1">
        <f t="shared" si="28"/>
        <v>43.313690020000003</v>
      </c>
      <c r="DF19" s="1">
        <f t="shared" si="28"/>
        <v>38.158354570000007</v>
      </c>
      <c r="DG19" s="1">
        <f t="shared" si="28"/>
        <v>36.879687310000008</v>
      </c>
      <c r="DH19" s="1">
        <f t="shared" si="28"/>
        <v>30.584450140000001</v>
      </c>
      <c r="DJ19" s="1">
        <f t="shared" si="29"/>
        <v>2.6781131599999997</v>
      </c>
      <c r="DK19" s="1">
        <f t="shared" si="29"/>
        <v>1.3561104000000002</v>
      </c>
      <c r="DL19" s="1">
        <f t="shared" si="29"/>
        <v>1.05636789</v>
      </c>
      <c r="DM19" s="1">
        <f t="shared" si="29"/>
        <v>1.7409876799999999</v>
      </c>
      <c r="DN19" s="1">
        <f t="shared" si="29"/>
        <v>2.0004345900000002</v>
      </c>
      <c r="DO19" s="1">
        <f t="shared" si="29"/>
        <v>1.0022204700000001</v>
      </c>
      <c r="DP19" s="1">
        <f t="shared" si="29"/>
        <v>2.2861269800000001</v>
      </c>
      <c r="DQ19" s="1">
        <f t="shared" si="29"/>
        <v>1.06092366</v>
      </c>
      <c r="DR19" s="1">
        <f t="shared" si="29"/>
        <v>0.94273901999999998</v>
      </c>
      <c r="DS19" s="1">
        <f t="shared" si="29"/>
        <v>1.1078551999999999</v>
      </c>
      <c r="DT19" s="1">
        <f t="shared" si="29"/>
        <v>1.1250931100000001</v>
      </c>
      <c r="DU19" s="1">
        <f t="shared" si="29"/>
        <v>0.74439149999999998</v>
      </c>
      <c r="DV19" s="1">
        <f t="shared" si="29"/>
        <v>1.2444918700000001</v>
      </c>
      <c r="DW19" s="1">
        <f t="shared" si="29"/>
        <v>0.75058031000000003</v>
      </c>
      <c r="DX19" s="1">
        <f t="shared" si="29"/>
        <v>0.8744752400000001</v>
      </c>
      <c r="DY19" s="1">
        <f t="shared" si="29"/>
        <v>0.62052411000000007</v>
      </c>
      <c r="DZ19" s="1">
        <f t="shared" si="30"/>
        <v>1.19924761</v>
      </c>
      <c r="EA19" s="1">
        <f t="shared" si="30"/>
        <v>0.86551083000000006</v>
      </c>
      <c r="EB19" s="1">
        <f t="shared" si="30"/>
        <v>0.79831189000000002</v>
      </c>
      <c r="EC19" s="1">
        <f t="shared" si="30"/>
        <v>1.1318278900000001</v>
      </c>
      <c r="ED19" s="1">
        <f t="shared" si="30"/>
        <v>1.8442369199999997</v>
      </c>
      <c r="EE19" s="1">
        <f t="shared" si="30"/>
        <v>1.0529063700000001</v>
      </c>
      <c r="EF19" s="1">
        <f t="shared" si="30"/>
        <v>2.0286618900000004</v>
      </c>
      <c r="EG19" s="1">
        <f t="shared" si="30"/>
        <v>0.79104531999999994</v>
      </c>
      <c r="EI19" s="14">
        <f t="shared" si="40"/>
        <v>35.950000000000003</v>
      </c>
      <c r="EJ19" s="14">
        <f t="shared" si="40"/>
        <v>35.950000000000003</v>
      </c>
      <c r="EK19" s="1">
        <f t="shared" si="40"/>
        <v>35.950000000000003</v>
      </c>
      <c r="EL19" s="1">
        <f t="shared" si="40"/>
        <v>35.950000000000003</v>
      </c>
      <c r="EM19" s="1">
        <f t="shared" si="40"/>
        <v>35.950000000000003</v>
      </c>
      <c r="EN19" s="1">
        <f t="shared" si="40"/>
        <v>35.950000000000003</v>
      </c>
      <c r="EO19" s="1">
        <f t="shared" si="40"/>
        <v>35.950000000000003</v>
      </c>
      <c r="EP19" s="1">
        <f t="shared" si="40"/>
        <v>35.950000000000003</v>
      </c>
      <c r="EQ19" s="1">
        <f t="shared" si="40"/>
        <v>35.950000000000003</v>
      </c>
      <c r="ER19" s="1">
        <f t="shared" si="40"/>
        <v>35.950000000000003</v>
      </c>
      <c r="ES19" s="1">
        <f t="shared" si="40"/>
        <v>35.950000000000003</v>
      </c>
      <c r="ET19" s="1">
        <f t="shared" si="40"/>
        <v>35.950000000000003</v>
      </c>
      <c r="EU19" s="1">
        <f t="shared" si="40"/>
        <v>35.950000000000003</v>
      </c>
      <c r="EV19" s="1">
        <f t="shared" si="40"/>
        <v>35.950000000000003</v>
      </c>
      <c r="EW19" s="1">
        <f t="shared" si="40"/>
        <v>35.950000000000003</v>
      </c>
      <c r="EX19" s="1">
        <f t="shared" si="40"/>
        <v>35.950000000000003</v>
      </c>
      <c r="EY19" s="1">
        <f t="shared" si="31"/>
        <v>35.950000000000003</v>
      </c>
      <c r="EZ19" s="1">
        <f t="shared" si="31"/>
        <v>35.950000000000003</v>
      </c>
      <c r="FA19" s="1">
        <f t="shared" si="31"/>
        <v>35.950000000000003</v>
      </c>
      <c r="FB19" s="1">
        <f t="shared" si="31"/>
        <v>35.950000000000003</v>
      </c>
      <c r="FC19" s="1">
        <f t="shared" si="31"/>
        <v>35.950000000000003</v>
      </c>
      <c r="FD19" s="1">
        <f t="shared" si="31"/>
        <v>35.950000000000003</v>
      </c>
      <c r="FE19" s="1">
        <f t="shared" si="31"/>
        <v>35.950000000000003</v>
      </c>
      <c r="FF19" s="1">
        <f t="shared" si="31"/>
        <v>35.950000000000003</v>
      </c>
      <c r="FH19" s="162">
        <f t="shared" si="32"/>
        <v>1.4984696130631929</v>
      </c>
    </row>
    <row r="20" spans="1:164" ht="17.399999999999999" customHeight="1">
      <c r="A20" s="263" t="s">
        <v>218</v>
      </c>
      <c r="B20" s="246"/>
      <c r="C20" s="156">
        <f t="shared" si="5"/>
        <v>0</v>
      </c>
      <c r="D20" s="198">
        <v>-1</v>
      </c>
      <c r="E20" s="248">
        <f t="shared" si="6"/>
        <v>0.39130067390836065</v>
      </c>
      <c r="F20" s="249">
        <f t="shared" si="7"/>
        <v>0.37016294964049878</v>
      </c>
      <c r="G20" s="248">
        <f t="shared" si="8"/>
        <v>5.540239700867744E-2</v>
      </c>
      <c r="H20" s="249">
        <f t="shared" si="9"/>
        <v>0.33589827689968321</v>
      </c>
      <c r="I20" s="248">
        <f t="shared" si="10"/>
        <v>0.49036243193126405</v>
      </c>
      <c r="J20" s="249">
        <f t="shared" si="11"/>
        <v>0.15210557987729612</v>
      </c>
      <c r="K20" s="248">
        <f t="shared" si="12"/>
        <v>0.36969112644514279</v>
      </c>
      <c r="L20" s="249">
        <f t="shared" si="13"/>
        <v>0.12067130548612126</v>
      </c>
      <c r="M20" s="250"/>
      <c r="N20" s="24">
        <v>-1</v>
      </c>
      <c r="O20" s="248">
        <f t="shared" si="33"/>
        <v>0</v>
      </c>
      <c r="P20" s="251">
        <f t="shared" si="34"/>
        <v>0</v>
      </c>
      <c r="Q20" s="248">
        <f t="shared" si="14"/>
        <v>-9.5563630132844191E-2</v>
      </c>
      <c r="R20" s="251">
        <f t="shared" si="35"/>
        <v>-9.5563630132844191E-2</v>
      </c>
      <c r="S20" s="250"/>
      <c r="T20" s="24">
        <v>2</v>
      </c>
      <c r="U20" s="248">
        <f t="shared" si="15"/>
        <v>2.7053955405352825E-2</v>
      </c>
      <c r="V20" s="252">
        <f t="shared" si="16"/>
        <v>2.7053955405352825E-2</v>
      </c>
      <c r="W20" s="248">
        <f t="shared" si="36"/>
        <v>0.71775508590307902</v>
      </c>
      <c r="X20" s="252">
        <f t="shared" si="17"/>
        <v>0.71775508590307902</v>
      </c>
      <c r="Y20" s="248"/>
      <c r="Z20" s="252">
        <f t="shared" si="18"/>
        <v>0</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VLOOKUP($A20,historia!$A$5:$DD$24,+HLOOKUP(AP$2,historia!$A$3:$EC$4,2,FALSE),FALSE)</f>
        <v>2</v>
      </c>
      <c r="AQ20" s="28">
        <f>VLOOKUP($A20,historia!$A$5:$DD$24,+HLOOKUP(AQ$2,historia!$A$3:$EC$4,2,FALSE),FALSE)</f>
        <v>3</v>
      </c>
      <c r="AR20" s="28">
        <f>VLOOKUP($A20,historia!$A$5:$DD$24,+HLOOKUP(AR$2,historia!$A$3:$EC$4,2,FALSE),FALSE)</f>
        <v>3</v>
      </c>
      <c r="AS20" s="28">
        <f>VLOOKUP($A20,historia!$A$5:$DD$24,+HLOOKUP(AS$2,historia!$A$3:$EC$4,2,FALSE),FALSE)</f>
        <v>3</v>
      </c>
      <c r="AT20" s="58">
        <f>VLOOKUP($A20,historia!$A$5:$DD$24,+HLOOKUP(AT$2,historia!$A$3:$EC$4,2,FALSE),FALSE)</f>
        <v>3</v>
      </c>
      <c r="AU20" s="58">
        <f>VLOOKUP($A20,historia!$A$5:$DD$24,+HLOOKUP(AU$2,historia!$A$3:$EC$4,2,FALSE),FALSE)</f>
        <v>3</v>
      </c>
      <c r="AV20" s="58">
        <f>VLOOKUP($A20,historia!$A$5:$DD$24,+HLOOKUP(AV$2,historia!$A$3:$EC$4,2,FALSE),FALSE)</f>
        <v>3</v>
      </c>
      <c r="AW20" s="58">
        <f>VLOOKUP($A20,historia!$A$5:$DD$24,+HLOOKUP(AW$2,historia!$A$3:$EC$4,2,FALSE),FALSE)</f>
        <v>3</v>
      </c>
      <c r="AX20" s="58">
        <f>VLOOKUP($A20,historia!$A$5:$DD$24,+HLOOKUP(AX$2,historia!$A$3:$EC$4,2,FALSE),FALSE)</f>
        <v>3</v>
      </c>
      <c r="AY20" s="58">
        <f>VLOOKUP($A20,historia!$A$5:$DD$24,+HLOOKUP(AY$2,historia!$A$3:$EC$4,2,FALSE),FALSE)</f>
        <v>3</v>
      </c>
      <c r="AZ20" s="58">
        <f>VLOOKUP($A20,historia!$A$5:$DD$24,+HLOOKUP(AZ$2,historia!$A$3:$EC$4,2,FALSE),FALSE)</f>
        <v>3</v>
      </c>
      <c r="BA20" s="58">
        <f>VLOOKUP($A20,historia!$A$5:$DG$24,+HLOOKUP(BA$2,historia!$A$3:$EC$4,2,FALSE),FALSE)</f>
        <v>3</v>
      </c>
      <c r="BB20" s="58"/>
      <c r="BC20" s="286">
        <v>3</v>
      </c>
      <c r="BD20" t="str">
        <f t="shared" si="19"/>
        <v>Peras y Manzanas</v>
      </c>
      <c r="BE20">
        <f>+datos!AP1</f>
        <v>42</v>
      </c>
      <c r="BF20" s="2" t="str">
        <f t="shared" si="4"/>
        <v>$/caja 18kg</v>
      </c>
      <c r="BG20" s="2">
        <f t="shared" si="4"/>
        <v>32295.07</v>
      </c>
      <c r="BH20" s="2">
        <f t="shared" si="4"/>
        <v>23212.142857142859</v>
      </c>
      <c r="BI20" s="2">
        <f t="shared" si="4"/>
        <v>21669.272727272728</v>
      </c>
      <c r="BK20" s="1">
        <f>+datos!FC1</f>
        <v>159</v>
      </c>
      <c r="BL20" s="1">
        <f t="shared" si="20"/>
        <v>38084</v>
      </c>
      <c r="BM20" s="1">
        <f t="shared" si="20"/>
        <v>38084</v>
      </c>
      <c r="BO20" s="1">
        <f>+datos!GW1</f>
        <v>205</v>
      </c>
      <c r="BP20" s="1">
        <f t="shared" si="21"/>
        <v>717862</v>
      </c>
      <c r="BQ20" s="1">
        <f t="shared" si="21"/>
        <v>793712</v>
      </c>
      <c r="BS20" s="1">
        <f>+datos!LS1</f>
        <v>331</v>
      </c>
      <c r="BT20" s="1">
        <f t="shared" si="38"/>
        <v>431.47713426999996</v>
      </c>
      <c r="BU20" s="1">
        <f t="shared" si="39"/>
        <v>420.11145763000019</v>
      </c>
      <c r="BW20" s="1">
        <f>+datos!LW1</f>
        <v>335</v>
      </c>
      <c r="BX20" s="2">
        <f t="shared" si="22"/>
        <v>7.9293791699999998</v>
      </c>
      <c r="BY20" s="2">
        <f t="shared" si="23"/>
        <v>4.6161290600000005</v>
      </c>
      <c r="CA20" s="1">
        <f>+datos!JC1</f>
        <v>263</v>
      </c>
      <c r="CB20" s="1">
        <f t="shared" si="24"/>
        <v>0</v>
      </c>
      <c r="CC20" s="1">
        <f t="shared" si="25"/>
        <v>0</v>
      </c>
      <c r="CD20" s="1"/>
      <c r="CE20">
        <f>+datos!CS1</f>
        <v>97</v>
      </c>
      <c r="CF20" s="2">
        <f t="shared" si="26"/>
        <v>14946.716641164905</v>
      </c>
      <c r="CG20" s="2">
        <f t="shared" si="26"/>
        <v>14162.102230891573</v>
      </c>
      <c r="CH20" s="2">
        <f t="shared" si="26"/>
        <v>10912.472419936885</v>
      </c>
      <c r="CI20" s="1"/>
      <c r="CK20" s="1">
        <f t="shared" si="27"/>
        <v>28.456718470000002</v>
      </c>
      <c r="CL20" s="1">
        <f t="shared" si="27"/>
        <v>43.330843469999998</v>
      </c>
      <c r="CM20" s="1">
        <f t="shared" si="27"/>
        <v>44.588875260000009</v>
      </c>
      <c r="CN20" s="1">
        <f t="shared" si="27"/>
        <v>51.060120500000004</v>
      </c>
      <c r="CO20" s="1">
        <f t="shared" si="27"/>
        <v>56.719456929999993</v>
      </c>
      <c r="CP20" s="1">
        <f t="shared" si="27"/>
        <v>49.534875409999998</v>
      </c>
      <c r="CQ20" s="1">
        <f t="shared" si="27"/>
        <v>25.805604299999995</v>
      </c>
      <c r="CR20" s="1">
        <f t="shared" si="27"/>
        <v>14.27210653</v>
      </c>
      <c r="CS20" s="1">
        <f t="shared" si="27"/>
        <v>20.571055439999999</v>
      </c>
      <c r="CT20" s="1">
        <f t="shared" si="27"/>
        <v>24.907231830000001</v>
      </c>
      <c r="CU20" s="1">
        <f t="shared" si="27"/>
        <v>41.046257050000001</v>
      </c>
      <c r="CV20" s="1">
        <f t="shared" si="27"/>
        <v>31.183989080000003</v>
      </c>
      <c r="CW20" s="1">
        <f t="shared" si="27"/>
        <v>31.314835450000004</v>
      </c>
      <c r="CX20" s="1">
        <f t="shared" si="27"/>
        <v>42.986147830000007</v>
      </c>
      <c r="CY20" s="1">
        <f t="shared" si="27"/>
        <v>54.859389430000007</v>
      </c>
      <c r="CZ20" s="1">
        <f t="shared" si="27"/>
        <v>51.150985829999996</v>
      </c>
      <c r="DA20" s="1">
        <f t="shared" si="28"/>
        <v>59.173949850000007</v>
      </c>
      <c r="DB20" s="1">
        <f t="shared" si="28"/>
        <v>46.396857000000011</v>
      </c>
      <c r="DC20" s="1">
        <f t="shared" si="28"/>
        <v>23.934850630000003</v>
      </c>
      <c r="DD20" s="1">
        <f t="shared" si="28"/>
        <v>23.934850630000003</v>
      </c>
      <c r="DE20" s="1">
        <f t="shared" si="28"/>
        <v>23.934850630000003</v>
      </c>
      <c r="DF20" s="1">
        <f t="shared" si="28"/>
        <v>25.188374430000003</v>
      </c>
      <c r="DG20" s="1">
        <f t="shared" si="28"/>
        <v>22.303018159999997</v>
      </c>
      <c r="DH20" s="1">
        <f t="shared" si="28"/>
        <v>14.93334776</v>
      </c>
      <c r="DJ20" s="1">
        <f t="shared" si="29"/>
        <v>0.75917950999999995</v>
      </c>
      <c r="DK20" s="1">
        <f t="shared" si="29"/>
        <v>1.2785091</v>
      </c>
      <c r="DL20" s="1">
        <f t="shared" si="29"/>
        <v>1.2245926600000001</v>
      </c>
      <c r="DM20" s="1">
        <f t="shared" si="29"/>
        <v>1.4505186299999999</v>
      </c>
      <c r="DN20" s="1">
        <f t="shared" si="29"/>
        <v>0.59532569999999996</v>
      </c>
      <c r="DO20" s="1">
        <f t="shared" si="29"/>
        <v>0.31596546000000003</v>
      </c>
      <c r="DP20" s="1">
        <f t="shared" si="29"/>
        <v>5.1857800000000009E-3</v>
      </c>
      <c r="DQ20" s="1">
        <f t="shared" si="29"/>
        <v>0.39547034999999997</v>
      </c>
      <c r="DR20" s="1">
        <f t="shared" si="29"/>
        <v>0.54650961999999992</v>
      </c>
      <c r="DS20" s="1">
        <f t="shared" si="29"/>
        <v>0.19315473</v>
      </c>
      <c r="DT20" s="1">
        <f t="shared" si="29"/>
        <v>0.43976497000000003</v>
      </c>
      <c r="DU20" s="1">
        <f t="shared" si="29"/>
        <v>0.72520266</v>
      </c>
      <c r="DV20" s="1">
        <f t="shared" si="29"/>
        <v>1.1922353400000001</v>
      </c>
      <c r="DW20" s="1">
        <f t="shared" si="29"/>
        <v>1.0915780799999999</v>
      </c>
      <c r="DX20" s="1">
        <f t="shared" si="29"/>
        <v>0.5667896</v>
      </c>
      <c r="DY20" s="1">
        <f t="shared" si="29"/>
        <v>0.43323378000000001</v>
      </c>
      <c r="DZ20" s="1">
        <f t="shared" si="30"/>
        <v>0.20107160000000002</v>
      </c>
      <c r="EA20" s="1">
        <f t="shared" si="30"/>
        <v>4.7323499999999998E-2</v>
      </c>
      <c r="EB20" s="1">
        <f t="shared" si="30"/>
        <v>0.18245199000000001</v>
      </c>
      <c r="EC20" s="1">
        <f t="shared" si="30"/>
        <v>6.8745290000000001E-2</v>
      </c>
      <c r="ED20" s="1">
        <f t="shared" si="30"/>
        <v>0.21798748000000001</v>
      </c>
      <c r="EE20" s="1">
        <f t="shared" si="30"/>
        <v>7.9820000000000002E-2</v>
      </c>
      <c r="EF20" s="1">
        <f t="shared" si="30"/>
        <v>0.14837025000000001</v>
      </c>
      <c r="EG20" s="1">
        <f t="shared" si="30"/>
        <v>0.3865221499999999</v>
      </c>
      <c r="EI20" s="14">
        <f t="shared" si="40"/>
        <v>0</v>
      </c>
      <c r="EJ20" s="14">
        <f t="shared" si="40"/>
        <v>0</v>
      </c>
      <c r="EK20" s="1">
        <f t="shared" si="40"/>
        <v>0</v>
      </c>
      <c r="EL20" s="1">
        <f t="shared" si="40"/>
        <v>0</v>
      </c>
      <c r="EM20" s="1">
        <f t="shared" si="40"/>
        <v>0</v>
      </c>
      <c r="EN20" s="1">
        <f t="shared" si="40"/>
        <v>0</v>
      </c>
      <c r="EO20" s="1">
        <f t="shared" si="40"/>
        <v>0</v>
      </c>
      <c r="EP20" s="1">
        <f t="shared" si="40"/>
        <v>0</v>
      </c>
      <c r="EQ20" s="1">
        <f t="shared" si="40"/>
        <v>0</v>
      </c>
      <c r="ER20" s="1">
        <f t="shared" si="40"/>
        <v>0</v>
      </c>
      <c r="ES20" s="1">
        <f t="shared" si="40"/>
        <v>0</v>
      </c>
      <c r="ET20" s="1">
        <f t="shared" si="40"/>
        <v>0</v>
      </c>
      <c r="EU20" s="1">
        <f t="shared" si="40"/>
        <v>0</v>
      </c>
      <c r="EV20" s="1">
        <f t="shared" si="40"/>
        <v>0</v>
      </c>
      <c r="EW20" s="1">
        <f t="shared" si="40"/>
        <v>0</v>
      </c>
      <c r="EX20" s="1">
        <f t="shared" si="40"/>
        <v>0</v>
      </c>
      <c r="EY20" s="1">
        <f t="shared" si="31"/>
        <v>0</v>
      </c>
      <c r="EZ20" s="1">
        <f t="shared" si="31"/>
        <v>0</v>
      </c>
      <c r="FA20" s="1">
        <f t="shared" si="31"/>
        <v>0</v>
      </c>
      <c r="FB20" s="1">
        <f t="shared" si="31"/>
        <v>0</v>
      </c>
      <c r="FC20" s="1">
        <f t="shared" si="31"/>
        <v>0</v>
      </c>
      <c r="FD20" s="1">
        <f t="shared" si="31"/>
        <v>0</v>
      </c>
      <c r="FE20" s="1">
        <f t="shared" si="31"/>
        <v>0</v>
      </c>
      <c r="FF20" s="1">
        <f t="shared" si="31"/>
        <v>0</v>
      </c>
      <c r="FH20" s="162">
        <f t="shared" si="32"/>
        <v>0.12067130548612126</v>
      </c>
    </row>
    <row r="21" spans="1:164" ht="18" customHeight="1">
      <c r="A21" s="244" t="s">
        <v>121</v>
      </c>
      <c r="B21" s="247"/>
      <c r="C21" s="228">
        <f t="shared" si="5"/>
        <v>0</v>
      </c>
      <c r="D21" s="229">
        <v>-2</v>
      </c>
      <c r="E21" s="253">
        <f t="shared" si="6"/>
        <v>6.0816380931694169E-3</v>
      </c>
      <c r="F21" s="254">
        <f t="shared" si="7"/>
        <v>-1.5056086174692451E-2</v>
      </c>
      <c r="G21" s="253">
        <f t="shared" si="8"/>
        <v>5.5532427652278837E-2</v>
      </c>
      <c r="H21" s="254">
        <f t="shared" si="9"/>
        <v>-4.945078955910942E-2</v>
      </c>
      <c r="I21" s="253">
        <f t="shared" si="10"/>
        <v>0.24458951122401595</v>
      </c>
      <c r="J21" s="254">
        <f t="shared" si="11"/>
        <v>-9.3667340829951984E-2</v>
      </c>
      <c r="K21" s="253">
        <f t="shared" si="12"/>
        <v>0.29833040408832145</v>
      </c>
      <c r="L21" s="254">
        <f t="shared" si="13"/>
        <v>-5.3740892864305501E-2</v>
      </c>
      <c r="M21" s="255"/>
      <c r="N21" s="256">
        <v>1</v>
      </c>
      <c r="O21" s="253">
        <f t="shared" si="33"/>
        <v>-0.10030231581731985</v>
      </c>
      <c r="P21" s="257">
        <f t="shared" si="34"/>
        <v>-0.10030231581731985</v>
      </c>
      <c r="Q21" s="253">
        <f t="shared" si="14"/>
        <v>0.10692686505010518</v>
      </c>
      <c r="R21" s="257">
        <f t="shared" si="35"/>
        <v>0.10692686505010518</v>
      </c>
      <c r="S21" s="255"/>
      <c r="T21" s="256">
        <v>1</v>
      </c>
      <c r="U21" s="253">
        <f t="shared" si="15"/>
        <v>0.47349559350773518</v>
      </c>
      <c r="V21" s="258">
        <f t="shared" si="16"/>
        <v>0.47349559350773518</v>
      </c>
      <c r="W21" s="253">
        <f t="shared" si="36"/>
        <v>8.9375080993189471E-2</v>
      </c>
      <c r="X21" s="258">
        <f t="shared" si="17"/>
        <v>8.9375080993189471E-2</v>
      </c>
      <c r="Y21" s="253">
        <f t="shared" si="37"/>
        <v>0.10120350109409171</v>
      </c>
      <c r="Z21" s="258">
        <f t="shared" si="18"/>
        <v>0.10120350109409171</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VLOOKUP($A21,historia!$A$5:$DD$24,+HLOOKUP(AP$2,historia!$A$3:$EC$4,2,FALSE),FALSE)</f>
        <v>2</v>
      </c>
      <c r="AQ21" s="28">
        <f>VLOOKUP($A21,historia!$A$5:$DD$24,+HLOOKUP(AQ$2,historia!$A$3:$EC$4,2,FALSE),FALSE)</f>
        <v>2</v>
      </c>
      <c r="AR21" s="28">
        <f>VLOOKUP($A21,historia!$A$5:$DD$24,+HLOOKUP(AR$2,historia!$A$3:$EC$4,2,FALSE),FALSE)</f>
        <v>2</v>
      </c>
      <c r="AS21" s="28">
        <f>VLOOKUP($A21,historia!$A$5:$DD$24,+HLOOKUP(AS$2,historia!$A$3:$EC$4,2,FALSE),FALSE)</f>
        <v>2</v>
      </c>
      <c r="AT21" s="58">
        <f>VLOOKUP($A21,historia!$A$5:$DD$24,+HLOOKUP(AT$2,historia!$A$3:$EC$4,2,FALSE),FALSE)</f>
        <v>3</v>
      </c>
      <c r="AU21" s="58">
        <f>VLOOKUP($A21,historia!$A$5:$DD$24,+HLOOKUP(AU$2,historia!$A$3:$EC$4,2,FALSE),FALSE)</f>
        <v>3</v>
      </c>
      <c r="AV21" s="58">
        <f>VLOOKUP($A21,historia!$A$5:$DD$24,+HLOOKUP(AV$2,historia!$A$3:$EC$4,2,FALSE),FALSE)</f>
        <v>3</v>
      </c>
      <c r="AW21" s="58">
        <f>VLOOKUP($A21,historia!$A$5:$DD$24,+HLOOKUP(AW$2,historia!$A$3:$EC$4,2,FALSE),FALSE)</f>
        <v>3</v>
      </c>
      <c r="AX21" s="58">
        <f>VLOOKUP($A21,historia!$A$5:$DD$24,+HLOOKUP(AX$2,historia!$A$3:$EC$4,2,FALSE),FALSE)</f>
        <v>3</v>
      </c>
      <c r="AY21" s="58">
        <f>VLOOKUP($A21,historia!$A$5:$DD$24,+HLOOKUP(AY$2,historia!$A$3:$EC$4,2,FALSE),FALSE)</f>
        <v>3</v>
      </c>
      <c r="AZ21" s="58">
        <f>VLOOKUP($A21,historia!$A$5:$DD$24,+HLOOKUP(AZ$2,historia!$A$3:$EC$4,2,FALSE),FALSE)</f>
        <v>3</v>
      </c>
      <c r="BA21" s="58">
        <f>VLOOKUP($A21,historia!$A$5:$DG$24,+HLOOKUP(BA$2,historia!$A$3:$EC$4,2,FALSE),FALSE)</f>
        <v>3</v>
      </c>
      <c r="BB21" s="58"/>
      <c r="BC21" s="286">
        <v>3</v>
      </c>
      <c r="BD21" t="str">
        <f t="shared" si="19"/>
        <v>Porcinos</v>
      </c>
      <c r="BE21">
        <f>+datos!BR1</f>
        <v>70</v>
      </c>
      <c r="BF21" s="2" t="str">
        <f t="shared" si="4"/>
        <v>$/kg</v>
      </c>
      <c r="BG21" s="2">
        <f t="shared" si="4"/>
        <v>2038.09</v>
      </c>
      <c r="BH21" s="2">
        <f t="shared" si="4"/>
        <v>2025.77</v>
      </c>
      <c r="BI21" s="2">
        <f t="shared" si="4"/>
        <v>1637.5600000000002</v>
      </c>
      <c r="BK21" s="1">
        <f>+datos!EJ1</f>
        <v>140</v>
      </c>
      <c r="BL21" s="1">
        <f t="shared" si="20"/>
        <v>5387190</v>
      </c>
      <c r="BM21" s="1">
        <f t="shared" si="20"/>
        <v>5987778</v>
      </c>
      <c r="BO21" s="1">
        <f>+datos!HE1</f>
        <v>213</v>
      </c>
      <c r="BP21" s="1">
        <f t="shared" si="21"/>
        <v>869211</v>
      </c>
      <c r="BQ21" s="1">
        <f t="shared" si="21"/>
        <v>785247</v>
      </c>
      <c r="BS21" s="1">
        <f>+datos!KJ1</f>
        <v>296</v>
      </c>
      <c r="BT21" s="2">
        <f t="shared" si="38"/>
        <v>38.560873889999996</v>
      </c>
      <c r="BU21" s="2">
        <f t="shared" si="39"/>
        <v>26.169656739999997</v>
      </c>
      <c r="BW21" s="1">
        <f>+datos!LO1</f>
        <v>327</v>
      </c>
      <c r="BX21" s="2">
        <f t="shared" si="22"/>
        <v>170.15603331</v>
      </c>
      <c r="BY21" s="2">
        <f t="shared" si="23"/>
        <v>156.19600290000002</v>
      </c>
      <c r="CA21" s="1">
        <f>+datos!IO1</f>
        <v>249</v>
      </c>
      <c r="CB21" s="2">
        <f t="shared" si="24"/>
        <v>20.13</v>
      </c>
      <c r="CC21" s="2">
        <f t="shared" si="25"/>
        <v>18.28</v>
      </c>
      <c r="CD21" s="2">
        <f>CB21-CC21</f>
        <v>1.8499999999999979</v>
      </c>
      <c r="CE21">
        <f>+datos!DD1</f>
        <v>108</v>
      </c>
      <c r="CF21" s="2">
        <f t="shared" si="26"/>
        <v>14253.2809776881</v>
      </c>
      <c r="CG21" s="2">
        <f t="shared" si="26"/>
        <v>13503.404162949619</v>
      </c>
      <c r="CH21" s="2">
        <f t="shared" si="26"/>
        <v>10978.161593386281</v>
      </c>
      <c r="CI21" s="2"/>
      <c r="CK21" s="1">
        <f t="shared" si="27"/>
        <v>2.5324276399999994</v>
      </c>
      <c r="CL21" s="1">
        <f t="shared" si="27"/>
        <v>2.9139961099999998</v>
      </c>
      <c r="CM21" s="1">
        <f t="shared" si="27"/>
        <v>4.62689489</v>
      </c>
      <c r="CN21" s="1">
        <f t="shared" si="27"/>
        <v>3.3258325500000003</v>
      </c>
      <c r="CO21" s="1">
        <f t="shared" si="27"/>
        <v>3.2559529299999999</v>
      </c>
      <c r="CP21" s="1">
        <f t="shared" si="27"/>
        <v>2.83989907</v>
      </c>
      <c r="CQ21" s="1">
        <f t="shared" si="27"/>
        <v>3.9903958900000003</v>
      </c>
      <c r="CR21" s="1">
        <f t="shared" si="27"/>
        <v>3.0562051500000003</v>
      </c>
      <c r="CS21" s="1">
        <f t="shared" si="27"/>
        <v>3.17480787</v>
      </c>
      <c r="CT21" s="1">
        <f t="shared" si="27"/>
        <v>3.9252467499999995</v>
      </c>
      <c r="CU21" s="1">
        <f t="shared" si="27"/>
        <v>2.8298719000000001</v>
      </c>
      <c r="CV21" s="1">
        <f t="shared" si="27"/>
        <v>2.08934314</v>
      </c>
      <c r="CW21" s="1">
        <f t="shared" si="27"/>
        <v>2.1371287799999998</v>
      </c>
      <c r="CX21" s="1">
        <f t="shared" si="27"/>
        <v>2.3754365900000001</v>
      </c>
      <c r="CY21" s="1">
        <f t="shared" si="27"/>
        <v>2.2921349499999994</v>
      </c>
      <c r="CZ21" s="1">
        <f t="shared" si="27"/>
        <v>1.76811707</v>
      </c>
      <c r="DA21" s="1">
        <f t="shared" si="28"/>
        <v>1.0764735399999998</v>
      </c>
      <c r="DB21" s="1">
        <f t="shared" si="28"/>
        <v>3.87511991</v>
      </c>
      <c r="DC21" s="1">
        <f t="shared" si="28"/>
        <v>1.4111442899999997</v>
      </c>
      <c r="DD21" s="1">
        <f t="shared" si="28"/>
        <v>1.9463367499999997</v>
      </c>
      <c r="DE21" s="1">
        <f t="shared" si="28"/>
        <v>1.6096260199999999</v>
      </c>
      <c r="DF21" s="1">
        <f t="shared" si="28"/>
        <v>3.1723580499999997</v>
      </c>
      <c r="DG21" s="1">
        <f t="shared" si="28"/>
        <v>2.1279038099999998</v>
      </c>
      <c r="DH21" s="1">
        <f t="shared" si="28"/>
        <v>2.3778769799999995</v>
      </c>
      <c r="DJ21" s="1">
        <f t="shared" si="29"/>
        <v>18.649231880000002</v>
      </c>
      <c r="DK21" s="1">
        <f t="shared" si="29"/>
        <v>18.261070109999999</v>
      </c>
      <c r="DL21" s="1">
        <f t="shared" si="29"/>
        <v>17.106185659999998</v>
      </c>
      <c r="DM21" s="1">
        <f t="shared" si="29"/>
        <v>18.533270270000003</v>
      </c>
      <c r="DN21" s="1">
        <f t="shared" si="29"/>
        <v>16.162930539999998</v>
      </c>
      <c r="DO21" s="1">
        <f t="shared" si="29"/>
        <v>12.802625309999998</v>
      </c>
      <c r="DP21" s="1">
        <f t="shared" si="29"/>
        <v>9.4713607899999985</v>
      </c>
      <c r="DQ21" s="1">
        <f t="shared" si="29"/>
        <v>10.975213970000002</v>
      </c>
      <c r="DR21" s="1">
        <f t="shared" si="29"/>
        <v>10.181194250000003</v>
      </c>
      <c r="DS21" s="1">
        <f t="shared" si="29"/>
        <v>12.329496939999999</v>
      </c>
      <c r="DT21" s="1">
        <f t="shared" si="29"/>
        <v>13.92452713</v>
      </c>
      <c r="DU21" s="1">
        <f t="shared" si="29"/>
        <v>11.75892646</v>
      </c>
      <c r="DV21" s="1">
        <f t="shared" si="29"/>
        <v>11.837628230000002</v>
      </c>
      <c r="DW21" s="1">
        <f t="shared" si="29"/>
        <v>13.531613630000001</v>
      </c>
      <c r="DX21" s="1">
        <f t="shared" si="29"/>
        <v>19.3334501</v>
      </c>
      <c r="DY21" s="1">
        <f t="shared" ref="DY21:EG24" si="41">+VLOOKUP(DY$1,ran_dat,$BW21,FALSE)</f>
        <v>18.318769970000002</v>
      </c>
      <c r="DZ21" s="1">
        <f t="shared" si="41"/>
        <v>14.031594299999998</v>
      </c>
      <c r="EA21" s="1">
        <f t="shared" si="41"/>
        <v>14.447589379999997</v>
      </c>
      <c r="EB21" s="1">
        <f t="shared" si="41"/>
        <v>14.265215759999998</v>
      </c>
      <c r="EC21" s="1">
        <f t="shared" si="41"/>
        <v>16.354180840000001</v>
      </c>
      <c r="ED21" s="1">
        <f t="shared" si="41"/>
        <v>10.919699229999997</v>
      </c>
      <c r="EE21" s="1">
        <f t="shared" si="41"/>
        <v>10.87912704</v>
      </c>
      <c r="EF21" s="1">
        <f t="shared" si="41"/>
        <v>7.3519509899999989</v>
      </c>
      <c r="EG21" s="1">
        <f t="shared" si="41"/>
        <v>4.9251834299999988</v>
      </c>
      <c r="EI21" s="14">
        <f t="shared" si="40"/>
        <v>20.13</v>
      </c>
      <c r="EJ21" s="14">
        <f t="shared" si="40"/>
        <v>19.93</v>
      </c>
      <c r="EK21" s="1">
        <f t="shared" si="40"/>
        <v>19.59</v>
      </c>
      <c r="EL21" s="1">
        <f t="shared" si="40"/>
        <v>19.53</v>
      </c>
      <c r="EM21" s="1">
        <f t="shared" si="40"/>
        <v>19.43</v>
      </c>
      <c r="EN21" s="1">
        <f t="shared" si="40"/>
        <v>19.100000000000001</v>
      </c>
      <c r="EO21" s="1">
        <f t="shared" si="40"/>
        <v>18.97</v>
      </c>
      <c r="EP21" s="1">
        <f t="shared" si="40"/>
        <v>18.899999999999999</v>
      </c>
      <c r="EQ21" s="1">
        <f t="shared" si="40"/>
        <v>18.78</v>
      </c>
      <c r="ER21" s="1">
        <f t="shared" si="40"/>
        <v>18.72</v>
      </c>
      <c r="ES21" s="1">
        <f t="shared" si="40"/>
        <v>18.600000000000001</v>
      </c>
      <c r="ET21" s="1">
        <f t="shared" si="40"/>
        <v>18.38</v>
      </c>
      <c r="EU21" s="1">
        <f t="shared" si="40"/>
        <v>18.28</v>
      </c>
      <c r="EV21" s="1">
        <f t="shared" si="40"/>
        <v>18.239999999999998</v>
      </c>
      <c r="EW21" s="1">
        <f t="shared" si="40"/>
        <v>18.079999999999998</v>
      </c>
      <c r="EX21" s="1">
        <f t="shared" si="40"/>
        <v>17.989999999999998</v>
      </c>
      <c r="EY21" s="1">
        <f t="shared" si="31"/>
        <v>17.850000000000001</v>
      </c>
      <c r="EZ21" s="1">
        <f t="shared" si="31"/>
        <v>17.73</v>
      </c>
      <c r="FA21" s="1">
        <f t="shared" si="31"/>
        <v>17.510000000000002</v>
      </c>
      <c r="FB21" s="1">
        <f t="shared" si="31"/>
        <v>17.13</v>
      </c>
      <c r="FC21" s="1">
        <f t="shared" si="31"/>
        <v>16.89</v>
      </c>
      <c r="FD21" s="1">
        <f t="shared" si="31"/>
        <v>16.87</v>
      </c>
      <c r="FE21" s="1">
        <f t="shared" si="31"/>
        <v>16.8</v>
      </c>
      <c r="FF21" s="1">
        <f t="shared" si="31"/>
        <v>16.760000000000002</v>
      </c>
      <c r="FH21" s="162">
        <f t="shared" si="32"/>
        <v>-5.3740892864305501E-2</v>
      </c>
    </row>
    <row r="22" spans="1:164" ht="18.75" customHeight="1">
      <c r="A22" s="243" t="s">
        <v>75</v>
      </c>
      <c r="B22" s="246"/>
      <c r="C22" s="156">
        <f t="shared" si="5"/>
        <v>0.66</v>
      </c>
      <c r="D22" s="198">
        <v>1</v>
      </c>
      <c r="E22" s="248">
        <f t="shared" si="6"/>
        <v>0</v>
      </c>
      <c r="F22" s="249">
        <f t="shared" si="7"/>
        <v>-2.1137724267861868E-2</v>
      </c>
      <c r="G22" s="248">
        <f t="shared" si="8"/>
        <v>5.2481608805384772E-2</v>
      </c>
      <c r="H22" s="249">
        <f t="shared" si="9"/>
        <v>-5.2481608805384772E-2</v>
      </c>
      <c r="I22" s="248">
        <f t="shared" si="10"/>
        <v>0.30015932728479755</v>
      </c>
      <c r="J22" s="249">
        <f t="shared" si="11"/>
        <v>-3.8097524769170388E-2</v>
      </c>
      <c r="K22" s="248">
        <f t="shared" si="12"/>
        <v>0.37052295787721001</v>
      </c>
      <c r="L22" s="249">
        <f t="shared" si="13"/>
        <v>-7.0363630592412463E-2</v>
      </c>
      <c r="M22" s="250"/>
      <c r="N22" s="24">
        <v>0</v>
      </c>
      <c r="O22" s="248">
        <f t="shared" si="33"/>
        <v>0</v>
      </c>
      <c r="P22" s="251">
        <f t="shared" si="34"/>
        <v>0</v>
      </c>
      <c r="Q22" s="248">
        <f t="shared" si="14"/>
        <v>5.5491299713272824E-5</v>
      </c>
      <c r="R22" s="251">
        <f t="shared" si="35"/>
        <v>5.5491299713272824E-5</v>
      </c>
      <c r="S22" s="250"/>
      <c r="T22" s="24">
        <v>1</v>
      </c>
      <c r="U22" s="248">
        <f t="shared" si="15"/>
        <v>0.16804144151685962</v>
      </c>
      <c r="V22" s="252">
        <f t="shared" si="16"/>
        <v>0.16804144151685962</v>
      </c>
      <c r="W22" s="248">
        <f t="shared" si="36"/>
        <v>-0.14401427943948331</v>
      </c>
      <c r="X22" s="252">
        <f t="shared" si="17"/>
        <v>-0.14401427943948331</v>
      </c>
      <c r="Y22" s="248"/>
      <c r="Z22" s="252">
        <f t="shared" si="18"/>
        <v>0</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VLOOKUP($A22,historia!$A$5:$DD$24,+HLOOKUP(AP$2,historia!$A$3:$EC$4,2,FALSE),FALSE)</f>
        <v>3</v>
      </c>
      <c r="AQ22" s="28">
        <f>VLOOKUP($A22,historia!$A$5:$DD$24,+HLOOKUP(AQ$2,historia!$A$3:$EC$4,2,FALSE),FALSE)</f>
        <v>3</v>
      </c>
      <c r="AR22" s="28">
        <f>VLOOKUP($A22,historia!$A$5:$DD$24,+HLOOKUP(AR$2,historia!$A$3:$EC$4,2,FALSE),FALSE)</f>
        <v>3</v>
      </c>
      <c r="AS22" s="28">
        <f>VLOOKUP($A22,historia!$A$5:$DD$24,+HLOOKUP(AS$2,historia!$A$3:$EC$4,2,FALSE),FALSE)</f>
        <v>3</v>
      </c>
      <c r="AT22" s="58">
        <f>VLOOKUP($A22,historia!$A$5:$DD$24,+HLOOKUP(AT$2,historia!$A$3:$EC$4,2,FALSE),FALSE)</f>
        <v>3</v>
      </c>
      <c r="AU22" s="58">
        <f>VLOOKUP($A22,historia!$A$5:$DD$24,+HLOOKUP(AU$2,historia!$A$3:$EC$4,2,FALSE),FALSE)</f>
        <v>3</v>
      </c>
      <c r="AV22" s="58">
        <f>VLOOKUP($A22,historia!$A$5:$DD$24,+HLOOKUP(AV$2,historia!$A$3:$EC$4,2,FALSE),FALSE)</f>
        <v>3</v>
      </c>
      <c r="AW22" s="58">
        <f>VLOOKUP($A22,historia!$A$5:$DD$24,+HLOOKUP(AW$2,historia!$A$3:$EC$4,2,FALSE),FALSE)</f>
        <v>3</v>
      </c>
      <c r="AX22" s="58">
        <f>VLOOKUP($A22,historia!$A$5:$DD$24,+HLOOKUP(AX$2,historia!$A$3:$EC$4,2,FALSE),FALSE)</f>
        <v>3</v>
      </c>
      <c r="AY22" s="58">
        <f>VLOOKUP($A22,historia!$A$5:$DD$24,+HLOOKUP(AY$2,historia!$A$3:$EC$4,2,FALSE),FALSE)</f>
        <v>3</v>
      </c>
      <c r="AZ22" s="58">
        <f>VLOOKUP($A22,historia!$A$5:$DD$24,+HLOOKUP(AZ$2,historia!$A$3:$EC$4,2,FALSE),FALSE)</f>
        <v>3</v>
      </c>
      <c r="BA22" s="58">
        <f>VLOOKUP($A22,historia!$A$5:$DG$24,+HLOOKUP(BA$2,historia!$A$3:$EC$4,2,FALSE),FALSE)</f>
        <v>3</v>
      </c>
      <c r="BB22" s="58"/>
      <c r="BC22" s="286">
        <v>3</v>
      </c>
      <c r="BD22" t="str">
        <f t="shared" si="19"/>
        <v>Tabaco</v>
      </c>
      <c r="BE22">
        <f>+datos!BJ1</f>
        <v>62</v>
      </c>
      <c r="BF22" s="2" t="str">
        <f t="shared" si="4"/>
        <v>$/kg</v>
      </c>
      <c r="BG22" s="2">
        <f t="shared" si="4"/>
        <v>5875.42</v>
      </c>
      <c r="BH22" s="2">
        <f t="shared" si="4"/>
        <v>5875.42</v>
      </c>
      <c r="BI22" s="2">
        <f t="shared" si="4"/>
        <v>4519</v>
      </c>
      <c r="BK22" s="1">
        <f>+datos!FD1</f>
        <v>160</v>
      </c>
      <c r="BL22" s="1">
        <f t="shared" si="20"/>
        <v>60376</v>
      </c>
      <c r="BM22" s="1">
        <f t="shared" si="20"/>
        <v>60376</v>
      </c>
      <c r="BO22" s="1">
        <f>+datos!GX1</f>
        <v>206</v>
      </c>
      <c r="BP22" s="1">
        <f t="shared" si="21"/>
        <v>36043.686000000002</v>
      </c>
      <c r="BQ22" s="1">
        <f t="shared" si="21"/>
        <v>36041.686000000002</v>
      </c>
      <c r="BS22" s="1">
        <f>+datos!KC1</f>
        <v>289</v>
      </c>
      <c r="BT22" s="1">
        <f t="shared" si="38"/>
        <v>655.20326806000003</v>
      </c>
      <c r="BU22" s="1">
        <f t="shared" si="39"/>
        <v>560.94179946999998</v>
      </c>
      <c r="BW22" s="1">
        <f>+datos!LH1</f>
        <v>320</v>
      </c>
      <c r="BX22" s="2">
        <f t="shared" si="22"/>
        <v>50.320954309999998</v>
      </c>
      <c r="BY22" s="2">
        <f t="shared" si="23"/>
        <v>58.787142240000009</v>
      </c>
      <c r="CA22" s="1">
        <f>+datos!JD1</f>
        <v>264</v>
      </c>
      <c r="CB22" s="1">
        <f t="shared" si="24"/>
        <v>0</v>
      </c>
      <c r="CC22" s="1">
        <f t="shared" si="25"/>
        <v>0</v>
      </c>
      <c r="CD22" s="1"/>
      <c r="CE22">
        <f>+datos!DA1</f>
        <v>105</v>
      </c>
      <c r="CF22" s="2">
        <f t="shared" si="26"/>
        <v>15277.155036119444</v>
      </c>
      <c r="CG22" s="2">
        <f t="shared" si="26"/>
        <v>14515.365312140437</v>
      </c>
      <c r="CH22" s="2">
        <f t="shared" si="26"/>
        <v>11146.953028632286</v>
      </c>
      <c r="CI22" s="1"/>
      <c r="CK22" s="1">
        <f t="shared" ref="CK22:CZ24" si="42">+VLOOKUP(CK$1,ran_dat,$BS22,FALSE)</f>
        <v>112.95555809</v>
      </c>
      <c r="CL22" s="1">
        <f t="shared" si="42"/>
        <v>36.186583909999996</v>
      </c>
      <c r="CM22" s="1">
        <f t="shared" si="42"/>
        <v>56.707234039999996</v>
      </c>
      <c r="CN22" s="1">
        <f t="shared" si="42"/>
        <v>37.459973120000001</v>
      </c>
      <c r="CO22" s="1">
        <f t="shared" si="42"/>
        <v>10.172513039999997</v>
      </c>
      <c r="CP22" s="1">
        <f t="shared" si="42"/>
        <v>86.187029549999991</v>
      </c>
      <c r="CQ22" s="1">
        <f t="shared" si="42"/>
        <v>13.8144042</v>
      </c>
      <c r="CR22" s="1">
        <f t="shared" si="42"/>
        <v>30.603557829999996</v>
      </c>
      <c r="CS22" s="1">
        <f t="shared" si="42"/>
        <v>71.370433359999993</v>
      </c>
      <c r="CT22" s="1">
        <f t="shared" si="42"/>
        <v>81.464957519999999</v>
      </c>
      <c r="CU22" s="1">
        <f t="shared" si="42"/>
        <v>72.4463358</v>
      </c>
      <c r="CV22" s="1">
        <f t="shared" si="42"/>
        <v>45.834687599999995</v>
      </c>
      <c r="CW22" s="1">
        <f t="shared" si="42"/>
        <v>54.830270300000002</v>
      </c>
      <c r="CX22" s="1">
        <f t="shared" si="42"/>
        <v>93.57534471000001</v>
      </c>
      <c r="CY22" s="1">
        <f t="shared" si="42"/>
        <v>121.04017274</v>
      </c>
      <c r="CZ22" s="1">
        <f t="shared" si="42"/>
        <v>27.891120319999999</v>
      </c>
      <c r="DA22" s="1">
        <f t="shared" ref="DA22:DH24" si="43">+VLOOKUP(DA$1,ran_dat,$BS22,FALSE)</f>
        <v>5.5120895000000001</v>
      </c>
      <c r="DB22" s="1">
        <f t="shared" si="43"/>
        <v>9.7228914799999995</v>
      </c>
      <c r="DC22" s="1">
        <f t="shared" si="43"/>
        <v>6.2035308000000002</v>
      </c>
      <c r="DD22" s="1">
        <f t="shared" si="43"/>
        <v>65.18720725</v>
      </c>
      <c r="DE22" s="1">
        <f t="shared" si="43"/>
        <v>34.962073999999994</v>
      </c>
      <c r="DF22" s="1">
        <f t="shared" si="43"/>
        <v>41.640055749999995</v>
      </c>
      <c r="DG22" s="1">
        <f t="shared" si="43"/>
        <v>54.488227269999996</v>
      </c>
      <c r="DH22" s="1">
        <f t="shared" si="43"/>
        <v>45.888815350000002</v>
      </c>
      <c r="DJ22" s="1">
        <f t="shared" ref="DJ22:DY24" si="44">+VLOOKUP(DJ$1,ran_dat,$BW22,FALSE)</f>
        <v>4.311670369999999</v>
      </c>
      <c r="DK22" s="1">
        <f t="shared" si="44"/>
        <v>6.0739887699999997</v>
      </c>
      <c r="DL22" s="1">
        <f t="shared" si="44"/>
        <v>4.24949917</v>
      </c>
      <c r="DM22" s="1">
        <f t="shared" si="44"/>
        <v>5.1064074300000009</v>
      </c>
      <c r="DN22" s="1">
        <f t="shared" si="44"/>
        <v>3.8621701900000001</v>
      </c>
      <c r="DO22" s="1">
        <f t="shared" si="44"/>
        <v>4.1810604400000004</v>
      </c>
      <c r="DP22" s="1">
        <f t="shared" si="44"/>
        <v>2.54586113</v>
      </c>
      <c r="DQ22" s="1">
        <f t="shared" si="44"/>
        <v>3.7941515599999995</v>
      </c>
      <c r="DR22" s="1">
        <f t="shared" si="44"/>
        <v>4.1345480800000001</v>
      </c>
      <c r="DS22" s="1">
        <f t="shared" si="44"/>
        <v>4.4276183800000002</v>
      </c>
      <c r="DT22" s="1">
        <f t="shared" si="44"/>
        <v>4.1999923900000002</v>
      </c>
      <c r="DU22" s="1">
        <f t="shared" si="44"/>
        <v>3.4339864000000002</v>
      </c>
      <c r="DV22" s="1">
        <f t="shared" si="44"/>
        <v>2.5223350999999994</v>
      </c>
      <c r="DW22" s="1">
        <f t="shared" si="44"/>
        <v>3.5013919399999995</v>
      </c>
      <c r="DX22" s="1">
        <f t="shared" si="44"/>
        <v>4.00557768</v>
      </c>
      <c r="DY22" s="1">
        <f t="shared" si="44"/>
        <v>5.1774083700000002</v>
      </c>
      <c r="DZ22" s="1">
        <f t="shared" si="41"/>
        <v>5.7823087099999997</v>
      </c>
      <c r="EA22" s="1">
        <f t="shared" si="41"/>
        <v>5.6310443999999995</v>
      </c>
      <c r="EB22" s="1">
        <f t="shared" si="41"/>
        <v>4.1108512499999996</v>
      </c>
      <c r="EC22" s="1">
        <f t="shared" si="41"/>
        <v>6.9241559000000006</v>
      </c>
      <c r="ED22" s="1">
        <f t="shared" si="41"/>
        <v>4.9762964800000002</v>
      </c>
      <c r="EE22" s="1">
        <f t="shared" si="41"/>
        <v>5.7062324599999998</v>
      </c>
      <c r="EF22" s="1">
        <f t="shared" si="41"/>
        <v>5.3893107900000006</v>
      </c>
      <c r="EG22" s="1">
        <f t="shared" si="41"/>
        <v>5.0602291599999996</v>
      </c>
      <c r="EI22" s="14">
        <f t="shared" si="40"/>
        <v>0</v>
      </c>
      <c r="EJ22" s="14">
        <f t="shared" si="40"/>
        <v>0</v>
      </c>
      <c r="EK22" s="1">
        <f t="shared" si="40"/>
        <v>0</v>
      </c>
      <c r="EL22" s="1">
        <f t="shared" si="40"/>
        <v>0</v>
      </c>
      <c r="EM22" s="1">
        <f t="shared" si="40"/>
        <v>0</v>
      </c>
      <c r="EN22" s="1">
        <f t="shared" si="40"/>
        <v>0</v>
      </c>
      <c r="EO22" s="1">
        <f t="shared" si="40"/>
        <v>0</v>
      </c>
      <c r="EP22" s="1">
        <f t="shared" si="40"/>
        <v>0</v>
      </c>
      <c r="EQ22" s="1">
        <f t="shared" si="40"/>
        <v>0</v>
      </c>
      <c r="ER22" s="1">
        <f t="shared" si="40"/>
        <v>0</v>
      </c>
      <c r="ES22" s="1">
        <f t="shared" si="40"/>
        <v>0</v>
      </c>
      <c r="ET22" s="1">
        <f t="shared" si="40"/>
        <v>0</v>
      </c>
      <c r="EU22" s="1">
        <f t="shared" si="40"/>
        <v>0</v>
      </c>
      <c r="EV22" s="1">
        <f t="shared" si="40"/>
        <v>0</v>
      </c>
      <c r="EW22" s="1">
        <f t="shared" si="40"/>
        <v>0</v>
      </c>
      <c r="EX22" s="1">
        <f t="shared" ref="EX22:FF24" si="45">+VLOOKUP(EX$1,ran_dat,$CA22,FALSE)</f>
        <v>0</v>
      </c>
      <c r="EY22" s="1">
        <f t="shared" si="45"/>
        <v>0</v>
      </c>
      <c r="EZ22" s="1">
        <f t="shared" si="45"/>
        <v>0</v>
      </c>
      <c r="FA22" s="1">
        <f t="shared" si="45"/>
        <v>0</v>
      </c>
      <c r="FB22" s="1">
        <f t="shared" si="45"/>
        <v>0</v>
      </c>
      <c r="FC22" s="1">
        <f t="shared" si="45"/>
        <v>0</v>
      </c>
      <c r="FD22" s="1">
        <f t="shared" si="45"/>
        <v>0</v>
      </c>
      <c r="FE22" s="1">
        <f t="shared" si="45"/>
        <v>0</v>
      </c>
      <c r="FF22" s="1">
        <f t="shared" si="45"/>
        <v>0</v>
      </c>
      <c r="FH22" s="162">
        <f t="shared" si="32"/>
        <v>-7.0363630592412463E-2</v>
      </c>
    </row>
    <row r="23" spans="1:164" ht="18.75" customHeight="1">
      <c r="A23" s="244" t="s">
        <v>219</v>
      </c>
      <c r="B23" s="247"/>
      <c r="C23" s="228">
        <f t="shared" si="5"/>
        <v>-0.99</v>
      </c>
      <c r="D23" s="229">
        <v>-1</v>
      </c>
      <c r="E23" s="253">
        <f t="shared" si="6"/>
        <v>2.3515594763042547E-2</v>
      </c>
      <c r="F23" s="254">
        <f t="shared" si="7"/>
        <v>2.3778704951806784E-3</v>
      </c>
      <c r="G23" s="253">
        <f t="shared" si="8"/>
        <v>5.6305134695180392E-2</v>
      </c>
      <c r="H23" s="254">
        <f t="shared" si="9"/>
        <v>-3.2789539932137846E-2</v>
      </c>
      <c r="I23" s="253">
        <f t="shared" si="10"/>
        <v>-7.3929538217408775E-2</v>
      </c>
      <c r="J23" s="254">
        <f t="shared" si="11"/>
        <v>-0.41218639027137671</v>
      </c>
      <c r="K23" s="253">
        <f t="shared" si="12"/>
        <v>0.35104741641120141</v>
      </c>
      <c r="L23" s="254">
        <f t="shared" si="13"/>
        <v>-0.42497695462861018</v>
      </c>
      <c r="M23" s="255"/>
      <c r="N23" s="256">
        <v>-2</v>
      </c>
      <c r="O23" s="253">
        <f t="shared" si="33"/>
        <v>0</v>
      </c>
      <c r="P23" s="257">
        <f t="shared" si="34"/>
        <v>0</v>
      </c>
      <c r="Q23" s="253">
        <f t="shared" si="14"/>
        <v>-7.6201048455332931E-2</v>
      </c>
      <c r="R23" s="257">
        <f t="shared" si="35"/>
        <v>-7.6201048455332931E-2</v>
      </c>
      <c r="S23" s="255"/>
      <c r="T23" s="256">
        <v>0</v>
      </c>
      <c r="U23" s="253">
        <f t="shared" si="15"/>
        <v>-8.4903605854259157E-2</v>
      </c>
      <c r="V23" s="258">
        <f t="shared" si="16"/>
        <v>-8.4903605854259157E-2</v>
      </c>
      <c r="W23" s="253">
        <f t="shared" si="36"/>
        <v>0.18562153774039936</v>
      </c>
      <c r="X23" s="258">
        <f t="shared" si="17"/>
        <v>0.18562153774039936</v>
      </c>
      <c r="Y23" s="253">
        <f t="shared" si="37"/>
        <v>-5.9701492537313272E-2</v>
      </c>
      <c r="Z23" s="258">
        <f t="shared" si="18"/>
        <v>-5.9701492537313272E-2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VLOOKUP($A23,historia!$A$5:$DD$24,+HLOOKUP(AP$2,historia!$A$3:$EC$4,2,FALSE),FALSE)</f>
        <v>4</v>
      </c>
      <c r="AQ23" s="28">
        <f>VLOOKUP($A23,historia!$A$5:$DD$24,+HLOOKUP(AQ$2,historia!$A$3:$EC$4,2,FALSE),FALSE)</f>
        <v>4</v>
      </c>
      <c r="AR23" s="28">
        <f>VLOOKUP($A23,historia!$A$5:$DD$24,+HLOOKUP(AR$2,historia!$A$3:$EC$4,2,FALSE),FALSE)</f>
        <v>4</v>
      </c>
      <c r="AS23" s="28">
        <f>VLOOKUP($A23,historia!$A$5:$DD$24,+HLOOKUP(AS$2,historia!$A$3:$EC$4,2,FALSE),FALSE)</f>
        <v>4</v>
      </c>
      <c r="AT23" s="58">
        <f>VLOOKUP($A23,historia!$A$5:$DD$24,+HLOOKUP(AT$2,historia!$A$3:$EC$4,2,FALSE),FALSE)</f>
        <v>4</v>
      </c>
      <c r="AU23" s="58">
        <f>VLOOKUP($A23,historia!$A$5:$DD$24,+HLOOKUP(AU$2,historia!$A$3:$EC$4,2,FALSE),FALSE)</f>
        <v>5</v>
      </c>
      <c r="AV23" s="58">
        <f>VLOOKUP($A23,historia!$A$5:$DD$24,+HLOOKUP(AV$2,historia!$A$3:$EC$4,2,FALSE),FALSE)</f>
        <v>5</v>
      </c>
      <c r="AW23" s="58">
        <f>VLOOKUP($A23,historia!$A$5:$DD$24,+HLOOKUP(AW$2,historia!$A$3:$EC$4,2,FALSE),FALSE)</f>
        <v>4</v>
      </c>
      <c r="AX23" s="58">
        <f>VLOOKUP($A23,historia!$A$5:$DD$24,+HLOOKUP(AX$2,historia!$A$3:$EC$4,2,FALSE),FALSE)</f>
        <v>5</v>
      </c>
      <c r="AY23" s="58">
        <f>VLOOKUP($A23,historia!$A$5:$DD$24,+HLOOKUP(AY$2,historia!$A$3:$EC$4,2,FALSE),FALSE)</f>
        <v>4</v>
      </c>
      <c r="AZ23" s="58">
        <f>VLOOKUP($A23,historia!$A$5:$DD$24,+HLOOKUP(AZ$2,historia!$A$3:$EC$4,2,FALSE),FALSE)</f>
        <v>4</v>
      </c>
      <c r="BA23" s="58">
        <f>VLOOKUP($A23,historia!$A$5:$DG$24,+HLOOKUP(BA$2,historia!$A$3:$EC$4,2,FALSE),FALSE)</f>
        <v>5</v>
      </c>
      <c r="BB23" s="58"/>
      <c r="BC23" s="286">
        <v>5</v>
      </c>
      <c r="BD23" t="str">
        <f t="shared" si="19"/>
        <v>Vino y Mosto</v>
      </c>
      <c r="BE23">
        <f>+datos!AM1</f>
        <v>39</v>
      </c>
      <c r="BF23" s="2" t="str">
        <f t="shared" si="4"/>
        <v>$/l</v>
      </c>
      <c r="BG23" s="2">
        <f t="shared" si="4"/>
        <v>260.74940000000004</v>
      </c>
      <c r="BH23" s="2">
        <f t="shared" si="4"/>
        <v>254.7586</v>
      </c>
      <c r="BI23" s="2">
        <f t="shared" si="4"/>
        <v>281.56540000000001</v>
      </c>
      <c r="BK23" s="1">
        <f>+datos!EF1</f>
        <v>136</v>
      </c>
      <c r="BL23" s="1">
        <f t="shared" si="20"/>
        <v>196220</v>
      </c>
      <c r="BM23" s="1">
        <f t="shared" si="20"/>
        <v>196220</v>
      </c>
      <c r="BO23" s="1">
        <f>+datos!GB1</f>
        <v>184</v>
      </c>
      <c r="BP23" s="1">
        <f t="shared" si="21"/>
        <v>18391299</v>
      </c>
      <c r="BQ23" s="1">
        <f t="shared" si="21"/>
        <v>19908335</v>
      </c>
      <c r="BS23" s="1">
        <f>+datos!JU1</f>
        <v>281</v>
      </c>
      <c r="BT23" s="1">
        <f t="shared" si="38"/>
        <v>910.12441154999999</v>
      </c>
      <c r="BU23" s="1">
        <f t="shared" si="39"/>
        <v>994.5667116300001</v>
      </c>
      <c r="BW23" s="1">
        <f>+datos!KZ1</f>
        <v>312</v>
      </c>
      <c r="BX23" s="2">
        <f t="shared" si="22"/>
        <v>41.391477090000009</v>
      </c>
      <c r="BY23" s="2">
        <f t="shared" si="23"/>
        <v>34.911205449999997</v>
      </c>
      <c r="CA23" s="1">
        <f>+datos!IQ1</f>
        <v>251</v>
      </c>
      <c r="CB23" s="2">
        <f t="shared" si="24"/>
        <v>15.120000000000001</v>
      </c>
      <c r="CC23" s="2">
        <f t="shared" si="25"/>
        <v>16.079999999999998</v>
      </c>
      <c r="CD23" s="2"/>
      <c r="CE23">
        <f>+datos!CP1</f>
        <v>94</v>
      </c>
      <c r="CF23" s="2">
        <f t="shared" si="26"/>
        <v>15749.771514937305</v>
      </c>
      <c r="CG23" s="2">
        <f t="shared" si="26"/>
        <v>14910.247993334087</v>
      </c>
      <c r="CH23" s="2">
        <f t="shared" si="26"/>
        <v>11657.452820400305</v>
      </c>
      <c r="CI23" s="2"/>
      <c r="CK23" s="1">
        <f t="shared" si="42"/>
        <v>52.457926919999998</v>
      </c>
      <c r="CL23" s="1">
        <f t="shared" si="42"/>
        <v>79.130319490000005</v>
      </c>
      <c r="CM23" s="1">
        <f t="shared" si="42"/>
        <v>85.65420979999999</v>
      </c>
      <c r="CN23" s="1">
        <f t="shared" si="42"/>
        <v>77.857583390000002</v>
      </c>
      <c r="CO23" s="1">
        <f t="shared" si="42"/>
        <v>79.896688470000015</v>
      </c>
      <c r="CP23" s="1">
        <f t="shared" si="42"/>
        <v>62.074398439999996</v>
      </c>
      <c r="CQ23" s="1">
        <f t="shared" si="42"/>
        <v>51.281836970000001</v>
      </c>
      <c r="CR23" s="1">
        <f t="shared" si="42"/>
        <v>78.732425000000021</v>
      </c>
      <c r="CS23" s="1">
        <f t="shared" si="42"/>
        <v>78.044882909999998</v>
      </c>
      <c r="CT23" s="1">
        <f t="shared" si="42"/>
        <v>79.565238250000007</v>
      </c>
      <c r="CU23" s="1">
        <f t="shared" si="42"/>
        <v>103.29015631000003</v>
      </c>
      <c r="CV23" s="1">
        <f t="shared" si="42"/>
        <v>82.138745600000007</v>
      </c>
      <c r="CW23" s="1">
        <f t="shared" si="42"/>
        <v>101.39273792999998</v>
      </c>
      <c r="CX23" s="1">
        <f t="shared" si="42"/>
        <v>71.170798900000008</v>
      </c>
      <c r="CY23" s="1">
        <f t="shared" si="42"/>
        <v>88.994061629999976</v>
      </c>
      <c r="CZ23" s="1">
        <f t="shared" si="42"/>
        <v>77.155977009999987</v>
      </c>
      <c r="DA23" s="1">
        <f t="shared" si="43"/>
        <v>74.722979570000021</v>
      </c>
      <c r="DB23" s="1">
        <f t="shared" si="43"/>
        <v>63.754065359999977</v>
      </c>
      <c r="DC23" s="1">
        <f t="shared" si="43"/>
        <v>50.923025279999997</v>
      </c>
      <c r="DD23" s="1">
        <f t="shared" si="43"/>
        <v>85.381089520000018</v>
      </c>
      <c r="DE23" s="1">
        <f t="shared" si="43"/>
        <v>87.09478919</v>
      </c>
      <c r="DF23" s="1">
        <f t="shared" si="43"/>
        <v>88.790830600000021</v>
      </c>
      <c r="DG23" s="1">
        <f t="shared" si="43"/>
        <v>106.11166329999998</v>
      </c>
      <c r="DH23" s="1">
        <f t="shared" si="43"/>
        <v>99.074693340000039</v>
      </c>
      <c r="DJ23" s="1">
        <f t="shared" si="44"/>
        <v>3.9608430999999995</v>
      </c>
      <c r="DK23" s="1">
        <f t="shared" si="44"/>
        <v>3.2996336199999998</v>
      </c>
      <c r="DL23" s="1">
        <f t="shared" si="44"/>
        <v>3.0241928699999998</v>
      </c>
      <c r="DM23" s="1">
        <f t="shared" si="44"/>
        <v>4.4863890000000008</v>
      </c>
      <c r="DN23" s="1">
        <f t="shared" si="44"/>
        <v>2.3774346500000001</v>
      </c>
      <c r="DO23" s="1">
        <f t="shared" si="44"/>
        <v>1.8929445199999999</v>
      </c>
      <c r="DP23" s="1">
        <f t="shared" si="44"/>
        <v>0.82771172999999998</v>
      </c>
      <c r="DQ23" s="1">
        <f t="shared" si="44"/>
        <v>2.0960773500000003</v>
      </c>
      <c r="DR23" s="1">
        <f t="shared" si="44"/>
        <v>4.0370959900000001</v>
      </c>
      <c r="DS23" s="1">
        <f t="shared" si="44"/>
        <v>5.8187882499999999</v>
      </c>
      <c r="DT23" s="1">
        <f t="shared" si="44"/>
        <v>6.2238594599999999</v>
      </c>
      <c r="DU23" s="1">
        <f t="shared" si="44"/>
        <v>3.3465065500000004</v>
      </c>
      <c r="DV23" s="1">
        <f t="shared" si="44"/>
        <v>3.10878063</v>
      </c>
      <c r="DW23" s="1">
        <f t="shared" si="44"/>
        <v>5.0584831100000001</v>
      </c>
      <c r="DX23" s="1">
        <f t="shared" si="44"/>
        <v>4.0554375800000004</v>
      </c>
      <c r="DY23" s="1">
        <f t="shared" si="44"/>
        <v>3.476448889999999</v>
      </c>
      <c r="DZ23" s="1">
        <f t="shared" si="41"/>
        <v>3.23844815</v>
      </c>
      <c r="EA23" s="1">
        <f t="shared" si="41"/>
        <v>1.94679845</v>
      </c>
      <c r="EB23" s="1">
        <f t="shared" si="41"/>
        <v>0.41117072999999998</v>
      </c>
      <c r="EC23" s="1">
        <f t="shared" si="41"/>
        <v>1.6918772199999998</v>
      </c>
      <c r="ED23" s="1">
        <f t="shared" si="41"/>
        <v>4.1008112300000006</v>
      </c>
      <c r="EE23" s="1">
        <f t="shared" si="41"/>
        <v>2.9628047099999995</v>
      </c>
      <c r="EF23" s="1">
        <f t="shared" si="41"/>
        <v>2.4415022799999999</v>
      </c>
      <c r="EG23" s="1">
        <f t="shared" si="41"/>
        <v>2.4186424700000004</v>
      </c>
      <c r="EI23" s="14">
        <f t="shared" ref="EI23:EX24" si="46">+VLOOKUP(EI$1,ran_dat,$CA23,FALSE)</f>
        <v>15.120000000000001</v>
      </c>
      <c r="EJ23" s="14">
        <f t="shared" si="46"/>
        <v>14.76</v>
      </c>
      <c r="EK23" s="1">
        <f t="shared" si="46"/>
        <v>14.52</v>
      </c>
      <c r="EL23" s="1">
        <f t="shared" si="46"/>
        <v>14.52</v>
      </c>
      <c r="EM23" s="1">
        <f t="shared" si="46"/>
        <v>14.399999999999999</v>
      </c>
      <c r="EN23" s="1">
        <f t="shared" si="46"/>
        <v>13.74</v>
      </c>
      <c r="EO23" s="1">
        <f t="shared" si="46"/>
        <v>14.399999999999999</v>
      </c>
      <c r="EP23" s="1">
        <f t="shared" si="46"/>
        <v>16.079999999999998</v>
      </c>
      <c r="EQ23" s="1">
        <f t="shared" si="46"/>
        <v>16.079999999999998</v>
      </c>
      <c r="ER23" s="1">
        <f t="shared" si="46"/>
        <v>16.079999999999998</v>
      </c>
      <c r="ES23" s="1">
        <f t="shared" si="46"/>
        <v>16.079999999999998</v>
      </c>
      <c r="ET23" s="1">
        <f t="shared" si="46"/>
        <v>16.079999999999998</v>
      </c>
      <c r="EU23" s="1">
        <f t="shared" si="46"/>
        <v>16.079999999999998</v>
      </c>
      <c r="EV23" s="1">
        <f t="shared" si="46"/>
        <v>16.079999999999998</v>
      </c>
      <c r="EW23" s="1">
        <f t="shared" si="46"/>
        <v>16.079999999999998</v>
      </c>
      <c r="EX23" s="1">
        <f t="shared" si="46"/>
        <v>16.079999999999998</v>
      </c>
      <c r="EY23" s="1">
        <f t="shared" si="45"/>
        <v>16.079999999999998</v>
      </c>
      <c r="EZ23" s="1">
        <f t="shared" si="45"/>
        <v>16.079999999999998</v>
      </c>
      <c r="FA23" s="1">
        <f t="shared" si="45"/>
        <v>16.079999999999998</v>
      </c>
      <c r="FB23" s="1">
        <f t="shared" si="45"/>
        <v>16.3</v>
      </c>
      <c r="FC23" s="1">
        <f t="shared" si="45"/>
        <v>16.3</v>
      </c>
      <c r="FD23" s="1">
        <f t="shared" si="45"/>
        <v>16.3</v>
      </c>
      <c r="FE23" s="1">
        <f t="shared" si="45"/>
        <v>16.3</v>
      </c>
      <c r="FF23" s="1">
        <f t="shared" si="45"/>
        <v>16.3</v>
      </c>
      <c r="FH23" s="162">
        <f t="shared" si="32"/>
        <v>-0.42497695462861018</v>
      </c>
    </row>
    <row r="24" spans="1:164" ht="18.75" customHeight="1">
      <c r="A24" s="243" t="s">
        <v>39</v>
      </c>
      <c r="B24" s="246"/>
      <c r="C24" s="156">
        <f t="shared" si="5"/>
        <v>-0.65999999999999992</v>
      </c>
      <c r="D24" s="198">
        <v>-3</v>
      </c>
      <c r="E24" s="248">
        <f t="shared" si="6"/>
        <v>0</v>
      </c>
      <c r="F24" s="249">
        <f t="shared" si="7"/>
        <v>-2.1137724267861868E-2</v>
      </c>
      <c r="G24" s="248">
        <f t="shared" si="8"/>
        <v>4.809753342862999E-2</v>
      </c>
      <c r="H24" s="249">
        <f t="shared" si="9"/>
        <v>-4.809753342862999E-2</v>
      </c>
      <c r="I24" s="248">
        <f t="shared" si="10"/>
        <v>-0.1333333333333333</v>
      </c>
      <c r="J24" s="249">
        <f t="shared" si="11"/>
        <v>-0.47159018538730124</v>
      </c>
      <c r="K24" s="248">
        <f t="shared" si="12"/>
        <v>0.31636457023365727</v>
      </c>
      <c r="L24" s="249">
        <f t="shared" si="13"/>
        <v>-0.44969790356699058</v>
      </c>
      <c r="M24" s="250"/>
      <c r="N24" s="24">
        <v>1</v>
      </c>
      <c r="O24" s="248">
        <f t="shared" si="33"/>
        <v>0</v>
      </c>
      <c r="P24" s="251">
        <f t="shared" si="34"/>
        <v>0</v>
      </c>
      <c r="Q24" s="248">
        <f t="shared" si="14"/>
        <v>-7.8287929497144138E-2</v>
      </c>
      <c r="R24" s="251">
        <f t="shared" si="35"/>
        <v>-7.8287929497144138E-2</v>
      </c>
      <c r="S24" s="250"/>
      <c r="T24" s="24">
        <v>0</v>
      </c>
      <c r="U24" s="248">
        <f t="shared" si="15"/>
        <v>7.1793453134332719E-2</v>
      </c>
      <c r="V24" s="252">
        <f t="shared" si="16"/>
        <v>7.1793453134332719E-2</v>
      </c>
      <c r="W24" s="248">
        <f t="shared" si="36"/>
        <v>-9.8922138545690097E-2</v>
      </c>
      <c r="X24" s="258">
        <f t="shared" si="17"/>
        <v>-9.8922138545690097E-2</v>
      </c>
      <c r="Y24" s="248">
        <f t="shared" si="37"/>
        <v>8.6389827391507801E-2</v>
      </c>
      <c r="Z24" s="252">
        <f t="shared" si="18"/>
        <v>8.6389827391507801E-2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VLOOKUP($A24,historia!$A$5:$DD$24,+HLOOKUP(AP$2,historia!$A$3:$EC$4,2,FALSE),FALSE)</f>
        <v>4</v>
      </c>
      <c r="AQ24" s="28">
        <f>VLOOKUP($A24,historia!$A$5:$DD$24,+HLOOKUP(AQ$2,historia!$A$3:$EC$4,2,FALSE),FALSE)</f>
        <v>4</v>
      </c>
      <c r="AR24" s="28">
        <f>VLOOKUP($A24,historia!$A$5:$DD$24,+HLOOKUP(AR$2,historia!$A$3:$EC$4,2,FALSE),FALSE)</f>
        <v>4</v>
      </c>
      <c r="AS24" s="28">
        <f>VLOOKUP($A24,historia!$A$5:$DD$24,+HLOOKUP(AS$2,historia!$A$3:$EC$4,2,FALSE),FALSE)</f>
        <v>4</v>
      </c>
      <c r="AT24" s="58">
        <f>VLOOKUP($A24,historia!$A$5:$DD$24,+HLOOKUP(AT$2,historia!$A$3:$EC$4,2,FALSE),FALSE)</f>
        <v>4</v>
      </c>
      <c r="AU24" s="58">
        <f>VLOOKUP($A24,historia!$A$5:$DD$24,+HLOOKUP(AU$2,historia!$A$3:$EC$4,2,FALSE),FALSE)</f>
        <v>4</v>
      </c>
      <c r="AV24" s="58">
        <f>VLOOKUP($A24,historia!$A$5:$DD$24,+HLOOKUP(AV$2,historia!$A$3:$EC$4,2,FALSE),FALSE)</f>
        <v>4</v>
      </c>
      <c r="AW24" s="58">
        <f>VLOOKUP($A24,historia!$A$5:$DD$24,+HLOOKUP(AW$2,historia!$A$3:$EC$4,2,FALSE),FALSE)</f>
        <v>4</v>
      </c>
      <c r="AX24" s="58">
        <f>VLOOKUP($A24,historia!$A$5:$DD$24,+HLOOKUP(AX$2,historia!$A$3:$EC$4,2,FALSE),FALSE)</f>
        <v>4</v>
      </c>
      <c r="AY24" s="58">
        <f>VLOOKUP($A24,historia!$A$5:$DD$24,+HLOOKUP(AY$2,historia!$A$3:$EC$4,2,FALSE),FALSE)</f>
        <v>4</v>
      </c>
      <c r="AZ24" s="58">
        <f>VLOOKUP($A24,historia!$A$5:$DD$24,+HLOOKUP(AZ$2,historia!$A$3:$EC$4,2,FALSE),FALSE)</f>
        <v>4</v>
      </c>
      <c r="BA24" s="58">
        <f>VLOOKUP($A24,historia!$A$5:$DG$24,+HLOOKUP(BA$2,historia!$A$3:$EC$4,2,FALSE),FALSE)</f>
        <v>4</v>
      </c>
      <c r="BB24" s="58"/>
      <c r="BC24" s="286">
        <v>4</v>
      </c>
      <c r="BD24" t="str">
        <f t="shared" si="19"/>
        <v>Yerba Mate</v>
      </c>
      <c r="BE24">
        <f>+datos!AG1</f>
        <v>33</v>
      </c>
      <c r="BF24" s="2" t="str">
        <f t="shared" si="4"/>
        <v>$/t</v>
      </c>
      <c r="BG24" s="2">
        <f t="shared" si="4"/>
        <v>260000</v>
      </c>
      <c r="BH24" s="2">
        <f t="shared" si="4"/>
        <v>260000</v>
      </c>
      <c r="BI24" s="2">
        <f t="shared" si="4"/>
        <v>300000</v>
      </c>
      <c r="BK24" s="1">
        <f>+datos!ED1</f>
        <v>134</v>
      </c>
      <c r="BL24" s="1">
        <f t="shared" si="20"/>
        <v>231352</v>
      </c>
      <c r="BM24" s="1">
        <f t="shared" si="20"/>
        <v>231352</v>
      </c>
      <c r="BO24" s="1">
        <f>+datos!FZ1</f>
        <v>182</v>
      </c>
      <c r="BP24" s="1">
        <f t="shared" si="21"/>
        <v>817662.76</v>
      </c>
      <c r="BQ24" s="1">
        <f t="shared" si="21"/>
        <v>887113</v>
      </c>
      <c r="BS24" s="1">
        <f>+datos!KD1</f>
        <v>290</v>
      </c>
      <c r="BT24" s="1">
        <f t="shared" si="38"/>
        <v>126.80157035999997</v>
      </c>
      <c r="BU24" s="1">
        <f t="shared" si="39"/>
        <v>118.30784186000001</v>
      </c>
      <c r="BW24" s="1">
        <f>+datos!LI1</f>
        <v>321</v>
      </c>
      <c r="BX24" s="2">
        <f t="shared" si="22"/>
        <v>20.894752390000001</v>
      </c>
      <c r="BY24" s="2">
        <f t="shared" si="23"/>
        <v>23.188620300000004</v>
      </c>
      <c r="CA24" s="1">
        <f>+datos!IP1</f>
        <v>250</v>
      </c>
      <c r="CB24" s="2">
        <f t="shared" si="24"/>
        <v>6.2385652276314589</v>
      </c>
      <c r="CC24" s="2">
        <f t="shared" si="25"/>
        <v>5.7424738987207355</v>
      </c>
      <c r="CD24" s="2"/>
      <c r="CE24">
        <f>+datos!CY1</f>
        <v>103</v>
      </c>
      <c r="CF24" s="2">
        <f t="shared" si="26"/>
        <v>14316.743579844058</v>
      </c>
      <c r="CG24" s="2">
        <f t="shared" si="26"/>
        <v>13659.743605167978</v>
      </c>
      <c r="CH24" s="2">
        <f t="shared" si="26"/>
        <v>10875.971523073436</v>
      </c>
      <c r="CI24" s="2"/>
      <c r="CK24" s="1">
        <f t="shared" si="42"/>
        <v>10.842702859999999</v>
      </c>
      <c r="CL24" s="1">
        <f t="shared" si="42"/>
        <v>11.89200067</v>
      </c>
      <c r="CM24" s="1">
        <f t="shared" si="42"/>
        <v>10.248770849999998</v>
      </c>
      <c r="CN24" s="1">
        <f t="shared" si="42"/>
        <v>6.8683825000000009</v>
      </c>
      <c r="CO24" s="1">
        <f t="shared" si="42"/>
        <v>11.30577291</v>
      </c>
      <c r="CP24" s="1">
        <f t="shared" si="42"/>
        <v>6.4893821299999992</v>
      </c>
      <c r="CQ24" s="1">
        <f t="shared" si="42"/>
        <v>7.9660401599999986</v>
      </c>
      <c r="CR24" s="1">
        <f t="shared" si="42"/>
        <v>11.742414109999999</v>
      </c>
      <c r="CS24" s="1">
        <f t="shared" si="42"/>
        <v>9.2986503200000001</v>
      </c>
      <c r="CT24" s="1">
        <f t="shared" si="42"/>
        <v>19.294760099999998</v>
      </c>
      <c r="CU24" s="1">
        <f t="shared" si="42"/>
        <v>12.267837869999999</v>
      </c>
      <c r="CV24" s="1">
        <f t="shared" si="42"/>
        <v>8.5848558799999992</v>
      </c>
      <c r="CW24" s="1">
        <f t="shared" si="42"/>
        <v>12.502816449999999</v>
      </c>
      <c r="CX24" s="1">
        <f t="shared" si="42"/>
        <v>10.79513302</v>
      </c>
      <c r="CY24" s="1">
        <f t="shared" si="42"/>
        <v>10.492918690000002</v>
      </c>
      <c r="CZ24" s="1">
        <f t="shared" si="42"/>
        <v>7.4906505000000001</v>
      </c>
      <c r="DA24" s="1">
        <f t="shared" si="43"/>
        <v>7.8719914600000003</v>
      </c>
      <c r="DB24" s="1">
        <f t="shared" si="43"/>
        <v>9.8166064800000008</v>
      </c>
      <c r="DC24" s="1">
        <f t="shared" si="43"/>
        <v>7.1690497699999991</v>
      </c>
      <c r="DD24" s="1">
        <f t="shared" si="43"/>
        <v>10.805856030000001</v>
      </c>
      <c r="DE24" s="1">
        <f t="shared" si="43"/>
        <v>10.476429469999998</v>
      </c>
      <c r="DF24" s="1">
        <f t="shared" si="43"/>
        <v>11.361751129999998</v>
      </c>
      <c r="DG24" s="1">
        <f t="shared" si="43"/>
        <v>10.05873476</v>
      </c>
      <c r="DH24" s="1">
        <f t="shared" si="43"/>
        <v>9.4659040999999995</v>
      </c>
      <c r="DJ24" s="1">
        <f t="shared" si="44"/>
        <v>2.6990890000000003</v>
      </c>
      <c r="DK24" s="1">
        <f t="shared" si="44"/>
        <v>1.6436615300000001</v>
      </c>
      <c r="DL24" s="1">
        <f t="shared" si="44"/>
        <v>3.1947428599999999</v>
      </c>
      <c r="DM24" s="1">
        <f t="shared" si="44"/>
        <v>1.8068878900000003</v>
      </c>
      <c r="DN24" s="1">
        <f t="shared" si="44"/>
        <v>1.08154503</v>
      </c>
      <c r="DO24" s="1">
        <f t="shared" si="44"/>
        <v>1.2853964200000001</v>
      </c>
      <c r="DP24" s="1">
        <f t="shared" si="44"/>
        <v>1.1258133800000001</v>
      </c>
      <c r="DQ24" s="1">
        <f t="shared" si="44"/>
        <v>1.20972141</v>
      </c>
      <c r="DR24" s="1">
        <f t="shared" si="44"/>
        <v>1.0549183800000002</v>
      </c>
      <c r="DS24" s="1">
        <f t="shared" si="44"/>
        <v>1.9397561100000003</v>
      </c>
      <c r="DT24" s="1">
        <f t="shared" si="44"/>
        <v>2.1093840299999997</v>
      </c>
      <c r="DU24" s="1">
        <f t="shared" si="44"/>
        <v>1.7438363500000003</v>
      </c>
      <c r="DV24" s="1">
        <f t="shared" si="44"/>
        <v>2.3219247899999997</v>
      </c>
      <c r="DW24" s="1">
        <f t="shared" si="44"/>
        <v>1.6709123100000001</v>
      </c>
      <c r="DX24" s="1">
        <f t="shared" si="44"/>
        <v>3.5033770500000001</v>
      </c>
      <c r="DY24" s="1">
        <f t="shared" si="44"/>
        <v>2.2730154199999997</v>
      </c>
      <c r="DZ24" s="1">
        <f t="shared" si="41"/>
        <v>2.4041640299999996</v>
      </c>
      <c r="EA24" s="1">
        <f t="shared" si="41"/>
        <v>2.0218665100000002</v>
      </c>
      <c r="EB24" s="1">
        <f t="shared" si="41"/>
        <v>1.1839526999999999</v>
      </c>
      <c r="EC24" s="1">
        <f t="shared" si="41"/>
        <v>1.1744757299999999</v>
      </c>
      <c r="ED24" s="1">
        <f t="shared" si="41"/>
        <v>2.1750064099999999</v>
      </c>
      <c r="EE24" s="1">
        <f t="shared" si="41"/>
        <v>2.6101839400000002</v>
      </c>
      <c r="EF24" s="1">
        <f t="shared" si="41"/>
        <v>1.2494588400000002</v>
      </c>
      <c r="EG24" s="1">
        <f t="shared" si="41"/>
        <v>0.60028256999999996</v>
      </c>
      <c r="EI24" s="14">
        <f t="shared" si="46"/>
        <v>6.2385652276314589</v>
      </c>
      <c r="EJ24" s="14">
        <f t="shared" si="46"/>
        <v>6.0582595428363648</v>
      </c>
      <c r="EK24" s="1">
        <f t="shared" si="46"/>
        <v>6.2691507516094109</v>
      </c>
      <c r="EL24" s="1">
        <f t="shared" si="46"/>
        <v>6.3629428462816202</v>
      </c>
      <c r="EM24" s="1">
        <f t="shared" si="46"/>
        <v>6.2699087139586966</v>
      </c>
      <c r="EN24" s="1">
        <f t="shared" si="46"/>
        <v>4.980278516945301</v>
      </c>
      <c r="EO24" s="1">
        <f t="shared" si="46"/>
        <v>5.5266720107101239</v>
      </c>
      <c r="EP24" s="1">
        <f t="shared" si="46"/>
        <v>5.7424738987207355</v>
      </c>
      <c r="EQ24" s="1">
        <f t="shared" si="46"/>
        <v>5.7424738987207355</v>
      </c>
      <c r="ER24" s="1">
        <f t="shared" si="46"/>
        <v>5.7424738987207355</v>
      </c>
      <c r="ES24" s="1">
        <f t="shared" si="46"/>
        <v>5.7424738987207355</v>
      </c>
      <c r="ET24" s="1">
        <f t="shared" si="46"/>
        <v>5.7424738987207355</v>
      </c>
      <c r="EU24" s="1">
        <f t="shared" si="46"/>
        <v>5.7424738987207355</v>
      </c>
      <c r="EV24" s="1">
        <f t="shared" si="46"/>
        <v>5.7424738987207355</v>
      </c>
      <c r="EW24" s="1">
        <f t="shared" si="46"/>
        <v>5.7424738987207355</v>
      </c>
      <c r="EX24" s="1">
        <f t="shared" si="46"/>
        <v>5.7424738987207355</v>
      </c>
      <c r="EY24" s="1">
        <f t="shared" si="45"/>
        <v>5.7424738987207355</v>
      </c>
      <c r="EZ24" s="1">
        <f t="shared" si="45"/>
        <v>5.7424738987207355</v>
      </c>
      <c r="FA24" s="1">
        <f t="shared" si="45"/>
        <v>5.7424738987207355</v>
      </c>
      <c r="FB24" s="1">
        <f t="shared" si="45"/>
        <v>5.5693606783423002</v>
      </c>
      <c r="FC24" s="1">
        <f t="shared" si="45"/>
        <v>5.5693606783423002</v>
      </c>
      <c r="FD24" s="1">
        <f t="shared" si="45"/>
        <v>5.5693606783423002</v>
      </c>
      <c r="FE24" s="1">
        <f t="shared" si="45"/>
        <v>5.5693606783423002</v>
      </c>
      <c r="FF24" s="1">
        <f t="shared" si="45"/>
        <v>5.5693606783423002</v>
      </c>
      <c r="FH24" s="162">
        <f t="shared" si="32"/>
        <v>-0.44969790356699058</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37"/>
        <v/>
      </c>
      <c r="Z25" s="194"/>
      <c r="AA25" s="30"/>
      <c r="AB25" s="57"/>
      <c r="AT25" s="58"/>
      <c r="AU25" s="58"/>
      <c r="AV25" s="58"/>
      <c r="AW25" s="58"/>
      <c r="AX25" s="58"/>
      <c r="AY25" s="58"/>
      <c r="AZ25" s="58"/>
      <c r="BA25" s="58"/>
      <c r="BB25" s="58"/>
      <c r="BF25" s="2"/>
      <c r="BG25" s="2"/>
      <c r="BH25" s="2"/>
      <c r="BI25" s="2"/>
      <c r="BK25" s="1"/>
      <c r="BL25" s="1"/>
      <c r="BM25" s="1"/>
      <c r="BO25" s="1"/>
      <c r="BP25" s="1"/>
      <c r="BQ25" s="1"/>
      <c r="BS25" s="1"/>
      <c r="BT25" s="1"/>
      <c r="BU25" s="1"/>
      <c r="BW25" s="1"/>
      <c r="BX25" s="2"/>
      <c r="BY25" s="2"/>
      <c r="CA25" s="1"/>
      <c r="CB25" s="1"/>
      <c r="CC25" s="1"/>
      <c r="CD25" s="1"/>
      <c r="CF25" s="2"/>
      <c r="CG25" s="2"/>
      <c r="CH25" s="2"/>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G26" s="12"/>
      <c r="K26" s="12"/>
      <c r="O26" s="12"/>
      <c r="Y26" s="386"/>
      <c r="AB26" s="57"/>
      <c r="BI26" s="2"/>
      <c r="BP26" s="1"/>
      <c r="BT26" s="1"/>
    </row>
    <row r="27" spans="1:164" ht="18.75" customHeight="1">
      <c r="K27" s="177"/>
      <c r="X27" s="162"/>
      <c r="BC27" s="751"/>
      <c r="BL27" s="1"/>
      <c r="BM27" s="1"/>
      <c r="BP27" s="1"/>
      <c r="BQ27" s="1"/>
      <c r="BT27" s="1">
        <f>BT21-BU21</f>
        <v>12.391217149999999</v>
      </c>
      <c r="BU27" s="1"/>
      <c r="BX27" s="1"/>
      <c r="BY27" s="1"/>
      <c r="FH27" s="167">
        <f>+COUNTIF(FH6:FH24,"&gt;0")</f>
        <v>9</v>
      </c>
    </row>
    <row r="28" spans="1:164" ht="18.75" customHeight="1">
      <c r="C28" s="156"/>
      <c r="E28" s="167"/>
      <c r="F28" s="29"/>
      <c r="I28" s="167"/>
      <c r="J28" s="29"/>
      <c r="L28" s="29"/>
      <c r="O28"/>
      <c r="P28" s="262"/>
      <c r="R28" s="262"/>
      <c r="U28" s="29"/>
      <c r="BD28" s="706"/>
      <c r="BP28" s="167"/>
      <c r="BT28" s="10"/>
      <c r="BX28" s="10"/>
      <c r="DK28" s="847"/>
    </row>
    <row r="29" spans="1:164" ht="18.75" customHeight="1">
      <c r="C29" s="156"/>
      <c r="E29" s="167"/>
      <c r="F29" s="29"/>
      <c r="I29" s="167"/>
      <c r="J29" s="29"/>
      <c r="L29" s="29"/>
      <c r="O29"/>
      <c r="P29" s="262"/>
      <c r="R29" s="262"/>
      <c r="U29" s="29"/>
      <c r="BP29" s="167"/>
    </row>
    <row r="30" spans="1:164" ht="18.75" customHeight="1">
      <c r="C30" s="156"/>
      <c r="E30" s="167"/>
      <c r="F30" s="29"/>
      <c r="I30" s="167"/>
      <c r="J30" s="29"/>
      <c r="L30" s="29"/>
      <c r="O30"/>
      <c r="P30" s="262"/>
      <c r="R30" s="262"/>
      <c r="U30" s="29"/>
      <c r="X30" s="14"/>
      <c r="BP30" s="167"/>
      <c r="BS30" s="1"/>
    </row>
    <row r="31" spans="1:164" ht="18.75" customHeight="1">
      <c r="K31" s="12"/>
    </row>
    <row r="32" spans="1:164" ht="18.75" customHeight="1">
      <c r="C32" s="157"/>
      <c r="I32" s="14"/>
      <c r="J32" s="14"/>
      <c r="K32" s="14"/>
      <c r="Y32" s="163"/>
    </row>
    <row r="33" spans="1:165" ht="18.75" customHeight="1">
      <c r="C33" s="157"/>
    </row>
    <row r="34" spans="1:165" s="23" customFormat="1" ht="18.75" customHeight="1">
      <c r="A34" s="11"/>
      <c r="B34" s="11"/>
      <c r="C34" s="157"/>
      <c r="D34" s="57"/>
      <c r="E34" s="12"/>
      <c r="F34" s="37"/>
      <c r="G34"/>
      <c r="H34" s="37"/>
      <c r="I34" s="12"/>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2">
      <iconSet>
        <cfvo type="percent" val="0"/>
        <cfvo type="num" val="0"/>
        <cfvo type="num" val="0" gte="0"/>
      </iconSet>
    </cfRule>
  </conditionalFormatting>
  <conditionalFormatting sqref="F28:F30">
    <cfRule type="iconSet" priority="6">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10">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1">
      <iconSet>
        <cfvo type="percent" val="0"/>
        <cfvo type="num" val="0"/>
        <cfvo type="num" val="0" gte="0"/>
      </iconSet>
    </cfRule>
  </conditionalFormatting>
  <conditionalFormatting sqref="J18">
    <cfRule type="iconSet" priority="3">
      <iconSet>
        <cfvo type="percent" val="0"/>
        <cfvo type="num" val="0"/>
        <cfvo type="num" val="0" gte="0"/>
      </iconSet>
    </cfRule>
  </conditionalFormatting>
  <conditionalFormatting sqref="J28:J30">
    <cfRule type="iconSet" priority="8">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7">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4">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4">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9">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3">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
      <iconSet>
        <cfvo type="percent" val="0"/>
        <cfvo type="num" val="0"/>
        <cfvo type="num" val="0" gte="0"/>
      </iconSet>
    </cfRule>
  </conditionalFormatting>
  <conditionalFormatting sqref="Z11">
    <cfRule type="iconSet" priority="20">
      <iconSet>
        <cfvo type="percent" val="0"/>
        <cfvo type="num" val="0"/>
        <cfvo type="num" val="0" gte="0"/>
      </iconSet>
    </cfRule>
  </conditionalFormatting>
  <conditionalFormatting sqref="Z12">
    <cfRule type="iconSet" priority="1">
      <iconSet>
        <cfvo type="percent" val="0"/>
        <cfvo type="num" val="0"/>
        <cfvo type="num" val="0" gte="0"/>
      </iconSet>
    </cfRule>
  </conditionalFormatting>
  <conditionalFormatting sqref="Z13">
    <cfRule type="iconSet" priority="19">
      <iconSet>
        <cfvo type="percent" val="0"/>
        <cfvo type="num" val="0"/>
        <cfvo type="num" val="0" gte="0"/>
      </iconSet>
    </cfRule>
  </conditionalFormatting>
  <conditionalFormatting sqref="Z18">
    <cfRule type="iconSet" priority="18">
      <iconSet>
        <cfvo type="percent" val="0"/>
        <cfvo type="num" val="0"/>
        <cfvo type="num" val="0" gte="0"/>
      </iconSet>
    </cfRule>
  </conditionalFormatting>
  <conditionalFormatting sqref="Z19">
    <cfRule type="iconSet" priority="17">
      <iconSet>
        <cfvo type="percent" val="0"/>
        <cfvo type="num" val="0"/>
        <cfvo type="num" val="0" gte="0"/>
      </iconSet>
    </cfRule>
  </conditionalFormatting>
  <conditionalFormatting sqref="Z20">
    <cfRule type="iconSet" priority="16">
      <iconSet>
        <cfvo type="percent" val="0"/>
        <cfvo type="num" val="0"/>
        <cfvo type="num" val="0" gte="0"/>
      </iconSet>
    </cfRule>
  </conditionalFormatting>
  <conditionalFormatting sqref="Z22">
    <cfRule type="iconSet" priority="15">
      <iconSet>
        <cfvo type="percent" val="0"/>
        <cfvo type="num" val="0"/>
        <cfvo type="num" val="0" gte="0"/>
      </iconSet>
    </cfRule>
  </conditionalFormatting>
  <conditionalFormatting sqref="Z24">
    <cfRule type="iconSet" priority="5">
      <iconSet>
        <cfvo type="percent" val="0"/>
        <cfvo type="num" val="0"/>
        <cfvo type="num" val="0" gte="0"/>
      </iconSet>
    </cfRule>
  </conditionalFormatting>
  <conditionalFormatting sqref="AC6:AM24 AC25 AE25:AM25">
    <cfRule type="expression" dxfId="425" priority="48">
      <formula>AP6=3</formula>
    </cfRule>
    <cfRule type="expression" dxfId="424" priority="49">
      <formula>AP6=5</formula>
    </cfRule>
    <cfRule type="expression" dxfId="423" priority="50">
      <formula>AP6=4</formula>
    </cfRule>
    <cfRule type="expression" dxfId="422" priority="51">
      <formula>AP6=2</formula>
    </cfRule>
    <cfRule type="expression" dxfId="421" priority="52">
      <formula>AP6=1</formula>
    </cfRule>
    <cfRule type="expression" dxfId="420" priority="53">
      <formula>AP6=0</formula>
    </cfRule>
  </conditionalFormatting>
  <conditionalFormatting sqref="AN6:AN25">
    <cfRule type="expression" dxfId="419" priority="65">
      <formula>BA6=0</formula>
    </cfRule>
    <cfRule type="expression" dxfId="418" priority="60">
      <formula>BA6=3</formula>
    </cfRule>
    <cfRule type="expression" dxfId="417" priority="61">
      <formula>BA6=5</formula>
    </cfRule>
    <cfRule type="expression" dxfId="416" priority="62">
      <formula>BA6=4</formula>
    </cfRule>
    <cfRule type="expression" dxfId="415" priority="63">
      <formula>BA6=2</formula>
    </cfRule>
    <cfRule type="expression" dxfId="414" priority="64">
      <formula>BA6=1</formula>
    </cfRule>
  </conditionalFormatting>
  <conditionalFormatting sqref="AO6:AO25">
    <cfRule type="expression" dxfId="413" priority="54">
      <formula>#REF!=3</formula>
    </cfRule>
    <cfRule type="expression" dxfId="412" priority="55">
      <formula>#REF!=5</formula>
    </cfRule>
    <cfRule type="expression" dxfId="411" priority="56">
      <formula>#REF!=4</formula>
    </cfRule>
    <cfRule type="expression" dxfId="410" priority="58">
      <formula>#REF!=1</formula>
    </cfRule>
    <cfRule type="expression" dxfId="409" priority="59">
      <formula>#REF!=0</formula>
    </cfRule>
    <cfRule type="expression" dxfId="408" priority="57">
      <formula>#REF!=2</formula>
    </cfRule>
  </conditionalFormatting>
  <conditionalFormatting sqref="FH6:FH25 FH27">
    <cfRule type="colorScale" priority="23">
      <colorScale>
        <cfvo type="min"/>
        <cfvo type="percentile" val="50"/>
        <cfvo type="max"/>
        <color rgb="FFF8696B"/>
        <color rgb="FFFFEB84"/>
        <color rgb="FF63BE7B"/>
      </colorScale>
    </cfRule>
  </conditionalFormatting>
  <dataValidations disablePrompts="1" count="1">
    <dataValidation type="list" allowBlank="1" showInputMessage="1" showErrorMessage="1" sqref="B1" xr:uid="{323F4CB0-0ABB-4BDE-8A8F-0EC221C4D5CA}">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31" id="{A6AC2727-CD60-44DE-BBD8-837B8FF2412B}">
            <x14:iconSet custom="1">
              <x14:cfvo type="percent">
                <xm:f>0</xm:f>
              </x14:cfvo>
              <x14:cfvo type="num">
                <xm:f>0</xm:f>
              </x14:cfvo>
              <x14:cfvo type="num" gte="0">
                <xm:f>0</xm:f>
              </x14:cfvo>
              <x14:cfIcon iconSet="3TrafficLights1" iconId="2"/>
              <x14:cfIcon iconSet="3TrafficLights1" iconId="1"/>
              <x14:cfIcon iconSet="3TrafficLights1" iconId="0"/>
            </x14:iconSet>
          </x14:cfRule>
          <xm:sqref>X6:X24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2982849F-A85B-4D68-AA29-FF670CE8E06E}">
          <x14:formula1>
            <xm:f>datos!$A$10:$A$178</xm:f>
          </x14:formula1>
          <xm:sqref>A1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9E266-B8A2-48E9-94C3-B24ABB29BB4F}">
  <sheetPr>
    <tabColor theme="5" tint="-0.249977111117893"/>
    <pageSetUpPr fitToPage="1"/>
  </sheetPr>
  <dimension ref="A1:FI47"/>
  <sheetViews>
    <sheetView showGridLines="0" zoomScale="70" zoomScaleNormal="70" workbookViewId="0">
      <pane xSplit="4" topLeftCell="E1" activePane="topRight" state="frozen"/>
      <selection pane="topRight" activeCell="A4" sqref="A4:A24"/>
    </sheetView>
  </sheetViews>
  <sheetFormatPr baseColWidth="10" defaultRowHeight="18.75" customHeight="1"/>
  <cols>
    <col min="1" max="1" width="18.88671875" style="11" customWidth="1"/>
    <col min="2" max="2" width="2.109375" style="11" hidden="1" customWidth="1"/>
    <col min="3" max="3" width="5.44140625" style="154" hidden="1" customWidth="1"/>
    <col min="4" max="4" width="0.1093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5.33203125" bestFit="1" customWidth="1"/>
    <col min="27" max="27" width="1.44140625" customWidth="1"/>
    <col min="28" max="28" width="53" style="11" hidden="1" customWidth="1"/>
    <col min="29" max="38" width="1.88671875" style="57" customWidth="1"/>
    <col min="39" max="39" width="2" style="57" customWidth="1"/>
    <col min="40" max="40" width="3.5546875" style="57" customWidth="1"/>
    <col min="41" max="41" width="1.44140625" style="57" customWidth="1"/>
    <col min="42" max="42" width="5.5546875" style="28" hidden="1" customWidth="1"/>
    <col min="43" max="44" width="5.6640625" style="28" hidden="1" customWidth="1"/>
    <col min="45" max="45" width="6.33203125" style="28" hidden="1" customWidth="1"/>
    <col min="46" max="46" width="5.6640625" hidden="1" customWidth="1"/>
    <col min="47" max="48" width="6.33203125" hidden="1" customWidth="1"/>
    <col min="49" max="49" width="5.6640625" hidden="1" customWidth="1"/>
    <col min="50" max="50" width="6" hidden="1" customWidth="1"/>
    <col min="51" max="51" width="5.33203125" hidden="1" customWidth="1"/>
    <col min="52" max="52" width="5.6640625" hidden="1" customWidth="1"/>
    <col min="53" max="53" width="5.5546875" hidden="1" customWidth="1"/>
    <col min="54" max="54" width="7.44140625" customWidth="1"/>
    <col min="55" max="55" width="11.6640625" style="141" customWidth="1"/>
    <col min="56" max="56" width="12" customWidth="1"/>
    <col min="57" max="57" width="0.88671875" customWidth="1"/>
    <col min="58" max="58" width="10.6640625" customWidth="1"/>
    <col min="59" max="61" width="8.88671875" bestFit="1" customWidth="1"/>
    <col min="62" max="62" width="3.6640625" customWidth="1"/>
    <col min="63" max="63" width="1.33203125" customWidth="1"/>
    <col min="64" max="64" width="12.88671875" customWidth="1"/>
    <col min="65" max="65" width="12.44140625" customWidth="1"/>
    <col min="66" max="66" width="2.44140625" customWidth="1"/>
    <col min="67" max="67" width="5.109375" customWidth="1"/>
    <col min="68" max="68" width="14.44140625" bestFit="1" customWidth="1"/>
    <col min="69" max="69" width="12.5546875" customWidth="1"/>
    <col min="70" max="70" width="2.44140625" customWidth="1"/>
    <col min="71" max="71" width="8.109375" customWidth="1"/>
    <col min="72" max="73" width="7.5546875" customWidth="1"/>
    <col min="74" max="74" width="2.88671875" customWidth="1"/>
    <col min="75" max="75" width="0.88671875" customWidth="1"/>
    <col min="76" max="77" width="7.44140625" customWidth="1"/>
    <col min="78" max="79" width="7.109375" customWidth="1"/>
    <col min="80" max="81" width="9.88671875" bestFit="1" customWidth="1"/>
    <col min="82" max="82" width="4.33203125" customWidth="1"/>
    <col min="83" max="83" width="7.109375" bestFit="1" customWidth="1"/>
    <col min="84" max="84" width="7.88671875" bestFit="1" customWidth="1"/>
    <col min="85" max="86" width="7.88671875" customWidth="1"/>
    <col min="87" max="87" width="10.88671875" customWidth="1"/>
    <col min="88" max="88" width="7" bestFit="1" customWidth="1"/>
    <col min="89" max="89" width="11" bestFit="1" customWidth="1"/>
    <col min="90" max="90" width="7.44140625" bestFit="1" customWidth="1"/>
    <col min="91" max="91" width="6.88671875" bestFit="1" customWidth="1"/>
    <col min="92" max="92" width="7" bestFit="1" customWidth="1"/>
    <col min="93" max="93" width="7.44140625" bestFit="1" customWidth="1"/>
    <col min="94" max="94" width="7.109375" bestFit="1" customWidth="1"/>
    <col min="95" max="95" width="6.6640625" bestFit="1" customWidth="1"/>
    <col min="96" max="96" width="6.8867187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2" width="7.44140625" bestFit="1" customWidth="1"/>
    <col min="103" max="103" width="6.88671875" bestFit="1" customWidth="1"/>
    <col min="104" max="104" width="6.5546875" bestFit="1" customWidth="1"/>
    <col min="105" max="105" width="6.88671875" bestFit="1" customWidth="1"/>
    <col min="106" max="106" width="7.109375" bestFit="1" customWidth="1"/>
    <col min="107" max="107" width="6.6640625" bestFit="1" customWidth="1"/>
    <col min="108" max="108" width="6.88671875" bestFit="1" customWidth="1"/>
    <col min="109" max="109" width="7.44140625" bestFit="1" customWidth="1"/>
    <col min="110" max="110" width="6.6640625" bestFit="1" customWidth="1"/>
    <col min="111" max="111" width="6.109375" bestFit="1" customWidth="1"/>
    <col min="112" max="112" width="7" bestFit="1" customWidth="1"/>
    <col min="113" max="113" width="5" customWidth="1"/>
    <col min="114" max="114" width="11.33203125" bestFit="1" customWidth="1"/>
    <col min="115" max="115" width="9.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3" width="6.6640625" bestFit="1" customWidth="1"/>
    <col min="134" max="134" width="7.44140625" bestFit="1" customWidth="1"/>
    <col min="135" max="136" width="6.664062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46174</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46174</v>
      </c>
      <c r="BH1" s="3">
        <v>46143</v>
      </c>
      <c r="BI1" s="3">
        <f>+VLOOKUP(BI2,datos!$D:$E,2,FALSE)</f>
        <v>45809</v>
      </c>
      <c r="BL1" s="3">
        <f>+A1</f>
        <v>46174</v>
      </c>
      <c r="BM1" s="3">
        <f>+VLOOKUP(BM2,datos!$D:$E,2,FALSE)</f>
        <v>45809</v>
      </c>
      <c r="BP1" s="3">
        <f>+A1</f>
        <v>46174</v>
      </c>
      <c r="BQ1" s="3">
        <f>+VLOOKUP(BQ2,datos!$D:$E,2,FALSE)</f>
        <v>45809</v>
      </c>
      <c r="BT1" t="s">
        <v>279</v>
      </c>
      <c r="BU1" t="s">
        <v>280</v>
      </c>
      <c r="BX1" t="s">
        <v>279</v>
      </c>
      <c r="BY1" t="s">
        <v>280</v>
      </c>
      <c r="CB1" t="s">
        <v>282</v>
      </c>
      <c r="CC1" t="s">
        <v>283</v>
      </c>
      <c r="CF1" s="3">
        <f>+A1</f>
        <v>46174</v>
      </c>
      <c r="CG1" s="3">
        <f>+VLOOKUP(CG2,datos!$D:$E,2,FALSE)</f>
        <v>46143</v>
      </c>
      <c r="CH1" s="3">
        <f>+VLOOKUP(CH2,datos!$D:$E,2,FALSE)</f>
        <v>45809</v>
      </c>
      <c r="CJ1" s="3">
        <f>+A1</f>
        <v>46174</v>
      </c>
      <c r="CK1" s="3">
        <f>+VLOOKUP(CK2,datos!$D:$E,2,FALSE)</f>
        <v>46174</v>
      </c>
      <c r="CL1" s="3">
        <f>+VLOOKUP(CL2,datos!$D:$E,2,FALSE)</f>
        <v>46143</v>
      </c>
      <c r="CM1" s="3">
        <f>+VLOOKUP(CM2,datos!$D:$E,2,FALSE)</f>
        <v>46113</v>
      </c>
      <c r="CN1" s="3">
        <f>+VLOOKUP(CN2,datos!$D:$E,2,FALSE)</f>
        <v>46082</v>
      </c>
      <c r="CO1" s="3">
        <f>+VLOOKUP(CO2,datos!$D:$E,2,FALSE)</f>
        <v>46054</v>
      </c>
      <c r="CP1" s="3">
        <f>+VLOOKUP(CP2,datos!$D:$E,2,FALSE)</f>
        <v>46023</v>
      </c>
      <c r="CQ1" s="3">
        <f>+VLOOKUP(CQ2,datos!$D:$E,2,FALSE)</f>
        <v>45992</v>
      </c>
      <c r="CR1" s="3">
        <f>+VLOOKUP(CR2,datos!$D:$E,2,FALSE)</f>
        <v>45962</v>
      </c>
      <c r="CS1" s="3">
        <f>+VLOOKUP(CS2,datos!$D:$E,2,FALSE)</f>
        <v>45931</v>
      </c>
      <c r="CT1" s="3">
        <f>+VLOOKUP(CT2,datos!$D:$E,2,FALSE)</f>
        <v>45901</v>
      </c>
      <c r="CU1" s="3">
        <f>+VLOOKUP(CU2,datos!$D:$E,2,FALSE)</f>
        <v>45870</v>
      </c>
      <c r="CV1" s="3">
        <f>+VLOOKUP(CV2,datos!$D:$E,2,FALSE)</f>
        <v>45839</v>
      </c>
      <c r="CW1" s="3">
        <f>+VLOOKUP(CW2,datos!$D:$E,2,FALSE)</f>
        <v>45809</v>
      </c>
      <c r="CX1" s="3">
        <f>+VLOOKUP(CX2,datos!$D:$E,2,FALSE)</f>
        <v>45778</v>
      </c>
      <c r="CY1" s="3">
        <f>+VLOOKUP(CY2,datos!$D:$E,2,FALSE)</f>
        <v>45748</v>
      </c>
      <c r="CZ1" s="3">
        <f>+VLOOKUP(CZ2,datos!$D:$E,2,FALSE)</f>
        <v>45717</v>
      </c>
      <c r="DA1" s="3">
        <f>+VLOOKUP(DA2,datos!$D:$E,2,FALSE)</f>
        <v>45689</v>
      </c>
      <c r="DB1" s="3">
        <f>+VLOOKUP(DB2,datos!$D:$E,2,FALSE)</f>
        <v>45658</v>
      </c>
      <c r="DC1" s="3">
        <f>+VLOOKUP(DC2,datos!$D:$E,2,FALSE)</f>
        <v>45627</v>
      </c>
      <c r="DD1" s="3">
        <f>+VLOOKUP(DD2,datos!$D:$E,2,FALSE)</f>
        <v>45597</v>
      </c>
      <c r="DE1" s="3">
        <f>+VLOOKUP(DE2,datos!$D:$E,2,FALSE)</f>
        <v>45566</v>
      </c>
      <c r="DF1" s="3">
        <f>+VLOOKUP(DF2,datos!$D:$E,2,FALSE)</f>
        <v>45536</v>
      </c>
      <c r="DG1" s="3">
        <f>+VLOOKUP(DG2,datos!$D:$E,2,FALSE)</f>
        <v>45505</v>
      </c>
      <c r="DH1" s="3">
        <f>+VLOOKUP(DH2,datos!$D:$E,2,FALSE)</f>
        <v>45474</v>
      </c>
      <c r="DJ1" s="3">
        <f>+CK1</f>
        <v>46174</v>
      </c>
      <c r="DK1" s="3">
        <f>+VLOOKUP(DK2,datos!$D:$E,2,FALSE)</f>
        <v>46143</v>
      </c>
      <c r="DL1" s="3">
        <f>+VLOOKUP(DL2,datos!$D:$E,2,FALSE)</f>
        <v>46113</v>
      </c>
      <c r="DM1" s="3">
        <f>+VLOOKUP(DM2,datos!$D:$E,2,FALSE)</f>
        <v>46082</v>
      </c>
      <c r="DN1" s="3">
        <f>+VLOOKUP(DN2,datos!$D:$E,2,FALSE)</f>
        <v>46054</v>
      </c>
      <c r="DO1" s="3">
        <f>+VLOOKUP(DO2,datos!$D:$E,2,FALSE)</f>
        <v>46023</v>
      </c>
      <c r="DP1" s="3">
        <f>+VLOOKUP(DP2,datos!$D:$E,2,FALSE)</f>
        <v>45992</v>
      </c>
      <c r="DQ1" s="3">
        <f>+VLOOKUP(DQ2,datos!$D:$E,2,FALSE)</f>
        <v>45962</v>
      </c>
      <c r="DR1" s="3">
        <f>+VLOOKUP(DR2,datos!$D:$E,2,FALSE)</f>
        <v>45931</v>
      </c>
      <c r="DS1" s="3">
        <f>+VLOOKUP(DS2,datos!$D:$E,2,FALSE)</f>
        <v>45901</v>
      </c>
      <c r="DT1" s="3">
        <f>+VLOOKUP(DT2,datos!$D:$E,2,FALSE)</f>
        <v>45870</v>
      </c>
      <c r="DU1" s="3">
        <f>+VLOOKUP(DU2,datos!$D:$E,2,FALSE)</f>
        <v>45839</v>
      </c>
      <c r="DV1" s="3">
        <f>+VLOOKUP(DV2,datos!$D:$E,2,FALSE)</f>
        <v>45809</v>
      </c>
      <c r="DW1" s="3">
        <f>+VLOOKUP(DW2,datos!$D:$E,2,FALSE)</f>
        <v>45778</v>
      </c>
      <c r="DX1" s="3">
        <f>+VLOOKUP(DX2,datos!$D:$E,2,FALSE)</f>
        <v>45748</v>
      </c>
      <c r="DY1" s="3">
        <f>+VLOOKUP(DY2,datos!$D:$E,2,FALSE)</f>
        <v>45717</v>
      </c>
      <c r="DZ1" s="3">
        <f>+VLOOKUP(DZ2,datos!$D:$E,2,FALSE)</f>
        <v>45689</v>
      </c>
      <c r="EA1" s="3">
        <f>+VLOOKUP(EA2,datos!$D:$E,2,FALSE)</f>
        <v>45658</v>
      </c>
      <c r="EB1" s="3">
        <f>+VLOOKUP(EB2,datos!$D:$E,2,FALSE)</f>
        <v>45627</v>
      </c>
      <c r="EC1" s="3">
        <f>+VLOOKUP(EC2,datos!$D:$E,2,FALSE)</f>
        <v>45597</v>
      </c>
      <c r="ED1" s="3">
        <f>+VLOOKUP(ED2,datos!$D:$E,2,FALSE)</f>
        <v>45566</v>
      </c>
      <c r="EE1" s="3">
        <f>+VLOOKUP(EE2,datos!$D:$E,2,FALSE)</f>
        <v>45536</v>
      </c>
      <c r="EF1" s="3">
        <f>+VLOOKUP(EF2,datos!$D:$E,2,FALSE)</f>
        <v>45505</v>
      </c>
      <c r="EG1" s="3">
        <f>+VLOOKUP(EG2,datos!$D:$E,2,FALSE)</f>
        <v>45474</v>
      </c>
      <c r="EI1" s="700">
        <f>+CK1</f>
        <v>46174</v>
      </c>
      <c r="EJ1" s="700">
        <f t="shared" ref="EJ1:FF1" si="0">+CL1</f>
        <v>46143</v>
      </c>
      <c r="EK1" s="3">
        <f t="shared" si="0"/>
        <v>46113</v>
      </c>
      <c r="EL1" s="3">
        <f t="shared" si="0"/>
        <v>46082</v>
      </c>
      <c r="EM1" s="3">
        <f t="shared" si="0"/>
        <v>46054</v>
      </c>
      <c r="EN1" s="3">
        <f t="shared" si="0"/>
        <v>46023</v>
      </c>
      <c r="EO1" s="3">
        <f t="shared" si="0"/>
        <v>45992</v>
      </c>
      <c r="EP1" s="3">
        <f t="shared" si="0"/>
        <v>45962</v>
      </c>
      <c r="EQ1" s="3">
        <f t="shared" si="0"/>
        <v>45931</v>
      </c>
      <c r="ER1" s="3">
        <f t="shared" si="0"/>
        <v>45901</v>
      </c>
      <c r="ES1" s="3">
        <f t="shared" si="0"/>
        <v>45870</v>
      </c>
      <c r="ET1" s="3">
        <f t="shared" si="0"/>
        <v>45839</v>
      </c>
      <c r="EU1" s="3">
        <f t="shared" si="0"/>
        <v>45809</v>
      </c>
      <c r="EV1" s="3">
        <f t="shared" si="0"/>
        <v>45778</v>
      </c>
      <c r="EW1" s="3">
        <f t="shared" si="0"/>
        <v>45748</v>
      </c>
      <c r="EX1" s="3">
        <f t="shared" si="0"/>
        <v>45717</v>
      </c>
      <c r="EY1" s="3">
        <f t="shared" si="0"/>
        <v>45689</v>
      </c>
      <c r="EZ1" s="3">
        <f t="shared" si="0"/>
        <v>45658</v>
      </c>
      <c r="FA1" s="3">
        <f t="shared" si="0"/>
        <v>45627</v>
      </c>
      <c r="FB1" s="3">
        <f t="shared" si="0"/>
        <v>45597</v>
      </c>
      <c r="FC1" s="3">
        <f t="shared" si="0"/>
        <v>45566</v>
      </c>
      <c r="FD1" s="3">
        <f t="shared" si="0"/>
        <v>45536</v>
      </c>
      <c r="FE1" s="3">
        <f t="shared" si="0"/>
        <v>45505</v>
      </c>
      <c r="FF1" s="3">
        <f t="shared" si="0"/>
        <v>45474</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45839</v>
      </c>
      <c r="AQ2" s="174">
        <f>VLOOKUP(VLOOKUP(+$A$1,ran_ma,2,FALSE)-10,ran_idma,2,FALSE)</f>
        <v>45870</v>
      </c>
      <c r="AR2" s="174">
        <f>VLOOKUP(VLOOKUP(+$A$1,ran_ma,2,FALSE)-9,ran_idma,2,FALSE)</f>
        <v>45901</v>
      </c>
      <c r="AS2" s="174">
        <f>VLOOKUP(VLOOKUP(+$A$1,ran_ma,2,FALSE)-8,ran_idma,2,FALSE)</f>
        <v>45931</v>
      </c>
      <c r="AT2" s="59">
        <f>VLOOKUP(VLOOKUP(+$A$1,ran_ma,2,FALSE)-7,ran_idma,2,FALSE)</f>
        <v>45962</v>
      </c>
      <c r="AU2" s="59">
        <f>VLOOKUP(VLOOKUP(+$A$1,ran_ma,2,FALSE)-6,ran_idma,2,FALSE)</f>
        <v>45992</v>
      </c>
      <c r="AV2" s="59">
        <f>VLOOKUP(VLOOKUP(+$A$1,ran_ma,2,FALSE)-5,ran_idma,2,FALSE)</f>
        <v>46023</v>
      </c>
      <c r="AW2" s="59">
        <f>VLOOKUP(VLOOKUP(+$A$1,ran_ma,2,FALSE)-4,ran_idma,2,FALSE)</f>
        <v>46054</v>
      </c>
      <c r="AX2" s="59">
        <f>VLOOKUP(VLOOKUP(+$A$1,ran_ma,2,FALSE)-3,ran_idma,2,FALSE)</f>
        <v>46082</v>
      </c>
      <c r="AY2" s="59">
        <f>VLOOKUP(VLOOKUP(+$A$1,ran_ma,2,FALSE)-2,ran_idma,2,FALSE)</f>
        <v>46113</v>
      </c>
      <c r="AZ2" s="59">
        <f>VLOOKUP(VLOOKUP(+$A$1,ran_ma,2,FALSE)-1,ran_idma,2,FALSE)</f>
        <v>46143</v>
      </c>
      <c r="BA2" s="59">
        <f>VLOOKUP(VLOOKUP(+$A$1,ran_ma,2,FALSE)-0,ran_idma,2,FALSE)</f>
        <v>46174</v>
      </c>
      <c r="BB2" s="59"/>
      <c r="BC2" s="170"/>
      <c r="BE2" s="9" t="s">
        <v>272</v>
      </c>
      <c r="BG2">
        <f>+VLOOKUP(BG1,ran_dat,datos!$D$1,FALSE)</f>
        <v>135</v>
      </c>
      <c r="BH2">
        <f>+BG2-1</f>
        <v>134</v>
      </c>
      <c r="BI2">
        <f>+BG2-12</f>
        <v>123</v>
      </c>
      <c r="BK2" s="9"/>
      <c r="BL2">
        <f>+VLOOKUP(BL1,ran_dat,datos!$D$1,FALSE)</f>
        <v>135</v>
      </c>
      <c r="BM2">
        <f>+BL2-12</f>
        <v>123</v>
      </c>
      <c r="BO2" s="9"/>
      <c r="BP2">
        <f>+VLOOKUP(BP1,ran_dat,datos!$D$1,FALSE)</f>
        <v>135</v>
      </c>
      <c r="BQ2">
        <f>+BP2-12</f>
        <v>123</v>
      </c>
      <c r="BS2" s="9"/>
      <c r="BW2" s="9"/>
      <c r="CD2" s="386"/>
      <c r="CE2" s="9"/>
      <c r="CF2">
        <f>+VLOOKUP(CF1,ran_dat,datos!$D$1,FALSE)</f>
        <v>135</v>
      </c>
      <c r="CG2">
        <f>+CF2-1</f>
        <v>134</v>
      </c>
      <c r="CH2">
        <f>+CF2-12</f>
        <v>123</v>
      </c>
      <c r="CI2" s="386"/>
      <c r="CJ2">
        <f>+VLOOKUP(CJ1,ran_dat,datos!$D$1,FALSE)</f>
        <v>135</v>
      </c>
      <c r="CK2">
        <f>+CJ2</f>
        <v>135</v>
      </c>
      <c r="CL2">
        <f t="shared" ref="CL2:DH2" si="1">+CK2-1</f>
        <v>134</v>
      </c>
      <c r="CM2">
        <f t="shared" si="1"/>
        <v>133</v>
      </c>
      <c r="CN2">
        <f t="shared" si="1"/>
        <v>132</v>
      </c>
      <c r="CO2">
        <f t="shared" si="1"/>
        <v>131</v>
      </c>
      <c r="CP2">
        <f t="shared" si="1"/>
        <v>130</v>
      </c>
      <c r="CQ2">
        <f t="shared" si="1"/>
        <v>129</v>
      </c>
      <c r="CR2">
        <f t="shared" si="1"/>
        <v>128</v>
      </c>
      <c r="CS2">
        <f t="shared" si="1"/>
        <v>127</v>
      </c>
      <c r="CT2">
        <f t="shared" si="1"/>
        <v>126</v>
      </c>
      <c r="CU2">
        <f t="shared" si="1"/>
        <v>125</v>
      </c>
      <c r="CV2">
        <f t="shared" si="1"/>
        <v>124</v>
      </c>
      <c r="CW2">
        <f t="shared" si="1"/>
        <v>123</v>
      </c>
      <c r="CX2">
        <f t="shared" si="1"/>
        <v>122</v>
      </c>
      <c r="CY2">
        <f t="shared" si="1"/>
        <v>121</v>
      </c>
      <c r="CZ2">
        <f t="shared" si="1"/>
        <v>120</v>
      </c>
      <c r="DA2">
        <f t="shared" si="1"/>
        <v>119</v>
      </c>
      <c r="DB2">
        <f t="shared" si="1"/>
        <v>118</v>
      </c>
      <c r="DC2">
        <f t="shared" si="1"/>
        <v>117</v>
      </c>
      <c r="DD2">
        <f t="shared" si="1"/>
        <v>116</v>
      </c>
      <c r="DE2">
        <f t="shared" si="1"/>
        <v>115</v>
      </c>
      <c r="DF2">
        <f t="shared" si="1"/>
        <v>114</v>
      </c>
      <c r="DG2">
        <f t="shared" si="1"/>
        <v>113</v>
      </c>
      <c r="DH2">
        <f t="shared" si="1"/>
        <v>112</v>
      </c>
      <c r="DJ2">
        <f>+VLOOKUP(DJ1,ran_dat,datos!$D$1,FALSE)</f>
        <v>135</v>
      </c>
      <c r="DK2">
        <f t="shared" ref="DK2:EG2" si="2">+DJ2-1</f>
        <v>134</v>
      </c>
      <c r="DL2">
        <f t="shared" si="2"/>
        <v>133</v>
      </c>
      <c r="DM2">
        <f t="shared" si="2"/>
        <v>132</v>
      </c>
      <c r="DN2">
        <f t="shared" si="2"/>
        <v>131</v>
      </c>
      <c r="DO2">
        <f t="shared" si="2"/>
        <v>130</v>
      </c>
      <c r="DP2">
        <f t="shared" si="2"/>
        <v>129</v>
      </c>
      <c r="DQ2">
        <f t="shared" si="2"/>
        <v>128</v>
      </c>
      <c r="DR2">
        <f t="shared" si="2"/>
        <v>127</v>
      </c>
      <c r="DS2">
        <f t="shared" si="2"/>
        <v>126</v>
      </c>
      <c r="DT2">
        <f t="shared" si="2"/>
        <v>125</v>
      </c>
      <c r="DU2">
        <f t="shared" si="2"/>
        <v>124</v>
      </c>
      <c r="DV2">
        <f t="shared" si="2"/>
        <v>123</v>
      </c>
      <c r="DW2">
        <f t="shared" si="2"/>
        <v>122</v>
      </c>
      <c r="DX2">
        <f t="shared" si="2"/>
        <v>121</v>
      </c>
      <c r="DY2">
        <f t="shared" si="2"/>
        <v>120</v>
      </c>
      <c r="DZ2">
        <f t="shared" si="2"/>
        <v>119</v>
      </c>
      <c r="EA2">
        <f t="shared" si="2"/>
        <v>118</v>
      </c>
      <c r="EB2">
        <f t="shared" si="2"/>
        <v>117</v>
      </c>
      <c r="EC2">
        <f t="shared" si="2"/>
        <v>116</v>
      </c>
      <c r="ED2">
        <f t="shared" si="2"/>
        <v>115</v>
      </c>
      <c r="EE2">
        <f t="shared" si="2"/>
        <v>114</v>
      </c>
      <c r="EF2">
        <f t="shared" si="2"/>
        <v>113</v>
      </c>
      <c r="EG2">
        <f t="shared" si="2"/>
        <v>112</v>
      </c>
      <c r="EI2" s="14">
        <f>+VLOOKUP(EI1,ran_dat,datos!$D$1,FALSE)</f>
        <v>135</v>
      </c>
      <c r="EJ2" s="14">
        <f t="shared" ref="EJ2:FF2" si="3">+EI2-1</f>
        <v>134</v>
      </c>
      <c r="EK2">
        <f t="shared" si="3"/>
        <v>133</v>
      </c>
      <c r="EL2">
        <f t="shared" si="3"/>
        <v>132</v>
      </c>
      <c r="EM2">
        <f t="shared" si="3"/>
        <v>131</v>
      </c>
      <c r="EN2">
        <f t="shared" si="3"/>
        <v>130</v>
      </c>
      <c r="EO2">
        <f t="shared" si="3"/>
        <v>129</v>
      </c>
      <c r="EP2">
        <f t="shared" si="3"/>
        <v>128</v>
      </c>
      <c r="EQ2">
        <f t="shared" si="3"/>
        <v>127</v>
      </c>
      <c r="ER2">
        <f t="shared" si="3"/>
        <v>126</v>
      </c>
      <c r="ES2">
        <f t="shared" si="3"/>
        <v>125</v>
      </c>
      <c r="ET2">
        <f t="shared" si="3"/>
        <v>124</v>
      </c>
      <c r="EU2">
        <f t="shared" si="3"/>
        <v>123</v>
      </c>
      <c r="EV2">
        <f t="shared" si="3"/>
        <v>122</v>
      </c>
      <c r="EW2">
        <f t="shared" si="3"/>
        <v>121</v>
      </c>
      <c r="EX2">
        <f t="shared" si="3"/>
        <v>120</v>
      </c>
      <c r="EY2">
        <f t="shared" si="3"/>
        <v>119</v>
      </c>
      <c r="EZ2">
        <f t="shared" si="3"/>
        <v>118</v>
      </c>
      <c r="FA2">
        <f t="shared" si="3"/>
        <v>117</v>
      </c>
      <c r="FB2">
        <f t="shared" si="3"/>
        <v>116</v>
      </c>
      <c r="FC2">
        <f t="shared" si="3"/>
        <v>115</v>
      </c>
      <c r="FD2">
        <f t="shared" si="3"/>
        <v>114</v>
      </c>
      <c r="FE2">
        <f t="shared" si="3"/>
        <v>113</v>
      </c>
      <c r="FF2">
        <f t="shared" si="3"/>
        <v>112</v>
      </c>
    </row>
    <row r="3" spans="1:164" ht="18.75" customHeight="1">
      <c r="A3" s="220"/>
      <c r="C3" s="155"/>
      <c r="D3" s="196">
        <v>0.33</v>
      </c>
      <c r="E3" s="100">
        <f>IFERROR(+BG5/BH5-1,"")</f>
        <v>1.8868714688293764E-2</v>
      </c>
      <c r="F3" s="56" t="s">
        <v>515</v>
      </c>
      <c r="G3" s="56"/>
      <c r="H3" s="56"/>
      <c r="I3" s="60">
        <f>IFERROR(+BG5/BI5-1,"")</f>
        <v>0.33547731398508462</v>
      </c>
      <c r="J3" s="56" t="s">
        <v>515</v>
      </c>
      <c r="K3" s="56"/>
      <c r="L3" s="56"/>
      <c r="M3" s="32"/>
      <c r="N3" s="196">
        <v>0.33</v>
      </c>
      <c r="O3" s="31"/>
      <c r="S3" s="32"/>
      <c r="T3" s="196">
        <v>0.33</v>
      </c>
      <c r="U3" s="150" t="str">
        <f>TEXT(CV1,"MMM-YY")&amp;"."&amp;TEXT(CK1,"MMM-YY")&amp;" vs "&amp;TEXT(DH1,"MMM-YY")&amp;"."&amp;TEXT(CW1,"MMM-YY")</f>
        <v>jul-25.jun-26 vs jul-24.jun-25</v>
      </c>
      <c r="Y3" s="59" t="str">
        <f>TEXT(CK1,"MMM-YY")&amp;" vs "&amp;TEXT(CW1,"MMM-YY")</f>
        <v>jun-26 vs jun-25</v>
      </c>
      <c r="BE3" s="4" t="s">
        <v>3</v>
      </c>
      <c r="BF3" s="4"/>
      <c r="BG3" s="4"/>
      <c r="BH3" s="4"/>
      <c r="BI3" s="4"/>
      <c r="BK3" s="20" t="s">
        <v>15</v>
      </c>
      <c r="BL3" s="20"/>
      <c r="BM3" s="20"/>
      <c r="BO3" s="21" t="s">
        <v>2</v>
      </c>
      <c r="BP3" s="21"/>
      <c r="BQ3" s="21"/>
      <c r="BS3" s="4" t="s">
        <v>7</v>
      </c>
      <c r="BT3" s="4"/>
      <c r="BU3" s="4"/>
      <c r="BW3" s="43" t="s">
        <v>8</v>
      </c>
      <c r="BX3" s="43"/>
      <c r="BY3" s="43"/>
      <c r="CA3" s="22" t="s">
        <v>9</v>
      </c>
      <c r="CB3" s="22"/>
      <c r="CC3" s="22"/>
      <c r="CD3" s="178"/>
      <c r="CE3" s="27" t="s">
        <v>5</v>
      </c>
      <c r="CF3" s="27"/>
      <c r="CG3" s="27"/>
      <c r="CH3" s="27"/>
      <c r="CI3" s="178"/>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O4" s="9"/>
      <c r="BS4" s="9"/>
      <c r="BW4" s="9"/>
      <c r="CE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11826.4103</v>
      </c>
      <c r="BH5" s="2">
        <f t="shared" si="4"/>
        <v>11607.393700000001</v>
      </c>
      <c r="BI5" s="2">
        <f t="shared" si="4"/>
        <v>8855.5681000000004</v>
      </c>
    </row>
    <row r="6" spans="1:164" ht="18.75" customHeight="1">
      <c r="A6" s="243" t="s">
        <v>28</v>
      </c>
      <c r="B6" s="246"/>
      <c r="C6" s="156">
        <f t="shared" ref="C6:C24" si="5">+D6*$D$3+N6*$N$3+T6*$T$3</f>
        <v>0</v>
      </c>
      <c r="D6" s="198">
        <v>-2</v>
      </c>
      <c r="E6" s="248">
        <f t="shared" ref="E6:E24" si="6">IFERROR(+BG6/BH6-1,"")</f>
        <v>2.3487682415864297E-2</v>
      </c>
      <c r="F6" s="249">
        <f t="shared" ref="F6:F24" si="7">+E6-$E$3</f>
        <v>4.6189677275705332E-3</v>
      </c>
      <c r="G6" s="248">
        <f t="shared" ref="G6:G24" si="8">IFERROR(+CF6/CG6-1,"")</f>
        <v>-2.8227595774196645E-2</v>
      </c>
      <c r="H6" s="249">
        <f t="shared" ref="H6:H24" si="9">E6-G6</f>
        <v>5.1715278190060943E-2</v>
      </c>
      <c r="I6" s="248">
        <f t="shared" ref="I6:I24" si="10">IFERROR(+BG6/BI6-1,"")</f>
        <v>0.48328885102363528</v>
      </c>
      <c r="J6" s="249">
        <f t="shared" ref="J6:J24" si="11">+I6-$I$3</f>
        <v>0.14781153703855066</v>
      </c>
      <c r="K6" s="248">
        <f t="shared" ref="K6:K24" si="12">IFERROR(+CF6/CH6-1,"")</f>
        <v>0.4180985141193958</v>
      </c>
      <c r="L6" s="249">
        <f t="shared" ref="L6:L24" si="13">I6-K6</f>
        <v>6.5190336904239476E-2</v>
      </c>
      <c r="M6" s="250"/>
      <c r="N6" s="24">
        <v>1</v>
      </c>
      <c r="O6" s="248">
        <f>IFERROR(+BL6/BM6-1,"")</f>
        <v>-0.43478260869565222</v>
      </c>
      <c r="P6" s="251">
        <f>+O6</f>
        <v>-0.43478260869565222</v>
      </c>
      <c r="Q6" s="248">
        <f t="shared" ref="Q6:Q24" si="14">IFERROR(+BP6/BQ6-1,"")</f>
        <v>-0.22999999999999998</v>
      </c>
      <c r="R6" s="251">
        <f>+Q6</f>
        <v>-0.22999999999999998</v>
      </c>
      <c r="S6" s="250"/>
      <c r="T6" s="24">
        <v>1</v>
      </c>
      <c r="U6" s="248">
        <f t="shared" ref="U6:U24" si="15">IFERROR(+BT6/BU6-1,"")</f>
        <v>0.17004536697039563</v>
      </c>
      <c r="V6" s="252">
        <f t="shared" ref="V6:V24" si="16">+U6</f>
        <v>0.17004536697039563</v>
      </c>
      <c r="W6" s="701">
        <f>IFERROR(IF(BX6&lt;0.5,"",+BX6/BY6-1),"")</f>
        <v>-1.393606828772298E-2</v>
      </c>
      <c r="X6" s="252">
        <f t="shared" ref="X6:X24" si="17">+W6</f>
        <v>-1.393606828772298E-2</v>
      </c>
      <c r="Y6" s="248"/>
      <c r="Z6" s="252">
        <f t="shared" ref="Z6:Z24" si="18">+Y6</f>
        <v>0</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VLOOKUP($A6,historia!$A$5:$DD$24,+HLOOKUP(AP$2,historia!$A$3:$EC$4,2,FALSE),FALSE)</f>
        <v>3</v>
      </c>
      <c r="AQ6" s="28">
        <f>VLOOKUP($A6,historia!$A$5:$DD$24,+HLOOKUP(AQ$2,historia!$A$3:$EC$4,2,FALSE),FALSE)</f>
        <v>3</v>
      </c>
      <c r="AR6" s="28">
        <f>VLOOKUP($A6,historia!$A$5:$DD$24,+HLOOKUP(AR$2,historia!$A$3:$EC$4,2,FALSE),FALSE)</f>
        <v>4</v>
      </c>
      <c r="AS6" s="28">
        <f>VLOOKUP($A6,historia!$A$5:$DD$24,+HLOOKUP(AS$2,historia!$A$3:$EC$4,2,FALSE),FALSE)</f>
        <v>4</v>
      </c>
      <c r="AT6" s="58">
        <f>VLOOKUP($A6,historia!$A$5:$DD$24,+HLOOKUP(AT$2,historia!$A$3:$EC$4,2,FALSE),FALSE)</f>
        <v>4</v>
      </c>
      <c r="AU6" s="58">
        <f>VLOOKUP($A6,historia!$A$5:$DD$24,+HLOOKUP(AU$2,historia!$A$3:$EC$4,2,FALSE),FALSE)</f>
        <v>4</v>
      </c>
      <c r="AV6" s="58">
        <f>VLOOKUP($A6,historia!$A$5:$DD$24,+HLOOKUP(AV$2,historia!$A$3:$EC$4,2,FALSE),FALSE)</f>
        <v>4</v>
      </c>
      <c r="AW6" s="58">
        <f>VLOOKUP($A6,historia!$A$5:$DD$24,+HLOOKUP(AW$2,historia!$A$3:$EC$4,2,FALSE),FALSE)</f>
        <v>4</v>
      </c>
      <c r="AX6" s="58">
        <f>VLOOKUP($A6,historia!$A$5:$DD$24,+HLOOKUP(AX$2,historia!$A$3:$EC$4,2,FALSE),FALSE)</f>
        <v>4</v>
      </c>
      <c r="AY6" s="58">
        <f>VLOOKUP($A6,historia!$A$5:$DD$24,+HLOOKUP(AY$2,historia!$A$3:$EC$4,2,FALSE),FALSE)</f>
        <v>4</v>
      </c>
      <c r="AZ6" s="58">
        <f>VLOOKUP($A6,historia!$A$5:$DD$24,+HLOOKUP(AZ$2,historia!$A$3:$EC$4,2,FALSE),FALSE)</f>
        <v>4</v>
      </c>
      <c r="BA6" s="58">
        <f>VLOOKUP($A6,historia!$A$5:$DD$24,+HLOOKUP(BA$2,historia!$A$3:$EC$4,2,FALSE),FALSE)</f>
        <v>4</v>
      </c>
      <c r="BB6" s="58"/>
      <c r="BC6" s="286">
        <v>4</v>
      </c>
      <c r="BD6" t="str">
        <f t="shared" ref="BD6:BD24" si="19">+A6</f>
        <v>Algodón</v>
      </c>
      <c r="BE6">
        <f>+datos!P1</f>
        <v>16</v>
      </c>
      <c r="BF6" s="2" t="str">
        <f t="shared" si="4"/>
        <v>$/kg</v>
      </c>
      <c r="BG6" s="2">
        <f t="shared" si="4"/>
        <v>2002.1664674999997</v>
      </c>
      <c r="BH6" s="2">
        <f t="shared" si="4"/>
        <v>1956.219407325</v>
      </c>
      <c r="BI6" s="2">
        <f t="shared" si="4"/>
        <v>1349.8156249999997</v>
      </c>
      <c r="BK6" s="1">
        <f>+datos!DK1</f>
        <v>115</v>
      </c>
      <c r="BL6" s="1">
        <f t="shared" ref="BL6:BM24" si="20">+VLOOKUP(BL$1,ran_dat,$BK6,FALSE)</f>
        <v>390000</v>
      </c>
      <c r="BM6" s="1">
        <f t="shared" si="20"/>
        <v>690000</v>
      </c>
      <c r="BO6" s="1">
        <f>+datos!FF1</f>
        <v>162</v>
      </c>
      <c r="BP6" s="1">
        <f>+VLOOKUP(BP$1,ran_dat,$BO6,FALSE)</f>
        <v>770000</v>
      </c>
      <c r="BQ6" s="1">
        <f t="shared" ref="BP6:BQ24" si="21">+VLOOKUP(BQ$1,ran_dat,$BO6,FALSE)</f>
        <v>1000000</v>
      </c>
      <c r="BS6" s="1">
        <f>+datos!JF1</f>
        <v>266</v>
      </c>
      <c r="BT6" s="1">
        <f>+SUM(CK6:CV6)</f>
        <v>177.27353267999996</v>
      </c>
      <c r="BU6" s="1">
        <f>+SUM(CW6:DH6)</f>
        <v>151.50996506999999</v>
      </c>
      <c r="BW6" s="1">
        <f>+datos!KK1</f>
        <v>297</v>
      </c>
      <c r="BX6" s="2">
        <f t="shared" ref="BX6:BX24" si="22">+SUM(DJ6:DU6)</f>
        <v>87.765586209999995</v>
      </c>
      <c r="BY6" s="2">
        <f t="shared" ref="BY6:BY24" si="23">+SUM(DV6:EG6)</f>
        <v>89.005979619999991</v>
      </c>
      <c r="CA6" s="1">
        <f>+datos!HS1</f>
        <v>227</v>
      </c>
      <c r="CB6" s="1">
        <f t="shared" ref="CB6:CB24" si="24">+EI6</f>
        <v>0</v>
      </c>
      <c r="CC6" s="1">
        <f t="shared" ref="CC6:CC24" si="25">+EU6</f>
        <v>0</v>
      </c>
      <c r="CD6" s="1"/>
      <c r="CE6">
        <f>+datos!BY1</f>
        <v>77</v>
      </c>
      <c r="CF6" s="2">
        <f t="shared" ref="CF6:CH24" si="26">+VLOOKUP(CF$1,ran_dat,$CE6,FALSE)</f>
        <v>14225.139844443294</v>
      </c>
      <c r="CG6" s="2">
        <f t="shared" si="26"/>
        <v>14638.345133679992</v>
      </c>
      <c r="CH6" s="2">
        <f t="shared" si="26"/>
        <v>10031.13655561282</v>
      </c>
      <c r="CI6" s="1"/>
      <c r="CK6" s="1">
        <f t="shared" ref="CK6:CZ21" si="27">+VLOOKUP(CK$1,ran_dat,$BS6,FALSE)</f>
        <v>16.754484870000002</v>
      </c>
      <c r="CL6" s="1">
        <f t="shared" si="27"/>
        <v>11.103674589999992</v>
      </c>
      <c r="CM6" s="1">
        <f t="shared" si="27"/>
        <v>12.094188589999995</v>
      </c>
      <c r="CN6" s="1">
        <f t="shared" si="27"/>
        <v>12.781845520000003</v>
      </c>
      <c r="CO6" s="1">
        <f t="shared" si="27"/>
        <v>12.588257429999995</v>
      </c>
      <c r="CP6" s="1">
        <f t="shared" si="27"/>
        <v>12.342095660000002</v>
      </c>
      <c r="CQ6" s="1">
        <f t="shared" si="27"/>
        <v>14.028435419999997</v>
      </c>
      <c r="CR6" s="1">
        <f t="shared" si="27"/>
        <v>19.935607340000004</v>
      </c>
      <c r="CS6" s="1">
        <f t="shared" si="27"/>
        <v>21.754931440000004</v>
      </c>
      <c r="CT6" s="1">
        <f t="shared" si="27"/>
        <v>18.652099290000002</v>
      </c>
      <c r="CU6" s="1">
        <f t="shared" si="27"/>
        <v>16.211576590000004</v>
      </c>
      <c r="CV6" s="1">
        <f t="shared" si="27"/>
        <v>9.0263359399999974</v>
      </c>
      <c r="CW6" s="1">
        <f t="shared" si="27"/>
        <v>8.2931694499999988</v>
      </c>
      <c r="CX6" s="1">
        <f t="shared" si="27"/>
        <v>5.0945514700000007</v>
      </c>
      <c r="CY6" s="1">
        <f t="shared" si="27"/>
        <v>7.3093251500000047</v>
      </c>
      <c r="CZ6" s="1">
        <f t="shared" si="27"/>
        <v>6.7908860800000017</v>
      </c>
      <c r="DA6" s="1">
        <f t="shared" ref="DA6:DH21" si="28">+VLOOKUP(DA$1,ran_dat,$BS6,FALSE)</f>
        <v>8.6490729999999978</v>
      </c>
      <c r="DB6" s="1">
        <f t="shared" si="28"/>
        <v>6.462363250000001</v>
      </c>
      <c r="DC6" s="1">
        <f t="shared" si="28"/>
        <v>10.78045292</v>
      </c>
      <c r="DD6" s="1">
        <f t="shared" si="28"/>
        <v>14.805583519999997</v>
      </c>
      <c r="DE6" s="1">
        <f t="shared" si="28"/>
        <v>17.696202909999993</v>
      </c>
      <c r="DF6" s="1">
        <f t="shared" si="28"/>
        <v>21.922029789999996</v>
      </c>
      <c r="DG6" s="1">
        <f t="shared" si="28"/>
        <v>19.20970509</v>
      </c>
      <c r="DH6" s="1">
        <f t="shared" si="28"/>
        <v>24.496622440000007</v>
      </c>
      <c r="DJ6" s="1">
        <f t="shared" ref="DJ6:DY21" si="29">+VLOOKUP(DJ$1,ran_dat,$BW6,FALSE)</f>
        <v>7.7956888200000014</v>
      </c>
      <c r="DK6" s="1">
        <f t="shared" si="29"/>
        <v>4.6022526900000003</v>
      </c>
      <c r="DL6" s="1">
        <f t="shared" si="29"/>
        <v>6.0731055099999995</v>
      </c>
      <c r="DM6" s="1">
        <f t="shared" si="29"/>
        <v>5.0269418100000003</v>
      </c>
      <c r="DN6" s="1">
        <f t="shared" si="29"/>
        <v>4.1096809499999996</v>
      </c>
      <c r="DO6" s="1">
        <f t="shared" si="29"/>
        <v>5.6046989700000003</v>
      </c>
      <c r="DP6" s="1">
        <f t="shared" si="29"/>
        <v>5.8762837499999998</v>
      </c>
      <c r="DQ6" s="1">
        <f t="shared" si="29"/>
        <v>7.4817210700000008</v>
      </c>
      <c r="DR6" s="1">
        <f t="shared" si="29"/>
        <v>10.164854930000002</v>
      </c>
      <c r="DS6" s="1">
        <f t="shared" si="29"/>
        <v>9.0858989999999995</v>
      </c>
      <c r="DT6" s="1">
        <f t="shared" si="29"/>
        <v>10.908765819999998</v>
      </c>
      <c r="DU6" s="1">
        <f t="shared" si="29"/>
        <v>11.035692889999996</v>
      </c>
      <c r="DV6" s="1">
        <f t="shared" si="29"/>
        <v>9.4337625599999999</v>
      </c>
      <c r="DW6" s="1">
        <f t="shared" si="29"/>
        <v>9.66008332</v>
      </c>
      <c r="DX6" s="1">
        <f t="shared" si="29"/>
        <v>10.467826709999999</v>
      </c>
      <c r="DY6" s="1">
        <f t="shared" si="29"/>
        <v>7.9836210200000002</v>
      </c>
      <c r="DZ6" s="1">
        <f t="shared" ref="DZ6:EG20" si="30">+VLOOKUP(DZ$1,ran_dat,$BW6,FALSE)</f>
        <v>9.7355070900000005</v>
      </c>
      <c r="EA6" s="1">
        <f t="shared" si="30"/>
        <v>7.6983577599999995</v>
      </c>
      <c r="EB6" s="1">
        <f t="shared" si="30"/>
        <v>8.003268180000001</v>
      </c>
      <c r="EC6" s="1">
        <f t="shared" si="30"/>
        <v>5.6011509000000004</v>
      </c>
      <c r="ED6" s="1">
        <f t="shared" si="30"/>
        <v>5.8112020999999991</v>
      </c>
      <c r="EE6" s="1">
        <f t="shared" si="30"/>
        <v>6.3060080799999998</v>
      </c>
      <c r="EF6" s="1">
        <f t="shared" si="30"/>
        <v>3.7690183000000008</v>
      </c>
      <c r="EG6" s="1">
        <f t="shared" si="30"/>
        <v>4.5361736000000006</v>
      </c>
      <c r="EI6" s="14">
        <f>+VLOOKUP(EI$1,ran_dat,$CA6,FALSE)</f>
        <v>0</v>
      </c>
      <c r="EJ6" s="14">
        <f t="shared" ref="EJ6:FF21" si="31">+VLOOKUP(EJ$1,ran_dat,$CA6,FALSE)</f>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si="31"/>
        <v>0</v>
      </c>
      <c r="EY6" s="1">
        <f t="shared" si="31"/>
        <v>0</v>
      </c>
      <c r="EZ6" s="1">
        <f t="shared" si="31"/>
        <v>0</v>
      </c>
      <c r="FA6" s="1">
        <f t="shared" si="31"/>
        <v>0</v>
      </c>
      <c r="FB6" s="1">
        <f t="shared" si="31"/>
        <v>0</v>
      </c>
      <c r="FC6" s="1">
        <f t="shared" si="31"/>
        <v>0</v>
      </c>
      <c r="FD6" s="1">
        <f t="shared" si="31"/>
        <v>0</v>
      </c>
      <c r="FE6" s="1">
        <f t="shared" si="31"/>
        <v>0</v>
      </c>
      <c r="FF6" s="1">
        <f t="shared" si="31"/>
        <v>0</v>
      </c>
      <c r="FH6" s="162">
        <f t="shared" ref="FH6:FH24" si="32">+I6-K6</f>
        <v>6.5190336904239476E-2</v>
      </c>
    </row>
    <row r="7" spans="1:164" ht="18.75" customHeight="1">
      <c r="A7" s="244" t="s">
        <v>13</v>
      </c>
      <c r="B7" s="247"/>
      <c r="C7" s="228">
        <f t="shared" si="5"/>
        <v>-0.33</v>
      </c>
      <c r="D7" s="229">
        <v>-1</v>
      </c>
      <c r="E7" s="253">
        <f t="shared" si="6"/>
        <v>0</v>
      </c>
      <c r="F7" s="254">
        <f t="shared" si="7"/>
        <v>-1.8868714688293764E-2</v>
      </c>
      <c r="G7" s="253">
        <f t="shared" si="8"/>
        <v>-4.3927434109981678E-2</v>
      </c>
      <c r="H7" s="254">
        <f t="shared" si="9"/>
        <v>4.3927434109981678E-2</v>
      </c>
      <c r="I7" s="253">
        <f t="shared" si="10"/>
        <v>0.39999999999999991</v>
      </c>
      <c r="J7" s="254">
        <f t="shared" si="11"/>
        <v>6.4522686014915287E-2</v>
      </c>
      <c r="K7" s="253">
        <f t="shared" si="12"/>
        <v>0.591141665407656</v>
      </c>
      <c r="L7" s="254">
        <f t="shared" si="13"/>
        <v>-0.19114166540765609</v>
      </c>
      <c r="M7" s="255"/>
      <c r="N7" s="256">
        <v>1</v>
      </c>
      <c r="O7" s="253">
        <f t="shared" ref="O7:O24" si="33">IFERROR(+BL7/BM7-1,"")</f>
        <v>-0.13043478260869568</v>
      </c>
      <c r="P7" s="257">
        <f t="shared" ref="P7:P24" si="34">+O7</f>
        <v>-0.13043478260869568</v>
      </c>
      <c r="Q7" s="253">
        <f t="shared" si="14"/>
        <v>-0.125</v>
      </c>
      <c r="R7" s="257">
        <f t="shared" ref="R7:R24" si="35">+Q7</f>
        <v>-0.125</v>
      </c>
      <c r="S7" s="255"/>
      <c r="T7" s="256">
        <v>-1</v>
      </c>
      <c r="U7" s="253">
        <f t="shared" si="15"/>
        <v>8.5746771934381183E-2</v>
      </c>
      <c r="V7" s="258">
        <f t="shared" si="16"/>
        <v>8.5746771934381183E-2</v>
      </c>
      <c r="W7" s="253">
        <f t="shared" ref="W7:W24" si="36">IFERROR(IF(BX7&lt;0.5,"",+BX7/BY7-1),"")</f>
        <v>-0.55893875446826136</v>
      </c>
      <c r="X7" s="258">
        <f t="shared" si="17"/>
        <v>-0.55893875446826136</v>
      </c>
      <c r="Y7" s="253">
        <f t="shared" ref="Y7:Y25" si="37">IFERROR(+CB7/CC7-1,"")</f>
        <v>-4.0404040404040442E-2</v>
      </c>
      <c r="Z7" s="258">
        <f t="shared" si="18"/>
        <v>-4.0404040404040442E-2</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VLOOKUP($A7,historia!$A$5:$DD$24,+HLOOKUP(AP$2,historia!$A$3:$EC$4,2,FALSE),FALSE)</f>
        <v>4</v>
      </c>
      <c r="AQ7" s="28">
        <f>VLOOKUP($A7,historia!$A$5:$DD$24,+HLOOKUP(AQ$2,historia!$A$3:$EC$4,2,FALSE),FALSE)</f>
        <v>4</v>
      </c>
      <c r="AR7" s="28">
        <f>VLOOKUP($A7,historia!$A$5:$DD$24,+HLOOKUP(AR$2,historia!$A$3:$EC$4,2,FALSE),FALSE)</f>
        <v>4</v>
      </c>
      <c r="AS7" s="28">
        <f>VLOOKUP($A7,historia!$A$5:$DD$24,+HLOOKUP(AS$2,historia!$A$3:$EC$4,2,FALSE),FALSE)</f>
        <v>4</v>
      </c>
      <c r="AT7" s="58">
        <f>VLOOKUP($A7,historia!$A$5:$DD$24,+HLOOKUP(AT$2,historia!$A$3:$EC$4,2,FALSE),FALSE)</f>
        <v>4</v>
      </c>
      <c r="AU7" s="58">
        <f>VLOOKUP($A7,historia!$A$5:$DD$24,+HLOOKUP(AU$2,historia!$A$3:$EC$4,2,FALSE),FALSE)</f>
        <v>4</v>
      </c>
      <c r="AV7" s="58">
        <f>VLOOKUP($A7,historia!$A$5:$DD$24,+HLOOKUP(AV$2,historia!$A$3:$EC$4,2,FALSE),FALSE)</f>
        <v>4</v>
      </c>
      <c r="AW7" s="58">
        <f>VLOOKUP($A7,historia!$A$5:$DD$24,+HLOOKUP(AW$2,historia!$A$3:$EC$4,2,FALSE),FALSE)</f>
        <v>4</v>
      </c>
      <c r="AX7" s="58">
        <f>VLOOKUP($A7,historia!$A$5:$DD$24,+HLOOKUP(AX$2,historia!$A$3:$EC$4,2,FALSE),FALSE)</f>
        <v>4</v>
      </c>
      <c r="AY7" s="58">
        <f>VLOOKUP($A7,historia!$A$5:$DD$24,+HLOOKUP(AY$2,historia!$A$3:$EC$4,2,FALSE),FALSE)</f>
        <v>3</v>
      </c>
      <c r="AZ7" s="58">
        <f>VLOOKUP($A7,historia!$A$5:$DD$24,+HLOOKUP(AZ$2,historia!$A$3:$EC$4,2,FALSE),FALSE)</f>
        <v>3</v>
      </c>
      <c r="BA7" s="58">
        <f>VLOOKUP($A7,historia!$A$5:$DD$24,+HLOOKUP(BA$2,historia!$A$3:$EC$4,2,FALSE),FALSE)</f>
        <v>3</v>
      </c>
      <c r="BB7" s="58"/>
      <c r="BC7" s="286">
        <v>3</v>
      </c>
      <c r="BD7" t="str">
        <f t="shared" si="19"/>
        <v>Arroz</v>
      </c>
      <c r="BE7">
        <f>+datos!R1</f>
        <v>18</v>
      </c>
      <c r="BF7" s="2" t="str">
        <f t="shared" si="4"/>
        <v>$/t</v>
      </c>
      <c r="BG7" s="2">
        <f t="shared" si="4"/>
        <v>280000</v>
      </c>
      <c r="BH7" s="2">
        <f t="shared" si="4"/>
        <v>280000</v>
      </c>
      <c r="BI7" s="2">
        <f t="shared" si="4"/>
        <v>200000</v>
      </c>
      <c r="BK7" s="1">
        <f>+datos!DM1</f>
        <v>117</v>
      </c>
      <c r="BL7" s="1">
        <f t="shared" si="20"/>
        <v>200000</v>
      </c>
      <c r="BM7" s="1">
        <f t="shared" si="20"/>
        <v>230000</v>
      </c>
      <c r="BO7" s="1">
        <f>+datos!FH1</f>
        <v>164</v>
      </c>
      <c r="BP7" s="1">
        <f t="shared" si="21"/>
        <v>1400000</v>
      </c>
      <c r="BQ7" s="1">
        <f t="shared" si="21"/>
        <v>1600000</v>
      </c>
      <c r="BS7" s="1">
        <f>+datos!JG1</f>
        <v>267</v>
      </c>
      <c r="BT7" s="1">
        <f t="shared" ref="BT7:BT24" si="38">+SUM(CK7:CV7)</f>
        <v>428.41715507000004</v>
      </c>
      <c r="BU7" s="1">
        <f t="shared" ref="BU7:BU24" si="39">+SUM(CW7:DH7)</f>
        <v>394.58294157</v>
      </c>
      <c r="BW7" s="1">
        <f>+datos!KL1</f>
        <v>298</v>
      </c>
      <c r="BX7" s="2">
        <f t="shared" si="22"/>
        <v>2.11523532</v>
      </c>
      <c r="BY7" s="2">
        <f t="shared" si="23"/>
        <v>4.7957859399999991</v>
      </c>
      <c r="CA7" s="1">
        <f>+datos!HU1</f>
        <v>229</v>
      </c>
      <c r="CB7" s="1">
        <f t="shared" si="24"/>
        <v>950000</v>
      </c>
      <c r="CC7" s="1">
        <f t="shared" si="25"/>
        <v>990000</v>
      </c>
      <c r="CD7" s="1"/>
      <c r="CE7">
        <f>+datos!BZ1</f>
        <v>78</v>
      </c>
      <c r="CF7" s="2">
        <f t="shared" si="26"/>
        <v>15522.415666118866</v>
      </c>
      <c r="CG7" s="2">
        <f t="shared" si="26"/>
        <v>16235.604095248649</v>
      </c>
      <c r="CH7" s="2">
        <f t="shared" si="26"/>
        <v>9755.5208336160122</v>
      </c>
      <c r="CI7" s="1"/>
      <c r="CK7" s="1">
        <f t="shared" si="27"/>
        <v>26.650133280000002</v>
      </c>
      <c r="CL7" s="1">
        <f t="shared" si="27"/>
        <v>29.390449220000004</v>
      </c>
      <c r="CM7" s="1">
        <f t="shared" si="27"/>
        <v>63.44953374</v>
      </c>
      <c r="CN7" s="1">
        <f t="shared" si="27"/>
        <v>21.288385250000005</v>
      </c>
      <c r="CO7" s="1">
        <f t="shared" si="27"/>
        <v>90.314876920000003</v>
      </c>
      <c r="CP7" s="1">
        <f t="shared" si="27"/>
        <v>25.485538569999999</v>
      </c>
      <c r="CQ7" s="1">
        <f t="shared" si="27"/>
        <v>12.625558100000001</v>
      </c>
      <c r="CR7" s="1">
        <f t="shared" si="27"/>
        <v>36.759837599999997</v>
      </c>
      <c r="CS7" s="1">
        <f t="shared" si="27"/>
        <v>36.299912110000001</v>
      </c>
      <c r="CT7" s="1">
        <f t="shared" si="27"/>
        <v>15.634826659999996</v>
      </c>
      <c r="CU7" s="1">
        <f t="shared" si="27"/>
        <v>54.436744560000001</v>
      </c>
      <c r="CV7" s="1">
        <f t="shared" si="27"/>
        <v>16.08135906</v>
      </c>
      <c r="CW7" s="1">
        <f t="shared" si="27"/>
        <v>31.537173230000004</v>
      </c>
      <c r="CX7" s="1">
        <f t="shared" si="27"/>
        <v>39.974175860000003</v>
      </c>
      <c r="CY7" s="1">
        <f t="shared" si="27"/>
        <v>35.910188569999995</v>
      </c>
      <c r="CZ7" s="1">
        <f t="shared" si="27"/>
        <v>30.652184479999995</v>
      </c>
      <c r="DA7" s="1">
        <f t="shared" si="28"/>
        <v>94.896967090000004</v>
      </c>
      <c r="DB7" s="1">
        <f t="shared" si="28"/>
        <v>22.007364089999996</v>
      </c>
      <c r="DC7" s="1">
        <f t="shared" si="28"/>
        <v>13.652213600000001</v>
      </c>
      <c r="DD7" s="1">
        <f t="shared" si="28"/>
        <v>21.789652239999999</v>
      </c>
      <c r="DE7" s="1">
        <f t="shared" si="28"/>
        <v>22.506187060000002</v>
      </c>
      <c r="DF7" s="1">
        <f t="shared" si="28"/>
        <v>26.198510359999997</v>
      </c>
      <c r="DG7" s="1">
        <f t="shared" si="28"/>
        <v>16.658344929999998</v>
      </c>
      <c r="DH7" s="1">
        <f t="shared" si="28"/>
        <v>38.799980059999996</v>
      </c>
      <c r="DJ7" s="1">
        <f t="shared" si="29"/>
        <v>0.34271688000000006</v>
      </c>
      <c r="DK7" s="1">
        <f t="shared" si="29"/>
        <v>0.10270198</v>
      </c>
      <c r="DL7" s="1">
        <f t="shared" si="29"/>
        <v>0.16027804000000001</v>
      </c>
      <c r="DM7" s="1">
        <f t="shared" si="29"/>
        <v>0.19125684999999998</v>
      </c>
      <c r="DN7" s="1">
        <f t="shared" si="29"/>
        <v>0.15253662999999998</v>
      </c>
      <c r="DO7" s="1">
        <f t="shared" si="29"/>
        <v>1.9795769999999997E-2</v>
      </c>
      <c r="DP7" s="1">
        <f t="shared" si="29"/>
        <v>0.22953033</v>
      </c>
      <c r="DQ7" s="1">
        <f t="shared" si="29"/>
        <v>3.2780709999999998E-2</v>
      </c>
      <c r="DR7" s="1">
        <f t="shared" si="29"/>
        <v>0.17706282000000001</v>
      </c>
      <c r="DS7" s="1">
        <f t="shared" si="29"/>
        <v>0.30085145999999996</v>
      </c>
      <c r="DT7" s="1">
        <f t="shared" si="29"/>
        <v>0.26679149000000002</v>
      </c>
      <c r="DU7" s="1">
        <f t="shared" si="29"/>
        <v>0.13893236</v>
      </c>
      <c r="DV7" s="1">
        <f t="shared" si="29"/>
        <v>0.4195122</v>
      </c>
      <c r="DW7" s="1">
        <f t="shared" si="29"/>
        <v>0.20050375000000001</v>
      </c>
      <c r="DX7" s="1">
        <f t="shared" si="29"/>
        <v>0.34624290000000002</v>
      </c>
      <c r="DY7" s="1">
        <f t="shared" si="29"/>
        <v>0.15613090000000002</v>
      </c>
      <c r="DZ7" s="1">
        <f t="shared" si="30"/>
        <v>0.47281664000000007</v>
      </c>
      <c r="EA7" s="1">
        <f t="shared" si="30"/>
        <v>0.84812041999999999</v>
      </c>
      <c r="EB7" s="1">
        <f t="shared" si="30"/>
        <v>0.25440681999999998</v>
      </c>
      <c r="EC7" s="1">
        <f t="shared" si="30"/>
        <v>0.7620908099999999</v>
      </c>
      <c r="ED7" s="1">
        <f t="shared" si="30"/>
        <v>0.50490091999999998</v>
      </c>
      <c r="EE7" s="1">
        <f t="shared" si="30"/>
        <v>0.40961613000000002</v>
      </c>
      <c r="EF7" s="1">
        <f t="shared" si="30"/>
        <v>0.23587240000000001</v>
      </c>
      <c r="EG7" s="1">
        <f t="shared" si="30"/>
        <v>0.18557204999999999</v>
      </c>
      <c r="EI7" s="14">
        <f t="shared" ref="EI7:EX22" si="40">+VLOOKUP(EI$1,ran_dat,$CA7,FALSE)</f>
        <v>950000</v>
      </c>
      <c r="EJ7" s="14">
        <f t="shared" si="40"/>
        <v>950000</v>
      </c>
      <c r="EK7" s="1">
        <f t="shared" si="40"/>
        <v>950000</v>
      </c>
      <c r="EL7" s="1">
        <f t="shared" si="40"/>
        <v>990000</v>
      </c>
      <c r="EM7" s="1">
        <f t="shared" si="40"/>
        <v>990000</v>
      </c>
      <c r="EN7" s="1">
        <f t="shared" si="40"/>
        <v>990000</v>
      </c>
      <c r="EO7" s="1">
        <f t="shared" si="40"/>
        <v>990000</v>
      </c>
      <c r="EP7" s="1">
        <f t="shared" si="40"/>
        <v>990000</v>
      </c>
      <c r="EQ7" s="1">
        <f t="shared" si="40"/>
        <v>990000</v>
      </c>
      <c r="ER7" s="1">
        <f t="shared" si="40"/>
        <v>990000</v>
      </c>
      <c r="ES7" s="1">
        <f t="shared" si="40"/>
        <v>990000</v>
      </c>
      <c r="ET7" s="1">
        <f t="shared" si="40"/>
        <v>990000</v>
      </c>
      <c r="EU7" s="1">
        <f t="shared" si="40"/>
        <v>990000</v>
      </c>
      <c r="EV7" s="1">
        <f t="shared" si="40"/>
        <v>700000</v>
      </c>
      <c r="EW7" s="1">
        <f t="shared" si="40"/>
        <v>700000</v>
      </c>
      <c r="EX7" s="1">
        <f t="shared" si="40"/>
        <v>700000</v>
      </c>
      <c r="EY7" s="1">
        <f t="shared" si="31"/>
        <v>700000</v>
      </c>
      <c r="EZ7" s="1">
        <f t="shared" si="31"/>
        <v>700000</v>
      </c>
      <c r="FA7" s="1">
        <f t="shared" si="31"/>
        <v>700000</v>
      </c>
      <c r="FB7" s="1">
        <f t="shared" si="31"/>
        <v>700000</v>
      </c>
      <c r="FC7" s="1">
        <f t="shared" si="31"/>
        <v>700000</v>
      </c>
      <c r="FD7" s="1">
        <f t="shared" si="31"/>
        <v>700000</v>
      </c>
      <c r="FE7" s="1">
        <f t="shared" si="31"/>
        <v>700000</v>
      </c>
      <c r="FF7" s="1">
        <f t="shared" si="31"/>
        <v>700000</v>
      </c>
      <c r="FH7" s="162">
        <f t="shared" si="32"/>
        <v>-0.19114166540765609</v>
      </c>
    </row>
    <row r="8" spans="1:164" ht="18.75" customHeight="1">
      <c r="A8" s="243" t="s">
        <v>215</v>
      </c>
      <c r="B8" s="246"/>
      <c r="C8" s="156">
        <f t="shared" si="5"/>
        <v>-0.33</v>
      </c>
      <c r="D8" s="198">
        <v>0</v>
      </c>
      <c r="E8" s="248">
        <f t="shared" si="6"/>
        <v>-1.5904216921985737E-2</v>
      </c>
      <c r="F8" s="249">
        <f t="shared" si="7"/>
        <v>-3.4772931610279501E-2</v>
      </c>
      <c r="G8" s="248">
        <f t="shared" si="8"/>
        <v>-3.6627414479844078E-2</v>
      </c>
      <c r="H8" s="249">
        <f t="shared" si="9"/>
        <v>2.0723197557858342E-2</v>
      </c>
      <c r="I8" s="248">
        <f t="shared" si="10"/>
        <v>-5.5906640554018838E-2</v>
      </c>
      <c r="J8" s="249">
        <f t="shared" si="11"/>
        <v>-0.39138395453910346</v>
      </c>
      <c r="K8" s="248">
        <f t="shared" si="12"/>
        <v>0.24213617656550479</v>
      </c>
      <c r="L8" s="249">
        <f t="shared" si="13"/>
        <v>-0.29804281711952363</v>
      </c>
      <c r="M8" s="250"/>
      <c r="N8" s="24">
        <v>0</v>
      </c>
      <c r="O8" s="248">
        <f t="shared" si="33"/>
        <v>5.7704637743107856E-3</v>
      </c>
      <c r="P8" s="251">
        <f t="shared" si="34"/>
        <v>5.7704637743107856E-3</v>
      </c>
      <c r="Q8" s="248">
        <f t="shared" si="14"/>
        <v>-1.5662712095312337E-2</v>
      </c>
      <c r="R8" s="251">
        <f t="shared" si="35"/>
        <v>-1.5662712095312337E-2</v>
      </c>
      <c r="S8" s="250"/>
      <c r="T8" s="24">
        <v>-1</v>
      </c>
      <c r="U8" s="248">
        <f t="shared" si="15"/>
        <v>-0.30374475260767841</v>
      </c>
      <c r="V8" s="252">
        <f t="shared" si="16"/>
        <v>-0.30374475260767841</v>
      </c>
      <c r="W8" s="248">
        <f t="shared" si="36"/>
        <v>9.4481430000029842E-2</v>
      </c>
      <c r="X8" s="252">
        <f t="shared" si="17"/>
        <v>9.4481430000029842E-2</v>
      </c>
      <c r="Y8" s="248">
        <f t="shared" si="37"/>
        <v>1.7647058823529571E-2</v>
      </c>
      <c r="Z8" s="252">
        <f t="shared" si="18"/>
        <v>1.7647058823529571E-2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VLOOKUP($A8,historia!$A$5:$DD$24,+HLOOKUP(AP$2,historia!$A$3:$EC$4,2,FALSE),FALSE)</f>
        <v>2</v>
      </c>
      <c r="AQ8" s="28">
        <f>VLOOKUP($A8,historia!$A$5:$DD$24,+HLOOKUP(AQ$2,historia!$A$3:$EC$4,2,FALSE),FALSE)</f>
        <v>2</v>
      </c>
      <c r="AR8" s="28">
        <f>VLOOKUP($A8,historia!$A$5:$DD$24,+HLOOKUP(AR$2,historia!$A$3:$EC$4,2,FALSE),FALSE)</f>
        <v>2</v>
      </c>
      <c r="AS8" s="28">
        <f>VLOOKUP($A8,historia!$A$5:$DD$24,+HLOOKUP(AS$2,historia!$A$3:$EC$4,2,FALSE),FALSE)</f>
        <v>2</v>
      </c>
      <c r="AT8" s="58">
        <f>VLOOKUP($A8,historia!$A$5:$DD$24,+HLOOKUP(AT$2,historia!$A$3:$EC$4,2,FALSE),FALSE)</f>
        <v>3</v>
      </c>
      <c r="AU8" s="58">
        <f>VLOOKUP($A8,historia!$A$5:$DD$24,+HLOOKUP(AU$2,historia!$A$3:$EC$4,2,FALSE),FALSE)</f>
        <v>3</v>
      </c>
      <c r="AV8" s="58">
        <f>VLOOKUP($A8,historia!$A$5:$DD$24,+HLOOKUP(AV$2,historia!$A$3:$EC$4,2,FALSE),FALSE)</f>
        <v>3</v>
      </c>
      <c r="AW8" s="58">
        <f>VLOOKUP($A8,historia!$A$5:$DD$24,+HLOOKUP(AW$2,historia!$A$3:$EC$4,2,FALSE),FALSE)</f>
        <v>3</v>
      </c>
      <c r="AX8" s="58">
        <f>VLOOKUP($A8,historia!$A$5:$DD$24,+HLOOKUP(AX$2,historia!$A$3:$EC$4,2,FALSE),FALSE)</f>
        <v>3</v>
      </c>
      <c r="AY8" s="58">
        <f>VLOOKUP($A8,historia!$A$5:$DD$24,+HLOOKUP(AY$2,historia!$A$3:$EC$4,2,FALSE),FALSE)</f>
        <v>3</v>
      </c>
      <c r="AZ8" s="58">
        <f>VLOOKUP($A8,historia!$A$5:$DD$24,+HLOOKUP(AZ$2,historia!$A$3:$EC$4,2,FALSE),FALSE)</f>
        <v>3</v>
      </c>
      <c r="BA8" s="58">
        <f>VLOOKUP($A8,historia!$A$5:$DG$24,+HLOOKUP(BA$2,historia!$A$3:$EC$4,2,FALSE),FALSE)</f>
        <v>3</v>
      </c>
      <c r="BB8" s="58"/>
      <c r="BC8" s="286">
        <v>3</v>
      </c>
      <c r="BD8" t="str">
        <f t="shared" si="19"/>
        <v>Aves</v>
      </c>
      <c r="BE8">
        <f>+datos!BQ1</f>
        <v>69</v>
      </c>
      <c r="BF8" s="2" t="str">
        <f t="shared" si="4"/>
        <v>prom pond huevo-carne</v>
      </c>
      <c r="BG8" s="2">
        <f t="shared" si="4"/>
        <v>2338</v>
      </c>
      <c r="BH8" s="2">
        <f t="shared" si="4"/>
        <v>2375.7849999999999</v>
      </c>
      <c r="BI8" s="2">
        <f t="shared" si="4"/>
        <v>2476.4499999999998</v>
      </c>
      <c r="BK8" s="1">
        <f>+datos!EP1</f>
        <v>146</v>
      </c>
      <c r="BL8" s="1">
        <f t="shared" si="20"/>
        <v>9412</v>
      </c>
      <c r="BM8" s="1">
        <f t="shared" si="20"/>
        <v>9358</v>
      </c>
      <c r="BO8" s="1">
        <f>+datos!HM1</f>
        <v>221</v>
      </c>
      <c r="BP8" s="1">
        <f t="shared" si="21"/>
        <v>2347996.2400000002</v>
      </c>
      <c r="BQ8" s="1">
        <f t="shared" si="21"/>
        <v>2385357.406299287</v>
      </c>
      <c r="BS8" s="1">
        <f>+datos!KF1</f>
        <v>292</v>
      </c>
      <c r="BT8" s="1">
        <f t="shared" si="38"/>
        <v>104.94301474999997</v>
      </c>
      <c r="BU8" s="1">
        <f t="shared" si="39"/>
        <v>150.72491754000001</v>
      </c>
      <c r="BW8" s="1">
        <f>+datos!LK1</f>
        <v>323</v>
      </c>
      <c r="BX8" s="2">
        <f t="shared" si="22"/>
        <v>41.941733750000004</v>
      </c>
      <c r="BY8" s="2">
        <f t="shared" si="23"/>
        <v>38.321101300000002</v>
      </c>
      <c r="CA8" s="1">
        <f>+datos!IL1</f>
        <v>246</v>
      </c>
      <c r="CB8" s="2">
        <f t="shared" si="24"/>
        <v>46.71</v>
      </c>
      <c r="CC8" s="2">
        <f t="shared" si="25"/>
        <v>45.9</v>
      </c>
      <c r="CD8" s="2">
        <f>CB8-CC8</f>
        <v>0.81000000000000227</v>
      </c>
      <c r="CE8">
        <f>+datos!DG1</f>
        <v>111</v>
      </c>
      <c r="CF8" s="2">
        <f t="shared" si="26"/>
        <v>12413.236768364042</v>
      </c>
      <c r="CG8" s="2">
        <f t="shared" si="26"/>
        <v>12885.187885704403</v>
      </c>
      <c r="CH8" s="2">
        <f t="shared" si="26"/>
        <v>9993.4588514171846</v>
      </c>
      <c r="CI8" s="2"/>
      <c r="CJ8" s="2">
        <f>CB8-CC8</f>
        <v>0.81000000000000227</v>
      </c>
      <c r="CK8" s="1">
        <f t="shared" si="27"/>
        <v>6.9442140999999999</v>
      </c>
      <c r="CL8" s="1">
        <f t="shared" si="27"/>
        <v>9.8196206999999998</v>
      </c>
      <c r="CM8" s="1">
        <f t="shared" si="27"/>
        <v>8.5791291300000001</v>
      </c>
      <c r="CN8" s="1">
        <f t="shared" si="27"/>
        <v>9.6066541700000005</v>
      </c>
      <c r="CO8" s="1">
        <f t="shared" si="27"/>
        <v>9.221842539999999</v>
      </c>
      <c r="CP8" s="1">
        <f t="shared" si="27"/>
        <v>8.3583028800000001</v>
      </c>
      <c r="CQ8" s="1">
        <f t="shared" si="27"/>
        <v>10.33831614</v>
      </c>
      <c r="CR8" s="1">
        <f t="shared" si="27"/>
        <v>10.343166379999998</v>
      </c>
      <c r="CS8" s="1">
        <f t="shared" si="27"/>
        <v>8.6585168299999999</v>
      </c>
      <c r="CT8" s="1">
        <f t="shared" si="27"/>
        <v>9.7942580100000001</v>
      </c>
      <c r="CU8" s="1">
        <f t="shared" si="27"/>
        <v>6.5346210099999995</v>
      </c>
      <c r="CV8" s="1">
        <f t="shared" si="27"/>
        <v>6.7443728600000004</v>
      </c>
      <c r="CW8" s="1">
        <f t="shared" si="27"/>
        <v>8.66231011</v>
      </c>
      <c r="CX8" s="1">
        <f t="shared" si="27"/>
        <v>7.3007548499999997</v>
      </c>
      <c r="CY8" s="1">
        <f t="shared" si="27"/>
        <v>9.0051498100000007</v>
      </c>
      <c r="CZ8" s="1">
        <f t="shared" si="27"/>
        <v>5.9149876199999998</v>
      </c>
      <c r="DA8" s="1">
        <f t="shared" si="28"/>
        <v>8.0094020700000002</v>
      </c>
      <c r="DB8" s="1">
        <f t="shared" si="28"/>
        <v>5.62476749</v>
      </c>
      <c r="DC8" s="1">
        <f t="shared" si="28"/>
        <v>10.456415849999999</v>
      </c>
      <c r="DD8" s="1">
        <f t="shared" si="28"/>
        <v>8.1147673099999995</v>
      </c>
      <c r="DE8" s="1">
        <f t="shared" si="28"/>
        <v>20.968439010000004</v>
      </c>
      <c r="DF8" s="1">
        <f t="shared" si="28"/>
        <v>22.566015059999998</v>
      </c>
      <c r="DG8" s="1">
        <f t="shared" si="28"/>
        <v>20.944876220000001</v>
      </c>
      <c r="DH8" s="1">
        <f t="shared" si="28"/>
        <v>23.157032140000002</v>
      </c>
      <c r="DJ8" s="1">
        <f t="shared" si="29"/>
        <v>3.9810733000000003</v>
      </c>
      <c r="DK8" s="1">
        <f t="shared" si="29"/>
        <v>4.64961936</v>
      </c>
      <c r="DL8" s="1">
        <f t="shared" si="29"/>
        <v>3.2517762100000001</v>
      </c>
      <c r="DM8" s="1">
        <f t="shared" si="29"/>
        <v>5.3810388700000003</v>
      </c>
      <c r="DN8" s="1">
        <f t="shared" si="29"/>
        <v>1.5958006899999999</v>
      </c>
      <c r="DO8" s="1">
        <f t="shared" si="29"/>
        <v>1.1051948</v>
      </c>
      <c r="DP8" s="1">
        <f t="shared" si="29"/>
        <v>4.8166289400000002</v>
      </c>
      <c r="DQ8" s="1">
        <f t="shared" si="29"/>
        <v>3.1609685399999994</v>
      </c>
      <c r="DR8" s="1">
        <f t="shared" si="29"/>
        <v>2.9900732700000003</v>
      </c>
      <c r="DS8" s="1">
        <f t="shared" si="29"/>
        <v>5.5193633599999998</v>
      </c>
      <c r="DT8" s="1">
        <f t="shared" si="29"/>
        <v>3.4351580800000003</v>
      </c>
      <c r="DU8" s="1">
        <f t="shared" si="29"/>
        <v>2.0550383299999999</v>
      </c>
      <c r="DV8" s="1">
        <f t="shared" si="29"/>
        <v>3.4373023600000003</v>
      </c>
      <c r="DW8" s="1">
        <f t="shared" si="29"/>
        <v>5.2475744900000008</v>
      </c>
      <c r="DX8" s="1">
        <f t="shared" si="29"/>
        <v>3.52939004</v>
      </c>
      <c r="DY8" s="1">
        <f t="shared" si="29"/>
        <v>1.41927303</v>
      </c>
      <c r="DZ8" s="1">
        <f t="shared" si="30"/>
        <v>4.5240591299999995</v>
      </c>
      <c r="EA8" s="1">
        <f t="shared" si="30"/>
        <v>2.5037689800000003</v>
      </c>
      <c r="EB8" s="1">
        <f t="shared" si="30"/>
        <v>2.5011971499999999</v>
      </c>
      <c r="EC8" s="1">
        <f t="shared" si="30"/>
        <v>3.7585351000000005</v>
      </c>
      <c r="ED8" s="1">
        <f t="shared" si="30"/>
        <v>4.0425458900000004</v>
      </c>
      <c r="EE8" s="1">
        <f t="shared" si="30"/>
        <v>3.59052696</v>
      </c>
      <c r="EF8" s="1">
        <f t="shared" si="30"/>
        <v>2.1766254799999998</v>
      </c>
      <c r="EG8" s="1">
        <f t="shared" si="30"/>
        <v>1.5903026900000001</v>
      </c>
      <c r="EI8" s="14">
        <f t="shared" si="40"/>
        <v>46.71</v>
      </c>
      <c r="EJ8" s="14">
        <f t="shared" si="40"/>
        <v>46.71</v>
      </c>
      <c r="EK8" s="1">
        <f t="shared" si="40"/>
        <v>47.02</v>
      </c>
      <c r="EL8" s="1">
        <f t="shared" si="40"/>
        <v>47.16</v>
      </c>
      <c r="EM8" s="1">
        <f t="shared" si="40"/>
        <v>47</v>
      </c>
      <c r="EN8" s="1">
        <f t="shared" si="40"/>
        <v>47.2</v>
      </c>
      <c r="EO8" s="1">
        <f t="shared" si="40"/>
        <v>47.7</v>
      </c>
      <c r="EP8" s="1">
        <f t="shared" si="40"/>
        <v>47.68</v>
      </c>
      <c r="EQ8" s="1">
        <f t="shared" si="40"/>
        <v>46.5</v>
      </c>
      <c r="ER8" s="1">
        <f t="shared" si="40"/>
        <v>46.08</v>
      </c>
      <c r="ES8" s="1">
        <f t="shared" si="40"/>
        <v>45.67</v>
      </c>
      <c r="ET8" s="1">
        <f t="shared" si="40"/>
        <v>45.79</v>
      </c>
      <c r="EU8" s="1">
        <f t="shared" si="40"/>
        <v>45.9</v>
      </c>
      <c r="EV8" s="1">
        <f t="shared" si="40"/>
        <v>45.78</v>
      </c>
      <c r="EW8" s="1">
        <f t="shared" si="40"/>
        <v>45.91</v>
      </c>
      <c r="EX8" s="1">
        <f t="shared" si="40"/>
        <v>45.61</v>
      </c>
      <c r="EY8" s="1">
        <f t="shared" si="31"/>
        <v>45.61</v>
      </c>
      <c r="EZ8" s="1">
        <f t="shared" si="31"/>
        <v>45.23</v>
      </c>
      <c r="FA8" s="1">
        <f t="shared" si="31"/>
        <v>45.2</v>
      </c>
      <c r="FB8" s="1">
        <f t="shared" si="31"/>
        <v>46.01</v>
      </c>
      <c r="FC8" s="1">
        <f t="shared" si="31"/>
        <v>44.44</v>
      </c>
      <c r="FD8" s="1">
        <f t="shared" si="31"/>
        <v>42.29</v>
      </c>
      <c r="FE8" s="1">
        <f t="shared" si="31"/>
        <v>45.39</v>
      </c>
      <c r="FF8" s="1">
        <f t="shared" si="31"/>
        <v>45.32</v>
      </c>
      <c r="FH8" s="162">
        <f t="shared" si="32"/>
        <v>-0.29804281711952363</v>
      </c>
    </row>
    <row r="9" spans="1:164" ht="18.75" customHeight="1">
      <c r="A9" s="244" t="s">
        <v>77</v>
      </c>
      <c r="B9" s="247"/>
      <c r="C9" s="228">
        <v>0</v>
      </c>
      <c r="D9" s="229">
        <v>1</v>
      </c>
      <c r="E9" s="253">
        <f t="shared" si="6"/>
        <v>-4.9742355008561612E-2</v>
      </c>
      <c r="F9" s="254">
        <f t="shared" si="7"/>
        <v>-6.8611069696855376E-2</v>
      </c>
      <c r="G9" s="253">
        <f t="shared" si="8"/>
        <v>-3.9974019483109413E-2</v>
      </c>
      <c r="H9" s="254">
        <f t="shared" si="9"/>
        <v>-9.7683355254521986E-3</v>
      </c>
      <c r="I9" s="253">
        <f t="shared" si="10"/>
        <v>0.55760078219013232</v>
      </c>
      <c r="J9" s="254">
        <f t="shared" si="11"/>
        <v>0.22212346820504769</v>
      </c>
      <c r="K9" s="253">
        <f t="shared" si="12"/>
        <v>0.40988560812438291</v>
      </c>
      <c r="L9" s="254">
        <f t="shared" si="13"/>
        <v>0.14771517406574941</v>
      </c>
      <c r="M9" s="255"/>
      <c r="N9" s="256">
        <v>-1</v>
      </c>
      <c r="O9" s="253">
        <f t="shared" si="33"/>
        <v>-1.3639133000699299E-2</v>
      </c>
      <c r="P9" s="257">
        <f t="shared" si="34"/>
        <v>-1.3639133000699299E-2</v>
      </c>
      <c r="Q9" s="253">
        <f t="shared" si="14"/>
        <v>-2.9391516327993195E-2</v>
      </c>
      <c r="R9" s="257">
        <f t="shared" si="35"/>
        <v>-2.9391516327993195E-2</v>
      </c>
      <c r="S9" s="255"/>
      <c r="T9" s="256">
        <v>0</v>
      </c>
      <c r="U9" s="253">
        <f t="shared" si="15"/>
        <v>0.3516491496653702</v>
      </c>
      <c r="V9" s="258">
        <f t="shared" si="16"/>
        <v>0.3516491496653702</v>
      </c>
      <c r="W9" s="253">
        <f t="shared" si="36"/>
        <v>0.94492844669128218</v>
      </c>
      <c r="X9" s="258">
        <f t="shared" si="17"/>
        <v>0.94492844669128218</v>
      </c>
      <c r="Y9" s="253">
        <f t="shared" si="37"/>
        <v>-6.0600039737730871E-2</v>
      </c>
      <c r="Z9" s="258">
        <f t="shared" si="18"/>
        <v>-6.0600039737730871E-2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VLOOKUP($A9,historia!$A$5:$DD$24,+HLOOKUP(AP$2,historia!$A$3:$EC$4,2,FALSE),FALSE)</f>
        <v>2</v>
      </c>
      <c r="AQ9" s="28">
        <f>VLOOKUP($A9,historia!$A$5:$DD$24,+HLOOKUP(AQ$2,historia!$A$3:$EC$4,2,FALSE),FALSE)</f>
        <v>1</v>
      </c>
      <c r="AR9" s="28">
        <f>VLOOKUP($A9,historia!$A$5:$DD$24,+HLOOKUP(AR$2,historia!$A$3:$EC$4,2,FALSE),FALSE)</f>
        <v>1</v>
      </c>
      <c r="AS9" s="28">
        <f>VLOOKUP($A9,historia!$A$5:$DD$24,+HLOOKUP(AS$2,historia!$A$3:$EC$4,2,FALSE),FALSE)</f>
        <v>2</v>
      </c>
      <c r="AT9" s="58">
        <f>VLOOKUP($A9,historia!$A$5:$DD$24,+HLOOKUP(AT$2,historia!$A$3:$EC$4,2,FALSE),FALSE)</f>
        <v>1</v>
      </c>
      <c r="AU9" s="58">
        <f>VLOOKUP($A9,historia!$A$5:$DD$24,+HLOOKUP(AU$2,historia!$A$3:$EC$4,2,FALSE),FALSE)</f>
        <v>2</v>
      </c>
      <c r="AV9" s="58">
        <f>VLOOKUP($A9,historia!$A$5:$DD$24,+HLOOKUP(AV$2,historia!$A$3:$EC$4,2,FALSE),FALSE)</f>
        <v>2</v>
      </c>
      <c r="AW9" s="58">
        <f>VLOOKUP($A9,historia!$A$5:$DD$24,+HLOOKUP(AW$2,historia!$A$3:$EC$4,2,FALSE),FALSE)</f>
        <v>2</v>
      </c>
      <c r="AX9" s="58">
        <f>VLOOKUP($A9,historia!$A$5:$DD$24,+HLOOKUP(AX$2,historia!$A$3:$EC$4,2,FALSE),FALSE)</f>
        <v>2</v>
      </c>
      <c r="AY9" s="58">
        <f>VLOOKUP($A9,historia!$A$5:$DD$24,+HLOOKUP(AY$2,historia!$A$3:$EC$4,2,FALSE),FALSE)</f>
        <v>2</v>
      </c>
      <c r="AZ9" s="58">
        <f>VLOOKUP($A9,historia!$A$5:$DD$24,+HLOOKUP(AZ$2,historia!$A$3:$EC$4,2,FALSE),FALSE)</f>
        <v>2</v>
      </c>
      <c r="BA9" s="58">
        <f>VLOOKUP($A9,historia!$A$5:$DG$24,+HLOOKUP(BA$2,historia!$A$3:$EC$4,2,FALSE),FALSE)</f>
        <v>2</v>
      </c>
      <c r="BB9" s="58"/>
      <c r="BC9" s="286">
        <v>2</v>
      </c>
      <c r="BD9" t="str">
        <f t="shared" si="19"/>
        <v>Bovinos</v>
      </c>
      <c r="BE9">
        <f>+datos!BM1</f>
        <v>65</v>
      </c>
      <c r="BF9" s="2" t="str">
        <f t="shared" si="4"/>
        <v>$/kg</v>
      </c>
      <c r="BG9" s="2">
        <f t="shared" si="4"/>
        <v>5177.4650000000001</v>
      </c>
      <c r="BH9" s="2">
        <f t="shared" si="4"/>
        <v>5448.4855000000007</v>
      </c>
      <c r="BI9" s="2">
        <f t="shared" si="4"/>
        <v>3324</v>
      </c>
      <c r="BK9" s="1">
        <f>+datos!EH1</f>
        <v>138</v>
      </c>
      <c r="BL9" s="1">
        <f t="shared" si="20"/>
        <v>50920790</v>
      </c>
      <c r="BM9" s="1">
        <f t="shared" si="20"/>
        <v>51624909</v>
      </c>
      <c r="BO9" s="1">
        <f>+datos!HB1</f>
        <v>210</v>
      </c>
      <c r="BP9" s="1">
        <f t="shared" si="21"/>
        <v>3096045</v>
      </c>
      <c r="BQ9" s="1">
        <f t="shared" si="21"/>
        <v>3189798</v>
      </c>
      <c r="BS9" s="1">
        <f>+datos!KG1</f>
        <v>293</v>
      </c>
      <c r="BT9" s="1">
        <f t="shared" si="38"/>
        <v>5812.9080859400001</v>
      </c>
      <c r="BU9" s="1">
        <f t="shared" si="39"/>
        <v>4300.6042561999984</v>
      </c>
      <c r="BW9" s="1">
        <f>+datos!LL1</f>
        <v>324</v>
      </c>
      <c r="BX9" s="2">
        <f t="shared" si="22"/>
        <v>145.46655984000003</v>
      </c>
      <c r="BY9" s="2">
        <f t="shared" si="23"/>
        <v>74.792756560000015</v>
      </c>
      <c r="CA9" s="1">
        <f>+datos!IM1</f>
        <v>247</v>
      </c>
      <c r="CB9" s="2">
        <f t="shared" si="24"/>
        <v>47.28</v>
      </c>
      <c r="CC9" s="2">
        <f t="shared" si="25"/>
        <v>50.33</v>
      </c>
      <c r="CD9" s="2">
        <f>CB9-CC9</f>
        <v>-3.0499999999999972</v>
      </c>
      <c r="CE9">
        <f>+datos!DB1</f>
        <v>106</v>
      </c>
      <c r="CF9" s="2">
        <f t="shared" si="26"/>
        <v>14954.605991526478</v>
      </c>
      <c r="CG9" s="2">
        <f t="shared" si="26"/>
        <v>15577.293005627536</v>
      </c>
      <c r="CH9" s="2">
        <f t="shared" si="26"/>
        <v>10606.96407236973</v>
      </c>
      <c r="CI9" s="2"/>
      <c r="CK9" s="1">
        <f t="shared" si="27"/>
        <v>550.16099316000009</v>
      </c>
      <c r="CL9" s="1">
        <f t="shared" si="27"/>
        <v>533.24077936000003</v>
      </c>
      <c r="CM9" s="1">
        <f t="shared" si="27"/>
        <v>424.30922868999994</v>
      </c>
      <c r="CN9" s="1">
        <f t="shared" si="27"/>
        <v>536.74004446000004</v>
      </c>
      <c r="CO9" s="1">
        <f t="shared" si="27"/>
        <v>393.3327183799999</v>
      </c>
      <c r="CP9" s="1">
        <f t="shared" si="27"/>
        <v>435.35705272999991</v>
      </c>
      <c r="CQ9" s="1">
        <f t="shared" si="27"/>
        <v>452.44590436999982</v>
      </c>
      <c r="CR9" s="1">
        <f t="shared" si="27"/>
        <v>474.71184945000005</v>
      </c>
      <c r="CS9" s="1">
        <f t="shared" si="27"/>
        <v>535.90919134000001</v>
      </c>
      <c r="CT9" s="1">
        <f t="shared" si="27"/>
        <v>536.17235368000001</v>
      </c>
      <c r="CU9" s="1">
        <f t="shared" si="27"/>
        <v>505.86158855000002</v>
      </c>
      <c r="CV9" s="1">
        <f t="shared" si="27"/>
        <v>434.66638176999993</v>
      </c>
      <c r="CW9" s="1">
        <f t="shared" si="27"/>
        <v>430.01977605999991</v>
      </c>
      <c r="CX9" s="1">
        <f t="shared" si="27"/>
        <v>389.02912699999996</v>
      </c>
      <c r="CY9" s="1">
        <f t="shared" si="27"/>
        <v>350.95842742999997</v>
      </c>
      <c r="CZ9" s="1">
        <f t="shared" si="27"/>
        <v>275.41226476999998</v>
      </c>
      <c r="DA9" s="1">
        <f t="shared" si="28"/>
        <v>345.87150417999976</v>
      </c>
      <c r="DB9" s="1">
        <f t="shared" si="28"/>
        <v>330.34833823999992</v>
      </c>
      <c r="DC9" s="1">
        <f t="shared" si="28"/>
        <v>372.02787432000008</v>
      </c>
      <c r="DD9" s="1">
        <f t="shared" si="28"/>
        <v>363.37275483999991</v>
      </c>
      <c r="DE9" s="1">
        <f t="shared" si="28"/>
        <v>373.60267999999996</v>
      </c>
      <c r="DF9" s="1">
        <f t="shared" si="28"/>
        <v>392.24577093999977</v>
      </c>
      <c r="DG9" s="1">
        <f t="shared" si="28"/>
        <v>370.00520762000008</v>
      </c>
      <c r="DH9" s="1">
        <f t="shared" si="28"/>
        <v>307.7105307999999</v>
      </c>
      <c r="DJ9" s="1">
        <f t="shared" si="29"/>
        <v>21.656690020000006</v>
      </c>
      <c r="DK9" s="1">
        <f t="shared" si="29"/>
        <v>20.679241180000002</v>
      </c>
      <c r="DL9" s="1">
        <f t="shared" si="29"/>
        <v>16.804039660000001</v>
      </c>
      <c r="DM9" s="1">
        <f t="shared" si="29"/>
        <v>12.219695360000001</v>
      </c>
      <c r="DN9" s="1">
        <f t="shared" si="29"/>
        <v>8.3972474800000008</v>
      </c>
      <c r="DO9" s="1">
        <f t="shared" si="29"/>
        <v>9.2870214400000002</v>
      </c>
      <c r="DP9" s="1">
        <f t="shared" si="29"/>
        <v>11.988372569999999</v>
      </c>
      <c r="DQ9" s="1">
        <f t="shared" si="29"/>
        <v>8.8931998399999994</v>
      </c>
      <c r="DR9" s="1">
        <f t="shared" si="29"/>
        <v>5.7331222099999994</v>
      </c>
      <c r="DS9" s="1">
        <f t="shared" si="29"/>
        <v>13.331294830000001</v>
      </c>
      <c r="DT9" s="1">
        <f t="shared" si="29"/>
        <v>9.6599299699999985</v>
      </c>
      <c r="DU9" s="1">
        <f t="shared" si="29"/>
        <v>6.816705279999999</v>
      </c>
      <c r="DV9" s="1">
        <f t="shared" si="29"/>
        <v>8.1579769499999983</v>
      </c>
      <c r="DW9" s="1">
        <f t="shared" si="29"/>
        <v>10.16779666</v>
      </c>
      <c r="DX9" s="1">
        <f t="shared" si="29"/>
        <v>11.009236750000001</v>
      </c>
      <c r="DY9" s="1">
        <f t="shared" si="29"/>
        <v>8.7569028099999997</v>
      </c>
      <c r="DZ9" s="1">
        <f t="shared" si="30"/>
        <v>7.0677003599999999</v>
      </c>
      <c r="EA9" s="1">
        <f t="shared" si="30"/>
        <v>5.8644577399999989</v>
      </c>
      <c r="EB9" s="1">
        <f t="shared" si="30"/>
        <v>6.7460545699999992</v>
      </c>
      <c r="EC9" s="1">
        <f t="shared" si="30"/>
        <v>2.8647302900000002</v>
      </c>
      <c r="ED9" s="1">
        <f t="shared" si="30"/>
        <v>3.9160438699999998</v>
      </c>
      <c r="EE9" s="1">
        <f t="shared" si="30"/>
        <v>2.7432327000000001</v>
      </c>
      <c r="EF9" s="1">
        <f t="shared" si="30"/>
        <v>3.5031505699999994</v>
      </c>
      <c r="EG9" s="1">
        <f t="shared" si="30"/>
        <v>3.9954732900000005</v>
      </c>
      <c r="EI9" s="14">
        <f t="shared" si="40"/>
        <v>47.28</v>
      </c>
      <c r="EJ9" s="14">
        <f t="shared" si="40"/>
        <v>47.36</v>
      </c>
      <c r="EK9" s="1">
        <f t="shared" si="40"/>
        <v>47.94</v>
      </c>
      <c r="EL9" s="1">
        <f t="shared" si="40"/>
        <v>48.54</v>
      </c>
      <c r="EM9" s="1">
        <f t="shared" si="40"/>
        <v>48.84</v>
      </c>
      <c r="EN9" s="1">
        <f t="shared" si="40"/>
        <v>49.28</v>
      </c>
      <c r="EO9" s="1">
        <f t="shared" si="40"/>
        <v>49.95</v>
      </c>
      <c r="EP9" s="1">
        <f t="shared" si="40"/>
        <v>49.25</v>
      </c>
      <c r="EQ9" s="1">
        <f t="shared" si="40"/>
        <v>49.56</v>
      </c>
      <c r="ER9" s="1">
        <f t="shared" si="40"/>
        <v>49.84</v>
      </c>
      <c r="ES9" s="1">
        <f t="shared" si="40"/>
        <v>49.93</v>
      </c>
      <c r="ET9" s="1">
        <f t="shared" si="40"/>
        <v>50.15</v>
      </c>
      <c r="EU9" s="1">
        <f t="shared" si="40"/>
        <v>50.33</v>
      </c>
      <c r="EV9" s="1">
        <f t="shared" si="40"/>
        <v>49.79</v>
      </c>
      <c r="EW9" s="1">
        <f t="shared" si="40"/>
        <v>49.86</v>
      </c>
      <c r="EX9" s="1">
        <f t="shared" si="40"/>
        <v>49.86</v>
      </c>
      <c r="EY9" s="1">
        <f t="shared" si="31"/>
        <v>48.75</v>
      </c>
      <c r="EZ9" s="1">
        <f t="shared" si="31"/>
        <v>48.18</v>
      </c>
      <c r="FA9" s="1">
        <f t="shared" si="31"/>
        <v>47.81</v>
      </c>
      <c r="FB9" s="1">
        <f t="shared" si="31"/>
        <v>46.91</v>
      </c>
      <c r="FC9" s="1">
        <f t="shared" si="31"/>
        <v>47.74</v>
      </c>
      <c r="FD9" s="1">
        <f t="shared" si="31"/>
        <v>47.38</v>
      </c>
      <c r="FE9" s="1">
        <f t="shared" si="31"/>
        <v>47.74</v>
      </c>
      <c r="FF9" s="1">
        <f t="shared" si="31"/>
        <v>47.8</v>
      </c>
      <c r="FH9" s="162">
        <f t="shared" si="32"/>
        <v>0.14771517406574941</v>
      </c>
    </row>
    <row r="10" spans="1:164" ht="18" customHeight="1">
      <c r="A10" s="263" t="s">
        <v>221</v>
      </c>
      <c r="B10" s="246"/>
      <c r="C10" s="156">
        <f t="shared" si="5"/>
        <v>0</v>
      </c>
      <c r="D10" s="198">
        <v>-1</v>
      </c>
      <c r="E10" s="248">
        <f t="shared" si="6"/>
        <v>-0.11156179868590221</v>
      </c>
      <c r="F10" s="249">
        <f t="shared" si="7"/>
        <v>-0.13043051337419598</v>
      </c>
      <c r="G10" s="248">
        <f t="shared" si="8"/>
        <v>-5.2958073274012807E-2</v>
      </c>
      <c r="H10" s="249">
        <f t="shared" si="9"/>
        <v>-5.8603725411889407E-2</v>
      </c>
      <c r="I10" s="248">
        <f t="shared" si="10"/>
        <v>0.32815508018914641</v>
      </c>
      <c r="J10" s="249">
        <f t="shared" si="11"/>
        <v>-7.3222337959382156E-3</v>
      </c>
      <c r="K10" s="248">
        <f t="shared" si="12"/>
        <v>0.38479272026190081</v>
      </c>
      <c r="L10" s="249">
        <f t="shared" si="13"/>
        <v>-5.6637640072754403E-2</v>
      </c>
      <c r="M10" s="250"/>
      <c r="N10" s="24">
        <v>0</v>
      </c>
      <c r="O10" s="248">
        <f t="shared" si="33"/>
        <v>0</v>
      </c>
      <c r="P10" s="251">
        <f t="shared" si="34"/>
        <v>0</v>
      </c>
      <c r="Q10" s="248">
        <f t="shared" si="14"/>
        <v>0</v>
      </c>
      <c r="R10" s="251">
        <f t="shared" si="35"/>
        <v>0</v>
      </c>
      <c r="S10" s="250"/>
      <c r="T10" s="24">
        <v>1</v>
      </c>
      <c r="U10" s="248">
        <f t="shared" si="15"/>
        <v>-0.3013260978047162</v>
      </c>
      <c r="V10" s="252">
        <f t="shared" si="16"/>
        <v>-0.3013260978047162</v>
      </c>
      <c r="W10" s="248">
        <f t="shared" si="36"/>
        <v>-0.21895855755638494</v>
      </c>
      <c r="X10" s="252">
        <f t="shared" si="17"/>
        <v>-0.21895855755638494</v>
      </c>
      <c r="Y10" s="248">
        <f t="shared" si="37"/>
        <v>0</v>
      </c>
      <c r="Z10" s="252">
        <f t="shared" si="18"/>
        <v>0</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VLOOKUP($A10,historia!$A$5:$DD$24,+HLOOKUP(AP$2,historia!$A$3:$EC$4,2,FALSE),FALSE)</f>
        <v>2</v>
      </c>
      <c r="AQ10" s="28">
        <f>VLOOKUP($A10,historia!$A$5:$DD$24,+HLOOKUP(AQ$2,historia!$A$3:$EC$4,2,FALSE),FALSE)</f>
        <v>3</v>
      </c>
      <c r="AR10" s="28">
        <f>VLOOKUP($A10,historia!$A$5:$DD$24,+HLOOKUP(AR$2,historia!$A$3:$EC$4,2,FALSE),FALSE)</f>
        <v>3</v>
      </c>
      <c r="AS10" s="28">
        <f>VLOOKUP($A10,historia!$A$5:$DD$24,+HLOOKUP(AS$2,historia!$A$3:$EC$4,2,FALSE),FALSE)</f>
        <v>3</v>
      </c>
      <c r="AT10" s="58">
        <f>VLOOKUP($A10,historia!$A$5:$DD$24,+HLOOKUP(AT$2,historia!$A$3:$EC$4,2,FALSE),FALSE)</f>
        <v>3</v>
      </c>
      <c r="AU10" s="58">
        <f>VLOOKUP($A10,historia!$A$5:$DD$24,+HLOOKUP(AU$2,historia!$A$3:$EC$4,2,FALSE),FALSE)</f>
        <v>3</v>
      </c>
      <c r="AV10" s="58">
        <f>VLOOKUP($A10,historia!$A$5:$DD$24,+HLOOKUP(AV$2,historia!$A$3:$EC$4,2,FALSE),FALSE)</f>
        <v>3</v>
      </c>
      <c r="AW10" s="58">
        <f>VLOOKUP($A10,historia!$A$5:$DD$24,+HLOOKUP(AW$2,historia!$A$3:$EC$4,2,FALSE),FALSE)</f>
        <v>3</v>
      </c>
      <c r="AX10" s="58">
        <f>VLOOKUP($A10,historia!$A$5:$DD$24,+HLOOKUP(AX$2,historia!$A$3:$EC$4,2,FALSE),FALSE)</f>
        <v>3</v>
      </c>
      <c r="AY10" s="58">
        <f>VLOOKUP($A10,historia!$A$5:$DD$24,+HLOOKUP(AY$2,historia!$A$3:$EC$4,2,FALSE),FALSE)</f>
        <v>3</v>
      </c>
      <c r="AZ10" s="58">
        <f>VLOOKUP($A10,historia!$A$5:$DD$24,+HLOOKUP(AZ$2,historia!$A$3:$EC$4,2,FALSE),FALSE)</f>
        <v>3</v>
      </c>
      <c r="BA10" s="58">
        <f>VLOOKUP($A10,historia!$A$5:$DG$24,+HLOOKUP(BA$2,historia!$A$3:$EC$4,2,FALSE),FALSE)</f>
        <v>3</v>
      </c>
      <c r="BB10" s="58"/>
      <c r="BC10" s="286">
        <v>3</v>
      </c>
      <c r="BD10" t="str">
        <f t="shared" si="19"/>
        <v>Cítricos Dulces</v>
      </c>
      <c r="BE10">
        <f>+datos!AU1</f>
        <v>47</v>
      </c>
      <c r="BF10" s="2" t="str">
        <f t="shared" si="4"/>
        <v>$/caja 18kg</v>
      </c>
      <c r="BG10" s="2">
        <f t="shared" si="4"/>
        <v>14979.317460317461</v>
      </c>
      <c r="BH10" s="2">
        <f t="shared" si="4"/>
        <v>16860.280701754386</v>
      </c>
      <c r="BI10" s="2">
        <f t="shared" si="4"/>
        <v>11278.289473684212</v>
      </c>
      <c r="BK10" s="1">
        <f>+datos!ER1</f>
        <v>148</v>
      </c>
      <c r="BL10" s="1">
        <f t="shared" si="20"/>
        <v>79911</v>
      </c>
      <c r="BM10" s="1">
        <f t="shared" si="20"/>
        <v>79911</v>
      </c>
      <c r="BO10" s="1">
        <f>+datos!GH1</f>
        <v>190</v>
      </c>
      <c r="BP10" s="1">
        <f t="shared" si="21"/>
        <v>1543162</v>
      </c>
      <c r="BQ10" s="1">
        <f t="shared" si="21"/>
        <v>1543162</v>
      </c>
      <c r="BS10" s="1">
        <f>+datos!LT1</f>
        <v>332</v>
      </c>
      <c r="BT10" s="1">
        <f t="shared" si="38"/>
        <v>96.945832430000024</v>
      </c>
      <c r="BU10" s="1">
        <f t="shared" si="39"/>
        <v>138.75691095000002</v>
      </c>
      <c r="BV10" s="1"/>
      <c r="BW10" s="1">
        <f>+datos!LX1</f>
        <v>336</v>
      </c>
      <c r="BX10" s="2">
        <f t="shared" si="22"/>
        <v>5.9125934400000002</v>
      </c>
      <c r="BY10" s="2">
        <f t="shared" si="23"/>
        <v>7.5701404800000001</v>
      </c>
      <c r="CA10" s="1">
        <f>+datos!IV1</f>
        <v>256</v>
      </c>
      <c r="CB10" s="1">
        <f t="shared" si="24"/>
        <v>17.130000000000003</v>
      </c>
      <c r="CC10" s="1">
        <f t="shared" si="25"/>
        <v>17.130000000000003</v>
      </c>
      <c r="CD10" s="1"/>
      <c r="CE10">
        <f>+datos!CX1</f>
        <v>102</v>
      </c>
      <c r="CF10" s="2">
        <f t="shared" si="26"/>
        <v>13472.421171725035</v>
      </c>
      <c r="CG10" s="2">
        <f t="shared" si="26"/>
        <v>14225.791690448657</v>
      </c>
      <c r="CH10" s="2">
        <f t="shared" si="26"/>
        <v>9728.8359294501806</v>
      </c>
      <c r="CI10" s="1"/>
      <c r="CK10" s="1">
        <f t="shared" si="27"/>
        <v>5.7636062200000007</v>
      </c>
      <c r="CL10" s="1">
        <f t="shared" si="27"/>
        <v>5.0623313300000001</v>
      </c>
      <c r="CM10" s="1">
        <f t="shared" si="27"/>
        <v>5.1105851800000002</v>
      </c>
      <c r="CN10" s="1">
        <f t="shared" si="27"/>
        <v>4.7713070799999997</v>
      </c>
      <c r="CO10" s="1">
        <f t="shared" si="27"/>
        <v>4.8895593400000008</v>
      </c>
      <c r="CP10" s="1">
        <f t="shared" si="27"/>
        <v>6.1907229299999997</v>
      </c>
      <c r="CQ10" s="1">
        <f t="shared" si="27"/>
        <v>6.1255732800000002</v>
      </c>
      <c r="CR10" s="1">
        <f t="shared" si="27"/>
        <v>9.318502950000001</v>
      </c>
      <c r="CS10" s="1">
        <f t="shared" si="27"/>
        <v>10.108990799999999</v>
      </c>
      <c r="CT10" s="1">
        <f t="shared" si="27"/>
        <v>8.35667808</v>
      </c>
      <c r="CU10" s="1">
        <f t="shared" si="27"/>
        <v>14.350128370000002</v>
      </c>
      <c r="CV10" s="1">
        <f t="shared" si="27"/>
        <v>16.897846870000002</v>
      </c>
      <c r="CW10" s="1">
        <f t="shared" si="27"/>
        <v>10.456701950000001</v>
      </c>
      <c r="CX10" s="1">
        <f t="shared" si="27"/>
        <v>9.5618942600000008</v>
      </c>
      <c r="CY10" s="1">
        <f t="shared" si="27"/>
        <v>5.6783096999999998</v>
      </c>
      <c r="CZ10" s="1">
        <f t="shared" si="27"/>
        <v>3.5979505000000001</v>
      </c>
      <c r="DA10" s="1">
        <f t="shared" si="28"/>
        <v>11.482528969999997</v>
      </c>
      <c r="DB10" s="1">
        <f t="shared" si="28"/>
        <v>11.00321864</v>
      </c>
      <c r="DC10" s="1">
        <f t="shared" si="28"/>
        <v>18.05731771</v>
      </c>
      <c r="DD10" s="1">
        <f t="shared" si="28"/>
        <v>12.23030908</v>
      </c>
      <c r="DE10" s="1">
        <f t="shared" si="28"/>
        <v>17.119922650000003</v>
      </c>
      <c r="DF10" s="1">
        <f t="shared" si="28"/>
        <v>15.255558669999997</v>
      </c>
      <c r="DG10" s="1">
        <f t="shared" si="28"/>
        <v>10.271936310000001</v>
      </c>
      <c r="DH10" s="1">
        <f t="shared" si="28"/>
        <v>14.041262509999999</v>
      </c>
      <c r="DJ10" s="2">
        <f t="shared" si="29"/>
        <v>3.6497559999999998E-2</v>
      </c>
      <c r="DK10" s="2">
        <f t="shared" si="29"/>
        <v>0.16136977</v>
      </c>
      <c r="DL10" s="1">
        <f t="shared" si="29"/>
        <v>0.35776876000000002</v>
      </c>
      <c r="DM10" s="1">
        <f t="shared" si="29"/>
        <v>0.92818331999999992</v>
      </c>
      <c r="DN10" s="1">
        <f t="shared" si="29"/>
        <v>1.2063144699999999</v>
      </c>
      <c r="DO10" s="1">
        <f t="shared" si="29"/>
        <v>1.22554951</v>
      </c>
      <c r="DP10" s="1">
        <f t="shared" si="29"/>
        <v>0.91618060000000012</v>
      </c>
      <c r="DQ10" s="1">
        <f t="shared" si="29"/>
        <v>0.37596773000000006</v>
      </c>
      <c r="DR10" s="1">
        <f t="shared" si="29"/>
        <v>0.55234585999999997</v>
      </c>
      <c r="DS10" s="1">
        <f t="shared" si="29"/>
        <v>0.12110615999999999</v>
      </c>
      <c r="DT10" s="1">
        <f t="shared" si="29"/>
        <v>2.631816E-2</v>
      </c>
      <c r="DU10" s="1">
        <f t="shared" si="29"/>
        <v>4.99154E-3</v>
      </c>
      <c r="DV10" s="1">
        <f t="shared" si="29"/>
        <v>4.683996E-2</v>
      </c>
      <c r="DW10" s="1">
        <f t="shared" si="29"/>
        <v>0.23953321999999996</v>
      </c>
      <c r="DX10" s="1">
        <f t="shared" si="29"/>
        <v>0.72731897999999995</v>
      </c>
      <c r="DY10" s="1">
        <f t="shared" si="29"/>
        <v>1.7947146899999999</v>
      </c>
      <c r="DZ10" s="1">
        <f t="shared" si="30"/>
        <v>1.56764612</v>
      </c>
      <c r="EA10" s="1">
        <f t="shared" si="30"/>
        <v>1.4871383200000001</v>
      </c>
      <c r="EB10" s="1">
        <f t="shared" si="30"/>
        <v>0.7069763</v>
      </c>
      <c r="EC10" s="1">
        <f t="shared" si="30"/>
        <v>0.35634324000000006</v>
      </c>
      <c r="ED10" s="1">
        <f t="shared" si="30"/>
        <v>0.22489865000000001</v>
      </c>
      <c r="EE10" s="1">
        <f t="shared" si="30"/>
        <v>0.17467300000000002</v>
      </c>
      <c r="EF10" s="1">
        <f t="shared" si="30"/>
        <v>7.2500000000000004E-3</v>
      </c>
      <c r="EG10" s="1">
        <f t="shared" si="30"/>
        <v>0.23680799999999999</v>
      </c>
      <c r="EI10" s="14">
        <f t="shared" si="40"/>
        <v>17.130000000000003</v>
      </c>
      <c r="EJ10" s="14">
        <f t="shared" si="40"/>
        <v>17.130000000000003</v>
      </c>
      <c r="EK10" s="1">
        <f t="shared" si="40"/>
        <v>17.130000000000003</v>
      </c>
      <c r="EL10" s="1">
        <f t="shared" si="40"/>
        <v>17.130000000000003</v>
      </c>
      <c r="EM10" s="1">
        <f t="shared" si="40"/>
        <v>17.130000000000003</v>
      </c>
      <c r="EN10" s="1">
        <f t="shared" si="40"/>
        <v>17.130000000000003</v>
      </c>
      <c r="EO10" s="1">
        <f t="shared" si="40"/>
        <v>17.130000000000003</v>
      </c>
      <c r="EP10" s="1">
        <f t="shared" si="40"/>
        <v>17.130000000000003</v>
      </c>
      <c r="EQ10" s="1">
        <f t="shared" si="40"/>
        <v>17.130000000000003</v>
      </c>
      <c r="ER10" s="1">
        <f t="shared" si="40"/>
        <v>17.130000000000003</v>
      </c>
      <c r="ES10" s="1">
        <f t="shared" si="40"/>
        <v>17.130000000000003</v>
      </c>
      <c r="ET10" s="1">
        <f t="shared" si="40"/>
        <v>17.130000000000003</v>
      </c>
      <c r="EU10" s="1">
        <f t="shared" si="40"/>
        <v>17.130000000000003</v>
      </c>
      <c r="EV10" s="1">
        <f t="shared" si="40"/>
        <v>17.130000000000003</v>
      </c>
      <c r="EW10" s="1">
        <f t="shared" si="40"/>
        <v>17.130000000000003</v>
      </c>
      <c r="EX10" s="1">
        <f t="shared" si="40"/>
        <v>17.130000000000003</v>
      </c>
      <c r="EY10" s="1">
        <f t="shared" si="31"/>
        <v>17.130000000000003</v>
      </c>
      <c r="EZ10" s="1">
        <f t="shared" si="31"/>
        <v>17.130000000000003</v>
      </c>
      <c r="FA10" s="1">
        <f t="shared" si="31"/>
        <v>17.39</v>
      </c>
      <c r="FB10" s="1">
        <f t="shared" si="31"/>
        <v>17.39</v>
      </c>
      <c r="FC10" s="1">
        <f t="shared" si="31"/>
        <v>17.39</v>
      </c>
      <c r="FD10" s="1">
        <f t="shared" si="31"/>
        <v>17.39</v>
      </c>
      <c r="FE10" s="1">
        <f t="shared" si="31"/>
        <v>17.39</v>
      </c>
      <c r="FF10" s="1">
        <f t="shared" si="31"/>
        <v>17.39</v>
      </c>
      <c r="FH10" s="162">
        <f t="shared" si="32"/>
        <v>-5.6637640072754403E-2</v>
      </c>
    </row>
    <row r="11" spans="1:164" ht="18.75" customHeight="1">
      <c r="A11" s="244" t="s">
        <v>116</v>
      </c>
      <c r="B11" s="247"/>
      <c r="C11" s="228">
        <f t="shared" si="5"/>
        <v>-0.33</v>
      </c>
      <c r="D11" s="229">
        <v>1</v>
      </c>
      <c r="E11" s="253">
        <f t="shared" si="6"/>
        <v>0</v>
      </c>
      <c r="F11" s="254">
        <f t="shared" si="7"/>
        <v>-1.8868714688293764E-2</v>
      </c>
      <c r="G11" s="253">
        <f t="shared" si="8"/>
        <v>-3.1950846263654631E-2</v>
      </c>
      <c r="H11" s="254">
        <f t="shared" si="9"/>
        <v>3.1950846263654631E-2</v>
      </c>
      <c r="I11" s="253">
        <f t="shared" si="10"/>
        <v>2.3736581835725579E-2</v>
      </c>
      <c r="J11" s="254">
        <f t="shared" si="11"/>
        <v>-0.31174073214935905</v>
      </c>
      <c r="K11" s="253">
        <f t="shared" si="12"/>
        <v>0.43759580211647342</v>
      </c>
      <c r="L11" s="254">
        <f t="shared" si="13"/>
        <v>-0.41385922028074784</v>
      </c>
      <c r="M11" s="255"/>
      <c r="N11" s="256"/>
      <c r="O11" s="253" t="str">
        <f t="shared" si="33"/>
        <v/>
      </c>
      <c r="P11" s="257" t="str">
        <f t="shared" si="34"/>
        <v/>
      </c>
      <c r="Q11" s="253">
        <f t="shared" si="14"/>
        <v>0</v>
      </c>
      <c r="R11" s="257">
        <f t="shared" si="35"/>
        <v>0</v>
      </c>
      <c r="S11" s="255"/>
      <c r="T11" s="24">
        <v>-2</v>
      </c>
      <c r="U11" s="253">
        <f t="shared" si="15"/>
        <v>0.12100789511412957</v>
      </c>
      <c r="V11" s="258">
        <f t="shared" si="16"/>
        <v>0.12100789511412957</v>
      </c>
      <c r="W11" s="253">
        <f t="shared" si="36"/>
        <v>0.11907602724645527</v>
      </c>
      <c r="X11" s="258">
        <f t="shared" si="17"/>
        <v>0.11907602724645527</v>
      </c>
      <c r="Y11" s="253"/>
      <c r="Z11" s="258">
        <f t="shared" si="18"/>
        <v>0</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VLOOKUP($A11,historia!$A$5:$DD$24,+HLOOKUP(AP$2,historia!$A$3:$EC$4,2,FALSE),FALSE)</f>
        <v>3</v>
      </c>
      <c r="AQ11" s="28">
        <f>VLOOKUP($A11,historia!$A$5:$DD$24,+HLOOKUP(AQ$2,historia!$A$3:$EC$4,2,FALSE),FALSE)</f>
        <v>3</v>
      </c>
      <c r="AR11" s="28">
        <f>VLOOKUP($A11,historia!$A$5:$DD$24,+HLOOKUP(AR$2,historia!$A$3:$EC$4,2,FALSE),FALSE)</f>
        <v>3</v>
      </c>
      <c r="AS11" s="28">
        <f>VLOOKUP($A11,historia!$A$5:$DD$24,+HLOOKUP(AS$2,historia!$A$3:$EC$4,2,FALSE),FALSE)</f>
        <v>3</v>
      </c>
      <c r="AT11" s="58">
        <f>VLOOKUP($A11,historia!$A$5:$DD$24,+HLOOKUP(AT$2,historia!$A$3:$EC$4,2,FALSE),FALSE)</f>
        <v>3</v>
      </c>
      <c r="AU11" s="58">
        <f>VLOOKUP($A11,historia!$A$5:$DD$24,+HLOOKUP(AU$2,historia!$A$3:$EC$4,2,FALSE),FALSE)</f>
        <v>3</v>
      </c>
      <c r="AV11" s="58">
        <f>VLOOKUP($A11,historia!$A$5:$DD$24,+HLOOKUP(AV$2,historia!$A$3:$EC$4,2,FALSE),FALSE)</f>
        <v>3</v>
      </c>
      <c r="AW11" s="58">
        <f>VLOOKUP($A11,historia!$A$5:$DD$24,+HLOOKUP(AW$2,historia!$A$3:$EC$4,2,FALSE),FALSE)</f>
        <v>4</v>
      </c>
      <c r="AX11" s="58">
        <f>VLOOKUP($A11,historia!$A$5:$DD$24,+HLOOKUP(AX$2,historia!$A$3:$EC$4,2,FALSE),FALSE)</f>
        <v>4</v>
      </c>
      <c r="AY11" s="58">
        <f>VLOOKUP($A11,historia!$A$5:$DD$24,+HLOOKUP(AY$2,historia!$A$3:$EC$4,2,FALSE),FALSE)</f>
        <v>4</v>
      </c>
      <c r="AZ11" s="58">
        <f>VLOOKUP($A11,historia!$A$5:$DD$24,+HLOOKUP(AZ$2,historia!$A$3:$EC$4,2,FALSE),FALSE)</f>
        <v>4</v>
      </c>
      <c r="BA11" s="58">
        <f>VLOOKUP($A11,historia!$A$5:$DG$24,+HLOOKUP(BA$2,historia!$A$3:$EC$4,2,FALSE),FALSE)</f>
        <v>4</v>
      </c>
      <c r="BB11" s="58"/>
      <c r="BC11" s="286">
        <v>4</v>
      </c>
      <c r="BD11" t="str">
        <f t="shared" si="19"/>
        <v>Forestal</v>
      </c>
      <c r="BE11">
        <f>+datos!BG1</f>
        <v>59</v>
      </c>
      <c r="BF11" s="2" t="str">
        <f t="shared" si="4"/>
        <v>$/t</v>
      </c>
      <c r="BG11" s="2">
        <f t="shared" si="4"/>
        <v>31829.25</v>
      </c>
      <c r="BH11" s="2">
        <f t="shared" si="4"/>
        <v>31829.25</v>
      </c>
      <c r="BI11" s="2">
        <f t="shared" si="4"/>
        <v>31091.25</v>
      </c>
      <c r="BK11" s="1">
        <f>+datos!ES1</f>
        <v>149</v>
      </c>
      <c r="BL11" s="1">
        <f t="shared" si="20"/>
        <v>0</v>
      </c>
      <c r="BM11" s="1">
        <f t="shared" si="20"/>
        <v>0</v>
      </c>
      <c r="BO11" s="1">
        <f>+datos!GI1</f>
        <v>191</v>
      </c>
      <c r="BP11" s="1">
        <f t="shared" si="21"/>
        <v>1302556</v>
      </c>
      <c r="BQ11" s="1">
        <f t="shared" si="21"/>
        <v>1302556</v>
      </c>
      <c r="BS11" s="1">
        <f>+datos!KB1</f>
        <v>288</v>
      </c>
      <c r="BT11" s="1">
        <f t="shared" si="38"/>
        <v>190.20911461</v>
      </c>
      <c r="BU11" s="1">
        <f t="shared" si="39"/>
        <v>169.67687332</v>
      </c>
      <c r="BW11" s="1">
        <f>+datos!LG1</f>
        <v>319</v>
      </c>
      <c r="BX11" s="2">
        <f t="shared" si="22"/>
        <v>191.67834848999999</v>
      </c>
      <c r="BY11" s="2">
        <f t="shared" si="23"/>
        <v>171.28268663000006</v>
      </c>
      <c r="CA11" s="1">
        <f>+datos!IW1</f>
        <v>257</v>
      </c>
      <c r="CB11" s="1">
        <f t="shared" si="24"/>
        <v>0</v>
      </c>
      <c r="CC11" s="1">
        <f t="shared" si="25"/>
        <v>0</v>
      </c>
      <c r="CD11" s="1"/>
      <c r="CE11">
        <f>+datos!CZ1</f>
        <v>104</v>
      </c>
      <c r="CF11" s="2">
        <f t="shared" si="26"/>
        <v>18265.370957880914</v>
      </c>
      <c r="CG11" s="2">
        <f t="shared" si="26"/>
        <v>18868.226770699301</v>
      </c>
      <c r="CH11" s="2">
        <f t="shared" si="26"/>
        <v>12705.498256874474</v>
      </c>
      <c r="CI11" s="1"/>
      <c r="CK11" s="1">
        <f t="shared" si="27"/>
        <v>19.845367980000006</v>
      </c>
      <c r="CL11" s="1">
        <f t="shared" si="27"/>
        <v>16.951944609999998</v>
      </c>
      <c r="CM11" s="1">
        <f t="shared" si="27"/>
        <v>18.593073950000004</v>
      </c>
      <c r="CN11" s="1">
        <f t="shared" si="27"/>
        <v>16.76578641</v>
      </c>
      <c r="CO11" s="1">
        <f t="shared" si="27"/>
        <v>15.133510020000001</v>
      </c>
      <c r="CP11" s="1">
        <f t="shared" si="27"/>
        <v>13.84098623</v>
      </c>
      <c r="CQ11" s="1">
        <f t="shared" si="27"/>
        <v>18.231882050000007</v>
      </c>
      <c r="CR11" s="1">
        <f t="shared" si="27"/>
        <v>13.327102919999998</v>
      </c>
      <c r="CS11" s="1">
        <f t="shared" si="27"/>
        <v>13.77020325</v>
      </c>
      <c r="CT11" s="1">
        <f t="shared" si="27"/>
        <v>16.167947309999995</v>
      </c>
      <c r="CU11" s="1">
        <f t="shared" si="27"/>
        <v>12.702036029999997</v>
      </c>
      <c r="CV11" s="1">
        <f t="shared" si="27"/>
        <v>14.879273850000001</v>
      </c>
      <c r="CW11" s="1">
        <f t="shared" si="27"/>
        <v>13.812450910000003</v>
      </c>
      <c r="CX11" s="1">
        <f t="shared" si="27"/>
        <v>14.949040589999999</v>
      </c>
      <c r="CY11" s="1">
        <f t="shared" si="27"/>
        <v>13.968637820000001</v>
      </c>
      <c r="CZ11" s="1">
        <f t="shared" si="27"/>
        <v>9.9284284400000011</v>
      </c>
      <c r="DA11" s="1">
        <f t="shared" si="28"/>
        <v>14.484437890000001</v>
      </c>
      <c r="DB11" s="1">
        <f t="shared" si="28"/>
        <v>10.200287200000002</v>
      </c>
      <c r="DC11" s="1">
        <f t="shared" si="28"/>
        <v>11.119065489999999</v>
      </c>
      <c r="DD11" s="1">
        <f t="shared" si="28"/>
        <v>13.50721221</v>
      </c>
      <c r="DE11" s="1">
        <f t="shared" si="28"/>
        <v>17.7783984</v>
      </c>
      <c r="DF11" s="1">
        <f t="shared" si="28"/>
        <v>18.158715399999995</v>
      </c>
      <c r="DG11" s="1">
        <f t="shared" si="28"/>
        <v>13.62277192</v>
      </c>
      <c r="DH11" s="1">
        <f t="shared" si="28"/>
        <v>18.147427050000005</v>
      </c>
      <c r="DJ11" s="1">
        <f t="shared" si="29"/>
        <v>16.692081819999999</v>
      </c>
      <c r="DK11" s="1">
        <f t="shared" si="29"/>
        <v>16.655697739999997</v>
      </c>
      <c r="DL11" s="1">
        <f t="shared" si="29"/>
        <v>15.17794868</v>
      </c>
      <c r="DM11" s="1">
        <f t="shared" si="29"/>
        <v>15.225690909999999</v>
      </c>
      <c r="DN11" s="1">
        <f t="shared" si="29"/>
        <v>13.973435009999999</v>
      </c>
      <c r="DO11" s="1">
        <f t="shared" si="29"/>
        <v>15.974673770000001</v>
      </c>
      <c r="DP11" s="1">
        <f t="shared" si="29"/>
        <v>16.564446050000001</v>
      </c>
      <c r="DQ11" s="1">
        <f t="shared" si="29"/>
        <v>13.907008520000002</v>
      </c>
      <c r="DR11" s="1">
        <f t="shared" si="29"/>
        <v>17.652505269999999</v>
      </c>
      <c r="DS11" s="1">
        <f t="shared" si="29"/>
        <v>18.176691299999998</v>
      </c>
      <c r="DT11" s="1">
        <f t="shared" si="29"/>
        <v>17.838312650000002</v>
      </c>
      <c r="DU11" s="1">
        <f t="shared" si="29"/>
        <v>13.839856769999999</v>
      </c>
      <c r="DV11" s="1">
        <f t="shared" si="29"/>
        <v>16.453753389999996</v>
      </c>
      <c r="DW11" s="1">
        <f t="shared" si="29"/>
        <v>16.050718710000002</v>
      </c>
      <c r="DX11" s="1">
        <f t="shared" si="29"/>
        <v>13.20675994</v>
      </c>
      <c r="DY11" s="1">
        <f t="shared" si="29"/>
        <v>12.082023640000001</v>
      </c>
      <c r="DZ11" s="1">
        <f t="shared" si="30"/>
        <v>16.998994660000001</v>
      </c>
      <c r="EA11" s="1">
        <f t="shared" si="30"/>
        <v>14.09144206</v>
      </c>
      <c r="EB11" s="1">
        <f t="shared" si="30"/>
        <v>14.036730870000001</v>
      </c>
      <c r="EC11" s="1">
        <f t="shared" si="30"/>
        <v>13.365554540000002</v>
      </c>
      <c r="ED11" s="1">
        <f t="shared" si="30"/>
        <v>15.589800310000003</v>
      </c>
      <c r="EE11" s="1">
        <f t="shared" si="30"/>
        <v>16.942532470000003</v>
      </c>
      <c r="EF11" s="1">
        <f t="shared" si="30"/>
        <v>10.998476289999999</v>
      </c>
      <c r="EG11" s="1">
        <f t="shared" si="30"/>
        <v>11.46589975</v>
      </c>
      <c r="EI11" s="14">
        <f t="shared" si="40"/>
        <v>0</v>
      </c>
      <c r="EJ11" s="14">
        <f t="shared" si="40"/>
        <v>0</v>
      </c>
      <c r="EK11" s="1">
        <f t="shared" si="40"/>
        <v>0</v>
      </c>
      <c r="EL11" s="1">
        <f t="shared" si="40"/>
        <v>0</v>
      </c>
      <c r="EM11" s="1">
        <f t="shared" si="40"/>
        <v>0</v>
      </c>
      <c r="EN11" s="1">
        <f t="shared" si="40"/>
        <v>0</v>
      </c>
      <c r="EO11" s="1">
        <f t="shared" si="40"/>
        <v>0</v>
      </c>
      <c r="EP11" s="1">
        <f t="shared" si="40"/>
        <v>0</v>
      </c>
      <c r="EQ11" s="1">
        <f t="shared" si="40"/>
        <v>0</v>
      </c>
      <c r="ER11" s="1">
        <f t="shared" si="40"/>
        <v>0</v>
      </c>
      <c r="ES11" s="1">
        <f t="shared" si="40"/>
        <v>0</v>
      </c>
      <c r="ET11" s="1">
        <f t="shared" si="40"/>
        <v>0</v>
      </c>
      <c r="EU11" s="1">
        <f t="shared" si="40"/>
        <v>0</v>
      </c>
      <c r="EV11" s="1">
        <f t="shared" si="40"/>
        <v>0</v>
      </c>
      <c r="EW11" s="1">
        <f t="shared" si="40"/>
        <v>0</v>
      </c>
      <c r="EX11" s="1">
        <f t="shared" si="40"/>
        <v>0</v>
      </c>
      <c r="EY11" s="1">
        <f t="shared" si="31"/>
        <v>0</v>
      </c>
      <c r="EZ11" s="1">
        <f t="shared" si="31"/>
        <v>0</v>
      </c>
      <c r="FA11" s="1">
        <f t="shared" si="31"/>
        <v>0</v>
      </c>
      <c r="FB11" s="1">
        <f t="shared" si="31"/>
        <v>0</v>
      </c>
      <c r="FC11" s="1">
        <f t="shared" si="31"/>
        <v>0</v>
      </c>
      <c r="FD11" s="1">
        <f t="shared" si="31"/>
        <v>0</v>
      </c>
      <c r="FE11" s="1">
        <f t="shared" si="31"/>
        <v>0</v>
      </c>
      <c r="FF11" s="1">
        <f t="shared" si="31"/>
        <v>0</v>
      </c>
      <c r="FH11" s="162">
        <f t="shared" si="32"/>
        <v>-0.41385922028074784</v>
      </c>
    </row>
    <row r="12" spans="1:164" ht="18.75" customHeight="1">
      <c r="A12" s="243" t="s">
        <v>216</v>
      </c>
      <c r="B12" s="246"/>
      <c r="C12" s="156">
        <f t="shared" si="5"/>
        <v>-0.33</v>
      </c>
      <c r="D12" s="198">
        <v>-1</v>
      </c>
      <c r="E12" s="248">
        <f t="shared" si="6"/>
        <v>1.9909965449727673E-2</v>
      </c>
      <c r="F12" s="249">
        <f t="shared" si="7"/>
        <v>1.0412507614339095E-3</v>
      </c>
      <c r="G12" s="248">
        <f t="shared" si="8"/>
        <v>-2.2277817898321284E-2</v>
      </c>
      <c r="H12" s="249">
        <f t="shared" si="9"/>
        <v>4.2187783348048957E-2</v>
      </c>
      <c r="I12" s="248">
        <f t="shared" si="10"/>
        <v>0.40819604453695768</v>
      </c>
      <c r="J12" s="249">
        <f t="shared" si="11"/>
        <v>7.2718730551873056E-2</v>
      </c>
      <c r="K12" s="248">
        <f t="shared" si="12"/>
        <v>0.4020171072445673</v>
      </c>
      <c r="L12" s="249">
        <f t="shared" si="13"/>
        <v>6.1789372923903851E-3</v>
      </c>
      <c r="M12" s="250"/>
      <c r="N12" s="24">
        <v>1</v>
      </c>
      <c r="O12" s="248">
        <f t="shared" si="33"/>
        <v>-4.8952950775088544E-3</v>
      </c>
      <c r="P12" s="251">
        <f t="shared" si="34"/>
        <v>-4.8952950775088544E-3</v>
      </c>
      <c r="Q12" s="248">
        <f t="shared" si="14"/>
        <v>0.19960223395302568</v>
      </c>
      <c r="R12" s="251">
        <f t="shared" si="35"/>
        <v>0.19960223395302568</v>
      </c>
      <c r="S12" s="250"/>
      <c r="T12" s="24">
        <v>-1</v>
      </c>
      <c r="U12" s="248">
        <f t="shared" si="15"/>
        <v>0.21012937376711971</v>
      </c>
      <c r="V12" s="252">
        <f t="shared" si="16"/>
        <v>0.21012937376711971</v>
      </c>
      <c r="W12" s="248">
        <f t="shared" si="36"/>
        <v>1.6786004911306218E-2</v>
      </c>
      <c r="X12" s="252">
        <f t="shared" si="17"/>
        <v>1.6786004911306218E-2</v>
      </c>
      <c r="Y12" s="248"/>
      <c r="Z12" s="252">
        <f t="shared" si="18"/>
        <v>0</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VLOOKUP($A12,historia!$A$5:$DD$24,+HLOOKUP(AP$2,historia!$A$3:$EC$4,2,FALSE),FALSE)</f>
        <v>2</v>
      </c>
      <c r="AQ12" s="28">
        <f>VLOOKUP($A12,historia!$A$5:$DD$24,+HLOOKUP(AQ$2,historia!$A$3:$EC$4,2,FALSE),FALSE)</f>
        <v>2</v>
      </c>
      <c r="AR12" s="28">
        <f>VLOOKUP($A12,historia!$A$5:$DD$24,+HLOOKUP(AR$2,historia!$A$3:$EC$4,2,FALSE),FALSE)</f>
        <v>1</v>
      </c>
      <c r="AS12" s="28">
        <f>VLOOKUP($A12,historia!$A$5:$DD$24,+HLOOKUP(AS$2,historia!$A$3:$EC$4,2,FALSE),FALSE)</f>
        <v>2</v>
      </c>
      <c r="AT12" s="58">
        <f>VLOOKUP($A12,historia!$A$5:$DD$24,+HLOOKUP(AT$2,historia!$A$3:$EC$4,2,FALSE),FALSE)</f>
        <v>2</v>
      </c>
      <c r="AU12" s="58">
        <f>VLOOKUP($A12,historia!$A$5:$DD$24,+HLOOKUP(AU$2,historia!$A$3:$EC$4,2,FALSE),FALSE)</f>
        <v>2</v>
      </c>
      <c r="AV12" s="58">
        <f>VLOOKUP($A12,historia!$A$5:$DD$24,+HLOOKUP(AV$2,historia!$A$3:$EC$4,2,FALSE),FALSE)</f>
        <v>1</v>
      </c>
      <c r="AW12" s="58">
        <f>VLOOKUP($A12,historia!$A$5:$DD$24,+HLOOKUP(AW$2,historia!$A$3:$EC$4,2,FALSE),FALSE)</f>
        <v>2</v>
      </c>
      <c r="AX12" s="58">
        <f>VLOOKUP($A12,historia!$A$5:$DD$24,+HLOOKUP(AX$2,historia!$A$3:$EC$4,2,FALSE),FALSE)</f>
        <v>2</v>
      </c>
      <c r="AY12" s="58">
        <f>VLOOKUP($A12,historia!$A$5:$DD$24,+HLOOKUP(AY$2,historia!$A$3:$EC$4,2,FALSE),FALSE)</f>
        <v>1</v>
      </c>
      <c r="AZ12" s="58">
        <f>VLOOKUP($A12,historia!$A$5:$DD$24,+HLOOKUP(AZ$2,historia!$A$3:$EC$4,2,FALSE),FALSE)</f>
        <v>1</v>
      </c>
      <c r="BA12" s="58">
        <f>VLOOKUP($A12,historia!$A$5:$DG$24,+HLOOKUP(BA$2,historia!$A$3:$EC$4,2,FALSE),FALSE)</f>
        <v>1</v>
      </c>
      <c r="BB12" s="58"/>
      <c r="BC12" s="286">
        <v>1</v>
      </c>
      <c r="BD12" t="str">
        <f t="shared" si="19"/>
        <v>Granos</v>
      </c>
      <c r="BE12">
        <f>+datos!AE1</f>
        <v>31</v>
      </c>
      <c r="BF12" s="2" t="str">
        <f t="shared" si="4"/>
        <v>$/t</v>
      </c>
      <c r="BG12" s="2">
        <f t="shared" si="4"/>
        <v>383473.09733333334</v>
      </c>
      <c r="BH12" s="2">
        <f t="shared" si="4"/>
        <v>375987.20507083338</v>
      </c>
      <c r="BI12" s="2">
        <f t="shared" si="4"/>
        <v>272315.1359649123</v>
      </c>
      <c r="BK12" s="1">
        <f>+datos!EA1</f>
        <v>131</v>
      </c>
      <c r="BL12" s="1">
        <f t="shared" si="20"/>
        <v>36590000</v>
      </c>
      <c r="BM12" s="1">
        <f t="shared" si="20"/>
        <v>36770000</v>
      </c>
      <c r="BO12" s="1">
        <f>+datos!FV1</f>
        <v>178</v>
      </c>
      <c r="BP12" s="1">
        <f t="shared" si="21"/>
        <v>156800008</v>
      </c>
      <c r="BQ12" s="1">
        <f t="shared" si="21"/>
        <v>130710000</v>
      </c>
      <c r="BS12" s="1">
        <f>+datos!LQ1</f>
        <v>329</v>
      </c>
      <c r="BT12" s="1">
        <f>+SUM(CK12:CV12)</f>
        <v>50735.700811210001</v>
      </c>
      <c r="BU12" s="1">
        <f t="shared" si="39"/>
        <v>41925.848517559993</v>
      </c>
      <c r="BW12" s="1">
        <f>+datos!LU1</f>
        <v>333</v>
      </c>
      <c r="BX12" s="2">
        <f t="shared" si="22"/>
        <v>2948.0014464899996</v>
      </c>
      <c r="BY12" s="2">
        <f t="shared" si="23"/>
        <v>2899.3332247400003</v>
      </c>
      <c r="CA12" s="1">
        <f>+datos!II1</f>
        <v>243</v>
      </c>
      <c r="CB12" s="1">
        <f t="shared" si="24"/>
        <v>87300000</v>
      </c>
      <c r="CC12" s="1">
        <f t="shared" si="25"/>
        <v>83120000</v>
      </c>
      <c r="CD12" s="1"/>
      <c r="CE12">
        <f>+datos!CG1</f>
        <v>85</v>
      </c>
      <c r="CF12" s="2">
        <f t="shared" si="26"/>
        <v>14519.760119204142</v>
      </c>
      <c r="CG12" s="2">
        <f t="shared" si="26"/>
        <v>14850.599060760751</v>
      </c>
      <c r="CH12" s="2">
        <f t="shared" si="26"/>
        <v>10356.335913575498</v>
      </c>
      <c r="CI12" s="1"/>
      <c r="CK12" s="1">
        <f>+VLOOKUP(CK$1,ran_dat,$BS12,FALSE)</f>
        <v>4487.8321395500006</v>
      </c>
      <c r="CL12" s="1">
        <f t="shared" si="27"/>
        <v>5035.7305047899999</v>
      </c>
      <c r="CM12" s="1">
        <f t="shared" si="27"/>
        <v>4064.0645645799996</v>
      </c>
      <c r="CN12" s="1">
        <f t="shared" si="27"/>
        <v>4203.4384527000002</v>
      </c>
      <c r="CO12" s="1">
        <f t="shared" si="27"/>
        <v>3234.3307016200001</v>
      </c>
      <c r="CP12" s="1">
        <f t="shared" si="27"/>
        <v>4071.6367626900005</v>
      </c>
      <c r="CQ12" s="1">
        <f t="shared" si="27"/>
        <v>3901.9920549600001</v>
      </c>
      <c r="CR12" s="1">
        <f t="shared" si="27"/>
        <v>4663.3781357900007</v>
      </c>
      <c r="CS12" s="1">
        <f t="shared" si="27"/>
        <v>3782.3696972900002</v>
      </c>
      <c r="CT12" s="1">
        <f t="shared" si="27"/>
        <v>4396.9372515900004</v>
      </c>
      <c r="CU12" s="1">
        <f t="shared" si="27"/>
        <v>4336.2366958999992</v>
      </c>
      <c r="CV12" s="1">
        <f t="shared" si="27"/>
        <v>4557.75384975</v>
      </c>
      <c r="CW12" s="1">
        <f t="shared" si="27"/>
        <v>3762.5394987399995</v>
      </c>
      <c r="CX12" s="1">
        <f t="shared" si="27"/>
        <v>4220.2405017900001</v>
      </c>
      <c r="CY12" s="1">
        <f t="shared" si="27"/>
        <v>3699.5517639399995</v>
      </c>
      <c r="CZ12" s="1">
        <f t="shared" si="27"/>
        <v>2719.5194464700007</v>
      </c>
      <c r="DA12" s="1">
        <f t="shared" si="28"/>
        <v>3193.1112506200002</v>
      </c>
      <c r="DB12" s="1">
        <f t="shared" si="28"/>
        <v>3231.2263099199999</v>
      </c>
      <c r="DC12" s="1">
        <f t="shared" si="28"/>
        <v>3313.8442822299994</v>
      </c>
      <c r="DD12" s="1">
        <f t="shared" si="28"/>
        <v>3339.9998161899998</v>
      </c>
      <c r="DE12" s="1">
        <f t="shared" si="28"/>
        <v>3485.71732419</v>
      </c>
      <c r="DF12" s="1">
        <f t="shared" si="28"/>
        <v>3410.80431886</v>
      </c>
      <c r="DG12" s="1">
        <f t="shared" si="28"/>
        <v>3348.6268518899992</v>
      </c>
      <c r="DH12" s="1">
        <f t="shared" si="28"/>
        <v>4200.6671527199996</v>
      </c>
      <c r="DJ12" s="1">
        <f t="shared" si="29"/>
        <v>365.40067700999998</v>
      </c>
      <c r="DK12" s="1">
        <f t="shared" si="29"/>
        <v>461.88986550999999</v>
      </c>
      <c r="DL12" s="1">
        <f t="shared" si="29"/>
        <v>430.74979968000002</v>
      </c>
      <c r="DM12" s="1">
        <f t="shared" si="29"/>
        <v>401.51977044</v>
      </c>
      <c r="DN12" s="1">
        <f t="shared" si="29"/>
        <v>345.64924089000016</v>
      </c>
      <c r="DO12" s="1">
        <f t="shared" si="29"/>
        <v>27.557335100000003</v>
      </c>
      <c r="DP12" s="1">
        <f t="shared" si="29"/>
        <v>51.994600029999987</v>
      </c>
      <c r="DQ12" s="1">
        <f t="shared" si="29"/>
        <v>140.49668192999997</v>
      </c>
      <c r="DR12" s="1">
        <f t="shared" si="29"/>
        <v>126.11568693000002</v>
      </c>
      <c r="DS12" s="1">
        <f t="shared" si="29"/>
        <v>179.77004703999992</v>
      </c>
      <c r="DT12" s="1">
        <f t="shared" si="29"/>
        <v>175.34564924</v>
      </c>
      <c r="DU12" s="1">
        <f t="shared" si="29"/>
        <v>241.51209269000003</v>
      </c>
      <c r="DV12" s="1">
        <f t="shared" si="29"/>
        <v>273.75200934999998</v>
      </c>
      <c r="DW12" s="1">
        <f t="shared" si="29"/>
        <v>304.19736033999999</v>
      </c>
      <c r="DX12" s="1">
        <f t="shared" si="29"/>
        <v>338.33098909999995</v>
      </c>
      <c r="DY12" s="1">
        <f t="shared" si="29"/>
        <v>239.40438782999996</v>
      </c>
      <c r="DZ12" s="1">
        <f t="shared" si="30"/>
        <v>288.1429152</v>
      </c>
      <c r="EA12" s="1">
        <f t="shared" si="30"/>
        <v>31.883400920000003</v>
      </c>
      <c r="EB12" s="1">
        <f t="shared" si="30"/>
        <v>52.19269714</v>
      </c>
      <c r="EC12" s="1">
        <f t="shared" si="30"/>
        <v>201.41567115000001</v>
      </c>
      <c r="ED12" s="1">
        <f t="shared" si="30"/>
        <v>299.18688666000003</v>
      </c>
      <c r="EE12" s="1">
        <f t="shared" si="30"/>
        <v>265.28366987999999</v>
      </c>
      <c r="EF12" s="1">
        <f t="shared" si="30"/>
        <v>214.60650260000006</v>
      </c>
      <c r="EG12" s="1">
        <f t="shared" si="30"/>
        <v>390.93673457</v>
      </c>
      <c r="EI12" s="14">
        <f t="shared" si="40"/>
        <v>87300000</v>
      </c>
      <c r="EJ12" s="14">
        <f t="shared" si="40"/>
        <v>87300000</v>
      </c>
      <c r="EK12" s="1">
        <f t="shared" si="40"/>
        <v>87300000</v>
      </c>
      <c r="EL12" s="1">
        <f t="shared" si="40"/>
        <v>88050000</v>
      </c>
      <c r="EM12" s="1">
        <f t="shared" si="40"/>
        <v>88050000</v>
      </c>
      <c r="EN12" s="1">
        <f t="shared" si="40"/>
        <v>86780000</v>
      </c>
      <c r="EO12" s="1">
        <f t="shared" si="40"/>
        <v>86780000</v>
      </c>
      <c r="EP12" s="1">
        <f t="shared" si="40"/>
        <v>86680000</v>
      </c>
      <c r="EQ12" s="1">
        <f t="shared" si="40"/>
        <v>85850000</v>
      </c>
      <c r="ER12" s="1">
        <f t="shared" si="40"/>
        <v>85850000</v>
      </c>
      <c r="ES12" s="1">
        <f t="shared" si="40"/>
        <v>85820000</v>
      </c>
      <c r="ET12" s="1">
        <f t="shared" si="40"/>
        <v>83320000</v>
      </c>
      <c r="EU12" s="1">
        <f t="shared" si="40"/>
        <v>83120000</v>
      </c>
      <c r="EV12" s="1">
        <f t="shared" si="40"/>
        <v>83420000</v>
      </c>
      <c r="EW12" s="1">
        <f t="shared" si="40"/>
        <v>83260000</v>
      </c>
      <c r="EX12" s="1">
        <f t="shared" si="40"/>
        <v>82660000</v>
      </c>
      <c r="EY12" s="1">
        <f t="shared" si="31"/>
        <v>83330000</v>
      </c>
      <c r="EZ12" s="1">
        <f t="shared" si="31"/>
        <v>83330000</v>
      </c>
      <c r="FA12" s="1">
        <f t="shared" si="31"/>
        <v>81580000</v>
      </c>
      <c r="FB12" s="1">
        <f t="shared" si="31"/>
        <v>81600000</v>
      </c>
      <c r="FC12" s="1">
        <f t="shared" si="31"/>
        <v>81600000</v>
      </c>
      <c r="FD12" s="1">
        <f t="shared" si="31"/>
        <v>81600000</v>
      </c>
      <c r="FE12" s="1">
        <f t="shared" si="31"/>
        <v>81600000</v>
      </c>
      <c r="FF12" s="1">
        <f t="shared" si="31"/>
        <v>81600000</v>
      </c>
      <c r="FH12" s="162">
        <f t="shared" si="32"/>
        <v>6.1789372923903851E-3</v>
      </c>
    </row>
    <row r="13" spans="1:164" ht="18.75" customHeight="1">
      <c r="A13" s="244" t="s">
        <v>217</v>
      </c>
      <c r="B13" s="247"/>
      <c r="C13" s="228">
        <f t="shared" si="5"/>
        <v>0</v>
      </c>
      <c r="D13" s="229">
        <v>0</v>
      </c>
      <c r="E13" s="253">
        <f t="shared" si="6"/>
        <v>0.10319894749095759</v>
      </c>
      <c r="F13" s="254">
        <f t="shared" si="7"/>
        <v>8.4330232802663829E-2</v>
      </c>
      <c r="G13" s="253">
        <f t="shared" si="8"/>
        <v>-7.2836798934229341E-3</v>
      </c>
      <c r="H13" s="254">
        <f t="shared" si="9"/>
        <v>0.11048262738438053</v>
      </c>
      <c r="I13" s="253">
        <f t="shared" si="10"/>
        <v>0.84404021580512767</v>
      </c>
      <c r="J13" s="254">
        <f t="shared" si="11"/>
        <v>0.50856290182004305</v>
      </c>
      <c r="K13" s="253">
        <f t="shared" si="12"/>
        <v>0.50477246350369831</v>
      </c>
      <c r="L13" s="254">
        <f t="shared" si="13"/>
        <v>0.33926775230142936</v>
      </c>
      <c r="M13" s="255"/>
      <c r="N13" s="256">
        <v>0</v>
      </c>
      <c r="O13" s="253">
        <f t="shared" si="33"/>
        <v>0</v>
      </c>
      <c r="P13" s="257">
        <f t="shared" si="34"/>
        <v>0</v>
      </c>
      <c r="Q13" s="253">
        <f t="shared" si="14"/>
        <v>0</v>
      </c>
      <c r="R13" s="257">
        <f t="shared" si="35"/>
        <v>0</v>
      </c>
      <c r="S13" s="255"/>
      <c r="T13" s="256">
        <v>0</v>
      </c>
      <c r="U13" s="253">
        <f t="shared" si="15"/>
        <v>0.21027272510237571</v>
      </c>
      <c r="V13" s="258">
        <f t="shared" si="16"/>
        <v>0.21027272510237571</v>
      </c>
      <c r="W13" s="253">
        <f t="shared" si="36"/>
        <v>-0.60401331031734051</v>
      </c>
      <c r="X13" s="258">
        <f t="shared" si="17"/>
        <v>-0.60401331031734051</v>
      </c>
      <c r="Y13" s="253"/>
      <c r="Z13" s="258">
        <f t="shared" si="18"/>
        <v>0</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VLOOKUP($A13,historia!$A$5:$DD$24,+HLOOKUP(AP$2,historia!$A$3:$EC$4,2,FALSE),FALSE)</f>
        <v>4</v>
      </c>
      <c r="AQ13" s="28">
        <f>VLOOKUP($A13,historia!$A$5:$DD$24,+HLOOKUP(AQ$2,historia!$A$3:$EC$4,2,FALSE),FALSE)</f>
        <v>5</v>
      </c>
      <c r="AR13" s="28">
        <f>VLOOKUP($A13,historia!$A$5:$DD$24,+HLOOKUP(AR$2,historia!$A$3:$EC$4,2,FALSE),FALSE)</f>
        <v>4</v>
      </c>
      <c r="AS13" s="28">
        <f>VLOOKUP($A13,historia!$A$5:$DD$24,+HLOOKUP(AS$2,historia!$A$3:$EC$4,2,FALSE),FALSE)</f>
        <v>4</v>
      </c>
      <c r="AT13" s="58">
        <f>VLOOKUP($A13,historia!$A$5:$DD$24,+HLOOKUP(AT$2,historia!$A$3:$EC$4,2,FALSE),FALSE)</f>
        <v>4</v>
      </c>
      <c r="AU13" s="58">
        <f>VLOOKUP($A13,historia!$A$5:$DD$24,+HLOOKUP(AU$2,historia!$A$3:$EC$4,2,FALSE),FALSE)</f>
        <v>4</v>
      </c>
      <c r="AV13" s="58">
        <f>VLOOKUP($A13,historia!$A$5:$DD$24,+HLOOKUP(AV$2,historia!$A$3:$EC$4,2,FALSE),FALSE)</f>
        <v>4</v>
      </c>
      <c r="AW13" s="58">
        <f>VLOOKUP($A13,historia!$A$5:$DD$24,+HLOOKUP(AW$2,historia!$A$3:$EC$4,2,FALSE),FALSE)</f>
        <v>4</v>
      </c>
      <c r="AX13" s="58">
        <f>VLOOKUP($A13,historia!$A$5:$DD$24,+HLOOKUP(AX$2,historia!$A$3:$EC$4,2,FALSE),FALSE)</f>
        <v>4</v>
      </c>
      <c r="AY13" s="58">
        <f>VLOOKUP($A13,historia!$A$5:$DD$24,+HLOOKUP(AY$2,historia!$A$3:$EC$4,2,FALSE),FALSE)</f>
        <v>4</v>
      </c>
      <c r="AZ13" s="58">
        <f>VLOOKUP($A13,historia!$A$5:$DD$24,+HLOOKUP(AZ$2,historia!$A$3:$EC$4,2,FALSE),FALSE)</f>
        <v>4</v>
      </c>
      <c r="BA13" s="58">
        <f>VLOOKUP($A13,historia!$A$5:$DG$24,+HLOOKUP(BA$2,historia!$A$3:$EC$4,2,FALSE),FALSE)</f>
        <v>4</v>
      </c>
      <c r="BB13" s="58"/>
      <c r="BC13" s="286">
        <v>4</v>
      </c>
      <c r="BD13" t="str">
        <f t="shared" si="19"/>
        <v>Hortalizas</v>
      </c>
      <c r="BE13">
        <f>+datos!BB1</f>
        <v>54</v>
      </c>
      <c r="BF13" s="2" t="str">
        <f t="shared" si="4"/>
        <v>$/kg</v>
      </c>
      <c r="BG13" s="2">
        <f t="shared" si="4"/>
        <v>17364.434523809527</v>
      </c>
      <c r="BH13" s="2">
        <f t="shared" si="4"/>
        <v>15740.075317604356</v>
      </c>
      <c r="BI13" s="2">
        <f t="shared" si="4"/>
        <v>9416.5161773481323</v>
      </c>
      <c r="BK13" s="1">
        <f>+datos!EX1</f>
        <v>154</v>
      </c>
      <c r="BL13" s="1">
        <f t="shared" si="20"/>
        <v>64395</v>
      </c>
      <c r="BM13" s="1">
        <f t="shared" si="20"/>
        <v>64395</v>
      </c>
      <c r="BO13" s="1">
        <f>+datos!GN1</f>
        <v>196</v>
      </c>
      <c r="BP13" s="1">
        <f t="shared" si="21"/>
        <v>2639386</v>
      </c>
      <c r="BQ13" s="1">
        <f t="shared" si="21"/>
        <v>2639386</v>
      </c>
      <c r="BS13" s="1">
        <f>+datos!LR1</f>
        <v>330</v>
      </c>
      <c r="BT13" s="1">
        <f t="shared" si="38"/>
        <v>52.111875699999992</v>
      </c>
      <c r="BU13" s="1">
        <f t="shared" si="39"/>
        <v>43.057960919999999</v>
      </c>
      <c r="BW13" s="1">
        <f>+datos!LV1</f>
        <v>334</v>
      </c>
      <c r="BX13" s="2">
        <f t="shared" si="22"/>
        <v>15.33230571</v>
      </c>
      <c r="BY13" s="2">
        <f t="shared" si="23"/>
        <v>38.719245139999998</v>
      </c>
      <c r="CA13" s="1">
        <f>+datos!IX1</f>
        <v>258</v>
      </c>
      <c r="CB13" s="1">
        <f t="shared" si="24"/>
        <v>0</v>
      </c>
      <c r="CC13" s="1">
        <f t="shared" si="25"/>
        <v>0</v>
      </c>
      <c r="CD13" s="1"/>
      <c r="CE13">
        <f>+datos!CO1</f>
        <v>93</v>
      </c>
      <c r="CF13" s="2">
        <f t="shared" si="26"/>
        <v>15261.201884683442</v>
      </c>
      <c r="CG13" s="2">
        <f t="shared" si="26"/>
        <v>15373.175171578738</v>
      </c>
      <c r="CH13" s="2">
        <f t="shared" si="26"/>
        <v>10141.866797023518</v>
      </c>
      <c r="CI13" s="1"/>
      <c r="CK13" s="1">
        <f t="shared" si="27"/>
        <v>8.5185827199999995</v>
      </c>
      <c r="CL13" s="1">
        <f t="shared" si="27"/>
        <v>11.768405829999999</v>
      </c>
      <c r="CM13" s="1">
        <f t="shared" si="27"/>
        <v>11.667027839999999</v>
      </c>
      <c r="CN13" s="1">
        <f t="shared" si="27"/>
        <v>7.5031928699999995</v>
      </c>
      <c r="CO13" s="1">
        <f t="shared" si="27"/>
        <v>1.29974543</v>
      </c>
      <c r="CP13" s="1">
        <f t="shared" si="27"/>
        <v>1.7091561800000004</v>
      </c>
      <c r="CQ13" s="1">
        <f t="shared" si="27"/>
        <v>1.6831161599999998</v>
      </c>
      <c r="CR13" s="1">
        <f t="shared" si="27"/>
        <v>1.1537429000000001</v>
      </c>
      <c r="CS13" s="1">
        <f t="shared" si="27"/>
        <v>1.5287822199999999</v>
      </c>
      <c r="CT13" s="1">
        <f t="shared" si="27"/>
        <v>0.99519284000000008</v>
      </c>
      <c r="CU13" s="1">
        <f t="shared" si="27"/>
        <v>2.3842983399999995</v>
      </c>
      <c r="CV13" s="1">
        <f t="shared" si="27"/>
        <v>1.9006323699999998</v>
      </c>
      <c r="CW13" s="1">
        <f t="shared" si="27"/>
        <v>5.6300601800000001</v>
      </c>
      <c r="CX13" s="1">
        <f t="shared" si="27"/>
        <v>10.78719353</v>
      </c>
      <c r="CY13" s="1">
        <f t="shared" si="27"/>
        <v>6.6589734299999996</v>
      </c>
      <c r="CZ13" s="1">
        <f t="shared" si="27"/>
        <v>4.7972503099999999</v>
      </c>
      <c r="DA13" s="1">
        <f t="shared" si="28"/>
        <v>3.6808061599999999</v>
      </c>
      <c r="DB13" s="1">
        <f t="shared" si="28"/>
        <v>1.7265838599999999</v>
      </c>
      <c r="DC13" s="1">
        <f t="shared" si="28"/>
        <v>1.1603474899999999</v>
      </c>
      <c r="DD13" s="1">
        <f t="shared" si="28"/>
        <v>1.6220564799999999</v>
      </c>
      <c r="DE13" s="1">
        <f t="shared" si="28"/>
        <v>1.7022322700000001</v>
      </c>
      <c r="DF13" s="1">
        <f t="shared" si="28"/>
        <v>2.1800094999999997</v>
      </c>
      <c r="DG13" s="1">
        <f t="shared" si="28"/>
        <v>0.89152303000000011</v>
      </c>
      <c r="DH13" s="1">
        <f t="shared" si="28"/>
        <v>2.22092468</v>
      </c>
      <c r="DJ13" s="1">
        <f t="shared" si="29"/>
        <v>3.12933196</v>
      </c>
      <c r="DK13" s="1">
        <f t="shared" si="29"/>
        <v>1.4366099599999997</v>
      </c>
      <c r="DL13" s="1">
        <f t="shared" si="29"/>
        <v>0.57707428999999999</v>
      </c>
      <c r="DM13" s="1">
        <f t="shared" si="29"/>
        <v>0.39128717000000002</v>
      </c>
      <c r="DN13" s="1">
        <f t="shared" si="29"/>
        <v>0.23116673999999998</v>
      </c>
      <c r="DO13" s="1">
        <f t="shared" si="29"/>
        <v>0.59938404000000001</v>
      </c>
      <c r="DP13" s="1">
        <f t="shared" si="29"/>
        <v>0.53318653999999999</v>
      </c>
      <c r="DQ13" s="1">
        <f t="shared" si="29"/>
        <v>0.87596054999999995</v>
      </c>
      <c r="DR13" s="1">
        <f t="shared" si="29"/>
        <v>2.0285887300000001</v>
      </c>
      <c r="DS13" s="1">
        <f t="shared" si="29"/>
        <v>2.5185445399999997</v>
      </c>
      <c r="DT13" s="1">
        <f t="shared" si="29"/>
        <v>1.4155427900000002</v>
      </c>
      <c r="DU13" s="1">
        <f t="shared" si="29"/>
        <v>1.5956283999999996</v>
      </c>
      <c r="DV13" s="1">
        <f t="shared" si="29"/>
        <v>1.7945534399999996</v>
      </c>
      <c r="DW13" s="1">
        <f t="shared" si="29"/>
        <v>2.7487028499999995</v>
      </c>
      <c r="DX13" s="1">
        <f t="shared" si="29"/>
        <v>0.73139703</v>
      </c>
      <c r="DY13" s="1">
        <f t="shared" si="29"/>
        <v>0.52205221000000002</v>
      </c>
      <c r="DZ13" s="1">
        <f t="shared" si="30"/>
        <v>0.27889262000000004</v>
      </c>
      <c r="EA13" s="1">
        <f t="shared" si="30"/>
        <v>0.43588088999999991</v>
      </c>
      <c r="EB13" s="1">
        <f t="shared" si="30"/>
        <v>0.25163443000000002</v>
      </c>
      <c r="EC13" s="1">
        <f t="shared" si="30"/>
        <v>1.8307121500000001</v>
      </c>
      <c r="ED13" s="1">
        <f t="shared" si="30"/>
        <v>4.7138590499999999</v>
      </c>
      <c r="EE13" s="1">
        <f t="shared" si="30"/>
        <v>10.280953719999999</v>
      </c>
      <c r="EF13" s="1">
        <f t="shared" si="30"/>
        <v>10.078043539999999</v>
      </c>
      <c r="EG13" s="1">
        <f t="shared" si="30"/>
        <v>5.0525632100000006</v>
      </c>
      <c r="EI13" s="14">
        <f t="shared" si="40"/>
        <v>0</v>
      </c>
      <c r="EJ13" s="14">
        <f t="shared" si="40"/>
        <v>0</v>
      </c>
      <c r="EK13" s="1">
        <f t="shared" si="40"/>
        <v>0</v>
      </c>
      <c r="EL13" s="1">
        <f t="shared" si="40"/>
        <v>0</v>
      </c>
      <c r="EM13" s="1">
        <f t="shared" si="40"/>
        <v>0</v>
      </c>
      <c r="EN13" s="1">
        <f t="shared" si="40"/>
        <v>0</v>
      </c>
      <c r="EO13" s="1">
        <f t="shared" si="40"/>
        <v>0</v>
      </c>
      <c r="EP13" s="1">
        <f t="shared" si="40"/>
        <v>0</v>
      </c>
      <c r="EQ13" s="1">
        <f t="shared" si="40"/>
        <v>0</v>
      </c>
      <c r="ER13" s="1">
        <f t="shared" si="40"/>
        <v>0</v>
      </c>
      <c r="ES13" s="1">
        <f t="shared" si="40"/>
        <v>0</v>
      </c>
      <c r="ET13" s="1">
        <f t="shared" si="40"/>
        <v>0</v>
      </c>
      <c r="EU13" s="1">
        <f t="shared" si="40"/>
        <v>0</v>
      </c>
      <c r="EV13" s="1">
        <f t="shared" si="40"/>
        <v>0</v>
      </c>
      <c r="EW13" s="1">
        <f t="shared" si="40"/>
        <v>0</v>
      </c>
      <c r="EX13" s="1">
        <f t="shared" si="40"/>
        <v>0</v>
      </c>
      <c r="EY13" s="1">
        <f t="shared" si="31"/>
        <v>0</v>
      </c>
      <c r="EZ13" s="1">
        <f t="shared" si="31"/>
        <v>0</v>
      </c>
      <c r="FA13" s="1">
        <f t="shared" si="31"/>
        <v>0</v>
      </c>
      <c r="FB13" s="1">
        <f t="shared" si="31"/>
        <v>0</v>
      </c>
      <c r="FC13" s="1">
        <f t="shared" si="31"/>
        <v>0</v>
      </c>
      <c r="FD13" s="1">
        <f t="shared" si="31"/>
        <v>0</v>
      </c>
      <c r="FE13" s="1">
        <f t="shared" si="31"/>
        <v>0</v>
      </c>
      <c r="FF13" s="1">
        <f t="shared" si="31"/>
        <v>0</v>
      </c>
      <c r="FH13" s="162">
        <f t="shared" si="32"/>
        <v>0.33926775230142936</v>
      </c>
    </row>
    <row r="14" spans="1:164" ht="18" customHeight="1">
      <c r="A14" s="243" t="s">
        <v>65</v>
      </c>
      <c r="B14" s="246"/>
      <c r="C14" s="156">
        <f t="shared" si="5"/>
        <v>-0.33</v>
      </c>
      <c r="D14" s="198">
        <v>1</v>
      </c>
      <c r="E14" s="572">
        <f t="shared" si="6"/>
        <v>1.8516334473404727E-2</v>
      </c>
      <c r="F14" s="249">
        <f t="shared" si="7"/>
        <v>-3.5238021488903648E-4</v>
      </c>
      <c r="G14" s="248">
        <f t="shared" si="8"/>
        <v>-3.6984396528177865E-2</v>
      </c>
      <c r="H14" s="249">
        <f t="shared" si="9"/>
        <v>5.5500731001582593E-2</v>
      </c>
      <c r="I14" s="248">
        <f t="shared" si="10"/>
        <v>9.577685198891861E-2</v>
      </c>
      <c r="J14" s="249">
        <f t="shared" si="11"/>
        <v>-0.23970046199616601</v>
      </c>
      <c r="K14" s="248">
        <f t="shared" si="12"/>
        <v>0.3245151065393872</v>
      </c>
      <c r="L14" s="249">
        <f t="shared" si="13"/>
        <v>-0.22873825455046859</v>
      </c>
      <c r="M14" s="250"/>
      <c r="N14" s="24">
        <v>-1</v>
      </c>
      <c r="O14" s="248">
        <f t="shared" si="33"/>
        <v>1.8377954399324103E-2</v>
      </c>
      <c r="P14" s="251">
        <f t="shared" si="34"/>
        <v>1.8377954399324103E-2</v>
      </c>
      <c r="Q14" s="248">
        <f t="shared" si="14"/>
        <v>7.2928807051244604E-2</v>
      </c>
      <c r="R14" s="251">
        <f t="shared" si="35"/>
        <v>7.2928807051244604E-2</v>
      </c>
      <c r="S14" s="250"/>
      <c r="T14" s="24">
        <v>-1</v>
      </c>
      <c r="U14" s="248">
        <f t="shared" si="15"/>
        <v>0.19740622023270715</v>
      </c>
      <c r="V14" s="252">
        <f t="shared" si="16"/>
        <v>0.19740622023270715</v>
      </c>
      <c r="W14" s="248">
        <f t="shared" si="36"/>
        <v>8.1120265910038736E-2</v>
      </c>
      <c r="X14" s="252">
        <f t="shared" si="17"/>
        <v>8.1120265910038736E-2</v>
      </c>
      <c r="Y14" s="248">
        <f t="shared" si="37"/>
        <v>6.7956089911134221E-3</v>
      </c>
      <c r="Z14" s="252">
        <f t="shared" si="18"/>
        <v>6.7956089911134221E-3</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VLOOKUP($A14,historia!$A$5:$DD$24,+HLOOKUP(AP$2,historia!$A$3:$EC$4,2,FALSE),FALSE)</f>
        <v>3</v>
      </c>
      <c r="AQ14" s="28">
        <f>VLOOKUP($A14,historia!$A$5:$DD$24,+HLOOKUP(AQ$2,historia!$A$3:$EC$4,2,FALSE),FALSE)</f>
        <v>3</v>
      </c>
      <c r="AR14" s="28">
        <f>VLOOKUP($A14,historia!$A$5:$DD$24,+HLOOKUP(AR$2,historia!$A$3:$EC$4,2,FALSE),FALSE)</f>
        <v>3</v>
      </c>
      <c r="AS14" s="28">
        <f>VLOOKUP($A14,historia!$A$5:$DD$24,+HLOOKUP(AS$2,historia!$A$3:$EC$4,2,FALSE),FALSE)</f>
        <v>3</v>
      </c>
      <c r="AT14" s="58">
        <f>VLOOKUP($A14,historia!$A$5:$DD$24,+HLOOKUP(AT$2,historia!$A$3:$EC$4,2,FALSE),FALSE)</f>
        <v>3</v>
      </c>
      <c r="AU14" s="58">
        <f>VLOOKUP($A14,historia!$A$5:$DD$24,+HLOOKUP(AU$2,historia!$A$3:$EC$4,2,FALSE),FALSE)</f>
        <v>3</v>
      </c>
      <c r="AV14" s="58">
        <f>VLOOKUP($A14,historia!$A$5:$DD$24,+HLOOKUP(AV$2,historia!$A$3:$EC$4,2,FALSE),FALSE)</f>
        <v>4</v>
      </c>
      <c r="AW14" s="58">
        <f>VLOOKUP($A14,historia!$A$5:$DD$24,+HLOOKUP(AW$2,historia!$A$3:$EC$4,2,FALSE),FALSE)</f>
        <v>4</v>
      </c>
      <c r="AX14" s="58">
        <f>VLOOKUP($A14,historia!$A$5:$DD$24,+HLOOKUP(AX$2,historia!$A$3:$EC$4,2,FALSE),FALSE)</f>
        <v>4</v>
      </c>
      <c r="AY14" s="58">
        <f>VLOOKUP($A14,historia!$A$5:$DD$24,+HLOOKUP(AY$2,historia!$A$3:$EC$4,2,FALSE),FALSE)</f>
        <v>4</v>
      </c>
      <c r="AZ14" s="58">
        <f>VLOOKUP($A14,historia!$A$5:$DD$24,+HLOOKUP(AZ$2,historia!$A$3:$EC$4,2,FALSE),FALSE)</f>
        <v>4</v>
      </c>
      <c r="BA14" s="58">
        <f>VLOOKUP($A14,historia!$A$5:$DG$24,+HLOOKUP(BA$2,historia!$A$3:$EC$4,2,FALSE),FALSE)</f>
        <v>4</v>
      </c>
      <c r="BB14" s="58"/>
      <c r="BC14" s="286">
        <v>4</v>
      </c>
      <c r="BD14" t="str">
        <f t="shared" si="19"/>
        <v>Leche</v>
      </c>
      <c r="BE14">
        <f>+datos!BN1</f>
        <v>66</v>
      </c>
      <c r="BF14" s="2" t="str">
        <f t="shared" si="4"/>
        <v>$/l</v>
      </c>
      <c r="BG14" s="487">
        <f t="shared" si="4"/>
        <v>518.16</v>
      </c>
      <c r="BH14" s="487">
        <f t="shared" si="4"/>
        <v>508.74</v>
      </c>
      <c r="BI14" s="487">
        <f t="shared" si="4"/>
        <v>472.87</v>
      </c>
      <c r="BK14" s="1">
        <f>+datos!EN1</f>
        <v>144</v>
      </c>
      <c r="BL14" s="1">
        <f t="shared" si="20"/>
        <v>3025163</v>
      </c>
      <c r="BM14" s="1">
        <f t="shared" si="20"/>
        <v>2970570</v>
      </c>
      <c r="BO14" s="1">
        <f>+datos!HP1</f>
        <v>224</v>
      </c>
      <c r="BP14" s="1">
        <f t="shared" si="21"/>
        <v>11882.66118693068</v>
      </c>
      <c r="BQ14" s="1">
        <f t="shared" si="21"/>
        <v>11074.976371999999</v>
      </c>
      <c r="BS14" s="1">
        <f>+datos!KH1</f>
        <v>294</v>
      </c>
      <c r="BT14" s="1">
        <f t="shared" si="38"/>
        <v>1998.7421346500003</v>
      </c>
      <c r="BU14" s="1">
        <f t="shared" si="39"/>
        <v>1669.2264503700001</v>
      </c>
      <c r="BW14" s="1">
        <f>+datos!LM1</f>
        <v>325</v>
      </c>
      <c r="BX14" s="2">
        <f t="shared" si="22"/>
        <v>27.518377739999998</v>
      </c>
      <c r="BY14" s="2">
        <f t="shared" si="23"/>
        <v>25.453576820000002</v>
      </c>
      <c r="CA14" s="1">
        <f>+datos!IN1</f>
        <v>248</v>
      </c>
      <c r="CB14" s="1">
        <f t="shared" si="24"/>
        <v>192.6</v>
      </c>
      <c r="CC14" s="1">
        <f t="shared" si="25"/>
        <v>191.3</v>
      </c>
      <c r="CD14" s="1"/>
      <c r="CE14">
        <f>+datos!DC1</f>
        <v>107</v>
      </c>
      <c r="CF14" s="2">
        <f t="shared" si="26"/>
        <v>13913.741278844005</v>
      </c>
      <c r="CG14" s="2">
        <f t="shared" si="26"/>
        <v>14448.095366973066</v>
      </c>
      <c r="CH14" s="2">
        <f t="shared" si="26"/>
        <v>10504.781115858304</v>
      </c>
      <c r="CI14" s="1"/>
      <c r="CK14" s="1">
        <f t="shared" si="27"/>
        <v>169.98133484999997</v>
      </c>
      <c r="CL14" s="1">
        <f t="shared" si="27"/>
        <v>138.91731654</v>
      </c>
      <c r="CM14" s="1">
        <f t="shared" si="27"/>
        <v>134.67876954000002</v>
      </c>
      <c r="CN14" s="1">
        <f t="shared" si="27"/>
        <v>152.49764859000004</v>
      </c>
      <c r="CO14" s="1">
        <f t="shared" si="27"/>
        <v>139.65871150000001</v>
      </c>
      <c r="CP14" s="1">
        <f t="shared" si="27"/>
        <v>160.91833684000002</v>
      </c>
      <c r="CQ14" s="1">
        <f t="shared" si="27"/>
        <v>210.79864256000005</v>
      </c>
      <c r="CR14" s="1">
        <f t="shared" si="27"/>
        <v>166.84903940999999</v>
      </c>
      <c r="CS14" s="1">
        <f t="shared" si="27"/>
        <v>210.64847638000006</v>
      </c>
      <c r="CT14" s="1">
        <f t="shared" si="27"/>
        <v>202.06812983999998</v>
      </c>
      <c r="CU14" s="1">
        <f t="shared" si="27"/>
        <v>166.18279023000005</v>
      </c>
      <c r="CV14" s="1">
        <f t="shared" si="27"/>
        <v>145.54293837</v>
      </c>
      <c r="CW14" s="1">
        <f t="shared" si="27"/>
        <v>161.52973046</v>
      </c>
      <c r="CX14" s="1">
        <f t="shared" si="27"/>
        <v>135.14119298</v>
      </c>
      <c r="CY14" s="1">
        <f t="shared" si="27"/>
        <v>121.87302321000003</v>
      </c>
      <c r="CZ14" s="1">
        <f t="shared" si="27"/>
        <v>90.118424640000015</v>
      </c>
      <c r="DA14" s="1">
        <f t="shared" si="28"/>
        <v>158.22857195999995</v>
      </c>
      <c r="DB14" s="1">
        <f t="shared" si="28"/>
        <v>133.12937443000001</v>
      </c>
      <c r="DC14" s="1">
        <f t="shared" si="28"/>
        <v>150.81206259999999</v>
      </c>
      <c r="DD14" s="1">
        <f t="shared" si="28"/>
        <v>173.78517034999999</v>
      </c>
      <c r="DE14" s="1">
        <f t="shared" si="28"/>
        <v>162.27196751000002</v>
      </c>
      <c r="DF14" s="1">
        <f t="shared" si="28"/>
        <v>136.36151781000004</v>
      </c>
      <c r="DG14" s="1">
        <f t="shared" si="28"/>
        <v>114.33182424</v>
      </c>
      <c r="DH14" s="1">
        <f t="shared" si="28"/>
        <v>131.64359017999999</v>
      </c>
      <c r="DJ14" s="1">
        <f t="shared" si="29"/>
        <v>3.2827755199999999</v>
      </c>
      <c r="DK14" s="1">
        <f t="shared" si="29"/>
        <v>2.0152277500000002</v>
      </c>
      <c r="DL14" s="1">
        <f t="shared" si="29"/>
        <v>2.6208630999999998</v>
      </c>
      <c r="DM14" s="1">
        <f t="shared" si="29"/>
        <v>2.2584035399999993</v>
      </c>
      <c r="DN14" s="1">
        <f t="shared" si="29"/>
        <v>2.0159010200000003</v>
      </c>
      <c r="DO14" s="1">
        <f t="shared" si="29"/>
        <v>2.4748885299999999</v>
      </c>
      <c r="DP14" s="1">
        <f t="shared" si="29"/>
        <v>1.7114282299999999</v>
      </c>
      <c r="DQ14" s="1">
        <f t="shared" si="29"/>
        <v>1.7294343599999999</v>
      </c>
      <c r="DR14" s="1">
        <f t="shared" si="29"/>
        <v>2.2980596799999997</v>
      </c>
      <c r="DS14" s="1">
        <f t="shared" si="29"/>
        <v>2.7814752500000006</v>
      </c>
      <c r="DT14" s="1">
        <f t="shared" si="29"/>
        <v>1.95823569</v>
      </c>
      <c r="DU14" s="1">
        <f t="shared" si="29"/>
        <v>2.3716850700000007</v>
      </c>
      <c r="DV14" s="1">
        <f t="shared" si="29"/>
        <v>3.2200157200000006</v>
      </c>
      <c r="DW14" s="1">
        <f t="shared" si="29"/>
        <v>2.3449699800000001</v>
      </c>
      <c r="DX14" s="1">
        <f t="shared" si="29"/>
        <v>1.8496573299999999</v>
      </c>
      <c r="DY14" s="1">
        <f t="shared" si="29"/>
        <v>2.6840408</v>
      </c>
      <c r="DZ14" s="1">
        <f t="shared" si="30"/>
        <v>2.90139879</v>
      </c>
      <c r="EA14" s="1">
        <f t="shared" si="30"/>
        <v>2.9139955600000005</v>
      </c>
      <c r="EB14" s="1">
        <f t="shared" si="30"/>
        <v>1.6254967600000001</v>
      </c>
      <c r="EC14" s="1">
        <f t="shared" si="30"/>
        <v>2.6289957100000003</v>
      </c>
      <c r="ED14" s="1">
        <f t="shared" si="30"/>
        <v>0.92402921999999987</v>
      </c>
      <c r="EE14" s="1">
        <f t="shared" si="30"/>
        <v>1.0080099199999999</v>
      </c>
      <c r="EF14" s="1">
        <f t="shared" si="30"/>
        <v>0.81005326000000022</v>
      </c>
      <c r="EG14" s="1">
        <f t="shared" si="30"/>
        <v>2.5429137699999997</v>
      </c>
      <c r="EI14" s="14">
        <f t="shared" si="40"/>
        <v>192.6</v>
      </c>
      <c r="EJ14" s="14">
        <f t="shared" si="40"/>
        <v>192.3</v>
      </c>
      <c r="EK14" s="1">
        <f t="shared" si="40"/>
        <v>196.9</v>
      </c>
      <c r="EL14" s="1">
        <f t="shared" si="40"/>
        <v>205</v>
      </c>
      <c r="EM14" s="1">
        <f t="shared" si="40"/>
        <v>198.5</v>
      </c>
      <c r="EN14" s="1">
        <f t="shared" si="40"/>
        <v>200</v>
      </c>
      <c r="EO14" s="1">
        <f t="shared" si="40"/>
        <v>181.1</v>
      </c>
      <c r="EP14" s="1">
        <f t="shared" si="40"/>
        <v>182.5</v>
      </c>
      <c r="EQ14" s="1">
        <f t="shared" si="40"/>
        <v>179.9</v>
      </c>
      <c r="ER14" s="1">
        <f t="shared" si="40"/>
        <v>182.6</v>
      </c>
      <c r="ES14" s="1">
        <f t="shared" si="40"/>
        <v>185.2</v>
      </c>
      <c r="ET14" s="1">
        <f t="shared" si="40"/>
        <v>188.7</v>
      </c>
      <c r="EU14" s="1">
        <f t="shared" si="40"/>
        <v>191.3</v>
      </c>
      <c r="EV14" s="1">
        <f t="shared" si="40"/>
        <v>195.7</v>
      </c>
      <c r="EW14" s="1">
        <f t="shared" si="40"/>
        <v>194.1</v>
      </c>
      <c r="EX14" s="1">
        <f t="shared" si="40"/>
        <v>191</v>
      </c>
      <c r="EY14" s="1">
        <f t="shared" si="31"/>
        <v>181.1</v>
      </c>
      <c r="EZ14" s="1">
        <f t="shared" si="31"/>
        <v>170.3</v>
      </c>
      <c r="FA14" s="1">
        <f t="shared" si="31"/>
        <v>170.9</v>
      </c>
      <c r="FB14" s="1">
        <f t="shared" si="31"/>
        <v>168.7</v>
      </c>
      <c r="FC14" s="1">
        <f t="shared" si="31"/>
        <v>160.6</v>
      </c>
      <c r="FD14" s="1">
        <f t="shared" si="31"/>
        <v>160.6</v>
      </c>
      <c r="FE14" s="1">
        <f t="shared" si="31"/>
        <v>160.6</v>
      </c>
      <c r="FF14" s="1">
        <f t="shared" si="31"/>
        <v>160.6</v>
      </c>
      <c r="FH14" s="162">
        <f t="shared" si="32"/>
        <v>-0.22873825455046859</v>
      </c>
    </row>
    <row r="15" spans="1:164" ht="18.75" customHeight="1">
      <c r="A15" s="244" t="s">
        <v>68</v>
      </c>
      <c r="B15" s="247"/>
      <c r="C15" s="228">
        <v>0</v>
      </c>
      <c r="D15" s="229">
        <v>-1</v>
      </c>
      <c r="E15" s="253">
        <f t="shared" si="6"/>
        <v>-7.4923924664857311E-2</v>
      </c>
      <c r="F15" s="254">
        <f t="shared" si="7"/>
        <v>-9.3792639353151075E-2</v>
      </c>
      <c r="G15" s="253">
        <f t="shared" si="8"/>
        <v>-2.8123488778217021E-2</v>
      </c>
      <c r="H15" s="254">
        <f t="shared" si="9"/>
        <v>-4.680043588664029E-2</v>
      </c>
      <c r="I15" s="253">
        <f t="shared" si="10"/>
        <v>1.3668539444058667</v>
      </c>
      <c r="J15" s="254">
        <f t="shared" si="11"/>
        <v>1.0313766304207821</v>
      </c>
      <c r="K15" s="253">
        <f t="shared" si="12"/>
        <v>0.4836105577207539</v>
      </c>
      <c r="L15" s="254">
        <f t="shared" si="13"/>
        <v>0.88324338668511282</v>
      </c>
      <c r="M15" s="255"/>
      <c r="N15" s="256">
        <v>0</v>
      </c>
      <c r="O15" s="253">
        <f t="shared" si="33"/>
        <v>0</v>
      </c>
      <c r="P15" s="257">
        <f t="shared" si="34"/>
        <v>0</v>
      </c>
      <c r="Q15" s="253">
        <f t="shared" si="14"/>
        <v>0</v>
      </c>
      <c r="R15" s="257">
        <f t="shared" si="35"/>
        <v>0</v>
      </c>
      <c r="S15" s="255"/>
      <c r="T15" s="256">
        <v>-1</v>
      </c>
      <c r="U15" s="253"/>
      <c r="V15" s="258">
        <f t="shared" si="16"/>
        <v>0</v>
      </c>
      <c r="W15" s="253">
        <f t="shared" si="36"/>
        <v>2.228566507348857</v>
      </c>
      <c r="X15" s="258">
        <f t="shared" si="17"/>
        <v>2.228566507348857</v>
      </c>
      <c r="Y15" s="253">
        <f t="shared" si="37"/>
        <v>0</v>
      </c>
      <c r="Z15" s="258">
        <f t="shared" si="18"/>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VLOOKUP($A15,historia!$A$5:$DD$24,+HLOOKUP(AP$2,historia!$A$3:$EC$4,2,FALSE),FALSE)</f>
        <v>4</v>
      </c>
      <c r="AQ15" s="28">
        <f>VLOOKUP($A15,historia!$A$5:$DD$24,+HLOOKUP(AQ$2,historia!$A$3:$EC$4,2,FALSE),FALSE)</f>
        <v>3</v>
      </c>
      <c r="AR15" s="28">
        <f>VLOOKUP($A15,historia!$A$5:$DD$24,+HLOOKUP(AR$2,historia!$A$3:$EC$4,2,FALSE),FALSE)</f>
        <v>3</v>
      </c>
      <c r="AS15" s="28">
        <f>VLOOKUP($A15,historia!$A$5:$DD$24,+HLOOKUP(AS$2,historia!$A$3:$EC$4,2,FALSE),FALSE)</f>
        <v>3</v>
      </c>
      <c r="AT15" s="58">
        <f>VLOOKUP($A15,historia!$A$5:$DD$24,+HLOOKUP(AT$2,historia!$A$3:$EC$4,2,FALSE),FALSE)</f>
        <v>3</v>
      </c>
      <c r="AU15" s="58">
        <f>VLOOKUP($A15,historia!$A$5:$DD$24,+HLOOKUP(AU$2,historia!$A$3:$EC$4,2,FALSE),FALSE)</f>
        <v>3</v>
      </c>
      <c r="AV15" s="58">
        <f>VLOOKUP($A15,historia!$A$5:$DD$24,+HLOOKUP(AV$2,historia!$A$3:$EC$4,2,FALSE),FALSE)</f>
        <v>3</v>
      </c>
      <c r="AW15" s="58">
        <f>VLOOKUP($A15,historia!$A$5:$DD$24,+HLOOKUP(AW$2,historia!$A$3:$EC$4,2,FALSE),FALSE)</f>
        <v>4</v>
      </c>
      <c r="AX15" s="58">
        <f>VLOOKUP($A15,historia!$A$5:$DD$24,+HLOOKUP(AX$2,historia!$A$3:$EC$4,2,FALSE),FALSE)</f>
        <v>4</v>
      </c>
      <c r="AY15" s="58">
        <f>VLOOKUP($A15,historia!$A$5:$DD$24,+HLOOKUP(AY$2,historia!$A$3:$EC$4,2,FALSE),FALSE)</f>
        <v>4</v>
      </c>
      <c r="AZ15" s="58">
        <f>VLOOKUP($A15,historia!$A$5:$DD$24,+HLOOKUP(AZ$2,historia!$A$3:$EC$4,2,FALSE),FALSE)</f>
        <v>4</v>
      </c>
      <c r="BA15" s="58">
        <f>VLOOKUP($A15,historia!$A$5:$DG$24,+HLOOKUP(BA$2,historia!$A$3:$EC$4,2,FALSE),FALSE)</f>
        <v>4</v>
      </c>
      <c r="BB15" s="58"/>
      <c r="BC15" s="286">
        <v>4</v>
      </c>
      <c r="BD15" t="str">
        <f t="shared" si="19"/>
        <v>Mandioca</v>
      </c>
      <c r="BE15">
        <f>+datos!AW1</f>
        <v>49</v>
      </c>
      <c r="BF15" s="2" t="str">
        <f t="shared" si="4"/>
        <v>$/bolsa40kg</v>
      </c>
      <c r="BG15" s="2">
        <f t="shared" si="4"/>
        <v>28190.476190476191</v>
      </c>
      <c r="BH15" s="2">
        <f t="shared" si="4"/>
        <v>30473.684210526317</v>
      </c>
      <c r="BI15" s="2">
        <f t="shared" si="4"/>
        <v>11910.526315789473</v>
      </c>
      <c r="BK15" s="1">
        <f>+datos!EY1</f>
        <v>155</v>
      </c>
      <c r="BL15" s="1">
        <f t="shared" si="20"/>
        <v>20031</v>
      </c>
      <c r="BM15" s="1">
        <f t="shared" si="20"/>
        <v>20031</v>
      </c>
      <c r="BO15" s="1">
        <f>+datos!GO1</f>
        <v>197</v>
      </c>
      <c r="BP15" s="1">
        <f t="shared" si="21"/>
        <v>201734</v>
      </c>
      <c r="BQ15" s="1">
        <f t="shared" si="21"/>
        <v>201734</v>
      </c>
      <c r="BS15" s="1">
        <f>+datos!JP1</f>
        <v>276</v>
      </c>
      <c r="BT15" s="1">
        <f t="shared" si="38"/>
        <v>2.5000000000000001E-3</v>
      </c>
      <c r="BU15" s="1">
        <f t="shared" si="39"/>
        <v>0</v>
      </c>
      <c r="BW15" s="1">
        <f>+datos!KU1</f>
        <v>307</v>
      </c>
      <c r="BX15" s="2">
        <f t="shared" si="22"/>
        <v>7.5490699799999996</v>
      </c>
      <c r="BY15" s="2">
        <f t="shared" si="23"/>
        <v>2.3382110800000002</v>
      </c>
      <c r="CA15" s="1">
        <f>+datos!IY1</f>
        <v>259</v>
      </c>
      <c r="CB15" s="1">
        <f t="shared" si="24"/>
        <v>1.88</v>
      </c>
      <c r="CC15" s="1">
        <f t="shared" si="25"/>
        <v>1.88</v>
      </c>
      <c r="CD15" s="1"/>
      <c r="CE15">
        <f>+datos!CJ1</f>
        <v>88</v>
      </c>
      <c r="CF15" s="2">
        <f t="shared" si="26"/>
        <v>14296.366073784953</v>
      </c>
      <c r="CG15" s="2">
        <f t="shared" si="26"/>
        <v>14710.064405005989</v>
      </c>
      <c r="CH15" s="2">
        <f t="shared" si="26"/>
        <v>9636.1986637168593</v>
      </c>
      <c r="CI15" s="1"/>
      <c r="CK15" s="1">
        <f t="shared" si="27"/>
        <v>0</v>
      </c>
      <c r="CL15" s="1">
        <f t="shared" si="27"/>
        <v>0</v>
      </c>
      <c r="CM15" s="1">
        <f t="shared" si="27"/>
        <v>0</v>
      </c>
      <c r="CN15" s="1">
        <f t="shared" si="27"/>
        <v>0</v>
      </c>
      <c r="CO15" s="1">
        <f t="shared" si="27"/>
        <v>0</v>
      </c>
      <c r="CP15" s="1">
        <f t="shared" si="27"/>
        <v>0</v>
      </c>
      <c r="CQ15" s="1">
        <f t="shared" si="27"/>
        <v>2.5000000000000001E-3</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7"/>
        <v>0</v>
      </c>
      <c r="DA15" s="1">
        <f t="shared" si="28"/>
        <v>0</v>
      </c>
      <c r="DB15" s="1">
        <f t="shared" si="28"/>
        <v>0</v>
      </c>
      <c r="DC15" s="1">
        <f t="shared" si="28"/>
        <v>0</v>
      </c>
      <c r="DD15" s="1">
        <f t="shared" si="28"/>
        <v>0</v>
      </c>
      <c r="DE15" s="1">
        <f t="shared" si="28"/>
        <v>0</v>
      </c>
      <c r="DF15" s="1">
        <f t="shared" si="28"/>
        <v>0</v>
      </c>
      <c r="DG15" s="1">
        <f t="shared" si="28"/>
        <v>0</v>
      </c>
      <c r="DH15" s="1">
        <f t="shared" si="28"/>
        <v>0</v>
      </c>
      <c r="DJ15" s="14">
        <f t="shared" si="29"/>
        <v>1.4539633799999998</v>
      </c>
      <c r="DK15" s="14">
        <f t="shared" si="29"/>
        <v>1.0932718399999999</v>
      </c>
      <c r="DL15" s="1">
        <f t="shared" si="29"/>
        <v>0.95051858999999994</v>
      </c>
      <c r="DM15" s="1">
        <f t="shared" si="29"/>
        <v>0.85632428999999999</v>
      </c>
      <c r="DN15" s="1">
        <f t="shared" si="29"/>
        <v>0.36896875000000001</v>
      </c>
      <c r="DO15" s="1">
        <f t="shared" si="29"/>
        <v>0.35343590000000003</v>
      </c>
      <c r="DP15" s="1">
        <f t="shared" si="29"/>
        <v>0.46571231000000002</v>
      </c>
      <c r="DQ15" s="1">
        <f t="shared" si="29"/>
        <v>0.27804433999999995</v>
      </c>
      <c r="DR15" s="1">
        <f t="shared" si="29"/>
        <v>0.43603392000000002</v>
      </c>
      <c r="DS15" s="1">
        <f t="shared" si="29"/>
        <v>0.45279353000000006</v>
      </c>
      <c r="DT15" s="1">
        <f t="shared" si="29"/>
        <v>0.30456642</v>
      </c>
      <c r="DU15" s="1">
        <f t="shared" si="29"/>
        <v>0.53543670999999993</v>
      </c>
      <c r="DV15" s="1">
        <f t="shared" si="29"/>
        <v>0.43177300000000002</v>
      </c>
      <c r="DW15" s="1">
        <f t="shared" si="29"/>
        <v>0.33740116000000003</v>
      </c>
      <c r="DX15" s="1">
        <f t="shared" si="29"/>
        <v>0.28762799999999999</v>
      </c>
      <c r="DY15" s="1">
        <f t="shared" si="29"/>
        <v>0.10344400999999999</v>
      </c>
      <c r="DZ15" s="1">
        <f t="shared" si="30"/>
        <v>4.4833160000000004E-2</v>
      </c>
      <c r="EA15" s="1">
        <f t="shared" si="30"/>
        <v>0.14172798</v>
      </c>
      <c r="EB15" s="1">
        <f t="shared" si="30"/>
        <v>7.4560410000000008E-2</v>
      </c>
      <c r="EC15" s="1">
        <f t="shared" si="30"/>
        <v>0.28059129999999999</v>
      </c>
      <c r="ED15" s="1">
        <f t="shared" si="30"/>
        <v>0.15169276000000001</v>
      </c>
      <c r="EE15" s="1">
        <f t="shared" si="30"/>
        <v>0.14711371000000001</v>
      </c>
      <c r="EF15" s="1">
        <f t="shared" si="30"/>
        <v>0.18175015000000003</v>
      </c>
      <c r="EG15" s="1">
        <f t="shared" si="30"/>
        <v>0.15569543999999999</v>
      </c>
      <c r="EI15" s="14">
        <f t="shared" si="40"/>
        <v>1.88</v>
      </c>
      <c r="EJ15" s="14">
        <f t="shared" si="40"/>
        <v>1.88</v>
      </c>
      <c r="EK15" s="1">
        <f t="shared" si="40"/>
        <v>1.88</v>
      </c>
      <c r="EL15" s="1">
        <f t="shared" si="40"/>
        <v>1.88</v>
      </c>
      <c r="EM15" s="1">
        <f t="shared" si="40"/>
        <v>1.88</v>
      </c>
      <c r="EN15" s="1">
        <f t="shared" si="40"/>
        <v>1.88</v>
      </c>
      <c r="EO15" s="1">
        <f t="shared" si="40"/>
        <v>1.88</v>
      </c>
      <c r="EP15" s="1">
        <f t="shared" si="40"/>
        <v>1.88</v>
      </c>
      <c r="EQ15" s="1">
        <f t="shared" si="40"/>
        <v>1.88</v>
      </c>
      <c r="ER15" s="1">
        <f t="shared" si="40"/>
        <v>1.88</v>
      </c>
      <c r="ES15" s="1">
        <f t="shared" si="40"/>
        <v>1.88</v>
      </c>
      <c r="ET15" s="1">
        <f t="shared" si="40"/>
        <v>1.88</v>
      </c>
      <c r="EU15" s="1">
        <f t="shared" si="40"/>
        <v>1.88</v>
      </c>
      <c r="EV15" s="1">
        <f t="shared" si="40"/>
        <v>1.88</v>
      </c>
      <c r="EW15" s="1">
        <f t="shared" si="40"/>
        <v>1.88</v>
      </c>
      <c r="EX15" s="1">
        <f t="shared" si="40"/>
        <v>1.88</v>
      </c>
      <c r="EY15" s="1">
        <f t="shared" si="31"/>
        <v>1.88</v>
      </c>
      <c r="EZ15" s="1">
        <f t="shared" si="31"/>
        <v>1.88</v>
      </c>
      <c r="FA15" s="1">
        <f t="shared" si="31"/>
        <v>1.88</v>
      </c>
      <c r="FB15" s="1">
        <f t="shared" si="31"/>
        <v>1.88</v>
      </c>
      <c r="FC15" s="1">
        <f t="shared" si="31"/>
        <v>1.88</v>
      </c>
      <c r="FD15" s="1">
        <f t="shared" si="31"/>
        <v>1.88</v>
      </c>
      <c r="FE15" s="1">
        <f t="shared" si="31"/>
        <v>1.88</v>
      </c>
      <c r="FF15" s="1">
        <f t="shared" si="31"/>
        <v>1.88</v>
      </c>
      <c r="FH15" s="162">
        <f t="shared" si="32"/>
        <v>0.88324338668511282</v>
      </c>
    </row>
    <row r="16" spans="1:164" ht="18" customHeight="1">
      <c r="A16" s="243" t="s">
        <v>25</v>
      </c>
      <c r="B16" s="246"/>
      <c r="C16" s="156">
        <f t="shared" si="5"/>
        <v>-0.66</v>
      </c>
      <c r="D16" s="198">
        <v>-1</v>
      </c>
      <c r="E16" s="248">
        <f t="shared" si="6"/>
        <v>4.9010560661689517E-2</v>
      </c>
      <c r="F16" s="249">
        <f t="shared" si="7"/>
        <v>3.0141845973395753E-2</v>
      </c>
      <c r="G16" s="248">
        <f t="shared" si="8"/>
        <v>-6.168863904398858E-3</v>
      </c>
      <c r="H16" s="249">
        <f t="shared" si="9"/>
        <v>5.5179424566088375E-2</v>
      </c>
      <c r="I16" s="248">
        <f t="shared" si="10"/>
        <v>0.40196018199729977</v>
      </c>
      <c r="J16" s="249">
        <f t="shared" si="11"/>
        <v>6.6482868012215146E-2</v>
      </c>
      <c r="K16" s="248">
        <f t="shared" si="12"/>
        <v>0.42115689203193019</v>
      </c>
      <c r="L16" s="249">
        <f t="shared" si="13"/>
        <v>-1.9196710034630415E-2</v>
      </c>
      <c r="M16" s="250"/>
      <c r="N16" s="24">
        <v>1</v>
      </c>
      <c r="O16" s="248">
        <f t="shared" si="33"/>
        <v>-0.26790476373194172</v>
      </c>
      <c r="P16" s="251">
        <f t="shared" si="34"/>
        <v>-0.26790476373194172</v>
      </c>
      <c r="Q16" s="248">
        <f t="shared" si="14"/>
        <v>-0.30770168394691444</v>
      </c>
      <c r="R16" s="251">
        <f t="shared" si="35"/>
        <v>-0.30770168394691444</v>
      </c>
      <c r="S16" s="250"/>
      <c r="T16" s="24">
        <v>-2</v>
      </c>
      <c r="U16" s="248">
        <f t="shared" si="15"/>
        <v>-7.6516058645381024E-2</v>
      </c>
      <c r="V16" s="252">
        <f t="shared" si="16"/>
        <v>-7.6516058645381024E-2</v>
      </c>
      <c r="W16" s="248">
        <f>IFERROR(+BX16/BY16-1,"")</f>
        <v>-0.51328030492073418</v>
      </c>
      <c r="X16" s="258">
        <f t="shared" si="17"/>
        <v>-0.51328030492073418</v>
      </c>
      <c r="Y16" s="248">
        <f t="shared" si="37"/>
        <v>-4.8908108108108084E-2</v>
      </c>
      <c r="Z16" s="252">
        <f t="shared" si="18"/>
        <v>-4.8908108108108084E-2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VLOOKUP($A16,historia!$A$5:$DD$24,+HLOOKUP(AP$2,historia!$A$3:$EC$4,2,FALSE),FALSE)</f>
        <v>3</v>
      </c>
      <c r="AQ16" s="28">
        <f>VLOOKUP($A16,historia!$A$5:$DD$24,+HLOOKUP(AQ$2,historia!$A$3:$EC$4,2,FALSE),FALSE)</f>
        <v>3</v>
      </c>
      <c r="AR16" s="28">
        <f>VLOOKUP($A16,historia!$A$5:$DD$24,+HLOOKUP(AR$2,historia!$A$3:$EC$4,2,FALSE),FALSE)</f>
        <v>3</v>
      </c>
      <c r="AS16" s="28">
        <f>VLOOKUP($A16,historia!$A$5:$DD$24,+HLOOKUP(AS$2,historia!$A$3:$EC$4,2,FALSE),FALSE)</f>
        <v>3</v>
      </c>
      <c r="AT16" s="58">
        <f>VLOOKUP($A16,historia!$A$5:$DD$24,+HLOOKUP(AT$2,historia!$A$3:$EC$4,2,FALSE),FALSE)</f>
        <v>3</v>
      </c>
      <c r="AU16" s="58">
        <f>VLOOKUP($A16,historia!$A$5:$DD$24,+HLOOKUP(AU$2,historia!$A$3:$EC$4,2,FALSE),FALSE)</f>
        <v>3</v>
      </c>
      <c r="AV16" s="58">
        <f>VLOOKUP($A16,historia!$A$5:$DD$24,+HLOOKUP(AV$2,historia!$A$3:$EC$4,2,FALSE),FALSE)</f>
        <v>4</v>
      </c>
      <c r="AW16" s="58">
        <f>VLOOKUP($A16,historia!$A$5:$DD$24,+HLOOKUP(AW$2,historia!$A$3:$EC$4,2,FALSE),FALSE)</f>
        <v>4</v>
      </c>
      <c r="AX16" s="58">
        <f>VLOOKUP($A16,historia!$A$5:$DD$24,+HLOOKUP(AX$2,historia!$A$3:$EC$4,2,FALSE),FALSE)</f>
        <v>4</v>
      </c>
      <c r="AY16" s="58">
        <f>VLOOKUP($A16,historia!$A$5:$DD$24,+HLOOKUP(AY$2,historia!$A$3:$EC$4,2,FALSE),FALSE)</f>
        <v>4</v>
      </c>
      <c r="AZ16" s="58">
        <f>VLOOKUP($A16,historia!$A$5:$DD$24,+HLOOKUP(AZ$2,historia!$A$3:$EC$4,2,FALSE),FALSE)</f>
        <v>4</v>
      </c>
      <c r="BA16" s="58">
        <f>VLOOKUP($A16,historia!$A$5:$DG$24,+HLOOKUP(BA$2,historia!$A$3:$EC$4,2,FALSE),FALSE)</f>
        <v>3</v>
      </c>
      <c r="BB16" s="58"/>
      <c r="BC16" s="286">
        <v>3</v>
      </c>
      <c r="BD16" t="str">
        <f t="shared" si="19"/>
        <v>Maní</v>
      </c>
      <c r="BE16">
        <f>+datos!AF1</f>
        <v>32</v>
      </c>
      <c r="BF16" s="2" t="str">
        <f t="shared" si="4"/>
        <v>$/t</v>
      </c>
      <c r="BG16" s="2">
        <f t="shared" si="4"/>
        <v>952096.84</v>
      </c>
      <c r="BH16" s="2">
        <f t="shared" si="4"/>
        <v>907614.16109999991</v>
      </c>
      <c r="BI16" s="2">
        <f t="shared" si="4"/>
        <v>679118.3175</v>
      </c>
      <c r="BK16" s="1">
        <f>+datos!EB1</f>
        <v>132</v>
      </c>
      <c r="BL16" s="1">
        <f t="shared" si="20"/>
        <v>381590</v>
      </c>
      <c r="BM16" s="1">
        <f t="shared" si="20"/>
        <v>521230</v>
      </c>
      <c r="BO16" s="1">
        <f>+datos!FW1</f>
        <v>179</v>
      </c>
      <c r="BP16" s="1">
        <f t="shared" si="21"/>
        <v>1311996</v>
      </c>
      <c r="BQ16" s="1">
        <f t="shared" si="21"/>
        <v>1895131</v>
      </c>
      <c r="BS16" s="1">
        <f>+datos!JK1</f>
        <v>271</v>
      </c>
      <c r="BT16" s="1">
        <f t="shared" si="38"/>
        <v>1387.4938359399998</v>
      </c>
      <c r="BU16" s="1">
        <f t="shared" si="39"/>
        <v>1502.4558347</v>
      </c>
      <c r="BW16" s="1">
        <f>+datos!KP1</f>
        <v>302</v>
      </c>
      <c r="BX16" s="2">
        <f t="shared" si="22"/>
        <v>0.82753514000000006</v>
      </c>
      <c r="BY16" s="2">
        <f t="shared" si="23"/>
        <v>1.7002294100000002</v>
      </c>
      <c r="CA16" s="1">
        <f>+datos!IJ1</f>
        <v>244</v>
      </c>
      <c r="CB16" s="2">
        <f t="shared" si="24"/>
        <v>2.2719760013883494</v>
      </c>
      <c r="CC16" s="2">
        <f t="shared" si="25"/>
        <v>2.3888080854826579</v>
      </c>
      <c r="CD16" s="1"/>
      <c r="CE16">
        <f>+datos!CH1</f>
        <v>86</v>
      </c>
      <c r="CF16" s="2">
        <f t="shared" si="26"/>
        <v>14423.270723064794</v>
      </c>
      <c r="CG16" s="2">
        <f t="shared" si="26"/>
        <v>14512.798200032801</v>
      </c>
      <c r="CH16" s="2">
        <f t="shared" si="26"/>
        <v>10148.964413382118</v>
      </c>
      <c r="CI16" s="1"/>
      <c r="CK16" s="1">
        <f t="shared" si="27"/>
        <v>103.15800954999999</v>
      </c>
      <c r="CL16" s="1">
        <f t="shared" si="27"/>
        <v>126.60490711</v>
      </c>
      <c r="CM16" s="1">
        <f t="shared" si="27"/>
        <v>100.29180120999997</v>
      </c>
      <c r="CN16" s="1">
        <f t="shared" si="27"/>
        <v>125.25923582999999</v>
      </c>
      <c r="CO16" s="1">
        <f t="shared" si="27"/>
        <v>89.696667719999979</v>
      </c>
      <c r="CP16" s="1">
        <f t="shared" si="27"/>
        <v>106.44432842999998</v>
      </c>
      <c r="CQ16" s="1">
        <f t="shared" si="27"/>
        <v>109.63040427999998</v>
      </c>
      <c r="CR16" s="1">
        <f t="shared" si="27"/>
        <v>107.51173679000001</v>
      </c>
      <c r="CS16" s="1">
        <f t="shared" si="27"/>
        <v>153.65977728999999</v>
      </c>
      <c r="CT16" s="1">
        <f t="shared" si="27"/>
        <v>137.05460552</v>
      </c>
      <c r="CU16" s="1">
        <f t="shared" si="27"/>
        <v>119.79773589000003</v>
      </c>
      <c r="CV16" s="1">
        <f t="shared" si="27"/>
        <v>108.38462631999997</v>
      </c>
      <c r="CW16" s="1">
        <f t="shared" si="27"/>
        <v>110.53778464999999</v>
      </c>
      <c r="CX16" s="1">
        <f t="shared" si="27"/>
        <v>97.139552130000013</v>
      </c>
      <c r="CY16" s="1">
        <f t="shared" si="27"/>
        <v>94.262180470000018</v>
      </c>
      <c r="CZ16" s="1">
        <f t="shared" si="27"/>
        <v>104.16408064999997</v>
      </c>
      <c r="DA16" s="1">
        <f t="shared" si="28"/>
        <v>129.66034791999999</v>
      </c>
      <c r="DB16" s="1">
        <f t="shared" si="28"/>
        <v>100.29183523999998</v>
      </c>
      <c r="DC16" s="1">
        <f t="shared" si="28"/>
        <v>142.99991008000001</v>
      </c>
      <c r="DD16" s="1">
        <f t="shared" si="28"/>
        <v>153.43391492999999</v>
      </c>
      <c r="DE16" s="1">
        <f t="shared" si="28"/>
        <v>142.09253510999997</v>
      </c>
      <c r="DF16" s="1">
        <f t="shared" si="28"/>
        <v>155.33708399000002</v>
      </c>
      <c r="DG16" s="1">
        <f t="shared" si="28"/>
        <v>156.99934678</v>
      </c>
      <c r="DH16" s="1">
        <f t="shared" si="28"/>
        <v>115.53726275000001</v>
      </c>
      <c r="DJ16" s="1">
        <f t="shared" si="29"/>
        <v>3.7511610000000001E-2</v>
      </c>
      <c r="DK16" s="1">
        <f t="shared" si="29"/>
        <v>2.3628E-3</v>
      </c>
      <c r="DL16" s="1">
        <f t="shared" si="29"/>
        <v>1.1297919999999999E-2</v>
      </c>
      <c r="DM16" s="1">
        <f t="shared" si="29"/>
        <v>7.5985750000000005E-2</v>
      </c>
      <c r="DN16" s="1">
        <f t="shared" si="29"/>
        <v>3.3E-4</v>
      </c>
      <c r="DO16" s="1">
        <f t="shared" si="29"/>
        <v>3.5242930000000006E-2</v>
      </c>
      <c r="DP16" s="1">
        <f t="shared" si="29"/>
        <v>4.2275489999999999E-2</v>
      </c>
      <c r="DQ16" s="1">
        <f t="shared" si="29"/>
        <v>2.1048300000000002E-3</v>
      </c>
      <c r="DR16" s="1">
        <f t="shared" si="29"/>
        <v>9.9999999999999995E-7</v>
      </c>
      <c r="DS16" s="1">
        <f t="shared" si="29"/>
        <v>0.27773459</v>
      </c>
      <c r="DT16" s="1">
        <f t="shared" si="29"/>
        <v>0.19844290000000001</v>
      </c>
      <c r="DU16" s="1">
        <f t="shared" si="29"/>
        <v>0.14424532000000001</v>
      </c>
      <c r="DV16" s="1">
        <f t="shared" si="29"/>
        <v>5.4312239999999998E-2</v>
      </c>
      <c r="DW16" s="1">
        <f t="shared" si="29"/>
        <v>1.9420499999999999E-3</v>
      </c>
      <c r="DX16" s="1">
        <f t="shared" si="29"/>
        <v>1.0560452</v>
      </c>
      <c r="DY16" s="1">
        <f t="shared" si="29"/>
        <v>3.8992409999999998E-2</v>
      </c>
      <c r="DZ16" s="1">
        <f t="shared" si="30"/>
        <v>0</v>
      </c>
      <c r="EA16" s="1">
        <f t="shared" si="30"/>
        <v>5.2225250000000001E-2</v>
      </c>
      <c r="EB16" s="1">
        <f t="shared" si="30"/>
        <v>0.22862400000000002</v>
      </c>
      <c r="EC16" s="1">
        <f t="shared" si="30"/>
        <v>2.6527899999999999E-3</v>
      </c>
      <c r="ED16" s="1">
        <f t="shared" si="30"/>
        <v>1.6271E-3</v>
      </c>
      <c r="EE16" s="1">
        <f t="shared" si="30"/>
        <v>0.13444175</v>
      </c>
      <c r="EF16" s="1">
        <f t="shared" si="30"/>
        <v>4.2737620000000004E-2</v>
      </c>
      <c r="EG16" s="1">
        <f t="shared" si="30"/>
        <v>8.6628999999999998E-2</v>
      </c>
      <c r="EI16" s="14">
        <f t="shared" si="40"/>
        <v>2.2719760013883494</v>
      </c>
      <c r="EJ16" s="14">
        <f t="shared" si="40"/>
        <v>2.2719760013883494</v>
      </c>
      <c r="EK16" s="1">
        <f t="shared" si="40"/>
        <v>2.2719760013883494</v>
      </c>
      <c r="EL16" s="1">
        <f t="shared" si="40"/>
        <v>2.2719760013883494</v>
      </c>
      <c r="EM16" s="1">
        <f t="shared" si="40"/>
        <v>2.2719760013883494</v>
      </c>
      <c r="EN16" s="1">
        <f t="shared" si="40"/>
        <v>2.4791954184468667</v>
      </c>
      <c r="EO16" s="1">
        <f t="shared" si="40"/>
        <v>2.4791954184468667</v>
      </c>
      <c r="EP16" s="1">
        <f t="shared" si="40"/>
        <v>2.4791954184468667</v>
      </c>
      <c r="EQ16" s="1">
        <f t="shared" si="40"/>
        <v>2.4791954184468667</v>
      </c>
      <c r="ER16" s="1">
        <f t="shared" si="40"/>
        <v>2.3888080854826579</v>
      </c>
      <c r="ES16" s="1">
        <f t="shared" si="40"/>
        <v>2.3888080854826579</v>
      </c>
      <c r="ET16" s="1">
        <f t="shared" si="40"/>
        <v>2.3888080854826579</v>
      </c>
      <c r="EU16" s="1">
        <f t="shared" si="40"/>
        <v>2.3888080854826579</v>
      </c>
      <c r="EV16" s="1">
        <f t="shared" si="40"/>
        <v>2.3888080854826579</v>
      </c>
      <c r="EW16" s="1">
        <f t="shared" si="40"/>
        <v>2.3888080854826579</v>
      </c>
      <c r="EX16" s="1">
        <f t="shared" si="40"/>
        <v>2.1563835150032644</v>
      </c>
      <c r="EY16" s="1">
        <f t="shared" si="31"/>
        <v>2.1563835150032644</v>
      </c>
      <c r="EZ16" s="1">
        <f t="shared" si="31"/>
        <v>2.1563835150032644</v>
      </c>
      <c r="FA16" s="1">
        <f t="shared" si="31"/>
        <v>2.1563835150032644</v>
      </c>
      <c r="FB16" s="1">
        <f t="shared" si="31"/>
        <v>2.1563835150032644</v>
      </c>
      <c r="FC16" s="1">
        <f t="shared" si="31"/>
        <v>2.1563835150032644</v>
      </c>
      <c r="FD16" s="1">
        <f t="shared" si="31"/>
        <v>2.1563835150032644</v>
      </c>
      <c r="FE16" s="1">
        <f t="shared" si="31"/>
        <v>2.1563835150032644</v>
      </c>
      <c r="FF16" s="1">
        <f t="shared" si="31"/>
        <v>2.1563835150032644</v>
      </c>
      <c r="FH16" s="162">
        <f t="shared" si="32"/>
        <v>-1.9196710034630415E-2</v>
      </c>
    </row>
    <row r="17" spans="1:164" ht="18.75" customHeight="1">
      <c r="A17" s="244" t="s">
        <v>76</v>
      </c>
      <c r="B17" s="247"/>
      <c r="C17" s="228">
        <f t="shared" si="5"/>
        <v>-0.99</v>
      </c>
      <c r="D17" s="229">
        <v>-1</v>
      </c>
      <c r="E17" s="253">
        <f t="shared" si="6"/>
        <v>7.1721311475410054E-3</v>
      </c>
      <c r="F17" s="254">
        <f t="shared" si="7"/>
        <v>-1.1696583540752759E-2</v>
      </c>
      <c r="G17" s="253">
        <f t="shared" si="8"/>
        <v>-2.8918374823193815E-2</v>
      </c>
      <c r="H17" s="254">
        <f t="shared" si="9"/>
        <v>3.6090505970734821E-2</v>
      </c>
      <c r="I17" s="253">
        <f t="shared" si="10"/>
        <v>0.5236373030224748</v>
      </c>
      <c r="J17" s="254">
        <f t="shared" si="11"/>
        <v>0.18815998903739017</v>
      </c>
      <c r="K17" s="253">
        <f t="shared" si="12"/>
        <v>0.38898799420497987</v>
      </c>
      <c r="L17" s="254">
        <f t="shared" si="13"/>
        <v>0.13464930881749493</v>
      </c>
      <c r="M17" s="255"/>
      <c r="N17" s="256">
        <v>-1</v>
      </c>
      <c r="O17" s="253">
        <f>IFERROR(+BL17/BM17-1,"")</f>
        <v>0</v>
      </c>
      <c r="P17" s="257">
        <f t="shared" si="34"/>
        <v>0</v>
      </c>
      <c r="Q17" s="253">
        <f t="shared" si="14"/>
        <v>0</v>
      </c>
      <c r="R17" s="257">
        <f t="shared" si="35"/>
        <v>0</v>
      </c>
      <c r="S17" s="255"/>
      <c r="T17" s="256">
        <v>-1</v>
      </c>
      <c r="U17" s="253">
        <f t="shared" si="15"/>
        <v>0.42380412018741587</v>
      </c>
      <c r="V17" s="258">
        <f t="shared" si="16"/>
        <v>0.42380412018741587</v>
      </c>
      <c r="W17" s="248">
        <f>IFERROR(+BX17/BY17-1,"")</f>
        <v>8.0439350228086486</v>
      </c>
      <c r="X17" s="258">
        <f t="shared" si="17"/>
        <v>8.0439350228086486</v>
      </c>
      <c r="Y17" s="253">
        <f t="shared" si="37"/>
        <v>0</v>
      </c>
      <c r="Z17" s="258">
        <f t="shared" si="18"/>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VLOOKUP($A17,historia!$A$5:$DD$24,+HLOOKUP(AP$2,historia!$A$3:$EC$4,2,FALSE),FALSE)</f>
        <v>3</v>
      </c>
      <c r="AQ17" s="28">
        <f>VLOOKUP($A17,historia!$A$5:$DD$24,+HLOOKUP(AQ$2,historia!$A$3:$EC$4,2,FALSE),FALSE)</f>
        <v>3</v>
      </c>
      <c r="AR17" s="28">
        <f>VLOOKUP($A17,historia!$A$5:$DD$24,+HLOOKUP(AR$2,historia!$A$3:$EC$4,2,FALSE),FALSE)</f>
        <v>3</v>
      </c>
      <c r="AS17" s="28">
        <f>VLOOKUP($A17,historia!$A$5:$DD$24,+HLOOKUP(AS$2,historia!$A$3:$EC$4,2,FALSE),FALSE)</f>
        <v>2</v>
      </c>
      <c r="AT17" s="58">
        <f>VLOOKUP($A17,historia!$A$5:$DD$24,+HLOOKUP(AT$2,historia!$A$3:$EC$4,2,FALSE),FALSE)</f>
        <v>2</v>
      </c>
      <c r="AU17" s="58">
        <f>VLOOKUP($A17,historia!$A$5:$DD$24,+HLOOKUP(AU$2,historia!$A$3:$EC$4,2,FALSE),FALSE)</f>
        <v>2</v>
      </c>
      <c r="AV17" s="58">
        <f>VLOOKUP($A17,historia!$A$5:$DD$24,+HLOOKUP(AV$2,historia!$A$3:$EC$4,2,FALSE),FALSE)</f>
        <v>2</v>
      </c>
      <c r="AW17" s="58">
        <f>VLOOKUP($A17,historia!$A$5:$DD$24,+HLOOKUP(AW$2,historia!$A$3:$EC$4,2,FALSE),FALSE)</f>
        <v>2</v>
      </c>
      <c r="AX17" s="58">
        <f>VLOOKUP($A17,historia!$A$5:$DD$24,+HLOOKUP(AX$2,historia!$A$3:$EC$4,2,FALSE),FALSE)</f>
        <v>2</v>
      </c>
      <c r="AY17" s="58">
        <f>VLOOKUP($A17,historia!$A$5:$DD$24,+HLOOKUP(AY$2,historia!$A$3:$EC$4,2,FALSE),FALSE)</f>
        <v>2</v>
      </c>
      <c r="AZ17" s="58">
        <f>VLOOKUP($A17,historia!$A$5:$DD$24,+HLOOKUP(AZ$2,historia!$A$3:$EC$4,2,FALSE),FALSE)</f>
        <v>2</v>
      </c>
      <c r="BA17" s="58">
        <f>VLOOKUP($A17,historia!$A$5:$DG$24,+HLOOKUP(BA$2,historia!$A$3:$EC$4,2,FALSE),FALSE)</f>
        <v>2</v>
      </c>
      <c r="BB17" s="58"/>
      <c r="BC17" s="286">
        <v>2</v>
      </c>
      <c r="BD17" t="str">
        <f t="shared" si="19"/>
        <v>Miel</v>
      </c>
      <c r="BE17">
        <f>+datos!BV1</f>
        <v>74</v>
      </c>
      <c r="BF17" s="2" t="str">
        <f t="shared" si="4"/>
        <v>$/kg</v>
      </c>
      <c r="BG17" s="2">
        <f t="shared" si="4"/>
        <v>2949</v>
      </c>
      <c r="BH17" s="2">
        <f t="shared" si="4"/>
        <v>2928</v>
      </c>
      <c r="BI17" s="2">
        <f t="shared" si="4"/>
        <v>1935.5</v>
      </c>
      <c r="BK17" s="1">
        <f>+datos!EQ1</f>
        <v>147</v>
      </c>
      <c r="BL17" s="1">
        <f t="shared" si="20"/>
        <v>4000000</v>
      </c>
      <c r="BM17" s="1">
        <f t="shared" si="20"/>
        <v>4000000</v>
      </c>
      <c r="BO17" s="1">
        <f>+datos!GP1</f>
        <v>198</v>
      </c>
      <c r="BP17" s="1">
        <f t="shared" si="21"/>
        <v>75000</v>
      </c>
      <c r="BQ17" s="1">
        <f t="shared" si="21"/>
        <v>75000</v>
      </c>
      <c r="BS17" s="1">
        <f>+datos!KE1</f>
        <v>291</v>
      </c>
      <c r="BT17" s="1">
        <f t="shared" si="38"/>
        <v>319.19597252</v>
      </c>
      <c r="BU17" s="1">
        <f t="shared" si="39"/>
        <v>224.18531313</v>
      </c>
      <c r="BW17" s="1">
        <f>+datos!LJ1</f>
        <v>322</v>
      </c>
      <c r="BX17" s="2">
        <f t="shared" si="22"/>
        <v>4.9405569999999996E-2</v>
      </c>
      <c r="BY17" s="2">
        <f>+SUM(DV17:EG17)</f>
        <v>5.4628400000000001E-3</v>
      </c>
      <c r="CA17" s="1">
        <f>+datos!IZ1</f>
        <v>260</v>
      </c>
      <c r="CB17" s="2">
        <f t="shared" si="24"/>
        <v>0.3</v>
      </c>
      <c r="CC17" s="2">
        <f t="shared" si="25"/>
        <v>0.3</v>
      </c>
      <c r="CD17" s="2"/>
      <c r="CE17">
        <f>+datos!DH1</f>
        <v>112</v>
      </c>
      <c r="CF17" s="2">
        <f t="shared" si="26"/>
        <v>14316.542934248788</v>
      </c>
      <c r="CG17" s="2">
        <f t="shared" si="26"/>
        <v>14742.883155308551</v>
      </c>
      <c r="CH17" s="2">
        <f t="shared" si="26"/>
        <v>10307.17543562585</v>
      </c>
      <c r="CI17" s="2"/>
      <c r="CK17" s="1">
        <f t="shared" si="27"/>
        <v>28.449320459999999</v>
      </c>
      <c r="CL17" s="1">
        <f t="shared" si="27"/>
        <v>41.621749510000001</v>
      </c>
      <c r="CM17" s="1">
        <f t="shared" si="27"/>
        <v>42.320391119999996</v>
      </c>
      <c r="CN17" s="1">
        <f t="shared" si="27"/>
        <v>42.687100790000002</v>
      </c>
      <c r="CO17" s="1">
        <f t="shared" si="27"/>
        <v>22.465511939999999</v>
      </c>
      <c r="CP17" s="1">
        <f t="shared" si="27"/>
        <v>15.491239590000003</v>
      </c>
      <c r="CQ17" s="1">
        <f t="shared" si="27"/>
        <v>13.599247020000002</v>
      </c>
      <c r="CR17" s="1">
        <f t="shared" si="27"/>
        <v>18.275047940000004</v>
      </c>
      <c r="CS17" s="1">
        <f t="shared" si="27"/>
        <v>22.033355530000001</v>
      </c>
      <c r="CT17" s="1">
        <f t="shared" si="27"/>
        <v>25.714133060000005</v>
      </c>
      <c r="CU17" s="1">
        <f t="shared" si="27"/>
        <v>20.973477770000002</v>
      </c>
      <c r="CV17" s="1">
        <f t="shared" si="27"/>
        <v>25.565397789999999</v>
      </c>
      <c r="CW17" s="1">
        <f t="shared" si="27"/>
        <v>22.120083830000002</v>
      </c>
      <c r="CX17" s="1">
        <f t="shared" si="27"/>
        <v>25.223589140000001</v>
      </c>
      <c r="CY17" s="1">
        <f t="shared" si="27"/>
        <v>23.185079629999997</v>
      </c>
      <c r="CZ17" s="1">
        <f t="shared" si="27"/>
        <v>18.014525360000007</v>
      </c>
      <c r="DA17" s="1">
        <f t="shared" si="28"/>
        <v>15.906782769999998</v>
      </c>
      <c r="DB17" s="1">
        <f t="shared" si="28"/>
        <v>9.6274282100000015</v>
      </c>
      <c r="DC17" s="1">
        <f t="shared" si="28"/>
        <v>12.184475789999999</v>
      </c>
      <c r="DD17" s="1">
        <f t="shared" si="28"/>
        <v>14.349162859999998</v>
      </c>
      <c r="DE17" s="1">
        <f t="shared" si="28"/>
        <v>24.378519029999993</v>
      </c>
      <c r="DF17" s="1">
        <f t="shared" si="28"/>
        <v>22.211636389999995</v>
      </c>
      <c r="DG17" s="1">
        <f t="shared" si="28"/>
        <v>18.934177090000006</v>
      </c>
      <c r="DH17" s="1">
        <f t="shared" si="28"/>
        <v>18.049853030000005</v>
      </c>
      <c r="DJ17" s="1">
        <f t="shared" si="29"/>
        <v>2.5818E-3</v>
      </c>
      <c r="DK17" s="1">
        <f t="shared" si="29"/>
        <v>0</v>
      </c>
      <c r="DL17" s="1">
        <f t="shared" si="29"/>
        <v>3.6741E-3</v>
      </c>
      <c r="DM17" s="1">
        <f t="shared" si="29"/>
        <v>0</v>
      </c>
      <c r="DN17" s="1">
        <f t="shared" si="29"/>
        <v>0</v>
      </c>
      <c r="DO17" s="1">
        <f t="shared" si="29"/>
        <v>0</v>
      </c>
      <c r="DP17" s="1">
        <f t="shared" si="29"/>
        <v>2.9789999999999999E-3</v>
      </c>
      <c r="DQ17" s="1">
        <f t="shared" si="29"/>
        <v>0</v>
      </c>
      <c r="DR17" s="1">
        <f t="shared" si="29"/>
        <v>0</v>
      </c>
      <c r="DS17" s="1">
        <f t="shared" si="29"/>
        <v>0</v>
      </c>
      <c r="DT17" s="1">
        <f t="shared" si="29"/>
        <v>4.0170669999999999E-2</v>
      </c>
      <c r="DU17" s="1">
        <f t="shared" si="29"/>
        <v>0</v>
      </c>
      <c r="DV17" s="1">
        <f t="shared" si="29"/>
        <v>0</v>
      </c>
      <c r="DW17" s="1">
        <f t="shared" si="29"/>
        <v>1.5264E-3</v>
      </c>
      <c r="DX17" s="1">
        <f t="shared" si="29"/>
        <v>0</v>
      </c>
      <c r="DY17" s="1">
        <f t="shared" si="29"/>
        <v>0</v>
      </c>
      <c r="DZ17" s="1">
        <f t="shared" si="30"/>
        <v>3.5298E-3</v>
      </c>
      <c r="EA17" s="1">
        <f t="shared" si="30"/>
        <v>0</v>
      </c>
      <c r="EB17" s="1">
        <f t="shared" si="30"/>
        <v>0</v>
      </c>
      <c r="EC17" s="1">
        <f t="shared" si="30"/>
        <v>0</v>
      </c>
      <c r="ED17" s="1">
        <f t="shared" si="30"/>
        <v>0</v>
      </c>
      <c r="EE17" s="1">
        <f t="shared" si="30"/>
        <v>4.0664E-4</v>
      </c>
      <c r="EF17" s="1">
        <f t="shared" si="30"/>
        <v>0</v>
      </c>
      <c r="EG17" s="1">
        <f t="shared" si="30"/>
        <v>0</v>
      </c>
      <c r="EI17" s="14">
        <f t="shared" si="40"/>
        <v>0.3</v>
      </c>
      <c r="EJ17" s="14">
        <f t="shared" si="40"/>
        <v>0.3</v>
      </c>
      <c r="EK17" s="1">
        <f t="shared" si="40"/>
        <v>0.3</v>
      </c>
      <c r="EL17" s="1">
        <f t="shared" si="40"/>
        <v>0.3</v>
      </c>
      <c r="EM17" s="1">
        <f t="shared" si="40"/>
        <v>0.3</v>
      </c>
      <c r="EN17" s="1">
        <f t="shared" si="40"/>
        <v>0.3</v>
      </c>
      <c r="EO17" s="1">
        <f t="shared" si="40"/>
        <v>0.3</v>
      </c>
      <c r="EP17" s="1">
        <f t="shared" si="40"/>
        <v>0.3</v>
      </c>
      <c r="EQ17" s="1">
        <f t="shared" si="40"/>
        <v>0.3</v>
      </c>
      <c r="ER17" s="1">
        <f t="shared" si="40"/>
        <v>0.3</v>
      </c>
      <c r="ES17" s="1">
        <f t="shared" si="40"/>
        <v>0.3</v>
      </c>
      <c r="ET17" s="1">
        <f t="shared" si="40"/>
        <v>0.3</v>
      </c>
      <c r="EU17" s="1">
        <f t="shared" si="40"/>
        <v>0.3</v>
      </c>
      <c r="EV17" s="1">
        <f t="shared" si="40"/>
        <v>0.3</v>
      </c>
      <c r="EW17" s="1">
        <f t="shared" si="40"/>
        <v>0.3</v>
      </c>
      <c r="EX17" s="1">
        <f t="shared" si="40"/>
        <v>0.3</v>
      </c>
      <c r="EY17" s="1">
        <f t="shared" si="31"/>
        <v>0.3</v>
      </c>
      <c r="EZ17" s="1">
        <f t="shared" si="31"/>
        <v>0.3</v>
      </c>
      <c r="FA17" s="1">
        <f t="shared" si="31"/>
        <v>0.3</v>
      </c>
      <c r="FB17" s="1">
        <f t="shared" si="31"/>
        <v>0.3</v>
      </c>
      <c r="FC17" s="1">
        <f t="shared" si="31"/>
        <v>0.3</v>
      </c>
      <c r="FD17" s="1">
        <f t="shared" si="31"/>
        <v>0.3</v>
      </c>
      <c r="FE17" s="1">
        <f t="shared" si="31"/>
        <v>0.3</v>
      </c>
      <c r="FF17" s="1">
        <f t="shared" si="31"/>
        <v>0.3</v>
      </c>
      <c r="FH17" s="162">
        <f t="shared" si="32"/>
        <v>0.13464930881749493</v>
      </c>
    </row>
    <row r="18" spans="1:164" ht="18.75" customHeight="1">
      <c r="A18" s="243" t="s">
        <v>222</v>
      </c>
      <c r="B18" s="246"/>
      <c r="C18" s="156">
        <f t="shared" si="5"/>
        <v>-0.33</v>
      </c>
      <c r="D18" s="198">
        <v>1</v>
      </c>
      <c r="E18" s="248">
        <f t="shared" si="6"/>
        <v>1.3987272913615456E-2</v>
      </c>
      <c r="F18" s="249">
        <f t="shared" si="7"/>
        <v>-4.8814417746783079E-3</v>
      </c>
      <c r="G18" s="248">
        <f t="shared" si="8"/>
        <v>-1.5547371018298284E-2</v>
      </c>
      <c r="H18" s="249">
        <f t="shared" si="9"/>
        <v>2.953464393191374E-2</v>
      </c>
      <c r="I18" s="253">
        <f t="shared" si="10"/>
        <v>0.42188598369425434</v>
      </c>
      <c r="J18" s="254">
        <f t="shared" si="11"/>
        <v>8.6408669709169716E-2</v>
      </c>
      <c r="K18" s="248">
        <f t="shared" si="12"/>
        <v>0.3658942797816449</v>
      </c>
      <c r="L18" s="249">
        <f t="shared" si="13"/>
        <v>5.5991703912609436E-2</v>
      </c>
      <c r="M18" s="250"/>
      <c r="N18" s="24">
        <v>-1</v>
      </c>
      <c r="O18" s="248">
        <f t="shared" si="33"/>
        <v>-4.0530677056868303E-2</v>
      </c>
      <c r="P18" s="251">
        <f t="shared" si="34"/>
        <v>-4.0530677056868303E-2</v>
      </c>
      <c r="Q18" s="248">
        <f t="shared" si="14"/>
        <v>-8.2544567629021071E-2</v>
      </c>
      <c r="R18" s="251">
        <f t="shared" si="35"/>
        <v>-8.2544567629021071E-2</v>
      </c>
      <c r="S18" s="250"/>
      <c r="T18" s="24">
        <v>-1</v>
      </c>
      <c r="U18" s="248">
        <f t="shared" si="15"/>
        <v>0.51044459725758395</v>
      </c>
      <c r="V18" s="252">
        <f t="shared" si="16"/>
        <v>0.51044459725758395</v>
      </c>
      <c r="W18" s="248">
        <f t="shared" si="36"/>
        <v>-0.16635182558673811</v>
      </c>
      <c r="X18" s="252">
        <f t="shared" si="17"/>
        <v>-0.16635182558673811</v>
      </c>
      <c r="Y18" s="248">
        <f t="shared" si="37"/>
        <v>0</v>
      </c>
      <c r="Z18" s="252">
        <f t="shared" si="18"/>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VLOOKUP($A18,historia!$A$5:$DD$24,+HLOOKUP(AP$2,historia!$A$3:$EC$4,2,FALSE),FALSE)</f>
        <v>1</v>
      </c>
      <c r="AQ18" s="28">
        <f>VLOOKUP($A18,historia!$A$5:$DD$24,+HLOOKUP(AQ$2,historia!$A$3:$EC$4,2,FALSE),FALSE)</f>
        <v>2</v>
      </c>
      <c r="AR18" s="28">
        <f>VLOOKUP($A18,historia!$A$5:$DD$24,+HLOOKUP(AR$2,historia!$A$3:$EC$4,2,FALSE),FALSE)</f>
        <v>2</v>
      </c>
      <c r="AS18" s="28">
        <f>VLOOKUP($A18,historia!$A$5:$DD$24,+HLOOKUP(AS$2,historia!$A$3:$EC$4,2,FALSE),FALSE)</f>
        <v>2</v>
      </c>
      <c r="AT18" s="58">
        <f>VLOOKUP($A18,historia!$A$5:$DD$24,+HLOOKUP(AT$2,historia!$A$3:$EC$4,2,FALSE),FALSE)</f>
        <v>2</v>
      </c>
      <c r="AU18" s="58">
        <f>VLOOKUP($A18,historia!$A$5:$DD$24,+HLOOKUP(AU$2,historia!$A$3:$EC$4,2,FALSE),FALSE)</f>
        <v>2</v>
      </c>
      <c r="AV18" s="58">
        <f>VLOOKUP($A18,historia!$A$5:$DD$24,+HLOOKUP(AV$2,historia!$A$3:$EC$4,2,FALSE),FALSE)</f>
        <v>2</v>
      </c>
      <c r="AW18" s="58">
        <f>VLOOKUP($A18,historia!$A$5:$DD$24,+HLOOKUP(AW$2,historia!$A$3:$EC$4,2,FALSE),FALSE)</f>
        <v>2</v>
      </c>
      <c r="AX18" s="58">
        <f>VLOOKUP($A18,historia!$A$5:$DD$24,+HLOOKUP(AX$2,historia!$A$3:$EC$4,2,FALSE),FALSE)</f>
        <v>2</v>
      </c>
      <c r="AY18" s="58">
        <f>VLOOKUP($A18,historia!$A$5:$DD$24,+HLOOKUP(AY$2,historia!$A$3:$EC$4,2,FALSE),FALSE)</f>
        <v>2</v>
      </c>
      <c r="AZ18" s="58">
        <f>VLOOKUP($A18,historia!$A$5:$DD$24,+HLOOKUP(AZ$2,historia!$A$3:$EC$4,2,FALSE),FALSE)</f>
        <v>2</v>
      </c>
      <c r="BA18" s="58">
        <f>VLOOKUP($A18,historia!$A$5:$DG$24,+HLOOKUP(BA$2,historia!$A$3:$EC$4,2,FALSE),FALSE)</f>
        <v>2</v>
      </c>
      <c r="BB18" s="58"/>
      <c r="BC18" s="286">
        <v>2</v>
      </c>
      <c r="BD18" t="str">
        <f t="shared" si="19"/>
        <v>Ovino</v>
      </c>
      <c r="BE18">
        <f>+datos!BU1</f>
        <v>73</v>
      </c>
      <c r="BF18" s="2" t="str">
        <f t="shared" si="4"/>
        <v>$/kg</v>
      </c>
      <c r="BG18" s="2">
        <f t="shared" si="4"/>
        <v>117405.3876</v>
      </c>
      <c r="BH18" s="2">
        <f t="shared" si="4"/>
        <v>115785.859188</v>
      </c>
      <c r="BI18" s="2">
        <f t="shared" si="4"/>
        <v>82570.18421052632</v>
      </c>
      <c r="BK18" s="1">
        <f>+datos!EL1</f>
        <v>142</v>
      </c>
      <c r="BL18" s="1">
        <f t="shared" si="20"/>
        <v>11482381</v>
      </c>
      <c r="BM18" s="1">
        <f t="shared" si="20"/>
        <v>11967429</v>
      </c>
      <c r="BO18" s="1">
        <f>+datos!GS1</f>
        <v>201</v>
      </c>
      <c r="BP18" s="1">
        <f t="shared" si="21"/>
        <v>31980.9</v>
      </c>
      <c r="BQ18" s="1">
        <f t="shared" si="21"/>
        <v>34858.26</v>
      </c>
      <c r="BS18" s="1">
        <f>+datos!KI1</f>
        <v>295</v>
      </c>
      <c r="BT18" s="1">
        <f t="shared" si="38"/>
        <v>332.59880325000006</v>
      </c>
      <c r="BU18" s="1">
        <f t="shared" si="39"/>
        <v>220.19927367999998</v>
      </c>
      <c r="BW18" s="1">
        <f>+datos!LN1</f>
        <v>326</v>
      </c>
      <c r="BX18" s="2">
        <f t="shared" si="22"/>
        <v>2.0143339300000003</v>
      </c>
      <c r="BY18" s="2">
        <f t="shared" si="23"/>
        <v>2.41628782</v>
      </c>
      <c r="CA18" s="1">
        <f>+datos!JA1</f>
        <v>261</v>
      </c>
      <c r="CB18" s="1">
        <f t="shared" si="24"/>
        <v>3555</v>
      </c>
      <c r="CC18" s="1">
        <f t="shared" si="25"/>
        <v>3555</v>
      </c>
      <c r="CD18" s="1"/>
      <c r="CE18">
        <f>+datos!DI1</f>
        <v>113</v>
      </c>
      <c r="CF18" s="2">
        <f t="shared" si="26"/>
        <v>14403.783149644869</v>
      </c>
      <c r="CG18" s="2">
        <f t="shared" si="26"/>
        <v>14631.260789606358</v>
      </c>
      <c r="CH18" s="2">
        <f t="shared" si="26"/>
        <v>10545.313325382322</v>
      </c>
      <c r="CI18" s="1"/>
      <c r="CK18" s="1">
        <f t="shared" si="27"/>
        <v>34.873953459999996</v>
      </c>
      <c r="CL18" s="1">
        <f t="shared" si="27"/>
        <v>33.523126529999999</v>
      </c>
      <c r="CM18" s="1">
        <f t="shared" si="27"/>
        <v>37.632095870000001</v>
      </c>
      <c r="CN18" s="1">
        <f t="shared" si="27"/>
        <v>34.165160209999996</v>
      </c>
      <c r="CO18" s="1">
        <f t="shared" si="27"/>
        <v>32.255325069999998</v>
      </c>
      <c r="CP18" s="1">
        <f t="shared" si="27"/>
        <v>31.916470830000002</v>
      </c>
      <c r="CQ18" s="1">
        <f t="shared" si="27"/>
        <v>27.303396169999999</v>
      </c>
      <c r="CR18" s="1">
        <f t="shared" si="27"/>
        <v>22.774238799999999</v>
      </c>
      <c r="CS18" s="1">
        <f t="shared" si="27"/>
        <v>21.077032079999999</v>
      </c>
      <c r="CT18" s="1">
        <f t="shared" si="27"/>
        <v>19.550070639999998</v>
      </c>
      <c r="CU18" s="1">
        <f t="shared" si="27"/>
        <v>17.8919189</v>
      </c>
      <c r="CV18" s="1">
        <f t="shared" si="27"/>
        <v>19.636014689999996</v>
      </c>
      <c r="CW18" s="1">
        <f t="shared" si="27"/>
        <v>18.748166940000001</v>
      </c>
      <c r="CX18" s="1">
        <f t="shared" si="27"/>
        <v>21.131437869999999</v>
      </c>
      <c r="CY18" s="1">
        <f t="shared" si="27"/>
        <v>23.746863359999999</v>
      </c>
      <c r="CZ18" s="1">
        <f t="shared" si="27"/>
        <v>18.662799830000001</v>
      </c>
      <c r="DA18" s="1">
        <f t="shared" si="28"/>
        <v>31.610464650000004</v>
      </c>
      <c r="DB18" s="1">
        <f t="shared" si="28"/>
        <v>14.881609229999999</v>
      </c>
      <c r="DC18" s="1">
        <f t="shared" si="28"/>
        <v>18.538380959999998</v>
      </c>
      <c r="DD18" s="1">
        <f t="shared" si="28"/>
        <v>15.79353798</v>
      </c>
      <c r="DE18" s="1">
        <f t="shared" si="28"/>
        <v>15.390557059999999</v>
      </c>
      <c r="DF18" s="1">
        <f t="shared" si="28"/>
        <v>12.657815750000001</v>
      </c>
      <c r="DG18" s="1">
        <f t="shared" si="28"/>
        <v>13.430479930000001</v>
      </c>
      <c r="DH18" s="1">
        <f t="shared" si="28"/>
        <v>15.60716012</v>
      </c>
      <c r="DJ18" s="1">
        <f t="shared" si="29"/>
        <v>0.24107202999999999</v>
      </c>
      <c r="DK18" s="1">
        <f t="shared" si="29"/>
        <v>0.32285518000000002</v>
      </c>
      <c r="DL18" s="1">
        <f t="shared" si="29"/>
        <v>0.15590026000000001</v>
      </c>
      <c r="DM18" s="1">
        <f t="shared" si="29"/>
        <v>0.18636467000000001</v>
      </c>
      <c r="DN18" s="1">
        <f t="shared" si="29"/>
        <v>0.25499293999999995</v>
      </c>
      <c r="DO18" s="1">
        <f t="shared" si="29"/>
        <v>0.11824628</v>
      </c>
      <c r="DP18" s="1">
        <f t="shared" si="29"/>
        <v>0.37141849000000005</v>
      </c>
      <c r="DQ18" s="1">
        <f t="shared" si="29"/>
        <v>4.9819790000000003E-2</v>
      </c>
      <c r="DR18" s="1">
        <f t="shared" si="29"/>
        <v>5.7726630000000001E-2</v>
      </c>
      <c r="DS18" s="1">
        <f t="shared" si="29"/>
        <v>0.12164886</v>
      </c>
      <c r="DT18" s="1">
        <f t="shared" si="29"/>
        <v>6.2847730000000004E-2</v>
      </c>
      <c r="DU18" s="1">
        <f t="shared" si="29"/>
        <v>7.1441070000000009E-2</v>
      </c>
      <c r="DV18" s="1">
        <f t="shared" si="29"/>
        <v>0.19937177999999997</v>
      </c>
      <c r="DW18" s="1">
        <f t="shared" si="29"/>
        <v>0.18211829000000002</v>
      </c>
      <c r="DX18" s="1">
        <f t="shared" si="29"/>
        <v>0.19639201000000001</v>
      </c>
      <c r="DY18" s="1">
        <f t="shared" si="29"/>
        <v>0.15047392000000001</v>
      </c>
      <c r="DZ18" s="1">
        <f t="shared" si="30"/>
        <v>0.19393855000000002</v>
      </c>
      <c r="EA18" s="1">
        <f t="shared" si="30"/>
        <v>0.16347327</v>
      </c>
      <c r="EB18" s="1">
        <f t="shared" si="30"/>
        <v>0.18164933</v>
      </c>
      <c r="EC18" s="1">
        <f t="shared" si="30"/>
        <v>0.25055533999999996</v>
      </c>
      <c r="ED18" s="1">
        <f t="shared" si="30"/>
        <v>0.29342396000000004</v>
      </c>
      <c r="EE18" s="1">
        <f t="shared" si="30"/>
        <v>0.26088905000000001</v>
      </c>
      <c r="EF18" s="1">
        <f t="shared" si="30"/>
        <v>0.18624962</v>
      </c>
      <c r="EG18" s="1">
        <f t="shared" si="30"/>
        <v>0.1577527</v>
      </c>
      <c r="EI18" s="14">
        <f t="shared" si="40"/>
        <v>3555</v>
      </c>
      <c r="EJ18" s="14">
        <f t="shared" si="40"/>
        <v>3555</v>
      </c>
      <c r="EK18" s="1">
        <f t="shared" si="40"/>
        <v>3555</v>
      </c>
      <c r="EL18" s="1">
        <f t="shared" si="40"/>
        <v>3555</v>
      </c>
      <c r="EM18" s="1">
        <f t="shared" si="40"/>
        <v>3555</v>
      </c>
      <c r="EN18" s="1">
        <f t="shared" si="40"/>
        <v>3555</v>
      </c>
      <c r="EO18" s="1">
        <f t="shared" si="40"/>
        <v>3555</v>
      </c>
      <c r="EP18" s="1">
        <f t="shared" si="40"/>
        <v>3555</v>
      </c>
      <c r="EQ18" s="1">
        <f t="shared" si="40"/>
        <v>3555</v>
      </c>
      <c r="ER18" s="1">
        <f t="shared" si="40"/>
        <v>3555</v>
      </c>
      <c r="ES18" s="1">
        <f t="shared" si="40"/>
        <v>3555</v>
      </c>
      <c r="ET18" s="1">
        <f t="shared" si="40"/>
        <v>3555</v>
      </c>
      <c r="EU18" s="1">
        <f t="shared" si="40"/>
        <v>3555</v>
      </c>
      <c r="EV18" s="1">
        <f t="shared" si="40"/>
        <v>3735</v>
      </c>
      <c r="EW18" s="1">
        <f t="shared" si="40"/>
        <v>2813</v>
      </c>
      <c r="EX18" s="1">
        <f t="shared" si="40"/>
        <v>2813</v>
      </c>
      <c r="EY18" s="1">
        <f t="shared" si="31"/>
        <v>2813</v>
      </c>
      <c r="EZ18" s="1">
        <f t="shared" si="31"/>
        <v>2813</v>
      </c>
      <c r="FA18" s="1">
        <f t="shared" si="31"/>
        <v>2813</v>
      </c>
      <c r="FB18" s="1">
        <f t="shared" si="31"/>
        <v>2813</v>
      </c>
      <c r="FC18" s="1">
        <f t="shared" si="31"/>
        <v>2813</v>
      </c>
      <c r="FD18" s="1">
        <f t="shared" si="31"/>
        <v>2813</v>
      </c>
      <c r="FE18" s="1">
        <f t="shared" si="31"/>
        <v>2813</v>
      </c>
      <c r="FF18" s="1">
        <f t="shared" si="31"/>
        <v>2813</v>
      </c>
      <c r="FH18" s="162">
        <f t="shared" si="32"/>
        <v>5.5991703912609436E-2</v>
      </c>
    </row>
    <row r="19" spans="1:164" ht="18.75" customHeight="1">
      <c r="A19" s="244" t="s">
        <v>66</v>
      </c>
      <c r="B19" s="247"/>
      <c r="C19" s="228">
        <f t="shared" si="5"/>
        <v>0</v>
      </c>
      <c r="D19" s="229">
        <v>-1</v>
      </c>
      <c r="E19" s="253">
        <f t="shared" si="6"/>
        <v>0.12849777511552296</v>
      </c>
      <c r="F19" s="254">
        <f t="shared" si="7"/>
        <v>0.1096290604272292</v>
      </c>
      <c r="G19" s="253">
        <f t="shared" si="8"/>
        <v>-1.1071730569184868E-2</v>
      </c>
      <c r="H19" s="254">
        <f t="shared" si="9"/>
        <v>0.13956950568470783</v>
      </c>
      <c r="I19" s="253">
        <f t="shared" si="10"/>
        <v>1.508080194410693</v>
      </c>
      <c r="J19" s="254">
        <f t="shared" si="11"/>
        <v>1.1726028804256083</v>
      </c>
      <c r="K19" s="253">
        <f t="shared" si="12"/>
        <v>0.67776558284468713</v>
      </c>
      <c r="L19" s="254">
        <f t="shared" si="13"/>
        <v>0.83031461156600583</v>
      </c>
      <c r="M19" s="255"/>
      <c r="N19" s="256">
        <v>0</v>
      </c>
      <c r="O19" s="253">
        <f t="shared" si="33"/>
        <v>-0.1166932970112895</v>
      </c>
      <c r="P19" s="257">
        <f t="shared" si="34"/>
        <v>-0.1166932970112895</v>
      </c>
      <c r="Q19" s="253">
        <f t="shared" si="14"/>
        <v>0</v>
      </c>
      <c r="R19" s="257">
        <v>-0.01</v>
      </c>
      <c r="S19" s="255"/>
      <c r="T19" s="256">
        <v>1</v>
      </c>
      <c r="U19" s="253">
        <f t="shared" si="15"/>
        <v>-5.2956151619875991E-2</v>
      </c>
      <c r="V19" s="258">
        <f t="shared" si="16"/>
        <v>-5.2956151619875991E-2</v>
      </c>
      <c r="W19" s="253">
        <f t="shared" si="36"/>
        <v>0.15316286660685674</v>
      </c>
      <c r="X19" s="258">
        <f t="shared" si="17"/>
        <v>0.15316286660685674</v>
      </c>
      <c r="Y19" s="253"/>
      <c r="Z19" s="258">
        <f t="shared" si="18"/>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VLOOKUP($A19,historia!$A$5:$DD$24,+HLOOKUP(AP$2,historia!$A$3:$EC$4,2,FALSE),FALSE)</f>
        <v>4</v>
      </c>
      <c r="AQ19" s="28">
        <f>VLOOKUP($A19,historia!$A$5:$DD$24,+HLOOKUP(AQ$2,historia!$A$3:$EC$4,2,FALSE),FALSE)</f>
        <v>5</v>
      </c>
      <c r="AR19" s="28">
        <f>VLOOKUP($A19,historia!$A$5:$DD$24,+HLOOKUP(AR$2,historia!$A$3:$EC$4,2,FALSE),FALSE)</f>
        <v>4</v>
      </c>
      <c r="AS19" s="28">
        <f>VLOOKUP($A19,historia!$A$5:$DD$24,+HLOOKUP(AS$2,historia!$A$3:$EC$4,2,FALSE),FALSE)</f>
        <v>4</v>
      </c>
      <c r="AT19" s="58">
        <f>VLOOKUP($A19,historia!$A$5:$DD$24,+HLOOKUP(AT$2,historia!$A$3:$EC$4,2,FALSE),FALSE)</f>
        <v>4</v>
      </c>
      <c r="AU19" s="58">
        <f>VLOOKUP($A19,historia!$A$5:$DD$24,+HLOOKUP(AU$2,historia!$A$3:$EC$4,2,FALSE),FALSE)</f>
        <v>4</v>
      </c>
      <c r="AV19" s="58">
        <f>VLOOKUP($A19,historia!$A$5:$DD$24,+HLOOKUP(AV$2,historia!$A$3:$EC$4,2,FALSE),FALSE)</f>
        <v>4</v>
      </c>
      <c r="AW19" s="58">
        <f>VLOOKUP($A19,historia!$A$5:$DD$24,+HLOOKUP(AW$2,historia!$A$3:$EC$4,2,FALSE),FALSE)</f>
        <v>4</v>
      </c>
      <c r="AX19" s="58">
        <f>VLOOKUP($A19,historia!$A$5:$DD$24,+HLOOKUP(AX$2,historia!$A$3:$EC$4,2,FALSE),FALSE)</f>
        <v>4</v>
      </c>
      <c r="AY19" s="58">
        <f>VLOOKUP($A19,historia!$A$5:$DD$24,+HLOOKUP(AY$2,historia!$A$3:$EC$4,2,FALSE),FALSE)</f>
        <v>3</v>
      </c>
      <c r="AZ19" s="58">
        <f>VLOOKUP($A19,historia!$A$5:$DD$24,+HLOOKUP(AZ$2,historia!$A$3:$EC$4,2,FALSE),FALSE)</f>
        <v>3</v>
      </c>
      <c r="BA19" s="58">
        <f>VLOOKUP($A19,historia!$A$5:$DG$24,+HLOOKUP(BA$2,historia!$A$3:$EC$4,2,FALSE),FALSE)</f>
        <v>3</v>
      </c>
      <c r="BB19" s="58"/>
      <c r="BC19" s="286">
        <v>3</v>
      </c>
      <c r="BD19" t="str">
        <f t="shared" si="19"/>
        <v>Papa</v>
      </c>
      <c r="BE19">
        <f>+datos!AV1</f>
        <v>48</v>
      </c>
      <c r="BF19" s="2" t="str">
        <f t="shared" si="4"/>
        <v>$/bolsa 20kg</v>
      </c>
      <c r="BG19" s="2">
        <f t="shared" si="4"/>
        <v>14334.375</v>
      </c>
      <c r="BH19" s="2">
        <f t="shared" si="4"/>
        <v>12702.173913043478</v>
      </c>
      <c r="BI19" s="2">
        <f t="shared" si="4"/>
        <v>5715.2777777777774</v>
      </c>
      <c r="BK19" s="1">
        <f>+datos!EZ1</f>
        <v>156</v>
      </c>
      <c r="BL19" s="1">
        <f t="shared" si="20"/>
        <v>33722</v>
      </c>
      <c r="BM19" s="1">
        <f t="shared" si="20"/>
        <v>38177</v>
      </c>
      <c r="BO19" s="1">
        <f>+datos!GT1</f>
        <v>202</v>
      </c>
      <c r="BP19" s="1">
        <f t="shared" si="21"/>
        <v>2111561</v>
      </c>
      <c r="BQ19" s="1">
        <f t="shared" si="21"/>
        <v>2111561</v>
      </c>
      <c r="BS19" s="1">
        <f>+datos!JO1</f>
        <v>275</v>
      </c>
      <c r="BT19" s="1">
        <f t="shared" si="38"/>
        <v>383.67741467999997</v>
      </c>
      <c r="BU19" s="1">
        <f t="shared" si="39"/>
        <v>405.13162652000005</v>
      </c>
      <c r="BW19" s="1">
        <f>+datos!KT1</f>
        <v>306</v>
      </c>
      <c r="BX19" s="2">
        <f t="shared" si="22"/>
        <v>15.667742369999999</v>
      </c>
      <c r="BY19" s="2">
        <f t="shared" si="23"/>
        <v>13.586755890000003</v>
      </c>
      <c r="CA19" s="1">
        <f>+datos!JB1</f>
        <v>262</v>
      </c>
      <c r="CB19" s="1">
        <f t="shared" si="24"/>
        <v>35.950000000000003</v>
      </c>
      <c r="CC19" s="1">
        <f t="shared" si="25"/>
        <v>35.950000000000003</v>
      </c>
      <c r="CD19" s="1"/>
      <c r="CE19">
        <f>+datos!CI1</f>
        <v>87</v>
      </c>
      <c r="CF19" s="2">
        <f t="shared" si="26"/>
        <v>16833.334461696213</v>
      </c>
      <c r="CG19" s="2">
        <f t="shared" si="26"/>
        <v>17021.795191864381</v>
      </c>
      <c r="CH19" s="2">
        <f t="shared" si="26"/>
        <v>10033.186181561156</v>
      </c>
      <c r="CI19" s="1"/>
      <c r="CK19" s="1">
        <f t="shared" si="27"/>
        <v>37.517881269999997</v>
      </c>
      <c r="CL19" s="1">
        <f t="shared" si="27"/>
        <v>33.508485159999992</v>
      </c>
      <c r="CM19" s="1">
        <f t="shared" si="27"/>
        <v>34.584187569999997</v>
      </c>
      <c r="CN19" s="1">
        <f t="shared" si="27"/>
        <v>32.026461749999996</v>
      </c>
      <c r="CO19" s="1">
        <f t="shared" si="27"/>
        <v>27.540207300000002</v>
      </c>
      <c r="CP19" s="1">
        <f t="shared" si="27"/>
        <v>27.589055210000001</v>
      </c>
      <c r="CQ19" s="1">
        <f t="shared" si="27"/>
        <v>34.54170027</v>
      </c>
      <c r="CR19" s="1">
        <f t="shared" si="27"/>
        <v>29.033049210000001</v>
      </c>
      <c r="CS19" s="1">
        <f t="shared" si="27"/>
        <v>32.137001479999995</v>
      </c>
      <c r="CT19" s="1">
        <f t="shared" si="27"/>
        <v>31.771959519999999</v>
      </c>
      <c r="CU19" s="1">
        <f t="shared" si="27"/>
        <v>30.172516640000001</v>
      </c>
      <c r="CV19" s="1">
        <f t="shared" si="27"/>
        <v>33.254909299999994</v>
      </c>
      <c r="CW19" s="1">
        <f t="shared" si="27"/>
        <v>34.03841525</v>
      </c>
      <c r="CX19" s="1">
        <f t="shared" si="27"/>
        <v>32.790200410000004</v>
      </c>
      <c r="CY19" s="1">
        <f t="shared" si="27"/>
        <v>33.403797109999999</v>
      </c>
      <c r="CZ19" s="1">
        <f t="shared" si="27"/>
        <v>26.866894470000005</v>
      </c>
      <c r="DA19" s="1">
        <f t="shared" si="28"/>
        <v>30.959664470000003</v>
      </c>
      <c r="DB19" s="1">
        <f t="shared" si="28"/>
        <v>28.030286839999999</v>
      </c>
      <c r="DC19" s="1">
        <f t="shared" si="28"/>
        <v>35.227965569999995</v>
      </c>
      <c r="DD19" s="1">
        <f t="shared" si="28"/>
        <v>43.313690020000003</v>
      </c>
      <c r="DE19" s="1">
        <f t="shared" si="28"/>
        <v>38.158354570000007</v>
      </c>
      <c r="DF19" s="1">
        <f t="shared" si="28"/>
        <v>36.879687310000008</v>
      </c>
      <c r="DG19" s="1">
        <f t="shared" si="28"/>
        <v>30.584450140000001</v>
      </c>
      <c r="DH19" s="1">
        <f t="shared" si="28"/>
        <v>34.87822036</v>
      </c>
      <c r="DJ19" s="1">
        <f t="shared" si="29"/>
        <v>1.3561104000000002</v>
      </c>
      <c r="DK19" s="1">
        <f t="shared" si="29"/>
        <v>1.05636789</v>
      </c>
      <c r="DL19" s="1">
        <f t="shared" si="29"/>
        <v>1.7409876799999999</v>
      </c>
      <c r="DM19" s="1">
        <f t="shared" si="29"/>
        <v>2.0004345900000002</v>
      </c>
      <c r="DN19" s="1">
        <f t="shared" si="29"/>
        <v>1.0022204700000001</v>
      </c>
      <c r="DO19" s="1">
        <f t="shared" si="29"/>
        <v>2.2861269800000001</v>
      </c>
      <c r="DP19" s="1">
        <f t="shared" si="29"/>
        <v>1.06092366</v>
      </c>
      <c r="DQ19" s="1">
        <f t="shared" si="29"/>
        <v>0.94273901999999998</v>
      </c>
      <c r="DR19" s="1">
        <f t="shared" si="29"/>
        <v>1.1078551999999999</v>
      </c>
      <c r="DS19" s="1">
        <f t="shared" si="29"/>
        <v>1.1250931100000001</v>
      </c>
      <c r="DT19" s="1">
        <f t="shared" si="29"/>
        <v>0.74439149999999998</v>
      </c>
      <c r="DU19" s="1">
        <f t="shared" si="29"/>
        <v>1.2444918700000001</v>
      </c>
      <c r="DV19" s="1">
        <f t="shared" si="29"/>
        <v>0.75058031000000003</v>
      </c>
      <c r="DW19" s="1">
        <f t="shared" si="29"/>
        <v>0.8744752400000001</v>
      </c>
      <c r="DX19" s="1">
        <f t="shared" si="29"/>
        <v>0.62052411000000007</v>
      </c>
      <c r="DY19" s="1">
        <f t="shared" si="29"/>
        <v>1.19924761</v>
      </c>
      <c r="DZ19" s="1">
        <f t="shared" si="30"/>
        <v>0.86551083000000006</v>
      </c>
      <c r="EA19" s="1">
        <f t="shared" si="30"/>
        <v>0.79831189000000002</v>
      </c>
      <c r="EB19" s="1">
        <f t="shared" si="30"/>
        <v>1.1318278900000001</v>
      </c>
      <c r="EC19" s="1">
        <f t="shared" si="30"/>
        <v>1.8442369199999997</v>
      </c>
      <c r="ED19" s="1">
        <f t="shared" si="30"/>
        <v>1.0529063700000001</v>
      </c>
      <c r="EE19" s="1">
        <f t="shared" si="30"/>
        <v>2.0286618900000004</v>
      </c>
      <c r="EF19" s="1">
        <f t="shared" si="30"/>
        <v>0.79104531999999994</v>
      </c>
      <c r="EG19" s="1">
        <f t="shared" si="30"/>
        <v>1.6294275100000002</v>
      </c>
      <c r="EI19" s="14">
        <f t="shared" si="40"/>
        <v>35.950000000000003</v>
      </c>
      <c r="EJ19" s="14">
        <f t="shared" si="40"/>
        <v>35.950000000000003</v>
      </c>
      <c r="EK19" s="1">
        <f t="shared" si="40"/>
        <v>35.950000000000003</v>
      </c>
      <c r="EL19" s="1">
        <f t="shared" si="40"/>
        <v>35.950000000000003</v>
      </c>
      <c r="EM19" s="1">
        <f t="shared" si="40"/>
        <v>35.950000000000003</v>
      </c>
      <c r="EN19" s="1">
        <f t="shared" si="40"/>
        <v>35.950000000000003</v>
      </c>
      <c r="EO19" s="1">
        <f t="shared" si="40"/>
        <v>35.950000000000003</v>
      </c>
      <c r="EP19" s="1">
        <f t="shared" si="40"/>
        <v>35.950000000000003</v>
      </c>
      <c r="EQ19" s="1">
        <f t="shared" si="40"/>
        <v>35.950000000000003</v>
      </c>
      <c r="ER19" s="1">
        <f t="shared" si="40"/>
        <v>35.950000000000003</v>
      </c>
      <c r="ES19" s="1">
        <f t="shared" si="40"/>
        <v>35.950000000000003</v>
      </c>
      <c r="ET19" s="1">
        <f t="shared" si="40"/>
        <v>35.950000000000003</v>
      </c>
      <c r="EU19" s="1">
        <f t="shared" si="40"/>
        <v>35.950000000000003</v>
      </c>
      <c r="EV19" s="1">
        <f t="shared" si="40"/>
        <v>35.950000000000003</v>
      </c>
      <c r="EW19" s="1">
        <f t="shared" si="40"/>
        <v>35.950000000000003</v>
      </c>
      <c r="EX19" s="1">
        <f t="shared" si="40"/>
        <v>35.950000000000003</v>
      </c>
      <c r="EY19" s="1">
        <f t="shared" si="31"/>
        <v>35.950000000000003</v>
      </c>
      <c r="EZ19" s="1">
        <f t="shared" si="31"/>
        <v>35.950000000000003</v>
      </c>
      <c r="FA19" s="1">
        <f t="shared" si="31"/>
        <v>35.950000000000003</v>
      </c>
      <c r="FB19" s="1">
        <f t="shared" si="31"/>
        <v>35.950000000000003</v>
      </c>
      <c r="FC19" s="1">
        <f t="shared" si="31"/>
        <v>35.950000000000003</v>
      </c>
      <c r="FD19" s="1">
        <f t="shared" si="31"/>
        <v>35.950000000000003</v>
      </c>
      <c r="FE19" s="1">
        <f t="shared" si="31"/>
        <v>35.950000000000003</v>
      </c>
      <c r="FF19" s="1">
        <f t="shared" si="31"/>
        <v>35.950000000000003</v>
      </c>
      <c r="FH19" s="162">
        <f t="shared" si="32"/>
        <v>0.83031461156600583</v>
      </c>
    </row>
    <row r="20" spans="1:164" ht="17.399999999999999" customHeight="1">
      <c r="A20" s="263" t="s">
        <v>218</v>
      </c>
      <c r="B20" s="246"/>
      <c r="C20" s="156">
        <f t="shared" si="5"/>
        <v>0</v>
      </c>
      <c r="D20" s="198">
        <v>-1</v>
      </c>
      <c r="E20" s="248">
        <f t="shared" si="6"/>
        <v>-2.968923991928607E-3</v>
      </c>
      <c r="F20" s="249">
        <f t="shared" si="7"/>
        <v>-2.1837638680222371E-2</v>
      </c>
      <c r="G20" s="248">
        <f t="shared" si="8"/>
        <v>-3.0535731762681539E-2</v>
      </c>
      <c r="H20" s="249">
        <f t="shared" si="9"/>
        <v>2.7566807770752932E-2</v>
      </c>
      <c r="I20" s="248">
        <f t="shared" si="10"/>
        <v>0.2925643578533621</v>
      </c>
      <c r="J20" s="249">
        <f t="shared" si="11"/>
        <v>-4.2912956131722524E-2</v>
      </c>
      <c r="K20" s="248">
        <f t="shared" si="12"/>
        <v>0.40182335662652879</v>
      </c>
      <c r="L20" s="249">
        <f t="shared" si="13"/>
        <v>-0.10925899877316669</v>
      </c>
      <c r="M20" s="250"/>
      <c r="N20" s="24">
        <v>-1</v>
      </c>
      <c r="O20" s="248">
        <f t="shared" si="33"/>
        <v>0</v>
      </c>
      <c r="P20" s="251">
        <f t="shared" si="34"/>
        <v>0</v>
      </c>
      <c r="Q20" s="248">
        <f t="shared" si="14"/>
        <v>-8.3541793603517989E-2</v>
      </c>
      <c r="R20" s="251">
        <f t="shared" si="35"/>
        <v>-8.3541793603517989E-2</v>
      </c>
      <c r="S20" s="250"/>
      <c r="T20" s="24">
        <v>2</v>
      </c>
      <c r="U20" s="248">
        <f t="shared" si="15"/>
        <v>2.4053905430591493E-2</v>
      </c>
      <c r="V20" s="252">
        <f t="shared" si="16"/>
        <v>2.4053905430591493E-2</v>
      </c>
      <c r="W20" s="248">
        <f t="shared" si="36"/>
        <v>1.1214567249500957</v>
      </c>
      <c r="X20" s="252">
        <f t="shared" si="17"/>
        <v>1.1214567249500957</v>
      </c>
      <c r="Y20" s="248"/>
      <c r="Z20" s="252">
        <f t="shared" si="18"/>
        <v>0</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VLOOKUP($A20,historia!$A$5:$DD$24,+HLOOKUP(AP$2,historia!$A$3:$EC$4,2,FALSE),FALSE)</f>
        <v>2</v>
      </c>
      <c r="AQ20" s="28">
        <f>VLOOKUP($A20,historia!$A$5:$DD$24,+HLOOKUP(AQ$2,historia!$A$3:$EC$4,2,FALSE),FALSE)</f>
        <v>2</v>
      </c>
      <c r="AR20" s="28">
        <f>VLOOKUP($A20,historia!$A$5:$DD$24,+HLOOKUP(AR$2,historia!$A$3:$EC$4,2,FALSE),FALSE)</f>
        <v>3</v>
      </c>
      <c r="AS20" s="28">
        <f>VLOOKUP($A20,historia!$A$5:$DD$24,+HLOOKUP(AS$2,historia!$A$3:$EC$4,2,FALSE),FALSE)</f>
        <v>3</v>
      </c>
      <c r="AT20" s="58">
        <f>VLOOKUP($A20,historia!$A$5:$DD$24,+HLOOKUP(AT$2,historia!$A$3:$EC$4,2,FALSE),FALSE)</f>
        <v>3</v>
      </c>
      <c r="AU20" s="58">
        <f>VLOOKUP($A20,historia!$A$5:$DD$24,+HLOOKUP(AU$2,historia!$A$3:$EC$4,2,FALSE),FALSE)</f>
        <v>3</v>
      </c>
      <c r="AV20" s="58">
        <f>VLOOKUP($A20,historia!$A$5:$DD$24,+HLOOKUP(AV$2,historia!$A$3:$EC$4,2,FALSE),FALSE)</f>
        <v>3</v>
      </c>
      <c r="AW20" s="58">
        <f>VLOOKUP($A20,historia!$A$5:$DD$24,+HLOOKUP(AW$2,historia!$A$3:$EC$4,2,FALSE),FALSE)</f>
        <v>3</v>
      </c>
      <c r="AX20" s="58">
        <f>VLOOKUP($A20,historia!$A$5:$DD$24,+HLOOKUP(AX$2,historia!$A$3:$EC$4,2,FALSE),FALSE)</f>
        <v>3</v>
      </c>
      <c r="AY20" s="58">
        <f>VLOOKUP($A20,historia!$A$5:$DD$24,+HLOOKUP(AY$2,historia!$A$3:$EC$4,2,FALSE),FALSE)</f>
        <v>3</v>
      </c>
      <c r="AZ20" s="58">
        <f>VLOOKUP($A20,historia!$A$5:$DD$24,+HLOOKUP(AZ$2,historia!$A$3:$EC$4,2,FALSE),FALSE)</f>
        <v>3</v>
      </c>
      <c r="BA20" s="58">
        <f>VLOOKUP($A20,historia!$A$5:$DG$24,+HLOOKUP(BA$2,historia!$A$3:$EC$4,2,FALSE),FALSE)</f>
        <v>3</v>
      </c>
      <c r="BB20" s="58"/>
      <c r="BC20" s="286">
        <v>3</v>
      </c>
      <c r="BD20" t="str">
        <f t="shared" si="19"/>
        <v>Peras y Manzanas</v>
      </c>
      <c r="BE20">
        <f>+datos!AP1</f>
        <v>42</v>
      </c>
      <c r="BF20" s="2" t="str">
        <f t="shared" si="4"/>
        <v>$/caja 18kg</v>
      </c>
      <c r="BG20" s="2">
        <f t="shared" si="4"/>
        <v>23212.142857142859</v>
      </c>
      <c r="BH20" s="2">
        <f t="shared" si="4"/>
        <v>23281.263157894737</v>
      </c>
      <c r="BI20" s="2">
        <f t="shared" si="4"/>
        <v>17958.21052631579</v>
      </c>
      <c r="BK20" s="1">
        <f>+datos!FC1</f>
        <v>159</v>
      </c>
      <c r="BL20" s="1">
        <f t="shared" si="20"/>
        <v>38084</v>
      </c>
      <c r="BM20" s="1">
        <f t="shared" si="20"/>
        <v>38084</v>
      </c>
      <c r="BO20" s="1">
        <f>+datos!GW1</f>
        <v>205</v>
      </c>
      <c r="BP20" s="1">
        <f t="shared" si="21"/>
        <v>726492</v>
      </c>
      <c r="BQ20" s="1">
        <f t="shared" si="21"/>
        <v>792717</v>
      </c>
      <c r="BS20" s="1">
        <f>+datos!LS1</f>
        <v>331</v>
      </c>
      <c r="BT20" s="1">
        <f t="shared" si="38"/>
        <v>434.33525124999994</v>
      </c>
      <c r="BU20" s="1">
        <f t="shared" si="39"/>
        <v>424.13319157000018</v>
      </c>
      <c r="BW20" s="1">
        <f>+datos!LW1</f>
        <v>335</v>
      </c>
      <c r="BX20" s="2">
        <f t="shared" si="22"/>
        <v>8.3624349999999996</v>
      </c>
      <c r="BY20" s="2">
        <f t="shared" si="23"/>
        <v>3.9418362400000002</v>
      </c>
      <c r="CA20" s="1">
        <f>+datos!JC1</f>
        <v>263</v>
      </c>
      <c r="CB20" s="1">
        <f t="shared" si="24"/>
        <v>0</v>
      </c>
      <c r="CC20" s="1">
        <f t="shared" si="25"/>
        <v>0</v>
      </c>
      <c r="CD20" s="1"/>
      <c r="CE20">
        <f>+datos!CS1</f>
        <v>97</v>
      </c>
      <c r="CF20" s="2">
        <f t="shared" si="26"/>
        <v>14162.102230891573</v>
      </c>
      <c r="CG20" s="2">
        <f t="shared" si="26"/>
        <v>14608.173498380844</v>
      </c>
      <c r="CH20" s="2">
        <f t="shared" si="26"/>
        <v>10102.629667244597</v>
      </c>
      <c r="CI20" s="1"/>
      <c r="CK20" s="1">
        <f t="shared" si="27"/>
        <v>43.330843469999998</v>
      </c>
      <c r="CL20" s="1">
        <f t="shared" si="27"/>
        <v>44.588875260000009</v>
      </c>
      <c r="CM20" s="1">
        <f t="shared" si="27"/>
        <v>51.060120500000004</v>
      </c>
      <c r="CN20" s="1">
        <f t="shared" si="27"/>
        <v>56.719456929999993</v>
      </c>
      <c r="CO20" s="1">
        <f t="shared" si="27"/>
        <v>49.534875409999998</v>
      </c>
      <c r="CP20" s="1">
        <f t="shared" si="27"/>
        <v>25.805604299999995</v>
      </c>
      <c r="CQ20" s="1">
        <f t="shared" si="27"/>
        <v>14.27210653</v>
      </c>
      <c r="CR20" s="1">
        <f t="shared" si="27"/>
        <v>20.571055439999999</v>
      </c>
      <c r="CS20" s="1">
        <f t="shared" si="27"/>
        <v>24.907231830000001</v>
      </c>
      <c r="CT20" s="1">
        <f t="shared" si="27"/>
        <v>41.046257050000001</v>
      </c>
      <c r="CU20" s="1">
        <f t="shared" si="27"/>
        <v>31.183989080000003</v>
      </c>
      <c r="CV20" s="1">
        <f t="shared" si="27"/>
        <v>31.314835450000004</v>
      </c>
      <c r="CW20" s="1">
        <f t="shared" si="27"/>
        <v>42.986147830000007</v>
      </c>
      <c r="CX20" s="1">
        <f t="shared" si="27"/>
        <v>54.859389430000007</v>
      </c>
      <c r="CY20" s="1">
        <f t="shared" si="27"/>
        <v>51.150985829999996</v>
      </c>
      <c r="CZ20" s="1">
        <f t="shared" si="27"/>
        <v>59.173949850000007</v>
      </c>
      <c r="DA20" s="1">
        <f t="shared" si="28"/>
        <v>46.396857000000011</v>
      </c>
      <c r="DB20" s="1">
        <f t="shared" si="28"/>
        <v>23.934850630000003</v>
      </c>
      <c r="DC20" s="1">
        <f t="shared" si="28"/>
        <v>23.934850630000003</v>
      </c>
      <c r="DD20" s="1">
        <f t="shared" si="28"/>
        <v>23.934850630000003</v>
      </c>
      <c r="DE20" s="1">
        <f t="shared" si="28"/>
        <v>25.188374430000003</v>
      </c>
      <c r="DF20" s="1">
        <f t="shared" si="28"/>
        <v>22.303018159999997</v>
      </c>
      <c r="DG20" s="1">
        <f t="shared" si="28"/>
        <v>14.93334776</v>
      </c>
      <c r="DH20" s="1">
        <f t="shared" si="28"/>
        <v>35.336569390000001</v>
      </c>
      <c r="DJ20" s="1">
        <f t="shared" si="29"/>
        <v>1.2785091</v>
      </c>
      <c r="DK20" s="1">
        <f t="shared" si="29"/>
        <v>1.2245926600000001</v>
      </c>
      <c r="DL20" s="1">
        <f t="shared" si="29"/>
        <v>1.4505186299999999</v>
      </c>
      <c r="DM20" s="1">
        <f t="shared" si="29"/>
        <v>0.59532569999999996</v>
      </c>
      <c r="DN20" s="1">
        <f t="shared" si="29"/>
        <v>0.31596546000000003</v>
      </c>
      <c r="DO20" s="1">
        <f t="shared" si="29"/>
        <v>5.1857800000000009E-3</v>
      </c>
      <c r="DP20" s="1">
        <f t="shared" si="29"/>
        <v>0.39547034999999997</v>
      </c>
      <c r="DQ20" s="1">
        <f t="shared" si="29"/>
        <v>0.54650961999999992</v>
      </c>
      <c r="DR20" s="1">
        <f t="shared" si="29"/>
        <v>0.19315473</v>
      </c>
      <c r="DS20" s="1">
        <f t="shared" si="29"/>
        <v>0.43976497000000003</v>
      </c>
      <c r="DT20" s="1">
        <f t="shared" si="29"/>
        <v>0.72520266</v>
      </c>
      <c r="DU20" s="1">
        <f t="shared" si="29"/>
        <v>1.1922353400000001</v>
      </c>
      <c r="DV20" s="1">
        <f t="shared" si="29"/>
        <v>1.0915780799999999</v>
      </c>
      <c r="DW20" s="1">
        <f t="shared" si="29"/>
        <v>0.5667896</v>
      </c>
      <c r="DX20" s="1">
        <f t="shared" si="29"/>
        <v>0.43323378000000001</v>
      </c>
      <c r="DY20" s="1">
        <f t="shared" si="29"/>
        <v>0.20107160000000002</v>
      </c>
      <c r="DZ20" s="1">
        <f t="shared" si="30"/>
        <v>4.7323499999999998E-2</v>
      </c>
      <c r="EA20" s="1">
        <f t="shared" si="30"/>
        <v>0.18245199000000001</v>
      </c>
      <c r="EB20" s="1">
        <f t="shared" si="30"/>
        <v>6.8745290000000001E-2</v>
      </c>
      <c r="EC20" s="1">
        <f t="shared" si="30"/>
        <v>0.21798748000000001</v>
      </c>
      <c r="ED20" s="1">
        <f t="shared" si="30"/>
        <v>7.9820000000000002E-2</v>
      </c>
      <c r="EE20" s="1">
        <f t="shared" si="30"/>
        <v>0.14837025000000001</v>
      </c>
      <c r="EF20" s="1">
        <f t="shared" si="30"/>
        <v>0.3865221499999999</v>
      </c>
      <c r="EG20" s="1">
        <f t="shared" si="30"/>
        <v>0.51794252000000007</v>
      </c>
      <c r="EI20" s="14">
        <f t="shared" si="40"/>
        <v>0</v>
      </c>
      <c r="EJ20" s="14">
        <f t="shared" si="40"/>
        <v>0</v>
      </c>
      <c r="EK20" s="1">
        <f t="shared" si="40"/>
        <v>0</v>
      </c>
      <c r="EL20" s="1">
        <f t="shared" si="40"/>
        <v>0</v>
      </c>
      <c r="EM20" s="1">
        <f t="shared" si="40"/>
        <v>0</v>
      </c>
      <c r="EN20" s="1">
        <f t="shared" si="40"/>
        <v>0</v>
      </c>
      <c r="EO20" s="1">
        <f t="shared" si="40"/>
        <v>0</v>
      </c>
      <c r="EP20" s="1">
        <f t="shared" si="40"/>
        <v>0</v>
      </c>
      <c r="EQ20" s="1">
        <f t="shared" si="40"/>
        <v>0</v>
      </c>
      <c r="ER20" s="1">
        <f t="shared" si="40"/>
        <v>0</v>
      </c>
      <c r="ES20" s="1">
        <f t="shared" si="40"/>
        <v>0</v>
      </c>
      <c r="ET20" s="1">
        <f t="shared" si="40"/>
        <v>0</v>
      </c>
      <c r="EU20" s="1">
        <f t="shared" si="40"/>
        <v>0</v>
      </c>
      <c r="EV20" s="1">
        <f t="shared" si="40"/>
        <v>0</v>
      </c>
      <c r="EW20" s="1">
        <f t="shared" si="40"/>
        <v>0</v>
      </c>
      <c r="EX20" s="1">
        <f t="shared" si="40"/>
        <v>0</v>
      </c>
      <c r="EY20" s="1">
        <f t="shared" si="31"/>
        <v>0</v>
      </c>
      <c r="EZ20" s="1">
        <f t="shared" si="31"/>
        <v>0</v>
      </c>
      <c r="FA20" s="1">
        <f t="shared" si="31"/>
        <v>0</v>
      </c>
      <c r="FB20" s="1">
        <f t="shared" si="31"/>
        <v>0</v>
      </c>
      <c r="FC20" s="1">
        <f t="shared" si="31"/>
        <v>0</v>
      </c>
      <c r="FD20" s="1">
        <f t="shared" si="31"/>
        <v>0</v>
      </c>
      <c r="FE20" s="1">
        <f t="shared" si="31"/>
        <v>0</v>
      </c>
      <c r="FF20" s="1">
        <f t="shared" si="31"/>
        <v>0</v>
      </c>
      <c r="FH20" s="162">
        <f t="shared" si="32"/>
        <v>-0.10925899877316669</v>
      </c>
    </row>
    <row r="21" spans="1:164" ht="18" customHeight="1">
      <c r="A21" s="244" t="s">
        <v>121</v>
      </c>
      <c r="B21" s="247"/>
      <c r="C21" s="228">
        <f t="shared" si="5"/>
        <v>0</v>
      </c>
      <c r="D21" s="229">
        <v>-2</v>
      </c>
      <c r="E21" s="253">
        <f t="shared" si="6"/>
        <v>-6.8635189261534446E-3</v>
      </c>
      <c r="F21" s="254">
        <f t="shared" si="7"/>
        <v>-2.5732233614447209E-2</v>
      </c>
      <c r="G21" s="253">
        <f t="shared" si="8"/>
        <v>-3.6798337010303883E-2</v>
      </c>
      <c r="H21" s="254">
        <f t="shared" si="9"/>
        <v>2.9934818084150439E-2</v>
      </c>
      <c r="I21" s="253">
        <f t="shared" si="10"/>
        <v>0.2441088503890585</v>
      </c>
      <c r="J21" s="254">
        <f t="shared" si="11"/>
        <v>-9.1368463596026128E-2</v>
      </c>
      <c r="K21" s="253">
        <f t="shared" si="12"/>
        <v>0.31250323080577314</v>
      </c>
      <c r="L21" s="254">
        <f t="shared" si="13"/>
        <v>-6.839438041671464E-2</v>
      </c>
      <c r="M21" s="255"/>
      <c r="N21" s="256">
        <v>1</v>
      </c>
      <c r="O21" s="253">
        <f t="shared" si="33"/>
        <v>-0.10030231581731985</v>
      </c>
      <c r="P21" s="257">
        <f t="shared" si="34"/>
        <v>-0.10030231581731985</v>
      </c>
      <c r="Q21" s="253">
        <f t="shared" si="14"/>
        <v>9.4742088023708426E-2</v>
      </c>
      <c r="R21" s="257">
        <f t="shared" si="35"/>
        <v>9.4742088023708426E-2</v>
      </c>
      <c r="S21" s="255"/>
      <c r="T21" s="256">
        <v>1</v>
      </c>
      <c r="U21" s="253">
        <f t="shared" si="15"/>
        <v>0.34622281463740268</v>
      </c>
      <c r="V21" s="258">
        <f t="shared" si="16"/>
        <v>0.34622281463740268</v>
      </c>
      <c r="W21" s="253">
        <f t="shared" si="36"/>
        <v>0.11154989582379105</v>
      </c>
      <c r="X21" s="258">
        <f t="shared" si="17"/>
        <v>0.11154989582379105</v>
      </c>
      <c r="Y21" s="253">
        <f t="shared" si="37"/>
        <v>9.2653508771929793E-2</v>
      </c>
      <c r="Z21" s="258">
        <f t="shared" si="18"/>
        <v>9.2653508771929793E-2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VLOOKUP($A21,historia!$A$5:$DD$24,+HLOOKUP(AP$2,historia!$A$3:$EC$4,2,FALSE),FALSE)</f>
        <v>1</v>
      </c>
      <c r="AQ21" s="28">
        <f>VLOOKUP($A21,historia!$A$5:$DD$24,+HLOOKUP(AQ$2,historia!$A$3:$EC$4,2,FALSE),FALSE)</f>
        <v>2</v>
      </c>
      <c r="AR21" s="28">
        <f>VLOOKUP($A21,historia!$A$5:$DD$24,+HLOOKUP(AR$2,historia!$A$3:$EC$4,2,FALSE),FALSE)</f>
        <v>2</v>
      </c>
      <c r="AS21" s="28">
        <f>VLOOKUP($A21,historia!$A$5:$DD$24,+HLOOKUP(AS$2,historia!$A$3:$EC$4,2,FALSE),FALSE)</f>
        <v>2</v>
      </c>
      <c r="AT21" s="58">
        <f>VLOOKUP($A21,historia!$A$5:$DD$24,+HLOOKUP(AT$2,historia!$A$3:$EC$4,2,FALSE),FALSE)</f>
        <v>2</v>
      </c>
      <c r="AU21" s="58">
        <f>VLOOKUP($A21,historia!$A$5:$DD$24,+HLOOKUP(AU$2,historia!$A$3:$EC$4,2,FALSE),FALSE)</f>
        <v>3</v>
      </c>
      <c r="AV21" s="58">
        <f>VLOOKUP($A21,historia!$A$5:$DD$24,+HLOOKUP(AV$2,historia!$A$3:$EC$4,2,FALSE),FALSE)</f>
        <v>3</v>
      </c>
      <c r="AW21" s="58">
        <f>VLOOKUP($A21,historia!$A$5:$DD$24,+HLOOKUP(AW$2,historia!$A$3:$EC$4,2,FALSE),FALSE)</f>
        <v>3</v>
      </c>
      <c r="AX21" s="58">
        <f>VLOOKUP($A21,historia!$A$5:$DD$24,+HLOOKUP(AX$2,historia!$A$3:$EC$4,2,FALSE),FALSE)</f>
        <v>3</v>
      </c>
      <c r="AY21" s="58">
        <f>VLOOKUP($A21,historia!$A$5:$DD$24,+HLOOKUP(AY$2,historia!$A$3:$EC$4,2,FALSE),FALSE)</f>
        <v>3</v>
      </c>
      <c r="AZ21" s="58">
        <f>VLOOKUP($A21,historia!$A$5:$DD$24,+HLOOKUP(AZ$2,historia!$A$3:$EC$4,2,FALSE),FALSE)</f>
        <v>3</v>
      </c>
      <c r="BA21" s="58">
        <f>VLOOKUP($A21,historia!$A$5:$DG$24,+HLOOKUP(BA$2,historia!$A$3:$EC$4,2,FALSE),FALSE)</f>
        <v>3</v>
      </c>
      <c r="BB21" s="58"/>
      <c r="BC21" s="286">
        <v>3</v>
      </c>
      <c r="BD21" t="str">
        <f t="shared" si="19"/>
        <v>Porcinos</v>
      </c>
      <c r="BE21">
        <f>+datos!BR1</f>
        <v>70</v>
      </c>
      <c r="BF21" s="2" t="str">
        <f t="shared" si="4"/>
        <v>$/kg</v>
      </c>
      <c r="BG21" s="2">
        <f t="shared" si="4"/>
        <v>2025.77</v>
      </c>
      <c r="BH21" s="2">
        <f t="shared" si="4"/>
        <v>2039.77</v>
      </c>
      <c r="BI21" s="2">
        <f t="shared" si="4"/>
        <v>1628.29</v>
      </c>
      <c r="BK21" s="1">
        <f>+datos!EJ1</f>
        <v>140</v>
      </c>
      <c r="BL21" s="1">
        <f t="shared" si="20"/>
        <v>5387190</v>
      </c>
      <c r="BM21" s="1">
        <f t="shared" si="20"/>
        <v>5987778</v>
      </c>
      <c r="BO21" s="1">
        <f>+datos!HE1</f>
        <v>213</v>
      </c>
      <c r="BP21" s="1">
        <f t="shared" si="21"/>
        <v>863295</v>
      </c>
      <c r="BQ21" s="1">
        <f t="shared" si="21"/>
        <v>788583</v>
      </c>
      <c r="BS21" s="1">
        <f>+datos!KJ1</f>
        <v>296</v>
      </c>
      <c r="BT21" s="2">
        <f t="shared" si="38"/>
        <v>38.165575029999992</v>
      </c>
      <c r="BU21" s="2">
        <f t="shared" si="39"/>
        <v>28.350117539999996</v>
      </c>
      <c r="BW21" s="1">
        <f>+datos!LO1</f>
        <v>327</v>
      </c>
      <c r="BX21" s="2">
        <f t="shared" si="22"/>
        <v>163.34442966</v>
      </c>
      <c r="BY21" s="2">
        <f t="shared" si="23"/>
        <v>146.95195445000002</v>
      </c>
      <c r="CA21" s="1">
        <f>+datos!IO1</f>
        <v>249</v>
      </c>
      <c r="CB21" s="2">
        <f t="shared" si="24"/>
        <v>19.93</v>
      </c>
      <c r="CC21" s="2">
        <f t="shared" si="25"/>
        <v>18.239999999999998</v>
      </c>
      <c r="CD21" s="2">
        <f>CB21-CC21</f>
        <v>1.6900000000000013</v>
      </c>
      <c r="CE21">
        <f>+datos!DD1</f>
        <v>108</v>
      </c>
      <c r="CF21" s="2">
        <f t="shared" si="26"/>
        <v>13503.404162949619</v>
      </c>
      <c r="CG21" s="2">
        <f t="shared" si="26"/>
        <v>14019.290748560587</v>
      </c>
      <c r="CH21" s="2">
        <f t="shared" si="26"/>
        <v>10288.282608386113</v>
      </c>
      <c r="CI21" s="2"/>
      <c r="CK21" s="1">
        <f t="shared" si="27"/>
        <v>2.9139961099999998</v>
      </c>
      <c r="CL21" s="1">
        <f t="shared" si="27"/>
        <v>4.62689489</v>
      </c>
      <c r="CM21" s="1">
        <f t="shared" si="27"/>
        <v>3.3258325500000003</v>
      </c>
      <c r="CN21" s="1">
        <f t="shared" si="27"/>
        <v>3.2559529299999999</v>
      </c>
      <c r="CO21" s="1">
        <f t="shared" si="27"/>
        <v>2.83989907</v>
      </c>
      <c r="CP21" s="1">
        <f t="shared" si="27"/>
        <v>3.9903958900000003</v>
      </c>
      <c r="CQ21" s="1">
        <f t="shared" si="27"/>
        <v>3.0562051500000003</v>
      </c>
      <c r="CR21" s="1">
        <f t="shared" si="27"/>
        <v>3.17480787</v>
      </c>
      <c r="CS21" s="1">
        <f t="shared" si="27"/>
        <v>3.9252467499999995</v>
      </c>
      <c r="CT21" s="1">
        <f t="shared" si="27"/>
        <v>2.8298719000000001</v>
      </c>
      <c r="CU21" s="1">
        <f t="shared" si="27"/>
        <v>2.08934314</v>
      </c>
      <c r="CV21" s="1">
        <f t="shared" si="27"/>
        <v>2.1371287799999998</v>
      </c>
      <c r="CW21" s="1">
        <f t="shared" si="27"/>
        <v>2.3754365900000001</v>
      </c>
      <c r="CX21" s="1">
        <f t="shared" si="27"/>
        <v>2.2921349499999994</v>
      </c>
      <c r="CY21" s="1">
        <f t="shared" si="27"/>
        <v>1.76811707</v>
      </c>
      <c r="CZ21" s="1">
        <f t="shared" si="27"/>
        <v>1.0764735399999998</v>
      </c>
      <c r="DA21" s="1">
        <f t="shared" si="28"/>
        <v>3.87511991</v>
      </c>
      <c r="DB21" s="1">
        <f t="shared" si="28"/>
        <v>1.4111442899999997</v>
      </c>
      <c r="DC21" s="1">
        <f t="shared" si="28"/>
        <v>1.9463367499999997</v>
      </c>
      <c r="DD21" s="1">
        <f t="shared" si="28"/>
        <v>1.6096260199999999</v>
      </c>
      <c r="DE21" s="1">
        <f t="shared" si="28"/>
        <v>3.1723580499999997</v>
      </c>
      <c r="DF21" s="1">
        <f t="shared" si="28"/>
        <v>2.1279038099999998</v>
      </c>
      <c r="DG21" s="1">
        <f t="shared" si="28"/>
        <v>2.3778769799999995</v>
      </c>
      <c r="DH21" s="1">
        <f t="shared" si="28"/>
        <v>4.3175895799999999</v>
      </c>
      <c r="DJ21" s="1">
        <f t="shared" si="29"/>
        <v>18.261070109999999</v>
      </c>
      <c r="DK21" s="1">
        <f t="shared" si="29"/>
        <v>17.106185659999998</v>
      </c>
      <c r="DL21" s="1">
        <f t="shared" si="29"/>
        <v>18.533270270000003</v>
      </c>
      <c r="DM21" s="1">
        <f t="shared" si="29"/>
        <v>16.162930539999998</v>
      </c>
      <c r="DN21" s="1">
        <f t="shared" si="29"/>
        <v>12.802625309999998</v>
      </c>
      <c r="DO21" s="1">
        <f t="shared" si="29"/>
        <v>9.4713607899999985</v>
      </c>
      <c r="DP21" s="1">
        <f t="shared" si="29"/>
        <v>10.975213970000002</v>
      </c>
      <c r="DQ21" s="1">
        <f t="shared" si="29"/>
        <v>10.181194250000003</v>
      </c>
      <c r="DR21" s="1">
        <f t="shared" si="29"/>
        <v>12.329496939999999</v>
      </c>
      <c r="DS21" s="1">
        <f t="shared" si="29"/>
        <v>13.92452713</v>
      </c>
      <c r="DT21" s="1">
        <f t="shared" si="29"/>
        <v>11.75892646</v>
      </c>
      <c r="DU21" s="1">
        <f t="shared" si="29"/>
        <v>11.837628230000002</v>
      </c>
      <c r="DV21" s="1">
        <f t="shared" si="29"/>
        <v>13.531613630000001</v>
      </c>
      <c r="DW21" s="1">
        <f t="shared" si="29"/>
        <v>19.3334501</v>
      </c>
      <c r="DX21" s="1">
        <f t="shared" si="29"/>
        <v>18.318769970000002</v>
      </c>
      <c r="DY21" s="1">
        <f t="shared" ref="DY21:EG24" si="41">+VLOOKUP(DY$1,ran_dat,$BW21,FALSE)</f>
        <v>14.031594299999998</v>
      </c>
      <c r="DZ21" s="1">
        <f t="shared" si="41"/>
        <v>14.447589379999997</v>
      </c>
      <c r="EA21" s="1">
        <f t="shared" si="41"/>
        <v>14.265215759999998</v>
      </c>
      <c r="EB21" s="1">
        <f t="shared" si="41"/>
        <v>16.354180840000001</v>
      </c>
      <c r="EC21" s="1">
        <f t="shared" si="41"/>
        <v>10.919699229999997</v>
      </c>
      <c r="ED21" s="1">
        <f t="shared" si="41"/>
        <v>10.87912704</v>
      </c>
      <c r="EE21" s="1">
        <f t="shared" si="41"/>
        <v>7.3519509899999989</v>
      </c>
      <c r="EF21" s="1">
        <f t="shared" si="41"/>
        <v>4.9251834299999988</v>
      </c>
      <c r="EG21" s="1">
        <f t="shared" si="41"/>
        <v>2.5935797799999998</v>
      </c>
      <c r="EI21" s="14">
        <f t="shared" si="40"/>
        <v>19.93</v>
      </c>
      <c r="EJ21" s="14">
        <f t="shared" si="40"/>
        <v>19.59</v>
      </c>
      <c r="EK21" s="1">
        <f t="shared" si="40"/>
        <v>19.53</v>
      </c>
      <c r="EL21" s="1">
        <f t="shared" si="40"/>
        <v>19.43</v>
      </c>
      <c r="EM21" s="1">
        <f t="shared" si="40"/>
        <v>19.100000000000001</v>
      </c>
      <c r="EN21" s="1">
        <f t="shared" si="40"/>
        <v>18.97</v>
      </c>
      <c r="EO21" s="1">
        <f t="shared" si="40"/>
        <v>18.899999999999999</v>
      </c>
      <c r="EP21" s="1">
        <f t="shared" si="40"/>
        <v>18.78</v>
      </c>
      <c r="EQ21" s="1">
        <f t="shared" si="40"/>
        <v>18.72</v>
      </c>
      <c r="ER21" s="1">
        <f t="shared" si="40"/>
        <v>18.600000000000001</v>
      </c>
      <c r="ES21" s="1">
        <f t="shared" si="40"/>
        <v>18.38</v>
      </c>
      <c r="ET21" s="1">
        <f t="shared" si="40"/>
        <v>18.28</v>
      </c>
      <c r="EU21" s="1">
        <f t="shared" si="40"/>
        <v>18.239999999999998</v>
      </c>
      <c r="EV21" s="1">
        <f t="shared" si="40"/>
        <v>18.079999999999998</v>
      </c>
      <c r="EW21" s="1">
        <f t="shared" si="40"/>
        <v>17.989999999999998</v>
      </c>
      <c r="EX21" s="1">
        <f t="shared" si="40"/>
        <v>17.850000000000001</v>
      </c>
      <c r="EY21" s="1">
        <f t="shared" si="31"/>
        <v>17.73</v>
      </c>
      <c r="EZ21" s="1">
        <f t="shared" si="31"/>
        <v>17.510000000000002</v>
      </c>
      <c r="FA21" s="1">
        <f t="shared" si="31"/>
        <v>17.13</v>
      </c>
      <c r="FB21" s="1">
        <f t="shared" si="31"/>
        <v>16.89</v>
      </c>
      <c r="FC21" s="1">
        <f t="shared" si="31"/>
        <v>16.87</v>
      </c>
      <c r="FD21" s="1">
        <f t="shared" si="31"/>
        <v>16.8</v>
      </c>
      <c r="FE21" s="1">
        <f t="shared" si="31"/>
        <v>16.760000000000002</v>
      </c>
      <c r="FF21" s="1">
        <f t="shared" si="31"/>
        <v>16.84</v>
      </c>
      <c r="FH21" s="162">
        <f t="shared" si="32"/>
        <v>-6.839438041671464E-2</v>
      </c>
    </row>
    <row r="22" spans="1:164" ht="18.75" customHeight="1">
      <c r="A22" s="243" t="s">
        <v>75</v>
      </c>
      <c r="B22" s="246"/>
      <c r="C22" s="156">
        <f t="shared" si="5"/>
        <v>0.66</v>
      </c>
      <c r="D22" s="198">
        <v>1</v>
      </c>
      <c r="E22" s="248">
        <f t="shared" si="6"/>
        <v>0</v>
      </c>
      <c r="F22" s="249">
        <f t="shared" si="7"/>
        <v>-1.8868714688293764E-2</v>
      </c>
      <c r="G22" s="248">
        <f t="shared" si="8"/>
        <v>-2.6718165661643312E-2</v>
      </c>
      <c r="H22" s="249">
        <f t="shared" si="9"/>
        <v>2.6718165661643312E-2</v>
      </c>
      <c r="I22" s="248">
        <f t="shared" si="10"/>
        <v>0.30015932728479755</v>
      </c>
      <c r="J22" s="249">
        <f t="shared" si="11"/>
        <v>-3.5317986700287074E-2</v>
      </c>
      <c r="K22" s="248">
        <f t="shared" si="12"/>
        <v>0.38244413815791889</v>
      </c>
      <c r="L22" s="249">
        <f t="shared" si="13"/>
        <v>-8.2284810873121339E-2</v>
      </c>
      <c r="M22" s="250"/>
      <c r="N22" s="24">
        <v>0</v>
      </c>
      <c r="O22" s="248">
        <f t="shared" si="33"/>
        <v>0</v>
      </c>
      <c r="P22" s="251">
        <f t="shared" si="34"/>
        <v>0</v>
      </c>
      <c r="Q22" s="248">
        <f t="shared" si="14"/>
        <v>2.7745649856747434E-5</v>
      </c>
      <c r="R22" s="251">
        <f t="shared" si="35"/>
        <v>2.7745649856747434E-5</v>
      </c>
      <c r="S22" s="250"/>
      <c r="T22" s="24">
        <v>1</v>
      </c>
      <c r="U22" s="248">
        <f t="shared" si="15"/>
        <v>6.151446894509216E-2</v>
      </c>
      <c r="V22" s="252">
        <f t="shared" si="16"/>
        <v>6.151446894509216E-2</v>
      </c>
      <c r="W22" s="248">
        <f t="shared" si="36"/>
        <v>-0.15492078101538298</v>
      </c>
      <c r="X22" s="252">
        <f t="shared" si="17"/>
        <v>-0.15492078101538298</v>
      </c>
      <c r="Y22" s="248"/>
      <c r="Z22" s="252">
        <f t="shared" si="18"/>
        <v>0</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VLOOKUP($A22,historia!$A$5:$DD$24,+HLOOKUP(AP$2,historia!$A$3:$EC$4,2,FALSE),FALSE)</f>
        <v>3</v>
      </c>
      <c r="AQ22" s="28">
        <f>VLOOKUP($A22,historia!$A$5:$DD$24,+HLOOKUP(AQ$2,historia!$A$3:$EC$4,2,FALSE),FALSE)</f>
        <v>3</v>
      </c>
      <c r="AR22" s="28">
        <f>VLOOKUP($A22,historia!$A$5:$DD$24,+HLOOKUP(AR$2,historia!$A$3:$EC$4,2,FALSE),FALSE)</f>
        <v>3</v>
      </c>
      <c r="AS22" s="28">
        <f>VLOOKUP($A22,historia!$A$5:$DD$24,+HLOOKUP(AS$2,historia!$A$3:$EC$4,2,FALSE),FALSE)</f>
        <v>3</v>
      </c>
      <c r="AT22" s="58">
        <f>VLOOKUP($A22,historia!$A$5:$DD$24,+HLOOKUP(AT$2,historia!$A$3:$EC$4,2,FALSE),FALSE)</f>
        <v>3</v>
      </c>
      <c r="AU22" s="58">
        <f>VLOOKUP($A22,historia!$A$5:$DD$24,+HLOOKUP(AU$2,historia!$A$3:$EC$4,2,FALSE),FALSE)</f>
        <v>3</v>
      </c>
      <c r="AV22" s="58">
        <f>VLOOKUP($A22,historia!$A$5:$DD$24,+HLOOKUP(AV$2,historia!$A$3:$EC$4,2,FALSE),FALSE)</f>
        <v>3</v>
      </c>
      <c r="AW22" s="58">
        <f>VLOOKUP($A22,historia!$A$5:$DD$24,+HLOOKUP(AW$2,historia!$A$3:$EC$4,2,FALSE),FALSE)</f>
        <v>3</v>
      </c>
      <c r="AX22" s="58">
        <f>VLOOKUP($A22,historia!$A$5:$DD$24,+HLOOKUP(AX$2,historia!$A$3:$EC$4,2,FALSE),FALSE)</f>
        <v>3</v>
      </c>
      <c r="AY22" s="58">
        <f>VLOOKUP($A22,historia!$A$5:$DD$24,+HLOOKUP(AY$2,historia!$A$3:$EC$4,2,FALSE),FALSE)</f>
        <v>3</v>
      </c>
      <c r="AZ22" s="58">
        <f>VLOOKUP($A22,historia!$A$5:$DD$24,+HLOOKUP(AZ$2,historia!$A$3:$EC$4,2,FALSE),FALSE)</f>
        <v>3</v>
      </c>
      <c r="BA22" s="58">
        <f>VLOOKUP($A22,historia!$A$5:$DG$24,+HLOOKUP(BA$2,historia!$A$3:$EC$4,2,FALSE),FALSE)</f>
        <v>3</v>
      </c>
      <c r="BB22" s="58"/>
      <c r="BC22" s="286">
        <v>3</v>
      </c>
      <c r="BD22" t="str">
        <f t="shared" si="19"/>
        <v>Tabaco</v>
      </c>
      <c r="BE22">
        <f>+datos!BJ1</f>
        <v>62</v>
      </c>
      <c r="BF22" s="2" t="str">
        <f t="shared" si="4"/>
        <v>$/kg</v>
      </c>
      <c r="BG22" s="2">
        <f t="shared" si="4"/>
        <v>5875.42</v>
      </c>
      <c r="BH22" s="2">
        <f t="shared" si="4"/>
        <v>5875.42</v>
      </c>
      <c r="BI22" s="2">
        <f t="shared" si="4"/>
        <v>4519</v>
      </c>
      <c r="BK22" s="1">
        <f>+datos!FD1</f>
        <v>160</v>
      </c>
      <c r="BL22" s="1">
        <f t="shared" si="20"/>
        <v>60376</v>
      </c>
      <c r="BM22" s="1">
        <f t="shared" si="20"/>
        <v>60376</v>
      </c>
      <c r="BO22" s="1">
        <f>+datos!GX1</f>
        <v>206</v>
      </c>
      <c r="BP22" s="1">
        <f t="shared" si="21"/>
        <v>36042.686000000002</v>
      </c>
      <c r="BQ22" s="1">
        <f t="shared" si="21"/>
        <v>36041.686000000002</v>
      </c>
      <c r="BS22" s="1">
        <f>+datos!KC1</f>
        <v>289</v>
      </c>
      <c r="BT22" s="1">
        <f t="shared" si="38"/>
        <v>597.07798027000001</v>
      </c>
      <c r="BU22" s="1">
        <f t="shared" si="39"/>
        <v>562.47747698000001</v>
      </c>
      <c r="BW22" s="1">
        <f>+datos!LH1</f>
        <v>320</v>
      </c>
      <c r="BX22" s="2">
        <f t="shared" si="22"/>
        <v>48.531619039999995</v>
      </c>
      <c r="BY22" s="2">
        <f t="shared" si="23"/>
        <v>57.42848475000001</v>
      </c>
      <c r="CA22" s="1">
        <f>+datos!JD1</f>
        <v>264</v>
      </c>
      <c r="CB22" s="1">
        <f t="shared" si="24"/>
        <v>0</v>
      </c>
      <c r="CC22" s="1">
        <f t="shared" si="25"/>
        <v>0</v>
      </c>
      <c r="CD22" s="1"/>
      <c r="CE22">
        <f>+datos!DA1</f>
        <v>105</v>
      </c>
      <c r="CF22" s="2">
        <f t="shared" si="26"/>
        <v>14515.365312140437</v>
      </c>
      <c r="CG22" s="2">
        <f t="shared" si="26"/>
        <v>14913.835643514374</v>
      </c>
      <c r="CH22" s="2">
        <f t="shared" si="26"/>
        <v>10499.784339555225</v>
      </c>
      <c r="CI22" s="1"/>
      <c r="CK22" s="1">
        <f t="shared" ref="CK22:CZ24" si="42">+VLOOKUP(CK$1,ran_dat,$BS22,FALSE)</f>
        <v>36.186583909999996</v>
      </c>
      <c r="CL22" s="1">
        <f t="shared" si="42"/>
        <v>56.707234039999996</v>
      </c>
      <c r="CM22" s="1">
        <f t="shared" si="42"/>
        <v>37.459973120000001</v>
      </c>
      <c r="CN22" s="1">
        <f t="shared" si="42"/>
        <v>10.172513039999997</v>
      </c>
      <c r="CO22" s="1">
        <f t="shared" si="42"/>
        <v>86.187029549999991</v>
      </c>
      <c r="CP22" s="1">
        <f t="shared" si="42"/>
        <v>13.8144042</v>
      </c>
      <c r="CQ22" s="1">
        <f t="shared" si="42"/>
        <v>30.603557829999996</v>
      </c>
      <c r="CR22" s="1">
        <f t="shared" si="42"/>
        <v>71.370433359999993</v>
      </c>
      <c r="CS22" s="1">
        <f t="shared" si="42"/>
        <v>81.464957519999999</v>
      </c>
      <c r="CT22" s="1">
        <f t="shared" si="42"/>
        <v>72.4463358</v>
      </c>
      <c r="CU22" s="1">
        <f t="shared" si="42"/>
        <v>45.834687599999995</v>
      </c>
      <c r="CV22" s="1">
        <f t="shared" si="42"/>
        <v>54.830270300000002</v>
      </c>
      <c r="CW22" s="1">
        <f t="shared" si="42"/>
        <v>93.57534471000001</v>
      </c>
      <c r="CX22" s="1">
        <f t="shared" si="42"/>
        <v>121.04017274</v>
      </c>
      <c r="CY22" s="1">
        <f t="shared" si="42"/>
        <v>27.891120319999999</v>
      </c>
      <c r="CZ22" s="1">
        <f t="shared" si="42"/>
        <v>5.5120895000000001</v>
      </c>
      <c r="DA22" s="1">
        <f t="shared" ref="DA22:DH24" si="43">+VLOOKUP(DA$1,ran_dat,$BS22,FALSE)</f>
        <v>9.7228914799999995</v>
      </c>
      <c r="DB22" s="1">
        <f t="shared" si="43"/>
        <v>6.2035308000000002</v>
      </c>
      <c r="DC22" s="1">
        <f t="shared" si="43"/>
        <v>65.18720725</v>
      </c>
      <c r="DD22" s="1">
        <f t="shared" si="43"/>
        <v>34.962073999999994</v>
      </c>
      <c r="DE22" s="1">
        <f t="shared" si="43"/>
        <v>41.640055749999995</v>
      </c>
      <c r="DF22" s="1">
        <f t="shared" si="43"/>
        <v>54.488227269999996</v>
      </c>
      <c r="DG22" s="1">
        <f t="shared" si="43"/>
        <v>45.888815350000002</v>
      </c>
      <c r="DH22" s="1">
        <f t="shared" si="43"/>
        <v>56.365947810000002</v>
      </c>
      <c r="DJ22" s="1">
        <f t="shared" ref="DJ22:DY24" si="44">+VLOOKUP(DJ$1,ran_dat,$BW22,FALSE)</f>
        <v>6.0739887699999997</v>
      </c>
      <c r="DK22" s="1">
        <f t="shared" si="44"/>
        <v>4.24949917</v>
      </c>
      <c r="DL22" s="1">
        <f t="shared" si="44"/>
        <v>5.1064074300000009</v>
      </c>
      <c r="DM22" s="1">
        <f t="shared" si="44"/>
        <v>3.8621701900000001</v>
      </c>
      <c r="DN22" s="1">
        <f t="shared" si="44"/>
        <v>4.1810604400000004</v>
      </c>
      <c r="DO22" s="1">
        <f t="shared" si="44"/>
        <v>2.54586113</v>
      </c>
      <c r="DP22" s="1">
        <f t="shared" si="44"/>
        <v>3.7941515599999995</v>
      </c>
      <c r="DQ22" s="1">
        <f t="shared" si="44"/>
        <v>4.1345480800000001</v>
      </c>
      <c r="DR22" s="1">
        <f t="shared" si="44"/>
        <v>4.4276183800000002</v>
      </c>
      <c r="DS22" s="1">
        <f t="shared" si="44"/>
        <v>4.1999923900000002</v>
      </c>
      <c r="DT22" s="1">
        <f t="shared" si="44"/>
        <v>3.4339864000000002</v>
      </c>
      <c r="DU22" s="1">
        <f t="shared" si="44"/>
        <v>2.5223350999999994</v>
      </c>
      <c r="DV22" s="1">
        <f t="shared" si="44"/>
        <v>3.5013919399999995</v>
      </c>
      <c r="DW22" s="1">
        <f t="shared" si="44"/>
        <v>4.00557768</v>
      </c>
      <c r="DX22" s="1">
        <f t="shared" si="44"/>
        <v>5.1774083700000002</v>
      </c>
      <c r="DY22" s="1">
        <f t="shared" si="44"/>
        <v>5.7823087099999997</v>
      </c>
      <c r="DZ22" s="1">
        <f t="shared" si="41"/>
        <v>5.6310443999999995</v>
      </c>
      <c r="EA22" s="1">
        <f t="shared" si="41"/>
        <v>4.1108512499999996</v>
      </c>
      <c r="EB22" s="1">
        <f t="shared" si="41"/>
        <v>6.9241559000000006</v>
      </c>
      <c r="EC22" s="1">
        <f t="shared" si="41"/>
        <v>4.9762964800000002</v>
      </c>
      <c r="ED22" s="1">
        <f t="shared" si="41"/>
        <v>5.7062324599999998</v>
      </c>
      <c r="EE22" s="1">
        <f t="shared" si="41"/>
        <v>5.3893107900000006</v>
      </c>
      <c r="EF22" s="1">
        <f t="shared" si="41"/>
        <v>5.0602291599999996</v>
      </c>
      <c r="EG22" s="1">
        <f t="shared" si="41"/>
        <v>1.1636776099999999</v>
      </c>
      <c r="EI22" s="14">
        <f t="shared" si="40"/>
        <v>0</v>
      </c>
      <c r="EJ22" s="14">
        <f t="shared" si="40"/>
        <v>0</v>
      </c>
      <c r="EK22" s="1">
        <f t="shared" si="40"/>
        <v>0</v>
      </c>
      <c r="EL22" s="1">
        <f t="shared" si="40"/>
        <v>0</v>
      </c>
      <c r="EM22" s="1">
        <f t="shared" si="40"/>
        <v>0</v>
      </c>
      <c r="EN22" s="1">
        <f t="shared" si="40"/>
        <v>0</v>
      </c>
      <c r="EO22" s="1">
        <f t="shared" si="40"/>
        <v>0</v>
      </c>
      <c r="EP22" s="1">
        <f t="shared" si="40"/>
        <v>0</v>
      </c>
      <c r="EQ22" s="1">
        <f t="shared" si="40"/>
        <v>0</v>
      </c>
      <c r="ER22" s="1">
        <f t="shared" si="40"/>
        <v>0</v>
      </c>
      <c r="ES22" s="1">
        <f t="shared" si="40"/>
        <v>0</v>
      </c>
      <c r="ET22" s="1">
        <f t="shared" si="40"/>
        <v>0</v>
      </c>
      <c r="EU22" s="1">
        <f t="shared" si="40"/>
        <v>0</v>
      </c>
      <c r="EV22" s="1">
        <f t="shared" si="40"/>
        <v>0</v>
      </c>
      <c r="EW22" s="1">
        <f t="shared" si="40"/>
        <v>0</v>
      </c>
      <c r="EX22" s="1">
        <f t="shared" ref="EX22:FF24" si="45">+VLOOKUP(EX$1,ran_dat,$CA22,FALSE)</f>
        <v>0</v>
      </c>
      <c r="EY22" s="1">
        <f t="shared" si="45"/>
        <v>0</v>
      </c>
      <c r="EZ22" s="1">
        <f t="shared" si="45"/>
        <v>0</v>
      </c>
      <c r="FA22" s="1">
        <f t="shared" si="45"/>
        <v>0</v>
      </c>
      <c r="FB22" s="1">
        <f t="shared" si="45"/>
        <v>0</v>
      </c>
      <c r="FC22" s="1">
        <f t="shared" si="45"/>
        <v>0</v>
      </c>
      <c r="FD22" s="1">
        <f t="shared" si="45"/>
        <v>0</v>
      </c>
      <c r="FE22" s="1">
        <f t="shared" si="45"/>
        <v>0</v>
      </c>
      <c r="FF22" s="1">
        <f t="shared" si="45"/>
        <v>0</v>
      </c>
      <c r="FH22" s="162">
        <f t="shared" si="32"/>
        <v>-8.2284810873121339E-2</v>
      </c>
    </row>
    <row r="23" spans="1:164" ht="18.75" customHeight="1">
      <c r="A23" s="244" t="s">
        <v>219</v>
      </c>
      <c r="B23" s="247"/>
      <c r="C23" s="228">
        <f t="shared" si="5"/>
        <v>-0.99</v>
      </c>
      <c r="D23" s="229">
        <v>-1</v>
      </c>
      <c r="E23" s="253">
        <f t="shared" si="6"/>
        <v>-6.8328782713447112E-2</v>
      </c>
      <c r="F23" s="254">
        <f t="shared" si="7"/>
        <v>-8.7197497401740875E-2</v>
      </c>
      <c r="G23" s="253">
        <f t="shared" si="8"/>
        <v>-5.2626387134196317E-2</v>
      </c>
      <c r="H23" s="254">
        <f t="shared" si="9"/>
        <v>-1.5702395579250794E-2</v>
      </c>
      <c r="I23" s="253">
        <f t="shared" si="10"/>
        <v>-0.17202026734961184</v>
      </c>
      <c r="J23" s="254">
        <f t="shared" si="11"/>
        <v>-0.50749758133469647</v>
      </c>
      <c r="K23" s="253">
        <f t="shared" si="12"/>
        <v>0.32989862978225748</v>
      </c>
      <c r="L23" s="254">
        <f t="shared" si="13"/>
        <v>-0.50191889713186932</v>
      </c>
      <c r="M23" s="255"/>
      <c r="N23" s="256">
        <v>-2</v>
      </c>
      <c r="O23" s="253">
        <f t="shared" si="33"/>
        <v>0</v>
      </c>
      <c r="P23" s="257">
        <f t="shared" si="34"/>
        <v>0</v>
      </c>
      <c r="Q23" s="253">
        <f t="shared" si="14"/>
        <v>-7.6201048455332931E-2</v>
      </c>
      <c r="R23" s="257">
        <f t="shared" si="35"/>
        <v>-7.6201048455332931E-2</v>
      </c>
      <c r="S23" s="255"/>
      <c r="T23" s="256">
        <v>0</v>
      </c>
      <c r="U23" s="253">
        <f t="shared" si="15"/>
        <v>-4.961258481529518E-2</v>
      </c>
      <c r="V23" s="258">
        <f t="shared" si="16"/>
        <v>-4.961258481529518E-2</v>
      </c>
      <c r="W23" s="253">
        <f t="shared" si="36"/>
        <v>0.18819247319975019</v>
      </c>
      <c r="X23" s="258">
        <f t="shared" si="17"/>
        <v>0.18819247319975019</v>
      </c>
      <c r="Y23" s="253">
        <f t="shared" si="37"/>
        <v>-8.2089552238805874E-2</v>
      </c>
      <c r="Z23" s="258">
        <f t="shared" si="18"/>
        <v>-8.2089552238805874E-2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VLOOKUP($A23,historia!$A$5:$DD$24,+HLOOKUP(AP$2,historia!$A$3:$EC$4,2,FALSE),FALSE)</f>
        <v>4</v>
      </c>
      <c r="AQ23" s="28">
        <f>VLOOKUP($A23,historia!$A$5:$DD$24,+HLOOKUP(AQ$2,historia!$A$3:$EC$4,2,FALSE),FALSE)</f>
        <v>4</v>
      </c>
      <c r="AR23" s="28">
        <f>VLOOKUP($A23,historia!$A$5:$DD$24,+HLOOKUP(AR$2,historia!$A$3:$EC$4,2,FALSE),FALSE)</f>
        <v>4</v>
      </c>
      <c r="AS23" s="28">
        <f>VLOOKUP($A23,historia!$A$5:$DD$24,+HLOOKUP(AS$2,historia!$A$3:$EC$4,2,FALSE),FALSE)</f>
        <v>4</v>
      </c>
      <c r="AT23" s="58">
        <f>VLOOKUP($A23,historia!$A$5:$DD$24,+HLOOKUP(AT$2,historia!$A$3:$EC$4,2,FALSE),FALSE)</f>
        <v>4</v>
      </c>
      <c r="AU23" s="58">
        <f>VLOOKUP($A23,historia!$A$5:$DD$24,+HLOOKUP(AU$2,historia!$A$3:$EC$4,2,FALSE),FALSE)</f>
        <v>4</v>
      </c>
      <c r="AV23" s="58">
        <f>VLOOKUP($A23,historia!$A$5:$DD$24,+HLOOKUP(AV$2,historia!$A$3:$EC$4,2,FALSE),FALSE)</f>
        <v>5</v>
      </c>
      <c r="AW23" s="58">
        <f>VLOOKUP($A23,historia!$A$5:$DD$24,+HLOOKUP(AW$2,historia!$A$3:$EC$4,2,FALSE),FALSE)</f>
        <v>5</v>
      </c>
      <c r="AX23" s="58">
        <f>VLOOKUP($A23,historia!$A$5:$DD$24,+HLOOKUP(AX$2,historia!$A$3:$EC$4,2,FALSE),FALSE)</f>
        <v>4</v>
      </c>
      <c r="AY23" s="58">
        <f>VLOOKUP($A23,historia!$A$5:$DD$24,+HLOOKUP(AY$2,historia!$A$3:$EC$4,2,FALSE),FALSE)</f>
        <v>5</v>
      </c>
      <c r="AZ23" s="58">
        <f>VLOOKUP($A23,historia!$A$5:$DD$24,+HLOOKUP(AZ$2,historia!$A$3:$EC$4,2,FALSE),FALSE)</f>
        <v>4</v>
      </c>
      <c r="BA23" s="58">
        <f>VLOOKUP($A23,historia!$A$5:$DG$24,+HLOOKUP(BA$2,historia!$A$3:$EC$4,2,FALSE),FALSE)</f>
        <v>4</v>
      </c>
      <c r="BB23" s="58"/>
      <c r="BC23" s="286">
        <v>4</v>
      </c>
      <c r="BD23" t="str">
        <f t="shared" si="19"/>
        <v>Vino y Mosto</v>
      </c>
      <c r="BE23">
        <f>+datos!AM1</f>
        <v>39</v>
      </c>
      <c r="BF23" s="2" t="str">
        <f t="shared" si="4"/>
        <v>$/l</v>
      </c>
      <c r="BG23" s="2">
        <f t="shared" si="4"/>
        <v>254.7586</v>
      </c>
      <c r="BH23" s="2">
        <f t="shared" si="4"/>
        <v>273.44260000000003</v>
      </c>
      <c r="BI23" s="2">
        <f t="shared" si="4"/>
        <v>307.68700000000001</v>
      </c>
      <c r="BK23" s="1">
        <f>+datos!EF1</f>
        <v>136</v>
      </c>
      <c r="BL23" s="1">
        <f t="shared" si="20"/>
        <v>196220</v>
      </c>
      <c r="BM23" s="1">
        <f t="shared" si="20"/>
        <v>196220</v>
      </c>
      <c r="BO23" s="1">
        <f>+datos!GB1</f>
        <v>184</v>
      </c>
      <c r="BP23" s="1">
        <f t="shared" si="21"/>
        <v>18391299</v>
      </c>
      <c r="BQ23" s="1">
        <f t="shared" si="21"/>
        <v>19908335</v>
      </c>
      <c r="BS23" s="1">
        <f>+datos!JU1</f>
        <v>281</v>
      </c>
      <c r="BT23" s="1">
        <f t="shared" si="38"/>
        <v>959.05922255999997</v>
      </c>
      <c r="BU23" s="1">
        <f t="shared" si="39"/>
        <v>1009.12449727</v>
      </c>
      <c r="BW23" s="1">
        <f>+datos!KZ1</f>
        <v>312</v>
      </c>
      <c r="BX23" s="2">
        <f t="shared" si="22"/>
        <v>40.539414620000002</v>
      </c>
      <c r="BY23" s="2">
        <f t="shared" si="23"/>
        <v>34.11855868</v>
      </c>
      <c r="CA23" s="1">
        <f>+datos!IQ1</f>
        <v>251</v>
      </c>
      <c r="CB23" s="2">
        <f t="shared" si="24"/>
        <v>14.76</v>
      </c>
      <c r="CC23" s="2">
        <f t="shared" si="25"/>
        <v>16.079999999999998</v>
      </c>
      <c r="CD23" s="2"/>
      <c r="CE23">
        <f>+datos!CP1</f>
        <v>94</v>
      </c>
      <c r="CF23" s="2">
        <f t="shared" si="26"/>
        <v>14910.247993334087</v>
      </c>
      <c r="CG23" s="2">
        <f t="shared" si="26"/>
        <v>15738.50885315521</v>
      </c>
      <c r="CH23" s="2">
        <f t="shared" si="26"/>
        <v>11211.567302520887</v>
      </c>
      <c r="CI23" s="2"/>
      <c r="CK23" s="1">
        <f t="shared" si="42"/>
        <v>79.130319490000005</v>
      </c>
      <c r="CL23" s="1">
        <f t="shared" si="42"/>
        <v>85.65420979999999</v>
      </c>
      <c r="CM23" s="1">
        <f t="shared" si="42"/>
        <v>77.857583390000002</v>
      </c>
      <c r="CN23" s="1">
        <f t="shared" si="42"/>
        <v>79.896688470000015</v>
      </c>
      <c r="CO23" s="1">
        <f t="shared" si="42"/>
        <v>62.074398439999996</v>
      </c>
      <c r="CP23" s="1">
        <f t="shared" si="42"/>
        <v>51.281836970000001</v>
      </c>
      <c r="CQ23" s="1">
        <f t="shared" si="42"/>
        <v>78.732425000000021</v>
      </c>
      <c r="CR23" s="1">
        <f t="shared" si="42"/>
        <v>78.044882909999998</v>
      </c>
      <c r="CS23" s="1">
        <f t="shared" si="42"/>
        <v>79.565238250000007</v>
      </c>
      <c r="CT23" s="1">
        <f t="shared" si="42"/>
        <v>103.29015631000003</v>
      </c>
      <c r="CU23" s="1">
        <f t="shared" si="42"/>
        <v>82.138745600000007</v>
      </c>
      <c r="CV23" s="1">
        <f t="shared" si="42"/>
        <v>101.39273792999998</v>
      </c>
      <c r="CW23" s="1">
        <f t="shared" si="42"/>
        <v>71.170798900000008</v>
      </c>
      <c r="CX23" s="1">
        <f t="shared" si="42"/>
        <v>88.994061629999976</v>
      </c>
      <c r="CY23" s="1">
        <f t="shared" si="42"/>
        <v>77.155977009999987</v>
      </c>
      <c r="CZ23" s="1">
        <f t="shared" si="42"/>
        <v>74.722979570000021</v>
      </c>
      <c r="DA23" s="1">
        <f t="shared" si="43"/>
        <v>63.754065359999977</v>
      </c>
      <c r="DB23" s="1">
        <f t="shared" si="43"/>
        <v>50.923025279999997</v>
      </c>
      <c r="DC23" s="1">
        <f t="shared" si="43"/>
        <v>85.381089520000018</v>
      </c>
      <c r="DD23" s="1">
        <f t="shared" si="43"/>
        <v>87.09478919</v>
      </c>
      <c r="DE23" s="1">
        <f t="shared" si="43"/>
        <v>88.790830600000021</v>
      </c>
      <c r="DF23" s="1">
        <f t="shared" si="43"/>
        <v>106.11166329999998</v>
      </c>
      <c r="DG23" s="1">
        <f t="shared" si="43"/>
        <v>99.074693340000039</v>
      </c>
      <c r="DH23" s="1">
        <f t="shared" si="43"/>
        <v>115.95052356999999</v>
      </c>
      <c r="DJ23" s="1">
        <f t="shared" si="44"/>
        <v>3.2996336199999998</v>
      </c>
      <c r="DK23" s="1">
        <f t="shared" si="44"/>
        <v>3.0241928699999998</v>
      </c>
      <c r="DL23" s="1">
        <f t="shared" si="44"/>
        <v>4.4863890000000008</v>
      </c>
      <c r="DM23" s="1">
        <f t="shared" si="44"/>
        <v>2.3774346500000001</v>
      </c>
      <c r="DN23" s="1">
        <f t="shared" si="44"/>
        <v>1.8929445199999999</v>
      </c>
      <c r="DO23" s="1">
        <f t="shared" si="44"/>
        <v>0.82771172999999998</v>
      </c>
      <c r="DP23" s="1">
        <f t="shared" si="44"/>
        <v>2.0960773500000003</v>
      </c>
      <c r="DQ23" s="1">
        <f t="shared" si="44"/>
        <v>4.0370959900000001</v>
      </c>
      <c r="DR23" s="1">
        <f t="shared" si="44"/>
        <v>5.8187882499999999</v>
      </c>
      <c r="DS23" s="1">
        <f t="shared" si="44"/>
        <v>6.2238594599999999</v>
      </c>
      <c r="DT23" s="1">
        <f t="shared" si="44"/>
        <v>3.3465065500000004</v>
      </c>
      <c r="DU23" s="1">
        <f t="shared" si="44"/>
        <v>3.10878063</v>
      </c>
      <c r="DV23" s="1">
        <f t="shared" si="44"/>
        <v>5.0584831100000001</v>
      </c>
      <c r="DW23" s="1">
        <f t="shared" si="44"/>
        <v>4.0554375800000004</v>
      </c>
      <c r="DX23" s="1">
        <f t="shared" si="44"/>
        <v>3.476448889999999</v>
      </c>
      <c r="DY23" s="1">
        <f t="shared" si="44"/>
        <v>3.23844815</v>
      </c>
      <c r="DZ23" s="1">
        <f t="shared" si="41"/>
        <v>1.94679845</v>
      </c>
      <c r="EA23" s="1">
        <f t="shared" si="41"/>
        <v>0.41117072999999998</v>
      </c>
      <c r="EB23" s="1">
        <f t="shared" si="41"/>
        <v>1.6918772199999998</v>
      </c>
      <c r="EC23" s="1">
        <f t="shared" si="41"/>
        <v>4.1008112300000006</v>
      </c>
      <c r="ED23" s="1">
        <f t="shared" si="41"/>
        <v>2.9628047099999995</v>
      </c>
      <c r="EE23" s="1">
        <f t="shared" si="41"/>
        <v>2.4415022799999999</v>
      </c>
      <c r="EF23" s="1">
        <f t="shared" si="41"/>
        <v>2.4186424700000004</v>
      </c>
      <c r="EG23" s="1">
        <f t="shared" si="41"/>
        <v>2.3161338599999999</v>
      </c>
      <c r="EI23" s="14">
        <f t="shared" ref="EI23:EX24" si="46">+VLOOKUP(EI$1,ran_dat,$CA23,FALSE)</f>
        <v>14.76</v>
      </c>
      <c r="EJ23" s="14">
        <f t="shared" si="46"/>
        <v>14.52</v>
      </c>
      <c r="EK23" s="1">
        <f t="shared" si="46"/>
        <v>14.52</v>
      </c>
      <c r="EL23" s="1">
        <f t="shared" si="46"/>
        <v>14.399999999999999</v>
      </c>
      <c r="EM23" s="1">
        <f t="shared" si="46"/>
        <v>13.74</v>
      </c>
      <c r="EN23" s="1">
        <f t="shared" si="46"/>
        <v>14.399999999999999</v>
      </c>
      <c r="EO23" s="1">
        <f t="shared" si="46"/>
        <v>16.079999999999998</v>
      </c>
      <c r="EP23" s="1">
        <f t="shared" si="46"/>
        <v>16.079999999999998</v>
      </c>
      <c r="EQ23" s="1">
        <f t="shared" si="46"/>
        <v>16.079999999999998</v>
      </c>
      <c r="ER23" s="1">
        <f t="shared" si="46"/>
        <v>16.079999999999998</v>
      </c>
      <c r="ES23" s="1">
        <f t="shared" si="46"/>
        <v>16.079999999999998</v>
      </c>
      <c r="ET23" s="1">
        <f t="shared" si="46"/>
        <v>16.079999999999998</v>
      </c>
      <c r="EU23" s="1">
        <f t="shared" si="46"/>
        <v>16.079999999999998</v>
      </c>
      <c r="EV23" s="1">
        <f t="shared" si="46"/>
        <v>16.079999999999998</v>
      </c>
      <c r="EW23" s="1">
        <f t="shared" si="46"/>
        <v>16.079999999999998</v>
      </c>
      <c r="EX23" s="1">
        <f t="shared" si="46"/>
        <v>16.079999999999998</v>
      </c>
      <c r="EY23" s="1">
        <f t="shared" si="45"/>
        <v>16.079999999999998</v>
      </c>
      <c r="EZ23" s="1">
        <f t="shared" si="45"/>
        <v>16.079999999999998</v>
      </c>
      <c r="FA23" s="1">
        <f t="shared" si="45"/>
        <v>16.3</v>
      </c>
      <c r="FB23" s="1">
        <f t="shared" si="45"/>
        <v>16.3</v>
      </c>
      <c r="FC23" s="1">
        <f t="shared" si="45"/>
        <v>16.3</v>
      </c>
      <c r="FD23" s="1">
        <f t="shared" si="45"/>
        <v>16.3</v>
      </c>
      <c r="FE23" s="1">
        <f t="shared" si="45"/>
        <v>16.3</v>
      </c>
      <c r="FF23" s="1">
        <f t="shared" si="45"/>
        <v>16.3</v>
      </c>
      <c r="FH23" s="162">
        <f t="shared" si="32"/>
        <v>-0.50191889713186932</v>
      </c>
    </row>
    <row r="24" spans="1:164" ht="18.75" customHeight="1">
      <c r="A24" s="243" t="s">
        <v>39</v>
      </c>
      <c r="B24" s="246"/>
      <c r="C24" s="156">
        <f t="shared" si="5"/>
        <v>-0.65999999999999992</v>
      </c>
      <c r="D24" s="198">
        <v>-3</v>
      </c>
      <c r="E24" s="248">
        <f t="shared" si="6"/>
        <v>4.0000000000000036E-2</v>
      </c>
      <c r="F24" s="249">
        <f t="shared" si="7"/>
        <v>2.1131285311706272E-2</v>
      </c>
      <c r="G24" s="248">
        <f t="shared" si="8"/>
        <v>-1.5640363285952419E-2</v>
      </c>
      <c r="H24" s="249">
        <f t="shared" si="9"/>
        <v>5.5640363285952454E-2</v>
      </c>
      <c r="I24" s="248">
        <f t="shared" si="10"/>
        <v>-0.1333333333333333</v>
      </c>
      <c r="J24" s="249">
        <f t="shared" si="11"/>
        <v>-0.46881064731841793</v>
      </c>
      <c r="K24" s="248">
        <f t="shared" si="12"/>
        <v>0.32634256881438262</v>
      </c>
      <c r="L24" s="249">
        <f t="shared" si="13"/>
        <v>-0.45967590214771592</v>
      </c>
      <c r="M24" s="250"/>
      <c r="N24" s="24">
        <v>1</v>
      </c>
      <c r="O24" s="248">
        <f t="shared" si="33"/>
        <v>0</v>
      </c>
      <c r="P24" s="251">
        <f t="shared" si="34"/>
        <v>0</v>
      </c>
      <c r="Q24" s="248">
        <f t="shared" si="14"/>
        <v>-1.8809497889778037E-2</v>
      </c>
      <c r="R24" s="251">
        <f t="shared" si="35"/>
        <v>-1.8809497889778037E-2</v>
      </c>
      <c r="S24" s="250"/>
      <c r="T24" s="24">
        <v>0</v>
      </c>
      <c r="U24" s="248">
        <f t="shared" si="15"/>
        <v>0.12581371011504183</v>
      </c>
      <c r="V24" s="252">
        <f t="shared" si="16"/>
        <v>0.12581371011504183</v>
      </c>
      <c r="W24" s="248">
        <f t="shared" si="36"/>
        <v>-9.2076491941165961E-2</v>
      </c>
      <c r="X24" s="258">
        <f t="shared" si="17"/>
        <v>-9.2076491941165961E-2</v>
      </c>
      <c r="Y24" s="248">
        <f t="shared" si="37"/>
        <v>5.4991219757390297E-2</v>
      </c>
      <c r="Z24" s="252">
        <f t="shared" si="18"/>
        <v>5.4991219757390297E-2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VLOOKUP($A24,historia!$A$5:$DD$24,+HLOOKUP(AP$2,historia!$A$3:$EC$4,2,FALSE),FALSE)</f>
        <v>4</v>
      </c>
      <c r="AQ24" s="28">
        <f>VLOOKUP($A24,historia!$A$5:$DD$24,+HLOOKUP(AQ$2,historia!$A$3:$EC$4,2,FALSE),FALSE)</f>
        <v>4</v>
      </c>
      <c r="AR24" s="28">
        <f>VLOOKUP($A24,historia!$A$5:$DD$24,+HLOOKUP(AR$2,historia!$A$3:$EC$4,2,FALSE),FALSE)</f>
        <v>4</v>
      </c>
      <c r="AS24" s="28">
        <f>VLOOKUP($A24,historia!$A$5:$DD$24,+HLOOKUP(AS$2,historia!$A$3:$EC$4,2,FALSE),FALSE)</f>
        <v>4</v>
      </c>
      <c r="AT24" s="58">
        <f>VLOOKUP($A24,historia!$A$5:$DD$24,+HLOOKUP(AT$2,historia!$A$3:$EC$4,2,FALSE),FALSE)</f>
        <v>4</v>
      </c>
      <c r="AU24" s="58">
        <f>VLOOKUP($A24,historia!$A$5:$DD$24,+HLOOKUP(AU$2,historia!$A$3:$EC$4,2,FALSE),FALSE)</f>
        <v>4</v>
      </c>
      <c r="AV24" s="58">
        <f>VLOOKUP($A24,historia!$A$5:$DD$24,+HLOOKUP(AV$2,historia!$A$3:$EC$4,2,FALSE),FALSE)</f>
        <v>4</v>
      </c>
      <c r="AW24" s="58">
        <f>VLOOKUP($A24,historia!$A$5:$DD$24,+HLOOKUP(AW$2,historia!$A$3:$EC$4,2,FALSE),FALSE)</f>
        <v>4</v>
      </c>
      <c r="AX24" s="58">
        <f>VLOOKUP($A24,historia!$A$5:$DD$24,+HLOOKUP(AX$2,historia!$A$3:$EC$4,2,FALSE),FALSE)</f>
        <v>4</v>
      </c>
      <c r="AY24" s="58">
        <f>VLOOKUP($A24,historia!$A$5:$DD$24,+HLOOKUP(AY$2,historia!$A$3:$EC$4,2,FALSE),FALSE)</f>
        <v>4</v>
      </c>
      <c r="AZ24" s="58">
        <f>VLOOKUP($A24,historia!$A$5:$DD$24,+HLOOKUP(AZ$2,historia!$A$3:$EC$4,2,FALSE),FALSE)</f>
        <v>4</v>
      </c>
      <c r="BA24" s="58">
        <f>VLOOKUP($A24,historia!$A$5:$DG$24,+HLOOKUP(BA$2,historia!$A$3:$EC$4,2,FALSE),FALSE)</f>
        <v>4</v>
      </c>
      <c r="BB24" s="58"/>
      <c r="BC24" s="286">
        <v>4</v>
      </c>
      <c r="BD24" t="str">
        <f t="shared" si="19"/>
        <v>Yerba Mate</v>
      </c>
      <c r="BE24">
        <f>+datos!AG1</f>
        <v>33</v>
      </c>
      <c r="BF24" s="2" t="str">
        <f t="shared" si="4"/>
        <v>$/t</v>
      </c>
      <c r="BG24" s="2">
        <f t="shared" si="4"/>
        <v>260000</v>
      </c>
      <c r="BH24" s="2">
        <f t="shared" si="4"/>
        <v>250000</v>
      </c>
      <c r="BI24" s="2">
        <f t="shared" si="4"/>
        <v>300000</v>
      </c>
      <c r="BK24" s="1">
        <f>+datos!ED1</f>
        <v>134</v>
      </c>
      <c r="BL24" s="1">
        <f t="shared" si="20"/>
        <v>231352</v>
      </c>
      <c r="BM24" s="1">
        <f t="shared" si="20"/>
        <v>231352</v>
      </c>
      <c r="BO24" s="1">
        <f>+datos!FZ1</f>
        <v>182</v>
      </c>
      <c r="BP24" s="1">
        <f t="shared" si="21"/>
        <v>856242.76</v>
      </c>
      <c r="BQ24" s="1">
        <f t="shared" si="21"/>
        <v>872657</v>
      </c>
      <c r="BS24" s="1">
        <f>+datos!KD1</f>
        <v>290</v>
      </c>
      <c r="BT24" s="1">
        <f t="shared" si="38"/>
        <v>128.46168394999998</v>
      </c>
      <c r="BU24" s="1">
        <f t="shared" si="39"/>
        <v>114.10563114999999</v>
      </c>
      <c r="BW24" s="1">
        <f>+datos!LI1</f>
        <v>321</v>
      </c>
      <c r="BX24" s="2">
        <f t="shared" si="22"/>
        <v>20.517588180000001</v>
      </c>
      <c r="BY24" s="2">
        <f t="shared" si="23"/>
        <v>22.59836649</v>
      </c>
      <c r="CA24" s="1">
        <f>+datos!IP1</f>
        <v>250</v>
      </c>
      <c r="CB24" s="2">
        <f t="shared" si="24"/>
        <v>6.0582595428363648</v>
      </c>
      <c r="CC24" s="2">
        <f t="shared" si="25"/>
        <v>5.7424738987207355</v>
      </c>
      <c r="CD24" s="2"/>
      <c r="CE24">
        <f>+datos!CY1</f>
        <v>103</v>
      </c>
      <c r="CF24" s="2">
        <f t="shared" si="26"/>
        <v>13659.743605167978</v>
      </c>
      <c r="CG24" s="2">
        <f t="shared" si="26"/>
        <v>13876.781509211838</v>
      </c>
      <c r="CH24" s="2">
        <f t="shared" si="26"/>
        <v>10298.80509480927</v>
      </c>
      <c r="CI24" s="2"/>
      <c r="CK24" s="1">
        <f t="shared" si="42"/>
        <v>11.89200067</v>
      </c>
      <c r="CL24" s="1">
        <f t="shared" si="42"/>
        <v>10.248770849999998</v>
      </c>
      <c r="CM24" s="1">
        <f t="shared" si="42"/>
        <v>6.8683825000000009</v>
      </c>
      <c r="CN24" s="1">
        <f t="shared" si="42"/>
        <v>11.30577291</v>
      </c>
      <c r="CO24" s="1">
        <f t="shared" si="42"/>
        <v>6.4893821299999992</v>
      </c>
      <c r="CP24" s="1">
        <f t="shared" si="42"/>
        <v>7.9660401599999986</v>
      </c>
      <c r="CQ24" s="1">
        <f t="shared" si="42"/>
        <v>11.742414109999999</v>
      </c>
      <c r="CR24" s="1">
        <f t="shared" si="42"/>
        <v>9.2986503200000001</v>
      </c>
      <c r="CS24" s="1">
        <f t="shared" si="42"/>
        <v>19.294760099999998</v>
      </c>
      <c r="CT24" s="1">
        <f t="shared" si="42"/>
        <v>12.267837869999999</v>
      </c>
      <c r="CU24" s="1">
        <f t="shared" si="42"/>
        <v>8.5848558799999992</v>
      </c>
      <c r="CV24" s="1">
        <f t="shared" si="42"/>
        <v>12.502816449999999</v>
      </c>
      <c r="CW24" s="1">
        <f t="shared" si="42"/>
        <v>10.79513302</v>
      </c>
      <c r="CX24" s="1">
        <f t="shared" si="42"/>
        <v>10.492918690000002</v>
      </c>
      <c r="CY24" s="1">
        <f t="shared" si="42"/>
        <v>7.4906505000000001</v>
      </c>
      <c r="CZ24" s="1">
        <f t="shared" si="42"/>
        <v>7.8719914600000003</v>
      </c>
      <c r="DA24" s="1">
        <f t="shared" si="43"/>
        <v>9.8166064800000008</v>
      </c>
      <c r="DB24" s="1">
        <f t="shared" si="43"/>
        <v>7.1690497699999991</v>
      </c>
      <c r="DC24" s="1">
        <f t="shared" si="43"/>
        <v>10.805856030000001</v>
      </c>
      <c r="DD24" s="1">
        <f t="shared" si="43"/>
        <v>10.476429469999998</v>
      </c>
      <c r="DE24" s="1">
        <f t="shared" si="43"/>
        <v>11.361751129999998</v>
      </c>
      <c r="DF24" s="1">
        <f t="shared" si="43"/>
        <v>10.05873476</v>
      </c>
      <c r="DG24" s="1">
        <f t="shared" si="43"/>
        <v>9.4659040999999995</v>
      </c>
      <c r="DH24" s="1">
        <f t="shared" si="43"/>
        <v>8.3006057400000017</v>
      </c>
      <c r="DJ24" s="1">
        <f t="shared" si="44"/>
        <v>1.6436615300000001</v>
      </c>
      <c r="DK24" s="1">
        <f t="shared" si="44"/>
        <v>3.1947428599999999</v>
      </c>
      <c r="DL24" s="1">
        <f t="shared" si="44"/>
        <v>1.8068878900000003</v>
      </c>
      <c r="DM24" s="1">
        <f t="shared" si="44"/>
        <v>1.08154503</v>
      </c>
      <c r="DN24" s="1">
        <f t="shared" si="44"/>
        <v>1.2853964200000001</v>
      </c>
      <c r="DO24" s="1">
        <f t="shared" si="44"/>
        <v>1.1258133800000001</v>
      </c>
      <c r="DP24" s="1">
        <f t="shared" si="44"/>
        <v>1.20972141</v>
      </c>
      <c r="DQ24" s="1">
        <f t="shared" si="44"/>
        <v>1.0549183800000002</v>
      </c>
      <c r="DR24" s="1">
        <f t="shared" si="44"/>
        <v>1.9397561100000003</v>
      </c>
      <c r="DS24" s="1">
        <f t="shared" si="44"/>
        <v>2.1093840299999997</v>
      </c>
      <c r="DT24" s="1">
        <f t="shared" si="44"/>
        <v>1.7438363500000003</v>
      </c>
      <c r="DU24" s="1">
        <f t="shared" si="44"/>
        <v>2.3219247899999997</v>
      </c>
      <c r="DV24" s="1">
        <f t="shared" si="44"/>
        <v>1.6709123100000001</v>
      </c>
      <c r="DW24" s="1">
        <f t="shared" si="44"/>
        <v>3.5033770500000001</v>
      </c>
      <c r="DX24" s="1">
        <f t="shared" si="44"/>
        <v>2.2730154199999997</v>
      </c>
      <c r="DY24" s="1">
        <f t="shared" si="44"/>
        <v>2.4041640299999996</v>
      </c>
      <c r="DZ24" s="1">
        <f t="shared" si="41"/>
        <v>2.0218665100000002</v>
      </c>
      <c r="EA24" s="1">
        <f t="shared" si="41"/>
        <v>1.1839526999999999</v>
      </c>
      <c r="EB24" s="1">
        <f t="shared" si="41"/>
        <v>1.1744757299999999</v>
      </c>
      <c r="EC24" s="1">
        <f t="shared" si="41"/>
        <v>2.1750064099999999</v>
      </c>
      <c r="ED24" s="1">
        <f t="shared" si="41"/>
        <v>2.6101839400000002</v>
      </c>
      <c r="EE24" s="1">
        <f t="shared" si="41"/>
        <v>1.2494588400000002</v>
      </c>
      <c r="EF24" s="1">
        <f t="shared" si="41"/>
        <v>0.60028256999999996</v>
      </c>
      <c r="EG24" s="1">
        <f t="shared" si="41"/>
        <v>1.7316709800000001</v>
      </c>
      <c r="EI24" s="14">
        <f t="shared" si="46"/>
        <v>6.0582595428363648</v>
      </c>
      <c r="EJ24" s="14">
        <f t="shared" si="46"/>
        <v>6.2691507516094109</v>
      </c>
      <c r="EK24" s="1">
        <f t="shared" si="46"/>
        <v>6.3629428462816202</v>
      </c>
      <c r="EL24" s="1">
        <f t="shared" si="46"/>
        <v>6.2699087139586966</v>
      </c>
      <c r="EM24" s="1">
        <f t="shared" si="46"/>
        <v>4.980278516945301</v>
      </c>
      <c r="EN24" s="1">
        <f t="shared" si="46"/>
        <v>5.5266720107101239</v>
      </c>
      <c r="EO24" s="1">
        <f t="shared" si="46"/>
        <v>5.7424738987207355</v>
      </c>
      <c r="EP24" s="1">
        <f t="shared" si="46"/>
        <v>5.7424738987207355</v>
      </c>
      <c r="EQ24" s="1">
        <f t="shared" si="46"/>
        <v>5.7424738987207355</v>
      </c>
      <c r="ER24" s="1">
        <f t="shared" si="46"/>
        <v>5.7424738987207355</v>
      </c>
      <c r="ES24" s="1">
        <f t="shared" si="46"/>
        <v>5.7424738987207355</v>
      </c>
      <c r="ET24" s="1">
        <f t="shared" si="46"/>
        <v>5.7424738987207355</v>
      </c>
      <c r="EU24" s="1">
        <f t="shared" si="46"/>
        <v>5.7424738987207355</v>
      </c>
      <c r="EV24" s="1">
        <f t="shared" si="46"/>
        <v>5.7424738987207355</v>
      </c>
      <c r="EW24" s="1">
        <f t="shared" si="46"/>
        <v>5.7424738987207355</v>
      </c>
      <c r="EX24" s="1">
        <f t="shared" si="46"/>
        <v>5.7424738987207355</v>
      </c>
      <c r="EY24" s="1">
        <f t="shared" si="45"/>
        <v>5.7424738987207355</v>
      </c>
      <c r="EZ24" s="1">
        <f t="shared" si="45"/>
        <v>5.7424738987207355</v>
      </c>
      <c r="FA24" s="1">
        <f t="shared" si="45"/>
        <v>5.5693606783423002</v>
      </c>
      <c r="FB24" s="1">
        <f t="shared" si="45"/>
        <v>5.5693606783423002</v>
      </c>
      <c r="FC24" s="1">
        <f t="shared" si="45"/>
        <v>5.5693606783423002</v>
      </c>
      <c r="FD24" s="1">
        <f t="shared" si="45"/>
        <v>5.5693606783423002</v>
      </c>
      <c r="FE24" s="1">
        <f t="shared" si="45"/>
        <v>5.5693606783423002</v>
      </c>
      <c r="FF24" s="1">
        <f t="shared" si="45"/>
        <v>5.5693606783423002</v>
      </c>
      <c r="FH24" s="162">
        <f t="shared" si="32"/>
        <v>-0.45967590214771592</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37"/>
        <v/>
      </c>
      <c r="Z25" s="194"/>
      <c r="AA25" s="30"/>
      <c r="AB25" s="57"/>
      <c r="AT25" s="58"/>
      <c r="AU25" s="58"/>
      <c r="AV25" s="58"/>
      <c r="AW25" s="58"/>
      <c r="AX25" s="58"/>
      <c r="AY25" s="58"/>
      <c r="AZ25" s="58"/>
      <c r="BA25" s="58"/>
      <c r="BB25" s="58"/>
      <c r="BF25" s="2"/>
      <c r="BG25" s="2"/>
      <c r="BH25" s="2"/>
      <c r="BI25" s="2"/>
      <c r="BK25" s="1"/>
      <c r="BL25" s="1"/>
      <c r="BM25" s="1"/>
      <c r="BO25" s="1"/>
      <c r="BP25" s="1"/>
      <c r="BQ25" s="1"/>
      <c r="BS25" s="1"/>
      <c r="BT25" s="1"/>
      <c r="BU25" s="1"/>
      <c r="BW25" s="1"/>
      <c r="BX25" s="2"/>
      <c r="BY25" s="2"/>
      <c r="CA25" s="1"/>
      <c r="CB25" s="1"/>
      <c r="CC25" s="1"/>
      <c r="CD25" s="1"/>
      <c r="CF25" s="2"/>
      <c r="CG25" s="2"/>
      <c r="CH25" s="2"/>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G26" s="12"/>
      <c r="K26" s="12"/>
      <c r="O26" s="12"/>
      <c r="Y26" s="386"/>
      <c r="AB26" s="57"/>
      <c r="BI26" s="2"/>
      <c r="BP26" s="1"/>
      <c r="BT26" s="1"/>
    </row>
    <row r="27" spans="1:164" ht="18.75" customHeight="1">
      <c r="K27" s="177"/>
      <c r="X27" s="162"/>
      <c r="BC27" s="751"/>
      <c r="BL27" s="1"/>
      <c r="BM27" s="1"/>
      <c r="BP27" s="1"/>
      <c r="BQ27" s="1"/>
      <c r="BT27" s="1">
        <f>BT21-BU21</f>
        <v>9.8154574899999965</v>
      </c>
      <c r="BU27" s="1"/>
      <c r="BX27" s="1"/>
      <c r="BY27" s="1"/>
      <c r="FH27" s="167">
        <f>+COUNTIF(FH6:FH24,"&gt;0")</f>
        <v>8</v>
      </c>
    </row>
    <row r="28" spans="1:164" ht="18.75" customHeight="1">
      <c r="C28" s="156"/>
      <c r="E28" s="167"/>
      <c r="F28" s="29"/>
      <c r="I28" s="167"/>
      <c r="J28" s="29"/>
      <c r="L28" s="29"/>
      <c r="O28"/>
      <c r="P28" s="262"/>
      <c r="R28" s="262"/>
      <c r="U28" s="29"/>
      <c r="BD28" s="706"/>
      <c r="BP28" s="167"/>
      <c r="BT28" s="10"/>
      <c r="BX28" s="10"/>
      <c r="DK28" s="847"/>
    </row>
    <row r="29" spans="1:164" ht="18.75" customHeight="1">
      <c r="C29" s="156"/>
      <c r="E29" s="167"/>
      <c r="F29" s="29"/>
      <c r="I29" s="167"/>
      <c r="J29" s="29"/>
      <c r="L29" s="29"/>
      <c r="O29"/>
      <c r="P29" s="262"/>
      <c r="R29" s="262"/>
      <c r="U29" s="29"/>
      <c r="BP29" s="167"/>
    </row>
    <row r="30" spans="1:164" ht="18.75" customHeight="1">
      <c r="C30" s="156"/>
      <c r="E30" s="167"/>
      <c r="F30" s="29"/>
      <c r="I30" s="167"/>
      <c r="J30" s="29"/>
      <c r="L30" s="29"/>
      <c r="O30"/>
      <c r="P30" s="262"/>
      <c r="R30" s="262"/>
      <c r="U30" s="29"/>
      <c r="X30" s="14"/>
      <c r="BP30" s="167"/>
      <c r="BS30" s="1"/>
    </row>
    <row r="31" spans="1:164" ht="18.75" customHeight="1">
      <c r="K31" s="12"/>
    </row>
    <row r="32" spans="1:164" ht="18.75" customHeight="1">
      <c r="C32" s="157"/>
      <c r="I32" s="14"/>
      <c r="J32" s="14"/>
      <c r="K32" s="14"/>
      <c r="Y32" s="163"/>
    </row>
    <row r="33" spans="1:165" ht="18.75" customHeight="1">
      <c r="C33" s="157"/>
    </row>
    <row r="34" spans="1:165" s="23" customFormat="1" ht="18.75" customHeight="1">
      <c r="A34" s="11"/>
      <c r="B34" s="11"/>
      <c r="C34" s="157"/>
      <c r="D34" s="57"/>
      <c r="E34" s="12"/>
      <c r="F34" s="37"/>
      <c r="G34"/>
      <c r="H34" s="37"/>
      <c r="I34" s="12"/>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2">
      <iconSet>
        <cfvo type="percent" val="0"/>
        <cfvo type="num" val="0"/>
        <cfvo type="num" val="0" gte="0"/>
      </iconSet>
    </cfRule>
  </conditionalFormatting>
  <conditionalFormatting sqref="F28:F30">
    <cfRule type="iconSet" priority="6">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10">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1">
      <iconSet>
        <cfvo type="percent" val="0"/>
        <cfvo type="num" val="0"/>
        <cfvo type="num" val="0" gte="0"/>
      </iconSet>
    </cfRule>
  </conditionalFormatting>
  <conditionalFormatting sqref="J18">
    <cfRule type="iconSet" priority="3">
      <iconSet>
        <cfvo type="percent" val="0"/>
        <cfvo type="num" val="0"/>
        <cfvo type="num" val="0" gte="0"/>
      </iconSet>
    </cfRule>
  </conditionalFormatting>
  <conditionalFormatting sqref="J28:J30">
    <cfRule type="iconSet" priority="8">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7">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4">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4">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9">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3">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
      <iconSet>
        <cfvo type="percent" val="0"/>
        <cfvo type="num" val="0"/>
        <cfvo type="num" val="0" gte="0"/>
      </iconSet>
    </cfRule>
  </conditionalFormatting>
  <conditionalFormatting sqref="Z11">
    <cfRule type="iconSet" priority="20">
      <iconSet>
        <cfvo type="percent" val="0"/>
        <cfvo type="num" val="0"/>
        <cfvo type="num" val="0" gte="0"/>
      </iconSet>
    </cfRule>
  </conditionalFormatting>
  <conditionalFormatting sqref="Z12">
    <cfRule type="iconSet" priority="1">
      <iconSet>
        <cfvo type="percent" val="0"/>
        <cfvo type="num" val="0"/>
        <cfvo type="num" val="0" gte="0"/>
      </iconSet>
    </cfRule>
  </conditionalFormatting>
  <conditionalFormatting sqref="Z13">
    <cfRule type="iconSet" priority="19">
      <iconSet>
        <cfvo type="percent" val="0"/>
        <cfvo type="num" val="0"/>
        <cfvo type="num" val="0" gte="0"/>
      </iconSet>
    </cfRule>
  </conditionalFormatting>
  <conditionalFormatting sqref="Z18">
    <cfRule type="iconSet" priority="18">
      <iconSet>
        <cfvo type="percent" val="0"/>
        <cfvo type="num" val="0"/>
        <cfvo type="num" val="0" gte="0"/>
      </iconSet>
    </cfRule>
  </conditionalFormatting>
  <conditionalFormatting sqref="Z19">
    <cfRule type="iconSet" priority="17">
      <iconSet>
        <cfvo type="percent" val="0"/>
        <cfvo type="num" val="0"/>
        <cfvo type="num" val="0" gte="0"/>
      </iconSet>
    </cfRule>
  </conditionalFormatting>
  <conditionalFormatting sqref="Z20">
    <cfRule type="iconSet" priority="16">
      <iconSet>
        <cfvo type="percent" val="0"/>
        <cfvo type="num" val="0"/>
        <cfvo type="num" val="0" gte="0"/>
      </iconSet>
    </cfRule>
  </conditionalFormatting>
  <conditionalFormatting sqref="Z22">
    <cfRule type="iconSet" priority="15">
      <iconSet>
        <cfvo type="percent" val="0"/>
        <cfvo type="num" val="0"/>
        <cfvo type="num" val="0" gte="0"/>
      </iconSet>
    </cfRule>
  </conditionalFormatting>
  <conditionalFormatting sqref="Z24">
    <cfRule type="iconSet" priority="5">
      <iconSet>
        <cfvo type="percent" val="0"/>
        <cfvo type="num" val="0"/>
        <cfvo type="num" val="0" gte="0"/>
      </iconSet>
    </cfRule>
  </conditionalFormatting>
  <conditionalFormatting sqref="AC6:AM24 AC25 AE25:AM25">
    <cfRule type="expression" dxfId="407" priority="48">
      <formula>AP6=3</formula>
    </cfRule>
    <cfRule type="expression" dxfId="406" priority="49">
      <formula>AP6=5</formula>
    </cfRule>
    <cfRule type="expression" dxfId="405" priority="50">
      <formula>AP6=4</formula>
    </cfRule>
    <cfRule type="expression" dxfId="404" priority="51">
      <formula>AP6=2</formula>
    </cfRule>
    <cfRule type="expression" dxfId="403" priority="52">
      <formula>AP6=1</formula>
    </cfRule>
    <cfRule type="expression" dxfId="402" priority="53">
      <formula>AP6=0</formula>
    </cfRule>
  </conditionalFormatting>
  <conditionalFormatting sqref="AN6:AN25">
    <cfRule type="expression" dxfId="401" priority="65">
      <formula>BA6=0</formula>
    </cfRule>
    <cfRule type="expression" dxfId="400" priority="60">
      <formula>BA6=3</formula>
    </cfRule>
    <cfRule type="expression" dxfId="399" priority="61">
      <formula>BA6=5</formula>
    </cfRule>
    <cfRule type="expression" dxfId="398" priority="62">
      <formula>BA6=4</formula>
    </cfRule>
    <cfRule type="expression" dxfId="397" priority="63">
      <formula>BA6=2</formula>
    </cfRule>
    <cfRule type="expression" dxfId="396" priority="64">
      <formula>BA6=1</formula>
    </cfRule>
  </conditionalFormatting>
  <conditionalFormatting sqref="AO6:AO25">
    <cfRule type="expression" dxfId="395" priority="54">
      <formula>#REF!=3</formula>
    </cfRule>
    <cfRule type="expression" dxfId="394" priority="55">
      <formula>#REF!=5</formula>
    </cfRule>
    <cfRule type="expression" dxfId="393" priority="56">
      <formula>#REF!=4</formula>
    </cfRule>
    <cfRule type="expression" dxfId="392" priority="58">
      <formula>#REF!=1</formula>
    </cfRule>
    <cfRule type="expression" dxfId="391" priority="59">
      <formula>#REF!=0</formula>
    </cfRule>
    <cfRule type="expression" dxfId="390" priority="57">
      <formula>#REF!=2</formula>
    </cfRule>
  </conditionalFormatting>
  <conditionalFormatting sqref="FH6:FH25 FH27">
    <cfRule type="colorScale" priority="23">
      <colorScale>
        <cfvo type="min"/>
        <cfvo type="percentile" val="50"/>
        <cfvo type="max"/>
        <color rgb="FFF8696B"/>
        <color rgb="FFFFEB84"/>
        <color rgb="FF63BE7B"/>
      </colorScale>
    </cfRule>
  </conditionalFormatting>
  <dataValidations disablePrompts="1" count="1">
    <dataValidation type="list" allowBlank="1" showInputMessage="1" showErrorMessage="1" sqref="B1" xr:uid="{B3AE5FA1-6949-4F6A-BE7F-6C02F07CCBA0}">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31" id="{A2A08C02-4E7A-4CEB-B331-D82877577AD5}">
            <x14:iconSet custom="1">
              <x14:cfvo type="percent">
                <xm:f>0</xm:f>
              </x14:cfvo>
              <x14:cfvo type="num">
                <xm:f>0</xm:f>
              </x14:cfvo>
              <x14:cfvo type="num" gte="0">
                <xm:f>0</xm:f>
              </x14:cfvo>
              <x14:cfIcon iconSet="3TrafficLights1" iconId="2"/>
              <x14:cfIcon iconSet="3TrafficLights1" iconId="1"/>
              <x14:cfIcon iconSet="3TrafficLights1" iconId="0"/>
            </x14:iconSet>
          </x14:cfRule>
          <xm:sqref>X6:X24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3DC8D0CE-DAFB-4CDB-953B-82EDA8D4FA49}">
          <x14:formula1>
            <xm:f>datos!$A$10:$A$178</xm:f>
          </x14:formula1>
          <xm:sqref>A1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AC5F-E4D2-4FA0-9611-8C04D1D6D590}">
  <sheetPr>
    <tabColor theme="5" tint="-0.249977111117893"/>
    <pageSetUpPr fitToPage="1"/>
  </sheetPr>
  <dimension ref="A1:FI47"/>
  <sheetViews>
    <sheetView showGridLines="0" zoomScale="70" zoomScaleNormal="70" workbookViewId="0">
      <pane xSplit="4" topLeftCell="E1" activePane="topRight" state="frozen"/>
      <selection pane="topRight" activeCell="BT22" sqref="BT22"/>
    </sheetView>
  </sheetViews>
  <sheetFormatPr baseColWidth="10" defaultRowHeight="18.75" customHeight="1"/>
  <cols>
    <col min="1" max="1" width="18.88671875" style="11" customWidth="1"/>
    <col min="2" max="2" width="2.109375" style="11" hidden="1" customWidth="1"/>
    <col min="3" max="3" width="5.44140625" style="154" hidden="1" customWidth="1"/>
    <col min="4" max="4" width="0.1093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5.33203125" bestFit="1" customWidth="1"/>
    <col min="27" max="27" width="1.44140625" customWidth="1"/>
    <col min="28" max="28" width="53" style="11" hidden="1" customWidth="1"/>
    <col min="29" max="38" width="1.88671875" style="57" customWidth="1"/>
    <col min="39" max="39" width="2" style="57" customWidth="1"/>
    <col min="40" max="40" width="3.5546875" style="57" customWidth="1"/>
    <col min="41" max="41" width="1.44140625" style="57" customWidth="1"/>
    <col min="42" max="42" width="5.5546875" style="28" hidden="1" customWidth="1"/>
    <col min="43" max="44" width="5.6640625" style="28" hidden="1" customWidth="1"/>
    <col min="45" max="45" width="6.33203125" style="28" hidden="1" customWidth="1"/>
    <col min="46" max="46" width="5.6640625" hidden="1" customWidth="1"/>
    <col min="47" max="48" width="6.33203125" hidden="1" customWidth="1"/>
    <col min="49" max="49" width="5.6640625" hidden="1" customWidth="1"/>
    <col min="50" max="50" width="6" hidden="1" customWidth="1"/>
    <col min="51" max="51" width="5.33203125" hidden="1" customWidth="1"/>
    <col min="52" max="52" width="5.6640625" hidden="1" customWidth="1"/>
    <col min="53" max="53" width="5.5546875" hidden="1" customWidth="1"/>
    <col min="54" max="54" width="7.44140625" customWidth="1"/>
    <col min="55" max="55" width="11.6640625" style="141" customWidth="1"/>
    <col min="56" max="56" width="12" customWidth="1"/>
    <col min="57" max="57" width="0.88671875" customWidth="1"/>
    <col min="58" max="58" width="7.88671875" customWidth="1"/>
    <col min="59" max="61" width="8.88671875" bestFit="1" customWidth="1"/>
    <col min="62" max="62" width="3.6640625" customWidth="1"/>
    <col min="63" max="63" width="1.33203125" customWidth="1"/>
    <col min="64" max="64" width="12.88671875" customWidth="1"/>
    <col min="65" max="65" width="12.44140625" customWidth="1"/>
    <col min="66" max="66" width="2.44140625" customWidth="1"/>
    <col min="67" max="67" width="5.109375" customWidth="1"/>
    <col min="68" max="68" width="14.44140625" bestFit="1" customWidth="1"/>
    <col min="69" max="69" width="12.5546875" customWidth="1"/>
    <col min="70" max="70" width="2.44140625" customWidth="1"/>
    <col min="71" max="71" width="8.109375" customWidth="1"/>
    <col min="72" max="73" width="7.5546875" customWidth="1"/>
    <col min="74" max="74" width="2.88671875" customWidth="1"/>
    <col min="75" max="75" width="0.88671875" customWidth="1"/>
    <col min="76" max="77" width="7.44140625" customWidth="1"/>
    <col min="78" max="79" width="7.109375" customWidth="1"/>
    <col min="80" max="81" width="9.88671875" bestFit="1" customWidth="1"/>
    <col min="82" max="82" width="4.33203125" customWidth="1"/>
    <col min="83" max="83" width="7.109375" bestFit="1" customWidth="1"/>
    <col min="84" max="84" width="7.88671875" bestFit="1" customWidth="1"/>
    <col min="85" max="86" width="7.88671875" customWidth="1"/>
    <col min="87" max="87" width="10.88671875" customWidth="1"/>
    <col min="88" max="88" width="7" bestFit="1" customWidth="1"/>
    <col min="89" max="89" width="11" bestFit="1" customWidth="1"/>
    <col min="90" max="90" width="7.44140625" bestFit="1" customWidth="1"/>
    <col min="91" max="91" width="6.88671875" bestFit="1" customWidth="1"/>
    <col min="92" max="92" width="7" bestFit="1" customWidth="1"/>
    <col min="93" max="93" width="7.44140625" bestFit="1" customWidth="1"/>
    <col min="94" max="94" width="7.109375" bestFit="1" customWidth="1"/>
    <col min="95" max="95" width="6.6640625" bestFit="1" customWidth="1"/>
    <col min="96" max="96" width="6.8867187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2" width="7.44140625" bestFit="1" customWidth="1"/>
    <col min="103" max="103" width="6.88671875" bestFit="1" customWidth="1"/>
    <col min="104" max="104" width="6.5546875" bestFit="1" customWidth="1"/>
    <col min="105" max="105" width="6.88671875" bestFit="1" customWidth="1"/>
    <col min="106" max="106" width="7.109375" bestFit="1" customWidth="1"/>
    <col min="107" max="107" width="6.6640625" bestFit="1" customWidth="1"/>
    <col min="108" max="108" width="6.88671875" bestFit="1" customWidth="1"/>
    <col min="109" max="109" width="7.44140625" bestFit="1" customWidth="1"/>
    <col min="110" max="110" width="6.6640625" bestFit="1" customWidth="1"/>
    <col min="111" max="111" width="6.109375" bestFit="1" customWidth="1"/>
    <col min="112" max="112" width="7" bestFit="1" customWidth="1"/>
    <col min="113" max="113" width="5" customWidth="1"/>
    <col min="114" max="114" width="11.33203125" bestFit="1" customWidth="1"/>
    <col min="115" max="115" width="9.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3" width="6.6640625" bestFit="1" customWidth="1"/>
    <col min="134" max="134" width="7.44140625" bestFit="1" customWidth="1"/>
    <col min="135" max="136" width="6.664062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46143</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46143</v>
      </c>
      <c r="BH1" s="3">
        <v>46113</v>
      </c>
      <c r="BI1" s="3">
        <f>+VLOOKUP(BI2,datos!$D:$E,2,FALSE)</f>
        <v>45778</v>
      </c>
      <c r="BL1" s="3">
        <f>+A1</f>
        <v>46143</v>
      </c>
      <c r="BM1" s="3">
        <f>+VLOOKUP(BM2,datos!$D:$E,2,FALSE)</f>
        <v>45778</v>
      </c>
      <c r="BP1" s="3">
        <f>+A1</f>
        <v>46143</v>
      </c>
      <c r="BQ1" s="3">
        <f>+VLOOKUP(BQ2,datos!$D:$E,2,FALSE)</f>
        <v>45778</v>
      </c>
      <c r="BT1" t="s">
        <v>279</v>
      </c>
      <c r="BU1" t="s">
        <v>280</v>
      </c>
      <c r="BX1" t="s">
        <v>279</v>
      </c>
      <c r="BY1" t="s">
        <v>280</v>
      </c>
      <c r="CB1" t="s">
        <v>282</v>
      </c>
      <c r="CC1" t="s">
        <v>283</v>
      </c>
      <c r="CF1" s="3">
        <f>+A1</f>
        <v>46143</v>
      </c>
      <c r="CG1" s="3">
        <f>+VLOOKUP(CG2,datos!$D:$E,2,FALSE)</f>
        <v>46113</v>
      </c>
      <c r="CH1" s="3">
        <f>+VLOOKUP(CH2,datos!$D:$E,2,FALSE)</f>
        <v>45778</v>
      </c>
      <c r="CJ1" s="3">
        <f>+A1</f>
        <v>46143</v>
      </c>
      <c r="CK1" s="3">
        <f>+VLOOKUP(CK2,datos!$D:$E,2,FALSE)</f>
        <v>46143</v>
      </c>
      <c r="CL1" s="3">
        <f>+VLOOKUP(CL2,datos!$D:$E,2,FALSE)</f>
        <v>46113</v>
      </c>
      <c r="CM1" s="3">
        <f>+VLOOKUP(CM2,datos!$D:$E,2,FALSE)</f>
        <v>46082</v>
      </c>
      <c r="CN1" s="3">
        <f>+VLOOKUP(CN2,datos!$D:$E,2,FALSE)</f>
        <v>46054</v>
      </c>
      <c r="CO1" s="3">
        <f>+VLOOKUP(CO2,datos!$D:$E,2,FALSE)</f>
        <v>46023</v>
      </c>
      <c r="CP1" s="3">
        <f>+VLOOKUP(CP2,datos!$D:$E,2,FALSE)</f>
        <v>45992</v>
      </c>
      <c r="CQ1" s="3">
        <f>+VLOOKUP(CQ2,datos!$D:$E,2,FALSE)</f>
        <v>45962</v>
      </c>
      <c r="CR1" s="3">
        <f>+VLOOKUP(CR2,datos!$D:$E,2,FALSE)</f>
        <v>45931</v>
      </c>
      <c r="CS1" s="3">
        <f>+VLOOKUP(CS2,datos!$D:$E,2,FALSE)</f>
        <v>45901</v>
      </c>
      <c r="CT1" s="3">
        <f>+VLOOKUP(CT2,datos!$D:$E,2,FALSE)</f>
        <v>45870</v>
      </c>
      <c r="CU1" s="3">
        <f>+VLOOKUP(CU2,datos!$D:$E,2,FALSE)</f>
        <v>45839</v>
      </c>
      <c r="CV1" s="3">
        <f>+VLOOKUP(CV2,datos!$D:$E,2,FALSE)</f>
        <v>45809</v>
      </c>
      <c r="CW1" s="3">
        <f>+VLOOKUP(CW2,datos!$D:$E,2,FALSE)</f>
        <v>45778</v>
      </c>
      <c r="CX1" s="3">
        <f>+VLOOKUP(CX2,datos!$D:$E,2,FALSE)</f>
        <v>45748</v>
      </c>
      <c r="CY1" s="3">
        <f>+VLOOKUP(CY2,datos!$D:$E,2,FALSE)</f>
        <v>45717</v>
      </c>
      <c r="CZ1" s="3">
        <f>+VLOOKUP(CZ2,datos!$D:$E,2,FALSE)</f>
        <v>45689</v>
      </c>
      <c r="DA1" s="3">
        <f>+VLOOKUP(DA2,datos!$D:$E,2,FALSE)</f>
        <v>45658</v>
      </c>
      <c r="DB1" s="3">
        <f>+VLOOKUP(DB2,datos!$D:$E,2,FALSE)</f>
        <v>45627</v>
      </c>
      <c r="DC1" s="3">
        <f>+VLOOKUP(DC2,datos!$D:$E,2,FALSE)</f>
        <v>45597</v>
      </c>
      <c r="DD1" s="3">
        <f>+VLOOKUP(DD2,datos!$D:$E,2,FALSE)</f>
        <v>45566</v>
      </c>
      <c r="DE1" s="3">
        <f>+VLOOKUP(DE2,datos!$D:$E,2,FALSE)</f>
        <v>45536</v>
      </c>
      <c r="DF1" s="3">
        <f>+VLOOKUP(DF2,datos!$D:$E,2,FALSE)</f>
        <v>45505</v>
      </c>
      <c r="DG1" s="3">
        <f>+VLOOKUP(DG2,datos!$D:$E,2,FALSE)</f>
        <v>45474</v>
      </c>
      <c r="DH1" s="3">
        <f>+VLOOKUP(DH2,datos!$D:$E,2,FALSE)</f>
        <v>45444</v>
      </c>
      <c r="DJ1" s="3">
        <f>+CK1</f>
        <v>46143</v>
      </c>
      <c r="DK1" s="3">
        <f>+VLOOKUP(DK2,datos!$D:$E,2,FALSE)</f>
        <v>46113</v>
      </c>
      <c r="DL1" s="3">
        <f>+VLOOKUP(DL2,datos!$D:$E,2,FALSE)</f>
        <v>46082</v>
      </c>
      <c r="DM1" s="3">
        <f>+VLOOKUP(DM2,datos!$D:$E,2,FALSE)</f>
        <v>46054</v>
      </c>
      <c r="DN1" s="3">
        <f>+VLOOKUP(DN2,datos!$D:$E,2,FALSE)</f>
        <v>46023</v>
      </c>
      <c r="DO1" s="3">
        <f>+VLOOKUP(DO2,datos!$D:$E,2,FALSE)</f>
        <v>45992</v>
      </c>
      <c r="DP1" s="3">
        <f>+VLOOKUP(DP2,datos!$D:$E,2,FALSE)</f>
        <v>45962</v>
      </c>
      <c r="DQ1" s="3">
        <f>+VLOOKUP(DQ2,datos!$D:$E,2,FALSE)</f>
        <v>45931</v>
      </c>
      <c r="DR1" s="3">
        <f>+VLOOKUP(DR2,datos!$D:$E,2,FALSE)</f>
        <v>45901</v>
      </c>
      <c r="DS1" s="3">
        <f>+VLOOKUP(DS2,datos!$D:$E,2,FALSE)</f>
        <v>45870</v>
      </c>
      <c r="DT1" s="3">
        <f>+VLOOKUP(DT2,datos!$D:$E,2,FALSE)</f>
        <v>45839</v>
      </c>
      <c r="DU1" s="3">
        <f>+VLOOKUP(DU2,datos!$D:$E,2,FALSE)</f>
        <v>45809</v>
      </c>
      <c r="DV1" s="3">
        <f>+VLOOKUP(DV2,datos!$D:$E,2,FALSE)</f>
        <v>45778</v>
      </c>
      <c r="DW1" s="3">
        <f>+VLOOKUP(DW2,datos!$D:$E,2,FALSE)</f>
        <v>45748</v>
      </c>
      <c r="DX1" s="3">
        <f>+VLOOKUP(DX2,datos!$D:$E,2,FALSE)</f>
        <v>45717</v>
      </c>
      <c r="DY1" s="3">
        <f>+VLOOKUP(DY2,datos!$D:$E,2,FALSE)</f>
        <v>45689</v>
      </c>
      <c r="DZ1" s="3">
        <f>+VLOOKUP(DZ2,datos!$D:$E,2,FALSE)</f>
        <v>45658</v>
      </c>
      <c r="EA1" s="3">
        <f>+VLOOKUP(EA2,datos!$D:$E,2,FALSE)</f>
        <v>45627</v>
      </c>
      <c r="EB1" s="3">
        <f>+VLOOKUP(EB2,datos!$D:$E,2,FALSE)</f>
        <v>45597</v>
      </c>
      <c r="EC1" s="3">
        <f>+VLOOKUP(EC2,datos!$D:$E,2,FALSE)</f>
        <v>45566</v>
      </c>
      <c r="ED1" s="3">
        <f>+VLOOKUP(ED2,datos!$D:$E,2,FALSE)</f>
        <v>45536</v>
      </c>
      <c r="EE1" s="3">
        <f>+VLOOKUP(EE2,datos!$D:$E,2,FALSE)</f>
        <v>45505</v>
      </c>
      <c r="EF1" s="3">
        <f>+VLOOKUP(EF2,datos!$D:$E,2,FALSE)</f>
        <v>45474</v>
      </c>
      <c r="EG1" s="3">
        <f>+VLOOKUP(EG2,datos!$D:$E,2,FALSE)</f>
        <v>45444</v>
      </c>
      <c r="EI1" s="700">
        <f>+CK1</f>
        <v>46143</v>
      </c>
      <c r="EJ1" s="700">
        <f t="shared" ref="EJ1:FF1" si="0">+CL1</f>
        <v>46113</v>
      </c>
      <c r="EK1" s="3">
        <f t="shared" si="0"/>
        <v>46082</v>
      </c>
      <c r="EL1" s="3">
        <f t="shared" si="0"/>
        <v>46054</v>
      </c>
      <c r="EM1" s="3">
        <f t="shared" si="0"/>
        <v>46023</v>
      </c>
      <c r="EN1" s="3">
        <f t="shared" si="0"/>
        <v>45992</v>
      </c>
      <c r="EO1" s="3">
        <f t="shared" si="0"/>
        <v>45962</v>
      </c>
      <c r="EP1" s="3">
        <f t="shared" si="0"/>
        <v>45931</v>
      </c>
      <c r="EQ1" s="3">
        <f t="shared" si="0"/>
        <v>45901</v>
      </c>
      <c r="ER1" s="3">
        <f t="shared" si="0"/>
        <v>45870</v>
      </c>
      <c r="ES1" s="3">
        <f t="shared" si="0"/>
        <v>45839</v>
      </c>
      <c r="ET1" s="3">
        <f t="shared" si="0"/>
        <v>45809</v>
      </c>
      <c r="EU1" s="3">
        <f t="shared" si="0"/>
        <v>45778</v>
      </c>
      <c r="EV1" s="3">
        <f t="shared" si="0"/>
        <v>45748</v>
      </c>
      <c r="EW1" s="3">
        <f t="shared" si="0"/>
        <v>45717</v>
      </c>
      <c r="EX1" s="3">
        <f t="shared" si="0"/>
        <v>45689</v>
      </c>
      <c r="EY1" s="3">
        <f t="shared" si="0"/>
        <v>45658</v>
      </c>
      <c r="EZ1" s="3">
        <f t="shared" si="0"/>
        <v>45627</v>
      </c>
      <c r="FA1" s="3">
        <f t="shared" si="0"/>
        <v>45597</v>
      </c>
      <c r="FB1" s="3">
        <f t="shared" si="0"/>
        <v>45566</v>
      </c>
      <c r="FC1" s="3">
        <f t="shared" si="0"/>
        <v>45536</v>
      </c>
      <c r="FD1" s="3">
        <f t="shared" si="0"/>
        <v>45505</v>
      </c>
      <c r="FE1" s="3">
        <f t="shared" si="0"/>
        <v>45474</v>
      </c>
      <c r="FF1" s="3">
        <f t="shared" si="0"/>
        <v>45444</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45809</v>
      </c>
      <c r="AQ2" s="174">
        <f>VLOOKUP(VLOOKUP(+$A$1,ran_ma,2,FALSE)-10,ran_idma,2,FALSE)</f>
        <v>45839</v>
      </c>
      <c r="AR2" s="174">
        <f>VLOOKUP(VLOOKUP(+$A$1,ran_ma,2,FALSE)-9,ran_idma,2,FALSE)</f>
        <v>45870</v>
      </c>
      <c r="AS2" s="174">
        <f>VLOOKUP(VLOOKUP(+$A$1,ran_ma,2,FALSE)-8,ran_idma,2,FALSE)</f>
        <v>45901</v>
      </c>
      <c r="AT2" s="59">
        <f>VLOOKUP(VLOOKUP(+$A$1,ran_ma,2,FALSE)-7,ran_idma,2,FALSE)</f>
        <v>45931</v>
      </c>
      <c r="AU2" s="59">
        <f>VLOOKUP(VLOOKUP(+$A$1,ran_ma,2,FALSE)-6,ran_idma,2,FALSE)</f>
        <v>45962</v>
      </c>
      <c r="AV2" s="59">
        <f>VLOOKUP(VLOOKUP(+$A$1,ran_ma,2,FALSE)-5,ran_idma,2,FALSE)</f>
        <v>45992</v>
      </c>
      <c r="AW2" s="59">
        <f>VLOOKUP(VLOOKUP(+$A$1,ran_ma,2,FALSE)-4,ran_idma,2,FALSE)</f>
        <v>46023</v>
      </c>
      <c r="AX2" s="59">
        <f>VLOOKUP(VLOOKUP(+$A$1,ran_ma,2,FALSE)-3,ran_idma,2,FALSE)</f>
        <v>46054</v>
      </c>
      <c r="AY2" s="59">
        <f>VLOOKUP(VLOOKUP(+$A$1,ran_ma,2,FALSE)-2,ran_idma,2,FALSE)</f>
        <v>46082</v>
      </c>
      <c r="AZ2" s="59">
        <f>VLOOKUP(VLOOKUP(+$A$1,ran_ma,2,FALSE)-1,ran_idma,2,FALSE)</f>
        <v>46113</v>
      </c>
      <c r="BA2" s="59">
        <f>VLOOKUP(VLOOKUP(+$A$1,ran_ma,2,FALSE)-0,ran_idma,2,FALSE)</f>
        <v>46143</v>
      </c>
      <c r="BB2" s="59"/>
      <c r="BC2" s="170"/>
      <c r="BE2" s="9" t="s">
        <v>272</v>
      </c>
      <c r="BG2">
        <f>+VLOOKUP(BG1,ran_dat,datos!$D$1,FALSE)</f>
        <v>134</v>
      </c>
      <c r="BH2">
        <f>+BG2-1</f>
        <v>133</v>
      </c>
      <c r="BI2">
        <f>+BG2-12</f>
        <v>122</v>
      </c>
      <c r="BK2" s="9"/>
      <c r="BL2">
        <f>+VLOOKUP(BL1,ran_dat,datos!$D$1,FALSE)</f>
        <v>134</v>
      </c>
      <c r="BM2">
        <f>+BL2-12</f>
        <v>122</v>
      </c>
      <c r="BO2" s="9"/>
      <c r="BP2">
        <f>+VLOOKUP(BP1,ran_dat,datos!$D$1,FALSE)</f>
        <v>134</v>
      </c>
      <c r="BQ2">
        <f>+BP2-12</f>
        <v>122</v>
      </c>
      <c r="BS2" s="9"/>
      <c r="BW2" s="9"/>
      <c r="CD2" s="386"/>
      <c r="CE2" s="9"/>
      <c r="CF2">
        <f>+VLOOKUP(CF1,ran_dat,datos!$D$1,FALSE)</f>
        <v>134</v>
      </c>
      <c r="CG2">
        <f>+CF2-1</f>
        <v>133</v>
      </c>
      <c r="CH2">
        <f>+CF2-12</f>
        <v>122</v>
      </c>
      <c r="CI2" s="386"/>
      <c r="CJ2">
        <f>+VLOOKUP(CJ1,ran_dat,datos!$D$1,FALSE)</f>
        <v>134</v>
      </c>
      <c r="CK2">
        <f>+CJ2</f>
        <v>134</v>
      </c>
      <c r="CL2">
        <f t="shared" ref="CL2:DH2" si="1">+CK2-1</f>
        <v>133</v>
      </c>
      <c r="CM2">
        <f t="shared" si="1"/>
        <v>132</v>
      </c>
      <c r="CN2">
        <f t="shared" si="1"/>
        <v>131</v>
      </c>
      <c r="CO2">
        <f t="shared" si="1"/>
        <v>130</v>
      </c>
      <c r="CP2">
        <f t="shared" si="1"/>
        <v>129</v>
      </c>
      <c r="CQ2">
        <f t="shared" si="1"/>
        <v>128</v>
      </c>
      <c r="CR2">
        <f t="shared" si="1"/>
        <v>127</v>
      </c>
      <c r="CS2">
        <f t="shared" si="1"/>
        <v>126</v>
      </c>
      <c r="CT2">
        <f t="shared" si="1"/>
        <v>125</v>
      </c>
      <c r="CU2">
        <f t="shared" si="1"/>
        <v>124</v>
      </c>
      <c r="CV2">
        <f t="shared" si="1"/>
        <v>123</v>
      </c>
      <c r="CW2">
        <f t="shared" si="1"/>
        <v>122</v>
      </c>
      <c r="CX2">
        <f t="shared" si="1"/>
        <v>121</v>
      </c>
      <c r="CY2">
        <f t="shared" si="1"/>
        <v>120</v>
      </c>
      <c r="CZ2">
        <f t="shared" si="1"/>
        <v>119</v>
      </c>
      <c r="DA2">
        <f t="shared" si="1"/>
        <v>118</v>
      </c>
      <c r="DB2">
        <f t="shared" si="1"/>
        <v>117</v>
      </c>
      <c r="DC2">
        <f t="shared" si="1"/>
        <v>116</v>
      </c>
      <c r="DD2">
        <f t="shared" si="1"/>
        <v>115</v>
      </c>
      <c r="DE2">
        <f t="shared" si="1"/>
        <v>114</v>
      </c>
      <c r="DF2">
        <f t="shared" si="1"/>
        <v>113</v>
      </c>
      <c r="DG2">
        <f t="shared" si="1"/>
        <v>112</v>
      </c>
      <c r="DH2">
        <f t="shared" si="1"/>
        <v>111</v>
      </c>
      <c r="DJ2">
        <f>+VLOOKUP(DJ1,ran_dat,datos!$D$1,FALSE)</f>
        <v>134</v>
      </c>
      <c r="DK2">
        <f t="shared" ref="DK2:EG2" si="2">+DJ2-1</f>
        <v>133</v>
      </c>
      <c r="DL2">
        <f t="shared" si="2"/>
        <v>132</v>
      </c>
      <c r="DM2">
        <f t="shared" si="2"/>
        <v>131</v>
      </c>
      <c r="DN2">
        <f t="shared" si="2"/>
        <v>130</v>
      </c>
      <c r="DO2">
        <f t="shared" si="2"/>
        <v>129</v>
      </c>
      <c r="DP2">
        <f t="shared" si="2"/>
        <v>128</v>
      </c>
      <c r="DQ2">
        <f t="shared" si="2"/>
        <v>127</v>
      </c>
      <c r="DR2">
        <f t="shared" si="2"/>
        <v>126</v>
      </c>
      <c r="DS2">
        <f t="shared" si="2"/>
        <v>125</v>
      </c>
      <c r="DT2">
        <f t="shared" si="2"/>
        <v>124</v>
      </c>
      <c r="DU2">
        <f t="shared" si="2"/>
        <v>123</v>
      </c>
      <c r="DV2">
        <f t="shared" si="2"/>
        <v>122</v>
      </c>
      <c r="DW2">
        <f t="shared" si="2"/>
        <v>121</v>
      </c>
      <c r="DX2">
        <f t="shared" si="2"/>
        <v>120</v>
      </c>
      <c r="DY2">
        <f t="shared" si="2"/>
        <v>119</v>
      </c>
      <c r="DZ2">
        <f t="shared" si="2"/>
        <v>118</v>
      </c>
      <c r="EA2">
        <f t="shared" si="2"/>
        <v>117</v>
      </c>
      <c r="EB2">
        <f t="shared" si="2"/>
        <v>116</v>
      </c>
      <c r="EC2">
        <f t="shared" si="2"/>
        <v>115</v>
      </c>
      <c r="ED2">
        <f t="shared" si="2"/>
        <v>114</v>
      </c>
      <c r="EE2">
        <f t="shared" si="2"/>
        <v>113</v>
      </c>
      <c r="EF2">
        <f t="shared" si="2"/>
        <v>112</v>
      </c>
      <c r="EG2">
        <f t="shared" si="2"/>
        <v>111</v>
      </c>
      <c r="EI2" s="14">
        <f>+VLOOKUP(EI1,ran_dat,datos!$D$1,FALSE)</f>
        <v>134</v>
      </c>
      <c r="EJ2" s="14">
        <f t="shared" ref="EJ2:FF2" si="3">+EI2-1</f>
        <v>133</v>
      </c>
      <c r="EK2">
        <f t="shared" si="3"/>
        <v>132</v>
      </c>
      <c r="EL2">
        <f t="shared" si="3"/>
        <v>131</v>
      </c>
      <c r="EM2">
        <f t="shared" si="3"/>
        <v>130</v>
      </c>
      <c r="EN2">
        <f t="shared" si="3"/>
        <v>129</v>
      </c>
      <c r="EO2">
        <f t="shared" si="3"/>
        <v>128</v>
      </c>
      <c r="EP2">
        <f t="shared" si="3"/>
        <v>127</v>
      </c>
      <c r="EQ2">
        <f t="shared" si="3"/>
        <v>126</v>
      </c>
      <c r="ER2">
        <f t="shared" si="3"/>
        <v>125</v>
      </c>
      <c r="ES2">
        <f t="shared" si="3"/>
        <v>124</v>
      </c>
      <c r="ET2">
        <f t="shared" si="3"/>
        <v>123</v>
      </c>
      <c r="EU2">
        <f t="shared" si="3"/>
        <v>122</v>
      </c>
      <c r="EV2">
        <f t="shared" si="3"/>
        <v>121</v>
      </c>
      <c r="EW2">
        <f t="shared" si="3"/>
        <v>120</v>
      </c>
      <c r="EX2">
        <f t="shared" si="3"/>
        <v>119</v>
      </c>
      <c r="EY2">
        <f t="shared" si="3"/>
        <v>118</v>
      </c>
      <c r="EZ2">
        <f t="shared" si="3"/>
        <v>117</v>
      </c>
      <c r="FA2">
        <f t="shared" si="3"/>
        <v>116</v>
      </c>
      <c r="FB2">
        <f t="shared" si="3"/>
        <v>115</v>
      </c>
      <c r="FC2">
        <f t="shared" si="3"/>
        <v>114</v>
      </c>
      <c r="FD2">
        <f t="shared" si="3"/>
        <v>113</v>
      </c>
      <c r="FE2">
        <f t="shared" si="3"/>
        <v>112</v>
      </c>
      <c r="FF2">
        <f t="shared" si="3"/>
        <v>111</v>
      </c>
    </row>
    <row r="3" spans="1:164" ht="18.75" customHeight="1">
      <c r="A3" s="220"/>
      <c r="C3" s="155"/>
      <c r="D3" s="196">
        <v>0.33</v>
      </c>
      <c r="E3" s="100">
        <f>IFERROR(+BG5/BH5-1,"")</f>
        <v>2.1499723349908573E-2</v>
      </c>
      <c r="F3" s="56" t="s">
        <v>515</v>
      </c>
      <c r="G3" s="56"/>
      <c r="H3" s="56"/>
      <c r="I3" s="60">
        <f>IFERROR(+BG5/BI5-1,"")</f>
        <v>0.33196521686284908</v>
      </c>
      <c r="J3" s="56" t="s">
        <v>515</v>
      </c>
      <c r="K3" s="56"/>
      <c r="L3" s="56"/>
      <c r="M3" s="32"/>
      <c r="N3" s="196">
        <v>0.33</v>
      </c>
      <c r="O3" s="31"/>
      <c r="S3" s="32"/>
      <c r="T3" s="196">
        <v>0.33</v>
      </c>
      <c r="U3" s="150" t="str">
        <f>TEXT(CV1,"MMM-YY")&amp;"."&amp;TEXT(CK1,"MMM-YY")&amp;" vs "&amp;TEXT(DH1,"MMM-YY")&amp;"."&amp;TEXT(CW1,"MMM-YY")</f>
        <v>jun-25.may-26 vs jun-24.may-25</v>
      </c>
      <c r="Y3" s="59" t="str">
        <f>TEXT(CK1,"MMM-YY")&amp;" vs "&amp;TEXT(CW1,"MMM-YY")</f>
        <v>may-26 vs may-25</v>
      </c>
      <c r="BE3" s="4" t="s">
        <v>3</v>
      </c>
      <c r="BF3" s="4"/>
      <c r="BG3" s="4"/>
      <c r="BH3" s="4"/>
      <c r="BI3" s="4"/>
      <c r="BK3" s="20" t="s">
        <v>15</v>
      </c>
      <c r="BL3" s="20"/>
      <c r="BM3" s="20"/>
      <c r="BO3" s="21" t="s">
        <v>2</v>
      </c>
      <c r="BP3" s="21"/>
      <c r="BQ3" s="21"/>
      <c r="BS3" s="4" t="s">
        <v>7</v>
      </c>
      <c r="BT3" s="4"/>
      <c r="BU3" s="4"/>
      <c r="BW3" s="43" t="s">
        <v>8</v>
      </c>
      <c r="BX3" s="43"/>
      <c r="BY3" s="43"/>
      <c r="CA3" s="22" t="s">
        <v>9</v>
      </c>
      <c r="CB3" s="22"/>
      <c r="CC3" s="22"/>
      <c r="CD3" s="178"/>
      <c r="CE3" s="27" t="s">
        <v>5</v>
      </c>
      <c r="CF3" s="27"/>
      <c r="CG3" s="27"/>
      <c r="CH3" s="27"/>
      <c r="CI3" s="178"/>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O4" s="9"/>
      <c r="BS4" s="9"/>
      <c r="BW4" s="9"/>
      <c r="CE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11607.393700000001</v>
      </c>
      <c r="BH5" s="2">
        <f t="shared" si="4"/>
        <v>11363.090399999999</v>
      </c>
      <c r="BI5" s="2">
        <f t="shared" si="4"/>
        <v>8714.4871000000003</v>
      </c>
    </row>
    <row r="6" spans="1:164" ht="18.75" customHeight="1">
      <c r="A6" s="243" t="s">
        <v>28</v>
      </c>
      <c r="B6" s="246"/>
      <c r="C6" s="156">
        <f t="shared" ref="C6:C24" si="5">+D6*$D$3+N6*$N$3+T6*$T$3</f>
        <v>0</v>
      </c>
      <c r="D6" s="198">
        <v>-2</v>
      </c>
      <c r="E6" s="248">
        <f t="shared" ref="E6:E24" si="6">IFERROR(+BG6/BH6-1,"")</f>
        <v>0.13568725484456778</v>
      </c>
      <c r="F6" s="249">
        <f t="shared" ref="F6:F24" si="7">+E6-$E$3</f>
        <v>0.11418753149465921</v>
      </c>
      <c r="G6" s="248">
        <f t="shared" ref="G6:G24" si="8">IFERROR(+CF6/CG6-1,"")</f>
        <v>3.9375847775005246E-2</v>
      </c>
      <c r="H6" s="249">
        <f t="shared" ref="H6:H24" si="9">E6-G6</f>
        <v>9.6311407069562538E-2</v>
      </c>
      <c r="I6" s="248">
        <f t="shared" ref="I6:I24" si="10">IFERROR(+BG6/BI6-1,"")</f>
        <v>0.44888650137668362</v>
      </c>
      <c r="J6" s="249">
        <f t="shared" ref="J6:J24" si="11">+I6-$I$3</f>
        <v>0.11692128451383454</v>
      </c>
      <c r="K6" s="248">
        <f t="shared" ref="K6:K24" si="12">IFERROR(+CF6/CH6-1,"")</f>
        <v>0.47674690189497992</v>
      </c>
      <c r="L6" s="249">
        <f t="shared" ref="L6:L24" si="13">I6-K6</f>
        <v>-2.7860400518296302E-2</v>
      </c>
      <c r="M6" s="250"/>
      <c r="N6" s="24">
        <v>1</v>
      </c>
      <c r="O6" s="248">
        <f>IFERROR(+BL6/BM6-1,"")</f>
        <v>-0.43478260869565222</v>
      </c>
      <c r="P6" s="251">
        <f>+O6</f>
        <v>-0.43478260869565222</v>
      </c>
      <c r="Q6" s="248">
        <f t="shared" ref="Q6:Q24" si="14">IFERROR(+BP6/BQ6-1,"")</f>
        <v>-0.2857142857142857</v>
      </c>
      <c r="R6" s="251">
        <f>+Q6</f>
        <v>-0.2857142857142857</v>
      </c>
      <c r="S6" s="250"/>
      <c r="T6" s="24">
        <v>1</v>
      </c>
      <c r="U6" s="248">
        <f t="shared" ref="U6:U24" si="15">IFERROR(+BT6/BU6-1,"")</f>
        <v>2.5239512952592857E-2</v>
      </c>
      <c r="V6" s="252">
        <f t="shared" ref="V6:V24" si="16">+U6</f>
        <v>2.5239512952592857E-2</v>
      </c>
      <c r="W6" s="701">
        <f>IFERROR(IF(BX6&lt;0.5,"",+BX6/BY6-1),"")</f>
        <v>7.8870091093045325E-2</v>
      </c>
      <c r="X6" s="252">
        <f t="shared" ref="X6:X24" si="17">+W6</f>
        <v>7.8870091093045325E-2</v>
      </c>
      <c r="Y6" s="248"/>
      <c r="Z6" s="252">
        <f t="shared" ref="Z6:Z24" si="18">+Y6</f>
        <v>0</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VLOOKUP($A6,historia!$A$5:$DD$24,+HLOOKUP(AP$2,historia!$A$3:$EC$4,2,FALSE),FALSE)</f>
        <v>3</v>
      </c>
      <c r="AQ6" s="28">
        <f>VLOOKUP($A6,historia!$A$5:$DD$24,+HLOOKUP(AQ$2,historia!$A$3:$EC$4,2,FALSE),FALSE)</f>
        <v>3</v>
      </c>
      <c r="AR6" s="28">
        <f>VLOOKUP($A6,historia!$A$5:$DD$24,+HLOOKUP(AR$2,historia!$A$3:$EC$4,2,FALSE),FALSE)</f>
        <v>3</v>
      </c>
      <c r="AS6" s="28">
        <f>VLOOKUP($A6,historia!$A$5:$DD$24,+HLOOKUP(AS$2,historia!$A$3:$EC$4,2,FALSE),FALSE)</f>
        <v>4</v>
      </c>
      <c r="AT6" s="58">
        <f>VLOOKUP($A6,historia!$A$5:$DD$24,+HLOOKUP(AT$2,historia!$A$3:$EC$4,2,FALSE),FALSE)</f>
        <v>4</v>
      </c>
      <c r="AU6" s="58">
        <f>VLOOKUP($A6,historia!$A$5:$DD$24,+HLOOKUP(AU$2,historia!$A$3:$EC$4,2,FALSE),FALSE)</f>
        <v>4</v>
      </c>
      <c r="AV6" s="58">
        <f>VLOOKUP($A6,historia!$A$5:$DD$24,+HLOOKUP(AV$2,historia!$A$3:$EC$4,2,FALSE),FALSE)</f>
        <v>4</v>
      </c>
      <c r="AW6" s="58">
        <f>VLOOKUP($A6,historia!$A$5:$DD$24,+HLOOKUP(AW$2,historia!$A$3:$EC$4,2,FALSE),FALSE)</f>
        <v>4</v>
      </c>
      <c r="AX6" s="58">
        <f>VLOOKUP($A6,historia!$A$5:$DD$24,+HLOOKUP(AX$2,historia!$A$3:$EC$4,2,FALSE),FALSE)</f>
        <v>4</v>
      </c>
      <c r="AY6" s="58">
        <f>VLOOKUP($A6,historia!$A$5:$DD$24,+HLOOKUP(AY$2,historia!$A$3:$EC$4,2,FALSE),FALSE)</f>
        <v>4</v>
      </c>
      <c r="AZ6" s="58">
        <f>VLOOKUP($A6,historia!$A$5:$DD$24,+HLOOKUP(AZ$2,historia!$A$3:$EC$4,2,FALSE),FALSE)</f>
        <v>4</v>
      </c>
      <c r="BA6" s="58">
        <f>VLOOKUP($A6,historia!$A$5:$DD$24,+HLOOKUP(BA$2,historia!$A$3:$EC$4,2,FALSE),FALSE)</f>
        <v>4</v>
      </c>
      <c r="BB6" s="58"/>
      <c r="BC6" s="286">
        <v>4</v>
      </c>
      <c r="BD6" t="str">
        <f t="shared" ref="BD6:BD24" si="19">+A6</f>
        <v>Algodón</v>
      </c>
      <c r="BE6">
        <f>+datos!P1</f>
        <v>16</v>
      </c>
      <c r="BF6" s="2" t="str">
        <f t="shared" si="4"/>
        <v>$/kg</v>
      </c>
      <c r="BG6" s="2">
        <f t="shared" si="4"/>
        <v>1956.219407325</v>
      </c>
      <c r="BH6" s="2">
        <f t="shared" si="4"/>
        <v>1722.4983365624998</v>
      </c>
      <c r="BI6" s="2">
        <f t="shared" si="4"/>
        <v>1350.15365625</v>
      </c>
      <c r="BK6" s="1">
        <f>+datos!DK1</f>
        <v>115</v>
      </c>
      <c r="BL6" s="1">
        <f t="shared" ref="BL6:BM24" si="20">+VLOOKUP(BL$1,ran_dat,$BK6,FALSE)</f>
        <v>390000</v>
      </c>
      <c r="BM6" s="1">
        <f t="shared" si="20"/>
        <v>690000</v>
      </c>
      <c r="BO6" s="1">
        <f>+datos!FF1</f>
        <v>162</v>
      </c>
      <c r="BP6" s="1">
        <f>+VLOOKUP(BP$1,ran_dat,$BO6,FALSE)</f>
        <v>750000</v>
      </c>
      <c r="BQ6" s="1">
        <f t="shared" ref="BP6:BQ24" si="21">+VLOOKUP(BQ$1,ran_dat,$BO6,FALSE)</f>
        <v>1050000</v>
      </c>
      <c r="BS6" s="1">
        <f>+datos!JF1</f>
        <v>266</v>
      </c>
      <c r="BT6" s="1">
        <f>+SUM(CK6:CV6)</f>
        <v>168.81221725999998</v>
      </c>
      <c r="BU6" s="1">
        <f>+SUM(CW6:DH6)</f>
        <v>164.65637065999999</v>
      </c>
      <c r="BW6" s="1">
        <f>+datos!KK1</f>
        <v>297</v>
      </c>
      <c r="BX6" s="2">
        <f t="shared" ref="BX6:BX24" si="22">+SUM(DJ6:DU6)</f>
        <v>89.403659949999991</v>
      </c>
      <c r="BY6" s="2">
        <f t="shared" ref="BY6:BY24" si="23">+SUM(DV6:EG6)</f>
        <v>82.867863970000002</v>
      </c>
      <c r="CA6" s="1">
        <f>+datos!HS1</f>
        <v>227</v>
      </c>
      <c r="CB6" s="1">
        <f t="shared" ref="CB6:CB24" si="24">+EI6</f>
        <v>0</v>
      </c>
      <c r="CC6" s="1">
        <f t="shared" ref="CC6:CC24" si="25">+EU6</f>
        <v>0</v>
      </c>
      <c r="CD6" s="1"/>
      <c r="CE6">
        <f>+datos!BY1</f>
        <v>77</v>
      </c>
      <c r="CF6" s="2">
        <f t="shared" ref="CF6:CH24" si="26">+VLOOKUP(CF$1,ran_dat,$CE6,FALSE)</f>
        <v>14638.345133679992</v>
      </c>
      <c r="CG6" s="2">
        <f t="shared" si="26"/>
        <v>14083.784191268574</v>
      </c>
      <c r="CH6" s="2">
        <f t="shared" si="26"/>
        <v>9912.5619392841691</v>
      </c>
      <c r="CI6" s="1"/>
      <c r="CK6" s="1">
        <f t="shared" ref="CK6:CZ21" si="27">+VLOOKUP(CK$1,ran_dat,$BS6,FALSE)</f>
        <v>11.103674589999992</v>
      </c>
      <c r="CL6" s="1">
        <f t="shared" si="27"/>
        <v>12.094188589999995</v>
      </c>
      <c r="CM6" s="1">
        <f t="shared" si="27"/>
        <v>12.781845520000003</v>
      </c>
      <c r="CN6" s="1">
        <f t="shared" si="27"/>
        <v>12.588257429999995</v>
      </c>
      <c r="CO6" s="1">
        <f t="shared" si="27"/>
        <v>12.342095660000002</v>
      </c>
      <c r="CP6" s="1">
        <f t="shared" si="27"/>
        <v>14.028435419999997</v>
      </c>
      <c r="CQ6" s="1">
        <f t="shared" si="27"/>
        <v>19.935607340000004</v>
      </c>
      <c r="CR6" s="1">
        <f t="shared" si="27"/>
        <v>21.754931440000004</v>
      </c>
      <c r="CS6" s="1">
        <f t="shared" si="27"/>
        <v>18.652099290000002</v>
      </c>
      <c r="CT6" s="1">
        <f t="shared" si="27"/>
        <v>16.211576590000004</v>
      </c>
      <c r="CU6" s="1">
        <f t="shared" si="27"/>
        <v>9.0263359399999974</v>
      </c>
      <c r="CV6" s="1">
        <f t="shared" si="27"/>
        <v>8.2931694499999988</v>
      </c>
      <c r="CW6" s="1">
        <f t="shared" si="27"/>
        <v>5.0945514700000007</v>
      </c>
      <c r="CX6" s="1">
        <f t="shared" si="27"/>
        <v>7.3093251500000047</v>
      </c>
      <c r="CY6" s="1">
        <f t="shared" si="27"/>
        <v>6.7908860800000017</v>
      </c>
      <c r="CZ6" s="1">
        <f t="shared" si="27"/>
        <v>8.6490729999999978</v>
      </c>
      <c r="DA6" s="1">
        <f t="shared" ref="DA6:DH21" si="28">+VLOOKUP(DA$1,ran_dat,$BS6,FALSE)</f>
        <v>6.462363250000001</v>
      </c>
      <c r="DB6" s="1">
        <f t="shared" si="28"/>
        <v>10.78045292</v>
      </c>
      <c r="DC6" s="1">
        <f t="shared" si="28"/>
        <v>14.805583519999997</v>
      </c>
      <c r="DD6" s="1">
        <f t="shared" si="28"/>
        <v>17.696202909999993</v>
      </c>
      <c r="DE6" s="1">
        <f t="shared" si="28"/>
        <v>21.922029789999996</v>
      </c>
      <c r="DF6" s="1">
        <f t="shared" si="28"/>
        <v>19.20970509</v>
      </c>
      <c r="DG6" s="1">
        <f t="shared" si="28"/>
        <v>24.496622440000007</v>
      </c>
      <c r="DH6" s="1">
        <f t="shared" si="28"/>
        <v>21.439575039999998</v>
      </c>
      <c r="DJ6" s="1">
        <f t="shared" ref="DJ6:DY21" si="29">+VLOOKUP(DJ$1,ran_dat,$BW6,FALSE)</f>
        <v>4.6022526900000003</v>
      </c>
      <c r="DK6" s="1">
        <f t="shared" si="29"/>
        <v>6.0731055099999995</v>
      </c>
      <c r="DL6" s="1">
        <f t="shared" si="29"/>
        <v>5.0269418100000003</v>
      </c>
      <c r="DM6" s="1">
        <f t="shared" si="29"/>
        <v>4.1096809499999996</v>
      </c>
      <c r="DN6" s="1">
        <f t="shared" si="29"/>
        <v>5.6046989700000003</v>
      </c>
      <c r="DO6" s="1">
        <f t="shared" si="29"/>
        <v>5.8762837499999998</v>
      </c>
      <c r="DP6" s="1">
        <f t="shared" si="29"/>
        <v>7.4817210700000008</v>
      </c>
      <c r="DQ6" s="1">
        <f t="shared" si="29"/>
        <v>10.164854930000002</v>
      </c>
      <c r="DR6" s="1">
        <f t="shared" si="29"/>
        <v>9.0858989999999995</v>
      </c>
      <c r="DS6" s="1">
        <f t="shared" si="29"/>
        <v>10.908765819999998</v>
      </c>
      <c r="DT6" s="1">
        <f t="shared" si="29"/>
        <v>11.035692889999996</v>
      </c>
      <c r="DU6" s="1">
        <f t="shared" si="29"/>
        <v>9.4337625599999999</v>
      </c>
      <c r="DV6" s="1">
        <f t="shared" si="29"/>
        <v>9.66008332</v>
      </c>
      <c r="DW6" s="1">
        <f t="shared" si="29"/>
        <v>10.467826709999999</v>
      </c>
      <c r="DX6" s="1">
        <f t="shared" si="29"/>
        <v>7.9836210200000002</v>
      </c>
      <c r="DY6" s="1">
        <f t="shared" si="29"/>
        <v>9.7355070900000005</v>
      </c>
      <c r="DZ6" s="1">
        <f t="shared" ref="DZ6:EG20" si="30">+VLOOKUP(DZ$1,ran_dat,$BW6,FALSE)</f>
        <v>7.6983577599999995</v>
      </c>
      <c r="EA6" s="1">
        <f t="shared" si="30"/>
        <v>8.003268180000001</v>
      </c>
      <c r="EB6" s="1">
        <f t="shared" si="30"/>
        <v>5.6011509000000004</v>
      </c>
      <c r="EC6" s="1">
        <f t="shared" si="30"/>
        <v>5.8112020999999991</v>
      </c>
      <c r="ED6" s="1">
        <f t="shared" si="30"/>
        <v>6.3060080799999998</v>
      </c>
      <c r="EE6" s="1">
        <f t="shared" si="30"/>
        <v>3.7690183000000008</v>
      </c>
      <c r="EF6" s="1">
        <f t="shared" si="30"/>
        <v>4.5361736000000006</v>
      </c>
      <c r="EG6" s="1">
        <f t="shared" si="30"/>
        <v>3.2956469100000003</v>
      </c>
      <c r="EI6" s="14">
        <f>+VLOOKUP(EI$1,ran_dat,$CA6,FALSE)</f>
        <v>0</v>
      </c>
      <c r="EJ6" s="14">
        <f t="shared" ref="EJ6:FF21" si="31">+VLOOKUP(EJ$1,ran_dat,$CA6,FALSE)</f>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si="31"/>
        <v>0</v>
      </c>
      <c r="EY6" s="1">
        <f t="shared" si="31"/>
        <v>0</v>
      </c>
      <c r="EZ6" s="1">
        <f t="shared" si="31"/>
        <v>0</v>
      </c>
      <c r="FA6" s="1">
        <f t="shared" si="31"/>
        <v>0</v>
      </c>
      <c r="FB6" s="1">
        <f t="shared" si="31"/>
        <v>0</v>
      </c>
      <c r="FC6" s="1">
        <f t="shared" si="31"/>
        <v>0</v>
      </c>
      <c r="FD6" s="1">
        <f t="shared" si="31"/>
        <v>0</v>
      </c>
      <c r="FE6" s="1">
        <f t="shared" si="31"/>
        <v>0</v>
      </c>
      <c r="FF6" s="1">
        <f t="shared" si="31"/>
        <v>0</v>
      </c>
      <c r="FH6" s="162">
        <f t="shared" ref="FH6:FH24" si="32">+I6-K6</f>
        <v>-2.7860400518296302E-2</v>
      </c>
    </row>
    <row r="7" spans="1:164" ht="18.75" customHeight="1">
      <c r="A7" s="244" t="s">
        <v>13</v>
      </c>
      <c r="B7" s="247"/>
      <c r="C7" s="228">
        <f t="shared" si="5"/>
        <v>-0.33</v>
      </c>
      <c r="D7" s="229">
        <v>-1</v>
      </c>
      <c r="E7" s="253">
        <f t="shared" si="6"/>
        <v>0.12000000000000011</v>
      </c>
      <c r="F7" s="254">
        <f t="shared" si="7"/>
        <v>9.8500276650091534E-2</v>
      </c>
      <c r="G7" s="253">
        <f t="shared" si="8"/>
        <v>1.5606430550420436E-2</v>
      </c>
      <c r="H7" s="254">
        <f t="shared" si="9"/>
        <v>0.10439356944957967</v>
      </c>
      <c r="I7" s="253">
        <f t="shared" si="10"/>
        <v>0.21739130434782616</v>
      </c>
      <c r="J7" s="254">
        <f t="shared" si="11"/>
        <v>-0.11457391251502291</v>
      </c>
      <c r="K7" s="253">
        <f t="shared" si="12"/>
        <v>0.74458847790866511</v>
      </c>
      <c r="L7" s="254">
        <f t="shared" si="13"/>
        <v>-0.52719717356083895</v>
      </c>
      <c r="M7" s="255"/>
      <c r="N7" s="256">
        <v>1</v>
      </c>
      <c r="O7" s="253">
        <f t="shared" ref="O7:O24" si="33">IFERROR(+BL7/BM7-1,"")</f>
        <v>-0.13043478260869568</v>
      </c>
      <c r="P7" s="257">
        <f t="shared" ref="P7:P24" si="34">+O7</f>
        <v>-0.13043478260869568</v>
      </c>
      <c r="Q7" s="253">
        <f t="shared" si="14"/>
        <v>-0.125</v>
      </c>
      <c r="R7" s="257">
        <f t="shared" ref="R7:R24" si="35">+Q7</f>
        <v>-0.125</v>
      </c>
      <c r="S7" s="255"/>
      <c r="T7" s="256">
        <v>-1</v>
      </c>
      <c r="U7" s="253">
        <f t="shared" si="15"/>
        <v>8.6944997016280112E-2</v>
      </c>
      <c r="V7" s="258">
        <f t="shared" si="16"/>
        <v>8.6944997016280112E-2</v>
      </c>
      <c r="W7" s="253">
        <f t="shared" ref="W7:W24" si="36">IFERROR(IF(BX7&lt;0.5,"",+BX7/BY7-1),"")</f>
        <v>-0.54889879049520296</v>
      </c>
      <c r="X7" s="258">
        <f t="shared" si="17"/>
        <v>-0.54889879049520296</v>
      </c>
      <c r="Y7" s="253">
        <f t="shared" ref="Y7:Y25" si="37">IFERROR(+CB7/CC7-1,"")</f>
        <v>0.35714285714285721</v>
      </c>
      <c r="Z7" s="258">
        <f t="shared" si="18"/>
        <v>0.35714285714285721</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VLOOKUP($A7,historia!$A$5:$DD$24,+HLOOKUP(AP$2,historia!$A$3:$EC$4,2,FALSE),FALSE)</f>
        <v>4</v>
      </c>
      <c r="AQ7" s="28">
        <f>VLOOKUP($A7,historia!$A$5:$DD$24,+HLOOKUP(AQ$2,historia!$A$3:$EC$4,2,FALSE),FALSE)</f>
        <v>4</v>
      </c>
      <c r="AR7" s="28">
        <f>VLOOKUP($A7,historia!$A$5:$DD$24,+HLOOKUP(AR$2,historia!$A$3:$EC$4,2,FALSE),FALSE)</f>
        <v>4</v>
      </c>
      <c r="AS7" s="28">
        <f>VLOOKUP($A7,historia!$A$5:$DD$24,+HLOOKUP(AS$2,historia!$A$3:$EC$4,2,FALSE),FALSE)</f>
        <v>4</v>
      </c>
      <c r="AT7" s="58">
        <f>VLOOKUP($A7,historia!$A$5:$DD$24,+HLOOKUP(AT$2,historia!$A$3:$EC$4,2,FALSE),FALSE)</f>
        <v>4</v>
      </c>
      <c r="AU7" s="58">
        <f>VLOOKUP($A7,historia!$A$5:$DD$24,+HLOOKUP(AU$2,historia!$A$3:$EC$4,2,FALSE),FALSE)</f>
        <v>4</v>
      </c>
      <c r="AV7" s="58">
        <f>VLOOKUP($A7,historia!$A$5:$DD$24,+HLOOKUP(AV$2,historia!$A$3:$EC$4,2,FALSE),FALSE)</f>
        <v>4</v>
      </c>
      <c r="AW7" s="58">
        <f>VLOOKUP($A7,historia!$A$5:$DD$24,+HLOOKUP(AW$2,historia!$A$3:$EC$4,2,FALSE),FALSE)</f>
        <v>4</v>
      </c>
      <c r="AX7" s="58">
        <f>VLOOKUP($A7,historia!$A$5:$DD$24,+HLOOKUP(AX$2,historia!$A$3:$EC$4,2,FALSE),FALSE)</f>
        <v>4</v>
      </c>
      <c r="AY7" s="58">
        <f>VLOOKUP($A7,historia!$A$5:$DD$24,+HLOOKUP(AY$2,historia!$A$3:$EC$4,2,FALSE),FALSE)</f>
        <v>4</v>
      </c>
      <c r="AZ7" s="58">
        <f>VLOOKUP($A7,historia!$A$5:$DD$24,+HLOOKUP(AZ$2,historia!$A$3:$EC$4,2,FALSE),FALSE)</f>
        <v>3</v>
      </c>
      <c r="BA7" s="58">
        <f>VLOOKUP($A7,historia!$A$5:$DD$24,+HLOOKUP(BA$2,historia!$A$3:$EC$4,2,FALSE),FALSE)</f>
        <v>3</v>
      </c>
      <c r="BB7" s="58"/>
      <c r="BC7" s="286">
        <v>3</v>
      </c>
      <c r="BD7" t="str">
        <f t="shared" si="19"/>
        <v>Arroz</v>
      </c>
      <c r="BE7">
        <f>+datos!R1</f>
        <v>18</v>
      </c>
      <c r="BF7" s="2" t="str">
        <f t="shared" si="4"/>
        <v>$/t</v>
      </c>
      <c r="BG7" s="2">
        <f t="shared" si="4"/>
        <v>280000</v>
      </c>
      <c r="BH7" s="2">
        <f t="shared" si="4"/>
        <v>250000</v>
      </c>
      <c r="BI7" s="2">
        <f t="shared" si="4"/>
        <v>230000</v>
      </c>
      <c r="BK7" s="1">
        <f>+datos!DM1</f>
        <v>117</v>
      </c>
      <c r="BL7" s="1">
        <f t="shared" si="20"/>
        <v>200000</v>
      </c>
      <c r="BM7" s="1">
        <f t="shared" si="20"/>
        <v>230000</v>
      </c>
      <c r="BO7" s="1">
        <f>+datos!FH1</f>
        <v>164</v>
      </c>
      <c r="BP7" s="1">
        <f t="shared" si="21"/>
        <v>1400000</v>
      </c>
      <c r="BQ7" s="1">
        <f t="shared" si="21"/>
        <v>1600000</v>
      </c>
      <c r="BS7" s="1">
        <f>+datos!JG1</f>
        <v>267</v>
      </c>
      <c r="BT7" s="1">
        <f t="shared" ref="BT7:BT24" si="38">+SUM(CK7:CV7)</f>
        <v>433.30419502000001</v>
      </c>
      <c r="BU7" s="1">
        <f t="shared" ref="BU7:BU24" si="39">+SUM(CW7:DH7)</f>
        <v>398.64408614000001</v>
      </c>
      <c r="BW7" s="1">
        <f>+datos!KL1</f>
        <v>298</v>
      </c>
      <c r="BX7" s="2">
        <f t="shared" si="22"/>
        <v>2.1920306400000005</v>
      </c>
      <c r="BY7" s="2">
        <f t="shared" si="23"/>
        <v>4.8592878799999992</v>
      </c>
      <c r="CA7" s="1">
        <f>+datos!HU1</f>
        <v>229</v>
      </c>
      <c r="CB7" s="1">
        <f t="shared" si="24"/>
        <v>950000</v>
      </c>
      <c r="CC7" s="1">
        <f t="shared" si="25"/>
        <v>700000</v>
      </c>
      <c r="CD7" s="1"/>
      <c r="CE7">
        <f>+datos!BZ1</f>
        <v>78</v>
      </c>
      <c r="CF7" s="2">
        <f t="shared" si="26"/>
        <v>16235.604095248649</v>
      </c>
      <c r="CG7" s="2">
        <f t="shared" si="26"/>
        <v>15986.117857140351</v>
      </c>
      <c r="CH7" s="2">
        <f t="shared" si="26"/>
        <v>9306.2658047078057</v>
      </c>
      <c r="CI7" s="1"/>
      <c r="CK7" s="1">
        <f t="shared" si="27"/>
        <v>29.390449220000004</v>
      </c>
      <c r="CL7" s="1">
        <f t="shared" si="27"/>
        <v>63.44953374</v>
      </c>
      <c r="CM7" s="1">
        <f t="shared" si="27"/>
        <v>21.288385250000005</v>
      </c>
      <c r="CN7" s="1">
        <f t="shared" si="27"/>
        <v>90.314876920000003</v>
      </c>
      <c r="CO7" s="1">
        <f t="shared" si="27"/>
        <v>25.485538569999999</v>
      </c>
      <c r="CP7" s="1">
        <f t="shared" si="27"/>
        <v>12.625558100000001</v>
      </c>
      <c r="CQ7" s="1">
        <f t="shared" si="27"/>
        <v>36.759837599999997</v>
      </c>
      <c r="CR7" s="1">
        <f t="shared" si="27"/>
        <v>36.299912110000001</v>
      </c>
      <c r="CS7" s="1">
        <f t="shared" si="27"/>
        <v>15.634826659999996</v>
      </c>
      <c r="CT7" s="1">
        <f t="shared" si="27"/>
        <v>54.436744560000001</v>
      </c>
      <c r="CU7" s="1">
        <f t="shared" si="27"/>
        <v>16.08135906</v>
      </c>
      <c r="CV7" s="1">
        <f t="shared" si="27"/>
        <v>31.537173230000004</v>
      </c>
      <c r="CW7" s="1">
        <f t="shared" si="27"/>
        <v>39.974175860000003</v>
      </c>
      <c r="CX7" s="1">
        <f t="shared" si="27"/>
        <v>35.910188569999995</v>
      </c>
      <c r="CY7" s="1">
        <f t="shared" si="27"/>
        <v>30.652184479999995</v>
      </c>
      <c r="CZ7" s="1">
        <f t="shared" si="27"/>
        <v>94.896967090000004</v>
      </c>
      <c r="DA7" s="1">
        <f t="shared" si="28"/>
        <v>22.007364089999996</v>
      </c>
      <c r="DB7" s="1">
        <f t="shared" si="28"/>
        <v>13.652213600000001</v>
      </c>
      <c r="DC7" s="1">
        <f t="shared" si="28"/>
        <v>21.789652239999999</v>
      </c>
      <c r="DD7" s="1">
        <f t="shared" si="28"/>
        <v>22.506187060000002</v>
      </c>
      <c r="DE7" s="1">
        <f t="shared" si="28"/>
        <v>26.198510359999997</v>
      </c>
      <c r="DF7" s="1">
        <f t="shared" si="28"/>
        <v>16.658344929999998</v>
      </c>
      <c r="DG7" s="1">
        <f t="shared" si="28"/>
        <v>38.799980059999996</v>
      </c>
      <c r="DH7" s="1">
        <f t="shared" si="28"/>
        <v>35.598317799999997</v>
      </c>
      <c r="DJ7" s="1">
        <f t="shared" si="29"/>
        <v>0.10270198</v>
      </c>
      <c r="DK7" s="1">
        <f t="shared" si="29"/>
        <v>0.16027804000000001</v>
      </c>
      <c r="DL7" s="1">
        <f t="shared" si="29"/>
        <v>0.19125684999999998</v>
      </c>
      <c r="DM7" s="1">
        <f t="shared" si="29"/>
        <v>0.15253662999999998</v>
      </c>
      <c r="DN7" s="1">
        <f t="shared" si="29"/>
        <v>1.9795769999999997E-2</v>
      </c>
      <c r="DO7" s="1">
        <f t="shared" si="29"/>
        <v>0.22953033</v>
      </c>
      <c r="DP7" s="1">
        <f t="shared" si="29"/>
        <v>3.2780709999999998E-2</v>
      </c>
      <c r="DQ7" s="1">
        <f t="shared" si="29"/>
        <v>0.17706282000000001</v>
      </c>
      <c r="DR7" s="1">
        <f t="shared" si="29"/>
        <v>0.30085145999999996</v>
      </c>
      <c r="DS7" s="1">
        <f t="shared" si="29"/>
        <v>0.26679149000000002</v>
      </c>
      <c r="DT7" s="1">
        <f t="shared" si="29"/>
        <v>0.13893236</v>
      </c>
      <c r="DU7" s="1">
        <f t="shared" si="29"/>
        <v>0.4195122</v>
      </c>
      <c r="DV7" s="1">
        <f t="shared" si="29"/>
        <v>0.20050375000000001</v>
      </c>
      <c r="DW7" s="1">
        <f t="shared" si="29"/>
        <v>0.34624290000000002</v>
      </c>
      <c r="DX7" s="1">
        <f t="shared" si="29"/>
        <v>0.15613090000000002</v>
      </c>
      <c r="DY7" s="1">
        <f t="shared" si="29"/>
        <v>0.47281664000000007</v>
      </c>
      <c r="DZ7" s="1">
        <f t="shared" si="30"/>
        <v>0.84812041999999999</v>
      </c>
      <c r="EA7" s="1">
        <f t="shared" si="30"/>
        <v>0.25440681999999998</v>
      </c>
      <c r="EB7" s="1">
        <f t="shared" si="30"/>
        <v>0.7620908099999999</v>
      </c>
      <c r="EC7" s="1">
        <f t="shared" si="30"/>
        <v>0.50490091999999998</v>
      </c>
      <c r="ED7" s="1">
        <f t="shared" si="30"/>
        <v>0.40961613000000002</v>
      </c>
      <c r="EE7" s="1">
        <f t="shared" si="30"/>
        <v>0.23587240000000001</v>
      </c>
      <c r="EF7" s="1">
        <f t="shared" si="30"/>
        <v>0.18557204999999999</v>
      </c>
      <c r="EG7" s="1">
        <f t="shared" si="30"/>
        <v>0.48301414000000004</v>
      </c>
      <c r="EI7" s="14">
        <f t="shared" ref="EI7:EX22" si="40">+VLOOKUP(EI$1,ran_dat,$CA7,FALSE)</f>
        <v>950000</v>
      </c>
      <c r="EJ7" s="14">
        <f t="shared" si="40"/>
        <v>950000</v>
      </c>
      <c r="EK7" s="1">
        <f t="shared" si="40"/>
        <v>990000</v>
      </c>
      <c r="EL7" s="1">
        <f t="shared" si="40"/>
        <v>990000</v>
      </c>
      <c r="EM7" s="1">
        <f t="shared" si="40"/>
        <v>990000</v>
      </c>
      <c r="EN7" s="1">
        <f t="shared" si="40"/>
        <v>990000</v>
      </c>
      <c r="EO7" s="1">
        <f t="shared" si="40"/>
        <v>990000</v>
      </c>
      <c r="EP7" s="1">
        <f t="shared" si="40"/>
        <v>990000</v>
      </c>
      <c r="EQ7" s="1">
        <f t="shared" si="40"/>
        <v>990000</v>
      </c>
      <c r="ER7" s="1">
        <f t="shared" si="40"/>
        <v>990000</v>
      </c>
      <c r="ES7" s="1">
        <f t="shared" si="40"/>
        <v>990000</v>
      </c>
      <c r="ET7" s="1">
        <f t="shared" si="40"/>
        <v>990000</v>
      </c>
      <c r="EU7" s="1">
        <f t="shared" si="40"/>
        <v>700000</v>
      </c>
      <c r="EV7" s="1">
        <f t="shared" si="40"/>
        <v>700000</v>
      </c>
      <c r="EW7" s="1">
        <f t="shared" si="40"/>
        <v>700000</v>
      </c>
      <c r="EX7" s="1">
        <f t="shared" si="40"/>
        <v>700000</v>
      </c>
      <c r="EY7" s="1">
        <f t="shared" si="31"/>
        <v>700000</v>
      </c>
      <c r="EZ7" s="1">
        <f t="shared" si="31"/>
        <v>700000</v>
      </c>
      <c r="FA7" s="1">
        <f t="shared" si="31"/>
        <v>700000</v>
      </c>
      <c r="FB7" s="1">
        <f t="shared" si="31"/>
        <v>700000</v>
      </c>
      <c r="FC7" s="1">
        <f t="shared" si="31"/>
        <v>700000</v>
      </c>
      <c r="FD7" s="1">
        <f t="shared" si="31"/>
        <v>700000</v>
      </c>
      <c r="FE7" s="1">
        <f t="shared" si="31"/>
        <v>700000</v>
      </c>
      <c r="FF7" s="1">
        <f t="shared" si="31"/>
        <v>700000</v>
      </c>
      <c r="FH7" s="162">
        <f t="shared" si="32"/>
        <v>-0.52719717356083895</v>
      </c>
    </row>
    <row r="8" spans="1:164" ht="18.75" customHeight="1">
      <c r="A8" s="243" t="s">
        <v>215</v>
      </c>
      <c r="B8" s="246"/>
      <c r="C8" s="156">
        <f t="shared" si="5"/>
        <v>-0.33</v>
      </c>
      <c r="D8" s="198">
        <v>0</v>
      </c>
      <c r="E8" s="248">
        <f t="shared" si="6"/>
        <v>7.683005813788002E-3</v>
      </c>
      <c r="F8" s="249">
        <f t="shared" si="7"/>
        <v>-1.3816717536120571E-2</v>
      </c>
      <c r="G8" s="248">
        <f t="shared" si="8"/>
        <v>4.1925452210852754E-2</v>
      </c>
      <c r="H8" s="249">
        <f t="shared" si="9"/>
        <v>-3.4242446397064752E-2</v>
      </c>
      <c r="I8" s="248">
        <f t="shared" si="10"/>
        <v>1.7977978235323766E-2</v>
      </c>
      <c r="J8" s="249">
        <f t="shared" si="11"/>
        <v>-0.31398723862752531</v>
      </c>
      <c r="K8" s="248">
        <f t="shared" si="12"/>
        <v>0.31739399565931481</v>
      </c>
      <c r="L8" s="249">
        <f t="shared" si="13"/>
        <v>-0.29941601742399104</v>
      </c>
      <c r="M8" s="250"/>
      <c r="N8" s="24">
        <v>0</v>
      </c>
      <c r="O8" s="248">
        <f t="shared" si="33"/>
        <v>6.6168623265741022E-3</v>
      </c>
      <c r="P8" s="251">
        <f t="shared" si="34"/>
        <v>6.6168623265741022E-3</v>
      </c>
      <c r="Q8" s="248">
        <f t="shared" si="14"/>
        <v>-1.8409738812969922E-2</v>
      </c>
      <c r="R8" s="251">
        <f t="shared" si="35"/>
        <v>-1.8409738812969922E-2</v>
      </c>
      <c r="S8" s="250"/>
      <c r="T8" s="24">
        <v>-1</v>
      </c>
      <c r="U8" s="248">
        <f t="shared" si="15"/>
        <v>-0.33905782256106465</v>
      </c>
      <c r="V8" s="252">
        <f t="shared" si="16"/>
        <v>-0.33905782256106465</v>
      </c>
      <c r="W8" s="248">
        <f t="shared" si="36"/>
        <v>2.027015705953783E-2</v>
      </c>
      <c r="X8" s="252">
        <f t="shared" si="17"/>
        <v>2.027015705953783E-2</v>
      </c>
      <c r="Y8" s="248">
        <f t="shared" si="37"/>
        <v>2.0314547837483543E-2</v>
      </c>
      <c r="Z8" s="252">
        <f t="shared" si="18"/>
        <v>2.0314547837483543E-2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VLOOKUP($A8,historia!$A$5:$DD$24,+HLOOKUP(AP$2,historia!$A$3:$EC$4,2,FALSE),FALSE)</f>
        <v>2</v>
      </c>
      <c r="AQ8" s="28">
        <f>VLOOKUP($A8,historia!$A$5:$DD$24,+HLOOKUP(AQ$2,historia!$A$3:$EC$4,2,FALSE),FALSE)</f>
        <v>2</v>
      </c>
      <c r="AR8" s="28">
        <f>VLOOKUP($A8,historia!$A$5:$DD$24,+HLOOKUP(AR$2,historia!$A$3:$EC$4,2,FALSE),FALSE)</f>
        <v>2</v>
      </c>
      <c r="AS8" s="28">
        <f>VLOOKUP($A8,historia!$A$5:$DD$24,+HLOOKUP(AS$2,historia!$A$3:$EC$4,2,FALSE),FALSE)</f>
        <v>2</v>
      </c>
      <c r="AT8" s="58">
        <f>VLOOKUP($A8,historia!$A$5:$DD$24,+HLOOKUP(AT$2,historia!$A$3:$EC$4,2,FALSE),FALSE)</f>
        <v>2</v>
      </c>
      <c r="AU8" s="58">
        <f>VLOOKUP($A8,historia!$A$5:$DD$24,+HLOOKUP(AU$2,historia!$A$3:$EC$4,2,FALSE),FALSE)</f>
        <v>3</v>
      </c>
      <c r="AV8" s="58">
        <f>VLOOKUP($A8,historia!$A$5:$DD$24,+HLOOKUP(AV$2,historia!$A$3:$EC$4,2,FALSE),FALSE)</f>
        <v>3</v>
      </c>
      <c r="AW8" s="58">
        <f>VLOOKUP($A8,historia!$A$5:$DD$24,+HLOOKUP(AW$2,historia!$A$3:$EC$4,2,FALSE),FALSE)</f>
        <v>3</v>
      </c>
      <c r="AX8" s="58">
        <f>VLOOKUP($A8,historia!$A$5:$DD$24,+HLOOKUP(AX$2,historia!$A$3:$EC$4,2,FALSE),FALSE)</f>
        <v>3</v>
      </c>
      <c r="AY8" s="58">
        <f>VLOOKUP($A8,historia!$A$5:$DD$24,+HLOOKUP(AY$2,historia!$A$3:$EC$4,2,FALSE),FALSE)</f>
        <v>3</v>
      </c>
      <c r="AZ8" s="58">
        <f>VLOOKUP($A8,historia!$A$5:$DD$24,+HLOOKUP(AZ$2,historia!$A$3:$EC$4,2,FALSE),FALSE)</f>
        <v>3</v>
      </c>
      <c r="BA8" s="58">
        <f>VLOOKUP($A8,historia!$A$5:$DG$24,+HLOOKUP(BA$2,historia!$A$3:$EC$4,2,FALSE),FALSE)</f>
        <v>3</v>
      </c>
      <c r="BB8" s="58"/>
      <c r="BC8" s="286">
        <v>3</v>
      </c>
      <c r="BD8" t="str">
        <f t="shared" si="19"/>
        <v>Aves</v>
      </c>
      <c r="BE8">
        <f>+datos!BQ1</f>
        <v>69</v>
      </c>
      <c r="BF8" s="2" t="str">
        <f t="shared" si="4"/>
        <v>prom pond huevo-carne</v>
      </c>
      <c r="BG8" s="2">
        <f t="shared" si="4"/>
        <v>2375.7849999999999</v>
      </c>
      <c r="BH8" s="2">
        <f t="shared" si="4"/>
        <v>2357.6710000000003</v>
      </c>
      <c r="BI8" s="2">
        <f t="shared" si="4"/>
        <v>2333.8274999999999</v>
      </c>
      <c r="BK8" s="1">
        <f>+datos!EP1</f>
        <v>146</v>
      </c>
      <c r="BL8" s="1">
        <f t="shared" si="20"/>
        <v>9432</v>
      </c>
      <c r="BM8" s="1">
        <f t="shared" si="20"/>
        <v>9370</v>
      </c>
      <c r="BO8" s="1">
        <f>+datos!HM1</f>
        <v>221</v>
      </c>
      <c r="BP8" s="1">
        <f t="shared" si="21"/>
        <v>2333931.98</v>
      </c>
      <c r="BQ8" s="1">
        <f t="shared" si="21"/>
        <v>2377704.906299287</v>
      </c>
      <c r="BS8" s="1">
        <f>+datos!KF1</f>
        <v>292</v>
      </c>
      <c r="BT8" s="1">
        <f t="shared" si="38"/>
        <v>106.66111075999999</v>
      </c>
      <c r="BU8" s="1">
        <f t="shared" si="39"/>
        <v>161.37737067</v>
      </c>
      <c r="BW8" s="1">
        <f>+datos!LK1</f>
        <v>323</v>
      </c>
      <c r="BX8" s="2">
        <f t="shared" si="22"/>
        <v>41.397962809999996</v>
      </c>
      <c r="BY8" s="2">
        <f t="shared" si="23"/>
        <v>40.575491229999997</v>
      </c>
      <c r="CA8" s="1">
        <f>+datos!IL1</f>
        <v>246</v>
      </c>
      <c r="CB8" s="2">
        <f t="shared" si="24"/>
        <v>46.71</v>
      </c>
      <c r="CC8" s="2">
        <f t="shared" si="25"/>
        <v>45.78</v>
      </c>
      <c r="CD8" s="2">
        <f>CB8-CC8</f>
        <v>0.92999999999999972</v>
      </c>
      <c r="CE8">
        <f>+datos!DG1</f>
        <v>111</v>
      </c>
      <c r="CF8" s="2">
        <f t="shared" si="26"/>
        <v>12885.187885704403</v>
      </c>
      <c r="CG8" s="2">
        <f t="shared" si="26"/>
        <v>12366.708058012626</v>
      </c>
      <c r="CH8" s="2">
        <f t="shared" si="26"/>
        <v>9780.8157074951341</v>
      </c>
      <c r="CI8" s="2"/>
      <c r="CJ8" s="2">
        <f>CB8-CC8</f>
        <v>0.92999999999999972</v>
      </c>
      <c r="CK8" s="1">
        <f t="shared" si="27"/>
        <v>9.8196206999999998</v>
      </c>
      <c r="CL8" s="1">
        <f t="shared" si="27"/>
        <v>8.5791291300000001</v>
      </c>
      <c r="CM8" s="1">
        <f t="shared" si="27"/>
        <v>9.6066541700000005</v>
      </c>
      <c r="CN8" s="1">
        <f t="shared" si="27"/>
        <v>9.221842539999999</v>
      </c>
      <c r="CO8" s="1">
        <f t="shared" si="27"/>
        <v>8.3583028800000001</v>
      </c>
      <c r="CP8" s="1">
        <f t="shared" si="27"/>
        <v>10.33831614</v>
      </c>
      <c r="CQ8" s="1">
        <f t="shared" si="27"/>
        <v>10.343166379999998</v>
      </c>
      <c r="CR8" s="1">
        <f t="shared" si="27"/>
        <v>8.6585168299999999</v>
      </c>
      <c r="CS8" s="1">
        <f t="shared" si="27"/>
        <v>9.7942580100000001</v>
      </c>
      <c r="CT8" s="1">
        <f t="shared" si="27"/>
        <v>6.5346210099999995</v>
      </c>
      <c r="CU8" s="1">
        <f t="shared" si="27"/>
        <v>6.7443728600000004</v>
      </c>
      <c r="CV8" s="1">
        <f t="shared" si="27"/>
        <v>8.66231011</v>
      </c>
      <c r="CW8" s="1">
        <f t="shared" si="27"/>
        <v>7.3007548499999997</v>
      </c>
      <c r="CX8" s="1">
        <f t="shared" si="27"/>
        <v>9.0051498100000007</v>
      </c>
      <c r="CY8" s="1">
        <f t="shared" si="27"/>
        <v>5.9149876199999998</v>
      </c>
      <c r="CZ8" s="1">
        <f t="shared" si="27"/>
        <v>8.0094020700000002</v>
      </c>
      <c r="DA8" s="1">
        <f t="shared" si="28"/>
        <v>5.62476749</v>
      </c>
      <c r="DB8" s="1">
        <f t="shared" si="28"/>
        <v>10.456415849999999</v>
      </c>
      <c r="DC8" s="1">
        <f t="shared" si="28"/>
        <v>8.1147673099999995</v>
      </c>
      <c r="DD8" s="1">
        <f t="shared" si="28"/>
        <v>20.968439010000004</v>
      </c>
      <c r="DE8" s="1">
        <f t="shared" si="28"/>
        <v>22.566015059999998</v>
      </c>
      <c r="DF8" s="1">
        <f t="shared" si="28"/>
        <v>20.944876220000001</v>
      </c>
      <c r="DG8" s="1">
        <f t="shared" si="28"/>
        <v>23.157032140000002</v>
      </c>
      <c r="DH8" s="1">
        <f t="shared" si="28"/>
        <v>19.314763240000005</v>
      </c>
      <c r="DJ8" s="1">
        <f t="shared" si="29"/>
        <v>4.64961936</v>
      </c>
      <c r="DK8" s="1">
        <f t="shared" si="29"/>
        <v>3.2517762100000001</v>
      </c>
      <c r="DL8" s="1">
        <f t="shared" si="29"/>
        <v>5.3810388700000003</v>
      </c>
      <c r="DM8" s="1">
        <f t="shared" si="29"/>
        <v>1.5958006899999999</v>
      </c>
      <c r="DN8" s="1">
        <f t="shared" si="29"/>
        <v>1.1051948</v>
      </c>
      <c r="DO8" s="1">
        <f t="shared" si="29"/>
        <v>4.8166289400000002</v>
      </c>
      <c r="DP8" s="1">
        <f t="shared" si="29"/>
        <v>3.1609685399999994</v>
      </c>
      <c r="DQ8" s="1">
        <f t="shared" si="29"/>
        <v>2.9900732700000003</v>
      </c>
      <c r="DR8" s="1">
        <f t="shared" si="29"/>
        <v>5.5193633599999998</v>
      </c>
      <c r="DS8" s="1">
        <f t="shared" si="29"/>
        <v>3.4351580800000003</v>
      </c>
      <c r="DT8" s="1">
        <f t="shared" si="29"/>
        <v>2.0550383299999999</v>
      </c>
      <c r="DU8" s="1">
        <f t="shared" si="29"/>
        <v>3.4373023600000003</v>
      </c>
      <c r="DV8" s="1">
        <f t="shared" si="29"/>
        <v>5.2475744900000008</v>
      </c>
      <c r="DW8" s="1">
        <f t="shared" si="29"/>
        <v>3.52939004</v>
      </c>
      <c r="DX8" s="1">
        <f t="shared" si="29"/>
        <v>1.41927303</v>
      </c>
      <c r="DY8" s="1">
        <f t="shared" si="29"/>
        <v>4.5240591299999995</v>
      </c>
      <c r="DZ8" s="1">
        <f t="shared" si="30"/>
        <v>2.5037689800000003</v>
      </c>
      <c r="EA8" s="1">
        <f t="shared" si="30"/>
        <v>2.5011971499999999</v>
      </c>
      <c r="EB8" s="1">
        <f t="shared" si="30"/>
        <v>3.7585351000000005</v>
      </c>
      <c r="EC8" s="1">
        <f t="shared" si="30"/>
        <v>4.0425458900000004</v>
      </c>
      <c r="ED8" s="1">
        <f t="shared" si="30"/>
        <v>3.59052696</v>
      </c>
      <c r="EE8" s="1">
        <f t="shared" si="30"/>
        <v>2.1766254799999998</v>
      </c>
      <c r="EF8" s="1">
        <f t="shared" si="30"/>
        <v>1.5903026900000001</v>
      </c>
      <c r="EG8" s="1">
        <f t="shared" si="30"/>
        <v>5.6916922899999998</v>
      </c>
      <c r="EI8" s="14">
        <f t="shared" si="40"/>
        <v>46.71</v>
      </c>
      <c r="EJ8" s="14">
        <f t="shared" si="40"/>
        <v>47.02</v>
      </c>
      <c r="EK8" s="1">
        <f t="shared" si="40"/>
        <v>47.16</v>
      </c>
      <c r="EL8" s="1">
        <f t="shared" si="40"/>
        <v>47</v>
      </c>
      <c r="EM8" s="1">
        <f t="shared" si="40"/>
        <v>47.2</v>
      </c>
      <c r="EN8" s="1">
        <f t="shared" si="40"/>
        <v>47.7</v>
      </c>
      <c r="EO8" s="1">
        <f t="shared" si="40"/>
        <v>47.68</v>
      </c>
      <c r="EP8" s="1">
        <f t="shared" si="40"/>
        <v>46.5</v>
      </c>
      <c r="EQ8" s="1">
        <f t="shared" si="40"/>
        <v>46.08</v>
      </c>
      <c r="ER8" s="1">
        <f t="shared" si="40"/>
        <v>45.67</v>
      </c>
      <c r="ES8" s="1">
        <f t="shared" si="40"/>
        <v>45.79</v>
      </c>
      <c r="ET8" s="1">
        <f t="shared" si="40"/>
        <v>45.9</v>
      </c>
      <c r="EU8" s="1">
        <f t="shared" si="40"/>
        <v>45.78</v>
      </c>
      <c r="EV8" s="1">
        <f t="shared" si="40"/>
        <v>45.91</v>
      </c>
      <c r="EW8" s="1">
        <f t="shared" si="40"/>
        <v>45.61</v>
      </c>
      <c r="EX8" s="1">
        <f t="shared" si="40"/>
        <v>45.61</v>
      </c>
      <c r="EY8" s="1">
        <f t="shared" si="31"/>
        <v>45.23</v>
      </c>
      <c r="EZ8" s="1">
        <f t="shared" si="31"/>
        <v>45.2</v>
      </c>
      <c r="FA8" s="1">
        <f t="shared" si="31"/>
        <v>46.01</v>
      </c>
      <c r="FB8" s="1">
        <f t="shared" si="31"/>
        <v>44.44</v>
      </c>
      <c r="FC8" s="1">
        <f t="shared" si="31"/>
        <v>42.29</v>
      </c>
      <c r="FD8" s="1">
        <f t="shared" si="31"/>
        <v>45.39</v>
      </c>
      <c r="FE8" s="1">
        <f t="shared" si="31"/>
        <v>45.32</v>
      </c>
      <c r="FF8" s="1">
        <f t="shared" si="31"/>
        <v>44.85</v>
      </c>
      <c r="FH8" s="162">
        <f t="shared" si="32"/>
        <v>-0.29941601742399104</v>
      </c>
    </row>
    <row r="9" spans="1:164" ht="18.75" customHeight="1">
      <c r="A9" s="244" t="s">
        <v>77</v>
      </c>
      <c r="B9" s="247"/>
      <c r="C9" s="228">
        <v>0</v>
      </c>
      <c r="D9" s="229">
        <v>1</v>
      </c>
      <c r="E9" s="253">
        <f t="shared" si="6"/>
        <v>-1.6916355119951376E-2</v>
      </c>
      <c r="F9" s="254">
        <f t="shared" si="7"/>
        <v>-3.8416078469859949E-2</v>
      </c>
      <c r="G9" s="253">
        <f t="shared" si="8"/>
        <v>8.9631321757344118E-4</v>
      </c>
      <c r="H9" s="254">
        <f t="shared" si="9"/>
        <v>-1.7812668337524817E-2</v>
      </c>
      <c r="I9" s="253">
        <f t="shared" si="10"/>
        <v>0.6933909867909871</v>
      </c>
      <c r="J9" s="254">
        <f t="shared" si="11"/>
        <v>0.36142576992813802</v>
      </c>
      <c r="K9" s="253">
        <f t="shared" si="12"/>
        <v>0.49053065602995205</v>
      </c>
      <c r="L9" s="254">
        <f t="shared" si="13"/>
        <v>0.20286033076103505</v>
      </c>
      <c r="M9" s="255"/>
      <c r="N9" s="256">
        <v>-1</v>
      </c>
      <c r="O9" s="253">
        <f t="shared" si="33"/>
        <v>-1.3639133000699299E-2</v>
      </c>
      <c r="P9" s="257">
        <f t="shared" si="34"/>
        <v>-1.3639133000699299E-2</v>
      </c>
      <c r="Q9" s="253">
        <f t="shared" si="14"/>
        <v>-2.0612041961651562E-2</v>
      </c>
      <c r="R9" s="257">
        <f t="shared" si="35"/>
        <v>-2.0612041961651562E-2</v>
      </c>
      <c r="S9" s="255"/>
      <c r="T9" s="256">
        <v>0</v>
      </c>
      <c r="U9" s="253">
        <f t="shared" si="15"/>
        <v>0.36107078031171835</v>
      </c>
      <c r="V9" s="258">
        <f t="shared" si="16"/>
        <v>0.36107078031171835</v>
      </c>
      <c r="W9" s="253">
        <f t="shared" si="36"/>
        <v>0.91230113391478485</v>
      </c>
      <c r="X9" s="258">
        <f t="shared" si="17"/>
        <v>0.91230113391478485</v>
      </c>
      <c r="Y9" s="253">
        <f t="shared" si="37"/>
        <v>-4.8804980919863405E-2</v>
      </c>
      <c r="Z9" s="258">
        <f t="shared" si="18"/>
        <v>-4.8804980919863405E-2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VLOOKUP($A9,historia!$A$5:$DD$24,+HLOOKUP(AP$2,historia!$A$3:$EC$4,2,FALSE),FALSE)</f>
        <v>2</v>
      </c>
      <c r="AQ9" s="28">
        <f>VLOOKUP($A9,historia!$A$5:$DD$24,+HLOOKUP(AQ$2,historia!$A$3:$EC$4,2,FALSE),FALSE)</f>
        <v>2</v>
      </c>
      <c r="AR9" s="28">
        <f>VLOOKUP($A9,historia!$A$5:$DD$24,+HLOOKUP(AR$2,historia!$A$3:$EC$4,2,FALSE),FALSE)</f>
        <v>1</v>
      </c>
      <c r="AS9" s="28">
        <f>VLOOKUP($A9,historia!$A$5:$DD$24,+HLOOKUP(AS$2,historia!$A$3:$EC$4,2,FALSE),FALSE)</f>
        <v>1</v>
      </c>
      <c r="AT9" s="58">
        <f>VLOOKUP($A9,historia!$A$5:$DD$24,+HLOOKUP(AT$2,historia!$A$3:$EC$4,2,FALSE),FALSE)</f>
        <v>2</v>
      </c>
      <c r="AU9" s="58">
        <f>VLOOKUP($A9,historia!$A$5:$DD$24,+HLOOKUP(AU$2,historia!$A$3:$EC$4,2,FALSE),FALSE)</f>
        <v>1</v>
      </c>
      <c r="AV9" s="58">
        <f>VLOOKUP($A9,historia!$A$5:$DD$24,+HLOOKUP(AV$2,historia!$A$3:$EC$4,2,FALSE),FALSE)</f>
        <v>2</v>
      </c>
      <c r="AW9" s="58">
        <f>VLOOKUP($A9,historia!$A$5:$DD$24,+HLOOKUP(AW$2,historia!$A$3:$EC$4,2,FALSE),FALSE)</f>
        <v>2</v>
      </c>
      <c r="AX9" s="58">
        <f>VLOOKUP($A9,historia!$A$5:$DD$24,+HLOOKUP(AX$2,historia!$A$3:$EC$4,2,FALSE),FALSE)</f>
        <v>2</v>
      </c>
      <c r="AY9" s="58">
        <f>VLOOKUP($A9,historia!$A$5:$DD$24,+HLOOKUP(AY$2,historia!$A$3:$EC$4,2,FALSE),FALSE)</f>
        <v>2</v>
      </c>
      <c r="AZ9" s="58">
        <f>VLOOKUP($A9,historia!$A$5:$DD$24,+HLOOKUP(AZ$2,historia!$A$3:$EC$4,2,FALSE),FALSE)</f>
        <v>2</v>
      </c>
      <c r="BA9" s="58">
        <f>VLOOKUP($A9,historia!$A$5:$DG$24,+HLOOKUP(BA$2,historia!$A$3:$EC$4,2,FALSE),FALSE)</f>
        <v>2</v>
      </c>
      <c r="BB9" s="58"/>
      <c r="BC9" s="286">
        <v>2</v>
      </c>
      <c r="BD9" t="str">
        <f t="shared" si="19"/>
        <v>Bovinos</v>
      </c>
      <c r="BE9">
        <f>+datos!BM1</f>
        <v>65</v>
      </c>
      <c r="BF9" s="2" t="str">
        <f t="shared" si="4"/>
        <v>$/kg</v>
      </c>
      <c r="BG9" s="2">
        <f t="shared" si="4"/>
        <v>5448.4855000000007</v>
      </c>
      <c r="BH9" s="2">
        <f t="shared" si="4"/>
        <v>5542.24</v>
      </c>
      <c r="BI9" s="2">
        <f t="shared" si="4"/>
        <v>3217.5</v>
      </c>
      <c r="BK9" s="1">
        <f>+datos!EH1</f>
        <v>138</v>
      </c>
      <c r="BL9" s="1">
        <f t="shared" si="20"/>
        <v>50920790</v>
      </c>
      <c r="BM9" s="1">
        <f t="shared" si="20"/>
        <v>51624909</v>
      </c>
      <c r="BO9" s="1">
        <f>+datos!HB1</f>
        <v>210</v>
      </c>
      <c r="BP9" s="1">
        <f t="shared" si="21"/>
        <v>3096574</v>
      </c>
      <c r="BQ9" s="1">
        <f t="shared" si="21"/>
        <v>3161744</v>
      </c>
      <c r="BS9" s="1">
        <f>+datos!KG1</f>
        <v>293</v>
      </c>
      <c r="BT9" s="1">
        <f t="shared" si="38"/>
        <v>5692.7668688400008</v>
      </c>
      <c r="BU9" s="1">
        <f t="shared" si="39"/>
        <v>4182.5648975699987</v>
      </c>
      <c r="BW9" s="1">
        <f>+datos!LL1</f>
        <v>324</v>
      </c>
      <c r="BX9" s="2">
        <f t="shared" si="22"/>
        <v>131.96784676999999</v>
      </c>
      <c r="BY9" s="2">
        <f t="shared" si="23"/>
        <v>69.00997151</v>
      </c>
      <c r="CA9" s="1">
        <f>+datos!IM1</f>
        <v>247</v>
      </c>
      <c r="CB9" s="2">
        <f t="shared" si="24"/>
        <v>47.36</v>
      </c>
      <c r="CC9" s="2">
        <f t="shared" si="25"/>
        <v>49.79</v>
      </c>
      <c r="CD9" s="2">
        <f>CB9-CC9</f>
        <v>-2.4299999999999997</v>
      </c>
      <c r="CE9">
        <f>+datos!DB1</f>
        <v>106</v>
      </c>
      <c r="CF9" s="2">
        <f t="shared" si="26"/>
        <v>15577.293005627536</v>
      </c>
      <c r="CG9" s="2">
        <f t="shared" si="26"/>
        <v>15563.343375250664</v>
      </c>
      <c r="CH9" s="2">
        <f t="shared" si="26"/>
        <v>10450.837050958657</v>
      </c>
      <c r="CI9" s="2"/>
      <c r="CK9" s="1">
        <f t="shared" si="27"/>
        <v>533.24077936000003</v>
      </c>
      <c r="CL9" s="1">
        <f t="shared" si="27"/>
        <v>424.30922868999994</v>
      </c>
      <c r="CM9" s="1">
        <f t="shared" si="27"/>
        <v>536.74004446000004</v>
      </c>
      <c r="CN9" s="1">
        <f t="shared" si="27"/>
        <v>393.3327183799999</v>
      </c>
      <c r="CO9" s="1">
        <f t="shared" si="27"/>
        <v>435.35705272999991</v>
      </c>
      <c r="CP9" s="1">
        <f t="shared" si="27"/>
        <v>452.44590436999982</v>
      </c>
      <c r="CQ9" s="1">
        <f t="shared" si="27"/>
        <v>474.71184945000005</v>
      </c>
      <c r="CR9" s="1">
        <f t="shared" si="27"/>
        <v>535.90919134000001</v>
      </c>
      <c r="CS9" s="1">
        <f t="shared" si="27"/>
        <v>536.17235368000001</v>
      </c>
      <c r="CT9" s="1">
        <f t="shared" si="27"/>
        <v>505.86158855000002</v>
      </c>
      <c r="CU9" s="1">
        <f t="shared" si="27"/>
        <v>434.66638176999993</v>
      </c>
      <c r="CV9" s="1">
        <f t="shared" si="27"/>
        <v>430.01977605999991</v>
      </c>
      <c r="CW9" s="1">
        <f t="shared" si="27"/>
        <v>389.02912699999996</v>
      </c>
      <c r="CX9" s="1">
        <f t="shared" si="27"/>
        <v>350.95842742999997</v>
      </c>
      <c r="CY9" s="1">
        <f t="shared" si="27"/>
        <v>275.41226476999998</v>
      </c>
      <c r="CZ9" s="1">
        <f t="shared" si="27"/>
        <v>345.87150417999976</v>
      </c>
      <c r="DA9" s="1">
        <f t="shared" si="28"/>
        <v>330.34833823999992</v>
      </c>
      <c r="DB9" s="1">
        <f t="shared" si="28"/>
        <v>372.02787432000008</v>
      </c>
      <c r="DC9" s="1">
        <f t="shared" si="28"/>
        <v>363.37275483999991</v>
      </c>
      <c r="DD9" s="1">
        <f t="shared" si="28"/>
        <v>373.60267999999996</v>
      </c>
      <c r="DE9" s="1">
        <f t="shared" si="28"/>
        <v>392.24577093999977</v>
      </c>
      <c r="DF9" s="1">
        <f t="shared" si="28"/>
        <v>370.00520762000008</v>
      </c>
      <c r="DG9" s="1">
        <f t="shared" si="28"/>
        <v>307.7105307999999</v>
      </c>
      <c r="DH9" s="1">
        <f t="shared" si="28"/>
        <v>311.98041742999999</v>
      </c>
      <c r="DJ9" s="1">
        <f t="shared" si="29"/>
        <v>20.679241180000002</v>
      </c>
      <c r="DK9" s="1">
        <f t="shared" si="29"/>
        <v>16.804039660000001</v>
      </c>
      <c r="DL9" s="1">
        <f t="shared" si="29"/>
        <v>12.219695360000001</v>
      </c>
      <c r="DM9" s="1">
        <f t="shared" si="29"/>
        <v>8.3972474800000008</v>
      </c>
      <c r="DN9" s="1">
        <f t="shared" si="29"/>
        <v>9.2870214400000002</v>
      </c>
      <c r="DO9" s="1">
        <f t="shared" si="29"/>
        <v>11.988372569999999</v>
      </c>
      <c r="DP9" s="1">
        <f t="shared" si="29"/>
        <v>8.8931998399999994</v>
      </c>
      <c r="DQ9" s="1">
        <f t="shared" si="29"/>
        <v>5.7331222099999994</v>
      </c>
      <c r="DR9" s="1">
        <f t="shared" si="29"/>
        <v>13.331294830000001</v>
      </c>
      <c r="DS9" s="1">
        <f t="shared" si="29"/>
        <v>9.6599299699999985</v>
      </c>
      <c r="DT9" s="1">
        <f t="shared" si="29"/>
        <v>6.816705279999999</v>
      </c>
      <c r="DU9" s="1">
        <f t="shared" si="29"/>
        <v>8.1579769499999983</v>
      </c>
      <c r="DV9" s="1">
        <f t="shared" si="29"/>
        <v>10.16779666</v>
      </c>
      <c r="DW9" s="1">
        <f t="shared" si="29"/>
        <v>11.009236750000001</v>
      </c>
      <c r="DX9" s="1">
        <f t="shared" si="29"/>
        <v>8.7569028099999997</v>
      </c>
      <c r="DY9" s="1">
        <f t="shared" si="29"/>
        <v>7.0677003599999999</v>
      </c>
      <c r="DZ9" s="1">
        <f t="shared" si="30"/>
        <v>5.8644577399999989</v>
      </c>
      <c r="EA9" s="1">
        <f t="shared" si="30"/>
        <v>6.7460545699999992</v>
      </c>
      <c r="EB9" s="1">
        <f t="shared" si="30"/>
        <v>2.8647302900000002</v>
      </c>
      <c r="EC9" s="1">
        <f t="shared" si="30"/>
        <v>3.9160438699999998</v>
      </c>
      <c r="ED9" s="1">
        <f t="shared" si="30"/>
        <v>2.7432327000000001</v>
      </c>
      <c r="EE9" s="1">
        <f t="shared" si="30"/>
        <v>3.5031505699999994</v>
      </c>
      <c r="EF9" s="1">
        <f t="shared" si="30"/>
        <v>3.9954732900000005</v>
      </c>
      <c r="EG9" s="1">
        <f t="shared" si="30"/>
        <v>2.3751918999999999</v>
      </c>
      <c r="EI9" s="14">
        <f t="shared" si="40"/>
        <v>47.36</v>
      </c>
      <c r="EJ9" s="14">
        <f t="shared" si="40"/>
        <v>47.94</v>
      </c>
      <c r="EK9" s="1">
        <f t="shared" si="40"/>
        <v>48.54</v>
      </c>
      <c r="EL9" s="1">
        <f t="shared" si="40"/>
        <v>48.84</v>
      </c>
      <c r="EM9" s="1">
        <f t="shared" si="40"/>
        <v>49.28</v>
      </c>
      <c r="EN9" s="1">
        <f t="shared" si="40"/>
        <v>49.95</v>
      </c>
      <c r="EO9" s="1">
        <f t="shared" si="40"/>
        <v>49.25</v>
      </c>
      <c r="EP9" s="1">
        <f t="shared" si="40"/>
        <v>49.56</v>
      </c>
      <c r="EQ9" s="1">
        <f t="shared" si="40"/>
        <v>49.84</v>
      </c>
      <c r="ER9" s="1">
        <f t="shared" si="40"/>
        <v>49.93</v>
      </c>
      <c r="ES9" s="1">
        <f t="shared" si="40"/>
        <v>50.15</v>
      </c>
      <c r="ET9" s="1">
        <f t="shared" si="40"/>
        <v>50.33</v>
      </c>
      <c r="EU9" s="1">
        <f t="shared" si="40"/>
        <v>49.79</v>
      </c>
      <c r="EV9" s="1">
        <f t="shared" si="40"/>
        <v>49.86</v>
      </c>
      <c r="EW9" s="1">
        <f t="shared" si="40"/>
        <v>49.86</v>
      </c>
      <c r="EX9" s="1">
        <f t="shared" si="40"/>
        <v>48.75</v>
      </c>
      <c r="EY9" s="1">
        <f t="shared" si="31"/>
        <v>48.18</v>
      </c>
      <c r="EZ9" s="1">
        <f t="shared" si="31"/>
        <v>47.81</v>
      </c>
      <c r="FA9" s="1">
        <f t="shared" si="31"/>
        <v>46.91</v>
      </c>
      <c r="FB9" s="1">
        <f t="shared" si="31"/>
        <v>47.74</v>
      </c>
      <c r="FC9" s="1">
        <f t="shared" si="31"/>
        <v>47.38</v>
      </c>
      <c r="FD9" s="1">
        <f t="shared" si="31"/>
        <v>47.74</v>
      </c>
      <c r="FE9" s="1">
        <f t="shared" si="31"/>
        <v>47.8</v>
      </c>
      <c r="FF9" s="1">
        <f t="shared" si="31"/>
        <v>47.58</v>
      </c>
      <c r="FH9" s="162">
        <f t="shared" si="32"/>
        <v>0.20286033076103505</v>
      </c>
    </row>
    <row r="10" spans="1:164" ht="18" customHeight="1">
      <c r="A10" s="263" t="s">
        <v>221</v>
      </c>
      <c r="B10" s="246"/>
      <c r="C10" s="156">
        <f t="shared" si="5"/>
        <v>0</v>
      </c>
      <c r="D10" s="198">
        <v>-1</v>
      </c>
      <c r="E10" s="248">
        <f t="shared" si="6"/>
        <v>-4.8795428503257021E-2</v>
      </c>
      <c r="F10" s="249">
        <f t="shared" si="7"/>
        <v>-7.0295151853165594E-2</v>
      </c>
      <c r="G10" s="248">
        <f t="shared" si="8"/>
        <v>-2.0170813315688596E-3</v>
      </c>
      <c r="H10" s="249">
        <f t="shared" si="9"/>
        <v>-4.6778347171688162E-2</v>
      </c>
      <c r="I10" s="248">
        <f t="shared" si="10"/>
        <v>0.38323850235689938</v>
      </c>
      <c r="J10" s="249">
        <f t="shared" si="11"/>
        <v>5.1273285494050302E-2</v>
      </c>
      <c r="K10" s="248">
        <f t="shared" si="12"/>
        <v>0.47979724613567853</v>
      </c>
      <c r="L10" s="249">
        <f t="shared" si="13"/>
        <v>-9.6558743778779155E-2</v>
      </c>
      <c r="M10" s="250"/>
      <c r="N10" s="24">
        <v>0</v>
      </c>
      <c r="O10" s="248">
        <f t="shared" si="33"/>
        <v>0</v>
      </c>
      <c r="P10" s="251">
        <f t="shared" si="34"/>
        <v>0</v>
      </c>
      <c r="Q10" s="248">
        <f t="shared" si="14"/>
        <v>0</v>
      </c>
      <c r="R10" s="251">
        <f t="shared" si="35"/>
        <v>0</v>
      </c>
      <c r="S10" s="250"/>
      <c r="T10" s="24">
        <v>1</v>
      </c>
      <c r="U10" s="248">
        <f t="shared" si="15"/>
        <v>-0.24376786633625314</v>
      </c>
      <c r="V10" s="252">
        <f t="shared" si="16"/>
        <v>-0.24376786633625314</v>
      </c>
      <c r="W10" s="248">
        <f t="shared" si="36"/>
        <v>-0.21272108906796683</v>
      </c>
      <c r="X10" s="252">
        <f t="shared" si="17"/>
        <v>-0.21272108906796683</v>
      </c>
      <c r="Y10" s="248">
        <f t="shared" si="37"/>
        <v>0</v>
      </c>
      <c r="Z10" s="252">
        <f t="shared" si="18"/>
        <v>0</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VLOOKUP($A10,historia!$A$5:$DD$24,+HLOOKUP(AP$2,historia!$A$3:$EC$4,2,FALSE),FALSE)</f>
        <v>3</v>
      </c>
      <c r="AQ10" s="28">
        <f>VLOOKUP($A10,historia!$A$5:$DD$24,+HLOOKUP(AQ$2,historia!$A$3:$EC$4,2,FALSE),FALSE)</f>
        <v>2</v>
      </c>
      <c r="AR10" s="28">
        <f>VLOOKUP($A10,historia!$A$5:$DD$24,+HLOOKUP(AR$2,historia!$A$3:$EC$4,2,FALSE),FALSE)</f>
        <v>3</v>
      </c>
      <c r="AS10" s="28">
        <f>VLOOKUP($A10,historia!$A$5:$DD$24,+HLOOKUP(AS$2,historia!$A$3:$EC$4,2,FALSE),FALSE)</f>
        <v>3</v>
      </c>
      <c r="AT10" s="58">
        <f>VLOOKUP($A10,historia!$A$5:$DD$24,+HLOOKUP(AT$2,historia!$A$3:$EC$4,2,FALSE),FALSE)</f>
        <v>3</v>
      </c>
      <c r="AU10" s="58">
        <f>VLOOKUP($A10,historia!$A$5:$DD$24,+HLOOKUP(AU$2,historia!$A$3:$EC$4,2,FALSE),FALSE)</f>
        <v>3</v>
      </c>
      <c r="AV10" s="58">
        <f>VLOOKUP($A10,historia!$A$5:$DD$24,+HLOOKUP(AV$2,historia!$A$3:$EC$4,2,FALSE),FALSE)</f>
        <v>3</v>
      </c>
      <c r="AW10" s="58">
        <f>VLOOKUP($A10,historia!$A$5:$DD$24,+HLOOKUP(AW$2,historia!$A$3:$EC$4,2,FALSE),FALSE)</f>
        <v>3</v>
      </c>
      <c r="AX10" s="58">
        <f>VLOOKUP($A10,historia!$A$5:$DD$24,+HLOOKUP(AX$2,historia!$A$3:$EC$4,2,FALSE),FALSE)</f>
        <v>3</v>
      </c>
      <c r="AY10" s="58">
        <f>VLOOKUP($A10,historia!$A$5:$DD$24,+HLOOKUP(AY$2,historia!$A$3:$EC$4,2,FALSE),FALSE)</f>
        <v>3</v>
      </c>
      <c r="AZ10" s="58">
        <f>VLOOKUP($A10,historia!$A$5:$DD$24,+HLOOKUP(AZ$2,historia!$A$3:$EC$4,2,FALSE),FALSE)</f>
        <v>3</v>
      </c>
      <c r="BA10" s="58">
        <f>VLOOKUP($A10,historia!$A$5:$DG$24,+HLOOKUP(BA$2,historia!$A$3:$EC$4,2,FALSE),FALSE)</f>
        <v>3</v>
      </c>
      <c r="BB10" s="58"/>
      <c r="BC10" s="286">
        <v>3</v>
      </c>
      <c r="BD10" t="str">
        <f t="shared" si="19"/>
        <v>Cítricos Dulces</v>
      </c>
      <c r="BE10">
        <f>+datos!AU1</f>
        <v>47</v>
      </c>
      <c r="BF10" s="2" t="str">
        <f t="shared" si="4"/>
        <v>$/caja 18kg</v>
      </c>
      <c r="BG10" s="2">
        <f t="shared" si="4"/>
        <v>16860.280701754386</v>
      </c>
      <c r="BH10" s="2">
        <f t="shared" si="4"/>
        <v>17725.18888888889</v>
      </c>
      <c r="BI10" s="2">
        <f t="shared" si="4"/>
        <v>12188.990310077519</v>
      </c>
      <c r="BK10" s="1">
        <f>+datos!ER1</f>
        <v>148</v>
      </c>
      <c r="BL10" s="1">
        <f t="shared" si="20"/>
        <v>79911</v>
      </c>
      <c r="BM10" s="1">
        <f t="shared" si="20"/>
        <v>79911</v>
      </c>
      <c r="BO10" s="1">
        <f>+datos!GH1</f>
        <v>190</v>
      </c>
      <c r="BP10" s="1">
        <f t="shared" si="21"/>
        <v>1543162</v>
      </c>
      <c r="BQ10" s="1">
        <f t="shared" si="21"/>
        <v>1543162</v>
      </c>
      <c r="BS10" s="1">
        <f>+datos!LT1</f>
        <v>332</v>
      </c>
      <c r="BT10" s="1">
        <f t="shared" si="38"/>
        <v>101.63892816000001</v>
      </c>
      <c r="BU10" s="1">
        <f t="shared" si="39"/>
        <v>134.40175792000002</v>
      </c>
      <c r="BV10" s="1"/>
      <c r="BW10" s="1">
        <f>+datos!LX1</f>
        <v>336</v>
      </c>
      <c r="BX10" s="2">
        <f t="shared" si="22"/>
        <v>5.9229358399999992</v>
      </c>
      <c r="BY10" s="2">
        <f t="shared" si="23"/>
        <v>7.5233005200000003</v>
      </c>
      <c r="CA10" s="1">
        <f>+datos!IV1</f>
        <v>256</v>
      </c>
      <c r="CB10" s="1">
        <f t="shared" si="24"/>
        <v>17.130000000000003</v>
      </c>
      <c r="CC10" s="1">
        <f t="shared" si="25"/>
        <v>17.130000000000003</v>
      </c>
      <c r="CD10" s="1"/>
      <c r="CE10">
        <f>+datos!CX1</f>
        <v>102</v>
      </c>
      <c r="CF10" s="2">
        <f t="shared" si="26"/>
        <v>14225.791690448657</v>
      </c>
      <c r="CG10" s="2">
        <f t="shared" si="26"/>
        <v>14254.544265576775</v>
      </c>
      <c r="CH10" s="2">
        <f t="shared" si="26"/>
        <v>9613.3383999718117</v>
      </c>
      <c r="CI10" s="1"/>
      <c r="CK10" s="1">
        <f t="shared" si="27"/>
        <v>5.0623313300000001</v>
      </c>
      <c r="CL10" s="1">
        <f t="shared" si="27"/>
        <v>5.1105851800000002</v>
      </c>
      <c r="CM10" s="1">
        <f t="shared" si="27"/>
        <v>4.7713070799999997</v>
      </c>
      <c r="CN10" s="1">
        <f t="shared" si="27"/>
        <v>4.8895593400000008</v>
      </c>
      <c r="CO10" s="1">
        <f t="shared" si="27"/>
        <v>6.1907229299999997</v>
      </c>
      <c r="CP10" s="1">
        <f t="shared" si="27"/>
        <v>6.1255732800000002</v>
      </c>
      <c r="CQ10" s="1">
        <f t="shared" si="27"/>
        <v>9.318502950000001</v>
      </c>
      <c r="CR10" s="1">
        <f t="shared" si="27"/>
        <v>10.108990799999999</v>
      </c>
      <c r="CS10" s="1">
        <f t="shared" si="27"/>
        <v>8.35667808</v>
      </c>
      <c r="CT10" s="1">
        <f t="shared" si="27"/>
        <v>14.350128370000002</v>
      </c>
      <c r="CU10" s="1">
        <f t="shared" si="27"/>
        <v>16.897846870000002</v>
      </c>
      <c r="CV10" s="1">
        <f t="shared" si="27"/>
        <v>10.456701950000001</v>
      </c>
      <c r="CW10" s="1">
        <f t="shared" si="27"/>
        <v>9.5618942600000008</v>
      </c>
      <c r="CX10" s="1">
        <f t="shared" si="27"/>
        <v>5.6783096999999998</v>
      </c>
      <c r="CY10" s="1">
        <f t="shared" si="27"/>
        <v>3.5979505000000001</v>
      </c>
      <c r="CZ10" s="1">
        <f t="shared" si="27"/>
        <v>11.482528969999997</v>
      </c>
      <c r="DA10" s="1">
        <f t="shared" si="28"/>
        <v>11.00321864</v>
      </c>
      <c r="DB10" s="1">
        <f t="shared" si="28"/>
        <v>18.05731771</v>
      </c>
      <c r="DC10" s="1">
        <f t="shared" si="28"/>
        <v>12.23030908</v>
      </c>
      <c r="DD10" s="1">
        <f t="shared" si="28"/>
        <v>17.119922650000003</v>
      </c>
      <c r="DE10" s="1">
        <f t="shared" si="28"/>
        <v>15.255558669999997</v>
      </c>
      <c r="DF10" s="1">
        <f t="shared" si="28"/>
        <v>10.271936310000001</v>
      </c>
      <c r="DG10" s="1">
        <f t="shared" si="28"/>
        <v>14.041262509999999</v>
      </c>
      <c r="DH10" s="1">
        <f t="shared" si="28"/>
        <v>6.1015489199999999</v>
      </c>
      <c r="DJ10" s="2">
        <f t="shared" si="29"/>
        <v>0.16136977</v>
      </c>
      <c r="DK10" s="2">
        <f t="shared" si="29"/>
        <v>0.35776876000000002</v>
      </c>
      <c r="DL10" s="1">
        <f t="shared" si="29"/>
        <v>0.92818331999999992</v>
      </c>
      <c r="DM10" s="1">
        <f t="shared" si="29"/>
        <v>1.2063144699999999</v>
      </c>
      <c r="DN10" s="1">
        <f t="shared" si="29"/>
        <v>1.22554951</v>
      </c>
      <c r="DO10" s="1">
        <f t="shared" si="29"/>
        <v>0.91618060000000012</v>
      </c>
      <c r="DP10" s="1">
        <f t="shared" si="29"/>
        <v>0.37596773000000006</v>
      </c>
      <c r="DQ10" s="1">
        <f t="shared" si="29"/>
        <v>0.55234585999999997</v>
      </c>
      <c r="DR10" s="1">
        <f t="shared" si="29"/>
        <v>0.12110615999999999</v>
      </c>
      <c r="DS10" s="1">
        <f t="shared" si="29"/>
        <v>2.631816E-2</v>
      </c>
      <c r="DT10" s="1">
        <f t="shared" si="29"/>
        <v>4.99154E-3</v>
      </c>
      <c r="DU10" s="1">
        <f t="shared" si="29"/>
        <v>4.683996E-2</v>
      </c>
      <c r="DV10" s="1">
        <f t="shared" si="29"/>
        <v>0.23953321999999996</v>
      </c>
      <c r="DW10" s="1">
        <f t="shared" si="29"/>
        <v>0.72731897999999995</v>
      </c>
      <c r="DX10" s="1">
        <f t="shared" si="29"/>
        <v>1.7947146899999999</v>
      </c>
      <c r="DY10" s="1">
        <f t="shared" si="29"/>
        <v>1.56764612</v>
      </c>
      <c r="DZ10" s="1">
        <f t="shared" si="30"/>
        <v>1.4871383200000001</v>
      </c>
      <c r="EA10" s="1">
        <f t="shared" si="30"/>
        <v>0.7069763</v>
      </c>
      <c r="EB10" s="1">
        <f t="shared" si="30"/>
        <v>0.35634324000000006</v>
      </c>
      <c r="EC10" s="1">
        <f t="shared" si="30"/>
        <v>0.22489865000000001</v>
      </c>
      <c r="ED10" s="1">
        <f t="shared" si="30"/>
        <v>0.17467300000000002</v>
      </c>
      <c r="EE10" s="1">
        <f t="shared" si="30"/>
        <v>7.2500000000000004E-3</v>
      </c>
      <c r="EF10" s="1">
        <f t="shared" si="30"/>
        <v>0.23680799999999999</v>
      </c>
      <c r="EG10" s="1">
        <f t="shared" si="30"/>
        <v>0</v>
      </c>
      <c r="EI10" s="14">
        <f t="shared" si="40"/>
        <v>17.130000000000003</v>
      </c>
      <c r="EJ10" s="14">
        <f t="shared" si="40"/>
        <v>17.130000000000003</v>
      </c>
      <c r="EK10" s="1">
        <f t="shared" si="40"/>
        <v>17.130000000000003</v>
      </c>
      <c r="EL10" s="1">
        <f t="shared" si="40"/>
        <v>17.130000000000003</v>
      </c>
      <c r="EM10" s="1">
        <f t="shared" si="40"/>
        <v>17.130000000000003</v>
      </c>
      <c r="EN10" s="1">
        <f t="shared" si="40"/>
        <v>17.130000000000003</v>
      </c>
      <c r="EO10" s="1">
        <f t="shared" si="40"/>
        <v>17.130000000000003</v>
      </c>
      <c r="EP10" s="1">
        <f t="shared" si="40"/>
        <v>17.130000000000003</v>
      </c>
      <c r="EQ10" s="1">
        <f t="shared" si="40"/>
        <v>17.130000000000003</v>
      </c>
      <c r="ER10" s="1">
        <f t="shared" si="40"/>
        <v>17.130000000000003</v>
      </c>
      <c r="ES10" s="1">
        <f t="shared" si="40"/>
        <v>17.130000000000003</v>
      </c>
      <c r="ET10" s="1">
        <f t="shared" si="40"/>
        <v>17.130000000000003</v>
      </c>
      <c r="EU10" s="1">
        <f t="shared" si="40"/>
        <v>17.130000000000003</v>
      </c>
      <c r="EV10" s="1">
        <f t="shared" si="40"/>
        <v>17.130000000000003</v>
      </c>
      <c r="EW10" s="1">
        <f t="shared" si="40"/>
        <v>17.130000000000003</v>
      </c>
      <c r="EX10" s="1">
        <f t="shared" si="40"/>
        <v>17.130000000000003</v>
      </c>
      <c r="EY10" s="1">
        <f t="shared" si="31"/>
        <v>17.130000000000003</v>
      </c>
      <c r="EZ10" s="1">
        <f t="shared" si="31"/>
        <v>17.39</v>
      </c>
      <c r="FA10" s="1">
        <f t="shared" si="31"/>
        <v>17.39</v>
      </c>
      <c r="FB10" s="1">
        <f t="shared" si="31"/>
        <v>17.39</v>
      </c>
      <c r="FC10" s="1">
        <f t="shared" si="31"/>
        <v>17.39</v>
      </c>
      <c r="FD10" s="1">
        <f t="shared" si="31"/>
        <v>17.39</v>
      </c>
      <c r="FE10" s="1">
        <f t="shared" si="31"/>
        <v>17.39</v>
      </c>
      <c r="FF10" s="1">
        <f t="shared" si="31"/>
        <v>17.39</v>
      </c>
      <c r="FH10" s="162">
        <f t="shared" si="32"/>
        <v>-9.6558743778779155E-2</v>
      </c>
    </row>
    <row r="11" spans="1:164" ht="18.75" customHeight="1">
      <c r="A11" s="244" t="s">
        <v>116</v>
      </c>
      <c r="B11" s="247"/>
      <c r="C11" s="228">
        <f t="shared" si="5"/>
        <v>-0.33</v>
      </c>
      <c r="D11" s="229">
        <v>1</v>
      </c>
      <c r="E11" s="253">
        <f t="shared" si="6"/>
        <v>0</v>
      </c>
      <c r="F11" s="254">
        <f t="shared" si="7"/>
        <v>-2.1499723349908573E-2</v>
      </c>
      <c r="G11" s="253">
        <f t="shared" si="8"/>
        <v>1.421602100861441E-2</v>
      </c>
      <c r="H11" s="254">
        <f t="shared" si="9"/>
        <v>-1.421602100861441E-2</v>
      </c>
      <c r="I11" s="253">
        <f t="shared" si="10"/>
        <v>4.157565345441161E-2</v>
      </c>
      <c r="J11" s="254">
        <f t="shared" si="11"/>
        <v>-0.29038956340843747</v>
      </c>
      <c r="K11" s="253">
        <f t="shared" si="12"/>
        <v>0.51586009299382285</v>
      </c>
      <c r="L11" s="254">
        <f t="shared" si="13"/>
        <v>-0.47428443953941124</v>
      </c>
      <c r="M11" s="255"/>
      <c r="N11" s="256"/>
      <c r="O11" s="253" t="str">
        <f t="shared" si="33"/>
        <v/>
      </c>
      <c r="P11" s="257" t="str">
        <f t="shared" si="34"/>
        <v/>
      </c>
      <c r="Q11" s="253">
        <f t="shared" si="14"/>
        <v>0</v>
      </c>
      <c r="R11" s="257">
        <f t="shared" si="35"/>
        <v>0</v>
      </c>
      <c r="S11" s="255"/>
      <c r="T11" s="24">
        <v>-2</v>
      </c>
      <c r="U11" s="253">
        <f t="shared" si="15"/>
        <v>6.9243817095260507E-2</v>
      </c>
      <c r="V11" s="258">
        <f t="shared" si="16"/>
        <v>6.9243817095260507E-2</v>
      </c>
      <c r="W11" s="253">
        <f t="shared" si="36"/>
        <v>0.13708299530012225</v>
      </c>
      <c r="X11" s="258">
        <f t="shared" si="17"/>
        <v>0.13708299530012225</v>
      </c>
      <c r="Y11" s="253"/>
      <c r="Z11" s="258">
        <f t="shared" si="18"/>
        <v>0</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VLOOKUP($A11,historia!$A$5:$DD$24,+HLOOKUP(AP$2,historia!$A$3:$EC$4,2,FALSE),FALSE)</f>
        <v>3</v>
      </c>
      <c r="AQ11" s="28">
        <f>VLOOKUP($A11,historia!$A$5:$DD$24,+HLOOKUP(AQ$2,historia!$A$3:$EC$4,2,FALSE),FALSE)</f>
        <v>3</v>
      </c>
      <c r="AR11" s="28">
        <f>VLOOKUP($A11,historia!$A$5:$DD$24,+HLOOKUP(AR$2,historia!$A$3:$EC$4,2,FALSE),FALSE)</f>
        <v>3</v>
      </c>
      <c r="AS11" s="28">
        <f>VLOOKUP($A11,historia!$A$5:$DD$24,+HLOOKUP(AS$2,historia!$A$3:$EC$4,2,FALSE),FALSE)</f>
        <v>3</v>
      </c>
      <c r="AT11" s="58">
        <f>VLOOKUP($A11,historia!$A$5:$DD$24,+HLOOKUP(AT$2,historia!$A$3:$EC$4,2,FALSE),FALSE)</f>
        <v>3</v>
      </c>
      <c r="AU11" s="58">
        <f>VLOOKUP($A11,historia!$A$5:$DD$24,+HLOOKUP(AU$2,historia!$A$3:$EC$4,2,FALSE),FALSE)</f>
        <v>3</v>
      </c>
      <c r="AV11" s="58">
        <f>VLOOKUP($A11,historia!$A$5:$DD$24,+HLOOKUP(AV$2,historia!$A$3:$EC$4,2,FALSE),FALSE)</f>
        <v>3</v>
      </c>
      <c r="AW11" s="58">
        <f>VLOOKUP($A11,historia!$A$5:$DD$24,+HLOOKUP(AW$2,historia!$A$3:$EC$4,2,FALSE),FALSE)</f>
        <v>3</v>
      </c>
      <c r="AX11" s="58">
        <f>VLOOKUP($A11,historia!$A$5:$DD$24,+HLOOKUP(AX$2,historia!$A$3:$EC$4,2,FALSE),FALSE)</f>
        <v>4</v>
      </c>
      <c r="AY11" s="58">
        <f>VLOOKUP($A11,historia!$A$5:$DD$24,+HLOOKUP(AY$2,historia!$A$3:$EC$4,2,FALSE),FALSE)</f>
        <v>4</v>
      </c>
      <c r="AZ11" s="58">
        <f>VLOOKUP($A11,historia!$A$5:$DD$24,+HLOOKUP(AZ$2,historia!$A$3:$EC$4,2,FALSE),FALSE)</f>
        <v>4</v>
      </c>
      <c r="BA11" s="58">
        <f>VLOOKUP($A11,historia!$A$5:$DG$24,+HLOOKUP(BA$2,historia!$A$3:$EC$4,2,FALSE),FALSE)</f>
        <v>4</v>
      </c>
      <c r="BB11" s="58"/>
      <c r="BC11" s="286">
        <v>4</v>
      </c>
      <c r="BD11" t="str">
        <f t="shared" si="19"/>
        <v>Forestal</v>
      </c>
      <c r="BE11">
        <f>+datos!BG1</f>
        <v>59</v>
      </c>
      <c r="BF11" s="2" t="str">
        <f t="shared" si="4"/>
        <v>$/t</v>
      </c>
      <c r="BG11" s="2">
        <f t="shared" si="4"/>
        <v>31829.25</v>
      </c>
      <c r="BH11" s="2">
        <f t="shared" si="4"/>
        <v>31829.25</v>
      </c>
      <c r="BI11" s="2">
        <f t="shared" si="4"/>
        <v>30558.75</v>
      </c>
      <c r="BK11" s="1">
        <f>+datos!ES1</f>
        <v>149</v>
      </c>
      <c r="BL11" s="1">
        <f t="shared" si="20"/>
        <v>0</v>
      </c>
      <c r="BM11" s="1">
        <f t="shared" si="20"/>
        <v>0</v>
      </c>
      <c r="BO11" s="1">
        <f>+datos!GI1</f>
        <v>191</v>
      </c>
      <c r="BP11" s="1">
        <f t="shared" si="21"/>
        <v>1302556</v>
      </c>
      <c r="BQ11" s="1">
        <f t="shared" si="21"/>
        <v>1302556</v>
      </c>
      <c r="BS11" s="1">
        <f>+datos!KB1</f>
        <v>288</v>
      </c>
      <c r="BT11" s="1">
        <f t="shared" si="38"/>
        <v>184.17619754</v>
      </c>
      <c r="BU11" s="1">
        <f t="shared" si="39"/>
        <v>172.24901804000001</v>
      </c>
      <c r="BW11" s="1">
        <f>+datos!LG1</f>
        <v>319</v>
      </c>
      <c r="BX11" s="2">
        <f t="shared" si="22"/>
        <v>191.44002005999999</v>
      </c>
      <c r="BY11" s="2">
        <f t="shared" si="23"/>
        <v>168.36063933000003</v>
      </c>
      <c r="CA11" s="1">
        <f>+datos!IW1</f>
        <v>257</v>
      </c>
      <c r="CB11" s="1">
        <f t="shared" si="24"/>
        <v>0</v>
      </c>
      <c r="CC11" s="1">
        <f t="shared" si="25"/>
        <v>0</v>
      </c>
      <c r="CD11" s="1"/>
      <c r="CE11">
        <f>+datos!CZ1</f>
        <v>104</v>
      </c>
      <c r="CF11" s="2">
        <f t="shared" si="26"/>
        <v>18868.226770699301</v>
      </c>
      <c r="CG11" s="2">
        <f t="shared" si="26"/>
        <v>18603.755393190579</v>
      </c>
      <c r="CH11" s="2">
        <f t="shared" si="26"/>
        <v>12447.208589965954</v>
      </c>
      <c r="CI11" s="1"/>
      <c r="CK11" s="1">
        <f t="shared" si="27"/>
        <v>16.951944609999998</v>
      </c>
      <c r="CL11" s="1">
        <f t="shared" si="27"/>
        <v>18.593073950000004</v>
      </c>
      <c r="CM11" s="1">
        <f t="shared" si="27"/>
        <v>16.76578641</v>
      </c>
      <c r="CN11" s="1">
        <f t="shared" si="27"/>
        <v>15.133510020000001</v>
      </c>
      <c r="CO11" s="1">
        <f t="shared" si="27"/>
        <v>13.84098623</v>
      </c>
      <c r="CP11" s="1">
        <f t="shared" si="27"/>
        <v>18.231882050000007</v>
      </c>
      <c r="CQ11" s="1">
        <f t="shared" si="27"/>
        <v>13.327102919999998</v>
      </c>
      <c r="CR11" s="1">
        <f t="shared" si="27"/>
        <v>13.77020325</v>
      </c>
      <c r="CS11" s="1">
        <f t="shared" si="27"/>
        <v>16.167947309999995</v>
      </c>
      <c r="CT11" s="1">
        <f t="shared" si="27"/>
        <v>12.702036029999997</v>
      </c>
      <c r="CU11" s="1">
        <f t="shared" si="27"/>
        <v>14.879273850000001</v>
      </c>
      <c r="CV11" s="1">
        <f t="shared" si="27"/>
        <v>13.812450910000003</v>
      </c>
      <c r="CW11" s="1">
        <f t="shared" si="27"/>
        <v>14.949040589999999</v>
      </c>
      <c r="CX11" s="1">
        <f t="shared" si="27"/>
        <v>13.968637820000001</v>
      </c>
      <c r="CY11" s="1">
        <f t="shared" si="27"/>
        <v>9.9284284400000011</v>
      </c>
      <c r="CZ11" s="1">
        <f t="shared" si="27"/>
        <v>14.484437890000001</v>
      </c>
      <c r="DA11" s="1">
        <f t="shared" si="28"/>
        <v>10.200287200000002</v>
      </c>
      <c r="DB11" s="1">
        <f t="shared" si="28"/>
        <v>11.119065489999999</v>
      </c>
      <c r="DC11" s="1">
        <f t="shared" si="28"/>
        <v>13.50721221</v>
      </c>
      <c r="DD11" s="1">
        <f t="shared" si="28"/>
        <v>17.7783984</v>
      </c>
      <c r="DE11" s="1">
        <f t="shared" si="28"/>
        <v>18.158715399999995</v>
      </c>
      <c r="DF11" s="1">
        <f t="shared" si="28"/>
        <v>13.62277192</v>
      </c>
      <c r="DG11" s="1">
        <f t="shared" si="28"/>
        <v>18.147427050000005</v>
      </c>
      <c r="DH11" s="1">
        <f t="shared" si="28"/>
        <v>16.38459563</v>
      </c>
      <c r="DJ11" s="1">
        <f t="shared" si="29"/>
        <v>16.655697739999997</v>
      </c>
      <c r="DK11" s="1">
        <f t="shared" si="29"/>
        <v>15.17794868</v>
      </c>
      <c r="DL11" s="1">
        <f t="shared" si="29"/>
        <v>15.225690909999999</v>
      </c>
      <c r="DM11" s="1">
        <f t="shared" si="29"/>
        <v>13.973435009999999</v>
      </c>
      <c r="DN11" s="1">
        <f t="shared" si="29"/>
        <v>15.974673770000001</v>
      </c>
      <c r="DO11" s="1">
        <f t="shared" si="29"/>
        <v>16.564446050000001</v>
      </c>
      <c r="DP11" s="1">
        <f t="shared" si="29"/>
        <v>13.907008520000002</v>
      </c>
      <c r="DQ11" s="1">
        <f t="shared" si="29"/>
        <v>17.652505269999999</v>
      </c>
      <c r="DR11" s="1">
        <f t="shared" si="29"/>
        <v>18.176691299999998</v>
      </c>
      <c r="DS11" s="1">
        <f t="shared" si="29"/>
        <v>17.838312650000002</v>
      </c>
      <c r="DT11" s="1">
        <f t="shared" si="29"/>
        <v>13.839856769999999</v>
      </c>
      <c r="DU11" s="1">
        <f t="shared" si="29"/>
        <v>16.453753389999996</v>
      </c>
      <c r="DV11" s="1">
        <f t="shared" si="29"/>
        <v>16.050718710000002</v>
      </c>
      <c r="DW11" s="1">
        <f t="shared" si="29"/>
        <v>13.20675994</v>
      </c>
      <c r="DX11" s="1">
        <f t="shared" si="29"/>
        <v>12.082023640000001</v>
      </c>
      <c r="DY11" s="1">
        <f t="shared" si="29"/>
        <v>16.998994660000001</v>
      </c>
      <c r="DZ11" s="1">
        <f t="shared" si="30"/>
        <v>14.09144206</v>
      </c>
      <c r="EA11" s="1">
        <f t="shared" si="30"/>
        <v>14.036730870000001</v>
      </c>
      <c r="EB11" s="1">
        <f t="shared" si="30"/>
        <v>13.365554540000002</v>
      </c>
      <c r="EC11" s="1">
        <f t="shared" si="30"/>
        <v>15.589800310000003</v>
      </c>
      <c r="ED11" s="1">
        <f t="shared" si="30"/>
        <v>16.942532470000003</v>
      </c>
      <c r="EE11" s="1">
        <f t="shared" si="30"/>
        <v>10.998476289999999</v>
      </c>
      <c r="EF11" s="1">
        <f t="shared" si="30"/>
        <v>11.46589975</v>
      </c>
      <c r="EG11" s="1">
        <f t="shared" si="30"/>
        <v>13.53170609</v>
      </c>
      <c r="EI11" s="14">
        <f t="shared" si="40"/>
        <v>0</v>
      </c>
      <c r="EJ11" s="14">
        <f t="shared" si="40"/>
        <v>0</v>
      </c>
      <c r="EK11" s="1">
        <f t="shared" si="40"/>
        <v>0</v>
      </c>
      <c r="EL11" s="1">
        <f t="shared" si="40"/>
        <v>0</v>
      </c>
      <c r="EM11" s="1">
        <f t="shared" si="40"/>
        <v>0</v>
      </c>
      <c r="EN11" s="1">
        <f t="shared" si="40"/>
        <v>0</v>
      </c>
      <c r="EO11" s="1">
        <f t="shared" si="40"/>
        <v>0</v>
      </c>
      <c r="EP11" s="1">
        <f t="shared" si="40"/>
        <v>0</v>
      </c>
      <c r="EQ11" s="1">
        <f t="shared" si="40"/>
        <v>0</v>
      </c>
      <c r="ER11" s="1">
        <f t="shared" si="40"/>
        <v>0</v>
      </c>
      <c r="ES11" s="1">
        <f t="shared" si="40"/>
        <v>0</v>
      </c>
      <c r="ET11" s="1">
        <f t="shared" si="40"/>
        <v>0</v>
      </c>
      <c r="EU11" s="1">
        <f t="shared" si="40"/>
        <v>0</v>
      </c>
      <c r="EV11" s="1">
        <f t="shared" si="40"/>
        <v>0</v>
      </c>
      <c r="EW11" s="1">
        <f t="shared" si="40"/>
        <v>0</v>
      </c>
      <c r="EX11" s="1">
        <f t="shared" si="40"/>
        <v>0</v>
      </c>
      <c r="EY11" s="1">
        <f t="shared" si="31"/>
        <v>0</v>
      </c>
      <c r="EZ11" s="1">
        <f t="shared" si="31"/>
        <v>0</v>
      </c>
      <c r="FA11" s="1">
        <f t="shared" si="31"/>
        <v>0</v>
      </c>
      <c r="FB11" s="1">
        <f t="shared" si="31"/>
        <v>0</v>
      </c>
      <c r="FC11" s="1">
        <f t="shared" si="31"/>
        <v>0</v>
      </c>
      <c r="FD11" s="1">
        <f t="shared" si="31"/>
        <v>0</v>
      </c>
      <c r="FE11" s="1">
        <f t="shared" si="31"/>
        <v>0</v>
      </c>
      <c r="FF11" s="1">
        <f t="shared" si="31"/>
        <v>0</v>
      </c>
      <c r="FH11" s="162">
        <f t="shared" si="32"/>
        <v>-0.47428443953941124</v>
      </c>
    </row>
    <row r="12" spans="1:164" ht="18.75" customHeight="1">
      <c r="A12" s="243" t="s">
        <v>216</v>
      </c>
      <c r="B12" s="246"/>
      <c r="C12" s="156">
        <f t="shared" si="5"/>
        <v>-0.33</v>
      </c>
      <c r="D12" s="198">
        <v>-1</v>
      </c>
      <c r="E12" s="248">
        <f t="shared" si="6"/>
        <v>4.7066532883736745E-2</v>
      </c>
      <c r="F12" s="249">
        <f t="shared" si="7"/>
        <v>2.5566809533828172E-2</v>
      </c>
      <c r="G12" s="248">
        <f t="shared" si="8"/>
        <v>2.1284166414430095E-2</v>
      </c>
      <c r="H12" s="249">
        <f t="shared" si="9"/>
        <v>2.578236646930665E-2</v>
      </c>
      <c r="I12" s="248">
        <f t="shared" si="10"/>
        <v>0.42435104635798226</v>
      </c>
      <c r="J12" s="249">
        <f t="shared" si="11"/>
        <v>9.2385829495133187E-2</v>
      </c>
      <c r="K12" s="248">
        <f t="shared" si="12"/>
        <v>0.47917469859972361</v>
      </c>
      <c r="L12" s="249">
        <f t="shared" si="13"/>
        <v>-5.482365224174135E-2</v>
      </c>
      <c r="M12" s="250"/>
      <c r="N12" s="24">
        <v>1</v>
      </c>
      <c r="O12" s="248">
        <f t="shared" si="33"/>
        <v>-2.1756867011150094E-3</v>
      </c>
      <c r="P12" s="251">
        <f t="shared" si="34"/>
        <v>-2.1756867011150094E-3</v>
      </c>
      <c r="Q12" s="248">
        <f t="shared" si="14"/>
        <v>0.19868516168488637</v>
      </c>
      <c r="R12" s="251">
        <f t="shared" si="35"/>
        <v>0.19868516168488637</v>
      </c>
      <c r="S12" s="250"/>
      <c r="T12" s="24">
        <v>-1</v>
      </c>
      <c r="U12" s="248">
        <f t="shared" si="15"/>
        <v>0.17893674140308735</v>
      </c>
      <c r="V12" s="252">
        <f t="shared" si="16"/>
        <v>0.17893674140308735</v>
      </c>
      <c r="W12" s="248">
        <f t="shared" si="36"/>
        <v>-2.1447321039082201E-2</v>
      </c>
      <c r="X12" s="252">
        <f t="shared" si="17"/>
        <v>-2.1447321039082201E-2</v>
      </c>
      <c r="Y12" s="248"/>
      <c r="Z12" s="252">
        <f t="shared" si="18"/>
        <v>0</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VLOOKUP($A12,historia!$A$5:$DD$24,+HLOOKUP(AP$2,historia!$A$3:$EC$4,2,FALSE),FALSE)</f>
        <v>3</v>
      </c>
      <c r="AQ12" s="28">
        <f>VLOOKUP($A12,historia!$A$5:$DD$24,+HLOOKUP(AQ$2,historia!$A$3:$EC$4,2,FALSE),FALSE)</f>
        <v>2</v>
      </c>
      <c r="AR12" s="28">
        <f>VLOOKUP($A12,historia!$A$5:$DD$24,+HLOOKUP(AR$2,historia!$A$3:$EC$4,2,FALSE),FALSE)</f>
        <v>2</v>
      </c>
      <c r="AS12" s="28">
        <f>VLOOKUP($A12,historia!$A$5:$DD$24,+HLOOKUP(AS$2,historia!$A$3:$EC$4,2,FALSE),FALSE)</f>
        <v>1</v>
      </c>
      <c r="AT12" s="58">
        <f>VLOOKUP($A12,historia!$A$5:$DD$24,+HLOOKUP(AT$2,historia!$A$3:$EC$4,2,FALSE),FALSE)</f>
        <v>2</v>
      </c>
      <c r="AU12" s="58">
        <f>VLOOKUP($A12,historia!$A$5:$DD$24,+HLOOKUP(AU$2,historia!$A$3:$EC$4,2,FALSE),FALSE)</f>
        <v>2</v>
      </c>
      <c r="AV12" s="58">
        <f>VLOOKUP($A12,historia!$A$5:$DD$24,+HLOOKUP(AV$2,historia!$A$3:$EC$4,2,FALSE),FALSE)</f>
        <v>2</v>
      </c>
      <c r="AW12" s="58">
        <f>VLOOKUP($A12,historia!$A$5:$DD$24,+HLOOKUP(AW$2,historia!$A$3:$EC$4,2,FALSE),FALSE)</f>
        <v>1</v>
      </c>
      <c r="AX12" s="58">
        <f>VLOOKUP($A12,historia!$A$5:$DD$24,+HLOOKUP(AX$2,historia!$A$3:$EC$4,2,FALSE),FALSE)</f>
        <v>2</v>
      </c>
      <c r="AY12" s="58">
        <f>VLOOKUP($A12,historia!$A$5:$DD$24,+HLOOKUP(AY$2,historia!$A$3:$EC$4,2,FALSE),FALSE)</f>
        <v>2</v>
      </c>
      <c r="AZ12" s="58">
        <f>VLOOKUP($A12,historia!$A$5:$DD$24,+HLOOKUP(AZ$2,historia!$A$3:$EC$4,2,FALSE),FALSE)</f>
        <v>1</v>
      </c>
      <c r="BA12" s="58">
        <f>VLOOKUP($A12,historia!$A$5:$DG$24,+HLOOKUP(BA$2,historia!$A$3:$EC$4,2,FALSE),FALSE)</f>
        <v>1</v>
      </c>
      <c r="BB12" s="58"/>
      <c r="BC12" s="286">
        <v>1</v>
      </c>
      <c r="BD12" t="str">
        <f t="shared" si="19"/>
        <v>Granos</v>
      </c>
      <c r="BE12">
        <f>+datos!AE1</f>
        <v>31</v>
      </c>
      <c r="BF12" s="2" t="str">
        <f t="shared" si="4"/>
        <v>$/t</v>
      </c>
      <c r="BG12" s="2">
        <f t="shared" si="4"/>
        <v>375987.20507083338</v>
      </c>
      <c r="BH12" s="2">
        <f t="shared" si="4"/>
        <v>359086.25981514581</v>
      </c>
      <c r="BI12" s="2">
        <f t="shared" si="4"/>
        <v>263970.88416666666</v>
      </c>
      <c r="BK12" s="1">
        <f>+datos!EA1</f>
        <v>131</v>
      </c>
      <c r="BL12" s="1">
        <f t="shared" si="20"/>
        <v>36690000</v>
      </c>
      <c r="BM12" s="1">
        <f t="shared" si="20"/>
        <v>36770000</v>
      </c>
      <c r="BO12" s="1">
        <f>+datos!FV1</f>
        <v>178</v>
      </c>
      <c r="BP12" s="1">
        <f t="shared" si="21"/>
        <v>156800006</v>
      </c>
      <c r="BQ12" s="1">
        <f t="shared" si="21"/>
        <v>130810000</v>
      </c>
      <c r="BS12" s="1">
        <f>+datos!LQ1</f>
        <v>329</v>
      </c>
      <c r="BT12" s="1">
        <f>+SUM(CK12:CV12)</f>
        <v>50010.408170400005</v>
      </c>
      <c r="BU12" s="1">
        <f t="shared" si="39"/>
        <v>42419.925017249989</v>
      </c>
      <c r="BW12" s="1">
        <f>+datos!LU1</f>
        <v>333</v>
      </c>
      <c r="BX12" s="2">
        <f t="shared" si="22"/>
        <v>2856.3527788299998</v>
      </c>
      <c r="BY12" s="2">
        <f t="shared" si="23"/>
        <v>2918.9565776499999</v>
      </c>
      <c r="CA12" s="1">
        <f>+datos!II1</f>
        <v>243</v>
      </c>
      <c r="CB12" s="1">
        <f t="shared" si="24"/>
        <v>87300000</v>
      </c>
      <c r="CC12" s="1">
        <f t="shared" si="25"/>
        <v>83420000</v>
      </c>
      <c r="CD12" s="1"/>
      <c r="CE12">
        <f>+datos!CG1</f>
        <v>85</v>
      </c>
      <c r="CF12" s="2">
        <f t="shared" si="26"/>
        <v>14850.599060760751</v>
      </c>
      <c r="CG12" s="2">
        <f t="shared" si="26"/>
        <v>14541.103787889806</v>
      </c>
      <c r="CH12" s="2">
        <f t="shared" si="26"/>
        <v>10039.787102104456</v>
      </c>
      <c r="CI12" s="1"/>
      <c r="CK12" s="1">
        <f>+VLOOKUP(CK$1,ran_dat,$BS12,FALSE)</f>
        <v>5035.7305047899999</v>
      </c>
      <c r="CL12" s="1">
        <f t="shared" si="27"/>
        <v>4064.0645645799996</v>
      </c>
      <c r="CM12" s="1">
        <f t="shared" si="27"/>
        <v>4203.4384527000002</v>
      </c>
      <c r="CN12" s="1">
        <f t="shared" si="27"/>
        <v>3234.3307016200001</v>
      </c>
      <c r="CO12" s="1">
        <f t="shared" si="27"/>
        <v>4071.6367626900005</v>
      </c>
      <c r="CP12" s="1">
        <f t="shared" si="27"/>
        <v>3901.9920549600001</v>
      </c>
      <c r="CQ12" s="1">
        <f t="shared" si="27"/>
        <v>4663.3781357900007</v>
      </c>
      <c r="CR12" s="1">
        <f t="shared" si="27"/>
        <v>3782.3696972900002</v>
      </c>
      <c r="CS12" s="1">
        <f t="shared" si="27"/>
        <v>4396.9372515900004</v>
      </c>
      <c r="CT12" s="1">
        <f t="shared" si="27"/>
        <v>4336.2366958999992</v>
      </c>
      <c r="CU12" s="1">
        <f t="shared" si="27"/>
        <v>4557.75384975</v>
      </c>
      <c r="CV12" s="1">
        <f t="shared" si="27"/>
        <v>3762.5394987399995</v>
      </c>
      <c r="CW12" s="1">
        <f t="shared" si="27"/>
        <v>4220.2405017900001</v>
      </c>
      <c r="CX12" s="1">
        <f t="shared" si="27"/>
        <v>3699.5517639399995</v>
      </c>
      <c r="CY12" s="1">
        <f t="shared" si="27"/>
        <v>2719.5194464700007</v>
      </c>
      <c r="CZ12" s="1">
        <f t="shared" si="27"/>
        <v>3193.1112506200002</v>
      </c>
      <c r="DA12" s="1">
        <f t="shared" si="28"/>
        <v>3231.2263099199999</v>
      </c>
      <c r="DB12" s="1">
        <f t="shared" si="28"/>
        <v>3313.8442822299994</v>
      </c>
      <c r="DC12" s="1">
        <f t="shared" si="28"/>
        <v>3339.9998161899998</v>
      </c>
      <c r="DD12" s="1">
        <f t="shared" si="28"/>
        <v>3485.71732419</v>
      </c>
      <c r="DE12" s="1">
        <f t="shared" si="28"/>
        <v>3410.80431886</v>
      </c>
      <c r="DF12" s="1">
        <f t="shared" si="28"/>
        <v>3348.6268518899992</v>
      </c>
      <c r="DG12" s="1">
        <f t="shared" si="28"/>
        <v>4200.6671527199996</v>
      </c>
      <c r="DH12" s="1">
        <f t="shared" si="28"/>
        <v>4256.6159984299993</v>
      </c>
      <c r="DJ12" s="1">
        <f t="shared" si="29"/>
        <v>461.88986550999999</v>
      </c>
      <c r="DK12" s="1">
        <f t="shared" si="29"/>
        <v>430.74979968000002</v>
      </c>
      <c r="DL12" s="1">
        <f t="shared" si="29"/>
        <v>401.51977044</v>
      </c>
      <c r="DM12" s="1">
        <f t="shared" si="29"/>
        <v>345.64924089000016</v>
      </c>
      <c r="DN12" s="1">
        <f t="shared" si="29"/>
        <v>27.557335100000003</v>
      </c>
      <c r="DO12" s="1">
        <f t="shared" si="29"/>
        <v>51.994600029999987</v>
      </c>
      <c r="DP12" s="1">
        <f t="shared" si="29"/>
        <v>140.49668192999997</v>
      </c>
      <c r="DQ12" s="1">
        <f t="shared" si="29"/>
        <v>126.11568693000002</v>
      </c>
      <c r="DR12" s="1">
        <f t="shared" si="29"/>
        <v>179.77004703999992</v>
      </c>
      <c r="DS12" s="1">
        <f t="shared" si="29"/>
        <v>175.34564924</v>
      </c>
      <c r="DT12" s="1">
        <f t="shared" si="29"/>
        <v>241.51209269000003</v>
      </c>
      <c r="DU12" s="1">
        <f t="shared" si="29"/>
        <v>273.75200934999998</v>
      </c>
      <c r="DV12" s="1">
        <f t="shared" si="29"/>
        <v>304.19736033999999</v>
      </c>
      <c r="DW12" s="1">
        <f t="shared" si="29"/>
        <v>338.33098909999995</v>
      </c>
      <c r="DX12" s="1">
        <f t="shared" si="29"/>
        <v>239.40438782999996</v>
      </c>
      <c r="DY12" s="1">
        <f t="shared" si="29"/>
        <v>288.1429152</v>
      </c>
      <c r="DZ12" s="1">
        <f t="shared" si="30"/>
        <v>31.883400920000003</v>
      </c>
      <c r="EA12" s="1">
        <f t="shared" si="30"/>
        <v>52.19269714</v>
      </c>
      <c r="EB12" s="1">
        <f t="shared" si="30"/>
        <v>201.41567115000001</v>
      </c>
      <c r="EC12" s="1">
        <f t="shared" si="30"/>
        <v>299.18688666000003</v>
      </c>
      <c r="ED12" s="1">
        <f t="shared" si="30"/>
        <v>265.28366987999999</v>
      </c>
      <c r="EE12" s="1">
        <f t="shared" si="30"/>
        <v>214.60650260000006</v>
      </c>
      <c r="EF12" s="1">
        <f t="shared" si="30"/>
        <v>390.93673457</v>
      </c>
      <c r="EG12" s="1">
        <f t="shared" si="30"/>
        <v>293.37536226000003</v>
      </c>
      <c r="EI12" s="14">
        <f t="shared" si="40"/>
        <v>87300000</v>
      </c>
      <c r="EJ12" s="14">
        <f t="shared" si="40"/>
        <v>87300000</v>
      </c>
      <c r="EK12" s="1">
        <f t="shared" si="40"/>
        <v>88050000</v>
      </c>
      <c r="EL12" s="1">
        <f t="shared" si="40"/>
        <v>88050000</v>
      </c>
      <c r="EM12" s="1">
        <f t="shared" si="40"/>
        <v>86780000</v>
      </c>
      <c r="EN12" s="1">
        <f t="shared" si="40"/>
        <v>86780000</v>
      </c>
      <c r="EO12" s="1">
        <f t="shared" si="40"/>
        <v>86680000</v>
      </c>
      <c r="EP12" s="1">
        <f t="shared" si="40"/>
        <v>85850000</v>
      </c>
      <c r="EQ12" s="1">
        <f t="shared" si="40"/>
        <v>85850000</v>
      </c>
      <c r="ER12" s="1">
        <f t="shared" si="40"/>
        <v>85820000</v>
      </c>
      <c r="ES12" s="1">
        <f t="shared" si="40"/>
        <v>83320000</v>
      </c>
      <c r="ET12" s="1">
        <f t="shared" si="40"/>
        <v>83120000</v>
      </c>
      <c r="EU12" s="1">
        <f t="shared" si="40"/>
        <v>83420000</v>
      </c>
      <c r="EV12" s="1">
        <f t="shared" si="40"/>
        <v>83260000</v>
      </c>
      <c r="EW12" s="1">
        <f t="shared" si="40"/>
        <v>82660000</v>
      </c>
      <c r="EX12" s="1">
        <f t="shared" si="40"/>
        <v>83330000</v>
      </c>
      <c r="EY12" s="1">
        <f t="shared" si="31"/>
        <v>83330000</v>
      </c>
      <c r="EZ12" s="1">
        <f t="shared" si="31"/>
        <v>81580000</v>
      </c>
      <c r="FA12" s="1">
        <f t="shared" si="31"/>
        <v>81600000</v>
      </c>
      <c r="FB12" s="1">
        <f t="shared" si="31"/>
        <v>81600000</v>
      </c>
      <c r="FC12" s="1">
        <f t="shared" si="31"/>
        <v>81600000</v>
      </c>
      <c r="FD12" s="1">
        <f t="shared" si="31"/>
        <v>81600000</v>
      </c>
      <c r="FE12" s="1">
        <f t="shared" si="31"/>
        <v>81600000</v>
      </c>
      <c r="FF12" s="1">
        <f t="shared" si="31"/>
        <v>81600000</v>
      </c>
      <c r="FH12" s="162">
        <f t="shared" si="32"/>
        <v>-5.482365224174135E-2</v>
      </c>
    </row>
    <row r="13" spans="1:164" ht="18.75" customHeight="1">
      <c r="A13" s="244" t="s">
        <v>217</v>
      </c>
      <c r="B13" s="247"/>
      <c r="C13" s="228">
        <f t="shared" si="5"/>
        <v>0</v>
      </c>
      <c r="D13" s="229">
        <v>0</v>
      </c>
      <c r="E13" s="253">
        <f t="shared" si="6"/>
        <v>0.64655115508202798</v>
      </c>
      <c r="F13" s="254">
        <f t="shared" si="7"/>
        <v>0.62505143173211941</v>
      </c>
      <c r="G13" s="253">
        <f t="shared" si="8"/>
        <v>2.6365024632499123E-2</v>
      </c>
      <c r="H13" s="254">
        <f t="shared" si="9"/>
        <v>0.62018613044952886</v>
      </c>
      <c r="I13" s="253">
        <f t="shared" si="10"/>
        <v>0.54624685273834217</v>
      </c>
      <c r="J13" s="254">
        <f t="shared" si="11"/>
        <v>0.21428163587549309</v>
      </c>
      <c r="K13" s="253">
        <f t="shared" si="12"/>
        <v>0.51554147591584965</v>
      </c>
      <c r="L13" s="254">
        <f t="shared" si="13"/>
        <v>3.0705376822492525E-2</v>
      </c>
      <c r="M13" s="255"/>
      <c r="N13" s="256">
        <v>0</v>
      </c>
      <c r="O13" s="253">
        <f t="shared" si="33"/>
        <v>0</v>
      </c>
      <c r="P13" s="257">
        <f t="shared" si="34"/>
        <v>0</v>
      </c>
      <c r="Q13" s="253">
        <f t="shared" si="14"/>
        <v>0</v>
      </c>
      <c r="R13" s="257">
        <f t="shared" si="35"/>
        <v>0</v>
      </c>
      <c r="S13" s="255"/>
      <c r="T13" s="256">
        <v>0</v>
      </c>
      <c r="U13" s="253">
        <f t="shared" si="15"/>
        <v>0.14300533836182683</v>
      </c>
      <c r="V13" s="258">
        <f t="shared" si="16"/>
        <v>0.14300533836182683</v>
      </c>
      <c r="W13" s="253">
        <f t="shared" si="36"/>
        <v>-0.63584305780526473</v>
      </c>
      <c r="X13" s="258">
        <f t="shared" si="17"/>
        <v>-0.63584305780526473</v>
      </c>
      <c r="Y13" s="253"/>
      <c r="Z13" s="258">
        <f t="shared" si="18"/>
        <v>0</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VLOOKUP($A13,historia!$A$5:$DD$24,+HLOOKUP(AP$2,historia!$A$3:$EC$4,2,FALSE),FALSE)</f>
        <v>5</v>
      </c>
      <c r="AQ13" s="28">
        <f>VLOOKUP($A13,historia!$A$5:$DD$24,+HLOOKUP(AQ$2,historia!$A$3:$EC$4,2,FALSE),FALSE)</f>
        <v>4</v>
      </c>
      <c r="AR13" s="28">
        <f>VLOOKUP($A13,historia!$A$5:$DD$24,+HLOOKUP(AR$2,historia!$A$3:$EC$4,2,FALSE),FALSE)</f>
        <v>5</v>
      </c>
      <c r="AS13" s="28">
        <f>VLOOKUP($A13,historia!$A$5:$DD$24,+HLOOKUP(AS$2,historia!$A$3:$EC$4,2,FALSE),FALSE)</f>
        <v>4</v>
      </c>
      <c r="AT13" s="58">
        <f>VLOOKUP($A13,historia!$A$5:$DD$24,+HLOOKUP(AT$2,historia!$A$3:$EC$4,2,FALSE),FALSE)</f>
        <v>4</v>
      </c>
      <c r="AU13" s="58">
        <f>VLOOKUP($A13,historia!$A$5:$DD$24,+HLOOKUP(AU$2,historia!$A$3:$EC$4,2,FALSE),FALSE)</f>
        <v>4</v>
      </c>
      <c r="AV13" s="58">
        <f>VLOOKUP($A13,historia!$A$5:$DD$24,+HLOOKUP(AV$2,historia!$A$3:$EC$4,2,FALSE),FALSE)</f>
        <v>4</v>
      </c>
      <c r="AW13" s="58">
        <f>VLOOKUP($A13,historia!$A$5:$DD$24,+HLOOKUP(AW$2,historia!$A$3:$EC$4,2,FALSE),FALSE)</f>
        <v>4</v>
      </c>
      <c r="AX13" s="58">
        <f>VLOOKUP($A13,historia!$A$5:$DD$24,+HLOOKUP(AX$2,historia!$A$3:$EC$4,2,FALSE),FALSE)</f>
        <v>4</v>
      </c>
      <c r="AY13" s="58">
        <f>VLOOKUP($A13,historia!$A$5:$DD$24,+HLOOKUP(AY$2,historia!$A$3:$EC$4,2,FALSE),FALSE)</f>
        <v>4</v>
      </c>
      <c r="AZ13" s="58">
        <f>VLOOKUP($A13,historia!$A$5:$DD$24,+HLOOKUP(AZ$2,historia!$A$3:$EC$4,2,FALSE),FALSE)</f>
        <v>4</v>
      </c>
      <c r="BA13" s="58">
        <f>VLOOKUP($A13,historia!$A$5:$DG$24,+HLOOKUP(BA$2,historia!$A$3:$EC$4,2,FALSE),FALSE)</f>
        <v>4</v>
      </c>
      <c r="BB13" s="58"/>
      <c r="BC13" s="286">
        <v>4</v>
      </c>
      <c r="BD13" t="str">
        <f t="shared" si="19"/>
        <v>Hortalizas</v>
      </c>
      <c r="BE13">
        <f>+datos!BB1</f>
        <v>54</v>
      </c>
      <c r="BF13" s="2" t="str">
        <f t="shared" si="4"/>
        <v>$/kg</v>
      </c>
      <c r="BG13" s="2">
        <f t="shared" si="4"/>
        <v>15740.075317604356</v>
      </c>
      <c r="BH13" s="2">
        <f t="shared" si="4"/>
        <v>9559.4207741576156</v>
      </c>
      <c r="BI13" s="2">
        <f t="shared" si="4"/>
        <v>10179.535880528587</v>
      </c>
      <c r="BK13" s="1">
        <f>+datos!EX1</f>
        <v>154</v>
      </c>
      <c r="BL13" s="1">
        <f t="shared" si="20"/>
        <v>64395</v>
      </c>
      <c r="BM13" s="1">
        <f t="shared" si="20"/>
        <v>64395</v>
      </c>
      <c r="BO13" s="1">
        <f>+datos!GN1</f>
        <v>196</v>
      </c>
      <c r="BP13" s="1">
        <f t="shared" si="21"/>
        <v>2639386</v>
      </c>
      <c r="BQ13" s="1">
        <f t="shared" si="21"/>
        <v>2639386</v>
      </c>
      <c r="BS13" s="1">
        <f>+datos!LR1</f>
        <v>330</v>
      </c>
      <c r="BT13" s="1">
        <f t="shared" si="38"/>
        <v>49.223353159999988</v>
      </c>
      <c r="BU13" s="1">
        <f t="shared" si="39"/>
        <v>43.06484975</v>
      </c>
      <c r="BW13" s="1">
        <f>+datos!LV1</f>
        <v>334</v>
      </c>
      <c r="BX13" s="2">
        <f t="shared" si="22"/>
        <v>13.997527189999998</v>
      </c>
      <c r="BY13" s="2">
        <f t="shared" si="23"/>
        <v>38.438172029999997</v>
      </c>
      <c r="CA13" s="1">
        <f>+datos!IX1</f>
        <v>258</v>
      </c>
      <c r="CB13" s="1">
        <f t="shared" si="24"/>
        <v>0</v>
      </c>
      <c r="CC13" s="1">
        <f t="shared" si="25"/>
        <v>0</v>
      </c>
      <c r="CD13" s="1"/>
      <c r="CE13">
        <f>+datos!CO1</f>
        <v>93</v>
      </c>
      <c r="CF13" s="2">
        <f t="shared" si="26"/>
        <v>15373.175171578738</v>
      </c>
      <c r="CG13" s="2">
        <f t="shared" si="26"/>
        <v>14978.272644357954</v>
      </c>
      <c r="CH13" s="2">
        <f t="shared" si="26"/>
        <v>10143.684891427103</v>
      </c>
      <c r="CI13" s="1"/>
      <c r="CK13" s="1">
        <f t="shared" si="27"/>
        <v>11.768405829999999</v>
      </c>
      <c r="CL13" s="1">
        <f t="shared" si="27"/>
        <v>11.667027839999999</v>
      </c>
      <c r="CM13" s="1">
        <f t="shared" si="27"/>
        <v>7.5031928699999995</v>
      </c>
      <c r="CN13" s="1">
        <f t="shared" si="27"/>
        <v>1.29974543</v>
      </c>
      <c r="CO13" s="1">
        <f t="shared" si="27"/>
        <v>1.7091561800000004</v>
      </c>
      <c r="CP13" s="1">
        <f t="shared" si="27"/>
        <v>1.6831161599999998</v>
      </c>
      <c r="CQ13" s="1">
        <f t="shared" si="27"/>
        <v>1.1537429000000001</v>
      </c>
      <c r="CR13" s="1">
        <f t="shared" si="27"/>
        <v>1.5287822199999999</v>
      </c>
      <c r="CS13" s="1">
        <f t="shared" si="27"/>
        <v>0.99519284000000008</v>
      </c>
      <c r="CT13" s="1">
        <f t="shared" si="27"/>
        <v>2.3842983399999995</v>
      </c>
      <c r="CU13" s="1">
        <f t="shared" si="27"/>
        <v>1.9006323699999998</v>
      </c>
      <c r="CV13" s="1">
        <f t="shared" si="27"/>
        <v>5.6300601800000001</v>
      </c>
      <c r="CW13" s="1">
        <f t="shared" si="27"/>
        <v>10.78719353</v>
      </c>
      <c r="CX13" s="1">
        <f t="shared" si="27"/>
        <v>6.6589734299999996</v>
      </c>
      <c r="CY13" s="1">
        <f t="shared" si="27"/>
        <v>4.7972503099999999</v>
      </c>
      <c r="CZ13" s="1">
        <f t="shared" si="27"/>
        <v>3.6808061599999999</v>
      </c>
      <c r="DA13" s="1">
        <f t="shared" si="28"/>
        <v>1.7265838599999999</v>
      </c>
      <c r="DB13" s="1">
        <f t="shared" si="28"/>
        <v>1.1603474899999999</v>
      </c>
      <c r="DC13" s="1">
        <f t="shared" si="28"/>
        <v>1.6220564799999999</v>
      </c>
      <c r="DD13" s="1">
        <f t="shared" si="28"/>
        <v>1.7022322700000001</v>
      </c>
      <c r="DE13" s="1">
        <f t="shared" si="28"/>
        <v>2.1800094999999997</v>
      </c>
      <c r="DF13" s="1">
        <f t="shared" si="28"/>
        <v>0.89152303000000011</v>
      </c>
      <c r="DG13" s="1">
        <f t="shared" si="28"/>
        <v>2.22092468</v>
      </c>
      <c r="DH13" s="1">
        <f t="shared" si="28"/>
        <v>5.6369490100000004</v>
      </c>
      <c r="DJ13" s="1">
        <f t="shared" si="29"/>
        <v>1.4366099599999997</v>
      </c>
      <c r="DK13" s="1">
        <f t="shared" si="29"/>
        <v>0.57707428999999999</v>
      </c>
      <c r="DL13" s="1">
        <f t="shared" si="29"/>
        <v>0.39128717000000002</v>
      </c>
      <c r="DM13" s="1">
        <f t="shared" si="29"/>
        <v>0.23116673999999998</v>
      </c>
      <c r="DN13" s="1">
        <f t="shared" si="29"/>
        <v>0.59938404000000001</v>
      </c>
      <c r="DO13" s="1">
        <f t="shared" si="29"/>
        <v>0.53318653999999999</v>
      </c>
      <c r="DP13" s="1">
        <f t="shared" si="29"/>
        <v>0.87596054999999995</v>
      </c>
      <c r="DQ13" s="1">
        <f t="shared" si="29"/>
        <v>2.0285887300000001</v>
      </c>
      <c r="DR13" s="1">
        <f t="shared" si="29"/>
        <v>2.5185445399999997</v>
      </c>
      <c r="DS13" s="1">
        <f t="shared" si="29"/>
        <v>1.4155427900000002</v>
      </c>
      <c r="DT13" s="1">
        <f t="shared" si="29"/>
        <v>1.5956283999999996</v>
      </c>
      <c r="DU13" s="1">
        <f t="shared" si="29"/>
        <v>1.7945534399999996</v>
      </c>
      <c r="DV13" s="1">
        <f t="shared" si="29"/>
        <v>2.7487028499999995</v>
      </c>
      <c r="DW13" s="1">
        <f t="shared" si="29"/>
        <v>0.73139703</v>
      </c>
      <c r="DX13" s="1">
        <f t="shared" si="29"/>
        <v>0.52205221000000002</v>
      </c>
      <c r="DY13" s="1">
        <f t="shared" si="29"/>
        <v>0.27889262000000004</v>
      </c>
      <c r="DZ13" s="1">
        <f t="shared" si="30"/>
        <v>0.43588088999999991</v>
      </c>
      <c r="EA13" s="1">
        <f t="shared" si="30"/>
        <v>0.25163443000000002</v>
      </c>
      <c r="EB13" s="1">
        <f t="shared" si="30"/>
        <v>1.8307121500000001</v>
      </c>
      <c r="EC13" s="1">
        <f t="shared" si="30"/>
        <v>4.7138590499999999</v>
      </c>
      <c r="ED13" s="1">
        <f t="shared" si="30"/>
        <v>10.280953719999999</v>
      </c>
      <c r="EE13" s="1">
        <f t="shared" si="30"/>
        <v>10.078043539999999</v>
      </c>
      <c r="EF13" s="1">
        <f t="shared" si="30"/>
        <v>5.0525632100000006</v>
      </c>
      <c r="EG13" s="1">
        <f t="shared" si="30"/>
        <v>1.5134803299999999</v>
      </c>
      <c r="EI13" s="14">
        <f t="shared" si="40"/>
        <v>0</v>
      </c>
      <c r="EJ13" s="14">
        <f t="shared" si="40"/>
        <v>0</v>
      </c>
      <c r="EK13" s="1">
        <f t="shared" si="40"/>
        <v>0</v>
      </c>
      <c r="EL13" s="1">
        <f t="shared" si="40"/>
        <v>0</v>
      </c>
      <c r="EM13" s="1">
        <f t="shared" si="40"/>
        <v>0</v>
      </c>
      <c r="EN13" s="1">
        <f t="shared" si="40"/>
        <v>0</v>
      </c>
      <c r="EO13" s="1">
        <f t="shared" si="40"/>
        <v>0</v>
      </c>
      <c r="EP13" s="1">
        <f t="shared" si="40"/>
        <v>0</v>
      </c>
      <c r="EQ13" s="1">
        <f t="shared" si="40"/>
        <v>0</v>
      </c>
      <c r="ER13" s="1">
        <f t="shared" si="40"/>
        <v>0</v>
      </c>
      <c r="ES13" s="1">
        <f t="shared" si="40"/>
        <v>0</v>
      </c>
      <c r="ET13" s="1">
        <f t="shared" si="40"/>
        <v>0</v>
      </c>
      <c r="EU13" s="1">
        <f t="shared" si="40"/>
        <v>0</v>
      </c>
      <c r="EV13" s="1">
        <f t="shared" si="40"/>
        <v>0</v>
      </c>
      <c r="EW13" s="1">
        <f t="shared" si="40"/>
        <v>0</v>
      </c>
      <c r="EX13" s="1">
        <f t="shared" si="40"/>
        <v>0</v>
      </c>
      <c r="EY13" s="1">
        <f t="shared" si="31"/>
        <v>0</v>
      </c>
      <c r="EZ13" s="1">
        <f t="shared" si="31"/>
        <v>0</v>
      </c>
      <c r="FA13" s="1">
        <f t="shared" si="31"/>
        <v>0</v>
      </c>
      <c r="FB13" s="1">
        <f t="shared" si="31"/>
        <v>0</v>
      </c>
      <c r="FC13" s="1">
        <f t="shared" si="31"/>
        <v>0</v>
      </c>
      <c r="FD13" s="1">
        <f t="shared" si="31"/>
        <v>0</v>
      </c>
      <c r="FE13" s="1">
        <f t="shared" si="31"/>
        <v>0</v>
      </c>
      <c r="FF13" s="1">
        <f t="shared" si="31"/>
        <v>0</v>
      </c>
      <c r="FH13" s="162">
        <f t="shared" si="32"/>
        <v>3.0705376822492525E-2</v>
      </c>
    </row>
    <row r="14" spans="1:164" ht="18" customHeight="1">
      <c r="A14" s="243" t="s">
        <v>65</v>
      </c>
      <c r="B14" s="246"/>
      <c r="C14" s="156">
        <f t="shared" si="5"/>
        <v>-0.33</v>
      </c>
      <c r="D14" s="198">
        <v>1</v>
      </c>
      <c r="E14" s="572">
        <f t="shared" si="6"/>
        <v>2.1197157653860099E-2</v>
      </c>
      <c r="F14" s="249">
        <f t="shared" si="7"/>
        <v>-3.025656960484735E-4</v>
      </c>
      <c r="G14" s="248">
        <f t="shared" si="8"/>
        <v>3.7863793028421133E-2</v>
      </c>
      <c r="H14" s="249">
        <f t="shared" si="9"/>
        <v>-1.6666635374561034E-2</v>
      </c>
      <c r="I14" s="248">
        <f t="shared" si="10"/>
        <v>8.7237134552915041E-2</v>
      </c>
      <c r="J14" s="249">
        <f t="shared" si="11"/>
        <v>-0.24472808230993404</v>
      </c>
      <c r="K14" s="248">
        <f t="shared" si="12"/>
        <v>0.40814902520915841</v>
      </c>
      <c r="L14" s="249">
        <f t="shared" si="13"/>
        <v>-0.32091189065624337</v>
      </c>
      <c r="M14" s="250"/>
      <c r="N14" s="24">
        <v>-1</v>
      </c>
      <c r="O14" s="248">
        <f t="shared" si="33"/>
        <v>-5.1721029263397389E-3</v>
      </c>
      <c r="P14" s="251">
        <f t="shared" si="34"/>
        <v>-5.1721029263397389E-3</v>
      </c>
      <c r="Q14" s="248">
        <f t="shared" si="14"/>
        <v>8.0079863588736533E-2</v>
      </c>
      <c r="R14" s="251">
        <f t="shared" si="35"/>
        <v>8.0079863588736533E-2</v>
      </c>
      <c r="S14" s="250"/>
      <c r="T14" s="24">
        <v>-1</v>
      </c>
      <c r="U14" s="248">
        <f t="shared" si="15"/>
        <v>0.23611902547445962</v>
      </c>
      <c r="V14" s="252">
        <f t="shared" si="16"/>
        <v>0.23611902547445962</v>
      </c>
      <c r="W14" s="248">
        <f t="shared" si="36"/>
        <v>0.19018888507127141</v>
      </c>
      <c r="X14" s="252">
        <f t="shared" si="17"/>
        <v>0.19018888507127141</v>
      </c>
      <c r="Y14" s="248">
        <f t="shared" si="37"/>
        <v>-1.7373530914665203E-2</v>
      </c>
      <c r="Z14" s="252">
        <f t="shared" si="18"/>
        <v>-1.7373530914665203E-2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VLOOKUP($A14,historia!$A$5:$DD$24,+HLOOKUP(AP$2,historia!$A$3:$EC$4,2,FALSE),FALSE)</f>
        <v>3</v>
      </c>
      <c r="AQ14" s="28">
        <f>VLOOKUP($A14,historia!$A$5:$DD$24,+HLOOKUP(AQ$2,historia!$A$3:$EC$4,2,FALSE),FALSE)</f>
        <v>3</v>
      </c>
      <c r="AR14" s="28">
        <f>VLOOKUP($A14,historia!$A$5:$DD$24,+HLOOKUP(AR$2,historia!$A$3:$EC$4,2,FALSE),FALSE)</f>
        <v>3</v>
      </c>
      <c r="AS14" s="28">
        <f>VLOOKUP($A14,historia!$A$5:$DD$24,+HLOOKUP(AS$2,historia!$A$3:$EC$4,2,FALSE),FALSE)</f>
        <v>3</v>
      </c>
      <c r="AT14" s="58">
        <f>VLOOKUP($A14,historia!$A$5:$DD$24,+HLOOKUP(AT$2,historia!$A$3:$EC$4,2,FALSE),FALSE)</f>
        <v>3</v>
      </c>
      <c r="AU14" s="58">
        <f>VLOOKUP($A14,historia!$A$5:$DD$24,+HLOOKUP(AU$2,historia!$A$3:$EC$4,2,FALSE),FALSE)</f>
        <v>3</v>
      </c>
      <c r="AV14" s="58">
        <f>VLOOKUP($A14,historia!$A$5:$DD$24,+HLOOKUP(AV$2,historia!$A$3:$EC$4,2,FALSE),FALSE)</f>
        <v>3</v>
      </c>
      <c r="AW14" s="58">
        <f>VLOOKUP($A14,historia!$A$5:$DD$24,+HLOOKUP(AW$2,historia!$A$3:$EC$4,2,FALSE),FALSE)</f>
        <v>4</v>
      </c>
      <c r="AX14" s="58">
        <f>VLOOKUP($A14,historia!$A$5:$DD$24,+HLOOKUP(AX$2,historia!$A$3:$EC$4,2,FALSE),FALSE)</f>
        <v>4</v>
      </c>
      <c r="AY14" s="58">
        <f>VLOOKUP($A14,historia!$A$5:$DD$24,+HLOOKUP(AY$2,historia!$A$3:$EC$4,2,FALSE),FALSE)</f>
        <v>4</v>
      </c>
      <c r="AZ14" s="58">
        <f>VLOOKUP($A14,historia!$A$5:$DD$24,+HLOOKUP(AZ$2,historia!$A$3:$EC$4,2,FALSE),FALSE)</f>
        <v>4</v>
      </c>
      <c r="BA14" s="58">
        <f>VLOOKUP($A14,historia!$A$5:$DG$24,+HLOOKUP(BA$2,historia!$A$3:$EC$4,2,FALSE),FALSE)</f>
        <v>4</v>
      </c>
      <c r="BB14" s="58"/>
      <c r="BC14" s="286">
        <v>4</v>
      </c>
      <c r="BD14" t="str">
        <f t="shared" si="19"/>
        <v>Leche</v>
      </c>
      <c r="BE14">
        <f>+datos!BN1</f>
        <v>66</v>
      </c>
      <c r="BF14" s="2" t="str">
        <f t="shared" si="4"/>
        <v>$/l</v>
      </c>
      <c r="BG14" s="487">
        <f t="shared" si="4"/>
        <v>508.74</v>
      </c>
      <c r="BH14" s="487">
        <f t="shared" si="4"/>
        <v>498.18</v>
      </c>
      <c r="BI14" s="487">
        <f t="shared" si="4"/>
        <v>467.92</v>
      </c>
      <c r="BK14" s="1">
        <f>+datos!EN1</f>
        <v>144</v>
      </c>
      <c r="BL14" s="1">
        <f t="shared" si="20"/>
        <v>3001543</v>
      </c>
      <c r="BM14" s="1">
        <f t="shared" si="20"/>
        <v>3017148</v>
      </c>
      <c r="BO14" s="1">
        <f>+datos!HP1</f>
        <v>224</v>
      </c>
      <c r="BP14" s="1">
        <f t="shared" si="21"/>
        <v>11867.82852093068</v>
      </c>
      <c r="BQ14" s="1">
        <f t="shared" si="21"/>
        <v>10987.917579999999</v>
      </c>
      <c r="BS14" s="1">
        <f>+datos!KH1</f>
        <v>294</v>
      </c>
      <c r="BT14" s="1">
        <f t="shared" si="38"/>
        <v>1990.2905302600007</v>
      </c>
      <c r="BU14" s="1">
        <f t="shared" si="39"/>
        <v>1610.1123672100002</v>
      </c>
      <c r="BW14" s="1">
        <f>+datos!LM1</f>
        <v>325</v>
      </c>
      <c r="BX14" s="2">
        <f t="shared" si="22"/>
        <v>27.455617939999996</v>
      </c>
      <c r="BY14" s="2">
        <f t="shared" si="23"/>
        <v>23.06828629</v>
      </c>
      <c r="CA14" s="1">
        <f>+datos!IN1</f>
        <v>248</v>
      </c>
      <c r="CB14" s="1">
        <f t="shared" si="24"/>
        <v>192.3</v>
      </c>
      <c r="CC14" s="1">
        <f t="shared" si="25"/>
        <v>195.7</v>
      </c>
      <c r="CD14" s="1"/>
      <c r="CE14">
        <f>+datos!DC1</f>
        <v>107</v>
      </c>
      <c r="CF14" s="2">
        <f t="shared" si="26"/>
        <v>14448.095366973066</v>
      </c>
      <c r="CG14" s="2">
        <f t="shared" si="26"/>
        <v>13920.993741206092</v>
      </c>
      <c r="CH14" s="2">
        <f t="shared" si="26"/>
        <v>10260.345395493228</v>
      </c>
      <c r="CI14" s="1"/>
      <c r="CK14" s="1">
        <f t="shared" si="27"/>
        <v>138.91731654</v>
      </c>
      <c r="CL14" s="1">
        <f t="shared" si="27"/>
        <v>134.67876954000002</v>
      </c>
      <c r="CM14" s="1">
        <f t="shared" si="27"/>
        <v>152.49764859000004</v>
      </c>
      <c r="CN14" s="1">
        <f t="shared" si="27"/>
        <v>139.65871150000001</v>
      </c>
      <c r="CO14" s="1">
        <f t="shared" si="27"/>
        <v>160.91833684000002</v>
      </c>
      <c r="CP14" s="1">
        <f t="shared" si="27"/>
        <v>210.79864256000005</v>
      </c>
      <c r="CQ14" s="1">
        <f t="shared" si="27"/>
        <v>166.84903940999999</v>
      </c>
      <c r="CR14" s="1">
        <f t="shared" si="27"/>
        <v>210.64847638000006</v>
      </c>
      <c r="CS14" s="1">
        <f t="shared" si="27"/>
        <v>202.06812983999998</v>
      </c>
      <c r="CT14" s="1">
        <f t="shared" si="27"/>
        <v>166.18279023000005</v>
      </c>
      <c r="CU14" s="1">
        <f t="shared" si="27"/>
        <v>145.54293837</v>
      </c>
      <c r="CV14" s="1">
        <f t="shared" si="27"/>
        <v>161.52973046</v>
      </c>
      <c r="CW14" s="1">
        <f t="shared" si="27"/>
        <v>135.14119298</v>
      </c>
      <c r="CX14" s="1">
        <f t="shared" si="27"/>
        <v>121.87302321000003</v>
      </c>
      <c r="CY14" s="1">
        <f t="shared" si="27"/>
        <v>90.118424640000015</v>
      </c>
      <c r="CZ14" s="1">
        <f t="shared" si="27"/>
        <v>158.22857195999995</v>
      </c>
      <c r="DA14" s="1">
        <f t="shared" si="28"/>
        <v>133.12937443000001</v>
      </c>
      <c r="DB14" s="1">
        <f t="shared" si="28"/>
        <v>150.81206259999999</v>
      </c>
      <c r="DC14" s="1">
        <f t="shared" si="28"/>
        <v>173.78517034999999</v>
      </c>
      <c r="DD14" s="1">
        <f t="shared" si="28"/>
        <v>162.27196751000002</v>
      </c>
      <c r="DE14" s="1">
        <f t="shared" si="28"/>
        <v>136.36151781000004</v>
      </c>
      <c r="DF14" s="1">
        <f t="shared" si="28"/>
        <v>114.33182424</v>
      </c>
      <c r="DG14" s="1">
        <f t="shared" si="28"/>
        <v>131.64359017999999</v>
      </c>
      <c r="DH14" s="1">
        <f t="shared" si="28"/>
        <v>102.41564730000002</v>
      </c>
      <c r="DJ14" s="1">
        <f t="shared" si="29"/>
        <v>2.0152277500000002</v>
      </c>
      <c r="DK14" s="1">
        <f t="shared" si="29"/>
        <v>2.6208630999999998</v>
      </c>
      <c r="DL14" s="1">
        <f t="shared" si="29"/>
        <v>2.2584035399999993</v>
      </c>
      <c r="DM14" s="1">
        <f t="shared" si="29"/>
        <v>2.0159010200000003</v>
      </c>
      <c r="DN14" s="1">
        <f t="shared" si="29"/>
        <v>2.4748885299999999</v>
      </c>
      <c r="DO14" s="1">
        <f t="shared" si="29"/>
        <v>1.7114282299999999</v>
      </c>
      <c r="DP14" s="1">
        <f t="shared" si="29"/>
        <v>1.7294343599999999</v>
      </c>
      <c r="DQ14" s="1">
        <f t="shared" si="29"/>
        <v>2.2980596799999997</v>
      </c>
      <c r="DR14" s="1">
        <f t="shared" si="29"/>
        <v>2.7814752500000006</v>
      </c>
      <c r="DS14" s="1">
        <f t="shared" si="29"/>
        <v>1.95823569</v>
      </c>
      <c r="DT14" s="1">
        <f t="shared" si="29"/>
        <v>2.3716850700000007</v>
      </c>
      <c r="DU14" s="1">
        <f t="shared" si="29"/>
        <v>3.2200157200000006</v>
      </c>
      <c r="DV14" s="1">
        <f t="shared" si="29"/>
        <v>2.3449699800000001</v>
      </c>
      <c r="DW14" s="1">
        <f t="shared" si="29"/>
        <v>1.8496573299999999</v>
      </c>
      <c r="DX14" s="1">
        <f t="shared" si="29"/>
        <v>2.6840408</v>
      </c>
      <c r="DY14" s="1">
        <f t="shared" si="29"/>
        <v>2.90139879</v>
      </c>
      <c r="DZ14" s="1">
        <f t="shared" si="30"/>
        <v>2.9139955600000005</v>
      </c>
      <c r="EA14" s="1">
        <f t="shared" si="30"/>
        <v>1.6254967600000001</v>
      </c>
      <c r="EB14" s="1">
        <f t="shared" si="30"/>
        <v>2.6289957100000003</v>
      </c>
      <c r="EC14" s="1">
        <f t="shared" si="30"/>
        <v>0.92402921999999987</v>
      </c>
      <c r="ED14" s="1">
        <f t="shared" si="30"/>
        <v>1.0080099199999999</v>
      </c>
      <c r="EE14" s="1">
        <f t="shared" si="30"/>
        <v>0.81005326000000022</v>
      </c>
      <c r="EF14" s="1">
        <f t="shared" si="30"/>
        <v>2.5429137699999997</v>
      </c>
      <c r="EG14" s="1">
        <f t="shared" si="30"/>
        <v>0.83472519000000012</v>
      </c>
      <c r="EI14" s="14">
        <f t="shared" si="40"/>
        <v>192.3</v>
      </c>
      <c r="EJ14" s="14">
        <f t="shared" si="40"/>
        <v>196.9</v>
      </c>
      <c r="EK14" s="1">
        <f t="shared" si="40"/>
        <v>205</v>
      </c>
      <c r="EL14" s="1">
        <f t="shared" si="40"/>
        <v>198.5</v>
      </c>
      <c r="EM14" s="1">
        <f t="shared" si="40"/>
        <v>200</v>
      </c>
      <c r="EN14" s="1">
        <f t="shared" si="40"/>
        <v>181.1</v>
      </c>
      <c r="EO14" s="1">
        <f t="shared" si="40"/>
        <v>182.5</v>
      </c>
      <c r="EP14" s="1">
        <f t="shared" si="40"/>
        <v>179.9</v>
      </c>
      <c r="EQ14" s="1">
        <f t="shared" si="40"/>
        <v>182.6</v>
      </c>
      <c r="ER14" s="1">
        <f t="shared" si="40"/>
        <v>185.2</v>
      </c>
      <c r="ES14" s="1">
        <f t="shared" si="40"/>
        <v>188.7</v>
      </c>
      <c r="ET14" s="1">
        <f t="shared" si="40"/>
        <v>191.3</v>
      </c>
      <c r="EU14" s="1">
        <f t="shared" si="40"/>
        <v>195.7</v>
      </c>
      <c r="EV14" s="1">
        <f t="shared" si="40"/>
        <v>194.1</v>
      </c>
      <c r="EW14" s="1">
        <f t="shared" si="40"/>
        <v>191</v>
      </c>
      <c r="EX14" s="1">
        <f t="shared" si="40"/>
        <v>181.1</v>
      </c>
      <c r="EY14" s="1">
        <f t="shared" si="31"/>
        <v>170.3</v>
      </c>
      <c r="EZ14" s="1">
        <f t="shared" si="31"/>
        <v>170.9</v>
      </c>
      <c r="FA14" s="1">
        <f t="shared" si="31"/>
        <v>168.7</v>
      </c>
      <c r="FB14" s="1">
        <f t="shared" si="31"/>
        <v>160.6</v>
      </c>
      <c r="FC14" s="1">
        <f t="shared" si="31"/>
        <v>160.6</v>
      </c>
      <c r="FD14" s="1">
        <f t="shared" si="31"/>
        <v>160.6</v>
      </c>
      <c r="FE14" s="1">
        <f t="shared" si="31"/>
        <v>160.6</v>
      </c>
      <c r="FF14" s="1">
        <f t="shared" si="31"/>
        <v>156.30000000000001</v>
      </c>
      <c r="FH14" s="162">
        <f t="shared" si="32"/>
        <v>-0.32091189065624337</v>
      </c>
    </row>
    <row r="15" spans="1:164" ht="18.75" customHeight="1">
      <c r="A15" s="244" t="s">
        <v>68</v>
      </c>
      <c r="B15" s="247"/>
      <c r="C15" s="228">
        <v>0</v>
      </c>
      <c r="D15" s="229">
        <v>-1</v>
      </c>
      <c r="E15" s="253">
        <f t="shared" si="6"/>
        <v>1.5789473684210575E-2</v>
      </c>
      <c r="F15" s="254">
        <f t="shared" si="7"/>
        <v>-5.7102496656979973E-3</v>
      </c>
      <c r="G15" s="253">
        <f t="shared" si="8"/>
        <v>-1.7377856340317077E-3</v>
      </c>
      <c r="H15" s="254">
        <f t="shared" si="9"/>
        <v>1.7527259318242283E-2</v>
      </c>
      <c r="I15" s="253">
        <f t="shared" si="10"/>
        <v>1.7429058695343218</v>
      </c>
      <c r="J15" s="254">
        <f t="shared" si="11"/>
        <v>1.4109406526714727</v>
      </c>
      <c r="K15" s="253">
        <f t="shared" si="12"/>
        <v>0.55645132768072769</v>
      </c>
      <c r="L15" s="254">
        <f t="shared" si="13"/>
        <v>1.1864545418535941</v>
      </c>
      <c r="M15" s="255"/>
      <c r="N15" s="256">
        <v>0</v>
      </c>
      <c r="O15" s="253">
        <f t="shared" si="33"/>
        <v>0</v>
      </c>
      <c r="P15" s="257">
        <f t="shared" si="34"/>
        <v>0</v>
      </c>
      <c r="Q15" s="253">
        <f t="shared" si="14"/>
        <v>0</v>
      </c>
      <c r="R15" s="257">
        <f t="shared" si="35"/>
        <v>0</v>
      </c>
      <c r="S15" s="255"/>
      <c r="T15" s="256">
        <v>-1</v>
      </c>
      <c r="U15" s="253"/>
      <c r="V15" s="258">
        <f t="shared" si="16"/>
        <v>0</v>
      </c>
      <c r="W15" s="253">
        <f t="shared" si="36"/>
        <v>2.1414880506602616</v>
      </c>
      <c r="X15" s="258">
        <f t="shared" si="17"/>
        <v>2.1414880506602616</v>
      </c>
      <c r="Y15" s="253">
        <f t="shared" si="37"/>
        <v>0</v>
      </c>
      <c r="Z15" s="258">
        <f t="shared" si="18"/>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VLOOKUP($A15,historia!$A$5:$DD$24,+HLOOKUP(AP$2,historia!$A$3:$EC$4,2,FALSE),FALSE)</f>
        <v>4</v>
      </c>
      <c r="AQ15" s="28">
        <f>VLOOKUP($A15,historia!$A$5:$DD$24,+HLOOKUP(AQ$2,historia!$A$3:$EC$4,2,FALSE),FALSE)</f>
        <v>4</v>
      </c>
      <c r="AR15" s="28">
        <f>VLOOKUP($A15,historia!$A$5:$DD$24,+HLOOKUP(AR$2,historia!$A$3:$EC$4,2,FALSE),FALSE)</f>
        <v>3</v>
      </c>
      <c r="AS15" s="28">
        <f>VLOOKUP($A15,historia!$A$5:$DD$24,+HLOOKUP(AS$2,historia!$A$3:$EC$4,2,FALSE),FALSE)</f>
        <v>3</v>
      </c>
      <c r="AT15" s="58">
        <f>VLOOKUP($A15,historia!$A$5:$DD$24,+HLOOKUP(AT$2,historia!$A$3:$EC$4,2,FALSE),FALSE)</f>
        <v>3</v>
      </c>
      <c r="AU15" s="58">
        <f>VLOOKUP($A15,historia!$A$5:$DD$24,+HLOOKUP(AU$2,historia!$A$3:$EC$4,2,FALSE),FALSE)</f>
        <v>3</v>
      </c>
      <c r="AV15" s="58">
        <f>VLOOKUP($A15,historia!$A$5:$DD$24,+HLOOKUP(AV$2,historia!$A$3:$EC$4,2,FALSE),FALSE)</f>
        <v>3</v>
      </c>
      <c r="AW15" s="58">
        <f>VLOOKUP($A15,historia!$A$5:$DD$24,+HLOOKUP(AW$2,historia!$A$3:$EC$4,2,FALSE),FALSE)</f>
        <v>3</v>
      </c>
      <c r="AX15" s="58">
        <f>VLOOKUP($A15,historia!$A$5:$DD$24,+HLOOKUP(AX$2,historia!$A$3:$EC$4,2,FALSE),FALSE)</f>
        <v>4</v>
      </c>
      <c r="AY15" s="58">
        <f>VLOOKUP($A15,historia!$A$5:$DD$24,+HLOOKUP(AY$2,historia!$A$3:$EC$4,2,FALSE),FALSE)</f>
        <v>4</v>
      </c>
      <c r="AZ15" s="58">
        <f>VLOOKUP($A15,historia!$A$5:$DD$24,+HLOOKUP(AZ$2,historia!$A$3:$EC$4,2,FALSE),FALSE)</f>
        <v>4</v>
      </c>
      <c r="BA15" s="58">
        <f>VLOOKUP($A15,historia!$A$5:$DG$24,+HLOOKUP(BA$2,historia!$A$3:$EC$4,2,FALSE),FALSE)</f>
        <v>4</v>
      </c>
      <c r="BB15" s="58"/>
      <c r="BC15" s="286">
        <v>4</v>
      </c>
      <c r="BD15" t="str">
        <f t="shared" si="19"/>
        <v>Mandioca</v>
      </c>
      <c r="BE15">
        <f>+datos!AW1</f>
        <v>49</v>
      </c>
      <c r="BF15" s="2" t="str">
        <f t="shared" si="4"/>
        <v>$/bolsa40kg</v>
      </c>
      <c r="BG15" s="2">
        <f t="shared" si="4"/>
        <v>30473.684210526317</v>
      </c>
      <c r="BH15" s="2">
        <f t="shared" si="4"/>
        <v>30000</v>
      </c>
      <c r="BI15" s="2">
        <f t="shared" si="4"/>
        <v>11110</v>
      </c>
      <c r="BK15" s="1">
        <f>+datos!EY1</f>
        <v>155</v>
      </c>
      <c r="BL15" s="1">
        <f t="shared" si="20"/>
        <v>20031</v>
      </c>
      <c r="BM15" s="1">
        <f t="shared" si="20"/>
        <v>20031</v>
      </c>
      <c r="BO15" s="1">
        <f>+datos!GO1</f>
        <v>197</v>
      </c>
      <c r="BP15" s="1">
        <f t="shared" si="21"/>
        <v>201734</v>
      </c>
      <c r="BQ15" s="1">
        <f t="shared" si="21"/>
        <v>201734</v>
      </c>
      <c r="BS15" s="1">
        <f>+datos!JP1</f>
        <v>276</v>
      </c>
      <c r="BT15" s="1">
        <f t="shared" si="38"/>
        <v>2.5000000000000001E-3</v>
      </c>
      <c r="BU15" s="1">
        <f t="shared" si="39"/>
        <v>0</v>
      </c>
      <c r="BW15" s="1">
        <f>+datos!KU1</f>
        <v>307</v>
      </c>
      <c r="BX15" s="2">
        <f t="shared" si="22"/>
        <v>6.5268796</v>
      </c>
      <c r="BY15" s="2">
        <f t="shared" si="23"/>
        <v>2.0776394800000002</v>
      </c>
      <c r="CA15" s="1">
        <f>+datos!IY1</f>
        <v>259</v>
      </c>
      <c r="CB15" s="1">
        <f t="shared" si="24"/>
        <v>1.88</v>
      </c>
      <c r="CC15" s="1">
        <f t="shared" si="25"/>
        <v>1.88</v>
      </c>
      <c r="CD15" s="1"/>
      <c r="CE15">
        <f>+datos!CJ1</f>
        <v>88</v>
      </c>
      <c r="CF15" s="2">
        <f t="shared" si="26"/>
        <v>14710.064405005989</v>
      </c>
      <c r="CG15" s="2">
        <f t="shared" si="26"/>
        <v>14735.671843844028</v>
      </c>
      <c r="CH15" s="2">
        <f t="shared" si="26"/>
        <v>9451.0275672580756</v>
      </c>
      <c r="CI15" s="1"/>
      <c r="CK15" s="1">
        <f t="shared" si="27"/>
        <v>0</v>
      </c>
      <c r="CL15" s="1">
        <f t="shared" si="27"/>
        <v>0</v>
      </c>
      <c r="CM15" s="1">
        <f t="shared" si="27"/>
        <v>0</v>
      </c>
      <c r="CN15" s="1">
        <f t="shared" si="27"/>
        <v>0</v>
      </c>
      <c r="CO15" s="1">
        <f t="shared" si="27"/>
        <v>0</v>
      </c>
      <c r="CP15" s="1">
        <f t="shared" si="27"/>
        <v>2.5000000000000001E-3</v>
      </c>
      <c r="CQ15" s="1">
        <f t="shared" si="27"/>
        <v>0</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7"/>
        <v>0</v>
      </c>
      <c r="DA15" s="1">
        <f t="shared" si="28"/>
        <v>0</v>
      </c>
      <c r="DB15" s="1">
        <f t="shared" si="28"/>
        <v>0</v>
      </c>
      <c r="DC15" s="1">
        <f t="shared" si="28"/>
        <v>0</v>
      </c>
      <c r="DD15" s="1">
        <f t="shared" si="28"/>
        <v>0</v>
      </c>
      <c r="DE15" s="1">
        <f t="shared" si="28"/>
        <v>0</v>
      </c>
      <c r="DF15" s="1">
        <f t="shared" si="28"/>
        <v>0</v>
      </c>
      <c r="DG15" s="1">
        <f t="shared" si="28"/>
        <v>0</v>
      </c>
      <c r="DH15" s="1">
        <f t="shared" si="28"/>
        <v>0</v>
      </c>
      <c r="DJ15" s="14">
        <f t="shared" si="29"/>
        <v>1.0932718399999999</v>
      </c>
      <c r="DK15" s="14">
        <f t="shared" si="29"/>
        <v>0.95051858999999994</v>
      </c>
      <c r="DL15" s="1">
        <f t="shared" si="29"/>
        <v>0.85632428999999999</v>
      </c>
      <c r="DM15" s="1">
        <f t="shared" si="29"/>
        <v>0.36896875000000001</v>
      </c>
      <c r="DN15" s="1">
        <f t="shared" si="29"/>
        <v>0.35343590000000003</v>
      </c>
      <c r="DO15" s="1">
        <f t="shared" si="29"/>
        <v>0.46571231000000002</v>
      </c>
      <c r="DP15" s="1">
        <f t="shared" si="29"/>
        <v>0.27804433999999995</v>
      </c>
      <c r="DQ15" s="1">
        <f t="shared" si="29"/>
        <v>0.43603392000000002</v>
      </c>
      <c r="DR15" s="1">
        <f t="shared" si="29"/>
        <v>0.45279353000000006</v>
      </c>
      <c r="DS15" s="1">
        <f t="shared" si="29"/>
        <v>0.30456642</v>
      </c>
      <c r="DT15" s="1">
        <f t="shared" si="29"/>
        <v>0.53543670999999993</v>
      </c>
      <c r="DU15" s="1">
        <f t="shared" si="29"/>
        <v>0.43177300000000002</v>
      </c>
      <c r="DV15" s="1">
        <f t="shared" si="29"/>
        <v>0.33740116000000003</v>
      </c>
      <c r="DW15" s="1">
        <f t="shared" si="29"/>
        <v>0.28762799999999999</v>
      </c>
      <c r="DX15" s="1">
        <f t="shared" si="29"/>
        <v>0.10344400999999999</v>
      </c>
      <c r="DY15" s="1">
        <f t="shared" si="29"/>
        <v>4.4833160000000004E-2</v>
      </c>
      <c r="DZ15" s="1">
        <f t="shared" si="30"/>
        <v>0.14172798</v>
      </c>
      <c r="EA15" s="1">
        <f t="shared" si="30"/>
        <v>7.4560410000000008E-2</v>
      </c>
      <c r="EB15" s="1">
        <f t="shared" si="30"/>
        <v>0.28059129999999999</v>
      </c>
      <c r="EC15" s="1">
        <f t="shared" si="30"/>
        <v>0.15169276000000001</v>
      </c>
      <c r="ED15" s="1">
        <f t="shared" si="30"/>
        <v>0.14711371000000001</v>
      </c>
      <c r="EE15" s="1">
        <f t="shared" si="30"/>
        <v>0.18175015000000003</v>
      </c>
      <c r="EF15" s="1">
        <f t="shared" si="30"/>
        <v>0.15569543999999999</v>
      </c>
      <c r="EG15" s="1">
        <f t="shared" si="30"/>
        <v>0.1712014</v>
      </c>
      <c r="EI15" s="14">
        <f t="shared" si="40"/>
        <v>1.88</v>
      </c>
      <c r="EJ15" s="14">
        <f t="shared" si="40"/>
        <v>1.88</v>
      </c>
      <c r="EK15" s="1">
        <f t="shared" si="40"/>
        <v>1.88</v>
      </c>
      <c r="EL15" s="1">
        <f t="shared" si="40"/>
        <v>1.88</v>
      </c>
      <c r="EM15" s="1">
        <f t="shared" si="40"/>
        <v>1.88</v>
      </c>
      <c r="EN15" s="1">
        <f t="shared" si="40"/>
        <v>1.88</v>
      </c>
      <c r="EO15" s="1">
        <f t="shared" si="40"/>
        <v>1.88</v>
      </c>
      <c r="EP15" s="1">
        <f t="shared" si="40"/>
        <v>1.88</v>
      </c>
      <c r="EQ15" s="1">
        <f t="shared" si="40"/>
        <v>1.88</v>
      </c>
      <c r="ER15" s="1">
        <f t="shared" si="40"/>
        <v>1.88</v>
      </c>
      <c r="ES15" s="1">
        <f t="shared" si="40"/>
        <v>1.88</v>
      </c>
      <c r="ET15" s="1">
        <f t="shared" si="40"/>
        <v>1.88</v>
      </c>
      <c r="EU15" s="1">
        <f t="shared" si="40"/>
        <v>1.88</v>
      </c>
      <c r="EV15" s="1">
        <f t="shared" si="40"/>
        <v>1.88</v>
      </c>
      <c r="EW15" s="1">
        <f t="shared" si="40"/>
        <v>1.88</v>
      </c>
      <c r="EX15" s="1">
        <f t="shared" si="40"/>
        <v>1.88</v>
      </c>
      <c r="EY15" s="1">
        <f t="shared" si="31"/>
        <v>1.88</v>
      </c>
      <c r="EZ15" s="1">
        <f t="shared" si="31"/>
        <v>1.88</v>
      </c>
      <c r="FA15" s="1">
        <f t="shared" si="31"/>
        <v>1.88</v>
      </c>
      <c r="FB15" s="1">
        <f t="shared" si="31"/>
        <v>1.88</v>
      </c>
      <c r="FC15" s="1">
        <f t="shared" si="31"/>
        <v>1.88</v>
      </c>
      <c r="FD15" s="1">
        <f t="shared" si="31"/>
        <v>1.88</v>
      </c>
      <c r="FE15" s="1">
        <f t="shared" si="31"/>
        <v>1.88</v>
      </c>
      <c r="FF15" s="1">
        <f t="shared" si="31"/>
        <v>1.88</v>
      </c>
      <c r="FH15" s="162">
        <f t="shared" si="32"/>
        <v>1.1864545418535941</v>
      </c>
    </row>
    <row r="16" spans="1:164" ht="18" customHeight="1">
      <c r="A16" s="243" t="s">
        <v>25</v>
      </c>
      <c r="B16" s="246"/>
      <c r="C16" s="156">
        <f t="shared" si="5"/>
        <v>-0.66</v>
      </c>
      <c r="D16" s="198">
        <v>-1</v>
      </c>
      <c r="E16" s="248">
        <f t="shared" si="6"/>
        <v>4.6301505669741339E-3</v>
      </c>
      <c r="F16" s="249">
        <f t="shared" si="7"/>
        <v>-1.6869572782934439E-2</v>
      </c>
      <c r="G16" s="248">
        <f t="shared" si="8"/>
        <v>1.0738381967511312E-2</v>
      </c>
      <c r="H16" s="249">
        <f t="shared" si="9"/>
        <v>-6.1082314005371785E-3</v>
      </c>
      <c r="I16" s="248">
        <f t="shared" si="10"/>
        <v>0.30855559558823509</v>
      </c>
      <c r="J16" s="249">
        <f t="shared" si="11"/>
        <v>-2.340962127461399E-2</v>
      </c>
      <c r="K16" s="248">
        <f t="shared" si="12"/>
        <v>0.44710290497346783</v>
      </c>
      <c r="L16" s="249">
        <f t="shared" si="13"/>
        <v>-0.13854730938523274</v>
      </c>
      <c r="M16" s="250"/>
      <c r="N16" s="24">
        <v>1</v>
      </c>
      <c r="O16" s="248">
        <f t="shared" si="33"/>
        <v>-0.26790476373194172</v>
      </c>
      <c r="P16" s="251">
        <f t="shared" si="34"/>
        <v>-0.26790476373194172</v>
      </c>
      <c r="Q16" s="248">
        <f t="shared" si="14"/>
        <v>-0.30770168394691444</v>
      </c>
      <c r="R16" s="251">
        <f t="shared" si="35"/>
        <v>-0.30770168394691444</v>
      </c>
      <c r="S16" s="250"/>
      <c r="T16" s="24">
        <v>-2</v>
      </c>
      <c r="U16" s="248">
        <f t="shared" si="15"/>
        <v>-6.4097895346972744E-2</v>
      </c>
      <c r="V16" s="252">
        <f t="shared" si="16"/>
        <v>-6.4097895346972744E-2</v>
      </c>
      <c r="W16" s="248">
        <f>IFERROR(+BX16/BY16-1,"")</f>
        <v>-0.51217693844874945</v>
      </c>
      <c r="X16" s="258">
        <f t="shared" si="17"/>
        <v>-0.51217693844874945</v>
      </c>
      <c r="Y16" s="248">
        <f t="shared" si="37"/>
        <v>-4.8908108108108084E-2</v>
      </c>
      <c r="Z16" s="252">
        <f t="shared" si="18"/>
        <v>-4.8908108108108084E-2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VLOOKUP($A16,historia!$A$5:$DD$24,+HLOOKUP(AP$2,historia!$A$3:$EC$4,2,FALSE),FALSE)</f>
        <v>3</v>
      </c>
      <c r="AQ16" s="28">
        <f>VLOOKUP($A16,historia!$A$5:$DD$24,+HLOOKUP(AQ$2,historia!$A$3:$EC$4,2,FALSE),FALSE)</f>
        <v>3</v>
      </c>
      <c r="AR16" s="28">
        <f>VLOOKUP($A16,historia!$A$5:$DD$24,+HLOOKUP(AR$2,historia!$A$3:$EC$4,2,FALSE),FALSE)</f>
        <v>3</v>
      </c>
      <c r="AS16" s="28">
        <f>VLOOKUP($A16,historia!$A$5:$DD$24,+HLOOKUP(AS$2,historia!$A$3:$EC$4,2,FALSE),FALSE)</f>
        <v>3</v>
      </c>
      <c r="AT16" s="58">
        <f>VLOOKUP($A16,historia!$A$5:$DD$24,+HLOOKUP(AT$2,historia!$A$3:$EC$4,2,FALSE),FALSE)</f>
        <v>3</v>
      </c>
      <c r="AU16" s="58">
        <f>VLOOKUP($A16,historia!$A$5:$DD$24,+HLOOKUP(AU$2,historia!$A$3:$EC$4,2,FALSE),FALSE)</f>
        <v>3</v>
      </c>
      <c r="AV16" s="58">
        <f>VLOOKUP($A16,historia!$A$5:$DD$24,+HLOOKUP(AV$2,historia!$A$3:$EC$4,2,FALSE),FALSE)</f>
        <v>3</v>
      </c>
      <c r="AW16" s="58">
        <f>VLOOKUP($A16,historia!$A$5:$DD$24,+HLOOKUP(AW$2,historia!$A$3:$EC$4,2,FALSE),FALSE)</f>
        <v>4</v>
      </c>
      <c r="AX16" s="58">
        <f>VLOOKUP($A16,historia!$A$5:$DD$24,+HLOOKUP(AX$2,historia!$A$3:$EC$4,2,FALSE),FALSE)</f>
        <v>4</v>
      </c>
      <c r="AY16" s="58">
        <f>VLOOKUP($A16,historia!$A$5:$DD$24,+HLOOKUP(AY$2,historia!$A$3:$EC$4,2,FALSE),FALSE)</f>
        <v>4</v>
      </c>
      <c r="AZ16" s="58">
        <f>VLOOKUP($A16,historia!$A$5:$DD$24,+HLOOKUP(AZ$2,historia!$A$3:$EC$4,2,FALSE),FALSE)</f>
        <v>4</v>
      </c>
      <c r="BA16" s="58">
        <f>VLOOKUP($A16,historia!$A$5:$DG$24,+HLOOKUP(BA$2,historia!$A$3:$EC$4,2,FALSE),FALSE)</f>
        <v>4</v>
      </c>
      <c r="BB16" s="58"/>
      <c r="BC16" s="286">
        <v>4</v>
      </c>
      <c r="BD16" t="str">
        <f t="shared" si="19"/>
        <v>Maní</v>
      </c>
      <c r="BE16">
        <f>+datos!AF1</f>
        <v>32</v>
      </c>
      <c r="BF16" s="2" t="str">
        <f t="shared" si="4"/>
        <v>$/t</v>
      </c>
      <c r="BG16" s="2">
        <f t="shared" si="4"/>
        <v>907614.16109999991</v>
      </c>
      <c r="BH16" s="2">
        <f t="shared" si="4"/>
        <v>903431.13890000002</v>
      </c>
      <c r="BI16" s="2">
        <f t="shared" si="4"/>
        <v>693600</v>
      </c>
      <c r="BK16" s="1">
        <f>+datos!EB1</f>
        <v>132</v>
      </c>
      <c r="BL16" s="1">
        <f t="shared" si="20"/>
        <v>381590</v>
      </c>
      <c r="BM16" s="1">
        <f t="shared" si="20"/>
        <v>521230</v>
      </c>
      <c r="BO16" s="1">
        <f>+datos!FW1</f>
        <v>179</v>
      </c>
      <c r="BP16" s="1">
        <f t="shared" si="21"/>
        <v>1311996</v>
      </c>
      <c r="BQ16" s="1">
        <f t="shared" si="21"/>
        <v>1895131</v>
      </c>
      <c r="BS16" s="1">
        <f>+datos!JK1</f>
        <v>271</v>
      </c>
      <c r="BT16" s="1">
        <f t="shared" si="38"/>
        <v>1394.87361104</v>
      </c>
      <c r="BU16" s="1">
        <f t="shared" si="39"/>
        <v>1490.4054645300002</v>
      </c>
      <c r="BW16" s="1">
        <f>+datos!KP1</f>
        <v>302</v>
      </c>
      <c r="BX16" s="2">
        <f t="shared" si="22"/>
        <v>0.84433577000000004</v>
      </c>
      <c r="BY16" s="2">
        <f t="shared" si="23"/>
        <v>1.7308238100000002</v>
      </c>
      <c r="CA16" s="1">
        <f>+datos!IJ1</f>
        <v>244</v>
      </c>
      <c r="CB16" s="2">
        <f t="shared" si="24"/>
        <v>2.2719760013883494</v>
      </c>
      <c r="CC16" s="2">
        <f t="shared" si="25"/>
        <v>2.3888080854826579</v>
      </c>
      <c r="CD16" s="1"/>
      <c r="CE16">
        <f>+datos!CH1</f>
        <v>86</v>
      </c>
      <c r="CF16" s="2">
        <f t="shared" si="26"/>
        <v>14512.798200032801</v>
      </c>
      <c r="CG16" s="2">
        <f t="shared" si="26"/>
        <v>14358.609961741113</v>
      </c>
      <c r="CH16" s="2">
        <f t="shared" si="26"/>
        <v>10028.863980684835</v>
      </c>
      <c r="CI16" s="1"/>
      <c r="CK16" s="1">
        <f t="shared" si="27"/>
        <v>126.60490711</v>
      </c>
      <c r="CL16" s="1">
        <f t="shared" si="27"/>
        <v>100.29180120999997</v>
      </c>
      <c r="CM16" s="1">
        <f t="shared" si="27"/>
        <v>125.25923582999999</v>
      </c>
      <c r="CN16" s="1">
        <f t="shared" si="27"/>
        <v>89.696667719999979</v>
      </c>
      <c r="CO16" s="1">
        <f t="shared" si="27"/>
        <v>106.44432842999998</v>
      </c>
      <c r="CP16" s="1">
        <f t="shared" si="27"/>
        <v>109.63040427999998</v>
      </c>
      <c r="CQ16" s="1">
        <f t="shared" si="27"/>
        <v>107.51173679000001</v>
      </c>
      <c r="CR16" s="1">
        <f t="shared" si="27"/>
        <v>153.65977728999999</v>
      </c>
      <c r="CS16" s="1">
        <f t="shared" si="27"/>
        <v>137.05460552</v>
      </c>
      <c r="CT16" s="1">
        <f t="shared" si="27"/>
        <v>119.79773589000003</v>
      </c>
      <c r="CU16" s="1">
        <f t="shared" si="27"/>
        <v>108.38462631999997</v>
      </c>
      <c r="CV16" s="1">
        <f t="shared" si="27"/>
        <v>110.53778464999999</v>
      </c>
      <c r="CW16" s="1">
        <f t="shared" si="27"/>
        <v>97.139552130000013</v>
      </c>
      <c r="CX16" s="1">
        <f t="shared" si="27"/>
        <v>94.262180470000018</v>
      </c>
      <c r="CY16" s="1">
        <f t="shared" si="27"/>
        <v>104.16408064999997</v>
      </c>
      <c r="CZ16" s="1">
        <f t="shared" si="27"/>
        <v>129.66034791999999</v>
      </c>
      <c r="DA16" s="1">
        <f t="shared" si="28"/>
        <v>100.29183523999998</v>
      </c>
      <c r="DB16" s="1">
        <f t="shared" si="28"/>
        <v>142.99991008000001</v>
      </c>
      <c r="DC16" s="1">
        <f t="shared" si="28"/>
        <v>153.43391492999999</v>
      </c>
      <c r="DD16" s="1">
        <f t="shared" si="28"/>
        <v>142.09253510999997</v>
      </c>
      <c r="DE16" s="1">
        <f t="shared" si="28"/>
        <v>155.33708399000002</v>
      </c>
      <c r="DF16" s="1">
        <f t="shared" si="28"/>
        <v>156.99934678</v>
      </c>
      <c r="DG16" s="1">
        <f t="shared" si="28"/>
        <v>115.53726275000001</v>
      </c>
      <c r="DH16" s="1">
        <f t="shared" si="28"/>
        <v>98.487414479999984</v>
      </c>
      <c r="DJ16" s="1">
        <f t="shared" si="29"/>
        <v>2.3628E-3</v>
      </c>
      <c r="DK16" s="1">
        <f t="shared" si="29"/>
        <v>1.1297919999999999E-2</v>
      </c>
      <c r="DL16" s="1">
        <f t="shared" si="29"/>
        <v>7.5985750000000005E-2</v>
      </c>
      <c r="DM16" s="1">
        <f t="shared" si="29"/>
        <v>3.3E-4</v>
      </c>
      <c r="DN16" s="1">
        <f t="shared" si="29"/>
        <v>3.5242930000000006E-2</v>
      </c>
      <c r="DO16" s="1">
        <f t="shared" si="29"/>
        <v>4.2275489999999999E-2</v>
      </c>
      <c r="DP16" s="1">
        <f t="shared" si="29"/>
        <v>2.1048300000000002E-3</v>
      </c>
      <c r="DQ16" s="1">
        <f t="shared" si="29"/>
        <v>9.9999999999999995E-7</v>
      </c>
      <c r="DR16" s="1">
        <f t="shared" si="29"/>
        <v>0.27773459</v>
      </c>
      <c r="DS16" s="1">
        <f t="shared" si="29"/>
        <v>0.19844290000000001</v>
      </c>
      <c r="DT16" s="1">
        <f t="shared" si="29"/>
        <v>0.14424532000000001</v>
      </c>
      <c r="DU16" s="1">
        <f t="shared" si="29"/>
        <v>5.4312239999999998E-2</v>
      </c>
      <c r="DV16" s="1">
        <f t="shared" si="29"/>
        <v>1.9420499999999999E-3</v>
      </c>
      <c r="DW16" s="1">
        <f t="shared" si="29"/>
        <v>1.0560452</v>
      </c>
      <c r="DX16" s="1">
        <f t="shared" si="29"/>
        <v>3.8992409999999998E-2</v>
      </c>
      <c r="DY16" s="1">
        <f t="shared" si="29"/>
        <v>0</v>
      </c>
      <c r="DZ16" s="1">
        <f t="shared" si="30"/>
        <v>5.2225250000000001E-2</v>
      </c>
      <c r="EA16" s="1">
        <f t="shared" si="30"/>
        <v>0.22862400000000002</v>
      </c>
      <c r="EB16" s="1">
        <f t="shared" si="30"/>
        <v>2.6527899999999999E-3</v>
      </c>
      <c r="EC16" s="1">
        <f t="shared" si="30"/>
        <v>1.6271E-3</v>
      </c>
      <c r="ED16" s="1">
        <f t="shared" si="30"/>
        <v>0.13444175</v>
      </c>
      <c r="EE16" s="1">
        <f t="shared" si="30"/>
        <v>4.2737620000000004E-2</v>
      </c>
      <c r="EF16" s="1">
        <f t="shared" si="30"/>
        <v>8.6628999999999998E-2</v>
      </c>
      <c r="EG16" s="1">
        <f t="shared" si="30"/>
        <v>8.4906640000000005E-2</v>
      </c>
      <c r="EI16" s="14">
        <f t="shared" si="40"/>
        <v>2.2719760013883494</v>
      </c>
      <c r="EJ16" s="14">
        <f t="shared" si="40"/>
        <v>2.2719760013883494</v>
      </c>
      <c r="EK16" s="1">
        <f t="shared" si="40"/>
        <v>2.2719760013883494</v>
      </c>
      <c r="EL16" s="1">
        <f t="shared" si="40"/>
        <v>2.2719760013883494</v>
      </c>
      <c r="EM16" s="1">
        <f t="shared" si="40"/>
        <v>2.4791954184468667</v>
      </c>
      <c r="EN16" s="1">
        <f t="shared" si="40"/>
        <v>2.4791954184468667</v>
      </c>
      <c r="EO16" s="1">
        <f t="shared" si="40"/>
        <v>2.4791954184468667</v>
      </c>
      <c r="EP16" s="1">
        <f t="shared" si="40"/>
        <v>2.4791954184468667</v>
      </c>
      <c r="EQ16" s="1">
        <f t="shared" si="40"/>
        <v>2.3888080854826579</v>
      </c>
      <c r="ER16" s="1">
        <f t="shared" si="40"/>
        <v>2.3888080854826579</v>
      </c>
      <c r="ES16" s="1">
        <f t="shared" si="40"/>
        <v>2.3888080854826579</v>
      </c>
      <c r="ET16" s="1">
        <f t="shared" si="40"/>
        <v>2.3888080854826579</v>
      </c>
      <c r="EU16" s="1">
        <f t="shared" si="40"/>
        <v>2.3888080854826579</v>
      </c>
      <c r="EV16" s="1">
        <f t="shared" si="40"/>
        <v>2.3888080854826579</v>
      </c>
      <c r="EW16" s="1">
        <f t="shared" si="40"/>
        <v>2.1563835150032644</v>
      </c>
      <c r="EX16" s="1">
        <f t="shared" si="40"/>
        <v>2.1563835150032644</v>
      </c>
      <c r="EY16" s="1">
        <f t="shared" si="31"/>
        <v>2.1563835150032644</v>
      </c>
      <c r="EZ16" s="1">
        <f t="shared" si="31"/>
        <v>2.1563835150032644</v>
      </c>
      <c r="FA16" s="1">
        <f t="shared" si="31"/>
        <v>2.1563835150032644</v>
      </c>
      <c r="FB16" s="1">
        <f t="shared" si="31"/>
        <v>2.1563835150032644</v>
      </c>
      <c r="FC16" s="1">
        <f t="shared" si="31"/>
        <v>2.1563835150032644</v>
      </c>
      <c r="FD16" s="1">
        <f t="shared" si="31"/>
        <v>2.1563835150032644</v>
      </c>
      <c r="FE16" s="1">
        <f t="shared" si="31"/>
        <v>2.1563835150032644</v>
      </c>
      <c r="FF16" s="1">
        <f t="shared" si="31"/>
        <v>2.1563835150032644</v>
      </c>
      <c r="FH16" s="162">
        <f t="shared" si="32"/>
        <v>-0.13854730938523274</v>
      </c>
    </row>
    <row r="17" spans="1:164" ht="18.75" customHeight="1">
      <c r="A17" s="244" t="s">
        <v>76</v>
      </c>
      <c r="B17" s="247"/>
      <c r="C17" s="228">
        <f t="shared" si="5"/>
        <v>-0.99</v>
      </c>
      <c r="D17" s="229">
        <v>-1</v>
      </c>
      <c r="E17" s="253">
        <f t="shared" si="6"/>
        <v>1.9498607242339761E-2</v>
      </c>
      <c r="F17" s="254">
        <f t="shared" si="7"/>
        <v>-2.0011161075688122E-3</v>
      </c>
      <c r="G17" s="253">
        <f t="shared" si="8"/>
        <v>1.1364650727023529E-2</v>
      </c>
      <c r="H17" s="254">
        <f t="shared" si="9"/>
        <v>8.1339565153162319E-3</v>
      </c>
      <c r="I17" s="253">
        <f t="shared" si="10"/>
        <v>0.49616760347470623</v>
      </c>
      <c r="J17" s="254">
        <f t="shared" si="11"/>
        <v>0.16420238661185715</v>
      </c>
      <c r="K17" s="253">
        <f t="shared" si="12"/>
        <v>0.44799713111285833</v>
      </c>
      <c r="L17" s="254">
        <f t="shared" si="13"/>
        <v>4.8170472361847905E-2</v>
      </c>
      <c r="M17" s="255"/>
      <c r="N17" s="256">
        <v>-1</v>
      </c>
      <c r="O17" s="253">
        <f>IFERROR(+BL17/BM17-1,"")</f>
        <v>0</v>
      </c>
      <c r="P17" s="257">
        <f t="shared" si="34"/>
        <v>0</v>
      </c>
      <c r="Q17" s="253">
        <f t="shared" si="14"/>
        <v>0</v>
      </c>
      <c r="R17" s="257">
        <f t="shared" si="35"/>
        <v>0</v>
      </c>
      <c r="S17" s="255"/>
      <c r="T17" s="256">
        <v>-1</v>
      </c>
      <c r="U17" s="253">
        <f t="shared" si="15"/>
        <v>0.40444975208921763</v>
      </c>
      <c r="V17" s="258">
        <f t="shared" si="16"/>
        <v>0.40444975208921763</v>
      </c>
      <c r="W17" s="248">
        <f>IFERROR(+BX17/BY17-1,"")</f>
        <v>7.5713237070827635</v>
      </c>
      <c r="X17" s="258">
        <f t="shared" si="17"/>
        <v>7.5713237070827635</v>
      </c>
      <c r="Y17" s="253">
        <f t="shared" si="37"/>
        <v>0</v>
      </c>
      <c r="Z17" s="258">
        <f t="shared" si="18"/>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VLOOKUP($A17,historia!$A$5:$DD$24,+HLOOKUP(AP$2,historia!$A$3:$EC$4,2,FALSE),FALSE)</f>
        <v>3</v>
      </c>
      <c r="AQ17" s="28">
        <f>VLOOKUP($A17,historia!$A$5:$DD$24,+HLOOKUP(AQ$2,historia!$A$3:$EC$4,2,FALSE),FALSE)</f>
        <v>3</v>
      </c>
      <c r="AR17" s="28">
        <f>VLOOKUP($A17,historia!$A$5:$DD$24,+HLOOKUP(AR$2,historia!$A$3:$EC$4,2,FALSE),FALSE)</f>
        <v>3</v>
      </c>
      <c r="AS17" s="28">
        <f>VLOOKUP($A17,historia!$A$5:$DD$24,+HLOOKUP(AS$2,historia!$A$3:$EC$4,2,FALSE),FALSE)</f>
        <v>3</v>
      </c>
      <c r="AT17" s="58">
        <f>VLOOKUP($A17,historia!$A$5:$DD$24,+HLOOKUP(AT$2,historia!$A$3:$EC$4,2,FALSE),FALSE)</f>
        <v>2</v>
      </c>
      <c r="AU17" s="58">
        <f>VLOOKUP($A17,historia!$A$5:$DD$24,+HLOOKUP(AU$2,historia!$A$3:$EC$4,2,FALSE),FALSE)</f>
        <v>2</v>
      </c>
      <c r="AV17" s="58">
        <f>VLOOKUP($A17,historia!$A$5:$DD$24,+HLOOKUP(AV$2,historia!$A$3:$EC$4,2,FALSE),FALSE)</f>
        <v>2</v>
      </c>
      <c r="AW17" s="58">
        <f>VLOOKUP($A17,historia!$A$5:$DD$24,+HLOOKUP(AW$2,historia!$A$3:$EC$4,2,FALSE),FALSE)</f>
        <v>2</v>
      </c>
      <c r="AX17" s="58">
        <f>VLOOKUP($A17,historia!$A$5:$DD$24,+HLOOKUP(AX$2,historia!$A$3:$EC$4,2,FALSE),FALSE)</f>
        <v>2</v>
      </c>
      <c r="AY17" s="58">
        <f>VLOOKUP($A17,historia!$A$5:$DD$24,+HLOOKUP(AY$2,historia!$A$3:$EC$4,2,FALSE),FALSE)</f>
        <v>2</v>
      </c>
      <c r="AZ17" s="58">
        <f>VLOOKUP($A17,historia!$A$5:$DD$24,+HLOOKUP(AZ$2,historia!$A$3:$EC$4,2,FALSE),FALSE)</f>
        <v>2</v>
      </c>
      <c r="BA17" s="58">
        <f>VLOOKUP($A17,historia!$A$5:$DG$24,+HLOOKUP(BA$2,historia!$A$3:$EC$4,2,FALSE),FALSE)</f>
        <v>2</v>
      </c>
      <c r="BB17" s="58"/>
      <c r="BC17" s="286">
        <v>2</v>
      </c>
      <c r="BD17" t="str">
        <f t="shared" si="19"/>
        <v>Miel</v>
      </c>
      <c r="BE17">
        <f>+datos!BV1</f>
        <v>74</v>
      </c>
      <c r="BF17" s="2" t="str">
        <f t="shared" si="4"/>
        <v>$/kg</v>
      </c>
      <c r="BG17" s="2">
        <f t="shared" si="4"/>
        <v>2928</v>
      </c>
      <c r="BH17" s="2">
        <f t="shared" si="4"/>
        <v>2872</v>
      </c>
      <c r="BI17" s="2">
        <f t="shared" si="4"/>
        <v>1957</v>
      </c>
      <c r="BK17" s="1">
        <f>+datos!EQ1</f>
        <v>147</v>
      </c>
      <c r="BL17" s="1">
        <f t="shared" si="20"/>
        <v>4000000</v>
      </c>
      <c r="BM17" s="1">
        <f t="shared" si="20"/>
        <v>4000000</v>
      </c>
      <c r="BO17" s="1">
        <f>+datos!GP1</f>
        <v>198</v>
      </c>
      <c r="BP17" s="1">
        <f t="shared" si="21"/>
        <v>75000</v>
      </c>
      <c r="BQ17" s="1">
        <f t="shared" si="21"/>
        <v>75000</v>
      </c>
      <c r="BS17" s="1">
        <f>+datos!KE1</f>
        <v>291</v>
      </c>
      <c r="BT17" s="1">
        <f t="shared" si="38"/>
        <v>312.86673589000003</v>
      </c>
      <c r="BU17" s="1">
        <f t="shared" si="39"/>
        <v>222.76819474999999</v>
      </c>
      <c r="BW17" s="1">
        <f>+datos!LJ1</f>
        <v>322</v>
      </c>
      <c r="BX17" s="2">
        <f t="shared" si="22"/>
        <v>4.6823770000000001E-2</v>
      </c>
      <c r="BY17" s="2">
        <f>+SUM(DV17:EG17)</f>
        <v>5.4628400000000001E-3</v>
      </c>
      <c r="CA17" s="1">
        <f>+datos!IZ1</f>
        <v>260</v>
      </c>
      <c r="CB17" s="2">
        <f t="shared" si="24"/>
        <v>0.3</v>
      </c>
      <c r="CC17" s="2">
        <f t="shared" si="25"/>
        <v>0.3</v>
      </c>
      <c r="CD17" s="2"/>
      <c r="CE17">
        <f>+datos!DH1</f>
        <v>112</v>
      </c>
      <c r="CF17" s="2">
        <f t="shared" si="26"/>
        <v>14742.883155308551</v>
      </c>
      <c r="CG17" s="2">
        <f t="shared" si="26"/>
        <v>14577.218162322135</v>
      </c>
      <c r="CH17" s="2">
        <f t="shared" si="26"/>
        <v>10181.56931290182</v>
      </c>
      <c r="CI17" s="2"/>
      <c r="CK17" s="1">
        <f t="shared" si="27"/>
        <v>41.621749510000001</v>
      </c>
      <c r="CL17" s="1">
        <f t="shared" si="27"/>
        <v>42.320391119999996</v>
      </c>
      <c r="CM17" s="1">
        <f t="shared" si="27"/>
        <v>42.687100790000002</v>
      </c>
      <c r="CN17" s="1">
        <f t="shared" si="27"/>
        <v>22.465511939999999</v>
      </c>
      <c r="CO17" s="1">
        <f t="shared" si="27"/>
        <v>15.491239590000003</v>
      </c>
      <c r="CP17" s="1">
        <f t="shared" si="27"/>
        <v>13.599247020000002</v>
      </c>
      <c r="CQ17" s="1">
        <f t="shared" si="27"/>
        <v>18.275047940000004</v>
      </c>
      <c r="CR17" s="1">
        <f t="shared" si="27"/>
        <v>22.033355530000001</v>
      </c>
      <c r="CS17" s="1">
        <f t="shared" si="27"/>
        <v>25.714133060000005</v>
      </c>
      <c r="CT17" s="1">
        <f t="shared" si="27"/>
        <v>20.973477770000002</v>
      </c>
      <c r="CU17" s="1">
        <f t="shared" si="27"/>
        <v>25.565397789999999</v>
      </c>
      <c r="CV17" s="1">
        <f t="shared" si="27"/>
        <v>22.120083830000002</v>
      </c>
      <c r="CW17" s="1">
        <f t="shared" si="27"/>
        <v>25.223589140000001</v>
      </c>
      <c r="CX17" s="1">
        <f t="shared" si="27"/>
        <v>23.185079629999997</v>
      </c>
      <c r="CY17" s="1">
        <f t="shared" si="27"/>
        <v>18.014525360000007</v>
      </c>
      <c r="CZ17" s="1">
        <f t="shared" si="27"/>
        <v>15.906782769999998</v>
      </c>
      <c r="DA17" s="1">
        <f t="shared" si="28"/>
        <v>9.6274282100000015</v>
      </c>
      <c r="DB17" s="1">
        <f t="shared" si="28"/>
        <v>12.184475789999999</v>
      </c>
      <c r="DC17" s="1">
        <f t="shared" si="28"/>
        <v>14.349162859999998</v>
      </c>
      <c r="DD17" s="1">
        <f t="shared" si="28"/>
        <v>24.378519029999993</v>
      </c>
      <c r="DE17" s="1">
        <f t="shared" si="28"/>
        <v>22.211636389999995</v>
      </c>
      <c r="DF17" s="1">
        <f t="shared" si="28"/>
        <v>18.934177090000006</v>
      </c>
      <c r="DG17" s="1">
        <f t="shared" si="28"/>
        <v>18.049853030000005</v>
      </c>
      <c r="DH17" s="1">
        <f t="shared" si="28"/>
        <v>20.702965450000001</v>
      </c>
      <c r="DJ17" s="1">
        <f t="shared" si="29"/>
        <v>0</v>
      </c>
      <c r="DK17" s="1">
        <f t="shared" si="29"/>
        <v>3.6741E-3</v>
      </c>
      <c r="DL17" s="1">
        <f t="shared" si="29"/>
        <v>0</v>
      </c>
      <c r="DM17" s="1">
        <f t="shared" si="29"/>
        <v>0</v>
      </c>
      <c r="DN17" s="1">
        <f t="shared" si="29"/>
        <v>0</v>
      </c>
      <c r="DO17" s="1">
        <f t="shared" si="29"/>
        <v>2.9789999999999999E-3</v>
      </c>
      <c r="DP17" s="1">
        <f t="shared" si="29"/>
        <v>0</v>
      </c>
      <c r="DQ17" s="1">
        <f t="shared" si="29"/>
        <v>0</v>
      </c>
      <c r="DR17" s="1">
        <f t="shared" si="29"/>
        <v>0</v>
      </c>
      <c r="DS17" s="1">
        <f t="shared" si="29"/>
        <v>4.0170669999999999E-2</v>
      </c>
      <c r="DT17" s="1">
        <f t="shared" si="29"/>
        <v>0</v>
      </c>
      <c r="DU17" s="1">
        <f t="shared" si="29"/>
        <v>0</v>
      </c>
      <c r="DV17" s="1">
        <f t="shared" si="29"/>
        <v>1.5264E-3</v>
      </c>
      <c r="DW17" s="1">
        <f t="shared" si="29"/>
        <v>0</v>
      </c>
      <c r="DX17" s="1">
        <f t="shared" si="29"/>
        <v>0</v>
      </c>
      <c r="DY17" s="1">
        <f t="shared" si="29"/>
        <v>3.5298E-3</v>
      </c>
      <c r="DZ17" s="1">
        <f t="shared" si="30"/>
        <v>0</v>
      </c>
      <c r="EA17" s="1">
        <f t="shared" si="30"/>
        <v>0</v>
      </c>
      <c r="EB17" s="1">
        <f t="shared" si="30"/>
        <v>0</v>
      </c>
      <c r="EC17" s="1">
        <f t="shared" si="30"/>
        <v>0</v>
      </c>
      <c r="ED17" s="1">
        <f t="shared" si="30"/>
        <v>4.0664E-4</v>
      </c>
      <c r="EE17" s="1">
        <f t="shared" si="30"/>
        <v>0</v>
      </c>
      <c r="EF17" s="1">
        <f t="shared" si="30"/>
        <v>0</v>
      </c>
      <c r="EG17" s="1">
        <f t="shared" si="30"/>
        <v>0</v>
      </c>
      <c r="EI17" s="14">
        <f t="shared" si="40"/>
        <v>0.3</v>
      </c>
      <c r="EJ17" s="14">
        <f t="shared" si="40"/>
        <v>0.3</v>
      </c>
      <c r="EK17" s="1">
        <f t="shared" si="40"/>
        <v>0.3</v>
      </c>
      <c r="EL17" s="1">
        <f t="shared" si="40"/>
        <v>0.3</v>
      </c>
      <c r="EM17" s="1">
        <f t="shared" si="40"/>
        <v>0.3</v>
      </c>
      <c r="EN17" s="1">
        <f t="shared" si="40"/>
        <v>0.3</v>
      </c>
      <c r="EO17" s="1">
        <f t="shared" si="40"/>
        <v>0.3</v>
      </c>
      <c r="EP17" s="1">
        <f t="shared" si="40"/>
        <v>0.3</v>
      </c>
      <c r="EQ17" s="1">
        <f t="shared" si="40"/>
        <v>0.3</v>
      </c>
      <c r="ER17" s="1">
        <f t="shared" si="40"/>
        <v>0.3</v>
      </c>
      <c r="ES17" s="1">
        <f t="shared" si="40"/>
        <v>0.3</v>
      </c>
      <c r="ET17" s="1">
        <f t="shared" si="40"/>
        <v>0.3</v>
      </c>
      <c r="EU17" s="1">
        <f t="shared" si="40"/>
        <v>0.3</v>
      </c>
      <c r="EV17" s="1">
        <f t="shared" si="40"/>
        <v>0.3</v>
      </c>
      <c r="EW17" s="1">
        <f t="shared" si="40"/>
        <v>0.3</v>
      </c>
      <c r="EX17" s="1">
        <f t="shared" si="40"/>
        <v>0.3</v>
      </c>
      <c r="EY17" s="1">
        <f t="shared" si="31"/>
        <v>0.3</v>
      </c>
      <c r="EZ17" s="1">
        <f t="shared" si="31"/>
        <v>0.3</v>
      </c>
      <c r="FA17" s="1">
        <f t="shared" si="31"/>
        <v>0.3</v>
      </c>
      <c r="FB17" s="1">
        <f t="shared" si="31"/>
        <v>0.3</v>
      </c>
      <c r="FC17" s="1">
        <f t="shared" si="31"/>
        <v>0.3</v>
      </c>
      <c r="FD17" s="1">
        <f t="shared" si="31"/>
        <v>0.3</v>
      </c>
      <c r="FE17" s="1">
        <f t="shared" si="31"/>
        <v>0.3</v>
      </c>
      <c r="FF17" s="1">
        <f t="shared" si="31"/>
        <v>0.3</v>
      </c>
      <c r="FH17" s="162">
        <f t="shared" si="32"/>
        <v>4.8170472361847905E-2</v>
      </c>
    </row>
    <row r="18" spans="1:164" ht="18.75" customHeight="1">
      <c r="A18" s="243" t="s">
        <v>222</v>
      </c>
      <c r="B18" s="246"/>
      <c r="C18" s="156">
        <f t="shared" si="5"/>
        <v>-0.33</v>
      </c>
      <c r="D18" s="198">
        <v>1</v>
      </c>
      <c r="E18" s="248">
        <f t="shared" si="6"/>
        <v>4.5521555407352698E-2</v>
      </c>
      <c r="F18" s="249">
        <f t="shared" si="7"/>
        <v>2.4021832057444126E-2</v>
      </c>
      <c r="G18" s="248">
        <f t="shared" si="8"/>
        <v>2.0673871547567169E-2</v>
      </c>
      <c r="H18" s="249">
        <f t="shared" si="9"/>
        <v>2.484768385978553E-2</v>
      </c>
      <c r="I18" s="253">
        <f t="shared" si="10"/>
        <v>0.36470606691235563</v>
      </c>
      <c r="J18" s="254">
        <f t="shared" si="11"/>
        <v>3.2740850049506554E-2</v>
      </c>
      <c r="K18" s="248">
        <f t="shared" si="12"/>
        <v>0.39108320303054178</v>
      </c>
      <c r="L18" s="249">
        <f t="shared" si="13"/>
        <v>-2.6377136118186151E-2</v>
      </c>
      <c r="M18" s="250"/>
      <c r="N18" s="24">
        <v>-1</v>
      </c>
      <c r="O18" s="248">
        <f t="shared" si="33"/>
        <v>-4.0530677056868303E-2</v>
      </c>
      <c r="P18" s="251">
        <f t="shared" si="34"/>
        <v>-4.0530677056868303E-2</v>
      </c>
      <c r="Q18" s="248">
        <f t="shared" si="14"/>
        <v>-7.4515365072501005E-2</v>
      </c>
      <c r="R18" s="251">
        <f t="shared" si="35"/>
        <v>-7.4515365072501005E-2</v>
      </c>
      <c r="S18" s="250"/>
      <c r="T18" s="24">
        <v>-1</v>
      </c>
      <c r="U18" s="248">
        <f t="shared" si="15"/>
        <v>0.43531495690450694</v>
      </c>
      <c r="V18" s="252">
        <f t="shared" si="16"/>
        <v>0.43531495690450694</v>
      </c>
      <c r="W18" s="248">
        <f t="shared" si="36"/>
        <v>-0.1997844980101543</v>
      </c>
      <c r="X18" s="252">
        <f t="shared" si="17"/>
        <v>-0.1997844980101543</v>
      </c>
      <c r="Y18" s="248">
        <f t="shared" si="37"/>
        <v>-4.8192771084337394E-2</v>
      </c>
      <c r="Z18" s="252">
        <f t="shared" si="18"/>
        <v>-4.8192771084337394E-2</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VLOOKUP($A18,historia!$A$5:$DD$24,+HLOOKUP(AP$2,historia!$A$3:$EC$4,2,FALSE),FALSE)</f>
        <v>1</v>
      </c>
      <c r="AQ18" s="28">
        <f>VLOOKUP($A18,historia!$A$5:$DD$24,+HLOOKUP(AQ$2,historia!$A$3:$EC$4,2,FALSE),FALSE)</f>
        <v>1</v>
      </c>
      <c r="AR18" s="28">
        <f>VLOOKUP($A18,historia!$A$5:$DD$24,+HLOOKUP(AR$2,historia!$A$3:$EC$4,2,FALSE),FALSE)</f>
        <v>2</v>
      </c>
      <c r="AS18" s="28">
        <f>VLOOKUP($A18,historia!$A$5:$DD$24,+HLOOKUP(AS$2,historia!$A$3:$EC$4,2,FALSE),FALSE)</f>
        <v>2</v>
      </c>
      <c r="AT18" s="58">
        <f>VLOOKUP($A18,historia!$A$5:$DD$24,+HLOOKUP(AT$2,historia!$A$3:$EC$4,2,FALSE),FALSE)</f>
        <v>2</v>
      </c>
      <c r="AU18" s="58">
        <f>VLOOKUP($A18,historia!$A$5:$DD$24,+HLOOKUP(AU$2,historia!$A$3:$EC$4,2,FALSE),FALSE)</f>
        <v>2</v>
      </c>
      <c r="AV18" s="58">
        <f>VLOOKUP($A18,historia!$A$5:$DD$24,+HLOOKUP(AV$2,historia!$A$3:$EC$4,2,FALSE),FALSE)</f>
        <v>2</v>
      </c>
      <c r="AW18" s="58">
        <f>VLOOKUP($A18,historia!$A$5:$DD$24,+HLOOKUP(AW$2,historia!$A$3:$EC$4,2,FALSE),FALSE)</f>
        <v>2</v>
      </c>
      <c r="AX18" s="58">
        <f>VLOOKUP($A18,historia!$A$5:$DD$24,+HLOOKUP(AX$2,historia!$A$3:$EC$4,2,FALSE),FALSE)</f>
        <v>2</v>
      </c>
      <c r="AY18" s="58">
        <f>VLOOKUP($A18,historia!$A$5:$DD$24,+HLOOKUP(AY$2,historia!$A$3:$EC$4,2,FALSE),FALSE)</f>
        <v>2</v>
      </c>
      <c r="AZ18" s="58">
        <f>VLOOKUP($A18,historia!$A$5:$DD$24,+HLOOKUP(AZ$2,historia!$A$3:$EC$4,2,FALSE),FALSE)</f>
        <v>2</v>
      </c>
      <c r="BA18" s="58">
        <f>VLOOKUP($A18,historia!$A$5:$DG$24,+HLOOKUP(BA$2,historia!$A$3:$EC$4,2,FALSE),FALSE)</f>
        <v>2</v>
      </c>
      <c r="BB18" s="58"/>
      <c r="BC18" s="286">
        <v>2</v>
      </c>
      <c r="BD18" t="str">
        <f t="shared" si="19"/>
        <v>Ovino</v>
      </c>
      <c r="BE18">
        <f>+datos!BU1</f>
        <v>73</v>
      </c>
      <c r="BF18" s="2" t="str">
        <f t="shared" si="4"/>
        <v>$/kg</v>
      </c>
      <c r="BG18" s="2">
        <f t="shared" si="4"/>
        <v>115785.859188</v>
      </c>
      <c r="BH18" s="2">
        <f t="shared" si="4"/>
        <v>110744.59305900001</v>
      </c>
      <c r="BI18" s="2">
        <f t="shared" si="4"/>
        <v>84843.074999999997</v>
      </c>
      <c r="BK18" s="1">
        <f>+datos!EL1</f>
        <v>142</v>
      </c>
      <c r="BL18" s="1">
        <f t="shared" si="20"/>
        <v>11482381</v>
      </c>
      <c r="BM18" s="1">
        <f t="shared" si="20"/>
        <v>11967429</v>
      </c>
      <c r="BO18" s="1">
        <f>+datos!GS1</f>
        <v>201</v>
      </c>
      <c r="BP18" s="1">
        <f t="shared" si="21"/>
        <v>32872.769999999997</v>
      </c>
      <c r="BQ18" s="1">
        <f t="shared" si="21"/>
        <v>35519.519999999997</v>
      </c>
      <c r="BS18" s="1">
        <f>+datos!KI1</f>
        <v>295</v>
      </c>
      <c r="BT18" s="1">
        <f t="shared" si="38"/>
        <v>316.47301672999998</v>
      </c>
      <c r="BU18" s="1">
        <f t="shared" si="39"/>
        <v>220.49029392999998</v>
      </c>
      <c r="BW18" s="1">
        <f>+datos!LN1</f>
        <v>326</v>
      </c>
      <c r="BX18" s="2">
        <f t="shared" si="22"/>
        <v>1.9726336799999999</v>
      </c>
      <c r="BY18" s="2">
        <f t="shared" si="23"/>
        <v>2.4651280500000006</v>
      </c>
      <c r="CA18" s="1">
        <f>+datos!JA1</f>
        <v>261</v>
      </c>
      <c r="CB18" s="1">
        <f t="shared" si="24"/>
        <v>3555</v>
      </c>
      <c r="CC18" s="1">
        <f t="shared" si="25"/>
        <v>3735</v>
      </c>
      <c r="CD18" s="1"/>
      <c r="CE18">
        <f>+datos!DI1</f>
        <v>113</v>
      </c>
      <c r="CF18" s="2">
        <f t="shared" si="26"/>
        <v>14631.260789606358</v>
      </c>
      <c r="CG18" s="2">
        <f t="shared" si="26"/>
        <v>14334.902849449974</v>
      </c>
      <c r="CH18" s="2">
        <f t="shared" si="26"/>
        <v>10517.890488312598</v>
      </c>
      <c r="CI18" s="1"/>
      <c r="CK18" s="1">
        <f t="shared" si="27"/>
        <v>33.523126529999999</v>
      </c>
      <c r="CL18" s="1">
        <f t="shared" si="27"/>
        <v>37.632095870000001</v>
      </c>
      <c r="CM18" s="1">
        <f t="shared" si="27"/>
        <v>34.165160209999996</v>
      </c>
      <c r="CN18" s="1">
        <f t="shared" si="27"/>
        <v>32.255325069999998</v>
      </c>
      <c r="CO18" s="1">
        <f t="shared" si="27"/>
        <v>31.916470830000002</v>
      </c>
      <c r="CP18" s="1">
        <f t="shared" si="27"/>
        <v>27.303396169999999</v>
      </c>
      <c r="CQ18" s="1">
        <f t="shared" si="27"/>
        <v>22.774238799999999</v>
      </c>
      <c r="CR18" s="1">
        <f t="shared" si="27"/>
        <v>21.077032079999999</v>
      </c>
      <c r="CS18" s="1">
        <f t="shared" si="27"/>
        <v>19.550070639999998</v>
      </c>
      <c r="CT18" s="1">
        <f t="shared" si="27"/>
        <v>17.8919189</v>
      </c>
      <c r="CU18" s="1">
        <f t="shared" si="27"/>
        <v>19.636014689999996</v>
      </c>
      <c r="CV18" s="1">
        <f t="shared" si="27"/>
        <v>18.748166940000001</v>
      </c>
      <c r="CW18" s="1">
        <f t="shared" si="27"/>
        <v>21.131437869999999</v>
      </c>
      <c r="CX18" s="1">
        <f t="shared" si="27"/>
        <v>23.746863359999999</v>
      </c>
      <c r="CY18" s="1">
        <f t="shared" si="27"/>
        <v>18.662799830000001</v>
      </c>
      <c r="CZ18" s="1">
        <f t="shared" si="27"/>
        <v>31.610464650000004</v>
      </c>
      <c r="DA18" s="1">
        <f t="shared" si="28"/>
        <v>14.881609229999999</v>
      </c>
      <c r="DB18" s="1">
        <f t="shared" si="28"/>
        <v>18.538380959999998</v>
      </c>
      <c r="DC18" s="1">
        <f t="shared" si="28"/>
        <v>15.79353798</v>
      </c>
      <c r="DD18" s="1">
        <f t="shared" si="28"/>
        <v>15.390557059999999</v>
      </c>
      <c r="DE18" s="1">
        <f t="shared" si="28"/>
        <v>12.657815750000001</v>
      </c>
      <c r="DF18" s="1">
        <f t="shared" si="28"/>
        <v>13.430479930000001</v>
      </c>
      <c r="DG18" s="1">
        <f t="shared" si="28"/>
        <v>15.60716012</v>
      </c>
      <c r="DH18" s="1">
        <f t="shared" si="28"/>
        <v>19.03918719</v>
      </c>
      <c r="DJ18" s="1">
        <f t="shared" si="29"/>
        <v>0.32285518000000002</v>
      </c>
      <c r="DK18" s="1">
        <f t="shared" si="29"/>
        <v>0.15590026000000001</v>
      </c>
      <c r="DL18" s="1">
        <f t="shared" si="29"/>
        <v>0.18636467000000001</v>
      </c>
      <c r="DM18" s="1">
        <f t="shared" si="29"/>
        <v>0.25499293999999995</v>
      </c>
      <c r="DN18" s="1">
        <f t="shared" si="29"/>
        <v>0.11824628</v>
      </c>
      <c r="DO18" s="1">
        <f t="shared" si="29"/>
        <v>0.37141849000000005</v>
      </c>
      <c r="DP18" s="1">
        <f t="shared" si="29"/>
        <v>4.9819790000000003E-2</v>
      </c>
      <c r="DQ18" s="1">
        <f t="shared" si="29"/>
        <v>5.7726630000000001E-2</v>
      </c>
      <c r="DR18" s="1">
        <f t="shared" si="29"/>
        <v>0.12164886</v>
      </c>
      <c r="DS18" s="1">
        <f t="shared" si="29"/>
        <v>6.2847730000000004E-2</v>
      </c>
      <c r="DT18" s="1">
        <f t="shared" si="29"/>
        <v>7.1441070000000009E-2</v>
      </c>
      <c r="DU18" s="1">
        <f t="shared" si="29"/>
        <v>0.19937177999999997</v>
      </c>
      <c r="DV18" s="1">
        <f t="shared" si="29"/>
        <v>0.18211829000000002</v>
      </c>
      <c r="DW18" s="1">
        <f t="shared" si="29"/>
        <v>0.19639201000000001</v>
      </c>
      <c r="DX18" s="1">
        <f t="shared" si="29"/>
        <v>0.15047392000000001</v>
      </c>
      <c r="DY18" s="1">
        <f t="shared" si="29"/>
        <v>0.19393855000000002</v>
      </c>
      <c r="DZ18" s="1">
        <f t="shared" si="30"/>
        <v>0.16347327</v>
      </c>
      <c r="EA18" s="1">
        <f t="shared" si="30"/>
        <v>0.18164933</v>
      </c>
      <c r="EB18" s="1">
        <f t="shared" si="30"/>
        <v>0.25055533999999996</v>
      </c>
      <c r="EC18" s="1">
        <f t="shared" si="30"/>
        <v>0.29342396000000004</v>
      </c>
      <c r="ED18" s="1">
        <f t="shared" si="30"/>
        <v>0.26088905000000001</v>
      </c>
      <c r="EE18" s="1">
        <f t="shared" si="30"/>
        <v>0.18624962</v>
      </c>
      <c r="EF18" s="1">
        <f t="shared" si="30"/>
        <v>0.1577527</v>
      </c>
      <c r="EG18" s="1">
        <f t="shared" si="30"/>
        <v>0.24821200999999998</v>
      </c>
      <c r="EI18" s="14">
        <f t="shared" si="40"/>
        <v>3555</v>
      </c>
      <c r="EJ18" s="14">
        <f t="shared" si="40"/>
        <v>3555</v>
      </c>
      <c r="EK18" s="1">
        <f t="shared" si="40"/>
        <v>3555</v>
      </c>
      <c r="EL18" s="1">
        <f t="shared" si="40"/>
        <v>3555</v>
      </c>
      <c r="EM18" s="1">
        <f t="shared" si="40"/>
        <v>3555</v>
      </c>
      <c r="EN18" s="1">
        <f t="shared" si="40"/>
        <v>3555</v>
      </c>
      <c r="EO18" s="1">
        <f t="shared" si="40"/>
        <v>3555</v>
      </c>
      <c r="EP18" s="1">
        <f t="shared" si="40"/>
        <v>3555</v>
      </c>
      <c r="EQ18" s="1">
        <f t="shared" si="40"/>
        <v>3555</v>
      </c>
      <c r="ER18" s="1">
        <f t="shared" si="40"/>
        <v>3555</v>
      </c>
      <c r="ES18" s="1">
        <f t="shared" si="40"/>
        <v>3555</v>
      </c>
      <c r="ET18" s="1">
        <f t="shared" si="40"/>
        <v>3555</v>
      </c>
      <c r="EU18" s="1">
        <f t="shared" si="40"/>
        <v>3735</v>
      </c>
      <c r="EV18" s="1">
        <f t="shared" si="40"/>
        <v>2813</v>
      </c>
      <c r="EW18" s="1">
        <f t="shared" si="40"/>
        <v>2813</v>
      </c>
      <c r="EX18" s="1">
        <f t="shared" si="40"/>
        <v>2813</v>
      </c>
      <c r="EY18" s="1">
        <f t="shared" si="31"/>
        <v>2813</v>
      </c>
      <c r="EZ18" s="1">
        <f t="shared" si="31"/>
        <v>2813</v>
      </c>
      <c r="FA18" s="1">
        <f t="shared" si="31"/>
        <v>2813</v>
      </c>
      <c r="FB18" s="1">
        <f t="shared" si="31"/>
        <v>2813</v>
      </c>
      <c r="FC18" s="1">
        <f t="shared" si="31"/>
        <v>2813</v>
      </c>
      <c r="FD18" s="1">
        <f t="shared" si="31"/>
        <v>2813</v>
      </c>
      <c r="FE18" s="1">
        <f t="shared" si="31"/>
        <v>2813</v>
      </c>
      <c r="FF18" s="1">
        <f t="shared" si="31"/>
        <v>2813</v>
      </c>
      <c r="FH18" s="162">
        <f t="shared" si="32"/>
        <v>-2.6377136118186151E-2</v>
      </c>
    </row>
    <row r="19" spans="1:164" ht="18.75" customHeight="1">
      <c r="A19" s="244" t="s">
        <v>66</v>
      </c>
      <c r="B19" s="247"/>
      <c r="C19" s="228">
        <f t="shared" si="5"/>
        <v>0</v>
      </c>
      <c r="D19" s="229">
        <v>-1</v>
      </c>
      <c r="E19" s="253">
        <f t="shared" si="6"/>
        <v>0.30714955328608151</v>
      </c>
      <c r="F19" s="254">
        <f t="shared" si="7"/>
        <v>0.28564982993617294</v>
      </c>
      <c r="G19" s="253">
        <f t="shared" si="8"/>
        <v>4.833883035549702E-2</v>
      </c>
      <c r="H19" s="254">
        <f t="shared" si="9"/>
        <v>0.25881072293058449</v>
      </c>
      <c r="I19" s="253">
        <f t="shared" si="10"/>
        <v>1.1202414725869234</v>
      </c>
      <c r="J19" s="254">
        <f t="shared" si="11"/>
        <v>0.78827625572407434</v>
      </c>
      <c r="K19" s="253">
        <f t="shared" si="12"/>
        <v>0.72838287924804024</v>
      </c>
      <c r="L19" s="254">
        <f t="shared" si="13"/>
        <v>0.39185859333888318</v>
      </c>
      <c r="M19" s="255"/>
      <c r="N19" s="256">
        <v>0</v>
      </c>
      <c r="O19" s="253">
        <f t="shared" si="33"/>
        <v>-0.1166932970112895</v>
      </c>
      <c r="P19" s="257">
        <f t="shared" si="34"/>
        <v>-0.1166932970112895</v>
      </c>
      <c r="Q19" s="253">
        <f t="shared" si="14"/>
        <v>0</v>
      </c>
      <c r="R19" s="257">
        <v>-0.01</v>
      </c>
      <c r="S19" s="255"/>
      <c r="T19" s="256">
        <v>1</v>
      </c>
      <c r="U19" s="253">
        <f t="shared" si="15"/>
        <v>-5.4420323420196204E-2</v>
      </c>
      <c r="V19" s="258">
        <f t="shared" si="16"/>
        <v>-5.4420323420196204E-2</v>
      </c>
      <c r="W19" s="253">
        <f t="shared" si="36"/>
        <v>2.4032339178966522E-2</v>
      </c>
      <c r="X19" s="258">
        <f t="shared" si="17"/>
        <v>2.4032339178966522E-2</v>
      </c>
      <c r="Y19" s="253"/>
      <c r="Z19" s="258">
        <f t="shared" si="18"/>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VLOOKUP($A19,historia!$A$5:$DD$24,+HLOOKUP(AP$2,historia!$A$3:$EC$4,2,FALSE),FALSE)</f>
        <v>4</v>
      </c>
      <c r="AQ19" s="28">
        <f>VLOOKUP($A19,historia!$A$5:$DD$24,+HLOOKUP(AQ$2,historia!$A$3:$EC$4,2,FALSE),FALSE)</f>
        <v>4</v>
      </c>
      <c r="AR19" s="28">
        <f>VLOOKUP($A19,historia!$A$5:$DD$24,+HLOOKUP(AR$2,historia!$A$3:$EC$4,2,FALSE),FALSE)</f>
        <v>5</v>
      </c>
      <c r="AS19" s="28">
        <f>VLOOKUP($A19,historia!$A$5:$DD$24,+HLOOKUP(AS$2,historia!$A$3:$EC$4,2,FALSE),FALSE)</f>
        <v>4</v>
      </c>
      <c r="AT19" s="58">
        <f>VLOOKUP($A19,historia!$A$5:$DD$24,+HLOOKUP(AT$2,historia!$A$3:$EC$4,2,FALSE),FALSE)</f>
        <v>4</v>
      </c>
      <c r="AU19" s="58">
        <f>VLOOKUP($A19,historia!$A$5:$DD$24,+HLOOKUP(AU$2,historia!$A$3:$EC$4,2,FALSE),FALSE)</f>
        <v>4</v>
      </c>
      <c r="AV19" s="58">
        <f>VLOOKUP($A19,historia!$A$5:$DD$24,+HLOOKUP(AV$2,historia!$A$3:$EC$4,2,FALSE),FALSE)</f>
        <v>4</v>
      </c>
      <c r="AW19" s="58">
        <f>VLOOKUP($A19,historia!$A$5:$DD$24,+HLOOKUP(AW$2,historia!$A$3:$EC$4,2,FALSE),FALSE)</f>
        <v>4</v>
      </c>
      <c r="AX19" s="58">
        <f>VLOOKUP($A19,historia!$A$5:$DD$24,+HLOOKUP(AX$2,historia!$A$3:$EC$4,2,FALSE),FALSE)</f>
        <v>4</v>
      </c>
      <c r="AY19" s="58">
        <f>VLOOKUP($A19,historia!$A$5:$DD$24,+HLOOKUP(AY$2,historia!$A$3:$EC$4,2,FALSE),FALSE)</f>
        <v>4</v>
      </c>
      <c r="AZ19" s="58">
        <f>VLOOKUP($A19,historia!$A$5:$DD$24,+HLOOKUP(AZ$2,historia!$A$3:$EC$4,2,FALSE),FALSE)</f>
        <v>3</v>
      </c>
      <c r="BA19" s="58">
        <f>VLOOKUP($A19,historia!$A$5:$DG$24,+HLOOKUP(BA$2,historia!$A$3:$EC$4,2,FALSE),FALSE)</f>
        <v>3</v>
      </c>
      <c r="BB19" s="58"/>
      <c r="BC19" s="286">
        <v>3</v>
      </c>
      <c r="BD19" t="str">
        <f t="shared" si="19"/>
        <v>Papa</v>
      </c>
      <c r="BE19">
        <f>+datos!AV1</f>
        <v>48</v>
      </c>
      <c r="BF19" s="2" t="str">
        <f t="shared" si="4"/>
        <v>$/bolsa 20kg</v>
      </c>
      <c r="BG19" s="2">
        <f t="shared" si="4"/>
        <v>12702.173913043478</v>
      </c>
      <c r="BH19" s="2">
        <f t="shared" si="4"/>
        <v>9717.460317460318</v>
      </c>
      <c r="BI19" s="2">
        <f t="shared" si="4"/>
        <v>5990.909090909091</v>
      </c>
      <c r="BK19" s="1">
        <f>+datos!EZ1</f>
        <v>156</v>
      </c>
      <c r="BL19" s="1">
        <f t="shared" si="20"/>
        <v>33722</v>
      </c>
      <c r="BM19" s="1">
        <f t="shared" si="20"/>
        <v>38177</v>
      </c>
      <c r="BO19" s="1">
        <f>+datos!GT1</f>
        <v>202</v>
      </c>
      <c r="BP19" s="1">
        <f t="shared" si="21"/>
        <v>2111561</v>
      </c>
      <c r="BQ19" s="1">
        <f t="shared" si="21"/>
        <v>2111561</v>
      </c>
      <c r="BS19" s="1">
        <f>+datos!JO1</f>
        <v>275</v>
      </c>
      <c r="BT19" s="1">
        <f t="shared" si="38"/>
        <v>380.19794866000007</v>
      </c>
      <c r="BU19" s="1">
        <f t="shared" si="39"/>
        <v>402.07923042000004</v>
      </c>
      <c r="BW19" s="1">
        <f>+datos!KT1</f>
        <v>306</v>
      </c>
      <c r="BX19" s="2">
        <f t="shared" si="22"/>
        <v>15.062212280000001</v>
      </c>
      <c r="BY19" s="2">
        <f t="shared" si="23"/>
        <v>14.708727160000002</v>
      </c>
      <c r="CA19" s="1">
        <f>+datos!JB1</f>
        <v>262</v>
      </c>
      <c r="CB19" s="1">
        <f t="shared" si="24"/>
        <v>35.950000000000003</v>
      </c>
      <c r="CC19" s="1">
        <f t="shared" si="25"/>
        <v>35.950000000000003</v>
      </c>
      <c r="CD19" s="1"/>
      <c r="CE19">
        <f>+datos!CI1</f>
        <v>87</v>
      </c>
      <c r="CF19" s="2">
        <f t="shared" si="26"/>
        <v>17021.795191864381</v>
      </c>
      <c r="CG19" s="2">
        <f t="shared" si="26"/>
        <v>16236.921402684478</v>
      </c>
      <c r="CH19" s="2">
        <f t="shared" si="26"/>
        <v>9848.3937767712541</v>
      </c>
      <c r="CI19" s="1"/>
      <c r="CK19" s="1">
        <f t="shared" si="27"/>
        <v>33.508485159999992</v>
      </c>
      <c r="CL19" s="1">
        <f t="shared" si="27"/>
        <v>34.584187569999997</v>
      </c>
      <c r="CM19" s="1">
        <f t="shared" si="27"/>
        <v>32.026461749999996</v>
      </c>
      <c r="CN19" s="1">
        <f t="shared" si="27"/>
        <v>27.540207300000002</v>
      </c>
      <c r="CO19" s="1">
        <f t="shared" si="27"/>
        <v>27.589055210000001</v>
      </c>
      <c r="CP19" s="1">
        <f t="shared" si="27"/>
        <v>34.54170027</v>
      </c>
      <c r="CQ19" s="1">
        <f t="shared" si="27"/>
        <v>29.033049210000001</v>
      </c>
      <c r="CR19" s="1">
        <f t="shared" si="27"/>
        <v>32.137001479999995</v>
      </c>
      <c r="CS19" s="1">
        <f t="shared" si="27"/>
        <v>31.771959519999999</v>
      </c>
      <c r="CT19" s="1">
        <f t="shared" si="27"/>
        <v>30.172516640000001</v>
      </c>
      <c r="CU19" s="1">
        <f t="shared" si="27"/>
        <v>33.254909299999994</v>
      </c>
      <c r="CV19" s="1">
        <f t="shared" si="27"/>
        <v>34.03841525</v>
      </c>
      <c r="CW19" s="1">
        <f t="shared" si="27"/>
        <v>32.790200410000004</v>
      </c>
      <c r="CX19" s="1">
        <f t="shared" si="27"/>
        <v>33.403797109999999</v>
      </c>
      <c r="CY19" s="1">
        <f t="shared" si="27"/>
        <v>26.866894470000005</v>
      </c>
      <c r="CZ19" s="1">
        <f t="shared" si="27"/>
        <v>30.959664470000003</v>
      </c>
      <c r="DA19" s="1">
        <f t="shared" si="28"/>
        <v>28.030286839999999</v>
      </c>
      <c r="DB19" s="1">
        <f t="shared" si="28"/>
        <v>35.227965569999995</v>
      </c>
      <c r="DC19" s="1">
        <f t="shared" si="28"/>
        <v>43.313690020000003</v>
      </c>
      <c r="DD19" s="1">
        <f t="shared" si="28"/>
        <v>38.158354570000007</v>
      </c>
      <c r="DE19" s="1">
        <f t="shared" si="28"/>
        <v>36.879687310000008</v>
      </c>
      <c r="DF19" s="1">
        <f t="shared" si="28"/>
        <v>30.584450140000001</v>
      </c>
      <c r="DG19" s="1">
        <f t="shared" si="28"/>
        <v>34.87822036</v>
      </c>
      <c r="DH19" s="1">
        <f t="shared" si="28"/>
        <v>30.986019150000001</v>
      </c>
      <c r="DJ19" s="1">
        <f t="shared" si="29"/>
        <v>1.05636789</v>
      </c>
      <c r="DK19" s="1">
        <f t="shared" si="29"/>
        <v>1.7409876799999999</v>
      </c>
      <c r="DL19" s="1">
        <f t="shared" si="29"/>
        <v>2.0004345900000002</v>
      </c>
      <c r="DM19" s="1">
        <f t="shared" si="29"/>
        <v>1.0022204700000001</v>
      </c>
      <c r="DN19" s="1">
        <f t="shared" si="29"/>
        <v>2.2861269800000001</v>
      </c>
      <c r="DO19" s="1">
        <f t="shared" si="29"/>
        <v>1.06092366</v>
      </c>
      <c r="DP19" s="1">
        <f t="shared" si="29"/>
        <v>0.94273901999999998</v>
      </c>
      <c r="DQ19" s="1">
        <f t="shared" si="29"/>
        <v>1.1078551999999999</v>
      </c>
      <c r="DR19" s="1">
        <f t="shared" si="29"/>
        <v>1.1250931100000001</v>
      </c>
      <c r="DS19" s="1">
        <f t="shared" si="29"/>
        <v>0.74439149999999998</v>
      </c>
      <c r="DT19" s="1">
        <f t="shared" si="29"/>
        <v>1.2444918700000001</v>
      </c>
      <c r="DU19" s="1">
        <f t="shared" si="29"/>
        <v>0.75058031000000003</v>
      </c>
      <c r="DV19" s="1">
        <f t="shared" si="29"/>
        <v>0.8744752400000001</v>
      </c>
      <c r="DW19" s="1">
        <f t="shared" si="29"/>
        <v>0.62052411000000007</v>
      </c>
      <c r="DX19" s="1">
        <f t="shared" si="29"/>
        <v>1.19924761</v>
      </c>
      <c r="DY19" s="1">
        <f t="shared" si="29"/>
        <v>0.86551083000000006</v>
      </c>
      <c r="DZ19" s="1">
        <f t="shared" si="30"/>
        <v>0.79831189000000002</v>
      </c>
      <c r="EA19" s="1">
        <f t="shared" si="30"/>
        <v>1.1318278900000001</v>
      </c>
      <c r="EB19" s="1">
        <f t="shared" si="30"/>
        <v>1.8442369199999997</v>
      </c>
      <c r="EC19" s="1">
        <f t="shared" si="30"/>
        <v>1.0529063700000001</v>
      </c>
      <c r="ED19" s="1">
        <f t="shared" si="30"/>
        <v>2.0286618900000004</v>
      </c>
      <c r="EE19" s="1">
        <f t="shared" si="30"/>
        <v>0.79104531999999994</v>
      </c>
      <c r="EF19" s="1">
        <f t="shared" si="30"/>
        <v>1.6294275100000002</v>
      </c>
      <c r="EG19" s="1">
        <f t="shared" si="30"/>
        <v>1.8725515799999999</v>
      </c>
      <c r="EI19" s="14">
        <f t="shared" si="40"/>
        <v>35.950000000000003</v>
      </c>
      <c r="EJ19" s="14">
        <f t="shared" si="40"/>
        <v>35.950000000000003</v>
      </c>
      <c r="EK19" s="1">
        <f t="shared" si="40"/>
        <v>35.950000000000003</v>
      </c>
      <c r="EL19" s="1">
        <f t="shared" si="40"/>
        <v>35.950000000000003</v>
      </c>
      <c r="EM19" s="1">
        <f t="shared" si="40"/>
        <v>35.950000000000003</v>
      </c>
      <c r="EN19" s="1">
        <f t="shared" si="40"/>
        <v>35.950000000000003</v>
      </c>
      <c r="EO19" s="1">
        <f t="shared" si="40"/>
        <v>35.950000000000003</v>
      </c>
      <c r="EP19" s="1">
        <f t="shared" si="40"/>
        <v>35.950000000000003</v>
      </c>
      <c r="EQ19" s="1">
        <f t="shared" si="40"/>
        <v>35.950000000000003</v>
      </c>
      <c r="ER19" s="1">
        <f t="shared" si="40"/>
        <v>35.950000000000003</v>
      </c>
      <c r="ES19" s="1">
        <f t="shared" si="40"/>
        <v>35.950000000000003</v>
      </c>
      <c r="ET19" s="1">
        <f t="shared" si="40"/>
        <v>35.950000000000003</v>
      </c>
      <c r="EU19" s="1">
        <f t="shared" si="40"/>
        <v>35.950000000000003</v>
      </c>
      <c r="EV19" s="1">
        <f t="shared" si="40"/>
        <v>35.950000000000003</v>
      </c>
      <c r="EW19" s="1">
        <f t="shared" si="40"/>
        <v>35.950000000000003</v>
      </c>
      <c r="EX19" s="1">
        <f t="shared" si="40"/>
        <v>35.950000000000003</v>
      </c>
      <c r="EY19" s="1">
        <f t="shared" si="31"/>
        <v>35.950000000000003</v>
      </c>
      <c r="EZ19" s="1">
        <f t="shared" si="31"/>
        <v>35.950000000000003</v>
      </c>
      <c r="FA19" s="1">
        <f t="shared" si="31"/>
        <v>35.950000000000003</v>
      </c>
      <c r="FB19" s="1">
        <f t="shared" si="31"/>
        <v>35.950000000000003</v>
      </c>
      <c r="FC19" s="1">
        <f t="shared" si="31"/>
        <v>35.950000000000003</v>
      </c>
      <c r="FD19" s="1">
        <f t="shared" si="31"/>
        <v>35.950000000000003</v>
      </c>
      <c r="FE19" s="1">
        <f t="shared" si="31"/>
        <v>35.950000000000003</v>
      </c>
      <c r="FF19" s="1">
        <f t="shared" si="31"/>
        <v>35.950000000000003</v>
      </c>
      <c r="FH19" s="162">
        <f t="shared" si="32"/>
        <v>0.39185859333888318</v>
      </c>
    </row>
    <row r="20" spans="1:164" ht="17.399999999999999" customHeight="1">
      <c r="A20" s="263" t="s">
        <v>218</v>
      </c>
      <c r="B20" s="246"/>
      <c r="C20" s="156">
        <f t="shared" si="5"/>
        <v>0</v>
      </c>
      <c r="D20" s="198">
        <v>-1</v>
      </c>
      <c r="E20" s="248">
        <f t="shared" si="6"/>
        <v>4.7353109703449192E-2</v>
      </c>
      <c r="F20" s="249">
        <f t="shared" si="7"/>
        <v>2.5853386353540619E-2</v>
      </c>
      <c r="G20" s="248">
        <f t="shared" si="8"/>
        <v>1.0413901412604343E-2</v>
      </c>
      <c r="H20" s="249">
        <f t="shared" si="9"/>
        <v>3.6939208290844849E-2</v>
      </c>
      <c r="I20" s="248">
        <f t="shared" si="10"/>
        <v>0.49574450098906109</v>
      </c>
      <c r="J20" s="249">
        <f t="shared" si="11"/>
        <v>0.16377928412621201</v>
      </c>
      <c r="K20" s="248">
        <f t="shared" si="12"/>
        <v>0.48399583423306569</v>
      </c>
      <c r="L20" s="249">
        <f t="shared" si="13"/>
        <v>1.1748666755995396E-2</v>
      </c>
      <c r="M20" s="250"/>
      <c r="N20" s="24">
        <v>-1</v>
      </c>
      <c r="O20" s="248">
        <f t="shared" si="33"/>
        <v>0</v>
      </c>
      <c r="P20" s="251">
        <f t="shared" si="34"/>
        <v>0</v>
      </c>
      <c r="Q20" s="248">
        <f t="shared" si="14"/>
        <v>-6.8234814927956799E-2</v>
      </c>
      <c r="R20" s="251">
        <f t="shared" si="35"/>
        <v>-6.8234814927956799E-2</v>
      </c>
      <c r="S20" s="250"/>
      <c r="T20" s="24">
        <v>2</v>
      </c>
      <c r="U20" s="248">
        <f t="shared" si="15"/>
        <v>1.4447549278443494E-2</v>
      </c>
      <c r="V20" s="252">
        <f t="shared" si="16"/>
        <v>1.4447549278443494E-2</v>
      </c>
      <c r="W20" s="248">
        <f t="shared" si="36"/>
        <v>1.5359169413983644</v>
      </c>
      <c r="X20" s="252">
        <f t="shared" si="17"/>
        <v>1.5359169413983644</v>
      </c>
      <c r="Y20" s="248"/>
      <c r="Z20" s="252">
        <f t="shared" si="18"/>
        <v>0</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VLOOKUP($A20,historia!$A$5:$DD$24,+HLOOKUP(AP$2,historia!$A$3:$EC$4,2,FALSE),FALSE)</f>
        <v>3</v>
      </c>
      <c r="AQ20" s="28">
        <f>VLOOKUP($A20,historia!$A$5:$DD$24,+HLOOKUP(AQ$2,historia!$A$3:$EC$4,2,FALSE),FALSE)</f>
        <v>2</v>
      </c>
      <c r="AR20" s="28">
        <f>VLOOKUP($A20,historia!$A$5:$DD$24,+HLOOKUP(AR$2,historia!$A$3:$EC$4,2,FALSE),FALSE)</f>
        <v>2</v>
      </c>
      <c r="AS20" s="28">
        <f>VLOOKUP($A20,historia!$A$5:$DD$24,+HLOOKUP(AS$2,historia!$A$3:$EC$4,2,FALSE),FALSE)</f>
        <v>3</v>
      </c>
      <c r="AT20" s="58">
        <f>VLOOKUP($A20,historia!$A$5:$DD$24,+HLOOKUP(AT$2,historia!$A$3:$EC$4,2,FALSE),FALSE)</f>
        <v>3</v>
      </c>
      <c r="AU20" s="58">
        <f>VLOOKUP($A20,historia!$A$5:$DD$24,+HLOOKUP(AU$2,historia!$A$3:$EC$4,2,FALSE),FALSE)</f>
        <v>3</v>
      </c>
      <c r="AV20" s="58">
        <f>VLOOKUP($A20,historia!$A$5:$DD$24,+HLOOKUP(AV$2,historia!$A$3:$EC$4,2,FALSE),FALSE)</f>
        <v>3</v>
      </c>
      <c r="AW20" s="58">
        <f>VLOOKUP($A20,historia!$A$5:$DD$24,+HLOOKUP(AW$2,historia!$A$3:$EC$4,2,FALSE),FALSE)</f>
        <v>3</v>
      </c>
      <c r="AX20" s="58">
        <f>VLOOKUP($A20,historia!$A$5:$DD$24,+HLOOKUP(AX$2,historia!$A$3:$EC$4,2,FALSE),FALSE)</f>
        <v>3</v>
      </c>
      <c r="AY20" s="58">
        <f>VLOOKUP($A20,historia!$A$5:$DD$24,+HLOOKUP(AY$2,historia!$A$3:$EC$4,2,FALSE),FALSE)</f>
        <v>3</v>
      </c>
      <c r="AZ20" s="58">
        <f>VLOOKUP($A20,historia!$A$5:$DD$24,+HLOOKUP(AZ$2,historia!$A$3:$EC$4,2,FALSE),FALSE)</f>
        <v>3</v>
      </c>
      <c r="BA20" s="58">
        <f>VLOOKUP($A20,historia!$A$5:$DG$24,+HLOOKUP(BA$2,historia!$A$3:$EC$4,2,FALSE),FALSE)</f>
        <v>3</v>
      </c>
      <c r="BB20" s="58"/>
      <c r="BC20" s="286">
        <v>3</v>
      </c>
      <c r="BD20" t="str">
        <f t="shared" si="19"/>
        <v>Peras y Manzanas</v>
      </c>
      <c r="BE20">
        <f>+datos!AP1</f>
        <v>42</v>
      </c>
      <c r="BF20" s="2" t="str">
        <f t="shared" si="4"/>
        <v>$/caja 18kg</v>
      </c>
      <c r="BG20" s="2">
        <f t="shared" si="4"/>
        <v>23281.263157894737</v>
      </c>
      <c r="BH20" s="2">
        <f t="shared" si="4"/>
        <v>22228.666666666668</v>
      </c>
      <c r="BI20" s="2">
        <f t="shared" si="4"/>
        <v>15565</v>
      </c>
      <c r="BK20" s="1">
        <f>+datos!FC1</f>
        <v>159</v>
      </c>
      <c r="BL20" s="1">
        <f t="shared" si="20"/>
        <v>38084</v>
      </c>
      <c r="BM20" s="1">
        <f t="shared" si="20"/>
        <v>38084</v>
      </c>
      <c r="BO20" s="1">
        <f>+datos!GW1</f>
        <v>205</v>
      </c>
      <c r="BP20" s="1">
        <f t="shared" si="21"/>
        <v>732032</v>
      </c>
      <c r="BQ20" s="1">
        <f t="shared" si="21"/>
        <v>785640</v>
      </c>
      <c r="BS20" s="1">
        <f>+datos!LS1</f>
        <v>331</v>
      </c>
      <c r="BT20" s="1">
        <f t="shared" si="38"/>
        <v>433.99055561000006</v>
      </c>
      <c r="BU20" s="1">
        <f t="shared" si="39"/>
        <v>427.8097531200001</v>
      </c>
      <c r="BW20" s="1">
        <f>+datos!LW1</f>
        <v>335</v>
      </c>
      <c r="BX20" s="2">
        <f t="shared" si="22"/>
        <v>8.1755039800000002</v>
      </c>
      <c r="BY20" s="2">
        <f t="shared" si="23"/>
        <v>3.2238847600000002</v>
      </c>
      <c r="CA20" s="1">
        <f>+datos!JC1</f>
        <v>263</v>
      </c>
      <c r="CB20" s="1">
        <f t="shared" si="24"/>
        <v>0</v>
      </c>
      <c r="CC20" s="1">
        <f t="shared" si="25"/>
        <v>0</v>
      </c>
      <c r="CD20" s="1"/>
      <c r="CE20">
        <f>+datos!CS1</f>
        <v>97</v>
      </c>
      <c r="CF20" s="2">
        <f t="shared" si="26"/>
        <v>14608.173498380844</v>
      </c>
      <c r="CG20" s="2">
        <f t="shared" si="26"/>
        <v>14457.613338413057</v>
      </c>
      <c r="CH20" s="2">
        <f t="shared" si="26"/>
        <v>9843.810313612099</v>
      </c>
      <c r="CI20" s="1"/>
      <c r="CK20" s="1">
        <f t="shared" si="27"/>
        <v>44.588875260000009</v>
      </c>
      <c r="CL20" s="1">
        <f t="shared" si="27"/>
        <v>51.060120500000004</v>
      </c>
      <c r="CM20" s="1">
        <f t="shared" si="27"/>
        <v>56.719456929999993</v>
      </c>
      <c r="CN20" s="1">
        <f t="shared" si="27"/>
        <v>49.534875409999998</v>
      </c>
      <c r="CO20" s="1">
        <f t="shared" si="27"/>
        <v>25.805604299999995</v>
      </c>
      <c r="CP20" s="1">
        <f t="shared" si="27"/>
        <v>14.27210653</v>
      </c>
      <c r="CQ20" s="1">
        <f t="shared" si="27"/>
        <v>20.571055439999999</v>
      </c>
      <c r="CR20" s="1">
        <f t="shared" si="27"/>
        <v>24.907231830000001</v>
      </c>
      <c r="CS20" s="1">
        <f t="shared" si="27"/>
        <v>41.046257050000001</v>
      </c>
      <c r="CT20" s="1">
        <f t="shared" si="27"/>
        <v>31.183989080000003</v>
      </c>
      <c r="CU20" s="1">
        <f t="shared" si="27"/>
        <v>31.314835450000004</v>
      </c>
      <c r="CV20" s="1">
        <f t="shared" si="27"/>
        <v>42.986147830000007</v>
      </c>
      <c r="CW20" s="1">
        <f t="shared" si="27"/>
        <v>54.859389430000007</v>
      </c>
      <c r="CX20" s="1">
        <f t="shared" si="27"/>
        <v>51.150985829999996</v>
      </c>
      <c r="CY20" s="1">
        <f t="shared" si="27"/>
        <v>59.173949850000007</v>
      </c>
      <c r="CZ20" s="1">
        <f t="shared" si="27"/>
        <v>46.396857000000011</v>
      </c>
      <c r="DA20" s="1">
        <f t="shared" si="28"/>
        <v>23.934850630000003</v>
      </c>
      <c r="DB20" s="1">
        <f t="shared" si="28"/>
        <v>23.934850630000003</v>
      </c>
      <c r="DC20" s="1">
        <f t="shared" si="28"/>
        <v>23.934850630000003</v>
      </c>
      <c r="DD20" s="1">
        <f t="shared" si="28"/>
        <v>25.188374430000003</v>
      </c>
      <c r="DE20" s="1">
        <f t="shared" si="28"/>
        <v>22.303018159999997</v>
      </c>
      <c r="DF20" s="1">
        <f t="shared" si="28"/>
        <v>14.93334776</v>
      </c>
      <c r="DG20" s="1">
        <f t="shared" si="28"/>
        <v>35.336569390000001</v>
      </c>
      <c r="DH20" s="1">
        <f t="shared" si="28"/>
        <v>46.662709379999995</v>
      </c>
      <c r="DJ20" s="1">
        <f t="shared" si="29"/>
        <v>1.2245926600000001</v>
      </c>
      <c r="DK20" s="1">
        <f t="shared" si="29"/>
        <v>1.4505186299999999</v>
      </c>
      <c r="DL20" s="1">
        <f t="shared" si="29"/>
        <v>0.59532569999999996</v>
      </c>
      <c r="DM20" s="1">
        <f t="shared" si="29"/>
        <v>0.31596546000000003</v>
      </c>
      <c r="DN20" s="1">
        <f t="shared" si="29"/>
        <v>5.1857800000000009E-3</v>
      </c>
      <c r="DO20" s="1">
        <f t="shared" si="29"/>
        <v>0.39547034999999997</v>
      </c>
      <c r="DP20" s="1">
        <f t="shared" si="29"/>
        <v>0.54650961999999992</v>
      </c>
      <c r="DQ20" s="1">
        <f t="shared" si="29"/>
        <v>0.19315473</v>
      </c>
      <c r="DR20" s="1">
        <f t="shared" si="29"/>
        <v>0.43976497000000003</v>
      </c>
      <c r="DS20" s="1">
        <f t="shared" si="29"/>
        <v>0.72520266</v>
      </c>
      <c r="DT20" s="1">
        <f t="shared" si="29"/>
        <v>1.1922353400000001</v>
      </c>
      <c r="DU20" s="1">
        <f t="shared" si="29"/>
        <v>1.0915780799999999</v>
      </c>
      <c r="DV20" s="1">
        <f t="shared" si="29"/>
        <v>0.5667896</v>
      </c>
      <c r="DW20" s="1">
        <f t="shared" si="29"/>
        <v>0.43323378000000001</v>
      </c>
      <c r="DX20" s="1">
        <f t="shared" si="29"/>
        <v>0.20107160000000002</v>
      </c>
      <c r="DY20" s="1">
        <f t="shared" si="29"/>
        <v>4.7323499999999998E-2</v>
      </c>
      <c r="DZ20" s="1">
        <f t="shared" si="30"/>
        <v>0.18245199000000001</v>
      </c>
      <c r="EA20" s="1">
        <f t="shared" si="30"/>
        <v>6.8745290000000001E-2</v>
      </c>
      <c r="EB20" s="1">
        <f t="shared" si="30"/>
        <v>0.21798748000000001</v>
      </c>
      <c r="EC20" s="1">
        <f t="shared" si="30"/>
        <v>7.9820000000000002E-2</v>
      </c>
      <c r="ED20" s="1">
        <f t="shared" si="30"/>
        <v>0.14837025000000001</v>
      </c>
      <c r="EE20" s="1">
        <f t="shared" si="30"/>
        <v>0.3865221499999999</v>
      </c>
      <c r="EF20" s="1">
        <f t="shared" si="30"/>
        <v>0.51794252000000007</v>
      </c>
      <c r="EG20" s="1">
        <f t="shared" si="30"/>
        <v>0.37362660000000003</v>
      </c>
      <c r="EI20" s="14">
        <f t="shared" si="40"/>
        <v>0</v>
      </c>
      <c r="EJ20" s="14">
        <f t="shared" si="40"/>
        <v>0</v>
      </c>
      <c r="EK20" s="1">
        <f t="shared" si="40"/>
        <v>0</v>
      </c>
      <c r="EL20" s="1">
        <f t="shared" si="40"/>
        <v>0</v>
      </c>
      <c r="EM20" s="1">
        <f t="shared" si="40"/>
        <v>0</v>
      </c>
      <c r="EN20" s="1">
        <f t="shared" si="40"/>
        <v>0</v>
      </c>
      <c r="EO20" s="1">
        <f t="shared" si="40"/>
        <v>0</v>
      </c>
      <c r="EP20" s="1">
        <f t="shared" si="40"/>
        <v>0</v>
      </c>
      <c r="EQ20" s="1">
        <f t="shared" si="40"/>
        <v>0</v>
      </c>
      <c r="ER20" s="1">
        <f t="shared" si="40"/>
        <v>0</v>
      </c>
      <c r="ES20" s="1">
        <f t="shared" si="40"/>
        <v>0</v>
      </c>
      <c r="ET20" s="1">
        <f t="shared" si="40"/>
        <v>0</v>
      </c>
      <c r="EU20" s="1">
        <f t="shared" si="40"/>
        <v>0</v>
      </c>
      <c r="EV20" s="1">
        <f t="shared" si="40"/>
        <v>0</v>
      </c>
      <c r="EW20" s="1">
        <f t="shared" si="40"/>
        <v>0</v>
      </c>
      <c r="EX20" s="1">
        <f t="shared" si="40"/>
        <v>0</v>
      </c>
      <c r="EY20" s="1">
        <f t="shared" si="31"/>
        <v>0</v>
      </c>
      <c r="EZ20" s="1">
        <f t="shared" si="31"/>
        <v>0</v>
      </c>
      <c r="FA20" s="1">
        <f t="shared" si="31"/>
        <v>0</v>
      </c>
      <c r="FB20" s="1">
        <f t="shared" si="31"/>
        <v>0</v>
      </c>
      <c r="FC20" s="1">
        <f t="shared" si="31"/>
        <v>0</v>
      </c>
      <c r="FD20" s="1">
        <f t="shared" si="31"/>
        <v>0</v>
      </c>
      <c r="FE20" s="1">
        <f t="shared" si="31"/>
        <v>0</v>
      </c>
      <c r="FF20" s="1">
        <f t="shared" si="31"/>
        <v>0</v>
      </c>
      <c r="FH20" s="162">
        <f t="shared" si="32"/>
        <v>1.1748666755995396E-2</v>
      </c>
    </row>
    <row r="21" spans="1:164" ht="18" customHeight="1">
      <c r="A21" s="244" t="s">
        <v>121</v>
      </c>
      <c r="B21" s="247"/>
      <c r="C21" s="228">
        <f t="shared" si="5"/>
        <v>0</v>
      </c>
      <c r="D21" s="229">
        <v>-2</v>
      </c>
      <c r="E21" s="253">
        <f t="shared" si="6"/>
        <v>-1.7764510130175992E-3</v>
      </c>
      <c r="F21" s="254">
        <f t="shared" si="7"/>
        <v>-2.3276174362926172E-2</v>
      </c>
      <c r="G21" s="253">
        <f t="shared" si="8"/>
        <v>3.7314693194156368E-2</v>
      </c>
      <c r="H21" s="254">
        <f t="shared" si="9"/>
        <v>-3.9091144207173967E-2</v>
      </c>
      <c r="I21" s="253">
        <f t="shared" si="10"/>
        <v>0.2467650744170411</v>
      </c>
      <c r="J21" s="254">
        <f t="shared" si="11"/>
        <v>-8.520014244580798E-2</v>
      </c>
      <c r="K21" s="253">
        <f t="shared" si="12"/>
        <v>0.3907270239290066</v>
      </c>
      <c r="L21" s="254">
        <f t="shared" si="13"/>
        <v>-0.1439619495119655</v>
      </c>
      <c r="M21" s="255"/>
      <c r="N21" s="256">
        <v>1</v>
      </c>
      <c r="O21" s="253">
        <f t="shared" si="33"/>
        <v>-0.10030231581731985</v>
      </c>
      <c r="P21" s="257">
        <f t="shared" si="34"/>
        <v>-0.10030231581731985</v>
      </c>
      <c r="Q21" s="253">
        <f t="shared" si="14"/>
        <v>7.9619401135186285E-2</v>
      </c>
      <c r="R21" s="257">
        <f t="shared" si="35"/>
        <v>7.9619401135186285E-2</v>
      </c>
      <c r="S21" s="255"/>
      <c r="T21" s="256">
        <v>1</v>
      </c>
      <c r="U21" s="253">
        <f t="shared" si="15"/>
        <v>0.30948111797809008</v>
      </c>
      <c r="V21" s="258">
        <f t="shared" si="16"/>
        <v>0.30948111797809008</v>
      </c>
      <c r="W21" s="253">
        <f t="shared" si="36"/>
        <v>0.17373753736118558</v>
      </c>
      <c r="X21" s="258">
        <f t="shared" si="17"/>
        <v>0.17373753736118558</v>
      </c>
      <c r="Y21" s="253">
        <f t="shared" si="37"/>
        <v>8.3517699115044364E-2</v>
      </c>
      <c r="Z21" s="258">
        <f t="shared" si="18"/>
        <v>8.3517699115044364E-2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VLOOKUP($A21,historia!$A$5:$DD$24,+HLOOKUP(AP$2,historia!$A$3:$EC$4,2,FALSE),FALSE)</f>
        <v>1</v>
      </c>
      <c r="AQ21" s="28">
        <f>VLOOKUP($A21,historia!$A$5:$DD$24,+HLOOKUP(AQ$2,historia!$A$3:$EC$4,2,FALSE),FALSE)</f>
        <v>1</v>
      </c>
      <c r="AR21" s="28">
        <f>VLOOKUP($A21,historia!$A$5:$DD$24,+HLOOKUP(AR$2,historia!$A$3:$EC$4,2,FALSE),FALSE)</f>
        <v>2</v>
      </c>
      <c r="AS21" s="28">
        <f>VLOOKUP($A21,historia!$A$5:$DD$24,+HLOOKUP(AS$2,historia!$A$3:$EC$4,2,FALSE),FALSE)</f>
        <v>2</v>
      </c>
      <c r="AT21" s="58">
        <f>VLOOKUP($A21,historia!$A$5:$DD$24,+HLOOKUP(AT$2,historia!$A$3:$EC$4,2,FALSE),FALSE)</f>
        <v>2</v>
      </c>
      <c r="AU21" s="58">
        <f>VLOOKUP($A21,historia!$A$5:$DD$24,+HLOOKUP(AU$2,historia!$A$3:$EC$4,2,FALSE),FALSE)</f>
        <v>2</v>
      </c>
      <c r="AV21" s="58">
        <f>VLOOKUP($A21,historia!$A$5:$DD$24,+HLOOKUP(AV$2,historia!$A$3:$EC$4,2,FALSE),FALSE)</f>
        <v>3</v>
      </c>
      <c r="AW21" s="58">
        <f>VLOOKUP($A21,historia!$A$5:$DD$24,+HLOOKUP(AW$2,historia!$A$3:$EC$4,2,FALSE),FALSE)</f>
        <v>3</v>
      </c>
      <c r="AX21" s="58">
        <f>VLOOKUP($A21,historia!$A$5:$DD$24,+HLOOKUP(AX$2,historia!$A$3:$EC$4,2,FALSE),FALSE)</f>
        <v>3</v>
      </c>
      <c r="AY21" s="58">
        <f>VLOOKUP($A21,historia!$A$5:$DD$24,+HLOOKUP(AY$2,historia!$A$3:$EC$4,2,FALSE),FALSE)</f>
        <v>3</v>
      </c>
      <c r="AZ21" s="58">
        <f>VLOOKUP($A21,historia!$A$5:$DD$24,+HLOOKUP(AZ$2,historia!$A$3:$EC$4,2,FALSE),FALSE)</f>
        <v>3</v>
      </c>
      <c r="BA21" s="58">
        <f>VLOOKUP($A21,historia!$A$5:$DG$24,+HLOOKUP(BA$2,historia!$A$3:$EC$4,2,FALSE),FALSE)</f>
        <v>3</v>
      </c>
      <c r="BB21" s="58"/>
      <c r="BC21" s="286">
        <v>3</v>
      </c>
      <c r="BD21" t="str">
        <f t="shared" si="19"/>
        <v>Porcinos</v>
      </c>
      <c r="BE21">
        <f>+datos!BR1</f>
        <v>70</v>
      </c>
      <c r="BF21" s="2" t="str">
        <f t="shared" si="4"/>
        <v>$/kg</v>
      </c>
      <c r="BG21" s="2">
        <f t="shared" si="4"/>
        <v>2039.77</v>
      </c>
      <c r="BH21" s="2">
        <f t="shared" si="4"/>
        <v>2043.4</v>
      </c>
      <c r="BI21" s="2">
        <f t="shared" si="4"/>
        <v>1636.05</v>
      </c>
      <c r="BK21" s="1">
        <f>+datos!EJ1</f>
        <v>140</v>
      </c>
      <c r="BL21" s="1">
        <f t="shared" si="20"/>
        <v>5387190</v>
      </c>
      <c r="BM21" s="1">
        <f t="shared" si="20"/>
        <v>5987778</v>
      </c>
      <c r="BO21" s="1">
        <f>+datos!HE1</f>
        <v>213</v>
      </c>
      <c r="BP21" s="1">
        <f t="shared" si="21"/>
        <v>849288</v>
      </c>
      <c r="BQ21" s="1">
        <f t="shared" si="21"/>
        <v>786655</v>
      </c>
      <c r="BS21" s="1">
        <f>+datos!KJ1</f>
        <v>296</v>
      </c>
      <c r="BT21" s="1">
        <f t="shared" si="38"/>
        <v>37.627015509999993</v>
      </c>
      <c r="BU21" s="1">
        <f t="shared" si="39"/>
        <v>28.73429406</v>
      </c>
      <c r="BW21" s="1">
        <f>+datos!LO1</f>
        <v>327</v>
      </c>
      <c r="BX21" s="2">
        <f t="shared" si="22"/>
        <v>158.61497318000002</v>
      </c>
      <c r="BY21" s="2">
        <f t="shared" si="23"/>
        <v>135.13666226999999</v>
      </c>
      <c r="CA21" s="1">
        <f>+datos!IO1</f>
        <v>249</v>
      </c>
      <c r="CB21" s="2">
        <f t="shared" si="24"/>
        <v>19.59</v>
      </c>
      <c r="CC21" s="2">
        <f t="shared" si="25"/>
        <v>18.079999999999998</v>
      </c>
      <c r="CD21" s="2">
        <f>CB21-CC21</f>
        <v>1.5100000000000016</v>
      </c>
      <c r="CE21">
        <f>+datos!DD1</f>
        <v>108</v>
      </c>
      <c r="CF21" s="2">
        <f t="shared" si="26"/>
        <v>14019.290748560587</v>
      </c>
      <c r="CG21" s="2">
        <f t="shared" si="26"/>
        <v>13514.983293441663</v>
      </c>
      <c r="CH21" s="2">
        <f t="shared" si="26"/>
        <v>10080.54816462403</v>
      </c>
      <c r="CI21" s="2"/>
      <c r="CK21" s="1">
        <f t="shared" si="27"/>
        <v>4.62689489</v>
      </c>
      <c r="CL21" s="1">
        <f t="shared" si="27"/>
        <v>3.3258325500000003</v>
      </c>
      <c r="CM21" s="1">
        <f t="shared" si="27"/>
        <v>3.2559529299999999</v>
      </c>
      <c r="CN21" s="1">
        <f t="shared" si="27"/>
        <v>2.83989907</v>
      </c>
      <c r="CO21" s="1">
        <f t="shared" si="27"/>
        <v>3.9903958900000003</v>
      </c>
      <c r="CP21" s="1">
        <f t="shared" si="27"/>
        <v>3.0562051500000003</v>
      </c>
      <c r="CQ21" s="1">
        <f t="shared" si="27"/>
        <v>3.17480787</v>
      </c>
      <c r="CR21" s="1">
        <f t="shared" si="27"/>
        <v>3.9252467499999995</v>
      </c>
      <c r="CS21" s="1">
        <f t="shared" si="27"/>
        <v>2.8298719000000001</v>
      </c>
      <c r="CT21" s="1">
        <f t="shared" si="27"/>
        <v>2.08934314</v>
      </c>
      <c r="CU21" s="1">
        <f t="shared" si="27"/>
        <v>2.1371287799999998</v>
      </c>
      <c r="CV21" s="1">
        <f t="shared" si="27"/>
        <v>2.3754365900000001</v>
      </c>
      <c r="CW21" s="1">
        <f t="shared" si="27"/>
        <v>2.2921349499999994</v>
      </c>
      <c r="CX21" s="1">
        <f t="shared" si="27"/>
        <v>1.76811707</v>
      </c>
      <c r="CY21" s="1">
        <f t="shared" si="27"/>
        <v>1.0764735399999998</v>
      </c>
      <c r="CZ21" s="1">
        <f t="shared" si="27"/>
        <v>3.87511991</v>
      </c>
      <c r="DA21" s="1">
        <f t="shared" si="28"/>
        <v>1.4111442899999997</v>
      </c>
      <c r="DB21" s="1">
        <f t="shared" si="28"/>
        <v>1.9463367499999997</v>
      </c>
      <c r="DC21" s="1">
        <f t="shared" si="28"/>
        <v>1.6096260199999999</v>
      </c>
      <c r="DD21" s="1">
        <f t="shared" si="28"/>
        <v>3.1723580499999997</v>
      </c>
      <c r="DE21" s="1">
        <f t="shared" si="28"/>
        <v>2.1279038099999998</v>
      </c>
      <c r="DF21" s="1">
        <f t="shared" si="28"/>
        <v>2.3778769799999995</v>
      </c>
      <c r="DG21" s="1">
        <f t="shared" si="28"/>
        <v>4.3175895799999999</v>
      </c>
      <c r="DH21" s="1">
        <f t="shared" si="28"/>
        <v>2.7596131099999996</v>
      </c>
      <c r="DJ21" s="1">
        <f t="shared" si="29"/>
        <v>17.106185659999998</v>
      </c>
      <c r="DK21" s="1">
        <f t="shared" si="29"/>
        <v>18.533270270000003</v>
      </c>
      <c r="DL21" s="1">
        <f t="shared" si="29"/>
        <v>16.162930539999998</v>
      </c>
      <c r="DM21" s="1">
        <f t="shared" si="29"/>
        <v>12.802625309999998</v>
      </c>
      <c r="DN21" s="1">
        <f t="shared" si="29"/>
        <v>9.4713607899999985</v>
      </c>
      <c r="DO21" s="1">
        <f t="shared" si="29"/>
        <v>10.975213970000002</v>
      </c>
      <c r="DP21" s="1">
        <f t="shared" si="29"/>
        <v>10.181194250000003</v>
      </c>
      <c r="DQ21" s="1">
        <f t="shared" si="29"/>
        <v>12.329496939999999</v>
      </c>
      <c r="DR21" s="1">
        <f t="shared" si="29"/>
        <v>13.92452713</v>
      </c>
      <c r="DS21" s="1">
        <f t="shared" si="29"/>
        <v>11.75892646</v>
      </c>
      <c r="DT21" s="1">
        <f t="shared" si="29"/>
        <v>11.837628230000002</v>
      </c>
      <c r="DU21" s="1">
        <f t="shared" si="29"/>
        <v>13.531613630000001</v>
      </c>
      <c r="DV21" s="1">
        <f t="shared" si="29"/>
        <v>19.3334501</v>
      </c>
      <c r="DW21" s="1">
        <f t="shared" si="29"/>
        <v>18.318769970000002</v>
      </c>
      <c r="DX21" s="1">
        <f t="shared" si="29"/>
        <v>14.031594299999998</v>
      </c>
      <c r="DY21" s="1">
        <f t="shared" ref="DY21:EG24" si="41">+VLOOKUP(DY$1,ran_dat,$BW21,FALSE)</f>
        <v>14.447589379999997</v>
      </c>
      <c r="DZ21" s="1">
        <f t="shared" si="41"/>
        <v>14.265215759999998</v>
      </c>
      <c r="EA21" s="1">
        <f t="shared" si="41"/>
        <v>16.354180840000001</v>
      </c>
      <c r="EB21" s="1">
        <f t="shared" si="41"/>
        <v>10.919699229999997</v>
      </c>
      <c r="EC21" s="1">
        <f t="shared" si="41"/>
        <v>10.87912704</v>
      </c>
      <c r="ED21" s="1">
        <f t="shared" si="41"/>
        <v>7.3519509899999989</v>
      </c>
      <c r="EE21" s="1">
        <f t="shared" si="41"/>
        <v>4.9251834299999988</v>
      </c>
      <c r="EF21" s="1">
        <f t="shared" si="41"/>
        <v>2.5935797799999998</v>
      </c>
      <c r="EG21" s="1">
        <f t="shared" si="41"/>
        <v>1.7163214500000001</v>
      </c>
      <c r="EI21" s="14">
        <f t="shared" si="40"/>
        <v>19.59</v>
      </c>
      <c r="EJ21" s="14">
        <f t="shared" si="40"/>
        <v>19.53</v>
      </c>
      <c r="EK21" s="1">
        <f t="shared" si="40"/>
        <v>19.43</v>
      </c>
      <c r="EL21" s="1">
        <f t="shared" si="40"/>
        <v>19.100000000000001</v>
      </c>
      <c r="EM21" s="1">
        <f t="shared" si="40"/>
        <v>18.97</v>
      </c>
      <c r="EN21" s="1">
        <f t="shared" si="40"/>
        <v>18.899999999999999</v>
      </c>
      <c r="EO21" s="1">
        <f t="shared" si="40"/>
        <v>18.78</v>
      </c>
      <c r="EP21" s="1">
        <f t="shared" si="40"/>
        <v>18.72</v>
      </c>
      <c r="EQ21" s="1">
        <f t="shared" si="40"/>
        <v>18.600000000000001</v>
      </c>
      <c r="ER21" s="1">
        <f t="shared" si="40"/>
        <v>18.38</v>
      </c>
      <c r="ES21" s="1">
        <f t="shared" si="40"/>
        <v>18.28</v>
      </c>
      <c r="ET21" s="1">
        <f t="shared" si="40"/>
        <v>18.239999999999998</v>
      </c>
      <c r="EU21" s="1">
        <f t="shared" si="40"/>
        <v>18.079999999999998</v>
      </c>
      <c r="EV21" s="1">
        <f t="shared" si="40"/>
        <v>17.989999999999998</v>
      </c>
      <c r="EW21" s="1">
        <f t="shared" si="40"/>
        <v>17.850000000000001</v>
      </c>
      <c r="EX21" s="1">
        <f t="shared" si="40"/>
        <v>17.73</v>
      </c>
      <c r="EY21" s="1">
        <f t="shared" si="31"/>
        <v>17.510000000000002</v>
      </c>
      <c r="EZ21" s="1">
        <f t="shared" si="31"/>
        <v>17.13</v>
      </c>
      <c r="FA21" s="1">
        <f t="shared" si="31"/>
        <v>16.89</v>
      </c>
      <c r="FB21" s="1">
        <f t="shared" si="31"/>
        <v>16.87</v>
      </c>
      <c r="FC21" s="1">
        <f t="shared" si="31"/>
        <v>16.8</v>
      </c>
      <c r="FD21" s="1">
        <f t="shared" si="31"/>
        <v>16.760000000000002</v>
      </c>
      <c r="FE21" s="1">
        <f t="shared" si="31"/>
        <v>16.84</v>
      </c>
      <c r="FF21" s="1">
        <f t="shared" si="31"/>
        <v>16.64</v>
      </c>
      <c r="FH21" s="162">
        <f t="shared" si="32"/>
        <v>-0.1439619495119655</v>
      </c>
    </row>
    <row r="22" spans="1:164" ht="18.75" customHeight="1">
      <c r="A22" s="243" t="s">
        <v>75</v>
      </c>
      <c r="B22" s="246"/>
      <c r="C22" s="156">
        <f t="shared" si="5"/>
        <v>0.66</v>
      </c>
      <c r="D22" s="198">
        <v>1</v>
      </c>
      <c r="E22" s="248">
        <f t="shared" si="6"/>
        <v>0</v>
      </c>
      <c r="F22" s="249">
        <f t="shared" si="7"/>
        <v>-2.1499723349908573E-2</v>
      </c>
      <c r="G22" s="248">
        <f t="shared" si="8"/>
        <v>1.4300560664605388E-2</v>
      </c>
      <c r="H22" s="249">
        <f t="shared" si="9"/>
        <v>-1.4300560664605388E-2</v>
      </c>
      <c r="I22" s="248">
        <f t="shared" si="10"/>
        <v>0.30015932728479755</v>
      </c>
      <c r="J22" s="249">
        <f t="shared" si="11"/>
        <v>-3.1805889578051527E-2</v>
      </c>
      <c r="K22" s="248">
        <f t="shared" si="12"/>
        <v>0.43636546029220624</v>
      </c>
      <c r="L22" s="249">
        <f t="shared" si="13"/>
        <v>-0.13620613300740869</v>
      </c>
      <c r="M22" s="250"/>
      <c r="N22" s="24">
        <v>0</v>
      </c>
      <c r="O22" s="248">
        <f t="shared" si="33"/>
        <v>0</v>
      </c>
      <c r="P22" s="251">
        <f t="shared" si="34"/>
        <v>0</v>
      </c>
      <c r="Q22" s="248">
        <f t="shared" si="14"/>
        <v>0</v>
      </c>
      <c r="R22" s="251">
        <f t="shared" si="35"/>
        <v>0</v>
      </c>
      <c r="S22" s="250"/>
      <c r="T22" s="24">
        <v>1</v>
      </c>
      <c r="U22" s="248">
        <f t="shared" si="15"/>
        <v>0.24052185381976621</v>
      </c>
      <c r="V22" s="252">
        <f t="shared" si="16"/>
        <v>0.24052185381976621</v>
      </c>
      <c r="W22" s="248">
        <f t="shared" si="36"/>
        <v>-0.21114302551924624</v>
      </c>
      <c r="X22" s="252">
        <f t="shared" si="17"/>
        <v>-0.21114302551924624</v>
      </c>
      <c r="Y22" s="248"/>
      <c r="Z22" s="252">
        <f t="shared" si="18"/>
        <v>0</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VLOOKUP($A22,historia!$A$5:$DD$24,+HLOOKUP(AP$2,historia!$A$3:$EC$4,2,FALSE),FALSE)</f>
        <v>3</v>
      </c>
      <c r="AQ22" s="28">
        <f>VLOOKUP($A22,historia!$A$5:$DD$24,+HLOOKUP(AQ$2,historia!$A$3:$EC$4,2,FALSE),FALSE)</f>
        <v>3</v>
      </c>
      <c r="AR22" s="28">
        <f>VLOOKUP($A22,historia!$A$5:$DD$24,+HLOOKUP(AR$2,historia!$A$3:$EC$4,2,FALSE),FALSE)</f>
        <v>3</v>
      </c>
      <c r="AS22" s="28">
        <f>VLOOKUP($A22,historia!$A$5:$DD$24,+HLOOKUP(AS$2,historia!$A$3:$EC$4,2,FALSE),FALSE)</f>
        <v>3</v>
      </c>
      <c r="AT22" s="58">
        <f>VLOOKUP($A22,historia!$A$5:$DD$24,+HLOOKUP(AT$2,historia!$A$3:$EC$4,2,FALSE),FALSE)</f>
        <v>3</v>
      </c>
      <c r="AU22" s="58">
        <f>VLOOKUP($A22,historia!$A$5:$DD$24,+HLOOKUP(AU$2,historia!$A$3:$EC$4,2,FALSE),FALSE)</f>
        <v>3</v>
      </c>
      <c r="AV22" s="58">
        <f>VLOOKUP($A22,historia!$A$5:$DD$24,+HLOOKUP(AV$2,historia!$A$3:$EC$4,2,FALSE),FALSE)</f>
        <v>3</v>
      </c>
      <c r="AW22" s="58">
        <f>VLOOKUP($A22,historia!$A$5:$DD$24,+HLOOKUP(AW$2,historia!$A$3:$EC$4,2,FALSE),FALSE)</f>
        <v>3</v>
      </c>
      <c r="AX22" s="58">
        <f>VLOOKUP($A22,historia!$A$5:$DD$24,+HLOOKUP(AX$2,historia!$A$3:$EC$4,2,FALSE),FALSE)</f>
        <v>3</v>
      </c>
      <c r="AY22" s="58">
        <f>VLOOKUP($A22,historia!$A$5:$DD$24,+HLOOKUP(AY$2,historia!$A$3:$EC$4,2,FALSE),FALSE)</f>
        <v>3</v>
      </c>
      <c r="AZ22" s="58">
        <f>VLOOKUP($A22,historia!$A$5:$DD$24,+HLOOKUP(AZ$2,historia!$A$3:$EC$4,2,FALSE),FALSE)</f>
        <v>3</v>
      </c>
      <c r="BA22" s="58">
        <f>VLOOKUP($A22,historia!$A$5:$DG$24,+HLOOKUP(BA$2,historia!$A$3:$EC$4,2,FALSE),FALSE)</f>
        <v>3</v>
      </c>
      <c r="BB22" s="58"/>
      <c r="BC22" s="286">
        <v>3</v>
      </c>
      <c r="BD22" t="str">
        <f t="shared" si="19"/>
        <v>Tabaco</v>
      </c>
      <c r="BE22">
        <f>+datos!BJ1</f>
        <v>62</v>
      </c>
      <c r="BF22" s="2" t="str">
        <f t="shared" si="4"/>
        <v>$/kg</v>
      </c>
      <c r="BG22" s="2">
        <f t="shared" si="4"/>
        <v>5875.42</v>
      </c>
      <c r="BH22" s="2">
        <f t="shared" si="4"/>
        <v>5875.42</v>
      </c>
      <c r="BI22" s="2">
        <f t="shared" si="4"/>
        <v>4519</v>
      </c>
      <c r="BK22" s="1">
        <f>+datos!FD1</f>
        <v>160</v>
      </c>
      <c r="BL22" s="1">
        <f t="shared" si="20"/>
        <v>60376</v>
      </c>
      <c r="BM22" s="1">
        <f t="shared" si="20"/>
        <v>60376</v>
      </c>
      <c r="BO22" s="1">
        <f>+datos!GX1</f>
        <v>206</v>
      </c>
      <c r="BP22" s="1">
        <f t="shared" si="21"/>
        <v>36041.686000000002</v>
      </c>
      <c r="BQ22" s="1">
        <f t="shared" si="21"/>
        <v>36041.686000000002</v>
      </c>
      <c r="BS22" s="1">
        <f>+datos!KC1</f>
        <v>289</v>
      </c>
      <c r="BT22" s="1">
        <f t="shared" si="38"/>
        <v>654.46674107000001</v>
      </c>
      <c r="BU22" s="1">
        <f t="shared" si="39"/>
        <v>527.57372959999998</v>
      </c>
      <c r="BW22" s="1">
        <f>+datos!LH1</f>
        <v>320</v>
      </c>
      <c r="BX22" s="2">
        <f t="shared" si="22"/>
        <v>45.959022209999993</v>
      </c>
      <c r="BY22" s="2">
        <f t="shared" si="23"/>
        <v>58.260272390000004</v>
      </c>
      <c r="CA22" s="1">
        <f>+datos!JD1</f>
        <v>264</v>
      </c>
      <c r="CB22" s="1">
        <f t="shared" si="24"/>
        <v>0</v>
      </c>
      <c r="CC22" s="1">
        <f t="shared" si="25"/>
        <v>0</v>
      </c>
      <c r="CD22" s="1"/>
      <c r="CE22">
        <f>+datos!DA1</f>
        <v>105</v>
      </c>
      <c r="CF22" s="2">
        <f t="shared" si="26"/>
        <v>14913.835643514374</v>
      </c>
      <c r="CG22" s="2">
        <f t="shared" si="26"/>
        <v>14703.566400221947</v>
      </c>
      <c r="CH22" s="2">
        <f t="shared" si="26"/>
        <v>10383.036946934373</v>
      </c>
      <c r="CI22" s="1"/>
      <c r="CK22" s="1">
        <f t="shared" ref="CK22:CZ24" si="42">+VLOOKUP(CK$1,ran_dat,$BS22,FALSE)</f>
        <v>56.707234039999996</v>
      </c>
      <c r="CL22" s="1">
        <f t="shared" si="42"/>
        <v>37.459973120000001</v>
      </c>
      <c r="CM22" s="1">
        <f t="shared" si="42"/>
        <v>10.172513039999997</v>
      </c>
      <c r="CN22" s="1">
        <f t="shared" si="42"/>
        <v>86.187029549999991</v>
      </c>
      <c r="CO22" s="1">
        <f t="shared" si="42"/>
        <v>13.8144042</v>
      </c>
      <c r="CP22" s="1">
        <f t="shared" si="42"/>
        <v>30.603557829999996</v>
      </c>
      <c r="CQ22" s="1">
        <f t="shared" si="42"/>
        <v>71.370433359999993</v>
      </c>
      <c r="CR22" s="1">
        <f t="shared" si="42"/>
        <v>81.464957519999999</v>
      </c>
      <c r="CS22" s="1">
        <f t="shared" si="42"/>
        <v>72.4463358</v>
      </c>
      <c r="CT22" s="1">
        <f t="shared" si="42"/>
        <v>45.834687599999995</v>
      </c>
      <c r="CU22" s="1">
        <f t="shared" si="42"/>
        <v>54.830270300000002</v>
      </c>
      <c r="CV22" s="1">
        <f t="shared" si="42"/>
        <v>93.57534471000001</v>
      </c>
      <c r="CW22" s="1">
        <f t="shared" si="42"/>
        <v>121.04017274</v>
      </c>
      <c r="CX22" s="1">
        <f t="shared" si="42"/>
        <v>27.891120319999999</v>
      </c>
      <c r="CY22" s="1">
        <f t="shared" si="42"/>
        <v>5.5120895000000001</v>
      </c>
      <c r="CZ22" s="1">
        <f t="shared" si="42"/>
        <v>9.7228914799999995</v>
      </c>
      <c r="DA22" s="1">
        <f t="shared" ref="DA22:DH24" si="43">+VLOOKUP(DA$1,ran_dat,$BS22,FALSE)</f>
        <v>6.2035308000000002</v>
      </c>
      <c r="DB22" s="1">
        <f t="shared" si="43"/>
        <v>65.18720725</v>
      </c>
      <c r="DC22" s="1">
        <f t="shared" si="43"/>
        <v>34.962073999999994</v>
      </c>
      <c r="DD22" s="1">
        <f t="shared" si="43"/>
        <v>41.640055749999995</v>
      </c>
      <c r="DE22" s="1">
        <f t="shared" si="43"/>
        <v>54.488227269999996</v>
      </c>
      <c r="DF22" s="1">
        <f t="shared" si="43"/>
        <v>45.888815350000002</v>
      </c>
      <c r="DG22" s="1">
        <f t="shared" si="43"/>
        <v>56.365947810000002</v>
      </c>
      <c r="DH22" s="1">
        <f t="shared" si="43"/>
        <v>58.671597329999997</v>
      </c>
      <c r="DJ22" s="1">
        <f t="shared" ref="DJ22:DY24" si="44">+VLOOKUP(DJ$1,ran_dat,$BW22,FALSE)</f>
        <v>4.24949917</v>
      </c>
      <c r="DK22" s="1">
        <f t="shared" si="44"/>
        <v>5.1064074300000009</v>
      </c>
      <c r="DL22" s="1">
        <f t="shared" si="44"/>
        <v>3.8621701900000001</v>
      </c>
      <c r="DM22" s="1">
        <f t="shared" si="44"/>
        <v>4.1810604400000004</v>
      </c>
      <c r="DN22" s="1">
        <f t="shared" si="44"/>
        <v>2.54586113</v>
      </c>
      <c r="DO22" s="1">
        <f t="shared" si="44"/>
        <v>3.7941515599999995</v>
      </c>
      <c r="DP22" s="1">
        <f t="shared" si="44"/>
        <v>4.1345480800000001</v>
      </c>
      <c r="DQ22" s="1">
        <f t="shared" si="44"/>
        <v>4.4276183800000002</v>
      </c>
      <c r="DR22" s="1">
        <f t="shared" si="44"/>
        <v>4.1999923900000002</v>
      </c>
      <c r="DS22" s="1">
        <f t="shared" si="44"/>
        <v>3.4339864000000002</v>
      </c>
      <c r="DT22" s="1">
        <f t="shared" si="44"/>
        <v>2.5223350999999994</v>
      </c>
      <c r="DU22" s="1">
        <f t="shared" si="44"/>
        <v>3.5013919399999995</v>
      </c>
      <c r="DV22" s="1">
        <f t="shared" si="44"/>
        <v>4.00557768</v>
      </c>
      <c r="DW22" s="1">
        <f t="shared" si="44"/>
        <v>5.1774083700000002</v>
      </c>
      <c r="DX22" s="1">
        <f t="shared" si="44"/>
        <v>5.7823087099999997</v>
      </c>
      <c r="DY22" s="1">
        <f t="shared" si="44"/>
        <v>5.6310443999999995</v>
      </c>
      <c r="DZ22" s="1">
        <f t="shared" si="41"/>
        <v>4.1108512499999996</v>
      </c>
      <c r="EA22" s="1">
        <f t="shared" si="41"/>
        <v>6.9241559000000006</v>
      </c>
      <c r="EB22" s="1">
        <f t="shared" si="41"/>
        <v>4.9762964800000002</v>
      </c>
      <c r="EC22" s="1">
        <f t="shared" si="41"/>
        <v>5.7062324599999998</v>
      </c>
      <c r="ED22" s="1">
        <f t="shared" si="41"/>
        <v>5.3893107900000006</v>
      </c>
      <c r="EE22" s="1">
        <f t="shared" si="41"/>
        <v>5.0602291599999996</v>
      </c>
      <c r="EF22" s="1">
        <f t="shared" si="41"/>
        <v>1.1636776099999999</v>
      </c>
      <c r="EG22" s="1">
        <f t="shared" si="41"/>
        <v>4.3331795800000004</v>
      </c>
      <c r="EI22" s="14">
        <f t="shared" si="40"/>
        <v>0</v>
      </c>
      <c r="EJ22" s="14">
        <f t="shared" si="40"/>
        <v>0</v>
      </c>
      <c r="EK22" s="1">
        <f t="shared" si="40"/>
        <v>0</v>
      </c>
      <c r="EL22" s="1">
        <f t="shared" si="40"/>
        <v>0</v>
      </c>
      <c r="EM22" s="1">
        <f t="shared" si="40"/>
        <v>0</v>
      </c>
      <c r="EN22" s="1">
        <f t="shared" si="40"/>
        <v>0</v>
      </c>
      <c r="EO22" s="1">
        <f t="shared" si="40"/>
        <v>0</v>
      </c>
      <c r="EP22" s="1">
        <f t="shared" si="40"/>
        <v>0</v>
      </c>
      <c r="EQ22" s="1">
        <f t="shared" si="40"/>
        <v>0</v>
      </c>
      <c r="ER22" s="1">
        <f t="shared" si="40"/>
        <v>0</v>
      </c>
      <c r="ES22" s="1">
        <f t="shared" si="40"/>
        <v>0</v>
      </c>
      <c r="ET22" s="1">
        <f t="shared" si="40"/>
        <v>0</v>
      </c>
      <c r="EU22" s="1">
        <f t="shared" si="40"/>
        <v>0</v>
      </c>
      <c r="EV22" s="1">
        <f t="shared" si="40"/>
        <v>0</v>
      </c>
      <c r="EW22" s="1">
        <f t="shared" si="40"/>
        <v>0</v>
      </c>
      <c r="EX22" s="1">
        <f t="shared" ref="EX22:FF24" si="45">+VLOOKUP(EX$1,ran_dat,$CA22,FALSE)</f>
        <v>0</v>
      </c>
      <c r="EY22" s="1">
        <f t="shared" si="45"/>
        <v>0</v>
      </c>
      <c r="EZ22" s="1">
        <f t="shared" si="45"/>
        <v>0</v>
      </c>
      <c r="FA22" s="1">
        <f t="shared" si="45"/>
        <v>0</v>
      </c>
      <c r="FB22" s="1">
        <f t="shared" si="45"/>
        <v>0</v>
      </c>
      <c r="FC22" s="1">
        <f t="shared" si="45"/>
        <v>0</v>
      </c>
      <c r="FD22" s="1">
        <f t="shared" si="45"/>
        <v>0</v>
      </c>
      <c r="FE22" s="1">
        <f t="shared" si="45"/>
        <v>0</v>
      </c>
      <c r="FF22" s="1">
        <f t="shared" si="45"/>
        <v>0</v>
      </c>
      <c r="FH22" s="162">
        <f t="shared" si="32"/>
        <v>-0.13620613300740869</v>
      </c>
    </row>
    <row r="23" spans="1:164" ht="18.75" customHeight="1">
      <c r="A23" s="244" t="s">
        <v>219</v>
      </c>
      <c r="B23" s="247"/>
      <c r="C23" s="228">
        <f t="shared" si="5"/>
        <v>-0.99</v>
      </c>
      <c r="D23" s="229">
        <v>-1</v>
      </c>
      <c r="E23" s="253">
        <f t="shared" si="6"/>
        <v>1.1789663613803736E-3</v>
      </c>
      <c r="F23" s="254">
        <f t="shared" si="7"/>
        <v>-2.0320756988528199E-2</v>
      </c>
      <c r="G23" s="253">
        <f t="shared" si="8"/>
        <v>5.9840654693521511E-3</v>
      </c>
      <c r="H23" s="254">
        <f t="shared" si="9"/>
        <v>-4.8050991079717775E-3</v>
      </c>
      <c r="I23" s="253">
        <f t="shared" si="10"/>
        <v>-0.22508310496589368</v>
      </c>
      <c r="J23" s="254">
        <f t="shared" si="11"/>
        <v>-0.55704832182874275</v>
      </c>
      <c r="K23" s="253">
        <f t="shared" si="12"/>
        <v>0.40289322615349099</v>
      </c>
      <c r="L23" s="254">
        <f t="shared" si="13"/>
        <v>-0.62797633111938467</v>
      </c>
      <c r="M23" s="255"/>
      <c r="N23" s="256">
        <v>-2</v>
      </c>
      <c r="O23" s="253">
        <f t="shared" si="33"/>
        <v>0</v>
      </c>
      <c r="P23" s="257">
        <f t="shared" si="34"/>
        <v>0</v>
      </c>
      <c r="Q23" s="253">
        <f t="shared" si="14"/>
        <v>-7.6201048455332931E-2</v>
      </c>
      <c r="R23" s="257">
        <f t="shared" si="35"/>
        <v>-7.6201048455332931E-2</v>
      </c>
      <c r="S23" s="255"/>
      <c r="T23" s="256">
        <v>0</v>
      </c>
      <c r="U23" s="253">
        <f t="shared" si="15"/>
        <v>-4.3006380222970764E-2</v>
      </c>
      <c r="V23" s="258">
        <f t="shared" si="16"/>
        <v>-4.3006380222970764E-2</v>
      </c>
      <c r="W23" s="253">
        <f t="shared" si="36"/>
        <v>0.43844586530322882</v>
      </c>
      <c r="X23" s="258">
        <f t="shared" si="17"/>
        <v>0.43844586530322882</v>
      </c>
      <c r="Y23" s="253">
        <f t="shared" si="37"/>
        <v>-9.7014925373134275E-2</v>
      </c>
      <c r="Z23" s="258">
        <f t="shared" si="18"/>
        <v>-9.7014925373134275E-2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VLOOKUP($A23,historia!$A$5:$DD$24,+HLOOKUP(AP$2,historia!$A$3:$EC$4,2,FALSE),FALSE)</f>
        <v>4</v>
      </c>
      <c r="AQ23" s="28">
        <f>VLOOKUP($A23,historia!$A$5:$DD$24,+HLOOKUP(AQ$2,historia!$A$3:$EC$4,2,FALSE),FALSE)</f>
        <v>4</v>
      </c>
      <c r="AR23" s="28">
        <f>VLOOKUP($A23,historia!$A$5:$DD$24,+HLOOKUP(AR$2,historia!$A$3:$EC$4,2,FALSE),FALSE)</f>
        <v>4</v>
      </c>
      <c r="AS23" s="28">
        <f>VLOOKUP($A23,historia!$A$5:$DD$24,+HLOOKUP(AS$2,historia!$A$3:$EC$4,2,FALSE),FALSE)</f>
        <v>4</v>
      </c>
      <c r="AT23" s="58">
        <f>VLOOKUP($A23,historia!$A$5:$DD$24,+HLOOKUP(AT$2,historia!$A$3:$EC$4,2,FALSE),FALSE)</f>
        <v>4</v>
      </c>
      <c r="AU23" s="58">
        <f>VLOOKUP($A23,historia!$A$5:$DD$24,+HLOOKUP(AU$2,historia!$A$3:$EC$4,2,FALSE),FALSE)</f>
        <v>4</v>
      </c>
      <c r="AV23" s="58">
        <f>VLOOKUP($A23,historia!$A$5:$DD$24,+HLOOKUP(AV$2,historia!$A$3:$EC$4,2,FALSE),FALSE)</f>
        <v>4</v>
      </c>
      <c r="AW23" s="58">
        <f>VLOOKUP($A23,historia!$A$5:$DD$24,+HLOOKUP(AW$2,historia!$A$3:$EC$4,2,FALSE),FALSE)</f>
        <v>5</v>
      </c>
      <c r="AX23" s="58">
        <f>VLOOKUP($A23,historia!$A$5:$DD$24,+HLOOKUP(AX$2,historia!$A$3:$EC$4,2,FALSE),FALSE)</f>
        <v>5</v>
      </c>
      <c r="AY23" s="58">
        <f>VLOOKUP($A23,historia!$A$5:$DD$24,+HLOOKUP(AY$2,historia!$A$3:$EC$4,2,FALSE),FALSE)</f>
        <v>4</v>
      </c>
      <c r="AZ23" s="58">
        <f>VLOOKUP($A23,historia!$A$5:$DD$24,+HLOOKUP(AZ$2,historia!$A$3:$EC$4,2,FALSE),FALSE)</f>
        <v>5</v>
      </c>
      <c r="BA23" s="58">
        <f>VLOOKUP($A23,historia!$A$5:$DG$24,+HLOOKUP(BA$2,historia!$A$3:$EC$4,2,FALSE),FALSE)</f>
        <v>4</v>
      </c>
      <c r="BB23" s="58"/>
      <c r="BC23" s="286">
        <v>4</v>
      </c>
      <c r="BD23" t="str">
        <f t="shared" si="19"/>
        <v>Vino y Mosto</v>
      </c>
      <c r="BE23">
        <f>+datos!AM1</f>
        <v>39</v>
      </c>
      <c r="BF23" s="2" t="str">
        <f t="shared" si="4"/>
        <v>$/l</v>
      </c>
      <c r="BG23" s="2">
        <f t="shared" si="4"/>
        <v>273.44260000000003</v>
      </c>
      <c r="BH23" s="2">
        <f t="shared" si="4"/>
        <v>273.12060000000002</v>
      </c>
      <c r="BI23" s="2">
        <f t="shared" si="4"/>
        <v>352.86700000000002</v>
      </c>
      <c r="BK23" s="1">
        <f>+datos!EF1</f>
        <v>136</v>
      </c>
      <c r="BL23" s="1">
        <f t="shared" si="20"/>
        <v>196220</v>
      </c>
      <c r="BM23" s="1">
        <f t="shared" si="20"/>
        <v>196220</v>
      </c>
      <c r="BO23" s="1">
        <f>+datos!GB1</f>
        <v>184</v>
      </c>
      <c r="BP23" s="1">
        <f t="shared" si="21"/>
        <v>18391299</v>
      </c>
      <c r="BQ23" s="1">
        <f t="shared" si="21"/>
        <v>19908335</v>
      </c>
      <c r="BS23" s="1">
        <f>+datos!JU1</f>
        <v>281</v>
      </c>
      <c r="BT23" s="1">
        <f t="shared" si="38"/>
        <v>951.09970196999996</v>
      </c>
      <c r="BU23" s="1">
        <f t="shared" si="39"/>
        <v>993.84121515000015</v>
      </c>
      <c r="BW23" s="1">
        <f>+datos!KZ1</f>
        <v>312</v>
      </c>
      <c r="BX23" s="2">
        <f t="shared" si="22"/>
        <v>42.298264109999998</v>
      </c>
      <c r="BY23" s="2">
        <f t="shared" si="23"/>
        <v>29.405530740000003</v>
      </c>
      <c r="CA23" s="1">
        <f>+datos!IQ1</f>
        <v>251</v>
      </c>
      <c r="CB23" s="2">
        <f t="shared" si="24"/>
        <v>14.52</v>
      </c>
      <c r="CC23" s="2">
        <f t="shared" si="25"/>
        <v>16.079999999999998</v>
      </c>
      <c r="CD23" s="2"/>
      <c r="CE23">
        <f>+datos!CP1</f>
        <v>94</v>
      </c>
      <c r="CF23" s="2">
        <f t="shared" si="26"/>
        <v>15738.50885315521</v>
      </c>
      <c r="CG23" s="2">
        <f t="shared" si="26"/>
        <v>15644.888814230122</v>
      </c>
      <c r="CH23" s="2">
        <f t="shared" si="26"/>
        <v>11218.607774098165</v>
      </c>
      <c r="CI23" s="2"/>
      <c r="CK23" s="1">
        <f t="shared" si="42"/>
        <v>85.65420979999999</v>
      </c>
      <c r="CL23" s="1">
        <f t="shared" si="42"/>
        <v>77.857583390000002</v>
      </c>
      <c r="CM23" s="1">
        <f t="shared" si="42"/>
        <v>79.896688470000015</v>
      </c>
      <c r="CN23" s="1">
        <f t="shared" si="42"/>
        <v>62.074398439999996</v>
      </c>
      <c r="CO23" s="1">
        <f t="shared" si="42"/>
        <v>51.281836970000001</v>
      </c>
      <c r="CP23" s="1">
        <f t="shared" si="42"/>
        <v>78.732425000000021</v>
      </c>
      <c r="CQ23" s="1">
        <f t="shared" si="42"/>
        <v>78.044882909999998</v>
      </c>
      <c r="CR23" s="1">
        <f t="shared" si="42"/>
        <v>79.565238250000007</v>
      </c>
      <c r="CS23" s="1">
        <f t="shared" si="42"/>
        <v>103.29015631000003</v>
      </c>
      <c r="CT23" s="1">
        <f t="shared" si="42"/>
        <v>82.138745600000007</v>
      </c>
      <c r="CU23" s="1">
        <f t="shared" si="42"/>
        <v>101.39273792999998</v>
      </c>
      <c r="CV23" s="1">
        <f t="shared" si="42"/>
        <v>71.170798900000008</v>
      </c>
      <c r="CW23" s="1">
        <f t="shared" si="42"/>
        <v>88.994061629999976</v>
      </c>
      <c r="CX23" s="1">
        <f t="shared" si="42"/>
        <v>77.155977009999987</v>
      </c>
      <c r="CY23" s="1">
        <f t="shared" si="42"/>
        <v>74.722979570000021</v>
      </c>
      <c r="CZ23" s="1">
        <f t="shared" si="42"/>
        <v>63.754065359999977</v>
      </c>
      <c r="DA23" s="1">
        <f t="shared" si="43"/>
        <v>50.923025279999997</v>
      </c>
      <c r="DB23" s="1">
        <f t="shared" si="43"/>
        <v>85.381089520000018</v>
      </c>
      <c r="DC23" s="1">
        <f t="shared" si="43"/>
        <v>87.09478919</v>
      </c>
      <c r="DD23" s="1">
        <f t="shared" si="43"/>
        <v>88.790830600000021</v>
      </c>
      <c r="DE23" s="1">
        <f t="shared" si="43"/>
        <v>106.11166329999998</v>
      </c>
      <c r="DF23" s="1">
        <f t="shared" si="43"/>
        <v>99.074693340000039</v>
      </c>
      <c r="DG23" s="1">
        <f t="shared" si="43"/>
        <v>115.95052356999999</v>
      </c>
      <c r="DH23" s="1">
        <f t="shared" si="43"/>
        <v>55.887516779999999</v>
      </c>
      <c r="DJ23" s="1">
        <f t="shared" si="44"/>
        <v>3.0241928699999998</v>
      </c>
      <c r="DK23" s="1">
        <f t="shared" si="44"/>
        <v>4.4863890000000008</v>
      </c>
      <c r="DL23" s="1">
        <f t="shared" si="44"/>
        <v>2.3774346500000001</v>
      </c>
      <c r="DM23" s="1">
        <f t="shared" si="44"/>
        <v>1.8929445199999999</v>
      </c>
      <c r="DN23" s="1">
        <f t="shared" si="44"/>
        <v>0.82771172999999998</v>
      </c>
      <c r="DO23" s="1">
        <f t="shared" si="44"/>
        <v>2.0960773500000003</v>
      </c>
      <c r="DP23" s="1">
        <f t="shared" si="44"/>
        <v>4.0370959900000001</v>
      </c>
      <c r="DQ23" s="1">
        <f t="shared" si="44"/>
        <v>5.8187882499999999</v>
      </c>
      <c r="DR23" s="1">
        <f t="shared" si="44"/>
        <v>6.2238594599999999</v>
      </c>
      <c r="DS23" s="1">
        <f t="shared" si="44"/>
        <v>3.3465065500000004</v>
      </c>
      <c r="DT23" s="1">
        <f t="shared" si="44"/>
        <v>3.10878063</v>
      </c>
      <c r="DU23" s="1">
        <f t="shared" si="44"/>
        <v>5.0584831100000001</v>
      </c>
      <c r="DV23" s="1">
        <f t="shared" si="44"/>
        <v>4.0554375800000004</v>
      </c>
      <c r="DW23" s="1">
        <f t="shared" si="44"/>
        <v>3.476448889999999</v>
      </c>
      <c r="DX23" s="1">
        <f t="shared" si="44"/>
        <v>3.23844815</v>
      </c>
      <c r="DY23" s="1">
        <f t="shared" si="44"/>
        <v>1.94679845</v>
      </c>
      <c r="DZ23" s="1">
        <f t="shared" si="41"/>
        <v>0.41117072999999998</v>
      </c>
      <c r="EA23" s="1">
        <f t="shared" si="41"/>
        <v>1.6918772199999998</v>
      </c>
      <c r="EB23" s="1">
        <f t="shared" si="41"/>
        <v>4.1008112300000006</v>
      </c>
      <c r="EC23" s="1">
        <f t="shared" si="41"/>
        <v>2.9628047099999995</v>
      </c>
      <c r="ED23" s="1">
        <f t="shared" si="41"/>
        <v>2.4415022799999999</v>
      </c>
      <c r="EE23" s="1">
        <f t="shared" si="41"/>
        <v>2.4186424700000004</v>
      </c>
      <c r="EF23" s="1">
        <f t="shared" si="41"/>
        <v>2.3161338599999999</v>
      </c>
      <c r="EG23" s="1">
        <f t="shared" si="41"/>
        <v>0.34545517000000003</v>
      </c>
      <c r="EI23" s="14">
        <f t="shared" ref="EI23:EX24" si="46">+VLOOKUP(EI$1,ran_dat,$CA23,FALSE)</f>
        <v>14.52</v>
      </c>
      <c r="EJ23" s="14">
        <f t="shared" si="46"/>
        <v>14.52</v>
      </c>
      <c r="EK23" s="1">
        <f t="shared" si="46"/>
        <v>14.399999999999999</v>
      </c>
      <c r="EL23" s="1">
        <f t="shared" si="46"/>
        <v>13.74</v>
      </c>
      <c r="EM23" s="1">
        <f t="shared" si="46"/>
        <v>14.399999999999999</v>
      </c>
      <c r="EN23" s="1">
        <f t="shared" si="46"/>
        <v>16.079999999999998</v>
      </c>
      <c r="EO23" s="1">
        <f t="shared" si="46"/>
        <v>16.079999999999998</v>
      </c>
      <c r="EP23" s="1">
        <f t="shared" si="46"/>
        <v>16.079999999999998</v>
      </c>
      <c r="EQ23" s="1">
        <f t="shared" si="46"/>
        <v>16.079999999999998</v>
      </c>
      <c r="ER23" s="1">
        <f t="shared" si="46"/>
        <v>16.079999999999998</v>
      </c>
      <c r="ES23" s="1">
        <f t="shared" si="46"/>
        <v>16.079999999999998</v>
      </c>
      <c r="ET23" s="1">
        <f t="shared" si="46"/>
        <v>16.079999999999998</v>
      </c>
      <c r="EU23" s="1">
        <f t="shared" si="46"/>
        <v>16.079999999999998</v>
      </c>
      <c r="EV23" s="1">
        <f t="shared" si="46"/>
        <v>16.079999999999998</v>
      </c>
      <c r="EW23" s="1">
        <f t="shared" si="46"/>
        <v>16.079999999999998</v>
      </c>
      <c r="EX23" s="1">
        <f t="shared" si="46"/>
        <v>16.079999999999998</v>
      </c>
      <c r="EY23" s="1">
        <f t="shared" si="45"/>
        <v>16.079999999999998</v>
      </c>
      <c r="EZ23" s="1">
        <f t="shared" si="45"/>
        <v>16.3</v>
      </c>
      <c r="FA23" s="1">
        <f t="shared" si="45"/>
        <v>16.3</v>
      </c>
      <c r="FB23" s="1">
        <f t="shared" si="45"/>
        <v>16.3</v>
      </c>
      <c r="FC23" s="1">
        <f t="shared" si="45"/>
        <v>16.3</v>
      </c>
      <c r="FD23" s="1">
        <f t="shared" si="45"/>
        <v>16.3</v>
      </c>
      <c r="FE23" s="1">
        <f t="shared" si="45"/>
        <v>16.3</v>
      </c>
      <c r="FF23" s="1">
        <f t="shared" si="45"/>
        <v>16.3</v>
      </c>
      <c r="FH23" s="162">
        <f t="shared" si="32"/>
        <v>-0.62797633111938467</v>
      </c>
    </row>
    <row r="24" spans="1:164" ht="18.75" customHeight="1">
      <c r="A24" s="243" t="s">
        <v>39</v>
      </c>
      <c r="B24" s="246"/>
      <c r="C24" s="156">
        <f t="shared" si="5"/>
        <v>-0.65999999999999992</v>
      </c>
      <c r="D24" s="198">
        <v>-3</v>
      </c>
      <c r="E24" s="248">
        <f t="shared" si="6"/>
        <v>4.1666666666666741E-2</v>
      </c>
      <c r="F24" s="249">
        <f t="shared" si="7"/>
        <v>2.0166943316758168E-2</v>
      </c>
      <c r="G24" s="248">
        <f t="shared" si="8"/>
        <v>1.747417736911161E-2</v>
      </c>
      <c r="H24" s="249">
        <f t="shared" si="9"/>
        <v>2.4192489297555131E-2</v>
      </c>
      <c r="I24" s="248">
        <f t="shared" si="10"/>
        <v>-0.16666666666666663</v>
      </c>
      <c r="J24" s="249">
        <f t="shared" si="11"/>
        <v>-0.49863188352951571</v>
      </c>
      <c r="K24" s="248">
        <f t="shared" si="12"/>
        <v>0.35917587448983523</v>
      </c>
      <c r="L24" s="249">
        <f t="shared" si="13"/>
        <v>-0.52584254115650186</v>
      </c>
      <c r="M24" s="250"/>
      <c r="N24" s="24">
        <v>1</v>
      </c>
      <c r="O24" s="248">
        <f t="shared" si="33"/>
        <v>0</v>
      </c>
      <c r="P24" s="251">
        <f t="shared" si="34"/>
        <v>0</v>
      </c>
      <c r="Q24" s="248">
        <f t="shared" si="14"/>
        <v>-3.3857484498648005E-2</v>
      </c>
      <c r="R24" s="251">
        <f t="shared" si="35"/>
        <v>-3.3857484498648005E-2</v>
      </c>
      <c r="S24" s="250"/>
      <c r="T24" s="24">
        <v>0</v>
      </c>
      <c r="U24" s="248">
        <f t="shared" si="15"/>
        <v>0.11344971887793531</v>
      </c>
      <c r="V24" s="252">
        <f t="shared" si="16"/>
        <v>0.11344971887793531</v>
      </c>
      <c r="W24" s="248">
        <f t="shared" si="36"/>
        <v>-6.9650617871082954E-2</v>
      </c>
      <c r="X24" s="258">
        <f t="shared" si="17"/>
        <v>-6.9650617871082954E-2</v>
      </c>
      <c r="Y24" s="248">
        <f t="shared" si="37"/>
        <v>9.1716020338552084E-2</v>
      </c>
      <c r="Z24" s="252">
        <f t="shared" si="18"/>
        <v>9.1716020338552084E-2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VLOOKUP($A24,historia!$A$5:$DD$24,+HLOOKUP(AP$2,historia!$A$3:$EC$4,2,FALSE),FALSE)</f>
        <v>4</v>
      </c>
      <c r="AQ24" s="28">
        <f>VLOOKUP($A24,historia!$A$5:$DD$24,+HLOOKUP(AQ$2,historia!$A$3:$EC$4,2,FALSE),FALSE)</f>
        <v>4</v>
      </c>
      <c r="AR24" s="28">
        <f>VLOOKUP($A24,historia!$A$5:$DD$24,+HLOOKUP(AR$2,historia!$A$3:$EC$4,2,FALSE),FALSE)</f>
        <v>4</v>
      </c>
      <c r="AS24" s="28">
        <f>VLOOKUP($A24,historia!$A$5:$DD$24,+HLOOKUP(AS$2,historia!$A$3:$EC$4,2,FALSE),FALSE)</f>
        <v>4</v>
      </c>
      <c r="AT24" s="58">
        <f>VLOOKUP($A24,historia!$A$5:$DD$24,+HLOOKUP(AT$2,historia!$A$3:$EC$4,2,FALSE),FALSE)</f>
        <v>4</v>
      </c>
      <c r="AU24" s="58">
        <f>VLOOKUP($A24,historia!$A$5:$DD$24,+HLOOKUP(AU$2,historia!$A$3:$EC$4,2,FALSE),FALSE)</f>
        <v>4</v>
      </c>
      <c r="AV24" s="58">
        <f>VLOOKUP($A24,historia!$A$5:$DD$24,+HLOOKUP(AV$2,historia!$A$3:$EC$4,2,FALSE),FALSE)</f>
        <v>4</v>
      </c>
      <c r="AW24" s="58">
        <f>VLOOKUP($A24,historia!$A$5:$DD$24,+HLOOKUP(AW$2,historia!$A$3:$EC$4,2,FALSE),FALSE)</f>
        <v>4</v>
      </c>
      <c r="AX24" s="58">
        <f>VLOOKUP($A24,historia!$A$5:$DD$24,+HLOOKUP(AX$2,historia!$A$3:$EC$4,2,FALSE),FALSE)</f>
        <v>4</v>
      </c>
      <c r="AY24" s="58">
        <f>VLOOKUP($A24,historia!$A$5:$DD$24,+HLOOKUP(AY$2,historia!$A$3:$EC$4,2,FALSE),FALSE)</f>
        <v>4</v>
      </c>
      <c r="AZ24" s="58">
        <f>VLOOKUP($A24,historia!$A$5:$DD$24,+HLOOKUP(AZ$2,historia!$A$3:$EC$4,2,FALSE),FALSE)</f>
        <v>4</v>
      </c>
      <c r="BA24" s="58">
        <f>VLOOKUP($A24,historia!$A$5:$DG$24,+HLOOKUP(BA$2,historia!$A$3:$EC$4,2,FALSE),FALSE)</f>
        <v>4</v>
      </c>
      <c r="BB24" s="58"/>
      <c r="BC24" s="286">
        <v>4</v>
      </c>
      <c r="BD24" t="str">
        <f t="shared" si="19"/>
        <v>Yerba Mate</v>
      </c>
      <c r="BE24">
        <f>+datos!AG1</f>
        <v>33</v>
      </c>
      <c r="BF24" s="2" t="str">
        <f t="shared" si="4"/>
        <v>$/t</v>
      </c>
      <c r="BG24" s="2">
        <f t="shared" si="4"/>
        <v>250000</v>
      </c>
      <c r="BH24" s="2">
        <f t="shared" si="4"/>
        <v>240000</v>
      </c>
      <c r="BI24" s="2">
        <f t="shared" si="4"/>
        <v>300000</v>
      </c>
      <c r="BK24" s="1">
        <f>+datos!ED1</f>
        <v>134</v>
      </c>
      <c r="BL24" s="1">
        <f t="shared" si="20"/>
        <v>231352</v>
      </c>
      <c r="BM24" s="1">
        <f t="shared" si="20"/>
        <v>231352</v>
      </c>
      <c r="BO24" s="1">
        <f>+datos!FZ1</f>
        <v>182</v>
      </c>
      <c r="BP24" s="1">
        <f t="shared" si="21"/>
        <v>847170.76</v>
      </c>
      <c r="BQ24" s="1">
        <f t="shared" si="21"/>
        <v>876859</v>
      </c>
      <c r="BS24" s="1">
        <f>+datos!KD1</f>
        <v>290</v>
      </c>
      <c r="BT24" s="1">
        <f t="shared" si="38"/>
        <v>127.36481629999997</v>
      </c>
      <c r="BU24" s="1">
        <f t="shared" si="39"/>
        <v>114.38757776000001</v>
      </c>
      <c r="BW24" s="1">
        <f>+datos!LI1</f>
        <v>321</v>
      </c>
      <c r="BX24" s="2">
        <f t="shared" si="22"/>
        <v>20.54483896</v>
      </c>
      <c r="BY24" s="2">
        <f t="shared" si="23"/>
        <v>22.082928579999997</v>
      </c>
      <c r="CA24" s="1">
        <f>+datos!IP1</f>
        <v>250</v>
      </c>
      <c r="CB24" s="2">
        <f t="shared" si="24"/>
        <v>6.2691507516094109</v>
      </c>
      <c r="CC24" s="2">
        <f t="shared" si="25"/>
        <v>5.7424738987207355</v>
      </c>
      <c r="CD24" s="2"/>
      <c r="CE24">
        <f>+datos!CY1</f>
        <v>103</v>
      </c>
      <c r="CF24" s="2">
        <f t="shared" si="26"/>
        <v>13876.781509211838</v>
      </c>
      <c r="CG24" s="2">
        <f t="shared" si="26"/>
        <v>13638.46062913666</v>
      </c>
      <c r="CH24" s="2">
        <f t="shared" si="26"/>
        <v>10209.702636474818</v>
      </c>
      <c r="CI24" s="2"/>
      <c r="CK24" s="1">
        <f t="shared" si="42"/>
        <v>10.248770849999998</v>
      </c>
      <c r="CL24" s="1">
        <f t="shared" si="42"/>
        <v>6.8683825000000009</v>
      </c>
      <c r="CM24" s="1">
        <f t="shared" si="42"/>
        <v>11.30577291</v>
      </c>
      <c r="CN24" s="1">
        <f t="shared" si="42"/>
        <v>6.4893821299999992</v>
      </c>
      <c r="CO24" s="1">
        <f t="shared" si="42"/>
        <v>7.9660401599999986</v>
      </c>
      <c r="CP24" s="1">
        <f t="shared" si="42"/>
        <v>11.742414109999999</v>
      </c>
      <c r="CQ24" s="1">
        <f t="shared" si="42"/>
        <v>9.2986503200000001</v>
      </c>
      <c r="CR24" s="1">
        <f t="shared" si="42"/>
        <v>19.294760099999998</v>
      </c>
      <c r="CS24" s="1">
        <f t="shared" si="42"/>
        <v>12.267837869999999</v>
      </c>
      <c r="CT24" s="1">
        <f t="shared" si="42"/>
        <v>8.5848558799999992</v>
      </c>
      <c r="CU24" s="1">
        <f t="shared" si="42"/>
        <v>12.502816449999999</v>
      </c>
      <c r="CV24" s="1">
        <f t="shared" si="42"/>
        <v>10.79513302</v>
      </c>
      <c r="CW24" s="1">
        <f t="shared" si="42"/>
        <v>10.492918690000002</v>
      </c>
      <c r="CX24" s="1">
        <f t="shared" si="42"/>
        <v>7.4906505000000001</v>
      </c>
      <c r="CY24" s="1">
        <f t="shared" si="42"/>
        <v>7.8719914600000003</v>
      </c>
      <c r="CZ24" s="1">
        <f t="shared" si="42"/>
        <v>9.8166064800000008</v>
      </c>
      <c r="DA24" s="1">
        <f t="shared" si="43"/>
        <v>7.1690497699999991</v>
      </c>
      <c r="DB24" s="1">
        <f t="shared" si="43"/>
        <v>10.805856030000001</v>
      </c>
      <c r="DC24" s="1">
        <f t="shared" si="43"/>
        <v>10.476429469999998</v>
      </c>
      <c r="DD24" s="1">
        <f t="shared" si="43"/>
        <v>11.361751129999998</v>
      </c>
      <c r="DE24" s="1">
        <f t="shared" si="43"/>
        <v>10.05873476</v>
      </c>
      <c r="DF24" s="1">
        <f t="shared" si="43"/>
        <v>9.4659040999999995</v>
      </c>
      <c r="DG24" s="1">
        <f t="shared" si="43"/>
        <v>8.3006057400000017</v>
      </c>
      <c r="DH24" s="1">
        <f t="shared" si="43"/>
        <v>11.077079630000002</v>
      </c>
      <c r="DJ24" s="1">
        <f t="shared" si="44"/>
        <v>3.1947428599999999</v>
      </c>
      <c r="DK24" s="1">
        <f t="shared" si="44"/>
        <v>1.8068878900000003</v>
      </c>
      <c r="DL24" s="1">
        <f t="shared" si="44"/>
        <v>1.08154503</v>
      </c>
      <c r="DM24" s="1">
        <f t="shared" si="44"/>
        <v>1.2853964200000001</v>
      </c>
      <c r="DN24" s="1">
        <f t="shared" si="44"/>
        <v>1.1258133800000001</v>
      </c>
      <c r="DO24" s="1">
        <f t="shared" si="44"/>
        <v>1.20972141</v>
      </c>
      <c r="DP24" s="1">
        <f t="shared" si="44"/>
        <v>1.0549183800000002</v>
      </c>
      <c r="DQ24" s="1">
        <f t="shared" si="44"/>
        <v>1.9397561100000003</v>
      </c>
      <c r="DR24" s="1">
        <f t="shared" si="44"/>
        <v>2.1093840299999997</v>
      </c>
      <c r="DS24" s="1">
        <f t="shared" si="44"/>
        <v>1.7438363500000003</v>
      </c>
      <c r="DT24" s="1">
        <f t="shared" si="44"/>
        <v>2.3219247899999997</v>
      </c>
      <c r="DU24" s="1">
        <f t="shared" si="44"/>
        <v>1.6709123100000001</v>
      </c>
      <c r="DV24" s="1">
        <f t="shared" si="44"/>
        <v>3.5033770500000001</v>
      </c>
      <c r="DW24" s="1">
        <f t="shared" si="44"/>
        <v>2.2730154199999997</v>
      </c>
      <c r="DX24" s="1">
        <f t="shared" si="44"/>
        <v>2.4041640299999996</v>
      </c>
      <c r="DY24" s="1">
        <f t="shared" si="44"/>
        <v>2.0218665100000002</v>
      </c>
      <c r="DZ24" s="1">
        <f t="shared" si="41"/>
        <v>1.1839526999999999</v>
      </c>
      <c r="EA24" s="1">
        <f t="shared" si="41"/>
        <v>1.1744757299999999</v>
      </c>
      <c r="EB24" s="1">
        <f t="shared" si="41"/>
        <v>2.1750064099999999</v>
      </c>
      <c r="EC24" s="1">
        <f t="shared" si="41"/>
        <v>2.6101839400000002</v>
      </c>
      <c r="ED24" s="1">
        <f t="shared" si="41"/>
        <v>1.2494588400000002</v>
      </c>
      <c r="EE24" s="1">
        <f t="shared" si="41"/>
        <v>0.60028256999999996</v>
      </c>
      <c r="EF24" s="1">
        <f t="shared" si="41"/>
        <v>1.7316709800000001</v>
      </c>
      <c r="EG24" s="1">
        <f t="shared" si="41"/>
        <v>1.1554743999999999</v>
      </c>
      <c r="EI24" s="14">
        <f t="shared" si="46"/>
        <v>6.2691507516094109</v>
      </c>
      <c r="EJ24" s="14">
        <f t="shared" si="46"/>
        <v>6.3629428462816202</v>
      </c>
      <c r="EK24" s="1">
        <f t="shared" si="46"/>
        <v>6.2699087139586966</v>
      </c>
      <c r="EL24" s="1">
        <f t="shared" si="46"/>
        <v>4.980278516945301</v>
      </c>
      <c r="EM24" s="1">
        <f t="shared" si="46"/>
        <v>5.5266720107101239</v>
      </c>
      <c r="EN24" s="1">
        <f t="shared" si="46"/>
        <v>5.7424738987207355</v>
      </c>
      <c r="EO24" s="1">
        <f t="shared" si="46"/>
        <v>5.7424738987207355</v>
      </c>
      <c r="EP24" s="1">
        <f t="shared" si="46"/>
        <v>5.7424738987207355</v>
      </c>
      <c r="EQ24" s="1">
        <f t="shared" si="46"/>
        <v>5.7424738987207355</v>
      </c>
      <c r="ER24" s="1">
        <f t="shared" si="46"/>
        <v>5.7424738987207355</v>
      </c>
      <c r="ES24" s="1">
        <f t="shared" si="46"/>
        <v>5.7424738987207355</v>
      </c>
      <c r="ET24" s="1">
        <f t="shared" si="46"/>
        <v>5.7424738987207355</v>
      </c>
      <c r="EU24" s="1">
        <f t="shared" si="46"/>
        <v>5.7424738987207355</v>
      </c>
      <c r="EV24" s="1">
        <f t="shared" si="46"/>
        <v>5.7424738987207355</v>
      </c>
      <c r="EW24" s="1">
        <f t="shared" si="46"/>
        <v>5.7424738987207355</v>
      </c>
      <c r="EX24" s="1">
        <f t="shared" si="46"/>
        <v>5.7424738987207355</v>
      </c>
      <c r="EY24" s="1">
        <f t="shared" si="45"/>
        <v>5.7424738987207355</v>
      </c>
      <c r="EZ24" s="1">
        <f t="shared" si="45"/>
        <v>5.5693606783423002</v>
      </c>
      <c r="FA24" s="1">
        <f t="shared" si="45"/>
        <v>5.5693606783423002</v>
      </c>
      <c r="FB24" s="1">
        <f t="shared" si="45"/>
        <v>5.5693606783423002</v>
      </c>
      <c r="FC24" s="1">
        <f t="shared" si="45"/>
        <v>5.5693606783423002</v>
      </c>
      <c r="FD24" s="1">
        <f t="shared" si="45"/>
        <v>5.5693606783423002</v>
      </c>
      <c r="FE24" s="1">
        <f t="shared" si="45"/>
        <v>5.5693606783423002</v>
      </c>
      <c r="FF24" s="1">
        <f t="shared" si="45"/>
        <v>5.5693606783423002</v>
      </c>
      <c r="FH24" s="162">
        <f t="shared" si="32"/>
        <v>-0.52584254115650186</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37"/>
        <v/>
      </c>
      <c r="Z25" s="194"/>
      <c r="AA25" s="30"/>
      <c r="AB25" s="57"/>
      <c r="AT25" s="58"/>
      <c r="AU25" s="58"/>
      <c r="AV25" s="58"/>
      <c r="AW25" s="58"/>
      <c r="AX25" s="58"/>
      <c r="AY25" s="58"/>
      <c r="AZ25" s="58"/>
      <c r="BA25" s="58"/>
      <c r="BB25" s="58"/>
      <c r="BF25" s="2"/>
      <c r="BG25" s="2"/>
      <c r="BH25" s="2"/>
      <c r="BI25" s="2"/>
      <c r="BK25" s="1"/>
      <c r="BL25" s="1"/>
      <c r="BM25" s="1"/>
      <c r="BO25" s="1"/>
      <c r="BP25" s="1"/>
      <c r="BQ25" s="1"/>
      <c r="BS25" s="1"/>
      <c r="BT25" s="1"/>
      <c r="BU25" s="1"/>
      <c r="BW25" s="1"/>
      <c r="BX25" s="2"/>
      <c r="BY25" s="2"/>
      <c r="CA25" s="1"/>
      <c r="CB25" s="1"/>
      <c r="CC25" s="1"/>
      <c r="CD25" s="1"/>
      <c r="CF25" s="2"/>
      <c r="CG25" s="2"/>
      <c r="CH25" s="2"/>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G26" s="12"/>
      <c r="K26" s="12"/>
      <c r="O26" s="12"/>
      <c r="Y26" s="386"/>
      <c r="AB26" s="57"/>
      <c r="BI26" s="2"/>
      <c r="BP26" s="1"/>
      <c r="BT26" s="1"/>
    </row>
    <row r="27" spans="1:164" ht="18.75" customHeight="1">
      <c r="K27" s="177"/>
      <c r="X27" s="162"/>
      <c r="BC27" s="751"/>
      <c r="BL27" s="1"/>
      <c r="BM27" s="1"/>
      <c r="BP27" s="1"/>
      <c r="BQ27" s="1"/>
      <c r="BT27" s="1">
        <f>BT21-BU21</f>
        <v>8.8927214499999927</v>
      </c>
      <c r="BU27" s="1"/>
      <c r="BX27" s="1"/>
      <c r="BY27" s="1"/>
      <c r="FH27" s="167">
        <f>+COUNTIF(FH6:FH24,"&gt;0")</f>
        <v>6</v>
      </c>
    </row>
    <row r="28" spans="1:164" ht="18.75" customHeight="1">
      <c r="C28" s="156"/>
      <c r="E28" s="167"/>
      <c r="F28" s="29"/>
      <c r="I28" s="167"/>
      <c r="J28" s="29"/>
      <c r="L28" s="29"/>
      <c r="O28"/>
      <c r="P28" s="262"/>
      <c r="R28" s="262"/>
      <c r="U28" s="29"/>
      <c r="BP28" s="167"/>
      <c r="BT28" s="10"/>
      <c r="BX28" s="10"/>
      <c r="DK28" s="847"/>
    </row>
    <row r="29" spans="1:164" ht="18.75" customHeight="1">
      <c r="C29" s="156"/>
      <c r="E29" s="167"/>
      <c r="F29" s="29"/>
      <c r="I29" s="167"/>
      <c r="J29" s="29"/>
      <c r="L29" s="29"/>
      <c r="O29"/>
      <c r="P29" s="262"/>
      <c r="R29" s="262"/>
      <c r="U29" s="29"/>
      <c r="BP29" s="167"/>
    </row>
    <row r="30" spans="1:164" ht="18.75" customHeight="1">
      <c r="C30" s="156"/>
      <c r="E30" s="167"/>
      <c r="F30" s="29"/>
      <c r="I30" s="167"/>
      <c r="J30" s="29"/>
      <c r="L30" s="29"/>
      <c r="O30"/>
      <c r="P30" s="262"/>
      <c r="R30" s="262"/>
      <c r="U30" s="29"/>
      <c r="X30" s="14"/>
      <c r="BP30" s="167"/>
      <c r="BS30" s="1"/>
    </row>
    <row r="31" spans="1:164" ht="18.75" customHeight="1">
      <c r="K31" s="12"/>
    </row>
    <row r="32" spans="1:164" ht="18.75" customHeight="1">
      <c r="C32" s="157"/>
      <c r="I32" s="14"/>
      <c r="J32" s="14"/>
      <c r="K32" s="14"/>
      <c r="Y32" s="163"/>
    </row>
    <row r="33" spans="1:165" ht="18.75" customHeight="1">
      <c r="C33" s="157"/>
    </row>
    <row r="34" spans="1:165" s="23" customFormat="1" ht="18.75" customHeight="1">
      <c r="A34" s="11"/>
      <c r="B34" s="11"/>
      <c r="C34" s="157"/>
      <c r="D34" s="57"/>
      <c r="E34" s="12"/>
      <c r="F34" s="37"/>
      <c r="G34"/>
      <c r="H34" s="37"/>
      <c r="I34" s="12"/>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2">
      <iconSet>
        <cfvo type="percent" val="0"/>
        <cfvo type="num" val="0"/>
        <cfvo type="num" val="0" gte="0"/>
      </iconSet>
    </cfRule>
  </conditionalFormatting>
  <conditionalFormatting sqref="F28:F30">
    <cfRule type="iconSet" priority="6">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10">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1">
      <iconSet>
        <cfvo type="percent" val="0"/>
        <cfvo type="num" val="0"/>
        <cfvo type="num" val="0" gte="0"/>
      </iconSet>
    </cfRule>
  </conditionalFormatting>
  <conditionalFormatting sqref="J18">
    <cfRule type="iconSet" priority="3">
      <iconSet>
        <cfvo type="percent" val="0"/>
        <cfvo type="num" val="0"/>
        <cfvo type="num" val="0" gte="0"/>
      </iconSet>
    </cfRule>
  </conditionalFormatting>
  <conditionalFormatting sqref="J28:J30">
    <cfRule type="iconSet" priority="8">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7">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4">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4">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9">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3">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
      <iconSet>
        <cfvo type="percent" val="0"/>
        <cfvo type="num" val="0"/>
        <cfvo type="num" val="0" gte="0"/>
      </iconSet>
    </cfRule>
  </conditionalFormatting>
  <conditionalFormatting sqref="Z11">
    <cfRule type="iconSet" priority="20">
      <iconSet>
        <cfvo type="percent" val="0"/>
        <cfvo type="num" val="0"/>
        <cfvo type="num" val="0" gte="0"/>
      </iconSet>
    </cfRule>
  </conditionalFormatting>
  <conditionalFormatting sqref="Z12">
    <cfRule type="iconSet" priority="1">
      <iconSet>
        <cfvo type="percent" val="0"/>
        <cfvo type="num" val="0"/>
        <cfvo type="num" val="0" gte="0"/>
      </iconSet>
    </cfRule>
  </conditionalFormatting>
  <conditionalFormatting sqref="Z13">
    <cfRule type="iconSet" priority="19">
      <iconSet>
        <cfvo type="percent" val="0"/>
        <cfvo type="num" val="0"/>
        <cfvo type="num" val="0" gte="0"/>
      </iconSet>
    </cfRule>
  </conditionalFormatting>
  <conditionalFormatting sqref="Z18">
    <cfRule type="iconSet" priority="18">
      <iconSet>
        <cfvo type="percent" val="0"/>
        <cfvo type="num" val="0"/>
        <cfvo type="num" val="0" gte="0"/>
      </iconSet>
    </cfRule>
  </conditionalFormatting>
  <conditionalFormatting sqref="Z19">
    <cfRule type="iconSet" priority="17">
      <iconSet>
        <cfvo type="percent" val="0"/>
        <cfvo type="num" val="0"/>
        <cfvo type="num" val="0" gte="0"/>
      </iconSet>
    </cfRule>
  </conditionalFormatting>
  <conditionalFormatting sqref="Z20">
    <cfRule type="iconSet" priority="16">
      <iconSet>
        <cfvo type="percent" val="0"/>
        <cfvo type="num" val="0"/>
        <cfvo type="num" val="0" gte="0"/>
      </iconSet>
    </cfRule>
  </conditionalFormatting>
  <conditionalFormatting sqref="Z22">
    <cfRule type="iconSet" priority="15">
      <iconSet>
        <cfvo type="percent" val="0"/>
        <cfvo type="num" val="0"/>
        <cfvo type="num" val="0" gte="0"/>
      </iconSet>
    </cfRule>
  </conditionalFormatting>
  <conditionalFormatting sqref="Z24">
    <cfRule type="iconSet" priority="5">
      <iconSet>
        <cfvo type="percent" val="0"/>
        <cfvo type="num" val="0"/>
        <cfvo type="num" val="0" gte="0"/>
      </iconSet>
    </cfRule>
  </conditionalFormatting>
  <conditionalFormatting sqref="AC6:AM24 AC25 AE25:AM25">
    <cfRule type="expression" dxfId="389" priority="48">
      <formula>AP6=3</formula>
    </cfRule>
    <cfRule type="expression" dxfId="388" priority="49">
      <formula>AP6=5</formula>
    </cfRule>
    <cfRule type="expression" dxfId="387" priority="50">
      <formula>AP6=4</formula>
    </cfRule>
    <cfRule type="expression" dxfId="386" priority="51">
      <formula>AP6=2</formula>
    </cfRule>
    <cfRule type="expression" dxfId="385" priority="52">
      <formula>AP6=1</formula>
    </cfRule>
    <cfRule type="expression" dxfId="384" priority="53">
      <formula>AP6=0</formula>
    </cfRule>
  </conditionalFormatting>
  <conditionalFormatting sqref="AN6:AN25">
    <cfRule type="expression" dxfId="383" priority="65">
      <formula>BA6=0</formula>
    </cfRule>
    <cfRule type="expression" dxfId="382" priority="60">
      <formula>BA6=3</formula>
    </cfRule>
    <cfRule type="expression" dxfId="381" priority="61">
      <formula>BA6=5</formula>
    </cfRule>
    <cfRule type="expression" dxfId="380" priority="62">
      <formula>BA6=4</formula>
    </cfRule>
    <cfRule type="expression" dxfId="379" priority="63">
      <formula>BA6=2</formula>
    </cfRule>
    <cfRule type="expression" dxfId="378" priority="64">
      <formula>BA6=1</formula>
    </cfRule>
  </conditionalFormatting>
  <conditionalFormatting sqref="AO6:AO25">
    <cfRule type="expression" dxfId="377" priority="54">
      <formula>#REF!=3</formula>
    </cfRule>
    <cfRule type="expression" dxfId="376" priority="55">
      <formula>#REF!=5</formula>
    </cfRule>
    <cfRule type="expression" dxfId="375" priority="56">
      <formula>#REF!=4</formula>
    </cfRule>
    <cfRule type="expression" dxfId="374" priority="58">
      <formula>#REF!=1</formula>
    </cfRule>
    <cfRule type="expression" dxfId="373" priority="59">
      <formula>#REF!=0</formula>
    </cfRule>
    <cfRule type="expression" dxfId="372" priority="57">
      <formula>#REF!=2</formula>
    </cfRule>
  </conditionalFormatting>
  <conditionalFormatting sqref="FH6:FH25 FH27">
    <cfRule type="colorScale" priority="23">
      <colorScale>
        <cfvo type="min"/>
        <cfvo type="percentile" val="50"/>
        <cfvo type="max"/>
        <color rgb="FFF8696B"/>
        <color rgb="FFFFEB84"/>
        <color rgb="FF63BE7B"/>
      </colorScale>
    </cfRule>
  </conditionalFormatting>
  <dataValidations disablePrompts="1" count="1">
    <dataValidation type="list" allowBlank="1" showInputMessage="1" showErrorMessage="1" sqref="B1" xr:uid="{612AB3A8-E958-4C61-8D20-F6A451074A29}">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31" id="{F8BB0784-743D-4D52-8A94-F579162C1E77}">
            <x14:iconSet custom="1">
              <x14:cfvo type="percent">
                <xm:f>0</xm:f>
              </x14:cfvo>
              <x14:cfvo type="num">
                <xm:f>0</xm:f>
              </x14:cfvo>
              <x14:cfvo type="num" gte="0">
                <xm:f>0</xm:f>
              </x14:cfvo>
              <x14:cfIcon iconSet="3TrafficLights1" iconId="2"/>
              <x14:cfIcon iconSet="3TrafficLights1" iconId="1"/>
              <x14:cfIcon iconSet="3TrafficLights1" iconId="0"/>
            </x14:iconSet>
          </x14:cfRule>
          <xm:sqref>X6:X24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F9C74021-4E05-4B4A-9997-6D7CE4C8065C}">
          <x14:formula1>
            <xm:f>datos!$A$10:$A$178</xm:f>
          </x14:formula1>
          <xm:sqref>A1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82DBF-3702-4F64-A77A-B9CCD6B6D6B6}">
  <sheetPr>
    <tabColor theme="5" tint="-0.249977111117893"/>
    <pageSetUpPr fitToPage="1"/>
  </sheetPr>
  <dimension ref="A1:FI47"/>
  <sheetViews>
    <sheetView showGridLines="0" zoomScale="70" zoomScaleNormal="70" workbookViewId="0">
      <pane xSplit="4" topLeftCell="E1" activePane="topRight" state="frozen"/>
      <selection pane="topRight" activeCell="E24" sqref="E24"/>
    </sheetView>
  </sheetViews>
  <sheetFormatPr baseColWidth="10" defaultRowHeight="18.75" customHeight="1"/>
  <cols>
    <col min="1" max="1" width="18.88671875" style="11" customWidth="1"/>
    <col min="2" max="2" width="2.109375" style="11" hidden="1" customWidth="1"/>
    <col min="3" max="3" width="5.44140625" style="154" hidden="1" customWidth="1"/>
    <col min="4" max="4" width="0.1093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5.33203125" bestFit="1" customWidth="1"/>
    <col min="27" max="27" width="1.44140625" customWidth="1"/>
    <col min="28" max="28" width="53" style="11" hidden="1" customWidth="1"/>
    <col min="29" max="38" width="1.88671875" style="57" customWidth="1"/>
    <col min="39" max="39" width="2" style="57" customWidth="1"/>
    <col min="40" max="40" width="3.5546875" style="57" customWidth="1"/>
    <col min="41" max="41" width="1.44140625" style="57" customWidth="1"/>
    <col min="42" max="42" width="5.5546875" style="28" hidden="1" customWidth="1"/>
    <col min="43" max="44" width="5.6640625" style="28" hidden="1" customWidth="1"/>
    <col min="45" max="45" width="6.33203125" style="28" hidden="1" customWidth="1"/>
    <col min="46" max="46" width="5.6640625" hidden="1" customWidth="1"/>
    <col min="47" max="48" width="6.33203125" hidden="1" customWidth="1"/>
    <col min="49" max="49" width="5.6640625" hidden="1" customWidth="1"/>
    <col min="50" max="50" width="6" hidden="1" customWidth="1"/>
    <col min="51" max="51" width="5.33203125" hidden="1" customWidth="1"/>
    <col min="52" max="52" width="5.6640625" hidden="1" customWidth="1"/>
    <col min="53" max="53" width="5.5546875" hidden="1" customWidth="1"/>
    <col min="54" max="54" width="7.44140625" customWidth="1"/>
    <col min="55" max="55" width="11.6640625" style="141" customWidth="1"/>
    <col min="56" max="56" width="12" customWidth="1"/>
    <col min="57" max="57" width="0.88671875" customWidth="1"/>
    <col min="58" max="58" width="7.88671875" customWidth="1"/>
    <col min="59" max="61" width="8.88671875" bestFit="1" customWidth="1"/>
    <col min="62" max="62" width="3.6640625" customWidth="1"/>
    <col min="63" max="63" width="1.33203125" customWidth="1"/>
    <col min="64" max="64" width="12.88671875" customWidth="1"/>
    <col min="65" max="65" width="12.44140625" customWidth="1"/>
    <col min="66" max="66" width="2.44140625" customWidth="1"/>
    <col min="67" max="67" width="5.109375" customWidth="1"/>
    <col min="68" max="68" width="14.44140625" bestFit="1" customWidth="1"/>
    <col min="69" max="69" width="12.5546875" customWidth="1"/>
    <col min="70" max="70" width="2.44140625" customWidth="1"/>
    <col min="71" max="71" width="8.109375" customWidth="1"/>
    <col min="72" max="73" width="7.5546875" customWidth="1"/>
    <col min="74" max="74" width="2.88671875" customWidth="1"/>
    <col min="75" max="75" width="0.88671875" customWidth="1"/>
    <col min="76" max="77" width="7.44140625" customWidth="1"/>
    <col min="78" max="79" width="7.109375" customWidth="1"/>
    <col min="80" max="81" width="9.88671875" bestFit="1" customWidth="1"/>
    <col min="82" max="82" width="4.33203125" customWidth="1"/>
    <col min="83" max="83" width="7.109375" bestFit="1" customWidth="1"/>
    <col min="84" max="84" width="7.88671875" bestFit="1" customWidth="1"/>
    <col min="85" max="86" width="7.88671875" customWidth="1"/>
    <col min="87" max="87" width="10.88671875" customWidth="1"/>
    <col min="88" max="88" width="7" bestFit="1" customWidth="1"/>
    <col min="89" max="89" width="11" bestFit="1" customWidth="1"/>
    <col min="90" max="90" width="7.44140625" bestFit="1" customWidth="1"/>
    <col min="91" max="91" width="6.88671875" bestFit="1" customWidth="1"/>
    <col min="92" max="92" width="7" bestFit="1" customWidth="1"/>
    <col min="93" max="93" width="7.44140625" bestFit="1" customWidth="1"/>
    <col min="94" max="94" width="7.109375" bestFit="1" customWidth="1"/>
    <col min="95" max="95" width="6.6640625" bestFit="1" customWidth="1"/>
    <col min="96" max="96" width="6.8867187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2" width="7.44140625" bestFit="1" customWidth="1"/>
    <col min="103" max="103" width="6.88671875" bestFit="1" customWidth="1"/>
    <col min="104" max="104" width="6.5546875" bestFit="1" customWidth="1"/>
    <col min="105" max="105" width="6.88671875" bestFit="1" customWidth="1"/>
    <col min="106" max="106" width="7.109375" bestFit="1" customWidth="1"/>
    <col min="107" max="107" width="6.6640625" bestFit="1" customWidth="1"/>
    <col min="108" max="108" width="6.88671875" bestFit="1" customWidth="1"/>
    <col min="109" max="109" width="7.44140625" bestFit="1" customWidth="1"/>
    <col min="110" max="110" width="6.6640625" bestFit="1" customWidth="1"/>
    <col min="111" max="111" width="6.109375" bestFit="1" customWidth="1"/>
    <col min="112" max="112" width="7" bestFit="1" customWidth="1"/>
    <col min="113" max="113" width="5" customWidth="1"/>
    <col min="114" max="114" width="11" bestFit="1" customWidth="1"/>
    <col min="115" max="115" width="6.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3" width="6.6640625" bestFit="1" customWidth="1"/>
    <col min="134" max="134" width="7.44140625" bestFit="1" customWidth="1"/>
    <col min="135" max="136" width="6.664062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46113</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46113</v>
      </c>
      <c r="BH1" s="3">
        <v>46082</v>
      </c>
      <c r="BI1" s="3">
        <f>+VLOOKUP(BI2,datos!$D:$E,2,FALSE)</f>
        <v>45748</v>
      </c>
      <c r="BL1" s="3">
        <f>+A1</f>
        <v>46113</v>
      </c>
      <c r="BM1" s="3">
        <f>+VLOOKUP(BM2,datos!$D:$E,2,FALSE)</f>
        <v>45748</v>
      </c>
      <c r="BP1" s="3">
        <f>+A1</f>
        <v>46113</v>
      </c>
      <c r="BQ1" s="3">
        <f>+VLOOKUP(BQ2,datos!$D:$E,2,FALSE)</f>
        <v>45748</v>
      </c>
      <c r="BT1" t="s">
        <v>279</v>
      </c>
      <c r="BU1" t="s">
        <v>280</v>
      </c>
      <c r="BX1" t="s">
        <v>279</v>
      </c>
      <c r="BY1" t="s">
        <v>280</v>
      </c>
      <c r="CB1" t="s">
        <v>282</v>
      </c>
      <c r="CC1" t="s">
        <v>283</v>
      </c>
      <c r="CF1" s="3">
        <f>+A1</f>
        <v>46113</v>
      </c>
      <c r="CG1" s="3">
        <f>+VLOOKUP(CG2,datos!$D:$E,2,FALSE)</f>
        <v>46082</v>
      </c>
      <c r="CH1" s="3">
        <f>+VLOOKUP(CH2,datos!$D:$E,2,FALSE)</f>
        <v>45748</v>
      </c>
      <c r="CJ1" s="3">
        <f>+A1</f>
        <v>46113</v>
      </c>
      <c r="CK1" s="3">
        <f>+VLOOKUP(CK2,datos!$D:$E,2,FALSE)</f>
        <v>46113</v>
      </c>
      <c r="CL1" s="3">
        <f>+VLOOKUP(CL2,datos!$D:$E,2,FALSE)</f>
        <v>46082</v>
      </c>
      <c r="CM1" s="3">
        <f>+VLOOKUP(CM2,datos!$D:$E,2,FALSE)</f>
        <v>46054</v>
      </c>
      <c r="CN1" s="3">
        <f>+VLOOKUP(CN2,datos!$D:$E,2,FALSE)</f>
        <v>46023</v>
      </c>
      <c r="CO1" s="3">
        <f>+VLOOKUP(CO2,datos!$D:$E,2,FALSE)</f>
        <v>45992</v>
      </c>
      <c r="CP1" s="3">
        <f>+VLOOKUP(CP2,datos!$D:$E,2,FALSE)</f>
        <v>45962</v>
      </c>
      <c r="CQ1" s="3">
        <f>+VLOOKUP(CQ2,datos!$D:$E,2,FALSE)</f>
        <v>45931</v>
      </c>
      <c r="CR1" s="3">
        <f>+VLOOKUP(CR2,datos!$D:$E,2,FALSE)</f>
        <v>45901</v>
      </c>
      <c r="CS1" s="3">
        <f>+VLOOKUP(CS2,datos!$D:$E,2,FALSE)</f>
        <v>45870</v>
      </c>
      <c r="CT1" s="3">
        <f>+VLOOKUP(CT2,datos!$D:$E,2,FALSE)</f>
        <v>45839</v>
      </c>
      <c r="CU1" s="3">
        <f>+VLOOKUP(CU2,datos!$D:$E,2,FALSE)</f>
        <v>45809</v>
      </c>
      <c r="CV1" s="3">
        <f>+VLOOKUP(CV2,datos!$D:$E,2,FALSE)</f>
        <v>45778</v>
      </c>
      <c r="CW1" s="3">
        <f>+VLOOKUP(CW2,datos!$D:$E,2,FALSE)</f>
        <v>45748</v>
      </c>
      <c r="CX1" s="3">
        <f>+VLOOKUP(CX2,datos!$D:$E,2,FALSE)</f>
        <v>45717</v>
      </c>
      <c r="CY1" s="3">
        <f>+VLOOKUP(CY2,datos!$D:$E,2,FALSE)</f>
        <v>45689</v>
      </c>
      <c r="CZ1" s="3">
        <f>+VLOOKUP(CZ2,datos!$D:$E,2,FALSE)</f>
        <v>45658</v>
      </c>
      <c r="DA1" s="3">
        <f>+VLOOKUP(DA2,datos!$D:$E,2,FALSE)</f>
        <v>45627</v>
      </c>
      <c r="DB1" s="3">
        <f>+VLOOKUP(DB2,datos!$D:$E,2,FALSE)</f>
        <v>45597</v>
      </c>
      <c r="DC1" s="3">
        <f>+VLOOKUP(DC2,datos!$D:$E,2,FALSE)</f>
        <v>45566</v>
      </c>
      <c r="DD1" s="3">
        <f>+VLOOKUP(DD2,datos!$D:$E,2,FALSE)</f>
        <v>45536</v>
      </c>
      <c r="DE1" s="3">
        <f>+VLOOKUP(DE2,datos!$D:$E,2,FALSE)</f>
        <v>45505</v>
      </c>
      <c r="DF1" s="3">
        <f>+VLOOKUP(DF2,datos!$D:$E,2,FALSE)</f>
        <v>45474</v>
      </c>
      <c r="DG1" s="3">
        <f>+VLOOKUP(DG2,datos!$D:$E,2,FALSE)</f>
        <v>45444</v>
      </c>
      <c r="DH1" s="3">
        <f>+VLOOKUP(DH2,datos!$D:$E,2,FALSE)</f>
        <v>45413</v>
      </c>
      <c r="DJ1" s="3">
        <f>+CK1</f>
        <v>46113</v>
      </c>
      <c r="DK1" s="3">
        <f>+VLOOKUP(DK2,datos!$D:$E,2,FALSE)</f>
        <v>46082</v>
      </c>
      <c r="DL1" s="3">
        <f>+VLOOKUP(DL2,datos!$D:$E,2,FALSE)</f>
        <v>46054</v>
      </c>
      <c r="DM1" s="3">
        <f>+VLOOKUP(DM2,datos!$D:$E,2,FALSE)</f>
        <v>46023</v>
      </c>
      <c r="DN1" s="3">
        <f>+VLOOKUP(DN2,datos!$D:$E,2,FALSE)</f>
        <v>45992</v>
      </c>
      <c r="DO1" s="3">
        <f>+VLOOKUP(DO2,datos!$D:$E,2,FALSE)</f>
        <v>45962</v>
      </c>
      <c r="DP1" s="3">
        <f>+VLOOKUP(DP2,datos!$D:$E,2,FALSE)</f>
        <v>45931</v>
      </c>
      <c r="DQ1" s="3">
        <f>+VLOOKUP(DQ2,datos!$D:$E,2,FALSE)</f>
        <v>45901</v>
      </c>
      <c r="DR1" s="3">
        <f>+VLOOKUP(DR2,datos!$D:$E,2,FALSE)</f>
        <v>45870</v>
      </c>
      <c r="DS1" s="3">
        <f>+VLOOKUP(DS2,datos!$D:$E,2,FALSE)</f>
        <v>45839</v>
      </c>
      <c r="DT1" s="3">
        <f>+VLOOKUP(DT2,datos!$D:$E,2,FALSE)</f>
        <v>45809</v>
      </c>
      <c r="DU1" s="3">
        <f>+VLOOKUP(DU2,datos!$D:$E,2,FALSE)</f>
        <v>45778</v>
      </c>
      <c r="DV1" s="3">
        <f>+VLOOKUP(DV2,datos!$D:$E,2,FALSE)</f>
        <v>45748</v>
      </c>
      <c r="DW1" s="3">
        <f>+VLOOKUP(DW2,datos!$D:$E,2,FALSE)</f>
        <v>45717</v>
      </c>
      <c r="DX1" s="3">
        <f>+VLOOKUP(DX2,datos!$D:$E,2,FALSE)</f>
        <v>45689</v>
      </c>
      <c r="DY1" s="3">
        <f>+VLOOKUP(DY2,datos!$D:$E,2,FALSE)</f>
        <v>45658</v>
      </c>
      <c r="DZ1" s="3">
        <f>+VLOOKUP(DZ2,datos!$D:$E,2,FALSE)</f>
        <v>45627</v>
      </c>
      <c r="EA1" s="3">
        <f>+VLOOKUP(EA2,datos!$D:$E,2,FALSE)</f>
        <v>45597</v>
      </c>
      <c r="EB1" s="3">
        <f>+VLOOKUP(EB2,datos!$D:$E,2,FALSE)</f>
        <v>45566</v>
      </c>
      <c r="EC1" s="3">
        <f>+VLOOKUP(EC2,datos!$D:$E,2,FALSE)</f>
        <v>45536</v>
      </c>
      <c r="ED1" s="3">
        <f>+VLOOKUP(ED2,datos!$D:$E,2,FALSE)</f>
        <v>45505</v>
      </c>
      <c r="EE1" s="3">
        <f>+VLOOKUP(EE2,datos!$D:$E,2,FALSE)</f>
        <v>45474</v>
      </c>
      <c r="EF1" s="3">
        <f>+VLOOKUP(EF2,datos!$D:$E,2,FALSE)</f>
        <v>45444</v>
      </c>
      <c r="EG1" s="3">
        <f>+VLOOKUP(EG2,datos!$D:$E,2,FALSE)</f>
        <v>45413</v>
      </c>
      <c r="EI1" s="700">
        <f>+CK1</f>
        <v>46113</v>
      </c>
      <c r="EJ1" s="700">
        <f t="shared" ref="EJ1:FF1" si="0">+CL1</f>
        <v>46082</v>
      </c>
      <c r="EK1" s="3">
        <f t="shared" si="0"/>
        <v>46054</v>
      </c>
      <c r="EL1" s="3">
        <f t="shared" si="0"/>
        <v>46023</v>
      </c>
      <c r="EM1" s="3">
        <f t="shared" si="0"/>
        <v>45992</v>
      </c>
      <c r="EN1" s="3">
        <f t="shared" si="0"/>
        <v>45962</v>
      </c>
      <c r="EO1" s="3">
        <f t="shared" si="0"/>
        <v>45931</v>
      </c>
      <c r="EP1" s="3">
        <f t="shared" si="0"/>
        <v>45901</v>
      </c>
      <c r="EQ1" s="3">
        <f t="shared" si="0"/>
        <v>45870</v>
      </c>
      <c r="ER1" s="3">
        <f t="shared" si="0"/>
        <v>45839</v>
      </c>
      <c r="ES1" s="3">
        <f t="shared" si="0"/>
        <v>45809</v>
      </c>
      <c r="ET1" s="3">
        <f t="shared" si="0"/>
        <v>45778</v>
      </c>
      <c r="EU1" s="3">
        <f t="shared" si="0"/>
        <v>45748</v>
      </c>
      <c r="EV1" s="3">
        <f t="shared" si="0"/>
        <v>45717</v>
      </c>
      <c r="EW1" s="3">
        <f t="shared" si="0"/>
        <v>45689</v>
      </c>
      <c r="EX1" s="3">
        <f t="shared" si="0"/>
        <v>45658</v>
      </c>
      <c r="EY1" s="3">
        <f t="shared" si="0"/>
        <v>45627</v>
      </c>
      <c r="EZ1" s="3">
        <f t="shared" si="0"/>
        <v>45597</v>
      </c>
      <c r="FA1" s="3">
        <f t="shared" si="0"/>
        <v>45566</v>
      </c>
      <c r="FB1" s="3">
        <f t="shared" si="0"/>
        <v>45536</v>
      </c>
      <c r="FC1" s="3">
        <f t="shared" si="0"/>
        <v>45505</v>
      </c>
      <c r="FD1" s="3">
        <f t="shared" si="0"/>
        <v>45474</v>
      </c>
      <c r="FE1" s="3">
        <f t="shared" si="0"/>
        <v>45444</v>
      </c>
      <c r="FF1" s="3">
        <f t="shared" si="0"/>
        <v>45413</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45778</v>
      </c>
      <c r="AQ2" s="174">
        <f>VLOOKUP(VLOOKUP(+$A$1,ran_ma,2,FALSE)-10,ran_idma,2,FALSE)</f>
        <v>45809</v>
      </c>
      <c r="AR2" s="174">
        <f>VLOOKUP(VLOOKUP(+$A$1,ran_ma,2,FALSE)-9,ran_idma,2,FALSE)</f>
        <v>45839</v>
      </c>
      <c r="AS2" s="174">
        <f>VLOOKUP(VLOOKUP(+$A$1,ran_ma,2,FALSE)-8,ran_idma,2,FALSE)</f>
        <v>45870</v>
      </c>
      <c r="AT2" s="59">
        <f>VLOOKUP(VLOOKUP(+$A$1,ran_ma,2,FALSE)-7,ran_idma,2,FALSE)</f>
        <v>45901</v>
      </c>
      <c r="AU2" s="59">
        <f>VLOOKUP(VLOOKUP(+$A$1,ran_ma,2,FALSE)-6,ran_idma,2,FALSE)</f>
        <v>45931</v>
      </c>
      <c r="AV2" s="59">
        <f>VLOOKUP(VLOOKUP(+$A$1,ran_ma,2,FALSE)-5,ran_idma,2,FALSE)</f>
        <v>45962</v>
      </c>
      <c r="AW2" s="59">
        <f>VLOOKUP(VLOOKUP(+$A$1,ran_ma,2,FALSE)-4,ran_idma,2,FALSE)</f>
        <v>45992</v>
      </c>
      <c r="AX2" s="59">
        <f>VLOOKUP(VLOOKUP(+$A$1,ran_ma,2,FALSE)-3,ran_idma,2,FALSE)</f>
        <v>46023</v>
      </c>
      <c r="AY2" s="59">
        <f>VLOOKUP(VLOOKUP(+$A$1,ran_ma,2,FALSE)-2,ran_idma,2,FALSE)</f>
        <v>46054</v>
      </c>
      <c r="AZ2" s="59">
        <f>VLOOKUP(VLOOKUP(+$A$1,ran_ma,2,FALSE)-1,ran_idma,2,FALSE)</f>
        <v>46082</v>
      </c>
      <c r="BA2" s="59">
        <f>VLOOKUP(VLOOKUP(+$A$1,ran_ma,2,FALSE)-0,ran_idma,2,FALSE)</f>
        <v>46113</v>
      </c>
      <c r="BB2" s="59"/>
      <c r="BC2" s="170"/>
      <c r="BE2" s="9" t="s">
        <v>272</v>
      </c>
      <c r="BG2">
        <f>+VLOOKUP(BG1,ran_dat,datos!$D$1,FALSE)</f>
        <v>133</v>
      </c>
      <c r="BH2">
        <f>+BG2-1</f>
        <v>132</v>
      </c>
      <c r="BI2">
        <f>+BG2-12</f>
        <v>121</v>
      </c>
      <c r="BK2" s="9"/>
      <c r="BL2">
        <f>+VLOOKUP(BL1,ran_dat,datos!$D$1,FALSE)</f>
        <v>133</v>
      </c>
      <c r="BM2">
        <f>+BL2-12</f>
        <v>121</v>
      </c>
      <c r="BO2" s="9"/>
      <c r="BP2">
        <f>+VLOOKUP(BP1,ran_dat,datos!$D$1,FALSE)</f>
        <v>133</v>
      </c>
      <c r="BQ2">
        <f>+BP2-12</f>
        <v>121</v>
      </c>
      <c r="BS2" s="9"/>
      <c r="BW2" s="9"/>
      <c r="CD2" s="386"/>
      <c r="CE2" s="9"/>
      <c r="CF2">
        <f>+VLOOKUP(CF1,ran_dat,datos!$D$1,FALSE)</f>
        <v>133</v>
      </c>
      <c r="CG2">
        <f>+CF2-1</f>
        <v>132</v>
      </c>
      <c r="CH2">
        <f>+CF2-12</f>
        <v>121</v>
      </c>
      <c r="CI2" s="386"/>
      <c r="CJ2">
        <f>+VLOOKUP(CJ1,ran_dat,datos!$D$1,FALSE)</f>
        <v>133</v>
      </c>
      <c r="CK2">
        <f>+CJ2</f>
        <v>133</v>
      </c>
      <c r="CL2">
        <f t="shared" ref="CL2:DH2" si="1">+CK2-1</f>
        <v>132</v>
      </c>
      <c r="CM2">
        <f t="shared" si="1"/>
        <v>131</v>
      </c>
      <c r="CN2">
        <f t="shared" si="1"/>
        <v>130</v>
      </c>
      <c r="CO2">
        <f t="shared" si="1"/>
        <v>129</v>
      </c>
      <c r="CP2">
        <f t="shared" si="1"/>
        <v>128</v>
      </c>
      <c r="CQ2">
        <f t="shared" si="1"/>
        <v>127</v>
      </c>
      <c r="CR2">
        <f t="shared" si="1"/>
        <v>126</v>
      </c>
      <c r="CS2">
        <f t="shared" si="1"/>
        <v>125</v>
      </c>
      <c r="CT2">
        <f t="shared" si="1"/>
        <v>124</v>
      </c>
      <c r="CU2">
        <f t="shared" si="1"/>
        <v>123</v>
      </c>
      <c r="CV2">
        <f t="shared" si="1"/>
        <v>122</v>
      </c>
      <c r="CW2">
        <f t="shared" si="1"/>
        <v>121</v>
      </c>
      <c r="CX2">
        <f t="shared" si="1"/>
        <v>120</v>
      </c>
      <c r="CY2">
        <f t="shared" si="1"/>
        <v>119</v>
      </c>
      <c r="CZ2">
        <f t="shared" si="1"/>
        <v>118</v>
      </c>
      <c r="DA2">
        <f t="shared" si="1"/>
        <v>117</v>
      </c>
      <c r="DB2">
        <f t="shared" si="1"/>
        <v>116</v>
      </c>
      <c r="DC2">
        <f t="shared" si="1"/>
        <v>115</v>
      </c>
      <c r="DD2">
        <f t="shared" si="1"/>
        <v>114</v>
      </c>
      <c r="DE2">
        <f t="shared" si="1"/>
        <v>113</v>
      </c>
      <c r="DF2">
        <f t="shared" si="1"/>
        <v>112</v>
      </c>
      <c r="DG2">
        <f t="shared" si="1"/>
        <v>111</v>
      </c>
      <c r="DH2">
        <f t="shared" si="1"/>
        <v>110</v>
      </c>
      <c r="DJ2">
        <f>+VLOOKUP(DJ1,ran_dat,datos!$D$1,FALSE)</f>
        <v>133</v>
      </c>
      <c r="DK2">
        <f t="shared" ref="DK2:EG2" si="2">+DJ2-1</f>
        <v>132</v>
      </c>
      <c r="DL2">
        <f t="shared" si="2"/>
        <v>131</v>
      </c>
      <c r="DM2">
        <f t="shared" si="2"/>
        <v>130</v>
      </c>
      <c r="DN2">
        <f t="shared" si="2"/>
        <v>129</v>
      </c>
      <c r="DO2">
        <f t="shared" si="2"/>
        <v>128</v>
      </c>
      <c r="DP2">
        <f t="shared" si="2"/>
        <v>127</v>
      </c>
      <c r="DQ2">
        <f t="shared" si="2"/>
        <v>126</v>
      </c>
      <c r="DR2">
        <f t="shared" si="2"/>
        <v>125</v>
      </c>
      <c r="DS2">
        <f t="shared" si="2"/>
        <v>124</v>
      </c>
      <c r="DT2">
        <f t="shared" si="2"/>
        <v>123</v>
      </c>
      <c r="DU2">
        <f t="shared" si="2"/>
        <v>122</v>
      </c>
      <c r="DV2">
        <f t="shared" si="2"/>
        <v>121</v>
      </c>
      <c r="DW2">
        <f t="shared" si="2"/>
        <v>120</v>
      </c>
      <c r="DX2">
        <f t="shared" si="2"/>
        <v>119</v>
      </c>
      <c r="DY2">
        <f t="shared" si="2"/>
        <v>118</v>
      </c>
      <c r="DZ2">
        <f t="shared" si="2"/>
        <v>117</v>
      </c>
      <c r="EA2">
        <f t="shared" si="2"/>
        <v>116</v>
      </c>
      <c r="EB2">
        <f t="shared" si="2"/>
        <v>115</v>
      </c>
      <c r="EC2">
        <f t="shared" si="2"/>
        <v>114</v>
      </c>
      <c r="ED2">
        <f t="shared" si="2"/>
        <v>113</v>
      </c>
      <c r="EE2">
        <f t="shared" si="2"/>
        <v>112</v>
      </c>
      <c r="EF2">
        <f t="shared" si="2"/>
        <v>111</v>
      </c>
      <c r="EG2">
        <f t="shared" si="2"/>
        <v>110</v>
      </c>
      <c r="EI2" s="14">
        <f>+VLOOKUP(EI1,ran_dat,datos!$D$1,FALSE)</f>
        <v>133</v>
      </c>
      <c r="EJ2" s="14">
        <f t="shared" ref="EJ2:FF2" si="3">+EI2-1</f>
        <v>132</v>
      </c>
      <c r="EK2">
        <f t="shared" si="3"/>
        <v>131</v>
      </c>
      <c r="EL2">
        <f t="shared" si="3"/>
        <v>130</v>
      </c>
      <c r="EM2">
        <f t="shared" si="3"/>
        <v>129</v>
      </c>
      <c r="EN2">
        <f t="shared" si="3"/>
        <v>128</v>
      </c>
      <c r="EO2">
        <f t="shared" si="3"/>
        <v>127</v>
      </c>
      <c r="EP2">
        <f t="shared" si="3"/>
        <v>126</v>
      </c>
      <c r="EQ2">
        <f t="shared" si="3"/>
        <v>125</v>
      </c>
      <c r="ER2">
        <f t="shared" si="3"/>
        <v>124</v>
      </c>
      <c r="ES2">
        <f t="shared" si="3"/>
        <v>123</v>
      </c>
      <c r="ET2">
        <f t="shared" si="3"/>
        <v>122</v>
      </c>
      <c r="EU2">
        <f t="shared" si="3"/>
        <v>121</v>
      </c>
      <c r="EV2">
        <f t="shared" si="3"/>
        <v>120</v>
      </c>
      <c r="EW2">
        <f t="shared" si="3"/>
        <v>119</v>
      </c>
      <c r="EX2">
        <f t="shared" si="3"/>
        <v>118</v>
      </c>
      <c r="EY2">
        <f t="shared" si="3"/>
        <v>117</v>
      </c>
      <c r="EZ2">
        <f t="shared" si="3"/>
        <v>116</v>
      </c>
      <c r="FA2">
        <f t="shared" si="3"/>
        <v>115</v>
      </c>
      <c r="FB2">
        <f t="shared" si="3"/>
        <v>114</v>
      </c>
      <c r="FC2">
        <f t="shared" si="3"/>
        <v>113</v>
      </c>
      <c r="FD2">
        <f t="shared" si="3"/>
        <v>112</v>
      </c>
      <c r="FE2">
        <f t="shared" si="3"/>
        <v>111</v>
      </c>
      <c r="FF2">
        <f t="shared" si="3"/>
        <v>110</v>
      </c>
    </row>
    <row r="3" spans="1:164" ht="18.75" customHeight="1">
      <c r="A3" s="220"/>
      <c r="C3" s="155"/>
      <c r="D3" s="196">
        <v>0.33</v>
      </c>
      <c r="E3" s="100">
        <f>IFERROR(+BG5/BH5-1,"")</f>
        <v>2.5821795615674548E-2</v>
      </c>
      <c r="F3" s="56" t="s">
        <v>515</v>
      </c>
      <c r="G3" s="56"/>
      <c r="H3" s="56"/>
      <c r="I3" s="60">
        <f>IFERROR(+BG5/BI5-1,"")</f>
        <v>0.32350568393589252</v>
      </c>
      <c r="J3" s="56" t="s">
        <v>515</v>
      </c>
      <c r="K3" s="56"/>
      <c r="L3" s="56"/>
      <c r="M3" s="32"/>
      <c r="N3" s="196">
        <v>0.33</v>
      </c>
      <c r="O3" s="31"/>
      <c r="S3" s="32"/>
      <c r="T3" s="196">
        <v>0.33</v>
      </c>
      <c r="U3" s="150" t="str">
        <f>TEXT(CV1,"MMM-YY")&amp;"."&amp;TEXT(CK1,"MMM-YY")&amp;" vs "&amp;TEXT(DH1,"MMM-YY")&amp;"."&amp;TEXT(CW1,"MMM-YY")</f>
        <v>may-25.abr-26 vs may-24.abr-25</v>
      </c>
      <c r="Y3" s="59" t="str">
        <f>TEXT(CK1,"MMM-YY")&amp;" vs "&amp;TEXT(CW1,"MMM-YY")</f>
        <v>abr-26 vs abr-25</v>
      </c>
      <c r="BE3" s="4" t="s">
        <v>3</v>
      </c>
      <c r="BF3" s="4"/>
      <c r="BG3" s="4"/>
      <c r="BH3" s="4"/>
      <c r="BI3" s="4"/>
      <c r="BK3" s="20" t="s">
        <v>15</v>
      </c>
      <c r="BL3" s="20"/>
      <c r="BM3" s="20"/>
      <c r="BO3" s="21" t="s">
        <v>2</v>
      </c>
      <c r="BP3" s="21"/>
      <c r="BQ3" s="21"/>
      <c r="BS3" s="4" t="s">
        <v>7</v>
      </c>
      <c r="BT3" s="4"/>
      <c r="BU3" s="4"/>
      <c r="BW3" s="43" t="s">
        <v>8</v>
      </c>
      <c r="BX3" s="43"/>
      <c r="BY3" s="43"/>
      <c r="CA3" s="22" t="s">
        <v>9</v>
      </c>
      <c r="CB3" s="22"/>
      <c r="CC3" s="22"/>
      <c r="CD3" s="178"/>
      <c r="CE3" s="27" t="s">
        <v>5</v>
      </c>
      <c r="CF3" s="27"/>
      <c r="CG3" s="27"/>
      <c r="CH3" s="27"/>
      <c r="CI3" s="178"/>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O4" s="9"/>
      <c r="BS4" s="9"/>
      <c r="BW4" s="9"/>
      <c r="CE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11363.090399999999</v>
      </c>
      <c r="BH5" s="2">
        <f t="shared" si="4"/>
        <v>11077.060799999999</v>
      </c>
      <c r="BI5" s="2">
        <f t="shared" si="4"/>
        <v>8585.6</v>
      </c>
    </row>
    <row r="6" spans="1:164" ht="18.75" customHeight="1">
      <c r="A6" s="243" t="s">
        <v>28</v>
      </c>
      <c r="B6" s="246"/>
      <c r="C6" s="156">
        <f t="shared" ref="C6:C24" si="5">+D6*$D$3+N6*$N$3+T6*$T$3</f>
        <v>0</v>
      </c>
      <c r="D6" s="198">
        <v>-2</v>
      </c>
      <c r="E6" s="248">
        <f t="shared" ref="E6:E24" si="6">IFERROR(+BG6/BH6-1,"")</f>
        <v>8.6617076459617026E-2</v>
      </c>
      <c r="F6" s="249">
        <f t="shared" ref="F6:F24" si="7">+E6-$E$3</f>
        <v>6.0795280843942479E-2</v>
      </c>
      <c r="G6" s="248">
        <f t="shared" ref="G6:G24" si="8">IFERROR(+CF6/CG6-1,"")</f>
        <v>2.2328547374363739E-2</v>
      </c>
      <c r="H6" s="249">
        <f t="shared" ref="H6:H24" si="9">E6-G6</f>
        <v>6.4288529085253288E-2</v>
      </c>
      <c r="I6" s="248">
        <f t="shared" ref="I6:I24" si="10">IFERROR(+BG6/BI6-1,"")</f>
        <v>0.34463043310216679</v>
      </c>
      <c r="J6" s="249">
        <f t="shared" ref="J6:J24" si="11">+I6-$I$3</f>
        <v>2.112474916627427E-2</v>
      </c>
      <c r="K6" s="248">
        <f t="shared" ref="K6:K24" si="12">IFERROR(+CF6/CH6-1,"")</f>
        <v>0.43090047598094916</v>
      </c>
      <c r="L6" s="249">
        <f t="shared" ref="L6:L24" si="13">I6-K6</f>
        <v>-8.6270042878782371E-2</v>
      </c>
      <c r="M6" s="250"/>
      <c r="N6" s="24">
        <v>1</v>
      </c>
      <c r="O6" s="248">
        <f>IFERROR(+BL6/BM6-1,"")</f>
        <v>-0.43478260869565222</v>
      </c>
      <c r="P6" s="251">
        <f>+O6</f>
        <v>-0.43478260869565222</v>
      </c>
      <c r="Q6" s="248">
        <f t="shared" ref="Q6:Q24" si="14">IFERROR(+BP6/BQ6-1,"")</f>
        <v>-0.27727272727272723</v>
      </c>
      <c r="R6" s="251">
        <f>+Q6</f>
        <v>-0.27727272727272723</v>
      </c>
      <c r="S6" s="250"/>
      <c r="T6" s="24">
        <v>1</v>
      </c>
      <c r="U6" s="248">
        <f t="shared" ref="U6:U24" si="15">IFERROR(+BT6/BU6-1,"")</f>
        <v>-6.484252801890722E-2</v>
      </c>
      <c r="V6" s="252">
        <f t="shared" ref="V6:V24" si="16">+U6</f>
        <v>-6.484252801890722E-2</v>
      </c>
      <c r="W6" s="701">
        <f>IFERROR(IF(BX6&lt;0.5,"",+BX6/BY6-1),"")</f>
        <v>0.21479204418443509</v>
      </c>
      <c r="X6" s="252">
        <f t="shared" ref="X6:X24" si="17">+W6</f>
        <v>0.21479204418443509</v>
      </c>
      <c r="Y6" s="248" t="str">
        <f t="shared" ref="Y6:Y25" si="18">IFERROR(+CB6/CC6-1,"")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VLOOKUP($A6,historia!$A$5:$DD$24,+HLOOKUP(AP$2,historia!$A$3:$EC$4,2,FALSE),FALSE)</f>
        <v>3</v>
      </c>
      <c r="AQ6" s="28">
        <f>VLOOKUP($A6,historia!$A$5:$DD$24,+HLOOKUP(AQ$2,historia!$A$3:$EC$4,2,FALSE),FALSE)</f>
        <v>3</v>
      </c>
      <c r="AR6" s="28">
        <f>VLOOKUP($A6,historia!$A$5:$DD$24,+HLOOKUP(AR$2,historia!$A$3:$EC$4,2,FALSE),FALSE)</f>
        <v>3</v>
      </c>
      <c r="AS6" s="28">
        <f>VLOOKUP($A6,historia!$A$5:$DD$24,+HLOOKUP(AS$2,historia!$A$3:$EC$4,2,FALSE),FALSE)</f>
        <v>3</v>
      </c>
      <c r="AT6" s="58">
        <f>VLOOKUP($A6,historia!$A$5:$DD$24,+HLOOKUP(AT$2,historia!$A$3:$EC$4,2,FALSE),FALSE)</f>
        <v>4</v>
      </c>
      <c r="AU6" s="58">
        <f>VLOOKUP($A6,historia!$A$5:$DD$24,+HLOOKUP(AU$2,historia!$A$3:$EC$4,2,FALSE),FALSE)</f>
        <v>4</v>
      </c>
      <c r="AV6" s="58">
        <f>VLOOKUP($A6,historia!$A$5:$DD$24,+HLOOKUP(AV$2,historia!$A$3:$EC$4,2,FALSE),FALSE)</f>
        <v>4</v>
      </c>
      <c r="AW6" s="58">
        <f>VLOOKUP($A6,historia!$A$5:$DD$24,+HLOOKUP(AW$2,historia!$A$3:$EC$4,2,FALSE),FALSE)</f>
        <v>4</v>
      </c>
      <c r="AX6" s="58">
        <f>VLOOKUP($A6,historia!$A$5:$DD$24,+HLOOKUP(AX$2,historia!$A$3:$EC$4,2,FALSE),FALSE)</f>
        <v>4</v>
      </c>
      <c r="AY6" s="58">
        <f>VLOOKUP($A6,historia!$A$5:$DD$24,+HLOOKUP(AY$2,historia!$A$3:$EC$4,2,FALSE),FALSE)</f>
        <v>4</v>
      </c>
      <c r="AZ6" s="58">
        <f>VLOOKUP($A6,historia!$A$5:$DD$24,+HLOOKUP(AZ$2,historia!$A$3:$EC$4,2,FALSE),FALSE)</f>
        <v>4</v>
      </c>
      <c r="BA6" s="58">
        <f>VLOOKUP($A6,historia!$A$5:$DD$24,+HLOOKUP(BA$2,historia!$A$3:$EC$4,2,FALSE),FALSE)</f>
        <v>4</v>
      </c>
      <c r="BB6" s="58"/>
      <c r="BC6" s="286">
        <v>4</v>
      </c>
      <c r="BD6" t="str">
        <f t="shared" ref="BD6:BD24" si="20">+A6</f>
        <v>Algodón</v>
      </c>
      <c r="BE6">
        <f>+datos!P1</f>
        <v>16</v>
      </c>
      <c r="BF6" s="2" t="str">
        <f t="shared" si="4"/>
        <v>$/kg</v>
      </c>
      <c r="BG6" s="2">
        <f t="shared" si="4"/>
        <v>1722.4983365624998</v>
      </c>
      <c r="BH6" s="2">
        <f t="shared" si="4"/>
        <v>1585.1935091750001</v>
      </c>
      <c r="BI6" s="2">
        <f t="shared" si="4"/>
        <v>1281.01989525</v>
      </c>
      <c r="BK6" s="1">
        <f>+datos!DK1</f>
        <v>115</v>
      </c>
      <c r="BL6" s="1">
        <f t="shared" ref="BL6:BM24" si="21">+VLOOKUP(BL$1,ran_dat,$BK6,FALSE)</f>
        <v>390000</v>
      </c>
      <c r="BM6" s="1">
        <f t="shared" si="21"/>
        <v>690000</v>
      </c>
      <c r="BO6" s="1">
        <f>+datos!FF1</f>
        <v>162</v>
      </c>
      <c r="BP6" s="1">
        <f>+VLOOKUP(BP$1,ran_dat,$BO6,FALSE)</f>
        <v>795000</v>
      </c>
      <c r="BQ6" s="1">
        <f t="shared" ref="BP6:BQ24" si="22">+VLOOKUP(BQ$1,ran_dat,$BO6,FALSE)</f>
        <v>1100000</v>
      </c>
      <c r="BS6" s="1">
        <f>+datos!JF1</f>
        <v>266</v>
      </c>
      <c r="BT6" s="1">
        <f>+SUM(CK6:CV6)</f>
        <v>162.80309413999998</v>
      </c>
      <c r="BU6" s="1">
        <f>+SUM(CW6:DH6)</f>
        <v>174.09163591999999</v>
      </c>
      <c r="BW6" s="1">
        <f>+datos!KK1</f>
        <v>297</v>
      </c>
      <c r="BX6" s="2">
        <f t="shared" ref="BX6:BX24" si="23">+SUM(DJ6:DU6)</f>
        <v>94.461490579999989</v>
      </c>
      <c r="BY6" s="2">
        <f t="shared" ref="BY6:BY24" si="24">+SUM(DV6:EG6)</f>
        <v>77.759391849999986</v>
      </c>
      <c r="CA6" s="1">
        <f>+datos!HS1</f>
        <v>227</v>
      </c>
      <c r="CB6" s="1">
        <f t="shared" ref="CB6:CB24" si="25">+EI6</f>
        <v>0</v>
      </c>
      <c r="CC6" s="1">
        <f t="shared" ref="CC6:CC24" si="26">+EU6</f>
        <v>0</v>
      </c>
      <c r="CD6" s="1"/>
      <c r="CE6">
        <f>+datos!BY1</f>
        <v>77</v>
      </c>
      <c r="CF6" s="2">
        <f t="shared" ref="CF6:CH24" si="27">+VLOOKUP(CF$1,ran_dat,$CE6,FALSE)</f>
        <v>14083.784191268574</v>
      </c>
      <c r="CG6" s="2">
        <f t="shared" si="27"/>
        <v>13776.182057558521</v>
      </c>
      <c r="CH6" s="2">
        <f t="shared" si="27"/>
        <v>9842.602212857244</v>
      </c>
      <c r="CI6" s="1"/>
      <c r="CK6" s="1">
        <f t="shared" ref="CK6:CZ21" si="28">+VLOOKUP(CK$1,ran_dat,$BS6,FALSE)</f>
        <v>12.094188589999995</v>
      </c>
      <c r="CL6" s="1">
        <f t="shared" si="28"/>
        <v>12.781845520000003</v>
      </c>
      <c r="CM6" s="1">
        <f t="shared" si="28"/>
        <v>12.588257429999995</v>
      </c>
      <c r="CN6" s="1">
        <f t="shared" si="28"/>
        <v>12.342095660000002</v>
      </c>
      <c r="CO6" s="1">
        <f t="shared" si="28"/>
        <v>14.028435419999997</v>
      </c>
      <c r="CP6" s="1">
        <f t="shared" si="28"/>
        <v>19.935607340000004</v>
      </c>
      <c r="CQ6" s="1">
        <f t="shared" si="28"/>
        <v>21.754931440000004</v>
      </c>
      <c r="CR6" s="1">
        <f t="shared" si="28"/>
        <v>18.652099290000002</v>
      </c>
      <c r="CS6" s="1">
        <f t="shared" si="28"/>
        <v>16.211576590000004</v>
      </c>
      <c r="CT6" s="1">
        <f t="shared" si="28"/>
        <v>9.0263359399999974</v>
      </c>
      <c r="CU6" s="1">
        <f t="shared" si="28"/>
        <v>8.2931694499999988</v>
      </c>
      <c r="CV6" s="1">
        <f t="shared" si="28"/>
        <v>5.0945514700000007</v>
      </c>
      <c r="CW6" s="1">
        <f t="shared" si="28"/>
        <v>7.3093251500000047</v>
      </c>
      <c r="CX6" s="1">
        <f t="shared" si="28"/>
        <v>6.7908860800000017</v>
      </c>
      <c r="CY6" s="1">
        <f t="shared" si="28"/>
        <v>8.6490729999999978</v>
      </c>
      <c r="CZ6" s="1">
        <f t="shared" si="28"/>
        <v>6.462363250000001</v>
      </c>
      <c r="DA6" s="1">
        <f t="shared" ref="DA6:DH21" si="29">+VLOOKUP(DA$1,ran_dat,$BS6,FALSE)</f>
        <v>10.78045292</v>
      </c>
      <c r="DB6" s="1">
        <f t="shared" si="29"/>
        <v>14.805583519999997</v>
      </c>
      <c r="DC6" s="1">
        <f t="shared" si="29"/>
        <v>17.696202909999993</v>
      </c>
      <c r="DD6" s="1">
        <f t="shared" si="29"/>
        <v>21.922029789999996</v>
      </c>
      <c r="DE6" s="1">
        <f t="shared" si="29"/>
        <v>19.20970509</v>
      </c>
      <c r="DF6" s="1">
        <f t="shared" si="29"/>
        <v>24.496622440000007</v>
      </c>
      <c r="DG6" s="1">
        <f t="shared" si="29"/>
        <v>21.439575039999998</v>
      </c>
      <c r="DH6" s="1">
        <f t="shared" si="29"/>
        <v>14.529816729999997</v>
      </c>
      <c r="DJ6" s="1">
        <f t="shared" ref="DJ6:DY21" si="30">+VLOOKUP(DJ$1,ran_dat,$BW6,FALSE)</f>
        <v>6.0731055099999995</v>
      </c>
      <c r="DK6" s="1">
        <f t="shared" si="30"/>
        <v>5.0269418100000003</v>
      </c>
      <c r="DL6" s="1">
        <f t="shared" si="30"/>
        <v>4.1096809499999996</v>
      </c>
      <c r="DM6" s="1">
        <f t="shared" si="30"/>
        <v>5.6046989700000003</v>
      </c>
      <c r="DN6" s="1">
        <f t="shared" si="30"/>
        <v>5.8762837499999998</v>
      </c>
      <c r="DO6" s="1">
        <f t="shared" si="30"/>
        <v>7.4817210700000008</v>
      </c>
      <c r="DP6" s="1">
        <f t="shared" si="30"/>
        <v>10.164854930000002</v>
      </c>
      <c r="DQ6" s="1">
        <f t="shared" si="30"/>
        <v>9.0858989999999995</v>
      </c>
      <c r="DR6" s="1">
        <f t="shared" si="30"/>
        <v>10.908765819999998</v>
      </c>
      <c r="DS6" s="1">
        <f t="shared" si="30"/>
        <v>11.035692889999996</v>
      </c>
      <c r="DT6" s="1">
        <f t="shared" si="30"/>
        <v>9.4337625599999999</v>
      </c>
      <c r="DU6" s="1">
        <f t="shared" si="30"/>
        <v>9.66008332</v>
      </c>
      <c r="DV6" s="1">
        <f t="shared" si="30"/>
        <v>10.467826709999999</v>
      </c>
      <c r="DW6" s="1">
        <f t="shared" si="30"/>
        <v>7.9836210200000002</v>
      </c>
      <c r="DX6" s="1">
        <f t="shared" si="30"/>
        <v>9.7355070900000005</v>
      </c>
      <c r="DY6" s="1">
        <f t="shared" si="30"/>
        <v>7.6983577599999995</v>
      </c>
      <c r="DZ6" s="1">
        <f t="shared" ref="DZ6:EG20" si="31">+VLOOKUP(DZ$1,ran_dat,$BW6,FALSE)</f>
        <v>8.003268180000001</v>
      </c>
      <c r="EA6" s="1">
        <f t="shared" si="31"/>
        <v>5.6011509000000004</v>
      </c>
      <c r="EB6" s="1">
        <f t="shared" si="31"/>
        <v>5.8112020999999991</v>
      </c>
      <c r="EC6" s="1">
        <f t="shared" si="31"/>
        <v>6.3060080799999998</v>
      </c>
      <c r="ED6" s="1">
        <f t="shared" si="31"/>
        <v>3.7690183000000008</v>
      </c>
      <c r="EE6" s="1">
        <f t="shared" si="31"/>
        <v>4.5361736000000006</v>
      </c>
      <c r="EF6" s="1">
        <f t="shared" si="31"/>
        <v>3.2956469100000003</v>
      </c>
      <c r="EG6" s="1">
        <f t="shared" si="31"/>
        <v>4.5516111999999991</v>
      </c>
      <c r="EI6" s="14">
        <f>+VLOOKUP(EI$1,ran_dat,$CA6,FALSE)</f>
        <v>0</v>
      </c>
      <c r="EJ6" s="14">
        <f t="shared" ref="EJ6:EY6" si="32">+VLOOKUP(EJ$1,ran_dat,$CA6,FALSE)</f>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si="32"/>
        <v>0</v>
      </c>
      <c r="EY6" s="1">
        <f t="shared" si="32"/>
        <v>0</v>
      </c>
      <c r="EZ6" s="1">
        <f t="shared" ref="EY6:FF21" si="33">+VLOOKUP(EZ$1,ran_dat,$CA6,FALSE)</f>
        <v>0</v>
      </c>
      <c r="FA6" s="1">
        <f t="shared" si="33"/>
        <v>0</v>
      </c>
      <c r="FB6" s="1">
        <f t="shared" si="33"/>
        <v>0</v>
      </c>
      <c r="FC6" s="1">
        <f t="shared" si="33"/>
        <v>0</v>
      </c>
      <c r="FD6" s="1">
        <f t="shared" si="33"/>
        <v>0</v>
      </c>
      <c r="FE6" s="1">
        <f t="shared" si="33"/>
        <v>0</v>
      </c>
      <c r="FF6" s="1">
        <f t="shared" si="33"/>
        <v>0</v>
      </c>
      <c r="FH6" s="162">
        <f t="shared" ref="FH6:FH24" si="34">+I6-K6</f>
        <v>-8.6270042878782371E-2</v>
      </c>
    </row>
    <row r="7" spans="1:164" ht="18.75" customHeight="1">
      <c r="A7" s="244" t="s">
        <v>13</v>
      </c>
      <c r="B7" s="247"/>
      <c r="C7" s="228">
        <f t="shared" si="5"/>
        <v>-0.33</v>
      </c>
      <c r="D7" s="229">
        <v>-1</v>
      </c>
      <c r="E7" s="253">
        <f t="shared" si="6"/>
        <v>0</v>
      </c>
      <c r="F7" s="254">
        <f t="shared" si="7"/>
        <v>-2.5821795615674548E-2</v>
      </c>
      <c r="G7" s="253">
        <f t="shared" si="8"/>
        <v>3.8027825229638434E-3</v>
      </c>
      <c r="H7" s="254">
        <f t="shared" si="9"/>
        <v>-3.8027825229638434E-3</v>
      </c>
      <c r="I7" s="253">
        <f t="shared" si="10"/>
        <v>8.6956521739130377E-2</v>
      </c>
      <c r="J7" s="254">
        <f t="shared" si="11"/>
        <v>-0.23654916219676214</v>
      </c>
      <c r="K7" s="253">
        <f t="shared" si="12"/>
        <v>0.63054237906150923</v>
      </c>
      <c r="L7" s="254">
        <f t="shared" si="13"/>
        <v>-0.54358585732237885</v>
      </c>
      <c r="M7" s="255"/>
      <c r="N7" s="256">
        <v>1</v>
      </c>
      <c r="O7" s="253">
        <f t="shared" ref="O7:O24" si="35">IFERROR(+BL7/BM7-1,"")</f>
        <v>-0.13043478260869568</v>
      </c>
      <c r="P7" s="257">
        <f t="shared" ref="P7:P24" si="36">+O7</f>
        <v>-0.13043478260869568</v>
      </c>
      <c r="Q7" s="253">
        <f t="shared" si="14"/>
        <v>-0.125</v>
      </c>
      <c r="R7" s="257">
        <f t="shared" ref="R7:R24" si="37">+Q7</f>
        <v>-0.125</v>
      </c>
      <c r="S7" s="255"/>
      <c r="T7" s="256">
        <v>-1</v>
      </c>
      <c r="U7" s="253">
        <f t="shared" si="15"/>
        <v>0.13394360655005211</v>
      </c>
      <c r="V7" s="258">
        <f t="shared" si="16"/>
        <v>0.13394360655005211</v>
      </c>
      <c r="W7" s="253">
        <f t="shared" ref="W7:W24" si="38">IFERROR(IF(BX7&lt;0.5,"",+BX7/BY7-1),"")</f>
        <v>-0.53242397502258831</v>
      </c>
      <c r="X7" s="258">
        <f t="shared" si="17"/>
        <v>-0.53242397502258831</v>
      </c>
      <c r="Y7" s="253">
        <f t="shared" si="18"/>
        <v>0.35714285714285721</v>
      </c>
      <c r="Z7" s="258">
        <f t="shared" si="19"/>
        <v>0.35714285714285721</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VLOOKUP($A7,historia!$A$5:$DD$24,+HLOOKUP(AP$2,historia!$A$3:$EC$4,2,FALSE),FALSE)</f>
        <v>4</v>
      </c>
      <c r="AQ7" s="28">
        <f>VLOOKUP($A7,historia!$A$5:$DD$24,+HLOOKUP(AQ$2,historia!$A$3:$EC$4,2,FALSE),FALSE)</f>
        <v>4</v>
      </c>
      <c r="AR7" s="28">
        <f>VLOOKUP($A7,historia!$A$5:$DD$24,+HLOOKUP(AR$2,historia!$A$3:$EC$4,2,FALSE),FALSE)</f>
        <v>4</v>
      </c>
      <c r="AS7" s="28">
        <f>VLOOKUP($A7,historia!$A$5:$DD$24,+HLOOKUP(AS$2,historia!$A$3:$EC$4,2,FALSE),FALSE)</f>
        <v>4</v>
      </c>
      <c r="AT7" s="58">
        <f>VLOOKUP($A7,historia!$A$5:$DD$24,+HLOOKUP(AT$2,historia!$A$3:$EC$4,2,FALSE),FALSE)</f>
        <v>4</v>
      </c>
      <c r="AU7" s="58">
        <f>VLOOKUP($A7,historia!$A$5:$DD$24,+HLOOKUP(AU$2,historia!$A$3:$EC$4,2,FALSE),FALSE)</f>
        <v>4</v>
      </c>
      <c r="AV7" s="58">
        <f>VLOOKUP($A7,historia!$A$5:$DD$24,+HLOOKUP(AV$2,historia!$A$3:$EC$4,2,FALSE),FALSE)</f>
        <v>4</v>
      </c>
      <c r="AW7" s="58">
        <f>VLOOKUP($A7,historia!$A$5:$DD$24,+HLOOKUP(AW$2,historia!$A$3:$EC$4,2,FALSE),FALSE)</f>
        <v>4</v>
      </c>
      <c r="AX7" s="58">
        <f>VLOOKUP($A7,historia!$A$5:$DD$24,+HLOOKUP(AX$2,historia!$A$3:$EC$4,2,FALSE),FALSE)</f>
        <v>4</v>
      </c>
      <c r="AY7" s="58">
        <f>VLOOKUP($A7,historia!$A$5:$DD$24,+HLOOKUP(AY$2,historia!$A$3:$EC$4,2,FALSE),FALSE)</f>
        <v>4</v>
      </c>
      <c r="AZ7" s="58">
        <f>VLOOKUP($A7,historia!$A$5:$DD$24,+HLOOKUP(AZ$2,historia!$A$3:$EC$4,2,FALSE),FALSE)</f>
        <v>4</v>
      </c>
      <c r="BA7" s="58">
        <f>VLOOKUP($A7,historia!$A$5:$DD$24,+HLOOKUP(BA$2,historia!$A$3:$EC$4,2,FALSE),FALSE)</f>
        <v>3</v>
      </c>
      <c r="BB7" s="58"/>
      <c r="BC7" s="286">
        <v>3</v>
      </c>
      <c r="BD7" t="str">
        <f t="shared" si="20"/>
        <v>Arroz</v>
      </c>
      <c r="BE7">
        <f>+datos!R1</f>
        <v>18</v>
      </c>
      <c r="BF7" s="2" t="str">
        <f t="shared" si="4"/>
        <v>$/t</v>
      </c>
      <c r="BG7" s="2">
        <f t="shared" si="4"/>
        <v>250000</v>
      </c>
      <c r="BH7" s="2">
        <f t="shared" si="4"/>
        <v>250000</v>
      </c>
      <c r="BI7" s="2">
        <f t="shared" si="4"/>
        <v>230000</v>
      </c>
      <c r="BK7" s="1">
        <f>+datos!DM1</f>
        <v>117</v>
      </c>
      <c r="BL7" s="1">
        <f t="shared" si="21"/>
        <v>200000</v>
      </c>
      <c r="BM7" s="1">
        <f t="shared" si="21"/>
        <v>230000</v>
      </c>
      <c r="BO7" s="1">
        <f>+datos!FH1</f>
        <v>164</v>
      </c>
      <c r="BP7" s="1">
        <f t="shared" si="22"/>
        <v>1400000</v>
      </c>
      <c r="BQ7" s="1">
        <f t="shared" si="22"/>
        <v>1600000</v>
      </c>
      <c r="BS7" s="1">
        <f>+datos!JG1</f>
        <v>267</v>
      </c>
      <c r="BT7" s="1">
        <f t="shared" ref="BT7:BT24" si="39">+SUM(CK7:CV7)</f>
        <v>443.88792166000002</v>
      </c>
      <c r="BU7" s="1">
        <f t="shared" ref="BU7:BU24" si="40">+SUM(CW7:DH7)</f>
        <v>391.45502395</v>
      </c>
      <c r="BW7" s="1">
        <f>+datos!KL1</f>
        <v>298</v>
      </c>
      <c r="BX7" s="2">
        <f t="shared" si="23"/>
        <v>2.2898324100000007</v>
      </c>
      <c r="BY7" s="2">
        <f t="shared" si="24"/>
        <v>4.8972408499999993</v>
      </c>
      <c r="CA7" s="1">
        <f>+datos!HU1</f>
        <v>229</v>
      </c>
      <c r="CB7" s="1">
        <f t="shared" si="25"/>
        <v>950000</v>
      </c>
      <c r="CC7" s="1">
        <f t="shared" si="26"/>
        <v>700000</v>
      </c>
      <c r="CD7" s="1"/>
      <c r="CE7">
        <f>+datos!BZ1</f>
        <v>78</v>
      </c>
      <c r="CF7" s="2">
        <f t="shared" si="27"/>
        <v>15986.117857140351</v>
      </c>
      <c r="CG7" s="2">
        <f t="shared" si="27"/>
        <v>15925.556429481843</v>
      </c>
      <c r="CH7" s="2">
        <f t="shared" si="27"/>
        <v>9804.1719506496211</v>
      </c>
      <c r="CI7" s="1"/>
      <c r="CK7" s="1">
        <f t="shared" si="28"/>
        <v>63.44953374</v>
      </c>
      <c r="CL7" s="1">
        <f t="shared" si="28"/>
        <v>21.288385250000005</v>
      </c>
      <c r="CM7" s="1">
        <f t="shared" si="28"/>
        <v>90.314876920000003</v>
      </c>
      <c r="CN7" s="1">
        <f t="shared" si="28"/>
        <v>25.485538569999999</v>
      </c>
      <c r="CO7" s="1">
        <f t="shared" si="28"/>
        <v>12.625558100000001</v>
      </c>
      <c r="CP7" s="1">
        <f t="shared" si="28"/>
        <v>36.759837599999997</v>
      </c>
      <c r="CQ7" s="1">
        <f t="shared" si="28"/>
        <v>36.299912110000001</v>
      </c>
      <c r="CR7" s="1">
        <f t="shared" si="28"/>
        <v>15.634826659999996</v>
      </c>
      <c r="CS7" s="1">
        <f t="shared" si="28"/>
        <v>54.436744560000001</v>
      </c>
      <c r="CT7" s="1">
        <f t="shared" si="28"/>
        <v>16.08135906</v>
      </c>
      <c r="CU7" s="1">
        <f t="shared" si="28"/>
        <v>31.537173230000004</v>
      </c>
      <c r="CV7" s="1">
        <f t="shared" si="28"/>
        <v>39.974175860000003</v>
      </c>
      <c r="CW7" s="1">
        <f t="shared" si="28"/>
        <v>35.910188569999995</v>
      </c>
      <c r="CX7" s="1">
        <f t="shared" si="28"/>
        <v>30.652184479999995</v>
      </c>
      <c r="CY7" s="1">
        <f t="shared" si="28"/>
        <v>94.896967090000004</v>
      </c>
      <c r="CZ7" s="1">
        <f t="shared" si="28"/>
        <v>22.007364089999996</v>
      </c>
      <c r="DA7" s="1">
        <f t="shared" si="29"/>
        <v>13.652213600000001</v>
      </c>
      <c r="DB7" s="1">
        <f t="shared" si="29"/>
        <v>21.789652239999999</v>
      </c>
      <c r="DC7" s="1">
        <f t="shared" si="29"/>
        <v>22.506187060000002</v>
      </c>
      <c r="DD7" s="1">
        <f t="shared" si="29"/>
        <v>26.198510359999997</v>
      </c>
      <c r="DE7" s="1">
        <f t="shared" si="29"/>
        <v>16.658344929999998</v>
      </c>
      <c r="DF7" s="1">
        <f t="shared" si="29"/>
        <v>38.799980059999996</v>
      </c>
      <c r="DG7" s="1">
        <f t="shared" si="29"/>
        <v>35.598317799999997</v>
      </c>
      <c r="DH7" s="1">
        <f t="shared" si="29"/>
        <v>32.785113670000001</v>
      </c>
      <c r="DJ7" s="1">
        <f t="shared" si="30"/>
        <v>0.16027804000000001</v>
      </c>
      <c r="DK7" s="1">
        <f t="shared" si="30"/>
        <v>0.19125684999999998</v>
      </c>
      <c r="DL7" s="1">
        <f t="shared" si="30"/>
        <v>0.15253662999999998</v>
      </c>
      <c r="DM7" s="1">
        <f t="shared" si="30"/>
        <v>1.9795769999999997E-2</v>
      </c>
      <c r="DN7" s="1">
        <f t="shared" si="30"/>
        <v>0.22953033</v>
      </c>
      <c r="DO7" s="1">
        <f t="shared" si="30"/>
        <v>3.2780709999999998E-2</v>
      </c>
      <c r="DP7" s="1">
        <f t="shared" si="30"/>
        <v>0.17706282000000001</v>
      </c>
      <c r="DQ7" s="1">
        <f t="shared" si="30"/>
        <v>0.30085145999999996</v>
      </c>
      <c r="DR7" s="1">
        <f t="shared" si="30"/>
        <v>0.26679149000000002</v>
      </c>
      <c r="DS7" s="1">
        <f t="shared" si="30"/>
        <v>0.13893236</v>
      </c>
      <c r="DT7" s="1">
        <f t="shared" si="30"/>
        <v>0.4195122</v>
      </c>
      <c r="DU7" s="1">
        <f t="shared" si="30"/>
        <v>0.20050375000000001</v>
      </c>
      <c r="DV7" s="1">
        <f t="shared" si="30"/>
        <v>0.34624290000000002</v>
      </c>
      <c r="DW7" s="1">
        <f t="shared" si="30"/>
        <v>0.15613090000000002</v>
      </c>
      <c r="DX7" s="1">
        <f t="shared" si="30"/>
        <v>0.47281664000000007</v>
      </c>
      <c r="DY7" s="1">
        <f t="shared" si="30"/>
        <v>0.84812041999999999</v>
      </c>
      <c r="DZ7" s="1">
        <f t="shared" si="31"/>
        <v>0.25440681999999998</v>
      </c>
      <c r="EA7" s="1">
        <f t="shared" si="31"/>
        <v>0.7620908099999999</v>
      </c>
      <c r="EB7" s="1">
        <f t="shared" si="31"/>
        <v>0.50490091999999998</v>
      </c>
      <c r="EC7" s="1">
        <f t="shared" si="31"/>
        <v>0.40961613000000002</v>
      </c>
      <c r="ED7" s="1">
        <f t="shared" si="31"/>
        <v>0.23587240000000001</v>
      </c>
      <c r="EE7" s="1">
        <f t="shared" si="31"/>
        <v>0.18557204999999999</v>
      </c>
      <c r="EF7" s="1">
        <f t="shared" si="31"/>
        <v>0.48301414000000004</v>
      </c>
      <c r="EG7" s="1">
        <f t="shared" si="31"/>
        <v>0.23845672000000001</v>
      </c>
      <c r="EI7" s="14">
        <f t="shared" ref="EI7:EX22" si="41">+VLOOKUP(EI$1,ran_dat,$CA7,FALSE)</f>
        <v>950000</v>
      </c>
      <c r="EJ7" s="14">
        <f t="shared" si="41"/>
        <v>990000</v>
      </c>
      <c r="EK7" s="1">
        <f t="shared" si="41"/>
        <v>990000</v>
      </c>
      <c r="EL7" s="1">
        <f t="shared" si="41"/>
        <v>990000</v>
      </c>
      <c r="EM7" s="1">
        <f t="shared" si="41"/>
        <v>990000</v>
      </c>
      <c r="EN7" s="1">
        <f t="shared" si="41"/>
        <v>990000</v>
      </c>
      <c r="EO7" s="1">
        <f t="shared" si="41"/>
        <v>990000</v>
      </c>
      <c r="EP7" s="1">
        <f t="shared" si="41"/>
        <v>990000</v>
      </c>
      <c r="EQ7" s="1">
        <f t="shared" si="41"/>
        <v>990000</v>
      </c>
      <c r="ER7" s="1">
        <f t="shared" si="41"/>
        <v>990000</v>
      </c>
      <c r="ES7" s="1">
        <f t="shared" si="41"/>
        <v>990000</v>
      </c>
      <c r="ET7" s="1">
        <f t="shared" si="41"/>
        <v>700000</v>
      </c>
      <c r="EU7" s="1">
        <f t="shared" si="41"/>
        <v>700000</v>
      </c>
      <c r="EV7" s="1">
        <f t="shared" si="41"/>
        <v>700000</v>
      </c>
      <c r="EW7" s="1">
        <f t="shared" si="41"/>
        <v>700000</v>
      </c>
      <c r="EX7" s="1">
        <f t="shared" si="41"/>
        <v>700000</v>
      </c>
      <c r="EY7" s="1">
        <f t="shared" si="33"/>
        <v>700000</v>
      </c>
      <c r="EZ7" s="1">
        <f t="shared" si="33"/>
        <v>700000</v>
      </c>
      <c r="FA7" s="1">
        <f t="shared" si="33"/>
        <v>700000</v>
      </c>
      <c r="FB7" s="1">
        <f t="shared" si="33"/>
        <v>700000</v>
      </c>
      <c r="FC7" s="1">
        <f t="shared" si="33"/>
        <v>700000</v>
      </c>
      <c r="FD7" s="1">
        <f t="shared" si="33"/>
        <v>700000</v>
      </c>
      <c r="FE7" s="1">
        <f t="shared" si="33"/>
        <v>700000</v>
      </c>
      <c r="FF7" s="1">
        <f t="shared" si="33"/>
        <v>700000</v>
      </c>
      <c r="FH7" s="162">
        <f t="shared" si="34"/>
        <v>-0.54358585732237885</v>
      </c>
    </row>
    <row r="8" spans="1:164" ht="18.75" customHeight="1">
      <c r="A8" s="243" t="s">
        <v>215</v>
      </c>
      <c r="B8" s="246"/>
      <c r="C8" s="156">
        <f t="shared" si="5"/>
        <v>-0.33</v>
      </c>
      <c r="D8" s="198">
        <v>0</v>
      </c>
      <c r="E8" s="248">
        <f t="shared" si="6"/>
        <v>3.1674823927869244E-2</v>
      </c>
      <c r="F8" s="249">
        <f t="shared" si="7"/>
        <v>5.8530283121946969E-3</v>
      </c>
      <c r="G8" s="248">
        <f t="shared" si="8"/>
        <v>1.4299609690618498E-2</v>
      </c>
      <c r="H8" s="249">
        <f t="shared" si="9"/>
        <v>1.7375214237250747E-2</v>
      </c>
      <c r="I8" s="248">
        <f t="shared" si="10"/>
        <v>-4.7590805189650087E-3</v>
      </c>
      <c r="J8" s="249">
        <f t="shared" si="11"/>
        <v>-0.32826476445485753</v>
      </c>
      <c r="K8" s="248">
        <f t="shared" si="12"/>
        <v>0.17205583312173633</v>
      </c>
      <c r="L8" s="249">
        <f t="shared" si="13"/>
        <v>-0.17681491364070134</v>
      </c>
      <c r="M8" s="250"/>
      <c r="N8" s="24">
        <v>0</v>
      </c>
      <c r="O8" s="248">
        <f t="shared" si="35"/>
        <v>1.5512998823151714E-2</v>
      </c>
      <c r="P8" s="251">
        <f t="shared" si="36"/>
        <v>1.5512998823151714E-2</v>
      </c>
      <c r="Q8" s="248">
        <f t="shared" si="14"/>
        <v>-1.1608681707143131E-2</v>
      </c>
      <c r="R8" s="251">
        <f t="shared" si="37"/>
        <v>-1.1608681707143131E-2</v>
      </c>
      <c r="S8" s="250"/>
      <c r="T8" s="24">
        <v>-1</v>
      </c>
      <c r="U8" s="248">
        <f t="shared" si="15"/>
        <v>-0.41114453469471812</v>
      </c>
      <c r="V8" s="252">
        <f t="shared" si="16"/>
        <v>-0.41114453469471812</v>
      </c>
      <c r="W8" s="248">
        <f t="shared" si="38"/>
        <v>0.13326763942818709</v>
      </c>
      <c r="X8" s="252">
        <f t="shared" si="17"/>
        <v>0.13326763942818709</v>
      </c>
      <c r="Y8" s="248">
        <f t="shared" si="18"/>
        <v>2.4177739054672243E-2</v>
      </c>
      <c r="Z8" s="252">
        <f t="shared" si="19"/>
        <v>2.4177739054672243E-2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VLOOKUP($A8,historia!$A$5:$DD$24,+HLOOKUP(AP$2,historia!$A$3:$EC$4,2,FALSE),FALSE)</f>
        <v>3</v>
      </c>
      <c r="AQ8" s="28">
        <f>VLOOKUP($A8,historia!$A$5:$DD$24,+HLOOKUP(AQ$2,historia!$A$3:$EC$4,2,FALSE),FALSE)</f>
        <v>2</v>
      </c>
      <c r="AR8" s="28">
        <f>VLOOKUP($A8,historia!$A$5:$DD$24,+HLOOKUP(AR$2,historia!$A$3:$EC$4,2,FALSE),FALSE)</f>
        <v>2</v>
      </c>
      <c r="AS8" s="28">
        <f>VLOOKUP($A8,historia!$A$5:$DD$24,+HLOOKUP(AS$2,historia!$A$3:$EC$4,2,FALSE),FALSE)</f>
        <v>2</v>
      </c>
      <c r="AT8" s="58">
        <f>VLOOKUP($A8,historia!$A$5:$DD$24,+HLOOKUP(AT$2,historia!$A$3:$EC$4,2,FALSE),FALSE)</f>
        <v>2</v>
      </c>
      <c r="AU8" s="58">
        <f>VLOOKUP($A8,historia!$A$5:$DD$24,+HLOOKUP(AU$2,historia!$A$3:$EC$4,2,FALSE),FALSE)</f>
        <v>2</v>
      </c>
      <c r="AV8" s="58">
        <f>VLOOKUP($A8,historia!$A$5:$DD$24,+HLOOKUP(AV$2,historia!$A$3:$EC$4,2,FALSE),FALSE)</f>
        <v>3</v>
      </c>
      <c r="AW8" s="58">
        <f>VLOOKUP($A8,historia!$A$5:$DD$24,+HLOOKUP(AW$2,historia!$A$3:$EC$4,2,FALSE),FALSE)</f>
        <v>3</v>
      </c>
      <c r="AX8" s="58">
        <f>VLOOKUP($A8,historia!$A$5:$DD$24,+HLOOKUP(AX$2,historia!$A$3:$EC$4,2,FALSE),FALSE)</f>
        <v>3</v>
      </c>
      <c r="AY8" s="58">
        <f>VLOOKUP($A8,historia!$A$5:$DD$24,+HLOOKUP(AY$2,historia!$A$3:$EC$4,2,FALSE),FALSE)</f>
        <v>3</v>
      </c>
      <c r="AZ8" s="58">
        <f>VLOOKUP($A8,historia!$A$5:$DD$24,+HLOOKUP(AZ$2,historia!$A$3:$EC$4,2,FALSE),FALSE)</f>
        <v>3</v>
      </c>
      <c r="BA8" s="58">
        <f>VLOOKUP($A8,historia!$A$5:$DG$24,+HLOOKUP(BA$2,historia!$A$3:$EC$4,2,FALSE),FALSE)</f>
        <v>3</v>
      </c>
      <c r="BB8" s="58"/>
      <c r="BC8" s="286">
        <v>3</v>
      </c>
      <c r="BD8" t="str">
        <f t="shared" si="20"/>
        <v>Aves</v>
      </c>
      <c r="BE8">
        <f>+datos!BQ1</f>
        <v>69</v>
      </c>
      <c r="BF8" s="2" t="str">
        <f t="shared" si="4"/>
        <v>prom pond huevo-carne</v>
      </c>
      <c r="BG8" s="2">
        <f t="shared" si="4"/>
        <v>2357.6710000000003</v>
      </c>
      <c r="BH8" s="2">
        <f t="shared" si="4"/>
        <v>2285.2849999999999</v>
      </c>
      <c r="BI8" s="2">
        <f t="shared" si="4"/>
        <v>2368.9449999999997</v>
      </c>
      <c r="BK8" s="1">
        <f>+datos!EP1</f>
        <v>146</v>
      </c>
      <c r="BL8" s="1">
        <f t="shared" si="21"/>
        <v>9492</v>
      </c>
      <c r="BM8" s="1">
        <f t="shared" si="21"/>
        <v>9347</v>
      </c>
      <c r="BO8" s="1">
        <f>+datos!HM1</f>
        <v>221</v>
      </c>
      <c r="BP8" s="1">
        <f t="shared" si="22"/>
        <v>2357139.64</v>
      </c>
      <c r="BQ8" s="1">
        <f t="shared" si="22"/>
        <v>2384824.3062992869</v>
      </c>
      <c r="BS8" s="1">
        <f>+datos!KF1</f>
        <v>292</v>
      </c>
      <c r="BT8" s="1">
        <f t="shared" si="39"/>
        <v>104.14224490999999</v>
      </c>
      <c r="BU8" s="1">
        <f t="shared" si="40"/>
        <v>176.85535933000003</v>
      </c>
      <c r="BW8" s="1">
        <f>+datos!LK1</f>
        <v>323</v>
      </c>
      <c r="BX8" s="2">
        <f t="shared" si="23"/>
        <v>41.995917940000005</v>
      </c>
      <c r="BY8" s="2">
        <f t="shared" si="24"/>
        <v>37.057369749999999</v>
      </c>
      <c r="CA8" s="1">
        <f>+datos!IL1</f>
        <v>246</v>
      </c>
      <c r="CB8" s="2">
        <f t="shared" si="25"/>
        <v>47.02</v>
      </c>
      <c r="CC8" s="2">
        <f t="shared" si="26"/>
        <v>45.91</v>
      </c>
      <c r="CD8" s="2">
        <f>CB8-CC8</f>
        <v>1.1100000000000065</v>
      </c>
      <c r="CE8">
        <f>+datos!DG1</f>
        <v>111</v>
      </c>
      <c r="CF8" s="2">
        <f t="shared" si="27"/>
        <v>12366.708058012626</v>
      </c>
      <c r="CG8" s="2">
        <f t="shared" si="27"/>
        <v>12192.362039639072</v>
      </c>
      <c r="CH8" s="2">
        <f t="shared" si="27"/>
        <v>10551.296029195351</v>
      </c>
      <c r="CI8" s="2"/>
      <c r="CJ8" s="2">
        <f>CB8-CC8</f>
        <v>1.1100000000000065</v>
      </c>
      <c r="CK8" s="1">
        <f t="shared" si="28"/>
        <v>8.5791291300000001</v>
      </c>
      <c r="CL8" s="1">
        <f t="shared" si="28"/>
        <v>9.6066541700000005</v>
      </c>
      <c r="CM8" s="1">
        <f t="shared" si="28"/>
        <v>9.221842539999999</v>
      </c>
      <c r="CN8" s="1">
        <f t="shared" si="28"/>
        <v>8.3583028800000001</v>
      </c>
      <c r="CO8" s="1">
        <f t="shared" si="28"/>
        <v>10.33831614</v>
      </c>
      <c r="CP8" s="1">
        <f t="shared" si="28"/>
        <v>10.343166379999998</v>
      </c>
      <c r="CQ8" s="1">
        <f t="shared" si="28"/>
        <v>8.6585168299999999</v>
      </c>
      <c r="CR8" s="1">
        <f t="shared" si="28"/>
        <v>9.7942580100000001</v>
      </c>
      <c r="CS8" s="1">
        <f t="shared" si="28"/>
        <v>6.5346210099999995</v>
      </c>
      <c r="CT8" s="1">
        <f t="shared" si="28"/>
        <v>6.7443728600000004</v>
      </c>
      <c r="CU8" s="1">
        <f t="shared" si="28"/>
        <v>8.66231011</v>
      </c>
      <c r="CV8" s="1">
        <f t="shared" si="28"/>
        <v>7.3007548499999997</v>
      </c>
      <c r="CW8" s="1">
        <f t="shared" si="28"/>
        <v>9.0051498100000007</v>
      </c>
      <c r="CX8" s="1">
        <f t="shared" si="28"/>
        <v>5.9149876199999998</v>
      </c>
      <c r="CY8" s="1">
        <f t="shared" si="28"/>
        <v>8.0094020700000002</v>
      </c>
      <c r="CZ8" s="1">
        <f t="shared" si="28"/>
        <v>5.62476749</v>
      </c>
      <c r="DA8" s="1">
        <f t="shared" si="29"/>
        <v>10.456415849999999</v>
      </c>
      <c r="DB8" s="1">
        <f t="shared" si="29"/>
        <v>8.1147673099999995</v>
      </c>
      <c r="DC8" s="1">
        <f t="shared" si="29"/>
        <v>20.968439010000004</v>
      </c>
      <c r="DD8" s="1">
        <f t="shared" si="29"/>
        <v>22.566015059999998</v>
      </c>
      <c r="DE8" s="1">
        <f t="shared" si="29"/>
        <v>20.944876220000001</v>
      </c>
      <c r="DF8" s="1">
        <f t="shared" si="29"/>
        <v>23.157032140000002</v>
      </c>
      <c r="DG8" s="1">
        <f t="shared" si="29"/>
        <v>19.314763240000005</v>
      </c>
      <c r="DH8" s="1">
        <f t="shared" si="29"/>
        <v>22.778743510000002</v>
      </c>
      <c r="DJ8" s="1">
        <f t="shared" si="30"/>
        <v>3.2517762100000001</v>
      </c>
      <c r="DK8" s="1">
        <f t="shared" si="30"/>
        <v>5.3810388700000003</v>
      </c>
      <c r="DL8" s="1">
        <f t="shared" si="30"/>
        <v>1.5958006899999999</v>
      </c>
      <c r="DM8" s="1">
        <f t="shared" si="30"/>
        <v>1.1051948</v>
      </c>
      <c r="DN8" s="1">
        <f t="shared" si="30"/>
        <v>4.8166289400000002</v>
      </c>
      <c r="DO8" s="1">
        <f t="shared" si="30"/>
        <v>3.1609685399999994</v>
      </c>
      <c r="DP8" s="1">
        <f t="shared" si="30"/>
        <v>2.9900732700000003</v>
      </c>
      <c r="DQ8" s="1">
        <f t="shared" si="30"/>
        <v>5.5193633599999998</v>
      </c>
      <c r="DR8" s="1">
        <f t="shared" si="30"/>
        <v>3.4351580800000003</v>
      </c>
      <c r="DS8" s="1">
        <f t="shared" si="30"/>
        <v>2.0550383299999999</v>
      </c>
      <c r="DT8" s="1">
        <f t="shared" si="30"/>
        <v>3.4373023600000003</v>
      </c>
      <c r="DU8" s="1">
        <f t="shared" si="30"/>
        <v>5.2475744900000008</v>
      </c>
      <c r="DV8" s="1">
        <f t="shared" si="30"/>
        <v>3.52939004</v>
      </c>
      <c r="DW8" s="1">
        <f t="shared" si="30"/>
        <v>1.41927303</v>
      </c>
      <c r="DX8" s="1">
        <f t="shared" si="30"/>
        <v>4.5240591299999995</v>
      </c>
      <c r="DY8" s="1">
        <f t="shared" si="30"/>
        <v>2.5037689800000003</v>
      </c>
      <c r="DZ8" s="1">
        <f t="shared" si="31"/>
        <v>2.5011971499999999</v>
      </c>
      <c r="EA8" s="1">
        <f t="shared" si="31"/>
        <v>3.7585351000000005</v>
      </c>
      <c r="EB8" s="1">
        <f t="shared" si="31"/>
        <v>4.0425458900000004</v>
      </c>
      <c r="EC8" s="1">
        <f t="shared" si="31"/>
        <v>3.59052696</v>
      </c>
      <c r="ED8" s="1">
        <f t="shared" si="31"/>
        <v>2.1766254799999998</v>
      </c>
      <c r="EE8" s="1">
        <f t="shared" si="31"/>
        <v>1.5903026900000001</v>
      </c>
      <c r="EF8" s="1">
        <f t="shared" si="31"/>
        <v>5.6916922899999998</v>
      </c>
      <c r="EG8" s="1">
        <f t="shared" si="31"/>
        <v>1.7294530099999998</v>
      </c>
      <c r="EI8" s="14">
        <f t="shared" si="41"/>
        <v>47.02</v>
      </c>
      <c r="EJ8" s="14">
        <f t="shared" si="41"/>
        <v>47.16</v>
      </c>
      <c r="EK8" s="1">
        <f t="shared" si="41"/>
        <v>47</v>
      </c>
      <c r="EL8" s="1">
        <f t="shared" si="41"/>
        <v>47.2</v>
      </c>
      <c r="EM8" s="1">
        <f t="shared" si="41"/>
        <v>47.7</v>
      </c>
      <c r="EN8" s="1">
        <f t="shared" si="41"/>
        <v>47.68</v>
      </c>
      <c r="EO8" s="1">
        <f t="shared" si="41"/>
        <v>46.5</v>
      </c>
      <c r="EP8" s="1">
        <f t="shared" si="41"/>
        <v>46.08</v>
      </c>
      <c r="EQ8" s="1">
        <f t="shared" si="41"/>
        <v>45.67</v>
      </c>
      <c r="ER8" s="1">
        <f t="shared" si="41"/>
        <v>45.79</v>
      </c>
      <c r="ES8" s="1">
        <f t="shared" si="41"/>
        <v>45.9</v>
      </c>
      <c r="ET8" s="1">
        <f t="shared" si="41"/>
        <v>45.78</v>
      </c>
      <c r="EU8" s="1">
        <f t="shared" si="41"/>
        <v>45.91</v>
      </c>
      <c r="EV8" s="1">
        <f t="shared" si="41"/>
        <v>45.61</v>
      </c>
      <c r="EW8" s="1">
        <f t="shared" si="41"/>
        <v>45.61</v>
      </c>
      <c r="EX8" s="1">
        <f t="shared" si="41"/>
        <v>45.23</v>
      </c>
      <c r="EY8" s="1">
        <f t="shared" si="33"/>
        <v>45.2</v>
      </c>
      <c r="EZ8" s="1">
        <f t="shared" si="33"/>
        <v>46.01</v>
      </c>
      <c r="FA8" s="1">
        <f t="shared" si="33"/>
        <v>44.44</v>
      </c>
      <c r="FB8" s="1">
        <f t="shared" si="33"/>
        <v>42.29</v>
      </c>
      <c r="FC8" s="1">
        <f t="shared" si="33"/>
        <v>45.39</v>
      </c>
      <c r="FD8" s="1">
        <f t="shared" si="33"/>
        <v>45.32</v>
      </c>
      <c r="FE8" s="1">
        <f t="shared" si="33"/>
        <v>44.85</v>
      </c>
      <c r="FF8" s="1">
        <f t="shared" si="33"/>
        <v>45.52</v>
      </c>
      <c r="FH8" s="162">
        <f t="shared" si="34"/>
        <v>-0.17681491364070134</v>
      </c>
    </row>
    <row r="9" spans="1:164" ht="18.75" customHeight="1">
      <c r="A9" s="244" t="s">
        <v>77</v>
      </c>
      <c r="B9" s="247"/>
      <c r="C9" s="228">
        <v>0</v>
      </c>
      <c r="D9" s="229">
        <v>1</v>
      </c>
      <c r="E9" s="253">
        <f t="shared" si="6"/>
        <v>-4.2536935751603222E-2</v>
      </c>
      <c r="F9" s="254">
        <f t="shared" si="7"/>
        <v>-6.835873136727777E-2</v>
      </c>
      <c r="G9" s="253">
        <f t="shared" si="8"/>
        <v>1.8014049071339633E-2</v>
      </c>
      <c r="H9" s="254">
        <f t="shared" si="9"/>
        <v>-6.0550984822942855E-2</v>
      </c>
      <c r="I9" s="253">
        <f t="shared" si="10"/>
        <v>0.69097554873472178</v>
      </c>
      <c r="J9" s="254">
        <f t="shared" si="11"/>
        <v>0.36746986479882926</v>
      </c>
      <c r="K9" s="253">
        <f t="shared" si="12"/>
        <v>0.47584319708526301</v>
      </c>
      <c r="L9" s="254">
        <f t="shared" si="13"/>
        <v>0.21513235164945876</v>
      </c>
      <c r="M9" s="255"/>
      <c r="N9" s="256">
        <v>-1</v>
      </c>
      <c r="O9" s="253">
        <f t="shared" si="35"/>
        <v>-1.3639133000699299E-2</v>
      </c>
      <c r="P9" s="257">
        <f t="shared" si="36"/>
        <v>-1.3639133000699299E-2</v>
      </c>
      <c r="Q9" s="253">
        <f t="shared" si="14"/>
        <v>-3.3237260633764087E-2</v>
      </c>
      <c r="R9" s="257">
        <f t="shared" si="37"/>
        <v>-3.3237260633764087E-2</v>
      </c>
      <c r="S9" s="255"/>
      <c r="T9" s="256">
        <v>0</v>
      </c>
      <c r="U9" s="253">
        <f t="shared" si="15"/>
        <v>0.35236279183774366</v>
      </c>
      <c r="V9" s="258">
        <f t="shared" si="16"/>
        <v>0.35236279183774366</v>
      </c>
      <c r="W9" s="253">
        <f t="shared" si="38"/>
        <v>0.95389507455010691</v>
      </c>
      <c r="X9" s="258">
        <f t="shared" si="17"/>
        <v>0.95389507455010691</v>
      </c>
      <c r="Y9" s="253">
        <f t="shared" si="18"/>
        <v>-3.8507821901323736E-2</v>
      </c>
      <c r="Z9" s="258">
        <f t="shared" si="19"/>
        <v>-3.8507821901323736E-2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VLOOKUP($A9,historia!$A$5:$DD$24,+HLOOKUP(AP$2,historia!$A$3:$EC$4,2,FALSE),FALSE)</f>
        <v>2</v>
      </c>
      <c r="AQ9" s="28">
        <f>VLOOKUP($A9,historia!$A$5:$DD$24,+HLOOKUP(AQ$2,historia!$A$3:$EC$4,2,FALSE),FALSE)</f>
        <v>2</v>
      </c>
      <c r="AR9" s="28">
        <f>VLOOKUP($A9,historia!$A$5:$DD$24,+HLOOKUP(AR$2,historia!$A$3:$EC$4,2,FALSE),FALSE)</f>
        <v>2</v>
      </c>
      <c r="AS9" s="28">
        <f>VLOOKUP($A9,historia!$A$5:$DD$24,+HLOOKUP(AS$2,historia!$A$3:$EC$4,2,FALSE),FALSE)</f>
        <v>1</v>
      </c>
      <c r="AT9" s="58">
        <f>VLOOKUP($A9,historia!$A$5:$DD$24,+HLOOKUP(AT$2,historia!$A$3:$EC$4,2,FALSE),FALSE)</f>
        <v>1</v>
      </c>
      <c r="AU9" s="58">
        <f>VLOOKUP($A9,historia!$A$5:$DD$24,+HLOOKUP(AU$2,historia!$A$3:$EC$4,2,FALSE),FALSE)</f>
        <v>2</v>
      </c>
      <c r="AV9" s="58">
        <f>VLOOKUP($A9,historia!$A$5:$DD$24,+HLOOKUP(AV$2,historia!$A$3:$EC$4,2,FALSE),FALSE)</f>
        <v>1</v>
      </c>
      <c r="AW9" s="58">
        <f>VLOOKUP($A9,historia!$A$5:$DD$24,+HLOOKUP(AW$2,historia!$A$3:$EC$4,2,FALSE),FALSE)</f>
        <v>2</v>
      </c>
      <c r="AX9" s="58">
        <f>VLOOKUP($A9,historia!$A$5:$DD$24,+HLOOKUP(AX$2,historia!$A$3:$EC$4,2,FALSE),FALSE)</f>
        <v>2</v>
      </c>
      <c r="AY9" s="58">
        <f>VLOOKUP($A9,historia!$A$5:$DD$24,+HLOOKUP(AY$2,historia!$A$3:$EC$4,2,FALSE),FALSE)</f>
        <v>2</v>
      </c>
      <c r="AZ9" s="58">
        <f>VLOOKUP($A9,historia!$A$5:$DD$24,+HLOOKUP(AZ$2,historia!$A$3:$EC$4,2,FALSE),FALSE)</f>
        <v>2</v>
      </c>
      <c r="BA9" s="58">
        <f>VLOOKUP($A9,historia!$A$5:$DG$24,+HLOOKUP(BA$2,historia!$A$3:$EC$4,2,FALSE),FALSE)</f>
        <v>2</v>
      </c>
      <c r="BB9" s="58"/>
      <c r="BC9" s="286">
        <v>2</v>
      </c>
      <c r="BD9" t="str">
        <f t="shared" si="20"/>
        <v>Bovinos</v>
      </c>
      <c r="BE9">
        <f>+datos!BM1</f>
        <v>65</v>
      </c>
      <c r="BF9" s="2" t="str">
        <f t="shared" si="4"/>
        <v>$/kg</v>
      </c>
      <c r="BG9" s="2">
        <f t="shared" si="4"/>
        <v>5542.24</v>
      </c>
      <c r="BH9" s="2">
        <f t="shared" si="4"/>
        <v>5788.4634999999998</v>
      </c>
      <c r="BI9" s="2">
        <f t="shared" si="4"/>
        <v>3277.54</v>
      </c>
      <c r="BK9" s="1">
        <f>+datos!EH1</f>
        <v>138</v>
      </c>
      <c r="BL9" s="1">
        <f t="shared" si="21"/>
        <v>50920790</v>
      </c>
      <c r="BM9" s="1">
        <f t="shared" si="21"/>
        <v>51624909</v>
      </c>
      <c r="BO9" s="1">
        <f>+datos!HB1</f>
        <v>210</v>
      </c>
      <c r="BP9" s="1">
        <f t="shared" si="22"/>
        <v>3062453</v>
      </c>
      <c r="BQ9" s="1">
        <f t="shared" si="22"/>
        <v>3167740</v>
      </c>
      <c r="BS9" s="1">
        <f>+datos!KG1</f>
        <v>293</v>
      </c>
      <c r="BT9" s="1">
        <f t="shared" si="39"/>
        <v>5548.5552164799992</v>
      </c>
      <c r="BU9" s="1">
        <f t="shared" si="40"/>
        <v>4102.8600091399985</v>
      </c>
      <c r="BW9" s="1">
        <f>+datos!LL1</f>
        <v>324</v>
      </c>
      <c r="BX9" s="2">
        <f t="shared" si="23"/>
        <v>121.45640225</v>
      </c>
      <c r="BY9" s="2">
        <f t="shared" si="24"/>
        <v>62.161169159999993</v>
      </c>
      <c r="CA9" s="1">
        <f>+datos!IM1</f>
        <v>247</v>
      </c>
      <c r="CB9" s="2">
        <f t="shared" si="25"/>
        <v>47.94</v>
      </c>
      <c r="CC9" s="2">
        <f t="shared" si="26"/>
        <v>49.86</v>
      </c>
      <c r="CD9" s="2">
        <f>CB9-CC9</f>
        <v>-1.9200000000000017</v>
      </c>
      <c r="CE9">
        <f>+datos!DB1</f>
        <v>106</v>
      </c>
      <c r="CF9" s="2">
        <f t="shared" si="27"/>
        <v>15563.343375250664</v>
      </c>
      <c r="CG9" s="2">
        <f t="shared" si="27"/>
        <v>15287.945573489849</v>
      </c>
      <c r="CH9" s="2">
        <f t="shared" si="27"/>
        <v>10545.390869428205</v>
      </c>
      <c r="CI9" s="2"/>
      <c r="CK9" s="1">
        <f t="shared" si="28"/>
        <v>424.30922868999994</v>
      </c>
      <c r="CL9" s="1">
        <f t="shared" si="28"/>
        <v>536.74004446000004</v>
      </c>
      <c r="CM9" s="1">
        <f t="shared" si="28"/>
        <v>393.3327183799999</v>
      </c>
      <c r="CN9" s="1">
        <f t="shared" si="28"/>
        <v>435.35705272999991</v>
      </c>
      <c r="CO9" s="1">
        <f t="shared" si="28"/>
        <v>452.44590436999982</v>
      </c>
      <c r="CP9" s="1">
        <f t="shared" si="28"/>
        <v>474.71184945000005</v>
      </c>
      <c r="CQ9" s="1">
        <f t="shared" si="28"/>
        <v>535.90919134000001</v>
      </c>
      <c r="CR9" s="1">
        <f t="shared" si="28"/>
        <v>536.17235368000001</v>
      </c>
      <c r="CS9" s="1">
        <f t="shared" si="28"/>
        <v>505.86158855000002</v>
      </c>
      <c r="CT9" s="1">
        <f t="shared" si="28"/>
        <v>434.66638176999993</v>
      </c>
      <c r="CU9" s="1">
        <f t="shared" si="28"/>
        <v>430.01977605999991</v>
      </c>
      <c r="CV9" s="1">
        <f t="shared" si="28"/>
        <v>389.02912699999996</v>
      </c>
      <c r="CW9" s="1">
        <f t="shared" si="28"/>
        <v>350.95842742999997</v>
      </c>
      <c r="CX9" s="1">
        <f t="shared" si="28"/>
        <v>275.41226476999998</v>
      </c>
      <c r="CY9" s="1">
        <f t="shared" si="28"/>
        <v>345.87150417999976</v>
      </c>
      <c r="CZ9" s="1">
        <f t="shared" si="28"/>
        <v>330.34833823999992</v>
      </c>
      <c r="DA9" s="1">
        <f t="shared" si="29"/>
        <v>372.02787432000008</v>
      </c>
      <c r="DB9" s="1">
        <f t="shared" si="29"/>
        <v>363.37275483999991</v>
      </c>
      <c r="DC9" s="1">
        <f t="shared" si="29"/>
        <v>373.60267999999996</v>
      </c>
      <c r="DD9" s="1">
        <f t="shared" si="29"/>
        <v>392.24577093999977</v>
      </c>
      <c r="DE9" s="1">
        <f t="shared" si="29"/>
        <v>370.00520762000008</v>
      </c>
      <c r="DF9" s="1">
        <f t="shared" si="29"/>
        <v>307.7105307999999</v>
      </c>
      <c r="DG9" s="1">
        <f t="shared" si="29"/>
        <v>311.98041742999999</v>
      </c>
      <c r="DH9" s="1">
        <f t="shared" si="29"/>
        <v>309.32423856999998</v>
      </c>
      <c r="DJ9" s="1">
        <f t="shared" si="30"/>
        <v>16.804039660000001</v>
      </c>
      <c r="DK9" s="1">
        <f t="shared" si="30"/>
        <v>12.219695360000001</v>
      </c>
      <c r="DL9" s="1">
        <f t="shared" si="30"/>
        <v>8.3972474800000008</v>
      </c>
      <c r="DM9" s="1">
        <f t="shared" si="30"/>
        <v>9.2870214400000002</v>
      </c>
      <c r="DN9" s="1">
        <f t="shared" si="30"/>
        <v>11.988372569999999</v>
      </c>
      <c r="DO9" s="1">
        <f t="shared" si="30"/>
        <v>8.8931998399999994</v>
      </c>
      <c r="DP9" s="1">
        <f t="shared" si="30"/>
        <v>5.7331222099999994</v>
      </c>
      <c r="DQ9" s="1">
        <f t="shared" si="30"/>
        <v>13.331294830000001</v>
      </c>
      <c r="DR9" s="1">
        <f t="shared" si="30"/>
        <v>9.6599299699999985</v>
      </c>
      <c r="DS9" s="1">
        <f t="shared" si="30"/>
        <v>6.816705279999999</v>
      </c>
      <c r="DT9" s="1">
        <f t="shared" si="30"/>
        <v>8.1579769499999983</v>
      </c>
      <c r="DU9" s="1">
        <f t="shared" si="30"/>
        <v>10.16779666</v>
      </c>
      <c r="DV9" s="1">
        <f t="shared" si="30"/>
        <v>11.009236750000001</v>
      </c>
      <c r="DW9" s="1">
        <f t="shared" si="30"/>
        <v>8.7569028099999997</v>
      </c>
      <c r="DX9" s="1">
        <f t="shared" si="30"/>
        <v>7.0677003599999999</v>
      </c>
      <c r="DY9" s="1">
        <f t="shared" si="30"/>
        <v>5.8644577399999989</v>
      </c>
      <c r="DZ9" s="1">
        <f t="shared" si="31"/>
        <v>6.7460545699999992</v>
      </c>
      <c r="EA9" s="1">
        <f t="shared" si="31"/>
        <v>2.8647302900000002</v>
      </c>
      <c r="EB9" s="1">
        <f t="shared" si="31"/>
        <v>3.9160438699999998</v>
      </c>
      <c r="EC9" s="1">
        <f t="shared" si="31"/>
        <v>2.7432327000000001</v>
      </c>
      <c r="ED9" s="1">
        <f t="shared" si="31"/>
        <v>3.5031505699999994</v>
      </c>
      <c r="EE9" s="1">
        <f t="shared" si="31"/>
        <v>3.9954732900000005</v>
      </c>
      <c r="EF9" s="1">
        <f t="shared" si="31"/>
        <v>2.3751918999999999</v>
      </c>
      <c r="EG9" s="1">
        <f t="shared" si="31"/>
        <v>3.3189943100000003</v>
      </c>
      <c r="EI9" s="14">
        <f t="shared" si="41"/>
        <v>47.94</v>
      </c>
      <c r="EJ9" s="14">
        <f t="shared" si="41"/>
        <v>48.54</v>
      </c>
      <c r="EK9" s="1">
        <f t="shared" si="41"/>
        <v>48.84</v>
      </c>
      <c r="EL9" s="1">
        <f t="shared" si="41"/>
        <v>49.28</v>
      </c>
      <c r="EM9" s="1">
        <f t="shared" si="41"/>
        <v>49.95</v>
      </c>
      <c r="EN9" s="1">
        <f t="shared" si="41"/>
        <v>49.25</v>
      </c>
      <c r="EO9" s="1">
        <f t="shared" si="41"/>
        <v>49.56</v>
      </c>
      <c r="EP9" s="1">
        <f t="shared" si="41"/>
        <v>49.84</v>
      </c>
      <c r="EQ9" s="1">
        <f t="shared" si="41"/>
        <v>49.93</v>
      </c>
      <c r="ER9" s="1">
        <f t="shared" si="41"/>
        <v>50.15</v>
      </c>
      <c r="ES9" s="1">
        <f t="shared" si="41"/>
        <v>50.33</v>
      </c>
      <c r="ET9" s="1">
        <f t="shared" si="41"/>
        <v>49.79</v>
      </c>
      <c r="EU9" s="1">
        <f t="shared" si="41"/>
        <v>49.86</v>
      </c>
      <c r="EV9" s="1">
        <f t="shared" si="41"/>
        <v>49.86</v>
      </c>
      <c r="EW9" s="1">
        <f t="shared" si="41"/>
        <v>48.75</v>
      </c>
      <c r="EX9" s="1">
        <f t="shared" si="41"/>
        <v>48.18</v>
      </c>
      <c r="EY9" s="1">
        <f t="shared" si="33"/>
        <v>47.81</v>
      </c>
      <c r="EZ9" s="1">
        <f t="shared" si="33"/>
        <v>46.91</v>
      </c>
      <c r="FA9" s="1">
        <f t="shared" si="33"/>
        <v>47.74</v>
      </c>
      <c r="FB9" s="1">
        <f t="shared" si="33"/>
        <v>47.38</v>
      </c>
      <c r="FC9" s="1">
        <f t="shared" si="33"/>
        <v>47.74</v>
      </c>
      <c r="FD9" s="1">
        <f t="shared" si="33"/>
        <v>47.8</v>
      </c>
      <c r="FE9" s="1">
        <f t="shared" si="33"/>
        <v>47.58</v>
      </c>
      <c r="FF9" s="1">
        <f t="shared" si="33"/>
        <v>49.18</v>
      </c>
      <c r="FH9" s="162">
        <f t="shared" si="34"/>
        <v>0.21513235164945876</v>
      </c>
    </row>
    <row r="10" spans="1:164" ht="18" customHeight="1">
      <c r="A10" s="263" t="s">
        <v>221</v>
      </c>
      <c r="B10" s="246"/>
      <c r="C10" s="156">
        <f t="shared" si="5"/>
        <v>0</v>
      </c>
      <c r="D10" s="198">
        <v>-1</v>
      </c>
      <c r="E10" s="248">
        <f t="shared" si="6"/>
        <v>-0.22558093426242953</v>
      </c>
      <c r="F10" s="249">
        <f t="shared" si="7"/>
        <v>-0.25140272987810408</v>
      </c>
      <c r="G10" s="248">
        <f t="shared" si="8"/>
        <v>2.1955154854534031E-2</v>
      </c>
      <c r="H10" s="249">
        <f t="shared" si="9"/>
        <v>-0.24753608911696356</v>
      </c>
      <c r="I10" s="248">
        <f t="shared" si="10"/>
        <v>0.30336077143322804</v>
      </c>
      <c r="J10" s="249">
        <f t="shared" si="11"/>
        <v>-2.014491250266448E-2</v>
      </c>
      <c r="K10" s="248">
        <f t="shared" si="12"/>
        <v>0.45214238962242925</v>
      </c>
      <c r="L10" s="249">
        <f t="shared" si="13"/>
        <v>-0.14878161818920121</v>
      </c>
      <c r="M10" s="250"/>
      <c r="N10" s="24">
        <v>0</v>
      </c>
      <c r="O10" s="248">
        <f t="shared" si="35"/>
        <v>0</v>
      </c>
      <c r="P10" s="251">
        <f t="shared" si="36"/>
        <v>0</v>
      </c>
      <c r="Q10" s="248">
        <f t="shared" si="14"/>
        <v>0</v>
      </c>
      <c r="R10" s="251">
        <f t="shared" si="37"/>
        <v>0</v>
      </c>
      <c r="S10" s="250"/>
      <c r="T10" s="24">
        <v>1</v>
      </c>
      <c r="U10" s="248">
        <f t="shared" si="15"/>
        <v>-0.16522470457703797</v>
      </c>
      <c r="V10" s="252">
        <f t="shared" si="16"/>
        <v>-0.16522470457703797</v>
      </c>
      <c r="W10" s="248">
        <f t="shared" si="38"/>
        <v>-0.20947435696327887</v>
      </c>
      <c r="X10" s="252">
        <f t="shared" si="17"/>
        <v>-0.20947435696327887</v>
      </c>
      <c r="Y10" s="248">
        <f t="shared" si="18"/>
        <v>0</v>
      </c>
      <c r="Z10" s="258">
        <f t="shared" si="19"/>
        <v>0</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VLOOKUP($A10,historia!$A$5:$DD$24,+HLOOKUP(AP$2,historia!$A$3:$EC$4,2,FALSE),FALSE)</f>
        <v>4</v>
      </c>
      <c r="AQ10" s="28">
        <f>VLOOKUP($A10,historia!$A$5:$DD$24,+HLOOKUP(AQ$2,historia!$A$3:$EC$4,2,FALSE),FALSE)</f>
        <v>3</v>
      </c>
      <c r="AR10" s="28">
        <f>VLOOKUP($A10,historia!$A$5:$DD$24,+HLOOKUP(AR$2,historia!$A$3:$EC$4,2,FALSE),FALSE)</f>
        <v>2</v>
      </c>
      <c r="AS10" s="28">
        <f>VLOOKUP($A10,historia!$A$5:$DD$24,+HLOOKUP(AS$2,historia!$A$3:$EC$4,2,FALSE),FALSE)</f>
        <v>3</v>
      </c>
      <c r="AT10" s="58">
        <f>VLOOKUP($A10,historia!$A$5:$DD$24,+HLOOKUP(AT$2,historia!$A$3:$EC$4,2,FALSE),FALSE)</f>
        <v>3</v>
      </c>
      <c r="AU10" s="58">
        <f>VLOOKUP($A10,historia!$A$5:$DD$24,+HLOOKUP(AU$2,historia!$A$3:$EC$4,2,FALSE),FALSE)</f>
        <v>3</v>
      </c>
      <c r="AV10" s="58">
        <f>VLOOKUP($A10,historia!$A$5:$DD$24,+HLOOKUP(AV$2,historia!$A$3:$EC$4,2,FALSE),FALSE)</f>
        <v>3</v>
      </c>
      <c r="AW10" s="58">
        <f>VLOOKUP($A10,historia!$A$5:$DD$24,+HLOOKUP(AW$2,historia!$A$3:$EC$4,2,FALSE),FALSE)</f>
        <v>3</v>
      </c>
      <c r="AX10" s="58">
        <f>VLOOKUP($A10,historia!$A$5:$DD$24,+HLOOKUP(AX$2,historia!$A$3:$EC$4,2,FALSE),FALSE)</f>
        <v>3</v>
      </c>
      <c r="AY10" s="58">
        <f>VLOOKUP($A10,historia!$A$5:$DD$24,+HLOOKUP(AY$2,historia!$A$3:$EC$4,2,FALSE),FALSE)</f>
        <v>3</v>
      </c>
      <c r="AZ10" s="58">
        <f>VLOOKUP($A10,historia!$A$5:$DD$24,+HLOOKUP(AZ$2,historia!$A$3:$EC$4,2,FALSE),FALSE)</f>
        <v>3</v>
      </c>
      <c r="BA10" s="58">
        <f>VLOOKUP($A10,historia!$A$5:$DG$24,+HLOOKUP(BA$2,historia!$A$3:$EC$4,2,FALSE),FALSE)</f>
        <v>3</v>
      </c>
      <c r="BB10" s="58"/>
      <c r="BC10" s="286">
        <v>3</v>
      </c>
      <c r="BD10" t="str">
        <f t="shared" si="20"/>
        <v>Cítricos Dulces</v>
      </c>
      <c r="BE10">
        <f>+datos!AU1</f>
        <v>47</v>
      </c>
      <c r="BF10" s="2" t="str">
        <f t="shared" si="4"/>
        <v>$/caja 18kg</v>
      </c>
      <c r="BG10" s="2">
        <f t="shared" si="4"/>
        <v>17725.18888888889</v>
      </c>
      <c r="BH10" s="2">
        <f t="shared" si="4"/>
        <v>22888.36842105263</v>
      </c>
      <c r="BI10" s="2">
        <f t="shared" si="4"/>
        <v>13599.602870813396</v>
      </c>
      <c r="BK10" s="1">
        <f>+datos!ER1</f>
        <v>148</v>
      </c>
      <c r="BL10" s="1">
        <f t="shared" si="21"/>
        <v>79911</v>
      </c>
      <c r="BM10" s="1">
        <f t="shared" si="21"/>
        <v>79911</v>
      </c>
      <c r="BO10" s="1">
        <f>+datos!GH1</f>
        <v>190</v>
      </c>
      <c r="BP10" s="1">
        <f t="shared" si="22"/>
        <v>1543162</v>
      </c>
      <c r="BQ10" s="1">
        <f t="shared" si="22"/>
        <v>1543162</v>
      </c>
      <c r="BS10" s="1">
        <f>+datos!LT1</f>
        <v>332</v>
      </c>
      <c r="BT10" s="1">
        <f t="shared" si="39"/>
        <v>106.13849109</v>
      </c>
      <c r="BU10" s="1">
        <f t="shared" si="40"/>
        <v>127.14618134</v>
      </c>
      <c r="BV10" s="1"/>
      <c r="BW10" s="1">
        <f>+datos!LX1</f>
        <v>336</v>
      </c>
      <c r="BX10" s="2">
        <f t="shared" si="23"/>
        <v>6.00109929</v>
      </c>
      <c r="BY10" s="2">
        <f t="shared" si="24"/>
        <v>7.5912772000000004</v>
      </c>
      <c r="CA10" s="1">
        <f>+datos!IV1</f>
        <v>256</v>
      </c>
      <c r="CB10" s="1">
        <f t="shared" si="25"/>
        <v>17.130000000000003</v>
      </c>
      <c r="CC10" s="1">
        <f t="shared" si="26"/>
        <v>17.130000000000003</v>
      </c>
      <c r="CD10" s="1"/>
      <c r="CE10">
        <f>+datos!CX1</f>
        <v>102</v>
      </c>
      <c r="CF10" s="2">
        <f t="shared" si="27"/>
        <v>14254.544265576775</v>
      </c>
      <c r="CG10" s="2">
        <f t="shared" si="27"/>
        <v>13948.307024886801</v>
      </c>
      <c r="CH10" s="2">
        <f t="shared" si="27"/>
        <v>9816.2166241032955</v>
      </c>
      <c r="CI10" s="1"/>
      <c r="CK10" s="1">
        <f t="shared" si="28"/>
        <v>5.1105851800000002</v>
      </c>
      <c r="CL10" s="1">
        <f t="shared" si="28"/>
        <v>4.7713070799999997</v>
      </c>
      <c r="CM10" s="1">
        <f t="shared" si="28"/>
        <v>4.8895593400000008</v>
      </c>
      <c r="CN10" s="1">
        <f t="shared" si="28"/>
        <v>6.1907229299999997</v>
      </c>
      <c r="CO10" s="1">
        <f t="shared" si="28"/>
        <v>6.1255732800000002</v>
      </c>
      <c r="CP10" s="1">
        <f t="shared" si="28"/>
        <v>9.318502950000001</v>
      </c>
      <c r="CQ10" s="1">
        <f t="shared" si="28"/>
        <v>10.108990799999999</v>
      </c>
      <c r="CR10" s="1">
        <f t="shared" si="28"/>
        <v>8.35667808</v>
      </c>
      <c r="CS10" s="1">
        <f t="shared" si="28"/>
        <v>14.350128370000002</v>
      </c>
      <c r="CT10" s="1">
        <f t="shared" si="28"/>
        <v>16.897846870000002</v>
      </c>
      <c r="CU10" s="1">
        <f t="shared" si="28"/>
        <v>10.456701950000001</v>
      </c>
      <c r="CV10" s="1">
        <f t="shared" si="28"/>
        <v>9.5618942600000008</v>
      </c>
      <c r="CW10" s="1">
        <f t="shared" si="28"/>
        <v>5.6783096999999998</v>
      </c>
      <c r="CX10" s="1">
        <f t="shared" si="28"/>
        <v>3.5979505000000001</v>
      </c>
      <c r="CY10" s="1">
        <f t="shared" si="28"/>
        <v>11.482528969999997</v>
      </c>
      <c r="CZ10" s="1">
        <f t="shared" si="28"/>
        <v>11.00321864</v>
      </c>
      <c r="DA10" s="1">
        <f t="shared" si="29"/>
        <v>18.05731771</v>
      </c>
      <c r="DB10" s="1">
        <f t="shared" si="29"/>
        <v>12.23030908</v>
      </c>
      <c r="DC10" s="1">
        <f t="shared" si="29"/>
        <v>17.119922650000003</v>
      </c>
      <c r="DD10" s="1">
        <f t="shared" si="29"/>
        <v>15.255558669999997</v>
      </c>
      <c r="DE10" s="1">
        <f t="shared" si="29"/>
        <v>10.271936310000001</v>
      </c>
      <c r="DF10" s="1">
        <f t="shared" si="29"/>
        <v>14.041262509999999</v>
      </c>
      <c r="DG10" s="1">
        <f t="shared" si="29"/>
        <v>6.1015489199999999</v>
      </c>
      <c r="DH10" s="1">
        <f t="shared" si="29"/>
        <v>2.3063176799999998</v>
      </c>
      <c r="DJ10" s="1">
        <f t="shared" si="30"/>
        <v>0.35776876000000002</v>
      </c>
      <c r="DK10" s="1">
        <f t="shared" si="30"/>
        <v>0.92818331999999992</v>
      </c>
      <c r="DL10" s="1">
        <f t="shared" si="30"/>
        <v>1.2063144699999999</v>
      </c>
      <c r="DM10" s="1">
        <f t="shared" si="30"/>
        <v>1.22554951</v>
      </c>
      <c r="DN10" s="1">
        <f t="shared" si="30"/>
        <v>0.91618060000000012</v>
      </c>
      <c r="DO10" s="1">
        <f t="shared" si="30"/>
        <v>0.37596773000000006</v>
      </c>
      <c r="DP10" s="1">
        <f t="shared" si="30"/>
        <v>0.55234585999999997</v>
      </c>
      <c r="DQ10" s="1">
        <f t="shared" si="30"/>
        <v>0.12110615999999999</v>
      </c>
      <c r="DR10" s="1">
        <f t="shared" si="30"/>
        <v>2.631816E-2</v>
      </c>
      <c r="DS10" s="1">
        <f t="shared" si="30"/>
        <v>4.99154E-3</v>
      </c>
      <c r="DT10" s="1">
        <f t="shared" si="30"/>
        <v>4.683996E-2</v>
      </c>
      <c r="DU10" s="1">
        <f t="shared" si="30"/>
        <v>0.23953321999999996</v>
      </c>
      <c r="DV10" s="1">
        <f t="shared" si="30"/>
        <v>0.72731897999999995</v>
      </c>
      <c r="DW10" s="1">
        <f t="shared" si="30"/>
        <v>1.7947146899999999</v>
      </c>
      <c r="DX10" s="1">
        <f t="shared" si="30"/>
        <v>1.56764612</v>
      </c>
      <c r="DY10" s="1">
        <f t="shared" si="30"/>
        <v>1.4871383200000001</v>
      </c>
      <c r="DZ10" s="1">
        <f t="shared" si="31"/>
        <v>0.7069763</v>
      </c>
      <c r="EA10" s="1">
        <f t="shared" si="31"/>
        <v>0.35634324000000006</v>
      </c>
      <c r="EB10" s="1">
        <f t="shared" si="31"/>
        <v>0.22489865000000001</v>
      </c>
      <c r="EC10" s="1">
        <f t="shared" si="31"/>
        <v>0.17467300000000002</v>
      </c>
      <c r="ED10" s="1">
        <f t="shared" si="31"/>
        <v>7.2500000000000004E-3</v>
      </c>
      <c r="EE10" s="1">
        <f t="shared" si="31"/>
        <v>0.23680799999999999</v>
      </c>
      <c r="EF10" s="1">
        <f t="shared" si="31"/>
        <v>0</v>
      </c>
      <c r="EG10" s="1">
        <f t="shared" si="31"/>
        <v>0.3075099</v>
      </c>
      <c r="EI10" s="14">
        <f t="shared" si="41"/>
        <v>17.130000000000003</v>
      </c>
      <c r="EJ10" s="14">
        <f t="shared" si="41"/>
        <v>17.130000000000003</v>
      </c>
      <c r="EK10" s="1">
        <f t="shared" si="41"/>
        <v>17.130000000000003</v>
      </c>
      <c r="EL10" s="1">
        <f t="shared" si="41"/>
        <v>17.130000000000003</v>
      </c>
      <c r="EM10" s="1">
        <f t="shared" si="41"/>
        <v>17.130000000000003</v>
      </c>
      <c r="EN10" s="1">
        <f t="shared" si="41"/>
        <v>17.130000000000003</v>
      </c>
      <c r="EO10" s="1">
        <f t="shared" si="41"/>
        <v>17.130000000000003</v>
      </c>
      <c r="EP10" s="1">
        <f t="shared" si="41"/>
        <v>17.130000000000003</v>
      </c>
      <c r="EQ10" s="1">
        <f t="shared" si="41"/>
        <v>17.130000000000003</v>
      </c>
      <c r="ER10" s="1">
        <f t="shared" si="41"/>
        <v>17.130000000000003</v>
      </c>
      <c r="ES10" s="1">
        <f t="shared" si="41"/>
        <v>17.130000000000003</v>
      </c>
      <c r="ET10" s="1">
        <f t="shared" si="41"/>
        <v>17.130000000000003</v>
      </c>
      <c r="EU10" s="1">
        <f t="shared" si="41"/>
        <v>17.130000000000003</v>
      </c>
      <c r="EV10" s="1">
        <f t="shared" si="41"/>
        <v>17.130000000000003</v>
      </c>
      <c r="EW10" s="1">
        <f t="shared" si="41"/>
        <v>17.130000000000003</v>
      </c>
      <c r="EX10" s="1">
        <f t="shared" si="41"/>
        <v>17.130000000000003</v>
      </c>
      <c r="EY10" s="1">
        <f t="shared" si="33"/>
        <v>17.39</v>
      </c>
      <c r="EZ10" s="1">
        <f t="shared" si="33"/>
        <v>17.39</v>
      </c>
      <c r="FA10" s="1">
        <f t="shared" si="33"/>
        <v>17.39</v>
      </c>
      <c r="FB10" s="1">
        <f t="shared" si="33"/>
        <v>17.39</v>
      </c>
      <c r="FC10" s="1">
        <f t="shared" si="33"/>
        <v>17.39</v>
      </c>
      <c r="FD10" s="1">
        <f t="shared" si="33"/>
        <v>17.39</v>
      </c>
      <c r="FE10" s="1">
        <f t="shared" si="33"/>
        <v>17.39</v>
      </c>
      <c r="FF10" s="1">
        <f t="shared" si="33"/>
        <v>17.39</v>
      </c>
      <c r="FH10" s="162">
        <f t="shared" si="34"/>
        <v>-0.14878161818920121</v>
      </c>
    </row>
    <row r="11" spans="1:164" ht="18.75" customHeight="1">
      <c r="A11" s="244" t="s">
        <v>116</v>
      </c>
      <c r="B11" s="247"/>
      <c r="C11" s="228">
        <f t="shared" si="5"/>
        <v>-0.33</v>
      </c>
      <c r="D11" s="229">
        <v>1</v>
      </c>
      <c r="E11" s="253">
        <f t="shared" si="6"/>
        <v>0</v>
      </c>
      <c r="F11" s="254">
        <f t="shared" si="7"/>
        <v>-2.5821795615674548E-2</v>
      </c>
      <c r="G11" s="253">
        <f t="shared" si="8"/>
        <v>2.127588680162007E-2</v>
      </c>
      <c r="H11" s="254">
        <f t="shared" si="9"/>
        <v>-2.127588680162007E-2</v>
      </c>
      <c r="I11" s="253">
        <f t="shared" si="10"/>
        <v>6.157656005069545E-2</v>
      </c>
      <c r="J11" s="254">
        <f t="shared" si="11"/>
        <v>-0.26192912388519707</v>
      </c>
      <c r="K11" s="253">
        <f t="shared" si="12"/>
        <v>0.46269840667892126</v>
      </c>
      <c r="L11" s="254">
        <f t="shared" si="13"/>
        <v>-0.40112184662822581</v>
      </c>
      <c r="M11" s="255"/>
      <c r="N11" s="256"/>
      <c r="O11" s="253" t="str">
        <f t="shared" si="35"/>
        <v/>
      </c>
      <c r="P11" s="257" t="str">
        <f t="shared" si="36"/>
        <v/>
      </c>
      <c r="Q11" s="253">
        <f t="shared" si="14"/>
        <v>0</v>
      </c>
      <c r="R11" s="257">
        <f t="shared" si="37"/>
        <v>0</v>
      </c>
      <c r="S11" s="255"/>
      <c r="T11" s="24">
        <v>-2</v>
      </c>
      <c r="U11" s="253">
        <f t="shared" si="15"/>
        <v>3.1615938208309879E-2</v>
      </c>
      <c r="V11" s="258">
        <f t="shared" si="16"/>
        <v>3.1615938208309879E-2</v>
      </c>
      <c r="W11" s="253">
        <f t="shared" si="38"/>
        <v>0.10788431803758591</v>
      </c>
      <c r="X11" s="258">
        <f t="shared" si="17"/>
        <v>0.10788431803758591</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VLOOKUP($A11,historia!$A$5:$DD$24,+HLOOKUP(AP$2,historia!$A$3:$EC$4,2,FALSE),FALSE)</f>
        <v>3</v>
      </c>
      <c r="AQ11" s="28">
        <f>VLOOKUP($A11,historia!$A$5:$DD$24,+HLOOKUP(AQ$2,historia!$A$3:$EC$4,2,FALSE),FALSE)</f>
        <v>3</v>
      </c>
      <c r="AR11" s="28">
        <f>VLOOKUP($A11,historia!$A$5:$DD$24,+HLOOKUP(AR$2,historia!$A$3:$EC$4,2,FALSE),FALSE)</f>
        <v>3</v>
      </c>
      <c r="AS11" s="28">
        <f>VLOOKUP($A11,historia!$A$5:$DD$24,+HLOOKUP(AS$2,historia!$A$3:$EC$4,2,FALSE),FALSE)</f>
        <v>3</v>
      </c>
      <c r="AT11" s="58">
        <f>VLOOKUP($A11,historia!$A$5:$DD$24,+HLOOKUP(AT$2,historia!$A$3:$EC$4,2,FALSE),FALSE)</f>
        <v>3</v>
      </c>
      <c r="AU11" s="58">
        <f>VLOOKUP($A11,historia!$A$5:$DD$24,+HLOOKUP(AU$2,historia!$A$3:$EC$4,2,FALSE),FALSE)</f>
        <v>3</v>
      </c>
      <c r="AV11" s="58">
        <f>VLOOKUP($A11,historia!$A$5:$DD$24,+HLOOKUP(AV$2,historia!$A$3:$EC$4,2,FALSE),FALSE)</f>
        <v>3</v>
      </c>
      <c r="AW11" s="58">
        <f>VLOOKUP($A11,historia!$A$5:$DD$24,+HLOOKUP(AW$2,historia!$A$3:$EC$4,2,FALSE),FALSE)</f>
        <v>3</v>
      </c>
      <c r="AX11" s="58">
        <f>VLOOKUP($A11,historia!$A$5:$DD$24,+HLOOKUP(AX$2,historia!$A$3:$EC$4,2,FALSE),FALSE)</f>
        <v>3</v>
      </c>
      <c r="AY11" s="58">
        <f>VLOOKUP($A11,historia!$A$5:$DD$24,+HLOOKUP(AY$2,historia!$A$3:$EC$4,2,FALSE),FALSE)</f>
        <v>4</v>
      </c>
      <c r="AZ11" s="58">
        <f>VLOOKUP($A11,historia!$A$5:$DD$24,+HLOOKUP(AZ$2,historia!$A$3:$EC$4,2,FALSE),FALSE)</f>
        <v>4</v>
      </c>
      <c r="BA11" s="58">
        <f>VLOOKUP($A11,historia!$A$5:$DG$24,+HLOOKUP(BA$2,historia!$A$3:$EC$4,2,FALSE),FALSE)</f>
        <v>4</v>
      </c>
      <c r="BB11" s="58"/>
      <c r="BC11" s="286">
        <v>4</v>
      </c>
      <c r="BD11" t="str">
        <f t="shared" si="20"/>
        <v>Forestal</v>
      </c>
      <c r="BE11">
        <f>+datos!BG1</f>
        <v>59</v>
      </c>
      <c r="BF11" s="2" t="str">
        <f t="shared" si="4"/>
        <v>$/t</v>
      </c>
      <c r="BG11" s="2">
        <f t="shared" si="4"/>
        <v>31829.25</v>
      </c>
      <c r="BH11" s="2">
        <f t="shared" si="4"/>
        <v>31829.25</v>
      </c>
      <c r="BI11" s="2">
        <f t="shared" si="4"/>
        <v>29983</v>
      </c>
      <c r="BK11" s="1">
        <f>+datos!ES1</f>
        <v>149</v>
      </c>
      <c r="BL11" s="1">
        <f t="shared" si="21"/>
        <v>0</v>
      </c>
      <c r="BM11" s="1">
        <f t="shared" si="21"/>
        <v>0</v>
      </c>
      <c r="BO11" s="1">
        <f>+datos!GI1</f>
        <v>191</v>
      </c>
      <c r="BP11" s="1">
        <f t="shared" si="22"/>
        <v>1302556</v>
      </c>
      <c r="BQ11" s="1">
        <f t="shared" si="22"/>
        <v>1302556</v>
      </c>
      <c r="BS11" s="1">
        <f>+datos!KB1</f>
        <v>288</v>
      </c>
      <c r="BT11" s="1">
        <f t="shared" si="39"/>
        <v>182.17329352000002</v>
      </c>
      <c r="BU11" s="1">
        <f t="shared" si="40"/>
        <v>176.59022779</v>
      </c>
      <c r="BW11" s="1">
        <f>+datos!LG1</f>
        <v>319</v>
      </c>
      <c r="BX11" s="2">
        <f t="shared" si="23"/>
        <v>190.83504103000004</v>
      </c>
      <c r="BY11" s="2">
        <f t="shared" si="24"/>
        <v>172.25177568000001</v>
      </c>
      <c r="CA11" s="1">
        <f>+datos!IW1</f>
        <v>257</v>
      </c>
      <c r="CB11" s="1">
        <f t="shared" si="25"/>
        <v>0</v>
      </c>
      <c r="CC11" s="1">
        <f t="shared" si="26"/>
        <v>0</v>
      </c>
      <c r="CD11" s="1"/>
      <c r="CE11">
        <f>+datos!CZ1</f>
        <v>104</v>
      </c>
      <c r="CF11" s="2">
        <f t="shared" si="27"/>
        <v>18603.755393190579</v>
      </c>
      <c r="CG11" s="2">
        <f t="shared" si="27"/>
        <v>18216.1898010271</v>
      </c>
      <c r="CH11" s="2">
        <f t="shared" si="27"/>
        <v>12718.791042803339</v>
      </c>
      <c r="CI11" s="1"/>
      <c r="CK11" s="1">
        <f t="shared" si="28"/>
        <v>18.593073950000004</v>
      </c>
      <c r="CL11" s="1">
        <f t="shared" si="28"/>
        <v>16.76578641</v>
      </c>
      <c r="CM11" s="1">
        <f t="shared" si="28"/>
        <v>15.133510020000001</v>
      </c>
      <c r="CN11" s="1">
        <f t="shared" si="28"/>
        <v>13.84098623</v>
      </c>
      <c r="CO11" s="1">
        <f t="shared" si="28"/>
        <v>18.231882050000007</v>
      </c>
      <c r="CP11" s="1">
        <f t="shared" si="28"/>
        <v>13.327102919999998</v>
      </c>
      <c r="CQ11" s="1">
        <f t="shared" si="28"/>
        <v>13.77020325</v>
      </c>
      <c r="CR11" s="1">
        <f t="shared" si="28"/>
        <v>16.167947309999995</v>
      </c>
      <c r="CS11" s="1">
        <f t="shared" si="28"/>
        <v>12.702036029999997</v>
      </c>
      <c r="CT11" s="1">
        <f t="shared" si="28"/>
        <v>14.879273850000001</v>
      </c>
      <c r="CU11" s="1">
        <f t="shared" si="28"/>
        <v>13.812450910000003</v>
      </c>
      <c r="CV11" s="1">
        <f t="shared" si="28"/>
        <v>14.949040589999999</v>
      </c>
      <c r="CW11" s="1">
        <f t="shared" si="28"/>
        <v>13.968637820000001</v>
      </c>
      <c r="CX11" s="1">
        <f t="shared" si="28"/>
        <v>9.9284284400000011</v>
      </c>
      <c r="CY11" s="1">
        <f t="shared" si="28"/>
        <v>14.484437890000001</v>
      </c>
      <c r="CZ11" s="1">
        <f t="shared" si="28"/>
        <v>10.200287200000002</v>
      </c>
      <c r="DA11" s="1">
        <f t="shared" si="29"/>
        <v>11.119065489999999</v>
      </c>
      <c r="DB11" s="1">
        <f t="shared" si="29"/>
        <v>13.50721221</v>
      </c>
      <c r="DC11" s="1">
        <f t="shared" si="29"/>
        <v>17.7783984</v>
      </c>
      <c r="DD11" s="1">
        <f t="shared" si="29"/>
        <v>18.158715399999995</v>
      </c>
      <c r="DE11" s="1">
        <f t="shared" si="29"/>
        <v>13.62277192</v>
      </c>
      <c r="DF11" s="1">
        <f t="shared" si="29"/>
        <v>18.147427050000005</v>
      </c>
      <c r="DG11" s="1">
        <f t="shared" si="29"/>
        <v>16.38459563</v>
      </c>
      <c r="DH11" s="1">
        <f t="shared" si="29"/>
        <v>19.29025034</v>
      </c>
      <c r="DJ11" s="1">
        <f t="shared" si="30"/>
        <v>15.17794868</v>
      </c>
      <c r="DK11" s="1">
        <f t="shared" si="30"/>
        <v>15.225690909999999</v>
      </c>
      <c r="DL11" s="1">
        <f t="shared" si="30"/>
        <v>13.973435009999999</v>
      </c>
      <c r="DM11" s="1">
        <f t="shared" si="30"/>
        <v>15.974673770000001</v>
      </c>
      <c r="DN11" s="1">
        <f t="shared" si="30"/>
        <v>16.564446050000001</v>
      </c>
      <c r="DO11" s="1">
        <f t="shared" si="30"/>
        <v>13.907008520000002</v>
      </c>
      <c r="DP11" s="1">
        <f t="shared" si="30"/>
        <v>17.652505269999999</v>
      </c>
      <c r="DQ11" s="1">
        <f t="shared" si="30"/>
        <v>18.176691299999998</v>
      </c>
      <c r="DR11" s="1">
        <f t="shared" si="30"/>
        <v>17.838312650000002</v>
      </c>
      <c r="DS11" s="1">
        <f t="shared" si="30"/>
        <v>13.839856769999999</v>
      </c>
      <c r="DT11" s="1">
        <f t="shared" si="30"/>
        <v>16.453753389999996</v>
      </c>
      <c r="DU11" s="1">
        <f t="shared" si="30"/>
        <v>16.050718710000002</v>
      </c>
      <c r="DV11" s="1">
        <f t="shared" si="30"/>
        <v>13.20675994</v>
      </c>
      <c r="DW11" s="1">
        <f t="shared" si="30"/>
        <v>12.082023640000001</v>
      </c>
      <c r="DX11" s="1">
        <f t="shared" si="30"/>
        <v>16.998994660000001</v>
      </c>
      <c r="DY11" s="1">
        <f t="shared" si="30"/>
        <v>14.09144206</v>
      </c>
      <c r="DZ11" s="1">
        <f t="shared" si="31"/>
        <v>14.036730870000001</v>
      </c>
      <c r="EA11" s="1">
        <f t="shared" si="31"/>
        <v>13.365554540000002</v>
      </c>
      <c r="EB11" s="1">
        <f t="shared" si="31"/>
        <v>15.589800310000003</v>
      </c>
      <c r="EC11" s="1">
        <f t="shared" si="31"/>
        <v>16.942532470000003</v>
      </c>
      <c r="ED11" s="1">
        <f t="shared" si="31"/>
        <v>10.998476289999999</v>
      </c>
      <c r="EE11" s="1">
        <f t="shared" si="31"/>
        <v>11.46589975</v>
      </c>
      <c r="EF11" s="1">
        <f t="shared" si="31"/>
        <v>13.53170609</v>
      </c>
      <c r="EG11" s="1">
        <f t="shared" si="31"/>
        <v>19.941855059999995</v>
      </c>
      <c r="EI11" s="14">
        <f t="shared" si="41"/>
        <v>0</v>
      </c>
      <c r="EJ11" s="14">
        <f t="shared" si="41"/>
        <v>0</v>
      </c>
      <c r="EK11" s="1">
        <f t="shared" si="41"/>
        <v>0</v>
      </c>
      <c r="EL11" s="1">
        <f t="shared" si="41"/>
        <v>0</v>
      </c>
      <c r="EM11" s="1">
        <f t="shared" si="41"/>
        <v>0</v>
      </c>
      <c r="EN11" s="1">
        <f t="shared" si="41"/>
        <v>0</v>
      </c>
      <c r="EO11" s="1">
        <f t="shared" si="41"/>
        <v>0</v>
      </c>
      <c r="EP11" s="1">
        <f t="shared" si="41"/>
        <v>0</v>
      </c>
      <c r="EQ11" s="1">
        <f t="shared" si="41"/>
        <v>0</v>
      </c>
      <c r="ER11" s="1">
        <f t="shared" si="41"/>
        <v>0</v>
      </c>
      <c r="ES11" s="1">
        <f t="shared" si="41"/>
        <v>0</v>
      </c>
      <c r="ET11" s="1">
        <f t="shared" si="41"/>
        <v>0</v>
      </c>
      <c r="EU11" s="1">
        <f t="shared" si="41"/>
        <v>0</v>
      </c>
      <c r="EV11" s="1">
        <f t="shared" si="41"/>
        <v>0</v>
      </c>
      <c r="EW11" s="1">
        <f t="shared" si="41"/>
        <v>0</v>
      </c>
      <c r="EX11" s="1">
        <f t="shared" si="41"/>
        <v>0</v>
      </c>
      <c r="EY11" s="1">
        <f t="shared" si="33"/>
        <v>0</v>
      </c>
      <c r="EZ11" s="1">
        <f t="shared" si="33"/>
        <v>0</v>
      </c>
      <c r="FA11" s="1">
        <f t="shared" si="33"/>
        <v>0</v>
      </c>
      <c r="FB11" s="1">
        <f t="shared" si="33"/>
        <v>0</v>
      </c>
      <c r="FC11" s="1">
        <f t="shared" si="33"/>
        <v>0</v>
      </c>
      <c r="FD11" s="1">
        <f t="shared" si="33"/>
        <v>0</v>
      </c>
      <c r="FE11" s="1">
        <f t="shared" si="33"/>
        <v>0</v>
      </c>
      <c r="FF11" s="1">
        <f t="shared" si="33"/>
        <v>0</v>
      </c>
      <c r="FH11" s="162">
        <f t="shared" si="34"/>
        <v>-0.40112184662822581</v>
      </c>
    </row>
    <row r="12" spans="1:164" ht="18.75" customHeight="1">
      <c r="A12" s="243" t="s">
        <v>216</v>
      </c>
      <c r="B12" s="246"/>
      <c r="C12" s="156">
        <f t="shared" si="5"/>
        <v>-0.33</v>
      </c>
      <c r="D12" s="198">
        <v>-1</v>
      </c>
      <c r="E12" s="248">
        <f t="shared" si="6"/>
        <v>5.7851623715607925E-3</v>
      </c>
      <c r="F12" s="249">
        <f t="shared" si="7"/>
        <v>-2.0036633244113755E-2</v>
      </c>
      <c r="G12" s="248">
        <f t="shared" si="8"/>
        <v>1.0019950098393293E-2</v>
      </c>
      <c r="H12" s="249">
        <f t="shared" si="9"/>
        <v>-4.2347877268325007E-3</v>
      </c>
      <c r="I12" s="248">
        <f t="shared" si="10"/>
        <v>0.35130178974818183</v>
      </c>
      <c r="J12" s="249">
        <f t="shared" si="11"/>
        <v>2.7796105812289307E-2</v>
      </c>
      <c r="K12" s="248">
        <f t="shared" si="12"/>
        <v>0.42818288742391242</v>
      </c>
      <c r="L12" s="249">
        <f t="shared" si="13"/>
        <v>-7.6881097675730592E-2</v>
      </c>
      <c r="M12" s="250"/>
      <c r="N12" s="24">
        <v>1</v>
      </c>
      <c r="O12" s="248">
        <f t="shared" si="35"/>
        <v>3.2267037552155875E-2</v>
      </c>
      <c r="P12" s="251">
        <f t="shared" si="36"/>
        <v>3.2267037552155875E-2</v>
      </c>
      <c r="Q12" s="248">
        <f t="shared" si="14"/>
        <v>0.21446831384091092</v>
      </c>
      <c r="R12" s="251">
        <f t="shared" si="37"/>
        <v>0.21446831384091092</v>
      </c>
      <c r="S12" s="250"/>
      <c r="T12" s="24">
        <v>-1</v>
      </c>
      <c r="U12" s="248">
        <f t="shared" si="15"/>
        <v>0.1439414907202281</v>
      </c>
      <c r="V12" s="252">
        <f t="shared" si="16"/>
        <v>0.1439414907202281</v>
      </c>
      <c r="W12" s="248">
        <f t="shared" si="38"/>
        <v>-8.5605262184138664E-2</v>
      </c>
      <c r="X12" s="252">
        <f t="shared" si="17"/>
        <v>-8.5605262184138664E-2</v>
      </c>
      <c r="Y12" s="248"/>
      <c r="Z12" s="252"/>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VLOOKUP($A12,historia!$A$5:$DD$24,+HLOOKUP(AP$2,historia!$A$3:$EC$4,2,FALSE),FALSE)</f>
        <v>3</v>
      </c>
      <c r="AQ12" s="28">
        <f>VLOOKUP($A12,historia!$A$5:$DD$24,+HLOOKUP(AQ$2,historia!$A$3:$EC$4,2,FALSE),FALSE)</f>
        <v>3</v>
      </c>
      <c r="AR12" s="28">
        <f>VLOOKUP($A12,historia!$A$5:$DD$24,+HLOOKUP(AR$2,historia!$A$3:$EC$4,2,FALSE),FALSE)</f>
        <v>2</v>
      </c>
      <c r="AS12" s="28">
        <f>VLOOKUP($A12,historia!$A$5:$DD$24,+HLOOKUP(AS$2,historia!$A$3:$EC$4,2,FALSE),FALSE)</f>
        <v>2</v>
      </c>
      <c r="AT12" s="58">
        <f>VLOOKUP($A12,historia!$A$5:$DD$24,+HLOOKUP(AT$2,historia!$A$3:$EC$4,2,FALSE),FALSE)</f>
        <v>1</v>
      </c>
      <c r="AU12" s="58">
        <f>VLOOKUP($A12,historia!$A$5:$DD$24,+HLOOKUP(AU$2,historia!$A$3:$EC$4,2,FALSE),FALSE)</f>
        <v>2</v>
      </c>
      <c r="AV12" s="58">
        <f>VLOOKUP($A12,historia!$A$5:$DD$24,+HLOOKUP(AV$2,historia!$A$3:$EC$4,2,FALSE),FALSE)</f>
        <v>2</v>
      </c>
      <c r="AW12" s="58">
        <f>VLOOKUP($A12,historia!$A$5:$DD$24,+HLOOKUP(AW$2,historia!$A$3:$EC$4,2,FALSE),FALSE)</f>
        <v>2</v>
      </c>
      <c r="AX12" s="58">
        <f>VLOOKUP($A12,historia!$A$5:$DD$24,+HLOOKUP(AX$2,historia!$A$3:$EC$4,2,FALSE),FALSE)</f>
        <v>1</v>
      </c>
      <c r="AY12" s="58">
        <f>VLOOKUP($A12,historia!$A$5:$DD$24,+HLOOKUP(AY$2,historia!$A$3:$EC$4,2,FALSE),FALSE)</f>
        <v>2</v>
      </c>
      <c r="AZ12" s="58">
        <f>VLOOKUP($A12,historia!$A$5:$DD$24,+HLOOKUP(AZ$2,historia!$A$3:$EC$4,2,FALSE),FALSE)</f>
        <v>2</v>
      </c>
      <c r="BA12" s="58">
        <f>VLOOKUP($A12,historia!$A$5:$DG$24,+HLOOKUP(BA$2,historia!$A$3:$EC$4,2,FALSE),FALSE)</f>
        <v>1</v>
      </c>
      <c r="BB12" s="58"/>
      <c r="BC12" s="286">
        <v>1</v>
      </c>
      <c r="BD12" t="str">
        <f t="shared" si="20"/>
        <v>Granos</v>
      </c>
      <c r="BE12">
        <f>+datos!AE1</f>
        <v>31</v>
      </c>
      <c r="BF12" s="2" t="str">
        <f t="shared" si="4"/>
        <v>$/t</v>
      </c>
      <c r="BG12" s="2">
        <f t="shared" si="4"/>
        <v>359086.25981514581</v>
      </c>
      <c r="BH12" s="2">
        <f t="shared" si="4"/>
        <v>357020.83630707895</v>
      </c>
      <c r="BI12" s="2">
        <f t="shared" si="4"/>
        <v>265733.57819799997</v>
      </c>
      <c r="BK12" s="1">
        <f>+datos!EA1</f>
        <v>131</v>
      </c>
      <c r="BL12" s="1">
        <f t="shared" si="21"/>
        <v>37110000</v>
      </c>
      <c r="BM12" s="1">
        <f t="shared" si="21"/>
        <v>35950000</v>
      </c>
      <c r="BO12" s="1">
        <f>+datos!FV1</f>
        <v>178</v>
      </c>
      <c r="BP12" s="1">
        <f t="shared" si="22"/>
        <v>156800004</v>
      </c>
      <c r="BQ12" s="1">
        <f t="shared" si="22"/>
        <v>129110000</v>
      </c>
      <c r="BS12" s="1">
        <f>+datos!LQ1</f>
        <v>329</v>
      </c>
      <c r="BT12" s="1">
        <f>+SUM(CK12:CV12)</f>
        <v>49194.918167399999</v>
      </c>
      <c r="BU12" s="1">
        <f t="shared" si="40"/>
        <v>43004.750301020002</v>
      </c>
      <c r="BW12" s="1">
        <f>+datos!LU1</f>
        <v>333</v>
      </c>
      <c r="BX12" s="2">
        <f t="shared" si="23"/>
        <v>2698.6602736600007</v>
      </c>
      <c r="BY12" s="2">
        <f t="shared" si="24"/>
        <v>2951.3077471400002</v>
      </c>
      <c r="CA12" s="1">
        <f>+datos!II1</f>
        <v>243</v>
      </c>
      <c r="CB12" s="1">
        <f t="shared" si="25"/>
        <v>87300000</v>
      </c>
      <c r="CC12" s="1">
        <f t="shared" si="26"/>
        <v>83260000</v>
      </c>
      <c r="CD12" s="1"/>
      <c r="CE12">
        <f>+datos!CG1</f>
        <v>85</v>
      </c>
      <c r="CF12" s="2">
        <f t="shared" si="27"/>
        <v>14541.103787889806</v>
      </c>
      <c r="CG12" s="2">
        <f t="shared" si="27"/>
        <v>14396.848088469196</v>
      </c>
      <c r="CH12" s="2">
        <f t="shared" si="27"/>
        <v>10181.541815081086</v>
      </c>
      <c r="CI12" s="1"/>
      <c r="CK12" s="1">
        <f>+VLOOKUP(CK$1,ran_dat,$BS12,FALSE)</f>
        <v>4064.0645645799996</v>
      </c>
      <c r="CL12" s="1">
        <f t="shared" si="28"/>
        <v>4203.4384527000002</v>
      </c>
      <c r="CM12" s="1">
        <f t="shared" si="28"/>
        <v>3234.3307016200001</v>
      </c>
      <c r="CN12" s="1">
        <f t="shared" si="28"/>
        <v>4071.6367626900005</v>
      </c>
      <c r="CO12" s="1">
        <f t="shared" si="28"/>
        <v>3901.9920549600001</v>
      </c>
      <c r="CP12" s="1">
        <f t="shared" si="28"/>
        <v>4663.3781357900007</v>
      </c>
      <c r="CQ12" s="1">
        <f t="shared" si="28"/>
        <v>3782.3696972900002</v>
      </c>
      <c r="CR12" s="1">
        <f t="shared" si="28"/>
        <v>4396.9372515900004</v>
      </c>
      <c r="CS12" s="1">
        <f t="shared" si="28"/>
        <v>4336.2366958999992</v>
      </c>
      <c r="CT12" s="1">
        <f t="shared" si="28"/>
        <v>4557.75384975</v>
      </c>
      <c r="CU12" s="1">
        <f t="shared" si="28"/>
        <v>3762.5394987399995</v>
      </c>
      <c r="CV12" s="1">
        <f t="shared" si="28"/>
        <v>4220.2405017900001</v>
      </c>
      <c r="CW12" s="1">
        <f t="shared" si="28"/>
        <v>3699.5517639399995</v>
      </c>
      <c r="CX12" s="1">
        <f t="shared" si="28"/>
        <v>2719.5194464700007</v>
      </c>
      <c r="CY12" s="1">
        <f t="shared" si="28"/>
        <v>3193.1112506200002</v>
      </c>
      <c r="CZ12" s="1">
        <f t="shared" si="28"/>
        <v>3231.2263099199999</v>
      </c>
      <c r="DA12" s="1">
        <f t="shared" si="29"/>
        <v>3313.8442822299994</v>
      </c>
      <c r="DB12" s="1">
        <f t="shared" si="29"/>
        <v>3339.9998161899998</v>
      </c>
      <c r="DC12" s="1">
        <f t="shared" si="29"/>
        <v>3485.71732419</v>
      </c>
      <c r="DD12" s="1">
        <f t="shared" si="29"/>
        <v>3410.80431886</v>
      </c>
      <c r="DE12" s="1">
        <f t="shared" si="29"/>
        <v>3348.6268518899992</v>
      </c>
      <c r="DF12" s="1">
        <f t="shared" si="29"/>
        <v>4200.6671527199996</v>
      </c>
      <c r="DG12" s="1">
        <f t="shared" si="29"/>
        <v>4256.6159984299993</v>
      </c>
      <c r="DH12" s="1">
        <f t="shared" si="29"/>
        <v>4805.0657855600002</v>
      </c>
      <c r="DJ12" s="1">
        <f t="shared" si="30"/>
        <v>430.74979968000002</v>
      </c>
      <c r="DK12" s="1">
        <f t="shared" si="30"/>
        <v>401.51977044</v>
      </c>
      <c r="DL12" s="1">
        <f t="shared" si="30"/>
        <v>345.64924089000016</v>
      </c>
      <c r="DM12" s="1">
        <f t="shared" si="30"/>
        <v>27.557335100000003</v>
      </c>
      <c r="DN12" s="1">
        <f t="shared" si="30"/>
        <v>51.994600029999987</v>
      </c>
      <c r="DO12" s="1">
        <f t="shared" si="30"/>
        <v>140.49668192999997</v>
      </c>
      <c r="DP12" s="1">
        <f t="shared" si="30"/>
        <v>126.11568693000002</v>
      </c>
      <c r="DQ12" s="1">
        <f t="shared" si="30"/>
        <v>179.77004703999992</v>
      </c>
      <c r="DR12" s="1">
        <f t="shared" si="30"/>
        <v>175.34564924</v>
      </c>
      <c r="DS12" s="1">
        <f t="shared" si="30"/>
        <v>241.51209269000003</v>
      </c>
      <c r="DT12" s="1">
        <f t="shared" si="30"/>
        <v>273.75200934999998</v>
      </c>
      <c r="DU12" s="1">
        <f t="shared" si="30"/>
        <v>304.19736033999999</v>
      </c>
      <c r="DV12" s="1">
        <f t="shared" si="30"/>
        <v>338.33098909999995</v>
      </c>
      <c r="DW12" s="1">
        <f t="shared" si="30"/>
        <v>239.40438782999996</v>
      </c>
      <c r="DX12" s="1">
        <f t="shared" si="30"/>
        <v>288.1429152</v>
      </c>
      <c r="DY12" s="1">
        <f t="shared" si="30"/>
        <v>31.883400920000003</v>
      </c>
      <c r="DZ12" s="1">
        <f t="shared" si="31"/>
        <v>52.19269714</v>
      </c>
      <c r="EA12" s="1">
        <f t="shared" si="31"/>
        <v>201.41567115000001</v>
      </c>
      <c r="EB12" s="1">
        <f t="shared" si="31"/>
        <v>299.18688666000003</v>
      </c>
      <c r="EC12" s="1">
        <f t="shared" si="31"/>
        <v>265.28366987999999</v>
      </c>
      <c r="ED12" s="1">
        <f t="shared" si="31"/>
        <v>214.60650260000006</v>
      </c>
      <c r="EE12" s="1">
        <f t="shared" si="31"/>
        <v>390.93673457</v>
      </c>
      <c r="EF12" s="1">
        <f t="shared" si="31"/>
        <v>293.37536226000003</v>
      </c>
      <c r="EG12" s="1">
        <f t="shared" si="31"/>
        <v>336.54852982999995</v>
      </c>
      <c r="EI12" s="14">
        <f t="shared" si="41"/>
        <v>87300000</v>
      </c>
      <c r="EJ12" s="14">
        <f t="shared" si="41"/>
        <v>88050000</v>
      </c>
      <c r="EK12" s="1">
        <f t="shared" si="41"/>
        <v>88050000</v>
      </c>
      <c r="EL12" s="1">
        <f t="shared" si="41"/>
        <v>86780000</v>
      </c>
      <c r="EM12" s="1">
        <f t="shared" si="41"/>
        <v>86780000</v>
      </c>
      <c r="EN12" s="1">
        <f t="shared" si="41"/>
        <v>86680000</v>
      </c>
      <c r="EO12" s="1">
        <f t="shared" si="41"/>
        <v>85850000</v>
      </c>
      <c r="EP12" s="1">
        <f t="shared" si="41"/>
        <v>85850000</v>
      </c>
      <c r="EQ12" s="1">
        <f t="shared" si="41"/>
        <v>85820000</v>
      </c>
      <c r="ER12" s="1">
        <f t="shared" si="41"/>
        <v>83320000</v>
      </c>
      <c r="ES12" s="1">
        <f t="shared" si="41"/>
        <v>83120000</v>
      </c>
      <c r="ET12" s="1">
        <f t="shared" si="41"/>
        <v>83420000</v>
      </c>
      <c r="EU12" s="1">
        <f t="shared" si="41"/>
        <v>83260000</v>
      </c>
      <c r="EV12" s="1">
        <f t="shared" si="41"/>
        <v>82660000</v>
      </c>
      <c r="EW12" s="1">
        <f t="shared" si="41"/>
        <v>83330000</v>
      </c>
      <c r="EX12" s="1">
        <f t="shared" si="41"/>
        <v>83330000</v>
      </c>
      <c r="EY12" s="1">
        <f t="shared" si="33"/>
        <v>81580000</v>
      </c>
      <c r="EZ12" s="1">
        <f t="shared" si="33"/>
        <v>81600000</v>
      </c>
      <c r="FA12" s="1">
        <f t="shared" si="33"/>
        <v>81600000</v>
      </c>
      <c r="FB12" s="1">
        <f t="shared" si="33"/>
        <v>81600000</v>
      </c>
      <c r="FC12" s="1">
        <f t="shared" si="33"/>
        <v>81600000</v>
      </c>
      <c r="FD12" s="1">
        <f t="shared" si="33"/>
        <v>81600000</v>
      </c>
      <c r="FE12" s="1">
        <f t="shared" si="33"/>
        <v>81600000</v>
      </c>
      <c r="FF12" s="1">
        <f t="shared" si="33"/>
        <v>81600000</v>
      </c>
      <c r="FH12" s="162">
        <f t="shared" si="34"/>
        <v>-7.6881097675730592E-2</v>
      </c>
    </row>
    <row r="13" spans="1:164" ht="18.75" customHeight="1">
      <c r="A13" s="244" t="s">
        <v>217</v>
      </c>
      <c r="B13" s="247"/>
      <c r="C13" s="228">
        <f t="shared" si="5"/>
        <v>0</v>
      </c>
      <c r="D13" s="229">
        <v>0</v>
      </c>
      <c r="E13" s="253">
        <f t="shared" si="6"/>
        <v>-2.7167104979581413E-2</v>
      </c>
      <c r="F13" s="254">
        <f t="shared" si="7"/>
        <v>-5.2988900595255961E-2</v>
      </c>
      <c r="G13" s="253">
        <f t="shared" si="8"/>
        <v>0.11903711979676346</v>
      </c>
      <c r="H13" s="254">
        <f t="shared" si="9"/>
        <v>-0.14620422477634487</v>
      </c>
      <c r="I13" s="253">
        <f t="shared" si="10"/>
        <v>-0.18411870291804466</v>
      </c>
      <c r="J13" s="254">
        <f t="shared" si="11"/>
        <v>-0.50762438685393718</v>
      </c>
      <c r="K13" s="253">
        <f t="shared" si="12"/>
        <v>0.41939712025983833</v>
      </c>
      <c r="L13" s="254">
        <f t="shared" si="13"/>
        <v>-0.60351582317788299</v>
      </c>
      <c r="M13" s="255"/>
      <c r="N13" s="256">
        <v>0</v>
      </c>
      <c r="O13" s="253">
        <f t="shared" si="35"/>
        <v>0</v>
      </c>
      <c r="P13" s="257">
        <f t="shared" si="36"/>
        <v>0</v>
      </c>
      <c r="Q13" s="253">
        <f t="shared" si="14"/>
        <v>0</v>
      </c>
      <c r="R13" s="257">
        <f t="shared" si="37"/>
        <v>0</v>
      </c>
      <c r="S13" s="255"/>
      <c r="T13" s="256">
        <v>0</v>
      </c>
      <c r="U13" s="253">
        <f t="shared" si="15"/>
        <v>9.041637317105411E-2</v>
      </c>
      <c r="V13" s="258">
        <f t="shared" si="16"/>
        <v>9.041637317105411E-2</v>
      </c>
      <c r="W13" s="253">
        <f t="shared" si="38"/>
        <v>-0.58904751210477702</v>
      </c>
      <c r="X13" s="258">
        <f t="shared" si="17"/>
        <v>-0.58904751210477702</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VLOOKUP($A13,historia!$A$5:$DD$24,+HLOOKUP(AP$2,historia!$A$3:$EC$4,2,FALSE),FALSE)</f>
        <v>3</v>
      </c>
      <c r="AQ13" s="28">
        <f>VLOOKUP($A13,historia!$A$5:$DD$24,+HLOOKUP(AQ$2,historia!$A$3:$EC$4,2,FALSE),FALSE)</f>
        <v>5</v>
      </c>
      <c r="AR13" s="28">
        <f>VLOOKUP($A13,historia!$A$5:$DD$24,+HLOOKUP(AR$2,historia!$A$3:$EC$4,2,FALSE),FALSE)</f>
        <v>4</v>
      </c>
      <c r="AS13" s="28">
        <f>VLOOKUP($A13,historia!$A$5:$DD$24,+HLOOKUP(AS$2,historia!$A$3:$EC$4,2,FALSE),FALSE)</f>
        <v>5</v>
      </c>
      <c r="AT13" s="58">
        <f>VLOOKUP($A13,historia!$A$5:$DD$24,+HLOOKUP(AT$2,historia!$A$3:$EC$4,2,FALSE),FALSE)</f>
        <v>4</v>
      </c>
      <c r="AU13" s="58">
        <f>VLOOKUP($A13,historia!$A$5:$DD$24,+HLOOKUP(AU$2,historia!$A$3:$EC$4,2,FALSE),FALSE)</f>
        <v>4</v>
      </c>
      <c r="AV13" s="58">
        <f>VLOOKUP($A13,historia!$A$5:$DD$24,+HLOOKUP(AV$2,historia!$A$3:$EC$4,2,FALSE),FALSE)</f>
        <v>4</v>
      </c>
      <c r="AW13" s="58">
        <f>VLOOKUP($A13,historia!$A$5:$DD$24,+HLOOKUP(AW$2,historia!$A$3:$EC$4,2,FALSE),FALSE)</f>
        <v>4</v>
      </c>
      <c r="AX13" s="58">
        <f>VLOOKUP($A13,historia!$A$5:$DD$24,+HLOOKUP(AX$2,historia!$A$3:$EC$4,2,FALSE),FALSE)</f>
        <v>4</v>
      </c>
      <c r="AY13" s="58">
        <f>VLOOKUP($A13,historia!$A$5:$DD$24,+HLOOKUP(AY$2,historia!$A$3:$EC$4,2,FALSE),FALSE)</f>
        <v>4</v>
      </c>
      <c r="AZ13" s="58">
        <f>VLOOKUP($A13,historia!$A$5:$DD$24,+HLOOKUP(AZ$2,historia!$A$3:$EC$4,2,FALSE),FALSE)</f>
        <v>4</v>
      </c>
      <c r="BA13" s="58">
        <f>VLOOKUP($A13,historia!$A$5:$DG$24,+HLOOKUP(BA$2,historia!$A$3:$EC$4,2,FALSE),FALSE)</f>
        <v>4</v>
      </c>
      <c r="BB13" s="58"/>
      <c r="BC13" s="286">
        <v>4</v>
      </c>
      <c r="BD13" t="str">
        <f t="shared" si="20"/>
        <v>Hortalizas</v>
      </c>
      <c r="BE13">
        <f>+datos!BB1</f>
        <v>54</v>
      </c>
      <c r="BF13" s="2" t="str">
        <f t="shared" si="4"/>
        <v>$/kg</v>
      </c>
      <c r="BG13" s="2">
        <f t="shared" si="4"/>
        <v>9559.4207741576156</v>
      </c>
      <c r="BH13" s="2">
        <f t="shared" si="4"/>
        <v>9826.374933545987</v>
      </c>
      <c r="BI13" s="2">
        <f t="shared" si="4"/>
        <v>11716.680855839462</v>
      </c>
      <c r="BK13" s="1">
        <f>+datos!EX1</f>
        <v>154</v>
      </c>
      <c r="BL13" s="1">
        <f t="shared" si="21"/>
        <v>64395</v>
      </c>
      <c r="BM13" s="1">
        <f t="shared" si="21"/>
        <v>64395</v>
      </c>
      <c r="BO13" s="1">
        <f>+datos!GN1</f>
        <v>196</v>
      </c>
      <c r="BP13" s="1">
        <f t="shared" si="22"/>
        <v>2639386</v>
      </c>
      <c r="BQ13" s="1">
        <f t="shared" si="22"/>
        <v>2639386</v>
      </c>
      <c r="BS13" s="1">
        <f>+datos!LR1</f>
        <v>330</v>
      </c>
      <c r="BT13" s="1">
        <f t="shared" si="39"/>
        <v>48.242140860000006</v>
      </c>
      <c r="BU13" s="1">
        <f t="shared" si="40"/>
        <v>44.241944679999996</v>
      </c>
      <c r="BW13" s="1">
        <f>+datos!LV1</f>
        <v>334</v>
      </c>
      <c r="BX13" s="2">
        <f t="shared" si="23"/>
        <v>15.309620079999998</v>
      </c>
      <c r="BY13" s="2">
        <f t="shared" si="24"/>
        <v>37.253990499999993</v>
      </c>
      <c r="CA13" s="1">
        <f>+datos!IX1</f>
        <v>258</v>
      </c>
      <c r="CB13" s="1">
        <f t="shared" si="25"/>
        <v>0</v>
      </c>
      <c r="CC13" s="1">
        <f t="shared" si="26"/>
        <v>0</v>
      </c>
      <c r="CD13" s="1"/>
      <c r="CE13">
        <f>+datos!CO1</f>
        <v>93</v>
      </c>
      <c r="CF13" s="2">
        <f t="shared" si="27"/>
        <v>14978.272644357954</v>
      </c>
      <c r="CG13" s="2">
        <f t="shared" si="27"/>
        <v>13384.964966200823</v>
      </c>
      <c r="CH13" s="2">
        <f t="shared" si="27"/>
        <v>10552.559555437167</v>
      </c>
      <c r="CI13" s="1"/>
      <c r="CK13" s="1">
        <f t="shared" si="28"/>
        <v>11.667027839999999</v>
      </c>
      <c r="CL13" s="1">
        <f t="shared" si="28"/>
        <v>7.5031928699999995</v>
      </c>
      <c r="CM13" s="1">
        <f t="shared" si="28"/>
        <v>1.29974543</v>
      </c>
      <c r="CN13" s="1">
        <f t="shared" si="28"/>
        <v>1.7091561800000004</v>
      </c>
      <c r="CO13" s="1">
        <f t="shared" si="28"/>
        <v>1.6831161599999998</v>
      </c>
      <c r="CP13" s="1">
        <f t="shared" si="28"/>
        <v>1.1537429000000001</v>
      </c>
      <c r="CQ13" s="1">
        <f t="shared" si="28"/>
        <v>1.5287822199999999</v>
      </c>
      <c r="CR13" s="1">
        <f t="shared" si="28"/>
        <v>0.99519284000000008</v>
      </c>
      <c r="CS13" s="1">
        <f t="shared" si="28"/>
        <v>2.3842983399999995</v>
      </c>
      <c r="CT13" s="1">
        <f t="shared" si="28"/>
        <v>1.9006323699999998</v>
      </c>
      <c r="CU13" s="1">
        <f t="shared" si="28"/>
        <v>5.6300601800000001</v>
      </c>
      <c r="CV13" s="1">
        <f t="shared" si="28"/>
        <v>10.78719353</v>
      </c>
      <c r="CW13" s="1">
        <f t="shared" si="28"/>
        <v>6.6589734299999996</v>
      </c>
      <c r="CX13" s="1">
        <f t="shared" si="28"/>
        <v>4.7972503099999999</v>
      </c>
      <c r="CY13" s="1">
        <f t="shared" si="28"/>
        <v>3.6808061599999999</v>
      </c>
      <c r="CZ13" s="1">
        <f t="shared" si="28"/>
        <v>1.7265838599999999</v>
      </c>
      <c r="DA13" s="1">
        <f t="shared" si="29"/>
        <v>1.1603474899999999</v>
      </c>
      <c r="DB13" s="1">
        <f t="shared" si="29"/>
        <v>1.6220564799999999</v>
      </c>
      <c r="DC13" s="1">
        <f t="shared" si="29"/>
        <v>1.7022322700000001</v>
      </c>
      <c r="DD13" s="1">
        <f t="shared" si="29"/>
        <v>2.1800094999999997</v>
      </c>
      <c r="DE13" s="1">
        <f t="shared" si="29"/>
        <v>0.89152303000000011</v>
      </c>
      <c r="DF13" s="1">
        <f t="shared" si="29"/>
        <v>2.22092468</v>
      </c>
      <c r="DG13" s="1">
        <f t="shared" si="29"/>
        <v>5.6369490100000004</v>
      </c>
      <c r="DH13" s="1">
        <f t="shared" si="29"/>
        <v>11.964288460000001</v>
      </c>
      <c r="DJ13" s="1">
        <f t="shared" si="30"/>
        <v>0.57707428999999999</v>
      </c>
      <c r="DK13" s="1">
        <f t="shared" si="30"/>
        <v>0.39128717000000002</v>
      </c>
      <c r="DL13" s="1">
        <f t="shared" si="30"/>
        <v>0.23116673999999998</v>
      </c>
      <c r="DM13" s="1">
        <f t="shared" si="30"/>
        <v>0.59938404000000001</v>
      </c>
      <c r="DN13" s="1">
        <f t="shared" si="30"/>
        <v>0.53318653999999999</v>
      </c>
      <c r="DO13" s="1">
        <f t="shared" si="30"/>
        <v>0.87596054999999995</v>
      </c>
      <c r="DP13" s="1">
        <f t="shared" si="30"/>
        <v>2.0285887300000001</v>
      </c>
      <c r="DQ13" s="1">
        <f t="shared" si="30"/>
        <v>2.5185445399999997</v>
      </c>
      <c r="DR13" s="1">
        <f t="shared" si="30"/>
        <v>1.4155427900000002</v>
      </c>
      <c r="DS13" s="1">
        <f t="shared" si="30"/>
        <v>1.5956283999999996</v>
      </c>
      <c r="DT13" s="1">
        <f t="shared" si="30"/>
        <v>1.7945534399999996</v>
      </c>
      <c r="DU13" s="1">
        <f t="shared" si="30"/>
        <v>2.7487028499999995</v>
      </c>
      <c r="DV13" s="1">
        <f t="shared" si="30"/>
        <v>0.73139703</v>
      </c>
      <c r="DW13" s="1">
        <f t="shared" si="30"/>
        <v>0.52205221000000002</v>
      </c>
      <c r="DX13" s="1">
        <f t="shared" si="30"/>
        <v>0.27889262000000004</v>
      </c>
      <c r="DY13" s="1">
        <f t="shared" si="30"/>
        <v>0.43588088999999991</v>
      </c>
      <c r="DZ13" s="1">
        <f t="shared" si="31"/>
        <v>0.25163443000000002</v>
      </c>
      <c r="EA13" s="1">
        <f t="shared" si="31"/>
        <v>1.8307121500000001</v>
      </c>
      <c r="EB13" s="1">
        <f t="shared" si="31"/>
        <v>4.7138590499999999</v>
      </c>
      <c r="EC13" s="1">
        <f t="shared" si="31"/>
        <v>10.280953719999999</v>
      </c>
      <c r="ED13" s="1">
        <f t="shared" si="31"/>
        <v>10.078043539999999</v>
      </c>
      <c r="EE13" s="1">
        <f t="shared" si="31"/>
        <v>5.0525632100000006</v>
      </c>
      <c r="EF13" s="1">
        <f t="shared" si="31"/>
        <v>1.5134803299999999</v>
      </c>
      <c r="EG13" s="1">
        <f t="shared" si="31"/>
        <v>1.5645213200000003</v>
      </c>
      <c r="EI13" s="14">
        <f t="shared" si="41"/>
        <v>0</v>
      </c>
      <c r="EJ13" s="14">
        <f t="shared" si="41"/>
        <v>0</v>
      </c>
      <c r="EK13" s="1">
        <f t="shared" si="41"/>
        <v>0</v>
      </c>
      <c r="EL13" s="1">
        <f t="shared" si="41"/>
        <v>0</v>
      </c>
      <c r="EM13" s="1">
        <f t="shared" si="41"/>
        <v>0</v>
      </c>
      <c r="EN13" s="1">
        <f t="shared" si="41"/>
        <v>0</v>
      </c>
      <c r="EO13" s="1">
        <f t="shared" si="41"/>
        <v>0</v>
      </c>
      <c r="EP13" s="1">
        <f t="shared" si="41"/>
        <v>0</v>
      </c>
      <c r="EQ13" s="1">
        <f t="shared" si="41"/>
        <v>0</v>
      </c>
      <c r="ER13" s="1">
        <f t="shared" si="41"/>
        <v>0</v>
      </c>
      <c r="ES13" s="1">
        <f t="shared" si="41"/>
        <v>0</v>
      </c>
      <c r="ET13" s="1">
        <f t="shared" si="41"/>
        <v>0</v>
      </c>
      <c r="EU13" s="1">
        <f t="shared" si="41"/>
        <v>0</v>
      </c>
      <c r="EV13" s="1">
        <f t="shared" si="41"/>
        <v>0</v>
      </c>
      <c r="EW13" s="1">
        <f t="shared" si="41"/>
        <v>0</v>
      </c>
      <c r="EX13" s="1">
        <f t="shared" si="41"/>
        <v>0</v>
      </c>
      <c r="EY13" s="1">
        <f t="shared" si="33"/>
        <v>0</v>
      </c>
      <c r="EZ13" s="1">
        <f t="shared" si="33"/>
        <v>0</v>
      </c>
      <c r="FA13" s="1">
        <f t="shared" si="33"/>
        <v>0</v>
      </c>
      <c r="FB13" s="1">
        <f t="shared" si="33"/>
        <v>0</v>
      </c>
      <c r="FC13" s="1">
        <f t="shared" si="33"/>
        <v>0</v>
      </c>
      <c r="FD13" s="1">
        <f t="shared" si="33"/>
        <v>0</v>
      </c>
      <c r="FE13" s="1">
        <f t="shared" si="33"/>
        <v>0</v>
      </c>
      <c r="FF13" s="1">
        <f t="shared" si="33"/>
        <v>0</v>
      </c>
      <c r="FH13" s="162">
        <f t="shared" si="34"/>
        <v>-0.60351582317788299</v>
      </c>
    </row>
    <row r="14" spans="1:164" ht="18" customHeight="1">
      <c r="A14" s="243" t="s">
        <v>65</v>
      </c>
      <c r="B14" s="246"/>
      <c r="C14" s="156">
        <f t="shared" si="5"/>
        <v>-0.33</v>
      </c>
      <c r="D14" s="198">
        <v>1</v>
      </c>
      <c r="E14" s="572">
        <f t="shared" si="6"/>
        <v>1.8439774306975076E-2</v>
      </c>
      <c r="F14" s="249">
        <f t="shared" si="7"/>
        <v>-7.3820213086994713E-3</v>
      </c>
      <c r="G14" s="248">
        <f t="shared" si="8"/>
        <v>1.1573088502410345E-2</v>
      </c>
      <c r="H14" s="249">
        <f t="shared" si="9"/>
        <v>6.8666858045647317E-3</v>
      </c>
      <c r="I14" s="248">
        <f t="shared" si="10"/>
        <v>8.0627318279429927E-2</v>
      </c>
      <c r="J14" s="249">
        <f t="shared" si="11"/>
        <v>-0.24287836565646259</v>
      </c>
      <c r="K14" s="248">
        <f t="shared" si="12"/>
        <v>0.25514261897171298</v>
      </c>
      <c r="L14" s="249">
        <f t="shared" si="13"/>
        <v>-0.17451530069228305</v>
      </c>
      <c r="M14" s="250"/>
      <c r="N14" s="24">
        <v>-1</v>
      </c>
      <c r="O14" s="248">
        <f t="shared" si="35"/>
        <v>-5.308685430419624E-3</v>
      </c>
      <c r="P14" s="251">
        <f t="shared" si="36"/>
        <v>-5.308685430419624E-3</v>
      </c>
      <c r="Q14" s="248">
        <f t="shared" si="14"/>
        <v>8.9447199879331585E-2</v>
      </c>
      <c r="R14" s="251">
        <f t="shared" si="37"/>
        <v>8.9447199879331585E-2</v>
      </c>
      <c r="S14" s="250"/>
      <c r="T14" s="24">
        <v>-1</v>
      </c>
      <c r="U14" s="248">
        <f t="shared" si="15"/>
        <v>0.25052135443529244</v>
      </c>
      <c r="V14" s="252">
        <f t="shared" si="16"/>
        <v>0.25052135443529244</v>
      </c>
      <c r="W14" s="248">
        <f t="shared" si="38"/>
        <v>0.24101663198801515</v>
      </c>
      <c r="X14" s="252">
        <f t="shared" si="17"/>
        <v>0.24101663198801515</v>
      </c>
      <c r="Y14" s="248">
        <f t="shared" si="18"/>
        <v>1.4425553838227856E-2</v>
      </c>
      <c r="Z14" s="252">
        <f t="shared" si="19"/>
        <v>1.4425553838227856E-2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VLOOKUP($A14,historia!$A$5:$DD$24,+HLOOKUP(AP$2,historia!$A$3:$EC$4,2,FALSE),FALSE)</f>
        <v>3</v>
      </c>
      <c r="AQ14" s="28">
        <f>VLOOKUP($A14,historia!$A$5:$DD$24,+HLOOKUP(AQ$2,historia!$A$3:$EC$4,2,FALSE),FALSE)</f>
        <v>3</v>
      </c>
      <c r="AR14" s="28">
        <f>VLOOKUP($A14,historia!$A$5:$DD$24,+HLOOKUP(AR$2,historia!$A$3:$EC$4,2,FALSE),FALSE)</f>
        <v>3</v>
      </c>
      <c r="AS14" s="28">
        <f>VLOOKUP($A14,historia!$A$5:$DD$24,+HLOOKUP(AS$2,historia!$A$3:$EC$4,2,FALSE),FALSE)</f>
        <v>3</v>
      </c>
      <c r="AT14" s="58">
        <f>VLOOKUP($A14,historia!$A$5:$DD$24,+HLOOKUP(AT$2,historia!$A$3:$EC$4,2,FALSE),FALSE)</f>
        <v>3</v>
      </c>
      <c r="AU14" s="58">
        <f>VLOOKUP($A14,historia!$A$5:$DD$24,+HLOOKUP(AU$2,historia!$A$3:$EC$4,2,FALSE),FALSE)</f>
        <v>3</v>
      </c>
      <c r="AV14" s="58">
        <f>VLOOKUP($A14,historia!$A$5:$DD$24,+HLOOKUP(AV$2,historia!$A$3:$EC$4,2,FALSE),FALSE)</f>
        <v>3</v>
      </c>
      <c r="AW14" s="58">
        <f>VLOOKUP($A14,historia!$A$5:$DD$24,+HLOOKUP(AW$2,historia!$A$3:$EC$4,2,FALSE),FALSE)</f>
        <v>3</v>
      </c>
      <c r="AX14" s="58">
        <f>VLOOKUP($A14,historia!$A$5:$DD$24,+HLOOKUP(AX$2,historia!$A$3:$EC$4,2,FALSE),FALSE)</f>
        <v>4</v>
      </c>
      <c r="AY14" s="58">
        <f>VLOOKUP($A14,historia!$A$5:$DD$24,+HLOOKUP(AY$2,historia!$A$3:$EC$4,2,FALSE),FALSE)</f>
        <v>4</v>
      </c>
      <c r="AZ14" s="58">
        <f>VLOOKUP($A14,historia!$A$5:$DD$24,+HLOOKUP(AZ$2,historia!$A$3:$EC$4,2,FALSE),FALSE)</f>
        <v>4</v>
      </c>
      <c r="BA14" s="58">
        <f>VLOOKUP($A14,historia!$A$5:$DG$24,+HLOOKUP(BA$2,historia!$A$3:$EC$4,2,FALSE),FALSE)</f>
        <v>4</v>
      </c>
      <c r="BB14" s="58"/>
      <c r="BC14" s="286">
        <v>4</v>
      </c>
      <c r="BD14" t="str">
        <f t="shared" si="20"/>
        <v>Leche</v>
      </c>
      <c r="BE14">
        <f>+datos!BN1</f>
        <v>66</v>
      </c>
      <c r="BF14" s="2" t="str">
        <f t="shared" si="4"/>
        <v>$/l</v>
      </c>
      <c r="BG14" s="487">
        <f t="shared" si="4"/>
        <v>498.18</v>
      </c>
      <c r="BH14" s="487">
        <f t="shared" si="4"/>
        <v>489.16</v>
      </c>
      <c r="BI14" s="487">
        <f t="shared" si="4"/>
        <v>461.01</v>
      </c>
      <c r="BK14" s="1">
        <f>+datos!EN1</f>
        <v>144</v>
      </c>
      <c r="BL14" s="1">
        <f t="shared" si="21"/>
        <v>2995493</v>
      </c>
      <c r="BM14" s="1">
        <f t="shared" si="21"/>
        <v>3011480</v>
      </c>
      <c r="BO14" s="1">
        <f>+datos!HP1</f>
        <v>224</v>
      </c>
      <c r="BP14" s="1">
        <f t="shared" si="22"/>
        <v>11850.117086930679</v>
      </c>
      <c r="BQ14" s="1">
        <f t="shared" si="22"/>
        <v>10877.183481900924</v>
      </c>
      <c r="BS14" s="1">
        <f>+datos!KH1</f>
        <v>294</v>
      </c>
      <c r="BT14" s="1">
        <f t="shared" si="39"/>
        <v>1986.5144067000003</v>
      </c>
      <c r="BU14" s="1">
        <f t="shared" si="40"/>
        <v>1588.5489677200003</v>
      </c>
      <c r="BW14" s="1">
        <f>+datos!LM1</f>
        <v>325</v>
      </c>
      <c r="BX14" s="2">
        <f t="shared" si="23"/>
        <v>27.785360169999997</v>
      </c>
      <c r="BY14" s="2">
        <f t="shared" si="24"/>
        <v>22.389192419999997</v>
      </c>
      <c r="CA14" s="1">
        <f>+datos!IN1</f>
        <v>248</v>
      </c>
      <c r="CB14" s="1">
        <f t="shared" si="25"/>
        <v>196.9</v>
      </c>
      <c r="CC14" s="1">
        <f t="shared" si="26"/>
        <v>194.1</v>
      </c>
      <c r="CD14" s="1"/>
      <c r="CE14">
        <f>+datos!DC1</f>
        <v>107</v>
      </c>
      <c r="CF14" s="2">
        <f t="shared" si="27"/>
        <v>13920.993741206092</v>
      </c>
      <c r="CG14" s="2">
        <f t="shared" si="27"/>
        <v>13761.728044599837</v>
      </c>
      <c r="CH14" s="2">
        <f t="shared" si="27"/>
        <v>11091.164885000075</v>
      </c>
      <c r="CI14" s="1"/>
      <c r="CK14" s="1">
        <f t="shared" si="28"/>
        <v>134.67876954000002</v>
      </c>
      <c r="CL14" s="1">
        <f t="shared" si="28"/>
        <v>152.49764859000004</v>
      </c>
      <c r="CM14" s="1">
        <f t="shared" si="28"/>
        <v>139.65871150000001</v>
      </c>
      <c r="CN14" s="1">
        <f t="shared" si="28"/>
        <v>160.91833684000002</v>
      </c>
      <c r="CO14" s="1">
        <f t="shared" si="28"/>
        <v>210.79864256000005</v>
      </c>
      <c r="CP14" s="1">
        <f t="shared" si="28"/>
        <v>166.84903940999999</v>
      </c>
      <c r="CQ14" s="1">
        <f t="shared" si="28"/>
        <v>210.64847638000006</v>
      </c>
      <c r="CR14" s="1">
        <f t="shared" si="28"/>
        <v>202.06812983999998</v>
      </c>
      <c r="CS14" s="1">
        <f t="shared" si="28"/>
        <v>166.18279023000005</v>
      </c>
      <c r="CT14" s="1">
        <f t="shared" si="28"/>
        <v>145.54293837</v>
      </c>
      <c r="CU14" s="1">
        <f t="shared" si="28"/>
        <v>161.52973046</v>
      </c>
      <c r="CV14" s="1">
        <f t="shared" si="28"/>
        <v>135.14119298</v>
      </c>
      <c r="CW14" s="1">
        <f t="shared" si="28"/>
        <v>121.87302321000003</v>
      </c>
      <c r="CX14" s="1">
        <f t="shared" si="28"/>
        <v>90.118424640000015</v>
      </c>
      <c r="CY14" s="1">
        <f t="shared" si="28"/>
        <v>158.22857195999995</v>
      </c>
      <c r="CZ14" s="1">
        <f t="shared" si="28"/>
        <v>133.12937443000001</v>
      </c>
      <c r="DA14" s="1">
        <f t="shared" si="29"/>
        <v>150.81206259999999</v>
      </c>
      <c r="DB14" s="1">
        <f t="shared" si="29"/>
        <v>173.78517034999999</v>
      </c>
      <c r="DC14" s="1">
        <f t="shared" si="29"/>
        <v>162.27196751000002</v>
      </c>
      <c r="DD14" s="1">
        <f t="shared" si="29"/>
        <v>136.36151781000004</v>
      </c>
      <c r="DE14" s="1">
        <f t="shared" si="29"/>
        <v>114.33182424</v>
      </c>
      <c r="DF14" s="1">
        <f t="shared" si="29"/>
        <v>131.64359017999999</v>
      </c>
      <c r="DG14" s="1">
        <f t="shared" si="29"/>
        <v>102.41564730000002</v>
      </c>
      <c r="DH14" s="1">
        <f t="shared" si="29"/>
        <v>113.57779348999999</v>
      </c>
      <c r="DJ14" s="1">
        <f t="shared" si="30"/>
        <v>2.6208630999999998</v>
      </c>
      <c r="DK14" s="1">
        <f t="shared" si="30"/>
        <v>2.2584035399999993</v>
      </c>
      <c r="DL14" s="1">
        <f t="shared" si="30"/>
        <v>2.0159010200000003</v>
      </c>
      <c r="DM14" s="1">
        <f t="shared" si="30"/>
        <v>2.4748885299999999</v>
      </c>
      <c r="DN14" s="1">
        <f t="shared" si="30"/>
        <v>1.7114282299999999</v>
      </c>
      <c r="DO14" s="1">
        <f t="shared" si="30"/>
        <v>1.7294343599999999</v>
      </c>
      <c r="DP14" s="1">
        <f t="shared" si="30"/>
        <v>2.2980596799999997</v>
      </c>
      <c r="DQ14" s="1">
        <f t="shared" si="30"/>
        <v>2.7814752500000006</v>
      </c>
      <c r="DR14" s="1">
        <f t="shared" si="30"/>
        <v>1.95823569</v>
      </c>
      <c r="DS14" s="1">
        <f t="shared" si="30"/>
        <v>2.3716850700000007</v>
      </c>
      <c r="DT14" s="1">
        <f t="shared" si="30"/>
        <v>3.2200157200000006</v>
      </c>
      <c r="DU14" s="1">
        <f t="shared" si="30"/>
        <v>2.3449699800000001</v>
      </c>
      <c r="DV14" s="1">
        <f t="shared" si="30"/>
        <v>1.8496573299999999</v>
      </c>
      <c r="DW14" s="1">
        <f t="shared" si="30"/>
        <v>2.6840408</v>
      </c>
      <c r="DX14" s="1">
        <f t="shared" si="30"/>
        <v>2.90139879</v>
      </c>
      <c r="DY14" s="1">
        <f t="shared" si="30"/>
        <v>2.9139955600000005</v>
      </c>
      <c r="DZ14" s="1">
        <f t="shared" si="31"/>
        <v>1.6254967600000001</v>
      </c>
      <c r="EA14" s="1">
        <f t="shared" si="31"/>
        <v>2.6289957100000003</v>
      </c>
      <c r="EB14" s="1">
        <f t="shared" si="31"/>
        <v>0.92402921999999987</v>
      </c>
      <c r="EC14" s="1">
        <f t="shared" si="31"/>
        <v>1.0080099199999999</v>
      </c>
      <c r="ED14" s="1">
        <f t="shared" si="31"/>
        <v>0.81005326000000022</v>
      </c>
      <c r="EE14" s="1">
        <f t="shared" si="31"/>
        <v>2.5429137699999997</v>
      </c>
      <c r="EF14" s="1">
        <f t="shared" si="31"/>
        <v>0.83472519000000012</v>
      </c>
      <c r="EG14" s="1">
        <f t="shared" si="31"/>
        <v>1.6658761100000001</v>
      </c>
      <c r="EI14" s="14">
        <f t="shared" si="41"/>
        <v>196.9</v>
      </c>
      <c r="EJ14" s="14">
        <f t="shared" si="41"/>
        <v>205</v>
      </c>
      <c r="EK14" s="1">
        <f t="shared" si="41"/>
        <v>198.5</v>
      </c>
      <c r="EL14" s="1">
        <f t="shared" si="41"/>
        <v>200</v>
      </c>
      <c r="EM14" s="1">
        <f t="shared" si="41"/>
        <v>181.1</v>
      </c>
      <c r="EN14" s="1">
        <f t="shared" si="41"/>
        <v>182.5</v>
      </c>
      <c r="EO14" s="1">
        <f t="shared" si="41"/>
        <v>179.9</v>
      </c>
      <c r="EP14" s="1">
        <f t="shared" si="41"/>
        <v>182.6</v>
      </c>
      <c r="EQ14" s="1">
        <f t="shared" si="41"/>
        <v>185.2</v>
      </c>
      <c r="ER14" s="1">
        <f t="shared" si="41"/>
        <v>188.7</v>
      </c>
      <c r="ES14" s="1">
        <f t="shared" si="41"/>
        <v>191.3</v>
      </c>
      <c r="ET14" s="1">
        <f t="shared" si="41"/>
        <v>195.7</v>
      </c>
      <c r="EU14" s="1">
        <f t="shared" si="41"/>
        <v>194.1</v>
      </c>
      <c r="EV14" s="1">
        <f t="shared" si="41"/>
        <v>191</v>
      </c>
      <c r="EW14" s="1">
        <f t="shared" si="41"/>
        <v>181.1</v>
      </c>
      <c r="EX14" s="1">
        <f t="shared" si="41"/>
        <v>170.3</v>
      </c>
      <c r="EY14" s="1">
        <f t="shared" si="33"/>
        <v>170.9</v>
      </c>
      <c r="EZ14" s="1">
        <f t="shared" si="33"/>
        <v>168.7</v>
      </c>
      <c r="FA14" s="1">
        <f t="shared" si="33"/>
        <v>160.6</v>
      </c>
      <c r="FB14" s="1">
        <f t="shared" si="33"/>
        <v>160.6</v>
      </c>
      <c r="FC14" s="1">
        <f t="shared" si="33"/>
        <v>160.6</v>
      </c>
      <c r="FD14" s="1">
        <f t="shared" si="33"/>
        <v>160.6</v>
      </c>
      <c r="FE14" s="1">
        <f t="shared" si="33"/>
        <v>156.30000000000001</v>
      </c>
      <c r="FF14" s="1">
        <f t="shared" si="33"/>
        <v>155.80000000000001</v>
      </c>
      <c r="FH14" s="162">
        <f t="shared" si="34"/>
        <v>-0.17451530069228305</v>
      </c>
    </row>
    <row r="15" spans="1:164" ht="18.75" customHeight="1">
      <c r="A15" s="244" t="s">
        <v>68</v>
      </c>
      <c r="B15" s="247"/>
      <c r="C15" s="228">
        <v>0</v>
      </c>
      <c r="D15" s="229">
        <v>-1</v>
      </c>
      <c r="E15" s="253">
        <f t="shared" si="6"/>
        <v>0.11111111111111116</v>
      </c>
      <c r="F15" s="254">
        <f t="shared" si="7"/>
        <v>8.5289315495436613E-2</v>
      </c>
      <c r="G15" s="253">
        <f t="shared" si="8"/>
        <v>2.3982200378899643E-2</v>
      </c>
      <c r="H15" s="254">
        <f t="shared" si="9"/>
        <v>8.7128910732211517E-2</v>
      </c>
      <c r="I15" s="253">
        <f t="shared" si="10"/>
        <v>1.550335570469799</v>
      </c>
      <c r="J15" s="254">
        <f t="shared" si="11"/>
        <v>1.2268298865339065</v>
      </c>
      <c r="K15" s="253">
        <f t="shared" si="12"/>
        <v>0.53677989101112078</v>
      </c>
      <c r="L15" s="254">
        <f t="shared" si="13"/>
        <v>1.0135556794586782</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2.098988360414249</v>
      </c>
      <c r="X15" s="258">
        <f t="shared" si="17"/>
        <v>2.098988360414249</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VLOOKUP($A15,historia!$A$5:$DD$24,+HLOOKUP(AP$2,historia!$A$3:$EC$4,2,FALSE),FALSE)</f>
        <v>4</v>
      </c>
      <c r="AQ15" s="28">
        <f>VLOOKUP($A15,historia!$A$5:$DD$24,+HLOOKUP(AQ$2,historia!$A$3:$EC$4,2,FALSE),FALSE)</f>
        <v>4</v>
      </c>
      <c r="AR15" s="28">
        <f>VLOOKUP($A15,historia!$A$5:$DD$24,+HLOOKUP(AR$2,historia!$A$3:$EC$4,2,FALSE),FALSE)</f>
        <v>4</v>
      </c>
      <c r="AS15" s="28">
        <f>VLOOKUP($A15,historia!$A$5:$DD$24,+HLOOKUP(AS$2,historia!$A$3:$EC$4,2,FALSE),FALSE)</f>
        <v>3</v>
      </c>
      <c r="AT15" s="58">
        <f>VLOOKUP($A15,historia!$A$5:$DD$24,+HLOOKUP(AT$2,historia!$A$3:$EC$4,2,FALSE),FALSE)</f>
        <v>3</v>
      </c>
      <c r="AU15" s="58">
        <f>VLOOKUP($A15,historia!$A$5:$DD$24,+HLOOKUP(AU$2,historia!$A$3:$EC$4,2,FALSE),FALSE)</f>
        <v>3</v>
      </c>
      <c r="AV15" s="58">
        <f>VLOOKUP($A15,historia!$A$5:$DD$24,+HLOOKUP(AV$2,historia!$A$3:$EC$4,2,FALSE),FALSE)</f>
        <v>3</v>
      </c>
      <c r="AW15" s="58">
        <f>VLOOKUP($A15,historia!$A$5:$DD$24,+HLOOKUP(AW$2,historia!$A$3:$EC$4,2,FALSE),FALSE)</f>
        <v>3</v>
      </c>
      <c r="AX15" s="58">
        <f>VLOOKUP($A15,historia!$A$5:$DD$24,+HLOOKUP(AX$2,historia!$A$3:$EC$4,2,FALSE),FALSE)</f>
        <v>3</v>
      </c>
      <c r="AY15" s="58">
        <f>VLOOKUP($A15,historia!$A$5:$DD$24,+HLOOKUP(AY$2,historia!$A$3:$EC$4,2,FALSE),FALSE)</f>
        <v>4</v>
      </c>
      <c r="AZ15" s="58">
        <f>VLOOKUP($A15,historia!$A$5:$DD$24,+HLOOKUP(AZ$2,historia!$A$3:$EC$4,2,FALSE),FALSE)</f>
        <v>4</v>
      </c>
      <c r="BA15" s="58">
        <f>VLOOKUP($A15,historia!$A$5:$DG$24,+HLOOKUP(BA$2,historia!$A$3:$EC$4,2,FALSE),FALSE)</f>
        <v>4</v>
      </c>
      <c r="BB15" s="58"/>
      <c r="BC15" s="286">
        <v>4</v>
      </c>
      <c r="BD15" t="str">
        <f t="shared" si="20"/>
        <v>Mandioca</v>
      </c>
      <c r="BE15">
        <f>+datos!AW1</f>
        <v>49</v>
      </c>
      <c r="BF15" s="2" t="str">
        <f t="shared" si="4"/>
        <v>$/bolsa40kg</v>
      </c>
      <c r="BG15" s="2">
        <f t="shared" si="4"/>
        <v>30000</v>
      </c>
      <c r="BH15" s="2">
        <f t="shared" si="4"/>
        <v>27000</v>
      </c>
      <c r="BI15" s="2">
        <f t="shared" si="4"/>
        <v>11763.157894736842</v>
      </c>
      <c r="BK15" s="1">
        <f>+datos!EY1</f>
        <v>155</v>
      </c>
      <c r="BL15" s="1">
        <f t="shared" si="21"/>
        <v>20031</v>
      </c>
      <c r="BM15" s="1">
        <f t="shared" si="21"/>
        <v>20031</v>
      </c>
      <c r="BO15" s="1">
        <f>+datos!GO1</f>
        <v>197</v>
      </c>
      <c r="BP15" s="1">
        <f t="shared" si="22"/>
        <v>201734</v>
      </c>
      <c r="BQ15" s="1">
        <f t="shared" si="22"/>
        <v>201734</v>
      </c>
      <c r="BS15" s="1">
        <f>+datos!JP1</f>
        <v>276</v>
      </c>
      <c r="BT15" s="1">
        <f t="shared" si="39"/>
        <v>2.5000000000000001E-3</v>
      </c>
      <c r="BU15" s="1">
        <f t="shared" si="40"/>
        <v>0</v>
      </c>
      <c r="BW15" s="1">
        <f>+datos!KU1</f>
        <v>307</v>
      </c>
      <c r="BX15" s="2">
        <f t="shared" si="23"/>
        <v>5.7710089199999999</v>
      </c>
      <c r="BY15" s="2">
        <f t="shared" si="24"/>
        <v>1.8622234899999999</v>
      </c>
      <c r="CA15" s="1">
        <f>+datos!IY1</f>
        <v>259</v>
      </c>
      <c r="CB15" s="1">
        <f t="shared" si="25"/>
        <v>1.88</v>
      </c>
      <c r="CC15" s="1">
        <f t="shared" si="26"/>
        <v>1.88</v>
      </c>
      <c r="CD15" s="1"/>
      <c r="CE15">
        <f>+datos!CJ1</f>
        <v>88</v>
      </c>
      <c r="CF15" s="2">
        <f t="shared" si="27"/>
        <v>14735.671843844028</v>
      </c>
      <c r="CG15" s="2">
        <f t="shared" si="27"/>
        <v>14390.554677992892</v>
      </c>
      <c r="CH15" s="2">
        <f t="shared" si="27"/>
        <v>9588.6677916827284</v>
      </c>
      <c r="CI15" s="1"/>
      <c r="CK15" s="1">
        <f t="shared" si="28"/>
        <v>0</v>
      </c>
      <c r="CL15" s="1">
        <f t="shared" si="28"/>
        <v>0</v>
      </c>
      <c r="CM15" s="1">
        <f t="shared" si="28"/>
        <v>0</v>
      </c>
      <c r="CN15" s="1">
        <f t="shared" si="28"/>
        <v>0</v>
      </c>
      <c r="CO15" s="1">
        <f t="shared" si="28"/>
        <v>2.5000000000000001E-3</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8"/>
        <v>0</v>
      </c>
      <c r="DA15" s="1">
        <f t="shared" si="29"/>
        <v>0</v>
      </c>
      <c r="DB15" s="1">
        <f t="shared" si="29"/>
        <v>0</v>
      </c>
      <c r="DC15" s="1">
        <f t="shared" si="29"/>
        <v>0</v>
      </c>
      <c r="DD15" s="1">
        <f t="shared" si="29"/>
        <v>0</v>
      </c>
      <c r="DE15" s="1">
        <f t="shared" si="29"/>
        <v>0</v>
      </c>
      <c r="DF15" s="1">
        <f t="shared" si="29"/>
        <v>0</v>
      </c>
      <c r="DG15" s="1">
        <f t="shared" si="29"/>
        <v>0</v>
      </c>
      <c r="DH15" s="1">
        <f t="shared" si="29"/>
        <v>0</v>
      </c>
      <c r="DJ15" s="14">
        <f t="shared" si="30"/>
        <v>0.95051858999999994</v>
      </c>
      <c r="DK15" s="14">
        <f t="shared" si="30"/>
        <v>0.85632428999999999</v>
      </c>
      <c r="DL15" s="1">
        <f t="shared" si="30"/>
        <v>0.36896875000000001</v>
      </c>
      <c r="DM15" s="1">
        <f t="shared" si="30"/>
        <v>0.35343590000000003</v>
      </c>
      <c r="DN15" s="1">
        <f t="shared" si="30"/>
        <v>0.46571231000000002</v>
      </c>
      <c r="DO15" s="1">
        <f t="shared" si="30"/>
        <v>0.27804433999999995</v>
      </c>
      <c r="DP15" s="1">
        <f t="shared" si="30"/>
        <v>0.43603392000000002</v>
      </c>
      <c r="DQ15" s="1">
        <f t="shared" si="30"/>
        <v>0.45279353000000006</v>
      </c>
      <c r="DR15" s="1">
        <f t="shared" si="30"/>
        <v>0.30456642</v>
      </c>
      <c r="DS15" s="1">
        <f t="shared" si="30"/>
        <v>0.53543670999999993</v>
      </c>
      <c r="DT15" s="1">
        <f t="shared" si="30"/>
        <v>0.43177300000000002</v>
      </c>
      <c r="DU15" s="1">
        <f t="shared" si="30"/>
        <v>0.33740116000000003</v>
      </c>
      <c r="DV15" s="1">
        <f t="shared" si="30"/>
        <v>0.28762799999999999</v>
      </c>
      <c r="DW15" s="1">
        <f t="shared" si="30"/>
        <v>0.10344400999999999</v>
      </c>
      <c r="DX15" s="1">
        <f t="shared" si="30"/>
        <v>4.4833160000000004E-2</v>
      </c>
      <c r="DY15" s="1">
        <f t="shared" si="30"/>
        <v>0.14172798</v>
      </c>
      <c r="DZ15" s="1">
        <f t="shared" si="31"/>
        <v>7.4560410000000008E-2</v>
      </c>
      <c r="EA15" s="1">
        <f t="shared" si="31"/>
        <v>0.28059129999999999</v>
      </c>
      <c r="EB15" s="1">
        <f t="shared" si="31"/>
        <v>0.15169276000000001</v>
      </c>
      <c r="EC15" s="1">
        <f t="shared" si="31"/>
        <v>0.14711371000000001</v>
      </c>
      <c r="ED15" s="1">
        <f t="shared" si="31"/>
        <v>0.18175015000000003</v>
      </c>
      <c r="EE15" s="1">
        <f t="shared" si="31"/>
        <v>0.15569543999999999</v>
      </c>
      <c r="EF15" s="1">
        <f t="shared" si="31"/>
        <v>0.1712014</v>
      </c>
      <c r="EG15" s="1">
        <f t="shared" si="31"/>
        <v>0.12198517</v>
      </c>
      <c r="EI15" s="14">
        <f t="shared" si="41"/>
        <v>1.88</v>
      </c>
      <c r="EJ15" s="14">
        <f t="shared" si="41"/>
        <v>1.88</v>
      </c>
      <c r="EK15" s="1">
        <f t="shared" si="41"/>
        <v>1.88</v>
      </c>
      <c r="EL15" s="1">
        <f t="shared" si="41"/>
        <v>1.88</v>
      </c>
      <c r="EM15" s="1">
        <f t="shared" si="41"/>
        <v>1.88</v>
      </c>
      <c r="EN15" s="1">
        <f t="shared" si="41"/>
        <v>1.88</v>
      </c>
      <c r="EO15" s="1">
        <f t="shared" si="41"/>
        <v>1.88</v>
      </c>
      <c r="EP15" s="1">
        <f t="shared" si="41"/>
        <v>1.88</v>
      </c>
      <c r="EQ15" s="1">
        <f t="shared" si="41"/>
        <v>1.88</v>
      </c>
      <c r="ER15" s="1">
        <f t="shared" si="41"/>
        <v>1.88</v>
      </c>
      <c r="ES15" s="1">
        <f t="shared" si="41"/>
        <v>1.88</v>
      </c>
      <c r="ET15" s="1">
        <f t="shared" si="41"/>
        <v>1.88</v>
      </c>
      <c r="EU15" s="1">
        <f t="shared" si="41"/>
        <v>1.88</v>
      </c>
      <c r="EV15" s="1">
        <f t="shared" si="41"/>
        <v>1.88</v>
      </c>
      <c r="EW15" s="1">
        <f t="shared" si="41"/>
        <v>1.88</v>
      </c>
      <c r="EX15" s="1">
        <f t="shared" si="41"/>
        <v>1.88</v>
      </c>
      <c r="EY15" s="1">
        <f t="shared" si="33"/>
        <v>1.88</v>
      </c>
      <c r="EZ15" s="1">
        <f t="shared" si="33"/>
        <v>1.88</v>
      </c>
      <c r="FA15" s="1">
        <f t="shared" si="33"/>
        <v>1.88</v>
      </c>
      <c r="FB15" s="1">
        <f t="shared" si="33"/>
        <v>1.88</v>
      </c>
      <c r="FC15" s="1">
        <f t="shared" si="33"/>
        <v>1.88</v>
      </c>
      <c r="FD15" s="1">
        <f t="shared" si="33"/>
        <v>1.88</v>
      </c>
      <c r="FE15" s="1">
        <f t="shared" si="33"/>
        <v>1.88</v>
      </c>
      <c r="FF15" s="1">
        <f t="shared" si="33"/>
        <v>1.88</v>
      </c>
      <c r="FH15" s="162">
        <f t="shared" si="34"/>
        <v>1.0135556794586782</v>
      </c>
    </row>
    <row r="16" spans="1:164" ht="18" customHeight="1">
      <c r="A16" s="243" t="s">
        <v>25</v>
      </c>
      <c r="B16" s="246"/>
      <c r="C16" s="156">
        <f t="shared" si="5"/>
        <v>-0.66</v>
      </c>
      <c r="D16" s="198">
        <v>-1</v>
      </c>
      <c r="E16" s="248">
        <f t="shared" si="6"/>
        <v>6.8145270813259273E-2</v>
      </c>
      <c r="F16" s="249">
        <f t="shared" si="7"/>
        <v>4.2323475197584726E-2</v>
      </c>
      <c r="G16" s="248">
        <f t="shared" si="8"/>
        <v>2.7815055090329333E-2</v>
      </c>
      <c r="H16" s="249">
        <f t="shared" si="9"/>
        <v>4.0330215722929941E-2</v>
      </c>
      <c r="I16" s="248">
        <f t="shared" si="10"/>
        <v>8.3923177966558127E-2</v>
      </c>
      <c r="J16" s="249">
        <f t="shared" si="11"/>
        <v>-0.23958250596933439</v>
      </c>
      <c r="K16" s="248">
        <f t="shared" si="12"/>
        <v>0.31662953900041435</v>
      </c>
      <c r="L16" s="249">
        <f t="shared" si="13"/>
        <v>-0.23270636103385622</v>
      </c>
      <c r="M16" s="250"/>
      <c r="N16" s="24">
        <v>1</v>
      </c>
      <c r="O16" s="248">
        <f t="shared" si="35"/>
        <v>-0.26790476373194172</v>
      </c>
      <c r="P16" s="251">
        <f t="shared" si="36"/>
        <v>-0.26790476373194172</v>
      </c>
      <c r="Q16" s="248">
        <f t="shared" si="14"/>
        <v>-0.30770168394691444</v>
      </c>
      <c r="R16" s="251">
        <f t="shared" si="37"/>
        <v>-0.30770168394691444</v>
      </c>
      <c r="S16" s="250"/>
      <c r="T16" s="24">
        <v>-2</v>
      </c>
      <c r="U16" s="248">
        <f t="shared" si="15"/>
        <v>-6.2695876235302039E-2</v>
      </c>
      <c r="V16" s="252">
        <f t="shared" si="16"/>
        <v>-6.2695876235302039E-2</v>
      </c>
      <c r="W16" s="248">
        <f>IFERROR(+BX16/BY16-1,"")</f>
        <v>-0.53529511734255741</v>
      </c>
      <c r="X16" s="258">
        <f t="shared" si="17"/>
        <v>-0.53529511734255741</v>
      </c>
      <c r="Y16" s="248">
        <f t="shared" si="18"/>
        <v>-4.8908108108108084E-2</v>
      </c>
      <c r="Z16" s="252">
        <f t="shared" si="19"/>
        <v>-4.8908108108108084E-2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VLOOKUP($A16,historia!$A$5:$DD$24,+HLOOKUP(AP$2,historia!$A$3:$EC$4,2,FALSE),FALSE)</f>
        <v>3</v>
      </c>
      <c r="AQ16" s="28">
        <f>VLOOKUP($A16,historia!$A$5:$DD$24,+HLOOKUP(AQ$2,historia!$A$3:$EC$4,2,FALSE),FALSE)</f>
        <v>3</v>
      </c>
      <c r="AR16" s="28">
        <f>VLOOKUP($A16,historia!$A$5:$DD$24,+HLOOKUP(AR$2,historia!$A$3:$EC$4,2,FALSE),FALSE)</f>
        <v>3</v>
      </c>
      <c r="AS16" s="28">
        <f>VLOOKUP($A16,historia!$A$5:$DD$24,+HLOOKUP(AS$2,historia!$A$3:$EC$4,2,FALSE),FALSE)</f>
        <v>3</v>
      </c>
      <c r="AT16" s="58">
        <f>VLOOKUP($A16,historia!$A$5:$DD$24,+HLOOKUP(AT$2,historia!$A$3:$EC$4,2,FALSE),FALSE)</f>
        <v>3</v>
      </c>
      <c r="AU16" s="58">
        <f>VLOOKUP($A16,historia!$A$5:$DD$24,+HLOOKUP(AU$2,historia!$A$3:$EC$4,2,FALSE),FALSE)</f>
        <v>3</v>
      </c>
      <c r="AV16" s="58">
        <f>VLOOKUP($A16,historia!$A$5:$DD$24,+HLOOKUP(AV$2,historia!$A$3:$EC$4,2,FALSE),FALSE)</f>
        <v>3</v>
      </c>
      <c r="AW16" s="58">
        <f>VLOOKUP($A16,historia!$A$5:$DD$24,+HLOOKUP(AW$2,historia!$A$3:$EC$4,2,FALSE),FALSE)</f>
        <v>3</v>
      </c>
      <c r="AX16" s="58">
        <f>VLOOKUP($A16,historia!$A$5:$DD$24,+HLOOKUP(AX$2,historia!$A$3:$EC$4,2,FALSE),FALSE)</f>
        <v>4</v>
      </c>
      <c r="AY16" s="58">
        <f>VLOOKUP($A16,historia!$A$5:$DD$24,+HLOOKUP(AY$2,historia!$A$3:$EC$4,2,FALSE),FALSE)</f>
        <v>4</v>
      </c>
      <c r="AZ16" s="58">
        <f>VLOOKUP($A16,historia!$A$5:$DD$24,+HLOOKUP(AZ$2,historia!$A$3:$EC$4,2,FALSE),FALSE)</f>
        <v>4</v>
      </c>
      <c r="BA16" s="58">
        <f>VLOOKUP($A16,historia!$A$5:$DG$24,+HLOOKUP(BA$2,historia!$A$3:$EC$4,2,FALSE),FALSE)</f>
        <v>4</v>
      </c>
      <c r="BB16" s="58"/>
      <c r="BC16" s="286">
        <v>4</v>
      </c>
      <c r="BD16" t="str">
        <f t="shared" si="20"/>
        <v>Maní</v>
      </c>
      <c r="BE16">
        <f>+datos!AF1</f>
        <v>32</v>
      </c>
      <c r="BF16" s="2" t="str">
        <f t="shared" si="4"/>
        <v>$/t</v>
      </c>
      <c r="BG16" s="2">
        <f t="shared" si="4"/>
        <v>903431.13890000002</v>
      </c>
      <c r="BH16" s="2">
        <f t="shared" si="4"/>
        <v>845794.25999999989</v>
      </c>
      <c r="BI16" s="2">
        <f t="shared" si="4"/>
        <v>833482.62797999999</v>
      </c>
      <c r="BK16" s="1">
        <f>+datos!EB1</f>
        <v>132</v>
      </c>
      <c r="BL16" s="1">
        <f t="shared" si="21"/>
        <v>381590</v>
      </c>
      <c r="BM16" s="1">
        <f t="shared" si="21"/>
        <v>521230</v>
      </c>
      <c r="BO16" s="1">
        <f>+datos!FW1</f>
        <v>179</v>
      </c>
      <c r="BP16" s="1">
        <f t="shared" si="22"/>
        <v>1311996</v>
      </c>
      <c r="BQ16" s="1">
        <f t="shared" si="22"/>
        <v>1895131</v>
      </c>
      <c r="BS16" s="1">
        <f>+datos!JK1</f>
        <v>271</v>
      </c>
      <c r="BT16" s="1">
        <f t="shared" si="39"/>
        <v>1365.4082560600002</v>
      </c>
      <c r="BU16" s="1">
        <f t="shared" si="40"/>
        <v>1456.7398365600002</v>
      </c>
      <c r="BW16" s="1">
        <f>+datos!KP1</f>
        <v>302</v>
      </c>
      <c r="BX16" s="2">
        <f t="shared" si="23"/>
        <v>0.84391502000000007</v>
      </c>
      <c r="BY16" s="2">
        <f t="shared" si="24"/>
        <v>1.8160235700000003</v>
      </c>
      <c r="CA16" s="1">
        <f>+datos!IJ1</f>
        <v>244</v>
      </c>
      <c r="CB16" s="2">
        <f t="shared" si="25"/>
        <v>2.2719760013883494</v>
      </c>
      <c r="CC16" s="2">
        <f t="shared" si="26"/>
        <v>2.3888080854826579</v>
      </c>
      <c r="CD16" s="1"/>
      <c r="CE16">
        <f>+datos!CH1</f>
        <v>86</v>
      </c>
      <c r="CF16" s="2">
        <f t="shared" si="27"/>
        <v>14358.609961741113</v>
      </c>
      <c r="CG16" s="2">
        <f t="shared" si="27"/>
        <v>13970.032731695304</v>
      </c>
      <c r="CH16" s="2">
        <f t="shared" si="27"/>
        <v>10905.580906715928</v>
      </c>
      <c r="CI16" s="1"/>
      <c r="CK16" s="1">
        <f t="shared" si="28"/>
        <v>100.29180120999997</v>
      </c>
      <c r="CL16" s="1">
        <f t="shared" si="28"/>
        <v>125.25923582999999</v>
      </c>
      <c r="CM16" s="1">
        <f t="shared" si="28"/>
        <v>89.696667719999979</v>
      </c>
      <c r="CN16" s="1">
        <f t="shared" si="28"/>
        <v>106.44432842999998</v>
      </c>
      <c r="CO16" s="1">
        <f t="shared" si="28"/>
        <v>109.63040427999998</v>
      </c>
      <c r="CP16" s="1">
        <f t="shared" si="28"/>
        <v>107.51173679000001</v>
      </c>
      <c r="CQ16" s="1">
        <f t="shared" si="28"/>
        <v>153.65977728999999</v>
      </c>
      <c r="CR16" s="1">
        <f t="shared" si="28"/>
        <v>137.05460552</v>
      </c>
      <c r="CS16" s="1">
        <f t="shared" si="28"/>
        <v>119.79773589000003</v>
      </c>
      <c r="CT16" s="1">
        <f t="shared" si="28"/>
        <v>108.38462631999997</v>
      </c>
      <c r="CU16" s="1">
        <f t="shared" si="28"/>
        <v>110.53778464999999</v>
      </c>
      <c r="CV16" s="1">
        <f t="shared" si="28"/>
        <v>97.139552130000013</v>
      </c>
      <c r="CW16" s="1">
        <f t="shared" si="28"/>
        <v>94.262180470000018</v>
      </c>
      <c r="CX16" s="1">
        <f t="shared" si="28"/>
        <v>104.16408064999997</v>
      </c>
      <c r="CY16" s="1">
        <f t="shared" si="28"/>
        <v>129.66034791999999</v>
      </c>
      <c r="CZ16" s="1">
        <f t="shared" si="28"/>
        <v>100.29183523999998</v>
      </c>
      <c r="DA16" s="1">
        <f t="shared" si="29"/>
        <v>142.99991008000001</v>
      </c>
      <c r="DB16" s="1">
        <f t="shared" si="29"/>
        <v>153.43391492999999</v>
      </c>
      <c r="DC16" s="1">
        <f t="shared" si="29"/>
        <v>142.09253510999997</v>
      </c>
      <c r="DD16" s="1">
        <f t="shared" si="29"/>
        <v>155.33708399000002</v>
      </c>
      <c r="DE16" s="1">
        <f t="shared" si="29"/>
        <v>156.99934678</v>
      </c>
      <c r="DF16" s="1">
        <f t="shared" si="29"/>
        <v>115.53726275000001</v>
      </c>
      <c r="DG16" s="1">
        <f t="shared" si="29"/>
        <v>98.487414479999984</v>
      </c>
      <c r="DH16" s="1">
        <f t="shared" si="29"/>
        <v>63.473924160000003</v>
      </c>
      <c r="DJ16" s="1">
        <f t="shared" si="30"/>
        <v>1.1297919999999999E-2</v>
      </c>
      <c r="DK16" s="1">
        <f t="shared" si="30"/>
        <v>7.5985750000000005E-2</v>
      </c>
      <c r="DL16" s="1">
        <f t="shared" si="30"/>
        <v>3.3E-4</v>
      </c>
      <c r="DM16" s="1">
        <f t="shared" si="30"/>
        <v>3.5242930000000006E-2</v>
      </c>
      <c r="DN16" s="1">
        <f t="shared" si="30"/>
        <v>4.2275489999999999E-2</v>
      </c>
      <c r="DO16" s="1">
        <f t="shared" si="30"/>
        <v>2.1048300000000002E-3</v>
      </c>
      <c r="DP16" s="1">
        <f t="shared" si="30"/>
        <v>9.9999999999999995E-7</v>
      </c>
      <c r="DQ16" s="1">
        <f t="shared" si="30"/>
        <v>0.27773459</v>
      </c>
      <c r="DR16" s="1">
        <f t="shared" si="30"/>
        <v>0.19844290000000001</v>
      </c>
      <c r="DS16" s="1">
        <f t="shared" si="30"/>
        <v>0.14424532000000001</v>
      </c>
      <c r="DT16" s="1">
        <f t="shared" si="30"/>
        <v>5.4312239999999998E-2</v>
      </c>
      <c r="DU16" s="1">
        <f t="shared" si="30"/>
        <v>1.9420499999999999E-3</v>
      </c>
      <c r="DV16" s="1">
        <f t="shared" si="30"/>
        <v>1.0560452</v>
      </c>
      <c r="DW16" s="1">
        <f t="shared" si="30"/>
        <v>3.8992409999999998E-2</v>
      </c>
      <c r="DX16" s="1">
        <f t="shared" si="30"/>
        <v>0</v>
      </c>
      <c r="DY16" s="1">
        <f t="shared" si="30"/>
        <v>5.2225250000000001E-2</v>
      </c>
      <c r="DZ16" s="1">
        <f t="shared" si="31"/>
        <v>0.22862400000000002</v>
      </c>
      <c r="EA16" s="1">
        <f t="shared" si="31"/>
        <v>2.6527899999999999E-3</v>
      </c>
      <c r="EB16" s="1">
        <f t="shared" si="31"/>
        <v>1.6271E-3</v>
      </c>
      <c r="EC16" s="1">
        <f t="shared" si="31"/>
        <v>0.13444175</v>
      </c>
      <c r="ED16" s="1">
        <f t="shared" si="31"/>
        <v>4.2737620000000004E-2</v>
      </c>
      <c r="EE16" s="1">
        <f t="shared" si="31"/>
        <v>8.6628999999999998E-2</v>
      </c>
      <c r="EF16" s="1">
        <f t="shared" si="31"/>
        <v>8.4906640000000005E-2</v>
      </c>
      <c r="EG16" s="1">
        <f t="shared" si="31"/>
        <v>8.714181E-2</v>
      </c>
      <c r="EI16" s="14">
        <f t="shared" si="41"/>
        <v>2.2719760013883494</v>
      </c>
      <c r="EJ16" s="14">
        <f t="shared" si="41"/>
        <v>2.2719760013883494</v>
      </c>
      <c r="EK16" s="1">
        <f t="shared" si="41"/>
        <v>2.2719760013883494</v>
      </c>
      <c r="EL16" s="1">
        <f t="shared" si="41"/>
        <v>2.4791954184468667</v>
      </c>
      <c r="EM16" s="1">
        <f t="shared" si="41"/>
        <v>2.4791954184468667</v>
      </c>
      <c r="EN16" s="1">
        <f t="shared" si="41"/>
        <v>2.4791954184468667</v>
      </c>
      <c r="EO16" s="1">
        <f t="shared" si="41"/>
        <v>2.4791954184468667</v>
      </c>
      <c r="EP16" s="1">
        <f t="shared" si="41"/>
        <v>2.3888080854826579</v>
      </c>
      <c r="EQ16" s="1">
        <f t="shared" si="41"/>
        <v>2.3888080854826579</v>
      </c>
      <c r="ER16" s="1">
        <f t="shared" si="41"/>
        <v>2.3888080854826579</v>
      </c>
      <c r="ES16" s="1">
        <f t="shared" si="41"/>
        <v>2.3888080854826579</v>
      </c>
      <c r="ET16" s="1">
        <f t="shared" si="41"/>
        <v>2.3888080854826579</v>
      </c>
      <c r="EU16" s="1">
        <f t="shared" si="41"/>
        <v>2.3888080854826579</v>
      </c>
      <c r="EV16" s="1">
        <f t="shared" si="41"/>
        <v>2.1563835150032644</v>
      </c>
      <c r="EW16" s="1">
        <f t="shared" si="41"/>
        <v>2.1563835150032644</v>
      </c>
      <c r="EX16" s="1">
        <f t="shared" si="41"/>
        <v>2.1563835150032644</v>
      </c>
      <c r="EY16" s="1">
        <f t="shared" si="33"/>
        <v>2.1563835150032644</v>
      </c>
      <c r="EZ16" s="1">
        <f t="shared" si="33"/>
        <v>2.1563835150032644</v>
      </c>
      <c r="FA16" s="1">
        <f t="shared" si="33"/>
        <v>2.1563835150032644</v>
      </c>
      <c r="FB16" s="1">
        <f t="shared" si="33"/>
        <v>2.1563835150032644</v>
      </c>
      <c r="FC16" s="1">
        <f t="shared" si="33"/>
        <v>2.1563835150032644</v>
      </c>
      <c r="FD16" s="1">
        <f t="shared" si="33"/>
        <v>2.1563835150032644</v>
      </c>
      <c r="FE16" s="1">
        <f t="shared" si="33"/>
        <v>2.1563835150032644</v>
      </c>
      <c r="FF16" s="1">
        <f t="shared" si="33"/>
        <v>2.1563835150032644</v>
      </c>
      <c r="FH16" s="162">
        <f t="shared" si="34"/>
        <v>-0.23270636103385622</v>
      </c>
    </row>
    <row r="17" spans="1:164" ht="18.75" customHeight="1">
      <c r="A17" s="244" t="s">
        <v>76</v>
      </c>
      <c r="B17" s="247"/>
      <c r="C17" s="228">
        <f t="shared" si="5"/>
        <v>-0.99</v>
      </c>
      <c r="D17" s="229">
        <v>-1</v>
      </c>
      <c r="E17" s="253">
        <f t="shared" si="6"/>
        <v>3.2722042430780363E-2</v>
      </c>
      <c r="F17" s="254">
        <f t="shared" si="7"/>
        <v>6.9002468151058149E-3</v>
      </c>
      <c r="G17" s="253">
        <f t="shared" si="8"/>
        <v>2.8461117220131005E-2</v>
      </c>
      <c r="H17" s="254">
        <f t="shared" si="9"/>
        <v>4.2609252106493578E-3</v>
      </c>
      <c r="I17" s="253">
        <f t="shared" si="10"/>
        <v>0.5823691460055096</v>
      </c>
      <c r="J17" s="254">
        <f t="shared" si="11"/>
        <v>0.25886346206961708</v>
      </c>
      <c r="K17" s="253">
        <f t="shared" si="12"/>
        <v>0.42992355847098795</v>
      </c>
      <c r="L17" s="254">
        <f t="shared" si="13"/>
        <v>0.15244558753452164</v>
      </c>
      <c r="M17" s="255"/>
      <c r="N17" s="256">
        <v>-1</v>
      </c>
      <c r="O17" s="253">
        <f>IFERROR(+BL17/BM17-1,"")</f>
        <v>0</v>
      </c>
      <c r="P17" s="257">
        <f t="shared" si="36"/>
        <v>0</v>
      </c>
      <c r="Q17" s="253">
        <f t="shared" si="14"/>
        <v>0</v>
      </c>
      <c r="R17" s="257">
        <f t="shared" si="37"/>
        <v>0</v>
      </c>
      <c r="S17" s="255"/>
      <c r="T17" s="256">
        <v>-1</v>
      </c>
      <c r="U17" s="253">
        <f t="shared" si="15"/>
        <v>0.36782572240627998</v>
      </c>
      <c r="V17" s="258">
        <f t="shared" si="16"/>
        <v>0.36782572240627998</v>
      </c>
      <c r="W17" s="248">
        <f>IFERROR(+BX17/BY17-1,"")</f>
        <v>11.282714838788346</v>
      </c>
      <c r="X17" s="258">
        <f t="shared" si="17"/>
        <v>11.282714838788346</v>
      </c>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VLOOKUP($A17,historia!$A$5:$DD$24,+HLOOKUP(AP$2,historia!$A$3:$EC$4,2,FALSE),FALSE)</f>
        <v>3</v>
      </c>
      <c r="AQ17" s="28">
        <f>VLOOKUP($A17,historia!$A$5:$DD$24,+HLOOKUP(AQ$2,historia!$A$3:$EC$4,2,FALSE),FALSE)</f>
        <v>3</v>
      </c>
      <c r="AR17" s="28">
        <f>VLOOKUP($A17,historia!$A$5:$DD$24,+HLOOKUP(AR$2,historia!$A$3:$EC$4,2,FALSE),FALSE)</f>
        <v>3</v>
      </c>
      <c r="AS17" s="28">
        <f>VLOOKUP($A17,historia!$A$5:$DD$24,+HLOOKUP(AS$2,historia!$A$3:$EC$4,2,FALSE),FALSE)</f>
        <v>3</v>
      </c>
      <c r="AT17" s="58">
        <f>VLOOKUP($A17,historia!$A$5:$DD$24,+HLOOKUP(AT$2,historia!$A$3:$EC$4,2,FALSE),FALSE)</f>
        <v>3</v>
      </c>
      <c r="AU17" s="58">
        <f>VLOOKUP($A17,historia!$A$5:$DD$24,+HLOOKUP(AU$2,historia!$A$3:$EC$4,2,FALSE),FALSE)</f>
        <v>2</v>
      </c>
      <c r="AV17" s="58">
        <f>VLOOKUP($A17,historia!$A$5:$DD$24,+HLOOKUP(AV$2,historia!$A$3:$EC$4,2,FALSE),FALSE)</f>
        <v>2</v>
      </c>
      <c r="AW17" s="58">
        <f>VLOOKUP($A17,historia!$A$5:$DD$24,+HLOOKUP(AW$2,historia!$A$3:$EC$4,2,FALSE),FALSE)</f>
        <v>2</v>
      </c>
      <c r="AX17" s="58">
        <f>VLOOKUP($A17,historia!$A$5:$DD$24,+HLOOKUP(AX$2,historia!$A$3:$EC$4,2,FALSE),FALSE)</f>
        <v>2</v>
      </c>
      <c r="AY17" s="58">
        <f>VLOOKUP($A17,historia!$A$5:$DD$24,+HLOOKUP(AY$2,historia!$A$3:$EC$4,2,FALSE),FALSE)</f>
        <v>2</v>
      </c>
      <c r="AZ17" s="58">
        <f>VLOOKUP($A17,historia!$A$5:$DD$24,+HLOOKUP(AZ$2,historia!$A$3:$EC$4,2,FALSE),FALSE)</f>
        <v>2</v>
      </c>
      <c r="BA17" s="58">
        <f>VLOOKUP($A17,historia!$A$5:$DG$24,+HLOOKUP(BA$2,historia!$A$3:$EC$4,2,FALSE),FALSE)</f>
        <v>2</v>
      </c>
      <c r="BB17" s="58"/>
      <c r="BC17" s="286">
        <v>2</v>
      </c>
      <c r="BD17" t="str">
        <f t="shared" si="20"/>
        <v>Miel</v>
      </c>
      <c r="BE17">
        <f>+datos!BV1</f>
        <v>74</v>
      </c>
      <c r="BF17" s="2" t="str">
        <f t="shared" si="4"/>
        <v>$/kg</v>
      </c>
      <c r="BG17" s="2">
        <f t="shared" si="4"/>
        <v>2872</v>
      </c>
      <c r="BH17" s="2">
        <f t="shared" si="4"/>
        <v>2781</v>
      </c>
      <c r="BI17" s="2">
        <f t="shared" si="4"/>
        <v>1815</v>
      </c>
      <c r="BK17" s="1">
        <f>+datos!EQ1</f>
        <v>147</v>
      </c>
      <c r="BL17" s="1">
        <f t="shared" si="21"/>
        <v>4000000</v>
      </c>
      <c r="BM17" s="1">
        <f t="shared" si="21"/>
        <v>4000000</v>
      </c>
      <c r="BO17" s="1">
        <f>+datos!GP1</f>
        <v>198</v>
      </c>
      <c r="BP17" s="1">
        <f t="shared" si="22"/>
        <v>75000</v>
      </c>
      <c r="BQ17" s="1">
        <f t="shared" si="22"/>
        <v>75000</v>
      </c>
      <c r="BS17" s="1">
        <f>+datos!KE1</f>
        <v>291</v>
      </c>
      <c r="BT17" s="1">
        <f t="shared" si="39"/>
        <v>296.46857552</v>
      </c>
      <c r="BU17" s="1">
        <f t="shared" si="40"/>
        <v>216.74440731999999</v>
      </c>
      <c r="BW17" s="1">
        <f>+datos!LJ1</f>
        <v>322</v>
      </c>
      <c r="BX17" s="2">
        <f t="shared" si="23"/>
        <v>4.8350169999999998E-2</v>
      </c>
      <c r="BY17" s="2">
        <f>+SUM(DV17:EG17)</f>
        <v>3.9364400000000003E-3</v>
      </c>
      <c r="CA17" s="1">
        <f>+datos!IZ1</f>
        <v>260</v>
      </c>
      <c r="CB17" s="2">
        <f t="shared" si="25"/>
        <v>0.3</v>
      </c>
      <c r="CC17" s="2">
        <f t="shared" si="26"/>
        <v>0.3</v>
      </c>
      <c r="CD17" s="2"/>
      <c r="CE17">
        <f>+datos!DH1</f>
        <v>112</v>
      </c>
      <c r="CF17" s="2">
        <f t="shared" si="27"/>
        <v>14577.218162322135</v>
      </c>
      <c r="CG17" s="2">
        <f t="shared" si="27"/>
        <v>14173.815536870743</v>
      </c>
      <c r="CH17" s="2">
        <f t="shared" si="27"/>
        <v>10194.403802892444</v>
      </c>
      <c r="CI17" s="2"/>
      <c r="CK17" s="1">
        <f t="shared" si="28"/>
        <v>42.320391119999996</v>
      </c>
      <c r="CL17" s="1">
        <f t="shared" si="28"/>
        <v>42.687100790000002</v>
      </c>
      <c r="CM17" s="1">
        <f t="shared" si="28"/>
        <v>22.465511939999999</v>
      </c>
      <c r="CN17" s="1">
        <f t="shared" si="28"/>
        <v>15.491239590000003</v>
      </c>
      <c r="CO17" s="1">
        <f t="shared" si="28"/>
        <v>13.599247020000002</v>
      </c>
      <c r="CP17" s="1">
        <f t="shared" si="28"/>
        <v>18.275047940000004</v>
      </c>
      <c r="CQ17" s="1">
        <f t="shared" si="28"/>
        <v>22.033355530000001</v>
      </c>
      <c r="CR17" s="1">
        <f t="shared" si="28"/>
        <v>25.714133060000005</v>
      </c>
      <c r="CS17" s="1">
        <f t="shared" si="28"/>
        <v>20.973477770000002</v>
      </c>
      <c r="CT17" s="1">
        <f t="shared" si="28"/>
        <v>25.565397789999999</v>
      </c>
      <c r="CU17" s="1">
        <f t="shared" si="28"/>
        <v>22.120083830000002</v>
      </c>
      <c r="CV17" s="1">
        <f t="shared" si="28"/>
        <v>25.223589140000001</v>
      </c>
      <c r="CW17" s="1">
        <f t="shared" si="28"/>
        <v>23.185079629999997</v>
      </c>
      <c r="CX17" s="1">
        <f t="shared" si="28"/>
        <v>18.014525360000007</v>
      </c>
      <c r="CY17" s="1">
        <f t="shared" si="28"/>
        <v>15.906782769999998</v>
      </c>
      <c r="CZ17" s="1">
        <f t="shared" si="28"/>
        <v>9.6274282100000015</v>
      </c>
      <c r="DA17" s="1">
        <f t="shared" si="29"/>
        <v>12.184475789999999</v>
      </c>
      <c r="DB17" s="1">
        <f t="shared" si="29"/>
        <v>14.349162859999998</v>
      </c>
      <c r="DC17" s="1">
        <f t="shared" si="29"/>
        <v>24.378519029999993</v>
      </c>
      <c r="DD17" s="1">
        <f t="shared" si="29"/>
        <v>22.211636389999995</v>
      </c>
      <c r="DE17" s="1">
        <f t="shared" si="29"/>
        <v>18.934177090000006</v>
      </c>
      <c r="DF17" s="1">
        <f t="shared" si="29"/>
        <v>18.049853030000005</v>
      </c>
      <c r="DG17" s="1">
        <f t="shared" si="29"/>
        <v>20.702965450000001</v>
      </c>
      <c r="DH17" s="1">
        <f t="shared" si="29"/>
        <v>19.199801710000003</v>
      </c>
      <c r="DJ17" s="1">
        <f t="shared" si="30"/>
        <v>3.6741E-3</v>
      </c>
      <c r="DK17" s="1">
        <f t="shared" si="30"/>
        <v>0</v>
      </c>
      <c r="DL17" s="1">
        <f t="shared" si="30"/>
        <v>0</v>
      </c>
      <c r="DM17" s="1">
        <f t="shared" si="30"/>
        <v>0</v>
      </c>
      <c r="DN17" s="1">
        <f t="shared" si="30"/>
        <v>2.9789999999999999E-3</v>
      </c>
      <c r="DO17" s="1">
        <f t="shared" si="30"/>
        <v>0</v>
      </c>
      <c r="DP17" s="1">
        <f t="shared" si="30"/>
        <v>0</v>
      </c>
      <c r="DQ17" s="1">
        <f t="shared" si="30"/>
        <v>0</v>
      </c>
      <c r="DR17" s="1">
        <f t="shared" si="30"/>
        <v>4.0170669999999999E-2</v>
      </c>
      <c r="DS17" s="1">
        <f t="shared" si="30"/>
        <v>0</v>
      </c>
      <c r="DT17" s="1">
        <f t="shared" si="30"/>
        <v>0</v>
      </c>
      <c r="DU17" s="1">
        <f t="shared" si="30"/>
        <v>1.5264E-3</v>
      </c>
      <c r="DV17" s="1">
        <f t="shared" si="30"/>
        <v>0</v>
      </c>
      <c r="DW17" s="1">
        <f t="shared" si="30"/>
        <v>0</v>
      </c>
      <c r="DX17" s="1">
        <f t="shared" si="30"/>
        <v>3.5298E-3</v>
      </c>
      <c r="DY17" s="1">
        <f t="shared" si="30"/>
        <v>0</v>
      </c>
      <c r="DZ17" s="1">
        <f t="shared" si="31"/>
        <v>0</v>
      </c>
      <c r="EA17" s="1">
        <f t="shared" si="31"/>
        <v>0</v>
      </c>
      <c r="EB17" s="1">
        <f t="shared" si="31"/>
        <v>0</v>
      </c>
      <c r="EC17" s="1">
        <f t="shared" si="31"/>
        <v>4.0664E-4</v>
      </c>
      <c r="ED17" s="1">
        <f t="shared" si="31"/>
        <v>0</v>
      </c>
      <c r="EE17" s="1">
        <f t="shared" si="31"/>
        <v>0</v>
      </c>
      <c r="EF17" s="1">
        <f t="shared" si="31"/>
        <v>0</v>
      </c>
      <c r="EG17" s="1">
        <f t="shared" si="31"/>
        <v>0</v>
      </c>
      <c r="EI17" s="14">
        <f t="shared" si="41"/>
        <v>0.3</v>
      </c>
      <c r="EJ17" s="14">
        <f t="shared" si="41"/>
        <v>0.3</v>
      </c>
      <c r="EK17" s="1">
        <f t="shared" si="41"/>
        <v>0.3</v>
      </c>
      <c r="EL17" s="1">
        <f t="shared" si="41"/>
        <v>0.3</v>
      </c>
      <c r="EM17" s="1">
        <f t="shared" si="41"/>
        <v>0.3</v>
      </c>
      <c r="EN17" s="1">
        <f t="shared" si="41"/>
        <v>0.3</v>
      </c>
      <c r="EO17" s="1">
        <f t="shared" si="41"/>
        <v>0.3</v>
      </c>
      <c r="EP17" s="1">
        <f t="shared" si="41"/>
        <v>0.3</v>
      </c>
      <c r="EQ17" s="1">
        <f t="shared" si="41"/>
        <v>0.3</v>
      </c>
      <c r="ER17" s="1">
        <f t="shared" si="41"/>
        <v>0.3</v>
      </c>
      <c r="ES17" s="1">
        <f t="shared" si="41"/>
        <v>0.3</v>
      </c>
      <c r="ET17" s="1">
        <f t="shared" si="41"/>
        <v>0.3</v>
      </c>
      <c r="EU17" s="1">
        <f t="shared" si="41"/>
        <v>0.3</v>
      </c>
      <c r="EV17" s="1">
        <f t="shared" si="41"/>
        <v>0.3</v>
      </c>
      <c r="EW17" s="1">
        <f t="shared" si="41"/>
        <v>0.3</v>
      </c>
      <c r="EX17" s="1">
        <f t="shared" si="41"/>
        <v>0.3</v>
      </c>
      <c r="EY17" s="1">
        <f t="shared" si="33"/>
        <v>0.3</v>
      </c>
      <c r="EZ17" s="1">
        <f t="shared" si="33"/>
        <v>0.3</v>
      </c>
      <c r="FA17" s="1">
        <f t="shared" si="33"/>
        <v>0.3</v>
      </c>
      <c r="FB17" s="1">
        <f t="shared" si="33"/>
        <v>0.3</v>
      </c>
      <c r="FC17" s="1">
        <f t="shared" si="33"/>
        <v>0.3</v>
      </c>
      <c r="FD17" s="1">
        <f t="shared" si="33"/>
        <v>0.3</v>
      </c>
      <c r="FE17" s="1">
        <f t="shared" si="33"/>
        <v>0.3</v>
      </c>
      <c r="FF17" s="1">
        <f t="shared" si="33"/>
        <v>0.3</v>
      </c>
      <c r="FH17" s="162">
        <f t="shared" si="34"/>
        <v>0.15244558753452164</v>
      </c>
    </row>
    <row r="18" spans="1:164" ht="18.75" customHeight="1">
      <c r="A18" s="243" t="s">
        <v>222</v>
      </c>
      <c r="B18" s="246"/>
      <c r="C18" s="156">
        <f t="shared" si="5"/>
        <v>-0.33</v>
      </c>
      <c r="D18" s="198">
        <v>1</v>
      </c>
      <c r="E18" s="248">
        <f t="shared" si="6"/>
        <v>5.3805492886891626E-2</v>
      </c>
      <c r="F18" s="249">
        <f t="shared" si="7"/>
        <v>2.7983697271217078E-2</v>
      </c>
      <c r="G18" s="248">
        <f t="shared" si="8"/>
        <v>3.1325099672689483E-2</v>
      </c>
      <c r="H18" s="249">
        <f t="shared" si="9"/>
        <v>2.2480393214202143E-2</v>
      </c>
      <c r="I18" s="253">
        <f t="shared" si="10"/>
        <v>0.28826332287720802</v>
      </c>
      <c r="J18" s="254">
        <f t="shared" si="11"/>
        <v>-3.5242361058684502E-2</v>
      </c>
      <c r="K18" s="248">
        <f t="shared" si="12"/>
        <v>0.35927199343348626</v>
      </c>
      <c r="L18" s="249">
        <f t="shared" si="13"/>
        <v>-7.1008670556278242E-2</v>
      </c>
      <c r="M18" s="250"/>
      <c r="N18" s="24">
        <v>-1</v>
      </c>
      <c r="O18" s="248">
        <f t="shared" si="35"/>
        <v>-7.7046237629317393E-2</v>
      </c>
      <c r="P18" s="251">
        <f t="shared" si="36"/>
        <v>-7.7046237629317393E-2</v>
      </c>
      <c r="Q18" s="248">
        <f t="shared" si="14"/>
        <v>-6.8423351768361451E-2</v>
      </c>
      <c r="R18" s="251">
        <f t="shared" si="37"/>
        <v>-6.8423351768361451E-2</v>
      </c>
      <c r="S18" s="250"/>
      <c r="T18" s="24">
        <v>-1</v>
      </c>
      <c r="U18" s="248">
        <f t="shared" si="15"/>
        <v>0.40043753998402853</v>
      </c>
      <c r="V18" s="252">
        <f t="shared" si="16"/>
        <v>0.40043753998402853</v>
      </c>
      <c r="W18" s="248">
        <f t="shared" si="38"/>
        <v>-0.24267539443704156</v>
      </c>
      <c r="X18" s="252">
        <f t="shared" si="17"/>
        <v>-0.24267539443704156</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VLOOKUP($A18,historia!$A$5:$DD$24,+HLOOKUP(AP$2,historia!$A$3:$EC$4,2,FALSE),FALSE)</f>
        <v>2</v>
      </c>
      <c r="AQ18" s="28">
        <f>VLOOKUP($A18,historia!$A$5:$DD$24,+HLOOKUP(AQ$2,historia!$A$3:$EC$4,2,FALSE),FALSE)</f>
        <v>1</v>
      </c>
      <c r="AR18" s="28">
        <f>VLOOKUP($A18,historia!$A$5:$DD$24,+HLOOKUP(AR$2,historia!$A$3:$EC$4,2,FALSE),FALSE)</f>
        <v>1</v>
      </c>
      <c r="AS18" s="28">
        <f>VLOOKUP($A18,historia!$A$5:$DD$24,+HLOOKUP(AS$2,historia!$A$3:$EC$4,2,FALSE),FALSE)</f>
        <v>2</v>
      </c>
      <c r="AT18" s="58">
        <f>VLOOKUP($A18,historia!$A$5:$DD$24,+HLOOKUP(AT$2,historia!$A$3:$EC$4,2,FALSE),FALSE)</f>
        <v>2</v>
      </c>
      <c r="AU18" s="58">
        <f>VLOOKUP($A18,historia!$A$5:$DD$24,+HLOOKUP(AU$2,historia!$A$3:$EC$4,2,FALSE),FALSE)</f>
        <v>2</v>
      </c>
      <c r="AV18" s="58">
        <f>VLOOKUP($A18,historia!$A$5:$DD$24,+HLOOKUP(AV$2,historia!$A$3:$EC$4,2,FALSE),FALSE)</f>
        <v>2</v>
      </c>
      <c r="AW18" s="58">
        <f>VLOOKUP($A18,historia!$A$5:$DD$24,+HLOOKUP(AW$2,historia!$A$3:$EC$4,2,FALSE),FALSE)</f>
        <v>2</v>
      </c>
      <c r="AX18" s="58">
        <f>VLOOKUP($A18,historia!$A$5:$DD$24,+HLOOKUP(AX$2,historia!$A$3:$EC$4,2,FALSE),FALSE)</f>
        <v>2</v>
      </c>
      <c r="AY18" s="58">
        <f>VLOOKUP($A18,historia!$A$5:$DD$24,+HLOOKUP(AY$2,historia!$A$3:$EC$4,2,FALSE),FALSE)</f>
        <v>2</v>
      </c>
      <c r="AZ18" s="58">
        <f>VLOOKUP($A18,historia!$A$5:$DD$24,+HLOOKUP(AZ$2,historia!$A$3:$EC$4,2,FALSE),FALSE)</f>
        <v>2</v>
      </c>
      <c r="BA18" s="58">
        <f>VLOOKUP($A18,historia!$A$5:$DG$24,+HLOOKUP(BA$2,historia!$A$3:$EC$4,2,FALSE),FALSE)</f>
        <v>2</v>
      </c>
      <c r="BB18" s="58"/>
      <c r="BC18" s="286">
        <v>2</v>
      </c>
      <c r="BD18" t="str">
        <f t="shared" si="20"/>
        <v>Ovino</v>
      </c>
      <c r="BE18">
        <f>+datos!BU1</f>
        <v>73</v>
      </c>
      <c r="BF18" s="2" t="str">
        <f t="shared" si="4"/>
        <v>$/kg</v>
      </c>
      <c r="BG18" s="2">
        <f t="shared" si="4"/>
        <v>110744.59305900001</v>
      </c>
      <c r="BH18" s="2">
        <f t="shared" si="4"/>
        <v>105090.16493699999</v>
      </c>
      <c r="BI18" s="2">
        <f t="shared" si="4"/>
        <v>85964.252099999998</v>
      </c>
      <c r="BK18" s="1">
        <f>+datos!EL1</f>
        <v>142</v>
      </c>
      <c r="BL18" s="1">
        <f t="shared" si="21"/>
        <v>11482381</v>
      </c>
      <c r="BM18" s="1">
        <f t="shared" si="21"/>
        <v>12440906</v>
      </c>
      <c r="BO18" s="1">
        <f>+datos!GS1</f>
        <v>201</v>
      </c>
      <c r="BP18" s="1">
        <f t="shared" si="22"/>
        <v>33907.620000000003</v>
      </c>
      <c r="BQ18" s="1">
        <f t="shared" si="22"/>
        <v>36398.1</v>
      </c>
      <c r="BS18" s="1">
        <f>+datos!KI1</f>
        <v>295</v>
      </c>
      <c r="BT18" s="1">
        <f t="shared" si="39"/>
        <v>304.08132806999998</v>
      </c>
      <c r="BU18" s="1">
        <f t="shared" si="40"/>
        <v>217.13308832999999</v>
      </c>
      <c r="BW18" s="1">
        <f>+datos!LN1</f>
        <v>326</v>
      </c>
      <c r="BX18" s="2">
        <f t="shared" si="23"/>
        <v>1.8318967900000001</v>
      </c>
      <c r="BY18" s="2">
        <f t="shared" si="24"/>
        <v>2.4189056800000004</v>
      </c>
      <c r="CA18" s="1">
        <f>+datos!JA1</f>
        <v>261</v>
      </c>
      <c r="CB18" s="1">
        <f t="shared" si="25"/>
        <v>3555</v>
      </c>
      <c r="CC18" s="1">
        <f t="shared" si="26"/>
        <v>2813</v>
      </c>
      <c r="CD18" s="1"/>
      <c r="CE18">
        <f>+datos!DI1</f>
        <v>113</v>
      </c>
      <c r="CF18" s="2">
        <f t="shared" si="27"/>
        <v>14334.902849449974</v>
      </c>
      <c r="CG18" s="2">
        <f t="shared" si="27"/>
        <v>13899.499637892481</v>
      </c>
      <c r="CH18" s="2">
        <f t="shared" si="27"/>
        <v>10546.015012963209</v>
      </c>
      <c r="CI18" s="1"/>
      <c r="CK18" s="1">
        <f t="shared" si="28"/>
        <v>37.632095870000001</v>
      </c>
      <c r="CL18" s="1">
        <f t="shared" si="28"/>
        <v>34.165160209999996</v>
      </c>
      <c r="CM18" s="1">
        <f t="shared" si="28"/>
        <v>32.255325069999998</v>
      </c>
      <c r="CN18" s="1">
        <f t="shared" si="28"/>
        <v>31.916470830000002</v>
      </c>
      <c r="CO18" s="1">
        <f t="shared" si="28"/>
        <v>27.303396169999999</v>
      </c>
      <c r="CP18" s="1">
        <f t="shared" si="28"/>
        <v>22.774238799999999</v>
      </c>
      <c r="CQ18" s="1">
        <f t="shared" si="28"/>
        <v>21.077032079999999</v>
      </c>
      <c r="CR18" s="1">
        <f t="shared" si="28"/>
        <v>19.550070639999998</v>
      </c>
      <c r="CS18" s="1">
        <f t="shared" si="28"/>
        <v>17.8919189</v>
      </c>
      <c r="CT18" s="1">
        <f t="shared" si="28"/>
        <v>19.636014689999996</v>
      </c>
      <c r="CU18" s="1">
        <f t="shared" si="28"/>
        <v>18.748166940000001</v>
      </c>
      <c r="CV18" s="1">
        <f t="shared" si="28"/>
        <v>21.131437869999999</v>
      </c>
      <c r="CW18" s="1">
        <f t="shared" si="28"/>
        <v>23.746863359999999</v>
      </c>
      <c r="CX18" s="1">
        <f t="shared" si="28"/>
        <v>18.662799830000001</v>
      </c>
      <c r="CY18" s="1">
        <f t="shared" si="28"/>
        <v>31.610464650000004</v>
      </c>
      <c r="CZ18" s="1">
        <f t="shared" si="28"/>
        <v>14.881609229999999</v>
      </c>
      <c r="DA18" s="1">
        <f t="shared" si="29"/>
        <v>18.538380959999998</v>
      </c>
      <c r="DB18" s="1">
        <f t="shared" si="29"/>
        <v>15.79353798</v>
      </c>
      <c r="DC18" s="1">
        <f t="shared" si="29"/>
        <v>15.390557059999999</v>
      </c>
      <c r="DD18" s="1">
        <f t="shared" si="29"/>
        <v>12.657815750000001</v>
      </c>
      <c r="DE18" s="1">
        <f t="shared" si="29"/>
        <v>13.430479930000001</v>
      </c>
      <c r="DF18" s="1">
        <f t="shared" si="29"/>
        <v>15.60716012</v>
      </c>
      <c r="DG18" s="1">
        <f t="shared" si="29"/>
        <v>19.03918719</v>
      </c>
      <c r="DH18" s="1">
        <f t="shared" si="29"/>
        <v>17.774232269999999</v>
      </c>
      <c r="DJ18" s="1">
        <f t="shared" si="30"/>
        <v>0.15590026000000001</v>
      </c>
      <c r="DK18" s="1">
        <f t="shared" si="30"/>
        <v>0.18636467000000001</v>
      </c>
      <c r="DL18" s="1">
        <f t="shared" si="30"/>
        <v>0.25499293999999995</v>
      </c>
      <c r="DM18" s="1">
        <f t="shared" si="30"/>
        <v>0.11824628</v>
      </c>
      <c r="DN18" s="1">
        <f t="shared" si="30"/>
        <v>0.37141849000000005</v>
      </c>
      <c r="DO18" s="1">
        <f t="shared" si="30"/>
        <v>4.9819790000000003E-2</v>
      </c>
      <c r="DP18" s="1">
        <f t="shared" si="30"/>
        <v>5.7726630000000001E-2</v>
      </c>
      <c r="DQ18" s="1">
        <f t="shared" si="30"/>
        <v>0.12164886</v>
      </c>
      <c r="DR18" s="1">
        <f t="shared" si="30"/>
        <v>6.2847730000000004E-2</v>
      </c>
      <c r="DS18" s="1">
        <f t="shared" si="30"/>
        <v>7.1441070000000009E-2</v>
      </c>
      <c r="DT18" s="1">
        <f t="shared" si="30"/>
        <v>0.19937177999999997</v>
      </c>
      <c r="DU18" s="1">
        <f t="shared" si="30"/>
        <v>0.18211829000000002</v>
      </c>
      <c r="DV18" s="1">
        <f t="shared" si="30"/>
        <v>0.19639201000000001</v>
      </c>
      <c r="DW18" s="1">
        <f t="shared" si="30"/>
        <v>0.15047392000000001</v>
      </c>
      <c r="DX18" s="1">
        <f t="shared" si="30"/>
        <v>0.19393855000000002</v>
      </c>
      <c r="DY18" s="1">
        <f t="shared" si="30"/>
        <v>0.16347327</v>
      </c>
      <c r="DZ18" s="1">
        <f t="shared" si="31"/>
        <v>0.18164933</v>
      </c>
      <c r="EA18" s="1">
        <f t="shared" si="31"/>
        <v>0.25055533999999996</v>
      </c>
      <c r="EB18" s="1">
        <f t="shared" si="31"/>
        <v>0.29342396000000004</v>
      </c>
      <c r="EC18" s="1">
        <f t="shared" si="31"/>
        <v>0.26088905000000001</v>
      </c>
      <c r="ED18" s="1">
        <f t="shared" si="31"/>
        <v>0.18624962</v>
      </c>
      <c r="EE18" s="1">
        <f t="shared" si="31"/>
        <v>0.1577527</v>
      </c>
      <c r="EF18" s="1">
        <f t="shared" si="31"/>
        <v>0.24821200999999998</v>
      </c>
      <c r="EG18" s="1">
        <f t="shared" si="31"/>
        <v>0.13589592</v>
      </c>
      <c r="EI18" s="14">
        <f t="shared" si="41"/>
        <v>3555</v>
      </c>
      <c r="EJ18" s="14">
        <f t="shared" si="41"/>
        <v>3555</v>
      </c>
      <c r="EK18" s="1">
        <f t="shared" si="41"/>
        <v>3555</v>
      </c>
      <c r="EL18" s="1">
        <f t="shared" si="41"/>
        <v>3555</v>
      </c>
      <c r="EM18" s="1">
        <f t="shared" si="41"/>
        <v>3555</v>
      </c>
      <c r="EN18" s="1">
        <f t="shared" si="41"/>
        <v>3555</v>
      </c>
      <c r="EO18" s="1">
        <f t="shared" si="41"/>
        <v>3555</v>
      </c>
      <c r="EP18" s="1">
        <f t="shared" si="41"/>
        <v>3555</v>
      </c>
      <c r="EQ18" s="1">
        <f t="shared" si="41"/>
        <v>3555</v>
      </c>
      <c r="ER18" s="1">
        <f t="shared" si="41"/>
        <v>3555</v>
      </c>
      <c r="ES18" s="1">
        <f t="shared" si="41"/>
        <v>3555</v>
      </c>
      <c r="ET18" s="1">
        <f t="shared" si="41"/>
        <v>3735</v>
      </c>
      <c r="EU18" s="1">
        <f t="shared" si="41"/>
        <v>2813</v>
      </c>
      <c r="EV18" s="1">
        <f t="shared" si="41"/>
        <v>2813</v>
      </c>
      <c r="EW18" s="1">
        <f t="shared" si="41"/>
        <v>2813</v>
      </c>
      <c r="EX18" s="1">
        <f t="shared" si="41"/>
        <v>2813</v>
      </c>
      <c r="EY18" s="1">
        <f t="shared" si="33"/>
        <v>2813</v>
      </c>
      <c r="EZ18" s="1">
        <f t="shared" si="33"/>
        <v>2813</v>
      </c>
      <c r="FA18" s="1">
        <f t="shared" si="33"/>
        <v>2813</v>
      </c>
      <c r="FB18" s="1">
        <f t="shared" si="33"/>
        <v>2813</v>
      </c>
      <c r="FC18" s="1">
        <f t="shared" si="33"/>
        <v>2813</v>
      </c>
      <c r="FD18" s="1">
        <f t="shared" si="33"/>
        <v>2813</v>
      </c>
      <c r="FE18" s="1">
        <f t="shared" si="33"/>
        <v>2813</v>
      </c>
      <c r="FF18" s="1">
        <f t="shared" si="33"/>
        <v>2813</v>
      </c>
      <c r="FH18" s="162">
        <f t="shared" si="34"/>
        <v>-7.1008670556278242E-2</v>
      </c>
    </row>
    <row r="19" spans="1:164" ht="18.75" customHeight="1">
      <c r="A19" s="244" t="s">
        <v>66</v>
      </c>
      <c r="B19" s="247"/>
      <c r="C19" s="228">
        <f t="shared" si="5"/>
        <v>0</v>
      </c>
      <c r="D19" s="229">
        <v>-1</v>
      </c>
      <c r="E19" s="253">
        <f t="shared" si="6"/>
        <v>0.10316676851721263</v>
      </c>
      <c r="F19" s="254">
        <f t="shared" si="7"/>
        <v>7.7344972901538078E-2</v>
      </c>
      <c r="G19" s="253">
        <f t="shared" si="8"/>
        <v>3.6305300858215928E-2</v>
      </c>
      <c r="H19" s="254">
        <f t="shared" si="9"/>
        <v>6.6861467658996698E-2</v>
      </c>
      <c r="I19" s="253">
        <f t="shared" si="10"/>
        <v>0.49877686544754885</v>
      </c>
      <c r="J19" s="254">
        <f t="shared" si="11"/>
        <v>0.17527118151165633</v>
      </c>
      <c r="K19" s="253">
        <f t="shared" si="12"/>
        <v>0.60309115558225135</v>
      </c>
      <c r="L19" s="254">
        <f t="shared" si="13"/>
        <v>-0.1043142901347025</v>
      </c>
      <c r="M19" s="255"/>
      <c r="N19" s="256">
        <v>0</v>
      </c>
      <c r="O19" s="253">
        <f t="shared" si="35"/>
        <v>-0.1166932970112895</v>
      </c>
      <c r="P19" s="257">
        <f t="shared" si="36"/>
        <v>-0.1166932970112895</v>
      </c>
      <c r="Q19" s="253">
        <f t="shared" si="14"/>
        <v>0</v>
      </c>
      <c r="R19" s="257">
        <v>-0.01</v>
      </c>
      <c r="S19" s="255"/>
      <c r="T19" s="256">
        <v>1</v>
      </c>
      <c r="U19" s="253">
        <f t="shared" si="15"/>
        <v>-6.0104746578109824E-2</v>
      </c>
      <c r="V19" s="258">
        <f t="shared" si="16"/>
        <v>-6.0104746578109824E-2</v>
      </c>
      <c r="W19" s="253">
        <f t="shared" si="38"/>
        <v>-5.9878797439544718E-2</v>
      </c>
      <c r="X19" s="258">
        <f t="shared" si="17"/>
        <v>-5.9878797439544718E-2</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VLOOKUP($A19,historia!$A$5:$DD$24,+HLOOKUP(AP$2,historia!$A$3:$EC$4,2,FALSE),FALSE)</f>
        <v>4</v>
      </c>
      <c r="AQ19" s="28">
        <f>VLOOKUP($A19,historia!$A$5:$DD$24,+HLOOKUP(AQ$2,historia!$A$3:$EC$4,2,FALSE),FALSE)</f>
        <v>4</v>
      </c>
      <c r="AR19" s="28">
        <f>VLOOKUP($A19,historia!$A$5:$DD$24,+HLOOKUP(AR$2,historia!$A$3:$EC$4,2,FALSE),FALSE)</f>
        <v>4</v>
      </c>
      <c r="AS19" s="28">
        <f>VLOOKUP($A19,historia!$A$5:$DD$24,+HLOOKUP(AS$2,historia!$A$3:$EC$4,2,FALSE),FALSE)</f>
        <v>5</v>
      </c>
      <c r="AT19" s="58">
        <f>VLOOKUP($A19,historia!$A$5:$DD$24,+HLOOKUP(AT$2,historia!$A$3:$EC$4,2,FALSE),FALSE)</f>
        <v>4</v>
      </c>
      <c r="AU19" s="58">
        <f>VLOOKUP($A19,historia!$A$5:$DD$24,+HLOOKUP(AU$2,historia!$A$3:$EC$4,2,FALSE),FALSE)</f>
        <v>4</v>
      </c>
      <c r="AV19" s="58">
        <f>VLOOKUP($A19,historia!$A$5:$DD$24,+HLOOKUP(AV$2,historia!$A$3:$EC$4,2,FALSE),FALSE)</f>
        <v>4</v>
      </c>
      <c r="AW19" s="58">
        <f>VLOOKUP($A19,historia!$A$5:$DD$24,+HLOOKUP(AW$2,historia!$A$3:$EC$4,2,FALSE),FALSE)</f>
        <v>4</v>
      </c>
      <c r="AX19" s="58">
        <f>VLOOKUP($A19,historia!$A$5:$DD$24,+HLOOKUP(AX$2,historia!$A$3:$EC$4,2,FALSE),FALSE)</f>
        <v>4</v>
      </c>
      <c r="AY19" s="58">
        <f>VLOOKUP($A19,historia!$A$5:$DD$24,+HLOOKUP(AY$2,historia!$A$3:$EC$4,2,FALSE),FALSE)</f>
        <v>4</v>
      </c>
      <c r="AZ19" s="58">
        <f>VLOOKUP($A19,historia!$A$5:$DD$24,+HLOOKUP(AZ$2,historia!$A$3:$EC$4,2,FALSE),FALSE)</f>
        <v>4</v>
      </c>
      <c r="BA19" s="58">
        <f>VLOOKUP($A19,historia!$A$5:$DG$24,+HLOOKUP(BA$2,historia!$A$3:$EC$4,2,FALSE),FALSE)</f>
        <v>3</v>
      </c>
      <c r="BB19" s="58"/>
      <c r="BC19" s="286">
        <v>3</v>
      </c>
      <c r="BD19" t="str">
        <f t="shared" si="20"/>
        <v>Papa</v>
      </c>
      <c r="BE19">
        <f>+datos!AV1</f>
        <v>48</v>
      </c>
      <c r="BF19" s="2" t="str">
        <f t="shared" si="4"/>
        <v>$/bolsa 20kg</v>
      </c>
      <c r="BG19" s="2">
        <f t="shared" si="4"/>
        <v>9717.460317460318</v>
      </c>
      <c r="BH19" s="2">
        <f t="shared" si="4"/>
        <v>8808.6956521739139</v>
      </c>
      <c r="BI19" s="2">
        <f t="shared" si="4"/>
        <v>6483.59375</v>
      </c>
      <c r="BK19" s="1">
        <f>+datos!EZ1</f>
        <v>156</v>
      </c>
      <c r="BL19" s="1">
        <f t="shared" si="21"/>
        <v>33722</v>
      </c>
      <c r="BM19" s="1">
        <f t="shared" si="21"/>
        <v>38177</v>
      </c>
      <c r="BO19" s="1">
        <f>+datos!GT1</f>
        <v>202</v>
      </c>
      <c r="BP19" s="1">
        <f t="shared" si="22"/>
        <v>2111561</v>
      </c>
      <c r="BQ19" s="1">
        <f t="shared" si="22"/>
        <v>2111561</v>
      </c>
      <c r="BS19" s="1">
        <f>+datos!JO1</f>
        <v>275</v>
      </c>
      <c r="BT19" s="1">
        <f t="shared" si="39"/>
        <v>379.47966391000006</v>
      </c>
      <c r="BU19" s="1">
        <f t="shared" si="40"/>
        <v>403.74676064000005</v>
      </c>
      <c r="BW19" s="1">
        <f>+datos!KT1</f>
        <v>306</v>
      </c>
      <c r="BX19" s="2">
        <f t="shared" si="23"/>
        <v>14.880319630000001</v>
      </c>
      <c r="BY19" s="2">
        <f t="shared" si="24"/>
        <v>15.828086410000001</v>
      </c>
      <c r="CA19" s="1">
        <f>+datos!JB1</f>
        <v>262</v>
      </c>
      <c r="CB19" s="1">
        <f t="shared" si="25"/>
        <v>35.950000000000003</v>
      </c>
      <c r="CC19" s="1">
        <f t="shared" si="26"/>
        <v>35.950000000000003</v>
      </c>
      <c r="CD19" s="1"/>
      <c r="CE19">
        <f>+datos!CI1</f>
        <v>87</v>
      </c>
      <c r="CF19" s="2">
        <f t="shared" si="27"/>
        <v>16236.921402684478</v>
      </c>
      <c r="CG19" s="2">
        <f t="shared" si="27"/>
        <v>15668.086797624095</v>
      </c>
      <c r="CH19" s="2">
        <f t="shared" si="27"/>
        <v>10128.507880630868</v>
      </c>
      <c r="CI19" s="1"/>
      <c r="CK19" s="1">
        <f t="shared" si="28"/>
        <v>34.584187569999997</v>
      </c>
      <c r="CL19" s="1">
        <f t="shared" si="28"/>
        <v>32.026461749999996</v>
      </c>
      <c r="CM19" s="1">
        <f t="shared" si="28"/>
        <v>27.540207300000002</v>
      </c>
      <c r="CN19" s="1">
        <f t="shared" si="28"/>
        <v>27.589055210000001</v>
      </c>
      <c r="CO19" s="1">
        <f t="shared" si="28"/>
        <v>34.54170027</v>
      </c>
      <c r="CP19" s="1">
        <f t="shared" si="28"/>
        <v>29.033049210000001</v>
      </c>
      <c r="CQ19" s="1">
        <f t="shared" si="28"/>
        <v>32.137001479999995</v>
      </c>
      <c r="CR19" s="1">
        <f t="shared" si="28"/>
        <v>31.771959519999999</v>
      </c>
      <c r="CS19" s="1">
        <f t="shared" si="28"/>
        <v>30.172516640000001</v>
      </c>
      <c r="CT19" s="1">
        <f t="shared" si="28"/>
        <v>33.254909299999994</v>
      </c>
      <c r="CU19" s="1">
        <f t="shared" si="28"/>
        <v>34.03841525</v>
      </c>
      <c r="CV19" s="1">
        <f t="shared" si="28"/>
        <v>32.790200410000004</v>
      </c>
      <c r="CW19" s="1">
        <f t="shared" si="28"/>
        <v>33.403797109999999</v>
      </c>
      <c r="CX19" s="1">
        <f t="shared" si="28"/>
        <v>26.866894470000005</v>
      </c>
      <c r="CY19" s="1">
        <f t="shared" si="28"/>
        <v>30.959664470000003</v>
      </c>
      <c r="CZ19" s="1">
        <f t="shared" si="28"/>
        <v>28.030286839999999</v>
      </c>
      <c r="DA19" s="1">
        <f t="shared" si="29"/>
        <v>35.227965569999995</v>
      </c>
      <c r="DB19" s="1">
        <f t="shared" si="29"/>
        <v>43.313690020000003</v>
      </c>
      <c r="DC19" s="1">
        <f t="shared" si="29"/>
        <v>38.158354570000007</v>
      </c>
      <c r="DD19" s="1">
        <f t="shared" si="29"/>
        <v>36.879687310000008</v>
      </c>
      <c r="DE19" s="1">
        <f t="shared" si="29"/>
        <v>30.584450140000001</v>
      </c>
      <c r="DF19" s="1">
        <f t="shared" si="29"/>
        <v>34.87822036</v>
      </c>
      <c r="DG19" s="1">
        <f t="shared" si="29"/>
        <v>30.986019150000001</v>
      </c>
      <c r="DH19" s="1">
        <f t="shared" si="29"/>
        <v>34.45773063</v>
      </c>
      <c r="DJ19" s="1">
        <f t="shared" si="30"/>
        <v>1.7409876799999999</v>
      </c>
      <c r="DK19" s="1">
        <f t="shared" si="30"/>
        <v>2.0004345900000002</v>
      </c>
      <c r="DL19" s="1">
        <f t="shared" si="30"/>
        <v>1.0022204700000001</v>
      </c>
      <c r="DM19" s="1">
        <f t="shared" si="30"/>
        <v>2.2861269800000001</v>
      </c>
      <c r="DN19" s="1">
        <f t="shared" si="30"/>
        <v>1.06092366</v>
      </c>
      <c r="DO19" s="1">
        <f t="shared" si="30"/>
        <v>0.94273901999999998</v>
      </c>
      <c r="DP19" s="1">
        <f t="shared" si="30"/>
        <v>1.1078551999999999</v>
      </c>
      <c r="DQ19" s="1">
        <f t="shared" si="30"/>
        <v>1.1250931100000001</v>
      </c>
      <c r="DR19" s="1">
        <f t="shared" si="30"/>
        <v>0.74439149999999998</v>
      </c>
      <c r="DS19" s="1">
        <f t="shared" si="30"/>
        <v>1.2444918700000001</v>
      </c>
      <c r="DT19" s="1">
        <f t="shared" si="30"/>
        <v>0.75058031000000003</v>
      </c>
      <c r="DU19" s="1">
        <f t="shared" si="30"/>
        <v>0.8744752400000001</v>
      </c>
      <c r="DV19" s="1">
        <f t="shared" si="30"/>
        <v>0.62052411000000007</v>
      </c>
      <c r="DW19" s="1">
        <f t="shared" si="30"/>
        <v>1.19924761</v>
      </c>
      <c r="DX19" s="1">
        <f t="shared" si="30"/>
        <v>0.86551083000000006</v>
      </c>
      <c r="DY19" s="1">
        <f t="shared" si="30"/>
        <v>0.79831189000000002</v>
      </c>
      <c r="DZ19" s="1">
        <f t="shared" si="31"/>
        <v>1.1318278900000001</v>
      </c>
      <c r="EA19" s="1">
        <f t="shared" si="31"/>
        <v>1.8442369199999997</v>
      </c>
      <c r="EB19" s="1">
        <f t="shared" si="31"/>
        <v>1.0529063700000001</v>
      </c>
      <c r="EC19" s="1">
        <f t="shared" si="31"/>
        <v>2.0286618900000004</v>
      </c>
      <c r="ED19" s="1">
        <f t="shared" si="31"/>
        <v>0.79104531999999994</v>
      </c>
      <c r="EE19" s="1">
        <f t="shared" si="31"/>
        <v>1.6294275100000002</v>
      </c>
      <c r="EF19" s="1">
        <f t="shared" si="31"/>
        <v>1.8725515799999999</v>
      </c>
      <c r="EG19" s="1">
        <f t="shared" si="31"/>
        <v>1.9938344900000002</v>
      </c>
      <c r="EI19" s="14">
        <f t="shared" si="41"/>
        <v>35.950000000000003</v>
      </c>
      <c r="EJ19" s="14">
        <f t="shared" si="41"/>
        <v>35.950000000000003</v>
      </c>
      <c r="EK19" s="1">
        <f t="shared" si="41"/>
        <v>35.950000000000003</v>
      </c>
      <c r="EL19" s="1">
        <f t="shared" si="41"/>
        <v>35.950000000000003</v>
      </c>
      <c r="EM19" s="1">
        <f t="shared" si="41"/>
        <v>35.950000000000003</v>
      </c>
      <c r="EN19" s="1">
        <f t="shared" si="41"/>
        <v>35.950000000000003</v>
      </c>
      <c r="EO19" s="1">
        <f t="shared" si="41"/>
        <v>35.950000000000003</v>
      </c>
      <c r="EP19" s="1">
        <f t="shared" si="41"/>
        <v>35.950000000000003</v>
      </c>
      <c r="EQ19" s="1">
        <f t="shared" si="41"/>
        <v>35.950000000000003</v>
      </c>
      <c r="ER19" s="1">
        <f t="shared" si="41"/>
        <v>35.950000000000003</v>
      </c>
      <c r="ES19" s="1">
        <f t="shared" si="41"/>
        <v>35.950000000000003</v>
      </c>
      <c r="ET19" s="1">
        <f t="shared" si="41"/>
        <v>35.950000000000003</v>
      </c>
      <c r="EU19" s="1">
        <f t="shared" si="41"/>
        <v>35.950000000000003</v>
      </c>
      <c r="EV19" s="1">
        <f t="shared" si="41"/>
        <v>35.950000000000003</v>
      </c>
      <c r="EW19" s="1">
        <f t="shared" si="41"/>
        <v>35.950000000000003</v>
      </c>
      <c r="EX19" s="1">
        <f t="shared" si="41"/>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F19" s="1">
        <f t="shared" si="33"/>
        <v>35.950000000000003</v>
      </c>
      <c r="FH19" s="162">
        <f t="shared" si="34"/>
        <v>-0.1043142901347025</v>
      </c>
    </row>
    <row r="20" spans="1:164" ht="17.399999999999999" customHeight="1">
      <c r="A20" s="263" t="s">
        <v>218</v>
      </c>
      <c r="B20" s="246"/>
      <c r="C20" s="156">
        <f t="shared" si="5"/>
        <v>0</v>
      </c>
      <c r="D20" s="198">
        <v>-1</v>
      </c>
      <c r="E20" s="248">
        <f t="shared" si="6"/>
        <v>-3.8832550461833426E-2</v>
      </c>
      <c r="F20" s="249">
        <f t="shared" si="7"/>
        <v>-6.4654346077507974E-2</v>
      </c>
      <c r="G20" s="248">
        <f t="shared" si="8"/>
        <v>2.3990358675321177E-2</v>
      </c>
      <c r="H20" s="249">
        <f t="shared" si="9"/>
        <v>-6.2822909137154603E-2</v>
      </c>
      <c r="I20" s="248">
        <f t="shared" si="10"/>
        <v>0.54714073596498936</v>
      </c>
      <c r="J20" s="249">
        <f t="shared" si="11"/>
        <v>0.22363505202909684</v>
      </c>
      <c r="K20" s="248">
        <f t="shared" si="12"/>
        <v>0.45511185235571738</v>
      </c>
      <c r="L20" s="249">
        <f t="shared" si="13"/>
        <v>9.2028883609271972E-2</v>
      </c>
      <c r="M20" s="250"/>
      <c r="N20" s="24">
        <v>-1</v>
      </c>
      <c r="O20" s="248">
        <f t="shared" si="35"/>
        <v>0</v>
      </c>
      <c r="P20" s="251">
        <f t="shared" si="36"/>
        <v>0</v>
      </c>
      <c r="Q20" s="248">
        <f t="shared" si="14"/>
        <v>-2.6292245943395409E-2</v>
      </c>
      <c r="R20" s="251">
        <f t="shared" si="37"/>
        <v>-2.6292245943395409E-2</v>
      </c>
      <c r="S20" s="250"/>
      <c r="T20" s="24">
        <v>2</v>
      </c>
      <c r="U20" s="248">
        <f t="shared" si="15"/>
        <v>6.2182287381585377E-2</v>
      </c>
      <c r="V20" s="252">
        <f t="shared" si="16"/>
        <v>6.2182287381585377E-2</v>
      </c>
      <c r="W20" s="248">
        <f t="shared" si="38"/>
        <v>1.5227337860372074</v>
      </c>
      <c r="X20" s="252">
        <f t="shared" si="17"/>
        <v>1.5227337860372074</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VLOOKUP($A20,historia!$A$5:$DD$24,+HLOOKUP(AP$2,historia!$A$3:$EC$4,2,FALSE),FALSE)</f>
        <v>4</v>
      </c>
      <c r="AQ20" s="28">
        <f>VLOOKUP($A20,historia!$A$5:$DD$24,+HLOOKUP(AQ$2,historia!$A$3:$EC$4,2,FALSE),FALSE)</f>
        <v>3</v>
      </c>
      <c r="AR20" s="28">
        <f>VLOOKUP($A20,historia!$A$5:$DD$24,+HLOOKUP(AR$2,historia!$A$3:$EC$4,2,FALSE),FALSE)</f>
        <v>2</v>
      </c>
      <c r="AS20" s="28">
        <f>VLOOKUP($A20,historia!$A$5:$DD$24,+HLOOKUP(AS$2,historia!$A$3:$EC$4,2,FALSE),FALSE)</f>
        <v>2</v>
      </c>
      <c r="AT20" s="58">
        <f>VLOOKUP($A20,historia!$A$5:$DD$24,+HLOOKUP(AT$2,historia!$A$3:$EC$4,2,FALSE),FALSE)</f>
        <v>3</v>
      </c>
      <c r="AU20" s="58">
        <f>VLOOKUP($A20,historia!$A$5:$DD$24,+HLOOKUP(AU$2,historia!$A$3:$EC$4,2,FALSE),FALSE)</f>
        <v>3</v>
      </c>
      <c r="AV20" s="58">
        <f>VLOOKUP($A20,historia!$A$5:$DD$24,+HLOOKUP(AV$2,historia!$A$3:$EC$4,2,FALSE),FALSE)</f>
        <v>3</v>
      </c>
      <c r="AW20" s="58">
        <f>VLOOKUP($A20,historia!$A$5:$DD$24,+HLOOKUP(AW$2,historia!$A$3:$EC$4,2,FALSE),FALSE)</f>
        <v>3</v>
      </c>
      <c r="AX20" s="58">
        <f>VLOOKUP($A20,historia!$A$5:$DD$24,+HLOOKUP(AX$2,historia!$A$3:$EC$4,2,FALSE),FALSE)</f>
        <v>3</v>
      </c>
      <c r="AY20" s="58">
        <f>VLOOKUP($A20,historia!$A$5:$DD$24,+HLOOKUP(AY$2,historia!$A$3:$EC$4,2,FALSE),FALSE)</f>
        <v>3</v>
      </c>
      <c r="AZ20" s="58">
        <f>VLOOKUP($A20,historia!$A$5:$DD$24,+HLOOKUP(AZ$2,historia!$A$3:$EC$4,2,FALSE),FALSE)</f>
        <v>3</v>
      </c>
      <c r="BA20" s="58">
        <f>VLOOKUP($A20,historia!$A$5:$DG$24,+HLOOKUP(BA$2,historia!$A$3:$EC$4,2,FALSE),FALSE)</f>
        <v>3</v>
      </c>
      <c r="BB20" s="58"/>
      <c r="BC20" s="286">
        <v>3</v>
      </c>
      <c r="BD20" t="str">
        <f t="shared" si="20"/>
        <v>Peras y Manzanas</v>
      </c>
      <c r="BE20">
        <f>+datos!AP1</f>
        <v>42</v>
      </c>
      <c r="BF20" s="2" t="str">
        <f t="shared" si="4"/>
        <v>$/caja 18kg</v>
      </c>
      <c r="BG20" s="2">
        <f t="shared" si="4"/>
        <v>22228.666666666668</v>
      </c>
      <c r="BH20" s="2">
        <f t="shared" si="4"/>
        <v>23126.736842105263</v>
      </c>
      <c r="BI20" s="2">
        <f t="shared" si="4"/>
        <v>14367.578947368422</v>
      </c>
      <c r="BK20" s="1">
        <f>+datos!FC1</f>
        <v>159</v>
      </c>
      <c r="BL20" s="1">
        <f t="shared" si="21"/>
        <v>38084</v>
      </c>
      <c r="BM20" s="1">
        <f t="shared" si="21"/>
        <v>38084</v>
      </c>
      <c r="BO20" s="1">
        <f>+datos!GW1</f>
        <v>205</v>
      </c>
      <c r="BP20" s="1">
        <f t="shared" si="22"/>
        <v>754235</v>
      </c>
      <c r="BQ20" s="1">
        <f t="shared" si="22"/>
        <v>774601</v>
      </c>
      <c r="BS20" s="1">
        <f>+datos!LS1</f>
        <v>331</v>
      </c>
      <c r="BT20" s="1">
        <f t="shared" si="39"/>
        <v>444.26106978000007</v>
      </c>
      <c r="BU20" s="1">
        <f t="shared" si="40"/>
        <v>418.25313325000002</v>
      </c>
      <c r="BW20" s="1">
        <f>+datos!LW1</f>
        <v>335</v>
      </c>
      <c r="BX20" s="2">
        <f t="shared" si="23"/>
        <v>7.5177009200000002</v>
      </c>
      <c r="BY20" s="2">
        <f t="shared" si="24"/>
        <v>2.9799818600000001</v>
      </c>
      <c r="CA20" s="1">
        <f>+datos!JC1</f>
        <v>263</v>
      </c>
      <c r="CB20" s="1">
        <f t="shared" si="25"/>
        <v>0</v>
      </c>
      <c r="CC20" s="1">
        <f t="shared" si="26"/>
        <v>0</v>
      </c>
      <c r="CD20" s="1"/>
      <c r="CE20">
        <f>+datos!CS1</f>
        <v>97</v>
      </c>
      <c r="CF20" s="2">
        <f t="shared" si="27"/>
        <v>14457.613338413057</v>
      </c>
      <c r="CG20" s="2">
        <f t="shared" si="27"/>
        <v>14118.895960227654</v>
      </c>
      <c r="CH20" s="2">
        <f t="shared" si="27"/>
        <v>9935.7402078797313</v>
      </c>
      <c r="CI20" s="1"/>
      <c r="CK20" s="1">
        <f t="shared" si="28"/>
        <v>51.060120500000004</v>
      </c>
      <c r="CL20" s="1">
        <f t="shared" si="28"/>
        <v>56.719456929999993</v>
      </c>
      <c r="CM20" s="1">
        <f t="shared" si="28"/>
        <v>49.534875409999998</v>
      </c>
      <c r="CN20" s="1">
        <f t="shared" si="28"/>
        <v>25.805604299999995</v>
      </c>
      <c r="CO20" s="1">
        <f t="shared" si="28"/>
        <v>14.27210653</v>
      </c>
      <c r="CP20" s="1">
        <f t="shared" si="28"/>
        <v>20.571055439999999</v>
      </c>
      <c r="CQ20" s="1">
        <f t="shared" si="28"/>
        <v>24.907231830000001</v>
      </c>
      <c r="CR20" s="1">
        <f t="shared" si="28"/>
        <v>41.046257050000001</v>
      </c>
      <c r="CS20" s="1">
        <f t="shared" si="28"/>
        <v>31.183989080000003</v>
      </c>
      <c r="CT20" s="1">
        <f t="shared" si="28"/>
        <v>31.314835450000004</v>
      </c>
      <c r="CU20" s="1">
        <f t="shared" si="28"/>
        <v>42.986147830000007</v>
      </c>
      <c r="CV20" s="1">
        <f t="shared" si="28"/>
        <v>54.859389430000007</v>
      </c>
      <c r="CW20" s="1">
        <f t="shared" si="28"/>
        <v>51.150985829999996</v>
      </c>
      <c r="CX20" s="1">
        <f t="shared" si="28"/>
        <v>59.173949850000007</v>
      </c>
      <c r="CY20" s="1">
        <f t="shared" si="28"/>
        <v>46.396857000000011</v>
      </c>
      <c r="CZ20" s="1">
        <f t="shared" si="28"/>
        <v>23.934850630000003</v>
      </c>
      <c r="DA20" s="1">
        <f t="shared" si="29"/>
        <v>23.934850630000003</v>
      </c>
      <c r="DB20" s="1">
        <f t="shared" si="29"/>
        <v>23.934850630000003</v>
      </c>
      <c r="DC20" s="1">
        <f t="shared" si="29"/>
        <v>25.188374430000003</v>
      </c>
      <c r="DD20" s="1">
        <f t="shared" si="29"/>
        <v>22.303018159999997</v>
      </c>
      <c r="DE20" s="1">
        <f t="shared" si="29"/>
        <v>14.93334776</v>
      </c>
      <c r="DF20" s="1">
        <f t="shared" si="29"/>
        <v>35.336569390000001</v>
      </c>
      <c r="DG20" s="1">
        <f t="shared" si="29"/>
        <v>46.662709379999995</v>
      </c>
      <c r="DH20" s="1">
        <f t="shared" si="29"/>
        <v>45.302769560000002</v>
      </c>
      <c r="DJ20" s="1">
        <f t="shared" si="30"/>
        <v>1.4505186299999999</v>
      </c>
      <c r="DK20" s="1">
        <f t="shared" si="30"/>
        <v>0.59532569999999996</v>
      </c>
      <c r="DL20" s="1">
        <f t="shared" si="30"/>
        <v>0.31596546000000003</v>
      </c>
      <c r="DM20" s="1">
        <f t="shared" si="30"/>
        <v>5.1857800000000009E-3</v>
      </c>
      <c r="DN20" s="1">
        <f t="shared" si="30"/>
        <v>0.39547034999999997</v>
      </c>
      <c r="DO20" s="1">
        <f t="shared" si="30"/>
        <v>0.54650961999999992</v>
      </c>
      <c r="DP20" s="1">
        <f t="shared" si="30"/>
        <v>0.19315473</v>
      </c>
      <c r="DQ20" s="1">
        <f t="shared" si="30"/>
        <v>0.43976497000000003</v>
      </c>
      <c r="DR20" s="1">
        <f t="shared" si="30"/>
        <v>0.72520266</v>
      </c>
      <c r="DS20" s="1">
        <f t="shared" si="30"/>
        <v>1.1922353400000001</v>
      </c>
      <c r="DT20" s="1">
        <f t="shared" si="30"/>
        <v>1.0915780799999999</v>
      </c>
      <c r="DU20" s="1">
        <f t="shared" si="30"/>
        <v>0.5667896</v>
      </c>
      <c r="DV20" s="1">
        <f t="shared" si="30"/>
        <v>0.43323378000000001</v>
      </c>
      <c r="DW20" s="1">
        <f t="shared" si="30"/>
        <v>0.20107160000000002</v>
      </c>
      <c r="DX20" s="1">
        <f t="shared" si="30"/>
        <v>4.7323499999999998E-2</v>
      </c>
      <c r="DY20" s="1">
        <f t="shared" si="30"/>
        <v>0.18245199000000001</v>
      </c>
      <c r="DZ20" s="1">
        <f t="shared" si="31"/>
        <v>6.8745290000000001E-2</v>
      </c>
      <c r="EA20" s="1">
        <f t="shared" si="31"/>
        <v>0.21798748000000001</v>
      </c>
      <c r="EB20" s="1">
        <f t="shared" si="31"/>
        <v>7.9820000000000002E-2</v>
      </c>
      <c r="EC20" s="1">
        <f t="shared" si="31"/>
        <v>0.14837025000000001</v>
      </c>
      <c r="ED20" s="1">
        <f t="shared" si="31"/>
        <v>0.3865221499999999</v>
      </c>
      <c r="EE20" s="1">
        <f t="shared" si="31"/>
        <v>0.51794252000000007</v>
      </c>
      <c r="EF20" s="1">
        <f t="shared" si="31"/>
        <v>0.37362660000000003</v>
      </c>
      <c r="EG20" s="1">
        <f t="shared" si="31"/>
        <v>0.32288670000000003</v>
      </c>
      <c r="EI20" s="14">
        <f t="shared" si="41"/>
        <v>0</v>
      </c>
      <c r="EJ20" s="14">
        <f t="shared" si="41"/>
        <v>0</v>
      </c>
      <c r="EK20" s="1">
        <f t="shared" si="41"/>
        <v>0</v>
      </c>
      <c r="EL20" s="1">
        <f t="shared" si="41"/>
        <v>0</v>
      </c>
      <c r="EM20" s="1">
        <f t="shared" si="41"/>
        <v>0</v>
      </c>
      <c r="EN20" s="1">
        <f t="shared" si="41"/>
        <v>0</v>
      </c>
      <c r="EO20" s="1">
        <f t="shared" si="41"/>
        <v>0</v>
      </c>
      <c r="EP20" s="1">
        <f t="shared" si="41"/>
        <v>0</v>
      </c>
      <c r="EQ20" s="1">
        <f t="shared" si="41"/>
        <v>0</v>
      </c>
      <c r="ER20" s="1">
        <f t="shared" si="41"/>
        <v>0</v>
      </c>
      <c r="ES20" s="1">
        <f t="shared" si="41"/>
        <v>0</v>
      </c>
      <c r="ET20" s="1">
        <f t="shared" si="41"/>
        <v>0</v>
      </c>
      <c r="EU20" s="1">
        <f t="shared" si="41"/>
        <v>0</v>
      </c>
      <c r="EV20" s="1">
        <f t="shared" si="41"/>
        <v>0</v>
      </c>
      <c r="EW20" s="1">
        <f t="shared" si="41"/>
        <v>0</v>
      </c>
      <c r="EX20" s="1">
        <f t="shared" si="41"/>
        <v>0</v>
      </c>
      <c r="EY20" s="1">
        <f t="shared" si="33"/>
        <v>0</v>
      </c>
      <c r="EZ20" s="1">
        <f t="shared" si="33"/>
        <v>0</v>
      </c>
      <c r="FA20" s="1">
        <f t="shared" si="33"/>
        <v>0</v>
      </c>
      <c r="FB20" s="1">
        <f t="shared" si="33"/>
        <v>0</v>
      </c>
      <c r="FC20" s="1">
        <f t="shared" si="33"/>
        <v>0</v>
      </c>
      <c r="FD20" s="1">
        <f t="shared" si="33"/>
        <v>0</v>
      </c>
      <c r="FE20" s="1">
        <f t="shared" si="33"/>
        <v>0</v>
      </c>
      <c r="FF20" s="1">
        <f t="shared" si="33"/>
        <v>0</v>
      </c>
      <c r="FH20" s="162">
        <f t="shared" si="34"/>
        <v>9.2028883609271972E-2</v>
      </c>
    </row>
    <row r="21" spans="1:164" ht="18" customHeight="1">
      <c r="A21" s="244" t="s">
        <v>121</v>
      </c>
      <c r="B21" s="247"/>
      <c r="C21" s="228">
        <f t="shared" si="5"/>
        <v>0</v>
      </c>
      <c r="D21" s="229">
        <v>-2</v>
      </c>
      <c r="E21" s="253">
        <f t="shared" si="6"/>
        <v>1.0532761788120126E-3</v>
      </c>
      <c r="F21" s="254">
        <f t="shared" si="7"/>
        <v>-2.4768519436862535E-2</v>
      </c>
      <c r="G21" s="253">
        <f t="shared" si="8"/>
        <v>1.3030246130828482E-2</v>
      </c>
      <c r="H21" s="254">
        <f t="shared" si="9"/>
        <v>-1.197696995201647E-2</v>
      </c>
      <c r="I21" s="253">
        <f t="shared" si="10"/>
        <v>0.24505396614944797</v>
      </c>
      <c r="J21" s="254">
        <f t="shared" si="11"/>
        <v>-7.8451717786444553E-2</v>
      </c>
      <c r="K21" s="253">
        <f t="shared" si="12"/>
        <v>0.24216883297934677</v>
      </c>
      <c r="L21" s="254">
        <f t="shared" si="13"/>
        <v>2.8851331701011951E-3</v>
      </c>
      <c r="M21" s="255"/>
      <c r="N21" s="256">
        <v>1</v>
      </c>
      <c r="O21" s="253">
        <f t="shared" si="35"/>
        <v>-0.10030231581731985</v>
      </c>
      <c r="P21" s="257">
        <f t="shared" si="36"/>
        <v>-0.10030231581731985</v>
      </c>
      <c r="Q21" s="253">
        <f t="shared" si="14"/>
        <v>7.0440149670128349E-2</v>
      </c>
      <c r="R21" s="257">
        <f t="shared" si="37"/>
        <v>7.0440149670128349E-2</v>
      </c>
      <c r="S21" s="255"/>
      <c r="T21" s="256">
        <v>1</v>
      </c>
      <c r="U21" s="253">
        <f t="shared" si="15"/>
        <v>0.24391831970378552</v>
      </c>
      <c r="V21" s="258">
        <f t="shared" si="16"/>
        <v>0.24391831970378552</v>
      </c>
      <c r="W21" s="253">
        <f t="shared" si="38"/>
        <v>0.35622788809765282</v>
      </c>
      <c r="X21" s="258">
        <f t="shared" si="17"/>
        <v>0.35622788809765282</v>
      </c>
      <c r="Y21" s="253">
        <f t="shared" si="18"/>
        <v>8.5603112840467066E-2</v>
      </c>
      <c r="Z21" s="258">
        <f t="shared" si="19"/>
        <v>8.5603112840467066E-2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VLOOKUP($A21,historia!$A$5:$DD$24,+HLOOKUP(AP$2,historia!$A$3:$EC$4,2,FALSE),FALSE)</f>
        <v>2</v>
      </c>
      <c r="AQ21" s="28">
        <f>VLOOKUP($A21,historia!$A$5:$DD$24,+HLOOKUP(AQ$2,historia!$A$3:$EC$4,2,FALSE),FALSE)</f>
        <v>1</v>
      </c>
      <c r="AR21" s="28">
        <f>VLOOKUP($A21,historia!$A$5:$DD$24,+HLOOKUP(AR$2,historia!$A$3:$EC$4,2,FALSE),FALSE)</f>
        <v>1</v>
      </c>
      <c r="AS21" s="28">
        <f>VLOOKUP($A21,historia!$A$5:$DD$24,+HLOOKUP(AS$2,historia!$A$3:$EC$4,2,FALSE),FALSE)</f>
        <v>2</v>
      </c>
      <c r="AT21" s="58">
        <f>VLOOKUP($A21,historia!$A$5:$DD$24,+HLOOKUP(AT$2,historia!$A$3:$EC$4,2,FALSE),FALSE)</f>
        <v>2</v>
      </c>
      <c r="AU21" s="58">
        <f>VLOOKUP($A21,historia!$A$5:$DD$24,+HLOOKUP(AU$2,historia!$A$3:$EC$4,2,FALSE),FALSE)</f>
        <v>2</v>
      </c>
      <c r="AV21" s="58">
        <f>VLOOKUP($A21,historia!$A$5:$DD$24,+HLOOKUP(AV$2,historia!$A$3:$EC$4,2,FALSE),FALSE)</f>
        <v>2</v>
      </c>
      <c r="AW21" s="58">
        <f>VLOOKUP($A21,historia!$A$5:$DD$24,+HLOOKUP(AW$2,historia!$A$3:$EC$4,2,FALSE),FALSE)</f>
        <v>3</v>
      </c>
      <c r="AX21" s="58">
        <f>VLOOKUP($A21,historia!$A$5:$DD$24,+HLOOKUP(AX$2,historia!$A$3:$EC$4,2,FALSE),FALSE)</f>
        <v>3</v>
      </c>
      <c r="AY21" s="58">
        <f>VLOOKUP($A21,historia!$A$5:$DD$24,+HLOOKUP(AY$2,historia!$A$3:$EC$4,2,FALSE),FALSE)</f>
        <v>3</v>
      </c>
      <c r="AZ21" s="58">
        <f>VLOOKUP($A21,historia!$A$5:$DD$24,+HLOOKUP(AZ$2,historia!$A$3:$EC$4,2,FALSE),FALSE)</f>
        <v>3</v>
      </c>
      <c r="BA21" s="58">
        <f>VLOOKUP($A21,historia!$A$5:$DG$24,+HLOOKUP(BA$2,historia!$A$3:$EC$4,2,FALSE),FALSE)</f>
        <v>3</v>
      </c>
      <c r="BB21" s="58"/>
      <c r="BC21" s="286">
        <v>3</v>
      </c>
      <c r="BD21" t="str">
        <f t="shared" si="20"/>
        <v>Porcinos</v>
      </c>
      <c r="BE21">
        <f>+datos!BR1</f>
        <v>70</v>
      </c>
      <c r="BF21" s="2" t="str">
        <f t="shared" si="4"/>
        <v>$/kg</v>
      </c>
      <c r="BG21" s="2">
        <f t="shared" si="4"/>
        <v>2043.4</v>
      </c>
      <c r="BH21" s="2">
        <f t="shared" si="4"/>
        <v>2041.25</v>
      </c>
      <c r="BI21" s="2">
        <f t="shared" si="4"/>
        <v>1641.2139999999999</v>
      </c>
      <c r="BK21" s="1">
        <f>+datos!EJ1</f>
        <v>140</v>
      </c>
      <c r="BL21" s="1">
        <f t="shared" si="21"/>
        <v>5387190</v>
      </c>
      <c r="BM21" s="1">
        <f t="shared" si="21"/>
        <v>5987778</v>
      </c>
      <c r="BO21" s="1">
        <f>+datos!HE1</f>
        <v>213</v>
      </c>
      <c r="BP21" s="1">
        <f t="shared" si="22"/>
        <v>845652</v>
      </c>
      <c r="BQ21" s="1">
        <f t="shared" si="22"/>
        <v>790004</v>
      </c>
      <c r="BS21" s="1">
        <f>+datos!KJ1</f>
        <v>296</v>
      </c>
      <c r="BT21" s="1">
        <f t="shared" si="39"/>
        <v>35.292255570000002</v>
      </c>
      <c r="BU21" s="1">
        <f t="shared" si="40"/>
        <v>28.371843239999997</v>
      </c>
      <c r="BW21" s="1">
        <f>+datos!LO1</f>
        <v>327</v>
      </c>
      <c r="BX21" s="2">
        <f t="shared" si="23"/>
        <v>160.84223761999999</v>
      </c>
      <c r="BY21" s="2">
        <f t="shared" si="24"/>
        <v>118.59528846999999</v>
      </c>
      <c r="CA21" s="1">
        <f>+datos!IO1</f>
        <v>249</v>
      </c>
      <c r="CB21" s="2">
        <f t="shared" si="25"/>
        <v>19.53</v>
      </c>
      <c r="CC21" s="2">
        <f t="shared" si="26"/>
        <v>17.989999999999998</v>
      </c>
      <c r="CD21" s="2">
        <f>CB21-CC21</f>
        <v>1.5400000000000027</v>
      </c>
      <c r="CE21">
        <f>+datos!DD1</f>
        <v>108</v>
      </c>
      <c r="CF21" s="2">
        <f t="shared" si="27"/>
        <v>13514.983293441663</v>
      </c>
      <c r="CG21" s="2">
        <f t="shared" si="27"/>
        <v>13341.144891834019</v>
      </c>
      <c r="CH21" s="2">
        <f t="shared" si="27"/>
        <v>10880.150052570489</v>
      </c>
      <c r="CI21" s="2"/>
      <c r="CK21" s="1">
        <f t="shared" si="28"/>
        <v>3.3258325500000003</v>
      </c>
      <c r="CL21" s="1">
        <f t="shared" si="28"/>
        <v>3.2559529299999999</v>
      </c>
      <c r="CM21" s="1">
        <f t="shared" si="28"/>
        <v>2.83989907</v>
      </c>
      <c r="CN21" s="1">
        <f t="shared" si="28"/>
        <v>3.9903958900000003</v>
      </c>
      <c r="CO21" s="1">
        <f t="shared" si="28"/>
        <v>3.0562051500000003</v>
      </c>
      <c r="CP21" s="1">
        <f t="shared" si="28"/>
        <v>3.17480787</v>
      </c>
      <c r="CQ21" s="1">
        <f t="shared" si="28"/>
        <v>3.9252467499999995</v>
      </c>
      <c r="CR21" s="1">
        <f t="shared" si="28"/>
        <v>2.8298719000000001</v>
      </c>
      <c r="CS21" s="1">
        <f t="shared" si="28"/>
        <v>2.08934314</v>
      </c>
      <c r="CT21" s="1">
        <f t="shared" si="28"/>
        <v>2.1371287799999998</v>
      </c>
      <c r="CU21" s="1">
        <f t="shared" si="28"/>
        <v>2.3754365900000001</v>
      </c>
      <c r="CV21" s="1">
        <f t="shared" si="28"/>
        <v>2.2921349499999994</v>
      </c>
      <c r="CW21" s="1">
        <f t="shared" si="28"/>
        <v>1.76811707</v>
      </c>
      <c r="CX21" s="1">
        <f t="shared" si="28"/>
        <v>1.0764735399999998</v>
      </c>
      <c r="CY21" s="1">
        <f t="shared" si="28"/>
        <v>3.87511991</v>
      </c>
      <c r="CZ21" s="1">
        <f t="shared" si="28"/>
        <v>1.4111442899999997</v>
      </c>
      <c r="DA21" s="1">
        <f t="shared" si="29"/>
        <v>1.9463367499999997</v>
      </c>
      <c r="DB21" s="1">
        <f t="shared" si="29"/>
        <v>1.6096260199999999</v>
      </c>
      <c r="DC21" s="1">
        <f t="shared" si="29"/>
        <v>3.1723580499999997</v>
      </c>
      <c r="DD21" s="1">
        <f t="shared" si="29"/>
        <v>2.1279038099999998</v>
      </c>
      <c r="DE21" s="1">
        <f t="shared" si="29"/>
        <v>2.3778769799999995</v>
      </c>
      <c r="DF21" s="1">
        <f t="shared" si="29"/>
        <v>4.3175895799999999</v>
      </c>
      <c r="DG21" s="1">
        <f t="shared" si="29"/>
        <v>2.7596131099999996</v>
      </c>
      <c r="DH21" s="1">
        <f t="shared" si="29"/>
        <v>1.9296841299999996</v>
      </c>
      <c r="DJ21" s="1">
        <f t="shared" si="30"/>
        <v>18.533270270000003</v>
      </c>
      <c r="DK21" s="1">
        <f t="shared" si="30"/>
        <v>16.162930539999998</v>
      </c>
      <c r="DL21" s="1">
        <f t="shared" si="30"/>
        <v>12.802625309999998</v>
      </c>
      <c r="DM21" s="1">
        <f t="shared" si="30"/>
        <v>9.4713607899999985</v>
      </c>
      <c r="DN21" s="1">
        <f t="shared" si="30"/>
        <v>10.975213970000002</v>
      </c>
      <c r="DO21" s="1">
        <f t="shared" si="30"/>
        <v>10.181194250000003</v>
      </c>
      <c r="DP21" s="1">
        <f t="shared" si="30"/>
        <v>12.329496939999999</v>
      </c>
      <c r="DQ21" s="1">
        <f t="shared" si="30"/>
        <v>13.92452713</v>
      </c>
      <c r="DR21" s="1">
        <f t="shared" si="30"/>
        <v>11.75892646</v>
      </c>
      <c r="DS21" s="1">
        <f t="shared" si="30"/>
        <v>11.837628230000002</v>
      </c>
      <c r="DT21" s="1">
        <f t="shared" si="30"/>
        <v>13.531613630000001</v>
      </c>
      <c r="DU21" s="1">
        <f t="shared" si="30"/>
        <v>19.3334501</v>
      </c>
      <c r="DV21" s="1">
        <f t="shared" si="30"/>
        <v>18.318769970000002</v>
      </c>
      <c r="DW21" s="1">
        <f t="shared" si="30"/>
        <v>14.031594299999998</v>
      </c>
      <c r="DX21" s="1">
        <f t="shared" si="30"/>
        <v>14.447589379999997</v>
      </c>
      <c r="DY21" s="1">
        <f t="shared" ref="DY21:EG24" si="42">+VLOOKUP(DY$1,ran_dat,$BW21,FALSE)</f>
        <v>14.265215759999998</v>
      </c>
      <c r="DZ21" s="1">
        <f t="shared" si="42"/>
        <v>16.354180840000001</v>
      </c>
      <c r="EA21" s="1">
        <f t="shared" si="42"/>
        <v>10.919699229999997</v>
      </c>
      <c r="EB21" s="1">
        <f t="shared" si="42"/>
        <v>10.87912704</v>
      </c>
      <c r="EC21" s="1">
        <f t="shared" si="42"/>
        <v>7.3519509899999989</v>
      </c>
      <c r="ED21" s="1">
        <f t="shared" si="42"/>
        <v>4.9251834299999988</v>
      </c>
      <c r="EE21" s="1">
        <f t="shared" si="42"/>
        <v>2.5935797799999998</v>
      </c>
      <c r="EF21" s="1">
        <f t="shared" si="42"/>
        <v>1.7163214500000001</v>
      </c>
      <c r="EG21" s="1">
        <f t="shared" si="42"/>
        <v>2.7920763000000002</v>
      </c>
      <c r="EI21" s="14">
        <f t="shared" si="41"/>
        <v>19.53</v>
      </c>
      <c r="EJ21" s="14">
        <f t="shared" si="41"/>
        <v>19.43</v>
      </c>
      <c r="EK21" s="1">
        <f t="shared" si="41"/>
        <v>19.100000000000001</v>
      </c>
      <c r="EL21" s="1">
        <f t="shared" si="41"/>
        <v>18.97</v>
      </c>
      <c r="EM21" s="1">
        <f t="shared" si="41"/>
        <v>18.899999999999999</v>
      </c>
      <c r="EN21" s="1">
        <f t="shared" si="41"/>
        <v>18.78</v>
      </c>
      <c r="EO21" s="1">
        <f t="shared" si="41"/>
        <v>18.72</v>
      </c>
      <c r="EP21" s="1">
        <f t="shared" si="41"/>
        <v>18.600000000000001</v>
      </c>
      <c r="EQ21" s="1">
        <f t="shared" si="41"/>
        <v>18.38</v>
      </c>
      <c r="ER21" s="1">
        <f t="shared" si="41"/>
        <v>18.28</v>
      </c>
      <c r="ES21" s="1">
        <f t="shared" si="41"/>
        <v>18.239999999999998</v>
      </c>
      <c r="ET21" s="1">
        <f t="shared" si="41"/>
        <v>18.079999999999998</v>
      </c>
      <c r="EU21" s="1">
        <f t="shared" si="41"/>
        <v>17.989999999999998</v>
      </c>
      <c r="EV21" s="1">
        <f t="shared" si="41"/>
        <v>17.850000000000001</v>
      </c>
      <c r="EW21" s="1">
        <f t="shared" si="41"/>
        <v>17.73</v>
      </c>
      <c r="EX21" s="1">
        <f t="shared" si="41"/>
        <v>17.510000000000002</v>
      </c>
      <c r="EY21" s="1">
        <f t="shared" si="33"/>
        <v>17.13</v>
      </c>
      <c r="EZ21" s="1">
        <f t="shared" si="33"/>
        <v>16.89</v>
      </c>
      <c r="FA21" s="1">
        <f t="shared" si="33"/>
        <v>16.87</v>
      </c>
      <c r="FB21" s="1">
        <f t="shared" si="33"/>
        <v>16.8</v>
      </c>
      <c r="FC21" s="1">
        <f t="shared" si="33"/>
        <v>16.760000000000002</v>
      </c>
      <c r="FD21" s="1">
        <f t="shared" si="33"/>
        <v>16.84</v>
      </c>
      <c r="FE21" s="1">
        <f t="shared" si="33"/>
        <v>16.64</v>
      </c>
      <c r="FF21" s="1">
        <f t="shared" si="33"/>
        <v>16.68</v>
      </c>
      <c r="FH21" s="162">
        <f t="shared" si="34"/>
        <v>2.8851331701011951E-3</v>
      </c>
    </row>
    <row r="22" spans="1:164" ht="18.75" customHeight="1">
      <c r="A22" s="243" t="s">
        <v>75</v>
      </c>
      <c r="B22" s="246"/>
      <c r="C22" s="156">
        <f t="shared" si="5"/>
        <v>0.66</v>
      </c>
      <c r="D22" s="198">
        <v>1</v>
      </c>
      <c r="E22" s="248">
        <f t="shared" si="6"/>
        <v>-6.2729614829349134E-2</v>
      </c>
      <c r="F22" s="249">
        <f t="shared" si="7"/>
        <v>-8.8551410445023682E-2</v>
      </c>
      <c r="G22" s="248">
        <f t="shared" si="8"/>
        <v>2.1956042182545099E-2</v>
      </c>
      <c r="H22" s="249">
        <f t="shared" si="9"/>
        <v>-8.4685657011894233E-2</v>
      </c>
      <c r="I22" s="248">
        <f t="shared" si="10"/>
        <v>0.30015932728479755</v>
      </c>
      <c r="J22" s="249">
        <f t="shared" si="11"/>
        <v>-2.3346356651094968E-2</v>
      </c>
      <c r="K22" s="248">
        <f t="shared" si="12"/>
        <v>0.4059569510663279</v>
      </c>
      <c r="L22" s="249">
        <f t="shared" si="13"/>
        <v>-0.10579762378153035</v>
      </c>
      <c r="M22" s="250"/>
      <c r="N22" s="24">
        <v>0</v>
      </c>
      <c r="O22" s="248">
        <f t="shared" si="35"/>
        <v>0</v>
      </c>
      <c r="P22" s="251">
        <f t="shared" si="36"/>
        <v>0</v>
      </c>
      <c r="Q22" s="248">
        <f t="shared" si="14"/>
        <v>0</v>
      </c>
      <c r="R22" s="251">
        <f t="shared" si="37"/>
        <v>0</v>
      </c>
      <c r="S22" s="250"/>
      <c r="T22" s="24">
        <v>1</v>
      </c>
      <c r="U22" s="248">
        <f t="shared" si="15"/>
        <v>0.64050066454874277</v>
      </c>
      <c r="V22" s="252">
        <f t="shared" si="16"/>
        <v>0.64050066454874277</v>
      </c>
      <c r="W22" s="248">
        <f t="shared" si="38"/>
        <v>-0.236221406726977</v>
      </c>
      <c r="X22" s="252">
        <f t="shared" si="17"/>
        <v>-0.236221406726977</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VLOOKUP($A22,historia!$A$5:$DD$24,+HLOOKUP(AP$2,historia!$A$3:$EC$4,2,FALSE),FALSE)</f>
        <v>3</v>
      </c>
      <c r="AQ22" s="28">
        <f>VLOOKUP($A22,historia!$A$5:$DD$24,+HLOOKUP(AQ$2,historia!$A$3:$EC$4,2,FALSE),FALSE)</f>
        <v>3</v>
      </c>
      <c r="AR22" s="28">
        <f>VLOOKUP($A22,historia!$A$5:$DD$24,+HLOOKUP(AR$2,historia!$A$3:$EC$4,2,FALSE),FALSE)</f>
        <v>3</v>
      </c>
      <c r="AS22" s="28">
        <f>VLOOKUP($A22,historia!$A$5:$DD$24,+HLOOKUP(AS$2,historia!$A$3:$EC$4,2,FALSE),FALSE)</f>
        <v>3</v>
      </c>
      <c r="AT22" s="58">
        <f>VLOOKUP($A22,historia!$A$5:$DD$24,+HLOOKUP(AT$2,historia!$A$3:$EC$4,2,FALSE),FALSE)</f>
        <v>3</v>
      </c>
      <c r="AU22" s="58">
        <f>VLOOKUP($A22,historia!$A$5:$DD$24,+HLOOKUP(AU$2,historia!$A$3:$EC$4,2,FALSE),FALSE)</f>
        <v>3</v>
      </c>
      <c r="AV22" s="58">
        <f>VLOOKUP($A22,historia!$A$5:$DD$24,+HLOOKUP(AV$2,historia!$A$3:$EC$4,2,FALSE),FALSE)</f>
        <v>3</v>
      </c>
      <c r="AW22" s="58">
        <f>VLOOKUP($A22,historia!$A$5:$DD$24,+HLOOKUP(AW$2,historia!$A$3:$EC$4,2,FALSE),FALSE)</f>
        <v>3</v>
      </c>
      <c r="AX22" s="58">
        <f>VLOOKUP($A22,historia!$A$5:$DD$24,+HLOOKUP(AX$2,historia!$A$3:$EC$4,2,FALSE),FALSE)</f>
        <v>3</v>
      </c>
      <c r="AY22" s="58">
        <f>VLOOKUP($A22,historia!$A$5:$DD$24,+HLOOKUP(AY$2,historia!$A$3:$EC$4,2,FALSE),FALSE)</f>
        <v>3</v>
      </c>
      <c r="AZ22" s="58">
        <f>VLOOKUP($A22,historia!$A$5:$DD$24,+HLOOKUP(AZ$2,historia!$A$3:$EC$4,2,FALSE),FALSE)</f>
        <v>3</v>
      </c>
      <c r="BA22" s="58">
        <f>VLOOKUP($A22,historia!$A$5:$DG$24,+HLOOKUP(BA$2,historia!$A$3:$EC$4,2,FALSE),FALSE)</f>
        <v>3</v>
      </c>
      <c r="BB22" s="58"/>
      <c r="BC22" s="286">
        <v>3</v>
      </c>
      <c r="BD22" t="str">
        <f t="shared" si="20"/>
        <v>Tabaco</v>
      </c>
      <c r="BE22">
        <f>+datos!BJ1</f>
        <v>62</v>
      </c>
      <c r="BF22" s="2" t="str">
        <f t="shared" si="4"/>
        <v>$/kg</v>
      </c>
      <c r="BG22" s="2">
        <f t="shared" si="4"/>
        <v>5875.42</v>
      </c>
      <c r="BH22" s="2">
        <f t="shared" si="4"/>
        <v>6268.65</v>
      </c>
      <c r="BI22" s="2">
        <f t="shared" si="4"/>
        <v>4519</v>
      </c>
      <c r="BK22" s="1">
        <f>+datos!FD1</f>
        <v>160</v>
      </c>
      <c r="BL22" s="1">
        <f t="shared" si="21"/>
        <v>60376</v>
      </c>
      <c r="BM22" s="1">
        <f t="shared" si="21"/>
        <v>60376</v>
      </c>
      <c r="BO22" s="1">
        <f>+datos!GX1</f>
        <v>206</v>
      </c>
      <c r="BP22" s="1">
        <f t="shared" si="22"/>
        <v>36041.686000000002</v>
      </c>
      <c r="BQ22" s="1">
        <f t="shared" si="22"/>
        <v>36041.686000000002</v>
      </c>
      <c r="BS22" s="1">
        <f>+datos!KC1</f>
        <v>289</v>
      </c>
      <c r="BT22" s="1">
        <f t="shared" si="39"/>
        <v>718.79967977000001</v>
      </c>
      <c r="BU22" s="1">
        <f t="shared" si="40"/>
        <v>438.15872514000006</v>
      </c>
      <c r="BW22" s="1">
        <f>+datos!LH1</f>
        <v>320</v>
      </c>
      <c r="BX22" s="2">
        <f t="shared" si="23"/>
        <v>45.715100720000002</v>
      </c>
      <c r="BY22" s="2">
        <f t="shared" si="24"/>
        <v>59.85386488000001</v>
      </c>
      <c r="CA22" s="1">
        <f>+datos!JD1</f>
        <v>264</v>
      </c>
      <c r="CB22" s="1">
        <f t="shared" si="25"/>
        <v>0</v>
      </c>
      <c r="CC22" s="1">
        <f t="shared" si="26"/>
        <v>0</v>
      </c>
      <c r="CD22" s="1"/>
      <c r="CE22">
        <f>+datos!DA1</f>
        <v>105</v>
      </c>
      <c r="CF22" s="2">
        <f t="shared" si="27"/>
        <v>14703.566400221947</v>
      </c>
      <c r="CG22" s="2">
        <f t="shared" si="27"/>
        <v>14387.670108413087</v>
      </c>
      <c r="CH22" s="2">
        <f t="shared" si="27"/>
        <v>10458.048796636511</v>
      </c>
      <c r="CI22" s="1"/>
      <c r="CK22" s="1">
        <f t="shared" ref="CK22:CZ24" si="43">+VLOOKUP(CK$1,ran_dat,$BS22,FALSE)</f>
        <v>37.459973120000001</v>
      </c>
      <c r="CL22" s="1">
        <f t="shared" si="43"/>
        <v>10.172513039999997</v>
      </c>
      <c r="CM22" s="1">
        <f t="shared" si="43"/>
        <v>86.187029549999991</v>
      </c>
      <c r="CN22" s="1">
        <f t="shared" si="43"/>
        <v>13.8144042</v>
      </c>
      <c r="CO22" s="1">
        <f t="shared" si="43"/>
        <v>30.603557829999996</v>
      </c>
      <c r="CP22" s="1">
        <f t="shared" si="43"/>
        <v>71.370433359999993</v>
      </c>
      <c r="CQ22" s="1">
        <f t="shared" si="43"/>
        <v>81.464957519999999</v>
      </c>
      <c r="CR22" s="1">
        <f t="shared" si="43"/>
        <v>72.4463358</v>
      </c>
      <c r="CS22" s="1">
        <f t="shared" si="43"/>
        <v>45.834687599999995</v>
      </c>
      <c r="CT22" s="1">
        <f t="shared" si="43"/>
        <v>54.830270300000002</v>
      </c>
      <c r="CU22" s="1">
        <f t="shared" si="43"/>
        <v>93.57534471000001</v>
      </c>
      <c r="CV22" s="1">
        <f t="shared" si="43"/>
        <v>121.04017274</v>
      </c>
      <c r="CW22" s="1">
        <f t="shared" si="43"/>
        <v>27.891120319999999</v>
      </c>
      <c r="CX22" s="1">
        <f t="shared" si="43"/>
        <v>5.5120895000000001</v>
      </c>
      <c r="CY22" s="1">
        <f t="shared" si="43"/>
        <v>9.7228914799999995</v>
      </c>
      <c r="CZ22" s="1">
        <f t="shared" si="43"/>
        <v>6.2035308000000002</v>
      </c>
      <c r="DA22" s="1">
        <f t="shared" ref="DA22:DH24" si="44">+VLOOKUP(DA$1,ran_dat,$BS22,FALSE)</f>
        <v>65.18720725</v>
      </c>
      <c r="DB22" s="1">
        <f t="shared" si="44"/>
        <v>34.962073999999994</v>
      </c>
      <c r="DC22" s="1">
        <f t="shared" si="44"/>
        <v>41.640055749999995</v>
      </c>
      <c r="DD22" s="1">
        <f t="shared" si="44"/>
        <v>54.488227269999996</v>
      </c>
      <c r="DE22" s="1">
        <f t="shared" si="44"/>
        <v>45.888815350000002</v>
      </c>
      <c r="DF22" s="1">
        <f t="shared" si="44"/>
        <v>56.365947810000002</v>
      </c>
      <c r="DG22" s="1">
        <f t="shared" si="44"/>
        <v>58.671597329999997</v>
      </c>
      <c r="DH22" s="1">
        <f t="shared" si="44"/>
        <v>31.625168280000004</v>
      </c>
      <c r="DJ22" s="1">
        <f t="shared" ref="DJ22:DY24" si="45">+VLOOKUP(DJ$1,ran_dat,$BW22,FALSE)</f>
        <v>5.1064074300000009</v>
      </c>
      <c r="DK22" s="1">
        <f t="shared" si="45"/>
        <v>3.8621701900000001</v>
      </c>
      <c r="DL22" s="1">
        <f t="shared" si="45"/>
        <v>4.1810604400000004</v>
      </c>
      <c r="DM22" s="1">
        <f t="shared" si="45"/>
        <v>2.54586113</v>
      </c>
      <c r="DN22" s="1">
        <f t="shared" si="45"/>
        <v>3.7941515599999995</v>
      </c>
      <c r="DO22" s="1">
        <f t="shared" si="45"/>
        <v>4.1345480800000001</v>
      </c>
      <c r="DP22" s="1">
        <f t="shared" si="45"/>
        <v>4.4276183800000002</v>
      </c>
      <c r="DQ22" s="1">
        <f t="shared" si="45"/>
        <v>4.1999923900000002</v>
      </c>
      <c r="DR22" s="1">
        <f t="shared" si="45"/>
        <v>3.4339864000000002</v>
      </c>
      <c r="DS22" s="1">
        <f t="shared" si="45"/>
        <v>2.5223350999999994</v>
      </c>
      <c r="DT22" s="1">
        <f t="shared" si="45"/>
        <v>3.5013919399999995</v>
      </c>
      <c r="DU22" s="1">
        <f t="shared" si="45"/>
        <v>4.00557768</v>
      </c>
      <c r="DV22" s="1">
        <f t="shared" si="45"/>
        <v>5.1774083700000002</v>
      </c>
      <c r="DW22" s="1">
        <f t="shared" si="45"/>
        <v>5.7823087099999997</v>
      </c>
      <c r="DX22" s="1">
        <f t="shared" si="45"/>
        <v>5.6310443999999995</v>
      </c>
      <c r="DY22" s="1">
        <f t="shared" si="45"/>
        <v>4.1108512499999996</v>
      </c>
      <c r="DZ22" s="1">
        <f t="shared" si="42"/>
        <v>6.9241559000000006</v>
      </c>
      <c r="EA22" s="1">
        <f t="shared" si="42"/>
        <v>4.9762964800000002</v>
      </c>
      <c r="EB22" s="1">
        <f t="shared" si="42"/>
        <v>5.7062324599999998</v>
      </c>
      <c r="EC22" s="1">
        <f t="shared" si="42"/>
        <v>5.3893107900000006</v>
      </c>
      <c r="ED22" s="1">
        <f t="shared" si="42"/>
        <v>5.0602291599999996</v>
      </c>
      <c r="EE22" s="1">
        <f t="shared" si="42"/>
        <v>1.1636776099999999</v>
      </c>
      <c r="EF22" s="1">
        <f t="shared" si="42"/>
        <v>4.3331795800000004</v>
      </c>
      <c r="EG22" s="1">
        <f t="shared" si="42"/>
        <v>5.5991701699999998</v>
      </c>
      <c r="EI22" s="14">
        <f t="shared" si="41"/>
        <v>0</v>
      </c>
      <c r="EJ22" s="14">
        <f t="shared" si="41"/>
        <v>0</v>
      </c>
      <c r="EK22" s="1">
        <f t="shared" si="41"/>
        <v>0</v>
      </c>
      <c r="EL22" s="1">
        <f t="shared" si="41"/>
        <v>0</v>
      </c>
      <c r="EM22" s="1">
        <f t="shared" si="41"/>
        <v>0</v>
      </c>
      <c r="EN22" s="1">
        <f t="shared" si="41"/>
        <v>0</v>
      </c>
      <c r="EO22" s="1">
        <f t="shared" si="41"/>
        <v>0</v>
      </c>
      <c r="EP22" s="1">
        <f t="shared" si="41"/>
        <v>0</v>
      </c>
      <c r="EQ22" s="1">
        <f t="shared" si="41"/>
        <v>0</v>
      </c>
      <c r="ER22" s="1">
        <f t="shared" si="41"/>
        <v>0</v>
      </c>
      <c r="ES22" s="1">
        <f t="shared" si="41"/>
        <v>0</v>
      </c>
      <c r="ET22" s="1">
        <f t="shared" si="41"/>
        <v>0</v>
      </c>
      <c r="EU22" s="1">
        <f t="shared" si="41"/>
        <v>0</v>
      </c>
      <c r="EV22" s="1">
        <f t="shared" si="41"/>
        <v>0</v>
      </c>
      <c r="EW22" s="1">
        <f t="shared" si="41"/>
        <v>0</v>
      </c>
      <c r="EX22" s="1">
        <f t="shared" ref="EX22:FF24" si="46">+VLOOKUP(EX$1,ran_dat,$CA22,FALSE)</f>
        <v>0</v>
      </c>
      <c r="EY22" s="1">
        <f t="shared" si="46"/>
        <v>0</v>
      </c>
      <c r="EZ22" s="1">
        <f t="shared" si="46"/>
        <v>0</v>
      </c>
      <c r="FA22" s="1">
        <f t="shared" si="46"/>
        <v>0</v>
      </c>
      <c r="FB22" s="1">
        <f t="shared" si="46"/>
        <v>0</v>
      </c>
      <c r="FC22" s="1">
        <f t="shared" si="46"/>
        <v>0</v>
      </c>
      <c r="FD22" s="1">
        <f t="shared" si="46"/>
        <v>0</v>
      </c>
      <c r="FE22" s="1">
        <f t="shared" si="46"/>
        <v>0</v>
      </c>
      <c r="FF22" s="1">
        <f t="shared" si="46"/>
        <v>0</v>
      </c>
      <c r="FH22" s="162">
        <f t="shared" si="34"/>
        <v>-0.10579762378153035</v>
      </c>
    </row>
    <row r="23" spans="1:164" ht="18.75" customHeight="1">
      <c r="A23" s="244" t="s">
        <v>219</v>
      </c>
      <c r="B23" s="247"/>
      <c r="C23" s="228">
        <f t="shared" si="5"/>
        <v>-0.99</v>
      </c>
      <c r="D23" s="229">
        <v>-1</v>
      </c>
      <c r="E23" s="253">
        <f t="shared" si="6"/>
        <v>-8.4279085978172796E-3</v>
      </c>
      <c r="F23" s="254">
        <f t="shared" si="7"/>
        <v>-3.4249704213491827E-2</v>
      </c>
      <c r="G23" s="253">
        <f t="shared" si="8"/>
        <v>3.097695439065995E-2</v>
      </c>
      <c r="H23" s="254">
        <f t="shared" si="9"/>
        <v>-3.9404862988477229E-2</v>
      </c>
      <c r="I23" s="253">
        <f t="shared" si="10"/>
        <v>-0.18012567524286194</v>
      </c>
      <c r="J23" s="254">
        <f t="shared" si="11"/>
        <v>-0.50363135917875446</v>
      </c>
      <c r="K23" s="253">
        <f t="shared" si="12"/>
        <v>0.38216264584236237</v>
      </c>
      <c r="L23" s="254">
        <f t="shared" si="13"/>
        <v>-0.56228832108522431</v>
      </c>
      <c r="M23" s="255"/>
      <c r="N23" s="256">
        <v>-2</v>
      </c>
      <c r="O23" s="253">
        <f t="shared" si="35"/>
        <v>0</v>
      </c>
      <c r="P23" s="257">
        <f t="shared" si="36"/>
        <v>0</v>
      </c>
      <c r="Q23" s="253">
        <f t="shared" si="14"/>
        <v>-7.6201048455332931E-2</v>
      </c>
      <c r="R23" s="257">
        <f t="shared" si="37"/>
        <v>-7.6201048455332931E-2</v>
      </c>
      <c r="S23" s="255"/>
      <c r="T23" s="256">
        <v>0</v>
      </c>
      <c r="U23" s="253">
        <f t="shared" si="15"/>
        <v>-3.521399494570332E-2</v>
      </c>
      <c r="V23" s="258">
        <f t="shared" si="16"/>
        <v>-3.521399494570332E-2</v>
      </c>
      <c r="W23" s="253">
        <f t="shared" si="38"/>
        <v>0.62545163482127797</v>
      </c>
      <c r="X23" s="258">
        <f t="shared" si="17"/>
        <v>0.62545163482127797</v>
      </c>
      <c r="Y23" s="253">
        <f t="shared" si="18"/>
        <v>-9.7014925373134275E-2</v>
      </c>
      <c r="Z23" s="258">
        <f t="shared" si="19"/>
        <v>-9.7014925373134275E-2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VLOOKUP($A23,historia!$A$5:$DD$24,+HLOOKUP(AP$2,historia!$A$3:$EC$4,2,FALSE),FALSE)</f>
        <v>4</v>
      </c>
      <c r="AQ23" s="28">
        <f>VLOOKUP($A23,historia!$A$5:$DD$24,+HLOOKUP(AQ$2,historia!$A$3:$EC$4,2,FALSE),FALSE)</f>
        <v>4</v>
      </c>
      <c r="AR23" s="28">
        <f>VLOOKUP($A23,historia!$A$5:$DD$24,+HLOOKUP(AR$2,historia!$A$3:$EC$4,2,FALSE),FALSE)</f>
        <v>4</v>
      </c>
      <c r="AS23" s="28">
        <f>VLOOKUP($A23,historia!$A$5:$DD$24,+HLOOKUP(AS$2,historia!$A$3:$EC$4,2,FALSE),FALSE)</f>
        <v>4</v>
      </c>
      <c r="AT23" s="58">
        <f>VLOOKUP($A23,historia!$A$5:$DD$24,+HLOOKUP(AT$2,historia!$A$3:$EC$4,2,FALSE),FALSE)</f>
        <v>4</v>
      </c>
      <c r="AU23" s="58">
        <f>VLOOKUP($A23,historia!$A$5:$DD$24,+HLOOKUP(AU$2,historia!$A$3:$EC$4,2,FALSE),FALSE)</f>
        <v>4</v>
      </c>
      <c r="AV23" s="58">
        <f>VLOOKUP($A23,historia!$A$5:$DD$24,+HLOOKUP(AV$2,historia!$A$3:$EC$4,2,FALSE),FALSE)</f>
        <v>4</v>
      </c>
      <c r="AW23" s="58">
        <f>VLOOKUP($A23,historia!$A$5:$DD$24,+HLOOKUP(AW$2,historia!$A$3:$EC$4,2,FALSE),FALSE)</f>
        <v>4</v>
      </c>
      <c r="AX23" s="58">
        <f>VLOOKUP($A23,historia!$A$5:$DD$24,+HLOOKUP(AX$2,historia!$A$3:$EC$4,2,FALSE),FALSE)</f>
        <v>5</v>
      </c>
      <c r="AY23" s="58">
        <f>VLOOKUP($A23,historia!$A$5:$DD$24,+HLOOKUP(AY$2,historia!$A$3:$EC$4,2,FALSE),FALSE)</f>
        <v>5</v>
      </c>
      <c r="AZ23" s="58">
        <f>VLOOKUP($A23,historia!$A$5:$DD$24,+HLOOKUP(AZ$2,historia!$A$3:$EC$4,2,FALSE),FALSE)</f>
        <v>4</v>
      </c>
      <c r="BA23" s="58">
        <f>VLOOKUP($A23,historia!$A$5:$DG$24,+HLOOKUP(BA$2,historia!$A$3:$EC$4,2,FALSE),FALSE)</f>
        <v>5</v>
      </c>
      <c r="BB23" s="58"/>
      <c r="BC23" s="286">
        <v>5</v>
      </c>
      <c r="BD23" t="str">
        <f t="shared" si="20"/>
        <v>Vino y Mosto</v>
      </c>
      <c r="BE23">
        <f>+datos!AM1</f>
        <v>39</v>
      </c>
      <c r="BF23" s="2" t="str">
        <f t="shared" si="4"/>
        <v>$/l</v>
      </c>
      <c r="BG23" s="2">
        <f t="shared" si="4"/>
        <v>273.12060000000002</v>
      </c>
      <c r="BH23" s="2">
        <f t="shared" si="4"/>
        <v>275.44200000000001</v>
      </c>
      <c r="BI23" s="2">
        <f t="shared" si="4"/>
        <v>333.12495800000005</v>
      </c>
      <c r="BK23" s="1">
        <f>+datos!EF1</f>
        <v>136</v>
      </c>
      <c r="BL23" s="1">
        <f t="shared" si="21"/>
        <v>196220</v>
      </c>
      <c r="BM23" s="1">
        <f t="shared" si="21"/>
        <v>196220</v>
      </c>
      <c r="BO23" s="1">
        <f>+datos!GB1</f>
        <v>184</v>
      </c>
      <c r="BP23" s="1">
        <f t="shared" si="22"/>
        <v>18391299</v>
      </c>
      <c r="BQ23" s="1">
        <f t="shared" si="22"/>
        <v>19908335</v>
      </c>
      <c r="BS23" s="1">
        <f>+datos!JU1</f>
        <v>281</v>
      </c>
      <c r="BT23" s="1">
        <f t="shared" si="39"/>
        <v>954.43955379999989</v>
      </c>
      <c r="BU23" s="1">
        <f t="shared" si="40"/>
        <v>989.27591072000007</v>
      </c>
      <c r="BW23" s="1">
        <f>+datos!KZ1</f>
        <v>312</v>
      </c>
      <c r="BX23" s="2">
        <f t="shared" si="23"/>
        <v>43.329508820000001</v>
      </c>
      <c r="BY23" s="2">
        <f t="shared" si="24"/>
        <v>26.656904390000001</v>
      </c>
      <c r="CA23" s="1">
        <f>+datos!IQ1</f>
        <v>251</v>
      </c>
      <c r="CB23" s="2">
        <f t="shared" si="25"/>
        <v>14.52</v>
      </c>
      <c r="CC23" s="2">
        <f t="shared" si="26"/>
        <v>16.079999999999998</v>
      </c>
      <c r="CD23" s="2"/>
      <c r="CE23">
        <f>+datos!CP1</f>
        <v>94</v>
      </c>
      <c r="CF23" s="2">
        <f t="shared" si="27"/>
        <v>15644.888814230122</v>
      </c>
      <c r="CG23" s="2">
        <f t="shared" si="27"/>
        <v>15174.819134028798</v>
      </c>
      <c r="CH23" s="2">
        <f t="shared" si="27"/>
        <v>11319.13733979933</v>
      </c>
      <c r="CI23" s="2"/>
      <c r="CK23" s="1">
        <f t="shared" si="43"/>
        <v>77.857583390000002</v>
      </c>
      <c r="CL23" s="1">
        <f t="shared" si="43"/>
        <v>79.896688470000015</v>
      </c>
      <c r="CM23" s="1">
        <f t="shared" si="43"/>
        <v>62.074398439999996</v>
      </c>
      <c r="CN23" s="1">
        <f t="shared" si="43"/>
        <v>51.281836970000001</v>
      </c>
      <c r="CO23" s="1">
        <f t="shared" si="43"/>
        <v>78.732425000000021</v>
      </c>
      <c r="CP23" s="1">
        <f t="shared" si="43"/>
        <v>78.044882909999998</v>
      </c>
      <c r="CQ23" s="1">
        <f t="shared" si="43"/>
        <v>79.565238250000007</v>
      </c>
      <c r="CR23" s="1">
        <f t="shared" si="43"/>
        <v>103.29015631000003</v>
      </c>
      <c r="CS23" s="1">
        <f t="shared" si="43"/>
        <v>82.138745600000007</v>
      </c>
      <c r="CT23" s="1">
        <f t="shared" si="43"/>
        <v>101.39273792999998</v>
      </c>
      <c r="CU23" s="1">
        <f t="shared" si="43"/>
        <v>71.170798900000008</v>
      </c>
      <c r="CV23" s="1">
        <f t="shared" si="43"/>
        <v>88.994061629999976</v>
      </c>
      <c r="CW23" s="1">
        <f t="shared" si="43"/>
        <v>77.155977009999987</v>
      </c>
      <c r="CX23" s="1">
        <f t="shared" si="43"/>
        <v>74.722979570000021</v>
      </c>
      <c r="CY23" s="1">
        <f t="shared" si="43"/>
        <v>63.754065359999977</v>
      </c>
      <c r="CZ23" s="1">
        <f t="shared" si="43"/>
        <v>50.923025279999997</v>
      </c>
      <c r="DA23" s="1">
        <f t="shared" si="44"/>
        <v>85.381089520000018</v>
      </c>
      <c r="DB23" s="1">
        <f t="shared" si="44"/>
        <v>87.09478919</v>
      </c>
      <c r="DC23" s="1">
        <f t="shared" si="44"/>
        <v>88.790830600000021</v>
      </c>
      <c r="DD23" s="1">
        <f t="shared" si="44"/>
        <v>106.11166329999998</v>
      </c>
      <c r="DE23" s="1">
        <f t="shared" si="44"/>
        <v>99.074693340000039</v>
      </c>
      <c r="DF23" s="1">
        <f t="shared" si="44"/>
        <v>115.95052356999999</v>
      </c>
      <c r="DG23" s="1">
        <f t="shared" si="44"/>
        <v>55.887516779999999</v>
      </c>
      <c r="DH23" s="1">
        <f t="shared" si="44"/>
        <v>84.428757199999993</v>
      </c>
      <c r="DJ23" s="1">
        <f t="shared" si="45"/>
        <v>4.4863890000000008</v>
      </c>
      <c r="DK23" s="1">
        <f t="shared" si="45"/>
        <v>2.3774346500000001</v>
      </c>
      <c r="DL23" s="1">
        <f t="shared" si="45"/>
        <v>1.8929445199999999</v>
      </c>
      <c r="DM23" s="1">
        <f t="shared" si="45"/>
        <v>0.82771172999999998</v>
      </c>
      <c r="DN23" s="1">
        <f t="shared" si="45"/>
        <v>2.0960773500000003</v>
      </c>
      <c r="DO23" s="1">
        <f t="shared" si="45"/>
        <v>4.0370959900000001</v>
      </c>
      <c r="DP23" s="1">
        <f t="shared" si="45"/>
        <v>5.8187882499999999</v>
      </c>
      <c r="DQ23" s="1">
        <f t="shared" si="45"/>
        <v>6.2238594599999999</v>
      </c>
      <c r="DR23" s="1">
        <f t="shared" si="45"/>
        <v>3.3465065500000004</v>
      </c>
      <c r="DS23" s="1">
        <f t="shared" si="45"/>
        <v>3.10878063</v>
      </c>
      <c r="DT23" s="1">
        <f t="shared" si="45"/>
        <v>5.0584831100000001</v>
      </c>
      <c r="DU23" s="1">
        <f t="shared" si="45"/>
        <v>4.0554375800000004</v>
      </c>
      <c r="DV23" s="1">
        <f t="shared" si="45"/>
        <v>3.476448889999999</v>
      </c>
      <c r="DW23" s="1">
        <f t="shared" si="45"/>
        <v>3.23844815</v>
      </c>
      <c r="DX23" s="1">
        <f t="shared" si="45"/>
        <v>1.94679845</v>
      </c>
      <c r="DY23" s="1">
        <f t="shared" si="45"/>
        <v>0.41117072999999998</v>
      </c>
      <c r="DZ23" s="1">
        <f t="shared" si="42"/>
        <v>1.6918772199999998</v>
      </c>
      <c r="EA23" s="1">
        <f t="shared" si="42"/>
        <v>4.1008112300000006</v>
      </c>
      <c r="EB23" s="1">
        <f t="shared" si="42"/>
        <v>2.9628047099999995</v>
      </c>
      <c r="EC23" s="1">
        <f t="shared" si="42"/>
        <v>2.4415022799999999</v>
      </c>
      <c r="ED23" s="1">
        <f t="shared" si="42"/>
        <v>2.4186424700000004</v>
      </c>
      <c r="EE23" s="1">
        <f t="shared" si="42"/>
        <v>2.3161338599999999</v>
      </c>
      <c r="EF23" s="1">
        <f t="shared" si="42"/>
        <v>0.34545517000000003</v>
      </c>
      <c r="EG23" s="1">
        <f t="shared" si="42"/>
        <v>1.3068112300000001</v>
      </c>
      <c r="EI23" s="14">
        <f t="shared" ref="EI23:EX24" si="47">+VLOOKUP(EI$1,ran_dat,$CA23,FALSE)</f>
        <v>14.52</v>
      </c>
      <c r="EJ23" s="14">
        <f t="shared" si="47"/>
        <v>14.399999999999999</v>
      </c>
      <c r="EK23" s="1">
        <f t="shared" si="47"/>
        <v>13.74</v>
      </c>
      <c r="EL23" s="1">
        <f t="shared" si="47"/>
        <v>14.399999999999999</v>
      </c>
      <c r="EM23" s="1">
        <f t="shared" si="47"/>
        <v>16.079999999999998</v>
      </c>
      <c r="EN23" s="1">
        <f t="shared" si="47"/>
        <v>16.079999999999998</v>
      </c>
      <c r="EO23" s="1">
        <f t="shared" si="47"/>
        <v>16.079999999999998</v>
      </c>
      <c r="EP23" s="1">
        <f t="shared" si="47"/>
        <v>16.079999999999998</v>
      </c>
      <c r="EQ23" s="1">
        <f t="shared" si="47"/>
        <v>16.079999999999998</v>
      </c>
      <c r="ER23" s="1">
        <f t="shared" si="47"/>
        <v>16.079999999999998</v>
      </c>
      <c r="ES23" s="1">
        <f t="shared" si="47"/>
        <v>16.079999999999998</v>
      </c>
      <c r="ET23" s="1">
        <f t="shared" si="47"/>
        <v>16.079999999999998</v>
      </c>
      <c r="EU23" s="1">
        <f t="shared" si="47"/>
        <v>16.079999999999998</v>
      </c>
      <c r="EV23" s="1">
        <f t="shared" si="47"/>
        <v>16.079999999999998</v>
      </c>
      <c r="EW23" s="1">
        <f t="shared" si="47"/>
        <v>16.079999999999998</v>
      </c>
      <c r="EX23" s="1">
        <f t="shared" si="47"/>
        <v>16.079999999999998</v>
      </c>
      <c r="EY23" s="1">
        <f t="shared" si="46"/>
        <v>16.3</v>
      </c>
      <c r="EZ23" s="1">
        <f t="shared" si="46"/>
        <v>16.3</v>
      </c>
      <c r="FA23" s="1">
        <f t="shared" si="46"/>
        <v>16.3</v>
      </c>
      <c r="FB23" s="1">
        <f t="shared" si="46"/>
        <v>16.3</v>
      </c>
      <c r="FC23" s="1">
        <f t="shared" si="46"/>
        <v>16.3</v>
      </c>
      <c r="FD23" s="1">
        <f t="shared" si="46"/>
        <v>16.3</v>
      </c>
      <c r="FE23" s="1">
        <f t="shared" si="46"/>
        <v>16.3</v>
      </c>
      <c r="FF23" s="1">
        <f t="shared" si="46"/>
        <v>16.3</v>
      </c>
      <c r="FH23" s="162">
        <f t="shared" si="34"/>
        <v>-0.56228832108522431</v>
      </c>
    </row>
    <row r="24" spans="1:164" ht="18.75" customHeight="1">
      <c r="A24" s="243" t="s">
        <v>39</v>
      </c>
      <c r="B24" s="246"/>
      <c r="C24" s="156">
        <f t="shared" si="5"/>
        <v>-0.65999999999999992</v>
      </c>
      <c r="D24" s="198">
        <v>-3</v>
      </c>
      <c r="E24" s="248">
        <f t="shared" si="6"/>
        <v>0</v>
      </c>
      <c r="F24" s="249">
        <f t="shared" si="7"/>
        <v>-2.5821795615674548E-2</v>
      </c>
      <c r="G24" s="248">
        <f t="shared" si="8"/>
        <v>2.8834630982428333E-2</v>
      </c>
      <c r="H24" s="249">
        <f t="shared" si="9"/>
        <v>-2.8834630982428333E-2</v>
      </c>
      <c r="I24" s="248">
        <f t="shared" si="10"/>
        <v>-0.17241379310344829</v>
      </c>
      <c r="J24" s="249">
        <f t="shared" si="11"/>
        <v>-0.49591947703934081</v>
      </c>
      <c r="K24" s="248">
        <f t="shared" si="12"/>
        <v>0.33644610994625634</v>
      </c>
      <c r="L24" s="249">
        <f t="shared" si="13"/>
        <v>-0.50885990304970463</v>
      </c>
      <c r="M24" s="250"/>
      <c r="N24" s="24">
        <v>1</v>
      </c>
      <c r="O24" s="248">
        <f t="shared" si="35"/>
        <v>0</v>
      </c>
      <c r="P24" s="251">
        <f t="shared" si="36"/>
        <v>0</v>
      </c>
      <c r="Q24" s="248">
        <f t="shared" si="14"/>
        <v>-2.9424030731509454E-2</v>
      </c>
      <c r="R24" s="251">
        <f t="shared" si="37"/>
        <v>-2.9424030731509454E-2</v>
      </c>
      <c r="S24" s="250"/>
      <c r="T24" s="24">
        <v>0</v>
      </c>
      <c r="U24" s="248">
        <f t="shared" si="15"/>
        <v>0.14771378230194232</v>
      </c>
      <c r="V24" s="252">
        <f t="shared" si="16"/>
        <v>0.14771378230194232</v>
      </c>
      <c r="W24" s="248">
        <f t="shared" si="38"/>
        <v>3.8239726008355568E-2</v>
      </c>
      <c r="X24" s="258">
        <f t="shared" si="17"/>
        <v>3.8239726008355568E-2</v>
      </c>
      <c r="Y24" s="248">
        <f t="shared" si="18"/>
        <v>0.10804906709268769</v>
      </c>
      <c r="Z24" s="252">
        <f t="shared" si="19"/>
        <v>0.10804906709268769</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VLOOKUP($A24,historia!$A$5:$DD$24,+HLOOKUP(AP$2,historia!$A$3:$EC$4,2,FALSE),FALSE)</f>
        <v>4</v>
      </c>
      <c r="AQ24" s="28">
        <f>VLOOKUP($A24,historia!$A$5:$DD$24,+HLOOKUP(AQ$2,historia!$A$3:$EC$4,2,FALSE),FALSE)</f>
        <v>4</v>
      </c>
      <c r="AR24" s="28">
        <f>VLOOKUP($A24,historia!$A$5:$DD$24,+HLOOKUP(AR$2,historia!$A$3:$EC$4,2,FALSE),FALSE)</f>
        <v>4</v>
      </c>
      <c r="AS24" s="28">
        <f>VLOOKUP($A24,historia!$A$5:$DD$24,+HLOOKUP(AS$2,historia!$A$3:$EC$4,2,FALSE),FALSE)</f>
        <v>4</v>
      </c>
      <c r="AT24" s="58">
        <f>VLOOKUP($A24,historia!$A$5:$DD$24,+HLOOKUP(AT$2,historia!$A$3:$EC$4,2,FALSE),FALSE)</f>
        <v>4</v>
      </c>
      <c r="AU24" s="58">
        <f>VLOOKUP($A24,historia!$A$5:$DD$24,+HLOOKUP(AU$2,historia!$A$3:$EC$4,2,FALSE),FALSE)</f>
        <v>4</v>
      </c>
      <c r="AV24" s="58">
        <f>VLOOKUP($A24,historia!$A$5:$DD$24,+HLOOKUP(AV$2,historia!$A$3:$EC$4,2,FALSE),FALSE)</f>
        <v>4</v>
      </c>
      <c r="AW24" s="58">
        <f>VLOOKUP($A24,historia!$A$5:$DD$24,+HLOOKUP(AW$2,historia!$A$3:$EC$4,2,FALSE),FALSE)</f>
        <v>4</v>
      </c>
      <c r="AX24" s="58">
        <f>VLOOKUP($A24,historia!$A$5:$DD$24,+HLOOKUP(AX$2,historia!$A$3:$EC$4,2,FALSE),FALSE)</f>
        <v>4</v>
      </c>
      <c r="AY24" s="58">
        <f>VLOOKUP($A24,historia!$A$5:$DD$24,+HLOOKUP(AY$2,historia!$A$3:$EC$4,2,FALSE),FALSE)</f>
        <v>4</v>
      </c>
      <c r="AZ24" s="58">
        <f>VLOOKUP($A24,historia!$A$5:$DD$24,+HLOOKUP(AZ$2,historia!$A$3:$EC$4,2,FALSE),FALSE)</f>
        <v>4</v>
      </c>
      <c r="BA24" s="58">
        <f>VLOOKUP($A24,historia!$A$5:$DG$24,+HLOOKUP(BA$2,historia!$A$3:$EC$4,2,FALSE),FALSE)</f>
        <v>4</v>
      </c>
      <c r="BB24" s="58"/>
      <c r="BC24" s="286">
        <v>4</v>
      </c>
      <c r="BD24" t="str">
        <f t="shared" si="20"/>
        <v>Yerba Mate</v>
      </c>
      <c r="BE24">
        <f>+datos!AG1</f>
        <v>33</v>
      </c>
      <c r="BF24" s="2" t="str">
        <f t="shared" si="4"/>
        <v>$/t</v>
      </c>
      <c r="BG24" s="2">
        <f t="shared" si="4"/>
        <v>240000</v>
      </c>
      <c r="BH24" s="2">
        <f t="shared" si="4"/>
        <v>240000</v>
      </c>
      <c r="BI24" s="2">
        <f t="shared" si="4"/>
        <v>290000</v>
      </c>
      <c r="BK24" s="1">
        <f>+datos!ED1</f>
        <v>134</v>
      </c>
      <c r="BL24" s="1">
        <f t="shared" si="21"/>
        <v>231352</v>
      </c>
      <c r="BM24" s="1">
        <f t="shared" si="21"/>
        <v>231352</v>
      </c>
      <c r="BO24" s="1">
        <f>+datos!FZ1</f>
        <v>182</v>
      </c>
      <c r="BP24" s="1">
        <f t="shared" si="22"/>
        <v>866116.76</v>
      </c>
      <c r="BQ24" s="1">
        <f t="shared" si="22"/>
        <v>892374</v>
      </c>
      <c r="BS24" s="1">
        <f>+datos!KD1</f>
        <v>290</v>
      </c>
      <c r="BT24" s="1">
        <f t="shared" si="39"/>
        <v>127.60896413999997</v>
      </c>
      <c r="BU24" s="1">
        <f t="shared" si="40"/>
        <v>111.18535484</v>
      </c>
      <c r="BW24" s="1">
        <f>+datos!LI1</f>
        <v>321</v>
      </c>
      <c r="BX24" s="2">
        <f t="shared" si="23"/>
        <v>20.853473150000003</v>
      </c>
      <c r="BY24" s="2">
        <f t="shared" si="24"/>
        <v>20.085412479999999</v>
      </c>
      <c r="CA24" s="1">
        <f>+datos!IP1</f>
        <v>250</v>
      </c>
      <c r="CB24" s="2">
        <f t="shared" si="25"/>
        <v>6.3629428462816202</v>
      </c>
      <c r="CC24" s="2">
        <f t="shared" si="26"/>
        <v>5.7424738987207355</v>
      </c>
      <c r="CD24" s="2"/>
      <c r="CE24">
        <f>+datos!CY1</f>
        <v>103</v>
      </c>
      <c r="CF24" s="2">
        <f t="shared" si="27"/>
        <v>13638.46062913666</v>
      </c>
      <c r="CG24" s="2">
        <f t="shared" si="27"/>
        <v>13256.222349468711</v>
      </c>
      <c r="CH24" s="2">
        <f t="shared" si="27"/>
        <v>10205.02100880455</v>
      </c>
      <c r="CI24" s="2"/>
      <c r="CK24" s="1">
        <f t="shared" si="43"/>
        <v>6.8683825000000009</v>
      </c>
      <c r="CL24" s="1">
        <f t="shared" si="43"/>
        <v>11.30577291</v>
      </c>
      <c r="CM24" s="1">
        <f t="shared" si="43"/>
        <v>6.4893821299999992</v>
      </c>
      <c r="CN24" s="1">
        <f t="shared" si="43"/>
        <v>7.9660401599999986</v>
      </c>
      <c r="CO24" s="1">
        <f t="shared" si="43"/>
        <v>11.742414109999999</v>
      </c>
      <c r="CP24" s="1">
        <f t="shared" si="43"/>
        <v>9.2986503200000001</v>
      </c>
      <c r="CQ24" s="1">
        <f t="shared" si="43"/>
        <v>19.294760099999998</v>
      </c>
      <c r="CR24" s="1">
        <f t="shared" si="43"/>
        <v>12.267837869999999</v>
      </c>
      <c r="CS24" s="1">
        <f t="shared" si="43"/>
        <v>8.5848558799999992</v>
      </c>
      <c r="CT24" s="1">
        <f t="shared" si="43"/>
        <v>12.502816449999999</v>
      </c>
      <c r="CU24" s="1">
        <f t="shared" si="43"/>
        <v>10.79513302</v>
      </c>
      <c r="CV24" s="1">
        <f t="shared" si="43"/>
        <v>10.492918690000002</v>
      </c>
      <c r="CW24" s="1">
        <f t="shared" si="43"/>
        <v>7.4906505000000001</v>
      </c>
      <c r="CX24" s="1">
        <f t="shared" si="43"/>
        <v>7.8719914600000003</v>
      </c>
      <c r="CY24" s="1">
        <f t="shared" si="43"/>
        <v>9.8166064800000008</v>
      </c>
      <c r="CZ24" s="1">
        <f t="shared" si="43"/>
        <v>7.1690497699999991</v>
      </c>
      <c r="DA24" s="1">
        <f t="shared" si="44"/>
        <v>10.805856030000001</v>
      </c>
      <c r="DB24" s="1">
        <f t="shared" si="44"/>
        <v>10.476429469999998</v>
      </c>
      <c r="DC24" s="1">
        <f t="shared" si="44"/>
        <v>11.361751129999998</v>
      </c>
      <c r="DD24" s="1">
        <f t="shared" si="44"/>
        <v>10.05873476</v>
      </c>
      <c r="DE24" s="1">
        <f t="shared" si="44"/>
        <v>9.4659040999999995</v>
      </c>
      <c r="DF24" s="1">
        <f t="shared" si="44"/>
        <v>8.3006057400000017</v>
      </c>
      <c r="DG24" s="1">
        <f t="shared" si="44"/>
        <v>11.077079630000002</v>
      </c>
      <c r="DH24" s="1">
        <f t="shared" si="44"/>
        <v>7.2906957700000001</v>
      </c>
      <c r="DJ24" s="1">
        <f t="shared" si="45"/>
        <v>1.8068878900000003</v>
      </c>
      <c r="DK24" s="1">
        <f t="shared" si="45"/>
        <v>1.08154503</v>
      </c>
      <c r="DL24" s="1">
        <f t="shared" si="45"/>
        <v>1.2853964200000001</v>
      </c>
      <c r="DM24" s="1">
        <f t="shared" si="45"/>
        <v>1.1258133800000001</v>
      </c>
      <c r="DN24" s="1">
        <f t="shared" si="45"/>
        <v>1.20972141</v>
      </c>
      <c r="DO24" s="1">
        <f t="shared" si="45"/>
        <v>1.0549183800000002</v>
      </c>
      <c r="DP24" s="1">
        <f t="shared" si="45"/>
        <v>1.9397561100000003</v>
      </c>
      <c r="DQ24" s="1">
        <f t="shared" si="45"/>
        <v>2.1093840299999997</v>
      </c>
      <c r="DR24" s="1">
        <f t="shared" si="45"/>
        <v>1.7438363500000003</v>
      </c>
      <c r="DS24" s="1">
        <f t="shared" si="45"/>
        <v>2.3219247899999997</v>
      </c>
      <c r="DT24" s="1">
        <f t="shared" si="45"/>
        <v>1.6709123100000001</v>
      </c>
      <c r="DU24" s="1">
        <f t="shared" si="45"/>
        <v>3.5033770500000001</v>
      </c>
      <c r="DV24" s="1">
        <f t="shared" si="45"/>
        <v>2.2730154199999997</v>
      </c>
      <c r="DW24" s="1">
        <f t="shared" si="45"/>
        <v>2.4041640299999996</v>
      </c>
      <c r="DX24" s="1">
        <f t="shared" si="45"/>
        <v>2.0218665100000002</v>
      </c>
      <c r="DY24" s="1">
        <f t="shared" si="45"/>
        <v>1.1839526999999999</v>
      </c>
      <c r="DZ24" s="1">
        <f t="shared" si="42"/>
        <v>1.1744757299999999</v>
      </c>
      <c r="EA24" s="1">
        <f t="shared" si="42"/>
        <v>2.1750064099999999</v>
      </c>
      <c r="EB24" s="1">
        <f t="shared" si="42"/>
        <v>2.6101839400000002</v>
      </c>
      <c r="EC24" s="1">
        <f t="shared" si="42"/>
        <v>1.2494588400000002</v>
      </c>
      <c r="ED24" s="1">
        <f t="shared" si="42"/>
        <v>0.60028256999999996</v>
      </c>
      <c r="EE24" s="1">
        <f t="shared" si="42"/>
        <v>1.7316709800000001</v>
      </c>
      <c r="EF24" s="1">
        <f t="shared" si="42"/>
        <v>1.1554743999999999</v>
      </c>
      <c r="EG24" s="1">
        <f t="shared" si="42"/>
        <v>1.50586095</v>
      </c>
      <c r="EI24" s="14">
        <f t="shared" si="47"/>
        <v>6.3629428462816202</v>
      </c>
      <c r="EJ24" s="14">
        <f t="shared" si="47"/>
        <v>6.2699087139586966</v>
      </c>
      <c r="EK24" s="1">
        <f t="shared" si="47"/>
        <v>4.980278516945301</v>
      </c>
      <c r="EL24" s="1">
        <f t="shared" si="47"/>
        <v>5.5266720107101239</v>
      </c>
      <c r="EM24" s="1">
        <f t="shared" si="47"/>
        <v>5.7424738987207355</v>
      </c>
      <c r="EN24" s="1">
        <f t="shared" si="47"/>
        <v>5.7424738987207355</v>
      </c>
      <c r="EO24" s="1">
        <f t="shared" si="47"/>
        <v>5.7424738987207355</v>
      </c>
      <c r="EP24" s="1">
        <f t="shared" si="47"/>
        <v>5.7424738987207355</v>
      </c>
      <c r="EQ24" s="1">
        <f t="shared" si="47"/>
        <v>5.7424738987207355</v>
      </c>
      <c r="ER24" s="1">
        <f t="shared" si="47"/>
        <v>5.7424738987207355</v>
      </c>
      <c r="ES24" s="1">
        <f t="shared" si="47"/>
        <v>5.7424738987207355</v>
      </c>
      <c r="ET24" s="1">
        <f t="shared" si="47"/>
        <v>5.7424738987207355</v>
      </c>
      <c r="EU24" s="1">
        <f t="shared" si="47"/>
        <v>5.7424738987207355</v>
      </c>
      <c r="EV24" s="1">
        <f t="shared" si="47"/>
        <v>5.7424738987207355</v>
      </c>
      <c r="EW24" s="1">
        <f t="shared" si="47"/>
        <v>5.7424738987207355</v>
      </c>
      <c r="EX24" s="1">
        <f t="shared" si="47"/>
        <v>5.7424738987207355</v>
      </c>
      <c r="EY24" s="1">
        <f t="shared" si="46"/>
        <v>5.5693606783423002</v>
      </c>
      <c r="EZ24" s="1">
        <f t="shared" si="46"/>
        <v>5.5693606783423002</v>
      </c>
      <c r="FA24" s="1">
        <f t="shared" si="46"/>
        <v>5.5693606783423002</v>
      </c>
      <c r="FB24" s="1">
        <f t="shared" si="46"/>
        <v>5.5693606783423002</v>
      </c>
      <c r="FC24" s="1">
        <f t="shared" si="46"/>
        <v>5.5693606783423002</v>
      </c>
      <c r="FD24" s="1">
        <f t="shared" si="46"/>
        <v>5.5693606783423002</v>
      </c>
      <c r="FE24" s="1">
        <f t="shared" si="46"/>
        <v>5.5693606783423002</v>
      </c>
      <c r="FF24" s="1">
        <f t="shared" si="46"/>
        <v>5.5693606783423002</v>
      </c>
      <c r="FH24" s="162">
        <f t="shared" si="34"/>
        <v>-0.50885990304970463</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18"/>
        <v/>
      </c>
      <c r="Z25" s="194"/>
      <c r="AA25" s="30"/>
      <c r="AB25" s="57"/>
      <c r="AT25" s="58"/>
      <c r="AU25" s="58"/>
      <c r="AV25" s="58"/>
      <c r="AW25" s="58"/>
      <c r="AX25" s="58"/>
      <c r="AY25" s="58"/>
      <c r="AZ25" s="58"/>
      <c r="BA25" s="58"/>
      <c r="BB25" s="58"/>
      <c r="BF25" s="2"/>
      <c r="BG25" s="2"/>
      <c r="BH25" s="2"/>
      <c r="BI25" s="2"/>
      <c r="BK25" s="1"/>
      <c r="BL25" s="1"/>
      <c r="BM25" s="1"/>
      <c r="BO25" s="1"/>
      <c r="BP25" s="1"/>
      <c r="BQ25" s="1"/>
      <c r="BS25" s="1"/>
      <c r="BT25" s="1"/>
      <c r="BU25" s="1"/>
      <c r="BW25" s="1"/>
      <c r="BX25" s="2"/>
      <c r="BY25" s="2"/>
      <c r="CA25" s="1"/>
      <c r="CB25" s="1"/>
      <c r="CC25" s="1"/>
      <c r="CD25" s="1"/>
      <c r="CF25" s="2"/>
      <c r="CG25" s="2"/>
      <c r="CH25" s="2"/>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G26" s="12"/>
      <c r="K26" s="12"/>
      <c r="O26" s="12"/>
      <c r="Y26" s="386"/>
      <c r="AB26" s="57"/>
      <c r="BI26" s="2"/>
      <c r="BP26" s="1"/>
      <c r="BT26" s="1"/>
    </row>
    <row r="27" spans="1:164" ht="18.75" customHeight="1">
      <c r="K27" s="177"/>
      <c r="X27" s="162"/>
      <c r="BC27" s="751"/>
      <c r="BL27" s="1"/>
      <c r="BM27" s="1"/>
      <c r="BP27" s="1"/>
      <c r="BQ27" s="1"/>
      <c r="BT27" s="1">
        <f>BT21-BU21</f>
        <v>6.9204123300000049</v>
      </c>
      <c r="BU27" s="1"/>
      <c r="BX27" s="1"/>
      <c r="BY27" s="1"/>
      <c r="FH27" s="167">
        <f>+COUNTIF(FH6:FH24,"&gt;0")</f>
        <v>5</v>
      </c>
    </row>
    <row r="28" spans="1:164" ht="18.75" customHeight="1">
      <c r="C28" s="156"/>
      <c r="E28" s="167"/>
      <c r="F28" s="29"/>
      <c r="I28" s="167"/>
      <c r="J28" s="29"/>
      <c r="L28" s="29"/>
      <c r="O28"/>
      <c r="P28" s="262"/>
      <c r="R28" s="262"/>
      <c r="U28" s="29"/>
      <c r="BP28" s="167"/>
      <c r="BT28" s="10"/>
      <c r="BX28" s="10"/>
    </row>
    <row r="29" spans="1:164" ht="18.75" customHeight="1">
      <c r="C29" s="156"/>
      <c r="E29" s="167"/>
      <c r="F29" s="29"/>
      <c r="I29" s="167"/>
      <c r="J29" s="29"/>
      <c r="L29" s="29"/>
      <c r="O29"/>
      <c r="P29" s="262"/>
      <c r="R29" s="262"/>
      <c r="U29" s="29"/>
      <c r="BP29" s="167"/>
    </row>
    <row r="30" spans="1:164" ht="18.75" customHeight="1">
      <c r="C30" s="156"/>
      <c r="E30" s="167"/>
      <c r="F30" s="29"/>
      <c r="I30" s="167"/>
      <c r="J30" s="29"/>
      <c r="L30" s="29"/>
      <c r="O30"/>
      <c r="P30" s="262"/>
      <c r="R30" s="262"/>
      <c r="U30" s="29"/>
      <c r="X30" s="14"/>
      <c r="BP30" s="167"/>
      <c r="BS30" s="1"/>
    </row>
    <row r="31" spans="1:164" ht="18.75" customHeight="1">
      <c r="K31" s="12"/>
    </row>
    <row r="32" spans="1:164" ht="18.75" customHeight="1">
      <c r="C32" s="157"/>
      <c r="I32" s="14"/>
      <c r="J32" s="14"/>
      <c r="K32" s="14"/>
      <c r="Y32" s="163"/>
    </row>
    <row r="33" spans="1:165" ht="18.75" customHeight="1">
      <c r="C33" s="157"/>
    </row>
    <row r="34" spans="1:165" s="23" customFormat="1" ht="18.75" customHeight="1">
      <c r="A34" s="11"/>
      <c r="B34" s="11"/>
      <c r="C34" s="157"/>
      <c r="D34" s="57"/>
      <c r="E34" s="12"/>
      <c r="F34" s="37"/>
      <c r="G34"/>
      <c r="H34" s="37"/>
      <c r="I34" s="12"/>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3">
      <iconSet>
        <cfvo type="percent" val="0"/>
        <cfvo type="num" val="0"/>
        <cfvo type="num" val="0" gte="0"/>
      </iconSet>
    </cfRule>
  </conditionalFormatting>
  <conditionalFormatting sqref="C28:C30">
    <cfRule type="iconSet" priority="37">
      <iconSet>
        <cfvo type="percent" val="0"/>
        <cfvo type="num" val="0"/>
        <cfvo type="num" val="0" gte="0"/>
      </iconSet>
    </cfRule>
  </conditionalFormatting>
  <conditionalFormatting sqref="D6:D25">
    <cfRule type="iconSet" priority="42">
      <iconSet>
        <cfvo type="percent" val="0"/>
        <cfvo type="num" val="0"/>
        <cfvo type="num" val="0" gte="0"/>
      </iconSet>
    </cfRule>
  </conditionalFormatting>
  <conditionalFormatting sqref="F6:F16 F19:F25">
    <cfRule type="iconSet" priority="38">
      <iconSet>
        <cfvo type="percent" val="0"/>
        <cfvo type="num" val="0"/>
        <cfvo type="num" val="0" gte="0"/>
      </iconSet>
    </cfRule>
  </conditionalFormatting>
  <conditionalFormatting sqref="F17:F18">
    <cfRule type="iconSet" priority="10">
      <iconSet>
        <cfvo type="percent" val="0"/>
        <cfvo type="num" val="0"/>
        <cfvo type="num" val="0" gte="0"/>
      </iconSet>
    </cfRule>
  </conditionalFormatting>
  <conditionalFormatting sqref="F28:F30">
    <cfRule type="iconSet" priority="4">
      <iconSet>
        <cfvo type="percent" val="0"/>
        <cfvo type="num" val="0"/>
        <cfvo type="num" val="0" gte="0"/>
      </iconSet>
    </cfRule>
  </conditionalFormatting>
  <conditionalFormatting sqref="H6:H7 H9 H11:H25">
    <cfRule type="iconSet" priority="35">
      <iconSet>
        <cfvo type="percent" val="0"/>
        <cfvo type="num" val="0"/>
        <cfvo type="num" val="0" gte="0"/>
      </iconSet>
    </cfRule>
  </conditionalFormatting>
  <conditionalFormatting sqref="H8">
    <cfRule type="iconSet" priority="8">
      <iconSet>
        <cfvo type="percent" val="0"/>
        <cfvo type="num" val="0"/>
        <cfvo type="num" val="0" gte="0"/>
      </iconSet>
    </cfRule>
  </conditionalFormatting>
  <conditionalFormatting sqref="H10">
    <cfRule type="iconSet" priority="33">
      <iconSet>
        <cfvo type="percent" val="0"/>
        <cfvo type="num" val="0"/>
        <cfvo type="num" val="0" gte="0"/>
      </iconSet>
    </cfRule>
  </conditionalFormatting>
  <conditionalFormatting sqref="J6:J9 J11:J16 J19:J25">
    <cfRule type="iconSet" priority="36">
      <iconSet>
        <cfvo type="percent" val="0"/>
        <cfvo type="num" val="0"/>
        <cfvo type="num" val="0" gte="0"/>
      </iconSet>
    </cfRule>
  </conditionalFormatting>
  <conditionalFormatting sqref="J10">
    <cfRule type="iconSet" priority="34">
      <iconSet>
        <cfvo type="percent" val="0"/>
        <cfvo type="num" val="0"/>
        <cfvo type="num" val="0" gte="0"/>
      </iconSet>
    </cfRule>
  </conditionalFormatting>
  <conditionalFormatting sqref="J17">
    <cfRule type="iconSet" priority="9">
      <iconSet>
        <cfvo type="percent" val="0"/>
        <cfvo type="num" val="0"/>
        <cfvo type="num" val="0" gte="0"/>
      </iconSet>
    </cfRule>
  </conditionalFormatting>
  <conditionalFormatting sqref="J18">
    <cfRule type="iconSet" priority="1">
      <iconSet>
        <cfvo type="percent" val="0"/>
        <cfvo type="num" val="0"/>
        <cfvo type="num" val="0" gte="0"/>
      </iconSet>
    </cfRule>
  </conditionalFormatting>
  <conditionalFormatting sqref="J28:J30">
    <cfRule type="iconSet" priority="6">
      <iconSet>
        <cfvo type="percent" val="0"/>
        <cfvo type="num" val="0"/>
        <cfvo type="num" val="0" gte="0"/>
      </iconSet>
    </cfRule>
  </conditionalFormatting>
  <conditionalFormatting sqref="L6:L9 L11:L25">
    <cfRule type="iconSet" priority="44">
      <iconSet>
        <cfvo type="percent" val="0"/>
        <cfvo type="num" val="0"/>
        <cfvo type="num" val="0" gte="0"/>
      </iconSet>
    </cfRule>
  </conditionalFormatting>
  <conditionalFormatting sqref="L10">
    <cfRule type="iconSet" priority="45">
      <iconSet>
        <cfvo type="percent" val="0"/>
        <cfvo type="num" val="0"/>
        <cfvo type="num" val="0" gte="0"/>
      </iconSet>
    </cfRule>
  </conditionalFormatting>
  <conditionalFormatting sqref="L28:L30">
    <cfRule type="iconSet" priority="5">
      <iconSet>
        <cfvo type="percent" val="0"/>
        <cfvo type="num" val="0"/>
        <cfvo type="num" val="0" gte="0"/>
      </iconSet>
    </cfRule>
  </conditionalFormatting>
  <conditionalFormatting sqref="M6:M25">
    <cfRule type="iconSet" priority="39">
      <iconSet>
        <cfvo type="percent" val="0"/>
        <cfvo type="num" val="0"/>
        <cfvo type="num" val="0" gte="0"/>
      </iconSet>
    </cfRule>
  </conditionalFormatting>
  <conditionalFormatting sqref="N6:N25">
    <cfRule type="iconSet" priority="32">
      <iconSet>
        <cfvo type="percent" val="0"/>
        <cfvo type="num" val="0"/>
        <cfvo type="num" val="0" gte="0"/>
      </iconSet>
    </cfRule>
  </conditionalFormatting>
  <conditionalFormatting sqref="P6:P9 P11:P25">
    <cfRule type="iconSet" priority="40">
      <iconSet>
        <cfvo type="percent" val="0"/>
        <cfvo type="num" val="0"/>
        <cfvo type="num" val="0" gte="0"/>
      </iconSet>
    </cfRule>
  </conditionalFormatting>
  <conditionalFormatting sqref="P10">
    <cfRule type="iconSet" priority="12">
      <iconSet>
        <cfvo type="percent" val="0"/>
        <cfvo type="num" val="0"/>
        <cfvo type="num" val="0" gte="0"/>
      </iconSet>
    </cfRule>
  </conditionalFormatting>
  <conditionalFormatting sqref="P28:P30">
    <cfRule type="iconSet" priority="24">
      <iconSet>
        <cfvo type="percent" val="0"/>
        <cfvo type="num" val="0"/>
        <cfvo type="num" val="0" gte="0"/>
      </iconSet>
    </cfRule>
  </conditionalFormatting>
  <conditionalFormatting sqref="R6:R15 R17:R25">
    <cfRule type="iconSet" priority="41">
      <iconSet>
        <cfvo type="percent" val="0"/>
        <cfvo type="num" val="0"/>
        <cfvo type="num" val="0" gte="0"/>
      </iconSet>
    </cfRule>
  </conditionalFormatting>
  <conditionalFormatting sqref="R16">
    <cfRule type="iconSet" priority="2">
      <iconSet>
        <cfvo type="percent" val="0"/>
        <cfvo type="num" val="0"/>
        <cfvo type="num" val="0" gte="0"/>
      </iconSet>
    </cfRule>
  </conditionalFormatting>
  <conditionalFormatting sqref="R28:R30">
    <cfRule type="iconSet" priority="23">
      <iconSet>
        <cfvo type="percent" val="0"/>
        <cfvo type="num" val="0"/>
        <cfvo type="num" val="0" gte="0"/>
      </iconSet>
    </cfRule>
  </conditionalFormatting>
  <conditionalFormatting sqref="S6:S25">
    <cfRule type="iconSet" priority="27">
      <iconSet>
        <cfvo type="percent" val="0"/>
        <cfvo type="num" val="0"/>
        <cfvo type="num" val="0" gte="0"/>
      </iconSet>
    </cfRule>
  </conditionalFormatting>
  <conditionalFormatting sqref="T6:T25">
    <cfRule type="iconSet" priority="31">
      <iconSet>
        <cfvo type="percent" val="0"/>
        <cfvo type="num" val="0"/>
        <cfvo type="num" val="0" gte="0"/>
      </iconSet>
    </cfRule>
  </conditionalFormatting>
  <conditionalFormatting sqref="U28:U30">
    <cfRule type="iconSet" priority="7">
      <iconSet>
        <cfvo type="percent" val="0"/>
        <cfvo type="num" val="0"/>
        <cfvo type="num" val="0" gte="0"/>
      </iconSet>
    </cfRule>
  </conditionalFormatting>
  <conditionalFormatting sqref="V6:V10 V16:V25 V12:V14">
    <cfRule type="iconSet" priority="30">
      <iconSet>
        <cfvo type="percent" val="0"/>
        <cfvo type="num" val="0"/>
        <cfvo type="num" val="0" gte="0"/>
      </iconSet>
    </cfRule>
  </conditionalFormatting>
  <conditionalFormatting sqref="V11">
    <cfRule type="iconSet" priority="11">
      <iconSet>
        <cfvo type="percent" val="0"/>
        <cfvo type="num" val="0"/>
        <cfvo type="num" val="0" gte="0"/>
      </iconSet>
    </cfRule>
  </conditionalFormatting>
  <conditionalFormatting sqref="V15">
    <cfRule type="iconSet" priority="26">
      <iconSet>
        <cfvo type="percent" val="0"/>
        <cfvo type="num" val="0"/>
        <cfvo type="num" val="0" gte="0"/>
      </iconSet>
    </cfRule>
  </conditionalFormatting>
  <conditionalFormatting sqref="X25">
    <cfRule type="iconSet" priority="25">
      <iconSet reverse="1">
        <cfvo type="percent" val="0"/>
        <cfvo type="num" val="0"/>
        <cfvo type="num" val="0" gte="0"/>
      </iconSet>
    </cfRule>
  </conditionalFormatting>
  <conditionalFormatting sqref="Z6">
    <cfRule type="iconSet" priority="20">
      <iconSet>
        <cfvo type="percent" val="0"/>
        <cfvo type="num" val="0"/>
        <cfvo type="num" val="0" gte="0"/>
      </iconSet>
    </cfRule>
  </conditionalFormatting>
  <conditionalFormatting sqref="Z7">
    <cfRule type="iconSet" priority="19">
      <iconSet>
        <cfvo type="percent" val="0"/>
        <cfvo type="num" val="0"/>
        <cfvo type="num" val="0" gte="0"/>
      </iconSet>
    </cfRule>
  </conditionalFormatting>
  <conditionalFormatting sqref="Z8 Z12 Z14:Z17 Z21 Z23 Z25">
    <cfRule type="iconSet" priority="28">
      <iconSet>
        <cfvo type="percent" val="0"/>
        <cfvo type="num" val="0"/>
        <cfvo type="num" val="0" gte="0"/>
      </iconSet>
    </cfRule>
  </conditionalFormatting>
  <conditionalFormatting sqref="Z9:Z10">
    <cfRule type="iconSet" priority="22">
      <iconSet>
        <cfvo type="percent" val="0"/>
        <cfvo type="num" val="0"/>
        <cfvo type="num" val="0" gte="0"/>
      </iconSet>
    </cfRule>
  </conditionalFormatting>
  <conditionalFormatting sqref="Z11">
    <cfRule type="iconSet" priority="18">
      <iconSet>
        <cfvo type="percent" val="0"/>
        <cfvo type="num" val="0"/>
        <cfvo type="num" val="0" gte="0"/>
      </iconSet>
    </cfRule>
  </conditionalFormatting>
  <conditionalFormatting sqref="Z13">
    <cfRule type="iconSet" priority="17">
      <iconSet>
        <cfvo type="percent" val="0"/>
        <cfvo type="num" val="0"/>
        <cfvo type="num" val="0" gte="0"/>
      </iconSet>
    </cfRule>
  </conditionalFormatting>
  <conditionalFormatting sqref="Z18">
    <cfRule type="iconSet" priority="16">
      <iconSet>
        <cfvo type="percent" val="0"/>
        <cfvo type="num" val="0"/>
        <cfvo type="num" val="0" gte="0"/>
      </iconSet>
    </cfRule>
  </conditionalFormatting>
  <conditionalFormatting sqref="Z19">
    <cfRule type="iconSet" priority="15">
      <iconSet>
        <cfvo type="percent" val="0"/>
        <cfvo type="num" val="0"/>
        <cfvo type="num" val="0" gte="0"/>
      </iconSet>
    </cfRule>
  </conditionalFormatting>
  <conditionalFormatting sqref="Z20">
    <cfRule type="iconSet" priority="14">
      <iconSet>
        <cfvo type="percent" val="0"/>
        <cfvo type="num" val="0"/>
        <cfvo type="num" val="0" gte="0"/>
      </iconSet>
    </cfRule>
  </conditionalFormatting>
  <conditionalFormatting sqref="Z22">
    <cfRule type="iconSet" priority="13">
      <iconSet>
        <cfvo type="percent" val="0"/>
        <cfvo type="num" val="0"/>
        <cfvo type="num" val="0" gte="0"/>
      </iconSet>
    </cfRule>
  </conditionalFormatting>
  <conditionalFormatting sqref="Z24">
    <cfRule type="iconSet" priority="3">
      <iconSet>
        <cfvo type="percent" val="0"/>
        <cfvo type="num" val="0"/>
        <cfvo type="num" val="0" gte="0"/>
      </iconSet>
    </cfRule>
  </conditionalFormatting>
  <conditionalFormatting sqref="AC6:AM24 AC25 AE25:AM25">
    <cfRule type="expression" dxfId="371" priority="46">
      <formula>AP6=3</formula>
    </cfRule>
    <cfRule type="expression" dxfId="370" priority="47">
      <formula>AP6=5</formula>
    </cfRule>
    <cfRule type="expression" dxfId="369" priority="48">
      <formula>AP6=4</formula>
    </cfRule>
    <cfRule type="expression" dxfId="368" priority="49">
      <formula>AP6=2</formula>
    </cfRule>
    <cfRule type="expression" dxfId="367" priority="50">
      <formula>AP6=1</formula>
    </cfRule>
    <cfRule type="expression" dxfId="366" priority="51">
      <formula>AP6=0</formula>
    </cfRule>
  </conditionalFormatting>
  <conditionalFormatting sqref="AN6:AN25">
    <cfRule type="expression" dxfId="365" priority="58">
      <formula>BA6=3</formula>
    </cfRule>
    <cfRule type="expression" dxfId="364" priority="63">
      <formula>BA6=0</formula>
    </cfRule>
    <cfRule type="expression" dxfId="363" priority="59">
      <formula>BA6=5</formula>
    </cfRule>
    <cfRule type="expression" dxfId="362" priority="60">
      <formula>BA6=4</formula>
    </cfRule>
    <cfRule type="expression" dxfId="361" priority="61">
      <formula>BA6=2</formula>
    </cfRule>
    <cfRule type="expression" dxfId="360" priority="62">
      <formula>BA6=1</formula>
    </cfRule>
  </conditionalFormatting>
  <conditionalFormatting sqref="AO6:AO25">
    <cfRule type="expression" dxfId="359" priority="52">
      <formula>#REF!=3</formula>
    </cfRule>
    <cfRule type="expression" dxfId="358" priority="54">
      <formula>#REF!=4</formula>
    </cfRule>
    <cfRule type="expression" dxfId="357" priority="55">
      <formula>#REF!=2</formula>
    </cfRule>
    <cfRule type="expression" dxfId="356" priority="57">
      <formula>#REF!=0</formula>
    </cfRule>
    <cfRule type="expression" dxfId="355" priority="53">
      <formula>#REF!=5</formula>
    </cfRule>
    <cfRule type="expression" dxfId="354" priority="56">
      <formula>#REF!=1</formula>
    </cfRule>
  </conditionalFormatting>
  <conditionalFormatting sqref="FH6:FH25 FH27">
    <cfRule type="colorScale" priority="21">
      <colorScale>
        <cfvo type="min"/>
        <cfvo type="percentile" val="50"/>
        <cfvo type="max"/>
        <color rgb="FFF8696B"/>
        <color rgb="FFFFEB84"/>
        <color rgb="FF63BE7B"/>
      </colorScale>
    </cfRule>
  </conditionalFormatting>
  <dataValidations disablePrompts="1" count="1">
    <dataValidation type="list" allowBlank="1" showInputMessage="1" showErrorMessage="1" sqref="B1" xr:uid="{DD384C35-6F51-408F-A290-AD8B26992F67}">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29" id="{179C6A88-51C0-4291-A212-14D029733600}">
            <x14:iconSet custom="1">
              <x14:cfvo type="percent">
                <xm:f>0</xm:f>
              </x14:cfvo>
              <x14:cfvo type="num">
                <xm:f>0</xm:f>
              </x14:cfvo>
              <x14:cfvo type="num" gte="0">
                <xm:f>0</xm:f>
              </x14:cfvo>
              <x14:cfIcon iconSet="3TrafficLights1" iconId="2"/>
              <x14:cfIcon iconSet="3TrafficLights1" iconId="1"/>
              <x14:cfIcon iconSet="3TrafficLights1" iconId="0"/>
            </x14:iconSet>
          </x14:cfRule>
          <xm:sqref>X6:X24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B504D276-D0CC-4F05-AE44-5481497D6DC1}">
          <x14:formula1>
            <xm:f>datos!$A$10:$A$178</xm:f>
          </x14:formula1>
          <xm:sqref>A1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FAA6-CF22-45AE-A8DF-8188FF25297B}">
  <sheetPr>
    <tabColor theme="5" tint="-0.249977111117893"/>
    <pageSetUpPr fitToPage="1"/>
  </sheetPr>
  <dimension ref="A1:FI47"/>
  <sheetViews>
    <sheetView showGridLines="0" zoomScale="70" zoomScaleNormal="70" workbookViewId="0">
      <pane xSplit="4" topLeftCell="E1" activePane="topRight" state="frozen"/>
      <selection pane="topRight" activeCell="AP1" sqref="AP1:BA1048576"/>
    </sheetView>
  </sheetViews>
  <sheetFormatPr baseColWidth="10" defaultRowHeight="18.75" customHeight="1"/>
  <cols>
    <col min="1" max="1" width="18.88671875" style="11" customWidth="1"/>
    <col min="2" max="2" width="2.109375" style="11" hidden="1" customWidth="1"/>
    <col min="3" max="3" width="5.44140625" style="154" hidden="1" customWidth="1"/>
    <col min="4" max="4" width="0.1093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5.33203125" bestFit="1" customWidth="1"/>
    <col min="27" max="27" width="1.44140625" customWidth="1"/>
    <col min="28" max="28" width="53" style="11" hidden="1" customWidth="1"/>
    <col min="29" max="38" width="1.88671875" style="57" customWidth="1"/>
    <col min="39" max="39" width="2" style="57" customWidth="1"/>
    <col min="40" max="40" width="3.5546875" style="57" customWidth="1"/>
    <col min="41" max="41" width="1.44140625" style="57" customWidth="1"/>
    <col min="42" max="42" width="5.5546875" style="28" hidden="1" customWidth="1"/>
    <col min="43" max="45" width="5.6640625" style="28" hidden="1" customWidth="1"/>
    <col min="46" max="46" width="5.6640625" hidden="1" customWidth="1"/>
    <col min="47" max="48" width="6.33203125" hidden="1" customWidth="1"/>
    <col min="49" max="49" width="5.6640625" hidden="1" customWidth="1"/>
    <col min="50" max="50" width="6" hidden="1" customWidth="1"/>
    <col min="51" max="51" width="5.33203125" hidden="1" customWidth="1"/>
    <col min="52" max="52" width="5.6640625" hidden="1" customWidth="1"/>
    <col min="53" max="53" width="5.5546875" hidden="1" customWidth="1"/>
    <col min="54" max="54" width="7.44140625" customWidth="1"/>
    <col min="55" max="55" width="11.6640625" style="141" customWidth="1"/>
    <col min="56" max="56" width="12" customWidth="1"/>
    <col min="57" max="57" width="0.88671875" customWidth="1"/>
    <col min="58" max="58" width="7.88671875" customWidth="1"/>
    <col min="59" max="61" width="8.88671875" bestFit="1" customWidth="1"/>
    <col min="62" max="62" width="3.6640625" customWidth="1"/>
    <col min="63" max="63" width="1.33203125" customWidth="1"/>
    <col min="64" max="64" width="12.88671875" customWidth="1"/>
    <col min="65" max="65" width="12.44140625" customWidth="1"/>
    <col min="66" max="66" width="2.44140625" customWidth="1"/>
    <col min="67" max="67" width="5.109375" customWidth="1"/>
    <col min="68" max="68" width="14.44140625" bestFit="1" customWidth="1"/>
    <col min="69" max="69" width="12.5546875" customWidth="1"/>
    <col min="70" max="70" width="2.44140625" customWidth="1"/>
    <col min="71" max="71" width="8.109375" customWidth="1"/>
    <col min="72" max="73" width="7.5546875" customWidth="1"/>
    <col min="74" max="74" width="2.88671875" customWidth="1"/>
    <col min="75" max="75" width="0.88671875" customWidth="1"/>
    <col min="76" max="77" width="7.44140625" customWidth="1"/>
    <col min="78" max="79" width="7.109375" customWidth="1"/>
    <col min="80" max="81" width="9.88671875" bestFit="1" customWidth="1"/>
    <col min="82" max="82" width="4.33203125" customWidth="1"/>
    <col min="83" max="83" width="7.109375" bestFit="1" customWidth="1"/>
    <col min="84" max="84" width="7.88671875" bestFit="1" customWidth="1"/>
    <col min="85" max="86" width="7.88671875" customWidth="1"/>
    <col min="87" max="87" width="10.88671875" customWidth="1"/>
    <col min="88" max="88" width="7" bestFit="1" customWidth="1"/>
    <col min="89" max="89" width="11" bestFit="1" customWidth="1"/>
    <col min="90" max="90" width="7.44140625" bestFit="1" customWidth="1"/>
    <col min="91" max="91" width="6.88671875" bestFit="1" customWidth="1"/>
    <col min="92" max="92" width="7" bestFit="1" customWidth="1"/>
    <col min="93" max="93" width="7.44140625" bestFit="1" customWidth="1"/>
    <col min="94" max="94" width="7.109375" bestFit="1" customWidth="1"/>
    <col min="95" max="95" width="6.6640625" bestFit="1" customWidth="1"/>
    <col min="96" max="96" width="6.8867187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2" width="7.44140625" bestFit="1" customWidth="1"/>
    <col min="103" max="103" width="6.88671875" bestFit="1" customWidth="1"/>
    <col min="104" max="104" width="6.5546875" bestFit="1" customWidth="1"/>
    <col min="105" max="105" width="6.88671875" bestFit="1" customWidth="1"/>
    <col min="106" max="106" width="7.109375" bestFit="1" customWidth="1"/>
    <col min="107" max="107" width="6.6640625" bestFit="1" customWidth="1"/>
    <col min="108" max="108" width="6.88671875" bestFit="1" customWidth="1"/>
    <col min="109" max="109" width="7.44140625" bestFit="1" customWidth="1"/>
    <col min="110" max="110" width="6.6640625" bestFit="1" customWidth="1"/>
    <col min="111" max="111" width="6.109375" bestFit="1" customWidth="1"/>
    <col min="112" max="112" width="7" bestFit="1" customWidth="1"/>
    <col min="113" max="113" width="5" customWidth="1"/>
    <col min="114" max="114" width="11" bestFit="1" customWidth="1"/>
    <col min="115" max="115" width="6.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3" width="6.6640625" bestFit="1" customWidth="1"/>
    <col min="134" max="134" width="7.44140625" bestFit="1" customWidth="1"/>
    <col min="135" max="136" width="6.664062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46082</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46082</v>
      </c>
      <c r="BH1" s="3">
        <v>46054</v>
      </c>
      <c r="BI1" s="3">
        <f>+VLOOKUP(BI2,datos!$D:$E,2,FALSE)</f>
        <v>45717</v>
      </c>
      <c r="BL1" s="3">
        <f>+A1</f>
        <v>46082</v>
      </c>
      <c r="BM1" s="3">
        <f>+VLOOKUP(BM2,datos!$D:$E,2,FALSE)</f>
        <v>45717</v>
      </c>
      <c r="BP1" s="3">
        <f>+A1</f>
        <v>46082</v>
      </c>
      <c r="BQ1" s="3">
        <f>+VLOOKUP(BQ2,datos!$D:$E,2,FALSE)</f>
        <v>45717</v>
      </c>
      <c r="BT1" t="s">
        <v>279</v>
      </c>
      <c r="BU1" t="s">
        <v>280</v>
      </c>
      <c r="BX1" t="s">
        <v>279</v>
      </c>
      <c r="BY1" t="s">
        <v>280</v>
      </c>
      <c r="CB1" t="s">
        <v>282</v>
      </c>
      <c r="CC1" t="s">
        <v>283</v>
      </c>
      <c r="CF1" s="3">
        <f>+A1</f>
        <v>46082</v>
      </c>
      <c r="CG1" s="3">
        <f>+VLOOKUP(CG2,datos!$D:$E,2,FALSE)</f>
        <v>46054</v>
      </c>
      <c r="CH1" s="3">
        <f>+VLOOKUP(CH2,datos!$D:$E,2,FALSE)</f>
        <v>45717</v>
      </c>
      <c r="CJ1" s="3">
        <f>+A1</f>
        <v>46082</v>
      </c>
      <c r="CK1" s="3">
        <f>+VLOOKUP(CK2,datos!$D:$E,2,FALSE)</f>
        <v>46082</v>
      </c>
      <c r="CL1" s="3">
        <f>+VLOOKUP(CL2,datos!$D:$E,2,FALSE)</f>
        <v>46054</v>
      </c>
      <c r="CM1" s="3">
        <f>+VLOOKUP(CM2,datos!$D:$E,2,FALSE)</f>
        <v>46023</v>
      </c>
      <c r="CN1" s="3">
        <f>+VLOOKUP(CN2,datos!$D:$E,2,FALSE)</f>
        <v>45992</v>
      </c>
      <c r="CO1" s="3">
        <f>+VLOOKUP(CO2,datos!$D:$E,2,FALSE)</f>
        <v>45962</v>
      </c>
      <c r="CP1" s="3">
        <f>+VLOOKUP(CP2,datos!$D:$E,2,FALSE)</f>
        <v>45931</v>
      </c>
      <c r="CQ1" s="3">
        <f>+VLOOKUP(CQ2,datos!$D:$E,2,FALSE)</f>
        <v>45901</v>
      </c>
      <c r="CR1" s="3">
        <f>+VLOOKUP(CR2,datos!$D:$E,2,FALSE)</f>
        <v>45870</v>
      </c>
      <c r="CS1" s="3">
        <f>+VLOOKUP(CS2,datos!$D:$E,2,FALSE)</f>
        <v>45839</v>
      </c>
      <c r="CT1" s="3">
        <f>+VLOOKUP(CT2,datos!$D:$E,2,FALSE)</f>
        <v>45809</v>
      </c>
      <c r="CU1" s="3">
        <f>+VLOOKUP(CU2,datos!$D:$E,2,FALSE)</f>
        <v>45778</v>
      </c>
      <c r="CV1" s="3">
        <f>+VLOOKUP(CV2,datos!$D:$E,2,FALSE)</f>
        <v>45748</v>
      </c>
      <c r="CW1" s="3">
        <f>+VLOOKUP(CW2,datos!$D:$E,2,FALSE)</f>
        <v>45717</v>
      </c>
      <c r="CX1" s="3">
        <f>+VLOOKUP(CX2,datos!$D:$E,2,FALSE)</f>
        <v>45689</v>
      </c>
      <c r="CY1" s="3">
        <f>+VLOOKUP(CY2,datos!$D:$E,2,FALSE)</f>
        <v>45658</v>
      </c>
      <c r="CZ1" s="3">
        <f>+VLOOKUP(CZ2,datos!$D:$E,2,FALSE)</f>
        <v>45627</v>
      </c>
      <c r="DA1" s="3">
        <f>+VLOOKUP(DA2,datos!$D:$E,2,FALSE)</f>
        <v>45597</v>
      </c>
      <c r="DB1" s="3">
        <f>+VLOOKUP(DB2,datos!$D:$E,2,FALSE)</f>
        <v>45566</v>
      </c>
      <c r="DC1" s="3">
        <f>+VLOOKUP(DC2,datos!$D:$E,2,FALSE)</f>
        <v>45536</v>
      </c>
      <c r="DD1" s="3">
        <f>+VLOOKUP(DD2,datos!$D:$E,2,FALSE)</f>
        <v>45505</v>
      </c>
      <c r="DE1" s="3">
        <f>+VLOOKUP(DE2,datos!$D:$E,2,FALSE)</f>
        <v>45474</v>
      </c>
      <c r="DF1" s="3">
        <f>+VLOOKUP(DF2,datos!$D:$E,2,FALSE)</f>
        <v>45444</v>
      </c>
      <c r="DG1" s="3">
        <f>+VLOOKUP(DG2,datos!$D:$E,2,FALSE)</f>
        <v>45413</v>
      </c>
      <c r="DH1" s="3">
        <f>+VLOOKUP(DH2,datos!$D:$E,2,FALSE)</f>
        <v>45383</v>
      </c>
      <c r="DJ1" s="3">
        <f>+CK1</f>
        <v>46082</v>
      </c>
      <c r="DK1" s="3">
        <f>+VLOOKUP(DK2,datos!$D:$E,2,FALSE)</f>
        <v>46054</v>
      </c>
      <c r="DL1" s="3">
        <f>+VLOOKUP(DL2,datos!$D:$E,2,FALSE)</f>
        <v>46023</v>
      </c>
      <c r="DM1" s="3">
        <f>+VLOOKUP(DM2,datos!$D:$E,2,FALSE)</f>
        <v>45992</v>
      </c>
      <c r="DN1" s="3">
        <f>+VLOOKUP(DN2,datos!$D:$E,2,FALSE)</f>
        <v>45962</v>
      </c>
      <c r="DO1" s="3">
        <f>+VLOOKUP(DO2,datos!$D:$E,2,FALSE)</f>
        <v>45931</v>
      </c>
      <c r="DP1" s="3">
        <f>+VLOOKUP(DP2,datos!$D:$E,2,FALSE)</f>
        <v>45901</v>
      </c>
      <c r="DQ1" s="3">
        <f>+VLOOKUP(DQ2,datos!$D:$E,2,FALSE)</f>
        <v>45870</v>
      </c>
      <c r="DR1" s="3">
        <f>+VLOOKUP(DR2,datos!$D:$E,2,FALSE)</f>
        <v>45839</v>
      </c>
      <c r="DS1" s="3">
        <f>+VLOOKUP(DS2,datos!$D:$E,2,FALSE)</f>
        <v>45809</v>
      </c>
      <c r="DT1" s="3">
        <f>+VLOOKUP(DT2,datos!$D:$E,2,FALSE)</f>
        <v>45778</v>
      </c>
      <c r="DU1" s="3">
        <f>+VLOOKUP(DU2,datos!$D:$E,2,FALSE)</f>
        <v>45748</v>
      </c>
      <c r="DV1" s="3">
        <f>+VLOOKUP(DV2,datos!$D:$E,2,FALSE)</f>
        <v>45717</v>
      </c>
      <c r="DW1" s="3">
        <f>+VLOOKUP(DW2,datos!$D:$E,2,FALSE)</f>
        <v>45689</v>
      </c>
      <c r="DX1" s="3">
        <f>+VLOOKUP(DX2,datos!$D:$E,2,FALSE)</f>
        <v>45658</v>
      </c>
      <c r="DY1" s="3">
        <f>+VLOOKUP(DY2,datos!$D:$E,2,FALSE)</f>
        <v>45627</v>
      </c>
      <c r="DZ1" s="3">
        <f>+VLOOKUP(DZ2,datos!$D:$E,2,FALSE)</f>
        <v>45597</v>
      </c>
      <c r="EA1" s="3">
        <f>+VLOOKUP(EA2,datos!$D:$E,2,FALSE)</f>
        <v>45566</v>
      </c>
      <c r="EB1" s="3">
        <f>+VLOOKUP(EB2,datos!$D:$E,2,FALSE)</f>
        <v>45536</v>
      </c>
      <c r="EC1" s="3">
        <f>+VLOOKUP(EC2,datos!$D:$E,2,FALSE)</f>
        <v>45505</v>
      </c>
      <c r="ED1" s="3">
        <f>+VLOOKUP(ED2,datos!$D:$E,2,FALSE)</f>
        <v>45474</v>
      </c>
      <c r="EE1" s="3">
        <f>+VLOOKUP(EE2,datos!$D:$E,2,FALSE)</f>
        <v>45444</v>
      </c>
      <c r="EF1" s="3">
        <f>+VLOOKUP(EF2,datos!$D:$E,2,FALSE)</f>
        <v>45413</v>
      </c>
      <c r="EG1" s="3">
        <f>+VLOOKUP(EG2,datos!$D:$E,2,FALSE)</f>
        <v>45383</v>
      </c>
      <c r="EI1" s="700">
        <f>+CK1</f>
        <v>46082</v>
      </c>
      <c r="EJ1" s="700">
        <f t="shared" ref="EJ1:FF1" si="0">+CL1</f>
        <v>46054</v>
      </c>
      <c r="EK1" s="3">
        <f t="shared" si="0"/>
        <v>46023</v>
      </c>
      <c r="EL1" s="3">
        <f t="shared" si="0"/>
        <v>45992</v>
      </c>
      <c r="EM1" s="3">
        <f t="shared" si="0"/>
        <v>45962</v>
      </c>
      <c r="EN1" s="3">
        <f t="shared" si="0"/>
        <v>45931</v>
      </c>
      <c r="EO1" s="3">
        <f t="shared" si="0"/>
        <v>45901</v>
      </c>
      <c r="EP1" s="3">
        <f t="shared" si="0"/>
        <v>45870</v>
      </c>
      <c r="EQ1" s="3">
        <f t="shared" si="0"/>
        <v>45839</v>
      </c>
      <c r="ER1" s="3">
        <f t="shared" si="0"/>
        <v>45809</v>
      </c>
      <c r="ES1" s="3">
        <f t="shared" si="0"/>
        <v>45778</v>
      </c>
      <c r="ET1" s="3">
        <f t="shared" si="0"/>
        <v>45748</v>
      </c>
      <c r="EU1" s="3">
        <f t="shared" si="0"/>
        <v>45717</v>
      </c>
      <c r="EV1" s="3">
        <f t="shared" si="0"/>
        <v>45689</v>
      </c>
      <c r="EW1" s="3">
        <f t="shared" si="0"/>
        <v>45658</v>
      </c>
      <c r="EX1" s="3">
        <f t="shared" si="0"/>
        <v>45627</v>
      </c>
      <c r="EY1" s="3">
        <f t="shared" si="0"/>
        <v>45597</v>
      </c>
      <c r="EZ1" s="3">
        <f t="shared" si="0"/>
        <v>45566</v>
      </c>
      <c r="FA1" s="3">
        <f t="shared" si="0"/>
        <v>45536</v>
      </c>
      <c r="FB1" s="3">
        <f t="shared" si="0"/>
        <v>45505</v>
      </c>
      <c r="FC1" s="3">
        <f t="shared" si="0"/>
        <v>45474</v>
      </c>
      <c r="FD1" s="3">
        <f t="shared" si="0"/>
        <v>45444</v>
      </c>
      <c r="FE1" s="3">
        <f t="shared" si="0"/>
        <v>45413</v>
      </c>
      <c r="FF1" s="3">
        <f t="shared" si="0"/>
        <v>45383</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45748</v>
      </c>
      <c r="AQ2" s="174">
        <f>VLOOKUP(VLOOKUP(+$A$1,ran_ma,2,FALSE)-10,ran_idma,2,FALSE)</f>
        <v>45778</v>
      </c>
      <c r="AR2" s="174">
        <f>VLOOKUP(VLOOKUP(+$A$1,ran_ma,2,FALSE)-9,ran_idma,2,FALSE)</f>
        <v>45809</v>
      </c>
      <c r="AS2" s="174">
        <f>VLOOKUP(VLOOKUP(+$A$1,ran_ma,2,FALSE)-8,ran_idma,2,FALSE)</f>
        <v>45839</v>
      </c>
      <c r="AT2" s="59">
        <f>VLOOKUP(VLOOKUP(+$A$1,ran_ma,2,FALSE)-7,ran_idma,2,FALSE)</f>
        <v>45870</v>
      </c>
      <c r="AU2" s="59">
        <f>VLOOKUP(VLOOKUP(+$A$1,ran_ma,2,FALSE)-6,ran_idma,2,FALSE)</f>
        <v>45901</v>
      </c>
      <c r="AV2" s="59">
        <f>VLOOKUP(VLOOKUP(+$A$1,ran_ma,2,FALSE)-5,ran_idma,2,FALSE)</f>
        <v>45931</v>
      </c>
      <c r="AW2" s="59">
        <f>VLOOKUP(VLOOKUP(+$A$1,ran_ma,2,FALSE)-4,ran_idma,2,FALSE)</f>
        <v>45962</v>
      </c>
      <c r="AX2" s="59">
        <f>VLOOKUP(VLOOKUP(+$A$1,ran_ma,2,FALSE)-3,ran_idma,2,FALSE)</f>
        <v>45992</v>
      </c>
      <c r="AY2" s="59">
        <f>VLOOKUP(VLOOKUP(+$A$1,ran_ma,2,FALSE)-2,ran_idma,2,FALSE)</f>
        <v>46023</v>
      </c>
      <c r="AZ2" s="59">
        <f>VLOOKUP(VLOOKUP(+$A$1,ran_ma,2,FALSE)-1,ran_idma,2,FALSE)</f>
        <v>46054</v>
      </c>
      <c r="BA2" s="59">
        <f>VLOOKUP(VLOOKUP(+$A$1,ran_ma,2,FALSE)-0,ran_idma,2,FALSE)</f>
        <v>46082</v>
      </c>
      <c r="BB2" s="59"/>
      <c r="BC2" s="170"/>
      <c r="BE2" s="9" t="s">
        <v>272</v>
      </c>
      <c r="BG2">
        <f>+VLOOKUP(BG1,ran_dat,datos!$D$1,FALSE)</f>
        <v>132</v>
      </c>
      <c r="BH2">
        <f>+BG2-1</f>
        <v>131</v>
      </c>
      <c r="BI2">
        <f>+BG2-12</f>
        <v>120</v>
      </c>
      <c r="BK2" s="9"/>
      <c r="BL2">
        <f>+VLOOKUP(BL1,ran_dat,datos!$D$1,FALSE)</f>
        <v>132</v>
      </c>
      <c r="BM2">
        <f>+BL2-12</f>
        <v>120</v>
      </c>
      <c r="BO2" s="9"/>
      <c r="BP2">
        <f>+VLOOKUP(BP1,ran_dat,datos!$D$1,FALSE)</f>
        <v>132</v>
      </c>
      <c r="BQ2">
        <f>+BP2-12</f>
        <v>120</v>
      </c>
      <c r="BS2" s="9"/>
      <c r="BW2" s="9"/>
      <c r="CD2" s="386"/>
      <c r="CE2" s="9"/>
      <c r="CF2">
        <f>+VLOOKUP(CF1,ran_dat,datos!$D$1,FALSE)</f>
        <v>132</v>
      </c>
      <c r="CG2">
        <f>+CF2-1</f>
        <v>131</v>
      </c>
      <c r="CH2">
        <f>+CF2-12</f>
        <v>120</v>
      </c>
      <c r="CI2" s="386"/>
      <c r="CJ2">
        <f>+VLOOKUP(CJ1,ran_dat,datos!$D$1,FALSE)</f>
        <v>132</v>
      </c>
      <c r="CK2">
        <f>+CJ2</f>
        <v>132</v>
      </c>
      <c r="CL2">
        <f t="shared" ref="CL2:DH2" si="1">+CK2-1</f>
        <v>131</v>
      </c>
      <c r="CM2">
        <f t="shared" si="1"/>
        <v>130</v>
      </c>
      <c r="CN2">
        <f t="shared" si="1"/>
        <v>129</v>
      </c>
      <c r="CO2">
        <f t="shared" si="1"/>
        <v>128</v>
      </c>
      <c r="CP2">
        <f t="shared" si="1"/>
        <v>127</v>
      </c>
      <c r="CQ2">
        <f t="shared" si="1"/>
        <v>126</v>
      </c>
      <c r="CR2">
        <f t="shared" si="1"/>
        <v>125</v>
      </c>
      <c r="CS2">
        <f t="shared" si="1"/>
        <v>124</v>
      </c>
      <c r="CT2">
        <f t="shared" si="1"/>
        <v>123</v>
      </c>
      <c r="CU2">
        <f t="shared" si="1"/>
        <v>122</v>
      </c>
      <c r="CV2">
        <f t="shared" si="1"/>
        <v>121</v>
      </c>
      <c r="CW2">
        <f t="shared" si="1"/>
        <v>120</v>
      </c>
      <c r="CX2">
        <f t="shared" si="1"/>
        <v>119</v>
      </c>
      <c r="CY2">
        <f t="shared" si="1"/>
        <v>118</v>
      </c>
      <c r="CZ2">
        <f t="shared" si="1"/>
        <v>117</v>
      </c>
      <c r="DA2">
        <f t="shared" si="1"/>
        <v>116</v>
      </c>
      <c r="DB2">
        <f t="shared" si="1"/>
        <v>115</v>
      </c>
      <c r="DC2">
        <f t="shared" si="1"/>
        <v>114</v>
      </c>
      <c r="DD2">
        <f t="shared" si="1"/>
        <v>113</v>
      </c>
      <c r="DE2">
        <f t="shared" si="1"/>
        <v>112</v>
      </c>
      <c r="DF2">
        <f t="shared" si="1"/>
        <v>111</v>
      </c>
      <c r="DG2">
        <f t="shared" si="1"/>
        <v>110</v>
      </c>
      <c r="DH2">
        <f t="shared" si="1"/>
        <v>109</v>
      </c>
      <c r="DJ2">
        <f>+VLOOKUP(DJ1,ran_dat,datos!$D$1,FALSE)</f>
        <v>132</v>
      </c>
      <c r="DK2">
        <f t="shared" ref="DK2:EG2" si="2">+DJ2-1</f>
        <v>131</v>
      </c>
      <c r="DL2">
        <f t="shared" si="2"/>
        <v>130</v>
      </c>
      <c r="DM2">
        <f t="shared" si="2"/>
        <v>129</v>
      </c>
      <c r="DN2">
        <f t="shared" si="2"/>
        <v>128</v>
      </c>
      <c r="DO2">
        <f t="shared" si="2"/>
        <v>127</v>
      </c>
      <c r="DP2">
        <f t="shared" si="2"/>
        <v>126</v>
      </c>
      <c r="DQ2">
        <f t="shared" si="2"/>
        <v>125</v>
      </c>
      <c r="DR2">
        <f t="shared" si="2"/>
        <v>124</v>
      </c>
      <c r="DS2">
        <f t="shared" si="2"/>
        <v>123</v>
      </c>
      <c r="DT2">
        <f t="shared" si="2"/>
        <v>122</v>
      </c>
      <c r="DU2">
        <f t="shared" si="2"/>
        <v>121</v>
      </c>
      <c r="DV2">
        <f t="shared" si="2"/>
        <v>120</v>
      </c>
      <c r="DW2">
        <f t="shared" si="2"/>
        <v>119</v>
      </c>
      <c r="DX2">
        <f t="shared" si="2"/>
        <v>118</v>
      </c>
      <c r="DY2">
        <f t="shared" si="2"/>
        <v>117</v>
      </c>
      <c r="DZ2">
        <f t="shared" si="2"/>
        <v>116</v>
      </c>
      <c r="EA2">
        <f t="shared" si="2"/>
        <v>115</v>
      </c>
      <c r="EB2">
        <f t="shared" si="2"/>
        <v>114</v>
      </c>
      <c r="EC2">
        <f t="shared" si="2"/>
        <v>113</v>
      </c>
      <c r="ED2">
        <f t="shared" si="2"/>
        <v>112</v>
      </c>
      <c r="EE2">
        <f t="shared" si="2"/>
        <v>111</v>
      </c>
      <c r="EF2">
        <f t="shared" si="2"/>
        <v>110</v>
      </c>
      <c r="EG2">
        <f t="shared" si="2"/>
        <v>109</v>
      </c>
      <c r="EI2" s="14">
        <f>+VLOOKUP(EI1,ran_dat,datos!$D$1,FALSE)</f>
        <v>132</v>
      </c>
      <c r="EJ2" s="14">
        <f t="shared" ref="EJ2:FF2" si="3">+EI2-1</f>
        <v>131</v>
      </c>
      <c r="EK2">
        <f t="shared" si="3"/>
        <v>130</v>
      </c>
      <c r="EL2">
        <f t="shared" si="3"/>
        <v>129</v>
      </c>
      <c r="EM2">
        <f t="shared" si="3"/>
        <v>128</v>
      </c>
      <c r="EN2">
        <f t="shared" si="3"/>
        <v>127</v>
      </c>
      <c r="EO2">
        <f t="shared" si="3"/>
        <v>126</v>
      </c>
      <c r="EP2">
        <f t="shared" si="3"/>
        <v>125</v>
      </c>
      <c r="EQ2">
        <f t="shared" si="3"/>
        <v>124</v>
      </c>
      <c r="ER2">
        <f t="shared" si="3"/>
        <v>123</v>
      </c>
      <c r="ES2">
        <f t="shared" si="3"/>
        <v>122</v>
      </c>
      <c r="ET2">
        <f t="shared" si="3"/>
        <v>121</v>
      </c>
      <c r="EU2">
        <f t="shared" si="3"/>
        <v>120</v>
      </c>
      <c r="EV2">
        <f t="shared" si="3"/>
        <v>119</v>
      </c>
      <c r="EW2">
        <f t="shared" si="3"/>
        <v>118</v>
      </c>
      <c r="EX2">
        <f t="shared" si="3"/>
        <v>117</v>
      </c>
      <c r="EY2">
        <f t="shared" si="3"/>
        <v>116</v>
      </c>
      <c r="EZ2">
        <f t="shared" si="3"/>
        <v>115</v>
      </c>
      <c r="FA2">
        <f t="shared" si="3"/>
        <v>114</v>
      </c>
      <c r="FB2">
        <f t="shared" si="3"/>
        <v>113</v>
      </c>
      <c r="FC2">
        <f t="shared" si="3"/>
        <v>112</v>
      </c>
      <c r="FD2">
        <f t="shared" si="3"/>
        <v>111</v>
      </c>
      <c r="FE2">
        <f t="shared" si="3"/>
        <v>110</v>
      </c>
      <c r="FF2">
        <f t="shared" si="3"/>
        <v>109</v>
      </c>
    </row>
    <row r="3" spans="1:164" ht="18.75" customHeight="1">
      <c r="A3" s="220"/>
      <c r="C3" s="155"/>
      <c r="D3" s="196">
        <v>0.33</v>
      </c>
      <c r="E3" s="100">
        <f>IFERROR(+BG5/BH5-1,"")</f>
        <v>3.3826221924415201E-2</v>
      </c>
      <c r="F3" s="56" t="s">
        <v>515</v>
      </c>
      <c r="G3" s="56"/>
      <c r="H3" s="56"/>
      <c r="I3" s="60">
        <f>IFERROR(+BG5/BI5-1,"")</f>
        <v>0.32622879925290049</v>
      </c>
      <c r="J3" s="56" t="s">
        <v>515</v>
      </c>
      <c r="K3" s="56"/>
      <c r="L3" s="56"/>
      <c r="M3" s="32"/>
      <c r="N3" s="196">
        <v>0.33</v>
      </c>
      <c r="O3" s="31"/>
      <c r="S3" s="32"/>
      <c r="T3" s="196">
        <v>0.33</v>
      </c>
      <c r="U3" s="150" t="str">
        <f>TEXT(CV1,"MMM-YY")&amp;"."&amp;TEXT(CK1,"MMM-YY")&amp;" vs "&amp;TEXT(DH1,"MMM-YY")&amp;"."&amp;TEXT(CW1,"MMM-YY")</f>
        <v>abr-25.mar-26 vs abr-24.mar-25</v>
      </c>
      <c r="Y3" s="59" t="str">
        <f>TEXT(CK1,"MMM-YY")&amp;" vs "&amp;TEXT(CW1,"MMM-YY")</f>
        <v>mar-26 vs mar-25</v>
      </c>
      <c r="BE3" s="4" t="s">
        <v>3</v>
      </c>
      <c r="BF3" s="4"/>
      <c r="BG3" s="4"/>
      <c r="BH3" s="4"/>
      <c r="BI3" s="4"/>
      <c r="BK3" s="20" t="s">
        <v>15</v>
      </c>
      <c r="BL3" s="20"/>
      <c r="BM3" s="20"/>
      <c r="BO3" s="21" t="s">
        <v>2</v>
      </c>
      <c r="BP3" s="21"/>
      <c r="BQ3" s="21"/>
      <c r="BS3" s="4" t="s">
        <v>7</v>
      </c>
      <c r="BT3" s="4"/>
      <c r="BU3" s="4"/>
      <c r="BW3" s="43" t="s">
        <v>8</v>
      </c>
      <c r="BX3" s="43"/>
      <c r="BY3" s="43"/>
      <c r="CA3" s="22" t="s">
        <v>9</v>
      </c>
      <c r="CB3" s="22"/>
      <c r="CC3" s="22"/>
      <c r="CD3" s="178"/>
      <c r="CE3" s="27" t="s">
        <v>5</v>
      </c>
      <c r="CF3" s="27"/>
      <c r="CG3" s="27"/>
      <c r="CH3" s="27"/>
      <c r="CI3" s="178"/>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O4" s="9"/>
      <c r="BS4" s="9"/>
      <c r="BW4" s="9"/>
      <c r="CE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11077.060799999999</v>
      </c>
      <c r="BH5" s="2">
        <f t="shared" si="4"/>
        <v>10714.6255</v>
      </c>
      <c r="BI5" s="2">
        <f t="shared" si="4"/>
        <v>8352.2999999999993</v>
      </c>
    </row>
    <row r="6" spans="1:164" ht="18.75" customHeight="1">
      <c r="A6" s="243" t="s">
        <v>28</v>
      </c>
      <c r="B6" s="246"/>
      <c r="C6" s="156">
        <f t="shared" ref="C6:C24" si="5">+D6*$D$3+N6*$N$3+T6*$T$3</f>
        <v>0</v>
      </c>
      <c r="D6" s="198">
        <v>-2</v>
      </c>
      <c r="E6" s="248">
        <f t="shared" ref="E6:E24" si="6">IFERROR(+BG6/BH6-1,"")</f>
        <v>3.5616512814520274E-2</v>
      </c>
      <c r="F6" s="249">
        <f t="shared" ref="F6:F24" si="7">+E6-$E$3</f>
        <v>1.7902908901050729E-3</v>
      </c>
      <c r="G6" s="248">
        <f t="shared" ref="G6:G24" si="8">IFERROR(+CF6/CG6-1,"")</f>
        <v>0.11135032688508595</v>
      </c>
      <c r="H6" s="249">
        <f t="shared" ref="H6:H24" si="9">E6-G6</f>
        <v>-7.5733814070565675E-2</v>
      </c>
      <c r="I6" s="248">
        <f t="shared" ref="I6:I24" si="10">IFERROR(+BG6/BI6-1,"")</f>
        <v>0.23311312079523305</v>
      </c>
      <c r="J6" s="249">
        <f t="shared" ref="J6:J24" si="11">+I6-$I$3</f>
        <v>-9.3115678457667439E-2</v>
      </c>
      <c r="K6" s="248">
        <f t="shared" ref="K6:K24" si="12">IFERROR(+CF6/CH6-1,"")</f>
        <v>0.41264096577561116</v>
      </c>
      <c r="L6" s="249">
        <f t="shared" ref="L6:L24" si="13">I6-K6</f>
        <v>-0.1795278449803781</v>
      </c>
      <c r="M6" s="250"/>
      <c r="N6" s="24">
        <v>1</v>
      </c>
      <c r="O6" s="248">
        <f>IFERROR(+BL6/BM6-1,"")</f>
        <v>-0.34782608695652173</v>
      </c>
      <c r="P6" s="251">
        <f>+O6</f>
        <v>-0.34782608695652173</v>
      </c>
      <c r="Q6" s="248">
        <f t="shared" ref="Q6:Q24" si="14">IFERROR(+BP6/BQ6-1,"")</f>
        <v>-0.15384615384615385</v>
      </c>
      <c r="R6" s="251">
        <f>+Q6</f>
        <v>-0.15384615384615385</v>
      </c>
      <c r="S6" s="250"/>
      <c r="T6" s="24">
        <v>1</v>
      </c>
      <c r="U6" s="248">
        <f t="shared" ref="U6:U24" si="15">IFERROR(+BT6/BU6-1,"")</f>
        <v>-0.14603441016133134</v>
      </c>
      <c r="V6" s="252">
        <f t="shared" ref="V6:V24" si="16">+U6</f>
        <v>-0.14603441016133134</v>
      </c>
      <c r="W6" s="701">
        <f>IFERROR(IF(BX6&lt;0.5,"",+BX6/BY6-1),"")</f>
        <v>0.38786271402690642</v>
      </c>
      <c r="X6" s="252">
        <f t="shared" ref="X6:X24" si="17">+W6</f>
        <v>0.38786271402690642</v>
      </c>
      <c r="Y6" s="248" t="str">
        <f t="shared" ref="Y6:Y25" si="18">IFERROR(+CB6/CC6-1,"")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4</v>
      </c>
      <c r="AQ6" s="28">
        <f>VLOOKUP($A6,historia!$A$5:$CM$24,+HLOOKUP(AQ$2,historia!$A$3:$EC$4,2,FALSE),FALSE)</f>
        <v>3</v>
      </c>
      <c r="AR6" s="28">
        <f>VLOOKUP($A6,historia!$A$5:$CM$24,+HLOOKUP(AR$2,historia!$A$3:$EC$4,2,FALSE),FALSE)</f>
        <v>3</v>
      </c>
      <c r="AS6" s="28">
        <f>VLOOKUP($A6,historia!$A$5:$CM$24,+HLOOKUP(AS$2,historia!$A$3:$EC$4,2,FALSE),FALSE)</f>
        <v>3</v>
      </c>
      <c r="AT6" s="58">
        <f>VLOOKUP($A6,historia!$A$5:$DD$24,+HLOOKUP(AT$2,historia!$A$3:$EC$4,2,FALSE),FALSE)</f>
        <v>3</v>
      </c>
      <c r="AU6" s="58">
        <f>VLOOKUP($A6,historia!$A$5:$DD$24,+HLOOKUP(AU$2,historia!$A$3:$EC$4,2,FALSE),FALSE)</f>
        <v>4</v>
      </c>
      <c r="AV6" s="58">
        <f>VLOOKUP($A6,historia!$A$5:$DD$24,+HLOOKUP(AV$2,historia!$A$3:$EC$4,2,FALSE),FALSE)</f>
        <v>4</v>
      </c>
      <c r="AW6" s="58">
        <f>VLOOKUP($A6,historia!$A$5:$DD$24,+HLOOKUP(AW$2,historia!$A$3:$EC$4,2,FALSE),FALSE)</f>
        <v>4</v>
      </c>
      <c r="AX6" s="58">
        <f>VLOOKUP($A6,historia!$A$5:$DD$24,+HLOOKUP(AX$2,historia!$A$3:$EC$4,2,FALSE),FALSE)</f>
        <v>4</v>
      </c>
      <c r="AY6" s="58">
        <f>VLOOKUP($A6,historia!$A$5:$DD$24,+HLOOKUP(AY$2,historia!$A$3:$EC$4,2,FALSE),FALSE)</f>
        <v>4</v>
      </c>
      <c r="AZ6" s="58">
        <f>VLOOKUP($A6,historia!$A$5:$DD$24,+HLOOKUP(AZ$2,historia!$A$3:$EC$4,2,FALSE),FALSE)</f>
        <v>4</v>
      </c>
      <c r="BA6" s="58">
        <f>VLOOKUP($A6,historia!$A$5:$DD$24,+HLOOKUP(BA$2,historia!$A$3:$EC$4,2,FALSE),FALSE)</f>
        <v>4</v>
      </c>
      <c r="BB6" s="58"/>
      <c r="BC6" s="286">
        <v>4</v>
      </c>
      <c r="BD6" t="str">
        <f t="shared" ref="BD6:BD24" si="20">+A6</f>
        <v>Algodón</v>
      </c>
      <c r="BE6">
        <f>+datos!P1</f>
        <v>16</v>
      </c>
      <c r="BF6" s="2" t="str">
        <f t="shared" si="4"/>
        <v>$/kg</v>
      </c>
      <c r="BG6" s="2">
        <f t="shared" si="4"/>
        <v>1585.1935091750001</v>
      </c>
      <c r="BH6" s="2">
        <f t="shared" si="4"/>
        <v>1530.6761620349998</v>
      </c>
      <c r="BI6" s="2">
        <f t="shared" si="4"/>
        <v>1285.5215652499999</v>
      </c>
      <c r="BK6" s="1">
        <f>+datos!DK1</f>
        <v>115</v>
      </c>
      <c r="BL6" s="1">
        <f t="shared" ref="BL6:BM24" si="21">+VLOOKUP(BL$1,ran_dat,$BK6,FALSE)</f>
        <v>450000</v>
      </c>
      <c r="BM6" s="1">
        <f t="shared" si="21"/>
        <v>690000</v>
      </c>
      <c r="BO6" s="1">
        <f>+datos!FF1</f>
        <v>162</v>
      </c>
      <c r="BP6" s="1">
        <f>+VLOOKUP(BP$1,ran_dat,$BO6,FALSE)</f>
        <v>1100000</v>
      </c>
      <c r="BQ6" s="1">
        <f t="shared" ref="BP6:BQ24" si="22">+VLOOKUP(BQ$1,ran_dat,$BO6,FALSE)</f>
        <v>1300000</v>
      </c>
      <c r="BS6" s="1">
        <f>+datos!JF1</f>
        <v>266</v>
      </c>
      <c r="BT6" s="1">
        <f>+SUM(CK6:CV6)</f>
        <v>158.0182307</v>
      </c>
      <c r="BU6" s="1">
        <f>+SUM(CW6:DH6)</f>
        <v>185.04051285</v>
      </c>
      <c r="BW6" s="1">
        <f>+datos!KK1</f>
        <v>297</v>
      </c>
      <c r="BX6" s="2">
        <f t="shared" ref="BX6:BX24" si="23">+SUM(DJ6:DU6)</f>
        <v>98.856211779999995</v>
      </c>
      <c r="BY6" s="2">
        <f t="shared" ref="BY6:BY24" si="24">+SUM(DV6:EG6)</f>
        <v>71.229099809999994</v>
      </c>
      <c r="CA6" s="1">
        <f>+datos!HS1</f>
        <v>227</v>
      </c>
      <c r="CB6" s="1">
        <f t="shared" ref="CB6:CB24" si="25">+EI6</f>
        <v>0</v>
      </c>
      <c r="CC6" s="1">
        <f t="shared" ref="CC6:CC24" si="26">+EU6</f>
        <v>0</v>
      </c>
      <c r="CD6" s="1"/>
      <c r="CE6">
        <f>+datos!BY1</f>
        <v>77</v>
      </c>
      <c r="CF6" s="2">
        <f t="shared" ref="CF6:CH24" si="27">+VLOOKUP(CF$1,ran_dat,$CE6,FALSE)</f>
        <v>13776.182057558521</v>
      </c>
      <c r="CG6" s="2">
        <f t="shared" si="27"/>
        <v>12395.895087528943</v>
      </c>
      <c r="CH6" s="2">
        <f t="shared" si="27"/>
        <v>9752.0759990099123</v>
      </c>
      <c r="CI6" s="1"/>
      <c r="CK6" s="1">
        <f t="shared" ref="CK6:CZ21" si="28">+VLOOKUP(CK$1,ran_dat,$BS6,FALSE)</f>
        <v>12.781845520000003</v>
      </c>
      <c r="CL6" s="1">
        <f t="shared" si="28"/>
        <v>12.588257429999995</v>
      </c>
      <c r="CM6" s="1">
        <f t="shared" si="28"/>
        <v>12.342095660000002</v>
      </c>
      <c r="CN6" s="1">
        <f t="shared" si="28"/>
        <v>14.028435419999997</v>
      </c>
      <c r="CO6" s="1">
        <f t="shared" si="28"/>
        <v>19.935607340000004</v>
      </c>
      <c r="CP6" s="1">
        <f t="shared" si="28"/>
        <v>21.754931440000004</v>
      </c>
      <c r="CQ6" s="1">
        <f t="shared" si="28"/>
        <v>18.652099290000002</v>
      </c>
      <c r="CR6" s="1">
        <f t="shared" si="28"/>
        <v>16.211576590000004</v>
      </c>
      <c r="CS6" s="1">
        <f t="shared" si="28"/>
        <v>9.0263359399999974</v>
      </c>
      <c r="CT6" s="1">
        <f t="shared" si="28"/>
        <v>8.2931694499999988</v>
      </c>
      <c r="CU6" s="1">
        <f t="shared" si="28"/>
        <v>5.0945514700000007</v>
      </c>
      <c r="CV6" s="1">
        <f t="shared" si="28"/>
        <v>7.3093251500000047</v>
      </c>
      <c r="CW6" s="1">
        <f t="shared" si="28"/>
        <v>6.7908860800000017</v>
      </c>
      <c r="CX6" s="1">
        <f t="shared" si="28"/>
        <v>8.6490729999999978</v>
      </c>
      <c r="CY6" s="1">
        <f t="shared" si="28"/>
        <v>6.462363250000001</v>
      </c>
      <c r="CZ6" s="1">
        <f t="shared" si="28"/>
        <v>10.78045292</v>
      </c>
      <c r="DA6" s="1">
        <f t="shared" ref="DA6:DH21" si="29">+VLOOKUP(DA$1,ran_dat,$BS6,FALSE)</f>
        <v>14.805583519999997</v>
      </c>
      <c r="DB6" s="1">
        <f t="shared" si="29"/>
        <v>17.696202909999993</v>
      </c>
      <c r="DC6" s="1">
        <f t="shared" si="29"/>
        <v>21.922029789999996</v>
      </c>
      <c r="DD6" s="1">
        <f t="shared" si="29"/>
        <v>19.20970509</v>
      </c>
      <c r="DE6" s="1">
        <f t="shared" si="29"/>
        <v>24.496622440000007</v>
      </c>
      <c r="DF6" s="1">
        <f t="shared" si="29"/>
        <v>21.439575039999998</v>
      </c>
      <c r="DG6" s="1">
        <f t="shared" si="29"/>
        <v>14.529816729999997</v>
      </c>
      <c r="DH6" s="1">
        <f t="shared" si="29"/>
        <v>18.258202080000007</v>
      </c>
      <c r="DJ6" s="1">
        <f t="shared" ref="DJ6:DY21" si="30">+VLOOKUP(DJ$1,ran_dat,$BW6,FALSE)</f>
        <v>5.0269418100000003</v>
      </c>
      <c r="DK6" s="1">
        <f t="shared" si="30"/>
        <v>4.1096809499999996</v>
      </c>
      <c r="DL6" s="1">
        <f t="shared" si="30"/>
        <v>5.6046989700000003</v>
      </c>
      <c r="DM6" s="1">
        <f t="shared" si="30"/>
        <v>5.8762837499999998</v>
      </c>
      <c r="DN6" s="1">
        <f t="shared" si="30"/>
        <v>7.4817210700000008</v>
      </c>
      <c r="DO6" s="1">
        <f t="shared" si="30"/>
        <v>10.164854930000002</v>
      </c>
      <c r="DP6" s="1">
        <f t="shared" si="30"/>
        <v>9.0858989999999995</v>
      </c>
      <c r="DQ6" s="1">
        <f t="shared" si="30"/>
        <v>10.908765819999998</v>
      </c>
      <c r="DR6" s="1">
        <f t="shared" si="30"/>
        <v>11.035692889999996</v>
      </c>
      <c r="DS6" s="1">
        <f t="shared" si="30"/>
        <v>9.4337625599999999</v>
      </c>
      <c r="DT6" s="1">
        <f t="shared" si="30"/>
        <v>9.66008332</v>
      </c>
      <c r="DU6" s="1">
        <f t="shared" si="30"/>
        <v>10.467826709999999</v>
      </c>
      <c r="DV6" s="1">
        <f t="shared" si="30"/>
        <v>7.9836210200000002</v>
      </c>
      <c r="DW6" s="1">
        <f t="shared" si="30"/>
        <v>9.7355070900000005</v>
      </c>
      <c r="DX6" s="1">
        <f t="shared" si="30"/>
        <v>7.6983577599999995</v>
      </c>
      <c r="DY6" s="1">
        <f t="shared" si="30"/>
        <v>8.003268180000001</v>
      </c>
      <c r="DZ6" s="1">
        <f t="shared" ref="DZ6:EG20" si="31">+VLOOKUP(DZ$1,ran_dat,$BW6,FALSE)</f>
        <v>5.6011509000000004</v>
      </c>
      <c r="EA6" s="1">
        <f t="shared" si="31"/>
        <v>5.8112020999999991</v>
      </c>
      <c r="EB6" s="1">
        <f t="shared" si="31"/>
        <v>6.3060080799999998</v>
      </c>
      <c r="EC6" s="1">
        <f t="shared" si="31"/>
        <v>3.7690183000000008</v>
      </c>
      <c r="ED6" s="1">
        <f t="shared" si="31"/>
        <v>4.5361736000000006</v>
      </c>
      <c r="EE6" s="1">
        <f t="shared" si="31"/>
        <v>3.2956469100000003</v>
      </c>
      <c r="EF6" s="1">
        <f t="shared" si="31"/>
        <v>4.5516111999999991</v>
      </c>
      <c r="EG6" s="1">
        <f t="shared" si="31"/>
        <v>3.9375346699999998</v>
      </c>
      <c r="EI6" s="14">
        <f>+VLOOKUP(EI$1,ran_dat,$CA6,FALSE)</f>
        <v>0</v>
      </c>
      <c r="EJ6" s="14">
        <f t="shared" ref="EI6:EX21" si="32">+VLOOKUP(EJ$1,ran_dat,$CA6,FALSE)</f>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si="32"/>
        <v>0</v>
      </c>
      <c r="EY6" s="1">
        <f t="shared" ref="EY6:FF20" si="33">+VLOOKUP(EY$1,ran_dat,$CA6,FALSE)</f>
        <v>0</v>
      </c>
      <c r="EZ6" s="1">
        <f t="shared" si="33"/>
        <v>0</v>
      </c>
      <c r="FA6" s="1">
        <f t="shared" si="33"/>
        <v>0</v>
      </c>
      <c r="FB6" s="1">
        <f t="shared" si="33"/>
        <v>0</v>
      </c>
      <c r="FC6" s="1">
        <f t="shared" si="33"/>
        <v>0</v>
      </c>
      <c r="FD6" s="1">
        <f t="shared" si="33"/>
        <v>0</v>
      </c>
      <c r="FE6" s="1">
        <f t="shared" si="33"/>
        <v>0</v>
      </c>
      <c r="FF6" s="1">
        <f t="shared" si="33"/>
        <v>0</v>
      </c>
      <c r="FH6" s="162">
        <f t="shared" ref="FH6:FH24" si="34">+I6-K6</f>
        <v>-0.1795278449803781</v>
      </c>
    </row>
    <row r="7" spans="1:164" ht="18.75" customHeight="1">
      <c r="A7" s="244" t="s">
        <v>13</v>
      </c>
      <c r="B7" s="247"/>
      <c r="C7" s="228">
        <f t="shared" si="5"/>
        <v>-0.33</v>
      </c>
      <c r="D7" s="229">
        <v>-1</v>
      </c>
      <c r="E7" s="253">
        <f t="shared" si="6"/>
        <v>-7.407407407407407E-2</v>
      </c>
      <c r="F7" s="254">
        <f t="shared" si="7"/>
        <v>-0.10790029599848927</v>
      </c>
      <c r="G7" s="253">
        <f t="shared" si="8"/>
        <v>0.22500243130317044</v>
      </c>
      <c r="H7" s="254">
        <f t="shared" si="9"/>
        <v>-0.29907650537724451</v>
      </c>
      <c r="I7" s="253">
        <f t="shared" si="10"/>
        <v>0</v>
      </c>
      <c r="J7" s="254">
        <f t="shared" si="11"/>
        <v>-0.32622879925290049</v>
      </c>
      <c r="K7" s="253">
        <f t="shared" si="12"/>
        <v>0.66302458770937278</v>
      </c>
      <c r="L7" s="254">
        <f t="shared" si="13"/>
        <v>-0.66302458770937278</v>
      </c>
      <c r="M7" s="255"/>
      <c r="N7" s="256">
        <v>1</v>
      </c>
      <c r="O7" s="253">
        <f t="shared" ref="O7:O24" si="35">IFERROR(+BL7/BM7-1,"")</f>
        <v>-0.13043478260869568</v>
      </c>
      <c r="P7" s="257">
        <f t="shared" ref="P7:P24" si="36">+O7</f>
        <v>-0.13043478260869568</v>
      </c>
      <c r="Q7" s="253">
        <f t="shared" si="14"/>
        <v>0.23076923076923084</v>
      </c>
      <c r="R7" s="257">
        <f t="shared" ref="R7:R24" si="37">+Q7</f>
        <v>0.23076923076923084</v>
      </c>
      <c r="S7" s="255"/>
      <c r="T7" s="256">
        <v>-1</v>
      </c>
      <c r="U7" s="253">
        <f t="shared" si="15"/>
        <v>0.10173670899485265</v>
      </c>
      <c r="V7" s="258">
        <f t="shared" si="16"/>
        <v>0.10173670899485265</v>
      </c>
      <c r="W7" s="253">
        <f t="shared" ref="W7:W24" si="38">IFERROR(IF(BX7&lt;0.5,"",+BX7/BY7-1),"")</f>
        <v>-0.5099178820165966</v>
      </c>
      <c r="X7" s="258">
        <f t="shared" si="17"/>
        <v>-0.5099178820165966</v>
      </c>
      <c r="Y7" s="253">
        <f t="shared" si="18"/>
        <v>0.41428571428571437</v>
      </c>
      <c r="Z7" s="258">
        <f t="shared" si="19"/>
        <v>0.41428571428571437</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4</v>
      </c>
      <c r="AQ7" s="28">
        <f>VLOOKUP($A7,historia!$A$5:$CM$24,+HLOOKUP(AQ$2,historia!$A$3:$EC$4,2,FALSE),FALSE)</f>
        <v>4</v>
      </c>
      <c r="AR7" s="28">
        <f>VLOOKUP($A7,historia!$A$5:$CM$24,+HLOOKUP(AR$2,historia!$A$3:$EC$4,2,FALSE),FALSE)</f>
        <v>4</v>
      </c>
      <c r="AS7" s="28">
        <f>VLOOKUP($A7,historia!$A$5:$CM$24,+HLOOKUP(AS$2,historia!$A$3:$EC$4,2,FALSE),FALSE)</f>
        <v>4</v>
      </c>
      <c r="AT7" s="58">
        <f>VLOOKUP($A7,historia!$A$5:$DD$24,+HLOOKUP(AT$2,historia!$A$3:$EC$4,2,FALSE),FALSE)</f>
        <v>4</v>
      </c>
      <c r="AU7" s="58">
        <f>VLOOKUP($A7,historia!$A$5:$DD$24,+HLOOKUP(AU$2,historia!$A$3:$EC$4,2,FALSE),FALSE)</f>
        <v>4</v>
      </c>
      <c r="AV7" s="58">
        <f>VLOOKUP($A7,historia!$A$5:$DD$24,+HLOOKUP(AV$2,historia!$A$3:$EC$4,2,FALSE),FALSE)</f>
        <v>4</v>
      </c>
      <c r="AW7" s="58">
        <f>VLOOKUP($A7,historia!$A$5:$DD$24,+HLOOKUP(AW$2,historia!$A$3:$EC$4,2,FALSE),FALSE)</f>
        <v>4</v>
      </c>
      <c r="AX7" s="58">
        <f>VLOOKUP($A7,historia!$A$5:$DD$24,+HLOOKUP(AX$2,historia!$A$3:$EC$4,2,FALSE),FALSE)</f>
        <v>4</v>
      </c>
      <c r="AY7" s="58">
        <f>VLOOKUP($A7,historia!$A$5:$DD$24,+HLOOKUP(AY$2,historia!$A$3:$EC$4,2,FALSE),FALSE)</f>
        <v>4</v>
      </c>
      <c r="AZ7" s="58">
        <f>VLOOKUP($A7,historia!$A$5:$DD$24,+HLOOKUP(AZ$2,historia!$A$3:$EC$4,2,FALSE),FALSE)</f>
        <v>4</v>
      </c>
      <c r="BA7" s="58">
        <f>VLOOKUP($A7,historia!$A$5:$DD$24,+HLOOKUP(BA$2,historia!$A$3:$EC$4,2,FALSE),FALSE)</f>
        <v>4</v>
      </c>
      <c r="BB7" s="58"/>
      <c r="BC7" s="286">
        <v>4</v>
      </c>
      <c r="BD7" t="str">
        <f t="shared" si="20"/>
        <v>Arroz</v>
      </c>
      <c r="BE7">
        <f>+datos!R1</f>
        <v>18</v>
      </c>
      <c r="BF7" s="2" t="str">
        <f t="shared" si="4"/>
        <v>$/t</v>
      </c>
      <c r="BG7" s="2">
        <f t="shared" si="4"/>
        <v>250000</v>
      </c>
      <c r="BH7" s="2">
        <f t="shared" si="4"/>
        <v>270000</v>
      </c>
      <c r="BI7" s="2">
        <f t="shared" si="4"/>
        <v>250000</v>
      </c>
      <c r="BK7" s="1">
        <f>+datos!DM1</f>
        <v>117</v>
      </c>
      <c r="BL7" s="1">
        <f t="shared" si="21"/>
        <v>200000</v>
      </c>
      <c r="BM7" s="1">
        <f t="shared" si="21"/>
        <v>230000</v>
      </c>
      <c r="BO7" s="1">
        <f>+datos!FH1</f>
        <v>164</v>
      </c>
      <c r="BP7" s="1">
        <f t="shared" si="22"/>
        <v>1600000</v>
      </c>
      <c r="BQ7" s="1">
        <f t="shared" si="22"/>
        <v>1300000</v>
      </c>
      <c r="BS7" s="1">
        <f>+datos!JG1</f>
        <v>267</v>
      </c>
      <c r="BT7" s="1">
        <f t="shared" ref="BT7:BT24" si="39">+SUM(CK7:CV7)</f>
        <v>416.34857649000003</v>
      </c>
      <c r="BU7" s="1">
        <f t="shared" ref="BU7:BU24" si="40">+SUM(CW7:DH7)</f>
        <v>377.90206416000001</v>
      </c>
      <c r="BW7" s="1">
        <f>+datos!KL1</f>
        <v>298</v>
      </c>
      <c r="BX7" s="2">
        <f t="shared" si="23"/>
        <v>2.4757972700000002</v>
      </c>
      <c r="BY7" s="2">
        <f t="shared" si="24"/>
        <v>5.0518008700000001</v>
      </c>
      <c r="CA7" s="1">
        <f>+datos!HU1</f>
        <v>229</v>
      </c>
      <c r="CB7" s="1">
        <f t="shared" si="25"/>
        <v>990000</v>
      </c>
      <c r="CC7" s="1">
        <f t="shared" si="26"/>
        <v>700000</v>
      </c>
      <c r="CD7" s="1"/>
      <c r="CE7">
        <f>+datos!BZ1</f>
        <v>78</v>
      </c>
      <c r="CF7" s="2">
        <f t="shared" si="27"/>
        <v>15925.556429481843</v>
      </c>
      <c r="CG7" s="2">
        <f t="shared" si="27"/>
        <v>13000.428425713466</v>
      </c>
      <c r="CH7" s="2">
        <f t="shared" si="27"/>
        <v>9576.2603554872785</v>
      </c>
      <c r="CI7" s="1"/>
      <c r="CK7" s="1">
        <f t="shared" si="28"/>
        <v>21.288385250000005</v>
      </c>
      <c r="CL7" s="1">
        <f t="shared" si="28"/>
        <v>90.314876920000003</v>
      </c>
      <c r="CM7" s="1">
        <f t="shared" si="28"/>
        <v>25.485538569999999</v>
      </c>
      <c r="CN7" s="1">
        <f t="shared" si="28"/>
        <v>12.625558100000001</v>
      </c>
      <c r="CO7" s="1">
        <f t="shared" si="28"/>
        <v>36.759837599999997</v>
      </c>
      <c r="CP7" s="1">
        <f t="shared" si="28"/>
        <v>36.299912110000001</v>
      </c>
      <c r="CQ7" s="1">
        <f t="shared" si="28"/>
        <v>15.634826659999996</v>
      </c>
      <c r="CR7" s="1">
        <f t="shared" si="28"/>
        <v>54.436744560000001</v>
      </c>
      <c r="CS7" s="1">
        <f t="shared" si="28"/>
        <v>16.08135906</v>
      </c>
      <c r="CT7" s="1">
        <f t="shared" si="28"/>
        <v>31.537173230000004</v>
      </c>
      <c r="CU7" s="1">
        <f t="shared" si="28"/>
        <v>39.974175860000003</v>
      </c>
      <c r="CV7" s="1">
        <f t="shared" si="28"/>
        <v>35.910188569999995</v>
      </c>
      <c r="CW7" s="1">
        <f t="shared" si="28"/>
        <v>30.652184479999995</v>
      </c>
      <c r="CX7" s="1">
        <f t="shared" si="28"/>
        <v>94.896967090000004</v>
      </c>
      <c r="CY7" s="1">
        <f t="shared" si="28"/>
        <v>22.007364089999996</v>
      </c>
      <c r="CZ7" s="1">
        <f t="shared" si="28"/>
        <v>13.652213600000001</v>
      </c>
      <c r="DA7" s="1">
        <f t="shared" si="29"/>
        <v>21.789652239999999</v>
      </c>
      <c r="DB7" s="1">
        <f t="shared" si="29"/>
        <v>22.506187060000002</v>
      </c>
      <c r="DC7" s="1">
        <f t="shared" si="29"/>
        <v>26.198510359999997</v>
      </c>
      <c r="DD7" s="1">
        <f t="shared" si="29"/>
        <v>16.658344929999998</v>
      </c>
      <c r="DE7" s="1">
        <f t="shared" si="29"/>
        <v>38.799980059999996</v>
      </c>
      <c r="DF7" s="1">
        <f t="shared" si="29"/>
        <v>35.598317799999997</v>
      </c>
      <c r="DG7" s="1">
        <f t="shared" si="29"/>
        <v>32.785113670000001</v>
      </c>
      <c r="DH7" s="1">
        <f t="shared" si="29"/>
        <v>22.35722878</v>
      </c>
      <c r="DJ7" s="1">
        <f t="shared" si="30"/>
        <v>0.19125684999999998</v>
      </c>
      <c r="DK7" s="1">
        <f t="shared" si="30"/>
        <v>0.15253662999999998</v>
      </c>
      <c r="DL7" s="1">
        <f t="shared" si="30"/>
        <v>1.9795769999999997E-2</v>
      </c>
      <c r="DM7" s="1">
        <f t="shared" si="30"/>
        <v>0.22953033</v>
      </c>
      <c r="DN7" s="1">
        <f t="shared" si="30"/>
        <v>3.2780709999999998E-2</v>
      </c>
      <c r="DO7" s="1">
        <f t="shared" si="30"/>
        <v>0.17706282000000001</v>
      </c>
      <c r="DP7" s="1">
        <f t="shared" si="30"/>
        <v>0.30085145999999996</v>
      </c>
      <c r="DQ7" s="1">
        <f t="shared" si="30"/>
        <v>0.26679149000000002</v>
      </c>
      <c r="DR7" s="1">
        <f t="shared" si="30"/>
        <v>0.13893236</v>
      </c>
      <c r="DS7" s="1">
        <f t="shared" si="30"/>
        <v>0.4195122</v>
      </c>
      <c r="DT7" s="1">
        <f t="shared" si="30"/>
        <v>0.20050375000000001</v>
      </c>
      <c r="DU7" s="1">
        <f t="shared" si="30"/>
        <v>0.34624290000000002</v>
      </c>
      <c r="DV7" s="1">
        <f t="shared" si="30"/>
        <v>0.15613090000000002</v>
      </c>
      <c r="DW7" s="1">
        <f t="shared" si="30"/>
        <v>0.47281664000000007</v>
      </c>
      <c r="DX7" s="1">
        <f t="shared" si="30"/>
        <v>0.84812041999999999</v>
      </c>
      <c r="DY7" s="1">
        <f t="shared" si="30"/>
        <v>0.25440681999999998</v>
      </c>
      <c r="DZ7" s="1">
        <f t="shared" si="31"/>
        <v>0.7620908099999999</v>
      </c>
      <c r="EA7" s="1">
        <f t="shared" si="31"/>
        <v>0.50490091999999998</v>
      </c>
      <c r="EB7" s="1">
        <f t="shared" si="31"/>
        <v>0.40961613000000002</v>
      </c>
      <c r="EC7" s="1">
        <f t="shared" si="31"/>
        <v>0.23587240000000001</v>
      </c>
      <c r="ED7" s="1">
        <f t="shared" si="31"/>
        <v>0.18557204999999999</v>
      </c>
      <c r="EE7" s="1">
        <f t="shared" si="31"/>
        <v>0.48301414000000004</v>
      </c>
      <c r="EF7" s="1">
        <f t="shared" si="31"/>
        <v>0.23845672000000001</v>
      </c>
      <c r="EG7" s="1">
        <f t="shared" si="31"/>
        <v>0.50080292000000004</v>
      </c>
      <c r="EI7" s="14">
        <f t="shared" si="32"/>
        <v>990000</v>
      </c>
      <c r="EJ7" s="14">
        <f t="shared" si="32"/>
        <v>990000</v>
      </c>
      <c r="EK7" s="1">
        <f t="shared" si="32"/>
        <v>990000</v>
      </c>
      <c r="EL7" s="1">
        <f t="shared" si="32"/>
        <v>990000</v>
      </c>
      <c r="EM7" s="1">
        <f t="shared" si="32"/>
        <v>990000</v>
      </c>
      <c r="EN7" s="1">
        <f t="shared" si="32"/>
        <v>990000</v>
      </c>
      <c r="EO7" s="1">
        <f t="shared" si="32"/>
        <v>990000</v>
      </c>
      <c r="EP7" s="1">
        <f t="shared" si="32"/>
        <v>990000</v>
      </c>
      <c r="EQ7" s="1">
        <f t="shared" si="32"/>
        <v>990000</v>
      </c>
      <c r="ER7" s="1">
        <f t="shared" si="32"/>
        <v>990000</v>
      </c>
      <c r="ES7" s="1">
        <f t="shared" si="32"/>
        <v>700000</v>
      </c>
      <c r="ET7" s="1">
        <f t="shared" si="32"/>
        <v>700000</v>
      </c>
      <c r="EU7" s="1">
        <f t="shared" si="32"/>
        <v>700000</v>
      </c>
      <c r="EV7" s="1">
        <f t="shared" si="32"/>
        <v>700000</v>
      </c>
      <c r="EW7" s="1">
        <f t="shared" si="32"/>
        <v>700000</v>
      </c>
      <c r="EX7" s="1">
        <f t="shared" si="32"/>
        <v>700000</v>
      </c>
      <c r="EY7" s="1">
        <f t="shared" si="33"/>
        <v>700000</v>
      </c>
      <c r="EZ7" s="1">
        <f t="shared" si="33"/>
        <v>700000</v>
      </c>
      <c r="FA7" s="1">
        <f t="shared" si="33"/>
        <v>700000</v>
      </c>
      <c r="FB7" s="1">
        <f t="shared" si="33"/>
        <v>700000</v>
      </c>
      <c r="FC7" s="1">
        <f t="shared" si="33"/>
        <v>700000</v>
      </c>
      <c r="FD7" s="1">
        <f t="shared" si="33"/>
        <v>700000</v>
      </c>
      <c r="FE7" s="1">
        <f t="shared" si="33"/>
        <v>700000</v>
      </c>
      <c r="FF7" s="1">
        <f t="shared" si="33"/>
        <v>700000</v>
      </c>
      <c r="FH7" s="162">
        <f t="shared" si="34"/>
        <v>-0.66302458770937278</v>
      </c>
    </row>
    <row r="8" spans="1:164" ht="18.75" customHeight="1">
      <c r="A8" s="243" t="s">
        <v>215</v>
      </c>
      <c r="B8" s="246"/>
      <c r="C8" s="156">
        <f t="shared" si="5"/>
        <v>-0.33</v>
      </c>
      <c r="D8" s="198">
        <v>0</v>
      </c>
      <c r="E8" s="248">
        <f t="shared" si="6"/>
        <v>-5.7808699237270722E-2</v>
      </c>
      <c r="F8" s="249">
        <f t="shared" si="7"/>
        <v>-9.1634921161685923E-2</v>
      </c>
      <c r="G8" s="248">
        <f t="shared" si="8"/>
        <v>1.0359068226480028E-2</v>
      </c>
      <c r="H8" s="249">
        <f t="shared" si="9"/>
        <v>-6.816776746375075E-2</v>
      </c>
      <c r="I8" s="248">
        <f t="shared" si="10"/>
        <v>0.11237207491147139</v>
      </c>
      <c r="J8" s="249">
        <f t="shared" si="11"/>
        <v>-0.21385672434142911</v>
      </c>
      <c r="K8" s="248">
        <f t="shared" si="12"/>
        <v>0.24432243394840425</v>
      </c>
      <c r="L8" s="249">
        <f t="shared" si="13"/>
        <v>-0.13195035903693286</v>
      </c>
      <c r="M8" s="250"/>
      <c r="N8" s="24">
        <v>0</v>
      </c>
      <c r="O8" s="248">
        <f t="shared" si="35"/>
        <v>2.4308556611927434E-2</v>
      </c>
      <c r="P8" s="251">
        <f t="shared" si="36"/>
        <v>2.4308556611927434E-2</v>
      </c>
      <c r="Q8" s="248">
        <f t="shared" si="14"/>
        <v>-5.2594255873072981E-3</v>
      </c>
      <c r="R8" s="251">
        <f t="shared" si="37"/>
        <v>-5.2594255873072981E-3</v>
      </c>
      <c r="S8" s="250"/>
      <c r="T8" s="24">
        <v>-1</v>
      </c>
      <c r="U8" s="248">
        <f t="shared" si="15"/>
        <v>-0.49462544466476865</v>
      </c>
      <c r="V8" s="252">
        <f t="shared" si="16"/>
        <v>-0.49462544466476865</v>
      </c>
      <c r="W8" s="248">
        <f t="shared" si="38"/>
        <v>0.11979220136090429</v>
      </c>
      <c r="X8" s="252">
        <f t="shared" si="17"/>
        <v>0.11979220136090429</v>
      </c>
      <c r="Y8" s="248">
        <f t="shared" si="18"/>
        <v>3.3983775487831602E-2</v>
      </c>
      <c r="Z8" s="252">
        <f t="shared" si="19"/>
        <v>3.3983775487831602E-2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2</v>
      </c>
      <c r="AS8" s="28">
        <f>VLOOKUP($A8,historia!$A$5:$CM$24,+HLOOKUP(AS$2,historia!$A$3:$EC$4,2,FALSE),FALSE)</f>
        <v>2</v>
      </c>
      <c r="AT8" s="58">
        <f>VLOOKUP($A8,historia!$A$5:$DD$24,+HLOOKUP(AT$2,historia!$A$3:$EC$4,2,FALSE),FALSE)</f>
        <v>2</v>
      </c>
      <c r="AU8" s="58">
        <f>VLOOKUP($A8,historia!$A$5:$DD$24,+HLOOKUP(AU$2,historia!$A$3:$EC$4,2,FALSE),FALSE)</f>
        <v>2</v>
      </c>
      <c r="AV8" s="58">
        <f>VLOOKUP($A8,historia!$A$5:$DD$24,+HLOOKUP(AV$2,historia!$A$3:$EC$4,2,FALSE),FALSE)</f>
        <v>2</v>
      </c>
      <c r="AW8" s="58">
        <f>VLOOKUP($A8,historia!$A$5:$DD$24,+HLOOKUP(AW$2,historia!$A$3:$EC$4,2,FALSE),FALSE)</f>
        <v>3</v>
      </c>
      <c r="AX8" s="58">
        <f>VLOOKUP($A8,historia!$A$5:$DD$24,+HLOOKUP(AX$2,historia!$A$3:$EC$4,2,FALSE),FALSE)</f>
        <v>3</v>
      </c>
      <c r="AY8" s="58">
        <f>VLOOKUP($A8,historia!$A$5:$DD$24,+HLOOKUP(AY$2,historia!$A$3:$EC$4,2,FALSE),FALSE)</f>
        <v>3</v>
      </c>
      <c r="AZ8" s="58">
        <f>VLOOKUP($A8,historia!$A$5:$DD$24,+HLOOKUP(AZ$2,historia!$A$3:$EC$4,2,FALSE),FALSE)</f>
        <v>3</v>
      </c>
      <c r="BA8" s="58">
        <f>VLOOKUP($A8,historia!$A$5:$DG$24,+HLOOKUP(BA$2,historia!$A$3:$EC$4,2,FALSE),FALSE)</f>
        <v>3</v>
      </c>
      <c r="BB8" s="58"/>
      <c r="BC8" s="286">
        <v>3</v>
      </c>
      <c r="BD8" t="str">
        <f t="shared" si="20"/>
        <v>Aves</v>
      </c>
      <c r="BE8">
        <f>+datos!BQ1</f>
        <v>69</v>
      </c>
      <c r="BF8" s="2" t="str">
        <f t="shared" si="4"/>
        <v>prom pond huevo-carne</v>
      </c>
      <c r="BG8" s="2">
        <f t="shared" si="4"/>
        <v>2285.2849999999999</v>
      </c>
      <c r="BH8" s="2">
        <f t="shared" si="4"/>
        <v>2425.5</v>
      </c>
      <c r="BI8" s="2">
        <f t="shared" si="4"/>
        <v>2054.4250000000002</v>
      </c>
      <c r="BK8" s="1">
        <f>+datos!EP1</f>
        <v>146</v>
      </c>
      <c r="BL8" s="1">
        <f t="shared" si="21"/>
        <v>9481</v>
      </c>
      <c r="BM8" s="1">
        <f t="shared" si="21"/>
        <v>9256</v>
      </c>
      <c r="BO8" s="1">
        <f>+datos!HM1</f>
        <v>221</v>
      </c>
      <c r="BP8" s="1">
        <f t="shared" si="22"/>
        <v>2369951.42</v>
      </c>
      <c r="BQ8" s="1">
        <f t="shared" si="22"/>
        <v>2382481.906299287</v>
      </c>
      <c r="BS8" s="1">
        <f>+datos!KF1</f>
        <v>292</v>
      </c>
      <c r="BT8" s="1">
        <f t="shared" si="39"/>
        <v>104.56826558999998</v>
      </c>
      <c r="BU8" s="1">
        <f t="shared" si="40"/>
        <v>206.91240682</v>
      </c>
      <c r="BW8" s="1">
        <f>+datos!LK1</f>
        <v>323</v>
      </c>
      <c r="BX8" s="2">
        <f t="shared" si="23"/>
        <v>42.273531769999998</v>
      </c>
      <c r="BY8" s="2">
        <f t="shared" si="24"/>
        <v>37.751228949999998</v>
      </c>
      <c r="CA8" s="1">
        <f>+datos!IL1</f>
        <v>246</v>
      </c>
      <c r="CB8" s="2">
        <f t="shared" si="25"/>
        <v>47.16</v>
      </c>
      <c r="CC8" s="2">
        <f t="shared" si="26"/>
        <v>45.61</v>
      </c>
      <c r="CD8" s="2"/>
      <c r="CE8">
        <f>+datos!DG1</f>
        <v>111</v>
      </c>
      <c r="CF8" s="2">
        <f t="shared" si="27"/>
        <v>12192.362039639072</v>
      </c>
      <c r="CG8" s="2">
        <f t="shared" si="27"/>
        <v>12067.35548089925</v>
      </c>
      <c r="CH8" s="2">
        <f t="shared" si="27"/>
        <v>9798.3944570950553</v>
      </c>
      <c r="CI8" s="2"/>
      <c r="CJ8" s="2">
        <f>CB8-CC8</f>
        <v>1.5499999999999972</v>
      </c>
      <c r="CK8" s="1">
        <f t="shared" si="28"/>
        <v>9.6066541700000005</v>
      </c>
      <c r="CL8" s="1">
        <f t="shared" si="28"/>
        <v>9.221842539999999</v>
      </c>
      <c r="CM8" s="1">
        <f t="shared" si="28"/>
        <v>8.3583028800000001</v>
      </c>
      <c r="CN8" s="1">
        <f t="shared" si="28"/>
        <v>10.33831614</v>
      </c>
      <c r="CO8" s="1">
        <f t="shared" si="28"/>
        <v>10.343166379999998</v>
      </c>
      <c r="CP8" s="1">
        <f t="shared" si="28"/>
        <v>8.6585168299999999</v>
      </c>
      <c r="CQ8" s="1">
        <f t="shared" si="28"/>
        <v>9.7942580100000001</v>
      </c>
      <c r="CR8" s="1">
        <f t="shared" si="28"/>
        <v>6.5346210099999995</v>
      </c>
      <c r="CS8" s="1">
        <f t="shared" si="28"/>
        <v>6.7443728600000004</v>
      </c>
      <c r="CT8" s="1">
        <f t="shared" si="28"/>
        <v>8.66231011</v>
      </c>
      <c r="CU8" s="1">
        <f t="shared" si="28"/>
        <v>7.3007548499999997</v>
      </c>
      <c r="CV8" s="1">
        <f t="shared" si="28"/>
        <v>9.0051498100000007</v>
      </c>
      <c r="CW8" s="1">
        <f t="shared" si="28"/>
        <v>5.9149876199999998</v>
      </c>
      <c r="CX8" s="1">
        <f t="shared" si="28"/>
        <v>8.0094020700000002</v>
      </c>
      <c r="CY8" s="1">
        <f t="shared" si="28"/>
        <v>5.62476749</v>
      </c>
      <c r="CZ8" s="1">
        <f t="shared" si="28"/>
        <v>10.456415849999999</v>
      </c>
      <c r="DA8" s="1">
        <f t="shared" si="29"/>
        <v>8.1147673099999995</v>
      </c>
      <c r="DB8" s="1">
        <f t="shared" si="29"/>
        <v>20.968439010000004</v>
      </c>
      <c r="DC8" s="1">
        <f t="shared" si="29"/>
        <v>22.566015059999998</v>
      </c>
      <c r="DD8" s="1">
        <f t="shared" si="29"/>
        <v>20.944876220000001</v>
      </c>
      <c r="DE8" s="1">
        <f t="shared" si="29"/>
        <v>23.157032140000002</v>
      </c>
      <c r="DF8" s="1">
        <f t="shared" si="29"/>
        <v>19.314763240000005</v>
      </c>
      <c r="DG8" s="1">
        <f t="shared" si="29"/>
        <v>22.778743510000002</v>
      </c>
      <c r="DH8" s="1">
        <f t="shared" si="29"/>
        <v>39.062197300000001</v>
      </c>
      <c r="DJ8" s="1">
        <f t="shared" si="30"/>
        <v>5.3810388700000003</v>
      </c>
      <c r="DK8" s="1">
        <f t="shared" si="30"/>
        <v>1.5958006899999999</v>
      </c>
      <c r="DL8" s="1">
        <f t="shared" si="30"/>
        <v>1.1051948</v>
      </c>
      <c r="DM8" s="1">
        <f t="shared" si="30"/>
        <v>4.8166289400000002</v>
      </c>
      <c r="DN8" s="1">
        <f t="shared" si="30"/>
        <v>3.1609685399999994</v>
      </c>
      <c r="DO8" s="1">
        <f t="shared" si="30"/>
        <v>2.9900732700000003</v>
      </c>
      <c r="DP8" s="1">
        <f t="shared" si="30"/>
        <v>5.5193633599999998</v>
      </c>
      <c r="DQ8" s="1">
        <f t="shared" si="30"/>
        <v>3.4351580800000003</v>
      </c>
      <c r="DR8" s="1">
        <f t="shared" si="30"/>
        <v>2.0550383299999999</v>
      </c>
      <c r="DS8" s="1">
        <f t="shared" si="30"/>
        <v>3.4373023600000003</v>
      </c>
      <c r="DT8" s="1">
        <f t="shared" si="30"/>
        <v>5.2475744900000008</v>
      </c>
      <c r="DU8" s="1">
        <f t="shared" si="30"/>
        <v>3.52939004</v>
      </c>
      <c r="DV8" s="1">
        <f t="shared" si="30"/>
        <v>1.41927303</v>
      </c>
      <c r="DW8" s="1">
        <f t="shared" si="30"/>
        <v>4.5240591299999995</v>
      </c>
      <c r="DX8" s="1">
        <f t="shared" si="30"/>
        <v>2.5037689800000003</v>
      </c>
      <c r="DY8" s="1">
        <f t="shared" si="30"/>
        <v>2.5011971499999999</v>
      </c>
      <c r="DZ8" s="1">
        <f t="shared" si="31"/>
        <v>3.7585351000000005</v>
      </c>
      <c r="EA8" s="1">
        <f t="shared" si="31"/>
        <v>4.0425458900000004</v>
      </c>
      <c r="EB8" s="1">
        <f t="shared" si="31"/>
        <v>3.59052696</v>
      </c>
      <c r="EC8" s="1">
        <f t="shared" si="31"/>
        <v>2.1766254799999998</v>
      </c>
      <c r="ED8" s="1">
        <f t="shared" si="31"/>
        <v>1.5903026900000001</v>
      </c>
      <c r="EE8" s="1">
        <f t="shared" si="31"/>
        <v>5.6916922899999998</v>
      </c>
      <c r="EF8" s="1">
        <f t="shared" si="31"/>
        <v>1.7294530099999998</v>
      </c>
      <c r="EG8" s="1">
        <f t="shared" si="31"/>
        <v>4.2232492399999995</v>
      </c>
      <c r="EI8" s="14">
        <f t="shared" si="32"/>
        <v>47.16</v>
      </c>
      <c r="EJ8" s="14">
        <f t="shared" si="32"/>
        <v>47</v>
      </c>
      <c r="EK8" s="1">
        <f t="shared" si="32"/>
        <v>47.2</v>
      </c>
      <c r="EL8" s="1">
        <f t="shared" si="32"/>
        <v>47.7</v>
      </c>
      <c r="EM8" s="1">
        <f t="shared" si="32"/>
        <v>47.68</v>
      </c>
      <c r="EN8" s="1">
        <f t="shared" si="32"/>
        <v>46.5</v>
      </c>
      <c r="EO8" s="1">
        <f t="shared" si="32"/>
        <v>46.08</v>
      </c>
      <c r="EP8" s="1">
        <f t="shared" si="32"/>
        <v>45.67</v>
      </c>
      <c r="EQ8" s="1">
        <f t="shared" si="32"/>
        <v>45.79</v>
      </c>
      <c r="ER8" s="1">
        <f t="shared" si="32"/>
        <v>45.9</v>
      </c>
      <c r="ES8" s="1">
        <f t="shared" si="32"/>
        <v>45.78</v>
      </c>
      <c r="ET8" s="1">
        <f t="shared" si="32"/>
        <v>45.91</v>
      </c>
      <c r="EU8" s="1">
        <f t="shared" si="32"/>
        <v>45.61</v>
      </c>
      <c r="EV8" s="1">
        <f t="shared" si="32"/>
        <v>45.61</v>
      </c>
      <c r="EW8" s="1">
        <f t="shared" si="32"/>
        <v>45.23</v>
      </c>
      <c r="EX8" s="1">
        <f t="shared" si="32"/>
        <v>45.2</v>
      </c>
      <c r="EY8" s="1">
        <f t="shared" si="33"/>
        <v>46.01</v>
      </c>
      <c r="EZ8" s="1">
        <f t="shared" si="33"/>
        <v>44.44</v>
      </c>
      <c r="FA8" s="1">
        <f t="shared" si="33"/>
        <v>42.29</v>
      </c>
      <c r="FB8" s="1">
        <f t="shared" si="33"/>
        <v>45.39</v>
      </c>
      <c r="FC8" s="1">
        <f t="shared" si="33"/>
        <v>45.32</v>
      </c>
      <c r="FD8" s="1">
        <f t="shared" si="33"/>
        <v>44.85</v>
      </c>
      <c r="FE8" s="1">
        <f t="shared" si="33"/>
        <v>45.52</v>
      </c>
      <c r="FF8" s="1">
        <f t="shared" si="33"/>
        <v>46.23</v>
      </c>
      <c r="FH8" s="162">
        <f t="shared" si="34"/>
        <v>-0.13195035903693286</v>
      </c>
    </row>
    <row r="9" spans="1:164" ht="18.75" customHeight="1">
      <c r="A9" s="244" t="s">
        <v>77</v>
      </c>
      <c r="B9" s="247"/>
      <c r="C9" s="228">
        <v>0</v>
      </c>
      <c r="D9" s="229">
        <v>1</v>
      </c>
      <c r="E9" s="253">
        <f t="shared" si="6"/>
        <v>5.1108701050434302E-2</v>
      </c>
      <c r="F9" s="254">
        <f t="shared" si="7"/>
        <v>1.7282479126019101E-2</v>
      </c>
      <c r="G9" s="253">
        <f t="shared" si="8"/>
        <v>0.11276584905712617</v>
      </c>
      <c r="H9" s="254">
        <f t="shared" si="9"/>
        <v>-6.1657148006691864E-2</v>
      </c>
      <c r="I9" s="253">
        <f t="shared" si="10"/>
        <v>0.79906436252781887</v>
      </c>
      <c r="J9" s="254">
        <f t="shared" si="11"/>
        <v>0.47283556327491838</v>
      </c>
      <c r="K9" s="253">
        <f t="shared" si="12"/>
        <v>0.47997921477399186</v>
      </c>
      <c r="L9" s="254">
        <f t="shared" si="13"/>
        <v>0.31908514775382701</v>
      </c>
      <c r="M9" s="255"/>
      <c r="N9" s="256">
        <v>-1</v>
      </c>
      <c r="O9" s="253">
        <f t="shared" si="35"/>
        <v>-1.3639133000699299E-2</v>
      </c>
      <c r="P9" s="257">
        <f t="shared" si="36"/>
        <v>-1.3639133000699299E-2</v>
      </c>
      <c r="Q9" s="253">
        <f t="shared" si="14"/>
        <v>-1.8790024073915501E-2</v>
      </c>
      <c r="R9" s="257">
        <f t="shared" si="37"/>
        <v>-1.8790024073915501E-2</v>
      </c>
      <c r="S9" s="255"/>
      <c r="T9" s="256">
        <v>0</v>
      </c>
      <c r="U9" s="253">
        <f t="shared" si="15"/>
        <v>0.34585998855779732</v>
      </c>
      <c r="V9" s="258">
        <f t="shared" si="16"/>
        <v>0.34585998855779732</v>
      </c>
      <c r="W9" s="253">
        <f t="shared" si="38"/>
        <v>1.1124472011022322</v>
      </c>
      <c r="X9" s="258">
        <f t="shared" si="17"/>
        <v>1.1124472011022322</v>
      </c>
      <c r="Y9" s="253">
        <f t="shared" si="18"/>
        <v>-2.6474127557160054E-2</v>
      </c>
      <c r="Z9" s="258">
        <f t="shared" si="19"/>
        <v>-2.6474127557160054E-2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2</v>
      </c>
      <c r="AQ9" s="28">
        <f>VLOOKUP($A9,historia!$A$5:$CM$24,+HLOOKUP(AQ$2,historia!$A$3:$EC$4,2,FALSE),FALSE)</f>
        <v>2</v>
      </c>
      <c r="AR9" s="28">
        <f>VLOOKUP($A9,historia!$A$5:$CM$24,+HLOOKUP(AR$2,historia!$A$3:$EC$4,2,FALSE),FALSE)</f>
        <v>2</v>
      </c>
      <c r="AS9" s="28">
        <f>VLOOKUP($A9,historia!$A$5:$CM$24,+HLOOKUP(AS$2,historia!$A$3:$EC$4,2,FALSE),FALSE)</f>
        <v>2</v>
      </c>
      <c r="AT9" s="58">
        <f>VLOOKUP($A9,historia!$A$5:$DD$24,+HLOOKUP(AT$2,historia!$A$3:$EC$4,2,FALSE),FALSE)</f>
        <v>1</v>
      </c>
      <c r="AU9" s="58">
        <f>VLOOKUP($A9,historia!$A$5:$DD$24,+HLOOKUP(AU$2,historia!$A$3:$EC$4,2,FALSE),FALSE)</f>
        <v>1</v>
      </c>
      <c r="AV9" s="58">
        <f>VLOOKUP($A9,historia!$A$5:$DD$24,+HLOOKUP(AV$2,historia!$A$3:$EC$4,2,FALSE),FALSE)</f>
        <v>2</v>
      </c>
      <c r="AW9" s="58">
        <f>VLOOKUP($A9,historia!$A$5:$DD$24,+HLOOKUP(AW$2,historia!$A$3:$EC$4,2,FALSE),FALSE)</f>
        <v>1</v>
      </c>
      <c r="AX9" s="58">
        <f>VLOOKUP($A9,historia!$A$5:$DD$24,+HLOOKUP(AX$2,historia!$A$3:$EC$4,2,FALSE),FALSE)</f>
        <v>2</v>
      </c>
      <c r="AY9" s="58">
        <f>VLOOKUP($A9,historia!$A$5:$DD$24,+HLOOKUP(AY$2,historia!$A$3:$EC$4,2,FALSE),FALSE)</f>
        <v>2</v>
      </c>
      <c r="AZ9" s="58">
        <f>VLOOKUP($A9,historia!$A$5:$DD$24,+HLOOKUP(AZ$2,historia!$A$3:$EC$4,2,FALSE),FALSE)</f>
        <v>2</v>
      </c>
      <c r="BA9" s="58">
        <f>VLOOKUP($A9,historia!$A$5:$DG$24,+HLOOKUP(BA$2,historia!$A$3:$EC$4,2,FALSE),FALSE)</f>
        <v>2</v>
      </c>
      <c r="BB9" s="58"/>
      <c r="BC9" s="286">
        <v>2</v>
      </c>
      <c r="BD9" t="str">
        <f t="shared" si="20"/>
        <v>Bovinos</v>
      </c>
      <c r="BE9">
        <f>+datos!BM1</f>
        <v>65</v>
      </c>
      <c r="BF9" s="2" t="str">
        <f t="shared" si="4"/>
        <v>$/kg</v>
      </c>
      <c r="BG9" s="2">
        <f t="shared" si="4"/>
        <v>5788.4634999999998</v>
      </c>
      <c r="BH9" s="2">
        <f t="shared" si="4"/>
        <v>5507.0074999999997</v>
      </c>
      <c r="BI9" s="2">
        <f t="shared" si="4"/>
        <v>3217.4854999999998</v>
      </c>
      <c r="BK9" s="1">
        <f>+datos!EH1</f>
        <v>138</v>
      </c>
      <c r="BL9" s="1">
        <f t="shared" si="21"/>
        <v>50920790</v>
      </c>
      <c r="BM9" s="1">
        <f t="shared" si="21"/>
        <v>51624909</v>
      </c>
      <c r="BO9" s="1">
        <f>+datos!HB1</f>
        <v>210</v>
      </c>
      <c r="BP9" s="1">
        <f t="shared" si="22"/>
        <v>3093549</v>
      </c>
      <c r="BQ9" s="1">
        <f t="shared" si="22"/>
        <v>3152790</v>
      </c>
      <c r="BS9" s="1">
        <f>+datos!KG1</f>
        <v>293</v>
      </c>
      <c r="BT9" s="1">
        <f t="shared" si="39"/>
        <v>5475.2044152199978</v>
      </c>
      <c r="BU9" s="1">
        <f t="shared" si="40"/>
        <v>4068.1827692099996</v>
      </c>
      <c r="BW9" s="1">
        <f>+datos!LL1</f>
        <v>324</v>
      </c>
      <c r="BX9" s="2">
        <f t="shared" si="23"/>
        <v>115.66159933999997</v>
      </c>
      <c r="BY9" s="2">
        <f t="shared" si="24"/>
        <v>54.752421400000003</v>
      </c>
      <c r="CA9" s="1">
        <f>+datos!IM1</f>
        <v>247</v>
      </c>
      <c r="CB9" s="2">
        <f t="shared" si="25"/>
        <v>48.54</v>
      </c>
      <c r="CC9" s="2">
        <f t="shared" si="26"/>
        <v>49.86</v>
      </c>
      <c r="CD9" s="2"/>
      <c r="CE9">
        <f>+datos!DB1</f>
        <v>106</v>
      </c>
      <c r="CF9" s="2">
        <f t="shared" si="27"/>
        <v>15287.945573489849</v>
      </c>
      <c r="CG9" s="2">
        <f t="shared" si="27"/>
        <v>13738.690476926211</v>
      </c>
      <c r="CH9" s="2">
        <f t="shared" si="27"/>
        <v>10329.838028045871</v>
      </c>
      <c r="CI9" s="2"/>
      <c r="CK9" s="1">
        <f t="shared" si="28"/>
        <v>536.74004446000004</v>
      </c>
      <c r="CL9" s="1">
        <f t="shared" si="28"/>
        <v>393.3327183799999</v>
      </c>
      <c r="CM9" s="1">
        <f t="shared" si="28"/>
        <v>435.35705272999991</v>
      </c>
      <c r="CN9" s="1">
        <f t="shared" si="28"/>
        <v>452.44590436999982</v>
      </c>
      <c r="CO9" s="1">
        <f t="shared" si="28"/>
        <v>474.71184945000005</v>
      </c>
      <c r="CP9" s="1">
        <f t="shared" si="28"/>
        <v>535.90919134000001</v>
      </c>
      <c r="CQ9" s="1">
        <f t="shared" si="28"/>
        <v>536.17235368000001</v>
      </c>
      <c r="CR9" s="1">
        <f t="shared" si="28"/>
        <v>505.86158855000002</v>
      </c>
      <c r="CS9" s="1">
        <f t="shared" si="28"/>
        <v>434.66638176999993</v>
      </c>
      <c r="CT9" s="1">
        <f t="shared" si="28"/>
        <v>430.01977605999991</v>
      </c>
      <c r="CU9" s="1">
        <f t="shared" si="28"/>
        <v>389.02912699999996</v>
      </c>
      <c r="CV9" s="1">
        <f t="shared" si="28"/>
        <v>350.95842742999997</v>
      </c>
      <c r="CW9" s="1">
        <f t="shared" si="28"/>
        <v>275.41226476999998</v>
      </c>
      <c r="CX9" s="1">
        <f t="shared" si="28"/>
        <v>345.87150417999976</v>
      </c>
      <c r="CY9" s="1">
        <f t="shared" si="28"/>
        <v>330.34833823999992</v>
      </c>
      <c r="CZ9" s="1">
        <f t="shared" si="28"/>
        <v>372.02787432000008</v>
      </c>
      <c r="DA9" s="1">
        <f t="shared" si="29"/>
        <v>363.37275483999991</v>
      </c>
      <c r="DB9" s="1">
        <f t="shared" si="29"/>
        <v>373.60267999999996</v>
      </c>
      <c r="DC9" s="1">
        <f t="shared" si="29"/>
        <v>392.24577093999977</v>
      </c>
      <c r="DD9" s="1">
        <f t="shared" si="29"/>
        <v>370.00520762000008</v>
      </c>
      <c r="DE9" s="1">
        <f t="shared" si="29"/>
        <v>307.7105307999999</v>
      </c>
      <c r="DF9" s="1">
        <f t="shared" si="29"/>
        <v>311.98041742999999</v>
      </c>
      <c r="DG9" s="1">
        <f t="shared" si="29"/>
        <v>309.32423856999998</v>
      </c>
      <c r="DH9" s="1">
        <f t="shared" si="29"/>
        <v>316.28118749999999</v>
      </c>
      <c r="DJ9" s="1">
        <f t="shared" si="30"/>
        <v>12.219695360000001</v>
      </c>
      <c r="DK9" s="1">
        <f t="shared" si="30"/>
        <v>8.3972474800000008</v>
      </c>
      <c r="DL9" s="1">
        <f t="shared" si="30"/>
        <v>9.2870214400000002</v>
      </c>
      <c r="DM9" s="1">
        <f t="shared" si="30"/>
        <v>11.988372569999999</v>
      </c>
      <c r="DN9" s="1">
        <f t="shared" si="30"/>
        <v>8.8931998399999994</v>
      </c>
      <c r="DO9" s="1">
        <f t="shared" si="30"/>
        <v>5.7331222099999994</v>
      </c>
      <c r="DP9" s="1">
        <f t="shared" si="30"/>
        <v>13.331294830000001</v>
      </c>
      <c r="DQ9" s="1">
        <f t="shared" si="30"/>
        <v>9.6599299699999985</v>
      </c>
      <c r="DR9" s="1">
        <f t="shared" si="30"/>
        <v>6.816705279999999</v>
      </c>
      <c r="DS9" s="1">
        <f t="shared" si="30"/>
        <v>8.1579769499999983</v>
      </c>
      <c r="DT9" s="1">
        <f t="shared" si="30"/>
        <v>10.16779666</v>
      </c>
      <c r="DU9" s="1">
        <f t="shared" si="30"/>
        <v>11.009236750000001</v>
      </c>
      <c r="DV9" s="1">
        <f t="shared" si="30"/>
        <v>8.7569028099999997</v>
      </c>
      <c r="DW9" s="1">
        <f t="shared" si="30"/>
        <v>7.0677003599999999</v>
      </c>
      <c r="DX9" s="1">
        <f t="shared" si="30"/>
        <v>5.8644577399999989</v>
      </c>
      <c r="DY9" s="1">
        <f t="shared" si="30"/>
        <v>6.7460545699999992</v>
      </c>
      <c r="DZ9" s="1">
        <f t="shared" si="31"/>
        <v>2.8647302900000002</v>
      </c>
      <c r="EA9" s="1">
        <f t="shared" si="31"/>
        <v>3.9160438699999998</v>
      </c>
      <c r="EB9" s="1">
        <f t="shared" si="31"/>
        <v>2.7432327000000001</v>
      </c>
      <c r="EC9" s="1">
        <f t="shared" si="31"/>
        <v>3.5031505699999994</v>
      </c>
      <c r="ED9" s="1">
        <f t="shared" si="31"/>
        <v>3.9954732900000005</v>
      </c>
      <c r="EE9" s="1">
        <f t="shared" si="31"/>
        <v>2.3751918999999999</v>
      </c>
      <c r="EF9" s="1">
        <f t="shared" si="31"/>
        <v>3.3189943100000003</v>
      </c>
      <c r="EG9" s="1">
        <f t="shared" si="31"/>
        <v>3.6004889900000006</v>
      </c>
      <c r="EI9" s="14">
        <f t="shared" si="32"/>
        <v>48.54</v>
      </c>
      <c r="EJ9" s="14">
        <f t="shared" si="32"/>
        <v>48.84</v>
      </c>
      <c r="EK9" s="1">
        <f t="shared" si="32"/>
        <v>49.28</v>
      </c>
      <c r="EL9" s="1">
        <f t="shared" si="32"/>
        <v>49.95</v>
      </c>
      <c r="EM9" s="1">
        <f t="shared" si="32"/>
        <v>49.25</v>
      </c>
      <c r="EN9" s="1">
        <f t="shared" si="32"/>
        <v>49.56</v>
      </c>
      <c r="EO9" s="1">
        <f t="shared" si="32"/>
        <v>49.84</v>
      </c>
      <c r="EP9" s="1">
        <f t="shared" si="32"/>
        <v>49.93</v>
      </c>
      <c r="EQ9" s="1">
        <f t="shared" si="32"/>
        <v>50.15</v>
      </c>
      <c r="ER9" s="1">
        <f t="shared" si="32"/>
        <v>50.33</v>
      </c>
      <c r="ES9" s="1">
        <f t="shared" si="32"/>
        <v>49.79</v>
      </c>
      <c r="ET9" s="1">
        <f t="shared" si="32"/>
        <v>49.86</v>
      </c>
      <c r="EU9" s="1">
        <f t="shared" si="32"/>
        <v>49.86</v>
      </c>
      <c r="EV9" s="1">
        <f t="shared" si="32"/>
        <v>48.75</v>
      </c>
      <c r="EW9" s="1">
        <f t="shared" si="32"/>
        <v>48.18</v>
      </c>
      <c r="EX9" s="1">
        <f t="shared" si="32"/>
        <v>47.81</v>
      </c>
      <c r="EY9" s="1">
        <f t="shared" si="33"/>
        <v>46.91</v>
      </c>
      <c r="EZ9" s="1">
        <f t="shared" si="33"/>
        <v>47.74</v>
      </c>
      <c r="FA9" s="1">
        <f t="shared" si="33"/>
        <v>47.38</v>
      </c>
      <c r="FB9" s="1">
        <f t="shared" si="33"/>
        <v>47.74</v>
      </c>
      <c r="FC9" s="1">
        <f t="shared" si="33"/>
        <v>47.8</v>
      </c>
      <c r="FD9" s="1">
        <f t="shared" si="33"/>
        <v>47.58</v>
      </c>
      <c r="FE9" s="1">
        <f t="shared" si="33"/>
        <v>49.18</v>
      </c>
      <c r="FF9" s="1">
        <f t="shared" si="33"/>
        <v>49.37</v>
      </c>
      <c r="FH9" s="162">
        <f t="shared" si="34"/>
        <v>0.31908514775382701</v>
      </c>
    </row>
    <row r="10" spans="1:164" ht="18" customHeight="1">
      <c r="A10" s="263" t="s">
        <v>221</v>
      </c>
      <c r="B10" s="246"/>
      <c r="C10" s="156">
        <f t="shared" si="5"/>
        <v>0</v>
      </c>
      <c r="D10" s="198">
        <v>-1</v>
      </c>
      <c r="E10" s="248">
        <f t="shared" si="6"/>
        <v>-0.20616794892072865</v>
      </c>
      <c r="F10" s="249">
        <f t="shared" si="7"/>
        <v>-0.23999417084514385</v>
      </c>
      <c r="G10" s="248">
        <f t="shared" si="8"/>
        <v>0.1143748953666639</v>
      </c>
      <c r="H10" s="249">
        <f t="shared" si="9"/>
        <v>-0.32054284428739255</v>
      </c>
      <c r="I10" s="248">
        <f t="shared" si="10"/>
        <v>0.57956572805220841</v>
      </c>
      <c r="J10" s="249">
        <f t="shared" si="11"/>
        <v>0.25333692879930791</v>
      </c>
      <c r="K10" s="248">
        <f t="shared" si="12"/>
        <v>0.46770290050295293</v>
      </c>
      <c r="L10" s="249">
        <f t="shared" si="13"/>
        <v>0.11186282754925547</v>
      </c>
      <c r="M10" s="250"/>
      <c r="N10" s="24">
        <v>0</v>
      </c>
      <c r="O10" s="248">
        <f t="shared" si="35"/>
        <v>0</v>
      </c>
      <c r="P10" s="251">
        <f t="shared" si="36"/>
        <v>0</v>
      </c>
      <c r="Q10" s="248">
        <f t="shared" si="14"/>
        <v>0</v>
      </c>
      <c r="R10" s="251">
        <f t="shared" si="37"/>
        <v>0</v>
      </c>
      <c r="S10" s="250"/>
      <c r="T10" s="24">
        <v>1</v>
      </c>
      <c r="U10" s="248">
        <f t="shared" si="15"/>
        <v>-0.14461482615731014</v>
      </c>
      <c r="V10" s="252">
        <f t="shared" si="16"/>
        <v>-0.14461482615731014</v>
      </c>
      <c r="W10" s="248">
        <f t="shared" si="38"/>
        <v>-0.17194001829984573</v>
      </c>
      <c r="X10" s="252">
        <f t="shared" si="17"/>
        <v>-0.17194001829984573</v>
      </c>
      <c r="Y10" s="248">
        <f t="shared" si="18"/>
        <v>0</v>
      </c>
      <c r="Z10" s="258">
        <f t="shared" si="19"/>
        <v>0</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4</v>
      </c>
      <c r="AR10" s="28">
        <f>VLOOKUP($A10,historia!$A$5:$CM$24,+HLOOKUP(AR$2,historia!$A$3:$EC$4,2,FALSE),FALSE)</f>
        <v>3</v>
      </c>
      <c r="AS10" s="28">
        <f>VLOOKUP($A10,historia!$A$5:$CM$24,+HLOOKUP(AS$2,historia!$A$3:$EC$4,2,FALSE),FALSE)</f>
        <v>2</v>
      </c>
      <c r="AT10" s="58">
        <f>VLOOKUP($A10,historia!$A$5:$DD$24,+HLOOKUP(AT$2,historia!$A$3:$EC$4,2,FALSE),FALSE)</f>
        <v>3</v>
      </c>
      <c r="AU10" s="58">
        <f>VLOOKUP($A10,historia!$A$5:$DD$24,+HLOOKUP(AU$2,historia!$A$3:$EC$4,2,FALSE),FALSE)</f>
        <v>3</v>
      </c>
      <c r="AV10" s="58">
        <f>VLOOKUP($A10,historia!$A$5:$DD$24,+HLOOKUP(AV$2,historia!$A$3:$EC$4,2,FALSE),FALSE)</f>
        <v>3</v>
      </c>
      <c r="AW10" s="58">
        <f>VLOOKUP($A10,historia!$A$5:$DD$24,+HLOOKUP(AW$2,historia!$A$3:$EC$4,2,FALSE),FALSE)</f>
        <v>3</v>
      </c>
      <c r="AX10" s="58">
        <f>VLOOKUP($A10,historia!$A$5:$DD$24,+HLOOKUP(AX$2,historia!$A$3:$EC$4,2,FALSE),FALSE)</f>
        <v>3</v>
      </c>
      <c r="AY10" s="58">
        <f>VLOOKUP($A10,historia!$A$5:$DD$24,+HLOOKUP(AY$2,historia!$A$3:$EC$4,2,FALSE),FALSE)</f>
        <v>3</v>
      </c>
      <c r="AZ10" s="58">
        <f>VLOOKUP($A10,historia!$A$5:$DD$24,+HLOOKUP(AZ$2,historia!$A$3:$EC$4,2,FALSE),FALSE)</f>
        <v>3</v>
      </c>
      <c r="BA10" s="58">
        <f>VLOOKUP($A10,historia!$A$5:$DG$24,+HLOOKUP(BA$2,historia!$A$3:$EC$4,2,FALSE),FALSE)</f>
        <v>3</v>
      </c>
      <c r="BB10" s="58"/>
      <c r="BC10" s="286">
        <v>3</v>
      </c>
      <c r="BD10" t="str">
        <f t="shared" si="20"/>
        <v>Cítricos Dulces</v>
      </c>
      <c r="BE10">
        <f>+datos!AU1</f>
        <v>47</v>
      </c>
      <c r="BF10" s="2" t="str">
        <f t="shared" si="4"/>
        <v>$/caja 18kg</v>
      </c>
      <c r="BG10" s="2">
        <f t="shared" si="4"/>
        <v>22888.36842105263</v>
      </c>
      <c r="BH10" s="2">
        <f t="shared" si="4"/>
        <v>28832.759259259259</v>
      </c>
      <c r="BI10" s="2">
        <f t="shared" si="4"/>
        <v>14490.291866028709</v>
      </c>
      <c r="BK10" s="1">
        <f>+datos!ER1</f>
        <v>148</v>
      </c>
      <c r="BL10" s="1">
        <f t="shared" si="21"/>
        <v>79911</v>
      </c>
      <c r="BM10" s="1">
        <f t="shared" si="21"/>
        <v>79911</v>
      </c>
      <c r="BO10" s="1">
        <f>+datos!GH1</f>
        <v>190</v>
      </c>
      <c r="BP10" s="1">
        <f t="shared" si="22"/>
        <v>1543162</v>
      </c>
      <c r="BQ10" s="1">
        <f t="shared" si="22"/>
        <v>1543162</v>
      </c>
      <c r="BS10" s="1">
        <f>+datos!LT1</f>
        <v>332</v>
      </c>
      <c r="BT10" s="1">
        <f t="shared" si="39"/>
        <v>106.70621561000002</v>
      </c>
      <c r="BU10" s="1">
        <f t="shared" si="40"/>
        <v>124.74639363999999</v>
      </c>
      <c r="BV10" s="1"/>
      <c r="BW10" s="1">
        <f>+datos!LX1</f>
        <v>336</v>
      </c>
      <c r="BX10" s="2">
        <f t="shared" si="23"/>
        <v>6.3706495099999998</v>
      </c>
      <c r="BY10" s="2">
        <f t="shared" si="24"/>
        <v>7.6934638200000007</v>
      </c>
      <c r="CA10" s="1">
        <f>+datos!IV1</f>
        <v>256</v>
      </c>
      <c r="CB10" s="1">
        <f t="shared" si="25"/>
        <v>17.130000000000003</v>
      </c>
      <c r="CC10" s="1">
        <f t="shared" si="26"/>
        <v>17.130000000000003</v>
      </c>
      <c r="CD10" s="1"/>
      <c r="CE10">
        <f>+datos!CX1</f>
        <v>102</v>
      </c>
      <c r="CF10" s="2">
        <f t="shared" si="27"/>
        <v>13948.307024886801</v>
      </c>
      <c r="CG10" s="2">
        <f t="shared" si="27"/>
        <v>12516.709666451499</v>
      </c>
      <c r="CH10" s="2">
        <f t="shared" si="27"/>
        <v>9503.4948967580494</v>
      </c>
      <c r="CI10" s="1"/>
      <c r="CK10" s="1">
        <f t="shared" si="28"/>
        <v>4.7713070799999997</v>
      </c>
      <c r="CL10" s="1">
        <f t="shared" si="28"/>
        <v>4.8895593400000008</v>
      </c>
      <c r="CM10" s="1">
        <f t="shared" si="28"/>
        <v>6.1907229299999997</v>
      </c>
      <c r="CN10" s="1">
        <f t="shared" si="28"/>
        <v>6.1255732800000002</v>
      </c>
      <c r="CO10" s="1">
        <f t="shared" si="28"/>
        <v>9.318502950000001</v>
      </c>
      <c r="CP10" s="1">
        <f t="shared" si="28"/>
        <v>10.108990799999999</v>
      </c>
      <c r="CQ10" s="1">
        <f t="shared" si="28"/>
        <v>8.35667808</v>
      </c>
      <c r="CR10" s="1">
        <f t="shared" si="28"/>
        <v>14.350128370000002</v>
      </c>
      <c r="CS10" s="1">
        <f t="shared" si="28"/>
        <v>16.897846870000002</v>
      </c>
      <c r="CT10" s="1">
        <f t="shared" si="28"/>
        <v>10.456701950000001</v>
      </c>
      <c r="CU10" s="1">
        <f t="shared" si="28"/>
        <v>9.5618942600000008</v>
      </c>
      <c r="CV10" s="1">
        <f t="shared" si="28"/>
        <v>5.6783096999999998</v>
      </c>
      <c r="CW10" s="1">
        <f t="shared" si="28"/>
        <v>3.5979505000000001</v>
      </c>
      <c r="CX10" s="1">
        <f t="shared" si="28"/>
        <v>11.482528969999997</v>
      </c>
      <c r="CY10" s="1">
        <f t="shared" si="28"/>
        <v>11.00321864</v>
      </c>
      <c r="CZ10" s="1">
        <f t="shared" si="28"/>
        <v>18.05731771</v>
      </c>
      <c r="DA10" s="1">
        <f t="shared" si="29"/>
        <v>12.23030908</v>
      </c>
      <c r="DB10" s="1">
        <f t="shared" si="29"/>
        <v>17.119922650000003</v>
      </c>
      <c r="DC10" s="1">
        <f t="shared" si="29"/>
        <v>15.255558669999997</v>
      </c>
      <c r="DD10" s="1">
        <f t="shared" si="29"/>
        <v>10.271936310000001</v>
      </c>
      <c r="DE10" s="1">
        <f t="shared" si="29"/>
        <v>14.041262509999999</v>
      </c>
      <c r="DF10" s="1">
        <f t="shared" si="29"/>
        <v>6.1015489199999999</v>
      </c>
      <c r="DG10" s="1">
        <f t="shared" si="29"/>
        <v>2.3063176799999998</v>
      </c>
      <c r="DH10" s="1">
        <f t="shared" si="29"/>
        <v>3.2785219999999997</v>
      </c>
      <c r="DJ10" s="1">
        <f t="shared" si="30"/>
        <v>0.92818331999999992</v>
      </c>
      <c r="DK10" s="1">
        <f t="shared" si="30"/>
        <v>1.2063144699999999</v>
      </c>
      <c r="DL10" s="1">
        <f t="shared" si="30"/>
        <v>1.22554951</v>
      </c>
      <c r="DM10" s="1">
        <f t="shared" si="30"/>
        <v>0.91618060000000012</v>
      </c>
      <c r="DN10" s="1">
        <f t="shared" si="30"/>
        <v>0.37596773000000006</v>
      </c>
      <c r="DO10" s="1">
        <f t="shared" si="30"/>
        <v>0.55234585999999997</v>
      </c>
      <c r="DP10" s="1">
        <f t="shared" si="30"/>
        <v>0.12110615999999999</v>
      </c>
      <c r="DQ10" s="1">
        <f t="shared" si="30"/>
        <v>2.631816E-2</v>
      </c>
      <c r="DR10" s="1">
        <f t="shared" si="30"/>
        <v>4.99154E-3</v>
      </c>
      <c r="DS10" s="1">
        <f t="shared" si="30"/>
        <v>4.683996E-2</v>
      </c>
      <c r="DT10" s="1">
        <f t="shared" si="30"/>
        <v>0.23953321999999996</v>
      </c>
      <c r="DU10" s="1">
        <f t="shared" si="30"/>
        <v>0.72731897999999995</v>
      </c>
      <c r="DV10" s="1">
        <f t="shared" si="30"/>
        <v>1.7947146899999999</v>
      </c>
      <c r="DW10" s="1">
        <f t="shared" si="30"/>
        <v>1.56764612</v>
      </c>
      <c r="DX10" s="1">
        <f t="shared" si="30"/>
        <v>1.4871383200000001</v>
      </c>
      <c r="DY10" s="1">
        <f t="shared" si="30"/>
        <v>0.7069763</v>
      </c>
      <c r="DZ10" s="1">
        <f t="shared" si="31"/>
        <v>0.35634324000000006</v>
      </c>
      <c r="EA10" s="1">
        <f t="shared" si="31"/>
        <v>0.22489865000000001</v>
      </c>
      <c r="EB10" s="1">
        <f t="shared" si="31"/>
        <v>0.17467300000000002</v>
      </c>
      <c r="EC10" s="1">
        <f t="shared" si="31"/>
        <v>7.2500000000000004E-3</v>
      </c>
      <c r="ED10" s="1">
        <f t="shared" si="31"/>
        <v>0.23680799999999999</v>
      </c>
      <c r="EE10" s="1">
        <f t="shared" si="31"/>
        <v>0</v>
      </c>
      <c r="EF10" s="1">
        <f t="shared" si="31"/>
        <v>0.3075099</v>
      </c>
      <c r="EG10" s="1">
        <f t="shared" si="31"/>
        <v>0.82950560000000007</v>
      </c>
      <c r="EI10" s="14">
        <f t="shared" si="32"/>
        <v>17.130000000000003</v>
      </c>
      <c r="EJ10" s="14">
        <f t="shared" si="32"/>
        <v>17.130000000000003</v>
      </c>
      <c r="EK10" s="1">
        <f t="shared" si="32"/>
        <v>17.130000000000003</v>
      </c>
      <c r="EL10" s="1">
        <f t="shared" si="32"/>
        <v>17.130000000000003</v>
      </c>
      <c r="EM10" s="1">
        <f t="shared" si="32"/>
        <v>17.130000000000003</v>
      </c>
      <c r="EN10" s="1">
        <f t="shared" si="32"/>
        <v>17.130000000000003</v>
      </c>
      <c r="EO10" s="1">
        <f t="shared" si="32"/>
        <v>17.130000000000003</v>
      </c>
      <c r="EP10" s="1">
        <f t="shared" si="32"/>
        <v>17.130000000000003</v>
      </c>
      <c r="EQ10" s="1">
        <f t="shared" si="32"/>
        <v>17.130000000000003</v>
      </c>
      <c r="ER10" s="1">
        <f t="shared" si="32"/>
        <v>17.130000000000003</v>
      </c>
      <c r="ES10" s="1">
        <f t="shared" si="32"/>
        <v>17.130000000000003</v>
      </c>
      <c r="ET10" s="1">
        <f t="shared" si="32"/>
        <v>17.130000000000003</v>
      </c>
      <c r="EU10" s="1">
        <f t="shared" si="32"/>
        <v>17.130000000000003</v>
      </c>
      <c r="EV10" s="1">
        <f t="shared" si="32"/>
        <v>17.130000000000003</v>
      </c>
      <c r="EW10" s="1">
        <f t="shared" si="32"/>
        <v>17.130000000000003</v>
      </c>
      <c r="EX10" s="1">
        <f t="shared" si="32"/>
        <v>17.39</v>
      </c>
      <c r="EY10" s="1">
        <f t="shared" si="33"/>
        <v>17.39</v>
      </c>
      <c r="EZ10" s="1">
        <f t="shared" si="33"/>
        <v>17.39</v>
      </c>
      <c r="FA10" s="1">
        <f t="shared" si="33"/>
        <v>17.39</v>
      </c>
      <c r="FB10" s="1">
        <f t="shared" si="33"/>
        <v>17.39</v>
      </c>
      <c r="FC10" s="1">
        <f t="shared" si="33"/>
        <v>17.39</v>
      </c>
      <c r="FD10" s="1">
        <f t="shared" si="33"/>
        <v>17.39</v>
      </c>
      <c r="FE10" s="1">
        <f t="shared" si="33"/>
        <v>17.39</v>
      </c>
      <c r="FF10" s="1">
        <f t="shared" si="33"/>
        <v>17.39</v>
      </c>
      <c r="FH10" s="162">
        <f t="shared" si="34"/>
        <v>0.11186282754925547</v>
      </c>
    </row>
    <row r="11" spans="1:164" ht="18.75" customHeight="1">
      <c r="A11" s="244" t="s">
        <v>116</v>
      </c>
      <c r="B11" s="247"/>
      <c r="C11" s="228">
        <f t="shared" si="5"/>
        <v>-0.33</v>
      </c>
      <c r="D11" s="229">
        <v>1</v>
      </c>
      <c r="E11" s="253">
        <f t="shared" si="6"/>
        <v>-4.690541523018843E-3</v>
      </c>
      <c r="F11" s="254">
        <f t="shared" si="7"/>
        <v>-3.8516763447434044E-2</v>
      </c>
      <c r="G11" s="253">
        <f t="shared" si="8"/>
        <v>0.14491498968410133</v>
      </c>
      <c r="H11" s="254">
        <f t="shared" si="9"/>
        <v>-0.14960553120712017</v>
      </c>
      <c r="I11" s="253">
        <f t="shared" si="10"/>
        <v>6.157656005069545E-2</v>
      </c>
      <c r="J11" s="254">
        <f t="shared" si="11"/>
        <v>-0.26465223920220504</v>
      </c>
      <c r="K11" s="253">
        <f t="shared" si="12"/>
        <v>0.47353093639413979</v>
      </c>
      <c r="L11" s="254">
        <f t="shared" si="13"/>
        <v>-0.41195437634344434</v>
      </c>
      <c r="M11" s="255"/>
      <c r="N11" s="256"/>
      <c r="O11" s="253" t="str">
        <f t="shared" si="35"/>
        <v/>
      </c>
      <c r="P11" s="257" t="str">
        <f t="shared" si="36"/>
        <v/>
      </c>
      <c r="Q11" s="253">
        <f t="shared" si="14"/>
        <v>0</v>
      </c>
      <c r="R11" s="257">
        <f t="shared" si="37"/>
        <v>0</v>
      </c>
      <c r="S11" s="255"/>
      <c r="T11" s="24">
        <v>-2</v>
      </c>
      <c r="U11" s="253">
        <f t="shared" si="15"/>
        <v>-9.0691348629187041E-2</v>
      </c>
      <c r="V11" s="258">
        <f t="shared" si="16"/>
        <v>-9.0691348629187041E-2</v>
      </c>
      <c r="W11" s="253">
        <f t="shared" si="38"/>
        <v>6.9402479034228914E-2</v>
      </c>
      <c r="X11" s="258">
        <f t="shared" si="17"/>
        <v>6.9402479034228914E-2</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3</v>
      </c>
      <c r="AQ11" s="28">
        <f>VLOOKUP($A11,historia!$A$5:$CM$24,+HLOOKUP(AQ$2,historia!$A$3:$EC$4,2,FALSE),FALSE)</f>
        <v>3</v>
      </c>
      <c r="AR11" s="28">
        <f>VLOOKUP($A11,historia!$A$5:$CM$24,+HLOOKUP(AR$2,historia!$A$3:$EC$4,2,FALSE),FALSE)</f>
        <v>3</v>
      </c>
      <c r="AS11" s="28">
        <f>VLOOKUP($A11,historia!$A$5:$CM$24,+HLOOKUP(AS$2,historia!$A$3:$EC$4,2,FALSE),FALSE)</f>
        <v>3</v>
      </c>
      <c r="AT11" s="58">
        <f>VLOOKUP($A11,historia!$A$5:$DD$24,+HLOOKUP(AT$2,historia!$A$3:$EC$4,2,FALSE),FALSE)</f>
        <v>3</v>
      </c>
      <c r="AU11" s="58">
        <f>VLOOKUP($A11,historia!$A$5:$DD$24,+HLOOKUP(AU$2,historia!$A$3:$EC$4,2,FALSE),FALSE)</f>
        <v>3</v>
      </c>
      <c r="AV11" s="58">
        <f>VLOOKUP($A11,historia!$A$5:$DD$24,+HLOOKUP(AV$2,historia!$A$3:$EC$4,2,FALSE),FALSE)</f>
        <v>3</v>
      </c>
      <c r="AW11" s="58">
        <f>VLOOKUP($A11,historia!$A$5:$DD$24,+HLOOKUP(AW$2,historia!$A$3:$EC$4,2,FALSE),FALSE)</f>
        <v>3</v>
      </c>
      <c r="AX11" s="58">
        <f>VLOOKUP($A11,historia!$A$5:$DD$24,+HLOOKUP(AX$2,historia!$A$3:$EC$4,2,FALSE),FALSE)</f>
        <v>3</v>
      </c>
      <c r="AY11" s="58">
        <f>VLOOKUP($A11,historia!$A$5:$DD$24,+HLOOKUP(AY$2,historia!$A$3:$EC$4,2,FALSE),FALSE)</f>
        <v>3</v>
      </c>
      <c r="AZ11" s="58">
        <f>VLOOKUP($A11,historia!$A$5:$DD$24,+HLOOKUP(AZ$2,historia!$A$3:$EC$4,2,FALSE),FALSE)</f>
        <v>4</v>
      </c>
      <c r="BA11" s="58">
        <f>VLOOKUP($A11,historia!$A$5:$DG$24,+HLOOKUP(BA$2,historia!$A$3:$EC$4,2,FALSE),FALSE)</f>
        <v>4</v>
      </c>
      <c r="BB11" s="58"/>
      <c r="BC11" s="286">
        <v>4</v>
      </c>
      <c r="BD11" t="str">
        <f t="shared" si="20"/>
        <v>Forestal</v>
      </c>
      <c r="BE11">
        <f>+datos!BG1</f>
        <v>59</v>
      </c>
      <c r="BF11" s="2" t="str">
        <f t="shared" si="4"/>
        <v>$/t</v>
      </c>
      <c r="BG11" s="2">
        <f t="shared" si="4"/>
        <v>31829.25</v>
      </c>
      <c r="BH11" s="2">
        <f t="shared" si="4"/>
        <v>31979.25</v>
      </c>
      <c r="BI11" s="2">
        <f t="shared" si="4"/>
        <v>29983</v>
      </c>
      <c r="BK11" s="1">
        <f>+datos!ES1</f>
        <v>149</v>
      </c>
      <c r="BL11" s="1">
        <f t="shared" si="21"/>
        <v>0</v>
      </c>
      <c r="BM11" s="1">
        <f t="shared" si="21"/>
        <v>0</v>
      </c>
      <c r="BO11" s="1">
        <f>+datos!GI1</f>
        <v>191</v>
      </c>
      <c r="BP11" s="1">
        <f t="shared" si="22"/>
        <v>1302556</v>
      </c>
      <c r="BQ11" s="1">
        <f t="shared" si="22"/>
        <v>1302556</v>
      </c>
      <c r="BS11" s="1">
        <f>+datos!KB1</f>
        <v>288</v>
      </c>
      <c r="BT11" s="1">
        <f t="shared" si="39"/>
        <v>177.54885738999999</v>
      </c>
      <c r="BU11" s="1">
        <f t="shared" si="40"/>
        <v>195.25697586000001</v>
      </c>
      <c r="BW11" s="1">
        <f>+datos!LG1</f>
        <v>319</v>
      </c>
      <c r="BX11" s="2">
        <f t="shared" si="23"/>
        <v>188.86385229000004</v>
      </c>
      <c r="BY11" s="2">
        <f t="shared" si="24"/>
        <v>176.60689590000004</v>
      </c>
      <c r="CA11" s="1">
        <f>+datos!IW1</f>
        <v>257</v>
      </c>
      <c r="CB11" s="1">
        <f t="shared" si="25"/>
        <v>0</v>
      </c>
      <c r="CC11" s="1">
        <f t="shared" si="26"/>
        <v>0</v>
      </c>
      <c r="CD11" s="1"/>
      <c r="CE11">
        <f>+datos!CZ1</f>
        <v>104</v>
      </c>
      <c r="CF11" s="2">
        <f t="shared" si="27"/>
        <v>18216.1898010271</v>
      </c>
      <c r="CG11" s="2">
        <f t="shared" si="27"/>
        <v>15910.517344220651</v>
      </c>
      <c r="CH11" s="2">
        <f t="shared" si="27"/>
        <v>12362.27170472832</v>
      </c>
      <c r="CI11" s="1"/>
      <c r="CK11" s="1">
        <f t="shared" si="28"/>
        <v>16.76578641</v>
      </c>
      <c r="CL11" s="1">
        <f t="shared" si="28"/>
        <v>15.133510020000001</v>
      </c>
      <c r="CM11" s="1">
        <f t="shared" si="28"/>
        <v>13.84098623</v>
      </c>
      <c r="CN11" s="1">
        <f t="shared" si="28"/>
        <v>18.231882050000007</v>
      </c>
      <c r="CO11" s="1">
        <f t="shared" si="28"/>
        <v>13.327102919999998</v>
      </c>
      <c r="CP11" s="1">
        <f t="shared" si="28"/>
        <v>13.77020325</v>
      </c>
      <c r="CQ11" s="1">
        <f t="shared" si="28"/>
        <v>16.167947309999995</v>
      </c>
      <c r="CR11" s="1">
        <f t="shared" si="28"/>
        <v>12.702036029999997</v>
      </c>
      <c r="CS11" s="1">
        <f t="shared" si="28"/>
        <v>14.879273850000001</v>
      </c>
      <c r="CT11" s="1">
        <f t="shared" si="28"/>
        <v>13.812450910000003</v>
      </c>
      <c r="CU11" s="1">
        <f t="shared" si="28"/>
        <v>14.949040589999999</v>
      </c>
      <c r="CV11" s="1">
        <f t="shared" si="28"/>
        <v>13.968637820000001</v>
      </c>
      <c r="CW11" s="1">
        <f t="shared" si="28"/>
        <v>9.9284284400000011</v>
      </c>
      <c r="CX11" s="1">
        <f t="shared" si="28"/>
        <v>14.484437890000001</v>
      </c>
      <c r="CY11" s="1">
        <f t="shared" si="28"/>
        <v>10.200287200000002</v>
      </c>
      <c r="CZ11" s="1">
        <f t="shared" si="28"/>
        <v>11.119065489999999</v>
      </c>
      <c r="DA11" s="1">
        <f t="shared" si="29"/>
        <v>13.50721221</v>
      </c>
      <c r="DB11" s="1">
        <f t="shared" si="29"/>
        <v>17.7783984</v>
      </c>
      <c r="DC11" s="1">
        <f t="shared" si="29"/>
        <v>18.158715399999995</v>
      </c>
      <c r="DD11" s="1">
        <f t="shared" si="29"/>
        <v>13.62277192</v>
      </c>
      <c r="DE11" s="1">
        <f t="shared" si="29"/>
        <v>18.147427050000005</v>
      </c>
      <c r="DF11" s="1">
        <f t="shared" si="29"/>
        <v>16.38459563</v>
      </c>
      <c r="DG11" s="1">
        <f t="shared" si="29"/>
        <v>19.29025034</v>
      </c>
      <c r="DH11" s="1">
        <f t="shared" si="29"/>
        <v>32.635385889999995</v>
      </c>
      <c r="DJ11" s="1">
        <f t="shared" si="30"/>
        <v>15.225690909999999</v>
      </c>
      <c r="DK11" s="1">
        <f t="shared" si="30"/>
        <v>13.973435009999999</v>
      </c>
      <c r="DL11" s="1">
        <f t="shared" si="30"/>
        <v>15.974673770000001</v>
      </c>
      <c r="DM11" s="1">
        <f t="shared" si="30"/>
        <v>16.564446050000001</v>
      </c>
      <c r="DN11" s="1">
        <f t="shared" si="30"/>
        <v>13.907008520000002</v>
      </c>
      <c r="DO11" s="1">
        <f t="shared" si="30"/>
        <v>17.652505269999999</v>
      </c>
      <c r="DP11" s="1">
        <f t="shared" si="30"/>
        <v>18.176691299999998</v>
      </c>
      <c r="DQ11" s="1">
        <f t="shared" si="30"/>
        <v>17.838312650000002</v>
      </c>
      <c r="DR11" s="1">
        <f t="shared" si="30"/>
        <v>13.839856769999999</v>
      </c>
      <c r="DS11" s="1">
        <f t="shared" si="30"/>
        <v>16.453753389999996</v>
      </c>
      <c r="DT11" s="1">
        <f t="shared" si="30"/>
        <v>16.050718710000002</v>
      </c>
      <c r="DU11" s="1">
        <f t="shared" si="30"/>
        <v>13.20675994</v>
      </c>
      <c r="DV11" s="1">
        <f t="shared" si="30"/>
        <v>12.082023640000001</v>
      </c>
      <c r="DW11" s="1">
        <f t="shared" si="30"/>
        <v>16.998994660000001</v>
      </c>
      <c r="DX11" s="1">
        <f t="shared" si="30"/>
        <v>14.09144206</v>
      </c>
      <c r="DY11" s="1">
        <f t="shared" si="30"/>
        <v>14.036730870000001</v>
      </c>
      <c r="DZ11" s="1">
        <f t="shared" si="31"/>
        <v>13.365554540000002</v>
      </c>
      <c r="EA11" s="1">
        <f t="shared" si="31"/>
        <v>15.589800310000003</v>
      </c>
      <c r="EB11" s="1">
        <f t="shared" si="31"/>
        <v>16.942532470000003</v>
      </c>
      <c r="EC11" s="1">
        <f t="shared" si="31"/>
        <v>10.998476289999999</v>
      </c>
      <c r="ED11" s="1">
        <f t="shared" si="31"/>
        <v>11.46589975</v>
      </c>
      <c r="EE11" s="1">
        <f t="shared" si="31"/>
        <v>13.53170609</v>
      </c>
      <c r="EF11" s="1">
        <f t="shared" si="31"/>
        <v>19.941855059999995</v>
      </c>
      <c r="EG11" s="1">
        <f t="shared" si="31"/>
        <v>17.561880160000001</v>
      </c>
      <c r="EI11" s="14">
        <f t="shared" si="32"/>
        <v>0</v>
      </c>
      <c r="EJ11" s="14">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2"/>
        <v>0</v>
      </c>
      <c r="EY11" s="1">
        <f t="shared" si="33"/>
        <v>0</v>
      </c>
      <c r="EZ11" s="1">
        <f t="shared" si="33"/>
        <v>0</v>
      </c>
      <c r="FA11" s="1">
        <f t="shared" si="33"/>
        <v>0</v>
      </c>
      <c r="FB11" s="1">
        <f t="shared" si="33"/>
        <v>0</v>
      </c>
      <c r="FC11" s="1">
        <f t="shared" si="33"/>
        <v>0</v>
      </c>
      <c r="FD11" s="1">
        <f t="shared" si="33"/>
        <v>0</v>
      </c>
      <c r="FE11" s="1">
        <f t="shared" si="33"/>
        <v>0</v>
      </c>
      <c r="FF11" s="1">
        <f t="shared" si="33"/>
        <v>0</v>
      </c>
      <c r="FH11" s="162">
        <f t="shared" si="34"/>
        <v>-0.41195437634344434</v>
      </c>
    </row>
    <row r="12" spans="1:164" ht="18.75" customHeight="1">
      <c r="A12" s="243" t="s">
        <v>216</v>
      </c>
      <c r="B12" s="246"/>
      <c r="C12" s="156">
        <f t="shared" si="5"/>
        <v>-0.33</v>
      </c>
      <c r="D12" s="198">
        <v>-1</v>
      </c>
      <c r="E12" s="248">
        <f t="shared" si="6"/>
        <v>4.7218395857484552E-2</v>
      </c>
      <c r="F12" s="249">
        <f t="shared" si="7"/>
        <v>1.3392173933069351E-2</v>
      </c>
      <c r="G12" s="248">
        <f t="shared" si="8"/>
        <v>0.10014672438621264</v>
      </c>
      <c r="H12" s="249">
        <f t="shared" si="9"/>
        <v>-5.2928328528728086E-2</v>
      </c>
      <c r="I12" s="248">
        <f t="shared" si="10"/>
        <v>0.37426152633354515</v>
      </c>
      <c r="J12" s="249">
        <f t="shared" si="11"/>
        <v>4.8032727080644655E-2</v>
      </c>
      <c r="K12" s="248">
        <f t="shared" si="12"/>
        <v>0.43445703888166665</v>
      </c>
      <c r="L12" s="249">
        <f t="shared" si="13"/>
        <v>-6.0195512548121499E-2</v>
      </c>
      <c r="M12" s="250"/>
      <c r="N12" s="24">
        <v>1</v>
      </c>
      <c r="O12" s="248">
        <f t="shared" si="35"/>
        <v>4.8678720445062496E-2</v>
      </c>
      <c r="P12" s="251">
        <f t="shared" si="36"/>
        <v>4.8678720445062496E-2</v>
      </c>
      <c r="Q12" s="248">
        <f t="shared" si="14"/>
        <v>0.21865237561092865</v>
      </c>
      <c r="R12" s="251">
        <f t="shared" si="37"/>
        <v>0.21865237561092865</v>
      </c>
      <c r="S12" s="250"/>
      <c r="T12" s="24">
        <v>-1</v>
      </c>
      <c r="U12" s="248">
        <f t="shared" si="15"/>
        <v>0.13234425054829968</v>
      </c>
      <c r="V12" s="252">
        <f t="shared" si="16"/>
        <v>0.13234425054829968</v>
      </c>
      <c r="W12" s="248">
        <f t="shared" si="38"/>
        <v>-0.10559260882915533</v>
      </c>
      <c r="X12" s="252">
        <f t="shared" si="17"/>
        <v>-0.10559260882915533</v>
      </c>
      <c r="Y12" s="248"/>
      <c r="Z12" s="252"/>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3</v>
      </c>
      <c r="AQ12" s="28">
        <f>VLOOKUP($A12,historia!$A$5:$CM$24,+HLOOKUP(AQ$2,historia!$A$3:$EC$4,2,FALSE),FALSE)</f>
        <v>3</v>
      </c>
      <c r="AR12" s="28">
        <f>VLOOKUP($A12,historia!$A$5:$CM$24,+HLOOKUP(AR$2,historia!$A$3:$EC$4,2,FALSE),FALSE)</f>
        <v>3</v>
      </c>
      <c r="AS12" s="28">
        <f>VLOOKUP($A12,historia!$A$5:$CM$24,+HLOOKUP(AS$2,historia!$A$3:$EC$4,2,FALSE),FALSE)</f>
        <v>2</v>
      </c>
      <c r="AT12" s="58">
        <f>VLOOKUP($A12,historia!$A$5:$DD$24,+HLOOKUP(AT$2,historia!$A$3:$EC$4,2,FALSE),FALSE)</f>
        <v>2</v>
      </c>
      <c r="AU12" s="58">
        <f>VLOOKUP($A12,historia!$A$5:$DD$24,+HLOOKUP(AU$2,historia!$A$3:$EC$4,2,FALSE),FALSE)</f>
        <v>1</v>
      </c>
      <c r="AV12" s="58">
        <f>VLOOKUP($A12,historia!$A$5:$DD$24,+HLOOKUP(AV$2,historia!$A$3:$EC$4,2,FALSE),FALSE)</f>
        <v>2</v>
      </c>
      <c r="AW12" s="58">
        <f>VLOOKUP($A12,historia!$A$5:$DD$24,+HLOOKUP(AW$2,historia!$A$3:$EC$4,2,FALSE),FALSE)</f>
        <v>2</v>
      </c>
      <c r="AX12" s="58">
        <f>VLOOKUP($A12,historia!$A$5:$DD$24,+HLOOKUP(AX$2,historia!$A$3:$EC$4,2,FALSE),FALSE)</f>
        <v>2</v>
      </c>
      <c r="AY12" s="58">
        <f>VLOOKUP($A12,historia!$A$5:$DD$24,+HLOOKUP(AY$2,historia!$A$3:$EC$4,2,FALSE),FALSE)</f>
        <v>1</v>
      </c>
      <c r="AZ12" s="58">
        <f>VLOOKUP($A12,historia!$A$5:$DD$24,+HLOOKUP(AZ$2,historia!$A$3:$EC$4,2,FALSE),FALSE)</f>
        <v>2</v>
      </c>
      <c r="BA12" s="58">
        <f>VLOOKUP($A12,historia!$A$5:$DG$24,+HLOOKUP(BA$2,historia!$A$3:$EC$4,2,FALSE),FALSE)</f>
        <v>2</v>
      </c>
      <c r="BB12" s="58"/>
      <c r="BC12" s="286">
        <v>2</v>
      </c>
      <c r="BD12" t="str">
        <f t="shared" si="20"/>
        <v>Granos</v>
      </c>
      <c r="BE12">
        <f>+datos!AE1</f>
        <v>31</v>
      </c>
      <c r="BF12" s="2" t="str">
        <f t="shared" si="4"/>
        <v>$/t</v>
      </c>
      <c r="BG12" s="2">
        <f t="shared" si="4"/>
        <v>357020.83630707895</v>
      </c>
      <c r="BH12" s="2">
        <f t="shared" si="4"/>
        <v>340922.99917510781</v>
      </c>
      <c r="BI12" s="2">
        <f t="shared" si="4"/>
        <v>259791.04374666669</v>
      </c>
      <c r="BK12" s="1">
        <f>+datos!EA1</f>
        <v>131</v>
      </c>
      <c r="BL12" s="1">
        <f t="shared" si="21"/>
        <v>37700000</v>
      </c>
      <c r="BM12" s="1">
        <f t="shared" si="21"/>
        <v>35950000</v>
      </c>
      <c r="BO12" s="1">
        <f>+datos!FV1</f>
        <v>178</v>
      </c>
      <c r="BP12" s="1">
        <f t="shared" si="22"/>
        <v>152100003</v>
      </c>
      <c r="BQ12" s="1">
        <f t="shared" si="22"/>
        <v>124810000</v>
      </c>
      <c r="BS12" s="1">
        <f>+datos!LQ1</f>
        <v>329</v>
      </c>
      <c r="BT12" s="1">
        <f>+SUM(CK12:CV12)</f>
        <v>48830.405366760002</v>
      </c>
      <c r="BU12" s="1">
        <f t="shared" si="40"/>
        <v>43123.286353169999</v>
      </c>
      <c r="BW12" s="1">
        <f>+datos!LU1</f>
        <v>333</v>
      </c>
      <c r="BX12" s="2">
        <f t="shared" si="23"/>
        <v>2606.2414630799999</v>
      </c>
      <c r="BY12" s="2">
        <f t="shared" si="24"/>
        <v>2913.9310439600004</v>
      </c>
      <c r="CA12" s="1">
        <f>+datos!II1</f>
        <v>243</v>
      </c>
      <c r="CB12" s="1">
        <f t="shared" si="25"/>
        <v>88050000</v>
      </c>
      <c r="CC12" s="1">
        <f t="shared" si="26"/>
        <v>82660000</v>
      </c>
      <c r="CD12" s="1"/>
      <c r="CE12">
        <f>+datos!CG1</f>
        <v>85</v>
      </c>
      <c r="CF12" s="2">
        <f t="shared" si="27"/>
        <v>14396.848088469196</v>
      </c>
      <c r="CG12" s="2">
        <f t="shared" si="27"/>
        <v>13086.298190363108</v>
      </c>
      <c r="CH12" s="2">
        <f t="shared" si="27"/>
        <v>10036.444242131704</v>
      </c>
      <c r="CI12" s="1"/>
      <c r="CK12" s="1">
        <f>+VLOOKUP(CK$1,ran_dat,$BS12,FALSE)</f>
        <v>4203.4384527000002</v>
      </c>
      <c r="CL12" s="1">
        <f t="shared" si="28"/>
        <v>3234.3307016200001</v>
      </c>
      <c r="CM12" s="1">
        <f t="shared" si="28"/>
        <v>4071.6367626900005</v>
      </c>
      <c r="CN12" s="1">
        <f t="shared" si="28"/>
        <v>3901.9920549600001</v>
      </c>
      <c r="CO12" s="1">
        <f t="shared" si="28"/>
        <v>4663.3781357900007</v>
      </c>
      <c r="CP12" s="1">
        <f t="shared" si="28"/>
        <v>3782.3696972900002</v>
      </c>
      <c r="CQ12" s="1">
        <f t="shared" si="28"/>
        <v>4396.9372515900004</v>
      </c>
      <c r="CR12" s="1">
        <f t="shared" si="28"/>
        <v>4336.2366958999992</v>
      </c>
      <c r="CS12" s="1">
        <f t="shared" si="28"/>
        <v>4557.75384975</v>
      </c>
      <c r="CT12" s="1">
        <f t="shared" si="28"/>
        <v>3762.5394987399995</v>
      </c>
      <c r="CU12" s="1">
        <f t="shared" si="28"/>
        <v>4220.2405017900001</v>
      </c>
      <c r="CV12" s="1">
        <f t="shared" si="28"/>
        <v>3699.5517639399995</v>
      </c>
      <c r="CW12" s="1">
        <f t="shared" si="28"/>
        <v>2719.5194464700007</v>
      </c>
      <c r="CX12" s="1">
        <f t="shared" si="28"/>
        <v>3193.1112506200002</v>
      </c>
      <c r="CY12" s="1">
        <f t="shared" si="28"/>
        <v>3231.2263099199999</v>
      </c>
      <c r="CZ12" s="1">
        <f t="shared" si="28"/>
        <v>3313.8442822299994</v>
      </c>
      <c r="DA12" s="1">
        <f t="shared" si="29"/>
        <v>3339.9998161899998</v>
      </c>
      <c r="DB12" s="1">
        <f t="shared" si="29"/>
        <v>3485.71732419</v>
      </c>
      <c r="DC12" s="1">
        <f t="shared" si="29"/>
        <v>3410.80431886</v>
      </c>
      <c r="DD12" s="1">
        <f t="shared" si="29"/>
        <v>3348.6268518899992</v>
      </c>
      <c r="DE12" s="1">
        <f t="shared" si="29"/>
        <v>4200.6671527199996</v>
      </c>
      <c r="DF12" s="1">
        <f t="shared" si="29"/>
        <v>4256.6159984299993</v>
      </c>
      <c r="DG12" s="1">
        <f t="shared" si="29"/>
        <v>4805.0657855600002</v>
      </c>
      <c r="DH12" s="1">
        <f t="shared" si="29"/>
        <v>3818.0878160900002</v>
      </c>
      <c r="DJ12" s="1">
        <f t="shared" si="30"/>
        <v>401.51977044</v>
      </c>
      <c r="DK12" s="1">
        <f t="shared" si="30"/>
        <v>345.64924089000016</v>
      </c>
      <c r="DL12" s="1">
        <f t="shared" si="30"/>
        <v>27.557335100000003</v>
      </c>
      <c r="DM12" s="1">
        <f t="shared" si="30"/>
        <v>51.994600029999987</v>
      </c>
      <c r="DN12" s="1">
        <f t="shared" si="30"/>
        <v>140.49668192999997</v>
      </c>
      <c r="DO12" s="1">
        <f t="shared" si="30"/>
        <v>126.11568693000002</v>
      </c>
      <c r="DP12" s="1">
        <f t="shared" si="30"/>
        <v>179.77004703999992</v>
      </c>
      <c r="DQ12" s="1">
        <f t="shared" si="30"/>
        <v>175.34564924</v>
      </c>
      <c r="DR12" s="1">
        <f t="shared" si="30"/>
        <v>241.51209269000003</v>
      </c>
      <c r="DS12" s="1">
        <f t="shared" si="30"/>
        <v>273.75200934999998</v>
      </c>
      <c r="DT12" s="1">
        <f t="shared" si="30"/>
        <v>304.19736033999999</v>
      </c>
      <c r="DU12" s="1">
        <f t="shared" si="30"/>
        <v>338.33098909999995</v>
      </c>
      <c r="DV12" s="1">
        <f t="shared" si="30"/>
        <v>239.40438782999996</v>
      </c>
      <c r="DW12" s="1">
        <f t="shared" si="30"/>
        <v>288.1429152</v>
      </c>
      <c r="DX12" s="1">
        <f t="shared" si="30"/>
        <v>31.883400920000003</v>
      </c>
      <c r="DY12" s="1">
        <f t="shared" si="30"/>
        <v>52.19269714</v>
      </c>
      <c r="DZ12" s="1">
        <f t="shared" si="31"/>
        <v>201.41567115000001</v>
      </c>
      <c r="EA12" s="1">
        <f t="shared" si="31"/>
        <v>299.18688666000003</v>
      </c>
      <c r="EB12" s="1">
        <f t="shared" si="31"/>
        <v>265.28366987999999</v>
      </c>
      <c r="EC12" s="1">
        <f t="shared" si="31"/>
        <v>214.60650260000006</v>
      </c>
      <c r="ED12" s="1">
        <f t="shared" si="31"/>
        <v>390.93673457</v>
      </c>
      <c r="EE12" s="1">
        <f t="shared" si="31"/>
        <v>293.37536226000003</v>
      </c>
      <c r="EF12" s="1">
        <f t="shared" si="31"/>
        <v>336.54852982999995</v>
      </c>
      <c r="EG12" s="1">
        <f t="shared" si="31"/>
        <v>300.95428591999996</v>
      </c>
      <c r="EI12" s="14">
        <f t="shared" si="32"/>
        <v>88050000</v>
      </c>
      <c r="EJ12" s="14">
        <f t="shared" si="32"/>
        <v>88050000</v>
      </c>
      <c r="EK12" s="1">
        <f t="shared" si="32"/>
        <v>86780000</v>
      </c>
      <c r="EL12" s="1">
        <f t="shared" si="32"/>
        <v>86780000</v>
      </c>
      <c r="EM12" s="1">
        <f t="shared" si="32"/>
        <v>86680000</v>
      </c>
      <c r="EN12" s="1">
        <f t="shared" si="32"/>
        <v>85850000</v>
      </c>
      <c r="EO12" s="1">
        <f t="shared" si="32"/>
        <v>85850000</v>
      </c>
      <c r="EP12" s="1">
        <f t="shared" si="32"/>
        <v>85820000</v>
      </c>
      <c r="EQ12" s="1">
        <f t="shared" si="32"/>
        <v>83320000</v>
      </c>
      <c r="ER12" s="1">
        <f t="shared" si="32"/>
        <v>83120000</v>
      </c>
      <c r="ES12" s="1">
        <f t="shared" si="32"/>
        <v>83420000</v>
      </c>
      <c r="ET12" s="1">
        <f t="shared" si="32"/>
        <v>83260000</v>
      </c>
      <c r="EU12" s="1">
        <f t="shared" si="32"/>
        <v>82660000</v>
      </c>
      <c r="EV12" s="1">
        <f t="shared" si="32"/>
        <v>83330000</v>
      </c>
      <c r="EW12" s="1">
        <f t="shared" si="32"/>
        <v>83330000</v>
      </c>
      <c r="EX12" s="1">
        <f t="shared" si="32"/>
        <v>81580000</v>
      </c>
      <c r="EY12" s="1">
        <f t="shared" si="33"/>
        <v>81600000</v>
      </c>
      <c r="EZ12" s="1">
        <f t="shared" si="33"/>
        <v>81600000</v>
      </c>
      <c r="FA12" s="1">
        <f t="shared" si="33"/>
        <v>81600000</v>
      </c>
      <c r="FB12" s="1">
        <f t="shared" si="33"/>
        <v>81600000</v>
      </c>
      <c r="FC12" s="1">
        <f t="shared" si="33"/>
        <v>81600000</v>
      </c>
      <c r="FD12" s="1">
        <f t="shared" si="33"/>
        <v>81600000</v>
      </c>
      <c r="FE12" s="1">
        <f t="shared" si="33"/>
        <v>81600000</v>
      </c>
      <c r="FF12" s="1">
        <f t="shared" si="33"/>
        <v>81600000</v>
      </c>
      <c r="FH12" s="162">
        <f t="shared" si="34"/>
        <v>-6.0195512548121499E-2</v>
      </c>
    </row>
    <row r="13" spans="1:164" ht="18.75" customHeight="1">
      <c r="A13" s="244" t="s">
        <v>217</v>
      </c>
      <c r="B13" s="247"/>
      <c r="C13" s="228">
        <f t="shared" si="5"/>
        <v>0</v>
      </c>
      <c r="D13" s="229">
        <v>0</v>
      </c>
      <c r="E13" s="253">
        <f t="shared" si="6"/>
        <v>-4.0549527780913919E-2</v>
      </c>
      <c r="F13" s="254">
        <f t="shared" si="7"/>
        <v>-7.4375749705329119E-2</v>
      </c>
      <c r="G13" s="253">
        <f t="shared" si="8"/>
        <v>0.1016765045373933</v>
      </c>
      <c r="H13" s="254">
        <f t="shared" si="9"/>
        <v>-0.14222603231830722</v>
      </c>
      <c r="I13" s="253">
        <f t="shared" si="10"/>
        <v>-9.4448121769871718E-2</v>
      </c>
      <c r="J13" s="254">
        <f t="shared" si="11"/>
        <v>-0.42067692102277221</v>
      </c>
      <c r="K13" s="253">
        <f t="shared" si="12"/>
        <v>0.31334349152353957</v>
      </c>
      <c r="L13" s="254">
        <f t="shared" si="13"/>
        <v>-0.40779161329341129</v>
      </c>
      <c r="M13" s="255"/>
      <c r="N13" s="256">
        <v>0</v>
      </c>
      <c r="O13" s="253">
        <f t="shared" si="35"/>
        <v>0</v>
      </c>
      <c r="P13" s="257">
        <f t="shared" si="36"/>
        <v>0</v>
      </c>
      <c r="Q13" s="253">
        <f t="shared" si="14"/>
        <v>0</v>
      </c>
      <c r="R13" s="257">
        <f t="shared" si="37"/>
        <v>0</v>
      </c>
      <c r="S13" s="255"/>
      <c r="T13" s="256">
        <v>0</v>
      </c>
      <c r="U13" s="253">
        <f t="shared" si="15"/>
        <v>-0.17582744729097111</v>
      </c>
      <c r="V13" s="258">
        <f t="shared" si="16"/>
        <v>-0.17582744729097111</v>
      </c>
      <c r="W13" s="253">
        <f t="shared" si="38"/>
        <v>-0.57856208565411005</v>
      </c>
      <c r="X13" s="258">
        <f t="shared" si="17"/>
        <v>-0.57856208565411005</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3</v>
      </c>
      <c r="AR13" s="28">
        <f>VLOOKUP($A13,historia!$A$5:$CM$24,+HLOOKUP(AR$2,historia!$A$3:$EC$4,2,FALSE),FALSE)</f>
        <v>5</v>
      </c>
      <c r="AS13" s="28">
        <f>VLOOKUP($A13,historia!$A$5:$CM$24,+HLOOKUP(AS$2,historia!$A$3:$EC$4,2,FALSE),FALSE)</f>
        <v>4</v>
      </c>
      <c r="AT13" s="58">
        <f>VLOOKUP($A13,historia!$A$5:$DD$24,+HLOOKUP(AT$2,historia!$A$3:$EC$4,2,FALSE),FALSE)</f>
        <v>5</v>
      </c>
      <c r="AU13" s="58">
        <f>VLOOKUP($A13,historia!$A$5:$DD$24,+HLOOKUP(AU$2,historia!$A$3:$EC$4,2,FALSE),FALSE)</f>
        <v>4</v>
      </c>
      <c r="AV13" s="58">
        <f>VLOOKUP($A13,historia!$A$5:$DD$24,+HLOOKUP(AV$2,historia!$A$3:$EC$4,2,FALSE),FALSE)</f>
        <v>4</v>
      </c>
      <c r="AW13" s="58">
        <f>VLOOKUP($A13,historia!$A$5:$DD$24,+HLOOKUP(AW$2,historia!$A$3:$EC$4,2,FALSE),FALSE)</f>
        <v>4</v>
      </c>
      <c r="AX13" s="58">
        <f>VLOOKUP($A13,historia!$A$5:$DD$24,+HLOOKUP(AX$2,historia!$A$3:$EC$4,2,FALSE),FALSE)</f>
        <v>4</v>
      </c>
      <c r="AY13" s="58">
        <f>VLOOKUP($A13,historia!$A$5:$DD$24,+HLOOKUP(AY$2,historia!$A$3:$EC$4,2,FALSE),FALSE)</f>
        <v>4</v>
      </c>
      <c r="AZ13" s="58">
        <f>VLOOKUP($A13,historia!$A$5:$DD$24,+HLOOKUP(AZ$2,historia!$A$3:$EC$4,2,FALSE),FALSE)</f>
        <v>4</v>
      </c>
      <c r="BA13" s="58">
        <f>VLOOKUP($A13,historia!$A$5:$DG$24,+HLOOKUP(BA$2,historia!$A$3:$EC$4,2,FALSE),FALSE)</f>
        <v>4</v>
      </c>
      <c r="BB13" s="58"/>
      <c r="BC13" s="286">
        <v>4</v>
      </c>
      <c r="BD13" t="str">
        <f t="shared" si="20"/>
        <v>Hortalizas</v>
      </c>
      <c r="BE13">
        <f>+datos!BB1</f>
        <v>54</v>
      </c>
      <c r="BF13" s="2" t="str">
        <f t="shared" si="4"/>
        <v>$/kg</v>
      </c>
      <c r="BG13" s="2">
        <f t="shared" si="4"/>
        <v>9826.374933545987</v>
      </c>
      <c r="BH13" s="2">
        <f t="shared" si="4"/>
        <v>10241.669807946251</v>
      </c>
      <c r="BI13" s="2">
        <f t="shared" si="4"/>
        <v>10851.255648380209</v>
      </c>
      <c r="BK13" s="1">
        <f>+datos!EX1</f>
        <v>154</v>
      </c>
      <c r="BL13" s="1">
        <f t="shared" si="21"/>
        <v>64395</v>
      </c>
      <c r="BM13" s="1">
        <f t="shared" si="21"/>
        <v>64395</v>
      </c>
      <c r="BO13" s="1">
        <f>+datos!GN1</f>
        <v>196</v>
      </c>
      <c r="BP13" s="1">
        <f t="shared" si="22"/>
        <v>2639386</v>
      </c>
      <c r="BQ13" s="1">
        <f t="shared" si="22"/>
        <v>2639386</v>
      </c>
      <c r="BS13" s="1">
        <f>+datos!LR1</f>
        <v>330</v>
      </c>
      <c r="BT13" s="1">
        <f t="shared" si="39"/>
        <v>43.234086450000007</v>
      </c>
      <c r="BU13" s="1">
        <f t="shared" si="40"/>
        <v>52.457566449999995</v>
      </c>
      <c r="BW13" s="1">
        <f>+datos!LV1</f>
        <v>334</v>
      </c>
      <c r="BX13" s="2">
        <f t="shared" si="23"/>
        <v>15.463942819999998</v>
      </c>
      <c r="BY13" s="2">
        <f t="shared" si="24"/>
        <v>36.693288129999999</v>
      </c>
      <c r="CA13" s="1">
        <f>+datos!IX1</f>
        <v>258</v>
      </c>
      <c r="CB13" s="1">
        <f t="shared" si="25"/>
        <v>0</v>
      </c>
      <c r="CC13" s="1">
        <f t="shared" si="26"/>
        <v>0</v>
      </c>
      <c r="CD13" s="1"/>
      <c r="CE13">
        <f>+datos!CO1</f>
        <v>93</v>
      </c>
      <c r="CF13" s="2">
        <f t="shared" si="27"/>
        <v>13384.964966200823</v>
      </c>
      <c r="CG13" s="2">
        <f t="shared" si="27"/>
        <v>12149.632774297319</v>
      </c>
      <c r="CH13" s="2">
        <f t="shared" si="27"/>
        <v>10191.518862040914</v>
      </c>
      <c r="CI13" s="1"/>
      <c r="CK13" s="1">
        <f t="shared" si="28"/>
        <v>7.5031928699999995</v>
      </c>
      <c r="CL13" s="1">
        <f t="shared" si="28"/>
        <v>1.29974543</v>
      </c>
      <c r="CM13" s="1">
        <f t="shared" si="28"/>
        <v>1.7091561800000004</v>
      </c>
      <c r="CN13" s="1">
        <f t="shared" si="28"/>
        <v>1.6831161599999998</v>
      </c>
      <c r="CO13" s="1">
        <f t="shared" si="28"/>
        <v>1.1537429000000001</v>
      </c>
      <c r="CP13" s="1">
        <f t="shared" si="28"/>
        <v>1.5287822199999999</v>
      </c>
      <c r="CQ13" s="1">
        <f t="shared" si="28"/>
        <v>0.99519284000000008</v>
      </c>
      <c r="CR13" s="1">
        <f t="shared" si="28"/>
        <v>2.3842983399999995</v>
      </c>
      <c r="CS13" s="1">
        <f t="shared" si="28"/>
        <v>1.9006323699999998</v>
      </c>
      <c r="CT13" s="1">
        <f t="shared" si="28"/>
        <v>5.6300601800000001</v>
      </c>
      <c r="CU13" s="1">
        <f t="shared" si="28"/>
        <v>10.78719353</v>
      </c>
      <c r="CV13" s="1">
        <f t="shared" si="28"/>
        <v>6.6589734299999996</v>
      </c>
      <c r="CW13" s="1">
        <f t="shared" si="28"/>
        <v>4.7972503099999999</v>
      </c>
      <c r="CX13" s="1">
        <f t="shared" si="28"/>
        <v>3.6808061599999999</v>
      </c>
      <c r="CY13" s="1">
        <f t="shared" si="28"/>
        <v>1.7265838599999999</v>
      </c>
      <c r="CZ13" s="1">
        <f t="shared" si="28"/>
        <v>1.1603474899999999</v>
      </c>
      <c r="DA13" s="1">
        <f t="shared" si="29"/>
        <v>1.6220564799999999</v>
      </c>
      <c r="DB13" s="1">
        <f t="shared" si="29"/>
        <v>1.7022322700000001</v>
      </c>
      <c r="DC13" s="1">
        <f t="shared" si="29"/>
        <v>2.1800094999999997</v>
      </c>
      <c r="DD13" s="1">
        <f t="shared" si="29"/>
        <v>0.89152303000000011</v>
      </c>
      <c r="DE13" s="1">
        <f t="shared" si="29"/>
        <v>2.22092468</v>
      </c>
      <c r="DF13" s="1">
        <f t="shared" si="29"/>
        <v>5.6369490100000004</v>
      </c>
      <c r="DG13" s="1">
        <f t="shared" si="29"/>
        <v>11.964288460000001</v>
      </c>
      <c r="DH13" s="1">
        <f t="shared" si="29"/>
        <v>14.874595200000002</v>
      </c>
      <c r="DJ13" s="1">
        <f t="shared" si="30"/>
        <v>0.39128717000000002</v>
      </c>
      <c r="DK13" s="1">
        <f t="shared" si="30"/>
        <v>0.23116673999999998</v>
      </c>
      <c r="DL13" s="1">
        <f t="shared" si="30"/>
        <v>0.59938404000000001</v>
      </c>
      <c r="DM13" s="1">
        <f t="shared" si="30"/>
        <v>0.53318653999999999</v>
      </c>
      <c r="DN13" s="1">
        <f t="shared" si="30"/>
        <v>0.87596054999999995</v>
      </c>
      <c r="DO13" s="1">
        <f t="shared" si="30"/>
        <v>2.0285887300000001</v>
      </c>
      <c r="DP13" s="1">
        <f t="shared" si="30"/>
        <v>2.5185445399999997</v>
      </c>
      <c r="DQ13" s="1">
        <f t="shared" si="30"/>
        <v>1.4155427900000002</v>
      </c>
      <c r="DR13" s="1">
        <f t="shared" si="30"/>
        <v>1.5956283999999996</v>
      </c>
      <c r="DS13" s="1">
        <f t="shared" si="30"/>
        <v>1.7945534399999996</v>
      </c>
      <c r="DT13" s="1">
        <f t="shared" si="30"/>
        <v>2.7487028499999995</v>
      </c>
      <c r="DU13" s="1">
        <f t="shared" si="30"/>
        <v>0.73139703</v>
      </c>
      <c r="DV13" s="1">
        <f t="shared" si="30"/>
        <v>0.52205221000000002</v>
      </c>
      <c r="DW13" s="1">
        <f t="shared" si="30"/>
        <v>0.27889262000000004</v>
      </c>
      <c r="DX13" s="1">
        <f t="shared" si="30"/>
        <v>0.43588088999999991</v>
      </c>
      <c r="DY13" s="1">
        <f t="shared" si="30"/>
        <v>0.25163443000000002</v>
      </c>
      <c r="DZ13" s="1">
        <f t="shared" si="31"/>
        <v>1.8307121500000001</v>
      </c>
      <c r="EA13" s="1">
        <f t="shared" si="31"/>
        <v>4.7138590499999999</v>
      </c>
      <c r="EB13" s="1">
        <f t="shared" si="31"/>
        <v>10.280953719999999</v>
      </c>
      <c r="EC13" s="1">
        <f t="shared" si="31"/>
        <v>10.078043539999999</v>
      </c>
      <c r="ED13" s="1">
        <f t="shared" si="31"/>
        <v>5.0525632100000006</v>
      </c>
      <c r="EE13" s="1">
        <f t="shared" si="31"/>
        <v>1.5134803299999999</v>
      </c>
      <c r="EF13" s="1">
        <f t="shared" si="31"/>
        <v>1.5645213200000003</v>
      </c>
      <c r="EG13" s="1">
        <f t="shared" si="31"/>
        <v>0.17069466</v>
      </c>
      <c r="EI13" s="14">
        <f t="shared" si="32"/>
        <v>0</v>
      </c>
      <c r="EJ13" s="14">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2"/>
        <v>0</v>
      </c>
      <c r="EY13" s="1">
        <f t="shared" si="33"/>
        <v>0</v>
      </c>
      <c r="EZ13" s="1">
        <f t="shared" si="33"/>
        <v>0</v>
      </c>
      <c r="FA13" s="1">
        <f t="shared" si="33"/>
        <v>0</v>
      </c>
      <c r="FB13" s="1">
        <f t="shared" si="33"/>
        <v>0</v>
      </c>
      <c r="FC13" s="1">
        <f t="shared" si="33"/>
        <v>0</v>
      </c>
      <c r="FD13" s="1">
        <f t="shared" si="33"/>
        <v>0</v>
      </c>
      <c r="FE13" s="1">
        <f t="shared" si="33"/>
        <v>0</v>
      </c>
      <c r="FF13" s="1">
        <f t="shared" si="33"/>
        <v>0</v>
      </c>
      <c r="FH13" s="162">
        <f t="shared" si="34"/>
        <v>-0.40779161329341129</v>
      </c>
    </row>
    <row r="14" spans="1:164" ht="18" customHeight="1">
      <c r="A14" s="243" t="s">
        <v>65</v>
      </c>
      <c r="B14" s="246"/>
      <c r="C14" s="156">
        <f t="shared" si="5"/>
        <v>-0.33</v>
      </c>
      <c r="D14" s="198">
        <v>1</v>
      </c>
      <c r="E14" s="572">
        <f t="shared" si="6"/>
        <v>1.6901232771344921E-2</v>
      </c>
      <c r="F14" s="249">
        <f t="shared" si="7"/>
        <v>-1.692498915307028E-2</v>
      </c>
      <c r="G14" s="248">
        <f t="shared" si="8"/>
        <v>6.0590958291200536E-2</v>
      </c>
      <c r="H14" s="249">
        <f t="shared" si="9"/>
        <v>-4.3689725519855616E-2</v>
      </c>
      <c r="I14" s="248">
        <f t="shared" si="10"/>
        <v>7.9489782407203169E-2</v>
      </c>
      <c r="J14" s="249">
        <f t="shared" si="11"/>
        <v>-0.24673901684569732</v>
      </c>
      <c r="K14" s="248">
        <f t="shared" si="12"/>
        <v>0.31958808847936293</v>
      </c>
      <c r="L14" s="249">
        <f t="shared" si="13"/>
        <v>-0.24009830607215976</v>
      </c>
      <c r="M14" s="250"/>
      <c r="N14" s="24">
        <v>-1</v>
      </c>
      <c r="O14" s="248">
        <f t="shared" si="35"/>
        <v>4.1032874440023459E-3</v>
      </c>
      <c r="P14" s="251">
        <f t="shared" si="36"/>
        <v>4.1032874440023459E-3</v>
      </c>
      <c r="Q14" s="248">
        <f t="shared" si="14"/>
        <v>0.1000880817601002</v>
      </c>
      <c r="R14" s="251">
        <f t="shared" si="37"/>
        <v>0.1000880817601002</v>
      </c>
      <c r="S14" s="250"/>
      <c r="T14" s="24">
        <v>-1</v>
      </c>
      <c r="U14" s="248">
        <f t="shared" si="15"/>
        <v>0.24519920165083819</v>
      </c>
      <c r="V14" s="252">
        <f t="shared" si="16"/>
        <v>0.24519920165083819</v>
      </c>
      <c r="W14" s="248">
        <f t="shared" si="38"/>
        <v>0.21619520196897346</v>
      </c>
      <c r="X14" s="252">
        <f t="shared" si="17"/>
        <v>0.21619520196897346</v>
      </c>
      <c r="Y14" s="248">
        <f t="shared" si="18"/>
        <v>7.3298429319371694E-2</v>
      </c>
      <c r="Z14" s="252">
        <f t="shared" si="19"/>
        <v>7.3298429319371694E-2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3</v>
      </c>
      <c r="AQ14" s="28">
        <f>VLOOKUP($A14,historia!$A$5:$CM$24,+HLOOKUP(AQ$2,historia!$A$3:$EC$4,2,FALSE),FALSE)</f>
        <v>3</v>
      </c>
      <c r="AR14" s="28">
        <f>VLOOKUP($A14,historia!$A$5:$CM$24,+HLOOKUP(AR$2,historia!$A$3:$EC$4,2,FALSE),FALSE)</f>
        <v>3</v>
      </c>
      <c r="AS14" s="28">
        <f>VLOOKUP($A14,historia!$A$5:$CM$24,+HLOOKUP(AS$2,historia!$A$3:$EC$4,2,FALSE),FALSE)</f>
        <v>3</v>
      </c>
      <c r="AT14" s="58">
        <f>VLOOKUP($A14,historia!$A$5:$DD$24,+HLOOKUP(AT$2,historia!$A$3:$EC$4,2,FALSE),FALSE)</f>
        <v>3</v>
      </c>
      <c r="AU14" s="58">
        <f>VLOOKUP($A14,historia!$A$5:$DD$24,+HLOOKUP(AU$2,historia!$A$3:$EC$4,2,FALSE),FALSE)</f>
        <v>3</v>
      </c>
      <c r="AV14" s="58">
        <f>VLOOKUP($A14,historia!$A$5:$DD$24,+HLOOKUP(AV$2,historia!$A$3:$EC$4,2,FALSE),FALSE)</f>
        <v>3</v>
      </c>
      <c r="AW14" s="58">
        <f>VLOOKUP($A14,historia!$A$5:$DD$24,+HLOOKUP(AW$2,historia!$A$3:$EC$4,2,FALSE),FALSE)</f>
        <v>3</v>
      </c>
      <c r="AX14" s="58">
        <f>VLOOKUP($A14,historia!$A$5:$DD$24,+HLOOKUP(AX$2,historia!$A$3:$EC$4,2,FALSE),FALSE)</f>
        <v>3</v>
      </c>
      <c r="AY14" s="58">
        <f>VLOOKUP($A14,historia!$A$5:$DD$24,+HLOOKUP(AY$2,historia!$A$3:$EC$4,2,FALSE),FALSE)</f>
        <v>4</v>
      </c>
      <c r="AZ14" s="58">
        <f>VLOOKUP($A14,historia!$A$5:$DD$24,+HLOOKUP(AZ$2,historia!$A$3:$EC$4,2,FALSE),FALSE)</f>
        <v>4</v>
      </c>
      <c r="BA14" s="58">
        <f>VLOOKUP($A14,historia!$A$5:$DG$24,+HLOOKUP(BA$2,historia!$A$3:$EC$4,2,FALSE),FALSE)</f>
        <v>4</v>
      </c>
      <c r="BB14" s="58"/>
      <c r="BC14" s="286">
        <v>4</v>
      </c>
      <c r="BD14" t="str">
        <f t="shared" si="20"/>
        <v>Leche</v>
      </c>
      <c r="BE14">
        <f>+datos!BN1</f>
        <v>66</v>
      </c>
      <c r="BF14" s="2" t="str">
        <f t="shared" si="4"/>
        <v>$/l</v>
      </c>
      <c r="BG14" s="487">
        <f t="shared" si="4"/>
        <v>489.16</v>
      </c>
      <c r="BH14" s="487">
        <f t="shared" si="4"/>
        <v>481.03</v>
      </c>
      <c r="BI14" s="487">
        <f t="shared" si="4"/>
        <v>453.14</v>
      </c>
      <c r="BK14" s="1">
        <f>+datos!EN1</f>
        <v>144</v>
      </c>
      <c r="BL14" s="1">
        <f t="shared" si="21"/>
        <v>2920089</v>
      </c>
      <c r="BM14" s="1">
        <f t="shared" si="21"/>
        <v>2908156</v>
      </c>
      <c r="BO14" s="1">
        <f>+datos!HP1</f>
        <v>224</v>
      </c>
      <c r="BP14" s="1">
        <f t="shared" si="22"/>
        <v>11845.90017193068</v>
      </c>
      <c r="BQ14" s="1">
        <f t="shared" si="22"/>
        <v>10768.137904900923</v>
      </c>
      <c r="BS14" s="1">
        <f>+datos!KH1</f>
        <v>294</v>
      </c>
      <c r="BT14" s="1">
        <f t="shared" si="39"/>
        <v>1973.7086603700004</v>
      </c>
      <c r="BU14" s="1">
        <f t="shared" si="40"/>
        <v>1585.0545501099998</v>
      </c>
      <c r="BW14" s="1">
        <f>+datos!LM1</f>
        <v>325</v>
      </c>
      <c r="BX14" s="2">
        <f t="shared" si="23"/>
        <v>27.014154399999995</v>
      </c>
      <c r="BY14" s="2">
        <f t="shared" si="24"/>
        <v>22.212021849999996</v>
      </c>
      <c r="CA14" s="1">
        <f>+datos!IN1</f>
        <v>248</v>
      </c>
      <c r="CB14" s="1">
        <f t="shared" si="25"/>
        <v>205</v>
      </c>
      <c r="CC14" s="1">
        <f t="shared" si="26"/>
        <v>191</v>
      </c>
      <c r="CD14" s="1"/>
      <c r="CE14">
        <f>+datos!DC1</f>
        <v>107</v>
      </c>
      <c r="CF14" s="2">
        <f t="shared" si="27"/>
        <v>13761.728044599837</v>
      </c>
      <c r="CG14" s="2">
        <f t="shared" si="27"/>
        <v>12975.52834767931</v>
      </c>
      <c r="CH14" s="2">
        <f t="shared" si="27"/>
        <v>10428.805901437217</v>
      </c>
      <c r="CI14" s="1"/>
      <c r="CK14" s="1">
        <f t="shared" si="28"/>
        <v>152.49764859000004</v>
      </c>
      <c r="CL14" s="1">
        <f t="shared" si="28"/>
        <v>139.65871150000001</v>
      </c>
      <c r="CM14" s="1">
        <f t="shared" si="28"/>
        <v>160.91833684000002</v>
      </c>
      <c r="CN14" s="1">
        <f t="shared" si="28"/>
        <v>210.79864256000005</v>
      </c>
      <c r="CO14" s="1">
        <f t="shared" si="28"/>
        <v>166.84903940999999</v>
      </c>
      <c r="CP14" s="1">
        <f t="shared" si="28"/>
        <v>210.64847638000006</v>
      </c>
      <c r="CQ14" s="1">
        <f t="shared" si="28"/>
        <v>202.06812983999998</v>
      </c>
      <c r="CR14" s="1">
        <f t="shared" si="28"/>
        <v>166.18279023000005</v>
      </c>
      <c r="CS14" s="1">
        <f t="shared" si="28"/>
        <v>145.54293837</v>
      </c>
      <c r="CT14" s="1">
        <f t="shared" si="28"/>
        <v>161.52973046</v>
      </c>
      <c r="CU14" s="1">
        <f t="shared" si="28"/>
        <v>135.14119298</v>
      </c>
      <c r="CV14" s="1">
        <f t="shared" si="28"/>
        <v>121.87302321000003</v>
      </c>
      <c r="CW14" s="1">
        <f t="shared" si="28"/>
        <v>90.118424640000015</v>
      </c>
      <c r="CX14" s="1">
        <f t="shared" si="28"/>
        <v>158.22857195999995</v>
      </c>
      <c r="CY14" s="1">
        <f t="shared" si="28"/>
        <v>133.12937443000001</v>
      </c>
      <c r="CZ14" s="1">
        <f t="shared" si="28"/>
        <v>150.81206259999999</v>
      </c>
      <c r="DA14" s="1">
        <f t="shared" si="29"/>
        <v>173.78517034999999</v>
      </c>
      <c r="DB14" s="1">
        <f t="shared" si="29"/>
        <v>162.27196751000002</v>
      </c>
      <c r="DC14" s="1">
        <f t="shared" si="29"/>
        <v>136.36151781000004</v>
      </c>
      <c r="DD14" s="1">
        <f t="shared" si="29"/>
        <v>114.33182424</v>
      </c>
      <c r="DE14" s="1">
        <f t="shared" si="29"/>
        <v>131.64359017999999</v>
      </c>
      <c r="DF14" s="1">
        <f t="shared" si="29"/>
        <v>102.41564730000002</v>
      </c>
      <c r="DG14" s="1">
        <f t="shared" si="29"/>
        <v>113.57779348999999</v>
      </c>
      <c r="DH14" s="1">
        <f t="shared" si="29"/>
        <v>118.3786056</v>
      </c>
      <c r="DJ14" s="1">
        <f t="shared" si="30"/>
        <v>2.2584035399999993</v>
      </c>
      <c r="DK14" s="1">
        <f t="shared" si="30"/>
        <v>2.0159010200000003</v>
      </c>
      <c r="DL14" s="1">
        <f t="shared" si="30"/>
        <v>2.4748885299999999</v>
      </c>
      <c r="DM14" s="1">
        <f t="shared" si="30"/>
        <v>1.7114282299999999</v>
      </c>
      <c r="DN14" s="1">
        <f t="shared" si="30"/>
        <v>1.7294343599999999</v>
      </c>
      <c r="DO14" s="1">
        <f t="shared" si="30"/>
        <v>2.2980596799999997</v>
      </c>
      <c r="DP14" s="1">
        <f t="shared" si="30"/>
        <v>2.7814752500000006</v>
      </c>
      <c r="DQ14" s="1">
        <f t="shared" si="30"/>
        <v>1.95823569</v>
      </c>
      <c r="DR14" s="1">
        <f t="shared" si="30"/>
        <v>2.3716850700000007</v>
      </c>
      <c r="DS14" s="1">
        <f t="shared" si="30"/>
        <v>3.2200157200000006</v>
      </c>
      <c r="DT14" s="1">
        <f t="shared" si="30"/>
        <v>2.3449699800000001</v>
      </c>
      <c r="DU14" s="1">
        <f t="shared" si="30"/>
        <v>1.8496573299999999</v>
      </c>
      <c r="DV14" s="1">
        <f t="shared" si="30"/>
        <v>2.6840408</v>
      </c>
      <c r="DW14" s="1">
        <f t="shared" si="30"/>
        <v>2.90139879</v>
      </c>
      <c r="DX14" s="1">
        <f t="shared" si="30"/>
        <v>2.9139955600000005</v>
      </c>
      <c r="DY14" s="1">
        <f t="shared" si="30"/>
        <v>1.6254967600000001</v>
      </c>
      <c r="DZ14" s="1">
        <f t="shared" si="31"/>
        <v>2.6289957100000003</v>
      </c>
      <c r="EA14" s="1">
        <f t="shared" si="31"/>
        <v>0.92402921999999987</v>
      </c>
      <c r="EB14" s="1">
        <f t="shared" si="31"/>
        <v>1.0080099199999999</v>
      </c>
      <c r="EC14" s="1">
        <f t="shared" si="31"/>
        <v>0.81005326000000022</v>
      </c>
      <c r="ED14" s="1">
        <f t="shared" si="31"/>
        <v>2.5429137699999997</v>
      </c>
      <c r="EE14" s="1">
        <f t="shared" si="31"/>
        <v>0.83472519000000012</v>
      </c>
      <c r="EF14" s="1">
        <f t="shared" si="31"/>
        <v>1.6658761100000001</v>
      </c>
      <c r="EG14" s="1">
        <f t="shared" si="31"/>
        <v>1.6724867599999997</v>
      </c>
      <c r="EI14" s="14">
        <f t="shared" si="32"/>
        <v>205</v>
      </c>
      <c r="EJ14" s="14">
        <f t="shared" si="32"/>
        <v>198.5</v>
      </c>
      <c r="EK14" s="1">
        <f t="shared" si="32"/>
        <v>200</v>
      </c>
      <c r="EL14" s="1">
        <f t="shared" si="32"/>
        <v>181.1</v>
      </c>
      <c r="EM14" s="1">
        <f t="shared" si="32"/>
        <v>182.5</v>
      </c>
      <c r="EN14" s="1">
        <f t="shared" si="32"/>
        <v>179.9</v>
      </c>
      <c r="EO14" s="1">
        <f t="shared" si="32"/>
        <v>182.6</v>
      </c>
      <c r="EP14" s="1">
        <f t="shared" si="32"/>
        <v>185.2</v>
      </c>
      <c r="EQ14" s="1">
        <f t="shared" si="32"/>
        <v>188.7</v>
      </c>
      <c r="ER14" s="1">
        <f t="shared" si="32"/>
        <v>191.3</v>
      </c>
      <c r="ES14" s="1">
        <f t="shared" si="32"/>
        <v>195.7</v>
      </c>
      <c r="ET14" s="1">
        <f t="shared" si="32"/>
        <v>194.1</v>
      </c>
      <c r="EU14" s="1">
        <f t="shared" si="32"/>
        <v>191</v>
      </c>
      <c r="EV14" s="1">
        <f t="shared" si="32"/>
        <v>181.1</v>
      </c>
      <c r="EW14" s="1">
        <f t="shared" si="32"/>
        <v>170.3</v>
      </c>
      <c r="EX14" s="1">
        <f t="shared" si="32"/>
        <v>170.9</v>
      </c>
      <c r="EY14" s="1">
        <f t="shared" si="33"/>
        <v>168.7</v>
      </c>
      <c r="EZ14" s="1">
        <f t="shared" si="33"/>
        <v>160.6</v>
      </c>
      <c r="FA14" s="1">
        <f t="shared" si="33"/>
        <v>160.6</v>
      </c>
      <c r="FB14" s="1">
        <f t="shared" si="33"/>
        <v>160.6</v>
      </c>
      <c r="FC14" s="1">
        <f t="shared" si="33"/>
        <v>160.6</v>
      </c>
      <c r="FD14" s="1">
        <f t="shared" si="33"/>
        <v>156.30000000000001</v>
      </c>
      <c r="FE14" s="1">
        <f t="shared" si="33"/>
        <v>155.80000000000001</v>
      </c>
      <c r="FF14" s="1">
        <f t="shared" si="33"/>
        <v>159.5</v>
      </c>
      <c r="FH14" s="162">
        <f t="shared" si="34"/>
        <v>-0.24009830607215976</v>
      </c>
    </row>
    <row r="15" spans="1:164" ht="18.75" customHeight="1">
      <c r="A15" s="244" t="s">
        <v>68</v>
      </c>
      <c r="B15" s="247"/>
      <c r="C15" s="228">
        <v>0</v>
      </c>
      <c r="D15" s="229">
        <v>-1</v>
      </c>
      <c r="E15" s="253">
        <f t="shared" si="6"/>
        <v>0.5</v>
      </c>
      <c r="F15" s="254">
        <f t="shared" si="7"/>
        <v>0.4661737780755848</v>
      </c>
      <c r="G15" s="253">
        <f t="shared" si="8"/>
        <v>0.11428114096884379</v>
      </c>
      <c r="H15" s="254">
        <f t="shared" si="9"/>
        <v>0.38571885903115621</v>
      </c>
      <c r="I15" s="253">
        <f t="shared" si="10"/>
        <v>1.3265306122448979</v>
      </c>
      <c r="J15" s="254">
        <f t="shared" si="11"/>
        <v>1.0003018129919974</v>
      </c>
      <c r="K15" s="253">
        <f t="shared" si="12"/>
        <v>0.53846720111652879</v>
      </c>
      <c r="L15" s="254">
        <f t="shared" si="13"/>
        <v>0.78806341112836908</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2.2406226891154057</v>
      </c>
      <c r="X15" s="258">
        <f t="shared" si="17"/>
        <v>2.2406226891154057</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4</v>
      </c>
      <c r="AQ15" s="28">
        <f>VLOOKUP($A15,historia!$A$5:$CM$24,+HLOOKUP(AQ$2,historia!$A$3:$EC$4,2,FALSE),FALSE)</f>
        <v>4</v>
      </c>
      <c r="AR15" s="28">
        <f>VLOOKUP($A15,historia!$A$5:$CM$24,+HLOOKUP(AR$2,historia!$A$3:$EC$4,2,FALSE),FALSE)</f>
        <v>4</v>
      </c>
      <c r="AS15" s="28">
        <f>VLOOKUP($A15,historia!$A$5:$CM$24,+HLOOKUP(AS$2,historia!$A$3:$EC$4,2,FALSE),FALSE)</f>
        <v>4</v>
      </c>
      <c r="AT15" s="58">
        <f>VLOOKUP($A15,historia!$A$5:$DD$24,+HLOOKUP(AT$2,historia!$A$3:$EC$4,2,FALSE),FALSE)</f>
        <v>3</v>
      </c>
      <c r="AU15" s="58">
        <f>VLOOKUP($A15,historia!$A$5:$DD$24,+HLOOKUP(AU$2,historia!$A$3:$EC$4,2,FALSE),FALSE)</f>
        <v>3</v>
      </c>
      <c r="AV15" s="58">
        <f>VLOOKUP($A15,historia!$A$5:$DD$24,+HLOOKUP(AV$2,historia!$A$3:$EC$4,2,FALSE),FALSE)</f>
        <v>3</v>
      </c>
      <c r="AW15" s="58">
        <f>VLOOKUP($A15,historia!$A$5:$DD$24,+HLOOKUP(AW$2,historia!$A$3:$EC$4,2,FALSE),FALSE)</f>
        <v>3</v>
      </c>
      <c r="AX15" s="58">
        <f>VLOOKUP($A15,historia!$A$5:$DD$24,+HLOOKUP(AX$2,historia!$A$3:$EC$4,2,FALSE),FALSE)</f>
        <v>3</v>
      </c>
      <c r="AY15" s="58">
        <f>VLOOKUP($A15,historia!$A$5:$DD$24,+HLOOKUP(AY$2,historia!$A$3:$EC$4,2,FALSE),FALSE)</f>
        <v>3</v>
      </c>
      <c r="AZ15" s="58">
        <f>VLOOKUP($A15,historia!$A$5:$DD$24,+HLOOKUP(AZ$2,historia!$A$3:$EC$4,2,FALSE),FALSE)</f>
        <v>4</v>
      </c>
      <c r="BA15" s="58">
        <f>VLOOKUP($A15,historia!$A$5:$DG$24,+HLOOKUP(BA$2,historia!$A$3:$EC$4,2,FALSE),FALSE)</f>
        <v>4</v>
      </c>
      <c r="BB15" s="58"/>
      <c r="BC15" s="286">
        <v>4</v>
      </c>
      <c r="BD15" t="str">
        <f t="shared" si="20"/>
        <v>Mandioca</v>
      </c>
      <c r="BE15">
        <f>+datos!AW1</f>
        <v>49</v>
      </c>
      <c r="BF15" s="2" t="str">
        <f t="shared" si="4"/>
        <v>$/bolsa40kg</v>
      </c>
      <c r="BG15" s="2">
        <f t="shared" si="4"/>
        <v>27000</v>
      </c>
      <c r="BH15" s="2">
        <f t="shared" si="4"/>
        <v>18000</v>
      </c>
      <c r="BI15" s="2">
        <f t="shared" si="4"/>
        <v>11605.263157894737</v>
      </c>
      <c r="BK15" s="1">
        <f>+datos!EY1</f>
        <v>155</v>
      </c>
      <c r="BL15" s="1">
        <f t="shared" si="21"/>
        <v>20031</v>
      </c>
      <c r="BM15" s="1">
        <f t="shared" si="21"/>
        <v>20031</v>
      </c>
      <c r="BO15" s="1">
        <f>+datos!GO1</f>
        <v>197</v>
      </c>
      <c r="BP15" s="1">
        <f t="shared" si="22"/>
        <v>201734</v>
      </c>
      <c r="BQ15" s="1">
        <f t="shared" si="22"/>
        <v>201734</v>
      </c>
      <c r="BS15" s="1">
        <f>+datos!JP1</f>
        <v>276</v>
      </c>
      <c r="BT15" s="1">
        <f t="shared" si="39"/>
        <v>2.5000000000000001E-3</v>
      </c>
      <c r="BU15" s="1">
        <f t="shared" si="40"/>
        <v>0</v>
      </c>
      <c r="BW15" s="1">
        <f>+datos!KU1</f>
        <v>307</v>
      </c>
      <c r="BX15" s="2">
        <f t="shared" si="23"/>
        <v>5.108118329999999</v>
      </c>
      <c r="BY15" s="2">
        <f t="shared" si="24"/>
        <v>1.5762767899999999</v>
      </c>
      <c r="CA15" s="1">
        <f>+datos!IY1</f>
        <v>259</v>
      </c>
      <c r="CB15" s="1">
        <f t="shared" si="25"/>
        <v>1.88</v>
      </c>
      <c r="CC15" s="1">
        <f t="shared" si="26"/>
        <v>1.88</v>
      </c>
      <c r="CD15" s="1"/>
      <c r="CE15">
        <f>+datos!CJ1</f>
        <v>88</v>
      </c>
      <c r="CF15" s="2">
        <f t="shared" si="27"/>
        <v>14390.554677992892</v>
      </c>
      <c r="CG15" s="2">
        <f t="shared" si="27"/>
        <v>12914.653357123689</v>
      </c>
      <c r="CH15" s="2">
        <f t="shared" si="27"/>
        <v>9353.8261118268074</v>
      </c>
      <c r="CI15" s="1"/>
      <c r="CK15" s="1">
        <f t="shared" si="28"/>
        <v>0</v>
      </c>
      <c r="CL15" s="1">
        <f t="shared" si="28"/>
        <v>0</v>
      </c>
      <c r="CM15" s="1">
        <f t="shared" si="28"/>
        <v>0</v>
      </c>
      <c r="CN15" s="1">
        <f t="shared" si="28"/>
        <v>2.5000000000000001E-3</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8"/>
        <v>0</v>
      </c>
      <c r="DA15" s="1">
        <f t="shared" si="29"/>
        <v>0</v>
      </c>
      <c r="DB15" s="1">
        <f t="shared" si="29"/>
        <v>0</v>
      </c>
      <c r="DC15" s="1">
        <f t="shared" si="29"/>
        <v>0</v>
      </c>
      <c r="DD15" s="1">
        <f t="shared" si="29"/>
        <v>0</v>
      </c>
      <c r="DE15" s="1">
        <f t="shared" si="29"/>
        <v>0</v>
      </c>
      <c r="DF15" s="1">
        <f t="shared" si="29"/>
        <v>0</v>
      </c>
      <c r="DG15" s="1">
        <f t="shared" si="29"/>
        <v>0</v>
      </c>
      <c r="DH15" s="1">
        <f t="shared" si="29"/>
        <v>0</v>
      </c>
      <c r="DJ15" s="14">
        <f t="shared" si="30"/>
        <v>0.85632428999999999</v>
      </c>
      <c r="DK15" s="14">
        <f t="shared" si="30"/>
        <v>0.36896875000000001</v>
      </c>
      <c r="DL15" s="1">
        <f t="shared" si="30"/>
        <v>0.35343590000000003</v>
      </c>
      <c r="DM15" s="1">
        <f t="shared" si="30"/>
        <v>0.46571231000000002</v>
      </c>
      <c r="DN15" s="1">
        <f t="shared" si="30"/>
        <v>0.27804433999999995</v>
      </c>
      <c r="DO15" s="1">
        <f t="shared" si="30"/>
        <v>0.43603392000000002</v>
      </c>
      <c r="DP15" s="1">
        <f t="shared" si="30"/>
        <v>0.45279353000000006</v>
      </c>
      <c r="DQ15" s="1">
        <f t="shared" si="30"/>
        <v>0.30456642</v>
      </c>
      <c r="DR15" s="1">
        <f t="shared" si="30"/>
        <v>0.53543670999999993</v>
      </c>
      <c r="DS15" s="1">
        <f t="shared" si="30"/>
        <v>0.43177300000000002</v>
      </c>
      <c r="DT15" s="1">
        <f t="shared" si="30"/>
        <v>0.33740116000000003</v>
      </c>
      <c r="DU15" s="1">
        <f t="shared" si="30"/>
        <v>0.28762799999999999</v>
      </c>
      <c r="DV15" s="1">
        <f t="shared" si="30"/>
        <v>0.10344400999999999</v>
      </c>
      <c r="DW15" s="1">
        <f t="shared" si="30"/>
        <v>4.4833160000000004E-2</v>
      </c>
      <c r="DX15" s="1">
        <f t="shared" si="30"/>
        <v>0.14172798</v>
      </c>
      <c r="DY15" s="1">
        <f t="shared" si="30"/>
        <v>7.4560410000000008E-2</v>
      </c>
      <c r="DZ15" s="1">
        <f t="shared" si="31"/>
        <v>0.28059129999999999</v>
      </c>
      <c r="EA15" s="1">
        <f t="shared" si="31"/>
        <v>0.15169276000000001</v>
      </c>
      <c r="EB15" s="1">
        <f t="shared" si="31"/>
        <v>0.14711371000000001</v>
      </c>
      <c r="EC15" s="1">
        <f t="shared" si="31"/>
        <v>0.18175015000000003</v>
      </c>
      <c r="ED15" s="1">
        <f t="shared" si="31"/>
        <v>0.15569543999999999</v>
      </c>
      <c r="EE15" s="1">
        <f t="shared" si="31"/>
        <v>0.1712014</v>
      </c>
      <c r="EF15" s="1">
        <f t="shared" si="31"/>
        <v>0.12198517</v>
      </c>
      <c r="EG15" s="1">
        <f t="shared" si="31"/>
        <v>1.6812999999999999E-3</v>
      </c>
      <c r="EI15" s="14">
        <f t="shared" si="32"/>
        <v>1.88</v>
      </c>
      <c r="EJ15" s="14">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2"/>
        <v>1.88</v>
      </c>
      <c r="EY15" s="1">
        <f t="shared" si="33"/>
        <v>1.88</v>
      </c>
      <c r="EZ15" s="1">
        <f t="shared" si="33"/>
        <v>1.88</v>
      </c>
      <c r="FA15" s="1">
        <f t="shared" si="33"/>
        <v>1.88</v>
      </c>
      <c r="FB15" s="1">
        <f t="shared" si="33"/>
        <v>1.88</v>
      </c>
      <c r="FC15" s="1">
        <f t="shared" si="33"/>
        <v>1.88</v>
      </c>
      <c r="FD15" s="1">
        <f t="shared" si="33"/>
        <v>1.88</v>
      </c>
      <c r="FE15" s="1">
        <f t="shared" si="33"/>
        <v>1.88</v>
      </c>
      <c r="FF15" s="1">
        <f t="shared" si="33"/>
        <v>1.88</v>
      </c>
      <c r="FH15" s="162">
        <f t="shared" si="34"/>
        <v>0.78806341112836908</v>
      </c>
    </row>
    <row r="16" spans="1:164" ht="18" customHeight="1">
      <c r="A16" s="243" t="s">
        <v>25</v>
      </c>
      <c r="B16" s="246"/>
      <c r="C16" s="156">
        <f t="shared" si="5"/>
        <v>-0.66</v>
      </c>
      <c r="D16" s="198">
        <v>-1</v>
      </c>
      <c r="E16" s="248">
        <f t="shared" si="6"/>
        <v>-1.4232861277474362E-2</v>
      </c>
      <c r="F16" s="249">
        <f t="shared" si="7"/>
        <v>-4.8059083201889563E-2</v>
      </c>
      <c r="G16" s="248">
        <f t="shared" si="8"/>
        <v>7.6007139731695261E-2</v>
      </c>
      <c r="H16" s="249">
        <f t="shared" si="9"/>
        <v>-9.0240001009169624E-2</v>
      </c>
      <c r="I16" s="248">
        <f t="shared" si="10"/>
        <v>-5.4070735440291506E-2</v>
      </c>
      <c r="J16" s="249">
        <f t="shared" si="11"/>
        <v>-0.380299534693192</v>
      </c>
      <c r="K16" s="248">
        <f t="shared" si="12"/>
        <v>0.24400508598732351</v>
      </c>
      <c r="L16" s="249">
        <f t="shared" si="13"/>
        <v>-0.29807582142761502</v>
      </c>
      <c r="M16" s="250"/>
      <c r="N16" s="24">
        <v>1</v>
      </c>
      <c r="O16" s="248">
        <f t="shared" si="35"/>
        <v>-0.26790476373194172</v>
      </c>
      <c r="P16" s="251">
        <f t="shared" si="36"/>
        <v>-0.26790476373194172</v>
      </c>
      <c r="Q16" s="248">
        <f t="shared" si="14"/>
        <v>-0.30770168394691444</v>
      </c>
      <c r="R16" s="251">
        <f t="shared" si="37"/>
        <v>-0.30770168394691444</v>
      </c>
      <c r="S16" s="250"/>
      <c r="T16" s="24">
        <v>-2</v>
      </c>
      <c r="U16" s="248">
        <f t="shared" si="15"/>
        <v>-4.7790567587575494E-2</v>
      </c>
      <c r="V16" s="252">
        <f t="shared" si="16"/>
        <v>-4.7790567587575494E-2</v>
      </c>
      <c r="W16" s="248">
        <f>IFERROR(+BX16/BY16-1,"")</f>
        <v>1.1675044419693927</v>
      </c>
      <c r="X16" s="258">
        <f t="shared" si="17"/>
        <v>1.1675044419693927</v>
      </c>
      <c r="Y16" s="248">
        <f t="shared" si="18"/>
        <v>5.3604790419161663E-2</v>
      </c>
      <c r="Z16" s="252">
        <f t="shared" si="19"/>
        <v>5.3604790419161663E-2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3</v>
      </c>
      <c r="AQ16" s="28">
        <f>VLOOKUP($A16,historia!$A$5:$CM$24,+HLOOKUP(AQ$2,historia!$A$3:$EC$4,2,FALSE),FALSE)</f>
        <v>3</v>
      </c>
      <c r="AR16" s="28">
        <f>VLOOKUP($A16,historia!$A$5:$CM$24,+HLOOKUP(AR$2,historia!$A$3:$EC$4,2,FALSE),FALSE)</f>
        <v>3</v>
      </c>
      <c r="AS16" s="28">
        <f>VLOOKUP($A16,historia!$A$5:$CM$24,+HLOOKUP(AS$2,historia!$A$3:$EC$4,2,FALSE),FALSE)</f>
        <v>3</v>
      </c>
      <c r="AT16" s="58">
        <f>VLOOKUP($A16,historia!$A$5:$DD$24,+HLOOKUP(AT$2,historia!$A$3:$EC$4,2,FALSE),FALSE)</f>
        <v>3</v>
      </c>
      <c r="AU16" s="58">
        <f>VLOOKUP($A16,historia!$A$5:$DD$24,+HLOOKUP(AU$2,historia!$A$3:$EC$4,2,FALSE),FALSE)</f>
        <v>3</v>
      </c>
      <c r="AV16" s="58">
        <f>VLOOKUP($A16,historia!$A$5:$DD$24,+HLOOKUP(AV$2,historia!$A$3:$EC$4,2,FALSE),FALSE)</f>
        <v>3</v>
      </c>
      <c r="AW16" s="58">
        <f>VLOOKUP($A16,historia!$A$5:$DD$24,+HLOOKUP(AW$2,historia!$A$3:$EC$4,2,FALSE),FALSE)</f>
        <v>3</v>
      </c>
      <c r="AX16" s="58">
        <f>VLOOKUP($A16,historia!$A$5:$DD$24,+HLOOKUP(AX$2,historia!$A$3:$EC$4,2,FALSE),FALSE)</f>
        <v>3</v>
      </c>
      <c r="AY16" s="58">
        <f>VLOOKUP($A16,historia!$A$5:$DD$24,+HLOOKUP(AY$2,historia!$A$3:$EC$4,2,FALSE),FALSE)</f>
        <v>4</v>
      </c>
      <c r="AZ16" s="58">
        <f>VLOOKUP($A16,historia!$A$5:$DD$24,+HLOOKUP(AZ$2,historia!$A$3:$EC$4,2,FALSE),FALSE)</f>
        <v>4</v>
      </c>
      <c r="BA16" s="58">
        <f>VLOOKUP($A16,historia!$A$5:$DG$24,+HLOOKUP(BA$2,historia!$A$3:$EC$4,2,FALSE),FALSE)</f>
        <v>4</v>
      </c>
      <c r="BB16" s="58"/>
      <c r="BC16" s="286">
        <v>4</v>
      </c>
      <c r="BD16" t="str">
        <f t="shared" si="20"/>
        <v>Maní</v>
      </c>
      <c r="BE16">
        <f>+datos!AF1</f>
        <v>32</v>
      </c>
      <c r="BF16" s="2" t="str">
        <f t="shared" si="4"/>
        <v>$/t</v>
      </c>
      <c r="BG16" s="2">
        <f t="shared" si="4"/>
        <v>845794.25999999989</v>
      </c>
      <c r="BH16" s="2">
        <f t="shared" si="4"/>
        <v>858006.14240000001</v>
      </c>
      <c r="BI16" s="2">
        <f t="shared" si="4"/>
        <v>894141.12840000005</v>
      </c>
      <c r="BK16" s="1">
        <f>+datos!EB1</f>
        <v>132</v>
      </c>
      <c r="BL16" s="1">
        <f t="shared" si="21"/>
        <v>381590</v>
      </c>
      <c r="BM16" s="1">
        <f t="shared" si="21"/>
        <v>521230</v>
      </c>
      <c r="BO16" s="1">
        <f>+datos!FW1</f>
        <v>179</v>
      </c>
      <c r="BP16" s="1">
        <f t="shared" si="22"/>
        <v>1311996</v>
      </c>
      <c r="BQ16" s="1">
        <f t="shared" si="22"/>
        <v>1895131</v>
      </c>
      <c r="BS16" s="1">
        <f>+datos!JK1</f>
        <v>271</v>
      </c>
      <c r="BT16" s="1">
        <f t="shared" si="39"/>
        <v>1359.3786353200001</v>
      </c>
      <c r="BU16" s="1">
        <f t="shared" si="40"/>
        <v>1427.6046729299999</v>
      </c>
      <c r="BW16" s="1">
        <f>+datos!KP1</f>
        <v>302</v>
      </c>
      <c r="BX16" s="2">
        <f t="shared" si="23"/>
        <v>1.8886623</v>
      </c>
      <c r="BY16" s="2">
        <f t="shared" si="24"/>
        <v>0.87135337000000002</v>
      </c>
      <c r="CA16" s="1">
        <f>+datos!IJ1</f>
        <v>244</v>
      </c>
      <c r="CB16" s="1">
        <f t="shared" si="25"/>
        <v>2.2719760013883494</v>
      </c>
      <c r="CC16" s="1">
        <f t="shared" si="26"/>
        <v>2.1563835150032644</v>
      </c>
      <c r="CD16" s="1"/>
      <c r="CE16">
        <f>+datos!CH1</f>
        <v>86</v>
      </c>
      <c r="CF16" s="2">
        <f t="shared" si="27"/>
        <v>13970.032731695304</v>
      </c>
      <c r="CG16" s="2">
        <f t="shared" si="27"/>
        <v>12983.215645928487</v>
      </c>
      <c r="CH16" s="2">
        <f t="shared" si="27"/>
        <v>11229.883936212187</v>
      </c>
      <c r="CI16" s="1"/>
      <c r="CK16" s="1">
        <f t="shared" si="28"/>
        <v>125.25923582999999</v>
      </c>
      <c r="CL16" s="1">
        <f t="shared" si="28"/>
        <v>89.696667719999979</v>
      </c>
      <c r="CM16" s="1">
        <f t="shared" si="28"/>
        <v>106.44432842999998</v>
      </c>
      <c r="CN16" s="1">
        <f t="shared" si="28"/>
        <v>109.63040427999998</v>
      </c>
      <c r="CO16" s="1">
        <f t="shared" si="28"/>
        <v>107.51173679000001</v>
      </c>
      <c r="CP16" s="1">
        <f t="shared" si="28"/>
        <v>153.65977728999999</v>
      </c>
      <c r="CQ16" s="1">
        <f t="shared" si="28"/>
        <v>137.05460552</v>
      </c>
      <c r="CR16" s="1">
        <f t="shared" si="28"/>
        <v>119.79773589000003</v>
      </c>
      <c r="CS16" s="1">
        <f t="shared" si="28"/>
        <v>108.38462631999997</v>
      </c>
      <c r="CT16" s="1">
        <f t="shared" si="28"/>
        <v>110.53778464999999</v>
      </c>
      <c r="CU16" s="1">
        <f t="shared" si="28"/>
        <v>97.139552130000013</v>
      </c>
      <c r="CV16" s="1">
        <f t="shared" si="28"/>
        <v>94.262180470000018</v>
      </c>
      <c r="CW16" s="1">
        <f t="shared" si="28"/>
        <v>104.16408064999997</v>
      </c>
      <c r="CX16" s="1">
        <f t="shared" si="28"/>
        <v>129.66034791999999</v>
      </c>
      <c r="CY16" s="1">
        <f t="shared" si="28"/>
        <v>100.29183523999998</v>
      </c>
      <c r="CZ16" s="1">
        <f t="shared" si="28"/>
        <v>142.99991008000001</v>
      </c>
      <c r="DA16" s="1">
        <f t="shared" si="29"/>
        <v>153.43391492999999</v>
      </c>
      <c r="DB16" s="1">
        <f t="shared" si="29"/>
        <v>142.09253510999997</v>
      </c>
      <c r="DC16" s="1">
        <f t="shared" si="29"/>
        <v>155.33708399000002</v>
      </c>
      <c r="DD16" s="1">
        <f t="shared" si="29"/>
        <v>156.99934678</v>
      </c>
      <c r="DE16" s="1">
        <f t="shared" si="29"/>
        <v>115.53726275000001</v>
      </c>
      <c r="DF16" s="1">
        <f t="shared" si="29"/>
        <v>98.487414479999984</v>
      </c>
      <c r="DG16" s="1">
        <f t="shared" si="29"/>
        <v>63.473924160000003</v>
      </c>
      <c r="DH16" s="1">
        <f t="shared" si="29"/>
        <v>65.127016839999982</v>
      </c>
      <c r="DJ16" s="1">
        <f t="shared" si="30"/>
        <v>7.5985750000000005E-2</v>
      </c>
      <c r="DK16" s="1">
        <f t="shared" si="30"/>
        <v>3.3E-4</v>
      </c>
      <c r="DL16" s="1">
        <f t="shared" si="30"/>
        <v>3.5242930000000006E-2</v>
      </c>
      <c r="DM16" s="1">
        <f t="shared" si="30"/>
        <v>4.2275489999999999E-2</v>
      </c>
      <c r="DN16" s="1">
        <f t="shared" si="30"/>
        <v>2.1048300000000002E-3</v>
      </c>
      <c r="DO16" s="1">
        <f t="shared" si="30"/>
        <v>9.9999999999999995E-7</v>
      </c>
      <c r="DP16" s="1">
        <f t="shared" si="30"/>
        <v>0.27773459</v>
      </c>
      <c r="DQ16" s="1">
        <f t="shared" si="30"/>
        <v>0.19844290000000001</v>
      </c>
      <c r="DR16" s="1">
        <f t="shared" si="30"/>
        <v>0.14424532000000001</v>
      </c>
      <c r="DS16" s="1">
        <f t="shared" si="30"/>
        <v>5.4312239999999998E-2</v>
      </c>
      <c r="DT16" s="1">
        <f t="shared" si="30"/>
        <v>1.9420499999999999E-3</v>
      </c>
      <c r="DU16" s="1">
        <f t="shared" si="30"/>
        <v>1.0560452</v>
      </c>
      <c r="DV16" s="1">
        <f t="shared" si="30"/>
        <v>3.8992409999999998E-2</v>
      </c>
      <c r="DW16" s="1">
        <f t="shared" si="30"/>
        <v>0</v>
      </c>
      <c r="DX16" s="1">
        <f t="shared" si="30"/>
        <v>5.2225250000000001E-2</v>
      </c>
      <c r="DY16" s="1">
        <f t="shared" si="30"/>
        <v>0.22862400000000002</v>
      </c>
      <c r="DZ16" s="1">
        <f t="shared" si="31"/>
        <v>2.6527899999999999E-3</v>
      </c>
      <c r="EA16" s="1">
        <f t="shared" si="31"/>
        <v>1.6271E-3</v>
      </c>
      <c r="EB16" s="1">
        <f t="shared" si="31"/>
        <v>0.13444175</v>
      </c>
      <c r="EC16" s="1">
        <f t="shared" si="31"/>
        <v>4.2737620000000004E-2</v>
      </c>
      <c r="ED16" s="1">
        <f t="shared" si="31"/>
        <v>8.6628999999999998E-2</v>
      </c>
      <c r="EE16" s="1">
        <f t="shared" si="31"/>
        <v>8.4906640000000005E-2</v>
      </c>
      <c r="EF16" s="1">
        <f t="shared" si="31"/>
        <v>8.714181E-2</v>
      </c>
      <c r="EG16" s="1">
        <f t="shared" si="31"/>
        <v>0.111375</v>
      </c>
      <c r="EI16" s="14">
        <f t="shared" si="32"/>
        <v>2.2719760013883494</v>
      </c>
      <c r="EJ16" s="14">
        <f t="shared" si="32"/>
        <v>2.2719760013883494</v>
      </c>
      <c r="EK16" s="1">
        <f t="shared" si="32"/>
        <v>2.4791954184468667</v>
      </c>
      <c r="EL16" s="1">
        <f t="shared" si="32"/>
        <v>2.4791954184468667</v>
      </c>
      <c r="EM16" s="1">
        <f t="shared" si="32"/>
        <v>2.4791954184468667</v>
      </c>
      <c r="EN16" s="1">
        <f t="shared" si="32"/>
        <v>2.4791954184468667</v>
      </c>
      <c r="EO16" s="1">
        <f t="shared" si="32"/>
        <v>2.3888080854826579</v>
      </c>
      <c r="EP16" s="1">
        <f t="shared" si="32"/>
        <v>2.3888080854826579</v>
      </c>
      <c r="EQ16" s="1">
        <f t="shared" si="32"/>
        <v>2.3888080854826579</v>
      </c>
      <c r="ER16" s="1">
        <f t="shared" si="32"/>
        <v>2.3888080854826579</v>
      </c>
      <c r="ES16" s="1">
        <f t="shared" si="32"/>
        <v>2.3888080854826579</v>
      </c>
      <c r="ET16" s="1">
        <f t="shared" si="32"/>
        <v>2.3888080854826579</v>
      </c>
      <c r="EU16" s="1">
        <f t="shared" si="32"/>
        <v>2.1563835150032644</v>
      </c>
      <c r="EV16" s="1">
        <f t="shared" si="32"/>
        <v>2.1563835150032644</v>
      </c>
      <c r="EW16" s="1">
        <f t="shared" si="32"/>
        <v>2.1563835150032644</v>
      </c>
      <c r="EX16" s="1">
        <f t="shared" si="32"/>
        <v>2.1563835150032644</v>
      </c>
      <c r="EY16" s="1">
        <f t="shared" si="33"/>
        <v>2.1563835150032644</v>
      </c>
      <c r="EZ16" s="1">
        <f t="shared" si="33"/>
        <v>2.1563835150032644</v>
      </c>
      <c r="FA16" s="1">
        <f t="shared" si="33"/>
        <v>2.1563835150032644</v>
      </c>
      <c r="FB16" s="1">
        <f t="shared" si="33"/>
        <v>2.1563835150032644</v>
      </c>
      <c r="FC16" s="1">
        <f t="shared" si="33"/>
        <v>2.1563835150032644</v>
      </c>
      <c r="FD16" s="1">
        <f t="shared" si="33"/>
        <v>2.1563835150032644</v>
      </c>
      <c r="FE16" s="1">
        <f t="shared" si="33"/>
        <v>2.1563835150032644</v>
      </c>
      <c r="FF16" s="1">
        <f t="shared" si="33"/>
        <v>2.1563835150032644</v>
      </c>
      <c r="FH16" s="162">
        <f t="shared" si="34"/>
        <v>-0.29807582142761502</v>
      </c>
    </row>
    <row r="17" spans="1:164" ht="18.75" customHeight="1">
      <c r="A17" s="244" t="s">
        <v>76</v>
      </c>
      <c r="B17" s="247"/>
      <c r="C17" s="228">
        <f t="shared" si="5"/>
        <v>-0.99</v>
      </c>
      <c r="D17" s="229">
        <v>-1</v>
      </c>
      <c r="E17" s="253">
        <f t="shared" si="6"/>
        <v>2.2050716648291058E-2</v>
      </c>
      <c r="F17" s="254">
        <f t="shared" si="7"/>
        <v>-1.1775505276124143E-2</v>
      </c>
      <c r="G17" s="253">
        <f t="shared" si="8"/>
        <v>0.10550282854066717</v>
      </c>
      <c r="H17" s="254">
        <f t="shared" si="9"/>
        <v>-8.3452111892376113E-2</v>
      </c>
      <c r="I17" s="253">
        <f t="shared" si="10"/>
        <v>0.52050300710770903</v>
      </c>
      <c r="J17" s="254">
        <f t="shared" si="11"/>
        <v>0.19427420785480853</v>
      </c>
      <c r="K17" s="253">
        <f t="shared" si="12"/>
        <v>0.42299032456680252</v>
      </c>
      <c r="L17" s="254">
        <f t="shared" si="13"/>
        <v>9.7512682540906503E-2</v>
      </c>
      <c r="M17" s="255"/>
      <c r="N17" s="256">
        <v>-1</v>
      </c>
      <c r="O17" s="253">
        <f>IFERROR(+BL17/BM17-1,"")</f>
        <v>0</v>
      </c>
      <c r="P17" s="257">
        <f t="shared" si="36"/>
        <v>0</v>
      </c>
      <c r="Q17" s="253">
        <f t="shared" si="14"/>
        <v>0</v>
      </c>
      <c r="R17" s="257">
        <f t="shared" si="37"/>
        <v>0</v>
      </c>
      <c r="S17" s="255"/>
      <c r="T17" s="256">
        <v>-1</v>
      </c>
      <c r="U17" s="253">
        <f t="shared" si="15"/>
        <v>0.32231046221573112</v>
      </c>
      <c r="V17" s="258">
        <f t="shared" si="16"/>
        <v>0.32231046221573112</v>
      </c>
      <c r="W17" s="248">
        <f>IFERROR(+BX17/BY17-1,"")</f>
        <v>10.349358811514971</v>
      </c>
      <c r="X17" s="258">
        <f t="shared" si="17"/>
        <v>10.349358811514971</v>
      </c>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3</v>
      </c>
      <c r="AQ17" s="28">
        <f>VLOOKUP($A17,historia!$A$5:$CM$24,+HLOOKUP(AQ$2,historia!$A$3:$EC$4,2,FALSE),FALSE)</f>
        <v>3</v>
      </c>
      <c r="AR17" s="28">
        <f>VLOOKUP($A17,historia!$A$5:$CM$24,+HLOOKUP(AR$2,historia!$A$3:$EC$4,2,FALSE),FALSE)</f>
        <v>3</v>
      </c>
      <c r="AS17" s="28">
        <f>VLOOKUP($A17,historia!$A$5:$CM$24,+HLOOKUP(AS$2,historia!$A$3:$EC$4,2,FALSE),FALSE)</f>
        <v>3</v>
      </c>
      <c r="AT17" s="58">
        <f>VLOOKUP($A17,historia!$A$5:$DD$24,+HLOOKUP(AT$2,historia!$A$3:$EC$4,2,FALSE),FALSE)</f>
        <v>3</v>
      </c>
      <c r="AU17" s="58">
        <f>VLOOKUP($A17,historia!$A$5:$DD$24,+HLOOKUP(AU$2,historia!$A$3:$EC$4,2,FALSE),FALSE)</f>
        <v>3</v>
      </c>
      <c r="AV17" s="58">
        <f>VLOOKUP($A17,historia!$A$5:$DD$24,+HLOOKUP(AV$2,historia!$A$3:$EC$4,2,FALSE),FALSE)</f>
        <v>2</v>
      </c>
      <c r="AW17" s="58">
        <f>VLOOKUP($A17,historia!$A$5:$DD$24,+HLOOKUP(AW$2,historia!$A$3:$EC$4,2,FALSE),FALSE)</f>
        <v>2</v>
      </c>
      <c r="AX17" s="58">
        <f>VLOOKUP($A17,historia!$A$5:$DD$24,+HLOOKUP(AX$2,historia!$A$3:$EC$4,2,FALSE),FALSE)</f>
        <v>2</v>
      </c>
      <c r="AY17" s="58">
        <f>VLOOKUP($A17,historia!$A$5:$DD$24,+HLOOKUP(AY$2,historia!$A$3:$EC$4,2,FALSE),FALSE)</f>
        <v>2</v>
      </c>
      <c r="AZ17" s="58">
        <f>VLOOKUP($A17,historia!$A$5:$DD$24,+HLOOKUP(AZ$2,historia!$A$3:$EC$4,2,FALSE),FALSE)</f>
        <v>2</v>
      </c>
      <c r="BA17" s="58">
        <f>VLOOKUP($A17,historia!$A$5:$DG$24,+HLOOKUP(BA$2,historia!$A$3:$EC$4,2,FALSE),FALSE)</f>
        <v>2</v>
      </c>
      <c r="BB17" s="58"/>
      <c r="BC17" s="286">
        <v>2</v>
      </c>
      <c r="BD17" t="str">
        <f t="shared" si="20"/>
        <v>Miel</v>
      </c>
      <c r="BE17">
        <f>+datos!BV1</f>
        <v>74</v>
      </c>
      <c r="BF17" s="2" t="str">
        <f t="shared" si="4"/>
        <v>$/kg</v>
      </c>
      <c r="BG17" s="2">
        <f t="shared" si="4"/>
        <v>2781</v>
      </c>
      <c r="BH17" s="2">
        <f t="shared" si="4"/>
        <v>2721</v>
      </c>
      <c r="BI17" s="2">
        <f t="shared" si="4"/>
        <v>1829</v>
      </c>
      <c r="BK17" s="1">
        <f>+datos!EQ1</f>
        <v>147</v>
      </c>
      <c r="BL17" s="1">
        <f t="shared" si="21"/>
        <v>4000000</v>
      </c>
      <c r="BM17" s="1">
        <f t="shared" si="21"/>
        <v>4000000</v>
      </c>
      <c r="BO17" s="1">
        <f>+datos!GP1</f>
        <v>198</v>
      </c>
      <c r="BP17" s="1">
        <f t="shared" si="22"/>
        <v>75000</v>
      </c>
      <c r="BQ17" s="1">
        <f t="shared" si="22"/>
        <v>75000</v>
      </c>
      <c r="BS17" s="1">
        <f>+datos!KE1</f>
        <v>291</v>
      </c>
      <c r="BT17" s="1">
        <f t="shared" si="39"/>
        <v>277.33326403000001</v>
      </c>
      <c r="BU17" s="1">
        <f t="shared" si="40"/>
        <v>209.73384992000001</v>
      </c>
      <c r="BW17" s="1">
        <f>+datos!LJ1</f>
        <v>322</v>
      </c>
      <c r="BX17" s="2">
        <f t="shared" si="23"/>
        <v>4.4676069999999998E-2</v>
      </c>
      <c r="BY17" s="2">
        <f>+SUM(DV17:EG17)</f>
        <v>3.9364400000000003E-3</v>
      </c>
      <c r="CA17" s="1">
        <f>+datos!IZ1</f>
        <v>260</v>
      </c>
      <c r="CB17" s="2">
        <f t="shared" si="25"/>
        <v>0.3</v>
      </c>
      <c r="CC17" s="2">
        <f t="shared" si="26"/>
        <v>0.3</v>
      </c>
      <c r="CD17" s="2"/>
      <c r="CE17">
        <f>+datos!DH1</f>
        <v>112</v>
      </c>
      <c r="CF17" s="2">
        <f t="shared" si="27"/>
        <v>14173.815536870743</v>
      </c>
      <c r="CG17" s="2">
        <f t="shared" si="27"/>
        <v>12821.148142679169</v>
      </c>
      <c r="CH17" s="2">
        <f t="shared" si="27"/>
        <v>9960.5846168951593</v>
      </c>
      <c r="CI17" s="2"/>
      <c r="CK17" s="1">
        <f t="shared" si="28"/>
        <v>42.687100790000002</v>
      </c>
      <c r="CL17" s="1">
        <f t="shared" si="28"/>
        <v>22.465511939999999</v>
      </c>
      <c r="CM17" s="1">
        <f t="shared" si="28"/>
        <v>15.491239590000003</v>
      </c>
      <c r="CN17" s="1">
        <f t="shared" si="28"/>
        <v>13.599247020000002</v>
      </c>
      <c r="CO17" s="1">
        <f t="shared" si="28"/>
        <v>18.275047940000004</v>
      </c>
      <c r="CP17" s="1">
        <f t="shared" si="28"/>
        <v>22.033355530000001</v>
      </c>
      <c r="CQ17" s="1">
        <f t="shared" si="28"/>
        <v>25.714133060000005</v>
      </c>
      <c r="CR17" s="1">
        <f t="shared" si="28"/>
        <v>20.973477770000002</v>
      </c>
      <c r="CS17" s="1">
        <f t="shared" si="28"/>
        <v>25.565397789999999</v>
      </c>
      <c r="CT17" s="1">
        <f t="shared" si="28"/>
        <v>22.120083830000002</v>
      </c>
      <c r="CU17" s="1">
        <f t="shared" si="28"/>
        <v>25.223589140000001</v>
      </c>
      <c r="CV17" s="1">
        <f t="shared" si="28"/>
        <v>23.185079629999997</v>
      </c>
      <c r="CW17" s="1">
        <f t="shared" si="28"/>
        <v>18.014525360000007</v>
      </c>
      <c r="CX17" s="1">
        <f t="shared" si="28"/>
        <v>15.906782769999998</v>
      </c>
      <c r="CY17" s="1">
        <f t="shared" si="28"/>
        <v>9.6274282100000015</v>
      </c>
      <c r="CZ17" s="1">
        <f t="shared" si="28"/>
        <v>12.184475789999999</v>
      </c>
      <c r="DA17" s="1">
        <f t="shared" si="29"/>
        <v>14.349162859999998</v>
      </c>
      <c r="DB17" s="1">
        <f t="shared" si="29"/>
        <v>24.378519029999993</v>
      </c>
      <c r="DC17" s="1">
        <f t="shared" si="29"/>
        <v>22.211636389999995</v>
      </c>
      <c r="DD17" s="1">
        <f t="shared" si="29"/>
        <v>18.934177090000006</v>
      </c>
      <c r="DE17" s="1">
        <f t="shared" si="29"/>
        <v>18.049853030000005</v>
      </c>
      <c r="DF17" s="1">
        <f t="shared" si="29"/>
        <v>20.702965450000001</v>
      </c>
      <c r="DG17" s="1">
        <f t="shared" si="29"/>
        <v>19.199801710000003</v>
      </c>
      <c r="DH17" s="1">
        <f t="shared" si="29"/>
        <v>16.174522229999997</v>
      </c>
      <c r="DJ17" s="1">
        <f t="shared" si="30"/>
        <v>0</v>
      </c>
      <c r="DK17" s="1">
        <f t="shared" si="30"/>
        <v>0</v>
      </c>
      <c r="DL17" s="1">
        <f t="shared" si="30"/>
        <v>0</v>
      </c>
      <c r="DM17" s="1">
        <f t="shared" si="30"/>
        <v>2.9789999999999999E-3</v>
      </c>
      <c r="DN17" s="1">
        <f t="shared" si="30"/>
        <v>0</v>
      </c>
      <c r="DO17" s="1">
        <f t="shared" si="30"/>
        <v>0</v>
      </c>
      <c r="DP17" s="1">
        <f t="shared" si="30"/>
        <v>0</v>
      </c>
      <c r="DQ17" s="1">
        <f t="shared" si="30"/>
        <v>4.0170669999999999E-2</v>
      </c>
      <c r="DR17" s="1">
        <f t="shared" si="30"/>
        <v>0</v>
      </c>
      <c r="DS17" s="1">
        <f t="shared" si="30"/>
        <v>0</v>
      </c>
      <c r="DT17" s="1">
        <f t="shared" si="30"/>
        <v>1.5264E-3</v>
      </c>
      <c r="DU17" s="1">
        <f t="shared" si="30"/>
        <v>0</v>
      </c>
      <c r="DV17" s="1">
        <f t="shared" si="30"/>
        <v>0</v>
      </c>
      <c r="DW17" s="1">
        <f t="shared" si="30"/>
        <v>3.5298E-3</v>
      </c>
      <c r="DX17" s="1">
        <f t="shared" si="30"/>
        <v>0</v>
      </c>
      <c r="DY17" s="1">
        <f t="shared" si="30"/>
        <v>0</v>
      </c>
      <c r="DZ17" s="1">
        <f t="shared" si="31"/>
        <v>0</v>
      </c>
      <c r="EA17" s="1">
        <f t="shared" si="31"/>
        <v>0</v>
      </c>
      <c r="EB17" s="1">
        <f t="shared" si="31"/>
        <v>4.0664E-4</v>
      </c>
      <c r="EC17" s="1">
        <f t="shared" si="31"/>
        <v>0</v>
      </c>
      <c r="ED17" s="1">
        <f t="shared" si="31"/>
        <v>0</v>
      </c>
      <c r="EE17" s="1">
        <f t="shared" si="31"/>
        <v>0</v>
      </c>
      <c r="EF17" s="1">
        <f t="shared" si="31"/>
        <v>0</v>
      </c>
      <c r="EG17" s="1">
        <f t="shared" si="31"/>
        <v>0</v>
      </c>
      <c r="EI17" s="14">
        <f t="shared" si="32"/>
        <v>0.3</v>
      </c>
      <c r="EJ17" s="14">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2"/>
        <v>0.3</v>
      </c>
      <c r="EY17" s="1">
        <f t="shared" si="33"/>
        <v>0.3</v>
      </c>
      <c r="EZ17" s="1">
        <f t="shared" si="33"/>
        <v>0.3</v>
      </c>
      <c r="FA17" s="1">
        <f t="shared" si="33"/>
        <v>0.3</v>
      </c>
      <c r="FB17" s="1">
        <f t="shared" si="33"/>
        <v>0.3</v>
      </c>
      <c r="FC17" s="1">
        <f t="shared" si="33"/>
        <v>0.3</v>
      </c>
      <c r="FD17" s="1">
        <f t="shared" si="33"/>
        <v>0.3</v>
      </c>
      <c r="FE17" s="1">
        <f t="shared" si="33"/>
        <v>0.3</v>
      </c>
      <c r="FF17" s="1">
        <f t="shared" si="33"/>
        <v>0.3</v>
      </c>
      <c r="FH17" s="162">
        <f t="shared" si="34"/>
        <v>9.7512682540906503E-2</v>
      </c>
    </row>
    <row r="18" spans="1:164" ht="18.75" customHeight="1">
      <c r="A18" s="243" t="s">
        <v>222</v>
      </c>
      <c r="B18" s="246"/>
      <c r="C18" s="156">
        <f t="shared" si="5"/>
        <v>-0.33</v>
      </c>
      <c r="D18" s="198">
        <v>1</v>
      </c>
      <c r="E18" s="248">
        <f t="shared" si="6"/>
        <v>-5.6222077552248173E-3</v>
      </c>
      <c r="F18" s="249">
        <f t="shared" si="7"/>
        <v>-3.9448429679640018E-2</v>
      </c>
      <c r="G18" s="248">
        <f t="shared" si="8"/>
        <v>7.1218658806255775E-2</v>
      </c>
      <c r="H18" s="249">
        <f t="shared" si="9"/>
        <v>-7.6840866561480592E-2</v>
      </c>
      <c r="I18" s="253">
        <f t="shared" si="10"/>
        <v>0.31957331374187037</v>
      </c>
      <c r="J18" s="254">
        <f t="shared" si="11"/>
        <v>-6.6554855110301236E-3</v>
      </c>
      <c r="K18" s="248">
        <f t="shared" si="12"/>
        <v>0.36078245147422039</v>
      </c>
      <c r="L18" s="249">
        <f t="shared" si="13"/>
        <v>-4.1209137732350021E-2</v>
      </c>
      <c r="M18" s="250"/>
      <c r="N18" s="24">
        <v>-1</v>
      </c>
      <c r="O18" s="248">
        <f t="shared" si="35"/>
        <v>-7.7046237629317393E-2</v>
      </c>
      <c r="P18" s="251">
        <f t="shared" si="36"/>
        <v>-7.7046237629317393E-2</v>
      </c>
      <c r="Q18" s="248">
        <f t="shared" si="14"/>
        <v>-7.1865930744083539E-2</v>
      </c>
      <c r="R18" s="251">
        <f t="shared" si="37"/>
        <v>-7.1865930744083539E-2</v>
      </c>
      <c r="S18" s="250"/>
      <c r="T18" s="24">
        <v>-1</v>
      </c>
      <c r="U18" s="248">
        <f t="shared" si="15"/>
        <v>0.34419539186061821</v>
      </c>
      <c r="V18" s="252">
        <f t="shared" si="16"/>
        <v>0.34419539186061821</v>
      </c>
      <c r="W18" s="248">
        <f t="shared" si="38"/>
        <v>-0.23657482477299352</v>
      </c>
      <c r="X18" s="252">
        <f t="shared" si="17"/>
        <v>-0.23657482477299352</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2</v>
      </c>
      <c r="AQ18" s="28">
        <f>VLOOKUP($A18,historia!$A$5:$CM$24,+HLOOKUP(AQ$2,historia!$A$3:$EC$4,2,FALSE),FALSE)</f>
        <v>2</v>
      </c>
      <c r="AR18" s="28">
        <f>VLOOKUP($A18,historia!$A$5:$CM$24,+HLOOKUP(AR$2,historia!$A$3:$EC$4,2,FALSE),FALSE)</f>
        <v>1</v>
      </c>
      <c r="AS18" s="28">
        <f>VLOOKUP($A18,historia!$A$5:$CM$24,+HLOOKUP(AS$2,historia!$A$3:$EC$4,2,FALSE),FALSE)</f>
        <v>1</v>
      </c>
      <c r="AT18" s="58">
        <f>VLOOKUP($A18,historia!$A$5:$DD$24,+HLOOKUP(AT$2,historia!$A$3:$EC$4,2,FALSE),FALSE)</f>
        <v>2</v>
      </c>
      <c r="AU18" s="58">
        <f>VLOOKUP($A18,historia!$A$5:$DD$24,+HLOOKUP(AU$2,historia!$A$3:$EC$4,2,FALSE),FALSE)</f>
        <v>2</v>
      </c>
      <c r="AV18" s="58">
        <f>VLOOKUP($A18,historia!$A$5:$DD$24,+HLOOKUP(AV$2,historia!$A$3:$EC$4,2,FALSE),FALSE)</f>
        <v>2</v>
      </c>
      <c r="AW18" s="58">
        <f>VLOOKUP($A18,historia!$A$5:$DD$24,+HLOOKUP(AW$2,historia!$A$3:$EC$4,2,FALSE),FALSE)</f>
        <v>2</v>
      </c>
      <c r="AX18" s="58">
        <f>VLOOKUP($A18,historia!$A$5:$DD$24,+HLOOKUP(AX$2,historia!$A$3:$EC$4,2,FALSE),FALSE)</f>
        <v>2</v>
      </c>
      <c r="AY18" s="58">
        <f>VLOOKUP($A18,historia!$A$5:$DD$24,+HLOOKUP(AY$2,historia!$A$3:$EC$4,2,FALSE),FALSE)</f>
        <v>2</v>
      </c>
      <c r="AZ18" s="58">
        <f>VLOOKUP($A18,historia!$A$5:$DD$24,+HLOOKUP(AZ$2,historia!$A$3:$EC$4,2,FALSE),FALSE)</f>
        <v>2</v>
      </c>
      <c r="BA18" s="58">
        <f>VLOOKUP($A18,historia!$A$5:$DG$24,+HLOOKUP(BA$2,historia!$A$3:$EC$4,2,FALSE),FALSE)</f>
        <v>2</v>
      </c>
      <c r="BB18" s="58"/>
      <c r="BC18" s="286">
        <v>2</v>
      </c>
      <c r="BD18" t="str">
        <f t="shared" si="20"/>
        <v>Ovino</v>
      </c>
      <c r="BE18">
        <f>+datos!BU1</f>
        <v>73</v>
      </c>
      <c r="BF18" s="2" t="str">
        <f t="shared" si="4"/>
        <v>$/kg</v>
      </c>
      <c r="BG18" s="2">
        <f t="shared" si="4"/>
        <v>105090.16493699999</v>
      </c>
      <c r="BH18" s="2">
        <f t="shared" si="4"/>
        <v>105684.344277</v>
      </c>
      <c r="BI18" s="2">
        <f t="shared" si="4"/>
        <v>79639.504560000001</v>
      </c>
      <c r="BK18" s="1">
        <f>+datos!EL1</f>
        <v>142</v>
      </c>
      <c r="BL18" s="1">
        <f t="shared" si="21"/>
        <v>11482381</v>
      </c>
      <c r="BM18" s="1">
        <f t="shared" si="21"/>
        <v>12440906</v>
      </c>
      <c r="BO18" s="1">
        <f>+datos!GS1</f>
        <v>201</v>
      </c>
      <c r="BP18" s="1">
        <f t="shared" si="22"/>
        <v>34596.81</v>
      </c>
      <c r="BQ18" s="1">
        <f t="shared" si="22"/>
        <v>37275.660000000003</v>
      </c>
      <c r="BS18" s="1">
        <f>+datos!KI1</f>
        <v>295</v>
      </c>
      <c r="BT18" s="1">
        <f t="shared" si="39"/>
        <v>290.19609556</v>
      </c>
      <c r="BU18" s="1">
        <f t="shared" si="40"/>
        <v>215.88832793</v>
      </c>
      <c r="BW18" s="1">
        <f>+datos!LN1</f>
        <v>326</v>
      </c>
      <c r="BX18" s="2">
        <f t="shared" si="23"/>
        <v>1.8723885400000004</v>
      </c>
      <c r="BY18" s="2">
        <f t="shared" si="24"/>
        <v>2.4526156600000002</v>
      </c>
      <c r="CA18" s="1">
        <f>+datos!JA1</f>
        <v>261</v>
      </c>
      <c r="CB18" s="1">
        <f t="shared" si="25"/>
        <v>3555</v>
      </c>
      <c r="CC18" s="1">
        <f t="shared" si="26"/>
        <v>2813</v>
      </c>
      <c r="CD18" s="1"/>
      <c r="CE18">
        <f>+datos!DI1</f>
        <v>113</v>
      </c>
      <c r="CF18" s="2">
        <f t="shared" si="27"/>
        <v>13899.499637892481</v>
      </c>
      <c r="CG18" s="2">
        <f t="shared" si="27"/>
        <v>12975.408450578894</v>
      </c>
      <c r="CH18" s="2">
        <f t="shared" si="27"/>
        <v>10214.343683543455</v>
      </c>
      <c r="CI18" s="1"/>
      <c r="CK18" s="1">
        <f t="shared" si="28"/>
        <v>34.165160209999996</v>
      </c>
      <c r="CL18" s="1">
        <f t="shared" si="28"/>
        <v>32.255325069999998</v>
      </c>
      <c r="CM18" s="1">
        <f t="shared" si="28"/>
        <v>31.916470830000002</v>
      </c>
      <c r="CN18" s="1">
        <f t="shared" si="28"/>
        <v>27.303396169999999</v>
      </c>
      <c r="CO18" s="1">
        <f t="shared" si="28"/>
        <v>22.774238799999999</v>
      </c>
      <c r="CP18" s="1">
        <f t="shared" si="28"/>
        <v>21.077032079999999</v>
      </c>
      <c r="CQ18" s="1">
        <f t="shared" si="28"/>
        <v>19.550070639999998</v>
      </c>
      <c r="CR18" s="1">
        <f t="shared" si="28"/>
        <v>17.8919189</v>
      </c>
      <c r="CS18" s="1">
        <f t="shared" si="28"/>
        <v>19.636014689999996</v>
      </c>
      <c r="CT18" s="1">
        <f t="shared" si="28"/>
        <v>18.748166940000001</v>
      </c>
      <c r="CU18" s="1">
        <f t="shared" si="28"/>
        <v>21.131437869999999</v>
      </c>
      <c r="CV18" s="1">
        <f t="shared" si="28"/>
        <v>23.746863359999999</v>
      </c>
      <c r="CW18" s="1">
        <f t="shared" si="28"/>
        <v>18.662799830000001</v>
      </c>
      <c r="CX18" s="1">
        <f t="shared" si="28"/>
        <v>31.610464650000004</v>
      </c>
      <c r="CY18" s="1">
        <f t="shared" si="28"/>
        <v>14.881609229999999</v>
      </c>
      <c r="CZ18" s="1">
        <f t="shared" si="28"/>
        <v>18.538380959999998</v>
      </c>
      <c r="DA18" s="1">
        <f t="shared" si="29"/>
        <v>15.79353798</v>
      </c>
      <c r="DB18" s="1">
        <f t="shared" si="29"/>
        <v>15.390557059999999</v>
      </c>
      <c r="DC18" s="1">
        <f t="shared" si="29"/>
        <v>12.657815750000001</v>
      </c>
      <c r="DD18" s="1">
        <f t="shared" si="29"/>
        <v>13.430479930000001</v>
      </c>
      <c r="DE18" s="1">
        <f t="shared" si="29"/>
        <v>15.60716012</v>
      </c>
      <c r="DF18" s="1">
        <f t="shared" si="29"/>
        <v>19.03918719</v>
      </c>
      <c r="DG18" s="1">
        <f t="shared" si="29"/>
        <v>17.774232269999999</v>
      </c>
      <c r="DH18" s="1">
        <f t="shared" si="29"/>
        <v>22.502102959999998</v>
      </c>
      <c r="DJ18" s="1">
        <f t="shared" si="30"/>
        <v>0.18636467000000001</v>
      </c>
      <c r="DK18" s="1">
        <f t="shared" si="30"/>
        <v>0.25499293999999995</v>
      </c>
      <c r="DL18" s="1">
        <f t="shared" si="30"/>
        <v>0.11824628</v>
      </c>
      <c r="DM18" s="1">
        <f t="shared" si="30"/>
        <v>0.37141849000000005</v>
      </c>
      <c r="DN18" s="1">
        <f t="shared" si="30"/>
        <v>4.9819790000000003E-2</v>
      </c>
      <c r="DO18" s="1">
        <f t="shared" si="30"/>
        <v>5.7726630000000001E-2</v>
      </c>
      <c r="DP18" s="1">
        <f t="shared" si="30"/>
        <v>0.12164886</v>
      </c>
      <c r="DQ18" s="1">
        <f t="shared" si="30"/>
        <v>6.2847730000000004E-2</v>
      </c>
      <c r="DR18" s="1">
        <f t="shared" si="30"/>
        <v>7.1441070000000009E-2</v>
      </c>
      <c r="DS18" s="1">
        <f t="shared" si="30"/>
        <v>0.19937177999999997</v>
      </c>
      <c r="DT18" s="1">
        <f t="shared" si="30"/>
        <v>0.18211829000000002</v>
      </c>
      <c r="DU18" s="1">
        <f t="shared" si="30"/>
        <v>0.19639201000000001</v>
      </c>
      <c r="DV18" s="1">
        <f t="shared" si="30"/>
        <v>0.15047392000000001</v>
      </c>
      <c r="DW18" s="1">
        <f t="shared" si="30"/>
        <v>0.19393855000000002</v>
      </c>
      <c r="DX18" s="1">
        <f t="shared" si="30"/>
        <v>0.16347327</v>
      </c>
      <c r="DY18" s="1">
        <f t="shared" si="30"/>
        <v>0.18164933</v>
      </c>
      <c r="DZ18" s="1">
        <f t="shared" si="31"/>
        <v>0.25055533999999996</v>
      </c>
      <c r="EA18" s="1">
        <f t="shared" si="31"/>
        <v>0.29342396000000004</v>
      </c>
      <c r="EB18" s="1">
        <f t="shared" si="31"/>
        <v>0.26088905000000001</v>
      </c>
      <c r="EC18" s="1">
        <f t="shared" si="31"/>
        <v>0.18624962</v>
      </c>
      <c r="ED18" s="1">
        <f t="shared" si="31"/>
        <v>0.1577527</v>
      </c>
      <c r="EE18" s="1">
        <f t="shared" si="31"/>
        <v>0.24821200999999998</v>
      </c>
      <c r="EF18" s="1">
        <f t="shared" si="31"/>
        <v>0.13589592</v>
      </c>
      <c r="EG18" s="1">
        <f t="shared" si="31"/>
        <v>0.23010199000000001</v>
      </c>
      <c r="EI18" s="14">
        <f t="shared" si="32"/>
        <v>3555</v>
      </c>
      <c r="EJ18" s="14">
        <f t="shared" si="32"/>
        <v>3555</v>
      </c>
      <c r="EK18" s="1">
        <f t="shared" si="32"/>
        <v>3555</v>
      </c>
      <c r="EL18" s="1">
        <f t="shared" si="32"/>
        <v>3555</v>
      </c>
      <c r="EM18" s="1">
        <f t="shared" si="32"/>
        <v>3555</v>
      </c>
      <c r="EN18" s="1">
        <f t="shared" si="32"/>
        <v>3555</v>
      </c>
      <c r="EO18" s="1">
        <f t="shared" si="32"/>
        <v>3555</v>
      </c>
      <c r="EP18" s="1">
        <f t="shared" si="32"/>
        <v>3555</v>
      </c>
      <c r="EQ18" s="1">
        <f t="shared" si="32"/>
        <v>3555</v>
      </c>
      <c r="ER18" s="1">
        <f t="shared" si="32"/>
        <v>3555</v>
      </c>
      <c r="ES18" s="1">
        <f t="shared" si="32"/>
        <v>3735</v>
      </c>
      <c r="ET18" s="1">
        <f t="shared" si="32"/>
        <v>2813</v>
      </c>
      <c r="EU18" s="1">
        <f t="shared" si="32"/>
        <v>2813</v>
      </c>
      <c r="EV18" s="1">
        <f t="shared" si="32"/>
        <v>2813</v>
      </c>
      <c r="EW18" s="1">
        <f t="shared" si="32"/>
        <v>2813</v>
      </c>
      <c r="EX18" s="1">
        <f t="shared" si="32"/>
        <v>2813</v>
      </c>
      <c r="EY18" s="1">
        <f t="shared" si="33"/>
        <v>2813</v>
      </c>
      <c r="EZ18" s="1">
        <f t="shared" si="33"/>
        <v>2813</v>
      </c>
      <c r="FA18" s="1">
        <f t="shared" si="33"/>
        <v>2813</v>
      </c>
      <c r="FB18" s="1">
        <f t="shared" si="33"/>
        <v>2813</v>
      </c>
      <c r="FC18" s="1">
        <f t="shared" si="33"/>
        <v>2813</v>
      </c>
      <c r="FD18" s="1">
        <f t="shared" si="33"/>
        <v>2813</v>
      </c>
      <c r="FE18" s="1">
        <f t="shared" si="33"/>
        <v>2813</v>
      </c>
      <c r="FF18" s="1">
        <f t="shared" si="33"/>
        <v>2813</v>
      </c>
      <c r="FH18" s="162">
        <f t="shared" si="34"/>
        <v>-4.1209137732350021E-2</v>
      </c>
    </row>
    <row r="19" spans="1:164" ht="18.75" customHeight="1">
      <c r="A19" s="244" t="s">
        <v>66</v>
      </c>
      <c r="B19" s="247"/>
      <c r="C19" s="228">
        <f t="shared" si="5"/>
        <v>0</v>
      </c>
      <c r="D19" s="229">
        <v>-1</v>
      </c>
      <c r="E19" s="253">
        <f t="shared" si="6"/>
        <v>-0.1031870942356875</v>
      </c>
      <c r="F19" s="254">
        <f t="shared" si="7"/>
        <v>-0.1370133161601027</v>
      </c>
      <c r="G19" s="253">
        <f t="shared" si="8"/>
        <v>0.19954578402966394</v>
      </c>
      <c r="H19" s="254">
        <f t="shared" si="9"/>
        <v>-0.30273287826535145</v>
      </c>
      <c r="I19" s="253">
        <f t="shared" si="10"/>
        <v>-6.9772805904738666E-3</v>
      </c>
      <c r="J19" s="254">
        <f t="shared" si="11"/>
        <v>-0.33320607984337436</v>
      </c>
      <c r="K19" s="253">
        <f t="shared" si="12"/>
        <v>0.51636281699139364</v>
      </c>
      <c r="L19" s="254">
        <f t="shared" si="13"/>
        <v>-0.5233400975818675</v>
      </c>
      <c r="M19" s="255"/>
      <c r="N19" s="256">
        <v>0</v>
      </c>
      <c r="O19" s="253">
        <f t="shared" si="35"/>
        <v>-0.1166932970112895</v>
      </c>
      <c r="P19" s="257">
        <f t="shared" si="36"/>
        <v>-0.1166932970112895</v>
      </c>
      <c r="Q19" s="253">
        <f t="shared" si="14"/>
        <v>0</v>
      </c>
      <c r="R19" s="257">
        <v>-0.01</v>
      </c>
      <c r="S19" s="255"/>
      <c r="T19" s="256">
        <v>1</v>
      </c>
      <c r="U19" s="253">
        <f t="shared" si="15"/>
        <v>-6.3657431572050838E-2</v>
      </c>
      <c r="V19" s="258">
        <f t="shared" si="16"/>
        <v>-6.3657431572050838E-2</v>
      </c>
      <c r="W19" s="253">
        <f t="shared" si="38"/>
        <v>-0.17182301950134737</v>
      </c>
      <c r="X19" s="258">
        <f t="shared" si="17"/>
        <v>-0.17182301950134737</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3</v>
      </c>
      <c r="AQ19" s="28">
        <f>VLOOKUP($A19,historia!$A$5:$CM$24,+HLOOKUP(AQ$2,historia!$A$3:$EC$4,2,FALSE),FALSE)</f>
        <v>4</v>
      </c>
      <c r="AR19" s="28">
        <f>VLOOKUP($A19,historia!$A$5:$CM$24,+HLOOKUP(AR$2,historia!$A$3:$EC$4,2,FALSE),FALSE)</f>
        <v>4</v>
      </c>
      <c r="AS19" s="28">
        <f>VLOOKUP($A19,historia!$A$5:$CM$24,+HLOOKUP(AS$2,historia!$A$3:$EC$4,2,FALSE),FALSE)</f>
        <v>4</v>
      </c>
      <c r="AT19" s="58">
        <f>VLOOKUP($A19,historia!$A$5:$DD$24,+HLOOKUP(AT$2,historia!$A$3:$EC$4,2,FALSE),FALSE)</f>
        <v>5</v>
      </c>
      <c r="AU19" s="58">
        <f>VLOOKUP($A19,historia!$A$5:$DD$24,+HLOOKUP(AU$2,historia!$A$3:$EC$4,2,FALSE),FALSE)</f>
        <v>4</v>
      </c>
      <c r="AV19" s="58">
        <f>VLOOKUP($A19,historia!$A$5:$DD$24,+HLOOKUP(AV$2,historia!$A$3:$EC$4,2,FALSE),FALSE)</f>
        <v>4</v>
      </c>
      <c r="AW19" s="58">
        <f>VLOOKUP($A19,historia!$A$5:$DD$24,+HLOOKUP(AW$2,historia!$A$3:$EC$4,2,FALSE),FALSE)</f>
        <v>4</v>
      </c>
      <c r="AX19" s="58">
        <f>VLOOKUP($A19,historia!$A$5:$DD$24,+HLOOKUP(AX$2,historia!$A$3:$EC$4,2,FALSE),FALSE)</f>
        <v>4</v>
      </c>
      <c r="AY19" s="58">
        <f>VLOOKUP($A19,historia!$A$5:$DD$24,+HLOOKUP(AY$2,historia!$A$3:$EC$4,2,FALSE),FALSE)</f>
        <v>4</v>
      </c>
      <c r="AZ19" s="58">
        <f>VLOOKUP($A19,historia!$A$5:$DD$24,+HLOOKUP(AZ$2,historia!$A$3:$EC$4,2,FALSE),FALSE)</f>
        <v>4</v>
      </c>
      <c r="BA19" s="58">
        <f>VLOOKUP($A19,historia!$A$5:$DG$24,+HLOOKUP(BA$2,historia!$A$3:$EC$4,2,FALSE),FALSE)</f>
        <v>4</v>
      </c>
      <c r="BB19" s="58"/>
      <c r="BC19" s="286">
        <v>4</v>
      </c>
      <c r="BD19" t="str">
        <f t="shared" si="20"/>
        <v>Papa</v>
      </c>
      <c r="BE19">
        <f>+datos!AV1</f>
        <v>48</v>
      </c>
      <c r="BF19" s="2" t="str">
        <f t="shared" si="4"/>
        <v>$/bolsa 20kg</v>
      </c>
      <c r="BG19" s="2">
        <f t="shared" si="4"/>
        <v>8808.6956521739139</v>
      </c>
      <c r="BH19" s="2">
        <f t="shared" si="4"/>
        <v>9822.2222222222226</v>
      </c>
      <c r="BI19" s="2">
        <f t="shared" si="4"/>
        <v>8870.5882352941171</v>
      </c>
      <c r="BK19" s="1">
        <f>+datos!EZ1</f>
        <v>156</v>
      </c>
      <c r="BL19" s="1">
        <f t="shared" si="21"/>
        <v>33722</v>
      </c>
      <c r="BM19" s="1">
        <f t="shared" si="21"/>
        <v>38177</v>
      </c>
      <c r="BO19" s="1">
        <f>+datos!GT1</f>
        <v>202</v>
      </c>
      <c r="BP19" s="1">
        <f t="shared" si="22"/>
        <v>2111561</v>
      </c>
      <c r="BQ19" s="1">
        <f t="shared" si="22"/>
        <v>2111561</v>
      </c>
      <c r="BS19" s="1">
        <f>+datos!JO1</f>
        <v>275</v>
      </c>
      <c r="BT19" s="1">
        <f t="shared" si="39"/>
        <v>378.29927344999999</v>
      </c>
      <c r="BU19" s="1">
        <f t="shared" si="40"/>
        <v>404.01802311000006</v>
      </c>
      <c r="BW19" s="1">
        <f>+datos!KT1</f>
        <v>306</v>
      </c>
      <c r="BX19" s="2">
        <f t="shared" si="23"/>
        <v>13.759856060000004</v>
      </c>
      <c r="BY19" s="2">
        <f t="shared" si="24"/>
        <v>16.614632360000002</v>
      </c>
      <c r="CA19" s="1">
        <f>+datos!JB1</f>
        <v>262</v>
      </c>
      <c r="CB19" s="1">
        <f t="shared" si="25"/>
        <v>35.950000000000003</v>
      </c>
      <c r="CC19" s="1">
        <f t="shared" si="26"/>
        <v>35.950000000000003</v>
      </c>
      <c r="CD19" s="1"/>
      <c r="CE19">
        <f>+datos!CI1</f>
        <v>87</v>
      </c>
      <c r="CF19" s="2">
        <f t="shared" si="27"/>
        <v>15668.086797624095</v>
      </c>
      <c r="CG19" s="2">
        <f t="shared" si="27"/>
        <v>13061.683018875612</v>
      </c>
      <c r="CH19" s="2">
        <f t="shared" si="27"/>
        <v>10332.67673280927</v>
      </c>
      <c r="CI19" s="1"/>
      <c r="CK19" s="1">
        <f t="shared" si="28"/>
        <v>32.026461749999996</v>
      </c>
      <c r="CL19" s="1">
        <f t="shared" si="28"/>
        <v>27.540207300000002</v>
      </c>
      <c r="CM19" s="1">
        <f t="shared" si="28"/>
        <v>27.589055210000001</v>
      </c>
      <c r="CN19" s="1">
        <f t="shared" si="28"/>
        <v>34.54170027</v>
      </c>
      <c r="CO19" s="1">
        <f t="shared" si="28"/>
        <v>29.033049210000001</v>
      </c>
      <c r="CP19" s="1">
        <f t="shared" si="28"/>
        <v>32.137001479999995</v>
      </c>
      <c r="CQ19" s="1">
        <f t="shared" si="28"/>
        <v>31.771959519999999</v>
      </c>
      <c r="CR19" s="1">
        <f t="shared" si="28"/>
        <v>30.172516640000001</v>
      </c>
      <c r="CS19" s="1">
        <f t="shared" si="28"/>
        <v>33.254909299999994</v>
      </c>
      <c r="CT19" s="1">
        <f t="shared" si="28"/>
        <v>34.03841525</v>
      </c>
      <c r="CU19" s="1">
        <f t="shared" si="28"/>
        <v>32.790200410000004</v>
      </c>
      <c r="CV19" s="1">
        <f t="shared" si="28"/>
        <v>33.403797109999999</v>
      </c>
      <c r="CW19" s="1">
        <f t="shared" si="28"/>
        <v>26.866894470000005</v>
      </c>
      <c r="CX19" s="1">
        <f t="shared" si="28"/>
        <v>30.959664470000003</v>
      </c>
      <c r="CY19" s="1">
        <f t="shared" si="28"/>
        <v>28.030286839999999</v>
      </c>
      <c r="CZ19" s="1">
        <f t="shared" si="28"/>
        <v>35.227965569999995</v>
      </c>
      <c r="DA19" s="1">
        <f t="shared" si="29"/>
        <v>43.313690020000003</v>
      </c>
      <c r="DB19" s="1">
        <f t="shared" si="29"/>
        <v>38.158354570000007</v>
      </c>
      <c r="DC19" s="1">
        <f t="shared" si="29"/>
        <v>36.879687310000008</v>
      </c>
      <c r="DD19" s="1">
        <f t="shared" si="29"/>
        <v>30.584450140000001</v>
      </c>
      <c r="DE19" s="1">
        <f t="shared" si="29"/>
        <v>34.87822036</v>
      </c>
      <c r="DF19" s="1">
        <f t="shared" si="29"/>
        <v>30.986019150000001</v>
      </c>
      <c r="DG19" s="1">
        <f t="shared" si="29"/>
        <v>34.45773063</v>
      </c>
      <c r="DH19" s="1">
        <f t="shared" si="29"/>
        <v>33.675059580000003</v>
      </c>
      <c r="DJ19" s="1">
        <f t="shared" si="30"/>
        <v>2.0004345900000002</v>
      </c>
      <c r="DK19" s="1">
        <f t="shared" si="30"/>
        <v>1.0022204700000001</v>
      </c>
      <c r="DL19" s="1">
        <f t="shared" si="30"/>
        <v>2.2861269800000001</v>
      </c>
      <c r="DM19" s="1">
        <f t="shared" si="30"/>
        <v>1.06092366</v>
      </c>
      <c r="DN19" s="1">
        <f t="shared" si="30"/>
        <v>0.94273901999999998</v>
      </c>
      <c r="DO19" s="1">
        <f t="shared" si="30"/>
        <v>1.1078551999999999</v>
      </c>
      <c r="DP19" s="1">
        <f t="shared" si="30"/>
        <v>1.1250931100000001</v>
      </c>
      <c r="DQ19" s="1">
        <f t="shared" si="30"/>
        <v>0.74439149999999998</v>
      </c>
      <c r="DR19" s="1">
        <f t="shared" si="30"/>
        <v>1.2444918700000001</v>
      </c>
      <c r="DS19" s="1">
        <f t="shared" si="30"/>
        <v>0.75058031000000003</v>
      </c>
      <c r="DT19" s="1">
        <f t="shared" si="30"/>
        <v>0.8744752400000001</v>
      </c>
      <c r="DU19" s="1">
        <f t="shared" si="30"/>
        <v>0.62052411000000007</v>
      </c>
      <c r="DV19" s="1">
        <f t="shared" si="30"/>
        <v>1.19924761</v>
      </c>
      <c r="DW19" s="1">
        <f t="shared" si="30"/>
        <v>0.86551083000000006</v>
      </c>
      <c r="DX19" s="1">
        <f t="shared" si="30"/>
        <v>0.79831189000000002</v>
      </c>
      <c r="DY19" s="1">
        <f t="shared" si="30"/>
        <v>1.1318278900000001</v>
      </c>
      <c r="DZ19" s="1">
        <f t="shared" si="31"/>
        <v>1.8442369199999997</v>
      </c>
      <c r="EA19" s="1">
        <f t="shared" si="31"/>
        <v>1.0529063700000001</v>
      </c>
      <c r="EB19" s="1">
        <f t="shared" si="31"/>
        <v>2.0286618900000004</v>
      </c>
      <c r="EC19" s="1">
        <f t="shared" si="31"/>
        <v>0.79104531999999994</v>
      </c>
      <c r="ED19" s="1">
        <f t="shared" si="31"/>
        <v>1.6294275100000002</v>
      </c>
      <c r="EE19" s="1">
        <f t="shared" si="31"/>
        <v>1.8725515799999999</v>
      </c>
      <c r="EF19" s="1">
        <f t="shared" si="31"/>
        <v>1.9938344900000002</v>
      </c>
      <c r="EG19" s="1">
        <f t="shared" si="31"/>
        <v>1.4070700599999999</v>
      </c>
      <c r="EI19" s="14">
        <f t="shared" si="32"/>
        <v>35.950000000000003</v>
      </c>
      <c r="EJ19" s="14">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2"/>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F19" s="1">
        <f t="shared" si="33"/>
        <v>35.950000000000003</v>
      </c>
      <c r="FH19" s="162">
        <f t="shared" si="34"/>
        <v>-0.5233400975818675</v>
      </c>
    </row>
    <row r="20" spans="1:164" ht="17.399999999999999" customHeight="1">
      <c r="A20" s="263" t="s">
        <v>218</v>
      </c>
      <c r="B20" s="246"/>
      <c r="C20" s="156">
        <f t="shared" si="5"/>
        <v>0</v>
      </c>
      <c r="D20" s="198">
        <v>-1</v>
      </c>
      <c r="E20" s="248">
        <f t="shared" si="6"/>
        <v>-0.30665665691551636</v>
      </c>
      <c r="F20" s="249">
        <f t="shared" si="7"/>
        <v>-0.34048287883993156</v>
      </c>
      <c r="G20" s="248">
        <f t="shared" si="8"/>
        <v>8.2976401482821371E-2</v>
      </c>
      <c r="H20" s="249">
        <f t="shared" si="9"/>
        <v>-0.38963305839833773</v>
      </c>
      <c r="I20" s="248">
        <f t="shared" si="10"/>
        <v>0.62235366222872046</v>
      </c>
      <c r="J20" s="249">
        <f t="shared" si="11"/>
        <v>0.29612486297581997</v>
      </c>
      <c r="K20" s="248">
        <f t="shared" si="12"/>
        <v>0.44693000637147962</v>
      </c>
      <c r="L20" s="249">
        <f t="shared" si="13"/>
        <v>0.17542365585724085</v>
      </c>
      <c r="M20" s="250"/>
      <c r="N20" s="24">
        <v>-1</v>
      </c>
      <c r="O20" s="248">
        <f t="shared" si="35"/>
        <v>0</v>
      </c>
      <c r="P20" s="251">
        <f t="shared" si="36"/>
        <v>0</v>
      </c>
      <c r="Q20" s="248">
        <f t="shared" si="14"/>
        <v>-1.1341488219527962E-2</v>
      </c>
      <c r="R20" s="251">
        <f t="shared" si="37"/>
        <v>-1.1341488219527962E-2</v>
      </c>
      <c r="S20" s="250"/>
      <c r="T20" s="24">
        <v>2</v>
      </c>
      <c r="U20" s="248">
        <f t="shared" si="15"/>
        <v>7.342161753031351E-2</v>
      </c>
      <c r="V20" s="252">
        <f t="shared" si="16"/>
        <v>7.342161753031351E-2</v>
      </c>
      <c r="W20" s="248">
        <f t="shared" si="38"/>
        <v>1.2875720176594321</v>
      </c>
      <c r="X20" s="252">
        <f t="shared" si="17"/>
        <v>1.2875720176594321</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4</v>
      </c>
      <c r="AQ20" s="28">
        <f>VLOOKUP($A20,historia!$A$5:$CM$24,+HLOOKUP(AQ$2,historia!$A$3:$EC$4,2,FALSE),FALSE)</f>
        <v>4</v>
      </c>
      <c r="AR20" s="28">
        <f>VLOOKUP($A20,historia!$A$5:$CM$24,+HLOOKUP(AR$2,historia!$A$3:$EC$4,2,FALSE),FALSE)</f>
        <v>3</v>
      </c>
      <c r="AS20" s="28">
        <f>VLOOKUP($A20,historia!$A$5:$CM$24,+HLOOKUP(AS$2,historia!$A$3:$EC$4,2,FALSE),FALSE)</f>
        <v>2</v>
      </c>
      <c r="AT20" s="58">
        <f>VLOOKUP($A20,historia!$A$5:$DD$24,+HLOOKUP(AT$2,historia!$A$3:$EC$4,2,FALSE),FALSE)</f>
        <v>2</v>
      </c>
      <c r="AU20" s="58">
        <f>VLOOKUP($A20,historia!$A$5:$DD$24,+HLOOKUP(AU$2,historia!$A$3:$EC$4,2,FALSE),FALSE)</f>
        <v>3</v>
      </c>
      <c r="AV20" s="58">
        <f>VLOOKUP($A20,historia!$A$5:$DD$24,+HLOOKUP(AV$2,historia!$A$3:$EC$4,2,FALSE),FALSE)</f>
        <v>3</v>
      </c>
      <c r="AW20" s="58">
        <f>VLOOKUP($A20,historia!$A$5:$DD$24,+HLOOKUP(AW$2,historia!$A$3:$EC$4,2,FALSE),FALSE)</f>
        <v>3</v>
      </c>
      <c r="AX20" s="58">
        <f>VLOOKUP($A20,historia!$A$5:$DD$24,+HLOOKUP(AX$2,historia!$A$3:$EC$4,2,FALSE),FALSE)</f>
        <v>3</v>
      </c>
      <c r="AY20" s="58">
        <f>VLOOKUP($A20,historia!$A$5:$DD$24,+HLOOKUP(AY$2,historia!$A$3:$EC$4,2,FALSE),FALSE)</f>
        <v>3</v>
      </c>
      <c r="AZ20" s="58">
        <f>VLOOKUP($A20,historia!$A$5:$DD$24,+HLOOKUP(AZ$2,historia!$A$3:$EC$4,2,FALSE),FALSE)</f>
        <v>3</v>
      </c>
      <c r="BA20" s="58">
        <f>VLOOKUP($A20,historia!$A$5:$DG$24,+HLOOKUP(BA$2,historia!$A$3:$EC$4,2,FALSE),FALSE)</f>
        <v>3</v>
      </c>
      <c r="BB20" s="58"/>
      <c r="BC20" s="286">
        <v>3</v>
      </c>
      <c r="BD20" t="str">
        <f t="shared" si="20"/>
        <v>Peras y Manzanas</v>
      </c>
      <c r="BE20">
        <f>+datos!AP1</f>
        <v>42</v>
      </c>
      <c r="BF20" s="2" t="str">
        <f t="shared" si="4"/>
        <v>$/caja 18kg</v>
      </c>
      <c r="BG20" s="2">
        <f t="shared" si="4"/>
        <v>23126.736842105263</v>
      </c>
      <c r="BH20" s="2">
        <f t="shared" si="4"/>
        <v>33355.388888888891</v>
      </c>
      <c r="BI20" s="2">
        <f t="shared" si="4"/>
        <v>14255.052631578947</v>
      </c>
      <c r="BK20" s="1">
        <f>+datos!FC1</f>
        <v>159</v>
      </c>
      <c r="BL20" s="1">
        <f t="shared" si="21"/>
        <v>38084</v>
      </c>
      <c r="BM20" s="1">
        <f t="shared" si="21"/>
        <v>38084</v>
      </c>
      <c r="BO20" s="1">
        <f>+datos!GW1</f>
        <v>205</v>
      </c>
      <c r="BP20" s="1">
        <f t="shared" si="22"/>
        <v>767984</v>
      </c>
      <c r="BQ20" s="1">
        <f t="shared" si="22"/>
        <v>776794</v>
      </c>
      <c r="BS20" s="1">
        <f>+datos!LS1</f>
        <v>331</v>
      </c>
      <c r="BT20" s="1">
        <f t="shared" si="39"/>
        <v>444.35193511</v>
      </c>
      <c r="BU20" s="1">
        <f t="shared" si="40"/>
        <v>413.95843707000006</v>
      </c>
      <c r="BW20" s="1">
        <f>+datos!LW1</f>
        <v>335</v>
      </c>
      <c r="BX20" s="2">
        <f t="shared" si="23"/>
        <v>6.50041607</v>
      </c>
      <c r="BY20" s="2">
        <f t="shared" si="24"/>
        <v>2.8416224800000003</v>
      </c>
      <c r="CA20" s="1">
        <f>+datos!JC1</f>
        <v>263</v>
      </c>
      <c r="CB20" s="1">
        <f t="shared" si="25"/>
        <v>0</v>
      </c>
      <c r="CC20" s="1">
        <f t="shared" si="26"/>
        <v>0</v>
      </c>
      <c r="CD20" s="1"/>
      <c r="CE20">
        <f>+datos!CS1</f>
        <v>97</v>
      </c>
      <c r="CF20" s="2">
        <f t="shared" si="27"/>
        <v>14118.895960227654</v>
      </c>
      <c r="CG20" s="2">
        <f t="shared" si="27"/>
        <v>13037.122453357184</v>
      </c>
      <c r="CH20" s="2">
        <f t="shared" si="27"/>
        <v>9757.8292647576891</v>
      </c>
      <c r="CI20" s="1"/>
      <c r="CK20" s="1">
        <f t="shared" si="28"/>
        <v>56.719456929999993</v>
      </c>
      <c r="CL20" s="1">
        <f t="shared" si="28"/>
        <v>49.534875409999998</v>
      </c>
      <c r="CM20" s="1">
        <f t="shared" si="28"/>
        <v>25.805604299999995</v>
      </c>
      <c r="CN20" s="1">
        <f t="shared" si="28"/>
        <v>14.27210653</v>
      </c>
      <c r="CO20" s="1">
        <f t="shared" si="28"/>
        <v>20.571055439999999</v>
      </c>
      <c r="CP20" s="1">
        <f t="shared" si="28"/>
        <v>24.907231830000001</v>
      </c>
      <c r="CQ20" s="1">
        <f t="shared" si="28"/>
        <v>41.046257050000001</v>
      </c>
      <c r="CR20" s="1">
        <f t="shared" si="28"/>
        <v>31.183989080000003</v>
      </c>
      <c r="CS20" s="1">
        <f t="shared" si="28"/>
        <v>31.314835450000004</v>
      </c>
      <c r="CT20" s="1">
        <f t="shared" si="28"/>
        <v>42.986147830000007</v>
      </c>
      <c r="CU20" s="1">
        <f t="shared" si="28"/>
        <v>54.859389430000007</v>
      </c>
      <c r="CV20" s="1">
        <f t="shared" si="28"/>
        <v>51.150985829999996</v>
      </c>
      <c r="CW20" s="1">
        <f t="shared" si="28"/>
        <v>59.173949850000007</v>
      </c>
      <c r="CX20" s="1">
        <f t="shared" si="28"/>
        <v>46.396857000000011</v>
      </c>
      <c r="CY20" s="1">
        <f t="shared" si="28"/>
        <v>23.934850630000003</v>
      </c>
      <c r="CZ20" s="1">
        <f t="shared" si="28"/>
        <v>23.934850630000003</v>
      </c>
      <c r="DA20" s="1">
        <f t="shared" si="29"/>
        <v>23.934850630000003</v>
      </c>
      <c r="DB20" s="1">
        <f t="shared" si="29"/>
        <v>25.188374430000003</v>
      </c>
      <c r="DC20" s="1">
        <f t="shared" si="29"/>
        <v>22.303018159999997</v>
      </c>
      <c r="DD20" s="1">
        <f t="shared" si="29"/>
        <v>14.93334776</v>
      </c>
      <c r="DE20" s="1">
        <f t="shared" si="29"/>
        <v>35.336569390000001</v>
      </c>
      <c r="DF20" s="1">
        <f t="shared" si="29"/>
        <v>46.662709379999995</v>
      </c>
      <c r="DG20" s="1">
        <f t="shared" si="29"/>
        <v>45.302769560000002</v>
      </c>
      <c r="DH20" s="1">
        <f t="shared" si="29"/>
        <v>46.856289650000001</v>
      </c>
      <c r="DJ20" s="1">
        <f t="shared" si="30"/>
        <v>0.59532569999999996</v>
      </c>
      <c r="DK20" s="1">
        <f t="shared" si="30"/>
        <v>0.31596546000000003</v>
      </c>
      <c r="DL20" s="1">
        <f t="shared" si="30"/>
        <v>5.1857800000000009E-3</v>
      </c>
      <c r="DM20" s="1">
        <f t="shared" si="30"/>
        <v>0.39547034999999997</v>
      </c>
      <c r="DN20" s="1">
        <f t="shared" si="30"/>
        <v>0.54650961999999992</v>
      </c>
      <c r="DO20" s="1">
        <f t="shared" si="30"/>
        <v>0.19315473</v>
      </c>
      <c r="DP20" s="1">
        <f t="shared" si="30"/>
        <v>0.43976497000000003</v>
      </c>
      <c r="DQ20" s="1">
        <f t="shared" si="30"/>
        <v>0.72520266</v>
      </c>
      <c r="DR20" s="1">
        <f t="shared" si="30"/>
        <v>1.1922353400000001</v>
      </c>
      <c r="DS20" s="1">
        <f t="shared" si="30"/>
        <v>1.0915780799999999</v>
      </c>
      <c r="DT20" s="1">
        <f t="shared" si="30"/>
        <v>0.5667896</v>
      </c>
      <c r="DU20" s="1">
        <f t="shared" si="30"/>
        <v>0.43323378000000001</v>
      </c>
      <c r="DV20" s="1">
        <f t="shared" si="30"/>
        <v>0.20107160000000002</v>
      </c>
      <c r="DW20" s="1">
        <f t="shared" si="30"/>
        <v>4.7323499999999998E-2</v>
      </c>
      <c r="DX20" s="1">
        <f t="shared" si="30"/>
        <v>0.18245199000000001</v>
      </c>
      <c r="DY20" s="1">
        <f t="shared" si="30"/>
        <v>6.8745290000000001E-2</v>
      </c>
      <c r="DZ20" s="1">
        <f t="shared" si="31"/>
        <v>0.21798748000000001</v>
      </c>
      <c r="EA20" s="1">
        <f t="shared" si="31"/>
        <v>7.9820000000000002E-2</v>
      </c>
      <c r="EB20" s="1">
        <f t="shared" si="31"/>
        <v>0.14837025000000001</v>
      </c>
      <c r="EC20" s="1">
        <f t="shared" si="31"/>
        <v>0.3865221499999999</v>
      </c>
      <c r="ED20" s="1">
        <f t="shared" si="31"/>
        <v>0.51794252000000007</v>
      </c>
      <c r="EE20" s="1">
        <f t="shared" si="31"/>
        <v>0.37362660000000003</v>
      </c>
      <c r="EF20" s="1">
        <f t="shared" si="31"/>
        <v>0.32288670000000003</v>
      </c>
      <c r="EG20" s="1">
        <f t="shared" si="31"/>
        <v>0.29487440000000004</v>
      </c>
      <c r="EI20" s="14">
        <f t="shared" si="32"/>
        <v>0</v>
      </c>
      <c r="EJ20" s="14">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2"/>
        <v>0</v>
      </c>
      <c r="EY20" s="1">
        <f t="shared" si="33"/>
        <v>0</v>
      </c>
      <c r="EZ20" s="1">
        <f t="shared" si="33"/>
        <v>0</v>
      </c>
      <c r="FA20" s="1">
        <f t="shared" si="33"/>
        <v>0</v>
      </c>
      <c r="FB20" s="1">
        <f t="shared" si="33"/>
        <v>0</v>
      </c>
      <c r="FC20" s="1">
        <f t="shared" si="33"/>
        <v>0</v>
      </c>
      <c r="FD20" s="1">
        <f t="shared" si="33"/>
        <v>0</v>
      </c>
      <c r="FE20" s="1">
        <f t="shared" si="33"/>
        <v>0</v>
      </c>
      <c r="FF20" s="1">
        <f t="shared" si="33"/>
        <v>0</v>
      </c>
      <c r="FH20" s="162">
        <f t="shared" si="34"/>
        <v>0.17542365585724085</v>
      </c>
    </row>
    <row r="21" spans="1:164" ht="18" customHeight="1">
      <c r="A21" s="244" t="s">
        <v>121</v>
      </c>
      <c r="B21" s="247"/>
      <c r="C21" s="228">
        <f t="shared" si="5"/>
        <v>0</v>
      </c>
      <c r="D21" s="229">
        <v>-2</v>
      </c>
      <c r="E21" s="253">
        <f t="shared" si="6"/>
        <v>5.4849595113456218E-2</v>
      </c>
      <c r="F21" s="254">
        <f t="shared" si="7"/>
        <v>2.1023373189041017E-2</v>
      </c>
      <c r="G21" s="253">
        <f t="shared" si="8"/>
        <v>4.5459727918883752E-2</v>
      </c>
      <c r="H21" s="254">
        <f t="shared" si="9"/>
        <v>9.3898671945724654E-3</v>
      </c>
      <c r="I21" s="253">
        <f t="shared" si="10"/>
        <v>0.24049686723265129</v>
      </c>
      <c r="J21" s="254">
        <f t="shared" si="11"/>
        <v>-8.5731932020249202E-2</v>
      </c>
      <c r="K21" s="253">
        <f t="shared" si="12"/>
        <v>0.30335235507132663</v>
      </c>
      <c r="L21" s="254">
        <f t="shared" si="13"/>
        <v>-6.2855487838675339E-2</v>
      </c>
      <c r="M21" s="255"/>
      <c r="N21" s="256">
        <v>1</v>
      </c>
      <c r="O21" s="253">
        <f t="shared" si="35"/>
        <v>0</v>
      </c>
      <c r="P21" s="257">
        <f t="shared" si="36"/>
        <v>0</v>
      </c>
      <c r="Q21" s="253">
        <f t="shared" si="14"/>
        <v>6.2620861310342057E-2</v>
      </c>
      <c r="R21" s="257">
        <f t="shared" si="37"/>
        <v>6.2620861310342057E-2</v>
      </c>
      <c r="S21" s="255"/>
      <c r="T21" s="256">
        <v>1</v>
      </c>
      <c r="U21" s="253">
        <f t="shared" si="15"/>
        <v>0.1690221515841599</v>
      </c>
      <c r="V21" s="258">
        <f t="shared" si="16"/>
        <v>0.1690221515841599</v>
      </c>
      <c r="W21" s="253">
        <f t="shared" si="38"/>
        <v>0.54769160477802181</v>
      </c>
      <c r="X21" s="258">
        <f t="shared" si="17"/>
        <v>0.54769160477802181</v>
      </c>
      <c r="Y21" s="253">
        <f t="shared" si="18"/>
        <v>8.8515406162464894E-2</v>
      </c>
      <c r="Z21" s="258">
        <f t="shared" si="19"/>
        <v>8.8515406162464894E-2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3</v>
      </c>
      <c r="AQ21" s="28">
        <f>VLOOKUP($A21,historia!$A$5:$CM$24,+HLOOKUP(AQ$2,historia!$A$3:$EC$4,2,FALSE),FALSE)</f>
        <v>2</v>
      </c>
      <c r="AR21" s="28">
        <f>VLOOKUP($A21,historia!$A$5:$CM$24,+HLOOKUP(AR$2,historia!$A$3:$EC$4,2,FALSE),FALSE)</f>
        <v>1</v>
      </c>
      <c r="AS21" s="28">
        <f>VLOOKUP($A21,historia!$A$5:$CM$24,+HLOOKUP(AS$2,historia!$A$3:$EC$4,2,FALSE),FALSE)</f>
        <v>1</v>
      </c>
      <c r="AT21" s="58">
        <f>VLOOKUP($A21,historia!$A$5:$DD$24,+HLOOKUP(AT$2,historia!$A$3:$EC$4,2,FALSE),FALSE)</f>
        <v>2</v>
      </c>
      <c r="AU21" s="58">
        <f>VLOOKUP($A21,historia!$A$5:$DD$24,+HLOOKUP(AU$2,historia!$A$3:$EC$4,2,FALSE),FALSE)</f>
        <v>2</v>
      </c>
      <c r="AV21" s="58">
        <f>VLOOKUP($A21,historia!$A$5:$DD$24,+HLOOKUP(AV$2,historia!$A$3:$EC$4,2,FALSE),FALSE)</f>
        <v>2</v>
      </c>
      <c r="AW21" s="58">
        <f>VLOOKUP($A21,historia!$A$5:$DD$24,+HLOOKUP(AW$2,historia!$A$3:$EC$4,2,FALSE),FALSE)</f>
        <v>2</v>
      </c>
      <c r="AX21" s="58">
        <f>VLOOKUP($A21,historia!$A$5:$DD$24,+HLOOKUP(AX$2,historia!$A$3:$EC$4,2,FALSE),FALSE)</f>
        <v>3</v>
      </c>
      <c r="AY21" s="58">
        <f>VLOOKUP($A21,historia!$A$5:$DD$24,+HLOOKUP(AY$2,historia!$A$3:$EC$4,2,FALSE),FALSE)</f>
        <v>3</v>
      </c>
      <c r="AZ21" s="58">
        <f>VLOOKUP($A21,historia!$A$5:$DD$24,+HLOOKUP(AZ$2,historia!$A$3:$EC$4,2,FALSE),FALSE)</f>
        <v>3</v>
      </c>
      <c r="BA21" s="58">
        <f>VLOOKUP($A21,historia!$A$5:$DG$24,+HLOOKUP(BA$2,historia!$A$3:$EC$4,2,FALSE),FALSE)</f>
        <v>3</v>
      </c>
      <c r="BB21" s="58"/>
      <c r="BC21" s="286">
        <v>3</v>
      </c>
      <c r="BD21" t="str">
        <f t="shared" si="20"/>
        <v>Porcinos</v>
      </c>
      <c r="BE21">
        <f>+datos!BR1</f>
        <v>70</v>
      </c>
      <c r="BF21" s="2" t="str">
        <f t="shared" si="4"/>
        <v>$/kg</v>
      </c>
      <c r="BG21" s="2">
        <f t="shared" si="4"/>
        <v>2041.25</v>
      </c>
      <c r="BH21" s="2">
        <f t="shared" si="4"/>
        <v>1935.11</v>
      </c>
      <c r="BI21" s="2">
        <f t="shared" si="4"/>
        <v>1645.51</v>
      </c>
      <c r="BK21" s="1">
        <f>+datos!EJ1</f>
        <v>140</v>
      </c>
      <c r="BL21" s="1">
        <f t="shared" si="21"/>
        <v>5987778</v>
      </c>
      <c r="BM21" s="1">
        <f t="shared" si="21"/>
        <v>5987778</v>
      </c>
      <c r="BO21" s="1">
        <f>+datos!HE1</f>
        <v>213</v>
      </c>
      <c r="BP21" s="1">
        <f t="shared" si="22"/>
        <v>840192</v>
      </c>
      <c r="BQ21" s="1">
        <f t="shared" si="22"/>
        <v>790679</v>
      </c>
      <c r="BS21" s="1">
        <f>+datos!KJ1</f>
        <v>296</v>
      </c>
      <c r="BT21" s="1">
        <f t="shared" si="39"/>
        <v>33.734540090000003</v>
      </c>
      <c r="BU21" s="1">
        <f t="shared" si="40"/>
        <v>28.857058049999999</v>
      </c>
      <c r="BW21" s="1">
        <f>+datos!LO1</f>
        <v>327</v>
      </c>
      <c r="BX21" s="2">
        <f t="shared" si="23"/>
        <v>160.62773731999999</v>
      </c>
      <c r="BY21" s="2">
        <f t="shared" si="24"/>
        <v>103.78536448999998</v>
      </c>
      <c r="CA21" s="1">
        <f>+datos!IO1</f>
        <v>249</v>
      </c>
      <c r="CB21" s="2">
        <f t="shared" si="25"/>
        <v>19.43</v>
      </c>
      <c r="CC21" s="2">
        <f t="shared" si="26"/>
        <v>17.850000000000001</v>
      </c>
      <c r="CD21" s="2">
        <f>CB21-CC21</f>
        <v>1.5799999999999983</v>
      </c>
      <c r="CE21">
        <f>+datos!DD1</f>
        <v>108</v>
      </c>
      <c r="CF21" s="2">
        <f t="shared" si="27"/>
        <v>13341.144891834019</v>
      </c>
      <c r="CG21" s="2">
        <f t="shared" si="27"/>
        <v>12761.031855709267</v>
      </c>
      <c r="CH21" s="2">
        <f t="shared" si="27"/>
        <v>10236.023159757069</v>
      </c>
      <c r="CI21" s="2"/>
      <c r="CK21" s="1">
        <f t="shared" si="28"/>
        <v>3.2559529299999999</v>
      </c>
      <c r="CL21" s="1">
        <f t="shared" si="28"/>
        <v>2.83989907</v>
      </c>
      <c r="CM21" s="1">
        <f t="shared" si="28"/>
        <v>3.9903958900000003</v>
      </c>
      <c r="CN21" s="1">
        <f t="shared" si="28"/>
        <v>3.0562051500000003</v>
      </c>
      <c r="CO21" s="1">
        <f t="shared" si="28"/>
        <v>3.17480787</v>
      </c>
      <c r="CP21" s="1">
        <f t="shared" si="28"/>
        <v>3.9252467499999995</v>
      </c>
      <c r="CQ21" s="1">
        <f t="shared" si="28"/>
        <v>2.8298719000000001</v>
      </c>
      <c r="CR21" s="1">
        <f t="shared" si="28"/>
        <v>2.08934314</v>
      </c>
      <c r="CS21" s="1">
        <f t="shared" si="28"/>
        <v>2.1371287799999998</v>
      </c>
      <c r="CT21" s="1">
        <f t="shared" si="28"/>
        <v>2.3754365900000001</v>
      </c>
      <c r="CU21" s="1">
        <f t="shared" si="28"/>
        <v>2.2921349499999994</v>
      </c>
      <c r="CV21" s="1">
        <f t="shared" si="28"/>
        <v>1.76811707</v>
      </c>
      <c r="CW21" s="1">
        <f t="shared" si="28"/>
        <v>1.0764735399999998</v>
      </c>
      <c r="CX21" s="1">
        <f t="shared" si="28"/>
        <v>3.87511991</v>
      </c>
      <c r="CY21" s="1">
        <f t="shared" si="28"/>
        <v>1.4111442899999997</v>
      </c>
      <c r="CZ21" s="1">
        <f t="shared" si="28"/>
        <v>1.9463367499999997</v>
      </c>
      <c r="DA21" s="1">
        <f t="shared" si="29"/>
        <v>1.6096260199999999</v>
      </c>
      <c r="DB21" s="1">
        <f t="shared" si="29"/>
        <v>3.1723580499999997</v>
      </c>
      <c r="DC21" s="1">
        <f t="shared" si="29"/>
        <v>2.1279038099999998</v>
      </c>
      <c r="DD21" s="1">
        <f t="shared" si="29"/>
        <v>2.3778769799999995</v>
      </c>
      <c r="DE21" s="1">
        <f t="shared" si="29"/>
        <v>4.3175895799999999</v>
      </c>
      <c r="DF21" s="1">
        <f t="shared" si="29"/>
        <v>2.7596131099999996</v>
      </c>
      <c r="DG21" s="1">
        <f t="shared" si="29"/>
        <v>1.9296841299999996</v>
      </c>
      <c r="DH21" s="1">
        <f t="shared" si="29"/>
        <v>2.2533318799999997</v>
      </c>
      <c r="DJ21" s="1">
        <f t="shared" si="30"/>
        <v>16.162930539999998</v>
      </c>
      <c r="DK21" s="1">
        <f t="shared" si="30"/>
        <v>12.802625309999998</v>
      </c>
      <c r="DL21" s="1">
        <f t="shared" si="30"/>
        <v>9.4713607899999985</v>
      </c>
      <c r="DM21" s="1">
        <f t="shared" si="30"/>
        <v>10.975213970000002</v>
      </c>
      <c r="DN21" s="1">
        <f t="shared" si="30"/>
        <v>10.181194250000003</v>
      </c>
      <c r="DO21" s="1">
        <f t="shared" si="30"/>
        <v>12.329496939999999</v>
      </c>
      <c r="DP21" s="1">
        <f t="shared" si="30"/>
        <v>13.92452713</v>
      </c>
      <c r="DQ21" s="1">
        <f t="shared" si="30"/>
        <v>11.75892646</v>
      </c>
      <c r="DR21" s="1">
        <f t="shared" si="30"/>
        <v>11.837628230000002</v>
      </c>
      <c r="DS21" s="1">
        <f t="shared" si="30"/>
        <v>13.531613630000001</v>
      </c>
      <c r="DT21" s="1">
        <f t="shared" si="30"/>
        <v>19.3334501</v>
      </c>
      <c r="DU21" s="1">
        <f t="shared" si="30"/>
        <v>18.318769970000002</v>
      </c>
      <c r="DV21" s="1">
        <f t="shared" si="30"/>
        <v>14.031594299999998</v>
      </c>
      <c r="DW21" s="1">
        <f t="shared" si="30"/>
        <v>14.447589379999997</v>
      </c>
      <c r="DX21" s="1">
        <f t="shared" si="30"/>
        <v>14.265215759999998</v>
      </c>
      <c r="DY21" s="1">
        <f t="shared" ref="DY21:EG24" si="41">+VLOOKUP(DY$1,ran_dat,$BW21,FALSE)</f>
        <v>16.354180840000001</v>
      </c>
      <c r="DZ21" s="1">
        <f t="shared" si="41"/>
        <v>10.919699229999997</v>
      </c>
      <c r="EA21" s="1">
        <f t="shared" si="41"/>
        <v>10.87912704</v>
      </c>
      <c r="EB21" s="1">
        <f t="shared" si="41"/>
        <v>7.3519509899999989</v>
      </c>
      <c r="EC21" s="1">
        <f t="shared" si="41"/>
        <v>4.9251834299999988</v>
      </c>
      <c r="ED21" s="1">
        <f t="shared" si="41"/>
        <v>2.5935797799999998</v>
      </c>
      <c r="EE21" s="1">
        <f t="shared" si="41"/>
        <v>1.7163214500000001</v>
      </c>
      <c r="EF21" s="1">
        <f t="shared" si="41"/>
        <v>2.7920763000000002</v>
      </c>
      <c r="EG21" s="1">
        <f t="shared" si="41"/>
        <v>3.5088459899999997</v>
      </c>
      <c r="EI21" s="14">
        <f t="shared" si="32"/>
        <v>19.43</v>
      </c>
      <c r="EJ21" s="14">
        <f t="shared" si="32"/>
        <v>19.100000000000001</v>
      </c>
      <c r="EK21" s="1">
        <f t="shared" si="32"/>
        <v>18.97</v>
      </c>
      <c r="EL21" s="1">
        <f t="shared" si="32"/>
        <v>18.899999999999999</v>
      </c>
      <c r="EM21" s="1">
        <f t="shared" si="32"/>
        <v>18.78</v>
      </c>
      <c r="EN21" s="1">
        <f t="shared" si="32"/>
        <v>18.72</v>
      </c>
      <c r="EO21" s="1">
        <f t="shared" si="32"/>
        <v>18.600000000000001</v>
      </c>
      <c r="EP21" s="1">
        <f t="shared" si="32"/>
        <v>18.38</v>
      </c>
      <c r="EQ21" s="1">
        <f t="shared" si="32"/>
        <v>18.28</v>
      </c>
      <c r="ER21" s="1">
        <f t="shared" si="32"/>
        <v>18.239999999999998</v>
      </c>
      <c r="ES21" s="1">
        <f t="shared" si="32"/>
        <v>18.079999999999998</v>
      </c>
      <c r="ET21" s="1">
        <f t="shared" si="32"/>
        <v>17.989999999999998</v>
      </c>
      <c r="EU21" s="1">
        <f t="shared" si="32"/>
        <v>17.850000000000001</v>
      </c>
      <c r="EV21" s="1">
        <f t="shared" si="32"/>
        <v>17.73</v>
      </c>
      <c r="EW21" s="1">
        <f t="shared" si="32"/>
        <v>17.510000000000002</v>
      </c>
      <c r="EX21" s="1">
        <f t="shared" ref="EX21:FF24" si="42">+VLOOKUP(EX$1,ran_dat,$CA21,FALSE)</f>
        <v>17.13</v>
      </c>
      <c r="EY21" s="1">
        <f t="shared" si="42"/>
        <v>16.89</v>
      </c>
      <c r="EZ21" s="1">
        <f t="shared" si="42"/>
        <v>16.87</v>
      </c>
      <c r="FA21" s="1">
        <f t="shared" si="42"/>
        <v>16.8</v>
      </c>
      <c r="FB21" s="1">
        <f t="shared" si="42"/>
        <v>16.760000000000002</v>
      </c>
      <c r="FC21" s="1">
        <f t="shared" si="42"/>
        <v>16.84</v>
      </c>
      <c r="FD21" s="1">
        <f t="shared" si="42"/>
        <v>16.64</v>
      </c>
      <c r="FE21" s="1">
        <f t="shared" si="42"/>
        <v>16.68</v>
      </c>
      <c r="FF21" s="1">
        <f t="shared" si="42"/>
        <v>16.62</v>
      </c>
      <c r="FH21" s="162">
        <f t="shared" si="34"/>
        <v>-6.2855487838675339E-2</v>
      </c>
    </row>
    <row r="22" spans="1:164" ht="18.75" customHeight="1">
      <c r="A22" s="243" t="s">
        <v>75</v>
      </c>
      <c r="B22" s="246"/>
      <c r="C22" s="156">
        <f t="shared" si="5"/>
        <v>0.66</v>
      </c>
      <c r="D22" s="198">
        <v>1</v>
      </c>
      <c r="E22" s="248">
        <f t="shared" si="6"/>
        <v>0.26993436246505409</v>
      </c>
      <c r="F22" s="249">
        <f t="shared" si="7"/>
        <v>0.23610814054063889</v>
      </c>
      <c r="G22" s="248">
        <f t="shared" si="8"/>
        <v>0.11487880615197366</v>
      </c>
      <c r="H22" s="249">
        <f t="shared" si="9"/>
        <v>0.15505555631308043</v>
      </c>
      <c r="I22" s="248">
        <f t="shared" si="10"/>
        <v>0.38717636645275499</v>
      </c>
      <c r="J22" s="249">
        <f t="shared" si="11"/>
        <v>6.0947567199854502E-2</v>
      </c>
      <c r="K22" s="248">
        <f t="shared" si="12"/>
        <v>0.4097528350123949</v>
      </c>
      <c r="L22" s="249">
        <f t="shared" si="13"/>
        <v>-2.2576468559639906E-2</v>
      </c>
      <c r="M22" s="250"/>
      <c r="N22" s="24">
        <v>0</v>
      </c>
      <c r="O22" s="248">
        <f t="shared" si="35"/>
        <v>0</v>
      </c>
      <c r="P22" s="251">
        <f t="shared" si="36"/>
        <v>0</v>
      </c>
      <c r="Q22" s="248">
        <f t="shared" si="14"/>
        <v>0</v>
      </c>
      <c r="R22" s="251">
        <f t="shared" si="37"/>
        <v>0</v>
      </c>
      <c r="S22" s="250"/>
      <c r="T22" s="24">
        <v>1</v>
      </c>
      <c r="U22" s="248">
        <f t="shared" si="15"/>
        <v>0.65721531821524715</v>
      </c>
      <c r="V22" s="252">
        <f t="shared" si="16"/>
        <v>0.65721531821524715</v>
      </c>
      <c r="W22" s="248">
        <f t="shared" si="38"/>
        <v>-0.23440948420722085</v>
      </c>
      <c r="X22" s="252">
        <f t="shared" si="17"/>
        <v>-0.23440948420722085</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3</v>
      </c>
      <c r="AQ22" s="28">
        <f>VLOOKUP($A22,historia!$A$5:$CM$24,+HLOOKUP(AQ$2,historia!$A$3:$EC$4,2,FALSE),FALSE)</f>
        <v>3</v>
      </c>
      <c r="AR22" s="28">
        <f>VLOOKUP($A22,historia!$A$5:$CM$24,+HLOOKUP(AR$2,historia!$A$3:$EC$4,2,FALSE),FALSE)</f>
        <v>3</v>
      </c>
      <c r="AS22" s="28">
        <f>VLOOKUP($A22,historia!$A$5:$CM$24,+HLOOKUP(AS$2,historia!$A$3:$EC$4,2,FALSE),FALSE)</f>
        <v>3</v>
      </c>
      <c r="AT22" s="58">
        <f>VLOOKUP($A22,historia!$A$5:$DD$24,+HLOOKUP(AT$2,historia!$A$3:$EC$4,2,FALSE),FALSE)</f>
        <v>3</v>
      </c>
      <c r="AU22" s="58">
        <f>VLOOKUP($A22,historia!$A$5:$DD$24,+HLOOKUP(AU$2,historia!$A$3:$EC$4,2,FALSE),FALSE)</f>
        <v>3</v>
      </c>
      <c r="AV22" s="58">
        <f>VLOOKUP($A22,historia!$A$5:$DD$24,+HLOOKUP(AV$2,historia!$A$3:$EC$4,2,FALSE),FALSE)</f>
        <v>3</v>
      </c>
      <c r="AW22" s="58">
        <f>VLOOKUP($A22,historia!$A$5:$DD$24,+HLOOKUP(AW$2,historia!$A$3:$EC$4,2,FALSE),FALSE)</f>
        <v>3</v>
      </c>
      <c r="AX22" s="58">
        <f>VLOOKUP($A22,historia!$A$5:$DD$24,+HLOOKUP(AX$2,historia!$A$3:$EC$4,2,FALSE),FALSE)</f>
        <v>3</v>
      </c>
      <c r="AY22" s="58">
        <f>VLOOKUP($A22,historia!$A$5:$DD$24,+HLOOKUP(AY$2,historia!$A$3:$EC$4,2,FALSE),FALSE)</f>
        <v>3</v>
      </c>
      <c r="AZ22" s="58">
        <f>VLOOKUP($A22,historia!$A$5:$DD$24,+HLOOKUP(AZ$2,historia!$A$3:$EC$4,2,FALSE),FALSE)</f>
        <v>3</v>
      </c>
      <c r="BA22" s="58">
        <f>VLOOKUP($A22,historia!$A$5:$DG$24,+HLOOKUP(BA$2,historia!$A$3:$EC$4,2,FALSE),FALSE)</f>
        <v>3</v>
      </c>
      <c r="BB22" s="58"/>
      <c r="BC22" s="286">
        <v>3</v>
      </c>
      <c r="BD22" t="str">
        <f t="shared" si="20"/>
        <v>Tabaco</v>
      </c>
      <c r="BE22">
        <f>+datos!BJ1</f>
        <v>62</v>
      </c>
      <c r="BF22" s="2" t="str">
        <f t="shared" si="4"/>
        <v>$/kg</v>
      </c>
      <c r="BG22" s="2">
        <f t="shared" si="4"/>
        <v>6268.65</v>
      </c>
      <c r="BH22" s="2">
        <f t="shared" si="4"/>
        <v>4936.2</v>
      </c>
      <c r="BI22" s="2">
        <f t="shared" si="4"/>
        <v>4519</v>
      </c>
      <c r="BK22" s="1">
        <f>+datos!FD1</f>
        <v>160</v>
      </c>
      <c r="BL22" s="1">
        <f t="shared" si="21"/>
        <v>60376</v>
      </c>
      <c r="BM22" s="1">
        <f t="shared" si="21"/>
        <v>60376</v>
      </c>
      <c r="BO22" s="1">
        <f>+datos!GX1</f>
        <v>206</v>
      </c>
      <c r="BP22" s="1">
        <f t="shared" si="22"/>
        <v>36041.686000000002</v>
      </c>
      <c r="BQ22" s="1">
        <f t="shared" si="22"/>
        <v>36041.686000000002</v>
      </c>
      <c r="BS22" s="1">
        <f>+datos!KC1</f>
        <v>289</v>
      </c>
      <c r="BT22" s="1">
        <f t="shared" si="39"/>
        <v>709.23082696999995</v>
      </c>
      <c r="BU22" s="1">
        <f t="shared" si="40"/>
        <v>427.96540629000003</v>
      </c>
      <c r="BW22" s="1">
        <f>+datos!LH1</f>
        <v>320</v>
      </c>
      <c r="BX22" s="2">
        <f t="shared" si="23"/>
        <v>45.78610166</v>
      </c>
      <c r="BY22" s="2">
        <f t="shared" si="24"/>
        <v>59.804948880000012</v>
      </c>
      <c r="CA22" s="1">
        <f>+datos!JD1</f>
        <v>264</v>
      </c>
      <c r="CB22" s="1">
        <f t="shared" si="25"/>
        <v>0</v>
      </c>
      <c r="CC22" s="1">
        <f t="shared" si="26"/>
        <v>0</v>
      </c>
      <c r="CD22" s="1"/>
      <c r="CE22">
        <f>+datos!DA1</f>
        <v>105</v>
      </c>
      <c r="CF22" s="2">
        <f t="shared" si="27"/>
        <v>14387.670108413087</v>
      </c>
      <c r="CG22" s="2">
        <f t="shared" si="27"/>
        <v>12905.142719568252</v>
      </c>
      <c r="CH22" s="2">
        <f t="shared" si="27"/>
        <v>10205.810374048006</v>
      </c>
      <c r="CI22" s="1"/>
      <c r="CK22" s="1">
        <f t="shared" ref="CK22:CZ24" si="43">+VLOOKUP(CK$1,ran_dat,$BS22,FALSE)</f>
        <v>10.172513039999997</v>
      </c>
      <c r="CL22" s="1">
        <f t="shared" si="43"/>
        <v>86.187029549999991</v>
      </c>
      <c r="CM22" s="1">
        <f t="shared" si="43"/>
        <v>13.8144042</v>
      </c>
      <c r="CN22" s="1">
        <f t="shared" si="43"/>
        <v>30.603557829999996</v>
      </c>
      <c r="CO22" s="1">
        <f t="shared" si="43"/>
        <v>71.370433359999993</v>
      </c>
      <c r="CP22" s="1">
        <f t="shared" si="43"/>
        <v>81.464957519999999</v>
      </c>
      <c r="CQ22" s="1">
        <f t="shared" si="43"/>
        <v>72.4463358</v>
      </c>
      <c r="CR22" s="1">
        <f t="shared" si="43"/>
        <v>45.834687599999995</v>
      </c>
      <c r="CS22" s="1">
        <f t="shared" si="43"/>
        <v>54.830270300000002</v>
      </c>
      <c r="CT22" s="1">
        <f t="shared" si="43"/>
        <v>93.57534471000001</v>
      </c>
      <c r="CU22" s="1">
        <f t="shared" si="43"/>
        <v>121.04017274</v>
      </c>
      <c r="CV22" s="1">
        <f t="shared" si="43"/>
        <v>27.891120319999999</v>
      </c>
      <c r="CW22" s="1">
        <f t="shared" si="43"/>
        <v>5.5120895000000001</v>
      </c>
      <c r="CX22" s="1">
        <f t="shared" si="43"/>
        <v>9.7228914799999995</v>
      </c>
      <c r="CY22" s="1">
        <f t="shared" si="43"/>
        <v>6.2035308000000002</v>
      </c>
      <c r="CZ22" s="1">
        <f t="shared" si="43"/>
        <v>65.18720725</v>
      </c>
      <c r="DA22" s="1">
        <f t="shared" ref="DA22:DH24" si="44">+VLOOKUP(DA$1,ran_dat,$BS22,FALSE)</f>
        <v>34.962073999999994</v>
      </c>
      <c r="DB22" s="1">
        <f t="shared" si="44"/>
        <v>41.640055749999995</v>
      </c>
      <c r="DC22" s="1">
        <f t="shared" si="44"/>
        <v>54.488227269999996</v>
      </c>
      <c r="DD22" s="1">
        <f t="shared" si="44"/>
        <v>45.888815350000002</v>
      </c>
      <c r="DE22" s="1">
        <f t="shared" si="44"/>
        <v>56.365947810000002</v>
      </c>
      <c r="DF22" s="1">
        <f t="shared" si="44"/>
        <v>58.671597329999997</v>
      </c>
      <c r="DG22" s="1">
        <f t="shared" si="44"/>
        <v>31.625168280000004</v>
      </c>
      <c r="DH22" s="1">
        <f t="shared" si="44"/>
        <v>17.697801470000002</v>
      </c>
      <c r="DJ22" s="1">
        <f t="shared" ref="DJ22:DY24" si="45">+VLOOKUP(DJ$1,ran_dat,$BW22,FALSE)</f>
        <v>3.8621701900000001</v>
      </c>
      <c r="DK22" s="1">
        <f t="shared" si="45"/>
        <v>4.1810604400000004</v>
      </c>
      <c r="DL22" s="1">
        <f t="shared" si="45"/>
        <v>2.54586113</v>
      </c>
      <c r="DM22" s="1">
        <f t="shared" si="45"/>
        <v>3.7941515599999995</v>
      </c>
      <c r="DN22" s="1">
        <f t="shared" si="45"/>
        <v>4.1345480800000001</v>
      </c>
      <c r="DO22" s="1">
        <f t="shared" si="45"/>
        <v>4.4276183800000002</v>
      </c>
      <c r="DP22" s="1">
        <f t="shared" si="45"/>
        <v>4.1999923900000002</v>
      </c>
      <c r="DQ22" s="1">
        <f t="shared" si="45"/>
        <v>3.4339864000000002</v>
      </c>
      <c r="DR22" s="1">
        <f t="shared" si="45"/>
        <v>2.5223350999999994</v>
      </c>
      <c r="DS22" s="1">
        <f t="shared" si="45"/>
        <v>3.5013919399999995</v>
      </c>
      <c r="DT22" s="1">
        <f t="shared" si="45"/>
        <v>4.00557768</v>
      </c>
      <c r="DU22" s="1">
        <f t="shared" si="45"/>
        <v>5.1774083700000002</v>
      </c>
      <c r="DV22" s="1">
        <f t="shared" si="45"/>
        <v>5.7823087099999997</v>
      </c>
      <c r="DW22" s="1">
        <f t="shared" si="45"/>
        <v>5.6310443999999995</v>
      </c>
      <c r="DX22" s="1">
        <f t="shared" si="45"/>
        <v>4.1108512499999996</v>
      </c>
      <c r="DY22" s="1">
        <f t="shared" si="45"/>
        <v>6.9241559000000006</v>
      </c>
      <c r="DZ22" s="1">
        <f t="shared" si="41"/>
        <v>4.9762964800000002</v>
      </c>
      <c r="EA22" s="1">
        <f t="shared" si="41"/>
        <v>5.7062324599999998</v>
      </c>
      <c r="EB22" s="1">
        <f t="shared" si="41"/>
        <v>5.3893107900000006</v>
      </c>
      <c r="EC22" s="1">
        <f t="shared" si="41"/>
        <v>5.0602291599999996</v>
      </c>
      <c r="ED22" s="1">
        <f t="shared" si="41"/>
        <v>1.1636776099999999</v>
      </c>
      <c r="EE22" s="1">
        <f t="shared" si="41"/>
        <v>4.3331795800000004</v>
      </c>
      <c r="EF22" s="1">
        <f t="shared" si="41"/>
        <v>5.5991701699999998</v>
      </c>
      <c r="EG22" s="1">
        <f t="shared" si="41"/>
        <v>5.1284923700000009</v>
      </c>
      <c r="EI22" s="14">
        <f t="shared" ref="EI22:EX24" si="46">+VLOOKUP(EI$1,ran_dat,$CA22,FALSE)</f>
        <v>0</v>
      </c>
      <c r="EJ22" s="14">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6"/>
        <v>0</v>
      </c>
      <c r="EY22" s="1">
        <f t="shared" si="42"/>
        <v>0</v>
      </c>
      <c r="EZ22" s="1">
        <f t="shared" si="42"/>
        <v>0</v>
      </c>
      <c r="FA22" s="1">
        <f t="shared" si="42"/>
        <v>0</v>
      </c>
      <c r="FB22" s="1">
        <f t="shared" si="42"/>
        <v>0</v>
      </c>
      <c r="FC22" s="1">
        <f t="shared" si="42"/>
        <v>0</v>
      </c>
      <c r="FD22" s="1">
        <f t="shared" si="42"/>
        <v>0</v>
      </c>
      <c r="FE22" s="1">
        <f t="shared" si="42"/>
        <v>0</v>
      </c>
      <c r="FF22" s="1">
        <f t="shared" si="42"/>
        <v>0</v>
      </c>
      <c r="FH22" s="162">
        <f t="shared" si="34"/>
        <v>-2.2576468559639906E-2</v>
      </c>
    </row>
    <row r="23" spans="1:164" ht="18.75" customHeight="1">
      <c r="A23" s="244" t="s">
        <v>219</v>
      </c>
      <c r="B23" s="247"/>
      <c r="C23" s="228">
        <f t="shared" si="5"/>
        <v>-0.99</v>
      </c>
      <c r="D23" s="229">
        <v>-1</v>
      </c>
      <c r="E23" s="253">
        <f t="shared" si="6"/>
        <v>3.5188019206311427E-2</v>
      </c>
      <c r="F23" s="254">
        <f t="shared" si="7"/>
        <v>1.3617972818962265E-3</v>
      </c>
      <c r="G23" s="253">
        <f t="shared" si="8"/>
        <v>0.141737392296019</v>
      </c>
      <c r="H23" s="254">
        <f t="shared" si="9"/>
        <v>-0.10654937308970758</v>
      </c>
      <c r="I23" s="253">
        <f t="shared" si="10"/>
        <v>-0.21842501855787289</v>
      </c>
      <c r="J23" s="254">
        <f t="shared" si="11"/>
        <v>-0.54465381781077338</v>
      </c>
      <c r="K23" s="253">
        <f t="shared" si="12"/>
        <v>0.36408844555482767</v>
      </c>
      <c r="L23" s="254">
        <f t="shared" si="13"/>
        <v>-0.58251346411270055</v>
      </c>
      <c r="M23" s="255"/>
      <c r="N23" s="256">
        <v>-2</v>
      </c>
      <c r="O23" s="253">
        <f t="shared" si="35"/>
        <v>0</v>
      </c>
      <c r="P23" s="257">
        <f t="shared" si="36"/>
        <v>0</v>
      </c>
      <c r="Q23" s="253">
        <f t="shared" si="14"/>
        <v>-7.6201048455332931E-2</v>
      </c>
      <c r="R23" s="257">
        <f t="shared" si="37"/>
        <v>-7.6201048455332931E-2</v>
      </c>
      <c r="S23" s="255"/>
      <c r="T23" s="256">
        <v>0</v>
      </c>
      <c r="U23" s="253">
        <f t="shared" si="15"/>
        <v>-2.9688521354646391E-2</v>
      </c>
      <c r="V23" s="258">
        <f t="shared" si="16"/>
        <v>-2.9688521354646391E-2</v>
      </c>
      <c r="W23" s="253">
        <f t="shared" si="38"/>
        <v>0.74871995813895253</v>
      </c>
      <c r="X23" s="258">
        <f t="shared" si="17"/>
        <v>0.74871995813895253</v>
      </c>
      <c r="Y23" s="253">
        <f t="shared" si="18"/>
        <v>-0.10447761194029848</v>
      </c>
      <c r="Z23" s="258">
        <f t="shared" si="19"/>
        <v>-0.10447761194029848</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4</v>
      </c>
      <c r="AQ23" s="28">
        <f>VLOOKUP($A23,historia!$A$5:$CM$24,+HLOOKUP(AQ$2,historia!$A$3:$EC$4,2,FALSE),FALSE)</f>
        <v>4</v>
      </c>
      <c r="AR23" s="28">
        <f>VLOOKUP($A23,historia!$A$5:$CM$24,+HLOOKUP(AR$2,historia!$A$3:$EC$4,2,FALSE),FALSE)</f>
        <v>4</v>
      </c>
      <c r="AS23" s="28">
        <f>VLOOKUP($A23,historia!$A$5:$CM$24,+HLOOKUP(AS$2,historia!$A$3:$EC$4,2,FALSE),FALSE)</f>
        <v>4</v>
      </c>
      <c r="AT23" s="58">
        <f>VLOOKUP($A23,historia!$A$5:$DD$24,+HLOOKUP(AT$2,historia!$A$3:$EC$4,2,FALSE),FALSE)</f>
        <v>4</v>
      </c>
      <c r="AU23" s="58">
        <f>VLOOKUP($A23,historia!$A$5:$DD$24,+HLOOKUP(AU$2,historia!$A$3:$EC$4,2,FALSE),FALSE)</f>
        <v>4</v>
      </c>
      <c r="AV23" s="58">
        <f>VLOOKUP($A23,historia!$A$5:$DD$24,+HLOOKUP(AV$2,historia!$A$3:$EC$4,2,FALSE),FALSE)</f>
        <v>4</v>
      </c>
      <c r="AW23" s="58">
        <f>VLOOKUP($A23,historia!$A$5:$DD$24,+HLOOKUP(AW$2,historia!$A$3:$EC$4,2,FALSE),FALSE)</f>
        <v>4</v>
      </c>
      <c r="AX23" s="58">
        <f>VLOOKUP($A23,historia!$A$5:$DD$24,+HLOOKUP(AX$2,historia!$A$3:$EC$4,2,FALSE),FALSE)</f>
        <v>4</v>
      </c>
      <c r="AY23" s="58">
        <f>VLOOKUP($A23,historia!$A$5:$DD$24,+HLOOKUP(AY$2,historia!$A$3:$EC$4,2,FALSE),FALSE)</f>
        <v>5</v>
      </c>
      <c r="AZ23" s="58">
        <f>VLOOKUP($A23,historia!$A$5:$DD$24,+HLOOKUP(AZ$2,historia!$A$3:$EC$4,2,FALSE),FALSE)</f>
        <v>5</v>
      </c>
      <c r="BA23" s="58">
        <f>VLOOKUP($A23,historia!$A$5:$DG$24,+HLOOKUP(BA$2,historia!$A$3:$EC$4,2,FALSE),FALSE)</f>
        <v>4</v>
      </c>
      <c r="BB23" s="58"/>
      <c r="BC23" s="286">
        <v>4</v>
      </c>
      <c r="BD23" t="str">
        <f t="shared" si="20"/>
        <v>Vino y Mosto</v>
      </c>
      <c r="BE23">
        <f>+datos!AM1</f>
        <v>39</v>
      </c>
      <c r="BF23" s="2" t="str">
        <f t="shared" si="4"/>
        <v>$/l</v>
      </c>
      <c r="BG23" s="2">
        <f t="shared" si="4"/>
        <v>275.44200000000001</v>
      </c>
      <c r="BH23" s="2">
        <f t="shared" si="4"/>
        <v>266.07920000000001</v>
      </c>
      <c r="BI23" s="2">
        <f t="shared" si="4"/>
        <v>352.41916200000003</v>
      </c>
      <c r="BK23" s="1">
        <f>+datos!EF1</f>
        <v>136</v>
      </c>
      <c r="BL23" s="1">
        <f t="shared" si="21"/>
        <v>196220</v>
      </c>
      <c r="BM23" s="1">
        <f t="shared" si="21"/>
        <v>196220</v>
      </c>
      <c r="BO23" s="1">
        <f>+datos!GB1</f>
        <v>184</v>
      </c>
      <c r="BP23" s="1">
        <f t="shared" si="22"/>
        <v>18391299</v>
      </c>
      <c r="BQ23" s="1">
        <f t="shared" si="22"/>
        <v>19908335</v>
      </c>
      <c r="BS23" s="1">
        <f>+datos!JU1</f>
        <v>281</v>
      </c>
      <c r="BT23" s="1">
        <f t="shared" si="39"/>
        <v>953.73794741999995</v>
      </c>
      <c r="BU23" s="1">
        <f t="shared" si="40"/>
        <v>982.91937013000006</v>
      </c>
      <c r="BW23" s="1">
        <f>+datos!KZ1</f>
        <v>312</v>
      </c>
      <c r="BX23" s="2">
        <f t="shared" si="23"/>
        <v>42.319568710000006</v>
      </c>
      <c r="BY23" s="2">
        <f t="shared" si="24"/>
        <v>24.20031207000001</v>
      </c>
      <c r="CA23" s="1">
        <f>+datos!IQ1</f>
        <v>251</v>
      </c>
      <c r="CB23" s="2">
        <f t="shared" si="25"/>
        <v>14.399999999999999</v>
      </c>
      <c r="CC23" s="2">
        <f t="shared" si="26"/>
        <v>16.079999999999998</v>
      </c>
      <c r="CD23" s="2"/>
      <c r="CE23">
        <f>+datos!CP1</f>
        <v>94</v>
      </c>
      <c r="CF23" s="2">
        <f t="shared" si="27"/>
        <v>15174.819134028798</v>
      </c>
      <c r="CG23" s="2">
        <f t="shared" si="27"/>
        <v>13290.989010627422</v>
      </c>
      <c r="CH23" s="2">
        <f t="shared" si="27"/>
        <v>11124.512624880866</v>
      </c>
      <c r="CI23" s="2"/>
      <c r="CK23" s="1">
        <f t="shared" si="43"/>
        <v>79.896688470000015</v>
      </c>
      <c r="CL23" s="1">
        <f t="shared" si="43"/>
        <v>62.074398439999996</v>
      </c>
      <c r="CM23" s="1">
        <f t="shared" si="43"/>
        <v>51.281836970000001</v>
      </c>
      <c r="CN23" s="1">
        <f t="shared" si="43"/>
        <v>78.732425000000021</v>
      </c>
      <c r="CO23" s="1">
        <f t="shared" si="43"/>
        <v>78.044882909999998</v>
      </c>
      <c r="CP23" s="1">
        <f t="shared" si="43"/>
        <v>79.565238250000007</v>
      </c>
      <c r="CQ23" s="1">
        <f t="shared" si="43"/>
        <v>103.29015631000003</v>
      </c>
      <c r="CR23" s="1">
        <f t="shared" si="43"/>
        <v>82.138745600000007</v>
      </c>
      <c r="CS23" s="1">
        <f t="shared" si="43"/>
        <v>101.39273792999998</v>
      </c>
      <c r="CT23" s="1">
        <f t="shared" si="43"/>
        <v>71.170798900000008</v>
      </c>
      <c r="CU23" s="1">
        <f t="shared" si="43"/>
        <v>88.994061629999976</v>
      </c>
      <c r="CV23" s="1">
        <f t="shared" si="43"/>
        <v>77.155977009999987</v>
      </c>
      <c r="CW23" s="1">
        <f t="shared" si="43"/>
        <v>74.722979570000021</v>
      </c>
      <c r="CX23" s="1">
        <f t="shared" si="43"/>
        <v>63.754065359999977</v>
      </c>
      <c r="CY23" s="1">
        <f t="shared" si="43"/>
        <v>50.923025279999997</v>
      </c>
      <c r="CZ23" s="1">
        <f t="shared" si="43"/>
        <v>85.381089520000018</v>
      </c>
      <c r="DA23" s="1">
        <f t="shared" si="44"/>
        <v>87.09478919</v>
      </c>
      <c r="DB23" s="1">
        <f t="shared" si="44"/>
        <v>88.790830600000021</v>
      </c>
      <c r="DC23" s="1">
        <f t="shared" si="44"/>
        <v>106.11166329999998</v>
      </c>
      <c r="DD23" s="1">
        <f t="shared" si="44"/>
        <v>99.074693340000039</v>
      </c>
      <c r="DE23" s="1">
        <f t="shared" si="44"/>
        <v>115.95052356999999</v>
      </c>
      <c r="DF23" s="1">
        <f t="shared" si="44"/>
        <v>55.887516779999999</v>
      </c>
      <c r="DG23" s="1">
        <f t="shared" si="44"/>
        <v>84.428757199999993</v>
      </c>
      <c r="DH23" s="1">
        <f t="shared" si="44"/>
        <v>70.799436420000006</v>
      </c>
      <c r="DJ23" s="1">
        <f t="shared" si="45"/>
        <v>2.3774346500000001</v>
      </c>
      <c r="DK23" s="1">
        <f t="shared" si="45"/>
        <v>1.8929445199999999</v>
      </c>
      <c r="DL23" s="1">
        <f t="shared" si="45"/>
        <v>0.82771172999999998</v>
      </c>
      <c r="DM23" s="1">
        <f t="shared" si="45"/>
        <v>2.0960773500000003</v>
      </c>
      <c r="DN23" s="1">
        <f t="shared" si="45"/>
        <v>4.0370959900000001</v>
      </c>
      <c r="DO23" s="1">
        <f t="shared" si="45"/>
        <v>5.8187882499999999</v>
      </c>
      <c r="DP23" s="1">
        <f t="shared" si="45"/>
        <v>6.2238594599999999</v>
      </c>
      <c r="DQ23" s="1">
        <f t="shared" si="45"/>
        <v>3.3465065500000004</v>
      </c>
      <c r="DR23" s="1">
        <f t="shared" si="45"/>
        <v>3.10878063</v>
      </c>
      <c r="DS23" s="1">
        <f t="shared" si="45"/>
        <v>5.0584831100000001</v>
      </c>
      <c r="DT23" s="1">
        <f t="shared" si="45"/>
        <v>4.0554375800000004</v>
      </c>
      <c r="DU23" s="1">
        <f t="shared" si="45"/>
        <v>3.476448889999999</v>
      </c>
      <c r="DV23" s="1">
        <f t="shared" si="45"/>
        <v>3.23844815</v>
      </c>
      <c r="DW23" s="1">
        <f t="shared" si="45"/>
        <v>1.94679845</v>
      </c>
      <c r="DX23" s="1">
        <f t="shared" si="45"/>
        <v>0.41117072999999998</v>
      </c>
      <c r="DY23" s="1">
        <f t="shared" si="45"/>
        <v>1.6918772199999998</v>
      </c>
      <c r="DZ23" s="1">
        <f t="shared" si="41"/>
        <v>4.1008112300000006</v>
      </c>
      <c r="EA23" s="1">
        <f t="shared" si="41"/>
        <v>2.9628047099999995</v>
      </c>
      <c r="EB23" s="1">
        <f t="shared" si="41"/>
        <v>2.4415022799999999</v>
      </c>
      <c r="EC23" s="1">
        <f t="shared" si="41"/>
        <v>2.4186424700000004</v>
      </c>
      <c r="ED23" s="1">
        <f t="shared" si="41"/>
        <v>2.3161338599999999</v>
      </c>
      <c r="EE23" s="1">
        <f t="shared" si="41"/>
        <v>0.34545517000000003</v>
      </c>
      <c r="EF23" s="1">
        <f t="shared" si="41"/>
        <v>1.3068112300000001</v>
      </c>
      <c r="EG23" s="1">
        <f t="shared" si="41"/>
        <v>1.01985657</v>
      </c>
      <c r="EI23" s="14">
        <f t="shared" si="46"/>
        <v>14.399999999999999</v>
      </c>
      <c r="EJ23" s="14">
        <f t="shared" si="46"/>
        <v>13.74</v>
      </c>
      <c r="EK23" s="1">
        <f t="shared" si="46"/>
        <v>14.399999999999999</v>
      </c>
      <c r="EL23" s="1">
        <f t="shared" si="46"/>
        <v>16.079999999999998</v>
      </c>
      <c r="EM23" s="1">
        <f t="shared" si="46"/>
        <v>16.079999999999998</v>
      </c>
      <c r="EN23" s="1">
        <f t="shared" si="46"/>
        <v>16.079999999999998</v>
      </c>
      <c r="EO23" s="1">
        <f t="shared" si="46"/>
        <v>16.079999999999998</v>
      </c>
      <c r="EP23" s="1">
        <f t="shared" si="46"/>
        <v>16.079999999999998</v>
      </c>
      <c r="EQ23" s="1">
        <f t="shared" si="46"/>
        <v>16.079999999999998</v>
      </c>
      <c r="ER23" s="1">
        <f t="shared" si="46"/>
        <v>16.079999999999998</v>
      </c>
      <c r="ES23" s="1">
        <f t="shared" si="46"/>
        <v>16.079999999999998</v>
      </c>
      <c r="ET23" s="1">
        <f t="shared" si="46"/>
        <v>16.079999999999998</v>
      </c>
      <c r="EU23" s="1">
        <f t="shared" si="46"/>
        <v>16.079999999999998</v>
      </c>
      <c r="EV23" s="1">
        <f t="shared" si="46"/>
        <v>16.079999999999998</v>
      </c>
      <c r="EW23" s="1">
        <f t="shared" si="46"/>
        <v>16.079999999999998</v>
      </c>
      <c r="EX23" s="1">
        <f t="shared" si="46"/>
        <v>16.3</v>
      </c>
      <c r="EY23" s="1">
        <f t="shared" si="42"/>
        <v>16.3</v>
      </c>
      <c r="EZ23" s="1">
        <f t="shared" si="42"/>
        <v>16.3</v>
      </c>
      <c r="FA23" s="1">
        <f t="shared" si="42"/>
        <v>16.3</v>
      </c>
      <c r="FB23" s="1">
        <f t="shared" si="42"/>
        <v>16.3</v>
      </c>
      <c r="FC23" s="1">
        <f t="shared" si="42"/>
        <v>16.3</v>
      </c>
      <c r="FD23" s="1">
        <f t="shared" si="42"/>
        <v>16.3</v>
      </c>
      <c r="FE23" s="1">
        <f t="shared" si="42"/>
        <v>16.3</v>
      </c>
      <c r="FF23" s="1">
        <f t="shared" si="42"/>
        <v>16.3</v>
      </c>
      <c r="FH23" s="162">
        <f t="shared" si="34"/>
        <v>-0.58251346411270055</v>
      </c>
    </row>
    <row r="24" spans="1:164" ht="18.75" customHeight="1">
      <c r="A24" s="243" t="s">
        <v>39</v>
      </c>
      <c r="B24" s="246"/>
      <c r="C24" s="156">
        <f t="shared" si="5"/>
        <v>-0.65999999999999992</v>
      </c>
      <c r="D24" s="198">
        <v>-3</v>
      </c>
      <c r="E24" s="248">
        <f t="shared" si="6"/>
        <v>9.0909090909090828E-2</v>
      </c>
      <c r="F24" s="249">
        <f t="shared" si="7"/>
        <v>5.7082868984675628E-2</v>
      </c>
      <c r="G24" s="248">
        <f t="shared" si="8"/>
        <v>7.8261077146797753E-2</v>
      </c>
      <c r="H24" s="249">
        <f t="shared" si="9"/>
        <v>1.2648013762293076E-2</v>
      </c>
      <c r="I24" s="248">
        <f t="shared" si="10"/>
        <v>-0.15789473684210531</v>
      </c>
      <c r="J24" s="249">
        <f t="shared" si="11"/>
        <v>-0.4841235360950058</v>
      </c>
      <c r="K24" s="248">
        <f t="shared" si="12"/>
        <v>0.33131041276640949</v>
      </c>
      <c r="L24" s="249">
        <f t="shared" si="13"/>
        <v>-0.4892051496085148</v>
      </c>
      <c r="M24" s="250"/>
      <c r="N24" s="24">
        <v>1</v>
      </c>
      <c r="O24" s="248">
        <f t="shared" si="35"/>
        <v>0</v>
      </c>
      <c r="P24" s="251">
        <f t="shared" si="36"/>
        <v>0</v>
      </c>
      <c r="Q24" s="248">
        <f t="shared" si="14"/>
        <v>-1.2094683917150517E-2</v>
      </c>
      <c r="R24" s="251">
        <f t="shared" si="37"/>
        <v>-1.2094683917150517E-2</v>
      </c>
      <c r="S24" s="250"/>
      <c r="T24" s="24">
        <v>0</v>
      </c>
      <c r="U24" s="248">
        <f t="shared" si="15"/>
        <v>0.13935217573824454</v>
      </c>
      <c r="V24" s="252">
        <f t="shared" si="16"/>
        <v>0.13935217573824454</v>
      </c>
      <c r="W24" s="248">
        <f t="shared" si="38"/>
        <v>1.2697986687153717E-2</v>
      </c>
      <c r="X24" s="258">
        <f t="shared" si="17"/>
        <v>1.2697986687153717E-2</v>
      </c>
      <c r="Y24" s="248">
        <f t="shared" si="18"/>
        <v>9.184801264059006E-2</v>
      </c>
      <c r="Z24" s="252">
        <f t="shared" si="19"/>
        <v>9.184801264059006E-2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VLOOKUP($A24,historia!$A$5:$DD$24,+HLOOKUP(AT$2,historia!$A$3:$EC$4,2,FALSE),FALSE)</f>
        <v>4</v>
      </c>
      <c r="AU24" s="58">
        <f>VLOOKUP($A24,historia!$A$5:$DD$24,+HLOOKUP(AU$2,historia!$A$3:$EC$4,2,FALSE),FALSE)</f>
        <v>4</v>
      </c>
      <c r="AV24" s="58">
        <f>VLOOKUP($A24,historia!$A$5:$DD$24,+HLOOKUP(AV$2,historia!$A$3:$EC$4,2,FALSE),FALSE)</f>
        <v>4</v>
      </c>
      <c r="AW24" s="58">
        <f>VLOOKUP($A24,historia!$A$5:$DD$24,+HLOOKUP(AW$2,historia!$A$3:$EC$4,2,FALSE),FALSE)</f>
        <v>4</v>
      </c>
      <c r="AX24" s="58">
        <f>VLOOKUP($A24,historia!$A$5:$DD$24,+HLOOKUP(AX$2,historia!$A$3:$EC$4,2,FALSE),FALSE)</f>
        <v>4</v>
      </c>
      <c r="AY24" s="58">
        <f>VLOOKUP($A24,historia!$A$5:$DD$24,+HLOOKUP(AY$2,historia!$A$3:$EC$4,2,FALSE),FALSE)</f>
        <v>4</v>
      </c>
      <c r="AZ24" s="58">
        <f>VLOOKUP($A24,historia!$A$5:$DD$24,+HLOOKUP(AZ$2,historia!$A$3:$EC$4,2,FALSE),FALSE)</f>
        <v>4</v>
      </c>
      <c r="BA24" s="58">
        <f>VLOOKUP($A24,historia!$A$5:$DG$24,+HLOOKUP(BA$2,historia!$A$3:$EC$4,2,FALSE),FALSE)</f>
        <v>4</v>
      </c>
      <c r="BB24" s="58"/>
      <c r="BC24" s="286">
        <v>4</v>
      </c>
      <c r="BD24" t="str">
        <f t="shared" si="20"/>
        <v>Yerba Mate</v>
      </c>
      <c r="BE24">
        <f>+datos!AG1</f>
        <v>33</v>
      </c>
      <c r="BF24" s="2" t="str">
        <f t="shared" si="4"/>
        <v>$/t</v>
      </c>
      <c r="BG24" s="2">
        <f t="shared" si="4"/>
        <v>240000</v>
      </c>
      <c r="BH24" s="2">
        <f t="shared" si="4"/>
        <v>220000</v>
      </c>
      <c r="BI24" s="2">
        <f t="shared" si="4"/>
        <v>285000</v>
      </c>
      <c r="BK24" s="1">
        <f>+datos!ED1</f>
        <v>134</v>
      </c>
      <c r="BL24" s="1">
        <f t="shared" si="21"/>
        <v>231352</v>
      </c>
      <c r="BM24" s="1">
        <f t="shared" si="21"/>
        <v>231352</v>
      </c>
      <c r="BO24" s="1">
        <f>+datos!FZ1</f>
        <v>182</v>
      </c>
      <c r="BP24" s="1">
        <f t="shared" si="22"/>
        <v>904227.76</v>
      </c>
      <c r="BQ24" s="1">
        <f t="shared" si="22"/>
        <v>915298</v>
      </c>
      <c r="BS24" s="1">
        <f>+datos!KD1</f>
        <v>290</v>
      </c>
      <c r="BT24" s="1">
        <f t="shared" si="39"/>
        <v>128.23123213999997</v>
      </c>
      <c r="BU24" s="1">
        <f t="shared" si="40"/>
        <v>112.54749397999998</v>
      </c>
      <c r="BW24" s="1">
        <f>+datos!LI1</f>
        <v>321</v>
      </c>
      <c r="BX24" s="2">
        <f t="shared" si="23"/>
        <v>21.319600680000001</v>
      </c>
      <c r="BY24" s="2">
        <f t="shared" si="24"/>
        <v>21.052279119999998</v>
      </c>
      <c r="CA24" s="1">
        <f>+datos!IP1</f>
        <v>250</v>
      </c>
      <c r="CB24" s="2">
        <f t="shared" si="25"/>
        <v>6.2699087139586966</v>
      </c>
      <c r="CC24" s="2">
        <f t="shared" si="26"/>
        <v>5.7424738987207355</v>
      </c>
      <c r="CD24" s="2"/>
      <c r="CE24">
        <f>+datos!CY1</f>
        <v>103</v>
      </c>
      <c r="CF24" s="2">
        <f t="shared" si="27"/>
        <v>13256.222349468711</v>
      </c>
      <c r="CG24" s="2">
        <f t="shared" si="27"/>
        <v>12294.074812146788</v>
      </c>
      <c r="CH24" s="2">
        <f t="shared" si="27"/>
        <v>9957.273842636605</v>
      </c>
      <c r="CI24" s="2"/>
      <c r="CK24" s="1">
        <f t="shared" si="43"/>
        <v>11.30577291</v>
      </c>
      <c r="CL24" s="1">
        <f t="shared" si="43"/>
        <v>6.4893821299999992</v>
      </c>
      <c r="CM24" s="1">
        <f t="shared" si="43"/>
        <v>7.9660401599999986</v>
      </c>
      <c r="CN24" s="1">
        <f t="shared" si="43"/>
        <v>11.742414109999999</v>
      </c>
      <c r="CO24" s="1">
        <f t="shared" si="43"/>
        <v>9.2986503200000001</v>
      </c>
      <c r="CP24" s="1">
        <f t="shared" si="43"/>
        <v>19.294760099999998</v>
      </c>
      <c r="CQ24" s="1">
        <f t="shared" si="43"/>
        <v>12.267837869999999</v>
      </c>
      <c r="CR24" s="1">
        <f t="shared" si="43"/>
        <v>8.5848558799999992</v>
      </c>
      <c r="CS24" s="1">
        <f t="shared" si="43"/>
        <v>12.502816449999999</v>
      </c>
      <c r="CT24" s="1">
        <f t="shared" si="43"/>
        <v>10.79513302</v>
      </c>
      <c r="CU24" s="1">
        <f t="shared" si="43"/>
        <v>10.492918690000002</v>
      </c>
      <c r="CV24" s="1">
        <f t="shared" si="43"/>
        <v>7.4906505000000001</v>
      </c>
      <c r="CW24" s="1">
        <f t="shared" si="43"/>
        <v>7.8719914600000003</v>
      </c>
      <c r="CX24" s="1">
        <f t="shared" si="43"/>
        <v>9.8166064800000008</v>
      </c>
      <c r="CY24" s="1">
        <f t="shared" si="43"/>
        <v>7.1690497699999991</v>
      </c>
      <c r="CZ24" s="1">
        <f t="shared" si="43"/>
        <v>10.805856030000001</v>
      </c>
      <c r="DA24" s="1">
        <f t="shared" si="44"/>
        <v>10.476429469999998</v>
      </c>
      <c r="DB24" s="1">
        <f t="shared" si="44"/>
        <v>11.361751129999998</v>
      </c>
      <c r="DC24" s="1">
        <f t="shared" si="44"/>
        <v>10.05873476</v>
      </c>
      <c r="DD24" s="1">
        <f t="shared" si="44"/>
        <v>9.4659040999999995</v>
      </c>
      <c r="DE24" s="1">
        <f t="shared" si="44"/>
        <v>8.3006057400000017</v>
      </c>
      <c r="DF24" s="1">
        <f t="shared" si="44"/>
        <v>11.077079630000002</v>
      </c>
      <c r="DG24" s="1">
        <f t="shared" si="44"/>
        <v>7.2906957700000001</v>
      </c>
      <c r="DH24" s="1">
        <f t="shared" si="44"/>
        <v>8.852789640000001</v>
      </c>
      <c r="DJ24" s="1">
        <f t="shared" si="45"/>
        <v>1.08154503</v>
      </c>
      <c r="DK24" s="1">
        <f t="shared" si="45"/>
        <v>1.2853964200000001</v>
      </c>
      <c r="DL24" s="1">
        <f t="shared" si="45"/>
        <v>1.1258133800000001</v>
      </c>
      <c r="DM24" s="1">
        <f t="shared" si="45"/>
        <v>1.20972141</v>
      </c>
      <c r="DN24" s="1">
        <f t="shared" si="45"/>
        <v>1.0549183800000002</v>
      </c>
      <c r="DO24" s="1">
        <f t="shared" si="45"/>
        <v>1.9397561100000003</v>
      </c>
      <c r="DP24" s="1">
        <f t="shared" si="45"/>
        <v>2.1093840299999997</v>
      </c>
      <c r="DQ24" s="1">
        <f t="shared" si="45"/>
        <v>1.7438363500000003</v>
      </c>
      <c r="DR24" s="1">
        <f t="shared" si="45"/>
        <v>2.3219247899999997</v>
      </c>
      <c r="DS24" s="1">
        <f t="shared" si="45"/>
        <v>1.6709123100000001</v>
      </c>
      <c r="DT24" s="1">
        <f t="shared" si="45"/>
        <v>3.5033770500000001</v>
      </c>
      <c r="DU24" s="1">
        <f t="shared" si="45"/>
        <v>2.2730154199999997</v>
      </c>
      <c r="DV24" s="1">
        <f t="shared" si="45"/>
        <v>2.4041640299999996</v>
      </c>
      <c r="DW24" s="1">
        <f t="shared" si="45"/>
        <v>2.0218665100000002</v>
      </c>
      <c r="DX24" s="1">
        <f t="shared" si="45"/>
        <v>1.1839526999999999</v>
      </c>
      <c r="DY24" s="1">
        <f t="shared" si="45"/>
        <v>1.1744757299999999</v>
      </c>
      <c r="DZ24" s="1">
        <f t="shared" si="41"/>
        <v>2.1750064099999999</v>
      </c>
      <c r="EA24" s="1">
        <f t="shared" si="41"/>
        <v>2.6101839400000002</v>
      </c>
      <c r="EB24" s="1">
        <f t="shared" si="41"/>
        <v>1.2494588400000002</v>
      </c>
      <c r="EC24" s="1">
        <f t="shared" si="41"/>
        <v>0.60028256999999996</v>
      </c>
      <c r="ED24" s="1">
        <f t="shared" si="41"/>
        <v>1.7316709800000001</v>
      </c>
      <c r="EE24" s="1">
        <f t="shared" si="41"/>
        <v>1.1554743999999999</v>
      </c>
      <c r="EF24" s="1">
        <f t="shared" si="41"/>
        <v>1.50586095</v>
      </c>
      <c r="EG24" s="1">
        <f t="shared" si="41"/>
        <v>3.2398820599999998</v>
      </c>
      <c r="EI24" s="14">
        <f t="shared" si="46"/>
        <v>6.2699087139586966</v>
      </c>
      <c r="EJ24" s="14">
        <f t="shared" si="46"/>
        <v>4.980278516945301</v>
      </c>
      <c r="EK24" s="1">
        <f t="shared" si="46"/>
        <v>5.5266720107101239</v>
      </c>
      <c r="EL24" s="1">
        <f t="shared" si="46"/>
        <v>5.7424738987207355</v>
      </c>
      <c r="EM24" s="1">
        <f t="shared" si="46"/>
        <v>5.7424738987207355</v>
      </c>
      <c r="EN24" s="1">
        <f t="shared" si="46"/>
        <v>5.7424738987207355</v>
      </c>
      <c r="EO24" s="1">
        <f t="shared" si="46"/>
        <v>5.7424738987207355</v>
      </c>
      <c r="EP24" s="1">
        <f t="shared" si="46"/>
        <v>5.7424738987207355</v>
      </c>
      <c r="EQ24" s="1">
        <f t="shared" si="46"/>
        <v>5.7424738987207355</v>
      </c>
      <c r="ER24" s="1">
        <f t="shared" si="46"/>
        <v>5.7424738987207355</v>
      </c>
      <c r="ES24" s="1">
        <f t="shared" si="46"/>
        <v>5.7424738987207355</v>
      </c>
      <c r="ET24" s="1">
        <f t="shared" si="46"/>
        <v>5.7424738987207355</v>
      </c>
      <c r="EU24" s="1">
        <f t="shared" si="46"/>
        <v>5.7424738987207355</v>
      </c>
      <c r="EV24" s="1">
        <f t="shared" si="46"/>
        <v>5.7424738987207355</v>
      </c>
      <c r="EW24" s="1">
        <f t="shared" si="46"/>
        <v>5.7424738987207355</v>
      </c>
      <c r="EX24" s="1">
        <f t="shared" si="46"/>
        <v>5.5693606783423002</v>
      </c>
      <c r="EY24" s="1">
        <f t="shared" si="42"/>
        <v>5.5693606783423002</v>
      </c>
      <c r="EZ24" s="1">
        <f t="shared" si="42"/>
        <v>5.5693606783423002</v>
      </c>
      <c r="FA24" s="1">
        <f t="shared" si="42"/>
        <v>5.5693606783423002</v>
      </c>
      <c r="FB24" s="1">
        <f t="shared" si="42"/>
        <v>5.5693606783423002</v>
      </c>
      <c r="FC24" s="1">
        <f t="shared" si="42"/>
        <v>5.5693606783423002</v>
      </c>
      <c r="FD24" s="1">
        <f t="shared" si="42"/>
        <v>5.5693606783423002</v>
      </c>
      <c r="FE24" s="1">
        <f t="shared" si="42"/>
        <v>5.5693606783423002</v>
      </c>
      <c r="FF24" s="1">
        <f t="shared" si="42"/>
        <v>5.5693606783423002</v>
      </c>
      <c r="FH24" s="162">
        <f t="shared" si="34"/>
        <v>-0.4892051496085148</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18"/>
        <v/>
      </c>
      <c r="Z25" s="194"/>
      <c r="AA25" s="30"/>
      <c r="AB25" s="57"/>
      <c r="AT25" s="58"/>
      <c r="AU25" s="58"/>
      <c r="AV25" s="58"/>
      <c r="AW25" s="58"/>
      <c r="AX25" s="58"/>
      <c r="AY25" s="58"/>
      <c r="AZ25" s="58"/>
      <c r="BA25" s="58"/>
      <c r="BB25" s="58"/>
      <c r="BF25" s="2"/>
      <c r="BG25" s="2"/>
      <c r="BH25" s="2"/>
      <c r="BI25" s="2"/>
      <c r="BK25" s="1"/>
      <c r="BL25" s="1"/>
      <c r="BM25" s="1"/>
      <c r="BO25" s="1"/>
      <c r="BP25" s="1"/>
      <c r="BQ25" s="1"/>
      <c r="BS25" s="1"/>
      <c r="BT25" s="1"/>
      <c r="BU25" s="1"/>
      <c r="BW25" s="1"/>
      <c r="BX25" s="2"/>
      <c r="BY25" s="2"/>
      <c r="CA25" s="1"/>
      <c r="CB25" s="1"/>
      <c r="CC25" s="1"/>
      <c r="CD25" s="1"/>
      <c r="CF25" s="2"/>
      <c r="CG25" s="2"/>
      <c r="CH25" s="2"/>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G26" s="12"/>
      <c r="K26" s="12"/>
      <c r="O26" s="12"/>
      <c r="Y26" s="386"/>
      <c r="AB26" s="57"/>
      <c r="BI26" s="2"/>
      <c r="BP26" s="1"/>
      <c r="BT26" s="1"/>
    </row>
    <row r="27" spans="1:164" ht="18.75" customHeight="1">
      <c r="K27" s="177"/>
      <c r="X27" s="162"/>
      <c r="BC27" s="751"/>
      <c r="BL27" s="1"/>
      <c r="BM27" s="1"/>
      <c r="BP27" s="1"/>
      <c r="BQ27" s="1"/>
      <c r="BT27" s="1"/>
      <c r="BU27" s="1"/>
      <c r="BX27" s="1"/>
      <c r="BY27" s="1"/>
      <c r="FH27" s="167">
        <f>+COUNTIF(FH6:FH24,"&gt;0")</f>
        <v>5</v>
      </c>
    </row>
    <row r="28" spans="1:164" ht="18.75" customHeight="1">
      <c r="C28" s="156"/>
      <c r="E28" s="167"/>
      <c r="F28" s="29"/>
      <c r="I28" s="167"/>
      <c r="J28" s="29"/>
      <c r="L28" s="29"/>
      <c r="O28"/>
      <c r="P28" s="262"/>
      <c r="R28" s="262"/>
      <c r="U28" s="29"/>
      <c r="BP28" s="167"/>
      <c r="BT28" s="10"/>
      <c r="BX28" s="10"/>
    </row>
    <row r="29" spans="1:164" ht="18.75" customHeight="1">
      <c r="C29" s="156"/>
      <c r="E29" s="167"/>
      <c r="F29" s="29"/>
      <c r="I29" s="167"/>
      <c r="J29" s="29"/>
      <c r="L29" s="29"/>
      <c r="O29"/>
      <c r="P29" s="262"/>
      <c r="R29" s="262"/>
      <c r="U29" s="29"/>
      <c r="BP29" s="167"/>
    </row>
    <row r="30" spans="1:164" ht="18.75" customHeight="1">
      <c r="C30" s="156"/>
      <c r="E30" s="167"/>
      <c r="F30" s="29"/>
      <c r="I30" s="167"/>
      <c r="J30" s="29"/>
      <c r="L30" s="29"/>
      <c r="O30"/>
      <c r="P30" s="262"/>
      <c r="R30" s="262"/>
      <c r="U30" s="29"/>
      <c r="X30" s="14"/>
      <c r="BP30" s="167"/>
      <c r="BS30" s="1"/>
    </row>
    <row r="31" spans="1:164" ht="18.75" customHeight="1">
      <c r="K31" s="12"/>
    </row>
    <row r="32" spans="1:164" ht="18.75" customHeight="1">
      <c r="C32" s="157"/>
      <c r="I32" s="14"/>
      <c r="J32" s="14"/>
      <c r="K32" s="14"/>
      <c r="Y32" s="163"/>
    </row>
    <row r="33" spans="1:165" ht="18.75" customHeight="1">
      <c r="C33" s="157"/>
    </row>
    <row r="34" spans="1:165" s="23" customFormat="1" ht="18.75" customHeight="1">
      <c r="A34" s="11"/>
      <c r="B34" s="11"/>
      <c r="C34" s="157"/>
      <c r="D34" s="57"/>
      <c r="E34" s="12"/>
      <c r="F34" s="37"/>
      <c r="G34"/>
      <c r="H34" s="37"/>
      <c r="I34" s="12"/>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3">
      <iconSet>
        <cfvo type="percent" val="0"/>
        <cfvo type="num" val="0"/>
        <cfvo type="num" val="0" gte="0"/>
      </iconSet>
    </cfRule>
  </conditionalFormatting>
  <conditionalFormatting sqref="C28:C30">
    <cfRule type="iconSet" priority="37">
      <iconSet>
        <cfvo type="percent" val="0"/>
        <cfvo type="num" val="0"/>
        <cfvo type="num" val="0" gte="0"/>
      </iconSet>
    </cfRule>
  </conditionalFormatting>
  <conditionalFormatting sqref="D6:D25">
    <cfRule type="iconSet" priority="42">
      <iconSet>
        <cfvo type="percent" val="0"/>
        <cfvo type="num" val="0"/>
        <cfvo type="num" val="0" gte="0"/>
      </iconSet>
    </cfRule>
  </conditionalFormatting>
  <conditionalFormatting sqref="F6:F16 F19:F25">
    <cfRule type="iconSet" priority="38">
      <iconSet>
        <cfvo type="percent" val="0"/>
        <cfvo type="num" val="0"/>
        <cfvo type="num" val="0" gte="0"/>
      </iconSet>
    </cfRule>
  </conditionalFormatting>
  <conditionalFormatting sqref="F17:F18">
    <cfRule type="iconSet" priority="10">
      <iconSet>
        <cfvo type="percent" val="0"/>
        <cfvo type="num" val="0"/>
        <cfvo type="num" val="0" gte="0"/>
      </iconSet>
    </cfRule>
  </conditionalFormatting>
  <conditionalFormatting sqref="F28:F30">
    <cfRule type="iconSet" priority="4">
      <iconSet>
        <cfvo type="percent" val="0"/>
        <cfvo type="num" val="0"/>
        <cfvo type="num" val="0" gte="0"/>
      </iconSet>
    </cfRule>
  </conditionalFormatting>
  <conditionalFormatting sqref="H6:H7 H9 H11:H25">
    <cfRule type="iconSet" priority="35">
      <iconSet>
        <cfvo type="percent" val="0"/>
        <cfvo type="num" val="0"/>
        <cfvo type="num" val="0" gte="0"/>
      </iconSet>
    </cfRule>
  </conditionalFormatting>
  <conditionalFormatting sqref="H8">
    <cfRule type="iconSet" priority="8">
      <iconSet>
        <cfvo type="percent" val="0"/>
        <cfvo type="num" val="0"/>
        <cfvo type="num" val="0" gte="0"/>
      </iconSet>
    </cfRule>
  </conditionalFormatting>
  <conditionalFormatting sqref="H10">
    <cfRule type="iconSet" priority="33">
      <iconSet>
        <cfvo type="percent" val="0"/>
        <cfvo type="num" val="0"/>
        <cfvo type="num" val="0" gte="0"/>
      </iconSet>
    </cfRule>
  </conditionalFormatting>
  <conditionalFormatting sqref="J6:J9 J11:J16 J19:J25">
    <cfRule type="iconSet" priority="36">
      <iconSet>
        <cfvo type="percent" val="0"/>
        <cfvo type="num" val="0"/>
        <cfvo type="num" val="0" gte="0"/>
      </iconSet>
    </cfRule>
  </conditionalFormatting>
  <conditionalFormatting sqref="J10">
    <cfRule type="iconSet" priority="34">
      <iconSet>
        <cfvo type="percent" val="0"/>
        <cfvo type="num" val="0"/>
        <cfvo type="num" val="0" gte="0"/>
      </iconSet>
    </cfRule>
  </conditionalFormatting>
  <conditionalFormatting sqref="J17">
    <cfRule type="iconSet" priority="9">
      <iconSet>
        <cfvo type="percent" val="0"/>
        <cfvo type="num" val="0"/>
        <cfvo type="num" val="0" gte="0"/>
      </iconSet>
    </cfRule>
  </conditionalFormatting>
  <conditionalFormatting sqref="J18">
    <cfRule type="iconSet" priority="1">
      <iconSet>
        <cfvo type="percent" val="0"/>
        <cfvo type="num" val="0"/>
        <cfvo type="num" val="0" gte="0"/>
      </iconSet>
    </cfRule>
  </conditionalFormatting>
  <conditionalFormatting sqref="J28:J30">
    <cfRule type="iconSet" priority="6">
      <iconSet>
        <cfvo type="percent" val="0"/>
        <cfvo type="num" val="0"/>
        <cfvo type="num" val="0" gte="0"/>
      </iconSet>
    </cfRule>
  </conditionalFormatting>
  <conditionalFormatting sqref="L6:L9 L11:L25">
    <cfRule type="iconSet" priority="44">
      <iconSet>
        <cfvo type="percent" val="0"/>
        <cfvo type="num" val="0"/>
        <cfvo type="num" val="0" gte="0"/>
      </iconSet>
    </cfRule>
  </conditionalFormatting>
  <conditionalFormatting sqref="L10">
    <cfRule type="iconSet" priority="45">
      <iconSet>
        <cfvo type="percent" val="0"/>
        <cfvo type="num" val="0"/>
        <cfvo type="num" val="0" gte="0"/>
      </iconSet>
    </cfRule>
  </conditionalFormatting>
  <conditionalFormatting sqref="L28:L30">
    <cfRule type="iconSet" priority="5">
      <iconSet>
        <cfvo type="percent" val="0"/>
        <cfvo type="num" val="0"/>
        <cfvo type="num" val="0" gte="0"/>
      </iconSet>
    </cfRule>
  </conditionalFormatting>
  <conditionalFormatting sqref="M6:M25">
    <cfRule type="iconSet" priority="39">
      <iconSet>
        <cfvo type="percent" val="0"/>
        <cfvo type="num" val="0"/>
        <cfvo type="num" val="0" gte="0"/>
      </iconSet>
    </cfRule>
  </conditionalFormatting>
  <conditionalFormatting sqref="N6:N25">
    <cfRule type="iconSet" priority="32">
      <iconSet>
        <cfvo type="percent" val="0"/>
        <cfvo type="num" val="0"/>
        <cfvo type="num" val="0" gte="0"/>
      </iconSet>
    </cfRule>
  </conditionalFormatting>
  <conditionalFormatting sqref="P6:P9 P11:P25">
    <cfRule type="iconSet" priority="40">
      <iconSet>
        <cfvo type="percent" val="0"/>
        <cfvo type="num" val="0"/>
        <cfvo type="num" val="0" gte="0"/>
      </iconSet>
    </cfRule>
  </conditionalFormatting>
  <conditionalFormatting sqref="P10">
    <cfRule type="iconSet" priority="12">
      <iconSet>
        <cfvo type="percent" val="0"/>
        <cfvo type="num" val="0"/>
        <cfvo type="num" val="0" gte="0"/>
      </iconSet>
    </cfRule>
  </conditionalFormatting>
  <conditionalFormatting sqref="P28:P30">
    <cfRule type="iconSet" priority="24">
      <iconSet>
        <cfvo type="percent" val="0"/>
        <cfvo type="num" val="0"/>
        <cfvo type="num" val="0" gte="0"/>
      </iconSet>
    </cfRule>
  </conditionalFormatting>
  <conditionalFormatting sqref="R6:R15 R17:R25">
    <cfRule type="iconSet" priority="41">
      <iconSet>
        <cfvo type="percent" val="0"/>
        <cfvo type="num" val="0"/>
        <cfvo type="num" val="0" gte="0"/>
      </iconSet>
    </cfRule>
  </conditionalFormatting>
  <conditionalFormatting sqref="R16">
    <cfRule type="iconSet" priority="2">
      <iconSet>
        <cfvo type="percent" val="0"/>
        <cfvo type="num" val="0"/>
        <cfvo type="num" val="0" gte="0"/>
      </iconSet>
    </cfRule>
  </conditionalFormatting>
  <conditionalFormatting sqref="R28:R30">
    <cfRule type="iconSet" priority="23">
      <iconSet>
        <cfvo type="percent" val="0"/>
        <cfvo type="num" val="0"/>
        <cfvo type="num" val="0" gte="0"/>
      </iconSet>
    </cfRule>
  </conditionalFormatting>
  <conditionalFormatting sqref="S6:S25">
    <cfRule type="iconSet" priority="27">
      <iconSet>
        <cfvo type="percent" val="0"/>
        <cfvo type="num" val="0"/>
        <cfvo type="num" val="0" gte="0"/>
      </iconSet>
    </cfRule>
  </conditionalFormatting>
  <conditionalFormatting sqref="T6:T25">
    <cfRule type="iconSet" priority="31">
      <iconSet>
        <cfvo type="percent" val="0"/>
        <cfvo type="num" val="0"/>
        <cfvo type="num" val="0" gte="0"/>
      </iconSet>
    </cfRule>
  </conditionalFormatting>
  <conditionalFormatting sqref="U28:U30">
    <cfRule type="iconSet" priority="7">
      <iconSet>
        <cfvo type="percent" val="0"/>
        <cfvo type="num" val="0"/>
        <cfvo type="num" val="0" gte="0"/>
      </iconSet>
    </cfRule>
  </conditionalFormatting>
  <conditionalFormatting sqref="V6:V10 V16:V25 V12:V14">
    <cfRule type="iconSet" priority="30">
      <iconSet>
        <cfvo type="percent" val="0"/>
        <cfvo type="num" val="0"/>
        <cfvo type="num" val="0" gte="0"/>
      </iconSet>
    </cfRule>
  </conditionalFormatting>
  <conditionalFormatting sqref="V11">
    <cfRule type="iconSet" priority="11">
      <iconSet>
        <cfvo type="percent" val="0"/>
        <cfvo type="num" val="0"/>
        <cfvo type="num" val="0" gte="0"/>
      </iconSet>
    </cfRule>
  </conditionalFormatting>
  <conditionalFormatting sqref="V15">
    <cfRule type="iconSet" priority="26">
      <iconSet>
        <cfvo type="percent" val="0"/>
        <cfvo type="num" val="0"/>
        <cfvo type="num" val="0" gte="0"/>
      </iconSet>
    </cfRule>
  </conditionalFormatting>
  <conditionalFormatting sqref="X25">
    <cfRule type="iconSet" priority="25">
      <iconSet reverse="1">
        <cfvo type="percent" val="0"/>
        <cfvo type="num" val="0"/>
        <cfvo type="num" val="0" gte="0"/>
      </iconSet>
    </cfRule>
  </conditionalFormatting>
  <conditionalFormatting sqref="Z6">
    <cfRule type="iconSet" priority="20">
      <iconSet>
        <cfvo type="percent" val="0"/>
        <cfvo type="num" val="0"/>
        <cfvo type="num" val="0" gte="0"/>
      </iconSet>
    </cfRule>
  </conditionalFormatting>
  <conditionalFormatting sqref="Z7">
    <cfRule type="iconSet" priority="19">
      <iconSet>
        <cfvo type="percent" val="0"/>
        <cfvo type="num" val="0"/>
        <cfvo type="num" val="0" gte="0"/>
      </iconSet>
    </cfRule>
  </conditionalFormatting>
  <conditionalFormatting sqref="Z8 Z12 Z14:Z17 Z21 Z23 Z25">
    <cfRule type="iconSet" priority="28">
      <iconSet>
        <cfvo type="percent" val="0"/>
        <cfvo type="num" val="0"/>
        <cfvo type="num" val="0" gte="0"/>
      </iconSet>
    </cfRule>
  </conditionalFormatting>
  <conditionalFormatting sqref="Z9:Z10">
    <cfRule type="iconSet" priority="22">
      <iconSet>
        <cfvo type="percent" val="0"/>
        <cfvo type="num" val="0"/>
        <cfvo type="num" val="0" gte="0"/>
      </iconSet>
    </cfRule>
  </conditionalFormatting>
  <conditionalFormatting sqref="Z11">
    <cfRule type="iconSet" priority="18">
      <iconSet>
        <cfvo type="percent" val="0"/>
        <cfvo type="num" val="0"/>
        <cfvo type="num" val="0" gte="0"/>
      </iconSet>
    </cfRule>
  </conditionalFormatting>
  <conditionalFormatting sqref="Z13">
    <cfRule type="iconSet" priority="17">
      <iconSet>
        <cfvo type="percent" val="0"/>
        <cfvo type="num" val="0"/>
        <cfvo type="num" val="0" gte="0"/>
      </iconSet>
    </cfRule>
  </conditionalFormatting>
  <conditionalFormatting sqref="Z18">
    <cfRule type="iconSet" priority="16">
      <iconSet>
        <cfvo type="percent" val="0"/>
        <cfvo type="num" val="0"/>
        <cfvo type="num" val="0" gte="0"/>
      </iconSet>
    </cfRule>
  </conditionalFormatting>
  <conditionalFormatting sqref="Z19">
    <cfRule type="iconSet" priority="15">
      <iconSet>
        <cfvo type="percent" val="0"/>
        <cfvo type="num" val="0"/>
        <cfvo type="num" val="0" gte="0"/>
      </iconSet>
    </cfRule>
  </conditionalFormatting>
  <conditionalFormatting sqref="Z20">
    <cfRule type="iconSet" priority="14">
      <iconSet>
        <cfvo type="percent" val="0"/>
        <cfvo type="num" val="0"/>
        <cfvo type="num" val="0" gte="0"/>
      </iconSet>
    </cfRule>
  </conditionalFormatting>
  <conditionalFormatting sqref="Z22">
    <cfRule type="iconSet" priority="13">
      <iconSet>
        <cfvo type="percent" val="0"/>
        <cfvo type="num" val="0"/>
        <cfvo type="num" val="0" gte="0"/>
      </iconSet>
    </cfRule>
  </conditionalFormatting>
  <conditionalFormatting sqref="Z24">
    <cfRule type="iconSet" priority="3">
      <iconSet>
        <cfvo type="percent" val="0"/>
        <cfvo type="num" val="0"/>
        <cfvo type="num" val="0" gte="0"/>
      </iconSet>
    </cfRule>
  </conditionalFormatting>
  <conditionalFormatting sqref="AC6:AM24 AC25 AE25:AM25">
    <cfRule type="expression" dxfId="353" priority="46">
      <formula>AP6=3</formula>
    </cfRule>
    <cfRule type="expression" dxfId="352" priority="47">
      <formula>AP6=5</formula>
    </cfRule>
    <cfRule type="expression" dxfId="351" priority="48">
      <formula>AP6=4</formula>
    </cfRule>
    <cfRule type="expression" dxfId="350" priority="49">
      <formula>AP6=2</formula>
    </cfRule>
    <cfRule type="expression" dxfId="349" priority="50">
      <formula>AP6=1</formula>
    </cfRule>
    <cfRule type="expression" dxfId="348" priority="51">
      <formula>AP6=0</formula>
    </cfRule>
  </conditionalFormatting>
  <conditionalFormatting sqref="AN6:AN25">
    <cfRule type="expression" dxfId="347" priority="58">
      <formula>BA6=3</formula>
    </cfRule>
    <cfRule type="expression" dxfId="346" priority="63">
      <formula>BA6=0</formula>
    </cfRule>
    <cfRule type="expression" dxfId="345" priority="59">
      <formula>BA6=5</formula>
    </cfRule>
    <cfRule type="expression" dxfId="344" priority="60">
      <formula>BA6=4</formula>
    </cfRule>
    <cfRule type="expression" dxfId="343" priority="61">
      <formula>BA6=2</formula>
    </cfRule>
    <cfRule type="expression" dxfId="342" priority="62">
      <formula>BA6=1</formula>
    </cfRule>
  </conditionalFormatting>
  <conditionalFormatting sqref="AO6:AO25">
    <cfRule type="expression" dxfId="341" priority="52">
      <formula>#REF!=3</formula>
    </cfRule>
    <cfRule type="expression" dxfId="340" priority="54">
      <formula>#REF!=4</formula>
    </cfRule>
    <cfRule type="expression" dxfId="339" priority="55">
      <formula>#REF!=2</formula>
    </cfRule>
    <cfRule type="expression" dxfId="338" priority="57">
      <formula>#REF!=0</formula>
    </cfRule>
    <cfRule type="expression" dxfId="337" priority="53">
      <formula>#REF!=5</formula>
    </cfRule>
    <cfRule type="expression" dxfId="336" priority="56">
      <formula>#REF!=1</formula>
    </cfRule>
  </conditionalFormatting>
  <conditionalFormatting sqref="FH6:FH25 FH27">
    <cfRule type="colorScale" priority="21">
      <colorScale>
        <cfvo type="min"/>
        <cfvo type="percentile" val="50"/>
        <cfvo type="max"/>
        <color rgb="FFF8696B"/>
        <color rgb="FFFFEB84"/>
        <color rgb="FF63BE7B"/>
      </colorScale>
    </cfRule>
  </conditionalFormatting>
  <dataValidations disablePrompts="1" count="1">
    <dataValidation type="list" allowBlank="1" showInputMessage="1" showErrorMessage="1" sqref="B1" xr:uid="{36D01C99-F8F2-456F-A1E8-77D05F3C6105}">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29" id="{B319C578-A68C-4468-8815-F54C3F02CC00}">
            <x14:iconSet custom="1">
              <x14:cfvo type="percent">
                <xm:f>0</xm:f>
              </x14:cfvo>
              <x14:cfvo type="num">
                <xm:f>0</xm:f>
              </x14:cfvo>
              <x14:cfvo type="num" gte="0">
                <xm:f>0</xm:f>
              </x14:cfvo>
              <x14:cfIcon iconSet="3TrafficLights1" iconId="2"/>
              <x14:cfIcon iconSet="3TrafficLights1" iconId="1"/>
              <x14:cfIcon iconSet="3TrafficLights1" iconId="0"/>
            </x14:iconSet>
          </x14:cfRule>
          <xm:sqref>X6:X24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577D5894-B952-43FB-9F5E-838432E5081F}">
          <x14:formula1>
            <xm:f>datos!$A$10:$A$178</xm:f>
          </x14:formula1>
          <xm:sqref>A1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6BC5-DACA-492E-906F-BFC0FF69A6AE}">
  <sheetPr>
    <tabColor theme="5" tint="-0.249977111117893"/>
    <pageSetUpPr fitToPage="1"/>
  </sheetPr>
  <dimension ref="A1:FI47"/>
  <sheetViews>
    <sheetView showGridLines="0" zoomScale="70" zoomScaleNormal="70" workbookViewId="0">
      <pane xSplit="4" topLeftCell="E1" activePane="topRight" state="frozen"/>
      <selection pane="topRight" activeCell="AP1" sqref="AP1:BA1048576"/>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3.5546875" style="57" customWidth="1"/>
    <col min="41" max="41" width="1.44140625" style="57" customWidth="1"/>
    <col min="42" max="42" width="5.5546875" style="28" hidden="1" customWidth="1"/>
    <col min="43" max="43" width="5.33203125" style="28" hidden="1" customWidth="1"/>
    <col min="44" max="45" width="5.6640625" style="28" hidden="1" customWidth="1"/>
    <col min="46" max="46" width="5.6640625" hidden="1" customWidth="1"/>
    <col min="47" max="48" width="6.33203125" hidden="1" customWidth="1"/>
    <col min="49" max="49" width="5.6640625" hidden="1" customWidth="1"/>
    <col min="50" max="50" width="6" hidden="1" customWidth="1"/>
    <col min="51" max="51" width="5.33203125" hidden="1" customWidth="1"/>
    <col min="52" max="52" width="5.6640625" hidden="1" customWidth="1"/>
    <col min="53" max="53" width="5.5546875" hidden="1" customWidth="1"/>
    <col min="54" max="54" width="7.44140625" customWidth="1"/>
    <col min="55" max="55" width="11.6640625" style="141" customWidth="1"/>
    <col min="56" max="56" width="12" customWidth="1"/>
    <col min="57" max="57" width="0.88671875" customWidth="1"/>
    <col min="58" max="58" width="7.88671875" customWidth="1"/>
    <col min="59" max="61" width="8.88671875" bestFit="1" customWidth="1"/>
    <col min="62" max="62" width="3.6640625" customWidth="1"/>
    <col min="63" max="63" width="1.33203125" customWidth="1"/>
    <col min="64" max="64" width="12.88671875" customWidth="1"/>
    <col min="65" max="65" width="12.44140625" customWidth="1"/>
    <col min="66" max="66" width="2.44140625" customWidth="1"/>
    <col min="67" max="67" width="5.109375" customWidth="1"/>
    <col min="68" max="68" width="14.44140625" bestFit="1" customWidth="1"/>
    <col min="69" max="69" width="12.5546875" customWidth="1"/>
    <col min="70" max="70" width="2.44140625" customWidth="1"/>
    <col min="71" max="71" width="8.109375" customWidth="1"/>
    <col min="72" max="73" width="7.5546875" customWidth="1"/>
    <col min="74" max="74" width="2.88671875" customWidth="1"/>
    <col min="75" max="75" width="0.88671875" customWidth="1"/>
    <col min="76" max="77" width="7.44140625" customWidth="1"/>
    <col min="78" max="78" width="2.88671875" customWidth="1"/>
    <col min="79" max="79" width="0.5546875" customWidth="1"/>
    <col min="80" max="80" width="11" customWidth="1"/>
    <col min="81" max="81" width="10.88671875" customWidth="1"/>
    <col min="82" max="82" width="4.33203125" customWidth="1"/>
    <col min="83" max="83" width="7.109375" bestFit="1" customWidth="1"/>
    <col min="84" max="84" width="7.88671875" bestFit="1" customWidth="1"/>
    <col min="85" max="86" width="7.88671875" customWidth="1"/>
    <col min="87" max="87" width="10.88671875" customWidth="1"/>
    <col min="88" max="88" width="7" bestFit="1" customWidth="1"/>
    <col min="89" max="89" width="11" bestFit="1" customWidth="1"/>
    <col min="90" max="90" width="7.44140625" bestFit="1" customWidth="1"/>
    <col min="91" max="91" width="6.88671875" bestFit="1" customWidth="1"/>
    <col min="92" max="92" width="7" bestFit="1" customWidth="1"/>
    <col min="93" max="93" width="7.44140625" bestFit="1" customWidth="1"/>
    <col min="94" max="94" width="7.109375" bestFit="1" customWidth="1"/>
    <col min="95" max="95" width="6.6640625" bestFit="1" customWidth="1"/>
    <col min="96" max="96" width="6.8867187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2" width="7.44140625" bestFit="1" customWidth="1"/>
    <col min="103" max="103" width="6.88671875" bestFit="1" customWidth="1"/>
    <col min="104" max="104" width="6.5546875" bestFit="1" customWidth="1"/>
    <col min="105" max="105" width="6.88671875" bestFit="1" customWidth="1"/>
    <col min="106" max="106" width="7.109375" bestFit="1" customWidth="1"/>
    <col min="107" max="107" width="6.6640625" bestFit="1" customWidth="1"/>
    <col min="108" max="108" width="6.88671875" bestFit="1" customWidth="1"/>
    <col min="109" max="109" width="7.44140625" bestFit="1" customWidth="1"/>
    <col min="110" max="110" width="6.6640625" bestFit="1" customWidth="1"/>
    <col min="111" max="111" width="6.109375" bestFit="1" customWidth="1"/>
    <col min="112" max="112" width="7" bestFit="1" customWidth="1"/>
    <col min="113" max="113" width="5" customWidth="1"/>
    <col min="114" max="114" width="11" bestFit="1" customWidth="1"/>
    <col min="115" max="115" width="6.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2" width="6.6640625" bestFit="1" customWidth="1"/>
    <col min="133" max="133" width="6.109375" bestFit="1" customWidth="1"/>
    <col min="134" max="134" width="7.44140625" bestFit="1" customWidth="1"/>
    <col min="135" max="136" width="6.664062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46054</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46054</v>
      </c>
      <c r="BH1" s="3">
        <v>46023</v>
      </c>
      <c r="BI1" s="3">
        <f>+VLOOKUP(BI2,datos!$D:$E,2,FALSE)</f>
        <v>45689</v>
      </c>
      <c r="BL1" s="3">
        <f>+A1</f>
        <v>46054</v>
      </c>
      <c r="BM1" s="3">
        <f>+VLOOKUP(BM2,datos!$D:$E,2,FALSE)</f>
        <v>45689</v>
      </c>
      <c r="BP1" s="3">
        <f>+A1</f>
        <v>46054</v>
      </c>
      <c r="BQ1" s="3">
        <f>+VLOOKUP(BQ2,datos!$D:$E,2,FALSE)</f>
        <v>45689</v>
      </c>
      <c r="BT1" t="s">
        <v>279</v>
      </c>
      <c r="BU1" t="s">
        <v>280</v>
      </c>
      <c r="BX1" t="s">
        <v>279</v>
      </c>
      <c r="BY1" t="s">
        <v>280</v>
      </c>
      <c r="CB1" t="s">
        <v>282</v>
      </c>
      <c r="CC1" t="s">
        <v>283</v>
      </c>
      <c r="CF1" s="3">
        <f>+A1</f>
        <v>46054</v>
      </c>
      <c r="CG1" s="3">
        <f>+VLOOKUP(CG2,datos!$D:$E,2,FALSE)</f>
        <v>46023</v>
      </c>
      <c r="CH1" s="3">
        <f>+VLOOKUP(CH2,datos!$D:$E,2,FALSE)</f>
        <v>45689</v>
      </c>
      <c r="CJ1" s="3">
        <f>+A1</f>
        <v>46054</v>
      </c>
      <c r="CK1" s="3">
        <f>+VLOOKUP(CK2,datos!$D:$E,2,FALSE)</f>
        <v>46054</v>
      </c>
      <c r="CL1" s="3">
        <f>+VLOOKUP(CL2,datos!$D:$E,2,FALSE)</f>
        <v>46023</v>
      </c>
      <c r="CM1" s="3">
        <f>+VLOOKUP(CM2,datos!$D:$E,2,FALSE)</f>
        <v>45992</v>
      </c>
      <c r="CN1" s="3">
        <f>+VLOOKUP(CN2,datos!$D:$E,2,FALSE)</f>
        <v>45962</v>
      </c>
      <c r="CO1" s="3">
        <f>+VLOOKUP(CO2,datos!$D:$E,2,FALSE)</f>
        <v>45931</v>
      </c>
      <c r="CP1" s="3">
        <f>+VLOOKUP(CP2,datos!$D:$E,2,FALSE)</f>
        <v>45901</v>
      </c>
      <c r="CQ1" s="3">
        <f>+VLOOKUP(CQ2,datos!$D:$E,2,FALSE)</f>
        <v>45870</v>
      </c>
      <c r="CR1" s="3">
        <f>+VLOOKUP(CR2,datos!$D:$E,2,FALSE)</f>
        <v>45839</v>
      </c>
      <c r="CS1" s="3">
        <f>+VLOOKUP(CS2,datos!$D:$E,2,FALSE)</f>
        <v>45809</v>
      </c>
      <c r="CT1" s="3">
        <f>+VLOOKUP(CT2,datos!$D:$E,2,FALSE)</f>
        <v>45778</v>
      </c>
      <c r="CU1" s="3">
        <f>+VLOOKUP(CU2,datos!$D:$E,2,FALSE)</f>
        <v>45748</v>
      </c>
      <c r="CV1" s="3">
        <f>+VLOOKUP(CV2,datos!$D:$E,2,FALSE)</f>
        <v>45717</v>
      </c>
      <c r="CW1" s="3">
        <f>+VLOOKUP(CW2,datos!$D:$E,2,FALSE)</f>
        <v>45689</v>
      </c>
      <c r="CX1" s="3">
        <f>+VLOOKUP(CX2,datos!$D:$E,2,FALSE)</f>
        <v>45658</v>
      </c>
      <c r="CY1" s="3">
        <f>+VLOOKUP(CY2,datos!$D:$E,2,FALSE)</f>
        <v>45627</v>
      </c>
      <c r="CZ1" s="3">
        <f>+VLOOKUP(CZ2,datos!$D:$E,2,FALSE)</f>
        <v>45597</v>
      </c>
      <c r="DA1" s="3">
        <f>+VLOOKUP(DA2,datos!$D:$E,2,FALSE)</f>
        <v>45566</v>
      </c>
      <c r="DB1" s="3">
        <f>+VLOOKUP(DB2,datos!$D:$E,2,FALSE)</f>
        <v>45536</v>
      </c>
      <c r="DC1" s="3">
        <f>+VLOOKUP(DC2,datos!$D:$E,2,FALSE)</f>
        <v>45505</v>
      </c>
      <c r="DD1" s="3">
        <f>+VLOOKUP(DD2,datos!$D:$E,2,FALSE)</f>
        <v>45474</v>
      </c>
      <c r="DE1" s="3">
        <f>+VLOOKUP(DE2,datos!$D:$E,2,FALSE)</f>
        <v>45444</v>
      </c>
      <c r="DF1" s="3">
        <f>+VLOOKUP(DF2,datos!$D:$E,2,FALSE)</f>
        <v>45413</v>
      </c>
      <c r="DG1" s="3">
        <f>+VLOOKUP(DG2,datos!$D:$E,2,FALSE)</f>
        <v>45383</v>
      </c>
      <c r="DH1" s="3">
        <f>+VLOOKUP(DH2,datos!$D:$E,2,FALSE)</f>
        <v>45352</v>
      </c>
      <c r="DJ1" s="3">
        <f>+CK1</f>
        <v>46054</v>
      </c>
      <c r="DK1" s="3">
        <f>+VLOOKUP(DK2,datos!$D:$E,2,FALSE)</f>
        <v>46023</v>
      </c>
      <c r="DL1" s="3">
        <f>+VLOOKUP(DL2,datos!$D:$E,2,FALSE)</f>
        <v>45992</v>
      </c>
      <c r="DM1" s="3">
        <f>+VLOOKUP(DM2,datos!$D:$E,2,FALSE)</f>
        <v>45962</v>
      </c>
      <c r="DN1" s="3">
        <f>+VLOOKUP(DN2,datos!$D:$E,2,FALSE)</f>
        <v>45931</v>
      </c>
      <c r="DO1" s="3">
        <f>+VLOOKUP(DO2,datos!$D:$E,2,FALSE)</f>
        <v>45901</v>
      </c>
      <c r="DP1" s="3">
        <f>+VLOOKUP(DP2,datos!$D:$E,2,FALSE)</f>
        <v>45870</v>
      </c>
      <c r="DQ1" s="3">
        <f>+VLOOKUP(DQ2,datos!$D:$E,2,FALSE)</f>
        <v>45839</v>
      </c>
      <c r="DR1" s="3">
        <f>+VLOOKUP(DR2,datos!$D:$E,2,FALSE)</f>
        <v>45809</v>
      </c>
      <c r="DS1" s="3">
        <f>+VLOOKUP(DS2,datos!$D:$E,2,FALSE)</f>
        <v>45778</v>
      </c>
      <c r="DT1" s="3">
        <f>+VLOOKUP(DT2,datos!$D:$E,2,FALSE)</f>
        <v>45748</v>
      </c>
      <c r="DU1" s="3">
        <f>+VLOOKUP(DU2,datos!$D:$E,2,FALSE)</f>
        <v>45717</v>
      </c>
      <c r="DV1" s="3">
        <f>+VLOOKUP(DV2,datos!$D:$E,2,FALSE)</f>
        <v>45689</v>
      </c>
      <c r="DW1" s="3">
        <f>+VLOOKUP(DW2,datos!$D:$E,2,FALSE)</f>
        <v>45658</v>
      </c>
      <c r="DX1" s="3">
        <f>+VLOOKUP(DX2,datos!$D:$E,2,FALSE)</f>
        <v>45627</v>
      </c>
      <c r="DY1" s="3">
        <f>+VLOOKUP(DY2,datos!$D:$E,2,FALSE)</f>
        <v>45597</v>
      </c>
      <c r="DZ1" s="3">
        <f>+VLOOKUP(DZ2,datos!$D:$E,2,FALSE)</f>
        <v>45566</v>
      </c>
      <c r="EA1" s="3">
        <f>+VLOOKUP(EA2,datos!$D:$E,2,FALSE)</f>
        <v>45536</v>
      </c>
      <c r="EB1" s="3">
        <f>+VLOOKUP(EB2,datos!$D:$E,2,FALSE)</f>
        <v>45505</v>
      </c>
      <c r="EC1" s="3">
        <f>+VLOOKUP(EC2,datos!$D:$E,2,FALSE)</f>
        <v>45474</v>
      </c>
      <c r="ED1" s="3">
        <f>+VLOOKUP(ED2,datos!$D:$E,2,FALSE)</f>
        <v>45444</v>
      </c>
      <c r="EE1" s="3">
        <f>+VLOOKUP(EE2,datos!$D:$E,2,FALSE)</f>
        <v>45413</v>
      </c>
      <c r="EF1" s="3">
        <f>+VLOOKUP(EF2,datos!$D:$E,2,FALSE)</f>
        <v>45383</v>
      </c>
      <c r="EG1" s="3">
        <f>+VLOOKUP(EG2,datos!$D:$E,2,FALSE)</f>
        <v>45352</v>
      </c>
      <c r="EI1" s="700">
        <f>+CK1</f>
        <v>46054</v>
      </c>
      <c r="EJ1" s="700">
        <f t="shared" ref="EJ1:FF1" si="0">+CL1</f>
        <v>46023</v>
      </c>
      <c r="EK1" s="3">
        <f t="shared" si="0"/>
        <v>45992</v>
      </c>
      <c r="EL1" s="3">
        <f t="shared" si="0"/>
        <v>45962</v>
      </c>
      <c r="EM1" s="3">
        <f t="shared" si="0"/>
        <v>45931</v>
      </c>
      <c r="EN1" s="3">
        <f t="shared" si="0"/>
        <v>45901</v>
      </c>
      <c r="EO1" s="3">
        <f t="shared" si="0"/>
        <v>45870</v>
      </c>
      <c r="EP1" s="3">
        <f t="shared" si="0"/>
        <v>45839</v>
      </c>
      <c r="EQ1" s="3">
        <f t="shared" si="0"/>
        <v>45809</v>
      </c>
      <c r="ER1" s="3">
        <f t="shared" si="0"/>
        <v>45778</v>
      </c>
      <c r="ES1" s="3">
        <f t="shared" si="0"/>
        <v>45748</v>
      </c>
      <c r="ET1" s="3">
        <f t="shared" si="0"/>
        <v>45717</v>
      </c>
      <c r="EU1" s="3">
        <f t="shared" si="0"/>
        <v>45689</v>
      </c>
      <c r="EV1" s="3">
        <f t="shared" si="0"/>
        <v>45658</v>
      </c>
      <c r="EW1" s="3">
        <f t="shared" si="0"/>
        <v>45627</v>
      </c>
      <c r="EX1" s="3">
        <f t="shared" si="0"/>
        <v>45597</v>
      </c>
      <c r="EY1" s="3">
        <f t="shared" si="0"/>
        <v>45566</v>
      </c>
      <c r="EZ1" s="3">
        <f t="shared" si="0"/>
        <v>45536</v>
      </c>
      <c r="FA1" s="3">
        <f t="shared" si="0"/>
        <v>45505</v>
      </c>
      <c r="FB1" s="3">
        <f t="shared" si="0"/>
        <v>45474</v>
      </c>
      <c r="FC1" s="3">
        <f t="shared" si="0"/>
        <v>45444</v>
      </c>
      <c r="FD1" s="3">
        <f t="shared" si="0"/>
        <v>45413</v>
      </c>
      <c r="FE1" s="3">
        <f t="shared" si="0"/>
        <v>45383</v>
      </c>
      <c r="FF1" s="3">
        <f t="shared" si="0"/>
        <v>45352</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45717</v>
      </c>
      <c r="AQ2" s="174">
        <f>VLOOKUP(VLOOKUP(+$A$1,ran_ma,2,FALSE)-10,ran_idma,2,FALSE)</f>
        <v>45748</v>
      </c>
      <c r="AR2" s="174">
        <f>VLOOKUP(VLOOKUP(+$A$1,ran_ma,2,FALSE)-9,ran_idma,2,FALSE)</f>
        <v>45778</v>
      </c>
      <c r="AS2" s="174">
        <f>VLOOKUP(VLOOKUP(+$A$1,ran_ma,2,FALSE)-8,ran_idma,2,FALSE)</f>
        <v>45809</v>
      </c>
      <c r="AT2" s="59">
        <f>VLOOKUP(VLOOKUP(+$A$1,ran_ma,2,FALSE)-7,ran_idma,2,FALSE)</f>
        <v>45839</v>
      </c>
      <c r="AU2" s="59">
        <f>VLOOKUP(VLOOKUP(+$A$1,ran_ma,2,FALSE)-6,ran_idma,2,FALSE)</f>
        <v>45870</v>
      </c>
      <c r="AV2" s="59">
        <f>VLOOKUP(VLOOKUP(+$A$1,ran_ma,2,FALSE)-5,ran_idma,2,FALSE)</f>
        <v>45901</v>
      </c>
      <c r="AW2" s="59">
        <f>VLOOKUP(VLOOKUP(+$A$1,ran_ma,2,FALSE)-4,ran_idma,2,FALSE)</f>
        <v>45931</v>
      </c>
      <c r="AX2" s="59">
        <f>VLOOKUP(VLOOKUP(+$A$1,ran_ma,2,FALSE)-3,ran_idma,2,FALSE)</f>
        <v>45962</v>
      </c>
      <c r="AY2" s="59">
        <f>VLOOKUP(VLOOKUP(+$A$1,ran_ma,2,FALSE)-2,ran_idma,2,FALSE)</f>
        <v>45992</v>
      </c>
      <c r="AZ2" s="59">
        <f>VLOOKUP(VLOOKUP(+$A$1,ran_ma,2,FALSE)-1,ran_idma,2,FALSE)</f>
        <v>46023</v>
      </c>
      <c r="BA2" s="59">
        <f>VLOOKUP(VLOOKUP(+$A$1,ran_ma,2,FALSE)-0,ran_idma,2,FALSE)</f>
        <v>46054</v>
      </c>
      <c r="BB2" s="59"/>
      <c r="BC2" s="170"/>
      <c r="BE2" s="9" t="s">
        <v>272</v>
      </c>
      <c r="BG2">
        <f>+VLOOKUP(BG1,ran_dat,datos!$D$1,FALSE)</f>
        <v>131</v>
      </c>
      <c r="BH2">
        <f>+BG2-1</f>
        <v>130</v>
      </c>
      <c r="BI2">
        <f>+BG2-12</f>
        <v>119</v>
      </c>
      <c r="BK2" s="9"/>
      <c r="BL2">
        <f>+VLOOKUP(BL1,ran_dat,datos!$D$1,FALSE)</f>
        <v>131</v>
      </c>
      <c r="BM2">
        <f>+BL2-12</f>
        <v>119</v>
      </c>
      <c r="BO2" s="9"/>
      <c r="BP2">
        <f>+VLOOKUP(BP1,ran_dat,datos!$D$1,FALSE)</f>
        <v>131</v>
      </c>
      <c r="BQ2">
        <f>+BP2-12</f>
        <v>119</v>
      </c>
      <c r="BS2" s="9"/>
      <c r="BW2" s="9"/>
      <c r="CD2" s="386"/>
      <c r="CE2" s="9"/>
      <c r="CF2">
        <f>+VLOOKUP(CF1,ran_dat,datos!$D$1,FALSE)</f>
        <v>131</v>
      </c>
      <c r="CG2">
        <f>+CF2-1</f>
        <v>130</v>
      </c>
      <c r="CH2">
        <f>+CF2-12</f>
        <v>119</v>
      </c>
      <c r="CI2" s="386"/>
      <c r="CJ2">
        <f>+VLOOKUP(CJ1,ran_dat,datos!$D$1,FALSE)</f>
        <v>131</v>
      </c>
      <c r="CK2">
        <f>+CJ2</f>
        <v>131</v>
      </c>
      <c r="CL2">
        <f t="shared" ref="CL2:DH2" si="1">+CK2-1</f>
        <v>130</v>
      </c>
      <c r="CM2">
        <f t="shared" si="1"/>
        <v>129</v>
      </c>
      <c r="CN2">
        <f t="shared" si="1"/>
        <v>128</v>
      </c>
      <c r="CO2">
        <f t="shared" si="1"/>
        <v>127</v>
      </c>
      <c r="CP2">
        <f t="shared" si="1"/>
        <v>126</v>
      </c>
      <c r="CQ2">
        <f t="shared" si="1"/>
        <v>125</v>
      </c>
      <c r="CR2">
        <f t="shared" si="1"/>
        <v>124</v>
      </c>
      <c r="CS2">
        <f t="shared" si="1"/>
        <v>123</v>
      </c>
      <c r="CT2">
        <f t="shared" si="1"/>
        <v>122</v>
      </c>
      <c r="CU2">
        <f t="shared" si="1"/>
        <v>121</v>
      </c>
      <c r="CV2">
        <f t="shared" si="1"/>
        <v>120</v>
      </c>
      <c r="CW2">
        <f t="shared" si="1"/>
        <v>119</v>
      </c>
      <c r="CX2">
        <f t="shared" si="1"/>
        <v>118</v>
      </c>
      <c r="CY2">
        <f t="shared" si="1"/>
        <v>117</v>
      </c>
      <c r="CZ2">
        <f t="shared" si="1"/>
        <v>116</v>
      </c>
      <c r="DA2">
        <f t="shared" si="1"/>
        <v>115</v>
      </c>
      <c r="DB2">
        <f t="shared" si="1"/>
        <v>114</v>
      </c>
      <c r="DC2">
        <f t="shared" si="1"/>
        <v>113</v>
      </c>
      <c r="DD2">
        <f t="shared" si="1"/>
        <v>112</v>
      </c>
      <c r="DE2">
        <f t="shared" si="1"/>
        <v>111</v>
      </c>
      <c r="DF2">
        <f t="shared" si="1"/>
        <v>110</v>
      </c>
      <c r="DG2">
        <f t="shared" si="1"/>
        <v>109</v>
      </c>
      <c r="DH2">
        <f t="shared" si="1"/>
        <v>108</v>
      </c>
      <c r="DJ2">
        <f>+VLOOKUP(DJ1,ran_dat,datos!$D$1,FALSE)</f>
        <v>131</v>
      </c>
      <c r="DK2">
        <f t="shared" ref="DK2:EG2" si="2">+DJ2-1</f>
        <v>130</v>
      </c>
      <c r="DL2">
        <f t="shared" si="2"/>
        <v>129</v>
      </c>
      <c r="DM2">
        <f t="shared" si="2"/>
        <v>128</v>
      </c>
      <c r="DN2">
        <f t="shared" si="2"/>
        <v>127</v>
      </c>
      <c r="DO2">
        <f t="shared" si="2"/>
        <v>126</v>
      </c>
      <c r="DP2">
        <f t="shared" si="2"/>
        <v>125</v>
      </c>
      <c r="DQ2">
        <f t="shared" si="2"/>
        <v>124</v>
      </c>
      <c r="DR2">
        <f t="shared" si="2"/>
        <v>123</v>
      </c>
      <c r="DS2">
        <f t="shared" si="2"/>
        <v>122</v>
      </c>
      <c r="DT2">
        <f t="shared" si="2"/>
        <v>121</v>
      </c>
      <c r="DU2">
        <f t="shared" si="2"/>
        <v>120</v>
      </c>
      <c r="DV2">
        <f t="shared" si="2"/>
        <v>119</v>
      </c>
      <c r="DW2">
        <f t="shared" si="2"/>
        <v>118</v>
      </c>
      <c r="DX2">
        <f t="shared" si="2"/>
        <v>117</v>
      </c>
      <c r="DY2">
        <f t="shared" si="2"/>
        <v>116</v>
      </c>
      <c r="DZ2">
        <f t="shared" si="2"/>
        <v>115</v>
      </c>
      <c r="EA2">
        <f t="shared" si="2"/>
        <v>114</v>
      </c>
      <c r="EB2">
        <f t="shared" si="2"/>
        <v>113</v>
      </c>
      <c r="EC2">
        <f t="shared" si="2"/>
        <v>112</v>
      </c>
      <c r="ED2">
        <f t="shared" si="2"/>
        <v>111</v>
      </c>
      <c r="EE2">
        <f t="shared" si="2"/>
        <v>110</v>
      </c>
      <c r="EF2">
        <f t="shared" si="2"/>
        <v>109</v>
      </c>
      <c r="EG2">
        <f t="shared" si="2"/>
        <v>108</v>
      </c>
      <c r="EI2" s="14">
        <f>+VLOOKUP(EI1,ran_dat,datos!$D$1,FALSE)</f>
        <v>131</v>
      </c>
      <c r="EJ2" s="14">
        <f t="shared" ref="EJ2:FF2" si="3">+EI2-1</f>
        <v>130</v>
      </c>
      <c r="EK2">
        <f t="shared" si="3"/>
        <v>129</v>
      </c>
      <c r="EL2">
        <f t="shared" si="3"/>
        <v>128</v>
      </c>
      <c r="EM2">
        <f t="shared" si="3"/>
        <v>127</v>
      </c>
      <c r="EN2">
        <f t="shared" si="3"/>
        <v>126</v>
      </c>
      <c r="EO2">
        <f t="shared" si="3"/>
        <v>125</v>
      </c>
      <c r="EP2">
        <f t="shared" si="3"/>
        <v>124</v>
      </c>
      <c r="EQ2">
        <f t="shared" si="3"/>
        <v>123</v>
      </c>
      <c r="ER2">
        <f t="shared" si="3"/>
        <v>122</v>
      </c>
      <c r="ES2">
        <f t="shared" si="3"/>
        <v>121</v>
      </c>
      <c r="ET2">
        <f t="shared" si="3"/>
        <v>120</v>
      </c>
      <c r="EU2">
        <f t="shared" si="3"/>
        <v>119</v>
      </c>
      <c r="EV2">
        <f t="shared" si="3"/>
        <v>118</v>
      </c>
      <c r="EW2">
        <f t="shared" si="3"/>
        <v>117</v>
      </c>
      <c r="EX2">
        <f t="shared" si="3"/>
        <v>116</v>
      </c>
      <c r="EY2">
        <f t="shared" si="3"/>
        <v>115</v>
      </c>
      <c r="EZ2">
        <f t="shared" si="3"/>
        <v>114</v>
      </c>
      <c r="FA2">
        <f t="shared" si="3"/>
        <v>113</v>
      </c>
      <c r="FB2">
        <f t="shared" si="3"/>
        <v>112</v>
      </c>
      <c r="FC2">
        <f t="shared" si="3"/>
        <v>111</v>
      </c>
      <c r="FD2">
        <f t="shared" si="3"/>
        <v>110</v>
      </c>
      <c r="FE2">
        <f t="shared" si="3"/>
        <v>109</v>
      </c>
      <c r="FF2">
        <f t="shared" si="3"/>
        <v>108</v>
      </c>
    </row>
    <row r="3" spans="1:164" ht="18.75" customHeight="1">
      <c r="A3" s="220"/>
      <c r="C3" s="155"/>
      <c r="D3" s="196">
        <v>0.33</v>
      </c>
      <c r="E3" s="100">
        <f>IFERROR(+BG5/BH5-1,"")</f>
        <v>2.8963190726726928E-2</v>
      </c>
      <c r="F3" s="56" t="s">
        <v>515</v>
      </c>
      <c r="G3" s="56"/>
      <c r="H3" s="56"/>
      <c r="I3" s="60">
        <f>IFERROR(+BG5/BI5-1,"")</f>
        <v>0.33051353532844896</v>
      </c>
      <c r="J3" s="56" t="s">
        <v>515</v>
      </c>
      <c r="K3" s="56"/>
      <c r="L3" s="56"/>
      <c r="M3" s="32"/>
      <c r="N3" s="196">
        <v>0.33</v>
      </c>
      <c r="O3" s="31"/>
      <c r="S3" s="32"/>
      <c r="T3" s="196">
        <v>0.33</v>
      </c>
      <c r="U3" s="150" t="str">
        <f>TEXT(CV1,"MMM-YY")&amp;"."&amp;TEXT(CK1,"MMM-YY")&amp;" vs "&amp;TEXT(DH1,"MMM-YY")&amp;"."&amp;TEXT(CW1,"MMM-YY")</f>
        <v>mar-25.feb-26 vs mar-24.feb-25</v>
      </c>
      <c r="Y3" s="59" t="str">
        <f>TEXT(CK1,"MMM-YY")&amp;" vs "&amp;TEXT(CW1,"MMM-YY")</f>
        <v>feb-26 vs feb-25</v>
      </c>
      <c r="BE3" s="4" t="s">
        <v>3</v>
      </c>
      <c r="BF3" s="4"/>
      <c r="BG3" s="4"/>
      <c r="BH3" s="4"/>
      <c r="BI3" s="4"/>
      <c r="BK3" s="20" t="s">
        <v>15</v>
      </c>
      <c r="BL3" s="20"/>
      <c r="BM3" s="20"/>
      <c r="BO3" s="21" t="s">
        <v>2</v>
      </c>
      <c r="BP3" s="21"/>
      <c r="BQ3" s="21"/>
      <c r="BS3" s="4" t="s">
        <v>7</v>
      </c>
      <c r="BT3" s="4"/>
      <c r="BU3" s="4"/>
      <c r="BW3" s="43" t="s">
        <v>8</v>
      </c>
      <c r="BX3" s="43"/>
      <c r="BY3" s="43"/>
      <c r="CA3" s="22" t="s">
        <v>9</v>
      </c>
      <c r="CB3" s="22"/>
      <c r="CC3" s="22"/>
      <c r="CD3" s="178"/>
      <c r="CE3" s="27" t="s">
        <v>5</v>
      </c>
      <c r="CF3" s="27"/>
      <c r="CG3" s="27"/>
      <c r="CH3" s="27"/>
      <c r="CI3" s="178"/>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O4" s="9"/>
      <c r="BS4" s="9"/>
      <c r="BW4" s="9"/>
      <c r="CE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10714.6255</v>
      </c>
      <c r="BH5" s="2">
        <f t="shared" si="4"/>
        <v>10413.0309</v>
      </c>
      <c r="BI5" s="2">
        <f t="shared" si="4"/>
        <v>8053</v>
      </c>
    </row>
    <row r="6" spans="1:164" ht="18.75" customHeight="1">
      <c r="A6" s="243" t="s">
        <v>28</v>
      </c>
      <c r="B6" s="246"/>
      <c r="C6" s="156">
        <f t="shared" ref="C6:C24" si="5">+D6*$D$3+N6*$N$3+T6*$T$3</f>
        <v>0</v>
      </c>
      <c r="D6" s="198">
        <v>-2</v>
      </c>
      <c r="E6" s="248">
        <f t="shared" ref="E6:E24" si="6">IFERROR(+BG6/BH6-1,"")</f>
        <v>1.3408157124626729E-2</v>
      </c>
      <c r="F6" s="249">
        <f t="shared" ref="F6:F24" si="7">+E6-$E$3</f>
        <v>-1.5555033602100199E-2</v>
      </c>
      <c r="G6" s="248">
        <f t="shared" ref="G6:G24" si="8">IFERROR(+CF6/CG6-1,"")</f>
        <v>1.2986417726131627E-2</v>
      </c>
      <c r="H6" s="249">
        <f t="shared" ref="H6:H24" si="9">E6-G6</f>
        <v>4.2173939849510234E-4</v>
      </c>
      <c r="I6" s="248">
        <f t="shared" ref="I6:I24" si="10">IFERROR(+BG6/BI6-1,"")</f>
        <v>0.17247153542413285</v>
      </c>
      <c r="J6" s="249">
        <f t="shared" ref="J6:J24" si="11">+I6-$I$3</f>
        <v>-0.15804199990431611</v>
      </c>
      <c r="K6" s="248">
        <f t="shared" ref="K6:K24" si="12">IFERROR(+CF6/CH6-1,"")</f>
        <v>0.27476310364747225</v>
      </c>
      <c r="L6" s="249">
        <f t="shared" ref="L6:L24" si="13">I6-K6</f>
        <v>-0.1022915682233394</v>
      </c>
      <c r="M6" s="250"/>
      <c r="N6" s="24">
        <v>1</v>
      </c>
      <c r="O6" s="248">
        <f>IFERROR(+BL6/BM6-1,"")</f>
        <v>-0.30434782608695654</v>
      </c>
      <c r="P6" s="251">
        <f>+O6</f>
        <v>-0.30434782608695654</v>
      </c>
      <c r="Q6" s="248">
        <f t="shared" ref="Q6:Q24" si="14">IFERROR(+BP6/BQ6-1,"")</f>
        <v>-0.15384615384615385</v>
      </c>
      <c r="R6" s="251">
        <f>+Q6</f>
        <v>-0.15384615384615385</v>
      </c>
      <c r="S6" s="250"/>
      <c r="T6" s="24">
        <v>1</v>
      </c>
      <c r="U6" s="248">
        <f t="shared" ref="U6:U24" si="15">IFERROR(+BT6/BU6-1,"")</f>
        <v>-0.22734692759489827</v>
      </c>
      <c r="V6" s="252">
        <f t="shared" ref="V6:V24" si="16">+U6</f>
        <v>-0.22734692759489827</v>
      </c>
      <c r="W6" s="701">
        <f>IFERROR(IF(BX6&lt;0.5,"",+BX6/BY6-1),"")</f>
        <v>0.49598694727811199</v>
      </c>
      <c r="X6" s="252">
        <f t="shared" ref="X6:X24" si="17">+W6</f>
        <v>0.49598694727811199</v>
      </c>
      <c r="Y6" s="248" t="str">
        <f t="shared" ref="Y6:Y25" si="18">IFERROR(+CB6/CC6-1,"")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4</v>
      </c>
      <c r="AQ6" s="28">
        <f>VLOOKUP($A6,historia!$A$5:$CM$24,+HLOOKUP(AQ$2,historia!$A$3:$EC$4,2,FALSE),FALSE)</f>
        <v>4</v>
      </c>
      <c r="AR6" s="28">
        <f>VLOOKUP($A6,historia!$A$5:$CM$24,+HLOOKUP(AR$2,historia!$A$3:$EC$4,2,FALSE),FALSE)</f>
        <v>3</v>
      </c>
      <c r="AS6" s="28">
        <f>VLOOKUP($A6,historia!$A$5:$CM$24,+HLOOKUP(AS$2,historia!$A$3:$EC$4,2,FALSE),FALSE)</f>
        <v>3</v>
      </c>
      <c r="AT6" s="58">
        <f>VLOOKUP($A6,historia!$A$5:$CM$24,+HLOOKUP(AT$2,historia!$A$3:$EC$4,2,FALSE),FALSE)</f>
        <v>3</v>
      </c>
      <c r="AU6" s="58">
        <f>VLOOKUP($A6,historia!$A$5:$DD$24,+HLOOKUP(AU$2,historia!$A$3:$EC$4,2,FALSE),FALSE)</f>
        <v>3</v>
      </c>
      <c r="AV6" s="58">
        <f>VLOOKUP($A6,historia!$A$5:$DD$24,+HLOOKUP(AV$2,historia!$A$3:$EC$4,2,FALSE),FALSE)</f>
        <v>4</v>
      </c>
      <c r="AW6" s="58">
        <f>VLOOKUP($A6,historia!$A$5:$DD$24,+HLOOKUP(AW$2,historia!$A$3:$EC$4,2,FALSE),FALSE)</f>
        <v>4</v>
      </c>
      <c r="AX6" s="58">
        <f>VLOOKUP($A6,historia!$A$5:$DD$24,+HLOOKUP(AX$2,historia!$A$3:$EC$4,2,FALSE),FALSE)</f>
        <v>4</v>
      </c>
      <c r="AY6" s="58">
        <f>VLOOKUP($A6,historia!$A$5:$DD$24,+HLOOKUP(AY$2,historia!$A$3:$EC$4,2,FALSE),FALSE)</f>
        <v>4</v>
      </c>
      <c r="AZ6" s="58">
        <f>VLOOKUP($A6,historia!$A$5:$DD$24,+HLOOKUP(AZ$2,historia!$A$3:$EC$4,2,FALSE),FALSE)</f>
        <v>4</v>
      </c>
      <c r="BA6" s="58">
        <f>VLOOKUP($A6,historia!$A$5:$DD$24,+HLOOKUP(BA$2,historia!$A$3:$EC$4,2,FALSE),FALSE)</f>
        <v>4</v>
      </c>
      <c r="BB6" s="58"/>
      <c r="BC6" s="286">
        <v>4</v>
      </c>
      <c r="BD6" t="str">
        <f t="shared" ref="BD6:BD24" si="20">+A6</f>
        <v>Algodón</v>
      </c>
      <c r="BE6">
        <f>+datos!P1</f>
        <v>16</v>
      </c>
      <c r="BF6" s="2" t="str">
        <f t="shared" si="4"/>
        <v>$/kg</v>
      </c>
      <c r="BG6" s="2">
        <f t="shared" si="4"/>
        <v>1530.6761620349998</v>
      </c>
      <c r="BH6" s="2">
        <f t="shared" si="4"/>
        <v>1510.4241576049999</v>
      </c>
      <c r="BI6" s="2">
        <f t="shared" si="4"/>
        <v>1305.5124289062499</v>
      </c>
      <c r="BK6" s="1">
        <f>+datos!DK1</f>
        <v>115</v>
      </c>
      <c r="BL6" s="1">
        <f t="shared" ref="BL6:BM24" si="21">+VLOOKUP(BL$1,ran_dat,$BK6,FALSE)</f>
        <v>480000</v>
      </c>
      <c r="BM6" s="1">
        <f t="shared" si="21"/>
        <v>690000</v>
      </c>
      <c r="BO6" s="1">
        <f>+datos!FF1</f>
        <v>162</v>
      </c>
      <c r="BP6" s="1">
        <f>+VLOOKUP(BP$1,ran_dat,$BO6,FALSE)</f>
        <v>1100000</v>
      </c>
      <c r="BQ6" s="1">
        <f t="shared" ref="BP6:BQ24" si="22">+VLOOKUP(BQ$1,ran_dat,$BO6,FALSE)</f>
        <v>1300000</v>
      </c>
      <c r="BS6" s="1">
        <f>+datos!JF1</f>
        <v>266</v>
      </c>
      <c r="BT6" s="1">
        <f>+SUM(CK6:CV6)</f>
        <v>152.02727126000002</v>
      </c>
      <c r="BU6" s="1">
        <f>+SUM(CW6:DH6)</f>
        <v>196.76006825000002</v>
      </c>
      <c r="BW6" s="1">
        <f>+datos!KK1</f>
        <v>297</v>
      </c>
      <c r="BX6" s="2">
        <f t="shared" ref="BX6:BX24" si="23">+SUM(DJ6:DU6)</f>
        <v>101.81289099</v>
      </c>
      <c r="BY6" s="2">
        <f t="shared" ref="BY6:BY24" si="24">+SUM(DV6:EG6)</f>
        <v>68.05733911999998</v>
      </c>
      <c r="CA6" s="1">
        <f>+datos!HS1</f>
        <v>227</v>
      </c>
      <c r="CB6" s="1">
        <f t="shared" ref="CB6:CB24" si="25">+EI6</f>
        <v>0</v>
      </c>
      <c r="CC6" s="1">
        <f t="shared" ref="CC6:CC24" si="26">+EU6</f>
        <v>0</v>
      </c>
      <c r="CD6" s="1"/>
      <c r="CE6">
        <f>+datos!BY1</f>
        <v>77</v>
      </c>
      <c r="CF6" s="2">
        <f t="shared" ref="CF6:CH24" si="27">+VLOOKUP(CF$1,ran_dat,$CE6,FALSE)</f>
        <v>12395.895087528943</v>
      </c>
      <c r="CG6" s="2">
        <f t="shared" si="27"/>
        <v>12236.980546446246</v>
      </c>
      <c r="CH6" s="2">
        <f t="shared" si="27"/>
        <v>9724.0774007818709</v>
      </c>
      <c r="CI6" s="1"/>
      <c r="CK6" s="1">
        <f t="shared" ref="CK6:CZ21" si="28">+VLOOKUP(CK$1,ran_dat,$BS6,FALSE)</f>
        <v>12.588257429999995</v>
      </c>
      <c r="CL6" s="1">
        <f t="shared" si="28"/>
        <v>12.342095660000002</v>
      </c>
      <c r="CM6" s="1">
        <f t="shared" si="28"/>
        <v>14.028435419999997</v>
      </c>
      <c r="CN6" s="1">
        <f t="shared" si="28"/>
        <v>19.935607340000004</v>
      </c>
      <c r="CO6" s="1">
        <f t="shared" si="28"/>
        <v>21.754931440000004</v>
      </c>
      <c r="CP6" s="1">
        <f t="shared" si="28"/>
        <v>18.652099290000002</v>
      </c>
      <c r="CQ6" s="1">
        <f t="shared" si="28"/>
        <v>16.211576590000004</v>
      </c>
      <c r="CR6" s="1">
        <f t="shared" si="28"/>
        <v>9.0263359399999974</v>
      </c>
      <c r="CS6" s="1">
        <f t="shared" si="28"/>
        <v>8.2931694499999988</v>
      </c>
      <c r="CT6" s="1">
        <f t="shared" si="28"/>
        <v>5.0945514700000007</v>
      </c>
      <c r="CU6" s="1">
        <f t="shared" si="28"/>
        <v>7.3093251500000047</v>
      </c>
      <c r="CV6" s="1">
        <f t="shared" si="28"/>
        <v>6.7908860800000017</v>
      </c>
      <c r="CW6" s="1">
        <f t="shared" si="28"/>
        <v>8.6490729999999978</v>
      </c>
      <c r="CX6" s="1">
        <f t="shared" si="28"/>
        <v>6.462363250000001</v>
      </c>
      <c r="CY6" s="1">
        <f t="shared" si="28"/>
        <v>10.78045292</v>
      </c>
      <c r="CZ6" s="1">
        <f t="shared" si="28"/>
        <v>14.805583519999997</v>
      </c>
      <c r="DA6" s="1">
        <f t="shared" ref="DA6:DH21" si="29">+VLOOKUP(DA$1,ran_dat,$BS6,FALSE)</f>
        <v>17.696202909999993</v>
      </c>
      <c r="DB6" s="1">
        <f t="shared" si="29"/>
        <v>21.922029789999996</v>
      </c>
      <c r="DC6" s="1">
        <f t="shared" si="29"/>
        <v>19.20970509</v>
      </c>
      <c r="DD6" s="1">
        <f t="shared" si="29"/>
        <v>24.496622440000007</v>
      </c>
      <c r="DE6" s="1">
        <f t="shared" si="29"/>
        <v>21.439575039999998</v>
      </c>
      <c r="DF6" s="1">
        <f t="shared" si="29"/>
        <v>14.529816729999997</v>
      </c>
      <c r="DG6" s="1">
        <f t="shared" si="29"/>
        <v>18.258202080000007</v>
      </c>
      <c r="DH6" s="1">
        <f t="shared" si="29"/>
        <v>18.510441480000001</v>
      </c>
      <c r="DJ6" s="1">
        <f t="shared" ref="DJ6:DY21" si="30">+VLOOKUP(DJ$1,ran_dat,$BW6,FALSE)</f>
        <v>4.1096809499999996</v>
      </c>
      <c r="DK6" s="1">
        <f t="shared" si="30"/>
        <v>5.6046989700000003</v>
      </c>
      <c r="DL6" s="1">
        <f t="shared" si="30"/>
        <v>5.8762837499999998</v>
      </c>
      <c r="DM6" s="1">
        <f t="shared" si="30"/>
        <v>7.4817210700000008</v>
      </c>
      <c r="DN6" s="1">
        <f t="shared" si="30"/>
        <v>10.164854930000002</v>
      </c>
      <c r="DO6" s="1">
        <f t="shared" si="30"/>
        <v>9.0858989999999995</v>
      </c>
      <c r="DP6" s="1">
        <f t="shared" si="30"/>
        <v>10.908765819999998</v>
      </c>
      <c r="DQ6" s="1">
        <f t="shared" si="30"/>
        <v>11.035692889999996</v>
      </c>
      <c r="DR6" s="1">
        <f t="shared" si="30"/>
        <v>9.4337625599999999</v>
      </c>
      <c r="DS6" s="1">
        <f t="shared" si="30"/>
        <v>9.66008332</v>
      </c>
      <c r="DT6" s="1">
        <f t="shared" si="30"/>
        <v>10.467826709999999</v>
      </c>
      <c r="DU6" s="1">
        <f t="shared" si="30"/>
        <v>7.9836210200000002</v>
      </c>
      <c r="DV6" s="1">
        <f t="shared" si="30"/>
        <v>9.7355070900000005</v>
      </c>
      <c r="DW6" s="1">
        <f t="shared" si="30"/>
        <v>7.6983577599999995</v>
      </c>
      <c r="DX6" s="1">
        <f t="shared" si="30"/>
        <v>8.003268180000001</v>
      </c>
      <c r="DY6" s="1">
        <f t="shared" si="30"/>
        <v>5.6011509000000004</v>
      </c>
      <c r="DZ6" s="1">
        <f t="shared" ref="DZ6:EG20" si="31">+VLOOKUP(DZ$1,ran_dat,$BW6,FALSE)</f>
        <v>5.8112020999999991</v>
      </c>
      <c r="EA6" s="1">
        <f t="shared" si="31"/>
        <v>6.3060080799999998</v>
      </c>
      <c r="EB6" s="1">
        <f t="shared" si="31"/>
        <v>3.7690183000000008</v>
      </c>
      <c r="EC6" s="1">
        <f t="shared" si="31"/>
        <v>4.5361736000000006</v>
      </c>
      <c r="ED6" s="1">
        <f t="shared" si="31"/>
        <v>3.2956469100000003</v>
      </c>
      <c r="EE6" s="1">
        <f t="shared" si="31"/>
        <v>4.5516111999999991</v>
      </c>
      <c r="EF6" s="1">
        <f t="shared" si="31"/>
        <v>3.9375346699999998</v>
      </c>
      <c r="EG6" s="1">
        <f t="shared" si="31"/>
        <v>4.8118603300000009</v>
      </c>
      <c r="EI6" s="14">
        <f t="shared" ref="EI6:EX21" si="32">+VLOOKUP(EI$1,ran_dat,$CA6,FALSE)</f>
        <v>0</v>
      </c>
      <c r="EJ6" s="14">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si="32"/>
        <v>0</v>
      </c>
      <c r="EY6" s="1">
        <f t="shared" ref="EY6:FF20" si="33">+VLOOKUP(EY$1,ran_dat,$CA6,FALSE)</f>
        <v>0</v>
      </c>
      <c r="EZ6" s="1">
        <f t="shared" si="33"/>
        <v>0</v>
      </c>
      <c r="FA6" s="1">
        <f t="shared" si="33"/>
        <v>0</v>
      </c>
      <c r="FB6" s="1">
        <f t="shared" si="33"/>
        <v>0</v>
      </c>
      <c r="FC6" s="1">
        <f t="shared" si="33"/>
        <v>0</v>
      </c>
      <c r="FD6" s="1">
        <f t="shared" si="33"/>
        <v>0</v>
      </c>
      <c r="FE6" s="1">
        <f t="shared" si="33"/>
        <v>0</v>
      </c>
      <c r="FF6" s="1">
        <f t="shared" si="33"/>
        <v>0</v>
      </c>
      <c r="FH6" s="162">
        <f t="shared" ref="FH6:FH24" si="34">+I6-K6</f>
        <v>-0.1022915682233394</v>
      </c>
    </row>
    <row r="7" spans="1:164" ht="18.75" customHeight="1">
      <c r="A7" s="244" t="s">
        <v>13</v>
      </c>
      <c r="B7" s="247"/>
      <c r="C7" s="228">
        <f t="shared" si="5"/>
        <v>-0.33</v>
      </c>
      <c r="D7" s="229">
        <v>-1</v>
      </c>
      <c r="E7" s="253">
        <f t="shared" si="6"/>
        <v>8.0000000000000071E-2</v>
      </c>
      <c r="F7" s="254">
        <f t="shared" si="7"/>
        <v>5.1036809273273143E-2</v>
      </c>
      <c r="G7" s="253">
        <f t="shared" si="8"/>
        <v>1.0201953395367225E-2</v>
      </c>
      <c r="H7" s="254">
        <f t="shared" si="9"/>
        <v>6.9798046604632846E-2</v>
      </c>
      <c r="I7" s="253">
        <f t="shared" si="10"/>
        <v>0.125</v>
      </c>
      <c r="J7" s="254">
        <f t="shared" si="11"/>
        <v>-0.20551353532844896</v>
      </c>
      <c r="K7" s="253">
        <f t="shared" si="12"/>
        <v>0.36854334752626539</v>
      </c>
      <c r="L7" s="254">
        <f t="shared" si="13"/>
        <v>-0.24354334752626539</v>
      </c>
      <c r="M7" s="255"/>
      <c r="N7" s="256">
        <v>1</v>
      </c>
      <c r="O7" s="253">
        <f t="shared" ref="O7:O24" si="35">IFERROR(+BL7/BM7-1,"")</f>
        <v>-0.13043478260869568</v>
      </c>
      <c r="P7" s="257">
        <f t="shared" ref="P7:P24" si="36">+O7</f>
        <v>-0.13043478260869568</v>
      </c>
      <c r="Q7" s="253">
        <f t="shared" si="14"/>
        <v>0.23076923076923084</v>
      </c>
      <c r="R7" s="257">
        <f t="shared" ref="R7:R24" si="37">+Q7</f>
        <v>0.23076923076923084</v>
      </c>
      <c r="S7" s="255"/>
      <c r="T7" s="256">
        <v>-1</v>
      </c>
      <c r="U7" s="253">
        <f t="shared" si="15"/>
        <v>0.11552147593229511</v>
      </c>
      <c r="V7" s="258">
        <f t="shared" si="16"/>
        <v>0.11552147593229511</v>
      </c>
      <c r="W7" s="253">
        <f t="shared" ref="W7:W24" si="38">IFERROR(IF(BX7&lt;0.5,"",+BX7/BY7-1),"")</f>
        <v>-0.51007867644381566</v>
      </c>
      <c r="X7" s="258">
        <f t="shared" si="17"/>
        <v>-0.51007867644381566</v>
      </c>
      <c r="Y7" s="253">
        <f t="shared" si="18"/>
        <v>0.41428571428571437</v>
      </c>
      <c r="Z7" s="258">
        <f t="shared" si="19"/>
        <v>0.41428571428571437</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4</v>
      </c>
      <c r="AQ7" s="28">
        <f>VLOOKUP($A7,historia!$A$5:$CM$24,+HLOOKUP(AQ$2,historia!$A$3:$EC$4,2,FALSE),FALSE)</f>
        <v>4</v>
      </c>
      <c r="AR7" s="28">
        <f>VLOOKUP($A7,historia!$A$5:$CM$24,+HLOOKUP(AR$2,historia!$A$3:$EC$4,2,FALSE),FALSE)</f>
        <v>4</v>
      </c>
      <c r="AS7" s="28">
        <f>VLOOKUP($A7,historia!$A$5:$CM$24,+HLOOKUP(AS$2,historia!$A$3:$EC$4,2,FALSE),FALSE)</f>
        <v>4</v>
      </c>
      <c r="AT7" s="58">
        <f>VLOOKUP($A7,historia!$A$5:$CM$24,+HLOOKUP(AT$2,historia!$A$3:$EC$4,2,FALSE),FALSE)</f>
        <v>4</v>
      </c>
      <c r="AU7" s="58">
        <f>VLOOKUP($A7,historia!$A$5:$DD$24,+HLOOKUP(AU$2,historia!$A$3:$EC$4,2,FALSE),FALSE)</f>
        <v>4</v>
      </c>
      <c r="AV7" s="58">
        <f>VLOOKUP($A7,historia!$A$5:$DD$24,+HLOOKUP(AV$2,historia!$A$3:$EC$4,2,FALSE),FALSE)</f>
        <v>4</v>
      </c>
      <c r="AW7" s="58">
        <f>VLOOKUP($A7,historia!$A$5:$DD$24,+HLOOKUP(AW$2,historia!$A$3:$EC$4,2,FALSE),FALSE)</f>
        <v>4</v>
      </c>
      <c r="AX7" s="58">
        <f>VLOOKUP($A7,historia!$A$5:$DD$24,+HLOOKUP(AX$2,historia!$A$3:$EC$4,2,FALSE),FALSE)</f>
        <v>4</v>
      </c>
      <c r="AY7" s="58">
        <f>VLOOKUP($A7,historia!$A$5:$DD$24,+HLOOKUP(AY$2,historia!$A$3:$EC$4,2,FALSE),FALSE)</f>
        <v>4</v>
      </c>
      <c r="AZ7" s="58">
        <f>VLOOKUP($A7,historia!$A$5:$DD$24,+HLOOKUP(AZ$2,historia!$A$3:$EC$4,2,FALSE),FALSE)</f>
        <v>4</v>
      </c>
      <c r="BA7" s="58">
        <f>VLOOKUP($A7,historia!$A$5:$DG$24,+HLOOKUP(BA$2,historia!$A$3:$EC$4,2,FALSE),FALSE)</f>
        <v>4</v>
      </c>
      <c r="BB7" s="58"/>
      <c r="BC7" s="286">
        <v>4</v>
      </c>
      <c r="BD7" t="str">
        <f t="shared" si="20"/>
        <v>Arroz</v>
      </c>
      <c r="BE7">
        <f>+datos!R1</f>
        <v>18</v>
      </c>
      <c r="BF7" s="2" t="str">
        <f t="shared" si="4"/>
        <v>$/t</v>
      </c>
      <c r="BG7" s="2">
        <f t="shared" si="4"/>
        <v>270000</v>
      </c>
      <c r="BH7" s="2">
        <f t="shared" si="4"/>
        <v>250000</v>
      </c>
      <c r="BI7" s="2">
        <f t="shared" si="4"/>
        <v>240000</v>
      </c>
      <c r="BK7" s="1">
        <f>+datos!DM1</f>
        <v>117</v>
      </c>
      <c r="BL7" s="1">
        <f t="shared" si="21"/>
        <v>200000</v>
      </c>
      <c r="BM7" s="1">
        <f t="shared" si="21"/>
        <v>230000</v>
      </c>
      <c r="BO7" s="1">
        <f>+datos!FH1</f>
        <v>164</v>
      </c>
      <c r="BP7" s="1">
        <f t="shared" si="22"/>
        <v>1600000</v>
      </c>
      <c r="BQ7" s="1">
        <f t="shared" si="22"/>
        <v>1300000</v>
      </c>
      <c r="BS7" s="1">
        <f>+datos!JG1</f>
        <v>267</v>
      </c>
      <c r="BT7" s="1">
        <f t="shared" ref="BT7:BT24" si="39">+SUM(CK7:CV7)</f>
        <v>425.71237572000007</v>
      </c>
      <c r="BU7" s="1">
        <f t="shared" ref="BU7:BU24" si="40">+SUM(CW7:DH7)</f>
        <v>381.62633791000007</v>
      </c>
      <c r="BW7" s="1">
        <f>+datos!KL1</f>
        <v>298</v>
      </c>
      <c r="BX7" s="2">
        <f t="shared" si="23"/>
        <v>2.4406713199999999</v>
      </c>
      <c r="BY7" s="2">
        <f t="shared" si="24"/>
        <v>4.9817617700000003</v>
      </c>
      <c r="CA7" s="1">
        <f>+datos!HU1</f>
        <v>229</v>
      </c>
      <c r="CB7" s="1">
        <f t="shared" si="25"/>
        <v>990000</v>
      </c>
      <c r="CC7" s="1">
        <f t="shared" si="26"/>
        <v>700000</v>
      </c>
      <c r="CD7" s="1"/>
      <c r="CE7">
        <f>+datos!BZ1</f>
        <v>78</v>
      </c>
      <c r="CF7" s="2">
        <f t="shared" si="27"/>
        <v>13000.428425713466</v>
      </c>
      <c r="CG7" s="2">
        <f t="shared" si="27"/>
        <v>12869.138078795053</v>
      </c>
      <c r="CH7" s="2">
        <f t="shared" si="27"/>
        <v>9499.4641194322558</v>
      </c>
      <c r="CI7" s="1"/>
      <c r="CK7" s="1">
        <f t="shared" si="28"/>
        <v>90.314876920000003</v>
      </c>
      <c r="CL7" s="1">
        <f t="shared" si="28"/>
        <v>25.485538569999999</v>
      </c>
      <c r="CM7" s="1">
        <f t="shared" si="28"/>
        <v>12.625558100000001</v>
      </c>
      <c r="CN7" s="1">
        <f t="shared" si="28"/>
        <v>36.759837599999997</v>
      </c>
      <c r="CO7" s="1">
        <f t="shared" si="28"/>
        <v>36.299912110000001</v>
      </c>
      <c r="CP7" s="1">
        <f t="shared" si="28"/>
        <v>15.634826659999996</v>
      </c>
      <c r="CQ7" s="1">
        <f t="shared" si="28"/>
        <v>54.436744560000001</v>
      </c>
      <c r="CR7" s="1">
        <f t="shared" si="28"/>
        <v>16.08135906</v>
      </c>
      <c r="CS7" s="1">
        <f t="shared" si="28"/>
        <v>31.537173230000004</v>
      </c>
      <c r="CT7" s="1">
        <f t="shared" si="28"/>
        <v>39.974175860000003</v>
      </c>
      <c r="CU7" s="1">
        <f t="shared" si="28"/>
        <v>35.910188569999995</v>
      </c>
      <c r="CV7" s="1">
        <f t="shared" si="28"/>
        <v>30.652184479999995</v>
      </c>
      <c r="CW7" s="1">
        <f t="shared" si="28"/>
        <v>94.896967090000004</v>
      </c>
      <c r="CX7" s="1">
        <f t="shared" si="28"/>
        <v>22.007364089999996</v>
      </c>
      <c r="CY7" s="1">
        <f t="shared" si="28"/>
        <v>13.652213600000001</v>
      </c>
      <c r="CZ7" s="1">
        <f t="shared" si="28"/>
        <v>21.789652239999999</v>
      </c>
      <c r="DA7" s="1">
        <f t="shared" si="29"/>
        <v>22.506187060000002</v>
      </c>
      <c r="DB7" s="1">
        <f t="shared" si="29"/>
        <v>26.198510359999997</v>
      </c>
      <c r="DC7" s="1">
        <f t="shared" si="29"/>
        <v>16.658344929999998</v>
      </c>
      <c r="DD7" s="1">
        <f t="shared" si="29"/>
        <v>38.799980059999996</v>
      </c>
      <c r="DE7" s="1">
        <f t="shared" si="29"/>
        <v>35.598317799999997</v>
      </c>
      <c r="DF7" s="1">
        <f t="shared" si="29"/>
        <v>32.785113670000001</v>
      </c>
      <c r="DG7" s="1">
        <f t="shared" si="29"/>
        <v>22.35722878</v>
      </c>
      <c r="DH7" s="1">
        <f t="shared" si="29"/>
        <v>34.376458229999997</v>
      </c>
      <c r="DJ7" s="1">
        <f t="shared" si="30"/>
        <v>0.15253662999999998</v>
      </c>
      <c r="DK7" s="1">
        <f t="shared" si="30"/>
        <v>1.9795769999999997E-2</v>
      </c>
      <c r="DL7" s="1">
        <f t="shared" si="30"/>
        <v>0.22953033</v>
      </c>
      <c r="DM7" s="1">
        <f t="shared" si="30"/>
        <v>3.2780709999999998E-2</v>
      </c>
      <c r="DN7" s="1">
        <f t="shared" si="30"/>
        <v>0.17706282000000001</v>
      </c>
      <c r="DO7" s="1">
        <f t="shared" si="30"/>
        <v>0.30085145999999996</v>
      </c>
      <c r="DP7" s="1">
        <f t="shared" si="30"/>
        <v>0.26679149000000002</v>
      </c>
      <c r="DQ7" s="1">
        <f t="shared" si="30"/>
        <v>0.13893236</v>
      </c>
      <c r="DR7" s="1">
        <f t="shared" si="30"/>
        <v>0.4195122</v>
      </c>
      <c r="DS7" s="1">
        <f t="shared" si="30"/>
        <v>0.20050375000000001</v>
      </c>
      <c r="DT7" s="1">
        <f t="shared" si="30"/>
        <v>0.34624290000000002</v>
      </c>
      <c r="DU7" s="1">
        <f t="shared" si="30"/>
        <v>0.15613090000000002</v>
      </c>
      <c r="DV7" s="1">
        <f t="shared" si="30"/>
        <v>0.47281664000000007</v>
      </c>
      <c r="DW7" s="1">
        <f t="shared" si="30"/>
        <v>0.84812041999999999</v>
      </c>
      <c r="DX7" s="1">
        <f t="shared" si="30"/>
        <v>0.25440681999999998</v>
      </c>
      <c r="DY7" s="1">
        <f t="shared" si="30"/>
        <v>0.7620908099999999</v>
      </c>
      <c r="DZ7" s="1">
        <f t="shared" si="31"/>
        <v>0.50490091999999998</v>
      </c>
      <c r="EA7" s="1">
        <f t="shared" si="31"/>
        <v>0.40961613000000002</v>
      </c>
      <c r="EB7" s="1">
        <f t="shared" si="31"/>
        <v>0.23587240000000001</v>
      </c>
      <c r="EC7" s="1">
        <f t="shared" si="31"/>
        <v>0.18557204999999999</v>
      </c>
      <c r="ED7" s="1">
        <f t="shared" si="31"/>
        <v>0.48301414000000004</v>
      </c>
      <c r="EE7" s="1">
        <f t="shared" si="31"/>
        <v>0.23845672000000001</v>
      </c>
      <c r="EF7" s="1">
        <f t="shared" si="31"/>
        <v>0.50080292000000004</v>
      </c>
      <c r="EG7" s="1">
        <f t="shared" si="31"/>
        <v>8.6091799999999996E-2</v>
      </c>
      <c r="EI7" s="14">
        <f t="shared" si="32"/>
        <v>990000</v>
      </c>
      <c r="EJ7" s="14">
        <f t="shared" si="32"/>
        <v>990000</v>
      </c>
      <c r="EK7" s="1">
        <f t="shared" si="32"/>
        <v>990000</v>
      </c>
      <c r="EL7" s="1">
        <f t="shared" si="32"/>
        <v>990000</v>
      </c>
      <c r="EM7" s="1">
        <f t="shared" si="32"/>
        <v>990000</v>
      </c>
      <c r="EN7" s="1">
        <f t="shared" si="32"/>
        <v>990000</v>
      </c>
      <c r="EO7" s="1">
        <f t="shared" si="32"/>
        <v>990000</v>
      </c>
      <c r="EP7" s="1">
        <f t="shared" si="32"/>
        <v>990000</v>
      </c>
      <c r="EQ7" s="1">
        <f t="shared" si="32"/>
        <v>990000</v>
      </c>
      <c r="ER7" s="1">
        <f t="shared" si="32"/>
        <v>700000</v>
      </c>
      <c r="ES7" s="1">
        <f t="shared" si="32"/>
        <v>700000</v>
      </c>
      <c r="ET7" s="1">
        <f t="shared" si="32"/>
        <v>700000</v>
      </c>
      <c r="EU7" s="1">
        <f t="shared" si="32"/>
        <v>700000</v>
      </c>
      <c r="EV7" s="1">
        <f t="shared" si="32"/>
        <v>700000</v>
      </c>
      <c r="EW7" s="1">
        <f t="shared" si="32"/>
        <v>700000</v>
      </c>
      <c r="EX7" s="1">
        <f t="shared" si="32"/>
        <v>700000</v>
      </c>
      <c r="EY7" s="1">
        <f t="shared" si="33"/>
        <v>700000</v>
      </c>
      <c r="EZ7" s="1">
        <f t="shared" si="33"/>
        <v>700000</v>
      </c>
      <c r="FA7" s="1">
        <f t="shared" si="33"/>
        <v>700000</v>
      </c>
      <c r="FB7" s="1">
        <f t="shared" si="33"/>
        <v>700000</v>
      </c>
      <c r="FC7" s="1">
        <f t="shared" si="33"/>
        <v>700000</v>
      </c>
      <c r="FD7" s="1">
        <f t="shared" si="33"/>
        <v>700000</v>
      </c>
      <c r="FE7" s="1">
        <f t="shared" si="33"/>
        <v>700000</v>
      </c>
      <c r="FF7" s="1">
        <f t="shared" si="33"/>
        <v>700000</v>
      </c>
      <c r="FH7" s="162">
        <f t="shared" si="34"/>
        <v>-0.24354334752626539</v>
      </c>
    </row>
    <row r="8" spans="1:164" ht="18.75" customHeight="1">
      <c r="A8" s="243" t="s">
        <v>215</v>
      </c>
      <c r="B8" s="246"/>
      <c r="C8" s="156">
        <f t="shared" si="5"/>
        <v>-0.33</v>
      </c>
      <c r="D8" s="198">
        <v>0</v>
      </c>
      <c r="E8" s="248">
        <f t="shared" si="6"/>
        <v>3.0947005902283165E-2</v>
      </c>
      <c r="F8" s="249">
        <f t="shared" si="7"/>
        <v>1.9838151755562361E-3</v>
      </c>
      <c r="G8" s="248">
        <f t="shared" si="8"/>
        <v>-1.156800571630745E-2</v>
      </c>
      <c r="H8" s="249">
        <f t="shared" si="9"/>
        <v>4.2515011618590615E-2</v>
      </c>
      <c r="I8" s="248">
        <f t="shared" si="10"/>
        <v>0.37576041179223196</v>
      </c>
      <c r="J8" s="249">
        <f t="shared" si="11"/>
        <v>4.5246876463783003E-2</v>
      </c>
      <c r="K8" s="248">
        <f t="shared" si="12"/>
        <v>0.2032677866730126</v>
      </c>
      <c r="L8" s="249">
        <f t="shared" si="13"/>
        <v>0.17249262511921937</v>
      </c>
      <c r="M8" s="250"/>
      <c r="N8" s="24">
        <v>0</v>
      </c>
      <c r="O8" s="248">
        <f t="shared" si="35"/>
        <v>3.5714285714285809E-2</v>
      </c>
      <c r="P8" s="251">
        <f t="shared" si="36"/>
        <v>3.5714285714285809E-2</v>
      </c>
      <c r="Q8" s="248">
        <f t="shared" si="14"/>
        <v>-8.2690994802396833E-3</v>
      </c>
      <c r="R8" s="251">
        <f t="shared" si="37"/>
        <v>-8.2690994802396833E-3</v>
      </c>
      <c r="S8" s="250"/>
      <c r="T8" s="24">
        <v>-1</v>
      </c>
      <c r="U8" s="248">
        <f t="shared" si="15"/>
        <v>-0.58144450441579876</v>
      </c>
      <c r="V8" s="252">
        <f t="shared" si="16"/>
        <v>-0.58144450441579876</v>
      </c>
      <c r="W8" s="248">
        <f t="shared" si="38"/>
        <v>1.8750533494809929E-2</v>
      </c>
      <c r="X8" s="252">
        <f t="shared" si="17"/>
        <v>1.8750533494809929E-2</v>
      </c>
      <c r="Y8" s="248">
        <f t="shared" si="18"/>
        <v>3.0475772856829675E-2</v>
      </c>
      <c r="Z8" s="252">
        <f t="shared" si="19"/>
        <v>3.0475772856829675E-2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2</v>
      </c>
      <c r="AT8" s="58">
        <f>VLOOKUP($A8,historia!$A$5:$CM$24,+HLOOKUP(AT$2,historia!$A$3:$EC$4,2,FALSE),FALSE)</f>
        <v>2</v>
      </c>
      <c r="AU8" s="58">
        <f>VLOOKUP($A8,historia!$A$5:$DD$24,+HLOOKUP(AU$2,historia!$A$3:$EC$4,2,FALSE),FALSE)</f>
        <v>2</v>
      </c>
      <c r="AV8" s="58">
        <f>VLOOKUP($A8,historia!$A$5:$DD$24,+HLOOKUP(AV$2,historia!$A$3:$EC$4,2,FALSE),FALSE)</f>
        <v>2</v>
      </c>
      <c r="AW8" s="58">
        <f>VLOOKUP($A8,historia!$A$5:$DD$24,+HLOOKUP(AW$2,historia!$A$3:$EC$4,2,FALSE),FALSE)</f>
        <v>2</v>
      </c>
      <c r="AX8" s="58">
        <f>VLOOKUP($A8,historia!$A$5:$DD$24,+HLOOKUP(AX$2,historia!$A$3:$EC$4,2,FALSE),FALSE)</f>
        <v>3</v>
      </c>
      <c r="AY8" s="58">
        <f>VLOOKUP($A8,historia!$A$5:$DD$24,+HLOOKUP(AY$2,historia!$A$3:$EC$4,2,FALSE),FALSE)</f>
        <v>3</v>
      </c>
      <c r="AZ8" s="58">
        <f>VLOOKUP($A8,historia!$A$5:$DD$24,+HLOOKUP(AZ$2,historia!$A$3:$EC$4,2,FALSE),FALSE)</f>
        <v>3</v>
      </c>
      <c r="BA8" s="58">
        <f>VLOOKUP($A8,historia!$A$5:$DG$24,+HLOOKUP(BA$2,historia!$A$3:$EC$4,2,FALSE),FALSE)</f>
        <v>3</v>
      </c>
      <c r="BB8" s="58"/>
      <c r="BC8" s="286">
        <v>3</v>
      </c>
      <c r="BD8" t="str">
        <f t="shared" si="20"/>
        <v>Aves</v>
      </c>
      <c r="BE8">
        <f>+datos!BQ1</f>
        <v>69</v>
      </c>
      <c r="BF8" s="2" t="str">
        <f t="shared" si="4"/>
        <v>prom pond huevo-carne</v>
      </c>
      <c r="BG8" s="2">
        <f t="shared" si="4"/>
        <v>2425.5</v>
      </c>
      <c r="BH8" s="2">
        <f t="shared" si="4"/>
        <v>2352.6912499999999</v>
      </c>
      <c r="BI8" s="2">
        <f t="shared" si="4"/>
        <v>1763.0250000000001</v>
      </c>
      <c r="BK8" s="1">
        <f>+datos!EP1</f>
        <v>146</v>
      </c>
      <c r="BL8" s="1">
        <f t="shared" si="21"/>
        <v>9483</v>
      </c>
      <c r="BM8" s="1">
        <f t="shared" si="21"/>
        <v>9156</v>
      </c>
      <c r="BO8" s="1">
        <f>+datos!HM1</f>
        <v>221</v>
      </c>
      <c r="BP8" s="1">
        <f t="shared" si="22"/>
        <v>2358317.8199999998</v>
      </c>
      <c r="BQ8" s="1">
        <f t="shared" si="22"/>
        <v>2377981.5862992867</v>
      </c>
      <c r="BS8" s="1">
        <f>+datos!KF1</f>
        <v>292</v>
      </c>
      <c r="BT8" s="1">
        <f t="shared" si="39"/>
        <v>100.87659904</v>
      </c>
      <c r="BU8" s="1">
        <f t="shared" si="40"/>
        <v>241.01128788000003</v>
      </c>
      <c r="BW8" s="1">
        <f>+datos!LK1</f>
        <v>323</v>
      </c>
      <c r="BX8" s="2">
        <f t="shared" si="23"/>
        <v>38.31176593</v>
      </c>
      <c r="BY8" s="2">
        <f t="shared" si="24"/>
        <v>37.606621709999999</v>
      </c>
      <c r="CA8" s="1">
        <f>+datos!IL1</f>
        <v>246</v>
      </c>
      <c r="CB8" s="2">
        <f t="shared" si="25"/>
        <v>47</v>
      </c>
      <c r="CC8" s="2">
        <f t="shared" si="26"/>
        <v>45.61</v>
      </c>
      <c r="CD8" s="2"/>
      <c r="CE8">
        <f>+datos!DG1</f>
        <v>111</v>
      </c>
      <c r="CF8" s="2">
        <f t="shared" si="27"/>
        <v>12067.35548089925</v>
      </c>
      <c r="CG8" s="2">
        <f t="shared" si="27"/>
        <v>12208.584455670469</v>
      </c>
      <c r="CH8" s="2">
        <f t="shared" si="27"/>
        <v>10028.819531739486</v>
      </c>
      <c r="CI8" s="2"/>
      <c r="CJ8" s="2">
        <f>CB8-CC8</f>
        <v>1.3900000000000006</v>
      </c>
      <c r="CK8" s="1">
        <f t="shared" si="28"/>
        <v>9.221842539999999</v>
      </c>
      <c r="CL8" s="1">
        <f t="shared" si="28"/>
        <v>8.3583028800000001</v>
      </c>
      <c r="CM8" s="1">
        <f t="shared" si="28"/>
        <v>10.33831614</v>
      </c>
      <c r="CN8" s="1">
        <f t="shared" si="28"/>
        <v>10.343166379999998</v>
      </c>
      <c r="CO8" s="1">
        <f t="shared" si="28"/>
        <v>8.6585168299999999</v>
      </c>
      <c r="CP8" s="1">
        <f t="shared" si="28"/>
        <v>9.7942580100000001</v>
      </c>
      <c r="CQ8" s="1">
        <f t="shared" si="28"/>
        <v>6.5346210099999995</v>
      </c>
      <c r="CR8" s="1">
        <f t="shared" si="28"/>
        <v>6.7443728600000004</v>
      </c>
      <c r="CS8" s="1">
        <f t="shared" si="28"/>
        <v>8.66231011</v>
      </c>
      <c r="CT8" s="1">
        <f t="shared" si="28"/>
        <v>7.3007548499999997</v>
      </c>
      <c r="CU8" s="1">
        <f t="shared" si="28"/>
        <v>9.0051498100000007</v>
      </c>
      <c r="CV8" s="1">
        <f t="shared" si="28"/>
        <v>5.9149876199999998</v>
      </c>
      <c r="CW8" s="1">
        <f t="shared" si="28"/>
        <v>8.0094020700000002</v>
      </c>
      <c r="CX8" s="1">
        <f t="shared" si="28"/>
        <v>5.62476749</v>
      </c>
      <c r="CY8" s="1">
        <f t="shared" si="28"/>
        <v>10.456415849999999</v>
      </c>
      <c r="CZ8" s="1">
        <f t="shared" si="28"/>
        <v>8.1147673099999995</v>
      </c>
      <c r="DA8" s="1">
        <f t="shared" si="29"/>
        <v>20.968439010000004</v>
      </c>
      <c r="DB8" s="1">
        <f t="shared" si="29"/>
        <v>22.566015059999998</v>
      </c>
      <c r="DC8" s="1">
        <f t="shared" si="29"/>
        <v>20.944876220000001</v>
      </c>
      <c r="DD8" s="1">
        <f t="shared" si="29"/>
        <v>23.157032140000002</v>
      </c>
      <c r="DE8" s="1">
        <f t="shared" si="29"/>
        <v>19.314763240000005</v>
      </c>
      <c r="DF8" s="1">
        <f t="shared" si="29"/>
        <v>22.778743510000002</v>
      </c>
      <c r="DG8" s="1">
        <f t="shared" si="29"/>
        <v>39.062197300000001</v>
      </c>
      <c r="DH8" s="1">
        <f t="shared" si="29"/>
        <v>40.013868680000002</v>
      </c>
      <c r="DJ8" s="1">
        <f t="shared" si="30"/>
        <v>1.5958006899999999</v>
      </c>
      <c r="DK8" s="1">
        <f t="shared" si="30"/>
        <v>1.1051948</v>
      </c>
      <c r="DL8" s="1">
        <f t="shared" si="30"/>
        <v>4.8166289400000002</v>
      </c>
      <c r="DM8" s="1">
        <f t="shared" si="30"/>
        <v>3.1609685399999994</v>
      </c>
      <c r="DN8" s="1">
        <f t="shared" si="30"/>
        <v>2.9900732700000003</v>
      </c>
      <c r="DO8" s="1">
        <f t="shared" si="30"/>
        <v>5.5193633599999998</v>
      </c>
      <c r="DP8" s="1">
        <f t="shared" si="30"/>
        <v>3.4351580800000003</v>
      </c>
      <c r="DQ8" s="1">
        <f t="shared" si="30"/>
        <v>2.0550383299999999</v>
      </c>
      <c r="DR8" s="1">
        <f t="shared" si="30"/>
        <v>3.4373023600000003</v>
      </c>
      <c r="DS8" s="1">
        <f t="shared" si="30"/>
        <v>5.2475744900000008</v>
      </c>
      <c r="DT8" s="1">
        <f t="shared" si="30"/>
        <v>3.52939004</v>
      </c>
      <c r="DU8" s="1">
        <f t="shared" si="30"/>
        <v>1.41927303</v>
      </c>
      <c r="DV8" s="1">
        <f t="shared" si="30"/>
        <v>4.5240591299999995</v>
      </c>
      <c r="DW8" s="1">
        <f t="shared" si="30"/>
        <v>2.5037689800000003</v>
      </c>
      <c r="DX8" s="1">
        <f t="shared" si="30"/>
        <v>2.5011971499999999</v>
      </c>
      <c r="DY8" s="1">
        <f t="shared" si="30"/>
        <v>3.7585351000000005</v>
      </c>
      <c r="DZ8" s="1">
        <f t="shared" si="31"/>
        <v>4.0425458900000004</v>
      </c>
      <c r="EA8" s="1">
        <f t="shared" si="31"/>
        <v>3.59052696</v>
      </c>
      <c r="EB8" s="1">
        <f t="shared" si="31"/>
        <v>2.1766254799999998</v>
      </c>
      <c r="EC8" s="1">
        <f t="shared" si="31"/>
        <v>1.5903026900000001</v>
      </c>
      <c r="ED8" s="1">
        <f t="shared" si="31"/>
        <v>5.6916922899999998</v>
      </c>
      <c r="EE8" s="1">
        <f t="shared" si="31"/>
        <v>1.7294530099999998</v>
      </c>
      <c r="EF8" s="1">
        <f t="shared" si="31"/>
        <v>4.2232492399999995</v>
      </c>
      <c r="EG8" s="1">
        <f t="shared" si="31"/>
        <v>1.27466579</v>
      </c>
      <c r="EI8" s="14">
        <f t="shared" si="32"/>
        <v>47</v>
      </c>
      <c r="EJ8" s="14">
        <f t="shared" si="32"/>
        <v>47.2</v>
      </c>
      <c r="EK8" s="1">
        <f t="shared" si="32"/>
        <v>47.7</v>
      </c>
      <c r="EL8" s="1">
        <f t="shared" si="32"/>
        <v>47.68</v>
      </c>
      <c r="EM8" s="1">
        <f t="shared" si="32"/>
        <v>46.5</v>
      </c>
      <c r="EN8" s="1">
        <f t="shared" si="32"/>
        <v>46.08</v>
      </c>
      <c r="EO8" s="1">
        <f t="shared" si="32"/>
        <v>45.67</v>
      </c>
      <c r="EP8" s="1">
        <f t="shared" si="32"/>
        <v>45.79</v>
      </c>
      <c r="EQ8" s="1">
        <f t="shared" si="32"/>
        <v>45.9</v>
      </c>
      <c r="ER8" s="1">
        <f t="shared" si="32"/>
        <v>45.78</v>
      </c>
      <c r="ES8" s="1">
        <f t="shared" si="32"/>
        <v>45.91</v>
      </c>
      <c r="ET8" s="1">
        <f t="shared" si="32"/>
        <v>45.61</v>
      </c>
      <c r="EU8" s="1">
        <f t="shared" si="32"/>
        <v>45.61</v>
      </c>
      <c r="EV8" s="1">
        <f t="shared" si="32"/>
        <v>45.23</v>
      </c>
      <c r="EW8" s="1">
        <f t="shared" si="32"/>
        <v>45.2</v>
      </c>
      <c r="EX8" s="1">
        <f t="shared" si="32"/>
        <v>46.01</v>
      </c>
      <c r="EY8" s="1">
        <f t="shared" si="33"/>
        <v>44.44</v>
      </c>
      <c r="EZ8" s="1">
        <f t="shared" si="33"/>
        <v>42.29</v>
      </c>
      <c r="FA8" s="1">
        <f t="shared" si="33"/>
        <v>45.39</v>
      </c>
      <c r="FB8" s="1">
        <f t="shared" si="33"/>
        <v>45.32</v>
      </c>
      <c r="FC8" s="1">
        <f t="shared" si="33"/>
        <v>44.85</v>
      </c>
      <c r="FD8" s="1">
        <f t="shared" si="33"/>
        <v>45.52</v>
      </c>
      <c r="FE8" s="1">
        <f t="shared" si="33"/>
        <v>46.23</v>
      </c>
      <c r="FF8" s="1">
        <f t="shared" si="33"/>
        <v>46.23</v>
      </c>
      <c r="FH8" s="162">
        <f t="shared" si="34"/>
        <v>0.17249262511921937</v>
      </c>
    </row>
    <row r="9" spans="1:164" ht="18.75" customHeight="1">
      <c r="A9" s="244" t="s">
        <v>77</v>
      </c>
      <c r="B9" s="247"/>
      <c r="C9" s="228">
        <v>0</v>
      </c>
      <c r="D9" s="229">
        <v>1</v>
      </c>
      <c r="E9" s="253">
        <f t="shared" si="6"/>
        <v>0.10348344221041827</v>
      </c>
      <c r="F9" s="254">
        <f t="shared" si="7"/>
        <v>7.4520251483691347E-2</v>
      </c>
      <c r="G9" s="253">
        <f t="shared" si="8"/>
        <v>2.3114460081945287E-2</v>
      </c>
      <c r="H9" s="254">
        <f t="shared" si="9"/>
        <v>8.0368982128472988E-2</v>
      </c>
      <c r="I9" s="253">
        <f t="shared" si="10"/>
        <v>0.80927307863148568</v>
      </c>
      <c r="J9" s="254">
        <f t="shared" si="11"/>
        <v>0.47875954330303672</v>
      </c>
      <c r="K9" s="253">
        <f t="shared" si="12"/>
        <v>0.35878332933126167</v>
      </c>
      <c r="L9" s="254">
        <f t="shared" si="13"/>
        <v>0.45048974930022401</v>
      </c>
      <c r="M9" s="255"/>
      <c r="N9" s="256">
        <v>-1</v>
      </c>
      <c r="O9" s="253">
        <f t="shared" si="35"/>
        <v>-1.3639133000699299E-2</v>
      </c>
      <c r="P9" s="257">
        <f t="shared" si="36"/>
        <v>-1.3639133000699299E-2</v>
      </c>
      <c r="Q9" s="253">
        <f t="shared" si="14"/>
        <v>-2.3231583324386795E-2</v>
      </c>
      <c r="R9" s="257">
        <f t="shared" si="37"/>
        <v>-2.3231583324386795E-2</v>
      </c>
      <c r="S9" s="255"/>
      <c r="T9" s="256">
        <v>0</v>
      </c>
      <c r="U9" s="253">
        <f t="shared" si="15"/>
        <v>0.25850447806843979</v>
      </c>
      <c r="V9" s="258">
        <f t="shared" si="16"/>
        <v>0.25850447806843979</v>
      </c>
      <c r="W9" s="253">
        <f t="shared" si="38"/>
        <v>1.3234579086762439</v>
      </c>
      <c r="X9" s="258">
        <f t="shared" si="17"/>
        <v>1.3234579086762439</v>
      </c>
      <c r="Y9" s="253">
        <f t="shared" si="18"/>
        <v>1.8461538461538307E-3</v>
      </c>
      <c r="Z9" s="258">
        <f t="shared" si="19"/>
        <v>1.8461538461538307E-3</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2</v>
      </c>
      <c r="AQ9" s="28">
        <f>VLOOKUP($A9,historia!$A$5:$CM$24,+HLOOKUP(AQ$2,historia!$A$3:$EC$4,2,FALSE),FALSE)</f>
        <v>2</v>
      </c>
      <c r="AR9" s="28">
        <f>VLOOKUP($A9,historia!$A$5:$CM$24,+HLOOKUP(AR$2,historia!$A$3:$EC$4,2,FALSE),FALSE)</f>
        <v>2</v>
      </c>
      <c r="AS9" s="28">
        <f>VLOOKUP($A9,historia!$A$5:$CM$24,+HLOOKUP(AS$2,historia!$A$3:$EC$4,2,FALSE),FALSE)</f>
        <v>2</v>
      </c>
      <c r="AT9" s="58">
        <f>VLOOKUP($A9,historia!$A$5:$CM$24,+HLOOKUP(AT$2,historia!$A$3:$EC$4,2,FALSE),FALSE)</f>
        <v>2</v>
      </c>
      <c r="AU9" s="58">
        <f>VLOOKUP($A9,historia!$A$5:$DD$24,+HLOOKUP(AU$2,historia!$A$3:$EC$4,2,FALSE),FALSE)</f>
        <v>1</v>
      </c>
      <c r="AV9" s="58">
        <f>VLOOKUP($A9,historia!$A$5:$DD$24,+HLOOKUP(AV$2,historia!$A$3:$EC$4,2,FALSE),FALSE)</f>
        <v>1</v>
      </c>
      <c r="AW9" s="58">
        <f>VLOOKUP($A9,historia!$A$5:$DD$24,+HLOOKUP(AW$2,historia!$A$3:$EC$4,2,FALSE),FALSE)</f>
        <v>2</v>
      </c>
      <c r="AX9" s="58">
        <f>VLOOKUP($A9,historia!$A$5:$DD$24,+HLOOKUP(AX$2,historia!$A$3:$EC$4,2,FALSE),FALSE)</f>
        <v>1</v>
      </c>
      <c r="AY9" s="58">
        <f>VLOOKUP($A9,historia!$A$5:$DD$24,+HLOOKUP(AY$2,historia!$A$3:$EC$4,2,FALSE),FALSE)</f>
        <v>2</v>
      </c>
      <c r="AZ9" s="58">
        <f>VLOOKUP($A9,historia!$A$5:$DD$24,+HLOOKUP(AZ$2,historia!$A$3:$EC$4,2,FALSE),FALSE)</f>
        <v>2</v>
      </c>
      <c r="BA9" s="58">
        <f>VLOOKUP($A9,historia!$A$5:$DG$24,+HLOOKUP(BA$2,historia!$A$3:$EC$4,2,FALSE),FALSE)</f>
        <v>2</v>
      </c>
      <c r="BB9" s="58"/>
      <c r="BC9" s="286">
        <v>2</v>
      </c>
      <c r="BD9" t="str">
        <f t="shared" si="20"/>
        <v>Bovinos</v>
      </c>
      <c r="BE9">
        <f>+datos!BM1</f>
        <v>65</v>
      </c>
      <c r="BF9" s="2" t="str">
        <f t="shared" si="4"/>
        <v>$/kg</v>
      </c>
      <c r="BG9" s="2">
        <f t="shared" si="4"/>
        <v>5507.0074999999997</v>
      </c>
      <c r="BH9" s="2">
        <f t="shared" si="4"/>
        <v>4990.5664999999999</v>
      </c>
      <c r="BI9" s="2">
        <f t="shared" si="4"/>
        <v>3043.768</v>
      </c>
      <c r="BK9" s="1">
        <f>+datos!EH1</f>
        <v>138</v>
      </c>
      <c r="BL9" s="1">
        <f t="shared" si="21"/>
        <v>50920790</v>
      </c>
      <c r="BM9" s="1">
        <f t="shared" si="21"/>
        <v>51624909</v>
      </c>
      <c r="BO9" s="1">
        <f>+datos!HB1</f>
        <v>210</v>
      </c>
      <c r="BP9" s="1">
        <f t="shared" si="22"/>
        <v>3084284</v>
      </c>
      <c r="BQ9" s="1">
        <f t="shared" si="22"/>
        <v>3157641</v>
      </c>
      <c r="BS9" s="1">
        <f>+datos!KG1</f>
        <v>293</v>
      </c>
      <c r="BT9" s="1">
        <f t="shared" si="39"/>
        <v>5213.8766355299986</v>
      </c>
      <c r="BU9" s="1">
        <f t="shared" si="40"/>
        <v>4142.9146470199994</v>
      </c>
      <c r="BW9" s="1">
        <f>+datos!LL1</f>
        <v>324</v>
      </c>
      <c r="BX9" s="2">
        <f t="shared" si="23"/>
        <v>112.19880678999996</v>
      </c>
      <c r="BY9" s="2">
        <f t="shared" si="24"/>
        <v>48.289580099999995</v>
      </c>
      <c r="CA9" s="1">
        <f>+datos!IM1</f>
        <v>247</v>
      </c>
      <c r="CB9" s="2">
        <f t="shared" si="25"/>
        <v>48.84</v>
      </c>
      <c r="CC9" s="2">
        <f t="shared" si="26"/>
        <v>48.75</v>
      </c>
      <c r="CD9" s="2"/>
      <c r="CE9">
        <f>+datos!DB1</f>
        <v>106</v>
      </c>
      <c r="CF9" s="2">
        <f t="shared" si="27"/>
        <v>13738.690476926211</v>
      </c>
      <c r="CG9" s="2">
        <f t="shared" si="27"/>
        <v>13428.302514486819</v>
      </c>
      <c r="CH9" s="2">
        <f t="shared" si="27"/>
        <v>10111.023722735721</v>
      </c>
      <c r="CI9" s="2"/>
      <c r="CK9" s="1">
        <f t="shared" si="28"/>
        <v>393.3327183799999</v>
      </c>
      <c r="CL9" s="1">
        <f t="shared" si="28"/>
        <v>435.35705272999991</v>
      </c>
      <c r="CM9" s="1">
        <f t="shared" si="28"/>
        <v>452.44590436999982</v>
      </c>
      <c r="CN9" s="1">
        <f t="shared" si="28"/>
        <v>474.71184945000005</v>
      </c>
      <c r="CO9" s="1">
        <f t="shared" si="28"/>
        <v>535.90919134000001</v>
      </c>
      <c r="CP9" s="1">
        <f t="shared" si="28"/>
        <v>536.17235368000001</v>
      </c>
      <c r="CQ9" s="1">
        <f t="shared" si="28"/>
        <v>505.86158855000002</v>
      </c>
      <c r="CR9" s="1">
        <f t="shared" si="28"/>
        <v>434.66638176999993</v>
      </c>
      <c r="CS9" s="1">
        <f t="shared" si="28"/>
        <v>430.01977605999991</v>
      </c>
      <c r="CT9" s="1">
        <f t="shared" si="28"/>
        <v>389.02912699999996</v>
      </c>
      <c r="CU9" s="1">
        <f t="shared" si="28"/>
        <v>350.95842742999997</v>
      </c>
      <c r="CV9" s="1">
        <f t="shared" si="28"/>
        <v>275.41226476999998</v>
      </c>
      <c r="CW9" s="1">
        <f t="shared" si="28"/>
        <v>345.87150417999976</v>
      </c>
      <c r="CX9" s="1">
        <f t="shared" si="28"/>
        <v>330.34833823999992</v>
      </c>
      <c r="CY9" s="1">
        <f t="shared" si="28"/>
        <v>372.02787432000008</v>
      </c>
      <c r="CZ9" s="1">
        <f t="shared" si="28"/>
        <v>363.37275483999991</v>
      </c>
      <c r="DA9" s="1">
        <f t="shared" si="29"/>
        <v>373.60267999999996</v>
      </c>
      <c r="DB9" s="1">
        <f t="shared" si="29"/>
        <v>392.24577093999977</v>
      </c>
      <c r="DC9" s="1">
        <f t="shared" si="29"/>
        <v>370.00520762000008</v>
      </c>
      <c r="DD9" s="1">
        <f t="shared" si="29"/>
        <v>307.7105307999999</v>
      </c>
      <c r="DE9" s="1">
        <f t="shared" si="29"/>
        <v>311.98041742999999</v>
      </c>
      <c r="DF9" s="1">
        <f t="shared" si="29"/>
        <v>309.32423856999998</v>
      </c>
      <c r="DG9" s="1">
        <f t="shared" si="29"/>
        <v>316.28118749999999</v>
      </c>
      <c r="DH9" s="1">
        <f t="shared" si="29"/>
        <v>350.14414257999977</v>
      </c>
      <c r="DJ9" s="1">
        <f t="shared" si="30"/>
        <v>8.3972474800000008</v>
      </c>
      <c r="DK9" s="1">
        <f t="shared" si="30"/>
        <v>9.2870214400000002</v>
      </c>
      <c r="DL9" s="1">
        <f t="shared" si="30"/>
        <v>11.988372569999999</v>
      </c>
      <c r="DM9" s="1">
        <f t="shared" si="30"/>
        <v>8.8931998399999994</v>
      </c>
      <c r="DN9" s="1">
        <f t="shared" si="30"/>
        <v>5.7331222099999994</v>
      </c>
      <c r="DO9" s="1">
        <f t="shared" si="30"/>
        <v>13.331294830000001</v>
      </c>
      <c r="DP9" s="1">
        <f t="shared" si="30"/>
        <v>9.6599299699999985</v>
      </c>
      <c r="DQ9" s="1">
        <f t="shared" si="30"/>
        <v>6.816705279999999</v>
      </c>
      <c r="DR9" s="1">
        <f t="shared" si="30"/>
        <v>8.1579769499999983</v>
      </c>
      <c r="DS9" s="1">
        <f t="shared" si="30"/>
        <v>10.16779666</v>
      </c>
      <c r="DT9" s="1">
        <f t="shared" si="30"/>
        <v>11.009236750000001</v>
      </c>
      <c r="DU9" s="1">
        <f t="shared" si="30"/>
        <v>8.7569028099999997</v>
      </c>
      <c r="DV9" s="1">
        <f t="shared" si="30"/>
        <v>7.0677003599999999</v>
      </c>
      <c r="DW9" s="1">
        <f t="shared" si="30"/>
        <v>5.8644577399999989</v>
      </c>
      <c r="DX9" s="1">
        <f t="shared" si="30"/>
        <v>6.7460545699999992</v>
      </c>
      <c r="DY9" s="1">
        <f t="shared" si="30"/>
        <v>2.8647302900000002</v>
      </c>
      <c r="DZ9" s="1">
        <f t="shared" si="31"/>
        <v>3.9160438699999998</v>
      </c>
      <c r="EA9" s="1">
        <f t="shared" si="31"/>
        <v>2.7432327000000001</v>
      </c>
      <c r="EB9" s="1">
        <f t="shared" si="31"/>
        <v>3.5031505699999994</v>
      </c>
      <c r="EC9" s="1">
        <f t="shared" si="31"/>
        <v>3.9954732900000005</v>
      </c>
      <c r="ED9" s="1">
        <f t="shared" si="31"/>
        <v>2.3751918999999999</v>
      </c>
      <c r="EE9" s="1">
        <f t="shared" si="31"/>
        <v>3.3189943100000003</v>
      </c>
      <c r="EF9" s="1">
        <f t="shared" si="31"/>
        <v>3.6004889900000006</v>
      </c>
      <c r="EG9" s="1">
        <f t="shared" si="31"/>
        <v>2.2940615100000001</v>
      </c>
      <c r="EI9" s="14">
        <f t="shared" si="32"/>
        <v>48.84</v>
      </c>
      <c r="EJ9" s="14">
        <f t="shared" si="32"/>
        <v>49.28</v>
      </c>
      <c r="EK9" s="1">
        <f t="shared" si="32"/>
        <v>49.95</v>
      </c>
      <c r="EL9" s="1">
        <f t="shared" si="32"/>
        <v>49.25</v>
      </c>
      <c r="EM9" s="1">
        <f t="shared" si="32"/>
        <v>49.56</v>
      </c>
      <c r="EN9" s="1">
        <f t="shared" si="32"/>
        <v>49.84</v>
      </c>
      <c r="EO9" s="1">
        <f t="shared" si="32"/>
        <v>49.93</v>
      </c>
      <c r="EP9" s="1">
        <f t="shared" si="32"/>
        <v>50.15</v>
      </c>
      <c r="EQ9" s="1">
        <f t="shared" si="32"/>
        <v>50.33</v>
      </c>
      <c r="ER9" s="1">
        <f t="shared" si="32"/>
        <v>49.79</v>
      </c>
      <c r="ES9" s="1">
        <f t="shared" si="32"/>
        <v>49.86</v>
      </c>
      <c r="ET9" s="1">
        <f t="shared" si="32"/>
        <v>49.86</v>
      </c>
      <c r="EU9" s="1">
        <f t="shared" si="32"/>
        <v>48.75</v>
      </c>
      <c r="EV9" s="1">
        <f t="shared" si="32"/>
        <v>48.18</v>
      </c>
      <c r="EW9" s="1">
        <f t="shared" si="32"/>
        <v>47.81</v>
      </c>
      <c r="EX9" s="1">
        <f t="shared" si="32"/>
        <v>46.91</v>
      </c>
      <c r="EY9" s="1">
        <f t="shared" si="33"/>
        <v>47.74</v>
      </c>
      <c r="EZ9" s="1">
        <f t="shared" si="33"/>
        <v>47.38</v>
      </c>
      <c r="FA9" s="1">
        <f t="shared" si="33"/>
        <v>47.74</v>
      </c>
      <c r="FB9" s="1">
        <f t="shared" si="33"/>
        <v>47.8</v>
      </c>
      <c r="FC9" s="1">
        <f t="shared" si="33"/>
        <v>47.58</v>
      </c>
      <c r="FD9" s="1">
        <f t="shared" si="33"/>
        <v>49.18</v>
      </c>
      <c r="FE9" s="1">
        <f t="shared" si="33"/>
        <v>49.37</v>
      </c>
      <c r="FF9" s="1">
        <f t="shared" si="33"/>
        <v>49.38</v>
      </c>
      <c r="FH9" s="162">
        <f t="shared" si="34"/>
        <v>0.45048974930022401</v>
      </c>
    </row>
    <row r="10" spans="1:164" ht="28.8">
      <c r="A10" s="263" t="s">
        <v>221</v>
      </c>
      <c r="B10" s="246"/>
      <c r="C10" s="156">
        <f t="shared" si="5"/>
        <v>0</v>
      </c>
      <c r="D10" s="198">
        <v>-1</v>
      </c>
      <c r="E10" s="248">
        <f t="shared" si="6"/>
        <v>-0.1826346159629616</v>
      </c>
      <c r="F10" s="249">
        <f t="shared" si="7"/>
        <v>-0.21159780668968853</v>
      </c>
      <c r="G10" s="248">
        <f t="shared" si="8"/>
        <v>-2.9176891484222089E-2</v>
      </c>
      <c r="H10" s="249">
        <f t="shared" si="9"/>
        <v>-0.15345772447873951</v>
      </c>
      <c r="I10" s="248">
        <f t="shared" si="10"/>
        <v>0.64736258558758619</v>
      </c>
      <c r="J10" s="249">
        <f t="shared" si="11"/>
        <v>0.31684905025913723</v>
      </c>
      <c r="K10" s="248">
        <f t="shared" si="12"/>
        <v>0.32337783869633152</v>
      </c>
      <c r="L10" s="249">
        <f t="shared" si="13"/>
        <v>0.32398474689125467</v>
      </c>
      <c r="M10" s="250"/>
      <c r="N10" s="24">
        <v>0</v>
      </c>
      <c r="O10" s="248">
        <f t="shared" si="35"/>
        <v>0</v>
      </c>
      <c r="P10" s="251">
        <f t="shared" si="36"/>
        <v>0</v>
      </c>
      <c r="Q10" s="248">
        <f t="shared" si="14"/>
        <v>0</v>
      </c>
      <c r="R10" s="251">
        <f t="shared" si="37"/>
        <v>0</v>
      </c>
      <c r="S10" s="250"/>
      <c r="T10" s="24">
        <v>1</v>
      </c>
      <c r="U10" s="248">
        <f t="shared" si="15"/>
        <v>-0.14902857856703189</v>
      </c>
      <c r="V10" s="252">
        <f t="shared" si="16"/>
        <v>-0.14902857856703189</v>
      </c>
      <c r="W10" s="248">
        <f t="shared" si="38"/>
        <v>3.894304960171846E-2</v>
      </c>
      <c r="X10" s="252">
        <f t="shared" si="17"/>
        <v>3.894304960171846E-2</v>
      </c>
      <c r="Y10" s="248">
        <f t="shared" si="18"/>
        <v>0</v>
      </c>
      <c r="Z10" s="258">
        <f t="shared" si="19"/>
        <v>0</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4</v>
      </c>
      <c r="AR10" s="28">
        <f>VLOOKUP($A10,historia!$A$5:$CM$24,+HLOOKUP(AR$2,historia!$A$3:$EC$4,2,FALSE),FALSE)</f>
        <v>4</v>
      </c>
      <c r="AS10" s="28">
        <f>VLOOKUP($A10,historia!$A$5:$CM$24,+HLOOKUP(AS$2,historia!$A$3:$EC$4,2,FALSE),FALSE)</f>
        <v>3</v>
      </c>
      <c r="AT10" s="58">
        <f>VLOOKUP($A10,historia!$A$5:$CM$24,+HLOOKUP(AT$2,historia!$A$3:$EC$4,2,FALSE),FALSE)</f>
        <v>2</v>
      </c>
      <c r="AU10" s="58">
        <f>VLOOKUP($A10,historia!$A$5:$DD$24,+HLOOKUP(AU$2,historia!$A$3:$EC$4,2,FALSE),FALSE)</f>
        <v>3</v>
      </c>
      <c r="AV10" s="58">
        <f>VLOOKUP($A10,historia!$A$5:$DD$24,+HLOOKUP(AV$2,historia!$A$3:$EC$4,2,FALSE),FALSE)</f>
        <v>3</v>
      </c>
      <c r="AW10" s="58">
        <f>VLOOKUP($A10,historia!$A$5:$DD$24,+HLOOKUP(AW$2,historia!$A$3:$EC$4,2,FALSE),FALSE)</f>
        <v>3</v>
      </c>
      <c r="AX10" s="58">
        <f>VLOOKUP($A10,historia!$A$5:$DD$24,+HLOOKUP(AX$2,historia!$A$3:$EC$4,2,FALSE),FALSE)</f>
        <v>3</v>
      </c>
      <c r="AY10" s="58">
        <f>VLOOKUP($A10,historia!$A$5:$DD$24,+HLOOKUP(AY$2,historia!$A$3:$EC$4,2,FALSE),FALSE)</f>
        <v>3</v>
      </c>
      <c r="AZ10" s="58">
        <f>VLOOKUP($A10,historia!$A$5:$DD$24,+HLOOKUP(AZ$2,historia!$A$3:$EC$4,2,FALSE),FALSE)</f>
        <v>3</v>
      </c>
      <c r="BA10" s="58">
        <f>VLOOKUP($A10,historia!$A$5:$DG$24,+HLOOKUP(BA$2,historia!$A$3:$EC$4,2,FALSE),FALSE)</f>
        <v>3</v>
      </c>
      <c r="BB10" s="58"/>
      <c r="BC10" s="286">
        <v>3</v>
      </c>
      <c r="BD10" t="str">
        <f t="shared" si="20"/>
        <v>Cítricos Dulces</v>
      </c>
      <c r="BE10">
        <f>+datos!AU1</f>
        <v>47</v>
      </c>
      <c r="BF10" s="2" t="str">
        <f t="shared" si="4"/>
        <v>$/caja 18kg</v>
      </c>
      <c r="BG10" s="2">
        <f t="shared" si="4"/>
        <v>28832.759259259259</v>
      </c>
      <c r="BH10" s="2">
        <f t="shared" si="4"/>
        <v>35275.238984126983</v>
      </c>
      <c r="BI10" s="2">
        <f t="shared" si="4"/>
        <v>17502.375925925928</v>
      </c>
      <c r="BK10" s="1">
        <f>+datos!ER1</f>
        <v>148</v>
      </c>
      <c r="BL10" s="1">
        <f t="shared" si="21"/>
        <v>79911</v>
      </c>
      <c r="BM10" s="1">
        <f t="shared" si="21"/>
        <v>79911</v>
      </c>
      <c r="BO10" s="1">
        <f>+datos!GH1</f>
        <v>190</v>
      </c>
      <c r="BP10" s="1">
        <f t="shared" si="22"/>
        <v>1543162</v>
      </c>
      <c r="BQ10" s="1">
        <f t="shared" si="22"/>
        <v>1543162</v>
      </c>
      <c r="BS10" s="1">
        <f>+datos!LT1</f>
        <v>332</v>
      </c>
      <c r="BT10" s="1">
        <f t="shared" si="39"/>
        <v>105.53285903</v>
      </c>
      <c r="BU10" s="1">
        <f t="shared" si="40"/>
        <v>124.01457483999999</v>
      </c>
      <c r="BV10" s="1"/>
      <c r="BW10" s="1">
        <f>+datos!LX1</f>
        <v>336</v>
      </c>
      <c r="BX10" s="2">
        <f t="shared" si="23"/>
        <v>7.2371808799999995</v>
      </c>
      <c r="BY10" s="2">
        <f t="shared" si="24"/>
        <v>6.965907210000001</v>
      </c>
      <c r="CA10" s="1">
        <f>+datos!IV1</f>
        <v>256</v>
      </c>
      <c r="CB10" s="1">
        <f t="shared" si="25"/>
        <v>17.130000000000003</v>
      </c>
      <c r="CC10" s="1">
        <f t="shared" si="26"/>
        <v>17.130000000000003</v>
      </c>
      <c r="CD10" s="1"/>
      <c r="CE10">
        <f>+datos!CX1</f>
        <v>102</v>
      </c>
      <c r="CF10" s="2">
        <f t="shared" si="27"/>
        <v>12516.709666451499</v>
      </c>
      <c r="CG10" s="2">
        <f t="shared" si="27"/>
        <v>12892.883942150287</v>
      </c>
      <c r="CH10" s="2">
        <f t="shared" si="27"/>
        <v>9458.1526911330129</v>
      </c>
      <c r="CI10" s="1"/>
      <c r="CK10" s="1">
        <f t="shared" si="28"/>
        <v>4.8895593400000008</v>
      </c>
      <c r="CL10" s="1">
        <f t="shared" si="28"/>
        <v>6.1907229299999997</v>
      </c>
      <c r="CM10" s="1">
        <f t="shared" si="28"/>
        <v>6.1255732800000002</v>
      </c>
      <c r="CN10" s="1">
        <f t="shared" si="28"/>
        <v>9.318502950000001</v>
      </c>
      <c r="CO10" s="1">
        <f t="shared" si="28"/>
        <v>10.108990799999999</v>
      </c>
      <c r="CP10" s="1">
        <f t="shared" si="28"/>
        <v>8.35667808</v>
      </c>
      <c r="CQ10" s="1">
        <f t="shared" si="28"/>
        <v>14.350128370000002</v>
      </c>
      <c r="CR10" s="1">
        <f t="shared" si="28"/>
        <v>16.897846870000002</v>
      </c>
      <c r="CS10" s="1">
        <f t="shared" si="28"/>
        <v>10.456701950000001</v>
      </c>
      <c r="CT10" s="1">
        <f t="shared" si="28"/>
        <v>9.5618942600000008</v>
      </c>
      <c r="CU10" s="1">
        <f t="shared" si="28"/>
        <v>5.6783096999999998</v>
      </c>
      <c r="CV10" s="1">
        <f t="shared" si="28"/>
        <v>3.5979505000000001</v>
      </c>
      <c r="CW10" s="1">
        <f t="shared" si="28"/>
        <v>11.482528969999997</v>
      </c>
      <c r="CX10" s="1">
        <f t="shared" si="28"/>
        <v>11.00321864</v>
      </c>
      <c r="CY10" s="1">
        <f t="shared" si="28"/>
        <v>18.05731771</v>
      </c>
      <c r="CZ10" s="1">
        <f t="shared" si="28"/>
        <v>12.23030908</v>
      </c>
      <c r="DA10" s="1">
        <f t="shared" si="29"/>
        <v>17.119922650000003</v>
      </c>
      <c r="DB10" s="1">
        <f t="shared" si="29"/>
        <v>15.255558669999997</v>
      </c>
      <c r="DC10" s="1">
        <f t="shared" si="29"/>
        <v>10.271936310000001</v>
      </c>
      <c r="DD10" s="1">
        <f t="shared" si="29"/>
        <v>14.041262509999999</v>
      </c>
      <c r="DE10" s="1">
        <f t="shared" si="29"/>
        <v>6.1015489199999999</v>
      </c>
      <c r="DF10" s="1">
        <f t="shared" si="29"/>
        <v>2.3063176799999998</v>
      </c>
      <c r="DG10" s="1">
        <f t="shared" si="29"/>
        <v>3.2785219999999997</v>
      </c>
      <c r="DH10" s="1">
        <f t="shared" si="29"/>
        <v>2.8661316999999999</v>
      </c>
      <c r="DJ10" s="1">
        <f t="shared" si="30"/>
        <v>1.2063144699999999</v>
      </c>
      <c r="DK10" s="1">
        <f t="shared" si="30"/>
        <v>1.22554951</v>
      </c>
      <c r="DL10" s="1">
        <f t="shared" si="30"/>
        <v>0.91618060000000012</v>
      </c>
      <c r="DM10" s="1">
        <f t="shared" si="30"/>
        <v>0.37596773000000006</v>
      </c>
      <c r="DN10" s="1">
        <f t="shared" si="30"/>
        <v>0.55234585999999997</v>
      </c>
      <c r="DO10" s="1">
        <f t="shared" si="30"/>
        <v>0.12110615999999999</v>
      </c>
      <c r="DP10" s="1">
        <f t="shared" si="30"/>
        <v>2.631816E-2</v>
      </c>
      <c r="DQ10" s="1">
        <f t="shared" si="30"/>
        <v>4.99154E-3</v>
      </c>
      <c r="DR10" s="1">
        <f t="shared" si="30"/>
        <v>4.683996E-2</v>
      </c>
      <c r="DS10" s="1">
        <f t="shared" si="30"/>
        <v>0.23953321999999996</v>
      </c>
      <c r="DT10" s="1">
        <f t="shared" si="30"/>
        <v>0.72731897999999995</v>
      </c>
      <c r="DU10" s="1">
        <f t="shared" si="30"/>
        <v>1.7947146899999999</v>
      </c>
      <c r="DV10" s="1">
        <f t="shared" si="30"/>
        <v>1.56764612</v>
      </c>
      <c r="DW10" s="1">
        <f t="shared" si="30"/>
        <v>1.4871383200000001</v>
      </c>
      <c r="DX10" s="1">
        <f t="shared" si="30"/>
        <v>0.7069763</v>
      </c>
      <c r="DY10" s="1">
        <f t="shared" si="30"/>
        <v>0.35634324000000006</v>
      </c>
      <c r="DZ10" s="1">
        <f t="shared" si="31"/>
        <v>0.22489865000000001</v>
      </c>
      <c r="EA10" s="1">
        <f t="shared" si="31"/>
        <v>0.17467300000000002</v>
      </c>
      <c r="EB10" s="1">
        <f t="shared" si="31"/>
        <v>7.2500000000000004E-3</v>
      </c>
      <c r="EC10" s="1">
        <f t="shared" si="31"/>
        <v>0.23680799999999999</v>
      </c>
      <c r="ED10" s="1">
        <f t="shared" si="31"/>
        <v>0</v>
      </c>
      <c r="EE10" s="1">
        <f t="shared" si="31"/>
        <v>0.3075099</v>
      </c>
      <c r="EF10" s="1">
        <f t="shared" si="31"/>
        <v>0.82950560000000007</v>
      </c>
      <c r="EG10" s="1">
        <f t="shared" si="31"/>
        <v>1.06715808</v>
      </c>
      <c r="EI10" s="14">
        <f t="shared" si="32"/>
        <v>17.130000000000003</v>
      </c>
      <c r="EJ10" s="14">
        <f t="shared" si="32"/>
        <v>17.130000000000003</v>
      </c>
      <c r="EK10" s="1">
        <f t="shared" si="32"/>
        <v>17.130000000000003</v>
      </c>
      <c r="EL10" s="1">
        <f t="shared" si="32"/>
        <v>17.130000000000003</v>
      </c>
      <c r="EM10" s="1">
        <f t="shared" si="32"/>
        <v>17.130000000000003</v>
      </c>
      <c r="EN10" s="1">
        <f t="shared" si="32"/>
        <v>17.130000000000003</v>
      </c>
      <c r="EO10" s="1">
        <f t="shared" si="32"/>
        <v>17.130000000000003</v>
      </c>
      <c r="EP10" s="1">
        <f t="shared" si="32"/>
        <v>17.130000000000003</v>
      </c>
      <c r="EQ10" s="1">
        <f t="shared" si="32"/>
        <v>17.130000000000003</v>
      </c>
      <c r="ER10" s="1">
        <f t="shared" si="32"/>
        <v>17.130000000000003</v>
      </c>
      <c r="ES10" s="1">
        <f t="shared" si="32"/>
        <v>17.130000000000003</v>
      </c>
      <c r="ET10" s="1">
        <f t="shared" si="32"/>
        <v>17.130000000000003</v>
      </c>
      <c r="EU10" s="1">
        <f t="shared" si="32"/>
        <v>17.130000000000003</v>
      </c>
      <c r="EV10" s="1">
        <f t="shared" si="32"/>
        <v>17.130000000000003</v>
      </c>
      <c r="EW10" s="1">
        <f t="shared" si="32"/>
        <v>17.39</v>
      </c>
      <c r="EX10" s="1">
        <f t="shared" si="32"/>
        <v>17.39</v>
      </c>
      <c r="EY10" s="1">
        <f t="shared" si="33"/>
        <v>17.39</v>
      </c>
      <c r="EZ10" s="1">
        <f t="shared" si="33"/>
        <v>17.39</v>
      </c>
      <c r="FA10" s="1">
        <f t="shared" si="33"/>
        <v>17.39</v>
      </c>
      <c r="FB10" s="1">
        <f t="shared" si="33"/>
        <v>17.39</v>
      </c>
      <c r="FC10" s="1">
        <f t="shared" si="33"/>
        <v>17.39</v>
      </c>
      <c r="FD10" s="1">
        <f t="shared" si="33"/>
        <v>17.39</v>
      </c>
      <c r="FE10" s="1">
        <f t="shared" si="33"/>
        <v>17.39</v>
      </c>
      <c r="FF10" s="1">
        <f t="shared" si="33"/>
        <v>17.39</v>
      </c>
      <c r="FH10" s="162">
        <f t="shared" si="34"/>
        <v>0.32398474689125467</v>
      </c>
    </row>
    <row r="11" spans="1:164" ht="18.75" customHeight="1">
      <c r="A11" s="244" t="s">
        <v>116</v>
      </c>
      <c r="B11" s="247"/>
      <c r="C11" s="228">
        <f t="shared" si="5"/>
        <v>-0.33</v>
      </c>
      <c r="D11" s="229">
        <v>1</v>
      </c>
      <c r="E11" s="253">
        <f t="shared" si="6"/>
        <v>0</v>
      </c>
      <c r="F11" s="254">
        <f t="shared" si="7"/>
        <v>-2.8963190726726928E-2</v>
      </c>
      <c r="G11" s="253">
        <f t="shared" si="8"/>
        <v>7.4438992506520307E-3</v>
      </c>
      <c r="H11" s="254">
        <f t="shared" si="9"/>
        <v>-7.4438992506520307E-3</v>
      </c>
      <c r="I11" s="253">
        <f t="shared" si="10"/>
        <v>0.17741757331418784</v>
      </c>
      <c r="J11" s="254">
        <f t="shared" si="11"/>
        <v>-0.15309596201426112</v>
      </c>
      <c r="K11" s="253">
        <f t="shared" si="12"/>
        <v>0.31691802766001542</v>
      </c>
      <c r="L11" s="254">
        <f t="shared" si="13"/>
        <v>-0.13950045434582758</v>
      </c>
      <c r="M11" s="255"/>
      <c r="N11" s="256"/>
      <c r="O11" s="253" t="str">
        <f t="shared" si="35"/>
        <v/>
      </c>
      <c r="P11" s="257" t="str">
        <f t="shared" si="36"/>
        <v/>
      </c>
      <c r="Q11" s="253">
        <f t="shared" si="14"/>
        <v>0</v>
      </c>
      <c r="R11" s="257">
        <f t="shared" si="37"/>
        <v>0</v>
      </c>
      <c r="S11" s="255"/>
      <c r="T11" s="24">
        <v>-2</v>
      </c>
      <c r="U11" s="253">
        <f t="shared" si="15"/>
        <v>-0.19468773744094869</v>
      </c>
      <c r="V11" s="258">
        <f t="shared" si="16"/>
        <v>-0.19468773744094869</v>
      </c>
      <c r="W11" s="253">
        <f t="shared" si="38"/>
        <v>3.6934903757300575E-2</v>
      </c>
      <c r="X11" s="258">
        <f t="shared" si="17"/>
        <v>3.6934903757300575E-2</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3</v>
      </c>
      <c r="AQ11" s="28">
        <f>VLOOKUP($A11,historia!$A$5:$CM$24,+HLOOKUP(AQ$2,historia!$A$3:$EC$4,2,FALSE),FALSE)</f>
        <v>3</v>
      </c>
      <c r="AR11" s="28">
        <f>VLOOKUP($A11,historia!$A$5:$CM$24,+HLOOKUP(AR$2,historia!$A$3:$EC$4,2,FALSE),FALSE)</f>
        <v>3</v>
      </c>
      <c r="AS11" s="28">
        <f>VLOOKUP($A11,historia!$A$5:$CM$24,+HLOOKUP(AS$2,historia!$A$3:$EC$4,2,FALSE),FALSE)</f>
        <v>3</v>
      </c>
      <c r="AT11" s="58">
        <f>VLOOKUP($A11,historia!$A$5:$CM$24,+HLOOKUP(AT$2,historia!$A$3:$EC$4,2,FALSE),FALSE)</f>
        <v>3</v>
      </c>
      <c r="AU11" s="58">
        <f>VLOOKUP($A11,historia!$A$5:$DD$24,+HLOOKUP(AU$2,historia!$A$3:$EC$4,2,FALSE),FALSE)</f>
        <v>3</v>
      </c>
      <c r="AV11" s="58">
        <f>VLOOKUP($A11,historia!$A$5:$DD$24,+HLOOKUP(AV$2,historia!$A$3:$EC$4,2,FALSE),FALSE)</f>
        <v>3</v>
      </c>
      <c r="AW11" s="58">
        <f>VLOOKUP($A11,historia!$A$5:$DD$24,+HLOOKUP(AW$2,historia!$A$3:$EC$4,2,FALSE),FALSE)</f>
        <v>3</v>
      </c>
      <c r="AX11" s="58">
        <f>VLOOKUP($A11,historia!$A$5:$DD$24,+HLOOKUP(AX$2,historia!$A$3:$EC$4,2,FALSE),FALSE)</f>
        <v>3</v>
      </c>
      <c r="AY11" s="58">
        <f>VLOOKUP($A11,historia!$A$5:$DD$24,+HLOOKUP(AY$2,historia!$A$3:$EC$4,2,FALSE),FALSE)</f>
        <v>3</v>
      </c>
      <c r="AZ11" s="58">
        <f>VLOOKUP($A11,historia!$A$5:$DD$24,+HLOOKUP(AZ$2,historia!$A$3:$EC$4,2,FALSE),FALSE)</f>
        <v>3</v>
      </c>
      <c r="BA11" s="58">
        <f>VLOOKUP($A11,historia!$A$5:$DG$24,+HLOOKUP(BA$2,historia!$A$3:$EC$4,2,FALSE),FALSE)</f>
        <v>4</v>
      </c>
      <c r="BB11" s="58"/>
      <c r="BC11" s="286">
        <v>4</v>
      </c>
      <c r="BD11" t="str">
        <f t="shared" si="20"/>
        <v>Forestal</v>
      </c>
      <c r="BE11">
        <f>+datos!BG1</f>
        <v>59</v>
      </c>
      <c r="BF11" s="2" t="str">
        <f t="shared" si="4"/>
        <v>$/t</v>
      </c>
      <c r="BG11" s="2">
        <f t="shared" si="4"/>
        <v>31979.25</v>
      </c>
      <c r="BH11" s="2">
        <f t="shared" si="4"/>
        <v>31979.25</v>
      </c>
      <c r="BI11" s="2">
        <f t="shared" si="4"/>
        <v>27160.5</v>
      </c>
      <c r="BK11" s="1">
        <f>+datos!ES1</f>
        <v>149</v>
      </c>
      <c r="BL11" s="1">
        <f t="shared" si="21"/>
        <v>0</v>
      </c>
      <c r="BM11" s="1">
        <f t="shared" si="21"/>
        <v>0</v>
      </c>
      <c r="BO11" s="1">
        <f>+datos!GI1</f>
        <v>191</v>
      </c>
      <c r="BP11" s="1">
        <f t="shared" si="22"/>
        <v>1302556</v>
      </c>
      <c r="BQ11" s="1">
        <f t="shared" si="22"/>
        <v>1302556</v>
      </c>
      <c r="BS11" s="1">
        <f>+datos!KB1</f>
        <v>288</v>
      </c>
      <c r="BT11" s="1">
        <f t="shared" si="39"/>
        <v>170.71149942000002</v>
      </c>
      <c r="BU11" s="1">
        <f t="shared" si="40"/>
        <v>211.98174591</v>
      </c>
      <c r="BW11" s="1">
        <f>+datos!LG1</f>
        <v>319</v>
      </c>
      <c r="BX11" s="2">
        <f t="shared" si="23"/>
        <v>185.72018502000003</v>
      </c>
      <c r="BY11" s="2">
        <f t="shared" si="24"/>
        <v>179.10496054000001</v>
      </c>
      <c r="CA11" s="1">
        <f>+datos!IW1</f>
        <v>257</v>
      </c>
      <c r="CB11" s="1">
        <f t="shared" si="25"/>
        <v>0</v>
      </c>
      <c r="CC11" s="1">
        <f t="shared" si="26"/>
        <v>0</v>
      </c>
      <c r="CD11" s="1"/>
      <c r="CE11">
        <f>+datos!CZ1</f>
        <v>104</v>
      </c>
      <c r="CF11" s="2">
        <f t="shared" si="27"/>
        <v>15910.517344220651</v>
      </c>
      <c r="CG11" s="2">
        <f t="shared" si="27"/>
        <v>15792.956169624005</v>
      </c>
      <c r="CH11" s="2">
        <f t="shared" si="27"/>
        <v>12081.630754566766</v>
      </c>
      <c r="CI11" s="1"/>
      <c r="CK11" s="1">
        <f t="shared" si="28"/>
        <v>15.133510020000001</v>
      </c>
      <c r="CL11" s="1">
        <f t="shared" si="28"/>
        <v>13.84098623</v>
      </c>
      <c r="CM11" s="1">
        <f t="shared" si="28"/>
        <v>18.231882050000007</v>
      </c>
      <c r="CN11" s="1">
        <f t="shared" si="28"/>
        <v>13.327102919999998</v>
      </c>
      <c r="CO11" s="1">
        <f t="shared" si="28"/>
        <v>13.77020325</v>
      </c>
      <c r="CP11" s="1">
        <f t="shared" si="28"/>
        <v>16.167947309999995</v>
      </c>
      <c r="CQ11" s="1">
        <f t="shared" si="28"/>
        <v>12.702036029999997</v>
      </c>
      <c r="CR11" s="1">
        <f t="shared" si="28"/>
        <v>14.879273850000001</v>
      </c>
      <c r="CS11" s="1">
        <f t="shared" si="28"/>
        <v>13.812450910000003</v>
      </c>
      <c r="CT11" s="1">
        <f t="shared" si="28"/>
        <v>14.949040589999999</v>
      </c>
      <c r="CU11" s="1">
        <f t="shared" si="28"/>
        <v>13.968637820000001</v>
      </c>
      <c r="CV11" s="1">
        <f t="shared" si="28"/>
        <v>9.9284284400000011</v>
      </c>
      <c r="CW11" s="1">
        <f t="shared" si="28"/>
        <v>14.484437890000001</v>
      </c>
      <c r="CX11" s="1">
        <f t="shared" si="28"/>
        <v>10.200287200000002</v>
      </c>
      <c r="CY11" s="1">
        <f t="shared" si="28"/>
        <v>11.119065489999999</v>
      </c>
      <c r="CZ11" s="1">
        <f t="shared" si="28"/>
        <v>13.50721221</v>
      </c>
      <c r="DA11" s="1">
        <f t="shared" si="29"/>
        <v>17.7783984</v>
      </c>
      <c r="DB11" s="1">
        <f t="shared" si="29"/>
        <v>18.158715399999995</v>
      </c>
      <c r="DC11" s="1">
        <f t="shared" si="29"/>
        <v>13.62277192</v>
      </c>
      <c r="DD11" s="1">
        <f t="shared" si="29"/>
        <v>18.147427050000005</v>
      </c>
      <c r="DE11" s="1">
        <f t="shared" si="29"/>
        <v>16.38459563</v>
      </c>
      <c r="DF11" s="1">
        <f t="shared" si="29"/>
        <v>19.29025034</v>
      </c>
      <c r="DG11" s="1">
        <f t="shared" si="29"/>
        <v>32.635385889999995</v>
      </c>
      <c r="DH11" s="1">
        <f t="shared" si="29"/>
        <v>26.653198490000001</v>
      </c>
      <c r="DJ11" s="1">
        <f t="shared" si="30"/>
        <v>13.973435009999999</v>
      </c>
      <c r="DK11" s="1">
        <f t="shared" si="30"/>
        <v>15.974673770000001</v>
      </c>
      <c r="DL11" s="1">
        <f t="shared" si="30"/>
        <v>16.564446050000001</v>
      </c>
      <c r="DM11" s="1">
        <f t="shared" si="30"/>
        <v>13.907008520000002</v>
      </c>
      <c r="DN11" s="1">
        <f t="shared" si="30"/>
        <v>17.652505269999999</v>
      </c>
      <c r="DO11" s="1">
        <f t="shared" si="30"/>
        <v>18.176691299999998</v>
      </c>
      <c r="DP11" s="1">
        <f t="shared" si="30"/>
        <v>17.838312650000002</v>
      </c>
      <c r="DQ11" s="1">
        <f t="shared" si="30"/>
        <v>13.839856769999999</v>
      </c>
      <c r="DR11" s="1">
        <f t="shared" si="30"/>
        <v>16.453753389999996</v>
      </c>
      <c r="DS11" s="1">
        <f t="shared" si="30"/>
        <v>16.050718710000002</v>
      </c>
      <c r="DT11" s="1">
        <f t="shared" si="30"/>
        <v>13.20675994</v>
      </c>
      <c r="DU11" s="1">
        <f t="shared" si="30"/>
        <v>12.082023640000001</v>
      </c>
      <c r="DV11" s="1">
        <f t="shared" si="30"/>
        <v>16.998994660000001</v>
      </c>
      <c r="DW11" s="1">
        <f t="shared" si="30"/>
        <v>14.09144206</v>
      </c>
      <c r="DX11" s="1">
        <f t="shared" si="30"/>
        <v>14.036730870000001</v>
      </c>
      <c r="DY11" s="1">
        <f t="shared" si="30"/>
        <v>13.365554540000002</v>
      </c>
      <c r="DZ11" s="1">
        <f t="shared" si="31"/>
        <v>15.589800310000003</v>
      </c>
      <c r="EA11" s="1">
        <f t="shared" si="31"/>
        <v>16.942532470000003</v>
      </c>
      <c r="EB11" s="1">
        <f t="shared" si="31"/>
        <v>10.998476289999999</v>
      </c>
      <c r="EC11" s="1">
        <f t="shared" si="31"/>
        <v>11.46589975</v>
      </c>
      <c r="ED11" s="1">
        <f t="shared" si="31"/>
        <v>13.53170609</v>
      </c>
      <c r="EE11" s="1">
        <f t="shared" si="31"/>
        <v>19.941855059999995</v>
      </c>
      <c r="EF11" s="1">
        <f t="shared" si="31"/>
        <v>17.561880160000001</v>
      </c>
      <c r="EG11" s="1">
        <f t="shared" si="31"/>
        <v>14.580088280000002</v>
      </c>
      <c r="EI11" s="14">
        <f t="shared" si="32"/>
        <v>0</v>
      </c>
      <c r="EJ11" s="14">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2"/>
        <v>0</v>
      </c>
      <c r="EY11" s="1">
        <f t="shared" si="33"/>
        <v>0</v>
      </c>
      <c r="EZ11" s="1">
        <f t="shared" si="33"/>
        <v>0</v>
      </c>
      <c r="FA11" s="1">
        <f t="shared" si="33"/>
        <v>0</v>
      </c>
      <c r="FB11" s="1">
        <f t="shared" si="33"/>
        <v>0</v>
      </c>
      <c r="FC11" s="1">
        <f t="shared" si="33"/>
        <v>0</v>
      </c>
      <c r="FD11" s="1">
        <f t="shared" si="33"/>
        <v>0</v>
      </c>
      <c r="FE11" s="1">
        <f t="shared" si="33"/>
        <v>0</v>
      </c>
      <c r="FF11" s="1">
        <f t="shared" si="33"/>
        <v>0</v>
      </c>
      <c r="FH11" s="162">
        <f t="shared" si="34"/>
        <v>-0.13950045434582758</v>
      </c>
    </row>
    <row r="12" spans="1:164" ht="18.75" customHeight="1">
      <c r="A12" s="243" t="s">
        <v>216</v>
      </c>
      <c r="B12" s="246"/>
      <c r="C12" s="156">
        <f t="shared" si="5"/>
        <v>-0.33</v>
      </c>
      <c r="D12" s="198">
        <v>-1</v>
      </c>
      <c r="E12" s="248">
        <f t="shared" si="6"/>
        <v>-7.0431575003593316E-3</v>
      </c>
      <c r="F12" s="249">
        <f t="shared" si="7"/>
        <v>-3.600634822708626E-2</v>
      </c>
      <c r="G12" s="248">
        <f t="shared" si="8"/>
        <v>-1.9657234692305181E-4</v>
      </c>
      <c r="H12" s="249">
        <f t="shared" si="9"/>
        <v>-6.8465851534362798E-3</v>
      </c>
      <c r="I12" s="248">
        <f t="shared" si="10"/>
        <v>0.30633361423533301</v>
      </c>
      <c r="J12" s="249">
        <f t="shared" si="11"/>
        <v>-2.4179921093115953E-2</v>
      </c>
      <c r="K12" s="248">
        <f t="shared" si="12"/>
        <v>0.31117619231836224</v>
      </c>
      <c r="L12" s="249">
        <f t="shared" si="13"/>
        <v>-4.8425780830292364E-3</v>
      </c>
      <c r="M12" s="250"/>
      <c r="N12" s="24">
        <v>1</v>
      </c>
      <c r="O12" s="248">
        <f t="shared" si="35"/>
        <v>4.1168289290681503E-2</v>
      </c>
      <c r="P12" s="251">
        <f t="shared" si="36"/>
        <v>4.1168289290681503E-2</v>
      </c>
      <c r="Q12" s="248">
        <f t="shared" si="14"/>
        <v>0.18485311023937245</v>
      </c>
      <c r="R12" s="251">
        <f t="shared" si="37"/>
        <v>0.18485311023937245</v>
      </c>
      <c r="S12" s="250"/>
      <c r="T12" s="24">
        <v>-1</v>
      </c>
      <c r="U12" s="248">
        <f t="shared" si="15"/>
        <v>6.9235010884605153E-2</v>
      </c>
      <c r="V12" s="252">
        <f t="shared" si="16"/>
        <v>6.9235010884605153E-2</v>
      </c>
      <c r="W12" s="248">
        <f t="shared" si="38"/>
        <v>-0.20240867582061828</v>
      </c>
      <c r="X12" s="252">
        <f t="shared" si="17"/>
        <v>-0.20240867582061828</v>
      </c>
      <c r="Y12" s="248"/>
      <c r="Z12" s="252"/>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3</v>
      </c>
      <c r="AQ12" s="28">
        <f>VLOOKUP($A12,historia!$A$5:$CM$24,+HLOOKUP(AQ$2,historia!$A$3:$EC$4,2,FALSE),FALSE)</f>
        <v>3</v>
      </c>
      <c r="AR12" s="28">
        <f>VLOOKUP($A12,historia!$A$5:$CM$24,+HLOOKUP(AR$2,historia!$A$3:$EC$4,2,FALSE),FALSE)</f>
        <v>3</v>
      </c>
      <c r="AS12" s="28">
        <f>VLOOKUP($A12,historia!$A$5:$CM$24,+HLOOKUP(AS$2,historia!$A$3:$EC$4,2,FALSE),FALSE)</f>
        <v>3</v>
      </c>
      <c r="AT12" s="58">
        <f>VLOOKUP($A12,historia!$A$5:$CM$24,+HLOOKUP(AT$2,historia!$A$3:$EC$4,2,FALSE),FALSE)</f>
        <v>2</v>
      </c>
      <c r="AU12" s="58">
        <f>VLOOKUP($A12,historia!$A$5:$DD$24,+HLOOKUP(AU$2,historia!$A$3:$EC$4,2,FALSE),FALSE)</f>
        <v>2</v>
      </c>
      <c r="AV12" s="58">
        <f>VLOOKUP($A12,historia!$A$5:$DD$24,+HLOOKUP(AV$2,historia!$A$3:$EC$4,2,FALSE),FALSE)</f>
        <v>1</v>
      </c>
      <c r="AW12" s="58">
        <f>VLOOKUP($A12,historia!$A$5:$DD$24,+HLOOKUP(AW$2,historia!$A$3:$EC$4,2,FALSE),FALSE)</f>
        <v>2</v>
      </c>
      <c r="AX12" s="58">
        <f>VLOOKUP($A12,historia!$A$5:$DD$24,+HLOOKUP(AX$2,historia!$A$3:$EC$4,2,FALSE),FALSE)</f>
        <v>2</v>
      </c>
      <c r="AY12" s="58">
        <f>VLOOKUP($A12,historia!$A$5:$DD$24,+HLOOKUP(AY$2,historia!$A$3:$EC$4,2,FALSE),FALSE)</f>
        <v>2</v>
      </c>
      <c r="AZ12" s="58">
        <f>VLOOKUP($A12,historia!$A$5:$DD$24,+HLOOKUP(AZ$2,historia!$A$3:$EC$4,2,FALSE),FALSE)</f>
        <v>1</v>
      </c>
      <c r="BA12" s="58">
        <f>VLOOKUP($A12,historia!$A$5:$DG$24,+HLOOKUP(BA$2,historia!$A$3:$EC$4,2,FALSE),FALSE)</f>
        <v>2</v>
      </c>
      <c r="BB12" s="58"/>
      <c r="BC12" s="286">
        <v>2</v>
      </c>
      <c r="BD12" t="str">
        <f t="shared" si="20"/>
        <v>Granos</v>
      </c>
      <c r="BE12">
        <f>+datos!AE1</f>
        <v>31</v>
      </c>
      <c r="BF12" s="2" t="str">
        <f t="shared" si="4"/>
        <v>$/t</v>
      </c>
      <c r="BG12" s="2">
        <f t="shared" si="4"/>
        <v>340922.99917510781</v>
      </c>
      <c r="BH12" s="2">
        <f t="shared" si="4"/>
        <v>343341.20536082733</v>
      </c>
      <c r="BI12" s="2">
        <f t="shared" si="4"/>
        <v>260976.97820833331</v>
      </c>
      <c r="BK12" s="1">
        <f>+datos!EA1</f>
        <v>131</v>
      </c>
      <c r="BL12" s="1">
        <f t="shared" si="21"/>
        <v>37430000</v>
      </c>
      <c r="BM12" s="1">
        <f t="shared" si="21"/>
        <v>35950000</v>
      </c>
      <c r="BO12" s="1">
        <f>+datos!FV1</f>
        <v>178</v>
      </c>
      <c r="BP12" s="1">
        <f t="shared" si="22"/>
        <v>148000002</v>
      </c>
      <c r="BQ12" s="1">
        <f t="shared" si="22"/>
        <v>124910000</v>
      </c>
      <c r="BS12" s="1">
        <f>+datos!LQ1</f>
        <v>329</v>
      </c>
      <c r="BT12" s="1">
        <f>+SUM(CK12:CV12)</f>
        <v>47346.486360530005</v>
      </c>
      <c r="BU12" s="1">
        <f t="shared" si="40"/>
        <v>44280.710862019994</v>
      </c>
      <c r="BW12" s="1">
        <f>+datos!LU1</f>
        <v>333</v>
      </c>
      <c r="BX12" s="2">
        <f t="shared" si="23"/>
        <v>2444.1260804699996</v>
      </c>
      <c r="BY12" s="2">
        <f t="shared" si="24"/>
        <v>3064.3839850999998</v>
      </c>
      <c r="CA12" s="1">
        <f>+datos!II1</f>
        <v>243</v>
      </c>
      <c r="CB12" s="1">
        <f t="shared" si="25"/>
        <v>88050000</v>
      </c>
      <c r="CC12" s="1">
        <f t="shared" si="26"/>
        <v>83330000</v>
      </c>
      <c r="CD12" s="1"/>
      <c r="CE12">
        <f>+datos!CG1</f>
        <v>85</v>
      </c>
      <c r="CF12" s="2">
        <f t="shared" si="27"/>
        <v>13086.298190363108</v>
      </c>
      <c r="CG12" s="2">
        <f t="shared" si="27"/>
        <v>13088.871100473902</v>
      </c>
      <c r="CH12" s="2">
        <f t="shared" si="27"/>
        <v>9980.579472865893</v>
      </c>
      <c r="CI12" s="1"/>
      <c r="CK12" s="1">
        <f>+VLOOKUP(CK$1,ran_dat,$BS12,FALSE)</f>
        <v>3234.3307016200001</v>
      </c>
      <c r="CL12" s="1">
        <f t="shared" si="28"/>
        <v>4071.6367626900005</v>
      </c>
      <c r="CM12" s="1">
        <f t="shared" si="28"/>
        <v>3901.9920549600001</v>
      </c>
      <c r="CN12" s="1">
        <f t="shared" si="28"/>
        <v>4663.3781357900007</v>
      </c>
      <c r="CO12" s="1">
        <f t="shared" si="28"/>
        <v>3782.3696972900002</v>
      </c>
      <c r="CP12" s="1">
        <f t="shared" si="28"/>
        <v>4396.9372515900004</v>
      </c>
      <c r="CQ12" s="1">
        <f t="shared" si="28"/>
        <v>4336.2366958999992</v>
      </c>
      <c r="CR12" s="1">
        <f t="shared" si="28"/>
        <v>4557.75384975</v>
      </c>
      <c r="CS12" s="1">
        <f t="shared" si="28"/>
        <v>3762.5394987399995</v>
      </c>
      <c r="CT12" s="1">
        <f t="shared" si="28"/>
        <v>4220.2405017900001</v>
      </c>
      <c r="CU12" s="1">
        <f t="shared" si="28"/>
        <v>3699.5517639399995</v>
      </c>
      <c r="CV12" s="1">
        <f t="shared" si="28"/>
        <v>2719.5194464700007</v>
      </c>
      <c r="CW12" s="1">
        <f t="shared" si="28"/>
        <v>3193.1112506200002</v>
      </c>
      <c r="CX12" s="1">
        <f t="shared" si="28"/>
        <v>3231.2263099199999</v>
      </c>
      <c r="CY12" s="1">
        <f t="shared" si="28"/>
        <v>3313.8442822299994</v>
      </c>
      <c r="CZ12" s="1">
        <f t="shared" si="28"/>
        <v>3339.9998161899998</v>
      </c>
      <c r="DA12" s="1">
        <f t="shared" si="29"/>
        <v>3485.71732419</v>
      </c>
      <c r="DB12" s="1">
        <f t="shared" si="29"/>
        <v>3410.80431886</v>
      </c>
      <c r="DC12" s="1">
        <f t="shared" si="29"/>
        <v>3348.6268518899992</v>
      </c>
      <c r="DD12" s="1">
        <f t="shared" si="29"/>
        <v>4200.6671527199996</v>
      </c>
      <c r="DE12" s="1">
        <f t="shared" si="29"/>
        <v>4256.6159984299993</v>
      </c>
      <c r="DF12" s="1">
        <f t="shared" si="29"/>
        <v>4805.0657855600002</v>
      </c>
      <c r="DG12" s="1">
        <f t="shared" si="29"/>
        <v>3818.0878160900002</v>
      </c>
      <c r="DH12" s="1">
        <f t="shared" si="29"/>
        <v>3876.9439553199995</v>
      </c>
      <c r="DJ12" s="1">
        <f t="shared" si="30"/>
        <v>345.64924089000016</v>
      </c>
      <c r="DK12" s="1">
        <f t="shared" si="30"/>
        <v>27.557335100000003</v>
      </c>
      <c r="DL12" s="1">
        <f t="shared" si="30"/>
        <v>51.994600029999987</v>
      </c>
      <c r="DM12" s="1">
        <f t="shared" si="30"/>
        <v>140.49668192999997</v>
      </c>
      <c r="DN12" s="1">
        <f t="shared" si="30"/>
        <v>126.11568693000002</v>
      </c>
      <c r="DO12" s="1">
        <f t="shared" si="30"/>
        <v>179.77004703999992</v>
      </c>
      <c r="DP12" s="1">
        <f t="shared" si="30"/>
        <v>175.34564924</v>
      </c>
      <c r="DQ12" s="1">
        <f t="shared" si="30"/>
        <v>241.51209269000003</v>
      </c>
      <c r="DR12" s="1">
        <f t="shared" si="30"/>
        <v>273.75200934999998</v>
      </c>
      <c r="DS12" s="1">
        <f t="shared" si="30"/>
        <v>304.19736033999999</v>
      </c>
      <c r="DT12" s="1">
        <f t="shared" si="30"/>
        <v>338.33098909999995</v>
      </c>
      <c r="DU12" s="1">
        <f t="shared" si="30"/>
        <v>239.40438782999996</v>
      </c>
      <c r="DV12" s="1">
        <f t="shared" si="30"/>
        <v>288.1429152</v>
      </c>
      <c r="DW12" s="1">
        <f t="shared" si="30"/>
        <v>31.883400920000003</v>
      </c>
      <c r="DX12" s="1">
        <f t="shared" si="30"/>
        <v>52.19269714</v>
      </c>
      <c r="DY12" s="1">
        <f t="shared" si="30"/>
        <v>201.41567115000001</v>
      </c>
      <c r="DZ12" s="1">
        <f t="shared" si="31"/>
        <v>299.18688666000003</v>
      </c>
      <c r="EA12" s="1">
        <f t="shared" si="31"/>
        <v>265.28366987999999</v>
      </c>
      <c r="EB12" s="1">
        <f t="shared" si="31"/>
        <v>214.60650260000006</v>
      </c>
      <c r="EC12" s="1">
        <f t="shared" si="31"/>
        <v>390.93673457</v>
      </c>
      <c r="ED12" s="1">
        <f t="shared" si="31"/>
        <v>293.37536226000003</v>
      </c>
      <c r="EE12" s="1">
        <f t="shared" si="31"/>
        <v>336.54852982999995</v>
      </c>
      <c r="EF12" s="1">
        <f t="shared" si="31"/>
        <v>300.95428591999996</v>
      </c>
      <c r="EG12" s="1">
        <f t="shared" si="31"/>
        <v>389.85732896999997</v>
      </c>
      <c r="EI12" s="14">
        <f t="shared" si="32"/>
        <v>88050000</v>
      </c>
      <c r="EJ12" s="14">
        <f t="shared" si="32"/>
        <v>86780000</v>
      </c>
      <c r="EK12" s="1">
        <f t="shared" si="32"/>
        <v>86780000</v>
      </c>
      <c r="EL12" s="1">
        <f t="shared" si="32"/>
        <v>86680000</v>
      </c>
      <c r="EM12" s="1">
        <f t="shared" si="32"/>
        <v>85850000</v>
      </c>
      <c r="EN12" s="1">
        <f t="shared" si="32"/>
        <v>85850000</v>
      </c>
      <c r="EO12" s="1">
        <f t="shared" si="32"/>
        <v>85820000</v>
      </c>
      <c r="EP12" s="1">
        <f t="shared" si="32"/>
        <v>83320000</v>
      </c>
      <c r="EQ12" s="1">
        <f t="shared" si="32"/>
        <v>83120000</v>
      </c>
      <c r="ER12" s="1">
        <f t="shared" si="32"/>
        <v>83420000</v>
      </c>
      <c r="ES12" s="1">
        <f t="shared" si="32"/>
        <v>83260000</v>
      </c>
      <c r="ET12" s="1">
        <f t="shared" si="32"/>
        <v>82660000</v>
      </c>
      <c r="EU12" s="1">
        <f t="shared" si="32"/>
        <v>83330000</v>
      </c>
      <c r="EV12" s="1">
        <f t="shared" si="32"/>
        <v>83330000</v>
      </c>
      <c r="EW12" s="1">
        <f t="shared" si="32"/>
        <v>81580000</v>
      </c>
      <c r="EX12" s="1">
        <f t="shared" si="32"/>
        <v>81600000</v>
      </c>
      <c r="EY12" s="1">
        <f t="shared" si="33"/>
        <v>81600000</v>
      </c>
      <c r="EZ12" s="1">
        <f t="shared" si="33"/>
        <v>81600000</v>
      </c>
      <c r="FA12" s="1">
        <f t="shared" si="33"/>
        <v>81600000</v>
      </c>
      <c r="FB12" s="1">
        <f t="shared" si="33"/>
        <v>81600000</v>
      </c>
      <c r="FC12" s="1">
        <f t="shared" si="33"/>
        <v>81600000</v>
      </c>
      <c r="FD12" s="1">
        <f t="shared" si="33"/>
        <v>81600000</v>
      </c>
      <c r="FE12" s="1">
        <f t="shared" si="33"/>
        <v>81600000</v>
      </c>
      <c r="FF12" s="1">
        <f t="shared" si="33"/>
        <v>73750000</v>
      </c>
      <c r="FH12" s="162">
        <f t="shared" si="34"/>
        <v>-4.8425780830292364E-3</v>
      </c>
    </row>
    <row r="13" spans="1:164" ht="18.75" customHeight="1">
      <c r="A13" s="244" t="s">
        <v>217</v>
      </c>
      <c r="B13" s="247"/>
      <c r="C13" s="228">
        <f t="shared" si="5"/>
        <v>0</v>
      </c>
      <c r="D13" s="229">
        <v>0</v>
      </c>
      <c r="E13" s="253">
        <f t="shared" si="6"/>
        <v>-0.29684789654996335</v>
      </c>
      <c r="F13" s="254">
        <f t="shared" si="7"/>
        <v>-0.32581108727669028</v>
      </c>
      <c r="G13" s="253">
        <f t="shared" si="8"/>
        <v>1.9066107460887771E-3</v>
      </c>
      <c r="H13" s="254">
        <f t="shared" si="9"/>
        <v>-0.29875450729605213</v>
      </c>
      <c r="I13" s="253">
        <f t="shared" si="10"/>
        <v>0.32797354574492754</v>
      </c>
      <c r="J13" s="254">
        <f t="shared" si="11"/>
        <v>-2.5399895835214181E-3</v>
      </c>
      <c r="K13" s="253">
        <f t="shared" si="12"/>
        <v>0.28821916131113956</v>
      </c>
      <c r="L13" s="254">
        <f t="shared" si="13"/>
        <v>3.9754384433787981E-2</v>
      </c>
      <c r="M13" s="255"/>
      <c r="N13" s="256">
        <v>0</v>
      </c>
      <c r="O13" s="253">
        <f t="shared" si="35"/>
        <v>0</v>
      </c>
      <c r="P13" s="257">
        <f t="shared" si="36"/>
        <v>0</v>
      </c>
      <c r="Q13" s="253">
        <f t="shared" si="14"/>
        <v>0</v>
      </c>
      <c r="R13" s="257">
        <f t="shared" si="37"/>
        <v>0</v>
      </c>
      <c r="S13" s="255"/>
      <c r="T13" s="256">
        <v>0</v>
      </c>
      <c r="U13" s="253">
        <f t="shared" si="15"/>
        <v>-0.32471744809495562</v>
      </c>
      <c r="V13" s="258">
        <f t="shared" si="16"/>
        <v>-0.32471744809495562</v>
      </c>
      <c r="W13" s="253">
        <f t="shared" si="38"/>
        <v>-0.56955604929203596</v>
      </c>
      <c r="X13" s="258">
        <f t="shared" si="17"/>
        <v>-0.56955604929203596</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5</v>
      </c>
      <c r="AT13" s="58">
        <f>VLOOKUP($A13,historia!$A$5:$CM$24,+HLOOKUP(AT$2,historia!$A$3:$EC$4,2,FALSE),FALSE)</f>
        <v>4</v>
      </c>
      <c r="AU13" s="58">
        <f>VLOOKUP($A13,historia!$A$5:$DD$24,+HLOOKUP(AU$2,historia!$A$3:$EC$4,2,FALSE),FALSE)</f>
        <v>5</v>
      </c>
      <c r="AV13" s="58">
        <f>VLOOKUP($A13,historia!$A$5:$DD$24,+HLOOKUP(AV$2,historia!$A$3:$EC$4,2,FALSE),FALSE)</f>
        <v>4</v>
      </c>
      <c r="AW13" s="58">
        <f>VLOOKUP($A13,historia!$A$5:$DD$24,+HLOOKUP(AW$2,historia!$A$3:$EC$4,2,FALSE),FALSE)</f>
        <v>4</v>
      </c>
      <c r="AX13" s="58">
        <f>VLOOKUP($A13,historia!$A$5:$DD$24,+HLOOKUP(AX$2,historia!$A$3:$EC$4,2,FALSE),FALSE)</f>
        <v>4</v>
      </c>
      <c r="AY13" s="58">
        <f>VLOOKUP($A13,historia!$A$5:$DD$24,+HLOOKUP(AY$2,historia!$A$3:$EC$4,2,FALSE),FALSE)</f>
        <v>4</v>
      </c>
      <c r="AZ13" s="58">
        <f>VLOOKUP($A13,historia!$A$5:$DD$24,+HLOOKUP(AZ$2,historia!$A$3:$EC$4,2,FALSE),FALSE)</f>
        <v>4</v>
      </c>
      <c r="BA13" s="58">
        <f>VLOOKUP($A13,historia!$A$5:$DG$24,+HLOOKUP(BA$2,historia!$A$3:$EC$4,2,FALSE),FALSE)</f>
        <v>4</v>
      </c>
      <c r="BB13" s="58"/>
      <c r="BC13" s="286">
        <v>4</v>
      </c>
      <c r="BD13" t="str">
        <f t="shared" si="20"/>
        <v>Hortalizas</v>
      </c>
      <c r="BE13">
        <f>+datos!BB1</f>
        <v>54</v>
      </c>
      <c r="BF13" s="2" t="str">
        <f t="shared" si="4"/>
        <v>$/kg</v>
      </c>
      <c r="BG13" s="2">
        <f t="shared" si="4"/>
        <v>10241.669807946251</v>
      </c>
      <c r="BH13" s="2">
        <f t="shared" si="4"/>
        <v>14565.368940368939</v>
      </c>
      <c r="BI13" s="2">
        <f t="shared" si="4"/>
        <v>7712.2543899782131</v>
      </c>
      <c r="BK13" s="1">
        <f>+datos!EX1</f>
        <v>154</v>
      </c>
      <c r="BL13" s="1">
        <f t="shared" si="21"/>
        <v>64395</v>
      </c>
      <c r="BM13" s="1">
        <f t="shared" si="21"/>
        <v>64395</v>
      </c>
      <c r="BO13" s="1">
        <f>+datos!GN1</f>
        <v>196</v>
      </c>
      <c r="BP13" s="1">
        <f t="shared" si="22"/>
        <v>2639386</v>
      </c>
      <c r="BQ13" s="1">
        <f t="shared" si="22"/>
        <v>2639386</v>
      </c>
      <c r="BS13" s="1">
        <f>+datos!LR1</f>
        <v>330</v>
      </c>
      <c r="BT13" s="1">
        <f t="shared" si="39"/>
        <v>40.528143890000003</v>
      </c>
      <c r="BU13" s="1">
        <f t="shared" si="40"/>
        <v>60.016571989999996</v>
      </c>
      <c r="BW13" s="1">
        <f>+datos!LV1</f>
        <v>334</v>
      </c>
      <c r="BX13" s="2">
        <f t="shared" si="23"/>
        <v>15.594707859999998</v>
      </c>
      <c r="BY13" s="2">
        <f t="shared" si="24"/>
        <v>36.229357700000001</v>
      </c>
      <c r="CA13" s="1">
        <f>+datos!IX1</f>
        <v>258</v>
      </c>
      <c r="CB13" s="1">
        <f t="shared" si="25"/>
        <v>0</v>
      </c>
      <c r="CC13" s="1">
        <f t="shared" si="26"/>
        <v>0</v>
      </c>
      <c r="CD13" s="1"/>
      <c r="CE13">
        <f>+datos!CO1</f>
        <v>93</v>
      </c>
      <c r="CF13" s="2">
        <f t="shared" si="27"/>
        <v>12149.632774297319</v>
      </c>
      <c r="CG13" s="2">
        <f t="shared" si="27"/>
        <v>12126.51223575605</v>
      </c>
      <c r="CH13" s="2">
        <f t="shared" si="27"/>
        <v>9431.3398986640714</v>
      </c>
      <c r="CI13" s="1"/>
      <c r="CK13" s="1">
        <f t="shared" si="28"/>
        <v>1.29974543</v>
      </c>
      <c r="CL13" s="1">
        <f t="shared" si="28"/>
        <v>1.7091561800000004</v>
      </c>
      <c r="CM13" s="1">
        <f t="shared" si="28"/>
        <v>1.6831161599999998</v>
      </c>
      <c r="CN13" s="1">
        <f t="shared" si="28"/>
        <v>1.1537429000000001</v>
      </c>
      <c r="CO13" s="1">
        <f t="shared" si="28"/>
        <v>1.5287822199999999</v>
      </c>
      <c r="CP13" s="1">
        <f t="shared" si="28"/>
        <v>0.99519284000000008</v>
      </c>
      <c r="CQ13" s="1">
        <f t="shared" si="28"/>
        <v>2.3842983399999995</v>
      </c>
      <c r="CR13" s="1">
        <f t="shared" si="28"/>
        <v>1.9006323699999998</v>
      </c>
      <c r="CS13" s="1">
        <f t="shared" si="28"/>
        <v>5.6300601800000001</v>
      </c>
      <c r="CT13" s="1">
        <f t="shared" si="28"/>
        <v>10.78719353</v>
      </c>
      <c r="CU13" s="1">
        <f t="shared" si="28"/>
        <v>6.6589734299999996</v>
      </c>
      <c r="CV13" s="1">
        <f t="shared" si="28"/>
        <v>4.7972503099999999</v>
      </c>
      <c r="CW13" s="1">
        <f t="shared" si="28"/>
        <v>3.6808061599999999</v>
      </c>
      <c r="CX13" s="1">
        <f t="shared" si="28"/>
        <v>1.7265838599999999</v>
      </c>
      <c r="CY13" s="1">
        <f t="shared" si="28"/>
        <v>1.1603474899999999</v>
      </c>
      <c r="CZ13" s="1">
        <f t="shared" si="28"/>
        <v>1.6220564799999999</v>
      </c>
      <c r="DA13" s="1">
        <f t="shared" si="29"/>
        <v>1.7022322700000001</v>
      </c>
      <c r="DB13" s="1">
        <f t="shared" si="29"/>
        <v>2.1800094999999997</v>
      </c>
      <c r="DC13" s="1">
        <f t="shared" si="29"/>
        <v>0.89152303000000011</v>
      </c>
      <c r="DD13" s="1">
        <f t="shared" si="29"/>
        <v>2.22092468</v>
      </c>
      <c r="DE13" s="1">
        <f t="shared" si="29"/>
        <v>5.6369490100000004</v>
      </c>
      <c r="DF13" s="1">
        <f t="shared" si="29"/>
        <v>11.964288460000001</v>
      </c>
      <c r="DG13" s="1">
        <f t="shared" si="29"/>
        <v>14.874595200000002</v>
      </c>
      <c r="DH13" s="1">
        <f t="shared" si="29"/>
        <v>12.356255849999998</v>
      </c>
      <c r="DJ13" s="1">
        <f t="shared" si="30"/>
        <v>0.23116673999999998</v>
      </c>
      <c r="DK13" s="1">
        <f t="shared" si="30"/>
        <v>0.59938404000000001</v>
      </c>
      <c r="DL13" s="1">
        <f t="shared" si="30"/>
        <v>0.53318653999999999</v>
      </c>
      <c r="DM13" s="1">
        <f t="shared" si="30"/>
        <v>0.87596054999999995</v>
      </c>
      <c r="DN13" s="1">
        <f t="shared" si="30"/>
        <v>2.0285887300000001</v>
      </c>
      <c r="DO13" s="1">
        <f t="shared" si="30"/>
        <v>2.5185445399999997</v>
      </c>
      <c r="DP13" s="1">
        <f t="shared" si="30"/>
        <v>1.4155427900000002</v>
      </c>
      <c r="DQ13" s="1">
        <f t="shared" si="30"/>
        <v>1.5956283999999996</v>
      </c>
      <c r="DR13" s="1">
        <f t="shared" si="30"/>
        <v>1.7945534399999996</v>
      </c>
      <c r="DS13" s="1">
        <f t="shared" si="30"/>
        <v>2.7487028499999995</v>
      </c>
      <c r="DT13" s="1">
        <f t="shared" si="30"/>
        <v>0.73139703</v>
      </c>
      <c r="DU13" s="1">
        <f t="shared" si="30"/>
        <v>0.52205221000000002</v>
      </c>
      <c r="DV13" s="1">
        <f t="shared" si="30"/>
        <v>0.27889262000000004</v>
      </c>
      <c r="DW13" s="1">
        <f t="shared" si="30"/>
        <v>0.43588088999999991</v>
      </c>
      <c r="DX13" s="1">
        <f t="shared" si="30"/>
        <v>0.25163443000000002</v>
      </c>
      <c r="DY13" s="1">
        <f t="shared" si="30"/>
        <v>1.8307121500000001</v>
      </c>
      <c r="DZ13" s="1">
        <f t="shared" si="31"/>
        <v>4.7138590499999999</v>
      </c>
      <c r="EA13" s="1">
        <f t="shared" si="31"/>
        <v>10.280953719999999</v>
      </c>
      <c r="EB13" s="1">
        <f t="shared" si="31"/>
        <v>10.078043539999999</v>
      </c>
      <c r="EC13" s="1">
        <f t="shared" si="31"/>
        <v>5.0525632100000006</v>
      </c>
      <c r="ED13" s="1">
        <f t="shared" si="31"/>
        <v>1.5134803299999999</v>
      </c>
      <c r="EE13" s="1">
        <f t="shared" si="31"/>
        <v>1.5645213200000003</v>
      </c>
      <c r="EF13" s="1">
        <f t="shared" si="31"/>
        <v>0.17069466</v>
      </c>
      <c r="EG13" s="1">
        <f t="shared" si="31"/>
        <v>5.8121779999999998E-2</v>
      </c>
      <c r="EI13" s="14">
        <f t="shared" si="32"/>
        <v>0</v>
      </c>
      <c r="EJ13" s="14">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2"/>
        <v>0</v>
      </c>
      <c r="EY13" s="1">
        <f t="shared" si="33"/>
        <v>0</v>
      </c>
      <c r="EZ13" s="1">
        <f t="shared" si="33"/>
        <v>0</v>
      </c>
      <c r="FA13" s="1">
        <f t="shared" si="33"/>
        <v>0</v>
      </c>
      <c r="FB13" s="1">
        <f t="shared" si="33"/>
        <v>0</v>
      </c>
      <c r="FC13" s="1">
        <f t="shared" si="33"/>
        <v>0</v>
      </c>
      <c r="FD13" s="1">
        <f t="shared" si="33"/>
        <v>0</v>
      </c>
      <c r="FE13" s="1">
        <f t="shared" si="33"/>
        <v>0</v>
      </c>
      <c r="FF13" s="1">
        <f t="shared" si="33"/>
        <v>0</v>
      </c>
      <c r="FH13" s="162">
        <f t="shared" si="34"/>
        <v>3.9754384433787981E-2</v>
      </c>
    </row>
    <row r="14" spans="1:164" ht="18" customHeight="1">
      <c r="A14" s="243" t="s">
        <v>65</v>
      </c>
      <c r="B14" s="246"/>
      <c r="C14" s="156">
        <f t="shared" si="5"/>
        <v>-0.33</v>
      </c>
      <c r="D14" s="198">
        <v>1</v>
      </c>
      <c r="E14" s="572">
        <f t="shared" si="6"/>
        <v>5.9390618791692606E-3</v>
      </c>
      <c r="F14" s="249">
        <f t="shared" si="7"/>
        <v>-2.3024128847557668E-2</v>
      </c>
      <c r="G14" s="248">
        <f t="shared" si="8"/>
        <v>-7.3330661620032433E-3</v>
      </c>
      <c r="H14" s="249">
        <f t="shared" si="9"/>
        <v>1.3272128041172504E-2</v>
      </c>
      <c r="I14" s="248">
        <f t="shared" si="10"/>
        <v>7.5119574449063364E-2</v>
      </c>
      <c r="J14" s="249">
        <f t="shared" si="11"/>
        <v>-0.2553939608793856</v>
      </c>
      <c r="K14" s="248">
        <f t="shared" si="12"/>
        <v>0.217354336843814</v>
      </c>
      <c r="L14" s="249">
        <f t="shared" si="13"/>
        <v>-0.14223476239475064</v>
      </c>
      <c r="M14" s="250"/>
      <c r="N14" s="24">
        <v>-1</v>
      </c>
      <c r="O14" s="248">
        <f t="shared" si="35"/>
        <v>-7.6319352188413125E-3</v>
      </c>
      <c r="P14" s="251">
        <f t="shared" si="36"/>
        <v>-7.6319352188413125E-3</v>
      </c>
      <c r="Q14" s="248">
        <f t="shared" si="14"/>
        <v>0.10550581350198085</v>
      </c>
      <c r="R14" s="251">
        <f t="shared" si="37"/>
        <v>0.10550581350198085</v>
      </c>
      <c r="S14" s="250"/>
      <c r="T14" s="24">
        <v>-1</v>
      </c>
      <c r="U14" s="248">
        <f t="shared" si="15"/>
        <v>0.17881329676370394</v>
      </c>
      <c r="V14" s="252">
        <f t="shared" si="16"/>
        <v>0.17881329676370394</v>
      </c>
      <c r="W14" s="248">
        <f t="shared" si="38"/>
        <v>0.27897090397033586</v>
      </c>
      <c r="X14" s="252">
        <f t="shared" si="17"/>
        <v>0.27897090397033586</v>
      </c>
      <c r="Y14" s="248">
        <f t="shared" si="18"/>
        <v>9.6079514080618544E-2</v>
      </c>
      <c r="Z14" s="252">
        <f t="shared" si="19"/>
        <v>9.6079514080618544E-2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3</v>
      </c>
      <c r="AQ14" s="28">
        <f>VLOOKUP($A14,historia!$A$5:$CM$24,+HLOOKUP(AQ$2,historia!$A$3:$EC$4,2,FALSE),FALSE)</f>
        <v>3</v>
      </c>
      <c r="AR14" s="28">
        <f>VLOOKUP($A14,historia!$A$5:$CM$24,+HLOOKUP(AR$2,historia!$A$3:$EC$4,2,FALSE),FALSE)</f>
        <v>3</v>
      </c>
      <c r="AS14" s="28">
        <f>VLOOKUP($A14,historia!$A$5:$CM$24,+HLOOKUP(AS$2,historia!$A$3:$EC$4,2,FALSE),FALSE)</f>
        <v>3</v>
      </c>
      <c r="AT14" s="58">
        <f>VLOOKUP($A14,historia!$A$5:$CM$24,+HLOOKUP(AT$2,historia!$A$3:$EC$4,2,FALSE),FALSE)</f>
        <v>3</v>
      </c>
      <c r="AU14" s="58">
        <f>VLOOKUP($A14,historia!$A$5:$DD$24,+HLOOKUP(AU$2,historia!$A$3:$EC$4,2,FALSE),FALSE)</f>
        <v>3</v>
      </c>
      <c r="AV14" s="58">
        <f>VLOOKUP($A14,historia!$A$5:$DD$24,+HLOOKUP(AV$2,historia!$A$3:$EC$4,2,FALSE),FALSE)</f>
        <v>3</v>
      </c>
      <c r="AW14" s="58">
        <f>VLOOKUP($A14,historia!$A$5:$DD$24,+HLOOKUP(AW$2,historia!$A$3:$EC$4,2,FALSE),FALSE)</f>
        <v>3</v>
      </c>
      <c r="AX14" s="58">
        <f>VLOOKUP($A14,historia!$A$5:$DD$24,+HLOOKUP(AX$2,historia!$A$3:$EC$4,2,FALSE),FALSE)</f>
        <v>3</v>
      </c>
      <c r="AY14" s="58">
        <f>VLOOKUP($A14,historia!$A$5:$DD$24,+HLOOKUP(AY$2,historia!$A$3:$EC$4,2,FALSE),FALSE)</f>
        <v>3</v>
      </c>
      <c r="AZ14" s="58">
        <f>VLOOKUP($A14,historia!$A$5:$DD$24,+HLOOKUP(AZ$2,historia!$A$3:$EC$4,2,FALSE),FALSE)</f>
        <v>4</v>
      </c>
      <c r="BA14" s="58">
        <f>VLOOKUP($A14,historia!$A$5:$DG$24,+HLOOKUP(BA$2,historia!$A$3:$EC$4,2,FALSE),FALSE)</f>
        <v>4</v>
      </c>
      <c r="BB14" s="58"/>
      <c r="BC14" s="286">
        <v>4</v>
      </c>
      <c r="BD14" t="str">
        <f t="shared" si="20"/>
        <v>Leche</v>
      </c>
      <c r="BE14">
        <f>+datos!BN1</f>
        <v>66</v>
      </c>
      <c r="BF14" s="2" t="str">
        <f t="shared" si="4"/>
        <v>$/l</v>
      </c>
      <c r="BG14" s="487">
        <f t="shared" si="4"/>
        <v>481.03</v>
      </c>
      <c r="BH14" s="487">
        <f t="shared" si="4"/>
        <v>478.19</v>
      </c>
      <c r="BI14" s="487">
        <f t="shared" si="4"/>
        <v>447.42</v>
      </c>
      <c r="BK14" s="1">
        <f>+datos!EN1</f>
        <v>144</v>
      </c>
      <c r="BL14" s="1">
        <f t="shared" si="21"/>
        <v>2819145</v>
      </c>
      <c r="BM14" s="1">
        <f t="shared" si="21"/>
        <v>2840826</v>
      </c>
      <c r="BO14" s="1">
        <f>+datos!HP1</f>
        <v>224</v>
      </c>
      <c r="BP14" s="1">
        <f t="shared" si="22"/>
        <v>11780.762676930679</v>
      </c>
      <c r="BQ14" s="1">
        <f t="shared" si="22"/>
        <v>10656.445703900923</v>
      </c>
      <c r="BS14" s="1">
        <f>+datos!KH1</f>
        <v>294</v>
      </c>
      <c r="BT14" s="1">
        <f t="shared" si="39"/>
        <v>1911.3294364200003</v>
      </c>
      <c r="BU14" s="1">
        <f t="shared" si="40"/>
        <v>1621.4013208599997</v>
      </c>
      <c r="BW14" s="1">
        <f>+datos!LM1</f>
        <v>325</v>
      </c>
      <c r="BX14" s="2">
        <f t="shared" si="23"/>
        <v>27.439791659999997</v>
      </c>
      <c r="BY14" s="2">
        <f t="shared" si="24"/>
        <v>21.454586319999997</v>
      </c>
      <c r="CA14" s="1">
        <f>+datos!IN1</f>
        <v>248</v>
      </c>
      <c r="CB14" s="1">
        <f t="shared" si="25"/>
        <v>198.5</v>
      </c>
      <c r="CC14" s="1">
        <f t="shared" si="26"/>
        <v>181.1</v>
      </c>
      <c r="CD14" s="1"/>
      <c r="CE14">
        <f>+datos!DC1</f>
        <v>107</v>
      </c>
      <c r="CF14" s="2">
        <f t="shared" si="27"/>
        <v>12975.52834767931</v>
      </c>
      <c r="CG14" s="2">
        <f t="shared" si="27"/>
        <v>13071.381654178194</v>
      </c>
      <c r="CH14" s="2">
        <f t="shared" si="27"/>
        <v>10658.793380833098</v>
      </c>
      <c r="CI14" s="1"/>
      <c r="CK14" s="1">
        <f t="shared" si="28"/>
        <v>139.65871150000001</v>
      </c>
      <c r="CL14" s="1">
        <f t="shared" si="28"/>
        <v>160.91833684000002</v>
      </c>
      <c r="CM14" s="1">
        <f t="shared" si="28"/>
        <v>210.79864256000005</v>
      </c>
      <c r="CN14" s="1">
        <f t="shared" si="28"/>
        <v>166.84903940999999</v>
      </c>
      <c r="CO14" s="1">
        <f t="shared" si="28"/>
        <v>210.64847638000006</v>
      </c>
      <c r="CP14" s="1">
        <f t="shared" si="28"/>
        <v>202.06812983999998</v>
      </c>
      <c r="CQ14" s="1">
        <f t="shared" si="28"/>
        <v>166.18279023000005</v>
      </c>
      <c r="CR14" s="1">
        <f t="shared" si="28"/>
        <v>145.54293837</v>
      </c>
      <c r="CS14" s="1">
        <f t="shared" si="28"/>
        <v>161.52973046</v>
      </c>
      <c r="CT14" s="1">
        <f t="shared" si="28"/>
        <v>135.14119298</v>
      </c>
      <c r="CU14" s="1">
        <f t="shared" si="28"/>
        <v>121.87302321000003</v>
      </c>
      <c r="CV14" s="1">
        <f t="shared" si="28"/>
        <v>90.118424640000015</v>
      </c>
      <c r="CW14" s="1">
        <f t="shared" si="28"/>
        <v>158.22857195999995</v>
      </c>
      <c r="CX14" s="1">
        <f t="shared" si="28"/>
        <v>133.12937443000001</v>
      </c>
      <c r="CY14" s="1">
        <f t="shared" si="28"/>
        <v>150.81206259999999</v>
      </c>
      <c r="CZ14" s="1">
        <f t="shared" si="28"/>
        <v>173.78517034999999</v>
      </c>
      <c r="DA14" s="1">
        <f t="shared" si="29"/>
        <v>162.27196751000002</v>
      </c>
      <c r="DB14" s="1">
        <f t="shared" si="29"/>
        <v>136.36151781000004</v>
      </c>
      <c r="DC14" s="1">
        <f t="shared" si="29"/>
        <v>114.33182424</v>
      </c>
      <c r="DD14" s="1">
        <f t="shared" si="29"/>
        <v>131.64359017999999</v>
      </c>
      <c r="DE14" s="1">
        <f t="shared" si="29"/>
        <v>102.41564730000002</v>
      </c>
      <c r="DF14" s="1">
        <f t="shared" si="29"/>
        <v>113.57779348999999</v>
      </c>
      <c r="DG14" s="1">
        <f t="shared" si="29"/>
        <v>118.3786056</v>
      </c>
      <c r="DH14" s="1">
        <f t="shared" si="29"/>
        <v>126.46519539000002</v>
      </c>
      <c r="DJ14" s="1">
        <f t="shared" si="30"/>
        <v>2.0159010200000003</v>
      </c>
      <c r="DK14" s="1">
        <f t="shared" si="30"/>
        <v>2.4748885299999999</v>
      </c>
      <c r="DL14" s="1">
        <f t="shared" si="30"/>
        <v>1.7114282299999999</v>
      </c>
      <c r="DM14" s="1">
        <f t="shared" si="30"/>
        <v>1.7294343599999999</v>
      </c>
      <c r="DN14" s="1">
        <f t="shared" si="30"/>
        <v>2.2980596799999997</v>
      </c>
      <c r="DO14" s="1">
        <f t="shared" si="30"/>
        <v>2.7814752500000006</v>
      </c>
      <c r="DP14" s="1">
        <f t="shared" si="30"/>
        <v>1.95823569</v>
      </c>
      <c r="DQ14" s="1">
        <f t="shared" si="30"/>
        <v>2.3716850700000007</v>
      </c>
      <c r="DR14" s="1">
        <f t="shared" si="30"/>
        <v>3.2200157200000006</v>
      </c>
      <c r="DS14" s="1">
        <f t="shared" si="30"/>
        <v>2.3449699800000001</v>
      </c>
      <c r="DT14" s="1">
        <f t="shared" si="30"/>
        <v>1.8496573299999999</v>
      </c>
      <c r="DU14" s="1">
        <f t="shared" si="30"/>
        <v>2.6840408</v>
      </c>
      <c r="DV14" s="1">
        <f t="shared" si="30"/>
        <v>2.90139879</v>
      </c>
      <c r="DW14" s="1">
        <f t="shared" si="30"/>
        <v>2.9139955600000005</v>
      </c>
      <c r="DX14" s="1">
        <f t="shared" si="30"/>
        <v>1.6254967600000001</v>
      </c>
      <c r="DY14" s="1">
        <f t="shared" si="30"/>
        <v>2.6289957100000003</v>
      </c>
      <c r="DZ14" s="1">
        <f t="shared" si="31"/>
        <v>0.92402921999999987</v>
      </c>
      <c r="EA14" s="1">
        <f t="shared" si="31"/>
        <v>1.0080099199999999</v>
      </c>
      <c r="EB14" s="1">
        <f t="shared" si="31"/>
        <v>0.81005326000000022</v>
      </c>
      <c r="EC14" s="1">
        <f t="shared" si="31"/>
        <v>2.5429137699999997</v>
      </c>
      <c r="ED14" s="1">
        <f t="shared" si="31"/>
        <v>0.83472519000000012</v>
      </c>
      <c r="EE14" s="1">
        <f t="shared" si="31"/>
        <v>1.6658761100000001</v>
      </c>
      <c r="EF14" s="1">
        <f t="shared" si="31"/>
        <v>1.6724867599999997</v>
      </c>
      <c r="EG14" s="1">
        <f t="shared" si="31"/>
        <v>1.92660527</v>
      </c>
      <c r="EI14" s="14">
        <f t="shared" si="32"/>
        <v>198.5</v>
      </c>
      <c r="EJ14" s="14">
        <f t="shared" si="32"/>
        <v>200</v>
      </c>
      <c r="EK14" s="1">
        <f t="shared" si="32"/>
        <v>181.1</v>
      </c>
      <c r="EL14" s="1">
        <f t="shared" si="32"/>
        <v>182.5</v>
      </c>
      <c r="EM14" s="1">
        <f t="shared" si="32"/>
        <v>179.9</v>
      </c>
      <c r="EN14" s="1">
        <f t="shared" si="32"/>
        <v>182.6</v>
      </c>
      <c r="EO14" s="1">
        <f t="shared" si="32"/>
        <v>185.2</v>
      </c>
      <c r="EP14" s="1">
        <f t="shared" si="32"/>
        <v>188.7</v>
      </c>
      <c r="EQ14" s="1">
        <f t="shared" si="32"/>
        <v>191.3</v>
      </c>
      <c r="ER14" s="1">
        <f t="shared" si="32"/>
        <v>195.7</v>
      </c>
      <c r="ES14" s="1">
        <f t="shared" si="32"/>
        <v>194.1</v>
      </c>
      <c r="ET14" s="1">
        <f t="shared" si="32"/>
        <v>191</v>
      </c>
      <c r="EU14" s="1">
        <f t="shared" si="32"/>
        <v>181.1</v>
      </c>
      <c r="EV14" s="1">
        <f t="shared" si="32"/>
        <v>170.3</v>
      </c>
      <c r="EW14" s="1">
        <f t="shared" si="32"/>
        <v>170.9</v>
      </c>
      <c r="EX14" s="1">
        <f t="shared" si="32"/>
        <v>168.7</v>
      </c>
      <c r="EY14" s="1">
        <f t="shared" si="33"/>
        <v>160.6</v>
      </c>
      <c r="EZ14" s="1">
        <f t="shared" si="33"/>
        <v>160.6</v>
      </c>
      <c r="FA14" s="1">
        <f t="shared" si="33"/>
        <v>160.6</v>
      </c>
      <c r="FB14" s="1">
        <f t="shared" si="33"/>
        <v>160.6</v>
      </c>
      <c r="FC14" s="1">
        <f t="shared" si="33"/>
        <v>156.30000000000001</v>
      </c>
      <c r="FD14" s="1">
        <f t="shared" si="33"/>
        <v>155.80000000000001</v>
      </c>
      <c r="FE14" s="1">
        <f t="shared" si="33"/>
        <v>159.5</v>
      </c>
      <c r="FF14" s="1">
        <f t="shared" si="33"/>
        <v>170.8</v>
      </c>
      <c r="FH14" s="162">
        <f t="shared" si="34"/>
        <v>-0.14223476239475064</v>
      </c>
    </row>
    <row r="15" spans="1:164" ht="18.75" customHeight="1">
      <c r="A15" s="244" t="s">
        <v>68</v>
      </c>
      <c r="B15" s="247"/>
      <c r="C15" s="228">
        <v>0</v>
      </c>
      <c r="D15" s="229">
        <v>-1</v>
      </c>
      <c r="E15" s="253">
        <f t="shared" si="6"/>
        <v>0.11504424778761058</v>
      </c>
      <c r="F15" s="254">
        <f t="shared" si="7"/>
        <v>8.6081057060883648E-2</v>
      </c>
      <c r="G15" s="253">
        <f t="shared" si="8"/>
        <v>6.6273143341702756E-2</v>
      </c>
      <c r="H15" s="254">
        <f t="shared" si="9"/>
        <v>4.877110444590782E-2</v>
      </c>
      <c r="I15" s="253">
        <f t="shared" si="10"/>
        <v>0.95369030390738052</v>
      </c>
      <c r="J15" s="254">
        <f t="shared" si="11"/>
        <v>0.62317676857893156</v>
      </c>
      <c r="K15" s="253">
        <f t="shared" si="12"/>
        <v>0.44165012443959961</v>
      </c>
      <c r="L15" s="254">
        <f t="shared" si="13"/>
        <v>0.51204017946778091</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1.9015032269614442</v>
      </c>
      <c r="X15" s="258">
        <f t="shared" si="17"/>
        <v>1.9015032269614442</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4</v>
      </c>
      <c r="AQ15" s="28">
        <f>VLOOKUP($A15,historia!$A$5:$CM$24,+HLOOKUP(AQ$2,historia!$A$3:$EC$4,2,FALSE),FALSE)</f>
        <v>4</v>
      </c>
      <c r="AR15" s="28">
        <f>VLOOKUP($A15,historia!$A$5:$CM$24,+HLOOKUP(AR$2,historia!$A$3:$EC$4,2,FALSE),FALSE)</f>
        <v>4</v>
      </c>
      <c r="AS15" s="28">
        <f>VLOOKUP($A15,historia!$A$5:$CM$24,+HLOOKUP(AS$2,historia!$A$3:$EC$4,2,FALSE),FALSE)</f>
        <v>4</v>
      </c>
      <c r="AT15" s="58">
        <f>VLOOKUP($A15,historia!$A$5:$CM$24,+HLOOKUP(AT$2,historia!$A$3:$EC$4,2,FALSE),FALSE)</f>
        <v>4</v>
      </c>
      <c r="AU15" s="58">
        <f>VLOOKUP($A15,historia!$A$5:$DD$24,+HLOOKUP(AU$2,historia!$A$3:$EC$4,2,FALSE),FALSE)</f>
        <v>3</v>
      </c>
      <c r="AV15" s="58">
        <f>VLOOKUP($A15,historia!$A$5:$DD$24,+HLOOKUP(AV$2,historia!$A$3:$EC$4,2,FALSE),FALSE)</f>
        <v>3</v>
      </c>
      <c r="AW15" s="58">
        <f>VLOOKUP($A15,historia!$A$5:$DD$24,+HLOOKUP(AW$2,historia!$A$3:$EC$4,2,FALSE),FALSE)</f>
        <v>3</v>
      </c>
      <c r="AX15" s="58">
        <f>VLOOKUP($A15,historia!$A$5:$DD$24,+HLOOKUP(AX$2,historia!$A$3:$EC$4,2,FALSE),FALSE)</f>
        <v>3</v>
      </c>
      <c r="AY15" s="58">
        <f>VLOOKUP($A15,historia!$A$5:$DD$24,+HLOOKUP(AY$2,historia!$A$3:$EC$4,2,FALSE),FALSE)</f>
        <v>3</v>
      </c>
      <c r="AZ15" s="58">
        <f>VLOOKUP($A15,historia!$A$5:$DD$24,+HLOOKUP(AZ$2,historia!$A$3:$EC$4,2,FALSE),FALSE)</f>
        <v>3</v>
      </c>
      <c r="BA15" s="58">
        <f>VLOOKUP($A15,historia!$A$5:$DG$24,+HLOOKUP(BA$2,historia!$A$3:$EC$4,2,FALSE),FALSE)</f>
        <v>4</v>
      </c>
      <c r="BB15" s="58"/>
      <c r="BC15" s="286">
        <v>4</v>
      </c>
      <c r="BD15" t="str">
        <f t="shared" si="20"/>
        <v>Mandioca</v>
      </c>
      <c r="BE15">
        <f>+datos!AW1</f>
        <v>49</v>
      </c>
      <c r="BF15" s="2" t="str">
        <f t="shared" si="4"/>
        <v>$/bolsa40kg</v>
      </c>
      <c r="BG15" s="2">
        <f t="shared" si="4"/>
        <v>18000</v>
      </c>
      <c r="BH15" s="2">
        <f t="shared" si="4"/>
        <v>16142.857142857143</v>
      </c>
      <c r="BI15" s="2">
        <f t="shared" si="4"/>
        <v>9213.3333333333339</v>
      </c>
      <c r="BK15" s="1">
        <f>+datos!EY1</f>
        <v>155</v>
      </c>
      <c r="BL15" s="1">
        <f t="shared" si="21"/>
        <v>20031</v>
      </c>
      <c r="BM15" s="1">
        <f t="shared" si="21"/>
        <v>20031</v>
      </c>
      <c r="BO15" s="1">
        <f>+datos!GO1</f>
        <v>197</v>
      </c>
      <c r="BP15" s="1">
        <f t="shared" si="22"/>
        <v>201734</v>
      </c>
      <c r="BQ15" s="1">
        <f t="shared" si="22"/>
        <v>201734</v>
      </c>
      <c r="BS15" s="1">
        <f>+datos!JP1</f>
        <v>276</v>
      </c>
      <c r="BT15" s="1">
        <f t="shared" si="39"/>
        <v>2.5000000000000001E-3</v>
      </c>
      <c r="BU15" s="1">
        <f t="shared" si="40"/>
        <v>0</v>
      </c>
      <c r="BW15" s="1">
        <f>+datos!KU1</f>
        <v>307</v>
      </c>
      <c r="BX15" s="2">
        <f t="shared" si="23"/>
        <v>4.3552380499999996</v>
      </c>
      <c r="BY15" s="2">
        <f t="shared" si="24"/>
        <v>1.5010281600000002</v>
      </c>
      <c r="CA15" s="1">
        <f>+datos!IY1</f>
        <v>259</v>
      </c>
      <c r="CB15" s="1">
        <f t="shared" si="25"/>
        <v>1.88</v>
      </c>
      <c r="CC15" s="1">
        <f t="shared" si="26"/>
        <v>1.88</v>
      </c>
      <c r="CD15" s="1"/>
      <c r="CE15">
        <f>+datos!CJ1</f>
        <v>88</v>
      </c>
      <c r="CF15" s="2">
        <f t="shared" si="27"/>
        <v>12914.653357123689</v>
      </c>
      <c r="CG15" s="2">
        <f t="shared" si="27"/>
        <v>12111.955963412089</v>
      </c>
      <c r="CH15" s="2">
        <f t="shared" si="27"/>
        <v>8958.2438472329704</v>
      </c>
      <c r="CI15" s="1"/>
      <c r="CK15" s="1">
        <f t="shared" si="28"/>
        <v>0</v>
      </c>
      <c r="CL15" s="1">
        <f t="shared" si="28"/>
        <v>0</v>
      </c>
      <c r="CM15" s="1">
        <f t="shared" si="28"/>
        <v>2.5000000000000001E-3</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8"/>
        <v>0</v>
      </c>
      <c r="DA15" s="1">
        <f t="shared" si="29"/>
        <v>0</v>
      </c>
      <c r="DB15" s="1">
        <f t="shared" si="29"/>
        <v>0</v>
      </c>
      <c r="DC15" s="1">
        <f t="shared" si="29"/>
        <v>0</v>
      </c>
      <c r="DD15" s="1">
        <f t="shared" si="29"/>
        <v>0</v>
      </c>
      <c r="DE15" s="1">
        <f t="shared" si="29"/>
        <v>0</v>
      </c>
      <c r="DF15" s="1">
        <f t="shared" si="29"/>
        <v>0</v>
      </c>
      <c r="DG15" s="1">
        <f t="shared" si="29"/>
        <v>0</v>
      </c>
      <c r="DH15" s="1">
        <f t="shared" si="29"/>
        <v>0</v>
      </c>
      <c r="DJ15" s="14">
        <f t="shared" si="30"/>
        <v>0.36896875000000001</v>
      </c>
      <c r="DK15" s="14">
        <f t="shared" si="30"/>
        <v>0.35343590000000003</v>
      </c>
      <c r="DL15" s="1">
        <f t="shared" si="30"/>
        <v>0.46571231000000002</v>
      </c>
      <c r="DM15" s="1">
        <f t="shared" si="30"/>
        <v>0.27804433999999995</v>
      </c>
      <c r="DN15" s="1">
        <f t="shared" si="30"/>
        <v>0.43603392000000002</v>
      </c>
      <c r="DO15" s="1">
        <f t="shared" si="30"/>
        <v>0.45279353000000006</v>
      </c>
      <c r="DP15" s="1">
        <f t="shared" si="30"/>
        <v>0.30456642</v>
      </c>
      <c r="DQ15" s="1">
        <f t="shared" si="30"/>
        <v>0.53543670999999993</v>
      </c>
      <c r="DR15" s="1">
        <f t="shared" si="30"/>
        <v>0.43177300000000002</v>
      </c>
      <c r="DS15" s="1">
        <f t="shared" si="30"/>
        <v>0.33740116000000003</v>
      </c>
      <c r="DT15" s="1">
        <f t="shared" si="30"/>
        <v>0.28762799999999999</v>
      </c>
      <c r="DU15" s="1">
        <f t="shared" si="30"/>
        <v>0.10344400999999999</v>
      </c>
      <c r="DV15" s="1">
        <f t="shared" si="30"/>
        <v>4.4833160000000004E-2</v>
      </c>
      <c r="DW15" s="1">
        <f t="shared" si="30"/>
        <v>0.14172798</v>
      </c>
      <c r="DX15" s="1">
        <f t="shared" si="30"/>
        <v>7.4560410000000008E-2</v>
      </c>
      <c r="DY15" s="1">
        <f t="shared" si="30"/>
        <v>0.28059129999999999</v>
      </c>
      <c r="DZ15" s="1">
        <f t="shared" si="31"/>
        <v>0.15169276000000001</v>
      </c>
      <c r="EA15" s="1">
        <f t="shared" si="31"/>
        <v>0.14711371000000001</v>
      </c>
      <c r="EB15" s="1">
        <f t="shared" si="31"/>
        <v>0.18175015000000003</v>
      </c>
      <c r="EC15" s="1">
        <f t="shared" si="31"/>
        <v>0.15569543999999999</v>
      </c>
      <c r="ED15" s="1">
        <f t="shared" si="31"/>
        <v>0.1712014</v>
      </c>
      <c r="EE15" s="1">
        <f t="shared" si="31"/>
        <v>0.12198517</v>
      </c>
      <c r="EF15" s="1">
        <f t="shared" si="31"/>
        <v>1.6812999999999999E-3</v>
      </c>
      <c r="EG15" s="1">
        <f t="shared" si="31"/>
        <v>2.8195380000000003E-2</v>
      </c>
      <c r="EI15" s="14">
        <f t="shared" si="32"/>
        <v>1.88</v>
      </c>
      <c r="EJ15" s="14">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2"/>
        <v>1.88</v>
      </c>
      <c r="EY15" s="1">
        <f t="shared" si="33"/>
        <v>1.88</v>
      </c>
      <c r="EZ15" s="1">
        <f t="shared" si="33"/>
        <v>1.88</v>
      </c>
      <c r="FA15" s="1">
        <f t="shared" si="33"/>
        <v>1.88</v>
      </c>
      <c r="FB15" s="1">
        <f t="shared" si="33"/>
        <v>1.88</v>
      </c>
      <c r="FC15" s="1">
        <f t="shared" si="33"/>
        <v>1.88</v>
      </c>
      <c r="FD15" s="1">
        <f t="shared" si="33"/>
        <v>1.88</v>
      </c>
      <c r="FE15" s="1">
        <f t="shared" si="33"/>
        <v>1.88</v>
      </c>
      <c r="FF15" s="1">
        <f t="shared" si="33"/>
        <v>1.88</v>
      </c>
      <c r="FH15" s="162">
        <f t="shared" si="34"/>
        <v>0.51204017946778091</v>
      </c>
    </row>
    <row r="16" spans="1:164" ht="18" customHeight="1">
      <c r="A16" s="243" t="s">
        <v>25</v>
      </c>
      <c r="B16" s="246"/>
      <c r="C16" s="156">
        <f t="shared" si="5"/>
        <v>-0.66</v>
      </c>
      <c r="D16" s="198">
        <v>-1</v>
      </c>
      <c r="E16" s="248">
        <f t="shared" si="6"/>
        <v>-2.3365290286437856E-3</v>
      </c>
      <c r="F16" s="249">
        <f t="shared" si="7"/>
        <v>-3.1299719755370714E-2</v>
      </c>
      <c r="G16" s="248">
        <f t="shared" si="8"/>
        <v>-7.5703258154091735E-4</v>
      </c>
      <c r="H16" s="249">
        <f t="shared" si="9"/>
        <v>-1.5794964471028683E-3</v>
      </c>
      <c r="I16" s="248">
        <f t="shared" si="10"/>
        <v>-6.2128538752315832E-2</v>
      </c>
      <c r="J16" s="249">
        <f t="shared" si="11"/>
        <v>-0.39264207408076479</v>
      </c>
      <c r="K16" s="248">
        <f t="shared" si="12"/>
        <v>0.14761122085956924</v>
      </c>
      <c r="L16" s="249">
        <f t="shared" si="13"/>
        <v>-0.20973975961188507</v>
      </c>
      <c r="M16" s="250"/>
      <c r="N16" s="24">
        <v>1</v>
      </c>
      <c r="O16" s="248">
        <f t="shared" si="35"/>
        <v>-0.26790476373194172</v>
      </c>
      <c r="P16" s="251">
        <f t="shared" si="36"/>
        <v>-0.26790476373194172</v>
      </c>
      <c r="Q16" s="248">
        <f t="shared" si="14"/>
        <v>-0.18241539656089967</v>
      </c>
      <c r="R16" s="251">
        <f t="shared" si="37"/>
        <v>-0.18241539656089967</v>
      </c>
      <c r="S16" s="250"/>
      <c r="T16" s="24">
        <v>-2</v>
      </c>
      <c r="U16" s="248">
        <f t="shared" si="15"/>
        <v>-4.0123867485996834E-2</v>
      </c>
      <c r="V16" s="252">
        <f t="shared" si="16"/>
        <v>-4.0123867485996834E-2</v>
      </c>
      <c r="W16" s="248">
        <f>IFERROR(+BX16/BY16-1,"")</f>
        <v>0.93385024686063911</v>
      </c>
      <c r="X16" s="258">
        <f t="shared" si="17"/>
        <v>0.93385024686063911</v>
      </c>
      <c r="Y16" s="248">
        <f t="shared" si="18"/>
        <v>5.3604790419161663E-2</v>
      </c>
      <c r="Z16" s="252">
        <f t="shared" si="19"/>
        <v>5.3604790419161663E-2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3</v>
      </c>
      <c r="AQ16" s="28">
        <f>VLOOKUP($A16,historia!$A$5:$CM$24,+HLOOKUP(AQ$2,historia!$A$3:$EC$4,2,FALSE),FALSE)</f>
        <v>3</v>
      </c>
      <c r="AR16" s="28">
        <f>VLOOKUP($A16,historia!$A$5:$CM$24,+HLOOKUP(AR$2,historia!$A$3:$EC$4,2,FALSE),FALSE)</f>
        <v>3</v>
      </c>
      <c r="AS16" s="28">
        <f>VLOOKUP($A16,historia!$A$5:$CM$24,+HLOOKUP(AS$2,historia!$A$3:$EC$4,2,FALSE),FALSE)</f>
        <v>3</v>
      </c>
      <c r="AT16" s="58">
        <f>VLOOKUP($A16,historia!$A$5:$CM$24,+HLOOKUP(AT$2,historia!$A$3:$EC$4,2,FALSE),FALSE)</f>
        <v>3</v>
      </c>
      <c r="AU16" s="58">
        <f>VLOOKUP($A16,historia!$A$5:$DD$24,+HLOOKUP(AU$2,historia!$A$3:$EC$4,2,FALSE),FALSE)</f>
        <v>3</v>
      </c>
      <c r="AV16" s="58">
        <f>VLOOKUP($A16,historia!$A$5:$DD$24,+HLOOKUP(AV$2,historia!$A$3:$EC$4,2,FALSE),FALSE)</f>
        <v>3</v>
      </c>
      <c r="AW16" s="58">
        <f>VLOOKUP($A16,historia!$A$5:$DD$24,+HLOOKUP(AW$2,historia!$A$3:$EC$4,2,FALSE),FALSE)</f>
        <v>3</v>
      </c>
      <c r="AX16" s="58">
        <f>VLOOKUP($A16,historia!$A$5:$DD$24,+HLOOKUP(AX$2,historia!$A$3:$EC$4,2,FALSE),FALSE)</f>
        <v>3</v>
      </c>
      <c r="AY16" s="58">
        <f>VLOOKUP($A16,historia!$A$5:$DD$24,+HLOOKUP(AY$2,historia!$A$3:$EC$4,2,FALSE),FALSE)</f>
        <v>3</v>
      </c>
      <c r="AZ16" s="58">
        <f>VLOOKUP($A16,historia!$A$5:$DD$24,+HLOOKUP(AZ$2,historia!$A$3:$EC$4,2,FALSE),FALSE)</f>
        <v>4</v>
      </c>
      <c r="BA16" s="58">
        <f>VLOOKUP($A16,historia!$A$5:$DG$24,+HLOOKUP(BA$2,historia!$A$3:$EC$4,2,FALSE),FALSE)</f>
        <v>4</v>
      </c>
      <c r="BB16" s="58"/>
      <c r="BC16" s="286">
        <v>4</v>
      </c>
      <c r="BD16" t="str">
        <f t="shared" si="20"/>
        <v>Maní</v>
      </c>
      <c r="BE16">
        <f>+datos!AF1</f>
        <v>32</v>
      </c>
      <c r="BF16" s="2" t="str">
        <f t="shared" si="4"/>
        <v>$/t</v>
      </c>
      <c r="BG16" s="2">
        <f t="shared" si="4"/>
        <v>858006.14240000001</v>
      </c>
      <c r="BH16" s="2">
        <f t="shared" si="4"/>
        <v>860015.59380000003</v>
      </c>
      <c r="BI16" s="2">
        <f t="shared" si="4"/>
        <v>914844.0675</v>
      </c>
      <c r="BK16" s="1">
        <f>+datos!EB1</f>
        <v>132</v>
      </c>
      <c r="BL16" s="1">
        <f t="shared" si="21"/>
        <v>381590</v>
      </c>
      <c r="BM16" s="1">
        <f t="shared" si="21"/>
        <v>521230</v>
      </c>
      <c r="BO16" s="1">
        <f>+datos!FW1</f>
        <v>179</v>
      </c>
      <c r="BP16" s="1">
        <f t="shared" si="22"/>
        <v>1311996</v>
      </c>
      <c r="BQ16" s="1">
        <f t="shared" si="22"/>
        <v>1604722</v>
      </c>
      <c r="BS16" s="1">
        <f>+datos!JK1</f>
        <v>271</v>
      </c>
      <c r="BT16" s="1">
        <f t="shared" si="39"/>
        <v>1338.2834801399999</v>
      </c>
      <c r="BU16" s="1">
        <f t="shared" si="40"/>
        <v>1394.2251867799998</v>
      </c>
      <c r="BW16" s="1">
        <f>+datos!KP1</f>
        <v>302</v>
      </c>
      <c r="BX16" s="2">
        <f t="shared" si="23"/>
        <v>1.85166896</v>
      </c>
      <c r="BY16" s="2">
        <f t="shared" si="24"/>
        <v>0.95750380000000002</v>
      </c>
      <c r="CA16" s="1">
        <f>+datos!IJ1</f>
        <v>244</v>
      </c>
      <c r="CB16" s="1">
        <f t="shared" si="25"/>
        <v>2.2719760013883494</v>
      </c>
      <c r="CC16" s="1">
        <f t="shared" si="26"/>
        <v>2.1563835150032644</v>
      </c>
      <c r="CD16" s="1"/>
      <c r="CE16">
        <f>+datos!CH1</f>
        <v>86</v>
      </c>
      <c r="CF16" s="2">
        <f t="shared" si="27"/>
        <v>12983.215645928487</v>
      </c>
      <c r="CG16" s="2">
        <f t="shared" si="27"/>
        <v>12993.051809481914</v>
      </c>
      <c r="CH16" s="2">
        <f t="shared" si="27"/>
        <v>11313.252615466728</v>
      </c>
      <c r="CI16" s="1"/>
      <c r="CK16" s="1">
        <f t="shared" si="28"/>
        <v>89.696667719999979</v>
      </c>
      <c r="CL16" s="1">
        <f t="shared" si="28"/>
        <v>106.44432842999998</v>
      </c>
      <c r="CM16" s="1">
        <f t="shared" si="28"/>
        <v>109.63040427999998</v>
      </c>
      <c r="CN16" s="1">
        <f t="shared" si="28"/>
        <v>107.51173679000001</v>
      </c>
      <c r="CO16" s="1">
        <f t="shared" si="28"/>
        <v>153.65977728999999</v>
      </c>
      <c r="CP16" s="1">
        <f t="shared" si="28"/>
        <v>137.05460552</v>
      </c>
      <c r="CQ16" s="1">
        <f t="shared" si="28"/>
        <v>119.79773589000003</v>
      </c>
      <c r="CR16" s="1">
        <f t="shared" si="28"/>
        <v>108.38462631999997</v>
      </c>
      <c r="CS16" s="1">
        <f t="shared" si="28"/>
        <v>110.53778464999999</v>
      </c>
      <c r="CT16" s="1">
        <f t="shared" si="28"/>
        <v>97.139552130000013</v>
      </c>
      <c r="CU16" s="1">
        <f t="shared" si="28"/>
        <v>94.262180470000018</v>
      </c>
      <c r="CV16" s="1">
        <f t="shared" si="28"/>
        <v>104.16408064999997</v>
      </c>
      <c r="CW16" s="1">
        <f t="shared" si="28"/>
        <v>129.66034791999999</v>
      </c>
      <c r="CX16" s="1">
        <f t="shared" si="28"/>
        <v>100.29183523999998</v>
      </c>
      <c r="CY16" s="1">
        <f t="shared" si="28"/>
        <v>142.99991008000001</v>
      </c>
      <c r="CZ16" s="1">
        <f t="shared" si="28"/>
        <v>153.43391492999999</v>
      </c>
      <c r="DA16" s="1">
        <f t="shared" si="29"/>
        <v>142.09253510999997</v>
      </c>
      <c r="DB16" s="1">
        <f t="shared" si="29"/>
        <v>155.33708399000002</v>
      </c>
      <c r="DC16" s="1">
        <f t="shared" si="29"/>
        <v>156.99934678</v>
      </c>
      <c r="DD16" s="1">
        <f t="shared" si="29"/>
        <v>115.53726275000001</v>
      </c>
      <c r="DE16" s="1">
        <f t="shared" si="29"/>
        <v>98.487414479999984</v>
      </c>
      <c r="DF16" s="1">
        <f t="shared" si="29"/>
        <v>63.473924160000003</v>
      </c>
      <c r="DG16" s="1">
        <f t="shared" si="29"/>
        <v>65.127016839999982</v>
      </c>
      <c r="DH16" s="1">
        <f t="shared" si="29"/>
        <v>70.784594500000011</v>
      </c>
      <c r="DJ16" s="1">
        <f t="shared" si="30"/>
        <v>3.3E-4</v>
      </c>
      <c r="DK16" s="1">
        <f t="shared" si="30"/>
        <v>3.5242930000000006E-2</v>
      </c>
      <c r="DL16" s="1">
        <f t="shared" si="30"/>
        <v>4.2275489999999999E-2</v>
      </c>
      <c r="DM16" s="1">
        <f t="shared" si="30"/>
        <v>2.1048300000000002E-3</v>
      </c>
      <c r="DN16" s="1">
        <f t="shared" si="30"/>
        <v>9.9999999999999995E-7</v>
      </c>
      <c r="DO16" s="1">
        <f t="shared" si="30"/>
        <v>0.27773459</v>
      </c>
      <c r="DP16" s="1">
        <f t="shared" si="30"/>
        <v>0.19844290000000001</v>
      </c>
      <c r="DQ16" s="1">
        <f t="shared" si="30"/>
        <v>0.14424532000000001</v>
      </c>
      <c r="DR16" s="1">
        <f t="shared" si="30"/>
        <v>5.4312239999999998E-2</v>
      </c>
      <c r="DS16" s="1">
        <f t="shared" si="30"/>
        <v>1.9420499999999999E-3</v>
      </c>
      <c r="DT16" s="1">
        <f t="shared" si="30"/>
        <v>1.0560452</v>
      </c>
      <c r="DU16" s="1">
        <f t="shared" si="30"/>
        <v>3.8992409999999998E-2</v>
      </c>
      <c r="DV16" s="1">
        <f t="shared" si="30"/>
        <v>0</v>
      </c>
      <c r="DW16" s="1">
        <f t="shared" si="30"/>
        <v>5.2225250000000001E-2</v>
      </c>
      <c r="DX16" s="1">
        <f t="shared" si="30"/>
        <v>0.22862400000000002</v>
      </c>
      <c r="DY16" s="1">
        <f t="shared" si="30"/>
        <v>2.6527899999999999E-3</v>
      </c>
      <c r="DZ16" s="1">
        <f t="shared" si="31"/>
        <v>1.6271E-3</v>
      </c>
      <c r="EA16" s="1">
        <f t="shared" si="31"/>
        <v>0.13444175</v>
      </c>
      <c r="EB16" s="1">
        <f t="shared" si="31"/>
        <v>4.2737620000000004E-2</v>
      </c>
      <c r="EC16" s="1">
        <f t="shared" si="31"/>
        <v>8.6628999999999998E-2</v>
      </c>
      <c r="ED16" s="1">
        <f t="shared" si="31"/>
        <v>8.4906640000000005E-2</v>
      </c>
      <c r="EE16" s="1">
        <f t="shared" si="31"/>
        <v>8.714181E-2</v>
      </c>
      <c r="EF16" s="1">
        <f t="shared" si="31"/>
        <v>0.111375</v>
      </c>
      <c r="EG16" s="1">
        <f t="shared" si="31"/>
        <v>0.12514284000000001</v>
      </c>
      <c r="EI16" s="14">
        <f t="shared" si="32"/>
        <v>2.2719760013883494</v>
      </c>
      <c r="EJ16" s="14">
        <f t="shared" si="32"/>
        <v>2.4791954184468667</v>
      </c>
      <c r="EK16" s="1">
        <f t="shared" si="32"/>
        <v>2.4791954184468667</v>
      </c>
      <c r="EL16" s="1">
        <f t="shared" si="32"/>
        <v>2.4791954184468667</v>
      </c>
      <c r="EM16" s="1">
        <f t="shared" si="32"/>
        <v>2.4791954184468667</v>
      </c>
      <c r="EN16" s="1">
        <f t="shared" si="32"/>
        <v>2.3888080854826579</v>
      </c>
      <c r="EO16" s="1">
        <f t="shared" si="32"/>
        <v>2.3888080854826579</v>
      </c>
      <c r="EP16" s="1">
        <f t="shared" si="32"/>
        <v>2.3888080854826579</v>
      </c>
      <c r="EQ16" s="1">
        <f t="shared" si="32"/>
        <v>2.3888080854826579</v>
      </c>
      <c r="ER16" s="1">
        <f t="shared" si="32"/>
        <v>2.3888080854826579</v>
      </c>
      <c r="ES16" s="1">
        <f t="shared" si="32"/>
        <v>2.3888080854826579</v>
      </c>
      <c r="ET16" s="1">
        <f t="shared" si="32"/>
        <v>2.1563835150032644</v>
      </c>
      <c r="EU16" s="1">
        <f t="shared" si="32"/>
        <v>2.1563835150032644</v>
      </c>
      <c r="EV16" s="1">
        <f t="shared" si="32"/>
        <v>2.1563835150032644</v>
      </c>
      <c r="EW16" s="1">
        <f t="shared" si="32"/>
        <v>2.1563835150032644</v>
      </c>
      <c r="EX16" s="1">
        <f t="shared" si="32"/>
        <v>2.1563835150032644</v>
      </c>
      <c r="EY16" s="1">
        <f t="shared" si="33"/>
        <v>2.1563835150032644</v>
      </c>
      <c r="EZ16" s="1">
        <f t="shared" si="33"/>
        <v>2.1563835150032644</v>
      </c>
      <c r="FA16" s="1">
        <f t="shared" si="33"/>
        <v>2.1563835150032644</v>
      </c>
      <c r="FB16" s="1">
        <f t="shared" si="33"/>
        <v>2.1563835150032644</v>
      </c>
      <c r="FC16" s="1">
        <f t="shared" si="33"/>
        <v>2.1563835150032644</v>
      </c>
      <c r="FD16" s="1">
        <f t="shared" si="33"/>
        <v>2.1563835150032644</v>
      </c>
      <c r="FE16" s="1">
        <f t="shared" si="33"/>
        <v>2.1563835150032644</v>
      </c>
      <c r="FF16" s="1">
        <f t="shared" si="33"/>
        <v>1.9885213252125911</v>
      </c>
      <c r="FH16" s="162">
        <f t="shared" si="34"/>
        <v>-0.20973975961188507</v>
      </c>
    </row>
    <row r="17" spans="1:164" ht="18.75" customHeight="1">
      <c r="A17" s="244" t="s">
        <v>76</v>
      </c>
      <c r="B17" s="247"/>
      <c r="C17" s="228">
        <f t="shared" si="5"/>
        <v>-0.99</v>
      </c>
      <c r="D17" s="229">
        <v>-1</v>
      </c>
      <c r="E17" s="253">
        <f t="shared" si="6"/>
        <v>5.8466565526899439E-2</v>
      </c>
      <c r="F17" s="254">
        <f t="shared" si="7"/>
        <v>2.950337480017251E-2</v>
      </c>
      <c r="G17" s="253">
        <f t="shared" si="8"/>
        <v>1.1267904868223155E-2</v>
      </c>
      <c r="H17" s="254">
        <f t="shared" si="9"/>
        <v>4.7198660658676284E-2</v>
      </c>
      <c r="I17" s="253">
        <f t="shared" si="10"/>
        <v>0.49423393739703458</v>
      </c>
      <c r="J17" s="254">
        <f t="shared" si="11"/>
        <v>0.16372040206858562</v>
      </c>
      <c r="K17" s="253">
        <f t="shared" si="12"/>
        <v>0.3128838891204766</v>
      </c>
      <c r="L17" s="254">
        <f t="shared" si="13"/>
        <v>0.18135004827655798</v>
      </c>
      <c r="M17" s="255"/>
      <c r="N17" s="256">
        <v>-1</v>
      </c>
      <c r="O17" s="253">
        <f>IFERROR(+BL17/BM17-1,"")</f>
        <v>0</v>
      </c>
      <c r="P17" s="257">
        <f t="shared" si="36"/>
        <v>0</v>
      </c>
      <c r="Q17" s="253">
        <f t="shared" si="14"/>
        <v>0</v>
      </c>
      <c r="R17" s="257">
        <f t="shared" si="37"/>
        <v>0</v>
      </c>
      <c r="S17" s="255"/>
      <c r="T17" s="256">
        <v>-1</v>
      </c>
      <c r="U17" s="253">
        <f t="shared" si="15"/>
        <v>0.18175049005167576</v>
      </c>
      <c r="V17" s="258">
        <f t="shared" si="16"/>
        <v>0.18175049005167576</v>
      </c>
      <c r="W17" s="248">
        <f>IFERROR(+BX17/BY17-1,"")</f>
        <v>-0.20893342876073873</v>
      </c>
      <c r="X17" s="258">
        <f t="shared" si="17"/>
        <v>-0.20893342876073873</v>
      </c>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3</v>
      </c>
      <c r="AQ17" s="28">
        <f>VLOOKUP($A17,historia!$A$5:$CM$24,+HLOOKUP(AQ$2,historia!$A$3:$EC$4,2,FALSE),FALSE)</f>
        <v>3</v>
      </c>
      <c r="AR17" s="28">
        <f>VLOOKUP($A17,historia!$A$5:$CM$24,+HLOOKUP(AR$2,historia!$A$3:$EC$4,2,FALSE),FALSE)</f>
        <v>3</v>
      </c>
      <c r="AS17" s="28">
        <f>VLOOKUP($A17,historia!$A$5:$CM$24,+HLOOKUP(AS$2,historia!$A$3:$EC$4,2,FALSE),FALSE)</f>
        <v>3</v>
      </c>
      <c r="AT17" s="58">
        <f>VLOOKUP($A17,historia!$A$5:$CM$24,+HLOOKUP(AT$2,historia!$A$3:$EC$4,2,FALSE),FALSE)</f>
        <v>3</v>
      </c>
      <c r="AU17" s="58">
        <f>VLOOKUP($A17,historia!$A$5:$DD$24,+HLOOKUP(AU$2,historia!$A$3:$EC$4,2,FALSE),FALSE)</f>
        <v>3</v>
      </c>
      <c r="AV17" s="58">
        <f>VLOOKUP($A17,historia!$A$5:$DD$24,+HLOOKUP(AV$2,historia!$A$3:$EC$4,2,FALSE),FALSE)</f>
        <v>3</v>
      </c>
      <c r="AW17" s="58">
        <f>VLOOKUP($A17,historia!$A$5:$DD$24,+HLOOKUP(AW$2,historia!$A$3:$EC$4,2,FALSE),FALSE)</f>
        <v>2</v>
      </c>
      <c r="AX17" s="58">
        <f>VLOOKUP($A17,historia!$A$5:$DD$24,+HLOOKUP(AX$2,historia!$A$3:$EC$4,2,FALSE),FALSE)</f>
        <v>2</v>
      </c>
      <c r="AY17" s="58">
        <f>VLOOKUP($A17,historia!$A$5:$DD$24,+HLOOKUP(AY$2,historia!$A$3:$EC$4,2,FALSE),FALSE)</f>
        <v>2</v>
      </c>
      <c r="AZ17" s="58">
        <f>VLOOKUP($A17,historia!$A$5:$DD$24,+HLOOKUP(AZ$2,historia!$A$3:$EC$4,2,FALSE),FALSE)</f>
        <v>2</v>
      </c>
      <c r="BA17" s="58">
        <f>VLOOKUP($A17,historia!$A$5:$DG$24,+HLOOKUP(BA$2,historia!$A$3:$EC$4,2,FALSE),FALSE)</f>
        <v>2</v>
      </c>
      <c r="BB17" s="58"/>
      <c r="BC17" s="286">
        <v>2</v>
      </c>
      <c r="BD17" t="str">
        <f t="shared" si="20"/>
        <v>Miel</v>
      </c>
      <c r="BE17">
        <f>+datos!BV1</f>
        <v>74</v>
      </c>
      <c r="BF17" s="2" t="str">
        <f t="shared" si="4"/>
        <v>$/kg</v>
      </c>
      <c r="BG17" s="2">
        <f t="shared" si="4"/>
        <v>2721</v>
      </c>
      <c r="BH17" s="2">
        <f t="shared" si="4"/>
        <v>2570.6999999999998</v>
      </c>
      <c r="BI17" s="2">
        <f t="shared" si="4"/>
        <v>1821</v>
      </c>
      <c r="BK17" s="1">
        <f>+datos!EQ1</f>
        <v>147</v>
      </c>
      <c r="BL17" s="1">
        <f t="shared" si="21"/>
        <v>4000000</v>
      </c>
      <c r="BM17" s="1">
        <f t="shared" si="21"/>
        <v>4000000</v>
      </c>
      <c r="BO17" s="1">
        <f>+datos!GP1</f>
        <v>198</v>
      </c>
      <c r="BP17" s="1">
        <f t="shared" si="22"/>
        <v>75000</v>
      </c>
      <c r="BQ17" s="1">
        <f t="shared" si="22"/>
        <v>75000</v>
      </c>
      <c r="BS17" s="1">
        <f>+datos!KE1</f>
        <v>291</v>
      </c>
      <c r="BT17" s="1">
        <f t="shared" si="39"/>
        <v>252.66068860000001</v>
      </c>
      <c r="BU17" s="1">
        <f t="shared" si="40"/>
        <v>213.80205950999999</v>
      </c>
      <c r="BW17" s="1">
        <f>+datos!LJ1</f>
        <v>322</v>
      </c>
      <c r="BX17" s="2">
        <f t="shared" si="23"/>
        <v>4.4676069999999998E-2</v>
      </c>
      <c r="BY17" s="2">
        <f>+SUM(DV17:EG17)</f>
        <v>5.6475740000000003E-2</v>
      </c>
      <c r="CA17" s="1">
        <f>+datos!IZ1</f>
        <v>260</v>
      </c>
      <c r="CB17" s="2">
        <f t="shared" si="25"/>
        <v>0.3</v>
      </c>
      <c r="CC17" s="2">
        <f t="shared" si="26"/>
        <v>0.3</v>
      </c>
      <c r="CD17" s="2"/>
      <c r="CE17">
        <f>+datos!DH1</f>
        <v>112</v>
      </c>
      <c r="CF17" s="2">
        <f t="shared" si="27"/>
        <v>12821.148142679169</v>
      </c>
      <c r="CG17" s="2">
        <f t="shared" si="27"/>
        <v>12678.290372866004</v>
      </c>
      <c r="CH17" s="2">
        <f t="shared" si="27"/>
        <v>9765.6375014764453</v>
      </c>
      <c r="CI17" s="2"/>
      <c r="CK17" s="1">
        <f t="shared" si="28"/>
        <v>22.465511939999999</v>
      </c>
      <c r="CL17" s="1">
        <f t="shared" si="28"/>
        <v>15.491239590000003</v>
      </c>
      <c r="CM17" s="1">
        <f t="shared" si="28"/>
        <v>13.599247020000002</v>
      </c>
      <c r="CN17" s="1">
        <f t="shared" si="28"/>
        <v>18.275047940000004</v>
      </c>
      <c r="CO17" s="1">
        <f t="shared" si="28"/>
        <v>22.033355530000001</v>
      </c>
      <c r="CP17" s="1">
        <f t="shared" si="28"/>
        <v>25.714133060000005</v>
      </c>
      <c r="CQ17" s="1">
        <f t="shared" si="28"/>
        <v>20.973477770000002</v>
      </c>
      <c r="CR17" s="1">
        <f t="shared" si="28"/>
        <v>25.565397789999999</v>
      </c>
      <c r="CS17" s="1">
        <f t="shared" si="28"/>
        <v>22.120083830000002</v>
      </c>
      <c r="CT17" s="1">
        <f t="shared" si="28"/>
        <v>25.223589140000001</v>
      </c>
      <c r="CU17" s="1">
        <f t="shared" si="28"/>
        <v>23.185079629999997</v>
      </c>
      <c r="CV17" s="1">
        <f t="shared" si="28"/>
        <v>18.014525360000007</v>
      </c>
      <c r="CW17" s="1">
        <f t="shared" si="28"/>
        <v>15.906782769999998</v>
      </c>
      <c r="CX17" s="1">
        <f t="shared" si="28"/>
        <v>9.6274282100000015</v>
      </c>
      <c r="CY17" s="1">
        <f t="shared" si="28"/>
        <v>12.184475789999999</v>
      </c>
      <c r="CZ17" s="1">
        <f t="shared" si="28"/>
        <v>14.349162859999998</v>
      </c>
      <c r="DA17" s="1">
        <f t="shared" si="29"/>
        <v>24.378519029999993</v>
      </c>
      <c r="DB17" s="1">
        <f t="shared" si="29"/>
        <v>22.211636389999995</v>
      </c>
      <c r="DC17" s="1">
        <f t="shared" si="29"/>
        <v>18.934177090000006</v>
      </c>
      <c r="DD17" s="1">
        <f t="shared" si="29"/>
        <v>18.049853030000005</v>
      </c>
      <c r="DE17" s="1">
        <f t="shared" si="29"/>
        <v>20.702965450000001</v>
      </c>
      <c r="DF17" s="1">
        <f t="shared" si="29"/>
        <v>19.199801710000003</v>
      </c>
      <c r="DG17" s="1">
        <f t="shared" si="29"/>
        <v>16.174522229999997</v>
      </c>
      <c r="DH17" s="1">
        <f t="shared" si="29"/>
        <v>22.082734950000003</v>
      </c>
      <c r="DJ17" s="1">
        <f t="shared" si="30"/>
        <v>0</v>
      </c>
      <c r="DK17" s="1">
        <f t="shared" si="30"/>
        <v>0</v>
      </c>
      <c r="DL17" s="1">
        <f t="shared" si="30"/>
        <v>2.9789999999999999E-3</v>
      </c>
      <c r="DM17" s="1">
        <f t="shared" si="30"/>
        <v>0</v>
      </c>
      <c r="DN17" s="1">
        <f t="shared" si="30"/>
        <v>0</v>
      </c>
      <c r="DO17" s="1">
        <f t="shared" si="30"/>
        <v>0</v>
      </c>
      <c r="DP17" s="1">
        <f t="shared" si="30"/>
        <v>4.0170669999999999E-2</v>
      </c>
      <c r="DQ17" s="1">
        <f t="shared" si="30"/>
        <v>0</v>
      </c>
      <c r="DR17" s="1">
        <f t="shared" si="30"/>
        <v>0</v>
      </c>
      <c r="DS17" s="1">
        <f t="shared" si="30"/>
        <v>1.5264E-3</v>
      </c>
      <c r="DT17" s="1">
        <f t="shared" si="30"/>
        <v>0</v>
      </c>
      <c r="DU17" s="1">
        <f t="shared" si="30"/>
        <v>0</v>
      </c>
      <c r="DV17" s="1">
        <f t="shared" si="30"/>
        <v>3.5298E-3</v>
      </c>
      <c r="DW17" s="1">
        <f t="shared" si="30"/>
        <v>0</v>
      </c>
      <c r="DX17" s="1">
        <f t="shared" si="30"/>
        <v>0</v>
      </c>
      <c r="DY17" s="1">
        <f t="shared" si="30"/>
        <v>0</v>
      </c>
      <c r="DZ17" s="1">
        <f t="shared" si="31"/>
        <v>0</v>
      </c>
      <c r="EA17" s="1">
        <f t="shared" si="31"/>
        <v>4.0664E-4</v>
      </c>
      <c r="EB17" s="1">
        <f t="shared" si="31"/>
        <v>0</v>
      </c>
      <c r="EC17" s="1">
        <f t="shared" si="31"/>
        <v>0</v>
      </c>
      <c r="ED17" s="1">
        <f t="shared" si="31"/>
        <v>0</v>
      </c>
      <c r="EE17" s="1">
        <f t="shared" si="31"/>
        <v>0</v>
      </c>
      <c r="EF17" s="1">
        <f t="shared" si="31"/>
        <v>0</v>
      </c>
      <c r="EG17" s="1">
        <f t="shared" si="31"/>
        <v>5.2539300000000004E-2</v>
      </c>
      <c r="EI17" s="14">
        <f t="shared" si="32"/>
        <v>0.3</v>
      </c>
      <c r="EJ17" s="14">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2"/>
        <v>0.3</v>
      </c>
      <c r="EY17" s="1">
        <f t="shared" si="33"/>
        <v>0.3</v>
      </c>
      <c r="EZ17" s="1">
        <f t="shared" si="33"/>
        <v>0.3</v>
      </c>
      <c r="FA17" s="1">
        <f t="shared" si="33"/>
        <v>0.3</v>
      </c>
      <c r="FB17" s="1">
        <f t="shared" si="33"/>
        <v>0.3</v>
      </c>
      <c r="FC17" s="1">
        <f t="shared" si="33"/>
        <v>0.3</v>
      </c>
      <c r="FD17" s="1">
        <f t="shared" si="33"/>
        <v>0.3</v>
      </c>
      <c r="FE17" s="1">
        <f t="shared" si="33"/>
        <v>0.3</v>
      </c>
      <c r="FF17" s="1">
        <f t="shared" si="33"/>
        <v>0.3</v>
      </c>
      <c r="FH17" s="162">
        <f t="shared" si="34"/>
        <v>0.18135004827655798</v>
      </c>
    </row>
    <row r="18" spans="1:164" ht="18.75" customHeight="1">
      <c r="A18" s="243" t="s">
        <v>222</v>
      </c>
      <c r="B18" s="246"/>
      <c r="C18" s="156">
        <f t="shared" si="5"/>
        <v>-0.33</v>
      </c>
      <c r="D18" s="198">
        <v>1</v>
      </c>
      <c r="E18" s="248">
        <f t="shared" si="6"/>
        <v>7.7659623278580892E-3</v>
      </c>
      <c r="F18" s="249">
        <f t="shared" si="7"/>
        <v>-2.1197228398868839E-2</v>
      </c>
      <c r="G18" s="248">
        <f t="shared" si="8"/>
        <v>3.2754146353908276E-3</v>
      </c>
      <c r="H18" s="249">
        <f t="shared" si="9"/>
        <v>4.4905476924672616E-3</v>
      </c>
      <c r="I18" s="253">
        <f t="shared" si="10"/>
        <v>0.43841666556336567</v>
      </c>
      <c r="J18" s="254">
        <f t="shared" si="11"/>
        <v>0.10790313023491671</v>
      </c>
      <c r="K18" s="248">
        <f t="shared" si="12"/>
        <v>0.31632989935317224</v>
      </c>
      <c r="L18" s="249">
        <f t="shared" si="13"/>
        <v>0.12208676621019343</v>
      </c>
      <c r="M18" s="250"/>
      <c r="N18" s="24">
        <v>-1</v>
      </c>
      <c r="O18" s="248">
        <f t="shared" si="35"/>
        <v>-3.8058080335949818E-2</v>
      </c>
      <c r="P18" s="251">
        <f t="shared" si="36"/>
        <v>-3.8058080335949818E-2</v>
      </c>
      <c r="Q18" s="248">
        <f t="shared" si="14"/>
        <v>-8.3817934636175706E-2</v>
      </c>
      <c r="R18" s="251">
        <f t="shared" si="37"/>
        <v>-8.3817934636175706E-2</v>
      </c>
      <c r="S18" s="250"/>
      <c r="T18" s="24">
        <v>-1</v>
      </c>
      <c r="U18" s="248">
        <f t="shared" si="15"/>
        <v>0.25052504461827185</v>
      </c>
      <c r="V18" s="252">
        <f t="shared" si="16"/>
        <v>0.25052504461827185</v>
      </c>
      <c r="W18" s="248">
        <f t="shared" si="38"/>
        <v>-0.21880801282665618</v>
      </c>
      <c r="X18" s="252">
        <f t="shared" si="17"/>
        <v>-0.21880801282665618</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2</v>
      </c>
      <c r="AQ18" s="28">
        <f>VLOOKUP($A18,historia!$A$5:$CM$24,+HLOOKUP(AQ$2,historia!$A$3:$EC$4,2,FALSE),FALSE)</f>
        <v>2</v>
      </c>
      <c r="AR18" s="28">
        <f>VLOOKUP($A18,historia!$A$5:$CM$24,+HLOOKUP(AR$2,historia!$A$3:$EC$4,2,FALSE),FALSE)</f>
        <v>2</v>
      </c>
      <c r="AS18" s="28">
        <f>VLOOKUP($A18,historia!$A$5:$CM$24,+HLOOKUP(AS$2,historia!$A$3:$EC$4,2,FALSE),FALSE)</f>
        <v>1</v>
      </c>
      <c r="AT18" s="58">
        <f>VLOOKUP($A18,historia!$A$5:$CM$24,+HLOOKUP(AT$2,historia!$A$3:$EC$4,2,FALSE),FALSE)</f>
        <v>1</v>
      </c>
      <c r="AU18" s="58">
        <f>VLOOKUP($A18,historia!$A$5:$DD$24,+HLOOKUP(AU$2,historia!$A$3:$EC$4,2,FALSE),FALSE)</f>
        <v>2</v>
      </c>
      <c r="AV18" s="58">
        <f>VLOOKUP($A18,historia!$A$5:$DD$24,+HLOOKUP(AV$2,historia!$A$3:$EC$4,2,FALSE),FALSE)</f>
        <v>2</v>
      </c>
      <c r="AW18" s="58">
        <f>VLOOKUP($A18,historia!$A$5:$DD$24,+HLOOKUP(AW$2,historia!$A$3:$EC$4,2,FALSE),FALSE)</f>
        <v>2</v>
      </c>
      <c r="AX18" s="58">
        <f>VLOOKUP($A18,historia!$A$5:$DD$24,+HLOOKUP(AX$2,historia!$A$3:$EC$4,2,FALSE),FALSE)</f>
        <v>2</v>
      </c>
      <c r="AY18" s="58">
        <f>VLOOKUP($A18,historia!$A$5:$DD$24,+HLOOKUP(AY$2,historia!$A$3:$EC$4,2,FALSE),FALSE)</f>
        <v>2</v>
      </c>
      <c r="AZ18" s="58">
        <f>VLOOKUP($A18,historia!$A$5:$DD$24,+HLOOKUP(AZ$2,historia!$A$3:$EC$4,2,FALSE),FALSE)</f>
        <v>2</v>
      </c>
      <c r="BA18" s="58">
        <f>VLOOKUP($A18,historia!$A$5:$DG$24,+HLOOKUP(BA$2,historia!$A$3:$EC$4,2,FALSE),FALSE)</f>
        <v>2</v>
      </c>
      <c r="BB18" s="58"/>
      <c r="BC18" s="286">
        <v>2</v>
      </c>
      <c r="BD18" t="str">
        <f t="shared" si="20"/>
        <v>Ovino</v>
      </c>
      <c r="BE18">
        <f>+datos!BU1</f>
        <v>73</v>
      </c>
      <c r="BF18" s="2" t="str">
        <f t="shared" si="4"/>
        <v>$/kg</v>
      </c>
      <c r="BG18" s="2">
        <f t="shared" si="4"/>
        <v>105684.344277</v>
      </c>
      <c r="BH18" s="2">
        <f t="shared" si="4"/>
        <v>104869.92836399999</v>
      </c>
      <c r="BI18" s="2">
        <f t="shared" si="4"/>
        <v>73472.691749999998</v>
      </c>
      <c r="BK18" s="1">
        <f>+datos!EL1</f>
        <v>142</v>
      </c>
      <c r="BL18" s="1">
        <f t="shared" si="21"/>
        <v>11967429</v>
      </c>
      <c r="BM18" s="1">
        <f t="shared" si="21"/>
        <v>12440906</v>
      </c>
      <c r="BO18" s="1">
        <f>+datos!GS1</f>
        <v>201</v>
      </c>
      <c r="BP18" s="1">
        <f t="shared" si="22"/>
        <v>35703.78</v>
      </c>
      <c r="BQ18" s="1">
        <f t="shared" si="22"/>
        <v>38970.18</v>
      </c>
      <c r="BS18" s="1">
        <f>+datos!KI1</f>
        <v>295</v>
      </c>
      <c r="BT18" s="1">
        <f t="shared" si="39"/>
        <v>274.69373518000003</v>
      </c>
      <c r="BU18" s="1">
        <f t="shared" si="40"/>
        <v>219.66272196</v>
      </c>
      <c r="BW18" s="1">
        <f>+datos!LN1</f>
        <v>326</v>
      </c>
      <c r="BX18" s="2">
        <f t="shared" si="23"/>
        <v>1.8364977900000001</v>
      </c>
      <c r="BY18" s="2">
        <f t="shared" si="24"/>
        <v>2.3508917400000002</v>
      </c>
      <c r="CA18" s="1">
        <f>+datos!JA1</f>
        <v>261</v>
      </c>
      <c r="CB18" s="1">
        <f t="shared" si="25"/>
        <v>3555</v>
      </c>
      <c r="CC18" s="1">
        <f t="shared" si="26"/>
        <v>2813</v>
      </c>
      <c r="CD18" s="1"/>
      <c r="CE18">
        <f>+datos!DI1</f>
        <v>113</v>
      </c>
      <c r="CF18" s="2">
        <f t="shared" si="27"/>
        <v>12975.408450578894</v>
      </c>
      <c r="CG18" s="2">
        <f t="shared" si="27"/>
        <v>12933.047357982356</v>
      </c>
      <c r="CH18" s="2">
        <f t="shared" si="27"/>
        <v>9857.2618132846819</v>
      </c>
      <c r="CI18" s="1"/>
      <c r="CK18" s="1">
        <f t="shared" si="28"/>
        <v>32.255325069999998</v>
      </c>
      <c r="CL18" s="1">
        <f t="shared" si="28"/>
        <v>31.916470830000002</v>
      </c>
      <c r="CM18" s="1">
        <f t="shared" si="28"/>
        <v>27.303396169999999</v>
      </c>
      <c r="CN18" s="1">
        <f t="shared" si="28"/>
        <v>22.774238799999999</v>
      </c>
      <c r="CO18" s="1">
        <f t="shared" si="28"/>
        <v>21.077032079999999</v>
      </c>
      <c r="CP18" s="1">
        <f t="shared" si="28"/>
        <v>19.550070639999998</v>
      </c>
      <c r="CQ18" s="1">
        <f t="shared" si="28"/>
        <v>17.8919189</v>
      </c>
      <c r="CR18" s="1">
        <f t="shared" si="28"/>
        <v>19.636014689999996</v>
      </c>
      <c r="CS18" s="1">
        <f t="shared" si="28"/>
        <v>18.748166940000001</v>
      </c>
      <c r="CT18" s="1">
        <f t="shared" si="28"/>
        <v>21.131437869999999</v>
      </c>
      <c r="CU18" s="1">
        <f t="shared" si="28"/>
        <v>23.746863359999999</v>
      </c>
      <c r="CV18" s="1">
        <f t="shared" si="28"/>
        <v>18.662799830000001</v>
      </c>
      <c r="CW18" s="1">
        <f t="shared" si="28"/>
        <v>31.610464650000004</v>
      </c>
      <c r="CX18" s="1">
        <f t="shared" si="28"/>
        <v>14.881609229999999</v>
      </c>
      <c r="CY18" s="1">
        <f t="shared" si="28"/>
        <v>18.538380959999998</v>
      </c>
      <c r="CZ18" s="1">
        <f t="shared" si="28"/>
        <v>15.79353798</v>
      </c>
      <c r="DA18" s="1">
        <f t="shared" si="29"/>
        <v>15.390557059999999</v>
      </c>
      <c r="DB18" s="1">
        <f t="shared" si="29"/>
        <v>12.657815750000001</v>
      </c>
      <c r="DC18" s="1">
        <f t="shared" si="29"/>
        <v>13.430479930000001</v>
      </c>
      <c r="DD18" s="1">
        <f t="shared" si="29"/>
        <v>15.60716012</v>
      </c>
      <c r="DE18" s="1">
        <f t="shared" si="29"/>
        <v>19.03918719</v>
      </c>
      <c r="DF18" s="1">
        <f t="shared" si="29"/>
        <v>17.774232269999999</v>
      </c>
      <c r="DG18" s="1">
        <f t="shared" si="29"/>
        <v>22.502102959999998</v>
      </c>
      <c r="DH18" s="1">
        <f t="shared" si="29"/>
        <v>22.437193859999997</v>
      </c>
      <c r="DJ18" s="1">
        <f t="shared" si="30"/>
        <v>0.25499293999999995</v>
      </c>
      <c r="DK18" s="1">
        <f t="shared" si="30"/>
        <v>0.11824628</v>
      </c>
      <c r="DL18" s="1">
        <f t="shared" si="30"/>
        <v>0.37141849000000005</v>
      </c>
      <c r="DM18" s="1">
        <f t="shared" si="30"/>
        <v>4.9819790000000003E-2</v>
      </c>
      <c r="DN18" s="1">
        <f t="shared" si="30"/>
        <v>5.7726630000000001E-2</v>
      </c>
      <c r="DO18" s="1">
        <f t="shared" si="30"/>
        <v>0.12164886</v>
      </c>
      <c r="DP18" s="1">
        <f t="shared" si="30"/>
        <v>6.2847730000000004E-2</v>
      </c>
      <c r="DQ18" s="1">
        <f t="shared" si="30"/>
        <v>7.1441070000000009E-2</v>
      </c>
      <c r="DR18" s="1">
        <f t="shared" si="30"/>
        <v>0.19937177999999997</v>
      </c>
      <c r="DS18" s="1">
        <f t="shared" si="30"/>
        <v>0.18211829000000002</v>
      </c>
      <c r="DT18" s="1">
        <f t="shared" si="30"/>
        <v>0.19639201000000001</v>
      </c>
      <c r="DU18" s="1">
        <f t="shared" si="30"/>
        <v>0.15047392000000001</v>
      </c>
      <c r="DV18" s="1">
        <f t="shared" si="30"/>
        <v>0.19393855000000002</v>
      </c>
      <c r="DW18" s="1">
        <f t="shared" si="30"/>
        <v>0.16347327</v>
      </c>
      <c r="DX18" s="1">
        <f t="shared" si="30"/>
        <v>0.18164933</v>
      </c>
      <c r="DY18" s="1">
        <f t="shared" si="30"/>
        <v>0.25055533999999996</v>
      </c>
      <c r="DZ18" s="1">
        <f t="shared" si="31"/>
        <v>0.29342396000000004</v>
      </c>
      <c r="EA18" s="1">
        <f t="shared" si="31"/>
        <v>0.26088905000000001</v>
      </c>
      <c r="EB18" s="1">
        <f t="shared" si="31"/>
        <v>0.18624962</v>
      </c>
      <c r="EC18" s="1">
        <f t="shared" si="31"/>
        <v>0.1577527</v>
      </c>
      <c r="ED18" s="1">
        <f t="shared" si="31"/>
        <v>0.24821200999999998</v>
      </c>
      <c r="EE18" s="1">
        <f t="shared" si="31"/>
        <v>0.13589592</v>
      </c>
      <c r="EF18" s="1">
        <f t="shared" si="31"/>
        <v>0.23010199000000001</v>
      </c>
      <c r="EG18" s="1">
        <f t="shared" si="31"/>
        <v>4.8750000000000002E-2</v>
      </c>
      <c r="EI18" s="14">
        <f t="shared" si="32"/>
        <v>3555</v>
      </c>
      <c r="EJ18" s="14">
        <f t="shared" si="32"/>
        <v>3555</v>
      </c>
      <c r="EK18" s="1">
        <f t="shared" si="32"/>
        <v>3555</v>
      </c>
      <c r="EL18" s="1">
        <f t="shared" si="32"/>
        <v>3555</v>
      </c>
      <c r="EM18" s="1">
        <f t="shared" si="32"/>
        <v>3555</v>
      </c>
      <c r="EN18" s="1">
        <f t="shared" si="32"/>
        <v>3555</v>
      </c>
      <c r="EO18" s="1">
        <f t="shared" si="32"/>
        <v>3555</v>
      </c>
      <c r="EP18" s="1">
        <f t="shared" si="32"/>
        <v>3555</v>
      </c>
      <c r="EQ18" s="1">
        <f t="shared" si="32"/>
        <v>3555</v>
      </c>
      <c r="ER18" s="1">
        <f t="shared" si="32"/>
        <v>3735</v>
      </c>
      <c r="ES18" s="1">
        <f t="shared" si="32"/>
        <v>2813</v>
      </c>
      <c r="ET18" s="1">
        <f t="shared" si="32"/>
        <v>2813</v>
      </c>
      <c r="EU18" s="1">
        <f t="shared" si="32"/>
        <v>2813</v>
      </c>
      <c r="EV18" s="1">
        <f t="shared" si="32"/>
        <v>2813</v>
      </c>
      <c r="EW18" s="1">
        <f t="shared" si="32"/>
        <v>2813</v>
      </c>
      <c r="EX18" s="1">
        <f t="shared" si="32"/>
        <v>2813</v>
      </c>
      <c r="EY18" s="1">
        <f t="shared" si="33"/>
        <v>2813</v>
      </c>
      <c r="EZ18" s="1">
        <f t="shared" si="33"/>
        <v>2813</v>
      </c>
      <c r="FA18" s="1">
        <f t="shared" si="33"/>
        <v>2813</v>
      </c>
      <c r="FB18" s="1">
        <f t="shared" si="33"/>
        <v>2813</v>
      </c>
      <c r="FC18" s="1">
        <f t="shared" si="33"/>
        <v>2813</v>
      </c>
      <c r="FD18" s="1">
        <f t="shared" si="33"/>
        <v>2813</v>
      </c>
      <c r="FE18" s="1">
        <f t="shared" si="33"/>
        <v>2813</v>
      </c>
      <c r="FF18" s="1">
        <f t="shared" si="33"/>
        <v>2813</v>
      </c>
      <c r="FH18" s="162">
        <f t="shared" si="34"/>
        <v>0.12208676621019343</v>
      </c>
    </row>
    <row r="19" spans="1:164" ht="18.75" customHeight="1">
      <c r="A19" s="244" t="s">
        <v>66</v>
      </c>
      <c r="B19" s="247"/>
      <c r="C19" s="228">
        <f t="shared" si="5"/>
        <v>0</v>
      </c>
      <c r="D19" s="229">
        <v>-1</v>
      </c>
      <c r="E19" s="477">
        <f t="shared" si="6"/>
        <v>0.10964310409020817</v>
      </c>
      <c r="F19" s="254">
        <f t="shared" si="7"/>
        <v>8.0679913363481237E-2</v>
      </c>
      <c r="G19" s="253">
        <f t="shared" si="8"/>
        <v>1.7953499526335737E-2</v>
      </c>
      <c r="H19" s="254">
        <f t="shared" si="9"/>
        <v>9.1689604563872429E-2</v>
      </c>
      <c r="I19" s="253">
        <f t="shared" si="10"/>
        <v>0.64920329082178796</v>
      </c>
      <c r="J19" s="254">
        <f t="shared" si="11"/>
        <v>0.318689755493339</v>
      </c>
      <c r="K19" s="253">
        <f t="shared" si="12"/>
        <v>0.3388552669549203</v>
      </c>
      <c r="L19" s="254">
        <f t="shared" si="13"/>
        <v>0.31034802386686766</v>
      </c>
      <c r="M19" s="255"/>
      <c r="N19" s="256">
        <v>0</v>
      </c>
      <c r="O19" s="253">
        <f t="shared" si="35"/>
        <v>-0.1166932970112895</v>
      </c>
      <c r="P19" s="257">
        <f t="shared" si="36"/>
        <v>-0.1166932970112895</v>
      </c>
      <c r="Q19" s="253">
        <f t="shared" si="14"/>
        <v>0</v>
      </c>
      <c r="R19" s="257">
        <v>-0.01</v>
      </c>
      <c r="S19" s="255"/>
      <c r="T19" s="256">
        <v>1</v>
      </c>
      <c r="U19" s="253">
        <f t="shared" si="15"/>
        <v>-8.1107871311146162E-2</v>
      </c>
      <c r="V19" s="258">
        <f t="shared" si="16"/>
        <v>-8.1107871311146162E-2</v>
      </c>
      <c r="W19" s="253">
        <f t="shared" si="38"/>
        <v>-0.19004570338358828</v>
      </c>
      <c r="X19" s="258">
        <f t="shared" si="17"/>
        <v>-0.19004570338358828</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3</v>
      </c>
      <c r="AQ19" s="28">
        <f>VLOOKUP($A19,historia!$A$5:$CM$24,+HLOOKUP(AQ$2,historia!$A$3:$EC$4,2,FALSE),FALSE)</f>
        <v>3</v>
      </c>
      <c r="AR19" s="28">
        <f>VLOOKUP($A19,historia!$A$5:$CM$24,+HLOOKUP(AR$2,historia!$A$3:$EC$4,2,FALSE),FALSE)</f>
        <v>4</v>
      </c>
      <c r="AS19" s="28">
        <f>VLOOKUP($A19,historia!$A$5:$CM$24,+HLOOKUP(AS$2,historia!$A$3:$EC$4,2,FALSE),FALSE)</f>
        <v>4</v>
      </c>
      <c r="AT19" s="58">
        <f>VLOOKUP($A19,historia!$A$5:$CM$24,+HLOOKUP(AT$2,historia!$A$3:$EC$4,2,FALSE),FALSE)</f>
        <v>4</v>
      </c>
      <c r="AU19" s="58">
        <f>VLOOKUP($A19,historia!$A$5:$DD$24,+HLOOKUP(AU$2,historia!$A$3:$EC$4,2,FALSE),FALSE)</f>
        <v>5</v>
      </c>
      <c r="AV19" s="58">
        <f>VLOOKUP($A19,historia!$A$5:$DD$24,+HLOOKUP(AV$2,historia!$A$3:$EC$4,2,FALSE),FALSE)</f>
        <v>4</v>
      </c>
      <c r="AW19" s="58">
        <f>VLOOKUP($A19,historia!$A$5:$DD$24,+HLOOKUP(AW$2,historia!$A$3:$EC$4,2,FALSE),FALSE)</f>
        <v>4</v>
      </c>
      <c r="AX19" s="58">
        <f>VLOOKUP($A19,historia!$A$5:$DD$24,+HLOOKUP(AX$2,historia!$A$3:$EC$4,2,FALSE),FALSE)</f>
        <v>4</v>
      </c>
      <c r="AY19" s="58">
        <f>VLOOKUP($A19,historia!$A$5:$DD$24,+HLOOKUP(AY$2,historia!$A$3:$EC$4,2,FALSE),FALSE)</f>
        <v>4</v>
      </c>
      <c r="AZ19" s="58">
        <f>VLOOKUP($A19,historia!$A$5:$DD$24,+HLOOKUP(AZ$2,historia!$A$3:$EC$4,2,FALSE),FALSE)</f>
        <v>4</v>
      </c>
      <c r="BA19" s="58">
        <f>VLOOKUP($A19,historia!$A$5:$DG$24,+HLOOKUP(BA$2,historia!$A$3:$EC$4,2,FALSE),FALSE)</f>
        <v>4</v>
      </c>
      <c r="BB19" s="58"/>
      <c r="BC19" s="286">
        <v>4</v>
      </c>
      <c r="BD19" t="str">
        <f t="shared" si="20"/>
        <v>Papa</v>
      </c>
      <c r="BE19">
        <f>+datos!AV1</f>
        <v>48</v>
      </c>
      <c r="BF19" s="2" t="str">
        <f t="shared" si="4"/>
        <v>$/bolsa 20kg</v>
      </c>
      <c r="BG19" s="2">
        <f t="shared" si="4"/>
        <v>9822.2222222222226</v>
      </c>
      <c r="BH19" s="2">
        <f t="shared" si="4"/>
        <v>8851.6949152542365</v>
      </c>
      <c r="BI19" s="2">
        <f t="shared" si="4"/>
        <v>5955.7377049180332</v>
      </c>
      <c r="BK19" s="1">
        <f>+datos!EZ1</f>
        <v>156</v>
      </c>
      <c r="BL19" s="1">
        <f t="shared" si="21"/>
        <v>33722</v>
      </c>
      <c r="BM19" s="1">
        <f t="shared" si="21"/>
        <v>38177</v>
      </c>
      <c r="BO19" s="1">
        <f>+datos!GT1</f>
        <v>202</v>
      </c>
      <c r="BP19" s="1">
        <f t="shared" si="22"/>
        <v>2111561</v>
      </c>
      <c r="BQ19" s="1">
        <f t="shared" si="22"/>
        <v>2111561</v>
      </c>
      <c r="BS19" s="1">
        <f>+datos!JO1</f>
        <v>275</v>
      </c>
      <c r="BT19" s="1">
        <f t="shared" si="39"/>
        <v>373.13970617000007</v>
      </c>
      <c r="BU19" s="1">
        <f t="shared" si="40"/>
        <v>406.07563665000004</v>
      </c>
      <c r="BW19" s="1">
        <f>+datos!KT1</f>
        <v>306</v>
      </c>
      <c r="BX19" s="2">
        <f t="shared" si="23"/>
        <v>12.958669080000004</v>
      </c>
      <c r="BY19" s="2">
        <f t="shared" si="24"/>
        <v>15.999259630000003</v>
      </c>
      <c r="CA19" s="1">
        <f>+datos!JB1</f>
        <v>262</v>
      </c>
      <c r="CB19" s="1">
        <f t="shared" si="25"/>
        <v>35.950000000000003</v>
      </c>
      <c r="CC19" s="1">
        <f t="shared" si="26"/>
        <v>35.950000000000003</v>
      </c>
      <c r="CD19" s="1"/>
      <c r="CE19">
        <f>+datos!CI1</f>
        <v>87</v>
      </c>
      <c r="CF19" s="2">
        <f t="shared" si="27"/>
        <v>13061.683018875612</v>
      </c>
      <c r="CG19" s="2">
        <f t="shared" si="27"/>
        <v>12831.315993268208</v>
      </c>
      <c r="CH19" s="2">
        <f t="shared" si="27"/>
        <v>9755.8588603703065</v>
      </c>
      <c r="CI19" s="1"/>
      <c r="CK19" s="1">
        <f t="shared" si="28"/>
        <v>27.540207300000002</v>
      </c>
      <c r="CL19" s="1">
        <f t="shared" si="28"/>
        <v>27.589055210000001</v>
      </c>
      <c r="CM19" s="1">
        <f t="shared" si="28"/>
        <v>34.54170027</v>
      </c>
      <c r="CN19" s="1">
        <f t="shared" si="28"/>
        <v>29.033049210000001</v>
      </c>
      <c r="CO19" s="1">
        <f t="shared" si="28"/>
        <v>32.137001479999995</v>
      </c>
      <c r="CP19" s="1">
        <f t="shared" si="28"/>
        <v>31.771959519999999</v>
      </c>
      <c r="CQ19" s="1">
        <f t="shared" si="28"/>
        <v>30.172516640000001</v>
      </c>
      <c r="CR19" s="1">
        <f t="shared" si="28"/>
        <v>33.254909299999994</v>
      </c>
      <c r="CS19" s="1">
        <f t="shared" si="28"/>
        <v>34.03841525</v>
      </c>
      <c r="CT19" s="1">
        <f t="shared" si="28"/>
        <v>32.790200410000004</v>
      </c>
      <c r="CU19" s="1">
        <f t="shared" si="28"/>
        <v>33.403797109999999</v>
      </c>
      <c r="CV19" s="1">
        <f t="shared" si="28"/>
        <v>26.866894470000005</v>
      </c>
      <c r="CW19" s="1">
        <f t="shared" si="28"/>
        <v>30.959664470000003</v>
      </c>
      <c r="CX19" s="1">
        <f t="shared" si="28"/>
        <v>28.030286839999999</v>
      </c>
      <c r="CY19" s="1">
        <f t="shared" si="28"/>
        <v>35.227965569999995</v>
      </c>
      <c r="CZ19" s="1">
        <f t="shared" si="28"/>
        <v>43.313690020000003</v>
      </c>
      <c r="DA19" s="1">
        <f t="shared" si="29"/>
        <v>38.158354570000007</v>
      </c>
      <c r="DB19" s="1">
        <f t="shared" si="29"/>
        <v>36.879687310000008</v>
      </c>
      <c r="DC19" s="1">
        <f t="shared" si="29"/>
        <v>30.584450140000001</v>
      </c>
      <c r="DD19" s="1">
        <f t="shared" si="29"/>
        <v>34.87822036</v>
      </c>
      <c r="DE19" s="1">
        <f t="shared" si="29"/>
        <v>30.986019150000001</v>
      </c>
      <c r="DF19" s="1">
        <f t="shared" si="29"/>
        <v>34.45773063</v>
      </c>
      <c r="DG19" s="1">
        <f t="shared" si="29"/>
        <v>33.675059580000003</v>
      </c>
      <c r="DH19" s="1">
        <f t="shared" si="29"/>
        <v>28.924508010000004</v>
      </c>
      <c r="DJ19" s="1">
        <f t="shared" si="30"/>
        <v>1.0022204700000001</v>
      </c>
      <c r="DK19" s="1">
        <f t="shared" si="30"/>
        <v>2.2861269800000001</v>
      </c>
      <c r="DL19" s="1">
        <f t="shared" si="30"/>
        <v>1.06092366</v>
      </c>
      <c r="DM19" s="1">
        <f t="shared" si="30"/>
        <v>0.94273901999999998</v>
      </c>
      <c r="DN19" s="1">
        <f t="shared" si="30"/>
        <v>1.1078551999999999</v>
      </c>
      <c r="DO19" s="1">
        <f t="shared" si="30"/>
        <v>1.1250931100000001</v>
      </c>
      <c r="DP19" s="1">
        <f t="shared" si="30"/>
        <v>0.74439149999999998</v>
      </c>
      <c r="DQ19" s="1">
        <f t="shared" si="30"/>
        <v>1.2444918700000001</v>
      </c>
      <c r="DR19" s="1">
        <f t="shared" si="30"/>
        <v>0.75058031000000003</v>
      </c>
      <c r="DS19" s="1">
        <f t="shared" si="30"/>
        <v>0.8744752400000001</v>
      </c>
      <c r="DT19" s="1">
        <f t="shared" si="30"/>
        <v>0.62052411000000007</v>
      </c>
      <c r="DU19" s="1">
        <f t="shared" si="30"/>
        <v>1.19924761</v>
      </c>
      <c r="DV19" s="1">
        <f t="shared" si="30"/>
        <v>0.86551083000000006</v>
      </c>
      <c r="DW19" s="1">
        <f t="shared" si="30"/>
        <v>0.79831189000000002</v>
      </c>
      <c r="DX19" s="1">
        <f t="shared" si="30"/>
        <v>1.1318278900000001</v>
      </c>
      <c r="DY19" s="1">
        <f t="shared" si="30"/>
        <v>1.8442369199999997</v>
      </c>
      <c r="DZ19" s="1">
        <f t="shared" si="31"/>
        <v>1.0529063700000001</v>
      </c>
      <c r="EA19" s="1">
        <f t="shared" si="31"/>
        <v>2.0286618900000004</v>
      </c>
      <c r="EB19" s="1">
        <f t="shared" si="31"/>
        <v>0.79104531999999994</v>
      </c>
      <c r="EC19" s="1">
        <f t="shared" si="31"/>
        <v>1.6294275100000002</v>
      </c>
      <c r="ED19" s="1">
        <f t="shared" si="31"/>
        <v>1.8725515799999999</v>
      </c>
      <c r="EE19" s="1">
        <f t="shared" si="31"/>
        <v>1.9938344900000002</v>
      </c>
      <c r="EF19" s="1">
        <f t="shared" si="31"/>
        <v>1.4070700599999999</v>
      </c>
      <c r="EG19" s="1">
        <f t="shared" si="31"/>
        <v>0.5838748800000001</v>
      </c>
      <c r="EI19" s="14">
        <f t="shared" si="32"/>
        <v>35.950000000000003</v>
      </c>
      <c r="EJ19" s="14">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2"/>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F19" s="1">
        <f t="shared" si="33"/>
        <v>35.950000000000003</v>
      </c>
      <c r="FH19" s="162">
        <f t="shared" si="34"/>
        <v>0.31034802386686766</v>
      </c>
    </row>
    <row r="20" spans="1:164" ht="27" customHeight="1">
      <c r="A20" s="264" t="s">
        <v>218</v>
      </c>
      <c r="B20" s="246"/>
      <c r="C20" s="156">
        <f t="shared" si="5"/>
        <v>0</v>
      </c>
      <c r="D20" s="198">
        <v>-1</v>
      </c>
      <c r="E20" s="248">
        <f t="shared" si="6"/>
        <v>-0.10890258009909237</v>
      </c>
      <c r="F20" s="249">
        <f t="shared" si="7"/>
        <v>-0.1378657708258193</v>
      </c>
      <c r="G20" s="248">
        <f t="shared" si="8"/>
        <v>-2.8967793050212465E-2</v>
      </c>
      <c r="H20" s="249">
        <f t="shared" si="9"/>
        <v>-7.9934787048879907E-2</v>
      </c>
      <c r="I20" s="248">
        <f t="shared" si="10"/>
        <v>0.96724281874145634</v>
      </c>
      <c r="J20" s="249">
        <f t="shared" si="11"/>
        <v>0.63672928341300739</v>
      </c>
      <c r="K20" s="248">
        <f t="shared" si="12"/>
        <v>0.33714994577814816</v>
      </c>
      <c r="L20" s="249">
        <f t="shared" si="13"/>
        <v>0.63009287296330818</v>
      </c>
      <c r="M20" s="250"/>
      <c r="N20" s="24">
        <v>-1</v>
      </c>
      <c r="O20" s="248">
        <f t="shared" si="35"/>
        <v>0</v>
      </c>
      <c r="P20" s="251">
        <f t="shared" si="36"/>
        <v>0</v>
      </c>
      <c r="Q20" s="248">
        <f t="shared" si="14"/>
        <v>3.9002211624585836E-3</v>
      </c>
      <c r="R20" s="251">
        <f t="shared" si="37"/>
        <v>3.9002211624585836E-3</v>
      </c>
      <c r="S20" s="250"/>
      <c r="T20" s="24">
        <v>2</v>
      </c>
      <c r="U20" s="248">
        <f t="shared" si="15"/>
        <v>7.7003325015551738E-2</v>
      </c>
      <c r="V20" s="252">
        <f t="shared" si="16"/>
        <v>7.7003325015551738E-2</v>
      </c>
      <c r="W20" s="248">
        <f t="shared" si="38"/>
        <v>1.2462626579944143</v>
      </c>
      <c r="X20" s="252">
        <f t="shared" si="17"/>
        <v>1.2462626579944143</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4</v>
      </c>
      <c r="AQ20" s="28">
        <f>VLOOKUP($A20,historia!$A$5:$CM$24,+HLOOKUP(AQ$2,historia!$A$3:$EC$4,2,FALSE),FALSE)</f>
        <v>4</v>
      </c>
      <c r="AR20" s="28">
        <f>VLOOKUP($A20,historia!$A$5:$CM$24,+HLOOKUP(AR$2,historia!$A$3:$EC$4,2,FALSE),FALSE)</f>
        <v>4</v>
      </c>
      <c r="AS20" s="28">
        <f>VLOOKUP($A20,historia!$A$5:$CM$24,+HLOOKUP(AS$2,historia!$A$3:$EC$4,2,FALSE),FALSE)</f>
        <v>3</v>
      </c>
      <c r="AT20" s="58">
        <f>VLOOKUP($A20,historia!$A$5:$CM$24,+HLOOKUP(AT$2,historia!$A$3:$EC$4,2,FALSE),FALSE)</f>
        <v>2</v>
      </c>
      <c r="AU20" s="58">
        <f>VLOOKUP($A20,historia!$A$5:$DD$24,+HLOOKUP(AU$2,historia!$A$3:$EC$4,2,FALSE),FALSE)</f>
        <v>2</v>
      </c>
      <c r="AV20" s="58">
        <f>VLOOKUP($A20,historia!$A$5:$DD$24,+HLOOKUP(AV$2,historia!$A$3:$EC$4,2,FALSE),FALSE)</f>
        <v>3</v>
      </c>
      <c r="AW20" s="58">
        <f>VLOOKUP($A20,historia!$A$5:$DD$24,+HLOOKUP(AW$2,historia!$A$3:$EC$4,2,FALSE),FALSE)</f>
        <v>3</v>
      </c>
      <c r="AX20" s="58">
        <f>VLOOKUP($A20,historia!$A$5:$DD$24,+HLOOKUP(AX$2,historia!$A$3:$EC$4,2,FALSE),FALSE)</f>
        <v>3</v>
      </c>
      <c r="AY20" s="58">
        <f>VLOOKUP($A20,historia!$A$5:$DD$24,+HLOOKUP(AY$2,historia!$A$3:$EC$4,2,FALSE),FALSE)</f>
        <v>3</v>
      </c>
      <c r="AZ20" s="58">
        <f>VLOOKUP($A20,historia!$A$5:$DD$24,+HLOOKUP(AZ$2,historia!$A$3:$EC$4,2,FALSE),FALSE)</f>
        <v>3</v>
      </c>
      <c r="BA20" s="58">
        <f>VLOOKUP($A20,historia!$A$5:$DG$24,+HLOOKUP(BA$2,historia!$A$3:$EC$4,2,FALSE),FALSE)</f>
        <v>3</v>
      </c>
      <c r="BB20" s="58"/>
      <c r="BC20" s="286">
        <v>3</v>
      </c>
      <c r="BD20" t="str">
        <f t="shared" si="20"/>
        <v>Peras y Manzanas</v>
      </c>
      <c r="BE20">
        <f>+datos!AP1</f>
        <v>42</v>
      </c>
      <c r="BF20" s="2" t="str">
        <f t="shared" si="4"/>
        <v>$/caja 18kg</v>
      </c>
      <c r="BG20" s="2">
        <f t="shared" si="4"/>
        <v>33355.388888888891</v>
      </c>
      <c r="BH20" s="2">
        <f t="shared" si="4"/>
        <v>37431.809523809527</v>
      </c>
      <c r="BI20" s="2">
        <f t="shared" si="4"/>
        <v>16955.400000000001</v>
      </c>
      <c r="BK20" s="1">
        <f>+datos!FC1</f>
        <v>159</v>
      </c>
      <c r="BL20" s="1">
        <f t="shared" si="21"/>
        <v>38084</v>
      </c>
      <c r="BM20" s="1">
        <f t="shared" si="21"/>
        <v>38084</v>
      </c>
      <c r="BO20" s="1">
        <f>+datos!GW1</f>
        <v>205</v>
      </c>
      <c r="BP20" s="1">
        <f t="shared" si="22"/>
        <v>781196</v>
      </c>
      <c r="BQ20" s="1">
        <f t="shared" si="22"/>
        <v>778161</v>
      </c>
      <c r="BS20" s="1">
        <f>+datos!LS1</f>
        <v>331</v>
      </c>
      <c r="BT20" s="1">
        <f t="shared" si="39"/>
        <v>446.80642803000001</v>
      </c>
      <c r="BU20" s="1">
        <f t="shared" si="40"/>
        <v>414.86076937000001</v>
      </c>
      <c r="BW20" s="1">
        <f>+datos!LW1</f>
        <v>335</v>
      </c>
      <c r="BX20" s="2">
        <f t="shared" si="23"/>
        <v>6.1061619699999996</v>
      </c>
      <c r="BY20" s="2">
        <f t="shared" si="24"/>
        <v>2.7183650800000003</v>
      </c>
      <c r="CA20" s="1">
        <f>+datos!JC1</f>
        <v>263</v>
      </c>
      <c r="CB20" s="1">
        <f t="shared" si="25"/>
        <v>0</v>
      </c>
      <c r="CC20" s="1">
        <f t="shared" si="26"/>
        <v>0</v>
      </c>
      <c r="CD20" s="1"/>
      <c r="CE20">
        <f>+datos!CS1</f>
        <v>97</v>
      </c>
      <c r="CF20" s="2">
        <f t="shared" si="27"/>
        <v>13037.122453357184</v>
      </c>
      <c r="CG20" s="2">
        <f t="shared" si="27"/>
        <v>13426.045356733815</v>
      </c>
      <c r="CH20" s="2">
        <f t="shared" si="27"/>
        <v>9749.9330531478208</v>
      </c>
      <c r="CI20" s="1"/>
      <c r="CK20" s="1">
        <f t="shared" si="28"/>
        <v>49.534875409999998</v>
      </c>
      <c r="CL20" s="1">
        <f t="shared" si="28"/>
        <v>25.805604299999995</v>
      </c>
      <c r="CM20" s="1">
        <f t="shared" si="28"/>
        <v>14.27210653</v>
      </c>
      <c r="CN20" s="1">
        <f t="shared" si="28"/>
        <v>20.571055439999999</v>
      </c>
      <c r="CO20" s="1">
        <f t="shared" si="28"/>
        <v>24.907231830000001</v>
      </c>
      <c r="CP20" s="1">
        <f t="shared" si="28"/>
        <v>41.046257050000001</v>
      </c>
      <c r="CQ20" s="1">
        <f t="shared" si="28"/>
        <v>31.183989080000003</v>
      </c>
      <c r="CR20" s="1">
        <f t="shared" si="28"/>
        <v>31.314835450000004</v>
      </c>
      <c r="CS20" s="1">
        <f t="shared" si="28"/>
        <v>42.986147830000007</v>
      </c>
      <c r="CT20" s="1">
        <f t="shared" si="28"/>
        <v>54.859389430000007</v>
      </c>
      <c r="CU20" s="1">
        <f t="shared" si="28"/>
        <v>51.150985829999996</v>
      </c>
      <c r="CV20" s="1">
        <f t="shared" si="28"/>
        <v>59.173949850000007</v>
      </c>
      <c r="CW20" s="1">
        <f t="shared" si="28"/>
        <v>46.396857000000011</v>
      </c>
      <c r="CX20" s="1">
        <f t="shared" si="28"/>
        <v>23.934850630000003</v>
      </c>
      <c r="CY20" s="1">
        <f t="shared" si="28"/>
        <v>23.934850630000003</v>
      </c>
      <c r="CZ20" s="1">
        <f t="shared" si="28"/>
        <v>23.934850630000003</v>
      </c>
      <c r="DA20" s="1">
        <f t="shared" si="29"/>
        <v>25.188374430000003</v>
      </c>
      <c r="DB20" s="1">
        <f t="shared" si="29"/>
        <v>22.303018159999997</v>
      </c>
      <c r="DC20" s="1">
        <f t="shared" si="29"/>
        <v>14.93334776</v>
      </c>
      <c r="DD20" s="1">
        <f t="shared" si="29"/>
        <v>35.336569390000001</v>
      </c>
      <c r="DE20" s="1">
        <f t="shared" si="29"/>
        <v>46.662709379999995</v>
      </c>
      <c r="DF20" s="1">
        <f t="shared" si="29"/>
        <v>45.302769560000002</v>
      </c>
      <c r="DG20" s="1">
        <f t="shared" si="29"/>
        <v>46.856289650000001</v>
      </c>
      <c r="DH20" s="1">
        <f t="shared" si="29"/>
        <v>60.076282149999997</v>
      </c>
      <c r="DJ20" s="1">
        <f t="shared" si="30"/>
        <v>0.31596546000000003</v>
      </c>
      <c r="DK20" s="1">
        <f t="shared" si="30"/>
        <v>5.1857800000000009E-3</v>
      </c>
      <c r="DL20" s="1">
        <f t="shared" si="30"/>
        <v>0.39547034999999997</v>
      </c>
      <c r="DM20" s="1">
        <f t="shared" si="30"/>
        <v>0.54650961999999992</v>
      </c>
      <c r="DN20" s="1">
        <f t="shared" si="30"/>
        <v>0.19315473</v>
      </c>
      <c r="DO20" s="1">
        <f t="shared" si="30"/>
        <v>0.43976497000000003</v>
      </c>
      <c r="DP20" s="1">
        <f t="shared" si="30"/>
        <v>0.72520266</v>
      </c>
      <c r="DQ20" s="1">
        <f t="shared" si="30"/>
        <v>1.1922353400000001</v>
      </c>
      <c r="DR20" s="1">
        <f t="shared" si="30"/>
        <v>1.0915780799999999</v>
      </c>
      <c r="DS20" s="1">
        <f t="shared" si="30"/>
        <v>0.5667896</v>
      </c>
      <c r="DT20" s="1">
        <f t="shared" si="30"/>
        <v>0.43323378000000001</v>
      </c>
      <c r="DU20" s="1">
        <f t="shared" si="30"/>
        <v>0.20107160000000002</v>
      </c>
      <c r="DV20" s="1">
        <f t="shared" si="30"/>
        <v>4.7323499999999998E-2</v>
      </c>
      <c r="DW20" s="1">
        <f t="shared" si="30"/>
        <v>0.18245199000000001</v>
      </c>
      <c r="DX20" s="1">
        <f t="shared" si="30"/>
        <v>6.8745290000000001E-2</v>
      </c>
      <c r="DY20" s="1">
        <f t="shared" si="30"/>
        <v>0.21798748000000001</v>
      </c>
      <c r="DZ20" s="1">
        <f t="shared" si="31"/>
        <v>7.9820000000000002E-2</v>
      </c>
      <c r="EA20" s="1">
        <f t="shared" si="31"/>
        <v>0.14837025000000001</v>
      </c>
      <c r="EB20" s="1">
        <f t="shared" si="31"/>
        <v>0.3865221499999999</v>
      </c>
      <c r="EC20" s="1">
        <f t="shared" si="31"/>
        <v>0.51794252000000007</v>
      </c>
      <c r="ED20" s="1">
        <f t="shared" si="31"/>
        <v>0.37362660000000003</v>
      </c>
      <c r="EE20" s="1">
        <f t="shared" si="31"/>
        <v>0.32288670000000003</v>
      </c>
      <c r="EF20" s="1">
        <f t="shared" si="31"/>
        <v>0.29487440000000004</v>
      </c>
      <c r="EG20" s="1">
        <f t="shared" si="31"/>
        <v>7.78142E-2</v>
      </c>
      <c r="EI20" s="14">
        <f t="shared" si="32"/>
        <v>0</v>
      </c>
      <c r="EJ20" s="14">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2"/>
        <v>0</v>
      </c>
      <c r="EY20" s="1">
        <f t="shared" si="33"/>
        <v>0</v>
      </c>
      <c r="EZ20" s="1">
        <f t="shared" si="33"/>
        <v>0</v>
      </c>
      <c r="FA20" s="1">
        <f t="shared" si="33"/>
        <v>0</v>
      </c>
      <c r="FB20" s="1">
        <f t="shared" si="33"/>
        <v>0</v>
      </c>
      <c r="FC20" s="1">
        <f t="shared" si="33"/>
        <v>0</v>
      </c>
      <c r="FD20" s="1">
        <f t="shared" si="33"/>
        <v>0</v>
      </c>
      <c r="FE20" s="1">
        <f t="shared" si="33"/>
        <v>0</v>
      </c>
      <c r="FF20" s="1">
        <f t="shared" si="33"/>
        <v>0</v>
      </c>
      <c r="FH20" s="162">
        <f t="shared" si="34"/>
        <v>0.63009287296330818</v>
      </c>
    </row>
    <row r="21" spans="1:164" ht="18" customHeight="1">
      <c r="A21" s="244" t="s">
        <v>121</v>
      </c>
      <c r="B21" s="247"/>
      <c r="C21" s="228">
        <f t="shared" si="5"/>
        <v>0</v>
      </c>
      <c r="D21" s="229">
        <v>-2</v>
      </c>
      <c r="E21" s="477">
        <f t="shared" si="6"/>
        <v>2.5987012325989767E-2</v>
      </c>
      <c r="F21" s="254">
        <f t="shared" si="7"/>
        <v>-2.9761784007371617E-3</v>
      </c>
      <c r="G21" s="253">
        <f t="shared" si="8"/>
        <v>-7.1738666518236238E-3</v>
      </c>
      <c r="H21" s="254">
        <f t="shared" si="9"/>
        <v>3.3160878977813391E-2</v>
      </c>
      <c r="I21" s="253">
        <f t="shared" si="10"/>
        <v>0.16902236622452405</v>
      </c>
      <c r="J21" s="254">
        <f t="shared" si="11"/>
        <v>-0.16149116910392491</v>
      </c>
      <c r="K21" s="253">
        <f t="shared" si="12"/>
        <v>0.21808101840635374</v>
      </c>
      <c r="L21" s="254">
        <f t="shared" si="13"/>
        <v>-4.9058652181829698E-2</v>
      </c>
      <c r="M21" s="255"/>
      <c r="N21" s="256">
        <v>1</v>
      </c>
      <c r="O21" s="253">
        <f t="shared" si="35"/>
        <v>-2.0839332713567749E-2</v>
      </c>
      <c r="P21" s="257">
        <f t="shared" si="36"/>
        <v>-2.0839332713567749E-2</v>
      </c>
      <c r="Q21" s="253">
        <f t="shared" si="14"/>
        <v>4.3793514490277907E-2</v>
      </c>
      <c r="R21" s="257">
        <f t="shared" si="37"/>
        <v>4.3793514490277907E-2</v>
      </c>
      <c r="S21" s="255"/>
      <c r="T21" s="256">
        <v>1</v>
      </c>
      <c r="U21" s="253">
        <f t="shared" si="15"/>
        <v>7.568690520125454E-2</v>
      </c>
      <c r="V21" s="258">
        <f t="shared" si="16"/>
        <v>7.568690520125454E-2</v>
      </c>
      <c r="W21" s="253">
        <f t="shared" si="38"/>
        <v>0.72267089319811095</v>
      </c>
      <c r="X21" s="258">
        <f t="shared" si="17"/>
        <v>0.72267089319811095</v>
      </c>
      <c r="Y21" s="253">
        <f t="shared" si="18"/>
        <v>7.727016356457983E-2</v>
      </c>
      <c r="Z21" s="258">
        <f t="shared" si="19"/>
        <v>7.727016356457983E-2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3</v>
      </c>
      <c r="AQ21" s="28">
        <f>VLOOKUP($A21,historia!$A$5:$CM$24,+HLOOKUP(AQ$2,historia!$A$3:$EC$4,2,FALSE),FALSE)</f>
        <v>3</v>
      </c>
      <c r="AR21" s="28">
        <f>VLOOKUP($A21,historia!$A$5:$CM$24,+HLOOKUP(AR$2,historia!$A$3:$EC$4,2,FALSE),FALSE)</f>
        <v>2</v>
      </c>
      <c r="AS21" s="28">
        <f>VLOOKUP($A21,historia!$A$5:$CM$24,+HLOOKUP(AS$2,historia!$A$3:$EC$4,2,FALSE),FALSE)</f>
        <v>1</v>
      </c>
      <c r="AT21" s="58">
        <f>VLOOKUP($A21,historia!$A$5:$CM$24,+HLOOKUP(AT$2,historia!$A$3:$EC$4,2,FALSE),FALSE)</f>
        <v>1</v>
      </c>
      <c r="AU21" s="58">
        <f>VLOOKUP($A21,historia!$A$5:$DD$24,+HLOOKUP(AU$2,historia!$A$3:$EC$4,2,FALSE),FALSE)</f>
        <v>2</v>
      </c>
      <c r="AV21" s="58">
        <f>VLOOKUP($A21,historia!$A$5:$DD$24,+HLOOKUP(AV$2,historia!$A$3:$EC$4,2,FALSE),FALSE)</f>
        <v>2</v>
      </c>
      <c r="AW21" s="58">
        <f>VLOOKUP($A21,historia!$A$5:$DD$24,+HLOOKUP(AW$2,historia!$A$3:$EC$4,2,FALSE),FALSE)</f>
        <v>2</v>
      </c>
      <c r="AX21" s="58">
        <f>VLOOKUP($A21,historia!$A$5:$DD$24,+HLOOKUP(AX$2,historia!$A$3:$EC$4,2,FALSE),FALSE)</f>
        <v>2</v>
      </c>
      <c r="AY21" s="58">
        <f>VLOOKUP($A21,historia!$A$5:$DD$24,+HLOOKUP(AY$2,historia!$A$3:$EC$4,2,FALSE),FALSE)</f>
        <v>3</v>
      </c>
      <c r="AZ21" s="58">
        <f>VLOOKUP($A21,historia!$A$5:$DD$24,+HLOOKUP(AZ$2,historia!$A$3:$EC$4,2,FALSE),FALSE)</f>
        <v>3</v>
      </c>
      <c r="BA21" s="58">
        <f>VLOOKUP($A21,historia!$A$5:$DG$24,+HLOOKUP(BA$2,historia!$A$3:$EC$4,2,FALSE),FALSE)</f>
        <v>3</v>
      </c>
      <c r="BB21" s="58"/>
      <c r="BC21" s="286">
        <v>3</v>
      </c>
      <c r="BD21" t="str">
        <f t="shared" si="20"/>
        <v>Porcinos</v>
      </c>
      <c r="BE21">
        <f>+datos!BR1</f>
        <v>70</v>
      </c>
      <c r="BF21" s="2" t="str">
        <f t="shared" si="4"/>
        <v>$/kg</v>
      </c>
      <c r="BG21" s="2">
        <f t="shared" si="4"/>
        <v>1935.11</v>
      </c>
      <c r="BH21" s="2">
        <f t="shared" si="4"/>
        <v>1886.096</v>
      </c>
      <c r="BI21" s="2">
        <f t="shared" si="4"/>
        <v>1655.3233333333335</v>
      </c>
      <c r="BK21" s="1">
        <f>+datos!EJ1</f>
        <v>140</v>
      </c>
      <c r="BL21" s="1">
        <f t="shared" si="21"/>
        <v>5987778</v>
      </c>
      <c r="BM21" s="1">
        <f t="shared" si="21"/>
        <v>6115215</v>
      </c>
      <c r="BO21" s="1">
        <f>+datos!HE1</f>
        <v>213</v>
      </c>
      <c r="BP21" s="1">
        <f t="shared" si="22"/>
        <v>824862</v>
      </c>
      <c r="BQ21" s="1">
        <f t="shared" si="22"/>
        <v>790254</v>
      </c>
      <c r="BS21" s="1">
        <f>+datos!KJ1</f>
        <v>296</v>
      </c>
      <c r="BT21" s="1">
        <f t="shared" si="39"/>
        <v>31.555060699999999</v>
      </c>
      <c r="BU21" s="1">
        <f t="shared" si="40"/>
        <v>29.334800439999999</v>
      </c>
      <c r="BW21" s="1">
        <f>+datos!LO1</f>
        <v>327</v>
      </c>
      <c r="BX21" s="2">
        <f t="shared" si="23"/>
        <v>158.49640108</v>
      </c>
      <c r="BY21" s="2">
        <f t="shared" si="24"/>
        <v>92.006199040000013</v>
      </c>
      <c r="CA21" s="1">
        <f>+datos!IO1</f>
        <v>249</v>
      </c>
      <c r="CB21" s="2">
        <f t="shared" si="25"/>
        <v>19.100000000000001</v>
      </c>
      <c r="CC21" s="2">
        <f t="shared" si="26"/>
        <v>17.73</v>
      </c>
      <c r="CD21" s="2"/>
      <c r="CE21">
        <f>+datos!DD1</f>
        <v>108</v>
      </c>
      <c r="CF21" s="2">
        <f t="shared" si="27"/>
        <v>12761.031855709267</v>
      </c>
      <c r="CG21" s="2">
        <f t="shared" si="27"/>
        <v>12853.239280350483</v>
      </c>
      <c r="CH21" s="2">
        <f t="shared" si="27"/>
        <v>10476.340787581477</v>
      </c>
      <c r="CI21" s="2"/>
      <c r="CK21" s="1">
        <f t="shared" si="28"/>
        <v>2.83989907</v>
      </c>
      <c r="CL21" s="1">
        <f t="shared" si="28"/>
        <v>3.9903958900000003</v>
      </c>
      <c r="CM21" s="1">
        <f t="shared" si="28"/>
        <v>3.0562051500000003</v>
      </c>
      <c r="CN21" s="1">
        <f t="shared" si="28"/>
        <v>3.17480787</v>
      </c>
      <c r="CO21" s="1">
        <f t="shared" si="28"/>
        <v>3.9252467499999995</v>
      </c>
      <c r="CP21" s="1">
        <f t="shared" si="28"/>
        <v>2.8298719000000001</v>
      </c>
      <c r="CQ21" s="1">
        <f t="shared" si="28"/>
        <v>2.08934314</v>
      </c>
      <c r="CR21" s="1">
        <f t="shared" si="28"/>
        <v>2.1371287799999998</v>
      </c>
      <c r="CS21" s="1">
        <f t="shared" si="28"/>
        <v>2.3754365900000001</v>
      </c>
      <c r="CT21" s="1">
        <f t="shared" si="28"/>
        <v>2.2921349499999994</v>
      </c>
      <c r="CU21" s="1">
        <f t="shared" si="28"/>
        <v>1.76811707</v>
      </c>
      <c r="CV21" s="1">
        <f t="shared" si="28"/>
        <v>1.0764735399999998</v>
      </c>
      <c r="CW21" s="1">
        <f t="shared" si="28"/>
        <v>3.87511991</v>
      </c>
      <c r="CX21" s="1">
        <f t="shared" si="28"/>
        <v>1.4111442899999997</v>
      </c>
      <c r="CY21" s="1">
        <f t="shared" si="28"/>
        <v>1.9463367499999997</v>
      </c>
      <c r="CZ21" s="1">
        <f t="shared" si="28"/>
        <v>1.6096260199999999</v>
      </c>
      <c r="DA21" s="1">
        <f t="shared" si="29"/>
        <v>3.1723580499999997</v>
      </c>
      <c r="DB21" s="1">
        <f t="shared" si="29"/>
        <v>2.1279038099999998</v>
      </c>
      <c r="DC21" s="1">
        <f t="shared" si="29"/>
        <v>2.3778769799999995</v>
      </c>
      <c r="DD21" s="1">
        <f t="shared" si="29"/>
        <v>4.3175895799999999</v>
      </c>
      <c r="DE21" s="1">
        <f t="shared" si="29"/>
        <v>2.7596131099999996</v>
      </c>
      <c r="DF21" s="1">
        <f t="shared" si="29"/>
        <v>1.9296841299999996</v>
      </c>
      <c r="DG21" s="1">
        <f t="shared" si="29"/>
        <v>2.2533318799999997</v>
      </c>
      <c r="DH21" s="1">
        <f t="shared" si="29"/>
        <v>1.55421593</v>
      </c>
      <c r="DJ21" s="1">
        <f t="shared" si="30"/>
        <v>12.802625309999998</v>
      </c>
      <c r="DK21" s="1">
        <f t="shared" si="30"/>
        <v>9.4713607899999985</v>
      </c>
      <c r="DL21" s="1">
        <f t="shared" si="30"/>
        <v>10.975213970000002</v>
      </c>
      <c r="DM21" s="1">
        <f t="shared" si="30"/>
        <v>10.181194250000003</v>
      </c>
      <c r="DN21" s="1">
        <f t="shared" si="30"/>
        <v>12.329496939999999</v>
      </c>
      <c r="DO21" s="1">
        <f t="shared" si="30"/>
        <v>13.92452713</v>
      </c>
      <c r="DP21" s="1">
        <f t="shared" si="30"/>
        <v>11.75892646</v>
      </c>
      <c r="DQ21" s="1">
        <f t="shared" si="30"/>
        <v>11.837628230000002</v>
      </c>
      <c r="DR21" s="1">
        <f t="shared" si="30"/>
        <v>13.531613630000001</v>
      </c>
      <c r="DS21" s="1">
        <f t="shared" si="30"/>
        <v>19.3334501</v>
      </c>
      <c r="DT21" s="1">
        <f t="shared" si="30"/>
        <v>18.318769970000002</v>
      </c>
      <c r="DU21" s="1">
        <f t="shared" si="30"/>
        <v>14.031594299999998</v>
      </c>
      <c r="DV21" s="1">
        <f t="shared" si="30"/>
        <v>14.447589379999997</v>
      </c>
      <c r="DW21" s="1">
        <f t="shared" si="30"/>
        <v>14.265215759999998</v>
      </c>
      <c r="DX21" s="1">
        <f t="shared" si="30"/>
        <v>16.354180840000001</v>
      </c>
      <c r="DY21" s="1">
        <f t="shared" ref="DY21:EG24" si="41">+VLOOKUP(DY$1,ran_dat,$BW21,FALSE)</f>
        <v>10.919699229999997</v>
      </c>
      <c r="DZ21" s="1">
        <f t="shared" si="41"/>
        <v>10.87912704</v>
      </c>
      <c r="EA21" s="1">
        <f t="shared" si="41"/>
        <v>7.3519509899999989</v>
      </c>
      <c r="EB21" s="1">
        <f t="shared" si="41"/>
        <v>4.9251834299999988</v>
      </c>
      <c r="EC21" s="1">
        <f t="shared" si="41"/>
        <v>2.5935797799999998</v>
      </c>
      <c r="ED21" s="1">
        <f t="shared" si="41"/>
        <v>1.7163214500000001</v>
      </c>
      <c r="EE21" s="1">
        <f t="shared" si="41"/>
        <v>2.7920763000000002</v>
      </c>
      <c r="EF21" s="1">
        <f t="shared" si="41"/>
        <v>3.5088459899999997</v>
      </c>
      <c r="EG21" s="1">
        <f t="shared" si="41"/>
        <v>2.2524288500000003</v>
      </c>
      <c r="EI21" s="14">
        <f t="shared" si="32"/>
        <v>19.100000000000001</v>
      </c>
      <c r="EJ21" s="14">
        <f t="shared" si="32"/>
        <v>18.97</v>
      </c>
      <c r="EK21" s="1">
        <f t="shared" si="32"/>
        <v>18.899999999999999</v>
      </c>
      <c r="EL21" s="1">
        <f t="shared" si="32"/>
        <v>18.78</v>
      </c>
      <c r="EM21" s="1">
        <f t="shared" si="32"/>
        <v>18.72</v>
      </c>
      <c r="EN21" s="1">
        <f t="shared" si="32"/>
        <v>18.600000000000001</v>
      </c>
      <c r="EO21" s="1">
        <f t="shared" si="32"/>
        <v>18.38</v>
      </c>
      <c r="EP21" s="1">
        <f t="shared" si="32"/>
        <v>18.28</v>
      </c>
      <c r="EQ21" s="1">
        <f t="shared" si="32"/>
        <v>18.239999999999998</v>
      </c>
      <c r="ER21" s="1">
        <f t="shared" si="32"/>
        <v>18.079999999999998</v>
      </c>
      <c r="ES21" s="1">
        <f t="shared" si="32"/>
        <v>17.989999999999998</v>
      </c>
      <c r="ET21" s="1">
        <f t="shared" si="32"/>
        <v>17.850000000000001</v>
      </c>
      <c r="EU21" s="1">
        <f t="shared" si="32"/>
        <v>17.73</v>
      </c>
      <c r="EV21" s="1">
        <f t="shared" si="32"/>
        <v>17.510000000000002</v>
      </c>
      <c r="EW21" s="1">
        <f t="shared" si="32"/>
        <v>17.13</v>
      </c>
      <c r="EX21" s="1">
        <f t="shared" ref="EX21:FF24" si="42">+VLOOKUP(EX$1,ran_dat,$CA21,FALSE)</f>
        <v>16.89</v>
      </c>
      <c r="EY21" s="1">
        <f t="shared" si="42"/>
        <v>16.87</v>
      </c>
      <c r="EZ21" s="1">
        <f t="shared" si="42"/>
        <v>16.8</v>
      </c>
      <c r="FA21" s="1">
        <f t="shared" si="42"/>
        <v>16.760000000000002</v>
      </c>
      <c r="FB21" s="1">
        <f t="shared" si="42"/>
        <v>16.84</v>
      </c>
      <c r="FC21" s="1">
        <f t="shared" si="42"/>
        <v>16.64</v>
      </c>
      <c r="FD21" s="1">
        <f t="shared" si="42"/>
        <v>16.68</v>
      </c>
      <c r="FE21" s="1">
        <f t="shared" si="42"/>
        <v>16.62</v>
      </c>
      <c r="FF21" s="1">
        <f t="shared" si="42"/>
        <v>16.5</v>
      </c>
      <c r="FH21" s="162">
        <f t="shared" si="34"/>
        <v>-4.9058652181829698E-2</v>
      </c>
    </row>
    <row r="22" spans="1:164" ht="18.75" customHeight="1">
      <c r="A22" s="243" t="s">
        <v>75</v>
      </c>
      <c r="B22" s="246"/>
      <c r="C22" s="156">
        <f t="shared" si="5"/>
        <v>0.66</v>
      </c>
      <c r="D22" s="198">
        <v>1</v>
      </c>
      <c r="E22" s="248">
        <f t="shared" si="6"/>
        <v>0</v>
      </c>
      <c r="F22" s="249">
        <f t="shared" si="7"/>
        <v>-2.8963190726726928E-2</v>
      </c>
      <c r="G22" s="248">
        <f t="shared" si="8"/>
        <v>3.0900672374369886E-3</v>
      </c>
      <c r="H22" s="249">
        <f t="shared" si="9"/>
        <v>-3.0900672374369886E-3</v>
      </c>
      <c r="I22" s="248">
        <f t="shared" si="10"/>
        <v>0.39756511891279733</v>
      </c>
      <c r="J22" s="249">
        <f t="shared" si="11"/>
        <v>6.7051583584348373E-2</v>
      </c>
      <c r="K22" s="248">
        <f t="shared" si="12"/>
        <v>0.30563863878805764</v>
      </c>
      <c r="L22" s="249">
        <f t="shared" si="13"/>
        <v>9.1926480124739696E-2</v>
      </c>
      <c r="M22" s="250"/>
      <c r="N22" s="24">
        <v>0</v>
      </c>
      <c r="O22" s="248">
        <f t="shared" si="35"/>
        <v>0</v>
      </c>
      <c r="P22" s="251">
        <f t="shared" si="36"/>
        <v>0</v>
      </c>
      <c r="Q22" s="248">
        <f t="shared" si="14"/>
        <v>0</v>
      </c>
      <c r="R22" s="251">
        <f t="shared" si="37"/>
        <v>0</v>
      </c>
      <c r="S22" s="250"/>
      <c r="T22" s="24">
        <v>1</v>
      </c>
      <c r="U22" s="248">
        <f t="shared" si="15"/>
        <v>0.55656357116295041</v>
      </c>
      <c r="V22" s="252">
        <f t="shared" si="16"/>
        <v>0.55656357116295041</v>
      </c>
      <c r="W22" s="248">
        <f t="shared" si="38"/>
        <v>-0.19015664699926105</v>
      </c>
      <c r="X22" s="252">
        <f t="shared" si="17"/>
        <v>-0.19015664699926105</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3</v>
      </c>
      <c r="AQ22" s="28">
        <f>VLOOKUP($A22,historia!$A$5:$CM$24,+HLOOKUP(AQ$2,historia!$A$3:$EC$4,2,FALSE),FALSE)</f>
        <v>3</v>
      </c>
      <c r="AR22" s="28">
        <f>VLOOKUP($A22,historia!$A$5:$CM$24,+HLOOKUP(AR$2,historia!$A$3:$EC$4,2,FALSE),FALSE)</f>
        <v>3</v>
      </c>
      <c r="AS22" s="28">
        <f>VLOOKUP($A22,historia!$A$5:$CM$24,+HLOOKUP(AS$2,historia!$A$3:$EC$4,2,FALSE),FALSE)</f>
        <v>3</v>
      </c>
      <c r="AT22" s="58">
        <f>VLOOKUP($A22,historia!$A$5:$CM$24,+HLOOKUP(AT$2,historia!$A$3:$EC$4,2,FALSE),FALSE)</f>
        <v>3</v>
      </c>
      <c r="AU22" s="58">
        <f>VLOOKUP($A22,historia!$A$5:$DD$24,+HLOOKUP(AU$2,historia!$A$3:$EC$4,2,FALSE),FALSE)</f>
        <v>3</v>
      </c>
      <c r="AV22" s="58">
        <f>VLOOKUP($A22,historia!$A$5:$DD$24,+HLOOKUP(AV$2,historia!$A$3:$EC$4,2,FALSE),FALSE)</f>
        <v>3</v>
      </c>
      <c r="AW22" s="58">
        <f>VLOOKUP($A22,historia!$A$5:$DD$24,+HLOOKUP(AW$2,historia!$A$3:$EC$4,2,FALSE),FALSE)</f>
        <v>3</v>
      </c>
      <c r="AX22" s="58">
        <f>VLOOKUP($A22,historia!$A$5:$DD$24,+HLOOKUP(AX$2,historia!$A$3:$EC$4,2,FALSE),FALSE)</f>
        <v>3</v>
      </c>
      <c r="AY22" s="58">
        <f>VLOOKUP($A22,historia!$A$5:$DD$24,+HLOOKUP(AY$2,historia!$A$3:$EC$4,2,FALSE),FALSE)</f>
        <v>3</v>
      </c>
      <c r="AZ22" s="58">
        <f>VLOOKUP($A22,historia!$A$5:$DD$24,+HLOOKUP(AZ$2,historia!$A$3:$EC$4,2,FALSE),FALSE)</f>
        <v>3</v>
      </c>
      <c r="BA22" s="58">
        <f>VLOOKUP($A22,historia!$A$5:$DG$24,+HLOOKUP(BA$2,historia!$A$3:$EC$4,2,FALSE),FALSE)</f>
        <v>3</v>
      </c>
      <c r="BB22" s="58"/>
      <c r="BC22" s="286">
        <v>3</v>
      </c>
      <c r="BD22" t="str">
        <f t="shared" si="20"/>
        <v>Tabaco</v>
      </c>
      <c r="BE22">
        <f>+datos!BJ1</f>
        <v>62</v>
      </c>
      <c r="BF22" s="2" t="str">
        <f t="shared" si="4"/>
        <v>$/kg</v>
      </c>
      <c r="BG22" s="2">
        <f t="shared" si="4"/>
        <v>4936.2</v>
      </c>
      <c r="BH22" s="2">
        <f t="shared" si="4"/>
        <v>4936.2</v>
      </c>
      <c r="BI22" s="2">
        <f t="shared" si="4"/>
        <v>3532</v>
      </c>
      <c r="BK22" s="1">
        <f>+datos!FD1</f>
        <v>160</v>
      </c>
      <c r="BL22" s="1">
        <f t="shared" si="21"/>
        <v>60376</v>
      </c>
      <c r="BM22" s="1">
        <f t="shared" si="21"/>
        <v>60376</v>
      </c>
      <c r="BO22" s="1">
        <f>+datos!GX1</f>
        <v>206</v>
      </c>
      <c r="BP22" s="1">
        <f t="shared" si="22"/>
        <v>36041.686000000002</v>
      </c>
      <c r="BQ22" s="1">
        <f t="shared" si="22"/>
        <v>36041.686000000002</v>
      </c>
      <c r="BS22" s="1">
        <f>+datos!KC1</f>
        <v>289</v>
      </c>
      <c r="BT22" s="1">
        <f t="shared" si="39"/>
        <v>704.57040342999994</v>
      </c>
      <c r="BU22" s="1">
        <f t="shared" si="40"/>
        <v>452.64479812000002</v>
      </c>
      <c r="BW22" s="1">
        <f>+datos!LH1</f>
        <v>320</v>
      </c>
      <c r="BX22" s="2">
        <f t="shared" si="23"/>
        <v>47.706240180000002</v>
      </c>
      <c r="BY22" s="2">
        <f t="shared" si="24"/>
        <v>58.907985109999998</v>
      </c>
      <c r="CA22" s="1">
        <f>+datos!JD1</f>
        <v>264</v>
      </c>
      <c r="CB22" s="1">
        <f t="shared" si="25"/>
        <v>0</v>
      </c>
      <c r="CC22" s="1">
        <f t="shared" si="26"/>
        <v>0</v>
      </c>
      <c r="CD22" s="1"/>
      <c r="CE22">
        <f>+datos!DA1</f>
        <v>105</v>
      </c>
      <c r="CF22" s="2">
        <f t="shared" si="27"/>
        <v>12905.142719568252</v>
      </c>
      <c r="CG22" s="2">
        <f t="shared" si="27"/>
        <v>12865.387806211356</v>
      </c>
      <c r="CH22" s="2">
        <f t="shared" si="27"/>
        <v>9884.1611577513395</v>
      </c>
      <c r="CI22" s="1"/>
      <c r="CK22" s="1">
        <f t="shared" ref="CK22:CZ24" si="43">+VLOOKUP(CK$1,ran_dat,$BS22,FALSE)</f>
        <v>86.187029549999991</v>
      </c>
      <c r="CL22" s="1">
        <f t="shared" si="43"/>
        <v>13.8144042</v>
      </c>
      <c r="CM22" s="1">
        <f t="shared" si="43"/>
        <v>30.603557829999996</v>
      </c>
      <c r="CN22" s="1">
        <f t="shared" si="43"/>
        <v>71.370433359999993</v>
      </c>
      <c r="CO22" s="1">
        <f t="shared" si="43"/>
        <v>81.464957519999999</v>
      </c>
      <c r="CP22" s="1">
        <f t="shared" si="43"/>
        <v>72.4463358</v>
      </c>
      <c r="CQ22" s="1">
        <f t="shared" si="43"/>
        <v>45.834687599999995</v>
      </c>
      <c r="CR22" s="1">
        <f t="shared" si="43"/>
        <v>54.830270300000002</v>
      </c>
      <c r="CS22" s="1">
        <f t="shared" si="43"/>
        <v>93.57534471000001</v>
      </c>
      <c r="CT22" s="1">
        <f t="shared" si="43"/>
        <v>121.04017274</v>
      </c>
      <c r="CU22" s="1">
        <f t="shared" si="43"/>
        <v>27.891120319999999</v>
      </c>
      <c r="CV22" s="1">
        <f t="shared" si="43"/>
        <v>5.5120895000000001</v>
      </c>
      <c r="CW22" s="1">
        <f t="shared" si="43"/>
        <v>9.7228914799999995</v>
      </c>
      <c r="CX22" s="1">
        <f t="shared" si="43"/>
        <v>6.2035308000000002</v>
      </c>
      <c r="CY22" s="1">
        <f t="shared" si="43"/>
        <v>65.18720725</v>
      </c>
      <c r="CZ22" s="1">
        <f t="shared" si="43"/>
        <v>34.962073999999994</v>
      </c>
      <c r="DA22" s="1">
        <f t="shared" ref="DA22:DH24" si="44">+VLOOKUP(DA$1,ran_dat,$BS22,FALSE)</f>
        <v>41.640055749999995</v>
      </c>
      <c r="DB22" s="1">
        <f t="shared" si="44"/>
        <v>54.488227269999996</v>
      </c>
      <c r="DC22" s="1">
        <f t="shared" si="44"/>
        <v>45.888815350000002</v>
      </c>
      <c r="DD22" s="1">
        <f t="shared" si="44"/>
        <v>56.365947810000002</v>
      </c>
      <c r="DE22" s="1">
        <f t="shared" si="44"/>
        <v>58.671597329999997</v>
      </c>
      <c r="DF22" s="1">
        <f t="shared" si="44"/>
        <v>31.625168280000004</v>
      </c>
      <c r="DG22" s="1">
        <f t="shared" si="44"/>
        <v>17.697801470000002</v>
      </c>
      <c r="DH22" s="1">
        <f t="shared" si="44"/>
        <v>30.191481329999998</v>
      </c>
      <c r="DJ22" s="1">
        <f t="shared" ref="DJ22:DY24" si="45">+VLOOKUP(DJ$1,ran_dat,$BW22,FALSE)</f>
        <v>4.1810604400000004</v>
      </c>
      <c r="DK22" s="1">
        <f t="shared" si="45"/>
        <v>2.54586113</v>
      </c>
      <c r="DL22" s="1">
        <f t="shared" si="45"/>
        <v>3.7941515599999995</v>
      </c>
      <c r="DM22" s="1">
        <f t="shared" si="45"/>
        <v>4.1345480800000001</v>
      </c>
      <c r="DN22" s="1">
        <f t="shared" si="45"/>
        <v>4.4276183800000002</v>
      </c>
      <c r="DO22" s="1">
        <f t="shared" si="45"/>
        <v>4.1999923900000002</v>
      </c>
      <c r="DP22" s="1">
        <f t="shared" si="45"/>
        <v>3.4339864000000002</v>
      </c>
      <c r="DQ22" s="1">
        <f t="shared" si="45"/>
        <v>2.5223350999999994</v>
      </c>
      <c r="DR22" s="1">
        <f t="shared" si="45"/>
        <v>3.5013919399999995</v>
      </c>
      <c r="DS22" s="1">
        <f t="shared" si="45"/>
        <v>4.00557768</v>
      </c>
      <c r="DT22" s="1">
        <f t="shared" si="45"/>
        <v>5.1774083700000002</v>
      </c>
      <c r="DU22" s="1">
        <f t="shared" si="45"/>
        <v>5.7823087099999997</v>
      </c>
      <c r="DV22" s="1">
        <f t="shared" si="45"/>
        <v>5.6310443999999995</v>
      </c>
      <c r="DW22" s="1">
        <f t="shared" si="45"/>
        <v>4.1108512499999996</v>
      </c>
      <c r="DX22" s="1">
        <f t="shared" si="45"/>
        <v>6.9241559000000006</v>
      </c>
      <c r="DY22" s="1">
        <f t="shared" si="45"/>
        <v>4.9762964800000002</v>
      </c>
      <c r="DZ22" s="1">
        <f t="shared" si="41"/>
        <v>5.7062324599999998</v>
      </c>
      <c r="EA22" s="1">
        <f t="shared" si="41"/>
        <v>5.3893107900000006</v>
      </c>
      <c r="EB22" s="1">
        <f t="shared" si="41"/>
        <v>5.0602291599999996</v>
      </c>
      <c r="EC22" s="1">
        <f t="shared" si="41"/>
        <v>1.1636776099999999</v>
      </c>
      <c r="ED22" s="1">
        <f t="shared" si="41"/>
        <v>4.3331795800000004</v>
      </c>
      <c r="EE22" s="1">
        <f t="shared" si="41"/>
        <v>5.5991701699999998</v>
      </c>
      <c r="EF22" s="1">
        <f t="shared" si="41"/>
        <v>5.1284923700000009</v>
      </c>
      <c r="EG22" s="1">
        <f t="shared" si="41"/>
        <v>4.8853449399999995</v>
      </c>
      <c r="EI22" s="14">
        <f t="shared" ref="EI22:EX24" si="46">+VLOOKUP(EI$1,ran_dat,$CA22,FALSE)</f>
        <v>0</v>
      </c>
      <c r="EJ22" s="14">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6"/>
        <v>0</v>
      </c>
      <c r="EY22" s="1">
        <f t="shared" si="42"/>
        <v>0</v>
      </c>
      <c r="EZ22" s="1">
        <f t="shared" si="42"/>
        <v>0</v>
      </c>
      <c r="FA22" s="1">
        <f t="shared" si="42"/>
        <v>0</v>
      </c>
      <c r="FB22" s="1">
        <f t="shared" si="42"/>
        <v>0</v>
      </c>
      <c r="FC22" s="1">
        <f t="shared" si="42"/>
        <v>0</v>
      </c>
      <c r="FD22" s="1">
        <f t="shared" si="42"/>
        <v>0</v>
      </c>
      <c r="FE22" s="1">
        <f t="shared" si="42"/>
        <v>0</v>
      </c>
      <c r="FF22" s="1">
        <f t="shared" si="42"/>
        <v>0</v>
      </c>
      <c r="FH22" s="162">
        <f t="shared" si="34"/>
        <v>9.1926480124739696E-2</v>
      </c>
    </row>
    <row r="23" spans="1:164" ht="18.75" customHeight="1">
      <c r="A23" s="244" t="s">
        <v>219</v>
      </c>
      <c r="B23" s="247"/>
      <c r="C23" s="228">
        <f t="shared" si="5"/>
        <v>-0.99</v>
      </c>
      <c r="D23" s="229">
        <v>-1</v>
      </c>
      <c r="E23" s="253">
        <f t="shared" si="6"/>
        <v>-0.14912270603329059</v>
      </c>
      <c r="F23" s="254">
        <f t="shared" si="7"/>
        <v>-0.17808589676001751</v>
      </c>
      <c r="G23" s="253">
        <f t="shared" si="8"/>
        <v>-5.8366893265060504E-4</v>
      </c>
      <c r="H23" s="254">
        <f t="shared" si="9"/>
        <v>-0.14853903710063998</v>
      </c>
      <c r="I23" s="253">
        <f t="shared" si="10"/>
        <v>-0.2425510243110538</v>
      </c>
      <c r="J23" s="254">
        <f t="shared" si="11"/>
        <v>-0.57306455963950276</v>
      </c>
      <c r="K23" s="253">
        <f t="shared" si="12"/>
        <v>0.20438525280837516</v>
      </c>
      <c r="L23" s="254">
        <f t="shared" si="13"/>
        <v>-0.44693627711942896</v>
      </c>
      <c r="M23" s="255"/>
      <c r="N23" s="256">
        <v>-2</v>
      </c>
      <c r="O23" s="253">
        <f t="shared" si="35"/>
        <v>0</v>
      </c>
      <c r="P23" s="257">
        <f t="shared" si="36"/>
        <v>0</v>
      </c>
      <c r="Q23" s="253">
        <f t="shared" si="14"/>
        <v>-7.6201048455332931E-2</v>
      </c>
      <c r="R23" s="257">
        <f t="shared" si="37"/>
        <v>-7.6201048455332931E-2</v>
      </c>
      <c r="S23" s="255"/>
      <c r="T23" s="256">
        <v>0</v>
      </c>
      <c r="U23" s="253">
        <f t="shared" si="15"/>
        <v>-4.3539184112468043E-2</v>
      </c>
      <c r="V23" s="258">
        <f t="shared" si="16"/>
        <v>-4.3539184112468043E-2</v>
      </c>
      <c r="W23" s="253">
        <f t="shared" si="38"/>
        <v>1.0124637540264128</v>
      </c>
      <c r="X23" s="258">
        <f t="shared" si="17"/>
        <v>1.0124637540264128</v>
      </c>
      <c r="Y23" s="253">
        <f t="shared" si="18"/>
        <v>-0.14552238805970141</v>
      </c>
      <c r="Z23" s="258">
        <f t="shared" si="19"/>
        <v>-0.14552238805970141</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4</v>
      </c>
      <c r="AQ23" s="28">
        <f>VLOOKUP($A23,historia!$A$5:$CM$24,+HLOOKUP(AQ$2,historia!$A$3:$EC$4,2,FALSE),FALSE)</f>
        <v>4</v>
      </c>
      <c r="AR23" s="28">
        <f>VLOOKUP($A23,historia!$A$5:$CM$24,+HLOOKUP(AR$2,historia!$A$3:$EC$4,2,FALSE),FALSE)</f>
        <v>4</v>
      </c>
      <c r="AS23" s="28">
        <f>VLOOKUP($A23,historia!$A$5:$CM$24,+HLOOKUP(AS$2,historia!$A$3:$EC$4,2,FALSE),FALSE)</f>
        <v>4</v>
      </c>
      <c r="AT23" s="58">
        <f>VLOOKUP($A23,historia!$A$5:$CM$24,+HLOOKUP(AT$2,historia!$A$3:$EC$4,2,FALSE),FALSE)</f>
        <v>4</v>
      </c>
      <c r="AU23" s="58">
        <f>VLOOKUP($A23,historia!$A$5:$DD$24,+HLOOKUP(AU$2,historia!$A$3:$EC$4,2,FALSE),FALSE)</f>
        <v>4</v>
      </c>
      <c r="AV23" s="58">
        <f>VLOOKUP($A23,historia!$A$5:$DD$24,+HLOOKUP(AV$2,historia!$A$3:$EC$4,2,FALSE),FALSE)</f>
        <v>4</v>
      </c>
      <c r="AW23" s="58">
        <f>VLOOKUP($A23,historia!$A$5:$DD$24,+HLOOKUP(AW$2,historia!$A$3:$EC$4,2,FALSE),FALSE)</f>
        <v>4</v>
      </c>
      <c r="AX23" s="58">
        <f>VLOOKUP($A23,historia!$A$5:$DD$24,+HLOOKUP(AX$2,historia!$A$3:$EC$4,2,FALSE),FALSE)</f>
        <v>4</v>
      </c>
      <c r="AY23" s="58">
        <f>VLOOKUP($A23,historia!$A$5:$DD$24,+HLOOKUP(AY$2,historia!$A$3:$EC$4,2,FALSE),FALSE)</f>
        <v>4</v>
      </c>
      <c r="AZ23" s="58">
        <f>VLOOKUP($A23,historia!$A$5:$DD$24,+HLOOKUP(AZ$2,historia!$A$3:$EC$4,2,FALSE),FALSE)</f>
        <v>5</v>
      </c>
      <c r="BA23" s="58">
        <f>VLOOKUP($A23,historia!$A$5:$DG$24,+HLOOKUP(BA$2,historia!$A$3:$EC$4,2,FALSE),FALSE)</f>
        <v>5</v>
      </c>
      <c r="BB23" s="58"/>
      <c r="BC23" s="286">
        <v>5</v>
      </c>
      <c r="BD23" t="str">
        <f t="shared" si="20"/>
        <v>Vino y Mosto</v>
      </c>
      <c r="BE23">
        <f>+datos!AM1</f>
        <v>39</v>
      </c>
      <c r="BF23" s="2" t="str">
        <f t="shared" si="4"/>
        <v>$/l</v>
      </c>
      <c r="BG23" s="2">
        <f t="shared" si="4"/>
        <v>266.07920000000001</v>
      </c>
      <c r="BH23" s="2">
        <f t="shared" si="4"/>
        <v>312.71159999999998</v>
      </c>
      <c r="BI23" s="2">
        <f t="shared" si="4"/>
        <v>351.28333199999997</v>
      </c>
      <c r="BK23" s="1">
        <f>+datos!EF1</f>
        <v>136</v>
      </c>
      <c r="BL23" s="1">
        <f t="shared" si="21"/>
        <v>196220</v>
      </c>
      <c r="BM23" s="1">
        <f t="shared" si="21"/>
        <v>196220</v>
      </c>
      <c r="BO23" s="1">
        <f>+datos!GB1</f>
        <v>184</v>
      </c>
      <c r="BP23" s="1">
        <f t="shared" si="22"/>
        <v>18391299</v>
      </c>
      <c r="BQ23" s="1">
        <f t="shared" si="22"/>
        <v>19908335</v>
      </c>
      <c r="BS23" s="1">
        <f>+datos!JU1</f>
        <v>281</v>
      </c>
      <c r="BT23" s="1">
        <f t="shared" si="39"/>
        <v>948.56423852000012</v>
      </c>
      <c r="BU23" s="1">
        <f t="shared" si="40"/>
        <v>991.74396145000003</v>
      </c>
      <c r="BW23" s="1">
        <f>+datos!KZ1</f>
        <v>312</v>
      </c>
      <c r="BX23" s="2">
        <f t="shared" si="23"/>
        <v>43.180582209999997</v>
      </c>
      <c r="BY23" s="2">
        <f t="shared" si="24"/>
        <v>21.456576360000007</v>
      </c>
      <c r="CA23" s="1">
        <f>+datos!IQ1</f>
        <v>251</v>
      </c>
      <c r="CB23" s="2">
        <f t="shared" si="25"/>
        <v>13.74</v>
      </c>
      <c r="CC23" s="2">
        <f t="shared" si="26"/>
        <v>16.079999999999998</v>
      </c>
      <c r="CD23" s="2"/>
      <c r="CE23">
        <f>+datos!CP1</f>
        <v>94</v>
      </c>
      <c r="CF23" s="2">
        <f t="shared" si="27"/>
        <v>13290.989010627422</v>
      </c>
      <c r="CG23" s="2">
        <f t="shared" si="27"/>
        <v>13298.751078474981</v>
      </c>
      <c r="CH23" s="2">
        <f t="shared" si="27"/>
        <v>11035.496307876245</v>
      </c>
      <c r="CI23" s="2"/>
      <c r="CK23" s="1">
        <f t="shared" si="43"/>
        <v>62.074398439999996</v>
      </c>
      <c r="CL23" s="1">
        <f t="shared" si="43"/>
        <v>51.281836970000001</v>
      </c>
      <c r="CM23" s="1">
        <f t="shared" si="43"/>
        <v>78.732425000000021</v>
      </c>
      <c r="CN23" s="1">
        <f t="shared" si="43"/>
        <v>78.044882909999998</v>
      </c>
      <c r="CO23" s="1">
        <f t="shared" si="43"/>
        <v>79.565238250000007</v>
      </c>
      <c r="CP23" s="1">
        <f t="shared" si="43"/>
        <v>103.29015631000003</v>
      </c>
      <c r="CQ23" s="1">
        <f t="shared" si="43"/>
        <v>82.138745600000007</v>
      </c>
      <c r="CR23" s="1">
        <f t="shared" si="43"/>
        <v>101.39273792999998</v>
      </c>
      <c r="CS23" s="1">
        <f t="shared" si="43"/>
        <v>71.170798900000008</v>
      </c>
      <c r="CT23" s="1">
        <f t="shared" si="43"/>
        <v>88.994061629999976</v>
      </c>
      <c r="CU23" s="1">
        <f t="shared" si="43"/>
        <v>77.155977009999987</v>
      </c>
      <c r="CV23" s="1">
        <f t="shared" si="43"/>
        <v>74.722979570000021</v>
      </c>
      <c r="CW23" s="1">
        <f t="shared" si="43"/>
        <v>63.754065359999977</v>
      </c>
      <c r="CX23" s="1">
        <f t="shared" si="43"/>
        <v>50.923025279999997</v>
      </c>
      <c r="CY23" s="1">
        <f t="shared" si="43"/>
        <v>85.381089520000018</v>
      </c>
      <c r="CZ23" s="1">
        <f t="shared" si="43"/>
        <v>87.09478919</v>
      </c>
      <c r="DA23" s="1">
        <f t="shared" si="44"/>
        <v>88.790830600000021</v>
      </c>
      <c r="DB23" s="1">
        <f t="shared" si="44"/>
        <v>106.11166329999998</v>
      </c>
      <c r="DC23" s="1">
        <f t="shared" si="44"/>
        <v>99.074693340000039</v>
      </c>
      <c r="DD23" s="1">
        <f t="shared" si="44"/>
        <v>115.95052356999999</v>
      </c>
      <c r="DE23" s="1">
        <f t="shared" si="44"/>
        <v>55.887516779999999</v>
      </c>
      <c r="DF23" s="1">
        <f t="shared" si="44"/>
        <v>84.428757199999993</v>
      </c>
      <c r="DG23" s="1">
        <f t="shared" si="44"/>
        <v>70.799436420000006</v>
      </c>
      <c r="DH23" s="1">
        <f t="shared" si="44"/>
        <v>83.547570889999989</v>
      </c>
      <c r="DJ23" s="1">
        <f t="shared" si="45"/>
        <v>1.8929445199999999</v>
      </c>
      <c r="DK23" s="1">
        <f t="shared" si="45"/>
        <v>0.82771172999999998</v>
      </c>
      <c r="DL23" s="1">
        <f t="shared" si="45"/>
        <v>2.0960773500000003</v>
      </c>
      <c r="DM23" s="1">
        <f t="shared" si="45"/>
        <v>4.0370959900000001</v>
      </c>
      <c r="DN23" s="1">
        <f t="shared" si="45"/>
        <v>5.8187882499999999</v>
      </c>
      <c r="DO23" s="1">
        <f t="shared" si="45"/>
        <v>6.2238594599999999</v>
      </c>
      <c r="DP23" s="1">
        <f t="shared" si="45"/>
        <v>3.3465065500000004</v>
      </c>
      <c r="DQ23" s="1">
        <f t="shared" si="45"/>
        <v>3.10878063</v>
      </c>
      <c r="DR23" s="1">
        <f t="shared" si="45"/>
        <v>5.0584831100000001</v>
      </c>
      <c r="DS23" s="1">
        <f t="shared" si="45"/>
        <v>4.0554375800000004</v>
      </c>
      <c r="DT23" s="1">
        <f t="shared" si="45"/>
        <v>3.476448889999999</v>
      </c>
      <c r="DU23" s="1">
        <f t="shared" si="45"/>
        <v>3.23844815</v>
      </c>
      <c r="DV23" s="1">
        <f t="shared" si="45"/>
        <v>1.94679845</v>
      </c>
      <c r="DW23" s="1">
        <f t="shared" si="45"/>
        <v>0.41117072999999998</v>
      </c>
      <c r="DX23" s="1">
        <f t="shared" si="45"/>
        <v>1.6918772199999998</v>
      </c>
      <c r="DY23" s="1">
        <f t="shared" si="45"/>
        <v>4.1008112300000006</v>
      </c>
      <c r="DZ23" s="1">
        <f t="shared" si="41"/>
        <v>2.9628047099999995</v>
      </c>
      <c r="EA23" s="1">
        <f t="shared" si="41"/>
        <v>2.4415022799999999</v>
      </c>
      <c r="EB23" s="1">
        <f t="shared" si="41"/>
        <v>2.4186424700000004</v>
      </c>
      <c r="EC23" s="1">
        <f t="shared" si="41"/>
        <v>2.3161338599999999</v>
      </c>
      <c r="ED23" s="1">
        <f t="shared" si="41"/>
        <v>0.34545517000000003</v>
      </c>
      <c r="EE23" s="1">
        <f t="shared" si="41"/>
        <v>1.3068112300000001</v>
      </c>
      <c r="EF23" s="1">
        <f t="shared" si="41"/>
        <v>1.01985657</v>
      </c>
      <c r="EG23" s="1">
        <f t="shared" si="41"/>
        <v>0.49471243999999998</v>
      </c>
      <c r="EI23" s="14">
        <f t="shared" si="46"/>
        <v>13.74</v>
      </c>
      <c r="EJ23" s="14">
        <f t="shared" si="46"/>
        <v>14.399999999999999</v>
      </c>
      <c r="EK23" s="1">
        <f t="shared" si="46"/>
        <v>16.079999999999998</v>
      </c>
      <c r="EL23" s="1">
        <f t="shared" si="46"/>
        <v>16.079999999999998</v>
      </c>
      <c r="EM23" s="1">
        <f t="shared" si="46"/>
        <v>16.079999999999998</v>
      </c>
      <c r="EN23" s="1">
        <f t="shared" si="46"/>
        <v>16.079999999999998</v>
      </c>
      <c r="EO23" s="1">
        <f t="shared" si="46"/>
        <v>16.079999999999998</v>
      </c>
      <c r="EP23" s="1">
        <f t="shared" si="46"/>
        <v>16.079999999999998</v>
      </c>
      <c r="EQ23" s="1">
        <f t="shared" si="46"/>
        <v>16.079999999999998</v>
      </c>
      <c r="ER23" s="1">
        <f t="shared" si="46"/>
        <v>16.079999999999998</v>
      </c>
      <c r="ES23" s="1">
        <f t="shared" si="46"/>
        <v>16.079999999999998</v>
      </c>
      <c r="ET23" s="1">
        <f t="shared" si="46"/>
        <v>16.079999999999998</v>
      </c>
      <c r="EU23" s="1">
        <f t="shared" si="46"/>
        <v>16.079999999999998</v>
      </c>
      <c r="EV23" s="1">
        <f t="shared" si="46"/>
        <v>16.079999999999998</v>
      </c>
      <c r="EW23" s="1">
        <f t="shared" si="46"/>
        <v>16.3</v>
      </c>
      <c r="EX23" s="1">
        <f t="shared" si="46"/>
        <v>16.3</v>
      </c>
      <c r="EY23" s="1">
        <f t="shared" si="42"/>
        <v>16.3</v>
      </c>
      <c r="EZ23" s="1">
        <f t="shared" si="42"/>
        <v>16.3</v>
      </c>
      <c r="FA23" s="1">
        <f t="shared" si="42"/>
        <v>16.3</v>
      </c>
      <c r="FB23" s="1">
        <f t="shared" si="42"/>
        <v>16.3</v>
      </c>
      <c r="FC23" s="1">
        <f t="shared" si="42"/>
        <v>16.3</v>
      </c>
      <c r="FD23" s="1">
        <f t="shared" si="42"/>
        <v>16.3</v>
      </c>
      <c r="FE23" s="1">
        <f t="shared" si="42"/>
        <v>16.3</v>
      </c>
      <c r="FF23" s="1">
        <f t="shared" si="42"/>
        <v>16.3</v>
      </c>
      <c r="FH23" s="162">
        <f t="shared" si="34"/>
        <v>-0.44693627711942896</v>
      </c>
    </row>
    <row r="24" spans="1:164" ht="18.75" customHeight="1">
      <c r="A24" s="243" t="s">
        <v>39</v>
      </c>
      <c r="B24" s="246"/>
      <c r="C24" s="156">
        <f t="shared" si="5"/>
        <v>-0.65999999999999992</v>
      </c>
      <c r="D24" s="198">
        <v>-3</v>
      </c>
      <c r="E24" s="248">
        <f t="shared" si="6"/>
        <v>0.15789473684210531</v>
      </c>
      <c r="F24" s="249">
        <f t="shared" si="7"/>
        <v>0.12893154611537838</v>
      </c>
      <c r="G24" s="248">
        <f t="shared" si="8"/>
        <v>8.9102994280427783E-3</v>
      </c>
      <c r="H24" s="249">
        <f t="shared" si="9"/>
        <v>0.14898443741406253</v>
      </c>
      <c r="I24" s="248">
        <f t="shared" si="10"/>
        <v>-0.26666666666666672</v>
      </c>
      <c r="J24" s="249">
        <f t="shared" si="11"/>
        <v>-0.59718020199511568</v>
      </c>
      <c r="K24" s="248">
        <f t="shared" si="12"/>
        <v>0.26487234170276208</v>
      </c>
      <c r="L24" s="249">
        <f t="shared" si="13"/>
        <v>-0.5315390083694288</v>
      </c>
      <c r="M24" s="250"/>
      <c r="N24" s="24">
        <v>1</v>
      </c>
      <c r="O24" s="248">
        <f t="shared" si="35"/>
        <v>0</v>
      </c>
      <c r="P24" s="251">
        <f t="shared" si="36"/>
        <v>0</v>
      </c>
      <c r="Q24" s="248">
        <f t="shared" si="14"/>
        <v>-7.6564639569812631E-2</v>
      </c>
      <c r="R24" s="251">
        <f t="shared" si="37"/>
        <v>-7.6564639569812631E-2</v>
      </c>
      <c r="S24" s="250"/>
      <c r="T24" s="24">
        <v>0</v>
      </c>
      <c r="U24" s="248">
        <f t="shared" si="15"/>
        <v>6.5882130344509182E-2</v>
      </c>
      <c r="V24" s="252">
        <f t="shared" si="16"/>
        <v>6.5882130344509182E-2</v>
      </c>
      <c r="W24" s="248">
        <f t="shared" si="38"/>
        <v>3.7410275351123845E-2</v>
      </c>
      <c r="X24" s="258">
        <f t="shared" si="17"/>
        <v>3.7410275351123845E-2</v>
      </c>
      <c r="Y24" s="248">
        <f t="shared" si="18"/>
        <v>-0.13272944644036266</v>
      </c>
      <c r="Z24" s="252">
        <f t="shared" si="19"/>
        <v>-0.13272944644036266</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VLOOKUP($A24,historia!$A$5:$DD$24,+HLOOKUP(AU$2,historia!$A$3:$EC$4,2,FALSE),FALSE)</f>
        <v>4</v>
      </c>
      <c r="AV24" s="58">
        <f>VLOOKUP($A24,historia!$A$5:$DD$24,+HLOOKUP(AV$2,historia!$A$3:$EC$4,2,FALSE),FALSE)</f>
        <v>4</v>
      </c>
      <c r="AW24" s="58">
        <f>VLOOKUP($A24,historia!$A$5:$DD$24,+HLOOKUP(AW$2,historia!$A$3:$EC$4,2,FALSE),FALSE)</f>
        <v>4</v>
      </c>
      <c r="AX24" s="58">
        <f>VLOOKUP($A24,historia!$A$5:$DD$24,+HLOOKUP(AX$2,historia!$A$3:$EC$4,2,FALSE),FALSE)</f>
        <v>4</v>
      </c>
      <c r="AY24" s="58">
        <f>VLOOKUP($A24,historia!$A$5:$DD$24,+HLOOKUP(AY$2,historia!$A$3:$EC$4,2,FALSE),FALSE)</f>
        <v>4</v>
      </c>
      <c r="AZ24" s="58">
        <f>VLOOKUP($A24,historia!$A$5:$DD$24,+HLOOKUP(AZ$2,historia!$A$3:$EC$4,2,FALSE),FALSE)</f>
        <v>4</v>
      </c>
      <c r="BA24" s="58">
        <f>VLOOKUP($A24,historia!$A$5:$DG$24,+HLOOKUP(BA$2,historia!$A$3:$EC$4,2,FALSE),FALSE)</f>
        <v>4</v>
      </c>
      <c r="BB24" s="58"/>
      <c r="BC24" s="286">
        <v>4</v>
      </c>
      <c r="BD24" t="str">
        <f t="shared" si="20"/>
        <v>Yerba Mate</v>
      </c>
      <c r="BE24">
        <f>+datos!AG1</f>
        <v>33</v>
      </c>
      <c r="BF24" s="2" t="str">
        <f t="shared" si="4"/>
        <v>$/t</v>
      </c>
      <c r="BG24" s="2">
        <f t="shared" si="4"/>
        <v>220000</v>
      </c>
      <c r="BH24" s="2">
        <f t="shared" si="4"/>
        <v>190000</v>
      </c>
      <c r="BI24" s="2">
        <f t="shared" si="4"/>
        <v>300000</v>
      </c>
      <c r="BK24" s="1">
        <f>+datos!ED1</f>
        <v>134</v>
      </c>
      <c r="BL24" s="1">
        <f t="shared" si="21"/>
        <v>231352</v>
      </c>
      <c r="BM24" s="1">
        <f t="shared" si="21"/>
        <v>231352</v>
      </c>
      <c r="BO24" s="1">
        <f>+datos!FZ1</f>
        <v>182</v>
      </c>
      <c r="BP24" s="1">
        <f t="shared" si="22"/>
        <v>890576.76</v>
      </c>
      <c r="BQ24" s="1">
        <f t="shared" si="22"/>
        <v>964417</v>
      </c>
      <c r="BS24" s="1">
        <f>+datos!KD1</f>
        <v>290</v>
      </c>
      <c r="BT24" s="1">
        <f t="shared" si="39"/>
        <v>124.79745068999998</v>
      </c>
      <c r="BU24" s="1">
        <f t="shared" si="40"/>
        <v>117.08372542999999</v>
      </c>
      <c r="BW24" s="1">
        <f>+datos!LI1</f>
        <v>321</v>
      </c>
      <c r="BX24" s="2">
        <f t="shared" si="23"/>
        <v>22.64221968</v>
      </c>
      <c r="BY24" s="2">
        <f t="shared" si="24"/>
        <v>21.82571372</v>
      </c>
      <c r="CA24" s="1">
        <f>+datos!IP1</f>
        <v>250</v>
      </c>
      <c r="CB24" s="2">
        <f t="shared" si="25"/>
        <v>4.980278516945301</v>
      </c>
      <c r="CC24" s="2">
        <f t="shared" si="26"/>
        <v>5.7424738987207355</v>
      </c>
      <c r="CD24" s="2"/>
      <c r="CE24">
        <f>+datos!CY1</f>
        <v>103</v>
      </c>
      <c r="CF24" s="2">
        <f t="shared" si="27"/>
        <v>12294.074812146788</v>
      </c>
      <c r="CG24" s="2">
        <f t="shared" si="27"/>
        <v>12185.498372963753</v>
      </c>
      <c r="CH24" s="2">
        <f t="shared" si="27"/>
        <v>9719.6170766107443</v>
      </c>
      <c r="CI24" s="2"/>
      <c r="CK24" s="1">
        <f t="shared" si="43"/>
        <v>6.4893821299999992</v>
      </c>
      <c r="CL24" s="1">
        <f t="shared" si="43"/>
        <v>7.9660401599999986</v>
      </c>
      <c r="CM24" s="1">
        <f t="shared" si="43"/>
        <v>11.742414109999999</v>
      </c>
      <c r="CN24" s="1">
        <f t="shared" si="43"/>
        <v>9.2986503200000001</v>
      </c>
      <c r="CO24" s="1">
        <f t="shared" si="43"/>
        <v>19.294760099999998</v>
      </c>
      <c r="CP24" s="1">
        <f t="shared" si="43"/>
        <v>12.267837869999999</v>
      </c>
      <c r="CQ24" s="1">
        <f t="shared" si="43"/>
        <v>8.5848558799999992</v>
      </c>
      <c r="CR24" s="1">
        <f t="shared" si="43"/>
        <v>12.502816449999999</v>
      </c>
      <c r="CS24" s="1">
        <f t="shared" si="43"/>
        <v>10.79513302</v>
      </c>
      <c r="CT24" s="1">
        <f t="shared" si="43"/>
        <v>10.492918690000002</v>
      </c>
      <c r="CU24" s="1">
        <f t="shared" si="43"/>
        <v>7.4906505000000001</v>
      </c>
      <c r="CV24" s="1">
        <f t="shared" si="43"/>
        <v>7.8719914600000003</v>
      </c>
      <c r="CW24" s="1">
        <f t="shared" si="43"/>
        <v>9.8166064800000008</v>
      </c>
      <c r="CX24" s="1">
        <f t="shared" si="43"/>
        <v>7.1690497699999991</v>
      </c>
      <c r="CY24" s="1">
        <f t="shared" si="43"/>
        <v>10.805856030000001</v>
      </c>
      <c r="CZ24" s="1">
        <f t="shared" si="43"/>
        <v>10.476429469999998</v>
      </c>
      <c r="DA24" s="1">
        <f t="shared" si="44"/>
        <v>11.361751129999998</v>
      </c>
      <c r="DB24" s="1">
        <f t="shared" si="44"/>
        <v>10.05873476</v>
      </c>
      <c r="DC24" s="1">
        <f t="shared" si="44"/>
        <v>9.4659040999999995</v>
      </c>
      <c r="DD24" s="1">
        <f t="shared" si="44"/>
        <v>8.3006057400000017</v>
      </c>
      <c r="DE24" s="1">
        <f t="shared" si="44"/>
        <v>11.077079630000002</v>
      </c>
      <c r="DF24" s="1">
        <f t="shared" si="44"/>
        <v>7.2906957700000001</v>
      </c>
      <c r="DG24" s="1">
        <f t="shared" si="44"/>
        <v>8.852789640000001</v>
      </c>
      <c r="DH24" s="1">
        <f t="shared" si="44"/>
        <v>12.408222910000001</v>
      </c>
      <c r="DJ24" s="1">
        <f t="shared" si="45"/>
        <v>1.2853964200000001</v>
      </c>
      <c r="DK24" s="1">
        <f t="shared" si="45"/>
        <v>1.1258133800000001</v>
      </c>
      <c r="DL24" s="1">
        <f t="shared" si="45"/>
        <v>1.20972141</v>
      </c>
      <c r="DM24" s="1">
        <f t="shared" si="45"/>
        <v>1.0549183800000002</v>
      </c>
      <c r="DN24" s="1">
        <f t="shared" si="45"/>
        <v>1.9397561100000003</v>
      </c>
      <c r="DO24" s="1">
        <f t="shared" si="45"/>
        <v>2.1093840299999997</v>
      </c>
      <c r="DP24" s="1">
        <f t="shared" si="45"/>
        <v>1.7438363500000003</v>
      </c>
      <c r="DQ24" s="1">
        <f t="shared" si="45"/>
        <v>2.3219247899999997</v>
      </c>
      <c r="DR24" s="1">
        <f t="shared" si="45"/>
        <v>1.6709123100000001</v>
      </c>
      <c r="DS24" s="1">
        <f t="shared" si="45"/>
        <v>3.5033770500000001</v>
      </c>
      <c r="DT24" s="1">
        <f t="shared" si="45"/>
        <v>2.2730154199999997</v>
      </c>
      <c r="DU24" s="1">
        <f t="shared" si="45"/>
        <v>2.4041640299999996</v>
      </c>
      <c r="DV24" s="1">
        <f t="shared" si="45"/>
        <v>2.0218665100000002</v>
      </c>
      <c r="DW24" s="1">
        <f t="shared" si="45"/>
        <v>1.1839526999999999</v>
      </c>
      <c r="DX24" s="1">
        <f t="shared" si="45"/>
        <v>1.1744757299999999</v>
      </c>
      <c r="DY24" s="1">
        <f t="shared" si="45"/>
        <v>2.1750064099999999</v>
      </c>
      <c r="DZ24" s="1">
        <f t="shared" si="41"/>
        <v>2.6101839400000002</v>
      </c>
      <c r="EA24" s="1">
        <f t="shared" si="41"/>
        <v>1.2494588400000002</v>
      </c>
      <c r="EB24" s="1">
        <f t="shared" si="41"/>
        <v>0.60028256999999996</v>
      </c>
      <c r="EC24" s="1">
        <f t="shared" si="41"/>
        <v>1.7316709800000001</v>
      </c>
      <c r="ED24" s="1">
        <f t="shared" si="41"/>
        <v>1.1554743999999999</v>
      </c>
      <c r="EE24" s="1">
        <f t="shared" si="41"/>
        <v>1.50586095</v>
      </c>
      <c r="EF24" s="1">
        <f t="shared" si="41"/>
        <v>3.2398820599999998</v>
      </c>
      <c r="EG24" s="1">
        <f t="shared" si="41"/>
        <v>3.1775986299999999</v>
      </c>
      <c r="EI24" s="14">
        <f t="shared" si="46"/>
        <v>4.980278516945301</v>
      </c>
      <c r="EJ24" s="14">
        <f t="shared" si="46"/>
        <v>5.5266720107101239</v>
      </c>
      <c r="EK24" s="1">
        <f t="shared" si="46"/>
        <v>5.7424738987207355</v>
      </c>
      <c r="EL24" s="1">
        <f t="shared" si="46"/>
        <v>5.7424738987207355</v>
      </c>
      <c r="EM24" s="1">
        <f t="shared" si="46"/>
        <v>5.7424738987207355</v>
      </c>
      <c r="EN24" s="1">
        <f t="shared" si="46"/>
        <v>5.7424738987207355</v>
      </c>
      <c r="EO24" s="1">
        <f t="shared" si="46"/>
        <v>5.7424738987207355</v>
      </c>
      <c r="EP24" s="1">
        <f t="shared" si="46"/>
        <v>5.7424738987207355</v>
      </c>
      <c r="EQ24" s="1">
        <f t="shared" si="46"/>
        <v>5.7424738987207355</v>
      </c>
      <c r="ER24" s="1">
        <f t="shared" si="46"/>
        <v>5.7424738987207355</v>
      </c>
      <c r="ES24" s="1">
        <f t="shared" si="46"/>
        <v>5.7424738987207355</v>
      </c>
      <c r="ET24" s="1">
        <f t="shared" si="46"/>
        <v>5.7424738987207355</v>
      </c>
      <c r="EU24" s="1">
        <f t="shared" si="46"/>
        <v>5.7424738987207355</v>
      </c>
      <c r="EV24" s="1">
        <f t="shared" si="46"/>
        <v>5.7424738987207355</v>
      </c>
      <c r="EW24" s="1">
        <f t="shared" si="46"/>
        <v>5.5693606783423002</v>
      </c>
      <c r="EX24" s="1">
        <f t="shared" si="46"/>
        <v>5.5693606783423002</v>
      </c>
      <c r="EY24" s="1">
        <f t="shared" si="42"/>
        <v>5.5693606783423002</v>
      </c>
      <c r="EZ24" s="1">
        <f t="shared" si="42"/>
        <v>5.5693606783423002</v>
      </c>
      <c r="FA24" s="1">
        <f t="shared" si="42"/>
        <v>5.5693606783423002</v>
      </c>
      <c r="FB24" s="1">
        <f t="shared" si="42"/>
        <v>5.5693606783423002</v>
      </c>
      <c r="FC24" s="1">
        <f t="shared" si="42"/>
        <v>5.5693606783423002</v>
      </c>
      <c r="FD24" s="1">
        <f t="shared" si="42"/>
        <v>5.5693606783423002</v>
      </c>
      <c r="FE24" s="1">
        <f t="shared" si="42"/>
        <v>5.5693606783423002</v>
      </c>
      <c r="FF24" s="1">
        <f t="shared" si="42"/>
        <v>5.5693606783423002</v>
      </c>
      <c r="FH24" s="162">
        <f t="shared" si="34"/>
        <v>-0.5315390083694288</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18"/>
        <v/>
      </c>
      <c r="Z25" s="194"/>
      <c r="AA25" s="30"/>
      <c r="AB25" s="57"/>
      <c r="AT25" s="58"/>
      <c r="AU25" s="58"/>
      <c r="AV25" s="58"/>
      <c r="AW25" s="58"/>
      <c r="AX25" s="58"/>
      <c r="AY25" s="58"/>
      <c r="AZ25" s="58"/>
      <c r="BA25" s="58"/>
      <c r="BB25" s="58"/>
      <c r="BF25" s="2"/>
      <c r="BG25" s="2"/>
      <c r="BH25" s="2"/>
      <c r="BI25" s="2"/>
      <c r="BK25" s="1"/>
      <c r="BL25" s="1"/>
      <c r="BM25" s="1"/>
      <c r="BO25" s="1"/>
      <c r="BP25" s="1"/>
      <c r="BQ25" s="1"/>
      <c r="BS25" s="1"/>
      <c r="BT25" s="1"/>
      <c r="BU25" s="1"/>
      <c r="BW25" s="1"/>
      <c r="BX25" s="2"/>
      <c r="BY25" s="2"/>
      <c r="CA25" s="1"/>
      <c r="CB25" s="1"/>
      <c r="CC25" s="1"/>
      <c r="CD25" s="1"/>
      <c r="CF25" s="2"/>
      <c r="CG25" s="2"/>
      <c r="CH25" s="2"/>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G26" s="12"/>
      <c r="K26" s="12"/>
      <c r="O26" s="12"/>
      <c r="Y26" s="386"/>
      <c r="AB26" s="57"/>
      <c r="BI26" s="2"/>
      <c r="BP26" s="1"/>
      <c r="BT26" s="1">
        <f>BT20-BU20</f>
        <v>31.945658659999992</v>
      </c>
    </row>
    <row r="27" spans="1:164" ht="18.75" customHeight="1">
      <c r="I27" s="12">
        <f>+AVERAGEIF(I6:I24,"&lt;211%")</f>
        <v>0.34288106268511881</v>
      </c>
      <c r="K27" s="177">
        <f>+SUBTOTAL(101,K6:K21)</f>
        <v>0.29843528055749463</v>
      </c>
      <c r="V27" t="s">
        <v>167</v>
      </c>
      <c r="X27" s="162"/>
      <c r="BC27" s="751">
        <f>-0.05/0.25</f>
        <v>-0.2</v>
      </c>
      <c r="BL27" s="1">
        <f>BL16-BM16</f>
        <v>-139640</v>
      </c>
      <c r="BM27" s="1"/>
      <c r="BP27" s="1">
        <f>BP16-BQ16</f>
        <v>-292726</v>
      </c>
      <c r="BQ27" s="1"/>
      <c r="BT27" s="1">
        <f>+SUM(BT6:BT24)</f>
        <v>59962.154872300001</v>
      </c>
      <c r="BU27" s="1">
        <f>+SUM(BU6:BU24)</f>
        <v>55499.871076390009</v>
      </c>
      <c r="BX27" s="1">
        <f>+SUM(BX6:BX24)</f>
        <v>3234.0604359899999</v>
      </c>
      <c r="BY27" s="1">
        <f>+SUM(BY6:BY24)</f>
        <v>3684.854097949999</v>
      </c>
      <c r="FH27" s="167">
        <f>+COUNTIF(FH6:FH24,"&gt;0")</f>
        <v>10</v>
      </c>
    </row>
    <row r="28" spans="1:164" ht="18.75" customHeight="1">
      <c r="C28" s="156">
        <v>-1</v>
      </c>
      <c r="E28" s="167">
        <f>+COUNTIF($I$6:$I$24,"&lt;1,69")</f>
        <v>19</v>
      </c>
      <c r="F28" s="29">
        <v>-1</v>
      </c>
      <c r="I28" s="167">
        <f>+COUNTIF($I$6:$I$24,"&lt;1,69")</f>
        <v>19</v>
      </c>
      <c r="J28" s="29">
        <v>-1</v>
      </c>
      <c r="K28">
        <f>+COUNTIF($L$6:$L$24,"&lt;0")</f>
        <v>9</v>
      </c>
      <c r="L28" s="29">
        <v>-1</v>
      </c>
      <c r="O28">
        <f>+COUNTIF($P$6:$P$24,"&lt;0")</f>
        <v>8</v>
      </c>
      <c r="P28" s="262">
        <v>-1</v>
      </c>
      <c r="Q28">
        <f>+COUNTIF($R$6:$R$24,"&lt;0")</f>
        <v>8</v>
      </c>
      <c r="R28" s="262">
        <v>-1</v>
      </c>
      <c r="T28" s="57">
        <f>+COUNTIF($U$6:$U$24,"&lt;0")</f>
        <v>8</v>
      </c>
      <c r="U28" s="29">
        <v>-1</v>
      </c>
      <c r="BP28" s="167"/>
      <c r="BT28" s="10">
        <f>+BT27/BU27-1</f>
        <v>8.0401696605170603E-2</v>
      </c>
      <c r="BX28" s="10">
        <f>+BX27/BY27-1</f>
        <v>-0.12233690940729236</v>
      </c>
    </row>
    <row r="29" spans="1:164" ht="18.75" customHeight="1">
      <c r="A29" s="11">
        <f>+COUNTIF($C$6:$C$24,C29)</f>
        <v>8</v>
      </c>
      <c r="C29" s="156">
        <v>0</v>
      </c>
      <c r="E29" s="167">
        <f>+COUNTIF($I$6:$I$24,"=1,69")</f>
        <v>0</v>
      </c>
      <c r="F29" s="29">
        <v>0</v>
      </c>
      <c r="I29" s="167">
        <f>+COUNTIF($I$6:$I$24,"=1,69")</f>
        <v>0</v>
      </c>
      <c r="J29" s="29">
        <v>0</v>
      </c>
      <c r="L29" s="29">
        <v>0</v>
      </c>
      <c r="O29">
        <f>+COUNTIF($P$6:$P$24,"=0")</f>
        <v>8</v>
      </c>
      <c r="P29" s="262">
        <v>0</v>
      </c>
      <c r="Q29">
        <f>+COUNTIF($R$6:$R$24,"=0")</f>
        <v>6</v>
      </c>
      <c r="R29" s="262">
        <v>0</v>
      </c>
      <c r="T29" s="57">
        <f>+COUNTIF($U$6:$U$24,"=0")</f>
        <v>0</v>
      </c>
      <c r="U29" s="29">
        <v>0</v>
      </c>
      <c r="BP29" s="167"/>
    </row>
    <row r="30" spans="1:164" ht="18.75" customHeight="1">
      <c r="A30" s="11">
        <f>+COUNTIF($C$6:$C$24,"&gt;0")</f>
        <v>1</v>
      </c>
      <c r="C30" s="156">
        <v>1</v>
      </c>
      <c r="E30" s="167">
        <f>+COUNTIF($I$6:$I$24,"&gt;1,69")</f>
        <v>0</v>
      </c>
      <c r="F30" s="29">
        <v>1</v>
      </c>
      <c r="I30" s="167">
        <f>+COUNTIF($I$6:$I$24,"&gt;1,69")</f>
        <v>0</v>
      </c>
      <c r="J30" s="29">
        <v>1</v>
      </c>
      <c r="K30">
        <f>+COUNTIF($L$6:$L$24,"&gt;0")</f>
        <v>10</v>
      </c>
      <c r="L30" s="29">
        <v>1</v>
      </c>
      <c r="O30">
        <f>+COUNTIF($P$6:$P$24,"&gt;0")</f>
        <v>2</v>
      </c>
      <c r="P30" s="262">
        <v>1</v>
      </c>
      <c r="Q30">
        <f>+COUNTIF($R$6:$R$24,"&gt;0")</f>
        <v>5</v>
      </c>
      <c r="R30" s="262">
        <v>1</v>
      </c>
      <c r="T30" s="57">
        <f>+COUNTIF($U$6:$U$24,"&gt;0")</f>
        <v>10</v>
      </c>
      <c r="U30" s="29">
        <v>1</v>
      </c>
      <c r="X30" s="14"/>
      <c r="BP30" s="167"/>
      <c r="BS30" s="1"/>
    </row>
    <row r="31" spans="1:164" ht="18.75" customHeight="1">
      <c r="K31" s="12"/>
    </row>
    <row r="32" spans="1:164" ht="18.75" customHeight="1">
      <c r="C32" s="157"/>
      <c r="I32" s="14">
        <f>+COUNTIF(I6:I24,"&gt;211%")</f>
        <v>0</v>
      </c>
      <c r="J32" s="14"/>
      <c r="K32" s="14"/>
      <c r="Y32" s="163"/>
    </row>
    <row r="33" spans="1:165" ht="18.75" customHeight="1">
      <c r="C33" s="157"/>
      <c r="I33" s="12">
        <f>+I26/2</f>
        <v>0</v>
      </c>
    </row>
    <row r="34" spans="1:165"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4">
      <iconSet>
        <cfvo type="percent" val="0"/>
        <cfvo type="num" val="0"/>
        <cfvo type="num" val="0" gte="0"/>
      </iconSet>
    </cfRule>
  </conditionalFormatting>
  <conditionalFormatting sqref="C28:C30">
    <cfRule type="iconSet" priority="38">
      <iconSet>
        <cfvo type="percent" val="0"/>
        <cfvo type="num" val="0"/>
        <cfvo type="num" val="0" gte="0"/>
      </iconSet>
    </cfRule>
  </conditionalFormatting>
  <conditionalFormatting sqref="D6:D25">
    <cfRule type="iconSet" priority="43">
      <iconSet>
        <cfvo type="percent" val="0"/>
        <cfvo type="num" val="0"/>
        <cfvo type="num" val="0" gte="0"/>
      </iconSet>
    </cfRule>
  </conditionalFormatting>
  <conditionalFormatting sqref="F6:F16 F19:F25">
    <cfRule type="iconSet" priority="39">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6">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4">
      <iconSet>
        <cfvo type="percent" val="0"/>
        <cfvo type="num" val="0"/>
        <cfvo type="num" val="0" gte="0"/>
      </iconSet>
    </cfRule>
  </conditionalFormatting>
  <conditionalFormatting sqref="J6:J9 J11:J16 J19:J25">
    <cfRule type="iconSet" priority="37">
      <iconSet>
        <cfvo type="percent" val="0"/>
        <cfvo type="num" val="0"/>
        <cfvo type="num" val="0" gte="0"/>
      </iconSet>
    </cfRule>
  </conditionalFormatting>
  <conditionalFormatting sqref="J10">
    <cfRule type="iconSet" priority="35">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5">
      <iconSet>
        <cfvo type="percent" val="0"/>
        <cfvo type="num" val="0"/>
        <cfvo type="num" val="0" gte="0"/>
      </iconSet>
    </cfRule>
  </conditionalFormatting>
  <conditionalFormatting sqref="L10">
    <cfRule type="iconSet" priority="46">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0">
      <iconSet>
        <cfvo type="percent" val="0"/>
        <cfvo type="num" val="0"/>
        <cfvo type="num" val="0" gte="0"/>
      </iconSet>
    </cfRule>
  </conditionalFormatting>
  <conditionalFormatting sqref="N6:N25">
    <cfRule type="iconSet" priority="33">
      <iconSet>
        <cfvo type="percent" val="0"/>
        <cfvo type="num" val="0"/>
        <cfvo type="num" val="0" gte="0"/>
      </iconSet>
    </cfRule>
  </conditionalFormatting>
  <conditionalFormatting sqref="P6:P9 P11:P25">
    <cfRule type="iconSet" priority="41">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5">
      <iconSet>
        <cfvo type="percent" val="0"/>
        <cfvo type="num" val="0"/>
        <cfvo type="num" val="0" gte="0"/>
      </iconSet>
    </cfRule>
  </conditionalFormatting>
  <conditionalFormatting sqref="R6:R15 R17:R25">
    <cfRule type="iconSet" priority="42">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4">
      <iconSet>
        <cfvo type="percent" val="0"/>
        <cfvo type="num" val="0"/>
        <cfvo type="num" val="0" gte="0"/>
      </iconSet>
    </cfRule>
  </conditionalFormatting>
  <conditionalFormatting sqref="S6:S25">
    <cfRule type="iconSet" priority="28">
      <iconSet>
        <cfvo type="percent" val="0"/>
        <cfvo type="num" val="0"/>
        <cfvo type="num" val="0" gte="0"/>
      </iconSet>
    </cfRule>
  </conditionalFormatting>
  <conditionalFormatting sqref="T6:T25">
    <cfRule type="iconSet" priority="32">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1">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7">
      <iconSet>
        <cfvo type="percent" val="0"/>
        <cfvo type="num" val="0"/>
        <cfvo type="num" val="0" gte="0"/>
      </iconSet>
    </cfRule>
  </conditionalFormatting>
  <conditionalFormatting sqref="X25">
    <cfRule type="iconSet" priority="26">
      <iconSet reverse="1">
        <cfvo type="percent" val="0"/>
        <cfvo type="num" val="0"/>
        <cfvo type="num" val="0" gte="0"/>
      </iconSet>
    </cfRule>
  </conditionalFormatting>
  <conditionalFormatting sqref="Z6">
    <cfRule type="iconSet" priority="21">
      <iconSet>
        <cfvo type="percent" val="0"/>
        <cfvo type="num" val="0"/>
        <cfvo type="num" val="0" gte="0"/>
      </iconSet>
    </cfRule>
  </conditionalFormatting>
  <conditionalFormatting sqref="Z7">
    <cfRule type="iconSet" priority="20">
      <iconSet>
        <cfvo type="percent" val="0"/>
        <cfvo type="num" val="0"/>
        <cfvo type="num" val="0" gte="0"/>
      </iconSet>
    </cfRule>
  </conditionalFormatting>
  <conditionalFormatting sqref="Z8 Z12 Z14:Z17 Z21 Z23 Z25">
    <cfRule type="iconSet" priority="29">
      <iconSet>
        <cfvo type="percent" val="0"/>
        <cfvo type="num" val="0"/>
        <cfvo type="num" val="0" gte="0"/>
      </iconSet>
    </cfRule>
  </conditionalFormatting>
  <conditionalFormatting sqref="Z9:Z10">
    <cfRule type="iconSet" priority="23">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335" priority="47">
      <formula>AP6=3</formula>
    </cfRule>
    <cfRule type="expression" dxfId="334" priority="48">
      <formula>AP6=5</formula>
    </cfRule>
    <cfRule type="expression" dxfId="333" priority="49">
      <formula>AP6=4</formula>
    </cfRule>
    <cfRule type="expression" dxfId="332" priority="50">
      <formula>AP6=2</formula>
    </cfRule>
    <cfRule type="expression" dxfId="331" priority="51">
      <formula>AP6=1</formula>
    </cfRule>
    <cfRule type="expression" dxfId="330" priority="52">
      <formula>AP6=0</formula>
    </cfRule>
  </conditionalFormatting>
  <conditionalFormatting sqref="AN6:AN25">
    <cfRule type="expression" dxfId="329" priority="59">
      <formula>BA6=3</formula>
    </cfRule>
    <cfRule type="expression" dxfId="328" priority="64">
      <formula>BA6=0</formula>
    </cfRule>
    <cfRule type="expression" dxfId="327" priority="60">
      <formula>BA6=5</formula>
    </cfRule>
    <cfRule type="expression" dxfId="326" priority="61">
      <formula>BA6=4</formula>
    </cfRule>
    <cfRule type="expression" dxfId="325" priority="62">
      <formula>BA6=2</formula>
    </cfRule>
    <cfRule type="expression" dxfId="324" priority="63">
      <formula>BA6=1</formula>
    </cfRule>
  </conditionalFormatting>
  <conditionalFormatting sqref="AO6:AO25">
    <cfRule type="expression" dxfId="323" priority="53">
      <formula>#REF!=3</formula>
    </cfRule>
    <cfRule type="expression" dxfId="322" priority="55">
      <formula>#REF!=4</formula>
    </cfRule>
    <cfRule type="expression" dxfId="321" priority="56">
      <formula>#REF!=2</formula>
    </cfRule>
    <cfRule type="expression" dxfId="320" priority="58">
      <formula>#REF!=0</formula>
    </cfRule>
    <cfRule type="expression" dxfId="319" priority="54">
      <formula>#REF!=5</formula>
    </cfRule>
    <cfRule type="expression" dxfId="318" priority="57">
      <formula>#REF!=1</formula>
    </cfRule>
  </conditionalFormatting>
  <conditionalFormatting sqref="FH6:FH25 FH27">
    <cfRule type="colorScale" priority="22">
      <colorScale>
        <cfvo type="min"/>
        <cfvo type="percentile" val="50"/>
        <cfvo type="max"/>
        <color rgb="FFF8696B"/>
        <color rgb="FFFFEB84"/>
        <color rgb="FF63BE7B"/>
      </colorScale>
    </cfRule>
  </conditionalFormatting>
  <dataValidations count="1">
    <dataValidation type="list" allowBlank="1" showInputMessage="1" showErrorMessage="1" sqref="B1" xr:uid="{FACE98C7-8CD5-4E2B-80CC-69FDF4F2F27D}">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30" id="{9EC7D2A3-5C83-43CD-A79A-228C4EB7918E}">
            <x14:iconSet custom="1">
              <x14:cfvo type="percent">
                <xm:f>0</xm:f>
              </x14:cfvo>
              <x14:cfvo type="num">
                <xm:f>0</xm:f>
              </x14:cfvo>
              <x14:cfvo type="num" gte="0">
                <xm:f>0</xm:f>
              </x14:cfvo>
              <x14:cfIcon iconSet="3TrafficLights1" iconId="2"/>
              <x14:cfIcon iconSet="3TrafficLights1" iconId="1"/>
              <x14:cfIcon iconSet="3TrafficLights1" iconId="0"/>
            </x14:iconSet>
          </x14:cfRule>
          <xm:sqref>X6:X24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D0B0075-8D22-4BFE-999B-D6ACE66A8311}">
          <x14:formula1>
            <xm:f>datos!$A$10:$A$178</xm:f>
          </x14:formula1>
          <xm:sqref>A1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4461F-03EF-4528-8D2C-A0026716B003}">
  <sheetPr>
    <tabColor theme="5" tint="-0.249977111117893"/>
    <pageSetUpPr fitToPage="1"/>
  </sheetPr>
  <dimension ref="A1:FI47"/>
  <sheetViews>
    <sheetView showGridLines="0" zoomScale="70" zoomScaleNormal="70" workbookViewId="0">
      <pane xSplit="4" topLeftCell="E1" activePane="topRight" state="frozen"/>
      <selection pane="topRight" activeCell="BA1" sqref="AP1:BA1048576"/>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3.5546875" style="57" customWidth="1"/>
    <col min="41" max="41" width="1.44140625" style="57" customWidth="1"/>
    <col min="42" max="42" width="5.5546875" style="28" hidden="1" customWidth="1"/>
    <col min="43" max="43" width="5.33203125" style="28" hidden="1" customWidth="1"/>
    <col min="44" max="45" width="5.6640625" style="28" hidden="1" customWidth="1"/>
    <col min="46" max="46" width="5.6640625" hidden="1" customWidth="1"/>
    <col min="47" max="47" width="5" hidden="1" customWidth="1"/>
    <col min="48" max="48" width="6.33203125" hidden="1" customWidth="1"/>
    <col min="49" max="49" width="5.6640625" hidden="1" customWidth="1"/>
    <col min="50" max="50" width="6" hidden="1" customWidth="1"/>
    <col min="51" max="51" width="5.33203125" hidden="1" customWidth="1"/>
    <col min="52" max="52" width="5.6640625" hidden="1" customWidth="1"/>
    <col min="53" max="53" width="5.5546875" hidden="1" customWidth="1"/>
    <col min="54" max="54" width="7.44140625" customWidth="1"/>
    <col min="55" max="55" width="11.6640625" style="141" customWidth="1"/>
    <col min="56" max="56" width="12" customWidth="1"/>
    <col min="57" max="57" width="0.88671875" customWidth="1"/>
    <col min="58" max="58" width="7.88671875" customWidth="1"/>
    <col min="59" max="61" width="8.88671875" bestFit="1" customWidth="1"/>
    <col min="62" max="62" width="3.6640625" customWidth="1"/>
    <col min="63" max="63" width="1.33203125" customWidth="1"/>
    <col min="64" max="64" width="12.88671875" customWidth="1"/>
    <col min="65" max="65" width="12.44140625" customWidth="1"/>
    <col min="66" max="66" width="2.44140625" customWidth="1"/>
    <col min="67" max="67" width="5.109375" customWidth="1"/>
    <col min="68" max="68" width="14.44140625" bestFit="1" customWidth="1"/>
    <col min="69" max="69" width="12.5546875" customWidth="1"/>
    <col min="70" max="70" width="2.44140625" customWidth="1"/>
    <col min="71" max="71" width="8.109375" customWidth="1"/>
    <col min="72" max="73" width="7.5546875" customWidth="1"/>
    <col min="74" max="74" width="2.88671875" customWidth="1"/>
    <col min="75" max="75" width="0.88671875" customWidth="1"/>
    <col min="76" max="77" width="7.44140625" customWidth="1"/>
    <col min="78" max="78" width="2.88671875" customWidth="1"/>
    <col min="79" max="79" width="0.5546875" customWidth="1"/>
    <col min="80" max="80" width="11" customWidth="1"/>
    <col min="81" max="81" width="10.88671875" customWidth="1"/>
    <col min="82" max="82" width="4.33203125" customWidth="1"/>
    <col min="83" max="83" width="7.109375" bestFit="1" customWidth="1"/>
    <col min="84" max="84" width="7.88671875" bestFit="1" customWidth="1"/>
    <col min="85" max="86" width="7.88671875" customWidth="1"/>
    <col min="87" max="87" width="10.88671875" customWidth="1"/>
    <col min="88" max="88" width="7" bestFit="1" customWidth="1"/>
    <col min="89" max="89" width="11" bestFit="1" customWidth="1"/>
    <col min="90" max="90" width="7.44140625" bestFit="1" customWidth="1"/>
    <col min="91" max="91" width="6.88671875" bestFit="1" customWidth="1"/>
    <col min="92" max="92" width="7" bestFit="1" customWidth="1"/>
    <col min="93" max="93" width="7.44140625" bestFit="1" customWidth="1"/>
    <col min="94" max="94" width="7.109375" bestFit="1" customWidth="1"/>
    <col min="95" max="95" width="6.6640625" bestFit="1" customWidth="1"/>
    <col min="96" max="96" width="6.8867187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2" width="7.44140625" bestFit="1" customWidth="1"/>
    <col min="103" max="103" width="6.88671875" bestFit="1" customWidth="1"/>
    <col min="104" max="104" width="6.5546875" bestFit="1" customWidth="1"/>
    <col min="105" max="105" width="6.88671875" bestFit="1" customWidth="1"/>
    <col min="106" max="106" width="7.109375" bestFit="1" customWidth="1"/>
    <col min="107" max="107" width="6.6640625" bestFit="1" customWidth="1"/>
    <col min="108" max="108" width="6.88671875" bestFit="1" customWidth="1"/>
    <col min="109" max="109" width="7.44140625" bestFit="1" customWidth="1"/>
    <col min="110" max="110" width="6.6640625" bestFit="1" customWidth="1"/>
    <col min="111" max="111" width="6.109375" bestFit="1" customWidth="1"/>
    <col min="112" max="112" width="7" bestFit="1" customWidth="1"/>
    <col min="113" max="113" width="5" customWidth="1"/>
    <col min="114" max="114" width="11" bestFit="1" customWidth="1"/>
    <col min="115" max="115" width="6.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2" width="6.6640625" bestFit="1" customWidth="1"/>
    <col min="133" max="133" width="6.109375" bestFit="1" customWidth="1"/>
    <col min="134" max="134" width="7.44140625" bestFit="1" customWidth="1"/>
    <col min="135" max="136" width="6.664062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46023</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46023</v>
      </c>
      <c r="BH1" s="3">
        <v>45992</v>
      </c>
      <c r="BI1" s="3">
        <f>+VLOOKUP(BI2,datos!$D:$E,2,FALSE)</f>
        <v>45658</v>
      </c>
      <c r="BL1" s="3">
        <f>+A1</f>
        <v>46023</v>
      </c>
      <c r="BM1" s="3">
        <f>+VLOOKUP(BM2,datos!$D:$E,2,FALSE)</f>
        <v>45658</v>
      </c>
      <c r="BP1" s="3">
        <f>+A1</f>
        <v>46023</v>
      </c>
      <c r="BQ1" s="3">
        <f>+VLOOKUP(BQ2,datos!$D:$E,2,FALSE)</f>
        <v>45658</v>
      </c>
      <c r="BT1" t="s">
        <v>279</v>
      </c>
      <c r="BU1" t="s">
        <v>280</v>
      </c>
      <c r="BX1" t="s">
        <v>279</v>
      </c>
      <c r="BY1" t="s">
        <v>280</v>
      </c>
      <c r="CB1" t="s">
        <v>282</v>
      </c>
      <c r="CC1" t="s">
        <v>283</v>
      </c>
      <c r="CF1" s="3">
        <f>+A1</f>
        <v>46023</v>
      </c>
      <c r="CG1" s="3">
        <f>+VLOOKUP(CG2,datos!$D:$E,2,FALSE)</f>
        <v>45992</v>
      </c>
      <c r="CH1" s="3">
        <f>+VLOOKUP(CH2,datos!$D:$E,2,FALSE)</f>
        <v>45658</v>
      </c>
      <c r="CJ1" s="3">
        <f>+A1</f>
        <v>46023</v>
      </c>
      <c r="CK1" s="3">
        <f>+VLOOKUP(CK2,datos!$D:$E,2,FALSE)</f>
        <v>46023</v>
      </c>
      <c r="CL1" s="3">
        <f>+VLOOKUP(CL2,datos!$D:$E,2,FALSE)</f>
        <v>45992</v>
      </c>
      <c r="CM1" s="3">
        <f>+VLOOKUP(CM2,datos!$D:$E,2,FALSE)</f>
        <v>45962</v>
      </c>
      <c r="CN1" s="3">
        <f>+VLOOKUP(CN2,datos!$D:$E,2,FALSE)</f>
        <v>45931</v>
      </c>
      <c r="CO1" s="3">
        <f>+VLOOKUP(CO2,datos!$D:$E,2,FALSE)</f>
        <v>45901</v>
      </c>
      <c r="CP1" s="3">
        <f>+VLOOKUP(CP2,datos!$D:$E,2,FALSE)</f>
        <v>45870</v>
      </c>
      <c r="CQ1" s="3">
        <f>+VLOOKUP(CQ2,datos!$D:$E,2,FALSE)</f>
        <v>45839</v>
      </c>
      <c r="CR1" s="3">
        <f>+VLOOKUP(CR2,datos!$D:$E,2,FALSE)</f>
        <v>45809</v>
      </c>
      <c r="CS1" s="3">
        <f>+VLOOKUP(CS2,datos!$D:$E,2,FALSE)</f>
        <v>45778</v>
      </c>
      <c r="CT1" s="3">
        <f>+VLOOKUP(CT2,datos!$D:$E,2,FALSE)</f>
        <v>45748</v>
      </c>
      <c r="CU1" s="3">
        <f>+VLOOKUP(CU2,datos!$D:$E,2,FALSE)</f>
        <v>45717</v>
      </c>
      <c r="CV1" s="3">
        <f>+VLOOKUP(CV2,datos!$D:$E,2,FALSE)</f>
        <v>45689</v>
      </c>
      <c r="CW1" s="3">
        <f>+VLOOKUP(CW2,datos!$D:$E,2,FALSE)</f>
        <v>45658</v>
      </c>
      <c r="CX1" s="3">
        <f>+VLOOKUP(CX2,datos!$D:$E,2,FALSE)</f>
        <v>45627</v>
      </c>
      <c r="CY1" s="3">
        <f>+VLOOKUP(CY2,datos!$D:$E,2,FALSE)</f>
        <v>45597</v>
      </c>
      <c r="CZ1" s="3">
        <f>+VLOOKUP(CZ2,datos!$D:$E,2,FALSE)</f>
        <v>45566</v>
      </c>
      <c r="DA1" s="3">
        <f>+VLOOKUP(DA2,datos!$D:$E,2,FALSE)</f>
        <v>45536</v>
      </c>
      <c r="DB1" s="3">
        <f>+VLOOKUP(DB2,datos!$D:$E,2,FALSE)</f>
        <v>45505</v>
      </c>
      <c r="DC1" s="3">
        <f>+VLOOKUP(DC2,datos!$D:$E,2,FALSE)</f>
        <v>45474</v>
      </c>
      <c r="DD1" s="3">
        <f>+VLOOKUP(DD2,datos!$D:$E,2,FALSE)</f>
        <v>45444</v>
      </c>
      <c r="DE1" s="3">
        <f>+VLOOKUP(DE2,datos!$D:$E,2,FALSE)</f>
        <v>45413</v>
      </c>
      <c r="DF1" s="3">
        <f>+VLOOKUP(DF2,datos!$D:$E,2,FALSE)</f>
        <v>45383</v>
      </c>
      <c r="DG1" s="3">
        <f>+VLOOKUP(DG2,datos!$D:$E,2,FALSE)</f>
        <v>45352</v>
      </c>
      <c r="DH1" s="3">
        <f>+VLOOKUP(DH2,datos!$D:$E,2,FALSE)</f>
        <v>45323</v>
      </c>
      <c r="DJ1" s="3">
        <f>+CK1</f>
        <v>46023</v>
      </c>
      <c r="DK1" s="3">
        <f>+VLOOKUP(DK2,datos!$D:$E,2,FALSE)</f>
        <v>45992</v>
      </c>
      <c r="DL1" s="3">
        <f>+VLOOKUP(DL2,datos!$D:$E,2,FALSE)</f>
        <v>45962</v>
      </c>
      <c r="DM1" s="3">
        <f>+VLOOKUP(DM2,datos!$D:$E,2,FALSE)</f>
        <v>45931</v>
      </c>
      <c r="DN1" s="3">
        <f>+VLOOKUP(DN2,datos!$D:$E,2,FALSE)</f>
        <v>45901</v>
      </c>
      <c r="DO1" s="3">
        <f>+VLOOKUP(DO2,datos!$D:$E,2,FALSE)</f>
        <v>45870</v>
      </c>
      <c r="DP1" s="3">
        <f>+VLOOKUP(DP2,datos!$D:$E,2,FALSE)</f>
        <v>45839</v>
      </c>
      <c r="DQ1" s="3">
        <f>+VLOOKUP(DQ2,datos!$D:$E,2,FALSE)</f>
        <v>45809</v>
      </c>
      <c r="DR1" s="3">
        <f>+VLOOKUP(DR2,datos!$D:$E,2,FALSE)</f>
        <v>45778</v>
      </c>
      <c r="DS1" s="3">
        <f>+VLOOKUP(DS2,datos!$D:$E,2,FALSE)</f>
        <v>45748</v>
      </c>
      <c r="DT1" s="3">
        <f>+VLOOKUP(DT2,datos!$D:$E,2,FALSE)</f>
        <v>45717</v>
      </c>
      <c r="DU1" s="3">
        <f>+VLOOKUP(DU2,datos!$D:$E,2,FALSE)</f>
        <v>45689</v>
      </c>
      <c r="DV1" s="3">
        <f>+VLOOKUP(DV2,datos!$D:$E,2,FALSE)</f>
        <v>45658</v>
      </c>
      <c r="DW1" s="3">
        <f>+VLOOKUP(DW2,datos!$D:$E,2,FALSE)</f>
        <v>45627</v>
      </c>
      <c r="DX1" s="3">
        <f>+VLOOKUP(DX2,datos!$D:$E,2,FALSE)</f>
        <v>45597</v>
      </c>
      <c r="DY1" s="3">
        <f>+VLOOKUP(DY2,datos!$D:$E,2,FALSE)</f>
        <v>45566</v>
      </c>
      <c r="DZ1" s="3">
        <f>+VLOOKUP(DZ2,datos!$D:$E,2,FALSE)</f>
        <v>45536</v>
      </c>
      <c r="EA1" s="3">
        <f>+VLOOKUP(EA2,datos!$D:$E,2,FALSE)</f>
        <v>45505</v>
      </c>
      <c r="EB1" s="3">
        <f>+VLOOKUP(EB2,datos!$D:$E,2,FALSE)</f>
        <v>45474</v>
      </c>
      <c r="EC1" s="3">
        <f>+VLOOKUP(EC2,datos!$D:$E,2,FALSE)</f>
        <v>45444</v>
      </c>
      <c r="ED1" s="3">
        <f>+VLOOKUP(ED2,datos!$D:$E,2,FALSE)</f>
        <v>45413</v>
      </c>
      <c r="EE1" s="3">
        <f>+VLOOKUP(EE2,datos!$D:$E,2,FALSE)</f>
        <v>45383</v>
      </c>
      <c r="EF1" s="3">
        <f>+VLOOKUP(EF2,datos!$D:$E,2,FALSE)</f>
        <v>45352</v>
      </c>
      <c r="EG1" s="3">
        <f>+VLOOKUP(EG2,datos!$D:$E,2,FALSE)</f>
        <v>45323</v>
      </c>
      <c r="EI1" s="700">
        <f>+CK1</f>
        <v>46023</v>
      </c>
      <c r="EJ1" s="700">
        <f t="shared" ref="EJ1:FF1" si="0">+CL1</f>
        <v>45992</v>
      </c>
      <c r="EK1" s="3">
        <f t="shared" si="0"/>
        <v>45962</v>
      </c>
      <c r="EL1" s="3">
        <f t="shared" si="0"/>
        <v>45931</v>
      </c>
      <c r="EM1" s="3">
        <f t="shared" si="0"/>
        <v>45901</v>
      </c>
      <c r="EN1" s="3">
        <f t="shared" si="0"/>
        <v>45870</v>
      </c>
      <c r="EO1" s="3">
        <f t="shared" si="0"/>
        <v>45839</v>
      </c>
      <c r="EP1" s="3">
        <f t="shared" si="0"/>
        <v>45809</v>
      </c>
      <c r="EQ1" s="3">
        <f t="shared" si="0"/>
        <v>45778</v>
      </c>
      <c r="ER1" s="3">
        <f t="shared" si="0"/>
        <v>45748</v>
      </c>
      <c r="ES1" s="3">
        <f t="shared" si="0"/>
        <v>45717</v>
      </c>
      <c r="ET1" s="3">
        <f t="shared" si="0"/>
        <v>45689</v>
      </c>
      <c r="EU1" s="3">
        <f t="shared" si="0"/>
        <v>45658</v>
      </c>
      <c r="EV1" s="3">
        <f t="shared" si="0"/>
        <v>45627</v>
      </c>
      <c r="EW1" s="3">
        <f t="shared" si="0"/>
        <v>45597</v>
      </c>
      <c r="EX1" s="3">
        <f t="shared" si="0"/>
        <v>45566</v>
      </c>
      <c r="EY1" s="3">
        <f t="shared" si="0"/>
        <v>45536</v>
      </c>
      <c r="EZ1" s="3">
        <f t="shared" si="0"/>
        <v>45505</v>
      </c>
      <c r="FA1" s="3">
        <f t="shared" si="0"/>
        <v>45474</v>
      </c>
      <c r="FB1" s="3">
        <f t="shared" si="0"/>
        <v>45444</v>
      </c>
      <c r="FC1" s="3">
        <f t="shared" si="0"/>
        <v>45413</v>
      </c>
      <c r="FD1" s="3">
        <f t="shared" si="0"/>
        <v>45383</v>
      </c>
      <c r="FE1" s="3">
        <f t="shared" si="0"/>
        <v>45352</v>
      </c>
      <c r="FF1" s="3">
        <f t="shared" si="0"/>
        <v>45323</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45689</v>
      </c>
      <c r="AQ2" s="174">
        <f>VLOOKUP(VLOOKUP(+$A$1,ran_ma,2,FALSE)-10,ran_idma,2,FALSE)</f>
        <v>45717</v>
      </c>
      <c r="AR2" s="174">
        <f>VLOOKUP(VLOOKUP(+$A$1,ran_ma,2,FALSE)-9,ran_idma,2,FALSE)</f>
        <v>45748</v>
      </c>
      <c r="AS2" s="174">
        <f>VLOOKUP(VLOOKUP(+$A$1,ran_ma,2,FALSE)-8,ran_idma,2,FALSE)</f>
        <v>45778</v>
      </c>
      <c r="AT2" s="59">
        <f>VLOOKUP(VLOOKUP(+$A$1,ran_ma,2,FALSE)-7,ran_idma,2,FALSE)</f>
        <v>45809</v>
      </c>
      <c r="AU2" s="59">
        <f>VLOOKUP(VLOOKUP(+$A$1,ran_ma,2,FALSE)-6,ran_idma,2,FALSE)</f>
        <v>45839</v>
      </c>
      <c r="AV2" s="59">
        <f>VLOOKUP(VLOOKUP(+$A$1,ran_ma,2,FALSE)-5,ran_idma,2,FALSE)</f>
        <v>45870</v>
      </c>
      <c r="AW2" s="59">
        <f>VLOOKUP(VLOOKUP(+$A$1,ran_ma,2,FALSE)-4,ran_idma,2,FALSE)</f>
        <v>45901</v>
      </c>
      <c r="AX2" s="59">
        <f>VLOOKUP(VLOOKUP(+$A$1,ran_ma,2,FALSE)-3,ran_idma,2,FALSE)</f>
        <v>45931</v>
      </c>
      <c r="AY2" s="59">
        <f>VLOOKUP(VLOOKUP(+$A$1,ran_ma,2,FALSE)-2,ran_idma,2,FALSE)</f>
        <v>45962</v>
      </c>
      <c r="AZ2" s="59">
        <f>VLOOKUP(VLOOKUP(+$A$1,ran_ma,2,FALSE)-1,ran_idma,2,FALSE)</f>
        <v>45992</v>
      </c>
      <c r="BA2" s="59">
        <f>VLOOKUP(VLOOKUP(+$A$1,ran_ma,2,FALSE)-0,ran_idma,2,FALSE)</f>
        <v>46023</v>
      </c>
      <c r="BB2" s="59"/>
      <c r="BC2" s="170"/>
      <c r="BE2" s="9" t="s">
        <v>272</v>
      </c>
      <c r="BG2">
        <f>+VLOOKUP(BG1,ran_dat,datos!$D$1,FALSE)</f>
        <v>130</v>
      </c>
      <c r="BH2">
        <f>+BG2-1</f>
        <v>129</v>
      </c>
      <c r="BI2">
        <f>+BG2-12</f>
        <v>118</v>
      </c>
      <c r="BK2" s="9"/>
      <c r="BL2">
        <f>+VLOOKUP(BL1,ran_dat,datos!$D$1,FALSE)</f>
        <v>130</v>
      </c>
      <c r="BM2">
        <f>+BL2-12</f>
        <v>118</v>
      </c>
      <c r="BO2" s="9"/>
      <c r="BP2">
        <f>+VLOOKUP(BP1,ran_dat,datos!$D$1,FALSE)</f>
        <v>130</v>
      </c>
      <c r="BQ2">
        <f>+BP2-12</f>
        <v>118</v>
      </c>
      <c r="BS2" s="9"/>
      <c r="BW2" s="9"/>
      <c r="CD2" s="386"/>
      <c r="CE2" s="9"/>
      <c r="CF2">
        <f>+VLOOKUP(CF1,ran_dat,datos!$D$1,FALSE)</f>
        <v>130</v>
      </c>
      <c r="CG2">
        <f>+CF2-1</f>
        <v>129</v>
      </c>
      <c r="CH2">
        <f>+CF2-12</f>
        <v>118</v>
      </c>
      <c r="CI2" s="386"/>
      <c r="CJ2">
        <f>+VLOOKUP(CJ1,ran_dat,datos!$D$1,FALSE)</f>
        <v>130</v>
      </c>
      <c r="CK2">
        <f>+CJ2</f>
        <v>130</v>
      </c>
      <c r="CL2">
        <f t="shared" ref="CL2:DH2" si="1">+CK2-1</f>
        <v>129</v>
      </c>
      <c r="CM2">
        <f t="shared" si="1"/>
        <v>128</v>
      </c>
      <c r="CN2">
        <f t="shared" si="1"/>
        <v>127</v>
      </c>
      <c r="CO2">
        <f t="shared" si="1"/>
        <v>126</v>
      </c>
      <c r="CP2">
        <f t="shared" si="1"/>
        <v>125</v>
      </c>
      <c r="CQ2">
        <f t="shared" si="1"/>
        <v>124</v>
      </c>
      <c r="CR2">
        <f t="shared" si="1"/>
        <v>123</v>
      </c>
      <c r="CS2">
        <f t="shared" si="1"/>
        <v>122</v>
      </c>
      <c r="CT2">
        <f t="shared" si="1"/>
        <v>121</v>
      </c>
      <c r="CU2">
        <f t="shared" si="1"/>
        <v>120</v>
      </c>
      <c r="CV2">
        <f t="shared" si="1"/>
        <v>119</v>
      </c>
      <c r="CW2">
        <f t="shared" si="1"/>
        <v>118</v>
      </c>
      <c r="CX2">
        <f t="shared" si="1"/>
        <v>117</v>
      </c>
      <c r="CY2">
        <f t="shared" si="1"/>
        <v>116</v>
      </c>
      <c r="CZ2">
        <f t="shared" si="1"/>
        <v>115</v>
      </c>
      <c r="DA2">
        <f t="shared" si="1"/>
        <v>114</v>
      </c>
      <c r="DB2">
        <f t="shared" si="1"/>
        <v>113</v>
      </c>
      <c r="DC2">
        <f t="shared" si="1"/>
        <v>112</v>
      </c>
      <c r="DD2">
        <f t="shared" si="1"/>
        <v>111</v>
      </c>
      <c r="DE2">
        <f t="shared" si="1"/>
        <v>110</v>
      </c>
      <c r="DF2">
        <f t="shared" si="1"/>
        <v>109</v>
      </c>
      <c r="DG2">
        <f t="shared" si="1"/>
        <v>108</v>
      </c>
      <c r="DH2">
        <f t="shared" si="1"/>
        <v>107</v>
      </c>
      <c r="DJ2">
        <f>+VLOOKUP(DJ1,ran_dat,datos!$D$1,FALSE)</f>
        <v>130</v>
      </c>
      <c r="DK2">
        <f t="shared" ref="DK2:EG2" si="2">+DJ2-1</f>
        <v>129</v>
      </c>
      <c r="DL2">
        <f t="shared" si="2"/>
        <v>128</v>
      </c>
      <c r="DM2">
        <f t="shared" si="2"/>
        <v>127</v>
      </c>
      <c r="DN2">
        <f t="shared" si="2"/>
        <v>126</v>
      </c>
      <c r="DO2">
        <f t="shared" si="2"/>
        <v>125</v>
      </c>
      <c r="DP2">
        <f t="shared" si="2"/>
        <v>124</v>
      </c>
      <c r="DQ2">
        <f t="shared" si="2"/>
        <v>123</v>
      </c>
      <c r="DR2">
        <f t="shared" si="2"/>
        <v>122</v>
      </c>
      <c r="DS2">
        <f t="shared" si="2"/>
        <v>121</v>
      </c>
      <c r="DT2">
        <f t="shared" si="2"/>
        <v>120</v>
      </c>
      <c r="DU2">
        <f t="shared" si="2"/>
        <v>119</v>
      </c>
      <c r="DV2">
        <f t="shared" si="2"/>
        <v>118</v>
      </c>
      <c r="DW2">
        <f t="shared" si="2"/>
        <v>117</v>
      </c>
      <c r="DX2">
        <f t="shared" si="2"/>
        <v>116</v>
      </c>
      <c r="DY2">
        <f t="shared" si="2"/>
        <v>115</v>
      </c>
      <c r="DZ2">
        <f t="shared" si="2"/>
        <v>114</v>
      </c>
      <c r="EA2">
        <f t="shared" si="2"/>
        <v>113</v>
      </c>
      <c r="EB2">
        <f t="shared" si="2"/>
        <v>112</v>
      </c>
      <c r="EC2">
        <f t="shared" si="2"/>
        <v>111</v>
      </c>
      <c r="ED2">
        <f t="shared" si="2"/>
        <v>110</v>
      </c>
      <c r="EE2">
        <f t="shared" si="2"/>
        <v>109</v>
      </c>
      <c r="EF2">
        <f t="shared" si="2"/>
        <v>108</v>
      </c>
      <c r="EG2">
        <f t="shared" si="2"/>
        <v>107</v>
      </c>
      <c r="EI2" s="14">
        <f>+VLOOKUP(EI1,ran_dat,datos!$D$1,FALSE)</f>
        <v>130</v>
      </c>
      <c r="EJ2" s="14">
        <f t="shared" ref="EJ2:FF2" si="3">+EI2-1</f>
        <v>129</v>
      </c>
      <c r="EK2">
        <f t="shared" si="3"/>
        <v>128</v>
      </c>
      <c r="EL2">
        <f t="shared" si="3"/>
        <v>127</v>
      </c>
      <c r="EM2">
        <f t="shared" si="3"/>
        <v>126</v>
      </c>
      <c r="EN2">
        <f t="shared" si="3"/>
        <v>125</v>
      </c>
      <c r="EO2">
        <f t="shared" si="3"/>
        <v>124</v>
      </c>
      <c r="EP2">
        <f t="shared" si="3"/>
        <v>123</v>
      </c>
      <c r="EQ2">
        <f t="shared" si="3"/>
        <v>122</v>
      </c>
      <c r="ER2">
        <f t="shared" si="3"/>
        <v>121</v>
      </c>
      <c r="ES2">
        <f t="shared" si="3"/>
        <v>120</v>
      </c>
      <c r="ET2">
        <f t="shared" si="3"/>
        <v>119</v>
      </c>
      <c r="EU2">
        <f t="shared" si="3"/>
        <v>118</v>
      </c>
      <c r="EV2">
        <f t="shared" si="3"/>
        <v>117</v>
      </c>
      <c r="EW2">
        <f t="shared" si="3"/>
        <v>116</v>
      </c>
      <c r="EX2">
        <f t="shared" si="3"/>
        <v>115</v>
      </c>
      <c r="EY2">
        <f t="shared" si="3"/>
        <v>114</v>
      </c>
      <c r="EZ2">
        <f t="shared" si="3"/>
        <v>113</v>
      </c>
      <c r="FA2">
        <f t="shared" si="3"/>
        <v>112</v>
      </c>
      <c r="FB2">
        <f t="shared" si="3"/>
        <v>111</v>
      </c>
      <c r="FC2">
        <f t="shared" si="3"/>
        <v>110</v>
      </c>
      <c r="FD2">
        <f t="shared" si="3"/>
        <v>109</v>
      </c>
      <c r="FE2">
        <f t="shared" si="3"/>
        <v>108</v>
      </c>
      <c r="FF2">
        <f t="shared" si="3"/>
        <v>107</v>
      </c>
    </row>
    <row r="3" spans="1:164" ht="18.75" customHeight="1">
      <c r="A3" s="220"/>
      <c r="C3" s="155"/>
      <c r="D3" s="196">
        <v>0.33</v>
      </c>
      <c r="E3" s="100">
        <f>IFERROR(+BG5/BH5-1,"")</f>
        <v>2.881619353661713E-2</v>
      </c>
      <c r="F3" s="56" t="s">
        <v>515</v>
      </c>
      <c r="G3" s="56"/>
      <c r="H3" s="56"/>
      <c r="I3" s="60">
        <f>IFERROR(+BG5/BI5-1,"")</f>
        <v>0.32412239162777667</v>
      </c>
      <c r="J3" s="56" t="s">
        <v>515</v>
      </c>
      <c r="K3" s="56"/>
      <c r="L3" s="56"/>
      <c r="M3" s="32"/>
      <c r="N3" s="196">
        <v>0.33</v>
      </c>
      <c r="O3" s="31"/>
      <c r="S3" s="32"/>
      <c r="T3" s="196">
        <v>0.33</v>
      </c>
      <c r="U3" s="150" t="str">
        <f>TEXT(CV1,"MMM-YY")&amp;"."&amp;TEXT(CK1,"MMM-YY")&amp;" vs "&amp;TEXT(DH1,"MMM-YY")&amp;"."&amp;TEXT(CW1,"MMM-YY")</f>
        <v>feb-25.ene-26 vs feb-24.ene-25</v>
      </c>
      <c r="Y3" s="59" t="str">
        <f>TEXT(CK1,"MMM-YY")&amp;" vs "&amp;TEXT(CW1,"MMM-YY")</f>
        <v>ene-26 vs ene-25</v>
      </c>
      <c r="BE3" s="4" t="s">
        <v>3</v>
      </c>
      <c r="BF3" s="4"/>
      <c r="BG3" s="4"/>
      <c r="BH3" s="4"/>
      <c r="BI3" s="4"/>
      <c r="BK3" s="20" t="s">
        <v>15</v>
      </c>
      <c r="BL3" s="20"/>
      <c r="BM3" s="20"/>
      <c r="BO3" s="21" t="s">
        <v>2</v>
      </c>
      <c r="BP3" s="21"/>
      <c r="BQ3" s="21"/>
      <c r="BS3" s="4" t="s">
        <v>7</v>
      </c>
      <c r="BT3" s="4"/>
      <c r="BU3" s="4"/>
      <c r="BW3" s="43" t="s">
        <v>8</v>
      </c>
      <c r="BX3" s="43"/>
      <c r="BY3" s="43"/>
      <c r="CA3" s="22" t="s">
        <v>9</v>
      </c>
      <c r="CB3" s="22"/>
      <c r="CC3" s="22"/>
      <c r="CD3" s="178"/>
      <c r="CE3" s="27" t="s">
        <v>5</v>
      </c>
      <c r="CF3" s="27"/>
      <c r="CG3" s="27"/>
      <c r="CH3" s="27"/>
      <c r="CI3" s="178"/>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O4" s="9"/>
      <c r="BS4" s="9"/>
      <c r="BW4" s="9"/>
      <c r="CE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10413.0309</v>
      </c>
      <c r="BH5" s="2">
        <f t="shared" si="4"/>
        <v>10121.371499999999</v>
      </c>
      <c r="BI5" s="2">
        <f t="shared" si="4"/>
        <v>7864.1</v>
      </c>
    </row>
    <row r="6" spans="1:164" ht="18.75" customHeight="1">
      <c r="A6" s="243" t="s">
        <v>28</v>
      </c>
      <c r="B6" s="246"/>
      <c r="C6" s="156">
        <f t="shared" ref="C6:C24" si="5">+D6*$D$3+N6*$N$3+T6*$T$3</f>
        <v>0</v>
      </c>
      <c r="D6" s="198">
        <v>-2</v>
      </c>
      <c r="E6" s="248">
        <f t="shared" ref="E6:E24" si="6">IFERROR(+BG6/BH6-1,"")</f>
        <v>2.8623281923565447E-3</v>
      </c>
      <c r="F6" s="249">
        <f t="shared" ref="F6:F24" si="7">+E6-$E$3</f>
        <v>-2.5953865344260585E-2</v>
      </c>
      <c r="G6" s="248">
        <f t="shared" ref="G6:G24" si="8">IFERROR(+CF6/CG6-1,"")</f>
        <v>2.5579056517004428E-3</v>
      </c>
      <c r="H6" s="249">
        <f t="shared" ref="H6:H24" si="9">E6-G6</f>
        <v>3.0442254065610186E-4</v>
      </c>
      <c r="I6" s="248">
        <f t="shared" ref="I6:I24" si="10">IFERROR(+BG6/BI6-1,"")</f>
        <v>0.11139972202252602</v>
      </c>
      <c r="J6" s="249">
        <f t="shared" ref="J6:J24" si="11">+I6-$I$3</f>
        <v>-0.21272266960525066</v>
      </c>
      <c r="K6" s="248">
        <f t="shared" ref="K6:K24" si="12">IFERROR(+CF6/CH6-1,"")</f>
        <v>0.29017096453545377</v>
      </c>
      <c r="L6" s="249">
        <f t="shared" ref="L6:L24" si="13">I6-K6</f>
        <v>-0.17877124251292775</v>
      </c>
      <c r="M6" s="250"/>
      <c r="N6" s="24">
        <v>1</v>
      </c>
      <c r="O6" s="248">
        <f>IFERROR(+BL6/BM6-1,"")</f>
        <v>-0.24637681159420288</v>
      </c>
      <c r="P6" s="251">
        <f>+O6</f>
        <v>-0.24637681159420288</v>
      </c>
      <c r="Q6" s="248">
        <f t="shared" ref="Q6:Q24" si="14">IFERROR(+BP6/BQ6-1,"")</f>
        <v>-0.15384615384615385</v>
      </c>
      <c r="R6" s="251">
        <f>+Q6</f>
        <v>-0.15384615384615385</v>
      </c>
      <c r="S6" s="250"/>
      <c r="T6" s="24">
        <v>1</v>
      </c>
      <c r="U6" s="248">
        <f t="shared" ref="U6:U24" si="15">IFERROR(+BT6/BU6-1,"")</f>
        <v>-0.24374418225339778</v>
      </c>
      <c r="V6" s="252">
        <f t="shared" ref="V6:V24" si="16">+U6</f>
        <v>-0.24374418225339778</v>
      </c>
      <c r="W6" s="701">
        <f>IFERROR(IF(BX6&lt;0.5,"",+BX6/BY6-1),"")</f>
        <v>0.6905810514221522</v>
      </c>
      <c r="X6" s="252">
        <f t="shared" ref="X6:X24" si="17">+W6</f>
        <v>0.6905810514221522</v>
      </c>
      <c r="Y6" s="248" t="str">
        <f t="shared" ref="Y6:Y25" si="18">IFERROR(+CB6/CC6-1,"")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4</v>
      </c>
      <c r="AQ6" s="28">
        <f>VLOOKUP($A6,historia!$A$5:$CM$24,+HLOOKUP(AQ$2,historia!$A$3:$EC$4,2,FALSE),FALSE)</f>
        <v>4</v>
      </c>
      <c r="AR6" s="28">
        <f>VLOOKUP($A6,historia!$A$5:$CM$24,+HLOOKUP(AR$2,historia!$A$3:$EC$4,2,FALSE),FALSE)</f>
        <v>4</v>
      </c>
      <c r="AS6" s="28">
        <f>VLOOKUP($A6,historia!$A$5:$CM$24,+HLOOKUP(AS$2,historia!$A$3:$EC$4,2,FALSE),FALSE)</f>
        <v>3</v>
      </c>
      <c r="AT6" s="58">
        <f>VLOOKUP($A6,historia!$A$5:$CM$24,+HLOOKUP(AT$2,historia!$A$3:$EC$4,2,FALSE),FALSE)</f>
        <v>3</v>
      </c>
      <c r="AU6" s="58">
        <f>VLOOKUP($A6,historia!$A$5:$CM$24,+HLOOKUP(AU$2,historia!$A$3:$EC$4,2,FALSE),FALSE)</f>
        <v>3</v>
      </c>
      <c r="AV6" s="58">
        <f>VLOOKUP($A6,historia!$A$5:$DD$24,+HLOOKUP(AV$2,historia!$A$3:$EC$4,2,FALSE),FALSE)</f>
        <v>3</v>
      </c>
      <c r="AW6" s="58">
        <f>VLOOKUP($A6,historia!$A$5:$DD$24,+HLOOKUP(AW$2,historia!$A$3:$EC$4,2,FALSE),FALSE)</f>
        <v>4</v>
      </c>
      <c r="AX6" s="58">
        <f>VLOOKUP($A6,historia!$A$5:$DD$24,+HLOOKUP(AX$2,historia!$A$3:$EC$4,2,FALSE),FALSE)</f>
        <v>4</v>
      </c>
      <c r="AY6" s="58">
        <f>VLOOKUP($A6,historia!$A$5:$DD$24,+HLOOKUP(AY$2,historia!$A$3:$EC$4,2,FALSE),FALSE)</f>
        <v>4</v>
      </c>
      <c r="AZ6" s="58">
        <f>VLOOKUP($A6,historia!$A$5:$DG$24,+HLOOKUP(AZ$2,historia!$A$3:$EC$4,2,FALSE),FALSE)</f>
        <v>4</v>
      </c>
      <c r="BA6" s="58">
        <f>VLOOKUP($A6,historia!$A$5:$DG$24,+HLOOKUP(BA$2,historia!$A$3:$EC$4,2,FALSE),FALSE)</f>
        <v>4</v>
      </c>
      <c r="BB6" s="58"/>
      <c r="BC6" s="286">
        <v>4</v>
      </c>
      <c r="BD6" t="str">
        <f t="shared" ref="BD6:BD24" si="20">+A6</f>
        <v>Algodón</v>
      </c>
      <c r="BE6">
        <f>+datos!P1</f>
        <v>16</v>
      </c>
      <c r="BF6" s="2" t="str">
        <f t="shared" si="4"/>
        <v>$/kg</v>
      </c>
      <c r="BG6" s="2">
        <f t="shared" si="4"/>
        <v>1510.4241576049999</v>
      </c>
      <c r="BH6" s="2">
        <f t="shared" si="4"/>
        <v>1506.1131674249998</v>
      </c>
      <c r="BI6" s="2">
        <f t="shared" si="4"/>
        <v>1359.0287343749997</v>
      </c>
      <c r="BK6" s="1">
        <f>+datos!DK1</f>
        <v>115</v>
      </c>
      <c r="BL6" s="1">
        <f t="shared" ref="BL6:BM24" si="21">+VLOOKUP(BL$1,ran_dat,$BK6,FALSE)</f>
        <v>520000</v>
      </c>
      <c r="BM6" s="1">
        <f t="shared" si="21"/>
        <v>690000</v>
      </c>
      <c r="BO6" s="1">
        <f>+datos!FF1</f>
        <v>162</v>
      </c>
      <c r="BP6" s="1">
        <f>+VLOOKUP(BP$1,ran_dat,$BO6,FALSE)</f>
        <v>1100000</v>
      </c>
      <c r="BQ6" s="1">
        <f t="shared" ref="BP6:BQ24" si="22">+VLOOKUP(BQ$1,ran_dat,$BO6,FALSE)</f>
        <v>1300000</v>
      </c>
      <c r="BS6" s="1">
        <f>+datos!JF1</f>
        <v>266</v>
      </c>
      <c r="BT6" s="1">
        <f>+SUM(CK6:CV6)</f>
        <v>148.08808682999998</v>
      </c>
      <c r="BU6" s="1">
        <f>+SUM(CW6:DH6)</f>
        <v>195.81745139</v>
      </c>
      <c r="BW6" s="1">
        <f>+datos!KK1</f>
        <v>297</v>
      </c>
      <c r="BX6" s="2">
        <f t="shared" ref="BX6:BX24" si="23">+SUM(DJ6:DU6)</f>
        <v>107.43871713</v>
      </c>
      <c r="BY6" s="2">
        <f t="shared" ref="BY6:BY24" si="24">+SUM(DV6:EG6)</f>
        <v>63.551355339999994</v>
      </c>
      <c r="CA6" s="1">
        <f>+datos!HS1</f>
        <v>227</v>
      </c>
      <c r="CB6" s="1">
        <f t="shared" ref="CB6:CB24" si="25">+EI6</f>
        <v>0</v>
      </c>
      <c r="CC6" s="1">
        <f t="shared" ref="CC6:CC24" si="26">+EU6</f>
        <v>0</v>
      </c>
      <c r="CD6" s="1"/>
      <c r="CE6">
        <f>+datos!BY1</f>
        <v>77</v>
      </c>
      <c r="CF6" s="2">
        <f t="shared" ref="CF6:CH24" si="27">+VLOOKUP(CF$1,ran_dat,$CE6,FALSE)</f>
        <v>12236.980546446246</v>
      </c>
      <c r="CG6" s="2">
        <f t="shared" si="27"/>
        <v>12205.759365581729</v>
      </c>
      <c r="CH6" s="2">
        <f t="shared" si="27"/>
        <v>9484.7744080586726</v>
      </c>
      <c r="CI6" s="1"/>
      <c r="CK6" s="1">
        <f t="shared" ref="CK6:CZ21" si="28">+VLOOKUP(CK$1,ran_dat,$BS6,FALSE)</f>
        <v>12.342095660000002</v>
      </c>
      <c r="CL6" s="1">
        <f t="shared" si="28"/>
        <v>14.028435419999997</v>
      </c>
      <c r="CM6" s="1">
        <f t="shared" si="28"/>
        <v>19.935607340000004</v>
      </c>
      <c r="CN6" s="1">
        <f t="shared" si="28"/>
        <v>21.754931440000004</v>
      </c>
      <c r="CO6" s="1">
        <f t="shared" si="28"/>
        <v>18.652099290000002</v>
      </c>
      <c r="CP6" s="1">
        <f t="shared" si="28"/>
        <v>16.211576590000004</v>
      </c>
      <c r="CQ6" s="1">
        <f t="shared" si="28"/>
        <v>9.0263359399999974</v>
      </c>
      <c r="CR6" s="1">
        <f t="shared" si="28"/>
        <v>8.2931694499999988</v>
      </c>
      <c r="CS6" s="1">
        <f t="shared" si="28"/>
        <v>5.0945514700000007</v>
      </c>
      <c r="CT6" s="1">
        <f t="shared" si="28"/>
        <v>7.3093251500000047</v>
      </c>
      <c r="CU6" s="1">
        <f t="shared" si="28"/>
        <v>6.7908860800000017</v>
      </c>
      <c r="CV6" s="1">
        <f t="shared" si="28"/>
        <v>8.6490729999999978</v>
      </c>
      <c r="CW6" s="1">
        <f t="shared" si="28"/>
        <v>6.462363250000001</v>
      </c>
      <c r="CX6" s="1">
        <f t="shared" si="28"/>
        <v>10.78045292</v>
      </c>
      <c r="CY6" s="1">
        <f t="shared" si="28"/>
        <v>14.805583519999997</v>
      </c>
      <c r="CZ6" s="1">
        <f t="shared" si="28"/>
        <v>17.696202909999993</v>
      </c>
      <c r="DA6" s="1">
        <f t="shared" ref="DA6:DH21" si="29">+VLOOKUP(DA$1,ran_dat,$BS6,FALSE)</f>
        <v>21.922029789999996</v>
      </c>
      <c r="DB6" s="1">
        <f t="shared" si="29"/>
        <v>19.20970509</v>
      </c>
      <c r="DC6" s="1">
        <f t="shared" si="29"/>
        <v>24.496622440000007</v>
      </c>
      <c r="DD6" s="1">
        <f t="shared" si="29"/>
        <v>21.439575039999998</v>
      </c>
      <c r="DE6" s="1">
        <f t="shared" si="29"/>
        <v>14.529816729999997</v>
      </c>
      <c r="DF6" s="1">
        <f t="shared" si="29"/>
        <v>18.258202080000007</v>
      </c>
      <c r="DG6" s="1">
        <f t="shared" si="29"/>
        <v>18.510441480000001</v>
      </c>
      <c r="DH6" s="1">
        <f t="shared" si="29"/>
        <v>7.7064561400000011</v>
      </c>
      <c r="DJ6" s="1">
        <f t="shared" ref="DJ6:DY21" si="30">+VLOOKUP(DJ$1,ran_dat,$BW6,FALSE)</f>
        <v>5.6046989700000003</v>
      </c>
      <c r="DK6" s="1">
        <f t="shared" si="30"/>
        <v>5.8762837499999998</v>
      </c>
      <c r="DL6" s="1">
        <f t="shared" si="30"/>
        <v>7.4817210700000008</v>
      </c>
      <c r="DM6" s="1">
        <f t="shared" si="30"/>
        <v>10.164854930000002</v>
      </c>
      <c r="DN6" s="1">
        <f t="shared" si="30"/>
        <v>9.0858989999999995</v>
      </c>
      <c r="DO6" s="1">
        <f t="shared" si="30"/>
        <v>10.908765819999998</v>
      </c>
      <c r="DP6" s="1">
        <f t="shared" si="30"/>
        <v>11.035692889999996</v>
      </c>
      <c r="DQ6" s="1">
        <f t="shared" si="30"/>
        <v>9.4337625599999999</v>
      </c>
      <c r="DR6" s="1">
        <f t="shared" si="30"/>
        <v>9.66008332</v>
      </c>
      <c r="DS6" s="1">
        <f t="shared" si="30"/>
        <v>10.467826709999999</v>
      </c>
      <c r="DT6" s="1">
        <f t="shared" si="30"/>
        <v>7.9836210200000002</v>
      </c>
      <c r="DU6" s="1">
        <f t="shared" si="30"/>
        <v>9.7355070900000005</v>
      </c>
      <c r="DV6" s="1">
        <f t="shared" si="30"/>
        <v>7.6983577599999995</v>
      </c>
      <c r="DW6" s="1">
        <f t="shared" si="30"/>
        <v>8.003268180000001</v>
      </c>
      <c r="DX6" s="1">
        <f t="shared" si="30"/>
        <v>5.6011509000000004</v>
      </c>
      <c r="DY6" s="1">
        <f t="shared" si="30"/>
        <v>5.8112020999999991</v>
      </c>
      <c r="DZ6" s="1">
        <f t="shared" ref="DZ6:EG20" si="31">+VLOOKUP(DZ$1,ran_dat,$BW6,FALSE)</f>
        <v>6.3060080799999998</v>
      </c>
      <c r="EA6" s="1">
        <f t="shared" si="31"/>
        <v>3.7690183000000008</v>
      </c>
      <c r="EB6" s="1">
        <f t="shared" si="31"/>
        <v>4.5361736000000006</v>
      </c>
      <c r="EC6" s="1">
        <f t="shared" si="31"/>
        <v>3.2956469100000003</v>
      </c>
      <c r="ED6" s="1">
        <f t="shared" si="31"/>
        <v>4.5516111999999991</v>
      </c>
      <c r="EE6" s="1">
        <f t="shared" si="31"/>
        <v>3.9375346699999998</v>
      </c>
      <c r="EF6" s="1">
        <f t="shared" si="31"/>
        <v>4.8118603300000009</v>
      </c>
      <c r="EG6" s="1">
        <f t="shared" si="31"/>
        <v>5.2295233099999994</v>
      </c>
      <c r="EI6" s="14">
        <f t="shared" ref="EI6:EX21" si="32">+VLOOKUP(EI$1,ran_dat,$CA6,FALSE)</f>
        <v>0</v>
      </c>
      <c r="EJ6" s="14">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si="32"/>
        <v>0</v>
      </c>
      <c r="EY6" s="1">
        <f t="shared" ref="EY6:FF20" si="33">+VLOOKUP(EY$1,ran_dat,$CA6,FALSE)</f>
        <v>0</v>
      </c>
      <c r="EZ6" s="1">
        <f t="shared" si="33"/>
        <v>0</v>
      </c>
      <c r="FA6" s="1">
        <f t="shared" si="33"/>
        <v>0</v>
      </c>
      <c r="FB6" s="1">
        <f t="shared" si="33"/>
        <v>0</v>
      </c>
      <c r="FC6" s="1">
        <f t="shared" si="33"/>
        <v>0</v>
      </c>
      <c r="FD6" s="1">
        <f t="shared" si="33"/>
        <v>0</v>
      </c>
      <c r="FE6" s="1">
        <f t="shared" si="33"/>
        <v>0</v>
      </c>
      <c r="FF6" s="1">
        <f t="shared" si="33"/>
        <v>0</v>
      </c>
      <c r="FH6" s="162">
        <f t="shared" ref="FH6:FH24" si="34">+I6-K6</f>
        <v>-0.17877124251292775</v>
      </c>
    </row>
    <row r="7" spans="1:164" ht="18.75" customHeight="1">
      <c r="A7" s="244" t="s">
        <v>13</v>
      </c>
      <c r="B7" s="247"/>
      <c r="C7" s="228">
        <f t="shared" si="5"/>
        <v>-0.33</v>
      </c>
      <c r="D7" s="229">
        <v>-1</v>
      </c>
      <c r="E7" s="253">
        <f t="shared" si="6"/>
        <v>2.0408163265306145E-2</v>
      </c>
      <c r="F7" s="254">
        <f t="shared" si="7"/>
        <v>-8.4080302713109845E-3</v>
      </c>
      <c r="G7" s="253">
        <f t="shared" si="8"/>
        <v>2.9417276770795642E-2</v>
      </c>
      <c r="H7" s="254">
        <f t="shared" si="9"/>
        <v>-9.0091135054894966E-3</v>
      </c>
      <c r="I7" s="253">
        <f t="shared" si="10"/>
        <v>0</v>
      </c>
      <c r="J7" s="254">
        <f t="shared" si="11"/>
        <v>-0.32412239162777667</v>
      </c>
      <c r="K7" s="253">
        <f t="shared" si="12"/>
        <v>0.43443979428925972</v>
      </c>
      <c r="L7" s="254">
        <f t="shared" si="13"/>
        <v>-0.43443979428925972</v>
      </c>
      <c r="M7" s="255"/>
      <c r="N7" s="256">
        <v>1</v>
      </c>
      <c r="O7" s="253">
        <f t="shared" ref="O7:O24" si="35">IFERROR(+BL7/BM7-1,"")</f>
        <v>-0.13043478260869568</v>
      </c>
      <c r="P7" s="257">
        <f t="shared" ref="P7:P24" si="36">+O7</f>
        <v>-0.13043478260869568</v>
      </c>
      <c r="Q7" s="253">
        <f t="shared" si="14"/>
        <v>0.23076923076923084</v>
      </c>
      <c r="R7" s="257">
        <f t="shared" ref="R7:R24" si="37">+Q7</f>
        <v>0.23076923076923084</v>
      </c>
      <c r="S7" s="255"/>
      <c r="T7" s="256">
        <v>-1</v>
      </c>
      <c r="U7" s="253">
        <f t="shared" si="15"/>
        <v>0.43390864392140061</v>
      </c>
      <c r="V7" s="258">
        <f t="shared" si="16"/>
        <v>0.43390864392140061</v>
      </c>
      <c r="W7" s="253">
        <f t="shared" ref="W7:W24" si="38">IFERROR(IF(BX7&lt;0.5,"",+BX7/BY7-1),"")</f>
        <v>-0.41682015540050332</v>
      </c>
      <c r="X7" s="258">
        <f t="shared" si="17"/>
        <v>-0.41682015540050332</v>
      </c>
      <c r="Y7" s="253">
        <f t="shared" si="18"/>
        <v>0.41428571428571437</v>
      </c>
      <c r="Z7" s="258">
        <f t="shared" si="19"/>
        <v>0.41428571428571437</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4</v>
      </c>
      <c r="AQ7" s="28">
        <f>VLOOKUP($A7,historia!$A$5:$CM$24,+HLOOKUP(AQ$2,historia!$A$3:$EC$4,2,FALSE),FALSE)</f>
        <v>4</v>
      </c>
      <c r="AR7" s="28">
        <f>VLOOKUP($A7,historia!$A$5:$CM$24,+HLOOKUP(AR$2,historia!$A$3:$EC$4,2,FALSE),FALSE)</f>
        <v>4</v>
      </c>
      <c r="AS7" s="28">
        <f>VLOOKUP($A7,historia!$A$5:$CM$24,+HLOOKUP(AS$2,historia!$A$3:$EC$4,2,FALSE),FALSE)</f>
        <v>4</v>
      </c>
      <c r="AT7" s="58">
        <f>VLOOKUP($A7,historia!$A$5:$CM$24,+HLOOKUP(AT$2,historia!$A$3:$EC$4,2,FALSE),FALSE)</f>
        <v>4</v>
      </c>
      <c r="AU7" s="58">
        <f>VLOOKUP($A7,historia!$A$5:$CM$24,+HLOOKUP(AU$2,historia!$A$3:$EC$4,2,FALSE),FALSE)</f>
        <v>4</v>
      </c>
      <c r="AV7" s="58">
        <f>VLOOKUP($A7,historia!$A$5:$DD$24,+HLOOKUP(AV$2,historia!$A$3:$EC$4,2,FALSE),FALSE)</f>
        <v>4</v>
      </c>
      <c r="AW7" s="58">
        <f>VLOOKUP($A7,historia!$A$5:$DD$24,+HLOOKUP(AW$2,historia!$A$3:$EC$4,2,FALSE),FALSE)</f>
        <v>4</v>
      </c>
      <c r="AX7" s="58">
        <f>VLOOKUP($A7,historia!$A$5:$DD$24,+HLOOKUP(AX$2,historia!$A$3:$EC$4,2,FALSE),FALSE)</f>
        <v>4</v>
      </c>
      <c r="AY7" s="58">
        <f>VLOOKUP($A7,historia!$A$5:$DD$24,+HLOOKUP(AY$2,historia!$A$3:$EC$4,2,FALSE),FALSE)</f>
        <v>4</v>
      </c>
      <c r="AZ7" s="58">
        <f>VLOOKUP($A7,historia!$A$5:$DG$24,+HLOOKUP(AZ$2,historia!$A$3:$EC$4,2,FALSE),FALSE)</f>
        <v>4</v>
      </c>
      <c r="BA7" s="58">
        <f>VLOOKUP($A7,historia!$A$5:$DG$24,+HLOOKUP(BA$2,historia!$A$3:$EC$4,2,FALSE),FALSE)</f>
        <v>4</v>
      </c>
      <c r="BB7" s="58"/>
      <c r="BC7" s="286">
        <v>4</v>
      </c>
      <c r="BD7" t="str">
        <f t="shared" si="20"/>
        <v>Arroz</v>
      </c>
      <c r="BE7">
        <f>+datos!R1</f>
        <v>18</v>
      </c>
      <c r="BF7" s="2" t="str">
        <f t="shared" si="4"/>
        <v>$/t</v>
      </c>
      <c r="BG7" s="2">
        <f t="shared" si="4"/>
        <v>250000</v>
      </c>
      <c r="BH7" s="2">
        <f t="shared" si="4"/>
        <v>245000</v>
      </c>
      <c r="BI7" s="2">
        <f t="shared" si="4"/>
        <v>250000</v>
      </c>
      <c r="BK7" s="1">
        <f>+datos!DM1</f>
        <v>117</v>
      </c>
      <c r="BL7" s="1">
        <f t="shared" si="21"/>
        <v>200000</v>
      </c>
      <c r="BM7" s="1">
        <f t="shared" si="21"/>
        <v>230000</v>
      </c>
      <c r="BO7" s="1">
        <f>+datos!FH1</f>
        <v>164</v>
      </c>
      <c r="BP7" s="1">
        <f t="shared" si="22"/>
        <v>1600000</v>
      </c>
      <c r="BQ7" s="1">
        <f t="shared" si="22"/>
        <v>1300000</v>
      </c>
      <c r="BS7" s="1">
        <f>+datos!JG1</f>
        <v>267</v>
      </c>
      <c r="BT7" s="1">
        <f t="shared" ref="BT7:BT24" si="39">+SUM(CK7:CV7)</f>
        <v>430.29446589000008</v>
      </c>
      <c r="BU7" s="1">
        <f t="shared" ref="BU7:BU24" si="40">+SUM(CW7:DH7)</f>
        <v>300.08499336</v>
      </c>
      <c r="BW7" s="1">
        <f>+datos!KL1</f>
        <v>298</v>
      </c>
      <c r="BX7" s="2">
        <f t="shared" si="23"/>
        <v>2.7609513300000001</v>
      </c>
      <c r="BY7" s="2">
        <f t="shared" si="24"/>
        <v>4.7343051300000001</v>
      </c>
      <c r="CA7" s="1">
        <f>+datos!HU1</f>
        <v>229</v>
      </c>
      <c r="CB7" s="1">
        <f t="shared" si="25"/>
        <v>990000</v>
      </c>
      <c r="CC7" s="1">
        <f t="shared" si="26"/>
        <v>700000</v>
      </c>
      <c r="CD7" s="1"/>
      <c r="CE7">
        <f>+datos!BZ1</f>
        <v>78</v>
      </c>
      <c r="CF7" s="2">
        <f t="shared" si="27"/>
        <v>12869.138078795053</v>
      </c>
      <c r="CG7" s="2">
        <f t="shared" si="27"/>
        <v>12501.381479786864</v>
      </c>
      <c r="CH7" s="2">
        <f t="shared" si="27"/>
        <v>8971.5428490126978</v>
      </c>
      <c r="CI7" s="1"/>
      <c r="CK7" s="1">
        <f t="shared" si="28"/>
        <v>25.485538569999999</v>
      </c>
      <c r="CL7" s="1">
        <f t="shared" si="28"/>
        <v>12.625558100000001</v>
      </c>
      <c r="CM7" s="1">
        <f t="shared" si="28"/>
        <v>36.759837599999997</v>
      </c>
      <c r="CN7" s="1">
        <f t="shared" si="28"/>
        <v>36.299912110000001</v>
      </c>
      <c r="CO7" s="1">
        <f t="shared" si="28"/>
        <v>15.634826659999996</v>
      </c>
      <c r="CP7" s="1">
        <f t="shared" si="28"/>
        <v>54.436744560000001</v>
      </c>
      <c r="CQ7" s="1">
        <f t="shared" si="28"/>
        <v>16.08135906</v>
      </c>
      <c r="CR7" s="1">
        <f t="shared" si="28"/>
        <v>31.537173230000004</v>
      </c>
      <c r="CS7" s="1">
        <f t="shared" si="28"/>
        <v>39.974175860000003</v>
      </c>
      <c r="CT7" s="1">
        <f t="shared" si="28"/>
        <v>35.910188569999995</v>
      </c>
      <c r="CU7" s="1">
        <f t="shared" si="28"/>
        <v>30.652184479999995</v>
      </c>
      <c r="CV7" s="1">
        <f t="shared" si="28"/>
        <v>94.896967090000004</v>
      </c>
      <c r="CW7" s="1">
        <f t="shared" si="28"/>
        <v>22.007364089999996</v>
      </c>
      <c r="CX7" s="1">
        <f t="shared" si="28"/>
        <v>13.652213600000001</v>
      </c>
      <c r="CY7" s="1">
        <f t="shared" si="28"/>
        <v>21.789652239999999</v>
      </c>
      <c r="CZ7" s="1">
        <f t="shared" si="28"/>
        <v>22.506187060000002</v>
      </c>
      <c r="DA7" s="1">
        <f t="shared" si="29"/>
        <v>26.198510359999997</v>
      </c>
      <c r="DB7" s="1">
        <f t="shared" si="29"/>
        <v>16.658344929999998</v>
      </c>
      <c r="DC7" s="1">
        <f t="shared" si="29"/>
        <v>38.799980059999996</v>
      </c>
      <c r="DD7" s="1">
        <f t="shared" si="29"/>
        <v>35.598317799999997</v>
      </c>
      <c r="DE7" s="1">
        <f t="shared" si="29"/>
        <v>32.785113670000001</v>
      </c>
      <c r="DF7" s="1">
        <f t="shared" si="29"/>
        <v>22.35722878</v>
      </c>
      <c r="DG7" s="1">
        <f t="shared" si="29"/>
        <v>34.376458229999997</v>
      </c>
      <c r="DH7" s="1">
        <f t="shared" si="29"/>
        <v>13.355622539999999</v>
      </c>
      <c r="DJ7" s="1">
        <f t="shared" si="30"/>
        <v>1.9795769999999997E-2</v>
      </c>
      <c r="DK7" s="1">
        <f t="shared" si="30"/>
        <v>0.22953033</v>
      </c>
      <c r="DL7" s="1">
        <f t="shared" si="30"/>
        <v>3.2780709999999998E-2</v>
      </c>
      <c r="DM7" s="1">
        <f t="shared" si="30"/>
        <v>0.17706282000000001</v>
      </c>
      <c r="DN7" s="1">
        <f t="shared" si="30"/>
        <v>0.30085145999999996</v>
      </c>
      <c r="DO7" s="1">
        <f t="shared" si="30"/>
        <v>0.26679149000000002</v>
      </c>
      <c r="DP7" s="1">
        <f t="shared" si="30"/>
        <v>0.13893236</v>
      </c>
      <c r="DQ7" s="1">
        <f t="shared" si="30"/>
        <v>0.4195122</v>
      </c>
      <c r="DR7" s="1">
        <f t="shared" si="30"/>
        <v>0.20050375000000001</v>
      </c>
      <c r="DS7" s="1">
        <f t="shared" si="30"/>
        <v>0.34624290000000002</v>
      </c>
      <c r="DT7" s="1">
        <f t="shared" si="30"/>
        <v>0.15613090000000002</v>
      </c>
      <c r="DU7" s="1">
        <f t="shared" si="30"/>
        <v>0.47281664000000007</v>
      </c>
      <c r="DV7" s="1">
        <f t="shared" si="30"/>
        <v>0.84812041999999999</v>
      </c>
      <c r="DW7" s="1">
        <f t="shared" si="30"/>
        <v>0.25440681999999998</v>
      </c>
      <c r="DX7" s="1">
        <f t="shared" si="30"/>
        <v>0.7620908099999999</v>
      </c>
      <c r="DY7" s="1">
        <f t="shared" si="30"/>
        <v>0.50490091999999998</v>
      </c>
      <c r="DZ7" s="1">
        <f t="shared" si="31"/>
        <v>0.40961613000000002</v>
      </c>
      <c r="EA7" s="1">
        <f t="shared" si="31"/>
        <v>0.23587240000000001</v>
      </c>
      <c r="EB7" s="1">
        <f t="shared" si="31"/>
        <v>0.18557204999999999</v>
      </c>
      <c r="EC7" s="1">
        <f t="shared" si="31"/>
        <v>0.48301414000000004</v>
      </c>
      <c r="ED7" s="1">
        <f t="shared" si="31"/>
        <v>0.23845672000000001</v>
      </c>
      <c r="EE7" s="1">
        <f t="shared" si="31"/>
        <v>0.50080292000000004</v>
      </c>
      <c r="EF7" s="1">
        <f t="shared" si="31"/>
        <v>8.6091799999999996E-2</v>
      </c>
      <c r="EG7" s="1">
        <f t="shared" si="31"/>
        <v>0.22536</v>
      </c>
      <c r="EI7" s="14">
        <f t="shared" si="32"/>
        <v>990000</v>
      </c>
      <c r="EJ7" s="14">
        <f t="shared" si="32"/>
        <v>990000</v>
      </c>
      <c r="EK7" s="1">
        <f t="shared" si="32"/>
        <v>990000</v>
      </c>
      <c r="EL7" s="1">
        <f t="shared" si="32"/>
        <v>990000</v>
      </c>
      <c r="EM7" s="1">
        <f t="shared" si="32"/>
        <v>990000</v>
      </c>
      <c r="EN7" s="1">
        <f t="shared" si="32"/>
        <v>990000</v>
      </c>
      <c r="EO7" s="1">
        <f t="shared" si="32"/>
        <v>990000</v>
      </c>
      <c r="EP7" s="1">
        <f t="shared" si="32"/>
        <v>990000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2"/>
        <v>700000</v>
      </c>
      <c r="EY7" s="1">
        <f t="shared" si="33"/>
        <v>700000</v>
      </c>
      <c r="EZ7" s="1">
        <f t="shared" si="33"/>
        <v>700000</v>
      </c>
      <c r="FA7" s="1">
        <f t="shared" si="33"/>
        <v>700000</v>
      </c>
      <c r="FB7" s="1">
        <f t="shared" si="33"/>
        <v>700000</v>
      </c>
      <c r="FC7" s="1">
        <f t="shared" si="33"/>
        <v>700000</v>
      </c>
      <c r="FD7" s="1">
        <f t="shared" si="33"/>
        <v>700000</v>
      </c>
      <c r="FE7" s="1">
        <f t="shared" si="33"/>
        <v>700000</v>
      </c>
      <c r="FF7" s="1">
        <f t="shared" si="33"/>
        <v>700000</v>
      </c>
      <c r="FH7" s="162">
        <f t="shared" si="34"/>
        <v>-0.43443979428925972</v>
      </c>
    </row>
    <row r="8" spans="1:164" ht="18.75" customHeight="1">
      <c r="A8" s="243" t="s">
        <v>215</v>
      </c>
      <c r="B8" s="246"/>
      <c r="C8" s="156">
        <f t="shared" si="5"/>
        <v>-0.33</v>
      </c>
      <c r="D8" s="198">
        <v>0</v>
      </c>
      <c r="E8" s="248">
        <f t="shared" si="6"/>
        <v>4.1366325326935849E-2</v>
      </c>
      <c r="F8" s="249">
        <f t="shared" si="7"/>
        <v>1.2550131790318719E-2</v>
      </c>
      <c r="G8" s="248">
        <f t="shared" si="8"/>
        <v>-1.0421828340761996E-3</v>
      </c>
      <c r="H8" s="249">
        <f t="shared" si="9"/>
        <v>4.2408508161012048E-2</v>
      </c>
      <c r="I8" s="248">
        <f t="shared" si="10"/>
        <v>0.45090377327655595</v>
      </c>
      <c r="J8" s="249">
        <f t="shared" si="11"/>
        <v>0.12678138164877928</v>
      </c>
      <c r="K8" s="248">
        <f t="shared" si="12"/>
        <v>0.27888824472690299</v>
      </c>
      <c r="L8" s="249">
        <f t="shared" si="13"/>
        <v>0.17201552854965296</v>
      </c>
      <c r="M8" s="250"/>
      <c r="N8" s="24">
        <v>0</v>
      </c>
      <c r="O8" s="248">
        <f t="shared" si="35"/>
        <v>3.7293729372937401E-2</v>
      </c>
      <c r="P8" s="251">
        <f t="shared" si="36"/>
        <v>3.7293729372937401E-2</v>
      </c>
      <c r="Q8" s="248">
        <f t="shared" si="14"/>
        <v>3.2646103263946902E-3</v>
      </c>
      <c r="R8" s="251">
        <f t="shared" si="37"/>
        <v>3.2646103263946902E-3</v>
      </c>
      <c r="S8" s="250"/>
      <c r="T8" s="24">
        <v>-1</v>
      </c>
      <c r="U8" s="248">
        <f t="shared" si="15"/>
        <v>-0.62896282157905392</v>
      </c>
      <c r="V8" s="252">
        <f t="shared" si="16"/>
        <v>-0.62896282157905392</v>
      </c>
      <c r="W8" s="248">
        <f t="shared" si="38"/>
        <v>0.17935578502728489</v>
      </c>
      <c r="X8" s="252">
        <f t="shared" si="17"/>
        <v>0.17935578502728489</v>
      </c>
      <c r="Y8" s="248">
        <f t="shared" si="18"/>
        <v>4.35551625027637E-2</v>
      </c>
      <c r="Z8" s="252">
        <f t="shared" si="19"/>
        <v>4.35551625027637E-2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2</v>
      </c>
      <c r="AU8" s="58">
        <f>VLOOKUP($A8,historia!$A$5:$CM$24,+HLOOKUP(AU$2,historia!$A$3:$EC$4,2,FALSE),FALSE)</f>
        <v>2</v>
      </c>
      <c r="AV8" s="58">
        <f>VLOOKUP($A8,historia!$A$5:$DD$24,+HLOOKUP(AV$2,historia!$A$3:$EC$4,2,FALSE),FALSE)</f>
        <v>2</v>
      </c>
      <c r="AW8" s="58">
        <f>VLOOKUP($A8,historia!$A$5:$DD$24,+HLOOKUP(AW$2,historia!$A$3:$EC$4,2,FALSE),FALSE)</f>
        <v>2</v>
      </c>
      <c r="AX8" s="58">
        <f>VLOOKUP($A8,historia!$A$5:$DD$24,+HLOOKUP(AX$2,historia!$A$3:$EC$4,2,FALSE),FALSE)</f>
        <v>2</v>
      </c>
      <c r="AY8" s="58">
        <f>VLOOKUP($A8,historia!$A$5:$DD$24,+HLOOKUP(AY$2,historia!$A$3:$EC$4,2,FALSE),FALSE)</f>
        <v>3</v>
      </c>
      <c r="AZ8" s="58">
        <f>VLOOKUP($A8,historia!$A$5:$DG$24,+HLOOKUP(AZ$2,historia!$A$3:$EC$4,2,FALSE),FALSE)</f>
        <v>3</v>
      </c>
      <c r="BA8" s="58">
        <f>VLOOKUP($A8,historia!$A$5:$DG$24,+HLOOKUP(BA$2,historia!$A$3:$EC$4,2,FALSE),FALSE)</f>
        <v>3</v>
      </c>
      <c r="BB8" s="58"/>
      <c r="BC8" s="286">
        <v>3</v>
      </c>
      <c r="BD8" t="str">
        <f t="shared" si="20"/>
        <v>Aves</v>
      </c>
      <c r="BE8">
        <f>+datos!BQ1</f>
        <v>69</v>
      </c>
      <c r="BF8" s="2" t="str">
        <f t="shared" si="4"/>
        <v>prom pond huevo-carne</v>
      </c>
      <c r="BG8" s="2">
        <f t="shared" si="4"/>
        <v>2352.6912499999999</v>
      </c>
      <c r="BH8" s="2">
        <f t="shared" si="4"/>
        <v>2259.2350000000001</v>
      </c>
      <c r="BI8" s="2">
        <f t="shared" si="4"/>
        <v>1621.5349999999999</v>
      </c>
      <c r="BK8" s="1">
        <f>+datos!EP1</f>
        <v>146</v>
      </c>
      <c r="BL8" s="1">
        <f t="shared" si="21"/>
        <v>9429</v>
      </c>
      <c r="BM8" s="1">
        <f t="shared" si="21"/>
        <v>9090</v>
      </c>
      <c r="BO8" s="1">
        <f>+datos!HM1</f>
        <v>221</v>
      </c>
      <c r="BP8" s="1">
        <f t="shared" si="22"/>
        <v>2377186.1800000002</v>
      </c>
      <c r="BQ8" s="1">
        <f t="shared" si="22"/>
        <v>2369450.8462992869</v>
      </c>
      <c r="BS8" s="1">
        <f>+datos!KF1</f>
        <v>292</v>
      </c>
      <c r="BT8" s="1">
        <f t="shared" si="39"/>
        <v>99.664158570000012</v>
      </c>
      <c r="BU8" s="1">
        <f t="shared" si="40"/>
        <v>268.60962827000003</v>
      </c>
      <c r="BW8" s="1">
        <f>+datos!LK1</f>
        <v>323</v>
      </c>
      <c r="BX8" s="2">
        <f t="shared" si="23"/>
        <v>41.24002437</v>
      </c>
      <c r="BY8" s="2">
        <f t="shared" si="24"/>
        <v>34.96826394</v>
      </c>
      <c r="CA8" s="1">
        <f>+datos!IL1</f>
        <v>246</v>
      </c>
      <c r="CB8" s="2">
        <f t="shared" si="25"/>
        <v>47.2</v>
      </c>
      <c r="CC8" s="2">
        <f t="shared" si="26"/>
        <v>45.23</v>
      </c>
      <c r="CD8" s="2"/>
      <c r="CE8">
        <f>+datos!DG1</f>
        <v>111</v>
      </c>
      <c r="CF8" s="2">
        <f t="shared" si="27"/>
        <v>12208.584455670469</v>
      </c>
      <c r="CG8" s="2">
        <f t="shared" si="27"/>
        <v>12221.321306946298</v>
      </c>
      <c r="CH8" s="2">
        <f t="shared" si="27"/>
        <v>9546.2480838406027</v>
      </c>
      <c r="CI8" s="2"/>
      <c r="CJ8" s="2">
        <f>CB8-CC8</f>
        <v>1.970000000000006</v>
      </c>
      <c r="CK8" s="1">
        <f t="shared" si="28"/>
        <v>8.3583028800000001</v>
      </c>
      <c r="CL8" s="1">
        <f t="shared" si="28"/>
        <v>10.33831614</v>
      </c>
      <c r="CM8" s="1">
        <f t="shared" si="28"/>
        <v>10.343166379999998</v>
      </c>
      <c r="CN8" s="1">
        <f t="shared" si="28"/>
        <v>8.6585168299999999</v>
      </c>
      <c r="CO8" s="1">
        <f t="shared" si="28"/>
        <v>9.7942580100000001</v>
      </c>
      <c r="CP8" s="1">
        <f t="shared" si="28"/>
        <v>6.5346210099999995</v>
      </c>
      <c r="CQ8" s="1">
        <f t="shared" si="28"/>
        <v>6.7443728600000004</v>
      </c>
      <c r="CR8" s="1">
        <f t="shared" si="28"/>
        <v>8.66231011</v>
      </c>
      <c r="CS8" s="1">
        <f t="shared" si="28"/>
        <v>7.3007548499999997</v>
      </c>
      <c r="CT8" s="1">
        <f t="shared" si="28"/>
        <v>9.0051498100000007</v>
      </c>
      <c r="CU8" s="1">
        <f t="shared" si="28"/>
        <v>5.9149876199999998</v>
      </c>
      <c r="CV8" s="1">
        <f t="shared" si="28"/>
        <v>8.0094020700000002</v>
      </c>
      <c r="CW8" s="1">
        <f t="shared" si="28"/>
        <v>5.62476749</v>
      </c>
      <c r="CX8" s="1">
        <f t="shared" si="28"/>
        <v>10.456415849999999</v>
      </c>
      <c r="CY8" s="1">
        <f t="shared" si="28"/>
        <v>8.1147673099999995</v>
      </c>
      <c r="CZ8" s="1">
        <f t="shared" si="28"/>
        <v>20.968439010000004</v>
      </c>
      <c r="DA8" s="1">
        <f t="shared" si="29"/>
        <v>22.566015059999998</v>
      </c>
      <c r="DB8" s="1">
        <f t="shared" si="29"/>
        <v>20.944876220000001</v>
      </c>
      <c r="DC8" s="1">
        <f t="shared" si="29"/>
        <v>23.157032140000002</v>
      </c>
      <c r="DD8" s="1">
        <f t="shared" si="29"/>
        <v>19.314763240000005</v>
      </c>
      <c r="DE8" s="1">
        <f t="shared" si="29"/>
        <v>22.778743510000002</v>
      </c>
      <c r="DF8" s="1">
        <f t="shared" si="29"/>
        <v>39.062197300000001</v>
      </c>
      <c r="DG8" s="1">
        <f t="shared" si="29"/>
        <v>40.013868680000002</v>
      </c>
      <c r="DH8" s="1">
        <f t="shared" si="29"/>
        <v>35.607742460000011</v>
      </c>
      <c r="DJ8" s="1">
        <f t="shared" si="30"/>
        <v>1.1051948</v>
      </c>
      <c r="DK8" s="1">
        <f t="shared" si="30"/>
        <v>4.8166289400000002</v>
      </c>
      <c r="DL8" s="1">
        <f t="shared" si="30"/>
        <v>3.1609685399999994</v>
      </c>
      <c r="DM8" s="1">
        <f t="shared" si="30"/>
        <v>2.9900732700000003</v>
      </c>
      <c r="DN8" s="1">
        <f t="shared" si="30"/>
        <v>5.5193633599999998</v>
      </c>
      <c r="DO8" s="1">
        <f t="shared" si="30"/>
        <v>3.4351580800000003</v>
      </c>
      <c r="DP8" s="1">
        <f t="shared" si="30"/>
        <v>2.0550383299999999</v>
      </c>
      <c r="DQ8" s="1">
        <f t="shared" si="30"/>
        <v>3.4373023600000003</v>
      </c>
      <c r="DR8" s="1">
        <f t="shared" si="30"/>
        <v>5.2475744900000008</v>
      </c>
      <c r="DS8" s="1">
        <f t="shared" si="30"/>
        <v>3.52939004</v>
      </c>
      <c r="DT8" s="1">
        <f t="shared" si="30"/>
        <v>1.41927303</v>
      </c>
      <c r="DU8" s="1">
        <f t="shared" si="30"/>
        <v>4.5240591299999995</v>
      </c>
      <c r="DV8" s="1">
        <f t="shared" si="30"/>
        <v>2.5037689800000003</v>
      </c>
      <c r="DW8" s="1">
        <f t="shared" si="30"/>
        <v>2.5011971499999999</v>
      </c>
      <c r="DX8" s="1">
        <f t="shared" si="30"/>
        <v>3.7585351000000005</v>
      </c>
      <c r="DY8" s="1">
        <f t="shared" si="30"/>
        <v>4.0425458900000004</v>
      </c>
      <c r="DZ8" s="1">
        <f t="shared" si="31"/>
        <v>3.59052696</v>
      </c>
      <c r="EA8" s="1">
        <f t="shared" si="31"/>
        <v>2.1766254799999998</v>
      </c>
      <c r="EB8" s="1">
        <f t="shared" si="31"/>
        <v>1.5903026900000001</v>
      </c>
      <c r="EC8" s="1">
        <f t="shared" si="31"/>
        <v>5.6916922899999998</v>
      </c>
      <c r="ED8" s="1">
        <f t="shared" si="31"/>
        <v>1.7294530099999998</v>
      </c>
      <c r="EE8" s="1">
        <f t="shared" si="31"/>
        <v>4.2232492399999995</v>
      </c>
      <c r="EF8" s="1">
        <f t="shared" si="31"/>
        <v>1.27466579</v>
      </c>
      <c r="EG8" s="1">
        <f t="shared" si="31"/>
        <v>1.8857013599999999</v>
      </c>
      <c r="EI8" s="14">
        <f t="shared" si="32"/>
        <v>47.2</v>
      </c>
      <c r="EJ8" s="14">
        <f t="shared" si="32"/>
        <v>47.7</v>
      </c>
      <c r="EK8" s="1">
        <f t="shared" si="32"/>
        <v>47.68</v>
      </c>
      <c r="EL8" s="1">
        <f t="shared" si="32"/>
        <v>46.5</v>
      </c>
      <c r="EM8" s="1">
        <f t="shared" si="32"/>
        <v>46.08</v>
      </c>
      <c r="EN8" s="1">
        <f t="shared" si="32"/>
        <v>45.67</v>
      </c>
      <c r="EO8" s="1">
        <f t="shared" si="32"/>
        <v>45.79</v>
      </c>
      <c r="EP8" s="1">
        <f t="shared" si="32"/>
        <v>45.9</v>
      </c>
      <c r="EQ8" s="1">
        <f t="shared" si="32"/>
        <v>45.78</v>
      </c>
      <c r="ER8" s="1">
        <f t="shared" si="32"/>
        <v>45.91</v>
      </c>
      <c r="ES8" s="1">
        <f t="shared" si="32"/>
        <v>45.61</v>
      </c>
      <c r="ET8" s="1">
        <f t="shared" si="32"/>
        <v>45.61</v>
      </c>
      <c r="EU8" s="1">
        <f t="shared" si="32"/>
        <v>45.23</v>
      </c>
      <c r="EV8" s="1">
        <f t="shared" si="32"/>
        <v>45.2</v>
      </c>
      <c r="EW8" s="1">
        <f t="shared" si="32"/>
        <v>46.01</v>
      </c>
      <c r="EX8" s="1">
        <f t="shared" si="32"/>
        <v>44.44</v>
      </c>
      <c r="EY8" s="1">
        <f t="shared" si="33"/>
        <v>42.29</v>
      </c>
      <c r="EZ8" s="1">
        <f t="shared" si="33"/>
        <v>45.39</v>
      </c>
      <c r="FA8" s="1">
        <f t="shared" si="33"/>
        <v>45.32</v>
      </c>
      <c r="FB8" s="1">
        <f t="shared" si="33"/>
        <v>44.85</v>
      </c>
      <c r="FC8" s="1">
        <f t="shared" si="33"/>
        <v>45.52</v>
      </c>
      <c r="FD8" s="1">
        <f t="shared" si="33"/>
        <v>46.23</v>
      </c>
      <c r="FE8" s="1">
        <f t="shared" si="33"/>
        <v>46.23</v>
      </c>
      <c r="FF8" s="1">
        <f t="shared" si="33"/>
        <v>46.23</v>
      </c>
      <c r="FH8" s="162">
        <f t="shared" si="34"/>
        <v>0.17201552854965296</v>
      </c>
    </row>
    <row r="9" spans="1:164" ht="18.75" customHeight="1">
      <c r="A9" s="244" t="s">
        <v>77</v>
      </c>
      <c r="B9" s="247"/>
      <c r="C9" s="228">
        <v>0</v>
      </c>
      <c r="D9" s="229">
        <v>1</v>
      </c>
      <c r="E9" s="253">
        <f t="shared" si="6"/>
        <v>-8.315620060761475E-6</v>
      </c>
      <c r="F9" s="254">
        <f t="shared" si="7"/>
        <v>-2.8824509156677891E-2</v>
      </c>
      <c r="G9" s="253">
        <f t="shared" si="8"/>
        <v>2.4588323012768587E-3</v>
      </c>
      <c r="H9" s="254">
        <f t="shared" si="9"/>
        <v>-2.4671479213376202E-3</v>
      </c>
      <c r="I9" s="253">
        <f t="shared" si="10"/>
        <v>0.80761695475385498</v>
      </c>
      <c r="J9" s="254">
        <f t="shared" si="11"/>
        <v>0.4834945631260783</v>
      </c>
      <c r="K9" s="253">
        <f t="shared" si="12"/>
        <v>0.40538177341385739</v>
      </c>
      <c r="L9" s="254">
        <f t="shared" si="13"/>
        <v>0.40223518133999758</v>
      </c>
      <c r="M9" s="255"/>
      <c r="N9" s="256">
        <v>-1</v>
      </c>
      <c r="O9" s="253">
        <f t="shared" si="35"/>
        <v>-1.3639133000699299E-2</v>
      </c>
      <c r="P9" s="257">
        <f t="shared" si="36"/>
        <v>-1.3639133000699299E-2</v>
      </c>
      <c r="Q9" s="253">
        <f t="shared" si="14"/>
        <v>-1.8503999787386705E-2</v>
      </c>
      <c r="R9" s="257">
        <f t="shared" si="37"/>
        <v>-1.8503999787386705E-2</v>
      </c>
      <c r="S9" s="255"/>
      <c r="T9" s="256">
        <v>0</v>
      </c>
      <c r="U9" s="253">
        <f t="shared" si="15"/>
        <v>0.24795596227662142</v>
      </c>
      <c r="V9" s="258">
        <f t="shared" si="16"/>
        <v>0.24795596227662142</v>
      </c>
      <c r="W9" s="253">
        <f t="shared" si="38"/>
        <v>1.6092056939563073</v>
      </c>
      <c r="X9" s="258">
        <f t="shared" si="17"/>
        <v>1.6092056939563073</v>
      </c>
      <c r="Y9" s="253">
        <f t="shared" si="18"/>
        <v>2.2831050228310446E-2</v>
      </c>
      <c r="Z9" s="258">
        <f t="shared" si="19"/>
        <v>2.2831050228310446E-2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3</v>
      </c>
      <c r="AQ9" s="28">
        <f>VLOOKUP($A9,historia!$A$5:$CM$24,+HLOOKUP(AQ$2,historia!$A$3:$EC$4,2,FALSE),FALSE)</f>
        <v>2</v>
      </c>
      <c r="AR9" s="28">
        <f>VLOOKUP($A9,historia!$A$5:$CM$24,+HLOOKUP(AR$2,historia!$A$3:$EC$4,2,FALSE),FALSE)</f>
        <v>2</v>
      </c>
      <c r="AS9" s="28">
        <f>VLOOKUP($A9,historia!$A$5:$CM$24,+HLOOKUP(AS$2,historia!$A$3:$EC$4,2,FALSE),FALSE)</f>
        <v>2</v>
      </c>
      <c r="AT9" s="58">
        <f>VLOOKUP($A9,historia!$A$5:$CM$24,+HLOOKUP(AT$2,historia!$A$3:$EC$4,2,FALSE),FALSE)</f>
        <v>2</v>
      </c>
      <c r="AU9" s="58">
        <f>VLOOKUP($A9,historia!$A$5:$CM$24,+HLOOKUP(AU$2,historia!$A$3:$EC$4,2,FALSE),FALSE)</f>
        <v>2</v>
      </c>
      <c r="AV9" s="58">
        <f>VLOOKUP($A9,historia!$A$5:$DD$24,+HLOOKUP(AV$2,historia!$A$3:$EC$4,2,FALSE),FALSE)</f>
        <v>1</v>
      </c>
      <c r="AW9" s="58">
        <f>VLOOKUP($A9,historia!$A$5:$DD$24,+HLOOKUP(AW$2,historia!$A$3:$EC$4,2,FALSE),FALSE)</f>
        <v>1</v>
      </c>
      <c r="AX9" s="58">
        <f>VLOOKUP($A9,historia!$A$5:$DD$24,+HLOOKUP(AX$2,historia!$A$3:$EC$4,2,FALSE),FALSE)</f>
        <v>2</v>
      </c>
      <c r="AY9" s="58">
        <f>VLOOKUP($A9,historia!$A$5:$DD$24,+HLOOKUP(AY$2,historia!$A$3:$EC$4,2,FALSE),FALSE)</f>
        <v>1</v>
      </c>
      <c r="AZ9" s="58">
        <f>VLOOKUP($A9,historia!$A$5:$DG$24,+HLOOKUP(AZ$2,historia!$A$3:$EC$4,2,FALSE),FALSE)</f>
        <v>2</v>
      </c>
      <c r="BA9" s="58">
        <f>VLOOKUP($A9,historia!$A$5:$DG$24,+HLOOKUP(BA$2,historia!$A$3:$EC$4,2,FALSE),FALSE)</f>
        <v>2</v>
      </c>
      <c r="BB9" s="58"/>
      <c r="BC9" s="286">
        <v>2</v>
      </c>
      <c r="BD9" t="str">
        <f t="shared" si="20"/>
        <v>Bovinos</v>
      </c>
      <c r="BE9">
        <f>+datos!BM1</f>
        <v>65</v>
      </c>
      <c r="BF9" s="2" t="str">
        <f t="shared" si="4"/>
        <v>$/kg</v>
      </c>
      <c r="BG9" s="2">
        <f t="shared" si="4"/>
        <v>4990.5664999999999</v>
      </c>
      <c r="BH9" s="2">
        <f t="shared" si="4"/>
        <v>4990.6080000000002</v>
      </c>
      <c r="BI9" s="2">
        <f t="shared" si="4"/>
        <v>2760.8540000000003</v>
      </c>
      <c r="BK9" s="1">
        <f>+datos!EH1</f>
        <v>138</v>
      </c>
      <c r="BL9" s="1">
        <f t="shared" si="21"/>
        <v>50920790</v>
      </c>
      <c r="BM9" s="1">
        <f t="shared" si="21"/>
        <v>51624909</v>
      </c>
      <c r="BO9" s="1">
        <f>+datos!HB1</f>
        <v>210</v>
      </c>
      <c r="BP9" s="1">
        <f t="shared" si="22"/>
        <v>3102183</v>
      </c>
      <c r="BQ9" s="1">
        <f t="shared" si="22"/>
        <v>3160668</v>
      </c>
      <c r="BS9" s="1">
        <f>+datos!KG1</f>
        <v>293</v>
      </c>
      <c r="BT9" s="1">
        <f t="shared" si="39"/>
        <v>5166.415421329998</v>
      </c>
      <c r="BU9" s="1">
        <f t="shared" si="40"/>
        <v>4139.9020298000005</v>
      </c>
      <c r="BW9" s="1">
        <f>+datos!LL1</f>
        <v>324</v>
      </c>
      <c r="BX9" s="2">
        <f t="shared" si="23"/>
        <v>110.86925966999999</v>
      </c>
      <c r="BY9" s="2">
        <f t="shared" si="24"/>
        <v>42.491575089999998</v>
      </c>
      <c r="CA9" s="1">
        <f>+datos!IM1</f>
        <v>247</v>
      </c>
      <c r="CB9" s="2">
        <f t="shared" si="25"/>
        <v>49.28</v>
      </c>
      <c r="CC9" s="2">
        <f t="shared" si="26"/>
        <v>48.18</v>
      </c>
      <c r="CD9" s="2"/>
      <c r="CE9">
        <f>+datos!DB1</f>
        <v>106</v>
      </c>
      <c r="CF9" s="2">
        <f t="shared" si="27"/>
        <v>13428.302514486819</v>
      </c>
      <c r="CG9" s="2">
        <f t="shared" si="27"/>
        <v>13395.365556967934</v>
      </c>
      <c r="CH9" s="2">
        <f t="shared" si="27"/>
        <v>9554.9143787938156</v>
      </c>
      <c r="CI9" s="2"/>
      <c r="CK9" s="1">
        <f t="shared" si="28"/>
        <v>435.35705272999991</v>
      </c>
      <c r="CL9" s="1">
        <f t="shared" si="28"/>
        <v>452.44590436999982</v>
      </c>
      <c r="CM9" s="1">
        <f t="shared" si="28"/>
        <v>474.71184945000005</v>
      </c>
      <c r="CN9" s="1">
        <f t="shared" si="28"/>
        <v>535.90919134000001</v>
      </c>
      <c r="CO9" s="1">
        <f t="shared" si="28"/>
        <v>536.17235368000001</v>
      </c>
      <c r="CP9" s="1">
        <f t="shared" si="28"/>
        <v>505.86158855000002</v>
      </c>
      <c r="CQ9" s="1">
        <f t="shared" si="28"/>
        <v>434.66638176999993</v>
      </c>
      <c r="CR9" s="1">
        <f t="shared" si="28"/>
        <v>430.01977605999991</v>
      </c>
      <c r="CS9" s="1">
        <f t="shared" si="28"/>
        <v>389.02912699999996</v>
      </c>
      <c r="CT9" s="1">
        <f t="shared" si="28"/>
        <v>350.95842742999997</v>
      </c>
      <c r="CU9" s="1">
        <f t="shared" si="28"/>
        <v>275.41226476999998</v>
      </c>
      <c r="CV9" s="1">
        <f t="shared" si="28"/>
        <v>345.87150417999976</v>
      </c>
      <c r="CW9" s="1">
        <f t="shared" si="28"/>
        <v>330.34833823999992</v>
      </c>
      <c r="CX9" s="1">
        <f t="shared" si="28"/>
        <v>372.02787432000008</v>
      </c>
      <c r="CY9" s="1">
        <f t="shared" si="28"/>
        <v>363.37275483999991</v>
      </c>
      <c r="CZ9" s="1">
        <f t="shared" si="28"/>
        <v>373.60267999999996</v>
      </c>
      <c r="DA9" s="1">
        <f t="shared" si="29"/>
        <v>392.24577093999977</v>
      </c>
      <c r="DB9" s="1">
        <f t="shared" si="29"/>
        <v>370.00520762000008</v>
      </c>
      <c r="DC9" s="1">
        <f t="shared" si="29"/>
        <v>307.7105307999999</v>
      </c>
      <c r="DD9" s="1">
        <f t="shared" si="29"/>
        <v>311.98041742999999</v>
      </c>
      <c r="DE9" s="1">
        <f t="shared" si="29"/>
        <v>309.32423856999998</v>
      </c>
      <c r="DF9" s="1">
        <f t="shared" si="29"/>
        <v>316.28118749999999</v>
      </c>
      <c r="DG9" s="1">
        <f t="shared" si="29"/>
        <v>350.14414257999977</v>
      </c>
      <c r="DH9" s="1">
        <f t="shared" si="29"/>
        <v>342.85888695999995</v>
      </c>
      <c r="DJ9" s="1">
        <f t="shared" si="30"/>
        <v>9.2870214400000002</v>
      </c>
      <c r="DK9" s="1">
        <f t="shared" si="30"/>
        <v>11.988372569999999</v>
      </c>
      <c r="DL9" s="1">
        <f t="shared" si="30"/>
        <v>8.8931998399999994</v>
      </c>
      <c r="DM9" s="1">
        <f t="shared" si="30"/>
        <v>5.7331222099999994</v>
      </c>
      <c r="DN9" s="1">
        <f t="shared" si="30"/>
        <v>13.331294830000001</v>
      </c>
      <c r="DO9" s="1">
        <f t="shared" si="30"/>
        <v>9.6599299699999985</v>
      </c>
      <c r="DP9" s="1">
        <f t="shared" si="30"/>
        <v>6.816705279999999</v>
      </c>
      <c r="DQ9" s="1">
        <f t="shared" si="30"/>
        <v>8.1579769499999983</v>
      </c>
      <c r="DR9" s="1">
        <f t="shared" si="30"/>
        <v>10.16779666</v>
      </c>
      <c r="DS9" s="1">
        <f t="shared" si="30"/>
        <v>11.009236750000001</v>
      </c>
      <c r="DT9" s="1">
        <f t="shared" si="30"/>
        <v>8.7569028099999997</v>
      </c>
      <c r="DU9" s="1">
        <f t="shared" si="30"/>
        <v>7.0677003599999999</v>
      </c>
      <c r="DV9" s="1">
        <f t="shared" si="30"/>
        <v>5.8644577399999989</v>
      </c>
      <c r="DW9" s="1">
        <f t="shared" si="30"/>
        <v>6.7460545699999992</v>
      </c>
      <c r="DX9" s="1">
        <f t="shared" si="30"/>
        <v>2.8647302900000002</v>
      </c>
      <c r="DY9" s="1">
        <f t="shared" si="30"/>
        <v>3.9160438699999998</v>
      </c>
      <c r="DZ9" s="1">
        <f t="shared" si="31"/>
        <v>2.7432327000000001</v>
      </c>
      <c r="EA9" s="1">
        <f t="shared" si="31"/>
        <v>3.5031505699999994</v>
      </c>
      <c r="EB9" s="1">
        <f t="shared" si="31"/>
        <v>3.9954732900000005</v>
      </c>
      <c r="EC9" s="1">
        <f t="shared" si="31"/>
        <v>2.3751918999999999</v>
      </c>
      <c r="ED9" s="1">
        <f t="shared" si="31"/>
        <v>3.3189943100000003</v>
      </c>
      <c r="EE9" s="1">
        <f t="shared" si="31"/>
        <v>3.6004889900000006</v>
      </c>
      <c r="EF9" s="1">
        <f t="shared" si="31"/>
        <v>2.2940615100000001</v>
      </c>
      <c r="EG9" s="1">
        <f t="shared" si="31"/>
        <v>1.2696953500000001</v>
      </c>
      <c r="EI9" s="14">
        <f t="shared" si="32"/>
        <v>49.28</v>
      </c>
      <c r="EJ9" s="14">
        <f t="shared" si="32"/>
        <v>49.95</v>
      </c>
      <c r="EK9" s="1">
        <f t="shared" si="32"/>
        <v>49.25</v>
      </c>
      <c r="EL9" s="1">
        <f t="shared" si="32"/>
        <v>49.56</v>
      </c>
      <c r="EM9" s="1">
        <f t="shared" si="32"/>
        <v>49.84</v>
      </c>
      <c r="EN9" s="1">
        <f t="shared" si="32"/>
        <v>49.93</v>
      </c>
      <c r="EO9" s="1">
        <f t="shared" si="32"/>
        <v>50.15</v>
      </c>
      <c r="EP9" s="1">
        <f t="shared" si="32"/>
        <v>50.33</v>
      </c>
      <c r="EQ9" s="1">
        <f t="shared" si="32"/>
        <v>49.79</v>
      </c>
      <c r="ER9" s="1">
        <f t="shared" si="32"/>
        <v>49.86</v>
      </c>
      <c r="ES9" s="1">
        <f t="shared" si="32"/>
        <v>49.86</v>
      </c>
      <c r="ET9" s="1">
        <f t="shared" si="32"/>
        <v>48.75</v>
      </c>
      <c r="EU9" s="1">
        <f t="shared" si="32"/>
        <v>48.18</v>
      </c>
      <c r="EV9" s="1">
        <f t="shared" si="32"/>
        <v>47.81</v>
      </c>
      <c r="EW9" s="1">
        <f t="shared" si="32"/>
        <v>46.91</v>
      </c>
      <c r="EX9" s="1">
        <f t="shared" si="32"/>
        <v>47.74</v>
      </c>
      <c r="EY9" s="1">
        <f t="shared" si="33"/>
        <v>47.38</v>
      </c>
      <c r="EZ9" s="1">
        <f t="shared" si="33"/>
        <v>47.74</v>
      </c>
      <c r="FA9" s="1">
        <f t="shared" si="33"/>
        <v>47.8</v>
      </c>
      <c r="FB9" s="1">
        <f t="shared" si="33"/>
        <v>47.58</v>
      </c>
      <c r="FC9" s="1">
        <f t="shared" si="33"/>
        <v>49.18</v>
      </c>
      <c r="FD9" s="1">
        <f t="shared" si="33"/>
        <v>49.37</v>
      </c>
      <c r="FE9" s="1">
        <f t="shared" si="33"/>
        <v>49.38</v>
      </c>
      <c r="FF9" s="1">
        <f t="shared" si="33"/>
        <v>51.48</v>
      </c>
      <c r="FH9" s="162">
        <f t="shared" si="34"/>
        <v>0.40223518133999758</v>
      </c>
    </row>
    <row r="10" spans="1:164" ht="28.8">
      <c r="A10" s="263" t="s">
        <v>221</v>
      </c>
      <c r="B10" s="246"/>
      <c r="C10" s="156">
        <f t="shared" si="5"/>
        <v>0</v>
      </c>
      <c r="D10" s="198">
        <v>-1</v>
      </c>
      <c r="E10" s="248">
        <f t="shared" si="6"/>
        <v>0.42802334486943039</v>
      </c>
      <c r="F10" s="249">
        <f t="shared" si="7"/>
        <v>0.39920715133281326</v>
      </c>
      <c r="G10" s="248">
        <f t="shared" si="8"/>
        <v>1.9175305611334181E-2</v>
      </c>
      <c r="H10" s="249">
        <f t="shared" si="9"/>
        <v>0.40884803925809621</v>
      </c>
      <c r="I10" s="248">
        <f t="shared" si="10"/>
        <v>0.91546377822383063</v>
      </c>
      <c r="J10" s="249">
        <f t="shared" si="11"/>
        <v>0.59134138659605395</v>
      </c>
      <c r="K10" s="248">
        <f t="shared" si="12"/>
        <v>0.40304751928310667</v>
      </c>
      <c r="L10" s="249">
        <f t="shared" si="13"/>
        <v>0.51241625894072396</v>
      </c>
      <c r="M10" s="250"/>
      <c r="N10" s="24">
        <v>0</v>
      </c>
      <c r="O10" s="248">
        <f t="shared" si="35"/>
        <v>0</v>
      </c>
      <c r="P10" s="251">
        <f t="shared" si="36"/>
        <v>0</v>
      </c>
      <c r="Q10" s="248">
        <f t="shared" si="14"/>
        <v>0</v>
      </c>
      <c r="R10" s="251">
        <f t="shared" si="37"/>
        <v>0</v>
      </c>
      <c r="S10" s="250"/>
      <c r="T10" s="24">
        <v>1</v>
      </c>
      <c r="U10" s="248">
        <f t="shared" si="15"/>
        <v>-3.248219629090876E-2</v>
      </c>
      <c r="V10" s="252">
        <f t="shared" si="16"/>
        <v>-3.248219629090876E-2</v>
      </c>
      <c r="W10" s="248">
        <f t="shared" si="38"/>
        <v>0.2725636126093578</v>
      </c>
      <c r="X10" s="252">
        <f t="shared" si="17"/>
        <v>0.2725636126093578</v>
      </c>
      <c r="Y10" s="248">
        <f t="shared" si="18"/>
        <v>0</v>
      </c>
      <c r="Z10" s="258">
        <f t="shared" si="19"/>
        <v>0</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4</v>
      </c>
      <c r="AR10" s="28">
        <f>VLOOKUP($A10,historia!$A$5:$CM$24,+HLOOKUP(AR$2,historia!$A$3:$EC$4,2,FALSE),FALSE)</f>
        <v>4</v>
      </c>
      <c r="AS10" s="28">
        <f>VLOOKUP($A10,historia!$A$5:$CM$24,+HLOOKUP(AS$2,historia!$A$3:$EC$4,2,FALSE),FALSE)</f>
        <v>4</v>
      </c>
      <c r="AT10" s="58">
        <f>VLOOKUP($A10,historia!$A$5:$CM$24,+HLOOKUP(AT$2,historia!$A$3:$EC$4,2,FALSE),FALSE)</f>
        <v>3</v>
      </c>
      <c r="AU10" s="58">
        <f>VLOOKUP($A10,historia!$A$5:$CM$24,+HLOOKUP(AU$2,historia!$A$3:$EC$4,2,FALSE),FALSE)</f>
        <v>2</v>
      </c>
      <c r="AV10" s="58">
        <f>VLOOKUP($A10,historia!$A$5:$DD$24,+HLOOKUP(AV$2,historia!$A$3:$EC$4,2,FALSE),FALSE)</f>
        <v>3</v>
      </c>
      <c r="AW10" s="58">
        <f>VLOOKUP($A10,historia!$A$5:$DD$24,+HLOOKUP(AW$2,historia!$A$3:$EC$4,2,FALSE),FALSE)</f>
        <v>3</v>
      </c>
      <c r="AX10" s="58">
        <f>VLOOKUP($A10,historia!$A$5:$DD$24,+HLOOKUP(AX$2,historia!$A$3:$EC$4,2,FALSE),FALSE)</f>
        <v>3</v>
      </c>
      <c r="AY10" s="58">
        <f>VLOOKUP($A10,historia!$A$5:$DD$24,+HLOOKUP(AY$2,historia!$A$3:$EC$4,2,FALSE),FALSE)</f>
        <v>3</v>
      </c>
      <c r="AZ10" s="58">
        <f>VLOOKUP($A10,historia!$A$5:$DG$24,+HLOOKUP(AZ$2,historia!$A$3:$EC$4,2,FALSE),FALSE)</f>
        <v>3</v>
      </c>
      <c r="BA10" s="58">
        <f>VLOOKUP($A10,historia!$A$5:$DG$24,+HLOOKUP(BA$2,historia!$A$3:$EC$4,2,FALSE),FALSE)</f>
        <v>3</v>
      </c>
      <c r="BB10" s="58"/>
      <c r="BC10" s="286">
        <v>3</v>
      </c>
      <c r="BD10" t="str">
        <f t="shared" si="20"/>
        <v>Cítricos Dulces</v>
      </c>
      <c r="BE10">
        <f>+datos!AU1</f>
        <v>47</v>
      </c>
      <c r="BF10" s="2" t="str">
        <f t="shared" si="4"/>
        <v>$/caja 18kg</v>
      </c>
      <c r="BG10" s="2">
        <f t="shared" si="4"/>
        <v>35275.238984126983</v>
      </c>
      <c r="BH10" s="2">
        <f t="shared" si="4"/>
        <v>24702.144478844169</v>
      </c>
      <c r="BI10" s="2">
        <f t="shared" si="4"/>
        <v>18416.030303030304</v>
      </c>
      <c r="BK10" s="1">
        <f>+datos!ER1</f>
        <v>148</v>
      </c>
      <c r="BL10" s="1">
        <f t="shared" si="21"/>
        <v>79911</v>
      </c>
      <c r="BM10" s="1">
        <f t="shared" si="21"/>
        <v>79911</v>
      </c>
      <c r="BO10" s="1">
        <f>+datos!GH1</f>
        <v>190</v>
      </c>
      <c r="BP10" s="1">
        <f t="shared" si="22"/>
        <v>1543162</v>
      </c>
      <c r="BQ10" s="1">
        <f t="shared" si="22"/>
        <v>1543162</v>
      </c>
      <c r="BS10" s="1">
        <f>+datos!LT1</f>
        <v>332</v>
      </c>
      <c r="BT10" s="1">
        <f t="shared" si="39"/>
        <v>112.12582866</v>
      </c>
      <c r="BU10" s="1">
        <f t="shared" si="40"/>
        <v>115.89019678</v>
      </c>
      <c r="BV10" s="1"/>
      <c r="BW10" s="1">
        <f>+datos!LX1</f>
        <v>336</v>
      </c>
      <c r="BX10" s="2">
        <f t="shared" si="23"/>
        <v>7.5985125299999998</v>
      </c>
      <c r="BY10" s="2">
        <f t="shared" si="24"/>
        <v>5.9710276599999998</v>
      </c>
      <c r="CA10" s="1">
        <f>+datos!IV1</f>
        <v>256</v>
      </c>
      <c r="CB10" s="1">
        <f t="shared" si="25"/>
        <v>17.130000000000003</v>
      </c>
      <c r="CC10" s="1">
        <f t="shared" si="26"/>
        <v>17.130000000000003</v>
      </c>
      <c r="CD10" s="1"/>
      <c r="CE10">
        <f>+datos!CX1</f>
        <v>102</v>
      </c>
      <c r="CF10" s="2">
        <f t="shared" si="27"/>
        <v>12892.883942150287</v>
      </c>
      <c r="CG10" s="2">
        <f t="shared" si="27"/>
        <v>12650.310374638364</v>
      </c>
      <c r="CH10" s="2">
        <f t="shared" si="27"/>
        <v>9189.1997704667647</v>
      </c>
      <c r="CI10" s="1"/>
      <c r="CK10" s="1">
        <f t="shared" si="28"/>
        <v>6.1907229299999997</v>
      </c>
      <c r="CL10" s="1">
        <f t="shared" si="28"/>
        <v>6.1255732800000002</v>
      </c>
      <c r="CM10" s="1">
        <f t="shared" si="28"/>
        <v>9.318502950000001</v>
      </c>
      <c r="CN10" s="1">
        <f t="shared" si="28"/>
        <v>10.108990799999999</v>
      </c>
      <c r="CO10" s="1">
        <f t="shared" si="28"/>
        <v>8.35667808</v>
      </c>
      <c r="CP10" s="1">
        <f t="shared" si="28"/>
        <v>14.350128370000002</v>
      </c>
      <c r="CQ10" s="1">
        <f t="shared" si="28"/>
        <v>16.897846870000002</v>
      </c>
      <c r="CR10" s="1">
        <f t="shared" si="28"/>
        <v>10.456701950000001</v>
      </c>
      <c r="CS10" s="1">
        <f t="shared" si="28"/>
        <v>9.5618942600000008</v>
      </c>
      <c r="CT10" s="1">
        <f t="shared" si="28"/>
        <v>5.6783096999999998</v>
      </c>
      <c r="CU10" s="1">
        <f t="shared" si="28"/>
        <v>3.5979505000000001</v>
      </c>
      <c r="CV10" s="1">
        <f t="shared" si="28"/>
        <v>11.482528969999997</v>
      </c>
      <c r="CW10" s="1">
        <f t="shared" si="28"/>
        <v>11.00321864</v>
      </c>
      <c r="CX10" s="1">
        <f t="shared" si="28"/>
        <v>18.05731771</v>
      </c>
      <c r="CY10" s="1">
        <f t="shared" si="28"/>
        <v>12.23030908</v>
      </c>
      <c r="CZ10" s="1">
        <f t="shared" si="28"/>
        <v>17.119922650000003</v>
      </c>
      <c r="DA10" s="1">
        <f t="shared" si="29"/>
        <v>15.255558669999997</v>
      </c>
      <c r="DB10" s="1">
        <f t="shared" si="29"/>
        <v>10.271936310000001</v>
      </c>
      <c r="DC10" s="1">
        <f t="shared" si="29"/>
        <v>14.041262509999999</v>
      </c>
      <c r="DD10" s="1">
        <f t="shared" si="29"/>
        <v>6.1015489199999999</v>
      </c>
      <c r="DE10" s="1">
        <f t="shared" si="29"/>
        <v>2.3063176799999998</v>
      </c>
      <c r="DF10" s="1">
        <f t="shared" si="29"/>
        <v>3.2785219999999997</v>
      </c>
      <c r="DG10" s="1">
        <f t="shared" si="29"/>
        <v>2.8661316999999999</v>
      </c>
      <c r="DH10" s="1">
        <f t="shared" si="29"/>
        <v>3.3581509099999995</v>
      </c>
      <c r="DJ10" s="1">
        <f t="shared" si="30"/>
        <v>1.22554951</v>
      </c>
      <c r="DK10" s="1">
        <f t="shared" si="30"/>
        <v>0.91618060000000012</v>
      </c>
      <c r="DL10" s="1">
        <f t="shared" si="30"/>
        <v>0.37596773000000006</v>
      </c>
      <c r="DM10" s="1">
        <f t="shared" si="30"/>
        <v>0.55234585999999997</v>
      </c>
      <c r="DN10" s="1">
        <f t="shared" si="30"/>
        <v>0.12110615999999999</v>
      </c>
      <c r="DO10" s="1">
        <f t="shared" si="30"/>
        <v>2.631816E-2</v>
      </c>
      <c r="DP10" s="1">
        <f t="shared" si="30"/>
        <v>4.99154E-3</v>
      </c>
      <c r="DQ10" s="1">
        <f t="shared" si="30"/>
        <v>4.683996E-2</v>
      </c>
      <c r="DR10" s="1">
        <f t="shared" si="30"/>
        <v>0.23953321999999996</v>
      </c>
      <c r="DS10" s="1">
        <f t="shared" si="30"/>
        <v>0.72731897999999995</v>
      </c>
      <c r="DT10" s="1">
        <f t="shared" si="30"/>
        <v>1.7947146899999999</v>
      </c>
      <c r="DU10" s="1">
        <f t="shared" si="30"/>
        <v>1.56764612</v>
      </c>
      <c r="DV10" s="1">
        <f t="shared" si="30"/>
        <v>1.4871383200000001</v>
      </c>
      <c r="DW10" s="1">
        <f t="shared" si="30"/>
        <v>0.7069763</v>
      </c>
      <c r="DX10" s="1">
        <f t="shared" si="30"/>
        <v>0.35634324000000006</v>
      </c>
      <c r="DY10" s="1">
        <f t="shared" si="30"/>
        <v>0.22489865000000001</v>
      </c>
      <c r="DZ10" s="1">
        <f t="shared" si="31"/>
        <v>0.17467300000000002</v>
      </c>
      <c r="EA10" s="1">
        <f t="shared" si="31"/>
        <v>7.2500000000000004E-3</v>
      </c>
      <c r="EB10" s="1">
        <f t="shared" si="31"/>
        <v>0.23680799999999999</v>
      </c>
      <c r="EC10" s="1">
        <f t="shared" si="31"/>
        <v>0</v>
      </c>
      <c r="ED10" s="1">
        <f t="shared" si="31"/>
        <v>0.3075099</v>
      </c>
      <c r="EE10" s="1">
        <f t="shared" si="31"/>
        <v>0.82950560000000007</v>
      </c>
      <c r="EF10" s="1">
        <f t="shared" si="31"/>
        <v>1.06715808</v>
      </c>
      <c r="EG10" s="1">
        <f t="shared" si="31"/>
        <v>0.57276656999999997</v>
      </c>
      <c r="EI10" s="14">
        <f t="shared" si="32"/>
        <v>17.130000000000003</v>
      </c>
      <c r="EJ10" s="14">
        <f t="shared" si="32"/>
        <v>17.130000000000003</v>
      </c>
      <c r="EK10" s="1">
        <f t="shared" si="32"/>
        <v>17.130000000000003</v>
      </c>
      <c r="EL10" s="1">
        <f t="shared" si="32"/>
        <v>17.130000000000003</v>
      </c>
      <c r="EM10" s="1">
        <f t="shared" si="32"/>
        <v>17.130000000000003</v>
      </c>
      <c r="EN10" s="1">
        <f t="shared" si="32"/>
        <v>17.130000000000003</v>
      </c>
      <c r="EO10" s="1">
        <f t="shared" si="32"/>
        <v>17.130000000000003</v>
      </c>
      <c r="EP10" s="1">
        <f t="shared" si="32"/>
        <v>17.130000000000003</v>
      </c>
      <c r="EQ10" s="1">
        <f t="shared" si="32"/>
        <v>17.130000000000003</v>
      </c>
      <c r="ER10" s="1">
        <f t="shared" si="32"/>
        <v>17.130000000000003</v>
      </c>
      <c r="ES10" s="1">
        <f t="shared" si="32"/>
        <v>17.130000000000003</v>
      </c>
      <c r="ET10" s="1">
        <f t="shared" si="32"/>
        <v>17.130000000000003</v>
      </c>
      <c r="EU10" s="1">
        <f t="shared" si="32"/>
        <v>17.130000000000003</v>
      </c>
      <c r="EV10" s="1">
        <f t="shared" si="32"/>
        <v>17.39</v>
      </c>
      <c r="EW10" s="1">
        <f t="shared" si="32"/>
        <v>17.39</v>
      </c>
      <c r="EX10" s="1">
        <f t="shared" si="32"/>
        <v>17.39</v>
      </c>
      <c r="EY10" s="1">
        <f t="shared" si="33"/>
        <v>17.39</v>
      </c>
      <c r="EZ10" s="1">
        <f t="shared" si="33"/>
        <v>17.39</v>
      </c>
      <c r="FA10" s="1">
        <f t="shared" si="33"/>
        <v>17.39</v>
      </c>
      <c r="FB10" s="1">
        <f t="shared" si="33"/>
        <v>17.39</v>
      </c>
      <c r="FC10" s="1">
        <f t="shared" si="33"/>
        <v>17.39</v>
      </c>
      <c r="FD10" s="1">
        <f t="shared" si="33"/>
        <v>17.39</v>
      </c>
      <c r="FE10" s="1">
        <f t="shared" si="33"/>
        <v>17.39</v>
      </c>
      <c r="FF10" s="1">
        <f t="shared" si="33"/>
        <v>17.39</v>
      </c>
      <c r="FH10" s="162">
        <f t="shared" si="34"/>
        <v>0.51241625894072396</v>
      </c>
    </row>
    <row r="11" spans="1:164" ht="18.75" customHeight="1">
      <c r="A11" s="244" t="s">
        <v>116</v>
      </c>
      <c r="B11" s="247"/>
      <c r="C11" s="228">
        <f t="shared" si="5"/>
        <v>-0.33</v>
      </c>
      <c r="D11" s="229">
        <v>1</v>
      </c>
      <c r="E11" s="253">
        <f t="shared" si="6"/>
        <v>0</v>
      </c>
      <c r="F11" s="254">
        <f t="shared" si="7"/>
        <v>-2.881619353661713E-2</v>
      </c>
      <c r="G11" s="253">
        <f t="shared" si="8"/>
        <v>1.44072148703136E-2</v>
      </c>
      <c r="H11" s="254">
        <f t="shared" si="9"/>
        <v>-1.44072148703136E-2</v>
      </c>
      <c r="I11" s="253">
        <f t="shared" si="10"/>
        <v>0.18369329853978122</v>
      </c>
      <c r="J11" s="254">
        <f t="shared" si="11"/>
        <v>-0.14042909308799545</v>
      </c>
      <c r="K11" s="253">
        <f t="shared" si="12"/>
        <v>0.35690741221476108</v>
      </c>
      <c r="L11" s="254">
        <f t="shared" si="13"/>
        <v>-0.17321411367497985</v>
      </c>
      <c r="M11" s="255"/>
      <c r="N11" s="256"/>
      <c r="O11" s="253" t="str">
        <f t="shared" si="35"/>
        <v/>
      </c>
      <c r="P11" s="257" t="str">
        <f t="shared" si="36"/>
        <v/>
      </c>
      <c r="Q11" s="253">
        <f t="shared" si="14"/>
        <v>0</v>
      </c>
      <c r="R11" s="257">
        <f t="shared" si="37"/>
        <v>0</v>
      </c>
      <c r="S11" s="255"/>
      <c r="T11" s="24">
        <v>-2</v>
      </c>
      <c r="U11" s="253">
        <f t="shared" si="15"/>
        <v>-0.23197957413374104</v>
      </c>
      <c r="V11" s="258">
        <f t="shared" si="16"/>
        <v>-0.23197957413374104</v>
      </c>
      <c r="W11" s="253">
        <f t="shared" si="38"/>
        <v>7.7232840997294439E-2</v>
      </c>
      <c r="X11" s="258">
        <f t="shared" si="17"/>
        <v>7.7232840997294439E-2</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3</v>
      </c>
      <c r="AQ11" s="28">
        <f>VLOOKUP($A11,historia!$A$5:$CM$24,+HLOOKUP(AQ$2,historia!$A$3:$EC$4,2,FALSE),FALSE)</f>
        <v>3</v>
      </c>
      <c r="AR11" s="28">
        <f>VLOOKUP($A11,historia!$A$5:$CM$24,+HLOOKUP(AR$2,historia!$A$3:$EC$4,2,FALSE),FALSE)</f>
        <v>3</v>
      </c>
      <c r="AS11" s="28">
        <f>VLOOKUP($A11,historia!$A$5:$CM$24,+HLOOKUP(AS$2,historia!$A$3:$EC$4,2,FALSE),FALSE)</f>
        <v>3</v>
      </c>
      <c r="AT11" s="58">
        <f>VLOOKUP($A11,historia!$A$5:$CM$24,+HLOOKUP(AT$2,historia!$A$3:$EC$4,2,FALSE),FALSE)</f>
        <v>3</v>
      </c>
      <c r="AU11" s="58">
        <f>VLOOKUP($A11,historia!$A$5:$CM$24,+HLOOKUP(AU$2,historia!$A$3:$EC$4,2,FALSE),FALSE)</f>
        <v>3</v>
      </c>
      <c r="AV11" s="58">
        <f>VLOOKUP($A11,historia!$A$5:$DD$24,+HLOOKUP(AV$2,historia!$A$3:$EC$4,2,FALSE),FALSE)</f>
        <v>3</v>
      </c>
      <c r="AW11" s="58">
        <f>VLOOKUP($A11,historia!$A$5:$DD$24,+HLOOKUP(AW$2,historia!$A$3:$EC$4,2,FALSE),FALSE)</f>
        <v>3</v>
      </c>
      <c r="AX11" s="58">
        <f>VLOOKUP($A11,historia!$A$5:$DD$24,+HLOOKUP(AX$2,historia!$A$3:$EC$4,2,FALSE),FALSE)</f>
        <v>3</v>
      </c>
      <c r="AY11" s="58">
        <f>VLOOKUP($A11,historia!$A$5:$DD$24,+HLOOKUP(AY$2,historia!$A$3:$EC$4,2,FALSE),FALSE)</f>
        <v>3</v>
      </c>
      <c r="AZ11" s="58">
        <f>VLOOKUP($A11,historia!$A$5:$DG$24,+HLOOKUP(AZ$2,historia!$A$3:$EC$4,2,FALSE),FALSE)</f>
        <v>3</v>
      </c>
      <c r="BA11" s="58">
        <f>VLOOKUP($A11,historia!$A$5:$DG$24,+HLOOKUP(BA$2,historia!$A$3:$EC$4,2,FALSE),FALSE)</f>
        <v>3</v>
      </c>
      <c r="BB11" s="58"/>
      <c r="BC11" s="286">
        <v>3</v>
      </c>
      <c r="BD11" t="str">
        <f t="shared" si="20"/>
        <v>Forestal</v>
      </c>
      <c r="BE11">
        <f>+datos!BG1</f>
        <v>59</v>
      </c>
      <c r="BF11" s="2" t="str">
        <f t="shared" si="4"/>
        <v>$/t</v>
      </c>
      <c r="BG11" s="2">
        <f t="shared" si="4"/>
        <v>31979.25</v>
      </c>
      <c r="BH11" s="2">
        <f t="shared" si="4"/>
        <v>31979.25</v>
      </c>
      <c r="BI11" s="2">
        <f t="shared" si="4"/>
        <v>27016.5</v>
      </c>
      <c r="BK11" s="1">
        <f>+datos!ES1</f>
        <v>149</v>
      </c>
      <c r="BL11" s="1">
        <f t="shared" si="21"/>
        <v>0</v>
      </c>
      <c r="BM11" s="1">
        <f t="shared" si="21"/>
        <v>0</v>
      </c>
      <c r="BO11" s="1">
        <f>+datos!GI1</f>
        <v>191</v>
      </c>
      <c r="BP11" s="1">
        <f t="shared" si="22"/>
        <v>1302556</v>
      </c>
      <c r="BQ11" s="1">
        <f t="shared" si="22"/>
        <v>1302556</v>
      </c>
      <c r="BS11" s="1">
        <f>+datos!KB1</f>
        <v>288</v>
      </c>
      <c r="BT11" s="1">
        <f t="shared" si="39"/>
        <v>170.06242729000004</v>
      </c>
      <c r="BU11" s="1">
        <f t="shared" si="40"/>
        <v>221.42956302000002</v>
      </c>
      <c r="BW11" s="1">
        <f>+datos!LG1</f>
        <v>319</v>
      </c>
      <c r="BX11" s="2">
        <f t="shared" si="23"/>
        <v>188.74574467000002</v>
      </c>
      <c r="BY11" s="2">
        <f t="shared" si="24"/>
        <v>175.21350769000003</v>
      </c>
      <c r="CA11" s="1">
        <f>+datos!IW1</f>
        <v>257</v>
      </c>
      <c r="CB11" s="1">
        <f t="shared" si="25"/>
        <v>0</v>
      </c>
      <c r="CC11" s="1">
        <f t="shared" si="26"/>
        <v>0</v>
      </c>
      <c r="CD11" s="1"/>
      <c r="CE11">
        <f>+datos!CZ1</f>
        <v>104</v>
      </c>
      <c r="CF11" s="2">
        <f t="shared" si="27"/>
        <v>15792.956169624005</v>
      </c>
      <c r="CG11" s="2">
        <f t="shared" si="27"/>
        <v>15568.655208789152</v>
      </c>
      <c r="CH11" s="2">
        <f t="shared" si="27"/>
        <v>11638.934261436856</v>
      </c>
      <c r="CI11" s="1"/>
      <c r="CK11" s="1">
        <f t="shared" si="28"/>
        <v>13.84098623</v>
      </c>
      <c r="CL11" s="1">
        <f t="shared" si="28"/>
        <v>18.231882050000007</v>
      </c>
      <c r="CM11" s="1">
        <f t="shared" si="28"/>
        <v>13.327102919999998</v>
      </c>
      <c r="CN11" s="1">
        <f t="shared" si="28"/>
        <v>13.77020325</v>
      </c>
      <c r="CO11" s="1">
        <f t="shared" si="28"/>
        <v>16.167947309999995</v>
      </c>
      <c r="CP11" s="1">
        <f t="shared" si="28"/>
        <v>12.702036029999997</v>
      </c>
      <c r="CQ11" s="1">
        <f t="shared" si="28"/>
        <v>14.879273850000001</v>
      </c>
      <c r="CR11" s="1">
        <f t="shared" si="28"/>
        <v>13.812450910000003</v>
      </c>
      <c r="CS11" s="1">
        <f t="shared" si="28"/>
        <v>14.949040589999999</v>
      </c>
      <c r="CT11" s="1">
        <f t="shared" si="28"/>
        <v>13.968637820000001</v>
      </c>
      <c r="CU11" s="1">
        <f t="shared" si="28"/>
        <v>9.9284284400000011</v>
      </c>
      <c r="CV11" s="1">
        <f t="shared" si="28"/>
        <v>14.484437890000001</v>
      </c>
      <c r="CW11" s="1">
        <f t="shared" si="28"/>
        <v>10.200287200000002</v>
      </c>
      <c r="CX11" s="1">
        <f t="shared" si="28"/>
        <v>11.119065489999999</v>
      </c>
      <c r="CY11" s="1">
        <f t="shared" si="28"/>
        <v>13.50721221</v>
      </c>
      <c r="CZ11" s="1">
        <f t="shared" si="28"/>
        <v>17.7783984</v>
      </c>
      <c r="DA11" s="1">
        <f t="shared" si="29"/>
        <v>18.158715399999995</v>
      </c>
      <c r="DB11" s="1">
        <f t="shared" si="29"/>
        <v>13.62277192</v>
      </c>
      <c r="DC11" s="1">
        <f t="shared" si="29"/>
        <v>18.147427050000005</v>
      </c>
      <c r="DD11" s="1">
        <f t="shared" si="29"/>
        <v>16.38459563</v>
      </c>
      <c r="DE11" s="1">
        <f t="shared" si="29"/>
        <v>19.29025034</v>
      </c>
      <c r="DF11" s="1">
        <f t="shared" si="29"/>
        <v>32.635385889999995</v>
      </c>
      <c r="DG11" s="1">
        <f t="shared" si="29"/>
        <v>26.653198490000001</v>
      </c>
      <c r="DH11" s="1">
        <f t="shared" si="29"/>
        <v>23.932255000000001</v>
      </c>
      <c r="DJ11" s="1">
        <f t="shared" si="30"/>
        <v>15.974673770000001</v>
      </c>
      <c r="DK11" s="1">
        <f t="shared" si="30"/>
        <v>16.564446050000001</v>
      </c>
      <c r="DL11" s="1">
        <f t="shared" si="30"/>
        <v>13.907008520000002</v>
      </c>
      <c r="DM11" s="1">
        <f t="shared" si="30"/>
        <v>17.652505269999999</v>
      </c>
      <c r="DN11" s="1">
        <f t="shared" si="30"/>
        <v>18.176691299999998</v>
      </c>
      <c r="DO11" s="1">
        <f t="shared" si="30"/>
        <v>17.838312650000002</v>
      </c>
      <c r="DP11" s="1">
        <f t="shared" si="30"/>
        <v>13.839856769999999</v>
      </c>
      <c r="DQ11" s="1">
        <f t="shared" si="30"/>
        <v>16.453753389999996</v>
      </c>
      <c r="DR11" s="1">
        <f t="shared" si="30"/>
        <v>16.050718710000002</v>
      </c>
      <c r="DS11" s="1">
        <f t="shared" si="30"/>
        <v>13.20675994</v>
      </c>
      <c r="DT11" s="1">
        <f t="shared" si="30"/>
        <v>12.082023640000001</v>
      </c>
      <c r="DU11" s="1">
        <f t="shared" si="30"/>
        <v>16.998994660000001</v>
      </c>
      <c r="DV11" s="1">
        <f t="shared" si="30"/>
        <v>14.09144206</v>
      </c>
      <c r="DW11" s="1">
        <f t="shared" si="30"/>
        <v>14.036730870000001</v>
      </c>
      <c r="DX11" s="1">
        <f t="shared" si="30"/>
        <v>13.365554540000002</v>
      </c>
      <c r="DY11" s="1">
        <f t="shared" si="30"/>
        <v>15.589800310000003</v>
      </c>
      <c r="DZ11" s="1">
        <f t="shared" si="31"/>
        <v>16.942532470000003</v>
      </c>
      <c r="EA11" s="1">
        <f t="shared" si="31"/>
        <v>10.998476289999999</v>
      </c>
      <c r="EB11" s="1">
        <f t="shared" si="31"/>
        <v>11.46589975</v>
      </c>
      <c r="EC11" s="1">
        <f t="shared" si="31"/>
        <v>13.53170609</v>
      </c>
      <c r="ED11" s="1">
        <f t="shared" si="31"/>
        <v>19.941855059999995</v>
      </c>
      <c r="EE11" s="1">
        <f t="shared" si="31"/>
        <v>17.561880160000001</v>
      </c>
      <c r="EF11" s="1">
        <f t="shared" si="31"/>
        <v>14.580088280000002</v>
      </c>
      <c r="EG11" s="1">
        <f t="shared" si="31"/>
        <v>13.107541810000001</v>
      </c>
      <c r="EI11" s="14">
        <f t="shared" si="32"/>
        <v>0</v>
      </c>
      <c r="EJ11" s="14">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2"/>
        <v>0</v>
      </c>
      <c r="EY11" s="1">
        <f t="shared" si="33"/>
        <v>0</v>
      </c>
      <c r="EZ11" s="1">
        <f t="shared" si="33"/>
        <v>0</v>
      </c>
      <c r="FA11" s="1">
        <f t="shared" si="33"/>
        <v>0</v>
      </c>
      <c r="FB11" s="1">
        <f t="shared" si="33"/>
        <v>0</v>
      </c>
      <c r="FC11" s="1">
        <f t="shared" si="33"/>
        <v>0</v>
      </c>
      <c r="FD11" s="1">
        <f t="shared" si="33"/>
        <v>0</v>
      </c>
      <c r="FE11" s="1">
        <f t="shared" si="33"/>
        <v>0</v>
      </c>
      <c r="FF11" s="1">
        <f t="shared" si="33"/>
        <v>0</v>
      </c>
      <c r="FH11" s="162">
        <f t="shared" si="34"/>
        <v>-0.17321411367497985</v>
      </c>
    </row>
    <row r="12" spans="1:164" ht="18.75" customHeight="1">
      <c r="A12" s="243" t="s">
        <v>216</v>
      </c>
      <c r="B12" s="246"/>
      <c r="C12" s="156">
        <f t="shared" si="5"/>
        <v>-0.33</v>
      </c>
      <c r="D12" s="198">
        <v>-1</v>
      </c>
      <c r="E12" s="248">
        <f t="shared" si="6"/>
        <v>1.2262961030531594E-2</v>
      </c>
      <c r="F12" s="249">
        <f t="shared" si="7"/>
        <v>-1.6553232506085536E-2</v>
      </c>
      <c r="G12" s="248">
        <f t="shared" si="8"/>
        <v>2.356920520922845E-3</v>
      </c>
      <c r="H12" s="249">
        <f t="shared" si="9"/>
        <v>9.9060405096087489E-3</v>
      </c>
      <c r="I12" s="248">
        <f t="shared" si="10"/>
        <v>0.41634179647477176</v>
      </c>
      <c r="J12" s="249">
        <f t="shared" si="11"/>
        <v>9.221940484699509E-2</v>
      </c>
      <c r="K12" s="248">
        <f t="shared" si="12"/>
        <v>0.41368584328407798</v>
      </c>
      <c r="L12" s="249">
        <f t="shared" si="13"/>
        <v>2.6559531906937828E-3</v>
      </c>
      <c r="M12" s="250"/>
      <c r="N12" s="24">
        <v>1</v>
      </c>
      <c r="O12" s="248">
        <f t="shared" si="35"/>
        <v>4.379358437935843E-2</v>
      </c>
      <c r="P12" s="251">
        <f t="shared" si="36"/>
        <v>4.379358437935843E-2</v>
      </c>
      <c r="Q12" s="248">
        <f t="shared" si="14"/>
        <v>0.1859514152834576</v>
      </c>
      <c r="R12" s="251">
        <f t="shared" si="37"/>
        <v>0.1859514152834576</v>
      </c>
      <c r="S12" s="250"/>
      <c r="T12" s="24">
        <v>-1</v>
      </c>
      <c r="U12" s="248">
        <f t="shared" si="15"/>
        <v>7.0810053788452176E-2</v>
      </c>
      <c r="V12" s="252">
        <f t="shared" si="16"/>
        <v>7.0810053788452176E-2</v>
      </c>
      <c r="W12" s="248">
        <f t="shared" si="38"/>
        <v>-0.21923860434553677</v>
      </c>
      <c r="X12" s="252">
        <f t="shared" si="17"/>
        <v>-0.21923860434553677</v>
      </c>
      <c r="Y12" s="248"/>
      <c r="Z12" s="252"/>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3</v>
      </c>
      <c r="AQ12" s="28">
        <f>VLOOKUP($A12,historia!$A$5:$CM$24,+HLOOKUP(AQ$2,historia!$A$3:$EC$4,2,FALSE),FALSE)</f>
        <v>3</v>
      </c>
      <c r="AR12" s="28">
        <f>VLOOKUP($A12,historia!$A$5:$CM$24,+HLOOKUP(AR$2,historia!$A$3:$EC$4,2,FALSE),FALSE)</f>
        <v>3</v>
      </c>
      <c r="AS12" s="28">
        <f>VLOOKUP($A12,historia!$A$5:$CM$24,+HLOOKUP(AS$2,historia!$A$3:$EC$4,2,FALSE),FALSE)</f>
        <v>3</v>
      </c>
      <c r="AT12" s="58">
        <f>VLOOKUP($A12,historia!$A$5:$CM$24,+HLOOKUP(AT$2,historia!$A$3:$EC$4,2,FALSE),FALSE)</f>
        <v>3</v>
      </c>
      <c r="AU12" s="58">
        <f>VLOOKUP($A12,historia!$A$5:$CM$24,+HLOOKUP(AU$2,historia!$A$3:$EC$4,2,FALSE),FALSE)</f>
        <v>2</v>
      </c>
      <c r="AV12" s="58">
        <f>VLOOKUP($A12,historia!$A$5:$DD$24,+HLOOKUP(AV$2,historia!$A$3:$EC$4,2,FALSE),FALSE)</f>
        <v>2</v>
      </c>
      <c r="AW12" s="58">
        <f>VLOOKUP($A12,historia!$A$5:$DD$24,+HLOOKUP(AW$2,historia!$A$3:$EC$4,2,FALSE),FALSE)</f>
        <v>1</v>
      </c>
      <c r="AX12" s="58">
        <f>VLOOKUP($A12,historia!$A$5:$DD$24,+HLOOKUP(AX$2,historia!$A$3:$EC$4,2,FALSE),FALSE)</f>
        <v>2</v>
      </c>
      <c r="AY12" s="58">
        <f>VLOOKUP($A12,historia!$A$5:$DD$24,+HLOOKUP(AY$2,historia!$A$3:$EC$4,2,FALSE),FALSE)</f>
        <v>2</v>
      </c>
      <c r="AZ12" s="58">
        <f>VLOOKUP($A12,historia!$A$5:$DG$24,+HLOOKUP(AZ$2,historia!$A$3:$EC$4,2,FALSE),FALSE)</f>
        <v>2</v>
      </c>
      <c r="BA12" s="58">
        <f>VLOOKUP($A12,historia!$A$5:$DG$24,+HLOOKUP(BA$2,historia!$A$3:$EC$4,2,FALSE),FALSE)</f>
        <v>1</v>
      </c>
      <c r="BB12" s="58"/>
      <c r="BC12" s="286">
        <v>1</v>
      </c>
      <c r="BD12" t="str">
        <f t="shared" si="20"/>
        <v>Granos</v>
      </c>
      <c r="BE12">
        <f>+datos!AE1</f>
        <v>31</v>
      </c>
      <c r="BF12" s="2" t="str">
        <f t="shared" si="4"/>
        <v>$/t</v>
      </c>
      <c r="BG12" s="2">
        <f t="shared" si="4"/>
        <v>343341.20536082733</v>
      </c>
      <c r="BH12" s="2">
        <f t="shared" si="4"/>
        <v>339181.83177550003</v>
      </c>
      <c r="BI12" s="2">
        <f t="shared" si="4"/>
        <v>242414.08833333332</v>
      </c>
      <c r="BK12" s="1">
        <f>+datos!EA1</f>
        <v>131</v>
      </c>
      <c r="BL12" s="1">
        <f t="shared" si="21"/>
        <v>37420000</v>
      </c>
      <c r="BM12" s="1">
        <f t="shared" si="21"/>
        <v>35850000</v>
      </c>
      <c r="BO12" s="1">
        <f>+datos!FV1</f>
        <v>178</v>
      </c>
      <c r="BP12" s="1">
        <f t="shared" si="22"/>
        <v>147900001</v>
      </c>
      <c r="BQ12" s="1">
        <f t="shared" si="22"/>
        <v>124710000</v>
      </c>
      <c r="BS12" s="1">
        <f>+datos!LQ1</f>
        <v>329</v>
      </c>
      <c r="BT12" s="1">
        <f>+SUM(CK12:CV12)</f>
        <v>47305.266909530001</v>
      </c>
      <c r="BU12" s="1">
        <f t="shared" si="40"/>
        <v>44177.08513490999</v>
      </c>
      <c r="BW12" s="1">
        <f>+datos!LU1</f>
        <v>333</v>
      </c>
      <c r="BX12" s="2">
        <f t="shared" si="23"/>
        <v>2386.6197547799998</v>
      </c>
      <c r="BY12" s="2">
        <f t="shared" si="24"/>
        <v>3056.7850409399998</v>
      </c>
      <c r="CA12" s="1">
        <f>+datos!II1</f>
        <v>243</v>
      </c>
      <c r="CB12" s="1">
        <f t="shared" si="25"/>
        <v>86780000</v>
      </c>
      <c r="CC12" s="1">
        <f t="shared" si="26"/>
        <v>83330000</v>
      </c>
      <c r="CD12" s="1"/>
      <c r="CE12">
        <f>+datos!CG1</f>
        <v>85</v>
      </c>
      <c r="CF12" s="2">
        <f t="shared" si="27"/>
        <v>13088.871100473902</v>
      </c>
      <c r="CG12" s="2">
        <f t="shared" si="27"/>
        <v>13058.094210265583</v>
      </c>
      <c r="CH12" s="2">
        <f t="shared" si="27"/>
        <v>9258.6844260020735</v>
      </c>
      <c r="CI12" s="1"/>
      <c r="CK12" s="1">
        <f>+VLOOKUP(CK$1,ran_dat,$BS12,FALSE)</f>
        <v>4071.6367626900005</v>
      </c>
      <c r="CL12" s="1">
        <f t="shared" si="28"/>
        <v>3901.9920549600001</v>
      </c>
      <c r="CM12" s="1">
        <f t="shared" si="28"/>
        <v>4663.3781357900007</v>
      </c>
      <c r="CN12" s="1">
        <f t="shared" si="28"/>
        <v>3782.3696972900002</v>
      </c>
      <c r="CO12" s="1">
        <f t="shared" si="28"/>
        <v>4396.9372515900004</v>
      </c>
      <c r="CP12" s="1">
        <f t="shared" si="28"/>
        <v>4336.2366958999992</v>
      </c>
      <c r="CQ12" s="1">
        <f t="shared" si="28"/>
        <v>4557.75384975</v>
      </c>
      <c r="CR12" s="1">
        <f t="shared" si="28"/>
        <v>3762.5394987399995</v>
      </c>
      <c r="CS12" s="1">
        <f t="shared" si="28"/>
        <v>4220.2405017900001</v>
      </c>
      <c r="CT12" s="1">
        <f t="shared" si="28"/>
        <v>3699.5517639399995</v>
      </c>
      <c r="CU12" s="1">
        <f t="shared" si="28"/>
        <v>2719.5194464700007</v>
      </c>
      <c r="CV12" s="1">
        <f t="shared" si="28"/>
        <v>3193.1112506200002</v>
      </c>
      <c r="CW12" s="1">
        <f t="shared" si="28"/>
        <v>3231.2263099199999</v>
      </c>
      <c r="CX12" s="1">
        <f t="shared" si="28"/>
        <v>3313.8442822299994</v>
      </c>
      <c r="CY12" s="1">
        <f t="shared" si="28"/>
        <v>3339.9998161899998</v>
      </c>
      <c r="CZ12" s="1">
        <f t="shared" si="28"/>
        <v>3485.71732419</v>
      </c>
      <c r="DA12" s="1">
        <f t="shared" si="29"/>
        <v>3410.80431886</v>
      </c>
      <c r="DB12" s="1">
        <f t="shared" si="29"/>
        <v>3348.6268518899992</v>
      </c>
      <c r="DC12" s="1">
        <f t="shared" si="29"/>
        <v>4200.6671527199996</v>
      </c>
      <c r="DD12" s="1">
        <f t="shared" si="29"/>
        <v>4256.6159984299993</v>
      </c>
      <c r="DE12" s="1">
        <f t="shared" si="29"/>
        <v>4805.0657855600002</v>
      </c>
      <c r="DF12" s="1">
        <f t="shared" si="29"/>
        <v>3818.0878160900002</v>
      </c>
      <c r="DG12" s="1">
        <f t="shared" si="29"/>
        <v>3876.9439553199995</v>
      </c>
      <c r="DH12" s="1">
        <f t="shared" si="29"/>
        <v>3089.4855235099994</v>
      </c>
      <c r="DJ12" s="1">
        <f t="shared" si="30"/>
        <v>27.557335100000003</v>
      </c>
      <c r="DK12" s="1">
        <f t="shared" si="30"/>
        <v>51.994600029999987</v>
      </c>
      <c r="DL12" s="1">
        <f t="shared" si="30"/>
        <v>140.49668192999997</v>
      </c>
      <c r="DM12" s="1">
        <f t="shared" si="30"/>
        <v>126.11568693000002</v>
      </c>
      <c r="DN12" s="1">
        <f t="shared" si="30"/>
        <v>179.77004703999992</v>
      </c>
      <c r="DO12" s="1">
        <f t="shared" si="30"/>
        <v>175.34564924</v>
      </c>
      <c r="DP12" s="1">
        <f t="shared" si="30"/>
        <v>241.51209269000003</v>
      </c>
      <c r="DQ12" s="1">
        <f t="shared" si="30"/>
        <v>273.75200934999998</v>
      </c>
      <c r="DR12" s="1">
        <f t="shared" si="30"/>
        <v>304.19736033999999</v>
      </c>
      <c r="DS12" s="1">
        <f t="shared" si="30"/>
        <v>338.33098909999995</v>
      </c>
      <c r="DT12" s="1">
        <f t="shared" si="30"/>
        <v>239.40438782999996</v>
      </c>
      <c r="DU12" s="1">
        <f t="shared" si="30"/>
        <v>288.1429152</v>
      </c>
      <c r="DV12" s="1">
        <f t="shared" si="30"/>
        <v>31.883400920000003</v>
      </c>
      <c r="DW12" s="1">
        <f t="shared" si="30"/>
        <v>52.19269714</v>
      </c>
      <c r="DX12" s="1">
        <f t="shared" si="30"/>
        <v>201.41567115000001</v>
      </c>
      <c r="DY12" s="1">
        <f t="shared" si="30"/>
        <v>299.18688666000003</v>
      </c>
      <c r="DZ12" s="1">
        <f t="shared" si="31"/>
        <v>265.28366987999999</v>
      </c>
      <c r="EA12" s="1">
        <f t="shared" si="31"/>
        <v>214.60650260000006</v>
      </c>
      <c r="EB12" s="1">
        <f t="shared" si="31"/>
        <v>390.93673457</v>
      </c>
      <c r="EC12" s="1">
        <f t="shared" si="31"/>
        <v>293.37536226000003</v>
      </c>
      <c r="ED12" s="1">
        <f t="shared" si="31"/>
        <v>336.54852982999995</v>
      </c>
      <c r="EE12" s="1">
        <f t="shared" si="31"/>
        <v>300.95428591999996</v>
      </c>
      <c r="EF12" s="1">
        <f t="shared" si="31"/>
        <v>389.85732896999997</v>
      </c>
      <c r="EG12" s="1">
        <f t="shared" si="31"/>
        <v>280.54397103999997</v>
      </c>
      <c r="EI12" s="14">
        <f t="shared" si="32"/>
        <v>86780000</v>
      </c>
      <c r="EJ12" s="14">
        <f t="shared" si="32"/>
        <v>86780000</v>
      </c>
      <c r="EK12" s="1">
        <f t="shared" si="32"/>
        <v>86680000</v>
      </c>
      <c r="EL12" s="1">
        <f t="shared" si="32"/>
        <v>85850000</v>
      </c>
      <c r="EM12" s="1">
        <f t="shared" si="32"/>
        <v>85850000</v>
      </c>
      <c r="EN12" s="1">
        <f t="shared" si="32"/>
        <v>85820000</v>
      </c>
      <c r="EO12" s="1">
        <f t="shared" si="32"/>
        <v>83320000</v>
      </c>
      <c r="EP12" s="1">
        <f t="shared" si="32"/>
        <v>83120000</v>
      </c>
      <c r="EQ12" s="1">
        <f t="shared" si="32"/>
        <v>83420000</v>
      </c>
      <c r="ER12" s="1">
        <f t="shared" si="32"/>
        <v>83260000</v>
      </c>
      <c r="ES12" s="1">
        <f t="shared" si="32"/>
        <v>82660000</v>
      </c>
      <c r="ET12" s="1">
        <f t="shared" si="32"/>
        <v>83330000</v>
      </c>
      <c r="EU12" s="1">
        <f t="shared" si="32"/>
        <v>83330000</v>
      </c>
      <c r="EV12" s="1">
        <f t="shared" si="32"/>
        <v>81580000</v>
      </c>
      <c r="EW12" s="1">
        <f t="shared" si="32"/>
        <v>81600000</v>
      </c>
      <c r="EX12" s="1">
        <f t="shared" si="32"/>
        <v>81600000</v>
      </c>
      <c r="EY12" s="1">
        <f t="shared" si="33"/>
        <v>81600000</v>
      </c>
      <c r="EZ12" s="1">
        <f t="shared" si="33"/>
        <v>81600000</v>
      </c>
      <c r="FA12" s="1">
        <f t="shared" si="33"/>
        <v>81600000</v>
      </c>
      <c r="FB12" s="1">
        <f t="shared" si="33"/>
        <v>81600000</v>
      </c>
      <c r="FC12" s="1">
        <f t="shared" si="33"/>
        <v>81600000</v>
      </c>
      <c r="FD12" s="1">
        <f t="shared" si="33"/>
        <v>81600000</v>
      </c>
      <c r="FE12" s="1">
        <f t="shared" si="33"/>
        <v>73750000</v>
      </c>
      <c r="FF12" s="1">
        <f t="shared" si="33"/>
        <v>73750000</v>
      </c>
      <c r="FH12" s="162">
        <f t="shared" si="34"/>
        <v>2.6559531906937828E-3</v>
      </c>
    </row>
    <row r="13" spans="1:164" ht="18.75" customHeight="1">
      <c r="A13" s="244" t="s">
        <v>217</v>
      </c>
      <c r="B13" s="247"/>
      <c r="C13" s="228">
        <f t="shared" si="5"/>
        <v>0</v>
      </c>
      <c r="D13" s="229">
        <v>0</v>
      </c>
      <c r="E13" s="253">
        <f t="shared" si="6"/>
        <v>0.39694410334397601</v>
      </c>
      <c r="F13" s="254">
        <f t="shared" si="7"/>
        <v>0.36812790980735888</v>
      </c>
      <c r="G13" s="253">
        <f t="shared" si="8"/>
        <v>-4.940067546488458E-3</v>
      </c>
      <c r="H13" s="254">
        <f t="shared" si="9"/>
        <v>0.40188417089046446</v>
      </c>
      <c r="I13" s="253">
        <f t="shared" si="10"/>
        <v>0.41924377268385427</v>
      </c>
      <c r="J13" s="254">
        <f t="shared" si="11"/>
        <v>9.5121381056077592E-2</v>
      </c>
      <c r="K13" s="253">
        <f t="shared" si="12"/>
        <v>0.26610793625053897</v>
      </c>
      <c r="L13" s="254">
        <f t="shared" si="13"/>
        <v>0.1531358364333153</v>
      </c>
      <c r="M13" s="255"/>
      <c r="N13" s="256">
        <v>0</v>
      </c>
      <c r="O13" s="253">
        <f t="shared" si="35"/>
        <v>0</v>
      </c>
      <c r="P13" s="257">
        <f t="shared" si="36"/>
        <v>0</v>
      </c>
      <c r="Q13" s="253">
        <f t="shared" si="14"/>
        <v>0</v>
      </c>
      <c r="R13" s="257">
        <f t="shared" si="37"/>
        <v>0</v>
      </c>
      <c r="S13" s="255"/>
      <c r="T13" s="256">
        <v>0</v>
      </c>
      <c r="U13" s="253">
        <f t="shared" si="15"/>
        <v>-0.32951434511273248</v>
      </c>
      <c r="V13" s="258">
        <f t="shared" si="16"/>
        <v>-0.32951434511273248</v>
      </c>
      <c r="W13" s="253">
        <f t="shared" si="38"/>
        <v>-0.56764022481603971</v>
      </c>
      <c r="X13" s="258">
        <f t="shared" si="17"/>
        <v>-0.56764022481603971</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4</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5</v>
      </c>
      <c r="AU13" s="58">
        <f>VLOOKUP($A13,historia!$A$5:$CM$24,+HLOOKUP(AU$2,historia!$A$3:$EC$4,2,FALSE),FALSE)</f>
        <v>4</v>
      </c>
      <c r="AV13" s="58">
        <f>VLOOKUP($A13,historia!$A$5:$DD$24,+HLOOKUP(AV$2,historia!$A$3:$EC$4,2,FALSE),FALSE)</f>
        <v>5</v>
      </c>
      <c r="AW13" s="58">
        <f>VLOOKUP($A13,historia!$A$5:$DD$24,+HLOOKUP(AW$2,historia!$A$3:$EC$4,2,FALSE),FALSE)</f>
        <v>4</v>
      </c>
      <c r="AX13" s="58">
        <f>VLOOKUP($A13,historia!$A$5:$DD$24,+HLOOKUP(AX$2,historia!$A$3:$EC$4,2,FALSE),FALSE)</f>
        <v>4</v>
      </c>
      <c r="AY13" s="58">
        <f>VLOOKUP($A13,historia!$A$5:$DD$24,+HLOOKUP(AY$2,historia!$A$3:$EC$4,2,FALSE),FALSE)</f>
        <v>4</v>
      </c>
      <c r="AZ13" s="58">
        <f>VLOOKUP($A13,historia!$A$5:$DG$24,+HLOOKUP(AZ$2,historia!$A$3:$EC$4,2,FALSE),FALSE)</f>
        <v>4</v>
      </c>
      <c r="BA13" s="58">
        <f>VLOOKUP($A13,historia!$A$5:$DG$24,+HLOOKUP(BA$2,historia!$A$3:$EC$4,2,FALSE),FALSE)</f>
        <v>4</v>
      </c>
      <c r="BB13" s="58"/>
      <c r="BC13" s="286">
        <v>4</v>
      </c>
      <c r="BD13" t="str">
        <f t="shared" si="20"/>
        <v>Hortalizas</v>
      </c>
      <c r="BE13">
        <f>+datos!BB1</f>
        <v>54</v>
      </c>
      <c r="BF13" s="2" t="str">
        <f t="shared" si="4"/>
        <v>$/kg</v>
      </c>
      <c r="BG13" s="2">
        <f t="shared" si="4"/>
        <v>14565.368940368939</v>
      </c>
      <c r="BH13" s="2">
        <f t="shared" si="4"/>
        <v>10426.593952830795</v>
      </c>
      <c r="BI13" s="2">
        <f t="shared" si="4"/>
        <v>10262.76755319149</v>
      </c>
      <c r="BK13" s="1">
        <f>+datos!EX1</f>
        <v>154</v>
      </c>
      <c r="BL13" s="1">
        <f t="shared" si="21"/>
        <v>64395</v>
      </c>
      <c r="BM13" s="1">
        <f t="shared" si="21"/>
        <v>64395</v>
      </c>
      <c r="BO13" s="1">
        <f>+datos!GN1</f>
        <v>196</v>
      </c>
      <c r="BP13" s="1">
        <f t="shared" si="22"/>
        <v>2639386</v>
      </c>
      <c r="BQ13" s="1">
        <f t="shared" si="22"/>
        <v>2639386</v>
      </c>
      <c r="BS13" s="1">
        <f>+datos!LR1</f>
        <v>330</v>
      </c>
      <c r="BT13" s="1">
        <f t="shared" si="39"/>
        <v>42.909204620000004</v>
      </c>
      <c r="BU13" s="1">
        <f t="shared" si="40"/>
        <v>63.997200100000001</v>
      </c>
      <c r="BW13" s="1">
        <f>+datos!LV1</f>
        <v>334</v>
      </c>
      <c r="BX13" s="2">
        <f t="shared" si="23"/>
        <v>15.642433739999998</v>
      </c>
      <c r="BY13" s="2">
        <f t="shared" si="24"/>
        <v>36.17920685</v>
      </c>
      <c r="CA13" s="1">
        <f>+datos!IX1</f>
        <v>258</v>
      </c>
      <c r="CB13" s="1">
        <f t="shared" si="25"/>
        <v>0</v>
      </c>
      <c r="CC13" s="1">
        <f t="shared" si="26"/>
        <v>0</v>
      </c>
      <c r="CD13" s="1"/>
      <c r="CE13">
        <f>+datos!CO1</f>
        <v>93</v>
      </c>
      <c r="CF13" s="2">
        <f t="shared" si="27"/>
        <v>12126.51223575605</v>
      </c>
      <c r="CG13" s="2">
        <f t="shared" si="27"/>
        <v>12186.715433165722</v>
      </c>
      <c r="CH13" s="2">
        <f t="shared" si="27"/>
        <v>9577.7870816192735</v>
      </c>
      <c r="CI13" s="1"/>
      <c r="CK13" s="1">
        <f t="shared" si="28"/>
        <v>1.7091561800000004</v>
      </c>
      <c r="CL13" s="1">
        <f t="shared" si="28"/>
        <v>1.6831161599999998</v>
      </c>
      <c r="CM13" s="1">
        <f t="shared" si="28"/>
        <v>1.1537429000000001</v>
      </c>
      <c r="CN13" s="1">
        <f t="shared" si="28"/>
        <v>1.5287822199999999</v>
      </c>
      <c r="CO13" s="1">
        <f t="shared" si="28"/>
        <v>0.99519284000000008</v>
      </c>
      <c r="CP13" s="1">
        <f t="shared" si="28"/>
        <v>2.3842983399999995</v>
      </c>
      <c r="CQ13" s="1">
        <f t="shared" si="28"/>
        <v>1.9006323699999998</v>
      </c>
      <c r="CR13" s="1">
        <f t="shared" si="28"/>
        <v>5.6300601800000001</v>
      </c>
      <c r="CS13" s="1">
        <f t="shared" si="28"/>
        <v>10.78719353</v>
      </c>
      <c r="CT13" s="1">
        <f t="shared" si="28"/>
        <v>6.6589734299999996</v>
      </c>
      <c r="CU13" s="1">
        <f t="shared" si="28"/>
        <v>4.7972503099999999</v>
      </c>
      <c r="CV13" s="1">
        <f t="shared" si="28"/>
        <v>3.6808061599999999</v>
      </c>
      <c r="CW13" s="1">
        <f t="shared" si="28"/>
        <v>1.7265838599999999</v>
      </c>
      <c r="CX13" s="1">
        <f t="shared" si="28"/>
        <v>1.1603474899999999</v>
      </c>
      <c r="CY13" s="1">
        <f t="shared" si="28"/>
        <v>1.6220564799999999</v>
      </c>
      <c r="CZ13" s="1">
        <f t="shared" si="28"/>
        <v>1.7022322700000001</v>
      </c>
      <c r="DA13" s="1">
        <f t="shared" si="29"/>
        <v>2.1800094999999997</v>
      </c>
      <c r="DB13" s="1">
        <f t="shared" si="29"/>
        <v>0.89152303000000011</v>
      </c>
      <c r="DC13" s="1">
        <f t="shared" si="29"/>
        <v>2.22092468</v>
      </c>
      <c r="DD13" s="1">
        <f t="shared" si="29"/>
        <v>5.6369490100000004</v>
      </c>
      <c r="DE13" s="1">
        <f t="shared" si="29"/>
        <v>11.964288460000001</v>
      </c>
      <c r="DF13" s="1">
        <f t="shared" si="29"/>
        <v>14.874595200000002</v>
      </c>
      <c r="DG13" s="1">
        <f t="shared" si="29"/>
        <v>12.356255849999998</v>
      </c>
      <c r="DH13" s="1">
        <f t="shared" si="29"/>
        <v>7.66143427</v>
      </c>
      <c r="DJ13" s="1">
        <f t="shared" si="30"/>
        <v>0.59938404000000001</v>
      </c>
      <c r="DK13" s="1">
        <f t="shared" si="30"/>
        <v>0.53318653999999999</v>
      </c>
      <c r="DL13" s="1">
        <f t="shared" si="30"/>
        <v>0.87596054999999995</v>
      </c>
      <c r="DM13" s="1">
        <f t="shared" si="30"/>
        <v>2.0285887300000001</v>
      </c>
      <c r="DN13" s="1">
        <f t="shared" si="30"/>
        <v>2.5185445399999997</v>
      </c>
      <c r="DO13" s="1">
        <f t="shared" si="30"/>
        <v>1.4155427900000002</v>
      </c>
      <c r="DP13" s="1">
        <f t="shared" si="30"/>
        <v>1.5956283999999996</v>
      </c>
      <c r="DQ13" s="1">
        <f t="shared" si="30"/>
        <v>1.7945534399999996</v>
      </c>
      <c r="DR13" s="1">
        <f t="shared" si="30"/>
        <v>2.7487028499999995</v>
      </c>
      <c r="DS13" s="1">
        <f t="shared" si="30"/>
        <v>0.73139703</v>
      </c>
      <c r="DT13" s="1">
        <f t="shared" si="30"/>
        <v>0.52205221000000002</v>
      </c>
      <c r="DU13" s="1">
        <f t="shared" si="30"/>
        <v>0.27889262000000004</v>
      </c>
      <c r="DV13" s="1">
        <f t="shared" si="30"/>
        <v>0.43588088999999991</v>
      </c>
      <c r="DW13" s="1">
        <f t="shared" si="30"/>
        <v>0.25163443000000002</v>
      </c>
      <c r="DX13" s="1">
        <f t="shared" si="30"/>
        <v>1.8307121500000001</v>
      </c>
      <c r="DY13" s="1">
        <f t="shared" si="30"/>
        <v>4.7138590499999999</v>
      </c>
      <c r="DZ13" s="1">
        <f t="shared" si="31"/>
        <v>10.280953719999999</v>
      </c>
      <c r="EA13" s="1">
        <f t="shared" si="31"/>
        <v>10.078043539999999</v>
      </c>
      <c r="EB13" s="1">
        <f t="shared" si="31"/>
        <v>5.0525632100000006</v>
      </c>
      <c r="EC13" s="1">
        <f t="shared" si="31"/>
        <v>1.5134803299999999</v>
      </c>
      <c r="ED13" s="1">
        <f t="shared" si="31"/>
        <v>1.5645213200000003</v>
      </c>
      <c r="EE13" s="1">
        <f t="shared" si="31"/>
        <v>0.17069466</v>
      </c>
      <c r="EF13" s="1">
        <f t="shared" si="31"/>
        <v>5.8121779999999998E-2</v>
      </c>
      <c r="EG13" s="1">
        <f t="shared" si="31"/>
        <v>0.22874177000000001</v>
      </c>
      <c r="EI13" s="14">
        <f t="shared" si="32"/>
        <v>0</v>
      </c>
      <c r="EJ13" s="14">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2"/>
        <v>0</v>
      </c>
      <c r="EY13" s="1">
        <f t="shared" si="33"/>
        <v>0</v>
      </c>
      <c r="EZ13" s="1">
        <f t="shared" si="33"/>
        <v>0</v>
      </c>
      <c r="FA13" s="1">
        <f t="shared" si="33"/>
        <v>0</v>
      </c>
      <c r="FB13" s="1">
        <f t="shared" si="33"/>
        <v>0</v>
      </c>
      <c r="FC13" s="1">
        <f t="shared" si="33"/>
        <v>0</v>
      </c>
      <c r="FD13" s="1">
        <f t="shared" si="33"/>
        <v>0</v>
      </c>
      <c r="FE13" s="1">
        <f t="shared" si="33"/>
        <v>0</v>
      </c>
      <c r="FF13" s="1">
        <f t="shared" si="33"/>
        <v>0</v>
      </c>
      <c r="FH13" s="162">
        <f t="shared" si="34"/>
        <v>0.1531358364333153</v>
      </c>
    </row>
    <row r="14" spans="1:164" ht="18" customHeight="1">
      <c r="A14" s="243" t="s">
        <v>65</v>
      </c>
      <c r="B14" s="246"/>
      <c r="C14" s="156">
        <f t="shared" si="5"/>
        <v>-0.33</v>
      </c>
      <c r="D14" s="198">
        <v>1</v>
      </c>
      <c r="E14" s="572">
        <f t="shared" si="6"/>
        <v>3.3361309274024809E-3</v>
      </c>
      <c r="F14" s="249">
        <f t="shared" si="7"/>
        <v>-2.5480062609214649E-2</v>
      </c>
      <c r="G14" s="248">
        <f t="shared" si="8"/>
        <v>9.6185671276034501E-3</v>
      </c>
      <c r="H14" s="249">
        <f t="shared" si="9"/>
        <v>-6.2824362002009693E-3</v>
      </c>
      <c r="I14" s="248">
        <f t="shared" si="10"/>
        <v>7.6737745153227843E-2</v>
      </c>
      <c r="J14" s="249">
        <f t="shared" si="11"/>
        <v>-0.24738464647454883</v>
      </c>
      <c r="K14" s="248">
        <f t="shared" si="12"/>
        <v>0.2833957519837409</v>
      </c>
      <c r="L14" s="249">
        <f t="shared" si="13"/>
        <v>-0.20665800683051305</v>
      </c>
      <c r="M14" s="250"/>
      <c r="N14" s="24">
        <v>-1</v>
      </c>
      <c r="O14" s="248">
        <f t="shared" si="35"/>
        <v>-9.5545683081381227E-2</v>
      </c>
      <c r="P14" s="251">
        <f t="shared" si="36"/>
        <v>-9.5545683081381227E-2</v>
      </c>
      <c r="Q14" s="248">
        <f t="shared" si="14"/>
        <v>0.103913550693854</v>
      </c>
      <c r="R14" s="251">
        <f t="shared" si="37"/>
        <v>0.103913550693854</v>
      </c>
      <c r="S14" s="250"/>
      <c r="T14" s="24">
        <v>-1</v>
      </c>
      <c r="U14" s="248">
        <f t="shared" si="15"/>
        <v>0.20342002350191435</v>
      </c>
      <c r="V14" s="252">
        <f t="shared" si="16"/>
        <v>0.20342002350191435</v>
      </c>
      <c r="W14" s="248">
        <f t="shared" si="38"/>
        <v>0.4952824087140737</v>
      </c>
      <c r="X14" s="252">
        <f t="shared" si="17"/>
        <v>0.4952824087140737</v>
      </c>
      <c r="Y14" s="248">
        <f t="shared" si="18"/>
        <v>0.17439812096300633</v>
      </c>
      <c r="Z14" s="252">
        <f t="shared" si="19"/>
        <v>0.17439812096300633</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3</v>
      </c>
      <c r="AQ14" s="28">
        <f>VLOOKUP($A14,historia!$A$5:$CM$24,+HLOOKUP(AQ$2,historia!$A$3:$EC$4,2,FALSE),FALSE)</f>
        <v>3</v>
      </c>
      <c r="AR14" s="28">
        <f>VLOOKUP($A14,historia!$A$5:$CM$24,+HLOOKUP(AR$2,historia!$A$3:$EC$4,2,FALSE),FALSE)</f>
        <v>3</v>
      </c>
      <c r="AS14" s="28">
        <f>VLOOKUP($A14,historia!$A$5:$CM$24,+HLOOKUP(AS$2,historia!$A$3:$EC$4,2,FALSE),FALSE)</f>
        <v>3</v>
      </c>
      <c r="AT14" s="58">
        <f>VLOOKUP($A14,historia!$A$5:$CM$24,+HLOOKUP(AT$2,historia!$A$3:$EC$4,2,FALSE),FALSE)</f>
        <v>3</v>
      </c>
      <c r="AU14" s="58">
        <f>VLOOKUP($A14,historia!$A$5:$CM$24,+HLOOKUP(AU$2,historia!$A$3:$EC$4,2,FALSE),FALSE)</f>
        <v>3</v>
      </c>
      <c r="AV14" s="58">
        <f>VLOOKUP($A14,historia!$A$5:$DD$24,+HLOOKUP(AV$2,historia!$A$3:$EC$4,2,FALSE),FALSE)</f>
        <v>3</v>
      </c>
      <c r="AW14" s="58">
        <f>VLOOKUP($A14,historia!$A$5:$DD$24,+HLOOKUP(AW$2,historia!$A$3:$EC$4,2,FALSE),FALSE)</f>
        <v>3</v>
      </c>
      <c r="AX14" s="58">
        <f>VLOOKUP($A14,historia!$A$5:$DD$24,+HLOOKUP(AX$2,historia!$A$3:$EC$4,2,FALSE),FALSE)</f>
        <v>3</v>
      </c>
      <c r="AY14" s="58">
        <f>VLOOKUP($A14,historia!$A$5:$DD$24,+HLOOKUP(AY$2,historia!$A$3:$EC$4,2,FALSE),FALSE)</f>
        <v>3</v>
      </c>
      <c r="AZ14" s="58">
        <f>VLOOKUP($A14,historia!$A$5:$DG$24,+HLOOKUP(AZ$2,historia!$A$3:$EC$4,2,FALSE),FALSE)</f>
        <v>3</v>
      </c>
      <c r="BA14" s="58">
        <f>VLOOKUP($A14,historia!$A$5:$DG$24,+HLOOKUP(BA$2,historia!$A$3:$EC$4,2,FALSE),FALSE)</f>
        <v>4</v>
      </c>
      <c r="BB14" s="58"/>
      <c r="BC14" s="286">
        <v>4</v>
      </c>
      <c r="BD14" t="str">
        <f t="shared" si="20"/>
        <v>Leche</v>
      </c>
      <c r="BE14">
        <f>+datos!BN1</f>
        <v>66</v>
      </c>
      <c r="BF14" s="2" t="str">
        <f t="shared" si="4"/>
        <v>$/l</v>
      </c>
      <c r="BG14" s="487">
        <f t="shared" si="4"/>
        <v>478.19</v>
      </c>
      <c r="BH14" s="487">
        <f t="shared" si="4"/>
        <v>476.6</v>
      </c>
      <c r="BI14" s="487">
        <f t="shared" si="4"/>
        <v>444.11</v>
      </c>
      <c r="BK14" s="1">
        <f>+datos!EN1</f>
        <v>144</v>
      </c>
      <c r="BL14" s="1">
        <f t="shared" si="21"/>
        <v>2867103</v>
      </c>
      <c r="BM14" s="1">
        <f t="shared" si="21"/>
        <v>3169981</v>
      </c>
      <c r="BO14" s="1">
        <f>+datos!HP1</f>
        <v>224</v>
      </c>
      <c r="BP14" s="1">
        <f t="shared" si="22"/>
        <v>11701.975655930679</v>
      </c>
      <c r="BQ14" s="1">
        <f t="shared" si="22"/>
        <v>10600.445703900923</v>
      </c>
      <c r="BS14" s="1">
        <f>+datos!KH1</f>
        <v>294</v>
      </c>
      <c r="BT14" s="1">
        <f t="shared" si="39"/>
        <v>1929.8992968800001</v>
      </c>
      <c r="BU14" s="1">
        <f t="shared" si="40"/>
        <v>1603.6788978</v>
      </c>
      <c r="BW14" s="1">
        <f>+datos!LM1</f>
        <v>325</v>
      </c>
      <c r="BX14" s="2">
        <f t="shared" si="23"/>
        <v>28.325289429999998</v>
      </c>
      <c r="BY14" s="2">
        <f t="shared" si="24"/>
        <v>18.943103499999999</v>
      </c>
      <c r="CA14" s="1">
        <f>+datos!IN1</f>
        <v>248</v>
      </c>
      <c r="CB14" s="1">
        <f t="shared" si="25"/>
        <v>200</v>
      </c>
      <c r="CC14" s="1">
        <f t="shared" si="26"/>
        <v>170.3</v>
      </c>
      <c r="CD14" s="1"/>
      <c r="CE14">
        <f>+datos!DC1</f>
        <v>107</v>
      </c>
      <c r="CF14" s="2">
        <f t="shared" si="27"/>
        <v>13071.381654178194</v>
      </c>
      <c r="CG14" s="2">
        <f t="shared" si="27"/>
        <v>12946.851493992119</v>
      </c>
      <c r="CH14" s="2">
        <f t="shared" si="27"/>
        <v>10184.99682110822</v>
      </c>
      <c r="CI14" s="1"/>
      <c r="CK14" s="1">
        <f t="shared" si="28"/>
        <v>160.91833684000002</v>
      </c>
      <c r="CL14" s="1">
        <f t="shared" si="28"/>
        <v>210.79864256000005</v>
      </c>
      <c r="CM14" s="1">
        <f t="shared" si="28"/>
        <v>166.84903940999999</v>
      </c>
      <c r="CN14" s="1">
        <f t="shared" si="28"/>
        <v>210.64847638000006</v>
      </c>
      <c r="CO14" s="1">
        <f t="shared" si="28"/>
        <v>202.06812983999998</v>
      </c>
      <c r="CP14" s="1">
        <f t="shared" si="28"/>
        <v>166.18279023000005</v>
      </c>
      <c r="CQ14" s="1">
        <f t="shared" si="28"/>
        <v>145.54293837</v>
      </c>
      <c r="CR14" s="1">
        <f t="shared" si="28"/>
        <v>161.52973046</v>
      </c>
      <c r="CS14" s="1">
        <f t="shared" si="28"/>
        <v>135.14119298</v>
      </c>
      <c r="CT14" s="1">
        <f t="shared" si="28"/>
        <v>121.87302321000003</v>
      </c>
      <c r="CU14" s="1">
        <f t="shared" si="28"/>
        <v>90.118424640000015</v>
      </c>
      <c r="CV14" s="1">
        <f t="shared" si="28"/>
        <v>158.22857195999995</v>
      </c>
      <c r="CW14" s="1">
        <f t="shared" si="28"/>
        <v>133.12937443000001</v>
      </c>
      <c r="CX14" s="1">
        <f t="shared" si="28"/>
        <v>150.81206259999999</v>
      </c>
      <c r="CY14" s="1">
        <f t="shared" si="28"/>
        <v>173.78517034999999</v>
      </c>
      <c r="CZ14" s="1">
        <f t="shared" si="28"/>
        <v>162.27196751000002</v>
      </c>
      <c r="DA14" s="1">
        <f t="shared" si="29"/>
        <v>136.36151781000004</v>
      </c>
      <c r="DB14" s="1">
        <f t="shared" si="29"/>
        <v>114.33182424</v>
      </c>
      <c r="DC14" s="1">
        <f t="shared" si="29"/>
        <v>131.64359017999999</v>
      </c>
      <c r="DD14" s="1">
        <f t="shared" si="29"/>
        <v>102.41564730000002</v>
      </c>
      <c r="DE14" s="1">
        <f t="shared" si="29"/>
        <v>113.57779348999999</v>
      </c>
      <c r="DF14" s="1">
        <f t="shared" si="29"/>
        <v>118.3786056</v>
      </c>
      <c r="DG14" s="1">
        <f t="shared" si="29"/>
        <v>126.46519539000002</v>
      </c>
      <c r="DH14" s="1">
        <f t="shared" si="29"/>
        <v>140.50614890000003</v>
      </c>
      <c r="DJ14" s="1">
        <f t="shared" si="30"/>
        <v>2.4748885299999999</v>
      </c>
      <c r="DK14" s="1">
        <f t="shared" si="30"/>
        <v>1.7114282299999999</v>
      </c>
      <c r="DL14" s="1">
        <f t="shared" si="30"/>
        <v>1.7294343599999999</v>
      </c>
      <c r="DM14" s="1">
        <f t="shared" si="30"/>
        <v>2.2980596799999997</v>
      </c>
      <c r="DN14" s="1">
        <f t="shared" si="30"/>
        <v>2.7814752500000006</v>
      </c>
      <c r="DO14" s="1">
        <f t="shared" si="30"/>
        <v>1.95823569</v>
      </c>
      <c r="DP14" s="1">
        <f t="shared" si="30"/>
        <v>2.3716850700000007</v>
      </c>
      <c r="DQ14" s="1">
        <f t="shared" si="30"/>
        <v>3.2200157200000006</v>
      </c>
      <c r="DR14" s="1">
        <f t="shared" si="30"/>
        <v>2.3449699800000001</v>
      </c>
      <c r="DS14" s="1">
        <f t="shared" si="30"/>
        <v>1.8496573299999999</v>
      </c>
      <c r="DT14" s="1">
        <f t="shared" si="30"/>
        <v>2.6840408</v>
      </c>
      <c r="DU14" s="1">
        <f t="shared" si="30"/>
        <v>2.90139879</v>
      </c>
      <c r="DV14" s="1">
        <f t="shared" si="30"/>
        <v>2.9139955600000005</v>
      </c>
      <c r="DW14" s="1">
        <f t="shared" si="30"/>
        <v>1.6254967600000001</v>
      </c>
      <c r="DX14" s="1">
        <f t="shared" si="30"/>
        <v>2.6289957100000003</v>
      </c>
      <c r="DY14" s="1">
        <f t="shared" si="30"/>
        <v>0.92402921999999987</v>
      </c>
      <c r="DZ14" s="1">
        <f t="shared" si="31"/>
        <v>1.0080099199999999</v>
      </c>
      <c r="EA14" s="1">
        <f t="shared" si="31"/>
        <v>0.81005326000000022</v>
      </c>
      <c r="EB14" s="1">
        <f t="shared" si="31"/>
        <v>2.5429137699999997</v>
      </c>
      <c r="EC14" s="1">
        <f t="shared" si="31"/>
        <v>0.83472519000000012</v>
      </c>
      <c r="ED14" s="1">
        <f t="shared" si="31"/>
        <v>1.6658761100000001</v>
      </c>
      <c r="EE14" s="1">
        <f t="shared" si="31"/>
        <v>1.6724867599999997</v>
      </c>
      <c r="EF14" s="1">
        <f t="shared" si="31"/>
        <v>1.92660527</v>
      </c>
      <c r="EG14" s="1">
        <f t="shared" si="31"/>
        <v>0.38991597</v>
      </c>
      <c r="EI14" s="14">
        <f t="shared" si="32"/>
        <v>200</v>
      </c>
      <c r="EJ14" s="14">
        <f t="shared" si="32"/>
        <v>181.1</v>
      </c>
      <c r="EK14" s="1">
        <f t="shared" si="32"/>
        <v>182.5</v>
      </c>
      <c r="EL14" s="1">
        <f t="shared" si="32"/>
        <v>179.9</v>
      </c>
      <c r="EM14" s="1">
        <f t="shared" si="32"/>
        <v>182.6</v>
      </c>
      <c r="EN14" s="1">
        <f t="shared" si="32"/>
        <v>185.2</v>
      </c>
      <c r="EO14" s="1">
        <f t="shared" si="32"/>
        <v>188.7</v>
      </c>
      <c r="EP14" s="1">
        <f t="shared" si="32"/>
        <v>191.3</v>
      </c>
      <c r="EQ14" s="1">
        <f t="shared" si="32"/>
        <v>195.7</v>
      </c>
      <c r="ER14" s="1">
        <f t="shared" si="32"/>
        <v>194.1</v>
      </c>
      <c r="ES14" s="1">
        <f t="shared" si="32"/>
        <v>191</v>
      </c>
      <c r="ET14" s="1">
        <f t="shared" si="32"/>
        <v>181.1</v>
      </c>
      <c r="EU14" s="1">
        <f t="shared" si="32"/>
        <v>170.3</v>
      </c>
      <c r="EV14" s="1">
        <f t="shared" si="32"/>
        <v>170.9</v>
      </c>
      <c r="EW14" s="1">
        <f t="shared" si="32"/>
        <v>168.7</v>
      </c>
      <c r="EX14" s="1">
        <f t="shared" si="32"/>
        <v>160.6</v>
      </c>
      <c r="EY14" s="1">
        <f t="shared" si="33"/>
        <v>160.6</v>
      </c>
      <c r="EZ14" s="1">
        <f t="shared" si="33"/>
        <v>160.6</v>
      </c>
      <c r="FA14" s="1">
        <f t="shared" si="33"/>
        <v>160.6</v>
      </c>
      <c r="FB14" s="1">
        <f t="shared" si="33"/>
        <v>156.30000000000001</v>
      </c>
      <c r="FC14" s="1">
        <f t="shared" si="33"/>
        <v>155.80000000000001</v>
      </c>
      <c r="FD14" s="1">
        <f t="shared" si="33"/>
        <v>159.5</v>
      </c>
      <c r="FE14" s="1">
        <f t="shared" si="33"/>
        <v>170.8</v>
      </c>
      <c r="FF14" s="1">
        <f t="shared" si="33"/>
        <v>170.8</v>
      </c>
      <c r="FH14" s="162">
        <f t="shared" si="34"/>
        <v>-0.20665800683051305</v>
      </c>
    </row>
    <row r="15" spans="1:164" ht="18.75" customHeight="1">
      <c r="A15" s="244" t="s">
        <v>68</v>
      </c>
      <c r="B15" s="247"/>
      <c r="C15" s="228">
        <v>0</v>
      </c>
      <c r="D15" s="229">
        <v>-1</v>
      </c>
      <c r="E15" s="253">
        <f t="shared" si="6"/>
        <v>0.16799042541616815</v>
      </c>
      <c r="F15" s="254">
        <f t="shared" si="7"/>
        <v>0.13917423187955102</v>
      </c>
      <c r="G15" s="253">
        <f t="shared" si="8"/>
        <v>3.5305417547489837E-2</v>
      </c>
      <c r="H15" s="254">
        <f t="shared" si="9"/>
        <v>0.13268500786867832</v>
      </c>
      <c r="I15" s="253">
        <f t="shared" si="10"/>
        <v>0.81500377928949352</v>
      </c>
      <c r="J15" s="254">
        <f t="shared" si="11"/>
        <v>0.49088138766171685</v>
      </c>
      <c r="K15" s="253">
        <f t="shared" si="12"/>
        <v>0.40346507888825678</v>
      </c>
      <c r="L15" s="254">
        <f t="shared" si="13"/>
        <v>0.41153870040123675</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1.6776322629867293</v>
      </c>
      <c r="X15" s="258">
        <f t="shared" si="17"/>
        <v>1.6776322629867293</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5</v>
      </c>
      <c r="AQ15" s="28">
        <f>VLOOKUP($A15,historia!$A$5:$CM$24,+HLOOKUP(AQ$2,historia!$A$3:$EC$4,2,FALSE),FALSE)</f>
        <v>4</v>
      </c>
      <c r="AR15" s="28">
        <f>VLOOKUP($A15,historia!$A$5:$CM$24,+HLOOKUP(AR$2,historia!$A$3:$EC$4,2,FALSE),FALSE)</f>
        <v>4</v>
      </c>
      <c r="AS15" s="28">
        <f>VLOOKUP($A15,historia!$A$5:$CM$24,+HLOOKUP(AS$2,historia!$A$3:$EC$4,2,FALSE),FALSE)</f>
        <v>4</v>
      </c>
      <c r="AT15" s="58">
        <f>VLOOKUP($A15,historia!$A$5:$CM$24,+HLOOKUP(AT$2,historia!$A$3:$EC$4,2,FALSE),FALSE)</f>
        <v>4</v>
      </c>
      <c r="AU15" s="58">
        <f>VLOOKUP($A15,historia!$A$5:$CM$24,+HLOOKUP(AU$2,historia!$A$3:$EC$4,2,FALSE),FALSE)</f>
        <v>4</v>
      </c>
      <c r="AV15" s="58">
        <f>VLOOKUP($A15,historia!$A$5:$DD$24,+HLOOKUP(AV$2,historia!$A$3:$EC$4,2,FALSE),FALSE)</f>
        <v>3</v>
      </c>
      <c r="AW15" s="58">
        <f>VLOOKUP($A15,historia!$A$5:$DD$24,+HLOOKUP(AW$2,historia!$A$3:$EC$4,2,FALSE),FALSE)</f>
        <v>3</v>
      </c>
      <c r="AX15" s="58">
        <f>VLOOKUP($A15,historia!$A$5:$DD$24,+HLOOKUP(AX$2,historia!$A$3:$EC$4,2,FALSE),FALSE)</f>
        <v>3</v>
      </c>
      <c r="AY15" s="58">
        <f>VLOOKUP($A15,historia!$A$5:$DD$24,+HLOOKUP(AY$2,historia!$A$3:$EC$4,2,FALSE),FALSE)</f>
        <v>3</v>
      </c>
      <c r="AZ15" s="58">
        <f>VLOOKUP($A15,historia!$A$5:$DG$24,+HLOOKUP(AZ$2,historia!$A$3:$EC$4,2,FALSE),FALSE)</f>
        <v>3</v>
      </c>
      <c r="BA15" s="58">
        <f>VLOOKUP($A15,historia!$A$5:$DG$24,+HLOOKUP(BA$2,historia!$A$3:$EC$4,2,FALSE),FALSE)</f>
        <v>3</v>
      </c>
      <c r="BB15" s="58"/>
      <c r="BC15" s="286">
        <v>3</v>
      </c>
      <c r="BD15" t="str">
        <f t="shared" si="20"/>
        <v>Mandioca</v>
      </c>
      <c r="BE15">
        <f>+datos!AW1</f>
        <v>49</v>
      </c>
      <c r="BF15" s="2" t="str">
        <f t="shared" si="4"/>
        <v>$/bolsa40kg</v>
      </c>
      <c r="BG15" s="2">
        <f t="shared" si="4"/>
        <v>16142.857142857143</v>
      </c>
      <c r="BH15" s="2">
        <f t="shared" si="4"/>
        <v>13821.052631578947</v>
      </c>
      <c r="BI15" s="2">
        <f t="shared" si="4"/>
        <v>8894.1176470588234</v>
      </c>
      <c r="BK15" s="1">
        <f>+datos!EY1</f>
        <v>155</v>
      </c>
      <c r="BL15" s="1">
        <f t="shared" si="21"/>
        <v>20031</v>
      </c>
      <c r="BM15" s="1">
        <f t="shared" si="21"/>
        <v>20031</v>
      </c>
      <c r="BO15" s="1">
        <f>+datos!GO1</f>
        <v>197</v>
      </c>
      <c r="BP15" s="1">
        <f t="shared" si="22"/>
        <v>201734</v>
      </c>
      <c r="BQ15" s="1">
        <f t="shared" si="22"/>
        <v>201734</v>
      </c>
      <c r="BS15" s="1">
        <f>+datos!JP1</f>
        <v>276</v>
      </c>
      <c r="BT15" s="1">
        <f t="shared" si="39"/>
        <v>2.5000000000000001E-3</v>
      </c>
      <c r="BU15" s="1">
        <f t="shared" si="40"/>
        <v>0</v>
      </c>
      <c r="BW15" s="1">
        <f>+datos!KU1</f>
        <v>307</v>
      </c>
      <c r="BX15" s="2">
        <f t="shared" si="23"/>
        <v>4.0311024600000005</v>
      </c>
      <c r="BY15" s="2">
        <f t="shared" si="24"/>
        <v>1.5054727700000001</v>
      </c>
      <c r="CA15" s="1">
        <f>+datos!IY1</f>
        <v>259</v>
      </c>
      <c r="CB15" s="1">
        <f t="shared" si="25"/>
        <v>1.88</v>
      </c>
      <c r="CC15" s="1">
        <f t="shared" si="26"/>
        <v>1.88</v>
      </c>
      <c r="CD15" s="1"/>
      <c r="CE15">
        <f>+datos!CJ1</f>
        <v>88</v>
      </c>
      <c r="CF15" s="2">
        <f t="shared" si="27"/>
        <v>12111.955963412089</v>
      </c>
      <c r="CG15" s="2">
        <f t="shared" si="27"/>
        <v>11698.920683815033</v>
      </c>
      <c r="CH15" s="2">
        <f t="shared" si="27"/>
        <v>8630.0372881429121</v>
      </c>
      <c r="CI15" s="1"/>
      <c r="CK15" s="1">
        <f t="shared" si="28"/>
        <v>0</v>
      </c>
      <c r="CL15" s="1">
        <f t="shared" si="28"/>
        <v>2.5000000000000001E-3</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8"/>
        <v>0</v>
      </c>
      <c r="DA15" s="1">
        <f t="shared" si="29"/>
        <v>0</v>
      </c>
      <c r="DB15" s="1">
        <f t="shared" si="29"/>
        <v>0</v>
      </c>
      <c r="DC15" s="1">
        <f t="shared" si="29"/>
        <v>0</v>
      </c>
      <c r="DD15" s="1">
        <f t="shared" si="29"/>
        <v>0</v>
      </c>
      <c r="DE15" s="1">
        <f t="shared" si="29"/>
        <v>0</v>
      </c>
      <c r="DF15" s="1">
        <f t="shared" si="29"/>
        <v>0</v>
      </c>
      <c r="DG15" s="1">
        <f t="shared" si="29"/>
        <v>0</v>
      </c>
      <c r="DH15" s="1">
        <f t="shared" si="29"/>
        <v>0</v>
      </c>
      <c r="DJ15" s="14">
        <f t="shared" si="30"/>
        <v>0.35343590000000003</v>
      </c>
      <c r="DK15" s="14">
        <f t="shared" si="30"/>
        <v>0.46571231000000002</v>
      </c>
      <c r="DL15" s="1">
        <f t="shared" si="30"/>
        <v>0.27804433999999995</v>
      </c>
      <c r="DM15" s="1">
        <f t="shared" si="30"/>
        <v>0.43603392000000002</v>
      </c>
      <c r="DN15" s="1">
        <f t="shared" si="30"/>
        <v>0.45279353000000006</v>
      </c>
      <c r="DO15" s="1">
        <f t="shared" si="30"/>
        <v>0.30456642</v>
      </c>
      <c r="DP15" s="1">
        <f t="shared" si="30"/>
        <v>0.53543670999999993</v>
      </c>
      <c r="DQ15" s="1">
        <f t="shared" si="30"/>
        <v>0.43177300000000002</v>
      </c>
      <c r="DR15" s="1">
        <f t="shared" si="30"/>
        <v>0.33740116000000003</v>
      </c>
      <c r="DS15" s="1">
        <f t="shared" si="30"/>
        <v>0.28762799999999999</v>
      </c>
      <c r="DT15" s="1">
        <f t="shared" si="30"/>
        <v>0.10344400999999999</v>
      </c>
      <c r="DU15" s="1">
        <f t="shared" si="30"/>
        <v>4.4833160000000004E-2</v>
      </c>
      <c r="DV15" s="1">
        <f t="shared" si="30"/>
        <v>0.14172798</v>
      </c>
      <c r="DW15" s="1">
        <f t="shared" si="30"/>
        <v>7.4560410000000008E-2</v>
      </c>
      <c r="DX15" s="1">
        <f t="shared" si="30"/>
        <v>0.28059129999999999</v>
      </c>
      <c r="DY15" s="1">
        <f t="shared" si="30"/>
        <v>0.15169276000000001</v>
      </c>
      <c r="DZ15" s="1">
        <f t="shared" si="31"/>
        <v>0.14711371000000001</v>
      </c>
      <c r="EA15" s="1">
        <f t="shared" si="31"/>
        <v>0.18175015000000003</v>
      </c>
      <c r="EB15" s="1">
        <f t="shared" si="31"/>
        <v>0.15569543999999999</v>
      </c>
      <c r="EC15" s="1">
        <f t="shared" si="31"/>
        <v>0.1712014</v>
      </c>
      <c r="ED15" s="1">
        <f t="shared" si="31"/>
        <v>0.12198517</v>
      </c>
      <c r="EE15" s="1">
        <f t="shared" si="31"/>
        <v>1.6812999999999999E-3</v>
      </c>
      <c r="EF15" s="1">
        <f t="shared" si="31"/>
        <v>2.8195380000000003E-2</v>
      </c>
      <c r="EG15" s="1">
        <f t="shared" si="31"/>
        <v>4.9277770000000005E-2</v>
      </c>
      <c r="EI15" s="14">
        <f t="shared" si="32"/>
        <v>1.88</v>
      </c>
      <c r="EJ15" s="14">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2"/>
        <v>1.88</v>
      </c>
      <c r="EY15" s="1">
        <f t="shared" si="33"/>
        <v>1.88</v>
      </c>
      <c r="EZ15" s="1">
        <f t="shared" si="33"/>
        <v>1.88</v>
      </c>
      <c r="FA15" s="1">
        <f t="shared" si="33"/>
        <v>1.88</v>
      </c>
      <c r="FB15" s="1">
        <f t="shared" si="33"/>
        <v>1.88</v>
      </c>
      <c r="FC15" s="1">
        <f t="shared" si="33"/>
        <v>1.88</v>
      </c>
      <c r="FD15" s="1">
        <f t="shared" si="33"/>
        <v>1.88</v>
      </c>
      <c r="FE15" s="1">
        <f t="shared" si="33"/>
        <v>1.88</v>
      </c>
      <c r="FF15" s="1">
        <f t="shared" si="33"/>
        <v>1.88</v>
      </c>
      <c r="FH15" s="162">
        <f t="shared" si="34"/>
        <v>0.41153870040123675</v>
      </c>
    </row>
    <row r="16" spans="1:164" ht="18" customHeight="1">
      <c r="A16" s="243" t="s">
        <v>25</v>
      </c>
      <c r="B16" s="246"/>
      <c r="C16" s="156">
        <f t="shared" si="5"/>
        <v>-0.66</v>
      </c>
      <c r="D16" s="198">
        <v>-1</v>
      </c>
      <c r="E16" s="248">
        <f t="shared" si="6"/>
        <v>1.4163526703509399E-2</v>
      </c>
      <c r="F16" s="249">
        <f t="shared" si="7"/>
        <v>-1.465266683310773E-2</v>
      </c>
      <c r="G16" s="248">
        <f t="shared" si="8"/>
        <v>5.5159812701406352E-3</v>
      </c>
      <c r="H16" s="249">
        <f t="shared" si="9"/>
        <v>8.647545433368764E-3</v>
      </c>
      <c r="I16" s="248">
        <f t="shared" si="10"/>
        <v>-5.4630802867714379E-2</v>
      </c>
      <c r="J16" s="249">
        <f t="shared" si="11"/>
        <v>-0.37875319449549105</v>
      </c>
      <c r="K16" s="248">
        <f t="shared" si="12"/>
        <v>0.19692534849781418</v>
      </c>
      <c r="L16" s="249">
        <f t="shared" si="13"/>
        <v>-0.25155615136552856</v>
      </c>
      <c r="M16" s="250"/>
      <c r="N16" s="24">
        <v>1</v>
      </c>
      <c r="O16" s="248">
        <f t="shared" si="35"/>
        <v>-0.25368839092147422</v>
      </c>
      <c r="P16" s="251">
        <f t="shared" si="36"/>
        <v>-0.25368839092147422</v>
      </c>
      <c r="Q16" s="248">
        <f t="shared" si="14"/>
        <v>-0.13425129087779686</v>
      </c>
      <c r="R16" s="251">
        <f t="shared" si="37"/>
        <v>-0.13425129087779686</v>
      </c>
      <c r="S16" s="250"/>
      <c r="T16" s="24">
        <v>-2</v>
      </c>
      <c r="U16" s="248">
        <f t="shared" si="15"/>
        <v>1.4966353027749957E-3</v>
      </c>
      <c r="V16" s="252">
        <f t="shared" si="16"/>
        <v>1.4966353027749957E-3</v>
      </c>
      <c r="W16" s="248">
        <f>IFERROR(+BX16/BY16-1,"")</f>
        <v>0.11913896023327708</v>
      </c>
      <c r="X16" s="258">
        <f t="shared" si="17"/>
        <v>0.11913896023327708</v>
      </c>
      <c r="Y16" s="248">
        <f t="shared" si="18"/>
        <v>0.14970059880239517</v>
      </c>
      <c r="Z16" s="252">
        <f t="shared" si="19"/>
        <v>0.14970059880239517</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2</v>
      </c>
      <c r="AQ16" s="28">
        <f>VLOOKUP($A16,historia!$A$5:$CM$24,+HLOOKUP(AQ$2,historia!$A$3:$EC$4,2,FALSE),FALSE)</f>
        <v>3</v>
      </c>
      <c r="AR16" s="28">
        <f>VLOOKUP($A16,historia!$A$5:$CM$24,+HLOOKUP(AR$2,historia!$A$3:$EC$4,2,FALSE),FALSE)</f>
        <v>3</v>
      </c>
      <c r="AS16" s="28">
        <f>VLOOKUP($A16,historia!$A$5:$CM$24,+HLOOKUP(AS$2,historia!$A$3:$EC$4,2,FALSE),FALSE)</f>
        <v>3</v>
      </c>
      <c r="AT16" s="58">
        <f>VLOOKUP($A16,historia!$A$5:$CM$24,+HLOOKUP(AT$2,historia!$A$3:$EC$4,2,FALSE),FALSE)</f>
        <v>3</v>
      </c>
      <c r="AU16" s="58">
        <f>VLOOKUP($A16,historia!$A$5:$CM$24,+HLOOKUP(AU$2,historia!$A$3:$EC$4,2,FALSE),FALSE)</f>
        <v>3</v>
      </c>
      <c r="AV16" s="58">
        <f>VLOOKUP($A16,historia!$A$5:$DD$24,+HLOOKUP(AV$2,historia!$A$3:$EC$4,2,FALSE),FALSE)</f>
        <v>3</v>
      </c>
      <c r="AW16" s="58">
        <f>VLOOKUP($A16,historia!$A$5:$DD$24,+HLOOKUP(AW$2,historia!$A$3:$EC$4,2,FALSE),FALSE)</f>
        <v>3</v>
      </c>
      <c r="AX16" s="58">
        <f>VLOOKUP($A16,historia!$A$5:$DD$24,+HLOOKUP(AX$2,historia!$A$3:$EC$4,2,FALSE),FALSE)</f>
        <v>3</v>
      </c>
      <c r="AY16" s="58">
        <f>VLOOKUP($A16,historia!$A$5:$DD$24,+HLOOKUP(AY$2,historia!$A$3:$EC$4,2,FALSE),FALSE)</f>
        <v>3</v>
      </c>
      <c r="AZ16" s="58">
        <f>VLOOKUP($A16,historia!$A$5:$DG$24,+HLOOKUP(AZ$2,historia!$A$3:$EC$4,2,FALSE),FALSE)</f>
        <v>3</v>
      </c>
      <c r="BA16" s="58">
        <f>VLOOKUP($A16,historia!$A$5:$DG$24,+HLOOKUP(BA$2,historia!$A$3:$EC$4,2,FALSE),FALSE)</f>
        <v>4</v>
      </c>
      <c r="BB16" s="58"/>
      <c r="BC16" s="286">
        <v>4</v>
      </c>
      <c r="BD16" t="str">
        <f t="shared" si="20"/>
        <v>Maní</v>
      </c>
      <c r="BE16">
        <f>+datos!AF1</f>
        <v>32</v>
      </c>
      <c r="BF16" s="2" t="str">
        <f t="shared" si="4"/>
        <v>$/t</v>
      </c>
      <c r="BG16" s="2">
        <f t="shared" si="4"/>
        <v>860015.59380000003</v>
      </c>
      <c r="BH16" s="2">
        <f t="shared" si="4"/>
        <v>848004.85440000007</v>
      </c>
      <c r="BI16" s="2">
        <f t="shared" si="4"/>
        <v>909714</v>
      </c>
      <c r="BK16" s="1">
        <f>+datos!EB1</f>
        <v>132</v>
      </c>
      <c r="BL16" s="1">
        <f t="shared" si="21"/>
        <v>389000</v>
      </c>
      <c r="BM16" s="1">
        <f t="shared" si="21"/>
        <v>521230</v>
      </c>
      <c r="BO16" s="1">
        <f>+datos!FW1</f>
        <v>179</v>
      </c>
      <c r="BP16" s="1">
        <f t="shared" si="22"/>
        <v>1389286</v>
      </c>
      <c r="BQ16" s="1">
        <f t="shared" si="22"/>
        <v>1604722</v>
      </c>
      <c r="BS16" s="1">
        <f>+datos!JK1</f>
        <v>271</v>
      </c>
      <c r="BT16" s="1">
        <f t="shared" si="39"/>
        <v>1378.2471603399999</v>
      </c>
      <c r="BU16" s="1">
        <f t="shared" si="40"/>
        <v>1376.1875095299995</v>
      </c>
      <c r="BW16" s="1">
        <f>+datos!KP1</f>
        <v>302</v>
      </c>
      <c r="BX16" s="2">
        <f t="shared" si="23"/>
        <v>1.8513389600000001</v>
      </c>
      <c r="BY16" s="2">
        <f t="shared" si="24"/>
        <v>1.6542529799999999</v>
      </c>
      <c r="CA16" s="1">
        <f>+datos!IJ1</f>
        <v>244</v>
      </c>
      <c r="CB16" s="1">
        <f t="shared" si="25"/>
        <v>2.4791954184468667</v>
      </c>
      <c r="CC16" s="1">
        <f t="shared" si="26"/>
        <v>2.1563835150032644</v>
      </c>
      <c r="CD16" s="1"/>
      <c r="CE16">
        <f>+datos!CH1</f>
        <v>86</v>
      </c>
      <c r="CF16" s="2">
        <f t="shared" si="27"/>
        <v>12993.051809481914</v>
      </c>
      <c r="CG16" s="2">
        <f t="shared" si="27"/>
        <v>12921.775537639334</v>
      </c>
      <c r="CH16" s="2">
        <f t="shared" si="27"/>
        <v>10855.356874001103</v>
      </c>
      <c r="CI16" s="1"/>
      <c r="CK16" s="1">
        <f t="shared" si="28"/>
        <v>106.44432842999998</v>
      </c>
      <c r="CL16" s="1">
        <f t="shared" si="28"/>
        <v>109.63040427999998</v>
      </c>
      <c r="CM16" s="1">
        <f t="shared" si="28"/>
        <v>107.51173679000001</v>
      </c>
      <c r="CN16" s="1">
        <f t="shared" si="28"/>
        <v>153.65977728999999</v>
      </c>
      <c r="CO16" s="1">
        <f t="shared" si="28"/>
        <v>137.05460552</v>
      </c>
      <c r="CP16" s="1">
        <f t="shared" si="28"/>
        <v>119.79773589000003</v>
      </c>
      <c r="CQ16" s="1">
        <f t="shared" si="28"/>
        <v>108.38462631999997</v>
      </c>
      <c r="CR16" s="1">
        <f t="shared" si="28"/>
        <v>110.53778464999999</v>
      </c>
      <c r="CS16" s="1">
        <f t="shared" si="28"/>
        <v>97.139552130000013</v>
      </c>
      <c r="CT16" s="1">
        <f t="shared" si="28"/>
        <v>94.262180470000018</v>
      </c>
      <c r="CU16" s="1">
        <f t="shared" si="28"/>
        <v>104.16408064999997</v>
      </c>
      <c r="CV16" s="1">
        <f t="shared" si="28"/>
        <v>129.66034791999999</v>
      </c>
      <c r="CW16" s="1">
        <f t="shared" si="28"/>
        <v>100.29183523999998</v>
      </c>
      <c r="CX16" s="1">
        <f t="shared" si="28"/>
        <v>142.99991008000001</v>
      </c>
      <c r="CY16" s="1">
        <f t="shared" si="28"/>
        <v>153.43391492999999</v>
      </c>
      <c r="CZ16" s="1">
        <f t="shared" si="28"/>
        <v>142.09253510999997</v>
      </c>
      <c r="DA16" s="1">
        <f t="shared" si="29"/>
        <v>155.33708399000002</v>
      </c>
      <c r="DB16" s="1">
        <f t="shared" si="29"/>
        <v>156.99934678</v>
      </c>
      <c r="DC16" s="1">
        <f t="shared" si="29"/>
        <v>115.53726275000001</v>
      </c>
      <c r="DD16" s="1">
        <f t="shared" si="29"/>
        <v>98.487414479999984</v>
      </c>
      <c r="DE16" s="1">
        <f t="shared" si="29"/>
        <v>63.473924160000003</v>
      </c>
      <c r="DF16" s="1">
        <f t="shared" si="29"/>
        <v>65.127016839999982</v>
      </c>
      <c r="DG16" s="1">
        <f t="shared" si="29"/>
        <v>70.784594500000011</v>
      </c>
      <c r="DH16" s="1">
        <f t="shared" si="29"/>
        <v>111.62267066999999</v>
      </c>
      <c r="DJ16" s="1">
        <f t="shared" si="30"/>
        <v>3.5242930000000006E-2</v>
      </c>
      <c r="DK16" s="1">
        <f t="shared" si="30"/>
        <v>4.2275489999999999E-2</v>
      </c>
      <c r="DL16" s="1">
        <f t="shared" si="30"/>
        <v>2.1048300000000002E-3</v>
      </c>
      <c r="DM16" s="1">
        <f t="shared" si="30"/>
        <v>9.9999999999999995E-7</v>
      </c>
      <c r="DN16" s="1">
        <f t="shared" si="30"/>
        <v>0.27773459</v>
      </c>
      <c r="DO16" s="1">
        <f t="shared" si="30"/>
        <v>0.19844290000000001</v>
      </c>
      <c r="DP16" s="1">
        <f t="shared" si="30"/>
        <v>0.14424532000000001</v>
      </c>
      <c r="DQ16" s="1">
        <f t="shared" si="30"/>
        <v>5.4312239999999998E-2</v>
      </c>
      <c r="DR16" s="1">
        <f t="shared" si="30"/>
        <v>1.9420499999999999E-3</v>
      </c>
      <c r="DS16" s="1">
        <f t="shared" si="30"/>
        <v>1.0560452</v>
      </c>
      <c r="DT16" s="1">
        <f t="shared" si="30"/>
        <v>3.8992409999999998E-2</v>
      </c>
      <c r="DU16" s="1">
        <f t="shared" si="30"/>
        <v>0</v>
      </c>
      <c r="DV16" s="1">
        <f t="shared" si="30"/>
        <v>5.2225250000000001E-2</v>
      </c>
      <c r="DW16" s="1">
        <f t="shared" si="30"/>
        <v>0.22862400000000002</v>
      </c>
      <c r="DX16" s="1">
        <f t="shared" si="30"/>
        <v>2.6527899999999999E-3</v>
      </c>
      <c r="DY16" s="1">
        <f t="shared" si="30"/>
        <v>1.6271E-3</v>
      </c>
      <c r="DZ16" s="1">
        <f t="shared" si="31"/>
        <v>0.13444175</v>
      </c>
      <c r="EA16" s="1">
        <f t="shared" si="31"/>
        <v>4.2737620000000004E-2</v>
      </c>
      <c r="EB16" s="1">
        <f t="shared" si="31"/>
        <v>8.6628999999999998E-2</v>
      </c>
      <c r="EC16" s="1">
        <f t="shared" si="31"/>
        <v>8.4906640000000005E-2</v>
      </c>
      <c r="ED16" s="1">
        <f t="shared" si="31"/>
        <v>8.714181E-2</v>
      </c>
      <c r="EE16" s="1">
        <f t="shared" si="31"/>
        <v>0.111375</v>
      </c>
      <c r="EF16" s="1">
        <f t="shared" si="31"/>
        <v>0.12514284000000001</v>
      </c>
      <c r="EG16" s="1">
        <f t="shared" si="31"/>
        <v>0.69674917999999986</v>
      </c>
      <c r="EI16" s="14">
        <f t="shared" si="32"/>
        <v>2.4791954184468667</v>
      </c>
      <c r="EJ16" s="14">
        <f t="shared" si="32"/>
        <v>2.4791954184468667</v>
      </c>
      <c r="EK16" s="1">
        <f t="shared" si="32"/>
        <v>2.4791954184468667</v>
      </c>
      <c r="EL16" s="1">
        <f t="shared" si="32"/>
        <v>2.4791954184468667</v>
      </c>
      <c r="EM16" s="1">
        <f t="shared" si="32"/>
        <v>2.3888080854826579</v>
      </c>
      <c r="EN16" s="1">
        <f t="shared" si="32"/>
        <v>2.3888080854826579</v>
      </c>
      <c r="EO16" s="1">
        <f t="shared" si="32"/>
        <v>2.3888080854826579</v>
      </c>
      <c r="EP16" s="1">
        <f t="shared" si="32"/>
        <v>2.3888080854826579</v>
      </c>
      <c r="EQ16" s="1">
        <f t="shared" si="32"/>
        <v>2.3888080854826579</v>
      </c>
      <c r="ER16" s="1">
        <f t="shared" si="32"/>
        <v>2.3888080854826579</v>
      </c>
      <c r="ES16" s="1">
        <f t="shared" si="32"/>
        <v>2.1563835150032644</v>
      </c>
      <c r="ET16" s="1">
        <f t="shared" si="32"/>
        <v>2.1563835150032644</v>
      </c>
      <c r="EU16" s="1">
        <f t="shared" si="32"/>
        <v>2.1563835150032644</v>
      </c>
      <c r="EV16" s="1">
        <f t="shared" si="32"/>
        <v>2.1563835150032644</v>
      </c>
      <c r="EW16" s="1">
        <f t="shared" si="32"/>
        <v>2.1563835150032644</v>
      </c>
      <c r="EX16" s="1">
        <f t="shared" si="32"/>
        <v>2.1563835150032644</v>
      </c>
      <c r="EY16" s="1">
        <f t="shared" si="33"/>
        <v>2.1563835150032644</v>
      </c>
      <c r="EZ16" s="1">
        <f t="shared" si="33"/>
        <v>2.1563835150032644</v>
      </c>
      <c r="FA16" s="1">
        <f t="shared" si="33"/>
        <v>2.1563835150032644</v>
      </c>
      <c r="FB16" s="1">
        <f t="shared" si="33"/>
        <v>2.1563835150032644</v>
      </c>
      <c r="FC16" s="1">
        <f t="shared" si="33"/>
        <v>2.1563835150032644</v>
      </c>
      <c r="FD16" s="1">
        <f t="shared" si="33"/>
        <v>2.1563835150032644</v>
      </c>
      <c r="FE16" s="1">
        <f t="shared" si="33"/>
        <v>1.9885213252125911</v>
      </c>
      <c r="FF16" s="1">
        <f t="shared" si="33"/>
        <v>1.9885213252125911</v>
      </c>
      <c r="FH16" s="162">
        <f t="shared" si="34"/>
        <v>-0.25155615136552856</v>
      </c>
    </row>
    <row r="17" spans="1:164" ht="18.75" customHeight="1">
      <c r="A17" s="244" t="s">
        <v>76</v>
      </c>
      <c r="B17" s="247"/>
      <c r="C17" s="228">
        <f t="shared" si="5"/>
        <v>-0.99</v>
      </c>
      <c r="D17" s="229">
        <v>-1</v>
      </c>
      <c r="E17" s="253">
        <f t="shared" si="6"/>
        <v>0.25113155205139437</v>
      </c>
      <c r="F17" s="254">
        <f t="shared" si="7"/>
        <v>0.22231535851477724</v>
      </c>
      <c r="G17" s="253">
        <f t="shared" si="8"/>
        <v>2.2841847209563948E-2</v>
      </c>
      <c r="H17" s="254">
        <f t="shared" si="9"/>
        <v>0.22828970484183042</v>
      </c>
      <c r="I17" s="253">
        <f t="shared" si="10"/>
        <v>0.41870860927152309</v>
      </c>
      <c r="J17" s="254">
        <f t="shared" si="11"/>
        <v>9.4586217643746417E-2</v>
      </c>
      <c r="K17" s="253">
        <f t="shared" si="12"/>
        <v>0.3486034624823342</v>
      </c>
      <c r="L17" s="254">
        <f t="shared" si="13"/>
        <v>7.0105146789188888E-2</v>
      </c>
      <c r="M17" s="255"/>
      <c r="N17" s="256">
        <v>-1</v>
      </c>
      <c r="O17" s="253">
        <f>IFERROR(+BL17/BM17-1,"")</f>
        <v>0</v>
      </c>
      <c r="P17" s="257">
        <f t="shared" si="36"/>
        <v>0</v>
      </c>
      <c r="Q17" s="253">
        <f t="shared" si="14"/>
        <v>0</v>
      </c>
      <c r="R17" s="257">
        <f t="shared" si="37"/>
        <v>0</v>
      </c>
      <c r="S17" s="255"/>
      <c r="T17" s="256">
        <v>-1</v>
      </c>
      <c r="U17" s="253">
        <f t="shared" si="15"/>
        <v>0.1647722542848804</v>
      </c>
      <c r="V17" s="258">
        <f t="shared" si="16"/>
        <v>0.1647722542848804</v>
      </c>
      <c r="W17" s="248">
        <f>IFERROR(+BX17/BY17-1,"")</f>
        <v>-8.9526600151022095E-2</v>
      </c>
      <c r="X17" s="258">
        <f t="shared" si="17"/>
        <v>-8.9526600151022095E-2</v>
      </c>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3</v>
      </c>
      <c r="AQ17" s="28">
        <f>VLOOKUP($A17,historia!$A$5:$CM$24,+HLOOKUP(AQ$2,historia!$A$3:$EC$4,2,FALSE),FALSE)</f>
        <v>3</v>
      </c>
      <c r="AR17" s="28">
        <f>VLOOKUP($A17,historia!$A$5:$CM$24,+HLOOKUP(AR$2,historia!$A$3:$EC$4,2,FALSE),FALSE)</f>
        <v>3</v>
      </c>
      <c r="AS17" s="28">
        <f>VLOOKUP($A17,historia!$A$5:$CM$24,+HLOOKUP(AS$2,historia!$A$3:$EC$4,2,FALSE),FALSE)</f>
        <v>3</v>
      </c>
      <c r="AT17" s="58">
        <f>VLOOKUP($A17,historia!$A$5:$CM$24,+HLOOKUP(AT$2,historia!$A$3:$EC$4,2,FALSE),FALSE)</f>
        <v>3</v>
      </c>
      <c r="AU17" s="58">
        <f>VLOOKUP($A17,historia!$A$5:$CM$24,+HLOOKUP(AU$2,historia!$A$3:$EC$4,2,FALSE),FALSE)</f>
        <v>3</v>
      </c>
      <c r="AV17" s="58">
        <f>VLOOKUP($A17,historia!$A$5:$DD$24,+HLOOKUP(AV$2,historia!$A$3:$EC$4,2,FALSE),FALSE)</f>
        <v>3</v>
      </c>
      <c r="AW17" s="58">
        <f>VLOOKUP($A17,historia!$A$5:$DD$24,+HLOOKUP(AW$2,historia!$A$3:$EC$4,2,FALSE),FALSE)</f>
        <v>3</v>
      </c>
      <c r="AX17" s="58">
        <f>VLOOKUP($A17,historia!$A$5:$DD$24,+HLOOKUP(AX$2,historia!$A$3:$EC$4,2,FALSE),FALSE)</f>
        <v>2</v>
      </c>
      <c r="AY17" s="58">
        <f>VLOOKUP($A17,historia!$A$5:$DD$24,+HLOOKUP(AY$2,historia!$A$3:$EC$4,2,FALSE),FALSE)</f>
        <v>2</v>
      </c>
      <c r="AZ17" s="58">
        <f>VLOOKUP($A17,historia!$A$5:$DG$24,+HLOOKUP(AZ$2,historia!$A$3:$EC$4,2,FALSE),FALSE)</f>
        <v>2</v>
      </c>
      <c r="BA17" s="58">
        <f>VLOOKUP($A17,historia!$A$5:$DG$24,+HLOOKUP(BA$2,historia!$A$3:$EC$4,2,FALSE),FALSE)</f>
        <v>2</v>
      </c>
      <c r="BB17" s="58"/>
      <c r="BC17" s="286">
        <v>2</v>
      </c>
      <c r="BD17" t="str">
        <f t="shared" si="20"/>
        <v>Miel</v>
      </c>
      <c r="BE17">
        <f>+datos!BV1</f>
        <v>74</v>
      </c>
      <c r="BF17" s="2" t="str">
        <f t="shared" si="4"/>
        <v>$/kg</v>
      </c>
      <c r="BG17" s="2">
        <f t="shared" si="4"/>
        <v>2570.6999999999998</v>
      </c>
      <c r="BH17" s="2">
        <f t="shared" si="4"/>
        <v>2054.6999999999998</v>
      </c>
      <c r="BI17" s="2">
        <f t="shared" si="4"/>
        <v>1812</v>
      </c>
      <c r="BK17" s="1">
        <f>+datos!EQ1</f>
        <v>147</v>
      </c>
      <c r="BL17" s="1">
        <f t="shared" si="21"/>
        <v>4000000</v>
      </c>
      <c r="BM17" s="1">
        <f t="shared" si="21"/>
        <v>4000000</v>
      </c>
      <c r="BO17" s="1">
        <f>+datos!GP1</f>
        <v>198</v>
      </c>
      <c r="BP17" s="1">
        <f t="shared" si="22"/>
        <v>75000</v>
      </c>
      <c r="BQ17" s="1">
        <f t="shared" si="22"/>
        <v>75000</v>
      </c>
      <c r="BS17" s="1">
        <f>+datos!KE1</f>
        <v>291</v>
      </c>
      <c r="BT17" s="1">
        <f t="shared" si="39"/>
        <v>246.10195943000002</v>
      </c>
      <c r="BU17" s="1">
        <f t="shared" si="40"/>
        <v>211.28762170000002</v>
      </c>
      <c r="BW17" s="1">
        <f>+datos!LJ1</f>
        <v>322</v>
      </c>
      <c r="BX17" s="2">
        <f t="shared" si="23"/>
        <v>4.8205869999999998E-2</v>
      </c>
      <c r="BY17" s="2">
        <f>+SUM(DV17:EG17)</f>
        <v>5.2945940000000004E-2</v>
      </c>
      <c r="CA17" s="1">
        <f>+datos!IZ1</f>
        <v>260</v>
      </c>
      <c r="CB17" s="2">
        <f t="shared" si="25"/>
        <v>0.3</v>
      </c>
      <c r="CC17" s="2">
        <f t="shared" si="26"/>
        <v>0.3</v>
      </c>
      <c r="CD17" s="2"/>
      <c r="CE17">
        <f>+datos!DH1</f>
        <v>112</v>
      </c>
      <c r="CF17" s="2">
        <f t="shared" si="27"/>
        <v>12678.290372866004</v>
      </c>
      <c r="CG17" s="2">
        <f t="shared" si="27"/>
        <v>12395.161976852933</v>
      </c>
      <c r="CH17" s="2">
        <f t="shared" si="27"/>
        <v>9401.0513287052163</v>
      </c>
      <c r="CI17" s="2"/>
      <c r="CK17" s="1">
        <f t="shared" si="28"/>
        <v>15.491239590000003</v>
      </c>
      <c r="CL17" s="1">
        <f t="shared" si="28"/>
        <v>13.599247020000002</v>
      </c>
      <c r="CM17" s="1">
        <f t="shared" si="28"/>
        <v>18.275047940000004</v>
      </c>
      <c r="CN17" s="1">
        <f t="shared" si="28"/>
        <v>22.033355530000001</v>
      </c>
      <c r="CO17" s="1">
        <f t="shared" si="28"/>
        <v>25.714133060000005</v>
      </c>
      <c r="CP17" s="1">
        <f t="shared" si="28"/>
        <v>20.973477770000002</v>
      </c>
      <c r="CQ17" s="1">
        <f t="shared" si="28"/>
        <v>25.565397789999999</v>
      </c>
      <c r="CR17" s="1">
        <f t="shared" si="28"/>
        <v>22.120083830000002</v>
      </c>
      <c r="CS17" s="1">
        <f t="shared" si="28"/>
        <v>25.223589140000001</v>
      </c>
      <c r="CT17" s="1">
        <f t="shared" si="28"/>
        <v>23.185079629999997</v>
      </c>
      <c r="CU17" s="1">
        <f t="shared" si="28"/>
        <v>18.014525360000007</v>
      </c>
      <c r="CV17" s="1">
        <f t="shared" si="28"/>
        <v>15.906782769999998</v>
      </c>
      <c r="CW17" s="1">
        <f t="shared" si="28"/>
        <v>9.6274282100000015</v>
      </c>
      <c r="CX17" s="1">
        <f t="shared" si="28"/>
        <v>12.184475789999999</v>
      </c>
      <c r="CY17" s="1">
        <f t="shared" si="28"/>
        <v>14.349162859999998</v>
      </c>
      <c r="CZ17" s="1">
        <f t="shared" si="28"/>
        <v>24.378519029999993</v>
      </c>
      <c r="DA17" s="1">
        <f t="shared" si="29"/>
        <v>22.211636389999995</v>
      </c>
      <c r="DB17" s="1">
        <f t="shared" si="29"/>
        <v>18.934177090000006</v>
      </c>
      <c r="DC17" s="1">
        <f t="shared" si="29"/>
        <v>18.049853030000005</v>
      </c>
      <c r="DD17" s="1">
        <f t="shared" si="29"/>
        <v>20.702965450000001</v>
      </c>
      <c r="DE17" s="1">
        <f t="shared" si="29"/>
        <v>19.199801710000003</v>
      </c>
      <c r="DF17" s="1">
        <f t="shared" si="29"/>
        <v>16.174522229999997</v>
      </c>
      <c r="DG17" s="1">
        <f t="shared" si="29"/>
        <v>22.082734950000003</v>
      </c>
      <c r="DH17" s="1">
        <f t="shared" si="29"/>
        <v>13.392344960000001</v>
      </c>
      <c r="DJ17" s="1">
        <f t="shared" si="30"/>
        <v>0</v>
      </c>
      <c r="DK17" s="1">
        <f t="shared" si="30"/>
        <v>2.9789999999999999E-3</v>
      </c>
      <c r="DL17" s="1">
        <f t="shared" si="30"/>
        <v>0</v>
      </c>
      <c r="DM17" s="1">
        <f t="shared" si="30"/>
        <v>0</v>
      </c>
      <c r="DN17" s="1">
        <f t="shared" si="30"/>
        <v>0</v>
      </c>
      <c r="DO17" s="1">
        <f t="shared" si="30"/>
        <v>4.0170669999999999E-2</v>
      </c>
      <c r="DP17" s="1">
        <f t="shared" si="30"/>
        <v>0</v>
      </c>
      <c r="DQ17" s="1">
        <f t="shared" si="30"/>
        <v>0</v>
      </c>
      <c r="DR17" s="1">
        <f t="shared" si="30"/>
        <v>1.5264E-3</v>
      </c>
      <c r="DS17" s="1">
        <f t="shared" si="30"/>
        <v>0</v>
      </c>
      <c r="DT17" s="1">
        <f t="shared" si="30"/>
        <v>0</v>
      </c>
      <c r="DU17" s="1">
        <f t="shared" si="30"/>
        <v>3.5298E-3</v>
      </c>
      <c r="DV17" s="1">
        <f t="shared" si="30"/>
        <v>0</v>
      </c>
      <c r="DW17" s="1">
        <f t="shared" si="30"/>
        <v>0</v>
      </c>
      <c r="DX17" s="1">
        <f t="shared" si="30"/>
        <v>0</v>
      </c>
      <c r="DY17" s="1">
        <f t="shared" si="30"/>
        <v>0</v>
      </c>
      <c r="DZ17" s="1">
        <f t="shared" si="31"/>
        <v>4.0664E-4</v>
      </c>
      <c r="EA17" s="1">
        <f t="shared" si="31"/>
        <v>0</v>
      </c>
      <c r="EB17" s="1">
        <f t="shared" si="31"/>
        <v>0</v>
      </c>
      <c r="EC17" s="1">
        <f t="shared" si="31"/>
        <v>0</v>
      </c>
      <c r="ED17" s="1">
        <f t="shared" si="31"/>
        <v>0</v>
      </c>
      <c r="EE17" s="1">
        <f t="shared" si="31"/>
        <v>0</v>
      </c>
      <c r="EF17" s="1">
        <f t="shared" si="31"/>
        <v>5.2539300000000004E-2</v>
      </c>
      <c r="EG17" s="1">
        <f t="shared" si="31"/>
        <v>0</v>
      </c>
      <c r="EI17" s="14">
        <f t="shared" si="32"/>
        <v>0.3</v>
      </c>
      <c r="EJ17" s="14">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2"/>
        <v>0.3</v>
      </c>
      <c r="EY17" s="1">
        <f t="shared" si="33"/>
        <v>0.3</v>
      </c>
      <c r="EZ17" s="1">
        <f t="shared" si="33"/>
        <v>0.3</v>
      </c>
      <c r="FA17" s="1">
        <f t="shared" si="33"/>
        <v>0.3</v>
      </c>
      <c r="FB17" s="1">
        <f t="shared" si="33"/>
        <v>0.3</v>
      </c>
      <c r="FC17" s="1">
        <f t="shared" si="33"/>
        <v>0.3</v>
      </c>
      <c r="FD17" s="1">
        <f t="shared" si="33"/>
        <v>0.3</v>
      </c>
      <c r="FE17" s="1">
        <f t="shared" si="33"/>
        <v>0.3</v>
      </c>
      <c r="FF17" s="1">
        <f t="shared" si="33"/>
        <v>0.3</v>
      </c>
      <c r="FH17" s="162">
        <f t="shared" si="34"/>
        <v>7.0105146789188888E-2</v>
      </c>
    </row>
    <row r="18" spans="1:164" ht="18.75" customHeight="1">
      <c r="A18" s="243" t="s">
        <v>222</v>
      </c>
      <c r="B18" s="246"/>
      <c r="C18" s="156">
        <f t="shared" si="5"/>
        <v>-0.33</v>
      </c>
      <c r="D18" s="198">
        <v>1</v>
      </c>
      <c r="E18" s="248">
        <f t="shared" si="6"/>
        <v>-8.3852112303893778E-3</v>
      </c>
      <c r="F18" s="249">
        <f t="shared" si="7"/>
        <v>-3.7201404767006507E-2</v>
      </c>
      <c r="G18" s="248">
        <f t="shared" si="8"/>
        <v>7.6041279922467453E-4</v>
      </c>
      <c r="H18" s="249">
        <f t="shared" si="9"/>
        <v>-9.1456240296140523E-3</v>
      </c>
      <c r="I18" s="253">
        <f t="shared" si="10"/>
        <v>0.59197699463396192</v>
      </c>
      <c r="J18" s="254">
        <f t="shared" si="11"/>
        <v>0.26785460300618524</v>
      </c>
      <c r="K18" s="248">
        <f t="shared" si="12"/>
        <v>0.3713058635135249</v>
      </c>
      <c r="L18" s="249">
        <f t="shared" si="13"/>
        <v>0.22067113112043701</v>
      </c>
      <c r="M18" s="250"/>
      <c r="N18" s="24">
        <v>-1</v>
      </c>
      <c r="O18" s="248">
        <f t="shared" si="35"/>
        <v>-3.8058080335949818E-2</v>
      </c>
      <c r="P18" s="251">
        <f t="shared" si="36"/>
        <v>-3.8058080335949818E-2</v>
      </c>
      <c r="Q18" s="248">
        <f t="shared" si="14"/>
        <v>-6.9281874039938574E-2</v>
      </c>
      <c r="R18" s="251">
        <f t="shared" si="37"/>
        <v>-6.9281874039938574E-2</v>
      </c>
      <c r="S18" s="250"/>
      <c r="T18" s="24">
        <v>-1</v>
      </c>
      <c r="U18" s="248">
        <f t="shared" si="15"/>
        <v>0.3475072896572764</v>
      </c>
      <c r="V18" s="252">
        <f t="shared" si="16"/>
        <v>0.3475072896572764</v>
      </c>
      <c r="W18" s="248">
        <f t="shared" si="38"/>
        <v>-0.28052803785304214</v>
      </c>
      <c r="X18" s="252">
        <f t="shared" si="17"/>
        <v>-0.28052803785304214</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2</v>
      </c>
      <c r="AQ18" s="28">
        <f>VLOOKUP($A18,historia!$A$5:$CM$24,+HLOOKUP(AQ$2,historia!$A$3:$EC$4,2,FALSE),FALSE)</f>
        <v>2</v>
      </c>
      <c r="AR18" s="28">
        <f>VLOOKUP($A18,historia!$A$5:$CM$24,+HLOOKUP(AR$2,historia!$A$3:$EC$4,2,FALSE),FALSE)</f>
        <v>2</v>
      </c>
      <c r="AS18" s="28">
        <f>VLOOKUP($A18,historia!$A$5:$CM$24,+HLOOKUP(AS$2,historia!$A$3:$EC$4,2,FALSE),FALSE)</f>
        <v>2</v>
      </c>
      <c r="AT18" s="58">
        <f>VLOOKUP($A18,historia!$A$5:$CM$24,+HLOOKUP(AT$2,historia!$A$3:$EC$4,2,FALSE),FALSE)</f>
        <v>1</v>
      </c>
      <c r="AU18" s="58">
        <f>VLOOKUP($A18,historia!$A$5:$CM$24,+HLOOKUP(AU$2,historia!$A$3:$EC$4,2,FALSE),FALSE)</f>
        <v>1</v>
      </c>
      <c r="AV18" s="58">
        <f>VLOOKUP($A18,historia!$A$5:$DD$24,+HLOOKUP(AV$2,historia!$A$3:$EC$4,2,FALSE),FALSE)</f>
        <v>2</v>
      </c>
      <c r="AW18" s="58">
        <f>VLOOKUP($A18,historia!$A$5:$DD$24,+HLOOKUP(AW$2,historia!$A$3:$EC$4,2,FALSE),FALSE)</f>
        <v>2</v>
      </c>
      <c r="AX18" s="58">
        <f>VLOOKUP($A18,historia!$A$5:$DD$24,+HLOOKUP(AX$2,historia!$A$3:$EC$4,2,FALSE),FALSE)</f>
        <v>2</v>
      </c>
      <c r="AY18" s="58">
        <f>VLOOKUP($A18,historia!$A$5:$DD$24,+HLOOKUP(AY$2,historia!$A$3:$EC$4,2,FALSE),FALSE)</f>
        <v>2</v>
      </c>
      <c r="AZ18" s="58">
        <f>VLOOKUP($A18,historia!$A$5:$DG$24,+HLOOKUP(AZ$2,historia!$A$3:$EC$4,2,FALSE),FALSE)</f>
        <v>2</v>
      </c>
      <c r="BA18" s="58">
        <f>VLOOKUP($A18,historia!$A$5:$DG$24,+HLOOKUP(BA$2,historia!$A$3:$EC$4,2,FALSE),FALSE)</f>
        <v>2</v>
      </c>
      <c r="BB18" s="58"/>
      <c r="BC18" s="286">
        <v>2</v>
      </c>
      <c r="BD18" t="str">
        <f t="shared" si="20"/>
        <v>Ovino</v>
      </c>
      <c r="BE18">
        <f>+datos!BU1</f>
        <v>73</v>
      </c>
      <c r="BF18" s="2" t="str">
        <f t="shared" si="4"/>
        <v>$/kg</v>
      </c>
      <c r="BG18" s="2">
        <f t="shared" si="4"/>
        <v>104869.92836399999</v>
      </c>
      <c r="BH18" s="2">
        <f t="shared" si="4"/>
        <v>105756.72080700001</v>
      </c>
      <c r="BI18" s="2">
        <f t="shared" si="4"/>
        <v>65874.022500000006</v>
      </c>
      <c r="BK18" s="1">
        <f>+datos!EL1</f>
        <v>142</v>
      </c>
      <c r="BL18" s="1">
        <f t="shared" si="21"/>
        <v>11967429</v>
      </c>
      <c r="BM18" s="1">
        <f t="shared" si="21"/>
        <v>12440906</v>
      </c>
      <c r="BO18" s="1">
        <f>+datos!GS1</f>
        <v>201</v>
      </c>
      <c r="BP18" s="1">
        <f t="shared" si="22"/>
        <v>36353.85</v>
      </c>
      <c r="BQ18" s="1">
        <f t="shared" si="22"/>
        <v>39060</v>
      </c>
      <c r="BS18" s="1">
        <f>+datos!KI1</f>
        <v>295</v>
      </c>
      <c r="BT18" s="1">
        <f t="shared" si="39"/>
        <v>274.04887475999999</v>
      </c>
      <c r="BU18" s="1">
        <f t="shared" si="40"/>
        <v>203.37468810999999</v>
      </c>
      <c r="BW18" s="1">
        <f>+datos!LN1</f>
        <v>326</v>
      </c>
      <c r="BX18" s="2">
        <f t="shared" si="23"/>
        <v>1.7754433999999999</v>
      </c>
      <c r="BY18" s="2">
        <f t="shared" si="24"/>
        <v>2.4677033900000005</v>
      </c>
      <c r="CA18" s="1">
        <f>+datos!JA1</f>
        <v>261</v>
      </c>
      <c r="CB18" s="1">
        <f t="shared" si="25"/>
        <v>3555</v>
      </c>
      <c r="CC18" s="1">
        <f t="shared" si="26"/>
        <v>2813</v>
      </c>
      <c r="CD18" s="1"/>
      <c r="CE18">
        <f>+datos!DI1</f>
        <v>113</v>
      </c>
      <c r="CF18" s="2">
        <f t="shared" si="27"/>
        <v>12933.047357982356</v>
      </c>
      <c r="CG18" s="2">
        <f t="shared" si="27"/>
        <v>12923.220375801395</v>
      </c>
      <c r="CH18" s="2">
        <f t="shared" si="27"/>
        <v>9431.1908831525234</v>
      </c>
      <c r="CI18" s="1"/>
      <c r="CK18" s="1">
        <f t="shared" si="28"/>
        <v>31.916470830000002</v>
      </c>
      <c r="CL18" s="1">
        <f t="shared" si="28"/>
        <v>27.303396169999999</v>
      </c>
      <c r="CM18" s="1">
        <f t="shared" si="28"/>
        <v>22.774238799999999</v>
      </c>
      <c r="CN18" s="1">
        <f t="shared" si="28"/>
        <v>21.077032079999999</v>
      </c>
      <c r="CO18" s="1">
        <f t="shared" si="28"/>
        <v>19.550070639999998</v>
      </c>
      <c r="CP18" s="1">
        <f t="shared" si="28"/>
        <v>17.8919189</v>
      </c>
      <c r="CQ18" s="1">
        <f t="shared" si="28"/>
        <v>19.636014689999996</v>
      </c>
      <c r="CR18" s="1">
        <f t="shared" si="28"/>
        <v>18.748166940000001</v>
      </c>
      <c r="CS18" s="1">
        <f t="shared" si="28"/>
        <v>21.131437869999999</v>
      </c>
      <c r="CT18" s="1">
        <f t="shared" si="28"/>
        <v>23.746863359999999</v>
      </c>
      <c r="CU18" s="1">
        <f t="shared" si="28"/>
        <v>18.662799830000001</v>
      </c>
      <c r="CV18" s="1">
        <f t="shared" si="28"/>
        <v>31.610464650000004</v>
      </c>
      <c r="CW18" s="1">
        <f t="shared" si="28"/>
        <v>14.881609229999999</v>
      </c>
      <c r="CX18" s="1">
        <f t="shared" si="28"/>
        <v>18.538380959999998</v>
      </c>
      <c r="CY18" s="1">
        <f t="shared" si="28"/>
        <v>15.79353798</v>
      </c>
      <c r="CZ18" s="1">
        <f t="shared" si="28"/>
        <v>15.390557059999999</v>
      </c>
      <c r="DA18" s="1">
        <f t="shared" si="29"/>
        <v>12.657815750000001</v>
      </c>
      <c r="DB18" s="1">
        <f t="shared" si="29"/>
        <v>13.430479930000001</v>
      </c>
      <c r="DC18" s="1">
        <f t="shared" si="29"/>
        <v>15.60716012</v>
      </c>
      <c r="DD18" s="1">
        <f t="shared" si="29"/>
        <v>19.03918719</v>
      </c>
      <c r="DE18" s="1">
        <f t="shared" si="29"/>
        <v>17.774232269999999</v>
      </c>
      <c r="DF18" s="1">
        <f t="shared" si="29"/>
        <v>22.502102959999998</v>
      </c>
      <c r="DG18" s="1">
        <f t="shared" si="29"/>
        <v>22.437193859999997</v>
      </c>
      <c r="DH18" s="1">
        <f t="shared" si="29"/>
        <v>15.322430800000003</v>
      </c>
      <c r="DJ18" s="1">
        <f t="shared" si="30"/>
        <v>0.11824628</v>
      </c>
      <c r="DK18" s="1">
        <f t="shared" si="30"/>
        <v>0.37141849000000005</v>
      </c>
      <c r="DL18" s="1">
        <f t="shared" si="30"/>
        <v>4.9819790000000003E-2</v>
      </c>
      <c r="DM18" s="1">
        <f t="shared" si="30"/>
        <v>5.7726630000000001E-2</v>
      </c>
      <c r="DN18" s="1">
        <f t="shared" si="30"/>
        <v>0.12164886</v>
      </c>
      <c r="DO18" s="1">
        <f t="shared" si="30"/>
        <v>6.2847730000000004E-2</v>
      </c>
      <c r="DP18" s="1">
        <f t="shared" si="30"/>
        <v>7.1441070000000009E-2</v>
      </c>
      <c r="DQ18" s="1">
        <f t="shared" si="30"/>
        <v>0.19937177999999997</v>
      </c>
      <c r="DR18" s="1">
        <f t="shared" si="30"/>
        <v>0.18211829000000002</v>
      </c>
      <c r="DS18" s="1">
        <f t="shared" si="30"/>
        <v>0.19639201000000001</v>
      </c>
      <c r="DT18" s="1">
        <f t="shared" si="30"/>
        <v>0.15047392000000001</v>
      </c>
      <c r="DU18" s="1">
        <f t="shared" si="30"/>
        <v>0.19393855000000002</v>
      </c>
      <c r="DV18" s="1">
        <f t="shared" si="30"/>
        <v>0.16347327</v>
      </c>
      <c r="DW18" s="1">
        <f t="shared" si="30"/>
        <v>0.18164933</v>
      </c>
      <c r="DX18" s="1">
        <f t="shared" si="30"/>
        <v>0.25055533999999996</v>
      </c>
      <c r="DY18" s="1">
        <f t="shared" si="30"/>
        <v>0.29342396000000004</v>
      </c>
      <c r="DZ18" s="1">
        <f t="shared" si="31"/>
        <v>0.26088905000000001</v>
      </c>
      <c r="EA18" s="1">
        <f t="shared" si="31"/>
        <v>0.18624962</v>
      </c>
      <c r="EB18" s="1">
        <f t="shared" si="31"/>
        <v>0.1577527</v>
      </c>
      <c r="EC18" s="1">
        <f t="shared" si="31"/>
        <v>0.24821200999999998</v>
      </c>
      <c r="ED18" s="1">
        <f t="shared" si="31"/>
        <v>0.13589592</v>
      </c>
      <c r="EE18" s="1">
        <f t="shared" si="31"/>
        <v>0.23010199000000001</v>
      </c>
      <c r="EF18" s="1">
        <f t="shared" si="31"/>
        <v>4.8750000000000002E-2</v>
      </c>
      <c r="EG18" s="1">
        <f t="shared" si="31"/>
        <v>0.31075020000000003</v>
      </c>
      <c r="EI18" s="14">
        <f t="shared" si="32"/>
        <v>3555</v>
      </c>
      <c r="EJ18" s="14">
        <f t="shared" si="32"/>
        <v>3555</v>
      </c>
      <c r="EK18" s="1">
        <f t="shared" si="32"/>
        <v>3555</v>
      </c>
      <c r="EL18" s="1">
        <f t="shared" si="32"/>
        <v>3555</v>
      </c>
      <c r="EM18" s="1">
        <f t="shared" si="32"/>
        <v>3555</v>
      </c>
      <c r="EN18" s="1">
        <f t="shared" si="32"/>
        <v>3555</v>
      </c>
      <c r="EO18" s="1">
        <f t="shared" si="32"/>
        <v>3555</v>
      </c>
      <c r="EP18" s="1">
        <f t="shared" si="32"/>
        <v>3555</v>
      </c>
      <c r="EQ18" s="1">
        <f t="shared" si="32"/>
        <v>3735</v>
      </c>
      <c r="ER18" s="1">
        <f t="shared" si="32"/>
        <v>2813</v>
      </c>
      <c r="ES18" s="1">
        <f t="shared" si="32"/>
        <v>2813</v>
      </c>
      <c r="ET18" s="1">
        <f t="shared" si="32"/>
        <v>2813</v>
      </c>
      <c r="EU18" s="1">
        <f t="shared" si="32"/>
        <v>2813</v>
      </c>
      <c r="EV18" s="1">
        <f t="shared" si="32"/>
        <v>2813</v>
      </c>
      <c r="EW18" s="1">
        <f t="shared" si="32"/>
        <v>2813</v>
      </c>
      <c r="EX18" s="1">
        <f t="shared" si="32"/>
        <v>2813</v>
      </c>
      <c r="EY18" s="1">
        <f t="shared" si="33"/>
        <v>2813</v>
      </c>
      <c r="EZ18" s="1">
        <f t="shared" si="33"/>
        <v>2813</v>
      </c>
      <c r="FA18" s="1">
        <f t="shared" si="33"/>
        <v>2813</v>
      </c>
      <c r="FB18" s="1">
        <f t="shared" si="33"/>
        <v>2813</v>
      </c>
      <c r="FC18" s="1">
        <f t="shared" si="33"/>
        <v>2813</v>
      </c>
      <c r="FD18" s="1">
        <f t="shared" si="33"/>
        <v>2813</v>
      </c>
      <c r="FE18" s="1">
        <f t="shared" si="33"/>
        <v>2813</v>
      </c>
      <c r="FF18" s="1">
        <f t="shared" si="33"/>
        <v>2813</v>
      </c>
      <c r="FH18" s="162">
        <f t="shared" si="34"/>
        <v>0.22067113112043701</v>
      </c>
    </row>
    <row r="19" spans="1:164" ht="18.75" customHeight="1">
      <c r="A19" s="244" t="s">
        <v>66</v>
      </c>
      <c r="B19" s="247"/>
      <c r="C19" s="228">
        <f t="shared" si="5"/>
        <v>0</v>
      </c>
      <c r="D19" s="229">
        <v>-1</v>
      </c>
      <c r="E19" s="477">
        <f t="shared" si="6"/>
        <v>0.36760336996469278</v>
      </c>
      <c r="F19" s="254">
        <f t="shared" si="7"/>
        <v>0.33878717642807565</v>
      </c>
      <c r="G19" s="253">
        <f t="shared" si="8"/>
        <v>-9.1926908464350365E-3</v>
      </c>
      <c r="H19" s="254">
        <f t="shared" si="9"/>
        <v>0.37679606081112782</v>
      </c>
      <c r="I19" s="253">
        <f t="shared" si="10"/>
        <v>1.2688896741082285</v>
      </c>
      <c r="J19" s="254">
        <f t="shared" si="11"/>
        <v>0.94476728248045183</v>
      </c>
      <c r="K19" s="253">
        <f t="shared" si="12"/>
        <v>0.43374678706330649</v>
      </c>
      <c r="L19" s="254">
        <f t="shared" si="13"/>
        <v>0.83514288704492201</v>
      </c>
      <c r="M19" s="255"/>
      <c r="N19" s="256">
        <v>0</v>
      </c>
      <c r="O19" s="253">
        <f t="shared" si="35"/>
        <v>-0.1166932970112895</v>
      </c>
      <c r="P19" s="257">
        <f t="shared" si="36"/>
        <v>-0.1166932970112895</v>
      </c>
      <c r="Q19" s="253">
        <f t="shared" si="14"/>
        <v>0</v>
      </c>
      <c r="R19" s="257">
        <v>-0.01</v>
      </c>
      <c r="S19" s="255"/>
      <c r="T19" s="256">
        <v>1</v>
      </c>
      <c r="U19" s="253">
        <f t="shared" si="15"/>
        <v>-6.577242600888189E-2</v>
      </c>
      <c r="V19" s="258">
        <f t="shared" si="16"/>
        <v>-6.577242600888189E-2</v>
      </c>
      <c r="W19" s="253">
        <f t="shared" si="38"/>
        <v>-0.23514129399114547</v>
      </c>
      <c r="X19" s="258">
        <f t="shared" si="17"/>
        <v>-0.23514129399114547</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3</v>
      </c>
      <c r="AQ19" s="28">
        <f>VLOOKUP($A19,historia!$A$5:$CM$24,+HLOOKUP(AQ$2,historia!$A$3:$EC$4,2,FALSE),FALSE)</f>
        <v>3</v>
      </c>
      <c r="AR19" s="28">
        <f>VLOOKUP($A19,historia!$A$5:$CM$24,+HLOOKUP(AR$2,historia!$A$3:$EC$4,2,FALSE),FALSE)</f>
        <v>3</v>
      </c>
      <c r="AS19" s="28">
        <f>VLOOKUP($A19,historia!$A$5:$CM$24,+HLOOKUP(AS$2,historia!$A$3:$EC$4,2,FALSE),FALSE)</f>
        <v>4</v>
      </c>
      <c r="AT19" s="58">
        <f>VLOOKUP($A19,historia!$A$5:$CM$24,+HLOOKUP(AT$2,historia!$A$3:$EC$4,2,FALSE),FALSE)</f>
        <v>4</v>
      </c>
      <c r="AU19" s="58">
        <f>VLOOKUP($A19,historia!$A$5:$CM$24,+HLOOKUP(AU$2,historia!$A$3:$EC$4,2,FALSE),FALSE)</f>
        <v>4</v>
      </c>
      <c r="AV19" s="58">
        <f>VLOOKUP($A19,historia!$A$5:$DD$24,+HLOOKUP(AV$2,historia!$A$3:$EC$4,2,FALSE),FALSE)</f>
        <v>5</v>
      </c>
      <c r="AW19" s="58">
        <f>VLOOKUP($A19,historia!$A$5:$DD$24,+HLOOKUP(AW$2,historia!$A$3:$EC$4,2,FALSE),FALSE)</f>
        <v>4</v>
      </c>
      <c r="AX19" s="58">
        <f>VLOOKUP($A19,historia!$A$5:$DD$24,+HLOOKUP(AX$2,historia!$A$3:$EC$4,2,FALSE),FALSE)</f>
        <v>4</v>
      </c>
      <c r="AY19" s="58">
        <f>VLOOKUP($A19,historia!$A$5:$DD$24,+HLOOKUP(AY$2,historia!$A$3:$EC$4,2,FALSE),FALSE)</f>
        <v>4</v>
      </c>
      <c r="AZ19" s="58">
        <f>VLOOKUP($A19,historia!$A$5:$DG$24,+HLOOKUP(AZ$2,historia!$A$3:$EC$4,2,FALSE),FALSE)</f>
        <v>4</v>
      </c>
      <c r="BA19" s="58">
        <f>VLOOKUP($A19,historia!$A$5:$DG$24,+HLOOKUP(BA$2,historia!$A$3:$EC$4,2,FALSE),FALSE)</f>
        <v>4</v>
      </c>
      <c r="BB19" s="58"/>
      <c r="BC19" s="286">
        <v>4</v>
      </c>
      <c r="BD19" t="str">
        <f t="shared" si="20"/>
        <v>Papa</v>
      </c>
      <c r="BE19">
        <f>+datos!AV1</f>
        <v>48</v>
      </c>
      <c r="BF19" s="2" t="str">
        <f t="shared" si="4"/>
        <v>$/bolsa 20kg</v>
      </c>
      <c r="BG19" s="2">
        <f t="shared" si="4"/>
        <v>8851.6949152542365</v>
      </c>
      <c r="BH19" s="2">
        <f t="shared" si="4"/>
        <v>6472.4137931034484</v>
      </c>
      <c r="BI19" s="2">
        <f t="shared" si="4"/>
        <v>3901.3333333333335</v>
      </c>
      <c r="BK19" s="1">
        <f>+datos!EZ1</f>
        <v>156</v>
      </c>
      <c r="BL19" s="1">
        <f t="shared" si="21"/>
        <v>33722</v>
      </c>
      <c r="BM19" s="1">
        <f t="shared" si="21"/>
        <v>38177</v>
      </c>
      <c r="BO19" s="1">
        <f>+datos!GT1</f>
        <v>202</v>
      </c>
      <c r="BP19" s="1">
        <f t="shared" si="22"/>
        <v>2111561</v>
      </c>
      <c r="BQ19" s="1">
        <f t="shared" si="22"/>
        <v>2111561</v>
      </c>
      <c r="BS19" s="1">
        <f>+datos!JO1</f>
        <v>275</v>
      </c>
      <c r="BT19" s="1">
        <f t="shared" si="39"/>
        <v>376.55916334000005</v>
      </c>
      <c r="BU19" s="1">
        <f t="shared" si="40"/>
        <v>403.07005897000005</v>
      </c>
      <c r="BW19" s="1">
        <f>+datos!KT1</f>
        <v>306</v>
      </c>
      <c r="BX19" s="2">
        <f t="shared" si="23"/>
        <v>12.821959440000001</v>
      </c>
      <c r="BY19" s="2">
        <f t="shared" si="24"/>
        <v>16.763827540000001</v>
      </c>
      <c r="CA19" s="1">
        <f>+datos!JB1</f>
        <v>262</v>
      </c>
      <c r="CB19" s="1">
        <f t="shared" si="25"/>
        <v>35.950000000000003</v>
      </c>
      <c r="CC19" s="1">
        <f t="shared" si="26"/>
        <v>35.950000000000003</v>
      </c>
      <c r="CD19" s="1"/>
      <c r="CE19">
        <f>+datos!CI1</f>
        <v>87</v>
      </c>
      <c r="CF19" s="2">
        <f t="shared" si="27"/>
        <v>12831.315993268208</v>
      </c>
      <c r="CG19" s="2">
        <f t="shared" si="27"/>
        <v>12950.36469223249</v>
      </c>
      <c r="CH19" s="2">
        <f t="shared" si="27"/>
        <v>8949.4993879289832</v>
      </c>
      <c r="CI19" s="1"/>
      <c r="CK19" s="1">
        <f t="shared" si="28"/>
        <v>27.589055210000001</v>
      </c>
      <c r="CL19" s="1">
        <f t="shared" si="28"/>
        <v>34.54170027</v>
      </c>
      <c r="CM19" s="1">
        <f t="shared" si="28"/>
        <v>29.033049210000001</v>
      </c>
      <c r="CN19" s="1">
        <f t="shared" si="28"/>
        <v>32.137001479999995</v>
      </c>
      <c r="CO19" s="1">
        <f t="shared" si="28"/>
        <v>31.771959519999999</v>
      </c>
      <c r="CP19" s="1">
        <f t="shared" si="28"/>
        <v>30.172516640000001</v>
      </c>
      <c r="CQ19" s="1">
        <f t="shared" si="28"/>
        <v>33.254909299999994</v>
      </c>
      <c r="CR19" s="1">
        <f t="shared" si="28"/>
        <v>34.03841525</v>
      </c>
      <c r="CS19" s="1">
        <f t="shared" si="28"/>
        <v>32.790200410000004</v>
      </c>
      <c r="CT19" s="1">
        <f t="shared" si="28"/>
        <v>33.403797109999999</v>
      </c>
      <c r="CU19" s="1">
        <f t="shared" si="28"/>
        <v>26.866894470000005</v>
      </c>
      <c r="CV19" s="1">
        <f t="shared" si="28"/>
        <v>30.959664470000003</v>
      </c>
      <c r="CW19" s="1">
        <f t="shared" si="28"/>
        <v>28.030286839999999</v>
      </c>
      <c r="CX19" s="1">
        <f t="shared" si="28"/>
        <v>35.227965569999995</v>
      </c>
      <c r="CY19" s="1">
        <f t="shared" si="28"/>
        <v>43.313690020000003</v>
      </c>
      <c r="CZ19" s="1">
        <f t="shared" si="28"/>
        <v>38.158354570000007</v>
      </c>
      <c r="DA19" s="1">
        <f t="shared" si="29"/>
        <v>36.879687310000008</v>
      </c>
      <c r="DB19" s="1">
        <f t="shared" si="29"/>
        <v>30.584450140000001</v>
      </c>
      <c r="DC19" s="1">
        <f t="shared" si="29"/>
        <v>34.87822036</v>
      </c>
      <c r="DD19" s="1">
        <f t="shared" si="29"/>
        <v>30.986019150000001</v>
      </c>
      <c r="DE19" s="1">
        <f t="shared" si="29"/>
        <v>34.45773063</v>
      </c>
      <c r="DF19" s="1">
        <f t="shared" si="29"/>
        <v>33.675059580000003</v>
      </c>
      <c r="DG19" s="1">
        <f t="shared" si="29"/>
        <v>28.924508010000004</v>
      </c>
      <c r="DH19" s="1">
        <f t="shared" si="29"/>
        <v>27.954086790000002</v>
      </c>
      <c r="DJ19" s="1">
        <f t="shared" si="30"/>
        <v>2.2861269800000001</v>
      </c>
      <c r="DK19" s="1">
        <f t="shared" si="30"/>
        <v>1.06092366</v>
      </c>
      <c r="DL19" s="1">
        <f t="shared" si="30"/>
        <v>0.94273901999999998</v>
      </c>
      <c r="DM19" s="1">
        <f t="shared" si="30"/>
        <v>1.1078551999999999</v>
      </c>
      <c r="DN19" s="1">
        <f t="shared" si="30"/>
        <v>1.1250931100000001</v>
      </c>
      <c r="DO19" s="1">
        <f t="shared" si="30"/>
        <v>0.74439149999999998</v>
      </c>
      <c r="DP19" s="1">
        <f t="shared" si="30"/>
        <v>1.2444918700000001</v>
      </c>
      <c r="DQ19" s="1">
        <f t="shared" si="30"/>
        <v>0.75058031000000003</v>
      </c>
      <c r="DR19" s="1">
        <f t="shared" si="30"/>
        <v>0.8744752400000001</v>
      </c>
      <c r="DS19" s="1">
        <f t="shared" si="30"/>
        <v>0.62052411000000007</v>
      </c>
      <c r="DT19" s="1">
        <f t="shared" si="30"/>
        <v>1.19924761</v>
      </c>
      <c r="DU19" s="1">
        <f t="shared" si="30"/>
        <v>0.86551083000000006</v>
      </c>
      <c r="DV19" s="1">
        <f t="shared" si="30"/>
        <v>0.79831189000000002</v>
      </c>
      <c r="DW19" s="1">
        <f t="shared" si="30"/>
        <v>1.1318278900000001</v>
      </c>
      <c r="DX19" s="1">
        <f t="shared" si="30"/>
        <v>1.8442369199999997</v>
      </c>
      <c r="DY19" s="1">
        <f t="shared" si="30"/>
        <v>1.0529063700000001</v>
      </c>
      <c r="DZ19" s="1">
        <f t="shared" si="31"/>
        <v>2.0286618900000004</v>
      </c>
      <c r="EA19" s="1">
        <f t="shared" si="31"/>
        <v>0.79104531999999994</v>
      </c>
      <c r="EB19" s="1">
        <f t="shared" si="31"/>
        <v>1.6294275100000002</v>
      </c>
      <c r="EC19" s="1">
        <f t="shared" si="31"/>
        <v>1.8725515799999999</v>
      </c>
      <c r="ED19" s="1">
        <f t="shared" si="31"/>
        <v>1.9938344900000002</v>
      </c>
      <c r="EE19" s="1">
        <f t="shared" si="31"/>
        <v>1.4070700599999999</v>
      </c>
      <c r="EF19" s="1">
        <f t="shared" si="31"/>
        <v>0.5838748800000001</v>
      </c>
      <c r="EG19" s="1">
        <f t="shared" si="31"/>
        <v>1.6300787399999999</v>
      </c>
      <c r="EI19" s="14">
        <f t="shared" si="32"/>
        <v>35.950000000000003</v>
      </c>
      <c r="EJ19" s="14">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2"/>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F19" s="1">
        <f t="shared" si="33"/>
        <v>35.950000000000003</v>
      </c>
      <c r="FH19" s="162">
        <f t="shared" si="34"/>
        <v>0.83514288704492201</v>
      </c>
    </row>
    <row r="20" spans="1:164" ht="27" customHeight="1">
      <c r="A20" s="264" t="s">
        <v>218</v>
      </c>
      <c r="B20" s="246"/>
      <c r="C20" s="156">
        <f t="shared" si="5"/>
        <v>0</v>
      </c>
      <c r="D20" s="198">
        <v>-1</v>
      </c>
      <c r="E20" s="248">
        <f t="shared" si="6"/>
        <v>1.0468888991726821E-2</v>
      </c>
      <c r="F20" s="249">
        <f t="shared" si="7"/>
        <v>-1.8347304544890308E-2</v>
      </c>
      <c r="G20" s="248">
        <f t="shared" si="8"/>
        <v>7.350763757940193E-3</v>
      </c>
      <c r="H20" s="249">
        <f t="shared" si="9"/>
        <v>3.1181252337866283E-3</v>
      </c>
      <c r="I20" s="248">
        <f t="shared" si="10"/>
        <v>1.0576846719917681</v>
      </c>
      <c r="J20" s="249">
        <f t="shared" si="11"/>
        <v>0.7335622803639914</v>
      </c>
      <c r="K20" s="248">
        <f t="shared" si="12"/>
        <v>0.41401475744125849</v>
      </c>
      <c r="L20" s="249">
        <f t="shared" si="13"/>
        <v>0.64366991455050959</v>
      </c>
      <c r="M20" s="250"/>
      <c r="N20" s="24">
        <v>-1</v>
      </c>
      <c r="O20" s="248">
        <f t="shared" si="35"/>
        <v>0</v>
      </c>
      <c r="P20" s="251">
        <f t="shared" si="36"/>
        <v>0</v>
      </c>
      <c r="Q20" s="248">
        <f t="shared" si="14"/>
        <v>1.53583794252794E-2</v>
      </c>
      <c r="R20" s="251">
        <f t="shared" si="37"/>
        <v>1.53583794252794E-2</v>
      </c>
      <c r="S20" s="250"/>
      <c r="T20" s="24">
        <v>2</v>
      </c>
      <c r="U20" s="248">
        <f t="shared" si="15"/>
        <v>7.8937883332949932E-2</v>
      </c>
      <c r="V20" s="252">
        <f t="shared" si="16"/>
        <v>7.8937883332949932E-2</v>
      </c>
      <c r="W20" s="248">
        <f t="shared" si="38"/>
        <v>1.0879334961607081</v>
      </c>
      <c r="X20" s="252">
        <f t="shared" si="17"/>
        <v>1.0879334961607081</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4</v>
      </c>
      <c r="AQ20" s="28">
        <f>VLOOKUP($A20,historia!$A$5:$CM$24,+HLOOKUP(AQ$2,historia!$A$3:$EC$4,2,FALSE),FALSE)</f>
        <v>4</v>
      </c>
      <c r="AR20" s="28">
        <f>VLOOKUP($A20,historia!$A$5:$CM$24,+HLOOKUP(AR$2,historia!$A$3:$EC$4,2,FALSE),FALSE)</f>
        <v>4</v>
      </c>
      <c r="AS20" s="28">
        <f>VLOOKUP($A20,historia!$A$5:$CM$24,+HLOOKUP(AS$2,historia!$A$3:$EC$4,2,FALSE),FALSE)</f>
        <v>4</v>
      </c>
      <c r="AT20" s="58">
        <f>VLOOKUP($A20,historia!$A$5:$CM$24,+HLOOKUP(AT$2,historia!$A$3:$EC$4,2,FALSE),FALSE)</f>
        <v>3</v>
      </c>
      <c r="AU20" s="58">
        <f>VLOOKUP($A20,historia!$A$5:$CM$24,+HLOOKUP(AU$2,historia!$A$3:$EC$4,2,FALSE),FALSE)</f>
        <v>2</v>
      </c>
      <c r="AV20" s="58">
        <f>VLOOKUP($A20,historia!$A$5:$DD$24,+HLOOKUP(AV$2,historia!$A$3:$EC$4,2,FALSE),FALSE)</f>
        <v>2</v>
      </c>
      <c r="AW20" s="58">
        <f>VLOOKUP($A20,historia!$A$5:$DD$24,+HLOOKUP(AW$2,historia!$A$3:$EC$4,2,FALSE),FALSE)</f>
        <v>3</v>
      </c>
      <c r="AX20" s="58">
        <f>VLOOKUP($A20,historia!$A$5:$DD$24,+HLOOKUP(AX$2,historia!$A$3:$EC$4,2,FALSE),FALSE)</f>
        <v>3</v>
      </c>
      <c r="AY20" s="58">
        <f>VLOOKUP($A20,historia!$A$5:$DD$24,+HLOOKUP(AY$2,historia!$A$3:$EC$4,2,FALSE),FALSE)</f>
        <v>3</v>
      </c>
      <c r="AZ20" s="58">
        <f>VLOOKUP($A20,historia!$A$5:$DG$24,+HLOOKUP(AZ$2,historia!$A$3:$EC$4,2,FALSE),FALSE)</f>
        <v>3</v>
      </c>
      <c r="BA20" s="58">
        <f>VLOOKUP($A20,historia!$A$5:$DG$24,+HLOOKUP(BA$2,historia!$A$3:$EC$4,2,FALSE),FALSE)</f>
        <v>3</v>
      </c>
      <c r="BB20" s="58"/>
      <c r="BC20" s="286">
        <v>3</v>
      </c>
      <c r="BD20" t="str">
        <f t="shared" si="20"/>
        <v>Peras y Manzanas</v>
      </c>
      <c r="BE20">
        <f>+datos!AP1</f>
        <v>42</v>
      </c>
      <c r="BF20" s="2" t="str">
        <f t="shared" si="4"/>
        <v>$/caja 18kg</v>
      </c>
      <c r="BG20" s="2">
        <f t="shared" si="4"/>
        <v>37431.809523809527</v>
      </c>
      <c r="BH20" s="2">
        <f t="shared" si="4"/>
        <v>37044</v>
      </c>
      <c r="BI20" s="2">
        <f t="shared" si="4"/>
        <v>18191.227272727272</v>
      </c>
      <c r="BK20" s="1">
        <f>+datos!FC1</f>
        <v>159</v>
      </c>
      <c r="BL20" s="1">
        <f t="shared" si="21"/>
        <v>38084</v>
      </c>
      <c r="BM20" s="1">
        <f t="shared" si="21"/>
        <v>38084</v>
      </c>
      <c r="BO20" s="1">
        <f>+datos!GW1</f>
        <v>205</v>
      </c>
      <c r="BP20" s="1">
        <f t="shared" si="22"/>
        <v>785333</v>
      </c>
      <c r="BQ20" s="1">
        <f t="shared" si="22"/>
        <v>773454</v>
      </c>
      <c r="BS20" s="1">
        <f>+datos!LS1</f>
        <v>331</v>
      </c>
      <c r="BT20" s="1">
        <f t="shared" si="39"/>
        <v>443.66840961999998</v>
      </c>
      <c r="BU20" s="1">
        <f t="shared" si="40"/>
        <v>411.20848240999999</v>
      </c>
      <c r="BW20" s="1">
        <f>+datos!LW1</f>
        <v>335</v>
      </c>
      <c r="BX20" s="2">
        <f t="shared" si="23"/>
        <v>5.8375200099999995</v>
      </c>
      <c r="BY20" s="2">
        <f t="shared" si="24"/>
        <v>2.7958361800000002</v>
      </c>
      <c r="CA20" s="1">
        <f>+datos!JC1</f>
        <v>263</v>
      </c>
      <c r="CB20" s="1">
        <f t="shared" si="25"/>
        <v>0</v>
      </c>
      <c r="CC20" s="1">
        <f t="shared" si="26"/>
        <v>0</v>
      </c>
      <c r="CD20" s="1"/>
      <c r="CE20">
        <f>+datos!CS1</f>
        <v>97</v>
      </c>
      <c r="CF20" s="2">
        <f t="shared" si="27"/>
        <v>13426.045356733815</v>
      </c>
      <c r="CG20" s="2">
        <f t="shared" si="27"/>
        <v>13328.073834627088</v>
      </c>
      <c r="CH20" s="2">
        <f t="shared" si="27"/>
        <v>9494.9824859176297</v>
      </c>
      <c r="CI20" s="1"/>
      <c r="CK20" s="1">
        <f t="shared" si="28"/>
        <v>25.805604299999995</v>
      </c>
      <c r="CL20" s="1">
        <f t="shared" si="28"/>
        <v>14.27210653</v>
      </c>
      <c r="CM20" s="1">
        <f t="shared" si="28"/>
        <v>20.571055439999999</v>
      </c>
      <c r="CN20" s="1">
        <f t="shared" si="28"/>
        <v>24.907231830000001</v>
      </c>
      <c r="CO20" s="1">
        <f t="shared" si="28"/>
        <v>41.046257050000001</v>
      </c>
      <c r="CP20" s="1">
        <f t="shared" si="28"/>
        <v>31.183989080000003</v>
      </c>
      <c r="CQ20" s="1">
        <f t="shared" si="28"/>
        <v>31.314835450000004</v>
      </c>
      <c r="CR20" s="1">
        <f t="shared" si="28"/>
        <v>42.986147830000007</v>
      </c>
      <c r="CS20" s="1">
        <f t="shared" si="28"/>
        <v>54.859389430000007</v>
      </c>
      <c r="CT20" s="1">
        <f t="shared" si="28"/>
        <v>51.150985829999996</v>
      </c>
      <c r="CU20" s="1">
        <f t="shared" si="28"/>
        <v>59.173949850000007</v>
      </c>
      <c r="CV20" s="1">
        <f t="shared" si="28"/>
        <v>46.396857000000011</v>
      </c>
      <c r="CW20" s="1">
        <f t="shared" si="28"/>
        <v>23.934850630000003</v>
      </c>
      <c r="CX20" s="1">
        <f t="shared" si="28"/>
        <v>23.934850630000003</v>
      </c>
      <c r="CY20" s="1">
        <f t="shared" si="28"/>
        <v>23.934850630000003</v>
      </c>
      <c r="CZ20" s="1">
        <f t="shared" si="28"/>
        <v>25.188374430000003</v>
      </c>
      <c r="DA20" s="1">
        <f t="shared" si="29"/>
        <v>22.303018159999997</v>
      </c>
      <c r="DB20" s="1">
        <f t="shared" si="29"/>
        <v>14.93334776</v>
      </c>
      <c r="DC20" s="1">
        <f t="shared" si="29"/>
        <v>35.336569390000001</v>
      </c>
      <c r="DD20" s="1">
        <f t="shared" si="29"/>
        <v>46.662709379999995</v>
      </c>
      <c r="DE20" s="1">
        <f t="shared" si="29"/>
        <v>45.302769560000002</v>
      </c>
      <c r="DF20" s="1">
        <f t="shared" si="29"/>
        <v>46.856289650000001</v>
      </c>
      <c r="DG20" s="1">
        <f t="shared" si="29"/>
        <v>60.076282149999997</v>
      </c>
      <c r="DH20" s="1">
        <f t="shared" si="29"/>
        <v>42.744570039999999</v>
      </c>
      <c r="DJ20" s="1">
        <f t="shared" si="30"/>
        <v>5.1857800000000009E-3</v>
      </c>
      <c r="DK20" s="1">
        <f t="shared" si="30"/>
        <v>0.39547034999999997</v>
      </c>
      <c r="DL20" s="1">
        <f t="shared" si="30"/>
        <v>0.54650961999999992</v>
      </c>
      <c r="DM20" s="1">
        <f t="shared" si="30"/>
        <v>0.19315473</v>
      </c>
      <c r="DN20" s="1">
        <f t="shared" si="30"/>
        <v>0.43976497000000003</v>
      </c>
      <c r="DO20" s="1">
        <f t="shared" si="30"/>
        <v>0.72520266</v>
      </c>
      <c r="DP20" s="1">
        <f t="shared" si="30"/>
        <v>1.1922353400000001</v>
      </c>
      <c r="DQ20" s="1">
        <f t="shared" si="30"/>
        <v>1.0915780799999999</v>
      </c>
      <c r="DR20" s="1">
        <f t="shared" si="30"/>
        <v>0.5667896</v>
      </c>
      <c r="DS20" s="1">
        <f t="shared" si="30"/>
        <v>0.43323378000000001</v>
      </c>
      <c r="DT20" s="1">
        <f t="shared" si="30"/>
        <v>0.20107160000000002</v>
      </c>
      <c r="DU20" s="1">
        <f t="shared" si="30"/>
        <v>4.7323499999999998E-2</v>
      </c>
      <c r="DV20" s="1">
        <f t="shared" si="30"/>
        <v>0.18245199000000001</v>
      </c>
      <c r="DW20" s="1">
        <f t="shared" si="30"/>
        <v>6.8745290000000001E-2</v>
      </c>
      <c r="DX20" s="1">
        <f t="shared" si="30"/>
        <v>0.21798748000000001</v>
      </c>
      <c r="DY20" s="1">
        <f t="shared" si="30"/>
        <v>7.9820000000000002E-2</v>
      </c>
      <c r="DZ20" s="1">
        <f t="shared" si="31"/>
        <v>0.14837025000000001</v>
      </c>
      <c r="EA20" s="1">
        <f t="shared" si="31"/>
        <v>0.3865221499999999</v>
      </c>
      <c r="EB20" s="1">
        <f t="shared" si="31"/>
        <v>0.51794252000000007</v>
      </c>
      <c r="EC20" s="1">
        <f t="shared" si="31"/>
        <v>0.37362660000000003</v>
      </c>
      <c r="ED20" s="1">
        <f t="shared" si="31"/>
        <v>0.32288670000000003</v>
      </c>
      <c r="EE20" s="1">
        <f t="shared" si="31"/>
        <v>0.29487440000000004</v>
      </c>
      <c r="EF20" s="1">
        <f t="shared" si="31"/>
        <v>7.78142E-2</v>
      </c>
      <c r="EG20" s="1">
        <f t="shared" si="31"/>
        <v>0.12479459999999999</v>
      </c>
      <c r="EI20" s="14">
        <f t="shared" si="32"/>
        <v>0</v>
      </c>
      <c r="EJ20" s="14">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2"/>
        <v>0</v>
      </c>
      <c r="EY20" s="1">
        <f t="shared" si="33"/>
        <v>0</v>
      </c>
      <c r="EZ20" s="1">
        <f t="shared" si="33"/>
        <v>0</v>
      </c>
      <c r="FA20" s="1">
        <f t="shared" si="33"/>
        <v>0</v>
      </c>
      <c r="FB20" s="1">
        <f t="shared" si="33"/>
        <v>0</v>
      </c>
      <c r="FC20" s="1">
        <f t="shared" si="33"/>
        <v>0</v>
      </c>
      <c r="FD20" s="1">
        <f t="shared" si="33"/>
        <v>0</v>
      </c>
      <c r="FE20" s="1">
        <f t="shared" si="33"/>
        <v>0</v>
      </c>
      <c r="FF20" s="1">
        <f t="shared" si="33"/>
        <v>0</v>
      </c>
      <c r="FH20" s="162">
        <f t="shared" si="34"/>
        <v>0.64366991455050959</v>
      </c>
    </row>
    <row r="21" spans="1:164" ht="18" customHeight="1">
      <c r="A21" s="244" t="s">
        <v>121</v>
      </c>
      <c r="B21" s="247"/>
      <c r="C21" s="228">
        <f t="shared" si="5"/>
        <v>0</v>
      </c>
      <c r="D21" s="229">
        <v>-2</v>
      </c>
      <c r="E21" s="253">
        <f t="shared" si="6"/>
        <v>3.8258411814944493E-2</v>
      </c>
      <c r="F21" s="254">
        <f t="shared" si="7"/>
        <v>9.4422182783273634E-3</v>
      </c>
      <c r="G21" s="253">
        <f t="shared" si="8"/>
        <v>7.4292149125072537E-3</v>
      </c>
      <c r="H21" s="254">
        <f t="shared" si="9"/>
        <v>3.0829196902437239E-2</v>
      </c>
      <c r="I21" s="253">
        <f t="shared" si="10"/>
        <v>0.1771134851894709</v>
      </c>
      <c r="J21" s="254">
        <f t="shared" si="11"/>
        <v>-0.14700890643830578</v>
      </c>
      <c r="K21" s="253">
        <f t="shared" si="12"/>
        <v>0.28808303522815693</v>
      </c>
      <c r="L21" s="254">
        <f t="shared" si="13"/>
        <v>-0.11096955003868603</v>
      </c>
      <c r="M21" s="255"/>
      <c r="N21" s="256">
        <v>1</v>
      </c>
      <c r="O21" s="253">
        <f t="shared" si="35"/>
        <v>-2.0839332713567749E-2</v>
      </c>
      <c r="P21" s="257">
        <f t="shared" si="36"/>
        <v>-2.0839332713567749E-2</v>
      </c>
      <c r="Q21" s="253">
        <f t="shared" si="14"/>
        <v>3.842888093240604E-2</v>
      </c>
      <c r="R21" s="257">
        <f t="shared" si="37"/>
        <v>3.842888093240604E-2</v>
      </c>
      <c r="S21" s="255"/>
      <c r="T21" s="256">
        <v>1</v>
      </c>
      <c r="U21" s="253">
        <f t="shared" si="15"/>
        <v>0.20577009616654895</v>
      </c>
      <c r="V21" s="258">
        <f t="shared" si="16"/>
        <v>0.20577009616654895</v>
      </c>
      <c r="W21" s="253">
        <f t="shared" si="38"/>
        <v>0.93424437492714318</v>
      </c>
      <c r="X21" s="258">
        <f t="shared" si="17"/>
        <v>0.93424437492714318</v>
      </c>
      <c r="Y21" s="253">
        <f t="shared" si="18"/>
        <v>8.3380925185608135E-2</v>
      </c>
      <c r="Z21" s="258">
        <f t="shared" si="19"/>
        <v>8.3380925185608135E-2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3</v>
      </c>
      <c r="AQ21" s="28">
        <f>VLOOKUP($A21,historia!$A$5:$CM$24,+HLOOKUP(AQ$2,historia!$A$3:$EC$4,2,FALSE),FALSE)</f>
        <v>3</v>
      </c>
      <c r="AR21" s="28">
        <f>VLOOKUP($A21,historia!$A$5:$CM$24,+HLOOKUP(AR$2,historia!$A$3:$EC$4,2,FALSE),FALSE)</f>
        <v>3</v>
      </c>
      <c r="AS21" s="28">
        <f>VLOOKUP($A21,historia!$A$5:$CM$24,+HLOOKUP(AS$2,historia!$A$3:$EC$4,2,FALSE),FALSE)</f>
        <v>2</v>
      </c>
      <c r="AT21" s="58">
        <f>VLOOKUP($A21,historia!$A$5:$CM$24,+HLOOKUP(AT$2,historia!$A$3:$EC$4,2,FALSE),FALSE)</f>
        <v>1</v>
      </c>
      <c r="AU21" s="58">
        <f>VLOOKUP($A21,historia!$A$5:$CM$24,+HLOOKUP(AU$2,historia!$A$3:$EC$4,2,FALSE),FALSE)</f>
        <v>1</v>
      </c>
      <c r="AV21" s="58">
        <f>VLOOKUP($A21,historia!$A$5:$DD$24,+HLOOKUP(AV$2,historia!$A$3:$EC$4,2,FALSE),FALSE)</f>
        <v>2</v>
      </c>
      <c r="AW21" s="58">
        <f>VLOOKUP($A21,historia!$A$5:$DD$24,+HLOOKUP(AW$2,historia!$A$3:$EC$4,2,FALSE),FALSE)</f>
        <v>2</v>
      </c>
      <c r="AX21" s="58">
        <f>VLOOKUP($A21,historia!$A$5:$DD$24,+HLOOKUP(AX$2,historia!$A$3:$EC$4,2,FALSE),FALSE)</f>
        <v>2</v>
      </c>
      <c r="AY21" s="58">
        <f>VLOOKUP($A21,historia!$A$5:$DD$24,+HLOOKUP(AY$2,historia!$A$3:$EC$4,2,FALSE),FALSE)</f>
        <v>2</v>
      </c>
      <c r="AZ21" s="58">
        <f>VLOOKUP($A21,historia!$A$5:$DG$24,+HLOOKUP(AZ$2,historia!$A$3:$EC$4,2,FALSE),FALSE)</f>
        <v>3</v>
      </c>
      <c r="BA21" s="58">
        <f>VLOOKUP($A21,historia!$A$5:$DG$24,+HLOOKUP(BA$2,historia!$A$3:$EC$4,2,FALSE),FALSE)</f>
        <v>3</v>
      </c>
      <c r="BB21" s="58"/>
      <c r="BC21" s="286">
        <v>3</v>
      </c>
      <c r="BD21" t="str">
        <f t="shared" si="20"/>
        <v>Porcinos</v>
      </c>
      <c r="BE21">
        <f>+datos!BR1</f>
        <v>70</v>
      </c>
      <c r="BF21" s="2" t="str">
        <f t="shared" si="4"/>
        <v>$/kg</v>
      </c>
      <c r="BG21" s="2">
        <f t="shared" si="4"/>
        <v>1886.096</v>
      </c>
      <c r="BH21" s="2">
        <f t="shared" si="4"/>
        <v>1816.5959250000001</v>
      </c>
      <c r="BI21" s="2">
        <f t="shared" si="4"/>
        <v>1602.3059999999998</v>
      </c>
      <c r="BK21" s="1">
        <f>+datos!EJ1</f>
        <v>140</v>
      </c>
      <c r="BL21" s="1">
        <f t="shared" si="21"/>
        <v>5987778</v>
      </c>
      <c r="BM21" s="1">
        <f t="shared" si="21"/>
        <v>6115215</v>
      </c>
      <c r="BO21" s="1">
        <f>+datos!HE1</f>
        <v>213</v>
      </c>
      <c r="BP21" s="1">
        <f t="shared" si="22"/>
        <v>818175</v>
      </c>
      <c r="BQ21" s="1">
        <f t="shared" si="22"/>
        <v>787897</v>
      </c>
      <c r="BS21" s="1">
        <f>+datos!KJ1</f>
        <v>296</v>
      </c>
      <c r="BT21" s="1">
        <f t="shared" si="39"/>
        <v>32.590281539999999</v>
      </c>
      <c r="BU21" s="1">
        <f t="shared" si="40"/>
        <v>27.02860325</v>
      </c>
      <c r="BW21" s="1">
        <f>+datos!LO1</f>
        <v>327</v>
      </c>
      <c r="BX21" s="2">
        <f t="shared" si="23"/>
        <v>160.14136515000001</v>
      </c>
      <c r="BY21" s="2">
        <f t="shared" si="24"/>
        <v>82.792726310000006</v>
      </c>
      <c r="CA21" s="1">
        <f>+datos!IO1</f>
        <v>249</v>
      </c>
      <c r="CB21" s="2">
        <f t="shared" si="25"/>
        <v>18.97</v>
      </c>
      <c r="CC21" s="2">
        <f t="shared" si="26"/>
        <v>17.510000000000002</v>
      </c>
      <c r="CD21" s="2"/>
      <c r="CE21">
        <f>+datos!DD1</f>
        <v>108</v>
      </c>
      <c r="CF21" s="2">
        <f t="shared" si="27"/>
        <v>12853.239280350483</v>
      </c>
      <c r="CG21" s="2">
        <f t="shared" si="27"/>
        <v>12758.453983753841</v>
      </c>
      <c r="CH21" s="2">
        <f t="shared" si="27"/>
        <v>9978.5797412305801</v>
      </c>
      <c r="CI21" s="2"/>
      <c r="CK21" s="1">
        <f t="shared" si="28"/>
        <v>3.9903958900000003</v>
      </c>
      <c r="CL21" s="1">
        <f t="shared" si="28"/>
        <v>3.0562051500000003</v>
      </c>
      <c r="CM21" s="1">
        <f t="shared" si="28"/>
        <v>3.17480787</v>
      </c>
      <c r="CN21" s="1">
        <f t="shared" si="28"/>
        <v>3.9252467499999995</v>
      </c>
      <c r="CO21" s="1">
        <f t="shared" si="28"/>
        <v>2.8298719000000001</v>
      </c>
      <c r="CP21" s="1">
        <f t="shared" si="28"/>
        <v>2.08934314</v>
      </c>
      <c r="CQ21" s="1">
        <f t="shared" si="28"/>
        <v>2.1371287799999998</v>
      </c>
      <c r="CR21" s="1">
        <f t="shared" si="28"/>
        <v>2.3754365900000001</v>
      </c>
      <c r="CS21" s="1">
        <f t="shared" si="28"/>
        <v>2.2921349499999994</v>
      </c>
      <c r="CT21" s="1">
        <f t="shared" si="28"/>
        <v>1.76811707</v>
      </c>
      <c r="CU21" s="1">
        <f t="shared" si="28"/>
        <v>1.0764735399999998</v>
      </c>
      <c r="CV21" s="1">
        <f t="shared" si="28"/>
        <v>3.87511991</v>
      </c>
      <c r="CW21" s="1">
        <f t="shared" si="28"/>
        <v>1.4111442899999997</v>
      </c>
      <c r="CX21" s="1">
        <f t="shared" si="28"/>
        <v>1.9463367499999997</v>
      </c>
      <c r="CY21" s="1">
        <f t="shared" si="28"/>
        <v>1.6096260199999999</v>
      </c>
      <c r="CZ21" s="1">
        <f t="shared" si="28"/>
        <v>3.1723580499999997</v>
      </c>
      <c r="DA21" s="1">
        <f t="shared" si="29"/>
        <v>2.1279038099999998</v>
      </c>
      <c r="DB21" s="1">
        <f t="shared" si="29"/>
        <v>2.3778769799999995</v>
      </c>
      <c r="DC21" s="1">
        <f t="shared" si="29"/>
        <v>4.3175895799999999</v>
      </c>
      <c r="DD21" s="1">
        <f t="shared" si="29"/>
        <v>2.7596131099999996</v>
      </c>
      <c r="DE21" s="1">
        <f t="shared" si="29"/>
        <v>1.9296841299999996</v>
      </c>
      <c r="DF21" s="1">
        <f t="shared" si="29"/>
        <v>2.2533318799999997</v>
      </c>
      <c r="DG21" s="1">
        <f t="shared" si="29"/>
        <v>1.55421593</v>
      </c>
      <c r="DH21" s="1">
        <f t="shared" si="29"/>
        <v>1.56892272</v>
      </c>
      <c r="DJ21" s="1">
        <f t="shared" si="30"/>
        <v>9.4713607899999985</v>
      </c>
      <c r="DK21" s="1">
        <f t="shared" si="30"/>
        <v>10.975213970000002</v>
      </c>
      <c r="DL21" s="1">
        <f t="shared" si="30"/>
        <v>10.181194250000003</v>
      </c>
      <c r="DM21" s="1">
        <f t="shared" si="30"/>
        <v>12.329496939999999</v>
      </c>
      <c r="DN21" s="1">
        <f t="shared" si="30"/>
        <v>13.92452713</v>
      </c>
      <c r="DO21" s="1">
        <f t="shared" si="30"/>
        <v>11.75892646</v>
      </c>
      <c r="DP21" s="1">
        <f t="shared" si="30"/>
        <v>11.837628230000002</v>
      </c>
      <c r="DQ21" s="1">
        <f t="shared" si="30"/>
        <v>13.531613630000001</v>
      </c>
      <c r="DR21" s="1">
        <f t="shared" si="30"/>
        <v>19.3334501</v>
      </c>
      <c r="DS21" s="1">
        <f t="shared" si="30"/>
        <v>18.318769970000002</v>
      </c>
      <c r="DT21" s="1">
        <f t="shared" si="30"/>
        <v>14.031594299999998</v>
      </c>
      <c r="DU21" s="1">
        <f t="shared" si="30"/>
        <v>14.447589379999997</v>
      </c>
      <c r="DV21" s="1">
        <f t="shared" si="30"/>
        <v>14.265215759999998</v>
      </c>
      <c r="DW21" s="1">
        <f t="shared" si="30"/>
        <v>16.354180840000001</v>
      </c>
      <c r="DX21" s="1">
        <f t="shared" si="30"/>
        <v>10.919699229999997</v>
      </c>
      <c r="DY21" s="1">
        <f t="shared" ref="DY21:EG24" si="41">+VLOOKUP(DY$1,ran_dat,$BW21,FALSE)</f>
        <v>10.87912704</v>
      </c>
      <c r="DZ21" s="1">
        <f t="shared" si="41"/>
        <v>7.3519509899999989</v>
      </c>
      <c r="EA21" s="1">
        <f t="shared" si="41"/>
        <v>4.9251834299999988</v>
      </c>
      <c r="EB21" s="1">
        <f t="shared" si="41"/>
        <v>2.5935797799999998</v>
      </c>
      <c r="EC21" s="1">
        <f t="shared" si="41"/>
        <v>1.7163214500000001</v>
      </c>
      <c r="ED21" s="1">
        <f t="shared" si="41"/>
        <v>2.7920763000000002</v>
      </c>
      <c r="EE21" s="1">
        <f t="shared" si="41"/>
        <v>3.5088459899999997</v>
      </c>
      <c r="EF21" s="1">
        <f t="shared" si="41"/>
        <v>2.2524288500000003</v>
      </c>
      <c r="EG21" s="1">
        <f t="shared" si="41"/>
        <v>5.2341166499999998</v>
      </c>
      <c r="EI21" s="14">
        <f t="shared" si="32"/>
        <v>18.97</v>
      </c>
      <c r="EJ21" s="14">
        <f t="shared" si="32"/>
        <v>18.899999999999999</v>
      </c>
      <c r="EK21" s="1">
        <f t="shared" si="32"/>
        <v>18.78</v>
      </c>
      <c r="EL21" s="1">
        <f t="shared" si="32"/>
        <v>18.72</v>
      </c>
      <c r="EM21" s="1">
        <f t="shared" si="32"/>
        <v>18.600000000000001</v>
      </c>
      <c r="EN21" s="1">
        <f t="shared" si="32"/>
        <v>18.38</v>
      </c>
      <c r="EO21" s="1">
        <f t="shared" si="32"/>
        <v>18.28</v>
      </c>
      <c r="EP21" s="1">
        <f t="shared" si="32"/>
        <v>18.239999999999998</v>
      </c>
      <c r="EQ21" s="1">
        <f t="shared" si="32"/>
        <v>18.079999999999998</v>
      </c>
      <c r="ER21" s="1">
        <f t="shared" si="32"/>
        <v>17.989999999999998</v>
      </c>
      <c r="ES21" s="1">
        <f t="shared" si="32"/>
        <v>17.850000000000001</v>
      </c>
      <c r="ET21" s="1">
        <f t="shared" si="32"/>
        <v>17.73</v>
      </c>
      <c r="EU21" s="1">
        <f t="shared" si="32"/>
        <v>17.510000000000002</v>
      </c>
      <c r="EV21" s="1">
        <f t="shared" si="32"/>
        <v>17.13</v>
      </c>
      <c r="EW21" s="1">
        <f t="shared" si="32"/>
        <v>16.89</v>
      </c>
      <c r="EX21" s="1">
        <f t="shared" ref="EX21:FF24" si="42">+VLOOKUP(EX$1,ran_dat,$CA21,FALSE)</f>
        <v>16.87</v>
      </c>
      <c r="EY21" s="1">
        <f t="shared" si="42"/>
        <v>16.8</v>
      </c>
      <c r="EZ21" s="1">
        <f t="shared" si="42"/>
        <v>16.760000000000002</v>
      </c>
      <c r="FA21" s="1">
        <f t="shared" si="42"/>
        <v>16.84</v>
      </c>
      <c r="FB21" s="1">
        <f t="shared" si="42"/>
        <v>16.64</v>
      </c>
      <c r="FC21" s="1">
        <f t="shared" si="42"/>
        <v>16.68</v>
      </c>
      <c r="FD21" s="1">
        <f t="shared" si="42"/>
        <v>16.62</v>
      </c>
      <c r="FE21" s="1">
        <f t="shared" si="42"/>
        <v>16.5</v>
      </c>
      <c r="FF21" s="1">
        <f t="shared" si="42"/>
        <v>16.64</v>
      </c>
      <c r="FH21" s="162">
        <f t="shared" si="34"/>
        <v>-0.11096955003868603</v>
      </c>
    </row>
    <row r="22" spans="1:164" ht="18.75" customHeight="1">
      <c r="A22" s="243" t="s">
        <v>75</v>
      </c>
      <c r="B22" s="246"/>
      <c r="C22" s="156">
        <f t="shared" si="5"/>
        <v>0.66</v>
      </c>
      <c r="D22" s="198">
        <v>1</v>
      </c>
      <c r="E22" s="248">
        <f t="shared" si="6"/>
        <v>0</v>
      </c>
      <c r="F22" s="249">
        <f t="shared" si="7"/>
        <v>-2.881619353661713E-2</v>
      </c>
      <c r="G22" s="248">
        <f t="shared" si="8"/>
        <v>5.8604660075456394E-3</v>
      </c>
      <c r="H22" s="249">
        <f t="shared" si="9"/>
        <v>-5.8604660075456394E-3</v>
      </c>
      <c r="I22" s="248">
        <f t="shared" si="10"/>
        <v>0.34318367346938761</v>
      </c>
      <c r="J22" s="249">
        <f t="shared" si="11"/>
        <v>1.9061281841610933E-2</v>
      </c>
      <c r="K22" s="248">
        <f t="shared" si="12"/>
        <v>0.34475348672783124</v>
      </c>
      <c r="L22" s="249">
        <f t="shared" si="13"/>
        <v>-1.5698132584436308E-3</v>
      </c>
      <c r="M22" s="250"/>
      <c r="N22" s="24">
        <v>0</v>
      </c>
      <c r="O22" s="248">
        <f t="shared" si="35"/>
        <v>0</v>
      </c>
      <c r="P22" s="251">
        <f t="shared" si="36"/>
        <v>0</v>
      </c>
      <c r="Q22" s="248">
        <f t="shared" si="14"/>
        <v>0</v>
      </c>
      <c r="R22" s="251">
        <f t="shared" si="37"/>
        <v>0</v>
      </c>
      <c r="S22" s="250"/>
      <c r="T22" s="24">
        <v>1</v>
      </c>
      <c r="U22" s="248">
        <f t="shared" si="15"/>
        <v>0.31081813090436672</v>
      </c>
      <c r="V22" s="252">
        <f t="shared" si="16"/>
        <v>0.31081813090436672</v>
      </c>
      <c r="W22" s="248">
        <f t="shared" si="38"/>
        <v>-0.14923599826809908</v>
      </c>
      <c r="X22" s="252">
        <f t="shared" si="17"/>
        <v>-0.14923599826809908</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3</v>
      </c>
      <c r="AQ22" s="28">
        <f>VLOOKUP($A22,historia!$A$5:$CM$24,+HLOOKUP(AQ$2,historia!$A$3:$EC$4,2,FALSE),FALSE)</f>
        <v>3</v>
      </c>
      <c r="AR22" s="28">
        <f>VLOOKUP($A22,historia!$A$5:$CM$24,+HLOOKUP(AR$2,historia!$A$3:$EC$4,2,FALSE),FALSE)</f>
        <v>3</v>
      </c>
      <c r="AS22" s="28">
        <f>VLOOKUP($A22,historia!$A$5:$CM$24,+HLOOKUP(AS$2,historia!$A$3:$EC$4,2,FALSE),FALSE)</f>
        <v>3</v>
      </c>
      <c r="AT22" s="58">
        <f>VLOOKUP($A22,historia!$A$5:$CM$24,+HLOOKUP(AT$2,historia!$A$3:$EC$4,2,FALSE),FALSE)</f>
        <v>3</v>
      </c>
      <c r="AU22" s="58">
        <f>VLOOKUP($A22,historia!$A$5:$CM$24,+HLOOKUP(AU$2,historia!$A$3:$EC$4,2,FALSE),FALSE)</f>
        <v>3</v>
      </c>
      <c r="AV22" s="58">
        <f>VLOOKUP($A22,historia!$A$5:$DD$24,+HLOOKUP(AV$2,historia!$A$3:$EC$4,2,FALSE),FALSE)</f>
        <v>3</v>
      </c>
      <c r="AW22" s="58">
        <f>VLOOKUP($A22,historia!$A$5:$DD$24,+HLOOKUP(AW$2,historia!$A$3:$EC$4,2,FALSE),FALSE)</f>
        <v>3</v>
      </c>
      <c r="AX22" s="58">
        <f>VLOOKUP($A22,historia!$A$5:$DD$24,+HLOOKUP(AX$2,historia!$A$3:$EC$4,2,FALSE),FALSE)</f>
        <v>3</v>
      </c>
      <c r="AY22" s="58">
        <f>VLOOKUP($A22,historia!$A$5:$DD$24,+HLOOKUP(AY$2,historia!$A$3:$EC$4,2,FALSE),FALSE)</f>
        <v>3</v>
      </c>
      <c r="AZ22" s="58">
        <f>VLOOKUP($A22,historia!$A$5:$DG$24,+HLOOKUP(AZ$2,historia!$A$3:$EC$4,2,FALSE),FALSE)</f>
        <v>3</v>
      </c>
      <c r="BA22" s="58">
        <f>VLOOKUP($A22,historia!$A$5:$DG$24,+HLOOKUP(BA$2,historia!$A$3:$EC$4,2,FALSE),FALSE)</f>
        <v>3</v>
      </c>
      <c r="BB22" s="58"/>
      <c r="BC22" s="286">
        <v>3</v>
      </c>
      <c r="BD22" t="str">
        <f t="shared" si="20"/>
        <v>Tabaco</v>
      </c>
      <c r="BE22">
        <f>+datos!BJ1</f>
        <v>62</v>
      </c>
      <c r="BF22" s="2" t="str">
        <f t="shared" si="4"/>
        <v>$/kg</v>
      </c>
      <c r="BG22" s="2">
        <f t="shared" si="4"/>
        <v>4936.2</v>
      </c>
      <c r="BH22" s="2">
        <f t="shared" si="4"/>
        <v>4936.2</v>
      </c>
      <c r="BI22" s="2">
        <f t="shared" si="4"/>
        <v>3675</v>
      </c>
      <c r="BK22" s="1">
        <f>+datos!FD1</f>
        <v>160</v>
      </c>
      <c r="BL22" s="1">
        <f t="shared" si="21"/>
        <v>60376</v>
      </c>
      <c r="BM22" s="1">
        <f t="shared" si="21"/>
        <v>60376</v>
      </c>
      <c r="BO22" s="1">
        <f>+datos!GX1</f>
        <v>206</v>
      </c>
      <c r="BP22" s="1">
        <f t="shared" si="22"/>
        <v>36041.686000000002</v>
      </c>
      <c r="BQ22" s="1">
        <f t="shared" si="22"/>
        <v>36041.686000000002</v>
      </c>
      <c r="BS22" s="1">
        <f>+datos!KC1</f>
        <v>289</v>
      </c>
      <c r="BT22" s="1">
        <f t="shared" si="39"/>
        <v>628.10626536000007</v>
      </c>
      <c r="BU22" s="1">
        <f t="shared" si="40"/>
        <v>479.17117604000003</v>
      </c>
      <c r="BW22" s="1">
        <f>+datos!LH1</f>
        <v>320</v>
      </c>
      <c r="BX22" s="2">
        <f t="shared" si="23"/>
        <v>49.156224140000006</v>
      </c>
      <c r="BY22" s="2">
        <f t="shared" si="24"/>
        <v>57.778918760000003</v>
      </c>
      <c r="CA22" s="1">
        <f>+datos!JD1</f>
        <v>264</v>
      </c>
      <c r="CB22" s="1">
        <f t="shared" si="25"/>
        <v>0</v>
      </c>
      <c r="CC22" s="1">
        <f t="shared" si="26"/>
        <v>0</v>
      </c>
      <c r="CD22" s="1"/>
      <c r="CE22">
        <f>+datos!DA1</f>
        <v>105</v>
      </c>
      <c r="CF22" s="2">
        <f t="shared" si="27"/>
        <v>12865.387806211356</v>
      </c>
      <c r="CG22" s="2">
        <f t="shared" si="27"/>
        <v>12790.429926405761</v>
      </c>
      <c r="CH22" s="2">
        <f t="shared" si="27"/>
        <v>9567.0975633731305</v>
      </c>
      <c r="CI22" s="1"/>
      <c r="CK22" s="1">
        <f t="shared" ref="CK22:CZ24" si="43">+VLOOKUP(CK$1,ran_dat,$BS22,FALSE)</f>
        <v>13.8144042</v>
      </c>
      <c r="CL22" s="1">
        <f t="shared" si="43"/>
        <v>30.603557829999996</v>
      </c>
      <c r="CM22" s="1">
        <f t="shared" si="43"/>
        <v>71.370433359999993</v>
      </c>
      <c r="CN22" s="1">
        <f t="shared" si="43"/>
        <v>81.464957519999999</v>
      </c>
      <c r="CO22" s="1">
        <f t="shared" si="43"/>
        <v>72.4463358</v>
      </c>
      <c r="CP22" s="1">
        <f t="shared" si="43"/>
        <v>45.834687599999995</v>
      </c>
      <c r="CQ22" s="1">
        <f t="shared" si="43"/>
        <v>54.830270300000002</v>
      </c>
      <c r="CR22" s="1">
        <f t="shared" si="43"/>
        <v>93.57534471000001</v>
      </c>
      <c r="CS22" s="1">
        <f t="shared" si="43"/>
        <v>121.04017274</v>
      </c>
      <c r="CT22" s="1">
        <f t="shared" si="43"/>
        <v>27.891120319999999</v>
      </c>
      <c r="CU22" s="1">
        <f t="shared" si="43"/>
        <v>5.5120895000000001</v>
      </c>
      <c r="CV22" s="1">
        <f t="shared" si="43"/>
        <v>9.7228914799999995</v>
      </c>
      <c r="CW22" s="1">
        <f t="shared" si="43"/>
        <v>6.2035308000000002</v>
      </c>
      <c r="CX22" s="1">
        <f t="shared" si="43"/>
        <v>65.18720725</v>
      </c>
      <c r="CY22" s="1">
        <f t="shared" si="43"/>
        <v>34.962073999999994</v>
      </c>
      <c r="CZ22" s="1">
        <f t="shared" si="43"/>
        <v>41.640055749999995</v>
      </c>
      <c r="DA22" s="1">
        <f t="shared" ref="DA22:DH24" si="44">+VLOOKUP(DA$1,ran_dat,$BS22,FALSE)</f>
        <v>54.488227269999996</v>
      </c>
      <c r="DB22" s="1">
        <f t="shared" si="44"/>
        <v>45.888815350000002</v>
      </c>
      <c r="DC22" s="1">
        <f t="shared" si="44"/>
        <v>56.365947810000002</v>
      </c>
      <c r="DD22" s="1">
        <f t="shared" si="44"/>
        <v>58.671597329999997</v>
      </c>
      <c r="DE22" s="1">
        <f t="shared" si="44"/>
        <v>31.625168280000004</v>
      </c>
      <c r="DF22" s="1">
        <f t="shared" si="44"/>
        <v>17.697801470000002</v>
      </c>
      <c r="DG22" s="1">
        <f t="shared" si="44"/>
        <v>30.191481329999998</v>
      </c>
      <c r="DH22" s="1">
        <f t="shared" si="44"/>
        <v>36.249269399999989</v>
      </c>
      <c r="DJ22" s="1">
        <f t="shared" ref="DJ22:DY24" si="45">+VLOOKUP(DJ$1,ran_dat,$BW22,FALSE)</f>
        <v>2.54586113</v>
      </c>
      <c r="DK22" s="1">
        <f t="shared" si="45"/>
        <v>3.7941515599999995</v>
      </c>
      <c r="DL22" s="1">
        <f t="shared" si="45"/>
        <v>4.1345480800000001</v>
      </c>
      <c r="DM22" s="1">
        <f t="shared" si="45"/>
        <v>4.4276183800000002</v>
      </c>
      <c r="DN22" s="1">
        <f t="shared" si="45"/>
        <v>4.1999923900000002</v>
      </c>
      <c r="DO22" s="1">
        <f t="shared" si="45"/>
        <v>3.4339864000000002</v>
      </c>
      <c r="DP22" s="1">
        <f t="shared" si="45"/>
        <v>2.5223350999999994</v>
      </c>
      <c r="DQ22" s="1">
        <f t="shared" si="45"/>
        <v>3.5013919399999995</v>
      </c>
      <c r="DR22" s="1">
        <f t="shared" si="45"/>
        <v>4.00557768</v>
      </c>
      <c r="DS22" s="1">
        <f t="shared" si="45"/>
        <v>5.1774083700000002</v>
      </c>
      <c r="DT22" s="1">
        <f t="shared" si="45"/>
        <v>5.7823087099999997</v>
      </c>
      <c r="DU22" s="1">
        <f t="shared" si="45"/>
        <v>5.6310443999999995</v>
      </c>
      <c r="DV22" s="1">
        <f t="shared" si="45"/>
        <v>4.1108512499999996</v>
      </c>
      <c r="DW22" s="1">
        <f t="shared" si="45"/>
        <v>6.9241559000000006</v>
      </c>
      <c r="DX22" s="1">
        <f t="shared" si="45"/>
        <v>4.9762964800000002</v>
      </c>
      <c r="DY22" s="1">
        <f t="shared" si="45"/>
        <v>5.7062324599999998</v>
      </c>
      <c r="DZ22" s="1">
        <f t="shared" si="41"/>
        <v>5.3893107900000006</v>
      </c>
      <c r="EA22" s="1">
        <f t="shared" si="41"/>
        <v>5.0602291599999996</v>
      </c>
      <c r="EB22" s="1">
        <f t="shared" si="41"/>
        <v>1.1636776099999999</v>
      </c>
      <c r="EC22" s="1">
        <f t="shared" si="41"/>
        <v>4.3331795800000004</v>
      </c>
      <c r="ED22" s="1">
        <f t="shared" si="41"/>
        <v>5.5991701699999998</v>
      </c>
      <c r="EE22" s="1">
        <f t="shared" si="41"/>
        <v>5.1284923700000009</v>
      </c>
      <c r="EF22" s="1">
        <f t="shared" si="41"/>
        <v>4.8853449399999995</v>
      </c>
      <c r="EG22" s="1">
        <f t="shared" si="41"/>
        <v>4.5019780499999991</v>
      </c>
      <c r="EI22" s="14">
        <f t="shared" ref="EI22:EX24" si="46">+VLOOKUP(EI$1,ran_dat,$CA22,FALSE)</f>
        <v>0</v>
      </c>
      <c r="EJ22" s="14">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6"/>
        <v>0</v>
      </c>
      <c r="EY22" s="1">
        <f t="shared" si="42"/>
        <v>0</v>
      </c>
      <c r="EZ22" s="1">
        <f t="shared" si="42"/>
        <v>0</v>
      </c>
      <c r="FA22" s="1">
        <f t="shared" si="42"/>
        <v>0</v>
      </c>
      <c r="FB22" s="1">
        <f t="shared" si="42"/>
        <v>0</v>
      </c>
      <c r="FC22" s="1">
        <f t="shared" si="42"/>
        <v>0</v>
      </c>
      <c r="FD22" s="1">
        <f t="shared" si="42"/>
        <v>0</v>
      </c>
      <c r="FE22" s="1">
        <f t="shared" si="42"/>
        <v>0</v>
      </c>
      <c r="FF22" s="1">
        <f t="shared" si="42"/>
        <v>0</v>
      </c>
      <c r="FH22" s="162">
        <f t="shared" si="34"/>
        <v>-1.5698132584436308E-3</v>
      </c>
    </row>
    <row r="23" spans="1:164" ht="18.75" customHeight="1">
      <c r="A23" s="244" t="s">
        <v>219</v>
      </c>
      <c r="B23" s="247"/>
      <c r="C23" s="228">
        <f t="shared" si="5"/>
        <v>-0.99</v>
      </c>
      <c r="D23" s="229">
        <v>-1</v>
      </c>
      <c r="E23" s="253">
        <f t="shared" si="6"/>
        <v>-8.9851360515508572E-2</v>
      </c>
      <c r="F23" s="254">
        <f t="shared" si="7"/>
        <v>-0.1186675540521257</v>
      </c>
      <c r="G23" s="253">
        <f t="shared" si="8"/>
        <v>-1.759902241785638E-2</v>
      </c>
      <c r="H23" s="254">
        <f t="shared" si="9"/>
        <v>-7.2252338097652191E-2</v>
      </c>
      <c r="I23" s="253">
        <f t="shared" si="10"/>
        <v>-0.11782508364411903</v>
      </c>
      <c r="J23" s="254">
        <f t="shared" si="11"/>
        <v>-0.44194747527189571</v>
      </c>
      <c r="K23" s="253">
        <f t="shared" si="12"/>
        <v>0.24228662059112804</v>
      </c>
      <c r="L23" s="254">
        <f t="shared" si="13"/>
        <v>-0.36011170423524708</v>
      </c>
      <c r="M23" s="255"/>
      <c r="N23" s="256">
        <v>-2</v>
      </c>
      <c r="O23" s="253">
        <f t="shared" si="35"/>
        <v>0</v>
      </c>
      <c r="P23" s="257">
        <f t="shared" si="36"/>
        <v>0</v>
      </c>
      <c r="Q23" s="253">
        <f t="shared" si="14"/>
        <v>-7.6201048455332931E-2</v>
      </c>
      <c r="R23" s="257">
        <f t="shared" si="37"/>
        <v>-7.6201048455332931E-2</v>
      </c>
      <c r="S23" s="255"/>
      <c r="T23" s="256">
        <v>0</v>
      </c>
      <c r="U23" s="253">
        <f t="shared" si="15"/>
        <v>-3.7649087099016043E-2</v>
      </c>
      <c r="V23" s="258">
        <f t="shared" si="16"/>
        <v>-3.7649087099016043E-2</v>
      </c>
      <c r="W23" s="253">
        <f t="shared" si="38"/>
        <v>1.1322573043256261</v>
      </c>
      <c r="X23" s="258">
        <f t="shared" si="17"/>
        <v>1.1322573043256261</v>
      </c>
      <c r="Y23" s="253">
        <f t="shared" si="18"/>
        <v>-0.10447761194029848</v>
      </c>
      <c r="Z23" s="258">
        <f t="shared" si="19"/>
        <v>-0.10447761194029848</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4</v>
      </c>
      <c r="AQ23" s="28">
        <f>VLOOKUP($A23,historia!$A$5:$CM$24,+HLOOKUP(AQ$2,historia!$A$3:$EC$4,2,FALSE),FALSE)</f>
        <v>4</v>
      </c>
      <c r="AR23" s="28">
        <f>VLOOKUP($A23,historia!$A$5:$CM$24,+HLOOKUP(AR$2,historia!$A$3:$EC$4,2,FALSE),FALSE)</f>
        <v>4</v>
      </c>
      <c r="AS23" s="28">
        <f>VLOOKUP($A23,historia!$A$5:$CM$24,+HLOOKUP(AS$2,historia!$A$3:$EC$4,2,FALSE),FALSE)</f>
        <v>4</v>
      </c>
      <c r="AT23" s="58">
        <f>VLOOKUP($A23,historia!$A$5:$CM$24,+HLOOKUP(AT$2,historia!$A$3:$EC$4,2,FALSE),FALSE)</f>
        <v>4</v>
      </c>
      <c r="AU23" s="58">
        <f>VLOOKUP($A23,historia!$A$5:$CM$24,+HLOOKUP(AU$2,historia!$A$3:$EC$4,2,FALSE),FALSE)</f>
        <v>4</v>
      </c>
      <c r="AV23" s="58">
        <f>VLOOKUP($A23,historia!$A$5:$DD$24,+HLOOKUP(AV$2,historia!$A$3:$EC$4,2,FALSE),FALSE)</f>
        <v>4</v>
      </c>
      <c r="AW23" s="58">
        <f>VLOOKUP($A23,historia!$A$5:$DD$24,+HLOOKUP(AW$2,historia!$A$3:$EC$4,2,FALSE),FALSE)</f>
        <v>4</v>
      </c>
      <c r="AX23" s="58">
        <f>VLOOKUP($A23,historia!$A$5:$DD$24,+HLOOKUP(AX$2,historia!$A$3:$EC$4,2,FALSE),FALSE)</f>
        <v>4</v>
      </c>
      <c r="AY23" s="58">
        <f>VLOOKUP($A23,historia!$A$5:$DD$24,+HLOOKUP(AY$2,historia!$A$3:$EC$4,2,FALSE),FALSE)</f>
        <v>4</v>
      </c>
      <c r="AZ23" s="58">
        <f>VLOOKUP($A23,historia!$A$5:$DG$24,+HLOOKUP(AZ$2,historia!$A$3:$EC$4,2,FALSE),FALSE)</f>
        <v>4</v>
      </c>
      <c r="BA23" s="58">
        <f>VLOOKUP($A23,historia!$A$5:$DG$24,+HLOOKUP(BA$2,historia!$A$3:$EC$4,2,FALSE),FALSE)</f>
        <v>5</v>
      </c>
      <c r="BB23" s="58"/>
      <c r="BC23" s="286">
        <v>5</v>
      </c>
      <c r="BD23" t="str">
        <f t="shared" si="20"/>
        <v>Vino y Mosto</v>
      </c>
      <c r="BE23">
        <f>+datos!AM1</f>
        <v>39</v>
      </c>
      <c r="BF23" s="2" t="str">
        <f t="shared" si="4"/>
        <v>$/l</v>
      </c>
      <c r="BG23" s="2">
        <f t="shared" si="4"/>
        <v>312.71159999999998</v>
      </c>
      <c r="BH23" s="2">
        <f t="shared" si="4"/>
        <v>343.58299999999997</v>
      </c>
      <c r="BI23" s="2">
        <f t="shared" si="4"/>
        <v>354.47800000000001</v>
      </c>
      <c r="BK23" s="1">
        <f>+datos!EF1</f>
        <v>136</v>
      </c>
      <c r="BL23" s="1">
        <f t="shared" si="21"/>
        <v>196220</v>
      </c>
      <c r="BM23" s="1">
        <f t="shared" si="21"/>
        <v>196220</v>
      </c>
      <c r="BO23" s="1">
        <f>+datos!GB1</f>
        <v>184</v>
      </c>
      <c r="BP23" s="1">
        <f t="shared" si="22"/>
        <v>18391299</v>
      </c>
      <c r="BQ23" s="1">
        <f t="shared" si="22"/>
        <v>19908335</v>
      </c>
      <c r="BS23" s="1">
        <f>+datos!JU1</f>
        <v>281</v>
      </c>
      <c r="BT23" s="1">
        <f t="shared" si="39"/>
        <v>950.24390544000005</v>
      </c>
      <c r="BU23" s="1">
        <f t="shared" si="40"/>
        <v>987.41934225999989</v>
      </c>
      <c r="BW23" s="1">
        <f>+datos!KZ1</f>
        <v>312</v>
      </c>
      <c r="BX23" s="2">
        <f t="shared" si="23"/>
        <v>43.23443614</v>
      </c>
      <c r="BY23" s="2">
        <f t="shared" si="24"/>
        <v>20.276369110000005</v>
      </c>
      <c r="CA23" s="1">
        <f>+datos!IQ1</f>
        <v>251</v>
      </c>
      <c r="CB23" s="2">
        <f t="shared" si="25"/>
        <v>14.399999999999999</v>
      </c>
      <c r="CC23" s="2">
        <f t="shared" si="26"/>
        <v>16.079999999999998</v>
      </c>
      <c r="CD23" s="2"/>
      <c r="CE23">
        <f>+datos!CP1</f>
        <v>94</v>
      </c>
      <c r="CF23" s="2">
        <f t="shared" si="27"/>
        <v>13298.751078474981</v>
      </c>
      <c r="CG23" s="2">
        <f t="shared" si="27"/>
        <v>13536.988848693409</v>
      </c>
      <c r="CH23" s="2">
        <f t="shared" si="27"/>
        <v>10705.058605675815</v>
      </c>
      <c r="CI23" s="2"/>
      <c r="CK23" s="1">
        <f t="shared" si="43"/>
        <v>51.281836970000001</v>
      </c>
      <c r="CL23" s="1">
        <f t="shared" si="43"/>
        <v>78.732425000000021</v>
      </c>
      <c r="CM23" s="1">
        <f t="shared" si="43"/>
        <v>78.044882909999998</v>
      </c>
      <c r="CN23" s="1">
        <f t="shared" si="43"/>
        <v>79.565238250000007</v>
      </c>
      <c r="CO23" s="1">
        <f t="shared" si="43"/>
        <v>103.29015631000003</v>
      </c>
      <c r="CP23" s="1">
        <f t="shared" si="43"/>
        <v>82.138745600000007</v>
      </c>
      <c r="CQ23" s="1">
        <f t="shared" si="43"/>
        <v>101.39273792999998</v>
      </c>
      <c r="CR23" s="1">
        <f t="shared" si="43"/>
        <v>71.170798900000008</v>
      </c>
      <c r="CS23" s="1">
        <f t="shared" si="43"/>
        <v>88.994061629999976</v>
      </c>
      <c r="CT23" s="1">
        <f t="shared" si="43"/>
        <v>77.155977009999987</v>
      </c>
      <c r="CU23" s="1">
        <f t="shared" si="43"/>
        <v>74.722979570000021</v>
      </c>
      <c r="CV23" s="1">
        <f t="shared" si="43"/>
        <v>63.754065359999977</v>
      </c>
      <c r="CW23" s="1">
        <f t="shared" si="43"/>
        <v>50.923025279999997</v>
      </c>
      <c r="CX23" s="1">
        <f t="shared" si="43"/>
        <v>85.381089520000018</v>
      </c>
      <c r="CY23" s="1">
        <f t="shared" si="43"/>
        <v>87.09478919</v>
      </c>
      <c r="CZ23" s="1">
        <f t="shared" si="43"/>
        <v>88.790830600000021</v>
      </c>
      <c r="DA23" s="1">
        <f t="shared" si="44"/>
        <v>106.11166329999998</v>
      </c>
      <c r="DB23" s="1">
        <f t="shared" si="44"/>
        <v>99.074693340000039</v>
      </c>
      <c r="DC23" s="1">
        <f t="shared" si="44"/>
        <v>115.95052356999999</v>
      </c>
      <c r="DD23" s="1">
        <f t="shared" si="44"/>
        <v>55.887516779999999</v>
      </c>
      <c r="DE23" s="1">
        <f t="shared" si="44"/>
        <v>84.428757199999993</v>
      </c>
      <c r="DF23" s="1">
        <f t="shared" si="44"/>
        <v>70.799436420000006</v>
      </c>
      <c r="DG23" s="1">
        <f t="shared" si="44"/>
        <v>83.547570889999989</v>
      </c>
      <c r="DH23" s="1">
        <f t="shared" si="44"/>
        <v>59.429446169999991</v>
      </c>
      <c r="DJ23" s="1">
        <f t="shared" si="45"/>
        <v>0.82771172999999998</v>
      </c>
      <c r="DK23" s="1">
        <f t="shared" si="45"/>
        <v>2.0960773500000003</v>
      </c>
      <c r="DL23" s="1">
        <f t="shared" si="45"/>
        <v>4.0370959900000001</v>
      </c>
      <c r="DM23" s="1">
        <f t="shared" si="45"/>
        <v>5.8187882499999999</v>
      </c>
      <c r="DN23" s="1">
        <f t="shared" si="45"/>
        <v>6.2238594599999999</v>
      </c>
      <c r="DO23" s="1">
        <f t="shared" si="45"/>
        <v>3.3465065500000004</v>
      </c>
      <c r="DP23" s="1">
        <f t="shared" si="45"/>
        <v>3.10878063</v>
      </c>
      <c r="DQ23" s="1">
        <f t="shared" si="45"/>
        <v>5.0584831100000001</v>
      </c>
      <c r="DR23" s="1">
        <f t="shared" si="45"/>
        <v>4.0554375800000004</v>
      </c>
      <c r="DS23" s="1">
        <f t="shared" si="45"/>
        <v>3.476448889999999</v>
      </c>
      <c r="DT23" s="1">
        <f t="shared" si="45"/>
        <v>3.23844815</v>
      </c>
      <c r="DU23" s="1">
        <f t="shared" si="45"/>
        <v>1.94679845</v>
      </c>
      <c r="DV23" s="1">
        <f t="shared" si="45"/>
        <v>0.41117072999999998</v>
      </c>
      <c r="DW23" s="1">
        <f t="shared" si="45"/>
        <v>1.6918772199999998</v>
      </c>
      <c r="DX23" s="1">
        <f t="shared" si="45"/>
        <v>4.1008112300000006</v>
      </c>
      <c r="DY23" s="1">
        <f t="shared" si="45"/>
        <v>2.9628047099999995</v>
      </c>
      <c r="DZ23" s="1">
        <f t="shared" si="41"/>
        <v>2.4415022799999999</v>
      </c>
      <c r="EA23" s="1">
        <f t="shared" si="41"/>
        <v>2.4186424700000004</v>
      </c>
      <c r="EB23" s="1">
        <f t="shared" si="41"/>
        <v>2.3161338599999999</v>
      </c>
      <c r="EC23" s="1">
        <f t="shared" si="41"/>
        <v>0.34545517000000003</v>
      </c>
      <c r="ED23" s="1">
        <f t="shared" si="41"/>
        <v>1.3068112300000001</v>
      </c>
      <c r="EE23" s="1">
        <f t="shared" si="41"/>
        <v>1.01985657</v>
      </c>
      <c r="EF23" s="1">
        <f t="shared" si="41"/>
        <v>0.49471243999999998</v>
      </c>
      <c r="EG23" s="1">
        <f t="shared" si="41"/>
        <v>0.76659119999999992</v>
      </c>
      <c r="EI23" s="14">
        <f t="shared" si="46"/>
        <v>14.399999999999999</v>
      </c>
      <c r="EJ23" s="14">
        <f t="shared" si="46"/>
        <v>16.079999999999998</v>
      </c>
      <c r="EK23" s="1">
        <f t="shared" si="46"/>
        <v>16.079999999999998</v>
      </c>
      <c r="EL23" s="1">
        <f t="shared" si="46"/>
        <v>16.079999999999998</v>
      </c>
      <c r="EM23" s="1">
        <f t="shared" si="46"/>
        <v>16.079999999999998</v>
      </c>
      <c r="EN23" s="1">
        <f t="shared" si="46"/>
        <v>16.079999999999998</v>
      </c>
      <c r="EO23" s="1">
        <f t="shared" si="46"/>
        <v>16.079999999999998</v>
      </c>
      <c r="EP23" s="1">
        <f t="shared" si="46"/>
        <v>16.079999999999998</v>
      </c>
      <c r="EQ23" s="1">
        <f t="shared" si="46"/>
        <v>16.079999999999998</v>
      </c>
      <c r="ER23" s="1">
        <f t="shared" si="46"/>
        <v>16.079999999999998</v>
      </c>
      <c r="ES23" s="1">
        <f t="shared" si="46"/>
        <v>16.079999999999998</v>
      </c>
      <c r="ET23" s="1">
        <f t="shared" si="46"/>
        <v>16.079999999999998</v>
      </c>
      <c r="EU23" s="1">
        <f t="shared" si="46"/>
        <v>16.079999999999998</v>
      </c>
      <c r="EV23" s="1">
        <f t="shared" si="46"/>
        <v>16.3</v>
      </c>
      <c r="EW23" s="1">
        <f t="shared" si="46"/>
        <v>16.3</v>
      </c>
      <c r="EX23" s="1">
        <f t="shared" si="46"/>
        <v>16.3</v>
      </c>
      <c r="EY23" s="1">
        <f t="shared" si="42"/>
        <v>16.3</v>
      </c>
      <c r="EZ23" s="1">
        <f t="shared" si="42"/>
        <v>16.3</v>
      </c>
      <c r="FA23" s="1">
        <f t="shared" si="42"/>
        <v>16.3</v>
      </c>
      <c r="FB23" s="1">
        <f t="shared" si="42"/>
        <v>16.3</v>
      </c>
      <c r="FC23" s="1">
        <f t="shared" si="42"/>
        <v>16.3</v>
      </c>
      <c r="FD23" s="1">
        <f t="shared" si="42"/>
        <v>16.3</v>
      </c>
      <c r="FE23" s="1">
        <f t="shared" si="42"/>
        <v>16.3</v>
      </c>
      <c r="FF23" s="1">
        <f t="shared" si="42"/>
        <v>16.3</v>
      </c>
      <c r="FH23" s="162">
        <f t="shared" si="34"/>
        <v>-0.36011170423524708</v>
      </c>
    </row>
    <row r="24" spans="1:164" ht="18.75" customHeight="1">
      <c r="A24" s="243" t="s">
        <v>39</v>
      </c>
      <c r="B24" s="246"/>
      <c r="C24" s="156">
        <f t="shared" si="5"/>
        <v>-0.65999999999999992</v>
      </c>
      <c r="D24" s="198">
        <v>-3</v>
      </c>
      <c r="E24" s="248">
        <f t="shared" si="6"/>
        <v>0</v>
      </c>
      <c r="F24" s="249">
        <f t="shared" si="7"/>
        <v>-2.881619353661713E-2</v>
      </c>
      <c r="G24" s="248">
        <f t="shared" si="8"/>
        <v>1.8232733448686478E-3</v>
      </c>
      <c r="H24" s="249">
        <f t="shared" si="9"/>
        <v>-1.8232733448686478E-3</v>
      </c>
      <c r="I24" s="248">
        <f t="shared" si="10"/>
        <v>-0.20833333333333337</v>
      </c>
      <c r="J24" s="249">
        <f t="shared" si="11"/>
        <v>-0.53245572496111004</v>
      </c>
      <c r="K24" s="248">
        <f t="shared" si="12"/>
        <v>0.31245830044099843</v>
      </c>
      <c r="L24" s="249">
        <f t="shared" si="13"/>
        <v>-0.5207916337743318</v>
      </c>
      <c r="M24" s="250"/>
      <c r="N24" s="24">
        <v>1</v>
      </c>
      <c r="O24" s="248">
        <f t="shared" si="35"/>
        <v>0</v>
      </c>
      <c r="P24" s="251">
        <f t="shared" si="36"/>
        <v>0</v>
      </c>
      <c r="Q24" s="248">
        <f t="shared" si="14"/>
        <v>-9.5024440935255416E-2</v>
      </c>
      <c r="R24" s="251">
        <f t="shared" si="37"/>
        <v>-9.5024440935255416E-2</v>
      </c>
      <c r="S24" s="250"/>
      <c r="T24" s="24">
        <v>0</v>
      </c>
      <c r="U24" s="248">
        <f t="shared" si="15"/>
        <v>0.10325375592560082</v>
      </c>
      <c r="V24" s="252">
        <f t="shared" si="16"/>
        <v>0.10325375592560082</v>
      </c>
      <c r="W24" s="248">
        <f t="shared" si="38"/>
        <v>5.2076758971062898E-2</v>
      </c>
      <c r="X24" s="258">
        <f t="shared" si="17"/>
        <v>5.2076758971062898E-2</v>
      </c>
      <c r="Y24" s="248">
        <f t="shared" si="18"/>
        <v>-3.7579951048395066E-2</v>
      </c>
      <c r="Z24" s="252">
        <f t="shared" si="19"/>
        <v>-3.7579951048395066E-2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VLOOKUP($A24,historia!$A$5:$DD$24,+HLOOKUP(AV$2,historia!$A$3:$EC$4,2,FALSE),FALSE)</f>
        <v>4</v>
      </c>
      <c r="AW24" s="58">
        <f>VLOOKUP($A24,historia!$A$5:$DD$24,+HLOOKUP(AW$2,historia!$A$3:$EC$4,2,FALSE),FALSE)</f>
        <v>4</v>
      </c>
      <c r="AX24" s="58">
        <f>VLOOKUP($A24,historia!$A$5:$DD$24,+HLOOKUP(AX$2,historia!$A$3:$EC$4,2,FALSE),FALSE)</f>
        <v>4</v>
      </c>
      <c r="AY24" s="58">
        <f>VLOOKUP($A24,historia!$A$5:$DD$24,+HLOOKUP(AY$2,historia!$A$3:$EC$4,2,FALSE),FALSE)</f>
        <v>4</v>
      </c>
      <c r="AZ24" s="58">
        <f>VLOOKUP($A24,historia!$A$5:$DG$24,+HLOOKUP(AZ$2,historia!$A$3:$EC$4,2,FALSE),FALSE)</f>
        <v>4</v>
      </c>
      <c r="BA24" s="58">
        <f>VLOOKUP($A24,historia!$A$5:$DG$24,+HLOOKUP(BA$2,historia!$A$3:$EC$4,2,FALSE),FALSE)</f>
        <v>4</v>
      </c>
      <c r="BB24" s="58"/>
      <c r="BC24" s="286">
        <v>4</v>
      </c>
      <c r="BD24" t="str">
        <f t="shared" si="20"/>
        <v>Yerba Mate</v>
      </c>
      <c r="BE24">
        <f>+datos!AG1</f>
        <v>33</v>
      </c>
      <c r="BF24" s="2" t="str">
        <f t="shared" si="4"/>
        <v>$/t</v>
      </c>
      <c r="BG24" s="2">
        <f t="shared" si="4"/>
        <v>190000</v>
      </c>
      <c r="BH24" s="2">
        <f t="shared" si="4"/>
        <v>190000</v>
      </c>
      <c r="BI24" s="2">
        <f t="shared" si="4"/>
        <v>240000</v>
      </c>
      <c r="BK24" s="1">
        <f>+datos!ED1</f>
        <v>134</v>
      </c>
      <c r="BL24" s="1">
        <f t="shared" si="21"/>
        <v>231352</v>
      </c>
      <c r="BM24" s="1">
        <f t="shared" si="21"/>
        <v>231352</v>
      </c>
      <c r="BO24" s="1">
        <f>+datos!FZ1</f>
        <v>182</v>
      </c>
      <c r="BP24" s="1">
        <f t="shared" si="22"/>
        <v>888278.76</v>
      </c>
      <c r="BQ24" s="1">
        <f t="shared" si="22"/>
        <v>981550</v>
      </c>
      <c r="BS24" s="1">
        <f>+datos!KD1</f>
        <v>290</v>
      </c>
      <c r="BT24" s="1">
        <f t="shared" si="39"/>
        <v>128.12467503999997</v>
      </c>
      <c r="BU24" s="1">
        <f t="shared" si="40"/>
        <v>116.13345919</v>
      </c>
      <c r="BW24" s="1">
        <f>+datos!LI1</f>
        <v>321</v>
      </c>
      <c r="BX24" s="2">
        <f t="shared" si="23"/>
        <v>23.378689769999998</v>
      </c>
      <c r="BY24" s="2">
        <f t="shared" si="24"/>
        <v>22.221467750000002</v>
      </c>
      <c r="CA24" s="1">
        <f>+datos!IP1</f>
        <v>250</v>
      </c>
      <c r="CB24" s="2">
        <f t="shared" si="25"/>
        <v>5.5266720107101239</v>
      </c>
      <c r="CC24" s="2">
        <f t="shared" si="26"/>
        <v>5.7424738987207355</v>
      </c>
      <c r="CD24" s="2"/>
      <c r="CE24">
        <f>+datos!CY1</f>
        <v>103</v>
      </c>
      <c r="CF24" s="2">
        <f t="shared" si="27"/>
        <v>12185.498372963753</v>
      </c>
      <c r="CG24" s="2">
        <f t="shared" si="27"/>
        <v>12163.321313427909</v>
      </c>
      <c r="CH24" s="2">
        <f t="shared" si="27"/>
        <v>9284.4842147512882</v>
      </c>
      <c r="CI24" s="2"/>
      <c r="CK24" s="1">
        <f t="shared" si="43"/>
        <v>7.9660401599999986</v>
      </c>
      <c r="CL24" s="1">
        <f t="shared" si="43"/>
        <v>11.742414109999999</v>
      </c>
      <c r="CM24" s="1">
        <f t="shared" si="43"/>
        <v>9.2986503200000001</v>
      </c>
      <c r="CN24" s="1">
        <f t="shared" si="43"/>
        <v>19.294760099999998</v>
      </c>
      <c r="CO24" s="1">
        <f t="shared" si="43"/>
        <v>12.267837869999999</v>
      </c>
      <c r="CP24" s="1">
        <f t="shared" si="43"/>
        <v>8.5848558799999992</v>
      </c>
      <c r="CQ24" s="1">
        <f t="shared" si="43"/>
        <v>12.502816449999999</v>
      </c>
      <c r="CR24" s="1">
        <f t="shared" si="43"/>
        <v>10.79513302</v>
      </c>
      <c r="CS24" s="1">
        <f t="shared" si="43"/>
        <v>10.492918690000002</v>
      </c>
      <c r="CT24" s="1">
        <f t="shared" si="43"/>
        <v>7.4906505000000001</v>
      </c>
      <c r="CU24" s="1">
        <f t="shared" si="43"/>
        <v>7.8719914600000003</v>
      </c>
      <c r="CV24" s="1">
        <f t="shared" si="43"/>
        <v>9.8166064800000008</v>
      </c>
      <c r="CW24" s="1">
        <f t="shared" si="43"/>
        <v>7.1690497699999991</v>
      </c>
      <c r="CX24" s="1">
        <f t="shared" si="43"/>
        <v>10.805856030000001</v>
      </c>
      <c r="CY24" s="1">
        <f t="shared" si="43"/>
        <v>10.476429469999998</v>
      </c>
      <c r="CZ24" s="1">
        <f t="shared" si="43"/>
        <v>11.361751129999998</v>
      </c>
      <c r="DA24" s="1">
        <f t="shared" si="44"/>
        <v>10.05873476</v>
      </c>
      <c r="DB24" s="1">
        <f t="shared" si="44"/>
        <v>9.4659040999999995</v>
      </c>
      <c r="DC24" s="1">
        <f t="shared" si="44"/>
        <v>8.3006057400000017</v>
      </c>
      <c r="DD24" s="1">
        <f t="shared" si="44"/>
        <v>11.077079630000002</v>
      </c>
      <c r="DE24" s="1">
        <f t="shared" si="44"/>
        <v>7.2906957700000001</v>
      </c>
      <c r="DF24" s="1">
        <f t="shared" si="44"/>
        <v>8.852789640000001</v>
      </c>
      <c r="DG24" s="1">
        <f t="shared" si="44"/>
        <v>12.408222910000001</v>
      </c>
      <c r="DH24" s="1">
        <f t="shared" si="44"/>
        <v>8.8663402400000013</v>
      </c>
      <c r="DJ24" s="1">
        <f t="shared" si="45"/>
        <v>1.1258133800000001</v>
      </c>
      <c r="DK24" s="1">
        <f t="shared" si="45"/>
        <v>1.20972141</v>
      </c>
      <c r="DL24" s="1">
        <f t="shared" si="45"/>
        <v>1.0549183800000002</v>
      </c>
      <c r="DM24" s="1">
        <f t="shared" si="45"/>
        <v>1.9397561100000003</v>
      </c>
      <c r="DN24" s="1">
        <f t="shared" si="45"/>
        <v>2.1093840299999997</v>
      </c>
      <c r="DO24" s="1">
        <f t="shared" si="45"/>
        <v>1.7438363500000003</v>
      </c>
      <c r="DP24" s="1">
        <f t="shared" si="45"/>
        <v>2.3219247899999997</v>
      </c>
      <c r="DQ24" s="1">
        <f t="shared" si="45"/>
        <v>1.6709123100000001</v>
      </c>
      <c r="DR24" s="1">
        <f t="shared" si="45"/>
        <v>3.5033770500000001</v>
      </c>
      <c r="DS24" s="1">
        <f t="shared" si="45"/>
        <v>2.2730154199999997</v>
      </c>
      <c r="DT24" s="1">
        <f t="shared" si="45"/>
        <v>2.4041640299999996</v>
      </c>
      <c r="DU24" s="1">
        <f t="shared" si="45"/>
        <v>2.0218665100000002</v>
      </c>
      <c r="DV24" s="1">
        <f t="shared" si="45"/>
        <v>1.1839526999999999</v>
      </c>
      <c r="DW24" s="1">
        <f t="shared" si="45"/>
        <v>1.1744757299999999</v>
      </c>
      <c r="DX24" s="1">
        <f t="shared" si="45"/>
        <v>2.1750064099999999</v>
      </c>
      <c r="DY24" s="1">
        <f t="shared" si="45"/>
        <v>2.6101839400000002</v>
      </c>
      <c r="DZ24" s="1">
        <f t="shared" si="41"/>
        <v>1.2494588400000002</v>
      </c>
      <c r="EA24" s="1">
        <f t="shared" si="41"/>
        <v>0.60028256999999996</v>
      </c>
      <c r="EB24" s="1">
        <f t="shared" si="41"/>
        <v>1.7316709800000001</v>
      </c>
      <c r="EC24" s="1">
        <f t="shared" si="41"/>
        <v>1.1554743999999999</v>
      </c>
      <c r="ED24" s="1">
        <f t="shared" si="41"/>
        <v>1.50586095</v>
      </c>
      <c r="EE24" s="1">
        <f t="shared" si="41"/>
        <v>3.2398820599999998</v>
      </c>
      <c r="EF24" s="1">
        <f t="shared" si="41"/>
        <v>3.1775986299999999</v>
      </c>
      <c r="EG24" s="1">
        <f t="shared" si="41"/>
        <v>2.4176205400000002</v>
      </c>
      <c r="EI24" s="14">
        <f t="shared" si="46"/>
        <v>5.5266720107101239</v>
      </c>
      <c r="EJ24" s="14">
        <f t="shared" si="46"/>
        <v>5.7424738987207355</v>
      </c>
      <c r="EK24" s="1">
        <f t="shared" si="46"/>
        <v>5.7424738987207355</v>
      </c>
      <c r="EL24" s="1">
        <f t="shared" si="46"/>
        <v>5.7424738987207355</v>
      </c>
      <c r="EM24" s="1">
        <f t="shared" si="46"/>
        <v>5.7424738987207355</v>
      </c>
      <c r="EN24" s="1">
        <f t="shared" si="46"/>
        <v>5.7424738987207355</v>
      </c>
      <c r="EO24" s="1">
        <f t="shared" si="46"/>
        <v>5.7424738987207355</v>
      </c>
      <c r="EP24" s="1">
        <f t="shared" si="46"/>
        <v>5.7424738987207355</v>
      </c>
      <c r="EQ24" s="1">
        <f t="shared" si="46"/>
        <v>5.7424738987207355</v>
      </c>
      <c r="ER24" s="1">
        <f t="shared" si="46"/>
        <v>5.7424738987207355</v>
      </c>
      <c r="ES24" s="1">
        <f t="shared" si="46"/>
        <v>5.7424738987207355</v>
      </c>
      <c r="ET24" s="1">
        <f t="shared" si="46"/>
        <v>5.7424738987207355</v>
      </c>
      <c r="EU24" s="1">
        <f t="shared" si="46"/>
        <v>5.7424738987207355</v>
      </c>
      <c r="EV24" s="1">
        <f t="shared" si="46"/>
        <v>5.5693606783423002</v>
      </c>
      <c r="EW24" s="1">
        <f t="shared" si="46"/>
        <v>5.5693606783423002</v>
      </c>
      <c r="EX24" s="1">
        <f t="shared" si="46"/>
        <v>5.5693606783423002</v>
      </c>
      <c r="EY24" s="1">
        <f t="shared" si="42"/>
        <v>5.5693606783423002</v>
      </c>
      <c r="EZ24" s="1">
        <f t="shared" si="42"/>
        <v>5.5693606783423002</v>
      </c>
      <c r="FA24" s="1">
        <f t="shared" si="42"/>
        <v>5.5693606783423002</v>
      </c>
      <c r="FB24" s="1">
        <f t="shared" si="42"/>
        <v>5.5693606783423002</v>
      </c>
      <c r="FC24" s="1">
        <f t="shared" si="42"/>
        <v>5.5693606783423002</v>
      </c>
      <c r="FD24" s="1">
        <f t="shared" si="42"/>
        <v>5.5693606783423002</v>
      </c>
      <c r="FE24" s="1">
        <f t="shared" si="42"/>
        <v>5.5693606783423002</v>
      </c>
      <c r="FF24" s="1">
        <f t="shared" si="42"/>
        <v>5.5693606783423002</v>
      </c>
      <c r="FH24" s="162">
        <f t="shared" si="34"/>
        <v>-0.5207916337743318</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18"/>
        <v/>
      </c>
      <c r="Z25" s="194"/>
      <c r="AA25" s="30"/>
      <c r="AB25" s="57"/>
      <c r="AT25" s="58"/>
      <c r="AU25" s="58"/>
      <c r="AV25" s="58"/>
      <c r="AW25" s="58"/>
      <c r="AX25" s="58"/>
      <c r="AY25" s="58"/>
      <c r="AZ25" s="58"/>
      <c r="BA25" s="58"/>
      <c r="BB25" s="58"/>
      <c r="BF25" s="2"/>
      <c r="BG25" s="2"/>
      <c r="BH25" s="2"/>
      <c r="BI25" s="2"/>
      <c r="BK25" s="1"/>
      <c r="BL25" s="1"/>
      <c r="BM25" s="1"/>
      <c r="BO25" s="1"/>
      <c r="BP25" s="1"/>
      <c r="BQ25" s="1"/>
      <c r="BS25" s="1"/>
      <c r="BT25" s="1"/>
      <c r="BU25" s="1"/>
      <c r="BW25" s="1"/>
      <c r="BX25" s="2"/>
      <c r="BY25" s="2"/>
      <c r="CA25" s="1"/>
      <c r="CB25" s="1"/>
      <c r="CC25" s="1"/>
      <c r="CD25" s="1"/>
      <c r="CF25" s="2"/>
      <c r="CG25" s="2"/>
      <c r="CH25" s="2"/>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G26" s="12"/>
      <c r="K26" s="12"/>
      <c r="O26" s="12"/>
      <c r="Y26" s="386"/>
      <c r="AB26" s="57"/>
      <c r="BI26" s="2"/>
      <c r="BP26" s="1"/>
      <c r="BT26" s="1">
        <f>BT20-BU20</f>
        <v>32.459927209999989</v>
      </c>
    </row>
    <row r="27" spans="1:164" ht="18.75" customHeight="1">
      <c r="I27" s="12">
        <f>+AVERAGEIF(I6:I24,"&lt;211%")</f>
        <v>0.4038511846966879</v>
      </c>
      <c r="K27" s="177">
        <f>+SUBTOTAL(101,K6:K21)</f>
        <v>0.34926059831852196</v>
      </c>
      <c r="V27" t="s">
        <v>167</v>
      </c>
      <c r="X27" s="162"/>
      <c r="BL27" s="1">
        <f>BL16-BM16</f>
        <v>-132230</v>
      </c>
      <c r="BM27" s="1"/>
      <c r="BP27" s="1">
        <f>BP16-BQ16</f>
        <v>-215436</v>
      </c>
      <c r="BQ27" s="1"/>
      <c r="BT27" s="1">
        <f>+SUM(BT6:BT24)</f>
        <v>59862.418994470012</v>
      </c>
      <c r="BU27" s="1">
        <f>+SUM(BU6:BU24)</f>
        <v>55301.376036889989</v>
      </c>
      <c r="BX27" s="1">
        <f>+SUM(BX6:BX24)</f>
        <v>3191.5169729899999</v>
      </c>
      <c r="BY27" s="1">
        <f>+SUM(BY6:BY24)</f>
        <v>3647.1469068699998</v>
      </c>
      <c r="FH27" s="167">
        <f>+COUNTIF(FH6:FH24,"&gt;0")</f>
        <v>10</v>
      </c>
    </row>
    <row r="28" spans="1:164" ht="18.75" customHeight="1">
      <c r="C28" s="156">
        <v>-1</v>
      </c>
      <c r="E28" s="167">
        <f>+COUNTIF($I$6:$I$24,"&lt;1,69")</f>
        <v>19</v>
      </c>
      <c r="F28" s="29">
        <v>-1</v>
      </c>
      <c r="I28" s="167">
        <f>+COUNTIF($I$6:$I$24,"&lt;1,69")</f>
        <v>19</v>
      </c>
      <c r="J28" s="29">
        <v>-1</v>
      </c>
      <c r="K28">
        <f>+COUNTIF($L$6:$L$24,"&lt;0")</f>
        <v>9</v>
      </c>
      <c r="L28" s="29">
        <v>-1</v>
      </c>
      <c r="O28">
        <f>+COUNTIF($P$6:$P$24,"&lt;0")</f>
        <v>8</v>
      </c>
      <c r="P28" s="262">
        <v>-1</v>
      </c>
      <c r="Q28">
        <f>+COUNTIF($R$6:$R$24,"&lt;0")</f>
        <v>7</v>
      </c>
      <c r="R28" s="262">
        <v>-1</v>
      </c>
      <c r="T28" s="57">
        <f>+COUNTIF($U$6:$U$24,"&lt;0")</f>
        <v>7</v>
      </c>
      <c r="U28" s="29">
        <v>-1</v>
      </c>
      <c r="BP28" s="167"/>
      <c r="BT28" s="10">
        <f>+BT27/BU27-1</f>
        <v>8.2476120567732014E-2</v>
      </c>
      <c r="BX28" s="10">
        <f>+BX27/BY27-1</f>
        <v>-0.12492777108093622</v>
      </c>
    </row>
    <row r="29" spans="1:164" ht="18.75" customHeight="1">
      <c r="A29" s="11">
        <f>+COUNTIF($C$6:$C$24,C29)</f>
        <v>8</v>
      </c>
      <c r="C29" s="156">
        <v>0</v>
      </c>
      <c r="E29" s="167">
        <f>+COUNTIF($I$6:$I$24,"=1,69")</f>
        <v>0</v>
      </c>
      <c r="F29" s="29">
        <v>0</v>
      </c>
      <c r="I29" s="167">
        <f>+COUNTIF($I$6:$I$24,"=1,69")</f>
        <v>0</v>
      </c>
      <c r="J29" s="29">
        <v>0</v>
      </c>
      <c r="L29" s="29">
        <v>0</v>
      </c>
      <c r="O29">
        <f>+COUNTIF($P$6:$P$24,"=0")</f>
        <v>8</v>
      </c>
      <c r="P29" s="262">
        <v>0</v>
      </c>
      <c r="Q29">
        <f>+COUNTIF($R$6:$R$24,"=0")</f>
        <v>6</v>
      </c>
      <c r="R29" s="262">
        <v>0</v>
      </c>
      <c r="T29" s="57">
        <f>+COUNTIF($U$6:$U$24,"=0")</f>
        <v>0</v>
      </c>
      <c r="U29" s="29">
        <v>0</v>
      </c>
      <c r="BP29" s="167"/>
    </row>
    <row r="30" spans="1:164" ht="18.75" customHeight="1">
      <c r="A30" s="11">
        <f>+COUNTIF($C$6:$C$24,"&gt;0")</f>
        <v>1</v>
      </c>
      <c r="C30" s="156">
        <v>1</v>
      </c>
      <c r="E30" s="167">
        <f>+COUNTIF($I$6:$I$24,"&gt;1,69")</f>
        <v>0</v>
      </c>
      <c r="F30" s="29">
        <v>1</v>
      </c>
      <c r="I30" s="167">
        <f>+COUNTIF($I$6:$I$24,"&gt;1,69")</f>
        <v>0</v>
      </c>
      <c r="J30" s="29">
        <v>1</v>
      </c>
      <c r="K30">
        <f>+COUNTIF($L$6:$L$24,"&gt;0")</f>
        <v>10</v>
      </c>
      <c r="L30" s="29">
        <v>1</v>
      </c>
      <c r="O30">
        <f>+COUNTIF($P$6:$P$24,"&gt;0")</f>
        <v>2</v>
      </c>
      <c r="P30" s="262">
        <v>1</v>
      </c>
      <c r="Q30">
        <f>+COUNTIF($R$6:$R$24,"&gt;0")</f>
        <v>6</v>
      </c>
      <c r="R30" s="262">
        <v>1</v>
      </c>
      <c r="T30" s="57">
        <f>+COUNTIF($U$6:$U$24,"&gt;0")</f>
        <v>11</v>
      </c>
      <c r="U30" s="29">
        <v>1</v>
      </c>
      <c r="X30" s="14"/>
      <c r="BP30" s="167"/>
      <c r="BS30" s="1"/>
    </row>
    <row r="31" spans="1:164" ht="18.75" customHeight="1">
      <c r="K31" s="12"/>
    </row>
    <row r="32" spans="1:164" ht="18.75" customHeight="1">
      <c r="C32" s="157"/>
      <c r="I32" s="14">
        <f>+COUNTIF(I6:I24,"&gt;211%")</f>
        <v>0</v>
      </c>
      <c r="J32" s="14"/>
      <c r="K32" s="14"/>
      <c r="Y32" s="163"/>
    </row>
    <row r="33" spans="1:165" ht="18.75" customHeight="1">
      <c r="C33" s="157"/>
      <c r="I33" s="12">
        <f>+I26/2</f>
        <v>0</v>
      </c>
    </row>
    <row r="34" spans="1:165"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4">
      <iconSet>
        <cfvo type="percent" val="0"/>
        <cfvo type="num" val="0"/>
        <cfvo type="num" val="0" gte="0"/>
      </iconSet>
    </cfRule>
  </conditionalFormatting>
  <conditionalFormatting sqref="C28:C30">
    <cfRule type="iconSet" priority="38">
      <iconSet>
        <cfvo type="percent" val="0"/>
        <cfvo type="num" val="0"/>
        <cfvo type="num" val="0" gte="0"/>
      </iconSet>
    </cfRule>
  </conditionalFormatting>
  <conditionalFormatting sqref="D6:D25">
    <cfRule type="iconSet" priority="43">
      <iconSet>
        <cfvo type="percent" val="0"/>
        <cfvo type="num" val="0"/>
        <cfvo type="num" val="0" gte="0"/>
      </iconSet>
    </cfRule>
  </conditionalFormatting>
  <conditionalFormatting sqref="F6:F16 F19:F25">
    <cfRule type="iconSet" priority="39">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6">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4">
      <iconSet>
        <cfvo type="percent" val="0"/>
        <cfvo type="num" val="0"/>
        <cfvo type="num" val="0" gte="0"/>
      </iconSet>
    </cfRule>
  </conditionalFormatting>
  <conditionalFormatting sqref="J6:J9 J11:J16 J19:J25">
    <cfRule type="iconSet" priority="37">
      <iconSet>
        <cfvo type="percent" val="0"/>
        <cfvo type="num" val="0"/>
        <cfvo type="num" val="0" gte="0"/>
      </iconSet>
    </cfRule>
  </conditionalFormatting>
  <conditionalFormatting sqref="J10">
    <cfRule type="iconSet" priority="35">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5">
      <iconSet>
        <cfvo type="percent" val="0"/>
        <cfvo type="num" val="0"/>
        <cfvo type="num" val="0" gte="0"/>
      </iconSet>
    </cfRule>
  </conditionalFormatting>
  <conditionalFormatting sqref="L10">
    <cfRule type="iconSet" priority="46">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0">
      <iconSet>
        <cfvo type="percent" val="0"/>
        <cfvo type="num" val="0"/>
        <cfvo type="num" val="0" gte="0"/>
      </iconSet>
    </cfRule>
  </conditionalFormatting>
  <conditionalFormatting sqref="N6:N25">
    <cfRule type="iconSet" priority="33">
      <iconSet>
        <cfvo type="percent" val="0"/>
        <cfvo type="num" val="0"/>
        <cfvo type="num" val="0" gte="0"/>
      </iconSet>
    </cfRule>
  </conditionalFormatting>
  <conditionalFormatting sqref="P6:P9 P11:P25">
    <cfRule type="iconSet" priority="41">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5">
      <iconSet>
        <cfvo type="percent" val="0"/>
        <cfvo type="num" val="0"/>
        <cfvo type="num" val="0" gte="0"/>
      </iconSet>
    </cfRule>
  </conditionalFormatting>
  <conditionalFormatting sqref="R6:R15 R17:R25">
    <cfRule type="iconSet" priority="42">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4">
      <iconSet>
        <cfvo type="percent" val="0"/>
        <cfvo type="num" val="0"/>
        <cfvo type="num" val="0" gte="0"/>
      </iconSet>
    </cfRule>
  </conditionalFormatting>
  <conditionalFormatting sqref="S6:S25">
    <cfRule type="iconSet" priority="28">
      <iconSet>
        <cfvo type="percent" val="0"/>
        <cfvo type="num" val="0"/>
        <cfvo type="num" val="0" gte="0"/>
      </iconSet>
    </cfRule>
  </conditionalFormatting>
  <conditionalFormatting sqref="T6:T25">
    <cfRule type="iconSet" priority="32">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1">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7">
      <iconSet>
        <cfvo type="percent" val="0"/>
        <cfvo type="num" val="0"/>
        <cfvo type="num" val="0" gte="0"/>
      </iconSet>
    </cfRule>
  </conditionalFormatting>
  <conditionalFormatting sqref="X25">
    <cfRule type="iconSet" priority="26">
      <iconSet reverse="1">
        <cfvo type="percent" val="0"/>
        <cfvo type="num" val="0"/>
        <cfvo type="num" val="0" gte="0"/>
      </iconSet>
    </cfRule>
  </conditionalFormatting>
  <conditionalFormatting sqref="Z6">
    <cfRule type="iconSet" priority="21">
      <iconSet>
        <cfvo type="percent" val="0"/>
        <cfvo type="num" val="0"/>
        <cfvo type="num" val="0" gte="0"/>
      </iconSet>
    </cfRule>
  </conditionalFormatting>
  <conditionalFormatting sqref="Z7">
    <cfRule type="iconSet" priority="20">
      <iconSet>
        <cfvo type="percent" val="0"/>
        <cfvo type="num" val="0"/>
        <cfvo type="num" val="0" gte="0"/>
      </iconSet>
    </cfRule>
  </conditionalFormatting>
  <conditionalFormatting sqref="Z8 Z12 Z14:Z17 Z21 Z23 Z25">
    <cfRule type="iconSet" priority="29">
      <iconSet>
        <cfvo type="percent" val="0"/>
        <cfvo type="num" val="0"/>
        <cfvo type="num" val="0" gte="0"/>
      </iconSet>
    </cfRule>
  </conditionalFormatting>
  <conditionalFormatting sqref="Z9:Z10">
    <cfRule type="iconSet" priority="23">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317" priority="47">
      <formula>AP6=3</formula>
    </cfRule>
    <cfRule type="expression" dxfId="316" priority="48">
      <formula>AP6=5</formula>
    </cfRule>
    <cfRule type="expression" dxfId="315" priority="49">
      <formula>AP6=4</formula>
    </cfRule>
    <cfRule type="expression" dxfId="314" priority="50">
      <formula>AP6=2</formula>
    </cfRule>
    <cfRule type="expression" dxfId="313" priority="51">
      <formula>AP6=1</formula>
    </cfRule>
    <cfRule type="expression" dxfId="312" priority="52">
      <formula>AP6=0</formula>
    </cfRule>
  </conditionalFormatting>
  <conditionalFormatting sqref="AN6:AN25">
    <cfRule type="expression" dxfId="311" priority="64">
      <formula>BA6=0</formula>
    </cfRule>
    <cfRule type="expression" dxfId="310" priority="59">
      <formula>BA6=3</formula>
    </cfRule>
    <cfRule type="expression" dxfId="309" priority="60">
      <formula>BA6=5</formula>
    </cfRule>
    <cfRule type="expression" dxfId="308" priority="61">
      <formula>BA6=4</formula>
    </cfRule>
    <cfRule type="expression" dxfId="307" priority="62">
      <formula>BA6=2</formula>
    </cfRule>
    <cfRule type="expression" dxfId="306" priority="63">
      <formula>BA6=1</formula>
    </cfRule>
  </conditionalFormatting>
  <conditionalFormatting sqref="AO6:AO25">
    <cfRule type="expression" dxfId="305" priority="53">
      <formula>#REF!=3</formula>
    </cfRule>
    <cfRule type="expression" dxfId="304" priority="54">
      <formula>#REF!=5</formula>
    </cfRule>
    <cfRule type="expression" dxfId="303" priority="55">
      <formula>#REF!=4</formula>
    </cfRule>
    <cfRule type="expression" dxfId="302" priority="57">
      <formula>#REF!=1</formula>
    </cfRule>
    <cfRule type="expression" dxfId="301" priority="58">
      <formula>#REF!=0</formula>
    </cfRule>
    <cfRule type="expression" dxfId="300" priority="56">
      <formula>#REF!=2</formula>
    </cfRule>
  </conditionalFormatting>
  <conditionalFormatting sqref="FH6:FH25 FH27">
    <cfRule type="colorScale" priority="22">
      <colorScale>
        <cfvo type="min"/>
        <cfvo type="percentile" val="50"/>
        <cfvo type="max"/>
        <color rgb="FFF8696B"/>
        <color rgb="FFFFEB84"/>
        <color rgb="FF63BE7B"/>
      </colorScale>
    </cfRule>
  </conditionalFormatting>
  <dataValidations disablePrompts="1" count="1">
    <dataValidation type="list" allowBlank="1" showInputMessage="1" showErrorMessage="1" sqref="B1" xr:uid="{03657724-89B2-4836-92A5-C409568D4CD2}">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94C06D89-45D0-4DDC-AC97-192BF43AA690}">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0" id="{B39B1683-5054-4D18-BC61-09F000656651}">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69A4286F-AC74-4E57-BE3B-80A12254839A}">
          <x14:formula1>
            <xm:f>datos!$A$10:$A$178</xm:f>
          </x14:formula1>
          <xm:sqref>A1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F34B8-667D-4A18-99A4-2AA5BE567BBD}">
  <sheetPr>
    <tabColor theme="5" tint="-0.249977111117893"/>
    <pageSetUpPr fitToPage="1"/>
  </sheetPr>
  <dimension ref="A1:FH47"/>
  <sheetViews>
    <sheetView showGridLines="0" zoomScale="70" zoomScaleNormal="70" workbookViewId="0">
      <pane xSplit="4" topLeftCell="E1" activePane="topRight" state="frozen"/>
      <selection pane="topRight" activeCell="I12" sqref="I12"/>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2.33203125" style="57" customWidth="1"/>
    <col min="41" max="41" width="3" style="57" customWidth="1"/>
    <col min="42" max="42" width="5.5546875" style="28" hidden="1" customWidth="1"/>
    <col min="43" max="43" width="5.33203125" style="28" hidden="1" customWidth="1"/>
    <col min="44" max="44" width="5.6640625" style="28" hidden="1" customWidth="1"/>
    <col min="45" max="45" width="5.33203125" style="28" hidden="1" customWidth="1"/>
    <col min="46" max="46" width="5.6640625" hidden="1" customWidth="1"/>
    <col min="47" max="47" width="5" hidden="1" customWidth="1"/>
    <col min="48" max="48" width="4.5546875" hidden="1" customWidth="1"/>
    <col min="49" max="49" width="5.6640625" hidden="1" customWidth="1"/>
    <col min="50" max="50" width="6" hidden="1" customWidth="1"/>
    <col min="51" max="51" width="5.33203125" hidden="1" customWidth="1"/>
    <col min="52" max="52" width="5.6640625" hidden="1" customWidth="1"/>
    <col min="53" max="53" width="5" hidden="1" customWidth="1"/>
    <col min="54" max="54" width="7.44140625" customWidth="1"/>
    <col min="55" max="55" width="11.6640625" style="141" customWidth="1"/>
    <col min="56" max="56" width="12" customWidth="1"/>
    <col min="57" max="57" width="0.88671875" customWidth="1"/>
    <col min="58" max="58" width="7.88671875" customWidth="1"/>
    <col min="59" max="61" width="8.88671875" bestFit="1"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44140625" bestFit="1" customWidth="1"/>
    <col min="90" max="90" width="6.88671875" bestFit="1" customWidth="1"/>
    <col min="91" max="92" width="7" bestFit="1" customWidth="1"/>
    <col min="93" max="93" width="7.109375" bestFit="1" customWidth="1"/>
    <col min="94" max="94" width="6.6640625" bestFit="1" customWidth="1"/>
    <col min="95" max="95" width="6.88671875" bestFit="1" customWidth="1"/>
    <col min="96" max="96" width="7.44140625" bestFit="1" customWidth="1"/>
    <col min="97" max="97" width="6.6640625" bestFit="1" customWidth="1"/>
    <col min="98" max="98" width="6.109375" bestFit="1" customWidth="1"/>
    <col min="99" max="99" width="7" bestFit="1" customWidth="1"/>
    <col min="100" max="100" width="7.109375" bestFit="1" customWidth="1"/>
    <col min="101" max="101" width="7.44140625" bestFit="1" customWidth="1"/>
    <col min="102" max="102" width="6.88671875" bestFit="1" customWidth="1"/>
    <col min="103" max="103" width="6.5546875" bestFit="1" customWidth="1"/>
    <col min="104" max="104" width="6.88671875" bestFit="1" customWidth="1"/>
    <col min="105" max="105" width="7.109375" bestFit="1" customWidth="1"/>
    <col min="106" max="106" width="6.6640625" bestFit="1" customWidth="1"/>
    <col min="107" max="107" width="6.88671875" bestFit="1" customWidth="1"/>
    <col min="108" max="108" width="7.44140625" bestFit="1" customWidth="1"/>
    <col min="109" max="109" width="6.6640625" bestFit="1" customWidth="1"/>
    <col min="110" max="110" width="6.109375" bestFit="1" customWidth="1"/>
    <col min="111" max="111" width="7" bestFit="1" customWidth="1"/>
    <col min="112" max="112" width="5" customWidth="1"/>
    <col min="113" max="113" width="11" bestFit="1" customWidth="1"/>
    <col min="114" max="114" width="6.44140625" bestFit="1" customWidth="1"/>
    <col min="115" max="115" width="6.88671875" bestFit="1" customWidth="1"/>
    <col min="116" max="116" width="6.44140625" bestFit="1" customWidth="1"/>
    <col min="117" max="117" width="6.88671875" bestFit="1" customWidth="1"/>
    <col min="118" max="118" width="6.109375" bestFit="1" customWidth="1"/>
    <col min="119" max="119" width="6.6640625" bestFit="1" customWidth="1"/>
    <col min="120" max="120" width="6.109375" bestFit="1" customWidth="1"/>
    <col min="121" max="121" width="7.44140625" bestFit="1" customWidth="1"/>
    <col min="122" max="122" width="6.6640625" bestFit="1" customWidth="1"/>
    <col min="123" max="123" width="5.6640625" bestFit="1" customWidth="1"/>
    <col min="124" max="124" width="6.33203125" bestFit="1" customWidth="1"/>
    <col min="125" max="125" width="7.109375" bestFit="1" customWidth="1"/>
    <col min="126" max="126" width="6.44140625" bestFit="1" customWidth="1"/>
    <col min="127" max="127" width="6.88671875" bestFit="1" customWidth="1"/>
    <col min="128" max="128" width="6.44140625" bestFit="1" customWidth="1"/>
    <col min="129" max="129" width="6.88671875" bestFit="1" customWidth="1"/>
    <col min="130" max="130" width="6.109375" bestFit="1" customWidth="1"/>
    <col min="131" max="131" width="6.6640625" bestFit="1" customWidth="1"/>
    <col min="132" max="132" width="6.109375" bestFit="1" customWidth="1"/>
    <col min="133" max="133" width="7.44140625" bestFit="1" customWidth="1"/>
    <col min="134" max="134" width="6.664062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45992</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45992</v>
      </c>
      <c r="BH1" s="3">
        <v>45962</v>
      </c>
      <c r="BI1" s="3">
        <f>+VLOOKUP(BI2,datos!$D:$E,2,FALSE)</f>
        <v>45627</v>
      </c>
      <c r="BL1" s="3">
        <f>+A1</f>
        <v>45992</v>
      </c>
      <c r="BM1" s="3">
        <f>+VLOOKUP(BM2,datos!$D:$E,2,FALSE)</f>
        <v>45962</v>
      </c>
      <c r="BN1" s="3">
        <f>+VLOOKUP(BN2,datos!$D:$E,2,FALSE)</f>
        <v>45627</v>
      </c>
      <c r="BQ1" s="3">
        <f>+A1</f>
        <v>45992</v>
      </c>
      <c r="BR1" s="3">
        <f>+VLOOKUP(BR2,datos!$D:$E,2,FALSE)</f>
        <v>45627</v>
      </c>
      <c r="BU1" s="3">
        <f>+A1</f>
        <v>45992</v>
      </c>
      <c r="BV1" s="3">
        <f>+VLOOKUP(BV2,datos!$D:$E,2,FALSE)</f>
        <v>45627</v>
      </c>
      <c r="BY1" t="s">
        <v>279</v>
      </c>
      <c r="BZ1" t="s">
        <v>280</v>
      </c>
      <c r="CC1" t="s">
        <v>279</v>
      </c>
      <c r="CD1" t="s">
        <v>280</v>
      </c>
      <c r="CG1" t="s">
        <v>282</v>
      </c>
      <c r="CH1" t="s">
        <v>283</v>
      </c>
      <c r="CI1" s="3">
        <f>+A1</f>
        <v>45992</v>
      </c>
      <c r="CJ1" s="3">
        <f>+VLOOKUP(CJ2,datos!$D:$E,2,FALSE)</f>
        <v>45992</v>
      </c>
      <c r="CK1" s="3">
        <f>+VLOOKUP(CK2,datos!$D:$E,2,FALSE)</f>
        <v>45962</v>
      </c>
      <c r="CL1" s="3">
        <f>+VLOOKUP(CL2,datos!$D:$E,2,FALSE)</f>
        <v>45931</v>
      </c>
      <c r="CM1" s="3">
        <f>+VLOOKUP(CM2,datos!$D:$E,2,FALSE)</f>
        <v>45901</v>
      </c>
      <c r="CN1" s="3">
        <f>+VLOOKUP(CN2,datos!$D:$E,2,FALSE)</f>
        <v>45870</v>
      </c>
      <c r="CO1" s="3">
        <f>+VLOOKUP(CO2,datos!$D:$E,2,FALSE)</f>
        <v>45839</v>
      </c>
      <c r="CP1" s="3">
        <f>+VLOOKUP(CP2,datos!$D:$E,2,FALSE)</f>
        <v>45809</v>
      </c>
      <c r="CQ1" s="3">
        <f>+VLOOKUP(CQ2,datos!$D:$E,2,FALSE)</f>
        <v>45778</v>
      </c>
      <c r="CR1" s="3">
        <f>+VLOOKUP(CR2,datos!$D:$E,2,FALSE)</f>
        <v>45748</v>
      </c>
      <c r="CS1" s="3">
        <f>+VLOOKUP(CS2,datos!$D:$E,2,FALSE)</f>
        <v>45717</v>
      </c>
      <c r="CT1" s="3">
        <f>+VLOOKUP(CT2,datos!$D:$E,2,FALSE)</f>
        <v>45689</v>
      </c>
      <c r="CU1" s="3">
        <f>+VLOOKUP(CU2,datos!$D:$E,2,FALSE)</f>
        <v>45658</v>
      </c>
      <c r="CV1" s="3">
        <f>+VLOOKUP(CV2,datos!$D:$E,2,FALSE)</f>
        <v>45627</v>
      </c>
      <c r="CW1" s="3">
        <f>+VLOOKUP(CW2,datos!$D:$E,2,FALSE)</f>
        <v>45597</v>
      </c>
      <c r="CX1" s="3">
        <f>+VLOOKUP(CX2,datos!$D:$E,2,FALSE)</f>
        <v>45566</v>
      </c>
      <c r="CY1" s="3">
        <f>+VLOOKUP(CY2,datos!$D:$E,2,FALSE)</f>
        <v>45536</v>
      </c>
      <c r="CZ1" s="3">
        <f>+VLOOKUP(CZ2,datos!$D:$E,2,FALSE)</f>
        <v>45505</v>
      </c>
      <c r="DA1" s="3">
        <f>+VLOOKUP(DA2,datos!$D:$E,2,FALSE)</f>
        <v>45474</v>
      </c>
      <c r="DB1" s="3">
        <f>+VLOOKUP(DB2,datos!$D:$E,2,FALSE)</f>
        <v>45444</v>
      </c>
      <c r="DC1" s="3">
        <f>+VLOOKUP(DC2,datos!$D:$E,2,FALSE)</f>
        <v>45413</v>
      </c>
      <c r="DD1" s="3">
        <f>+VLOOKUP(DD2,datos!$D:$E,2,FALSE)</f>
        <v>45383</v>
      </c>
      <c r="DE1" s="3">
        <f>+VLOOKUP(DE2,datos!$D:$E,2,FALSE)</f>
        <v>45352</v>
      </c>
      <c r="DF1" s="3">
        <f>+VLOOKUP(DF2,datos!$D:$E,2,FALSE)</f>
        <v>45323</v>
      </c>
      <c r="DG1" s="3">
        <f>+VLOOKUP(DG2,datos!$D:$E,2,FALSE)</f>
        <v>45292</v>
      </c>
      <c r="DI1" s="3">
        <f>+CJ1</f>
        <v>45992</v>
      </c>
      <c r="DJ1" s="3">
        <f>+VLOOKUP(DJ2,datos!$D:$E,2,FALSE)</f>
        <v>45962</v>
      </c>
      <c r="DK1" s="3">
        <f>+VLOOKUP(DK2,datos!$D:$E,2,FALSE)</f>
        <v>45931</v>
      </c>
      <c r="DL1" s="3">
        <f>+VLOOKUP(DL2,datos!$D:$E,2,FALSE)</f>
        <v>45901</v>
      </c>
      <c r="DM1" s="3">
        <f>+VLOOKUP(DM2,datos!$D:$E,2,FALSE)</f>
        <v>45870</v>
      </c>
      <c r="DN1" s="3">
        <f>+VLOOKUP(DN2,datos!$D:$E,2,FALSE)</f>
        <v>45839</v>
      </c>
      <c r="DO1" s="3">
        <f>+VLOOKUP(DO2,datos!$D:$E,2,FALSE)</f>
        <v>45809</v>
      </c>
      <c r="DP1" s="3">
        <f>+VLOOKUP(DP2,datos!$D:$E,2,FALSE)</f>
        <v>45778</v>
      </c>
      <c r="DQ1" s="3">
        <f>+VLOOKUP(DQ2,datos!$D:$E,2,FALSE)</f>
        <v>45748</v>
      </c>
      <c r="DR1" s="3">
        <f>+VLOOKUP(DR2,datos!$D:$E,2,FALSE)</f>
        <v>45717</v>
      </c>
      <c r="DS1" s="3">
        <f>+VLOOKUP(DS2,datos!$D:$E,2,FALSE)</f>
        <v>45689</v>
      </c>
      <c r="DT1" s="3">
        <f>+VLOOKUP(DT2,datos!$D:$E,2,FALSE)</f>
        <v>45658</v>
      </c>
      <c r="DU1" s="3">
        <f>+VLOOKUP(DU2,datos!$D:$E,2,FALSE)</f>
        <v>45627</v>
      </c>
      <c r="DV1" s="3">
        <f>+VLOOKUP(DV2,datos!$D:$E,2,FALSE)</f>
        <v>45597</v>
      </c>
      <c r="DW1" s="3">
        <f>+VLOOKUP(DW2,datos!$D:$E,2,FALSE)</f>
        <v>45566</v>
      </c>
      <c r="DX1" s="3">
        <f>+VLOOKUP(DX2,datos!$D:$E,2,FALSE)</f>
        <v>45536</v>
      </c>
      <c r="DY1" s="3">
        <f>+VLOOKUP(DY2,datos!$D:$E,2,FALSE)</f>
        <v>45505</v>
      </c>
      <c r="DZ1" s="3">
        <f>+VLOOKUP(DZ2,datos!$D:$E,2,FALSE)</f>
        <v>45474</v>
      </c>
      <c r="EA1" s="3">
        <f>+VLOOKUP(EA2,datos!$D:$E,2,FALSE)</f>
        <v>45444</v>
      </c>
      <c r="EB1" s="3">
        <f>+VLOOKUP(EB2,datos!$D:$E,2,FALSE)</f>
        <v>45413</v>
      </c>
      <c r="EC1" s="3">
        <f>+VLOOKUP(EC2,datos!$D:$E,2,FALSE)</f>
        <v>45383</v>
      </c>
      <c r="ED1" s="3">
        <f>+VLOOKUP(ED2,datos!$D:$E,2,FALSE)</f>
        <v>45352</v>
      </c>
      <c r="EE1" s="3">
        <f>+VLOOKUP(EE2,datos!$D:$E,2,FALSE)</f>
        <v>45323</v>
      </c>
      <c r="EF1" s="3">
        <f>+VLOOKUP(EF2,datos!$D:$E,2,FALSE)</f>
        <v>45292</v>
      </c>
      <c r="EH1" s="14">
        <f>+CJ1</f>
        <v>45992</v>
      </c>
      <c r="EI1" s="14">
        <f t="shared" ref="EI1:FE1" si="0">+CK1</f>
        <v>45962</v>
      </c>
      <c r="EJ1" s="3">
        <f t="shared" si="0"/>
        <v>45931</v>
      </c>
      <c r="EK1" s="3">
        <f t="shared" si="0"/>
        <v>45901</v>
      </c>
      <c r="EL1" s="3">
        <f t="shared" si="0"/>
        <v>45870</v>
      </c>
      <c r="EM1" s="3">
        <f t="shared" si="0"/>
        <v>45839</v>
      </c>
      <c r="EN1" s="3">
        <f t="shared" si="0"/>
        <v>45809</v>
      </c>
      <c r="EO1" s="3">
        <f t="shared" si="0"/>
        <v>45778</v>
      </c>
      <c r="EP1" s="3">
        <f t="shared" si="0"/>
        <v>45748</v>
      </c>
      <c r="EQ1" s="3">
        <f t="shared" si="0"/>
        <v>45717</v>
      </c>
      <c r="ER1" s="3">
        <f t="shared" si="0"/>
        <v>45689</v>
      </c>
      <c r="ES1" s="3">
        <f t="shared" si="0"/>
        <v>45658</v>
      </c>
      <c r="ET1" s="3">
        <f t="shared" si="0"/>
        <v>45627</v>
      </c>
      <c r="EU1" s="3">
        <f t="shared" si="0"/>
        <v>45597</v>
      </c>
      <c r="EV1" s="3">
        <f t="shared" si="0"/>
        <v>45566</v>
      </c>
      <c r="EW1" s="3">
        <f t="shared" si="0"/>
        <v>45536</v>
      </c>
      <c r="EX1" s="3">
        <f t="shared" si="0"/>
        <v>45505</v>
      </c>
      <c r="EY1" s="3">
        <f t="shared" si="0"/>
        <v>45474</v>
      </c>
      <c r="EZ1" s="3">
        <f t="shared" si="0"/>
        <v>45444</v>
      </c>
      <c r="FA1" s="3">
        <f t="shared" si="0"/>
        <v>45413</v>
      </c>
      <c r="FB1" s="3">
        <f t="shared" si="0"/>
        <v>45383</v>
      </c>
      <c r="FC1" s="3">
        <f t="shared" si="0"/>
        <v>45352</v>
      </c>
      <c r="FD1" s="3">
        <f t="shared" si="0"/>
        <v>45323</v>
      </c>
      <c r="FE1" s="3">
        <f t="shared" si="0"/>
        <v>45292</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45658</v>
      </c>
      <c r="AQ2" s="174">
        <f>VLOOKUP(VLOOKUP(+$A$1,ran_ma,2,FALSE)-10,ran_idma,2,FALSE)</f>
        <v>45689</v>
      </c>
      <c r="AR2" s="174">
        <f>VLOOKUP(VLOOKUP(+$A$1,ran_ma,2,FALSE)-9,ran_idma,2,FALSE)</f>
        <v>45717</v>
      </c>
      <c r="AS2" s="174">
        <f>VLOOKUP(VLOOKUP(+$A$1,ran_ma,2,FALSE)-8,ran_idma,2,FALSE)</f>
        <v>45748</v>
      </c>
      <c r="AT2" s="59">
        <f>VLOOKUP(VLOOKUP(+$A$1,ran_ma,2,FALSE)-7,ran_idma,2,FALSE)</f>
        <v>45778</v>
      </c>
      <c r="AU2" s="59">
        <f>VLOOKUP(VLOOKUP(+$A$1,ran_ma,2,FALSE)-6,ran_idma,2,FALSE)</f>
        <v>45809</v>
      </c>
      <c r="AV2" s="59">
        <f>VLOOKUP(VLOOKUP(+$A$1,ran_ma,2,FALSE)-5,ran_idma,2,FALSE)</f>
        <v>45839</v>
      </c>
      <c r="AW2" s="59">
        <f>VLOOKUP(VLOOKUP(+$A$1,ran_ma,2,FALSE)-4,ran_idma,2,FALSE)</f>
        <v>45870</v>
      </c>
      <c r="AX2" s="59">
        <f>VLOOKUP(VLOOKUP(+$A$1,ran_ma,2,FALSE)-3,ran_idma,2,FALSE)</f>
        <v>45901</v>
      </c>
      <c r="AY2" s="59">
        <f>VLOOKUP(VLOOKUP(+$A$1,ran_ma,2,FALSE)-2,ran_idma,2,FALSE)</f>
        <v>45931</v>
      </c>
      <c r="AZ2" s="59">
        <f>VLOOKUP(VLOOKUP(+$A$1,ran_ma,2,FALSE)-1,ran_idma,2,FALSE)</f>
        <v>45962</v>
      </c>
      <c r="BA2" s="59">
        <f>VLOOKUP(VLOOKUP(+$A$1,ran_ma,2,FALSE)-0,ran_idma,2,FALSE)</f>
        <v>45992</v>
      </c>
      <c r="BB2" s="59"/>
      <c r="BC2" s="170"/>
      <c r="BE2" s="9" t="s">
        <v>272</v>
      </c>
      <c r="BG2">
        <f>+VLOOKUP(BG1,ran_dat,datos!$D$1,FALSE)</f>
        <v>129</v>
      </c>
      <c r="BH2">
        <f>+BG2-1</f>
        <v>128</v>
      </c>
      <c r="BI2">
        <f>+BG2-12</f>
        <v>117</v>
      </c>
      <c r="BK2" s="9"/>
      <c r="BL2">
        <f>+VLOOKUP(BL1,ran_dat,datos!$D$1,FALSE)</f>
        <v>129</v>
      </c>
      <c r="BM2">
        <f>+BL2-1</f>
        <v>128</v>
      </c>
      <c r="BN2">
        <f>+BL2-12</f>
        <v>117</v>
      </c>
      <c r="BP2" s="9"/>
      <c r="BQ2">
        <f>+VLOOKUP(BQ1,ran_dat,datos!$D$1,FALSE)</f>
        <v>129</v>
      </c>
      <c r="BR2">
        <f>+BQ2-12</f>
        <v>117</v>
      </c>
      <c r="BT2" s="9"/>
      <c r="BU2">
        <f>+VLOOKUP(BU1,ran_dat,datos!$D$1,FALSE)</f>
        <v>129</v>
      </c>
      <c r="BV2">
        <f>+BU2-12</f>
        <v>117</v>
      </c>
      <c r="BX2" s="9"/>
      <c r="CB2" s="9"/>
      <c r="CI2">
        <f>+VLOOKUP(CI1,ran_dat,datos!$D$1,FALSE)</f>
        <v>129</v>
      </c>
      <c r="CJ2">
        <f>+CI2</f>
        <v>129</v>
      </c>
      <c r="CK2">
        <f t="shared" ref="CK2:DG2" si="1">+CJ2-1</f>
        <v>128</v>
      </c>
      <c r="CL2">
        <f t="shared" si="1"/>
        <v>127</v>
      </c>
      <c r="CM2">
        <f t="shared" si="1"/>
        <v>126</v>
      </c>
      <c r="CN2">
        <f t="shared" si="1"/>
        <v>125</v>
      </c>
      <c r="CO2">
        <f t="shared" si="1"/>
        <v>124</v>
      </c>
      <c r="CP2">
        <f t="shared" si="1"/>
        <v>123</v>
      </c>
      <c r="CQ2">
        <f t="shared" si="1"/>
        <v>122</v>
      </c>
      <c r="CR2">
        <f t="shared" si="1"/>
        <v>121</v>
      </c>
      <c r="CS2">
        <f t="shared" si="1"/>
        <v>120</v>
      </c>
      <c r="CT2">
        <f t="shared" si="1"/>
        <v>119</v>
      </c>
      <c r="CU2">
        <f t="shared" si="1"/>
        <v>118</v>
      </c>
      <c r="CV2">
        <f t="shared" si="1"/>
        <v>117</v>
      </c>
      <c r="CW2">
        <f t="shared" si="1"/>
        <v>116</v>
      </c>
      <c r="CX2">
        <f t="shared" si="1"/>
        <v>115</v>
      </c>
      <c r="CY2">
        <f t="shared" si="1"/>
        <v>114</v>
      </c>
      <c r="CZ2">
        <f t="shared" si="1"/>
        <v>113</v>
      </c>
      <c r="DA2">
        <f t="shared" si="1"/>
        <v>112</v>
      </c>
      <c r="DB2">
        <f t="shared" si="1"/>
        <v>111</v>
      </c>
      <c r="DC2">
        <f t="shared" si="1"/>
        <v>110</v>
      </c>
      <c r="DD2">
        <f t="shared" si="1"/>
        <v>109</v>
      </c>
      <c r="DE2">
        <f t="shared" si="1"/>
        <v>108</v>
      </c>
      <c r="DF2">
        <f t="shared" si="1"/>
        <v>107</v>
      </c>
      <c r="DG2">
        <f t="shared" si="1"/>
        <v>106</v>
      </c>
      <c r="DI2">
        <f>+VLOOKUP(DI1,ran_dat,datos!$D$1,FALSE)</f>
        <v>129</v>
      </c>
      <c r="DJ2">
        <f t="shared" ref="DJ2:EF2" si="2">+DI2-1</f>
        <v>128</v>
      </c>
      <c r="DK2">
        <f t="shared" si="2"/>
        <v>127</v>
      </c>
      <c r="DL2">
        <f t="shared" si="2"/>
        <v>126</v>
      </c>
      <c r="DM2">
        <f t="shared" si="2"/>
        <v>125</v>
      </c>
      <c r="DN2">
        <f t="shared" si="2"/>
        <v>124</v>
      </c>
      <c r="DO2">
        <f t="shared" si="2"/>
        <v>123</v>
      </c>
      <c r="DP2">
        <f t="shared" si="2"/>
        <v>122</v>
      </c>
      <c r="DQ2">
        <f t="shared" si="2"/>
        <v>121</v>
      </c>
      <c r="DR2">
        <f t="shared" si="2"/>
        <v>120</v>
      </c>
      <c r="DS2">
        <f t="shared" si="2"/>
        <v>119</v>
      </c>
      <c r="DT2">
        <f t="shared" si="2"/>
        <v>118</v>
      </c>
      <c r="DU2">
        <f t="shared" si="2"/>
        <v>117</v>
      </c>
      <c r="DV2">
        <f t="shared" si="2"/>
        <v>116</v>
      </c>
      <c r="DW2">
        <f t="shared" si="2"/>
        <v>115</v>
      </c>
      <c r="DX2">
        <f t="shared" si="2"/>
        <v>114</v>
      </c>
      <c r="DY2">
        <f t="shared" si="2"/>
        <v>113</v>
      </c>
      <c r="DZ2">
        <f t="shared" si="2"/>
        <v>112</v>
      </c>
      <c r="EA2">
        <f t="shared" si="2"/>
        <v>111</v>
      </c>
      <c r="EB2">
        <f t="shared" si="2"/>
        <v>110</v>
      </c>
      <c r="EC2">
        <f t="shared" si="2"/>
        <v>109</v>
      </c>
      <c r="ED2">
        <f t="shared" si="2"/>
        <v>108</v>
      </c>
      <c r="EE2">
        <f t="shared" si="2"/>
        <v>107</v>
      </c>
      <c r="EF2">
        <f t="shared" si="2"/>
        <v>106</v>
      </c>
      <c r="EH2" s="14">
        <f>+VLOOKUP(EH1,ran_dat,datos!$D$1,FALSE)</f>
        <v>129</v>
      </c>
      <c r="EI2" s="14">
        <f t="shared" ref="EI2:FE2" si="3">+EH2-1</f>
        <v>128</v>
      </c>
      <c r="EJ2">
        <f t="shared" si="3"/>
        <v>127</v>
      </c>
      <c r="EK2">
        <f t="shared" si="3"/>
        <v>126</v>
      </c>
      <c r="EL2">
        <f t="shared" si="3"/>
        <v>125</v>
      </c>
      <c r="EM2">
        <f t="shared" si="3"/>
        <v>124</v>
      </c>
      <c r="EN2">
        <f t="shared" si="3"/>
        <v>123</v>
      </c>
      <c r="EO2">
        <f t="shared" si="3"/>
        <v>122</v>
      </c>
      <c r="EP2">
        <f t="shared" si="3"/>
        <v>121</v>
      </c>
      <c r="EQ2">
        <f t="shared" si="3"/>
        <v>120</v>
      </c>
      <c r="ER2">
        <f t="shared" si="3"/>
        <v>119</v>
      </c>
      <c r="ES2">
        <f t="shared" si="3"/>
        <v>118</v>
      </c>
      <c r="ET2">
        <f t="shared" si="3"/>
        <v>117</v>
      </c>
      <c r="EU2">
        <f t="shared" si="3"/>
        <v>116</v>
      </c>
      <c r="EV2">
        <f t="shared" si="3"/>
        <v>115</v>
      </c>
      <c r="EW2">
        <f t="shared" si="3"/>
        <v>114</v>
      </c>
      <c r="EX2">
        <f t="shared" si="3"/>
        <v>113</v>
      </c>
      <c r="EY2">
        <f t="shared" si="3"/>
        <v>112</v>
      </c>
      <c r="EZ2">
        <f t="shared" si="3"/>
        <v>111</v>
      </c>
      <c r="FA2">
        <f t="shared" si="3"/>
        <v>110</v>
      </c>
      <c r="FB2">
        <f t="shared" si="3"/>
        <v>109</v>
      </c>
      <c r="FC2">
        <f t="shared" si="3"/>
        <v>108</v>
      </c>
      <c r="FD2">
        <f t="shared" si="3"/>
        <v>107</v>
      </c>
      <c r="FE2">
        <f t="shared" si="3"/>
        <v>106</v>
      </c>
    </row>
    <row r="3" spans="1:163" ht="18.75" customHeight="1">
      <c r="A3" s="220"/>
      <c r="C3" s="155"/>
      <c r="D3" s="196">
        <v>0.33</v>
      </c>
      <c r="E3" s="100">
        <f>IFERROR(+BG5/BH5-1,"")</f>
        <v>2.8452719345717137E-2</v>
      </c>
      <c r="F3" s="56" t="s">
        <v>515</v>
      </c>
      <c r="G3" s="56"/>
      <c r="H3" s="56"/>
      <c r="I3" s="60">
        <f>IFERROR(+BG5/BI5-1,"")</f>
        <v>0.31548888744476211</v>
      </c>
      <c r="J3" s="56" t="s">
        <v>515</v>
      </c>
      <c r="K3" s="56"/>
      <c r="L3" s="56"/>
      <c r="M3" s="32"/>
      <c r="N3" s="196">
        <v>0.33</v>
      </c>
      <c r="O3" s="31"/>
      <c r="S3" s="32"/>
      <c r="T3" s="196">
        <v>0.33</v>
      </c>
      <c r="U3" s="150" t="str">
        <f>TEXT(CU1,"MMM-YY")&amp;"."&amp;TEXT(CJ1,"MMM-YY")&amp;" vs "&amp;TEXT(DG1,"MMM-YY")&amp;"."&amp;TEXT(CV1,"MMM-YY")</f>
        <v>ene-25.dic-25 vs ene-24.dic-24</v>
      </c>
      <c r="Y3" s="59" t="str">
        <f>TEXT(CJ1,"MMM-YY")&amp;" vs "&amp;TEXT(CV1,"MMM-YY")</f>
        <v>dic-25 vs dic-24</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10121.371499999999</v>
      </c>
      <c r="BH5" s="2">
        <f t="shared" si="4"/>
        <v>9841.3580999999995</v>
      </c>
      <c r="BI5" s="2">
        <f t="shared" si="4"/>
        <v>7694</v>
      </c>
    </row>
    <row r="6" spans="1:163" ht="18.75" customHeight="1">
      <c r="A6" s="243" t="s">
        <v>28</v>
      </c>
      <c r="B6" s="246"/>
      <c r="C6" s="156">
        <f t="shared" ref="C6:C24" si="5">+D6*$D$3+N6*$N$3+T6*$T$3</f>
        <v>0</v>
      </c>
      <c r="D6" s="198">
        <v>-2</v>
      </c>
      <c r="E6" s="248">
        <f t="shared" ref="E6:E24" si="6">IFERROR(+BG6/BH6-1,"")</f>
        <v>1.2622244748032641E-2</v>
      </c>
      <c r="F6" s="249">
        <f t="shared" ref="F6:F24" si="7">+E6-$E$3</f>
        <v>-1.5830474597684496E-2</v>
      </c>
      <c r="G6" s="248">
        <f t="shared" ref="G6:G24" si="8">IFERROR(+BL6/BM6-1,"")</f>
        <v>1.8265548134566822E-2</v>
      </c>
      <c r="H6" s="249">
        <f t="shared" ref="H6:H24" si="9">E6-G6</f>
        <v>-5.643303386534182E-3</v>
      </c>
      <c r="I6" s="248">
        <f t="shared" ref="I6:I24" si="10">IFERROR(+BG6/BI6-1,"")</f>
        <v>8.6505099140415043E-2</v>
      </c>
      <c r="J6" s="249">
        <f t="shared" ref="J6:J24" si="11">+I6-$I$3</f>
        <v>-0.22898378830434707</v>
      </c>
      <c r="K6" s="248">
        <f t="shared" ref="K6:K24" si="12">IFERROR(+BL6/BN6-1,"")</f>
        <v>0.30858730202169271</v>
      </c>
      <c r="L6" s="249">
        <f t="shared" ref="L6:L24" si="13">I6-K6</f>
        <v>-0.22208220288127767</v>
      </c>
      <c r="M6" s="250"/>
      <c r="N6" s="24">
        <v>1</v>
      </c>
      <c r="O6" s="248">
        <f>IFERROR(+BQ6/BR6-1,"")</f>
        <v>-0.18840579710144922</v>
      </c>
      <c r="P6" s="251">
        <f>+O6</f>
        <v>-0.18840579710144922</v>
      </c>
      <c r="Q6" s="248">
        <f t="shared" ref="Q6:Q24" si="14">IFERROR(+BU6/BV6-1,"")</f>
        <v>-0.15384615384615385</v>
      </c>
      <c r="R6" s="251">
        <f>+Q6</f>
        <v>-0.15384615384615385</v>
      </c>
      <c r="S6" s="250"/>
      <c r="T6" s="24">
        <v>1</v>
      </c>
      <c r="U6" s="248">
        <f t="shared" ref="U6:U24" si="15">IFERROR(+BY6/BZ6-1,"")</f>
        <v>-0.27981674589376593</v>
      </c>
      <c r="V6" s="252">
        <f t="shared" ref="V6:V24" si="16">+U6</f>
        <v>-0.27981674589376593</v>
      </c>
      <c r="W6" s="248">
        <f>IFERROR(IF(CC6&lt;0.5,"",+CC6/CD6-1),"")</f>
        <v>0.73121905192118786</v>
      </c>
      <c r="X6" s="252">
        <f t="shared" ref="X6:X24" si="17">+W6</f>
        <v>0.73121905192118786</v>
      </c>
      <c r="Y6" s="248" t="str">
        <f t="shared" ref="Y6:Y25" si="18">IFERROR(+CG6/CH6-1,"")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4</v>
      </c>
      <c r="AQ6" s="28">
        <f>VLOOKUP($A6,historia!$A$5:$CM$24,+HLOOKUP(AQ$2,historia!$A$3:$EC$4,2,FALSE),FALSE)</f>
        <v>4</v>
      </c>
      <c r="AR6" s="28">
        <f>VLOOKUP($A6,historia!$A$5:$CM$24,+HLOOKUP(AR$2,historia!$A$3:$EC$4,2,FALSE),FALSE)</f>
        <v>4</v>
      </c>
      <c r="AS6" s="28">
        <f>VLOOKUP($A6,historia!$A$5:$CM$24,+HLOOKUP(AS$2,historia!$A$3:$EC$4,2,FALSE),FALSE)</f>
        <v>4</v>
      </c>
      <c r="AT6" s="58">
        <f>VLOOKUP($A6,historia!$A$5:$CM$24,+HLOOKUP(AT$2,historia!$A$3:$EC$4,2,FALSE),FALSE)</f>
        <v>3</v>
      </c>
      <c r="AU6" s="58">
        <f>VLOOKUP($A6,historia!$A$5:$CM$24,+HLOOKUP(AU$2,historia!$A$3:$EC$4,2,FALSE),FALSE)</f>
        <v>3</v>
      </c>
      <c r="AV6" s="58">
        <f>VLOOKUP($A6,historia!$A$5:$CM$24,+HLOOKUP(AV$2,historia!$A$3:$EC$4,2,FALSE),FALSE)</f>
        <v>3</v>
      </c>
      <c r="AW6" s="58">
        <f>VLOOKUP($A6,historia!$A$5:$DD$24,+HLOOKUP(AW$2,historia!$A$3:$EC$4,2,FALSE),FALSE)</f>
        <v>3</v>
      </c>
      <c r="AX6" s="58">
        <f>VLOOKUP($A6,historia!$A$5:$DD$24,+HLOOKUP(AX$2,historia!$A$3:$EC$4,2,FALSE),FALSE)</f>
        <v>4</v>
      </c>
      <c r="AY6" s="58">
        <f>VLOOKUP($A6,historia!$A$5:$DD$24,+HLOOKUP(AY$2,historia!$A$3:$EC$4,2,FALSE),FALSE)</f>
        <v>4</v>
      </c>
      <c r="AZ6" s="58">
        <f>VLOOKUP($A6,historia!$A$5:$DG$24,+HLOOKUP(AZ$2,historia!$A$3:$EC$4,2,FALSE),FALSE)</f>
        <v>4</v>
      </c>
      <c r="BA6" s="58">
        <f>VLOOKUP($A6,historia!$A$5:$DG$24,+HLOOKUP(BA$2,historia!$A$3:$EC$4,2,FALSE),FALSE)</f>
        <v>4</v>
      </c>
      <c r="BB6" s="58"/>
      <c r="BC6" s="286">
        <v>4</v>
      </c>
      <c r="BD6" t="str">
        <f t="shared" ref="BD6:BD24" si="20">+A6</f>
        <v>Algodón</v>
      </c>
      <c r="BE6">
        <f>+datos!P1</f>
        <v>16</v>
      </c>
      <c r="BF6" s="2" t="str">
        <f t="shared" si="4"/>
        <v>$/kg</v>
      </c>
      <c r="BG6" s="2">
        <f t="shared" si="4"/>
        <v>1506.1131674249998</v>
      </c>
      <c r="BH6" s="2">
        <f t="shared" si="4"/>
        <v>1487.3396029333335</v>
      </c>
      <c r="BI6" s="2">
        <f t="shared" si="4"/>
        <v>1386.1998149999999</v>
      </c>
      <c r="BK6">
        <f>+datos!BY1</f>
        <v>77</v>
      </c>
      <c r="BL6" s="2">
        <f t="shared" ref="BL6:BN24" si="21">+VLOOKUP(BL$1,ran_dat,$BK6,FALSE)</f>
        <v>12205.759365581729</v>
      </c>
      <c r="BM6" s="2">
        <f t="shared" si="21"/>
        <v>11986.813643987394</v>
      </c>
      <c r="BN6" s="2">
        <f t="shared" si="21"/>
        <v>9327.4322215449647</v>
      </c>
      <c r="BP6" s="1">
        <f>+datos!DK1</f>
        <v>115</v>
      </c>
      <c r="BQ6" s="1">
        <f t="shared" ref="BQ6:BR24" si="22">+VLOOKUP(BQ$1,ran_dat,$BP6,FALSE)</f>
        <v>560000</v>
      </c>
      <c r="BR6" s="1">
        <f t="shared" si="22"/>
        <v>690000</v>
      </c>
      <c r="BT6" s="1">
        <f>+datos!FF1</f>
        <v>162</v>
      </c>
      <c r="BU6" s="1">
        <f t="shared" ref="BU6:BV24" si="23">+VLOOKUP(BU$1,ran_dat,$BT6,FALSE)</f>
        <v>1100000</v>
      </c>
      <c r="BV6" s="1">
        <f t="shared" si="23"/>
        <v>1300000</v>
      </c>
      <c r="BX6" s="1">
        <f>+datos!JF1</f>
        <v>266</v>
      </c>
      <c r="BY6" s="1">
        <f>+SUM(CJ6:CU6)</f>
        <v>142.20835442000003</v>
      </c>
      <c r="BZ6" s="1">
        <f>+SUM(CV6:DG6)</f>
        <v>197.46134558</v>
      </c>
      <c r="CB6" s="1">
        <f>+datos!KK1</f>
        <v>297</v>
      </c>
      <c r="CC6" s="2">
        <f t="shared" ref="CC6:CC24" si="24">+SUM(DI6:DT6)</f>
        <v>109.53237591999999</v>
      </c>
      <c r="CD6" s="2">
        <f t="shared" ref="CD6:CD24" si="25">+SUM(DU6:EF6)</f>
        <v>63.268929369999995</v>
      </c>
      <c r="CF6" s="1">
        <f>+datos!HS1</f>
        <v>227</v>
      </c>
      <c r="CG6" s="1">
        <f t="shared" ref="CG6:CG24" si="26">+EH6</f>
        <v>0</v>
      </c>
      <c r="CH6" s="1">
        <f t="shared" ref="CH6:CH24" si="27">+ET6</f>
        <v>0</v>
      </c>
      <c r="CJ6" s="1">
        <f t="shared" ref="CJ6:CY21" si="28">+VLOOKUP(CJ$1,ran_dat,$BX6,FALSE)</f>
        <v>14.028435419999997</v>
      </c>
      <c r="CK6" s="1">
        <f t="shared" si="28"/>
        <v>19.935607340000004</v>
      </c>
      <c r="CL6" s="1">
        <f t="shared" si="28"/>
        <v>21.754931440000004</v>
      </c>
      <c r="CM6" s="1">
        <f t="shared" si="28"/>
        <v>18.652099290000002</v>
      </c>
      <c r="CN6" s="1">
        <f t="shared" si="28"/>
        <v>16.211576590000004</v>
      </c>
      <c r="CO6" s="1">
        <f t="shared" si="28"/>
        <v>9.0263359399999974</v>
      </c>
      <c r="CP6" s="1">
        <f t="shared" si="28"/>
        <v>8.2931694499999988</v>
      </c>
      <c r="CQ6" s="1">
        <f t="shared" si="28"/>
        <v>5.0945514700000007</v>
      </c>
      <c r="CR6" s="1">
        <f t="shared" si="28"/>
        <v>7.3093251500000047</v>
      </c>
      <c r="CS6" s="1">
        <f t="shared" si="28"/>
        <v>6.7908860800000017</v>
      </c>
      <c r="CT6" s="1">
        <f t="shared" si="28"/>
        <v>8.6490729999999978</v>
      </c>
      <c r="CU6" s="1">
        <f t="shared" si="28"/>
        <v>6.462363250000001</v>
      </c>
      <c r="CV6" s="1">
        <f t="shared" si="28"/>
        <v>10.78045292</v>
      </c>
      <c r="CW6" s="1">
        <f t="shared" si="28"/>
        <v>14.805583519999997</v>
      </c>
      <c r="CX6" s="1">
        <f t="shared" si="28"/>
        <v>17.696202909999993</v>
      </c>
      <c r="CY6" s="1">
        <f t="shared" si="28"/>
        <v>21.922029789999996</v>
      </c>
      <c r="CZ6" s="1">
        <f t="shared" ref="CZ6:DG21" si="29">+VLOOKUP(CZ$1,ran_dat,$BX6,FALSE)</f>
        <v>19.20970509</v>
      </c>
      <c r="DA6" s="1">
        <f t="shared" si="29"/>
        <v>24.496622440000007</v>
      </c>
      <c r="DB6" s="1">
        <f t="shared" si="29"/>
        <v>21.439575039999998</v>
      </c>
      <c r="DC6" s="1">
        <f t="shared" si="29"/>
        <v>14.529816729999997</v>
      </c>
      <c r="DD6" s="1">
        <f t="shared" si="29"/>
        <v>18.258202080000007</v>
      </c>
      <c r="DE6" s="1">
        <f t="shared" si="29"/>
        <v>18.510441480000001</v>
      </c>
      <c r="DF6" s="1">
        <f t="shared" si="29"/>
        <v>7.7064561400000011</v>
      </c>
      <c r="DG6" s="1">
        <f t="shared" si="29"/>
        <v>8.1062574399999985</v>
      </c>
      <c r="DI6" s="1">
        <f t="shared" ref="DI6:DX21" si="30">+VLOOKUP(DI$1,ran_dat,$CB6,FALSE)</f>
        <v>5.8762837499999998</v>
      </c>
      <c r="DJ6" s="1">
        <f t="shared" si="30"/>
        <v>7.4817210700000008</v>
      </c>
      <c r="DK6" s="1">
        <f t="shared" si="30"/>
        <v>10.164854930000002</v>
      </c>
      <c r="DL6" s="1">
        <f t="shared" si="30"/>
        <v>9.0858989999999995</v>
      </c>
      <c r="DM6" s="1">
        <f t="shared" si="30"/>
        <v>10.908765819999998</v>
      </c>
      <c r="DN6" s="1">
        <f t="shared" si="30"/>
        <v>11.035692889999996</v>
      </c>
      <c r="DO6" s="1">
        <f t="shared" si="30"/>
        <v>9.4337625599999999</v>
      </c>
      <c r="DP6" s="1">
        <f t="shared" si="30"/>
        <v>9.66008332</v>
      </c>
      <c r="DQ6" s="1">
        <f t="shared" si="30"/>
        <v>10.467826709999999</v>
      </c>
      <c r="DR6" s="1">
        <f t="shared" si="30"/>
        <v>7.9836210200000002</v>
      </c>
      <c r="DS6" s="1">
        <f t="shared" si="30"/>
        <v>9.7355070900000005</v>
      </c>
      <c r="DT6" s="1">
        <f t="shared" si="30"/>
        <v>7.6983577599999995</v>
      </c>
      <c r="DU6" s="1">
        <f t="shared" si="30"/>
        <v>8.003268180000001</v>
      </c>
      <c r="DV6" s="1">
        <f t="shared" si="30"/>
        <v>5.6011509000000004</v>
      </c>
      <c r="DW6" s="1">
        <f t="shared" si="30"/>
        <v>5.8112020999999991</v>
      </c>
      <c r="DX6" s="1">
        <f t="shared" si="30"/>
        <v>6.3060080799999998</v>
      </c>
      <c r="DY6" s="1">
        <f t="shared" ref="DY6:EF20" si="31">+VLOOKUP(DY$1,ran_dat,$CB6,FALSE)</f>
        <v>3.7690183000000008</v>
      </c>
      <c r="DZ6" s="1">
        <f t="shared" si="31"/>
        <v>4.5361736000000006</v>
      </c>
      <c r="EA6" s="1">
        <f t="shared" si="31"/>
        <v>3.2956469100000003</v>
      </c>
      <c r="EB6" s="1">
        <f t="shared" si="31"/>
        <v>4.5516111999999991</v>
      </c>
      <c r="EC6" s="1">
        <f t="shared" si="31"/>
        <v>3.9375346699999998</v>
      </c>
      <c r="ED6" s="1">
        <f t="shared" si="31"/>
        <v>4.8118603300000009</v>
      </c>
      <c r="EE6" s="1">
        <f t="shared" si="31"/>
        <v>5.2295233099999994</v>
      </c>
      <c r="EF6" s="1">
        <f t="shared" si="31"/>
        <v>7.4159317900000001</v>
      </c>
      <c r="EH6" s="14">
        <f t="shared" ref="EH6:EW21" si="32">+VLOOKUP(EH$1,ran_dat,$CF6,FALSE)</f>
        <v>0</v>
      </c>
      <c r="EI6" s="14">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ref="EX6:FE20" si="33">+VLOOKUP(EX$1,ran_dat,$CF6,FALSE)</f>
        <v>0</v>
      </c>
      <c r="EY6" s="1">
        <f t="shared" si="33"/>
        <v>0</v>
      </c>
      <c r="EZ6" s="1">
        <f t="shared" si="33"/>
        <v>0</v>
      </c>
      <c r="FA6" s="1">
        <f t="shared" si="33"/>
        <v>0</v>
      </c>
      <c r="FB6" s="1">
        <f t="shared" si="33"/>
        <v>0</v>
      </c>
      <c r="FC6" s="1">
        <f t="shared" si="33"/>
        <v>0</v>
      </c>
      <c r="FD6" s="1">
        <f t="shared" si="33"/>
        <v>0</v>
      </c>
      <c r="FE6" s="1">
        <f t="shared" si="33"/>
        <v>0</v>
      </c>
      <c r="FG6" s="162">
        <f t="shared" ref="FG6:FG24" si="34">+I6-K6</f>
        <v>-0.22208220288127767</v>
      </c>
    </row>
    <row r="7" spans="1:163" ht="18.75" customHeight="1">
      <c r="A7" s="244" t="s">
        <v>13</v>
      </c>
      <c r="B7" s="247"/>
      <c r="C7" s="228">
        <f t="shared" si="5"/>
        <v>-0.33</v>
      </c>
      <c r="D7" s="229">
        <v>-1</v>
      </c>
      <c r="E7" s="253">
        <f t="shared" si="6"/>
        <v>8.6474501108647406E-2</v>
      </c>
      <c r="F7" s="254">
        <f t="shared" si="7"/>
        <v>5.8021781762930269E-2</v>
      </c>
      <c r="G7" s="253">
        <f t="shared" si="8"/>
        <v>3.3078456579153537E-2</v>
      </c>
      <c r="H7" s="254">
        <f t="shared" si="9"/>
        <v>5.3396044529493869E-2</v>
      </c>
      <c r="I7" s="253">
        <f t="shared" si="10"/>
        <v>-0.18333333333333335</v>
      </c>
      <c r="J7" s="254">
        <f t="shared" si="11"/>
        <v>-0.49882222077809546</v>
      </c>
      <c r="K7" s="253">
        <f t="shared" si="12"/>
        <v>0.42567530654571728</v>
      </c>
      <c r="L7" s="254">
        <f t="shared" si="13"/>
        <v>-0.60900863987905063</v>
      </c>
      <c r="M7" s="255"/>
      <c r="N7" s="256">
        <v>1</v>
      </c>
      <c r="O7" s="253">
        <f t="shared" ref="O7:O24" si="35">IFERROR(+BQ7/BR7-1,"")</f>
        <v>-0.13043478260869568</v>
      </c>
      <c r="P7" s="257">
        <f t="shared" ref="P7:P24" si="36">+O7</f>
        <v>-0.13043478260869568</v>
      </c>
      <c r="Q7" s="253">
        <f t="shared" si="14"/>
        <v>0.23076923076923084</v>
      </c>
      <c r="R7" s="257">
        <f t="shared" ref="R7:R24" si="37">+Q7</f>
        <v>0.23076923076923084</v>
      </c>
      <c r="S7" s="255"/>
      <c r="T7" s="256">
        <v>-1</v>
      </c>
      <c r="U7" s="253">
        <f t="shared" si="15"/>
        <v>0.47810110781202164</v>
      </c>
      <c r="V7" s="258">
        <f t="shared" si="16"/>
        <v>0.47810110781202164</v>
      </c>
      <c r="W7" s="253">
        <f t="shared" ref="W7:W24" si="38">IFERROR(IF(CC7&lt;0.5,"",+CC7/CD7-1),"")</f>
        <v>-0.23823429954633879</v>
      </c>
      <c r="X7" s="258">
        <f t="shared" si="17"/>
        <v>-0.23823429954633879</v>
      </c>
      <c r="Y7" s="253">
        <f t="shared" si="18"/>
        <v>0.41428571428571437</v>
      </c>
      <c r="Z7" s="258">
        <f t="shared" si="19"/>
        <v>0.41428571428571437</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4</v>
      </c>
      <c r="AQ7" s="28">
        <f>VLOOKUP($A7,historia!$A$5:$CM$24,+HLOOKUP(AQ$2,historia!$A$3:$EC$4,2,FALSE),FALSE)</f>
        <v>4</v>
      </c>
      <c r="AR7" s="28">
        <f>VLOOKUP($A7,historia!$A$5:$CM$24,+HLOOKUP(AR$2,historia!$A$3:$EC$4,2,FALSE),FALSE)</f>
        <v>4</v>
      </c>
      <c r="AS7" s="28">
        <f>VLOOKUP($A7,historia!$A$5:$CM$24,+HLOOKUP(AS$2,historia!$A$3:$EC$4,2,FALSE),FALSE)</f>
        <v>4</v>
      </c>
      <c r="AT7" s="58">
        <f>VLOOKUP($A7,historia!$A$5:$CM$24,+HLOOKUP(AT$2,historia!$A$3:$EC$4,2,FALSE),FALSE)</f>
        <v>4</v>
      </c>
      <c r="AU7" s="58">
        <f>VLOOKUP($A7,historia!$A$5:$CM$24,+HLOOKUP(AU$2,historia!$A$3:$EC$4,2,FALSE),FALSE)</f>
        <v>4</v>
      </c>
      <c r="AV7" s="58">
        <f>VLOOKUP($A7,historia!$A$5:$CM$24,+HLOOKUP(AV$2,historia!$A$3:$EC$4,2,FALSE),FALSE)</f>
        <v>4</v>
      </c>
      <c r="AW7" s="58">
        <f>VLOOKUP($A7,historia!$A$5:$DD$24,+HLOOKUP(AW$2,historia!$A$3:$EC$4,2,FALSE),FALSE)</f>
        <v>4</v>
      </c>
      <c r="AX7" s="58">
        <f>VLOOKUP($A7,historia!$A$5:$DD$24,+HLOOKUP(AX$2,historia!$A$3:$EC$4,2,FALSE),FALSE)</f>
        <v>4</v>
      </c>
      <c r="AY7" s="58">
        <f>VLOOKUP($A7,historia!$A$5:$DD$24,+HLOOKUP(AY$2,historia!$A$3:$EC$4,2,FALSE),FALSE)</f>
        <v>4</v>
      </c>
      <c r="AZ7" s="58">
        <f>VLOOKUP($A7,historia!$A$5:$DG$24,+HLOOKUP(AZ$2,historia!$A$3:$EC$4,2,FALSE),FALSE)</f>
        <v>4</v>
      </c>
      <c r="BA7" s="58">
        <f>VLOOKUP($A7,historia!$A$5:$DG$24,+HLOOKUP(BA$2,historia!$A$3:$EC$4,2,FALSE),FALSE)</f>
        <v>4</v>
      </c>
      <c r="BB7" s="58"/>
      <c r="BC7" s="286">
        <v>4</v>
      </c>
      <c r="BD7" t="str">
        <f t="shared" si="20"/>
        <v>Arroz</v>
      </c>
      <c r="BE7">
        <f>+datos!R1</f>
        <v>18</v>
      </c>
      <c r="BF7" s="2" t="str">
        <f t="shared" si="4"/>
        <v>$/t</v>
      </c>
      <c r="BG7" s="2">
        <f t="shared" si="4"/>
        <v>245000</v>
      </c>
      <c r="BH7" s="2">
        <f t="shared" si="4"/>
        <v>225500</v>
      </c>
      <c r="BI7" s="2">
        <f t="shared" si="4"/>
        <v>300000</v>
      </c>
      <c r="BK7">
        <f>+datos!BZ1</f>
        <v>78</v>
      </c>
      <c r="BL7" s="2">
        <f t="shared" si="21"/>
        <v>12501.381479786864</v>
      </c>
      <c r="BM7" s="2">
        <f t="shared" si="21"/>
        <v>12101.095904354501</v>
      </c>
      <c r="BN7" s="2">
        <f t="shared" si="21"/>
        <v>8768.743782254729</v>
      </c>
      <c r="BP7" s="1">
        <f>+datos!DM1</f>
        <v>117</v>
      </c>
      <c r="BQ7" s="1">
        <f t="shared" si="22"/>
        <v>200000</v>
      </c>
      <c r="BR7" s="1">
        <f t="shared" si="22"/>
        <v>230000</v>
      </c>
      <c r="BT7" s="1">
        <f>+datos!FH1</f>
        <v>164</v>
      </c>
      <c r="BU7" s="1">
        <f t="shared" si="23"/>
        <v>1600000</v>
      </c>
      <c r="BV7" s="1">
        <f t="shared" si="23"/>
        <v>1300000</v>
      </c>
      <c r="BX7" s="1">
        <f>+datos!JG1</f>
        <v>267</v>
      </c>
      <c r="BY7" s="1">
        <f t="shared" ref="BY7:BY24" si="39">+SUM(CJ7:CU7)</f>
        <v>426.81629141000008</v>
      </c>
      <c r="BZ7" s="1">
        <f t="shared" ref="BZ7:BZ24" si="40">+SUM(CV7:DG7)</f>
        <v>288.75987519</v>
      </c>
      <c r="CB7" s="1">
        <f>+datos!KL1</f>
        <v>298</v>
      </c>
      <c r="CC7" s="2">
        <f t="shared" si="24"/>
        <v>3.58927598</v>
      </c>
      <c r="CD7" s="2">
        <f t="shared" si="25"/>
        <v>4.711784709999999</v>
      </c>
      <c r="CF7" s="1">
        <f>+datos!HU1</f>
        <v>229</v>
      </c>
      <c r="CG7" s="1">
        <f t="shared" si="26"/>
        <v>990000</v>
      </c>
      <c r="CH7" s="1">
        <f t="shared" si="27"/>
        <v>700000</v>
      </c>
      <c r="CJ7" s="1">
        <f t="shared" si="28"/>
        <v>12.625558100000001</v>
      </c>
      <c r="CK7" s="1">
        <f t="shared" si="28"/>
        <v>36.759837599999997</v>
      </c>
      <c r="CL7" s="1">
        <f t="shared" si="28"/>
        <v>36.299912110000001</v>
      </c>
      <c r="CM7" s="1">
        <f t="shared" si="28"/>
        <v>15.634826659999996</v>
      </c>
      <c r="CN7" s="1">
        <f t="shared" si="28"/>
        <v>54.436744560000001</v>
      </c>
      <c r="CO7" s="1">
        <f t="shared" si="28"/>
        <v>16.08135906</v>
      </c>
      <c r="CP7" s="1">
        <f t="shared" si="28"/>
        <v>31.537173230000004</v>
      </c>
      <c r="CQ7" s="1">
        <f t="shared" si="28"/>
        <v>39.974175860000003</v>
      </c>
      <c r="CR7" s="1">
        <f t="shared" si="28"/>
        <v>35.910188569999995</v>
      </c>
      <c r="CS7" s="1">
        <f t="shared" si="28"/>
        <v>30.652184479999995</v>
      </c>
      <c r="CT7" s="1">
        <f t="shared" si="28"/>
        <v>94.896967090000004</v>
      </c>
      <c r="CU7" s="1">
        <f t="shared" si="28"/>
        <v>22.007364089999996</v>
      </c>
      <c r="CV7" s="1">
        <f t="shared" si="28"/>
        <v>13.652213600000001</v>
      </c>
      <c r="CW7" s="1">
        <f t="shared" si="28"/>
        <v>21.789652239999999</v>
      </c>
      <c r="CX7" s="1">
        <f t="shared" si="28"/>
        <v>22.506187060000002</v>
      </c>
      <c r="CY7" s="1">
        <f t="shared" si="28"/>
        <v>26.198510359999997</v>
      </c>
      <c r="CZ7" s="1">
        <f t="shared" si="29"/>
        <v>16.658344929999998</v>
      </c>
      <c r="DA7" s="1">
        <f t="shared" si="29"/>
        <v>38.799980059999996</v>
      </c>
      <c r="DB7" s="1">
        <f t="shared" si="29"/>
        <v>35.598317799999997</v>
      </c>
      <c r="DC7" s="1">
        <f t="shared" si="29"/>
        <v>32.785113670000001</v>
      </c>
      <c r="DD7" s="1">
        <f t="shared" si="29"/>
        <v>22.35722878</v>
      </c>
      <c r="DE7" s="1">
        <f t="shared" si="29"/>
        <v>34.376458229999997</v>
      </c>
      <c r="DF7" s="1">
        <f t="shared" si="29"/>
        <v>13.355622539999999</v>
      </c>
      <c r="DG7" s="1">
        <f t="shared" si="29"/>
        <v>10.68224592</v>
      </c>
      <c r="DI7" s="1">
        <f t="shared" si="30"/>
        <v>0.22953033</v>
      </c>
      <c r="DJ7" s="1">
        <f t="shared" si="30"/>
        <v>3.2780709999999998E-2</v>
      </c>
      <c r="DK7" s="1">
        <f t="shared" si="30"/>
        <v>0.17706282000000001</v>
      </c>
      <c r="DL7" s="1">
        <f t="shared" si="30"/>
        <v>0.30085145999999996</v>
      </c>
      <c r="DM7" s="1">
        <f t="shared" si="30"/>
        <v>0.26679149000000002</v>
      </c>
      <c r="DN7" s="1">
        <f t="shared" si="30"/>
        <v>0.13893236</v>
      </c>
      <c r="DO7" s="1">
        <f t="shared" si="30"/>
        <v>0.4195122</v>
      </c>
      <c r="DP7" s="1">
        <f t="shared" si="30"/>
        <v>0.20050375000000001</v>
      </c>
      <c r="DQ7" s="1">
        <f t="shared" si="30"/>
        <v>0.34624290000000002</v>
      </c>
      <c r="DR7" s="1">
        <f t="shared" si="30"/>
        <v>0.15613090000000002</v>
      </c>
      <c r="DS7" s="1">
        <f t="shared" si="30"/>
        <v>0.47281664000000007</v>
      </c>
      <c r="DT7" s="1">
        <f t="shared" si="30"/>
        <v>0.84812041999999999</v>
      </c>
      <c r="DU7" s="1">
        <f t="shared" si="30"/>
        <v>0.25440681999999998</v>
      </c>
      <c r="DV7" s="1">
        <f t="shared" si="30"/>
        <v>0.7620908099999999</v>
      </c>
      <c r="DW7" s="1">
        <f t="shared" si="30"/>
        <v>0.50490091999999998</v>
      </c>
      <c r="DX7" s="1">
        <f t="shared" si="30"/>
        <v>0.40961613000000002</v>
      </c>
      <c r="DY7" s="1">
        <f t="shared" si="31"/>
        <v>0.23587240000000001</v>
      </c>
      <c r="DZ7" s="1">
        <f t="shared" si="31"/>
        <v>0.18557204999999999</v>
      </c>
      <c r="EA7" s="1">
        <f t="shared" si="31"/>
        <v>0.48301414000000004</v>
      </c>
      <c r="EB7" s="1">
        <f t="shared" si="31"/>
        <v>0.23845672000000001</v>
      </c>
      <c r="EC7" s="1">
        <f t="shared" si="31"/>
        <v>0.50080292000000004</v>
      </c>
      <c r="ED7" s="1">
        <f t="shared" si="31"/>
        <v>8.6091799999999996E-2</v>
      </c>
      <c r="EE7" s="1">
        <f t="shared" si="31"/>
        <v>0.22536</v>
      </c>
      <c r="EF7" s="1">
        <f t="shared" si="31"/>
        <v>0.8256</v>
      </c>
      <c r="EH7" s="14">
        <f t="shared" si="32"/>
        <v>990000</v>
      </c>
      <c r="EI7" s="14">
        <f t="shared" si="32"/>
        <v>990000</v>
      </c>
      <c r="EJ7" s="1">
        <f t="shared" si="32"/>
        <v>990000</v>
      </c>
      <c r="EK7" s="1">
        <f t="shared" si="32"/>
        <v>990000</v>
      </c>
      <c r="EL7" s="1">
        <f t="shared" si="32"/>
        <v>990000</v>
      </c>
      <c r="EM7" s="1">
        <f t="shared" si="32"/>
        <v>990000</v>
      </c>
      <c r="EN7" s="1">
        <f t="shared" si="32"/>
        <v>990000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3"/>
        <v>700000</v>
      </c>
      <c r="EY7" s="1">
        <f t="shared" si="33"/>
        <v>700000</v>
      </c>
      <c r="EZ7" s="1">
        <f t="shared" si="33"/>
        <v>700000</v>
      </c>
      <c r="FA7" s="1">
        <f t="shared" si="33"/>
        <v>700000</v>
      </c>
      <c r="FB7" s="1">
        <f t="shared" si="33"/>
        <v>700000</v>
      </c>
      <c r="FC7" s="1">
        <f t="shared" si="33"/>
        <v>700000</v>
      </c>
      <c r="FD7" s="1">
        <f t="shared" si="33"/>
        <v>700000</v>
      </c>
      <c r="FE7" s="1">
        <f t="shared" si="33"/>
        <v>700000</v>
      </c>
      <c r="FG7" s="162">
        <f t="shared" si="34"/>
        <v>-0.60900863987905063</v>
      </c>
    </row>
    <row r="8" spans="1:163" ht="18.75" customHeight="1">
      <c r="A8" s="243" t="s">
        <v>215</v>
      </c>
      <c r="B8" s="246"/>
      <c r="C8" s="156">
        <f t="shared" si="5"/>
        <v>-0.33</v>
      </c>
      <c r="D8" s="198">
        <v>0</v>
      </c>
      <c r="E8" s="248">
        <f t="shared" si="6"/>
        <v>7.923090702812452E-2</v>
      </c>
      <c r="F8" s="249">
        <f t="shared" si="7"/>
        <v>5.0778187682407383E-2</v>
      </c>
      <c r="G8" s="248">
        <f t="shared" si="8"/>
        <v>1.5175966537525731E-2</v>
      </c>
      <c r="H8" s="249">
        <f t="shared" si="9"/>
        <v>6.4054940490598788E-2</v>
      </c>
      <c r="I8" s="248">
        <f t="shared" si="10"/>
        <v>0.24388034884489174</v>
      </c>
      <c r="J8" s="249">
        <f t="shared" si="11"/>
        <v>-7.1608538599870375E-2</v>
      </c>
      <c r="K8" s="248">
        <f t="shared" si="12"/>
        <v>0.40949312613231004</v>
      </c>
      <c r="L8" s="249">
        <f t="shared" si="13"/>
        <v>-0.1656127772874183</v>
      </c>
      <c r="M8" s="250"/>
      <c r="N8" s="24">
        <v>0</v>
      </c>
      <c r="O8" s="248">
        <f t="shared" si="35"/>
        <v>2.5727679058105357E-2</v>
      </c>
      <c r="P8" s="251">
        <f t="shared" si="36"/>
        <v>2.5727679058105357E-2</v>
      </c>
      <c r="Q8" s="248">
        <f t="shared" si="14"/>
        <v>1.3765197828550235E-2</v>
      </c>
      <c r="R8" s="251">
        <f t="shared" si="37"/>
        <v>1.3765197828550235E-2</v>
      </c>
      <c r="S8" s="250"/>
      <c r="T8" s="24">
        <v>-1</v>
      </c>
      <c r="U8" s="248">
        <f t="shared" si="15"/>
        <v>-0.67198068414369305</v>
      </c>
      <c r="V8" s="252">
        <f t="shared" si="16"/>
        <v>-0.67198068414369305</v>
      </c>
      <c r="W8" s="248">
        <f t="shared" si="38"/>
        <v>0.1668065082158865</v>
      </c>
      <c r="X8" s="252">
        <f t="shared" si="17"/>
        <v>0.1668065082158865</v>
      </c>
      <c r="Y8" s="248">
        <f t="shared" si="18"/>
        <v>5.5309734513274256E-2</v>
      </c>
      <c r="Z8" s="252">
        <f t="shared" si="19"/>
        <v>5.5309734513274256E-2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2</v>
      </c>
      <c r="AV8" s="58">
        <f>VLOOKUP($A8,historia!$A$5:$CM$24,+HLOOKUP(AV$2,historia!$A$3:$EC$4,2,FALSE),FALSE)</f>
        <v>2</v>
      </c>
      <c r="AW8" s="58">
        <f>VLOOKUP($A8,historia!$A$5:$DD$24,+HLOOKUP(AW$2,historia!$A$3:$EC$4,2,FALSE),FALSE)</f>
        <v>2</v>
      </c>
      <c r="AX8" s="58">
        <f>VLOOKUP($A8,historia!$A$5:$DD$24,+HLOOKUP(AX$2,historia!$A$3:$EC$4,2,FALSE),FALSE)</f>
        <v>2</v>
      </c>
      <c r="AY8" s="58">
        <f>VLOOKUP($A8,historia!$A$5:$DD$24,+HLOOKUP(AY$2,historia!$A$3:$EC$4,2,FALSE),FALSE)</f>
        <v>2</v>
      </c>
      <c r="AZ8" s="58">
        <f>VLOOKUP($A8,historia!$A$5:$DG$24,+HLOOKUP(AZ$2,historia!$A$3:$EC$4,2,FALSE),FALSE)</f>
        <v>3</v>
      </c>
      <c r="BA8" s="58">
        <f>VLOOKUP($A8,historia!$A$5:$DG$24,+HLOOKUP(BA$2,historia!$A$3:$EC$4,2,FALSE),FALSE)</f>
        <v>3</v>
      </c>
      <c r="BB8" s="58"/>
      <c r="BC8" s="286">
        <v>3</v>
      </c>
      <c r="BD8" t="str">
        <f t="shared" si="20"/>
        <v>Aves</v>
      </c>
      <c r="BE8">
        <f>+datos!BQ1</f>
        <v>69</v>
      </c>
      <c r="BF8" s="2" t="str">
        <f t="shared" si="4"/>
        <v>prom pond huevo-carne</v>
      </c>
      <c r="BG8" s="2">
        <f t="shared" si="4"/>
        <v>2259.2350000000001</v>
      </c>
      <c r="BH8" s="2">
        <f t="shared" si="4"/>
        <v>2093.375</v>
      </c>
      <c r="BI8" s="2">
        <f t="shared" si="4"/>
        <v>1816.28</v>
      </c>
      <c r="BK8">
        <f>+datos!DG1</f>
        <v>111</v>
      </c>
      <c r="BL8" s="2">
        <f t="shared" si="21"/>
        <v>12221.321306946298</v>
      </c>
      <c r="BM8" s="2">
        <f t="shared" si="21"/>
        <v>12038.623558662173</v>
      </c>
      <c r="BN8" s="2">
        <f t="shared" si="21"/>
        <v>8670.7207579521564</v>
      </c>
      <c r="BP8" s="1">
        <f>+datos!EP1</f>
        <v>146</v>
      </c>
      <c r="BQ8" s="1">
        <f t="shared" si="22"/>
        <v>9409</v>
      </c>
      <c r="BR8" s="1">
        <f t="shared" si="22"/>
        <v>9173</v>
      </c>
      <c r="BT8" s="1">
        <f>+datos!HM1</f>
        <v>221</v>
      </c>
      <c r="BU8" s="1">
        <f t="shared" si="23"/>
        <v>2402047.2200000002</v>
      </c>
      <c r="BV8" s="1">
        <f t="shared" si="23"/>
        <v>2369431.5262992866</v>
      </c>
      <c r="BX8" s="1">
        <f>+datos!KF1</f>
        <v>292</v>
      </c>
      <c r="BY8" s="1">
        <f t="shared" si="39"/>
        <v>96.930623180000012</v>
      </c>
      <c r="BZ8" s="1">
        <f t="shared" si="40"/>
        <v>295.50279052000002</v>
      </c>
      <c r="CB8" s="1">
        <f>+datos!LK1</f>
        <v>323</v>
      </c>
      <c r="CC8" s="2">
        <f t="shared" si="24"/>
        <v>42.638598549999998</v>
      </c>
      <c r="CD8" s="2">
        <f t="shared" si="25"/>
        <v>36.542989990000002</v>
      </c>
      <c r="CF8" s="1">
        <f>+datos!IL1</f>
        <v>246</v>
      </c>
      <c r="CG8" s="2">
        <f t="shared" si="26"/>
        <v>47.7</v>
      </c>
      <c r="CH8" s="2">
        <f t="shared" si="27"/>
        <v>45.2</v>
      </c>
      <c r="CI8" s="2">
        <f>CG8-CH8</f>
        <v>2.5</v>
      </c>
      <c r="CJ8" s="1">
        <f t="shared" si="28"/>
        <v>10.33831614</v>
      </c>
      <c r="CK8" s="1">
        <f t="shared" si="28"/>
        <v>10.343166379999998</v>
      </c>
      <c r="CL8" s="1">
        <f t="shared" si="28"/>
        <v>8.6585168299999999</v>
      </c>
      <c r="CM8" s="1">
        <f t="shared" si="28"/>
        <v>9.7942580100000001</v>
      </c>
      <c r="CN8" s="1">
        <f t="shared" si="28"/>
        <v>6.5346210099999995</v>
      </c>
      <c r="CO8" s="1">
        <f t="shared" si="28"/>
        <v>6.7443728600000004</v>
      </c>
      <c r="CP8" s="1">
        <f t="shared" si="28"/>
        <v>8.66231011</v>
      </c>
      <c r="CQ8" s="1">
        <f t="shared" si="28"/>
        <v>7.3007548499999997</v>
      </c>
      <c r="CR8" s="1">
        <f t="shared" si="28"/>
        <v>9.0051498100000007</v>
      </c>
      <c r="CS8" s="1">
        <f t="shared" si="28"/>
        <v>5.9149876199999998</v>
      </c>
      <c r="CT8" s="1">
        <f t="shared" si="28"/>
        <v>8.0094020700000002</v>
      </c>
      <c r="CU8" s="1">
        <f t="shared" si="28"/>
        <v>5.62476749</v>
      </c>
      <c r="CV8" s="1">
        <f t="shared" si="28"/>
        <v>10.456415849999999</v>
      </c>
      <c r="CW8" s="1">
        <f t="shared" si="28"/>
        <v>8.1147673099999995</v>
      </c>
      <c r="CX8" s="1">
        <f t="shared" si="28"/>
        <v>20.968439010000004</v>
      </c>
      <c r="CY8" s="1">
        <f t="shared" si="28"/>
        <v>22.566015059999998</v>
      </c>
      <c r="CZ8" s="1">
        <f t="shared" si="29"/>
        <v>20.944876220000001</v>
      </c>
      <c r="DA8" s="1">
        <f t="shared" si="29"/>
        <v>23.157032140000002</v>
      </c>
      <c r="DB8" s="1">
        <f t="shared" si="29"/>
        <v>19.314763240000005</v>
      </c>
      <c r="DC8" s="1">
        <f t="shared" si="29"/>
        <v>22.778743510000002</v>
      </c>
      <c r="DD8" s="1">
        <f t="shared" si="29"/>
        <v>39.062197300000001</v>
      </c>
      <c r="DE8" s="1">
        <f t="shared" si="29"/>
        <v>40.013868680000002</v>
      </c>
      <c r="DF8" s="1">
        <f t="shared" si="29"/>
        <v>35.607742460000011</v>
      </c>
      <c r="DG8" s="1">
        <f t="shared" si="29"/>
        <v>32.51792974</v>
      </c>
      <c r="DI8" s="1">
        <f t="shared" si="30"/>
        <v>4.8166289400000002</v>
      </c>
      <c r="DJ8" s="1">
        <f t="shared" si="30"/>
        <v>3.1609685399999994</v>
      </c>
      <c r="DK8" s="1">
        <f t="shared" si="30"/>
        <v>2.9900732700000003</v>
      </c>
      <c r="DL8" s="1">
        <f t="shared" si="30"/>
        <v>5.5193633599999998</v>
      </c>
      <c r="DM8" s="1">
        <f t="shared" si="30"/>
        <v>3.4351580800000003</v>
      </c>
      <c r="DN8" s="1">
        <f t="shared" si="30"/>
        <v>2.0550383299999999</v>
      </c>
      <c r="DO8" s="1">
        <f t="shared" si="30"/>
        <v>3.4373023600000003</v>
      </c>
      <c r="DP8" s="1">
        <f t="shared" si="30"/>
        <v>5.2475744900000008</v>
      </c>
      <c r="DQ8" s="1">
        <f t="shared" si="30"/>
        <v>3.52939004</v>
      </c>
      <c r="DR8" s="1">
        <f t="shared" si="30"/>
        <v>1.41927303</v>
      </c>
      <c r="DS8" s="1">
        <f t="shared" si="30"/>
        <v>4.5240591299999995</v>
      </c>
      <c r="DT8" s="1">
        <f t="shared" si="30"/>
        <v>2.5037689800000003</v>
      </c>
      <c r="DU8" s="1">
        <f t="shared" si="30"/>
        <v>2.5011971499999999</v>
      </c>
      <c r="DV8" s="1">
        <f t="shared" si="30"/>
        <v>3.7585351000000005</v>
      </c>
      <c r="DW8" s="1">
        <f t="shared" si="30"/>
        <v>4.0425458900000004</v>
      </c>
      <c r="DX8" s="1">
        <f t="shared" si="30"/>
        <v>3.59052696</v>
      </c>
      <c r="DY8" s="1">
        <f t="shared" si="31"/>
        <v>2.1766254799999998</v>
      </c>
      <c r="DZ8" s="1">
        <f t="shared" si="31"/>
        <v>1.5903026900000001</v>
      </c>
      <c r="EA8" s="1">
        <f t="shared" si="31"/>
        <v>5.6916922899999998</v>
      </c>
      <c r="EB8" s="1">
        <f t="shared" si="31"/>
        <v>1.7294530099999998</v>
      </c>
      <c r="EC8" s="1">
        <f t="shared" si="31"/>
        <v>4.2232492399999995</v>
      </c>
      <c r="ED8" s="1">
        <f t="shared" si="31"/>
        <v>1.27466579</v>
      </c>
      <c r="EE8" s="1">
        <f t="shared" si="31"/>
        <v>1.8857013599999999</v>
      </c>
      <c r="EF8" s="1">
        <f t="shared" si="31"/>
        <v>4.07849503</v>
      </c>
      <c r="EH8" s="14">
        <f t="shared" si="32"/>
        <v>47.7</v>
      </c>
      <c r="EI8" s="14">
        <f t="shared" si="32"/>
        <v>47.68</v>
      </c>
      <c r="EJ8" s="1">
        <f t="shared" si="32"/>
        <v>46.5</v>
      </c>
      <c r="EK8" s="1">
        <f t="shared" si="32"/>
        <v>46.08</v>
      </c>
      <c r="EL8" s="1">
        <f t="shared" si="32"/>
        <v>45.67</v>
      </c>
      <c r="EM8" s="1">
        <f t="shared" si="32"/>
        <v>45.79</v>
      </c>
      <c r="EN8" s="1">
        <f t="shared" si="32"/>
        <v>45.9</v>
      </c>
      <c r="EO8" s="1">
        <f t="shared" si="32"/>
        <v>45.78</v>
      </c>
      <c r="EP8" s="1">
        <f t="shared" si="32"/>
        <v>45.91</v>
      </c>
      <c r="EQ8" s="1">
        <f t="shared" si="32"/>
        <v>45.61</v>
      </c>
      <c r="ER8" s="1">
        <f t="shared" si="32"/>
        <v>45.61</v>
      </c>
      <c r="ES8" s="1">
        <f t="shared" si="32"/>
        <v>45.23</v>
      </c>
      <c r="ET8" s="1">
        <f t="shared" si="32"/>
        <v>45.2</v>
      </c>
      <c r="EU8" s="1">
        <f t="shared" si="32"/>
        <v>46.01</v>
      </c>
      <c r="EV8" s="1">
        <f t="shared" si="32"/>
        <v>44.44</v>
      </c>
      <c r="EW8" s="1">
        <f t="shared" si="32"/>
        <v>42.29</v>
      </c>
      <c r="EX8" s="1">
        <f t="shared" si="33"/>
        <v>45.39</v>
      </c>
      <c r="EY8" s="1">
        <f t="shared" si="33"/>
        <v>45.32</v>
      </c>
      <c r="EZ8" s="1">
        <f t="shared" si="33"/>
        <v>44.85</v>
      </c>
      <c r="FA8" s="1">
        <f t="shared" si="33"/>
        <v>45.52</v>
      </c>
      <c r="FB8" s="1">
        <f t="shared" si="33"/>
        <v>46.23</v>
      </c>
      <c r="FC8" s="1">
        <f t="shared" si="33"/>
        <v>46.23</v>
      </c>
      <c r="FD8" s="1">
        <f t="shared" si="33"/>
        <v>46.23</v>
      </c>
      <c r="FE8" s="1">
        <f t="shared" si="33"/>
        <v>48.52</v>
      </c>
      <c r="FG8" s="162">
        <f t="shared" si="34"/>
        <v>-0.1656127772874183</v>
      </c>
    </row>
    <row r="9" spans="1:163" ht="18.75" customHeight="1">
      <c r="A9" s="244" t="s">
        <v>77</v>
      </c>
      <c r="B9" s="247"/>
      <c r="C9" s="228">
        <v>0</v>
      </c>
      <c r="D9" s="229">
        <v>1</v>
      </c>
      <c r="E9" s="253">
        <f t="shared" si="6"/>
        <v>0.1330050591934373</v>
      </c>
      <c r="F9" s="254">
        <f t="shared" si="7"/>
        <v>0.10455233984772017</v>
      </c>
      <c r="G9" s="253">
        <f t="shared" si="8"/>
        <v>3.3501926219191347E-2</v>
      </c>
      <c r="H9" s="254">
        <f t="shared" si="9"/>
        <v>9.9503132974245956E-2</v>
      </c>
      <c r="I9" s="253">
        <f t="shared" si="10"/>
        <v>0.97172012807902997</v>
      </c>
      <c r="J9" s="254">
        <f t="shared" si="11"/>
        <v>0.65623124063426785</v>
      </c>
      <c r="K9" s="253">
        <f t="shared" si="12"/>
        <v>0.45047399090918638</v>
      </c>
      <c r="L9" s="254">
        <f t="shared" si="13"/>
        <v>0.52124613716984358</v>
      </c>
      <c r="M9" s="255"/>
      <c r="N9" s="256">
        <v>-1</v>
      </c>
      <c r="O9" s="253">
        <f t="shared" si="35"/>
        <v>-2.1957134195409456E-2</v>
      </c>
      <c r="P9" s="257">
        <f t="shared" si="36"/>
        <v>-2.1957134195409456E-2</v>
      </c>
      <c r="Q9" s="253">
        <f t="shared" si="14"/>
        <v>-1.152354591652871E-2</v>
      </c>
      <c r="R9" s="257">
        <f t="shared" si="37"/>
        <v>-1.152354591652871E-2</v>
      </c>
      <c r="S9" s="255"/>
      <c r="T9" s="256">
        <v>0</v>
      </c>
      <c r="U9" s="253">
        <f t="shared" si="15"/>
        <v>0.22421725432751338</v>
      </c>
      <c r="V9" s="258">
        <f t="shared" si="16"/>
        <v>0.22421725432751338</v>
      </c>
      <c r="W9" s="253">
        <f t="shared" si="38"/>
        <v>1.8196491960293164</v>
      </c>
      <c r="X9" s="258">
        <f t="shared" si="17"/>
        <v>1.8196491960293164</v>
      </c>
      <c r="Y9" s="253">
        <f t="shared" si="18"/>
        <v>4.4760510353482497E-2</v>
      </c>
      <c r="Z9" s="258">
        <f t="shared" si="19"/>
        <v>4.4760510353482497E-2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3</v>
      </c>
      <c r="AQ9" s="28">
        <f>VLOOKUP($A9,historia!$A$5:$CM$24,+HLOOKUP(AQ$2,historia!$A$3:$EC$4,2,FALSE),FALSE)</f>
        <v>3</v>
      </c>
      <c r="AR9" s="28">
        <f>VLOOKUP($A9,historia!$A$5:$CM$24,+HLOOKUP(AR$2,historia!$A$3:$EC$4,2,FALSE),FALSE)</f>
        <v>2</v>
      </c>
      <c r="AS9" s="28">
        <f>VLOOKUP($A9,historia!$A$5:$CM$24,+HLOOKUP(AS$2,historia!$A$3:$EC$4,2,FALSE),FALSE)</f>
        <v>2</v>
      </c>
      <c r="AT9" s="58">
        <f>VLOOKUP($A9,historia!$A$5:$CM$24,+HLOOKUP(AT$2,historia!$A$3:$EC$4,2,FALSE),FALSE)</f>
        <v>2</v>
      </c>
      <c r="AU9" s="58">
        <f>VLOOKUP($A9,historia!$A$5:$CM$24,+HLOOKUP(AU$2,historia!$A$3:$EC$4,2,FALSE),FALSE)</f>
        <v>2</v>
      </c>
      <c r="AV9" s="58">
        <f>VLOOKUP($A9,historia!$A$5:$CM$24,+HLOOKUP(AV$2,historia!$A$3:$EC$4,2,FALSE),FALSE)</f>
        <v>2</v>
      </c>
      <c r="AW9" s="58">
        <f>VLOOKUP($A9,historia!$A$5:$DD$24,+HLOOKUP(AW$2,historia!$A$3:$EC$4,2,FALSE),FALSE)</f>
        <v>1</v>
      </c>
      <c r="AX9" s="58">
        <f>VLOOKUP($A9,historia!$A$5:$DD$24,+HLOOKUP(AX$2,historia!$A$3:$EC$4,2,FALSE),FALSE)</f>
        <v>1</v>
      </c>
      <c r="AY9" s="58">
        <f>VLOOKUP($A9,historia!$A$5:$DD$24,+HLOOKUP(AY$2,historia!$A$3:$EC$4,2,FALSE),FALSE)</f>
        <v>2</v>
      </c>
      <c r="AZ9" s="58">
        <f>VLOOKUP($A9,historia!$A$5:$DG$24,+HLOOKUP(AZ$2,historia!$A$3:$EC$4,2,FALSE),FALSE)</f>
        <v>1</v>
      </c>
      <c r="BA9" s="58">
        <f>VLOOKUP($A9,historia!$A$5:$DG$24,+HLOOKUP(BA$2,historia!$A$3:$EC$4,2,FALSE),FALSE)</f>
        <v>2</v>
      </c>
      <c r="BB9" s="58"/>
      <c r="BC9" s="286">
        <v>2</v>
      </c>
      <c r="BD9" t="str">
        <f t="shared" si="20"/>
        <v>Bovinos</v>
      </c>
      <c r="BE9">
        <f>+datos!BM1</f>
        <v>65</v>
      </c>
      <c r="BF9" s="2" t="str">
        <f t="shared" si="4"/>
        <v>$/kg</v>
      </c>
      <c r="BG9" s="2">
        <f t="shared" si="4"/>
        <v>4990.6080000000002</v>
      </c>
      <c r="BH9" s="2">
        <f t="shared" si="4"/>
        <v>4404.7534999999998</v>
      </c>
      <c r="BI9" s="2">
        <f t="shared" si="4"/>
        <v>2531.0934999999999</v>
      </c>
      <c r="BK9">
        <f>+datos!DB1</f>
        <v>106</v>
      </c>
      <c r="BL9" s="2">
        <f t="shared" si="21"/>
        <v>13395.365556967934</v>
      </c>
      <c r="BM9" s="2">
        <f t="shared" si="21"/>
        <v>12961.142323141605</v>
      </c>
      <c r="BN9" s="2">
        <f t="shared" si="21"/>
        <v>9235.164257286302</v>
      </c>
      <c r="BP9" s="1">
        <f>+datos!EH1</f>
        <v>138</v>
      </c>
      <c r="BQ9" s="1">
        <f t="shared" si="22"/>
        <v>51624909</v>
      </c>
      <c r="BR9" s="1">
        <f t="shared" si="22"/>
        <v>52783892</v>
      </c>
      <c r="BT9" s="1">
        <f>+datos!HB1</f>
        <v>210</v>
      </c>
      <c r="BU9" s="1">
        <f t="shared" si="23"/>
        <v>3126982</v>
      </c>
      <c r="BV9" s="1">
        <f t="shared" si="23"/>
        <v>3163436</v>
      </c>
      <c r="BX9" s="1">
        <f>+datos!KG1</f>
        <v>293</v>
      </c>
      <c r="BY9" s="1">
        <f t="shared" si="39"/>
        <v>5061.4067068399991</v>
      </c>
      <c r="BZ9" s="1">
        <f t="shared" si="40"/>
        <v>4134.4023611399998</v>
      </c>
      <c r="CB9" s="1">
        <f>+datos!LL1</f>
        <v>324</v>
      </c>
      <c r="CC9" s="2">
        <f t="shared" si="24"/>
        <v>107.44669597000001</v>
      </c>
      <c r="CD9" s="2">
        <f t="shared" si="25"/>
        <v>38.106405619999997</v>
      </c>
      <c r="CF9" s="1">
        <f>+datos!IM1</f>
        <v>247</v>
      </c>
      <c r="CG9" s="2">
        <f t="shared" si="26"/>
        <v>49.95</v>
      </c>
      <c r="CH9" s="2">
        <f t="shared" si="27"/>
        <v>47.81</v>
      </c>
      <c r="CJ9" s="1">
        <f t="shared" si="28"/>
        <v>452.44590436999982</v>
      </c>
      <c r="CK9" s="1">
        <f t="shared" si="28"/>
        <v>474.71184945000005</v>
      </c>
      <c r="CL9" s="1">
        <f t="shared" si="28"/>
        <v>535.90919134000001</v>
      </c>
      <c r="CM9" s="1">
        <f t="shared" si="28"/>
        <v>536.17235368000001</v>
      </c>
      <c r="CN9" s="1">
        <f t="shared" si="28"/>
        <v>505.86158855000002</v>
      </c>
      <c r="CO9" s="1">
        <f t="shared" si="28"/>
        <v>434.66638176999993</v>
      </c>
      <c r="CP9" s="1">
        <f t="shared" si="28"/>
        <v>430.01977605999991</v>
      </c>
      <c r="CQ9" s="1">
        <f t="shared" si="28"/>
        <v>389.02912699999996</v>
      </c>
      <c r="CR9" s="1">
        <f t="shared" si="28"/>
        <v>350.95842742999997</v>
      </c>
      <c r="CS9" s="1">
        <f t="shared" si="28"/>
        <v>275.41226476999998</v>
      </c>
      <c r="CT9" s="1">
        <f t="shared" si="28"/>
        <v>345.87150417999976</v>
      </c>
      <c r="CU9" s="1">
        <f t="shared" si="28"/>
        <v>330.34833823999992</v>
      </c>
      <c r="CV9" s="1">
        <f t="shared" si="28"/>
        <v>372.02787432000008</v>
      </c>
      <c r="CW9" s="1">
        <f t="shared" si="28"/>
        <v>363.37275483999991</v>
      </c>
      <c r="CX9" s="1">
        <f t="shared" si="28"/>
        <v>373.60267999999996</v>
      </c>
      <c r="CY9" s="1">
        <f t="shared" si="28"/>
        <v>392.24577093999977</v>
      </c>
      <c r="CZ9" s="1">
        <f t="shared" si="29"/>
        <v>370.00520762000008</v>
      </c>
      <c r="DA9" s="1">
        <f t="shared" si="29"/>
        <v>307.7105307999999</v>
      </c>
      <c r="DB9" s="1">
        <f t="shared" si="29"/>
        <v>311.98041742999999</v>
      </c>
      <c r="DC9" s="1">
        <f t="shared" si="29"/>
        <v>309.32423856999998</v>
      </c>
      <c r="DD9" s="1">
        <f t="shared" si="29"/>
        <v>316.28118749999999</v>
      </c>
      <c r="DE9" s="1">
        <f t="shared" si="29"/>
        <v>350.14414257999977</v>
      </c>
      <c r="DF9" s="1">
        <f t="shared" si="29"/>
        <v>342.85888695999995</v>
      </c>
      <c r="DG9" s="1">
        <f t="shared" si="29"/>
        <v>324.84866957999998</v>
      </c>
      <c r="DI9" s="1">
        <f t="shared" si="30"/>
        <v>11.988372569999999</v>
      </c>
      <c r="DJ9" s="1">
        <f t="shared" si="30"/>
        <v>8.8931998399999994</v>
      </c>
      <c r="DK9" s="1">
        <f t="shared" si="30"/>
        <v>5.7331222099999994</v>
      </c>
      <c r="DL9" s="1">
        <f t="shared" si="30"/>
        <v>13.331294830000001</v>
      </c>
      <c r="DM9" s="1">
        <f t="shared" si="30"/>
        <v>9.6599299699999985</v>
      </c>
      <c r="DN9" s="1">
        <f t="shared" si="30"/>
        <v>6.816705279999999</v>
      </c>
      <c r="DO9" s="1">
        <f t="shared" si="30"/>
        <v>8.1579769499999983</v>
      </c>
      <c r="DP9" s="1">
        <f t="shared" si="30"/>
        <v>10.16779666</v>
      </c>
      <c r="DQ9" s="1">
        <f t="shared" si="30"/>
        <v>11.009236750000001</v>
      </c>
      <c r="DR9" s="1">
        <f t="shared" si="30"/>
        <v>8.7569028099999997</v>
      </c>
      <c r="DS9" s="1">
        <f t="shared" si="30"/>
        <v>7.0677003599999999</v>
      </c>
      <c r="DT9" s="1">
        <f t="shared" si="30"/>
        <v>5.8644577399999989</v>
      </c>
      <c r="DU9" s="1">
        <f t="shared" si="30"/>
        <v>6.7460545699999992</v>
      </c>
      <c r="DV9" s="1">
        <f t="shared" si="30"/>
        <v>2.8647302900000002</v>
      </c>
      <c r="DW9" s="1">
        <f t="shared" si="30"/>
        <v>3.9160438699999998</v>
      </c>
      <c r="DX9" s="1">
        <f t="shared" si="30"/>
        <v>2.7432327000000001</v>
      </c>
      <c r="DY9" s="1">
        <f t="shared" si="31"/>
        <v>3.5031505699999994</v>
      </c>
      <c r="DZ9" s="1">
        <f t="shared" si="31"/>
        <v>3.9954732900000005</v>
      </c>
      <c r="EA9" s="1">
        <f t="shared" si="31"/>
        <v>2.3751918999999999</v>
      </c>
      <c r="EB9" s="1">
        <f t="shared" si="31"/>
        <v>3.3189943100000003</v>
      </c>
      <c r="EC9" s="1">
        <f t="shared" si="31"/>
        <v>3.6004889900000006</v>
      </c>
      <c r="ED9" s="1">
        <f t="shared" si="31"/>
        <v>2.2940615100000001</v>
      </c>
      <c r="EE9" s="1">
        <f t="shared" si="31"/>
        <v>1.2696953500000001</v>
      </c>
      <c r="EF9" s="1">
        <f t="shared" si="31"/>
        <v>1.4792882700000001</v>
      </c>
      <c r="EH9" s="14">
        <f t="shared" si="32"/>
        <v>49.95</v>
      </c>
      <c r="EI9" s="14">
        <f t="shared" si="32"/>
        <v>49.25</v>
      </c>
      <c r="EJ9" s="1">
        <f t="shared" si="32"/>
        <v>49.56</v>
      </c>
      <c r="EK9" s="1">
        <f t="shared" si="32"/>
        <v>49.84</v>
      </c>
      <c r="EL9" s="1">
        <f t="shared" si="32"/>
        <v>49.93</v>
      </c>
      <c r="EM9" s="1">
        <f t="shared" si="32"/>
        <v>50.15</v>
      </c>
      <c r="EN9" s="1">
        <f t="shared" si="32"/>
        <v>50.33</v>
      </c>
      <c r="EO9" s="1">
        <f t="shared" si="32"/>
        <v>49.79</v>
      </c>
      <c r="EP9" s="1">
        <f t="shared" si="32"/>
        <v>49.86</v>
      </c>
      <c r="EQ9" s="1">
        <f t="shared" si="32"/>
        <v>49.86</v>
      </c>
      <c r="ER9" s="1">
        <f t="shared" si="32"/>
        <v>48.75</v>
      </c>
      <c r="ES9" s="1">
        <f t="shared" si="32"/>
        <v>48.18</v>
      </c>
      <c r="ET9" s="1">
        <f t="shared" si="32"/>
        <v>47.81</v>
      </c>
      <c r="EU9" s="1">
        <f t="shared" si="32"/>
        <v>46.91</v>
      </c>
      <c r="EV9" s="1">
        <f t="shared" si="32"/>
        <v>47.74</v>
      </c>
      <c r="EW9" s="1">
        <f t="shared" si="32"/>
        <v>47.38</v>
      </c>
      <c r="EX9" s="1">
        <f t="shared" si="33"/>
        <v>47.74</v>
      </c>
      <c r="EY9" s="1">
        <f t="shared" si="33"/>
        <v>47.8</v>
      </c>
      <c r="EZ9" s="1">
        <f t="shared" si="33"/>
        <v>47.58</v>
      </c>
      <c r="FA9" s="1">
        <f t="shared" si="33"/>
        <v>49.18</v>
      </c>
      <c r="FB9" s="1">
        <f t="shared" si="33"/>
        <v>49.37</v>
      </c>
      <c r="FC9" s="1">
        <f t="shared" si="33"/>
        <v>49.38</v>
      </c>
      <c r="FD9" s="1">
        <f t="shared" si="33"/>
        <v>51.48</v>
      </c>
      <c r="FE9" s="1">
        <f t="shared" si="33"/>
        <v>52.06</v>
      </c>
      <c r="FG9" s="162">
        <f t="shared" si="34"/>
        <v>0.52124613716984358</v>
      </c>
    </row>
    <row r="10" spans="1:163" ht="28.8">
      <c r="A10" s="263" t="s">
        <v>221</v>
      </c>
      <c r="B10" s="246"/>
      <c r="C10" s="156">
        <f t="shared" si="5"/>
        <v>0</v>
      </c>
      <c r="D10" s="198">
        <v>-1</v>
      </c>
      <c r="E10" s="248">
        <f t="shared" si="6"/>
        <v>0.1640434491873306</v>
      </c>
      <c r="F10" s="249">
        <f t="shared" si="7"/>
        <v>0.13559072984161347</v>
      </c>
      <c r="G10" s="248">
        <f t="shared" si="8"/>
        <v>4.8786967318652064E-2</v>
      </c>
      <c r="H10" s="249">
        <f t="shared" si="9"/>
        <v>0.11525648186867854</v>
      </c>
      <c r="I10" s="248">
        <f t="shared" si="10"/>
        <v>0.74089535417526098</v>
      </c>
      <c r="J10" s="249">
        <f t="shared" si="11"/>
        <v>0.42540646673049887</v>
      </c>
      <c r="K10" s="248">
        <f t="shared" si="12"/>
        <v>0.44691903284578083</v>
      </c>
      <c r="L10" s="249">
        <f t="shared" si="13"/>
        <v>0.29397632132948015</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7.0482535102541766E-2</v>
      </c>
      <c r="V10" s="252">
        <f t="shared" si="16"/>
        <v>7.0482535102541766E-2</v>
      </c>
      <c r="W10" s="248">
        <f t="shared" si="38"/>
        <v>0.57523143714341152</v>
      </c>
      <c r="X10" s="252">
        <f t="shared" si="17"/>
        <v>0.57523143714341152</v>
      </c>
      <c r="Y10" s="248">
        <f t="shared" si="18"/>
        <v>-1.4951121334099926E-2</v>
      </c>
      <c r="Z10" s="258">
        <f t="shared" si="19"/>
        <v>-1.4951121334099926E-2</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3</v>
      </c>
      <c r="AQ10" s="28">
        <f>VLOOKUP($A10,historia!$A$5:$CM$24,+HLOOKUP(AQ$2,historia!$A$3:$EC$4,2,FALSE),FALSE)</f>
        <v>4</v>
      </c>
      <c r="AR10" s="28">
        <f>VLOOKUP($A10,historia!$A$5:$CM$24,+HLOOKUP(AR$2,historia!$A$3:$EC$4,2,FALSE),FALSE)</f>
        <v>4</v>
      </c>
      <c r="AS10" s="28">
        <f>VLOOKUP($A10,historia!$A$5:$CM$24,+HLOOKUP(AS$2,historia!$A$3:$EC$4,2,FALSE),FALSE)</f>
        <v>4</v>
      </c>
      <c r="AT10" s="58">
        <f>VLOOKUP($A10,historia!$A$5:$CM$24,+HLOOKUP(AT$2,historia!$A$3:$EC$4,2,FALSE),FALSE)</f>
        <v>4</v>
      </c>
      <c r="AU10" s="58">
        <f>VLOOKUP($A10,historia!$A$5:$CM$24,+HLOOKUP(AU$2,historia!$A$3:$EC$4,2,FALSE),FALSE)</f>
        <v>3</v>
      </c>
      <c r="AV10" s="58">
        <f>VLOOKUP($A10,historia!$A$5:$CM$24,+HLOOKUP(AV$2,historia!$A$3:$EC$4,2,FALSE),FALSE)</f>
        <v>2</v>
      </c>
      <c r="AW10" s="58">
        <f>VLOOKUP($A10,historia!$A$5:$DD$24,+HLOOKUP(AW$2,historia!$A$3:$EC$4,2,FALSE),FALSE)</f>
        <v>3</v>
      </c>
      <c r="AX10" s="58">
        <f>VLOOKUP($A10,historia!$A$5:$DD$24,+HLOOKUP(AX$2,historia!$A$3:$EC$4,2,FALSE),FALSE)</f>
        <v>3</v>
      </c>
      <c r="AY10" s="58">
        <f>VLOOKUP($A10,historia!$A$5:$DD$24,+HLOOKUP(AY$2,historia!$A$3:$EC$4,2,FALSE),FALSE)</f>
        <v>3</v>
      </c>
      <c r="AZ10" s="58">
        <f>VLOOKUP($A10,historia!$A$5:$DG$24,+HLOOKUP(AZ$2,historia!$A$3:$EC$4,2,FALSE),FALSE)</f>
        <v>3</v>
      </c>
      <c r="BA10" s="58">
        <f>VLOOKUP($A10,historia!$A$5:$DG$24,+HLOOKUP(BA$2,historia!$A$3:$EC$4,2,FALSE),FALSE)</f>
        <v>3</v>
      </c>
      <c r="BB10" s="58"/>
      <c r="BC10" s="286">
        <v>3</v>
      </c>
      <c r="BD10" t="str">
        <f t="shared" si="20"/>
        <v>Cítricos Dulces</v>
      </c>
      <c r="BE10">
        <f>+datos!AU1</f>
        <v>47</v>
      </c>
      <c r="BF10" s="2" t="str">
        <f t="shared" si="4"/>
        <v>$/caja 18kg</v>
      </c>
      <c r="BG10" s="2">
        <f t="shared" si="4"/>
        <v>24702.144478844169</v>
      </c>
      <c r="BH10" s="2">
        <f t="shared" si="4"/>
        <v>21220.981481481478</v>
      </c>
      <c r="BI10" s="2">
        <f t="shared" si="4"/>
        <v>14189.333333333334</v>
      </c>
      <c r="BK10">
        <f>+datos!CX1</f>
        <v>102</v>
      </c>
      <c r="BL10" s="2">
        <f t="shared" si="21"/>
        <v>12650.310374638364</v>
      </c>
      <c r="BM10" s="2">
        <f t="shared" si="21"/>
        <v>12061.849325779074</v>
      </c>
      <c r="BN10" s="2">
        <f t="shared" si="21"/>
        <v>8742.9290011880657</v>
      </c>
      <c r="BP10" s="1">
        <f>+datos!ER1</f>
        <v>148</v>
      </c>
      <c r="BQ10" s="1">
        <f t="shared" si="22"/>
        <v>79911</v>
      </c>
      <c r="BR10" s="1">
        <f t="shared" si="22"/>
        <v>80248</v>
      </c>
      <c r="BT10" s="1">
        <f>+datos!GH1</f>
        <v>190</v>
      </c>
      <c r="BU10" s="1">
        <f t="shared" si="23"/>
        <v>1543162</v>
      </c>
      <c r="BV10" s="1">
        <f t="shared" si="23"/>
        <v>1734000</v>
      </c>
      <c r="BX10" s="1">
        <f>+datos!LT1</f>
        <v>332</v>
      </c>
      <c r="BY10" s="1">
        <f t="shared" si="39"/>
        <v>116.93832437</v>
      </c>
      <c r="BZ10" s="1">
        <f t="shared" si="40"/>
        <v>109.23889043999999</v>
      </c>
      <c r="CA10" s="1"/>
      <c r="CB10" s="1">
        <f>+datos!LX1</f>
        <v>336</v>
      </c>
      <c r="CC10" s="2">
        <f t="shared" si="24"/>
        <v>7.8601013399999999</v>
      </c>
      <c r="CD10" s="2">
        <f t="shared" si="25"/>
        <v>4.9898073099999998</v>
      </c>
      <c r="CF10" s="1">
        <f>+datos!IV1</f>
        <v>256</v>
      </c>
      <c r="CG10" s="1">
        <f t="shared" si="26"/>
        <v>17.130000000000003</v>
      </c>
      <c r="CH10" s="1">
        <f t="shared" si="27"/>
        <v>17.39</v>
      </c>
      <c r="CJ10" s="1">
        <f t="shared" si="28"/>
        <v>6.1255732800000002</v>
      </c>
      <c r="CK10" s="1">
        <f t="shared" si="28"/>
        <v>9.318502950000001</v>
      </c>
      <c r="CL10" s="1">
        <f t="shared" si="28"/>
        <v>10.108990799999999</v>
      </c>
      <c r="CM10" s="1">
        <f t="shared" si="28"/>
        <v>8.35667808</v>
      </c>
      <c r="CN10" s="1">
        <f t="shared" si="28"/>
        <v>14.350128370000002</v>
      </c>
      <c r="CO10" s="1">
        <f t="shared" si="28"/>
        <v>16.897846870000002</v>
      </c>
      <c r="CP10" s="1">
        <f t="shared" si="28"/>
        <v>10.456701950000001</v>
      </c>
      <c r="CQ10" s="1">
        <f t="shared" si="28"/>
        <v>9.5618942600000008</v>
      </c>
      <c r="CR10" s="1">
        <f t="shared" si="28"/>
        <v>5.6783096999999998</v>
      </c>
      <c r="CS10" s="1">
        <f t="shared" si="28"/>
        <v>3.5979505000000001</v>
      </c>
      <c r="CT10" s="1">
        <f t="shared" si="28"/>
        <v>11.482528969999997</v>
      </c>
      <c r="CU10" s="1">
        <f t="shared" si="28"/>
        <v>11.00321864</v>
      </c>
      <c r="CV10" s="1">
        <f t="shared" si="28"/>
        <v>18.05731771</v>
      </c>
      <c r="CW10" s="1">
        <f t="shared" si="28"/>
        <v>12.23030908</v>
      </c>
      <c r="CX10" s="1">
        <f t="shared" si="28"/>
        <v>17.119922650000003</v>
      </c>
      <c r="CY10" s="1">
        <f t="shared" si="28"/>
        <v>15.255558669999997</v>
      </c>
      <c r="CZ10" s="1">
        <f t="shared" si="29"/>
        <v>10.271936310000001</v>
      </c>
      <c r="DA10" s="1">
        <f t="shared" si="29"/>
        <v>14.041262509999999</v>
      </c>
      <c r="DB10" s="1">
        <f t="shared" si="29"/>
        <v>6.1015489199999999</v>
      </c>
      <c r="DC10" s="1">
        <f t="shared" si="29"/>
        <v>2.3063176799999998</v>
      </c>
      <c r="DD10" s="1">
        <f t="shared" si="29"/>
        <v>3.2785219999999997</v>
      </c>
      <c r="DE10" s="1">
        <f t="shared" si="29"/>
        <v>2.8661316999999999</v>
      </c>
      <c r="DF10" s="1">
        <f t="shared" si="29"/>
        <v>3.3581509099999995</v>
      </c>
      <c r="DG10" s="1">
        <f t="shared" si="29"/>
        <v>4.3519123000000004</v>
      </c>
      <c r="DI10" s="1">
        <f t="shared" si="30"/>
        <v>0.91618060000000012</v>
      </c>
      <c r="DJ10" s="1">
        <f t="shared" si="30"/>
        <v>0.37596773000000006</v>
      </c>
      <c r="DK10" s="1">
        <f t="shared" si="30"/>
        <v>0.55234585999999997</v>
      </c>
      <c r="DL10" s="1">
        <f t="shared" si="30"/>
        <v>0.12110615999999999</v>
      </c>
      <c r="DM10" s="1">
        <f t="shared" si="30"/>
        <v>2.631816E-2</v>
      </c>
      <c r="DN10" s="1">
        <f t="shared" si="30"/>
        <v>4.99154E-3</v>
      </c>
      <c r="DO10" s="1">
        <f t="shared" si="30"/>
        <v>4.683996E-2</v>
      </c>
      <c r="DP10" s="1">
        <f t="shared" si="30"/>
        <v>0.23953321999999996</v>
      </c>
      <c r="DQ10" s="1">
        <f t="shared" si="30"/>
        <v>0.72731897999999995</v>
      </c>
      <c r="DR10" s="1">
        <f t="shared" si="30"/>
        <v>1.7947146899999999</v>
      </c>
      <c r="DS10" s="1">
        <f t="shared" si="30"/>
        <v>1.56764612</v>
      </c>
      <c r="DT10" s="1">
        <f t="shared" si="30"/>
        <v>1.4871383200000001</v>
      </c>
      <c r="DU10" s="1">
        <f t="shared" si="30"/>
        <v>0.7069763</v>
      </c>
      <c r="DV10" s="1">
        <f t="shared" si="30"/>
        <v>0.35634324000000006</v>
      </c>
      <c r="DW10" s="1">
        <f t="shared" si="30"/>
        <v>0.22489865000000001</v>
      </c>
      <c r="DX10" s="1">
        <f t="shared" si="30"/>
        <v>0.17467300000000002</v>
      </c>
      <c r="DY10" s="1">
        <f t="shared" si="31"/>
        <v>7.2500000000000004E-3</v>
      </c>
      <c r="DZ10" s="1">
        <f t="shared" si="31"/>
        <v>0.23680799999999999</v>
      </c>
      <c r="EA10" s="1">
        <f t="shared" si="31"/>
        <v>0</v>
      </c>
      <c r="EB10" s="1">
        <f t="shared" si="31"/>
        <v>0.3075099</v>
      </c>
      <c r="EC10" s="1">
        <f t="shared" si="31"/>
        <v>0.82950560000000007</v>
      </c>
      <c r="ED10" s="1">
        <f t="shared" si="31"/>
        <v>1.06715808</v>
      </c>
      <c r="EE10" s="1">
        <f t="shared" si="31"/>
        <v>0.57276656999999997</v>
      </c>
      <c r="EF10" s="1">
        <f t="shared" si="31"/>
        <v>0.50591796999999994</v>
      </c>
      <c r="EH10" s="14">
        <f t="shared" si="32"/>
        <v>17.130000000000003</v>
      </c>
      <c r="EI10" s="14">
        <f t="shared" si="32"/>
        <v>17.130000000000003</v>
      </c>
      <c r="EJ10" s="1">
        <f t="shared" si="32"/>
        <v>17.130000000000003</v>
      </c>
      <c r="EK10" s="1">
        <f t="shared" si="32"/>
        <v>17.130000000000003</v>
      </c>
      <c r="EL10" s="1">
        <f t="shared" si="32"/>
        <v>17.130000000000003</v>
      </c>
      <c r="EM10" s="1">
        <f t="shared" si="32"/>
        <v>17.130000000000003</v>
      </c>
      <c r="EN10" s="1">
        <f t="shared" si="32"/>
        <v>17.130000000000003</v>
      </c>
      <c r="EO10" s="1">
        <f t="shared" si="32"/>
        <v>17.130000000000003</v>
      </c>
      <c r="EP10" s="1">
        <f t="shared" si="32"/>
        <v>17.130000000000003</v>
      </c>
      <c r="EQ10" s="1">
        <f t="shared" si="32"/>
        <v>17.130000000000003</v>
      </c>
      <c r="ER10" s="1">
        <f t="shared" si="32"/>
        <v>17.130000000000003</v>
      </c>
      <c r="ES10" s="1">
        <f t="shared" si="32"/>
        <v>17.130000000000003</v>
      </c>
      <c r="ET10" s="1">
        <f t="shared" si="32"/>
        <v>17.39</v>
      </c>
      <c r="EU10" s="1">
        <f t="shared" si="32"/>
        <v>17.39</v>
      </c>
      <c r="EV10" s="1">
        <f t="shared" si="32"/>
        <v>17.39</v>
      </c>
      <c r="EW10" s="1">
        <f t="shared" si="32"/>
        <v>17.39</v>
      </c>
      <c r="EX10" s="1">
        <f t="shared" si="33"/>
        <v>17.39</v>
      </c>
      <c r="EY10" s="1">
        <f t="shared" si="33"/>
        <v>17.39</v>
      </c>
      <c r="EZ10" s="1">
        <f t="shared" si="33"/>
        <v>17.39</v>
      </c>
      <c r="FA10" s="1">
        <f t="shared" si="33"/>
        <v>17.39</v>
      </c>
      <c r="FB10" s="1">
        <f t="shared" si="33"/>
        <v>17.39</v>
      </c>
      <c r="FC10" s="1">
        <f t="shared" si="33"/>
        <v>17.39</v>
      </c>
      <c r="FD10" s="1">
        <f t="shared" si="33"/>
        <v>17.39</v>
      </c>
      <c r="FE10" s="1">
        <f t="shared" si="33"/>
        <v>17.39</v>
      </c>
      <c r="FG10" s="162">
        <f t="shared" si="34"/>
        <v>0.29397632132948015</v>
      </c>
    </row>
    <row r="11" spans="1:163" ht="18.75" customHeight="1">
      <c r="A11" s="244" t="s">
        <v>116</v>
      </c>
      <c r="B11" s="247"/>
      <c r="C11" s="228">
        <f t="shared" si="5"/>
        <v>-0.33</v>
      </c>
      <c r="D11" s="229">
        <v>1</v>
      </c>
      <c r="E11" s="253">
        <f t="shared" si="6"/>
        <v>0</v>
      </c>
      <c r="F11" s="254">
        <f t="shared" si="7"/>
        <v>-2.8452719345717137E-2</v>
      </c>
      <c r="G11" s="253">
        <f t="shared" si="8"/>
        <v>2.7455380995639267E-2</v>
      </c>
      <c r="H11" s="254">
        <f t="shared" si="9"/>
        <v>-2.7455380995639267E-2</v>
      </c>
      <c r="I11" s="253">
        <f t="shared" si="10"/>
        <v>0.1947043989913142</v>
      </c>
      <c r="J11" s="254">
        <f t="shared" si="11"/>
        <v>-0.12078448845344791</v>
      </c>
      <c r="K11" s="253">
        <f t="shared" si="12"/>
        <v>0.37804648174236255</v>
      </c>
      <c r="L11" s="254">
        <f t="shared" si="13"/>
        <v>-0.18334208275104835</v>
      </c>
      <c r="M11" s="255"/>
      <c r="N11" s="256"/>
      <c r="O11" s="253" t="str">
        <f t="shared" si="35"/>
        <v/>
      </c>
      <c r="P11" s="257" t="str">
        <f t="shared" si="36"/>
        <v/>
      </c>
      <c r="Q11" s="253">
        <f t="shared" si="14"/>
        <v>0</v>
      </c>
      <c r="R11" s="257">
        <f t="shared" si="37"/>
        <v>0</v>
      </c>
      <c r="S11" s="255"/>
      <c r="T11" s="24">
        <v>-2</v>
      </c>
      <c r="U11" s="253">
        <f t="shared" si="15"/>
        <v>-0.28981015867633886</v>
      </c>
      <c r="V11" s="258">
        <f t="shared" si="16"/>
        <v>-0.28981015867633886</v>
      </c>
      <c r="W11" s="253">
        <f t="shared" si="38"/>
        <v>9.7863751054327652E-2</v>
      </c>
      <c r="X11" s="258">
        <f t="shared" si="17"/>
        <v>9.7863751054327652E-2</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3</v>
      </c>
      <c r="AQ11" s="28">
        <f>VLOOKUP($A11,historia!$A$5:$CM$24,+HLOOKUP(AQ$2,historia!$A$3:$EC$4,2,FALSE),FALSE)</f>
        <v>3</v>
      </c>
      <c r="AR11" s="28">
        <f>VLOOKUP($A11,historia!$A$5:$CM$24,+HLOOKUP(AR$2,historia!$A$3:$EC$4,2,FALSE),FALSE)</f>
        <v>3</v>
      </c>
      <c r="AS11" s="28">
        <f>VLOOKUP($A11,historia!$A$5:$CM$24,+HLOOKUP(AS$2,historia!$A$3:$EC$4,2,FALSE),FALSE)</f>
        <v>3</v>
      </c>
      <c r="AT11" s="58">
        <f>VLOOKUP($A11,historia!$A$5:$CM$24,+HLOOKUP(AT$2,historia!$A$3:$EC$4,2,FALSE),FALSE)</f>
        <v>3</v>
      </c>
      <c r="AU11" s="58">
        <f>VLOOKUP($A11,historia!$A$5:$CM$24,+HLOOKUP(AU$2,historia!$A$3:$EC$4,2,FALSE),FALSE)</f>
        <v>3</v>
      </c>
      <c r="AV11" s="58">
        <f>VLOOKUP($A11,historia!$A$5:$CM$24,+HLOOKUP(AV$2,historia!$A$3:$EC$4,2,FALSE),FALSE)</f>
        <v>3</v>
      </c>
      <c r="AW11" s="58">
        <f>VLOOKUP($A11,historia!$A$5:$DD$24,+HLOOKUP(AW$2,historia!$A$3:$EC$4,2,FALSE),FALSE)</f>
        <v>3</v>
      </c>
      <c r="AX11" s="58">
        <f>VLOOKUP($A11,historia!$A$5:$DD$24,+HLOOKUP(AX$2,historia!$A$3:$EC$4,2,FALSE),FALSE)</f>
        <v>3</v>
      </c>
      <c r="AY11" s="58">
        <f>VLOOKUP($A11,historia!$A$5:$DD$24,+HLOOKUP(AY$2,historia!$A$3:$EC$4,2,FALSE),FALSE)</f>
        <v>3</v>
      </c>
      <c r="AZ11" s="58">
        <f>VLOOKUP($A11,historia!$A$5:$DG$24,+HLOOKUP(AZ$2,historia!$A$3:$EC$4,2,FALSE),FALSE)</f>
        <v>3</v>
      </c>
      <c r="BA11" s="58">
        <f>VLOOKUP($A11,historia!$A$5:$DG$24,+HLOOKUP(BA$2,historia!$A$3:$EC$4,2,FALSE),FALSE)</f>
        <v>3</v>
      </c>
      <c r="BB11" s="58"/>
      <c r="BC11" s="286">
        <v>3</v>
      </c>
      <c r="BD11" t="str">
        <f t="shared" si="20"/>
        <v>Forestal</v>
      </c>
      <c r="BE11">
        <f>+datos!BG1</f>
        <v>59</v>
      </c>
      <c r="BF11" s="2" t="str">
        <f t="shared" si="4"/>
        <v>$/t</v>
      </c>
      <c r="BG11" s="2">
        <f t="shared" si="4"/>
        <v>31979.25</v>
      </c>
      <c r="BH11" s="2">
        <f t="shared" si="4"/>
        <v>31979.25</v>
      </c>
      <c r="BI11" s="2">
        <f t="shared" si="4"/>
        <v>26767.5</v>
      </c>
      <c r="BK11">
        <f>+datos!CZ1</f>
        <v>104</v>
      </c>
      <c r="BL11" s="2">
        <f t="shared" si="21"/>
        <v>15568.655208789152</v>
      </c>
      <c r="BM11" s="2">
        <f t="shared" si="21"/>
        <v>15152.633872726032</v>
      </c>
      <c r="BN11" s="2">
        <f t="shared" si="21"/>
        <v>11297.627050362329</v>
      </c>
      <c r="BP11" s="1">
        <f>+datos!ES1</f>
        <v>149</v>
      </c>
      <c r="BQ11" s="1">
        <f t="shared" si="22"/>
        <v>0</v>
      </c>
      <c r="BR11" s="1">
        <f t="shared" si="22"/>
        <v>0</v>
      </c>
      <c r="BT11" s="1">
        <f>+datos!GI1</f>
        <v>191</v>
      </c>
      <c r="BU11" s="1">
        <f t="shared" si="23"/>
        <v>1302556</v>
      </c>
      <c r="BV11" s="1">
        <f t="shared" si="23"/>
        <v>1302556</v>
      </c>
      <c r="BX11" s="1">
        <f>+datos!KB1</f>
        <v>288</v>
      </c>
      <c r="BY11" s="1">
        <f t="shared" si="39"/>
        <v>166.42172826000001</v>
      </c>
      <c r="BZ11" s="1">
        <f t="shared" si="40"/>
        <v>234.33414359999998</v>
      </c>
      <c r="CB11" s="1">
        <f>+datos!LG1</f>
        <v>319</v>
      </c>
      <c r="CC11" s="2">
        <f t="shared" si="24"/>
        <v>186.86251296</v>
      </c>
      <c r="CD11" s="2">
        <f t="shared" si="25"/>
        <v>170.20555855000001</v>
      </c>
      <c r="CF11" s="1">
        <f>+datos!IW1</f>
        <v>257</v>
      </c>
      <c r="CG11" s="1">
        <f t="shared" si="26"/>
        <v>0</v>
      </c>
      <c r="CH11" s="1">
        <f t="shared" si="27"/>
        <v>0</v>
      </c>
      <c r="CJ11" s="1">
        <f t="shared" si="28"/>
        <v>18.231882050000007</v>
      </c>
      <c r="CK11" s="1">
        <f t="shared" si="28"/>
        <v>13.327102919999998</v>
      </c>
      <c r="CL11" s="1">
        <f t="shared" si="28"/>
        <v>13.77020325</v>
      </c>
      <c r="CM11" s="1">
        <f t="shared" si="28"/>
        <v>16.167947309999995</v>
      </c>
      <c r="CN11" s="1">
        <f t="shared" si="28"/>
        <v>12.702036029999997</v>
      </c>
      <c r="CO11" s="1">
        <f t="shared" si="28"/>
        <v>14.879273850000001</v>
      </c>
      <c r="CP11" s="1">
        <f t="shared" si="28"/>
        <v>13.812450910000003</v>
      </c>
      <c r="CQ11" s="1">
        <f t="shared" si="28"/>
        <v>14.949040589999999</v>
      </c>
      <c r="CR11" s="1">
        <f t="shared" si="28"/>
        <v>13.968637820000001</v>
      </c>
      <c r="CS11" s="1">
        <f t="shared" si="28"/>
        <v>9.9284284400000011</v>
      </c>
      <c r="CT11" s="1">
        <f t="shared" si="28"/>
        <v>14.484437890000001</v>
      </c>
      <c r="CU11" s="1">
        <f t="shared" si="28"/>
        <v>10.200287200000002</v>
      </c>
      <c r="CV11" s="1">
        <f t="shared" si="28"/>
        <v>11.119065489999999</v>
      </c>
      <c r="CW11" s="1">
        <f t="shared" si="28"/>
        <v>13.50721221</v>
      </c>
      <c r="CX11" s="1">
        <f t="shared" si="28"/>
        <v>17.7783984</v>
      </c>
      <c r="CY11" s="1">
        <f t="shared" si="28"/>
        <v>18.158715399999995</v>
      </c>
      <c r="CZ11" s="1">
        <f t="shared" si="29"/>
        <v>13.62277192</v>
      </c>
      <c r="DA11" s="1">
        <f t="shared" si="29"/>
        <v>18.147427050000005</v>
      </c>
      <c r="DB11" s="1">
        <f t="shared" si="29"/>
        <v>16.38459563</v>
      </c>
      <c r="DC11" s="1">
        <f t="shared" si="29"/>
        <v>19.29025034</v>
      </c>
      <c r="DD11" s="1">
        <f t="shared" si="29"/>
        <v>32.635385889999995</v>
      </c>
      <c r="DE11" s="1">
        <f t="shared" si="29"/>
        <v>26.653198490000001</v>
      </c>
      <c r="DF11" s="1">
        <f t="shared" si="29"/>
        <v>23.932255000000001</v>
      </c>
      <c r="DG11" s="1">
        <f t="shared" si="29"/>
        <v>23.104867779999999</v>
      </c>
      <c r="DI11" s="1">
        <f t="shared" si="30"/>
        <v>16.564446050000001</v>
      </c>
      <c r="DJ11" s="1">
        <f t="shared" si="30"/>
        <v>13.907008520000002</v>
      </c>
      <c r="DK11" s="1">
        <f t="shared" si="30"/>
        <v>17.652505269999999</v>
      </c>
      <c r="DL11" s="1">
        <f t="shared" si="30"/>
        <v>18.176691299999998</v>
      </c>
      <c r="DM11" s="1">
        <f t="shared" si="30"/>
        <v>17.838312650000002</v>
      </c>
      <c r="DN11" s="1">
        <f t="shared" si="30"/>
        <v>13.839856769999999</v>
      </c>
      <c r="DO11" s="1">
        <f t="shared" si="30"/>
        <v>16.453753389999996</v>
      </c>
      <c r="DP11" s="1">
        <f t="shared" si="30"/>
        <v>16.050718710000002</v>
      </c>
      <c r="DQ11" s="1">
        <f t="shared" si="30"/>
        <v>13.20675994</v>
      </c>
      <c r="DR11" s="1">
        <f t="shared" si="30"/>
        <v>12.082023640000001</v>
      </c>
      <c r="DS11" s="1">
        <f t="shared" si="30"/>
        <v>16.998994660000001</v>
      </c>
      <c r="DT11" s="1">
        <f t="shared" si="30"/>
        <v>14.09144206</v>
      </c>
      <c r="DU11" s="1">
        <f t="shared" si="30"/>
        <v>14.036730870000001</v>
      </c>
      <c r="DV11" s="1">
        <f t="shared" si="30"/>
        <v>13.365554540000002</v>
      </c>
      <c r="DW11" s="1">
        <f t="shared" si="30"/>
        <v>15.589800310000003</v>
      </c>
      <c r="DX11" s="1">
        <f t="shared" si="30"/>
        <v>16.942532470000003</v>
      </c>
      <c r="DY11" s="1">
        <f t="shared" si="31"/>
        <v>10.998476289999999</v>
      </c>
      <c r="DZ11" s="1">
        <f t="shared" si="31"/>
        <v>11.46589975</v>
      </c>
      <c r="EA11" s="1">
        <f t="shared" si="31"/>
        <v>13.53170609</v>
      </c>
      <c r="EB11" s="1">
        <f t="shared" si="31"/>
        <v>19.941855059999995</v>
      </c>
      <c r="EC11" s="1">
        <f t="shared" si="31"/>
        <v>17.561880160000001</v>
      </c>
      <c r="ED11" s="1">
        <f t="shared" si="31"/>
        <v>14.580088280000002</v>
      </c>
      <c r="EE11" s="1">
        <f t="shared" si="31"/>
        <v>13.107541810000001</v>
      </c>
      <c r="EF11" s="1">
        <f t="shared" si="31"/>
        <v>9.0834929199999994</v>
      </c>
      <c r="EH11" s="14">
        <f t="shared" si="32"/>
        <v>0</v>
      </c>
      <c r="EI11" s="14">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3"/>
        <v>0</v>
      </c>
      <c r="EY11" s="1">
        <f t="shared" si="33"/>
        <v>0</v>
      </c>
      <c r="EZ11" s="1">
        <f t="shared" si="33"/>
        <v>0</v>
      </c>
      <c r="FA11" s="1">
        <f t="shared" si="33"/>
        <v>0</v>
      </c>
      <c r="FB11" s="1">
        <f t="shared" si="33"/>
        <v>0</v>
      </c>
      <c r="FC11" s="1">
        <f t="shared" si="33"/>
        <v>0</v>
      </c>
      <c r="FD11" s="1">
        <f t="shared" si="33"/>
        <v>0</v>
      </c>
      <c r="FE11" s="1">
        <f t="shared" si="33"/>
        <v>0</v>
      </c>
      <c r="FG11" s="162">
        <f t="shared" si="34"/>
        <v>-0.18334208275104835</v>
      </c>
    </row>
    <row r="12" spans="1:163" ht="18.75" customHeight="1">
      <c r="A12" s="243" t="s">
        <v>216</v>
      </c>
      <c r="B12" s="246"/>
      <c r="C12" s="156">
        <f t="shared" si="5"/>
        <v>-0.33</v>
      </c>
      <c r="D12" s="198">
        <v>-1</v>
      </c>
      <c r="E12" s="248">
        <f t="shared" si="6"/>
        <v>1.6346887439582458E-2</v>
      </c>
      <c r="F12" s="249">
        <f t="shared" si="7"/>
        <v>-1.2105831906134679E-2</v>
      </c>
      <c r="G12" s="248">
        <f t="shared" si="8"/>
        <v>1.8842016616872792E-2</v>
      </c>
      <c r="H12" s="249">
        <f t="shared" si="9"/>
        <v>-2.4951291772903339E-3</v>
      </c>
      <c r="I12" s="248">
        <f t="shared" si="10"/>
        <v>0.41828028696833597</v>
      </c>
      <c r="J12" s="249">
        <f t="shared" si="11"/>
        <v>0.10279139952357386</v>
      </c>
      <c r="K12" s="248">
        <f t="shared" si="12"/>
        <v>0.44292921639561134</v>
      </c>
      <c r="L12" s="249">
        <f t="shared" si="13"/>
        <v>-2.4648929427275368E-2</v>
      </c>
      <c r="M12" s="250"/>
      <c r="N12" s="24">
        <v>1</v>
      </c>
      <c r="O12" s="248">
        <f t="shared" si="35"/>
        <v>4.2398884239888357E-2</v>
      </c>
      <c r="P12" s="251">
        <f t="shared" si="36"/>
        <v>4.2398884239888357E-2</v>
      </c>
      <c r="Q12" s="248">
        <f t="shared" si="14"/>
        <v>0.21668455507033824</v>
      </c>
      <c r="R12" s="251">
        <f t="shared" si="37"/>
        <v>0.21668455507033824</v>
      </c>
      <c r="S12" s="250"/>
      <c r="T12" s="24">
        <v>-1</v>
      </c>
      <c r="U12" s="248">
        <f t="shared" si="15"/>
        <v>3.5427746289406592E-2</v>
      </c>
      <c r="V12" s="252">
        <f t="shared" si="16"/>
        <v>3.5427746289406592E-2</v>
      </c>
      <c r="W12" s="248">
        <f t="shared" si="38"/>
        <v>-0.22583713777783077</v>
      </c>
      <c r="X12" s="252">
        <f t="shared" si="17"/>
        <v>-0.22583713777783077</v>
      </c>
      <c r="Y12" s="248"/>
      <c r="Z12" s="252"/>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3</v>
      </c>
      <c r="AQ12" s="28">
        <f>VLOOKUP($A12,historia!$A$5:$CM$24,+HLOOKUP(AQ$2,historia!$A$3:$EC$4,2,FALSE),FALSE)</f>
        <v>3</v>
      </c>
      <c r="AR12" s="28">
        <f>VLOOKUP($A12,historia!$A$5:$CM$24,+HLOOKUP(AR$2,historia!$A$3:$EC$4,2,FALSE),FALSE)</f>
        <v>3</v>
      </c>
      <c r="AS12" s="28">
        <f>VLOOKUP($A12,historia!$A$5:$CM$24,+HLOOKUP(AS$2,historia!$A$3:$EC$4,2,FALSE),FALSE)</f>
        <v>3</v>
      </c>
      <c r="AT12" s="58">
        <f>VLOOKUP($A12,historia!$A$5:$CM$24,+HLOOKUP(AT$2,historia!$A$3:$EC$4,2,FALSE),FALSE)</f>
        <v>3</v>
      </c>
      <c r="AU12" s="58">
        <f>VLOOKUP($A12,historia!$A$5:$CM$24,+HLOOKUP(AU$2,historia!$A$3:$EC$4,2,FALSE),FALSE)</f>
        <v>3</v>
      </c>
      <c r="AV12" s="58">
        <f>VLOOKUP($A12,historia!$A$5:$CM$24,+HLOOKUP(AV$2,historia!$A$3:$EC$4,2,FALSE),FALSE)</f>
        <v>2</v>
      </c>
      <c r="AW12" s="58">
        <f>VLOOKUP($A12,historia!$A$5:$DD$24,+HLOOKUP(AW$2,historia!$A$3:$EC$4,2,FALSE),FALSE)</f>
        <v>2</v>
      </c>
      <c r="AX12" s="58">
        <f>VLOOKUP($A12,historia!$A$5:$DD$24,+HLOOKUP(AX$2,historia!$A$3:$EC$4,2,FALSE),FALSE)</f>
        <v>1</v>
      </c>
      <c r="AY12" s="58">
        <f>VLOOKUP($A12,historia!$A$5:$DD$24,+HLOOKUP(AY$2,historia!$A$3:$EC$4,2,FALSE),FALSE)</f>
        <v>2</v>
      </c>
      <c r="AZ12" s="58">
        <f>VLOOKUP($A12,historia!$A$5:$DG$24,+HLOOKUP(AZ$2,historia!$A$3:$EC$4,2,FALSE),FALSE)</f>
        <v>2</v>
      </c>
      <c r="BA12" s="58">
        <f>VLOOKUP($A12,historia!$A$5:$DG$24,+HLOOKUP(BA$2,historia!$A$3:$EC$4,2,FALSE),FALSE)</f>
        <v>2</v>
      </c>
      <c r="BB12" s="58"/>
      <c r="BC12" s="286">
        <v>2</v>
      </c>
      <c r="BD12" t="str">
        <f t="shared" si="20"/>
        <v>Granos</v>
      </c>
      <c r="BE12">
        <f>+datos!AE1</f>
        <v>31</v>
      </c>
      <c r="BF12" s="2" t="str">
        <f t="shared" si="4"/>
        <v>$/t</v>
      </c>
      <c r="BG12" s="2">
        <f t="shared" si="4"/>
        <v>339181.83177550003</v>
      </c>
      <c r="BH12" s="2">
        <f t="shared" si="4"/>
        <v>333726.44317333336</v>
      </c>
      <c r="BI12" s="2">
        <f t="shared" si="4"/>
        <v>239150.0713166667</v>
      </c>
      <c r="BK12">
        <f>+datos!CG1</f>
        <v>85</v>
      </c>
      <c r="BL12" s="2">
        <f t="shared" si="21"/>
        <v>13058.094210265583</v>
      </c>
      <c r="BM12" s="2">
        <f t="shared" si="21"/>
        <v>12816.603553145347</v>
      </c>
      <c r="BN12" s="2">
        <f t="shared" si="21"/>
        <v>9049.7122533039164</v>
      </c>
      <c r="BP12" s="1">
        <f>+datos!EA1</f>
        <v>131</v>
      </c>
      <c r="BQ12" s="1">
        <f t="shared" si="22"/>
        <v>37370000</v>
      </c>
      <c r="BR12" s="1">
        <f t="shared" si="22"/>
        <v>35850000</v>
      </c>
      <c r="BT12" s="1">
        <f>+datos!FV1</f>
        <v>178</v>
      </c>
      <c r="BU12" s="1">
        <f t="shared" si="23"/>
        <v>148500000</v>
      </c>
      <c r="BV12" s="1">
        <f t="shared" si="23"/>
        <v>122053000</v>
      </c>
      <c r="BX12" s="1">
        <f>+datos!LQ1</f>
        <v>329</v>
      </c>
      <c r="BY12" s="1">
        <f>+SUM(CJ12:CU12)</f>
        <v>46464.856456759997</v>
      </c>
      <c r="BZ12" s="1">
        <f t="shared" si="40"/>
        <v>44875.035098559994</v>
      </c>
      <c r="CB12" s="1">
        <f>+datos!LU1</f>
        <v>333</v>
      </c>
      <c r="CC12" s="2">
        <f t="shared" si="24"/>
        <v>2390.9458205999999</v>
      </c>
      <c r="CD12" s="2">
        <f t="shared" si="25"/>
        <v>3088.4274320999998</v>
      </c>
      <c r="CF12" s="1">
        <f>+datos!II1</f>
        <v>243</v>
      </c>
      <c r="CG12" s="1">
        <f t="shared" si="26"/>
        <v>86780000</v>
      </c>
      <c r="CH12" s="1">
        <f t="shared" si="27"/>
        <v>81580000</v>
      </c>
      <c r="CJ12" s="1">
        <f>+VLOOKUP(CJ$1,ran_dat,$BX12,FALSE)</f>
        <v>3901.9920549600001</v>
      </c>
      <c r="CK12" s="1">
        <f t="shared" si="28"/>
        <v>4663.3781357900007</v>
      </c>
      <c r="CL12" s="1">
        <f t="shared" si="28"/>
        <v>3782.3696972900002</v>
      </c>
      <c r="CM12" s="1">
        <f t="shared" si="28"/>
        <v>4396.9372515900004</v>
      </c>
      <c r="CN12" s="1">
        <f t="shared" si="28"/>
        <v>4336.2366958999992</v>
      </c>
      <c r="CO12" s="1">
        <f t="shared" si="28"/>
        <v>4557.75384975</v>
      </c>
      <c r="CP12" s="1">
        <f t="shared" si="28"/>
        <v>3762.5394987399995</v>
      </c>
      <c r="CQ12" s="1">
        <f t="shared" si="28"/>
        <v>4220.2405017900001</v>
      </c>
      <c r="CR12" s="1">
        <f t="shared" si="28"/>
        <v>3699.5517639399995</v>
      </c>
      <c r="CS12" s="1">
        <f t="shared" si="28"/>
        <v>2719.5194464700007</v>
      </c>
      <c r="CT12" s="1">
        <f t="shared" si="28"/>
        <v>3193.1112506200002</v>
      </c>
      <c r="CU12" s="1">
        <f t="shared" si="28"/>
        <v>3231.2263099199999</v>
      </c>
      <c r="CV12" s="1">
        <f t="shared" si="28"/>
        <v>3313.8442822299994</v>
      </c>
      <c r="CW12" s="1">
        <f t="shared" si="28"/>
        <v>3339.9998161899998</v>
      </c>
      <c r="CX12" s="1">
        <f t="shared" si="28"/>
        <v>3485.71732419</v>
      </c>
      <c r="CY12" s="1">
        <f t="shared" si="28"/>
        <v>3410.80431886</v>
      </c>
      <c r="CZ12" s="1">
        <f t="shared" si="29"/>
        <v>3348.6268518899992</v>
      </c>
      <c r="DA12" s="1">
        <f t="shared" si="29"/>
        <v>4200.6671527199996</v>
      </c>
      <c r="DB12" s="1">
        <f t="shared" si="29"/>
        <v>4256.6159984299993</v>
      </c>
      <c r="DC12" s="1">
        <f t="shared" si="29"/>
        <v>4805.0657855600002</v>
      </c>
      <c r="DD12" s="1">
        <f t="shared" si="29"/>
        <v>3818.0878160900002</v>
      </c>
      <c r="DE12" s="1">
        <f t="shared" si="29"/>
        <v>3876.9439553199995</v>
      </c>
      <c r="DF12" s="1">
        <f t="shared" si="29"/>
        <v>3089.4855235099994</v>
      </c>
      <c r="DG12" s="1">
        <f t="shared" si="29"/>
        <v>3929.1762735700004</v>
      </c>
      <c r="DI12" s="1">
        <f t="shared" si="30"/>
        <v>51.994600029999987</v>
      </c>
      <c r="DJ12" s="1">
        <f t="shared" si="30"/>
        <v>140.49668192999997</v>
      </c>
      <c r="DK12" s="1">
        <f t="shared" si="30"/>
        <v>126.11568693000002</v>
      </c>
      <c r="DL12" s="1">
        <f t="shared" si="30"/>
        <v>179.77004703999992</v>
      </c>
      <c r="DM12" s="1">
        <f t="shared" si="30"/>
        <v>175.34564924</v>
      </c>
      <c r="DN12" s="1">
        <f t="shared" si="30"/>
        <v>241.51209269000003</v>
      </c>
      <c r="DO12" s="1">
        <f t="shared" si="30"/>
        <v>273.75200934999998</v>
      </c>
      <c r="DP12" s="1">
        <f t="shared" si="30"/>
        <v>304.19736033999999</v>
      </c>
      <c r="DQ12" s="1">
        <f t="shared" si="30"/>
        <v>338.33098909999995</v>
      </c>
      <c r="DR12" s="1">
        <f t="shared" si="30"/>
        <v>239.40438782999996</v>
      </c>
      <c r="DS12" s="1">
        <f t="shared" si="30"/>
        <v>288.1429152</v>
      </c>
      <c r="DT12" s="1">
        <f t="shared" si="30"/>
        <v>31.883400920000003</v>
      </c>
      <c r="DU12" s="1">
        <f t="shared" si="30"/>
        <v>52.19269714</v>
      </c>
      <c r="DV12" s="1">
        <f t="shared" si="30"/>
        <v>201.41567115000001</v>
      </c>
      <c r="DW12" s="1">
        <f t="shared" si="30"/>
        <v>299.18688666000003</v>
      </c>
      <c r="DX12" s="1">
        <f t="shared" si="30"/>
        <v>265.28366987999999</v>
      </c>
      <c r="DY12" s="1">
        <f t="shared" si="31"/>
        <v>214.60650260000006</v>
      </c>
      <c r="DZ12" s="1">
        <f t="shared" si="31"/>
        <v>390.93673457</v>
      </c>
      <c r="EA12" s="1">
        <f t="shared" si="31"/>
        <v>293.37536226000003</v>
      </c>
      <c r="EB12" s="1">
        <f t="shared" si="31"/>
        <v>336.54852982999995</v>
      </c>
      <c r="EC12" s="1">
        <f t="shared" si="31"/>
        <v>300.95428591999996</v>
      </c>
      <c r="ED12" s="1">
        <f t="shared" si="31"/>
        <v>389.85732896999997</v>
      </c>
      <c r="EE12" s="1">
        <f t="shared" si="31"/>
        <v>280.54397103999997</v>
      </c>
      <c r="EF12" s="1">
        <f t="shared" si="31"/>
        <v>63.525792080000002</v>
      </c>
      <c r="EH12" s="14">
        <f t="shared" si="32"/>
        <v>86780000</v>
      </c>
      <c r="EI12" s="14">
        <f t="shared" si="32"/>
        <v>86680000</v>
      </c>
      <c r="EJ12" s="1">
        <f t="shared" si="32"/>
        <v>85850000</v>
      </c>
      <c r="EK12" s="1">
        <f t="shared" si="32"/>
        <v>85850000</v>
      </c>
      <c r="EL12" s="1">
        <f t="shared" si="32"/>
        <v>85820000</v>
      </c>
      <c r="EM12" s="1">
        <f t="shared" si="32"/>
        <v>83320000</v>
      </c>
      <c r="EN12" s="1">
        <f t="shared" si="32"/>
        <v>83120000</v>
      </c>
      <c r="EO12" s="1">
        <f t="shared" si="32"/>
        <v>83420000</v>
      </c>
      <c r="EP12" s="1">
        <f t="shared" si="32"/>
        <v>83260000</v>
      </c>
      <c r="EQ12" s="1">
        <f t="shared" si="32"/>
        <v>82660000</v>
      </c>
      <c r="ER12" s="1">
        <f t="shared" si="32"/>
        <v>83330000</v>
      </c>
      <c r="ES12" s="1">
        <f t="shared" si="32"/>
        <v>83330000</v>
      </c>
      <c r="ET12" s="1">
        <f t="shared" si="32"/>
        <v>81580000</v>
      </c>
      <c r="EU12" s="1">
        <f t="shared" si="32"/>
        <v>81600000</v>
      </c>
      <c r="EV12" s="1">
        <f t="shared" si="32"/>
        <v>81600000</v>
      </c>
      <c r="EW12" s="1">
        <f t="shared" si="32"/>
        <v>81600000</v>
      </c>
      <c r="EX12" s="1">
        <f t="shared" si="33"/>
        <v>81600000</v>
      </c>
      <c r="EY12" s="1">
        <f t="shared" si="33"/>
        <v>81600000</v>
      </c>
      <c r="EZ12" s="1">
        <f t="shared" si="33"/>
        <v>81600000</v>
      </c>
      <c r="FA12" s="1">
        <f t="shared" si="33"/>
        <v>81600000</v>
      </c>
      <c r="FB12" s="1">
        <f t="shared" si="33"/>
        <v>81600000</v>
      </c>
      <c r="FC12" s="1">
        <f t="shared" si="33"/>
        <v>73750000</v>
      </c>
      <c r="FD12" s="1">
        <f t="shared" si="33"/>
        <v>73750000</v>
      </c>
      <c r="FE12" s="1">
        <f t="shared" si="33"/>
        <v>73450000</v>
      </c>
      <c r="FG12" s="162">
        <f t="shared" si="34"/>
        <v>-2.4648929427275368E-2</v>
      </c>
    </row>
    <row r="13" spans="1:163" ht="18.75" customHeight="1">
      <c r="A13" s="244" t="s">
        <v>217</v>
      </c>
      <c r="B13" s="247"/>
      <c r="C13" s="228">
        <f t="shared" si="5"/>
        <v>0</v>
      </c>
      <c r="D13" s="229">
        <v>0</v>
      </c>
      <c r="E13" s="253">
        <f t="shared" si="6"/>
        <v>-0.1608145487740148</v>
      </c>
      <c r="F13" s="254">
        <f t="shared" si="7"/>
        <v>-0.18926726811973194</v>
      </c>
      <c r="G13" s="253">
        <f t="shared" si="8"/>
        <v>-1.7938185186041955E-2</v>
      </c>
      <c r="H13" s="254">
        <f t="shared" si="9"/>
        <v>-0.14287636358797284</v>
      </c>
      <c r="I13" s="253">
        <f t="shared" si="10"/>
        <v>-2.152378490552953E-2</v>
      </c>
      <c r="J13" s="254">
        <f t="shared" si="11"/>
        <v>-0.33701267235029164</v>
      </c>
      <c r="K13" s="253">
        <f t="shared" si="12"/>
        <v>0.28580077940586346</v>
      </c>
      <c r="L13" s="254">
        <f t="shared" si="13"/>
        <v>-0.30732456431139299</v>
      </c>
      <c r="M13" s="255"/>
      <c r="N13" s="256">
        <v>0</v>
      </c>
      <c r="O13" s="253">
        <f t="shared" si="35"/>
        <v>0</v>
      </c>
      <c r="P13" s="257">
        <f t="shared" si="36"/>
        <v>0</v>
      </c>
      <c r="Q13" s="253">
        <f t="shared" si="14"/>
        <v>0</v>
      </c>
      <c r="R13" s="257">
        <f t="shared" si="37"/>
        <v>0</v>
      </c>
      <c r="S13" s="255"/>
      <c r="T13" s="256">
        <v>0</v>
      </c>
      <c r="U13" s="253">
        <f t="shared" si="15"/>
        <v>-0.35195923966447751</v>
      </c>
      <c r="V13" s="258">
        <f t="shared" si="16"/>
        <v>-0.35195923966447751</v>
      </c>
      <c r="W13" s="253">
        <f t="shared" si="38"/>
        <v>-0.56776948482272815</v>
      </c>
      <c r="X13" s="258">
        <f t="shared" si="17"/>
        <v>-0.56776948482272815</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4</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5</v>
      </c>
      <c r="AV13" s="58">
        <f>VLOOKUP($A13,historia!$A$5:$CM$24,+HLOOKUP(AV$2,historia!$A$3:$EC$4,2,FALSE),FALSE)</f>
        <v>4</v>
      </c>
      <c r="AW13" s="58">
        <f>VLOOKUP($A13,historia!$A$5:$DD$24,+HLOOKUP(AW$2,historia!$A$3:$EC$4,2,FALSE),FALSE)</f>
        <v>5</v>
      </c>
      <c r="AX13" s="58">
        <f>VLOOKUP($A13,historia!$A$5:$DD$24,+HLOOKUP(AX$2,historia!$A$3:$EC$4,2,FALSE),FALSE)</f>
        <v>4</v>
      </c>
      <c r="AY13" s="58">
        <f>VLOOKUP($A13,historia!$A$5:$DD$24,+HLOOKUP(AY$2,historia!$A$3:$EC$4,2,FALSE),FALSE)</f>
        <v>4</v>
      </c>
      <c r="AZ13" s="58">
        <f>VLOOKUP($A13,historia!$A$5:$DG$24,+HLOOKUP(AZ$2,historia!$A$3:$EC$4,2,FALSE),FALSE)</f>
        <v>4</v>
      </c>
      <c r="BA13" s="58">
        <f>VLOOKUP($A13,historia!$A$5:$DG$24,+HLOOKUP(BA$2,historia!$A$3:$EC$4,2,FALSE),FALSE)</f>
        <v>4</v>
      </c>
      <c r="BB13" s="58"/>
      <c r="BC13" s="286">
        <v>4</v>
      </c>
      <c r="BD13" t="str">
        <f t="shared" si="20"/>
        <v>Hortalizas</v>
      </c>
      <c r="BE13">
        <f>+datos!BB1</f>
        <v>54</v>
      </c>
      <c r="BF13" s="2" t="str">
        <f t="shared" si="4"/>
        <v>$/kg</v>
      </c>
      <c r="BG13" s="2">
        <f t="shared" si="4"/>
        <v>10426.593952830795</v>
      </c>
      <c r="BH13" s="2">
        <f t="shared" si="4"/>
        <v>12424.660052910052</v>
      </c>
      <c r="BI13" s="2">
        <f t="shared" si="4"/>
        <v>10655.950335823056</v>
      </c>
      <c r="BK13">
        <f>+datos!CO1</f>
        <v>93</v>
      </c>
      <c r="BL13" s="2">
        <f t="shared" si="21"/>
        <v>12186.715433165722</v>
      </c>
      <c r="BM13" s="2">
        <f t="shared" si="21"/>
        <v>12409.316042365801</v>
      </c>
      <c r="BN13" s="2">
        <f t="shared" si="21"/>
        <v>9477.9188412040785</v>
      </c>
      <c r="BP13" s="1">
        <f>+datos!EX1</f>
        <v>154</v>
      </c>
      <c r="BQ13" s="1">
        <f t="shared" si="22"/>
        <v>64395</v>
      </c>
      <c r="BR13" s="1">
        <f t="shared" si="22"/>
        <v>64395</v>
      </c>
      <c r="BT13" s="1">
        <f>+datos!GN1</f>
        <v>196</v>
      </c>
      <c r="BU13" s="1">
        <f t="shared" si="23"/>
        <v>2639386</v>
      </c>
      <c r="BV13" s="1">
        <f t="shared" si="23"/>
        <v>2639386</v>
      </c>
      <c r="BX13" s="1">
        <f>+datos!LR1</f>
        <v>330</v>
      </c>
      <c r="BY13" s="1">
        <f t="shared" si="39"/>
        <v>42.926632300000001</v>
      </c>
      <c r="BZ13" s="1">
        <f t="shared" si="40"/>
        <v>66.240636280000004</v>
      </c>
      <c r="CB13" s="1">
        <f>+datos!LV1</f>
        <v>334</v>
      </c>
      <c r="CC13" s="2">
        <f t="shared" si="24"/>
        <v>15.478930589999997</v>
      </c>
      <c r="CD13" s="2">
        <f t="shared" si="25"/>
        <v>35.811748700000003</v>
      </c>
      <c r="CF13" s="1">
        <f>+datos!IX1</f>
        <v>258</v>
      </c>
      <c r="CG13" s="1">
        <f t="shared" si="26"/>
        <v>0</v>
      </c>
      <c r="CH13" s="1">
        <f t="shared" si="27"/>
        <v>0</v>
      </c>
      <c r="CJ13" s="1">
        <f t="shared" si="28"/>
        <v>1.6831161599999998</v>
      </c>
      <c r="CK13" s="1">
        <f t="shared" si="28"/>
        <v>1.1537429000000001</v>
      </c>
      <c r="CL13" s="1">
        <f t="shared" si="28"/>
        <v>1.5287822199999999</v>
      </c>
      <c r="CM13" s="1">
        <f t="shared" si="28"/>
        <v>0.99519284000000008</v>
      </c>
      <c r="CN13" s="1">
        <f t="shared" si="28"/>
        <v>2.3842983399999995</v>
      </c>
      <c r="CO13" s="1">
        <f t="shared" si="28"/>
        <v>1.9006323699999998</v>
      </c>
      <c r="CP13" s="1">
        <f t="shared" si="28"/>
        <v>5.6300601800000001</v>
      </c>
      <c r="CQ13" s="1">
        <f t="shared" si="28"/>
        <v>10.78719353</v>
      </c>
      <c r="CR13" s="1">
        <f t="shared" si="28"/>
        <v>6.6589734299999996</v>
      </c>
      <c r="CS13" s="1">
        <f t="shared" si="28"/>
        <v>4.7972503099999999</v>
      </c>
      <c r="CT13" s="1">
        <f t="shared" si="28"/>
        <v>3.6808061599999999</v>
      </c>
      <c r="CU13" s="1">
        <f t="shared" si="28"/>
        <v>1.7265838599999999</v>
      </c>
      <c r="CV13" s="1">
        <f t="shared" si="28"/>
        <v>1.1603474899999999</v>
      </c>
      <c r="CW13" s="1">
        <f t="shared" si="28"/>
        <v>1.6220564799999999</v>
      </c>
      <c r="CX13" s="1">
        <f t="shared" si="28"/>
        <v>1.7022322700000001</v>
      </c>
      <c r="CY13" s="1">
        <f t="shared" si="28"/>
        <v>2.1800094999999997</v>
      </c>
      <c r="CZ13" s="1">
        <f t="shared" si="29"/>
        <v>0.89152303000000011</v>
      </c>
      <c r="DA13" s="1">
        <f t="shared" si="29"/>
        <v>2.22092468</v>
      </c>
      <c r="DB13" s="1">
        <f t="shared" si="29"/>
        <v>5.6369490100000004</v>
      </c>
      <c r="DC13" s="1">
        <f t="shared" si="29"/>
        <v>11.964288460000001</v>
      </c>
      <c r="DD13" s="1">
        <f t="shared" si="29"/>
        <v>14.874595200000002</v>
      </c>
      <c r="DE13" s="1">
        <f t="shared" si="29"/>
        <v>12.356255849999998</v>
      </c>
      <c r="DF13" s="1">
        <f t="shared" si="29"/>
        <v>7.66143427</v>
      </c>
      <c r="DG13" s="1">
        <f t="shared" si="29"/>
        <v>3.9700200400000001</v>
      </c>
      <c r="DI13" s="1">
        <f t="shared" si="30"/>
        <v>0.53318653999999999</v>
      </c>
      <c r="DJ13" s="1">
        <f t="shared" si="30"/>
        <v>0.87596054999999995</v>
      </c>
      <c r="DK13" s="1">
        <f t="shared" si="30"/>
        <v>2.0285887300000001</v>
      </c>
      <c r="DL13" s="1">
        <f t="shared" si="30"/>
        <v>2.5185445399999997</v>
      </c>
      <c r="DM13" s="1">
        <f t="shared" si="30"/>
        <v>1.4155427900000002</v>
      </c>
      <c r="DN13" s="1">
        <f t="shared" si="30"/>
        <v>1.5956283999999996</v>
      </c>
      <c r="DO13" s="1">
        <f t="shared" si="30"/>
        <v>1.7945534399999996</v>
      </c>
      <c r="DP13" s="1">
        <f t="shared" si="30"/>
        <v>2.7487028499999995</v>
      </c>
      <c r="DQ13" s="1">
        <f t="shared" si="30"/>
        <v>0.73139703</v>
      </c>
      <c r="DR13" s="1">
        <f t="shared" si="30"/>
        <v>0.52205221000000002</v>
      </c>
      <c r="DS13" s="1">
        <f t="shared" si="30"/>
        <v>0.27889262000000004</v>
      </c>
      <c r="DT13" s="1">
        <f t="shared" si="30"/>
        <v>0.43588088999999991</v>
      </c>
      <c r="DU13" s="1">
        <f t="shared" si="30"/>
        <v>0.25163443000000002</v>
      </c>
      <c r="DV13" s="1">
        <f t="shared" si="30"/>
        <v>1.8307121500000001</v>
      </c>
      <c r="DW13" s="1">
        <f t="shared" si="30"/>
        <v>4.7138590499999999</v>
      </c>
      <c r="DX13" s="1">
        <f t="shared" si="30"/>
        <v>10.280953719999999</v>
      </c>
      <c r="DY13" s="1">
        <f t="shared" si="31"/>
        <v>10.078043539999999</v>
      </c>
      <c r="DZ13" s="1">
        <f t="shared" si="31"/>
        <v>5.0525632100000006</v>
      </c>
      <c r="EA13" s="1">
        <f t="shared" si="31"/>
        <v>1.5134803299999999</v>
      </c>
      <c r="EB13" s="1">
        <f t="shared" si="31"/>
        <v>1.5645213200000003</v>
      </c>
      <c r="EC13" s="1">
        <f t="shared" si="31"/>
        <v>0.17069466</v>
      </c>
      <c r="ED13" s="1">
        <f t="shared" si="31"/>
        <v>5.8121779999999998E-2</v>
      </c>
      <c r="EE13" s="1">
        <f t="shared" si="31"/>
        <v>0.22874177000000001</v>
      </c>
      <c r="EF13" s="1">
        <f t="shared" si="31"/>
        <v>6.8422739999999996E-2</v>
      </c>
      <c r="EH13" s="14">
        <f t="shared" si="32"/>
        <v>0</v>
      </c>
      <c r="EI13" s="14">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3"/>
        <v>0</v>
      </c>
      <c r="EY13" s="1">
        <f t="shared" si="33"/>
        <v>0</v>
      </c>
      <c r="EZ13" s="1">
        <f t="shared" si="33"/>
        <v>0</v>
      </c>
      <c r="FA13" s="1">
        <f t="shared" si="33"/>
        <v>0</v>
      </c>
      <c r="FB13" s="1">
        <f t="shared" si="33"/>
        <v>0</v>
      </c>
      <c r="FC13" s="1">
        <f t="shared" si="33"/>
        <v>0</v>
      </c>
      <c r="FD13" s="1">
        <f t="shared" si="33"/>
        <v>0</v>
      </c>
      <c r="FE13" s="1">
        <f t="shared" si="33"/>
        <v>0</v>
      </c>
      <c r="FG13" s="162">
        <f t="shared" si="34"/>
        <v>-0.30732456431139299</v>
      </c>
    </row>
    <row r="14" spans="1:163" ht="18" customHeight="1">
      <c r="A14" s="243" t="s">
        <v>65</v>
      </c>
      <c r="B14" s="246"/>
      <c r="C14" s="156">
        <f t="shared" si="5"/>
        <v>-0.33</v>
      </c>
      <c r="D14" s="198">
        <v>1</v>
      </c>
      <c r="E14" s="572">
        <f t="shared" si="6"/>
        <v>2.4398451960290224E-3</v>
      </c>
      <c r="F14" s="249">
        <f t="shared" si="7"/>
        <v>-2.6012874149688114E-2</v>
      </c>
      <c r="G14" s="248">
        <f t="shared" si="8"/>
        <v>2.252876220303146E-2</v>
      </c>
      <c r="H14" s="249">
        <f t="shared" si="9"/>
        <v>-2.0088917007002438E-2</v>
      </c>
      <c r="I14" s="248">
        <f t="shared" si="10"/>
        <v>8.0480616640217661E-2</v>
      </c>
      <c r="J14" s="249">
        <f t="shared" si="11"/>
        <v>-0.23500827080454445</v>
      </c>
      <c r="K14" s="248">
        <f t="shared" si="12"/>
        <v>0.38199521346618281</v>
      </c>
      <c r="L14" s="249">
        <f t="shared" si="13"/>
        <v>-0.30151459682596515</v>
      </c>
      <c r="M14" s="250"/>
      <c r="N14" s="24">
        <v>-1</v>
      </c>
      <c r="O14" s="248">
        <f t="shared" si="35"/>
        <v>-7.647427539786511E-2</v>
      </c>
      <c r="P14" s="251">
        <f t="shared" si="36"/>
        <v>-7.647427539786511E-2</v>
      </c>
      <c r="Q14" s="248">
        <f t="shared" si="14"/>
        <v>0.12347987315442954</v>
      </c>
      <c r="R14" s="251">
        <f t="shared" si="37"/>
        <v>0.12347987315442954</v>
      </c>
      <c r="S14" s="250"/>
      <c r="T14" s="24">
        <v>-1</v>
      </c>
      <c r="U14" s="248">
        <f t="shared" si="15"/>
        <v>0.18144107837128098</v>
      </c>
      <c r="V14" s="252">
        <f t="shared" si="16"/>
        <v>0.18144107837128098</v>
      </c>
      <c r="W14" s="248">
        <f t="shared" si="38"/>
        <v>0.50822438512003809</v>
      </c>
      <c r="X14" s="252">
        <f t="shared" si="17"/>
        <v>0.50822438512003809</v>
      </c>
      <c r="Y14" s="248">
        <f t="shared" si="18"/>
        <v>5.9684025746050251E-2</v>
      </c>
      <c r="Z14" s="252">
        <f t="shared" si="19"/>
        <v>5.9684025746050251E-2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3</v>
      </c>
      <c r="AQ14" s="28">
        <f>VLOOKUP($A14,historia!$A$5:$CM$24,+HLOOKUP(AQ$2,historia!$A$3:$EC$4,2,FALSE),FALSE)</f>
        <v>3</v>
      </c>
      <c r="AR14" s="28">
        <f>VLOOKUP($A14,historia!$A$5:$CM$24,+HLOOKUP(AR$2,historia!$A$3:$EC$4,2,FALSE),FALSE)</f>
        <v>3</v>
      </c>
      <c r="AS14" s="28">
        <f>VLOOKUP($A14,historia!$A$5:$CM$24,+HLOOKUP(AS$2,historia!$A$3:$EC$4,2,FALSE),FALSE)</f>
        <v>3</v>
      </c>
      <c r="AT14" s="58">
        <f>VLOOKUP($A14,historia!$A$5:$CM$24,+HLOOKUP(AT$2,historia!$A$3:$EC$4,2,FALSE),FALSE)</f>
        <v>3</v>
      </c>
      <c r="AU14" s="58">
        <f>VLOOKUP($A14,historia!$A$5:$CM$24,+HLOOKUP(AU$2,historia!$A$3:$EC$4,2,FALSE),FALSE)</f>
        <v>3</v>
      </c>
      <c r="AV14" s="58">
        <f>VLOOKUP($A14,historia!$A$5:$CM$24,+HLOOKUP(AV$2,historia!$A$3:$EC$4,2,FALSE),FALSE)</f>
        <v>3</v>
      </c>
      <c r="AW14" s="58">
        <f>VLOOKUP($A14,historia!$A$5:$DD$24,+HLOOKUP(AW$2,historia!$A$3:$EC$4,2,FALSE),FALSE)</f>
        <v>3</v>
      </c>
      <c r="AX14" s="58">
        <f>VLOOKUP($A14,historia!$A$5:$DD$24,+HLOOKUP(AX$2,historia!$A$3:$EC$4,2,FALSE),FALSE)</f>
        <v>3</v>
      </c>
      <c r="AY14" s="58">
        <f>VLOOKUP($A14,historia!$A$5:$DD$24,+HLOOKUP(AY$2,historia!$A$3:$EC$4,2,FALSE),FALSE)</f>
        <v>3</v>
      </c>
      <c r="AZ14" s="58">
        <f>VLOOKUP($A14,historia!$A$5:$DG$24,+HLOOKUP(AZ$2,historia!$A$3:$EC$4,2,FALSE),FALSE)</f>
        <v>3</v>
      </c>
      <c r="BA14" s="58">
        <f>VLOOKUP($A14,historia!$A$5:$DG$24,+HLOOKUP(BA$2,historia!$A$3:$EC$4,2,FALSE),FALSE)</f>
        <v>3</v>
      </c>
      <c r="BB14" s="58"/>
      <c r="BC14" s="286">
        <v>3</v>
      </c>
      <c r="BD14" t="str">
        <f t="shared" si="20"/>
        <v>Leche</v>
      </c>
      <c r="BE14">
        <f>+datos!BN1</f>
        <v>66</v>
      </c>
      <c r="BF14" s="2" t="str">
        <f t="shared" si="4"/>
        <v>$/l</v>
      </c>
      <c r="BG14" s="487">
        <f t="shared" si="4"/>
        <v>476.6</v>
      </c>
      <c r="BH14" s="487">
        <f t="shared" si="4"/>
        <v>475.44</v>
      </c>
      <c r="BI14" s="487">
        <f t="shared" si="4"/>
        <v>441.1</v>
      </c>
      <c r="BK14">
        <f>+datos!DC1</f>
        <v>107</v>
      </c>
      <c r="BL14" s="2">
        <f t="shared" si="21"/>
        <v>12946.851493992119</v>
      </c>
      <c r="BM14" s="2">
        <f t="shared" si="21"/>
        <v>12661.601289432889</v>
      </c>
      <c r="BN14" s="2">
        <f t="shared" si="21"/>
        <v>9368.2317911363207</v>
      </c>
      <c r="BP14" s="1">
        <f>+datos!EN1</f>
        <v>144</v>
      </c>
      <c r="BQ14" s="1">
        <f t="shared" si="22"/>
        <v>2927559</v>
      </c>
      <c r="BR14" s="1">
        <f t="shared" si="22"/>
        <v>3169981</v>
      </c>
      <c r="BT14" s="1">
        <f>+datos!HP1</f>
        <v>224</v>
      </c>
      <c r="BU14" s="1">
        <f t="shared" si="23"/>
        <v>11729.985581930679</v>
      </c>
      <c r="BV14" s="1">
        <f t="shared" si="23"/>
        <v>10440.761656900922</v>
      </c>
      <c r="BX14" s="1">
        <f>+datos!KH1</f>
        <v>294</v>
      </c>
      <c r="BY14" s="1">
        <f t="shared" si="39"/>
        <v>1902.1103344699998</v>
      </c>
      <c r="BZ14" s="1">
        <f t="shared" si="40"/>
        <v>1609.9917035999999</v>
      </c>
      <c r="CB14" s="1">
        <f>+datos!LM1</f>
        <v>325</v>
      </c>
      <c r="CC14" s="2">
        <f t="shared" si="24"/>
        <v>28.764396459999997</v>
      </c>
      <c r="CD14" s="2">
        <f t="shared" si="25"/>
        <v>19.07169566</v>
      </c>
      <c r="CF14" s="1">
        <f>+datos!IN1</f>
        <v>248</v>
      </c>
      <c r="CG14" s="1">
        <f t="shared" si="26"/>
        <v>181.1</v>
      </c>
      <c r="CH14" s="1">
        <f t="shared" si="27"/>
        <v>170.9</v>
      </c>
      <c r="CJ14" s="1">
        <f t="shared" si="28"/>
        <v>210.79864256000005</v>
      </c>
      <c r="CK14" s="1">
        <f t="shared" si="28"/>
        <v>166.84903940999999</v>
      </c>
      <c r="CL14" s="1">
        <f t="shared" si="28"/>
        <v>210.64847638000006</v>
      </c>
      <c r="CM14" s="1">
        <f t="shared" si="28"/>
        <v>202.06812983999998</v>
      </c>
      <c r="CN14" s="1">
        <f t="shared" si="28"/>
        <v>166.18279023000005</v>
      </c>
      <c r="CO14" s="1">
        <f t="shared" si="28"/>
        <v>145.54293837</v>
      </c>
      <c r="CP14" s="1">
        <f t="shared" si="28"/>
        <v>161.52973046</v>
      </c>
      <c r="CQ14" s="1">
        <f t="shared" si="28"/>
        <v>135.14119298</v>
      </c>
      <c r="CR14" s="1">
        <f t="shared" si="28"/>
        <v>121.87302321000003</v>
      </c>
      <c r="CS14" s="1">
        <f t="shared" si="28"/>
        <v>90.118424640000015</v>
      </c>
      <c r="CT14" s="1">
        <f t="shared" si="28"/>
        <v>158.22857195999995</v>
      </c>
      <c r="CU14" s="1">
        <f t="shared" si="28"/>
        <v>133.12937443000001</v>
      </c>
      <c r="CV14" s="1">
        <f t="shared" si="28"/>
        <v>150.81206259999999</v>
      </c>
      <c r="CW14" s="1">
        <f t="shared" si="28"/>
        <v>173.78517034999999</v>
      </c>
      <c r="CX14" s="1">
        <f t="shared" si="28"/>
        <v>162.27196751000002</v>
      </c>
      <c r="CY14" s="1">
        <f t="shared" si="28"/>
        <v>136.36151781000004</v>
      </c>
      <c r="CZ14" s="1">
        <f t="shared" si="29"/>
        <v>114.33182424</v>
      </c>
      <c r="DA14" s="1">
        <f t="shared" si="29"/>
        <v>131.64359017999999</v>
      </c>
      <c r="DB14" s="1">
        <f t="shared" si="29"/>
        <v>102.41564730000002</v>
      </c>
      <c r="DC14" s="1">
        <f t="shared" si="29"/>
        <v>113.57779348999999</v>
      </c>
      <c r="DD14" s="1">
        <f t="shared" si="29"/>
        <v>118.3786056</v>
      </c>
      <c r="DE14" s="1">
        <f t="shared" si="29"/>
        <v>126.46519539000002</v>
      </c>
      <c r="DF14" s="1">
        <f t="shared" si="29"/>
        <v>140.50614890000003</v>
      </c>
      <c r="DG14" s="1">
        <f t="shared" si="29"/>
        <v>139.44218023000002</v>
      </c>
      <c r="DI14" s="1">
        <f t="shared" si="30"/>
        <v>1.7114282299999999</v>
      </c>
      <c r="DJ14" s="1">
        <f t="shared" si="30"/>
        <v>1.7294343599999999</v>
      </c>
      <c r="DK14" s="1">
        <f t="shared" si="30"/>
        <v>2.2980596799999997</v>
      </c>
      <c r="DL14" s="1">
        <f t="shared" si="30"/>
        <v>2.7814752500000006</v>
      </c>
      <c r="DM14" s="1">
        <f t="shared" si="30"/>
        <v>1.95823569</v>
      </c>
      <c r="DN14" s="1">
        <f t="shared" si="30"/>
        <v>2.3716850700000007</v>
      </c>
      <c r="DO14" s="1">
        <f t="shared" si="30"/>
        <v>3.2200157200000006</v>
      </c>
      <c r="DP14" s="1">
        <f t="shared" si="30"/>
        <v>2.3449699800000001</v>
      </c>
      <c r="DQ14" s="1">
        <f t="shared" si="30"/>
        <v>1.8496573299999999</v>
      </c>
      <c r="DR14" s="1">
        <f t="shared" si="30"/>
        <v>2.6840408</v>
      </c>
      <c r="DS14" s="1">
        <f t="shared" si="30"/>
        <v>2.90139879</v>
      </c>
      <c r="DT14" s="1">
        <f t="shared" si="30"/>
        <v>2.9139955600000005</v>
      </c>
      <c r="DU14" s="1">
        <f t="shared" si="30"/>
        <v>1.6254967600000001</v>
      </c>
      <c r="DV14" s="1">
        <f t="shared" si="30"/>
        <v>2.6289957100000003</v>
      </c>
      <c r="DW14" s="1">
        <f t="shared" si="30"/>
        <v>0.92402921999999987</v>
      </c>
      <c r="DX14" s="1">
        <f t="shared" si="30"/>
        <v>1.0080099199999999</v>
      </c>
      <c r="DY14" s="1">
        <f t="shared" si="31"/>
        <v>0.81005326000000022</v>
      </c>
      <c r="DZ14" s="1">
        <f t="shared" si="31"/>
        <v>2.5429137699999997</v>
      </c>
      <c r="EA14" s="1">
        <f t="shared" si="31"/>
        <v>0.83472519000000012</v>
      </c>
      <c r="EB14" s="1">
        <f t="shared" si="31"/>
        <v>1.6658761100000001</v>
      </c>
      <c r="EC14" s="1">
        <f t="shared" si="31"/>
        <v>1.6724867599999997</v>
      </c>
      <c r="ED14" s="1">
        <f t="shared" si="31"/>
        <v>1.92660527</v>
      </c>
      <c r="EE14" s="1">
        <f t="shared" si="31"/>
        <v>0.38991597</v>
      </c>
      <c r="EF14" s="1">
        <f t="shared" si="31"/>
        <v>3.0425877200000002</v>
      </c>
      <c r="EH14" s="14">
        <f t="shared" si="32"/>
        <v>181.1</v>
      </c>
      <c r="EI14" s="14">
        <f t="shared" si="32"/>
        <v>182.5</v>
      </c>
      <c r="EJ14" s="1">
        <f t="shared" si="32"/>
        <v>179.9</v>
      </c>
      <c r="EK14" s="1">
        <f t="shared" si="32"/>
        <v>182.6</v>
      </c>
      <c r="EL14" s="1">
        <f t="shared" si="32"/>
        <v>185.2</v>
      </c>
      <c r="EM14" s="1">
        <f t="shared" si="32"/>
        <v>188.7</v>
      </c>
      <c r="EN14" s="1">
        <f t="shared" si="32"/>
        <v>191.3</v>
      </c>
      <c r="EO14" s="1">
        <f t="shared" si="32"/>
        <v>195.7</v>
      </c>
      <c r="EP14" s="1">
        <f t="shared" si="32"/>
        <v>194.1</v>
      </c>
      <c r="EQ14" s="1">
        <f t="shared" si="32"/>
        <v>191</v>
      </c>
      <c r="ER14" s="1">
        <f t="shared" si="32"/>
        <v>181.1</v>
      </c>
      <c r="ES14" s="1">
        <f t="shared" si="32"/>
        <v>170.3</v>
      </c>
      <c r="ET14" s="1">
        <f t="shared" si="32"/>
        <v>170.9</v>
      </c>
      <c r="EU14" s="1">
        <f t="shared" si="32"/>
        <v>168.7</v>
      </c>
      <c r="EV14" s="1">
        <f t="shared" si="32"/>
        <v>160.6</v>
      </c>
      <c r="EW14" s="1">
        <f t="shared" si="32"/>
        <v>160.6</v>
      </c>
      <c r="EX14" s="1">
        <f t="shared" si="33"/>
        <v>160.6</v>
      </c>
      <c r="EY14" s="1">
        <f t="shared" si="33"/>
        <v>160.6</v>
      </c>
      <c r="EZ14" s="1">
        <f t="shared" si="33"/>
        <v>156.30000000000001</v>
      </c>
      <c r="FA14" s="1">
        <f t="shared" si="33"/>
        <v>155.80000000000001</v>
      </c>
      <c r="FB14" s="1">
        <f t="shared" si="33"/>
        <v>159.5</v>
      </c>
      <c r="FC14" s="1">
        <f t="shared" si="33"/>
        <v>170.8</v>
      </c>
      <c r="FD14" s="1">
        <f t="shared" si="33"/>
        <v>170.8</v>
      </c>
      <c r="FE14" s="1">
        <f t="shared" si="33"/>
        <v>187.7</v>
      </c>
      <c r="FG14" s="162">
        <f t="shared" si="34"/>
        <v>-0.30151459682596515</v>
      </c>
    </row>
    <row r="15" spans="1:163" ht="18.75" customHeight="1">
      <c r="A15" s="244" t="s">
        <v>68</v>
      </c>
      <c r="B15" s="247"/>
      <c r="C15" s="228">
        <v>0</v>
      </c>
      <c r="D15" s="229">
        <v>-1</v>
      </c>
      <c r="E15" s="253">
        <f t="shared" si="6"/>
        <v>0.22250096986939094</v>
      </c>
      <c r="F15" s="254">
        <f t="shared" si="7"/>
        <v>0.1940482505236738</v>
      </c>
      <c r="G15" s="253">
        <f t="shared" si="8"/>
        <v>4.0351774451730549E-2</v>
      </c>
      <c r="H15" s="254">
        <f t="shared" si="9"/>
        <v>0.18214919541766039</v>
      </c>
      <c r="I15" s="253">
        <f t="shared" si="10"/>
        <v>0.47694038245219339</v>
      </c>
      <c r="J15" s="254">
        <f t="shared" si="11"/>
        <v>0.16145149500743128</v>
      </c>
      <c r="K15" s="253">
        <f t="shared" si="12"/>
        <v>0.38815015764570804</v>
      </c>
      <c r="L15" s="254">
        <f t="shared" si="13"/>
        <v>8.8790224806485352E-2</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1.421425897928124</v>
      </c>
      <c r="X15" s="258">
        <f t="shared" si="17"/>
        <v>1.421425897928124</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5</v>
      </c>
      <c r="AQ15" s="28">
        <f>VLOOKUP($A15,historia!$A$5:$CM$24,+HLOOKUP(AQ$2,historia!$A$3:$EC$4,2,FALSE),FALSE)</f>
        <v>5</v>
      </c>
      <c r="AR15" s="28">
        <f>VLOOKUP($A15,historia!$A$5:$CM$24,+HLOOKUP(AR$2,historia!$A$3:$EC$4,2,FALSE),FALSE)</f>
        <v>4</v>
      </c>
      <c r="AS15" s="28">
        <f>VLOOKUP($A15,historia!$A$5:$CM$24,+HLOOKUP(AS$2,historia!$A$3:$EC$4,2,FALSE),FALSE)</f>
        <v>4</v>
      </c>
      <c r="AT15" s="58">
        <f>VLOOKUP($A15,historia!$A$5:$CM$24,+HLOOKUP(AT$2,historia!$A$3:$EC$4,2,FALSE),FALSE)</f>
        <v>4</v>
      </c>
      <c r="AU15" s="58">
        <f>VLOOKUP($A15,historia!$A$5:$CM$24,+HLOOKUP(AU$2,historia!$A$3:$EC$4,2,FALSE),FALSE)</f>
        <v>4</v>
      </c>
      <c r="AV15" s="58">
        <f>VLOOKUP($A15,historia!$A$5:$CM$24,+HLOOKUP(AV$2,historia!$A$3:$EC$4,2,FALSE),FALSE)</f>
        <v>4</v>
      </c>
      <c r="AW15" s="58">
        <f>VLOOKUP($A15,historia!$A$5:$DD$24,+HLOOKUP(AW$2,historia!$A$3:$EC$4,2,FALSE),FALSE)</f>
        <v>3</v>
      </c>
      <c r="AX15" s="58">
        <f>VLOOKUP($A15,historia!$A$5:$DD$24,+HLOOKUP(AX$2,historia!$A$3:$EC$4,2,FALSE),FALSE)</f>
        <v>3</v>
      </c>
      <c r="AY15" s="58">
        <f>VLOOKUP($A15,historia!$A$5:$DD$24,+HLOOKUP(AY$2,historia!$A$3:$EC$4,2,FALSE),FALSE)</f>
        <v>3</v>
      </c>
      <c r="AZ15" s="58">
        <f>VLOOKUP($A15,historia!$A$5:$DG$24,+HLOOKUP(AZ$2,historia!$A$3:$EC$4,2,FALSE),FALSE)</f>
        <v>3</v>
      </c>
      <c r="BA15" s="58">
        <f>VLOOKUP($A15,historia!$A$5:$DG$24,+HLOOKUP(BA$2,historia!$A$3:$EC$4,2,FALSE),FALSE)</f>
        <v>3</v>
      </c>
      <c r="BB15" s="58"/>
      <c r="BC15" s="286">
        <v>3</v>
      </c>
      <c r="BD15" t="str">
        <f t="shared" si="20"/>
        <v>Mandioca</v>
      </c>
      <c r="BE15">
        <f>+datos!AW1</f>
        <v>49</v>
      </c>
      <c r="BF15" s="2" t="str">
        <f t="shared" si="4"/>
        <v>$/bolsa40kg</v>
      </c>
      <c r="BG15" s="2">
        <f t="shared" si="4"/>
        <v>13821.052631578947</v>
      </c>
      <c r="BH15" s="2">
        <f t="shared" si="4"/>
        <v>11305.555555555555</v>
      </c>
      <c r="BI15" s="2">
        <f t="shared" si="4"/>
        <v>9357.894736842105</v>
      </c>
      <c r="BK15">
        <f>+datos!CJ1</f>
        <v>88</v>
      </c>
      <c r="BL15" s="2">
        <f t="shared" si="21"/>
        <v>11698.920683815033</v>
      </c>
      <c r="BM15" s="2">
        <f t="shared" si="21"/>
        <v>11245.158581077454</v>
      </c>
      <c r="BN15" s="2">
        <f t="shared" si="21"/>
        <v>8427.7054750736133</v>
      </c>
      <c r="BP15" s="1">
        <f>+datos!EY1</f>
        <v>155</v>
      </c>
      <c r="BQ15" s="1">
        <f t="shared" si="22"/>
        <v>20031</v>
      </c>
      <c r="BR15" s="1">
        <f t="shared" si="22"/>
        <v>20031</v>
      </c>
      <c r="BT15" s="1">
        <f>+datos!GO1</f>
        <v>197</v>
      </c>
      <c r="BU15" s="1">
        <f t="shared" si="23"/>
        <v>201734</v>
      </c>
      <c r="BV15" s="1">
        <f t="shared" si="23"/>
        <v>201734</v>
      </c>
      <c r="BX15" s="1">
        <f>+datos!JP1</f>
        <v>276</v>
      </c>
      <c r="BY15" s="1">
        <f t="shared" si="39"/>
        <v>2.5000000000000001E-3</v>
      </c>
      <c r="BZ15" s="1">
        <f t="shared" si="40"/>
        <v>0</v>
      </c>
      <c r="CB15" s="1">
        <f>+datos!KU1</f>
        <v>307</v>
      </c>
      <c r="CC15" s="2">
        <f t="shared" si="24"/>
        <v>3.8193945400000007</v>
      </c>
      <c r="CD15" s="2">
        <f t="shared" si="25"/>
        <v>1.5773328200000003</v>
      </c>
      <c r="CF15" s="1">
        <f>+datos!IY1</f>
        <v>259</v>
      </c>
      <c r="CG15" s="1">
        <f t="shared" si="26"/>
        <v>1.88</v>
      </c>
      <c r="CH15" s="1">
        <f t="shared" si="27"/>
        <v>1.88</v>
      </c>
      <c r="CJ15" s="1">
        <f t="shared" si="28"/>
        <v>2.5000000000000001E-3</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9"/>
        <v>0</v>
      </c>
      <c r="DA15" s="1">
        <f t="shared" si="29"/>
        <v>0</v>
      </c>
      <c r="DB15" s="1">
        <f t="shared" si="29"/>
        <v>0</v>
      </c>
      <c r="DC15" s="1">
        <f t="shared" si="29"/>
        <v>0</v>
      </c>
      <c r="DD15" s="1">
        <f t="shared" si="29"/>
        <v>0</v>
      </c>
      <c r="DE15" s="1">
        <f t="shared" si="29"/>
        <v>0</v>
      </c>
      <c r="DF15" s="1">
        <f t="shared" si="29"/>
        <v>0</v>
      </c>
      <c r="DG15" s="1">
        <f t="shared" si="29"/>
        <v>0</v>
      </c>
      <c r="DI15" s="14">
        <f t="shared" si="30"/>
        <v>0.46571231000000002</v>
      </c>
      <c r="DJ15" s="14">
        <f t="shared" si="30"/>
        <v>0.27804433999999995</v>
      </c>
      <c r="DK15" s="1">
        <f t="shared" si="30"/>
        <v>0.43603392000000002</v>
      </c>
      <c r="DL15" s="1">
        <f t="shared" si="30"/>
        <v>0.45279353000000006</v>
      </c>
      <c r="DM15" s="1">
        <f t="shared" si="30"/>
        <v>0.30456642</v>
      </c>
      <c r="DN15" s="1">
        <f t="shared" si="30"/>
        <v>0.53543670999999993</v>
      </c>
      <c r="DO15" s="1">
        <f t="shared" si="30"/>
        <v>0.43177300000000002</v>
      </c>
      <c r="DP15" s="1">
        <f t="shared" si="30"/>
        <v>0.33740116000000003</v>
      </c>
      <c r="DQ15" s="1">
        <f t="shared" si="30"/>
        <v>0.28762799999999999</v>
      </c>
      <c r="DR15" s="1">
        <f t="shared" si="30"/>
        <v>0.10344400999999999</v>
      </c>
      <c r="DS15" s="1">
        <f t="shared" si="30"/>
        <v>4.4833160000000004E-2</v>
      </c>
      <c r="DT15" s="1">
        <f t="shared" si="30"/>
        <v>0.14172798</v>
      </c>
      <c r="DU15" s="1">
        <f t="shared" si="30"/>
        <v>7.4560410000000008E-2</v>
      </c>
      <c r="DV15" s="1">
        <f t="shared" si="30"/>
        <v>0.28059129999999999</v>
      </c>
      <c r="DW15" s="1">
        <f t="shared" si="30"/>
        <v>0.15169276000000001</v>
      </c>
      <c r="DX15" s="1">
        <f t="shared" si="30"/>
        <v>0.14711371000000001</v>
      </c>
      <c r="DY15" s="1">
        <f t="shared" si="31"/>
        <v>0.18175015000000003</v>
      </c>
      <c r="DZ15" s="1">
        <f t="shared" si="31"/>
        <v>0.15569543999999999</v>
      </c>
      <c r="EA15" s="1">
        <f t="shared" si="31"/>
        <v>0.1712014</v>
      </c>
      <c r="EB15" s="1">
        <f t="shared" si="31"/>
        <v>0.12198517</v>
      </c>
      <c r="EC15" s="1">
        <f t="shared" si="31"/>
        <v>1.6812999999999999E-3</v>
      </c>
      <c r="ED15" s="1">
        <f t="shared" si="31"/>
        <v>2.8195380000000003E-2</v>
      </c>
      <c r="EE15" s="1">
        <f t="shared" si="31"/>
        <v>4.9277770000000005E-2</v>
      </c>
      <c r="EF15" s="1">
        <f t="shared" si="31"/>
        <v>0.21358802999999996</v>
      </c>
      <c r="EH15" s="14">
        <f t="shared" si="32"/>
        <v>1.88</v>
      </c>
      <c r="EI15" s="14">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3"/>
        <v>1.88</v>
      </c>
      <c r="EY15" s="1">
        <f t="shared" si="33"/>
        <v>1.88</v>
      </c>
      <c r="EZ15" s="1">
        <f t="shared" si="33"/>
        <v>1.88</v>
      </c>
      <c r="FA15" s="1">
        <f t="shared" si="33"/>
        <v>1.88</v>
      </c>
      <c r="FB15" s="1">
        <f t="shared" si="33"/>
        <v>1.88</v>
      </c>
      <c r="FC15" s="1">
        <f t="shared" si="33"/>
        <v>1.88</v>
      </c>
      <c r="FD15" s="1">
        <f t="shared" si="33"/>
        <v>1.88</v>
      </c>
      <c r="FE15" s="1">
        <f t="shared" si="33"/>
        <v>1.88</v>
      </c>
      <c r="FG15" s="162">
        <f t="shared" si="34"/>
        <v>8.8790224806485352E-2</v>
      </c>
    </row>
    <row r="16" spans="1:163" ht="18" customHeight="1">
      <c r="A16" s="243" t="s">
        <v>25</v>
      </c>
      <c r="B16" s="246"/>
      <c r="C16" s="156">
        <f t="shared" si="5"/>
        <v>-0.66</v>
      </c>
      <c r="D16" s="198">
        <v>-1</v>
      </c>
      <c r="E16" s="248">
        <f t="shared" si="6"/>
        <v>2.9184763092970911E-4</v>
      </c>
      <c r="F16" s="249">
        <f t="shared" si="7"/>
        <v>-2.8160871714787428E-2</v>
      </c>
      <c r="G16" s="248">
        <f t="shared" si="8"/>
        <v>1.1116633298375644E-2</v>
      </c>
      <c r="H16" s="249">
        <f t="shared" si="9"/>
        <v>-1.0824785667445935E-2</v>
      </c>
      <c r="I16" s="248">
        <f t="shared" si="10"/>
        <v>-4.8743800015682126E-2</v>
      </c>
      <c r="J16" s="249">
        <f t="shared" si="11"/>
        <v>-0.36423268746044424</v>
      </c>
      <c r="K16" s="248">
        <f t="shared" si="12"/>
        <v>0.21572398871218534</v>
      </c>
      <c r="L16" s="249">
        <f t="shared" si="13"/>
        <v>-0.26446778872786747</v>
      </c>
      <c r="M16" s="250"/>
      <c r="N16" s="24">
        <v>1</v>
      </c>
      <c r="O16" s="248">
        <f t="shared" si="35"/>
        <v>-0.25368839092147422</v>
      </c>
      <c r="P16" s="251">
        <f t="shared" si="36"/>
        <v>-0.25368839092147422</v>
      </c>
      <c r="Q16" s="248">
        <f t="shared" si="14"/>
        <v>-0.13425129087779686</v>
      </c>
      <c r="R16" s="251">
        <f t="shared" si="37"/>
        <v>-0.13425129087779686</v>
      </c>
      <c r="S16" s="250"/>
      <c r="T16" s="24">
        <v>-2</v>
      </c>
      <c r="U16" s="248">
        <f t="shared" si="15"/>
        <v>-3.3443957811029046E-3</v>
      </c>
      <c r="V16" s="252">
        <f t="shared" si="16"/>
        <v>-3.3443957811029046E-3</v>
      </c>
      <c r="W16" s="248">
        <f>IFERROR(+CC16/CD16-1,"")</f>
        <v>-0.22116830352091565</v>
      </c>
      <c r="X16" s="258">
        <f t="shared" si="17"/>
        <v>-0.22116830352091565</v>
      </c>
      <c r="Y16" s="248">
        <f t="shared" si="18"/>
        <v>0.14970059880239517</v>
      </c>
      <c r="Z16" s="252">
        <f t="shared" si="19"/>
        <v>0.14970059880239517</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2</v>
      </c>
      <c r="AQ16" s="28">
        <f>VLOOKUP($A16,historia!$A$5:$CM$24,+HLOOKUP(AQ$2,historia!$A$3:$EC$4,2,FALSE),FALSE)</f>
        <v>2</v>
      </c>
      <c r="AR16" s="28">
        <f>VLOOKUP($A16,historia!$A$5:$CM$24,+HLOOKUP(AR$2,historia!$A$3:$EC$4,2,FALSE),FALSE)</f>
        <v>3</v>
      </c>
      <c r="AS16" s="28">
        <f>VLOOKUP($A16,historia!$A$5:$CM$24,+HLOOKUP(AS$2,historia!$A$3:$EC$4,2,FALSE),FALSE)</f>
        <v>3</v>
      </c>
      <c r="AT16" s="58">
        <f>VLOOKUP($A16,historia!$A$5:$CM$24,+HLOOKUP(AT$2,historia!$A$3:$EC$4,2,FALSE),FALSE)</f>
        <v>3</v>
      </c>
      <c r="AU16" s="58">
        <f>VLOOKUP($A16,historia!$A$5:$CM$24,+HLOOKUP(AU$2,historia!$A$3:$EC$4,2,FALSE),FALSE)</f>
        <v>3</v>
      </c>
      <c r="AV16" s="58">
        <f>VLOOKUP($A16,historia!$A$5:$CM$24,+HLOOKUP(AV$2,historia!$A$3:$EC$4,2,FALSE),FALSE)</f>
        <v>3</v>
      </c>
      <c r="AW16" s="58">
        <f>VLOOKUP($A16,historia!$A$5:$DD$24,+HLOOKUP(AW$2,historia!$A$3:$EC$4,2,FALSE),FALSE)</f>
        <v>3</v>
      </c>
      <c r="AX16" s="58">
        <f>VLOOKUP($A16,historia!$A$5:$DD$24,+HLOOKUP(AX$2,historia!$A$3:$EC$4,2,FALSE),FALSE)</f>
        <v>3</v>
      </c>
      <c r="AY16" s="58">
        <f>VLOOKUP($A16,historia!$A$5:$DD$24,+HLOOKUP(AY$2,historia!$A$3:$EC$4,2,FALSE),FALSE)</f>
        <v>3</v>
      </c>
      <c r="AZ16" s="58">
        <f>VLOOKUP($A16,historia!$A$5:$DG$24,+HLOOKUP(AZ$2,historia!$A$3:$EC$4,2,FALSE),FALSE)</f>
        <v>3</v>
      </c>
      <c r="BA16" s="58">
        <f>VLOOKUP($A16,historia!$A$5:$DG$24,+HLOOKUP(BA$2,historia!$A$3:$EC$4,2,FALSE),FALSE)</f>
        <v>3</v>
      </c>
      <c r="BB16" s="58"/>
      <c r="BC16" s="286">
        <v>3</v>
      </c>
      <c r="BD16" t="str">
        <f t="shared" si="20"/>
        <v>Maní</v>
      </c>
      <c r="BE16">
        <f>+datos!AF1</f>
        <v>32</v>
      </c>
      <c r="BF16" s="2" t="str">
        <f t="shared" si="4"/>
        <v>$/t</v>
      </c>
      <c r="BG16" s="2">
        <f t="shared" si="4"/>
        <v>848004.85440000007</v>
      </c>
      <c r="BH16" s="2">
        <f t="shared" si="4"/>
        <v>847757.43839999998</v>
      </c>
      <c r="BI16" s="2">
        <f t="shared" si="4"/>
        <v>891457.9</v>
      </c>
      <c r="BK16">
        <f>+datos!CH1</f>
        <v>86</v>
      </c>
      <c r="BL16" s="2">
        <f t="shared" si="21"/>
        <v>12921.775537639334</v>
      </c>
      <c r="BM16" s="2">
        <f t="shared" si="21"/>
        <v>12779.708207832618</v>
      </c>
      <c r="BN16" s="2">
        <f t="shared" si="21"/>
        <v>10628.872719150137</v>
      </c>
      <c r="BP16" s="1">
        <f>+datos!EB1</f>
        <v>132</v>
      </c>
      <c r="BQ16" s="1">
        <f t="shared" si="22"/>
        <v>389000</v>
      </c>
      <c r="BR16" s="1">
        <f t="shared" si="22"/>
        <v>521230</v>
      </c>
      <c r="BT16" s="1">
        <f>+datos!FW1</f>
        <v>179</v>
      </c>
      <c r="BU16" s="1">
        <f t="shared" si="23"/>
        <v>1389286</v>
      </c>
      <c r="BV16" s="1">
        <f t="shared" si="23"/>
        <v>1604722</v>
      </c>
      <c r="BX16" s="1">
        <f>+datos!JK1</f>
        <v>271</v>
      </c>
      <c r="BY16" s="1">
        <f t="shared" si="39"/>
        <v>1372.0946671499999</v>
      </c>
      <c r="BZ16" s="1">
        <f t="shared" si="40"/>
        <v>1376.6988931199994</v>
      </c>
      <c r="CB16" s="1">
        <f>+datos!KP1</f>
        <v>302</v>
      </c>
      <c r="CC16" s="2">
        <f t="shared" si="24"/>
        <v>1.8683212800000002</v>
      </c>
      <c r="CD16" s="2">
        <f t="shared" si="25"/>
        <v>2.3988767900000001</v>
      </c>
      <c r="CF16" s="1">
        <f>+datos!IJ1</f>
        <v>244</v>
      </c>
      <c r="CG16" s="1">
        <f t="shared" si="26"/>
        <v>2.4791954184468667</v>
      </c>
      <c r="CH16" s="1">
        <f t="shared" si="27"/>
        <v>2.1563835150032644</v>
      </c>
      <c r="CJ16" s="1">
        <f t="shared" si="28"/>
        <v>109.63040427999998</v>
      </c>
      <c r="CK16" s="1">
        <f t="shared" si="28"/>
        <v>107.51173679000001</v>
      </c>
      <c r="CL16" s="1">
        <f t="shared" si="28"/>
        <v>153.65977728999999</v>
      </c>
      <c r="CM16" s="1">
        <f t="shared" si="28"/>
        <v>137.05460552</v>
      </c>
      <c r="CN16" s="1">
        <f t="shared" si="28"/>
        <v>119.79773589000003</v>
      </c>
      <c r="CO16" s="1">
        <f t="shared" si="28"/>
        <v>108.38462631999997</v>
      </c>
      <c r="CP16" s="1">
        <f t="shared" si="28"/>
        <v>110.53778464999999</v>
      </c>
      <c r="CQ16" s="1">
        <f t="shared" si="28"/>
        <v>97.139552130000013</v>
      </c>
      <c r="CR16" s="1">
        <f t="shared" si="28"/>
        <v>94.262180470000018</v>
      </c>
      <c r="CS16" s="1">
        <f t="shared" si="28"/>
        <v>104.16408064999997</v>
      </c>
      <c r="CT16" s="1">
        <f t="shared" si="28"/>
        <v>129.66034791999999</v>
      </c>
      <c r="CU16" s="1">
        <f t="shared" si="28"/>
        <v>100.29183523999998</v>
      </c>
      <c r="CV16" s="1">
        <f t="shared" si="28"/>
        <v>142.99991008000001</v>
      </c>
      <c r="CW16" s="1">
        <f t="shared" si="28"/>
        <v>153.43391492999999</v>
      </c>
      <c r="CX16" s="1">
        <f t="shared" si="28"/>
        <v>142.09253510999997</v>
      </c>
      <c r="CY16" s="1">
        <f t="shared" si="28"/>
        <v>155.33708399000002</v>
      </c>
      <c r="CZ16" s="1">
        <f t="shared" si="29"/>
        <v>156.99934678</v>
      </c>
      <c r="DA16" s="1">
        <f t="shared" si="29"/>
        <v>115.53726275000001</v>
      </c>
      <c r="DB16" s="1">
        <f t="shared" si="29"/>
        <v>98.487414479999984</v>
      </c>
      <c r="DC16" s="1">
        <f t="shared" si="29"/>
        <v>63.473924160000003</v>
      </c>
      <c r="DD16" s="1">
        <f t="shared" si="29"/>
        <v>65.127016839999982</v>
      </c>
      <c r="DE16" s="1">
        <f t="shared" si="29"/>
        <v>70.784594500000011</v>
      </c>
      <c r="DF16" s="1">
        <f t="shared" si="29"/>
        <v>111.62267066999999</v>
      </c>
      <c r="DG16" s="1">
        <f t="shared" si="29"/>
        <v>100.80321882999999</v>
      </c>
      <c r="DI16" s="1">
        <f t="shared" si="30"/>
        <v>4.2275489999999999E-2</v>
      </c>
      <c r="DJ16" s="1">
        <f t="shared" si="30"/>
        <v>2.1048300000000002E-3</v>
      </c>
      <c r="DK16" s="1">
        <f t="shared" si="30"/>
        <v>9.9999999999999995E-7</v>
      </c>
      <c r="DL16" s="1">
        <f t="shared" si="30"/>
        <v>0.27773459</v>
      </c>
      <c r="DM16" s="1">
        <f t="shared" si="30"/>
        <v>0.19844290000000001</v>
      </c>
      <c r="DN16" s="1">
        <f t="shared" si="30"/>
        <v>0.14424532000000001</v>
      </c>
      <c r="DO16" s="1">
        <f t="shared" si="30"/>
        <v>5.4312239999999998E-2</v>
      </c>
      <c r="DP16" s="1">
        <f t="shared" si="30"/>
        <v>1.9420499999999999E-3</v>
      </c>
      <c r="DQ16" s="1">
        <f t="shared" si="30"/>
        <v>1.0560452</v>
      </c>
      <c r="DR16" s="1">
        <f t="shared" si="30"/>
        <v>3.8992409999999998E-2</v>
      </c>
      <c r="DS16" s="1">
        <f t="shared" si="30"/>
        <v>0</v>
      </c>
      <c r="DT16" s="1">
        <f t="shared" si="30"/>
        <v>5.2225250000000001E-2</v>
      </c>
      <c r="DU16" s="1">
        <f t="shared" si="30"/>
        <v>0.22862400000000002</v>
      </c>
      <c r="DV16" s="1">
        <f t="shared" si="30"/>
        <v>2.6527899999999999E-3</v>
      </c>
      <c r="DW16" s="1">
        <f t="shared" si="30"/>
        <v>1.6271E-3</v>
      </c>
      <c r="DX16" s="1">
        <f t="shared" si="30"/>
        <v>0.13444175</v>
      </c>
      <c r="DY16" s="1">
        <f t="shared" si="31"/>
        <v>4.2737620000000004E-2</v>
      </c>
      <c r="DZ16" s="1">
        <f t="shared" si="31"/>
        <v>8.6628999999999998E-2</v>
      </c>
      <c r="EA16" s="1">
        <f t="shared" si="31"/>
        <v>8.4906640000000005E-2</v>
      </c>
      <c r="EB16" s="1">
        <f t="shared" si="31"/>
        <v>8.714181E-2</v>
      </c>
      <c r="EC16" s="1">
        <f t="shared" si="31"/>
        <v>0.111375</v>
      </c>
      <c r="ED16" s="1">
        <f t="shared" si="31"/>
        <v>0.12514284000000001</v>
      </c>
      <c r="EE16" s="1">
        <f t="shared" si="31"/>
        <v>0.69674917999999986</v>
      </c>
      <c r="EF16" s="1">
        <f t="shared" si="31"/>
        <v>0.79684906</v>
      </c>
      <c r="EH16" s="14">
        <f t="shared" si="32"/>
        <v>2.4791954184468667</v>
      </c>
      <c r="EI16" s="14">
        <f t="shared" si="32"/>
        <v>2.4791954184468667</v>
      </c>
      <c r="EJ16" s="1">
        <f t="shared" si="32"/>
        <v>2.4791954184468667</v>
      </c>
      <c r="EK16" s="1">
        <f t="shared" si="32"/>
        <v>2.3888080854826579</v>
      </c>
      <c r="EL16" s="1">
        <f t="shared" si="32"/>
        <v>2.3888080854826579</v>
      </c>
      <c r="EM16" s="1">
        <f t="shared" si="32"/>
        <v>2.3888080854826579</v>
      </c>
      <c r="EN16" s="1">
        <f t="shared" si="32"/>
        <v>2.3888080854826579</v>
      </c>
      <c r="EO16" s="1">
        <f t="shared" si="32"/>
        <v>2.3888080854826579</v>
      </c>
      <c r="EP16" s="1">
        <f t="shared" si="32"/>
        <v>2.3888080854826579</v>
      </c>
      <c r="EQ16" s="1">
        <f t="shared" si="32"/>
        <v>2.1563835150032644</v>
      </c>
      <c r="ER16" s="1">
        <f t="shared" si="32"/>
        <v>2.1563835150032644</v>
      </c>
      <c r="ES16" s="1">
        <f t="shared" si="32"/>
        <v>2.1563835150032644</v>
      </c>
      <c r="ET16" s="1">
        <f t="shared" si="32"/>
        <v>2.1563835150032644</v>
      </c>
      <c r="EU16" s="1">
        <f t="shared" si="32"/>
        <v>2.1563835150032644</v>
      </c>
      <c r="EV16" s="1">
        <f t="shared" si="32"/>
        <v>2.1563835150032644</v>
      </c>
      <c r="EW16" s="1">
        <f t="shared" si="32"/>
        <v>2.1563835150032644</v>
      </c>
      <c r="EX16" s="1">
        <f t="shared" si="33"/>
        <v>2.1563835150032644</v>
      </c>
      <c r="EY16" s="1">
        <f t="shared" si="33"/>
        <v>2.1563835150032644</v>
      </c>
      <c r="EZ16" s="1">
        <f t="shared" si="33"/>
        <v>2.1563835150032644</v>
      </c>
      <c r="FA16" s="1">
        <f t="shared" si="33"/>
        <v>2.1563835150032644</v>
      </c>
      <c r="FB16" s="1">
        <f t="shared" si="33"/>
        <v>2.1563835150032644</v>
      </c>
      <c r="FC16" s="1">
        <f t="shared" si="33"/>
        <v>1.9885213252125911</v>
      </c>
      <c r="FD16" s="1">
        <f t="shared" si="33"/>
        <v>1.9885213252125911</v>
      </c>
      <c r="FE16" s="1">
        <f t="shared" si="33"/>
        <v>1.9885213252125911</v>
      </c>
      <c r="FG16" s="162">
        <f t="shared" si="34"/>
        <v>-0.26446778872786747</v>
      </c>
    </row>
    <row r="17" spans="1:163" ht="18.75" customHeight="1">
      <c r="A17" s="244" t="s">
        <v>76</v>
      </c>
      <c r="B17" s="247"/>
      <c r="C17" s="228">
        <f t="shared" si="5"/>
        <v>-0.99</v>
      </c>
      <c r="D17" s="229">
        <v>-1</v>
      </c>
      <c r="E17" s="253">
        <f t="shared" si="6"/>
        <v>-0.10781589231437261</v>
      </c>
      <c r="F17" s="254">
        <f t="shared" si="7"/>
        <v>-0.13626861166008974</v>
      </c>
      <c r="G17" s="253">
        <f t="shared" si="8"/>
        <v>1.0591196624349486E-2</v>
      </c>
      <c r="H17" s="254">
        <f t="shared" si="9"/>
        <v>-0.11840708893872209</v>
      </c>
      <c r="I17" s="253">
        <f t="shared" si="10"/>
        <v>0.15432584269662919</v>
      </c>
      <c r="J17" s="254">
        <f t="shared" si="11"/>
        <v>-0.16116304474813292</v>
      </c>
      <c r="K17" s="253">
        <f t="shared" si="12"/>
        <v>0.35732436557571368</v>
      </c>
      <c r="L17" s="254">
        <f t="shared" si="13"/>
        <v>-0.20299852287908449</v>
      </c>
      <c r="M17" s="255"/>
      <c r="N17" s="256">
        <v>-1</v>
      </c>
      <c r="O17" s="253">
        <f>IFERROR(+BQ17/BR17-1,"")</f>
        <v>0.14285714285714279</v>
      </c>
      <c r="P17" s="257">
        <f t="shared" si="36"/>
        <v>0.14285714285714279</v>
      </c>
      <c r="Q17" s="253">
        <f t="shared" si="14"/>
        <v>8.2297934975540166E-2</v>
      </c>
      <c r="R17" s="257">
        <f t="shared" si="37"/>
        <v>8.2297934975540166E-2</v>
      </c>
      <c r="S17" s="255"/>
      <c r="T17" s="256">
        <v>-1</v>
      </c>
      <c r="U17" s="253">
        <f t="shared" si="15"/>
        <v>0.12982961620658817</v>
      </c>
      <c r="V17" s="258">
        <f t="shared" si="16"/>
        <v>0.12982961620658817</v>
      </c>
      <c r="W17" s="248">
        <f>IFERROR(+CC17/CD17-1,"")</f>
        <v>-8.9526600151022095E-2</v>
      </c>
      <c r="X17" s="258">
        <f t="shared" si="17"/>
        <v>-8.9526600151022095E-2</v>
      </c>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3</v>
      </c>
      <c r="AQ17" s="28">
        <f>VLOOKUP($A17,historia!$A$5:$CM$24,+HLOOKUP(AQ$2,historia!$A$3:$EC$4,2,FALSE),FALSE)</f>
        <v>3</v>
      </c>
      <c r="AR17" s="28">
        <f>VLOOKUP($A17,historia!$A$5:$CM$24,+HLOOKUP(AR$2,historia!$A$3:$EC$4,2,FALSE),FALSE)</f>
        <v>3</v>
      </c>
      <c r="AS17" s="28">
        <f>VLOOKUP($A17,historia!$A$5:$CM$24,+HLOOKUP(AS$2,historia!$A$3:$EC$4,2,FALSE),FALSE)</f>
        <v>3</v>
      </c>
      <c r="AT17" s="58">
        <f>VLOOKUP($A17,historia!$A$5:$CM$24,+HLOOKUP(AT$2,historia!$A$3:$EC$4,2,FALSE),FALSE)</f>
        <v>3</v>
      </c>
      <c r="AU17" s="58">
        <f>VLOOKUP($A17,historia!$A$5:$CM$24,+HLOOKUP(AU$2,historia!$A$3:$EC$4,2,FALSE),FALSE)</f>
        <v>3</v>
      </c>
      <c r="AV17" s="58">
        <f>VLOOKUP($A17,historia!$A$5:$CM$24,+HLOOKUP(AV$2,historia!$A$3:$EC$4,2,FALSE),FALSE)</f>
        <v>3</v>
      </c>
      <c r="AW17" s="58">
        <f>VLOOKUP($A17,historia!$A$5:$DD$24,+HLOOKUP(AW$2,historia!$A$3:$EC$4,2,FALSE),FALSE)</f>
        <v>3</v>
      </c>
      <c r="AX17" s="58">
        <f>VLOOKUP($A17,historia!$A$5:$DD$24,+HLOOKUP(AX$2,historia!$A$3:$EC$4,2,FALSE),FALSE)</f>
        <v>3</v>
      </c>
      <c r="AY17" s="58">
        <f>VLOOKUP($A17,historia!$A$5:$DD$24,+HLOOKUP(AY$2,historia!$A$3:$EC$4,2,FALSE),FALSE)</f>
        <v>2</v>
      </c>
      <c r="AZ17" s="58">
        <f>VLOOKUP($A17,historia!$A$5:$DG$24,+HLOOKUP(AZ$2,historia!$A$3:$EC$4,2,FALSE),FALSE)</f>
        <v>2</v>
      </c>
      <c r="BA17" s="58">
        <f>VLOOKUP($A17,historia!$A$5:$DG$24,+HLOOKUP(BA$2,historia!$A$3:$EC$4,2,FALSE),FALSE)</f>
        <v>2</v>
      </c>
      <c r="BB17" s="58"/>
      <c r="BC17" s="286">
        <v>2</v>
      </c>
      <c r="BD17" t="str">
        <f t="shared" si="20"/>
        <v>Miel</v>
      </c>
      <c r="BE17">
        <f>+datos!BV1</f>
        <v>74</v>
      </c>
      <c r="BF17" s="2" t="str">
        <f t="shared" si="4"/>
        <v>$/kg</v>
      </c>
      <c r="BG17" s="2">
        <f t="shared" si="4"/>
        <v>2054.6999999999998</v>
      </c>
      <c r="BH17" s="2">
        <f t="shared" si="4"/>
        <v>2303</v>
      </c>
      <c r="BI17" s="2">
        <f t="shared" si="4"/>
        <v>1780</v>
      </c>
      <c r="BK17">
        <f>+datos!DH1</f>
        <v>112</v>
      </c>
      <c r="BL17" s="2">
        <f t="shared" si="21"/>
        <v>12395.161976852933</v>
      </c>
      <c r="BM17" s="2">
        <f t="shared" si="21"/>
        <v>12265.258215444739</v>
      </c>
      <c r="BN17" s="2">
        <f t="shared" si="21"/>
        <v>9132.0558970408547</v>
      </c>
      <c r="BP17" s="1">
        <f>+datos!EQ1</f>
        <v>147</v>
      </c>
      <c r="BQ17" s="1">
        <f t="shared" si="22"/>
        <v>4000000</v>
      </c>
      <c r="BR17" s="1">
        <f t="shared" si="22"/>
        <v>3500000</v>
      </c>
      <c r="BT17" s="1">
        <f>+datos!GP1</f>
        <v>198</v>
      </c>
      <c r="BU17" s="1">
        <f t="shared" si="23"/>
        <v>75000</v>
      </c>
      <c r="BV17" s="1">
        <f t="shared" si="23"/>
        <v>69297</v>
      </c>
      <c r="BX17" s="1">
        <f>+datos!KE1</f>
        <v>291</v>
      </c>
      <c r="BY17" s="1">
        <f t="shared" si="39"/>
        <v>240.23814805000001</v>
      </c>
      <c r="BZ17" s="1">
        <f t="shared" si="40"/>
        <v>212.63219215000001</v>
      </c>
      <c r="CB17" s="1">
        <f>+datos!LJ1</f>
        <v>322</v>
      </c>
      <c r="CC17" s="2">
        <f t="shared" si="24"/>
        <v>4.8205869999999998E-2</v>
      </c>
      <c r="CD17" s="2">
        <f>+SUM(DU17:EF17)</f>
        <v>5.2945940000000004E-2</v>
      </c>
      <c r="CF17" s="1">
        <f>+datos!IZ1</f>
        <v>260</v>
      </c>
      <c r="CG17" s="2">
        <f t="shared" si="26"/>
        <v>0.3</v>
      </c>
      <c r="CH17" s="2">
        <f t="shared" si="27"/>
        <v>0.3</v>
      </c>
      <c r="CJ17" s="1">
        <f t="shared" si="28"/>
        <v>13.599247020000002</v>
      </c>
      <c r="CK17" s="1">
        <f t="shared" si="28"/>
        <v>18.275047940000004</v>
      </c>
      <c r="CL17" s="1">
        <f t="shared" si="28"/>
        <v>22.033355530000001</v>
      </c>
      <c r="CM17" s="1">
        <f t="shared" si="28"/>
        <v>25.714133060000005</v>
      </c>
      <c r="CN17" s="1">
        <f t="shared" si="28"/>
        <v>20.973477770000002</v>
      </c>
      <c r="CO17" s="1">
        <f t="shared" si="28"/>
        <v>25.565397789999999</v>
      </c>
      <c r="CP17" s="1">
        <f t="shared" si="28"/>
        <v>22.120083830000002</v>
      </c>
      <c r="CQ17" s="1">
        <f t="shared" si="28"/>
        <v>25.223589140000001</v>
      </c>
      <c r="CR17" s="1">
        <f t="shared" si="28"/>
        <v>23.185079629999997</v>
      </c>
      <c r="CS17" s="1">
        <f t="shared" si="28"/>
        <v>18.014525360000007</v>
      </c>
      <c r="CT17" s="1">
        <f t="shared" si="28"/>
        <v>15.906782769999998</v>
      </c>
      <c r="CU17" s="1">
        <f t="shared" si="28"/>
        <v>9.6274282100000015</v>
      </c>
      <c r="CV17" s="1">
        <f t="shared" si="28"/>
        <v>12.184475789999999</v>
      </c>
      <c r="CW17" s="1">
        <f t="shared" si="28"/>
        <v>14.349162859999998</v>
      </c>
      <c r="CX17" s="1">
        <f t="shared" si="28"/>
        <v>24.378519029999993</v>
      </c>
      <c r="CY17" s="1">
        <f t="shared" si="28"/>
        <v>22.211636389999995</v>
      </c>
      <c r="CZ17" s="1">
        <f t="shared" si="29"/>
        <v>18.934177090000006</v>
      </c>
      <c r="DA17" s="1">
        <f t="shared" si="29"/>
        <v>18.049853030000005</v>
      </c>
      <c r="DB17" s="1">
        <f t="shared" si="29"/>
        <v>20.702965450000001</v>
      </c>
      <c r="DC17" s="1">
        <f t="shared" si="29"/>
        <v>19.199801710000003</v>
      </c>
      <c r="DD17" s="1">
        <f t="shared" si="29"/>
        <v>16.174522229999997</v>
      </c>
      <c r="DE17" s="1">
        <f t="shared" si="29"/>
        <v>22.082734950000003</v>
      </c>
      <c r="DF17" s="1">
        <f t="shared" si="29"/>
        <v>13.392344960000001</v>
      </c>
      <c r="DG17" s="1">
        <f t="shared" si="29"/>
        <v>10.971998660000001</v>
      </c>
      <c r="DI17" s="1">
        <f t="shared" si="30"/>
        <v>2.9789999999999999E-3</v>
      </c>
      <c r="DJ17" s="1">
        <f t="shared" si="30"/>
        <v>0</v>
      </c>
      <c r="DK17" s="1">
        <f t="shared" si="30"/>
        <v>0</v>
      </c>
      <c r="DL17" s="1">
        <f t="shared" si="30"/>
        <v>0</v>
      </c>
      <c r="DM17" s="1">
        <f t="shared" si="30"/>
        <v>4.0170669999999999E-2</v>
      </c>
      <c r="DN17" s="1">
        <f t="shared" si="30"/>
        <v>0</v>
      </c>
      <c r="DO17" s="1">
        <f t="shared" si="30"/>
        <v>0</v>
      </c>
      <c r="DP17" s="1">
        <f t="shared" si="30"/>
        <v>1.5264E-3</v>
      </c>
      <c r="DQ17" s="1">
        <f t="shared" si="30"/>
        <v>0</v>
      </c>
      <c r="DR17" s="1">
        <f t="shared" si="30"/>
        <v>0</v>
      </c>
      <c r="DS17" s="1">
        <f t="shared" si="30"/>
        <v>3.5298E-3</v>
      </c>
      <c r="DT17" s="1">
        <f t="shared" si="30"/>
        <v>0</v>
      </c>
      <c r="DU17" s="1">
        <f t="shared" si="30"/>
        <v>0</v>
      </c>
      <c r="DV17" s="1">
        <f t="shared" si="30"/>
        <v>0</v>
      </c>
      <c r="DW17" s="1">
        <f t="shared" si="30"/>
        <v>0</v>
      </c>
      <c r="DX17" s="1">
        <f t="shared" si="30"/>
        <v>4.0664E-4</v>
      </c>
      <c r="DY17" s="1">
        <f t="shared" si="31"/>
        <v>0</v>
      </c>
      <c r="DZ17" s="1">
        <f t="shared" si="31"/>
        <v>0</v>
      </c>
      <c r="EA17" s="1">
        <f t="shared" si="31"/>
        <v>0</v>
      </c>
      <c r="EB17" s="1">
        <f t="shared" si="31"/>
        <v>0</v>
      </c>
      <c r="EC17" s="1">
        <f t="shared" si="31"/>
        <v>0</v>
      </c>
      <c r="ED17" s="1">
        <f t="shared" si="31"/>
        <v>5.2539300000000004E-2</v>
      </c>
      <c r="EE17" s="1">
        <f t="shared" si="31"/>
        <v>0</v>
      </c>
      <c r="EF17" s="1">
        <f t="shared" si="31"/>
        <v>0</v>
      </c>
      <c r="EH17" s="14">
        <f t="shared" si="32"/>
        <v>0.3</v>
      </c>
      <c r="EI17" s="14">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3"/>
        <v>0.3</v>
      </c>
      <c r="EY17" s="1">
        <f t="shared" si="33"/>
        <v>0.3</v>
      </c>
      <c r="EZ17" s="1">
        <f t="shared" si="33"/>
        <v>0.3</v>
      </c>
      <c r="FA17" s="1">
        <f t="shared" si="33"/>
        <v>0.3</v>
      </c>
      <c r="FB17" s="1">
        <f t="shared" si="33"/>
        <v>0.3</v>
      </c>
      <c r="FC17" s="1">
        <f t="shared" si="33"/>
        <v>0.3</v>
      </c>
      <c r="FD17" s="1">
        <f t="shared" si="33"/>
        <v>0.3</v>
      </c>
      <c r="FE17" s="1">
        <f t="shared" si="33"/>
        <v>0.3</v>
      </c>
      <c r="FG17" s="162">
        <f t="shared" si="34"/>
        <v>-0.20299852287908449</v>
      </c>
    </row>
    <row r="18" spans="1:163" ht="18.75" customHeight="1">
      <c r="A18" s="243" t="s">
        <v>222</v>
      </c>
      <c r="B18" s="246"/>
      <c r="C18" s="156">
        <f t="shared" si="5"/>
        <v>-0.33</v>
      </c>
      <c r="D18" s="198">
        <v>1</v>
      </c>
      <c r="E18" s="248">
        <f t="shared" si="6"/>
        <v>0.22593879585163257</v>
      </c>
      <c r="F18" s="249">
        <f t="shared" si="7"/>
        <v>0.19748607650591543</v>
      </c>
      <c r="G18" s="248">
        <f t="shared" si="8"/>
        <v>4.8952679850020164E-2</v>
      </c>
      <c r="H18" s="249">
        <f t="shared" si="9"/>
        <v>0.1769861160016124</v>
      </c>
      <c r="I18" s="253">
        <f t="shared" si="10"/>
        <v>0.40321782853879307</v>
      </c>
      <c r="J18" s="254">
        <f t="shared" si="11"/>
        <v>8.7728941094030954E-2</v>
      </c>
      <c r="K18" s="248">
        <f t="shared" si="12"/>
        <v>0.38235588760063033</v>
      </c>
      <c r="L18" s="249">
        <f t="shared" si="13"/>
        <v>2.0861940938162737E-2</v>
      </c>
      <c r="M18" s="250"/>
      <c r="N18" s="24">
        <v>-1</v>
      </c>
      <c r="O18" s="248">
        <f t="shared" si="35"/>
        <v>-3.8058080335949818E-2</v>
      </c>
      <c r="P18" s="251">
        <f t="shared" si="36"/>
        <v>-3.8058080335949818E-2</v>
      </c>
      <c r="Q18" s="248">
        <f t="shared" si="14"/>
        <v>-5.0060626921482276E-2</v>
      </c>
      <c r="R18" s="251">
        <f t="shared" si="37"/>
        <v>-5.0060626921482276E-2</v>
      </c>
      <c r="S18" s="250"/>
      <c r="T18" s="24">
        <v>-1</v>
      </c>
      <c r="U18" s="248">
        <f t="shared" si="15"/>
        <v>0.25288547928867411</v>
      </c>
      <c r="V18" s="252">
        <f t="shared" si="16"/>
        <v>0.25288547928867411</v>
      </c>
      <c r="W18" s="248">
        <f t="shared" si="38"/>
        <v>-0.4327506429413519</v>
      </c>
      <c r="X18" s="252">
        <f t="shared" si="17"/>
        <v>-0.4327506429413519</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3</v>
      </c>
      <c r="AQ18" s="28">
        <f>VLOOKUP($A18,historia!$A$5:$CM$24,+HLOOKUP(AQ$2,historia!$A$3:$EC$4,2,FALSE),FALSE)</f>
        <v>2</v>
      </c>
      <c r="AR18" s="28">
        <f>VLOOKUP($A18,historia!$A$5:$CM$24,+HLOOKUP(AR$2,historia!$A$3:$EC$4,2,FALSE),FALSE)</f>
        <v>2</v>
      </c>
      <c r="AS18" s="28">
        <f>VLOOKUP($A18,historia!$A$5:$CM$24,+HLOOKUP(AS$2,historia!$A$3:$EC$4,2,FALSE),FALSE)</f>
        <v>2</v>
      </c>
      <c r="AT18" s="58">
        <f>VLOOKUP($A18,historia!$A$5:$CM$24,+HLOOKUP(AT$2,historia!$A$3:$EC$4,2,FALSE),FALSE)</f>
        <v>2</v>
      </c>
      <c r="AU18" s="58">
        <f>VLOOKUP($A18,historia!$A$5:$CM$24,+HLOOKUP(AU$2,historia!$A$3:$EC$4,2,FALSE),FALSE)</f>
        <v>1</v>
      </c>
      <c r="AV18" s="58">
        <f>VLOOKUP($A18,historia!$A$5:$CM$24,+HLOOKUP(AV$2,historia!$A$3:$EC$4,2,FALSE),FALSE)</f>
        <v>1</v>
      </c>
      <c r="AW18" s="58">
        <f>VLOOKUP($A18,historia!$A$5:$DD$24,+HLOOKUP(AW$2,historia!$A$3:$EC$4,2,FALSE),FALSE)</f>
        <v>2</v>
      </c>
      <c r="AX18" s="58">
        <f>VLOOKUP($A18,historia!$A$5:$DD$24,+HLOOKUP(AX$2,historia!$A$3:$EC$4,2,FALSE),FALSE)</f>
        <v>2</v>
      </c>
      <c r="AY18" s="58">
        <f>VLOOKUP($A18,historia!$A$5:$DD$24,+HLOOKUP(AY$2,historia!$A$3:$EC$4,2,FALSE),FALSE)</f>
        <v>2</v>
      </c>
      <c r="AZ18" s="58">
        <f>VLOOKUP($A18,historia!$A$5:$DG$24,+HLOOKUP(AZ$2,historia!$A$3:$EC$4,2,FALSE),FALSE)</f>
        <v>2</v>
      </c>
      <c r="BA18" s="58">
        <f>VLOOKUP($A18,historia!$A$5:$DG$24,+HLOOKUP(BA$2,historia!$A$3:$EC$4,2,FALSE),FALSE)</f>
        <v>2</v>
      </c>
      <c r="BB18" s="58"/>
      <c r="BC18" s="286">
        <v>2</v>
      </c>
      <c r="BD18" t="str">
        <f t="shared" si="20"/>
        <v>Ovino</v>
      </c>
      <c r="BE18">
        <f>+datos!BU1</f>
        <v>73</v>
      </c>
      <c r="BF18" s="2" t="str">
        <f t="shared" si="4"/>
        <v>$/kg</v>
      </c>
      <c r="BG18" s="2">
        <f t="shared" si="4"/>
        <v>105756.72080700001</v>
      </c>
      <c r="BH18" s="2">
        <f t="shared" si="4"/>
        <v>86265.905903999999</v>
      </c>
      <c r="BI18" s="2">
        <f t="shared" si="4"/>
        <v>75367.286999999997</v>
      </c>
      <c r="BK18">
        <f>+datos!DI1</f>
        <v>113</v>
      </c>
      <c r="BL18" s="2">
        <f t="shared" si="21"/>
        <v>12923.220375801395</v>
      </c>
      <c r="BM18" s="2">
        <f t="shared" si="21"/>
        <v>12320.117603064004</v>
      </c>
      <c r="BN18" s="2">
        <f t="shared" si="21"/>
        <v>9348.6926859568448</v>
      </c>
      <c r="BP18" s="1">
        <f>+datos!EL1</f>
        <v>142</v>
      </c>
      <c r="BQ18" s="1">
        <f t="shared" si="22"/>
        <v>11967429</v>
      </c>
      <c r="BR18" s="1">
        <f t="shared" si="22"/>
        <v>12440906</v>
      </c>
      <c r="BT18" s="1">
        <f>+datos!GS1</f>
        <v>201</v>
      </c>
      <c r="BU18" s="1">
        <f t="shared" si="23"/>
        <v>36429.51</v>
      </c>
      <c r="BV18" s="1">
        <f t="shared" si="23"/>
        <v>38349.300000000003</v>
      </c>
      <c r="BX18" s="1">
        <f>+datos!KI1</f>
        <v>295</v>
      </c>
      <c r="BY18" s="1">
        <f t="shared" si="39"/>
        <v>257.01401316000005</v>
      </c>
      <c r="BZ18" s="1">
        <f t="shared" si="40"/>
        <v>205.13767412000001</v>
      </c>
      <c r="CB18" s="1">
        <f>+datos!LN1</f>
        <v>326</v>
      </c>
      <c r="CC18" s="2">
        <f t="shared" si="24"/>
        <v>1.8206703900000001</v>
      </c>
      <c r="CD18" s="2">
        <f t="shared" si="25"/>
        <v>3.2096473400000001</v>
      </c>
      <c r="CF18" s="1">
        <f>+datos!JA1</f>
        <v>261</v>
      </c>
      <c r="CG18" s="1">
        <f t="shared" si="26"/>
        <v>3555</v>
      </c>
      <c r="CH18" s="1">
        <f t="shared" si="27"/>
        <v>2813</v>
      </c>
      <c r="CJ18" s="1">
        <f t="shared" si="28"/>
        <v>27.303396169999999</v>
      </c>
      <c r="CK18" s="1">
        <f t="shared" si="28"/>
        <v>22.774238799999999</v>
      </c>
      <c r="CL18" s="1">
        <f t="shared" si="28"/>
        <v>21.077032079999999</v>
      </c>
      <c r="CM18" s="1">
        <f t="shared" si="28"/>
        <v>19.550070639999998</v>
      </c>
      <c r="CN18" s="1">
        <f t="shared" si="28"/>
        <v>17.8919189</v>
      </c>
      <c r="CO18" s="1">
        <f t="shared" si="28"/>
        <v>19.636014689999996</v>
      </c>
      <c r="CP18" s="1">
        <f t="shared" si="28"/>
        <v>18.748166940000001</v>
      </c>
      <c r="CQ18" s="1">
        <f t="shared" si="28"/>
        <v>21.131437869999999</v>
      </c>
      <c r="CR18" s="1">
        <f t="shared" si="28"/>
        <v>23.746863359999999</v>
      </c>
      <c r="CS18" s="1">
        <f t="shared" si="28"/>
        <v>18.662799830000001</v>
      </c>
      <c r="CT18" s="1">
        <f t="shared" si="28"/>
        <v>31.610464650000004</v>
      </c>
      <c r="CU18" s="1">
        <f t="shared" si="28"/>
        <v>14.881609229999999</v>
      </c>
      <c r="CV18" s="1">
        <f t="shared" si="28"/>
        <v>18.538380959999998</v>
      </c>
      <c r="CW18" s="1">
        <f t="shared" si="28"/>
        <v>15.79353798</v>
      </c>
      <c r="CX18" s="1">
        <f t="shared" si="28"/>
        <v>15.390557059999999</v>
      </c>
      <c r="CY18" s="1">
        <f t="shared" si="28"/>
        <v>12.657815750000001</v>
      </c>
      <c r="CZ18" s="1">
        <f t="shared" si="29"/>
        <v>13.430479930000001</v>
      </c>
      <c r="DA18" s="1">
        <f t="shared" si="29"/>
        <v>15.60716012</v>
      </c>
      <c r="DB18" s="1">
        <f t="shared" si="29"/>
        <v>19.03918719</v>
      </c>
      <c r="DC18" s="1">
        <f t="shared" si="29"/>
        <v>17.774232269999999</v>
      </c>
      <c r="DD18" s="1">
        <f t="shared" si="29"/>
        <v>22.502102959999998</v>
      </c>
      <c r="DE18" s="1">
        <f t="shared" si="29"/>
        <v>22.437193859999997</v>
      </c>
      <c r="DF18" s="1">
        <f t="shared" si="29"/>
        <v>15.322430800000003</v>
      </c>
      <c r="DG18" s="1">
        <f t="shared" si="29"/>
        <v>16.644595240000001</v>
      </c>
      <c r="DI18" s="1">
        <f t="shared" si="30"/>
        <v>0.37141849000000005</v>
      </c>
      <c r="DJ18" s="1">
        <f t="shared" si="30"/>
        <v>4.9819790000000003E-2</v>
      </c>
      <c r="DK18" s="1">
        <f t="shared" si="30"/>
        <v>5.7726630000000001E-2</v>
      </c>
      <c r="DL18" s="1">
        <f t="shared" si="30"/>
        <v>0.12164886</v>
      </c>
      <c r="DM18" s="1">
        <f t="shared" si="30"/>
        <v>6.2847730000000004E-2</v>
      </c>
      <c r="DN18" s="1">
        <f t="shared" si="30"/>
        <v>7.1441070000000009E-2</v>
      </c>
      <c r="DO18" s="1">
        <f t="shared" si="30"/>
        <v>0.19937177999999997</v>
      </c>
      <c r="DP18" s="1">
        <f t="shared" si="30"/>
        <v>0.18211829000000002</v>
      </c>
      <c r="DQ18" s="1">
        <f t="shared" si="30"/>
        <v>0.19639201000000001</v>
      </c>
      <c r="DR18" s="1">
        <f t="shared" si="30"/>
        <v>0.15047392000000001</v>
      </c>
      <c r="DS18" s="1">
        <f t="shared" si="30"/>
        <v>0.19393855000000002</v>
      </c>
      <c r="DT18" s="1">
        <f t="shared" si="30"/>
        <v>0.16347327</v>
      </c>
      <c r="DU18" s="1">
        <f t="shared" si="30"/>
        <v>0.18164933</v>
      </c>
      <c r="DV18" s="1">
        <f t="shared" si="30"/>
        <v>0.25055533999999996</v>
      </c>
      <c r="DW18" s="1">
        <f t="shared" si="30"/>
        <v>0.29342396000000004</v>
      </c>
      <c r="DX18" s="1">
        <f t="shared" si="30"/>
        <v>0.26088905000000001</v>
      </c>
      <c r="DY18" s="1">
        <f t="shared" si="31"/>
        <v>0.18624962</v>
      </c>
      <c r="DZ18" s="1">
        <f t="shared" si="31"/>
        <v>0.1577527</v>
      </c>
      <c r="EA18" s="1">
        <f t="shared" si="31"/>
        <v>0.24821200999999998</v>
      </c>
      <c r="EB18" s="1">
        <f t="shared" si="31"/>
        <v>0.13589592</v>
      </c>
      <c r="EC18" s="1">
        <f t="shared" si="31"/>
        <v>0.23010199000000001</v>
      </c>
      <c r="ED18" s="1">
        <f t="shared" si="31"/>
        <v>4.8750000000000002E-2</v>
      </c>
      <c r="EE18" s="1">
        <f t="shared" si="31"/>
        <v>0.31075020000000003</v>
      </c>
      <c r="EF18" s="1">
        <f t="shared" si="31"/>
        <v>0.90541722000000002</v>
      </c>
      <c r="EH18" s="14">
        <f t="shared" si="32"/>
        <v>3555</v>
      </c>
      <c r="EI18" s="14">
        <f t="shared" si="32"/>
        <v>3555</v>
      </c>
      <c r="EJ18" s="1">
        <f t="shared" si="32"/>
        <v>3555</v>
      </c>
      <c r="EK18" s="1">
        <f t="shared" si="32"/>
        <v>3555</v>
      </c>
      <c r="EL18" s="1">
        <f t="shared" si="32"/>
        <v>3555</v>
      </c>
      <c r="EM18" s="1">
        <f t="shared" si="32"/>
        <v>3555</v>
      </c>
      <c r="EN18" s="1">
        <f t="shared" si="32"/>
        <v>3555</v>
      </c>
      <c r="EO18" s="1">
        <f t="shared" si="32"/>
        <v>3735</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3"/>
        <v>2813</v>
      </c>
      <c r="EY18" s="1">
        <f t="shared" si="33"/>
        <v>2813</v>
      </c>
      <c r="EZ18" s="1">
        <f t="shared" si="33"/>
        <v>2813</v>
      </c>
      <c r="FA18" s="1">
        <f t="shared" si="33"/>
        <v>2813</v>
      </c>
      <c r="FB18" s="1">
        <f t="shared" si="33"/>
        <v>2813</v>
      </c>
      <c r="FC18" s="1">
        <f t="shared" si="33"/>
        <v>2813</v>
      </c>
      <c r="FD18" s="1">
        <f t="shared" si="33"/>
        <v>2813</v>
      </c>
      <c r="FE18" s="1">
        <f t="shared" si="33"/>
        <v>2813</v>
      </c>
      <c r="FG18" s="162">
        <f t="shared" si="34"/>
        <v>2.0861940938162737E-2</v>
      </c>
    </row>
    <row r="19" spans="1:163" ht="18.75" customHeight="1">
      <c r="A19" s="244" t="s">
        <v>66</v>
      </c>
      <c r="B19" s="247"/>
      <c r="C19" s="228">
        <f t="shared" si="5"/>
        <v>0</v>
      </c>
      <c r="D19" s="229">
        <v>-1</v>
      </c>
      <c r="E19" s="477">
        <f t="shared" si="6"/>
        <v>0.10753144988080909</v>
      </c>
      <c r="F19" s="254">
        <f t="shared" si="7"/>
        <v>7.9078730535091957E-2</v>
      </c>
      <c r="G19" s="253">
        <f t="shared" si="8"/>
        <v>6.7531935588001524E-2</v>
      </c>
      <c r="H19" s="254">
        <f t="shared" si="9"/>
        <v>3.999951429280757E-2</v>
      </c>
      <c r="I19" s="253">
        <f t="shared" si="10"/>
        <v>0.1899215657182165</v>
      </c>
      <c r="J19" s="254">
        <f t="shared" si="11"/>
        <v>-0.12556732172654561</v>
      </c>
      <c r="K19" s="253">
        <f t="shared" si="12"/>
        <v>0.4410972072917354</v>
      </c>
      <c r="L19" s="254">
        <f t="shared" si="13"/>
        <v>-0.2511756415735189</v>
      </c>
      <c r="M19" s="255"/>
      <c r="N19" s="256">
        <v>0</v>
      </c>
      <c r="O19" s="253">
        <f t="shared" si="35"/>
        <v>9.6567571449088119E-2</v>
      </c>
      <c r="P19" s="257">
        <f t="shared" si="36"/>
        <v>9.6567571449088119E-2</v>
      </c>
      <c r="Q19" s="253">
        <f t="shared" si="14"/>
        <v>0</v>
      </c>
      <c r="R19" s="257">
        <v>-0.01</v>
      </c>
      <c r="S19" s="255"/>
      <c r="T19" s="256">
        <v>1</v>
      </c>
      <c r="U19" s="253">
        <f t="shared" si="15"/>
        <v>-5.5571405338774249E-2</v>
      </c>
      <c r="V19" s="258">
        <f t="shared" si="16"/>
        <v>-5.5571405338774249E-2</v>
      </c>
      <c r="W19" s="253">
        <f t="shared" si="38"/>
        <v>-0.35289541713599204</v>
      </c>
      <c r="X19" s="258">
        <f t="shared" si="17"/>
        <v>-0.35289541713599204</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4</v>
      </c>
      <c r="AQ19" s="28">
        <f>VLOOKUP($A19,historia!$A$5:$CM$24,+HLOOKUP(AQ$2,historia!$A$3:$EC$4,2,FALSE),FALSE)</f>
        <v>3</v>
      </c>
      <c r="AR19" s="28">
        <f>VLOOKUP($A19,historia!$A$5:$CM$24,+HLOOKUP(AR$2,historia!$A$3:$EC$4,2,FALSE),FALSE)</f>
        <v>3</v>
      </c>
      <c r="AS19" s="28">
        <f>VLOOKUP($A19,historia!$A$5:$CM$24,+HLOOKUP(AS$2,historia!$A$3:$EC$4,2,FALSE),FALSE)</f>
        <v>3</v>
      </c>
      <c r="AT19" s="58">
        <f>VLOOKUP($A19,historia!$A$5:$CM$24,+HLOOKUP(AT$2,historia!$A$3:$EC$4,2,FALSE),FALSE)</f>
        <v>4</v>
      </c>
      <c r="AU19" s="58">
        <f>VLOOKUP($A19,historia!$A$5:$CM$24,+HLOOKUP(AU$2,historia!$A$3:$EC$4,2,FALSE),FALSE)</f>
        <v>4</v>
      </c>
      <c r="AV19" s="58">
        <f>VLOOKUP($A19,historia!$A$5:$CM$24,+HLOOKUP(AV$2,historia!$A$3:$EC$4,2,FALSE),FALSE)</f>
        <v>4</v>
      </c>
      <c r="AW19" s="58">
        <f>VLOOKUP($A19,historia!$A$5:$DD$24,+HLOOKUP(AW$2,historia!$A$3:$EC$4,2,FALSE),FALSE)</f>
        <v>5</v>
      </c>
      <c r="AX19" s="58">
        <f>VLOOKUP($A19,historia!$A$5:$DD$24,+HLOOKUP(AX$2,historia!$A$3:$EC$4,2,FALSE),FALSE)</f>
        <v>4</v>
      </c>
      <c r="AY19" s="58">
        <f>VLOOKUP($A19,historia!$A$5:$DD$24,+HLOOKUP(AY$2,historia!$A$3:$EC$4,2,FALSE),FALSE)</f>
        <v>4</v>
      </c>
      <c r="AZ19" s="58">
        <f>VLOOKUP($A19,historia!$A$5:$DG$24,+HLOOKUP(AZ$2,historia!$A$3:$EC$4,2,FALSE),FALSE)</f>
        <v>4</v>
      </c>
      <c r="BA19" s="58">
        <f>VLOOKUP($A19,historia!$A$5:$DG$24,+HLOOKUP(BA$2,historia!$A$3:$EC$4,2,FALSE),FALSE)</f>
        <v>4</v>
      </c>
      <c r="BB19" s="58"/>
      <c r="BC19" s="286">
        <v>4</v>
      </c>
      <c r="BD19" t="str">
        <f t="shared" si="20"/>
        <v>Papa</v>
      </c>
      <c r="BE19">
        <f>+datos!AV1</f>
        <v>48</v>
      </c>
      <c r="BF19" s="2" t="str">
        <f t="shared" si="4"/>
        <v>$/bolsa 20kg</v>
      </c>
      <c r="BG19" s="2">
        <f t="shared" si="4"/>
        <v>6472.4137931034484</v>
      </c>
      <c r="BH19" s="2">
        <f t="shared" si="4"/>
        <v>5844</v>
      </c>
      <c r="BI19" s="2">
        <f t="shared" si="4"/>
        <v>5439.3617021276596</v>
      </c>
      <c r="BK19">
        <f>+datos!CI1</f>
        <v>87</v>
      </c>
      <c r="BL19" s="2">
        <f t="shared" si="21"/>
        <v>12950.36469223249</v>
      </c>
      <c r="BM19" s="2">
        <f t="shared" si="21"/>
        <v>12131.126255346515</v>
      </c>
      <c r="BN19" s="2">
        <f t="shared" si="21"/>
        <v>8986.4615840663555</v>
      </c>
      <c r="BP19" s="1">
        <f>+datos!EZ1</f>
        <v>156</v>
      </c>
      <c r="BQ19" s="1">
        <f t="shared" si="22"/>
        <v>38177</v>
      </c>
      <c r="BR19" s="1">
        <f t="shared" si="22"/>
        <v>34815</v>
      </c>
      <c r="BT19" s="1">
        <f>+datos!GT1</f>
        <v>202</v>
      </c>
      <c r="BU19" s="1">
        <f t="shared" si="23"/>
        <v>2111561</v>
      </c>
      <c r="BV19" s="1">
        <f t="shared" si="23"/>
        <v>2111561</v>
      </c>
      <c r="BX19" s="1">
        <f>+datos!JO1</f>
        <v>275</v>
      </c>
      <c r="BY19" s="1">
        <f t="shared" si="39"/>
        <v>377.00039497000006</v>
      </c>
      <c r="BZ19" s="1">
        <f t="shared" si="40"/>
        <v>399.18358794000005</v>
      </c>
      <c r="CB19" s="1">
        <f>+datos!KT1</f>
        <v>306</v>
      </c>
      <c r="CC19" s="2">
        <f t="shared" si="24"/>
        <v>11.334144350000001</v>
      </c>
      <c r="CD19" s="2">
        <f t="shared" si="25"/>
        <v>17.51516625</v>
      </c>
      <c r="CF19" s="1">
        <f>+datos!JB1</f>
        <v>262</v>
      </c>
      <c r="CG19" s="1">
        <f t="shared" si="26"/>
        <v>35.950000000000003</v>
      </c>
      <c r="CH19" s="1">
        <f t="shared" si="27"/>
        <v>35.950000000000003</v>
      </c>
      <c r="CJ19" s="1">
        <f t="shared" si="28"/>
        <v>34.54170027</v>
      </c>
      <c r="CK19" s="1">
        <f t="shared" si="28"/>
        <v>29.033049210000001</v>
      </c>
      <c r="CL19" s="1">
        <f t="shared" si="28"/>
        <v>32.137001479999995</v>
      </c>
      <c r="CM19" s="1">
        <f t="shared" si="28"/>
        <v>31.771959519999999</v>
      </c>
      <c r="CN19" s="1">
        <f t="shared" si="28"/>
        <v>30.172516640000001</v>
      </c>
      <c r="CO19" s="1">
        <f t="shared" si="28"/>
        <v>33.254909299999994</v>
      </c>
      <c r="CP19" s="1">
        <f t="shared" si="28"/>
        <v>34.03841525</v>
      </c>
      <c r="CQ19" s="1">
        <f t="shared" si="28"/>
        <v>32.790200410000004</v>
      </c>
      <c r="CR19" s="1">
        <f t="shared" si="28"/>
        <v>33.403797109999999</v>
      </c>
      <c r="CS19" s="1">
        <f t="shared" si="28"/>
        <v>26.866894470000005</v>
      </c>
      <c r="CT19" s="1">
        <f t="shared" si="28"/>
        <v>30.959664470000003</v>
      </c>
      <c r="CU19" s="1">
        <f t="shared" si="28"/>
        <v>28.030286839999999</v>
      </c>
      <c r="CV19" s="1">
        <f t="shared" si="28"/>
        <v>35.227965569999995</v>
      </c>
      <c r="CW19" s="1">
        <f t="shared" si="28"/>
        <v>43.313690020000003</v>
      </c>
      <c r="CX19" s="1">
        <f t="shared" si="28"/>
        <v>38.158354570000007</v>
      </c>
      <c r="CY19" s="1">
        <f t="shared" si="28"/>
        <v>36.879687310000008</v>
      </c>
      <c r="CZ19" s="1">
        <f t="shared" si="29"/>
        <v>30.584450140000001</v>
      </c>
      <c r="DA19" s="1">
        <f t="shared" si="29"/>
        <v>34.87822036</v>
      </c>
      <c r="DB19" s="1">
        <f t="shared" si="29"/>
        <v>30.986019150000001</v>
      </c>
      <c r="DC19" s="1">
        <f t="shared" si="29"/>
        <v>34.45773063</v>
      </c>
      <c r="DD19" s="1">
        <f t="shared" si="29"/>
        <v>33.675059580000003</v>
      </c>
      <c r="DE19" s="1">
        <f t="shared" si="29"/>
        <v>28.924508010000004</v>
      </c>
      <c r="DF19" s="1">
        <f t="shared" si="29"/>
        <v>27.954086790000002</v>
      </c>
      <c r="DG19" s="1">
        <f t="shared" si="29"/>
        <v>24.143815810000007</v>
      </c>
      <c r="DI19" s="1">
        <f t="shared" si="30"/>
        <v>1.06092366</v>
      </c>
      <c r="DJ19" s="1">
        <f t="shared" si="30"/>
        <v>0.94273901999999998</v>
      </c>
      <c r="DK19" s="1">
        <f t="shared" si="30"/>
        <v>1.1078551999999999</v>
      </c>
      <c r="DL19" s="1">
        <f t="shared" si="30"/>
        <v>1.1250931100000001</v>
      </c>
      <c r="DM19" s="1">
        <f t="shared" si="30"/>
        <v>0.74439149999999998</v>
      </c>
      <c r="DN19" s="1">
        <f t="shared" si="30"/>
        <v>1.2444918700000001</v>
      </c>
      <c r="DO19" s="1">
        <f t="shared" si="30"/>
        <v>0.75058031000000003</v>
      </c>
      <c r="DP19" s="1">
        <f t="shared" si="30"/>
        <v>0.8744752400000001</v>
      </c>
      <c r="DQ19" s="1">
        <f t="shared" si="30"/>
        <v>0.62052411000000007</v>
      </c>
      <c r="DR19" s="1">
        <f t="shared" si="30"/>
        <v>1.19924761</v>
      </c>
      <c r="DS19" s="1">
        <f t="shared" si="30"/>
        <v>0.86551083000000006</v>
      </c>
      <c r="DT19" s="1">
        <f t="shared" si="30"/>
        <v>0.79831189000000002</v>
      </c>
      <c r="DU19" s="1">
        <f t="shared" si="30"/>
        <v>1.1318278900000001</v>
      </c>
      <c r="DV19" s="1">
        <f t="shared" si="30"/>
        <v>1.8442369199999997</v>
      </c>
      <c r="DW19" s="1">
        <f t="shared" si="30"/>
        <v>1.0529063700000001</v>
      </c>
      <c r="DX19" s="1">
        <f t="shared" si="30"/>
        <v>2.0286618900000004</v>
      </c>
      <c r="DY19" s="1">
        <f t="shared" si="31"/>
        <v>0.79104531999999994</v>
      </c>
      <c r="DZ19" s="1">
        <f t="shared" si="31"/>
        <v>1.6294275100000002</v>
      </c>
      <c r="EA19" s="1">
        <f t="shared" si="31"/>
        <v>1.8725515799999999</v>
      </c>
      <c r="EB19" s="1">
        <f t="shared" si="31"/>
        <v>1.9938344900000002</v>
      </c>
      <c r="EC19" s="1">
        <f t="shared" si="31"/>
        <v>1.4070700599999999</v>
      </c>
      <c r="ED19" s="1">
        <f t="shared" si="31"/>
        <v>0.5838748800000001</v>
      </c>
      <c r="EE19" s="1">
        <f t="shared" si="31"/>
        <v>1.6300787399999999</v>
      </c>
      <c r="EF19" s="1">
        <f t="shared" si="31"/>
        <v>1.5496506000000003</v>
      </c>
      <c r="EH19" s="14">
        <f t="shared" si="32"/>
        <v>35.950000000000003</v>
      </c>
      <c r="EI19" s="14">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G19" s="162">
        <f t="shared" si="34"/>
        <v>-0.2511756415735189</v>
      </c>
    </row>
    <row r="20" spans="1:163" ht="27" customHeight="1">
      <c r="A20" s="264" t="s">
        <v>218</v>
      </c>
      <c r="B20" s="246"/>
      <c r="C20" s="156">
        <f t="shared" si="5"/>
        <v>0</v>
      </c>
      <c r="D20" s="198">
        <v>-1</v>
      </c>
      <c r="E20" s="248">
        <f t="shared" si="6"/>
        <v>0.11945094536651224</v>
      </c>
      <c r="F20" s="249">
        <f t="shared" si="7"/>
        <v>9.0998226020795103E-2</v>
      </c>
      <c r="G20" s="248">
        <f t="shared" si="8"/>
        <v>4.2972218975896537E-2</v>
      </c>
      <c r="H20" s="249">
        <f t="shared" si="9"/>
        <v>7.6478726390615703E-2</v>
      </c>
      <c r="I20" s="248">
        <f t="shared" si="10"/>
        <v>0.83012769675206655</v>
      </c>
      <c r="J20" s="249">
        <f t="shared" si="11"/>
        <v>0.51463880930730443</v>
      </c>
      <c r="K20" s="248">
        <f t="shared" si="12"/>
        <v>0.42828503594755762</v>
      </c>
      <c r="L20" s="249">
        <f t="shared" si="13"/>
        <v>0.40184266080450892</v>
      </c>
      <c r="M20" s="250"/>
      <c r="N20" s="24">
        <v>-1</v>
      </c>
      <c r="O20" s="248">
        <f t="shared" si="35"/>
        <v>0</v>
      </c>
      <c r="P20" s="251">
        <f t="shared" si="36"/>
        <v>0</v>
      </c>
      <c r="Q20" s="248">
        <f t="shared" si="14"/>
        <v>3.1792169089533084E-2</v>
      </c>
      <c r="R20" s="251">
        <f t="shared" si="37"/>
        <v>3.1792169089533084E-2</v>
      </c>
      <c r="S20" s="250"/>
      <c r="T20" s="24">
        <v>2</v>
      </c>
      <c r="U20" s="248">
        <f t="shared" si="15"/>
        <v>0.10786527603006268</v>
      </c>
      <c r="V20" s="252">
        <f t="shared" si="16"/>
        <v>0.10786527603006268</v>
      </c>
      <c r="W20" s="248">
        <f t="shared" si="38"/>
        <v>1.2291059171249588</v>
      </c>
      <c r="X20" s="252">
        <f t="shared" si="17"/>
        <v>1.2291059171249588</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3</v>
      </c>
      <c r="AQ20" s="28">
        <f>VLOOKUP($A20,historia!$A$5:$CM$24,+HLOOKUP(AQ$2,historia!$A$3:$EC$4,2,FALSE),FALSE)</f>
        <v>4</v>
      </c>
      <c r="AR20" s="28">
        <f>VLOOKUP($A20,historia!$A$5:$CM$24,+HLOOKUP(AR$2,historia!$A$3:$EC$4,2,FALSE),FALSE)</f>
        <v>4</v>
      </c>
      <c r="AS20" s="28">
        <f>VLOOKUP($A20,historia!$A$5:$CM$24,+HLOOKUP(AS$2,historia!$A$3:$EC$4,2,FALSE),FALSE)</f>
        <v>4</v>
      </c>
      <c r="AT20" s="58">
        <f>VLOOKUP($A20,historia!$A$5:$CM$24,+HLOOKUP(AT$2,historia!$A$3:$EC$4,2,FALSE),FALSE)</f>
        <v>4</v>
      </c>
      <c r="AU20" s="58">
        <f>VLOOKUP($A20,historia!$A$5:$CM$24,+HLOOKUP(AU$2,historia!$A$3:$EC$4,2,FALSE),FALSE)</f>
        <v>3</v>
      </c>
      <c r="AV20" s="58">
        <f>VLOOKUP($A20,historia!$A$5:$CM$24,+HLOOKUP(AV$2,historia!$A$3:$EC$4,2,FALSE),FALSE)</f>
        <v>2</v>
      </c>
      <c r="AW20" s="58">
        <f>VLOOKUP($A20,historia!$A$5:$DD$24,+HLOOKUP(AW$2,historia!$A$3:$EC$4,2,FALSE),FALSE)</f>
        <v>2</v>
      </c>
      <c r="AX20" s="58">
        <f>VLOOKUP($A20,historia!$A$5:$DD$24,+HLOOKUP(AX$2,historia!$A$3:$EC$4,2,FALSE),FALSE)</f>
        <v>3</v>
      </c>
      <c r="AY20" s="58">
        <f>VLOOKUP($A20,historia!$A$5:$DD$24,+HLOOKUP(AY$2,historia!$A$3:$EC$4,2,FALSE),FALSE)</f>
        <v>3</v>
      </c>
      <c r="AZ20" s="58">
        <f>VLOOKUP($A20,historia!$A$5:$DG$24,+HLOOKUP(AZ$2,historia!$A$3:$EC$4,2,FALSE),FALSE)</f>
        <v>3</v>
      </c>
      <c r="BA20" s="58">
        <f>VLOOKUP($A20,historia!$A$5:$DG$24,+HLOOKUP(BA$2,historia!$A$3:$EC$4,2,FALSE),FALSE)</f>
        <v>3</v>
      </c>
      <c r="BB20" s="58"/>
      <c r="BC20" s="286">
        <v>3</v>
      </c>
      <c r="BD20" t="str">
        <f t="shared" si="20"/>
        <v>Peras y Manzanas</v>
      </c>
      <c r="BE20">
        <f>+datos!AP1</f>
        <v>42</v>
      </c>
      <c r="BF20" s="2" t="str">
        <f t="shared" si="4"/>
        <v>$/caja 18kg</v>
      </c>
      <c r="BG20" s="2">
        <f t="shared" si="4"/>
        <v>37044</v>
      </c>
      <c r="BH20" s="2">
        <f t="shared" si="4"/>
        <v>33091.222222222219</v>
      </c>
      <c r="BI20" s="2">
        <f t="shared" si="4"/>
        <v>20241.21052631579</v>
      </c>
      <c r="BK20">
        <f>+datos!CS1</f>
        <v>97</v>
      </c>
      <c r="BL20" s="2">
        <f t="shared" si="21"/>
        <v>13328.073834627088</v>
      </c>
      <c r="BM20" s="2">
        <f t="shared" si="21"/>
        <v>12778.934656297979</v>
      </c>
      <c r="BN20" s="2">
        <f t="shared" si="21"/>
        <v>9331.5224196722975</v>
      </c>
      <c r="BP20" s="1">
        <f>+datos!FC1</f>
        <v>159</v>
      </c>
      <c r="BQ20" s="1">
        <f t="shared" si="22"/>
        <v>38084</v>
      </c>
      <c r="BR20" s="1">
        <f t="shared" si="22"/>
        <v>38084</v>
      </c>
      <c r="BT20" s="1">
        <f>+datos!GW1</f>
        <v>205</v>
      </c>
      <c r="BU20" s="1">
        <f t="shared" si="23"/>
        <v>786627</v>
      </c>
      <c r="BV20" s="1">
        <f t="shared" si="23"/>
        <v>762389</v>
      </c>
      <c r="BX20" s="1">
        <f>+datos!LS1</f>
        <v>331</v>
      </c>
      <c r="BY20" s="1">
        <f t="shared" si="39"/>
        <v>441.79765595000009</v>
      </c>
      <c r="BZ20" s="1">
        <f t="shared" si="40"/>
        <v>398.78283533999996</v>
      </c>
      <c r="CB20" s="1">
        <f>+datos!LW1</f>
        <v>335</v>
      </c>
      <c r="CC20" s="2">
        <f t="shared" si="24"/>
        <v>6.0147862199999986</v>
      </c>
      <c r="CD20" s="2">
        <f t="shared" si="25"/>
        <v>2.6982953900000002</v>
      </c>
      <c r="CF20" s="1">
        <f>+datos!JC1</f>
        <v>263</v>
      </c>
      <c r="CG20" s="1">
        <f t="shared" si="26"/>
        <v>0</v>
      </c>
      <c r="CH20" s="1">
        <f t="shared" si="27"/>
        <v>0</v>
      </c>
      <c r="CJ20" s="1">
        <f t="shared" si="28"/>
        <v>14.27210653</v>
      </c>
      <c r="CK20" s="1">
        <f t="shared" si="28"/>
        <v>20.571055439999999</v>
      </c>
      <c r="CL20" s="1">
        <f t="shared" si="28"/>
        <v>24.907231830000001</v>
      </c>
      <c r="CM20" s="1">
        <f t="shared" si="28"/>
        <v>41.046257050000001</v>
      </c>
      <c r="CN20" s="1">
        <f t="shared" si="28"/>
        <v>31.183989080000003</v>
      </c>
      <c r="CO20" s="1">
        <f t="shared" si="28"/>
        <v>31.314835450000004</v>
      </c>
      <c r="CP20" s="1">
        <f t="shared" si="28"/>
        <v>42.986147830000007</v>
      </c>
      <c r="CQ20" s="1">
        <f t="shared" si="28"/>
        <v>54.859389430000007</v>
      </c>
      <c r="CR20" s="1">
        <f t="shared" si="28"/>
        <v>51.150985829999996</v>
      </c>
      <c r="CS20" s="1">
        <f t="shared" si="28"/>
        <v>59.173949850000007</v>
      </c>
      <c r="CT20" s="1">
        <f t="shared" si="28"/>
        <v>46.396857000000011</v>
      </c>
      <c r="CU20" s="1">
        <f t="shared" si="28"/>
        <v>23.934850630000003</v>
      </c>
      <c r="CV20" s="1">
        <f t="shared" si="28"/>
        <v>23.934850630000003</v>
      </c>
      <c r="CW20" s="1">
        <f t="shared" si="28"/>
        <v>23.934850630000003</v>
      </c>
      <c r="CX20" s="1">
        <f t="shared" si="28"/>
        <v>25.188374430000003</v>
      </c>
      <c r="CY20" s="1">
        <f t="shared" si="28"/>
        <v>22.303018159999997</v>
      </c>
      <c r="CZ20" s="1">
        <f t="shared" si="29"/>
        <v>14.93334776</v>
      </c>
      <c r="DA20" s="1">
        <f t="shared" si="29"/>
        <v>35.336569390000001</v>
      </c>
      <c r="DB20" s="1">
        <f t="shared" si="29"/>
        <v>46.662709379999995</v>
      </c>
      <c r="DC20" s="1">
        <f t="shared" si="29"/>
        <v>45.302769560000002</v>
      </c>
      <c r="DD20" s="1">
        <f t="shared" si="29"/>
        <v>46.856289650000001</v>
      </c>
      <c r="DE20" s="1">
        <f t="shared" si="29"/>
        <v>60.076282149999997</v>
      </c>
      <c r="DF20" s="1">
        <f t="shared" si="29"/>
        <v>42.744570039999999</v>
      </c>
      <c r="DG20" s="1">
        <f t="shared" si="29"/>
        <v>11.509203560000001</v>
      </c>
      <c r="DI20" s="1">
        <f t="shared" si="30"/>
        <v>0.39547034999999997</v>
      </c>
      <c r="DJ20" s="1">
        <f t="shared" si="30"/>
        <v>0.54650961999999992</v>
      </c>
      <c r="DK20" s="1">
        <f t="shared" si="30"/>
        <v>0.19315473</v>
      </c>
      <c r="DL20" s="1">
        <f t="shared" si="30"/>
        <v>0.43976497000000003</v>
      </c>
      <c r="DM20" s="1">
        <f t="shared" si="30"/>
        <v>0.72520266</v>
      </c>
      <c r="DN20" s="1">
        <f t="shared" si="30"/>
        <v>1.1922353400000001</v>
      </c>
      <c r="DO20" s="1">
        <f t="shared" si="30"/>
        <v>1.0915780799999999</v>
      </c>
      <c r="DP20" s="1">
        <f t="shared" si="30"/>
        <v>0.5667896</v>
      </c>
      <c r="DQ20" s="1">
        <f t="shared" si="30"/>
        <v>0.43323378000000001</v>
      </c>
      <c r="DR20" s="1">
        <f t="shared" si="30"/>
        <v>0.20107160000000002</v>
      </c>
      <c r="DS20" s="1">
        <f t="shared" si="30"/>
        <v>4.7323499999999998E-2</v>
      </c>
      <c r="DT20" s="1">
        <f t="shared" si="30"/>
        <v>0.18245199000000001</v>
      </c>
      <c r="DU20" s="1">
        <f t="shared" si="30"/>
        <v>6.8745290000000001E-2</v>
      </c>
      <c r="DV20" s="1">
        <f t="shared" si="30"/>
        <v>0.21798748000000001</v>
      </c>
      <c r="DW20" s="1">
        <f t="shared" si="30"/>
        <v>7.9820000000000002E-2</v>
      </c>
      <c r="DX20" s="1">
        <f t="shared" si="30"/>
        <v>0.14837025000000001</v>
      </c>
      <c r="DY20" s="1">
        <f t="shared" si="31"/>
        <v>0.3865221499999999</v>
      </c>
      <c r="DZ20" s="1">
        <f t="shared" si="31"/>
        <v>0.51794252000000007</v>
      </c>
      <c r="EA20" s="1">
        <f t="shared" si="31"/>
        <v>0.37362660000000003</v>
      </c>
      <c r="EB20" s="1">
        <f t="shared" si="31"/>
        <v>0.32288670000000003</v>
      </c>
      <c r="EC20" s="1">
        <f t="shared" si="31"/>
        <v>0.29487440000000004</v>
      </c>
      <c r="ED20" s="1">
        <f t="shared" si="31"/>
        <v>7.78142E-2</v>
      </c>
      <c r="EE20" s="1">
        <f t="shared" si="31"/>
        <v>0.12479459999999999</v>
      </c>
      <c r="EF20" s="1">
        <f t="shared" si="31"/>
        <v>8.4911199999999992E-2</v>
      </c>
      <c r="EH20" s="14">
        <f t="shared" si="32"/>
        <v>0</v>
      </c>
      <c r="EI20" s="14">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3"/>
        <v>0</v>
      </c>
      <c r="EY20" s="1">
        <f t="shared" si="33"/>
        <v>0</v>
      </c>
      <c r="EZ20" s="1">
        <f t="shared" si="33"/>
        <v>0</v>
      </c>
      <c r="FA20" s="1">
        <f t="shared" si="33"/>
        <v>0</v>
      </c>
      <c r="FB20" s="1">
        <f t="shared" si="33"/>
        <v>0</v>
      </c>
      <c r="FC20" s="1">
        <f t="shared" si="33"/>
        <v>0</v>
      </c>
      <c r="FD20" s="1">
        <f t="shared" si="33"/>
        <v>0</v>
      </c>
      <c r="FE20" s="1">
        <f t="shared" si="33"/>
        <v>0</v>
      </c>
      <c r="FG20" s="162">
        <f t="shared" si="34"/>
        <v>0.40184266080450892</v>
      </c>
    </row>
    <row r="21" spans="1:163" ht="18" customHeight="1">
      <c r="A21" s="244" t="s">
        <v>121</v>
      </c>
      <c r="B21" s="247"/>
      <c r="C21" s="228">
        <f t="shared" si="5"/>
        <v>0</v>
      </c>
      <c r="D21" s="229">
        <v>-2</v>
      </c>
      <c r="E21" s="253">
        <f t="shared" si="6"/>
        <v>-1.4861212039045557E-2</v>
      </c>
      <c r="F21" s="254">
        <f t="shared" si="7"/>
        <v>-4.3313931384762694E-2</v>
      </c>
      <c r="G21" s="253">
        <f t="shared" si="8"/>
        <v>2.0365040287715797E-2</v>
      </c>
      <c r="H21" s="254">
        <f t="shared" si="9"/>
        <v>-3.5226252326761354E-2</v>
      </c>
      <c r="I21" s="253">
        <f t="shared" si="10"/>
        <v>0.17208811327328566</v>
      </c>
      <c r="J21" s="254">
        <f t="shared" si="11"/>
        <v>-0.14340077417147645</v>
      </c>
      <c r="K21" s="253">
        <f t="shared" si="12"/>
        <v>0.39594936101211231</v>
      </c>
      <c r="L21" s="254">
        <f t="shared" si="13"/>
        <v>-0.22386124773882665</v>
      </c>
      <c r="M21" s="255"/>
      <c r="N21" s="256">
        <v>1</v>
      </c>
      <c r="O21" s="253">
        <f t="shared" si="35"/>
        <v>-2.0839332713567749E-2</v>
      </c>
      <c r="P21" s="257">
        <f t="shared" si="36"/>
        <v>-2.0839332713567749E-2</v>
      </c>
      <c r="Q21" s="253">
        <f t="shared" si="14"/>
        <v>3.3260072514212036E-2</v>
      </c>
      <c r="R21" s="257">
        <f t="shared" si="37"/>
        <v>3.3260072514212036E-2</v>
      </c>
      <c r="S21" s="255"/>
      <c r="T21" s="256">
        <v>1</v>
      </c>
      <c r="U21" s="253">
        <f t="shared" si="15"/>
        <v>0.11904405643306037</v>
      </c>
      <c r="V21" s="258">
        <f t="shared" si="16"/>
        <v>0.11904405643306037</v>
      </c>
      <c r="W21" s="253">
        <f t="shared" si="38"/>
        <v>1.3021583055026658</v>
      </c>
      <c r="X21" s="258">
        <f t="shared" si="17"/>
        <v>1.3021583055026658</v>
      </c>
      <c r="Y21" s="253">
        <f t="shared" si="18"/>
        <v>0.10332749562171628</v>
      </c>
      <c r="Z21" s="258">
        <f t="shared" si="19"/>
        <v>0.10332749562171628</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2</v>
      </c>
      <c r="AQ21" s="28">
        <f>VLOOKUP($A21,historia!$A$5:$CM$24,+HLOOKUP(AQ$2,historia!$A$3:$EC$4,2,FALSE),FALSE)</f>
        <v>3</v>
      </c>
      <c r="AR21" s="28">
        <f>VLOOKUP($A21,historia!$A$5:$CM$24,+HLOOKUP(AR$2,historia!$A$3:$EC$4,2,FALSE),FALSE)</f>
        <v>3</v>
      </c>
      <c r="AS21" s="28">
        <f>VLOOKUP($A21,historia!$A$5:$CM$24,+HLOOKUP(AS$2,historia!$A$3:$EC$4,2,FALSE),FALSE)</f>
        <v>3</v>
      </c>
      <c r="AT21" s="58">
        <f>VLOOKUP($A21,historia!$A$5:$CM$24,+HLOOKUP(AT$2,historia!$A$3:$EC$4,2,FALSE),FALSE)</f>
        <v>2</v>
      </c>
      <c r="AU21" s="58">
        <f>VLOOKUP($A21,historia!$A$5:$CM$24,+HLOOKUP(AU$2,historia!$A$3:$EC$4,2,FALSE),FALSE)</f>
        <v>1</v>
      </c>
      <c r="AV21" s="58">
        <f>VLOOKUP($A21,historia!$A$5:$CM$24,+HLOOKUP(AV$2,historia!$A$3:$EC$4,2,FALSE),FALSE)</f>
        <v>1</v>
      </c>
      <c r="AW21" s="58">
        <f>VLOOKUP($A21,historia!$A$5:$DD$24,+HLOOKUP(AW$2,historia!$A$3:$EC$4,2,FALSE),FALSE)</f>
        <v>2</v>
      </c>
      <c r="AX21" s="58">
        <f>VLOOKUP($A21,historia!$A$5:$DD$24,+HLOOKUP(AX$2,historia!$A$3:$EC$4,2,FALSE),FALSE)</f>
        <v>2</v>
      </c>
      <c r="AY21" s="58">
        <f>VLOOKUP($A21,historia!$A$5:$DD$24,+HLOOKUP(AY$2,historia!$A$3:$EC$4,2,FALSE),FALSE)</f>
        <v>2</v>
      </c>
      <c r="AZ21" s="58">
        <f>VLOOKUP($A21,historia!$A$5:$DG$24,+HLOOKUP(AZ$2,historia!$A$3:$EC$4,2,FALSE),FALSE)</f>
        <v>2</v>
      </c>
      <c r="BA21" s="58">
        <f>VLOOKUP($A21,historia!$A$5:$DG$24,+HLOOKUP(BA$2,historia!$A$3:$EC$4,2,FALSE),FALSE)</f>
        <v>3</v>
      </c>
      <c r="BB21" s="58"/>
      <c r="BC21" s="286">
        <v>3</v>
      </c>
      <c r="BD21" t="str">
        <f t="shared" si="20"/>
        <v>Porcinos</v>
      </c>
      <c r="BE21">
        <f>+datos!BR1</f>
        <v>70</v>
      </c>
      <c r="BF21" s="2" t="str">
        <f t="shared" si="4"/>
        <v>$/kg</v>
      </c>
      <c r="BG21" s="2">
        <f t="shared" si="4"/>
        <v>1816.5959250000001</v>
      </c>
      <c r="BH21" s="2">
        <f t="shared" si="4"/>
        <v>1844</v>
      </c>
      <c r="BI21" s="2">
        <f t="shared" si="4"/>
        <v>1549.88</v>
      </c>
      <c r="BK21">
        <f>+datos!DD1</f>
        <v>108</v>
      </c>
      <c r="BL21" s="2">
        <f t="shared" si="21"/>
        <v>12758.453983753841</v>
      </c>
      <c r="BM21" s="2">
        <f t="shared" si="21"/>
        <v>12503.813321707197</v>
      </c>
      <c r="BN21" s="2">
        <f t="shared" si="21"/>
        <v>9139.625218570618</v>
      </c>
      <c r="BP21" s="1">
        <f>+datos!EJ1</f>
        <v>140</v>
      </c>
      <c r="BQ21" s="1">
        <f t="shared" si="22"/>
        <v>5987778</v>
      </c>
      <c r="BR21" s="1">
        <f t="shared" si="22"/>
        <v>6115215</v>
      </c>
      <c r="BT21" s="1">
        <f>+datos!HE1</f>
        <v>213</v>
      </c>
      <c r="BU21" s="1">
        <f t="shared" si="23"/>
        <v>811912</v>
      </c>
      <c r="BV21" s="1">
        <f t="shared" si="23"/>
        <v>785777</v>
      </c>
      <c r="BX21" s="1">
        <f>+datos!KJ1</f>
        <v>296</v>
      </c>
      <c r="BY21" s="1">
        <f t="shared" si="39"/>
        <v>30.011029939999993</v>
      </c>
      <c r="BZ21" s="1">
        <f t="shared" si="40"/>
        <v>26.818452560000001</v>
      </c>
      <c r="CB21" s="1">
        <f>+datos!LO1</f>
        <v>327</v>
      </c>
      <c r="CC21" s="2">
        <f t="shared" si="24"/>
        <v>164.93522012</v>
      </c>
      <c r="CD21" s="2">
        <f t="shared" si="25"/>
        <v>71.643735239999984</v>
      </c>
      <c r="CF21" s="1">
        <f>+datos!IO1</f>
        <v>249</v>
      </c>
      <c r="CG21" s="2">
        <f t="shared" si="26"/>
        <v>18.899999999999999</v>
      </c>
      <c r="CH21" s="2">
        <f t="shared" si="27"/>
        <v>17.13</v>
      </c>
      <c r="CJ21" s="1">
        <f t="shared" si="28"/>
        <v>3.0562051500000003</v>
      </c>
      <c r="CK21" s="1">
        <f t="shared" si="28"/>
        <v>3.17480787</v>
      </c>
      <c r="CL21" s="1">
        <f t="shared" si="28"/>
        <v>3.9252467499999995</v>
      </c>
      <c r="CM21" s="1">
        <f t="shared" si="28"/>
        <v>2.8298719000000001</v>
      </c>
      <c r="CN21" s="1">
        <f t="shared" si="28"/>
        <v>2.08934314</v>
      </c>
      <c r="CO21" s="1">
        <f t="shared" si="28"/>
        <v>2.1371287799999998</v>
      </c>
      <c r="CP21" s="1">
        <f t="shared" si="28"/>
        <v>2.3754365900000001</v>
      </c>
      <c r="CQ21" s="1">
        <f t="shared" si="28"/>
        <v>2.2921349499999994</v>
      </c>
      <c r="CR21" s="1">
        <f t="shared" si="28"/>
        <v>1.76811707</v>
      </c>
      <c r="CS21" s="1">
        <f t="shared" si="28"/>
        <v>1.0764735399999998</v>
      </c>
      <c r="CT21" s="1">
        <f t="shared" si="28"/>
        <v>3.87511991</v>
      </c>
      <c r="CU21" s="1">
        <f t="shared" si="28"/>
        <v>1.4111442899999997</v>
      </c>
      <c r="CV21" s="1">
        <f t="shared" si="28"/>
        <v>1.9463367499999997</v>
      </c>
      <c r="CW21" s="1">
        <f t="shared" si="28"/>
        <v>1.6096260199999999</v>
      </c>
      <c r="CX21" s="1">
        <f t="shared" si="28"/>
        <v>3.1723580499999997</v>
      </c>
      <c r="CY21" s="1">
        <f t="shared" si="28"/>
        <v>2.1279038099999998</v>
      </c>
      <c r="CZ21" s="1">
        <f t="shared" si="29"/>
        <v>2.3778769799999995</v>
      </c>
      <c r="DA21" s="1">
        <f t="shared" si="29"/>
        <v>4.3175895799999999</v>
      </c>
      <c r="DB21" s="1">
        <f t="shared" si="29"/>
        <v>2.7596131099999996</v>
      </c>
      <c r="DC21" s="1">
        <f t="shared" si="29"/>
        <v>1.9296841299999996</v>
      </c>
      <c r="DD21" s="1">
        <f t="shared" si="29"/>
        <v>2.2533318799999997</v>
      </c>
      <c r="DE21" s="1">
        <f t="shared" si="29"/>
        <v>1.55421593</v>
      </c>
      <c r="DF21" s="1">
        <f t="shared" si="29"/>
        <v>1.56892272</v>
      </c>
      <c r="DG21" s="1">
        <f t="shared" si="29"/>
        <v>1.2009935999999999</v>
      </c>
      <c r="DI21" s="1">
        <f t="shared" si="30"/>
        <v>10.975213970000002</v>
      </c>
      <c r="DJ21" s="1">
        <f t="shared" si="30"/>
        <v>10.181194250000003</v>
      </c>
      <c r="DK21" s="1">
        <f t="shared" si="30"/>
        <v>12.329496939999999</v>
      </c>
      <c r="DL21" s="1">
        <f t="shared" si="30"/>
        <v>13.92452713</v>
      </c>
      <c r="DM21" s="1">
        <f t="shared" si="30"/>
        <v>11.75892646</v>
      </c>
      <c r="DN21" s="1">
        <f t="shared" si="30"/>
        <v>11.837628230000002</v>
      </c>
      <c r="DO21" s="1">
        <f t="shared" si="30"/>
        <v>13.531613630000001</v>
      </c>
      <c r="DP21" s="1">
        <f t="shared" si="30"/>
        <v>19.3334501</v>
      </c>
      <c r="DQ21" s="1">
        <f t="shared" si="30"/>
        <v>18.318769970000002</v>
      </c>
      <c r="DR21" s="1">
        <f t="shared" si="30"/>
        <v>14.031594299999998</v>
      </c>
      <c r="DS21" s="1">
        <f t="shared" si="30"/>
        <v>14.447589379999997</v>
      </c>
      <c r="DT21" s="1">
        <f t="shared" si="30"/>
        <v>14.265215759999998</v>
      </c>
      <c r="DU21" s="1">
        <f t="shared" si="30"/>
        <v>16.354180840000001</v>
      </c>
      <c r="DV21" s="1">
        <f t="shared" si="30"/>
        <v>10.919699229999997</v>
      </c>
      <c r="DW21" s="1">
        <f t="shared" si="30"/>
        <v>10.87912704</v>
      </c>
      <c r="DX21" s="1">
        <f t="shared" ref="DX21:EF24" si="41">+VLOOKUP(DX$1,ran_dat,$CB21,FALSE)</f>
        <v>7.3519509899999989</v>
      </c>
      <c r="DY21" s="1">
        <f t="shared" si="41"/>
        <v>4.9251834299999988</v>
      </c>
      <c r="DZ21" s="1">
        <f t="shared" si="41"/>
        <v>2.5935797799999998</v>
      </c>
      <c r="EA21" s="1">
        <f t="shared" si="41"/>
        <v>1.7163214500000001</v>
      </c>
      <c r="EB21" s="1">
        <f t="shared" si="41"/>
        <v>2.7920763000000002</v>
      </c>
      <c r="EC21" s="1">
        <f t="shared" si="41"/>
        <v>3.5088459899999997</v>
      </c>
      <c r="ED21" s="1">
        <f t="shared" si="41"/>
        <v>2.2524288500000003</v>
      </c>
      <c r="EE21" s="1">
        <f t="shared" si="41"/>
        <v>5.2341166499999998</v>
      </c>
      <c r="EF21" s="1">
        <f t="shared" si="41"/>
        <v>3.1162246899999997</v>
      </c>
      <c r="EH21" s="14">
        <f t="shared" si="32"/>
        <v>18.899999999999999</v>
      </c>
      <c r="EI21" s="14">
        <f t="shared" si="32"/>
        <v>18.78</v>
      </c>
      <c r="EJ21" s="1">
        <f t="shared" si="32"/>
        <v>18.72</v>
      </c>
      <c r="EK21" s="1">
        <f t="shared" si="32"/>
        <v>18.600000000000001</v>
      </c>
      <c r="EL21" s="1">
        <f t="shared" si="32"/>
        <v>18.38</v>
      </c>
      <c r="EM21" s="1">
        <f t="shared" si="32"/>
        <v>18.28</v>
      </c>
      <c r="EN21" s="1">
        <f t="shared" si="32"/>
        <v>18.239999999999998</v>
      </c>
      <c r="EO21" s="1">
        <f t="shared" si="32"/>
        <v>18.079999999999998</v>
      </c>
      <c r="EP21" s="1">
        <f t="shared" si="32"/>
        <v>17.989999999999998</v>
      </c>
      <c r="EQ21" s="1">
        <f t="shared" si="32"/>
        <v>17.850000000000001</v>
      </c>
      <c r="ER21" s="1">
        <f t="shared" si="32"/>
        <v>17.73</v>
      </c>
      <c r="ES21" s="1">
        <f t="shared" si="32"/>
        <v>17.510000000000002</v>
      </c>
      <c r="ET21" s="1">
        <f t="shared" si="32"/>
        <v>17.13</v>
      </c>
      <c r="EU21" s="1">
        <f t="shared" si="32"/>
        <v>16.89</v>
      </c>
      <c r="EV21" s="1">
        <f t="shared" si="32"/>
        <v>16.87</v>
      </c>
      <c r="EW21" s="1">
        <f t="shared" ref="EW21:FE24" si="42">+VLOOKUP(EW$1,ran_dat,$CF21,FALSE)</f>
        <v>16.8</v>
      </c>
      <c r="EX21" s="1">
        <f t="shared" si="42"/>
        <v>16.760000000000002</v>
      </c>
      <c r="EY21" s="1">
        <f t="shared" si="42"/>
        <v>16.84</v>
      </c>
      <c r="EZ21" s="1">
        <f t="shared" si="42"/>
        <v>16.64</v>
      </c>
      <c r="FA21" s="1">
        <f t="shared" si="42"/>
        <v>16.68</v>
      </c>
      <c r="FB21" s="1">
        <f t="shared" si="42"/>
        <v>16.62</v>
      </c>
      <c r="FC21" s="1">
        <f t="shared" si="42"/>
        <v>16.5</v>
      </c>
      <c r="FD21" s="1">
        <f t="shared" si="42"/>
        <v>16.64</v>
      </c>
      <c r="FE21" s="1">
        <f t="shared" si="42"/>
        <v>16.68</v>
      </c>
      <c r="FG21" s="162">
        <f t="shared" si="34"/>
        <v>-0.22386124773882665</v>
      </c>
    </row>
    <row r="22" spans="1:163" ht="18.75" customHeight="1">
      <c r="A22" s="243" t="s">
        <v>75</v>
      </c>
      <c r="B22" s="246"/>
      <c r="C22" s="156">
        <f t="shared" si="5"/>
        <v>0.66</v>
      </c>
      <c r="D22" s="198">
        <v>1</v>
      </c>
      <c r="E22" s="248">
        <f t="shared" si="6"/>
        <v>0</v>
      </c>
      <c r="F22" s="249">
        <f t="shared" si="7"/>
        <v>-2.8452719345717137E-2</v>
      </c>
      <c r="G22" s="248">
        <f t="shared" si="8"/>
        <v>2.2741158295964903E-2</v>
      </c>
      <c r="H22" s="249">
        <f t="shared" si="9"/>
        <v>-2.2741158295964903E-2</v>
      </c>
      <c r="I22" s="248">
        <f t="shared" si="10"/>
        <v>0.34318367346938761</v>
      </c>
      <c r="J22" s="249">
        <f t="shared" si="11"/>
        <v>2.7694786024625495E-2</v>
      </c>
      <c r="K22" s="248">
        <f t="shared" si="12"/>
        <v>0.37924219617408172</v>
      </c>
      <c r="L22" s="249">
        <f t="shared" si="13"/>
        <v>-3.6058522704694118E-2</v>
      </c>
      <c r="M22" s="250"/>
      <c r="N22" s="24">
        <v>0</v>
      </c>
      <c r="O22" s="248">
        <f t="shared" si="35"/>
        <v>0</v>
      </c>
      <c r="P22" s="251">
        <f t="shared" si="36"/>
        <v>0</v>
      </c>
      <c r="Q22" s="248">
        <f t="shared" si="14"/>
        <v>0.17001165379676175</v>
      </c>
      <c r="R22" s="251">
        <f t="shared" si="37"/>
        <v>0.17001165379676175</v>
      </c>
      <c r="S22" s="250"/>
      <c r="T22" s="24">
        <v>1</v>
      </c>
      <c r="U22" s="248">
        <f t="shared" si="15"/>
        <v>0.20936201220335748</v>
      </c>
      <c r="V22" s="252">
        <f t="shared" si="16"/>
        <v>0.20936201220335748</v>
      </c>
      <c r="W22" s="248">
        <f t="shared" si="38"/>
        <v>-0.10945257049256352</v>
      </c>
      <c r="X22" s="252">
        <f t="shared" si="17"/>
        <v>-0.10945257049256352</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2</v>
      </c>
      <c r="AQ22" s="28">
        <f>VLOOKUP($A22,historia!$A$5:$CM$24,+HLOOKUP(AQ$2,historia!$A$3:$EC$4,2,FALSE),FALSE)</f>
        <v>3</v>
      </c>
      <c r="AR22" s="28">
        <f>VLOOKUP($A22,historia!$A$5:$CM$24,+HLOOKUP(AR$2,historia!$A$3:$EC$4,2,FALSE),FALSE)</f>
        <v>3</v>
      </c>
      <c r="AS22" s="28">
        <f>VLOOKUP($A22,historia!$A$5:$CM$24,+HLOOKUP(AS$2,historia!$A$3:$EC$4,2,FALSE),FALSE)</f>
        <v>3</v>
      </c>
      <c r="AT22" s="58">
        <f>VLOOKUP($A22,historia!$A$5:$CM$24,+HLOOKUP(AT$2,historia!$A$3:$EC$4,2,FALSE),FALSE)</f>
        <v>3</v>
      </c>
      <c r="AU22" s="58">
        <f>VLOOKUP($A22,historia!$A$5:$CM$24,+HLOOKUP(AU$2,historia!$A$3:$EC$4,2,FALSE),FALSE)</f>
        <v>3</v>
      </c>
      <c r="AV22" s="58">
        <f>VLOOKUP($A22,historia!$A$5:$CM$24,+HLOOKUP(AV$2,historia!$A$3:$EC$4,2,FALSE),FALSE)</f>
        <v>3</v>
      </c>
      <c r="AW22" s="58">
        <f>VLOOKUP($A22,historia!$A$5:$DD$24,+HLOOKUP(AW$2,historia!$A$3:$EC$4,2,FALSE),FALSE)</f>
        <v>3</v>
      </c>
      <c r="AX22" s="58">
        <f>VLOOKUP($A22,historia!$A$5:$DD$24,+HLOOKUP(AX$2,historia!$A$3:$EC$4,2,FALSE),FALSE)</f>
        <v>3</v>
      </c>
      <c r="AY22" s="58">
        <f>VLOOKUP($A22,historia!$A$5:$DD$24,+HLOOKUP(AY$2,historia!$A$3:$EC$4,2,FALSE),FALSE)</f>
        <v>3</v>
      </c>
      <c r="AZ22" s="58">
        <f>VLOOKUP($A22,historia!$A$5:$DG$24,+HLOOKUP(AZ$2,historia!$A$3:$EC$4,2,FALSE),FALSE)</f>
        <v>3</v>
      </c>
      <c r="BA22" s="58">
        <f>VLOOKUP($A22,historia!$A$5:$DG$24,+HLOOKUP(BA$2,historia!$A$3:$EC$4,2,FALSE),FALSE)</f>
        <v>3</v>
      </c>
      <c r="BB22" s="58"/>
      <c r="BC22" s="286">
        <v>3</v>
      </c>
      <c r="BD22" t="str">
        <f t="shared" si="20"/>
        <v>Tabaco</v>
      </c>
      <c r="BE22">
        <f>+datos!BJ1</f>
        <v>62</v>
      </c>
      <c r="BF22" s="2" t="str">
        <f t="shared" si="4"/>
        <v>$/kg</v>
      </c>
      <c r="BG22" s="2">
        <f t="shared" si="4"/>
        <v>4936.2</v>
      </c>
      <c r="BH22" s="2">
        <f t="shared" si="4"/>
        <v>4936.2</v>
      </c>
      <c r="BI22" s="2">
        <f t="shared" si="4"/>
        <v>3675</v>
      </c>
      <c r="BK22">
        <f>+datos!DA1</f>
        <v>105</v>
      </c>
      <c r="BL22" s="2">
        <f t="shared" si="21"/>
        <v>12790.429926405761</v>
      </c>
      <c r="BM22" s="2">
        <f t="shared" si="21"/>
        <v>12506.028355910183</v>
      </c>
      <c r="BN22" s="2">
        <f t="shared" si="21"/>
        <v>9273.5198806166827</v>
      </c>
      <c r="BP22" s="1">
        <f>+datos!FD1</f>
        <v>160</v>
      </c>
      <c r="BQ22" s="1">
        <f t="shared" si="22"/>
        <v>60376</v>
      </c>
      <c r="BR22" s="1">
        <f t="shared" si="22"/>
        <v>60376</v>
      </c>
      <c r="BT22" s="1">
        <f>+datos!GX1</f>
        <v>206</v>
      </c>
      <c r="BU22" s="1">
        <f t="shared" si="23"/>
        <v>36041.686000000002</v>
      </c>
      <c r="BV22" s="1">
        <f t="shared" si="23"/>
        <v>30804.553</v>
      </c>
      <c r="BX22" s="1">
        <f>+datos!KC1</f>
        <v>289</v>
      </c>
      <c r="BY22" s="1">
        <f t="shared" si="39"/>
        <v>620.49539196000001</v>
      </c>
      <c r="BZ22" s="1">
        <f t="shared" si="40"/>
        <v>513.07663520000006</v>
      </c>
      <c r="CB22" s="1">
        <f>+datos!LH1</f>
        <v>320</v>
      </c>
      <c r="CC22" s="2">
        <f t="shared" si="24"/>
        <v>50.721214260000011</v>
      </c>
      <c r="CD22" s="2">
        <f t="shared" si="25"/>
        <v>56.955095910000004</v>
      </c>
      <c r="CF22" s="1">
        <f>+datos!JD1</f>
        <v>264</v>
      </c>
      <c r="CG22" s="1">
        <f t="shared" si="26"/>
        <v>0</v>
      </c>
      <c r="CH22" s="1">
        <f t="shared" si="27"/>
        <v>0</v>
      </c>
      <c r="CJ22" s="1">
        <f t="shared" ref="CJ22:CY24" si="43">+VLOOKUP(CJ$1,ran_dat,$BX22,FALSE)</f>
        <v>30.603557829999996</v>
      </c>
      <c r="CK22" s="1">
        <f t="shared" si="43"/>
        <v>71.370433359999993</v>
      </c>
      <c r="CL22" s="1">
        <f t="shared" si="43"/>
        <v>81.464957519999999</v>
      </c>
      <c r="CM22" s="1">
        <f t="shared" si="43"/>
        <v>72.4463358</v>
      </c>
      <c r="CN22" s="1">
        <f t="shared" si="43"/>
        <v>45.834687599999995</v>
      </c>
      <c r="CO22" s="1">
        <f t="shared" si="43"/>
        <v>54.830270300000002</v>
      </c>
      <c r="CP22" s="1">
        <f t="shared" si="43"/>
        <v>93.57534471000001</v>
      </c>
      <c r="CQ22" s="1">
        <f t="shared" si="43"/>
        <v>121.04017274</v>
      </c>
      <c r="CR22" s="1">
        <f t="shared" si="43"/>
        <v>27.891120319999999</v>
      </c>
      <c r="CS22" s="1">
        <f t="shared" si="43"/>
        <v>5.5120895000000001</v>
      </c>
      <c r="CT22" s="1">
        <f t="shared" si="43"/>
        <v>9.7228914799999995</v>
      </c>
      <c r="CU22" s="1">
        <f t="shared" si="43"/>
        <v>6.2035308000000002</v>
      </c>
      <c r="CV22" s="1">
        <f t="shared" si="43"/>
        <v>65.18720725</v>
      </c>
      <c r="CW22" s="1">
        <f t="shared" si="43"/>
        <v>34.962073999999994</v>
      </c>
      <c r="CX22" s="1">
        <f t="shared" si="43"/>
        <v>41.640055749999995</v>
      </c>
      <c r="CY22" s="1">
        <f t="shared" si="43"/>
        <v>54.488227269999996</v>
      </c>
      <c r="CZ22" s="1">
        <f t="shared" ref="CZ22:DG24" si="44">+VLOOKUP(CZ$1,ran_dat,$BX22,FALSE)</f>
        <v>45.888815350000002</v>
      </c>
      <c r="DA22" s="1">
        <f t="shared" si="44"/>
        <v>56.365947810000002</v>
      </c>
      <c r="DB22" s="1">
        <f t="shared" si="44"/>
        <v>58.671597329999997</v>
      </c>
      <c r="DC22" s="1">
        <f t="shared" si="44"/>
        <v>31.625168280000004</v>
      </c>
      <c r="DD22" s="1">
        <f t="shared" si="44"/>
        <v>17.697801470000002</v>
      </c>
      <c r="DE22" s="1">
        <f t="shared" si="44"/>
        <v>30.191481329999998</v>
      </c>
      <c r="DF22" s="1">
        <f t="shared" si="44"/>
        <v>36.249269399999989</v>
      </c>
      <c r="DG22" s="1">
        <f t="shared" si="44"/>
        <v>40.108989959999995</v>
      </c>
      <c r="DI22" s="1">
        <f t="shared" ref="DI22:DX24" si="45">+VLOOKUP(DI$1,ran_dat,$CB22,FALSE)</f>
        <v>3.7941515599999995</v>
      </c>
      <c r="DJ22" s="1">
        <f t="shared" si="45"/>
        <v>4.1345480800000001</v>
      </c>
      <c r="DK22" s="1">
        <f t="shared" si="45"/>
        <v>4.4276183800000002</v>
      </c>
      <c r="DL22" s="1">
        <f t="shared" si="45"/>
        <v>4.1999923900000002</v>
      </c>
      <c r="DM22" s="1">
        <f t="shared" si="45"/>
        <v>3.4339864000000002</v>
      </c>
      <c r="DN22" s="1">
        <f t="shared" si="45"/>
        <v>2.5223350999999994</v>
      </c>
      <c r="DO22" s="1">
        <f t="shared" si="45"/>
        <v>3.5013919399999995</v>
      </c>
      <c r="DP22" s="1">
        <f t="shared" si="45"/>
        <v>4.00557768</v>
      </c>
      <c r="DQ22" s="1">
        <f t="shared" si="45"/>
        <v>5.1774083700000002</v>
      </c>
      <c r="DR22" s="1">
        <f t="shared" si="45"/>
        <v>5.7823087099999997</v>
      </c>
      <c r="DS22" s="1">
        <f t="shared" si="45"/>
        <v>5.6310443999999995</v>
      </c>
      <c r="DT22" s="1">
        <f t="shared" si="45"/>
        <v>4.1108512499999996</v>
      </c>
      <c r="DU22" s="1">
        <f t="shared" si="45"/>
        <v>6.9241559000000006</v>
      </c>
      <c r="DV22" s="1">
        <f t="shared" si="45"/>
        <v>4.9762964800000002</v>
      </c>
      <c r="DW22" s="1">
        <f t="shared" si="45"/>
        <v>5.7062324599999998</v>
      </c>
      <c r="DX22" s="1">
        <f t="shared" si="45"/>
        <v>5.3893107900000006</v>
      </c>
      <c r="DY22" s="1">
        <f t="shared" si="41"/>
        <v>5.0602291599999996</v>
      </c>
      <c r="DZ22" s="1">
        <f t="shared" si="41"/>
        <v>1.1636776099999999</v>
      </c>
      <c r="EA22" s="1">
        <f t="shared" si="41"/>
        <v>4.3331795800000004</v>
      </c>
      <c r="EB22" s="1">
        <f t="shared" si="41"/>
        <v>5.5991701699999998</v>
      </c>
      <c r="EC22" s="1">
        <f t="shared" si="41"/>
        <v>5.1284923700000009</v>
      </c>
      <c r="ED22" s="1">
        <f t="shared" si="41"/>
        <v>4.8853449399999995</v>
      </c>
      <c r="EE22" s="1">
        <f t="shared" si="41"/>
        <v>4.5019780499999991</v>
      </c>
      <c r="EF22" s="1">
        <f t="shared" si="41"/>
        <v>3.2870284000000001</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4"/>
        <v>-3.6058522704694118E-2</v>
      </c>
    </row>
    <row r="23" spans="1:163" ht="18.75" customHeight="1">
      <c r="A23" s="244" t="s">
        <v>219</v>
      </c>
      <c r="B23" s="247"/>
      <c r="C23" s="228">
        <f t="shared" si="5"/>
        <v>-0.99</v>
      </c>
      <c r="D23" s="229">
        <v>-1</v>
      </c>
      <c r="E23" s="253">
        <f t="shared" si="6"/>
        <v>-0.10655600865612203</v>
      </c>
      <c r="F23" s="254">
        <f t="shared" si="7"/>
        <v>-0.13500872800183916</v>
      </c>
      <c r="G23" s="253">
        <f t="shared" si="8"/>
        <v>8.189910428147984E-3</v>
      </c>
      <c r="H23" s="254">
        <f t="shared" si="9"/>
        <v>-0.11474591908427001</v>
      </c>
      <c r="I23" s="253">
        <f t="shared" si="10"/>
        <v>-4.1673105104877539E-2</v>
      </c>
      <c r="J23" s="254">
        <f t="shared" si="11"/>
        <v>-0.35716199254963965</v>
      </c>
      <c r="K23" s="253">
        <f t="shared" si="12"/>
        <v>0.28902891982479395</v>
      </c>
      <c r="L23" s="254">
        <f t="shared" si="13"/>
        <v>-0.33070202492967149</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-4.4279108679579626E-2</v>
      </c>
      <c r="V23" s="258">
        <f t="shared" si="16"/>
        <v>-4.4279108679579626E-2</v>
      </c>
      <c r="W23" s="253">
        <f t="shared" si="38"/>
        <v>1.1111245317476066</v>
      </c>
      <c r="X23" s="258">
        <f t="shared" si="17"/>
        <v>1.1111245317476066</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4</v>
      </c>
      <c r="AQ23" s="28">
        <f>VLOOKUP($A23,historia!$A$5:$CM$24,+HLOOKUP(AQ$2,historia!$A$3:$EC$4,2,FALSE),FALSE)</f>
        <v>4</v>
      </c>
      <c r="AR23" s="28">
        <f>VLOOKUP($A23,historia!$A$5:$CM$24,+HLOOKUP(AR$2,historia!$A$3:$EC$4,2,FALSE),FALSE)</f>
        <v>4</v>
      </c>
      <c r="AS23" s="28">
        <f>VLOOKUP($A23,historia!$A$5:$CM$24,+HLOOKUP(AS$2,historia!$A$3:$EC$4,2,FALSE),FALSE)</f>
        <v>4</v>
      </c>
      <c r="AT23" s="58">
        <f>VLOOKUP($A23,historia!$A$5:$CM$24,+HLOOKUP(AT$2,historia!$A$3:$EC$4,2,FALSE),FALSE)</f>
        <v>4</v>
      </c>
      <c r="AU23" s="58">
        <f>VLOOKUP($A23,historia!$A$5:$CM$24,+HLOOKUP(AU$2,historia!$A$3:$EC$4,2,FALSE),FALSE)</f>
        <v>4</v>
      </c>
      <c r="AV23" s="58">
        <f>VLOOKUP($A23,historia!$A$5:$CM$24,+HLOOKUP(AV$2,historia!$A$3:$EC$4,2,FALSE),FALSE)</f>
        <v>4</v>
      </c>
      <c r="AW23" s="58">
        <f>VLOOKUP($A23,historia!$A$5:$DD$24,+HLOOKUP(AW$2,historia!$A$3:$EC$4,2,FALSE),FALSE)</f>
        <v>4</v>
      </c>
      <c r="AX23" s="58">
        <f>VLOOKUP($A23,historia!$A$5:$DD$24,+HLOOKUP(AX$2,historia!$A$3:$EC$4,2,FALSE),FALSE)</f>
        <v>4</v>
      </c>
      <c r="AY23" s="58">
        <f>VLOOKUP($A23,historia!$A$5:$DD$24,+HLOOKUP(AY$2,historia!$A$3:$EC$4,2,FALSE),FALSE)</f>
        <v>4</v>
      </c>
      <c r="AZ23" s="58">
        <f>VLOOKUP($A23,historia!$A$5:$DG$24,+HLOOKUP(AZ$2,historia!$A$3:$EC$4,2,FALSE),FALSE)</f>
        <v>4</v>
      </c>
      <c r="BA23" s="58">
        <f>VLOOKUP($A23,historia!$A$5:$DG$24,+HLOOKUP(BA$2,historia!$A$3:$EC$4,2,FALSE),FALSE)</f>
        <v>4</v>
      </c>
      <c r="BB23" s="58"/>
      <c r="BC23" s="286">
        <v>4</v>
      </c>
      <c r="BD23" t="str">
        <f t="shared" si="20"/>
        <v>Vino y Mosto</v>
      </c>
      <c r="BE23">
        <f>+datos!AM1</f>
        <v>39</v>
      </c>
      <c r="BF23" s="2" t="str">
        <f t="shared" si="4"/>
        <v>$/l</v>
      </c>
      <c r="BG23" s="2">
        <f t="shared" si="4"/>
        <v>343.58299999999997</v>
      </c>
      <c r="BH23" s="2">
        <f t="shared" si="4"/>
        <v>384.56020000000001</v>
      </c>
      <c r="BI23" s="2">
        <f t="shared" si="4"/>
        <v>358.52380000000005</v>
      </c>
      <c r="BK23">
        <f>+datos!CP1</f>
        <v>94</v>
      </c>
      <c r="BL23" s="2">
        <f t="shared" si="21"/>
        <v>13536.988848693409</v>
      </c>
      <c r="BM23" s="2">
        <f t="shared" si="21"/>
        <v>13427.022735175615</v>
      </c>
      <c r="BN23" s="2">
        <f t="shared" si="21"/>
        <v>10501.695222271172</v>
      </c>
      <c r="BP23" s="1">
        <f>+datos!EF1</f>
        <v>136</v>
      </c>
      <c r="BQ23" s="1">
        <f t="shared" si="22"/>
        <v>196220</v>
      </c>
      <c r="BR23" s="1">
        <f t="shared" si="22"/>
        <v>199946</v>
      </c>
      <c r="BT23" s="1">
        <f>+datos!GB1</f>
        <v>184</v>
      </c>
      <c r="BU23" s="1">
        <f t="shared" si="23"/>
        <v>19908335</v>
      </c>
      <c r="BV23" s="1">
        <f t="shared" si="23"/>
        <v>19189740</v>
      </c>
      <c r="BX23" s="1">
        <f>+datos!JU1</f>
        <v>281</v>
      </c>
      <c r="BY23" s="1">
        <f t="shared" si="39"/>
        <v>949.88509375000024</v>
      </c>
      <c r="BZ23" s="1">
        <f t="shared" si="40"/>
        <v>993.89382650999983</v>
      </c>
      <c r="CB23" s="1">
        <f>+datos!KZ1</f>
        <v>312</v>
      </c>
      <c r="CC23" s="2">
        <f t="shared" si="24"/>
        <v>42.817895140000012</v>
      </c>
      <c r="CD23" s="2">
        <f t="shared" si="25"/>
        <v>20.282031920000001</v>
      </c>
      <c r="CF23" s="1">
        <f>+datos!IQ1</f>
        <v>251</v>
      </c>
      <c r="CG23" s="2">
        <f t="shared" si="26"/>
        <v>16.079999999999998</v>
      </c>
      <c r="CH23" s="2">
        <f t="shared" si="27"/>
        <v>16.3</v>
      </c>
      <c r="CJ23" s="1">
        <f t="shared" si="43"/>
        <v>78.732425000000021</v>
      </c>
      <c r="CK23" s="1">
        <f t="shared" si="43"/>
        <v>78.044882909999998</v>
      </c>
      <c r="CL23" s="1">
        <f t="shared" si="43"/>
        <v>79.565238250000007</v>
      </c>
      <c r="CM23" s="1">
        <f t="shared" si="43"/>
        <v>103.29015631000003</v>
      </c>
      <c r="CN23" s="1">
        <f t="shared" si="43"/>
        <v>82.138745600000007</v>
      </c>
      <c r="CO23" s="1">
        <f t="shared" si="43"/>
        <v>101.39273792999998</v>
      </c>
      <c r="CP23" s="1">
        <f t="shared" si="43"/>
        <v>71.170798900000008</v>
      </c>
      <c r="CQ23" s="1">
        <f t="shared" si="43"/>
        <v>88.994061629999976</v>
      </c>
      <c r="CR23" s="1">
        <f t="shared" si="43"/>
        <v>77.155977009999987</v>
      </c>
      <c r="CS23" s="1">
        <f t="shared" si="43"/>
        <v>74.722979570000021</v>
      </c>
      <c r="CT23" s="1">
        <f t="shared" si="43"/>
        <v>63.754065359999977</v>
      </c>
      <c r="CU23" s="1">
        <f t="shared" si="43"/>
        <v>50.923025279999997</v>
      </c>
      <c r="CV23" s="1">
        <f t="shared" si="43"/>
        <v>85.381089520000018</v>
      </c>
      <c r="CW23" s="1">
        <f t="shared" si="43"/>
        <v>87.09478919</v>
      </c>
      <c r="CX23" s="1">
        <f t="shared" si="43"/>
        <v>88.790830600000021</v>
      </c>
      <c r="CY23" s="1">
        <f t="shared" si="43"/>
        <v>106.11166329999998</v>
      </c>
      <c r="CZ23" s="1">
        <f t="shared" si="44"/>
        <v>99.074693340000039</v>
      </c>
      <c r="DA23" s="1">
        <f t="shared" si="44"/>
        <v>115.95052356999999</v>
      </c>
      <c r="DB23" s="1">
        <f t="shared" si="44"/>
        <v>55.887516779999999</v>
      </c>
      <c r="DC23" s="1">
        <f t="shared" si="44"/>
        <v>84.428757199999993</v>
      </c>
      <c r="DD23" s="1">
        <f t="shared" si="44"/>
        <v>70.799436420000006</v>
      </c>
      <c r="DE23" s="1">
        <f t="shared" si="44"/>
        <v>83.547570889999989</v>
      </c>
      <c r="DF23" s="1">
        <f t="shared" si="44"/>
        <v>59.429446169999991</v>
      </c>
      <c r="DG23" s="1">
        <f t="shared" si="44"/>
        <v>57.397509530000008</v>
      </c>
      <c r="DI23" s="1">
        <f t="shared" si="45"/>
        <v>2.0960773500000003</v>
      </c>
      <c r="DJ23" s="1">
        <f t="shared" si="45"/>
        <v>4.0370959900000001</v>
      </c>
      <c r="DK23" s="1">
        <f t="shared" si="45"/>
        <v>5.8187882499999999</v>
      </c>
      <c r="DL23" s="1">
        <f t="shared" si="45"/>
        <v>6.2238594599999999</v>
      </c>
      <c r="DM23" s="1">
        <f t="shared" si="45"/>
        <v>3.3465065500000004</v>
      </c>
      <c r="DN23" s="1">
        <f t="shared" si="45"/>
        <v>3.10878063</v>
      </c>
      <c r="DO23" s="1">
        <f t="shared" si="45"/>
        <v>5.0584831100000001</v>
      </c>
      <c r="DP23" s="1">
        <f t="shared" si="45"/>
        <v>4.0554375800000004</v>
      </c>
      <c r="DQ23" s="1">
        <f t="shared" si="45"/>
        <v>3.476448889999999</v>
      </c>
      <c r="DR23" s="1">
        <f t="shared" si="45"/>
        <v>3.23844815</v>
      </c>
      <c r="DS23" s="1">
        <f t="shared" si="45"/>
        <v>1.94679845</v>
      </c>
      <c r="DT23" s="1">
        <f t="shared" si="45"/>
        <v>0.41117072999999998</v>
      </c>
      <c r="DU23" s="1">
        <f t="shared" si="45"/>
        <v>1.6918772199999998</v>
      </c>
      <c r="DV23" s="1">
        <f t="shared" si="45"/>
        <v>4.1008112300000006</v>
      </c>
      <c r="DW23" s="1">
        <f t="shared" si="45"/>
        <v>2.9628047099999995</v>
      </c>
      <c r="DX23" s="1">
        <f t="shared" si="45"/>
        <v>2.4415022799999999</v>
      </c>
      <c r="DY23" s="1">
        <f t="shared" si="41"/>
        <v>2.4186424700000004</v>
      </c>
      <c r="DZ23" s="1">
        <f t="shared" si="41"/>
        <v>2.3161338599999999</v>
      </c>
      <c r="EA23" s="1">
        <f t="shared" si="41"/>
        <v>0.34545517000000003</v>
      </c>
      <c r="EB23" s="1">
        <f t="shared" si="41"/>
        <v>1.3068112300000001</v>
      </c>
      <c r="EC23" s="1">
        <f t="shared" si="41"/>
        <v>1.01985657</v>
      </c>
      <c r="ED23" s="1">
        <f t="shared" si="41"/>
        <v>0.49471243999999998</v>
      </c>
      <c r="EE23" s="1">
        <f t="shared" si="41"/>
        <v>0.76659119999999992</v>
      </c>
      <c r="EF23" s="1">
        <f t="shared" si="41"/>
        <v>0.41683354000000006</v>
      </c>
      <c r="EH23" s="14">
        <f t="shared" si="46"/>
        <v>16.079999999999998</v>
      </c>
      <c r="EI23" s="14">
        <f t="shared" si="46"/>
        <v>16.079999999999998</v>
      </c>
      <c r="EJ23" s="1">
        <f t="shared" si="46"/>
        <v>16.079999999999998</v>
      </c>
      <c r="EK23" s="1">
        <f t="shared" si="46"/>
        <v>16.079999999999998</v>
      </c>
      <c r="EL23" s="1">
        <f t="shared" si="46"/>
        <v>16.079999999999998</v>
      </c>
      <c r="EM23" s="1">
        <f t="shared" si="46"/>
        <v>16.079999999999998</v>
      </c>
      <c r="EN23" s="1">
        <f t="shared" si="46"/>
        <v>16.079999999999998</v>
      </c>
      <c r="EO23" s="1">
        <f t="shared" si="46"/>
        <v>16.079999999999998</v>
      </c>
      <c r="EP23" s="1">
        <f t="shared" si="46"/>
        <v>16.079999999999998</v>
      </c>
      <c r="EQ23" s="1">
        <f t="shared" si="46"/>
        <v>16.079999999999998</v>
      </c>
      <c r="ER23" s="1">
        <f t="shared" si="46"/>
        <v>16.079999999999998</v>
      </c>
      <c r="ES23" s="1">
        <f t="shared" si="46"/>
        <v>16.079999999999998</v>
      </c>
      <c r="ET23" s="1">
        <f t="shared" si="46"/>
        <v>16.3</v>
      </c>
      <c r="EU23" s="1">
        <f t="shared" si="46"/>
        <v>16.3</v>
      </c>
      <c r="EV23" s="1">
        <f t="shared" si="46"/>
        <v>16.3</v>
      </c>
      <c r="EW23" s="1">
        <f t="shared" si="46"/>
        <v>16.3</v>
      </c>
      <c r="EX23" s="1">
        <f t="shared" si="42"/>
        <v>16.3</v>
      </c>
      <c r="EY23" s="1">
        <f t="shared" si="42"/>
        <v>16.3</v>
      </c>
      <c r="EZ23" s="1">
        <f t="shared" si="42"/>
        <v>16.3</v>
      </c>
      <c r="FA23" s="1">
        <f t="shared" si="42"/>
        <v>16.3</v>
      </c>
      <c r="FB23" s="1">
        <f t="shared" si="42"/>
        <v>16.3</v>
      </c>
      <c r="FC23" s="1">
        <f t="shared" si="42"/>
        <v>16.3</v>
      </c>
      <c r="FD23" s="1">
        <f t="shared" si="42"/>
        <v>16.3</v>
      </c>
      <c r="FE23" s="1">
        <f t="shared" si="42"/>
        <v>16.3</v>
      </c>
      <c r="FG23" s="162">
        <f t="shared" si="34"/>
        <v>-0.33070202492967149</v>
      </c>
    </row>
    <row r="24" spans="1:163" ht="18.75" customHeight="1">
      <c r="A24" s="243" t="s">
        <v>39</v>
      </c>
      <c r="B24" s="246"/>
      <c r="C24" s="156">
        <f t="shared" si="5"/>
        <v>-0.65999999999999992</v>
      </c>
      <c r="D24" s="198">
        <v>-3</v>
      </c>
      <c r="E24" s="248">
        <f t="shared" si="6"/>
        <v>-2.5641025641025661E-2</v>
      </c>
      <c r="F24" s="249">
        <f t="shared" si="7"/>
        <v>-5.4093744986742798E-2</v>
      </c>
      <c r="G24" s="248">
        <f t="shared" si="8"/>
        <v>2.1300611851488682E-2</v>
      </c>
      <c r="H24" s="249">
        <f t="shared" si="9"/>
        <v>-4.6941637492514343E-2</v>
      </c>
      <c r="I24" s="248">
        <f t="shared" si="10"/>
        <v>0.1515151515151516</v>
      </c>
      <c r="J24" s="249">
        <f t="shared" si="11"/>
        <v>-0.16397373592961051</v>
      </c>
      <c r="K24" s="248">
        <f t="shared" si="12"/>
        <v>0.36855792183938729</v>
      </c>
      <c r="L24" s="249">
        <f t="shared" si="13"/>
        <v>-0.21704277032423569</v>
      </c>
      <c r="M24" s="250"/>
      <c r="N24" s="24">
        <v>1</v>
      </c>
      <c r="O24" s="248">
        <f t="shared" si="35"/>
        <v>4.7599193940657258E-3</v>
      </c>
      <c r="P24" s="251">
        <f t="shared" si="36"/>
        <v>4.7599193940657258E-3</v>
      </c>
      <c r="Q24" s="248">
        <f t="shared" si="14"/>
        <v>-9.8803060875634396E-2</v>
      </c>
      <c r="R24" s="251">
        <f t="shared" si="37"/>
        <v>-9.8803060875634396E-2</v>
      </c>
      <c r="S24" s="250"/>
      <c r="T24" s="24">
        <v>0</v>
      </c>
      <c r="U24" s="248">
        <f t="shared" si="15"/>
        <v>7.718471928668813E-2</v>
      </c>
      <c r="V24" s="252">
        <f t="shared" si="16"/>
        <v>7.718471928668813E-2</v>
      </c>
      <c r="W24" s="248">
        <f t="shared" si="38"/>
        <v>6.0506006676158686E-2</v>
      </c>
      <c r="X24" s="258">
        <f t="shared" si="17"/>
        <v>6.0506006676158686E-2</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VLOOKUP($A24,historia!$A$5:$DD$24,+HLOOKUP(AW$2,historia!$A$3:$EC$4,2,FALSE),FALSE)</f>
        <v>4</v>
      </c>
      <c r="AX24" s="58">
        <f>VLOOKUP($A24,historia!$A$5:$DD$24,+HLOOKUP(AX$2,historia!$A$3:$EC$4,2,FALSE),FALSE)</f>
        <v>4</v>
      </c>
      <c r="AY24" s="58">
        <f>VLOOKUP($A24,historia!$A$5:$DD$24,+HLOOKUP(AY$2,historia!$A$3:$EC$4,2,FALSE),FALSE)</f>
        <v>4</v>
      </c>
      <c r="AZ24" s="58">
        <f>VLOOKUP($A24,historia!$A$5:$DG$24,+HLOOKUP(AZ$2,historia!$A$3:$EC$4,2,FALSE),FALSE)</f>
        <v>4</v>
      </c>
      <c r="BA24" s="58">
        <f>VLOOKUP($A24,historia!$A$5:$DG$24,+HLOOKUP(BA$2,historia!$A$3:$EC$4,2,FALSE),FALSE)</f>
        <v>4</v>
      </c>
      <c r="BB24" s="58"/>
      <c r="BC24" s="286">
        <v>4</v>
      </c>
      <c r="BD24" t="str">
        <f t="shared" si="20"/>
        <v>Yerba Mate</v>
      </c>
      <c r="BE24">
        <f>+datos!AG1</f>
        <v>33</v>
      </c>
      <c r="BF24" s="2" t="str">
        <f t="shared" si="4"/>
        <v>$/t</v>
      </c>
      <c r="BG24" s="2">
        <f t="shared" si="4"/>
        <v>190000</v>
      </c>
      <c r="BH24" s="2">
        <f t="shared" si="4"/>
        <v>195000</v>
      </c>
      <c r="BI24" s="2">
        <f t="shared" si="4"/>
        <v>165000</v>
      </c>
      <c r="BK24">
        <f>+datos!CY1</f>
        <v>103</v>
      </c>
      <c r="BL24" s="2">
        <f t="shared" si="21"/>
        <v>12163.321313427909</v>
      </c>
      <c r="BM24" s="2">
        <f t="shared" si="21"/>
        <v>11909.638721724985</v>
      </c>
      <c r="BN24" s="2">
        <f t="shared" si="21"/>
        <v>8887.6920145842287</v>
      </c>
      <c r="BP24" s="1">
        <f>+datos!ED1</f>
        <v>134</v>
      </c>
      <c r="BQ24" s="1">
        <f t="shared" si="22"/>
        <v>231352</v>
      </c>
      <c r="BR24" s="1">
        <f t="shared" si="22"/>
        <v>230256</v>
      </c>
      <c r="BT24" s="1">
        <f>+datos!FZ1</f>
        <v>182</v>
      </c>
      <c r="BU24" s="1">
        <f t="shared" si="23"/>
        <v>888337.76</v>
      </c>
      <c r="BV24" s="1">
        <f t="shared" si="23"/>
        <v>985731</v>
      </c>
      <c r="BX24" s="1">
        <f>+datos!KD1</f>
        <v>290</v>
      </c>
      <c r="BY24" s="1">
        <f t="shared" si="39"/>
        <v>127.32768464999999</v>
      </c>
      <c r="BZ24" s="1">
        <f t="shared" si="40"/>
        <v>118.20413191</v>
      </c>
      <c r="CB24" s="1">
        <f>+datos!LI1</f>
        <v>321</v>
      </c>
      <c r="CC24" s="2">
        <f t="shared" si="24"/>
        <v>23.43682909</v>
      </c>
      <c r="CD24" s="2">
        <f t="shared" si="25"/>
        <v>22.09966652</v>
      </c>
      <c r="CF24" s="1">
        <f>+datos!IP1</f>
        <v>250</v>
      </c>
      <c r="CG24" s="2">
        <f t="shared" si="26"/>
        <v>5.7424738987207355</v>
      </c>
      <c r="CH24" s="2">
        <f t="shared" si="27"/>
        <v>5.5693606783423002</v>
      </c>
      <c r="CJ24" s="1">
        <f t="shared" si="43"/>
        <v>11.742414109999999</v>
      </c>
      <c r="CK24" s="1">
        <f t="shared" si="43"/>
        <v>9.2986503200000001</v>
      </c>
      <c r="CL24" s="1">
        <f t="shared" si="43"/>
        <v>19.294760099999998</v>
      </c>
      <c r="CM24" s="1">
        <f t="shared" si="43"/>
        <v>12.267837869999999</v>
      </c>
      <c r="CN24" s="1">
        <f t="shared" si="43"/>
        <v>8.5848558799999992</v>
      </c>
      <c r="CO24" s="1">
        <f t="shared" si="43"/>
        <v>12.502816449999999</v>
      </c>
      <c r="CP24" s="1">
        <f t="shared" si="43"/>
        <v>10.79513302</v>
      </c>
      <c r="CQ24" s="1">
        <f t="shared" si="43"/>
        <v>10.492918690000002</v>
      </c>
      <c r="CR24" s="1">
        <f t="shared" si="43"/>
        <v>7.4906505000000001</v>
      </c>
      <c r="CS24" s="1">
        <f t="shared" si="43"/>
        <v>7.8719914600000003</v>
      </c>
      <c r="CT24" s="1">
        <f t="shared" si="43"/>
        <v>9.8166064800000008</v>
      </c>
      <c r="CU24" s="1">
        <f t="shared" si="43"/>
        <v>7.1690497699999991</v>
      </c>
      <c r="CV24" s="1">
        <f t="shared" si="43"/>
        <v>10.805856030000001</v>
      </c>
      <c r="CW24" s="1">
        <f t="shared" si="43"/>
        <v>10.476429469999998</v>
      </c>
      <c r="CX24" s="1">
        <f t="shared" si="43"/>
        <v>11.361751129999998</v>
      </c>
      <c r="CY24" s="1">
        <f t="shared" si="43"/>
        <v>10.05873476</v>
      </c>
      <c r="CZ24" s="1">
        <f t="shared" si="44"/>
        <v>9.4659040999999995</v>
      </c>
      <c r="DA24" s="1">
        <f t="shared" si="44"/>
        <v>8.3006057400000017</v>
      </c>
      <c r="DB24" s="1">
        <f t="shared" si="44"/>
        <v>11.077079630000002</v>
      </c>
      <c r="DC24" s="1">
        <f t="shared" si="44"/>
        <v>7.2906957700000001</v>
      </c>
      <c r="DD24" s="1">
        <f t="shared" si="44"/>
        <v>8.852789640000001</v>
      </c>
      <c r="DE24" s="1">
        <f t="shared" si="44"/>
        <v>12.408222910000001</v>
      </c>
      <c r="DF24" s="1">
        <f t="shared" si="44"/>
        <v>8.8663402400000013</v>
      </c>
      <c r="DG24" s="1">
        <f t="shared" si="44"/>
        <v>9.2397224899999983</v>
      </c>
      <c r="DI24" s="1">
        <f t="shared" si="45"/>
        <v>1.20972141</v>
      </c>
      <c r="DJ24" s="1">
        <f t="shared" si="45"/>
        <v>1.0549183800000002</v>
      </c>
      <c r="DK24" s="1">
        <f t="shared" si="45"/>
        <v>1.9397561100000003</v>
      </c>
      <c r="DL24" s="1">
        <f t="shared" si="45"/>
        <v>2.1093840299999997</v>
      </c>
      <c r="DM24" s="1">
        <f t="shared" si="45"/>
        <v>1.7438363500000003</v>
      </c>
      <c r="DN24" s="1">
        <f t="shared" si="45"/>
        <v>2.3219247899999997</v>
      </c>
      <c r="DO24" s="1">
        <f t="shared" si="45"/>
        <v>1.6709123100000001</v>
      </c>
      <c r="DP24" s="1">
        <f t="shared" si="45"/>
        <v>3.5033770500000001</v>
      </c>
      <c r="DQ24" s="1">
        <f t="shared" si="45"/>
        <v>2.2730154199999997</v>
      </c>
      <c r="DR24" s="1">
        <f t="shared" si="45"/>
        <v>2.4041640299999996</v>
      </c>
      <c r="DS24" s="1">
        <f t="shared" si="45"/>
        <v>2.0218665100000002</v>
      </c>
      <c r="DT24" s="1">
        <f t="shared" si="45"/>
        <v>1.1839526999999999</v>
      </c>
      <c r="DU24" s="1">
        <f t="shared" si="45"/>
        <v>1.1744757299999999</v>
      </c>
      <c r="DV24" s="1">
        <f t="shared" si="45"/>
        <v>2.1750064099999999</v>
      </c>
      <c r="DW24" s="1">
        <f t="shared" si="45"/>
        <v>2.6101839400000002</v>
      </c>
      <c r="DX24" s="1">
        <f t="shared" si="45"/>
        <v>1.2494588400000002</v>
      </c>
      <c r="DY24" s="1">
        <f t="shared" si="41"/>
        <v>0.60028256999999996</v>
      </c>
      <c r="DZ24" s="1">
        <f t="shared" si="41"/>
        <v>1.7316709800000001</v>
      </c>
      <c r="EA24" s="1">
        <f t="shared" si="41"/>
        <v>1.1554743999999999</v>
      </c>
      <c r="EB24" s="1">
        <f t="shared" si="41"/>
        <v>1.50586095</v>
      </c>
      <c r="EC24" s="1">
        <f t="shared" si="41"/>
        <v>3.2398820599999998</v>
      </c>
      <c r="ED24" s="1">
        <f t="shared" si="41"/>
        <v>3.1775986299999999</v>
      </c>
      <c r="EE24" s="1">
        <f t="shared" si="41"/>
        <v>2.4176205400000002</v>
      </c>
      <c r="EF24" s="1">
        <f t="shared" si="41"/>
        <v>1.0621514699999999</v>
      </c>
      <c r="EH24" s="14">
        <f t="shared" si="46"/>
        <v>5.7424738987207355</v>
      </c>
      <c r="EI24" s="14">
        <f t="shared" si="46"/>
        <v>5.7424738987207355</v>
      </c>
      <c r="EJ24" s="1">
        <f t="shared" si="46"/>
        <v>5.7424738987207355</v>
      </c>
      <c r="EK24" s="1">
        <f t="shared" si="46"/>
        <v>5.7424738987207355</v>
      </c>
      <c r="EL24" s="1">
        <f t="shared" si="46"/>
        <v>5.7424738987207355</v>
      </c>
      <c r="EM24" s="1">
        <f t="shared" si="46"/>
        <v>5.7424738987207355</v>
      </c>
      <c r="EN24" s="1">
        <f t="shared" si="46"/>
        <v>5.7424738987207355</v>
      </c>
      <c r="EO24" s="1">
        <f t="shared" si="46"/>
        <v>5.7424738987207355</v>
      </c>
      <c r="EP24" s="1">
        <f t="shared" si="46"/>
        <v>5.7424738987207355</v>
      </c>
      <c r="EQ24" s="1">
        <f t="shared" si="46"/>
        <v>5.7424738987207355</v>
      </c>
      <c r="ER24" s="1">
        <f t="shared" si="46"/>
        <v>5.7424738987207355</v>
      </c>
      <c r="ES24" s="1">
        <f t="shared" si="46"/>
        <v>5.7424738987207355</v>
      </c>
      <c r="ET24" s="1">
        <f t="shared" si="46"/>
        <v>5.5693606783423002</v>
      </c>
      <c r="EU24" s="1">
        <f t="shared" si="46"/>
        <v>5.5693606783423002</v>
      </c>
      <c r="EV24" s="1">
        <f t="shared" si="46"/>
        <v>5.5693606783423002</v>
      </c>
      <c r="EW24" s="1">
        <f t="shared" si="46"/>
        <v>5.5693606783423002</v>
      </c>
      <c r="EX24" s="1">
        <f t="shared" si="42"/>
        <v>5.5693606783423002</v>
      </c>
      <c r="EY24" s="1">
        <f t="shared" si="42"/>
        <v>5.5693606783423002</v>
      </c>
      <c r="EZ24" s="1">
        <f t="shared" si="42"/>
        <v>5.5693606783423002</v>
      </c>
      <c r="FA24" s="1">
        <f t="shared" si="42"/>
        <v>5.5693606783423002</v>
      </c>
      <c r="FB24" s="1">
        <f t="shared" si="42"/>
        <v>5.5693606783423002</v>
      </c>
      <c r="FC24" s="1">
        <f t="shared" si="42"/>
        <v>5.5693606783423002</v>
      </c>
      <c r="FD24" s="1">
        <f t="shared" si="42"/>
        <v>5.5693606783423002</v>
      </c>
      <c r="FE24" s="1">
        <f t="shared" si="42"/>
        <v>5.5693606783423002</v>
      </c>
      <c r="FG24" s="162">
        <f t="shared" si="34"/>
        <v>-0.21704277032423569</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18"/>
        <v/>
      </c>
      <c r="Z25" s="194"/>
      <c r="AA25" s="30"/>
      <c r="AB25" s="57"/>
      <c r="AT25" s="58"/>
      <c r="AU25" s="58"/>
      <c r="AV25" s="58"/>
      <c r="AW25" s="58"/>
      <c r="AX25" s="58"/>
      <c r="AY25" s="58"/>
      <c r="AZ25" s="58"/>
      <c r="BA25" s="58"/>
      <c r="BB25" s="58"/>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G26" s="12"/>
      <c r="K26" s="12"/>
      <c r="O26" s="12"/>
      <c r="Y26" s="386"/>
      <c r="AB26" s="57"/>
      <c r="BI26" s="2"/>
      <c r="BU26" s="1">
        <f>BU20-BV20</f>
        <v>24238</v>
      </c>
      <c r="BY26" s="1">
        <f>BY20-BZ20</f>
        <v>43.014820610000129</v>
      </c>
    </row>
    <row r="27" spans="1:163" ht="18.75" customHeight="1">
      <c r="I27" s="12">
        <f>+AVERAGEIF(I6:I24,"&lt;211%")</f>
        <v>0.27171118231030339</v>
      </c>
      <c r="K27" s="177">
        <f>+SUBTOTAL(101,K6:K21)</f>
        <v>0.38367540332814692</v>
      </c>
      <c r="V27" t="s">
        <v>167</v>
      </c>
      <c r="X27" s="162"/>
      <c r="BQ27" s="1">
        <f>+SUM(BQ6:BQ24)</f>
        <v>115764630</v>
      </c>
      <c r="BR27" s="1">
        <f>+SUM(BR6:BR24)</f>
        <v>116038548</v>
      </c>
      <c r="BU27" s="1">
        <f>+SUM(BU6:BU24)</f>
        <v>188471127.1615819</v>
      </c>
      <c r="BV27" s="1">
        <f>+SUM(BV6:BV24)</f>
        <v>161652355.14095622</v>
      </c>
      <c r="BY27" s="1">
        <f>+SUM(BY6:BY24)</f>
        <v>58836.482031589992</v>
      </c>
      <c r="BZ27" s="1">
        <f>+SUM(BZ6:BZ24)</f>
        <v>56055.395073759988</v>
      </c>
      <c r="CC27" s="1">
        <f>+SUM(CC6:CC24)</f>
        <v>3199.9353896300004</v>
      </c>
      <c r="CD27" s="1">
        <f>+SUM(CD6:CD24)</f>
        <v>3659.5691461300003</v>
      </c>
      <c r="FG27" s="167">
        <f>+COUNTIF(FG6:FG24,"&gt;0")</f>
        <v>5</v>
      </c>
    </row>
    <row r="28" spans="1:163" ht="18.75" customHeight="1">
      <c r="C28" s="156">
        <v>-1</v>
      </c>
      <c r="E28" s="167">
        <f>+COUNTIF($I$6:$I$24,"&lt;1,69")</f>
        <v>19</v>
      </c>
      <c r="F28" s="29">
        <v>-1</v>
      </c>
      <c r="I28" s="167">
        <f>+COUNTIF($I$6:$I$24,"&lt;1,69")</f>
        <v>19</v>
      </c>
      <c r="J28" s="29">
        <v>-1</v>
      </c>
      <c r="K28">
        <f>+COUNTIF($L$6:$L$24,"&lt;0")</f>
        <v>14</v>
      </c>
      <c r="L28" s="29">
        <v>-1</v>
      </c>
      <c r="O28">
        <f>+COUNTIF($P$6:$P$24,"&lt;0")</f>
        <v>9</v>
      </c>
      <c r="P28" s="262">
        <v>-1</v>
      </c>
      <c r="Q28">
        <f>+COUNTIF($R$6:$R$24,"&lt;0")</f>
        <v>7</v>
      </c>
      <c r="R28" s="262">
        <v>-1</v>
      </c>
      <c r="T28" s="57">
        <f>+COUNTIF($U$6:$U$24,"&lt;0")</f>
        <v>7</v>
      </c>
      <c r="U28" s="29">
        <v>-1</v>
      </c>
      <c r="BR28" t="s">
        <v>491</v>
      </c>
      <c r="BU28" s="167">
        <f>+SUMIFS(BU6:BU24,BC6:BC24,5)+SUMIFS(BU6:BU24,BC6:BC24,4)</f>
        <v>28247619.760000002</v>
      </c>
      <c r="BY28" s="10">
        <f>+BY27/BZ27-1</f>
        <v>4.9613189848551453E-2</v>
      </c>
      <c r="CC28" s="10">
        <f>+CC27/CD27-1</f>
        <v>-0.12559777890412682</v>
      </c>
    </row>
    <row r="29" spans="1:163" ht="18.75" customHeight="1">
      <c r="A29" s="11">
        <f>+COUNTIF($C$6:$C$24,C29)</f>
        <v>8</v>
      </c>
      <c r="C29" s="156">
        <v>0</v>
      </c>
      <c r="E29" s="167">
        <f>+COUNTIF($I$6:$I$24,"=1,69")</f>
        <v>0</v>
      </c>
      <c r="F29" s="29">
        <v>0</v>
      </c>
      <c r="I29" s="167">
        <f>+COUNTIF($I$6:$I$24,"=1,69")</f>
        <v>0</v>
      </c>
      <c r="J29" s="29">
        <v>0</v>
      </c>
      <c r="L29" s="29">
        <v>0</v>
      </c>
      <c r="O29">
        <f>+COUNTIF($P$6:$P$24,"=0")</f>
        <v>4</v>
      </c>
      <c r="P29" s="262">
        <v>0</v>
      </c>
      <c r="Q29">
        <f>+COUNTIF($R$6:$R$24,"=0")</f>
        <v>3</v>
      </c>
      <c r="R29" s="262">
        <v>0</v>
      </c>
      <c r="T29" s="57">
        <f>+COUNTIF($U$6:$U$24,"=0")</f>
        <v>0</v>
      </c>
      <c r="U29" s="29">
        <v>0</v>
      </c>
      <c r="BR29" t="s">
        <v>492</v>
      </c>
      <c r="BU29" s="167">
        <f>+SUMIFS(BU6:BU24,BC6:BC24,3)</f>
        <v>8485095.8915819321</v>
      </c>
    </row>
    <row r="30" spans="1:163" ht="18.75" customHeight="1">
      <c r="A30" s="11">
        <f>+COUNTIF($C$6:$C$24,"&gt;0")</f>
        <v>1</v>
      </c>
      <c r="C30" s="156">
        <v>1</v>
      </c>
      <c r="E30" s="167">
        <f>+COUNTIF($I$6:$I$24,"&gt;1,69")</f>
        <v>0</v>
      </c>
      <c r="F30" s="29">
        <v>1</v>
      </c>
      <c r="I30" s="167">
        <f>+COUNTIF($I$6:$I$24,"&gt;1,69")</f>
        <v>0</v>
      </c>
      <c r="J30" s="29">
        <v>1</v>
      </c>
      <c r="K30">
        <f>+COUNTIF($L$6:$L$24,"&gt;0")</f>
        <v>5</v>
      </c>
      <c r="L30" s="29">
        <v>1</v>
      </c>
      <c r="O30">
        <f>+COUNTIF($P$6:$P$24,"&gt;0")</f>
        <v>5</v>
      </c>
      <c r="P30" s="262">
        <v>1</v>
      </c>
      <c r="Q30">
        <f>+COUNTIF($R$6:$R$24,"&gt;0")</f>
        <v>9</v>
      </c>
      <c r="R30" s="262">
        <v>1</v>
      </c>
      <c r="T30" s="57">
        <f>+COUNTIF($U$6:$U$24,"&gt;0")</f>
        <v>11</v>
      </c>
      <c r="U30" s="29">
        <v>1</v>
      </c>
      <c r="X30" s="14"/>
      <c r="BR30" t="s">
        <v>493</v>
      </c>
      <c r="BU30" s="167">
        <f>+SUMIFS(BU6:BU24,BC6:BC24,1)+SUMIFS(BU6:BU24,BC6:BC24,2)</f>
        <v>151738411.50999999</v>
      </c>
      <c r="BX30" s="1"/>
    </row>
    <row r="31" spans="1:163" ht="18.75" customHeight="1">
      <c r="K31" s="12"/>
    </row>
    <row r="32" spans="1:163" ht="18.75" customHeight="1">
      <c r="C32" s="157"/>
      <c r="I32" s="14">
        <f>+COUNTIF(I6:I24,"&gt;211%")</f>
        <v>0</v>
      </c>
      <c r="J32" s="14"/>
      <c r="K32" s="14"/>
      <c r="Y32" s="163"/>
    </row>
    <row r="33" spans="1:164" ht="18.75" customHeight="1">
      <c r="C33" s="157"/>
      <c r="I33" s="12">
        <f>+I26/2</f>
        <v>0</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4">
      <iconSet>
        <cfvo type="percent" val="0"/>
        <cfvo type="num" val="0"/>
        <cfvo type="num" val="0" gte="0"/>
      </iconSet>
    </cfRule>
  </conditionalFormatting>
  <conditionalFormatting sqref="C28:C30">
    <cfRule type="iconSet" priority="38">
      <iconSet>
        <cfvo type="percent" val="0"/>
        <cfvo type="num" val="0"/>
        <cfvo type="num" val="0" gte="0"/>
      </iconSet>
    </cfRule>
  </conditionalFormatting>
  <conditionalFormatting sqref="D6:D25">
    <cfRule type="iconSet" priority="43">
      <iconSet>
        <cfvo type="percent" val="0"/>
        <cfvo type="num" val="0"/>
        <cfvo type="num" val="0" gte="0"/>
      </iconSet>
    </cfRule>
  </conditionalFormatting>
  <conditionalFormatting sqref="F6:F16 F19:F25">
    <cfRule type="iconSet" priority="39">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6">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4">
      <iconSet>
        <cfvo type="percent" val="0"/>
        <cfvo type="num" val="0"/>
        <cfvo type="num" val="0" gte="0"/>
      </iconSet>
    </cfRule>
  </conditionalFormatting>
  <conditionalFormatting sqref="J6:J9 J11:J16 J19:J25">
    <cfRule type="iconSet" priority="37">
      <iconSet>
        <cfvo type="percent" val="0"/>
        <cfvo type="num" val="0"/>
        <cfvo type="num" val="0" gte="0"/>
      </iconSet>
    </cfRule>
  </conditionalFormatting>
  <conditionalFormatting sqref="J10">
    <cfRule type="iconSet" priority="35">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5">
      <iconSet>
        <cfvo type="percent" val="0"/>
        <cfvo type="num" val="0"/>
        <cfvo type="num" val="0" gte="0"/>
      </iconSet>
    </cfRule>
  </conditionalFormatting>
  <conditionalFormatting sqref="L10">
    <cfRule type="iconSet" priority="46">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0">
      <iconSet>
        <cfvo type="percent" val="0"/>
        <cfvo type="num" val="0"/>
        <cfvo type="num" val="0" gte="0"/>
      </iconSet>
    </cfRule>
  </conditionalFormatting>
  <conditionalFormatting sqref="N6:N25">
    <cfRule type="iconSet" priority="33">
      <iconSet>
        <cfvo type="percent" val="0"/>
        <cfvo type="num" val="0"/>
        <cfvo type="num" val="0" gte="0"/>
      </iconSet>
    </cfRule>
  </conditionalFormatting>
  <conditionalFormatting sqref="P6:P9 P11:P25">
    <cfRule type="iconSet" priority="41">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5">
      <iconSet>
        <cfvo type="percent" val="0"/>
        <cfvo type="num" val="0"/>
        <cfvo type="num" val="0" gte="0"/>
      </iconSet>
    </cfRule>
  </conditionalFormatting>
  <conditionalFormatting sqref="R6:R15 R17:R25">
    <cfRule type="iconSet" priority="42">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4">
      <iconSet>
        <cfvo type="percent" val="0"/>
        <cfvo type="num" val="0"/>
        <cfvo type="num" val="0" gte="0"/>
      </iconSet>
    </cfRule>
  </conditionalFormatting>
  <conditionalFormatting sqref="S6:S25">
    <cfRule type="iconSet" priority="28">
      <iconSet>
        <cfvo type="percent" val="0"/>
        <cfvo type="num" val="0"/>
        <cfvo type="num" val="0" gte="0"/>
      </iconSet>
    </cfRule>
  </conditionalFormatting>
  <conditionalFormatting sqref="T6:T25">
    <cfRule type="iconSet" priority="32">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1">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7">
      <iconSet>
        <cfvo type="percent" val="0"/>
        <cfvo type="num" val="0"/>
        <cfvo type="num" val="0" gte="0"/>
      </iconSet>
    </cfRule>
  </conditionalFormatting>
  <conditionalFormatting sqref="X25">
    <cfRule type="iconSet" priority="26">
      <iconSet reverse="1">
        <cfvo type="percent" val="0"/>
        <cfvo type="num" val="0"/>
        <cfvo type="num" val="0" gte="0"/>
      </iconSet>
    </cfRule>
  </conditionalFormatting>
  <conditionalFormatting sqref="Z6">
    <cfRule type="iconSet" priority="21">
      <iconSet>
        <cfvo type="percent" val="0"/>
        <cfvo type="num" val="0"/>
        <cfvo type="num" val="0" gte="0"/>
      </iconSet>
    </cfRule>
  </conditionalFormatting>
  <conditionalFormatting sqref="Z7">
    <cfRule type="iconSet" priority="20">
      <iconSet>
        <cfvo type="percent" val="0"/>
        <cfvo type="num" val="0"/>
        <cfvo type="num" val="0" gte="0"/>
      </iconSet>
    </cfRule>
  </conditionalFormatting>
  <conditionalFormatting sqref="Z8 Z12 Z14:Z17 Z21 Z23 Z25">
    <cfRule type="iconSet" priority="29">
      <iconSet>
        <cfvo type="percent" val="0"/>
        <cfvo type="num" val="0"/>
        <cfvo type="num" val="0" gte="0"/>
      </iconSet>
    </cfRule>
  </conditionalFormatting>
  <conditionalFormatting sqref="Z9:Z10">
    <cfRule type="iconSet" priority="23">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299" priority="47">
      <formula>AP6=3</formula>
    </cfRule>
    <cfRule type="expression" dxfId="298" priority="48">
      <formula>AP6=5</formula>
    </cfRule>
    <cfRule type="expression" dxfId="297" priority="49">
      <formula>AP6=4</formula>
    </cfRule>
    <cfRule type="expression" dxfId="296" priority="50">
      <formula>AP6=2</formula>
    </cfRule>
    <cfRule type="expression" dxfId="295" priority="51">
      <formula>AP6=1</formula>
    </cfRule>
    <cfRule type="expression" dxfId="294" priority="52">
      <formula>AP6=0</formula>
    </cfRule>
  </conditionalFormatting>
  <conditionalFormatting sqref="AN6:AN25">
    <cfRule type="expression" dxfId="293" priority="64">
      <formula>BA6=0</formula>
    </cfRule>
    <cfRule type="expression" dxfId="292" priority="59">
      <formula>BA6=3</formula>
    </cfRule>
    <cfRule type="expression" dxfId="291" priority="60">
      <formula>BA6=5</formula>
    </cfRule>
    <cfRule type="expression" dxfId="290" priority="61">
      <formula>BA6=4</formula>
    </cfRule>
    <cfRule type="expression" dxfId="289" priority="62">
      <formula>BA6=2</formula>
    </cfRule>
    <cfRule type="expression" dxfId="288" priority="63">
      <formula>BA6=1</formula>
    </cfRule>
  </conditionalFormatting>
  <conditionalFormatting sqref="AO6:AO25">
    <cfRule type="expression" dxfId="287" priority="53">
      <formula>#REF!=3</formula>
    </cfRule>
    <cfRule type="expression" dxfId="286" priority="54">
      <formula>#REF!=5</formula>
    </cfRule>
    <cfRule type="expression" dxfId="285" priority="55">
      <formula>#REF!=4</formula>
    </cfRule>
    <cfRule type="expression" dxfId="284" priority="57">
      <formula>#REF!=1</formula>
    </cfRule>
    <cfRule type="expression" dxfId="283" priority="58">
      <formula>#REF!=0</formula>
    </cfRule>
    <cfRule type="expression" dxfId="282" priority="56">
      <formula>#REF!=2</formula>
    </cfRule>
  </conditionalFormatting>
  <conditionalFormatting sqref="FG6:FG25 FG27">
    <cfRule type="colorScale" priority="22">
      <colorScale>
        <cfvo type="min"/>
        <cfvo type="percentile" val="50"/>
        <cfvo type="max"/>
        <color rgb="FFF8696B"/>
        <color rgb="FFFFEB84"/>
        <color rgb="FF63BE7B"/>
      </colorScale>
    </cfRule>
  </conditionalFormatting>
  <dataValidations count="1">
    <dataValidation type="list" allowBlank="1" showInputMessage="1" showErrorMessage="1" sqref="A1:B1" xr:uid="{7A3CFD23-80D5-4BF6-86B3-1CB4287B11D4}">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726F21AA-1D94-47B5-B34D-4A048D8D5270}">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0" id="{2ABE19C7-82B8-486C-B665-DEA5605A9F61}">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54C9-CC9D-40FF-8C13-7ABB0F539ED6}">
  <sheetPr>
    <tabColor theme="5" tint="-0.249977111117893"/>
    <pageSetUpPr fitToPage="1"/>
  </sheetPr>
  <dimension ref="A1:FH47"/>
  <sheetViews>
    <sheetView showGridLines="0" zoomScale="70" zoomScaleNormal="70" workbookViewId="0">
      <pane xSplit="4" topLeftCell="E1" activePane="topRight" state="frozen"/>
      <selection pane="topRight" activeCell="AP1" sqref="AP1:BA1048576"/>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2.33203125" style="57" customWidth="1"/>
    <col min="41" max="41" width="3" style="57" customWidth="1"/>
    <col min="42" max="42" width="5" style="28" hidden="1" customWidth="1"/>
    <col min="43" max="43" width="5.5546875" style="28" hidden="1" customWidth="1"/>
    <col min="44" max="44" width="5.33203125" style="28" hidden="1" customWidth="1"/>
    <col min="45" max="45" width="5.6640625" style="28" hidden="1" customWidth="1"/>
    <col min="46" max="46" width="5.33203125" hidden="1" customWidth="1"/>
    <col min="47" max="47" width="5.6640625" hidden="1" customWidth="1"/>
    <col min="48" max="48" width="5" hidden="1" customWidth="1"/>
    <col min="49" max="49" width="4.5546875" hidden="1" customWidth="1"/>
    <col min="50" max="51" width="6.33203125" hidden="1" customWidth="1"/>
    <col min="52" max="52" width="5.33203125" hidden="1" customWidth="1"/>
    <col min="53" max="53" width="5.6640625" hidden="1" customWidth="1"/>
    <col min="54" max="54" width="7.44140625" customWidth="1"/>
    <col min="55" max="55" width="11.6640625" style="141" customWidth="1"/>
    <col min="56" max="56" width="12" customWidth="1"/>
    <col min="57" max="57" width="0.88671875" customWidth="1"/>
    <col min="58" max="58" width="7.88671875" customWidth="1"/>
    <col min="59" max="61" width="8.88671875" bestFit="1"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44140625" bestFit="1" customWidth="1"/>
    <col min="90" max="90" width="6.88671875" bestFit="1" customWidth="1"/>
    <col min="91" max="92" width="7" bestFit="1" customWidth="1"/>
    <col min="93" max="93" width="7.109375" bestFit="1" customWidth="1"/>
    <col min="94" max="94" width="6.6640625" bestFit="1" customWidth="1"/>
    <col min="95" max="95" width="6.88671875" bestFit="1" customWidth="1"/>
    <col min="96" max="96" width="7.44140625" bestFit="1" customWidth="1"/>
    <col min="97" max="97" width="6.6640625" bestFit="1" customWidth="1"/>
    <col min="98" max="98" width="6.109375" bestFit="1" customWidth="1"/>
    <col min="99" max="99" width="7" bestFit="1" customWidth="1"/>
    <col min="100" max="100" width="7.109375" bestFit="1" customWidth="1"/>
    <col min="101" max="101" width="7.44140625" bestFit="1" customWidth="1"/>
    <col min="102" max="102" width="6.88671875" bestFit="1" customWidth="1"/>
    <col min="103" max="103" width="6.5546875" bestFit="1" customWidth="1"/>
    <col min="104" max="104" width="6.88671875" bestFit="1" customWidth="1"/>
    <col min="105" max="105" width="7.109375" bestFit="1" customWidth="1"/>
    <col min="106" max="106" width="6.6640625" bestFit="1" customWidth="1"/>
    <col min="107" max="107" width="6.88671875" bestFit="1" customWidth="1"/>
    <col min="108" max="108" width="7.44140625" bestFit="1" customWidth="1"/>
    <col min="109" max="109" width="6.6640625" bestFit="1" customWidth="1"/>
    <col min="110" max="110" width="6.109375" bestFit="1" customWidth="1"/>
    <col min="111" max="111" width="7" bestFit="1" customWidth="1"/>
    <col min="112" max="112" width="5" customWidth="1"/>
    <col min="113" max="113" width="11" bestFit="1" customWidth="1"/>
    <col min="114" max="114" width="6.44140625" bestFit="1" customWidth="1"/>
    <col min="115" max="115" width="6.88671875" bestFit="1" customWidth="1"/>
    <col min="116" max="116" width="6.44140625" bestFit="1" customWidth="1"/>
    <col min="117" max="117" width="6.88671875" bestFit="1" customWidth="1"/>
    <col min="118" max="118" width="6.109375" bestFit="1" customWidth="1"/>
    <col min="119" max="119" width="6.6640625" bestFit="1" customWidth="1"/>
    <col min="120" max="120" width="6.109375" bestFit="1" customWidth="1"/>
    <col min="121" max="121" width="7.44140625" bestFit="1" customWidth="1"/>
    <col min="122" max="122" width="6.6640625" bestFit="1" customWidth="1"/>
    <col min="123" max="123" width="5.6640625" bestFit="1" customWidth="1"/>
    <col min="124" max="124" width="6.33203125" bestFit="1" customWidth="1"/>
    <col min="125" max="125" width="7.109375" bestFit="1" customWidth="1"/>
    <col min="126" max="126" width="6.44140625" bestFit="1" customWidth="1"/>
    <col min="127" max="127" width="6.88671875" bestFit="1" customWidth="1"/>
    <col min="128" max="128" width="6.44140625" bestFit="1" customWidth="1"/>
    <col min="129" max="129" width="6.88671875" bestFit="1" customWidth="1"/>
    <col min="130" max="130" width="6.109375" bestFit="1" customWidth="1"/>
    <col min="131" max="131" width="6.6640625" bestFit="1" customWidth="1"/>
    <col min="132" max="132" width="6.109375" bestFit="1" customWidth="1"/>
    <col min="133" max="133" width="7.44140625" bestFit="1" customWidth="1"/>
    <col min="134" max="134" width="6.664062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45962</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45962</v>
      </c>
      <c r="BH1" s="3">
        <v>45931</v>
      </c>
      <c r="BI1" s="3">
        <f>+VLOOKUP(BI2,datos!$D:$E,2,FALSE)</f>
        <v>45597</v>
      </c>
      <c r="BL1" s="3">
        <f>+A1</f>
        <v>45962</v>
      </c>
      <c r="BM1" s="3">
        <f>+VLOOKUP(BM2,datos!$D:$E,2,FALSE)</f>
        <v>45931</v>
      </c>
      <c r="BN1" s="3">
        <f>+VLOOKUP(BN2,datos!$D:$E,2,FALSE)</f>
        <v>45597</v>
      </c>
      <c r="BQ1" s="3">
        <f>+A1</f>
        <v>45962</v>
      </c>
      <c r="BR1" s="3">
        <f>+VLOOKUP(BR2,datos!$D:$E,2,FALSE)</f>
        <v>45597</v>
      </c>
      <c r="BU1" s="3">
        <f>+A1</f>
        <v>45962</v>
      </c>
      <c r="BV1" s="3">
        <f>+VLOOKUP(BV2,datos!$D:$E,2,FALSE)</f>
        <v>45597</v>
      </c>
      <c r="BY1" t="s">
        <v>279</v>
      </c>
      <c r="BZ1" t="s">
        <v>280</v>
      </c>
      <c r="CC1" t="s">
        <v>279</v>
      </c>
      <c r="CD1" t="s">
        <v>280</v>
      </c>
      <c r="CG1" t="s">
        <v>282</v>
      </c>
      <c r="CH1" t="s">
        <v>283</v>
      </c>
      <c r="CI1" s="3">
        <f>+A1</f>
        <v>45962</v>
      </c>
      <c r="CJ1" s="3">
        <f>+VLOOKUP(CJ2,datos!$D:$E,2,FALSE)</f>
        <v>45962</v>
      </c>
      <c r="CK1" s="3">
        <f>+VLOOKUP(CK2,datos!$D:$E,2,FALSE)</f>
        <v>45931</v>
      </c>
      <c r="CL1" s="3">
        <f>+VLOOKUP(CL2,datos!$D:$E,2,FALSE)</f>
        <v>45901</v>
      </c>
      <c r="CM1" s="3">
        <f>+VLOOKUP(CM2,datos!$D:$E,2,FALSE)</f>
        <v>45870</v>
      </c>
      <c r="CN1" s="3">
        <f>+VLOOKUP(CN2,datos!$D:$E,2,FALSE)</f>
        <v>45839</v>
      </c>
      <c r="CO1" s="3">
        <f>+VLOOKUP(CO2,datos!$D:$E,2,FALSE)</f>
        <v>45809</v>
      </c>
      <c r="CP1" s="3">
        <f>+VLOOKUP(CP2,datos!$D:$E,2,FALSE)</f>
        <v>45778</v>
      </c>
      <c r="CQ1" s="3">
        <f>+VLOOKUP(CQ2,datos!$D:$E,2,FALSE)</f>
        <v>45748</v>
      </c>
      <c r="CR1" s="3">
        <f>+VLOOKUP(CR2,datos!$D:$E,2,FALSE)</f>
        <v>45717</v>
      </c>
      <c r="CS1" s="3">
        <f>+VLOOKUP(CS2,datos!$D:$E,2,FALSE)</f>
        <v>45689</v>
      </c>
      <c r="CT1" s="3">
        <f>+VLOOKUP(CT2,datos!$D:$E,2,FALSE)</f>
        <v>45658</v>
      </c>
      <c r="CU1" s="3">
        <f>+VLOOKUP(CU2,datos!$D:$E,2,FALSE)</f>
        <v>45627</v>
      </c>
      <c r="CV1" s="3">
        <f>+VLOOKUP(CV2,datos!$D:$E,2,FALSE)</f>
        <v>45597</v>
      </c>
      <c r="CW1" s="3">
        <f>+VLOOKUP(CW2,datos!$D:$E,2,FALSE)</f>
        <v>45566</v>
      </c>
      <c r="CX1" s="3">
        <f>+VLOOKUP(CX2,datos!$D:$E,2,FALSE)</f>
        <v>45536</v>
      </c>
      <c r="CY1" s="3">
        <f>+VLOOKUP(CY2,datos!$D:$E,2,FALSE)</f>
        <v>45505</v>
      </c>
      <c r="CZ1" s="3">
        <f>+VLOOKUP(CZ2,datos!$D:$E,2,FALSE)</f>
        <v>45474</v>
      </c>
      <c r="DA1" s="3">
        <f>+VLOOKUP(DA2,datos!$D:$E,2,FALSE)</f>
        <v>45444</v>
      </c>
      <c r="DB1" s="3">
        <f>+VLOOKUP(DB2,datos!$D:$E,2,FALSE)</f>
        <v>45413</v>
      </c>
      <c r="DC1" s="3">
        <f>+VLOOKUP(DC2,datos!$D:$E,2,FALSE)</f>
        <v>45383</v>
      </c>
      <c r="DD1" s="3">
        <f>+VLOOKUP(DD2,datos!$D:$E,2,FALSE)</f>
        <v>45352</v>
      </c>
      <c r="DE1" s="3">
        <f>+VLOOKUP(DE2,datos!$D:$E,2,FALSE)</f>
        <v>45323</v>
      </c>
      <c r="DF1" s="3">
        <f>+VLOOKUP(DF2,datos!$D:$E,2,FALSE)</f>
        <v>45292</v>
      </c>
      <c r="DG1" s="3">
        <f>+VLOOKUP(DG2,datos!$D:$E,2,FALSE)</f>
        <v>45261</v>
      </c>
      <c r="DI1" s="3">
        <f>+CJ1</f>
        <v>45962</v>
      </c>
      <c r="DJ1" s="3">
        <f>+VLOOKUP(DJ2,datos!$D:$E,2,FALSE)</f>
        <v>45931</v>
      </c>
      <c r="DK1" s="3">
        <f>+VLOOKUP(DK2,datos!$D:$E,2,FALSE)</f>
        <v>45901</v>
      </c>
      <c r="DL1" s="3">
        <f>+VLOOKUP(DL2,datos!$D:$E,2,FALSE)</f>
        <v>45870</v>
      </c>
      <c r="DM1" s="3">
        <f>+VLOOKUP(DM2,datos!$D:$E,2,FALSE)</f>
        <v>45839</v>
      </c>
      <c r="DN1" s="3">
        <f>+VLOOKUP(DN2,datos!$D:$E,2,FALSE)</f>
        <v>45809</v>
      </c>
      <c r="DO1" s="3">
        <f>+VLOOKUP(DO2,datos!$D:$E,2,FALSE)</f>
        <v>45778</v>
      </c>
      <c r="DP1" s="3">
        <f>+VLOOKUP(DP2,datos!$D:$E,2,FALSE)</f>
        <v>45748</v>
      </c>
      <c r="DQ1" s="3">
        <f>+VLOOKUP(DQ2,datos!$D:$E,2,FALSE)</f>
        <v>45717</v>
      </c>
      <c r="DR1" s="3">
        <f>+VLOOKUP(DR2,datos!$D:$E,2,FALSE)</f>
        <v>45689</v>
      </c>
      <c r="DS1" s="3">
        <f>+VLOOKUP(DS2,datos!$D:$E,2,FALSE)</f>
        <v>45658</v>
      </c>
      <c r="DT1" s="3">
        <f>+VLOOKUP(DT2,datos!$D:$E,2,FALSE)</f>
        <v>45627</v>
      </c>
      <c r="DU1" s="3">
        <f>+VLOOKUP(DU2,datos!$D:$E,2,FALSE)</f>
        <v>45597</v>
      </c>
      <c r="DV1" s="3">
        <f>+VLOOKUP(DV2,datos!$D:$E,2,FALSE)</f>
        <v>45566</v>
      </c>
      <c r="DW1" s="3">
        <f>+VLOOKUP(DW2,datos!$D:$E,2,FALSE)</f>
        <v>45536</v>
      </c>
      <c r="DX1" s="3">
        <f>+VLOOKUP(DX2,datos!$D:$E,2,FALSE)</f>
        <v>45505</v>
      </c>
      <c r="DY1" s="3">
        <f>+VLOOKUP(DY2,datos!$D:$E,2,FALSE)</f>
        <v>45474</v>
      </c>
      <c r="DZ1" s="3">
        <f>+VLOOKUP(DZ2,datos!$D:$E,2,FALSE)</f>
        <v>45444</v>
      </c>
      <c r="EA1" s="3">
        <f>+VLOOKUP(EA2,datos!$D:$E,2,FALSE)</f>
        <v>45413</v>
      </c>
      <c r="EB1" s="3">
        <f>+VLOOKUP(EB2,datos!$D:$E,2,FALSE)</f>
        <v>45383</v>
      </c>
      <c r="EC1" s="3">
        <f>+VLOOKUP(EC2,datos!$D:$E,2,FALSE)</f>
        <v>45352</v>
      </c>
      <c r="ED1" s="3">
        <f>+VLOOKUP(ED2,datos!$D:$E,2,FALSE)</f>
        <v>45323</v>
      </c>
      <c r="EE1" s="3">
        <f>+VLOOKUP(EE2,datos!$D:$E,2,FALSE)</f>
        <v>45292</v>
      </c>
      <c r="EF1" s="3">
        <f>+VLOOKUP(EF2,datos!$D:$E,2,FALSE)</f>
        <v>45261</v>
      </c>
      <c r="EH1" s="14">
        <f>+CJ1</f>
        <v>45962</v>
      </c>
      <c r="EI1" s="14">
        <f t="shared" ref="EI1:FE1" si="0">+CK1</f>
        <v>45931</v>
      </c>
      <c r="EJ1" s="3">
        <f t="shared" si="0"/>
        <v>45901</v>
      </c>
      <c r="EK1" s="3">
        <f t="shared" si="0"/>
        <v>45870</v>
      </c>
      <c r="EL1" s="3">
        <f t="shared" si="0"/>
        <v>45839</v>
      </c>
      <c r="EM1" s="3">
        <f t="shared" si="0"/>
        <v>45809</v>
      </c>
      <c r="EN1" s="3">
        <f t="shared" si="0"/>
        <v>45778</v>
      </c>
      <c r="EO1" s="3">
        <f t="shared" si="0"/>
        <v>45748</v>
      </c>
      <c r="EP1" s="3">
        <f t="shared" si="0"/>
        <v>45717</v>
      </c>
      <c r="EQ1" s="3">
        <f t="shared" si="0"/>
        <v>45689</v>
      </c>
      <c r="ER1" s="3">
        <f t="shared" si="0"/>
        <v>45658</v>
      </c>
      <c r="ES1" s="3">
        <f t="shared" si="0"/>
        <v>45627</v>
      </c>
      <c r="ET1" s="3">
        <f t="shared" si="0"/>
        <v>45597</v>
      </c>
      <c r="EU1" s="3">
        <f t="shared" si="0"/>
        <v>45566</v>
      </c>
      <c r="EV1" s="3">
        <f t="shared" si="0"/>
        <v>45536</v>
      </c>
      <c r="EW1" s="3">
        <f t="shared" si="0"/>
        <v>45505</v>
      </c>
      <c r="EX1" s="3">
        <f t="shared" si="0"/>
        <v>45474</v>
      </c>
      <c r="EY1" s="3">
        <f t="shared" si="0"/>
        <v>45444</v>
      </c>
      <c r="EZ1" s="3">
        <f t="shared" si="0"/>
        <v>45413</v>
      </c>
      <c r="FA1" s="3">
        <f t="shared" si="0"/>
        <v>45383</v>
      </c>
      <c r="FB1" s="3">
        <f t="shared" si="0"/>
        <v>45352</v>
      </c>
      <c r="FC1" s="3">
        <f t="shared" si="0"/>
        <v>45323</v>
      </c>
      <c r="FD1" s="3">
        <f t="shared" si="0"/>
        <v>45292</v>
      </c>
      <c r="FE1" s="3">
        <f t="shared" si="0"/>
        <v>45261</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45627</v>
      </c>
      <c r="AQ2" s="174">
        <f>VLOOKUP(VLOOKUP(+$A$1,ran_ma,2,FALSE)-10,ran_idma,2,FALSE)</f>
        <v>45658</v>
      </c>
      <c r="AR2" s="174">
        <f>VLOOKUP(VLOOKUP(+$A$1,ran_ma,2,FALSE)-9,ran_idma,2,FALSE)</f>
        <v>45689</v>
      </c>
      <c r="AS2" s="174">
        <f>VLOOKUP(VLOOKUP(+$A$1,ran_ma,2,FALSE)-8,ran_idma,2,FALSE)</f>
        <v>45717</v>
      </c>
      <c r="AT2" s="59">
        <f>VLOOKUP(VLOOKUP(+$A$1,ran_ma,2,FALSE)-7,ran_idma,2,FALSE)</f>
        <v>45748</v>
      </c>
      <c r="AU2" s="59">
        <f>VLOOKUP(VLOOKUP(+$A$1,ran_ma,2,FALSE)-6,ran_idma,2,FALSE)</f>
        <v>45778</v>
      </c>
      <c r="AV2" s="59">
        <f>VLOOKUP(VLOOKUP(+$A$1,ran_ma,2,FALSE)-5,ran_idma,2,FALSE)</f>
        <v>45809</v>
      </c>
      <c r="AW2" s="59">
        <f>VLOOKUP(VLOOKUP(+$A$1,ran_ma,2,FALSE)-4,ran_idma,2,FALSE)</f>
        <v>45839</v>
      </c>
      <c r="AX2" s="59">
        <f>VLOOKUP(VLOOKUP(+$A$1,ran_ma,2,FALSE)-3,ran_idma,2,FALSE)</f>
        <v>45870</v>
      </c>
      <c r="AY2" s="59">
        <f>VLOOKUP(VLOOKUP(+$A$1,ran_ma,2,FALSE)-2,ran_idma,2,FALSE)</f>
        <v>45901</v>
      </c>
      <c r="AZ2" s="59">
        <f>VLOOKUP(VLOOKUP(+$A$1,ran_ma,2,FALSE)-1,ran_idma,2,FALSE)</f>
        <v>45931</v>
      </c>
      <c r="BA2" s="59">
        <f>VLOOKUP(VLOOKUP(+$A$1,ran_ma,2,FALSE)-0,ran_idma,2,FALSE)</f>
        <v>45962</v>
      </c>
      <c r="BB2" s="59"/>
      <c r="BC2" s="170"/>
      <c r="BE2" s="9" t="s">
        <v>272</v>
      </c>
      <c r="BG2">
        <f>+VLOOKUP(BG1,ran_dat,datos!$D$1,FALSE)</f>
        <v>128</v>
      </c>
      <c r="BH2">
        <f>+BG2-1</f>
        <v>127</v>
      </c>
      <c r="BI2">
        <f>+BG2-12</f>
        <v>116</v>
      </c>
      <c r="BK2" s="9"/>
      <c r="BL2">
        <f>+VLOOKUP(BL1,ran_dat,datos!$D$1,FALSE)</f>
        <v>128</v>
      </c>
      <c r="BM2">
        <f>+BL2-1</f>
        <v>127</v>
      </c>
      <c r="BN2">
        <f>+BL2-12</f>
        <v>116</v>
      </c>
      <c r="BP2" s="9"/>
      <c r="BQ2">
        <f>+VLOOKUP(BQ1,ran_dat,datos!$D$1,FALSE)</f>
        <v>128</v>
      </c>
      <c r="BR2">
        <f>+BQ2-12</f>
        <v>116</v>
      </c>
      <c r="BT2" s="9"/>
      <c r="BU2">
        <f>+VLOOKUP(BU1,ran_dat,datos!$D$1,FALSE)</f>
        <v>128</v>
      </c>
      <c r="BV2">
        <f>+BU2-12</f>
        <v>116</v>
      </c>
      <c r="BX2" s="9"/>
      <c r="CB2" s="9"/>
      <c r="CI2">
        <f>+VLOOKUP(CI1,ran_dat,datos!$D$1,FALSE)</f>
        <v>128</v>
      </c>
      <c r="CJ2">
        <f>+CI2</f>
        <v>128</v>
      </c>
      <c r="CK2">
        <f t="shared" ref="CK2:DG2" si="1">+CJ2-1</f>
        <v>127</v>
      </c>
      <c r="CL2">
        <f t="shared" si="1"/>
        <v>126</v>
      </c>
      <c r="CM2">
        <f t="shared" si="1"/>
        <v>125</v>
      </c>
      <c r="CN2">
        <f t="shared" si="1"/>
        <v>124</v>
      </c>
      <c r="CO2">
        <f t="shared" si="1"/>
        <v>123</v>
      </c>
      <c r="CP2">
        <f t="shared" si="1"/>
        <v>122</v>
      </c>
      <c r="CQ2">
        <f t="shared" si="1"/>
        <v>121</v>
      </c>
      <c r="CR2">
        <f t="shared" si="1"/>
        <v>120</v>
      </c>
      <c r="CS2">
        <f t="shared" si="1"/>
        <v>119</v>
      </c>
      <c r="CT2">
        <f t="shared" si="1"/>
        <v>118</v>
      </c>
      <c r="CU2">
        <f t="shared" si="1"/>
        <v>117</v>
      </c>
      <c r="CV2">
        <f t="shared" si="1"/>
        <v>116</v>
      </c>
      <c r="CW2">
        <f t="shared" si="1"/>
        <v>115</v>
      </c>
      <c r="CX2">
        <f t="shared" si="1"/>
        <v>114</v>
      </c>
      <c r="CY2">
        <f t="shared" si="1"/>
        <v>113</v>
      </c>
      <c r="CZ2">
        <f t="shared" si="1"/>
        <v>112</v>
      </c>
      <c r="DA2">
        <f t="shared" si="1"/>
        <v>111</v>
      </c>
      <c r="DB2">
        <f t="shared" si="1"/>
        <v>110</v>
      </c>
      <c r="DC2">
        <f t="shared" si="1"/>
        <v>109</v>
      </c>
      <c r="DD2">
        <f t="shared" si="1"/>
        <v>108</v>
      </c>
      <c r="DE2">
        <f t="shared" si="1"/>
        <v>107</v>
      </c>
      <c r="DF2">
        <f t="shared" si="1"/>
        <v>106</v>
      </c>
      <c r="DG2">
        <f t="shared" si="1"/>
        <v>105</v>
      </c>
      <c r="DI2">
        <f>+VLOOKUP(DI1,ran_dat,datos!$D$1,FALSE)</f>
        <v>128</v>
      </c>
      <c r="DJ2">
        <f t="shared" ref="DJ2:EF2" si="2">+DI2-1</f>
        <v>127</v>
      </c>
      <c r="DK2">
        <f t="shared" si="2"/>
        <v>126</v>
      </c>
      <c r="DL2">
        <f t="shared" si="2"/>
        <v>125</v>
      </c>
      <c r="DM2">
        <f t="shared" si="2"/>
        <v>124</v>
      </c>
      <c r="DN2">
        <f t="shared" si="2"/>
        <v>123</v>
      </c>
      <c r="DO2">
        <f t="shared" si="2"/>
        <v>122</v>
      </c>
      <c r="DP2">
        <f t="shared" si="2"/>
        <v>121</v>
      </c>
      <c r="DQ2">
        <f t="shared" si="2"/>
        <v>120</v>
      </c>
      <c r="DR2">
        <f t="shared" si="2"/>
        <v>119</v>
      </c>
      <c r="DS2">
        <f t="shared" si="2"/>
        <v>118</v>
      </c>
      <c r="DT2">
        <f t="shared" si="2"/>
        <v>117</v>
      </c>
      <c r="DU2">
        <f t="shared" si="2"/>
        <v>116</v>
      </c>
      <c r="DV2">
        <f t="shared" si="2"/>
        <v>115</v>
      </c>
      <c r="DW2">
        <f t="shared" si="2"/>
        <v>114</v>
      </c>
      <c r="DX2">
        <f t="shared" si="2"/>
        <v>113</v>
      </c>
      <c r="DY2">
        <f t="shared" si="2"/>
        <v>112</v>
      </c>
      <c r="DZ2">
        <f t="shared" si="2"/>
        <v>111</v>
      </c>
      <c r="EA2">
        <f t="shared" si="2"/>
        <v>110</v>
      </c>
      <c r="EB2">
        <f t="shared" si="2"/>
        <v>109</v>
      </c>
      <c r="EC2">
        <f t="shared" si="2"/>
        <v>108</v>
      </c>
      <c r="ED2">
        <f t="shared" si="2"/>
        <v>107</v>
      </c>
      <c r="EE2">
        <f t="shared" si="2"/>
        <v>106</v>
      </c>
      <c r="EF2">
        <f t="shared" si="2"/>
        <v>105</v>
      </c>
      <c r="EH2" s="14">
        <f>+VLOOKUP(EH1,ran_dat,datos!$D$1,FALSE)</f>
        <v>128</v>
      </c>
      <c r="EI2" s="14">
        <f t="shared" ref="EI2:FE2" si="3">+EH2-1</f>
        <v>127</v>
      </c>
      <c r="EJ2">
        <f t="shared" si="3"/>
        <v>126</v>
      </c>
      <c r="EK2">
        <f t="shared" si="3"/>
        <v>125</v>
      </c>
      <c r="EL2">
        <f t="shared" si="3"/>
        <v>124</v>
      </c>
      <c r="EM2">
        <f t="shared" si="3"/>
        <v>123</v>
      </c>
      <c r="EN2">
        <f t="shared" si="3"/>
        <v>122</v>
      </c>
      <c r="EO2">
        <f t="shared" si="3"/>
        <v>121</v>
      </c>
      <c r="EP2">
        <f t="shared" si="3"/>
        <v>120</v>
      </c>
      <c r="EQ2">
        <f t="shared" si="3"/>
        <v>119</v>
      </c>
      <c r="ER2">
        <f t="shared" si="3"/>
        <v>118</v>
      </c>
      <c r="ES2">
        <f t="shared" si="3"/>
        <v>117</v>
      </c>
      <c r="ET2">
        <f t="shared" si="3"/>
        <v>116</v>
      </c>
      <c r="EU2">
        <f t="shared" si="3"/>
        <v>115</v>
      </c>
      <c r="EV2">
        <f t="shared" si="3"/>
        <v>114</v>
      </c>
      <c r="EW2">
        <f t="shared" si="3"/>
        <v>113</v>
      </c>
      <c r="EX2">
        <f t="shared" si="3"/>
        <v>112</v>
      </c>
      <c r="EY2">
        <f t="shared" si="3"/>
        <v>111</v>
      </c>
      <c r="EZ2">
        <f t="shared" si="3"/>
        <v>110</v>
      </c>
      <c r="FA2">
        <f t="shared" si="3"/>
        <v>109</v>
      </c>
      <c r="FB2">
        <f t="shared" si="3"/>
        <v>108</v>
      </c>
      <c r="FC2">
        <f t="shared" si="3"/>
        <v>107</v>
      </c>
      <c r="FD2">
        <f t="shared" si="3"/>
        <v>106</v>
      </c>
      <c r="FE2">
        <f t="shared" si="3"/>
        <v>105</v>
      </c>
    </row>
    <row r="3" spans="1:163" ht="18.75" customHeight="1">
      <c r="A3" s="220"/>
      <c r="C3" s="155"/>
      <c r="D3" s="196">
        <v>0.33</v>
      </c>
      <c r="E3" s="100">
        <f>IFERROR(+BG5/BH5-1,"")</f>
        <v>2.4729196710785661E-2</v>
      </c>
      <c r="F3" s="56" t="s">
        <v>515</v>
      </c>
      <c r="G3" s="56"/>
      <c r="H3" s="56"/>
      <c r="I3" s="60">
        <f>IFERROR(+BG5/BI5-1,"")</f>
        <v>0.31368744159970108</v>
      </c>
      <c r="J3" s="56" t="s">
        <v>515</v>
      </c>
      <c r="K3" s="56"/>
      <c r="L3" s="56"/>
      <c r="M3" s="32"/>
      <c r="N3" s="196">
        <v>0.33</v>
      </c>
      <c r="O3" s="31"/>
      <c r="S3" s="32"/>
      <c r="T3" s="196">
        <v>0.33</v>
      </c>
      <c r="U3" s="150" t="str">
        <f>TEXT(CU1,"MMM-YY")&amp;"."&amp;TEXT(CJ1,"MMM-YY")&amp;" vs "&amp;TEXT(DG1,"MMM-YY")&amp;"."&amp;TEXT(CV1,"MMM-YY")</f>
        <v>dic-24.nov-25 vs dic-23.nov-24</v>
      </c>
      <c r="Y3" s="59" t="str">
        <f>TEXT(CJ1,"MMM-YY")&amp;" vs "&amp;TEXT(CV1,"MMM-YY")</f>
        <v>nov-25 vs nov-24</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9841.3580999999995</v>
      </c>
      <c r="BH5" s="2">
        <f t="shared" si="4"/>
        <v>9603.8623000000007</v>
      </c>
      <c r="BI5" s="2">
        <f t="shared" si="4"/>
        <v>7491.4</v>
      </c>
    </row>
    <row r="6" spans="1:163" ht="18.75" customHeight="1">
      <c r="A6" s="243" t="s">
        <v>28</v>
      </c>
      <c r="B6" s="246"/>
      <c r="C6" s="156">
        <f t="shared" ref="C6:C24" si="5">+D6*$D$3+N6*$N$3+T6*$T$3</f>
        <v>0</v>
      </c>
      <c r="D6" s="198">
        <v>-2</v>
      </c>
      <c r="E6" s="248">
        <f t="shared" ref="E6:E24" si="6">IFERROR(+BG6/BH6-1,"")</f>
        <v>1.2308489105982146E-2</v>
      </c>
      <c r="F6" s="249">
        <f t="shared" ref="F6:F24" si="7">+E6-$E$3</f>
        <v>-1.2420707604803516E-2</v>
      </c>
      <c r="G6" s="248">
        <f t="shared" ref="G6:G24" si="8">IFERROR(+BL6/BM6-1,"")</f>
        <v>2.2366970825769217E-2</v>
      </c>
      <c r="H6" s="249">
        <f t="shared" ref="H6:H24" si="9">E6-G6</f>
        <v>-1.0058481719787071E-2</v>
      </c>
      <c r="I6" s="248">
        <f t="shared" ref="I6:I24" si="10">IFERROR(+BG6/BI6-1,"")</f>
        <v>6.7354171133162444E-2</v>
      </c>
      <c r="J6" s="249">
        <f t="shared" ref="J6:J24" si="11">+I6-$I$3</f>
        <v>-0.24633327046653863</v>
      </c>
      <c r="K6" s="248">
        <f t="shared" ref="K6:K24" si="12">IFERROR(+BL6/BN6-1,"")</f>
        <v>0.28684956765236902</v>
      </c>
      <c r="L6" s="249">
        <f t="shared" ref="L6:L24" si="13">I6-K6</f>
        <v>-0.21949539651920658</v>
      </c>
      <c r="M6" s="250"/>
      <c r="N6" s="24">
        <v>1</v>
      </c>
      <c r="O6" s="248">
        <f>IFERROR(+BQ6/BR6-1,"")</f>
        <v>-0.13043478260869568</v>
      </c>
      <c r="P6" s="251">
        <f>+O6</f>
        <v>-0.13043478260869568</v>
      </c>
      <c r="Q6" s="248">
        <f t="shared" ref="Q6:Q24" si="14">IFERROR(+BU6/BV6-1,"")</f>
        <v>-0.15384615384615385</v>
      </c>
      <c r="R6" s="251">
        <f>+Q6</f>
        <v>-0.15384615384615385</v>
      </c>
      <c r="S6" s="250"/>
      <c r="T6" s="24">
        <v>1</v>
      </c>
      <c r="U6" s="248">
        <f t="shared" ref="U6:U24" si="15">IFERROR(+BY6/BZ6-1,"")</f>
        <v>-0.28784750629678779</v>
      </c>
      <c r="V6" s="252">
        <f t="shared" ref="V6:V24" si="16">+U6</f>
        <v>-0.28784750629678779</v>
      </c>
      <c r="W6" s="248">
        <f>IFERROR(IF(CC6&lt;0.5,"",+CC6/CD6-1),"")</f>
        <v>0.89817992444495154</v>
      </c>
      <c r="X6" s="252">
        <f t="shared" ref="X6:X24" si="17">+W6</f>
        <v>0.89817992444495154</v>
      </c>
      <c r="Y6" s="248" t="str">
        <f t="shared" ref="Y6:Y25" si="18">IFERROR(+CG6/CH6-1,"")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3</v>
      </c>
      <c r="AQ6" s="28">
        <f>VLOOKUP($A6,historia!$A$5:$CM$24,+HLOOKUP(AQ$2,historia!$A$3:$EC$4,2,FALSE),FALSE)</f>
        <v>4</v>
      </c>
      <c r="AR6" s="28">
        <f>VLOOKUP($A6,historia!$A$5:$CM$24,+HLOOKUP(AR$2,historia!$A$3:$EC$4,2,FALSE),FALSE)</f>
        <v>4</v>
      </c>
      <c r="AS6" s="28">
        <f>VLOOKUP($A6,historia!$A$5:$CM$24,+HLOOKUP(AS$2,historia!$A$3:$EC$4,2,FALSE),FALSE)</f>
        <v>4</v>
      </c>
      <c r="AT6" s="58">
        <f>VLOOKUP($A6,historia!$A$5:$CM$24,+HLOOKUP(AT$2,historia!$A$3:$EC$4,2,FALSE),FALSE)</f>
        <v>4</v>
      </c>
      <c r="AU6" s="58">
        <f>VLOOKUP($A6,historia!$A$5:$CM$24,+HLOOKUP(AU$2,historia!$A$3:$EC$4,2,FALSE),FALSE)</f>
        <v>3</v>
      </c>
      <c r="AV6" s="58">
        <f>VLOOKUP($A6,historia!$A$5:$CM$24,+HLOOKUP(AV$2,historia!$A$3:$EC$4,2,FALSE),FALSE)</f>
        <v>3</v>
      </c>
      <c r="AW6" s="58">
        <f>VLOOKUP($A6,historia!$A$5:$CM$24,+HLOOKUP(AW$2,historia!$A$3:$EC$4,2,FALSE),FALSE)</f>
        <v>3</v>
      </c>
      <c r="AX6" s="58">
        <f>VLOOKUP($A6,historia!$A$5:$DD$24,+HLOOKUP(AX$2,historia!$A$3:$EC$4,2,FALSE),FALSE)</f>
        <v>3</v>
      </c>
      <c r="AY6" s="58">
        <f>VLOOKUP($A6,historia!$A$5:$DD$24,+HLOOKUP(AY$2,historia!$A$3:$EC$4,2,FALSE),FALSE)</f>
        <v>4</v>
      </c>
      <c r="AZ6" s="58">
        <f>VLOOKUP($A6,historia!$A$5:$DG$24,+HLOOKUP(AZ$2,historia!$A$3:$EC$4,2,FALSE),FALSE)</f>
        <v>4</v>
      </c>
      <c r="BA6" s="58">
        <f>VLOOKUP($A6,historia!$A$5:$DG$24,+HLOOKUP(BA$2,historia!$A$3:$EC$4,2,FALSE),FALSE)</f>
        <v>4</v>
      </c>
      <c r="BB6" s="58"/>
      <c r="BC6" s="286">
        <v>4</v>
      </c>
      <c r="BD6" t="str">
        <f t="shared" ref="BD6:BD24" si="20">+A6</f>
        <v>Algodón</v>
      </c>
      <c r="BE6">
        <f>+datos!P1</f>
        <v>16</v>
      </c>
      <c r="BF6" s="2" t="str">
        <f t="shared" si="4"/>
        <v>$/kg</v>
      </c>
      <c r="BG6" s="2">
        <f t="shared" si="4"/>
        <v>1487.3396029333335</v>
      </c>
      <c r="BH6" s="2">
        <f t="shared" si="4"/>
        <v>1469.2552902</v>
      </c>
      <c r="BI6" s="2">
        <f t="shared" si="4"/>
        <v>1393.4827287499998</v>
      </c>
      <c r="BK6">
        <f>+datos!BY1</f>
        <v>77</v>
      </c>
      <c r="BL6" s="2">
        <f t="shared" ref="BL6:BN24" si="21">+VLOOKUP(BL$1,ran_dat,$BK6,FALSE)</f>
        <v>11986.813643987394</v>
      </c>
      <c r="BM6" s="2">
        <f t="shared" si="21"/>
        <v>11724.57051728266</v>
      </c>
      <c r="BN6" s="2">
        <f t="shared" si="21"/>
        <v>9314.8522914416717</v>
      </c>
      <c r="BP6" s="1">
        <f>+datos!DK1</f>
        <v>115</v>
      </c>
      <c r="BQ6" s="1">
        <f t="shared" ref="BQ6:BR24" si="22">+VLOOKUP(BQ$1,ran_dat,$BP6,FALSE)</f>
        <v>600000</v>
      </c>
      <c r="BR6" s="1">
        <f t="shared" si="22"/>
        <v>690000</v>
      </c>
      <c r="BT6" s="1">
        <f>+datos!FF1</f>
        <v>162</v>
      </c>
      <c r="BU6" s="1">
        <f t="shared" ref="BU6:BV24" si="23">+VLOOKUP(BU$1,ran_dat,$BT6,FALSE)</f>
        <v>1100000</v>
      </c>
      <c r="BV6" s="1">
        <f t="shared" si="23"/>
        <v>1300000</v>
      </c>
      <c r="BX6" s="1">
        <f>+datos!JF1</f>
        <v>266</v>
      </c>
      <c r="BY6" s="1">
        <f>+SUM(CJ6:CU6)</f>
        <v>138.96037192</v>
      </c>
      <c r="BZ6" s="1">
        <f>+SUM(CV6:DG6)</f>
        <v>195.12727000000001</v>
      </c>
      <c r="CB6" s="1">
        <f>+datos!KK1</f>
        <v>297</v>
      </c>
      <c r="CC6" s="2">
        <f t="shared" ref="CC6:CC24" si="24">+SUM(DI6:DT6)</f>
        <v>111.65936035</v>
      </c>
      <c r="CD6" s="2">
        <f t="shared" ref="CD6:CD24" si="25">+SUM(DU6:EF6)</f>
        <v>58.824434349999997</v>
      </c>
      <c r="CF6" s="1">
        <f>+datos!HS1</f>
        <v>227</v>
      </c>
      <c r="CG6" s="1">
        <f t="shared" ref="CG6:CG24" si="26">+EH6</f>
        <v>0</v>
      </c>
      <c r="CH6" s="1">
        <f t="shared" ref="CH6:CH24" si="27">+ET6</f>
        <v>0</v>
      </c>
      <c r="CJ6" s="1">
        <f t="shared" ref="CJ6:CY21" si="28">+VLOOKUP(CJ$1,ran_dat,$BX6,FALSE)</f>
        <v>19.935607340000004</v>
      </c>
      <c r="CK6" s="1">
        <f t="shared" si="28"/>
        <v>21.754931440000004</v>
      </c>
      <c r="CL6" s="1">
        <f t="shared" si="28"/>
        <v>18.652099290000002</v>
      </c>
      <c r="CM6" s="1">
        <f t="shared" si="28"/>
        <v>16.211576590000004</v>
      </c>
      <c r="CN6" s="1">
        <f t="shared" si="28"/>
        <v>9.0263359399999974</v>
      </c>
      <c r="CO6" s="1">
        <f t="shared" si="28"/>
        <v>8.2931694499999988</v>
      </c>
      <c r="CP6" s="1">
        <f t="shared" si="28"/>
        <v>5.0945514700000007</v>
      </c>
      <c r="CQ6" s="1">
        <f t="shared" si="28"/>
        <v>7.3093251500000047</v>
      </c>
      <c r="CR6" s="1">
        <f t="shared" si="28"/>
        <v>6.7908860800000017</v>
      </c>
      <c r="CS6" s="1">
        <f t="shared" si="28"/>
        <v>8.6490729999999978</v>
      </c>
      <c r="CT6" s="1">
        <f t="shared" si="28"/>
        <v>6.462363250000001</v>
      </c>
      <c r="CU6" s="1">
        <f t="shared" si="28"/>
        <v>10.78045292</v>
      </c>
      <c r="CV6" s="1">
        <f t="shared" si="28"/>
        <v>14.805583519999997</v>
      </c>
      <c r="CW6" s="1">
        <f t="shared" si="28"/>
        <v>17.696202909999993</v>
      </c>
      <c r="CX6" s="1">
        <f t="shared" si="28"/>
        <v>21.922029789999996</v>
      </c>
      <c r="CY6" s="1">
        <f t="shared" si="28"/>
        <v>19.20970509</v>
      </c>
      <c r="CZ6" s="1">
        <f t="shared" ref="CZ6:DG21" si="29">+VLOOKUP(CZ$1,ran_dat,$BX6,FALSE)</f>
        <v>24.496622440000007</v>
      </c>
      <c r="DA6" s="1">
        <f t="shared" si="29"/>
        <v>21.439575039999998</v>
      </c>
      <c r="DB6" s="1">
        <f t="shared" si="29"/>
        <v>14.529816729999997</v>
      </c>
      <c r="DC6" s="1">
        <f t="shared" si="29"/>
        <v>18.258202080000007</v>
      </c>
      <c r="DD6" s="1">
        <f t="shared" si="29"/>
        <v>18.510441480000001</v>
      </c>
      <c r="DE6" s="1">
        <f t="shared" si="29"/>
        <v>7.7064561400000011</v>
      </c>
      <c r="DF6" s="1">
        <f t="shared" si="29"/>
        <v>8.1062574399999985</v>
      </c>
      <c r="DG6" s="1">
        <f t="shared" si="29"/>
        <v>8.4463773399999997</v>
      </c>
      <c r="DI6" s="1">
        <f t="shared" ref="DI6:DX21" si="30">+VLOOKUP(DI$1,ran_dat,$CB6,FALSE)</f>
        <v>7.4817210700000008</v>
      </c>
      <c r="DJ6" s="1">
        <f t="shared" si="30"/>
        <v>10.164854930000002</v>
      </c>
      <c r="DK6" s="1">
        <f t="shared" si="30"/>
        <v>9.0858989999999995</v>
      </c>
      <c r="DL6" s="1">
        <f t="shared" si="30"/>
        <v>10.908765819999998</v>
      </c>
      <c r="DM6" s="1">
        <f t="shared" si="30"/>
        <v>11.035692889999996</v>
      </c>
      <c r="DN6" s="1">
        <f t="shared" si="30"/>
        <v>9.4337625599999999</v>
      </c>
      <c r="DO6" s="1">
        <f t="shared" si="30"/>
        <v>9.66008332</v>
      </c>
      <c r="DP6" s="1">
        <f t="shared" si="30"/>
        <v>10.467826709999999</v>
      </c>
      <c r="DQ6" s="1">
        <f t="shared" si="30"/>
        <v>7.9836210200000002</v>
      </c>
      <c r="DR6" s="1">
        <f t="shared" si="30"/>
        <v>9.7355070900000005</v>
      </c>
      <c r="DS6" s="1">
        <f t="shared" si="30"/>
        <v>7.6983577599999995</v>
      </c>
      <c r="DT6" s="1">
        <f t="shared" si="30"/>
        <v>8.003268180000001</v>
      </c>
      <c r="DU6" s="1">
        <f t="shared" si="30"/>
        <v>5.6011509000000004</v>
      </c>
      <c r="DV6" s="1">
        <f t="shared" si="30"/>
        <v>5.8112020999999991</v>
      </c>
      <c r="DW6" s="1">
        <f t="shared" si="30"/>
        <v>6.3060080799999998</v>
      </c>
      <c r="DX6" s="1">
        <f t="shared" si="30"/>
        <v>3.7690183000000008</v>
      </c>
      <c r="DY6" s="1">
        <f t="shared" ref="DY6:EF20" si="31">+VLOOKUP(DY$1,ran_dat,$CB6,FALSE)</f>
        <v>4.5361736000000006</v>
      </c>
      <c r="DZ6" s="1">
        <f t="shared" si="31"/>
        <v>3.2956469100000003</v>
      </c>
      <c r="EA6" s="1">
        <f t="shared" si="31"/>
        <v>4.5516111999999991</v>
      </c>
      <c r="EB6" s="1">
        <f t="shared" si="31"/>
        <v>3.9375346699999998</v>
      </c>
      <c r="EC6" s="1">
        <f t="shared" si="31"/>
        <v>4.8118603300000009</v>
      </c>
      <c r="ED6" s="1">
        <f t="shared" si="31"/>
        <v>5.2295233099999994</v>
      </c>
      <c r="EE6" s="1">
        <f t="shared" si="31"/>
        <v>7.4159317900000001</v>
      </c>
      <c r="EF6" s="1">
        <f t="shared" si="31"/>
        <v>3.5587731599999999</v>
      </c>
      <c r="EH6" s="14">
        <f t="shared" ref="EH6:EW21" si="32">+VLOOKUP(EH$1,ran_dat,$CF6,FALSE)</f>
        <v>0</v>
      </c>
      <c r="EI6" s="14">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ref="EX6:FE20" si="33">+VLOOKUP(EX$1,ran_dat,$CF6,FALSE)</f>
        <v>0</v>
      </c>
      <c r="EY6" s="1">
        <f t="shared" si="33"/>
        <v>0</v>
      </c>
      <c r="EZ6" s="1">
        <f t="shared" si="33"/>
        <v>0</v>
      </c>
      <c r="FA6" s="1">
        <f t="shared" si="33"/>
        <v>0</v>
      </c>
      <c r="FB6" s="1">
        <f t="shared" si="33"/>
        <v>0</v>
      </c>
      <c r="FC6" s="1">
        <f t="shared" si="33"/>
        <v>0</v>
      </c>
      <c r="FD6" s="1">
        <f t="shared" si="33"/>
        <v>0</v>
      </c>
      <c r="FE6" s="1">
        <f t="shared" si="33"/>
        <v>0</v>
      </c>
      <c r="FG6" s="162">
        <f t="shared" ref="FG6:FG24" si="34">+I6-K6</f>
        <v>-0.21949539651920658</v>
      </c>
    </row>
    <row r="7" spans="1:163" ht="18.75" customHeight="1">
      <c r="A7" s="244" t="s">
        <v>13</v>
      </c>
      <c r="B7" s="247"/>
      <c r="C7" s="228">
        <f t="shared" si="5"/>
        <v>-0.33</v>
      </c>
      <c r="D7" s="229">
        <v>-1</v>
      </c>
      <c r="E7" s="253">
        <f t="shared" si="6"/>
        <v>0</v>
      </c>
      <c r="F7" s="254">
        <f t="shared" si="7"/>
        <v>-2.4729196710785661E-2</v>
      </c>
      <c r="G7" s="253">
        <f t="shared" si="8"/>
        <v>4.0914414875234506E-2</v>
      </c>
      <c r="H7" s="254">
        <f t="shared" si="9"/>
        <v>-4.0914414875234506E-2</v>
      </c>
      <c r="I7" s="253">
        <f t="shared" si="10"/>
        <v>-0.35571428571428576</v>
      </c>
      <c r="J7" s="254">
        <f t="shared" si="11"/>
        <v>-0.66940172731398684</v>
      </c>
      <c r="K7" s="253">
        <f t="shared" si="12"/>
        <v>0.37688712739264396</v>
      </c>
      <c r="L7" s="254">
        <f t="shared" si="13"/>
        <v>-0.73260141310692972</v>
      </c>
      <c r="M7" s="255"/>
      <c r="N7" s="256">
        <v>1</v>
      </c>
      <c r="O7" s="253">
        <f t="shared" ref="O7:O24" si="35">IFERROR(+BQ7/BR7-1,"")</f>
        <v>-0.17391304347826086</v>
      </c>
      <c r="P7" s="257">
        <f t="shared" ref="P7:P24" si="36">+O7</f>
        <v>-0.17391304347826086</v>
      </c>
      <c r="Q7" s="253">
        <f t="shared" si="14"/>
        <v>0.23076923076923084</v>
      </c>
      <c r="R7" s="257">
        <f t="shared" ref="R7:R24" si="37">+Q7</f>
        <v>0.23076923076923084</v>
      </c>
      <c r="S7" s="255"/>
      <c r="T7" s="256">
        <v>-1</v>
      </c>
      <c r="U7" s="253">
        <f t="shared" si="15"/>
        <v>0.47057656972529571</v>
      </c>
      <c r="V7" s="258">
        <f t="shared" si="16"/>
        <v>0.47057656972529571</v>
      </c>
      <c r="W7" s="253">
        <f t="shared" ref="W7:W24" si="38">IFERROR(IF(CC7&lt;0.5,"",+CC7/CD7-1),"")</f>
        <v>-0.19634026081780986</v>
      </c>
      <c r="X7" s="258">
        <f t="shared" si="17"/>
        <v>-0.19634026081780986</v>
      </c>
      <c r="Y7" s="253">
        <f t="shared" si="18"/>
        <v>0.41428571428571437</v>
      </c>
      <c r="Z7" s="258">
        <f t="shared" si="19"/>
        <v>0.41428571428571437</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4</v>
      </c>
      <c r="AQ7" s="28">
        <f>VLOOKUP($A7,historia!$A$5:$CM$24,+HLOOKUP(AQ$2,historia!$A$3:$EC$4,2,FALSE),FALSE)</f>
        <v>4</v>
      </c>
      <c r="AR7" s="28">
        <f>VLOOKUP($A7,historia!$A$5:$CM$24,+HLOOKUP(AR$2,historia!$A$3:$EC$4,2,FALSE),FALSE)</f>
        <v>4</v>
      </c>
      <c r="AS7" s="28">
        <f>VLOOKUP($A7,historia!$A$5:$CM$24,+HLOOKUP(AS$2,historia!$A$3:$EC$4,2,FALSE),FALSE)</f>
        <v>4</v>
      </c>
      <c r="AT7" s="58">
        <f>VLOOKUP($A7,historia!$A$5:$CM$24,+HLOOKUP(AT$2,historia!$A$3:$EC$4,2,FALSE),FALSE)</f>
        <v>4</v>
      </c>
      <c r="AU7" s="58">
        <f>VLOOKUP($A7,historia!$A$5:$CM$24,+HLOOKUP(AU$2,historia!$A$3:$EC$4,2,FALSE),FALSE)</f>
        <v>4</v>
      </c>
      <c r="AV7" s="58">
        <f>VLOOKUP($A7,historia!$A$5:$CM$24,+HLOOKUP(AV$2,historia!$A$3:$EC$4,2,FALSE),FALSE)</f>
        <v>4</v>
      </c>
      <c r="AW7" s="58">
        <f>VLOOKUP($A7,historia!$A$5:$CM$24,+HLOOKUP(AW$2,historia!$A$3:$EC$4,2,FALSE),FALSE)</f>
        <v>4</v>
      </c>
      <c r="AX7" s="58">
        <f>VLOOKUP($A7,historia!$A$5:$DD$24,+HLOOKUP(AX$2,historia!$A$3:$EC$4,2,FALSE),FALSE)</f>
        <v>4</v>
      </c>
      <c r="AY7" s="58">
        <f>VLOOKUP($A7,historia!$A$5:$DD$24,+HLOOKUP(AY$2,historia!$A$3:$EC$4,2,FALSE),FALSE)</f>
        <v>4</v>
      </c>
      <c r="AZ7" s="58">
        <f>VLOOKUP($A7,historia!$A$5:$DG$24,+HLOOKUP(AZ$2,historia!$A$3:$EC$4,2,FALSE),FALSE)</f>
        <v>4</v>
      </c>
      <c r="BA7" s="58">
        <f>VLOOKUP($A7,historia!$A$5:$DG$24,+HLOOKUP(BA$2,historia!$A$3:$EC$4,2,FALSE),FALSE)</f>
        <v>4</v>
      </c>
      <c r="BB7" s="58"/>
      <c r="BC7" s="286">
        <v>4</v>
      </c>
      <c r="BD7" t="str">
        <f t="shared" si="20"/>
        <v>Arroz</v>
      </c>
      <c r="BE7">
        <f>+datos!R1</f>
        <v>18</v>
      </c>
      <c r="BF7" s="2" t="str">
        <f t="shared" si="4"/>
        <v>$/t</v>
      </c>
      <c r="BG7" s="2">
        <f t="shared" si="4"/>
        <v>225500</v>
      </c>
      <c r="BH7" s="2">
        <f t="shared" si="4"/>
        <v>225500</v>
      </c>
      <c r="BI7" s="2">
        <f t="shared" si="4"/>
        <v>350000</v>
      </c>
      <c r="BK7">
        <f>+datos!BZ1</f>
        <v>78</v>
      </c>
      <c r="BL7" s="2">
        <f t="shared" si="21"/>
        <v>12101.095904354501</v>
      </c>
      <c r="BM7" s="2">
        <f t="shared" si="21"/>
        <v>11625.447521355494</v>
      </c>
      <c r="BN7" s="2">
        <f t="shared" si="21"/>
        <v>8788.7348669384846</v>
      </c>
      <c r="BP7" s="1">
        <f>+datos!DM1</f>
        <v>117</v>
      </c>
      <c r="BQ7" s="1">
        <f t="shared" si="22"/>
        <v>190000</v>
      </c>
      <c r="BR7" s="1">
        <f t="shared" si="22"/>
        <v>230000</v>
      </c>
      <c r="BT7" s="1">
        <f>+datos!FH1</f>
        <v>164</v>
      </c>
      <c r="BU7" s="1">
        <f t="shared" si="23"/>
        <v>1600000</v>
      </c>
      <c r="BV7" s="1">
        <f t="shared" si="23"/>
        <v>1300000</v>
      </c>
      <c r="BX7" s="1">
        <f>+datos!JG1</f>
        <v>267</v>
      </c>
      <c r="BY7" s="1">
        <f t="shared" ref="BY7:BY24" si="39">+SUM(CJ7:CU7)</f>
        <v>427.84294691000002</v>
      </c>
      <c r="BZ7" s="1">
        <f t="shared" ref="BZ7:BZ24" si="40">+SUM(CV7:DG7)</f>
        <v>290.93551177000001</v>
      </c>
      <c r="CB7" s="1">
        <f>+datos!KL1</f>
        <v>298</v>
      </c>
      <c r="CC7" s="2">
        <f t="shared" si="24"/>
        <v>3.6141524699999996</v>
      </c>
      <c r="CD7" s="2">
        <f t="shared" si="25"/>
        <v>4.4971177399999993</v>
      </c>
      <c r="CF7" s="1">
        <f>+datos!HU1</f>
        <v>229</v>
      </c>
      <c r="CG7" s="1">
        <f t="shared" si="26"/>
        <v>990000</v>
      </c>
      <c r="CH7" s="1">
        <f t="shared" si="27"/>
        <v>700000</v>
      </c>
      <c r="CJ7" s="1">
        <f t="shared" si="28"/>
        <v>36.759837599999997</v>
      </c>
      <c r="CK7" s="1">
        <f t="shared" si="28"/>
        <v>36.299912110000001</v>
      </c>
      <c r="CL7" s="1">
        <f t="shared" si="28"/>
        <v>15.634826659999996</v>
      </c>
      <c r="CM7" s="1">
        <f t="shared" si="28"/>
        <v>54.436744560000001</v>
      </c>
      <c r="CN7" s="1">
        <f t="shared" si="28"/>
        <v>16.08135906</v>
      </c>
      <c r="CO7" s="1">
        <f t="shared" si="28"/>
        <v>31.537173230000004</v>
      </c>
      <c r="CP7" s="1">
        <f t="shared" si="28"/>
        <v>39.974175860000003</v>
      </c>
      <c r="CQ7" s="1">
        <f t="shared" si="28"/>
        <v>35.910188569999995</v>
      </c>
      <c r="CR7" s="1">
        <f t="shared" si="28"/>
        <v>30.652184479999995</v>
      </c>
      <c r="CS7" s="1">
        <f t="shared" si="28"/>
        <v>94.896967090000004</v>
      </c>
      <c r="CT7" s="1">
        <f t="shared" si="28"/>
        <v>22.007364089999996</v>
      </c>
      <c r="CU7" s="1">
        <f t="shared" si="28"/>
        <v>13.652213600000001</v>
      </c>
      <c r="CV7" s="1">
        <f t="shared" si="28"/>
        <v>21.789652239999999</v>
      </c>
      <c r="CW7" s="1">
        <f t="shared" si="28"/>
        <v>22.506187060000002</v>
      </c>
      <c r="CX7" s="1">
        <f t="shared" si="28"/>
        <v>26.198510359999997</v>
      </c>
      <c r="CY7" s="1">
        <f t="shared" si="28"/>
        <v>16.658344929999998</v>
      </c>
      <c r="CZ7" s="1">
        <f t="shared" si="29"/>
        <v>38.799980059999996</v>
      </c>
      <c r="DA7" s="1">
        <f t="shared" si="29"/>
        <v>35.598317799999997</v>
      </c>
      <c r="DB7" s="1">
        <f t="shared" si="29"/>
        <v>32.785113670000001</v>
      </c>
      <c r="DC7" s="1">
        <f t="shared" si="29"/>
        <v>22.35722878</v>
      </c>
      <c r="DD7" s="1">
        <f t="shared" si="29"/>
        <v>34.376458229999997</v>
      </c>
      <c r="DE7" s="1">
        <f t="shared" si="29"/>
        <v>13.355622539999999</v>
      </c>
      <c r="DF7" s="1">
        <f t="shared" si="29"/>
        <v>10.68224592</v>
      </c>
      <c r="DG7" s="1">
        <f t="shared" si="29"/>
        <v>15.82785018</v>
      </c>
      <c r="DI7" s="1">
        <f t="shared" si="30"/>
        <v>3.2780709999999998E-2</v>
      </c>
      <c r="DJ7" s="1">
        <f t="shared" si="30"/>
        <v>0.17706282000000001</v>
      </c>
      <c r="DK7" s="1">
        <f t="shared" si="30"/>
        <v>0.30085145999999996</v>
      </c>
      <c r="DL7" s="1">
        <f t="shared" si="30"/>
        <v>0.26679149000000002</v>
      </c>
      <c r="DM7" s="1">
        <f t="shared" si="30"/>
        <v>0.13893236</v>
      </c>
      <c r="DN7" s="1">
        <f t="shared" si="30"/>
        <v>0.4195122</v>
      </c>
      <c r="DO7" s="1">
        <f t="shared" si="30"/>
        <v>0.20050375000000001</v>
      </c>
      <c r="DP7" s="1">
        <f t="shared" si="30"/>
        <v>0.34624290000000002</v>
      </c>
      <c r="DQ7" s="1">
        <f t="shared" si="30"/>
        <v>0.15613090000000002</v>
      </c>
      <c r="DR7" s="1">
        <f t="shared" si="30"/>
        <v>0.47281664000000007</v>
      </c>
      <c r="DS7" s="1">
        <f t="shared" si="30"/>
        <v>0.84812041999999999</v>
      </c>
      <c r="DT7" s="1">
        <f t="shared" si="30"/>
        <v>0.25440681999999998</v>
      </c>
      <c r="DU7" s="1">
        <f t="shared" si="30"/>
        <v>0.7620908099999999</v>
      </c>
      <c r="DV7" s="1">
        <f t="shared" si="30"/>
        <v>0.50490091999999998</v>
      </c>
      <c r="DW7" s="1">
        <f t="shared" si="30"/>
        <v>0.40961613000000002</v>
      </c>
      <c r="DX7" s="1">
        <f t="shared" si="30"/>
        <v>0.23587240000000001</v>
      </c>
      <c r="DY7" s="1">
        <f t="shared" si="31"/>
        <v>0.18557204999999999</v>
      </c>
      <c r="DZ7" s="1">
        <f t="shared" si="31"/>
        <v>0.48301414000000004</v>
      </c>
      <c r="EA7" s="1">
        <f t="shared" si="31"/>
        <v>0.23845672000000001</v>
      </c>
      <c r="EB7" s="1">
        <f t="shared" si="31"/>
        <v>0.50080292000000004</v>
      </c>
      <c r="EC7" s="1">
        <f t="shared" si="31"/>
        <v>8.6091799999999996E-2</v>
      </c>
      <c r="ED7" s="1">
        <f t="shared" si="31"/>
        <v>0.22536</v>
      </c>
      <c r="EE7" s="1">
        <f t="shared" si="31"/>
        <v>0.8256</v>
      </c>
      <c r="EF7" s="1">
        <f t="shared" si="31"/>
        <v>3.973985E-2</v>
      </c>
      <c r="EH7" s="14">
        <f t="shared" si="32"/>
        <v>990000</v>
      </c>
      <c r="EI7" s="14">
        <f t="shared" si="32"/>
        <v>990000</v>
      </c>
      <c r="EJ7" s="1">
        <f t="shared" si="32"/>
        <v>990000</v>
      </c>
      <c r="EK7" s="1">
        <f t="shared" si="32"/>
        <v>990000</v>
      </c>
      <c r="EL7" s="1">
        <f t="shared" si="32"/>
        <v>990000</v>
      </c>
      <c r="EM7" s="1">
        <f t="shared" si="32"/>
        <v>990000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3"/>
        <v>700000</v>
      </c>
      <c r="EY7" s="1">
        <f t="shared" si="33"/>
        <v>700000</v>
      </c>
      <c r="EZ7" s="1">
        <f t="shared" si="33"/>
        <v>700000</v>
      </c>
      <c r="FA7" s="1">
        <f t="shared" si="33"/>
        <v>700000</v>
      </c>
      <c r="FB7" s="1">
        <f t="shared" si="33"/>
        <v>700000</v>
      </c>
      <c r="FC7" s="1">
        <f t="shared" si="33"/>
        <v>700000</v>
      </c>
      <c r="FD7" s="1">
        <f t="shared" si="33"/>
        <v>700000</v>
      </c>
      <c r="FE7" s="1">
        <f t="shared" si="33"/>
        <v>700000</v>
      </c>
      <c r="FG7" s="162">
        <f t="shared" si="34"/>
        <v>-0.73260141310692972</v>
      </c>
    </row>
    <row r="8" spans="1:163" ht="18.75" customHeight="1">
      <c r="A8" s="243" t="s">
        <v>215</v>
      </c>
      <c r="B8" s="246"/>
      <c r="C8" s="156">
        <f t="shared" si="5"/>
        <v>-0.33</v>
      </c>
      <c r="D8" s="198">
        <v>0</v>
      </c>
      <c r="E8" s="248">
        <f t="shared" si="6"/>
        <v>2.0596586147992868E-2</v>
      </c>
      <c r="F8" s="249">
        <f t="shared" si="7"/>
        <v>-4.1326105627927934E-3</v>
      </c>
      <c r="G8" s="248">
        <f t="shared" si="8"/>
        <v>2.5580068701437586E-2</v>
      </c>
      <c r="H8" s="249">
        <f t="shared" si="9"/>
        <v>-4.983482553444718E-3</v>
      </c>
      <c r="I8" s="248">
        <f t="shared" si="10"/>
        <v>0.15799066803483863</v>
      </c>
      <c r="J8" s="249">
        <f t="shared" si="11"/>
        <v>-0.15569677356486245</v>
      </c>
      <c r="K8" s="248">
        <f t="shared" si="12"/>
        <v>0.39297626975099664</v>
      </c>
      <c r="L8" s="249">
        <f t="shared" si="13"/>
        <v>-0.23498560171615801</v>
      </c>
      <c r="M8" s="250"/>
      <c r="N8" s="24">
        <v>0</v>
      </c>
      <c r="O8" s="248">
        <f t="shared" si="35"/>
        <v>3.9368351792959722E-2</v>
      </c>
      <c r="P8" s="251">
        <f t="shared" si="36"/>
        <v>3.9368351792959722E-2</v>
      </c>
      <c r="Q8" s="248">
        <f t="shared" si="14"/>
        <v>1.8505812855817316E-2</v>
      </c>
      <c r="R8" s="251">
        <f t="shared" si="37"/>
        <v>1.8505812855817316E-2</v>
      </c>
      <c r="S8" s="250"/>
      <c r="T8" s="24">
        <v>-1</v>
      </c>
      <c r="U8" s="248">
        <f t="shared" si="15"/>
        <v>-0.69696563340197526</v>
      </c>
      <c r="V8" s="252">
        <f t="shared" si="16"/>
        <v>-0.69696563340197526</v>
      </c>
      <c r="W8" s="248">
        <f t="shared" si="38"/>
        <v>0.1001690356909366</v>
      </c>
      <c r="X8" s="252">
        <f t="shared" si="17"/>
        <v>0.1001690356909366</v>
      </c>
      <c r="Y8" s="248">
        <f t="shared" si="18"/>
        <v>3.6296457291893125E-2</v>
      </c>
      <c r="Z8" s="252">
        <f t="shared" si="19"/>
        <v>3.6296457291893125E-2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2</v>
      </c>
      <c r="AW8" s="58">
        <f>VLOOKUP($A8,historia!$A$5:$CM$24,+HLOOKUP(AW$2,historia!$A$3:$EC$4,2,FALSE),FALSE)</f>
        <v>2</v>
      </c>
      <c r="AX8" s="58">
        <f>VLOOKUP($A8,historia!$A$5:$DD$24,+HLOOKUP(AX$2,historia!$A$3:$EC$4,2,FALSE),FALSE)</f>
        <v>2</v>
      </c>
      <c r="AY8" s="58">
        <f>VLOOKUP($A8,historia!$A$5:$DD$24,+HLOOKUP(AY$2,historia!$A$3:$EC$4,2,FALSE),FALSE)</f>
        <v>2</v>
      </c>
      <c r="AZ8" s="58">
        <f>VLOOKUP($A8,historia!$A$5:$DG$24,+HLOOKUP(AZ$2,historia!$A$3:$EC$4,2,FALSE),FALSE)</f>
        <v>2</v>
      </c>
      <c r="BA8" s="58">
        <f>VLOOKUP($A8,historia!$A$5:$DG$24,+HLOOKUP(BA$2,historia!$A$3:$EC$4,2,FALSE),FALSE)</f>
        <v>3</v>
      </c>
      <c r="BB8" s="58"/>
      <c r="BC8" s="286">
        <v>3</v>
      </c>
      <c r="BD8" t="str">
        <f t="shared" si="20"/>
        <v>Aves</v>
      </c>
      <c r="BE8">
        <f>+datos!BQ1</f>
        <v>69</v>
      </c>
      <c r="BF8" s="2" t="str">
        <f t="shared" si="4"/>
        <v>prom pond huevo-carne</v>
      </c>
      <c r="BG8" s="2">
        <f t="shared" si="4"/>
        <v>2093.375</v>
      </c>
      <c r="BH8" s="2">
        <f t="shared" si="4"/>
        <v>2051.1287499999999</v>
      </c>
      <c r="BI8" s="2">
        <f t="shared" si="4"/>
        <v>1807.7650000000001</v>
      </c>
      <c r="BK8">
        <f>+datos!DG1</f>
        <v>111</v>
      </c>
      <c r="BL8" s="2">
        <f t="shared" si="21"/>
        <v>12038.623558662173</v>
      </c>
      <c r="BM8" s="2">
        <f t="shared" si="21"/>
        <v>11738.355615573888</v>
      </c>
      <c r="BN8" s="2">
        <f t="shared" si="21"/>
        <v>8642.3751933793919</v>
      </c>
      <c r="BP8" s="1">
        <f>+datos!EP1</f>
        <v>146</v>
      </c>
      <c r="BQ8" s="1">
        <f t="shared" si="22"/>
        <v>9478</v>
      </c>
      <c r="BR8" s="1">
        <f t="shared" si="22"/>
        <v>9119</v>
      </c>
      <c r="BT8" s="1">
        <f>+datos!HM1</f>
        <v>221</v>
      </c>
      <c r="BU8" s="1">
        <f t="shared" si="23"/>
        <v>2400379.3840000001</v>
      </c>
      <c r="BV8" s="1">
        <f t="shared" si="23"/>
        <v>2356765.5222992869</v>
      </c>
      <c r="BX8" s="1">
        <f>+datos!KF1</f>
        <v>292</v>
      </c>
      <c r="BY8" s="1">
        <f t="shared" si="39"/>
        <v>97.048722889999993</v>
      </c>
      <c r="BZ8" s="1">
        <f t="shared" si="40"/>
        <v>320.25649097000002</v>
      </c>
      <c r="CB8" s="1">
        <f>+datos!LK1</f>
        <v>323</v>
      </c>
      <c r="CC8" s="2">
        <f t="shared" si="24"/>
        <v>40.323166759999999</v>
      </c>
      <c r="CD8" s="2">
        <f t="shared" si="25"/>
        <v>36.651792090000001</v>
      </c>
      <c r="CF8" s="1">
        <f>+datos!IL1</f>
        <v>246</v>
      </c>
      <c r="CG8" s="2">
        <f t="shared" si="26"/>
        <v>47.68</v>
      </c>
      <c r="CH8" s="2">
        <f t="shared" si="27"/>
        <v>46.01</v>
      </c>
      <c r="CJ8" s="1">
        <f t="shared" si="28"/>
        <v>10.343166379999998</v>
      </c>
      <c r="CK8" s="1">
        <f t="shared" si="28"/>
        <v>8.6585168299999999</v>
      </c>
      <c r="CL8" s="1">
        <f t="shared" si="28"/>
        <v>9.7942580100000001</v>
      </c>
      <c r="CM8" s="1">
        <f t="shared" si="28"/>
        <v>6.5346210099999995</v>
      </c>
      <c r="CN8" s="1">
        <f t="shared" si="28"/>
        <v>6.7443728600000004</v>
      </c>
      <c r="CO8" s="1">
        <f t="shared" si="28"/>
        <v>8.66231011</v>
      </c>
      <c r="CP8" s="1">
        <f t="shared" si="28"/>
        <v>7.3007548499999997</v>
      </c>
      <c r="CQ8" s="1">
        <f t="shared" si="28"/>
        <v>9.0051498100000007</v>
      </c>
      <c r="CR8" s="1">
        <f t="shared" si="28"/>
        <v>5.9149876199999998</v>
      </c>
      <c r="CS8" s="1">
        <f t="shared" si="28"/>
        <v>8.0094020700000002</v>
      </c>
      <c r="CT8" s="1">
        <f t="shared" si="28"/>
        <v>5.62476749</v>
      </c>
      <c r="CU8" s="1">
        <f t="shared" si="28"/>
        <v>10.456415849999999</v>
      </c>
      <c r="CV8" s="1">
        <f t="shared" si="28"/>
        <v>8.1147673099999995</v>
      </c>
      <c r="CW8" s="1">
        <f t="shared" si="28"/>
        <v>20.968439010000004</v>
      </c>
      <c r="CX8" s="1">
        <f t="shared" si="28"/>
        <v>22.566015059999998</v>
      </c>
      <c r="CY8" s="1">
        <f t="shared" si="28"/>
        <v>20.944876220000001</v>
      </c>
      <c r="CZ8" s="1">
        <f t="shared" si="29"/>
        <v>23.157032140000002</v>
      </c>
      <c r="DA8" s="1">
        <f t="shared" si="29"/>
        <v>19.314763240000005</v>
      </c>
      <c r="DB8" s="1">
        <f t="shared" si="29"/>
        <v>22.778743510000002</v>
      </c>
      <c r="DC8" s="1">
        <f t="shared" si="29"/>
        <v>39.062197300000001</v>
      </c>
      <c r="DD8" s="1">
        <f t="shared" si="29"/>
        <v>40.013868680000002</v>
      </c>
      <c r="DE8" s="1">
        <f t="shared" si="29"/>
        <v>35.607742460000011</v>
      </c>
      <c r="DF8" s="1">
        <f t="shared" si="29"/>
        <v>32.51792974</v>
      </c>
      <c r="DG8" s="1">
        <f t="shared" si="29"/>
        <v>35.210116300000003</v>
      </c>
      <c r="DI8" s="1">
        <f t="shared" si="30"/>
        <v>3.1609685399999994</v>
      </c>
      <c r="DJ8" s="1">
        <f t="shared" si="30"/>
        <v>2.9900732700000003</v>
      </c>
      <c r="DK8" s="1">
        <f t="shared" si="30"/>
        <v>5.5193633599999998</v>
      </c>
      <c r="DL8" s="1">
        <f t="shared" si="30"/>
        <v>3.4351580800000003</v>
      </c>
      <c r="DM8" s="1">
        <f t="shared" si="30"/>
        <v>2.0550383299999999</v>
      </c>
      <c r="DN8" s="1">
        <f t="shared" si="30"/>
        <v>3.4373023600000003</v>
      </c>
      <c r="DO8" s="1">
        <f t="shared" si="30"/>
        <v>5.2475744900000008</v>
      </c>
      <c r="DP8" s="1">
        <f t="shared" si="30"/>
        <v>3.52939004</v>
      </c>
      <c r="DQ8" s="1">
        <f t="shared" si="30"/>
        <v>1.41927303</v>
      </c>
      <c r="DR8" s="1">
        <f t="shared" si="30"/>
        <v>4.5240591299999995</v>
      </c>
      <c r="DS8" s="1">
        <f t="shared" si="30"/>
        <v>2.5037689800000003</v>
      </c>
      <c r="DT8" s="1">
        <f t="shared" si="30"/>
        <v>2.5011971499999999</v>
      </c>
      <c r="DU8" s="1">
        <f t="shared" si="30"/>
        <v>3.7585351000000005</v>
      </c>
      <c r="DV8" s="1">
        <f t="shared" si="30"/>
        <v>4.0425458900000004</v>
      </c>
      <c r="DW8" s="1">
        <f t="shared" si="30"/>
        <v>3.59052696</v>
      </c>
      <c r="DX8" s="1">
        <f t="shared" si="30"/>
        <v>2.1766254799999998</v>
      </c>
      <c r="DY8" s="1">
        <f t="shared" si="31"/>
        <v>1.5903026900000001</v>
      </c>
      <c r="DZ8" s="1">
        <f t="shared" si="31"/>
        <v>5.6916922899999998</v>
      </c>
      <c r="EA8" s="1">
        <f t="shared" si="31"/>
        <v>1.7294530099999998</v>
      </c>
      <c r="EB8" s="1">
        <f t="shared" si="31"/>
        <v>4.2232492399999995</v>
      </c>
      <c r="EC8" s="1">
        <f t="shared" si="31"/>
        <v>1.27466579</v>
      </c>
      <c r="ED8" s="1">
        <f t="shared" si="31"/>
        <v>1.8857013599999999</v>
      </c>
      <c r="EE8" s="1">
        <f t="shared" si="31"/>
        <v>4.07849503</v>
      </c>
      <c r="EF8" s="1">
        <f t="shared" si="31"/>
        <v>2.60999925</v>
      </c>
      <c r="EH8" s="14">
        <f t="shared" si="32"/>
        <v>47.68</v>
      </c>
      <c r="EI8" s="14">
        <f t="shared" si="32"/>
        <v>46.5</v>
      </c>
      <c r="EJ8" s="1">
        <f t="shared" si="32"/>
        <v>46.08</v>
      </c>
      <c r="EK8" s="1">
        <f t="shared" si="32"/>
        <v>45.67</v>
      </c>
      <c r="EL8" s="1">
        <f t="shared" si="32"/>
        <v>45.79</v>
      </c>
      <c r="EM8" s="1">
        <f t="shared" si="32"/>
        <v>45.9</v>
      </c>
      <c r="EN8" s="1">
        <f t="shared" si="32"/>
        <v>45.78</v>
      </c>
      <c r="EO8" s="1">
        <f t="shared" si="32"/>
        <v>45.91</v>
      </c>
      <c r="EP8" s="1">
        <f t="shared" si="32"/>
        <v>45.61</v>
      </c>
      <c r="EQ8" s="1">
        <f t="shared" si="32"/>
        <v>45.61</v>
      </c>
      <c r="ER8" s="1">
        <f t="shared" si="32"/>
        <v>45.23</v>
      </c>
      <c r="ES8" s="1">
        <f t="shared" si="32"/>
        <v>45.2</v>
      </c>
      <c r="ET8" s="1">
        <f t="shared" si="32"/>
        <v>46.01</v>
      </c>
      <c r="EU8" s="1">
        <f t="shared" si="32"/>
        <v>44.44</v>
      </c>
      <c r="EV8" s="1">
        <f t="shared" si="32"/>
        <v>42.29</v>
      </c>
      <c r="EW8" s="1">
        <f t="shared" si="32"/>
        <v>45.39</v>
      </c>
      <c r="EX8" s="1">
        <f t="shared" si="33"/>
        <v>45.32</v>
      </c>
      <c r="EY8" s="1">
        <f t="shared" si="33"/>
        <v>44.85</v>
      </c>
      <c r="EZ8" s="1">
        <f t="shared" si="33"/>
        <v>45.52</v>
      </c>
      <c r="FA8" s="1">
        <f t="shared" si="33"/>
        <v>46.23</v>
      </c>
      <c r="FB8" s="1">
        <f t="shared" si="33"/>
        <v>46.23</v>
      </c>
      <c r="FC8" s="1">
        <f t="shared" si="33"/>
        <v>46.23</v>
      </c>
      <c r="FD8" s="1">
        <f t="shared" si="33"/>
        <v>48.52</v>
      </c>
      <c r="FE8" s="1">
        <f t="shared" si="33"/>
        <v>45.85</v>
      </c>
      <c r="FG8" s="162">
        <f t="shared" si="34"/>
        <v>-0.23498560171615801</v>
      </c>
    </row>
    <row r="9" spans="1:163" ht="18.75" customHeight="1">
      <c r="A9" s="244" t="s">
        <v>77</v>
      </c>
      <c r="B9" s="247"/>
      <c r="C9" s="228">
        <v>0</v>
      </c>
      <c r="D9" s="229">
        <v>1</v>
      </c>
      <c r="E9" s="253">
        <f t="shared" si="6"/>
        <v>0.11747388059890818</v>
      </c>
      <c r="F9" s="254">
        <f t="shared" si="7"/>
        <v>9.2744683888122514E-2</v>
      </c>
      <c r="G9" s="253">
        <f t="shared" si="8"/>
        <v>3.7470166109228931E-2</v>
      </c>
      <c r="H9" s="254">
        <f t="shared" si="9"/>
        <v>8.0003714489679245E-2</v>
      </c>
      <c r="I9" s="253">
        <f t="shared" si="10"/>
        <v>0.79749540398980612</v>
      </c>
      <c r="J9" s="254">
        <f t="shared" si="11"/>
        <v>0.48380796239010504</v>
      </c>
      <c r="K9" s="253">
        <f t="shared" si="12"/>
        <v>0.44454312506318572</v>
      </c>
      <c r="L9" s="254">
        <f t="shared" si="13"/>
        <v>0.3529522789266204</v>
      </c>
      <c r="M9" s="255"/>
      <c r="N9" s="256">
        <v>-1</v>
      </c>
      <c r="O9" s="253">
        <f t="shared" si="35"/>
        <v>-2.1957134195409456E-2</v>
      </c>
      <c r="P9" s="257">
        <f t="shared" si="36"/>
        <v>-2.1957134195409456E-2</v>
      </c>
      <c r="Q9" s="253">
        <f t="shared" si="14"/>
        <v>6.1664000890049309E-3</v>
      </c>
      <c r="R9" s="257">
        <f t="shared" si="37"/>
        <v>6.1664000890049309E-3</v>
      </c>
      <c r="S9" s="255"/>
      <c r="T9" s="256">
        <v>0</v>
      </c>
      <c r="U9" s="253">
        <f t="shared" si="15"/>
        <v>0.21833729170407379</v>
      </c>
      <c r="V9" s="258">
        <f t="shared" si="16"/>
        <v>0.21833729170407379</v>
      </c>
      <c r="W9" s="253">
        <f t="shared" si="38"/>
        <v>1.9452534156200509</v>
      </c>
      <c r="X9" s="258">
        <f t="shared" si="17"/>
        <v>1.9452534156200509</v>
      </c>
      <c r="Y9" s="253">
        <f t="shared" si="18"/>
        <v>4.9882754210189839E-2</v>
      </c>
      <c r="Z9" s="258">
        <f t="shared" si="19"/>
        <v>4.9882754210189839E-2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3</v>
      </c>
      <c r="AQ9" s="28">
        <f>VLOOKUP($A9,historia!$A$5:$CM$24,+HLOOKUP(AQ$2,historia!$A$3:$EC$4,2,FALSE),FALSE)</f>
        <v>3</v>
      </c>
      <c r="AR9" s="28">
        <f>VLOOKUP($A9,historia!$A$5:$CM$24,+HLOOKUP(AR$2,historia!$A$3:$EC$4,2,FALSE),FALSE)</f>
        <v>3</v>
      </c>
      <c r="AS9" s="28">
        <f>VLOOKUP($A9,historia!$A$5:$CM$24,+HLOOKUP(AS$2,historia!$A$3:$EC$4,2,FALSE),FALSE)</f>
        <v>2</v>
      </c>
      <c r="AT9" s="58">
        <f>VLOOKUP($A9,historia!$A$5:$CM$24,+HLOOKUP(AT$2,historia!$A$3:$EC$4,2,FALSE),FALSE)</f>
        <v>2</v>
      </c>
      <c r="AU9" s="58">
        <f>VLOOKUP($A9,historia!$A$5:$CM$24,+HLOOKUP(AU$2,historia!$A$3:$EC$4,2,FALSE),FALSE)</f>
        <v>2</v>
      </c>
      <c r="AV9" s="58">
        <f>VLOOKUP($A9,historia!$A$5:$CM$24,+HLOOKUP(AV$2,historia!$A$3:$EC$4,2,FALSE),FALSE)</f>
        <v>2</v>
      </c>
      <c r="AW9" s="58">
        <f>VLOOKUP($A9,historia!$A$5:$CM$24,+HLOOKUP(AW$2,historia!$A$3:$EC$4,2,FALSE),FALSE)</f>
        <v>2</v>
      </c>
      <c r="AX9" s="58">
        <f>VLOOKUP($A9,historia!$A$5:$DD$24,+HLOOKUP(AX$2,historia!$A$3:$EC$4,2,FALSE),FALSE)</f>
        <v>1</v>
      </c>
      <c r="AY9" s="58">
        <f>VLOOKUP($A9,historia!$A$5:$DD$24,+HLOOKUP(AY$2,historia!$A$3:$EC$4,2,FALSE),FALSE)</f>
        <v>1</v>
      </c>
      <c r="AZ9" s="58">
        <f>VLOOKUP($A9,historia!$A$5:$DG$24,+HLOOKUP(AZ$2,historia!$A$3:$EC$4,2,FALSE),FALSE)</f>
        <v>2</v>
      </c>
      <c r="BA9" s="58">
        <f>VLOOKUP($A9,historia!$A$5:$DG$24,+HLOOKUP(BA$2,historia!$A$3:$EC$4,2,FALSE),FALSE)</f>
        <v>1</v>
      </c>
      <c r="BB9" s="58"/>
      <c r="BC9" s="286">
        <v>1</v>
      </c>
      <c r="BD9" t="str">
        <f t="shared" si="20"/>
        <v>Bovinos</v>
      </c>
      <c r="BE9">
        <f>+datos!BM1</f>
        <v>65</v>
      </c>
      <c r="BF9" s="2" t="str">
        <f t="shared" si="4"/>
        <v>$/kg</v>
      </c>
      <c r="BG9" s="2">
        <f t="shared" si="4"/>
        <v>4404.7534999999998</v>
      </c>
      <c r="BH9" s="2">
        <f t="shared" si="4"/>
        <v>3941.7060000000001</v>
      </c>
      <c r="BI9" s="2">
        <f t="shared" si="4"/>
        <v>2450.4949999999999</v>
      </c>
      <c r="BK9">
        <f>+datos!DB1</f>
        <v>106</v>
      </c>
      <c r="BL9" s="2">
        <f t="shared" si="21"/>
        <v>12961.142323141605</v>
      </c>
      <c r="BM9" s="2">
        <f t="shared" si="21"/>
        <v>12493.026543355083</v>
      </c>
      <c r="BN9" s="2">
        <f t="shared" si="21"/>
        <v>8972.485554956811</v>
      </c>
      <c r="BP9" s="1">
        <f>+datos!EH1</f>
        <v>138</v>
      </c>
      <c r="BQ9" s="1">
        <f t="shared" si="22"/>
        <v>51624909</v>
      </c>
      <c r="BR9" s="1">
        <f t="shared" si="22"/>
        <v>52783892</v>
      </c>
      <c r="BT9" s="1">
        <f>+datos!HB1</f>
        <v>210</v>
      </c>
      <c r="BU9" s="1">
        <f t="shared" si="23"/>
        <v>3147207</v>
      </c>
      <c r="BV9" s="1">
        <f t="shared" si="23"/>
        <v>3127919</v>
      </c>
      <c r="BX9" s="1">
        <f>+datos!KG1</f>
        <v>293</v>
      </c>
      <c r="BY9" s="1">
        <f t="shared" si="39"/>
        <v>4980.9886767899998</v>
      </c>
      <c r="BZ9" s="1">
        <f t="shared" si="40"/>
        <v>4088.349515939999</v>
      </c>
      <c r="CB9" s="1">
        <f>+datos!LL1</f>
        <v>324</v>
      </c>
      <c r="CC9" s="2">
        <f t="shared" si="24"/>
        <v>102.20437797000001</v>
      </c>
      <c r="CD9" s="2">
        <f t="shared" si="25"/>
        <v>34.701386790000001</v>
      </c>
      <c r="CF9" s="1">
        <f>+datos!IM1</f>
        <v>247</v>
      </c>
      <c r="CG9" s="2">
        <f t="shared" si="26"/>
        <v>49.25</v>
      </c>
      <c r="CH9" s="2">
        <f t="shared" si="27"/>
        <v>46.91</v>
      </c>
      <c r="CJ9" s="1">
        <f t="shared" si="28"/>
        <v>474.71184945000005</v>
      </c>
      <c r="CK9" s="1">
        <f t="shared" si="28"/>
        <v>535.90919134000001</v>
      </c>
      <c r="CL9" s="1">
        <f t="shared" si="28"/>
        <v>536.17235368000001</v>
      </c>
      <c r="CM9" s="1">
        <f t="shared" si="28"/>
        <v>505.86158855000002</v>
      </c>
      <c r="CN9" s="1">
        <f t="shared" si="28"/>
        <v>434.66638176999993</v>
      </c>
      <c r="CO9" s="1">
        <f t="shared" si="28"/>
        <v>430.01977605999991</v>
      </c>
      <c r="CP9" s="1">
        <f t="shared" si="28"/>
        <v>389.02912699999996</v>
      </c>
      <c r="CQ9" s="1">
        <f t="shared" si="28"/>
        <v>350.95842742999997</v>
      </c>
      <c r="CR9" s="1">
        <f t="shared" si="28"/>
        <v>275.41226476999998</v>
      </c>
      <c r="CS9" s="1">
        <f t="shared" si="28"/>
        <v>345.87150417999976</v>
      </c>
      <c r="CT9" s="1">
        <f t="shared" si="28"/>
        <v>330.34833823999992</v>
      </c>
      <c r="CU9" s="1">
        <f t="shared" si="28"/>
        <v>372.02787432000008</v>
      </c>
      <c r="CV9" s="1">
        <f t="shared" si="28"/>
        <v>363.37275483999991</v>
      </c>
      <c r="CW9" s="1">
        <f t="shared" si="28"/>
        <v>373.60267999999996</v>
      </c>
      <c r="CX9" s="1">
        <f t="shared" si="28"/>
        <v>392.24577093999977</v>
      </c>
      <c r="CY9" s="1">
        <f t="shared" si="28"/>
        <v>370.00520762000008</v>
      </c>
      <c r="CZ9" s="1">
        <f t="shared" si="29"/>
        <v>307.7105307999999</v>
      </c>
      <c r="DA9" s="1">
        <f t="shared" si="29"/>
        <v>311.98041742999999</v>
      </c>
      <c r="DB9" s="1">
        <f t="shared" si="29"/>
        <v>309.32423856999998</v>
      </c>
      <c r="DC9" s="1">
        <f t="shared" si="29"/>
        <v>316.28118749999999</v>
      </c>
      <c r="DD9" s="1">
        <f t="shared" si="29"/>
        <v>350.14414257999977</v>
      </c>
      <c r="DE9" s="1">
        <f t="shared" si="29"/>
        <v>342.85888695999995</v>
      </c>
      <c r="DF9" s="1">
        <f t="shared" si="29"/>
        <v>324.84866957999998</v>
      </c>
      <c r="DG9" s="1">
        <f t="shared" si="29"/>
        <v>325.97502911999987</v>
      </c>
      <c r="DI9" s="1">
        <f t="shared" si="30"/>
        <v>8.8931998399999994</v>
      </c>
      <c r="DJ9" s="1">
        <f t="shared" si="30"/>
        <v>5.7331222099999994</v>
      </c>
      <c r="DK9" s="1">
        <f t="shared" si="30"/>
        <v>13.331294830000001</v>
      </c>
      <c r="DL9" s="1">
        <f t="shared" si="30"/>
        <v>9.6599299699999985</v>
      </c>
      <c r="DM9" s="1">
        <f t="shared" si="30"/>
        <v>6.816705279999999</v>
      </c>
      <c r="DN9" s="1">
        <f t="shared" si="30"/>
        <v>8.1579769499999983</v>
      </c>
      <c r="DO9" s="1">
        <f t="shared" si="30"/>
        <v>10.16779666</v>
      </c>
      <c r="DP9" s="1">
        <f t="shared" si="30"/>
        <v>11.009236750000001</v>
      </c>
      <c r="DQ9" s="1">
        <f t="shared" si="30"/>
        <v>8.7569028099999997</v>
      </c>
      <c r="DR9" s="1">
        <f t="shared" si="30"/>
        <v>7.0677003599999999</v>
      </c>
      <c r="DS9" s="1">
        <f t="shared" si="30"/>
        <v>5.8644577399999989</v>
      </c>
      <c r="DT9" s="1">
        <f t="shared" si="30"/>
        <v>6.7460545699999992</v>
      </c>
      <c r="DU9" s="1">
        <f t="shared" si="30"/>
        <v>2.8647302900000002</v>
      </c>
      <c r="DV9" s="1">
        <f t="shared" si="30"/>
        <v>3.9160438699999998</v>
      </c>
      <c r="DW9" s="1">
        <f t="shared" si="30"/>
        <v>2.7432327000000001</v>
      </c>
      <c r="DX9" s="1">
        <f t="shared" si="30"/>
        <v>3.5031505699999994</v>
      </c>
      <c r="DY9" s="1">
        <f t="shared" si="31"/>
        <v>3.9954732900000005</v>
      </c>
      <c r="DZ9" s="1">
        <f t="shared" si="31"/>
        <v>2.3751918999999999</v>
      </c>
      <c r="EA9" s="1">
        <f t="shared" si="31"/>
        <v>3.3189943100000003</v>
      </c>
      <c r="EB9" s="1">
        <f t="shared" si="31"/>
        <v>3.6004889900000006</v>
      </c>
      <c r="EC9" s="1">
        <f t="shared" si="31"/>
        <v>2.2940615100000001</v>
      </c>
      <c r="ED9" s="1">
        <f t="shared" si="31"/>
        <v>1.2696953500000001</v>
      </c>
      <c r="EE9" s="1">
        <f t="shared" si="31"/>
        <v>1.4792882700000001</v>
      </c>
      <c r="EF9" s="1">
        <f t="shared" si="31"/>
        <v>3.3410357400000001</v>
      </c>
      <c r="EH9" s="14">
        <f t="shared" si="32"/>
        <v>49.25</v>
      </c>
      <c r="EI9" s="14">
        <f t="shared" si="32"/>
        <v>49.56</v>
      </c>
      <c r="EJ9" s="1">
        <f t="shared" si="32"/>
        <v>49.84</v>
      </c>
      <c r="EK9" s="1">
        <f t="shared" si="32"/>
        <v>49.93</v>
      </c>
      <c r="EL9" s="1">
        <f t="shared" si="32"/>
        <v>50.15</v>
      </c>
      <c r="EM9" s="1">
        <f t="shared" si="32"/>
        <v>50.33</v>
      </c>
      <c r="EN9" s="1">
        <f t="shared" si="32"/>
        <v>49.79</v>
      </c>
      <c r="EO9" s="1">
        <f t="shared" si="32"/>
        <v>49.86</v>
      </c>
      <c r="EP9" s="1">
        <f t="shared" si="32"/>
        <v>49.86</v>
      </c>
      <c r="EQ9" s="1">
        <f t="shared" si="32"/>
        <v>48.75</v>
      </c>
      <c r="ER9" s="1">
        <f t="shared" si="32"/>
        <v>48.18</v>
      </c>
      <c r="ES9" s="1">
        <f t="shared" si="32"/>
        <v>47.81</v>
      </c>
      <c r="ET9" s="1">
        <f t="shared" si="32"/>
        <v>46.91</v>
      </c>
      <c r="EU9" s="1">
        <f t="shared" si="32"/>
        <v>47.74</v>
      </c>
      <c r="EV9" s="1">
        <f t="shared" si="32"/>
        <v>47.38</v>
      </c>
      <c r="EW9" s="1">
        <f t="shared" si="32"/>
        <v>47.74</v>
      </c>
      <c r="EX9" s="1">
        <f t="shared" si="33"/>
        <v>47.8</v>
      </c>
      <c r="EY9" s="1">
        <f t="shared" si="33"/>
        <v>47.58</v>
      </c>
      <c r="EZ9" s="1">
        <f t="shared" si="33"/>
        <v>49.18</v>
      </c>
      <c r="FA9" s="1">
        <f t="shared" si="33"/>
        <v>49.37</v>
      </c>
      <c r="FB9" s="1">
        <f t="shared" si="33"/>
        <v>49.38</v>
      </c>
      <c r="FC9" s="1">
        <f t="shared" si="33"/>
        <v>51.48</v>
      </c>
      <c r="FD9" s="1">
        <f t="shared" si="33"/>
        <v>52.06</v>
      </c>
      <c r="FE9" s="1">
        <f t="shared" si="33"/>
        <v>42.59</v>
      </c>
      <c r="FG9" s="162">
        <f t="shared" si="34"/>
        <v>0.3529522789266204</v>
      </c>
    </row>
    <row r="10" spans="1:163" ht="28.8">
      <c r="A10" s="263" t="s">
        <v>221</v>
      </c>
      <c r="B10" s="246"/>
      <c r="C10" s="156">
        <f t="shared" si="5"/>
        <v>0</v>
      </c>
      <c r="D10" s="198">
        <v>-1</v>
      </c>
      <c r="E10" s="248">
        <f t="shared" si="6"/>
        <v>0.37212507423798291</v>
      </c>
      <c r="F10" s="249">
        <f t="shared" si="7"/>
        <v>0.34739587752719725</v>
      </c>
      <c r="G10" s="248">
        <f t="shared" si="8"/>
        <v>3.9408032827305872E-2</v>
      </c>
      <c r="H10" s="249">
        <f t="shared" si="9"/>
        <v>0.33271704141067704</v>
      </c>
      <c r="I10" s="248">
        <f t="shared" si="10"/>
        <v>0.64514570284549166</v>
      </c>
      <c r="J10" s="249">
        <f t="shared" si="11"/>
        <v>0.33145826124579059</v>
      </c>
      <c r="K10" s="248">
        <f t="shared" si="12"/>
        <v>0.39471888978541636</v>
      </c>
      <c r="L10" s="249">
        <f t="shared" si="13"/>
        <v>0.2504268130600753</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0.35896191667046162</v>
      </c>
      <c r="V10" s="252">
        <f t="shared" si="16"/>
        <v>0.35896191667046162</v>
      </c>
      <c r="W10" s="248">
        <f t="shared" si="38"/>
        <v>0.64304875034625342</v>
      </c>
      <c r="X10" s="252">
        <f t="shared" si="17"/>
        <v>0.64304875034625342</v>
      </c>
      <c r="Y10" s="248">
        <f t="shared" si="18"/>
        <v>-1.4951121334099926E-2</v>
      </c>
      <c r="Z10" s="258">
        <f t="shared" si="19"/>
        <v>-1.4951121334099926E-2</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3</v>
      </c>
      <c r="AR10" s="28">
        <f>VLOOKUP($A10,historia!$A$5:$CM$24,+HLOOKUP(AR$2,historia!$A$3:$EC$4,2,FALSE),FALSE)</f>
        <v>4</v>
      </c>
      <c r="AS10" s="28">
        <f>VLOOKUP($A10,historia!$A$5:$CM$24,+HLOOKUP(AS$2,historia!$A$3:$EC$4,2,FALSE),FALSE)</f>
        <v>4</v>
      </c>
      <c r="AT10" s="58">
        <f>VLOOKUP($A10,historia!$A$5:$CM$24,+HLOOKUP(AT$2,historia!$A$3:$EC$4,2,FALSE),FALSE)</f>
        <v>4</v>
      </c>
      <c r="AU10" s="58">
        <f>VLOOKUP($A10,historia!$A$5:$CM$24,+HLOOKUP(AU$2,historia!$A$3:$EC$4,2,FALSE),FALSE)</f>
        <v>4</v>
      </c>
      <c r="AV10" s="58">
        <f>VLOOKUP($A10,historia!$A$5:$CM$24,+HLOOKUP(AV$2,historia!$A$3:$EC$4,2,FALSE),FALSE)</f>
        <v>3</v>
      </c>
      <c r="AW10" s="58">
        <f>VLOOKUP($A10,historia!$A$5:$CM$24,+HLOOKUP(AW$2,historia!$A$3:$EC$4,2,FALSE),FALSE)</f>
        <v>2</v>
      </c>
      <c r="AX10" s="58">
        <f>VLOOKUP($A10,historia!$A$5:$DD$24,+HLOOKUP(AX$2,historia!$A$3:$EC$4,2,FALSE),FALSE)</f>
        <v>3</v>
      </c>
      <c r="AY10" s="58">
        <f>VLOOKUP($A10,historia!$A$5:$DD$24,+HLOOKUP(AY$2,historia!$A$3:$EC$4,2,FALSE),FALSE)</f>
        <v>3</v>
      </c>
      <c r="AZ10" s="58">
        <f>VLOOKUP($A10,historia!$A$5:$DG$24,+HLOOKUP(AZ$2,historia!$A$3:$EC$4,2,FALSE),FALSE)</f>
        <v>3</v>
      </c>
      <c r="BA10" s="58">
        <f>VLOOKUP($A10,historia!$A$5:$DG$24,+HLOOKUP(BA$2,historia!$A$3:$EC$4,2,FALSE),FALSE)</f>
        <v>3</v>
      </c>
      <c r="BB10" s="58"/>
      <c r="BC10" s="286">
        <v>3</v>
      </c>
      <c r="BD10" t="str">
        <f t="shared" si="20"/>
        <v>Cítricos Dulces</v>
      </c>
      <c r="BE10">
        <f>+datos!AU1</f>
        <v>47</v>
      </c>
      <c r="BF10" s="2" t="str">
        <f t="shared" si="4"/>
        <v>$/caja 18kg</v>
      </c>
      <c r="BG10" s="2">
        <f t="shared" si="4"/>
        <v>21220.981481481478</v>
      </c>
      <c r="BH10" s="2">
        <f t="shared" si="4"/>
        <v>15465.777777777776</v>
      </c>
      <c r="BI10" s="2">
        <f t="shared" si="4"/>
        <v>12899.150175438597</v>
      </c>
      <c r="BK10">
        <f>+datos!CX1</f>
        <v>102</v>
      </c>
      <c r="BL10" s="2">
        <f t="shared" si="21"/>
        <v>12061.849325779074</v>
      </c>
      <c r="BM10" s="2">
        <f t="shared" si="21"/>
        <v>11604.537337439559</v>
      </c>
      <c r="BN10" s="2">
        <f t="shared" si="21"/>
        <v>8648.2296999898263</v>
      </c>
      <c r="BP10" s="1">
        <f>+datos!ER1</f>
        <v>148</v>
      </c>
      <c r="BQ10" s="1">
        <f t="shared" si="22"/>
        <v>79911</v>
      </c>
      <c r="BR10" s="1">
        <f t="shared" si="22"/>
        <v>80248</v>
      </c>
      <c r="BT10" s="1">
        <f>+datos!GH1</f>
        <v>190</v>
      </c>
      <c r="BU10" s="1">
        <f t="shared" si="23"/>
        <v>1543162</v>
      </c>
      <c r="BV10" s="1">
        <f t="shared" si="23"/>
        <v>1734000</v>
      </c>
      <c r="BX10" s="1">
        <f>+datos!LT1</f>
        <v>332</v>
      </c>
      <c r="BY10" s="1">
        <f t="shared" si="39"/>
        <v>128.87006880000001</v>
      </c>
      <c r="BZ10" s="1">
        <f t="shared" si="40"/>
        <v>94.829786780000006</v>
      </c>
      <c r="CA10" s="1"/>
      <c r="CB10" s="1">
        <f>+datos!LX1</f>
        <v>336</v>
      </c>
      <c r="CC10" s="2">
        <f t="shared" si="24"/>
        <v>7.6508970399999994</v>
      </c>
      <c r="CD10" s="2">
        <f t="shared" si="25"/>
        <v>4.6565246699999996</v>
      </c>
      <c r="CF10" s="1">
        <f>+datos!IV1</f>
        <v>256</v>
      </c>
      <c r="CG10" s="1">
        <f t="shared" si="26"/>
        <v>17.130000000000003</v>
      </c>
      <c r="CH10" s="1">
        <f t="shared" si="27"/>
        <v>17.39</v>
      </c>
      <c r="CJ10" s="1">
        <f t="shared" si="28"/>
        <v>9.318502950000001</v>
      </c>
      <c r="CK10" s="1">
        <f t="shared" si="28"/>
        <v>10.108990799999999</v>
      </c>
      <c r="CL10" s="1">
        <f t="shared" si="28"/>
        <v>8.35667808</v>
      </c>
      <c r="CM10" s="1">
        <f t="shared" si="28"/>
        <v>14.350128370000002</v>
      </c>
      <c r="CN10" s="1">
        <f t="shared" si="28"/>
        <v>16.897846870000002</v>
      </c>
      <c r="CO10" s="1">
        <f t="shared" si="28"/>
        <v>10.456701950000001</v>
      </c>
      <c r="CP10" s="1">
        <f t="shared" si="28"/>
        <v>9.5618942600000008</v>
      </c>
      <c r="CQ10" s="1">
        <f t="shared" si="28"/>
        <v>5.6783096999999998</v>
      </c>
      <c r="CR10" s="1">
        <f t="shared" si="28"/>
        <v>3.5979505000000001</v>
      </c>
      <c r="CS10" s="1">
        <f t="shared" si="28"/>
        <v>11.482528969999997</v>
      </c>
      <c r="CT10" s="1">
        <f t="shared" si="28"/>
        <v>11.00321864</v>
      </c>
      <c r="CU10" s="1">
        <f t="shared" si="28"/>
        <v>18.05731771</v>
      </c>
      <c r="CV10" s="1">
        <f t="shared" si="28"/>
        <v>12.23030908</v>
      </c>
      <c r="CW10" s="1">
        <f t="shared" si="28"/>
        <v>17.119922650000003</v>
      </c>
      <c r="CX10" s="1">
        <f t="shared" si="28"/>
        <v>15.255558669999997</v>
      </c>
      <c r="CY10" s="1">
        <f t="shared" si="28"/>
        <v>10.271936310000001</v>
      </c>
      <c r="CZ10" s="1">
        <f t="shared" si="29"/>
        <v>14.041262509999999</v>
      </c>
      <c r="DA10" s="1">
        <f t="shared" si="29"/>
        <v>6.1015489199999999</v>
      </c>
      <c r="DB10" s="1">
        <f t="shared" si="29"/>
        <v>2.3063176799999998</v>
      </c>
      <c r="DC10" s="1">
        <f t="shared" si="29"/>
        <v>3.2785219999999997</v>
      </c>
      <c r="DD10" s="1">
        <f t="shared" si="29"/>
        <v>2.8661316999999999</v>
      </c>
      <c r="DE10" s="1">
        <f t="shared" si="29"/>
        <v>3.3581509099999995</v>
      </c>
      <c r="DF10" s="1">
        <f t="shared" si="29"/>
        <v>4.3519123000000004</v>
      </c>
      <c r="DG10" s="1">
        <f t="shared" si="29"/>
        <v>3.6482140500000004</v>
      </c>
      <c r="DI10" s="1">
        <f t="shared" si="30"/>
        <v>0.37596773000000006</v>
      </c>
      <c r="DJ10" s="1">
        <f t="shared" si="30"/>
        <v>0.55234585999999997</v>
      </c>
      <c r="DK10" s="1">
        <f t="shared" si="30"/>
        <v>0.12110615999999999</v>
      </c>
      <c r="DL10" s="1">
        <f t="shared" si="30"/>
        <v>2.631816E-2</v>
      </c>
      <c r="DM10" s="1">
        <f t="shared" si="30"/>
        <v>4.99154E-3</v>
      </c>
      <c r="DN10" s="1">
        <f t="shared" si="30"/>
        <v>4.683996E-2</v>
      </c>
      <c r="DO10" s="1">
        <f t="shared" si="30"/>
        <v>0.23953321999999996</v>
      </c>
      <c r="DP10" s="1">
        <f t="shared" si="30"/>
        <v>0.72731897999999995</v>
      </c>
      <c r="DQ10" s="1">
        <f t="shared" si="30"/>
        <v>1.7947146899999999</v>
      </c>
      <c r="DR10" s="1">
        <f t="shared" si="30"/>
        <v>1.56764612</v>
      </c>
      <c r="DS10" s="1">
        <f t="shared" si="30"/>
        <v>1.4871383200000001</v>
      </c>
      <c r="DT10" s="1">
        <f t="shared" si="30"/>
        <v>0.7069763</v>
      </c>
      <c r="DU10" s="1">
        <f t="shared" si="30"/>
        <v>0.35634324000000006</v>
      </c>
      <c r="DV10" s="1">
        <f t="shared" si="30"/>
        <v>0.22489865000000001</v>
      </c>
      <c r="DW10" s="1">
        <f t="shared" si="30"/>
        <v>0.17467300000000002</v>
      </c>
      <c r="DX10" s="1">
        <f t="shared" si="30"/>
        <v>7.2500000000000004E-3</v>
      </c>
      <c r="DY10" s="1">
        <f t="shared" si="31"/>
        <v>0.23680799999999999</v>
      </c>
      <c r="DZ10" s="1">
        <f t="shared" si="31"/>
        <v>0</v>
      </c>
      <c r="EA10" s="1">
        <f t="shared" si="31"/>
        <v>0.3075099</v>
      </c>
      <c r="EB10" s="1">
        <f t="shared" si="31"/>
        <v>0.82950560000000007</v>
      </c>
      <c r="EC10" s="1">
        <f t="shared" si="31"/>
        <v>1.06715808</v>
      </c>
      <c r="ED10" s="1">
        <f t="shared" si="31"/>
        <v>0.57276656999999997</v>
      </c>
      <c r="EE10" s="1">
        <f t="shared" si="31"/>
        <v>0.50591796999999994</v>
      </c>
      <c r="EF10" s="1">
        <f t="shared" si="31"/>
        <v>0.37369366000000004</v>
      </c>
      <c r="EH10" s="14">
        <f t="shared" si="32"/>
        <v>17.130000000000003</v>
      </c>
      <c r="EI10" s="14">
        <f t="shared" si="32"/>
        <v>17.130000000000003</v>
      </c>
      <c r="EJ10" s="1">
        <f t="shared" si="32"/>
        <v>17.130000000000003</v>
      </c>
      <c r="EK10" s="1">
        <f t="shared" si="32"/>
        <v>17.130000000000003</v>
      </c>
      <c r="EL10" s="1">
        <f t="shared" si="32"/>
        <v>17.130000000000003</v>
      </c>
      <c r="EM10" s="1">
        <f t="shared" si="32"/>
        <v>17.130000000000003</v>
      </c>
      <c r="EN10" s="1">
        <f t="shared" si="32"/>
        <v>17.130000000000003</v>
      </c>
      <c r="EO10" s="1">
        <f t="shared" si="32"/>
        <v>17.130000000000003</v>
      </c>
      <c r="EP10" s="1">
        <f t="shared" si="32"/>
        <v>17.130000000000003</v>
      </c>
      <c r="EQ10" s="1">
        <f t="shared" si="32"/>
        <v>17.130000000000003</v>
      </c>
      <c r="ER10" s="1">
        <f t="shared" si="32"/>
        <v>17.130000000000003</v>
      </c>
      <c r="ES10" s="1">
        <f t="shared" si="32"/>
        <v>17.39</v>
      </c>
      <c r="ET10" s="1">
        <f t="shared" si="32"/>
        <v>17.39</v>
      </c>
      <c r="EU10" s="1">
        <f t="shared" si="32"/>
        <v>17.39</v>
      </c>
      <c r="EV10" s="1">
        <f t="shared" si="32"/>
        <v>17.39</v>
      </c>
      <c r="EW10" s="1">
        <f t="shared" si="32"/>
        <v>17.39</v>
      </c>
      <c r="EX10" s="1">
        <f t="shared" si="33"/>
        <v>17.39</v>
      </c>
      <c r="EY10" s="1">
        <f t="shared" si="33"/>
        <v>17.39</v>
      </c>
      <c r="EZ10" s="1">
        <f t="shared" si="33"/>
        <v>17.39</v>
      </c>
      <c r="FA10" s="1">
        <f t="shared" si="33"/>
        <v>17.39</v>
      </c>
      <c r="FB10" s="1">
        <f t="shared" si="33"/>
        <v>17.39</v>
      </c>
      <c r="FC10" s="1">
        <f t="shared" si="33"/>
        <v>17.39</v>
      </c>
      <c r="FD10" s="1">
        <f t="shared" si="33"/>
        <v>17.39</v>
      </c>
      <c r="FE10" s="1">
        <f t="shared" si="33"/>
        <v>19.739999999999998</v>
      </c>
      <c r="FG10" s="162">
        <f t="shared" si="34"/>
        <v>0.2504268130600753</v>
      </c>
    </row>
    <row r="11" spans="1:163" ht="18.75" customHeight="1">
      <c r="A11" s="244" t="s">
        <v>116</v>
      </c>
      <c r="B11" s="247"/>
      <c r="C11" s="228">
        <f t="shared" si="5"/>
        <v>-0.33</v>
      </c>
      <c r="D11" s="229">
        <v>1</v>
      </c>
      <c r="E11" s="253">
        <f t="shared" si="6"/>
        <v>0</v>
      </c>
      <c r="F11" s="254">
        <f t="shared" si="7"/>
        <v>-2.4729196710785661E-2</v>
      </c>
      <c r="G11" s="253">
        <f t="shared" si="8"/>
        <v>2.8523220253280135E-2</v>
      </c>
      <c r="H11" s="254">
        <f t="shared" si="9"/>
        <v>-2.8523220253280135E-2</v>
      </c>
      <c r="I11" s="253">
        <f t="shared" si="10"/>
        <v>0.10532455412691832</v>
      </c>
      <c r="J11" s="254">
        <f t="shared" si="11"/>
        <v>-0.20836288747278275</v>
      </c>
      <c r="K11" s="253">
        <f t="shared" si="12"/>
        <v>0.36847397943700622</v>
      </c>
      <c r="L11" s="254">
        <f t="shared" si="13"/>
        <v>-0.26314942531008789</v>
      </c>
      <c r="M11" s="255"/>
      <c r="N11" s="256"/>
      <c r="O11" s="253" t="str">
        <f t="shared" si="35"/>
        <v/>
      </c>
      <c r="P11" s="257" t="str">
        <f t="shared" si="36"/>
        <v/>
      </c>
      <c r="Q11" s="253">
        <f t="shared" si="14"/>
        <v>0</v>
      </c>
      <c r="R11" s="257">
        <f t="shared" si="37"/>
        <v>0</v>
      </c>
      <c r="S11" s="255"/>
      <c r="T11" s="24">
        <v>-2</v>
      </c>
      <c r="U11" s="253">
        <f t="shared" si="15"/>
        <v>-0.35765859467782801</v>
      </c>
      <c r="V11" s="258">
        <f t="shared" si="16"/>
        <v>-0.35765859467782801</v>
      </c>
      <c r="W11" s="253">
        <f t="shared" si="38"/>
        <v>0.11209313653015118</v>
      </c>
      <c r="X11" s="258">
        <f t="shared" si="17"/>
        <v>0.11209313653015118</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4</v>
      </c>
      <c r="AQ11" s="28">
        <f>VLOOKUP($A11,historia!$A$5:$CM$24,+HLOOKUP(AQ$2,historia!$A$3:$EC$4,2,FALSE),FALSE)</f>
        <v>3</v>
      </c>
      <c r="AR11" s="28">
        <f>VLOOKUP($A11,historia!$A$5:$CM$24,+HLOOKUP(AR$2,historia!$A$3:$EC$4,2,FALSE),FALSE)</f>
        <v>3</v>
      </c>
      <c r="AS11" s="28">
        <f>VLOOKUP($A11,historia!$A$5:$CM$24,+HLOOKUP(AS$2,historia!$A$3:$EC$4,2,FALSE),FALSE)</f>
        <v>3</v>
      </c>
      <c r="AT11" s="58">
        <f>VLOOKUP($A11,historia!$A$5:$CM$24,+HLOOKUP(AT$2,historia!$A$3:$EC$4,2,FALSE),FALSE)</f>
        <v>3</v>
      </c>
      <c r="AU11" s="58">
        <f>VLOOKUP($A11,historia!$A$5:$CM$24,+HLOOKUP(AU$2,historia!$A$3:$EC$4,2,FALSE),FALSE)</f>
        <v>3</v>
      </c>
      <c r="AV11" s="58">
        <f>VLOOKUP($A11,historia!$A$5:$CM$24,+HLOOKUP(AV$2,historia!$A$3:$EC$4,2,FALSE),FALSE)</f>
        <v>3</v>
      </c>
      <c r="AW11" s="58">
        <f>VLOOKUP($A11,historia!$A$5:$CM$24,+HLOOKUP(AW$2,historia!$A$3:$EC$4,2,FALSE),FALSE)</f>
        <v>3</v>
      </c>
      <c r="AX11" s="58">
        <f>VLOOKUP($A11,historia!$A$5:$DD$24,+HLOOKUP(AX$2,historia!$A$3:$EC$4,2,FALSE),FALSE)</f>
        <v>3</v>
      </c>
      <c r="AY11" s="58">
        <f>VLOOKUP($A11,historia!$A$5:$DD$24,+HLOOKUP(AY$2,historia!$A$3:$EC$4,2,FALSE),FALSE)</f>
        <v>3</v>
      </c>
      <c r="AZ11" s="58">
        <f>VLOOKUP($A11,historia!$A$5:$DG$24,+HLOOKUP(AZ$2,historia!$A$3:$EC$4,2,FALSE),FALSE)</f>
        <v>3</v>
      </c>
      <c r="BA11" s="58">
        <f>VLOOKUP($A11,historia!$A$5:$DG$24,+HLOOKUP(BA$2,historia!$A$3:$EC$4,2,FALSE),FALSE)</f>
        <v>3</v>
      </c>
      <c r="BB11" s="58"/>
      <c r="BC11" s="286">
        <v>3</v>
      </c>
      <c r="BD11" t="str">
        <f t="shared" si="20"/>
        <v>Forestal</v>
      </c>
      <c r="BE11">
        <f>+datos!BG1</f>
        <v>59</v>
      </c>
      <c r="BF11" s="2" t="str">
        <f t="shared" si="4"/>
        <v>$/t</v>
      </c>
      <c r="BG11" s="2">
        <f t="shared" si="4"/>
        <v>31979.25</v>
      </c>
      <c r="BH11" s="2">
        <f t="shared" si="4"/>
        <v>31979.25</v>
      </c>
      <c r="BI11" s="2">
        <f t="shared" si="4"/>
        <v>28932</v>
      </c>
      <c r="BK11">
        <f>+datos!CZ1</f>
        <v>104</v>
      </c>
      <c r="BL11" s="2">
        <f t="shared" si="21"/>
        <v>15152.633872726032</v>
      </c>
      <c r="BM11" s="2">
        <f t="shared" si="21"/>
        <v>14732.417872874668</v>
      </c>
      <c r="BN11" s="2">
        <f t="shared" si="21"/>
        <v>11072.650339292431</v>
      </c>
      <c r="BP11" s="1">
        <f>+datos!ES1</f>
        <v>149</v>
      </c>
      <c r="BQ11" s="1">
        <f t="shared" si="22"/>
        <v>0</v>
      </c>
      <c r="BR11" s="1">
        <f t="shared" si="22"/>
        <v>0</v>
      </c>
      <c r="BT11" s="1">
        <f>+datos!GI1</f>
        <v>191</v>
      </c>
      <c r="BU11" s="1">
        <f t="shared" si="23"/>
        <v>1302556</v>
      </c>
      <c r="BV11" s="1">
        <f t="shared" si="23"/>
        <v>1302556</v>
      </c>
      <c r="BX11" s="1">
        <f>+datos!KB1</f>
        <v>288</v>
      </c>
      <c r="BY11" s="1">
        <f t="shared" si="39"/>
        <v>159.30891169999998</v>
      </c>
      <c r="BZ11" s="1">
        <f t="shared" si="40"/>
        <v>248.01283302000002</v>
      </c>
      <c r="CB11" s="1">
        <f>+datos!LG1</f>
        <v>319</v>
      </c>
      <c r="CC11" s="2">
        <f t="shared" si="24"/>
        <v>184.33479777999997</v>
      </c>
      <c r="CD11" s="2">
        <f t="shared" si="25"/>
        <v>165.75482010000002</v>
      </c>
      <c r="CF11" s="1">
        <f>+datos!IW1</f>
        <v>257</v>
      </c>
      <c r="CG11" s="1">
        <f t="shared" si="26"/>
        <v>0</v>
      </c>
      <c r="CH11" s="1">
        <f t="shared" si="27"/>
        <v>0</v>
      </c>
      <c r="CJ11" s="1">
        <f t="shared" si="28"/>
        <v>13.327102919999998</v>
      </c>
      <c r="CK11" s="1">
        <f t="shared" si="28"/>
        <v>13.77020325</v>
      </c>
      <c r="CL11" s="1">
        <f t="shared" si="28"/>
        <v>16.167947309999995</v>
      </c>
      <c r="CM11" s="1">
        <f t="shared" si="28"/>
        <v>12.702036029999997</v>
      </c>
      <c r="CN11" s="1">
        <f t="shared" si="28"/>
        <v>14.879273850000001</v>
      </c>
      <c r="CO11" s="1">
        <f t="shared" si="28"/>
        <v>13.812450910000003</v>
      </c>
      <c r="CP11" s="1">
        <f t="shared" si="28"/>
        <v>14.949040589999999</v>
      </c>
      <c r="CQ11" s="1">
        <f t="shared" si="28"/>
        <v>13.968637820000001</v>
      </c>
      <c r="CR11" s="1">
        <f t="shared" si="28"/>
        <v>9.9284284400000011</v>
      </c>
      <c r="CS11" s="1">
        <f t="shared" si="28"/>
        <v>14.484437890000001</v>
      </c>
      <c r="CT11" s="1">
        <f t="shared" si="28"/>
        <v>10.200287200000002</v>
      </c>
      <c r="CU11" s="1">
        <f t="shared" si="28"/>
        <v>11.119065489999999</v>
      </c>
      <c r="CV11" s="1">
        <f t="shared" si="28"/>
        <v>13.50721221</v>
      </c>
      <c r="CW11" s="1">
        <f t="shared" si="28"/>
        <v>17.7783984</v>
      </c>
      <c r="CX11" s="1">
        <f t="shared" si="28"/>
        <v>18.158715399999995</v>
      </c>
      <c r="CY11" s="1">
        <f t="shared" si="28"/>
        <v>13.62277192</v>
      </c>
      <c r="CZ11" s="1">
        <f t="shared" si="29"/>
        <v>18.147427050000005</v>
      </c>
      <c r="DA11" s="1">
        <f t="shared" si="29"/>
        <v>16.38459563</v>
      </c>
      <c r="DB11" s="1">
        <f t="shared" si="29"/>
        <v>19.29025034</v>
      </c>
      <c r="DC11" s="1">
        <f t="shared" si="29"/>
        <v>32.635385889999995</v>
      </c>
      <c r="DD11" s="1">
        <f t="shared" si="29"/>
        <v>26.653198490000001</v>
      </c>
      <c r="DE11" s="1">
        <f t="shared" si="29"/>
        <v>23.932255000000001</v>
      </c>
      <c r="DF11" s="1">
        <f t="shared" si="29"/>
        <v>23.104867779999999</v>
      </c>
      <c r="DG11" s="1">
        <f t="shared" si="29"/>
        <v>24.797754910000005</v>
      </c>
      <c r="DI11" s="1">
        <f t="shared" si="30"/>
        <v>13.907008520000002</v>
      </c>
      <c r="DJ11" s="1">
        <f t="shared" si="30"/>
        <v>17.652505269999999</v>
      </c>
      <c r="DK11" s="1">
        <f t="shared" si="30"/>
        <v>18.176691299999998</v>
      </c>
      <c r="DL11" s="1">
        <f t="shared" si="30"/>
        <v>17.838312650000002</v>
      </c>
      <c r="DM11" s="1">
        <f t="shared" si="30"/>
        <v>13.839856769999999</v>
      </c>
      <c r="DN11" s="1">
        <f t="shared" si="30"/>
        <v>16.453753389999996</v>
      </c>
      <c r="DO11" s="1">
        <f t="shared" si="30"/>
        <v>16.050718710000002</v>
      </c>
      <c r="DP11" s="1">
        <f t="shared" si="30"/>
        <v>13.20675994</v>
      </c>
      <c r="DQ11" s="1">
        <f t="shared" si="30"/>
        <v>12.082023640000001</v>
      </c>
      <c r="DR11" s="1">
        <f t="shared" si="30"/>
        <v>16.998994660000001</v>
      </c>
      <c r="DS11" s="1">
        <f t="shared" si="30"/>
        <v>14.09144206</v>
      </c>
      <c r="DT11" s="1">
        <f t="shared" si="30"/>
        <v>14.036730870000001</v>
      </c>
      <c r="DU11" s="1">
        <f t="shared" si="30"/>
        <v>13.365554540000002</v>
      </c>
      <c r="DV11" s="1">
        <f t="shared" si="30"/>
        <v>15.589800310000003</v>
      </c>
      <c r="DW11" s="1">
        <f t="shared" si="30"/>
        <v>16.942532470000003</v>
      </c>
      <c r="DX11" s="1">
        <f t="shared" si="30"/>
        <v>10.998476289999999</v>
      </c>
      <c r="DY11" s="1">
        <f t="shared" si="31"/>
        <v>11.46589975</v>
      </c>
      <c r="DZ11" s="1">
        <f t="shared" si="31"/>
        <v>13.53170609</v>
      </c>
      <c r="EA11" s="1">
        <f t="shared" si="31"/>
        <v>19.941855059999995</v>
      </c>
      <c r="EB11" s="1">
        <f t="shared" si="31"/>
        <v>17.561880160000001</v>
      </c>
      <c r="EC11" s="1">
        <f t="shared" si="31"/>
        <v>14.580088280000002</v>
      </c>
      <c r="ED11" s="1">
        <f t="shared" si="31"/>
        <v>13.107541810000001</v>
      </c>
      <c r="EE11" s="1">
        <f t="shared" si="31"/>
        <v>9.0834929199999994</v>
      </c>
      <c r="EF11" s="1">
        <f t="shared" si="31"/>
        <v>9.5859924200000002</v>
      </c>
      <c r="EH11" s="14">
        <f t="shared" si="32"/>
        <v>0</v>
      </c>
      <c r="EI11" s="14">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3"/>
        <v>0</v>
      </c>
      <c r="EY11" s="1">
        <f t="shared" si="33"/>
        <v>0</v>
      </c>
      <c r="EZ11" s="1">
        <f t="shared" si="33"/>
        <v>0</v>
      </c>
      <c r="FA11" s="1">
        <f t="shared" si="33"/>
        <v>0</v>
      </c>
      <c r="FB11" s="1">
        <f t="shared" si="33"/>
        <v>0</v>
      </c>
      <c r="FC11" s="1">
        <f t="shared" si="33"/>
        <v>0</v>
      </c>
      <c r="FD11" s="1">
        <f t="shared" si="33"/>
        <v>0</v>
      </c>
      <c r="FE11" s="1">
        <f t="shared" si="33"/>
        <v>0</v>
      </c>
      <c r="FG11" s="162">
        <f t="shared" si="34"/>
        <v>-0.26314942531008789</v>
      </c>
    </row>
    <row r="12" spans="1:163" ht="18.75" customHeight="1">
      <c r="A12" s="243" t="s">
        <v>216</v>
      </c>
      <c r="B12" s="246"/>
      <c r="C12" s="156">
        <f t="shared" si="5"/>
        <v>-0.33</v>
      </c>
      <c r="D12" s="198">
        <v>-1</v>
      </c>
      <c r="E12" s="248">
        <f t="shared" si="6"/>
        <v>3.9157083545221294E-2</v>
      </c>
      <c r="F12" s="249">
        <f t="shared" si="7"/>
        <v>1.4427886834435633E-2</v>
      </c>
      <c r="G12" s="248">
        <f t="shared" si="8"/>
        <v>1.7443730158558823E-2</v>
      </c>
      <c r="H12" s="249">
        <f t="shared" si="9"/>
        <v>2.1713353386662471E-2</v>
      </c>
      <c r="I12" s="248">
        <f t="shared" si="10"/>
        <v>0.39934730509863559</v>
      </c>
      <c r="J12" s="249">
        <f t="shared" si="11"/>
        <v>8.5659863498934508E-2</v>
      </c>
      <c r="K12" s="248">
        <f t="shared" si="12"/>
        <v>0.40168802668482528</v>
      </c>
      <c r="L12" s="249">
        <f t="shared" si="13"/>
        <v>-2.3407215861896979E-3</v>
      </c>
      <c r="M12" s="250"/>
      <c r="N12" s="24">
        <v>1</v>
      </c>
      <c r="O12" s="248">
        <f t="shared" si="35"/>
        <v>4.9510489510489419E-2</v>
      </c>
      <c r="P12" s="251">
        <f t="shared" si="36"/>
        <v>4.9510489510489419E-2</v>
      </c>
      <c r="Q12" s="248">
        <f t="shared" si="14"/>
        <v>0.21013002548073367</v>
      </c>
      <c r="R12" s="251">
        <f t="shared" si="37"/>
        <v>0.21013002548073367</v>
      </c>
      <c r="S12" s="250"/>
      <c r="T12" s="24">
        <v>-1</v>
      </c>
      <c r="U12" s="248">
        <f t="shared" si="15"/>
        <v>3.0546809065944203E-2</v>
      </c>
      <c r="V12" s="252">
        <f t="shared" si="16"/>
        <v>3.0546809065944203E-2</v>
      </c>
      <c r="W12" s="248">
        <f t="shared" si="38"/>
        <v>-0.28369312742617669</v>
      </c>
      <c r="X12" s="252">
        <f t="shared" si="17"/>
        <v>-0.28369312742617669</v>
      </c>
      <c r="Y12" s="248"/>
      <c r="Z12" s="252"/>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4</v>
      </c>
      <c r="AQ12" s="28">
        <f>VLOOKUP($A12,historia!$A$5:$CM$24,+HLOOKUP(AQ$2,historia!$A$3:$EC$4,2,FALSE),FALSE)</f>
        <v>3</v>
      </c>
      <c r="AR12" s="28">
        <f>VLOOKUP($A12,historia!$A$5:$CM$24,+HLOOKUP(AR$2,historia!$A$3:$EC$4,2,FALSE),FALSE)</f>
        <v>3</v>
      </c>
      <c r="AS12" s="28">
        <f>VLOOKUP($A12,historia!$A$5:$CM$24,+HLOOKUP(AS$2,historia!$A$3:$EC$4,2,FALSE),FALSE)</f>
        <v>3</v>
      </c>
      <c r="AT12" s="58">
        <f>VLOOKUP($A12,historia!$A$5:$CM$24,+HLOOKUP(AT$2,historia!$A$3:$EC$4,2,FALSE),FALSE)</f>
        <v>3</v>
      </c>
      <c r="AU12" s="58">
        <f>VLOOKUP($A12,historia!$A$5:$CM$24,+HLOOKUP(AU$2,historia!$A$3:$EC$4,2,FALSE),FALSE)</f>
        <v>3</v>
      </c>
      <c r="AV12" s="58">
        <f>VLOOKUP($A12,historia!$A$5:$CM$24,+HLOOKUP(AV$2,historia!$A$3:$EC$4,2,FALSE),FALSE)</f>
        <v>3</v>
      </c>
      <c r="AW12" s="58">
        <f>VLOOKUP($A12,historia!$A$5:$CM$24,+HLOOKUP(AW$2,historia!$A$3:$EC$4,2,FALSE),FALSE)</f>
        <v>2</v>
      </c>
      <c r="AX12" s="58">
        <f>VLOOKUP($A12,historia!$A$5:$DD$24,+HLOOKUP(AX$2,historia!$A$3:$EC$4,2,FALSE),FALSE)</f>
        <v>2</v>
      </c>
      <c r="AY12" s="58">
        <f>VLOOKUP($A12,historia!$A$5:$DD$24,+HLOOKUP(AY$2,historia!$A$3:$EC$4,2,FALSE),FALSE)</f>
        <v>1</v>
      </c>
      <c r="AZ12" s="58">
        <f>VLOOKUP($A12,historia!$A$5:$DG$24,+HLOOKUP(AZ$2,historia!$A$3:$EC$4,2,FALSE),FALSE)</f>
        <v>2</v>
      </c>
      <c r="BA12" s="58">
        <f>VLOOKUP($A12,historia!$A$5:$DG$24,+HLOOKUP(BA$2,historia!$A$3:$EC$4,2,FALSE),FALSE)</f>
        <v>2</v>
      </c>
      <c r="BB12" s="58"/>
      <c r="BC12" s="286">
        <v>2</v>
      </c>
      <c r="BD12" t="str">
        <f t="shared" si="20"/>
        <v>Granos</v>
      </c>
      <c r="BE12">
        <f>+datos!AE1</f>
        <v>31</v>
      </c>
      <c r="BF12" s="2" t="str">
        <f t="shared" si="4"/>
        <v>$/t</v>
      </c>
      <c r="BG12" s="2">
        <f t="shared" si="4"/>
        <v>333726.44317333336</v>
      </c>
      <c r="BH12" s="2">
        <f t="shared" si="4"/>
        <v>321151.1026175</v>
      </c>
      <c r="BI12" s="2">
        <f t="shared" si="4"/>
        <v>238487.21611666665</v>
      </c>
      <c r="BK12">
        <f>+datos!CG1</f>
        <v>85</v>
      </c>
      <c r="BL12" s="2">
        <f t="shared" si="21"/>
        <v>12816.603553145347</v>
      </c>
      <c r="BM12" s="2">
        <f t="shared" si="21"/>
        <v>12596.867200850511</v>
      </c>
      <c r="BN12" s="2">
        <f t="shared" si="21"/>
        <v>9143.6919693594609</v>
      </c>
      <c r="BP12" s="1">
        <f>+datos!EA1</f>
        <v>131</v>
      </c>
      <c r="BQ12" s="1">
        <f t="shared" si="22"/>
        <v>37520000</v>
      </c>
      <c r="BR12" s="1">
        <f t="shared" si="22"/>
        <v>35750000</v>
      </c>
      <c r="BT12" s="1">
        <f>+datos!FV1</f>
        <v>178</v>
      </c>
      <c r="BU12" s="1">
        <f t="shared" si="23"/>
        <v>147700000</v>
      </c>
      <c r="BV12" s="1">
        <f t="shared" si="23"/>
        <v>122053000</v>
      </c>
      <c r="BX12" s="1">
        <f>+datos!LQ1</f>
        <v>329</v>
      </c>
      <c r="BY12" s="1">
        <f>+SUM(CJ12:CU12)</f>
        <v>45876.708684029996</v>
      </c>
      <c r="BZ12" s="1">
        <f t="shared" si="40"/>
        <v>44516.860641789994</v>
      </c>
      <c r="CB12" s="1">
        <f>+datos!LU1</f>
        <v>333</v>
      </c>
      <c r="CC12" s="2">
        <f t="shared" si="24"/>
        <v>2391.1439177099992</v>
      </c>
      <c r="CD12" s="2">
        <f t="shared" si="25"/>
        <v>3338.1557671199998</v>
      </c>
      <c r="CF12" s="1">
        <f>+datos!II1</f>
        <v>243</v>
      </c>
      <c r="CG12" s="1">
        <f t="shared" si="26"/>
        <v>86680000</v>
      </c>
      <c r="CH12" s="1">
        <f t="shared" si="27"/>
        <v>81600000</v>
      </c>
      <c r="CJ12" s="1">
        <f>+VLOOKUP(CJ$1,ran_dat,$BX12,FALSE)</f>
        <v>4663.3781357900007</v>
      </c>
      <c r="CK12" s="1">
        <f t="shared" si="28"/>
        <v>3782.3696972900002</v>
      </c>
      <c r="CL12" s="1">
        <f t="shared" si="28"/>
        <v>4396.9372515900004</v>
      </c>
      <c r="CM12" s="1">
        <f t="shared" si="28"/>
        <v>4336.2366958999992</v>
      </c>
      <c r="CN12" s="1">
        <f t="shared" si="28"/>
        <v>4557.75384975</v>
      </c>
      <c r="CO12" s="1">
        <f t="shared" si="28"/>
        <v>3762.5394987399995</v>
      </c>
      <c r="CP12" s="1">
        <f t="shared" si="28"/>
        <v>4220.2405017900001</v>
      </c>
      <c r="CQ12" s="1">
        <f t="shared" si="28"/>
        <v>3699.5517639399995</v>
      </c>
      <c r="CR12" s="1">
        <f t="shared" si="28"/>
        <v>2719.5194464700007</v>
      </c>
      <c r="CS12" s="1">
        <f t="shared" si="28"/>
        <v>3193.1112506200002</v>
      </c>
      <c r="CT12" s="1">
        <f t="shared" si="28"/>
        <v>3231.2263099199999</v>
      </c>
      <c r="CU12" s="1">
        <f t="shared" si="28"/>
        <v>3313.8442822299994</v>
      </c>
      <c r="CV12" s="1">
        <f t="shared" si="28"/>
        <v>3339.9998161899998</v>
      </c>
      <c r="CW12" s="1">
        <f t="shared" si="28"/>
        <v>3485.71732419</v>
      </c>
      <c r="CX12" s="1">
        <f t="shared" si="28"/>
        <v>3410.80431886</v>
      </c>
      <c r="CY12" s="1">
        <f t="shared" si="28"/>
        <v>3348.6268518899992</v>
      </c>
      <c r="CZ12" s="1">
        <f t="shared" si="29"/>
        <v>4200.6671527199996</v>
      </c>
      <c r="DA12" s="1">
        <f t="shared" si="29"/>
        <v>4256.6159984299993</v>
      </c>
      <c r="DB12" s="1">
        <f t="shared" si="29"/>
        <v>4805.0657855600002</v>
      </c>
      <c r="DC12" s="1">
        <f t="shared" si="29"/>
        <v>3818.0878160900002</v>
      </c>
      <c r="DD12" s="1">
        <f t="shared" si="29"/>
        <v>3876.9439553199995</v>
      </c>
      <c r="DE12" s="1">
        <f t="shared" si="29"/>
        <v>3089.4855235099994</v>
      </c>
      <c r="DF12" s="1">
        <f t="shared" si="29"/>
        <v>3929.1762735700004</v>
      </c>
      <c r="DG12" s="1">
        <f t="shared" si="29"/>
        <v>2955.6698254600001</v>
      </c>
      <c r="DI12" s="1">
        <f t="shared" si="30"/>
        <v>140.49668192999997</v>
      </c>
      <c r="DJ12" s="1">
        <f t="shared" si="30"/>
        <v>126.11568693000002</v>
      </c>
      <c r="DK12" s="1">
        <f t="shared" si="30"/>
        <v>179.77004703999992</v>
      </c>
      <c r="DL12" s="1">
        <f t="shared" si="30"/>
        <v>175.34564924</v>
      </c>
      <c r="DM12" s="1">
        <f t="shared" si="30"/>
        <v>241.51209269000003</v>
      </c>
      <c r="DN12" s="1">
        <f t="shared" si="30"/>
        <v>273.75200934999998</v>
      </c>
      <c r="DO12" s="1">
        <f t="shared" si="30"/>
        <v>304.19736033999999</v>
      </c>
      <c r="DP12" s="1">
        <f t="shared" si="30"/>
        <v>338.33098909999995</v>
      </c>
      <c r="DQ12" s="1">
        <f t="shared" si="30"/>
        <v>239.40438782999996</v>
      </c>
      <c r="DR12" s="1">
        <f t="shared" si="30"/>
        <v>288.1429152</v>
      </c>
      <c r="DS12" s="1">
        <f t="shared" si="30"/>
        <v>31.883400920000003</v>
      </c>
      <c r="DT12" s="1">
        <f t="shared" si="30"/>
        <v>52.19269714</v>
      </c>
      <c r="DU12" s="1">
        <f t="shared" si="30"/>
        <v>201.41567115000001</v>
      </c>
      <c r="DV12" s="1">
        <f t="shared" si="30"/>
        <v>299.18688666000003</v>
      </c>
      <c r="DW12" s="1">
        <f t="shared" si="30"/>
        <v>265.28366987999999</v>
      </c>
      <c r="DX12" s="1">
        <f t="shared" si="30"/>
        <v>214.60650260000006</v>
      </c>
      <c r="DY12" s="1">
        <f t="shared" si="31"/>
        <v>390.93673457</v>
      </c>
      <c r="DZ12" s="1">
        <f t="shared" si="31"/>
        <v>293.37536226000003</v>
      </c>
      <c r="EA12" s="1">
        <f t="shared" si="31"/>
        <v>336.54852982999995</v>
      </c>
      <c r="EB12" s="1">
        <f t="shared" si="31"/>
        <v>300.95428591999996</v>
      </c>
      <c r="EC12" s="1">
        <f t="shared" si="31"/>
        <v>389.85732896999997</v>
      </c>
      <c r="ED12" s="1">
        <f t="shared" si="31"/>
        <v>280.54397103999997</v>
      </c>
      <c r="EE12" s="1">
        <f t="shared" si="31"/>
        <v>63.525792080000002</v>
      </c>
      <c r="EF12" s="1">
        <f t="shared" si="31"/>
        <v>301.92103216000004</v>
      </c>
      <c r="EH12" s="14">
        <f t="shared" si="32"/>
        <v>86680000</v>
      </c>
      <c r="EI12" s="14">
        <f t="shared" si="32"/>
        <v>85850000</v>
      </c>
      <c r="EJ12" s="1">
        <f t="shared" si="32"/>
        <v>85850000</v>
      </c>
      <c r="EK12" s="1">
        <f t="shared" si="32"/>
        <v>85820000</v>
      </c>
      <c r="EL12" s="1">
        <f t="shared" si="32"/>
        <v>83320000</v>
      </c>
      <c r="EM12" s="1">
        <f t="shared" si="32"/>
        <v>83120000</v>
      </c>
      <c r="EN12" s="1">
        <f t="shared" si="32"/>
        <v>83420000</v>
      </c>
      <c r="EO12" s="1">
        <f t="shared" si="32"/>
        <v>83260000</v>
      </c>
      <c r="EP12" s="1">
        <f t="shared" si="32"/>
        <v>82660000</v>
      </c>
      <c r="EQ12" s="1">
        <f t="shared" si="32"/>
        <v>83330000</v>
      </c>
      <c r="ER12" s="1">
        <f t="shared" si="32"/>
        <v>83330000</v>
      </c>
      <c r="ES12" s="1">
        <f t="shared" si="32"/>
        <v>81580000</v>
      </c>
      <c r="ET12" s="1">
        <f t="shared" si="32"/>
        <v>81600000</v>
      </c>
      <c r="EU12" s="1">
        <f t="shared" si="32"/>
        <v>81600000</v>
      </c>
      <c r="EV12" s="1">
        <f t="shared" si="32"/>
        <v>81600000</v>
      </c>
      <c r="EW12" s="1">
        <f t="shared" si="32"/>
        <v>81600000</v>
      </c>
      <c r="EX12" s="1">
        <f t="shared" si="33"/>
        <v>81600000</v>
      </c>
      <c r="EY12" s="1">
        <f t="shared" si="33"/>
        <v>81600000</v>
      </c>
      <c r="EZ12" s="1">
        <f t="shared" si="33"/>
        <v>81600000</v>
      </c>
      <c r="FA12" s="1">
        <f t="shared" si="33"/>
        <v>81600000</v>
      </c>
      <c r="FB12" s="1">
        <f t="shared" si="33"/>
        <v>73750000</v>
      </c>
      <c r="FC12" s="1">
        <f t="shared" si="33"/>
        <v>73750000</v>
      </c>
      <c r="FD12" s="1">
        <f t="shared" si="33"/>
        <v>73450000</v>
      </c>
      <c r="FE12" s="1">
        <f t="shared" si="33"/>
        <v>73450000</v>
      </c>
      <c r="FG12" s="162">
        <f t="shared" si="34"/>
        <v>-2.3407215861896979E-3</v>
      </c>
    </row>
    <row r="13" spans="1:163" ht="18.75" customHeight="1">
      <c r="A13" s="244" t="s">
        <v>217</v>
      </c>
      <c r="B13" s="247"/>
      <c r="C13" s="228">
        <f t="shared" si="5"/>
        <v>0</v>
      </c>
      <c r="D13" s="229">
        <v>0</v>
      </c>
      <c r="E13" s="253">
        <f t="shared" si="6"/>
        <v>9.479626389896012E-2</v>
      </c>
      <c r="F13" s="254">
        <f t="shared" si="7"/>
        <v>7.0067067188174459E-2</v>
      </c>
      <c r="G13" s="253">
        <f t="shared" si="8"/>
        <v>3.2520814784355867E-2</v>
      </c>
      <c r="H13" s="254">
        <f t="shared" si="9"/>
        <v>6.2275449114604253E-2</v>
      </c>
      <c r="I13" s="253">
        <f t="shared" si="10"/>
        <v>0.11476919410614617</v>
      </c>
      <c r="J13" s="254">
        <f t="shared" si="11"/>
        <v>-0.19891824749355491</v>
      </c>
      <c r="K13" s="253">
        <f t="shared" si="12"/>
        <v>0.31330459747743911</v>
      </c>
      <c r="L13" s="254">
        <f t="shared" si="13"/>
        <v>-0.19853540337129294</v>
      </c>
      <c r="M13" s="255"/>
      <c r="N13" s="256">
        <v>0</v>
      </c>
      <c r="O13" s="253">
        <f t="shared" si="35"/>
        <v>0</v>
      </c>
      <c r="P13" s="257">
        <f t="shared" si="36"/>
        <v>0</v>
      </c>
      <c r="Q13" s="253">
        <f t="shared" si="14"/>
        <v>0</v>
      </c>
      <c r="R13" s="257">
        <f t="shared" si="37"/>
        <v>0</v>
      </c>
      <c r="S13" s="255"/>
      <c r="T13" s="256">
        <v>0</v>
      </c>
      <c r="U13" s="253">
        <f t="shared" si="15"/>
        <v>-0.38833028164063277</v>
      </c>
      <c r="V13" s="258">
        <f t="shared" si="16"/>
        <v>-0.38833028164063277</v>
      </c>
      <c r="W13" s="253">
        <f t="shared" si="38"/>
        <v>-0.58869000811964223</v>
      </c>
      <c r="X13" s="258">
        <f t="shared" si="17"/>
        <v>-0.58869000811964223</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3</v>
      </c>
      <c r="AR13" s="28">
        <f>VLOOKUP($A13,historia!$A$5:$CM$24,+HLOOKUP(AR$2,historia!$A$3:$EC$4,2,FALSE),FALSE)</f>
        <v>4</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5</v>
      </c>
      <c r="AW13" s="58">
        <f>VLOOKUP($A13,historia!$A$5:$CM$24,+HLOOKUP(AW$2,historia!$A$3:$EC$4,2,FALSE),FALSE)</f>
        <v>4</v>
      </c>
      <c r="AX13" s="58">
        <f>VLOOKUP($A13,historia!$A$5:$DD$24,+HLOOKUP(AX$2,historia!$A$3:$EC$4,2,FALSE),FALSE)</f>
        <v>5</v>
      </c>
      <c r="AY13" s="58">
        <f>VLOOKUP($A13,historia!$A$5:$DD$24,+HLOOKUP(AY$2,historia!$A$3:$EC$4,2,FALSE),FALSE)</f>
        <v>4</v>
      </c>
      <c r="AZ13" s="58">
        <f>VLOOKUP($A13,historia!$A$5:$DG$24,+HLOOKUP(AZ$2,historia!$A$3:$EC$4,2,FALSE),FALSE)</f>
        <v>4</v>
      </c>
      <c r="BA13" s="58">
        <f>VLOOKUP($A13,historia!$A$5:$DG$24,+HLOOKUP(BA$2,historia!$A$3:$EC$4,2,FALSE),FALSE)</f>
        <v>4</v>
      </c>
      <c r="BB13" s="58"/>
      <c r="BC13" s="286">
        <v>4</v>
      </c>
      <c r="BD13" t="str">
        <f t="shared" si="20"/>
        <v>Hortalizas</v>
      </c>
      <c r="BE13">
        <f>+datos!BB1</f>
        <v>54</v>
      </c>
      <c r="BF13" s="2" t="str">
        <f t="shared" si="4"/>
        <v>$/kg</v>
      </c>
      <c r="BG13" s="2">
        <f t="shared" si="4"/>
        <v>12424.660052910052</v>
      </c>
      <c r="BH13" s="2">
        <f t="shared" si="4"/>
        <v>11348.833077545776</v>
      </c>
      <c r="BI13" s="2">
        <f t="shared" si="4"/>
        <v>11145.5</v>
      </c>
      <c r="BK13">
        <f>+datos!CO1</f>
        <v>93</v>
      </c>
      <c r="BL13" s="2">
        <f t="shared" si="21"/>
        <v>12409.316042365801</v>
      </c>
      <c r="BM13" s="2">
        <f t="shared" si="21"/>
        <v>12018.465743915791</v>
      </c>
      <c r="BN13" s="2">
        <f t="shared" si="21"/>
        <v>9448.9245421064461</v>
      </c>
      <c r="BP13" s="1">
        <f>+datos!EX1</f>
        <v>154</v>
      </c>
      <c r="BQ13" s="1">
        <f t="shared" si="22"/>
        <v>64395</v>
      </c>
      <c r="BR13" s="1">
        <f t="shared" si="22"/>
        <v>64395</v>
      </c>
      <c r="BT13" s="1">
        <f>+datos!GN1</f>
        <v>196</v>
      </c>
      <c r="BU13" s="1">
        <f t="shared" si="23"/>
        <v>2639386</v>
      </c>
      <c r="BV13" s="1">
        <f t="shared" si="23"/>
        <v>2639386</v>
      </c>
      <c r="BX13" s="1">
        <f>+datos!LR1</f>
        <v>330</v>
      </c>
      <c r="BY13" s="1">
        <f t="shared" si="39"/>
        <v>42.403863630000004</v>
      </c>
      <c r="BZ13" s="1">
        <f t="shared" si="40"/>
        <v>69.324771779999992</v>
      </c>
      <c r="CB13" s="1">
        <f>+datos!LV1</f>
        <v>334</v>
      </c>
      <c r="CC13" s="2">
        <f t="shared" si="24"/>
        <v>15.197378479999998</v>
      </c>
      <c r="CD13" s="2">
        <f t="shared" si="25"/>
        <v>36.948721839999997</v>
      </c>
      <c r="CF13" s="1">
        <f>+datos!IX1</f>
        <v>258</v>
      </c>
      <c r="CG13" s="1">
        <f t="shared" si="26"/>
        <v>0</v>
      </c>
      <c r="CH13" s="1">
        <f t="shared" si="27"/>
        <v>0</v>
      </c>
      <c r="CJ13" s="1">
        <f t="shared" si="28"/>
        <v>1.1537429000000001</v>
      </c>
      <c r="CK13" s="1">
        <f t="shared" si="28"/>
        <v>1.5287822199999999</v>
      </c>
      <c r="CL13" s="1">
        <f t="shared" si="28"/>
        <v>0.99519284000000008</v>
      </c>
      <c r="CM13" s="1">
        <f t="shared" si="28"/>
        <v>2.3842983399999995</v>
      </c>
      <c r="CN13" s="1">
        <f t="shared" si="28"/>
        <v>1.9006323699999998</v>
      </c>
      <c r="CO13" s="1">
        <f t="shared" si="28"/>
        <v>5.6300601800000001</v>
      </c>
      <c r="CP13" s="1">
        <f t="shared" si="28"/>
        <v>10.78719353</v>
      </c>
      <c r="CQ13" s="1">
        <f t="shared" si="28"/>
        <v>6.6589734299999996</v>
      </c>
      <c r="CR13" s="1">
        <f t="shared" si="28"/>
        <v>4.7972503099999999</v>
      </c>
      <c r="CS13" s="1">
        <f t="shared" si="28"/>
        <v>3.6808061599999999</v>
      </c>
      <c r="CT13" s="1">
        <f t="shared" si="28"/>
        <v>1.7265838599999999</v>
      </c>
      <c r="CU13" s="1">
        <f t="shared" si="28"/>
        <v>1.1603474899999999</v>
      </c>
      <c r="CV13" s="1">
        <f t="shared" si="28"/>
        <v>1.6220564799999999</v>
      </c>
      <c r="CW13" s="1">
        <f t="shared" si="28"/>
        <v>1.7022322700000001</v>
      </c>
      <c r="CX13" s="1">
        <f t="shared" si="28"/>
        <v>2.1800094999999997</v>
      </c>
      <c r="CY13" s="1">
        <f t="shared" si="28"/>
        <v>0.89152303000000011</v>
      </c>
      <c r="CZ13" s="1">
        <f t="shared" si="29"/>
        <v>2.22092468</v>
      </c>
      <c r="DA13" s="1">
        <f t="shared" si="29"/>
        <v>5.6369490100000004</v>
      </c>
      <c r="DB13" s="1">
        <f t="shared" si="29"/>
        <v>11.964288460000001</v>
      </c>
      <c r="DC13" s="1">
        <f t="shared" si="29"/>
        <v>14.874595200000002</v>
      </c>
      <c r="DD13" s="1">
        <f t="shared" si="29"/>
        <v>12.356255849999998</v>
      </c>
      <c r="DE13" s="1">
        <f t="shared" si="29"/>
        <v>7.66143427</v>
      </c>
      <c r="DF13" s="1">
        <f t="shared" si="29"/>
        <v>3.9700200400000001</v>
      </c>
      <c r="DG13" s="1">
        <f t="shared" si="29"/>
        <v>4.244482989999999</v>
      </c>
      <c r="DI13" s="1">
        <f t="shared" si="30"/>
        <v>0.87596054999999995</v>
      </c>
      <c r="DJ13" s="1">
        <f t="shared" si="30"/>
        <v>2.0285887300000001</v>
      </c>
      <c r="DK13" s="1">
        <f t="shared" si="30"/>
        <v>2.5185445399999997</v>
      </c>
      <c r="DL13" s="1">
        <f t="shared" si="30"/>
        <v>1.4155427900000002</v>
      </c>
      <c r="DM13" s="1">
        <f t="shared" si="30"/>
        <v>1.5956283999999996</v>
      </c>
      <c r="DN13" s="1">
        <f t="shared" si="30"/>
        <v>1.7945534399999996</v>
      </c>
      <c r="DO13" s="1">
        <f t="shared" si="30"/>
        <v>2.7487028499999995</v>
      </c>
      <c r="DP13" s="1">
        <f t="shared" si="30"/>
        <v>0.73139703</v>
      </c>
      <c r="DQ13" s="1">
        <f t="shared" si="30"/>
        <v>0.52205221000000002</v>
      </c>
      <c r="DR13" s="1">
        <f t="shared" si="30"/>
        <v>0.27889262000000004</v>
      </c>
      <c r="DS13" s="1">
        <f t="shared" si="30"/>
        <v>0.43588088999999991</v>
      </c>
      <c r="DT13" s="1">
        <f t="shared" si="30"/>
        <v>0.25163443000000002</v>
      </c>
      <c r="DU13" s="1">
        <f t="shared" si="30"/>
        <v>1.8307121500000001</v>
      </c>
      <c r="DV13" s="1">
        <f t="shared" si="30"/>
        <v>4.7138590499999999</v>
      </c>
      <c r="DW13" s="1">
        <f t="shared" si="30"/>
        <v>10.280953719999999</v>
      </c>
      <c r="DX13" s="1">
        <f t="shared" si="30"/>
        <v>10.078043539999999</v>
      </c>
      <c r="DY13" s="1">
        <f t="shared" si="31"/>
        <v>5.0525632100000006</v>
      </c>
      <c r="DZ13" s="1">
        <f t="shared" si="31"/>
        <v>1.5134803299999999</v>
      </c>
      <c r="EA13" s="1">
        <f t="shared" si="31"/>
        <v>1.5645213200000003</v>
      </c>
      <c r="EB13" s="1">
        <f t="shared" si="31"/>
        <v>0.17069466</v>
      </c>
      <c r="EC13" s="1">
        <f t="shared" si="31"/>
        <v>5.8121779999999998E-2</v>
      </c>
      <c r="ED13" s="1">
        <f t="shared" si="31"/>
        <v>0.22874177000000001</v>
      </c>
      <c r="EE13" s="1">
        <f t="shared" si="31"/>
        <v>6.8422739999999996E-2</v>
      </c>
      <c r="EF13" s="1">
        <f t="shared" si="31"/>
        <v>1.38860757</v>
      </c>
      <c r="EH13" s="14">
        <f t="shared" si="32"/>
        <v>0</v>
      </c>
      <c r="EI13" s="14">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3"/>
        <v>0</v>
      </c>
      <c r="EY13" s="1">
        <f t="shared" si="33"/>
        <v>0</v>
      </c>
      <c r="EZ13" s="1">
        <f t="shared" si="33"/>
        <v>0</v>
      </c>
      <c r="FA13" s="1">
        <f t="shared" si="33"/>
        <v>0</v>
      </c>
      <c r="FB13" s="1">
        <f t="shared" si="33"/>
        <v>0</v>
      </c>
      <c r="FC13" s="1">
        <f t="shared" si="33"/>
        <v>0</v>
      </c>
      <c r="FD13" s="1">
        <f t="shared" si="33"/>
        <v>0</v>
      </c>
      <c r="FE13" s="1">
        <f t="shared" si="33"/>
        <v>0</v>
      </c>
      <c r="FG13" s="162">
        <f t="shared" si="34"/>
        <v>-0.19853540337129294</v>
      </c>
    </row>
    <row r="14" spans="1:163" ht="18" customHeight="1">
      <c r="A14" s="243" t="s">
        <v>65</v>
      </c>
      <c r="B14" s="246"/>
      <c r="C14" s="156">
        <f t="shared" si="5"/>
        <v>-0.33</v>
      </c>
      <c r="D14" s="198">
        <v>1</v>
      </c>
      <c r="E14" s="248">
        <f t="shared" si="6"/>
        <v>2.103359064431487E-5</v>
      </c>
      <c r="F14" s="249">
        <f t="shared" si="7"/>
        <v>-2.4708163120141347E-2</v>
      </c>
      <c r="G14" s="248">
        <f t="shared" si="8"/>
        <v>3.1064917348182286E-2</v>
      </c>
      <c r="H14" s="249">
        <f t="shared" si="9"/>
        <v>-3.1043883757537971E-2</v>
      </c>
      <c r="I14" s="248">
        <f t="shared" si="10"/>
        <v>8.1208923657698939E-2</v>
      </c>
      <c r="J14" s="249">
        <f t="shared" si="11"/>
        <v>-0.23247851794200214</v>
      </c>
      <c r="K14" s="248">
        <f t="shared" si="12"/>
        <v>0.3567798171869867</v>
      </c>
      <c r="L14" s="249">
        <f t="shared" si="13"/>
        <v>-0.27557089352928776</v>
      </c>
      <c r="M14" s="250"/>
      <c r="N14" s="24">
        <v>-1</v>
      </c>
      <c r="O14" s="248">
        <f t="shared" si="35"/>
        <v>-6.5693769142464942E-2</v>
      </c>
      <c r="P14" s="251">
        <f t="shared" si="36"/>
        <v>-6.5693769142464942E-2</v>
      </c>
      <c r="Q14" s="248">
        <f t="shared" si="14"/>
        <v>0.12827499686114074</v>
      </c>
      <c r="R14" s="251">
        <f t="shared" si="37"/>
        <v>0.12827499686114074</v>
      </c>
      <c r="S14" s="250"/>
      <c r="T14" s="24">
        <v>-1</v>
      </c>
      <c r="U14" s="248">
        <f t="shared" si="15"/>
        <v>0.14259629709875288</v>
      </c>
      <c r="V14" s="252">
        <f t="shared" si="16"/>
        <v>0.14259629709875288</v>
      </c>
      <c r="W14" s="248">
        <f t="shared" si="38"/>
        <v>0.48832271115535586</v>
      </c>
      <c r="X14" s="252">
        <f t="shared" si="17"/>
        <v>0.48832271115535586</v>
      </c>
      <c r="Y14" s="248">
        <f t="shared" si="18"/>
        <v>8.1802015411974072E-2</v>
      </c>
      <c r="Z14" s="252">
        <f t="shared" si="19"/>
        <v>8.1802015411974072E-2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3</v>
      </c>
      <c r="AR14" s="28">
        <f>VLOOKUP($A14,historia!$A$5:$CM$24,+HLOOKUP(AR$2,historia!$A$3:$EC$4,2,FALSE),FALSE)</f>
        <v>3</v>
      </c>
      <c r="AS14" s="28">
        <f>VLOOKUP($A14,historia!$A$5:$CM$24,+HLOOKUP(AS$2,historia!$A$3:$EC$4,2,FALSE),FALSE)</f>
        <v>3</v>
      </c>
      <c r="AT14" s="58">
        <f>VLOOKUP($A14,historia!$A$5:$CM$24,+HLOOKUP(AT$2,historia!$A$3:$EC$4,2,FALSE),FALSE)</f>
        <v>3</v>
      </c>
      <c r="AU14" s="58">
        <f>VLOOKUP($A14,historia!$A$5:$CM$24,+HLOOKUP(AU$2,historia!$A$3:$EC$4,2,FALSE),FALSE)</f>
        <v>3</v>
      </c>
      <c r="AV14" s="58">
        <f>VLOOKUP($A14,historia!$A$5:$CM$24,+HLOOKUP(AV$2,historia!$A$3:$EC$4,2,FALSE),FALSE)</f>
        <v>3</v>
      </c>
      <c r="AW14" s="58">
        <f>VLOOKUP($A14,historia!$A$5:$CM$24,+HLOOKUP(AW$2,historia!$A$3:$EC$4,2,FALSE),FALSE)</f>
        <v>3</v>
      </c>
      <c r="AX14" s="58">
        <f>VLOOKUP($A14,historia!$A$5:$DD$24,+HLOOKUP(AX$2,historia!$A$3:$EC$4,2,FALSE),FALSE)</f>
        <v>3</v>
      </c>
      <c r="AY14" s="58">
        <f>VLOOKUP($A14,historia!$A$5:$DD$24,+HLOOKUP(AY$2,historia!$A$3:$EC$4,2,FALSE),FALSE)</f>
        <v>3</v>
      </c>
      <c r="AZ14" s="58">
        <f>VLOOKUP($A14,historia!$A$5:$DG$24,+HLOOKUP(AZ$2,historia!$A$3:$EC$4,2,FALSE),FALSE)</f>
        <v>3</v>
      </c>
      <c r="BA14" s="58">
        <f>VLOOKUP($A14,historia!$A$5:$DG$24,+HLOOKUP(BA$2,historia!$A$3:$EC$4,2,FALSE),FALSE)</f>
        <v>3</v>
      </c>
      <c r="BB14" s="58"/>
      <c r="BC14" s="286">
        <v>3</v>
      </c>
      <c r="BD14" t="str">
        <f t="shared" si="20"/>
        <v>Leche</v>
      </c>
      <c r="BE14">
        <f>+datos!BN1</f>
        <v>66</v>
      </c>
      <c r="BF14" s="2" t="str">
        <f t="shared" si="4"/>
        <v>$/l</v>
      </c>
      <c r="BG14" s="487">
        <f t="shared" si="4"/>
        <v>475.44</v>
      </c>
      <c r="BH14" s="487">
        <f t="shared" si="4"/>
        <v>475.43</v>
      </c>
      <c r="BI14" s="487">
        <f t="shared" si="4"/>
        <v>439.73</v>
      </c>
      <c r="BK14">
        <f>+datos!DC1</f>
        <v>107</v>
      </c>
      <c r="BL14" s="2">
        <f t="shared" si="21"/>
        <v>12661.601289432889</v>
      </c>
      <c r="BM14" s="2">
        <f t="shared" si="21"/>
        <v>12280.120365260345</v>
      </c>
      <c r="BN14" s="2">
        <f t="shared" si="21"/>
        <v>9332.0973153066225</v>
      </c>
      <c r="BP14" s="1">
        <f>+datos!EN1</f>
        <v>144</v>
      </c>
      <c r="BQ14" s="1">
        <f t="shared" si="22"/>
        <v>2961733</v>
      </c>
      <c r="BR14" s="1">
        <f t="shared" si="22"/>
        <v>3169981</v>
      </c>
      <c r="BT14" s="1">
        <f>+datos!HP1</f>
        <v>224</v>
      </c>
      <c r="BU14" s="1">
        <f t="shared" si="23"/>
        <v>11703.532971930679</v>
      </c>
      <c r="BV14" s="1">
        <f t="shared" si="23"/>
        <v>10372.943656900923</v>
      </c>
      <c r="BX14" s="1">
        <f>+datos!KH1</f>
        <v>294</v>
      </c>
      <c r="BY14" s="1">
        <f t="shared" si="39"/>
        <v>1842.12375451</v>
      </c>
      <c r="BZ14" s="1">
        <f t="shared" si="40"/>
        <v>1612.22625978</v>
      </c>
      <c r="CB14" s="1">
        <f>+datos!LM1</f>
        <v>325</v>
      </c>
      <c r="CC14" s="2">
        <f t="shared" si="24"/>
        <v>28.678464990000002</v>
      </c>
      <c r="CD14" s="2">
        <f t="shared" si="25"/>
        <v>19.268982979999997</v>
      </c>
      <c r="CF14" s="1">
        <f>+datos!IN1</f>
        <v>248</v>
      </c>
      <c r="CG14" s="1">
        <f t="shared" si="26"/>
        <v>182.5</v>
      </c>
      <c r="CH14" s="1">
        <f t="shared" si="27"/>
        <v>168.7</v>
      </c>
      <c r="CJ14" s="1">
        <f t="shared" si="28"/>
        <v>166.84903940999999</v>
      </c>
      <c r="CK14" s="1">
        <f t="shared" si="28"/>
        <v>210.64847638000006</v>
      </c>
      <c r="CL14" s="1">
        <f t="shared" si="28"/>
        <v>202.06812983999998</v>
      </c>
      <c r="CM14" s="1">
        <f t="shared" si="28"/>
        <v>166.18279023000005</v>
      </c>
      <c r="CN14" s="1">
        <f t="shared" si="28"/>
        <v>145.54293837</v>
      </c>
      <c r="CO14" s="1">
        <f t="shared" si="28"/>
        <v>161.52973046</v>
      </c>
      <c r="CP14" s="1">
        <f t="shared" si="28"/>
        <v>135.14119298</v>
      </c>
      <c r="CQ14" s="1">
        <f t="shared" si="28"/>
        <v>121.87302321000003</v>
      </c>
      <c r="CR14" s="1">
        <f t="shared" si="28"/>
        <v>90.118424640000015</v>
      </c>
      <c r="CS14" s="1">
        <f t="shared" si="28"/>
        <v>158.22857195999995</v>
      </c>
      <c r="CT14" s="1">
        <f t="shared" si="28"/>
        <v>133.12937443000001</v>
      </c>
      <c r="CU14" s="1">
        <f t="shared" si="28"/>
        <v>150.81206259999999</v>
      </c>
      <c r="CV14" s="1">
        <f t="shared" si="28"/>
        <v>173.78517034999999</v>
      </c>
      <c r="CW14" s="1">
        <f t="shared" si="28"/>
        <v>162.27196751000002</v>
      </c>
      <c r="CX14" s="1">
        <f t="shared" si="28"/>
        <v>136.36151781000004</v>
      </c>
      <c r="CY14" s="1">
        <f t="shared" si="28"/>
        <v>114.33182424</v>
      </c>
      <c r="CZ14" s="1">
        <f t="shared" si="29"/>
        <v>131.64359017999999</v>
      </c>
      <c r="DA14" s="1">
        <f t="shared" si="29"/>
        <v>102.41564730000002</v>
      </c>
      <c r="DB14" s="1">
        <f t="shared" si="29"/>
        <v>113.57779348999999</v>
      </c>
      <c r="DC14" s="1">
        <f t="shared" si="29"/>
        <v>118.3786056</v>
      </c>
      <c r="DD14" s="1">
        <f t="shared" si="29"/>
        <v>126.46519539000002</v>
      </c>
      <c r="DE14" s="1">
        <f t="shared" si="29"/>
        <v>140.50614890000003</v>
      </c>
      <c r="DF14" s="1">
        <f t="shared" si="29"/>
        <v>139.44218023000002</v>
      </c>
      <c r="DG14" s="1">
        <f t="shared" si="29"/>
        <v>153.04661877999999</v>
      </c>
      <c r="DI14" s="1">
        <f t="shared" si="30"/>
        <v>1.7294343599999999</v>
      </c>
      <c r="DJ14" s="1">
        <f t="shared" si="30"/>
        <v>2.2980596799999997</v>
      </c>
      <c r="DK14" s="1">
        <f t="shared" si="30"/>
        <v>2.7814752500000006</v>
      </c>
      <c r="DL14" s="1">
        <f t="shared" si="30"/>
        <v>1.95823569</v>
      </c>
      <c r="DM14" s="1">
        <f t="shared" si="30"/>
        <v>2.3716850700000007</v>
      </c>
      <c r="DN14" s="1">
        <f t="shared" si="30"/>
        <v>3.2200157200000006</v>
      </c>
      <c r="DO14" s="1">
        <f t="shared" si="30"/>
        <v>2.3449699800000001</v>
      </c>
      <c r="DP14" s="1">
        <f t="shared" si="30"/>
        <v>1.8496573299999999</v>
      </c>
      <c r="DQ14" s="1">
        <f t="shared" si="30"/>
        <v>2.6840408</v>
      </c>
      <c r="DR14" s="1">
        <f t="shared" si="30"/>
        <v>2.90139879</v>
      </c>
      <c r="DS14" s="1">
        <f t="shared" si="30"/>
        <v>2.9139955600000005</v>
      </c>
      <c r="DT14" s="1">
        <f t="shared" si="30"/>
        <v>1.6254967600000001</v>
      </c>
      <c r="DU14" s="1">
        <f t="shared" si="30"/>
        <v>2.6289957100000003</v>
      </c>
      <c r="DV14" s="1">
        <f t="shared" si="30"/>
        <v>0.92402921999999987</v>
      </c>
      <c r="DW14" s="1">
        <f t="shared" si="30"/>
        <v>1.0080099199999999</v>
      </c>
      <c r="DX14" s="1">
        <f t="shared" si="30"/>
        <v>0.81005326000000022</v>
      </c>
      <c r="DY14" s="1">
        <f t="shared" si="31"/>
        <v>2.5429137699999997</v>
      </c>
      <c r="DZ14" s="1">
        <f t="shared" si="31"/>
        <v>0.83472519000000012</v>
      </c>
      <c r="EA14" s="1">
        <f t="shared" si="31"/>
        <v>1.6658761100000001</v>
      </c>
      <c r="EB14" s="1">
        <f t="shared" si="31"/>
        <v>1.6724867599999997</v>
      </c>
      <c r="EC14" s="1">
        <f t="shared" si="31"/>
        <v>1.92660527</v>
      </c>
      <c r="ED14" s="1">
        <f t="shared" si="31"/>
        <v>0.38991597</v>
      </c>
      <c r="EE14" s="1">
        <f t="shared" si="31"/>
        <v>3.0425877200000002</v>
      </c>
      <c r="EF14" s="1">
        <f t="shared" si="31"/>
        <v>1.8227840799999999</v>
      </c>
      <c r="EH14" s="14">
        <f t="shared" si="32"/>
        <v>182.5</v>
      </c>
      <c r="EI14" s="14">
        <f t="shared" si="32"/>
        <v>179.9</v>
      </c>
      <c r="EJ14" s="1">
        <f t="shared" si="32"/>
        <v>182.6</v>
      </c>
      <c r="EK14" s="1">
        <f t="shared" si="32"/>
        <v>185.2</v>
      </c>
      <c r="EL14" s="1">
        <f t="shared" si="32"/>
        <v>188.7</v>
      </c>
      <c r="EM14" s="1">
        <f t="shared" si="32"/>
        <v>191.3</v>
      </c>
      <c r="EN14" s="1">
        <f t="shared" si="32"/>
        <v>195.7</v>
      </c>
      <c r="EO14" s="1">
        <f t="shared" si="32"/>
        <v>194.1</v>
      </c>
      <c r="EP14" s="1">
        <f t="shared" si="32"/>
        <v>191</v>
      </c>
      <c r="EQ14" s="1">
        <f t="shared" si="32"/>
        <v>181.1</v>
      </c>
      <c r="ER14" s="1">
        <f t="shared" si="32"/>
        <v>170.3</v>
      </c>
      <c r="ES14" s="1">
        <f t="shared" si="32"/>
        <v>170.9</v>
      </c>
      <c r="ET14" s="1">
        <f t="shared" si="32"/>
        <v>168.7</v>
      </c>
      <c r="EU14" s="1">
        <f t="shared" si="32"/>
        <v>160.6</v>
      </c>
      <c r="EV14" s="1">
        <f t="shared" si="32"/>
        <v>160.6</v>
      </c>
      <c r="EW14" s="1">
        <f t="shared" si="32"/>
        <v>160.6</v>
      </c>
      <c r="EX14" s="1">
        <f t="shared" si="33"/>
        <v>160.6</v>
      </c>
      <c r="EY14" s="1">
        <f t="shared" si="33"/>
        <v>156.30000000000001</v>
      </c>
      <c r="EZ14" s="1">
        <f t="shared" si="33"/>
        <v>155.80000000000001</v>
      </c>
      <c r="FA14" s="1">
        <f t="shared" si="33"/>
        <v>159.5</v>
      </c>
      <c r="FB14" s="1">
        <f t="shared" si="33"/>
        <v>170.8</v>
      </c>
      <c r="FC14" s="1">
        <f t="shared" si="33"/>
        <v>170.8</v>
      </c>
      <c r="FD14" s="1">
        <f t="shared" si="33"/>
        <v>187.7</v>
      </c>
      <c r="FE14" s="1">
        <f t="shared" si="33"/>
        <v>196.8</v>
      </c>
      <c r="FG14" s="162">
        <f t="shared" si="34"/>
        <v>-0.27557089352928776</v>
      </c>
    </row>
    <row r="15" spans="1:163" ht="18.75" customHeight="1">
      <c r="A15" s="244" t="s">
        <v>68</v>
      </c>
      <c r="B15" s="247"/>
      <c r="C15" s="228">
        <v>0</v>
      </c>
      <c r="D15" s="229">
        <v>-1</v>
      </c>
      <c r="E15" s="253">
        <f t="shared" si="6"/>
        <v>-8.3333333333333481E-2</v>
      </c>
      <c r="F15" s="254">
        <f t="shared" si="7"/>
        <v>-0.10806253004411914</v>
      </c>
      <c r="G15" s="253">
        <f t="shared" si="8"/>
        <v>1.2654448535151408E-2</v>
      </c>
      <c r="H15" s="254">
        <f t="shared" si="9"/>
        <v>-9.5987781868484889E-2</v>
      </c>
      <c r="I15" s="253">
        <f t="shared" si="10"/>
        <v>0.2222222222222221</v>
      </c>
      <c r="J15" s="254">
        <f t="shared" si="11"/>
        <v>-9.1465219377478979E-2</v>
      </c>
      <c r="K15" s="253">
        <f t="shared" si="12"/>
        <v>0.36381445929989864</v>
      </c>
      <c r="L15" s="254">
        <f t="shared" si="13"/>
        <v>-0.14159223707767654</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0.96599311203307736</v>
      </c>
      <c r="X15" s="258">
        <f t="shared" si="17"/>
        <v>0.96599311203307736</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5</v>
      </c>
      <c r="AQ15" s="28">
        <f>VLOOKUP($A15,historia!$A$5:$CM$24,+HLOOKUP(AQ$2,historia!$A$3:$EC$4,2,FALSE),FALSE)</f>
        <v>5</v>
      </c>
      <c r="AR15" s="28">
        <f>VLOOKUP($A15,historia!$A$5:$CM$24,+HLOOKUP(AR$2,historia!$A$3:$EC$4,2,FALSE),FALSE)</f>
        <v>5</v>
      </c>
      <c r="AS15" s="28">
        <f>VLOOKUP($A15,historia!$A$5:$CM$24,+HLOOKUP(AS$2,historia!$A$3:$EC$4,2,FALSE),FALSE)</f>
        <v>4</v>
      </c>
      <c r="AT15" s="58">
        <f>VLOOKUP($A15,historia!$A$5:$CM$24,+HLOOKUP(AT$2,historia!$A$3:$EC$4,2,FALSE),FALSE)</f>
        <v>4</v>
      </c>
      <c r="AU15" s="58">
        <f>VLOOKUP($A15,historia!$A$5:$CM$24,+HLOOKUP(AU$2,historia!$A$3:$EC$4,2,FALSE),FALSE)</f>
        <v>4</v>
      </c>
      <c r="AV15" s="58">
        <f>VLOOKUP($A15,historia!$A$5:$CM$24,+HLOOKUP(AV$2,historia!$A$3:$EC$4,2,FALSE),FALSE)</f>
        <v>4</v>
      </c>
      <c r="AW15" s="58">
        <f>VLOOKUP($A15,historia!$A$5:$CM$24,+HLOOKUP(AW$2,historia!$A$3:$EC$4,2,FALSE),FALSE)</f>
        <v>4</v>
      </c>
      <c r="AX15" s="58">
        <f>VLOOKUP($A15,historia!$A$5:$DD$24,+HLOOKUP(AX$2,historia!$A$3:$EC$4,2,FALSE),FALSE)</f>
        <v>3</v>
      </c>
      <c r="AY15" s="58">
        <f>VLOOKUP($A15,historia!$A$5:$DD$24,+HLOOKUP(AY$2,historia!$A$3:$EC$4,2,FALSE),FALSE)</f>
        <v>3</v>
      </c>
      <c r="AZ15" s="58">
        <f>VLOOKUP($A15,historia!$A$5:$DG$24,+HLOOKUP(AZ$2,historia!$A$3:$EC$4,2,FALSE),FALSE)</f>
        <v>3</v>
      </c>
      <c r="BA15" s="58">
        <f>VLOOKUP($A15,historia!$A$5:$DG$24,+HLOOKUP(BA$2,historia!$A$3:$EC$4,2,FALSE),FALSE)</f>
        <v>3</v>
      </c>
      <c r="BB15" s="58"/>
      <c r="BC15" s="286">
        <v>3</v>
      </c>
      <c r="BD15" t="str">
        <f t="shared" si="20"/>
        <v>Mandioca</v>
      </c>
      <c r="BE15">
        <f>+datos!AW1</f>
        <v>49</v>
      </c>
      <c r="BF15" s="2" t="str">
        <f t="shared" si="4"/>
        <v>$/bolsa40kg</v>
      </c>
      <c r="BG15" s="2">
        <f t="shared" si="4"/>
        <v>11305.555555555555</v>
      </c>
      <c r="BH15" s="2">
        <f t="shared" si="4"/>
        <v>12333.333333333334</v>
      </c>
      <c r="BI15" s="2">
        <f t="shared" si="4"/>
        <v>9250</v>
      </c>
      <c r="BK15">
        <f>+datos!CJ1</f>
        <v>88</v>
      </c>
      <c r="BL15" s="2">
        <f t="shared" si="21"/>
        <v>11245.158581077454</v>
      </c>
      <c r="BM15" s="2">
        <f t="shared" si="21"/>
        <v>11104.635542108232</v>
      </c>
      <c r="BN15" s="2">
        <f t="shared" si="21"/>
        <v>8245.3727516938416</v>
      </c>
      <c r="BP15" s="1">
        <f>+datos!EY1</f>
        <v>155</v>
      </c>
      <c r="BQ15" s="1">
        <f t="shared" si="22"/>
        <v>20031</v>
      </c>
      <c r="BR15" s="1">
        <f t="shared" si="22"/>
        <v>20031</v>
      </c>
      <c r="BT15" s="1">
        <f>+datos!GO1</f>
        <v>197</v>
      </c>
      <c r="BU15" s="1">
        <f t="shared" si="23"/>
        <v>201734</v>
      </c>
      <c r="BV15" s="1">
        <f t="shared" si="23"/>
        <v>201734</v>
      </c>
      <c r="BX15" s="1">
        <f>+datos!JP1</f>
        <v>276</v>
      </c>
      <c r="BY15" s="1">
        <f t="shared" si="39"/>
        <v>0</v>
      </c>
      <c r="BZ15" s="1">
        <f t="shared" si="40"/>
        <v>0</v>
      </c>
      <c r="CB15" s="1">
        <f>+datos!KU1</f>
        <v>307</v>
      </c>
      <c r="CC15" s="2">
        <f t="shared" si="24"/>
        <v>3.428242640000001</v>
      </c>
      <c r="CD15" s="2">
        <f t="shared" si="25"/>
        <v>1.7437714400000002</v>
      </c>
      <c r="CF15" s="1">
        <f>+datos!IY1</f>
        <v>259</v>
      </c>
      <c r="CG15" s="1">
        <f t="shared" si="26"/>
        <v>1.88</v>
      </c>
      <c r="CH15" s="1">
        <f t="shared" si="27"/>
        <v>1.88</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9"/>
        <v>0</v>
      </c>
      <c r="DA15" s="1">
        <f t="shared" si="29"/>
        <v>0</v>
      </c>
      <c r="DB15" s="1">
        <f t="shared" si="29"/>
        <v>0</v>
      </c>
      <c r="DC15" s="1">
        <f t="shared" si="29"/>
        <v>0</v>
      </c>
      <c r="DD15" s="1">
        <f t="shared" si="29"/>
        <v>0</v>
      </c>
      <c r="DE15" s="1">
        <f t="shared" si="29"/>
        <v>0</v>
      </c>
      <c r="DF15" s="1">
        <f t="shared" si="29"/>
        <v>0</v>
      </c>
      <c r="DG15" s="1">
        <f t="shared" si="29"/>
        <v>0</v>
      </c>
      <c r="DI15" s="14">
        <f t="shared" si="30"/>
        <v>0.27804433999999995</v>
      </c>
      <c r="DJ15" s="14">
        <f t="shared" si="30"/>
        <v>0.43603392000000002</v>
      </c>
      <c r="DK15" s="1">
        <f t="shared" si="30"/>
        <v>0.45279353000000006</v>
      </c>
      <c r="DL15" s="1">
        <f t="shared" si="30"/>
        <v>0.30456642</v>
      </c>
      <c r="DM15" s="1">
        <f t="shared" si="30"/>
        <v>0.53543670999999993</v>
      </c>
      <c r="DN15" s="1">
        <f t="shared" si="30"/>
        <v>0.43177300000000002</v>
      </c>
      <c r="DO15" s="1">
        <f t="shared" si="30"/>
        <v>0.33740116000000003</v>
      </c>
      <c r="DP15" s="1">
        <f t="shared" si="30"/>
        <v>0.28762799999999999</v>
      </c>
      <c r="DQ15" s="1">
        <f t="shared" si="30"/>
        <v>0.10344400999999999</v>
      </c>
      <c r="DR15" s="1">
        <f t="shared" si="30"/>
        <v>4.4833160000000004E-2</v>
      </c>
      <c r="DS15" s="1">
        <f t="shared" si="30"/>
        <v>0.14172798</v>
      </c>
      <c r="DT15" s="1">
        <f t="shared" si="30"/>
        <v>7.4560410000000008E-2</v>
      </c>
      <c r="DU15" s="1">
        <f t="shared" si="30"/>
        <v>0.28059129999999999</v>
      </c>
      <c r="DV15" s="1">
        <f t="shared" si="30"/>
        <v>0.15169276000000001</v>
      </c>
      <c r="DW15" s="1">
        <f t="shared" si="30"/>
        <v>0.14711371000000001</v>
      </c>
      <c r="DX15" s="1">
        <f t="shared" si="30"/>
        <v>0.18175015000000003</v>
      </c>
      <c r="DY15" s="1">
        <f t="shared" si="31"/>
        <v>0.15569543999999999</v>
      </c>
      <c r="DZ15" s="1">
        <f t="shared" si="31"/>
        <v>0.1712014</v>
      </c>
      <c r="EA15" s="1">
        <f t="shared" si="31"/>
        <v>0.12198517</v>
      </c>
      <c r="EB15" s="1">
        <f t="shared" si="31"/>
        <v>1.6812999999999999E-3</v>
      </c>
      <c r="EC15" s="1">
        <f t="shared" si="31"/>
        <v>2.8195380000000003E-2</v>
      </c>
      <c r="ED15" s="1">
        <f t="shared" si="31"/>
        <v>4.9277770000000005E-2</v>
      </c>
      <c r="EE15" s="1">
        <f t="shared" si="31"/>
        <v>0.21358802999999996</v>
      </c>
      <c r="EF15" s="1">
        <f t="shared" si="31"/>
        <v>0.24099903000000003</v>
      </c>
      <c r="EH15" s="14">
        <f t="shared" si="32"/>
        <v>1.88</v>
      </c>
      <c r="EI15" s="14">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3"/>
        <v>1.88</v>
      </c>
      <c r="EY15" s="1">
        <f t="shared" si="33"/>
        <v>1.88</v>
      </c>
      <c r="EZ15" s="1">
        <f t="shared" si="33"/>
        <v>1.88</v>
      </c>
      <c r="FA15" s="1">
        <f t="shared" si="33"/>
        <v>1.88</v>
      </c>
      <c r="FB15" s="1">
        <f t="shared" si="33"/>
        <v>1.88</v>
      </c>
      <c r="FC15" s="1">
        <f t="shared" si="33"/>
        <v>1.88</v>
      </c>
      <c r="FD15" s="1">
        <f t="shared" si="33"/>
        <v>1.88</v>
      </c>
      <c r="FE15" s="1">
        <f t="shared" si="33"/>
        <v>1.88</v>
      </c>
      <c r="FG15" s="162">
        <f t="shared" si="34"/>
        <v>-0.14159223707767654</v>
      </c>
    </row>
    <row r="16" spans="1:163" ht="18" customHeight="1">
      <c r="A16" s="243" t="s">
        <v>25</v>
      </c>
      <c r="B16" s="246"/>
      <c r="C16" s="156">
        <f t="shared" si="5"/>
        <v>-0.66</v>
      </c>
      <c r="D16" s="198">
        <v>-1</v>
      </c>
      <c r="E16" s="248">
        <f t="shared" si="6"/>
        <v>2.737646828632001E-2</v>
      </c>
      <c r="F16" s="249">
        <f t="shared" si="7"/>
        <v>2.647271575534349E-3</v>
      </c>
      <c r="G16" s="248">
        <f t="shared" si="8"/>
        <v>2.2571616591606336E-2</v>
      </c>
      <c r="H16" s="249">
        <f t="shared" si="9"/>
        <v>4.8048516947136743E-3</v>
      </c>
      <c r="I16" s="248">
        <f t="shared" si="10"/>
        <v>-4.3526427716787053E-2</v>
      </c>
      <c r="J16" s="249">
        <f t="shared" si="11"/>
        <v>-0.35721386931648813</v>
      </c>
      <c r="K16" s="248">
        <f t="shared" si="12"/>
        <v>0.19676121542104918</v>
      </c>
      <c r="L16" s="249">
        <f t="shared" si="13"/>
        <v>-0.24028764313783624</v>
      </c>
      <c r="M16" s="250"/>
      <c r="N16" s="24">
        <v>1</v>
      </c>
      <c r="O16" s="248">
        <f t="shared" si="35"/>
        <v>-0.25368839092147422</v>
      </c>
      <c r="P16" s="251">
        <f t="shared" si="36"/>
        <v>-0.25368839092147422</v>
      </c>
      <c r="Q16" s="248">
        <f t="shared" si="14"/>
        <v>-0.13425129087779686</v>
      </c>
      <c r="R16" s="251">
        <f t="shared" si="37"/>
        <v>-0.13425129087779686</v>
      </c>
      <c r="S16" s="250"/>
      <c r="T16" s="24">
        <v>-2</v>
      </c>
      <c r="U16" s="248">
        <f t="shared" si="15"/>
        <v>6.1718280581823937E-2</v>
      </c>
      <c r="V16" s="252">
        <f t="shared" si="16"/>
        <v>6.1718280581823937E-2</v>
      </c>
      <c r="W16" s="248">
        <f>IFERROR(+CC16/CD16-1,"")</f>
        <v>-0.14821773620895007</v>
      </c>
      <c r="X16" s="258">
        <f t="shared" si="17"/>
        <v>-0.14821773620895007</v>
      </c>
      <c r="Y16" s="248">
        <f t="shared" si="18"/>
        <v>0.14970059880239517</v>
      </c>
      <c r="Z16" s="252">
        <f t="shared" si="19"/>
        <v>0.14970059880239517</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4</v>
      </c>
      <c r="AQ16" s="28">
        <f>VLOOKUP($A16,historia!$A$5:$CM$24,+HLOOKUP(AQ$2,historia!$A$3:$EC$4,2,FALSE),FALSE)</f>
        <v>2</v>
      </c>
      <c r="AR16" s="28">
        <f>VLOOKUP($A16,historia!$A$5:$CM$24,+HLOOKUP(AR$2,historia!$A$3:$EC$4,2,FALSE),FALSE)</f>
        <v>2</v>
      </c>
      <c r="AS16" s="28">
        <f>VLOOKUP($A16,historia!$A$5:$CM$24,+HLOOKUP(AS$2,historia!$A$3:$EC$4,2,FALSE),FALSE)</f>
        <v>3</v>
      </c>
      <c r="AT16" s="58">
        <f>VLOOKUP($A16,historia!$A$5:$CM$24,+HLOOKUP(AT$2,historia!$A$3:$EC$4,2,FALSE),FALSE)</f>
        <v>3</v>
      </c>
      <c r="AU16" s="58">
        <f>VLOOKUP($A16,historia!$A$5:$CM$24,+HLOOKUP(AU$2,historia!$A$3:$EC$4,2,FALSE),FALSE)</f>
        <v>3</v>
      </c>
      <c r="AV16" s="58">
        <f>VLOOKUP($A16,historia!$A$5:$CM$24,+HLOOKUP(AV$2,historia!$A$3:$EC$4,2,FALSE),FALSE)</f>
        <v>3</v>
      </c>
      <c r="AW16" s="58">
        <f>VLOOKUP($A16,historia!$A$5:$CM$24,+HLOOKUP(AW$2,historia!$A$3:$EC$4,2,FALSE),FALSE)</f>
        <v>3</v>
      </c>
      <c r="AX16" s="58">
        <f>VLOOKUP($A16,historia!$A$5:$DD$24,+HLOOKUP(AX$2,historia!$A$3:$EC$4,2,FALSE),FALSE)</f>
        <v>3</v>
      </c>
      <c r="AY16" s="58">
        <f>VLOOKUP($A16,historia!$A$5:$DD$24,+HLOOKUP(AY$2,historia!$A$3:$EC$4,2,FALSE),FALSE)</f>
        <v>3</v>
      </c>
      <c r="AZ16" s="58">
        <f>VLOOKUP($A16,historia!$A$5:$DG$24,+HLOOKUP(AZ$2,historia!$A$3:$EC$4,2,FALSE),FALSE)</f>
        <v>3</v>
      </c>
      <c r="BA16" s="58">
        <f>VLOOKUP($A16,historia!$A$5:$DG$24,+HLOOKUP(BA$2,historia!$A$3:$EC$4,2,FALSE),FALSE)</f>
        <v>3</v>
      </c>
      <c r="BB16" s="58"/>
      <c r="BC16" s="286">
        <v>3</v>
      </c>
      <c r="BD16" t="str">
        <f t="shared" si="20"/>
        <v>Maní</v>
      </c>
      <c r="BE16">
        <f>+datos!AF1</f>
        <v>32</v>
      </c>
      <c r="BF16" s="2" t="str">
        <f t="shared" si="4"/>
        <v>$/t</v>
      </c>
      <c r="BG16" s="2">
        <f t="shared" si="4"/>
        <v>847757.43839999998</v>
      </c>
      <c r="BH16" s="2">
        <f t="shared" si="4"/>
        <v>825167.27272727271</v>
      </c>
      <c r="BI16" s="2">
        <f t="shared" si="4"/>
        <v>886336.5</v>
      </c>
      <c r="BK16">
        <f>+datos!CH1</f>
        <v>86</v>
      </c>
      <c r="BL16" s="2">
        <f t="shared" si="21"/>
        <v>12779.708207832618</v>
      </c>
      <c r="BM16" s="2">
        <f t="shared" si="21"/>
        <v>12497.616793266192</v>
      </c>
      <c r="BN16" s="2">
        <f t="shared" si="21"/>
        <v>10678.578185153177</v>
      </c>
      <c r="BP16" s="1">
        <f>+datos!EB1</f>
        <v>132</v>
      </c>
      <c r="BQ16" s="1">
        <f t="shared" si="22"/>
        <v>389000</v>
      </c>
      <c r="BR16" s="1">
        <f t="shared" si="22"/>
        <v>521230</v>
      </c>
      <c r="BT16" s="1">
        <f>+datos!FW1</f>
        <v>179</v>
      </c>
      <c r="BU16" s="1">
        <f t="shared" si="23"/>
        <v>1389286</v>
      </c>
      <c r="BV16" s="1">
        <f t="shared" si="23"/>
        <v>1604722</v>
      </c>
      <c r="BX16" s="1">
        <f>+datos!JK1</f>
        <v>271</v>
      </c>
      <c r="BY16" s="1">
        <f t="shared" si="39"/>
        <v>1405.4641729500001</v>
      </c>
      <c r="BZ16" s="1">
        <f t="shared" si="40"/>
        <v>1323.7637503799997</v>
      </c>
      <c r="CB16" s="1">
        <f>+datos!KP1</f>
        <v>302</v>
      </c>
      <c r="CC16" s="2">
        <f t="shared" si="24"/>
        <v>2.0546697900000002</v>
      </c>
      <c r="CD16" s="2">
        <f t="shared" si="25"/>
        <v>2.4122007199999995</v>
      </c>
      <c r="CF16" s="1">
        <f>+datos!IJ1</f>
        <v>244</v>
      </c>
      <c r="CG16" s="1">
        <f t="shared" si="26"/>
        <v>2.4791954184468667</v>
      </c>
      <c r="CH16" s="1">
        <f t="shared" si="27"/>
        <v>2.1563835150032644</v>
      </c>
      <c r="CJ16" s="1">
        <f t="shared" si="28"/>
        <v>107.51173679000001</v>
      </c>
      <c r="CK16" s="1">
        <f t="shared" si="28"/>
        <v>153.65977728999999</v>
      </c>
      <c r="CL16" s="1">
        <f t="shared" si="28"/>
        <v>137.05460552</v>
      </c>
      <c r="CM16" s="1">
        <f t="shared" si="28"/>
        <v>119.79773589000003</v>
      </c>
      <c r="CN16" s="1">
        <f t="shared" si="28"/>
        <v>108.38462631999997</v>
      </c>
      <c r="CO16" s="1">
        <f t="shared" si="28"/>
        <v>110.53778464999999</v>
      </c>
      <c r="CP16" s="1">
        <f t="shared" si="28"/>
        <v>97.139552130000013</v>
      </c>
      <c r="CQ16" s="1">
        <f t="shared" si="28"/>
        <v>94.262180470000018</v>
      </c>
      <c r="CR16" s="1">
        <f t="shared" si="28"/>
        <v>104.16408064999997</v>
      </c>
      <c r="CS16" s="1">
        <f t="shared" si="28"/>
        <v>129.66034791999999</v>
      </c>
      <c r="CT16" s="1">
        <f t="shared" si="28"/>
        <v>100.29183523999998</v>
      </c>
      <c r="CU16" s="1">
        <f t="shared" si="28"/>
        <v>142.99991008000001</v>
      </c>
      <c r="CV16" s="1">
        <f t="shared" si="28"/>
        <v>153.43391492999999</v>
      </c>
      <c r="CW16" s="1">
        <f t="shared" si="28"/>
        <v>142.09253510999997</v>
      </c>
      <c r="CX16" s="1">
        <f t="shared" si="28"/>
        <v>155.33708399000002</v>
      </c>
      <c r="CY16" s="1">
        <f t="shared" si="28"/>
        <v>156.99934678</v>
      </c>
      <c r="CZ16" s="1">
        <f t="shared" si="29"/>
        <v>115.53726275000001</v>
      </c>
      <c r="DA16" s="1">
        <f t="shared" si="29"/>
        <v>98.487414479999984</v>
      </c>
      <c r="DB16" s="1">
        <f t="shared" si="29"/>
        <v>63.473924160000003</v>
      </c>
      <c r="DC16" s="1">
        <f t="shared" si="29"/>
        <v>65.127016839999982</v>
      </c>
      <c r="DD16" s="1">
        <f t="shared" si="29"/>
        <v>70.784594500000011</v>
      </c>
      <c r="DE16" s="1">
        <f t="shared" si="29"/>
        <v>111.62267066999999</v>
      </c>
      <c r="DF16" s="1">
        <f t="shared" si="29"/>
        <v>100.80321882999999</v>
      </c>
      <c r="DG16" s="1">
        <f t="shared" si="29"/>
        <v>90.064767340000003</v>
      </c>
      <c r="DI16" s="1">
        <f t="shared" si="30"/>
        <v>2.1048300000000002E-3</v>
      </c>
      <c r="DJ16" s="1">
        <f t="shared" si="30"/>
        <v>9.9999999999999995E-7</v>
      </c>
      <c r="DK16" s="1">
        <f t="shared" si="30"/>
        <v>0.27773459</v>
      </c>
      <c r="DL16" s="1">
        <f t="shared" si="30"/>
        <v>0.19844290000000001</v>
      </c>
      <c r="DM16" s="1">
        <f t="shared" si="30"/>
        <v>0.14424532000000001</v>
      </c>
      <c r="DN16" s="1">
        <f t="shared" si="30"/>
        <v>5.4312239999999998E-2</v>
      </c>
      <c r="DO16" s="1">
        <f t="shared" si="30"/>
        <v>1.9420499999999999E-3</v>
      </c>
      <c r="DP16" s="1">
        <f t="shared" si="30"/>
        <v>1.0560452</v>
      </c>
      <c r="DQ16" s="1">
        <f t="shared" si="30"/>
        <v>3.8992409999999998E-2</v>
      </c>
      <c r="DR16" s="1">
        <f t="shared" si="30"/>
        <v>0</v>
      </c>
      <c r="DS16" s="1">
        <f t="shared" si="30"/>
        <v>5.2225250000000001E-2</v>
      </c>
      <c r="DT16" s="1">
        <f t="shared" si="30"/>
        <v>0.22862400000000002</v>
      </c>
      <c r="DU16" s="1">
        <f t="shared" si="30"/>
        <v>2.6527899999999999E-3</v>
      </c>
      <c r="DV16" s="1">
        <f t="shared" si="30"/>
        <v>1.6271E-3</v>
      </c>
      <c r="DW16" s="1">
        <f t="shared" si="30"/>
        <v>0.13444175</v>
      </c>
      <c r="DX16" s="1">
        <f t="shared" si="30"/>
        <v>4.2737620000000004E-2</v>
      </c>
      <c r="DY16" s="1">
        <f t="shared" si="31"/>
        <v>8.6628999999999998E-2</v>
      </c>
      <c r="DZ16" s="1">
        <f t="shared" si="31"/>
        <v>8.4906640000000005E-2</v>
      </c>
      <c r="EA16" s="1">
        <f t="shared" si="31"/>
        <v>8.714181E-2</v>
      </c>
      <c r="EB16" s="1">
        <f t="shared" si="31"/>
        <v>0.111375</v>
      </c>
      <c r="EC16" s="1">
        <f t="shared" si="31"/>
        <v>0.12514284000000001</v>
      </c>
      <c r="ED16" s="1">
        <f t="shared" si="31"/>
        <v>0.69674917999999986</v>
      </c>
      <c r="EE16" s="1">
        <f t="shared" si="31"/>
        <v>0.79684906</v>
      </c>
      <c r="EF16" s="1">
        <f t="shared" si="31"/>
        <v>0.24194792999999998</v>
      </c>
      <c r="EH16" s="14">
        <f t="shared" si="32"/>
        <v>2.4791954184468667</v>
      </c>
      <c r="EI16" s="14">
        <f t="shared" si="32"/>
        <v>2.4791954184468667</v>
      </c>
      <c r="EJ16" s="1">
        <f t="shared" si="32"/>
        <v>2.3888080854826579</v>
      </c>
      <c r="EK16" s="1">
        <f t="shared" si="32"/>
        <v>2.3888080854826579</v>
      </c>
      <c r="EL16" s="1">
        <f t="shared" si="32"/>
        <v>2.3888080854826579</v>
      </c>
      <c r="EM16" s="1">
        <f t="shared" si="32"/>
        <v>2.3888080854826579</v>
      </c>
      <c r="EN16" s="1">
        <f t="shared" si="32"/>
        <v>2.3888080854826579</v>
      </c>
      <c r="EO16" s="1">
        <f t="shared" si="32"/>
        <v>2.3888080854826579</v>
      </c>
      <c r="EP16" s="1">
        <f t="shared" si="32"/>
        <v>2.1563835150032644</v>
      </c>
      <c r="EQ16" s="1">
        <f t="shared" si="32"/>
        <v>2.1563835150032644</v>
      </c>
      <c r="ER16" s="1">
        <f t="shared" si="32"/>
        <v>2.1563835150032644</v>
      </c>
      <c r="ES16" s="1">
        <f t="shared" si="32"/>
        <v>2.1563835150032644</v>
      </c>
      <c r="ET16" s="1">
        <f t="shared" si="32"/>
        <v>2.1563835150032644</v>
      </c>
      <c r="EU16" s="1">
        <f t="shared" si="32"/>
        <v>2.1563835150032644</v>
      </c>
      <c r="EV16" s="1">
        <f t="shared" si="32"/>
        <v>2.1563835150032644</v>
      </c>
      <c r="EW16" s="1">
        <f t="shared" si="32"/>
        <v>2.1563835150032644</v>
      </c>
      <c r="EX16" s="1">
        <f t="shared" si="33"/>
        <v>2.1563835150032644</v>
      </c>
      <c r="EY16" s="1">
        <f t="shared" si="33"/>
        <v>2.1563835150032644</v>
      </c>
      <c r="EZ16" s="1">
        <f t="shared" si="33"/>
        <v>2.1563835150032644</v>
      </c>
      <c r="FA16" s="1">
        <f t="shared" si="33"/>
        <v>2.1563835150032644</v>
      </c>
      <c r="FB16" s="1">
        <f t="shared" si="33"/>
        <v>1.9885213252125911</v>
      </c>
      <c r="FC16" s="1">
        <f t="shared" si="33"/>
        <v>1.9885213252125911</v>
      </c>
      <c r="FD16" s="1">
        <f t="shared" si="33"/>
        <v>1.9885213252125911</v>
      </c>
      <c r="FE16" s="1">
        <f t="shared" si="33"/>
        <v>1.9885213252125911</v>
      </c>
      <c r="FG16" s="162">
        <f t="shared" si="34"/>
        <v>-0.24028764313783624</v>
      </c>
    </row>
    <row r="17" spans="1:163" ht="18.75" customHeight="1">
      <c r="A17" s="244" t="s">
        <v>76</v>
      </c>
      <c r="B17" s="247"/>
      <c r="C17" s="228">
        <f t="shared" si="5"/>
        <v>-0.99</v>
      </c>
      <c r="D17" s="229">
        <v>-1</v>
      </c>
      <c r="E17" s="253">
        <f t="shared" si="6"/>
        <v>4.9202733485193662E-2</v>
      </c>
      <c r="F17" s="254">
        <f t="shared" si="7"/>
        <v>2.4473536774408E-2</v>
      </c>
      <c r="G17" s="253">
        <f t="shared" si="8"/>
        <v>2.0380726815939498E-2</v>
      </c>
      <c r="H17" s="254">
        <f t="shared" si="9"/>
        <v>2.8822006669254163E-2</v>
      </c>
      <c r="I17" s="253">
        <f t="shared" si="10"/>
        <v>0.29673423423423428</v>
      </c>
      <c r="J17" s="254">
        <f t="shared" si="11"/>
        <v>-1.6953207365466794E-2</v>
      </c>
      <c r="K17" s="253">
        <f t="shared" si="12"/>
        <v>0.36827172018618382</v>
      </c>
      <c r="L17" s="254">
        <f t="shared" si="13"/>
        <v>-7.1537485951949531E-2</v>
      </c>
      <c r="M17" s="255"/>
      <c r="N17" s="256">
        <v>-1</v>
      </c>
      <c r="O17" s="253">
        <f>IFERROR(+BQ17/BR17-1,"")</f>
        <v>0.14285714285714279</v>
      </c>
      <c r="P17" s="257">
        <f t="shared" si="36"/>
        <v>0.14285714285714279</v>
      </c>
      <c r="Q17" s="253">
        <f t="shared" si="14"/>
        <v>8.2297934975540166E-2</v>
      </c>
      <c r="R17" s="257">
        <f t="shared" si="37"/>
        <v>8.2297934975540166E-2</v>
      </c>
      <c r="S17" s="255"/>
      <c r="T17" s="256">
        <v>-1</v>
      </c>
      <c r="U17" s="253">
        <f t="shared" si="15"/>
        <v>0.11990652515030376</v>
      </c>
      <c r="V17" s="258">
        <f t="shared" si="16"/>
        <v>0.11990652515030376</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3</v>
      </c>
      <c r="AR17" s="28">
        <f>VLOOKUP($A17,historia!$A$5:$CM$24,+HLOOKUP(AR$2,historia!$A$3:$EC$4,2,FALSE),FALSE)</f>
        <v>3</v>
      </c>
      <c r="AS17" s="28">
        <f>VLOOKUP($A17,historia!$A$5:$CM$24,+HLOOKUP(AS$2,historia!$A$3:$EC$4,2,FALSE),FALSE)</f>
        <v>3</v>
      </c>
      <c r="AT17" s="58">
        <f>VLOOKUP($A17,historia!$A$5:$CM$24,+HLOOKUP(AT$2,historia!$A$3:$EC$4,2,FALSE),FALSE)</f>
        <v>3</v>
      </c>
      <c r="AU17" s="58">
        <f>VLOOKUP($A17,historia!$A$5:$CM$24,+HLOOKUP(AU$2,historia!$A$3:$EC$4,2,FALSE),FALSE)</f>
        <v>3</v>
      </c>
      <c r="AV17" s="58">
        <f>VLOOKUP($A17,historia!$A$5:$CM$24,+HLOOKUP(AV$2,historia!$A$3:$EC$4,2,FALSE),FALSE)</f>
        <v>3</v>
      </c>
      <c r="AW17" s="58">
        <f>VLOOKUP($A17,historia!$A$5:$CM$24,+HLOOKUP(AW$2,historia!$A$3:$EC$4,2,FALSE),FALSE)</f>
        <v>3</v>
      </c>
      <c r="AX17" s="58">
        <f>VLOOKUP($A17,historia!$A$5:$DD$24,+HLOOKUP(AX$2,historia!$A$3:$EC$4,2,FALSE),FALSE)</f>
        <v>3</v>
      </c>
      <c r="AY17" s="58">
        <f>VLOOKUP($A17,historia!$A$5:$DD$24,+HLOOKUP(AY$2,historia!$A$3:$EC$4,2,FALSE),FALSE)</f>
        <v>3</v>
      </c>
      <c r="AZ17" s="58">
        <f>VLOOKUP($A17,historia!$A$5:$DG$24,+HLOOKUP(AZ$2,historia!$A$3:$EC$4,2,FALSE),FALSE)</f>
        <v>2</v>
      </c>
      <c r="BA17" s="58">
        <f>VLOOKUP($A17,historia!$A$5:$DG$24,+HLOOKUP(BA$2,historia!$A$3:$EC$4,2,FALSE),FALSE)</f>
        <v>2</v>
      </c>
      <c r="BB17" s="58"/>
      <c r="BC17" s="286">
        <v>2</v>
      </c>
      <c r="BD17" t="str">
        <f t="shared" si="20"/>
        <v>Miel</v>
      </c>
      <c r="BE17">
        <f>+datos!BV1</f>
        <v>74</v>
      </c>
      <c r="BF17" s="2" t="str">
        <f t="shared" si="4"/>
        <v>$/kg</v>
      </c>
      <c r="BG17" s="2">
        <f t="shared" si="4"/>
        <v>2303</v>
      </c>
      <c r="BH17" s="2">
        <f t="shared" si="4"/>
        <v>2195</v>
      </c>
      <c r="BI17" s="2">
        <f t="shared" si="4"/>
        <v>1776</v>
      </c>
      <c r="BK17">
        <f>+datos!DH1</f>
        <v>112</v>
      </c>
      <c r="BL17" s="2">
        <f t="shared" si="21"/>
        <v>12265.258215444739</v>
      </c>
      <c r="BM17" s="2">
        <f t="shared" si="21"/>
        <v>12020.276248962509</v>
      </c>
      <c r="BN17" s="2">
        <f t="shared" si="21"/>
        <v>8964.0515363248014</v>
      </c>
      <c r="BP17" s="1">
        <f>+datos!EQ1</f>
        <v>147</v>
      </c>
      <c r="BQ17" s="1">
        <f t="shared" si="22"/>
        <v>4000000</v>
      </c>
      <c r="BR17" s="1">
        <f t="shared" si="22"/>
        <v>3500000</v>
      </c>
      <c r="BT17" s="1">
        <f>+datos!GP1</f>
        <v>198</v>
      </c>
      <c r="BU17" s="1">
        <f t="shared" si="23"/>
        <v>75000</v>
      </c>
      <c r="BV17" s="1">
        <f t="shared" si="23"/>
        <v>69297</v>
      </c>
      <c r="BX17" s="1">
        <f>+datos!KE1</f>
        <v>291</v>
      </c>
      <c r="BY17" s="1">
        <f t="shared" si="39"/>
        <v>238.82337681999999</v>
      </c>
      <c r="BZ17" s="1">
        <f t="shared" si="40"/>
        <v>213.25295590000002</v>
      </c>
      <c r="CB17" s="1">
        <f>+datos!LJ1</f>
        <v>322</v>
      </c>
      <c r="CC17" s="2">
        <f t="shared" si="24"/>
        <v>4.5226869999999995E-2</v>
      </c>
      <c r="CD17" s="2">
        <f>+SUM(DU17:EF17)</f>
        <v>9.3545939999999994E-2</v>
      </c>
      <c r="CF17" s="1">
        <f>+datos!IZ1</f>
        <v>260</v>
      </c>
      <c r="CG17" s="2">
        <f t="shared" si="26"/>
        <v>0.3</v>
      </c>
      <c r="CH17" s="2">
        <f t="shared" si="27"/>
        <v>0.3</v>
      </c>
      <c r="CJ17" s="1">
        <f t="shared" si="28"/>
        <v>18.275047940000004</v>
      </c>
      <c r="CK17" s="1">
        <f t="shared" si="28"/>
        <v>22.033355530000001</v>
      </c>
      <c r="CL17" s="1">
        <f t="shared" si="28"/>
        <v>25.714133060000005</v>
      </c>
      <c r="CM17" s="1">
        <f t="shared" si="28"/>
        <v>20.973477770000002</v>
      </c>
      <c r="CN17" s="1">
        <f t="shared" si="28"/>
        <v>25.565397789999999</v>
      </c>
      <c r="CO17" s="1">
        <f t="shared" si="28"/>
        <v>22.120083830000002</v>
      </c>
      <c r="CP17" s="1">
        <f t="shared" si="28"/>
        <v>25.223589140000001</v>
      </c>
      <c r="CQ17" s="1">
        <f t="shared" si="28"/>
        <v>23.185079629999997</v>
      </c>
      <c r="CR17" s="1">
        <f t="shared" si="28"/>
        <v>18.014525360000007</v>
      </c>
      <c r="CS17" s="1">
        <f t="shared" si="28"/>
        <v>15.906782769999998</v>
      </c>
      <c r="CT17" s="1">
        <f t="shared" si="28"/>
        <v>9.6274282100000015</v>
      </c>
      <c r="CU17" s="1">
        <f t="shared" si="28"/>
        <v>12.184475789999999</v>
      </c>
      <c r="CV17" s="1">
        <f t="shared" si="28"/>
        <v>14.349162859999998</v>
      </c>
      <c r="CW17" s="1">
        <f t="shared" si="28"/>
        <v>24.378519029999993</v>
      </c>
      <c r="CX17" s="1">
        <f t="shared" si="28"/>
        <v>22.211636389999995</v>
      </c>
      <c r="CY17" s="1">
        <f t="shared" si="28"/>
        <v>18.934177090000006</v>
      </c>
      <c r="CZ17" s="1">
        <f t="shared" si="29"/>
        <v>18.049853030000005</v>
      </c>
      <c r="DA17" s="1">
        <f t="shared" si="29"/>
        <v>20.702965450000001</v>
      </c>
      <c r="DB17" s="1">
        <f t="shared" si="29"/>
        <v>19.199801710000003</v>
      </c>
      <c r="DC17" s="1">
        <f t="shared" si="29"/>
        <v>16.174522229999997</v>
      </c>
      <c r="DD17" s="1">
        <f t="shared" si="29"/>
        <v>22.082734950000003</v>
      </c>
      <c r="DE17" s="1">
        <f t="shared" si="29"/>
        <v>13.392344960000001</v>
      </c>
      <c r="DF17" s="1">
        <f t="shared" si="29"/>
        <v>10.971998660000001</v>
      </c>
      <c r="DG17" s="1">
        <f t="shared" si="29"/>
        <v>12.805239539999999</v>
      </c>
      <c r="DI17" s="1">
        <f t="shared" si="30"/>
        <v>0</v>
      </c>
      <c r="DJ17" s="1">
        <f t="shared" si="30"/>
        <v>0</v>
      </c>
      <c r="DK17" s="1">
        <f t="shared" si="30"/>
        <v>0</v>
      </c>
      <c r="DL17" s="1">
        <f t="shared" si="30"/>
        <v>4.0170669999999999E-2</v>
      </c>
      <c r="DM17" s="1">
        <f t="shared" si="30"/>
        <v>0</v>
      </c>
      <c r="DN17" s="1">
        <f t="shared" si="30"/>
        <v>0</v>
      </c>
      <c r="DO17" s="1">
        <f t="shared" si="30"/>
        <v>1.5264E-3</v>
      </c>
      <c r="DP17" s="1">
        <f t="shared" si="30"/>
        <v>0</v>
      </c>
      <c r="DQ17" s="1">
        <f t="shared" si="30"/>
        <v>0</v>
      </c>
      <c r="DR17" s="1">
        <f t="shared" si="30"/>
        <v>3.5298E-3</v>
      </c>
      <c r="DS17" s="1">
        <f t="shared" si="30"/>
        <v>0</v>
      </c>
      <c r="DT17" s="1">
        <f t="shared" si="30"/>
        <v>0</v>
      </c>
      <c r="DU17" s="1">
        <f t="shared" si="30"/>
        <v>0</v>
      </c>
      <c r="DV17" s="1">
        <f t="shared" si="30"/>
        <v>0</v>
      </c>
      <c r="DW17" s="1">
        <f t="shared" si="30"/>
        <v>4.0664E-4</v>
      </c>
      <c r="DX17" s="1">
        <f t="shared" si="30"/>
        <v>0</v>
      </c>
      <c r="DY17" s="1">
        <f t="shared" si="31"/>
        <v>0</v>
      </c>
      <c r="DZ17" s="1">
        <f t="shared" si="31"/>
        <v>0</v>
      </c>
      <c r="EA17" s="1">
        <f t="shared" si="31"/>
        <v>0</v>
      </c>
      <c r="EB17" s="1">
        <f t="shared" si="31"/>
        <v>0</v>
      </c>
      <c r="EC17" s="1">
        <f t="shared" si="31"/>
        <v>5.2539300000000004E-2</v>
      </c>
      <c r="ED17" s="1">
        <f t="shared" si="31"/>
        <v>0</v>
      </c>
      <c r="EE17" s="1">
        <f t="shared" si="31"/>
        <v>0</v>
      </c>
      <c r="EF17" s="1">
        <f t="shared" si="31"/>
        <v>4.0599999999999997E-2</v>
      </c>
      <c r="EH17" s="14">
        <f t="shared" si="32"/>
        <v>0.3</v>
      </c>
      <c r="EI17" s="14">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3"/>
        <v>0.3</v>
      </c>
      <c r="EY17" s="1">
        <f t="shared" si="33"/>
        <v>0.3</v>
      </c>
      <c r="EZ17" s="1">
        <f t="shared" si="33"/>
        <v>0.3</v>
      </c>
      <c r="FA17" s="1">
        <f t="shared" si="33"/>
        <v>0.3</v>
      </c>
      <c r="FB17" s="1">
        <f t="shared" si="33"/>
        <v>0.3</v>
      </c>
      <c r="FC17" s="1">
        <f t="shared" si="33"/>
        <v>0.3</v>
      </c>
      <c r="FD17" s="1">
        <f t="shared" si="33"/>
        <v>0.3</v>
      </c>
      <c r="FE17" s="1">
        <f t="shared" si="33"/>
        <v>0.3</v>
      </c>
      <c r="FG17" s="162">
        <f t="shared" si="34"/>
        <v>-7.1537485951949531E-2</v>
      </c>
    </row>
    <row r="18" spans="1:163" ht="18.75" customHeight="1">
      <c r="A18" s="243" t="s">
        <v>222</v>
      </c>
      <c r="B18" s="246"/>
      <c r="C18" s="156">
        <f t="shared" si="5"/>
        <v>-0.33</v>
      </c>
      <c r="D18" s="198">
        <v>1</v>
      </c>
      <c r="E18" s="248">
        <f t="shared" si="6"/>
        <v>2.0238220916213301E-4</v>
      </c>
      <c r="F18" s="249">
        <f t="shared" si="7"/>
        <v>-2.4526814501623528E-2</v>
      </c>
      <c r="G18" s="248">
        <f t="shared" si="8"/>
        <v>1.9225224788167461E-2</v>
      </c>
      <c r="H18" s="249">
        <f t="shared" si="9"/>
        <v>-1.9022842579005328E-2</v>
      </c>
      <c r="I18" s="253">
        <f t="shared" si="10"/>
        <v>0.40328929400993463</v>
      </c>
      <c r="J18" s="254">
        <f t="shared" si="11"/>
        <v>8.9601852410233551E-2</v>
      </c>
      <c r="K18" s="248">
        <f t="shared" si="12"/>
        <v>0.3880407306965119</v>
      </c>
      <c r="L18" s="249">
        <f t="shared" si="13"/>
        <v>1.5248563313422725E-2</v>
      </c>
      <c r="M18" s="250"/>
      <c r="N18" s="24">
        <v>-1</v>
      </c>
      <c r="O18" s="248">
        <f t="shared" si="35"/>
        <v>-3.8058080335949818E-2</v>
      </c>
      <c r="P18" s="251">
        <f t="shared" si="36"/>
        <v>-3.8058080335949818E-2</v>
      </c>
      <c r="Q18" s="248">
        <f t="shared" si="14"/>
        <v>-8.6301128793021209E-2</v>
      </c>
      <c r="R18" s="251">
        <f t="shared" si="37"/>
        <v>-8.6301128793021209E-2</v>
      </c>
      <c r="S18" s="250"/>
      <c r="T18" s="24">
        <v>-1</v>
      </c>
      <c r="U18" s="248">
        <f t="shared" si="15"/>
        <v>0.22630897254544879</v>
      </c>
      <c r="V18" s="252">
        <f t="shared" si="16"/>
        <v>0.22630897254544879</v>
      </c>
      <c r="W18" s="248">
        <f t="shared" si="38"/>
        <v>-0.5161733092776708</v>
      </c>
      <c r="X18" s="252">
        <f t="shared" si="17"/>
        <v>-0.5161733092776708</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4</v>
      </c>
      <c r="AQ18" s="28">
        <f>VLOOKUP($A18,historia!$A$5:$CM$24,+HLOOKUP(AQ$2,historia!$A$3:$EC$4,2,FALSE),FALSE)</f>
        <v>3</v>
      </c>
      <c r="AR18" s="28">
        <f>VLOOKUP($A18,historia!$A$5:$CM$24,+HLOOKUP(AR$2,historia!$A$3:$EC$4,2,FALSE),FALSE)</f>
        <v>2</v>
      </c>
      <c r="AS18" s="28">
        <f>VLOOKUP($A18,historia!$A$5:$CM$24,+HLOOKUP(AS$2,historia!$A$3:$EC$4,2,FALSE),FALSE)</f>
        <v>2</v>
      </c>
      <c r="AT18" s="58">
        <f>VLOOKUP($A18,historia!$A$5:$CM$24,+HLOOKUP(AT$2,historia!$A$3:$EC$4,2,FALSE),FALSE)</f>
        <v>2</v>
      </c>
      <c r="AU18" s="58">
        <f>VLOOKUP($A18,historia!$A$5:$CM$24,+HLOOKUP(AU$2,historia!$A$3:$EC$4,2,FALSE),FALSE)</f>
        <v>2</v>
      </c>
      <c r="AV18" s="58">
        <f>VLOOKUP($A18,historia!$A$5:$CM$24,+HLOOKUP(AV$2,historia!$A$3:$EC$4,2,FALSE),FALSE)</f>
        <v>1</v>
      </c>
      <c r="AW18" s="58">
        <f>VLOOKUP($A18,historia!$A$5:$CM$24,+HLOOKUP(AW$2,historia!$A$3:$EC$4,2,FALSE),FALSE)</f>
        <v>1</v>
      </c>
      <c r="AX18" s="58">
        <f>VLOOKUP($A18,historia!$A$5:$DD$24,+HLOOKUP(AX$2,historia!$A$3:$EC$4,2,FALSE),FALSE)</f>
        <v>2</v>
      </c>
      <c r="AY18" s="58">
        <f>VLOOKUP($A18,historia!$A$5:$DD$24,+HLOOKUP(AY$2,historia!$A$3:$EC$4,2,FALSE),FALSE)</f>
        <v>2</v>
      </c>
      <c r="AZ18" s="58">
        <f>VLOOKUP($A18,historia!$A$5:$DG$24,+HLOOKUP(AZ$2,historia!$A$3:$EC$4,2,FALSE),FALSE)</f>
        <v>2</v>
      </c>
      <c r="BA18" s="58">
        <f>VLOOKUP($A18,historia!$A$5:$DG$24,+HLOOKUP(BA$2,historia!$A$3:$EC$4,2,FALSE),FALSE)</f>
        <v>2</v>
      </c>
      <c r="BB18" s="58"/>
      <c r="BC18" s="286">
        <v>2</v>
      </c>
      <c r="BD18" t="str">
        <f t="shared" si="20"/>
        <v>Ovino</v>
      </c>
      <c r="BE18">
        <f>+datos!BU1</f>
        <v>73</v>
      </c>
      <c r="BF18" s="2" t="str">
        <f t="shared" si="4"/>
        <v>$/kg</v>
      </c>
      <c r="BG18" s="2">
        <f t="shared" si="4"/>
        <v>86265.905903999999</v>
      </c>
      <c r="BH18" s="2">
        <f t="shared" si="4"/>
        <v>86248.450752000004</v>
      </c>
      <c r="BI18" s="2">
        <f t="shared" si="4"/>
        <v>61474.071150000003</v>
      </c>
      <c r="BK18">
        <f>+datos!DI1</f>
        <v>113</v>
      </c>
      <c r="BL18" s="2">
        <f t="shared" si="21"/>
        <v>12320.117603064004</v>
      </c>
      <c r="BM18" s="2">
        <f t="shared" si="21"/>
        <v>12087.728309142445</v>
      </c>
      <c r="BN18" s="2">
        <f t="shared" si="21"/>
        <v>8875.9049576894122</v>
      </c>
      <c r="BP18" s="1">
        <f>+datos!EL1</f>
        <v>142</v>
      </c>
      <c r="BQ18" s="1">
        <f t="shared" si="22"/>
        <v>11967429</v>
      </c>
      <c r="BR18" s="1">
        <f t="shared" si="22"/>
        <v>12440906</v>
      </c>
      <c r="BT18" s="1">
        <f>+datos!GS1</f>
        <v>201</v>
      </c>
      <c r="BU18" s="1">
        <f t="shared" si="23"/>
        <v>32709.78</v>
      </c>
      <c r="BV18" s="1">
        <f t="shared" si="23"/>
        <v>35799.300000000003</v>
      </c>
      <c r="BX18" s="1">
        <f>+datos!KI1</f>
        <v>295</v>
      </c>
      <c r="BY18" s="1">
        <f t="shared" si="39"/>
        <v>248.24899794999999</v>
      </c>
      <c r="BZ18" s="1">
        <f t="shared" si="40"/>
        <v>202.43593051000002</v>
      </c>
      <c r="CB18" s="1">
        <f>+datos!LN1</f>
        <v>326</v>
      </c>
      <c r="CC18" s="2">
        <f t="shared" si="24"/>
        <v>1.6309012300000001</v>
      </c>
      <c r="CD18" s="2">
        <f t="shared" si="25"/>
        <v>3.3708376600000003</v>
      </c>
      <c r="CF18" s="1">
        <f>+datos!JA1</f>
        <v>261</v>
      </c>
      <c r="CG18" s="1">
        <f t="shared" si="26"/>
        <v>3555</v>
      </c>
      <c r="CH18" s="1">
        <f t="shared" si="27"/>
        <v>2813</v>
      </c>
      <c r="CJ18" s="1">
        <f t="shared" si="28"/>
        <v>22.774238799999999</v>
      </c>
      <c r="CK18" s="1">
        <f t="shared" si="28"/>
        <v>21.077032079999999</v>
      </c>
      <c r="CL18" s="1">
        <f t="shared" si="28"/>
        <v>19.550070639999998</v>
      </c>
      <c r="CM18" s="1">
        <f t="shared" si="28"/>
        <v>17.8919189</v>
      </c>
      <c r="CN18" s="1">
        <f t="shared" si="28"/>
        <v>19.636014689999996</v>
      </c>
      <c r="CO18" s="1">
        <f t="shared" si="28"/>
        <v>18.748166940000001</v>
      </c>
      <c r="CP18" s="1">
        <f t="shared" si="28"/>
        <v>21.131437869999999</v>
      </c>
      <c r="CQ18" s="1">
        <f t="shared" si="28"/>
        <v>23.746863359999999</v>
      </c>
      <c r="CR18" s="1">
        <f t="shared" si="28"/>
        <v>18.662799830000001</v>
      </c>
      <c r="CS18" s="1">
        <f t="shared" si="28"/>
        <v>31.610464650000004</v>
      </c>
      <c r="CT18" s="1">
        <f t="shared" si="28"/>
        <v>14.881609229999999</v>
      </c>
      <c r="CU18" s="1">
        <f t="shared" si="28"/>
        <v>18.538380959999998</v>
      </c>
      <c r="CV18" s="1">
        <f t="shared" si="28"/>
        <v>15.79353798</v>
      </c>
      <c r="CW18" s="1">
        <f t="shared" si="28"/>
        <v>15.390557059999999</v>
      </c>
      <c r="CX18" s="1">
        <f t="shared" si="28"/>
        <v>12.657815750000001</v>
      </c>
      <c r="CY18" s="1">
        <f t="shared" si="28"/>
        <v>13.430479930000001</v>
      </c>
      <c r="CZ18" s="1">
        <f t="shared" si="29"/>
        <v>15.60716012</v>
      </c>
      <c r="DA18" s="1">
        <f t="shared" si="29"/>
        <v>19.03918719</v>
      </c>
      <c r="DB18" s="1">
        <f t="shared" si="29"/>
        <v>17.774232269999999</v>
      </c>
      <c r="DC18" s="1">
        <f t="shared" si="29"/>
        <v>22.502102959999998</v>
      </c>
      <c r="DD18" s="1">
        <f t="shared" si="29"/>
        <v>22.437193859999997</v>
      </c>
      <c r="DE18" s="1">
        <f t="shared" si="29"/>
        <v>15.322430800000003</v>
      </c>
      <c r="DF18" s="1">
        <f t="shared" si="29"/>
        <v>16.644595240000001</v>
      </c>
      <c r="DG18" s="1">
        <f t="shared" si="29"/>
        <v>15.83663735</v>
      </c>
      <c r="DI18" s="1">
        <f t="shared" si="30"/>
        <v>4.9819790000000003E-2</v>
      </c>
      <c r="DJ18" s="1">
        <f t="shared" si="30"/>
        <v>5.7726630000000001E-2</v>
      </c>
      <c r="DK18" s="1">
        <f t="shared" si="30"/>
        <v>0.12164886</v>
      </c>
      <c r="DL18" s="1">
        <f t="shared" si="30"/>
        <v>6.2847730000000004E-2</v>
      </c>
      <c r="DM18" s="1">
        <f t="shared" si="30"/>
        <v>7.1441070000000009E-2</v>
      </c>
      <c r="DN18" s="1">
        <f t="shared" si="30"/>
        <v>0.19937177999999997</v>
      </c>
      <c r="DO18" s="1">
        <f t="shared" si="30"/>
        <v>0.18211829000000002</v>
      </c>
      <c r="DP18" s="1">
        <f t="shared" si="30"/>
        <v>0.19639201000000001</v>
      </c>
      <c r="DQ18" s="1">
        <f t="shared" si="30"/>
        <v>0.15047392000000001</v>
      </c>
      <c r="DR18" s="1">
        <f t="shared" si="30"/>
        <v>0.19393855000000002</v>
      </c>
      <c r="DS18" s="1">
        <f t="shared" si="30"/>
        <v>0.16347327</v>
      </c>
      <c r="DT18" s="1">
        <f t="shared" si="30"/>
        <v>0.18164933</v>
      </c>
      <c r="DU18" s="1">
        <f t="shared" si="30"/>
        <v>0.25055533999999996</v>
      </c>
      <c r="DV18" s="1">
        <f t="shared" si="30"/>
        <v>0.29342396000000004</v>
      </c>
      <c r="DW18" s="1">
        <f t="shared" si="30"/>
        <v>0.26088905000000001</v>
      </c>
      <c r="DX18" s="1">
        <f t="shared" si="30"/>
        <v>0.18624962</v>
      </c>
      <c r="DY18" s="1">
        <f t="shared" si="31"/>
        <v>0.1577527</v>
      </c>
      <c r="DZ18" s="1">
        <f t="shared" si="31"/>
        <v>0.24821200999999998</v>
      </c>
      <c r="EA18" s="1">
        <f t="shared" si="31"/>
        <v>0.13589592</v>
      </c>
      <c r="EB18" s="1">
        <f t="shared" si="31"/>
        <v>0.23010199000000001</v>
      </c>
      <c r="EC18" s="1">
        <f t="shared" si="31"/>
        <v>4.8750000000000002E-2</v>
      </c>
      <c r="ED18" s="1">
        <f t="shared" si="31"/>
        <v>0.31075020000000003</v>
      </c>
      <c r="EE18" s="1">
        <f t="shared" si="31"/>
        <v>0.90541722000000002</v>
      </c>
      <c r="EF18" s="1">
        <f t="shared" si="31"/>
        <v>0.34283965</v>
      </c>
      <c r="EH18" s="14">
        <f t="shared" si="32"/>
        <v>3555</v>
      </c>
      <c r="EI18" s="14">
        <f t="shared" si="32"/>
        <v>3555</v>
      </c>
      <c r="EJ18" s="1">
        <f t="shared" si="32"/>
        <v>3555</v>
      </c>
      <c r="EK18" s="1">
        <f t="shared" si="32"/>
        <v>3555</v>
      </c>
      <c r="EL18" s="1">
        <f t="shared" si="32"/>
        <v>3555</v>
      </c>
      <c r="EM18" s="1">
        <f t="shared" si="32"/>
        <v>3555</v>
      </c>
      <c r="EN18" s="1">
        <f t="shared" si="32"/>
        <v>3735</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3"/>
        <v>2813</v>
      </c>
      <c r="EY18" s="1">
        <f t="shared" si="33"/>
        <v>2813</v>
      </c>
      <c r="EZ18" s="1">
        <f t="shared" si="33"/>
        <v>2813</v>
      </c>
      <c r="FA18" s="1">
        <f t="shared" si="33"/>
        <v>2813</v>
      </c>
      <c r="FB18" s="1">
        <f t="shared" si="33"/>
        <v>2813</v>
      </c>
      <c r="FC18" s="1">
        <f t="shared" si="33"/>
        <v>2813</v>
      </c>
      <c r="FD18" s="1">
        <f t="shared" si="33"/>
        <v>2813</v>
      </c>
      <c r="FE18" s="1">
        <f t="shared" si="33"/>
        <v>2813</v>
      </c>
      <c r="FG18" s="162">
        <f t="shared" si="34"/>
        <v>1.5248563313422725E-2</v>
      </c>
    </row>
    <row r="19" spans="1:163" ht="18.75" customHeight="1">
      <c r="A19" s="244" t="s">
        <v>66</v>
      </c>
      <c r="B19" s="247"/>
      <c r="C19" s="228">
        <f t="shared" si="5"/>
        <v>0</v>
      </c>
      <c r="D19" s="229">
        <v>-1</v>
      </c>
      <c r="E19" s="477">
        <f t="shared" si="6"/>
        <v>0.17878091872791524</v>
      </c>
      <c r="F19" s="254">
        <f t="shared" si="7"/>
        <v>0.15405172201712958</v>
      </c>
      <c r="G19" s="253">
        <f t="shared" si="8"/>
        <v>2.2387143418984623E-2</v>
      </c>
      <c r="H19" s="254">
        <f t="shared" si="9"/>
        <v>0.15639377530893062</v>
      </c>
      <c r="I19" s="253">
        <f t="shared" si="10"/>
        <v>-0.57830629798533739</v>
      </c>
      <c r="J19" s="254">
        <f t="shared" si="11"/>
        <v>-0.89199373958503847</v>
      </c>
      <c r="K19" s="253">
        <f t="shared" si="12"/>
        <v>0.16309485119847267</v>
      </c>
      <c r="L19" s="254">
        <f t="shared" si="13"/>
        <v>-0.74140114918381006</v>
      </c>
      <c r="M19" s="255"/>
      <c r="N19" s="256">
        <v>0</v>
      </c>
      <c r="O19" s="253">
        <f t="shared" si="35"/>
        <v>9.6567571449088119E-2</v>
      </c>
      <c r="P19" s="257">
        <f t="shared" si="36"/>
        <v>9.6567571449088119E-2</v>
      </c>
      <c r="Q19" s="253">
        <f t="shared" si="14"/>
        <v>0</v>
      </c>
      <c r="R19" s="257">
        <v>-0.01</v>
      </c>
      <c r="S19" s="255"/>
      <c r="T19" s="256">
        <v>1</v>
      </c>
      <c r="U19" s="253">
        <f t="shared" si="15"/>
        <v>-3.146418166806586E-2</v>
      </c>
      <c r="V19" s="258">
        <f t="shared" si="16"/>
        <v>-3.146418166806586E-2</v>
      </c>
      <c r="W19" s="253">
        <f t="shared" si="38"/>
        <v>-0.38423576289756578</v>
      </c>
      <c r="X19" s="258">
        <f t="shared" si="17"/>
        <v>-0.38423576289756578</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3</v>
      </c>
      <c r="AQ19" s="28">
        <f>VLOOKUP($A19,historia!$A$5:$CM$24,+HLOOKUP(AQ$2,historia!$A$3:$EC$4,2,FALSE),FALSE)</f>
        <v>4</v>
      </c>
      <c r="AR19" s="28">
        <f>VLOOKUP($A19,historia!$A$5:$CM$24,+HLOOKUP(AR$2,historia!$A$3:$EC$4,2,FALSE),FALSE)</f>
        <v>3</v>
      </c>
      <c r="AS19" s="28">
        <f>VLOOKUP($A19,historia!$A$5:$CM$24,+HLOOKUP(AS$2,historia!$A$3:$EC$4,2,FALSE),FALSE)</f>
        <v>3</v>
      </c>
      <c r="AT19" s="58">
        <f>VLOOKUP($A19,historia!$A$5:$CM$24,+HLOOKUP(AT$2,historia!$A$3:$EC$4,2,FALSE),FALSE)</f>
        <v>3</v>
      </c>
      <c r="AU19" s="58">
        <f>VLOOKUP($A19,historia!$A$5:$CM$24,+HLOOKUP(AU$2,historia!$A$3:$EC$4,2,FALSE),FALSE)</f>
        <v>4</v>
      </c>
      <c r="AV19" s="58">
        <f>VLOOKUP($A19,historia!$A$5:$CM$24,+HLOOKUP(AV$2,historia!$A$3:$EC$4,2,FALSE),FALSE)</f>
        <v>4</v>
      </c>
      <c r="AW19" s="58">
        <f>VLOOKUP($A19,historia!$A$5:$CM$24,+HLOOKUP(AW$2,historia!$A$3:$EC$4,2,FALSE),FALSE)</f>
        <v>4</v>
      </c>
      <c r="AX19" s="58">
        <f>VLOOKUP($A19,historia!$A$5:$DD$24,+HLOOKUP(AX$2,historia!$A$3:$EC$4,2,FALSE),FALSE)</f>
        <v>5</v>
      </c>
      <c r="AY19" s="58">
        <f>VLOOKUP($A19,historia!$A$5:$DD$24,+HLOOKUP(AY$2,historia!$A$3:$EC$4,2,FALSE),FALSE)</f>
        <v>4</v>
      </c>
      <c r="AZ19" s="58">
        <f>VLOOKUP($A19,historia!$A$5:$DG$24,+HLOOKUP(AZ$2,historia!$A$3:$EC$4,2,FALSE),FALSE)</f>
        <v>4</v>
      </c>
      <c r="BA19" s="58">
        <f>VLOOKUP($A19,historia!$A$5:$DG$24,+HLOOKUP(BA$2,historia!$A$3:$EC$4,2,FALSE),FALSE)</f>
        <v>4</v>
      </c>
      <c r="BB19" s="58"/>
      <c r="BC19" s="286">
        <v>4</v>
      </c>
      <c r="BD19" t="str">
        <f t="shared" si="20"/>
        <v>Papa</v>
      </c>
      <c r="BE19">
        <f>+datos!AV1</f>
        <v>48</v>
      </c>
      <c r="BF19" s="2" t="str">
        <f t="shared" si="4"/>
        <v>$/bolsa 20kg</v>
      </c>
      <c r="BG19" s="2">
        <f t="shared" si="4"/>
        <v>5844</v>
      </c>
      <c r="BH19" s="2">
        <f t="shared" si="4"/>
        <v>4957.6642335766419</v>
      </c>
      <c r="BI19" s="2">
        <f t="shared" si="4"/>
        <v>13858.4</v>
      </c>
      <c r="BK19">
        <f>+datos!CI1</f>
        <v>87</v>
      </c>
      <c r="BL19" s="2">
        <f t="shared" si="21"/>
        <v>12131.126255346515</v>
      </c>
      <c r="BM19" s="2">
        <f t="shared" si="21"/>
        <v>11865.491788930934</v>
      </c>
      <c r="BN19" s="2">
        <f t="shared" si="21"/>
        <v>10430.040372757559</v>
      </c>
      <c r="BP19" s="1">
        <f>+datos!EZ1</f>
        <v>156</v>
      </c>
      <c r="BQ19" s="1">
        <f t="shared" si="22"/>
        <v>38177</v>
      </c>
      <c r="BR19" s="1">
        <f t="shared" si="22"/>
        <v>34815</v>
      </c>
      <c r="BT19" s="1">
        <f>+datos!GT1</f>
        <v>202</v>
      </c>
      <c r="BU19" s="1">
        <f t="shared" si="23"/>
        <v>2111561</v>
      </c>
      <c r="BV19" s="1">
        <f t="shared" si="23"/>
        <v>2111561</v>
      </c>
      <c r="BX19" s="1">
        <f>+datos!JO1</f>
        <v>275</v>
      </c>
      <c r="BY19" s="1">
        <f t="shared" si="39"/>
        <v>377.68666026999995</v>
      </c>
      <c r="BZ19" s="1">
        <f t="shared" si="40"/>
        <v>389.95631666000003</v>
      </c>
      <c r="CB19" s="1">
        <f>+datos!KT1</f>
        <v>306</v>
      </c>
      <c r="CC19" s="2">
        <f t="shared" si="24"/>
        <v>11.405048580000001</v>
      </c>
      <c r="CD19" s="2">
        <f t="shared" si="25"/>
        <v>18.521778130000001</v>
      </c>
      <c r="CF19" s="1">
        <f>+datos!JB1</f>
        <v>262</v>
      </c>
      <c r="CG19" s="1">
        <f t="shared" si="26"/>
        <v>35.950000000000003</v>
      </c>
      <c r="CH19" s="1">
        <f t="shared" si="27"/>
        <v>35.950000000000003</v>
      </c>
      <c r="CJ19" s="1">
        <f t="shared" si="28"/>
        <v>29.033049210000001</v>
      </c>
      <c r="CK19" s="1">
        <f t="shared" si="28"/>
        <v>32.137001479999995</v>
      </c>
      <c r="CL19" s="1">
        <f t="shared" si="28"/>
        <v>31.771959519999999</v>
      </c>
      <c r="CM19" s="1">
        <f t="shared" si="28"/>
        <v>30.172516640000001</v>
      </c>
      <c r="CN19" s="1">
        <f t="shared" si="28"/>
        <v>33.254909299999994</v>
      </c>
      <c r="CO19" s="1">
        <f t="shared" si="28"/>
        <v>34.03841525</v>
      </c>
      <c r="CP19" s="1">
        <f t="shared" si="28"/>
        <v>32.790200410000004</v>
      </c>
      <c r="CQ19" s="1">
        <f t="shared" si="28"/>
        <v>33.403797109999999</v>
      </c>
      <c r="CR19" s="1">
        <f t="shared" si="28"/>
        <v>26.866894470000005</v>
      </c>
      <c r="CS19" s="1">
        <f t="shared" si="28"/>
        <v>30.959664470000003</v>
      </c>
      <c r="CT19" s="1">
        <f t="shared" si="28"/>
        <v>28.030286839999999</v>
      </c>
      <c r="CU19" s="1">
        <f t="shared" si="28"/>
        <v>35.227965569999995</v>
      </c>
      <c r="CV19" s="1">
        <f t="shared" si="28"/>
        <v>43.313690020000003</v>
      </c>
      <c r="CW19" s="1">
        <f t="shared" si="28"/>
        <v>38.158354570000007</v>
      </c>
      <c r="CX19" s="1">
        <f t="shared" si="28"/>
        <v>36.879687310000008</v>
      </c>
      <c r="CY19" s="1">
        <f t="shared" si="28"/>
        <v>30.584450140000001</v>
      </c>
      <c r="CZ19" s="1">
        <f t="shared" si="29"/>
        <v>34.87822036</v>
      </c>
      <c r="DA19" s="1">
        <f t="shared" si="29"/>
        <v>30.986019150000001</v>
      </c>
      <c r="DB19" s="1">
        <f t="shared" si="29"/>
        <v>34.45773063</v>
      </c>
      <c r="DC19" s="1">
        <f t="shared" si="29"/>
        <v>33.675059580000003</v>
      </c>
      <c r="DD19" s="1">
        <f t="shared" si="29"/>
        <v>28.924508010000004</v>
      </c>
      <c r="DE19" s="1">
        <f t="shared" si="29"/>
        <v>27.954086790000002</v>
      </c>
      <c r="DF19" s="1">
        <f t="shared" si="29"/>
        <v>24.143815810000007</v>
      </c>
      <c r="DG19" s="1">
        <f t="shared" si="29"/>
        <v>26.000694290000002</v>
      </c>
      <c r="DI19" s="1">
        <f t="shared" si="30"/>
        <v>0.94273901999999998</v>
      </c>
      <c r="DJ19" s="1">
        <f t="shared" si="30"/>
        <v>1.1078551999999999</v>
      </c>
      <c r="DK19" s="1">
        <f t="shared" si="30"/>
        <v>1.1250931100000001</v>
      </c>
      <c r="DL19" s="1">
        <f t="shared" si="30"/>
        <v>0.74439149999999998</v>
      </c>
      <c r="DM19" s="1">
        <f t="shared" si="30"/>
        <v>1.2444918700000001</v>
      </c>
      <c r="DN19" s="1">
        <f t="shared" si="30"/>
        <v>0.75058031000000003</v>
      </c>
      <c r="DO19" s="1">
        <f t="shared" si="30"/>
        <v>0.8744752400000001</v>
      </c>
      <c r="DP19" s="1">
        <f t="shared" si="30"/>
        <v>0.62052411000000007</v>
      </c>
      <c r="DQ19" s="1">
        <f t="shared" si="30"/>
        <v>1.19924761</v>
      </c>
      <c r="DR19" s="1">
        <f t="shared" si="30"/>
        <v>0.86551083000000006</v>
      </c>
      <c r="DS19" s="1">
        <f t="shared" si="30"/>
        <v>0.79831189000000002</v>
      </c>
      <c r="DT19" s="1">
        <f t="shared" si="30"/>
        <v>1.1318278900000001</v>
      </c>
      <c r="DU19" s="1">
        <f t="shared" si="30"/>
        <v>1.8442369199999997</v>
      </c>
      <c r="DV19" s="1">
        <f t="shared" si="30"/>
        <v>1.0529063700000001</v>
      </c>
      <c r="DW19" s="1">
        <f t="shared" si="30"/>
        <v>2.0286618900000004</v>
      </c>
      <c r="DX19" s="1">
        <f t="shared" si="30"/>
        <v>0.79104531999999994</v>
      </c>
      <c r="DY19" s="1">
        <f t="shared" si="31"/>
        <v>1.6294275100000002</v>
      </c>
      <c r="DZ19" s="1">
        <f t="shared" si="31"/>
        <v>1.8725515799999999</v>
      </c>
      <c r="EA19" s="1">
        <f t="shared" si="31"/>
        <v>1.9938344900000002</v>
      </c>
      <c r="EB19" s="1">
        <f t="shared" si="31"/>
        <v>1.4070700599999999</v>
      </c>
      <c r="EC19" s="1">
        <f t="shared" si="31"/>
        <v>0.5838748800000001</v>
      </c>
      <c r="ED19" s="1">
        <f t="shared" si="31"/>
        <v>1.6300787399999999</v>
      </c>
      <c r="EE19" s="1">
        <f t="shared" si="31"/>
        <v>1.5496506000000003</v>
      </c>
      <c r="EF19" s="1">
        <f t="shared" si="31"/>
        <v>2.1384397699999997</v>
      </c>
      <c r="EH19" s="14">
        <f t="shared" si="32"/>
        <v>35.950000000000003</v>
      </c>
      <c r="EI19" s="14">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G19" s="162">
        <f t="shared" si="34"/>
        <v>-0.74140114918381006</v>
      </c>
    </row>
    <row r="20" spans="1:163" ht="27" customHeight="1">
      <c r="A20" s="264" t="s">
        <v>218</v>
      </c>
      <c r="B20" s="246"/>
      <c r="C20" s="156">
        <f t="shared" si="5"/>
        <v>0</v>
      </c>
      <c r="D20" s="198">
        <v>-1</v>
      </c>
      <c r="E20" s="248">
        <f t="shared" si="6"/>
        <v>0.31604341134598646</v>
      </c>
      <c r="F20" s="249">
        <f t="shared" si="7"/>
        <v>0.2913142146352008</v>
      </c>
      <c r="G20" s="248">
        <f t="shared" si="8"/>
        <v>6.2736527934192932E-2</v>
      </c>
      <c r="H20" s="249">
        <f t="shared" si="9"/>
        <v>0.25330688341179353</v>
      </c>
      <c r="I20" s="248">
        <f t="shared" si="10"/>
        <v>0.62658706673736186</v>
      </c>
      <c r="J20" s="249">
        <f t="shared" si="11"/>
        <v>0.31289962513766079</v>
      </c>
      <c r="K20" s="248">
        <f t="shared" si="12"/>
        <v>0.38721991005038237</v>
      </c>
      <c r="L20" s="249">
        <f t="shared" si="13"/>
        <v>0.2393671566869795</v>
      </c>
      <c r="M20" s="250"/>
      <c r="N20" s="24">
        <v>-1</v>
      </c>
      <c r="O20" s="248">
        <f t="shared" si="35"/>
        <v>0</v>
      </c>
      <c r="P20" s="251">
        <f t="shared" si="36"/>
        <v>0</v>
      </c>
      <c r="Q20" s="248">
        <f t="shared" si="14"/>
        <v>5.7071336856957311E-2</v>
      </c>
      <c r="R20" s="251">
        <f t="shared" si="37"/>
        <v>5.7071336856957311E-2</v>
      </c>
      <c r="S20" s="250"/>
      <c r="T20" s="24">
        <v>2</v>
      </c>
      <c r="U20" s="248">
        <f t="shared" si="15"/>
        <v>0.16776570809838942</v>
      </c>
      <c r="V20" s="252">
        <f t="shared" si="16"/>
        <v>0.16776570809838942</v>
      </c>
      <c r="W20" s="248">
        <f t="shared" si="38"/>
        <v>0.99512857136012323</v>
      </c>
      <c r="X20" s="252">
        <f t="shared" si="17"/>
        <v>0.99512857136012323</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3</v>
      </c>
      <c r="AQ20" s="28">
        <f>VLOOKUP($A20,historia!$A$5:$CM$24,+HLOOKUP(AQ$2,historia!$A$3:$EC$4,2,FALSE),FALSE)</f>
        <v>3</v>
      </c>
      <c r="AR20" s="28">
        <f>VLOOKUP($A20,historia!$A$5:$CM$24,+HLOOKUP(AR$2,historia!$A$3:$EC$4,2,FALSE),FALSE)</f>
        <v>4</v>
      </c>
      <c r="AS20" s="28">
        <f>VLOOKUP($A20,historia!$A$5:$CM$24,+HLOOKUP(AS$2,historia!$A$3:$EC$4,2,FALSE),FALSE)</f>
        <v>4</v>
      </c>
      <c r="AT20" s="58">
        <f>VLOOKUP($A20,historia!$A$5:$CM$24,+HLOOKUP(AT$2,historia!$A$3:$EC$4,2,FALSE),FALSE)</f>
        <v>4</v>
      </c>
      <c r="AU20" s="58">
        <f>VLOOKUP($A20,historia!$A$5:$CM$24,+HLOOKUP(AU$2,historia!$A$3:$EC$4,2,FALSE),FALSE)</f>
        <v>4</v>
      </c>
      <c r="AV20" s="58">
        <f>VLOOKUP($A20,historia!$A$5:$CM$24,+HLOOKUP(AV$2,historia!$A$3:$EC$4,2,FALSE),FALSE)</f>
        <v>3</v>
      </c>
      <c r="AW20" s="58">
        <f>VLOOKUP($A20,historia!$A$5:$CM$24,+HLOOKUP(AW$2,historia!$A$3:$EC$4,2,FALSE),FALSE)</f>
        <v>2</v>
      </c>
      <c r="AX20" s="58">
        <f>VLOOKUP($A20,historia!$A$5:$DD$24,+HLOOKUP(AX$2,historia!$A$3:$EC$4,2,FALSE),FALSE)</f>
        <v>2</v>
      </c>
      <c r="AY20" s="58">
        <f>VLOOKUP($A20,historia!$A$5:$DD$24,+HLOOKUP(AY$2,historia!$A$3:$EC$4,2,FALSE),FALSE)</f>
        <v>3</v>
      </c>
      <c r="AZ20" s="58">
        <f>VLOOKUP($A20,historia!$A$5:$DG$24,+HLOOKUP(AZ$2,historia!$A$3:$EC$4,2,FALSE),FALSE)</f>
        <v>3</v>
      </c>
      <c r="BA20" s="58">
        <f>VLOOKUP($A20,historia!$A$5:$DG$24,+HLOOKUP(BA$2,historia!$A$3:$EC$4,2,FALSE),FALSE)</f>
        <v>3</v>
      </c>
      <c r="BB20" s="58"/>
      <c r="BC20" s="286">
        <v>3</v>
      </c>
      <c r="BD20" t="str">
        <f t="shared" si="20"/>
        <v>Peras y Manzanas</v>
      </c>
      <c r="BE20">
        <f>+datos!AP1</f>
        <v>42</v>
      </c>
      <c r="BF20" s="2" t="str">
        <f t="shared" si="4"/>
        <v>$/caja 18kg</v>
      </c>
      <c r="BG20" s="2">
        <f t="shared" si="4"/>
        <v>33091.222222222219</v>
      </c>
      <c r="BH20" s="2">
        <f t="shared" si="4"/>
        <v>25144.476190476191</v>
      </c>
      <c r="BI20" s="2">
        <f t="shared" si="4"/>
        <v>20343.96</v>
      </c>
      <c r="BK20">
        <f>+datos!CS1</f>
        <v>97</v>
      </c>
      <c r="BL20" s="2">
        <f t="shared" si="21"/>
        <v>12778.934656297979</v>
      </c>
      <c r="BM20" s="2">
        <f t="shared" si="21"/>
        <v>12024.555776903981</v>
      </c>
      <c r="BN20" s="2">
        <f t="shared" si="21"/>
        <v>9211.9025712612947</v>
      </c>
      <c r="BP20" s="1">
        <f>+datos!FC1</f>
        <v>159</v>
      </c>
      <c r="BQ20" s="1">
        <f t="shared" si="22"/>
        <v>38084</v>
      </c>
      <c r="BR20" s="1">
        <f t="shared" si="22"/>
        <v>38084</v>
      </c>
      <c r="BT20" s="1">
        <f>+datos!GW1</f>
        <v>205</v>
      </c>
      <c r="BU20" s="1">
        <f t="shared" si="23"/>
        <v>799388</v>
      </c>
      <c r="BV20" s="1">
        <f t="shared" si="23"/>
        <v>756229</v>
      </c>
      <c r="BX20" s="1">
        <f>+datos!LS1</f>
        <v>331</v>
      </c>
      <c r="BY20" s="1">
        <f t="shared" si="39"/>
        <v>451.46040005000003</v>
      </c>
      <c r="BZ20" s="1">
        <f t="shared" si="40"/>
        <v>386.60186449999998</v>
      </c>
      <c r="CB20" s="1">
        <f>+datos!LW1</f>
        <v>335</v>
      </c>
      <c r="CC20" s="2">
        <f t="shared" si="24"/>
        <v>5.6880611599999993</v>
      </c>
      <c r="CD20" s="2">
        <f t="shared" si="25"/>
        <v>2.8509747400000003</v>
      </c>
      <c r="CF20" s="1">
        <f>+datos!JC1</f>
        <v>263</v>
      </c>
      <c r="CG20" s="1">
        <f t="shared" si="26"/>
        <v>0</v>
      </c>
      <c r="CH20" s="1">
        <f t="shared" si="27"/>
        <v>0</v>
      </c>
      <c r="CJ20" s="1">
        <f t="shared" si="28"/>
        <v>20.571055439999999</v>
      </c>
      <c r="CK20" s="1">
        <f t="shared" si="28"/>
        <v>24.907231830000001</v>
      </c>
      <c r="CL20" s="1">
        <f t="shared" si="28"/>
        <v>41.046257050000001</v>
      </c>
      <c r="CM20" s="1">
        <f t="shared" si="28"/>
        <v>31.183989080000003</v>
      </c>
      <c r="CN20" s="1">
        <f t="shared" si="28"/>
        <v>31.314835450000004</v>
      </c>
      <c r="CO20" s="1">
        <f t="shared" si="28"/>
        <v>42.986147830000007</v>
      </c>
      <c r="CP20" s="1">
        <f t="shared" si="28"/>
        <v>54.859389430000007</v>
      </c>
      <c r="CQ20" s="1">
        <f t="shared" si="28"/>
        <v>51.150985829999996</v>
      </c>
      <c r="CR20" s="1">
        <f t="shared" si="28"/>
        <v>59.173949850000007</v>
      </c>
      <c r="CS20" s="1">
        <f t="shared" si="28"/>
        <v>46.396857000000011</v>
      </c>
      <c r="CT20" s="1">
        <f t="shared" si="28"/>
        <v>23.934850630000003</v>
      </c>
      <c r="CU20" s="1">
        <f t="shared" si="28"/>
        <v>23.934850630000003</v>
      </c>
      <c r="CV20" s="1">
        <f t="shared" si="28"/>
        <v>23.934850630000003</v>
      </c>
      <c r="CW20" s="1">
        <f t="shared" si="28"/>
        <v>25.188374430000003</v>
      </c>
      <c r="CX20" s="1">
        <f t="shared" si="28"/>
        <v>22.303018159999997</v>
      </c>
      <c r="CY20" s="1">
        <f t="shared" si="28"/>
        <v>14.93334776</v>
      </c>
      <c r="CZ20" s="1">
        <f t="shared" si="29"/>
        <v>35.336569390000001</v>
      </c>
      <c r="DA20" s="1">
        <f t="shared" si="29"/>
        <v>46.662709379999995</v>
      </c>
      <c r="DB20" s="1">
        <f t="shared" si="29"/>
        <v>45.302769560000002</v>
      </c>
      <c r="DC20" s="1">
        <f t="shared" si="29"/>
        <v>46.856289650000001</v>
      </c>
      <c r="DD20" s="1">
        <f t="shared" si="29"/>
        <v>60.076282149999997</v>
      </c>
      <c r="DE20" s="1">
        <f t="shared" si="29"/>
        <v>42.744570039999999</v>
      </c>
      <c r="DF20" s="1">
        <f t="shared" si="29"/>
        <v>11.509203560000001</v>
      </c>
      <c r="DG20" s="1">
        <f t="shared" si="29"/>
        <v>11.753879789999999</v>
      </c>
      <c r="DI20" s="1">
        <f t="shared" si="30"/>
        <v>0.54650961999999992</v>
      </c>
      <c r="DJ20" s="1">
        <f t="shared" si="30"/>
        <v>0.19315473</v>
      </c>
      <c r="DK20" s="1">
        <f t="shared" si="30"/>
        <v>0.43976497000000003</v>
      </c>
      <c r="DL20" s="1">
        <f t="shared" si="30"/>
        <v>0.72520266</v>
      </c>
      <c r="DM20" s="1">
        <f t="shared" si="30"/>
        <v>1.1922353400000001</v>
      </c>
      <c r="DN20" s="1">
        <f t="shared" si="30"/>
        <v>1.0915780799999999</v>
      </c>
      <c r="DO20" s="1">
        <f t="shared" si="30"/>
        <v>0.5667896</v>
      </c>
      <c r="DP20" s="1">
        <f t="shared" si="30"/>
        <v>0.43323378000000001</v>
      </c>
      <c r="DQ20" s="1">
        <f t="shared" si="30"/>
        <v>0.20107160000000002</v>
      </c>
      <c r="DR20" s="1">
        <f t="shared" si="30"/>
        <v>4.7323499999999998E-2</v>
      </c>
      <c r="DS20" s="1">
        <f t="shared" si="30"/>
        <v>0.18245199000000001</v>
      </c>
      <c r="DT20" s="1">
        <f t="shared" si="30"/>
        <v>6.8745290000000001E-2</v>
      </c>
      <c r="DU20" s="1">
        <f t="shared" si="30"/>
        <v>0.21798748000000001</v>
      </c>
      <c r="DV20" s="1">
        <f t="shared" si="30"/>
        <v>7.9820000000000002E-2</v>
      </c>
      <c r="DW20" s="1">
        <f t="shared" si="30"/>
        <v>0.14837025000000001</v>
      </c>
      <c r="DX20" s="1">
        <f t="shared" si="30"/>
        <v>0.3865221499999999</v>
      </c>
      <c r="DY20" s="1">
        <f t="shared" si="31"/>
        <v>0.51794252000000007</v>
      </c>
      <c r="DZ20" s="1">
        <f t="shared" si="31"/>
        <v>0.37362660000000003</v>
      </c>
      <c r="EA20" s="1">
        <f t="shared" si="31"/>
        <v>0.32288670000000003</v>
      </c>
      <c r="EB20" s="1">
        <f t="shared" si="31"/>
        <v>0.29487440000000004</v>
      </c>
      <c r="EC20" s="1">
        <f t="shared" si="31"/>
        <v>7.78142E-2</v>
      </c>
      <c r="ED20" s="1">
        <f t="shared" si="31"/>
        <v>0.12479459999999999</v>
      </c>
      <c r="EE20" s="1">
        <f t="shared" si="31"/>
        <v>8.4911199999999992E-2</v>
      </c>
      <c r="EF20" s="1">
        <f t="shared" si="31"/>
        <v>0.22142464000000001</v>
      </c>
      <c r="EH20" s="14">
        <f t="shared" si="32"/>
        <v>0</v>
      </c>
      <c r="EI20" s="14">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3"/>
        <v>0</v>
      </c>
      <c r="EY20" s="1">
        <f t="shared" si="33"/>
        <v>0</v>
      </c>
      <c r="EZ20" s="1">
        <f t="shared" si="33"/>
        <v>0</v>
      </c>
      <c r="FA20" s="1">
        <f t="shared" si="33"/>
        <v>0</v>
      </c>
      <c r="FB20" s="1">
        <f t="shared" si="33"/>
        <v>0</v>
      </c>
      <c r="FC20" s="1">
        <f t="shared" si="33"/>
        <v>0</v>
      </c>
      <c r="FD20" s="1">
        <f t="shared" si="33"/>
        <v>0</v>
      </c>
      <c r="FE20" s="1">
        <f t="shared" si="33"/>
        <v>0</v>
      </c>
      <c r="FG20" s="162">
        <f t="shared" si="34"/>
        <v>0.2393671566869795</v>
      </c>
    </row>
    <row r="21" spans="1:163" ht="18" customHeight="1">
      <c r="A21" s="244" t="s">
        <v>121</v>
      </c>
      <c r="B21" s="247"/>
      <c r="C21" s="228">
        <f t="shared" si="5"/>
        <v>0</v>
      </c>
      <c r="D21" s="229">
        <v>-2</v>
      </c>
      <c r="E21" s="253">
        <f t="shared" si="6"/>
        <v>3.6077290017361596E-2</v>
      </c>
      <c r="F21" s="254">
        <f t="shared" si="7"/>
        <v>1.1348093306575935E-2</v>
      </c>
      <c r="G21" s="253">
        <f t="shared" si="8"/>
        <v>3.0173515445041543E-2</v>
      </c>
      <c r="H21" s="254">
        <f t="shared" si="9"/>
        <v>5.903774572320053E-3</v>
      </c>
      <c r="I21" s="253">
        <f t="shared" si="10"/>
        <v>0.25953703134498607</v>
      </c>
      <c r="J21" s="254">
        <f t="shared" si="11"/>
        <v>-5.4150410254715009E-2</v>
      </c>
      <c r="K21" s="253">
        <f t="shared" si="12"/>
        <v>0.37812057950293787</v>
      </c>
      <c r="L21" s="254">
        <f t="shared" si="13"/>
        <v>-0.1185835481579518</v>
      </c>
      <c r="M21" s="255"/>
      <c r="N21" s="256">
        <v>1</v>
      </c>
      <c r="O21" s="253">
        <f t="shared" si="35"/>
        <v>-2.0839332713567749E-2</v>
      </c>
      <c r="P21" s="257">
        <f t="shared" si="36"/>
        <v>-2.0839332713567749E-2</v>
      </c>
      <c r="Q21" s="253">
        <f t="shared" si="14"/>
        <v>3.0786558075634796E-2</v>
      </c>
      <c r="R21" s="257">
        <f t="shared" si="37"/>
        <v>3.0786558075634796E-2</v>
      </c>
      <c r="S21" s="255"/>
      <c r="T21" s="256">
        <v>1</v>
      </c>
      <c r="U21" s="253">
        <f t="shared" si="15"/>
        <v>9.3509610985795133E-2</v>
      </c>
      <c r="V21" s="258">
        <f t="shared" si="16"/>
        <v>9.3509610985795133E-2</v>
      </c>
      <c r="W21" s="253">
        <f t="shared" si="38"/>
        <v>1.9032003389555032</v>
      </c>
      <c r="X21" s="258">
        <f t="shared" si="17"/>
        <v>1.9032003389555032</v>
      </c>
      <c r="Y21" s="253">
        <f t="shared" si="18"/>
        <v>0.11190053285968027</v>
      </c>
      <c r="Z21" s="258">
        <f t="shared" si="19"/>
        <v>0.11190053285968027</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3</v>
      </c>
      <c r="AQ21" s="28">
        <f>VLOOKUP($A21,historia!$A$5:$CM$24,+HLOOKUP(AQ$2,historia!$A$3:$EC$4,2,FALSE),FALSE)</f>
        <v>2</v>
      </c>
      <c r="AR21" s="28">
        <f>VLOOKUP($A21,historia!$A$5:$CM$24,+HLOOKUP(AR$2,historia!$A$3:$EC$4,2,FALSE),FALSE)</f>
        <v>3</v>
      </c>
      <c r="AS21" s="28">
        <f>VLOOKUP($A21,historia!$A$5:$CM$24,+HLOOKUP(AS$2,historia!$A$3:$EC$4,2,FALSE),FALSE)</f>
        <v>3</v>
      </c>
      <c r="AT21" s="58">
        <f>VLOOKUP($A21,historia!$A$5:$CM$24,+HLOOKUP(AT$2,historia!$A$3:$EC$4,2,FALSE),FALSE)</f>
        <v>3</v>
      </c>
      <c r="AU21" s="58">
        <f>VLOOKUP($A21,historia!$A$5:$CM$24,+HLOOKUP(AU$2,historia!$A$3:$EC$4,2,FALSE),FALSE)</f>
        <v>2</v>
      </c>
      <c r="AV21" s="58">
        <f>VLOOKUP($A21,historia!$A$5:$CM$24,+HLOOKUP(AV$2,historia!$A$3:$EC$4,2,FALSE),FALSE)</f>
        <v>1</v>
      </c>
      <c r="AW21" s="58">
        <f>VLOOKUP($A21,historia!$A$5:$CM$24,+HLOOKUP(AW$2,historia!$A$3:$EC$4,2,FALSE),FALSE)</f>
        <v>1</v>
      </c>
      <c r="AX21" s="58">
        <f>VLOOKUP($A21,historia!$A$5:$DD$24,+HLOOKUP(AX$2,historia!$A$3:$EC$4,2,FALSE),FALSE)</f>
        <v>2</v>
      </c>
      <c r="AY21" s="58">
        <f>VLOOKUP($A21,historia!$A$5:$DD$24,+HLOOKUP(AY$2,historia!$A$3:$EC$4,2,FALSE),FALSE)</f>
        <v>2</v>
      </c>
      <c r="AZ21" s="58">
        <f>VLOOKUP($A21,historia!$A$5:$DG$24,+HLOOKUP(AZ$2,historia!$A$3:$EC$4,2,FALSE),FALSE)</f>
        <v>2</v>
      </c>
      <c r="BA21" s="58">
        <f>VLOOKUP($A21,historia!$A$5:$DG$24,+HLOOKUP(BA$2,historia!$A$3:$EC$4,2,FALSE),FALSE)</f>
        <v>2</v>
      </c>
      <c r="BB21" s="58"/>
      <c r="BC21" s="286">
        <v>2</v>
      </c>
      <c r="BD21" t="str">
        <f t="shared" si="20"/>
        <v>Porcinos</v>
      </c>
      <c r="BE21">
        <f>+datos!BR1</f>
        <v>70</v>
      </c>
      <c r="BF21" s="2" t="str">
        <f t="shared" si="4"/>
        <v>$/kg</v>
      </c>
      <c r="BG21" s="2">
        <f t="shared" si="4"/>
        <v>1844</v>
      </c>
      <c r="BH21" s="2">
        <f t="shared" si="4"/>
        <v>1779.79</v>
      </c>
      <c r="BI21" s="2">
        <f t="shared" si="4"/>
        <v>1464.03</v>
      </c>
      <c r="BK21">
        <f>+datos!DD1</f>
        <v>108</v>
      </c>
      <c r="BL21" s="2">
        <f t="shared" si="21"/>
        <v>12503.813321707197</v>
      </c>
      <c r="BM21" s="2">
        <f t="shared" si="21"/>
        <v>12137.5798680919</v>
      </c>
      <c r="BN21" s="2">
        <f t="shared" si="21"/>
        <v>9073.0909237398428</v>
      </c>
      <c r="BP21" s="1">
        <f>+datos!EJ1</f>
        <v>140</v>
      </c>
      <c r="BQ21" s="1">
        <f t="shared" si="22"/>
        <v>5987778</v>
      </c>
      <c r="BR21" s="1">
        <f t="shared" si="22"/>
        <v>6115215</v>
      </c>
      <c r="BT21" s="1">
        <f>+datos!HE1</f>
        <v>213</v>
      </c>
      <c r="BU21" s="1">
        <f t="shared" si="23"/>
        <v>803561</v>
      </c>
      <c r="BV21" s="1">
        <f t="shared" si="23"/>
        <v>779561</v>
      </c>
      <c r="BX21" s="1">
        <f>+datos!KJ1</f>
        <v>296</v>
      </c>
      <c r="BY21" s="1">
        <f t="shared" si="39"/>
        <v>28.901161539999997</v>
      </c>
      <c r="BZ21" s="1">
        <f t="shared" si="40"/>
        <v>26.429727960000001</v>
      </c>
      <c r="CB21" s="1">
        <f>+datos!LO1</f>
        <v>327</v>
      </c>
      <c r="CC21" s="2">
        <f t="shared" si="24"/>
        <v>170.31418698999997</v>
      </c>
      <c r="CD21" s="2">
        <f t="shared" si="25"/>
        <v>58.664290129999991</v>
      </c>
      <c r="CF21" s="1">
        <f>+datos!IO1</f>
        <v>249</v>
      </c>
      <c r="CG21" s="1">
        <f t="shared" si="26"/>
        <v>18.78</v>
      </c>
      <c r="CH21" s="1">
        <f t="shared" si="27"/>
        <v>16.89</v>
      </c>
      <c r="CJ21" s="1">
        <f t="shared" si="28"/>
        <v>3.17480787</v>
      </c>
      <c r="CK21" s="1">
        <f t="shared" si="28"/>
        <v>3.9252467499999995</v>
      </c>
      <c r="CL21" s="1">
        <f t="shared" si="28"/>
        <v>2.8298719000000001</v>
      </c>
      <c r="CM21" s="1">
        <f t="shared" si="28"/>
        <v>2.08934314</v>
      </c>
      <c r="CN21" s="1">
        <f t="shared" si="28"/>
        <v>2.1371287799999998</v>
      </c>
      <c r="CO21" s="1">
        <f t="shared" si="28"/>
        <v>2.3754365900000001</v>
      </c>
      <c r="CP21" s="1">
        <f t="shared" si="28"/>
        <v>2.2921349499999994</v>
      </c>
      <c r="CQ21" s="1">
        <f t="shared" si="28"/>
        <v>1.76811707</v>
      </c>
      <c r="CR21" s="1">
        <f t="shared" si="28"/>
        <v>1.0764735399999998</v>
      </c>
      <c r="CS21" s="1">
        <f t="shared" si="28"/>
        <v>3.87511991</v>
      </c>
      <c r="CT21" s="1">
        <f t="shared" si="28"/>
        <v>1.4111442899999997</v>
      </c>
      <c r="CU21" s="1">
        <f t="shared" si="28"/>
        <v>1.9463367499999997</v>
      </c>
      <c r="CV21" s="1">
        <f t="shared" si="28"/>
        <v>1.6096260199999999</v>
      </c>
      <c r="CW21" s="1">
        <f t="shared" si="28"/>
        <v>3.1723580499999997</v>
      </c>
      <c r="CX21" s="1">
        <f t="shared" si="28"/>
        <v>2.1279038099999998</v>
      </c>
      <c r="CY21" s="1">
        <f t="shared" si="28"/>
        <v>2.3778769799999995</v>
      </c>
      <c r="CZ21" s="1">
        <f t="shared" si="29"/>
        <v>4.3175895799999999</v>
      </c>
      <c r="DA21" s="1">
        <f t="shared" si="29"/>
        <v>2.7596131099999996</v>
      </c>
      <c r="DB21" s="1">
        <f t="shared" si="29"/>
        <v>1.9296841299999996</v>
      </c>
      <c r="DC21" s="1">
        <f t="shared" si="29"/>
        <v>2.2533318799999997</v>
      </c>
      <c r="DD21" s="1">
        <f t="shared" si="29"/>
        <v>1.55421593</v>
      </c>
      <c r="DE21" s="1">
        <f t="shared" si="29"/>
        <v>1.56892272</v>
      </c>
      <c r="DF21" s="1">
        <f t="shared" si="29"/>
        <v>1.2009935999999999</v>
      </c>
      <c r="DG21" s="1">
        <f t="shared" si="29"/>
        <v>1.5576121499999998</v>
      </c>
      <c r="DI21" s="1">
        <f t="shared" si="30"/>
        <v>10.181194250000003</v>
      </c>
      <c r="DJ21" s="1">
        <f t="shared" si="30"/>
        <v>12.329496939999999</v>
      </c>
      <c r="DK21" s="1">
        <f t="shared" si="30"/>
        <v>13.92452713</v>
      </c>
      <c r="DL21" s="1">
        <f t="shared" si="30"/>
        <v>11.75892646</v>
      </c>
      <c r="DM21" s="1">
        <f t="shared" si="30"/>
        <v>11.837628230000002</v>
      </c>
      <c r="DN21" s="1">
        <f t="shared" si="30"/>
        <v>13.531613630000001</v>
      </c>
      <c r="DO21" s="1">
        <f t="shared" si="30"/>
        <v>19.3334501</v>
      </c>
      <c r="DP21" s="1">
        <f t="shared" si="30"/>
        <v>18.318769970000002</v>
      </c>
      <c r="DQ21" s="1">
        <f t="shared" si="30"/>
        <v>14.031594299999998</v>
      </c>
      <c r="DR21" s="1">
        <f t="shared" si="30"/>
        <v>14.447589379999997</v>
      </c>
      <c r="DS21" s="1">
        <f t="shared" si="30"/>
        <v>14.265215759999998</v>
      </c>
      <c r="DT21" s="1">
        <f t="shared" si="30"/>
        <v>16.354180840000001</v>
      </c>
      <c r="DU21" s="1">
        <f t="shared" si="30"/>
        <v>10.919699229999997</v>
      </c>
      <c r="DV21" s="1">
        <f t="shared" si="30"/>
        <v>10.87912704</v>
      </c>
      <c r="DW21" s="1">
        <f t="shared" si="30"/>
        <v>7.3519509899999989</v>
      </c>
      <c r="DX21" s="1">
        <f t="shared" ref="DX21:EF24" si="41">+VLOOKUP(DX$1,ran_dat,$CB21,FALSE)</f>
        <v>4.9251834299999988</v>
      </c>
      <c r="DY21" s="1">
        <f t="shared" si="41"/>
        <v>2.5935797799999998</v>
      </c>
      <c r="DZ21" s="1">
        <f t="shared" si="41"/>
        <v>1.7163214500000001</v>
      </c>
      <c r="EA21" s="1">
        <f t="shared" si="41"/>
        <v>2.7920763000000002</v>
      </c>
      <c r="EB21" s="1">
        <f t="shared" si="41"/>
        <v>3.5088459899999997</v>
      </c>
      <c r="EC21" s="1">
        <f t="shared" si="41"/>
        <v>2.2524288500000003</v>
      </c>
      <c r="ED21" s="1">
        <f t="shared" si="41"/>
        <v>5.2341166499999998</v>
      </c>
      <c r="EE21" s="1">
        <f t="shared" si="41"/>
        <v>3.1162246899999997</v>
      </c>
      <c r="EF21" s="1">
        <f t="shared" si="41"/>
        <v>3.3747357299999998</v>
      </c>
      <c r="EH21" s="14">
        <f t="shared" si="32"/>
        <v>18.78</v>
      </c>
      <c r="EI21" s="14">
        <f t="shared" si="32"/>
        <v>18.72</v>
      </c>
      <c r="EJ21" s="1">
        <f t="shared" si="32"/>
        <v>18.600000000000001</v>
      </c>
      <c r="EK21" s="1">
        <f t="shared" si="32"/>
        <v>18.38</v>
      </c>
      <c r="EL21" s="1">
        <f t="shared" si="32"/>
        <v>18.28</v>
      </c>
      <c r="EM21" s="1">
        <f t="shared" si="32"/>
        <v>18.239999999999998</v>
      </c>
      <c r="EN21" s="1">
        <f t="shared" si="32"/>
        <v>18.079999999999998</v>
      </c>
      <c r="EO21" s="1">
        <f t="shared" si="32"/>
        <v>17.989999999999998</v>
      </c>
      <c r="EP21" s="1">
        <f t="shared" si="32"/>
        <v>17.850000000000001</v>
      </c>
      <c r="EQ21" s="1">
        <f t="shared" si="32"/>
        <v>17.73</v>
      </c>
      <c r="ER21" s="1">
        <f t="shared" si="32"/>
        <v>17.510000000000002</v>
      </c>
      <c r="ES21" s="1">
        <f t="shared" si="32"/>
        <v>17.13</v>
      </c>
      <c r="ET21" s="1">
        <f t="shared" si="32"/>
        <v>16.89</v>
      </c>
      <c r="EU21" s="1">
        <f t="shared" si="32"/>
        <v>16.87</v>
      </c>
      <c r="EV21" s="1">
        <f t="shared" si="32"/>
        <v>16.8</v>
      </c>
      <c r="EW21" s="1">
        <f t="shared" ref="EW21:FE24" si="42">+VLOOKUP(EW$1,ran_dat,$CF21,FALSE)</f>
        <v>16.760000000000002</v>
      </c>
      <c r="EX21" s="1">
        <f t="shared" si="42"/>
        <v>16.84</v>
      </c>
      <c r="EY21" s="1">
        <f t="shared" si="42"/>
        <v>16.64</v>
      </c>
      <c r="EZ21" s="1">
        <f t="shared" si="42"/>
        <v>16.68</v>
      </c>
      <c r="FA21" s="1">
        <f t="shared" si="42"/>
        <v>16.62</v>
      </c>
      <c r="FB21" s="1">
        <f t="shared" si="42"/>
        <v>16.5</v>
      </c>
      <c r="FC21" s="1">
        <f t="shared" si="42"/>
        <v>16.64</v>
      </c>
      <c r="FD21" s="1">
        <f t="shared" si="42"/>
        <v>16.68</v>
      </c>
      <c r="FE21" s="1">
        <f t="shared" si="42"/>
        <v>16.72</v>
      </c>
      <c r="FG21" s="162">
        <f t="shared" si="34"/>
        <v>-0.1185835481579518</v>
      </c>
    </row>
    <row r="22" spans="1:163" ht="18.75" customHeight="1">
      <c r="A22" s="243" t="s">
        <v>75</v>
      </c>
      <c r="B22" s="246"/>
      <c r="C22" s="156">
        <f t="shared" si="5"/>
        <v>0.66</v>
      </c>
      <c r="D22" s="198">
        <v>1</v>
      </c>
      <c r="E22" s="248">
        <f t="shared" si="6"/>
        <v>0</v>
      </c>
      <c r="F22" s="249">
        <f t="shared" si="7"/>
        <v>-2.4729196710785661E-2</v>
      </c>
      <c r="G22" s="248">
        <f t="shared" si="8"/>
        <v>2.3296656733317489E-2</v>
      </c>
      <c r="H22" s="249">
        <f t="shared" si="9"/>
        <v>-2.3296656733317489E-2</v>
      </c>
      <c r="I22" s="248">
        <f t="shared" si="10"/>
        <v>0.34318367346938761</v>
      </c>
      <c r="J22" s="249">
        <f t="shared" si="11"/>
        <v>2.9496231869686529E-2</v>
      </c>
      <c r="K22" s="248">
        <f t="shared" si="12"/>
        <v>0.38145249175872831</v>
      </c>
      <c r="L22" s="249">
        <f t="shared" si="13"/>
        <v>-3.82688182893407E-2</v>
      </c>
      <c r="M22" s="250"/>
      <c r="N22" s="24">
        <v>0</v>
      </c>
      <c r="O22" s="248">
        <f t="shared" si="35"/>
        <v>0</v>
      </c>
      <c r="P22" s="251">
        <f t="shared" si="36"/>
        <v>0</v>
      </c>
      <c r="Q22" s="248">
        <f t="shared" si="14"/>
        <v>0.17001165379676175</v>
      </c>
      <c r="R22" s="251">
        <f t="shared" si="37"/>
        <v>0.17001165379676175</v>
      </c>
      <c r="S22" s="250"/>
      <c r="T22" s="24">
        <v>1</v>
      </c>
      <c r="U22" s="248">
        <f t="shared" si="15"/>
        <v>0.29775098536223799</v>
      </c>
      <c r="V22" s="252">
        <f t="shared" si="16"/>
        <v>0.29775098536223799</v>
      </c>
      <c r="W22" s="248">
        <f t="shared" si="38"/>
        <v>2.9930333919560681E-2</v>
      </c>
      <c r="X22" s="252">
        <f t="shared" si="17"/>
        <v>2.9930333919560681E-2</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2</v>
      </c>
      <c r="AQ22" s="28">
        <f>VLOOKUP($A22,historia!$A$5:$CM$24,+HLOOKUP(AQ$2,historia!$A$3:$EC$4,2,FALSE),FALSE)</f>
        <v>2</v>
      </c>
      <c r="AR22" s="28">
        <f>VLOOKUP($A22,historia!$A$5:$CM$24,+HLOOKUP(AR$2,historia!$A$3:$EC$4,2,FALSE),FALSE)</f>
        <v>3</v>
      </c>
      <c r="AS22" s="28">
        <f>VLOOKUP($A22,historia!$A$5:$CM$24,+HLOOKUP(AS$2,historia!$A$3:$EC$4,2,FALSE),FALSE)</f>
        <v>3</v>
      </c>
      <c r="AT22" s="58">
        <f>VLOOKUP($A22,historia!$A$5:$CM$24,+HLOOKUP(AT$2,historia!$A$3:$EC$4,2,FALSE),FALSE)</f>
        <v>3</v>
      </c>
      <c r="AU22" s="58">
        <f>VLOOKUP($A22,historia!$A$5:$CM$24,+HLOOKUP(AU$2,historia!$A$3:$EC$4,2,FALSE),FALSE)</f>
        <v>3</v>
      </c>
      <c r="AV22" s="58">
        <f>VLOOKUP($A22,historia!$A$5:$CM$24,+HLOOKUP(AV$2,historia!$A$3:$EC$4,2,FALSE),FALSE)</f>
        <v>3</v>
      </c>
      <c r="AW22" s="58">
        <f>VLOOKUP($A22,historia!$A$5:$CM$24,+HLOOKUP(AW$2,historia!$A$3:$EC$4,2,FALSE),FALSE)</f>
        <v>3</v>
      </c>
      <c r="AX22" s="58">
        <f>VLOOKUP($A22,historia!$A$5:$DD$24,+HLOOKUP(AX$2,historia!$A$3:$EC$4,2,FALSE),FALSE)</f>
        <v>3</v>
      </c>
      <c r="AY22" s="58">
        <f>VLOOKUP($A22,historia!$A$5:$DD$24,+HLOOKUP(AY$2,historia!$A$3:$EC$4,2,FALSE),FALSE)</f>
        <v>3</v>
      </c>
      <c r="AZ22" s="58">
        <f>VLOOKUP($A22,historia!$A$5:$DG$24,+HLOOKUP(AZ$2,historia!$A$3:$EC$4,2,FALSE),FALSE)</f>
        <v>3</v>
      </c>
      <c r="BA22" s="58">
        <f>VLOOKUP($A22,historia!$A$5:$DG$24,+HLOOKUP(BA$2,historia!$A$3:$EC$4,2,FALSE),FALSE)</f>
        <v>3</v>
      </c>
      <c r="BB22" s="58"/>
      <c r="BC22" s="286">
        <v>3</v>
      </c>
      <c r="BD22" t="str">
        <f t="shared" si="20"/>
        <v>Tabaco</v>
      </c>
      <c r="BE22">
        <f>+datos!BJ1</f>
        <v>62</v>
      </c>
      <c r="BF22" s="2" t="str">
        <f t="shared" si="4"/>
        <v>$/kg</v>
      </c>
      <c r="BG22" s="2">
        <f t="shared" si="4"/>
        <v>4936.2</v>
      </c>
      <c r="BH22" s="2">
        <f t="shared" si="4"/>
        <v>4936.2</v>
      </c>
      <c r="BI22" s="2">
        <f t="shared" si="4"/>
        <v>3675</v>
      </c>
      <c r="BK22">
        <f>+datos!DA1</f>
        <v>105</v>
      </c>
      <c r="BL22" s="2">
        <f t="shared" si="21"/>
        <v>12506.028355910183</v>
      </c>
      <c r="BM22" s="2">
        <f t="shared" si="21"/>
        <v>12221.312630721703</v>
      </c>
      <c r="BN22" s="2">
        <f t="shared" si="21"/>
        <v>9052.8110307932111</v>
      </c>
      <c r="BP22" s="1">
        <f>+datos!FD1</f>
        <v>160</v>
      </c>
      <c r="BQ22" s="1">
        <f t="shared" si="22"/>
        <v>60376</v>
      </c>
      <c r="BR22" s="1">
        <f t="shared" si="22"/>
        <v>60376</v>
      </c>
      <c r="BT22" s="1">
        <f>+datos!GX1</f>
        <v>206</v>
      </c>
      <c r="BU22" s="1">
        <f t="shared" si="23"/>
        <v>36041.686000000002</v>
      </c>
      <c r="BV22" s="1">
        <f t="shared" si="23"/>
        <v>30804.553</v>
      </c>
      <c r="BX22" s="1">
        <f>+datos!KC1</f>
        <v>289</v>
      </c>
      <c r="BY22" s="1">
        <f t="shared" si="39"/>
        <v>655.07904138000004</v>
      </c>
      <c r="BZ22" s="1">
        <f t="shared" si="40"/>
        <v>504.78023039000004</v>
      </c>
      <c r="CB22" s="1">
        <f>+datos!LH1</f>
        <v>320</v>
      </c>
      <c r="CC22" s="2">
        <f t="shared" si="24"/>
        <v>53.85121860000001</v>
      </c>
      <c r="CD22" s="2">
        <f t="shared" si="25"/>
        <v>52.286272990000001</v>
      </c>
      <c r="CF22" s="1">
        <f>+datos!JD1</f>
        <v>264</v>
      </c>
      <c r="CG22" s="1">
        <f t="shared" si="26"/>
        <v>0</v>
      </c>
      <c r="CH22" s="1">
        <f t="shared" si="27"/>
        <v>0</v>
      </c>
      <c r="CJ22" s="1">
        <f t="shared" ref="CJ22:CY24" si="43">+VLOOKUP(CJ$1,ran_dat,$BX22,FALSE)</f>
        <v>71.370433359999993</v>
      </c>
      <c r="CK22" s="1">
        <f t="shared" si="43"/>
        <v>81.464957519999999</v>
      </c>
      <c r="CL22" s="1">
        <f t="shared" si="43"/>
        <v>72.4463358</v>
      </c>
      <c r="CM22" s="1">
        <f t="shared" si="43"/>
        <v>45.834687599999995</v>
      </c>
      <c r="CN22" s="1">
        <f t="shared" si="43"/>
        <v>54.830270300000002</v>
      </c>
      <c r="CO22" s="1">
        <f t="shared" si="43"/>
        <v>93.57534471000001</v>
      </c>
      <c r="CP22" s="1">
        <f t="shared" si="43"/>
        <v>121.04017274</v>
      </c>
      <c r="CQ22" s="1">
        <f t="shared" si="43"/>
        <v>27.891120319999999</v>
      </c>
      <c r="CR22" s="1">
        <f t="shared" si="43"/>
        <v>5.5120895000000001</v>
      </c>
      <c r="CS22" s="1">
        <f t="shared" si="43"/>
        <v>9.7228914799999995</v>
      </c>
      <c r="CT22" s="1">
        <f t="shared" si="43"/>
        <v>6.2035308000000002</v>
      </c>
      <c r="CU22" s="1">
        <f t="shared" si="43"/>
        <v>65.18720725</v>
      </c>
      <c r="CV22" s="1">
        <f t="shared" si="43"/>
        <v>34.962073999999994</v>
      </c>
      <c r="CW22" s="1">
        <f t="shared" si="43"/>
        <v>41.640055749999995</v>
      </c>
      <c r="CX22" s="1">
        <f t="shared" si="43"/>
        <v>54.488227269999996</v>
      </c>
      <c r="CY22" s="1">
        <f t="shared" si="43"/>
        <v>45.888815350000002</v>
      </c>
      <c r="CZ22" s="1">
        <f t="shared" ref="CZ22:DG24" si="44">+VLOOKUP(CZ$1,ran_dat,$BX22,FALSE)</f>
        <v>56.365947810000002</v>
      </c>
      <c r="DA22" s="1">
        <f t="shared" si="44"/>
        <v>58.671597329999997</v>
      </c>
      <c r="DB22" s="1">
        <f t="shared" si="44"/>
        <v>31.625168280000004</v>
      </c>
      <c r="DC22" s="1">
        <f t="shared" si="44"/>
        <v>17.697801470000002</v>
      </c>
      <c r="DD22" s="1">
        <f t="shared" si="44"/>
        <v>30.191481329999998</v>
      </c>
      <c r="DE22" s="1">
        <f t="shared" si="44"/>
        <v>36.249269399999989</v>
      </c>
      <c r="DF22" s="1">
        <f t="shared" si="44"/>
        <v>40.108989959999995</v>
      </c>
      <c r="DG22" s="1">
        <f t="shared" si="44"/>
        <v>56.890802439999995</v>
      </c>
      <c r="DI22" s="1">
        <f t="shared" ref="DI22:DX24" si="45">+VLOOKUP(DI$1,ran_dat,$CB22,FALSE)</f>
        <v>4.1345480800000001</v>
      </c>
      <c r="DJ22" s="1">
        <f t="shared" si="45"/>
        <v>4.4276183800000002</v>
      </c>
      <c r="DK22" s="1">
        <f t="shared" si="45"/>
        <v>4.1999923900000002</v>
      </c>
      <c r="DL22" s="1">
        <f t="shared" si="45"/>
        <v>3.4339864000000002</v>
      </c>
      <c r="DM22" s="1">
        <f t="shared" si="45"/>
        <v>2.5223350999999994</v>
      </c>
      <c r="DN22" s="1">
        <f t="shared" si="45"/>
        <v>3.5013919399999995</v>
      </c>
      <c r="DO22" s="1">
        <f t="shared" si="45"/>
        <v>4.00557768</v>
      </c>
      <c r="DP22" s="1">
        <f t="shared" si="45"/>
        <v>5.1774083700000002</v>
      </c>
      <c r="DQ22" s="1">
        <f t="shared" si="45"/>
        <v>5.7823087099999997</v>
      </c>
      <c r="DR22" s="1">
        <f t="shared" si="45"/>
        <v>5.6310443999999995</v>
      </c>
      <c r="DS22" s="1">
        <f t="shared" si="45"/>
        <v>4.1108512499999996</v>
      </c>
      <c r="DT22" s="1">
        <f t="shared" si="45"/>
        <v>6.9241559000000006</v>
      </c>
      <c r="DU22" s="1">
        <f t="shared" si="45"/>
        <v>4.9762964800000002</v>
      </c>
      <c r="DV22" s="1">
        <f t="shared" si="45"/>
        <v>5.7062324599999998</v>
      </c>
      <c r="DW22" s="1">
        <f t="shared" si="45"/>
        <v>5.3893107900000006</v>
      </c>
      <c r="DX22" s="1">
        <f t="shared" si="45"/>
        <v>5.0602291599999996</v>
      </c>
      <c r="DY22" s="1">
        <f t="shared" si="41"/>
        <v>1.1636776099999999</v>
      </c>
      <c r="DZ22" s="1">
        <f t="shared" si="41"/>
        <v>4.3331795800000004</v>
      </c>
      <c r="EA22" s="1">
        <f t="shared" si="41"/>
        <v>5.5991701699999998</v>
      </c>
      <c r="EB22" s="1">
        <f t="shared" si="41"/>
        <v>5.1284923700000009</v>
      </c>
      <c r="EC22" s="1">
        <f t="shared" si="41"/>
        <v>4.8853449399999995</v>
      </c>
      <c r="ED22" s="1">
        <f t="shared" si="41"/>
        <v>4.5019780499999991</v>
      </c>
      <c r="EE22" s="1">
        <f t="shared" si="41"/>
        <v>3.2870284000000001</v>
      </c>
      <c r="EF22" s="1">
        <f t="shared" si="41"/>
        <v>2.2553329799999999</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4"/>
        <v>-3.82688182893407E-2</v>
      </c>
    </row>
    <row r="23" spans="1:163" ht="18.75" customHeight="1">
      <c r="A23" s="244" t="s">
        <v>219</v>
      </c>
      <c r="B23" s="247"/>
      <c r="C23" s="228">
        <f t="shared" si="5"/>
        <v>-0.99</v>
      </c>
      <c r="D23" s="229">
        <v>-1</v>
      </c>
      <c r="E23" s="253">
        <f t="shared" si="6"/>
        <v>-4.8013692593938506E-2</v>
      </c>
      <c r="F23" s="254">
        <f t="shared" si="7"/>
        <v>-7.2742889304724168E-2</v>
      </c>
      <c r="G23" s="253">
        <f t="shared" si="8"/>
        <v>1.500016579890695E-2</v>
      </c>
      <c r="H23" s="254">
        <f t="shared" si="9"/>
        <v>-6.3013858392845457E-2</v>
      </c>
      <c r="I23" s="253">
        <f t="shared" si="10"/>
        <v>0.11016224018475751</v>
      </c>
      <c r="J23" s="254">
        <f t="shared" si="11"/>
        <v>-0.20352520141494357</v>
      </c>
      <c r="K23" s="253">
        <f t="shared" si="12"/>
        <v>0.30526896423427763</v>
      </c>
      <c r="L23" s="254">
        <f t="shared" si="13"/>
        <v>-0.19510672404952012</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-2.4219139915138466E-2</v>
      </c>
      <c r="V23" s="258">
        <f t="shared" si="16"/>
        <v>-2.4219139915138466E-2</v>
      </c>
      <c r="W23" s="253">
        <f t="shared" si="38"/>
        <v>1.163733827506336</v>
      </c>
      <c r="X23" s="258">
        <f t="shared" si="17"/>
        <v>1.163733827506336</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4</v>
      </c>
      <c r="AQ23" s="28">
        <f>VLOOKUP($A23,historia!$A$5:$CM$24,+HLOOKUP(AQ$2,historia!$A$3:$EC$4,2,FALSE),FALSE)</f>
        <v>4</v>
      </c>
      <c r="AR23" s="28">
        <f>VLOOKUP($A23,historia!$A$5:$CM$24,+HLOOKUP(AR$2,historia!$A$3:$EC$4,2,FALSE),FALSE)</f>
        <v>4</v>
      </c>
      <c r="AS23" s="28">
        <f>VLOOKUP($A23,historia!$A$5:$CM$24,+HLOOKUP(AS$2,historia!$A$3:$EC$4,2,FALSE),FALSE)</f>
        <v>4</v>
      </c>
      <c r="AT23" s="58">
        <f>VLOOKUP($A23,historia!$A$5:$CM$24,+HLOOKUP(AT$2,historia!$A$3:$EC$4,2,FALSE),FALSE)</f>
        <v>4</v>
      </c>
      <c r="AU23" s="58">
        <f>VLOOKUP($A23,historia!$A$5:$CM$24,+HLOOKUP(AU$2,historia!$A$3:$EC$4,2,FALSE),FALSE)</f>
        <v>4</v>
      </c>
      <c r="AV23" s="58">
        <f>VLOOKUP($A23,historia!$A$5:$CM$24,+HLOOKUP(AV$2,historia!$A$3:$EC$4,2,FALSE),FALSE)</f>
        <v>4</v>
      </c>
      <c r="AW23" s="58">
        <f>VLOOKUP($A23,historia!$A$5:$CM$24,+HLOOKUP(AW$2,historia!$A$3:$EC$4,2,FALSE),FALSE)</f>
        <v>4</v>
      </c>
      <c r="AX23" s="58">
        <f>VLOOKUP($A23,historia!$A$5:$DD$24,+HLOOKUP(AX$2,historia!$A$3:$EC$4,2,FALSE),FALSE)</f>
        <v>4</v>
      </c>
      <c r="AY23" s="58">
        <f>VLOOKUP($A23,historia!$A$5:$DD$24,+HLOOKUP(AY$2,historia!$A$3:$EC$4,2,FALSE),FALSE)</f>
        <v>4</v>
      </c>
      <c r="AZ23" s="58">
        <f>VLOOKUP($A23,historia!$A$5:$DG$24,+HLOOKUP(AZ$2,historia!$A$3:$EC$4,2,FALSE),FALSE)</f>
        <v>4</v>
      </c>
      <c r="BA23" s="58">
        <f>VLOOKUP($A23,historia!$A$5:$DG$24,+HLOOKUP(BA$2,historia!$A$3:$EC$4,2,FALSE),FALSE)</f>
        <v>4</v>
      </c>
      <c r="BB23" s="58"/>
      <c r="BC23" s="286">
        <v>4</v>
      </c>
      <c r="BD23" t="str">
        <f t="shared" si="20"/>
        <v>Vino y Mosto</v>
      </c>
      <c r="BE23">
        <f>+datos!AM1</f>
        <v>39</v>
      </c>
      <c r="BF23" s="2" t="str">
        <f t="shared" si="4"/>
        <v>$/l</v>
      </c>
      <c r="BG23" s="2">
        <f t="shared" si="4"/>
        <v>384.56020000000001</v>
      </c>
      <c r="BH23" s="2">
        <f t="shared" si="4"/>
        <v>403.9556</v>
      </c>
      <c r="BI23" s="2">
        <f t="shared" si="4"/>
        <v>346.4</v>
      </c>
      <c r="BK23">
        <f>+datos!CP1</f>
        <v>94</v>
      </c>
      <c r="BL23" s="2">
        <f t="shared" si="21"/>
        <v>13427.022735175615</v>
      </c>
      <c r="BM23" s="2">
        <f t="shared" si="21"/>
        <v>13228.591666886283</v>
      </c>
      <c r="BN23" s="2">
        <f t="shared" si="21"/>
        <v>10286.786174413055</v>
      </c>
      <c r="BP23" s="1">
        <f>+datos!EF1</f>
        <v>136</v>
      </c>
      <c r="BQ23" s="1">
        <f t="shared" si="22"/>
        <v>196220</v>
      </c>
      <c r="BR23" s="1">
        <f t="shared" si="22"/>
        <v>199946</v>
      </c>
      <c r="BT23" s="1">
        <f>+datos!GB1</f>
        <v>184</v>
      </c>
      <c r="BU23" s="1">
        <f t="shared" si="23"/>
        <v>19908335</v>
      </c>
      <c r="BV23" s="1">
        <f t="shared" si="23"/>
        <v>19189740</v>
      </c>
      <c r="BX23" s="1">
        <f>+datos!JU1</f>
        <v>281</v>
      </c>
      <c r="BY23" s="1">
        <f t="shared" si="39"/>
        <v>956.53375827000013</v>
      </c>
      <c r="BZ23" s="1">
        <f t="shared" si="40"/>
        <v>980.27518000999987</v>
      </c>
      <c r="CB23" s="1">
        <f>+datos!KZ1</f>
        <v>312</v>
      </c>
      <c r="CC23" s="2">
        <f t="shared" si="24"/>
        <v>42.413695010000012</v>
      </c>
      <c r="CD23" s="2">
        <f t="shared" si="25"/>
        <v>19.602085280000001</v>
      </c>
      <c r="CF23" s="1">
        <f>+datos!IQ1</f>
        <v>251</v>
      </c>
      <c r="CG23" s="1">
        <f t="shared" si="26"/>
        <v>16.079999999999998</v>
      </c>
      <c r="CH23" s="1">
        <f t="shared" si="27"/>
        <v>16.3</v>
      </c>
      <c r="CJ23" s="1">
        <f t="shared" si="43"/>
        <v>78.044882909999998</v>
      </c>
      <c r="CK23" s="1">
        <f t="shared" si="43"/>
        <v>79.565238250000007</v>
      </c>
      <c r="CL23" s="1">
        <f t="shared" si="43"/>
        <v>103.29015631000003</v>
      </c>
      <c r="CM23" s="1">
        <f t="shared" si="43"/>
        <v>82.138745600000007</v>
      </c>
      <c r="CN23" s="1">
        <f t="shared" si="43"/>
        <v>101.39273792999998</v>
      </c>
      <c r="CO23" s="1">
        <f t="shared" si="43"/>
        <v>71.170798900000008</v>
      </c>
      <c r="CP23" s="1">
        <f t="shared" si="43"/>
        <v>88.994061629999976</v>
      </c>
      <c r="CQ23" s="1">
        <f t="shared" si="43"/>
        <v>77.155977009999987</v>
      </c>
      <c r="CR23" s="1">
        <f t="shared" si="43"/>
        <v>74.722979570000021</v>
      </c>
      <c r="CS23" s="1">
        <f t="shared" si="43"/>
        <v>63.754065359999977</v>
      </c>
      <c r="CT23" s="1">
        <f t="shared" si="43"/>
        <v>50.923025279999997</v>
      </c>
      <c r="CU23" s="1">
        <f t="shared" si="43"/>
        <v>85.381089520000018</v>
      </c>
      <c r="CV23" s="1">
        <f t="shared" si="43"/>
        <v>87.09478919</v>
      </c>
      <c r="CW23" s="1">
        <f t="shared" si="43"/>
        <v>88.790830600000021</v>
      </c>
      <c r="CX23" s="1">
        <f t="shared" si="43"/>
        <v>106.11166329999998</v>
      </c>
      <c r="CY23" s="1">
        <f t="shared" si="43"/>
        <v>99.074693340000039</v>
      </c>
      <c r="CZ23" s="1">
        <f t="shared" si="44"/>
        <v>115.95052356999999</v>
      </c>
      <c r="DA23" s="1">
        <f t="shared" si="44"/>
        <v>55.887516779999999</v>
      </c>
      <c r="DB23" s="1">
        <f t="shared" si="44"/>
        <v>84.428757199999993</v>
      </c>
      <c r="DC23" s="1">
        <f t="shared" si="44"/>
        <v>70.799436420000006</v>
      </c>
      <c r="DD23" s="1">
        <f t="shared" si="44"/>
        <v>83.547570889999989</v>
      </c>
      <c r="DE23" s="1">
        <f t="shared" si="44"/>
        <v>59.429446169999991</v>
      </c>
      <c r="DF23" s="1">
        <f t="shared" si="44"/>
        <v>57.397509530000008</v>
      </c>
      <c r="DG23" s="1">
        <f t="shared" si="44"/>
        <v>71.762443020000006</v>
      </c>
      <c r="DI23" s="1">
        <f t="shared" si="45"/>
        <v>4.0370959900000001</v>
      </c>
      <c r="DJ23" s="1">
        <f t="shared" si="45"/>
        <v>5.8187882499999999</v>
      </c>
      <c r="DK23" s="1">
        <f t="shared" si="45"/>
        <v>6.2238594599999999</v>
      </c>
      <c r="DL23" s="1">
        <f t="shared" si="45"/>
        <v>3.3465065500000004</v>
      </c>
      <c r="DM23" s="1">
        <f t="shared" si="45"/>
        <v>3.10878063</v>
      </c>
      <c r="DN23" s="1">
        <f t="shared" si="45"/>
        <v>5.0584831100000001</v>
      </c>
      <c r="DO23" s="1">
        <f t="shared" si="45"/>
        <v>4.0554375800000004</v>
      </c>
      <c r="DP23" s="1">
        <f t="shared" si="45"/>
        <v>3.476448889999999</v>
      </c>
      <c r="DQ23" s="1">
        <f t="shared" si="45"/>
        <v>3.23844815</v>
      </c>
      <c r="DR23" s="1">
        <f t="shared" si="45"/>
        <v>1.94679845</v>
      </c>
      <c r="DS23" s="1">
        <f t="shared" si="45"/>
        <v>0.41117072999999998</v>
      </c>
      <c r="DT23" s="1">
        <f t="shared" si="45"/>
        <v>1.6918772199999998</v>
      </c>
      <c r="DU23" s="1">
        <f t="shared" si="45"/>
        <v>4.1008112300000006</v>
      </c>
      <c r="DV23" s="1">
        <f t="shared" si="45"/>
        <v>2.9628047099999995</v>
      </c>
      <c r="DW23" s="1">
        <f t="shared" si="45"/>
        <v>2.4415022799999999</v>
      </c>
      <c r="DX23" s="1">
        <f t="shared" si="45"/>
        <v>2.4186424700000004</v>
      </c>
      <c r="DY23" s="1">
        <f t="shared" si="41"/>
        <v>2.3161338599999999</v>
      </c>
      <c r="DZ23" s="1">
        <f t="shared" si="41"/>
        <v>0.34545517000000003</v>
      </c>
      <c r="EA23" s="1">
        <f t="shared" si="41"/>
        <v>1.3068112300000001</v>
      </c>
      <c r="EB23" s="1">
        <f t="shared" si="41"/>
        <v>1.01985657</v>
      </c>
      <c r="EC23" s="1">
        <f t="shared" si="41"/>
        <v>0.49471243999999998</v>
      </c>
      <c r="ED23" s="1">
        <f t="shared" si="41"/>
        <v>0.76659119999999992</v>
      </c>
      <c r="EE23" s="1">
        <f t="shared" si="41"/>
        <v>0.41683354000000006</v>
      </c>
      <c r="EF23" s="1">
        <f t="shared" si="41"/>
        <v>1.01193058</v>
      </c>
      <c r="EH23" s="14">
        <f t="shared" si="46"/>
        <v>16.079999999999998</v>
      </c>
      <c r="EI23" s="14">
        <f t="shared" si="46"/>
        <v>16.079999999999998</v>
      </c>
      <c r="EJ23" s="1">
        <f t="shared" si="46"/>
        <v>16.079999999999998</v>
      </c>
      <c r="EK23" s="1">
        <f t="shared" si="46"/>
        <v>16.079999999999998</v>
      </c>
      <c r="EL23" s="1">
        <f t="shared" si="46"/>
        <v>16.079999999999998</v>
      </c>
      <c r="EM23" s="1">
        <f t="shared" si="46"/>
        <v>16.079999999999998</v>
      </c>
      <c r="EN23" s="1">
        <f t="shared" si="46"/>
        <v>16.079999999999998</v>
      </c>
      <c r="EO23" s="1">
        <f t="shared" si="46"/>
        <v>16.079999999999998</v>
      </c>
      <c r="EP23" s="1">
        <f t="shared" si="46"/>
        <v>16.079999999999998</v>
      </c>
      <c r="EQ23" s="1">
        <f t="shared" si="46"/>
        <v>16.079999999999998</v>
      </c>
      <c r="ER23" s="1">
        <f t="shared" si="46"/>
        <v>16.079999999999998</v>
      </c>
      <c r="ES23" s="1">
        <f t="shared" si="46"/>
        <v>16.3</v>
      </c>
      <c r="ET23" s="1">
        <f t="shared" si="46"/>
        <v>16.3</v>
      </c>
      <c r="EU23" s="1">
        <f t="shared" si="46"/>
        <v>16.3</v>
      </c>
      <c r="EV23" s="1">
        <f t="shared" si="46"/>
        <v>16.3</v>
      </c>
      <c r="EW23" s="1">
        <f t="shared" si="46"/>
        <v>16.3</v>
      </c>
      <c r="EX23" s="1">
        <f t="shared" si="42"/>
        <v>16.3</v>
      </c>
      <c r="EY23" s="1">
        <f t="shared" si="42"/>
        <v>16.3</v>
      </c>
      <c r="EZ23" s="1">
        <f t="shared" si="42"/>
        <v>16.3</v>
      </c>
      <c r="FA23" s="1">
        <f t="shared" si="42"/>
        <v>16.3</v>
      </c>
      <c r="FB23" s="1">
        <f t="shared" si="42"/>
        <v>16.3</v>
      </c>
      <c r="FC23" s="1">
        <f t="shared" si="42"/>
        <v>16.3</v>
      </c>
      <c r="FD23" s="1">
        <f t="shared" si="42"/>
        <v>16.3</v>
      </c>
      <c r="FE23" s="1">
        <f t="shared" si="42"/>
        <v>16.7</v>
      </c>
      <c r="FG23" s="162">
        <f t="shared" si="34"/>
        <v>-0.19510672404952012</v>
      </c>
    </row>
    <row r="24" spans="1:163" ht="18.75" customHeight="1">
      <c r="A24" s="243" t="s">
        <v>39</v>
      </c>
      <c r="B24" s="246"/>
      <c r="C24" s="156">
        <f t="shared" si="5"/>
        <v>-0.65999999999999992</v>
      </c>
      <c r="D24" s="198">
        <v>-3</v>
      </c>
      <c r="E24" s="248">
        <f t="shared" si="6"/>
        <v>-0.3035714285714286</v>
      </c>
      <c r="F24" s="249">
        <f t="shared" si="7"/>
        <v>-0.32830062528221426</v>
      </c>
      <c r="G24" s="248">
        <f t="shared" si="8"/>
        <v>7.3886050801146297E-3</v>
      </c>
      <c r="H24" s="249">
        <f t="shared" si="9"/>
        <v>-0.31096003365154323</v>
      </c>
      <c r="I24" s="248">
        <f t="shared" si="10"/>
        <v>0.18181818181818188</v>
      </c>
      <c r="J24" s="249">
        <f t="shared" si="11"/>
        <v>-0.1318692597815192</v>
      </c>
      <c r="K24" s="248">
        <f t="shared" si="12"/>
        <v>0.3746732081236821</v>
      </c>
      <c r="L24" s="249">
        <f t="shared" si="13"/>
        <v>-0.19285502630550022</v>
      </c>
      <c r="M24" s="250"/>
      <c r="N24" s="24">
        <v>1</v>
      </c>
      <c r="O24" s="248">
        <f t="shared" si="35"/>
        <v>4.7599193940657258E-3</v>
      </c>
      <c r="P24" s="251">
        <f t="shared" si="36"/>
        <v>4.7599193940657258E-3</v>
      </c>
      <c r="Q24" s="248">
        <f t="shared" si="14"/>
        <v>-0.12025973484077035</v>
      </c>
      <c r="R24" s="251">
        <f t="shared" si="37"/>
        <v>-0.12025973484077035</v>
      </c>
      <c r="S24" s="250"/>
      <c r="T24" s="24">
        <v>0</v>
      </c>
      <c r="U24" s="248">
        <f t="shared" si="15"/>
        <v>0.10365302393238429</v>
      </c>
      <c r="V24" s="252">
        <f t="shared" si="16"/>
        <v>0.10365302393238429</v>
      </c>
      <c r="W24" s="248">
        <f t="shared" si="38"/>
        <v>2.6166405044460994E-2</v>
      </c>
      <c r="X24" s="258">
        <f t="shared" si="17"/>
        <v>2.6166405044460994E-2</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VLOOKUP($A24,historia!$A$5:$DD$24,+HLOOKUP(AX$2,historia!$A$3:$EC$4,2,FALSE),FALSE)</f>
        <v>4</v>
      </c>
      <c r="AY24" s="58">
        <f>VLOOKUP($A24,historia!$A$5:$DD$24,+HLOOKUP(AY$2,historia!$A$3:$EC$4,2,FALSE),FALSE)</f>
        <v>4</v>
      </c>
      <c r="AZ24" s="58">
        <f>VLOOKUP($A24,historia!$A$5:$DG$24,+HLOOKUP(AZ$2,historia!$A$3:$EC$4,2,FALSE),FALSE)</f>
        <v>4</v>
      </c>
      <c r="BA24" s="58">
        <f>VLOOKUP($A24,historia!$A$5:$DG$24,+HLOOKUP(BA$2,historia!$A$3:$EC$4,2,FALSE),FALSE)</f>
        <v>4</v>
      </c>
      <c r="BB24" s="58"/>
      <c r="BC24" s="286">
        <v>4</v>
      </c>
      <c r="BD24" t="str">
        <f t="shared" si="20"/>
        <v>Yerba Mate</v>
      </c>
      <c r="BE24">
        <f>+datos!AG1</f>
        <v>33</v>
      </c>
      <c r="BF24" s="2" t="str">
        <f t="shared" si="4"/>
        <v>$/t</v>
      </c>
      <c r="BG24" s="2">
        <f t="shared" si="4"/>
        <v>195000</v>
      </c>
      <c r="BH24" s="2">
        <f t="shared" si="4"/>
        <v>280000</v>
      </c>
      <c r="BI24" s="2">
        <f t="shared" si="4"/>
        <v>165000</v>
      </c>
      <c r="BK24">
        <f>+datos!CY1</f>
        <v>103</v>
      </c>
      <c r="BL24" s="2">
        <f t="shared" si="21"/>
        <v>11909.638721724985</v>
      </c>
      <c r="BM24" s="2">
        <f t="shared" si="21"/>
        <v>11822.28850084903</v>
      </c>
      <c r="BN24" s="2">
        <f t="shared" si="21"/>
        <v>8663.6144876793514</v>
      </c>
      <c r="BP24" s="1">
        <f>+datos!ED1</f>
        <v>134</v>
      </c>
      <c r="BQ24" s="1">
        <f t="shared" si="22"/>
        <v>231352</v>
      </c>
      <c r="BR24" s="1">
        <f t="shared" si="22"/>
        <v>230256</v>
      </c>
      <c r="BT24" s="1">
        <f>+datos!FZ1</f>
        <v>182</v>
      </c>
      <c r="BU24" s="1">
        <f t="shared" si="23"/>
        <v>885515.76</v>
      </c>
      <c r="BV24" s="1">
        <f t="shared" si="23"/>
        <v>1006565</v>
      </c>
      <c r="BX24" s="1">
        <f>+datos!KD1</f>
        <v>290</v>
      </c>
      <c r="BY24" s="1">
        <f t="shared" si="39"/>
        <v>126.39112657</v>
      </c>
      <c r="BZ24" s="1">
        <f t="shared" si="40"/>
        <v>114.52070879999999</v>
      </c>
      <c r="CB24" s="1">
        <f>+datos!LI1</f>
        <v>321</v>
      </c>
      <c r="CC24" s="2">
        <f t="shared" si="24"/>
        <v>23.401583410000001</v>
      </c>
      <c r="CD24" s="2">
        <f t="shared" si="25"/>
        <v>22.804862150000002</v>
      </c>
      <c r="CF24" s="1">
        <f>+datos!IP1</f>
        <v>250</v>
      </c>
      <c r="CG24" s="1">
        <f t="shared" si="26"/>
        <v>5.7424738987207355</v>
      </c>
      <c r="CH24" s="1">
        <f t="shared" si="27"/>
        <v>5.5693606783423002</v>
      </c>
      <c r="CJ24" s="1">
        <f t="shared" si="43"/>
        <v>9.2986503200000001</v>
      </c>
      <c r="CK24" s="1">
        <f t="shared" si="43"/>
        <v>19.294760099999998</v>
      </c>
      <c r="CL24" s="1">
        <f t="shared" si="43"/>
        <v>12.267837869999999</v>
      </c>
      <c r="CM24" s="1">
        <f t="shared" si="43"/>
        <v>8.5848558799999992</v>
      </c>
      <c r="CN24" s="1">
        <f t="shared" si="43"/>
        <v>12.502816449999999</v>
      </c>
      <c r="CO24" s="1">
        <f t="shared" si="43"/>
        <v>10.79513302</v>
      </c>
      <c r="CP24" s="1">
        <f t="shared" si="43"/>
        <v>10.492918690000002</v>
      </c>
      <c r="CQ24" s="1">
        <f t="shared" si="43"/>
        <v>7.4906505000000001</v>
      </c>
      <c r="CR24" s="1">
        <f t="shared" si="43"/>
        <v>7.8719914600000003</v>
      </c>
      <c r="CS24" s="1">
        <f t="shared" si="43"/>
        <v>9.8166064800000008</v>
      </c>
      <c r="CT24" s="1">
        <f t="shared" si="43"/>
        <v>7.1690497699999991</v>
      </c>
      <c r="CU24" s="1">
        <f t="shared" si="43"/>
        <v>10.805856030000001</v>
      </c>
      <c r="CV24" s="1">
        <f t="shared" si="43"/>
        <v>10.476429469999998</v>
      </c>
      <c r="CW24" s="1">
        <f t="shared" si="43"/>
        <v>11.361751129999998</v>
      </c>
      <c r="CX24" s="1">
        <f t="shared" si="43"/>
        <v>10.05873476</v>
      </c>
      <c r="CY24" s="1">
        <f t="shared" si="43"/>
        <v>9.4659040999999995</v>
      </c>
      <c r="CZ24" s="1">
        <f t="shared" si="44"/>
        <v>8.3006057400000017</v>
      </c>
      <c r="DA24" s="1">
        <f t="shared" si="44"/>
        <v>11.077079630000002</v>
      </c>
      <c r="DB24" s="1">
        <f t="shared" si="44"/>
        <v>7.2906957700000001</v>
      </c>
      <c r="DC24" s="1">
        <f t="shared" si="44"/>
        <v>8.852789640000001</v>
      </c>
      <c r="DD24" s="1">
        <f t="shared" si="44"/>
        <v>12.408222910000001</v>
      </c>
      <c r="DE24" s="1">
        <f t="shared" si="44"/>
        <v>8.8663402400000013</v>
      </c>
      <c r="DF24" s="1">
        <f t="shared" si="44"/>
        <v>9.2397224899999983</v>
      </c>
      <c r="DG24" s="1">
        <f t="shared" si="44"/>
        <v>7.1224329199999996</v>
      </c>
      <c r="DI24" s="1">
        <f t="shared" si="45"/>
        <v>1.0549183800000002</v>
      </c>
      <c r="DJ24" s="1">
        <f t="shared" si="45"/>
        <v>1.9397561100000003</v>
      </c>
      <c r="DK24" s="1">
        <f t="shared" si="45"/>
        <v>2.1093840299999997</v>
      </c>
      <c r="DL24" s="1">
        <f t="shared" si="45"/>
        <v>1.7438363500000003</v>
      </c>
      <c r="DM24" s="1">
        <f t="shared" si="45"/>
        <v>2.3219247899999997</v>
      </c>
      <c r="DN24" s="1">
        <f t="shared" si="45"/>
        <v>1.6709123100000001</v>
      </c>
      <c r="DO24" s="1">
        <f t="shared" si="45"/>
        <v>3.5033770500000001</v>
      </c>
      <c r="DP24" s="1">
        <f t="shared" si="45"/>
        <v>2.2730154199999997</v>
      </c>
      <c r="DQ24" s="1">
        <f t="shared" si="45"/>
        <v>2.4041640299999996</v>
      </c>
      <c r="DR24" s="1">
        <f t="shared" si="45"/>
        <v>2.0218665100000002</v>
      </c>
      <c r="DS24" s="1">
        <f t="shared" si="45"/>
        <v>1.1839526999999999</v>
      </c>
      <c r="DT24" s="1">
        <f t="shared" si="45"/>
        <v>1.1744757299999999</v>
      </c>
      <c r="DU24" s="1">
        <f t="shared" si="45"/>
        <v>2.1750064099999999</v>
      </c>
      <c r="DV24" s="1">
        <f t="shared" si="45"/>
        <v>2.6101839400000002</v>
      </c>
      <c r="DW24" s="1">
        <f t="shared" si="45"/>
        <v>1.2494588400000002</v>
      </c>
      <c r="DX24" s="1">
        <f t="shared" si="45"/>
        <v>0.60028256999999996</v>
      </c>
      <c r="DY24" s="1">
        <f t="shared" si="41"/>
        <v>1.7316709800000001</v>
      </c>
      <c r="DZ24" s="1">
        <f t="shared" si="41"/>
        <v>1.1554743999999999</v>
      </c>
      <c r="EA24" s="1">
        <f t="shared" si="41"/>
        <v>1.50586095</v>
      </c>
      <c r="EB24" s="1">
        <f t="shared" si="41"/>
        <v>3.2398820599999998</v>
      </c>
      <c r="EC24" s="1">
        <f t="shared" si="41"/>
        <v>3.1775986299999999</v>
      </c>
      <c r="ED24" s="1">
        <f t="shared" si="41"/>
        <v>2.4176205400000002</v>
      </c>
      <c r="EE24" s="1">
        <f t="shared" si="41"/>
        <v>1.0621514699999999</v>
      </c>
      <c r="EF24" s="1">
        <f t="shared" si="41"/>
        <v>1.8796713600000001</v>
      </c>
      <c r="EH24" s="14">
        <f t="shared" si="46"/>
        <v>5.7424738987207355</v>
      </c>
      <c r="EI24" s="14">
        <f t="shared" si="46"/>
        <v>5.7424738987207355</v>
      </c>
      <c r="EJ24" s="1">
        <f t="shared" si="46"/>
        <v>5.7424738987207355</v>
      </c>
      <c r="EK24" s="1">
        <f t="shared" si="46"/>
        <v>5.7424738987207355</v>
      </c>
      <c r="EL24" s="1">
        <f t="shared" si="46"/>
        <v>5.7424738987207355</v>
      </c>
      <c r="EM24" s="1">
        <f t="shared" si="46"/>
        <v>5.7424738987207355</v>
      </c>
      <c r="EN24" s="1">
        <f t="shared" si="46"/>
        <v>5.7424738987207355</v>
      </c>
      <c r="EO24" s="1">
        <f t="shared" si="46"/>
        <v>5.7424738987207355</v>
      </c>
      <c r="EP24" s="1">
        <f t="shared" si="46"/>
        <v>5.7424738987207355</v>
      </c>
      <c r="EQ24" s="1">
        <f t="shared" si="46"/>
        <v>5.7424738987207355</v>
      </c>
      <c r="ER24" s="1">
        <f t="shared" si="46"/>
        <v>5.7424738987207355</v>
      </c>
      <c r="ES24" s="1">
        <f t="shared" si="46"/>
        <v>5.5693606783423002</v>
      </c>
      <c r="ET24" s="1">
        <f t="shared" si="46"/>
        <v>5.5693606783423002</v>
      </c>
      <c r="EU24" s="1">
        <f t="shared" si="46"/>
        <v>5.5693606783423002</v>
      </c>
      <c r="EV24" s="1">
        <f t="shared" si="46"/>
        <v>5.5693606783423002</v>
      </c>
      <c r="EW24" s="1">
        <f t="shared" si="46"/>
        <v>5.5693606783423002</v>
      </c>
      <c r="EX24" s="1">
        <f t="shared" si="42"/>
        <v>5.5693606783423002</v>
      </c>
      <c r="EY24" s="1">
        <f t="shared" si="42"/>
        <v>5.5693606783423002</v>
      </c>
      <c r="EZ24" s="1">
        <f t="shared" si="42"/>
        <v>5.5693606783423002</v>
      </c>
      <c r="FA24" s="1">
        <f t="shared" si="42"/>
        <v>5.5693606783423002</v>
      </c>
      <c r="FB24" s="1">
        <f t="shared" si="42"/>
        <v>5.5693606783423002</v>
      </c>
      <c r="FC24" s="1">
        <f t="shared" si="42"/>
        <v>5.5693606783423002</v>
      </c>
      <c r="FD24" s="1">
        <f t="shared" si="42"/>
        <v>5.5693606783423002</v>
      </c>
      <c r="FE24" s="1">
        <f t="shared" si="42"/>
        <v>6.139895208369488</v>
      </c>
      <c r="FG24" s="162">
        <f t="shared" si="34"/>
        <v>-0.19285502630550022</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18"/>
        <v/>
      </c>
      <c r="Z25" s="194"/>
      <c r="AA25" s="30"/>
      <c r="AB25" s="57"/>
      <c r="AT25" s="58"/>
      <c r="AU25" s="58"/>
      <c r="AV25" s="58"/>
      <c r="AW25" s="58"/>
      <c r="AX25" s="58"/>
      <c r="AY25" s="58"/>
      <c r="AZ25" s="58"/>
      <c r="BA25" s="58"/>
      <c r="BB25" s="58"/>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G26" s="12"/>
      <c r="K26" s="12"/>
      <c r="O26" s="12"/>
      <c r="Y26" s="386"/>
      <c r="AB26" s="57"/>
      <c r="BI26" s="2"/>
      <c r="BU26" s="1">
        <f>BU20-BV20</f>
        <v>43159</v>
      </c>
      <c r="BY26" s="1">
        <f>BY20-BZ20</f>
        <v>64.858535550000056</v>
      </c>
    </row>
    <row r="27" spans="1:163" ht="18.75" customHeight="1">
      <c r="I27" s="12">
        <f>+AVERAGEIF(I6:I24,"&lt;211%")</f>
        <v>0.20182225555775543</v>
      </c>
      <c r="K27" s="177">
        <f>+SUBTOTAL(101,K6:K21)</f>
        <v>0.34884655417414412</v>
      </c>
      <c r="V27" t="s">
        <v>167</v>
      </c>
      <c r="X27" s="162"/>
      <c r="BQ27" s="1">
        <f>+SUM(BQ6:BQ24)</f>
        <v>115978873</v>
      </c>
      <c r="BR27" s="1">
        <f>+SUM(BR6:BR24)</f>
        <v>115938494</v>
      </c>
      <c r="BU27" s="1">
        <f>+SUM(BU6:BU24)</f>
        <v>187687526.1429719</v>
      </c>
      <c r="BV27" s="1">
        <f>+SUM(BV6:BV24)</f>
        <v>161610012.3189562</v>
      </c>
      <c r="BY27" s="1">
        <f>+SUM(BY6:BY24)</f>
        <v>58182.844696980006</v>
      </c>
      <c r="BZ27" s="1">
        <f>+SUM(BZ6:BZ24)</f>
        <v>55577.939746939999</v>
      </c>
      <c r="CC27" s="1">
        <f>+SUM(CC6:CC24)</f>
        <v>3199.0393478299989</v>
      </c>
      <c r="CD27" s="1">
        <f>+SUM(CD6:CD24)</f>
        <v>3881.8101668599993</v>
      </c>
      <c r="FG27" s="167">
        <f>+COUNTIF(FG6:FG24,"&gt;0")</f>
        <v>4</v>
      </c>
    </row>
    <row r="28" spans="1:163" ht="18.75" customHeight="1">
      <c r="C28" s="156">
        <v>-1</v>
      </c>
      <c r="E28" s="167">
        <f>+COUNTIF($I$6:$I$24,"&lt;1,69")</f>
        <v>19</v>
      </c>
      <c r="F28" s="29">
        <v>-1</v>
      </c>
      <c r="I28" s="167">
        <f>+COUNTIF($I$6:$I$24,"&lt;1,69")</f>
        <v>19</v>
      </c>
      <c r="J28" s="29">
        <v>-1</v>
      </c>
      <c r="K28">
        <f>+COUNTIF($L$6:$L$24,"&lt;0")</f>
        <v>15</v>
      </c>
      <c r="L28" s="29">
        <v>-1</v>
      </c>
      <c r="O28">
        <f>+COUNTIF($P$6:$P$24,"&lt;0")</f>
        <v>9</v>
      </c>
      <c r="P28" s="262">
        <v>-1</v>
      </c>
      <c r="Q28">
        <f>+COUNTIF($R$6:$R$24,"&lt;0")</f>
        <v>6</v>
      </c>
      <c r="R28" s="262">
        <v>-1</v>
      </c>
      <c r="T28" s="57">
        <f>+COUNTIF($U$6:$U$24,"&lt;0")</f>
        <v>6</v>
      </c>
      <c r="U28" s="29">
        <v>-1</v>
      </c>
      <c r="BR28" t="s">
        <v>491</v>
      </c>
      <c r="BU28" s="167">
        <f>+SUMIFS(BU6:BU24,BC6:BC24,5)+SUMIFS(BU6:BU24,BC6:BC24,4)</f>
        <v>28244797.760000002</v>
      </c>
      <c r="BY28" s="10">
        <f>+BY27/BZ27-1</f>
        <v>4.6869404693674843E-2</v>
      </c>
      <c r="CC28" s="10">
        <f>+CC27/CD27-1</f>
        <v>-0.17588980132490473</v>
      </c>
    </row>
    <row r="29" spans="1:163" ht="18.75" customHeight="1">
      <c r="A29" s="11">
        <f>+COUNTIF($C$6:$C$24,C29)</f>
        <v>8</v>
      </c>
      <c r="C29" s="156">
        <v>0</v>
      </c>
      <c r="E29" s="167">
        <f>+COUNTIF($I$6:$I$24,"=1,69")</f>
        <v>0</v>
      </c>
      <c r="F29" s="29">
        <v>0</v>
      </c>
      <c r="I29" s="167">
        <f>+COUNTIF($I$6:$I$24,"=1,69")</f>
        <v>0</v>
      </c>
      <c r="J29" s="29">
        <v>0</v>
      </c>
      <c r="L29" s="29">
        <v>0</v>
      </c>
      <c r="O29">
        <f>+COUNTIF($P$6:$P$24,"=0")</f>
        <v>4</v>
      </c>
      <c r="P29" s="262">
        <v>0</v>
      </c>
      <c r="Q29">
        <f>+COUNTIF($R$6:$R$24,"=0")</f>
        <v>3</v>
      </c>
      <c r="R29" s="262">
        <v>0</v>
      </c>
      <c r="T29" s="57">
        <f>+COUNTIF($U$6:$U$24,"=0")</f>
        <v>0</v>
      </c>
      <c r="U29" s="29">
        <v>0</v>
      </c>
      <c r="BR29" t="s">
        <v>492</v>
      </c>
      <c r="BU29" s="167">
        <f>+SUMIFS(BU6:BU24,BC6:BC24,3)</f>
        <v>7684250.6029719301</v>
      </c>
    </row>
    <row r="30" spans="1:163" ht="18.75" customHeight="1">
      <c r="A30" s="11">
        <f>+COUNTIF($C$6:$C$24,"&gt;0")</f>
        <v>1</v>
      </c>
      <c r="C30" s="156">
        <v>1</v>
      </c>
      <c r="E30" s="167">
        <f>+COUNTIF($I$6:$I$24,"&gt;1,69")</f>
        <v>0</v>
      </c>
      <c r="F30" s="29">
        <v>1</v>
      </c>
      <c r="I30" s="167">
        <f>+COUNTIF($I$6:$I$24,"&gt;1,69")</f>
        <v>0</v>
      </c>
      <c r="J30" s="29">
        <v>1</v>
      </c>
      <c r="K30">
        <f>+COUNTIF($L$6:$L$24,"&gt;0")</f>
        <v>4</v>
      </c>
      <c r="L30" s="29">
        <v>1</v>
      </c>
      <c r="O30">
        <f>+COUNTIF($P$6:$P$24,"&gt;0")</f>
        <v>5</v>
      </c>
      <c r="P30" s="262">
        <v>1</v>
      </c>
      <c r="Q30">
        <f>+COUNTIF($R$6:$R$24,"&gt;0")</f>
        <v>10</v>
      </c>
      <c r="R30" s="262">
        <v>1</v>
      </c>
      <c r="T30" s="57">
        <f>+COUNTIF($U$6:$U$24,"&gt;0")</f>
        <v>12</v>
      </c>
      <c r="U30" s="29">
        <v>1</v>
      </c>
      <c r="X30" s="14"/>
      <c r="BR30" t="s">
        <v>493</v>
      </c>
      <c r="BU30" s="167">
        <f>+SUMIFS(BU6:BU24,BC6:BC24,1)+SUMIFS(BU6:BU24,BC6:BC24,2)</f>
        <v>151758477.78</v>
      </c>
      <c r="BX30" s="1"/>
    </row>
    <row r="31" spans="1:163" ht="18.75" customHeight="1">
      <c r="K31" s="12"/>
    </row>
    <row r="32" spans="1:163" ht="18.75" customHeight="1">
      <c r="C32" s="157"/>
      <c r="I32" s="14">
        <f>+COUNTIF(I6:I24,"&gt;211%")</f>
        <v>0</v>
      </c>
      <c r="J32" s="14"/>
      <c r="K32" s="14"/>
      <c r="Y32" s="163"/>
    </row>
    <row r="33" spans="1:164" ht="18.75" customHeight="1">
      <c r="C33" s="157"/>
      <c r="I33" s="12">
        <f>+I26/2</f>
        <v>0</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4">
      <iconSet>
        <cfvo type="percent" val="0"/>
        <cfvo type="num" val="0"/>
        <cfvo type="num" val="0" gte="0"/>
      </iconSet>
    </cfRule>
  </conditionalFormatting>
  <conditionalFormatting sqref="C28:C30">
    <cfRule type="iconSet" priority="38">
      <iconSet>
        <cfvo type="percent" val="0"/>
        <cfvo type="num" val="0"/>
        <cfvo type="num" val="0" gte="0"/>
      </iconSet>
    </cfRule>
  </conditionalFormatting>
  <conditionalFormatting sqref="D6:D25">
    <cfRule type="iconSet" priority="43">
      <iconSet>
        <cfvo type="percent" val="0"/>
        <cfvo type="num" val="0"/>
        <cfvo type="num" val="0" gte="0"/>
      </iconSet>
    </cfRule>
  </conditionalFormatting>
  <conditionalFormatting sqref="F6:F16 F19:F25">
    <cfRule type="iconSet" priority="39">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6">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4">
      <iconSet>
        <cfvo type="percent" val="0"/>
        <cfvo type="num" val="0"/>
        <cfvo type="num" val="0" gte="0"/>
      </iconSet>
    </cfRule>
  </conditionalFormatting>
  <conditionalFormatting sqref="J6:J9 J11:J16 J19:J25">
    <cfRule type="iconSet" priority="37">
      <iconSet>
        <cfvo type="percent" val="0"/>
        <cfvo type="num" val="0"/>
        <cfvo type="num" val="0" gte="0"/>
      </iconSet>
    </cfRule>
  </conditionalFormatting>
  <conditionalFormatting sqref="J10">
    <cfRule type="iconSet" priority="35">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5">
      <iconSet>
        <cfvo type="percent" val="0"/>
        <cfvo type="num" val="0"/>
        <cfvo type="num" val="0" gte="0"/>
      </iconSet>
    </cfRule>
  </conditionalFormatting>
  <conditionalFormatting sqref="L10">
    <cfRule type="iconSet" priority="46">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0">
      <iconSet>
        <cfvo type="percent" val="0"/>
        <cfvo type="num" val="0"/>
        <cfvo type="num" val="0" gte="0"/>
      </iconSet>
    </cfRule>
  </conditionalFormatting>
  <conditionalFormatting sqref="N6:N25">
    <cfRule type="iconSet" priority="33">
      <iconSet>
        <cfvo type="percent" val="0"/>
        <cfvo type="num" val="0"/>
        <cfvo type="num" val="0" gte="0"/>
      </iconSet>
    </cfRule>
  </conditionalFormatting>
  <conditionalFormatting sqref="P6:P9 P11:P25">
    <cfRule type="iconSet" priority="41">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5">
      <iconSet>
        <cfvo type="percent" val="0"/>
        <cfvo type="num" val="0"/>
        <cfvo type="num" val="0" gte="0"/>
      </iconSet>
    </cfRule>
  </conditionalFormatting>
  <conditionalFormatting sqref="R6:R15 R17:R25">
    <cfRule type="iconSet" priority="42">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4">
      <iconSet>
        <cfvo type="percent" val="0"/>
        <cfvo type="num" val="0"/>
        <cfvo type="num" val="0" gte="0"/>
      </iconSet>
    </cfRule>
  </conditionalFormatting>
  <conditionalFormatting sqref="S6:S25">
    <cfRule type="iconSet" priority="28">
      <iconSet>
        <cfvo type="percent" val="0"/>
        <cfvo type="num" val="0"/>
        <cfvo type="num" val="0" gte="0"/>
      </iconSet>
    </cfRule>
  </conditionalFormatting>
  <conditionalFormatting sqref="T6:T25">
    <cfRule type="iconSet" priority="32">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1">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7">
      <iconSet>
        <cfvo type="percent" val="0"/>
        <cfvo type="num" val="0"/>
        <cfvo type="num" val="0" gte="0"/>
      </iconSet>
    </cfRule>
  </conditionalFormatting>
  <conditionalFormatting sqref="X25">
    <cfRule type="iconSet" priority="26">
      <iconSet reverse="1">
        <cfvo type="percent" val="0"/>
        <cfvo type="num" val="0"/>
        <cfvo type="num" val="0" gte="0"/>
      </iconSet>
    </cfRule>
  </conditionalFormatting>
  <conditionalFormatting sqref="Z6">
    <cfRule type="iconSet" priority="21">
      <iconSet>
        <cfvo type="percent" val="0"/>
        <cfvo type="num" val="0"/>
        <cfvo type="num" val="0" gte="0"/>
      </iconSet>
    </cfRule>
  </conditionalFormatting>
  <conditionalFormatting sqref="Z7">
    <cfRule type="iconSet" priority="20">
      <iconSet>
        <cfvo type="percent" val="0"/>
        <cfvo type="num" val="0"/>
        <cfvo type="num" val="0" gte="0"/>
      </iconSet>
    </cfRule>
  </conditionalFormatting>
  <conditionalFormatting sqref="Z8 Z12 Z14:Z17 Z21 Z23 Z25">
    <cfRule type="iconSet" priority="29">
      <iconSet>
        <cfvo type="percent" val="0"/>
        <cfvo type="num" val="0"/>
        <cfvo type="num" val="0" gte="0"/>
      </iconSet>
    </cfRule>
  </conditionalFormatting>
  <conditionalFormatting sqref="Z9:Z10">
    <cfRule type="iconSet" priority="23">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281" priority="47">
      <formula>AP6=3</formula>
    </cfRule>
    <cfRule type="expression" dxfId="280" priority="48">
      <formula>AP6=5</formula>
    </cfRule>
    <cfRule type="expression" dxfId="279" priority="49">
      <formula>AP6=4</formula>
    </cfRule>
    <cfRule type="expression" dxfId="278" priority="50">
      <formula>AP6=2</formula>
    </cfRule>
    <cfRule type="expression" dxfId="277" priority="51">
      <formula>AP6=1</formula>
    </cfRule>
    <cfRule type="expression" dxfId="276" priority="52">
      <formula>AP6=0</formula>
    </cfRule>
  </conditionalFormatting>
  <conditionalFormatting sqref="AN6:AN25">
    <cfRule type="expression" dxfId="275" priority="64">
      <formula>BA6=0</formula>
    </cfRule>
    <cfRule type="expression" dxfId="274" priority="59">
      <formula>BA6=3</formula>
    </cfRule>
    <cfRule type="expression" dxfId="273" priority="60">
      <formula>BA6=5</formula>
    </cfRule>
    <cfRule type="expression" dxfId="272" priority="61">
      <formula>BA6=4</formula>
    </cfRule>
    <cfRule type="expression" dxfId="271" priority="62">
      <formula>BA6=2</formula>
    </cfRule>
    <cfRule type="expression" dxfId="270" priority="63">
      <formula>BA6=1</formula>
    </cfRule>
  </conditionalFormatting>
  <conditionalFormatting sqref="AO6:AO25">
    <cfRule type="expression" dxfId="269" priority="53">
      <formula>#REF!=3</formula>
    </cfRule>
    <cfRule type="expression" dxfId="268" priority="54">
      <formula>#REF!=5</formula>
    </cfRule>
    <cfRule type="expression" dxfId="267" priority="55">
      <formula>#REF!=4</formula>
    </cfRule>
    <cfRule type="expression" dxfId="266" priority="57">
      <formula>#REF!=1</formula>
    </cfRule>
    <cfRule type="expression" dxfId="265" priority="58">
      <formula>#REF!=0</formula>
    </cfRule>
    <cfRule type="expression" dxfId="264" priority="56">
      <formula>#REF!=2</formula>
    </cfRule>
  </conditionalFormatting>
  <conditionalFormatting sqref="FG6:FG25 FG27">
    <cfRule type="colorScale" priority="22">
      <colorScale>
        <cfvo type="min"/>
        <cfvo type="percentile" val="50"/>
        <cfvo type="max"/>
        <color rgb="FFF8696B"/>
        <color rgb="FFFFEB84"/>
        <color rgb="FF63BE7B"/>
      </colorScale>
    </cfRule>
  </conditionalFormatting>
  <dataValidations count="1">
    <dataValidation type="list" allowBlank="1" showInputMessage="1" showErrorMessage="1" sqref="A1:B1" xr:uid="{13FE72D7-27A7-47F3-A436-D42B216F5289}">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9B1D64CC-EF8C-4267-927F-B4E80A0AB348}">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0" id="{569917F3-BAFD-4EB6-A2C0-DA16F8AC295B}">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9C21B-6A35-487D-88C7-BEC534A06702}">
  <sheetPr>
    <tabColor theme="5" tint="-0.249977111117893"/>
    <pageSetUpPr fitToPage="1"/>
  </sheetPr>
  <dimension ref="A1:FH47"/>
  <sheetViews>
    <sheetView showGridLines="0" zoomScale="70" zoomScaleNormal="70" workbookViewId="0">
      <pane xSplit="4" topLeftCell="E1" activePane="topRight" state="frozen"/>
      <selection pane="topRight" activeCell="BG11" sqref="BG11"/>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6.5546875" style="23" customWidth="1"/>
    <col min="16" max="16" width="7.33203125" style="23" bestFit="1" customWidth="1"/>
    <col min="17" max="17" width="6.33203125" customWidth="1"/>
    <col min="18" max="18" width="7.33203125" style="23" bestFit="1"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2.33203125" style="57" customWidth="1"/>
    <col min="41" max="41" width="3" style="57" customWidth="1"/>
    <col min="42" max="42" width="5.33203125" style="28" hidden="1" customWidth="1"/>
    <col min="43" max="43" width="6" style="28" hidden="1" customWidth="1"/>
    <col min="44" max="45" width="5.33203125" style="28" hidden="1" customWidth="1"/>
    <col min="46" max="46" width="5.5546875" hidden="1" customWidth="1"/>
    <col min="47" max="47" width="5.33203125" hidden="1" customWidth="1"/>
    <col min="48" max="48" width="5.6640625" hidden="1" customWidth="1"/>
    <col min="49" max="49" width="5.33203125" hidden="1" customWidth="1"/>
    <col min="50" max="50" width="5.6640625" hidden="1" customWidth="1"/>
    <col min="51" max="51" width="6.33203125" hidden="1" customWidth="1"/>
    <col min="52" max="52" width="6" hidden="1" customWidth="1"/>
    <col min="53" max="53" width="6.33203125" hidden="1" customWidth="1"/>
    <col min="54" max="54" width="7.44140625" customWidth="1"/>
    <col min="55" max="55" width="11.6640625" style="141" customWidth="1"/>
    <col min="56" max="56" width="12" customWidth="1"/>
    <col min="57" max="57" width="0.88671875" customWidth="1"/>
    <col min="58" max="58" width="7.88671875" customWidth="1"/>
    <col min="59" max="61" width="8.88671875" bestFit="1"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44140625" bestFit="1" customWidth="1"/>
    <col min="90" max="90" width="6.88671875" bestFit="1" customWidth="1"/>
    <col min="91" max="92" width="7" bestFit="1" customWidth="1"/>
    <col min="93" max="93" width="7.109375" bestFit="1" customWidth="1"/>
    <col min="94" max="94" width="6.6640625" bestFit="1" customWidth="1"/>
    <col min="95" max="95" width="6.88671875" bestFit="1" customWidth="1"/>
    <col min="96" max="96" width="7.44140625" bestFit="1" customWidth="1"/>
    <col min="97" max="97" width="6.6640625" bestFit="1" customWidth="1"/>
    <col min="98" max="98" width="6.109375" bestFit="1" customWidth="1"/>
    <col min="99" max="99" width="7" bestFit="1" customWidth="1"/>
    <col min="100" max="100" width="7.109375" bestFit="1" customWidth="1"/>
    <col min="101" max="101" width="7.44140625" bestFit="1" customWidth="1"/>
    <col min="102" max="102" width="6.88671875" bestFit="1" customWidth="1"/>
    <col min="103" max="103" width="6.5546875" bestFit="1" customWidth="1"/>
    <col min="104" max="104" width="6.88671875" bestFit="1" customWidth="1"/>
    <col min="105" max="105" width="7.109375" bestFit="1" customWidth="1"/>
    <col min="106" max="106" width="6.6640625" bestFit="1" customWidth="1"/>
    <col min="107" max="107" width="6.88671875" bestFit="1" customWidth="1"/>
    <col min="108" max="108" width="7.44140625" bestFit="1" customWidth="1"/>
    <col min="109" max="109" width="6.6640625" bestFit="1" customWidth="1"/>
    <col min="110" max="110" width="6.109375" bestFit="1" customWidth="1"/>
    <col min="111" max="111" width="7" bestFit="1" customWidth="1"/>
    <col min="112" max="112" width="5" customWidth="1"/>
    <col min="113" max="113" width="11" bestFit="1" customWidth="1"/>
    <col min="114" max="114" width="6.44140625" bestFit="1" customWidth="1"/>
    <col min="115" max="115" width="6.88671875" bestFit="1" customWidth="1"/>
    <col min="116" max="116" width="6.44140625" bestFit="1" customWidth="1"/>
    <col min="117" max="117" width="6.88671875" bestFit="1" customWidth="1"/>
    <col min="118" max="118" width="6.109375" bestFit="1" customWidth="1"/>
    <col min="119" max="119" width="6.6640625" bestFit="1" customWidth="1"/>
    <col min="120" max="120" width="6.109375" bestFit="1" customWidth="1"/>
    <col min="121" max="121" width="7.44140625" bestFit="1" customWidth="1"/>
    <col min="122" max="122" width="6.6640625" bestFit="1" customWidth="1"/>
    <col min="123" max="123" width="5.6640625" bestFit="1" customWidth="1"/>
    <col min="124" max="124" width="6.33203125" bestFit="1" customWidth="1"/>
    <col min="125" max="125" width="7.109375" bestFit="1" customWidth="1"/>
    <col min="126" max="126" width="6.44140625" bestFit="1" customWidth="1"/>
    <col min="127" max="127" width="6.88671875" bestFit="1" customWidth="1"/>
    <col min="128" max="128" width="6.44140625" bestFit="1" customWidth="1"/>
    <col min="129" max="129" width="6.88671875" bestFit="1" customWidth="1"/>
    <col min="130" max="130" width="6.109375" bestFit="1" customWidth="1"/>
    <col min="131" max="131" width="6.6640625" bestFit="1" customWidth="1"/>
    <col min="132" max="132" width="6.109375" bestFit="1" customWidth="1"/>
    <col min="133" max="133" width="7.44140625" bestFit="1" customWidth="1"/>
    <col min="134" max="134" width="6.664062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45931</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45931</v>
      </c>
      <c r="BH1" s="3">
        <v>45901</v>
      </c>
      <c r="BI1" s="3">
        <f>+VLOOKUP(BI2,datos!$D:$E,2,FALSE)</f>
        <v>45566</v>
      </c>
      <c r="BL1" s="3">
        <f>+A1</f>
        <v>45931</v>
      </c>
      <c r="BM1" s="3">
        <f>+VLOOKUP(BM2,datos!$D:$E,2,FALSE)</f>
        <v>45901</v>
      </c>
      <c r="BN1" s="3">
        <f>+VLOOKUP(BN2,datos!$D:$E,2,FALSE)</f>
        <v>45566</v>
      </c>
      <c r="BQ1" s="3">
        <f>+A1</f>
        <v>45931</v>
      </c>
      <c r="BR1" s="3">
        <f>+VLOOKUP(BR2,datos!$D:$E,2,FALSE)</f>
        <v>45566</v>
      </c>
      <c r="BU1" s="3">
        <f>+A1</f>
        <v>45931</v>
      </c>
      <c r="BV1" s="3">
        <f>+VLOOKUP(BV2,datos!$D:$E,2,FALSE)</f>
        <v>45566</v>
      </c>
      <c r="BY1" t="s">
        <v>279</v>
      </c>
      <c r="BZ1" t="s">
        <v>280</v>
      </c>
      <c r="CC1" t="s">
        <v>279</v>
      </c>
      <c r="CD1" t="s">
        <v>280</v>
      </c>
      <c r="CG1" t="s">
        <v>282</v>
      </c>
      <c r="CH1" t="s">
        <v>283</v>
      </c>
      <c r="CI1" s="3">
        <f>+A1</f>
        <v>45931</v>
      </c>
      <c r="CJ1" s="3">
        <f>+VLOOKUP(CJ2,datos!$D:$E,2,FALSE)</f>
        <v>45931</v>
      </c>
      <c r="CK1" s="3">
        <f>+VLOOKUP(CK2,datos!$D:$E,2,FALSE)</f>
        <v>45901</v>
      </c>
      <c r="CL1" s="3">
        <f>+VLOOKUP(CL2,datos!$D:$E,2,FALSE)</f>
        <v>45870</v>
      </c>
      <c r="CM1" s="3">
        <f>+VLOOKUP(CM2,datos!$D:$E,2,FALSE)</f>
        <v>45839</v>
      </c>
      <c r="CN1" s="3">
        <f>+VLOOKUP(CN2,datos!$D:$E,2,FALSE)</f>
        <v>45809</v>
      </c>
      <c r="CO1" s="3">
        <f>+VLOOKUP(CO2,datos!$D:$E,2,FALSE)</f>
        <v>45778</v>
      </c>
      <c r="CP1" s="3">
        <f>+VLOOKUP(CP2,datos!$D:$E,2,FALSE)</f>
        <v>45748</v>
      </c>
      <c r="CQ1" s="3">
        <f>+VLOOKUP(CQ2,datos!$D:$E,2,FALSE)</f>
        <v>45717</v>
      </c>
      <c r="CR1" s="3">
        <f>+VLOOKUP(CR2,datos!$D:$E,2,FALSE)</f>
        <v>45689</v>
      </c>
      <c r="CS1" s="3">
        <f>+VLOOKUP(CS2,datos!$D:$E,2,FALSE)</f>
        <v>45658</v>
      </c>
      <c r="CT1" s="3">
        <f>+VLOOKUP(CT2,datos!$D:$E,2,FALSE)</f>
        <v>45627</v>
      </c>
      <c r="CU1" s="3">
        <f>+VLOOKUP(CU2,datos!$D:$E,2,FALSE)</f>
        <v>45597</v>
      </c>
      <c r="CV1" s="3">
        <f>+VLOOKUP(CV2,datos!$D:$E,2,FALSE)</f>
        <v>45566</v>
      </c>
      <c r="CW1" s="3">
        <f>+VLOOKUP(CW2,datos!$D:$E,2,FALSE)</f>
        <v>45536</v>
      </c>
      <c r="CX1" s="3">
        <f>+VLOOKUP(CX2,datos!$D:$E,2,FALSE)</f>
        <v>45505</v>
      </c>
      <c r="CY1" s="3">
        <f>+VLOOKUP(CY2,datos!$D:$E,2,FALSE)</f>
        <v>45474</v>
      </c>
      <c r="CZ1" s="3">
        <f>+VLOOKUP(CZ2,datos!$D:$E,2,FALSE)</f>
        <v>45444</v>
      </c>
      <c r="DA1" s="3">
        <f>+VLOOKUP(DA2,datos!$D:$E,2,FALSE)</f>
        <v>45413</v>
      </c>
      <c r="DB1" s="3">
        <f>+VLOOKUP(DB2,datos!$D:$E,2,FALSE)</f>
        <v>45383</v>
      </c>
      <c r="DC1" s="3">
        <f>+VLOOKUP(DC2,datos!$D:$E,2,FALSE)</f>
        <v>45352</v>
      </c>
      <c r="DD1" s="3">
        <f>+VLOOKUP(DD2,datos!$D:$E,2,FALSE)</f>
        <v>45323</v>
      </c>
      <c r="DE1" s="3">
        <f>+VLOOKUP(DE2,datos!$D:$E,2,FALSE)</f>
        <v>45292</v>
      </c>
      <c r="DF1" s="3">
        <f>+VLOOKUP(DF2,datos!$D:$E,2,FALSE)</f>
        <v>45261</v>
      </c>
      <c r="DG1" s="3">
        <f>+VLOOKUP(DG2,datos!$D:$E,2,FALSE)</f>
        <v>45231</v>
      </c>
      <c r="DI1" s="3">
        <f>+CJ1</f>
        <v>45931</v>
      </c>
      <c r="DJ1" s="3">
        <f>+VLOOKUP(DJ2,datos!$D:$E,2,FALSE)</f>
        <v>45901</v>
      </c>
      <c r="DK1" s="3">
        <f>+VLOOKUP(DK2,datos!$D:$E,2,FALSE)</f>
        <v>45870</v>
      </c>
      <c r="DL1" s="3">
        <f>+VLOOKUP(DL2,datos!$D:$E,2,FALSE)</f>
        <v>45839</v>
      </c>
      <c r="DM1" s="3">
        <f>+VLOOKUP(DM2,datos!$D:$E,2,FALSE)</f>
        <v>45809</v>
      </c>
      <c r="DN1" s="3">
        <f>+VLOOKUP(DN2,datos!$D:$E,2,FALSE)</f>
        <v>45778</v>
      </c>
      <c r="DO1" s="3">
        <f>+VLOOKUP(DO2,datos!$D:$E,2,FALSE)</f>
        <v>45748</v>
      </c>
      <c r="DP1" s="3">
        <f>+VLOOKUP(DP2,datos!$D:$E,2,FALSE)</f>
        <v>45717</v>
      </c>
      <c r="DQ1" s="3">
        <f>+VLOOKUP(DQ2,datos!$D:$E,2,FALSE)</f>
        <v>45689</v>
      </c>
      <c r="DR1" s="3">
        <f>+VLOOKUP(DR2,datos!$D:$E,2,FALSE)</f>
        <v>45658</v>
      </c>
      <c r="DS1" s="3">
        <f>+VLOOKUP(DS2,datos!$D:$E,2,FALSE)</f>
        <v>45627</v>
      </c>
      <c r="DT1" s="3">
        <f>+VLOOKUP(DT2,datos!$D:$E,2,FALSE)</f>
        <v>45597</v>
      </c>
      <c r="DU1" s="3">
        <f>+VLOOKUP(DU2,datos!$D:$E,2,FALSE)</f>
        <v>45566</v>
      </c>
      <c r="DV1" s="3">
        <f>+VLOOKUP(DV2,datos!$D:$E,2,FALSE)</f>
        <v>45536</v>
      </c>
      <c r="DW1" s="3">
        <f>+VLOOKUP(DW2,datos!$D:$E,2,FALSE)</f>
        <v>45505</v>
      </c>
      <c r="DX1" s="3">
        <f>+VLOOKUP(DX2,datos!$D:$E,2,FALSE)</f>
        <v>45474</v>
      </c>
      <c r="DY1" s="3">
        <f>+VLOOKUP(DY2,datos!$D:$E,2,FALSE)</f>
        <v>45444</v>
      </c>
      <c r="DZ1" s="3">
        <f>+VLOOKUP(DZ2,datos!$D:$E,2,FALSE)</f>
        <v>45413</v>
      </c>
      <c r="EA1" s="3">
        <f>+VLOOKUP(EA2,datos!$D:$E,2,FALSE)</f>
        <v>45383</v>
      </c>
      <c r="EB1" s="3">
        <f>+VLOOKUP(EB2,datos!$D:$E,2,FALSE)</f>
        <v>45352</v>
      </c>
      <c r="EC1" s="3">
        <f>+VLOOKUP(EC2,datos!$D:$E,2,FALSE)</f>
        <v>45323</v>
      </c>
      <c r="ED1" s="3">
        <f>+VLOOKUP(ED2,datos!$D:$E,2,FALSE)</f>
        <v>45292</v>
      </c>
      <c r="EE1" s="3">
        <f>+VLOOKUP(EE2,datos!$D:$E,2,FALSE)</f>
        <v>45261</v>
      </c>
      <c r="EF1" s="3">
        <f>+VLOOKUP(EF2,datos!$D:$E,2,FALSE)</f>
        <v>45231</v>
      </c>
      <c r="EH1" s="14">
        <f>+CJ1</f>
        <v>45931</v>
      </c>
      <c r="EI1" s="14">
        <f t="shared" ref="EI1:FE1" si="0">+CK1</f>
        <v>45901</v>
      </c>
      <c r="EJ1" s="3">
        <f t="shared" si="0"/>
        <v>45870</v>
      </c>
      <c r="EK1" s="3">
        <f t="shared" si="0"/>
        <v>45839</v>
      </c>
      <c r="EL1" s="3">
        <f t="shared" si="0"/>
        <v>45809</v>
      </c>
      <c r="EM1" s="3">
        <f t="shared" si="0"/>
        <v>45778</v>
      </c>
      <c r="EN1" s="3">
        <f t="shared" si="0"/>
        <v>45748</v>
      </c>
      <c r="EO1" s="3">
        <f t="shared" si="0"/>
        <v>45717</v>
      </c>
      <c r="EP1" s="3">
        <f t="shared" si="0"/>
        <v>45689</v>
      </c>
      <c r="EQ1" s="3">
        <f t="shared" si="0"/>
        <v>45658</v>
      </c>
      <c r="ER1" s="3">
        <f t="shared" si="0"/>
        <v>45627</v>
      </c>
      <c r="ES1" s="3">
        <f t="shared" si="0"/>
        <v>45597</v>
      </c>
      <c r="ET1" s="3">
        <f t="shared" si="0"/>
        <v>45566</v>
      </c>
      <c r="EU1" s="3">
        <f t="shared" si="0"/>
        <v>45536</v>
      </c>
      <c r="EV1" s="3">
        <f t="shared" si="0"/>
        <v>45505</v>
      </c>
      <c r="EW1" s="3">
        <f t="shared" si="0"/>
        <v>45474</v>
      </c>
      <c r="EX1" s="3">
        <f t="shared" si="0"/>
        <v>45444</v>
      </c>
      <c r="EY1" s="3">
        <f t="shared" si="0"/>
        <v>45413</v>
      </c>
      <c r="EZ1" s="3">
        <f t="shared" si="0"/>
        <v>45383</v>
      </c>
      <c r="FA1" s="3">
        <f t="shared" si="0"/>
        <v>45352</v>
      </c>
      <c r="FB1" s="3">
        <f t="shared" si="0"/>
        <v>45323</v>
      </c>
      <c r="FC1" s="3">
        <f t="shared" si="0"/>
        <v>45292</v>
      </c>
      <c r="FD1" s="3">
        <f t="shared" si="0"/>
        <v>45261</v>
      </c>
      <c r="FE1" s="3">
        <f t="shared" si="0"/>
        <v>45231</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45597</v>
      </c>
      <c r="AQ2" s="174">
        <f>VLOOKUP(VLOOKUP(+$A$1,ran_ma,2,FALSE)-10,ran_idma,2,FALSE)</f>
        <v>45627</v>
      </c>
      <c r="AR2" s="174">
        <f>VLOOKUP(VLOOKUP(+$A$1,ran_ma,2,FALSE)-9,ran_idma,2,FALSE)</f>
        <v>45658</v>
      </c>
      <c r="AS2" s="174">
        <f>VLOOKUP(VLOOKUP(+$A$1,ran_ma,2,FALSE)-8,ran_idma,2,FALSE)</f>
        <v>45689</v>
      </c>
      <c r="AT2" s="59">
        <f>VLOOKUP(VLOOKUP(+$A$1,ran_ma,2,FALSE)-7,ran_idma,2,FALSE)</f>
        <v>45717</v>
      </c>
      <c r="AU2" s="59">
        <f>VLOOKUP(VLOOKUP(+$A$1,ran_ma,2,FALSE)-6,ran_idma,2,FALSE)</f>
        <v>45748</v>
      </c>
      <c r="AV2" s="59">
        <f>VLOOKUP(VLOOKUP(+$A$1,ran_ma,2,FALSE)-5,ran_idma,2,FALSE)</f>
        <v>45778</v>
      </c>
      <c r="AW2" s="59">
        <f>VLOOKUP(VLOOKUP(+$A$1,ran_ma,2,FALSE)-4,ran_idma,2,FALSE)</f>
        <v>45809</v>
      </c>
      <c r="AX2" s="59">
        <f>VLOOKUP(VLOOKUP(+$A$1,ran_ma,2,FALSE)-3,ran_idma,2,FALSE)</f>
        <v>45839</v>
      </c>
      <c r="AY2" s="59">
        <f>VLOOKUP(VLOOKUP(+$A$1,ran_ma,2,FALSE)-2,ran_idma,2,FALSE)</f>
        <v>45870</v>
      </c>
      <c r="AZ2" s="59">
        <f>VLOOKUP(VLOOKUP(+$A$1,ran_ma,2,FALSE)-1,ran_idma,2,FALSE)</f>
        <v>45901</v>
      </c>
      <c r="BA2" s="59">
        <f>VLOOKUP(VLOOKUP(+$A$1,ran_ma,2,FALSE)-0,ran_idma,2,FALSE)</f>
        <v>45931</v>
      </c>
      <c r="BB2" s="59"/>
      <c r="BC2" s="170"/>
      <c r="BE2" s="9" t="s">
        <v>272</v>
      </c>
      <c r="BG2">
        <f>+VLOOKUP(BG1,ran_dat,datos!$D$1,FALSE)</f>
        <v>127</v>
      </c>
      <c r="BH2">
        <f>+BG2-1</f>
        <v>126</v>
      </c>
      <c r="BI2">
        <f>+BG2-12</f>
        <v>115</v>
      </c>
      <c r="BK2" s="9"/>
      <c r="BL2">
        <f>+VLOOKUP(BL1,ran_dat,datos!$D$1,FALSE)</f>
        <v>127</v>
      </c>
      <c r="BM2">
        <f>+BL2-1</f>
        <v>126</v>
      </c>
      <c r="BN2">
        <f>+BL2-12</f>
        <v>115</v>
      </c>
      <c r="BP2" s="9"/>
      <c r="BQ2">
        <f>+VLOOKUP(BQ1,ran_dat,datos!$D$1,FALSE)</f>
        <v>127</v>
      </c>
      <c r="BR2">
        <f>+BQ2-12</f>
        <v>115</v>
      </c>
      <c r="BT2" s="9"/>
      <c r="BU2">
        <f>+VLOOKUP(BU1,ran_dat,datos!$D$1,FALSE)</f>
        <v>127</v>
      </c>
      <c r="BV2">
        <f>+BU2-12</f>
        <v>115</v>
      </c>
      <c r="BX2" s="9"/>
      <c r="CB2" s="9"/>
      <c r="CI2">
        <f>+VLOOKUP(CI1,ran_dat,datos!$D$1,FALSE)</f>
        <v>127</v>
      </c>
      <c r="CJ2">
        <f>+CI2</f>
        <v>127</v>
      </c>
      <c r="CK2">
        <f t="shared" ref="CK2:DG2" si="1">+CJ2-1</f>
        <v>126</v>
      </c>
      <c r="CL2">
        <f t="shared" si="1"/>
        <v>125</v>
      </c>
      <c r="CM2">
        <f t="shared" si="1"/>
        <v>124</v>
      </c>
      <c r="CN2">
        <f t="shared" si="1"/>
        <v>123</v>
      </c>
      <c r="CO2">
        <f t="shared" si="1"/>
        <v>122</v>
      </c>
      <c r="CP2">
        <f t="shared" si="1"/>
        <v>121</v>
      </c>
      <c r="CQ2">
        <f t="shared" si="1"/>
        <v>120</v>
      </c>
      <c r="CR2">
        <f t="shared" si="1"/>
        <v>119</v>
      </c>
      <c r="CS2">
        <f t="shared" si="1"/>
        <v>118</v>
      </c>
      <c r="CT2">
        <f t="shared" si="1"/>
        <v>117</v>
      </c>
      <c r="CU2">
        <f t="shared" si="1"/>
        <v>116</v>
      </c>
      <c r="CV2">
        <f t="shared" si="1"/>
        <v>115</v>
      </c>
      <c r="CW2">
        <f t="shared" si="1"/>
        <v>114</v>
      </c>
      <c r="CX2">
        <f t="shared" si="1"/>
        <v>113</v>
      </c>
      <c r="CY2">
        <f t="shared" si="1"/>
        <v>112</v>
      </c>
      <c r="CZ2">
        <f t="shared" si="1"/>
        <v>111</v>
      </c>
      <c r="DA2">
        <f t="shared" si="1"/>
        <v>110</v>
      </c>
      <c r="DB2">
        <f t="shared" si="1"/>
        <v>109</v>
      </c>
      <c r="DC2">
        <f t="shared" si="1"/>
        <v>108</v>
      </c>
      <c r="DD2">
        <f t="shared" si="1"/>
        <v>107</v>
      </c>
      <c r="DE2">
        <f t="shared" si="1"/>
        <v>106</v>
      </c>
      <c r="DF2">
        <f t="shared" si="1"/>
        <v>105</v>
      </c>
      <c r="DG2">
        <f t="shared" si="1"/>
        <v>104</v>
      </c>
      <c r="DI2">
        <f>+VLOOKUP(DI1,ran_dat,datos!$D$1,FALSE)</f>
        <v>127</v>
      </c>
      <c r="DJ2">
        <f t="shared" ref="DJ2:EF2" si="2">+DI2-1</f>
        <v>126</v>
      </c>
      <c r="DK2">
        <f t="shared" si="2"/>
        <v>125</v>
      </c>
      <c r="DL2">
        <f t="shared" si="2"/>
        <v>124</v>
      </c>
      <c r="DM2">
        <f t="shared" si="2"/>
        <v>123</v>
      </c>
      <c r="DN2">
        <f t="shared" si="2"/>
        <v>122</v>
      </c>
      <c r="DO2">
        <f t="shared" si="2"/>
        <v>121</v>
      </c>
      <c r="DP2">
        <f t="shared" si="2"/>
        <v>120</v>
      </c>
      <c r="DQ2">
        <f t="shared" si="2"/>
        <v>119</v>
      </c>
      <c r="DR2">
        <f t="shared" si="2"/>
        <v>118</v>
      </c>
      <c r="DS2">
        <f t="shared" si="2"/>
        <v>117</v>
      </c>
      <c r="DT2">
        <f t="shared" si="2"/>
        <v>116</v>
      </c>
      <c r="DU2">
        <f t="shared" si="2"/>
        <v>115</v>
      </c>
      <c r="DV2">
        <f t="shared" si="2"/>
        <v>114</v>
      </c>
      <c r="DW2">
        <f t="shared" si="2"/>
        <v>113</v>
      </c>
      <c r="DX2">
        <f t="shared" si="2"/>
        <v>112</v>
      </c>
      <c r="DY2">
        <f t="shared" si="2"/>
        <v>111</v>
      </c>
      <c r="DZ2">
        <f t="shared" si="2"/>
        <v>110</v>
      </c>
      <c r="EA2">
        <f t="shared" si="2"/>
        <v>109</v>
      </c>
      <c r="EB2">
        <f t="shared" si="2"/>
        <v>108</v>
      </c>
      <c r="EC2">
        <f t="shared" si="2"/>
        <v>107</v>
      </c>
      <c r="ED2">
        <f t="shared" si="2"/>
        <v>106</v>
      </c>
      <c r="EE2">
        <f t="shared" si="2"/>
        <v>105</v>
      </c>
      <c r="EF2">
        <f t="shared" si="2"/>
        <v>104</v>
      </c>
      <c r="EH2" s="14">
        <f>+VLOOKUP(EH1,ran_dat,datos!$D$1,FALSE)</f>
        <v>127</v>
      </c>
      <c r="EI2" s="14">
        <f t="shared" ref="EI2:FE2" si="3">+EH2-1</f>
        <v>126</v>
      </c>
      <c r="EJ2">
        <f t="shared" si="3"/>
        <v>125</v>
      </c>
      <c r="EK2">
        <f t="shared" si="3"/>
        <v>124</v>
      </c>
      <c r="EL2">
        <f t="shared" si="3"/>
        <v>123</v>
      </c>
      <c r="EM2">
        <f t="shared" si="3"/>
        <v>122</v>
      </c>
      <c r="EN2">
        <f t="shared" si="3"/>
        <v>121</v>
      </c>
      <c r="EO2">
        <f t="shared" si="3"/>
        <v>120</v>
      </c>
      <c r="EP2">
        <f t="shared" si="3"/>
        <v>119</v>
      </c>
      <c r="EQ2">
        <f t="shared" si="3"/>
        <v>118</v>
      </c>
      <c r="ER2">
        <f t="shared" si="3"/>
        <v>117</v>
      </c>
      <c r="ES2">
        <f t="shared" si="3"/>
        <v>116</v>
      </c>
      <c r="ET2">
        <f t="shared" si="3"/>
        <v>115</v>
      </c>
      <c r="EU2">
        <f t="shared" si="3"/>
        <v>114</v>
      </c>
      <c r="EV2">
        <f t="shared" si="3"/>
        <v>113</v>
      </c>
      <c r="EW2">
        <f t="shared" si="3"/>
        <v>112</v>
      </c>
      <c r="EX2">
        <f t="shared" si="3"/>
        <v>111</v>
      </c>
      <c r="EY2">
        <f t="shared" si="3"/>
        <v>110</v>
      </c>
      <c r="EZ2">
        <f t="shared" si="3"/>
        <v>109</v>
      </c>
      <c r="FA2">
        <f t="shared" si="3"/>
        <v>108</v>
      </c>
      <c r="FB2">
        <f t="shared" si="3"/>
        <v>107</v>
      </c>
      <c r="FC2">
        <f t="shared" si="3"/>
        <v>106</v>
      </c>
      <c r="FD2">
        <f t="shared" si="3"/>
        <v>105</v>
      </c>
      <c r="FE2">
        <f t="shared" si="3"/>
        <v>104</v>
      </c>
    </row>
    <row r="3" spans="1:163" ht="18.75" customHeight="1">
      <c r="A3" s="220"/>
      <c r="C3" s="155"/>
      <c r="D3" s="196">
        <v>0.33</v>
      </c>
      <c r="E3" s="100">
        <f>IFERROR(+BG5/BH5-1,"")</f>
        <v>2.3419431023919524E-2</v>
      </c>
      <c r="F3" s="56" t="s">
        <v>515</v>
      </c>
      <c r="G3" s="56"/>
      <c r="H3" s="56"/>
      <c r="I3" s="60">
        <f>IFERROR(+BG5/BI5-1,"")</f>
        <v>0.31307934098988244</v>
      </c>
      <c r="J3" s="56" t="s">
        <v>515</v>
      </c>
      <c r="K3" s="56"/>
      <c r="L3" s="56"/>
      <c r="M3" s="32"/>
      <c r="N3" s="196">
        <v>0.33</v>
      </c>
      <c r="O3" s="31"/>
      <c r="S3" s="32"/>
      <c r="T3" s="196">
        <v>0.33</v>
      </c>
      <c r="U3" s="150" t="str">
        <f>TEXT(CU1,"MMM-YY")&amp;"."&amp;TEXT(CJ1,"MMM-YY")&amp;" vs "&amp;TEXT(DG1,"MMM-YY")&amp;"."&amp;TEXT(CV1,"MMM-YY")</f>
        <v>nov-24.oct-25 vs nov-23.oct-24</v>
      </c>
      <c r="Y3" s="59" t="str">
        <f>TEXT(CJ1,"MMM-YY")&amp;" vs "&amp;TEXT(CV1,"MMM-YY")</f>
        <v>oct-25 vs oct-24</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512" t="s">
        <v>291</v>
      </c>
      <c r="AO4" s="283"/>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9603.8623000000007</v>
      </c>
      <c r="BH5" s="2">
        <f t="shared" si="4"/>
        <v>9384.0921999999991</v>
      </c>
      <c r="BI5" s="2">
        <f t="shared" si="4"/>
        <v>7314</v>
      </c>
    </row>
    <row r="6" spans="1:163" ht="18.75" customHeight="1">
      <c r="A6" s="243" t="s">
        <v>28</v>
      </c>
      <c r="B6" s="246"/>
      <c r="C6" s="156">
        <f t="shared" ref="C6:C24" si="5">+D6*$D$3+N6*$N$3+T6*$T$3</f>
        <v>0</v>
      </c>
      <c r="D6" s="198">
        <v>-2</v>
      </c>
      <c r="E6" s="248">
        <f t="shared" ref="E6:E24" si="6">IFERROR(+BG6/BH6-1,"")</f>
        <v>2.146521127661738E-2</v>
      </c>
      <c r="F6" s="249">
        <f t="shared" ref="F6:F24" si="7">+E6-$E$3</f>
        <v>-1.9542197473021439E-3</v>
      </c>
      <c r="G6" s="248">
        <f t="shared" ref="G6:G24" si="8">IFERROR(+BL6/BM6-1,"")</f>
        <v>1.6074293275043061E-2</v>
      </c>
      <c r="H6" s="249">
        <f t="shared" ref="H6:H24" si="9">E6-G6</f>
        <v>5.3909180015743186E-3</v>
      </c>
      <c r="I6" s="248">
        <f t="shared" ref="I6:I24" si="10">IFERROR(+BG6/BI6-1,"")</f>
        <v>8.1673243426125586E-2</v>
      </c>
      <c r="J6" s="249">
        <f t="shared" ref="J6:J24" si="11">+I6-$I$3</f>
        <v>-0.23140609756375685</v>
      </c>
      <c r="K6" s="248">
        <f t="shared" ref="K6:K24" si="12">IFERROR(+BL6/BN6-1,"")</f>
        <v>0.29719741355119944</v>
      </c>
      <c r="L6" s="249">
        <f t="shared" ref="L6:L24" si="13">I6-K6</f>
        <v>-0.21552417012507386</v>
      </c>
      <c r="M6" s="250"/>
      <c r="N6" s="24">
        <v>1</v>
      </c>
      <c r="O6" s="248">
        <f>IFERROR(+BQ6/BR6-1,"")</f>
        <v>1.449275362318847E-2</v>
      </c>
      <c r="P6" s="251">
        <f>+O6</f>
        <v>1.449275362318847E-2</v>
      </c>
      <c r="Q6" s="248">
        <f t="shared" ref="Q6:Q24" si="14">IFERROR(+BU6/BV6-1,"")</f>
        <v>-0.15384615384615385</v>
      </c>
      <c r="R6" s="251">
        <f>+Q6</f>
        <v>-0.15384615384615385</v>
      </c>
      <c r="S6" s="250"/>
      <c r="T6" s="24">
        <v>1</v>
      </c>
      <c r="U6" s="248">
        <f t="shared" ref="U6:U24" si="15">IFERROR(+BY6/BZ6-1,"")</f>
        <v>-0.31489020616777508</v>
      </c>
      <c r="V6" s="252">
        <f t="shared" ref="V6:V24" si="16">+U6</f>
        <v>-0.31489020616777508</v>
      </c>
      <c r="W6" s="248">
        <f>IFERROR(IF(CC6&lt;0.5,"",+CC6/CD6-1),"")</f>
        <v>0.82443916562391317</v>
      </c>
      <c r="X6" s="252">
        <f t="shared" ref="X6:X24" si="17">+W6</f>
        <v>0.82443916562391317</v>
      </c>
      <c r="Y6" s="248" t="str">
        <f t="shared" ref="Y6:Y25" si="18">IFERROR(+CG6/CH6-1,"")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3</v>
      </c>
      <c r="AQ6" s="28">
        <f>VLOOKUP($A6,historia!$A$5:$CM$24,+HLOOKUP(AQ$2,historia!$A$3:$EC$4,2,FALSE),FALSE)</f>
        <v>3</v>
      </c>
      <c r="AR6" s="28">
        <f>VLOOKUP($A6,historia!$A$5:$CM$24,+HLOOKUP(AR$2,historia!$A$3:$EC$4,2,FALSE),FALSE)</f>
        <v>4</v>
      </c>
      <c r="AS6" s="28">
        <f>VLOOKUP($A6,historia!$A$5:$CM$24,+HLOOKUP(AS$2,historia!$A$3:$EC$4,2,FALSE),FALSE)</f>
        <v>4</v>
      </c>
      <c r="AT6" s="58">
        <f>VLOOKUP($A6,historia!$A$5:$CM$24,+HLOOKUP(AT$2,historia!$A$3:$EC$4,2,FALSE),FALSE)</f>
        <v>4</v>
      </c>
      <c r="AU6" s="58">
        <f>VLOOKUP($A6,historia!$A$5:$CM$24,+HLOOKUP(AU$2,historia!$A$3:$EC$4,2,FALSE),FALSE)</f>
        <v>4</v>
      </c>
      <c r="AV6" s="58">
        <f>VLOOKUP($A6,historia!$A$5:$CM$24,+HLOOKUP(AV$2,historia!$A$3:$EC$4,2,FALSE),FALSE)</f>
        <v>3</v>
      </c>
      <c r="AW6" s="58">
        <f>VLOOKUP($A6,historia!$A$5:$CM$24,+HLOOKUP(AW$2,historia!$A$3:$EC$4,2,FALSE),FALSE)</f>
        <v>3</v>
      </c>
      <c r="AX6" s="58">
        <f>VLOOKUP($A6,historia!$A$5:$CM$24,+HLOOKUP(AX$2,historia!$A$3:$EC$4,2,FALSE),FALSE)</f>
        <v>3</v>
      </c>
      <c r="AY6" s="58">
        <f>VLOOKUP($A6,historia!$A$5:$CN$24,+HLOOKUP(AY$2,historia!$A$3:$EC$4,2,FALSE),FALSE)</f>
        <v>3</v>
      </c>
      <c r="AZ6" s="58">
        <f>VLOOKUP($A6,historia!$A$5:$DG$24,+HLOOKUP(AZ$2,historia!$A$3:$EC$4,2,FALSE),FALSE)</f>
        <v>4</v>
      </c>
      <c r="BA6" s="58">
        <f>VLOOKUP($A6,historia!$A$5:$DG$24,+HLOOKUP(BA$2,historia!$A$3:$EC$4,2,FALSE),FALSE)</f>
        <v>4</v>
      </c>
      <c r="BB6" s="58"/>
      <c r="BC6" s="286">
        <v>4</v>
      </c>
      <c r="BD6" t="str">
        <f t="shared" ref="BD6:BD24" si="20">+A6</f>
        <v>Algodón</v>
      </c>
      <c r="BE6">
        <f>+datos!P1</f>
        <v>16</v>
      </c>
      <c r="BF6" s="2" t="str">
        <f t="shared" si="4"/>
        <v>$/kg</v>
      </c>
      <c r="BG6" s="2">
        <f t="shared" si="4"/>
        <v>1469.2552902</v>
      </c>
      <c r="BH6" s="2">
        <f t="shared" si="4"/>
        <v>1438.3801562499998</v>
      </c>
      <c r="BI6" s="2">
        <f t="shared" si="4"/>
        <v>1358.317125</v>
      </c>
      <c r="BK6">
        <f>+datos!BY1</f>
        <v>77</v>
      </c>
      <c r="BL6" s="2">
        <f t="shared" ref="BL6:BN24" si="21">+VLOOKUP(BL$1,ran_dat,$BK6,FALSE)</f>
        <v>11724.57051728266</v>
      </c>
      <c r="BM6" s="2">
        <f t="shared" si="21"/>
        <v>11539.087835291699</v>
      </c>
      <c r="BN6" s="2">
        <f t="shared" si="21"/>
        <v>9038.3856726830418</v>
      </c>
      <c r="BP6" s="1">
        <f>+datos!DK1</f>
        <v>115</v>
      </c>
      <c r="BQ6" s="1">
        <f t="shared" ref="BQ6:BR24" si="22">+VLOOKUP(BQ$1,ran_dat,$BP6,FALSE)</f>
        <v>700000</v>
      </c>
      <c r="BR6" s="1">
        <f t="shared" si="22"/>
        <v>690000</v>
      </c>
      <c r="BT6" s="1">
        <f>+datos!FF1</f>
        <v>162</v>
      </c>
      <c r="BU6" s="1">
        <f t="shared" ref="BU6:BV24" si="23">+VLOOKUP(BU$1,ran_dat,$BT6,FALSE)</f>
        <v>1100000</v>
      </c>
      <c r="BV6" s="1">
        <f t="shared" si="23"/>
        <v>1300000</v>
      </c>
      <c r="BX6" s="1">
        <f>+datos!JF1</f>
        <v>266</v>
      </c>
      <c r="BY6" s="1">
        <f>+SUM(CJ6:CU6)</f>
        <v>133.83034810000001</v>
      </c>
      <c r="BZ6" s="1">
        <f>+SUM(CV6:DG6)</f>
        <v>195.34146104000001</v>
      </c>
      <c r="CB6" s="1">
        <f>+datos!KK1</f>
        <v>297</v>
      </c>
      <c r="CC6" s="2">
        <f t="shared" ref="CC6:CC24" si="24">+SUM(DI6:DT6)</f>
        <v>109.77879017999999</v>
      </c>
      <c r="CD6" s="2">
        <f t="shared" ref="CD6:CD24" si="25">+SUM(DU6:EF6)</f>
        <v>60.171252760000002</v>
      </c>
      <c r="CF6" s="1">
        <f>+datos!HS1</f>
        <v>227</v>
      </c>
      <c r="CG6" s="1">
        <f t="shared" ref="CG6:CG24" si="26">+EH6</f>
        <v>0</v>
      </c>
      <c r="CH6" s="1">
        <f t="shared" ref="CH6:CH24" si="27">+ET6</f>
        <v>0</v>
      </c>
      <c r="CJ6" s="1">
        <f t="shared" ref="CJ6:CY21" si="28">+VLOOKUP(CJ$1,ran_dat,$BX6,FALSE)</f>
        <v>21.754931440000004</v>
      </c>
      <c r="CK6" s="1">
        <f t="shared" si="28"/>
        <v>18.652099290000002</v>
      </c>
      <c r="CL6" s="1">
        <f t="shared" si="28"/>
        <v>16.211576590000004</v>
      </c>
      <c r="CM6" s="1">
        <f t="shared" si="28"/>
        <v>9.0263359399999974</v>
      </c>
      <c r="CN6" s="1">
        <f t="shared" si="28"/>
        <v>8.2931694499999988</v>
      </c>
      <c r="CO6" s="1">
        <f t="shared" si="28"/>
        <v>5.0945514700000007</v>
      </c>
      <c r="CP6" s="1">
        <f t="shared" si="28"/>
        <v>7.3093251500000047</v>
      </c>
      <c r="CQ6" s="1">
        <f t="shared" si="28"/>
        <v>6.7908860800000017</v>
      </c>
      <c r="CR6" s="1">
        <f t="shared" si="28"/>
        <v>8.6490729999999978</v>
      </c>
      <c r="CS6" s="1">
        <f t="shared" si="28"/>
        <v>6.462363250000001</v>
      </c>
      <c r="CT6" s="1">
        <f t="shared" si="28"/>
        <v>10.78045292</v>
      </c>
      <c r="CU6" s="1">
        <f t="shared" si="28"/>
        <v>14.805583519999997</v>
      </c>
      <c r="CV6" s="1">
        <f t="shared" si="28"/>
        <v>17.696202909999993</v>
      </c>
      <c r="CW6" s="1">
        <f t="shared" si="28"/>
        <v>21.922029789999996</v>
      </c>
      <c r="CX6" s="1">
        <f t="shared" si="28"/>
        <v>19.20970509</v>
      </c>
      <c r="CY6" s="1">
        <f t="shared" si="28"/>
        <v>24.496622440000007</v>
      </c>
      <c r="CZ6" s="1">
        <f t="shared" ref="CZ6:DG21" si="29">+VLOOKUP(CZ$1,ran_dat,$BX6,FALSE)</f>
        <v>21.439575039999998</v>
      </c>
      <c r="DA6" s="1">
        <f t="shared" si="29"/>
        <v>14.529816729999997</v>
      </c>
      <c r="DB6" s="1">
        <f t="shared" si="29"/>
        <v>18.258202080000007</v>
      </c>
      <c r="DC6" s="1">
        <f t="shared" si="29"/>
        <v>18.510441480000001</v>
      </c>
      <c r="DD6" s="1">
        <f t="shared" si="29"/>
        <v>7.7064561400000011</v>
      </c>
      <c r="DE6" s="1">
        <f t="shared" si="29"/>
        <v>8.1062574399999985</v>
      </c>
      <c r="DF6" s="1">
        <f t="shared" si="29"/>
        <v>8.4463773399999997</v>
      </c>
      <c r="DG6" s="1">
        <f t="shared" si="29"/>
        <v>15.019774559999998</v>
      </c>
      <c r="DI6" s="1">
        <f t="shared" ref="DI6:DX21" si="30">+VLOOKUP(DI$1,ran_dat,$CB6,FALSE)</f>
        <v>10.164854930000002</v>
      </c>
      <c r="DJ6" s="1">
        <f t="shared" si="30"/>
        <v>9.0858989999999995</v>
      </c>
      <c r="DK6" s="1">
        <f t="shared" si="30"/>
        <v>10.908765819999998</v>
      </c>
      <c r="DL6" s="1">
        <f t="shared" si="30"/>
        <v>11.035692889999996</v>
      </c>
      <c r="DM6" s="1">
        <f t="shared" si="30"/>
        <v>9.4337625599999999</v>
      </c>
      <c r="DN6" s="1">
        <f t="shared" si="30"/>
        <v>9.66008332</v>
      </c>
      <c r="DO6" s="1">
        <f t="shared" si="30"/>
        <v>10.467826709999999</v>
      </c>
      <c r="DP6" s="1">
        <f t="shared" si="30"/>
        <v>7.9836210200000002</v>
      </c>
      <c r="DQ6" s="1">
        <f t="shared" si="30"/>
        <v>9.7355070900000005</v>
      </c>
      <c r="DR6" s="1">
        <f t="shared" si="30"/>
        <v>7.6983577599999995</v>
      </c>
      <c r="DS6" s="1">
        <f t="shared" si="30"/>
        <v>8.003268180000001</v>
      </c>
      <c r="DT6" s="1">
        <f t="shared" si="30"/>
        <v>5.6011509000000004</v>
      </c>
      <c r="DU6" s="1">
        <f t="shared" si="30"/>
        <v>5.8112020999999991</v>
      </c>
      <c r="DV6" s="1">
        <f t="shared" si="30"/>
        <v>6.3060080799999998</v>
      </c>
      <c r="DW6" s="1">
        <f t="shared" si="30"/>
        <v>3.7690183000000008</v>
      </c>
      <c r="DX6" s="1">
        <f t="shared" si="30"/>
        <v>4.5361736000000006</v>
      </c>
      <c r="DY6" s="1">
        <f t="shared" ref="DY6:EF20" si="31">+VLOOKUP(DY$1,ran_dat,$CB6,FALSE)</f>
        <v>3.2956469100000003</v>
      </c>
      <c r="DZ6" s="1">
        <f t="shared" si="31"/>
        <v>4.5516111999999991</v>
      </c>
      <c r="EA6" s="1">
        <f t="shared" si="31"/>
        <v>3.9375346699999998</v>
      </c>
      <c r="EB6" s="1">
        <f t="shared" si="31"/>
        <v>4.8118603300000009</v>
      </c>
      <c r="EC6" s="1">
        <f t="shared" si="31"/>
        <v>5.2295233099999994</v>
      </c>
      <c r="ED6" s="1">
        <f t="shared" si="31"/>
        <v>7.4159317900000001</v>
      </c>
      <c r="EE6" s="1">
        <f t="shared" si="31"/>
        <v>3.5587731599999999</v>
      </c>
      <c r="EF6" s="1">
        <f t="shared" si="31"/>
        <v>6.9479693099999986</v>
      </c>
      <c r="EH6" s="14">
        <f t="shared" ref="EH6:EW21" si="32">+VLOOKUP(EH$1,ran_dat,$CF6,FALSE)</f>
        <v>0</v>
      </c>
      <c r="EI6" s="14">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ref="EX6:FE20" si="33">+VLOOKUP(EX$1,ran_dat,$CF6,FALSE)</f>
        <v>0</v>
      </c>
      <c r="EY6" s="1">
        <f t="shared" si="33"/>
        <v>0</v>
      </c>
      <c r="EZ6" s="1">
        <f t="shared" si="33"/>
        <v>0</v>
      </c>
      <c r="FA6" s="1">
        <f t="shared" si="33"/>
        <v>0</v>
      </c>
      <c r="FB6" s="1">
        <f t="shared" si="33"/>
        <v>0</v>
      </c>
      <c r="FC6" s="1">
        <f t="shared" si="33"/>
        <v>0</v>
      </c>
      <c r="FD6" s="1">
        <f t="shared" si="33"/>
        <v>0</v>
      </c>
      <c r="FE6" s="1">
        <f t="shared" si="33"/>
        <v>0</v>
      </c>
      <c r="FG6" s="162">
        <f t="shared" ref="FG6:FG24" si="34">+I6-K6</f>
        <v>-0.21552417012507386</v>
      </c>
    </row>
    <row r="7" spans="1:163" ht="18.75" customHeight="1">
      <c r="A7" s="244" t="s">
        <v>13</v>
      </c>
      <c r="B7" s="247"/>
      <c r="C7" s="228">
        <f t="shared" si="5"/>
        <v>-0.33</v>
      </c>
      <c r="D7" s="229">
        <v>-1</v>
      </c>
      <c r="E7" s="253">
        <f t="shared" si="6"/>
        <v>2.2222222222221255E-3</v>
      </c>
      <c r="F7" s="254">
        <f t="shared" si="7"/>
        <v>-2.1197208801697398E-2</v>
      </c>
      <c r="G7" s="253">
        <f t="shared" si="8"/>
        <v>9.5709765209115449E-3</v>
      </c>
      <c r="H7" s="254">
        <f t="shared" si="9"/>
        <v>-7.3487542986894194E-3</v>
      </c>
      <c r="I7" s="253">
        <f t="shared" si="10"/>
        <v>-0.40657894736842104</v>
      </c>
      <c r="J7" s="254">
        <f t="shared" si="11"/>
        <v>-0.71965828835830348</v>
      </c>
      <c r="K7" s="253">
        <f t="shared" si="12"/>
        <v>0.34535475647474634</v>
      </c>
      <c r="L7" s="254">
        <f t="shared" si="13"/>
        <v>-0.75193370384316738</v>
      </c>
      <c r="M7" s="255"/>
      <c r="N7" s="256">
        <v>1</v>
      </c>
      <c r="O7" s="253">
        <f t="shared" ref="O7:O24" si="35">IFERROR(+BQ7/BR7-1,"")</f>
        <v>-9.0909090909090939E-2</v>
      </c>
      <c r="P7" s="257">
        <f t="shared" ref="P7:P24" si="36">+O7</f>
        <v>-9.0909090909090939E-2</v>
      </c>
      <c r="Q7" s="253">
        <f t="shared" si="14"/>
        <v>0.23076923076923084</v>
      </c>
      <c r="R7" s="257">
        <f t="shared" ref="R7:R24" si="37">+Q7</f>
        <v>0.23076923076923084</v>
      </c>
      <c r="S7" s="255"/>
      <c r="T7" s="256">
        <v>-1</v>
      </c>
      <c r="U7" s="253">
        <f t="shared" si="15"/>
        <v>0.44702155683206635</v>
      </c>
      <c r="V7" s="258">
        <f t="shared" si="16"/>
        <v>0.44702155683206635</v>
      </c>
      <c r="W7" s="253">
        <f t="shared" ref="W7:W24" si="38">IFERROR(IF(CC7&lt;0.5,"",+CC7/CD7-1),"")</f>
        <v>0.15257383551524395</v>
      </c>
      <c r="X7" s="258">
        <f t="shared" si="17"/>
        <v>0.15257383551524395</v>
      </c>
      <c r="Y7" s="253">
        <f t="shared" si="18"/>
        <v>0.41428571428571437</v>
      </c>
      <c r="Z7" s="258">
        <f t="shared" si="19"/>
        <v>0.41428571428571437</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4</v>
      </c>
      <c r="AQ7" s="28">
        <f>VLOOKUP($A7,historia!$A$5:$CM$24,+HLOOKUP(AQ$2,historia!$A$3:$EC$4,2,FALSE),FALSE)</f>
        <v>4</v>
      </c>
      <c r="AR7" s="28">
        <f>VLOOKUP($A7,historia!$A$5:$CM$24,+HLOOKUP(AR$2,historia!$A$3:$EC$4,2,FALSE),FALSE)</f>
        <v>4</v>
      </c>
      <c r="AS7" s="28">
        <f>VLOOKUP($A7,historia!$A$5:$CM$24,+HLOOKUP(AS$2,historia!$A$3:$EC$4,2,FALSE),FALSE)</f>
        <v>4</v>
      </c>
      <c r="AT7" s="58">
        <f>VLOOKUP($A7,historia!$A$5:$CM$24,+HLOOKUP(AT$2,historia!$A$3:$EC$4,2,FALSE),FALSE)</f>
        <v>4</v>
      </c>
      <c r="AU7" s="58">
        <f>VLOOKUP($A7,historia!$A$5:$CM$24,+HLOOKUP(AU$2,historia!$A$3:$EC$4,2,FALSE),FALSE)</f>
        <v>4</v>
      </c>
      <c r="AV7" s="58">
        <f>VLOOKUP($A7,historia!$A$5:$CM$24,+HLOOKUP(AV$2,historia!$A$3:$EC$4,2,FALSE),FALSE)</f>
        <v>4</v>
      </c>
      <c r="AW7" s="58">
        <f>VLOOKUP($A7,historia!$A$5:$CM$24,+HLOOKUP(AW$2,historia!$A$3:$EC$4,2,FALSE),FALSE)</f>
        <v>4</v>
      </c>
      <c r="AX7" s="58">
        <f>VLOOKUP($A7,historia!$A$5:$CM$24,+HLOOKUP(AX$2,historia!$A$3:$EC$4,2,FALSE),FALSE)</f>
        <v>4</v>
      </c>
      <c r="AY7" s="58">
        <f>VLOOKUP($A7,historia!$A$5:$CN$24,+HLOOKUP(AY$2,historia!$A$3:$EC$4,2,FALSE),FALSE)</f>
        <v>4</v>
      </c>
      <c r="AZ7" s="58">
        <f>VLOOKUP($A7,historia!$A$5:$DG$24,+HLOOKUP(AZ$2,historia!$A$3:$EC$4,2,FALSE),FALSE)</f>
        <v>4</v>
      </c>
      <c r="BA7" s="58">
        <f>VLOOKUP($A7,historia!$A$5:$DG$24,+HLOOKUP(BA$2,historia!$A$3:$EC$4,2,FALSE),FALSE)</f>
        <v>4</v>
      </c>
      <c r="BB7" s="58"/>
      <c r="BC7" s="286">
        <v>4</v>
      </c>
      <c r="BD7" t="str">
        <f t="shared" si="20"/>
        <v>Arroz</v>
      </c>
      <c r="BE7">
        <f>+datos!R1</f>
        <v>18</v>
      </c>
      <c r="BF7" s="2" t="str">
        <f t="shared" si="4"/>
        <v>$/t</v>
      </c>
      <c r="BG7" s="2">
        <f t="shared" si="4"/>
        <v>225500</v>
      </c>
      <c r="BH7" s="2">
        <f t="shared" si="4"/>
        <v>225000</v>
      </c>
      <c r="BI7" s="2">
        <f t="shared" si="4"/>
        <v>380000</v>
      </c>
      <c r="BK7">
        <f>+datos!BZ1</f>
        <v>78</v>
      </c>
      <c r="BL7" s="2">
        <f t="shared" si="21"/>
        <v>11625.447521355494</v>
      </c>
      <c r="BM7" s="2">
        <f t="shared" si="21"/>
        <v>11515.235473010544</v>
      </c>
      <c r="BN7" s="2">
        <f t="shared" si="21"/>
        <v>8641.1762142335101</v>
      </c>
      <c r="BP7" s="1">
        <f>+datos!DM1</f>
        <v>117</v>
      </c>
      <c r="BQ7" s="1">
        <f t="shared" si="22"/>
        <v>200000</v>
      </c>
      <c r="BR7" s="1">
        <f t="shared" si="22"/>
        <v>220000</v>
      </c>
      <c r="BT7" s="1">
        <f>+datos!FH1</f>
        <v>164</v>
      </c>
      <c r="BU7" s="1">
        <f t="shared" si="23"/>
        <v>1600000</v>
      </c>
      <c r="BV7" s="1">
        <f t="shared" si="23"/>
        <v>1300000</v>
      </c>
      <c r="BX7" s="1">
        <f>+datos!JG1</f>
        <v>267</v>
      </c>
      <c r="BY7" s="1">
        <f t="shared" ref="BY7:BY24" si="39">+SUM(CJ7:CU7)</f>
        <v>412.87276154999995</v>
      </c>
      <c r="BZ7" s="1">
        <f t="shared" ref="BZ7:BZ24" si="40">+SUM(CV7:DG7)</f>
        <v>285.32592317000001</v>
      </c>
      <c r="CB7" s="1">
        <f>+datos!KL1</f>
        <v>298</v>
      </c>
      <c r="CC7" s="2">
        <f t="shared" si="24"/>
        <v>4.3434625699999998</v>
      </c>
      <c r="CD7" s="2">
        <f t="shared" si="25"/>
        <v>3.7684896500000007</v>
      </c>
      <c r="CF7" s="1">
        <f>+datos!HU1</f>
        <v>229</v>
      </c>
      <c r="CG7" s="1">
        <f t="shared" si="26"/>
        <v>990000</v>
      </c>
      <c r="CH7" s="1">
        <f t="shared" si="27"/>
        <v>700000</v>
      </c>
      <c r="CJ7" s="1">
        <f t="shared" si="28"/>
        <v>36.299912110000001</v>
      </c>
      <c r="CK7" s="1">
        <f t="shared" si="28"/>
        <v>15.634826659999996</v>
      </c>
      <c r="CL7" s="1">
        <f t="shared" si="28"/>
        <v>54.436744560000001</v>
      </c>
      <c r="CM7" s="1">
        <f t="shared" si="28"/>
        <v>16.08135906</v>
      </c>
      <c r="CN7" s="1">
        <f t="shared" si="28"/>
        <v>31.537173230000004</v>
      </c>
      <c r="CO7" s="1">
        <f t="shared" si="28"/>
        <v>39.974175860000003</v>
      </c>
      <c r="CP7" s="1">
        <f t="shared" si="28"/>
        <v>35.910188569999995</v>
      </c>
      <c r="CQ7" s="1">
        <f t="shared" si="28"/>
        <v>30.652184479999995</v>
      </c>
      <c r="CR7" s="1">
        <f t="shared" si="28"/>
        <v>94.896967090000004</v>
      </c>
      <c r="CS7" s="1">
        <f t="shared" si="28"/>
        <v>22.007364089999996</v>
      </c>
      <c r="CT7" s="1">
        <f t="shared" si="28"/>
        <v>13.652213600000001</v>
      </c>
      <c r="CU7" s="1">
        <f t="shared" si="28"/>
        <v>21.789652239999999</v>
      </c>
      <c r="CV7" s="1">
        <f t="shared" si="28"/>
        <v>22.506187060000002</v>
      </c>
      <c r="CW7" s="1">
        <f t="shared" si="28"/>
        <v>26.198510359999997</v>
      </c>
      <c r="CX7" s="1">
        <f t="shared" si="28"/>
        <v>16.658344929999998</v>
      </c>
      <c r="CY7" s="1">
        <f t="shared" si="28"/>
        <v>38.799980059999996</v>
      </c>
      <c r="CZ7" s="1">
        <f t="shared" si="29"/>
        <v>35.598317799999997</v>
      </c>
      <c r="DA7" s="1">
        <f t="shared" si="29"/>
        <v>32.785113670000001</v>
      </c>
      <c r="DB7" s="1">
        <f t="shared" si="29"/>
        <v>22.35722878</v>
      </c>
      <c r="DC7" s="1">
        <f t="shared" si="29"/>
        <v>34.376458229999997</v>
      </c>
      <c r="DD7" s="1">
        <f t="shared" si="29"/>
        <v>13.355622539999999</v>
      </c>
      <c r="DE7" s="1">
        <f t="shared" si="29"/>
        <v>10.68224592</v>
      </c>
      <c r="DF7" s="1">
        <f t="shared" si="29"/>
        <v>15.82785018</v>
      </c>
      <c r="DG7" s="1">
        <f t="shared" si="29"/>
        <v>16.180063639999997</v>
      </c>
      <c r="DI7" s="1">
        <f t="shared" si="30"/>
        <v>0.17706282000000001</v>
      </c>
      <c r="DJ7" s="1">
        <f t="shared" si="30"/>
        <v>0.30085145999999996</v>
      </c>
      <c r="DK7" s="1">
        <f t="shared" si="30"/>
        <v>0.26679149000000002</v>
      </c>
      <c r="DL7" s="1">
        <f t="shared" si="30"/>
        <v>0.13893236</v>
      </c>
      <c r="DM7" s="1">
        <f t="shared" si="30"/>
        <v>0.4195122</v>
      </c>
      <c r="DN7" s="1">
        <f t="shared" si="30"/>
        <v>0.20050375000000001</v>
      </c>
      <c r="DO7" s="1">
        <f t="shared" si="30"/>
        <v>0.34624290000000002</v>
      </c>
      <c r="DP7" s="1">
        <f t="shared" si="30"/>
        <v>0.15613090000000002</v>
      </c>
      <c r="DQ7" s="1">
        <f t="shared" si="30"/>
        <v>0.47281664000000007</v>
      </c>
      <c r="DR7" s="1">
        <f t="shared" si="30"/>
        <v>0.84812041999999999</v>
      </c>
      <c r="DS7" s="1">
        <f t="shared" si="30"/>
        <v>0.25440681999999998</v>
      </c>
      <c r="DT7" s="1">
        <f t="shared" si="30"/>
        <v>0.7620908099999999</v>
      </c>
      <c r="DU7" s="1">
        <f t="shared" si="30"/>
        <v>0.50490091999999998</v>
      </c>
      <c r="DV7" s="1">
        <f t="shared" si="30"/>
        <v>0.40961613000000002</v>
      </c>
      <c r="DW7" s="1">
        <f t="shared" si="30"/>
        <v>0.23587240000000001</v>
      </c>
      <c r="DX7" s="1">
        <f t="shared" si="30"/>
        <v>0.18557204999999999</v>
      </c>
      <c r="DY7" s="1">
        <f t="shared" si="31"/>
        <v>0.48301414000000004</v>
      </c>
      <c r="DZ7" s="1">
        <f t="shared" si="31"/>
        <v>0.23845672000000001</v>
      </c>
      <c r="EA7" s="1">
        <f t="shared" si="31"/>
        <v>0.50080292000000004</v>
      </c>
      <c r="EB7" s="1">
        <f t="shared" si="31"/>
        <v>8.6091799999999996E-2</v>
      </c>
      <c r="EC7" s="1">
        <f t="shared" si="31"/>
        <v>0.22536</v>
      </c>
      <c r="ED7" s="1">
        <f t="shared" si="31"/>
        <v>0.8256</v>
      </c>
      <c r="EE7" s="1">
        <f t="shared" si="31"/>
        <v>3.973985E-2</v>
      </c>
      <c r="EF7" s="1">
        <f t="shared" si="31"/>
        <v>3.3462720000000001E-2</v>
      </c>
      <c r="EH7" s="14">
        <f t="shared" si="32"/>
        <v>990000</v>
      </c>
      <c r="EI7" s="14">
        <f t="shared" si="32"/>
        <v>990000</v>
      </c>
      <c r="EJ7" s="1">
        <f t="shared" si="32"/>
        <v>990000</v>
      </c>
      <c r="EK7" s="1">
        <f t="shared" si="32"/>
        <v>990000</v>
      </c>
      <c r="EL7" s="1">
        <f t="shared" si="32"/>
        <v>990000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3"/>
        <v>700000</v>
      </c>
      <c r="EY7" s="1">
        <f t="shared" si="33"/>
        <v>700000</v>
      </c>
      <c r="EZ7" s="1">
        <f t="shared" si="33"/>
        <v>700000</v>
      </c>
      <c r="FA7" s="1">
        <f t="shared" si="33"/>
        <v>700000</v>
      </c>
      <c r="FB7" s="1">
        <f t="shared" si="33"/>
        <v>700000</v>
      </c>
      <c r="FC7" s="1">
        <f t="shared" si="33"/>
        <v>700000</v>
      </c>
      <c r="FD7" s="1">
        <f t="shared" si="33"/>
        <v>700000</v>
      </c>
      <c r="FE7" s="1">
        <f t="shared" si="33"/>
        <v>700000</v>
      </c>
      <c r="FG7" s="162">
        <f t="shared" si="34"/>
        <v>-0.75193370384316738</v>
      </c>
    </row>
    <row r="8" spans="1:163" ht="18.75" customHeight="1">
      <c r="A8" s="243" t="s">
        <v>215</v>
      </c>
      <c r="B8" s="246"/>
      <c r="C8" s="156">
        <f t="shared" si="5"/>
        <v>-0.33</v>
      </c>
      <c r="D8" s="198">
        <v>0</v>
      </c>
      <c r="E8" s="248">
        <f t="shared" si="6"/>
        <v>1.9447688866799151E-2</v>
      </c>
      <c r="F8" s="249">
        <f t="shared" si="7"/>
        <v>-3.9717421571203726E-3</v>
      </c>
      <c r="G8" s="248">
        <f t="shared" si="8"/>
        <v>2.5871396869215246E-2</v>
      </c>
      <c r="H8" s="249">
        <f t="shared" si="9"/>
        <v>-6.4237080024160953E-3</v>
      </c>
      <c r="I8" s="248">
        <f t="shared" si="10"/>
        <v>0.19689023554091523</v>
      </c>
      <c r="J8" s="249">
        <f t="shared" si="11"/>
        <v>-0.11618910544896721</v>
      </c>
      <c r="K8" s="248">
        <f t="shared" si="12"/>
        <v>0.37796161229138292</v>
      </c>
      <c r="L8" s="249">
        <f t="shared" si="13"/>
        <v>-0.18107137675046769</v>
      </c>
      <c r="M8" s="250"/>
      <c r="N8" s="24">
        <v>0</v>
      </c>
      <c r="O8" s="248">
        <f t="shared" si="35"/>
        <v>4.1070248843867008E-2</v>
      </c>
      <c r="P8" s="251">
        <f t="shared" si="36"/>
        <v>4.1070248843867008E-2</v>
      </c>
      <c r="Q8" s="248">
        <f t="shared" si="14"/>
        <v>1.644275574744114E-2</v>
      </c>
      <c r="R8" s="251">
        <f t="shared" si="37"/>
        <v>1.644275574744114E-2</v>
      </c>
      <c r="S8" s="250"/>
      <c r="T8" s="24">
        <v>-1</v>
      </c>
      <c r="U8" s="248">
        <f t="shared" si="15"/>
        <v>-0.72335038761275894</v>
      </c>
      <c r="V8" s="252">
        <f t="shared" si="16"/>
        <v>-0.72335038761275894</v>
      </c>
      <c r="W8" s="248">
        <f t="shared" si="38"/>
        <v>9.9391382652185056E-2</v>
      </c>
      <c r="X8" s="252">
        <f t="shared" si="17"/>
        <v>9.9391382652185056E-2</v>
      </c>
      <c r="Y8" s="248">
        <f t="shared" si="18"/>
        <v>4.6354635463546456E-2</v>
      </c>
      <c r="Z8" s="252">
        <f t="shared" si="19"/>
        <v>4.6354635463546456E-2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2</v>
      </c>
      <c r="AX8" s="58">
        <f>VLOOKUP($A8,historia!$A$5:$CM$24,+HLOOKUP(AX$2,historia!$A$3:$EC$4,2,FALSE),FALSE)</f>
        <v>2</v>
      </c>
      <c r="AY8" s="58">
        <f>VLOOKUP($A8,historia!$A$5:$CN$24,+HLOOKUP(AY$2,historia!$A$3:$EC$4,2,FALSE),FALSE)</f>
        <v>2</v>
      </c>
      <c r="AZ8" s="58">
        <f>VLOOKUP($A8,historia!$A$5:$DG$24,+HLOOKUP(AZ$2,historia!$A$3:$EC$4,2,FALSE),FALSE)</f>
        <v>2</v>
      </c>
      <c r="BA8" s="58">
        <f>VLOOKUP($A8,historia!$A$5:$DG$24,+HLOOKUP(BA$2,historia!$A$3:$EC$4,2,FALSE),FALSE)</f>
        <v>2</v>
      </c>
      <c r="BB8" s="58"/>
      <c r="BC8" s="286">
        <v>2</v>
      </c>
      <c r="BD8" t="str">
        <f t="shared" si="20"/>
        <v>Aves</v>
      </c>
      <c r="BE8">
        <f>+datos!BQ1</f>
        <v>69</v>
      </c>
      <c r="BF8" s="2" t="str">
        <f t="shared" si="4"/>
        <v>prom pond huevo-carne</v>
      </c>
      <c r="BG8" s="2">
        <f t="shared" si="4"/>
        <v>2051.1287499999999</v>
      </c>
      <c r="BH8" s="2">
        <f t="shared" si="4"/>
        <v>2012</v>
      </c>
      <c r="BI8" s="2">
        <f t="shared" si="4"/>
        <v>1713.7150000000001</v>
      </c>
      <c r="BK8">
        <f>+datos!DG1</f>
        <v>111</v>
      </c>
      <c r="BL8" s="2">
        <f t="shared" si="21"/>
        <v>11738.355615573888</v>
      </c>
      <c r="BM8" s="2">
        <f t="shared" si="21"/>
        <v>11442.326641913744</v>
      </c>
      <c r="BN8" s="2">
        <f t="shared" si="21"/>
        <v>8518.6376099798799</v>
      </c>
      <c r="BP8" s="1">
        <f>+datos!EP1</f>
        <v>146</v>
      </c>
      <c r="BQ8" s="1">
        <f t="shared" si="22"/>
        <v>9455</v>
      </c>
      <c r="BR8" s="1">
        <f t="shared" si="22"/>
        <v>9082</v>
      </c>
      <c r="BT8" s="1">
        <f>+datos!HM1</f>
        <v>221</v>
      </c>
      <c r="BU8" s="1">
        <f t="shared" si="23"/>
        <v>2401441.9040000001</v>
      </c>
      <c r="BV8" s="1">
        <f t="shared" si="23"/>
        <v>2362594.3422992867</v>
      </c>
      <c r="BX8" s="1">
        <f>+datos!KF1</f>
        <v>292</v>
      </c>
      <c r="BY8" s="1">
        <f t="shared" si="39"/>
        <v>94.820323819999984</v>
      </c>
      <c r="BZ8" s="1">
        <f t="shared" si="40"/>
        <v>342.74518949000003</v>
      </c>
      <c r="CB8" s="1">
        <f>+datos!LK1</f>
        <v>323</v>
      </c>
      <c r="CC8" s="2">
        <f t="shared" si="24"/>
        <v>40.920733320000004</v>
      </c>
      <c r="CD8" s="2">
        <f t="shared" si="25"/>
        <v>37.221260749999999</v>
      </c>
      <c r="CF8" s="1">
        <f>+datos!IL1</f>
        <v>246</v>
      </c>
      <c r="CG8" s="2">
        <f t="shared" si="26"/>
        <v>46.5</v>
      </c>
      <c r="CH8" s="2">
        <f t="shared" si="27"/>
        <v>44.44</v>
      </c>
      <c r="CJ8" s="1">
        <f t="shared" si="28"/>
        <v>8.6585168299999999</v>
      </c>
      <c r="CK8" s="1">
        <f t="shared" si="28"/>
        <v>9.7942580100000001</v>
      </c>
      <c r="CL8" s="1">
        <f t="shared" si="28"/>
        <v>6.5346210099999995</v>
      </c>
      <c r="CM8" s="1">
        <f t="shared" si="28"/>
        <v>6.7443728600000004</v>
      </c>
      <c r="CN8" s="1">
        <f t="shared" si="28"/>
        <v>8.66231011</v>
      </c>
      <c r="CO8" s="1">
        <f t="shared" si="28"/>
        <v>7.3007548499999997</v>
      </c>
      <c r="CP8" s="1">
        <f t="shared" si="28"/>
        <v>9.0051498100000007</v>
      </c>
      <c r="CQ8" s="1">
        <f t="shared" si="28"/>
        <v>5.9149876199999998</v>
      </c>
      <c r="CR8" s="1">
        <f t="shared" si="28"/>
        <v>8.0094020700000002</v>
      </c>
      <c r="CS8" s="1">
        <f t="shared" si="28"/>
        <v>5.62476749</v>
      </c>
      <c r="CT8" s="1">
        <f t="shared" si="28"/>
        <v>10.456415849999999</v>
      </c>
      <c r="CU8" s="1">
        <f t="shared" si="28"/>
        <v>8.1147673099999995</v>
      </c>
      <c r="CV8" s="1">
        <f t="shared" si="28"/>
        <v>20.968439010000004</v>
      </c>
      <c r="CW8" s="1">
        <f t="shared" si="28"/>
        <v>22.566015059999998</v>
      </c>
      <c r="CX8" s="1">
        <f t="shared" si="28"/>
        <v>20.944876220000001</v>
      </c>
      <c r="CY8" s="1">
        <f t="shared" si="28"/>
        <v>23.157032140000002</v>
      </c>
      <c r="CZ8" s="1">
        <f t="shared" si="29"/>
        <v>19.314763240000005</v>
      </c>
      <c r="DA8" s="1">
        <f t="shared" si="29"/>
        <v>22.778743510000002</v>
      </c>
      <c r="DB8" s="1">
        <f t="shared" si="29"/>
        <v>39.062197300000001</v>
      </c>
      <c r="DC8" s="1">
        <f t="shared" si="29"/>
        <v>40.013868680000002</v>
      </c>
      <c r="DD8" s="1">
        <f t="shared" si="29"/>
        <v>35.607742460000011</v>
      </c>
      <c r="DE8" s="1">
        <f t="shared" si="29"/>
        <v>32.51792974</v>
      </c>
      <c r="DF8" s="1">
        <f t="shared" si="29"/>
        <v>35.210116300000003</v>
      </c>
      <c r="DG8" s="1">
        <f t="shared" si="29"/>
        <v>30.603465830000005</v>
      </c>
      <c r="DI8" s="1">
        <f t="shared" si="30"/>
        <v>2.9900732700000003</v>
      </c>
      <c r="DJ8" s="1">
        <f t="shared" si="30"/>
        <v>5.5193633599999998</v>
      </c>
      <c r="DK8" s="1">
        <f t="shared" si="30"/>
        <v>3.4351580800000003</v>
      </c>
      <c r="DL8" s="1">
        <f t="shared" si="30"/>
        <v>2.0550383299999999</v>
      </c>
      <c r="DM8" s="1">
        <f t="shared" si="30"/>
        <v>3.4373023600000003</v>
      </c>
      <c r="DN8" s="1">
        <f t="shared" si="30"/>
        <v>5.2475744900000008</v>
      </c>
      <c r="DO8" s="1">
        <f t="shared" si="30"/>
        <v>3.52939004</v>
      </c>
      <c r="DP8" s="1">
        <f t="shared" si="30"/>
        <v>1.41927303</v>
      </c>
      <c r="DQ8" s="1">
        <f t="shared" si="30"/>
        <v>4.5240591299999995</v>
      </c>
      <c r="DR8" s="1">
        <f t="shared" si="30"/>
        <v>2.5037689800000003</v>
      </c>
      <c r="DS8" s="1">
        <f t="shared" si="30"/>
        <v>2.5011971499999999</v>
      </c>
      <c r="DT8" s="1">
        <f t="shared" si="30"/>
        <v>3.7585351000000005</v>
      </c>
      <c r="DU8" s="1">
        <f t="shared" si="30"/>
        <v>4.0425458900000004</v>
      </c>
      <c r="DV8" s="1">
        <f t="shared" si="30"/>
        <v>3.59052696</v>
      </c>
      <c r="DW8" s="1">
        <f t="shared" si="30"/>
        <v>2.1766254799999998</v>
      </c>
      <c r="DX8" s="1">
        <f t="shared" si="30"/>
        <v>1.5903026900000001</v>
      </c>
      <c r="DY8" s="1">
        <f t="shared" si="31"/>
        <v>5.6916922899999998</v>
      </c>
      <c r="DZ8" s="1">
        <f t="shared" si="31"/>
        <v>1.7294530099999998</v>
      </c>
      <c r="EA8" s="1">
        <f t="shared" si="31"/>
        <v>4.2232492399999995</v>
      </c>
      <c r="EB8" s="1">
        <f t="shared" si="31"/>
        <v>1.27466579</v>
      </c>
      <c r="EC8" s="1">
        <f t="shared" si="31"/>
        <v>1.8857013599999999</v>
      </c>
      <c r="ED8" s="1">
        <f t="shared" si="31"/>
        <v>4.07849503</v>
      </c>
      <c r="EE8" s="1">
        <f t="shared" si="31"/>
        <v>2.60999925</v>
      </c>
      <c r="EF8" s="1">
        <f t="shared" si="31"/>
        <v>4.3280037599999996</v>
      </c>
      <c r="EH8" s="14">
        <f t="shared" si="32"/>
        <v>46.5</v>
      </c>
      <c r="EI8" s="14">
        <f t="shared" si="32"/>
        <v>46.08</v>
      </c>
      <c r="EJ8" s="1">
        <f t="shared" si="32"/>
        <v>45.67</v>
      </c>
      <c r="EK8" s="1">
        <f t="shared" si="32"/>
        <v>45.79</v>
      </c>
      <c r="EL8" s="1">
        <f t="shared" si="32"/>
        <v>45.9</v>
      </c>
      <c r="EM8" s="1">
        <f t="shared" si="32"/>
        <v>45.78</v>
      </c>
      <c r="EN8" s="1">
        <f t="shared" si="32"/>
        <v>45.91</v>
      </c>
      <c r="EO8" s="1">
        <f t="shared" si="32"/>
        <v>45.61</v>
      </c>
      <c r="EP8" s="1">
        <f t="shared" si="32"/>
        <v>45.61</v>
      </c>
      <c r="EQ8" s="1">
        <f t="shared" si="32"/>
        <v>45.23</v>
      </c>
      <c r="ER8" s="1">
        <f t="shared" si="32"/>
        <v>45.2</v>
      </c>
      <c r="ES8" s="1">
        <f t="shared" si="32"/>
        <v>46.01</v>
      </c>
      <c r="ET8" s="1">
        <f t="shared" si="32"/>
        <v>44.44</v>
      </c>
      <c r="EU8" s="1">
        <f t="shared" si="32"/>
        <v>42.29</v>
      </c>
      <c r="EV8" s="1">
        <f t="shared" si="32"/>
        <v>45.39</v>
      </c>
      <c r="EW8" s="1">
        <f t="shared" si="32"/>
        <v>45.32</v>
      </c>
      <c r="EX8" s="1">
        <f t="shared" si="33"/>
        <v>44.85</v>
      </c>
      <c r="EY8" s="1">
        <f t="shared" si="33"/>
        <v>45.52</v>
      </c>
      <c r="EZ8" s="1">
        <f t="shared" si="33"/>
        <v>46.23</v>
      </c>
      <c r="FA8" s="1">
        <f t="shared" si="33"/>
        <v>46.23</v>
      </c>
      <c r="FB8" s="1">
        <f t="shared" si="33"/>
        <v>46.23</v>
      </c>
      <c r="FC8" s="1">
        <f t="shared" si="33"/>
        <v>48.52</v>
      </c>
      <c r="FD8" s="1">
        <f t="shared" si="33"/>
        <v>45.85</v>
      </c>
      <c r="FE8" s="1">
        <f t="shared" si="33"/>
        <v>46.03</v>
      </c>
      <c r="FG8" s="162">
        <f t="shared" si="34"/>
        <v>-0.18107137675046769</v>
      </c>
    </row>
    <row r="9" spans="1:163" ht="18.75" customHeight="1">
      <c r="A9" s="244" t="s">
        <v>77</v>
      </c>
      <c r="B9" s="247"/>
      <c r="C9" s="228">
        <v>0</v>
      </c>
      <c r="D9" s="229">
        <v>1</v>
      </c>
      <c r="E9" s="253">
        <f t="shared" si="6"/>
        <v>6.9730150258270562E-2</v>
      </c>
      <c r="F9" s="254">
        <f t="shared" si="7"/>
        <v>4.6310719234351039E-2</v>
      </c>
      <c r="G9" s="253">
        <f t="shared" si="8"/>
        <v>1.9607442665176666E-2</v>
      </c>
      <c r="H9" s="254">
        <f t="shared" si="9"/>
        <v>5.0122707593093896E-2</v>
      </c>
      <c r="I9" s="253">
        <f t="shared" si="10"/>
        <v>0.69855618419462218</v>
      </c>
      <c r="J9" s="254">
        <f t="shared" si="11"/>
        <v>0.38547684320473974</v>
      </c>
      <c r="K9" s="253">
        <f t="shared" si="12"/>
        <v>0.44715714319728628</v>
      </c>
      <c r="L9" s="254">
        <f t="shared" si="13"/>
        <v>0.2513990409973359</v>
      </c>
      <c r="M9" s="255"/>
      <c r="N9" s="256">
        <v>-1</v>
      </c>
      <c r="O9" s="253">
        <f t="shared" si="35"/>
        <v>-2.1957134195409456E-2</v>
      </c>
      <c r="P9" s="257">
        <f t="shared" si="36"/>
        <v>-2.1957134195409456E-2</v>
      </c>
      <c r="Q9" s="253">
        <f t="shared" si="14"/>
        <v>3.3025291890527164E-3</v>
      </c>
      <c r="R9" s="257">
        <f t="shared" si="37"/>
        <v>3.3025291890527164E-3</v>
      </c>
      <c r="S9" s="255"/>
      <c r="T9" s="256">
        <v>0</v>
      </c>
      <c r="U9" s="253">
        <f t="shared" si="15"/>
        <v>0.20346211855584251</v>
      </c>
      <c r="V9" s="258">
        <f t="shared" si="16"/>
        <v>0.20346211855584251</v>
      </c>
      <c r="W9" s="253">
        <f t="shared" si="38"/>
        <v>1.7145749298204693</v>
      </c>
      <c r="X9" s="258">
        <f t="shared" si="17"/>
        <v>1.7145749298204693</v>
      </c>
      <c r="Y9" s="253">
        <f t="shared" si="18"/>
        <v>3.8123167155425186E-2</v>
      </c>
      <c r="Z9" s="258">
        <f t="shared" si="19"/>
        <v>3.8123167155425186E-2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3</v>
      </c>
      <c r="AQ9" s="28">
        <f>VLOOKUP($A9,historia!$A$5:$CM$24,+HLOOKUP(AQ$2,historia!$A$3:$EC$4,2,FALSE),FALSE)</f>
        <v>3</v>
      </c>
      <c r="AR9" s="28">
        <f>VLOOKUP($A9,historia!$A$5:$CM$24,+HLOOKUP(AR$2,historia!$A$3:$EC$4,2,FALSE),FALSE)</f>
        <v>3</v>
      </c>
      <c r="AS9" s="28">
        <f>VLOOKUP($A9,historia!$A$5:$CM$24,+HLOOKUP(AS$2,historia!$A$3:$EC$4,2,FALSE),FALSE)</f>
        <v>3</v>
      </c>
      <c r="AT9" s="58">
        <f>VLOOKUP($A9,historia!$A$5:$CM$24,+HLOOKUP(AT$2,historia!$A$3:$EC$4,2,FALSE),FALSE)</f>
        <v>2</v>
      </c>
      <c r="AU9" s="58">
        <f>VLOOKUP($A9,historia!$A$5:$CM$24,+HLOOKUP(AU$2,historia!$A$3:$EC$4,2,FALSE),FALSE)</f>
        <v>2</v>
      </c>
      <c r="AV9" s="58">
        <f>VLOOKUP($A9,historia!$A$5:$CM$24,+HLOOKUP(AV$2,historia!$A$3:$EC$4,2,FALSE),FALSE)</f>
        <v>2</v>
      </c>
      <c r="AW9" s="58">
        <f>VLOOKUP($A9,historia!$A$5:$CM$24,+HLOOKUP(AW$2,historia!$A$3:$EC$4,2,FALSE),FALSE)</f>
        <v>2</v>
      </c>
      <c r="AX9" s="58">
        <f>VLOOKUP($A9,historia!$A$5:$CM$24,+HLOOKUP(AX$2,historia!$A$3:$EC$4,2,FALSE),FALSE)</f>
        <v>2</v>
      </c>
      <c r="AY9" s="58">
        <f>VLOOKUP($A9,historia!$A$5:$CN$24,+HLOOKUP(AY$2,historia!$A$3:$EC$4,2,FALSE),FALSE)</f>
        <v>1</v>
      </c>
      <c r="AZ9" s="58">
        <f>VLOOKUP($A9,historia!$A$5:$DG$24,+HLOOKUP(AZ$2,historia!$A$3:$EC$4,2,FALSE),FALSE)</f>
        <v>1</v>
      </c>
      <c r="BA9" s="58">
        <f>VLOOKUP($A9,historia!$A$5:$DG$24,+HLOOKUP(BA$2,historia!$A$3:$EC$4,2,FALSE),FALSE)</f>
        <v>2</v>
      </c>
      <c r="BB9" s="58"/>
      <c r="BC9" s="286">
        <v>2</v>
      </c>
      <c r="BD9" t="str">
        <f t="shared" si="20"/>
        <v>Bovinos</v>
      </c>
      <c r="BE9">
        <f>+datos!BM1</f>
        <v>65</v>
      </c>
      <c r="BF9" s="2" t="str">
        <f t="shared" si="4"/>
        <v>$/kg</v>
      </c>
      <c r="BG9" s="2">
        <f t="shared" si="4"/>
        <v>3941.7060000000001</v>
      </c>
      <c r="BH9" s="2">
        <f t="shared" si="4"/>
        <v>3684.7666666666664</v>
      </c>
      <c r="BI9" s="2">
        <f t="shared" si="4"/>
        <v>2320.6214999999997</v>
      </c>
      <c r="BK9">
        <f>+datos!DB1</f>
        <v>106</v>
      </c>
      <c r="BL9" s="2">
        <f t="shared" si="21"/>
        <v>12493.026543355083</v>
      </c>
      <c r="BM9" s="2">
        <f t="shared" si="21"/>
        <v>12252.78084543916</v>
      </c>
      <c r="BN9" s="2">
        <f t="shared" si="21"/>
        <v>8632.8057751582746</v>
      </c>
      <c r="BP9" s="1">
        <f>+datos!EH1</f>
        <v>138</v>
      </c>
      <c r="BQ9" s="1">
        <f t="shared" si="22"/>
        <v>51624909</v>
      </c>
      <c r="BR9" s="1">
        <f t="shared" si="22"/>
        <v>52783892</v>
      </c>
      <c r="BT9" s="1">
        <f>+datos!HB1</f>
        <v>210</v>
      </c>
      <c r="BU9" s="1">
        <f t="shared" si="23"/>
        <v>3161932</v>
      </c>
      <c r="BV9" s="1">
        <f t="shared" si="23"/>
        <v>3151524</v>
      </c>
      <c r="BX9" s="1">
        <f>+datos!KG1</f>
        <v>293</v>
      </c>
      <c r="BY9" s="1">
        <f t="shared" si="39"/>
        <v>4869.649582179999</v>
      </c>
      <c r="BZ9" s="1">
        <f t="shared" si="40"/>
        <v>4046.3671494899986</v>
      </c>
      <c r="CB9" s="1">
        <f>+datos!LL1</f>
        <v>324</v>
      </c>
      <c r="CC9" s="2">
        <f t="shared" si="24"/>
        <v>96.175908420000013</v>
      </c>
      <c r="CD9" s="2">
        <f t="shared" si="25"/>
        <v>35.429454299999996</v>
      </c>
      <c r="CF9" s="1">
        <f>+datos!IM1</f>
        <v>247</v>
      </c>
      <c r="CG9" s="2">
        <f t="shared" si="26"/>
        <v>49.56</v>
      </c>
      <c r="CH9" s="2">
        <f t="shared" si="27"/>
        <v>47.74</v>
      </c>
      <c r="CJ9" s="1">
        <f t="shared" si="28"/>
        <v>535.90919134000001</v>
      </c>
      <c r="CK9" s="1">
        <f t="shared" si="28"/>
        <v>536.17235368000001</v>
      </c>
      <c r="CL9" s="1">
        <f t="shared" si="28"/>
        <v>505.86158855000002</v>
      </c>
      <c r="CM9" s="1">
        <f t="shared" si="28"/>
        <v>434.66638176999993</v>
      </c>
      <c r="CN9" s="1">
        <f t="shared" si="28"/>
        <v>430.01977605999991</v>
      </c>
      <c r="CO9" s="1">
        <f t="shared" si="28"/>
        <v>389.02912699999996</v>
      </c>
      <c r="CP9" s="1">
        <f t="shared" si="28"/>
        <v>350.95842742999997</v>
      </c>
      <c r="CQ9" s="1">
        <f t="shared" si="28"/>
        <v>275.41226476999998</v>
      </c>
      <c r="CR9" s="1">
        <f t="shared" si="28"/>
        <v>345.87150417999976</v>
      </c>
      <c r="CS9" s="1">
        <f t="shared" si="28"/>
        <v>330.34833823999992</v>
      </c>
      <c r="CT9" s="1">
        <f t="shared" si="28"/>
        <v>372.02787432000008</v>
      </c>
      <c r="CU9" s="1">
        <f t="shared" si="28"/>
        <v>363.37275483999991</v>
      </c>
      <c r="CV9" s="1">
        <f t="shared" si="28"/>
        <v>373.60267999999996</v>
      </c>
      <c r="CW9" s="1">
        <f t="shared" si="28"/>
        <v>392.24577093999977</v>
      </c>
      <c r="CX9" s="1">
        <f t="shared" si="28"/>
        <v>370.00520762000008</v>
      </c>
      <c r="CY9" s="1">
        <f t="shared" si="28"/>
        <v>307.7105307999999</v>
      </c>
      <c r="CZ9" s="1">
        <f t="shared" si="29"/>
        <v>311.98041742999999</v>
      </c>
      <c r="DA9" s="1">
        <f t="shared" si="29"/>
        <v>309.32423856999998</v>
      </c>
      <c r="DB9" s="1">
        <f t="shared" si="29"/>
        <v>316.28118749999999</v>
      </c>
      <c r="DC9" s="1">
        <f t="shared" si="29"/>
        <v>350.14414257999977</v>
      </c>
      <c r="DD9" s="1">
        <f t="shared" si="29"/>
        <v>342.85888695999995</v>
      </c>
      <c r="DE9" s="1">
        <f t="shared" si="29"/>
        <v>324.84866957999998</v>
      </c>
      <c r="DF9" s="1">
        <f t="shared" si="29"/>
        <v>325.97502911999987</v>
      </c>
      <c r="DG9" s="1">
        <f t="shared" si="29"/>
        <v>321.39038838999994</v>
      </c>
      <c r="DI9" s="1">
        <f t="shared" si="30"/>
        <v>5.7331222099999994</v>
      </c>
      <c r="DJ9" s="1">
        <f t="shared" si="30"/>
        <v>13.331294830000001</v>
      </c>
      <c r="DK9" s="1">
        <f t="shared" si="30"/>
        <v>9.6599299699999985</v>
      </c>
      <c r="DL9" s="1">
        <f t="shared" si="30"/>
        <v>6.816705279999999</v>
      </c>
      <c r="DM9" s="1">
        <f t="shared" si="30"/>
        <v>8.1579769499999983</v>
      </c>
      <c r="DN9" s="1">
        <f t="shared" si="30"/>
        <v>10.16779666</v>
      </c>
      <c r="DO9" s="1">
        <f t="shared" si="30"/>
        <v>11.009236750000001</v>
      </c>
      <c r="DP9" s="1">
        <f t="shared" si="30"/>
        <v>8.7569028099999997</v>
      </c>
      <c r="DQ9" s="1">
        <f t="shared" si="30"/>
        <v>7.0677003599999999</v>
      </c>
      <c r="DR9" s="1">
        <f t="shared" si="30"/>
        <v>5.8644577399999989</v>
      </c>
      <c r="DS9" s="1">
        <f t="shared" si="30"/>
        <v>6.7460545699999992</v>
      </c>
      <c r="DT9" s="1">
        <f t="shared" si="30"/>
        <v>2.8647302900000002</v>
      </c>
      <c r="DU9" s="1">
        <f t="shared" si="30"/>
        <v>3.9160438699999998</v>
      </c>
      <c r="DV9" s="1">
        <f t="shared" si="30"/>
        <v>2.7432327000000001</v>
      </c>
      <c r="DW9" s="1">
        <f t="shared" si="30"/>
        <v>3.5031505699999994</v>
      </c>
      <c r="DX9" s="1">
        <f t="shared" si="30"/>
        <v>3.9954732900000005</v>
      </c>
      <c r="DY9" s="1">
        <f t="shared" si="31"/>
        <v>2.3751918999999999</v>
      </c>
      <c r="DZ9" s="1">
        <f t="shared" si="31"/>
        <v>3.3189943100000003</v>
      </c>
      <c r="EA9" s="1">
        <f t="shared" si="31"/>
        <v>3.6004889900000006</v>
      </c>
      <c r="EB9" s="1">
        <f t="shared" si="31"/>
        <v>2.2940615100000001</v>
      </c>
      <c r="EC9" s="1">
        <f t="shared" si="31"/>
        <v>1.2696953500000001</v>
      </c>
      <c r="ED9" s="1">
        <f t="shared" si="31"/>
        <v>1.4792882700000001</v>
      </c>
      <c r="EE9" s="1">
        <f t="shared" si="31"/>
        <v>3.3410357400000001</v>
      </c>
      <c r="EF9" s="1">
        <f t="shared" si="31"/>
        <v>3.5927978000000009</v>
      </c>
      <c r="EH9" s="14">
        <f t="shared" si="32"/>
        <v>49.56</v>
      </c>
      <c r="EI9" s="14">
        <f t="shared" si="32"/>
        <v>49.84</v>
      </c>
      <c r="EJ9" s="1">
        <f t="shared" si="32"/>
        <v>49.93</v>
      </c>
      <c r="EK9" s="1">
        <f t="shared" si="32"/>
        <v>50.15</v>
      </c>
      <c r="EL9" s="1">
        <f t="shared" si="32"/>
        <v>50.33</v>
      </c>
      <c r="EM9" s="1">
        <f t="shared" si="32"/>
        <v>49.79</v>
      </c>
      <c r="EN9" s="1">
        <f t="shared" si="32"/>
        <v>49.86</v>
      </c>
      <c r="EO9" s="1">
        <f t="shared" si="32"/>
        <v>49.86</v>
      </c>
      <c r="EP9" s="1">
        <f t="shared" si="32"/>
        <v>48.75</v>
      </c>
      <c r="EQ9" s="1">
        <f t="shared" si="32"/>
        <v>48.18</v>
      </c>
      <c r="ER9" s="1">
        <f t="shared" si="32"/>
        <v>47.81</v>
      </c>
      <c r="ES9" s="1">
        <f t="shared" si="32"/>
        <v>46.91</v>
      </c>
      <c r="ET9" s="1">
        <f t="shared" si="32"/>
        <v>47.74</v>
      </c>
      <c r="EU9" s="1">
        <f t="shared" si="32"/>
        <v>47.38</v>
      </c>
      <c r="EV9" s="1">
        <f t="shared" si="32"/>
        <v>47.74</v>
      </c>
      <c r="EW9" s="1">
        <f t="shared" si="32"/>
        <v>47.8</v>
      </c>
      <c r="EX9" s="1">
        <f t="shared" si="33"/>
        <v>47.58</v>
      </c>
      <c r="EY9" s="1">
        <f t="shared" si="33"/>
        <v>49.18</v>
      </c>
      <c r="EZ9" s="1">
        <f t="shared" si="33"/>
        <v>49.37</v>
      </c>
      <c r="FA9" s="1">
        <f t="shared" si="33"/>
        <v>49.38</v>
      </c>
      <c r="FB9" s="1">
        <f t="shared" si="33"/>
        <v>51.48</v>
      </c>
      <c r="FC9" s="1">
        <f t="shared" si="33"/>
        <v>52.06</v>
      </c>
      <c r="FD9" s="1">
        <f t="shared" si="33"/>
        <v>42.59</v>
      </c>
      <c r="FE9" s="1">
        <f t="shared" si="33"/>
        <v>51.3</v>
      </c>
      <c r="FG9" s="162">
        <f t="shared" si="34"/>
        <v>0.2513990409973359</v>
      </c>
    </row>
    <row r="10" spans="1:163" ht="28.8">
      <c r="A10" s="263" t="s">
        <v>221</v>
      </c>
      <c r="B10" s="246"/>
      <c r="C10" s="156">
        <f t="shared" si="5"/>
        <v>0</v>
      </c>
      <c r="D10" s="198">
        <v>-1</v>
      </c>
      <c r="E10" s="248">
        <f t="shared" si="6"/>
        <v>0.20269558486299544</v>
      </c>
      <c r="F10" s="249">
        <f t="shared" si="7"/>
        <v>0.17927615383907591</v>
      </c>
      <c r="G10" s="248">
        <f t="shared" si="8"/>
        <v>2.1703070746228237E-2</v>
      </c>
      <c r="H10" s="249">
        <f t="shared" si="9"/>
        <v>0.1809925141167672</v>
      </c>
      <c r="I10" s="248">
        <f t="shared" si="10"/>
        <v>0.37732967132571216</v>
      </c>
      <c r="J10" s="249">
        <f t="shared" si="11"/>
        <v>6.425033033582972E-2</v>
      </c>
      <c r="K10" s="248">
        <f t="shared" si="12"/>
        <v>0.38957532481820678</v>
      </c>
      <c r="L10" s="249">
        <f t="shared" si="13"/>
        <v>-1.2245653492494624E-2</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0.45639853496534721</v>
      </c>
      <c r="V10" s="252">
        <f t="shared" si="16"/>
        <v>0.45639853496534721</v>
      </c>
      <c r="W10" s="248">
        <f t="shared" si="38"/>
        <v>0.76715081226289827</v>
      </c>
      <c r="X10" s="252">
        <f t="shared" si="17"/>
        <v>0.76715081226289827</v>
      </c>
      <c r="Y10" s="248">
        <f t="shared" si="18"/>
        <v>-1.4951121334099926E-2</v>
      </c>
      <c r="Z10" s="258">
        <f t="shared" si="19"/>
        <v>-1.4951121334099926E-2</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4</v>
      </c>
      <c r="AR10" s="28">
        <f>VLOOKUP($A10,historia!$A$5:$CM$24,+HLOOKUP(AR$2,historia!$A$3:$EC$4,2,FALSE),FALSE)</f>
        <v>3</v>
      </c>
      <c r="AS10" s="28">
        <f>VLOOKUP($A10,historia!$A$5:$CM$24,+HLOOKUP(AS$2,historia!$A$3:$EC$4,2,FALSE),FALSE)</f>
        <v>4</v>
      </c>
      <c r="AT10" s="58">
        <f>VLOOKUP($A10,historia!$A$5:$CM$24,+HLOOKUP(AT$2,historia!$A$3:$EC$4,2,FALSE),FALSE)</f>
        <v>4</v>
      </c>
      <c r="AU10" s="58">
        <f>VLOOKUP($A10,historia!$A$5:$CM$24,+HLOOKUP(AU$2,historia!$A$3:$EC$4,2,FALSE),FALSE)</f>
        <v>4</v>
      </c>
      <c r="AV10" s="58">
        <f>VLOOKUP($A10,historia!$A$5:$CM$24,+HLOOKUP(AV$2,historia!$A$3:$EC$4,2,FALSE),FALSE)</f>
        <v>4</v>
      </c>
      <c r="AW10" s="58">
        <f>VLOOKUP($A10,historia!$A$5:$CM$24,+HLOOKUP(AW$2,historia!$A$3:$EC$4,2,FALSE),FALSE)</f>
        <v>3</v>
      </c>
      <c r="AX10" s="58">
        <f>VLOOKUP($A10,historia!$A$5:$CM$24,+HLOOKUP(AX$2,historia!$A$3:$EC$4,2,FALSE),FALSE)</f>
        <v>2</v>
      </c>
      <c r="AY10" s="58">
        <f>VLOOKUP($A10,historia!$A$5:$CN$24,+HLOOKUP(AY$2,historia!$A$3:$EC$4,2,FALSE),FALSE)</f>
        <v>3</v>
      </c>
      <c r="AZ10" s="58">
        <f>VLOOKUP($A10,historia!$A$5:$DG$24,+HLOOKUP(AZ$2,historia!$A$3:$EC$4,2,FALSE),FALSE)</f>
        <v>3</v>
      </c>
      <c r="BA10" s="58">
        <f>VLOOKUP($A10,historia!$A$5:$DG$24,+HLOOKUP(BA$2,historia!$A$3:$EC$4,2,FALSE),FALSE)</f>
        <v>3</v>
      </c>
      <c r="BB10" s="58"/>
      <c r="BC10" s="286">
        <v>3</v>
      </c>
      <c r="BD10" t="str">
        <f t="shared" si="20"/>
        <v>Cítricos Dulces</v>
      </c>
      <c r="BE10">
        <f>+datos!AU1</f>
        <v>47</v>
      </c>
      <c r="BF10" s="2" t="str">
        <f t="shared" si="4"/>
        <v>$/caja 18kg</v>
      </c>
      <c r="BG10" s="2">
        <f t="shared" si="4"/>
        <v>15465.777777777776</v>
      </c>
      <c r="BH10" s="2">
        <f t="shared" si="4"/>
        <v>12859.262121212121</v>
      </c>
      <c r="BI10" s="2">
        <f t="shared" si="4"/>
        <v>11228.813333333334</v>
      </c>
      <c r="BK10">
        <f>+datos!CX1</f>
        <v>102</v>
      </c>
      <c r="BL10" s="2">
        <f t="shared" si="21"/>
        <v>11604.537337439559</v>
      </c>
      <c r="BM10" s="2">
        <f t="shared" si="21"/>
        <v>11358.033140650026</v>
      </c>
      <c r="BN10" s="2">
        <f t="shared" si="21"/>
        <v>8351.1394669862457</v>
      </c>
      <c r="BP10" s="1">
        <f>+datos!ER1</f>
        <v>148</v>
      </c>
      <c r="BQ10" s="1">
        <f t="shared" si="22"/>
        <v>79911</v>
      </c>
      <c r="BR10" s="1">
        <f t="shared" si="22"/>
        <v>80248</v>
      </c>
      <c r="BT10" s="1">
        <f>+datos!GH1</f>
        <v>190</v>
      </c>
      <c r="BU10" s="1">
        <f t="shared" si="23"/>
        <v>1543162</v>
      </c>
      <c r="BV10" s="1">
        <f t="shared" si="23"/>
        <v>1734000</v>
      </c>
      <c r="BX10" s="1">
        <f>+datos!LT1</f>
        <v>332</v>
      </c>
      <c r="BY10" s="1">
        <f t="shared" si="39"/>
        <v>131.78187493000001</v>
      </c>
      <c r="BZ10" s="1">
        <f t="shared" si="40"/>
        <v>90.48476208000001</v>
      </c>
      <c r="CA10" s="1"/>
      <c r="CB10" s="1">
        <f>+datos!LX1</f>
        <v>336</v>
      </c>
      <c r="CC10" s="2">
        <f t="shared" si="24"/>
        <v>7.6312725500000003</v>
      </c>
      <c r="CD10" s="2">
        <f t="shared" si="25"/>
        <v>4.3184048000000006</v>
      </c>
      <c r="CF10" s="1">
        <f>+datos!IV1</f>
        <v>256</v>
      </c>
      <c r="CG10" s="1">
        <f t="shared" si="26"/>
        <v>17.130000000000003</v>
      </c>
      <c r="CH10" s="1">
        <f t="shared" si="27"/>
        <v>17.39</v>
      </c>
      <c r="CJ10" s="1">
        <f t="shared" si="28"/>
        <v>10.108990799999999</v>
      </c>
      <c r="CK10" s="1">
        <f t="shared" si="28"/>
        <v>8.35667808</v>
      </c>
      <c r="CL10" s="1">
        <f t="shared" si="28"/>
        <v>14.350128370000002</v>
      </c>
      <c r="CM10" s="1">
        <f t="shared" si="28"/>
        <v>16.897846870000002</v>
      </c>
      <c r="CN10" s="1">
        <f t="shared" si="28"/>
        <v>10.456701950000001</v>
      </c>
      <c r="CO10" s="1">
        <f t="shared" si="28"/>
        <v>9.5618942600000008</v>
      </c>
      <c r="CP10" s="1">
        <f t="shared" si="28"/>
        <v>5.6783096999999998</v>
      </c>
      <c r="CQ10" s="1">
        <f t="shared" si="28"/>
        <v>3.5979505000000001</v>
      </c>
      <c r="CR10" s="1">
        <f t="shared" si="28"/>
        <v>11.482528969999997</v>
      </c>
      <c r="CS10" s="1">
        <f t="shared" si="28"/>
        <v>11.00321864</v>
      </c>
      <c r="CT10" s="1">
        <f t="shared" si="28"/>
        <v>18.05731771</v>
      </c>
      <c r="CU10" s="1">
        <f t="shared" si="28"/>
        <v>12.23030908</v>
      </c>
      <c r="CV10" s="1">
        <f t="shared" si="28"/>
        <v>17.119922650000003</v>
      </c>
      <c r="CW10" s="1">
        <f t="shared" si="28"/>
        <v>15.255558669999997</v>
      </c>
      <c r="CX10" s="1">
        <f t="shared" si="28"/>
        <v>10.271936310000001</v>
      </c>
      <c r="CY10" s="1">
        <f t="shared" si="28"/>
        <v>14.041262509999999</v>
      </c>
      <c r="CZ10" s="1">
        <f t="shared" si="29"/>
        <v>6.1015489199999999</v>
      </c>
      <c r="DA10" s="1">
        <f t="shared" si="29"/>
        <v>2.3063176799999998</v>
      </c>
      <c r="DB10" s="1">
        <f t="shared" si="29"/>
        <v>3.2785219999999997</v>
      </c>
      <c r="DC10" s="1">
        <f t="shared" si="29"/>
        <v>2.8661316999999999</v>
      </c>
      <c r="DD10" s="1">
        <f t="shared" si="29"/>
        <v>3.3581509099999995</v>
      </c>
      <c r="DE10" s="1">
        <f t="shared" si="29"/>
        <v>4.3519123000000004</v>
      </c>
      <c r="DF10" s="1">
        <f t="shared" si="29"/>
        <v>3.6482140500000004</v>
      </c>
      <c r="DG10" s="1">
        <f t="shared" si="29"/>
        <v>7.8852843799999999</v>
      </c>
      <c r="DI10" s="1">
        <f t="shared" si="30"/>
        <v>0.55234585999999997</v>
      </c>
      <c r="DJ10" s="1">
        <f t="shared" si="30"/>
        <v>0.12110615999999999</v>
      </c>
      <c r="DK10" s="1">
        <f t="shared" si="30"/>
        <v>2.631816E-2</v>
      </c>
      <c r="DL10" s="1">
        <f t="shared" si="30"/>
        <v>4.99154E-3</v>
      </c>
      <c r="DM10" s="1">
        <f t="shared" si="30"/>
        <v>4.683996E-2</v>
      </c>
      <c r="DN10" s="1">
        <f t="shared" si="30"/>
        <v>0.23953321999999996</v>
      </c>
      <c r="DO10" s="1">
        <f t="shared" si="30"/>
        <v>0.72731897999999995</v>
      </c>
      <c r="DP10" s="1">
        <f t="shared" si="30"/>
        <v>1.7947146899999999</v>
      </c>
      <c r="DQ10" s="1">
        <f t="shared" si="30"/>
        <v>1.56764612</v>
      </c>
      <c r="DR10" s="1">
        <f t="shared" si="30"/>
        <v>1.4871383200000001</v>
      </c>
      <c r="DS10" s="1">
        <f t="shared" si="30"/>
        <v>0.7069763</v>
      </c>
      <c r="DT10" s="1">
        <f t="shared" si="30"/>
        <v>0.35634324000000006</v>
      </c>
      <c r="DU10" s="1">
        <f t="shared" si="30"/>
        <v>0.22489865000000001</v>
      </c>
      <c r="DV10" s="1">
        <f t="shared" si="30"/>
        <v>0.17467300000000002</v>
      </c>
      <c r="DW10" s="1">
        <f t="shared" si="30"/>
        <v>7.2500000000000004E-3</v>
      </c>
      <c r="DX10" s="1">
        <f t="shared" si="30"/>
        <v>0.23680799999999999</v>
      </c>
      <c r="DY10" s="1">
        <f t="shared" si="31"/>
        <v>0</v>
      </c>
      <c r="DZ10" s="1">
        <f t="shared" si="31"/>
        <v>0.3075099</v>
      </c>
      <c r="EA10" s="1">
        <f t="shared" si="31"/>
        <v>0.82950560000000007</v>
      </c>
      <c r="EB10" s="1">
        <f t="shared" si="31"/>
        <v>1.06715808</v>
      </c>
      <c r="EC10" s="1">
        <f t="shared" si="31"/>
        <v>0.57276656999999997</v>
      </c>
      <c r="ED10" s="1">
        <f t="shared" si="31"/>
        <v>0.50591796999999994</v>
      </c>
      <c r="EE10" s="1">
        <f t="shared" si="31"/>
        <v>0.37369366000000004</v>
      </c>
      <c r="EF10" s="1">
        <f t="shared" si="31"/>
        <v>1.8223369999999999E-2</v>
      </c>
      <c r="EH10" s="14">
        <f t="shared" si="32"/>
        <v>17.130000000000003</v>
      </c>
      <c r="EI10" s="14">
        <f t="shared" si="32"/>
        <v>17.130000000000003</v>
      </c>
      <c r="EJ10" s="1">
        <f t="shared" si="32"/>
        <v>17.130000000000003</v>
      </c>
      <c r="EK10" s="1">
        <f t="shared" si="32"/>
        <v>17.130000000000003</v>
      </c>
      <c r="EL10" s="1">
        <f t="shared" si="32"/>
        <v>17.130000000000003</v>
      </c>
      <c r="EM10" s="1">
        <f t="shared" si="32"/>
        <v>17.130000000000003</v>
      </c>
      <c r="EN10" s="1">
        <f t="shared" si="32"/>
        <v>17.130000000000003</v>
      </c>
      <c r="EO10" s="1">
        <f t="shared" si="32"/>
        <v>17.130000000000003</v>
      </c>
      <c r="EP10" s="1">
        <f t="shared" si="32"/>
        <v>17.130000000000003</v>
      </c>
      <c r="EQ10" s="1">
        <f t="shared" si="32"/>
        <v>17.130000000000003</v>
      </c>
      <c r="ER10" s="1">
        <f t="shared" si="32"/>
        <v>17.39</v>
      </c>
      <c r="ES10" s="1">
        <f t="shared" si="32"/>
        <v>17.39</v>
      </c>
      <c r="ET10" s="1">
        <f t="shared" si="32"/>
        <v>17.39</v>
      </c>
      <c r="EU10" s="1">
        <f t="shared" si="32"/>
        <v>17.39</v>
      </c>
      <c r="EV10" s="1">
        <f t="shared" si="32"/>
        <v>17.39</v>
      </c>
      <c r="EW10" s="1">
        <f t="shared" si="32"/>
        <v>17.39</v>
      </c>
      <c r="EX10" s="1">
        <f t="shared" si="33"/>
        <v>17.39</v>
      </c>
      <c r="EY10" s="1">
        <f t="shared" si="33"/>
        <v>17.39</v>
      </c>
      <c r="EZ10" s="1">
        <f t="shared" si="33"/>
        <v>17.39</v>
      </c>
      <c r="FA10" s="1">
        <f t="shared" si="33"/>
        <v>17.39</v>
      </c>
      <c r="FB10" s="1">
        <f t="shared" si="33"/>
        <v>17.39</v>
      </c>
      <c r="FC10" s="1">
        <f t="shared" si="33"/>
        <v>17.39</v>
      </c>
      <c r="FD10" s="1">
        <f t="shared" si="33"/>
        <v>19.739999999999998</v>
      </c>
      <c r="FE10" s="1">
        <f t="shared" si="33"/>
        <v>19.739999999999998</v>
      </c>
      <c r="FG10" s="162">
        <f t="shared" si="34"/>
        <v>-1.2245653492494624E-2</v>
      </c>
    </row>
    <row r="11" spans="1:163" ht="18.75" customHeight="1">
      <c r="A11" s="244" t="s">
        <v>116</v>
      </c>
      <c r="B11" s="247"/>
      <c r="C11" s="228">
        <f t="shared" si="5"/>
        <v>-0.33</v>
      </c>
      <c r="D11" s="229">
        <v>1</v>
      </c>
      <c r="E11" s="253">
        <f t="shared" si="6"/>
        <v>1.4465513549523079E-2</v>
      </c>
      <c r="F11" s="254">
        <f t="shared" si="7"/>
        <v>-8.9539174743964445E-3</v>
      </c>
      <c r="G11" s="253">
        <f t="shared" si="8"/>
        <v>1.6510580164118549E-2</v>
      </c>
      <c r="H11" s="254">
        <f t="shared" si="9"/>
        <v>-2.0450666145954699E-3</v>
      </c>
      <c r="I11" s="253">
        <f t="shared" si="10"/>
        <v>0.13049818384282941</v>
      </c>
      <c r="J11" s="254">
        <f t="shared" si="11"/>
        <v>-0.18258115714705303</v>
      </c>
      <c r="K11" s="253">
        <f t="shared" si="12"/>
        <v>0.37502078732458832</v>
      </c>
      <c r="L11" s="254">
        <f t="shared" si="13"/>
        <v>-0.24452260348175892</v>
      </c>
      <c r="M11" s="255"/>
      <c r="N11" s="256"/>
      <c r="O11" s="253" t="str">
        <f t="shared" si="35"/>
        <v/>
      </c>
      <c r="P11" s="257" t="str">
        <f t="shared" si="36"/>
        <v/>
      </c>
      <c r="Q11" s="253">
        <f t="shared" si="14"/>
        <v>0</v>
      </c>
      <c r="R11" s="257">
        <f t="shared" si="37"/>
        <v>0</v>
      </c>
      <c r="S11" s="255"/>
      <c r="T11" s="24">
        <v>-2</v>
      </c>
      <c r="U11" s="253">
        <f t="shared" si="15"/>
        <v>-0.3877800769191293</v>
      </c>
      <c r="V11" s="258">
        <f t="shared" si="16"/>
        <v>-0.3877800769191293</v>
      </c>
      <c r="W11" s="253">
        <f t="shared" si="38"/>
        <v>0.11725788935780668</v>
      </c>
      <c r="X11" s="258">
        <f t="shared" si="17"/>
        <v>0.11725788935780668</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4</v>
      </c>
      <c r="AQ11" s="28">
        <f>VLOOKUP($A11,historia!$A$5:$CM$24,+HLOOKUP(AQ$2,historia!$A$3:$EC$4,2,FALSE),FALSE)</f>
        <v>4</v>
      </c>
      <c r="AR11" s="28">
        <f>VLOOKUP($A11,historia!$A$5:$CM$24,+HLOOKUP(AR$2,historia!$A$3:$EC$4,2,FALSE),FALSE)</f>
        <v>3</v>
      </c>
      <c r="AS11" s="28">
        <f>VLOOKUP($A11,historia!$A$5:$CM$24,+HLOOKUP(AS$2,historia!$A$3:$EC$4,2,FALSE),FALSE)</f>
        <v>3</v>
      </c>
      <c r="AT11" s="58">
        <f>VLOOKUP($A11,historia!$A$5:$CM$24,+HLOOKUP(AT$2,historia!$A$3:$EC$4,2,FALSE),FALSE)</f>
        <v>3</v>
      </c>
      <c r="AU11" s="58">
        <f>VLOOKUP($A11,historia!$A$5:$CM$24,+HLOOKUP(AU$2,historia!$A$3:$EC$4,2,FALSE),FALSE)</f>
        <v>3</v>
      </c>
      <c r="AV11" s="58">
        <f>VLOOKUP($A11,historia!$A$5:$CM$24,+HLOOKUP(AV$2,historia!$A$3:$EC$4,2,FALSE),FALSE)</f>
        <v>3</v>
      </c>
      <c r="AW11" s="58">
        <f>VLOOKUP($A11,historia!$A$5:$CM$24,+HLOOKUP(AW$2,historia!$A$3:$EC$4,2,FALSE),FALSE)</f>
        <v>3</v>
      </c>
      <c r="AX11" s="58">
        <f>VLOOKUP($A11,historia!$A$5:$CM$24,+HLOOKUP(AX$2,historia!$A$3:$EC$4,2,FALSE),FALSE)</f>
        <v>3</v>
      </c>
      <c r="AY11" s="58">
        <f>VLOOKUP($A11,historia!$A$5:$CN$24,+HLOOKUP(AY$2,historia!$A$3:$EC$4,2,FALSE),FALSE)</f>
        <v>3</v>
      </c>
      <c r="AZ11" s="58">
        <f>VLOOKUP($A11,historia!$A$5:$DG$24,+HLOOKUP(AZ$2,historia!$A$3:$EC$4,2,FALSE),FALSE)</f>
        <v>3</v>
      </c>
      <c r="BA11" s="58">
        <f>VLOOKUP($A11,historia!$A$5:$DG$24,+HLOOKUP(BA$2,historia!$A$3:$EC$4,2,FALSE),FALSE)</f>
        <v>3</v>
      </c>
      <c r="BB11" s="58"/>
      <c r="BC11" s="286">
        <v>3</v>
      </c>
      <c r="BD11" t="str">
        <f t="shared" si="20"/>
        <v>Forestal</v>
      </c>
      <c r="BE11">
        <f>+datos!BG1</f>
        <v>59</v>
      </c>
      <c r="BF11" s="2" t="str">
        <f t="shared" si="4"/>
        <v>$/t</v>
      </c>
      <c r="BG11" s="2">
        <f t="shared" si="4"/>
        <v>31979.25</v>
      </c>
      <c r="BH11" s="2">
        <f t="shared" si="4"/>
        <v>31523.25</v>
      </c>
      <c r="BI11" s="2">
        <f t="shared" si="4"/>
        <v>28287.75</v>
      </c>
      <c r="BK11">
        <f>+datos!CZ1</f>
        <v>104</v>
      </c>
      <c r="BL11" s="2">
        <f t="shared" si="21"/>
        <v>14732.417872874668</v>
      </c>
      <c r="BM11" s="2">
        <f t="shared" si="21"/>
        <v>14493.12792248171</v>
      </c>
      <c r="BN11" s="2">
        <f t="shared" si="21"/>
        <v>10714.323745999429</v>
      </c>
      <c r="BP11" s="1">
        <f>+datos!ES1</f>
        <v>149</v>
      </c>
      <c r="BQ11" s="1">
        <f t="shared" si="22"/>
        <v>0</v>
      </c>
      <c r="BR11" s="1">
        <f t="shared" si="22"/>
        <v>0</v>
      </c>
      <c r="BT11" s="1">
        <f>+datos!GI1</f>
        <v>191</v>
      </c>
      <c r="BU11" s="1">
        <f t="shared" si="23"/>
        <v>1302556</v>
      </c>
      <c r="BV11" s="1">
        <f t="shared" si="23"/>
        <v>1302556</v>
      </c>
      <c r="BX11" s="1">
        <f>+datos!KB1</f>
        <v>288</v>
      </c>
      <c r="BY11" s="1">
        <f t="shared" si="39"/>
        <v>159.48902098999997</v>
      </c>
      <c r="BZ11" s="1">
        <f t="shared" si="40"/>
        <v>260.50936106</v>
      </c>
      <c r="CB11" s="1">
        <f>+datos!LG1</f>
        <v>319</v>
      </c>
      <c r="CC11" s="2">
        <f t="shared" si="24"/>
        <v>183.7933438</v>
      </c>
      <c r="CD11" s="2">
        <f t="shared" si="25"/>
        <v>164.50395701000002</v>
      </c>
      <c r="CF11" s="1">
        <f>+datos!IW1</f>
        <v>257</v>
      </c>
      <c r="CG11" s="1">
        <f t="shared" si="26"/>
        <v>0</v>
      </c>
      <c r="CH11" s="1">
        <f t="shared" si="27"/>
        <v>0</v>
      </c>
      <c r="CJ11" s="1">
        <f t="shared" si="28"/>
        <v>13.77020325</v>
      </c>
      <c r="CK11" s="1">
        <f t="shared" si="28"/>
        <v>16.167947309999995</v>
      </c>
      <c r="CL11" s="1">
        <f t="shared" si="28"/>
        <v>12.702036029999997</v>
      </c>
      <c r="CM11" s="1">
        <f t="shared" si="28"/>
        <v>14.879273850000001</v>
      </c>
      <c r="CN11" s="1">
        <f t="shared" si="28"/>
        <v>13.812450910000003</v>
      </c>
      <c r="CO11" s="1">
        <f t="shared" si="28"/>
        <v>14.949040589999999</v>
      </c>
      <c r="CP11" s="1">
        <f t="shared" si="28"/>
        <v>13.968637820000001</v>
      </c>
      <c r="CQ11" s="1">
        <f t="shared" si="28"/>
        <v>9.9284284400000011</v>
      </c>
      <c r="CR11" s="1">
        <f t="shared" si="28"/>
        <v>14.484437890000001</v>
      </c>
      <c r="CS11" s="1">
        <f t="shared" si="28"/>
        <v>10.200287200000002</v>
      </c>
      <c r="CT11" s="1">
        <f t="shared" si="28"/>
        <v>11.119065489999999</v>
      </c>
      <c r="CU11" s="1">
        <f t="shared" si="28"/>
        <v>13.50721221</v>
      </c>
      <c r="CV11" s="1">
        <f t="shared" si="28"/>
        <v>17.7783984</v>
      </c>
      <c r="CW11" s="1">
        <f t="shared" si="28"/>
        <v>18.158715399999995</v>
      </c>
      <c r="CX11" s="1">
        <f t="shared" si="28"/>
        <v>13.62277192</v>
      </c>
      <c r="CY11" s="1">
        <f t="shared" si="28"/>
        <v>18.147427050000005</v>
      </c>
      <c r="CZ11" s="1">
        <f t="shared" si="29"/>
        <v>16.38459563</v>
      </c>
      <c r="DA11" s="1">
        <f t="shared" si="29"/>
        <v>19.29025034</v>
      </c>
      <c r="DB11" s="1">
        <f t="shared" si="29"/>
        <v>32.635385889999995</v>
      </c>
      <c r="DC11" s="1">
        <f t="shared" si="29"/>
        <v>26.653198490000001</v>
      </c>
      <c r="DD11" s="1">
        <f t="shared" si="29"/>
        <v>23.932255000000001</v>
      </c>
      <c r="DE11" s="1">
        <f t="shared" si="29"/>
        <v>23.104867779999999</v>
      </c>
      <c r="DF11" s="1">
        <f t="shared" si="29"/>
        <v>24.797754910000005</v>
      </c>
      <c r="DG11" s="1">
        <f t="shared" si="29"/>
        <v>26.00374025</v>
      </c>
      <c r="DI11" s="1">
        <f t="shared" si="30"/>
        <v>17.652505269999999</v>
      </c>
      <c r="DJ11" s="1">
        <f t="shared" si="30"/>
        <v>18.176691299999998</v>
      </c>
      <c r="DK11" s="1">
        <f t="shared" si="30"/>
        <v>17.838312650000002</v>
      </c>
      <c r="DL11" s="1">
        <f t="shared" si="30"/>
        <v>13.839856769999999</v>
      </c>
      <c r="DM11" s="1">
        <f t="shared" si="30"/>
        <v>16.453753389999996</v>
      </c>
      <c r="DN11" s="1">
        <f t="shared" si="30"/>
        <v>16.050718710000002</v>
      </c>
      <c r="DO11" s="1">
        <f t="shared" si="30"/>
        <v>13.20675994</v>
      </c>
      <c r="DP11" s="1">
        <f t="shared" si="30"/>
        <v>12.082023640000001</v>
      </c>
      <c r="DQ11" s="1">
        <f t="shared" si="30"/>
        <v>16.998994660000001</v>
      </c>
      <c r="DR11" s="1">
        <f t="shared" si="30"/>
        <v>14.09144206</v>
      </c>
      <c r="DS11" s="1">
        <f t="shared" si="30"/>
        <v>14.036730870000001</v>
      </c>
      <c r="DT11" s="1">
        <f t="shared" si="30"/>
        <v>13.365554540000002</v>
      </c>
      <c r="DU11" s="1">
        <f t="shared" si="30"/>
        <v>15.589800310000003</v>
      </c>
      <c r="DV11" s="1">
        <f t="shared" si="30"/>
        <v>16.942532470000003</v>
      </c>
      <c r="DW11" s="1">
        <f t="shared" si="30"/>
        <v>10.998476289999999</v>
      </c>
      <c r="DX11" s="1">
        <f t="shared" si="30"/>
        <v>11.46589975</v>
      </c>
      <c r="DY11" s="1">
        <f t="shared" si="31"/>
        <v>13.53170609</v>
      </c>
      <c r="DZ11" s="1">
        <f t="shared" si="31"/>
        <v>19.941855059999995</v>
      </c>
      <c r="EA11" s="1">
        <f t="shared" si="31"/>
        <v>17.561880160000001</v>
      </c>
      <c r="EB11" s="1">
        <f t="shared" si="31"/>
        <v>14.580088280000002</v>
      </c>
      <c r="EC11" s="1">
        <f t="shared" si="31"/>
        <v>13.107541810000001</v>
      </c>
      <c r="ED11" s="1">
        <f t="shared" si="31"/>
        <v>9.0834929199999994</v>
      </c>
      <c r="EE11" s="1">
        <f t="shared" si="31"/>
        <v>9.5859924200000002</v>
      </c>
      <c r="EF11" s="1">
        <f t="shared" si="31"/>
        <v>12.114691449999999</v>
      </c>
      <c r="EH11" s="14">
        <f t="shared" si="32"/>
        <v>0</v>
      </c>
      <c r="EI11" s="14">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3"/>
        <v>0</v>
      </c>
      <c r="EY11" s="1">
        <f t="shared" si="33"/>
        <v>0</v>
      </c>
      <c r="EZ11" s="1">
        <f t="shared" si="33"/>
        <v>0</v>
      </c>
      <c r="FA11" s="1">
        <f t="shared" si="33"/>
        <v>0</v>
      </c>
      <c r="FB11" s="1">
        <f t="shared" si="33"/>
        <v>0</v>
      </c>
      <c r="FC11" s="1">
        <f t="shared" si="33"/>
        <v>0</v>
      </c>
      <c r="FD11" s="1">
        <f t="shared" si="33"/>
        <v>0</v>
      </c>
      <c r="FE11" s="1">
        <f t="shared" si="33"/>
        <v>0</v>
      </c>
      <c r="FG11" s="162">
        <f t="shared" si="34"/>
        <v>-0.24452260348175892</v>
      </c>
    </row>
    <row r="12" spans="1:163" ht="18.75" customHeight="1">
      <c r="A12" s="243" t="s">
        <v>216</v>
      </c>
      <c r="B12" s="246"/>
      <c r="C12" s="156">
        <f t="shared" si="5"/>
        <v>-0.33</v>
      </c>
      <c r="D12" s="198">
        <v>-1</v>
      </c>
      <c r="E12" s="248">
        <f t="shared" si="6"/>
        <v>1.6053473653153905E-2</v>
      </c>
      <c r="F12" s="249">
        <f t="shared" si="7"/>
        <v>-7.365957370765619E-3</v>
      </c>
      <c r="G12" s="248">
        <f t="shared" si="8"/>
        <v>1.5064053028504665E-2</v>
      </c>
      <c r="H12" s="249">
        <f t="shared" si="9"/>
        <v>9.8942062464923985E-4</v>
      </c>
      <c r="I12" s="248">
        <f t="shared" si="10"/>
        <v>0.38584463898856702</v>
      </c>
      <c r="J12" s="249">
        <f t="shared" si="11"/>
        <v>7.2765297998684586E-2</v>
      </c>
      <c r="K12" s="248">
        <f t="shared" si="12"/>
        <v>0.39287356181503319</v>
      </c>
      <c r="L12" s="249">
        <f t="shared" si="13"/>
        <v>-7.0289228264661663E-3</v>
      </c>
      <c r="M12" s="250"/>
      <c r="N12" s="24">
        <v>1</v>
      </c>
      <c r="O12" s="248">
        <f t="shared" si="35"/>
        <v>5.7665260196905876E-2</v>
      </c>
      <c r="P12" s="251">
        <f t="shared" si="36"/>
        <v>5.7665260196905876E-2</v>
      </c>
      <c r="Q12" s="248">
        <f t="shared" si="14"/>
        <v>0.16834489934700492</v>
      </c>
      <c r="R12" s="251">
        <f t="shared" si="37"/>
        <v>0.16834489934700492</v>
      </c>
      <c r="S12" s="250"/>
      <c r="T12" s="24">
        <v>-1</v>
      </c>
      <c r="U12" s="248">
        <f t="shared" si="15"/>
        <v>2.1425014803291287E-2</v>
      </c>
      <c r="V12" s="252">
        <f t="shared" si="16"/>
        <v>2.1425014803291287E-2</v>
      </c>
      <c r="W12" s="248">
        <f t="shared" si="38"/>
        <v>-0.27827613403395257</v>
      </c>
      <c r="X12" s="252">
        <f t="shared" si="17"/>
        <v>-0.27827613403395257</v>
      </c>
      <c r="Y12" s="248"/>
      <c r="Z12" s="252"/>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4</v>
      </c>
      <c r="AQ12" s="28">
        <f>VLOOKUP($A12,historia!$A$5:$CM$24,+HLOOKUP(AQ$2,historia!$A$3:$EC$4,2,FALSE),FALSE)</f>
        <v>4</v>
      </c>
      <c r="AR12" s="28">
        <f>VLOOKUP($A12,historia!$A$5:$CM$24,+HLOOKUP(AR$2,historia!$A$3:$EC$4,2,FALSE),FALSE)</f>
        <v>3</v>
      </c>
      <c r="AS12" s="28">
        <f>VLOOKUP($A12,historia!$A$5:$CM$24,+HLOOKUP(AS$2,historia!$A$3:$EC$4,2,FALSE),FALSE)</f>
        <v>3</v>
      </c>
      <c r="AT12" s="58">
        <f>VLOOKUP($A12,historia!$A$5:$CM$24,+HLOOKUP(AT$2,historia!$A$3:$EC$4,2,FALSE),FALSE)</f>
        <v>3</v>
      </c>
      <c r="AU12" s="58">
        <f>VLOOKUP($A12,historia!$A$5:$CM$24,+HLOOKUP(AU$2,historia!$A$3:$EC$4,2,FALSE),FALSE)</f>
        <v>3</v>
      </c>
      <c r="AV12" s="58">
        <f>VLOOKUP($A12,historia!$A$5:$CM$24,+HLOOKUP(AV$2,historia!$A$3:$EC$4,2,FALSE),FALSE)</f>
        <v>3</v>
      </c>
      <c r="AW12" s="58">
        <f>VLOOKUP($A12,historia!$A$5:$CM$24,+HLOOKUP(AW$2,historia!$A$3:$EC$4,2,FALSE),FALSE)</f>
        <v>3</v>
      </c>
      <c r="AX12" s="58">
        <f>VLOOKUP($A12,historia!$A$5:$CM$24,+HLOOKUP(AX$2,historia!$A$3:$EC$4,2,FALSE),FALSE)</f>
        <v>2</v>
      </c>
      <c r="AY12" s="58">
        <f>VLOOKUP($A12,historia!$A$5:$CN$24,+HLOOKUP(AY$2,historia!$A$3:$EC$4,2,FALSE),FALSE)</f>
        <v>2</v>
      </c>
      <c r="AZ12" s="58">
        <f>VLOOKUP($A12,historia!$A$5:$DG$24,+HLOOKUP(AZ$2,historia!$A$3:$EC$4,2,FALSE),FALSE)</f>
        <v>1</v>
      </c>
      <c r="BA12" s="58">
        <f>VLOOKUP($A12,historia!$A$5:$DG$24,+HLOOKUP(BA$2,historia!$A$3:$EC$4,2,FALSE),FALSE)</f>
        <v>2</v>
      </c>
      <c r="BB12" s="58"/>
      <c r="BC12" s="286">
        <v>2</v>
      </c>
      <c r="BD12" t="str">
        <f t="shared" si="20"/>
        <v>Granos</v>
      </c>
      <c r="BE12">
        <f>+datos!AE1</f>
        <v>31</v>
      </c>
      <c r="BF12" s="2" t="str">
        <f t="shared" si="4"/>
        <v>$/t</v>
      </c>
      <c r="BG12" s="2">
        <f t="shared" si="4"/>
        <v>321151.1026175</v>
      </c>
      <c r="BH12" s="2">
        <f t="shared" si="4"/>
        <v>316076.9693181818</v>
      </c>
      <c r="BI12" s="2">
        <f t="shared" si="4"/>
        <v>231736.72833333336</v>
      </c>
      <c r="BK12">
        <f>+datos!CG1</f>
        <v>85</v>
      </c>
      <c r="BL12" s="2">
        <f t="shared" si="21"/>
        <v>12596.867200850511</v>
      </c>
      <c r="BM12" s="2">
        <f t="shared" si="21"/>
        <v>12409.923455832171</v>
      </c>
      <c r="BN12" s="2">
        <f t="shared" si="21"/>
        <v>9043.7980490028949</v>
      </c>
      <c r="BP12" s="1">
        <f>+datos!EA1</f>
        <v>131</v>
      </c>
      <c r="BQ12" s="1">
        <f t="shared" si="22"/>
        <v>37600000</v>
      </c>
      <c r="BR12" s="1">
        <f t="shared" si="22"/>
        <v>35550000</v>
      </c>
      <c r="BT12" s="1">
        <f>+datos!FV1</f>
        <v>178</v>
      </c>
      <c r="BU12" s="1">
        <f t="shared" si="23"/>
        <v>142600000</v>
      </c>
      <c r="BV12" s="1">
        <f t="shared" si="23"/>
        <v>122053000</v>
      </c>
      <c r="BX12" s="1">
        <f>+datos!LQ1</f>
        <v>329</v>
      </c>
      <c r="BY12" s="1">
        <f>+SUM(CJ12:CU12)</f>
        <v>44553.330364429996</v>
      </c>
      <c r="BZ12" s="1">
        <f t="shared" si="40"/>
        <v>43618.796993149997</v>
      </c>
      <c r="CB12" s="1">
        <f>+datos!LU1</f>
        <v>333</v>
      </c>
      <c r="CC12" s="2">
        <f t="shared" si="24"/>
        <v>2452.0629069299994</v>
      </c>
      <c r="CD12" s="2">
        <f t="shared" si="25"/>
        <v>3397.5084136199998</v>
      </c>
      <c r="CF12" s="1">
        <f>+datos!II1</f>
        <v>243</v>
      </c>
      <c r="CG12" s="1">
        <f t="shared" si="26"/>
        <v>85850000</v>
      </c>
      <c r="CH12" s="1">
        <f t="shared" si="27"/>
        <v>81600000</v>
      </c>
      <c r="CJ12" s="1">
        <f>+VLOOKUP(CJ$1,ran_dat,$BX12,FALSE)</f>
        <v>3782.3696972900002</v>
      </c>
      <c r="CK12" s="1">
        <f t="shared" si="28"/>
        <v>4396.9372515900004</v>
      </c>
      <c r="CL12" s="1">
        <f t="shared" si="28"/>
        <v>4336.2366958999992</v>
      </c>
      <c r="CM12" s="1">
        <f t="shared" si="28"/>
        <v>4557.75384975</v>
      </c>
      <c r="CN12" s="1">
        <f t="shared" si="28"/>
        <v>3762.5394987399995</v>
      </c>
      <c r="CO12" s="1">
        <f t="shared" si="28"/>
        <v>4220.2405017900001</v>
      </c>
      <c r="CP12" s="1">
        <f t="shared" si="28"/>
        <v>3699.5517639399995</v>
      </c>
      <c r="CQ12" s="1">
        <f t="shared" si="28"/>
        <v>2719.5194464700007</v>
      </c>
      <c r="CR12" s="1">
        <f t="shared" si="28"/>
        <v>3193.1112506200002</v>
      </c>
      <c r="CS12" s="1">
        <f t="shared" si="28"/>
        <v>3231.2263099199999</v>
      </c>
      <c r="CT12" s="1">
        <f t="shared" si="28"/>
        <v>3313.8442822299994</v>
      </c>
      <c r="CU12" s="1">
        <f t="shared" si="28"/>
        <v>3339.9998161899998</v>
      </c>
      <c r="CV12" s="1">
        <f t="shared" si="28"/>
        <v>3485.71732419</v>
      </c>
      <c r="CW12" s="1">
        <f t="shared" si="28"/>
        <v>3410.80431886</v>
      </c>
      <c r="CX12" s="1">
        <f t="shared" si="28"/>
        <v>3348.6268518899992</v>
      </c>
      <c r="CY12" s="1">
        <f t="shared" si="28"/>
        <v>4200.6671527199996</v>
      </c>
      <c r="CZ12" s="1">
        <f t="shared" si="29"/>
        <v>4256.6159984299993</v>
      </c>
      <c r="DA12" s="1">
        <f t="shared" si="29"/>
        <v>4805.0657855600002</v>
      </c>
      <c r="DB12" s="1">
        <f t="shared" si="29"/>
        <v>3818.0878160900002</v>
      </c>
      <c r="DC12" s="1">
        <f t="shared" si="29"/>
        <v>3876.9439553199995</v>
      </c>
      <c r="DD12" s="1">
        <f t="shared" si="29"/>
        <v>3089.4855235099994</v>
      </c>
      <c r="DE12" s="1">
        <f t="shared" si="29"/>
        <v>3929.1762735700004</v>
      </c>
      <c r="DF12" s="1">
        <f t="shared" si="29"/>
        <v>2955.6698254600001</v>
      </c>
      <c r="DG12" s="1">
        <f t="shared" si="29"/>
        <v>2441.9361675499999</v>
      </c>
      <c r="DI12" s="1">
        <f t="shared" si="30"/>
        <v>126.11568693000002</v>
      </c>
      <c r="DJ12" s="1">
        <f t="shared" si="30"/>
        <v>179.77004703999992</v>
      </c>
      <c r="DK12" s="1">
        <f t="shared" si="30"/>
        <v>175.34564924</v>
      </c>
      <c r="DL12" s="1">
        <f t="shared" si="30"/>
        <v>241.51209269000003</v>
      </c>
      <c r="DM12" s="1">
        <f t="shared" si="30"/>
        <v>273.75200934999998</v>
      </c>
      <c r="DN12" s="1">
        <f t="shared" si="30"/>
        <v>304.19736033999999</v>
      </c>
      <c r="DO12" s="1">
        <f t="shared" si="30"/>
        <v>338.33098909999995</v>
      </c>
      <c r="DP12" s="1">
        <f t="shared" si="30"/>
        <v>239.40438782999996</v>
      </c>
      <c r="DQ12" s="1">
        <f t="shared" si="30"/>
        <v>288.1429152</v>
      </c>
      <c r="DR12" s="1">
        <f t="shared" si="30"/>
        <v>31.883400920000003</v>
      </c>
      <c r="DS12" s="1">
        <f t="shared" si="30"/>
        <v>52.19269714</v>
      </c>
      <c r="DT12" s="1">
        <f t="shared" si="30"/>
        <v>201.41567115000001</v>
      </c>
      <c r="DU12" s="1">
        <f t="shared" si="30"/>
        <v>299.18688666000003</v>
      </c>
      <c r="DV12" s="1">
        <f t="shared" si="30"/>
        <v>265.28366987999999</v>
      </c>
      <c r="DW12" s="1">
        <f t="shared" si="30"/>
        <v>214.60650260000006</v>
      </c>
      <c r="DX12" s="1">
        <f t="shared" si="30"/>
        <v>390.93673457</v>
      </c>
      <c r="DY12" s="1">
        <f t="shared" si="31"/>
        <v>293.37536226000003</v>
      </c>
      <c r="DZ12" s="1">
        <f t="shared" si="31"/>
        <v>336.54852982999995</v>
      </c>
      <c r="EA12" s="1">
        <f t="shared" si="31"/>
        <v>300.95428591999996</v>
      </c>
      <c r="EB12" s="1">
        <f t="shared" si="31"/>
        <v>389.85732896999997</v>
      </c>
      <c r="EC12" s="1">
        <f t="shared" si="31"/>
        <v>280.54397103999997</v>
      </c>
      <c r="ED12" s="1">
        <f t="shared" si="31"/>
        <v>63.525792080000002</v>
      </c>
      <c r="EE12" s="1">
        <f t="shared" si="31"/>
        <v>301.92103216000004</v>
      </c>
      <c r="EF12" s="1">
        <f t="shared" si="31"/>
        <v>260.76831764999997</v>
      </c>
      <c r="EH12" s="14">
        <f t="shared" si="32"/>
        <v>85850000</v>
      </c>
      <c r="EI12" s="14">
        <f t="shared" si="32"/>
        <v>85850000</v>
      </c>
      <c r="EJ12" s="1">
        <f t="shared" si="32"/>
        <v>85820000</v>
      </c>
      <c r="EK12" s="1">
        <f t="shared" si="32"/>
        <v>83320000</v>
      </c>
      <c r="EL12" s="1">
        <f t="shared" si="32"/>
        <v>83120000</v>
      </c>
      <c r="EM12" s="1">
        <f t="shared" si="32"/>
        <v>83420000</v>
      </c>
      <c r="EN12" s="1">
        <f t="shared" si="32"/>
        <v>83260000</v>
      </c>
      <c r="EO12" s="1">
        <f t="shared" si="32"/>
        <v>82660000</v>
      </c>
      <c r="EP12" s="1">
        <f t="shared" si="32"/>
        <v>83330000</v>
      </c>
      <c r="EQ12" s="1">
        <f t="shared" si="32"/>
        <v>83330000</v>
      </c>
      <c r="ER12" s="1">
        <f t="shared" si="32"/>
        <v>81580000</v>
      </c>
      <c r="ES12" s="1">
        <f t="shared" si="32"/>
        <v>81600000</v>
      </c>
      <c r="ET12" s="1">
        <f t="shared" si="32"/>
        <v>81600000</v>
      </c>
      <c r="EU12" s="1">
        <f t="shared" si="32"/>
        <v>81600000</v>
      </c>
      <c r="EV12" s="1">
        <f t="shared" si="32"/>
        <v>81600000</v>
      </c>
      <c r="EW12" s="1">
        <f t="shared" si="32"/>
        <v>81600000</v>
      </c>
      <c r="EX12" s="1">
        <f t="shared" si="33"/>
        <v>81600000</v>
      </c>
      <c r="EY12" s="1">
        <f t="shared" si="33"/>
        <v>81600000</v>
      </c>
      <c r="EZ12" s="1">
        <f t="shared" si="33"/>
        <v>81600000</v>
      </c>
      <c r="FA12" s="1">
        <f t="shared" si="33"/>
        <v>73750000</v>
      </c>
      <c r="FB12" s="1">
        <f t="shared" si="33"/>
        <v>73750000</v>
      </c>
      <c r="FC12" s="1">
        <f t="shared" si="33"/>
        <v>73450000</v>
      </c>
      <c r="FD12" s="1">
        <f t="shared" si="33"/>
        <v>73450000</v>
      </c>
      <c r="FE12" s="1">
        <f t="shared" si="33"/>
        <v>73450000</v>
      </c>
      <c r="FG12" s="162">
        <f t="shared" si="34"/>
        <v>-7.0289228264661663E-3</v>
      </c>
    </row>
    <row r="13" spans="1:163" ht="18.75" customHeight="1">
      <c r="A13" s="244" t="s">
        <v>217</v>
      </c>
      <c r="B13" s="247"/>
      <c r="C13" s="228">
        <f t="shared" si="5"/>
        <v>0</v>
      </c>
      <c r="D13" s="229">
        <v>0</v>
      </c>
      <c r="E13" s="253">
        <f t="shared" si="6"/>
        <v>-5.0519816669923001E-2</v>
      </c>
      <c r="F13" s="254">
        <f t="shared" si="7"/>
        <v>-7.3939247693842525E-2</v>
      </c>
      <c r="G13" s="253">
        <f t="shared" si="8"/>
        <v>-3.0167445224416056E-4</v>
      </c>
      <c r="H13" s="254">
        <f t="shared" si="9"/>
        <v>-5.0218142217678841E-2</v>
      </c>
      <c r="I13" s="253">
        <f t="shared" si="10"/>
        <v>-0.15811895701121714</v>
      </c>
      <c r="J13" s="254">
        <f t="shared" si="11"/>
        <v>-0.47119829800109958</v>
      </c>
      <c r="K13" s="253">
        <f t="shared" si="12"/>
        <v>0.23428805669036357</v>
      </c>
      <c r="L13" s="254">
        <f t="shared" si="13"/>
        <v>-0.39240701370158071</v>
      </c>
      <c r="M13" s="255"/>
      <c r="N13" s="256">
        <v>0</v>
      </c>
      <c r="O13" s="253">
        <f t="shared" si="35"/>
        <v>0</v>
      </c>
      <c r="P13" s="257">
        <f t="shared" si="36"/>
        <v>0</v>
      </c>
      <c r="Q13" s="253">
        <f t="shared" si="14"/>
        <v>0</v>
      </c>
      <c r="R13" s="257">
        <f t="shared" si="37"/>
        <v>0</v>
      </c>
      <c r="S13" s="255"/>
      <c r="T13" s="256">
        <v>0</v>
      </c>
      <c r="U13" s="253">
        <f t="shared" si="15"/>
        <v>-0.40015357544061092</v>
      </c>
      <c r="V13" s="258">
        <f t="shared" si="16"/>
        <v>-0.40015357544061092</v>
      </c>
      <c r="W13" s="253">
        <f t="shared" si="38"/>
        <v>-0.56441130375407222</v>
      </c>
      <c r="X13" s="258">
        <f t="shared" si="17"/>
        <v>-0.56441130375407222</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4</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5</v>
      </c>
      <c r="AX13" s="58">
        <f>VLOOKUP($A13,historia!$A$5:$CM$24,+HLOOKUP(AX$2,historia!$A$3:$EC$4,2,FALSE),FALSE)</f>
        <v>4</v>
      </c>
      <c r="AY13" s="58">
        <f>VLOOKUP($A13,historia!$A$5:$CN$24,+HLOOKUP(AY$2,historia!$A$3:$EC$4,2,FALSE),FALSE)</f>
        <v>5</v>
      </c>
      <c r="AZ13" s="58">
        <f>VLOOKUP($A13,historia!$A$5:$DG$24,+HLOOKUP(AZ$2,historia!$A$3:$EC$4,2,FALSE),FALSE)</f>
        <v>4</v>
      </c>
      <c r="BA13" s="58">
        <f>VLOOKUP($A13,historia!$A$5:$DG$24,+HLOOKUP(BA$2,historia!$A$3:$EC$4,2,FALSE),FALSE)</f>
        <v>4</v>
      </c>
      <c r="BB13" s="58"/>
      <c r="BC13" s="286">
        <v>4</v>
      </c>
      <c r="BD13" t="str">
        <f t="shared" si="20"/>
        <v>Hortalizas</v>
      </c>
      <c r="BE13">
        <f>+datos!BB1</f>
        <v>54</v>
      </c>
      <c r="BF13" s="2" t="str">
        <f t="shared" si="4"/>
        <v>$/kg</v>
      </c>
      <c r="BG13" s="2">
        <f t="shared" si="4"/>
        <v>11348.833077545776</v>
      </c>
      <c r="BH13" s="2">
        <f t="shared" si="4"/>
        <v>11952.680294750788</v>
      </c>
      <c r="BI13" s="2">
        <f t="shared" si="4"/>
        <v>13480.328571428572</v>
      </c>
      <c r="BK13">
        <f>+datos!CO1</f>
        <v>93</v>
      </c>
      <c r="BL13" s="2">
        <f t="shared" si="21"/>
        <v>12018.465743915791</v>
      </c>
      <c r="BM13" s="2">
        <f t="shared" si="21"/>
        <v>12022.092502086187</v>
      </c>
      <c r="BN13" s="2">
        <f t="shared" si="21"/>
        <v>9737.164415365296</v>
      </c>
      <c r="BP13" s="1">
        <f>+datos!EX1</f>
        <v>154</v>
      </c>
      <c r="BQ13" s="1">
        <f t="shared" si="22"/>
        <v>64395</v>
      </c>
      <c r="BR13" s="1">
        <f t="shared" si="22"/>
        <v>64395</v>
      </c>
      <c r="BT13" s="1">
        <f>+datos!GN1</f>
        <v>196</v>
      </c>
      <c r="BU13" s="1">
        <f t="shared" si="23"/>
        <v>2639386</v>
      </c>
      <c r="BV13" s="1">
        <f t="shared" si="23"/>
        <v>2639386</v>
      </c>
      <c r="BX13" s="1">
        <f>+datos!LR1</f>
        <v>330</v>
      </c>
      <c r="BY13" s="1">
        <f t="shared" si="39"/>
        <v>42.872177209999997</v>
      </c>
      <c r="BZ13" s="1">
        <f t="shared" si="40"/>
        <v>71.47192256999999</v>
      </c>
      <c r="CB13" s="1">
        <f>+datos!LV1</f>
        <v>334</v>
      </c>
      <c r="CC13" s="2">
        <f t="shared" si="24"/>
        <v>16.152130079999999</v>
      </c>
      <c r="CD13" s="2">
        <f t="shared" si="25"/>
        <v>37.08115068</v>
      </c>
      <c r="CF13" s="1">
        <f>+datos!IX1</f>
        <v>258</v>
      </c>
      <c r="CG13" s="1">
        <f t="shared" si="26"/>
        <v>0</v>
      </c>
      <c r="CH13" s="1">
        <f t="shared" si="27"/>
        <v>0</v>
      </c>
      <c r="CJ13" s="1">
        <f t="shared" si="28"/>
        <v>1.5287822199999999</v>
      </c>
      <c r="CK13" s="1">
        <f t="shared" si="28"/>
        <v>0.99519284000000008</v>
      </c>
      <c r="CL13" s="1">
        <f t="shared" si="28"/>
        <v>2.3842983399999995</v>
      </c>
      <c r="CM13" s="1">
        <f t="shared" si="28"/>
        <v>1.9006323699999998</v>
      </c>
      <c r="CN13" s="1">
        <f t="shared" si="28"/>
        <v>5.6300601800000001</v>
      </c>
      <c r="CO13" s="1">
        <f t="shared" si="28"/>
        <v>10.78719353</v>
      </c>
      <c r="CP13" s="1">
        <f t="shared" si="28"/>
        <v>6.6589734299999996</v>
      </c>
      <c r="CQ13" s="1">
        <f t="shared" si="28"/>
        <v>4.7972503099999999</v>
      </c>
      <c r="CR13" s="1">
        <f t="shared" si="28"/>
        <v>3.6808061599999999</v>
      </c>
      <c r="CS13" s="1">
        <f t="shared" si="28"/>
        <v>1.7265838599999999</v>
      </c>
      <c r="CT13" s="1">
        <f t="shared" si="28"/>
        <v>1.1603474899999999</v>
      </c>
      <c r="CU13" s="1">
        <f t="shared" si="28"/>
        <v>1.6220564799999999</v>
      </c>
      <c r="CV13" s="1">
        <f t="shared" si="28"/>
        <v>1.7022322700000001</v>
      </c>
      <c r="CW13" s="1">
        <f t="shared" si="28"/>
        <v>2.1800094999999997</v>
      </c>
      <c r="CX13" s="1">
        <f t="shared" si="28"/>
        <v>0.89152303000000011</v>
      </c>
      <c r="CY13" s="1">
        <f t="shared" si="28"/>
        <v>2.22092468</v>
      </c>
      <c r="CZ13" s="1">
        <f t="shared" si="29"/>
        <v>5.6369490100000004</v>
      </c>
      <c r="DA13" s="1">
        <f t="shared" si="29"/>
        <v>11.964288460000001</v>
      </c>
      <c r="DB13" s="1">
        <f t="shared" si="29"/>
        <v>14.874595200000002</v>
      </c>
      <c r="DC13" s="1">
        <f t="shared" si="29"/>
        <v>12.356255849999998</v>
      </c>
      <c r="DD13" s="1">
        <f t="shared" si="29"/>
        <v>7.66143427</v>
      </c>
      <c r="DE13" s="1">
        <f t="shared" si="29"/>
        <v>3.9700200400000001</v>
      </c>
      <c r="DF13" s="1">
        <f t="shared" si="29"/>
        <v>4.244482989999999</v>
      </c>
      <c r="DG13" s="1">
        <f t="shared" si="29"/>
        <v>3.7692072699999999</v>
      </c>
      <c r="DI13" s="1">
        <f t="shared" si="30"/>
        <v>2.0285887300000001</v>
      </c>
      <c r="DJ13" s="1">
        <f t="shared" si="30"/>
        <v>2.5185445399999997</v>
      </c>
      <c r="DK13" s="1">
        <f t="shared" si="30"/>
        <v>1.4155427900000002</v>
      </c>
      <c r="DL13" s="1">
        <f t="shared" si="30"/>
        <v>1.5956283999999996</v>
      </c>
      <c r="DM13" s="1">
        <f t="shared" si="30"/>
        <v>1.7945534399999996</v>
      </c>
      <c r="DN13" s="1">
        <f t="shared" si="30"/>
        <v>2.7487028499999995</v>
      </c>
      <c r="DO13" s="1">
        <f t="shared" si="30"/>
        <v>0.73139703</v>
      </c>
      <c r="DP13" s="1">
        <f t="shared" si="30"/>
        <v>0.52205221000000002</v>
      </c>
      <c r="DQ13" s="1">
        <f t="shared" si="30"/>
        <v>0.27889262000000004</v>
      </c>
      <c r="DR13" s="1">
        <f t="shared" si="30"/>
        <v>0.43588088999999991</v>
      </c>
      <c r="DS13" s="1">
        <f t="shared" si="30"/>
        <v>0.25163443000000002</v>
      </c>
      <c r="DT13" s="1">
        <f t="shared" si="30"/>
        <v>1.8307121500000001</v>
      </c>
      <c r="DU13" s="1">
        <f t="shared" si="30"/>
        <v>4.7138590499999999</v>
      </c>
      <c r="DV13" s="1">
        <f t="shared" si="30"/>
        <v>10.280953719999999</v>
      </c>
      <c r="DW13" s="1">
        <f t="shared" si="30"/>
        <v>10.078043539999999</v>
      </c>
      <c r="DX13" s="1">
        <f t="shared" si="30"/>
        <v>5.0525632100000006</v>
      </c>
      <c r="DY13" s="1">
        <f t="shared" si="31"/>
        <v>1.5134803299999999</v>
      </c>
      <c r="DZ13" s="1">
        <f t="shared" si="31"/>
        <v>1.5645213200000003</v>
      </c>
      <c r="EA13" s="1">
        <f t="shared" si="31"/>
        <v>0.17069466</v>
      </c>
      <c r="EB13" s="1">
        <f t="shared" si="31"/>
        <v>5.8121779999999998E-2</v>
      </c>
      <c r="EC13" s="1">
        <f t="shared" si="31"/>
        <v>0.22874177000000001</v>
      </c>
      <c r="ED13" s="1">
        <f t="shared" si="31"/>
        <v>6.8422739999999996E-2</v>
      </c>
      <c r="EE13" s="1">
        <f t="shared" si="31"/>
        <v>1.38860757</v>
      </c>
      <c r="EF13" s="1">
        <f t="shared" si="31"/>
        <v>1.9631409899999996</v>
      </c>
      <c r="EH13" s="14">
        <f t="shared" si="32"/>
        <v>0</v>
      </c>
      <c r="EI13" s="14">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3"/>
        <v>0</v>
      </c>
      <c r="EY13" s="1">
        <f t="shared" si="33"/>
        <v>0</v>
      </c>
      <c r="EZ13" s="1">
        <f t="shared" si="33"/>
        <v>0</v>
      </c>
      <c r="FA13" s="1">
        <f t="shared" si="33"/>
        <v>0</v>
      </c>
      <c r="FB13" s="1">
        <f t="shared" si="33"/>
        <v>0</v>
      </c>
      <c r="FC13" s="1">
        <f t="shared" si="33"/>
        <v>0</v>
      </c>
      <c r="FD13" s="1">
        <f t="shared" si="33"/>
        <v>0</v>
      </c>
      <c r="FE13" s="1">
        <f t="shared" si="33"/>
        <v>0</v>
      </c>
      <c r="FG13" s="162">
        <f t="shared" si="34"/>
        <v>-0.39240701370158071</v>
      </c>
    </row>
    <row r="14" spans="1:163" ht="18" customHeight="1">
      <c r="A14" s="243" t="s">
        <v>65</v>
      </c>
      <c r="B14" s="246"/>
      <c r="C14" s="156">
        <f t="shared" si="5"/>
        <v>-0.33</v>
      </c>
      <c r="D14" s="198">
        <v>1</v>
      </c>
      <c r="E14" s="248">
        <f t="shared" si="6"/>
        <v>1.7488411293720141E-3</v>
      </c>
      <c r="F14" s="249">
        <f t="shared" si="7"/>
        <v>-2.167058989454751E-2</v>
      </c>
      <c r="G14" s="248">
        <f t="shared" si="8"/>
        <v>2.0411706991817491E-2</v>
      </c>
      <c r="H14" s="249">
        <f t="shared" si="9"/>
        <v>-1.8662865862445477E-2</v>
      </c>
      <c r="I14" s="248">
        <f t="shared" si="10"/>
        <v>9.3294393597939562E-2</v>
      </c>
      <c r="J14" s="249">
        <f t="shared" si="11"/>
        <v>-0.21978494739194288</v>
      </c>
      <c r="K14" s="248">
        <f t="shared" si="12"/>
        <v>0.33706912662440058</v>
      </c>
      <c r="L14" s="249">
        <f t="shared" si="13"/>
        <v>-0.24377473302646102</v>
      </c>
      <c r="M14" s="250"/>
      <c r="N14" s="24">
        <v>-1</v>
      </c>
      <c r="O14" s="248">
        <f t="shared" si="35"/>
        <v>-8.558316280129119E-2</v>
      </c>
      <c r="P14" s="251">
        <f t="shared" si="36"/>
        <v>-8.558316280129119E-2</v>
      </c>
      <c r="Q14" s="248">
        <f t="shared" si="14"/>
        <v>0.1312091034337326</v>
      </c>
      <c r="R14" s="251">
        <f t="shared" si="37"/>
        <v>0.1312091034337326</v>
      </c>
      <c r="S14" s="250"/>
      <c r="T14" s="24">
        <v>-1</v>
      </c>
      <c r="U14" s="248">
        <f t="shared" si="15"/>
        <v>0.17381735704906398</v>
      </c>
      <c r="V14" s="252">
        <f t="shared" si="16"/>
        <v>0.17381735704906398</v>
      </c>
      <c r="W14" s="248">
        <f t="shared" si="38"/>
        <v>0.57590840603873406</v>
      </c>
      <c r="X14" s="252">
        <f t="shared" si="17"/>
        <v>0.57590840603873406</v>
      </c>
      <c r="Y14" s="248">
        <f t="shared" si="18"/>
        <v>0.1201743462017435</v>
      </c>
      <c r="Z14" s="252">
        <f t="shared" si="19"/>
        <v>0.1201743462017435</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4</v>
      </c>
      <c r="AR14" s="28">
        <f>VLOOKUP($A14,historia!$A$5:$CM$24,+HLOOKUP(AR$2,historia!$A$3:$EC$4,2,FALSE),FALSE)</f>
        <v>3</v>
      </c>
      <c r="AS14" s="28">
        <f>VLOOKUP($A14,historia!$A$5:$CM$24,+HLOOKUP(AS$2,historia!$A$3:$EC$4,2,FALSE),FALSE)</f>
        <v>3</v>
      </c>
      <c r="AT14" s="58">
        <f>VLOOKUP($A14,historia!$A$5:$CM$24,+HLOOKUP(AT$2,historia!$A$3:$EC$4,2,FALSE),FALSE)</f>
        <v>3</v>
      </c>
      <c r="AU14" s="58">
        <f>VLOOKUP($A14,historia!$A$5:$CM$24,+HLOOKUP(AU$2,historia!$A$3:$EC$4,2,FALSE),FALSE)</f>
        <v>3</v>
      </c>
      <c r="AV14" s="58">
        <f>VLOOKUP($A14,historia!$A$5:$CM$24,+HLOOKUP(AV$2,historia!$A$3:$EC$4,2,FALSE),FALSE)</f>
        <v>3</v>
      </c>
      <c r="AW14" s="58">
        <f>VLOOKUP($A14,historia!$A$5:$CM$24,+HLOOKUP(AW$2,historia!$A$3:$EC$4,2,FALSE),FALSE)</f>
        <v>3</v>
      </c>
      <c r="AX14" s="58">
        <f>VLOOKUP($A14,historia!$A$5:$CM$24,+HLOOKUP(AX$2,historia!$A$3:$EC$4,2,FALSE),FALSE)</f>
        <v>3</v>
      </c>
      <c r="AY14" s="58">
        <f>VLOOKUP($A14,historia!$A$5:$CN$24,+HLOOKUP(AY$2,historia!$A$3:$EC$4,2,FALSE),FALSE)</f>
        <v>3</v>
      </c>
      <c r="AZ14" s="58">
        <f>VLOOKUP($A14,historia!$A$5:$DG$24,+HLOOKUP(AZ$2,historia!$A$3:$EC$4,2,FALSE),FALSE)</f>
        <v>3</v>
      </c>
      <c r="BA14" s="58">
        <f>VLOOKUP($A14,historia!$A$5:$DG$24,+HLOOKUP(BA$2,historia!$A$3:$EC$4,2,FALSE),FALSE)</f>
        <v>3</v>
      </c>
      <c r="BB14" s="58"/>
      <c r="BC14" s="286">
        <v>3</v>
      </c>
      <c r="BD14" t="str">
        <f t="shared" si="20"/>
        <v>Leche</v>
      </c>
      <c r="BE14">
        <f>+datos!BN1</f>
        <v>66</v>
      </c>
      <c r="BF14" s="2" t="str">
        <f t="shared" si="4"/>
        <v>$/l</v>
      </c>
      <c r="BG14" s="487">
        <f t="shared" si="4"/>
        <v>475.43</v>
      </c>
      <c r="BH14" s="487">
        <f t="shared" si="4"/>
        <v>474.6</v>
      </c>
      <c r="BI14" s="487">
        <f t="shared" si="4"/>
        <v>434.86</v>
      </c>
      <c r="BK14">
        <f>+datos!DC1</f>
        <v>107</v>
      </c>
      <c r="BL14" s="2">
        <f t="shared" si="21"/>
        <v>12280.120365260345</v>
      </c>
      <c r="BM14" s="2">
        <f t="shared" si="21"/>
        <v>12034.476164000749</v>
      </c>
      <c r="BN14" s="2">
        <f t="shared" si="21"/>
        <v>9184.3571291359149</v>
      </c>
      <c r="BP14" s="1">
        <f>+datos!EN1</f>
        <v>144</v>
      </c>
      <c r="BQ14" s="1">
        <f t="shared" si="22"/>
        <v>2898684</v>
      </c>
      <c r="BR14" s="1">
        <f t="shared" si="22"/>
        <v>3169981</v>
      </c>
      <c r="BT14" s="1">
        <f>+datos!HP1</f>
        <v>224</v>
      </c>
      <c r="BU14" s="1">
        <f t="shared" si="23"/>
        <v>11664.121788</v>
      </c>
      <c r="BV14" s="1">
        <f t="shared" si="23"/>
        <v>10311.198656900922</v>
      </c>
      <c r="BX14" s="1">
        <f>+datos!KH1</f>
        <v>294</v>
      </c>
      <c r="BY14" s="1">
        <f t="shared" si="39"/>
        <v>1849.0598854500001</v>
      </c>
      <c r="BZ14" s="1">
        <f t="shared" si="40"/>
        <v>1575.2534875600002</v>
      </c>
      <c r="CB14" s="1">
        <f>+datos!LM1</f>
        <v>325</v>
      </c>
      <c r="CC14" s="2">
        <f t="shared" si="24"/>
        <v>29.578026340000005</v>
      </c>
      <c r="CD14" s="2">
        <f t="shared" si="25"/>
        <v>18.768874019999998</v>
      </c>
      <c r="CF14" s="1">
        <f>+datos!IN1</f>
        <v>248</v>
      </c>
      <c r="CG14" s="1">
        <f t="shared" si="26"/>
        <v>179.9</v>
      </c>
      <c r="CH14" s="1">
        <f t="shared" si="27"/>
        <v>160.6</v>
      </c>
      <c r="CJ14" s="1">
        <f t="shared" si="28"/>
        <v>210.64847638000006</v>
      </c>
      <c r="CK14" s="1">
        <f t="shared" si="28"/>
        <v>202.06812983999998</v>
      </c>
      <c r="CL14" s="1">
        <f t="shared" si="28"/>
        <v>166.18279023000005</v>
      </c>
      <c r="CM14" s="1">
        <f t="shared" si="28"/>
        <v>145.54293837</v>
      </c>
      <c r="CN14" s="1">
        <f t="shared" si="28"/>
        <v>161.52973046</v>
      </c>
      <c r="CO14" s="1">
        <f t="shared" si="28"/>
        <v>135.14119298</v>
      </c>
      <c r="CP14" s="1">
        <f t="shared" si="28"/>
        <v>121.87302321000003</v>
      </c>
      <c r="CQ14" s="1">
        <f t="shared" si="28"/>
        <v>90.118424640000015</v>
      </c>
      <c r="CR14" s="1">
        <f t="shared" si="28"/>
        <v>158.22857195999995</v>
      </c>
      <c r="CS14" s="1">
        <f t="shared" si="28"/>
        <v>133.12937443000001</v>
      </c>
      <c r="CT14" s="1">
        <f t="shared" si="28"/>
        <v>150.81206259999999</v>
      </c>
      <c r="CU14" s="1">
        <f t="shared" si="28"/>
        <v>173.78517034999999</v>
      </c>
      <c r="CV14" s="1">
        <f t="shared" si="28"/>
        <v>162.27196751000002</v>
      </c>
      <c r="CW14" s="1">
        <f t="shared" si="28"/>
        <v>136.36151781000004</v>
      </c>
      <c r="CX14" s="1">
        <f t="shared" si="28"/>
        <v>114.33182424</v>
      </c>
      <c r="CY14" s="1">
        <f t="shared" si="28"/>
        <v>131.64359017999999</v>
      </c>
      <c r="CZ14" s="1">
        <f t="shared" si="29"/>
        <v>102.41564730000002</v>
      </c>
      <c r="DA14" s="1">
        <f t="shared" si="29"/>
        <v>113.57779348999999</v>
      </c>
      <c r="DB14" s="1">
        <f t="shared" si="29"/>
        <v>118.3786056</v>
      </c>
      <c r="DC14" s="1">
        <f t="shared" si="29"/>
        <v>126.46519539000002</v>
      </c>
      <c r="DD14" s="1">
        <f t="shared" si="29"/>
        <v>140.50614890000003</v>
      </c>
      <c r="DE14" s="1">
        <f t="shared" si="29"/>
        <v>139.44218023000002</v>
      </c>
      <c r="DF14" s="1">
        <f t="shared" si="29"/>
        <v>153.04661877999999</v>
      </c>
      <c r="DG14" s="1">
        <f t="shared" si="29"/>
        <v>136.81239812999999</v>
      </c>
      <c r="DI14" s="1">
        <f t="shared" si="30"/>
        <v>2.2980596799999997</v>
      </c>
      <c r="DJ14" s="1">
        <f t="shared" si="30"/>
        <v>2.7814752500000006</v>
      </c>
      <c r="DK14" s="1">
        <f t="shared" si="30"/>
        <v>1.95823569</v>
      </c>
      <c r="DL14" s="1">
        <f t="shared" si="30"/>
        <v>2.3716850700000007</v>
      </c>
      <c r="DM14" s="1">
        <f t="shared" si="30"/>
        <v>3.2200157200000006</v>
      </c>
      <c r="DN14" s="1">
        <f t="shared" si="30"/>
        <v>2.3449699800000001</v>
      </c>
      <c r="DO14" s="1">
        <f t="shared" si="30"/>
        <v>1.8496573299999999</v>
      </c>
      <c r="DP14" s="1">
        <f t="shared" si="30"/>
        <v>2.6840408</v>
      </c>
      <c r="DQ14" s="1">
        <f t="shared" si="30"/>
        <v>2.90139879</v>
      </c>
      <c r="DR14" s="1">
        <f t="shared" si="30"/>
        <v>2.9139955600000005</v>
      </c>
      <c r="DS14" s="1">
        <f t="shared" si="30"/>
        <v>1.6254967600000001</v>
      </c>
      <c r="DT14" s="1">
        <f t="shared" si="30"/>
        <v>2.6289957100000003</v>
      </c>
      <c r="DU14" s="1">
        <f t="shared" si="30"/>
        <v>0.92402921999999987</v>
      </c>
      <c r="DV14" s="1">
        <f t="shared" si="30"/>
        <v>1.0080099199999999</v>
      </c>
      <c r="DW14" s="1">
        <f t="shared" si="30"/>
        <v>0.81005326000000022</v>
      </c>
      <c r="DX14" s="1">
        <f t="shared" si="30"/>
        <v>2.5429137699999997</v>
      </c>
      <c r="DY14" s="1">
        <f t="shared" si="31"/>
        <v>0.83472519000000012</v>
      </c>
      <c r="DZ14" s="1">
        <f t="shared" si="31"/>
        <v>1.6658761100000001</v>
      </c>
      <c r="EA14" s="1">
        <f t="shared" si="31"/>
        <v>1.6724867599999997</v>
      </c>
      <c r="EB14" s="1">
        <f t="shared" si="31"/>
        <v>1.92660527</v>
      </c>
      <c r="EC14" s="1">
        <f t="shared" si="31"/>
        <v>0.38991597</v>
      </c>
      <c r="ED14" s="1">
        <f t="shared" si="31"/>
        <v>3.0425877200000002</v>
      </c>
      <c r="EE14" s="1">
        <f t="shared" si="31"/>
        <v>1.8227840799999999</v>
      </c>
      <c r="EF14" s="1">
        <f t="shared" si="31"/>
        <v>2.1288867499999999</v>
      </c>
      <c r="EH14" s="14">
        <f t="shared" si="32"/>
        <v>179.9</v>
      </c>
      <c r="EI14" s="14">
        <f t="shared" si="32"/>
        <v>182.6</v>
      </c>
      <c r="EJ14" s="1">
        <f t="shared" si="32"/>
        <v>185.2</v>
      </c>
      <c r="EK14" s="1">
        <f t="shared" si="32"/>
        <v>188.7</v>
      </c>
      <c r="EL14" s="1">
        <f t="shared" si="32"/>
        <v>191.3</v>
      </c>
      <c r="EM14" s="1">
        <f t="shared" si="32"/>
        <v>195.7</v>
      </c>
      <c r="EN14" s="1">
        <f t="shared" si="32"/>
        <v>194.1</v>
      </c>
      <c r="EO14" s="1">
        <f t="shared" si="32"/>
        <v>191</v>
      </c>
      <c r="EP14" s="1">
        <f t="shared" si="32"/>
        <v>181.1</v>
      </c>
      <c r="EQ14" s="1">
        <f t="shared" si="32"/>
        <v>170.3</v>
      </c>
      <c r="ER14" s="1">
        <f t="shared" si="32"/>
        <v>170.9</v>
      </c>
      <c r="ES14" s="1">
        <f t="shared" si="32"/>
        <v>168.7</v>
      </c>
      <c r="ET14" s="1">
        <f t="shared" si="32"/>
        <v>160.6</v>
      </c>
      <c r="EU14" s="1">
        <f t="shared" si="32"/>
        <v>160.6</v>
      </c>
      <c r="EV14" s="1">
        <f t="shared" si="32"/>
        <v>160.6</v>
      </c>
      <c r="EW14" s="1">
        <f t="shared" si="32"/>
        <v>160.6</v>
      </c>
      <c r="EX14" s="1">
        <f t="shared" si="33"/>
        <v>156.30000000000001</v>
      </c>
      <c r="EY14" s="1">
        <f t="shared" si="33"/>
        <v>155.80000000000001</v>
      </c>
      <c r="EZ14" s="1">
        <f t="shared" si="33"/>
        <v>159.5</v>
      </c>
      <c r="FA14" s="1">
        <f t="shared" si="33"/>
        <v>170.8</v>
      </c>
      <c r="FB14" s="1">
        <f t="shared" si="33"/>
        <v>170.8</v>
      </c>
      <c r="FC14" s="1">
        <f t="shared" si="33"/>
        <v>187.7</v>
      </c>
      <c r="FD14" s="1">
        <f t="shared" si="33"/>
        <v>196.8</v>
      </c>
      <c r="FE14" s="1">
        <f t="shared" si="33"/>
        <v>196.8</v>
      </c>
      <c r="FG14" s="162">
        <f t="shared" si="34"/>
        <v>-0.24377473302646102</v>
      </c>
    </row>
    <row r="15" spans="1:163" ht="18.75" customHeight="1">
      <c r="A15" s="244" t="s">
        <v>68</v>
      </c>
      <c r="B15" s="247"/>
      <c r="C15" s="228">
        <v>0</v>
      </c>
      <c r="D15" s="229">
        <v>-1</v>
      </c>
      <c r="E15" s="253">
        <f t="shared" si="6"/>
        <v>-7.077625570776247E-2</v>
      </c>
      <c r="F15" s="254">
        <f t="shared" si="7"/>
        <v>-9.4195686731681993E-2</v>
      </c>
      <c r="G15" s="253">
        <f t="shared" si="8"/>
        <v>1.0172616958731506E-2</v>
      </c>
      <c r="H15" s="254">
        <f t="shared" si="9"/>
        <v>-8.0948872666493976E-2</v>
      </c>
      <c r="I15" s="253">
        <f t="shared" si="10"/>
        <v>0.33642930856553144</v>
      </c>
      <c r="J15" s="254">
        <f t="shared" si="11"/>
        <v>2.3349967575649E-2</v>
      </c>
      <c r="K15" s="253">
        <f t="shared" si="12"/>
        <v>0.38830251964295703</v>
      </c>
      <c r="L15" s="254">
        <f t="shared" si="13"/>
        <v>-5.1873211077425596E-2</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0.84465297261286398</v>
      </c>
      <c r="X15" s="258">
        <f t="shared" si="17"/>
        <v>0.84465297261286398</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5</v>
      </c>
      <c r="AQ15" s="28">
        <f>VLOOKUP($A15,historia!$A$5:$CM$24,+HLOOKUP(AQ$2,historia!$A$3:$EC$4,2,FALSE),FALSE)</f>
        <v>5</v>
      </c>
      <c r="AR15" s="28">
        <f>VLOOKUP($A15,historia!$A$5:$CM$24,+HLOOKUP(AR$2,historia!$A$3:$EC$4,2,FALSE),FALSE)</f>
        <v>5</v>
      </c>
      <c r="AS15" s="28">
        <f>VLOOKUP($A15,historia!$A$5:$CM$24,+HLOOKUP(AS$2,historia!$A$3:$EC$4,2,FALSE),FALSE)</f>
        <v>5</v>
      </c>
      <c r="AT15" s="58">
        <f>VLOOKUP($A15,historia!$A$5:$CM$24,+HLOOKUP(AT$2,historia!$A$3:$EC$4,2,FALSE),FALSE)</f>
        <v>4</v>
      </c>
      <c r="AU15" s="58">
        <f>VLOOKUP($A15,historia!$A$5:$CM$24,+HLOOKUP(AU$2,historia!$A$3:$EC$4,2,FALSE),FALSE)</f>
        <v>4</v>
      </c>
      <c r="AV15" s="58">
        <f>VLOOKUP($A15,historia!$A$5:$CM$24,+HLOOKUP(AV$2,historia!$A$3:$EC$4,2,FALSE),FALSE)</f>
        <v>4</v>
      </c>
      <c r="AW15" s="58">
        <f>VLOOKUP($A15,historia!$A$5:$CM$24,+HLOOKUP(AW$2,historia!$A$3:$EC$4,2,FALSE),FALSE)</f>
        <v>4</v>
      </c>
      <c r="AX15" s="58">
        <f>VLOOKUP($A15,historia!$A$5:$CM$24,+HLOOKUP(AX$2,historia!$A$3:$EC$4,2,FALSE),FALSE)</f>
        <v>4</v>
      </c>
      <c r="AY15" s="58">
        <f>VLOOKUP($A15,historia!$A$5:$CN$24,+HLOOKUP(AY$2,historia!$A$3:$EC$4,2,FALSE),FALSE)</f>
        <v>3</v>
      </c>
      <c r="AZ15" s="58">
        <f>VLOOKUP($A15,historia!$A$5:$DG$24,+HLOOKUP(AZ$2,historia!$A$3:$EC$4,2,FALSE),FALSE)</f>
        <v>3</v>
      </c>
      <c r="BA15" s="58">
        <f>VLOOKUP($A15,historia!$A$5:$DG$24,+HLOOKUP(BA$2,historia!$A$3:$EC$4,2,FALSE),FALSE)</f>
        <v>3</v>
      </c>
      <c r="BB15" s="58"/>
      <c r="BC15" s="286">
        <v>3</v>
      </c>
      <c r="BD15" t="str">
        <f t="shared" si="20"/>
        <v>Mandioca</v>
      </c>
      <c r="BE15">
        <f>+datos!AW1</f>
        <v>49</v>
      </c>
      <c r="BF15" s="2" t="str">
        <f t="shared" si="4"/>
        <v>$/bolsa40kg</v>
      </c>
      <c r="BG15" s="2">
        <f t="shared" si="4"/>
        <v>12333.333333333334</v>
      </c>
      <c r="BH15" s="2">
        <f t="shared" si="4"/>
        <v>13272.727272727272</v>
      </c>
      <c r="BI15" s="2">
        <f t="shared" si="4"/>
        <v>9228.5714285714294</v>
      </c>
      <c r="BK15">
        <f>+datos!CJ1</f>
        <v>88</v>
      </c>
      <c r="BL15" s="2">
        <f t="shared" si="21"/>
        <v>11104.635542108232</v>
      </c>
      <c r="BM15" s="2">
        <f t="shared" si="21"/>
        <v>10992.809897718589</v>
      </c>
      <c r="BN15" s="2">
        <f t="shared" si="21"/>
        <v>7998.7145344691271</v>
      </c>
      <c r="BP15" s="1">
        <f>+datos!EY1</f>
        <v>155</v>
      </c>
      <c r="BQ15" s="1">
        <f t="shared" si="22"/>
        <v>20031</v>
      </c>
      <c r="BR15" s="1">
        <f t="shared" si="22"/>
        <v>20031</v>
      </c>
      <c r="BT15" s="1">
        <f>+datos!GO1</f>
        <v>197</v>
      </c>
      <c r="BU15" s="1">
        <f t="shared" si="23"/>
        <v>201734</v>
      </c>
      <c r="BV15" s="1">
        <f t="shared" si="23"/>
        <v>201734</v>
      </c>
      <c r="BX15" s="1">
        <f>+datos!JP1</f>
        <v>276</v>
      </c>
      <c r="BY15" s="1">
        <f t="shared" si="39"/>
        <v>0</v>
      </c>
      <c r="BZ15" s="1">
        <f t="shared" si="40"/>
        <v>0</v>
      </c>
      <c r="CB15" s="1">
        <f>+datos!KU1</f>
        <v>307</v>
      </c>
      <c r="CC15" s="2">
        <f t="shared" si="24"/>
        <v>3.4307896000000007</v>
      </c>
      <c r="CD15" s="2">
        <f t="shared" si="25"/>
        <v>1.8598563800000001</v>
      </c>
      <c r="CF15" s="1">
        <f>+datos!IY1</f>
        <v>259</v>
      </c>
      <c r="CG15" s="1">
        <f t="shared" si="26"/>
        <v>1.88</v>
      </c>
      <c r="CH15" s="1">
        <f t="shared" si="27"/>
        <v>1.88</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9"/>
        <v>0</v>
      </c>
      <c r="DA15" s="1">
        <f t="shared" si="29"/>
        <v>0</v>
      </c>
      <c r="DB15" s="1">
        <f t="shared" si="29"/>
        <v>0</v>
      </c>
      <c r="DC15" s="1">
        <f t="shared" si="29"/>
        <v>0</v>
      </c>
      <c r="DD15" s="1">
        <f t="shared" si="29"/>
        <v>0</v>
      </c>
      <c r="DE15" s="1">
        <f t="shared" si="29"/>
        <v>0</v>
      </c>
      <c r="DF15" s="1">
        <f t="shared" si="29"/>
        <v>0</v>
      </c>
      <c r="DG15" s="1">
        <f t="shared" si="29"/>
        <v>0</v>
      </c>
      <c r="DI15" s="14">
        <f t="shared" si="30"/>
        <v>0.43603392000000002</v>
      </c>
      <c r="DJ15" s="14">
        <f t="shared" si="30"/>
        <v>0.45279353000000006</v>
      </c>
      <c r="DK15" s="1">
        <f t="shared" si="30"/>
        <v>0.30456642</v>
      </c>
      <c r="DL15" s="1">
        <f t="shared" si="30"/>
        <v>0.53543670999999993</v>
      </c>
      <c r="DM15" s="1">
        <f t="shared" si="30"/>
        <v>0.43177300000000002</v>
      </c>
      <c r="DN15" s="1">
        <f t="shared" si="30"/>
        <v>0.33740116000000003</v>
      </c>
      <c r="DO15" s="1">
        <f t="shared" si="30"/>
        <v>0.28762799999999999</v>
      </c>
      <c r="DP15" s="1">
        <f t="shared" si="30"/>
        <v>0.10344400999999999</v>
      </c>
      <c r="DQ15" s="1">
        <f t="shared" si="30"/>
        <v>4.4833160000000004E-2</v>
      </c>
      <c r="DR15" s="1">
        <f t="shared" si="30"/>
        <v>0.14172798</v>
      </c>
      <c r="DS15" s="1">
        <f t="shared" si="30"/>
        <v>7.4560410000000008E-2</v>
      </c>
      <c r="DT15" s="1">
        <f t="shared" si="30"/>
        <v>0.28059129999999999</v>
      </c>
      <c r="DU15" s="1">
        <f t="shared" si="30"/>
        <v>0.15169276000000001</v>
      </c>
      <c r="DV15" s="1">
        <f t="shared" si="30"/>
        <v>0.14711371000000001</v>
      </c>
      <c r="DW15" s="1">
        <f t="shared" si="30"/>
        <v>0.18175015000000003</v>
      </c>
      <c r="DX15" s="1">
        <f t="shared" si="30"/>
        <v>0.15569543999999999</v>
      </c>
      <c r="DY15" s="1">
        <f t="shared" si="31"/>
        <v>0.1712014</v>
      </c>
      <c r="DZ15" s="1">
        <f t="shared" si="31"/>
        <v>0.12198517</v>
      </c>
      <c r="EA15" s="1">
        <f t="shared" si="31"/>
        <v>1.6812999999999999E-3</v>
      </c>
      <c r="EB15" s="1">
        <f t="shared" si="31"/>
        <v>2.8195380000000003E-2</v>
      </c>
      <c r="EC15" s="1">
        <f t="shared" si="31"/>
        <v>4.9277770000000005E-2</v>
      </c>
      <c r="ED15" s="1">
        <f t="shared" si="31"/>
        <v>0.21358802999999996</v>
      </c>
      <c r="EE15" s="1">
        <f t="shared" si="31"/>
        <v>0.24099903000000003</v>
      </c>
      <c r="EF15" s="1">
        <f t="shared" si="31"/>
        <v>0.39667624000000001</v>
      </c>
      <c r="EH15" s="14">
        <f t="shared" si="32"/>
        <v>1.88</v>
      </c>
      <c r="EI15" s="14">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3"/>
        <v>1.88</v>
      </c>
      <c r="EY15" s="1">
        <f t="shared" si="33"/>
        <v>1.88</v>
      </c>
      <c r="EZ15" s="1">
        <f t="shared" si="33"/>
        <v>1.88</v>
      </c>
      <c r="FA15" s="1">
        <f t="shared" si="33"/>
        <v>1.88</v>
      </c>
      <c r="FB15" s="1">
        <f t="shared" si="33"/>
        <v>1.88</v>
      </c>
      <c r="FC15" s="1">
        <f t="shared" si="33"/>
        <v>1.88</v>
      </c>
      <c r="FD15" s="1">
        <f t="shared" si="33"/>
        <v>1.88</v>
      </c>
      <c r="FE15" s="1">
        <f t="shared" si="33"/>
        <v>1.88</v>
      </c>
      <c r="FG15" s="162">
        <f t="shared" si="34"/>
        <v>-5.1873211077425596E-2</v>
      </c>
    </row>
    <row r="16" spans="1:163" ht="18" customHeight="1">
      <c r="A16" s="243" t="s">
        <v>25</v>
      </c>
      <c r="B16" s="246"/>
      <c r="C16" s="156">
        <f t="shared" si="5"/>
        <v>-0.66</v>
      </c>
      <c r="D16" s="198">
        <v>-1</v>
      </c>
      <c r="E16" s="248">
        <f t="shared" si="6"/>
        <v>5.8144842496321569E-2</v>
      </c>
      <c r="F16" s="249">
        <f t="shared" si="7"/>
        <v>3.4725411472402046E-2</v>
      </c>
      <c r="G16" s="248">
        <f t="shared" si="8"/>
        <v>3.3406247341730033E-2</v>
      </c>
      <c r="H16" s="249">
        <f t="shared" si="9"/>
        <v>2.4738595154591536E-2</v>
      </c>
      <c r="I16" s="248">
        <f t="shared" si="10"/>
        <v>-5.8180144313168869E-2</v>
      </c>
      <c r="J16" s="249">
        <f t="shared" si="11"/>
        <v>-0.37125948530305131</v>
      </c>
      <c r="K16" s="248">
        <f t="shared" si="12"/>
        <v>0.17964852335916515</v>
      </c>
      <c r="L16" s="249">
        <f t="shared" si="13"/>
        <v>-0.23782866767233402</v>
      </c>
      <c r="M16" s="250"/>
      <c r="N16" s="24">
        <v>1</v>
      </c>
      <c r="O16" s="248">
        <f t="shared" si="35"/>
        <v>-0.25368839092147422</v>
      </c>
      <c r="P16" s="251">
        <f t="shared" si="36"/>
        <v>-0.25368839092147422</v>
      </c>
      <c r="Q16" s="248">
        <f t="shared" si="14"/>
        <v>-0.13425129087779686</v>
      </c>
      <c r="R16" s="251">
        <f t="shared" si="37"/>
        <v>-0.13425129087779686</v>
      </c>
      <c r="S16" s="250"/>
      <c r="T16" s="24">
        <v>-2</v>
      </c>
      <c r="U16" s="248">
        <f t="shared" si="15"/>
        <v>0.14597019505631526</v>
      </c>
      <c r="V16" s="252">
        <f t="shared" si="16"/>
        <v>0.14597019505631526</v>
      </c>
      <c r="W16" s="248">
        <f>IFERROR(+CC16/CD16-1,"")</f>
        <v>-0.18659590734864384</v>
      </c>
      <c r="X16" s="258">
        <f t="shared" si="17"/>
        <v>-0.18659590734864384</v>
      </c>
      <c r="Y16" s="248">
        <f t="shared" si="18"/>
        <v>0.14970059880239517</v>
      </c>
      <c r="Z16" s="252">
        <f t="shared" si="19"/>
        <v>0.14970059880239517</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4</v>
      </c>
      <c r="AQ16" s="28">
        <f>VLOOKUP($A16,historia!$A$5:$CM$24,+HLOOKUP(AQ$2,historia!$A$3:$EC$4,2,FALSE),FALSE)</f>
        <v>4</v>
      </c>
      <c r="AR16" s="28">
        <f>VLOOKUP($A16,historia!$A$5:$CM$24,+HLOOKUP(AR$2,historia!$A$3:$EC$4,2,FALSE),FALSE)</f>
        <v>2</v>
      </c>
      <c r="AS16" s="28">
        <f>VLOOKUP($A16,historia!$A$5:$CM$24,+HLOOKUP(AS$2,historia!$A$3:$EC$4,2,FALSE),FALSE)</f>
        <v>2</v>
      </c>
      <c r="AT16" s="58">
        <f>VLOOKUP($A16,historia!$A$5:$CM$24,+HLOOKUP(AT$2,historia!$A$3:$EC$4,2,FALSE),FALSE)</f>
        <v>3</v>
      </c>
      <c r="AU16" s="58">
        <f>VLOOKUP($A16,historia!$A$5:$CM$24,+HLOOKUP(AU$2,historia!$A$3:$EC$4,2,FALSE),FALSE)</f>
        <v>3</v>
      </c>
      <c r="AV16" s="58">
        <f>VLOOKUP($A16,historia!$A$5:$CM$24,+HLOOKUP(AV$2,historia!$A$3:$EC$4,2,FALSE),FALSE)</f>
        <v>3</v>
      </c>
      <c r="AW16" s="58">
        <f>VLOOKUP($A16,historia!$A$5:$CM$24,+HLOOKUP(AW$2,historia!$A$3:$EC$4,2,FALSE),FALSE)</f>
        <v>3</v>
      </c>
      <c r="AX16" s="58">
        <f>VLOOKUP($A16,historia!$A$5:$CM$24,+HLOOKUP(AX$2,historia!$A$3:$EC$4,2,FALSE),FALSE)</f>
        <v>3</v>
      </c>
      <c r="AY16" s="58">
        <f>VLOOKUP($A16,historia!$A$5:$CN$24,+HLOOKUP(AY$2,historia!$A$3:$EC$4,2,FALSE),FALSE)</f>
        <v>3</v>
      </c>
      <c r="AZ16" s="58">
        <f>VLOOKUP($A16,historia!$A$5:$DG$24,+HLOOKUP(AZ$2,historia!$A$3:$EC$4,2,FALSE),FALSE)</f>
        <v>3</v>
      </c>
      <c r="BA16" s="58">
        <f>VLOOKUP($A16,historia!$A$5:$DG$24,+HLOOKUP(BA$2,historia!$A$3:$EC$4,2,FALSE),FALSE)</f>
        <v>3</v>
      </c>
      <c r="BB16" s="58"/>
      <c r="BC16" s="286">
        <v>3</v>
      </c>
      <c r="BD16" t="str">
        <f t="shared" si="20"/>
        <v>Maní</v>
      </c>
      <c r="BE16">
        <f>+datos!AF1</f>
        <v>32</v>
      </c>
      <c r="BF16" s="2" t="str">
        <f t="shared" si="4"/>
        <v>$/t</v>
      </c>
      <c r="BG16" s="2">
        <f t="shared" si="4"/>
        <v>825167.27272727271</v>
      </c>
      <c r="BH16" s="2">
        <f t="shared" si="4"/>
        <v>779824.5</v>
      </c>
      <c r="BI16" s="2">
        <f t="shared" si="4"/>
        <v>876141.3</v>
      </c>
      <c r="BK16">
        <f>+datos!CH1</f>
        <v>86</v>
      </c>
      <c r="BL16" s="2">
        <f t="shared" si="21"/>
        <v>12497.616793266192</v>
      </c>
      <c r="BM16" s="2">
        <f t="shared" si="21"/>
        <v>12093.614515505673</v>
      </c>
      <c r="BN16" s="2">
        <f t="shared" si="21"/>
        <v>10594.356323761589</v>
      </c>
      <c r="BP16" s="1">
        <f>+datos!EB1</f>
        <v>132</v>
      </c>
      <c r="BQ16" s="1">
        <f t="shared" si="22"/>
        <v>389000</v>
      </c>
      <c r="BR16" s="1">
        <f t="shared" si="22"/>
        <v>521230</v>
      </c>
      <c r="BT16" s="1">
        <f>+datos!FW1</f>
        <v>179</v>
      </c>
      <c r="BU16" s="1">
        <f t="shared" si="23"/>
        <v>1389286</v>
      </c>
      <c r="BV16" s="1">
        <f t="shared" si="23"/>
        <v>1604722</v>
      </c>
      <c r="BX16" s="1">
        <f>+datos!JK1</f>
        <v>271</v>
      </c>
      <c r="BY16" s="1">
        <f t="shared" si="39"/>
        <v>1451.3863510899996</v>
      </c>
      <c r="BZ16" s="1">
        <f t="shared" si="40"/>
        <v>1266.5131757799998</v>
      </c>
      <c r="CB16" s="1">
        <f>+datos!KP1</f>
        <v>302</v>
      </c>
      <c r="CC16" s="2">
        <f t="shared" si="24"/>
        <v>2.0552177500000002</v>
      </c>
      <c r="CD16" s="2">
        <f t="shared" si="25"/>
        <v>2.5266872499999997</v>
      </c>
      <c r="CF16" s="1">
        <f>+datos!IJ1</f>
        <v>244</v>
      </c>
      <c r="CG16" s="1">
        <f t="shared" si="26"/>
        <v>2.4791954184468667</v>
      </c>
      <c r="CH16" s="1">
        <f t="shared" si="27"/>
        <v>2.1563835150032644</v>
      </c>
      <c r="CJ16" s="1">
        <f t="shared" si="28"/>
        <v>153.65977728999999</v>
      </c>
      <c r="CK16" s="1">
        <f t="shared" si="28"/>
        <v>137.05460552</v>
      </c>
      <c r="CL16" s="1">
        <f t="shared" si="28"/>
        <v>119.79773589000003</v>
      </c>
      <c r="CM16" s="1">
        <f t="shared" si="28"/>
        <v>108.38462631999997</v>
      </c>
      <c r="CN16" s="1">
        <f t="shared" si="28"/>
        <v>110.53778464999999</v>
      </c>
      <c r="CO16" s="1">
        <f t="shared" si="28"/>
        <v>97.139552130000013</v>
      </c>
      <c r="CP16" s="1">
        <f t="shared" si="28"/>
        <v>94.262180470000018</v>
      </c>
      <c r="CQ16" s="1">
        <f t="shared" si="28"/>
        <v>104.16408064999997</v>
      </c>
      <c r="CR16" s="1">
        <f t="shared" si="28"/>
        <v>129.66034791999999</v>
      </c>
      <c r="CS16" s="1">
        <f t="shared" si="28"/>
        <v>100.29183523999998</v>
      </c>
      <c r="CT16" s="1">
        <f t="shared" si="28"/>
        <v>142.99991008000001</v>
      </c>
      <c r="CU16" s="1">
        <f t="shared" si="28"/>
        <v>153.43391492999999</v>
      </c>
      <c r="CV16" s="1">
        <f t="shared" si="28"/>
        <v>142.09253510999997</v>
      </c>
      <c r="CW16" s="1">
        <f t="shared" si="28"/>
        <v>155.33708399000002</v>
      </c>
      <c r="CX16" s="1">
        <f t="shared" si="28"/>
        <v>156.99934678</v>
      </c>
      <c r="CY16" s="1">
        <f t="shared" si="28"/>
        <v>115.53726275000001</v>
      </c>
      <c r="CZ16" s="1">
        <f t="shared" si="29"/>
        <v>98.487414479999984</v>
      </c>
      <c r="DA16" s="1">
        <f t="shared" si="29"/>
        <v>63.473924160000003</v>
      </c>
      <c r="DB16" s="1">
        <f t="shared" si="29"/>
        <v>65.127016839999982</v>
      </c>
      <c r="DC16" s="1">
        <f t="shared" si="29"/>
        <v>70.784594500000011</v>
      </c>
      <c r="DD16" s="1">
        <f t="shared" si="29"/>
        <v>111.62267066999999</v>
      </c>
      <c r="DE16" s="1">
        <f t="shared" si="29"/>
        <v>100.80321882999999</v>
      </c>
      <c r="DF16" s="1">
        <f t="shared" si="29"/>
        <v>90.064767340000003</v>
      </c>
      <c r="DG16" s="1">
        <f t="shared" si="29"/>
        <v>96.183340330000021</v>
      </c>
      <c r="DI16" s="1">
        <f t="shared" si="30"/>
        <v>9.9999999999999995E-7</v>
      </c>
      <c r="DJ16" s="1">
        <f t="shared" si="30"/>
        <v>0.27773459</v>
      </c>
      <c r="DK16" s="1">
        <f t="shared" si="30"/>
        <v>0.19844290000000001</v>
      </c>
      <c r="DL16" s="1">
        <f t="shared" si="30"/>
        <v>0.14424532000000001</v>
      </c>
      <c r="DM16" s="1">
        <f t="shared" si="30"/>
        <v>5.4312239999999998E-2</v>
      </c>
      <c r="DN16" s="1">
        <f t="shared" si="30"/>
        <v>1.9420499999999999E-3</v>
      </c>
      <c r="DO16" s="1">
        <f t="shared" si="30"/>
        <v>1.0560452</v>
      </c>
      <c r="DP16" s="1">
        <f t="shared" si="30"/>
        <v>3.8992409999999998E-2</v>
      </c>
      <c r="DQ16" s="1">
        <f t="shared" si="30"/>
        <v>0</v>
      </c>
      <c r="DR16" s="1">
        <f t="shared" si="30"/>
        <v>5.2225250000000001E-2</v>
      </c>
      <c r="DS16" s="1">
        <f t="shared" si="30"/>
        <v>0.22862400000000002</v>
      </c>
      <c r="DT16" s="1">
        <f t="shared" si="30"/>
        <v>2.6527899999999999E-3</v>
      </c>
      <c r="DU16" s="1">
        <f t="shared" si="30"/>
        <v>1.6271E-3</v>
      </c>
      <c r="DV16" s="1">
        <f t="shared" si="30"/>
        <v>0.13444175</v>
      </c>
      <c r="DW16" s="1">
        <f t="shared" si="30"/>
        <v>4.2737620000000004E-2</v>
      </c>
      <c r="DX16" s="1">
        <f t="shared" si="30"/>
        <v>8.6628999999999998E-2</v>
      </c>
      <c r="DY16" s="1">
        <f t="shared" si="31"/>
        <v>8.4906640000000005E-2</v>
      </c>
      <c r="DZ16" s="1">
        <f t="shared" si="31"/>
        <v>8.714181E-2</v>
      </c>
      <c r="EA16" s="1">
        <f t="shared" si="31"/>
        <v>0.111375</v>
      </c>
      <c r="EB16" s="1">
        <f t="shared" si="31"/>
        <v>0.12514284000000001</v>
      </c>
      <c r="EC16" s="1">
        <f t="shared" si="31"/>
        <v>0.69674917999999986</v>
      </c>
      <c r="ED16" s="1">
        <f t="shared" si="31"/>
        <v>0.79684906</v>
      </c>
      <c r="EE16" s="1">
        <f t="shared" si="31"/>
        <v>0.24194792999999998</v>
      </c>
      <c r="EF16" s="1">
        <f t="shared" si="31"/>
        <v>0.11713932000000001</v>
      </c>
      <c r="EH16" s="14">
        <f t="shared" si="32"/>
        <v>2.4791954184468667</v>
      </c>
      <c r="EI16" s="14">
        <f t="shared" si="32"/>
        <v>2.3888080854826579</v>
      </c>
      <c r="EJ16" s="1">
        <f t="shared" si="32"/>
        <v>2.3888080854826579</v>
      </c>
      <c r="EK16" s="1">
        <f t="shared" si="32"/>
        <v>2.3888080854826579</v>
      </c>
      <c r="EL16" s="1">
        <f t="shared" si="32"/>
        <v>2.3888080854826579</v>
      </c>
      <c r="EM16" s="1">
        <f t="shared" si="32"/>
        <v>2.3888080854826579</v>
      </c>
      <c r="EN16" s="1">
        <f t="shared" si="32"/>
        <v>2.3888080854826579</v>
      </c>
      <c r="EO16" s="1">
        <f t="shared" si="32"/>
        <v>2.1563835150032644</v>
      </c>
      <c r="EP16" s="1">
        <f t="shared" si="32"/>
        <v>2.1563835150032644</v>
      </c>
      <c r="EQ16" s="1">
        <f t="shared" si="32"/>
        <v>2.1563835150032644</v>
      </c>
      <c r="ER16" s="1">
        <f t="shared" si="32"/>
        <v>2.1563835150032644</v>
      </c>
      <c r="ES16" s="1">
        <f t="shared" si="32"/>
        <v>2.1563835150032644</v>
      </c>
      <c r="ET16" s="1">
        <f t="shared" si="32"/>
        <v>2.1563835150032644</v>
      </c>
      <c r="EU16" s="1">
        <f t="shared" si="32"/>
        <v>2.1563835150032644</v>
      </c>
      <c r="EV16" s="1">
        <f t="shared" si="32"/>
        <v>2.1563835150032644</v>
      </c>
      <c r="EW16" s="1">
        <f t="shared" si="32"/>
        <v>2.1563835150032644</v>
      </c>
      <c r="EX16" s="1">
        <f t="shared" si="33"/>
        <v>2.1563835150032644</v>
      </c>
      <c r="EY16" s="1">
        <f t="shared" si="33"/>
        <v>2.1563835150032644</v>
      </c>
      <c r="EZ16" s="1">
        <f t="shared" si="33"/>
        <v>2.1563835150032644</v>
      </c>
      <c r="FA16" s="1">
        <f t="shared" si="33"/>
        <v>1.9885213252125911</v>
      </c>
      <c r="FB16" s="1">
        <f t="shared" si="33"/>
        <v>1.9885213252125911</v>
      </c>
      <c r="FC16" s="1">
        <f t="shared" si="33"/>
        <v>1.9885213252125911</v>
      </c>
      <c r="FD16" s="1">
        <f t="shared" si="33"/>
        <v>1.9885213252125911</v>
      </c>
      <c r="FE16" s="1">
        <f t="shared" si="33"/>
        <v>1.9885213252125911</v>
      </c>
      <c r="FG16" s="162">
        <f t="shared" si="34"/>
        <v>-0.23782866767233402</v>
      </c>
    </row>
    <row r="17" spans="1:163" ht="18.75" customHeight="1">
      <c r="A17" s="244" t="s">
        <v>76</v>
      </c>
      <c r="B17" s="247"/>
      <c r="C17" s="228">
        <f t="shared" si="5"/>
        <v>-0.99</v>
      </c>
      <c r="D17" s="229">
        <v>-1</v>
      </c>
      <c r="E17" s="253">
        <f t="shared" si="6"/>
        <v>7.9154375614552519E-2</v>
      </c>
      <c r="F17" s="254">
        <f t="shared" si="7"/>
        <v>5.5734944590632995E-2</v>
      </c>
      <c r="G17" s="253">
        <f t="shared" si="8"/>
        <v>2.1308431416516393E-2</v>
      </c>
      <c r="H17" s="254">
        <f t="shared" si="9"/>
        <v>5.7845944198036126E-2</v>
      </c>
      <c r="I17" s="253">
        <f t="shared" si="10"/>
        <v>0.27839254513686673</v>
      </c>
      <c r="J17" s="254">
        <f t="shared" si="11"/>
        <v>-3.4686795853015706E-2</v>
      </c>
      <c r="K17" s="253">
        <f t="shared" si="12"/>
        <v>0.38416263368166992</v>
      </c>
      <c r="L17" s="254">
        <f t="shared" si="13"/>
        <v>-0.10577008854480319</v>
      </c>
      <c r="M17" s="255"/>
      <c r="N17" s="256">
        <v>-1</v>
      </c>
      <c r="O17" s="253">
        <f>IFERROR(+BQ17/BR17-1,"")</f>
        <v>0.14285714285714279</v>
      </c>
      <c r="P17" s="257">
        <f t="shared" si="36"/>
        <v>0.14285714285714279</v>
      </c>
      <c r="Q17" s="253">
        <f t="shared" si="14"/>
        <v>8.2297934975540166E-2</v>
      </c>
      <c r="R17" s="257">
        <f t="shared" si="37"/>
        <v>8.2297934975540166E-2</v>
      </c>
      <c r="S17" s="255"/>
      <c r="T17" s="256">
        <v>-1</v>
      </c>
      <c r="U17" s="253">
        <f t="shared" si="15"/>
        <v>0.10359437763889612</v>
      </c>
      <c r="V17" s="258">
        <f t="shared" si="16"/>
        <v>0.10359437763889612</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5</v>
      </c>
      <c r="AR17" s="28">
        <f>VLOOKUP($A17,historia!$A$5:$CM$24,+HLOOKUP(AR$2,historia!$A$3:$EC$4,2,FALSE),FALSE)</f>
        <v>3</v>
      </c>
      <c r="AS17" s="28">
        <f>VLOOKUP($A17,historia!$A$5:$CM$24,+HLOOKUP(AS$2,historia!$A$3:$EC$4,2,FALSE),FALSE)</f>
        <v>3</v>
      </c>
      <c r="AT17" s="58">
        <f>VLOOKUP($A17,historia!$A$5:$CM$24,+HLOOKUP(AT$2,historia!$A$3:$EC$4,2,FALSE),FALSE)</f>
        <v>3</v>
      </c>
      <c r="AU17" s="58">
        <f>VLOOKUP($A17,historia!$A$5:$CM$24,+HLOOKUP(AU$2,historia!$A$3:$EC$4,2,FALSE),FALSE)</f>
        <v>3</v>
      </c>
      <c r="AV17" s="58">
        <f>VLOOKUP($A17,historia!$A$5:$CM$24,+HLOOKUP(AV$2,historia!$A$3:$EC$4,2,FALSE),FALSE)</f>
        <v>3</v>
      </c>
      <c r="AW17" s="58">
        <f>VLOOKUP($A17,historia!$A$5:$CM$24,+HLOOKUP(AW$2,historia!$A$3:$EC$4,2,FALSE),FALSE)</f>
        <v>3</v>
      </c>
      <c r="AX17" s="58">
        <f>VLOOKUP($A17,historia!$A$5:$CM$24,+HLOOKUP(AX$2,historia!$A$3:$EC$4,2,FALSE),FALSE)</f>
        <v>3</v>
      </c>
      <c r="AY17" s="58">
        <f>VLOOKUP($A17,historia!$A$5:$CN$24,+HLOOKUP(AY$2,historia!$A$3:$EC$4,2,FALSE),FALSE)</f>
        <v>3</v>
      </c>
      <c r="AZ17" s="58">
        <f>VLOOKUP($A17,historia!$A$5:$DG$24,+HLOOKUP(AZ$2,historia!$A$3:$EC$4,2,FALSE),FALSE)</f>
        <v>3</v>
      </c>
      <c r="BA17" s="58">
        <f>VLOOKUP($A17,historia!$A$5:$DG$24,+HLOOKUP(BA$2,historia!$A$3:$EC$4,2,FALSE),FALSE)</f>
        <v>2</v>
      </c>
      <c r="BB17" s="58"/>
      <c r="BC17" s="286">
        <v>2</v>
      </c>
      <c r="BD17" t="str">
        <f t="shared" si="20"/>
        <v>Miel</v>
      </c>
      <c r="BE17">
        <f>+datos!BV1</f>
        <v>74</v>
      </c>
      <c r="BF17" s="2" t="str">
        <f t="shared" si="4"/>
        <v>$/kg</v>
      </c>
      <c r="BG17" s="2">
        <f t="shared" si="4"/>
        <v>2195</v>
      </c>
      <c r="BH17" s="2">
        <f t="shared" si="4"/>
        <v>2034</v>
      </c>
      <c r="BI17" s="2">
        <f t="shared" si="4"/>
        <v>1717</v>
      </c>
      <c r="BK17">
        <f>+datos!DH1</f>
        <v>112</v>
      </c>
      <c r="BL17" s="2">
        <f t="shared" si="21"/>
        <v>12020.276248962509</v>
      </c>
      <c r="BM17" s="2">
        <f t="shared" si="21"/>
        <v>11769.486943616865</v>
      </c>
      <c r="BN17" s="2">
        <f t="shared" si="21"/>
        <v>8684.1502266177595</v>
      </c>
      <c r="BP17" s="1">
        <f>+datos!EQ1</f>
        <v>147</v>
      </c>
      <c r="BQ17" s="1">
        <f t="shared" si="22"/>
        <v>4000000</v>
      </c>
      <c r="BR17" s="1">
        <f t="shared" si="22"/>
        <v>3500000</v>
      </c>
      <c r="BT17" s="1">
        <f>+datos!GP1</f>
        <v>198</v>
      </c>
      <c r="BU17" s="1">
        <f t="shared" si="23"/>
        <v>75000</v>
      </c>
      <c r="BV17" s="1">
        <f t="shared" si="23"/>
        <v>69297</v>
      </c>
      <c r="BX17" s="1">
        <f>+datos!KE1</f>
        <v>291</v>
      </c>
      <c r="BY17" s="1">
        <f t="shared" si="39"/>
        <v>234.89749174000002</v>
      </c>
      <c r="BZ17" s="1">
        <f t="shared" si="40"/>
        <v>212.84766985000002</v>
      </c>
      <c r="CB17" s="1">
        <f>+datos!LJ1</f>
        <v>322</v>
      </c>
      <c r="CC17" s="2">
        <f t="shared" si="24"/>
        <v>4.5226869999999995E-2</v>
      </c>
      <c r="CD17" s="2">
        <f>+SUM(DU17:EF17)</f>
        <v>9.3545939999999994E-2</v>
      </c>
      <c r="CF17" s="1">
        <f>+datos!IZ1</f>
        <v>260</v>
      </c>
      <c r="CG17" s="2">
        <f t="shared" si="26"/>
        <v>0.3</v>
      </c>
      <c r="CH17" s="2">
        <f t="shared" si="27"/>
        <v>0.3</v>
      </c>
      <c r="CJ17" s="1">
        <f t="shared" si="28"/>
        <v>22.033355530000001</v>
      </c>
      <c r="CK17" s="1">
        <f t="shared" si="28"/>
        <v>25.714133060000005</v>
      </c>
      <c r="CL17" s="1">
        <f t="shared" si="28"/>
        <v>20.973477770000002</v>
      </c>
      <c r="CM17" s="1">
        <f t="shared" si="28"/>
        <v>25.565397789999999</v>
      </c>
      <c r="CN17" s="1">
        <f t="shared" si="28"/>
        <v>22.120083830000002</v>
      </c>
      <c r="CO17" s="1">
        <f t="shared" si="28"/>
        <v>25.223589140000001</v>
      </c>
      <c r="CP17" s="1">
        <f t="shared" si="28"/>
        <v>23.185079629999997</v>
      </c>
      <c r="CQ17" s="1">
        <f t="shared" si="28"/>
        <v>18.014525360000007</v>
      </c>
      <c r="CR17" s="1">
        <f t="shared" si="28"/>
        <v>15.906782769999998</v>
      </c>
      <c r="CS17" s="1">
        <f t="shared" si="28"/>
        <v>9.6274282100000015</v>
      </c>
      <c r="CT17" s="1">
        <f t="shared" si="28"/>
        <v>12.184475789999999</v>
      </c>
      <c r="CU17" s="1">
        <f t="shared" si="28"/>
        <v>14.349162859999998</v>
      </c>
      <c r="CV17" s="1">
        <f t="shared" si="28"/>
        <v>24.378519029999993</v>
      </c>
      <c r="CW17" s="1">
        <f t="shared" si="28"/>
        <v>22.211636389999995</v>
      </c>
      <c r="CX17" s="1">
        <f t="shared" si="28"/>
        <v>18.934177090000006</v>
      </c>
      <c r="CY17" s="1">
        <f t="shared" si="28"/>
        <v>18.049853030000005</v>
      </c>
      <c r="CZ17" s="1">
        <f t="shared" si="29"/>
        <v>20.702965450000001</v>
      </c>
      <c r="DA17" s="1">
        <f t="shared" si="29"/>
        <v>19.199801710000003</v>
      </c>
      <c r="DB17" s="1">
        <f t="shared" si="29"/>
        <v>16.174522229999997</v>
      </c>
      <c r="DC17" s="1">
        <f t="shared" si="29"/>
        <v>22.082734950000003</v>
      </c>
      <c r="DD17" s="1">
        <f t="shared" si="29"/>
        <v>13.392344960000001</v>
      </c>
      <c r="DE17" s="1">
        <f t="shared" si="29"/>
        <v>10.971998660000001</v>
      </c>
      <c r="DF17" s="1">
        <f t="shared" si="29"/>
        <v>12.805239539999999</v>
      </c>
      <c r="DG17" s="1">
        <f t="shared" si="29"/>
        <v>13.943876809999997</v>
      </c>
      <c r="DI17" s="1">
        <f t="shared" si="30"/>
        <v>0</v>
      </c>
      <c r="DJ17" s="1">
        <f t="shared" si="30"/>
        <v>0</v>
      </c>
      <c r="DK17" s="1">
        <f t="shared" si="30"/>
        <v>4.0170669999999999E-2</v>
      </c>
      <c r="DL17" s="1">
        <f t="shared" si="30"/>
        <v>0</v>
      </c>
      <c r="DM17" s="1">
        <f t="shared" si="30"/>
        <v>0</v>
      </c>
      <c r="DN17" s="1">
        <f t="shared" si="30"/>
        <v>1.5264E-3</v>
      </c>
      <c r="DO17" s="1">
        <f t="shared" si="30"/>
        <v>0</v>
      </c>
      <c r="DP17" s="1">
        <f t="shared" si="30"/>
        <v>0</v>
      </c>
      <c r="DQ17" s="1">
        <f t="shared" si="30"/>
        <v>3.5298E-3</v>
      </c>
      <c r="DR17" s="1">
        <f t="shared" si="30"/>
        <v>0</v>
      </c>
      <c r="DS17" s="1">
        <f t="shared" si="30"/>
        <v>0</v>
      </c>
      <c r="DT17" s="1">
        <f t="shared" si="30"/>
        <v>0</v>
      </c>
      <c r="DU17" s="1">
        <f t="shared" si="30"/>
        <v>0</v>
      </c>
      <c r="DV17" s="1">
        <f t="shared" si="30"/>
        <v>4.0664E-4</v>
      </c>
      <c r="DW17" s="1">
        <f t="shared" si="30"/>
        <v>0</v>
      </c>
      <c r="DX17" s="1">
        <f t="shared" si="30"/>
        <v>0</v>
      </c>
      <c r="DY17" s="1">
        <f t="shared" si="31"/>
        <v>0</v>
      </c>
      <c r="DZ17" s="1">
        <f t="shared" si="31"/>
        <v>0</v>
      </c>
      <c r="EA17" s="1">
        <f t="shared" si="31"/>
        <v>0</v>
      </c>
      <c r="EB17" s="1">
        <f t="shared" si="31"/>
        <v>5.2539300000000004E-2</v>
      </c>
      <c r="EC17" s="1">
        <f t="shared" si="31"/>
        <v>0</v>
      </c>
      <c r="ED17" s="1">
        <f t="shared" si="31"/>
        <v>0</v>
      </c>
      <c r="EE17" s="1">
        <f t="shared" si="31"/>
        <v>4.0599999999999997E-2</v>
      </c>
      <c r="EF17" s="1">
        <f t="shared" si="31"/>
        <v>0</v>
      </c>
      <c r="EH17" s="14">
        <f t="shared" si="32"/>
        <v>0.3</v>
      </c>
      <c r="EI17" s="14">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3"/>
        <v>0.3</v>
      </c>
      <c r="EY17" s="1">
        <f t="shared" si="33"/>
        <v>0.3</v>
      </c>
      <c r="EZ17" s="1">
        <f t="shared" si="33"/>
        <v>0.3</v>
      </c>
      <c r="FA17" s="1">
        <f t="shared" si="33"/>
        <v>0.3</v>
      </c>
      <c r="FB17" s="1">
        <f t="shared" si="33"/>
        <v>0.3</v>
      </c>
      <c r="FC17" s="1">
        <f t="shared" si="33"/>
        <v>0.3</v>
      </c>
      <c r="FD17" s="1">
        <f t="shared" si="33"/>
        <v>0.3</v>
      </c>
      <c r="FE17" s="1">
        <f t="shared" si="33"/>
        <v>0.3</v>
      </c>
      <c r="FG17" s="162">
        <f t="shared" si="34"/>
        <v>-0.10577008854480319</v>
      </c>
    </row>
    <row r="18" spans="1:163" ht="18.75" customHeight="1">
      <c r="A18" s="243" t="s">
        <v>222</v>
      </c>
      <c r="B18" s="246"/>
      <c r="C18" s="156">
        <f t="shared" si="5"/>
        <v>-0.33</v>
      </c>
      <c r="D18" s="198">
        <v>1</v>
      </c>
      <c r="E18" s="248">
        <f t="shared" si="6"/>
        <v>1.7390596130822278E-2</v>
      </c>
      <c r="F18" s="249">
        <f t="shared" si="7"/>
        <v>-6.0288348930972457E-3</v>
      </c>
      <c r="G18" s="248">
        <f t="shared" si="8"/>
        <v>2.3662443260398458E-2</v>
      </c>
      <c r="H18" s="249">
        <f t="shared" si="9"/>
        <v>-6.2718471295761802E-3</v>
      </c>
      <c r="I18" s="253">
        <f t="shared" si="10"/>
        <v>0.40250140418523683</v>
      </c>
      <c r="J18" s="254">
        <f t="shared" si="11"/>
        <v>8.9422063195354395E-2</v>
      </c>
      <c r="K18" s="248">
        <f t="shared" si="12"/>
        <v>0.40397430141455248</v>
      </c>
      <c r="L18" s="249">
        <f t="shared" si="13"/>
        <v>-1.4728972293156506E-3</v>
      </c>
      <c r="M18" s="250"/>
      <c r="N18" s="24">
        <v>-1</v>
      </c>
      <c r="O18" s="248">
        <f t="shared" si="35"/>
        <v>-3.8058080335949818E-2</v>
      </c>
      <c r="P18" s="251">
        <f t="shared" si="36"/>
        <v>-3.8058080335949818E-2</v>
      </c>
      <c r="Q18" s="248">
        <f t="shared" si="14"/>
        <v>-8.2738549667211503E-2</v>
      </c>
      <c r="R18" s="251">
        <f t="shared" si="37"/>
        <v>-8.2738549667211503E-2</v>
      </c>
      <c r="S18" s="250"/>
      <c r="T18" s="24">
        <v>-1</v>
      </c>
      <c r="U18" s="248">
        <f t="shared" si="15"/>
        <v>0.20601139345734576</v>
      </c>
      <c r="V18" s="252">
        <f t="shared" si="16"/>
        <v>0.20601139345734576</v>
      </c>
      <c r="W18" s="248">
        <f t="shared" si="38"/>
        <v>-0.52572301170000701</v>
      </c>
      <c r="X18" s="252">
        <f t="shared" si="17"/>
        <v>-0.52572301170000701</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4</v>
      </c>
      <c r="AQ18" s="28">
        <f>VLOOKUP($A18,historia!$A$5:$CM$24,+HLOOKUP(AQ$2,historia!$A$3:$EC$4,2,FALSE),FALSE)</f>
        <v>4</v>
      </c>
      <c r="AR18" s="28">
        <f>VLOOKUP($A18,historia!$A$5:$CM$24,+HLOOKUP(AR$2,historia!$A$3:$EC$4,2,FALSE),FALSE)</f>
        <v>3</v>
      </c>
      <c r="AS18" s="28">
        <f>VLOOKUP($A18,historia!$A$5:$CM$24,+HLOOKUP(AS$2,historia!$A$3:$EC$4,2,FALSE),FALSE)</f>
        <v>2</v>
      </c>
      <c r="AT18" s="58">
        <f>VLOOKUP($A18,historia!$A$5:$CM$24,+HLOOKUP(AT$2,historia!$A$3:$EC$4,2,FALSE),FALSE)</f>
        <v>2</v>
      </c>
      <c r="AU18" s="58">
        <f>VLOOKUP($A18,historia!$A$5:$CM$24,+HLOOKUP(AU$2,historia!$A$3:$EC$4,2,FALSE),FALSE)</f>
        <v>2</v>
      </c>
      <c r="AV18" s="58">
        <f>VLOOKUP($A18,historia!$A$5:$CM$24,+HLOOKUP(AV$2,historia!$A$3:$EC$4,2,FALSE),FALSE)</f>
        <v>2</v>
      </c>
      <c r="AW18" s="58">
        <f>VLOOKUP($A18,historia!$A$5:$CM$24,+HLOOKUP(AW$2,historia!$A$3:$EC$4,2,FALSE),FALSE)</f>
        <v>1</v>
      </c>
      <c r="AX18" s="58">
        <f>VLOOKUP($A18,historia!$A$5:$CM$24,+HLOOKUP(AX$2,historia!$A$3:$EC$4,2,FALSE),FALSE)</f>
        <v>1</v>
      </c>
      <c r="AY18" s="58">
        <f>VLOOKUP($A18,historia!$A$5:$CN$24,+HLOOKUP(AY$2,historia!$A$3:$EC$4,2,FALSE),FALSE)</f>
        <v>2</v>
      </c>
      <c r="AZ18" s="58">
        <f>VLOOKUP($A18,historia!$A$5:$DG$24,+HLOOKUP(AZ$2,historia!$A$3:$EC$4,2,FALSE),FALSE)</f>
        <v>2</v>
      </c>
      <c r="BA18" s="58">
        <f>VLOOKUP($A18,historia!$A$5:$DG$24,+HLOOKUP(BA$2,historia!$A$3:$EC$4,2,FALSE),FALSE)</f>
        <v>2</v>
      </c>
      <c r="BB18" s="58"/>
      <c r="BC18" s="286">
        <v>2</v>
      </c>
      <c r="BD18" t="str">
        <f t="shared" si="20"/>
        <v>Ovino</v>
      </c>
      <c r="BE18">
        <f>+datos!BU1</f>
        <v>73</v>
      </c>
      <c r="BF18" s="2" t="str">
        <f t="shared" si="4"/>
        <v>$/kg</v>
      </c>
      <c r="BG18" s="2">
        <f t="shared" si="4"/>
        <v>86248.450752000004</v>
      </c>
      <c r="BH18" s="2">
        <f t="shared" si="4"/>
        <v>84774.177272727276</v>
      </c>
      <c r="BI18" s="2">
        <f t="shared" si="4"/>
        <v>61496.160000000003</v>
      </c>
      <c r="BK18">
        <f>+datos!DI1</f>
        <v>113</v>
      </c>
      <c r="BL18" s="2">
        <f t="shared" si="21"/>
        <v>12087.728309142445</v>
      </c>
      <c r="BM18" s="2">
        <f t="shared" si="21"/>
        <v>11808.314731800294</v>
      </c>
      <c r="BN18" s="2">
        <f t="shared" si="21"/>
        <v>8609.6506873121834</v>
      </c>
      <c r="BP18" s="1">
        <f>+datos!EL1</f>
        <v>142</v>
      </c>
      <c r="BQ18" s="1">
        <f t="shared" si="22"/>
        <v>11967429</v>
      </c>
      <c r="BR18" s="1">
        <f t="shared" si="22"/>
        <v>12440906</v>
      </c>
      <c r="BT18" s="1">
        <f>+datos!GS1</f>
        <v>201</v>
      </c>
      <c r="BU18" s="1">
        <f t="shared" si="23"/>
        <v>32223.78</v>
      </c>
      <c r="BV18" s="1">
        <f t="shared" si="23"/>
        <v>35130.42</v>
      </c>
      <c r="BX18" s="1">
        <f>+datos!KI1</f>
        <v>295</v>
      </c>
      <c r="BY18" s="1">
        <f t="shared" si="39"/>
        <v>241.26829713000001</v>
      </c>
      <c r="BZ18" s="1">
        <f t="shared" si="40"/>
        <v>200.05474114</v>
      </c>
      <c r="CB18" s="1">
        <f>+datos!LN1</f>
        <v>326</v>
      </c>
      <c r="CC18" s="2">
        <f t="shared" si="24"/>
        <v>1.8316367799999997</v>
      </c>
      <c r="CD18" s="2">
        <f t="shared" si="25"/>
        <v>3.8619558300000003</v>
      </c>
      <c r="CF18" s="1">
        <f>+datos!JA1</f>
        <v>261</v>
      </c>
      <c r="CG18" s="1">
        <f t="shared" si="26"/>
        <v>3555</v>
      </c>
      <c r="CH18" s="1">
        <f t="shared" si="27"/>
        <v>2813</v>
      </c>
      <c r="CJ18" s="1">
        <f t="shared" si="28"/>
        <v>21.077032079999999</v>
      </c>
      <c r="CK18" s="1">
        <f t="shared" si="28"/>
        <v>19.550070639999998</v>
      </c>
      <c r="CL18" s="1">
        <f t="shared" si="28"/>
        <v>17.8919189</v>
      </c>
      <c r="CM18" s="1">
        <f t="shared" si="28"/>
        <v>19.636014689999996</v>
      </c>
      <c r="CN18" s="1">
        <f t="shared" si="28"/>
        <v>18.748166940000001</v>
      </c>
      <c r="CO18" s="1">
        <f t="shared" si="28"/>
        <v>21.131437869999999</v>
      </c>
      <c r="CP18" s="1">
        <f t="shared" si="28"/>
        <v>23.746863359999999</v>
      </c>
      <c r="CQ18" s="1">
        <f t="shared" si="28"/>
        <v>18.662799830000001</v>
      </c>
      <c r="CR18" s="1">
        <f t="shared" si="28"/>
        <v>31.610464650000004</v>
      </c>
      <c r="CS18" s="1">
        <f t="shared" si="28"/>
        <v>14.881609229999999</v>
      </c>
      <c r="CT18" s="1">
        <f t="shared" si="28"/>
        <v>18.538380959999998</v>
      </c>
      <c r="CU18" s="1">
        <f t="shared" si="28"/>
        <v>15.79353798</v>
      </c>
      <c r="CV18" s="1">
        <f t="shared" si="28"/>
        <v>15.390557059999999</v>
      </c>
      <c r="CW18" s="1">
        <f t="shared" si="28"/>
        <v>12.657815750000001</v>
      </c>
      <c r="CX18" s="1">
        <f t="shared" si="28"/>
        <v>13.430479930000001</v>
      </c>
      <c r="CY18" s="1">
        <f t="shared" si="28"/>
        <v>15.60716012</v>
      </c>
      <c r="CZ18" s="1">
        <f t="shared" si="29"/>
        <v>19.03918719</v>
      </c>
      <c r="DA18" s="1">
        <f t="shared" si="29"/>
        <v>17.774232269999999</v>
      </c>
      <c r="DB18" s="1">
        <f t="shared" si="29"/>
        <v>22.502102959999998</v>
      </c>
      <c r="DC18" s="1">
        <f t="shared" si="29"/>
        <v>22.437193859999997</v>
      </c>
      <c r="DD18" s="1">
        <f t="shared" si="29"/>
        <v>15.322430800000003</v>
      </c>
      <c r="DE18" s="1">
        <f t="shared" si="29"/>
        <v>16.644595240000001</v>
      </c>
      <c r="DF18" s="1">
        <f t="shared" si="29"/>
        <v>15.83663735</v>
      </c>
      <c r="DG18" s="1">
        <f t="shared" si="29"/>
        <v>13.412348609999999</v>
      </c>
      <c r="DI18" s="1">
        <f t="shared" si="30"/>
        <v>5.7726630000000001E-2</v>
      </c>
      <c r="DJ18" s="1">
        <f t="shared" si="30"/>
        <v>0.12164886</v>
      </c>
      <c r="DK18" s="1">
        <f t="shared" si="30"/>
        <v>6.2847730000000004E-2</v>
      </c>
      <c r="DL18" s="1">
        <f t="shared" si="30"/>
        <v>7.1441070000000009E-2</v>
      </c>
      <c r="DM18" s="1">
        <f t="shared" si="30"/>
        <v>0.19937177999999997</v>
      </c>
      <c r="DN18" s="1">
        <f t="shared" si="30"/>
        <v>0.18211829000000002</v>
      </c>
      <c r="DO18" s="1">
        <f t="shared" si="30"/>
        <v>0.19639201000000001</v>
      </c>
      <c r="DP18" s="1">
        <f t="shared" si="30"/>
        <v>0.15047392000000001</v>
      </c>
      <c r="DQ18" s="1">
        <f t="shared" si="30"/>
        <v>0.19393855000000002</v>
      </c>
      <c r="DR18" s="1">
        <f t="shared" si="30"/>
        <v>0.16347327</v>
      </c>
      <c r="DS18" s="1">
        <f t="shared" si="30"/>
        <v>0.18164933</v>
      </c>
      <c r="DT18" s="1">
        <f t="shared" si="30"/>
        <v>0.25055533999999996</v>
      </c>
      <c r="DU18" s="1">
        <f t="shared" si="30"/>
        <v>0.29342396000000004</v>
      </c>
      <c r="DV18" s="1">
        <f t="shared" si="30"/>
        <v>0.26088905000000001</v>
      </c>
      <c r="DW18" s="1">
        <f t="shared" si="30"/>
        <v>0.18624962</v>
      </c>
      <c r="DX18" s="1">
        <f t="shared" si="30"/>
        <v>0.1577527</v>
      </c>
      <c r="DY18" s="1">
        <f t="shared" si="31"/>
        <v>0.24821200999999998</v>
      </c>
      <c r="DZ18" s="1">
        <f t="shared" si="31"/>
        <v>0.13589592</v>
      </c>
      <c r="EA18" s="1">
        <f t="shared" si="31"/>
        <v>0.23010199000000001</v>
      </c>
      <c r="EB18" s="1">
        <f t="shared" si="31"/>
        <v>4.8750000000000002E-2</v>
      </c>
      <c r="EC18" s="1">
        <f t="shared" si="31"/>
        <v>0.31075020000000003</v>
      </c>
      <c r="ED18" s="1">
        <f t="shared" si="31"/>
        <v>0.90541722000000002</v>
      </c>
      <c r="EE18" s="1">
        <f t="shared" si="31"/>
        <v>0.34283965</v>
      </c>
      <c r="EF18" s="1">
        <f t="shared" si="31"/>
        <v>0.74167351000000015</v>
      </c>
      <c r="EH18" s="14">
        <f t="shared" si="32"/>
        <v>3555</v>
      </c>
      <c r="EI18" s="14">
        <f t="shared" si="32"/>
        <v>3555</v>
      </c>
      <c r="EJ18" s="1">
        <f t="shared" si="32"/>
        <v>3555</v>
      </c>
      <c r="EK18" s="1">
        <f t="shared" si="32"/>
        <v>3555</v>
      </c>
      <c r="EL18" s="1">
        <f t="shared" si="32"/>
        <v>3555</v>
      </c>
      <c r="EM18" s="1">
        <f t="shared" si="32"/>
        <v>3735</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3"/>
        <v>2813</v>
      </c>
      <c r="EY18" s="1">
        <f t="shared" si="33"/>
        <v>2813</v>
      </c>
      <c r="EZ18" s="1">
        <f t="shared" si="33"/>
        <v>2813</v>
      </c>
      <c r="FA18" s="1">
        <f t="shared" si="33"/>
        <v>2813</v>
      </c>
      <c r="FB18" s="1">
        <f t="shared" si="33"/>
        <v>2813</v>
      </c>
      <c r="FC18" s="1">
        <f t="shared" si="33"/>
        <v>2813</v>
      </c>
      <c r="FD18" s="1">
        <f t="shared" si="33"/>
        <v>2813</v>
      </c>
      <c r="FE18" s="1">
        <f t="shared" si="33"/>
        <v>2813</v>
      </c>
      <c r="FG18" s="162">
        <f t="shared" si="34"/>
        <v>-1.4728972293156506E-3</v>
      </c>
    </row>
    <row r="19" spans="1:163" ht="18.75" customHeight="1">
      <c r="A19" s="244" t="s">
        <v>66</v>
      </c>
      <c r="B19" s="247"/>
      <c r="C19" s="228">
        <f t="shared" si="5"/>
        <v>0</v>
      </c>
      <c r="D19" s="229">
        <v>-1</v>
      </c>
      <c r="E19" s="477">
        <f t="shared" si="6"/>
        <v>-3.5022181961520071E-2</v>
      </c>
      <c r="F19" s="254">
        <f t="shared" si="7"/>
        <v>-5.8441612985439595E-2</v>
      </c>
      <c r="G19" s="253">
        <f t="shared" si="8"/>
        <v>1.8914283291825873E-2</v>
      </c>
      <c r="H19" s="254">
        <f t="shared" si="9"/>
        <v>-5.3936465253345944E-2</v>
      </c>
      <c r="I19" s="253">
        <f t="shared" si="10"/>
        <v>-0.67462989869550161</v>
      </c>
      <c r="J19" s="254">
        <f t="shared" si="11"/>
        <v>-0.98770923968538404</v>
      </c>
      <c r="K19" s="253">
        <f t="shared" si="12"/>
        <v>0.13230528582802625</v>
      </c>
      <c r="L19" s="254">
        <f t="shared" si="13"/>
        <v>-0.80693518452352786</v>
      </c>
      <c r="M19" s="255"/>
      <c r="N19" s="256">
        <v>0</v>
      </c>
      <c r="O19" s="253">
        <f t="shared" si="35"/>
        <v>9.6567571449088119E-2</v>
      </c>
      <c r="P19" s="257">
        <f t="shared" si="36"/>
        <v>9.6567571449088119E-2</v>
      </c>
      <c r="Q19" s="253">
        <f t="shared" si="14"/>
        <v>0</v>
      </c>
      <c r="R19" s="257">
        <v>-0.01</v>
      </c>
      <c r="S19" s="255"/>
      <c r="T19" s="256">
        <v>1</v>
      </c>
      <c r="U19" s="253">
        <f t="shared" si="15"/>
        <v>6.3233492740117248E-2</v>
      </c>
      <c r="V19" s="258">
        <f t="shared" si="16"/>
        <v>6.3233492740117248E-2</v>
      </c>
      <c r="W19" s="253">
        <f t="shared" si="38"/>
        <v>-0.36601179652936044</v>
      </c>
      <c r="X19" s="258">
        <f t="shared" si="17"/>
        <v>-0.36601179652936044</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3</v>
      </c>
      <c r="AQ19" s="28">
        <f>VLOOKUP($A19,historia!$A$5:$CM$24,+HLOOKUP(AQ$2,historia!$A$3:$EC$4,2,FALSE),FALSE)</f>
        <v>3</v>
      </c>
      <c r="AR19" s="28">
        <f>VLOOKUP($A19,historia!$A$5:$CM$24,+HLOOKUP(AR$2,historia!$A$3:$EC$4,2,FALSE),FALSE)</f>
        <v>4</v>
      </c>
      <c r="AS19" s="28">
        <f>VLOOKUP($A19,historia!$A$5:$CM$24,+HLOOKUP(AS$2,historia!$A$3:$EC$4,2,FALSE),FALSE)</f>
        <v>3</v>
      </c>
      <c r="AT19" s="58">
        <f>VLOOKUP($A19,historia!$A$5:$CM$24,+HLOOKUP(AT$2,historia!$A$3:$EC$4,2,FALSE),FALSE)</f>
        <v>3</v>
      </c>
      <c r="AU19" s="58">
        <f>VLOOKUP($A19,historia!$A$5:$CM$24,+HLOOKUP(AU$2,historia!$A$3:$EC$4,2,FALSE),FALSE)</f>
        <v>3</v>
      </c>
      <c r="AV19" s="58">
        <f>VLOOKUP($A19,historia!$A$5:$CM$24,+HLOOKUP(AV$2,historia!$A$3:$EC$4,2,FALSE),FALSE)</f>
        <v>4</v>
      </c>
      <c r="AW19" s="58">
        <f>VLOOKUP($A19,historia!$A$5:$CM$24,+HLOOKUP(AW$2,historia!$A$3:$EC$4,2,FALSE),FALSE)</f>
        <v>4</v>
      </c>
      <c r="AX19" s="58">
        <f>VLOOKUP($A19,historia!$A$5:$CM$24,+HLOOKUP(AX$2,historia!$A$3:$EC$4,2,FALSE),FALSE)</f>
        <v>4</v>
      </c>
      <c r="AY19" s="58">
        <f>VLOOKUP($A19,historia!$A$5:$CN$24,+HLOOKUP(AY$2,historia!$A$3:$EC$4,2,FALSE),FALSE)</f>
        <v>5</v>
      </c>
      <c r="AZ19" s="58">
        <f>VLOOKUP($A19,historia!$A$5:$DG$24,+HLOOKUP(AZ$2,historia!$A$3:$EC$4,2,FALSE),FALSE)</f>
        <v>4</v>
      </c>
      <c r="BA19" s="58">
        <f>VLOOKUP($A19,historia!$A$5:$DG$24,+HLOOKUP(BA$2,historia!$A$3:$EC$4,2,FALSE),FALSE)</f>
        <v>4</v>
      </c>
      <c r="BB19" s="58"/>
      <c r="BC19" s="286">
        <v>4</v>
      </c>
      <c r="BD19" t="str">
        <f t="shared" si="20"/>
        <v>Papa</v>
      </c>
      <c r="BE19">
        <f>+datos!AV1</f>
        <v>48</v>
      </c>
      <c r="BF19" s="2" t="str">
        <f t="shared" si="4"/>
        <v>$/bolsa 20kg</v>
      </c>
      <c r="BG19" s="2">
        <f t="shared" si="4"/>
        <v>4957.6642335766419</v>
      </c>
      <c r="BH19" s="2">
        <f t="shared" si="4"/>
        <v>5137.5939849624065</v>
      </c>
      <c r="BI19" s="2">
        <f t="shared" si="4"/>
        <v>15237</v>
      </c>
      <c r="BK19">
        <f>+datos!CI1</f>
        <v>87</v>
      </c>
      <c r="BL19" s="2">
        <f t="shared" si="21"/>
        <v>11865.491788930934</v>
      </c>
      <c r="BM19" s="2">
        <f t="shared" si="21"/>
        <v>11645.230598394266</v>
      </c>
      <c r="BN19" s="2">
        <f t="shared" si="21"/>
        <v>10479.057138953476</v>
      </c>
      <c r="BP19" s="1">
        <f>+datos!EZ1</f>
        <v>156</v>
      </c>
      <c r="BQ19" s="1">
        <f t="shared" si="22"/>
        <v>38177</v>
      </c>
      <c r="BR19" s="1">
        <f t="shared" si="22"/>
        <v>34815</v>
      </c>
      <c r="BT19" s="1">
        <f>+datos!GT1</f>
        <v>202</v>
      </c>
      <c r="BU19" s="1">
        <f t="shared" si="23"/>
        <v>2111561</v>
      </c>
      <c r="BV19" s="1">
        <f t="shared" si="23"/>
        <v>2111561</v>
      </c>
      <c r="BX19" s="1">
        <f>+datos!JO1</f>
        <v>275</v>
      </c>
      <c r="BY19" s="1">
        <f t="shared" si="39"/>
        <v>391.96730107999997</v>
      </c>
      <c r="BZ19" s="1">
        <f t="shared" si="40"/>
        <v>368.65590085000008</v>
      </c>
      <c r="CB19" s="1">
        <f>+datos!KT1</f>
        <v>306</v>
      </c>
      <c r="CC19" s="2">
        <f t="shared" si="24"/>
        <v>12.306546480000002</v>
      </c>
      <c r="CD19" s="2">
        <f t="shared" si="25"/>
        <v>19.41131777</v>
      </c>
      <c r="CF19" s="1">
        <f>+datos!JB1</f>
        <v>262</v>
      </c>
      <c r="CG19" s="1">
        <f t="shared" si="26"/>
        <v>35.950000000000003</v>
      </c>
      <c r="CH19" s="1">
        <f t="shared" si="27"/>
        <v>35.950000000000003</v>
      </c>
      <c r="CJ19" s="1">
        <f t="shared" si="28"/>
        <v>32.137001479999995</v>
      </c>
      <c r="CK19" s="1">
        <f t="shared" si="28"/>
        <v>31.771959519999999</v>
      </c>
      <c r="CL19" s="1">
        <f t="shared" si="28"/>
        <v>30.172516640000001</v>
      </c>
      <c r="CM19" s="1">
        <f t="shared" si="28"/>
        <v>33.254909299999994</v>
      </c>
      <c r="CN19" s="1">
        <f t="shared" si="28"/>
        <v>34.03841525</v>
      </c>
      <c r="CO19" s="1">
        <f t="shared" si="28"/>
        <v>32.790200410000004</v>
      </c>
      <c r="CP19" s="1">
        <f t="shared" si="28"/>
        <v>33.403797109999999</v>
      </c>
      <c r="CQ19" s="1">
        <f t="shared" si="28"/>
        <v>26.866894470000005</v>
      </c>
      <c r="CR19" s="1">
        <f t="shared" si="28"/>
        <v>30.959664470000003</v>
      </c>
      <c r="CS19" s="1">
        <f t="shared" si="28"/>
        <v>28.030286839999999</v>
      </c>
      <c r="CT19" s="1">
        <f t="shared" si="28"/>
        <v>35.227965569999995</v>
      </c>
      <c r="CU19" s="1">
        <f t="shared" si="28"/>
        <v>43.313690020000003</v>
      </c>
      <c r="CV19" s="1">
        <f t="shared" si="28"/>
        <v>38.158354570000007</v>
      </c>
      <c r="CW19" s="1">
        <f t="shared" si="28"/>
        <v>36.879687310000008</v>
      </c>
      <c r="CX19" s="1">
        <f t="shared" si="28"/>
        <v>30.584450140000001</v>
      </c>
      <c r="CY19" s="1">
        <f t="shared" si="28"/>
        <v>34.87822036</v>
      </c>
      <c r="CZ19" s="1">
        <f t="shared" si="29"/>
        <v>30.986019150000001</v>
      </c>
      <c r="DA19" s="1">
        <f t="shared" si="29"/>
        <v>34.45773063</v>
      </c>
      <c r="DB19" s="1">
        <f t="shared" si="29"/>
        <v>33.675059580000003</v>
      </c>
      <c r="DC19" s="1">
        <f t="shared" si="29"/>
        <v>28.924508010000004</v>
      </c>
      <c r="DD19" s="1">
        <f t="shared" si="29"/>
        <v>27.954086790000002</v>
      </c>
      <c r="DE19" s="1">
        <f t="shared" si="29"/>
        <v>24.143815810000007</v>
      </c>
      <c r="DF19" s="1">
        <f t="shared" si="29"/>
        <v>26.000694290000002</v>
      </c>
      <c r="DG19" s="1">
        <f t="shared" si="29"/>
        <v>22.013274209999999</v>
      </c>
      <c r="DI19" s="1">
        <f t="shared" si="30"/>
        <v>1.1078551999999999</v>
      </c>
      <c r="DJ19" s="1">
        <f t="shared" si="30"/>
        <v>1.1250931100000001</v>
      </c>
      <c r="DK19" s="1">
        <f t="shared" si="30"/>
        <v>0.74439149999999998</v>
      </c>
      <c r="DL19" s="1">
        <f t="shared" si="30"/>
        <v>1.2444918700000001</v>
      </c>
      <c r="DM19" s="1">
        <f t="shared" si="30"/>
        <v>0.75058031000000003</v>
      </c>
      <c r="DN19" s="1">
        <f t="shared" si="30"/>
        <v>0.8744752400000001</v>
      </c>
      <c r="DO19" s="1">
        <f t="shared" si="30"/>
        <v>0.62052411000000007</v>
      </c>
      <c r="DP19" s="1">
        <f t="shared" si="30"/>
        <v>1.19924761</v>
      </c>
      <c r="DQ19" s="1">
        <f t="shared" si="30"/>
        <v>0.86551083000000006</v>
      </c>
      <c r="DR19" s="1">
        <f t="shared" si="30"/>
        <v>0.79831189000000002</v>
      </c>
      <c r="DS19" s="1">
        <f t="shared" si="30"/>
        <v>1.1318278900000001</v>
      </c>
      <c r="DT19" s="1">
        <f t="shared" si="30"/>
        <v>1.8442369199999997</v>
      </c>
      <c r="DU19" s="1">
        <f t="shared" si="30"/>
        <v>1.0529063700000001</v>
      </c>
      <c r="DV19" s="1">
        <f t="shared" si="30"/>
        <v>2.0286618900000004</v>
      </c>
      <c r="DW19" s="1">
        <f t="shared" si="30"/>
        <v>0.79104531999999994</v>
      </c>
      <c r="DX19" s="1">
        <f t="shared" si="30"/>
        <v>1.6294275100000002</v>
      </c>
      <c r="DY19" s="1">
        <f t="shared" si="31"/>
        <v>1.8725515799999999</v>
      </c>
      <c r="DZ19" s="1">
        <f t="shared" si="31"/>
        <v>1.9938344900000002</v>
      </c>
      <c r="EA19" s="1">
        <f t="shared" si="31"/>
        <v>1.4070700599999999</v>
      </c>
      <c r="EB19" s="1">
        <f t="shared" si="31"/>
        <v>0.5838748800000001</v>
      </c>
      <c r="EC19" s="1">
        <f t="shared" si="31"/>
        <v>1.6300787399999999</v>
      </c>
      <c r="ED19" s="1">
        <f t="shared" si="31"/>
        <v>1.5496506000000003</v>
      </c>
      <c r="EE19" s="1">
        <f t="shared" si="31"/>
        <v>2.1384397699999997</v>
      </c>
      <c r="EF19" s="1">
        <f t="shared" si="31"/>
        <v>2.7337765599999999</v>
      </c>
      <c r="EH19" s="14">
        <f t="shared" si="32"/>
        <v>35.950000000000003</v>
      </c>
      <c r="EI19" s="14">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G19" s="162">
        <f t="shared" si="34"/>
        <v>-0.80693518452352786</v>
      </c>
    </row>
    <row r="20" spans="1:163" ht="27" customHeight="1">
      <c r="A20" s="264" t="s">
        <v>218</v>
      </c>
      <c r="B20" s="246"/>
      <c r="C20" s="156">
        <f t="shared" si="5"/>
        <v>0</v>
      </c>
      <c r="D20" s="198">
        <v>-1</v>
      </c>
      <c r="E20" s="248">
        <f t="shared" si="6"/>
        <v>0.29085950083534873</v>
      </c>
      <c r="F20" s="249">
        <f t="shared" si="7"/>
        <v>0.2674400698114292</v>
      </c>
      <c r="G20" s="248">
        <f t="shared" si="8"/>
        <v>4.409362386979665E-2</v>
      </c>
      <c r="H20" s="249">
        <f t="shared" si="9"/>
        <v>0.24676587696555208</v>
      </c>
      <c r="I20" s="248">
        <f t="shared" si="10"/>
        <v>0.27066233437212928</v>
      </c>
      <c r="J20" s="249">
        <f t="shared" si="11"/>
        <v>-4.2417006617753161E-2</v>
      </c>
      <c r="K20" s="248">
        <f t="shared" si="12"/>
        <v>0.3505081436516444</v>
      </c>
      <c r="L20" s="249">
        <f t="shared" si="13"/>
        <v>-7.9845809279515123E-2</v>
      </c>
      <c r="M20" s="250"/>
      <c r="N20" s="24">
        <v>-1</v>
      </c>
      <c r="O20" s="248">
        <f t="shared" si="35"/>
        <v>0</v>
      </c>
      <c r="P20" s="251">
        <f t="shared" si="36"/>
        <v>0</v>
      </c>
      <c r="Q20" s="248">
        <f t="shared" si="14"/>
        <v>8.0669130104184639E-2</v>
      </c>
      <c r="R20" s="251">
        <f t="shared" si="37"/>
        <v>8.0669130104184639E-2</v>
      </c>
      <c r="S20" s="250"/>
      <c r="T20" s="24">
        <v>2</v>
      </c>
      <c r="U20" s="248">
        <f t="shared" si="15"/>
        <v>0.20232751422883211</v>
      </c>
      <c r="V20" s="252">
        <f t="shared" si="16"/>
        <v>0.20232751422883211</v>
      </c>
      <c r="W20" s="248">
        <f t="shared" si="38"/>
        <v>0.46775285155368795</v>
      </c>
      <c r="X20" s="252">
        <f t="shared" si="17"/>
        <v>0.46775285155368795</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3</v>
      </c>
      <c r="AQ20" s="28">
        <f>VLOOKUP($A20,historia!$A$5:$CM$24,+HLOOKUP(AQ$2,historia!$A$3:$EC$4,2,FALSE),FALSE)</f>
        <v>3</v>
      </c>
      <c r="AR20" s="28">
        <f>VLOOKUP($A20,historia!$A$5:$CM$24,+HLOOKUP(AR$2,historia!$A$3:$EC$4,2,FALSE),FALSE)</f>
        <v>3</v>
      </c>
      <c r="AS20" s="28">
        <f>VLOOKUP($A20,historia!$A$5:$CM$24,+HLOOKUP(AS$2,historia!$A$3:$EC$4,2,FALSE),FALSE)</f>
        <v>4</v>
      </c>
      <c r="AT20" s="58">
        <f>VLOOKUP($A20,historia!$A$5:$CM$24,+HLOOKUP(AT$2,historia!$A$3:$EC$4,2,FALSE),FALSE)</f>
        <v>4</v>
      </c>
      <c r="AU20" s="58">
        <f>VLOOKUP($A20,historia!$A$5:$CM$24,+HLOOKUP(AU$2,historia!$A$3:$EC$4,2,FALSE),FALSE)</f>
        <v>4</v>
      </c>
      <c r="AV20" s="58">
        <f>VLOOKUP($A20,historia!$A$5:$CM$24,+HLOOKUP(AV$2,historia!$A$3:$EC$4,2,FALSE),FALSE)</f>
        <v>4</v>
      </c>
      <c r="AW20" s="58">
        <f>VLOOKUP($A20,historia!$A$5:$CM$24,+HLOOKUP(AW$2,historia!$A$3:$EC$4,2,FALSE),FALSE)</f>
        <v>3</v>
      </c>
      <c r="AX20" s="58">
        <f>VLOOKUP($A20,historia!$A$5:$CM$24,+HLOOKUP(AX$2,historia!$A$3:$EC$4,2,FALSE),FALSE)</f>
        <v>2</v>
      </c>
      <c r="AY20" s="58">
        <f>VLOOKUP($A20,historia!$A$5:$CN$24,+HLOOKUP(AY$2,historia!$A$3:$EC$4,2,FALSE),FALSE)</f>
        <v>2</v>
      </c>
      <c r="AZ20" s="58">
        <f>VLOOKUP($A20,historia!$A$5:$DG$24,+HLOOKUP(AZ$2,historia!$A$3:$EC$4,2,FALSE),FALSE)</f>
        <v>3</v>
      </c>
      <c r="BA20" s="58">
        <f>VLOOKUP($A20,historia!$A$5:$DG$24,+HLOOKUP(BA$2,historia!$A$3:$EC$4,2,FALSE),FALSE)</f>
        <v>3</v>
      </c>
      <c r="BB20" s="58"/>
      <c r="BC20" s="286">
        <v>3</v>
      </c>
      <c r="BD20" t="str">
        <f t="shared" si="20"/>
        <v>Peras y Manzanas</v>
      </c>
      <c r="BE20">
        <f>+datos!AP1</f>
        <v>42</v>
      </c>
      <c r="BF20" s="2" t="str">
        <f t="shared" si="4"/>
        <v>$/caja 18kg</v>
      </c>
      <c r="BG20" s="2">
        <f t="shared" si="4"/>
        <v>25144.476190476191</v>
      </c>
      <c r="BH20" s="2">
        <f t="shared" si="4"/>
        <v>19478.863636363636</v>
      </c>
      <c r="BI20" s="2">
        <f t="shared" si="4"/>
        <v>19788.48</v>
      </c>
      <c r="BK20">
        <f>+datos!CS1</f>
        <v>97</v>
      </c>
      <c r="BL20" s="2">
        <f t="shared" si="21"/>
        <v>12024.555776903981</v>
      </c>
      <c r="BM20" s="2">
        <f t="shared" si="21"/>
        <v>11516.740933956224</v>
      </c>
      <c r="BN20" s="2">
        <f t="shared" si="21"/>
        <v>8903.7269663481893</v>
      </c>
      <c r="BP20" s="1">
        <f>+datos!FC1</f>
        <v>159</v>
      </c>
      <c r="BQ20" s="1">
        <f t="shared" si="22"/>
        <v>38084</v>
      </c>
      <c r="BR20" s="1">
        <f t="shared" si="22"/>
        <v>38084</v>
      </c>
      <c r="BT20" s="1">
        <f>+datos!GW1</f>
        <v>205</v>
      </c>
      <c r="BU20" s="1">
        <f t="shared" si="23"/>
        <v>810102</v>
      </c>
      <c r="BV20" s="1">
        <f t="shared" si="23"/>
        <v>749630</v>
      </c>
      <c r="BX20" s="1">
        <f>+datos!LS1</f>
        <v>331</v>
      </c>
      <c r="BY20" s="1">
        <f t="shared" si="39"/>
        <v>454.82419524000017</v>
      </c>
      <c r="BZ20" s="1">
        <f t="shared" si="40"/>
        <v>378.28644014000002</v>
      </c>
      <c r="CB20" s="1">
        <f>+datos!LW1</f>
        <v>335</v>
      </c>
      <c r="CC20" s="2">
        <f t="shared" si="24"/>
        <v>5.3595390199999988</v>
      </c>
      <c r="CD20" s="2">
        <f t="shared" si="25"/>
        <v>3.6515269000000004</v>
      </c>
      <c r="CF20" s="1">
        <f>+datos!JC1</f>
        <v>263</v>
      </c>
      <c r="CG20" s="1">
        <f t="shared" si="26"/>
        <v>0</v>
      </c>
      <c r="CH20" s="1">
        <f t="shared" si="27"/>
        <v>0</v>
      </c>
      <c r="CJ20" s="1">
        <f t="shared" si="28"/>
        <v>24.907231830000001</v>
      </c>
      <c r="CK20" s="1">
        <f t="shared" si="28"/>
        <v>41.046257050000001</v>
      </c>
      <c r="CL20" s="1">
        <f t="shared" si="28"/>
        <v>31.183989080000003</v>
      </c>
      <c r="CM20" s="1">
        <f t="shared" si="28"/>
        <v>31.314835450000004</v>
      </c>
      <c r="CN20" s="1">
        <f t="shared" si="28"/>
        <v>42.986147830000007</v>
      </c>
      <c r="CO20" s="1">
        <f t="shared" si="28"/>
        <v>54.859389430000007</v>
      </c>
      <c r="CP20" s="1">
        <f t="shared" si="28"/>
        <v>51.150985829999996</v>
      </c>
      <c r="CQ20" s="1">
        <f t="shared" si="28"/>
        <v>59.173949850000007</v>
      </c>
      <c r="CR20" s="1">
        <f t="shared" si="28"/>
        <v>46.396857000000011</v>
      </c>
      <c r="CS20" s="1">
        <f t="shared" si="28"/>
        <v>23.934850630000003</v>
      </c>
      <c r="CT20" s="1">
        <f t="shared" si="28"/>
        <v>23.934850630000003</v>
      </c>
      <c r="CU20" s="1">
        <f t="shared" si="28"/>
        <v>23.934850630000003</v>
      </c>
      <c r="CV20" s="1">
        <f t="shared" si="28"/>
        <v>25.188374430000003</v>
      </c>
      <c r="CW20" s="1">
        <f t="shared" si="28"/>
        <v>22.303018159999997</v>
      </c>
      <c r="CX20" s="1">
        <f t="shared" si="28"/>
        <v>14.93334776</v>
      </c>
      <c r="CY20" s="1">
        <f t="shared" si="28"/>
        <v>35.336569390000001</v>
      </c>
      <c r="CZ20" s="1">
        <f t="shared" si="29"/>
        <v>46.662709379999995</v>
      </c>
      <c r="DA20" s="1">
        <f t="shared" si="29"/>
        <v>45.302769560000002</v>
      </c>
      <c r="DB20" s="1">
        <f t="shared" si="29"/>
        <v>46.856289650000001</v>
      </c>
      <c r="DC20" s="1">
        <f t="shared" si="29"/>
        <v>60.076282149999997</v>
      </c>
      <c r="DD20" s="1">
        <f t="shared" si="29"/>
        <v>42.744570039999999</v>
      </c>
      <c r="DE20" s="1">
        <f t="shared" si="29"/>
        <v>11.509203560000001</v>
      </c>
      <c r="DF20" s="1">
        <f t="shared" si="29"/>
        <v>11.753879789999999</v>
      </c>
      <c r="DG20" s="1">
        <f t="shared" si="29"/>
        <v>15.619426270000002</v>
      </c>
      <c r="DI20" s="1">
        <f t="shared" si="30"/>
        <v>0.19315473</v>
      </c>
      <c r="DJ20" s="1">
        <f t="shared" si="30"/>
        <v>0.43976497000000003</v>
      </c>
      <c r="DK20" s="1">
        <f t="shared" si="30"/>
        <v>0.72520266</v>
      </c>
      <c r="DL20" s="1">
        <f t="shared" si="30"/>
        <v>1.1922353400000001</v>
      </c>
      <c r="DM20" s="1">
        <f t="shared" si="30"/>
        <v>1.0915780799999999</v>
      </c>
      <c r="DN20" s="1">
        <f t="shared" si="30"/>
        <v>0.5667896</v>
      </c>
      <c r="DO20" s="1">
        <f t="shared" si="30"/>
        <v>0.43323378000000001</v>
      </c>
      <c r="DP20" s="1">
        <f t="shared" si="30"/>
        <v>0.20107160000000002</v>
      </c>
      <c r="DQ20" s="1">
        <f t="shared" si="30"/>
        <v>4.7323499999999998E-2</v>
      </c>
      <c r="DR20" s="1">
        <f t="shared" si="30"/>
        <v>0.18245199000000001</v>
      </c>
      <c r="DS20" s="1">
        <f t="shared" si="30"/>
        <v>6.8745290000000001E-2</v>
      </c>
      <c r="DT20" s="1">
        <f t="shared" si="30"/>
        <v>0.21798748000000001</v>
      </c>
      <c r="DU20" s="1">
        <f t="shared" si="30"/>
        <v>7.9820000000000002E-2</v>
      </c>
      <c r="DV20" s="1">
        <f t="shared" si="30"/>
        <v>0.14837025000000001</v>
      </c>
      <c r="DW20" s="1">
        <f t="shared" si="30"/>
        <v>0.3865221499999999</v>
      </c>
      <c r="DX20" s="1">
        <f t="shared" si="30"/>
        <v>0.51794252000000007</v>
      </c>
      <c r="DY20" s="1">
        <f t="shared" si="31"/>
        <v>0.37362660000000003</v>
      </c>
      <c r="DZ20" s="1">
        <f t="shared" si="31"/>
        <v>0.32288670000000003</v>
      </c>
      <c r="EA20" s="1">
        <f t="shared" si="31"/>
        <v>0.29487440000000004</v>
      </c>
      <c r="EB20" s="1">
        <f t="shared" si="31"/>
        <v>7.78142E-2</v>
      </c>
      <c r="EC20" s="1">
        <f t="shared" si="31"/>
        <v>0.12479459999999999</v>
      </c>
      <c r="ED20" s="1">
        <f t="shared" si="31"/>
        <v>8.4911199999999992E-2</v>
      </c>
      <c r="EE20" s="1">
        <f t="shared" si="31"/>
        <v>0.22142464000000001</v>
      </c>
      <c r="EF20" s="1">
        <f t="shared" si="31"/>
        <v>1.01853964</v>
      </c>
      <c r="EH20" s="14">
        <f t="shared" si="32"/>
        <v>0</v>
      </c>
      <c r="EI20" s="14">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3"/>
        <v>0</v>
      </c>
      <c r="EY20" s="1">
        <f t="shared" si="33"/>
        <v>0</v>
      </c>
      <c r="EZ20" s="1">
        <f t="shared" si="33"/>
        <v>0</v>
      </c>
      <c r="FA20" s="1">
        <f t="shared" si="33"/>
        <v>0</v>
      </c>
      <c r="FB20" s="1">
        <f t="shared" si="33"/>
        <v>0</v>
      </c>
      <c r="FC20" s="1">
        <f t="shared" si="33"/>
        <v>0</v>
      </c>
      <c r="FD20" s="1">
        <f t="shared" si="33"/>
        <v>0</v>
      </c>
      <c r="FE20" s="1">
        <f t="shared" si="33"/>
        <v>0</v>
      </c>
      <c r="FG20" s="162">
        <f t="shared" si="34"/>
        <v>-7.9845809279515123E-2</v>
      </c>
    </row>
    <row r="21" spans="1:163" ht="18" customHeight="1">
      <c r="A21" s="244" t="s">
        <v>121</v>
      </c>
      <c r="B21" s="247"/>
      <c r="C21" s="228">
        <f t="shared" si="5"/>
        <v>0</v>
      </c>
      <c r="D21" s="229">
        <v>-2</v>
      </c>
      <c r="E21" s="253">
        <f t="shared" si="6"/>
        <v>2.6111271259729119E-2</v>
      </c>
      <c r="F21" s="254">
        <f t="shared" si="7"/>
        <v>2.691840235809595E-3</v>
      </c>
      <c r="G21" s="253">
        <f t="shared" si="8"/>
        <v>2.2905046973505039E-2</v>
      </c>
      <c r="H21" s="254">
        <f t="shared" si="9"/>
        <v>3.2062242862240797E-3</v>
      </c>
      <c r="I21" s="253">
        <f t="shared" si="10"/>
        <v>0.24615955525059152</v>
      </c>
      <c r="J21" s="254">
        <f t="shared" si="11"/>
        <v>-6.6919785739290916E-2</v>
      </c>
      <c r="K21" s="253">
        <f t="shared" si="12"/>
        <v>0.35994281004238604</v>
      </c>
      <c r="L21" s="254">
        <f t="shared" si="13"/>
        <v>-0.11378325479179452</v>
      </c>
      <c r="M21" s="255"/>
      <c r="N21" s="256">
        <v>1</v>
      </c>
      <c r="O21" s="253">
        <f t="shared" si="35"/>
        <v>-2.0839332713567749E-2</v>
      </c>
      <c r="P21" s="257">
        <f t="shared" si="36"/>
        <v>-2.0839332713567749E-2</v>
      </c>
      <c r="Q21" s="253">
        <f t="shared" si="14"/>
        <v>2.2231283577968552E-2</v>
      </c>
      <c r="R21" s="257">
        <f t="shared" si="37"/>
        <v>2.2231283577968552E-2</v>
      </c>
      <c r="S21" s="255"/>
      <c r="T21" s="256">
        <v>1</v>
      </c>
      <c r="U21" s="253">
        <f t="shared" si="15"/>
        <v>4.3580197990101599E-2</v>
      </c>
      <c r="V21" s="258">
        <f t="shared" si="16"/>
        <v>4.3580197990101599E-2</v>
      </c>
      <c r="W21" s="253">
        <f t="shared" si="38"/>
        <v>2.4487619342636906</v>
      </c>
      <c r="X21" s="258">
        <f t="shared" si="17"/>
        <v>2.4487619342636906</v>
      </c>
      <c r="Y21" s="253">
        <f t="shared" si="18"/>
        <v>0.10966212211025472</v>
      </c>
      <c r="Z21" s="258">
        <f t="shared" si="19"/>
        <v>0.10966212211025472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3</v>
      </c>
      <c r="AQ21" s="28">
        <f>VLOOKUP($A21,historia!$A$5:$CM$24,+HLOOKUP(AQ$2,historia!$A$3:$EC$4,2,FALSE),FALSE)</f>
        <v>3</v>
      </c>
      <c r="AR21" s="28">
        <f>VLOOKUP($A21,historia!$A$5:$CM$24,+HLOOKUP(AR$2,historia!$A$3:$EC$4,2,FALSE),FALSE)</f>
        <v>2</v>
      </c>
      <c r="AS21" s="28">
        <f>VLOOKUP($A21,historia!$A$5:$CM$24,+HLOOKUP(AS$2,historia!$A$3:$EC$4,2,FALSE),FALSE)</f>
        <v>3</v>
      </c>
      <c r="AT21" s="58">
        <f>VLOOKUP($A21,historia!$A$5:$CM$24,+HLOOKUP(AT$2,historia!$A$3:$EC$4,2,FALSE),FALSE)</f>
        <v>3</v>
      </c>
      <c r="AU21" s="58">
        <f>VLOOKUP($A21,historia!$A$5:$CM$24,+HLOOKUP(AU$2,historia!$A$3:$EC$4,2,FALSE),FALSE)</f>
        <v>3</v>
      </c>
      <c r="AV21" s="58">
        <f>VLOOKUP($A21,historia!$A$5:$CM$24,+HLOOKUP(AV$2,historia!$A$3:$EC$4,2,FALSE),FALSE)</f>
        <v>2</v>
      </c>
      <c r="AW21" s="58">
        <f>VLOOKUP($A21,historia!$A$5:$CM$24,+HLOOKUP(AW$2,historia!$A$3:$EC$4,2,FALSE),FALSE)</f>
        <v>1</v>
      </c>
      <c r="AX21" s="58">
        <f>VLOOKUP($A21,historia!$A$5:$CM$24,+HLOOKUP(AX$2,historia!$A$3:$EC$4,2,FALSE),FALSE)</f>
        <v>1</v>
      </c>
      <c r="AY21" s="58">
        <f>VLOOKUP($A21,historia!$A$5:$CN$24,+HLOOKUP(AY$2,historia!$A$3:$EC$4,2,FALSE),FALSE)</f>
        <v>2</v>
      </c>
      <c r="AZ21" s="58">
        <f>VLOOKUP($A21,historia!$A$5:$DG$24,+HLOOKUP(AZ$2,historia!$A$3:$EC$4,2,FALSE),FALSE)</f>
        <v>2</v>
      </c>
      <c r="BA21" s="58">
        <f>VLOOKUP($A21,historia!$A$5:$DG$24,+HLOOKUP(BA$2,historia!$A$3:$EC$4,2,FALSE),FALSE)</f>
        <v>2</v>
      </c>
      <c r="BB21" s="58"/>
      <c r="BC21" s="286">
        <v>2</v>
      </c>
      <c r="BD21" t="str">
        <f t="shared" si="20"/>
        <v>Porcinos</v>
      </c>
      <c r="BE21">
        <f>+datos!BR1</f>
        <v>70</v>
      </c>
      <c r="BF21" s="2" t="str">
        <f t="shared" si="4"/>
        <v>$/kg</v>
      </c>
      <c r="BG21" s="2">
        <f t="shared" si="4"/>
        <v>1779.79</v>
      </c>
      <c r="BH21" s="2">
        <f t="shared" si="4"/>
        <v>1734.5</v>
      </c>
      <c r="BI21" s="2">
        <f t="shared" si="4"/>
        <v>1428.22</v>
      </c>
      <c r="BK21">
        <f>+datos!DD1</f>
        <v>108</v>
      </c>
      <c r="BL21" s="2">
        <f t="shared" si="21"/>
        <v>12137.5798680919</v>
      </c>
      <c r="BM21" s="2">
        <f t="shared" si="21"/>
        <v>11865.793314837641</v>
      </c>
      <c r="BN21" s="2">
        <f t="shared" si="21"/>
        <v>8925.0663913680328</v>
      </c>
      <c r="BP21" s="1">
        <f>+datos!EJ1</f>
        <v>140</v>
      </c>
      <c r="BQ21" s="1">
        <f t="shared" si="22"/>
        <v>5987778</v>
      </c>
      <c r="BR21" s="1">
        <f t="shared" si="22"/>
        <v>6115215</v>
      </c>
      <c r="BT21" s="1">
        <f>+datos!HE1</f>
        <v>213</v>
      </c>
      <c r="BU21" s="1">
        <f t="shared" si="23"/>
        <v>799713</v>
      </c>
      <c r="BV21" s="1">
        <f t="shared" si="23"/>
        <v>782321</v>
      </c>
      <c r="BX21" s="1">
        <f>+datos!KJ1</f>
        <v>296</v>
      </c>
      <c r="BY21" s="1">
        <f t="shared" si="39"/>
        <v>27.335979689999995</v>
      </c>
      <c r="BZ21" s="1">
        <f t="shared" si="40"/>
        <v>26.194421609999999</v>
      </c>
      <c r="CB21" s="1">
        <f>+datos!LO1</f>
        <v>327</v>
      </c>
      <c r="CC21" s="2">
        <f t="shared" si="24"/>
        <v>171.05269196999998</v>
      </c>
      <c r="CD21" s="2">
        <f t="shared" si="25"/>
        <v>49.598289249999993</v>
      </c>
      <c r="CF21" s="1">
        <f>+datos!IO1</f>
        <v>249</v>
      </c>
      <c r="CG21" s="1">
        <f t="shared" si="26"/>
        <v>18.72</v>
      </c>
      <c r="CH21" s="1">
        <f t="shared" si="27"/>
        <v>16.87</v>
      </c>
      <c r="CJ21" s="1">
        <f t="shared" si="28"/>
        <v>3.9252467499999995</v>
      </c>
      <c r="CK21" s="1">
        <f t="shared" si="28"/>
        <v>2.8298719000000001</v>
      </c>
      <c r="CL21" s="1">
        <f t="shared" si="28"/>
        <v>2.08934314</v>
      </c>
      <c r="CM21" s="1">
        <f t="shared" si="28"/>
        <v>2.1371287799999998</v>
      </c>
      <c r="CN21" s="1">
        <f t="shared" si="28"/>
        <v>2.3754365900000001</v>
      </c>
      <c r="CO21" s="1">
        <f t="shared" si="28"/>
        <v>2.2921349499999994</v>
      </c>
      <c r="CP21" s="1">
        <f t="shared" si="28"/>
        <v>1.76811707</v>
      </c>
      <c r="CQ21" s="1">
        <f t="shared" si="28"/>
        <v>1.0764735399999998</v>
      </c>
      <c r="CR21" s="1">
        <f t="shared" si="28"/>
        <v>3.87511991</v>
      </c>
      <c r="CS21" s="1">
        <f t="shared" si="28"/>
        <v>1.4111442899999997</v>
      </c>
      <c r="CT21" s="1">
        <f t="shared" si="28"/>
        <v>1.9463367499999997</v>
      </c>
      <c r="CU21" s="1">
        <f t="shared" si="28"/>
        <v>1.6096260199999999</v>
      </c>
      <c r="CV21" s="1">
        <f t="shared" si="28"/>
        <v>3.1723580499999997</v>
      </c>
      <c r="CW21" s="1">
        <f t="shared" si="28"/>
        <v>2.1279038099999998</v>
      </c>
      <c r="CX21" s="1">
        <f t="shared" si="28"/>
        <v>2.3778769799999995</v>
      </c>
      <c r="CY21" s="1">
        <f t="shared" si="28"/>
        <v>4.3175895799999999</v>
      </c>
      <c r="CZ21" s="1">
        <f t="shared" si="29"/>
        <v>2.7596131099999996</v>
      </c>
      <c r="DA21" s="1">
        <f t="shared" si="29"/>
        <v>1.9296841299999996</v>
      </c>
      <c r="DB21" s="1">
        <f t="shared" si="29"/>
        <v>2.2533318799999997</v>
      </c>
      <c r="DC21" s="1">
        <f t="shared" si="29"/>
        <v>1.55421593</v>
      </c>
      <c r="DD21" s="1">
        <f t="shared" si="29"/>
        <v>1.56892272</v>
      </c>
      <c r="DE21" s="1">
        <f t="shared" si="29"/>
        <v>1.2009935999999999</v>
      </c>
      <c r="DF21" s="1">
        <f t="shared" si="29"/>
        <v>1.5576121499999998</v>
      </c>
      <c r="DG21" s="1">
        <f t="shared" si="29"/>
        <v>1.3743196699999998</v>
      </c>
      <c r="DI21" s="1">
        <f t="shared" si="30"/>
        <v>12.329496939999999</v>
      </c>
      <c r="DJ21" s="1">
        <f t="shared" si="30"/>
        <v>13.92452713</v>
      </c>
      <c r="DK21" s="1">
        <f t="shared" si="30"/>
        <v>11.75892646</v>
      </c>
      <c r="DL21" s="1">
        <f t="shared" si="30"/>
        <v>11.837628230000002</v>
      </c>
      <c r="DM21" s="1">
        <f t="shared" si="30"/>
        <v>13.531613630000001</v>
      </c>
      <c r="DN21" s="1">
        <f t="shared" si="30"/>
        <v>19.3334501</v>
      </c>
      <c r="DO21" s="1">
        <f t="shared" si="30"/>
        <v>18.318769970000002</v>
      </c>
      <c r="DP21" s="1">
        <f t="shared" si="30"/>
        <v>14.031594299999998</v>
      </c>
      <c r="DQ21" s="1">
        <f t="shared" si="30"/>
        <v>14.447589379999997</v>
      </c>
      <c r="DR21" s="1">
        <f t="shared" si="30"/>
        <v>14.265215759999998</v>
      </c>
      <c r="DS21" s="1">
        <f t="shared" si="30"/>
        <v>16.354180840000001</v>
      </c>
      <c r="DT21" s="1">
        <f t="shared" si="30"/>
        <v>10.919699229999997</v>
      </c>
      <c r="DU21" s="1">
        <f t="shared" si="30"/>
        <v>10.87912704</v>
      </c>
      <c r="DV21" s="1">
        <f t="shared" si="30"/>
        <v>7.3519509899999989</v>
      </c>
      <c r="DW21" s="1">
        <f t="shared" si="30"/>
        <v>4.9251834299999988</v>
      </c>
      <c r="DX21" s="1">
        <f t="shared" ref="DX21:EF24" si="41">+VLOOKUP(DX$1,ran_dat,$CB21,FALSE)</f>
        <v>2.5935797799999998</v>
      </c>
      <c r="DY21" s="1">
        <f t="shared" si="41"/>
        <v>1.7163214500000001</v>
      </c>
      <c r="DZ21" s="1">
        <f t="shared" si="41"/>
        <v>2.7920763000000002</v>
      </c>
      <c r="EA21" s="1">
        <f t="shared" si="41"/>
        <v>3.5088459899999997</v>
      </c>
      <c r="EB21" s="1">
        <f t="shared" si="41"/>
        <v>2.2524288500000003</v>
      </c>
      <c r="EC21" s="1">
        <f t="shared" si="41"/>
        <v>5.2341166499999998</v>
      </c>
      <c r="ED21" s="1">
        <f t="shared" si="41"/>
        <v>3.1162246899999997</v>
      </c>
      <c r="EE21" s="1">
        <f t="shared" si="41"/>
        <v>3.3747357299999998</v>
      </c>
      <c r="EF21" s="1">
        <f t="shared" si="41"/>
        <v>1.8536983500000002</v>
      </c>
      <c r="EH21" s="14">
        <f t="shared" si="32"/>
        <v>18.72</v>
      </c>
      <c r="EI21" s="14">
        <f t="shared" si="32"/>
        <v>18.600000000000001</v>
      </c>
      <c r="EJ21" s="1">
        <f t="shared" si="32"/>
        <v>18.38</v>
      </c>
      <c r="EK21" s="1">
        <f t="shared" si="32"/>
        <v>18.28</v>
      </c>
      <c r="EL21" s="1">
        <f t="shared" si="32"/>
        <v>18.239999999999998</v>
      </c>
      <c r="EM21" s="1">
        <f t="shared" si="32"/>
        <v>18.079999999999998</v>
      </c>
      <c r="EN21" s="1">
        <f t="shared" si="32"/>
        <v>17.989999999999998</v>
      </c>
      <c r="EO21" s="1">
        <f t="shared" si="32"/>
        <v>17.850000000000001</v>
      </c>
      <c r="EP21" s="1">
        <f t="shared" si="32"/>
        <v>17.73</v>
      </c>
      <c r="EQ21" s="1">
        <f t="shared" si="32"/>
        <v>17.510000000000002</v>
      </c>
      <c r="ER21" s="1">
        <f t="shared" si="32"/>
        <v>17.13</v>
      </c>
      <c r="ES21" s="1">
        <f t="shared" si="32"/>
        <v>16.89</v>
      </c>
      <c r="ET21" s="1">
        <f t="shared" si="32"/>
        <v>16.87</v>
      </c>
      <c r="EU21" s="1">
        <f t="shared" si="32"/>
        <v>16.8</v>
      </c>
      <c r="EV21" s="1">
        <f t="shared" si="32"/>
        <v>16.760000000000002</v>
      </c>
      <c r="EW21" s="1">
        <f t="shared" ref="EW21:FE24" si="42">+VLOOKUP(EW$1,ran_dat,$CF21,FALSE)</f>
        <v>16.84</v>
      </c>
      <c r="EX21" s="1">
        <f t="shared" si="42"/>
        <v>16.64</v>
      </c>
      <c r="EY21" s="1">
        <f t="shared" si="42"/>
        <v>16.68</v>
      </c>
      <c r="EZ21" s="1">
        <f t="shared" si="42"/>
        <v>16.62</v>
      </c>
      <c r="FA21" s="1">
        <f t="shared" si="42"/>
        <v>16.5</v>
      </c>
      <c r="FB21" s="1">
        <f t="shared" si="42"/>
        <v>16.64</v>
      </c>
      <c r="FC21" s="1">
        <f t="shared" si="42"/>
        <v>16.68</v>
      </c>
      <c r="FD21" s="1">
        <f t="shared" si="42"/>
        <v>16.72</v>
      </c>
      <c r="FE21" s="1">
        <f t="shared" si="42"/>
        <v>16.75</v>
      </c>
      <c r="FG21" s="162">
        <f t="shared" si="34"/>
        <v>-0.11378325479179452</v>
      </c>
    </row>
    <row r="22" spans="1:163" ht="18.75" customHeight="1">
      <c r="A22" s="243" t="s">
        <v>75</v>
      </c>
      <c r="B22" s="246"/>
      <c r="C22" s="156">
        <f t="shared" si="5"/>
        <v>0.66</v>
      </c>
      <c r="D22" s="198">
        <v>1</v>
      </c>
      <c r="E22" s="248">
        <f t="shared" si="6"/>
        <v>0</v>
      </c>
      <c r="F22" s="249">
        <f t="shared" si="7"/>
        <v>-2.3419431023919524E-2</v>
      </c>
      <c r="G22" s="248">
        <f t="shared" si="8"/>
        <v>2.1180194339720293E-2</v>
      </c>
      <c r="H22" s="249">
        <f t="shared" si="9"/>
        <v>-2.1180194339720293E-2</v>
      </c>
      <c r="I22" s="248">
        <f t="shared" si="10"/>
        <v>0.34318367346938761</v>
      </c>
      <c r="J22" s="249">
        <f t="shared" si="11"/>
        <v>3.0104332479505169E-2</v>
      </c>
      <c r="K22" s="248">
        <f t="shared" si="12"/>
        <v>0.39620403422087058</v>
      </c>
      <c r="L22" s="249">
        <f t="shared" si="13"/>
        <v>-5.3020360751482976E-2</v>
      </c>
      <c r="M22" s="250"/>
      <c r="N22" s="24">
        <v>0</v>
      </c>
      <c r="O22" s="248">
        <f t="shared" si="35"/>
        <v>0</v>
      </c>
      <c r="P22" s="251">
        <f t="shared" si="36"/>
        <v>0</v>
      </c>
      <c r="Q22" s="248">
        <f t="shared" si="14"/>
        <v>0.17001165379676175</v>
      </c>
      <c r="R22" s="251">
        <f t="shared" si="37"/>
        <v>0.17001165379676175</v>
      </c>
      <c r="S22" s="250"/>
      <c r="T22" s="24">
        <v>1</v>
      </c>
      <c r="U22" s="248">
        <f t="shared" si="15"/>
        <v>0.2211154549405876</v>
      </c>
      <c r="V22" s="252">
        <f t="shared" si="16"/>
        <v>0.2211154549405876</v>
      </c>
      <c r="W22" s="248">
        <f t="shared" si="38"/>
        <v>4.6428811422034366E-2</v>
      </c>
      <c r="X22" s="252">
        <f t="shared" si="17"/>
        <v>4.6428811422034366E-2</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2</v>
      </c>
      <c r="AQ22" s="28">
        <f>VLOOKUP($A22,historia!$A$5:$CM$24,+HLOOKUP(AQ$2,historia!$A$3:$EC$4,2,FALSE),FALSE)</f>
        <v>2</v>
      </c>
      <c r="AR22" s="28">
        <f>VLOOKUP($A22,historia!$A$5:$CM$24,+HLOOKUP(AR$2,historia!$A$3:$EC$4,2,FALSE),FALSE)</f>
        <v>2</v>
      </c>
      <c r="AS22" s="28">
        <f>VLOOKUP($A22,historia!$A$5:$CM$24,+HLOOKUP(AS$2,historia!$A$3:$EC$4,2,FALSE),FALSE)</f>
        <v>3</v>
      </c>
      <c r="AT22" s="58">
        <f>VLOOKUP($A22,historia!$A$5:$CM$24,+HLOOKUP(AT$2,historia!$A$3:$EC$4,2,FALSE),FALSE)</f>
        <v>3</v>
      </c>
      <c r="AU22" s="58">
        <f>VLOOKUP($A22,historia!$A$5:$CM$24,+HLOOKUP(AU$2,historia!$A$3:$EC$4,2,FALSE),FALSE)</f>
        <v>3</v>
      </c>
      <c r="AV22" s="58">
        <f>VLOOKUP($A22,historia!$A$5:$CM$24,+HLOOKUP(AV$2,historia!$A$3:$EC$4,2,FALSE),FALSE)</f>
        <v>3</v>
      </c>
      <c r="AW22" s="58">
        <f>VLOOKUP($A22,historia!$A$5:$CM$24,+HLOOKUP(AW$2,historia!$A$3:$EC$4,2,FALSE),FALSE)</f>
        <v>3</v>
      </c>
      <c r="AX22" s="58">
        <f>VLOOKUP($A22,historia!$A$5:$CM$24,+HLOOKUP(AX$2,historia!$A$3:$EC$4,2,FALSE),FALSE)</f>
        <v>3</v>
      </c>
      <c r="AY22" s="58">
        <f>VLOOKUP($A22,historia!$A$5:$CN$24,+HLOOKUP(AY$2,historia!$A$3:$EC$4,2,FALSE),FALSE)</f>
        <v>3</v>
      </c>
      <c r="AZ22" s="58">
        <f>VLOOKUP($A22,historia!$A$5:$DG$24,+HLOOKUP(AZ$2,historia!$A$3:$EC$4,2,FALSE),FALSE)</f>
        <v>3</v>
      </c>
      <c r="BA22" s="58">
        <f>VLOOKUP($A22,historia!$A$5:$DG$24,+HLOOKUP(BA$2,historia!$A$3:$EC$4,2,FALSE),FALSE)</f>
        <v>3</v>
      </c>
      <c r="BB22" s="58"/>
      <c r="BC22" s="286">
        <v>3</v>
      </c>
      <c r="BD22" t="str">
        <f t="shared" si="20"/>
        <v>Tabaco</v>
      </c>
      <c r="BE22">
        <f>+datos!BJ1</f>
        <v>62</v>
      </c>
      <c r="BF22" s="2" t="str">
        <f t="shared" si="4"/>
        <v>$/kg</v>
      </c>
      <c r="BG22" s="2">
        <f t="shared" si="4"/>
        <v>4936.2</v>
      </c>
      <c r="BH22" s="2">
        <f t="shared" si="4"/>
        <v>4936.2</v>
      </c>
      <c r="BI22" s="2">
        <f t="shared" si="4"/>
        <v>3675</v>
      </c>
      <c r="BK22">
        <f>+datos!DA1</f>
        <v>105</v>
      </c>
      <c r="BL22" s="2">
        <f t="shared" si="21"/>
        <v>12221.312630721703</v>
      </c>
      <c r="BM22" s="2">
        <f t="shared" si="21"/>
        <v>11967.831630953066</v>
      </c>
      <c r="BN22" s="2">
        <f t="shared" si="21"/>
        <v>8753.2426000628275</v>
      </c>
      <c r="BP22" s="1">
        <f>+datos!FD1</f>
        <v>160</v>
      </c>
      <c r="BQ22" s="1">
        <f t="shared" si="22"/>
        <v>60376</v>
      </c>
      <c r="BR22" s="1">
        <f t="shared" si="22"/>
        <v>60376</v>
      </c>
      <c r="BT22" s="1">
        <f>+datos!GX1</f>
        <v>206</v>
      </c>
      <c r="BU22" s="1">
        <f t="shared" si="23"/>
        <v>36041.686000000002</v>
      </c>
      <c r="BV22" s="1">
        <f t="shared" si="23"/>
        <v>30804.553</v>
      </c>
      <c r="BX22" s="1">
        <f>+datos!KC1</f>
        <v>289</v>
      </c>
      <c r="BY22" s="1">
        <f t="shared" si="39"/>
        <v>618.67068202000007</v>
      </c>
      <c r="BZ22" s="1">
        <f t="shared" si="40"/>
        <v>506.64388818999998</v>
      </c>
      <c r="CB22" s="1">
        <f>+datos!LH1</f>
        <v>320</v>
      </c>
      <c r="CC22" s="2">
        <f t="shared" si="24"/>
        <v>54.69296700000001</v>
      </c>
      <c r="CD22" s="2">
        <f t="shared" si="25"/>
        <v>52.266304599999998</v>
      </c>
      <c r="CF22" s="1">
        <f>+datos!JD1</f>
        <v>264</v>
      </c>
      <c r="CG22" s="1">
        <f t="shared" si="26"/>
        <v>0</v>
      </c>
      <c r="CH22" s="1">
        <f t="shared" si="27"/>
        <v>0</v>
      </c>
      <c r="CJ22" s="1">
        <f t="shared" ref="CJ22:CY24" si="43">+VLOOKUP(CJ$1,ran_dat,$BX22,FALSE)</f>
        <v>81.464957519999999</v>
      </c>
      <c r="CK22" s="1">
        <f t="shared" si="43"/>
        <v>72.4463358</v>
      </c>
      <c r="CL22" s="1">
        <f t="shared" si="43"/>
        <v>45.834687599999995</v>
      </c>
      <c r="CM22" s="1">
        <f t="shared" si="43"/>
        <v>54.830270300000002</v>
      </c>
      <c r="CN22" s="1">
        <f t="shared" si="43"/>
        <v>93.57534471000001</v>
      </c>
      <c r="CO22" s="1">
        <f t="shared" si="43"/>
        <v>121.04017274</v>
      </c>
      <c r="CP22" s="1">
        <f t="shared" si="43"/>
        <v>27.891120319999999</v>
      </c>
      <c r="CQ22" s="1">
        <f t="shared" si="43"/>
        <v>5.5120895000000001</v>
      </c>
      <c r="CR22" s="1">
        <f t="shared" si="43"/>
        <v>9.7228914799999995</v>
      </c>
      <c r="CS22" s="1">
        <f t="shared" si="43"/>
        <v>6.2035308000000002</v>
      </c>
      <c r="CT22" s="1">
        <f t="shared" si="43"/>
        <v>65.18720725</v>
      </c>
      <c r="CU22" s="1">
        <f t="shared" si="43"/>
        <v>34.962073999999994</v>
      </c>
      <c r="CV22" s="1">
        <f t="shared" si="43"/>
        <v>41.640055749999995</v>
      </c>
      <c r="CW22" s="1">
        <f t="shared" si="43"/>
        <v>54.488227269999996</v>
      </c>
      <c r="CX22" s="1">
        <f t="shared" si="43"/>
        <v>45.888815350000002</v>
      </c>
      <c r="CY22" s="1">
        <f t="shared" si="43"/>
        <v>56.365947810000002</v>
      </c>
      <c r="CZ22" s="1">
        <f t="shared" ref="CZ22:DG24" si="44">+VLOOKUP(CZ$1,ran_dat,$BX22,FALSE)</f>
        <v>58.671597329999997</v>
      </c>
      <c r="DA22" s="1">
        <f t="shared" si="44"/>
        <v>31.625168280000004</v>
      </c>
      <c r="DB22" s="1">
        <f t="shared" si="44"/>
        <v>17.697801470000002</v>
      </c>
      <c r="DC22" s="1">
        <f t="shared" si="44"/>
        <v>30.191481329999998</v>
      </c>
      <c r="DD22" s="1">
        <f t="shared" si="44"/>
        <v>36.249269399999989</v>
      </c>
      <c r="DE22" s="1">
        <f t="shared" si="44"/>
        <v>40.108989959999995</v>
      </c>
      <c r="DF22" s="1">
        <f t="shared" si="44"/>
        <v>56.890802439999995</v>
      </c>
      <c r="DG22" s="1">
        <f t="shared" si="44"/>
        <v>36.8257318</v>
      </c>
      <c r="DI22" s="1">
        <f t="shared" ref="DI22:DX24" si="45">+VLOOKUP(DI$1,ran_dat,$CB22,FALSE)</f>
        <v>4.4276183800000002</v>
      </c>
      <c r="DJ22" s="1">
        <f t="shared" si="45"/>
        <v>4.1999923900000002</v>
      </c>
      <c r="DK22" s="1">
        <f t="shared" si="45"/>
        <v>3.4339864000000002</v>
      </c>
      <c r="DL22" s="1">
        <f t="shared" si="45"/>
        <v>2.5223350999999994</v>
      </c>
      <c r="DM22" s="1">
        <f t="shared" si="45"/>
        <v>3.5013919399999995</v>
      </c>
      <c r="DN22" s="1">
        <f t="shared" si="45"/>
        <v>4.00557768</v>
      </c>
      <c r="DO22" s="1">
        <f t="shared" si="45"/>
        <v>5.1774083700000002</v>
      </c>
      <c r="DP22" s="1">
        <f t="shared" si="45"/>
        <v>5.7823087099999997</v>
      </c>
      <c r="DQ22" s="1">
        <f t="shared" si="45"/>
        <v>5.6310443999999995</v>
      </c>
      <c r="DR22" s="1">
        <f t="shared" si="45"/>
        <v>4.1108512499999996</v>
      </c>
      <c r="DS22" s="1">
        <f t="shared" si="45"/>
        <v>6.9241559000000006</v>
      </c>
      <c r="DT22" s="1">
        <f t="shared" si="45"/>
        <v>4.9762964800000002</v>
      </c>
      <c r="DU22" s="1">
        <f t="shared" si="45"/>
        <v>5.7062324599999998</v>
      </c>
      <c r="DV22" s="1">
        <f t="shared" si="45"/>
        <v>5.3893107900000006</v>
      </c>
      <c r="DW22" s="1">
        <f t="shared" si="45"/>
        <v>5.0602291599999996</v>
      </c>
      <c r="DX22" s="1">
        <f t="shared" si="45"/>
        <v>1.1636776099999999</v>
      </c>
      <c r="DY22" s="1">
        <f t="shared" si="41"/>
        <v>4.3331795800000004</v>
      </c>
      <c r="DZ22" s="1">
        <f t="shared" si="41"/>
        <v>5.5991701699999998</v>
      </c>
      <c r="EA22" s="1">
        <f t="shared" si="41"/>
        <v>5.1284923700000009</v>
      </c>
      <c r="EB22" s="1">
        <f t="shared" si="41"/>
        <v>4.8853449399999995</v>
      </c>
      <c r="EC22" s="1">
        <f t="shared" si="41"/>
        <v>4.5019780499999991</v>
      </c>
      <c r="ED22" s="1">
        <f t="shared" si="41"/>
        <v>3.2870284000000001</v>
      </c>
      <c r="EE22" s="1">
        <f t="shared" si="41"/>
        <v>2.2553329799999999</v>
      </c>
      <c r="EF22" s="1">
        <f t="shared" si="41"/>
        <v>4.9563280900000004</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4"/>
        <v>-5.3020360751482976E-2</v>
      </c>
    </row>
    <row r="23" spans="1:163" ht="18.75" customHeight="1">
      <c r="A23" s="244" t="s">
        <v>219</v>
      </c>
      <c r="B23" s="247"/>
      <c r="C23" s="228">
        <f t="shared" si="5"/>
        <v>-0.99</v>
      </c>
      <c r="D23" s="229">
        <v>-1</v>
      </c>
      <c r="E23" s="253">
        <f t="shared" si="6"/>
        <v>0.31836971541624259</v>
      </c>
      <c r="F23" s="254">
        <f t="shared" si="7"/>
        <v>0.29495028439232307</v>
      </c>
      <c r="G23" s="253">
        <f t="shared" si="8"/>
        <v>5.8105584759581053E-2</v>
      </c>
      <c r="H23" s="254">
        <f t="shared" si="9"/>
        <v>0.26026413065666154</v>
      </c>
      <c r="I23" s="253">
        <f t="shared" si="10"/>
        <v>0.16615357967667443</v>
      </c>
      <c r="J23" s="254">
        <f t="shared" si="11"/>
        <v>-0.146925761313208</v>
      </c>
      <c r="K23" s="253">
        <f t="shared" si="12"/>
        <v>0.30366287784656154</v>
      </c>
      <c r="L23" s="254">
        <f t="shared" si="13"/>
        <v>-0.13750929816988711</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-3.964611237746829E-3</v>
      </c>
      <c r="V23" s="258">
        <f t="shared" si="16"/>
        <v>-3.964611237746829E-3</v>
      </c>
      <c r="W23" s="253">
        <f t="shared" si="38"/>
        <v>1.5391019614195391</v>
      </c>
      <c r="X23" s="258">
        <f t="shared" si="17"/>
        <v>1.5391019614195391</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4</v>
      </c>
      <c r="AQ23" s="28">
        <f>VLOOKUP($A23,historia!$A$5:$CM$24,+HLOOKUP(AQ$2,historia!$A$3:$EC$4,2,FALSE),FALSE)</f>
        <v>4</v>
      </c>
      <c r="AR23" s="28">
        <f>VLOOKUP($A23,historia!$A$5:$CM$24,+HLOOKUP(AR$2,historia!$A$3:$EC$4,2,FALSE),FALSE)</f>
        <v>4</v>
      </c>
      <c r="AS23" s="28">
        <f>VLOOKUP($A23,historia!$A$5:$CM$24,+HLOOKUP(AS$2,historia!$A$3:$EC$4,2,FALSE),FALSE)</f>
        <v>4</v>
      </c>
      <c r="AT23" s="58">
        <f>VLOOKUP($A23,historia!$A$5:$CM$24,+HLOOKUP(AT$2,historia!$A$3:$EC$4,2,FALSE),FALSE)</f>
        <v>4</v>
      </c>
      <c r="AU23" s="58">
        <f>VLOOKUP($A23,historia!$A$5:$CM$24,+HLOOKUP(AU$2,historia!$A$3:$EC$4,2,FALSE),FALSE)</f>
        <v>4</v>
      </c>
      <c r="AV23" s="58">
        <f>VLOOKUP($A23,historia!$A$5:$CM$24,+HLOOKUP(AV$2,historia!$A$3:$EC$4,2,FALSE),FALSE)</f>
        <v>4</v>
      </c>
      <c r="AW23" s="58">
        <f>VLOOKUP($A23,historia!$A$5:$CM$24,+HLOOKUP(AW$2,historia!$A$3:$EC$4,2,FALSE),FALSE)</f>
        <v>4</v>
      </c>
      <c r="AX23" s="58">
        <f>VLOOKUP($A23,historia!$A$5:$CM$24,+HLOOKUP(AX$2,historia!$A$3:$EC$4,2,FALSE),FALSE)</f>
        <v>4</v>
      </c>
      <c r="AY23" s="58">
        <f>VLOOKUP($A23,historia!$A$5:$CN$24,+HLOOKUP(AY$2,historia!$A$3:$EC$4,2,FALSE),FALSE)</f>
        <v>4</v>
      </c>
      <c r="AZ23" s="58">
        <f>VLOOKUP($A23,historia!$A$5:$DG$24,+HLOOKUP(AZ$2,historia!$A$3:$EC$4,2,FALSE),FALSE)</f>
        <v>4</v>
      </c>
      <c r="BA23" s="58">
        <f>VLOOKUP($A23,historia!$A$5:$DG$24,+HLOOKUP(BA$2,historia!$A$3:$EC$4,2,FALSE),FALSE)</f>
        <v>4</v>
      </c>
      <c r="BB23" s="58"/>
      <c r="BC23" s="286">
        <v>4</v>
      </c>
      <c r="BD23" t="str">
        <f t="shared" si="20"/>
        <v>Vino y Mosto</v>
      </c>
      <c r="BE23">
        <f>+datos!AM1</f>
        <v>39</v>
      </c>
      <c r="BF23" s="2" t="str">
        <f t="shared" si="4"/>
        <v>$/l</v>
      </c>
      <c r="BG23" s="2">
        <f t="shared" si="4"/>
        <v>403.9556</v>
      </c>
      <c r="BH23" s="2">
        <f t="shared" si="4"/>
        <v>306.40540000000004</v>
      </c>
      <c r="BI23" s="2">
        <f t="shared" si="4"/>
        <v>346.4</v>
      </c>
      <c r="BK23">
        <f>+datos!CP1</f>
        <v>94</v>
      </c>
      <c r="BL23" s="2">
        <f t="shared" si="21"/>
        <v>13228.591666886283</v>
      </c>
      <c r="BM23" s="2">
        <f t="shared" si="21"/>
        <v>12502.147098951411</v>
      </c>
      <c r="BN23" s="2">
        <f t="shared" si="21"/>
        <v>10147.24887214535</v>
      </c>
      <c r="BP23" s="1">
        <f>+datos!EF1</f>
        <v>136</v>
      </c>
      <c r="BQ23" s="1">
        <f t="shared" si="22"/>
        <v>196220</v>
      </c>
      <c r="BR23" s="1">
        <f t="shared" si="22"/>
        <v>199946</v>
      </c>
      <c r="BT23" s="1">
        <f>+datos!GB1</f>
        <v>184</v>
      </c>
      <c r="BU23" s="1">
        <f t="shared" si="23"/>
        <v>19908335</v>
      </c>
      <c r="BV23" s="1">
        <f t="shared" si="23"/>
        <v>19189740</v>
      </c>
      <c r="BX23" s="1">
        <f>+datos!JU1</f>
        <v>281</v>
      </c>
      <c r="BY23" s="1">
        <f t="shared" si="39"/>
        <v>965.58366455000009</v>
      </c>
      <c r="BZ23" s="1">
        <f t="shared" si="40"/>
        <v>969.42706598999996</v>
      </c>
      <c r="CB23" s="1">
        <f>+datos!KZ1</f>
        <v>312</v>
      </c>
      <c r="CC23" s="2">
        <f t="shared" si="24"/>
        <v>42.477410250000013</v>
      </c>
      <c r="CD23" s="2">
        <f t="shared" si="25"/>
        <v>16.72930465</v>
      </c>
      <c r="CF23" s="1">
        <f>+datos!IQ1</f>
        <v>251</v>
      </c>
      <c r="CG23" s="1">
        <f t="shared" si="26"/>
        <v>16.079999999999998</v>
      </c>
      <c r="CH23" s="1">
        <f t="shared" si="27"/>
        <v>16.3</v>
      </c>
      <c r="CJ23" s="1">
        <f t="shared" si="43"/>
        <v>79.565238250000007</v>
      </c>
      <c r="CK23" s="1">
        <f t="shared" si="43"/>
        <v>103.29015631000003</v>
      </c>
      <c r="CL23" s="1">
        <f t="shared" si="43"/>
        <v>82.138745600000007</v>
      </c>
      <c r="CM23" s="1">
        <f t="shared" si="43"/>
        <v>101.39273792999998</v>
      </c>
      <c r="CN23" s="1">
        <f t="shared" si="43"/>
        <v>71.170798900000008</v>
      </c>
      <c r="CO23" s="1">
        <f t="shared" si="43"/>
        <v>88.994061629999976</v>
      </c>
      <c r="CP23" s="1">
        <f t="shared" si="43"/>
        <v>77.155977009999987</v>
      </c>
      <c r="CQ23" s="1">
        <f t="shared" si="43"/>
        <v>74.722979570000021</v>
      </c>
      <c r="CR23" s="1">
        <f t="shared" si="43"/>
        <v>63.754065359999977</v>
      </c>
      <c r="CS23" s="1">
        <f t="shared" si="43"/>
        <v>50.923025279999997</v>
      </c>
      <c r="CT23" s="1">
        <f t="shared" si="43"/>
        <v>85.381089520000018</v>
      </c>
      <c r="CU23" s="1">
        <f t="shared" si="43"/>
        <v>87.09478919</v>
      </c>
      <c r="CV23" s="1">
        <f t="shared" si="43"/>
        <v>88.790830600000021</v>
      </c>
      <c r="CW23" s="1">
        <f t="shared" si="43"/>
        <v>106.11166329999998</v>
      </c>
      <c r="CX23" s="1">
        <f t="shared" si="43"/>
        <v>99.074693340000039</v>
      </c>
      <c r="CY23" s="1">
        <f t="shared" si="43"/>
        <v>115.95052356999999</v>
      </c>
      <c r="CZ23" s="1">
        <f t="shared" si="44"/>
        <v>55.887516779999999</v>
      </c>
      <c r="DA23" s="1">
        <f t="shared" si="44"/>
        <v>84.428757199999993</v>
      </c>
      <c r="DB23" s="1">
        <f t="shared" si="44"/>
        <v>70.799436420000006</v>
      </c>
      <c r="DC23" s="1">
        <f t="shared" si="44"/>
        <v>83.547570889999989</v>
      </c>
      <c r="DD23" s="1">
        <f t="shared" si="44"/>
        <v>59.429446169999991</v>
      </c>
      <c r="DE23" s="1">
        <f t="shared" si="44"/>
        <v>57.397509530000008</v>
      </c>
      <c r="DF23" s="1">
        <f t="shared" si="44"/>
        <v>71.762443020000006</v>
      </c>
      <c r="DG23" s="1">
        <f t="shared" si="44"/>
        <v>76.246675170000003</v>
      </c>
      <c r="DI23" s="1">
        <f t="shared" si="45"/>
        <v>5.8187882499999999</v>
      </c>
      <c r="DJ23" s="1">
        <f t="shared" si="45"/>
        <v>6.2238594599999999</v>
      </c>
      <c r="DK23" s="1">
        <f t="shared" si="45"/>
        <v>3.3465065500000004</v>
      </c>
      <c r="DL23" s="1">
        <f t="shared" si="45"/>
        <v>3.10878063</v>
      </c>
      <c r="DM23" s="1">
        <f t="shared" si="45"/>
        <v>5.0584831100000001</v>
      </c>
      <c r="DN23" s="1">
        <f t="shared" si="45"/>
        <v>4.0554375800000004</v>
      </c>
      <c r="DO23" s="1">
        <f t="shared" si="45"/>
        <v>3.476448889999999</v>
      </c>
      <c r="DP23" s="1">
        <f t="shared" si="45"/>
        <v>3.23844815</v>
      </c>
      <c r="DQ23" s="1">
        <f t="shared" si="45"/>
        <v>1.94679845</v>
      </c>
      <c r="DR23" s="1">
        <f t="shared" si="45"/>
        <v>0.41117072999999998</v>
      </c>
      <c r="DS23" s="1">
        <f t="shared" si="45"/>
        <v>1.6918772199999998</v>
      </c>
      <c r="DT23" s="1">
        <f t="shared" si="45"/>
        <v>4.1008112300000006</v>
      </c>
      <c r="DU23" s="1">
        <f t="shared" si="45"/>
        <v>2.9628047099999995</v>
      </c>
      <c r="DV23" s="1">
        <f t="shared" si="45"/>
        <v>2.4415022799999999</v>
      </c>
      <c r="DW23" s="1">
        <f t="shared" si="45"/>
        <v>2.4186424700000004</v>
      </c>
      <c r="DX23" s="1">
        <f t="shared" si="45"/>
        <v>2.3161338599999999</v>
      </c>
      <c r="DY23" s="1">
        <f t="shared" si="41"/>
        <v>0.34545517000000003</v>
      </c>
      <c r="DZ23" s="1">
        <f t="shared" si="41"/>
        <v>1.3068112300000001</v>
      </c>
      <c r="EA23" s="1">
        <f t="shared" si="41"/>
        <v>1.01985657</v>
      </c>
      <c r="EB23" s="1">
        <f t="shared" si="41"/>
        <v>0.49471243999999998</v>
      </c>
      <c r="EC23" s="1">
        <f t="shared" si="41"/>
        <v>0.76659119999999992</v>
      </c>
      <c r="ED23" s="1">
        <f t="shared" si="41"/>
        <v>0.41683354000000006</v>
      </c>
      <c r="EE23" s="1">
        <f t="shared" si="41"/>
        <v>1.01193058</v>
      </c>
      <c r="EF23" s="1">
        <f t="shared" si="41"/>
        <v>1.2280305999999999</v>
      </c>
      <c r="EH23" s="14">
        <f t="shared" si="46"/>
        <v>16.079999999999998</v>
      </c>
      <c r="EI23" s="14">
        <f t="shared" si="46"/>
        <v>16.079999999999998</v>
      </c>
      <c r="EJ23" s="1">
        <f t="shared" si="46"/>
        <v>16.079999999999998</v>
      </c>
      <c r="EK23" s="1">
        <f t="shared" si="46"/>
        <v>16.079999999999998</v>
      </c>
      <c r="EL23" s="1">
        <f t="shared" si="46"/>
        <v>16.079999999999998</v>
      </c>
      <c r="EM23" s="1">
        <f t="shared" si="46"/>
        <v>16.079999999999998</v>
      </c>
      <c r="EN23" s="1">
        <f t="shared" si="46"/>
        <v>16.079999999999998</v>
      </c>
      <c r="EO23" s="1">
        <f t="shared" si="46"/>
        <v>16.079999999999998</v>
      </c>
      <c r="EP23" s="1">
        <f t="shared" si="46"/>
        <v>16.079999999999998</v>
      </c>
      <c r="EQ23" s="1">
        <f t="shared" si="46"/>
        <v>16.079999999999998</v>
      </c>
      <c r="ER23" s="1">
        <f t="shared" si="46"/>
        <v>16.3</v>
      </c>
      <c r="ES23" s="1">
        <f t="shared" si="46"/>
        <v>16.3</v>
      </c>
      <c r="ET23" s="1">
        <f t="shared" si="46"/>
        <v>16.3</v>
      </c>
      <c r="EU23" s="1">
        <f t="shared" si="46"/>
        <v>16.3</v>
      </c>
      <c r="EV23" s="1">
        <f t="shared" si="46"/>
        <v>16.3</v>
      </c>
      <c r="EW23" s="1">
        <f t="shared" si="46"/>
        <v>16.3</v>
      </c>
      <c r="EX23" s="1">
        <f t="shared" si="42"/>
        <v>16.3</v>
      </c>
      <c r="EY23" s="1">
        <f t="shared" si="42"/>
        <v>16.3</v>
      </c>
      <c r="EZ23" s="1">
        <f t="shared" si="42"/>
        <v>16.3</v>
      </c>
      <c r="FA23" s="1">
        <f t="shared" si="42"/>
        <v>16.3</v>
      </c>
      <c r="FB23" s="1">
        <f t="shared" si="42"/>
        <v>16.3</v>
      </c>
      <c r="FC23" s="1">
        <f t="shared" si="42"/>
        <v>16.3</v>
      </c>
      <c r="FD23" s="1">
        <f t="shared" si="42"/>
        <v>16.7</v>
      </c>
      <c r="FE23" s="1">
        <f t="shared" si="42"/>
        <v>16.7</v>
      </c>
      <c r="FG23" s="162">
        <f t="shared" si="34"/>
        <v>-0.13750929816988711</v>
      </c>
    </row>
    <row r="24" spans="1:163" ht="18.75" customHeight="1">
      <c r="A24" s="243" t="s">
        <v>39</v>
      </c>
      <c r="B24" s="246"/>
      <c r="C24" s="156">
        <f t="shared" si="5"/>
        <v>-0.65999999999999992</v>
      </c>
      <c r="D24" s="198">
        <v>-3</v>
      </c>
      <c r="E24" s="248">
        <f t="shared" si="6"/>
        <v>0</v>
      </c>
      <c r="F24" s="249">
        <f t="shared" si="7"/>
        <v>-2.3419431023919524E-2</v>
      </c>
      <c r="G24" s="248">
        <f t="shared" si="8"/>
        <v>2.2155667025844483E-2</v>
      </c>
      <c r="H24" s="249">
        <f t="shared" si="9"/>
        <v>-2.2155667025844483E-2</v>
      </c>
      <c r="I24" s="248">
        <f t="shared" si="10"/>
        <v>0.33333333333333326</v>
      </c>
      <c r="J24" s="249">
        <f t="shared" si="11"/>
        <v>2.0253992343450822E-2</v>
      </c>
      <c r="K24" s="248">
        <f t="shared" si="12"/>
        <v>0.39691449425240855</v>
      </c>
      <c r="L24" s="249">
        <f t="shared" si="13"/>
        <v>-6.3581160919075286E-2</v>
      </c>
      <c r="M24" s="250"/>
      <c r="N24" s="24">
        <v>1</v>
      </c>
      <c r="O24" s="248">
        <f t="shared" si="35"/>
        <v>4.7599193940657258E-3</v>
      </c>
      <c r="P24" s="251">
        <f t="shared" si="36"/>
        <v>4.7599193940657258E-3</v>
      </c>
      <c r="Q24" s="248">
        <f t="shared" si="14"/>
        <v>-0.12029398805748026</v>
      </c>
      <c r="R24" s="251">
        <f t="shared" si="37"/>
        <v>-0.12029398805748026</v>
      </c>
      <c r="S24" s="250"/>
      <c r="T24" s="24">
        <v>0</v>
      </c>
      <c r="U24" s="248">
        <f t="shared" si="15"/>
        <v>0.13233608293846899</v>
      </c>
      <c r="V24" s="252">
        <f t="shared" si="16"/>
        <v>0.13233608293846899</v>
      </c>
      <c r="W24" s="248">
        <f t="shared" si="38"/>
        <v>6.3902763031239651E-2</v>
      </c>
      <c r="X24" s="258">
        <f t="shared" si="17"/>
        <v>6.3902763031239651E-2</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f>VLOOKUP($A24,historia!$A$5:$CN$24,+HLOOKUP(AY$2,historia!$A$3:$EC$4,2,FALSE),FALSE)</f>
        <v>4</v>
      </c>
      <c r="AZ24" s="58">
        <f>VLOOKUP($A24,historia!$A$5:$DG$24,+HLOOKUP(AZ$2,historia!$A$3:$EC$4,2,FALSE),FALSE)</f>
        <v>4</v>
      </c>
      <c r="BA24" s="58">
        <f>VLOOKUP($A24,historia!$A$5:$DG$24,+HLOOKUP(BA$2,historia!$A$3:$EC$4,2,FALSE),FALSE)</f>
        <v>4</v>
      </c>
      <c r="BB24" s="58"/>
      <c r="BC24" s="286">
        <v>4</v>
      </c>
      <c r="BD24" t="str">
        <f t="shared" si="20"/>
        <v>Yerba Mate</v>
      </c>
      <c r="BE24">
        <f>+datos!AG1</f>
        <v>33</v>
      </c>
      <c r="BF24" s="2" t="str">
        <f t="shared" si="4"/>
        <v>$/t</v>
      </c>
      <c r="BG24" s="2">
        <f t="shared" si="4"/>
        <v>280000</v>
      </c>
      <c r="BH24" s="2">
        <f t="shared" si="4"/>
        <v>280000</v>
      </c>
      <c r="BI24" s="2">
        <f t="shared" si="4"/>
        <v>210000</v>
      </c>
      <c r="BK24">
        <f>+datos!CY1</f>
        <v>103</v>
      </c>
      <c r="BL24" s="2">
        <f t="shared" si="21"/>
        <v>11822.28850084903</v>
      </c>
      <c r="BM24" s="2">
        <f t="shared" si="21"/>
        <v>11566.035274498079</v>
      </c>
      <c r="BN24" s="2">
        <f t="shared" si="21"/>
        <v>8463.1439859001566</v>
      </c>
      <c r="BP24" s="1">
        <f>+datos!ED1</f>
        <v>134</v>
      </c>
      <c r="BQ24" s="1">
        <f t="shared" si="22"/>
        <v>231352</v>
      </c>
      <c r="BR24" s="1">
        <f t="shared" si="22"/>
        <v>230256</v>
      </c>
      <c r="BT24" s="1">
        <f>+datos!FZ1</f>
        <v>182</v>
      </c>
      <c r="BU24" s="1">
        <f t="shared" si="23"/>
        <v>885487</v>
      </c>
      <c r="BV24" s="1">
        <f t="shared" si="23"/>
        <v>1006571.5</v>
      </c>
      <c r="BX24" s="1">
        <f>+datos!KD1</f>
        <v>290</v>
      </c>
      <c r="BY24" s="1">
        <f t="shared" si="39"/>
        <v>127.56890572</v>
      </c>
      <c r="BZ24" s="1">
        <f t="shared" si="40"/>
        <v>112.65993166</v>
      </c>
      <c r="CB24" s="1">
        <f>+datos!LI1</f>
        <v>321</v>
      </c>
      <c r="CC24" s="2">
        <f t="shared" si="24"/>
        <v>24.521671439999999</v>
      </c>
      <c r="CD24" s="2">
        <f t="shared" si="25"/>
        <v>23.048790069999999</v>
      </c>
      <c r="CF24" s="1">
        <f>+datos!IP1</f>
        <v>250</v>
      </c>
      <c r="CG24" s="1">
        <f t="shared" si="26"/>
        <v>5.7424738987207355</v>
      </c>
      <c r="CH24" s="1">
        <f t="shared" si="27"/>
        <v>5.5693606783423002</v>
      </c>
      <c r="CJ24" s="1">
        <f t="shared" si="43"/>
        <v>19.294760099999998</v>
      </c>
      <c r="CK24" s="1">
        <f t="shared" si="43"/>
        <v>12.267837869999999</v>
      </c>
      <c r="CL24" s="1">
        <f t="shared" si="43"/>
        <v>8.5848558799999992</v>
      </c>
      <c r="CM24" s="1">
        <f t="shared" si="43"/>
        <v>12.502816449999999</v>
      </c>
      <c r="CN24" s="1">
        <f t="shared" si="43"/>
        <v>10.79513302</v>
      </c>
      <c r="CO24" s="1">
        <f t="shared" si="43"/>
        <v>10.492918690000002</v>
      </c>
      <c r="CP24" s="1">
        <f t="shared" si="43"/>
        <v>7.4906505000000001</v>
      </c>
      <c r="CQ24" s="1">
        <f t="shared" si="43"/>
        <v>7.8719914600000003</v>
      </c>
      <c r="CR24" s="1">
        <f t="shared" si="43"/>
        <v>9.8166064800000008</v>
      </c>
      <c r="CS24" s="1">
        <f t="shared" si="43"/>
        <v>7.1690497699999991</v>
      </c>
      <c r="CT24" s="1">
        <f t="shared" si="43"/>
        <v>10.805856030000001</v>
      </c>
      <c r="CU24" s="1">
        <f t="shared" si="43"/>
        <v>10.476429469999998</v>
      </c>
      <c r="CV24" s="1">
        <f t="shared" si="43"/>
        <v>11.361751129999998</v>
      </c>
      <c r="CW24" s="1">
        <f t="shared" si="43"/>
        <v>10.05873476</v>
      </c>
      <c r="CX24" s="1">
        <f t="shared" si="43"/>
        <v>9.4659040999999995</v>
      </c>
      <c r="CY24" s="1">
        <f t="shared" si="43"/>
        <v>8.3006057400000017</v>
      </c>
      <c r="CZ24" s="1">
        <f t="shared" si="44"/>
        <v>11.077079630000002</v>
      </c>
      <c r="DA24" s="1">
        <f t="shared" si="44"/>
        <v>7.2906957700000001</v>
      </c>
      <c r="DB24" s="1">
        <f t="shared" si="44"/>
        <v>8.852789640000001</v>
      </c>
      <c r="DC24" s="1">
        <f t="shared" si="44"/>
        <v>12.408222910000001</v>
      </c>
      <c r="DD24" s="1">
        <f t="shared" si="44"/>
        <v>8.8663402400000013</v>
      </c>
      <c r="DE24" s="1">
        <f t="shared" si="44"/>
        <v>9.2397224899999983</v>
      </c>
      <c r="DF24" s="1">
        <f t="shared" si="44"/>
        <v>7.1224329199999996</v>
      </c>
      <c r="DG24" s="1">
        <f t="shared" si="44"/>
        <v>8.6156523299999996</v>
      </c>
      <c r="DI24" s="1">
        <f t="shared" si="45"/>
        <v>1.9397561100000003</v>
      </c>
      <c r="DJ24" s="1">
        <f t="shared" si="45"/>
        <v>2.1093840299999997</v>
      </c>
      <c r="DK24" s="1">
        <f t="shared" si="45"/>
        <v>1.7438363500000003</v>
      </c>
      <c r="DL24" s="1">
        <f t="shared" si="45"/>
        <v>2.3219247899999997</v>
      </c>
      <c r="DM24" s="1">
        <f t="shared" si="45"/>
        <v>1.6709123100000001</v>
      </c>
      <c r="DN24" s="1">
        <f t="shared" si="45"/>
        <v>3.5033770500000001</v>
      </c>
      <c r="DO24" s="1">
        <f t="shared" si="45"/>
        <v>2.2730154199999997</v>
      </c>
      <c r="DP24" s="1">
        <f t="shared" si="45"/>
        <v>2.4041640299999996</v>
      </c>
      <c r="DQ24" s="1">
        <f t="shared" si="45"/>
        <v>2.0218665100000002</v>
      </c>
      <c r="DR24" s="1">
        <f t="shared" si="45"/>
        <v>1.1839526999999999</v>
      </c>
      <c r="DS24" s="1">
        <f t="shared" si="45"/>
        <v>1.1744757299999999</v>
      </c>
      <c r="DT24" s="1">
        <f t="shared" si="45"/>
        <v>2.1750064099999999</v>
      </c>
      <c r="DU24" s="1">
        <f t="shared" si="45"/>
        <v>2.6101839400000002</v>
      </c>
      <c r="DV24" s="1">
        <f t="shared" si="45"/>
        <v>1.2494588400000002</v>
      </c>
      <c r="DW24" s="1">
        <f t="shared" si="45"/>
        <v>0.60028256999999996</v>
      </c>
      <c r="DX24" s="1">
        <f t="shared" si="45"/>
        <v>1.7316709800000001</v>
      </c>
      <c r="DY24" s="1">
        <f t="shared" si="41"/>
        <v>1.1554743999999999</v>
      </c>
      <c r="DZ24" s="1">
        <f t="shared" si="41"/>
        <v>1.50586095</v>
      </c>
      <c r="EA24" s="1">
        <f t="shared" si="41"/>
        <v>3.2398820599999998</v>
      </c>
      <c r="EB24" s="1">
        <f t="shared" si="41"/>
        <v>3.1775986299999999</v>
      </c>
      <c r="EC24" s="1">
        <f t="shared" si="41"/>
        <v>2.4176205400000002</v>
      </c>
      <c r="ED24" s="1">
        <f t="shared" si="41"/>
        <v>1.0621514699999999</v>
      </c>
      <c r="EE24" s="1">
        <f t="shared" si="41"/>
        <v>1.8796713600000001</v>
      </c>
      <c r="EF24" s="1">
        <f t="shared" si="41"/>
        <v>2.4189343299999999</v>
      </c>
      <c r="EH24" s="14">
        <f t="shared" si="46"/>
        <v>5.7424738987207355</v>
      </c>
      <c r="EI24" s="14">
        <f t="shared" si="46"/>
        <v>5.7424738987207355</v>
      </c>
      <c r="EJ24" s="1">
        <f t="shared" si="46"/>
        <v>5.7424738987207355</v>
      </c>
      <c r="EK24" s="1">
        <f t="shared" si="46"/>
        <v>5.7424738987207355</v>
      </c>
      <c r="EL24" s="1">
        <f t="shared" si="46"/>
        <v>5.7424738987207355</v>
      </c>
      <c r="EM24" s="1">
        <f t="shared" si="46"/>
        <v>5.7424738987207355</v>
      </c>
      <c r="EN24" s="1">
        <f t="shared" si="46"/>
        <v>5.7424738987207355</v>
      </c>
      <c r="EO24" s="1">
        <f t="shared" si="46"/>
        <v>5.7424738987207355</v>
      </c>
      <c r="EP24" s="1">
        <f t="shared" si="46"/>
        <v>5.7424738987207355</v>
      </c>
      <c r="EQ24" s="1">
        <f t="shared" si="46"/>
        <v>5.7424738987207355</v>
      </c>
      <c r="ER24" s="1">
        <f t="shared" si="46"/>
        <v>5.5693606783423002</v>
      </c>
      <c r="ES24" s="1">
        <f t="shared" si="46"/>
        <v>5.5693606783423002</v>
      </c>
      <c r="ET24" s="1">
        <f t="shared" si="46"/>
        <v>5.5693606783423002</v>
      </c>
      <c r="EU24" s="1">
        <f t="shared" si="46"/>
        <v>5.5693606783423002</v>
      </c>
      <c r="EV24" s="1">
        <f t="shared" si="46"/>
        <v>5.5693606783423002</v>
      </c>
      <c r="EW24" s="1">
        <f t="shared" si="46"/>
        <v>5.5693606783423002</v>
      </c>
      <c r="EX24" s="1">
        <f t="shared" si="42"/>
        <v>5.5693606783423002</v>
      </c>
      <c r="EY24" s="1">
        <f t="shared" si="42"/>
        <v>5.5693606783423002</v>
      </c>
      <c r="EZ24" s="1">
        <f t="shared" si="42"/>
        <v>5.5693606783423002</v>
      </c>
      <c r="FA24" s="1">
        <f t="shared" si="42"/>
        <v>5.5693606783423002</v>
      </c>
      <c r="FB24" s="1">
        <f t="shared" si="42"/>
        <v>5.5693606783423002</v>
      </c>
      <c r="FC24" s="1">
        <f t="shared" si="42"/>
        <v>5.5693606783423002</v>
      </c>
      <c r="FD24" s="1">
        <f t="shared" si="42"/>
        <v>6.139895208369488</v>
      </c>
      <c r="FE24" s="1">
        <f t="shared" si="42"/>
        <v>6.139895208369488</v>
      </c>
      <c r="FG24" s="162">
        <f t="shared" si="34"/>
        <v>-6.3581160919075286E-2</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509"/>
      <c r="Y25" s="510" t="str">
        <f t="shared" si="18"/>
        <v/>
      </c>
      <c r="Z25" s="194"/>
      <c r="AA25" s="30"/>
      <c r="AB25" s="57"/>
      <c r="AT25" s="58"/>
      <c r="AU25" s="58"/>
      <c r="AV25" s="58"/>
      <c r="AW25" s="58"/>
      <c r="AX25" s="58"/>
      <c r="AY25" s="58"/>
      <c r="AZ25" s="58"/>
      <c r="BA25" s="58"/>
      <c r="BB25" s="58"/>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G26" s="12"/>
      <c r="K26" s="12"/>
      <c r="O26" s="12"/>
      <c r="Y26" s="386"/>
      <c r="AB26" s="57"/>
      <c r="BI26" s="2"/>
      <c r="BU26" s="1">
        <f>BU20-BV20</f>
        <v>60472</v>
      </c>
      <c r="BY26" s="1">
        <f>BY20-BZ20</f>
        <v>76.53775510000014</v>
      </c>
    </row>
    <row r="27" spans="1:163" ht="18.75" customHeight="1">
      <c r="I27" s="12">
        <f>+AVERAGEIF(I6:I24,"&lt;211%")</f>
        <v>0.1601786493430607</v>
      </c>
      <c r="K27" s="177">
        <f>+SUBTOTAL(101,K6:K21)</f>
        <v>0.33720887502547564</v>
      </c>
      <c r="V27" t="s">
        <v>167</v>
      </c>
      <c r="X27" s="162"/>
      <c r="BQ27" s="1">
        <f>+SUM(BQ6:BQ24)</f>
        <v>116105801</v>
      </c>
      <c r="BR27" s="1">
        <f>+SUM(BR6:BR24)</f>
        <v>115728457</v>
      </c>
      <c r="BU27" s="1">
        <f>+SUM(BU6:BU24)</f>
        <v>182609625.49178797</v>
      </c>
      <c r="BV27" s="1">
        <f>+SUM(BV6:BV24)</f>
        <v>161634883.01395616</v>
      </c>
      <c r="BY27" s="1">
        <f>+SUM(BY6:BY24)</f>
        <v>56761.209206919993</v>
      </c>
      <c r="BZ27" s="1">
        <f>+SUM(BZ6:BZ24)</f>
        <v>54527.579484819995</v>
      </c>
      <c r="CC27" s="1">
        <f>+SUM(CC6:CC24)</f>
        <v>3258.2102713499994</v>
      </c>
      <c r="CD27" s="1">
        <f>+SUM(CD6:CD24)</f>
        <v>3931.8188362300002</v>
      </c>
      <c r="FG27" s="167">
        <f>+COUNTIF(FG6:FG24,"&gt;0")</f>
        <v>1</v>
      </c>
    </row>
    <row r="28" spans="1:163" ht="18.75" customHeight="1">
      <c r="C28" s="156">
        <v>-1</v>
      </c>
      <c r="E28" s="167">
        <f>+COUNTIF($I$6:$I$24,"&lt;1,69")</f>
        <v>19</v>
      </c>
      <c r="F28" s="29">
        <v>-1</v>
      </c>
      <c r="I28" s="167">
        <f>+COUNTIF($I$6:$I$24,"&lt;1,69")</f>
        <v>19</v>
      </c>
      <c r="J28" s="29">
        <v>-1</v>
      </c>
      <c r="K28">
        <f>+COUNTIF($L$6:$L$24,"&lt;0")</f>
        <v>18</v>
      </c>
      <c r="L28" s="29">
        <v>-1</v>
      </c>
      <c r="O28">
        <f>+COUNTIF($P$6:$P$24,"&lt;0")</f>
        <v>8</v>
      </c>
      <c r="P28" s="262">
        <v>-1</v>
      </c>
      <c r="Q28">
        <f>+COUNTIF($R$6:$R$24,"&lt;0")</f>
        <v>6</v>
      </c>
      <c r="R28" s="262">
        <v>-1</v>
      </c>
      <c r="T28" s="57">
        <f>+COUNTIF($U$6:$U$24,"&lt;0")</f>
        <v>5</v>
      </c>
      <c r="U28" s="29">
        <v>-1</v>
      </c>
      <c r="BR28" t="s">
        <v>491</v>
      </c>
      <c r="BU28" s="167">
        <f>+SUMIFS(BU6:BU24,BC6:BC24,5)+SUMIFS(BU6:BU24,BC6:BC24,4)</f>
        <v>28244769</v>
      </c>
      <c r="BY28" s="10">
        <f>+BY27/BZ27-1</f>
        <v>4.0963302299560578E-2</v>
      </c>
      <c r="CC28" s="10">
        <f>+CC27/CD27-1</f>
        <v>-0.17132238104995856</v>
      </c>
    </row>
    <row r="29" spans="1:163" ht="18.75" customHeight="1">
      <c r="A29" s="11">
        <f>+COUNTIF($C$6:$C$24,C29)</f>
        <v>8</v>
      </c>
      <c r="C29" s="156">
        <v>0</v>
      </c>
      <c r="E29" s="167">
        <f>+COUNTIF($I$6:$I$24,"=1,69")</f>
        <v>0</v>
      </c>
      <c r="F29" s="29">
        <v>0</v>
      </c>
      <c r="I29" s="167">
        <f>+COUNTIF($I$6:$I$24,"=1,69")</f>
        <v>0</v>
      </c>
      <c r="J29" s="29">
        <v>0</v>
      </c>
      <c r="L29" s="29">
        <v>0</v>
      </c>
      <c r="O29">
        <f>+COUNTIF($P$6:$P$24,"=0")</f>
        <v>4</v>
      </c>
      <c r="P29" s="262">
        <v>0</v>
      </c>
      <c r="Q29">
        <f>+COUNTIF($R$6:$R$24,"=0")</f>
        <v>3</v>
      </c>
      <c r="R29" s="262">
        <v>0</v>
      </c>
      <c r="T29" s="57">
        <f>+COUNTIF($U$6:$U$24,"=0")</f>
        <v>0</v>
      </c>
      <c r="U29" s="29">
        <v>0</v>
      </c>
      <c r="BR29" t="s">
        <v>492</v>
      </c>
      <c r="BU29" s="167">
        <f>+SUMIFS(BU6:BU24,BC6:BC24,3)</f>
        <v>5294545.8077880004</v>
      </c>
    </row>
    <row r="30" spans="1:163" ht="18.75" customHeight="1">
      <c r="A30" s="11">
        <f>+COUNTIF($C$6:$C$24,"&gt;0")</f>
        <v>1</v>
      </c>
      <c r="C30" s="156">
        <v>1</v>
      </c>
      <c r="E30" s="167">
        <f>+COUNTIF($I$6:$I$24,"&gt;1,69")</f>
        <v>0</v>
      </c>
      <c r="F30" s="29">
        <v>1</v>
      </c>
      <c r="I30" s="167">
        <f>+COUNTIF($I$6:$I$24,"&gt;1,69")</f>
        <v>0</v>
      </c>
      <c r="J30" s="29">
        <v>1</v>
      </c>
      <c r="K30">
        <f>+COUNTIF($L$6:$L$24,"&gt;0")</f>
        <v>1</v>
      </c>
      <c r="L30" s="29">
        <v>1</v>
      </c>
      <c r="O30">
        <f>+COUNTIF($P$6:$P$24,"&gt;0")</f>
        <v>6</v>
      </c>
      <c r="P30" s="262">
        <v>1</v>
      </c>
      <c r="Q30">
        <f>+COUNTIF($R$6:$R$24,"&gt;0")</f>
        <v>10</v>
      </c>
      <c r="R30" s="262">
        <v>1</v>
      </c>
      <c r="T30" s="57">
        <f>+COUNTIF($U$6:$U$24,"&gt;0")</f>
        <v>13</v>
      </c>
      <c r="U30" s="29">
        <v>1</v>
      </c>
      <c r="X30" s="14"/>
      <c r="BR30" t="s">
        <v>493</v>
      </c>
      <c r="BU30" s="167">
        <f>+SUMIFS(BU6:BU24,BC6:BC24,1)+SUMIFS(BU6:BU24,BC6:BC24,2)</f>
        <v>149070310.68400002</v>
      </c>
      <c r="BX30" s="1"/>
    </row>
    <row r="31" spans="1:163" ht="18.75" customHeight="1">
      <c r="K31" s="12"/>
    </row>
    <row r="32" spans="1:163" ht="18.75" customHeight="1">
      <c r="C32" s="157"/>
      <c r="I32" s="14">
        <f>+COUNTIF(I6:I24,"&gt;211%")</f>
        <v>0</v>
      </c>
      <c r="J32" s="14"/>
      <c r="K32" s="14"/>
      <c r="Y32" s="163"/>
    </row>
    <row r="33" spans="1:164" ht="18.75" customHeight="1">
      <c r="C33" s="157"/>
      <c r="I33" s="12">
        <f>+I26/2</f>
        <v>0</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4">
      <iconSet>
        <cfvo type="percent" val="0"/>
        <cfvo type="num" val="0"/>
        <cfvo type="num" val="0" gte="0"/>
      </iconSet>
    </cfRule>
  </conditionalFormatting>
  <conditionalFormatting sqref="C28:C30">
    <cfRule type="iconSet" priority="38">
      <iconSet>
        <cfvo type="percent" val="0"/>
        <cfvo type="num" val="0"/>
        <cfvo type="num" val="0" gte="0"/>
      </iconSet>
    </cfRule>
  </conditionalFormatting>
  <conditionalFormatting sqref="D6:D25">
    <cfRule type="iconSet" priority="43">
      <iconSet>
        <cfvo type="percent" val="0"/>
        <cfvo type="num" val="0"/>
        <cfvo type="num" val="0" gte="0"/>
      </iconSet>
    </cfRule>
  </conditionalFormatting>
  <conditionalFormatting sqref="F6:F16 F19:F25">
    <cfRule type="iconSet" priority="39">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6">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4">
      <iconSet>
        <cfvo type="percent" val="0"/>
        <cfvo type="num" val="0"/>
        <cfvo type="num" val="0" gte="0"/>
      </iconSet>
    </cfRule>
  </conditionalFormatting>
  <conditionalFormatting sqref="J6:J9 J11:J16 J19:J25">
    <cfRule type="iconSet" priority="37">
      <iconSet>
        <cfvo type="percent" val="0"/>
        <cfvo type="num" val="0"/>
        <cfvo type="num" val="0" gte="0"/>
      </iconSet>
    </cfRule>
  </conditionalFormatting>
  <conditionalFormatting sqref="J10">
    <cfRule type="iconSet" priority="35">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5">
      <iconSet>
        <cfvo type="percent" val="0"/>
        <cfvo type="num" val="0"/>
        <cfvo type="num" val="0" gte="0"/>
      </iconSet>
    </cfRule>
  </conditionalFormatting>
  <conditionalFormatting sqref="L10">
    <cfRule type="iconSet" priority="46">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0">
      <iconSet>
        <cfvo type="percent" val="0"/>
        <cfvo type="num" val="0"/>
        <cfvo type="num" val="0" gte="0"/>
      </iconSet>
    </cfRule>
  </conditionalFormatting>
  <conditionalFormatting sqref="N6:N25">
    <cfRule type="iconSet" priority="33">
      <iconSet>
        <cfvo type="percent" val="0"/>
        <cfvo type="num" val="0"/>
        <cfvo type="num" val="0" gte="0"/>
      </iconSet>
    </cfRule>
  </conditionalFormatting>
  <conditionalFormatting sqref="P6:P9 P11:P25">
    <cfRule type="iconSet" priority="41">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5">
      <iconSet>
        <cfvo type="percent" val="0"/>
        <cfvo type="num" val="0"/>
        <cfvo type="num" val="0" gte="0"/>
      </iconSet>
    </cfRule>
  </conditionalFormatting>
  <conditionalFormatting sqref="R6:R15 R17:R25">
    <cfRule type="iconSet" priority="42">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4">
      <iconSet>
        <cfvo type="percent" val="0"/>
        <cfvo type="num" val="0"/>
        <cfvo type="num" val="0" gte="0"/>
      </iconSet>
    </cfRule>
  </conditionalFormatting>
  <conditionalFormatting sqref="S6:S25">
    <cfRule type="iconSet" priority="28">
      <iconSet>
        <cfvo type="percent" val="0"/>
        <cfvo type="num" val="0"/>
        <cfvo type="num" val="0" gte="0"/>
      </iconSet>
    </cfRule>
  </conditionalFormatting>
  <conditionalFormatting sqref="T6:T25">
    <cfRule type="iconSet" priority="32">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1">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7">
      <iconSet>
        <cfvo type="percent" val="0"/>
        <cfvo type="num" val="0"/>
        <cfvo type="num" val="0" gte="0"/>
      </iconSet>
    </cfRule>
  </conditionalFormatting>
  <conditionalFormatting sqref="X25">
    <cfRule type="iconSet" priority="26">
      <iconSet reverse="1">
        <cfvo type="percent" val="0"/>
        <cfvo type="num" val="0"/>
        <cfvo type="num" val="0" gte="0"/>
      </iconSet>
    </cfRule>
  </conditionalFormatting>
  <conditionalFormatting sqref="Z6">
    <cfRule type="iconSet" priority="21">
      <iconSet>
        <cfvo type="percent" val="0"/>
        <cfvo type="num" val="0"/>
        <cfvo type="num" val="0" gte="0"/>
      </iconSet>
    </cfRule>
  </conditionalFormatting>
  <conditionalFormatting sqref="Z7">
    <cfRule type="iconSet" priority="20">
      <iconSet>
        <cfvo type="percent" val="0"/>
        <cfvo type="num" val="0"/>
        <cfvo type="num" val="0" gte="0"/>
      </iconSet>
    </cfRule>
  </conditionalFormatting>
  <conditionalFormatting sqref="Z8 Z12 Z14:Z17 Z21 Z23 Z25">
    <cfRule type="iconSet" priority="29">
      <iconSet>
        <cfvo type="percent" val="0"/>
        <cfvo type="num" val="0"/>
        <cfvo type="num" val="0" gte="0"/>
      </iconSet>
    </cfRule>
  </conditionalFormatting>
  <conditionalFormatting sqref="Z9:Z10">
    <cfRule type="iconSet" priority="23">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263" priority="47">
      <formula>AP6=3</formula>
    </cfRule>
    <cfRule type="expression" dxfId="262" priority="48">
      <formula>AP6=5</formula>
    </cfRule>
    <cfRule type="expression" dxfId="261" priority="49">
      <formula>AP6=4</formula>
    </cfRule>
    <cfRule type="expression" dxfId="260" priority="50">
      <formula>AP6=2</formula>
    </cfRule>
    <cfRule type="expression" dxfId="259" priority="51">
      <formula>AP6=1</formula>
    </cfRule>
    <cfRule type="expression" dxfId="258" priority="52">
      <formula>AP6=0</formula>
    </cfRule>
  </conditionalFormatting>
  <conditionalFormatting sqref="AN6:AN25">
    <cfRule type="expression" dxfId="257" priority="64">
      <formula>BA6=0</formula>
    </cfRule>
    <cfRule type="expression" dxfId="256" priority="59">
      <formula>BA6=3</formula>
    </cfRule>
    <cfRule type="expression" dxfId="255" priority="60">
      <formula>BA6=5</formula>
    </cfRule>
    <cfRule type="expression" dxfId="254" priority="61">
      <formula>BA6=4</formula>
    </cfRule>
    <cfRule type="expression" dxfId="253" priority="62">
      <formula>BA6=2</formula>
    </cfRule>
    <cfRule type="expression" dxfId="252" priority="63">
      <formula>BA6=1</formula>
    </cfRule>
  </conditionalFormatting>
  <conditionalFormatting sqref="AO6:AO25">
    <cfRule type="expression" dxfId="251" priority="53">
      <formula>#REF!=3</formula>
    </cfRule>
    <cfRule type="expression" dxfId="250" priority="54">
      <formula>#REF!=5</formula>
    </cfRule>
    <cfRule type="expression" dxfId="249" priority="55">
      <formula>#REF!=4</formula>
    </cfRule>
    <cfRule type="expression" dxfId="248" priority="57">
      <formula>#REF!=1</formula>
    </cfRule>
    <cfRule type="expression" dxfId="247" priority="58">
      <formula>#REF!=0</formula>
    </cfRule>
    <cfRule type="expression" dxfId="246" priority="56">
      <formula>#REF!=2</formula>
    </cfRule>
  </conditionalFormatting>
  <conditionalFormatting sqref="FG6:FG25 FG27">
    <cfRule type="colorScale" priority="22">
      <colorScale>
        <cfvo type="min"/>
        <cfvo type="percentile" val="50"/>
        <cfvo type="max"/>
        <color rgb="FFF8696B"/>
        <color rgb="FFFFEB84"/>
        <color rgb="FF63BE7B"/>
      </colorScale>
    </cfRule>
  </conditionalFormatting>
  <dataValidations count="1">
    <dataValidation type="list" allowBlank="1" showInputMessage="1" showErrorMessage="1" sqref="A1:B1" xr:uid="{AFC17AEF-E9A5-4F62-9486-C84C17C56CD4}">
      <formula1>lis_dat</formula1>
    </dataValidation>
  </dataValidations>
  <pageMargins left="0.25" right="0.25" top="0.75" bottom="0.75" header="0.3" footer="0.3"/>
  <pageSetup paperSize="9" scale="76" orientation="portrait" r:id="rId1"/>
  <ignoredErrors>
    <ignoredError sqref="Q6 Q7:Q24 W6 W7:W24 Y6:Y24" formula="1"/>
  </ignoredErrors>
  <extLst>
    <ext xmlns:x14="http://schemas.microsoft.com/office/spreadsheetml/2009/9/main" uri="{78C0D931-6437-407d-A8EE-F0AAD7539E65}">
      <x14:conditionalFormattings>
        <x14:conditionalFormatting xmlns:xm="http://schemas.microsoft.com/office/excel/2006/main">
          <x14:cfRule type="iconSet" priority="1" id="{2E046264-2EB5-4BC1-9078-F575FB97945E}">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0" id="{B78F6003-F75E-4A83-B817-F1308F888A92}">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07D8-906E-454C-8085-6485DB4BB27A}">
  <sheetPr>
    <tabColor theme="5" tint="-0.249977111117893"/>
    <pageSetUpPr fitToPage="1"/>
  </sheetPr>
  <dimension ref="A1:FH47"/>
  <sheetViews>
    <sheetView showGridLines="0" zoomScale="70" zoomScaleNormal="70" workbookViewId="0">
      <pane xSplit="4" topLeftCell="E1" activePane="topRight" state="frozen"/>
      <selection pane="topRight" activeCell="A9" sqref="A9"/>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6" width="6.5546875" style="23" customWidth="1"/>
    <col min="17" max="17" width="6.332031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2.33203125" style="57" customWidth="1"/>
    <col min="41" max="41" width="3" style="57" customWidth="1"/>
    <col min="42" max="42" width="5.33203125" style="28" hidden="1" customWidth="1"/>
    <col min="43" max="43" width="6" style="28" hidden="1" customWidth="1"/>
    <col min="44" max="44" width="5.33203125" style="28" hidden="1" customWidth="1"/>
    <col min="45" max="45" width="8.5546875" style="28" hidden="1" customWidth="1"/>
    <col min="46" max="46" width="5.5546875" hidden="1" customWidth="1"/>
    <col min="47" max="47" width="6.33203125" hidden="1" customWidth="1"/>
    <col min="48" max="48" width="5.6640625" hidden="1" customWidth="1"/>
    <col min="49" max="49" width="5.33203125" hidden="1" customWidth="1"/>
    <col min="50" max="50" width="5.6640625" hidden="1" customWidth="1"/>
    <col min="51" max="51" width="5" hidden="1" customWidth="1"/>
    <col min="52" max="52" width="6" hidden="1" customWidth="1"/>
    <col min="53" max="53" width="6.33203125" hidden="1" customWidth="1"/>
    <col min="54" max="54" width="7.44140625" customWidth="1"/>
    <col min="55" max="55" width="11.6640625" style="141" customWidth="1"/>
    <col min="56" max="56" width="12" customWidth="1"/>
    <col min="57" max="57" width="0.88671875" customWidth="1"/>
    <col min="58" max="58" width="7.88671875" customWidth="1"/>
    <col min="59" max="61" width="8.88671875" bestFit="1"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88671875" bestFit="1" customWidth="1"/>
    <col min="91" max="92" width="7" bestFit="1" customWidth="1"/>
    <col min="93" max="93" width="6.5546875" bestFit="1" customWidth="1"/>
    <col min="94" max="94" width="6.6640625" bestFit="1" customWidth="1"/>
    <col min="95" max="95" width="6.44140625" bestFit="1" customWidth="1"/>
    <col min="96" max="96" width="7.44140625" bestFit="1" customWidth="1"/>
    <col min="97" max="97" width="6.6640625" bestFit="1" customWidth="1"/>
    <col min="98" max="98" width="6.109375" bestFit="1" customWidth="1"/>
    <col min="99" max="99" width="7" bestFit="1" customWidth="1"/>
    <col min="100" max="100" width="7.109375" bestFit="1" customWidth="1"/>
    <col min="101" max="102" width="6.88671875" bestFit="1" customWidth="1"/>
    <col min="103" max="103" width="6.5546875" bestFit="1" customWidth="1"/>
    <col min="104" max="104" width="6.88671875" bestFit="1" customWidth="1"/>
    <col min="105" max="105" width="6.5546875" bestFit="1" customWidth="1"/>
    <col min="106" max="106" width="6.6640625" bestFit="1" customWidth="1"/>
    <col min="107" max="107" width="6.109375" bestFit="1" customWidth="1"/>
    <col min="108" max="108" width="7.44140625" bestFit="1" customWidth="1"/>
    <col min="109" max="109" width="6.6640625" bestFit="1" customWidth="1"/>
    <col min="110" max="110" width="5.6640625" bestFit="1" customWidth="1"/>
    <col min="111" max="111" width="7" bestFit="1" customWidth="1"/>
    <col min="112" max="112" width="5" customWidth="1"/>
    <col min="113" max="113" width="11" bestFit="1" customWidth="1"/>
    <col min="114" max="114" width="6.44140625" bestFit="1" customWidth="1"/>
    <col min="115" max="115" width="6.88671875" bestFit="1" customWidth="1"/>
    <col min="116" max="116" width="6.44140625" bestFit="1" customWidth="1"/>
    <col min="117" max="117" width="6.88671875" bestFit="1" customWidth="1"/>
    <col min="118" max="118" width="6.109375" bestFit="1" customWidth="1"/>
    <col min="119" max="119" width="6.6640625" bestFit="1" customWidth="1"/>
    <col min="120" max="120" width="6.109375" bestFit="1" customWidth="1"/>
    <col min="121" max="121" width="7.44140625" bestFit="1" customWidth="1"/>
    <col min="122" max="122" width="6.6640625" bestFit="1" customWidth="1"/>
    <col min="123" max="123" width="5.6640625" bestFit="1" customWidth="1"/>
    <col min="124" max="124" width="6.33203125" bestFit="1" customWidth="1"/>
    <col min="125" max="125" width="7.109375" bestFit="1" customWidth="1"/>
    <col min="126" max="126" width="6.44140625" bestFit="1" customWidth="1"/>
    <col min="127" max="127" width="6.88671875" bestFit="1" customWidth="1"/>
    <col min="128" max="128" width="6.44140625" bestFit="1" customWidth="1"/>
    <col min="129" max="129" width="6.88671875" bestFit="1" customWidth="1"/>
    <col min="130" max="130" width="6.109375" bestFit="1" customWidth="1"/>
    <col min="131" max="131" width="6.6640625" bestFit="1" customWidth="1"/>
    <col min="132" max="132" width="6.109375" bestFit="1" customWidth="1"/>
    <col min="133" max="133" width="7.44140625" bestFit="1" customWidth="1"/>
    <col min="134" max="134" width="6.664062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45901</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45901</v>
      </c>
      <c r="BH1" s="3">
        <v>45870</v>
      </c>
      <c r="BI1" s="3">
        <f>+VLOOKUP(BI2,datos!$D:$E,2,FALSE)</f>
        <v>45536</v>
      </c>
      <c r="BL1" s="3">
        <f>+A1</f>
        <v>45901</v>
      </c>
      <c r="BM1" s="3">
        <f>+VLOOKUP(BM2,datos!$D:$E,2,FALSE)</f>
        <v>45870</v>
      </c>
      <c r="BN1" s="3">
        <f>+VLOOKUP(BN2,datos!$D:$E,2,FALSE)</f>
        <v>45536</v>
      </c>
      <c r="BQ1" s="3">
        <f>+A1</f>
        <v>45901</v>
      </c>
      <c r="BR1" s="3">
        <f>+VLOOKUP(BR2,datos!$D:$E,2,FALSE)</f>
        <v>45536</v>
      </c>
      <c r="BU1" s="3">
        <f>+A1</f>
        <v>45901</v>
      </c>
      <c r="BV1" s="3">
        <f>+VLOOKUP(BV2,datos!$D:$E,2,FALSE)</f>
        <v>45536</v>
      </c>
      <c r="BY1" t="s">
        <v>279</v>
      </c>
      <c r="BZ1" t="s">
        <v>280</v>
      </c>
      <c r="CC1" t="s">
        <v>279</v>
      </c>
      <c r="CD1" t="s">
        <v>280</v>
      </c>
      <c r="CG1" t="s">
        <v>282</v>
      </c>
      <c r="CH1" t="s">
        <v>283</v>
      </c>
      <c r="CI1" s="3">
        <f>+A1</f>
        <v>45901</v>
      </c>
      <c r="CJ1" s="3">
        <f>+VLOOKUP(CJ2,datos!$D:$E,2,FALSE)</f>
        <v>45901</v>
      </c>
      <c r="CK1" s="3">
        <f>+VLOOKUP(CK2,datos!$D:$E,2,FALSE)</f>
        <v>45870</v>
      </c>
      <c r="CL1" s="3">
        <f>+VLOOKUP(CL2,datos!$D:$E,2,FALSE)</f>
        <v>45839</v>
      </c>
      <c r="CM1" s="3">
        <f>+VLOOKUP(CM2,datos!$D:$E,2,FALSE)</f>
        <v>45809</v>
      </c>
      <c r="CN1" s="3">
        <f>+VLOOKUP(CN2,datos!$D:$E,2,FALSE)</f>
        <v>45778</v>
      </c>
      <c r="CO1" s="3">
        <f>+VLOOKUP(CO2,datos!$D:$E,2,FALSE)</f>
        <v>45748</v>
      </c>
      <c r="CP1" s="3">
        <f>+VLOOKUP(CP2,datos!$D:$E,2,FALSE)</f>
        <v>45717</v>
      </c>
      <c r="CQ1" s="3">
        <f>+VLOOKUP(CQ2,datos!$D:$E,2,FALSE)</f>
        <v>45689</v>
      </c>
      <c r="CR1" s="3">
        <f>+VLOOKUP(CR2,datos!$D:$E,2,FALSE)</f>
        <v>45658</v>
      </c>
      <c r="CS1" s="3">
        <f>+VLOOKUP(CS2,datos!$D:$E,2,FALSE)</f>
        <v>45627</v>
      </c>
      <c r="CT1" s="3">
        <f>+VLOOKUP(CT2,datos!$D:$E,2,FALSE)</f>
        <v>45597</v>
      </c>
      <c r="CU1" s="3">
        <f>+VLOOKUP(CU2,datos!$D:$E,2,FALSE)</f>
        <v>45566</v>
      </c>
      <c r="CV1" s="3">
        <f>+VLOOKUP(CV2,datos!$D:$E,2,FALSE)</f>
        <v>45536</v>
      </c>
      <c r="CW1" s="3">
        <f>+VLOOKUP(CW2,datos!$D:$E,2,FALSE)</f>
        <v>45505</v>
      </c>
      <c r="CX1" s="3">
        <f>+VLOOKUP(CX2,datos!$D:$E,2,FALSE)</f>
        <v>45474</v>
      </c>
      <c r="CY1" s="3">
        <f>+VLOOKUP(CY2,datos!$D:$E,2,FALSE)</f>
        <v>45444</v>
      </c>
      <c r="CZ1" s="3">
        <f>+VLOOKUP(CZ2,datos!$D:$E,2,FALSE)</f>
        <v>45413</v>
      </c>
      <c r="DA1" s="3">
        <f>+VLOOKUP(DA2,datos!$D:$E,2,FALSE)</f>
        <v>45383</v>
      </c>
      <c r="DB1" s="3">
        <f>+VLOOKUP(DB2,datos!$D:$E,2,FALSE)</f>
        <v>45352</v>
      </c>
      <c r="DC1" s="3">
        <f>+VLOOKUP(DC2,datos!$D:$E,2,FALSE)</f>
        <v>45323</v>
      </c>
      <c r="DD1" s="3">
        <f>+VLOOKUP(DD2,datos!$D:$E,2,FALSE)</f>
        <v>45292</v>
      </c>
      <c r="DE1" s="3">
        <f>+VLOOKUP(DE2,datos!$D:$E,2,FALSE)</f>
        <v>45261</v>
      </c>
      <c r="DF1" s="3">
        <f>+VLOOKUP(DF2,datos!$D:$E,2,FALSE)</f>
        <v>45231</v>
      </c>
      <c r="DG1" s="3">
        <f>+VLOOKUP(DG2,datos!$D:$E,2,FALSE)</f>
        <v>45200</v>
      </c>
      <c r="DI1" s="3">
        <f>+CJ1</f>
        <v>45901</v>
      </c>
      <c r="DJ1" s="3">
        <f>+VLOOKUP(DJ2,datos!$D:$E,2,FALSE)</f>
        <v>45870</v>
      </c>
      <c r="DK1" s="3">
        <f>+VLOOKUP(DK2,datos!$D:$E,2,FALSE)</f>
        <v>45839</v>
      </c>
      <c r="DL1" s="3">
        <f>+VLOOKUP(DL2,datos!$D:$E,2,FALSE)</f>
        <v>45809</v>
      </c>
      <c r="DM1" s="3">
        <f>+VLOOKUP(DM2,datos!$D:$E,2,FALSE)</f>
        <v>45778</v>
      </c>
      <c r="DN1" s="3">
        <f>+VLOOKUP(DN2,datos!$D:$E,2,FALSE)</f>
        <v>45748</v>
      </c>
      <c r="DO1" s="3">
        <f>+VLOOKUP(DO2,datos!$D:$E,2,FALSE)</f>
        <v>45717</v>
      </c>
      <c r="DP1" s="3">
        <f>+VLOOKUP(DP2,datos!$D:$E,2,FALSE)</f>
        <v>45689</v>
      </c>
      <c r="DQ1" s="3">
        <f>+VLOOKUP(DQ2,datos!$D:$E,2,FALSE)</f>
        <v>45658</v>
      </c>
      <c r="DR1" s="3">
        <f>+VLOOKUP(DR2,datos!$D:$E,2,FALSE)</f>
        <v>45627</v>
      </c>
      <c r="DS1" s="3">
        <f>+VLOOKUP(DS2,datos!$D:$E,2,FALSE)</f>
        <v>45597</v>
      </c>
      <c r="DT1" s="3">
        <f>+VLOOKUP(DT2,datos!$D:$E,2,FALSE)</f>
        <v>45566</v>
      </c>
      <c r="DU1" s="3">
        <f>+VLOOKUP(DU2,datos!$D:$E,2,FALSE)</f>
        <v>45536</v>
      </c>
      <c r="DV1" s="3">
        <f>+VLOOKUP(DV2,datos!$D:$E,2,FALSE)</f>
        <v>45505</v>
      </c>
      <c r="DW1" s="3">
        <f>+VLOOKUP(DW2,datos!$D:$E,2,FALSE)</f>
        <v>45474</v>
      </c>
      <c r="DX1" s="3">
        <f>+VLOOKUP(DX2,datos!$D:$E,2,FALSE)</f>
        <v>45444</v>
      </c>
      <c r="DY1" s="3">
        <f>+VLOOKUP(DY2,datos!$D:$E,2,FALSE)</f>
        <v>45413</v>
      </c>
      <c r="DZ1" s="3">
        <f>+VLOOKUP(DZ2,datos!$D:$E,2,FALSE)</f>
        <v>45383</v>
      </c>
      <c r="EA1" s="3">
        <f>+VLOOKUP(EA2,datos!$D:$E,2,FALSE)</f>
        <v>45352</v>
      </c>
      <c r="EB1" s="3">
        <f>+VLOOKUP(EB2,datos!$D:$E,2,FALSE)</f>
        <v>45323</v>
      </c>
      <c r="EC1" s="3">
        <f>+VLOOKUP(EC2,datos!$D:$E,2,FALSE)</f>
        <v>45292</v>
      </c>
      <c r="ED1" s="3">
        <f>+VLOOKUP(ED2,datos!$D:$E,2,FALSE)</f>
        <v>45261</v>
      </c>
      <c r="EE1" s="3">
        <f>+VLOOKUP(EE2,datos!$D:$E,2,FALSE)</f>
        <v>45231</v>
      </c>
      <c r="EF1" s="3">
        <f>+VLOOKUP(EF2,datos!$D:$E,2,FALSE)</f>
        <v>45200</v>
      </c>
      <c r="EH1" s="14">
        <f>+CJ1</f>
        <v>45901</v>
      </c>
      <c r="EI1" s="14">
        <f t="shared" ref="EI1:FE1" si="0">+CK1</f>
        <v>45870</v>
      </c>
      <c r="EJ1" s="3">
        <f t="shared" si="0"/>
        <v>45839</v>
      </c>
      <c r="EK1" s="3">
        <f t="shared" si="0"/>
        <v>45809</v>
      </c>
      <c r="EL1" s="3">
        <f t="shared" si="0"/>
        <v>45778</v>
      </c>
      <c r="EM1" s="3">
        <f t="shared" si="0"/>
        <v>45748</v>
      </c>
      <c r="EN1" s="3">
        <f t="shared" si="0"/>
        <v>45717</v>
      </c>
      <c r="EO1" s="3">
        <f t="shared" si="0"/>
        <v>45689</v>
      </c>
      <c r="EP1" s="3">
        <f t="shared" si="0"/>
        <v>45658</v>
      </c>
      <c r="EQ1" s="3">
        <f t="shared" si="0"/>
        <v>45627</v>
      </c>
      <c r="ER1" s="3">
        <f t="shared" si="0"/>
        <v>45597</v>
      </c>
      <c r="ES1" s="3">
        <f t="shared" si="0"/>
        <v>45566</v>
      </c>
      <c r="ET1" s="3">
        <f t="shared" si="0"/>
        <v>45536</v>
      </c>
      <c r="EU1" s="3">
        <f t="shared" si="0"/>
        <v>45505</v>
      </c>
      <c r="EV1" s="3">
        <f t="shared" si="0"/>
        <v>45474</v>
      </c>
      <c r="EW1" s="3">
        <f t="shared" si="0"/>
        <v>45444</v>
      </c>
      <c r="EX1" s="3">
        <f t="shared" si="0"/>
        <v>45413</v>
      </c>
      <c r="EY1" s="3">
        <f t="shared" si="0"/>
        <v>45383</v>
      </c>
      <c r="EZ1" s="3">
        <f t="shared" si="0"/>
        <v>45352</v>
      </c>
      <c r="FA1" s="3">
        <f t="shared" si="0"/>
        <v>45323</v>
      </c>
      <c r="FB1" s="3">
        <f t="shared" si="0"/>
        <v>45292</v>
      </c>
      <c r="FC1" s="3">
        <f t="shared" si="0"/>
        <v>45261</v>
      </c>
      <c r="FD1" s="3">
        <f t="shared" si="0"/>
        <v>45231</v>
      </c>
      <c r="FE1" s="3">
        <f t="shared" si="0"/>
        <v>45200</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45566</v>
      </c>
      <c r="AQ2" s="174">
        <f>VLOOKUP(VLOOKUP(+$A$1,ran_ma,2,FALSE)-10,ran_idma,2,FALSE)</f>
        <v>45597</v>
      </c>
      <c r="AR2" s="174">
        <f>VLOOKUP(VLOOKUP(+$A$1,ran_ma,2,FALSE)-9,ran_idma,2,FALSE)</f>
        <v>45627</v>
      </c>
      <c r="AS2" s="174">
        <f>VLOOKUP(VLOOKUP(+$A$1,ran_ma,2,FALSE)-8,ran_idma,2,FALSE)</f>
        <v>45658</v>
      </c>
      <c r="AT2" s="59">
        <f>VLOOKUP(VLOOKUP(+$A$1,ran_ma,2,FALSE)-7,ran_idma,2,FALSE)</f>
        <v>45689</v>
      </c>
      <c r="AU2" s="59">
        <f>VLOOKUP(VLOOKUP(+$A$1,ran_ma,2,FALSE)-6,ran_idma,2,FALSE)</f>
        <v>45717</v>
      </c>
      <c r="AV2" s="59">
        <f>VLOOKUP(VLOOKUP(+$A$1,ran_ma,2,FALSE)-5,ran_idma,2,FALSE)</f>
        <v>45748</v>
      </c>
      <c r="AW2" s="59">
        <f>VLOOKUP(VLOOKUP(+$A$1,ran_ma,2,FALSE)-4,ran_idma,2,FALSE)</f>
        <v>45778</v>
      </c>
      <c r="AX2" s="59">
        <f>VLOOKUP(VLOOKUP(+$A$1,ran_ma,2,FALSE)-3,ran_idma,2,FALSE)</f>
        <v>45809</v>
      </c>
      <c r="AY2" s="59">
        <f>VLOOKUP(VLOOKUP(+$A$1,ran_ma,2,FALSE)-2,ran_idma,2,FALSE)</f>
        <v>45839</v>
      </c>
      <c r="AZ2" s="59">
        <f>VLOOKUP(VLOOKUP(+$A$1,ran_ma,2,FALSE)-1,ran_idma,2,FALSE)</f>
        <v>45870</v>
      </c>
      <c r="BA2" s="59">
        <f>VLOOKUP(VLOOKUP(+$A$1,ran_ma,2,FALSE)-0,ran_idma,2,FALSE)</f>
        <v>45901</v>
      </c>
      <c r="BB2" s="59"/>
      <c r="BC2" s="170"/>
      <c r="BE2" s="9" t="s">
        <v>272</v>
      </c>
      <c r="BG2">
        <f>+VLOOKUP(BG1,ran_dat,datos!$D$1,FALSE)</f>
        <v>126</v>
      </c>
      <c r="BH2">
        <f>+BG2-1</f>
        <v>125</v>
      </c>
      <c r="BI2">
        <f>+BG2-12</f>
        <v>114</v>
      </c>
      <c r="BK2" s="9"/>
      <c r="BL2">
        <f>+VLOOKUP(BL1,ran_dat,datos!$D$1,FALSE)</f>
        <v>126</v>
      </c>
      <c r="BM2">
        <f>+BL2-1</f>
        <v>125</v>
      </c>
      <c r="BN2">
        <f>+BL2-12</f>
        <v>114</v>
      </c>
      <c r="BP2" s="9"/>
      <c r="BQ2">
        <f>+VLOOKUP(BQ1,ran_dat,datos!$D$1,FALSE)</f>
        <v>126</v>
      </c>
      <c r="BR2">
        <f>+BQ2-12</f>
        <v>114</v>
      </c>
      <c r="BT2" s="9"/>
      <c r="BU2">
        <f>+VLOOKUP(BU1,ran_dat,datos!$D$1,FALSE)</f>
        <v>126</v>
      </c>
      <c r="BV2">
        <f>+BU2-12</f>
        <v>114</v>
      </c>
      <c r="BX2" s="9"/>
      <c r="CB2" s="9"/>
      <c r="CI2">
        <f>+VLOOKUP(CI1,ran_dat,datos!$D$1,FALSE)</f>
        <v>126</v>
      </c>
      <c r="CJ2">
        <f>+CI2</f>
        <v>126</v>
      </c>
      <c r="CK2">
        <f t="shared" ref="CK2:DG2" si="1">+CJ2-1</f>
        <v>125</v>
      </c>
      <c r="CL2">
        <f t="shared" si="1"/>
        <v>124</v>
      </c>
      <c r="CM2">
        <f t="shared" si="1"/>
        <v>123</v>
      </c>
      <c r="CN2">
        <f t="shared" si="1"/>
        <v>122</v>
      </c>
      <c r="CO2">
        <f t="shared" si="1"/>
        <v>121</v>
      </c>
      <c r="CP2">
        <f t="shared" si="1"/>
        <v>120</v>
      </c>
      <c r="CQ2">
        <f t="shared" si="1"/>
        <v>119</v>
      </c>
      <c r="CR2">
        <f t="shared" si="1"/>
        <v>118</v>
      </c>
      <c r="CS2">
        <f t="shared" si="1"/>
        <v>117</v>
      </c>
      <c r="CT2">
        <f t="shared" si="1"/>
        <v>116</v>
      </c>
      <c r="CU2">
        <f t="shared" si="1"/>
        <v>115</v>
      </c>
      <c r="CV2">
        <f t="shared" si="1"/>
        <v>114</v>
      </c>
      <c r="CW2">
        <f t="shared" si="1"/>
        <v>113</v>
      </c>
      <c r="CX2">
        <f t="shared" si="1"/>
        <v>112</v>
      </c>
      <c r="CY2">
        <f t="shared" si="1"/>
        <v>111</v>
      </c>
      <c r="CZ2">
        <f t="shared" si="1"/>
        <v>110</v>
      </c>
      <c r="DA2">
        <f t="shared" si="1"/>
        <v>109</v>
      </c>
      <c r="DB2">
        <f t="shared" si="1"/>
        <v>108</v>
      </c>
      <c r="DC2">
        <f t="shared" si="1"/>
        <v>107</v>
      </c>
      <c r="DD2">
        <f t="shared" si="1"/>
        <v>106</v>
      </c>
      <c r="DE2">
        <f t="shared" si="1"/>
        <v>105</v>
      </c>
      <c r="DF2">
        <f t="shared" si="1"/>
        <v>104</v>
      </c>
      <c r="DG2">
        <f t="shared" si="1"/>
        <v>103</v>
      </c>
      <c r="DI2">
        <f>+VLOOKUP(DI1,ran_dat,datos!$D$1,FALSE)</f>
        <v>126</v>
      </c>
      <c r="DJ2">
        <f t="shared" ref="DJ2:EF2" si="2">+DI2-1</f>
        <v>125</v>
      </c>
      <c r="DK2">
        <f t="shared" si="2"/>
        <v>124</v>
      </c>
      <c r="DL2">
        <f t="shared" si="2"/>
        <v>123</v>
      </c>
      <c r="DM2">
        <f t="shared" si="2"/>
        <v>122</v>
      </c>
      <c r="DN2">
        <f t="shared" si="2"/>
        <v>121</v>
      </c>
      <c r="DO2">
        <f t="shared" si="2"/>
        <v>120</v>
      </c>
      <c r="DP2">
        <f t="shared" si="2"/>
        <v>119</v>
      </c>
      <c r="DQ2">
        <f t="shared" si="2"/>
        <v>118</v>
      </c>
      <c r="DR2">
        <f t="shared" si="2"/>
        <v>117</v>
      </c>
      <c r="DS2">
        <f t="shared" si="2"/>
        <v>116</v>
      </c>
      <c r="DT2">
        <f t="shared" si="2"/>
        <v>115</v>
      </c>
      <c r="DU2">
        <f t="shared" si="2"/>
        <v>114</v>
      </c>
      <c r="DV2">
        <f t="shared" si="2"/>
        <v>113</v>
      </c>
      <c r="DW2">
        <f t="shared" si="2"/>
        <v>112</v>
      </c>
      <c r="DX2">
        <f t="shared" si="2"/>
        <v>111</v>
      </c>
      <c r="DY2">
        <f t="shared" si="2"/>
        <v>110</v>
      </c>
      <c r="DZ2">
        <f t="shared" si="2"/>
        <v>109</v>
      </c>
      <c r="EA2">
        <f t="shared" si="2"/>
        <v>108</v>
      </c>
      <c r="EB2">
        <f t="shared" si="2"/>
        <v>107</v>
      </c>
      <c r="EC2">
        <f t="shared" si="2"/>
        <v>106</v>
      </c>
      <c r="ED2">
        <f t="shared" si="2"/>
        <v>105</v>
      </c>
      <c r="EE2">
        <f t="shared" si="2"/>
        <v>104</v>
      </c>
      <c r="EF2">
        <f t="shared" si="2"/>
        <v>103</v>
      </c>
      <c r="EH2" s="14">
        <f>+VLOOKUP(EH1,ran_dat,datos!$D$1,FALSE)</f>
        <v>126</v>
      </c>
      <c r="EI2" s="14">
        <f t="shared" ref="EI2:FE2" si="3">+EH2-1</f>
        <v>125</v>
      </c>
      <c r="EJ2">
        <f t="shared" si="3"/>
        <v>124</v>
      </c>
      <c r="EK2">
        <f t="shared" si="3"/>
        <v>123</v>
      </c>
      <c r="EL2">
        <f t="shared" si="3"/>
        <v>122</v>
      </c>
      <c r="EM2">
        <f t="shared" si="3"/>
        <v>121</v>
      </c>
      <c r="EN2">
        <f t="shared" si="3"/>
        <v>120</v>
      </c>
      <c r="EO2">
        <f t="shared" si="3"/>
        <v>119</v>
      </c>
      <c r="EP2">
        <f t="shared" si="3"/>
        <v>118</v>
      </c>
      <c r="EQ2">
        <f t="shared" si="3"/>
        <v>117</v>
      </c>
      <c r="ER2">
        <f t="shared" si="3"/>
        <v>116</v>
      </c>
      <c r="ES2">
        <f t="shared" si="3"/>
        <v>115</v>
      </c>
      <c r="ET2">
        <f t="shared" si="3"/>
        <v>114</v>
      </c>
      <c r="EU2">
        <f t="shared" si="3"/>
        <v>113</v>
      </c>
      <c r="EV2">
        <f t="shared" si="3"/>
        <v>112</v>
      </c>
      <c r="EW2">
        <f t="shared" si="3"/>
        <v>111</v>
      </c>
      <c r="EX2">
        <f t="shared" si="3"/>
        <v>110</v>
      </c>
      <c r="EY2">
        <f t="shared" si="3"/>
        <v>109</v>
      </c>
      <c r="EZ2">
        <f t="shared" si="3"/>
        <v>108</v>
      </c>
      <c r="FA2">
        <f t="shared" si="3"/>
        <v>107</v>
      </c>
      <c r="FB2">
        <f t="shared" si="3"/>
        <v>106</v>
      </c>
      <c r="FC2">
        <f t="shared" si="3"/>
        <v>105</v>
      </c>
      <c r="FD2">
        <f t="shared" si="3"/>
        <v>104</v>
      </c>
      <c r="FE2">
        <f t="shared" si="3"/>
        <v>103</v>
      </c>
    </row>
    <row r="3" spans="1:163" ht="18.75" customHeight="1">
      <c r="A3" s="220"/>
      <c r="C3" s="155"/>
      <c r="D3" s="196">
        <v>0.33</v>
      </c>
      <c r="E3" s="100">
        <f>IFERROR(+BG5/BH5-1,"")</f>
        <v>2.0764499847713447E-2</v>
      </c>
      <c r="F3" s="56" t="s">
        <v>515</v>
      </c>
      <c r="G3" s="56"/>
      <c r="H3" s="56"/>
      <c r="I3" s="60">
        <f>IFERROR(+BG5/BI5-1,"")</f>
        <v>0.31758335907444324</v>
      </c>
      <c r="J3" s="56" t="s">
        <v>515</v>
      </c>
      <c r="K3" s="56"/>
      <c r="L3" s="56"/>
      <c r="M3" s="32"/>
      <c r="N3" s="196">
        <v>0.33</v>
      </c>
      <c r="O3" s="31"/>
      <c r="S3" s="32"/>
      <c r="T3" s="196">
        <v>0.33</v>
      </c>
      <c r="U3" s="150" t="str">
        <f>TEXT(CU1,"MMM-YY")&amp;"."&amp;TEXT(CJ1,"MMM-YY")&amp;" vs "&amp;TEXT(DG1,"MMM-YY")&amp;"."&amp;TEXT(CV1,"MMM-YY")</f>
        <v>oct-24.sept-25 vs oct-23.sept-24</v>
      </c>
      <c r="Y3" s="59" t="str">
        <f>TEXT(CJ1,"MMM-YY")&amp;" vs "&amp;TEXT(CV1,"MMM-YY")</f>
        <v>sept-25 vs sept-24</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83"/>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9384.0921999999991</v>
      </c>
      <c r="BH5" s="2">
        <f t="shared" si="4"/>
        <v>9193.2000000000007</v>
      </c>
      <c r="BI5" s="2">
        <f t="shared" si="4"/>
        <v>7122.2</v>
      </c>
    </row>
    <row r="6" spans="1:163" ht="18.75" customHeight="1">
      <c r="A6" s="243" t="s">
        <v>28</v>
      </c>
      <c r="B6" s="246"/>
      <c r="C6" s="156">
        <f t="shared" ref="C6:C24" si="5">+D6*$D$3+N6*$N$3+T6*$T$3</f>
        <v>0</v>
      </c>
      <c r="D6" s="198">
        <v>-2</v>
      </c>
      <c r="E6" s="248">
        <f t="shared" ref="E6:E24" si="6">IFERROR(+BG6/BH6-1,"")</f>
        <v>1.7710212411642168E-2</v>
      </c>
      <c r="F6" s="249">
        <f t="shared" ref="F6:F24" si="7">+E6-$E$3</f>
        <v>-3.0542874360712791E-3</v>
      </c>
      <c r="G6" s="248">
        <f t="shared" ref="G6:G24" si="8">IFERROR(+BL6/BM6-1,"")</f>
        <v>5.3911499028533649E-2</v>
      </c>
      <c r="H6" s="249">
        <f t="shared" ref="H6:H24" si="9">E6-G6</f>
        <v>-3.6201286616891482E-2</v>
      </c>
      <c r="I6" s="248">
        <f t="shared" ref="I6:I24" si="10">IFERROR(+BG6/BI6-1,"")</f>
        <v>9.9732018812794809E-2</v>
      </c>
      <c r="J6" s="249">
        <f t="shared" ref="J6:J26" si="11">+I6-$I$3</f>
        <v>-0.21785134026164843</v>
      </c>
      <c r="K6" s="248">
        <f t="shared" ref="K6:K24" si="12">IFERROR(+BL6/BN6-1,"")</f>
        <v>0.37383414455193242</v>
      </c>
      <c r="L6" s="249">
        <f t="shared" ref="L6:L24" si="13">I6-K6</f>
        <v>-0.27410212573913761</v>
      </c>
      <c r="M6" s="250"/>
      <c r="N6" s="24">
        <v>1</v>
      </c>
      <c r="O6" s="248">
        <f>IFERROR(+BQ6/BR6-1,"")</f>
        <v>0.15384615384615374</v>
      </c>
      <c r="P6" s="251">
        <f>+O6</f>
        <v>0.15384615384615374</v>
      </c>
      <c r="Q6" s="248">
        <f t="shared" ref="Q6:Q24" si="14">IFERROR(+BU6/BV6-1,"")</f>
        <v>-0.15384615384615385</v>
      </c>
      <c r="R6" s="251">
        <f>+Q6</f>
        <v>-0.15384615384615385</v>
      </c>
      <c r="S6" s="250"/>
      <c r="T6" s="24">
        <v>1</v>
      </c>
      <c r="U6" s="248">
        <f t="shared" ref="U6:U24" si="15">IFERROR(+BY6/BZ6-1,"")</f>
        <v>-0.32426040917982279</v>
      </c>
      <c r="V6" s="252">
        <f t="shared" ref="V6:V24" si="16">+U6</f>
        <v>-0.32426040917982279</v>
      </c>
      <c r="W6" s="248">
        <f>IFERROR(IF(CC6&lt;0.5,"",+CC6/CD6-1),"")</f>
        <v>0.70219874649430625</v>
      </c>
      <c r="X6" s="252">
        <f t="shared" ref="X6:X24" si="17">+W6</f>
        <v>0.70219874649430625</v>
      </c>
      <c r="Y6" s="248" t="str">
        <f t="shared" ref="Y6:Y25" si="18">IFERROR(+CG6/CH6-1,"")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3</v>
      </c>
      <c r="AQ6" s="28">
        <f>VLOOKUP($A6,historia!$A$5:$CM$24,+HLOOKUP(AQ$2,historia!$A$3:$EC$4,2,FALSE),FALSE)</f>
        <v>3</v>
      </c>
      <c r="AR6" s="28">
        <f>VLOOKUP($A6,historia!$A$5:$CM$24,+HLOOKUP(AR$2,historia!$A$3:$EC$4,2,FALSE),FALSE)</f>
        <v>3</v>
      </c>
      <c r="AS6" s="28">
        <f>VLOOKUP($A6,historia!$A$5:$CM$24,+HLOOKUP(AS$2,historia!$A$3:$EC$4,2,FALSE),FALSE)</f>
        <v>4</v>
      </c>
      <c r="AT6" s="58">
        <f>VLOOKUP($A6,historia!$A$5:$CM$24,+HLOOKUP(AT$2,historia!$A$3:$EC$4,2,FALSE),FALSE)</f>
        <v>4</v>
      </c>
      <c r="AU6" s="58">
        <f>VLOOKUP($A6,historia!$A$5:$CM$24,+HLOOKUP(AU$2,historia!$A$3:$EC$4,2,FALSE),FALSE)</f>
        <v>4</v>
      </c>
      <c r="AV6" s="58">
        <f>VLOOKUP($A6,historia!$A$5:$CM$24,+HLOOKUP(AV$2,historia!$A$3:$EC$4,2,FALSE),FALSE)</f>
        <v>4</v>
      </c>
      <c r="AW6" s="58">
        <f>VLOOKUP($A6,historia!$A$5:$CM$24,+HLOOKUP(AW$2,historia!$A$3:$EC$4,2,FALSE),FALSE)</f>
        <v>3</v>
      </c>
      <c r="AX6" s="58">
        <f>VLOOKUP($A6,historia!$A$5:$CM$24,+HLOOKUP(AX$2,historia!$A$3:$EC$4,2,FALSE),FALSE)</f>
        <v>3</v>
      </c>
      <c r="AY6" s="58">
        <f>VLOOKUP($A6,historia!$A$5:$CM$24,+HLOOKUP(AY$2,historia!$A$3:$EC$4,2,FALSE),FALSE)</f>
        <v>3</v>
      </c>
      <c r="AZ6" s="58">
        <f>VLOOKUP($A6,historia!$A$5:$DG$24,+HLOOKUP(AZ$2,historia!$A$3:$EC$4,2,FALSE),FALSE)</f>
        <v>3</v>
      </c>
      <c r="BA6" s="58">
        <f>VLOOKUP($A6,historia!$A$5:$DG$24,+HLOOKUP(BA$2,historia!$A$3:$EC$4,2,FALSE),FALSE)</f>
        <v>4</v>
      </c>
      <c r="BB6" s="58"/>
      <c r="BC6" s="286">
        <v>4</v>
      </c>
      <c r="BD6" t="str">
        <f t="shared" ref="BD6:BD24" si="20">+A6</f>
        <v>Algodón</v>
      </c>
      <c r="BE6">
        <f>+datos!P1</f>
        <v>16</v>
      </c>
      <c r="BF6" s="2" t="str">
        <f t="shared" si="4"/>
        <v>$/kg</v>
      </c>
      <c r="BG6" s="2">
        <f t="shared" si="4"/>
        <v>1438.3801562499998</v>
      </c>
      <c r="BH6" s="2">
        <f t="shared" si="4"/>
        <v>1413.3494374999998</v>
      </c>
      <c r="BI6" s="2">
        <f t="shared" si="4"/>
        <v>1307.9369625000002</v>
      </c>
      <c r="BK6">
        <f>+datos!BY1</f>
        <v>77</v>
      </c>
      <c r="BL6" s="2">
        <f t="shared" ref="BL6:BN24" si="21">+VLOOKUP(BL$1,ran_dat,$BK6,FALSE)</f>
        <v>11539.087835291699</v>
      </c>
      <c r="BM6" s="2">
        <f t="shared" si="21"/>
        <v>10948.820509054232</v>
      </c>
      <c r="BN6" s="2">
        <f t="shared" si="21"/>
        <v>8399.1855065264099</v>
      </c>
      <c r="BP6" s="1">
        <f>+datos!DK1</f>
        <v>115</v>
      </c>
      <c r="BQ6" s="1">
        <f t="shared" ref="BQ6:BR24" si="22">+VLOOKUP(BQ$1,ran_dat,$BP6,FALSE)</f>
        <v>750000</v>
      </c>
      <c r="BR6" s="1">
        <f t="shared" si="22"/>
        <v>650000</v>
      </c>
      <c r="BT6" s="1">
        <f>+datos!FF1</f>
        <v>162</v>
      </c>
      <c r="BU6" s="1">
        <f t="shared" ref="BU6:BV24" si="23">+VLOOKUP(BU$1,ran_dat,$BT6,FALSE)</f>
        <v>1100000</v>
      </c>
      <c r="BV6" s="1">
        <f t="shared" si="23"/>
        <v>1300000</v>
      </c>
      <c r="BX6" s="1">
        <f>+datos!JF1</f>
        <v>266</v>
      </c>
      <c r="BY6" s="1">
        <f>+SUM(CJ6:CU6)</f>
        <v>129.77161956999998</v>
      </c>
      <c r="BZ6" s="1">
        <f>+SUM(CV6:DG6)</f>
        <v>192.04383068999999</v>
      </c>
      <c r="CB6" s="1">
        <f>+datos!KK1</f>
        <v>297</v>
      </c>
      <c r="CC6" s="2">
        <f t="shared" ref="CC6:CC24" si="24">+SUM(DI6:DT6)</f>
        <v>105.42513735</v>
      </c>
      <c r="CD6" s="2">
        <f t="shared" ref="CD6:CD24" si="25">+SUM(DU6:EF6)</f>
        <v>61.934681580000003</v>
      </c>
      <c r="CF6" s="1">
        <f>+datos!HS1</f>
        <v>227</v>
      </c>
      <c r="CG6" s="1">
        <f t="shared" ref="CG6:CG24" si="26">+EH6</f>
        <v>0</v>
      </c>
      <c r="CH6" s="1">
        <f t="shared" ref="CH6:CH24" si="27">+ET6</f>
        <v>0</v>
      </c>
      <c r="CJ6" s="1">
        <f t="shared" ref="CJ6:CY21" si="28">+VLOOKUP(CJ$1,ran_dat,$BX6,FALSE)</f>
        <v>18.652099290000002</v>
      </c>
      <c r="CK6" s="1">
        <f t="shared" si="28"/>
        <v>16.211576590000004</v>
      </c>
      <c r="CL6" s="1">
        <f t="shared" si="28"/>
        <v>9.0263359399999974</v>
      </c>
      <c r="CM6" s="1">
        <f t="shared" si="28"/>
        <v>8.2931694499999988</v>
      </c>
      <c r="CN6" s="1">
        <f t="shared" si="28"/>
        <v>5.0945514700000007</v>
      </c>
      <c r="CO6" s="1">
        <f t="shared" si="28"/>
        <v>7.3093251500000047</v>
      </c>
      <c r="CP6" s="1">
        <f t="shared" si="28"/>
        <v>6.7908860800000017</v>
      </c>
      <c r="CQ6" s="1">
        <f t="shared" si="28"/>
        <v>8.6490729999999978</v>
      </c>
      <c r="CR6" s="1">
        <f t="shared" si="28"/>
        <v>6.462363250000001</v>
      </c>
      <c r="CS6" s="1">
        <f t="shared" si="28"/>
        <v>10.78045292</v>
      </c>
      <c r="CT6" s="1">
        <f t="shared" si="28"/>
        <v>14.805583519999997</v>
      </c>
      <c r="CU6" s="1">
        <f t="shared" si="28"/>
        <v>17.696202909999993</v>
      </c>
      <c r="CV6" s="1">
        <f t="shared" si="28"/>
        <v>21.922029789999996</v>
      </c>
      <c r="CW6" s="1">
        <f t="shared" si="28"/>
        <v>19.20970509</v>
      </c>
      <c r="CX6" s="1">
        <f t="shared" si="28"/>
        <v>24.496622440000007</v>
      </c>
      <c r="CY6" s="1">
        <f t="shared" si="28"/>
        <v>21.439575039999998</v>
      </c>
      <c r="CZ6" s="1">
        <f t="shared" ref="CZ6:DG21" si="29">+VLOOKUP(CZ$1,ran_dat,$BX6,FALSE)</f>
        <v>14.529816729999997</v>
      </c>
      <c r="DA6" s="1">
        <f t="shared" si="29"/>
        <v>18.258202080000007</v>
      </c>
      <c r="DB6" s="1">
        <f t="shared" si="29"/>
        <v>18.510441480000001</v>
      </c>
      <c r="DC6" s="1">
        <f t="shared" si="29"/>
        <v>7.7064561400000011</v>
      </c>
      <c r="DD6" s="1">
        <f t="shared" si="29"/>
        <v>8.1062574399999985</v>
      </c>
      <c r="DE6" s="1">
        <f t="shared" si="29"/>
        <v>8.4463773399999997</v>
      </c>
      <c r="DF6" s="1">
        <f t="shared" si="29"/>
        <v>15.019774559999998</v>
      </c>
      <c r="DG6" s="1">
        <f t="shared" si="29"/>
        <v>14.398572559999998</v>
      </c>
      <c r="DI6" s="1">
        <f t="shared" ref="DI6:DX21" si="30">+VLOOKUP(DI$1,ran_dat,$CB6,FALSE)</f>
        <v>9.0858989999999995</v>
      </c>
      <c r="DJ6" s="1">
        <f t="shared" si="30"/>
        <v>10.908765819999998</v>
      </c>
      <c r="DK6" s="1">
        <f t="shared" si="30"/>
        <v>11.035692889999996</v>
      </c>
      <c r="DL6" s="1">
        <f t="shared" si="30"/>
        <v>9.4337625599999999</v>
      </c>
      <c r="DM6" s="1">
        <f t="shared" si="30"/>
        <v>9.66008332</v>
      </c>
      <c r="DN6" s="1">
        <f t="shared" si="30"/>
        <v>10.467826709999999</v>
      </c>
      <c r="DO6" s="1">
        <f t="shared" si="30"/>
        <v>7.9836210200000002</v>
      </c>
      <c r="DP6" s="1">
        <f t="shared" si="30"/>
        <v>9.7355070900000005</v>
      </c>
      <c r="DQ6" s="1">
        <f t="shared" si="30"/>
        <v>7.6983577599999995</v>
      </c>
      <c r="DR6" s="1">
        <f t="shared" si="30"/>
        <v>8.003268180000001</v>
      </c>
      <c r="DS6" s="1">
        <f t="shared" si="30"/>
        <v>5.6011509000000004</v>
      </c>
      <c r="DT6" s="1">
        <f t="shared" si="30"/>
        <v>5.8112020999999991</v>
      </c>
      <c r="DU6" s="1">
        <f t="shared" si="30"/>
        <v>6.3060080799999998</v>
      </c>
      <c r="DV6" s="1">
        <f t="shared" si="30"/>
        <v>3.7690183000000008</v>
      </c>
      <c r="DW6" s="1">
        <f t="shared" si="30"/>
        <v>4.5361736000000006</v>
      </c>
      <c r="DX6" s="1">
        <f t="shared" si="30"/>
        <v>3.2956469100000003</v>
      </c>
      <c r="DY6" s="1">
        <f t="shared" ref="DY6:EF20" si="31">+VLOOKUP(DY$1,ran_dat,$CB6,FALSE)</f>
        <v>4.5516111999999991</v>
      </c>
      <c r="DZ6" s="1">
        <f t="shared" si="31"/>
        <v>3.9375346699999998</v>
      </c>
      <c r="EA6" s="1">
        <f t="shared" si="31"/>
        <v>4.8118603300000009</v>
      </c>
      <c r="EB6" s="1">
        <f t="shared" si="31"/>
        <v>5.2295233099999994</v>
      </c>
      <c r="EC6" s="1">
        <f t="shared" si="31"/>
        <v>7.4159317900000001</v>
      </c>
      <c r="ED6" s="1">
        <f t="shared" si="31"/>
        <v>3.5587731599999999</v>
      </c>
      <c r="EE6" s="1">
        <f t="shared" si="31"/>
        <v>6.9479693099999986</v>
      </c>
      <c r="EF6" s="1">
        <f t="shared" si="31"/>
        <v>7.5746309199999997</v>
      </c>
      <c r="EH6" s="14">
        <f t="shared" ref="EH6:EW21" si="32">+VLOOKUP(EH$1,ran_dat,$CF6,FALSE)</f>
        <v>0</v>
      </c>
      <c r="EI6" s="14">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ref="EX6:FE20" si="33">+VLOOKUP(EX$1,ran_dat,$CF6,FALSE)</f>
        <v>0</v>
      </c>
      <c r="EY6" s="1">
        <f t="shared" si="33"/>
        <v>0</v>
      </c>
      <c r="EZ6" s="1">
        <f t="shared" si="33"/>
        <v>0</v>
      </c>
      <c r="FA6" s="1">
        <f t="shared" si="33"/>
        <v>0</v>
      </c>
      <c r="FB6" s="1">
        <f t="shared" si="33"/>
        <v>0</v>
      </c>
      <c r="FC6" s="1">
        <f t="shared" si="33"/>
        <v>0</v>
      </c>
      <c r="FD6" s="1">
        <f t="shared" si="33"/>
        <v>0</v>
      </c>
      <c r="FE6" s="1">
        <f t="shared" si="33"/>
        <v>0</v>
      </c>
      <c r="FG6" s="162">
        <f t="shared" ref="FG6:FG24" si="34">+I6-K6</f>
        <v>-0.27410212573913761</v>
      </c>
    </row>
    <row r="7" spans="1:163" ht="18.75" customHeight="1">
      <c r="A7" s="244" t="s">
        <v>13</v>
      </c>
      <c r="B7" s="247"/>
      <c r="C7" s="228">
        <f t="shared" si="5"/>
        <v>-0.33</v>
      </c>
      <c r="D7" s="229">
        <v>-1</v>
      </c>
      <c r="E7" s="253">
        <f t="shared" si="6"/>
        <v>0.125</v>
      </c>
      <c r="F7" s="254">
        <f t="shared" si="7"/>
        <v>0.10423550015228655</v>
      </c>
      <c r="G7" s="253">
        <f t="shared" si="8"/>
        <v>7.5744469019955574E-2</v>
      </c>
      <c r="H7" s="254">
        <f t="shared" si="9"/>
        <v>4.9255530980044426E-2</v>
      </c>
      <c r="I7" s="253">
        <f t="shared" si="10"/>
        <v>-0.4375</v>
      </c>
      <c r="J7" s="254">
        <f t="shared" si="11"/>
        <v>-0.75508335907444324</v>
      </c>
      <c r="K7" s="253">
        <f t="shared" si="12"/>
        <v>0.43598721143576435</v>
      </c>
      <c r="L7" s="254">
        <f t="shared" si="13"/>
        <v>-0.87348721143576435</v>
      </c>
      <c r="M7" s="255"/>
      <c r="N7" s="256">
        <v>1</v>
      </c>
      <c r="O7" s="253">
        <f t="shared" ref="O7:O24" si="35">IFERROR(+BQ7/BR7-1,"")</f>
        <v>-2.3255813953488413E-2</v>
      </c>
      <c r="P7" s="257">
        <f t="shared" ref="P7:P24" si="36">+O7</f>
        <v>-2.3255813953488413E-2</v>
      </c>
      <c r="Q7" s="253">
        <f t="shared" si="14"/>
        <v>0.23076923076923084</v>
      </c>
      <c r="R7" s="257">
        <f t="shared" ref="R7:R24" si="37">+Q7</f>
        <v>0.23076923076923084</v>
      </c>
      <c r="S7" s="255"/>
      <c r="T7" s="256">
        <v>-1</v>
      </c>
      <c r="U7" s="253">
        <f t="shared" si="15"/>
        <v>0.45308323210171175</v>
      </c>
      <c r="V7" s="258">
        <f t="shared" si="16"/>
        <v>0.45308323210171175</v>
      </c>
      <c r="W7" s="253">
        <f t="shared" ref="W7:W24" si="38">IFERROR(IF(CC7&lt;0.5,"",+CC7/CD7-1),"")</f>
        <v>0.35220832611801511</v>
      </c>
      <c r="X7" s="258">
        <f t="shared" si="17"/>
        <v>0.35220832611801511</v>
      </c>
      <c r="Y7" s="253">
        <f t="shared" si="18"/>
        <v>0.41428571428571437</v>
      </c>
      <c r="Z7" s="258">
        <f t="shared" si="19"/>
        <v>0.41428571428571437</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4</v>
      </c>
      <c r="AQ7" s="28">
        <f>VLOOKUP($A7,historia!$A$5:$CM$24,+HLOOKUP(AQ$2,historia!$A$3:$EC$4,2,FALSE),FALSE)</f>
        <v>4</v>
      </c>
      <c r="AR7" s="28">
        <f>VLOOKUP($A7,historia!$A$5:$CM$24,+HLOOKUP(AR$2,historia!$A$3:$EC$4,2,FALSE),FALSE)</f>
        <v>4</v>
      </c>
      <c r="AS7" s="28">
        <f>VLOOKUP($A7,historia!$A$5:$CM$24,+HLOOKUP(AS$2,historia!$A$3:$EC$4,2,FALSE),FALSE)</f>
        <v>4</v>
      </c>
      <c r="AT7" s="58">
        <f>VLOOKUP($A7,historia!$A$5:$CM$24,+HLOOKUP(AT$2,historia!$A$3:$EC$4,2,FALSE),FALSE)</f>
        <v>4</v>
      </c>
      <c r="AU7" s="58">
        <f>VLOOKUP($A7,historia!$A$5:$CM$24,+HLOOKUP(AU$2,historia!$A$3:$EC$4,2,FALSE),FALSE)</f>
        <v>4</v>
      </c>
      <c r="AV7" s="58">
        <f>VLOOKUP($A7,historia!$A$5:$CM$24,+HLOOKUP(AV$2,historia!$A$3:$EC$4,2,FALSE),FALSE)</f>
        <v>4</v>
      </c>
      <c r="AW7" s="58">
        <f>VLOOKUP($A7,historia!$A$5:$CM$24,+HLOOKUP(AW$2,historia!$A$3:$EC$4,2,FALSE),FALSE)</f>
        <v>4</v>
      </c>
      <c r="AX7" s="58">
        <f>VLOOKUP($A7,historia!$A$5:$CM$24,+HLOOKUP(AX$2,historia!$A$3:$EC$4,2,FALSE),FALSE)</f>
        <v>4</v>
      </c>
      <c r="AY7" s="58">
        <f>VLOOKUP($A7,historia!$A$5:$CM$24,+HLOOKUP(AY$2,historia!$A$3:$EC$4,2,FALSE),FALSE)</f>
        <v>4</v>
      </c>
      <c r="AZ7" s="58">
        <f>VLOOKUP($A7,historia!$A$5:$DG$24,+HLOOKUP(AZ$2,historia!$A$3:$EC$4,2,FALSE),FALSE)</f>
        <v>4</v>
      </c>
      <c r="BA7" s="58">
        <f>VLOOKUP($A7,historia!$A$5:$DG$24,+HLOOKUP(BA$2,historia!$A$3:$EC$4,2,FALSE),FALSE)</f>
        <v>4</v>
      </c>
      <c r="BB7" s="58"/>
      <c r="BC7" s="286">
        <v>4</v>
      </c>
      <c r="BD7" t="str">
        <f t="shared" si="20"/>
        <v>Arroz</v>
      </c>
      <c r="BE7">
        <f>+datos!R1</f>
        <v>18</v>
      </c>
      <c r="BF7" s="2" t="str">
        <f t="shared" si="4"/>
        <v>$/t</v>
      </c>
      <c r="BG7" s="2">
        <f t="shared" si="4"/>
        <v>225000</v>
      </c>
      <c r="BH7" s="2">
        <f t="shared" si="4"/>
        <v>200000</v>
      </c>
      <c r="BI7" s="2">
        <f t="shared" si="4"/>
        <v>400000</v>
      </c>
      <c r="BK7">
        <f>+datos!BZ1</f>
        <v>78</v>
      </c>
      <c r="BL7" s="2">
        <f t="shared" si="21"/>
        <v>11515.235473010544</v>
      </c>
      <c r="BM7" s="2">
        <f t="shared" si="21"/>
        <v>10704.433817355681</v>
      </c>
      <c r="BN7" s="2">
        <f t="shared" si="21"/>
        <v>8019.0376218581323</v>
      </c>
      <c r="BP7" s="1">
        <f>+datos!DM1</f>
        <v>117</v>
      </c>
      <c r="BQ7" s="1">
        <f t="shared" si="22"/>
        <v>210000</v>
      </c>
      <c r="BR7" s="1">
        <f t="shared" si="22"/>
        <v>215000</v>
      </c>
      <c r="BT7" s="1">
        <f>+datos!FH1</f>
        <v>164</v>
      </c>
      <c r="BU7" s="1">
        <f t="shared" si="23"/>
        <v>1600000</v>
      </c>
      <c r="BV7" s="1">
        <f t="shared" si="23"/>
        <v>1300000</v>
      </c>
      <c r="BX7" s="1">
        <f>+datos!JG1</f>
        <v>267</v>
      </c>
      <c r="BY7" s="1">
        <f t="shared" ref="BY7:BY24" si="39">+SUM(CJ7:CU7)</f>
        <v>399.07903650000003</v>
      </c>
      <c r="BZ7" s="1">
        <f t="shared" ref="BZ7:BZ24" si="40">+SUM(CV7:DG7)</f>
        <v>274.64293007000003</v>
      </c>
      <c r="CB7" s="1">
        <f>+datos!KL1</f>
        <v>298</v>
      </c>
      <c r="CC7" s="2">
        <f t="shared" si="24"/>
        <v>4.6713006699999999</v>
      </c>
      <c r="CD7" s="2">
        <f t="shared" si="25"/>
        <v>3.4545717400000009</v>
      </c>
      <c r="CF7" s="1">
        <f>+datos!HU1</f>
        <v>229</v>
      </c>
      <c r="CG7" s="1">
        <f t="shared" si="26"/>
        <v>990000</v>
      </c>
      <c r="CH7" s="1">
        <f t="shared" si="27"/>
        <v>700000</v>
      </c>
      <c r="CJ7" s="1">
        <f t="shared" si="28"/>
        <v>15.634826659999996</v>
      </c>
      <c r="CK7" s="1">
        <f t="shared" si="28"/>
        <v>54.436744560000001</v>
      </c>
      <c r="CL7" s="1">
        <f t="shared" si="28"/>
        <v>16.08135906</v>
      </c>
      <c r="CM7" s="1">
        <f t="shared" si="28"/>
        <v>31.537173230000004</v>
      </c>
      <c r="CN7" s="1">
        <f t="shared" si="28"/>
        <v>39.974175860000003</v>
      </c>
      <c r="CO7" s="1">
        <f t="shared" si="28"/>
        <v>35.910188569999995</v>
      </c>
      <c r="CP7" s="1">
        <f t="shared" si="28"/>
        <v>30.652184479999995</v>
      </c>
      <c r="CQ7" s="1">
        <f t="shared" si="28"/>
        <v>94.896967090000004</v>
      </c>
      <c r="CR7" s="1">
        <f t="shared" si="28"/>
        <v>22.007364089999996</v>
      </c>
      <c r="CS7" s="1">
        <f t="shared" si="28"/>
        <v>13.652213600000001</v>
      </c>
      <c r="CT7" s="1">
        <f t="shared" si="28"/>
        <v>21.789652239999999</v>
      </c>
      <c r="CU7" s="1">
        <f t="shared" si="28"/>
        <v>22.506187060000002</v>
      </c>
      <c r="CV7" s="1">
        <f t="shared" si="28"/>
        <v>26.198510359999997</v>
      </c>
      <c r="CW7" s="1">
        <f t="shared" si="28"/>
        <v>16.658344929999998</v>
      </c>
      <c r="CX7" s="1">
        <f t="shared" si="28"/>
        <v>38.799980059999996</v>
      </c>
      <c r="CY7" s="1">
        <f t="shared" si="28"/>
        <v>35.598317799999997</v>
      </c>
      <c r="CZ7" s="1">
        <f t="shared" si="29"/>
        <v>32.785113670000001</v>
      </c>
      <c r="DA7" s="1">
        <f t="shared" si="29"/>
        <v>22.35722878</v>
      </c>
      <c r="DB7" s="1">
        <f t="shared" si="29"/>
        <v>34.376458229999997</v>
      </c>
      <c r="DC7" s="1">
        <f t="shared" si="29"/>
        <v>13.355622539999999</v>
      </c>
      <c r="DD7" s="1">
        <f t="shared" si="29"/>
        <v>10.68224592</v>
      </c>
      <c r="DE7" s="1">
        <f t="shared" si="29"/>
        <v>15.82785018</v>
      </c>
      <c r="DF7" s="1">
        <f t="shared" si="29"/>
        <v>16.180063639999997</v>
      </c>
      <c r="DG7" s="1">
        <f t="shared" si="29"/>
        <v>11.823193960000001</v>
      </c>
      <c r="DI7" s="1">
        <f t="shared" si="30"/>
        <v>0.30085145999999996</v>
      </c>
      <c r="DJ7" s="1">
        <f t="shared" si="30"/>
        <v>0.26679149000000002</v>
      </c>
      <c r="DK7" s="1">
        <f t="shared" si="30"/>
        <v>0.13893236</v>
      </c>
      <c r="DL7" s="1">
        <f t="shared" si="30"/>
        <v>0.4195122</v>
      </c>
      <c r="DM7" s="1">
        <f t="shared" si="30"/>
        <v>0.20050375000000001</v>
      </c>
      <c r="DN7" s="1">
        <f t="shared" si="30"/>
        <v>0.34624290000000002</v>
      </c>
      <c r="DO7" s="1">
        <f t="shared" si="30"/>
        <v>0.15613090000000002</v>
      </c>
      <c r="DP7" s="1">
        <f t="shared" si="30"/>
        <v>0.47281664000000007</v>
      </c>
      <c r="DQ7" s="1">
        <f t="shared" si="30"/>
        <v>0.84812041999999999</v>
      </c>
      <c r="DR7" s="1">
        <f t="shared" si="30"/>
        <v>0.25440681999999998</v>
      </c>
      <c r="DS7" s="1">
        <f t="shared" si="30"/>
        <v>0.7620908099999999</v>
      </c>
      <c r="DT7" s="1">
        <f t="shared" si="30"/>
        <v>0.50490091999999998</v>
      </c>
      <c r="DU7" s="1">
        <f t="shared" si="30"/>
        <v>0.40961613000000002</v>
      </c>
      <c r="DV7" s="1">
        <f t="shared" si="30"/>
        <v>0.23587240000000001</v>
      </c>
      <c r="DW7" s="1">
        <f t="shared" si="30"/>
        <v>0.18557204999999999</v>
      </c>
      <c r="DX7" s="1">
        <f t="shared" si="30"/>
        <v>0.48301414000000004</v>
      </c>
      <c r="DY7" s="1">
        <f t="shared" si="31"/>
        <v>0.23845672000000001</v>
      </c>
      <c r="DZ7" s="1">
        <f t="shared" si="31"/>
        <v>0.50080292000000004</v>
      </c>
      <c r="EA7" s="1">
        <f t="shared" si="31"/>
        <v>8.6091799999999996E-2</v>
      </c>
      <c r="EB7" s="1">
        <f t="shared" si="31"/>
        <v>0.22536</v>
      </c>
      <c r="EC7" s="1">
        <f t="shared" si="31"/>
        <v>0.8256</v>
      </c>
      <c r="ED7" s="1">
        <f t="shared" si="31"/>
        <v>3.973985E-2</v>
      </c>
      <c r="EE7" s="1">
        <f t="shared" si="31"/>
        <v>3.3462720000000001E-2</v>
      </c>
      <c r="EF7" s="1">
        <f t="shared" si="31"/>
        <v>0.19098301000000001</v>
      </c>
      <c r="EH7" s="14">
        <f t="shared" si="32"/>
        <v>990000</v>
      </c>
      <c r="EI7" s="14">
        <f t="shared" si="32"/>
        <v>990000</v>
      </c>
      <c r="EJ7" s="1">
        <f t="shared" si="32"/>
        <v>990000</v>
      </c>
      <c r="EK7" s="1">
        <f t="shared" si="32"/>
        <v>990000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3"/>
        <v>700000</v>
      </c>
      <c r="EY7" s="1">
        <f t="shared" si="33"/>
        <v>700000</v>
      </c>
      <c r="EZ7" s="1">
        <f t="shared" si="33"/>
        <v>700000</v>
      </c>
      <c r="FA7" s="1">
        <f t="shared" si="33"/>
        <v>700000</v>
      </c>
      <c r="FB7" s="1">
        <f t="shared" si="33"/>
        <v>700000</v>
      </c>
      <c r="FC7" s="1">
        <f t="shared" si="33"/>
        <v>700000</v>
      </c>
      <c r="FD7" s="1">
        <f t="shared" si="33"/>
        <v>700000</v>
      </c>
      <c r="FE7" s="1">
        <f t="shared" si="33"/>
        <v>700000</v>
      </c>
      <c r="FG7" s="162">
        <f t="shared" si="34"/>
        <v>-0.87348721143576435</v>
      </c>
    </row>
    <row r="8" spans="1:163" ht="18.75" customHeight="1">
      <c r="A8" s="243" t="s">
        <v>215</v>
      </c>
      <c r="B8" s="246"/>
      <c r="C8" s="156">
        <f t="shared" si="5"/>
        <v>-0.33</v>
      </c>
      <c r="D8" s="198">
        <v>0</v>
      </c>
      <c r="E8" s="248">
        <f t="shared" si="6"/>
        <v>-2.7960625641645032E-2</v>
      </c>
      <c r="F8" s="249">
        <f t="shared" si="7"/>
        <v>-4.8725125489358478E-2</v>
      </c>
      <c r="G8" s="248">
        <f t="shared" si="8"/>
        <v>6.2832286656827829E-2</v>
      </c>
      <c r="H8" s="249">
        <f t="shared" si="9"/>
        <v>-9.0792912298472861E-2</v>
      </c>
      <c r="I8" s="248">
        <f t="shared" si="10"/>
        <v>0.18584879249119579</v>
      </c>
      <c r="J8" s="249">
        <f t="shared" si="11"/>
        <v>-0.13173456658324745</v>
      </c>
      <c r="K8" s="248">
        <f t="shared" si="12"/>
        <v>0.429607569284985</v>
      </c>
      <c r="L8" s="249">
        <f t="shared" si="13"/>
        <v>-0.24375877679378921</v>
      </c>
      <c r="M8" s="250"/>
      <c r="N8" s="24">
        <v>0</v>
      </c>
      <c r="O8" s="248">
        <f t="shared" si="35"/>
        <v>3.0356164383561701E-2</v>
      </c>
      <c r="P8" s="251">
        <f t="shared" si="36"/>
        <v>3.0356164383561701E-2</v>
      </c>
      <c r="Q8" s="248">
        <f t="shared" si="14"/>
        <v>1.2584496682989332E-2</v>
      </c>
      <c r="R8" s="251">
        <f t="shared" si="37"/>
        <v>1.2584496682989332E-2</v>
      </c>
      <c r="S8" s="250"/>
      <c r="T8" s="24">
        <v>-1</v>
      </c>
      <c r="U8" s="248">
        <f t="shared" si="15"/>
        <v>-0.69974227738994843</v>
      </c>
      <c r="V8" s="252">
        <f t="shared" si="16"/>
        <v>-0.69974227738994843</v>
      </c>
      <c r="W8" s="248">
        <f t="shared" si="38"/>
        <v>0.13122867314227493</v>
      </c>
      <c r="X8" s="252">
        <f t="shared" si="17"/>
        <v>0.13122867314227493</v>
      </c>
      <c r="Y8" s="248">
        <f t="shared" si="18"/>
        <v>8.9619295341688332E-2</v>
      </c>
      <c r="Z8" s="252">
        <f t="shared" si="19"/>
        <v>8.9619295341688332E-2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3</v>
      </c>
      <c r="AX8" s="58">
        <f>VLOOKUP($A8,historia!$A$5:$CM$24,+HLOOKUP(AX$2,historia!$A$3:$EC$4,2,FALSE),FALSE)</f>
        <v>2</v>
      </c>
      <c r="AY8" s="58">
        <f>VLOOKUP($A8,historia!$A$5:$CM$24,+HLOOKUP(AY$2,historia!$A$3:$EC$4,2,FALSE),FALSE)</f>
        <v>2</v>
      </c>
      <c r="AZ8" s="58">
        <f>VLOOKUP($A8,historia!$A$5:$DG$24,+HLOOKUP(AZ$2,historia!$A$3:$EC$4,2,FALSE),FALSE)</f>
        <v>2</v>
      </c>
      <c r="BA8" s="58">
        <f>VLOOKUP($A8,historia!$A$5:$DG$24,+HLOOKUP(BA$2,historia!$A$3:$EC$4,2,FALSE),FALSE)</f>
        <v>2</v>
      </c>
      <c r="BB8" s="58"/>
      <c r="BC8" s="286">
        <v>2</v>
      </c>
      <c r="BD8" t="str">
        <f t="shared" si="20"/>
        <v>Aves</v>
      </c>
      <c r="BE8">
        <f>+datos!BQ1</f>
        <v>69</v>
      </c>
      <c r="BF8" s="2" t="str">
        <f t="shared" si="4"/>
        <v>prom pond huevo-carne</v>
      </c>
      <c r="BG8" s="2">
        <f t="shared" si="4"/>
        <v>2012</v>
      </c>
      <c r="BH8" s="2">
        <f t="shared" si="4"/>
        <v>2069.875</v>
      </c>
      <c r="BI8" s="2">
        <f t="shared" si="4"/>
        <v>1696.6750000000002</v>
      </c>
      <c r="BK8">
        <f>+datos!DG1</f>
        <v>111</v>
      </c>
      <c r="BL8" s="2">
        <f t="shared" si="21"/>
        <v>11442.326641913744</v>
      </c>
      <c r="BM8" s="2">
        <f t="shared" si="21"/>
        <v>10765.881678195852</v>
      </c>
      <c r="BN8" s="2">
        <f t="shared" si="21"/>
        <v>8003.8234881734688</v>
      </c>
      <c r="BP8" s="1">
        <f>+datos!EP1</f>
        <v>146</v>
      </c>
      <c r="BQ8" s="1">
        <f t="shared" si="22"/>
        <v>9402</v>
      </c>
      <c r="BR8" s="1">
        <f t="shared" si="22"/>
        <v>9125</v>
      </c>
      <c r="BT8" s="1">
        <f>+datos!HM1</f>
        <v>221</v>
      </c>
      <c r="BU8" s="1">
        <f t="shared" si="23"/>
        <v>2386526.7239999999</v>
      </c>
      <c r="BV8" s="1">
        <f t="shared" si="23"/>
        <v>2356866.7422992866</v>
      </c>
      <c r="BX8" s="1">
        <f>+datos!KF1</f>
        <v>292</v>
      </c>
      <c r="BY8" s="1">
        <f t="shared" si="39"/>
        <v>107.130246</v>
      </c>
      <c r="BZ8" s="1">
        <f t="shared" si="40"/>
        <v>356.79430679999996</v>
      </c>
      <c r="CB8" s="1">
        <f>+datos!LK1</f>
        <v>323</v>
      </c>
      <c r="CC8" s="2">
        <f t="shared" si="24"/>
        <v>41.97320594</v>
      </c>
      <c r="CD8" s="2">
        <f t="shared" si="25"/>
        <v>37.10408597</v>
      </c>
      <c r="CF8" s="1">
        <f>+datos!IL1</f>
        <v>246</v>
      </c>
      <c r="CG8" s="1">
        <f t="shared" si="26"/>
        <v>46.08</v>
      </c>
      <c r="CH8" s="1">
        <f t="shared" si="27"/>
        <v>42.29</v>
      </c>
      <c r="CJ8" s="1">
        <f t="shared" si="28"/>
        <v>9.7942580100000001</v>
      </c>
      <c r="CK8" s="1">
        <f t="shared" si="28"/>
        <v>6.5346210099999995</v>
      </c>
      <c r="CL8" s="1">
        <f t="shared" si="28"/>
        <v>6.7443728600000004</v>
      </c>
      <c r="CM8" s="1">
        <f t="shared" si="28"/>
        <v>8.66231011</v>
      </c>
      <c r="CN8" s="1">
        <f t="shared" si="28"/>
        <v>7.3007548499999997</v>
      </c>
      <c r="CO8" s="1">
        <f t="shared" si="28"/>
        <v>9.0051498100000007</v>
      </c>
      <c r="CP8" s="1">
        <f t="shared" si="28"/>
        <v>5.9149876199999998</v>
      </c>
      <c r="CQ8" s="1">
        <f t="shared" si="28"/>
        <v>8.0094020700000002</v>
      </c>
      <c r="CR8" s="1">
        <f t="shared" si="28"/>
        <v>5.62476749</v>
      </c>
      <c r="CS8" s="1">
        <f t="shared" si="28"/>
        <v>10.456415849999999</v>
      </c>
      <c r="CT8" s="1">
        <f t="shared" si="28"/>
        <v>8.1147673099999995</v>
      </c>
      <c r="CU8" s="1">
        <f t="shared" si="28"/>
        <v>20.968439010000004</v>
      </c>
      <c r="CV8" s="1">
        <f t="shared" si="28"/>
        <v>22.566015059999998</v>
      </c>
      <c r="CW8" s="1">
        <f t="shared" si="28"/>
        <v>20.944876220000001</v>
      </c>
      <c r="CX8" s="1">
        <f t="shared" si="28"/>
        <v>23.157032140000002</v>
      </c>
      <c r="CY8" s="1">
        <f t="shared" si="28"/>
        <v>19.314763240000005</v>
      </c>
      <c r="CZ8" s="1">
        <f t="shared" si="29"/>
        <v>22.778743510000002</v>
      </c>
      <c r="DA8" s="1">
        <f t="shared" si="29"/>
        <v>39.062197300000001</v>
      </c>
      <c r="DB8" s="1">
        <f t="shared" si="29"/>
        <v>40.013868680000002</v>
      </c>
      <c r="DC8" s="1">
        <f t="shared" si="29"/>
        <v>35.607742460000011</v>
      </c>
      <c r="DD8" s="1">
        <f t="shared" si="29"/>
        <v>32.51792974</v>
      </c>
      <c r="DE8" s="1">
        <f t="shared" si="29"/>
        <v>35.210116300000003</v>
      </c>
      <c r="DF8" s="1">
        <f t="shared" si="29"/>
        <v>30.603465830000005</v>
      </c>
      <c r="DG8" s="1">
        <f t="shared" si="29"/>
        <v>35.017556320000004</v>
      </c>
      <c r="DI8" s="1">
        <f t="shared" si="30"/>
        <v>5.5193633599999998</v>
      </c>
      <c r="DJ8" s="1">
        <f t="shared" si="30"/>
        <v>3.4351580800000003</v>
      </c>
      <c r="DK8" s="1">
        <f t="shared" si="30"/>
        <v>2.0550383299999999</v>
      </c>
      <c r="DL8" s="1">
        <f t="shared" si="30"/>
        <v>3.4373023600000003</v>
      </c>
      <c r="DM8" s="1">
        <f t="shared" si="30"/>
        <v>5.2475744900000008</v>
      </c>
      <c r="DN8" s="1">
        <f t="shared" si="30"/>
        <v>3.52939004</v>
      </c>
      <c r="DO8" s="1">
        <f t="shared" si="30"/>
        <v>1.41927303</v>
      </c>
      <c r="DP8" s="1">
        <f t="shared" si="30"/>
        <v>4.5240591299999995</v>
      </c>
      <c r="DQ8" s="1">
        <f t="shared" si="30"/>
        <v>2.5037689800000003</v>
      </c>
      <c r="DR8" s="1">
        <f t="shared" si="30"/>
        <v>2.5011971499999999</v>
      </c>
      <c r="DS8" s="1">
        <f t="shared" si="30"/>
        <v>3.7585351000000005</v>
      </c>
      <c r="DT8" s="1">
        <f t="shared" si="30"/>
        <v>4.0425458900000004</v>
      </c>
      <c r="DU8" s="1">
        <f t="shared" si="30"/>
        <v>3.59052696</v>
      </c>
      <c r="DV8" s="1">
        <f t="shared" si="30"/>
        <v>2.1766254799999998</v>
      </c>
      <c r="DW8" s="1">
        <f t="shared" si="30"/>
        <v>1.5903026900000001</v>
      </c>
      <c r="DX8" s="1">
        <f t="shared" si="30"/>
        <v>5.6916922899999998</v>
      </c>
      <c r="DY8" s="1">
        <f t="shared" si="31"/>
        <v>1.7294530099999998</v>
      </c>
      <c r="DZ8" s="1">
        <f t="shared" si="31"/>
        <v>4.2232492399999995</v>
      </c>
      <c r="EA8" s="1">
        <f t="shared" si="31"/>
        <v>1.27466579</v>
      </c>
      <c r="EB8" s="1">
        <f t="shared" si="31"/>
        <v>1.8857013599999999</v>
      </c>
      <c r="EC8" s="1">
        <f t="shared" si="31"/>
        <v>4.07849503</v>
      </c>
      <c r="ED8" s="1">
        <f t="shared" si="31"/>
        <v>2.60999925</v>
      </c>
      <c r="EE8" s="1">
        <f t="shared" si="31"/>
        <v>4.3280037599999996</v>
      </c>
      <c r="EF8" s="1">
        <f t="shared" si="31"/>
        <v>3.9253711099999995</v>
      </c>
      <c r="EH8" s="14">
        <f t="shared" si="32"/>
        <v>46.08</v>
      </c>
      <c r="EI8" s="14">
        <f t="shared" si="32"/>
        <v>45.67</v>
      </c>
      <c r="EJ8" s="1">
        <f t="shared" si="32"/>
        <v>45.79</v>
      </c>
      <c r="EK8" s="1">
        <f t="shared" si="32"/>
        <v>45.9</v>
      </c>
      <c r="EL8" s="1">
        <f t="shared" si="32"/>
        <v>45.78</v>
      </c>
      <c r="EM8" s="1">
        <f t="shared" si="32"/>
        <v>45.91</v>
      </c>
      <c r="EN8" s="1">
        <f t="shared" si="32"/>
        <v>45.61</v>
      </c>
      <c r="EO8" s="1">
        <f t="shared" si="32"/>
        <v>45.61</v>
      </c>
      <c r="EP8" s="1">
        <f t="shared" si="32"/>
        <v>45.23</v>
      </c>
      <c r="EQ8" s="1">
        <f t="shared" si="32"/>
        <v>45.2</v>
      </c>
      <c r="ER8" s="1">
        <f t="shared" si="32"/>
        <v>46.01</v>
      </c>
      <c r="ES8" s="1">
        <f t="shared" si="32"/>
        <v>44.44</v>
      </c>
      <c r="ET8" s="1">
        <f t="shared" si="32"/>
        <v>42.29</v>
      </c>
      <c r="EU8" s="1">
        <f t="shared" si="32"/>
        <v>45.39</v>
      </c>
      <c r="EV8" s="1">
        <f t="shared" si="32"/>
        <v>45.32</v>
      </c>
      <c r="EW8" s="1">
        <f t="shared" si="32"/>
        <v>44.85</v>
      </c>
      <c r="EX8" s="1">
        <f t="shared" si="33"/>
        <v>45.52</v>
      </c>
      <c r="EY8" s="1">
        <f t="shared" si="33"/>
        <v>46.23</v>
      </c>
      <c r="EZ8" s="1">
        <f t="shared" si="33"/>
        <v>46.23</v>
      </c>
      <c r="FA8" s="1">
        <f t="shared" si="33"/>
        <v>46.23</v>
      </c>
      <c r="FB8" s="1">
        <f t="shared" si="33"/>
        <v>48.52</v>
      </c>
      <c r="FC8" s="1">
        <f t="shared" si="33"/>
        <v>45.85</v>
      </c>
      <c r="FD8" s="1">
        <f t="shared" si="33"/>
        <v>46.03</v>
      </c>
      <c r="FE8" s="1">
        <f t="shared" si="33"/>
        <v>46.13</v>
      </c>
      <c r="FG8" s="162">
        <f t="shared" si="34"/>
        <v>-0.24375877679378921</v>
      </c>
    </row>
    <row r="9" spans="1:163" ht="18.75" customHeight="1">
      <c r="A9" s="244" t="s">
        <v>77</v>
      </c>
      <c r="B9" s="247"/>
      <c r="C9" s="228">
        <v>0</v>
      </c>
      <c r="D9" s="229">
        <v>1</v>
      </c>
      <c r="E9" s="253">
        <f t="shared" si="6"/>
        <v>7.0064372489230919E-2</v>
      </c>
      <c r="F9" s="254">
        <f t="shared" si="7"/>
        <v>4.9299872641517473E-2</v>
      </c>
      <c r="G9" s="253">
        <f t="shared" si="8"/>
        <v>5.7912166542368526E-2</v>
      </c>
      <c r="H9" s="254">
        <f t="shared" si="9"/>
        <v>1.2152205946862393E-2</v>
      </c>
      <c r="I9" s="253">
        <f t="shared" si="10"/>
        <v>0.6172148684636809</v>
      </c>
      <c r="J9" s="254">
        <f t="shared" si="11"/>
        <v>0.29963150938923766</v>
      </c>
      <c r="K9" s="253">
        <f t="shared" si="12"/>
        <v>0.44031876618155485</v>
      </c>
      <c r="L9" s="254">
        <f t="shared" si="13"/>
        <v>0.17689610228212604</v>
      </c>
      <c r="M9" s="255"/>
      <c r="N9" s="256">
        <v>-1</v>
      </c>
      <c r="O9" s="253">
        <f t="shared" si="35"/>
        <v>-2.1957134195409456E-2</v>
      </c>
      <c r="P9" s="257">
        <f t="shared" si="36"/>
        <v>-2.1957134195409456E-2</v>
      </c>
      <c r="Q9" s="253">
        <f t="shared" si="14"/>
        <v>1.8872348697235308E-2</v>
      </c>
      <c r="R9" s="257">
        <f t="shared" si="37"/>
        <v>1.8872348697235308E-2</v>
      </c>
      <c r="S9" s="255"/>
      <c r="T9" s="256">
        <v>0</v>
      </c>
      <c r="U9" s="253">
        <f t="shared" si="15"/>
        <v>0.192833420683445</v>
      </c>
      <c r="V9" s="258">
        <f t="shared" si="16"/>
        <v>0.192833420683445</v>
      </c>
      <c r="W9" s="253">
        <f t="shared" si="38"/>
        <v>1.7716792798431857</v>
      </c>
      <c r="X9" s="258">
        <f t="shared" si="17"/>
        <v>1.7716792798431857</v>
      </c>
      <c r="Y9" s="253">
        <f t="shared" si="18"/>
        <v>5.1920641620937014E-2</v>
      </c>
      <c r="Z9" s="258">
        <f t="shared" si="19"/>
        <v>5.1920641620937014E-2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3</v>
      </c>
      <c r="AQ9" s="28">
        <f>VLOOKUP($A9,historia!$A$5:$CM$24,+HLOOKUP(AQ$2,historia!$A$3:$EC$4,2,FALSE),FALSE)</f>
        <v>3</v>
      </c>
      <c r="AR9" s="28">
        <f>VLOOKUP($A9,historia!$A$5:$CM$24,+HLOOKUP(AR$2,historia!$A$3:$EC$4,2,FALSE),FALSE)</f>
        <v>3</v>
      </c>
      <c r="AS9" s="28">
        <f>VLOOKUP($A9,historia!$A$5:$CM$24,+HLOOKUP(AS$2,historia!$A$3:$EC$4,2,FALSE),FALSE)</f>
        <v>3</v>
      </c>
      <c r="AT9" s="58">
        <f>VLOOKUP($A9,historia!$A$5:$CM$24,+HLOOKUP(AT$2,historia!$A$3:$EC$4,2,FALSE),FALSE)</f>
        <v>3</v>
      </c>
      <c r="AU9" s="58">
        <f>VLOOKUP($A9,historia!$A$5:$CM$24,+HLOOKUP(AU$2,historia!$A$3:$EC$4,2,FALSE),FALSE)</f>
        <v>2</v>
      </c>
      <c r="AV9" s="58">
        <f>VLOOKUP($A9,historia!$A$5:$CM$24,+HLOOKUP(AV$2,historia!$A$3:$EC$4,2,FALSE),FALSE)</f>
        <v>2</v>
      </c>
      <c r="AW9" s="58">
        <f>VLOOKUP($A9,historia!$A$5:$CM$24,+HLOOKUP(AW$2,historia!$A$3:$EC$4,2,FALSE),FALSE)</f>
        <v>2</v>
      </c>
      <c r="AX9" s="58">
        <f>VLOOKUP($A9,historia!$A$5:$CM$24,+HLOOKUP(AX$2,historia!$A$3:$EC$4,2,FALSE),FALSE)</f>
        <v>2</v>
      </c>
      <c r="AY9" s="58">
        <f>VLOOKUP($A9,historia!$A$5:$CM$24,+HLOOKUP(AY$2,historia!$A$3:$EC$4,2,FALSE),FALSE)</f>
        <v>2</v>
      </c>
      <c r="AZ9" s="58">
        <f>VLOOKUP($A9,historia!$A$5:$DG$24,+HLOOKUP(AZ$2,historia!$A$3:$EC$4,2,FALSE),FALSE)</f>
        <v>1</v>
      </c>
      <c r="BA9" s="58">
        <f>VLOOKUP($A9,historia!$A$5:$DG$24,+HLOOKUP(BA$2,historia!$A$3:$EC$4,2,FALSE),FALSE)</f>
        <v>1</v>
      </c>
      <c r="BB9" s="58"/>
      <c r="BC9" s="286">
        <v>1</v>
      </c>
      <c r="BD9" t="str">
        <f t="shared" si="20"/>
        <v>Bovinos</v>
      </c>
      <c r="BE9">
        <f>+datos!BM1</f>
        <v>65</v>
      </c>
      <c r="BF9" s="2" t="str">
        <f t="shared" si="4"/>
        <v>$/kg</v>
      </c>
      <c r="BG9" s="2">
        <f t="shared" si="4"/>
        <v>3684.7666666666664</v>
      </c>
      <c r="BH9" s="2">
        <f t="shared" si="4"/>
        <v>3443.5</v>
      </c>
      <c r="BI9" s="2">
        <f t="shared" si="4"/>
        <v>2278.4645</v>
      </c>
      <c r="BK9">
        <f>+datos!DB1</f>
        <v>106</v>
      </c>
      <c r="BL9" s="2">
        <f t="shared" si="21"/>
        <v>12252.78084543916</v>
      </c>
      <c r="BM9" s="2">
        <f t="shared" si="21"/>
        <v>11582.039826128084</v>
      </c>
      <c r="BN9" s="2">
        <f t="shared" si="21"/>
        <v>8506.9924332949176</v>
      </c>
      <c r="BP9" s="1">
        <f>+datos!EH1</f>
        <v>138</v>
      </c>
      <c r="BQ9" s="1">
        <f t="shared" si="22"/>
        <v>51624909</v>
      </c>
      <c r="BR9" s="1">
        <f t="shared" si="22"/>
        <v>52783892</v>
      </c>
      <c r="BT9" s="1">
        <f>+datos!HB1</f>
        <v>210</v>
      </c>
      <c r="BU9" s="1">
        <f t="shared" si="23"/>
        <v>3176359</v>
      </c>
      <c r="BV9" s="1">
        <f t="shared" si="23"/>
        <v>3117524</v>
      </c>
      <c r="BX9" s="1">
        <f>+datos!KG1</f>
        <v>293</v>
      </c>
      <c r="BY9" s="1">
        <f t="shared" si="39"/>
        <v>4707.3430708399992</v>
      </c>
      <c r="BZ9" s="1">
        <f t="shared" si="40"/>
        <v>3946.3541088099987</v>
      </c>
      <c r="CB9" s="1">
        <f>+datos!LL1</f>
        <v>324</v>
      </c>
      <c r="CC9" s="2">
        <f t="shared" si="24"/>
        <v>94.358830080000004</v>
      </c>
      <c r="CD9" s="2">
        <f t="shared" si="25"/>
        <v>34.043920870000001</v>
      </c>
      <c r="CF9" s="1">
        <f>+datos!IM1</f>
        <v>247</v>
      </c>
      <c r="CG9" s="2">
        <f t="shared" si="26"/>
        <v>49.84</v>
      </c>
      <c r="CH9" s="2">
        <f t="shared" si="27"/>
        <v>47.38</v>
      </c>
      <c r="CJ9" s="1">
        <f t="shared" si="28"/>
        <v>536.17235368000001</v>
      </c>
      <c r="CK9" s="1">
        <f t="shared" si="28"/>
        <v>505.86158855000002</v>
      </c>
      <c r="CL9" s="1">
        <f t="shared" si="28"/>
        <v>434.66638176999993</v>
      </c>
      <c r="CM9" s="1">
        <f t="shared" si="28"/>
        <v>430.01977605999991</v>
      </c>
      <c r="CN9" s="1">
        <f t="shared" si="28"/>
        <v>389.02912699999996</v>
      </c>
      <c r="CO9" s="1">
        <f t="shared" si="28"/>
        <v>350.95842742999997</v>
      </c>
      <c r="CP9" s="1">
        <f t="shared" si="28"/>
        <v>275.41226476999998</v>
      </c>
      <c r="CQ9" s="1">
        <f t="shared" si="28"/>
        <v>345.87150417999976</v>
      </c>
      <c r="CR9" s="1">
        <f t="shared" si="28"/>
        <v>330.34833823999992</v>
      </c>
      <c r="CS9" s="1">
        <f t="shared" si="28"/>
        <v>372.02787432000008</v>
      </c>
      <c r="CT9" s="1">
        <f t="shared" si="28"/>
        <v>363.37275483999991</v>
      </c>
      <c r="CU9" s="1">
        <f t="shared" si="28"/>
        <v>373.60267999999996</v>
      </c>
      <c r="CV9" s="1">
        <f t="shared" si="28"/>
        <v>392.24577093999977</v>
      </c>
      <c r="CW9" s="1">
        <f t="shared" si="28"/>
        <v>370.00520762000008</v>
      </c>
      <c r="CX9" s="1">
        <f t="shared" si="28"/>
        <v>307.7105307999999</v>
      </c>
      <c r="CY9" s="1">
        <f t="shared" si="28"/>
        <v>311.98041742999999</v>
      </c>
      <c r="CZ9" s="1">
        <f t="shared" si="29"/>
        <v>309.32423856999998</v>
      </c>
      <c r="DA9" s="1">
        <f t="shared" si="29"/>
        <v>316.28118749999999</v>
      </c>
      <c r="DB9" s="1">
        <f t="shared" si="29"/>
        <v>350.14414257999977</v>
      </c>
      <c r="DC9" s="1">
        <f t="shared" si="29"/>
        <v>342.85888695999995</v>
      </c>
      <c r="DD9" s="1">
        <f t="shared" si="29"/>
        <v>324.84866957999998</v>
      </c>
      <c r="DE9" s="1">
        <f t="shared" si="29"/>
        <v>325.97502911999987</v>
      </c>
      <c r="DF9" s="1">
        <f t="shared" si="29"/>
        <v>321.39038838999994</v>
      </c>
      <c r="DG9" s="1">
        <f t="shared" si="29"/>
        <v>273.58963931999995</v>
      </c>
      <c r="DI9" s="1">
        <f t="shared" si="30"/>
        <v>13.331294830000001</v>
      </c>
      <c r="DJ9" s="1">
        <f t="shared" si="30"/>
        <v>9.6599299699999985</v>
      </c>
      <c r="DK9" s="1">
        <f t="shared" si="30"/>
        <v>6.816705279999999</v>
      </c>
      <c r="DL9" s="1">
        <f t="shared" si="30"/>
        <v>8.1579769499999983</v>
      </c>
      <c r="DM9" s="1">
        <f t="shared" si="30"/>
        <v>10.16779666</v>
      </c>
      <c r="DN9" s="1">
        <f t="shared" si="30"/>
        <v>11.009236750000001</v>
      </c>
      <c r="DO9" s="1">
        <f t="shared" si="30"/>
        <v>8.7569028099999997</v>
      </c>
      <c r="DP9" s="1">
        <f t="shared" si="30"/>
        <v>7.0677003599999999</v>
      </c>
      <c r="DQ9" s="1">
        <f t="shared" si="30"/>
        <v>5.8644577399999989</v>
      </c>
      <c r="DR9" s="1">
        <f t="shared" si="30"/>
        <v>6.7460545699999992</v>
      </c>
      <c r="DS9" s="1">
        <f t="shared" si="30"/>
        <v>2.8647302900000002</v>
      </c>
      <c r="DT9" s="1">
        <f t="shared" si="30"/>
        <v>3.9160438699999998</v>
      </c>
      <c r="DU9" s="1">
        <f t="shared" si="30"/>
        <v>2.7432327000000001</v>
      </c>
      <c r="DV9" s="1">
        <f t="shared" si="30"/>
        <v>3.5031505699999994</v>
      </c>
      <c r="DW9" s="1">
        <f t="shared" si="30"/>
        <v>3.9954732900000005</v>
      </c>
      <c r="DX9" s="1">
        <f t="shared" si="30"/>
        <v>2.3751918999999999</v>
      </c>
      <c r="DY9" s="1">
        <f t="shared" si="31"/>
        <v>3.3189943100000003</v>
      </c>
      <c r="DZ9" s="1">
        <f t="shared" si="31"/>
        <v>3.6004889900000006</v>
      </c>
      <c r="EA9" s="1">
        <f t="shared" si="31"/>
        <v>2.2940615100000001</v>
      </c>
      <c r="EB9" s="1">
        <f t="shared" si="31"/>
        <v>1.2696953500000001</v>
      </c>
      <c r="EC9" s="1">
        <f t="shared" si="31"/>
        <v>1.4792882700000001</v>
      </c>
      <c r="ED9" s="1">
        <f t="shared" si="31"/>
        <v>3.3410357400000001</v>
      </c>
      <c r="EE9" s="1">
        <f t="shared" si="31"/>
        <v>3.5927978000000009</v>
      </c>
      <c r="EF9" s="1">
        <f t="shared" si="31"/>
        <v>2.53051044</v>
      </c>
      <c r="EH9" s="14">
        <f t="shared" si="32"/>
        <v>49.84</v>
      </c>
      <c r="EI9" s="14">
        <f t="shared" si="32"/>
        <v>49.93</v>
      </c>
      <c r="EJ9" s="1">
        <f t="shared" si="32"/>
        <v>50.15</v>
      </c>
      <c r="EK9" s="1">
        <f t="shared" si="32"/>
        <v>50.33</v>
      </c>
      <c r="EL9" s="1">
        <f t="shared" si="32"/>
        <v>49.79</v>
      </c>
      <c r="EM9" s="1">
        <f t="shared" si="32"/>
        <v>49.86</v>
      </c>
      <c r="EN9" s="1">
        <f t="shared" si="32"/>
        <v>49.86</v>
      </c>
      <c r="EO9" s="1">
        <f t="shared" si="32"/>
        <v>48.75</v>
      </c>
      <c r="EP9" s="1">
        <f t="shared" si="32"/>
        <v>48.18</v>
      </c>
      <c r="EQ9" s="1">
        <f t="shared" si="32"/>
        <v>47.81</v>
      </c>
      <c r="ER9" s="1">
        <f t="shared" si="32"/>
        <v>46.91</v>
      </c>
      <c r="ES9" s="1">
        <f t="shared" si="32"/>
        <v>47.74</v>
      </c>
      <c r="ET9" s="1">
        <f t="shared" si="32"/>
        <v>47.38</v>
      </c>
      <c r="EU9" s="1">
        <f t="shared" si="32"/>
        <v>47.74</v>
      </c>
      <c r="EV9" s="1">
        <f t="shared" si="32"/>
        <v>47.8</v>
      </c>
      <c r="EW9" s="1">
        <f t="shared" si="32"/>
        <v>47.58</v>
      </c>
      <c r="EX9" s="1">
        <f t="shared" si="33"/>
        <v>49.18</v>
      </c>
      <c r="EY9" s="1">
        <f t="shared" si="33"/>
        <v>49.37</v>
      </c>
      <c r="EZ9" s="1">
        <f t="shared" si="33"/>
        <v>49.38</v>
      </c>
      <c r="FA9" s="1">
        <f t="shared" si="33"/>
        <v>51.48</v>
      </c>
      <c r="FB9" s="1">
        <f t="shared" si="33"/>
        <v>52.06</v>
      </c>
      <c r="FC9" s="1">
        <f t="shared" si="33"/>
        <v>42.59</v>
      </c>
      <c r="FD9" s="1">
        <f t="shared" si="33"/>
        <v>51.3</v>
      </c>
      <c r="FE9" s="1">
        <f t="shared" si="33"/>
        <v>51.15</v>
      </c>
      <c r="FG9" s="162">
        <f t="shared" si="34"/>
        <v>0.17689610228212604</v>
      </c>
    </row>
    <row r="10" spans="1:163" ht="28.8">
      <c r="A10" s="263" t="s">
        <v>221</v>
      </c>
      <c r="B10" s="246"/>
      <c r="C10" s="156">
        <f t="shared" si="5"/>
        <v>0</v>
      </c>
      <c r="D10" s="198">
        <v>-1</v>
      </c>
      <c r="E10" s="248">
        <f t="shared" si="6"/>
        <v>7.6287625877815124E-2</v>
      </c>
      <c r="F10" s="249">
        <f t="shared" si="7"/>
        <v>5.5523126030101677E-2</v>
      </c>
      <c r="G10" s="248">
        <f t="shared" si="8"/>
        <v>6.6550810323957821E-2</v>
      </c>
      <c r="H10" s="249">
        <f t="shared" si="9"/>
        <v>9.7368155538573031E-3</v>
      </c>
      <c r="I10" s="248">
        <f t="shared" si="10"/>
        <v>0.49614738803503489</v>
      </c>
      <c r="J10" s="249">
        <f t="shared" si="11"/>
        <v>0.17856402896059165</v>
      </c>
      <c r="K10" s="248">
        <f t="shared" si="12"/>
        <v>0.41161196683192491</v>
      </c>
      <c r="L10" s="249">
        <f t="shared" si="13"/>
        <v>8.4535421203109973E-2</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0.78264919556605861</v>
      </c>
      <c r="V10" s="252">
        <f t="shared" si="16"/>
        <v>0.78264919556605861</v>
      </c>
      <c r="W10" s="248">
        <f t="shared" si="38"/>
        <v>0.6739149152582653</v>
      </c>
      <c r="X10" s="252">
        <f t="shared" si="17"/>
        <v>0.6739149152582653</v>
      </c>
      <c r="Y10" s="248">
        <f t="shared" si="18"/>
        <v>-1.4951121334099926E-2</v>
      </c>
      <c r="Z10" s="258">
        <f t="shared" si="19"/>
        <v>-1.4951121334099926E-2</v>
      </c>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4</v>
      </c>
      <c r="AR10" s="28">
        <f>VLOOKUP($A10,historia!$A$5:$CM$24,+HLOOKUP(AR$2,historia!$A$3:$EC$4,2,FALSE),FALSE)</f>
        <v>4</v>
      </c>
      <c r="AS10" s="28">
        <f>VLOOKUP($A10,historia!$A$5:$CM$24,+HLOOKUP(AS$2,historia!$A$3:$EC$4,2,FALSE),FALSE)</f>
        <v>3</v>
      </c>
      <c r="AT10" s="58">
        <f>VLOOKUP($A10,historia!$A$5:$CM$24,+HLOOKUP(AT$2,historia!$A$3:$EC$4,2,FALSE),FALSE)</f>
        <v>4</v>
      </c>
      <c r="AU10" s="58">
        <f>VLOOKUP($A10,historia!$A$5:$CM$24,+HLOOKUP(AU$2,historia!$A$3:$EC$4,2,FALSE),FALSE)</f>
        <v>4</v>
      </c>
      <c r="AV10" s="58">
        <f>VLOOKUP($A10,historia!$A$5:$CM$24,+HLOOKUP(AV$2,historia!$A$3:$EC$4,2,FALSE),FALSE)</f>
        <v>4</v>
      </c>
      <c r="AW10" s="58">
        <f>VLOOKUP($A10,historia!$A$5:$CM$24,+HLOOKUP(AW$2,historia!$A$3:$EC$4,2,FALSE),FALSE)</f>
        <v>4</v>
      </c>
      <c r="AX10" s="58">
        <f>VLOOKUP($A10,historia!$A$5:$CM$24,+HLOOKUP(AX$2,historia!$A$3:$EC$4,2,FALSE),FALSE)</f>
        <v>3</v>
      </c>
      <c r="AY10" s="58">
        <f>VLOOKUP($A10,historia!$A$5:$CM$24,+HLOOKUP(AY$2,historia!$A$3:$EC$4,2,FALSE),FALSE)</f>
        <v>2</v>
      </c>
      <c r="AZ10" s="58">
        <f>VLOOKUP($A10,historia!$A$5:$DG$24,+HLOOKUP(AZ$2,historia!$A$3:$EC$4,2,FALSE),FALSE)</f>
        <v>3</v>
      </c>
      <c r="BA10" s="58">
        <f>VLOOKUP($A10,historia!$A$5:$DG$24,+HLOOKUP(BA$2,historia!$A$3:$EC$4,2,FALSE),FALSE)</f>
        <v>3</v>
      </c>
      <c r="BB10" s="58"/>
      <c r="BC10" s="286">
        <v>3</v>
      </c>
      <c r="BD10" t="str">
        <f t="shared" si="20"/>
        <v>Cítricos Dulces</v>
      </c>
      <c r="BE10">
        <f>+datos!AU1</f>
        <v>47</v>
      </c>
      <c r="BF10" s="2" t="str">
        <f t="shared" si="4"/>
        <v>$/caja 18kg</v>
      </c>
      <c r="BG10" s="2">
        <f t="shared" si="4"/>
        <v>12859.262121212121</v>
      </c>
      <c r="BH10" s="2">
        <f t="shared" si="4"/>
        <v>11947.793333333333</v>
      </c>
      <c r="BI10" s="2">
        <f t="shared" si="4"/>
        <v>8594.9166666666661</v>
      </c>
      <c r="BK10">
        <f>+datos!CX1</f>
        <v>102</v>
      </c>
      <c r="BL10" s="2">
        <f t="shared" si="21"/>
        <v>11358.033140650026</v>
      </c>
      <c r="BM10" s="2">
        <f t="shared" si="21"/>
        <v>10649.312747885024</v>
      </c>
      <c r="BN10" s="2">
        <f t="shared" si="21"/>
        <v>8046.1439882383647</v>
      </c>
      <c r="BP10" s="1">
        <f>+datos!ER1</f>
        <v>148</v>
      </c>
      <c r="BQ10" s="1">
        <f t="shared" si="22"/>
        <v>79911</v>
      </c>
      <c r="BR10" s="1">
        <f t="shared" si="22"/>
        <v>80248</v>
      </c>
      <c r="BT10" s="1">
        <f>+datos!GH1</f>
        <v>190</v>
      </c>
      <c r="BU10" s="1">
        <f t="shared" si="23"/>
        <v>1543162</v>
      </c>
      <c r="BV10" s="1">
        <f t="shared" si="23"/>
        <v>1734000</v>
      </c>
      <c r="BX10" s="1">
        <f>+datos!LT1</f>
        <v>332</v>
      </c>
      <c r="BY10" s="1">
        <f t="shared" si="39"/>
        <v>138.79280678000001</v>
      </c>
      <c r="BZ10" s="1">
        <f t="shared" si="40"/>
        <v>77.857610530000002</v>
      </c>
      <c r="CA10" s="1"/>
      <c r="CB10" s="1">
        <f>+datos!LX1</f>
        <v>336</v>
      </c>
      <c r="CC10" s="2">
        <f t="shared" si="24"/>
        <v>7.3038253399999995</v>
      </c>
      <c r="CD10" s="2">
        <f t="shared" si="25"/>
        <v>4.3633193500000003</v>
      </c>
      <c r="CF10" s="1">
        <f>+datos!IV1</f>
        <v>256</v>
      </c>
      <c r="CG10" s="1">
        <f t="shared" si="26"/>
        <v>17.130000000000003</v>
      </c>
      <c r="CH10" s="1">
        <f t="shared" si="27"/>
        <v>17.39</v>
      </c>
      <c r="CJ10" s="1">
        <f t="shared" si="28"/>
        <v>8.35667808</v>
      </c>
      <c r="CK10" s="1">
        <f t="shared" si="28"/>
        <v>14.350128370000002</v>
      </c>
      <c r="CL10" s="1">
        <f t="shared" si="28"/>
        <v>16.897846870000002</v>
      </c>
      <c r="CM10" s="1">
        <f t="shared" si="28"/>
        <v>10.456701950000001</v>
      </c>
      <c r="CN10" s="1">
        <f t="shared" si="28"/>
        <v>9.5618942600000008</v>
      </c>
      <c r="CO10" s="1">
        <f t="shared" si="28"/>
        <v>5.6783096999999998</v>
      </c>
      <c r="CP10" s="1">
        <f t="shared" si="28"/>
        <v>3.5979505000000001</v>
      </c>
      <c r="CQ10" s="1">
        <f t="shared" si="28"/>
        <v>11.482528969999997</v>
      </c>
      <c r="CR10" s="1">
        <f t="shared" si="28"/>
        <v>11.00321864</v>
      </c>
      <c r="CS10" s="1">
        <f t="shared" si="28"/>
        <v>18.05731771</v>
      </c>
      <c r="CT10" s="1">
        <f t="shared" si="28"/>
        <v>12.23030908</v>
      </c>
      <c r="CU10" s="1">
        <f t="shared" si="28"/>
        <v>17.119922650000003</v>
      </c>
      <c r="CV10" s="1">
        <f t="shared" si="28"/>
        <v>15.255558669999997</v>
      </c>
      <c r="CW10" s="1">
        <f t="shared" si="28"/>
        <v>10.271936310000001</v>
      </c>
      <c r="CX10" s="1">
        <f t="shared" si="28"/>
        <v>14.041262509999999</v>
      </c>
      <c r="CY10" s="1">
        <f t="shared" si="28"/>
        <v>6.1015489199999999</v>
      </c>
      <c r="CZ10" s="1">
        <f t="shared" si="29"/>
        <v>2.3063176799999998</v>
      </c>
      <c r="DA10" s="1">
        <f t="shared" si="29"/>
        <v>3.2785219999999997</v>
      </c>
      <c r="DB10" s="1">
        <f t="shared" si="29"/>
        <v>2.8661316999999999</v>
      </c>
      <c r="DC10" s="1">
        <f t="shared" si="29"/>
        <v>3.3581509099999995</v>
      </c>
      <c r="DD10" s="1">
        <f t="shared" si="29"/>
        <v>4.3519123000000004</v>
      </c>
      <c r="DE10" s="1">
        <f t="shared" si="29"/>
        <v>3.6482140500000004</v>
      </c>
      <c r="DF10" s="1">
        <f t="shared" si="29"/>
        <v>7.8852843799999999</v>
      </c>
      <c r="DG10" s="1">
        <f t="shared" si="29"/>
        <v>4.4927710999999997</v>
      </c>
      <c r="DI10" s="1">
        <f t="shared" si="30"/>
        <v>0.12110615999999999</v>
      </c>
      <c r="DJ10" s="1">
        <f t="shared" si="30"/>
        <v>2.631816E-2</v>
      </c>
      <c r="DK10" s="1">
        <f t="shared" si="30"/>
        <v>4.99154E-3</v>
      </c>
      <c r="DL10" s="1">
        <f t="shared" si="30"/>
        <v>4.683996E-2</v>
      </c>
      <c r="DM10" s="1">
        <f t="shared" si="30"/>
        <v>0.23953321999999996</v>
      </c>
      <c r="DN10" s="1">
        <f t="shared" si="30"/>
        <v>0.72731897999999995</v>
      </c>
      <c r="DO10" s="1">
        <f t="shared" si="30"/>
        <v>1.7947146899999999</v>
      </c>
      <c r="DP10" s="1">
        <f t="shared" si="30"/>
        <v>1.56764612</v>
      </c>
      <c r="DQ10" s="1">
        <f t="shared" si="30"/>
        <v>1.4871383200000001</v>
      </c>
      <c r="DR10" s="1">
        <f t="shared" si="30"/>
        <v>0.7069763</v>
      </c>
      <c r="DS10" s="1">
        <f t="shared" si="30"/>
        <v>0.35634324000000006</v>
      </c>
      <c r="DT10" s="1">
        <f t="shared" si="30"/>
        <v>0.22489865000000001</v>
      </c>
      <c r="DU10" s="1">
        <f t="shared" si="30"/>
        <v>0.17467300000000002</v>
      </c>
      <c r="DV10" s="1">
        <f t="shared" si="30"/>
        <v>7.2500000000000004E-3</v>
      </c>
      <c r="DW10" s="1">
        <f t="shared" si="30"/>
        <v>0.23680799999999999</v>
      </c>
      <c r="DX10" s="1">
        <f t="shared" si="30"/>
        <v>0</v>
      </c>
      <c r="DY10" s="1">
        <f t="shared" si="31"/>
        <v>0.3075099</v>
      </c>
      <c r="DZ10" s="1">
        <f t="shared" si="31"/>
        <v>0.82950560000000007</v>
      </c>
      <c r="EA10" s="1">
        <f t="shared" si="31"/>
        <v>1.06715808</v>
      </c>
      <c r="EB10" s="1">
        <f t="shared" si="31"/>
        <v>0.57276656999999997</v>
      </c>
      <c r="EC10" s="1">
        <f t="shared" si="31"/>
        <v>0.50591796999999994</v>
      </c>
      <c r="ED10" s="1">
        <f t="shared" si="31"/>
        <v>0.37369366000000004</v>
      </c>
      <c r="EE10" s="1">
        <f t="shared" si="31"/>
        <v>1.8223369999999999E-2</v>
      </c>
      <c r="EF10" s="1">
        <f t="shared" si="31"/>
        <v>0.26981320000000003</v>
      </c>
      <c r="EH10" s="14">
        <f t="shared" si="32"/>
        <v>17.130000000000003</v>
      </c>
      <c r="EI10" s="14">
        <f t="shared" si="32"/>
        <v>17.130000000000003</v>
      </c>
      <c r="EJ10" s="1">
        <f t="shared" si="32"/>
        <v>17.130000000000003</v>
      </c>
      <c r="EK10" s="1">
        <f t="shared" si="32"/>
        <v>17.130000000000003</v>
      </c>
      <c r="EL10" s="1">
        <f t="shared" si="32"/>
        <v>17.130000000000003</v>
      </c>
      <c r="EM10" s="1">
        <f t="shared" si="32"/>
        <v>17.130000000000003</v>
      </c>
      <c r="EN10" s="1">
        <f t="shared" si="32"/>
        <v>17.130000000000003</v>
      </c>
      <c r="EO10" s="1">
        <f t="shared" si="32"/>
        <v>17.130000000000003</v>
      </c>
      <c r="EP10" s="1">
        <f t="shared" si="32"/>
        <v>17.130000000000003</v>
      </c>
      <c r="EQ10" s="1">
        <f t="shared" si="32"/>
        <v>17.39</v>
      </c>
      <c r="ER10" s="1">
        <f t="shared" si="32"/>
        <v>17.39</v>
      </c>
      <c r="ES10" s="1">
        <f t="shared" si="32"/>
        <v>17.39</v>
      </c>
      <c r="ET10" s="1">
        <f t="shared" si="32"/>
        <v>17.39</v>
      </c>
      <c r="EU10" s="1">
        <f t="shared" si="32"/>
        <v>17.39</v>
      </c>
      <c r="EV10" s="1">
        <f t="shared" si="32"/>
        <v>17.39</v>
      </c>
      <c r="EW10" s="1">
        <f t="shared" si="32"/>
        <v>17.39</v>
      </c>
      <c r="EX10" s="1">
        <f t="shared" si="33"/>
        <v>17.39</v>
      </c>
      <c r="EY10" s="1">
        <f t="shared" si="33"/>
        <v>17.39</v>
      </c>
      <c r="EZ10" s="1">
        <f t="shared" si="33"/>
        <v>17.39</v>
      </c>
      <c r="FA10" s="1">
        <f t="shared" si="33"/>
        <v>17.39</v>
      </c>
      <c r="FB10" s="1">
        <f t="shared" si="33"/>
        <v>17.39</v>
      </c>
      <c r="FC10" s="1">
        <f t="shared" si="33"/>
        <v>19.739999999999998</v>
      </c>
      <c r="FD10" s="1">
        <f t="shared" si="33"/>
        <v>19.739999999999998</v>
      </c>
      <c r="FE10" s="1">
        <f t="shared" si="33"/>
        <v>19.739999999999998</v>
      </c>
      <c r="FG10" s="162">
        <f t="shared" si="34"/>
        <v>8.4535421203109973E-2</v>
      </c>
    </row>
    <row r="11" spans="1:163" ht="18.75" customHeight="1">
      <c r="A11" s="244" t="s">
        <v>116</v>
      </c>
      <c r="B11" s="247"/>
      <c r="C11" s="228">
        <f t="shared" si="5"/>
        <v>-0.33</v>
      </c>
      <c r="D11" s="229">
        <v>1</v>
      </c>
      <c r="E11" s="253">
        <f t="shared" si="6"/>
        <v>1.7888712190317735E-2</v>
      </c>
      <c r="F11" s="254">
        <f t="shared" si="7"/>
        <v>-2.875787657395712E-3</v>
      </c>
      <c r="G11" s="253">
        <f t="shared" si="8"/>
        <v>5.2916408087763767E-2</v>
      </c>
      <c r="H11" s="254">
        <f t="shared" si="9"/>
        <v>-3.5027695897446032E-2</v>
      </c>
      <c r="I11" s="253">
        <f t="shared" si="10"/>
        <v>0.10670996620880335</v>
      </c>
      <c r="J11" s="254">
        <f t="shared" si="11"/>
        <v>-0.21087339286563989</v>
      </c>
      <c r="K11" s="253">
        <f t="shared" si="12"/>
        <v>0.37134287294654467</v>
      </c>
      <c r="L11" s="254">
        <f t="shared" si="13"/>
        <v>-0.26463290673774131</v>
      </c>
      <c r="M11" s="255"/>
      <c r="N11" s="256"/>
      <c r="O11" s="253" t="str">
        <f t="shared" si="35"/>
        <v/>
      </c>
      <c r="P11" s="257" t="str">
        <f t="shared" si="36"/>
        <v/>
      </c>
      <c r="Q11" s="253">
        <f t="shared" si="14"/>
        <v>0</v>
      </c>
      <c r="R11" s="257">
        <f t="shared" si="37"/>
        <v>0</v>
      </c>
      <c r="S11" s="255"/>
      <c r="T11" s="24">
        <v>-2</v>
      </c>
      <c r="U11" s="253">
        <f t="shared" si="15"/>
        <v>-0.38788932320456193</v>
      </c>
      <c r="V11" s="258">
        <f t="shared" si="16"/>
        <v>-0.38788932320456193</v>
      </c>
      <c r="W11" s="253">
        <f t="shared" si="38"/>
        <v>6.3673484325432517E-2</v>
      </c>
      <c r="X11" s="258">
        <f t="shared" si="17"/>
        <v>6.3673484325432517E-2</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3</v>
      </c>
      <c r="AT11" s="58">
        <f>VLOOKUP($A11,historia!$A$5:$CM$24,+HLOOKUP(AT$2,historia!$A$3:$EC$4,2,FALSE),FALSE)</f>
        <v>3</v>
      </c>
      <c r="AU11" s="58">
        <f>VLOOKUP($A11,historia!$A$5:$CM$24,+HLOOKUP(AU$2,historia!$A$3:$EC$4,2,FALSE),FALSE)</f>
        <v>3</v>
      </c>
      <c r="AV11" s="58">
        <f>VLOOKUP($A11,historia!$A$5:$CM$24,+HLOOKUP(AV$2,historia!$A$3:$EC$4,2,FALSE),FALSE)</f>
        <v>3</v>
      </c>
      <c r="AW11" s="58">
        <f>VLOOKUP($A11,historia!$A$5:$CM$24,+HLOOKUP(AW$2,historia!$A$3:$EC$4,2,FALSE),FALSE)</f>
        <v>3</v>
      </c>
      <c r="AX11" s="58">
        <f>VLOOKUP($A11,historia!$A$5:$CM$24,+HLOOKUP(AX$2,historia!$A$3:$EC$4,2,FALSE),FALSE)</f>
        <v>3</v>
      </c>
      <c r="AY11" s="58">
        <f>VLOOKUP($A11,historia!$A$5:$CM$24,+HLOOKUP(AY$2,historia!$A$3:$EC$4,2,FALSE),FALSE)</f>
        <v>3</v>
      </c>
      <c r="AZ11" s="58">
        <f>VLOOKUP($A11,historia!$A$5:$DG$24,+HLOOKUP(AZ$2,historia!$A$3:$EC$4,2,FALSE),FALSE)</f>
        <v>3</v>
      </c>
      <c r="BA11" s="58">
        <f>VLOOKUP($A11,historia!$A$5:$DG$24,+HLOOKUP(BA$2,historia!$A$3:$EC$4,2,FALSE),FALSE)</f>
        <v>3</v>
      </c>
      <c r="BB11" s="58"/>
      <c r="BC11" s="286">
        <v>3</v>
      </c>
      <c r="BD11" t="str">
        <f t="shared" si="20"/>
        <v>Forestal</v>
      </c>
      <c r="BE11">
        <f>+datos!BG1</f>
        <v>59</v>
      </c>
      <c r="BF11" s="2" t="str">
        <f t="shared" si="4"/>
        <v>$/t</v>
      </c>
      <c r="BG11" s="2">
        <f t="shared" si="4"/>
        <v>31523.25</v>
      </c>
      <c r="BH11" s="2">
        <f t="shared" si="4"/>
        <v>30969.25</v>
      </c>
      <c r="BI11" s="2">
        <f t="shared" si="4"/>
        <v>28483.75</v>
      </c>
      <c r="BK11">
        <f>+datos!CZ1</f>
        <v>104</v>
      </c>
      <c r="BL11" s="2">
        <f t="shared" si="21"/>
        <v>14493.12792248171</v>
      </c>
      <c r="BM11" s="2">
        <f t="shared" si="21"/>
        <v>13764.746955366722</v>
      </c>
      <c r="BN11" s="2">
        <f t="shared" si="21"/>
        <v>10568.566190409374</v>
      </c>
      <c r="BP11" s="1">
        <f>+datos!ES1</f>
        <v>149</v>
      </c>
      <c r="BQ11" s="1">
        <f t="shared" si="22"/>
        <v>0</v>
      </c>
      <c r="BR11" s="1">
        <f t="shared" si="22"/>
        <v>0</v>
      </c>
      <c r="BT11" s="1">
        <f>+datos!GI1</f>
        <v>191</v>
      </c>
      <c r="BU11" s="1">
        <f t="shared" si="23"/>
        <v>1302556</v>
      </c>
      <c r="BV11" s="1">
        <f t="shared" si="23"/>
        <v>1302556</v>
      </c>
      <c r="BX11" s="1">
        <f>+datos!KB1</f>
        <v>288</v>
      </c>
      <c r="BY11" s="1">
        <f t="shared" si="39"/>
        <v>163.49721614000003</v>
      </c>
      <c r="BZ11" s="1">
        <f t="shared" si="40"/>
        <v>267.10400967999999</v>
      </c>
      <c r="CB11" s="1">
        <f>+datos!LG1</f>
        <v>319</v>
      </c>
      <c r="CC11" s="2">
        <f t="shared" si="24"/>
        <v>181.73063884000001</v>
      </c>
      <c r="CD11" s="2">
        <f t="shared" si="25"/>
        <v>170.85190288000001</v>
      </c>
      <c r="CF11" s="1">
        <f>+datos!IW1</f>
        <v>257</v>
      </c>
      <c r="CG11" s="1">
        <f t="shared" si="26"/>
        <v>0</v>
      </c>
      <c r="CH11" s="1">
        <f t="shared" si="27"/>
        <v>0</v>
      </c>
      <c r="CJ11" s="1">
        <f t="shared" si="28"/>
        <v>16.167947309999995</v>
      </c>
      <c r="CK11" s="1">
        <f t="shared" si="28"/>
        <v>12.702036029999997</v>
      </c>
      <c r="CL11" s="1">
        <f t="shared" si="28"/>
        <v>14.879273850000001</v>
      </c>
      <c r="CM11" s="1">
        <f t="shared" si="28"/>
        <v>13.812450910000003</v>
      </c>
      <c r="CN11" s="1">
        <f t="shared" si="28"/>
        <v>14.949040589999999</v>
      </c>
      <c r="CO11" s="1">
        <f t="shared" si="28"/>
        <v>13.968637820000001</v>
      </c>
      <c r="CP11" s="1">
        <f t="shared" si="28"/>
        <v>9.9284284400000011</v>
      </c>
      <c r="CQ11" s="1">
        <f t="shared" si="28"/>
        <v>14.484437890000001</v>
      </c>
      <c r="CR11" s="1">
        <f t="shared" si="28"/>
        <v>10.200287200000002</v>
      </c>
      <c r="CS11" s="1">
        <f t="shared" si="28"/>
        <v>11.119065489999999</v>
      </c>
      <c r="CT11" s="1">
        <f t="shared" si="28"/>
        <v>13.50721221</v>
      </c>
      <c r="CU11" s="1">
        <f t="shared" si="28"/>
        <v>17.7783984</v>
      </c>
      <c r="CV11" s="1">
        <f t="shared" si="28"/>
        <v>18.158715399999995</v>
      </c>
      <c r="CW11" s="1">
        <f t="shared" si="28"/>
        <v>13.62277192</v>
      </c>
      <c r="CX11" s="1">
        <f t="shared" si="28"/>
        <v>18.147427050000005</v>
      </c>
      <c r="CY11" s="1">
        <f t="shared" si="28"/>
        <v>16.38459563</v>
      </c>
      <c r="CZ11" s="1">
        <f t="shared" si="29"/>
        <v>19.29025034</v>
      </c>
      <c r="DA11" s="1">
        <f t="shared" si="29"/>
        <v>32.635385889999995</v>
      </c>
      <c r="DB11" s="1">
        <f t="shared" si="29"/>
        <v>26.653198490000001</v>
      </c>
      <c r="DC11" s="1">
        <f t="shared" si="29"/>
        <v>23.932255000000001</v>
      </c>
      <c r="DD11" s="1">
        <f t="shared" si="29"/>
        <v>23.104867779999999</v>
      </c>
      <c r="DE11" s="1">
        <f t="shared" si="29"/>
        <v>24.797754910000005</v>
      </c>
      <c r="DF11" s="1">
        <f t="shared" si="29"/>
        <v>26.00374025</v>
      </c>
      <c r="DG11" s="1">
        <f t="shared" si="29"/>
        <v>24.373047020000001</v>
      </c>
      <c r="DI11" s="1">
        <f t="shared" si="30"/>
        <v>18.176691299999998</v>
      </c>
      <c r="DJ11" s="1">
        <f t="shared" si="30"/>
        <v>17.838312650000002</v>
      </c>
      <c r="DK11" s="1">
        <f t="shared" si="30"/>
        <v>13.839856769999999</v>
      </c>
      <c r="DL11" s="1">
        <f t="shared" si="30"/>
        <v>16.453753389999996</v>
      </c>
      <c r="DM11" s="1">
        <f t="shared" si="30"/>
        <v>16.050718710000002</v>
      </c>
      <c r="DN11" s="1">
        <f t="shared" si="30"/>
        <v>13.20675994</v>
      </c>
      <c r="DO11" s="1">
        <f t="shared" si="30"/>
        <v>12.082023640000001</v>
      </c>
      <c r="DP11" s="1">
        <f t="shared" si="30"/>
        <v>16.998994660000001</v>
      </c>
      <c r="DQ11" s="1">
        <f t="shared" si="30"/>
        <v>14.09144206</v>
      </c>
      <c r="DR11" s="1">
        <f t="shared" si="30"/>
        <v>14.036730870000001</v>
      </c>
      <c r="DS11" s="1">
        <f t="shared" si="30"/>
        <v>13.365554540000002</v>
      </c>
      <c r="DT11" s="1">
        <f t="shared" si="30"/>
        <v>15.589800310000003</v>
      </c>
      <c r="DU11" s="1">
        <f t="shared" si="30"/>
        <v>16.942532470000003</v>
      </c>
      <c r="DV11" s="1">
        <f t="shared" si="30"/>
        <v>10.998476289999999</v>
      </c>
      <c r="DW11" s="1">
        <f t="shared" si="30"/>
        <v>11.46589975</v>
      </c>
      <c r="DX11" s="1">
        <f t="shared" si="30"/>
        <v>13.53170609</v>
      </c>
      <c r="DY11" s="1">
        <f t="shared" si="31"/>
        <v>19.941855059999995</v>
      </c>
      <c r="DZ11" s="1">
        <f t="shared" si="31"/>
        <v>17.561880160000001</v>
      </c>
      <c r="EA11" s="1">
        <f t="shared" si="31"/>
        <v>14.580088280000002</v>
      </c>
      <c r="EB11" s="1">
        <f t="shared" si="31"/>
        <v>13.107541810000001</v>
      </c>
      <c r="EC11" s="1">
        <f t="shared" si="31"/>
        <v>9.0834929199999994</v>
      </c>
      <c r="ED11" s="1">
        <f t="shared" si="31"/>
        <v>9.5859924200000002</v>
      </c>
      <c r="EE11" s="1">
        <f t="shared" si="31"/>
        <v>12.114691449999999</v>
      </c>
      <c r="EF11" s="1">
        <f t="shared" si="31"/>
        <v>21.937746180000001</v>
      </c>
      <c r="EH11" s="14">
        <f t="shared" si="32"/>
        <v>0</v>
      </c>
      <c r="EI11" s="14">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3"/>
        <v>0</v>
      </c>
      <c r="EY11" s="1">
        <f t="shared" si="33"/>
        <v>0</v>
      </c>
      <c r="EZ11" s="1">
        <f t="shared" si="33"/>
        <v>0</v>
      </c>
      <c r="FA11" s="1">
        <f t="shared" si="33"/>
        <v>0</v>
      </c>
      <c r="FB11" s="1">
        <f t="shared" si="33"/>
        <v>0</v>
      </c>
      <c r="FC11" s="1">
        <f t="shared" si="33"/>
        <v>0</v>
      </c>
      <c r="FD11" s="1">
        <f t="shared" si="33"/>
        <v>0</v>
      </c>
      <c r="FE11" s="1">
        <f t="shared" si="33"/>
        <v>0</v>
      </c>
      <c r="FG11" s="162">
        <f t="shared" si="34"/>
        <v>-0.26463290673774131</v>
      </c>
    </row>
    <row r="12" spans="1:163" ht="18.75" customHeight="1">
      <c r="A12" s="243" t="s">
        <v>216</v>
      </c>
      <c r="B12" s="246"/>
      <c r="C12" s="156">
        <f t="shared" si="5"/>
        <v>-0.33</v>
      </c>
      <c r="D12" s="198">
        <v>-1</v>
      </c>
      <c r="E12" s="248">
        <f t="shared" si="6"/>
        <v>4.5245969177206469E-2</v>
      </c>
      <c r="F12" s="249">
        <f t="shared" si="7"/>
        <v>2.4481469329493022E-2</v>
      </c>
      <c r="G12" s="248">
        <f t="shared" si="8"/>
        <v>7.6966976014376742E-2</v>
      </c>
      <c r="H12" s="249">
        <f t="shared" si="9"/>
        <v>-3.1721006837170274E-2</v>
      </c>
      <c r="I12" s="248">
        <f t="shared" si="10"/>
        <v>0.4970915530951574</v>
      </c>
      <c r="J12" s="249">
        <f t="shared" si="11"/>
        <v>0.17950819402071416</v>
      </c>
      <c r="K12" s="248">
        <f t="shared" si="12"/>
        <v>0.55863497288427455</v>
      </c>
      <c r="L12" s="249">
        <f t="shared" si="13"/>
        <v>-6.1543419789117149E-2</v>
      </c>
      <c r="M12" s="250"/>
      <c r="N12" s="24">
        <v>1</v>
      </c>
      <c r="O12" s="248">
        <f t="shared" si="35"/>
        <v>5.8392101551481002E-2</v>
      </c>
      <c r="P12" s="251">
        <f t="shared" si="36"/>
        <v>5.8392101551481002E-2</v>
      </c>
      <c r="Q12" s="248">
        <f t="shared" si="14"/>
        <v>0.16834489934700492</v>
      </c>
      <c r="R12" s="251">
        <f t="shared" si="37"/>
        <v>0.16834489934700492</v>
      </c>
      <c r="S12" s="250"/>
      <c r="T12" s="24">
        <v>-1</v>
      </c>
      <c r="U12" s="248">
        <f t="shared" si="15"/>
        <v>3.9555672020523458E-2</v>
      </c>
      <c r="V12" s="252">
        <f t="shared" si="16"/>
        <v>3.9555672020523458E-2</v>
      </c>
      <c r="W12" s="248">
        <f t="shared" si="38"/>
        <v>-0.21473678476452684</v>
      </c>
      <c r="X12" s="252">
        <f t="shared" si="17"/>
        <v>-0.21473678476452684</v>
      </c>
      <c r="Y12" s="248"/>
      <c r="Z12" s="252"/>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4</v>
      </c>
      <c r="AQ12" s="28">
        <f>VLOOKUP($A12,historia!$A$5:$CM$24,+HLOOKUP(AQ$2,historia!$A$3:$EC$4,2,FALSE),FALSE)</f>
        <v>4</v>
      </c>
      <c r="AR12" s="28">
        <f>VLOOKUP($A12,historia!$A$5:$CM$24,+HLOOKUP(AR$2,historia!$A$3:$EC$4,2,FALSE),FALSE)</f>
        <v>4</v>
      </c>
      <c r="AS12" s="28">
        <f>VLOOKUP($A12,historia!$A$5:$CM$24,+HLOOKUP(AS$2,historia!$A$3:$EC$4,2,FALSE),FALSE)</f>
        <v>3</v>
      </c>
      <c r="AT12" s="58">
        <f>VLOOKUP($A12,historia!$A$5:$CM$24,+HLOOKUP(AT$2,historia!$A$3:$EC$4,2,FALSE),FALSE)</f>
        <v>3</v>
      </c>
      <c r="AU12" s="58">
        <f>VLOOKUP($A12,historia!$A$5:$CM$24,+HLOOKUP(AU$2,historia!$A$3:$EC$4,2,FALSE),FALSE)</f>
        <v>3</v>
      </c>
      <c r="AV12" s="58">
        <f>VLOOKUP($A12,historia!$A$5:$CM$24,+HLOOKUP(AV$2,historia!$A$3:$EC$4,2,FALSE),FALSE)</f>
        <v>3</v>
      </c>
      <c r="AW12" s="58">
        <f>VLOOKUP($A12,historia!$A$5:$CM$24,+HLOOKUP(AW$2,historia!$A$3:$EC$4,2,FALSE),FALSE)</f>
        <v>3</v>
      </c>
      <c r="AX12" s="58">
        <f>VLOOKUP($A12,historia!$A$5:$CM$24,+HLOOKUP(AX$2,historia!$A$3:$EC$4,2,FALSE),FALSE)</f>
        <v>3</v>
      </c>
      <c r="AY12" s="58">
        <f>VLOOKUP($A12,historia!$A$5:$CM$24,+HLOOKUP(AY$2,historia!$A$3:$EC$4,2,FALSE),FALSE)</f>
        <v>2</v>
      </c>
      <c r="AZ12" s="58">
        <f>VLOOKUP($A12,historia!$A$5:$DG$24,+HLOOKUP(AZ$2,historia!$A$3:$EC$4,2,FALSE),FALSE)</f>
        <v>2</v>
      </c>
      <c r="BA12" s="58">
        <f>VLOOKUP($A12,historia!$A$5:$DG$24,+HLOOKUP(BA$2,historia!$A$3:$EC$4,2,FALSE),FALSE)</f>
        <v>1</v>
      </c>
      <c r="BB12" s="58"/>
      <c r="BC12" s="286">
        <v>1</v>
      </c>
      <c r="BD12" t="str">
        <f t="shared" si="20"/>
        <v>Granos</v>
      </c>
      <c r="BE12">
        <f>+datos!AE1</f>
        <v>31</v>
      </c>
      <c r="BF12" s="2" t="str">
        <f t="shared" si="4"/>
        <v>$/t</v>
      </c>
      <c r="BG12" s="2">
        <f t="shared" si="4"/>
        <v>316076.9693181818</v>
      </c>
      <c r="BH12" s="2">
        <f t="shared" si="4"/>
        <v>302394.82250000001</v>
      </c>
      <c r="BI12" s="2">
        <f t="shared" si="4"/>
        <v>211127.34800000003</v>
      </c>
      <c r="BK12">
        <f>+datos!CG1</f>
        <v>85</v>
      </c>
      <c r="BL12" s="2">
        <f t="shared" si="21"/>
        <v>12409.923455832171</v>
      </c>
      <c r="BM12" s="2">
        <f t="shared" si="21"/>
        <v>11523.030633454176</v>
      </c>
      <c r="BN12" s="2">
        <f t="shared" si="21"/>
        <v>7962.0460670579232</v>
      </c>
      <c r="BP12" s="1">
        <f>+datos!EA1</f>
        <v>131</v>
      </c>
      <c r="BQ12" s="1">
        <f t="shared" si="22"/>
        <v>37520000</v>
      </c>
      <c r="BR12" s="1">
        <f t="shared" si="22"/>
        <v>35450000</v>
      </c>
      <c r="BT12" s="1">
        <f>+datos!FV1</f>
        <v>178</v>
      </c>
      <c r="BU12" s="1">
        <f t="shared" si="23"/>
        <v>142600000</v>
      </c>
      <c r="BV12" s="1">
        <f t="shared" si="23"/>
        <v>122053000</v>
      </c>
      <c r="BX12" s="1">
        <f>+datos!LQ1</f>
        <v>329</v>
      </c>
      <c r="BY12" s="1">
        <f>+SUM(CJ12:CU12)</f>
        <v>44256.677991329998</v>
      </c>
      <c r="BZ12" s="1">
        <f t="shared" si="40"/>
        <v>42572.686756939998</v>
      </c>
      <c r="CB12" s="1">
        <f>+datos!LU1</f>
        <v>333</v>
      </c>
      <c r="CC12" s="2">
        <f t="shared" si="24"/>
        <v>2625.1341066599998</v>
      </c>
      <c r="CD12" s="2">
        <f t="shared" si="25"/>
        <v>3342.9989533799994</v>
      </c>
      <c r="CF12" s="1">
        <f>+datos!II1</f>
        <v>243</v>
      </c>
      <c r="CG12" s="1">
        <f t="shared" si="26"/>
        <v>85850000</v>
      </c>
      <c r="CH12" s="1">
        <f t="shared" si="27"/>
        <v>81600000</v>
      </c>
      <c r="CJ12" s="1">
        <f>+VLOOKUP(CJ$1,ran_dat,$BX12,FALSE)</f>
        <v>4396.9372515900004</v>
      </c>
      <c r="CK12" s="1">
        <f t="shared" si="28"/>
        <v>4336.2366958999992</v>
      </c>
      <c r="CL12" s="1">
        <f t="shared" si="28"/>
        <v>4557.75384975</v>
      </c>
      <c r="CM12" s="1">
        <f t="shared" si="28"/>
        <v>3762.5394987399995</v>
      </c>
      <c r="CN12" s="1">
        <f t="shared" si="28"/>
        <v>4220.2405017900001</v>
      </c>
      <c r="CO12" s="1">
        <f t="shared" si="28"/>
        <v>3699.5517639399995</v>
      </c>
      <c r="CP12" s="1">
        <f t="shared" si="28"/>
        <v>2719.5194464700007</v>
      </c>
      <c r="CQ12" s="1">
        <f t="shared" si="28"/>
        <v>3193.1112506200002</v>
      </c>
      <c r="CR12" s="1">
        <f t="shared" si="28"/>
        <v>3231.2263099199999</v>
      </c>
      <c r="CS12" s="1">
        <f t="shared" si="28"/>
        <v>3313.8442822299994</v>
      </c>
      <c r="CT12" s="1">
        <f t="shared" si="28"/>
        <v>3339.9998161899998</v>
      </c>
      <c r="CU12" s="1">
        <f t="shared" si="28"/>
        <v>3485.71732419</v>
      </c>
      <c r="CV12" s="1">
        <f t="shared" si="28"/>
        <v>3410.80431886</v>
      </c>
      <c r="CW12" s="1">
        <f t="shared" si="28"/>
        <v>3348.6268518899992</v>
      </c>
      <c r="CX12" s="1">
        <f t="shared" si="28"/>
        <v>4200.6671527199996</v>
      </c>
      <c r="CY12" s="1">
        <f t="shared" si="28"/>
        <v>4256.6159984299993</v>
      </c>
      <c r="CZ12" s="1">
        <f t="shared" si="29"/>
        <v>4805.0657855600002</v>
      </c>
      <c r="DA12" s="1">
        <f t="shared" si="29"/>
        <v>3818.0878160900002</v>
      </c>
      <c r="DB12" s="1">
        <f t="shared" si="29"/>
        <v>3876.9439553199995</v>
      </c>
      <c r="DC12" s="1">
        <f t="shared" si="29"/>
        <v>3089.4855235099994</v>
      </c>
      <c r="DD12" s="1">
        <f t="shared" si="29"/>
        <v>3929.1762735700004</v>
      </c>
      <c r="DE12" s="1">
        <f t="shared" si="29"/>
        <v>2955.6698254600001</v>
      </c>
      <c r="DF12" s="1">
        <f t="shared" si="29"/>
        <v>2441.9361675499999</v>
      </c>
      <c r="DG12" s="1">
        <f t="shared" si="29"/>
        <v>2439.6070879799995</v>
      </c>
      <c r="DI12" s="1">
        <f t="shared" si="30"/>
        <v>179.77004703999992</v>
      </c>
      <c r="DJ12" s="1">
        <f t="shared" si="30"/>
        <v>175.34564924</v>
      </c>
      <c r="DK12" s="1">
        <f t="shared" si="30"/>
        <v>241.51209269000003</v>
      </c>
      <c r="DL12" s="1">
        <f t="shared" si="30"/>
        <v>273.75200934999998</v>
      </c>
      <c r="DM12" s="1">
        <f t="shared" si="30"/>
        <v>304.19736033999999</v>
      </c>
      <c r="DN12" s="1">
        <f t="shared" si="30"/>
        <v>338.33098909999995</v>
      </c>
      <c r="DO12" s="1">
        <f t="shared" si="30"/>
        <v>239.40438782999996</v>
      </c>
      <c r="DP12" s="1">
        <f t="shared" si="30"/>
        <v>288.1429152</v>
      </c>
      <c r="DQ12" s="1">
        <f t="shared" si="30"/>
        <v>31.883400920000003</v>
      </c>
      <c r="DR12" s="1">
        <f t="shared" si="30"/>
        <v>52.19269714</v>
      </c>
      <c r="DS12" s="1">
        <f t="shared" si="30"/>
        <v>201.41567115000001</v>
      </c>
      <c r="DT12" s="1">
        <f t="shared" si="30"/>
        <v>299.18688666000003</v>
      </c>
      <c r="DU12" s="1">
        <f t="shared" si="30"/>
        <v>265.28366987999999</v>
      </c>
      <c r="DV12" s="1">
        <f t="shared" si="30"/>
        <v>214.60650260000006</v>
      </c>
      <c r="DW12" s="1">
        <f t="shared" si="30"/>
        <v>390.93673457</v>
      </c>
      <c r="DX12" s="1">
        <f t="shared" si="30"/>
        <v>293.37536226000003</v>
      </c>
      <c r="DY12" s="1">
        <f t="shared" si="31"/>
        <v>336.54852982999995</v>
      </c>
      <c r="DZ12" s="1">
        <f t="shared" si="31"/>
        <v>300.95428591999996</v>
      </c>
      <c r="EA12" s="1">
        <f t="shared" si="31"/>
        <v>389.85732896999997</v>
      </c>
      <c r="EB12" s="1">
        <f t="shared" si="31"/>
        <v>280.54397103999997</v>
      </c>
      <c r="EC12" s="1">
        <f t="shared" si="31"/>
        <v>63.525792080000002</v>
      </c>
      <c r="ED12" s="1">
        <f t="shared" si="31"/>
        <v>301.92103216000004</v>
      </c>
      <c r="EE12" s="1">
        <f t="shared" si="31"/>
        <v>260.76831764999997</v>
      </c>
      <c r="EF12" s="1">
        <f t="shared" si="31"/>
        <v>244.67742642000002</v>
      </c>
      <c r="EH12" s="14">
        <f t="shared" si="32"/>
        <v>85850000</v>
      </c>
      <c r="EI12" s="14">
        <f t="shared" si="32"/>
        <v>85820000</v>
      </c>
      <c r="EJ12" s="1">
        <f t="shared" si="32"/>
        <v>83320000</v>
      </c>
      <c r="EK12" s="1">
        <f t="shared" si="32"/>
        <v>83120000</v>
      </c>
      <c r="EL12" s="1">
        <f t="shared" si="32"/>
        <v>83420000</v>
      </c>
      <c r="EM12" s="1">
        <f t="shared" si="32"/>
        <v>83260000</v>
      </c>
      <c r="EN12" s="1">
        <f t="shared" si="32"/>
        <v>82660000</v>
      </c>
      <c r="EO12" s="1">
        <f t="shared" si="32"/>
        <v>83330000</v>
      </c>
      <c r="EP12" s="1">
        <f t="shared" si="32"/>
        <v>83330000</v>
      </c>
      <c r="EQ12" s="1">
        <f t="shared" si="32"/>
        <v>81580000</v>
      </c>
      <c r="ER12" s="1">
        <f t="shared" si="32"/>
        <v>81600000</v>
      </c>
      <c r="ES12" s="1">
        <f t="shared" si="32"/>
        <v>81600000</v>
      </c>
      <c r="ET12" s="1">
        <f t="shared" si="32"/>
        <v>81600000</v>
      </c>
      <c r="EU12" s="1">
        <f t="shared" si="32"/>
        <v>81600000</v>
      </c>
      <c r="EV12" s="1">
        <f t="shared" si="32"/>
        <v>81600000</v>
      </c>
      <c r="EW12" s="1">
        <f t="shared" si="32"/>
        <v>81600000</v>
      </c>
      <c r="EX12" s="1">
        <f t="shared" si="33"/>
        <v>81600000</v>
      </c>
      <c r="EY12" s="1">
        <f t="shared" si="33"/>
        <v>81600000</v>
      </c>
      <c r="EZ12" s="1">
        <f t="shared" si="33"/>
        <v>73750000</v>
      </c>
      <c r="FA12" s="1">
        <f t="shared" si="33"/>
        <v>73750000</v>
      </c>
      <c r="FB12" s="1">
        <f t="shared" si="33"/>
        <v>73450000</v>
      </c>
      <c r="FC12" s="1">
        <f t="shared" si="33"/>
        <v>73450000</v>
      </c>
      <c r="FD12" s="1">
        <f t="shared" si="33"/>
        <v>73450000</v>
      </c>
      <c r="FE12" s="1">
        <f t="shared" si="33"/>
        <v>73450000</v>
      </c>
      <c r="FG12" s="162">
        <f t="shared" si="34"/>
        <v>-6.1543419789117149E-2</v>
      </c>
    </row>
    <row r="13" spans="1:163" ht="18.75" customHeight="1">
      <c r="A13" s="244" t="s">
        <v>217</v>
      </c>
      <c r="B13" s="247"/>
      <c r="C13" s="228">
        <f t="shared" si="5"/>
        <v>0</v>
      </c>
      <c r="D13" s="229">
        <v>0</v>
      </c>
      <c r="E13" s="253">
        <f t="shared" si="6"/>
        <v>0.21082760737122475</v>
      </c>
      <c r="F13" s="254">
        <f t="shared" si="7"/>
        <v>0.1900631075235113</v>
      </c>
      <c r="G13" s="253">
        <f t="shared" si="8"/>
        <v>9.4233839352616533E-2</v>
      </c>
      <c r="H13" s="254">
        <f t="shared" si="9"/>
        <v>0.11659376801860821</v>
      </c>
      <c r="I13" s="253">
        <f t="shared" si="10"/>
        <v>-0.2098432827299247</v>
      </c>
      <c r="J13" s="254">
        <f t="shared" si="11"/>
        <v>-0.52742664180436793</v>
      </c>
      <c r="K13" s="253">
        <f t="shared" si="12"/>
        <v>0.20607203052979051</v>
      </c>
      <c r="L13" s="254">
        <f t="shared" si="13"/>
        <v>-0.4159153132597152</v>
      </c>
      <c r="M13" s="255"/>
      <c r="N13" s="256">
        <v>0</v>
      </c>
      <c r="O13" s="253">
        <f t="shared" si="35"/>
        <v>0</v>
      </c>
      <c r="P13" s="257">
        <f t="shared" si="36"/>
        <v>0</v>
      </c>
      <c r="Q13" s="253">
        <f t="shared" si="14"/>
        <v>0</v>
      </c>
      <c r="R13" s="257">
        <f t="shared" si="37"/>
        <v>0</v>
      </c>
      <c r="S13" s="255"/>
      <c r="T13" s="256">
        <v>0</v>
      </c>
      <c r="U13" s="253">
        <f t="shared" si="15"/>
        <v>-0.41928981966551027</v>
      </c>
      <c r="V13" s="258">
        <f t="shared" si="16"/>
        <v>-0.41928981966551027</v>
      </c>
      <c r="W13" s="253">
        <f t="shared" si="38"/>
        <v>-0.44415820428257968</v>
      </c>
      <c r="X13" s="258">
        <f t="shared" si="17"/>
        <v>-0.44415820428257968</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4</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5</v>
      </c>
      <c r="AY13" s="58">
        <f>VLOOKUP($A13,historia!$A$5:$CM$24,+HLOOKUP(AY$2,historia!$A$3:$EC$4,2,FALSE),FALSE)</f>
        <v>4</v>
      </c>
      <c r="AZ13" s="58">
        <f>VLOOKUP($A13,historia!$A$5:$DG$24,+HLOOKUP(AZ$2,historia!$A$3:$EC$4,2,FALSE),FALSE)</f>
        <v>5</v>
      </c>
      <c r="BA13" s="58">
        <f>VLOOKUP($A13,historia!$A$5:$DG$24,+HLOOKUP(BA$2,historia!$A$3:$EC$4,2,FALSE),FALSE)</f>
        <v>4</v>
      </c>
      <c r="BB13" s="58"/>
      <c r="BC13" s="286">
        <v>4</v>
      </c>
      <c r="BD13" t="str">
        <f t="shared" si="20"/>
        <v>Hortalizas</v>
      </c>
      <c r="BE13">
        <f>+datos!BB1</f>
        <v>54</v>
      </c>
      <c r="BF13" s="2" t="str">
        <f t="shared" si="4"/>
        <v>$/kg</v>
      </c>
      <c r="BG13" s="2">
        <f t="shared" si="4"/>
        <v>11952.680294750788</v>
      </c>
      <c r="BH13" s="2">
        <f t="shared" si="4"/>
        <v>9871.4963401773875</v>
      </c>
      <c r="BI13" s="2">
        <f t="shared" si="4"/>
        <v>15126.974223602487</v>
      </c>
      <c r="BK13">
        <f>+datos!CO1</f>
        <v>93</v>
      </c>
      <c r="BL13" s="2">
        <f t="shared" si="21"/>
        <v>12022.092502086187</v>
      </c>
      <c r="BM13" s="2">
        <f t="shared" si="21"/>
        <v>10986.767242730162</v>
      </c>
      <c r="BN13" s="2">
        <f t="shared" si="21"/>
        <v>9967.9722253448235</v>
      </c>
      <c r="BP13" s="1">
        <f>+datos!EX1</f>
        <v>154</v>
      </c>
      <c r="BQ13" s="1">
        <f t="shared" si="22"/>
        <v>64395</v>
      </c>
      <c r="BR13" s="1">
        <f t="shared" si="22"/>
        <v>64395</v>
      </c>
      <c r="BT13" s="1">
        <f>+datos!GN1</f>
        <v>196</v>
      </c>
      <c r="BU13" s="1">
        <f t="shared" si="23"/>
        <v>2639386</v>
      </c>
      <c r="BV13" s="1">
        <f t="shared" si="23"/>
        <v>2639386</v>
      </c>
      <c r="BX13" s="1">
        <f>+datos!LR1</f>
        <v>330</v>
      </c>
      <c r="BY13" s="1">
        <f t="shared" si="39"/>
        <v>43.045627260000003</v>
      </c>
      <c r="BZ13" s="1">
        <f t="shared" si="40"/>
        <v>74.125835429999995</v>
      </c>
      <c r="CB13" s="1">
        <f>+datos!LV1</f>
        <v>334</v>
      </c>
      <c r="CC13" s="2">
        <f t="shared" si="24"/>
        <v>18.8374004</v>
      </c>
      <c r="CD13" s="2">
        <f t="shared" si="25"/>
        <v>33.889859569999999</v>
      </c>
      <c r="CF13" s="1">
        <f>+datos!IX1</f>
        <v>258</v>
      </c>
      <c r="CG13" s="1">
        <f t="shared" si="26"/>
        <v>0</v>
      </c>
      <c r="CH13" s="1">
        <f t="shared" si="27"/>
        <v>0</v>
      </c>
      <c r="CJ13" s="1">
        <f t="shared" si="28"/>
        <v>0.99519284000000008</v>
      </c>
      <c r="CK13" s="1">
        <f t="shared" si="28"/>
        <v>2.3842983399999995</v>
      </c>
      <c r="CL13" s="1">
        <f t="shared" si="28"/>
        <v>1.9006323699999998</v>
      </c>
      <c r="CM13" s="1">
        <f t="shared" si="28"/>
        <v>5.6300601800000001</v>
      </c>
      <c r="CN13" s="1">
        <f t="shared" si="28"/>
        <v>10.78719353</v>
      </c>
      <c r="CO13" s="1">
        <f t="shared" si="28"/>
        <v>6.6589734299999996</v>
      </c>
      <c r="CP13" s="1">
        <f t="shared" si="28"/>
        <v>4.7972503099999999</v>
      </c>
      <c r="CQ13" s="1">
        <f t="shared" si="28"/>
        <v>3.6808061599999999</v>
      </c>
      <c r="CR13" s="1">
        <f t="shared" si="28"/>
        <v>1.7265838599999999</v>
      </c>
      <c r="CS13" s="1">
        <f t="shared" si="28"/>
        <v>1.1603474899999999</v>
      </c>
      <c r="CT13" s="1">
        <f t="shared" si="28"/>
        <v>1.6220564799999999</v>
      </c>
      <c r="CU13" s="1">
        <f t="shared" si="28"/>
        <v>1.7022322700000001</v>
      </c>
      <c r="CV13" s="1">
        <f t="shared" si="28"/>
        <v>2.1800094999999997</v>
      </c>
      <c r="CW13" s="1">
        <f t="shared" si="28"/>
        <v>0.89152303000000011</v>
      </c>
      <c r="CX13" s="1">
        <f t="shared" si="28"/>
        <v>2.22092468</v>
      </c>
      <c r="CY13" s="1">
        <f t="shared" si="28"/>
        <v>5.6369490100000004</v>
      </c>
      <c r="CZ13" s="1">
        <f t="shared" si="29"/>
        <v>11.964288460000001</v>
      </c>
      <c r="DA13" s="1">
        <f t="shared" si="29"/>
        <v>14.874595200000002</v>
      </c>
      <c r="DB13" s="1">
        <f t="shared" si="29"/>
        <v>12.356255849999998</v>
      </c>
      <c r="DC13" s="1">
        <f t="shared" si="29"/>
        <v>7.66143427</v>
      </c>
      <c r="DD13" s="1">
        <f t="shared" si="29"/>
        <v>3.9700200400000001</v>
      </c>
      <c r="DE13" s="1">
        <f t="shared" si="29"/>
        <v>4.244482989999999</v>
      </c>
      <c r="DF13" s="1">
        <f t="shared" si="29"/>
        <v>3.7692072699999999</v>
      </c>
      <c r="DG13" s="1">
        <f t="shared" si="29"/>
        <v>4.3561451300000007</v>
      </c>
      <c r="DI13" s="1">
        <f t="shared" si="30"/>
        <v>2.5185445399999997</v>
      </c>
      <c r="DJ13" s="1">
        <f t="shared" si="30"/>
        <v>1.4155427900000002</v>
      </c>
      <c r="DK13" s="1">
        <f t="shared" si="30"/>
        <v>1.5956283999999996</v>
      </c>
      <c r="DL13" s="1">
        <f t="shared" si="30"/>
        <v>1.7945534399999996</v>
      </c>
      <c r="DM13" s="1">
        <f t="shared" si="30"/>
        <v>2.7487028499999995</v>
      </c>
      <c r="DN13" s="1">
        <f t="shared" si="30"/>
        <v>0.73139703</v>
      </c>
      <c r="DO13" s="1">
        <f t="shared" si="30"/>
        <v>0.52205221000000002</v>
      </c>
      <c r="DP13" s="1">
        <f t="shared" si="30"/>
        <v>0.27889262000000004</v>
      </c>
      <c r="DQ13" s="1">
        <f t="shared" si="30"/>
        <v>0.43588088999999991</v>
      </c>
      <c r="DR13" s="1">
        <f t="shared" si="30"/>
        <v>0.25163443000000002</v>
      </c>
      <c r="DS13" s="1">
        <f t="shared" si="30"/>
        <v>1.8307121500000001</v>
      </c>
      <c r="DT13" s="1">
        <f t="shared" si="30"/>
        <v>4.7138590499999999</v>
      </c>
      <c r="DU13" s="1">
        <f t="shared" si="30"/>
        <v>10.280953719999999</v>
      </c>
      <c r="DV13" s="1">
        <f t="shared" si="30"/>
        <v>10.078043539999999</v>
      </c>
      <c r="DW13" s="1">
        <f t="shared" si="30"/>
        <v>5.0525632100000006</v>
      </c>
      <c r="DX13" s="1">
        <f t="shared" si="30"/>
        <v>1.5134803299999999</v>
      </c>
      <c r="DY13" s="1">
        <f t="shared" si="31"/>
        <v>1.5645213200000003</v>
      </c>
      <c r="DZ13" s="1">
        <f t="shared" si="31"/>
        <v>0.17069466</v>
      </c>
      <c r="EA13" s="1">
        <f t="shared" si="31"/>
        <v>5.8121779999999998E-2</v>
      </c>
      <c r="EB13" s="1">
        <f t="shared" si="31"/>
        <v>0.22874177000000001</v>
      </c>
      <c r="EC13" s="1">
        <f t="shared" si="31"/>
        <v>6.8422739999999996E-2</v>
      </c>
      <c r="ED13" s="1">
        <f t="shared" si="31"/>
        <v>1.38860757</v>
      </c>
      <c r="EE13" s="1">
        <f t="shared" si="31"/>
        <v>1.9631409899999996</v>
      </c>
      <c r="EF13" s="1">
        <f t="shared" si="31"/>
        <v>1.5225679400000001</v>
      </c>
      <c r="EH13" s="14">
        <f t="shared" si="32"/>
        <v>0</v>
      </c>
      <c r="EI13" s="14">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3"/>
        <v>0</v>
      </c>
      <c r="EY13" s="1">
        <f t="shared" si="33"/>
        <v>0</v>
      </c>
      <c r="EZ13" s="1">
        <f t="shared" si="33"/>
        <v>0</v>
      </c>
      <c r="FA13" s="1">
        <f t="shared" si="33"/>
        <v>0</v>
      </c>
      <c r="FB13" s="1">
        <f t="shared" si="33"/>
        <v>0</v>
      </c>
      <c r="FC13" s="1">
        <f t="shared" si="33"/>
        <v>0</v>
      </c>
      <c r="FD13" s="1">
        <f t="shared" si="33"/>
        <v>0</v>
      </c>
      <c r="FE13" s="1">
        <f t="shared" si="33"/>
        <v>0</v>
      </c>
      <c r="FG13" s="162">
        <f t="shared" si="34"/>
        <v>-0.4159153132597152</v>
      </c>
    </row>
    <row r="14" spans="1:163" ht="18" customHeight="1">
      <c r="A14" s="243" t="s">
        <v>65</v>
      </c>
      <c r="B14" s="246"/>
      <c r="C14" s="156">
        <f t="shared" si="5"/>
        <v>-0.33</v>
      </c>
      <c r="D14" s="198">
        <v>1</v>
      </c>
      <c r="E14" s="248">
        <f t="shared" si="6"/>
        <v>1.8153417486386214E-3</v>
      </c>
      <c r="F14" s="249">
        <f t="shared" si="7"/>
        <v>-1.8949158099074825E-2</v>
      </c>
      <c r="G14" s="248">
        <f t="shared" si="8"/>
        <v>5.7921206042744311E-2</v>
      </c>
      <c r="H14" s="249">
        <f t="shared" si="9"/>
        <v>-5.610586429410569E-2</v>
      </c>
      <c r="I14" s="248">
        <f t="shared" si="10"/>
        <v>0.11361396592988871</v>
      </c>
      <c r="J14" s="249">
        <f t="shared" si="11"/>
        <v>-0.20396939314455453</v>
      </c>
      <c r="K14" s="248">
        <f t="shared" si="12"/>
        <v>0.37756459905259954</v>
      </c>
      <c r="L14" s="249">
        <f t="shared" si="13"/>
        <v>-0.26395063312271083</v>
      </c>
      <c r="M14" s="250"/>
      <c r="N14" s="24">
        <v>-1</v>
      </c>
      <c r="O14" s="248">
        <f t="shared" si="35"/>
        <v>-0.11027195431139813</v>
      </c>
      <c r="P14" s="251">
        <f t="shared" si="36"/>
        <v>-0.11027195431139813</v>
      </c>
      <c r="Q14" s="248">
        <f t="shared" si="14"/>
        <v>0.11141443398572393</v>
      </c>
      <c r="R14" s="251">
        <f t="shared" si="37"/>
        <v>0.11141443398572393</v>
      </c>
      <c r="S14" s="250"/>
      <c r="T14" s="24">
        <v>-1</v>
      </c>
      <c r="U14" s="248">
        <f t="shared" si="15"/>
        <v>0.16387195138851895</v>
      </c>
      <c r="V14" s="252">
        <f t="shared" si="16"/>
        <v>0.16387195138851895</v>
      </c>
      <c r="W14" s="248">
        <f t="shared" si="38"/>
        <v>0.41447061829546916</v>
      </c>
      <c r="X14" s="252">
        <f t="shared" si="17"/>
        <v>0.41447061829546916</v>
      </c>
      <c r="Y14" s="248">
        <f t="shared" si="18"/>
        <v>0.13698630136986312</v>
      </c>
      <c r="Z14" s="252">
        <f t="shared" si="19"/>
        <v>0.13698630136986312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4</v>
      </c>
      <c r="AR14" s="28">
        <f>VLOOKUP($A14,historia!$A$5:$CM$24,+HLOOKUP(AR$2,historia!$A$3:$EC$4,2,FALSE),FALSE)</f>
        <v>4</v>
      </c>
      <c r="AS14" s="28">
        <f>VLOOKUP($A14,historia!$A$5:$CM$24,+HLOOKUP(AS$2,historia!$A$3:$EC$4,2,FALSE),FALSE)</f>
        <v>3</v>
      </c>
      <c r="AT14" s="58">
        <f>VLOOKUP($A14,historia!$A$5:$CM$24,+HLOOKUP(AT$2,historia!$A$3:$EC$4,2,FALSE),FALSE)</f>
        <v>3</v>
      </c>
      <c r="AU14" s="58">
        <f>VLOOKUP($A14,historia!$A$5:$CM$24,+HLOOKUP(AU$2,historia!$A$3:$EC$4,2,FALSE),FALSE)</f>
        <v>3</v>
      </c>
      <c r="AV14" s="58">
        <f>VLOOKUP($A14,historia!$A$5:$CM$24,+HLOOKUP(AV$2,historia!$A$3:$EC$4,2,FALSE),FALSE)</f>
        <v>3</v>
      </c>
      <c r="AW14" s="58">
        <f>VLOOKUP($A14,historia!$A$5:$CM$24,+HLOOKUP(AW$2,historia!$A$3:$EC$4,2,FALSE),FALSE)</f>
        <v>3</v>
      </c>
      <c r="AX14" s="58">
        <f>VLOOKUP($A14,historia!$A$5:$CM$24,+HLOOKUP(AX$2,historia!$A$3:$EC$4,2,FALSE),FALSE)</f>
        <v>3</v>
      </c>
      <c r="AY14" s="58">
        <f>VLOOKUP($A14,historia!$A$5:$CM$24,+HLOOKUP(AY$2,historia!$A$3:$EC$4,2,FALSE),FALSE)</f>
        <v>3</v>
      </c>
      <c r="AZ14" s="58">
        <f>VLOOKUP($A14,historia!$A$5:$DG$24,+HLOOKUP(AZ$2,historia!$A$3:$EC$4,2,FALSE),FALSE)</f>
        <v>3</v>
      </c>
      <c r="BA14" s="58">
        <f>VLOOKUP($A14,historia!$A$5:$DG$24,+HLOOKUP(BA$2,historia!$A$3:$EC$4,2,FALSE),FALSE)</f>
        <v>3</v>
      </c>
      <c r="BB14" s="58"/>
      <c r="BC14" s="286">
        <v>3</v>
      </c>
      <c r="BD14" t="str">
        <f t="shared" si="20"/>
        <v>Leche</v>
      </c>
      <c r="BE14">
        <f>+datos!BN1</f>
        <v>66</v>
      </c>
      <c r="BF14" s="2" t="str">
        <f t="shared" si="4"/>
        <v>$/l</v>
      </c>
      <c r="BG14" s="487">
        <f t="shared" si="4"/>
        <v>474.6</v>
      </c>
      <c r="BH14" s="487">
        <f t="shared" si="4"/>
        <v>473.74</v>
      </c>
      <c r="BI14" s="487">
        <f t="shared" si="4"/>
        <v>426.18</v>
      </c>
      <c r="BK14">
        <f>+datos!DC1</f>
        <v>107</v>
      </c>
      <c r="BL14" s="2">
        <f t="shared" si="21"/>
        <v>12034.476164000749</v>
      </c>
      <c r="BM14" s="2">
        <f t="shared" si="21"/>
        <v>11375.588366374526</v>
      </c>
      <c r="BN14" s="2">
        <f t="shared" si="21"/>
        <v>8736.0521403332295</v>
      </c>
      <c r="BP14" s="1">
        <f>+datos!EN1</f>
        <v>144</v>
      </c>
      <c r="BQ14" s="1">
        <f t="shared" si="22"/>
        <v>2820421</v>
      </c>
      <c r="BR14" s="1">
        <f t="shared" si="22"/>
        <v>3169981</v>
      </c>
      <c r="BT14" s="1">
        <f>+datos!HP1</f>
        <v>224</v>
      </c>
      <c r="BU14" s="1">
        <f t="shared" si="23"/>
        <v>11516.750502999999</v>
      </c>
      <c r="BV14" s="1">
        <f t="shared" si="23"/>
        <v>10362.246656900923</v>
      </c>
      <c r="BX14" s="1">
        <f>+datos!KH1</f>
        <v>294</v>
      </c>
      <c r="BY14" s="1">
        <f t="shared" si="39"/>
        <v>1800.6833765800002</v>
      </c>
      <c r="BZ14" s="1">
        <f t="shared" si="40"/>
        <v>1547.1490437000002</v>
      </c>
      <c r="CB14" s="1">
        <f>+datos!LM1</f>
        <v>325</v>
      </c>
      <c r="CC14" s="2">
        <f t="shared" si="24"/>
        <v>28.203995880000004</v>
      </c>
      <c r="CD14" s="2">
        <f t="shared" si="25"/>
        <v>19.939612400000001</v>
      </c>
      <c r="CF14" s="1">
        <f>+datos!IN1</f>
        <v>248</v>
      </c>
      <c r="CG14" s="1">
        <f t="shared" si="26"/>
        <v>182.6</v>
      </c>
      <c r="CH14" s="1">
        <f t="shared" si="27"/>
        <v>160.6</v>
      </c>
      <c r="CJ14" s="1">
        <f t="shared" si="28"/>
        <v>202.06812983999998</v>
      </c>
      <c r="CK14" s="1">
        <f t="shared" si="28"/>
        <v>166.18279023000005</v>
      </c>
      <c r="CL14" s="1">
        <f t="shared" si="28"/>
        <v>145.54293837</v>
      </c>
      <c r="CM14" s="1">
        <f t="shared" si="28"/>
        <v>161.52973046</v>
      </c>
      <c r="CN14" s="1">
        <f t="shared" si="28"/>
        <v>135.14119298</v>
      </c>
      <c r="CO14" s="1">
        <f t="shared" si="28"/>
        <v>121.87302321000003</v>
      </c>
      <c r="CP14" s="1">
        <f t="shared" si="28"/>
        <v>90.118424640000015</v>
      </c>
      <c r="CQ14" s="1">
        <f t="shared" si="28"/>
        <v>158.22857195999995</v>
      </c>
      <c r="CR14" s="1">
        <f t="shared" si="28"/>
        <v>133.12937443000001</v>
      </c>
      <c r="CS14" s="1">
        <f t="shared" si="28"/>
        <v>150.81206259999999</v>
      </c>
      <c r="CT14" s="1">
        <f t="shared" si="28"/>
        <v>173.78517034999999</v>
      </c>
      <c r="CU14" s="1">
        <f t="shared" si="28"/>
        <v>162.27196751000002</v>
      </c>
      <c r="CV14" s="1">
        <f t="shared" si="28"/>
        <v>136.36151781000004</v>
      </c>
      <c r="CW14" s="1">
        <f t="shared" si="28"/>
        <v>114.33182424</v>
      </c>
      <c r="CX14" s="1">
        <f t="shared" si="28"/>
        <v>131.64359017999999</v>
      </c>
      <c r="CY14" s="1">
        <f t="shared" si="28"/>
        <v>102.41564730000002</v>
      </c>
      <c r="CZ14" s="1">
        <f t="shared" si="29"/>
        <v>113.57779348999999</v>
      </c>
      <c r="DA14" s="1">
        <f t="shared" si="29"/>
        <v>118.3786056</v>
      </c>
      <c r="DB14" s="1">
        <f t="shared" si="29"/>
        <v>126.46519539000002</v>
      </c>
      <c r="DC14" s="1">
        <f t="shared" si="29"/>
        <v>140.50614890000003</v>
      </c>
      <c r="DD14" s="1">
        <f t="shared" si="29"/>
        <v>139.44218023000002</v>
      </c>
      <c r="DE14" s="1">
        <f t="shared" si="29"/>
        <v>153.04661877999999</v>
      </c>
      <c r="DF14" s="1">
        <f t="shared" si="29"/>
        <v>136.81239812999999</v>
      </c>
      <c r="DG14" s="1">
        <f t="shared" si="29"/>
        <v>134.16752365000002</v>
      </c>
      <c r="DI14" s="1">
        <f t="shared" si="30"/>
        <v>2.7814752500000006</v>
      </c>
      <c r="DJ14" s="1">
        <f t="shared" si="30"/>
        <v>1.95823569</v>
      </c>
      <c r="DK14" s="1">
        <f t="shared" si="30"/>
        <v>2.3716850700000007</v>
      </c>
      <c r="DL14" s="1">
        <f t="shared" si="30"/>
        <v>3.2200157200000006</v>
      </c>
      <c r="DM14" s="1">
        <f t="shared" si="30"/>
        <v>2.3449699800000001</v>
      </c>
      <c r="DN14" s="1">
        <f t="shared" si="30"/>
        <v>1.8496573299999999</v>
      </c>
      <c r="DO14" s="1">
        <f t="shared" si="30"/>
        <v>2.6840408</v>
      </c>
      <c r="DP14" s="1">
        <f t="shared" si="30"/>
        <v>2.90139879</v>
      </c>
      <c r="DQ14" s="1">
        <f t="shared" si="30"/>
        <v>2.9139955600000005</v>
      </c>
      <c r="DR14" s="1">
        <f t="shared" si="30"/>
        <v>1.6254967600000001</v>
      </c>
      <c r="DS14" s="1">
        <f t="shared" si="30"/>
        <v>2.6289957100000003</v>
      </c>
      <c r="DT14" s="1">
        <f t="shared" si="30"/>
        <v>0.92402921999999987</v>
      </c>
      <c r="DU14" s="1">
        <f t="shared" si="30"/>
        <v>1.0080099199999999</v>
      </c>
      <c r="DV14" s="1">
        <f t="shared" si="30"/>
        <v>0.81005326000000022</v>
      </c>
      <c r="DW14" s="1">
        <f t="shared" si="30"/>
        <v>2.5429137699999997</v>
      </c>
      <c r="DX14" s="1">
        <f t="shared" si="30"/>
        <v>0.83472519000000012</v>
      </c>
      <c r="DY14" s="1">
        <f t="shared" si="31"/>
        <v>1.6658761100000001</v>
      </c>
      <c r="DZ14" s="1">
        <f t="shared" si="31"/>
        <v>1.6724867599999997</v>
      </c>
      <c r="EA14" s="1">
        <f t="shared" si="31"/>
        <v>1.92660527</v>
      </c>
      <c r="EB14" s="1">
        <f t="shared" si="31"/>
        <v>0.38991597</v>
      </c>
      <c r="EC14" s="1">
        <f t="shared" si="31"/>
        <v>3.0425877200000002</v>
      </c>
      <c r="ED14" s="1">
        <f t="shared" si="31"/>
        <v>1.8227840799999999</v>
      </c>
      <c r="EE14" s="1">
        <f t="shared" si="31"/>
        <v>2.1288867499999999</v>
      </c>
      <c r="EF14" s="1">
        <f t="shared" si="31"/>
        <v>2.0947676</v>
      </c>
      <c r="EH14" s="14">
        <f t="shared" si="32"/>
        <v>182.6</v>
      </c>
      <c r="EI14" s="14">
        <f t="shared" si="32"/>
        <v>185.2</v>
      </c>
      <c r="EJ14" s="1">
        <f t="shared" si="32"/>
        <v>188.7</v>
      </c>
      <c r="EK14" s="1">
        <f t="shared" si="32"/>
        <v>191.3</v>
      </c>
      <c r="EL14" s="1">
        <f t="shared" si="32"/>
        <v>195.7</v>
      </c>
      <c r="EM14" s="1">
        <f t="shared" si="32"/>
        <v>194.1</v>
      </c>
      <c r="EN14" s="1">
        <f t="shared" si="32"/>
        <v>191</v>
      </c>
      <c r="EO14" s="1">
        <f t="shared" si="32"/>
        <v>181.1</v>
      </c>
      <c r="EP14" s="1">
        <f t="shared" si="32"/>
        <v>170.3</v>
      </c>
      <c r="EQ14" s="1">
        <f t="shared" si="32"/>
        <v>170.9</v>
      </c>
      <c r="ER14" s="1">
        <f t="shared" si="32"/>
        <v>168.7</v>
      </c>
      <c r="ES14" s="1">
        <f t="shared" si="32"/>
        <v>160.6</v>
      </c>
      <c r="ET14" s="1">
        <f t="shared" si="32"/>
        <v>160.6</v>
      </c>
      <c r="EU14" s="1">
        <f t="shared" si="32"/>
        <v>160.6</v>
      </c>
      <c r="EV14" s="1">
        <f t="shared" si="32"/>
        <v>160.6</v>
      </c>
      <c r="EW14" s="1">
        <f t="shared" si="32"/>
        <v>156.30000000000001</v>
      </c>
      <c r="EX14" s="1">
        <f t="shared" si="33"/>
        <v>155.80000000000001</v>
      </c>
      <c r="EY14" s="1">
        <f t="shared" si="33"/>
        <v>159.5</v>
      </c>
      <c r="EZ14" s="1">
        <f t="shared" si="33"/>
        <v>170.8</v>
      </c>
      <c r="FA14" s="1">
        <f t="shared" si="33"/>
        <v>170.8</v>
      </c>
      <c r="FB14" s="1">
        <f t="shared" si="33"/>
        <v>187.7</v>
      </c>
      <c r="FC14" s="1">
        <f t="shared" si="33"/>
        <v>196.8</v>
      </c>
      <c r="FD14" s="1">
        <f t="shared" si="33"/>
        <v>196.8</v>
      </c>
      <c r="FE14" s="1">
        <f t="shared" si="33"/>
        <v>188.6</v>
      </c>
      <c r="FG14" s="162">
        <f t="shared" si="34"/>
        <v>-0.26395063312271083</v>
      </c>
    </row>
    <row r="15" spans="1:163" ht="18.75" customHeight="1">
      <c r="A15" s="244" t="s">
        <v>68</v>
      </c>
      <c r="B15" s="247"/>
      <c r="C15" s="228">
        <v>0</v>
      </c>
      <c r="D15" s="229">
        <v>-1</v>
      </c>
      <c r="E15" s="253">
        <f t="shared" si="6"/>
        <v>0.12719552209998075</v>
      </c>
      <c r="F15" s="254">
        <f t="shared" si="7"/>
        <v>0.1064310222522673</v>
      </c>
      <c r="G15" s="253">
        <f t="shared" si="8"/>
        <v>5.8777782083463403E-2</v>
      </c>
      <c r="H15" s="254">
        <f t="shared" si="9"/>
        <v>6.8417740016517348E-2</v>
      </c>
      <c r="I15" s="253">
        <f t="shared" si="10"/>
        <v>0.45549489674816046</v>
      </c>
      <c r="J15" s="254">
        <f t="shared" si="11"/>
        <v>0.13791153767371722</v>
      </c>
      <c r="K15" s="253">
        <f t="shared" si="12"/>
        <v>0.39929206889044577</v>
      </c>
      <c r="L15" s="254">
        <f t="shared" si="13"/>
        <v>5.6202827857714688E-2</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0.43827796931387186</v>
      </c>
      <c r="X15" s="258">
        <f t="shared" si="17"/>
        <v>0.43827796931387186</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5</v>
      </c>
      <c r="AQ15" s="28">
        <f>VLOOKUP($A15,historia!$A$5:$CM$24,+HLOOKUP(AQ$2,historia!$A$3:$EC$4,2,FALSE),FALSE)</f>
        <v>5</v>
      </c>
      <c r="AR15" s="28">
        <f>VLOOKUP($A15,historia!$A$5:$CM$24,+HLOOKUP(AR$2,historia!$A$3:$EC$4,2,FALSE),FALSE)</f>
        <v>5</v>
      </c>
      <c r="AS15" s="28">
        <f>VLOOKUP($A15,historia!$A$5:$CM$24,+HLOOKUP(AS$2,historia!$A$3:$EC$4,2,FALSE),FALSE)</f>
        <v>5</v>
      </c>
      <c r="AT15" s="58">
        <f>VLOOKUP($A15,historia!$A$5:$CM$24,+HLOOKUP(AT$2,historia!$A$3:$EC$4,2,FALSE),FALSE)</f>
        <v>5</v>
      </c>
      <c r="AU15" s="58">
        <f>VLOOKUP($A15,historia!$A$5:$CM$24,+HLOOKUP(AU$2,historia!$A$3:$EC$4,2,FALSE),FALSE)</f>
        <v>4</v>
      </c>
      <c r="AV15" s="58">
        <f>VLOOKUP($A15,historia!$A$5:$CM$24,+HLOOKUP(AV$2,historia!$A$3:$EC$4,2,FALSE),FALSE)</f>
        <v>4</v>
      </c>
      <c r="AW15" s="58">
        <f>VLOOKUP($A15,historia!$A$5:$CM$24,+HLOOKUP(AW$2,historia!$A$3:$EC$4,2,FALSE),FALSE)</f>
        <v>4</v>
      </c>
      <c r="AX15" s="58">
        <f>VLOOKUP($A15,historia!$A$5:$CM$24,+HLOOKUP(AX$2,historia!$A$3:$EC$4,2,FALSE),FALSE)</f>
        <v>4</v>
      </c>
      <c r="AY15" s="58">
        <f>VLOOKUP($A15,historia!$A$5:$CM$24,+HLOOKUP(AY$2,historia!$A$3:$EC$4,2,FALSE),FALSE)</f>
        <v>4</v>
      </c>
      <c r="AZ15" s="58">
        <f>VLOOKUP($A15,historia!$A$5:$DG$24,+HLOOKUP(AZ$2,historia!$A$3:$EC$4,2,FALSE),FALSE)</f>
        <v>3</v>
      </c>
      <c r="BA15" s="58">
        <f>VLOOKUP($A15,historia!$A$5:$DG$24,+HLOOKUP(BA$2,historia!$A$3:$EC$4,2,FALSE),FALSE)</f>
        <v>3</v>
      </c>
      <c r="BB15" s="58"/>
      <c r="BC15" s="286">
        <v>3</v>
      </c>
      <c r="BD15" t="str">
        <f t="shared" si="20"/>
        <v>Mandioca</v>
      </c>
      <c r="BE15">
        <f>+datos!AW1</f>
        <v>49</v>
      </c>
      <c r="BF15" s="2" t="str">
        <f t="shared" si="4"/>
        <v>$/bolsa40kg</v>
      </c>
      <c r="BG15" s="2">
        <f t="shared" si="4"/>
        <v>13272.727272727272</v>
      </c>
      <c r="BH15" s="2">
        <f t="shared" si="4"/>
        <v>11775</v>
      </c>
      <c r="BI15" s="2">
        <f t="shared" si="4"/>
        <v>9119.0476190476184</v>
      </c>
      <c r="BK15">
        <f>+datos!CJ1</f>
        <v>88</v>
      </c>
      <c r="BL15" s="2">
        <f t="shared" si="21"/>
        <v>10992.809897718589</v>
      </c>
      <c r="BM15" s="2">
        <f t="shared" si="21"/>
        <v>10382.546823080225</v>
      </c>
      <c r="BN15" s="2">
        <f t="shared" si="21"/>
        <v>7855.9795643201387</v>
      </c>
      <c r="BP15" s="1">
        <f>+datos!EY1</f>
        <v>155</v>
      </c>
      <c r="BQ15" s="1">
        <f t="shared" si="22"/>
        <v>20031</v>
      </c>
      <c r="BR15" s="1">
        <f t="shared" si="22"/>
        <v>20031</v>
      </c>
      <c r="BT15" s="1">
        <f>+datos!GO1</f>
        <v>197</v>
      </c>
      <c r="BU15" s="1">
        <f t="shared" si="23"/>
        <v>201734</v>
      </c>
      <c r="BV15" s="1">
        <f t="shared" si="23"/>
        <v>201734</v>
      </c>
      <c r="BX15" s="1">
        <f>+datos!JP1</f>
        <v>276</v>
      </c>
      <c r="BY15" s="1">
        <f t="shared" si="39"/>
        <v>0</v>
      </c>
      <c r="BZ15" s="1">
        <f t="shared" si="40"/>
        <v>0</v>
      </c>
      <c r="CB15" s="1">
        <f>+datos!KU1</f>
        <v>307</v>
      </c>
      <c r="CC15" s="2">
        <f t="shared" si="24"/>
        <v>3.1464484399999999</v>
      </c>
      <c r="CD15" s="2">
        <f t="shared" si="25"/>
        <v>2.1876497500000003</v>
      </c>
      <c r="CF15" s="1">
        <f>+datos!IY1</f>
        <v>259</v>
      </c>
      <c r="CG15" s="1">
        <f t="shared" si="26"/>
        <v>1.88</v>
      </c>
      <c r="CH15" s="1">
        <f t="shared" si="27"/>
        <v>1.88</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9"/>
        <v>0</v>
      </c>
      <c r="DA15" s="1">
        <f t="shared" si="29"/>
        <v>0</v>
      </c>
      <c r="DB15" s="1">
        <f t="shared" si="29"/>
        <v>0</v>
      </c>
      <c r="DC15" s="1">
        <f t="shared" si="29"/>
        <v>0</v>
      </c>
      <c r="DD15" s="1">
        <f t="shared" si="29"/>
        <v>0</v>
      </c>
      <c r="DE15" s="1">
        <f t="shared" si="29"/>
        <v>0</v>
      </c>
      <c r="DF15" s="1">
        <f t="shared" si="29"/>
        <v>0</v>
      </c>
      <c r="DG15" s="1">
        <f t="shared" si="29"/>
        <v>0</v>
      </c>
      <c r="DI15" s="14">
        <f t="shared" si="30"/>
        <v>0.45279353000000006</v>
      </c>
      <c r="DJ15" s="14">
        <f t="shared" si="30"/>
        <v>0.30456642</v>
      </c>
      <c r="DK15" s="1">
        <f t="shared" si="30"/>
        <v>0.53543670999999993</v>
      </c>
      <c r="DL15" s="1">
        <f t="shared" si="30"/>
        <v>0.43177300000000002</v>
      </c>
      <c r="DM15" s="1">
        <f t="shared" si="30"/>
        <v>0.33740116000000003</v>
      </c>
      <c r="DN15" s="1">
        <f t="shared" si="30"/>
        <v>0.28762799999999999</v>
      </c>
      <c r="DO15" s="1">
        <f t="shared" si="30"/>
        <v>0.10344400999999999</v>
      </c>
      <c r="DP15" s="1">
        <f t="shared" si="30"/>
        <v>4.4833160000000004E-2</v>
      </c>
      <c r="DQ15" s="1">
        <f t="shared" si="30"/>
        <v>0.14172798</v>
      </c>
      <c r="DR15" s="1">
        <f t="shared" si="30"/>
        <v>7.4560410000000008E-2</v>
      </c>
      <c r="DS15" s="1">
        <f t="shared" si="30"/>
        <v>0.28059129999999999</v>
      </c>
      <c r="DT15" s="1">
        <f t="shared" si="30"/>
        <v>0.15169276000000001</v>
      </c>
      <c r="DU15" s="1">
        <f t="shared" si="30"/>
        <v>0.14711371000000001</v>
      </c>
      <c r="DV15" s="1">
        <f t="shared" si="30"/>
        <v>0.18175015000000003</v>
      </c>
      <c r="DW15" s="1">
        <f t="shared" si="30"/>
        <v>0.15569543999999999</v>
      </c>
      <c r="DX15" s="1">
        <f t="shared" si="30"/>
        <v>0.1712014</v>
      </c>
      <c r="DY15" s="1">
        <f t="shared" si="31"/>
        <v>0.12198517</v>
      </c>
      <c r="DZ15" s="1">
        <f t="shared" si="31"/>
        <v>1.6812999999999999E-3</v>
      </c>
      <c r="EA15" s="1">
        <f t="shared" si="31"/>
        <v>2.8195380000000003E-2</v>
      </c>
      <c r="EB15" s="1">
        <f t="shared" si="31"/>
        <v>4.9277770000000005E-2</v>
      </c>
      <c r="EC15" s="1">
        <f t="shared" si="31"/>
        <v>0.21358802999999996</v>
      </c>
      <c r="ED15" s="1">
        <f t="shared" si="31"/>
        <v>0.24099903000000003</v>
      </c>
      <c r="EE15" s="1">
        <f t="shared" si="31"/>
        <v>0.39667624000000001</v>
      </c>
      <c r="EF15" s="1">
        <f t="shared" si="31"/>
        <v>0.47948613000000001</v>
      </c>
      <c r="EH15" s="14">
        <f t="shared" si="32"/>
        <v>1.88</v>
      </c>
      <c r="EI15" s="14">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3"/>
        <v>1.88</v>
      </c>
      <c r="EY15" s="1">
        <f t="shared" si="33"/>
        <v>1.88</v>
      </c>
      <c r="EZ15" s="1">
        <f t="shared" si="33"/>
        <v>1.88</v>
      </c>
      <c r="FA15" s="1">
        <f t="shared" si="33"/>
        <v>1.88</v>
      </c>
      <c r="FB15" s="1">
        <f t="shared" si="33"/>
        <v>1.88</v>
      </c>
      <c r="FC15" s="1">
        <f t="shared" si="33"/>
        <v>1.88</v>
      </c>
      <c r="FD15" s="1">
        <f t="shared" si="33"/>
        <v>1.88</v>
      </c>
      <c r="FE15" s="1">
        <f t="shared" si="33"/>
        <v>1.88</v>
      </c>
      <c r="FG15" s="162">
        <f t="shared" si="34"/>
        <v>5.6202827857714688E-2</v>
      </c>
    </row>
    <row r="16" spans="1:163" ht="18" customHeight="1">
      <c r="A16" s="243" t="s">
        <v>25</v>
      </c>
      <c r="B16" s="246"/>
      <c r="C16" s="156">
        <f t="shared" si="5"/>
        <v>-0.66</v>
      </c>
      <c r="D16" s="198">
        <v>-1</v>
      </c>
      <c r="E16" s="248">
        <f t="shared" si="6"/>
        <v>4.1417805695193932E-2</v>
      </c>
      <c r="F16" s="249">
        <f t="shared" si="7"/>
        <v>2.0653305847480485E-2</v>
      </c>
      <c r="G16" s="248">
        <f t="shared" si="8"/>
        <v>6.8431819289390905E-2</v>
      </c>
      <c r="H16" s="249">
        <f t="shared" si="9"/>
        <v>-2.7014013594196973E-2</v>
      </c>
      <c r="I16" s="248">
        <f t="shared" si="10"/>
        <v>-9.4189065075209077E-2</v>
      </c>
      <c r="J16" s="249">
        <f t="shared" si="11"/>
        <v>-0.41177242414965232</v>
      </c>
      <c r="K16" s="248">
        <f t="shared" si="12"/>
        <v>0.24725058991863635</v>
      </c>
      <c r="L16" s="249">
        <f t="shared" si="13"/>
        <v>-0.34143965499384543</v>
      </c>
      <c r="M16" s="250"/>
      <c r="N16" s="24">
        <v>1</v>
      </c>
      <c r="O16" s="248">
        <f t="shared" si="35"/>
        <v>-0.25368839092147422</v>
      </c>
      <c r="P16" s="251">
        <f t="shared" si="36"/>
        <v>-0.25368839092147422</v>
      </c>
      <c r="Q16" s="248">
        <f t="shared" si="14"/>
        <v>-0.13425129087779686</v>
      </c>
      <c r="R16" s="251">
        <f t="shared" si="37"/>
        <v>-0.13425129087779686</v>
      </c>
      <c r="S16" s="250"/>
      <c r="T16" s="24">
        <v>-2</v>
      </c>
      <c r="U16" s="248">
        <f t="shared" si="15"/>
        <v>0.18655442646167852</v>
      </c>
      <c r="V16" s="252">
        <f t="shared" si="16"/>
        <v>0.18655442646167852</v>
      </c>
      <c r="W16" s="248">
        <f>IFERROR(+CC16/CD16-1,"")</f>
        <v>-0.30930419909278262</v>
      </c>
      <c r="X16" s="258">
        <f t="shared" si="17"/>
        <v>-0.30930419909278262</v>
      </c>
      <c r="Y16" s="248">
        <f t="shared" si="18"/>
        <v>0.10778443113772451</v>
      </c>
      <c r="Z16" s="252">
        <f t="shared" si="19"/>
        <v>0.10778443113772451</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4</v>
      </c>
      <c r="AQ16" s="28">
        <f>VLOOKUP($A16,historia!$A$5:$CM$24,+HLOOKUP(AQ$2,historia!$A$3:$EC$4,2,FALSE),FALSE)</f>
        <v>4</v>
      </c>
      <c r="AR16" s="28">
        <f>VLOOKUP($A16,historia!$A$5:$CM$24,+HLOOKUP(AR$2,historia!$A$3:$EC$4,2,FALSE),FALSE)</f>
        <v>4</v>
      </c>
      <c r="AS16" s="28">
        <f>VLOOKUP($A16,historia!$A$5:$CM$24,+HLOOKUP(AS$2,historia!$A$3:$EC$4,2,FALSE),FALSE)</f>
        <v>2</v>
      </c>
      <c r="AT16" s="58">
        <f>VLOOKUP($A16,historia!$A$5:$CM$24,+HLOOKUP(AT$2,historia!$A$3:$EC$4,2,FALSE),FALSE)</f>
        <v>2</v>
      </c>
      <c r="AU16" s="58">
        <f>VLOOKUP($A16,historia!$A$5:$CM$24,+HLOOKUP(AU$2,historia!$A$3:$EC$4,2,FALSE),FALSE)</f>
        <v>3</v>
      </c>
      <c r="AV16" s="58">
        <f>VLOOKUP($A16,historia!$A$5:$CM$24,+HLOOKUP(AV$2,historia!$A$3:$EC$4,2,FALSE),FALSE)</f>
        <v>3</v>
      </c>
      <c r="AW16" s="58">
        <f>VLOOKUP($A16,historia!$A$5:$CM$24,+HLOOKUP(AW$2,historia!$A$3:$EC$4,2,FALSE),FALSE)</f>
        <v>3</v>
      </c>
      <c r="AX16" s="58">
        <f>VLOOKUP($A16,historia!$A$5:$CM$24,+HLOOKUP(AX$2,historia!$A$3:$EC$4,2,FALSE),FALSE)</f>
        <v>3</v>
      </c>
      <c r="AY16" s="58">
        <f>VLOOKUP($A16,historia!$A$5:$CM$24,+HLOOKUP(AY$2,historia!$A$3:$EC$4,2,FALSE),FALSE)</f>
        <v>3</v>
      </c>
      <c r="AZ16" s="58">
        <f>VLOOKUP($A16,historia!$A$5:$DG$24,+HLOOKUP(AZ$2,historia!$A$3:$EC$4,2,FALSE),FALSE)</f>
        <v>3</v>
      </c>
      <c r="BA16" s="58">
        <f>VLOOKUP($A16,historia!$A$5:$DG$24,+HLOOKUP(BA$2,historia!$A$3:$EC$4,2,FALSE),FALSE)</f>
        <v>3</v>
      </c>
      <c r="BB16" s="58"/>
      <c r="BC16" s="286">
        <v>3</v>
      </c>
      <c r="BD16" t="str">
        <f t="shared" si="20"/>
        <v>Maní</v>
      </c>
      <c r="BE16">
        <f>+datos!AF1</f>
        <v>32</v>
      </c>
      <c r="BF16" s="2" t="str">
        <f t="shared" si="4"/>
        <v>$/t</v>
      </c>
      <c r="BG16" s="2">
        <f t="shared" si="4"/>
        <v>779824.5</v>
      </c>
      <c r="BH16" s="2">
        <f t="shared" si="4"/>
        <v>748810.41570000001</v>
      </c>
      <c r="BI16" s="2">
        <f t="shared" si="4"/>
        <v>860913.1</v>
      </c>
      <c r="BK16">
        <f>+datos!CH1</f>
        <v>86</v>
      </c>
      <c r="BL16" s="2">
        <f t="shared" si="21"/>
        <v>12093.614515505673</v>
      </c>
      <c r="BM16" s="2">
        <f t="shared" si="21"/>
        <v>11319.032527081681</v>
      </c>
      <c r="BN16" s="2">
        <f t="shared" si="21"/>
        <v>9696.2187175991567</v>
      </c>
      <c r="BP16" s="1">
        <f>+datos!EB1</f>
        <v>132</v>
      </c>
      <c r="BQ16" s="1">
        <f t="shared" si="22"/>
        <v>389000</v>
      </c>
      <c r="BR16" s="1">
        <f t="shared" si="22"/>
        <v>521230</v>
      </c>
      <c r="BT16" s="1">
        <f>+datos!FW1</f>
        <v>179</v>
      </c>
      <c r="BU16" s="1">
        <f t="shared" si="23"/>
        <v>1389286</v>
      </c>
      <c r="BV16" s="1">
        <f t="shared" si="23"/>
        <v>1604722</v>
      </c>
      <c r="BX16" s="1">
        <f>+datos!JK1</f>
        <v>271</v>
      </c>
      <c r="BY16" s="1">
        <f t="shared" si="39"/>
        <v>1439.8191089099998</v>
      </c>
      <c r="BZ16" s="1">
        <f t="shared" si="40"/>
        <v>1213.4454828200001</v>
      </c>
      <c r="CB16" s="1">
        <f>+datos!KP1</f>
        <v>302</v>
      </c>
      <c r="CC16" s="2">
        <f t="shared" si="24"/>
        <v>2.0568438499999999</v>
      </c>
      <c r="CD16" s="2">
        <f t="shared" si="25"/>
        <v>2.9779301499999997</v>
      </c>
      <c r="CF16" s="1">
        <f>+datos!IJ1</f>
        <v>244</v>
      </c>
      <c r="CG16" s="1">
        <f t="shared" si="26"/>
        <v>2.3888080854826579</v>
      </c>
      <c r="CH16" s="1">
        <f t="shared" si="27"/>
        <v>2.1563835150032644</v>
      </c>
      <c r="CJ16" s="1">
        <f t="shared" si="28"/>
        <v>137.05460552</v>
      </c>
      <c r="CK16" s="1">
        <f t="shared" si="28"/>
        <v>119.79773589000003</v>
      </c>
      <c r="CL16" s="1">
        <f t="shared" si="28"/>
        <v>108.38462631999997</v>
      </c>
      <c r="CM16" s="1">
        <f t="shared" si="28"/>
        <v>110.53778464999999</v>
      </c>
      <c r="CN16" s="1">
        <f t="shared" si="28"/>
        <v>97.139552130000013</v>
      </c>
      <c r="CO16" s="1">
        <f t="shared" si="28"/>
        <v>94.262180470000018</v>
      </c>
      <c r="CP16" s="1">
        <f t="shared" si="28"/>
        <v>104.16408064999997</v>
      </c>
      <c r="CQ16" s="1">
        <f t="shared" si="28"/>
        <v>129.66034791999999</v>
      </c>
      <c r="CR16" s="1">
        <f t="shared" si="28"/>
        <v>100.29183523999998</v>
      </c>
      <c r="CS16" s="1">
        <f t="shared" si="28"/>
        <v>142.99991008000001</v>
      </c>
      <c r="CT16" s="1">
        <f t="shared" si="28"/>
        <v>153.43391492999999</v>
      </c>
      <c r="CU16" s="1">
        <f t="shared" si="28"/>
        <v>142.09253510999997</v>
      </c>
      <c r="CV16" s="1">
        <f t="shared" si="28"/>
        <v>155.33708399000002</v>
      </c>
      <c r="CW16" s="1">
        <f t="shared" si="28"/>
        <v>156.99934678</v>
      </c>
      <c r="CX16" s="1">
        <f t="shared" si="28"/>
        <v>115.53726275000001</v>
      </c>
      <c r="CY16" s="1">
        <f t="shared" si="28"/>
        <v>98.487414479999984</v>
      </c>
      <c r="CZ16" s="1">
        <f t="shared" si="29"/>
        <v>63.473924160000003</v>
      </c>
      <c r="DA16" s="1">
        <f t="shared" si="29"/>
        <v>65.127016839999982</v>
      </c>
      <c r="DB16" s="1">
        <f t="shared" si="29"/>
        <v>70.784594500000011</v>
      </c>
      <c r="DC16" s="1">
        <f t="shared" si="29"/>
        <v>111.62267066999999</v>
      </c>
      <c r="DD16" s="1">
        <f t="shared" si="29"/>
        <v>100.80321882999999</v>
      </c>
      <c r="DE16" s="1">
        <f t="shared" si="29"/>
        <v>90.064767340000003</v>
      </c>
      <c r="DF16" s="1">
        <f t="shared" si="29"/>
        <v>96.183340330000021</v>
      </c>
      <c r="DG16" s="1">
        <f t="shared" si="29"/>
        <v>89.024842150000026</v>
      </c>
      <c r="DI16" s="1">
        <f t="shared" si="30"/>
        <v>0.27773459</v>
      </c>
      <c r="DJ16" s="1">
        <f t="shared" si="30"/>
        <v>0.19844290000000001</v>
      </c>
      <c r="DK16" s="1">
        <f t="shared" si="30"/>
        <v>0.14424532000000001</v>
      </c>
      <c r="DL16" s="1">
        <f t="shared" si="30"/>
        <v>5.4312239999999998E-2</v>
      </c>
      <c r="DM16" s="1">
        <f t="shared" si="30"/>
        <v>1.9420499999999999E-3</v>
      </c>
      <c r="DN16" s="1">
        <f t="shared" si="30"/>
        <v>1.0560452</v>
      </c>
      <c r="DO16" s="1">
        <f t="shared" si="30"/>
        <v>3.8992409999999998E-2</v>
      </c>
      <c r="DP16" s="1">
        <f t="shared" si="30"/>
        <v>0</v>
      </c>
      <c r="DQ16" s="1">
        <f t="shared" si="30"/>
        <v>5.2225250000000001E-2</v>
      </c>
      <c r="DR16" s="1">
        <f t="shared" si="30"/>
        <v>0.22862400000000002</v>
      </c>
      <c r="DS16" s="1">
        <f t="shared" si="30"/>
        <v>2.6527899999999999E-3</v>
      </c>
      <c r="DT16" s="1">
        <f t="shared" si="30"/>
        <v>1.6271E-3</v>
      </c>
      <c r="DU16" s="1">
        <f t="shared" si="30"/>
        <v>0.13444175</v>
      </c>
      <c r="DV16" s="1">
        <f t="shared" si="30"/>
        <v>4.2737620000000004E-2</v>
      </c>
      <c r="DW16" s="1">
        <f t="shared" si="30"/>
        <v>8.6628999999999998E-2</v>
      </c>
      <c r="DX16" s="1">
        <f t="shared" si="30"/>
        <v>8.4906640000000005E-2</v>
      </c>
      <c r="DY16" s="1">
        <f t="shared" si="31"/>
        <v>8.714181E-2</v>
      </c>
      <c r="DZ16" s="1">
        <f t="shared" si="31"/>
        <v>0.111375</v>
      </c>
      <c r="EA16" s="1">
        <f t="shared" si="31"/>
        <v>0.12514284000000001</v>
      </c>
      <c r="EB16" s="1">
        <f t="shared" si="31"/>
        <v>0.69674917999999986</v>
      </c>
      <c r="EC16" s="1">
        <f t="shared" si="31"/>
        <v>0.79684906</v>
      </c>
      <c r="ED16" s="1">
        <f t="shared" si="31"/>
        <v>0.24194792999999998</v>
      </c>
      <c r="EE16" s="1">
        <f t="shared" si="31"/>
        <v>0.11713932000000001</v>
      </c>
      <c r="EF16" s="1">
        <f t="shared" si="31"/>
        <v>0.45286999999999999</v>
      </c>
      <c r="EH16" s="14">
        <f t="shared" si="32"/>
        <v>2.3888080854826579</v>
      </c>
      <c r="EI16" s="14">
        <f t="shared" si="32"/>
        <v>2.3888080854826579</v>
      </c>
      <c r="EJ16" s="1">
        <f t="shared" si="32"/>
        <v>2.3888080854826579</v>
      </c>
      <c r="EK16" s="1">
        <f t="shared" si="32"/>
        <v>2.3888080854826579</v>
      </c>
      <c r="EL16" s="1">
        <f t="shared" si="32"/>
        <v>2.3888080854826579</v>
      </c>
      <c r="EM16" s="1">
        <f t="shared" si="32"/>
        <v>2.3888080854826579</v>
      </c>
      <c r="EN16" s="1">
        <f t="shared" si="32"/>
        <v>2.1563835150032644</v>
      </c>
      <c r="EO16" s="1">
        <f t="shared" si="32"/>
        <v>2.1563835150032644</v>
      </c>
      <c r="EP16" s="1">
        <f t="shared" si="32"/>
        <v>2.1563835150032644</v>
      </c>
      <c r="EQ16" s="1">
        <f t="shared" si="32"/>
        <v>2.1563835150032644</v>
      </c>
      <c r="ER16" s="1">
        <f t="shared" si="32"/>
        <v>2.1563835150032644</v>
      </c>
      <c r="ES16" s="1">
        <f t="shared" si="32"/>
        <v>2.1563835150032644</v>
      </c>
      <c r="ET16" s="1">
        <f t="shared" si="32"/>
        <v>2.1563835150032644</v>
      </c>
      <c r="EU16" s="1">
        <f t="shared" si="32"/>
        <v>2.1563835150032644</v>
      </c>
      <c r="EV16" s="1">
        <f t="shared" si="32"/>
        <v>2.1563835150032644</v>
      </c>
      <c r="EW16" s="1">
        <f t="shared" si="32"/>
        <v>2.1563835150032644</v>
      </c>
      <c r="EX16" s="1">
        <f t="shared" si="33"/>
        <v>2.1563835150032644</v>
      </c>
      <c r="EY16" s="1">
        <f t="shared" si="33"/>
        <v>2.1563835150032644</v>
      </c>
      <c r="EZ16" s="1">
        <f t="shared" si="33"/>
        <v>1.9885213252125911</v>
      </c>
      <c r="FA16" s="1">
        <f t="shared" si="33"/>
        <v>1.9885213252125911</v>
      </c>
      <c r="FB16" s="1">
        <f t="shared" si="33"/>
        <v>1.9885213252125911</v>
      </c>
      <c r="FC16" s="1">
        <f t="shared" si="33"/>
        <v>1.9885213252125911</v>
      </c>
      <c r="FD16" s="1">
        <f t="shared" si="33"/>
        <v>1.9885213252125911</v>
      </c>
      <c r="FE16" s="1">
        <f t="shared" si="33"/>
        <v>1.9885213252125911</v>
      </c>
      <c r="FG16" s="162">
        <f t="shared" si="34"/>
        <v>-0.34143965499384543</v>
      </c>
    </row>
    <row r="17" spans="1:163" ht="18.75" customHeight="1">
      <c r="A17" s="244" t="s">
        <v>76</v>
      </c>
      <c r="B17" s="247"/>
      <c r="C17" s="228">
        <f t="shared" si="5"/>
        <v>-0.99</v>
      </c>
      <c r="D17" s="229">
        <v>-1</v>
      </c>
      <c r="E17" s="253">
        <f t="shared" si="6"/>
        <v>4.5758354755784048E-2</v>
      </c>
      <c r="F17" s="254">
        <f t="shared" si="7"/>
        <v>2.4993854908070601E-2</v>
      </c>
      <c r="G17" s="253">
        <f t="shared" si="8"/>
        <v>5.5332983431519711E-2</v>
      </c>
      <c r="H17" s="254">
        <f t="shared" si="9"/>
        <v>-9.5746286757356636E-3</v>
      </c>
      <c r="I17" s="253">
        <f t="shared" si="10"/>
        <v>0.19436288901937759</v>
      </c>
      <c r="J17" s="254">
        <f t="shared" si="11"/>
        <v>-0.12322047005506565</v>
      </c>
      <c r="K17" s="253">
        <f t="shared" si="12"/>
        <v>0.37998744298066933</v>
      </c>
      <c r="L17" s="254">
        <f t="shared" si="13"/>
        <v>-0.18562455396129174</v>
      </c>
      <c r="M17" s="255"/>
      <c r="N17" s="256">
        <v>-1</v>
      </c>
      <c r="O17" s="253">
        <f>IFERROR(+BQ17/BR17-1,"")</f>
        <v>0.14285714285714279</v>
      </c>
      <c r="P17" s="257">
        <f t="shared" si="36"/>
        <v>0.14285714285714279</v>
      </c>
      <c r="Q17" s="253">
        <f t="shared" si="14"/>
        <v>8.2297934975540166E-2</v>
      </c>
      <c r="R17" s="257">
        <f t="shared" si="37"/>
        <v>8.2297934975540166E-2</v>
      </c>
      <c r="S17" s="255"/>
      <c r="T17" s="256">
        <v>-1</v>
      </c>
      <c r="U17" s="253">
        <f t="shared" si="15"/>
        <v>0.14965075080752888</v>
      </c>
      <c r="V17" s="258">
        <f t="shared" si="16"/>
        <v>0.14965075080752888</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3</v>
      </c>
      <c r="AT17" s="58">
        <f>VLOOKUP($A17,historia!$A$5:$CM$24,+HLOOKUP(AT$2,historia!$A$3:$EC$4,2,FALSE),FALSE)</f>
        <v>3</v>
      </c>
      <c r="AU17" s="58">
        <f>VLOOKUP($A17,historia!$A$5:$CM$24,+HLOOKUP(AU$2,historia!$A$3:$EC$4,2,FALSE),FALSE)</f>
        <v>3</v>
      </c>
      <c r="AV17" s="58">
        <f>VLOOKUP($A17,historia!$A$5:$CM$24,+HLOOKUP(AV$2,historia!$A$3:$EC$4,2,FALSE),FALSE)</f>
        <v>3</v>
      </c>
      <c r="AW17" s="58">
        <f>VLOOKUP($A17,historia!$A$5:$CM$24,+HLOOKUP(AW$2,historia!$A$3:$EC$4,2,FALSE),FALSE)</f>
        <v>3</v>
      </c>
      <c r="AX17" s="58">
        <f>VLOOKUP($A17,historia!$A$5:$CM$24,+HLOOKUP(AX$2,historia!$A$3:$EC$4,2,FALSE),FALSE)</f>
        <v>3</v>
      </c>
      <c r="AY17" s="58">
        <f>VLOOKUP($A17,historia!$A$5:$CM$24,+HLOOKUP(AY$2,historia!$A$3:$EC$4,2,FALSE),FALSE)</f>
        <v>3</v>
      </c>
      <c r="AZ17" s="58">
        <f>VLOOKUP($A17,historia!$A$5:$DG$24,+HLOOKUP(AZ$2,historia!$A$3:$EC$4,2,FALSE),FALSE)</f>
        <v>3</v>
      </c>
      <c r="BA17" s="58">
        <f>VLOOKUP($A17,historia!$A$5:$DG$24,+HLOOKUP(BA$2,historia!$A$3:$EC$4,2,FALSE),FALSE)</f>
        <v>3</v>
      </c>
      <c r="BB17" s="58"/>
      <c r="BC17" s="286">
        <v>3</v>
      </c>
      <c r="BD17" t="str">
        <f t="shared" si="20"/>
        <v>Miel</v>
      </c>
      <c r="BE17">
        <f>+datos!BV1</f>
        <v>74</v>
      </c>
      <c r="BF17" s="2" t="str">
        <f t="shared" si="4"/>
        <v>$/kg</v>
      </c>
      <c r="BG17" s="2">
        <f t="shared" si="4"/>
        <v>2034</v>
      </c>
      <c r="BH17" s="2">
        <f t="shared" si="4"/>
        <v>1945</v>
      </c>
      <c r="BI17" s="2">
        <f t="shared" si="4"/>
        <v>1703</v>
      </c>
      <c r="BK17">
        <f>+datos!DH1</f>
        <v>112</v>
      </c>
      <c r="BL17" s="2">
        <f t="shared" si="21"/>
        <v>11769.486943616865</v>
      </c>
      <c r="BM17" s="2">
        <f t="shared" si="21"/>
        <v>11152.391831199298</v>
      </c>
      <c r="BN17" s="2">
        <f t="shared" si="21"/>
        <v>8528.6913322889777</v>
      </c>
      <c r="BP17" s="1">
        <f>+datos!EQ1</f>
        <v>147</v>
      </c>
      <c r="BQ17" s="1">
        <f t="shared" si="22"/>
        <v>4000000</v>
      </c>
      <c r="BR17" s="1">
        <f t="shared" si="22"/>
        <v>3500000</v>
      </c>
      <c r="BT17" s="1">
        <f>+datos!GP1</f>
        <v>198</v>
      </c>
      <c r="BU17" s="1">
        <f t="shared" si="23"/>
        <v>75000</v>
      </c>
      <c r="BV17" s="1">
        <f t="shared" si="23"/>
        <v>69297</v>
      </c>
      <c r="BX17" s="1">
        <f>+datos!KE1</f>
        <v>291</v>
      </c>
      <c r="BY17" s="1">
        <f t="shared" si="39"/>
        <v>237.24265524000003</v>
      </c>
      <c r="BZ17" s="1">
        <f t="shared" si="40"/>
        <v>206.36063176000005</v>
      </c>
      <c r="CB17" s="1">
        <f>+datos!LJ1</f>
        <v>322</v>
      </c>
      <c r="CC17" s="2">
        <f t="shared" si="24"/>
        <v>4.5226869999999995E-2</v>
      </c>
      <c r="CD17" s="2">
        <f>+SUM(DU17:EF17)</f>
        <v>9.3545939999999994E-2</v>
      </c>
      <c r="CF17" s="1">
        <f>+datos!IZ1</f>
        <v>260</v>
      </c>
      <c r="CG17" s="2">
        <f t="shared" si="26"/>
        <v>0.3</v>
      </c>
      <c r="CH17" s="2">
        <f t="shared" si="27"/>
        <v>0.3</v>
      </c>
      <c r="CJ17" s="1">
        <f t="shared" si="28"/>
        <v>25.714133060000005</v>
      </c>
      <c r="CK17" s="1">
        <f t="shared" si="28"/>
        <v>20.973477770000002</v>
      </c>
      <c r="CL17" s="1">
        <f t="shared" si="28"/>
        <v>25.565397789999999</v>
      </c>
      <c r="CM17" s="1">
        <f t="shared" si="28"/>
        <v>22.120083830000002</v>
      </c>
      <c r="CN17" s="1">
        <f t="shared" si="28"/>
        <v>25.223589140000001</v>
      </c>
      <c r="CO17" s="1">
        <f t="shared" si="28"/>
        <v>23.185079629999997</v>
      </c>
      <c r="CP17" s="1">
        <f t="shared" si="28"/>
        <v>18.014525360000007</v>
      </c>
      <c r="CQ17" s="1">
        <f t="shared" si="28"/>
        <v>15.906782769999998</v>
      </c>
      <c r="CR17" s="1">
        <f t="shared" si="28"/>
        <v>9.6274282100000015</v>
      </c>
      <c r="CS17" s="1">
        <f t="shared" si="28"/>
        <v>12.184475789999999</v>
      </c>
      <c r="CT17" s="1">
        <f t="shared" si="28"/>
        <v>14.349162859999998</v>
      </c>
      <c r="CU17" s="1">
        <f t="shared" si="28"/>
        <v>24.378519029999993</v>
      </c>
      <c r="CV17" s="1">
        <f t="shared" si="28"/>
        <v>22.211636389999995</v>
      </c>
      <c r="CW17" s="1">
        <f t="shared" si="28"/>
        <v>18.934177090000006</v>
      </c>
      <c r="CX17" s="1">
        <f t="shared" si="28"/>
        <v>18.049853030000005</v>
      </c>
      <c r="CY17" s="1">
        <f t="shared" si="28"/>
        <v>20.702965450000001</v>
      </c>
      <c r="CZ17" s="1">
        <f t="shared" si="29"/>
        <v>19.199801710000003</v>
      </c>
      <c r="DA17" s="1">
        <f t="shared" si="29"/>
        <v>16.174522229999997</v>
      </c>
      <c r="DB17" s="1">
        <f t="shared" si="29"/>
        <v>22.082734950000003</v>
      </c>
      <c r="DC17" s="1">
        <f t="shared" si="29"/>
        <v>13.392344960000001</v>
      </c>
      <c r="DD17" s="1">
        <f t="shared" si="29"/>
        <v>10.971998660000001</v>
      </c>
      <c r="DE17" s="1">
        <f t="shared" si="29"/>
        <v>12.805239539999999</v>
      </c>
      <c r="DF17" s="1">
        <f t="shared" si="29"/>
        <v>13.943876809999997</v>
      </c>
      <c r="DG17" s="1">
        <f t="shared" si="29"/>
        <v>17.891480939999997</v>
      </c>
      <c r="DI17" s="1">
        <f t="shared" si="30"/>
        <v>0</v>
      </c>
      <c r="DJ17" s="1">
        <f t="shared" si="30"/>
        <v>4.0170669999999999E-2</v>
      </c>
      <c r="DK17" s="1">
        <f t="shared" si="30"/>
        <v>0</v>
      </c>
      <c r="DL17" s="1">
        <f t="shared" si="30"/>
        <v>0</v>
      </c>
      <c r="DM17" s="1">
        <f t="shared" si="30"/>
        <v>1.5264E-3</v>
      </c>
      <c r="DN17" s="1">
        <f t="shared" si="30"/>
        <v>0</v>
      </c>
      <c r="DO17" s="1">
        <f t="shared" si="30"/>
        <v>0</v>
      </c>
      <c r="DP17" s="1">
        <f t="shared" si="30"/>
        <v>3.5298E-3</v>
      </c>
      <c r="DQ17" s="1">
        <f t="shared" si="30"/>
        <v>0</v>
      </c>
      <c r="DR17" s="1">
        <f t="shared" si="30"/>
        <v>0</v>
      </c>
      <c r="DS17" s="1">
        <f t="shared" si="30"/>
        <v>0</v>
      </c>
      <c r="DT17" s="1">
        <f t="shared" si="30"/>
        <v>0</v>
      </c>
      <c r="DU17" s="1">
        <f t="shared" si="30"/>
        <v>4.0664E-4</v>
      </c>
      <c r="DV17" s="1">
        <f t="shared" si="30"/>
        <v>0</v>
      </c>
      <c r="DW17" s="1">
        <f t="shared" si="30"/>
        <v>0</v>
      </c>
      <c r="DX17" s="1">
        <f t="shared" si="30"/>
        <v>0</v>
      </c>
      <c r="DY17" s="1">
        <f t="shared" si="31"/>
        <v>0</v>
      </c>
      <c r="DZ17" s="1">
        <f t="shared" si="31"/>
        <v>0</v>
      </c>
      <c r="EA17" s="1">
        <f t="shared" si="31"/>
        <v>5.2539300000000004E-2</v>
      </c>
      <c r="EB17" s="1">
        <f t="shared" si="31"/>
        <v>0</v>
      </c>
      <c r="EC17" s="1">
        <f t="shared" si="31"/>
        <v>0</v>
      </c>
      <c r="ED17" s="1">
        <f t="shared" si="31"/>
        <v>4.0599999999999997E-2</v>
      </c>
      <c r="EE17" s="1">
        <f t="shared" si="31"/>
        <v>0</v>
      </c>
      <c r="EF17" s="1">
        <f t="shared" si="31"/>
        <v>0</v>
      </c>
      <c r="EH17" s="14">
        <f t="shared" si="32"/>
        <v>0.3</v>
      </c>
      <c r="EI17" s="14">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3"/>
        <v>0.3</v>
      </c>
      <c r="EY17" s="1">
        <f t="shared" si="33"/>
        <v>0.3</v>
      </c>
      <c r="EZ17" s="1">
        <f t="shared" si="33"/>
        <v>0.3</v>
      </c>
      <c r="FA17" s="1">
        <f t="shared" si="33"/>
        <v>0.3</v>
      </c>
      <c r="FB17" s="1">
        <f t="shared" si="33"/>
        <v>0.3</v>
      </c>
      <c r="FC17" s="1">
        <f t="shared" si="33"/>
        <v>0.3</v>
      </c>
      <c r="FD17" s="1">
        <f t="shared" si="33"/>
        <v>0.3</v>
      </c>
      <c r="FE17" s="1">
        <f t="shared" si="33"/>
        <v>0.3</v>
      </c>
      <c r="FG17" s="162">
        <f t="shared" si="34"/>
        <v>-0.18562455396129174</v>
      </c>
    </row>
    <row r="18" spans="1:163" ht="18.75" customHeight="1">
      <c r="A18" s="243" t="s">
        <v>222</v>
      </c>
      <c r="B18" s="246"/>
      <c r="C18" s="156">
        <f t="shared" si="5"/>
        <v>-0.33</v>
      </c>
      <c r="D18" s="198">
        <v>1</v>
      </c>
      <c r="E18" s="248">
        <f t="shared" si="6"/>
        <v>1.1873648581760987E-2</v>
      </c>
      <c r="F18" s="249">
        <f t="shared" si="7"/>
        <v>-8.8908512659524597E-3</v>
      </c>
      <c r="G18" s="248">
        <f t="shared" si="8"/>
        <v>4.1207125290459778E-2</v>
      </c>
      <c r="H18" s="249">
        <f t="shared" si="9"/>
        <v>-2.9333476708698791E-2</v>
      </c>
      <c r="I18" s="253">
        <f t="shared" si="10"/>
        <v>0.48354966370874841</v>
      </c>
      <c r="J18" s="254">
        <f t="shared" si="11"/>
        <v>0.16596630463430517</v>
      </c>
      <c r="K18" s="248">
        <f t="shared" si="12"/>
        <v>0.4111946025763884</v>
      </c>
      <c r="L18" s="249">
        <f t="shared" si="13"/>
        <v>7.235506113236001E-2</v>
      </c>
      <c r="M18" s="250"/>
      <c r="N18" s="24">
        <v>-1</v>
      </c>
      <c r="O18" s="248">
        <f t="shared" si="35"/>
        <v>-3.8058080335949818E-2</v>
      </c>
      <c r="P18" s="251">
        <f t="shared" si="36"/>
        <v>-3.8058080335949818E-2</v>
      </c>
      <c r="Q18" s="248">
        <f t="shared" si="14"/>
        <v>-8.262395799010458E-2</v>
      </c>
      <c r="R18" s="251">
        <f t="shared" si="37"/>
        <v>-8.262395799010458E-2</v>
      </c>
      <c r="S18" s="250"/>
      <c r="T18" s="24">
        <v>-1</v>
      </c>
      <c r="U18" s="248">
        <f t="shared" si="15"/>
        <v>0.21325550615690902</v>
      </c>
      <c r="V18" s="252">
        <f t="shared" si="16"/>
        <v>0.21325550615690902</v>
      </c>
      <c r="W18" s="248">
        <f t="shared" si="38"/>
        <v>-0.50243002949588389</v>
      </c>
      <c r="X18" s="252">
        <f t="shared" si="17"/>
        <v>-0.50243002949588389</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4</v>
      </c>
      <c r="AQ18" s="28">
        <f>VLOOKUP($A18,historia!$A$5:$CM$24,+HLOOKUP(AQ$2,historia!$A$3:$EC$4,2,FALSE),FALSE)</f>
        <v>4</v>
      </c>
      <c r="AR18" s="28">
        <f>VLOOKUP($A18,historia!$A$5:$CM$24,+HLOOKUP(AR$2,historia!$A$3:$EC$4,2,FALSE),FALSE)</f>
        <v>4</v>
      </c>
      <c r="AS18" s="28">
        <f>VLOOKUP($A18,historia!$A$5:$CM$24,+HLOOKUP(AS$2,historia!$A$3:$EC$4,2,FALSE),FALSE)</f>
        <v>3</v>
      </c>
      <c r="AT18" s="58">
        <f>VLOOKUP($A18,historia!$A$5:$CM$24,+HLOOKUP(AT$2,historia!$A$3:$EC$4,2,FALSE),FALSE)</f>
        <v>2</v>
      </c>
      <c r="AU18" s="58">
        <f>VLOOKUP($A18,historia!$A$5:$CM$24,+HLOOKUP(AU$2,historia!$A$3:$EC$4,2,FALSE),FALSE)</f>
        <v>2</v>
      </c>
      <c r="AV18" s="58">
        <f>VLOOKUP($A18,historia!$A$5:$CM$24,+HLOOKUP(AV$2,historia!$A$3:$EC$4,2,FALSE),FALSE)</f>
        <v>2</v>
      </c>
      <c r="AW18" s="58">
        <f>VLOOKUP($A18,historia!$A$5:$CM$24,+HLOOKUP(AW$2,historia!$A$3:$EC$4,2,FALSE),FALSE)</f>
        <v>2</v>
      </c>
      <c r="AX18" s="58">
        <f>VLOOKUP($A18,historia!$A$5:$CM$24,+HLOOKUP(AX$2,historia!$A$3:$EC$4,2,FALSE),FALSE)</f>
        <v>1</v>
      </c>
      <c r="AY18" s="58">
        <f>VLOOKUP($A18,historia!$A$5:$CM$24,+HLOOKUP(AY$2,historia!$A$3:$EC$4,2,FALSE),FALSE)</f>
        <v>1</v>
      </c>
      <c r="AZ18" s="58">
        <f>VLOOKUP($A18,historia!$A$5:$DG$24,+HLOOKUP(AZ$2,historia!$A$3:$EC$4,2,FALSE),FALSE)</f>
        <v>2</v>
      </c>
      <c r="BA18" s="58">
        <f>VLOOKUP($A18,historia!$A$5:$DG$24,+HLOOKUP(BA$2,historia!$A$3:$EC$4,2,FALSE),FALSE)</f>
        <v>2</v>
      </c>
      <c r="BB18" s="58"/>
      <c r="BC18" s="286">
        <v>2</v>
      </c>
      <c r="BD18" t="str">
        <f t="shared" si="20"/>
        <v>Ovino</v>
      </c>
      <c r="BE18">
        <f>+datos!BU1</f>
        <v>73</v>
      </c>
      <c r="BF18" s="2" t="str">
        <f t="shared" si="4"/>
        <v>$/kg</v>
      </c>
      <c r="BG18" s="2">
        <f t="shared" si="4"/>
        <v>84774.177272727276</v>
      </c>
      <c r="BH18" s="2">
        <f t="shared" si="4"/>
        <v>83779.41</v>
      </c>
      <c r="BI18" s="2">
        <f t="shared" si="4"/>
        <v>57142.796999999999</v>
      </c>
      <c r="BK18">
        <f>+datos!DI1</f>
        <v>113</v>
      </c>
      <c r="BL18" s="2">
        <f t="shared" si="21"/>
        <v>11808.314731800294</v>
      </c>
      <c r="BM18" s="2">
        <f t="shared" si="21"/>
        <v>11340.985328453446</v>
      </c>
      <c r="BN18" s="2">
        <f t="shared" si="21"/>
        <v>8367.6019666189914</v>
      </c>
      <c r="BP18" s="1">
        <f>+datos!EL1</f>
        <v>142</v>
      </c>
      <c r="BQ18" s="1">
        <f t="shared" si="22"/>
        <v>11967429</v>
      </c>
      <c r="BR18" s="1">
        <f t="shared" si="22"/>
        <v>12440906</v>
      </c>
      <c r="BT18" s="1">
        <f>+datos!GS1</f>
        <v>201</v>
      </c>
      <c r="BU18" s="1">
        <f t="shared" si="23"/>
        <v>31822.83</v>
      </c>
      <c r="BV18" s="1">
        <f t="shared" si="23"/>
        <v>34688.97</v>
      </c>
      <c r="BX18" s="1">
        <f>+datos!KI1</f>
        <v>295</v>
      </c>
      <c r="BY18" s="1">
        <f t="shared" si="39"/>
        <v>235.58182211000002</v>
      </c>
      <c r="BZ18" s="1">
        <f t="shared" si="40"/>
        <v>194.17329730999998</v>
      </c>
      <c r="CB18" s="1">
        <f>+datos!LN1</f>
        <v>326</v>
      </c>
      <c r="CC18" s="2">
        <f t="shared" si="24"/>
        <v>2.06733411</v>
      </c>
      <c r="CD18" s="2">
        <f t="shared" si="25"/>
        <v>4.1548610900000007</v>
      </c>
      <c r="CF18" s="1">
        <f>+datos!JA1</f>
        <v>261</v>
      </c>
      <c r="CG18" s="1">
        <f t="shared" si="26"/>
        <v>3555</v>
      </c>
      <c r="CH18" s="1">
        <f t="shared" si="27"/>
        <v>2813</v>
      </c>
      <c r="CJ18" s="1">
        <f t="shared" si="28"/>
        <v>19.550070639999998</v>
      </c>
      <c r="CK18" s="1">
        <f t="shared" si="28"/>
        <v>17.8919189</v>
      </c>
      <c r="CL18" s="1">
        <f t="shared" si="28"/>
        <v>19.636014689999996</v>
      </c>
      <c r="CM18" s="1">
        <f t="shared" si="28"/>
        <v>18.748166940000001</v>
      </c>
      <c r="CN18" s="1">
        <f t="shared" si="28"/>
        <v>21.131437869999999</v>
      </c>
      <c r="CO18" s="1">
        <f t="shared" si="28"/>
        <v>23.746863359999999</v>
      </c>
      <c r="CP18" s="1">
        <f t="shared" si="28"/>
        <v>18.662799830000001</v>
      </c>
      <c r="CQ18" s="1">
        <f t="shared" si="28"/>
        <v>31.610464650000004</v>
      </c>
      <c r="CR18" s="1">
        <f t="shared" si="28"/>
        <v>14.881609229999999</v>
      </c>
      <c r="CS18" s="1">
        <f t="shared" si="28"/>
        <v>18.538380959999998</v>
      </c>
      <c r="CT18" s="1">
        <f t="shared" si="28"/>
        <v>15.79353798</v>
      </c>
      <c r="CU18" s="1">
        <f t="shared" si="28"/>
        <v>15.390557059999999</v>
      </c>
      <c r="CV18" s="1">
        <f t="shared" si="28"/>
        <v>12.657815750000001</v>
      </c>
      <c r="CW18" s="1">
        <f t="shared" si="28"/>
        <v>13.430479930000001</v>
      </c>
      <c r="CX18" s="1">
        <f t="shared" si="28"/>
        <v>15.60716012</v>
      </c>
      <c r="CY18" s="1">
        <f t="shared" si="28"/>
        <v>19.03918719</v>
      </c>
      <c r="CZ18" s="1">
        <f t="shared" si="29"/>
        <v>17.774232269999999</v>
      </c>
      <c r="DA18" s="1">
        <f t="shared" si="29"/>
        <v>22.502102959999998</v>
      </c>
      <c r="DB18" s="1">
        <f t="shared" si="29"/>
        <v>22.437193859999997</v>
      </c>
      <c r="DC18" s="1">
        <f t="shared" si="29"/>
        <v>15.322430800000003</v>
      </c>
      <c r="DD18" s="1">
        <f t="shared" si="29"/>
        <v>16.644595240000001</v>
      </c>
      <c r="DE18" s="1">
        <f t="shared" si="29"/>
        <v>15.83663735</v>
      </c>
      <c r="DF18" s="1">
        <f t="shared" si="29"/>
        <v>13.412348609999999</v>
      </c>
      <c r="DG18" s="1">
        <f t="shared" si="29"/>
        <v>9.5091132299999988</v>
      </c>
      <c r="DI18" s="1">
        <f t="shared" si="30"/>
        <v>0.12164886</v>
      </c>
      <c r="DJ18" s="1">
        <f t="shared" si="30"/>
        <v>6.2847730000000004E-2</v>
      </c>
      <c r="DK18" s="1">
        <f t="shared" si="30"/>
        <v>7.1441070000000009E-2</v>
      </c>
      <c r="DL18" s="1">
        <f t="shared" si="30"/>
        <v>0.19937177999999997</v>
      </c>
      <c r="DM18" s="1">
        <f t="shared" si="30"/>
        <v>0.18211829000000002</v>
      </c>
      <c r="DN18" s="1">
        <f t="shared" si="30"/>
        <v>0.19639201000000001</v>
      </c>
      <c r="DO18" s="1">
        <f t="shared" si="30"/>
        <v>0.15047392000000001</v>
      </c>
      <c r="DP18" s="1">
        <f t="shared" si="30"/>
        <v>0.19393855000000002</v>
      </c>
      <c r="DQ18" s="1">
        <f t="shared" si="30"/>
        <v>0.16347327</v>
      </c>
      <c r="DR18" s="1">
        <f t="shared" si="30"/>
        <v>0.18164933</v>
      </c>
      <c r="DS18" s="1">
        <f t="shared" si="30"/>
        <v>0.25055533999999996</v>
      </c>
      <c r="DT18" s="1">
        <f t="shared" si="30"/>
        <v>0.29342396000000004</v>
      </c>
      <c r="DU18" s="1">
        <f t="shared" si="30"/>
        <v>0.26088905000000001</v>
      </c>
      <c r="DV18" s="1">
        <f t="shared" si="30"/>
        <v>0.18624962</v>
      </c>
      <c r="DW18" s="1">
        <f t="shared" si="30"/>
        <v>0.1577527</v>
      </c>
      <c r="DX18" s="1">
        <f t="shared" si="30"/>
        <v>0.24821200999999998</v>
      </c>
      <c r="DY18" s="1">
        <f t="shared" si="31"/>
        <v>0.13589592</v>
      </c>
      <c r="DZ18" s="1">
        <f t="shared" si="31"/>
        <v>0.23010199000000001</v>
      </c>
      <c r="EA18" s="1">
        <f t="shared" si="31"/>
        <v>4.8750000000000002E-2</v>
      </c>
      <c r="EB18" s="1">
        <f t="shared" si="31"/>
        <v>0.31075020000000003</v>
      </c>
      <c r="EC18" s="1">
        <f t="shared" si="31"/>
        <v>0.90541722000000002</v>
      </c>
      <c r="ED18" s="1">
        <f t="shared" si="31"/>
        <v>0.34283965</v>
      </c>
      <c r="EE18" s="1">
        <f t="shared" si="31"/>
        <v>0.74167351000000015</v>
      </c>
      <c r="EF18" s="1">
        <f t="shared" si="31"/>
        <v>0.58632921999999998</v>
      </c>
      <c r="EH18" s="14">
        <f t="shared" si="32"/>
        <v>3555</v>
      </c>
      <c r="EI18" s="14">
        <f t="shared" si="32"/>
        <v>3555</v>
      </c>
      <c r="EJ18" s="1">
        <f t="shared" si="32"/>
        <v>3555</v>
      </c>
      <c r="EK18" s="1">
        <f t="shared" si="32"/>
        <v>3555</v>
      </c>
      <c r="EL18" s="1">
        <f t="shared" si="32"/>
        <v>3735</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3"/>
        <v>2813</v>
      </c>
      <c r="EY18" s="1">
        <f t="shared" si="33"/>
        <v>2813</v>
      </c>
      <c r="EZ18" s="1">
        <f t="shared" si="33"/>
        <v>2813</v>
      </c>
      <c r="FA18" s="1">
        <f t="shared" si="33"/>
        <v>2813</v>
      </c>
      <c r="FB18" s="1">
        <f t="shared" si="33"/>
        <v>2813</v>
      </c>
      <c r="FC18" s="1">
        <f t="shared" si="33"/>
        <v>2813</v>
      </c>
      <c r="FD18" s="1">
        <f t="shared" si="33"/>
        <v>2813</v>
      </c>
      <c r="FE18" s="1">
        <f t="shared" si="33"/>
        <v>2813</v>
      </c>
      <c r="FG18" s="162">
        <f t="shared" si="34"/>
        <v>7.235506113236001E-2</v>
      </c>
    </row>
    <row r="19" spans="1:163" ht="18.75" customHeight="1">
      <c r="A19" s="244" t="s">
        <v>66</v>
      </c>
      <c r="B19" s="247"/>
      <c r="C19" s="228">
        <f t="shared" si="5"/>
        <v>0</v>
      </c>
      <c r="D19" s="229">
        <v>-1</v>
      </c>
      <c r="E19" s="477">
        <f t="shared" si="6"/>
        <v>-4.5970345347924324E-3</v>
      </c>
      <c r="F19" s="254">
        <f t="shared" si="7"/>
        <v>-2.5361534382505879E-2</v>
      </c>
      <c r="G19" s="253">
        <f t="shared" si="8"/>
        <v>6.294428875384428E-2</v>
      </c>
      <c r="H19" s="254">
        <f t="shared" si="9"/>
        <v>-6.7541323288636712E-2</v>
      </c>
      <c r="I19" s="253">
        <f t="shared" si="10"/>
        <v>-0.58137858051354441</v>
      </c>
      <c r="J19" s="254">
        <f t="shared" si="11"/>
        <v>-0.89896193958798765</v>
      </c>
      <c r="K19" s="253">
        <f t="shared" si="12"/>
        <v>0.2043961101546159</v>
      </c>
      <c r="L19" s="254">
        <f t="shared" si="13"/>
        <v>-0.7857746906681603</v>
      </c>
      <c r="M19" s="255"/>
      <c r="N19" s="256">
        <v>0</v>
      </c>
      <c r="O19" s="253">
        <f t="shared" si="35"/>
        <v>9.6567571449088119E-2</v>
      </c>
      <c r="P19" s="257">
        <f t="shared" si="36"/>
        <v>9.6567571449088119E-2</v>
      </c>
      <c r="Q19" s="253">
        <f t="shared" si="14"/>
        <v>0</v>
      </c>
      <c r="R19" s="257">
        <v>-0.01</v>
      </c>
      <c r="S19" s="255"/>
      <c r="T19" s="256">
        <v>1</v>
      </c>
      <c r="U19" s="253">
        <f t="shared" si="15"/>
        <v>0.12445646593194981</v>
      </c>
      <c r="V19" s="258">
        <f t="shared" si="16"/>
        <v>0.12445646593194981</v>
      </c>
      <c r="W19" s="253">
        <f t="shared" si="38"/>
        <v>-0.36767857174662633</v>
      </c>
      <c r="X19" s="258">
        <f t="shared" si="17"/>
        <v>-0.36767857174662633</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3</v>
      </c>
      <c r="AQ19" s="28">
        <f>VLOOKUP($A19,historia!$A$5:$CM$24,+HLOOKUP(AQ$2,historia!$A$3:$EC$4,2,FALSE),FALSE)</f>
        <v>3</v>
      </c>
      <c r="AR19" s="28">
        <f>VLOOKUP($A19,historia!$A$5:$CM$24,+HLOOKUP(AR$2,historia!$A$3:$EC$4,2,FALSE),FALSE)</f>
        <v>3</v>
      </c>
      <c r="AS19" s="28">
        <f>VLOOKUP($A19,historia!$A$5:$CM$24,+HLOOKUP(AS$2,historia!$A$3:$EC$4,2,FALSE),FALSE)</f>
        <v>4</v>
      </c>
      <c r="AT19" s="58">
        <f>VLOOKUP($A19,historia!$A$5:$CM$24,+HLOOKUP(AT$2,historia!$A$3:$EC$4,2,FALSE),FALSE)</f>
        <v>3</v>
      </c>
      <c r="AU19" s="58">
        <f>VLOOKUP($A19,historia!$A$5:$CM$24,+HLOOKUP(AU$2,historia!$A$3:$EC$4,2,FALSE),FALSE)</f>
        <v>3</v>
      </c>
      <c r="AV19" s="58">
        <f>VLOOKUP($A19,historia!$A$5:$CM$24,+HLOOKUP(AV$2,historia!$A$3:$EC$4,2,FALSE),FALSE)</f>
        <v>3</v>
      </c>
      <c r="AW19" s="58">
        <f>VLOOKUP($A19,historia!$A$5:$CM$24,+HLOOKUP(AW$2,historia!$A$3:$EC$4,2,FALSE),FALSE)</f>
        <v>4</v>
      </c>
      <c r="AX19" s="58">
        <f>VLOOKUP($A19,historia!$A$5:$CM$24,+HLOOKUP(AX$2,historia!$A$3:$EC$4,2,FALSE),FALSE)</f>
        <v>4</v>
      </c>
      <c r="AY19" s="58">
        <f>VLOOKUP($A19,historia!$A$5:$CM$24,+HLOOKUP(AY$2,historia!$A$3:$EC$4,2,FALSE),FALSE)</f>
        <v>4</v>
      </c>
      <c r="AZ19" s="58">
        <f>VLOOKUP($A19,historia!$A$5:$DG$24,+HLOOKUP(AZ$2,historia!$A$3:$EC$4,2,FALSE),FALSE)</f>
        <v>5</v>
      </c>
      <c r="BA19" s="58">
        <f>VLOOKUP($A19,historia!$A$5:$DG$24,+HLOOKUP(BA$2,historia!$A$3:$EC$4,2,FALSE),FALSE)</f>
        <v>4</v>
      </c>
      <c r="BB19" s="58"/>
      <c r="BC19" s="286">
        <v>4</v>
      </c>
      <c r="BD19" t="str">
        <f t="shared" si="20"/>
        <v>Papa</v>
      </c>
      <c r="BE19">
        <f>+datos!AV1</f>
        <v>48</v>
      </c>
      <c r="BF19" s="2" t="str">
        <f t="shared" si="4"/>
        <v>$/bolsa 20kg</v>
      </c>
      <c r="BG19" s="2">
        <f t="shared" si="4"/>
        <v>5137.5939849624065</v>
      </c>
      <c r="BH19" s="2">
        <f t="shared" si="4"/>
        <v>5161.3207547169814</v>
      </c>
      <c r="BI19" s="2">
        <f t="shared" si="4"/>
        <v>12272.649572649572</v>
      </c>
      <c r="BK19">
        <f>+datos!CI1</f>
        <v>87</v>
      </c>
      <c r="BL19" s="2">
        <f t="shared" si="21"/>
        <v>11645.230598394266</v>
      </c>
      <c r="BM19" s="2">
        <f t="shared" si="21"/>
        <v>10955.635889484571</v>
      </c>
      <c r="BN19" s="2">
        <f t="shared" si="21"/>
        <v>9668.9374037411126</v>
      </c>
      <c r="BP19" s="1">
        <f>+datos!EZ1</f>
        <v>156</v>
      </c>
      <c r="BQ19" s="1">
        <f t="shared" si="22"/>
        <v>38177</v>
      </c>
      <c r="BR19" s="1">
        <f t="shared" si="22"/>
        <v>34815</v>
      </c>
      <c r="BT19" s="1">
        <f>+datos!GT1</f>
        <v>202</v>
      </c>
      <c r="BU19" s="1">
        <f t="shared" si="23"/>
        <v>2111561</v>
      </c>
      <c r="BV19" s="1">
        <f t="shared" si="23"/>
        <v>2111561</v>
      </c>
      <c r="BX19" s="1">
        <f>+datos!JO1</f>
        <v>275</v>
      </c>
      <c r="BY19" s="1">
        <f t="shared" si="39"/>
        <v>397.98865417000002</v>
      </c>
      <c r="BZ19" s="1">
        <f t="shared" si="40"/>
        <v>353.93869503000008</v>
      </c>
      <c r="CB19" s="1">
        <f>+datos!KT1</f>
        <v>306</v>
      </c>
      <c r="CC19" s="2">
        <f t="shared" si="24"/>
        <v>12.251597650000003</v>
      </c>
      <c r="CD19" s="2">
        <f t="shared" si="25"/>
        <v>19.375585110000003</v>
      </c>
      <c r="CF19" s="1">
        <f>+datos!JB1</f>
        <v>262</v>
      </c>
      <c r="CG19" s="1">
        <f t="shared" si="26"/>
        <v>35.950000000000003</v>
      </c>
      <c r="CH19" s="1">
        <f t="shared" si="27"/>
        <v>35.950000000000003</v>
      </c>
      <c r="CJ19" s="1">
        <f t="shared" si="28"/>
        <v>31.771959519999999</v>
      </c>
      <c r="CK19" s="1">
        <f t="shared" si="28"/>
        <v>30.172516640000001</v>
      </c>
      <c r="CL19" s="1">
        <f t="shared" si="28"/>
        <v>33.254909299999994</v>
      </c>
      <c r="CM19" s="1">
        <f t="shared" si="28"/>
        <v>34.03841525</v>
      </c>
      <c r="CN19" s="1">
        <f t="shared" si="28"/>
        <v>32.790200410000004</v>
      </c>
      <c r="CO19" s="1">
        <f t="shared" si="28"/>
        <v>33.403797109999999</v>
      </c>
      <c r="CP19" s="1">
        <f t="shared" si="28"/>
        <v>26.866894470000005</v>
      </c>
      <c r="CQ19" s="1">
        <f t="shared" si="28"/>
        <v>30.959664470000003</v>
      </c>
      <c r="CR19" s="1">
        <f t="shared" si="28"/>
        <v>28.030286839999999</v>
      </c>
      <c r="CS19" s="1">
        <f t="shared" si="28"/>
        <v>35.227965569999995</v>
      </c>
      <c r="CT19" s="1">
        <f t="shared" si="28"/>
        <v>43.313690020000003</v>
      </c>
      <c r="CU19" s="1">
        <f t="shared" si="28"/>
        <v>38.158354570000007</v>
      </c>
      <c r="CV19" s="1">
        <f t="shared" si="28"/>
        <v>36.879687310000008</v>
      </c>
      <c r="CW19" s="1">
        <f t="shared" si="28"/>
        <v>30.584450140000001</v>
      </c>
      <c r="CX19" s="1">
        <f t="shared" si="28"/>
        <v>34.87822036</v>
      </c>
      <c r="CY19" s="1">
        <f t="shared" si="28"/>
        <v>30.986019150000001</v>
      </c>
      <c r="CZ19" s="1">
        <f t="shared" si="29"/>
        <v>34.45773063</v>
      </c>
      <c r="DA19" s="1">
        <f t="shared" si="29"/>
        <v>33.675059580000003</v>
      </c>
      <c r="DB19" s="1">
        <f t="shared" si="29"/>
        <v>28.924508010000004</v>
      </c>
      <c r="DC19" s="1">
        <f t="shared" si="29"/>
        <v>27.954086790000002</v>
      </c>
      <c r="DD19" s="1">
        <f t="shared" si="29"/>
        <v>24.143815810000007</v>
      </c>
      <c r="DE19" s="1">
        <f t="shared" si="29"/>
        <v>26.000694290000002</v>
      </c>
      <c r="DF19" s="1">
        <f t="shared" si="29"/>
        <v>22.013274209999999</v>
      </c>
      <c r="DG19" s="1">
        <f t="shared" si="29"/>
        <v>23.44114875</v>
      </c>
      <c r="DI19" s="1">
        <f t="shared" si="30"/>
        <v>1.1250931100000001</v>
      </c>
      <c r="DJ19" s="1">
        <f t="shared" si="30"/>
        <v>0.74439149999999998</v>
      </c>
      <c r="DK19" s="1">
        <f t="shared" si="30"/>
        <v>1.2444918700000001</v>
      </c>
      <c r="DL19" s="1">
        <f t="shared" si="30"/>
        <v>0.75058031000000003</v>
      </c>
      <c r="DM19" s="1">
        <f t="shared" si="30"/>
        <v>0.8744752400000001</v>
      </c>
      <c r="DN19" s="1">
        <f t="shared" si="30"/>
        <v>0.62052411000000007</v>
      </c>
      <c r="DO19" s="1">
        <f t="shared" si="30"/>
        <v>1.19924761</v>
      </c>
      <c r="DP19" s="1">
        <f t="shared" si="30"/>
        <v>0.86551083000000006</v>
      </c>
      <c r="DQ19" s="1">
        <f t="shared" si="30"/>
        <v>0.79831189000000002</v>
      </c>
      <c r="DR19" s="1">
        <f t="shared" si="30"/>
        <v>1.1318278900000001</v>
      </c>
      <c r="DS19" s="1">
        <f t="shared" si="30"/>
        <v>1.8442369199999997</v>
      </c>
      <c r="DT19" s="1">
        <f t="shared" si="30"/>
        <v>1.0529063700000001</v>
      </c>
      <c r="DU19" s="1">
        <f t="shared" si="30"/>
        <v>2.0286618900000004</v>
      </c>
      <c r="DV19" s="1">
        <f t="shared" si="30"/>
        <v>0.79104531999999994</v>
      </c>
      <c r="DW19" s="1">
        <f t="shared" si="30"/>
        <v>1.6294275100000002</v>
      </c>
      <c r="DX19" s="1">
        <f t="shared" si="30"/>
        <v>1.8725515799999999</v>
      </c>
      <c r="DY19" s="1">
        <f t="shared" si="31"/>
        <v>1.9938344900000002</v>
      </c>
      <c r="DZ19" s="1">
        <f t="shared" si="31"/>
        <v>1.4070700599999999</v>
      </c>
      <c r="EA19" s="1">
        <f t="shared" si="31"/>
        <v>0.5838748800000001</v>
      </c>
      <c r="EB19" s="1">
        <f t="shared" si="31"/>
        <v>1.6300787399999999</v>
      </c>
      <c r="EC19" s="1">
        <f t="shared" si="31"/>
        <v>1.5496506000000003</v>
      </c>
      <c r="ED19" s="1">
        <f t="shared" si="31"/>
        <v>2.1384397699999997</v>
      </c>
      <c r="EE19" s="1">
        <f t="shared" si="31"/>
        <v>2.7337765599999999</v>
      </c>
      <c r="EF19" s="1">
        <f t="shared" si="31"/>
        <v>1.0171737099999998</v>
      </c>
      <c r="EH19" s="14">
        <f t="shared" si="32"/>
        <v>35.950000000000003</v>
      </c>
      <c r="EI19" s="14">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G19" s="162">
        <f t="shared" si="34"/>
        <v>-0.7857746906681603</v>
      </c>
    </row>
    <row r="20" spans="1:163" ht="27" customHeight="1">
      <c r="A20" s="264" t="s">
        <v>218</v>
      </c>
      <c r="B20" s="246"/>
      <c r="C20" s="156">
        <f t="shared" si="5"/>
        <v>0</v>
      </c>
      <c r="D20" s="198">
        <v>-1</v>
      </c>
      <c r="E20" s="248">
        <f t="shared" si="6"/>
        <v>-2.8279628531552303E-2</v>
      </c>
      <c r="F20" s="249">
        <f t="shared" si="7"/>
        <v>-4.904412837926575E-2</v>
      </c>
      <c r="G20" s="248">
        <f t="shared" si="8"/>
        <v>4.4739204385074505E-2</v>
      </c>
      <c r="H20" s="249">
        <f t="shared" si="9"/>
        <v>-7.3018832916626808E-2</v>
      </c>
      <c r="I20" s="248">
        <f t="shared" si="10"/>
        <v>2.6283647858990289E-2</v>
      </c>
      <c r="J20" s="249">
        <f t="shared" si="11"/>
        <v>-0.29129971121545295</v>
      </c>
      <c r="K20" s="248">
        <f t="shared" si="12"/>
        <v>0.33684837377782606</v>
      </c>
      <c r="L20" s="249">
        <f t="shared" si="13"/>
        <v>-0.31056472591883577</v>
      </c>
      <c r="M20" s="250"/>
      <c r="N20" s="24">
        <v>-1</v>
      </c>
      <c r="O20" s="248">
        <f t="shared" si="35"/>
        <v>0</v>
      </c>
      <c r="P20" s="251">
        <f t="shared" si="36"/>
        <v>0</v>
      </c>
      <c r="Q20" s="248">
        <f t="shared" si="14"/>
        <v>8.507251193954124E-2</v>
      </c>
      <c r="R20" s="251">
        <f t="shared" si="37"/>
        <v>8.507251193954124E-2</v>
      </c>
      <c r="S20" s="250"/>
      <c r="T20" s="24">
        <v>2</v>
      </c>
      <c r="U20" s="248">
        <f t="shared" si="15"/>
        <v>0.23008615408183464</v>
      </c>
      <c r="V20" s="252">
        <f t="shared" si="16"/>
        <v>0.23008615408183464</v>
      </c>
      <c r="W20" s="248">
        <f t="shared" si="38"/>
        <v>0.35246586999921581</v>
      </c>
      <c r="X20" s="252">
        <f t="shared" si="17"/>
        <v>0.35246586999921581</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3</v>
      </c>
      <c r="AQ20" s="28">
        <f>VLOOKUP($A20,historia!$A$5:$CM$24,+HLOOKUP(AQ$2,historia!$A$3:$EC$4,2,FALSE),FALSE)</f>
        <v>3</v>
      </c>
      <c r="AR20" s="28">
        <f>VLOOKUP($A20,historia!$A$5:$CM$24,+HLOOKUP(AR$2,historia!$A$3:$EC$4,2,FALSE),FALSE)</f>
        <v>3</v>
      </c>
      <c r="AS20" s="28">
        <f>VLOOKUP($A20,historia!$A$5:$CM$24,+HLOOKUP(AS$2,historia!$A$3:$EC$4,2,FALSE),FALSE)</f>
        <v>3</v>
      </c>
      <c r="AT20" s="58">
        <f>VLOOKUP($A20,historia!$A$5:$CM$24,+HLOOKUP(AT$2,historia!$A$3:$EC$4,2,FALSE),FALSE)</f>
        <v>4</v>
      </c>
      <c r="AU20" s="58">
        <f>VLOOKUP($A20,historia!$A$5:$CM$24,+HLOOKUP(AU$2,historia!$A$3:$EC$4,2,FALSE),FALSE)</f>
        <v>4</v>
      </c>
      <c r="AV20" s="58">
        <f>VLOOKUP($A20,historia!$A$5:$CM$24,+HLOOKUP(AV$2,historia!$A$3:$EC$4,2,FALSE),FALSE)</f>
        <v>4</v>
      </c>
      <c r="AW20" s="58">
        <f>VLOOKUP($A20,historia!$A$5:$CM$24,+HLOOKUP(AW$2,historia!$A$3:$EC$4,2,FALSE),FALSE)</f>
        <v>4</v>
      </c>
      <c r="AX20" s="58">
        <f>VLOOKUP($A20,historia!$A$5:$CM$24,+HLOOKUP(AX$2,historia!$A$3:$EC$4,2,FALSE),FALSE)</f>
        <v>3</v>
      </c>
      <c r="AY20" s="58">
        <f>VLOOKUP($A20,historia!$A$5:$CM$24,+HLOOKUP(AY$2,historia!$A$3:$EC$4,2,FALSE),FALSE)</f>
        <v>2</v>
      </c>
      <c r="AZ20" s="58">
        <f>VLOOKUP($A20,historia!$A$5:$DG$24,+HLOOKUP(AZ$2,historia!$A$3:$EC$4,2,FALSE),FALSE)</f>
        <v>2</v>
      </c>
      <c r="BA20" s="58">
        <f>VLOOKUP($A20,historia!$A$5:$DG$24,+HLOOKUP(BA$2,historia!$A$3:$EC$4,2,FALSE),FALSE)</f>
        <v>3</v>
      </c>
      <c r="BB20" s="58"/>
      <c r="BC20" s="286">
        <v>3</v>
      </c>
      <c r="BD20" t="str">
        <f t="shared" si="20"/>
        <v>Peras y Manzanas</v>
      </c>
      <c r="BE20">
        <f>+datos!AP1</f>
        <v>42</v>
      </c>
      <c r="BF20" s="2" t="str">
        <f t="shared" si="4"/>
        <v>$/caja 18kg</v>
      </c>
      <c r="BG20" s="2">
        <f t="shared" si="4"/>
        <v>19478.863636363636</v>
      </c>
      <c r="BH20" s="2">
        <f t="shared" si="4"/>
        <v>20045.75</v>
      </c>
      <c r="BI20" s="2">
        <f t="shared" si="4"/>
        <v>18980</v>
      </c>
      <c r="BK20">
        <f>+datos!CS1</f>
        <v>97</v>
      </c>
      <c r="BL20" s="2">
        <f t="shared" si="21"/>
        <v>11516.740933956224</v>
      </c>
      <c r="BM20" s="2">
        <f t="shared" si="21"/>
        <v>11023.555817200226</v>
      </c>
      <c r="BN20" s="2">
        <f t="shared" si="21"/>
        <v>8614.844555191281</v>
      </c>
      <c r="BP20" s="1">
        <f>+datos!FC1</f>
        <v>159</v>
      </c>
      <c r="BQ20" s="1">
        <f t="shared" si="22"/>
        <v>38084</v>
      </c>
      <c r="BR20" s="1">
        <f t="shared" si="22"/>
        <v>38084</v>
      </c>
      <c r="BT20" s="1">
        <f>+datos!GW1</f>
        <v>205</v>
      </c>
      <c r="BU20" s="1">
        <f t="shared" si="23"/>
        <v>806338</v>
      </c>
      <c r="BV20" s="1">
        <f t="shared" si="23"/>
        <v>743119</v>
      </c>
      <c r="BX20" s="1">
        <f>+datos!LS1</f>
        <v>331</v>
      </c>
      <c r="BY20" s="1">
        <f t="shared" si="39"/>
        <v>455.10533784000017</v>
      </c>
      <c r="BZ20" s="1">
        <f t="shared" si="40"/>
        <v>369.97842494999998</v>
      </c>
      <c r="CB20" s="1">
        <f>+datos!LW1</f>
        <v>335</v>
      </c>
      <c r="CC20" s="2">
        <f t="shared" si="24"/>
        <v>5.2462042899999988</v>
      </c>
      <c r="CD20" s="2">
        <f t="shared" si="25"/>
        <v>3.8789920000000007</v>
      </c>
      <c r="CF20" s="1">
        <f>+datos!JC1</f>
        <v>263</v>
      </c>
      <c r="CG20" s="1">
        <f t="shared" si="26"/>
        <v>0</v>
      </c>
      <c r="CH20" s="1">
        <f t="shared" si="27"/>
        <v>0</v>
      </c>
      <c r="CJ20" s="1">
        <f t="shared" si="28"/>
        <v>41.046257050000001</v>
      </c>
      <c r="CK20" s="1">
        <f t="shared" si="28"/>
        <v>31.183989080000003</v>
      </c>
      <c r="CL20" s="1">
        <f t="shared" si="28"/>
        <v>31.314835450000004</v>
      </c>
      <c r="CM20" s="1">
        <f t="shared" si="28"/>
        <v>42.986147830000007</v>
      </c>
      <c r="CN20" s="1">
        <f t="shared" si="28"/>
        <v>54.859389430000007</v>
      </c>
      <c r="CO20" s="1">
        <f t="shared" si="28"/>
        <v>51.150985829999996</v>
      </c>
      <c r="CP20" s="1">
        <f t="shared" si="28"/>
        <v>59.173949850000007</v>
      </c>
      <c r="CQ20" s="1">
        <f t="shared" si="28"/>
        <v>46.396857000000011</v>
      </c>
      <c r="CR20" s="1">
        <f t="shared" si="28"/>
        <v>23.934850630000003</v>
      </c>
      <c r="CS20" s="1">
        <f t="shared" si="28"/>
        <v>23.934850630000003</v>
      </c>
      <c r="CT20" s="1">
        <f t="shared" si="28"/>
        <v>23.934850630000003</v>
      </c>
      <c r="CU20" s="1">
        <f t="shared" si="28"/>
        <v>25.188374430000003</v>
      </c>
      <c r="CV20" s="1">
        <f t="shared" si="28"/>
        <v>22.303018159999997</v>
      </c>
      <c r="CW20" s="1">
        <f t="shared" si="28"/>
        <v>14.93334776</v>
      </c>
      <c r="CX20" s="1">
        <f t="shared" si="28"/>
        <v>35.336569390000001</v>
      </c>
      <c r="CY20" s="1">
        <f t="shared" si="28"/>
        <v>46.662709379999995</v>
      </c>
      <c r="CZ20" s="1">
        <f t="shared" si="29"/>
        <v>45.302769560000002</v>
      </c>
      <c r="DA20" s="1">
        <f t="shared" si="29"/>
        <v>46.856289650000001</v>
      </c>
      <c r="DB20" s="1">
        <f t="shared" si="29"/>
        <v>60.076282149999997</v>
      </c>
      <c r="DC20" s="1">
        <f t="shared" si="29"/>
        <v>42.744570039999999</v>
      </c>
      <c r="DD20" s="1">
        <f t="shared" si="29"/>
        <v>11.509203560000001</v>
      </c>
      <c r="DE20" s="1">
        <f t="shared" si="29"/>
        <v>11.753879789999999</v>
      </c>
      <c r="DF20" s="1">
        <f t="shared" si="29"/>
        <v>15.619426270000002</v>
      </c>
      <c r="DG20" s="1">
        <f t="shared" si="29"/>
        <v>16.880359240000001</v>
      </c>
      <c r="DI20" s="1">
        <f t="shared" si="30"/>
        <v>0.43976497000000003</v>
      </c>
      <c r="DJ20" s="1">
        <f t="shared" si="30"/>
        <v>0.72520266</v>
      </c>
      <c r="DK20" s="1">
        <f t="shared" si="30"/>
        <v>1.1922353400000001</v>
      </c>
      <c r="DL20" s="1">
        <f t="shared" si="30"/>
        <v>1.0915780799999999</v>
      </c>
      <c r="DM20" s="1">
        <f t="shared" si="30"/>
        <v>0.5667896</v>
      </c>
      <c r="DN20" s="1">
        <f t="shared" si="30"/>
        <v>0.43323378000000001</v>
      </c>
      <c r="DO20" s="1">
        <f t="shared" si="30"/>
        <v>0.20107160000000002</v>
      </c>
      <c r="DP20" s="1">
        <f t="shared" si="30"/>
        <v>4.7323499999999998E-2</v>
      </c>
      <c r="DQ20" s="1">
        <f t="shared" si="30"/>
        <v>0.18245199000000001</v>
      </c>
      <c r="DR20" s="1">
        <f t="shared" si="30"/>
        <v>6.8745290000000001E-2</v>
      </c>
      <c r="DS20" s="1">
        <f t="shared" si="30"/>
        <v>0.21798748000000001</v>
      </c>
      <c r="DT20" s="1">
        <f t="shared" si="30"/>
        <v>7.9820000000000002E-2</v>
      </c>
      <c r="DU20" s="1">
        <f t="shared" si="30"/>
        <v>0.14837025000000001</v>
      </c>
      <c r="DV20" s="1">
        <f t="shared" si="30"/>
        <v>0.3865221499999999</v>
      </c>
      <c r="DW20" s="1">
        <f t="shared" si="30"/>
        <v>0.51794252000000007</v>
      </c>
      <c r="DX20" s="1">
        <f t="shared" si="30"/>
        <v>0.37362660000000003</v>
      </c>
      <c r="DY20" s="1">
        <f t="shared" si="31"/>
        <v>0.32288670000000003</v>
      </c>
      <c r="DZ20" s="1">
        <f t="shared" si="31"/>
        <v>0.29487440000000004</v>
      </c>
      <c r="EA20" s="1">
        <f t="shared" si="31"/>
        <v>7.78142E-2</v>
      </c>
      <c r="EB20" s="1">
        <f t="shared" si="31"/>
        <v>0.12479459999999999</v>
      </c>
      <c r="EC20" s="1">
        <f t="shared" si="31"/>
        <v>8.4911199999999992E-2</v>
      </c>
      <c r="ED20" s="1">
        <f t="shared" si="31"/>
        <v>0.22142464000000001</v>
      </c>
      <c r="EE20" s="1">
        <f t="shared" si="31"/>
        <v>1.01853964</v>
      </c>
      <c r="EF20" s="1">
        <f t="shared" si="31"/>
        <v>0.30728509999999998</v>
      </c>
      <c r="EH20" s="14">
        <f t="shared" si="32"/>
        <v>0</v>
      </c>
      <c r="EI20" s="14">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3"/>
        <v>0</v>
      </c>
      <c r="EY20" s="1">
        <f t="shared" si="33"/>
        <v>0</v>
      </c>
      <c r="EZ20" s="1">
        <f t="shared" si="33"/>
        <v>0</v>
      </c>
      <c r="FA20" s="1">
        <f t="shared" si="33"/>
        <v>0</v>
      </c>
      <c r="FB20" s="1">
        <f t="shared" si="33"/>
        <v>0</v>
      </c>
      <c r="FC20" s="1">
        <f t="shared" si="33"/>
        <v>0</v>
      </c>
      <c r="FD20" s="1">
        <f t="shared" si="33"/>
        <v>0</v>
      </c>
      <c r="FE20" s="1">
        <f t="shared" si="33"/>
        <v>0</v>
      </c>
      <c r="FG20" s="162">
        <f t="shared" si="34"/>
        <v>-0.31056472591883577</v>
      </c>
    </row>
    <row r="21" spans="1:163" ht="18" customHeight="1">
      <c r="A21" s="244" t="s">
        <v>121</v>
      </c>
      <c r="B21" s="247"/>
      <c r="C21" s="228">
        <f t="shared" si="5"/>
        <v>0</v>
      </c>
      <c r="D21" s="229">
        <v>-2</v>
      </c>
      <c r="E21" s="253">
        <f t="shared" si="6"/>
        <v>4.393620222690342E-2</v>
      </c>
      <c r="F21" s="254">
        <f t="shared" si="7"/>
        <v>2.3171702379189973E-2</v>
      </c>
      <c r="G21" s="253">
        <f t="shared" si="8"/>
        <v>6.1702786134015364E-2</v>
      </c>
      <c r="H21" s="254">
        <f t="shared" si="9"/>
        <v>-1.7766583907111944E-2</v>
      </c>
      <c r="I21" s="253">
        <f t="shared" si="10"/>
        <v>0.28448180101455178</v>
      </c>
      <c r="J21" s="254">
        <f t="shared" si="11"/>
        <v>-3.3101558059891456E-2</v>
      </c>
      <c r="K21" s="253">
        <f t="shared" si="12"/>
        <v>0.4051017336056062</v>
      </c>
      <c r="L21" s="254">
        <f t="shared" si="13"/>
        <v>-0.12061993259105441</v>
      </c>
      <c r="M21" s="255"/>
      <c r="N21" s="256">
        <v>1</v>
      </c>
      <c r="O21" s="253">
        <f t="shared" si="35"/>
        <v>-2.0839332713567749E-2</v>
      </c>
      <c r="P21" s="257">
        <f t="shared" si="36"/>
        <v>-2.0839332713567749E-2</v>
      </c>
      <c r="Q21" s="253">
        <f t="shared" si="14"/>
        <v>1.6473737344011363E-2</v>
      </c>
      <c r="R21" s="257">
        <f t="shared" si="37"/>
        <v>1.6473737344011363E-2</v>
      </c>
      <c r="S21" s="255"/>
      <c r="T21" s="256">
        <v>1</v>
      </c>
      <c r="U21" s="253">
        <f t="shared" si="15"/>
        <v>8.7995139232696307E-2</v>
      </c>
      <c r="V21" s="258">
        <f t="shared" si="16"/>
        <v>8.7995139232696307E-2</v>
      </c>
      <c r="W21" s="253">
        <f t="shared" si="38"/>
        <v>3.1635443229335252</v>
      </c>
      <c r="X21" s="258">
        <f t="shared" si="17"/>
        <v>3.1635443229335252</v>
      </c>
      <c r="Y21" s="253">
        <f t="shared" si="18"/>
        <v>0.10714285714285721</v>
      </c>
      <c r="Z21" s="258">
        <f t="shared" si="19"/>
        <v>0.10714285714285721</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3</v>
      </c>
      <c r="AQ21" s="28">
        <f>VLOOKUP($A21,historia!$A$5:$CM$24,+HLOOKUP(AQ$2,historia!$A$3:$EC$4,2,FALSE),FALSE)</f>
        <v>3</v>
      </c>
      <c r="AR21" s="28">
        <f>VLOOKUP($A21,historia!$A$5:$CM$24,+HLOOKUP(AR$2,historia!$A$3:$EC$4,2,FALSE),FALSE)</f>
        <v>3</v>
      </c>
      <c r="AS21" s="28">
        <f>VLOOKUP($A21,historia!$A$5:$CM$24,+HLOOKUP(AS$2,historia!$A$3:$EC$4,2,FALSE),FALSE)</f>
        <v>2</v>
      </c>
      <c r="AT21" s="58">
        <f>VLOOKUP($A21,historia!$A$5:$CM$24,+HLOOKUP(AT$2,historia!$A$3:$EC$4,2,FALSE),FALSE)</f>
        <v>3</v>
      </c>
      <c r="AU21" s="58">
        <f>VLOOKUP($A21,historia!$A$5:$CM$24,+HLOOKUP(AU$2,historia!$A$3:$EC$4,2,FALSE),FALSE)</f>
        <v>3</v>
      </c>
      <c r="AV21" s="58">
        <f>VLOOKUP($A21,historia!$A$5:$CM$24,+HLOOKUP(AV$2,historia!$A$3:$EC$4,2,FALSE),FALSE)</f>
        <v>3</v>
      </c>
      <c r="AW21" s="58">
        <f>VLOOKUP($A21,historia!$A$5:$CM$24,+HLOOKUP(AW$2,historia!$A$3:$EC$4,2,FALSE),FALSE)</f>
        <v>2</v>
      </c>
      <c r="AX21" s="58">
        <f>VLOOKUP($A21,historia!$A$5:$CM$24,+HLOOKUP(AX$2,historia!$A$3:$EC$4,2,FALSE),FALSE)</f>
        <v>1</v>
      </c>
      <c r="AY21" s="58">
        <f>VLOOKUP($A21,historia!$A$5:$CM$24,+HLOOKUP(AY$2,historia!$A$3:$EC$4,2,FALSE),FALSE)</f>
        <v>1</v>
      </c>
      <c r="AZ21" s="58">
        <f>VLOOKUP($A21,historia!$A$5:$DG$24,+HLOOKUP(AZ$2,historia!$A$3:$EC$4,2,FALSE),FALSE)</f>
        <v>2</v>
      </c>
      <c r="BA21" s="58">
        <f>VLOOKUP($A21,historia!$A$5:$DG$24,+HLOOKUP(BA$2,historia!$A$3:$EC$4,2,FALSE),FALSE)</f>
        <v>2</v>
      </c>
      <c r="BB21" s="58"/>
      <c r="BC21" s="286">
        <v>2</v>
      </c>
      <c r="BD21" t="str">
        <f t="shared" si="20"/>
        <v>Porcinos</v>
      </c>
      <c r="BE21">
        <f>+datos!BR1</f>
        <v>70</v>
      </c>
      <c r="BF21" s="2" t="str">
        <f t="shared" si="4"/>
        <v>$/kg</v>
      </c>
      <c r="BG21" s="2">
        <f t="shared" si="4"/>
        <v>1734.5</v>
      </c>
      <c r="BH21" s="2">
        <f t="shared" si="4"/>
        <v>1661.5</v>
      </c>
      <c r="BI21" s="2">
        <f t="shared" si="4"/>
        <v>1350.35</v>
      </c>
      <c r="BK21">
        <f>+datos!DD1</f>
        <v>108</v>
      </c>
      <c r="BL21" s="2">
        <f t="shared" si="21"/>
        <v>11865.793314837641</v>
      </c>
      <c r="BM21" s="2">
        <f t="shared" si="21"/>
        <v>11176.191180626571</v>
      </c>
      <c r="BN21" s="2">
        <f t="shared" si="21"/>
        <v>8444.7930217757566</v>
      </c>
      <c r="BP21" s="1">
        <f>+datos!EJ1</f>
        <v>140</v>
      </c>
      <c r="BQ21" s="1">
        <f t="shared" si="22"/>
        <v>5987778</v>
      </c>
      <c r="BR21" s="1">
        <f t="shared" si="22"/>
        <v>6115215</v>
      </c>
      <c r="BT21" s="1">
        <f>+datos!HE1</f>
        <v>213</v>
      </c>
      <c r="BU21" s="1">
        <f t="shared" si="23"/>
        <v>794422</v>
      </c>
      <c r="BV21" s="1">
        <f t="shared" si="23"/>
        <v>781547</v>
      </c>
      <c r="BX21" s="1">
        <f>+datos!KJ1</f>
        <v>296</v>
      </c>
      <c r="BY21" s="1">
        <f t="shared" si="39"/>
        <v>26.583090989999999</v>
      </c>
      <c r="BZ21" s="1">
        <f t="shared" si="40"/>
        <v>24.433097199999999</v>
      </c>
      <c r="CB21" s="1">
        <f>+datos!LO1</f>
        <v>327</v>
      </c>
      <c r="CC21" s="2">
        <f t="shared" si="24"/>
        <v>169.60232207000001</v>
      </c>
      <c r="CD21" s="2">
        <f t="shared" si="25"/>
        <v>40.735082640000002</v>
      </c>
      <c r="CF21" s="1">
        <f>+datos!IO1</f>
        <v>249</v>
      </c>
      <c r="CG21" s="1">
        <f t="shared" si="26"/>
        <v>18.600000000000001</v>
      </c>
      <c r="CH21" s="1">
        <f t="shared" si="27"/>
        <v>16.8</v>
      </c>
      <c r="CJ21" s="1">
        <f t="shared" si="28"/>
        <v>2.8298719000000001</v>
      </c>
      <c r="CK21" s="1">
        <f t="shared" si="28"/>
        <v>2.08934314</v>
      </c>
      <c r="CL21" s="1">
        <f t="shared" si="28"/>
        <v>2.1371287799999998</v>
      </c>
      <c r="CM21" s="1">
        <f t="shared" si="28"/>
        <v>2.3754365900000001</v>
      </c>
      <c r="CN21" s="1">
        <f t="shared" si="28"/>
        <v>2.2921349499999994</v>
      </c>
      <c r="CO21" s="1">
        <f t="shared" si="28"/>
        <v>1.76811707</v>
      </c>
      <c r="CP21" s="1">
        <f t="shared" si="28"/>
        <v>1.0764735399999998</v>
      </c>
      <c r="CQ21" s="1">
        <f t="shared" si="28"/>
        <v>3.87511991</v>
      </c>
      <c r="CR21" s="1">
        <f t="shared" si="28"/>
        <v>1.4111442899999997</v>
      </c>
      <c r="CS21" s="1">
        <f t="shared" si="28"/>
        <v>1.9463367499999997</v>
      </c>
      <c r="CT21" s="1">
        <f t="shared" si="28"/>
        <v>1.6096260199999999</v>
      </c>
      <c r="CU21" s="1">
        <f t="shared" si="28"/>
        <v>3.1723580499999997</v>
      </c>
      <c r="CV21" s="1">
        <f t="shared" si="28"/>
        <v>2.1279038099999998</v>
      </c>
      <c r="CW21" s="1">
        <f t="shared" si="28"/>
        <v>2.3778769799999995</v>
      </c>
      <c r="CX21" s="1">
        <f t="shared" si="28"/>
        <v>4.3175895799999999</v>
      </c>
      <c r="CY21" s="1">
        <f t="shared" si="28"/>
        <v>2.7596131099999996</v>
      </c>
      <c r="CZ21" s="1">
        <f t="shared" si="29"/>
        <v>1.9296841299999996</v>
      </c>
      <c r="DA21" s="1">
        <f t="shared" si="29"/>
        <v>2.2533318799999997</v>
      </c>
      <c r="DB21" s="1">
        <f t="shared" si="29"/>
        <v>1.55421593</v>
      </c>
      <c r="DC21" s="1">
        <f t="shared" si="29"/>
        <v>1.56892272</v>
      </c>
      <c r="DD21" s="1">
        <f t="shared" si="29"/>
        <v>1.2009935999999999</v>
      </c>
      <c r="DE21" s="1">
        <f t="shared" si="29"/>
        <v>1.5576121499999998</v>
      </c>
      <c r="DF21" s="1">
        <f t="shared" si="29"/>
        <v>1.3743196699999998</v>
      </c>
      <c r="DG21" s="1">
        <f t="shared" si="29"/>
        <v>1.4110336399999999</v>
      </c>
      <c r="DI21" s="1">
        <f t="shared" si="30"/>
        <v>13.92452713</v>
      </c>
      <c r="DJ21" s="1">
        <f t="shared" si="30"/>
        <v>11.75892646</v>
      </c>
      <c r="DK21" s="1">
        <f t="shared" si="30"/>
        <v>11.837628230000002</v>
      </c>
      <c r="DL21" s="1">
        <f t="shared" si="30"/>
        <v>13.531613630000001</v>
      </c>
      <c r="DM21" s="1">
        <f t="shared" si="30"/>
        <v>19.3334501</v>
      </c>
      <c r="DN21" s="1">
        <f t="shared" si="30"/>
        <v>18.318769970000002</v>
      </c>
      <c r="DO21" s="1">
        <f t="shared" si="30"/>
        <v>14.031594299999998</v>
      </c>
      <c r="DP21" s="1">
        <f t="shared" si="30"/>
        <v>14.447589379999997</v>
      </c>
      <c r="DQ21" s="1">
        <f t="shared" si="30"/>
        <v>14.265215759999998</v>
      </c>
      <c r="DR21" s="1">
        <f t="shared" si="30"/>
        <v>16.354180840000001</v>
      </c>
      <c r="DS21" s="1">
        <f t="shared" si="30"/>
        <v>10.919699229999997</v>
      </c>
      <c r="DT21" s="1">
        <f t="shared" si="30"/>
        <v>10.87912704</v>
      </c>
      <c r="DU21" s="1">
        <f t="shared" si="30"/>
        <v>7.3519509899999989</v>
      </c>
      <c r="DV21" s="1">
        <f t="shared" si="30"/>
        <v>4.9251834299999988</v>
      </c>
      <c r="DW21" s="1">
        <f t="shared" si="30"/>
        <v>2.5935797799999998</v>
      </c>
      <c r="DX21" s="1">
        <f t="shared" ref="DX21:EF24" si="41">+VLOOKUP(DX$1,ran_dat,$CB21,FALSE)</f>
        <v>1.7163214500000001</v>
      </c>
      <c r="DY21" s="1">
        <f t="shared" si="41"/>
        <v>2.7920763000000002</v>
      </c>
      <c r="DZ21" s="1">
        <f t="shared" si="41"/>
        <v>3.5088459899999997</v>
      </c>
      <c r="EA21" s="1">
        <f t="shared" si="41"/>
        <v>2.2524288500000003</v>
      </c>
      <c r="EB21" s="1">
        <f t="shared" si="41"/>
        <v>5.2341166499999998</v>
      </c>
      <c r="EC21" s="1">
        <f t="shared" si="41"/>
        <v>3.1162246899999997</v>
      </c>
      <c r="ED21" s="1">
        <f t="shared" si="41"/>
        <v>3.3747357299999998</v>
      </c>
      <c r="EE21" s="1">
        <f t="shared" si="41"/>
        <v>1.8536983500000002</v>
      </c>
      <c r="EF21" s="1">
        <f t="shared" si="41"/>
        <v>2.01592043</v>
      </c>
      <c r="EH21" s="14">
        <f t="shared" si="32"/>
        <v>18.600000000000001</v>
      </c>
      <c r="EI21" s="14">
        <f t="shared" si="32"/>
        <v>18.38</v>
      </c>
      <c r="EJ21" s="1">
        <f t="shared" si="32"/>
        <v>18.28</v>
      </c>
      <c r="EK21" s="1">
        <f t="shared" si="32"/>
        <v>18.239999999999998</v>
      </c>
      <c r="EL21" s="1">
        <f t="shared" si="32"/>
        <v>18.079999999999998</v>
      </c>
      <c r="EM21" s="1">
        <f t="shared" si="32"/>
        <v>17.989999999999998</v>
      </c>
      <c r="EN21" s="1">
        <f t="shared" si="32"/>
        <v>17.850000000000001</v>
      </c>
      <c r="EO21" s="1">
        <f t="shared" si="32"/>
        <v>17.73</v>
      </c>
      <c r="EP21" s="1">
        <f t="shared" si="32"/>
        <v>17.510000000000002</v>
      </c>
      <c r="EQ21" s="1">
        <f t="shared" si="32"/>
        <v>17.13</v>
      </c>
      <c r="ER21" s="1">
        <f t="shared" si="32"/>
        <v>16.89</v>
      </c>
      <c r="ES21" s="1">
        <f t="shared" si="32"/>
        <v>16.87</v>
      </c>
      <c r="ET21" s="1">
        <f t="shared" si="32"/>
        <v>16.8</v>
      </c>
      <c r="EU21" s="1">
        <f t="shared" si="32"/>
        <v>16.760000000000002</v>
      </c>
      <c r="EV21" s="1">
        <f t="shared" si="32"/>
        <v>16.84</v>
      </c>
      <c r="EW21" s="1">
        <f t="shared" ref="EW21:FE24" si="42">+VLOOKUP(EW$1,ran_dat,$CF21,FALSE)</f>
        <v>16.64</v>
      </c>
      <c r="EX21" s="1">
        <f t="shared" si="42"/>
        <v>16.68</v>
      </c>
      <c r="EY21" s="1">
        <f t="shared" si="42"/>
        <v>16.62</v>
      </c>
      <c r="EZ21" s="1">
        <f t="shared" si="42"/>
        <v>16.5</v>
      </c>
      <c r="FA21" s="1">
        <f t="shared" si="42"/>
        <v>16.64</v>
      </c>
      <c r="FB21" s="1">
        <f t="shared" si="42"/>
        <v>16.68</v>
      </c>
      <c r="FC21" s="1">
        <f t="shared" si="42"/>
        <v>16.72</v>
      </c>
      <c r="FD21" s="1">
        <f t="shared" si="42"/>
        <v>16.75</v>
      </c>
      <c r="FE21" s="1">
        <f t="shared" si="42"/>
        <v>16.760000000000002</v>
      </c>
      <c r="FG21" s="162">
        <f t="shared" si="34"/>
        <v>-0.12061993259105441</v>
      </c>
    </row>
    <row r="22" spans="1:163" ht="18.75" customHeight="1">
      <c r="A22" s="243" t="s">
        <v>75</v>
      </c>
      <c r="B22" s="246"/>
      <c r="C22" s="156">
        <f t="shared" si="5"/>
        <v>0.66</v>
      </c>
      <c r="D22" s="198">
        <v>1</v>
      </c>
      <c r="E22" s="248">
        <f t="shared" si="6"/>
        <v>6.6364225534672583E-2</v>
      </c>
      <c r="F22" s="249">
        <f t="shared" si="7"/>
        <v>4.5599725686959136E-2</v>
      </c>
      <c r="G22" s="248">
        <f t="shared" si="8"/>
        <v>4.8788079433103038E-2</v>
      </c>
      <c r="H22" s="249">
        <f t="shared" si="9"/>
        <v>1.7576146101569545E-2</v>
      </c>
      <c r="I22" s="248">
        <f t="shared" si="10"/>
        <v>0.34318367346938761</v>
      </c>
      <c r="J22" s="249">
        <f t="shared" si="11"/>
        <v>2.5600314394944368E-2</v>
      </c>
      <c r="K22" s="248">
        <f t="shared" si="12"/>
        <v>0.39358630159476182</v>
      </c>
      <c r="L22" s="249">
        <f t="shared" si="13"/>
        <v>-5.0402628125374216E-2</v>
      </c>
      <c r="M22" s="250"/>
      <c r="N22" s="24">
        <v>0</v>
      </c>
      <c r="O22" s="248">
        <f t="shared" si="35"/>
        <v>0</v>
      </c>
      <c r="P22" s="251">
        <f t="shared" si="36"/>
        <v>0</v>
      </c>
      <c r="Q22" s="248">
        <f t="shared" si="14"/>
        <v>0.17001165379676175</v>
      </c>
      <c r="R22" s="251">
        <f t="shared" si="37"/>
        <v>0.17001165379676175</v>
      </c>
      <c r="S22" s="250"/>
      <c r="T22" s="24">
        <v>1</v>
      </c>
      <c r="U22" s="248">
        <f t="shared" si="15"/>
        <v>0.12095787374673739</v>
      </c>
      <c r="V22" s="252">
        <f t="shared" si="16"/>
        <v>0.12095787374673739</v>
      </c>
      <c r="W22" s="248">
        <f t="shared" si="38"/>
        <v>7.6555709280410555E-2</v>
      </c>
      <c r="X22" s="252">
        <f t="shared" si="17"/>
        <v>7.6555709280410555E-2</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2</v>
      </c>
      <c r="AQ22" s="28">
        <f>VLOOKUP($A22,historia!$A$5:$CM$24,+HLOOKUP(AQ$2,historia!$A$3:$EC$4,2,FALSE),FALSE)</f>
        <v>2</v>
      </c>
      <c r="AR22" s="28">
        <f>VLOOKUP($A22,historia!$A$5:$CM$24,+HLOOKUP(AR$2,historia!$A$3:$EC$4,2,FALSE),FALSE)</f>
        <v>2</v>
      </c>
      <c r="AS22" s="28">
        <f>VLOOKUP($A22,historia!$A$5:$CM$24,+HLOOKUP(AS$2,historia!$A$3:$EC$4,2,FALSE),FALSE)</f>
        <v>2</v>
      </c>
      <c r="AT22" s="58">
        <f>VLOOKUP($A22,historia!$A$5:$CM$24,+HLOOKUP(AT$2,historia!$A$3:$EC$4,2,FALSE),FALSE)</f>
        <v>3</v>
      </c>
      <c r="AU22" s="58">
        <f>VLOOKUP($A22,historia!$A$5:$CM$24,+HLOOKUP(AU$2,historia!$A$3:$EC$4,2,FALSE),FALSE)</f>
        <v>3</v>
      </c>
      <c r="AV22" s="58">
        <f>VLOOKUP($A22,historia!$A$5:$CM$24,+HLOOKUP(AV$2,historia!$A$3:$EC$4,2,FALSE),FALSE)</f>
        <v>3</v>
      </c>
      <c r="AW22" s="58">
        <f>VLOOKUP($A22,historia!$A$5:$CM$24,+HLOOKUP(AW$2,historia!$A$3:$EC$4,2,FALSE),FALSE)</f>
        <v>3</v>
      </c>
      <c r="AX22" s="58">
        <f>VLOOKUP($A22,historia!$A$5:$CM$24,+HLOOKUP(AX$2,historia!$A$3:$EC$4,2,FALSE),FALSE)</f>
        <v>3</v>
      </c>
      <c r="AY22" s="58">
        <f>VLOOKUP($A22,historia!$A$5:$CM$24,+HLOOKUP(AY$2,historia!$A$3:$EC$4,2,FALSE),FALSE)</f>
        <v>3</v>
      </c>
      <c r="AZ22" s="58">
        <f>VLOOKUP($A22,historia!$A$5:$DG$24,+HLOOKUP(AZ$2,historia!$A$3:$EC$4,2,FALSE),FALSE)</f>
        <v>3</v>
      </c>
      <c r="BA22" s="58">
        <f>VLOOKUP($A22,historia!$A$5:$DG$24,+HLOOKUP(BA$2,historia!$A$3:$EC$4,2,FALSE),FALSE)</f>
        <v>3</v>
      </c>
      <c r="BB22" s="58"/>
      <c r="BC22" s="286">
        <v>3</v>
      </c>
      <c r="BD22" t="str">
        <f t="shared" si="20"/>
        <v>Tabaco</v>
      </c>
      <c r="BE22">
        <f>+datos!BJ1</f>
        <v>62</v>
      </c>
      <c r="BF22" s="2" t="str">
        <f t="shared" si="4"/>
        <v>$/kg</v>
      </c>
      <c r="BG22" s="2">
        <f t="shared" si="4"/>
        <v>4936.2</v>
      </c>
      <c r="BH22" s="2">
        <f t="shared" si="4"/>
        <v>4629</v>
      </c>
      <c r="BI22" s="2">
        <f t="shared" si="4"/>
        <v>3675</v>
      </c>
      <c r="BK22">
        <f>+datos!DA1</f>
        <v>105</v>
      </c>
      <c r="BL22" s="2">
        <f t="shared" si="21"/>
        <v>11967.831630953066</v>
      </c>
      <c r="BM22" s="2">
        <f t="shared" si="21"/>
        <v>11411.105699658588</v>
      </c>
      <c r="BN22" s="2">
        <f t="shared" si="21"/>
        <v>8587.7936782656234</v>
      </c>
      <c r="BP22" s="1">
        <f>+datos!FD1</f>
        <v>160</v>
      </c>
      <c r="BQ22" s="1">
        <f t="shared" si="22"/>
        <v>60376</v>
      </c>
      <c r="BR22" s="1">
        <f t="shared" si="22"/>
        <v>60376</v>
      </c>
      <c r="BT22" s="1">
        <f>+datos!GX1</f>
        <v>206</v>
      </c>
      <c r="BU22" s="1">
        <f t="shared" si="23"/>
        <v>36041.686000000002</v>
      </c>
      <c r="BV22" s="1">
        <f t="shared" si="23"/>
        <v>30804.553</v>
      </c>
      <c r="BX22" s="1">
        <f>+datos!KC1</f>
        <v>289</v>
      </c>
      <c r="BY22" s="1">
        <f t="shared" si="39"/>
        <v>578.84578025000008</v>
      </c>
      <c r="BZ22" s="1">
        <f t="shared" si="40"/>
        <v>516.38495416000001</v>
      </c>
      <c r="CB22" s="1">
        <f>+datos!LH1</f>
        <v>320</v>
      </c>
      <c r="CC22" s="2">
        <f t="shared" si="24"/>
        <v>55.97158108</v>
      </c>
      <c r="CD22" s="2">
        <f t="shared" si="25"/>
        <v>51.991346659999998</v>
      </c>
      <c r="CF22" s="1">
        <f>+datos!JD1</f>
        <v>264</v>
      </c>
      <c r="CG22" s="1">
        <f t="shared" si="26"/>
        <v>0</v>
      </c>
      <c r="CH22" s="1">
        <f t="shared" si="27"/>
        <v>0</v>
      </c>
      <c r="CJ22" s="1">
        <f t="shared" ref="CJ22:CY24" si="43">+VLOOKUP(CJ$1,ran_dat,$BX22,FALSE)</f>
        <v>72.4463358</v>
      </c>
      <c r="CK22" s="1">
        <f t="shared" si="43"/>
        <v>45.834687599999995</v>
      </c>
      <c r="CL22" s="1">
        <f t="shared" si="43"/>
        <v>54.830270300000002</v>
      </c>
      <c r="CM22" s="1">
        <f t="shared" si="43"/>
        <v>93.57534471000001</v>
      </c>
      <c r="CN22" s="1">
        <f t="shared" si="43"/>
        <v>121.04017274</v>
      </c>
      <c r="CO22" s="1">
        <f t="shared" si="43"/>
        <v>27.891120319999999</v>
      </c>
      <c r="CP22" s="1">
        <f t="shared" si="43"/>
        <v>5.5120895000000001</v>
      </c>
      <c r="CQ22" s="1">
        <f t="shared" si="43"/>
        <v>9.7228914799999995</v>
      </c>
      <c r="CR22" s="1">
        <f t="shared" si="43"/>
        <v>6.2035308000000002</v>
      </c>
      <c r="CS22" s="1">
        <f t="shared" si="43"/>
        <v>65.18720725</v>
      </c>
      <c r="CT22" s="1">
        <f t="shared" si="43"/>
        <v>34.962073999999994</v>
      </c>
      <c r="CU22" s="1">
        <f t="shared" si="43"/>
        <v>41.640055749999995</v>
      </c>
      <c r="CV22" s="1">
        <f t="shared" si="43"/>
        <v>54.488227269999996</v>
      </c>
      <c r="CW22" s="1">
        <f t="shared" si="43"/>
        <v>45.888815350000002</v>
      </c>
      <c r="CX22" s="1">
        <f t="shared" si="43"/>
        <v>56.365947810000002</v>
      </c>
      <c r="CY22" s="1">
        <f t="shared" si="43"/>
        <v>58.671597329999997</v>
      </c>
      <c r="CZ22" s="1">
        <f t="shared" ref="CZ22:DG24" si="44">+VLOOKUP(CZ$1,ran_dat,$BX22,FALSE)</f>
        <v>31.625168280000004</v>
      </c>
      <c r="DA22" s="1">
        <f t="shared" si="44"/>
        <v>17.697801470000002</v>
      </c>
      <c r="DB22" s="1">
        <f t="shared" si="44"/>
        <v>30.191481329999998</v>
      </c>
      <c r="DC22" s="1">
        <f t="shared" si="44"/>
        <v>36.249269399999989</v>
      </c>
      <c r="DD22" s="1">
        <f t="shared" si="44"/>
        <v>40.108989959999995</v>
      </c>
      <c r="DE22" s="1">
        <f t="shared" si="44"/>
        <v>56.890802439999995</v>
      </c>
      <c r="DF22" s="1">
        <f t="shared" si="44"/>
        <v>36.8257318</v>
      </c>
      <c r="DG22" s="1">
        <f t="shared" si="44"/>
        <v>51.381121719999996</v>
      </c>
      <c r="DI22" s="1">
        <f t="shared" ref="DI22:DX24" si="45">+VLOOKUP(DI$1,ran_dat,$CB22,FALSE)</f>
        <v>4.1999923900000002</v>
      </c>
      <c r="DJ22" s="1">
        <f t="shared" si="45"/>
        <v>3.4339864000000002</v>
      </c>
      <c r="DK22" s="1">
        <f t="shared" si="45"/>
        <v>2.5223350999999994</v>
      </c>
      <c r="DL22" s="1">
        <f t="shared" si="45"/>
        <v>3.5013919399999995</v>
      </c>
      <c r="DM22" s="1">
        <f t="shared" si="45"/>
        <v>4.00557768</v>
      </c>
      <c r="DN22" s="1">
        <f t="shared" si="45"/>
        <v>5.1774083700000002</v>
      </c>
      <c r="DO22" s="1">
        <f t="shared" si="45"/>
        <v>5.7823087099999997</v>
      </c>
      <c r="DP22" s="1">
        <f t="shared" si="45"/>
        <v>5.6310443999999995</v>
      </c>
      <c r="DQ22" s="1">
        <f t="shared" si="45"/>
        <v>4.1108512499999996</v>
      </c>
      <c r="DR22" s="1">
        <f t="shared" si="45"/>
        <v>6.9241559000000006</v>
      </c>
      <c r="DS22" s="1">
        <f t="shared" si="45"/>
        <v>4.9762964800000002</v>
      </c>
      <c r="DT22" s="1">
        <f t="shared" si="45"/>
        <v>5.7062324599999998</v>
      </c>
      <c r="DU22" s="1">
        <f t="shared" si="45"/>
        <v>5.3893107900000006</v>
      </c>
      <c r="DV22" s="1">
        <f t="shared" si="45"/>
        <v>5.0602291599999996</v>
      </c>
      <c r="DW22" s="1">
        <f t="shared" si="45"/>
        <v>1.1636776099999999</v>
      </c>
      <c r="DX22" s="1">
        <f t="shared" si="45"/>
        <v>4.3331795800000004</v>
      </c>
      <c r="DY22" s="1">
        <f t="shared" si="41"/>
        <v>5.5991701699999998</v>
      </c>
      <c r="DZ22" s="1">
        <f t="shared" si="41"/>
        <v>5.1284923700000009</v>
      </c>
      <c r="EA22" s="1">
        <f t="shared" si="41"/>
        <v>4.8853449399999995</v>
      </c>
      <c r="EB22" s="1">
        <f t="shared" si="41"/>
        <v>4.5019780499999991</v>
      </c>
      <c r="EC22" s="1">
        <f t="shared" si="41"/>
        <v>3.2870284000000001</v>
      </c>
      <c r="ED22" s="1">
        <f t="shared" si="41"/>
        <v>2.2553329799999999</v>
      </c>
      <c r="EE22" s="1">
        <f t="shared" si="41"/>
        <v>4.9563280900000004</v>
      </c>
      <c r="EF22" s="1">
        <f t="shared" si="41"/>
        <v>5.4312745199999997</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4"/>
        <v>-5.0402628125374216E-2</v>
      </c>
    </row>
    <row r="23" spans="1:163" ht="18.75" customHeight="1">
      <c r="A23" s="244" t="s">
        <v>219</v>
      </c>
      <c r="B23" s="247"/>
      <c r="C23" s="228">
        <f t="shared" si="5"/>
        <v>-0.99</v>
      </c>
      <c r="D23" s="229">
        <v>-1</v>
      </c>
      <c r="E23" s="253">
        <f t="shared" si="6"/>
        <v>6.831480936258183E-3</v>
      </c>
      <c r="F23" s="254">
        <f t="shared" si="7"/>
        <v>-1.3933018911455264E-2</v>
      </c>
      <c r="G23" s="253">
        <f t="shared" si="8"/>
        <v>4.5735507225031169E-2</v>
      </c>
      <c r="H23" s="254">
        <f t="shared" si="9"/>
        <v>-3.8904026288772986E-2</v>
      </c>
      <c r="I23" s="253">
        <f t="shared" si="10"/>
        <v>-0.19061179054966104</v>
      </c>
      <c r="J23" s="254">
        <f t="shared" si="11"/>
        <v>-0.50819514962410428</v>
      </c>
      <c r="K23" s="253">
        <f t="shared" si="12"/>
        <v>0.26685430150242073</v>
      </c>
      <c r="L23" s="254">
        <f t="shared" si="13"/>
        <v>-0.45746609205208177</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1.3280855232834954E-2</v>
      </c>
      <c r="V23" s="258">
        <f t="shared" si="16"/>
        <v>1.3280855232834954E-2</v>
      </c>
      <c r="W23" s="253">
        <f t="shared" si="38"/>
        <v>1.5582025098869767</v>
      </c>
      <c r="X23" s="258">
        <f t="shared" si="17"/>
        <v>1.5582025098869767</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4</v>
      </c>
      <c r="AQ23" s="28">
        <f>VLOOKUP($A23,historia!$A$5:$CM$24,+HLOOKUP(AQ$2,historia!$A$3:$EC$4,2,FALSE),FALSE)</f>
        <v>4</v>
      </c>
      <c r="AR23" s="28">
        <f>VLOOKUP($A23,historia!$A$5:$CM$24,+HLOOKUP(AR$2,historia!$A$3:$EC$4,2,FALSE),FALSE)</f>
        <v>4</v>
      </c>
      <c r="AS23" s="28">
        <f>VLOOKUP($A23,historia!$A$5:$CM$24,+HLOOKUP(AS$2,historia!$A$3:$EC$4,2,FALSE),FALSE)</f>
        <v>4</v>
      </c>
      <c r="AT23" s="58">
        <f>VLOOKUP($A23,historia!$A$5:$CM$24,+HLOOKUP(AT$2,historia!$A$3:$EC$4,2,FALSE),FALSE)</f>
        <v>4</v>
      </c>
      <c r="AU23" s="58">
        <f>VLOOKUP($A23,historia!$A$5:$CM$24,+HLOOKUP(AU$2,historia!$A$3:$EC$4,2,FALSE),FALSE)</f>
        <v>4</v>
      </c>
      <c r="AV23" s="58">
        <f>VLOOKUP($A23,historia!$A$5:$CM$24,+HLOOKUP(AV$2,historia!$A$3:$EC$4,2,FALSE),FALSE)</f>
        <v>4</v>
      </c>
      <c r="AW23" s="58">
        <f>VLOOKUP($A23,historia!$A$5:$CM$24,+HLOOKUP(AW$2,historia!$A$3:$EC$4,2,FALSE),FALSE)</f>
        <v>4</v>
      </c>
      <c r="AX23" s="58">
        <f>VLOOKUP($A23,historia!$A$5:$CM$24,+HLOOKUP(AX$2,historia!$A$3:$EC$4,2,FALSE),FALSE)</f>
        <v>4</v>
      </c>
      <c r="AY23" s="58">
        <f>VLOOKUP($A23,historia!$A$5:$CM$24,+HLOOKUP(AY$2,historia!$A$3:$EC$4,2,FALSE),FALSE)</f>
        <v>4</v>
      </c>
      <c r="AZ23" s="58">
        <f>VLOOKUP($A23,historia!$A$5:$DG$24,+HLOOKUP(AZ$2,historia!$A$3:$EC$4,2,FALSE),FALSE)</f>
        <v>4</v>
      </c>
      <c r="BA23" s="58">
        <f>VLOOKUP($A23,historia!$A$5:$DG$24,+HLOOKUP(BA$2,historia!$A$3:$EC$4,2,FALSE),FALSE)</f>
        <v>4</v>
      </c>
      <c r="BB23" s="58"/>
      <c r="BC23" s="286">
        <v>4</v>
      </c>
      <c r="BD23" t="str">
        <f t="shared" si="20"/>
        <v>Vino y Mosto</v>
      </c>
      <c r="BE23">
        <f>+datos!AM1</f>
        <v>39</v>
      </c>
      <c r="BF23" s="2" t="str">
        <f t="shared" si="4"/>
        <v>$/l</v>
      </c>
      <c r="BG23" s="2">
        <f t="shared" si="4"/>
        <v>306.40540000000004</v>
      </c>
      <c r="BH23" s="2">
        <f t="shared" si="4"/>
        <v>304.32639999999998</v>
      </c>
      <c r="BI23" s="2">
        <f t="shared" si="4"/>
        <v>378.56420000000003</v>
      </c>
      <c r="BK23">
        <f>+datos!CP1</f>
        <v>94</v>
      </c>
      <c r="BL23" s="2">
        <f t="shared" si="21"/>
        <v>12502.147098951411</v>
      </c>
      <c r="BM23" s="2">
        <f t="shared" si="21"/>
        <v>11955.362529600978</v>
      </c>
      <c r="BN23" s="2">
        <f t="shared" si="21"/>
        <v>9868.6542597081134</v>
      </c>
      <c r="BP23" s="1">
        <f>+datos!EF1</f>
        <v>136</v>
      </c>
      <c r="BQ23" s="1">
        <f t="shared" si="22"/>
        <v>196220</v>
      </c>
      <c r="BR23" s="1">
        <f t="shared" si="22"/>
        <v>199946</v>
      </c>
      <c r="BT23" s="1">
        <f>+datos!GB1</f>
        <v>184</v>
      </c>
      <c r="BU23" s="1">
        <f t="shared" si="23"/>
        <v>19908335</v>
      </c>
      <c r="BV23" s="1">
        <f t="shared" si="23"/>
        <v>19189740</v>
      </c>
      <c r="BX23" s="1">
        <f>+datos!JU1</f>
        <v>281</v>
      </c>
      <c r="BY23" s="1">
        <f t="shared" si="39"/>
        <v>974.80925690000015</v>
      </c>
      <c r="BZ23" s="1">
        <f t="shared" si="40"/>
        <v>962.03264066999986</v>
      </c>
      <c r="CB23" s="1">
        <f>+datos!KZ1</f>
        <v>312</v>
      </c>
      <c r="CC23" s="2">
        <f t="shared" si="24"/>
        <v>39.621426709999994</v>
      </c>
      <c r="CD23" s="2">
        <f t="shared" si="25"/>
        <v>15.487994620000002</v>
      </c>
      <c r="CF23" s="1">
        <f>+datos!IQ1</f>
        <v>251</v>
      </c>
      <c r="CG23" s="1">
        <f t="shared" si="26"/>
        <v>16.079999999999998</v>
      </c>
      <c r="CH23" s="1">
        <f t="shared" si="27"/>
        <v>16.3</v>
      </c>
      <c r="CJ23" s="1">
        <f t="shared" si="43"/>
        <v>103.29015631000003</v>
      </c>
      <c r="CK23" s="1">
        <f t="shared" si="43"/>
        <v>82.138745600000007</v>
      </c>
      <c r="CL23" s="1">
        <f t="shared" si="43"/>
        <v>101.39273792999998</v>
      </c>
      <c r="CM23" s="1">
        <f t="shared" si="43"/>
        <v>71.170798900000008</v>
      </c>
      <c r="CN23" s="1">
        <f t="shared" si="43"/>
        <v>88.994061629999976</v>
      </c>
      <c r="CO23" s="1">
        <f t="shared" si="43"/>
        <v>77.155977009999987</v>
      </c>
      <c r="CP23" s="1">
        <f t="shared" si="43"/>
        <v>74.722979570000021</v>
      </c>
      <c r="CQ23" s="1">
        <f t="shared" si="43"/>
        <v>63.754065359999977</v>
      </c>
      <c r="CR23" s="1">
        <f t="shared" si="43"/>
        <v>50.923025279999997</v>
      </c>
      <c r="CS23" s="1">
        <f t="shared" si="43"/>
        <v>85.381089520000018</v>
      </c>
      <c r="CT23" s="1">
        <f t="shared" si="43"/>
        <v>87.09478919</v>
      </c>
      <c r="CU23" s="1">
        <f t="shared" si="43"/>
        <v>88.790830600000021</v>
      </c>
      <c r="CV23" s="1">
        <f t="shared" si="43"/>
        <v>106.11166329999998</v>
      </c>
      <c r="CW23" s="1">
        <f t="shared" si="43"/>
        <v>99.074693340000039</v>
      </c>
      <c r="CX23" s="1">
        <f t="shared" si="43"/>
        <v>115.95052356999999</v>
      </c>
      <c r="CY23" s="1">
        <f t="shared" si="43"/>
        <v>55.887516779999999</v>
      </c>
      <c r="CZ23" s="1">
        <f t="shared" si="44"/>
        <v>84.428757199999993</v>
      </c>
      <c r="DA23" s="1">
        <f t="shared" si="44"/>
        <v>70.799436420000006</v>
      </c>
      <c r="DB23" s="1">
        <f t="shared" si="44"/>
        <v>83.547570889999989</v>
      </c>
      <c r="DC23" s="1">
        <f t="shared" si="44"/>
        <v>59.429446169999991</v>
      </c>
      <c r="DD23" s="1">
        <f t="shared" si="44"/>
        <v>57.397509530000008</v>
      </c>
      <c r="DE23" s="1">
        <f t="shared" si="44"/>
        <v>71.762443020000006</v>
      </c>
      <c r="DF23" s="1">
        <f t="shared" si="44"/>
        <v>76.246675170000003</v>
      </c>
      <c r="DG23" s="1">
        <f t="shared" si="44"/>
        <v>81.396405279999982</v>
      </c>
      <c r="DI23" s="1">
        <f t="shared" si="45"/>
        <v>6.2238594599999999</v>
      </c>
      <c r="DJ23" s="1">
        <f t="shared" si="45"/>
        <v>3.3465065500000004</v>
      </c>
      <c r="DK23" s="1">
        <f t="shared" si="45"/>
        <v>3.10878063</v>
      </c>
      <c r="DL23" s="1">
        <f t="shared" si="45"/>
        <v>5.0584831100000001</v>
      </c>
      <c r="DM23" s="1">
        <f t="shared" si="45"/>
        <v>4.0554375800000004</v>
      </c>
      <c r="DN23" s="1">
        <f t="shared" si="45"/>
        <v>3.476448889999999</v>
      </c>
      <c r="DO23" s="1">
        <f t="shared" si="45"/>
        <v>3.23844815</v>
      </c>
      <c r="DP23" s="1">
        <f t="shared" si="45"/>
        <v>1.94679845</v>
      </c>
      <c r="DQ23" s="1">
        <f t="shared" si="45"/>
        <v>0.41117072999999998</v>
      </c>
      <c r="DR23" s="1">
        <f t="shared" si="45"/>
        <v>1.6918772199999998</v>
      </c>
      <c r="DS23" s="1">
        <f t="shared" si="45"/>
        <v>4.1008112300000006</v>
      </c>
      <c r="DT23" s="1">
        <f t="shared" si="45"/>
        <v>2.9628047099999995</v>
      </c>
      <c r="DU23" s="1">
        <f t="shared" si="45"/>
        <v>2.4415022799999999</v>
      </c>
      <c r="DV23" s="1">
        <f t="shared" si="45"/>
        <v>2.4186424700000004</v>
      </c>
      <c r="DW23" s="1">
        <f t="shared" si="45"/>
        <v>2.3161338599999999</v>
      </c>
      <c r="DX23" s="1">
        <f t="shared" si="45"/>
        <v>0.34545517000000003</v>
      </c>
      <c r="DY23" s="1">
        <f t="shared" si="41"/>
        <v>1.3068112300000001</v>
      </c>
      <c r="DZ23" s="1">
        <f t="shared" si="41"/>
        <v>1.01985657</v>
      </c>
      <c r="EA23" s="1">
        <f t="shared" si="41"/>
        <v>0.49471243999999998</v>
      </c>
      <c r="EB23" s="1">
        <f t="shared" si="41"/>
        <v>0.76659119999999992</v>
      </c>
      <c r="EC23" s="1">
        <f t="shared" si="41"/>
        <v>0.41683354000000006</v>
      </c>
      <c r="ED23" s="1">
        <f t="shared" si="41"/>
        <v>1.01193058</v>
      </c>
      <c r="EE23" s="1">
        <f t="shared" si="41"/>
        <v>1.2280305999999999</v>
      </c>
      <c r="EF23" s="1">
        <f t="shared" si="41"/>
        <v>1.7214946800000002</v>
      </c>
      <c r="EH23" s="14">
        <f t="shared" si="46"/>
        <v>16.079999999999998</v>
      </c>
      <c r="EI23" s="14">
        <f t="shared" si="46"/>
        <v>16.079999999999998</v>
      </c>
      <c r="EJ23" s="1">
        <f t="shared" si="46"/>
        <v>16.079999999999998</v>
      </c>
      <c r="EK23" s="1">
        <f t="shared" si="46"/>
        <v>16.079999999999998</v>
      </c>
      <c r="EL23" s="1">
        <f t="shared" si="46"/>
        <v>16.079999999999998</v>
      </c>
      <c r="EM23" s="1">
        <f t="shared" si="46"/>
        <v>16.079999999999998</v>
      </c>
      <c r="EN23" s="1">
        <f t="shared" si="46"/>
        <v>16.079999999999998</v>
      </c>
      <c r="EO23" s="1">
        <f t="shared" si="46"/>
        <v>16.079999999999998</v>
      </c>
      <c r="EP23" s="1">
        <f t="shared" si="46"/>
        <v>16.079999999999998</v>
      </c>
      <c r="EQ23" s="1">
        <f t="shared" si="46"/>
        <v>16.3</v>
      </c>
      <c r="ER23" s="1">
        <f t="shared" si="46"/>
        <v>16.3</v>
      </c>
      <c r="ES23" s="1">
        <f t="shared" si="46"/>
        <v>16.3</v>
      </c>
      <c r="ET23" s="1">
        <f t="shared" si="46"/>
        <v>16.3</v>
      </c>
      <c r="EU23" s="1">
        <f t="shared" si="46"/>
        <v>16.3</v>
      </c>
      <c r="EV23" s="1">
        <f t="shared" si="46"/>
        <v>16.3</v>
      </c>
      <c r="EW23" s="1">
        <f t="shared" si="46"/>
        <v>16.3</v>
      </c>
      <c r="EX23" s="1">
        <f t="shared" si="42"/>
        <v>16.3</v>
      </c>
      <c r="EY23" s="1">
        <f t="shared" si="42"/>
        <v>16.3</v>
      </c>
      <c r="EZ23" s="1">
        <f t="shared" si="42"/>
        <v>16.3</v>
      </c>
      <c r="FA23" s="1">
        <f t="shared" si="42"/>
        <v>16.3</v>
      </c>
      <c r="FB23" s="1">
        <f t="shared" si="42"/>
        <v>16.3</v>
      </c>
      <c r="FC23" s="1">
        <f t="shared" si="42"/>
        <v>16.7</v>
      </c>
      <c r="FD23" s="1">
        <f t="shared" si="42"/>
        <v>16.7</v>
      </c>
      <c r="FE23" s="1">
        <f t="shared" si="42"/>
        <v>16.7</v>
      </c>
      <c r="FG23" s="162">
        <f t="shared" si="34"/>
        <v>-0.45746609205208177</v>
      </c>
    </row>
    <row r="24" spans="1:163" ht="18.75" customHeight="1">
      <c r="A24" s="243" t="s">
        <v>39</v>
      </c>
      <c r="B24" s="246"/>
      <c r="C24" s="156">
        <f t="shared" si="5"/>
        <v>-0.65999999999999992</v>
      </c>
      <c r="D24" s="198">
        <v>-3</v>
      </c>
      <c r="E24" s="248">
        <f t="shared" si="6"/>
        <v>-3.4482758620689613E-2</v>
      </c>
      <c r="F24" s="249">
        <f t="shared" si="7"/>
        <v>-5.524725846840306E-2</v>
      </c>
      <c r="G24" s="248">
        <f t="shared" si="8"/>
        <v>4.4716071600641394E-2</v>
      </c>
      <c r="H24" s="249">
        <f t="shared" si="9"/>
        <v>-7.9198830221331007E-2</v>
      </c>
      <c r="I24" s="248">
        <f t="shared" si="10"/>
        <v>0.33333333333333326</v>
      </c>
      <c r="J24" s="249">
        <f t="shared" si="11"/>
        <v>1.574997425889002E-2</v>
      </c>
      <c r="K24" s="248">
        <f t="shared" si="12"/>
        <v>0.39414270675894447</v>
      </c>
      <c r="L24" s="249">
        <f t="shared" si="13"/>
        <v>-6.0809373425611213E-2</v>
      </c>
      <c r="M24" s="250"/>
      <c r="N24" s="24">
        <v>1</v>
      </c>
      <c r="O24" s="248">
        <f t="shared" si="35"/>
        <v>4.7599193940657258E-3</v>
      </c>
      <c r="P24" s="251">
        <f t="shared" si="36"/>
        <v>4.7599193940657258E-3</v>
      </c>
      <c r="Q24" s="248">
        <f t="shared" si="14"/>
        <v>-0.12264950875322811</v>
      </c>
      <c r="R24" s="251">
        <f t="shared" si="37"/>
        <v>-0.12264950875322811</v>
      </c>
      <c r="S24" s="250"/>
      <c r="T24" s="24">
        <v>0</v>
      </c>
      <c r="U24" s="248">
        <f t="shared" si="15"/>
        <v>7.3180346428942888E-2</v>
      </c>
      <c r="V24" s="252">
        <f t="shared" si="16"/>
        <v>7.3180346428942888E-2</v>
      </c>
      <c r="W24" s="248">
        <f t="shared" si="38"/>
        <v>0.107151316636104</v>
      </c>
      <c r="X24" s="258">
        <f t="shared" si="17"/>
        <v>0.107151316636104</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f>VLOOKUP($A24,historia!$A$5:$CM$24,+HLOOKUP(AY$2,historia!$A$3:$EC$4,2,FALSE),FALSE)</f>
        <v>4</v>
      </c>
      <c r="AZ24" s="58">
        <f>VLOOKUP($A24,historia!$A$5:$DG$24,+HLOOKUP(AZ$2,historia!$A$3:$EC$4,2,FALSE),FALSE)</f>
        <v>4</v>
      </c>
      <c r="BA24" s="58">
        <f>VLOOKUP($A24,historia!$A$5:$DG$24,+HLOOKUP(BA$2,historia!$A$3:$EC$4,2,FALSE),FALSE)</f>
        <v>4</v>
      </c>
      <c r="BB24" s="58"/>
      <c r="BC24" s="286">
        <v>4</v>
      </c>
      <c r="BD24" t="str">
        <f t="shared" si="20"/>
        <v>Yerba Mate</v>
      </c>
      <c r="BE24">
        <f>+datos!AG1</f>
        <v>33</v>
      </c>
      <c r="BF24" s="2" t="str">
        <f t="shared" si="4"/>
        <v>$/t</v>
      </c>
      <c r="BG24" s="2">
        <f t="shared" si="4"/>
        <v>280000</v>
      </c>
      <c r="BH24" s="2">
        <f t="shared" si="4"/>
        <v>290000</v>
      </c>
      <c r="BI24" s="2">
        <f t="shared" si="4"/>
        <v>210000</v>
      </c>
      <c r="BK24">
        <f>+datos!CY1</f>
        <v>103</v>
      </c>
      <c r="BL24" s="2">
        <f t="shared" si="21"/>
        <v>11566.035274498079</v>
      </c>
      <c r="BM24" s="2">
        <f t="shared" si="21"/>
        <v>11070.984345801633</v>
      </c>
      <c r="BN24" s="2">
        <f t="shared" si="21"/>
        <v>8296.163096091077</v>
      </c>
      <c r="BP24" s="1">
        <f>+datos!ED1</f>
        <v>134</v>
      </c>
      <c r="BQ24" s="1">
        <f t="shared" si="22"/>
        <v>231352</v>
      </c>
      <c r="BR24" s="1">
        <f t="shared" si="22"/>
        <v>230256</v>
      </c>
      <c r="BT24" s="1">
        <f>+datos!FZ1</f>
        <v>182</v>
      </c>
      <c r="BU24" s="1">
        <f t="shared" si="23"/>
        <v>883116</v>
      </c>
      <c r="BV24" s="1">
        <f t="shared" si="23"/>
        <v>1006571.5</v>
      </c>
      <c r="BX24" s="1">
        <f>+datos!KD1</f>
        <v>290</v>
      </c>
      <c r="BY24" s="1">
        <f t="shared" si="39"/>
        <v>119.63589675000001</v>
      </c>
      <c r="BZ24" s="1">
        <f t="shared" si="40"/>
        <v>111.47790504000001</v>
      </c>
      <c r="CB24" s="1">
        <f>+datos!LI1</f>
        <v>321</v>
      </c>
      <c r="CC24" s="2">
        <f t="shared" si="24"/>
        <v>25.19209927</v>
      </c>
      <c r="CD24" s="2">
        <f t="shared" si="25"/>
        <v>22.75398032</v>
      </c>
      <c r="CF24" s="1">
        <f>+datos!IP1</f>
        <v>250</v>
      </c>
      <c r="CG24" s="1">
        <f t="shared" si="26"/>
        <v>5.7424738987207355</v>
      </c>
      <c r="CH24" s="1">
        <f t="shared" si="27"/>
        <v>5.5693606783423002</v>
      </c>
      <c r="CJ24" s="1">
        <f t="shared" si="43"/>
        <v>12.267837869999999</v>
      </c>
      <c r="CK24" s="1">
        <f t="shared" si="43"/>
        <v>8.5848558799999992</v>
      </c>
      <c r="CL24" s="1">
        <f t="shared" si="43"/>
        <v>12.502816449999999</v>
      </c>
      <c r="CM24" s="1">
        <f t="shared" si="43"/>
        <v>10.79513302</v>
      </c>
      <c r="CN24" s="1">
        <f t="shared" si="43"/>
        <v>10.492918690000002</v>
      </c>
      <c r="CO24" s="1">
        <f t="shared" si="43"/>
        <v>7.4906505000000001</v>
      </c>
      <c r="CP24" s="1">
        <f t="shared" si="43"/>
        <v>7.8719914600000003</v>
      </c>
      <c r="CQ24" s="1">
        <f t="shared" si="43"/>
        <v>9.8166064800000008</v>
      </c>
      <c r="CR24" s="1">
        <f t="shared" si="43"/>
        <v>7.1690497699999991</v>
      </c>
      <c r="CS24" s="1">
        <f t="shared" si="43"/>
        <v>10.805856030000001</v>
      </c>
      <c r="CT24" s="1">
        <f t="shared" si="43"/>
        <v>10.476429469999998</v>
      </c>
      <c r="CU24" s="1">
        <f t="shared" si="43"/>
        <v>11.361751129999998</v>
      </c>
      <c r="CV24" s="1">
        <f t="shared" si="43"/>
        <v>10.05873476</v>
      </c>
      <c r="CW24" s="1">
        <f t="shared" si="43"/>
        <v>9.4659040999999995</v>
      </c>
      <c r="CX24" s="1">
        <f t="shared" si="43"/>
        <v>8.3006057400000017</v>
      </c>
      <c r="CY24" s="1">
        <f t="shared" si="43"/>
        <v>11.077079630000002</v>
      </c>
      <c r="CZ24" s="1">
        <f t="shared" si="44"/>
        <v>7.2906957700000001</v>
      </c>
      <c r="DA24" s="1">
        <f t="shared" si="44"/>
        <v>8.852789640000001</v>
      </c>
      <c r="DB24" s="1">
        <f t="shared" si="44"/>
        <v>12.408222910000001</v>
      </c>
      <c r="DC24" s="1">
        <f t="shared" si="44"/>
        <v>8.8663402400000013</v>
      </c>
      <c r="DD24" s="1">
        <f t="shared" si="44"/>
        <v>9.2397224899999983</v>
      </c>
      <c r="DE24" s="1">
        <f t="shared" si="44"/>
        <v>7.1224329199999996</v>
      </c>
      <c r="DF24" s="1">
        <f t="shared" si="44"/>
        <v>8.6156523299999996</v>
      </c>
      <c r="DG24" s="1">
        <f t="shared" si="44"/>
        <v>10.17972451</v>
      </c>
      <c r="DI24" s="1">
        <f t="shared" si="45"/>
        <v>2.1093840299999997</v>
      </c>
      <c r="DJ24" s="1">
        <f t="shared" si="45"/>
        <v>1.7438363500000003</v>
      </c>
      <c r="DK24" s="1">
        <f t="shared" si="45"/>
        <v>2.3219247899999997</v>
      </c>
      <c r="DL24" s="1">
        <f t="shared" si="45"/>
        <v>1.6709123100000001</v>
      </c>
      <c r="DM24" s="1">
        <f t="shared" si="45"/>
        <v>3.5033770500000001</v>
      </c>
      <c r="DN24" s="1">
        <f t="shared" si="45"/>
        <v>2.2730154199999997</v>
      </c>
      <c r="DO24" s="1">
        <f t="shared" si="45"/>
        <v>2.4041640299999996</v>
      </c>
      <c r="DP24" s="1">
        <f t="shared" si="45"/>
        <v>2.0218665100000002</v>
      </c>
      <c r="DQ24" s="1">
        <f t="shared" si="45"/>
        <v>1.1839526999999999</v>
      </c>
      <c r="DR24" s="1">
        <f t="shared" si="45"/>
        <v>1.1744757299999999</v>
      </c>
      <c r="DS24" s="1">
        <f t="shared" si="45"/>
        <v>2.1750064099999999</v>
      </c>
      <c r="DT24" s="1">
        <f t="shared" si="45"/>
        <v>2.6101839400000002</v>
      </c>
      <c r="DU24" s="1">
        <f t="shared" si="45"/>
        <v>1.2494588400000002</v>
      </c>
      <c r="DV24" s="1">
        <f t="shared" si="45"/>
        <v>0.60028256999999996</v>
      </c>
      <c r="DW24" s="1">
        <f t="shared" si="45"/>
        <v>1.7316709800000001</v>
      </c>
      <c r="DX24" s="1">
        <f t="shared" si="45"/>
        <v>1.1554743999999999</v>
      </c>
      <c r="DY24" s="1">
        <f t="shared" si="41"/>
        <v>1.50586095</v>
      </c>
      <c r="DZ24" s="1">
        <f t="shared" si="41"/>
        <v>3.2398820599999998</v>
      </c>
      <c r="EA24" s="1">
        <f t="shared" si="41"/>
        <v>3.1775986299999999</v>
      </c>
      <c r="EB24" s="1">
        <f t="shared" si="41"/>
        <v>2.4176205400000002</v>
      </c>
      <c r="EC24" s="1">
        <f t="shared" si="41"/>
        <v>1.0621514699999999</v>
      </c>
      <c r="ED24" s="1">
        <f t="shared" si="41"/>
        <v>1.8796713600000001</v>
      </c>
      <c r="EE24" s="1">
        <f t="shared" si="41"/>
        <v>2.4189343299999999</v>
      </c>
      <c r="EF24" s="1">
        <f t="shared" si="41"/>
        <v>2.31537419</v>
      </c>
      <c r="EH24" s="14">
        <f t="shared" si="46"/>
        <v>5.7424738987207355</v>
      </c>
      <c r="EI24" s="14">
        <f t="shared" si="46"/>
        <v>5.7424738987207355</v>
      </c>
      <c r="EJ24" s="1">
        <f t="shared" si="46"/>
        <v>5.7424738987207355</v>
      </c>
      <c r="EK24" s="1">
        <f t="shared" si="46"/>
        <v>5.7424738987207355</v>
      </c>
      <c r="EL24" s="1">
        <f t="shared" si="46"/>
        <v>5.7424738987207355</v>
      </c>
      <c r="EM24" s="1">
        <f t="shared" si="46"/>
        <v>5.7424738987207355</v>
      </c>
      <c r="EN24" s="1">
        <f t="shared" si="46"/>
        <v>5.7424738987207355</v>
      </c>
      <c r="EO24" s="1">
        <f t="shared" si="46"/>
        <v>5.7424738987207355</v>
      </c>
      <c r="EP24" s="1">
        <f t="shared" si="46"/>
        <v>5.7424738987207355</v>
      </c>
      <c r="EQ24" s="1">
        <f t="shared" si="46"/>
        <v>5.5693606783423002</v>
      </c>
      <c r="ER24" s="1">
        <f t="shared" si="46"/>
        <v>5.5693606783423002</v>
      </c>
      <c r="ES24" s="1">
        <f t="shared" si="46"/>
        <v>5.5693606783423002</v>
      </c>
      <c r="ET24" s="1">
        <f t="shared" si="46"/>
        <v>5.5693606783423002</v>
      </c>
      <c r="EU24" s="1">
        <f t="shared" si="46"/>
        <v>5.5693606783423002</v>
      </c>
      <c r="EV24" s="1">
        <f t="shared" si="46"/>
        <v>5.5693606783423002</v>
      </c>
      <c r="EW24" s="1">
        <f t="shared" si="46"/>
        <v>5.5693606783423002</v>
      </c>
      <c r="EX24" s="1">
        <f t="shared" si="42"/>
        <v>5.5693606783423002</v>
      </c>
      <c r="EY24" s="1">
        <f t="shared" si="42"/>
        <v>5.5693606783423002</v>
      </c>
      <c r="EZ24" s="1">
        <f t="shared" si="42"/>
        <v>5.5693606783423002</v>
      </c>
      <c r="FA24" s="1">
        <f t="shared" si="42"/>
        <v>5.5693606783423002</v>
      </c>
      <c r="FB24" s="1">
        <f t="shared" si="42"/>
        <v>5.5693606783423002</v>
      </c>
      <c r="FC24" s="1">
        <f t="shared" si="42"/>
        <v>6.139895208369488</v>
      </c>
      <c r="FD24" s="1">
        <f t="shared" si="42"/>
        <v>6.139895208369488</v>
      </c>
      <c r="FE24" s="1">
        <f t="shared" si="42"/>
        <v>6.139895208369488</v>
      </c>
      <c r="FG24" s="162">
        <f t="shared" si="34"/>
        <v>-6.0809373425611213E-2</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T25" s="58"/>
      <c r="AU25" s="58"/>
      <c r="AV25" s="58"/>
      <c r="AW25" s="58"/>
      <c r="AX25" s="58"/>
      <c r="AY25" s="58"/>
      <c r="AZ25" s="58"/>
      <c r="BA25" s="58"/>
      <c r="BB25" s="58"/>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E26" s="12">
        <f>+AVERAGE(E6:E24)</f>
        <v>4.2784054408839492E-2</v>
      </c>
      <c r="F26" s="37">
        <f>+E26-$I$3</f>
        <v>-0.27479930466560376</v>
      </c>
      <c r="G26" s="12">
        <f>+AVERAGE(G6:G24)</f>
        <v>5.9545542562930966E-2</v>
      </c>
      <c r="I26" s="12" t="e">
        <f>+AVERAGEIF(I6:I24,"&gt;211%")</f>
        <v>#DIV/0!</v>
      </c>
      <c r="J26" s="37" t="e">
        <f t="shared" si="11"/>
        <v>#DIV/0!</v>
      </c>
      <c r="K26" s="12">
        <f>+AVERAGE(K6:K24)</f>
        <v>0.37071728239261498</v>
      </c>
      <c r="O26" s="12">
        <f>+AVERAGE(O6:O24)</f>
        <v>-2.2923144529481596E-4</v>
      </c>
      <c r="AB26" s="57"/>
      <c r="BI26" s="2"/>
      <c r="BU26" s="1">
        <f>BU20-BV20</f>
        <v>63219</v>
      </c>
      <c r="BY26" s="1">
        <f>BY20-BZ20</f>
        <v>85.126912890000199</v>
      </c>
    </row>
    <row r="27" spans="1:163" ht="18.75" customHeight="1">
      <c r="I27" s="12">
        <f>+AVERAGEIF(I6:I24,"&lt;211%")</f>
        <v>0.14334345996425082</v>
      </c>
      <c r="K27" s="177">
        <f>+SUBTOTAL(101,K6:K21)</f>
        <v>0.37431531597522238</v>
      </c>
      <c r="V27" t="s">
        <v>167</v>
      </c>
      <c r="X27" s="162"/>
      <c r="BQ27" s="1">
        <f>+SUM(BQ6:BQ24)</f>
        <v>116007485</v>
      </c>
      <c r="BR27" s="1">
        <f>+SUM(BR6:BR24)</f>
        <v>115583500</v>
      </c>
      <c r="BU27" s="1">
        <f>+SUM(BU6:BU24)</f>
        <v>182597162.99050301</v>
      </c>
      <c r="BV27" s="1">
        <f>+SUM(BV6:BV24)</f>
        <v>161587480.01195619</v>
      </c>
      <c r="BY27" s="1">
        <f>+SUM(BY6:BY24)</f>
        <v>56211.632594160001</v>
      </c>
      <c r="BZ27" s="1">
        <f>+SUM(BZ6:BZ24)</f>
        <v>53260.983561590008</v>
      </c>
      <c r="CC27" s="1">
        <f>+SUM(CC6:CC24)</f>
        <v>3422.8395255</v>
      </c>
      <c r="CD27" s="1">
        <f>+SUM(CD6:CD24)</f>
        <v>3872.2178760199995</v>
      </c>
      <c r="FG27" s="167">
        <f>+COUNTIF(FG6:FG24,"&gt;0")</f>
        <v>4</v>
      </c>
    </row>
    <row r="28" spans="1:163" ht="18.75" customHeight="1">
      <c r="A28" s="11">
        <f>+COUNTIF($C$6:$C$24,"&lt;0")</f>
        <v>10</v>
      </c>
      <c r="C28" s="156">
        <v>-1</v>
      </c>
      <c r="E28" s="167">
        <f>+COUNTIF($I$6:$I$24,"&lt;1,69")</f>
        <v>19</v>
      </c>
      <c r="F28" s="29">
        <v>-1</v>
      </c>
      <c r="I28" s="167">
        <f>+COUNTIF($I$6:$I$24,"&lt;1,69")</f>
        <v>19</v>
      </c>
      <c r="J28" s="29">
        <v>-1</v>
      </c>
      <c r="K28">
        <f>+COUNTIF($L$6:$L$24,"&lt;0")</f>
        <v>15</v>
      </c>
      <c r="L28" s="29">
        <v>-1</v>
      </c>
      <c r="O28">
        <f>+COUNTIF($P$6:$P$24,"&lt;0")</f>
        <v>8</v>
      </c>
      <c r="P28" s="262">
        <v>-1</v>
      </c>
      <c r="Q28">
        <f>+COUNTIF($R$6:$R$24,"&lt;0")</f>
        <v>6</v>
      </c>
      <c r="R28" s="262">
        <v>-1</v>
      </c>
      <c r="T28" s="57">
        <f>+COUNTIF($U$6:$U$24,"&lt;0")</f>
        <v>4</v>
      </c>
      <c r="U28" s="29">
        <v>-1</v>
      </c>
      <c r="BC28" s="141">
        <f>(4*0.5)+(4*0.25)+(2*0.25)</f>
        <v>3.5</v>
      </c>
      <c r="BD28">
        <f>ROUND(BC28,0)</f>
        <v>4</v>
      </c>
      <c r="BR28" t="s">
        <v>491</v>
      </c>
      <c r="BU28" s="167">
        <f>+SUMIFS(BU6:BU24,BC6:BC24,5)+SUMIFS(BU6:BU24,BC6:BC24,4)</f>
        <v>28242398</v>
      </c>
      <c r="BY28" s="10">
        <f>+BY27/BZ27-1</f>
        <v>5.5399822445222346E-2</v>
      </c>
      <c r="CC28" s="10">
        <f>+CC27/CD27-1</f>
        <v>-0.11605192809602083</v>
      </c>
    </row>
    <row r="29" spans="1:163" ht="18.75" customHeight="1">
      <c r="A29" s="11">
        <f>+COUNTIF($C$6:$C$24,C29)</f>
        <v>8</v>
      </c>
      <c r="C29" s="156">
        <v>0</v>
      </c>
      <c r="E29" s="167">
        <f>+COUNTIF($I$6:$I$24,"=1,69")</f>
        <v>0</v>
      </c>
      <c r="F29" s="29">
        <v>0</v>
      </c>
      <c r="I29" s="167">
        <f>+COUNTIF($I$6:$I$24,"=1,69")</f>
        <v>0</v>
      </c>
      <c r="J29" s="29">
        <v>0</v>
      </c>
      <c r="L29" s="29">
        <v>0</v>
      </c>
      <c r="O29">
        <f>+COUNTIF($P$6:$P$24,"=0")</f>
        <v>4</v>
      </c>
      <c r="P29" s="262">
        <v>0</v>
      </c>
      <c r="Q29">
        <f>+COUNTIF($R$6:$R$24,"=0")</f>
        <v>3</v>
      </c>
      <c r="R29" s="262">
        <v>0</v>
      </c>
      <c r="T29" s="57">
        <f>+COUNTIF($U$6:$U$24,"=0")</f>
        <v>0</v>
      </c>
      <c r="U29" s="29">
        <v>0</v>
      </c>
      <c r="BR29" t="s">
        <v>492</v>
      </c>
      <c r="BU29" s="167">
        <f>+SUMIFS(BU6:BU24,BC6:BC24,3)</f>
        <v>5365634.4365029996</v>
      </c>
    </row>
    <row r="30" spans="1:163" ht="18.75" customHeight="1">
      <c r="A30" s="11">
        <f>+COUNTIF($C$6:$C$24,"&gt;0")</f>
        <v>1</v>
      </c>
      <c r="C30" s="156">
        <v>1</v>
      </c>
      <c r="E30" s="167">
        <f>+COUNTIF($I$6:$I$24,"&gt;1,69")</f>
        <v>0</v>
      </c>
      <c r="F30" s="29">
        <v>1</v>
      </c>
      <c r="I30" s="167">
        <f>+COUNTIF($I$6:$I$24,"&gt;1,69")</f>
        <v>0</v>
      </c>
      <c r="J30" s="29">
        <v>1</v>
      </c>
      <c r="K30">
        <f>+COUNTIF($L$6:$L$24,"&gt;0")</f>
        <v>4</v>
      </c>
      <c r="L30" s="29">
        <v>1</v>
      </c>
      <c r="O30">
        <f>+COUNTIF($P$6:$P$24,"&gt;0")</f>
        <v>6</v>
      </c>
      <c r="P30" s="262">
        <v>1</v>
      </c>
      <c r="Q30">
        <f>+COUNTIF($R$6:$R$24,"&gt;0")</f>
        <v>10</v>
      </c>
      <c r="R30" s="262">
        <v>1</v>
      </c>
      <c r="T30" s="57">
        <f>+COUNTIF($U$6:$U$24,"&gt;0")</f>
        <v>14</v>
      </c>
      <c r="U30" s="29">
        <v>1</v>
      </c>
      <c r="X30" s="14"/>
      <c r="BR30" t="s">
        <v>493</v>
      </c>
      <c r="BU30" s="167">
        <f>+SUMIFS(BU6:BU24,BC6:BC24,1)+SUMIFS(BU6:BU24,BC6:BC24,2)</f>
        <v>148989130.55399999</v>
      </c>
      <c r="BX30" s="1"/>
    </row>
    <row r="31" spans="1:163" ht="18.75" customHeight="1">
      <c r="K31" s="12"/>
    </row>
    <row r="32" spans="1:163" ht="18.75" customHeight="1">
      <c r="C32" s="157"/>
      <c r="I32" s="14">
        <f>+COUNTIF(I6:I24,"&gt;211%")</f>
        <v>0</v>
      </c>
      <c r="J32" s="14"/>
      <c r="K32" s="14"/>
      <c r="Y32" s="163"/>
    </row>
    <row r="33" spans="1:164" ht="18.75" customHeight="1">
      <c r="C33" s="157"/>
      <c r="I33" s="12" t="e">
        <f>+I26/2</f>
        <v>#DIV/0!</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Z10">
    <cfRule type="iconSet" priority="24">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245" priority="48">
      <formula>AP6=3</formula>
    </cfRule>
    <cfRule type="expression" dxfId="244" priority="49">
      <formula>AP6=5</formula>
    </cfRule>
    <cfRule type="expression" dxfId="243" priority="50">
      <formula>AP6=4</formula>
    </cfRule>
    <cfRule type="expression" dxfId="242" priority="51">
      <formula>AP6=2</formula>
    </cfRule>
    <cfRule type="expression" dxfId="241" priority="52">
      <formula>AP6=1</formula>
    </cfRule>
    <cfRule type="expression" dxfId="240" priority="53">
      <formula>AP6=0</formula>
    </cfRule>
  </conditionalFormatting>
  <conditionalFormatting sqref="AN6:AN25">
    <cfRule type="expression" dxfId="239" priority="65">
      <formula>BA6=0</formula>
    </cfRule>
    <cfRule type="expression" dxfId="238" priority="60">
      <formula>BA6=3</formula>
    </cfRule>
    <cfRule type="expression" dxfId="237" priority="61">
      <formula>BA6=5</formula>
    </cfRule>
    <cfRule type="expression" dxfId="236" priority="62">
      <formula>BA6=4</formula>
    </cfRule>
    <cfRule type="expression" dxfId="235" priority="63">
      <formula>BA6=2</formula>
    </cfRule>
    <cfRule type="expression" dxfId="234" priority="64">
      <formula>BA6=1</formula>
    </cfRule>
  </conditionalFormatting>
  <conditionalFormatting sqref="AO6:AO25">
    <cfRule type="expression" dxfId="233" priority="54">
      <formula>#REF!=3</formula>
    </cfRule>
    <cfRule type="expression" dxfId="232" priority="55">
      <formula>#REF!=5</formula>
    </cfRule>
    <cfRule type="expression" dxfId="231" priority="56">
      <formula>#REF!=4</formula>
    </cfRule>
    <cfRule type="expression" dxfId="230" priority="58">
      <formula>#REF!=1</formula>
    </cfRule>
    <cfRule type="expression" dxfId="229" priority="59">
      <formula>#REF!=0</formula>
    </cfRule>
    <cfRule type="expression" dxfId="228" priority="57">
      <formula>#REF!=2</formula>
    </cfRule>
  </conditionalFormatting>
  <conditionalFormatting sqref="FG6:FG25 FG27">
    <cfRule type="colorScale" priority="23">
      <colorScale>
        <cfvo type="min"/>
        <cfvo type="percentile" val="50"/>
        <cfvo type="max"/>
        <color rgb="FFF8696B"/>
        <color rgb="FFFFEB84"/>
        <color rgb="FF63BE7B"/>
      </colorScale>
    </cfRule>
  </conditionalFormatting>
  <dataValidations disablePrompts="1" count="1">
    <dataValidation type="list" allowBlank="1" showInputMessage="1" showErrorMessage="1" sqref="A1:B1" xr:uid="{E169CF5A-4CFE-4B94-93FF-E8CFD93C56A3}">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4EA0AE7A-A483-42F3-83C3-87DEAEDA1B2B}">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9DC77910-351C-43DF-982C-96EA859D1574}">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2FB10-5A34-4CD1-AEDA-AC53DD7D0DB3}">
  <sheetPr>
    <tabColor theme="5" tint="-0.249977111117893"/>
    <pageSetUpPr fitToPage="1"/>
  </sheetPr>
  <dimension ref="A1:FH47"/>
  <sheetViews>
    <sheetView showGridLines="0" zoomScale="70" zoomScaleNormal="70" workbookViewId="0">
      <pane xSplit="4" topLeftCell="H1" activePane="topRight" state="frozen"/>
      <selection pane="topRight" activeCell="BB4" sqref="BB4"/>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6" width="6.5546875" style="23" customWidth="1"/>
    <col min="17" max="17" width="6.332031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2.33203125" style="57" customWidth="1"/>
    <col min="41" max="41" width="3" style="57" customWidth="1"/>
    <col min="42" max="42" width="6.33203125" style="28" hidden="1" customWidth="1"/>
    <col min="43" max="43" width="6" style="28" hidden="1" customWidth="1"/>
    <col min="44" max="44" width="5.33203125" style="28" hidden="1" customWidth="1"/>
    <col min="45" max="45" width="5" style="28" hidden="1" customWidth="1"/>
    <col min="46" max="46" width="5.5546875" hidden="1" customWidth="1"/>
    <col min="47" max="47" width="6.33203125" hidden="1" customWidth="1"/>
    <col min="48" max="48" width="5.6640625" hidden="1" customWidth="1"/>
    <col min="49" max="49" width="5.33203125" hidden="1" customWidth="1"/>
    <col min="50" max="50" width="5.6640625" hidden="1" customWidth="1"/>
    <col min="51" max="51" width="5" hidden="1" customWidth="1"/>
    <col min="52" max="52" width="4.5546875" hidden="1" customWidth="1"/>
    <col min="53" max="53" width="6.33203125" hidden="1" customWidth="1"/>
    <col min="54" max="54" width="7.44140625" customWidth="1"/>
    <col min="55" max="55" width="11.6640625" style="141" customWidth="1"/>
    <col min="56" max="56" width="12" customWidth="1"/>
    <col min="57" max="57" width="0.88671875" customWidth="1"/>
    <col min="58" max="58" width="7.88671875" customWidth="1"/>
    <col min="59" max="61" width="8.88671875" bestFit="1"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88671875" bestFit="1" customWidth="1"/>
    <col min="91" max="92" width="7" bestFit="1" customWidth="1"/>
    <col min="93" max="93" width="6.5546875" bestFit="1" customWidth="1"/>
    <col min="94" max="94" width="6.6640625" bestFit="1" customWidth="1"/>
    <col min="95" max="95" width="6.44140625" bestFit="1" customWidth="1"/>
    <col min="96" max="96" width="7.44140625" bestFit="1" customWidth="1"/>
    <col min="97" max="97" width="6.6640625" bestFit="1" customWidth="1"/>
    <col min="98" max="98" width="6.109375" bestFit="1" customWidth="1"/>
    <col min="99" max="99" width="7" bestFit="1" customWidth="1"/>
    <col min="100" max="100" width="7.109375" bestFit="1" customWidth="1"/>
    <col min="101" max="102" width="6.88671875" bestFit="1" customWidth="1"/>
    <col min="103" max="103" width="6.5546875" bestFit="1" customWidth="1"/>
    <col min="104" max="104" width="6.88671875" bestFit="1" customWidth="1"/>
    <col min="105" max="105" width="6.5546875" bestFit="1" customWidth="1"/>
    <col min="106" max="106" width="6.6640625" bestFit="1" customWidth="1"/>
    <col min="107" max="107" width="6.109375" bestFit="1" customWidth="1"/>
    <col min="108" max="108" width="7.44140625" bestFit="1" customWidth="1"/>
    <col min="109" max="109" width="6.6640625" bestFit="1" customWidth="1"/>
    <col min="110" max="110" width="5.6640625" bestFit="1" customWidth="1"/>
    <col min="111" max="111" width="7" bestFit="1" customWidth="1"/>
    <col min="112" max="112" width="5" customWidth="1"/>
    <col min="113" max="113" width="11" bestFit="1" customWidth="1"/>
    <col min="114" max="114" width="6.44140625" bestFit="1" customWidth="1"/>
    <col min="115" max="115" width="6.88671875" bestFit="1" customWidth="1"/>
    <col min="116" max="116" width="6.44140625" bestFit="1" customWidth="1"/>
    <col min="117" max="117" width="6.88671875" bestFit="1" customWidth="1"/>
    <col min="118" max="118" width="6.109375" bestFit="1" customWidth="1"/>
    <col min="119" max="119" width="6.6640625" bestFit="1" customWidth="1"/>
    <col min="120" max="120" width="6.109375" bestFit="1" customWidth="1"/>
    <col min="121" max="121" width="7.44140625" bestFit="1" customWidth="1"/>
    <col min="122" max="122" width="6.6640625" bestFit="1" customWidth="1"/>
    <col min="123" max="123" width="5.6640625" bestFit="1" customWidth="1"/>
    <col min="124" max="124" width="6.33203125" bestFit="1" customWidth="1"/>
    <col min="125" max="125" width="7.109375" bestFit="1" customWidth="1"/>
    <col min="126" max="126" width="6.44140625" bestFit="1" customWidth="1"/>
    <col min="127" max="127" width="6.88671875" bestFit="1" customWidth="1"/>
    <col min="128" max="128" width="6.44140625" bestFit="1" customWidth="1"/>
    <col min="129" max="129" width="6.88671875" bestFit="1" customWidth="1"/>
    <col min="130" max="130" width="6.109375" bestFit="1" customWidth="1"/>
    <col min="131" max="131" width="6.6640625" bestFit="1" customWidth="1"/>
    <col min="132" max="132" width="6.109375" bestFit="1" customWidth="1"/>
    <col min="133" max="133" width="7.44140625" bestFit="1" customWidth="1"/>
    <col min="134" max="134" width="6.664062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45870</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v>45870</v>
      </c>
      <c r="BH1" s="3">
        <v>45839</v>
      </c>
      <c r="BI1" s="3">
        <f>+VLOOKUP(BI2,datos!$D:$E,2,FALSE)</f>
        <v>45505</v>
      </c>
      <c r="BL1" s="3">
        <f>+A1</f>
        <v>45870</v>
      </c>
      <c r="BM1" s="3">
        <f>+VLOOKUP(BM2,datos!$D:$E,2,FALSE)</f>
        <v>45839</v>
      </c>
      <c r="BN1" s="3">
        <f>+VLOOKUP(BN2,datos!$D:$E,2,FALSE)</f>
        <v>45505</v>
      </c>
      <c r="BQ1" s="3">
        <f>+A1</f>
        <v>45870</v>
      </c>
      <c r="BR1" s="3">
        <f>+VLOOKUP(BR2,datos!$D:$E,2,FALSE)</f>
        <v>45505</v>
      </c>
      <c r="BU1" s="3">
        <f>+A1</f>
        <v>45870</v>
      </c>
      <c r="BV1" s="3">
        <f>+VLOOKUP(BV2,datos!$D:$E,2,FALSE)</f>
        <v>45505</v>
      </c>
      <c r="BY1" t="s">
        <v>279</v>
      </c>
      <c r="BZ1" t="s">
        <v>280</v>
      </c>
      <c r="CC1" t="s">
        <v>279</v>
      </c>
      <c r="CD1" t="s">
        <v>280</v>
      </c>
      <c r="CG1" t="s">
        <v>282</v>
      </c>
      <c r="CH1" t="s">
        <v>283</v>
      </c>
      <c r="CI1" s="3">
        <f>+A1</f>
        <v>45870</v>
      </c>
      <c r="CJ1" s="3">
        <f>+VLOOKUP(CJ2,datos!$D:$E,2,FALSE)</f>
        <v>45870</v>
      </c>
      <c r="CK1" s="3">
        <f>+VLOOKUP(CK2,datos!$D:$E,2,FALSE)</f>
        <v>45839</v>
      </c>
      <c r="CL1" s="3">
        <f>+VLOOKUP(CL2,datos!$D:$E,2,FALSE)</f>
        <v>45809</v>
      </c>
      <c r="CM1" s="3">
        <f>+VLOOKUP(CM2,datos!$D:$E,2,FALSE)</f>
        <v>45778</v>
      </c>
      <c r="CN1" s="3">
        <f>+VLOOKUP(CN2,datos!$D:$E,2,FALSE)</f>
        <v>45748</v>
      </c>
      <c r="CO1" s="3">
        <f>+VLOOKUP(CO2,datos!$D:$E,2,FALSE)</f>
        <v>45717</v>
      </c>
      <c r="CP1" s="3">
        <f>+VLOOKUP(CP2,datos!$D:$E,2,FALSE)</f>
        <v>45689</v>
      </c>
      <c r="CQ1" s="3">
        <f>+VLOOKUP(CQ2,datos!$D:$E,2,FALSE)</f>
        <v>45658</v>
      </c>
      <c r="CR1" s="3">
        <f>+VLOOKUP(CR2,datos!$D:$E,2,FALSE)</f>
        <v>45627</v>
      </c>
      <c r="CS1" s="3">
        <f>+VLOOKUP(CS2,datos!$D:$E,2,FALSE)</f>
        <v>45597</v>
      </c>
      <c r="CT1" s="3">
        <f>+VLOOKUP(CT2,datos!$D:$E,2,FALSE)</f>
        <v>45566</v>
      </c>
      <c r="CU1" s="3">
        <f>+VLOOKUP(CU2,datos!$D:$E,2,FALSE)</f>
        <v>45536</v>
      </c>
      <c r="CV1" s="3">
        <f>+VLOOKUP(CV2,datos!$D:$E,2,FALSE)</f>
        <v>45505</v>
      </c>
      <c r="CW1" s="3">
        <f>+VLOOKUP(CW2,datos!$D:$E,2,FALSE)</f>
        <v>45474</v>
      </c>
      <c r="CX1" s="3">
        <f>+VLOOKUP(CX2,datos!$D:$E,2,FALSE)</f>
        <v>45444</v>
      </c>
      <c r="CY1" s="3">
        <f>+VLOOKUP(CY2,datos!$D:$E,2,FALSE)</f>
        <v>45413</v>
      </c>
      <c r="CZ1" s="3">
        <f>+VLOOKUP(CZ2,datos!$D:$E,2,FALSE)</f>
        <v>45383</v>
      </c>
      <c r="DA1" s="3">
        <f>+VLOOKUP(DA2,datos!$D:$E,2,FALSE)</f>
        <v>45352</v>
      </c>
      <c r="DB1" s="3">
        <f>+VLOOKUP(DB2,datos!$D:$E,2,FALSE)</f>
        <v>45323</v>
      </c>
      <c r="DC1" s="3">
        <f>+VLOOKUP(DC2,datos!$D:$E,2,FALSE)</f>
        <v>45292</v>
      </c>
      <c r="DD1" s="3">
        <f>+VLOOKUP(DD2,datos!$D:$E,2,FALSE)</f>
        <v>45261</v>
      </c>
      <c r="DE1" s="3">
        <f>+VLOOKUP(DE2,datos!$D:$E,2,FALSE)</f>
        <v>45231</v>
      </c>
      <c r="DF1" s="3">
        <f>+VLOOKUP(DF2,datos!$D:$E,2,FALSE)</f>
        <v>45200</v>
      </c>
      <c r="DG1" s="3">
        <f>+VLOOKUP(DG2,datos!$D:$E,2,FALSE)</f>
        <v>45170</v>
      </c>
      <c r="DI1" s="3">
        <f>+CJ1</f>
        <v>45870</v>
      </c>
      <c r="DJ1" s="3">
        <f>+VLOOKUP(DJ2,datos!$D:$E,2,FALSE)</f>
        <v>45839</v>
      </c>
      <c r="DK1" s="3">
        <f>+VLOOKUP(DK2,datos!$D:$E,2,FALSE)</f>
        <v>45809</v>
      </c>
      <c r="DL1" s="3">
        <f>+VLOOKUP(DL2,datos!$D:$E,2,FALSE)</f>
        <v>45778</v>
      </c>
      <c r="DM1" s="3">
        <f>+VLOOKUP(DM2,datos!$D:$E,2,FALSE)</f>
        <v>45748</v>
      </c>
      <c r="DN1" s="3">
        <f>+VLOOKUP(DN2,datos!$D:$E,2,FALSE)</f>
        <v>45717</v>
      </c>
      <c r="DO1" s="3">
        <f>+VLOOKUP(DO2,datos!$D:$E,2,FALSE)</f>
        <v>45689</v>
      </c>
      <c r="DP1" s="3">
        <f>+VLOOKUP(DP2,datos!$D:$E,2,FALSE)</f>
        <v>45658</v>
      </c>
      <c r="DQ1" s="3">
        <f>+VLOOKUP(DQ2,datos!$D:$E,2,FALSE)</f>
        <v>45627</v>
      </c>
      <c r="DR1" s="3">
        <f>+VLOOKUP(DR2,datos!$D:$E,2,FALSE)</f>
        <v>45597</v>
      </c>
      <c r="DS1" s="3">
        <f>+VLOOKUP(DS2,datos!$D:$E,2,FALSE)</f>
        <v>45566</v>
      </c>
      <c r="DT1" s="3">
        <f>+VLOOKUP(DT2,datos!$D:$E,2,FALSE)</f>
        <v>45536</v>
      </c>
      <c r="DU1" s="3">
        <f>+VLOOKUP(DU2,datos!$D:$E,2,FALSE)</f>
        <v>45505</v>
      </c>
      <c r="DV1" s="3">
        <f>+VLOOKUP(DV2,datos!$D:$E,2,FALSE)</f>
        <v>45474</v>
      </c>
      <c r="DW1" s="3">
        <f>+VLOOKUP(DW2,datos!$D:$E,2,FALSE)</f>
        <v>45444</v>
      </c>
      <c r="DX1" s="3">
        <f>+VLOOKUP(DX2,datos!$D:$E,2,FALSE)</f>
        <v>45413</v>
      </c>
      <c r="DY1" s="3">
        <f>+VLOOKUP(DY2,datos!$D:$E,2,FALSE)</f>
        <v>45383</v>
      </c>
      <c r="DZ1" s="3">
        <f>+VLOOKUP(DZ2,datos!$D:$E,2,FALSE)</f>
        <v>45352</v>
      </c>
      <c r="EA1" s="3">
        <f>+VLOOKUP(EA2,datos!$D:$E,2,FALSE)</f>
        <v>45323</v>
      </c>
      <c r="EB1" s="3">
        <f>+VLOOKUP(EB2,datos!$D:$E,2,FALSE)</f>
        <v>45292</v>
      </c>
      <c r="EC1" s="3">
        <f>+VLOOKUP(EC2,datos!$D:$E,2,FALSE)</f>
        <v>45261</v>
      </c>
      <c r="ED1" s="3">
        <f>+VLOOKUP(ED2,datos!$D:$E,2,FALSE)</f>
        <v>45231</v>
      </c>
      <c r="EE1" s="3">
        <f>+VLOOKUP(EE2,datos!$D:$E,2,FALSE)</f>
        <v>45200</v>
      </c>
      <c r="EF1" s="3">
        <f>+VLOOKUP(EF2,datos!$D:$E,2,FALSE)</f>
        <v>45170</v>
      </c>
      <c r="EH1" s="14">
        <f>+CJ1</f>
        <v>45870</v>
      </c>
      <c r="EI1" s="14">
        <f t="shared" ref="EI1:FE1" si="0">+CK1</f>
        <v>45839</v>
      </c>
      <c r="EJ1" s="3">
        <f t="shared" si="0"/>
        <v>45809</v>
      </c>
      <c r="EK1" s="3">
        <f t="shared" si="0"/>
        <v>45778</v>
      </c>
      <c r="EL1" s="3">
        <f t="shared" si="0"/>
        <v>45748</v>
      </c>
      <c r="EM1" s="3">
        <f t="shared" si="0"/>
        <v>45717</v>
      </c>
      <c r="EN1" s="3">
        <f t="shared" si="0"/>
        <v>45689</v>
      </c>
      <c r="EO1" s="3">
        <f t="shared" si="0"/>
        <v>45658</v>
      </c>
      <c r="EP1" s="3">
        <f t="shared" si="0"/>
        <v>45627</v>
      </c>
      <c r="EQ1" s="3">
        <f t="shared" si="0"/>
        <v>45597</v>
      </c>
      <c r="ER1" s="3">
        <f t="shared" si="0"/>
        <v>45566</v>
      </c>
      <c r="ES1" s="3">
        <f t="shared" si="0"/>
        <v>45536</v>
      </c>
      <c r="ET1" s="3">
        <f t="shared" si="0"/>
        <v>45505</v>
      </c>
      <c r="EU1" s="3">
        <f t="shared" si="0"/>
        <v>45474</v>
      </c>
      <c r="EV1" s="3">
        <f t="shared" si="0"/>
        <v>45444</v>
      </c>
      <c r="EW1" s="3">
        <f t="shared" si="0"/>
        <v>45413</v>
      </c>
      <c r="EX1" s="3">
        <f t="shared" si="0"/>
        <v>45383</v>
      </c>
      <c r="EY1" s="3">
        <f t="shared" si="0"/>
        <v>45352</v>
      </c>
      <c r="EZ1" s="3">
        <f t="shared" si="0"/>
        <v>45323</v>
      </c>
      <c r="FA1" s="3">
        <f t="shared" si="0"/>
        <v>45292</v>
      </c>
      <c r="FB1" s="3">
        <f t="shared" si="0"/>
        <v>45261</v>
      </c>
      <c r="FC1" s="3">
        <f t="shared" si="0"/>
        <v>45231</v>
      </c>
      <c r="FD1" s="3">
        <f t="shared" si="0"/>
        <v>45200</v>
      </c>
      <c r="FE1" s="3">
        <f t="shared" si="0"/>
        <v>45170</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45536</v>
      </c>
      <c r="AQ2" s="174">
        <f>VLOOKUP(VLOOKUP(+$A$1,ran_ma,2,FALSE)-10,ran_idma,2,FALSE)</f>
        <v>45566</v>
      </c>
      <c r="AR2" s="174">
        <f>VLOOKUP(VLOOKUP(+$A$1,ran_ma,2,FALSE)-9,ran_idma,2,FALSE)</f>
        <v>45597</v>
      </c>
      <c r="AS2" s="174">
        <f>VLOOKUP(VLOOKUP(+$A$1,ran_ma,2,FALSE)-8,ran_idma,2,FALSE)</f>
        <v>45627</v>
      </c>
      <c r="AT2" s="59">
        <f>VLOOKUP(VLOOKUP(+$A$1,ran_ma,2,FALSE)-7,ran_idma,2,FALSE)</f>
        <v>45658</v>
      </c>
      <c r="AU2" s="59">
        <f>VLOOKUP(VLOOKUP(+$A$1,ran_ma,2,FALSE)-6,ran_idma,2,FALSE)</f>
        <v>45689</v>
      </c>
      <c r="AV2" s="59">
        <f>VLOOKUP(VLOOKUP(+$A$1,ran_ma,2,FALSE)-5,ran_idma,2,FALSE)</f>
        <v>45717</v>
      </c>
      <c r="AW2" s="59">
        <f>VLOOKUP(VLOOKUP(+$A$1,ran_ma,2,FALSE)-4,ran_idma,2,FALSE)</f>
        <v>45748</v>
      </c>
      <c r="AX2" s="59">
        <f>VLOOKUP(VLOOKUP(+$A$1,ran_ma,2,FALSE)-3,ran_idma,2,FALSE)</f>
        <v>45778</v>
      </c>
      <c r="AY2" s="59">
        <f>VLOOKUP(VLOOKUP(+$A$1,ran_ma,2,FALSE)-2,ran_idma,2,FALSE)</f>
        <v>45809</v>
      </c>
      <c r="AZ2" s="59">
        <f>VLOOKUP(VLOOKUP(+$A$1,ran_ma,2,FALSE)-1,ran_idma,2,FALSE)</f>
        <v>45839</v>
      </c>
      <c r="BA2" s="59">
        <f>A1</f>
        <v>45870</v>
      </c>
      <c r="BB2" s="59"/>
      <c r="BC2" s="170"/>
      <c r="BE2" s="9" t="s">
        <v>272</v>
      </c>
      <c r="BG2">
        <f>+VLOOKUP(BG1,ran_dat,datos!$D$1,FALSE)</f>
        <v>125</v>
      </c>
      <c r="BH2">
        <f>+BG2-1</f>
        <v>124</v>
      </c>
      <c r="BI2">
        <f>+BG2-12</f>
        <v>113</v>
      </c>
      <c r="BK2" s="9"/>
      <c r="BL2">
        <f>+VLOOKUP(BL1,ran_dat,datos!$D$1,FALSE)</f>
        <v>125</v>
      </c>
      <c r="BM2">
        <f>+BL2-1</f>
        <v>124</v>
      </c>
      <c r="BN2">
        <f>+BL2-12</f>
        <v>113</v>
      </c>
      <c r="BP2" s="9"/>
      <c r="BQ2">
        <f>+VLOOKUP(BQ1,ran_dat,datos!$D$1,FALSE)</f>
        <v>125</v>
      </c>
      <c r="BR2">
        <f>+BQ2-12</f>
        <v>113</v>
      </c>
      <c r="BT2" s="9"/>
      <c r="BU2">
        <f>+VLOOKUP(BU1,ran_dat,datos!$D$1,FALSE)</f>
        <v>125</v>
      </c>
      <c r="BV2">
        <f>+BU2-12</f>
        <v>113</v>
      </c>
      <c r="BX2" s="9"/>
      <c r="CB2" s="9"/>
      <c r="CI2">
        <f>+VLOOKUP(CI1,ran_dat,datos!$D$1,FALSE)</f>
        <v>125</v>
      </c>
      <c r="CJ2">
        <f>+CI2</f>
        <v>125</v>
      </c>
      <c r="CK2">
        <f t="shared" ref="CK2:DG2" si="1">+CJ2-1</f>
        <v>124</v>
      </c>
      <c r="CL2">
        <f t="shared" si="1"/>
        <v>123</v>
      </c>
      <c r="CM2">
        <f t="shared" si="1"/>
        <v>122</v>
      </c>
      <c r="CN2">
        <f t="shared" si="1"/>
        <v>121</v>
      </c>
      <c r="CO2">
        <f t="shared" si="1"/>
        <v>120</v>
      </c>
      <c r="CP2">
        <f t="shared" si="1"/>
        <v>119</v>
      </c>
      <c r="CQ2">
        <f t="shared" si="1"/>
        <v>118</v>
      </c>
      <c r="CR2">
        <f t="shared" si="1"/>
        <v>117</v>
      </c>
      <c r="CS2">
        <f t="shared" si="1"/>
        <v>116</v>
      </c>
      <c r="CT2">
        <f t="shared" si="1"/>
        <v>115</v>
      </c>
      <c r="CU2">
        <f t="shared" si="1"/>
        <v>114</v>
      </c>
      <c r="CV2">
        <f t="shared" si="1"/>
        <v>113</v>
      </c>
      <c r="CW2">
        <f t="shared" si="1"/>
        <v>112</v>
      </c>
      <c r="CX2">
        <f t="shared" si="1"/>
        <v>111</v>
      </c>
      <c r="CY2">
        <f t="shared" si="1"/>
        <v>110</v>
      </c>
      <c r="CZ2">
        <f t="shared" si="1"/>
        <v>109</v>
      </c>
      <c r="DA2">
        <f t="shared" si="1"/>
        <v>108</v>
      </c>
      <c r="DB2">
        <f t="shared" si="1"/>
        <v>107</v>
      </c>
      <c r="DC2">
        <f t="shared" si="1"/>
        <v>106</v>
      </c>
      <c r="DD2">
        <f t="shared" si="1"/>
        <v>105</v>
      </c>
      <c r="DE2">
        <f t="shared" si="1"/>
        <v>104</v>
      </c>
      <c r="DF2">
        <f t="shared" si="1"/>
        <v>103</v>
      </c>
      <c r="DG2">
        <f t="shared" si="1"/>
        <v>102</v>
      </c>
      <c r="DI2">
        <f>+VLOOKUP(DI1,ran_dat,datos!$D$1,FALSE)</f>
        <v>125</v>
      </c>
      <c r="DJ2">
        <f t="shared" ref="DJ2:EF2" si="2">+DI2-1</f>
        <v>124</v>
      </c>
      <c r="DK2">
        <f t="shared" si="2"/>
        <v>123</v>
      </c>
      <c r="DL2">
        <f t="shared" si="2"/>
        <v>122</v>
      </c>
      <c r="DM2">
        <f t="shared" si="2"/>
        <v>121</v>
      </c>
      <c r="DN2">
        <f t="shared" si="2"/>
        <v>120</v>
      </c>
      <c r="DO2">
        <f t="shared" si="2"/>
        <v>119</v>
      </c>
      <c r="DP2">
        <f t="shared" si="2"/>
        <v>118</v>
      </c>
      <c r="DQ2">
        <f t="shared" si="2"/>
        <v>117</v>
      </c>
      <c r="DR2">
        <f t="shared" si="2"/>
        <v>116</v>
      </c>
      <c r="DS2">
        <f t="shared" si="2"/>
        <v>115</v>
      </c>
      <c r="DT2">
        <f t="shared" si="2"/>
        <v>114</v>
      </c>
      <c r="DU2">
        <f t="shared" si="2"/>
        <v>113</v>
      </c>
      <c r="DV2">
        <f t="shared" si="2"/>
        <v>112</v>
      </c>
      <c r="DW2">
        <f t="shared" si="2"/>
        <v>111</v>
      </c>
      <c r="DX2">
        <f t="shared" si="2"/>
        <v>110</v>
      </c>
      <c r="DY2">
        <f t="shared" si="2"/>
        <v>109</v>
      </c>
      <c r="DZ2">
        <f t="shared" si="2"/>
        <v>108</v>
      </c>
      <c r="EA2">
        <f t="shared" si="2"/>
        <v>107</v>
      </c>
      <c r="EB2">
        <f t="shared" si="2"/>
        <v>106</v>
      </c>
      <c r="EC2">
        <f t="shared" si="2"/>
        <v>105</v>
      </c>
      <c r="ED2">
        <f t="shared" si="2"/>
        <v>104</v>
      </c>
      <c r="EE2">
        <f t="shared" si="2"/>
        <v>103</v>
      </c>
      <c r="EF2">
        <f t="shared" si="2"/>
        <v>102</v>
      </c>
      <c r="EH2" s="14">
        <f>+VLOOKUP(EH1,ran_dat,datos!$D$1,FALSE)</f>
        <v>125</v>
      </c>
      <c r="EI2" s="14">
        <f t="shared" ref="EI2:FE2" si="3">+EH2-1</f>
        <v>124</v>
      </c>
      <c r="EJ2">
        <f t="shared" si="3"/>
        <v>123</v>
      </c>
      <c r="EK2">
        <f t="shared" si="3"/>
        <v>122</v>
      </c>
      <c r="EL2">
        <f t="shared" si="3"/>
        <v>121</v>
      </c>
      <c r="EM2">
        <f t="shared" si="3"/>
        <v>120</v>
      </c>
      <c r="EN2">
        <f t="shared" si="3"/>
        <v>119</v>
      </c>
      <c r="EO2">
        <f t="shared" si="3"/>
        <v>118</v>
      </c>
      <c r="EP2">
        <f t="shared" si="3"/>
        <v>117</v>
      </c>
      <c r="EQ2">
        <f t="shared" si="3"/>
        <v>116</v>
      </c>
      <c r="ER2">
        <f t="shared" si="3"/>
        <v>115</v>
      </c>
      <c r="ES2">
        <f t="shared" si="3"/>
        <v>114</v>
      </c>
      <c r="ET2">
        <f t="shared" si="3"/>
        <v>113</v>
      </c>
      <c r="EU2">
        <f t="shared" si="3"/>
        <v>112</v>
      </c>
      <c r="EV2">
        <f t="shared" si="3"/>
        <v>111</v>
      </c>
      <c r="EW2">
        <f t="shared" si="3"/>
        <v>110</v>
      </c>
      <c r="EX2">
        <f t="shared" si="3"/>
        <v>109</v>
      </c>
      <c r="EY2">
        <f t="shared" si="3"/>
        <v>108</v>
      </c>
      <c r="EZ2">
        <f t="shared" si="3"/>
        <v>107</v>
      </c>
      <c r="FA2">
        <f t="shared" si="3"/>
        <v>106</v>
      </c>
      <c r="FB2">
        <f t="shared" si="3"/>
        <v>105</v>
      </c>
      <c r="FC2">
        <f t="shared" si="3"/>
        <v>104</v>
      </c>
      <c r="FD2">
        <f t="shared" si="3"/>
        <v>103</v>
      </c>
      <c r="FE2">
        <f t="shared" si="3"/>
        <v>102</v>
      </c>
    </row>
    <row r="3" spans="1:163" ht="18.75" customHeight="1">
      <c r="A3" s="220"/>
      <c r="C3" s="155"/>
      <c r="D3" s="196">
        <v>0.33</v>
      </c>
      <c r="E3" s="100">
        <f>IFERROR(+BG5/BH5-1,"")</f>
        <v>1.8753048130795591E-2</v>
      </c>
      <c r="F3" s="56" t="s">
        <v>515</v>
      </c>
      <c r="G3" s="56"/>
      <c r="H3" s="56"/>
      <c r="I3" s="60">
        <f>IFERROR(+BG5/BI5-1,"")</f>
        <v>0.33556091466426485</v>
      </c>
      <c r="J3" s="56" t="s">
        <v>515</v>
      </c>
      <c r="K3" s="56"/>
      <c r="L3" s="56"/>
      <c r="M3" s="32"/>
      <c r="N3" s="196">
        <v>0.33</v>
      </c>
      <c r="O3" s="31"/>
      <c r="S3" s="32"/>
      <c r="T3" s="196">
        <v>0.33</v>
      </c>
      <c r="U3" s="150" t="str">
        <f>TEXT(CU1,"MMM-YY")&amp;"."&amp;TEXT(CJ1,"MMM-YY")&amp;" vs "&amp;TEXT(DG1,"MMM-YY")&amp;"."&amp;TEXT(CV1,"MMM-YY")</f>
        <v>sept-24.ago-25 vs sept-23.ago-24</v>
      </c>
      <c r="Y3" s="59" t="str">
        <f>TEXT(CJ1,"MMM-YY")&amp;" vs "&amp;TEXT(CV1,"MMM-YY")</f>
        <v>ago-25 vs ago-24</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83"/>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9193.2000000000007</v>
      </c>
      <c r="BH5" s="2">
        <f t="shared" si="4"/>
        <v>9023.973</v>
      </c>
      <c r="BI5" s="2">
        <f t="shared" si="4"/>
        <v>6883.4</v>
      </c>
    </row>
    <row r="6" spans="1:163" ht="18.75" customHeight="1">
      <c r="A6" s="243" t="s">
        <v>28</v>
      </c>
      <c r="B6" s="246"/>
      <c r="C6" s="156">
        <f t="shared" ref="C6:C24" si="5">+D6*$D$3+N6*$N$3+T6*$T$3</f>
        <v>0</v>
      </c>
      <c r="D6" s="198">
        <v>-2</v>
      </c>
      <c r="E6" s="248">
        <f t="shared" ref="E6:E24" si="6">IFERROR(+BG6/BH6-1,"")</f>
        <v>4.1417805695193932E-2</v>
      </c>
      <c r="F6" s="249">
        <f t="shared" ref="F6:F24" si="7">+E6-$E$3</f>
        <v>2.2664757564398341E-2</v>
      </c>
      <c r="G6" s="248">
        <f t="shared" ref="G6:G24" si="8">IFERROR(+BL6/BM6-1,"")</f>
        <v>2.8905659372308934E-2</v>
      </c>
      <c r="H6" s="249">
        <f t="shared" ref="H6:H24" si="9">E6-G6</f>
        <v>1.2512146322884998E-2</v>
      </c>
      <c r="I6" s="248">
        <f t="shared" ref="I6:I24" si="10">IFERROR(+BG6/BI6-1,"")</f>
        <v>0.10463560566561214</v>
      </c>
      <c r="J6" s="249">
        <f t="shared" ref="J6:J26" si="11">+I6-$I$3</f>
        <v>-0.23092530899865271</v>
      </c>
      <c r="K6" s="248">
        <f t="shared" ref="K6:K24" si="12">IFERROR(+BL6/BN6-1,"")</f>
        <v>0.2717803754562651</v>
      </c>
      <c r="L6" s="249">
        <f t="shared" ref="L6:L24" si="13">I6-K6</f>
        <v>-0.16714476979065296</v>
      </c>
      <c r="M6" s="250"/>
      <c r="N6" s="24">
        <v>1</v>
      </c>
      <c r="O6" s="248">
        <f>IFERROR(+BQ6/BR6-1,"")</f>
        <v>6.1538461538461542E-2</v>
      </c>
      <c r="P6" s="251">
        <f>+O6</f>
        <v>6.1538461538461542E-2</v>
      </c>
      <c r="Q6" s="248">
        <f t="shared" ref="Q6:Q24" si="14">IFERROR(+BU6/BV6-1,"")</f>
        <v>-0.15384615384615385</v>
      </c>
      <c r="R6" s="251">
        <f>+Q6</f>
        <v>-0.15384615384615385</v>
      </c>
      <c r="S6" s="250"/>
      <c r="T6" s="24">
        <v>1</v>
      </c>
      <c r="U6" s="248">
        <f t="shared" ref="U6:U24" si="15">IFERROR(+BY6/BZ6-1,"")</f>
        <v>-0.28754563621412299</v>
      </c>
      <c r="V6" s="252">
        <f t="shared" ref="V6:V24" si="16">+U6</f>
        <v>-0.28754563621412299</v>
      </c>
      <c r="W6" s="248">
        <f>IFERROR(IF(CC6&lt;0.5,"",+CC6/CD6-1),"")</f>
        <v>0.61031166125958713</v>
      </c>
      <c r="X6" s="252">
        <f t="shared" ref="X6:X24" si="17">+W6</f>
        <v>0.61031166125958713</v>
      </c>
      <c r="Y6" s="248" t="str">
        <f t="shared" ref="Y6:Y25" si="18">IFERROR(+CG6/CH6-1,"")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3</v>
      </c>
      <c r="AQ6" s="28">
        <f>VLOOKUP($A6,historia!$A$5:$CM$24,+HLOOKUP(AQ$2,historia!$A$3:$EC$4,2,FALSE),FALSE)</f>
        <v>3</v>
      </c>
      <c r="AR6" s="28">
        <f>VLOOKUP($A6,historia!$A$5:$CM$24,+HLOOKUP(AR$2,historia!$A$3:$EC$4,2,FALSE),FALSE)</f>
        <v>3</v>
      </c>
      <c r="AS6" s="28">
        <f>VLOOKUP($A6,historia!$A$5:$CM$24,+HLOOKUP(AS$2,historia!$A$3:$EC$4,2,FALSE),FALSE)</f>
        <v>3</v>
      </c>
      <c r="AT6" s="58">
        <f>VLOOKUP($A6,historia!$A$5:$CM$24,+HLOOKUP(AT$2,historia!$A$3:$EC$4,2,FALSE),FALSE)</f>
        <v>4</v>
      </c>
      <c r="AU6" s="58">
        <f>VLOOKUP($A6,historia!$A$5:$CM$24,+HLOOKUP(AU$2,historia!$A$3:$EC$4,2,FALSE),FALSE)</f>
        <v>4</v>
      </c>
      <c r="AV6" s="58">
        <f>VLOOKUP($A6,historia!$A$5:$CM$24,+HLOOKUP(AV$2,historia!$A$3:$EC$4,2,FALSE),FALSE)</f>
        <v>4</v>
      </c>
      <c r="AW6" s="58">
        <f>VLOOKUP($A6,historia!$A$5:$CM$24,+HLOOKUP(AW$2,historia!$A$3:$EC$4,2,FALSE),FALSE)</f>
        <v>4</v>
      </c>
      <c r="AX6" s="58">
        <f>VLOOKUP($A6,historia!$A$5:$CM$24,+HLOOKUP(AX$2,historia!$A$3:$EC$4,2,FALSE),FALSE)</f>
        <v>3</v>
      </c>
      <c r="AY6" s="58">
        <f>VLOOKUP($A6,historia!$A$5:$CM$24,+HLOOKUP(AY$2,historia!$A$3:$EC$4,2,FALSE),FALSE)</f>
        <v>3</v>
      </c>
      <c r="AZ6" s="58">
        <f>VLOOKUP($A6,historia!$A$5:$CM$24,+HLOOKUP(AZ$2,historia!$A$3:$EC$4,2,FALSE),FALSE)</f>
        <v>3</v>
      </c>
      <c r="BA6" s="58">
        <f>VLOOKUP($A6,historia!$A$5:$DG$24,+HLOOKUP(BA$2,historia!$A$3:$EC$4,2,FALSE),FALSE)</f>
        <v>3</v>
      </c>
      <c r="BB6" s="58"/>
      <c r="BC6" s="286">
        <v>3</v>
      </c>
      <c r="BD6" t="str">
        <f t="shared" ref="BD6:BD24" si="20">+A6</f>
        <v>Algodón</v>
      </c>
      <c r="BE6">
        <f>+datos!P1</f>
        <v>16</v>
      </c>
      <c r="BF6" s="2" t="str">
        <f t="shared" si="4"/>
        <v>$/kg</v>
      </c>
      <c r="BG6" s="2">
        <f t="shared" si="4"/>
        <v>1413.3494374999998</v>
      </c>
      <c r="BH6" s="2">
        <f t="shared" si="4"/>
        <v>1357.1396895374999</v>
      </c>
      <c r="BI6" s="2">
        <f t="shared" si="4"/>
        <v>1279.4711941666667</v>
      </c>
      <c r="BK6">
        <f>+datos!BY1</f>
        <v>77</v>
      </c>
      <c r="BL6" s="2">
        <f t="shared" ref="BL6:BN24" si="21">+VLOOKUP(BL$1,ran_dat,$BK6,FALSE)</f>
        <v>10948.820509054232</v>
      </c>
      <c r="BM6" s="2">
        <f t="shared" si="21"/>
        <v>10641.228774787414</v>
      </c>
      <c r="BN6" s="2">
        <f t="shared" si="21"/>
        <v>8609.049738738282</v>
      </c>
      <c r="BP6" s="1">
        <f>+datos!DK1</f>
        <v>115</v>
      </c>
      <c r="BQ6" s="1">
        <f t="shared" ref="BQ6:BR24" si="22">+VLOOKUP(BQ$1,ran_dat,$BP6,FALSE)</f>
        <v>690000</v>
      </c>
      <c r="BR6" s="1">
        <f t="shared" si="22"/>
        <v>650000</v>
      </c>
      <c r="BT6" s="1">
        <f>+datos!FF1</f>
        <v>162</v>
      </c>
      <c r="BU6" s="1">
        <f t="shared" ref="BU6:BV24" si="23">+VLOOKUP(BU$1,ran_dat,$BT6,FALSE)</f>
        <v>1100000</v>
      </c>
      <c r="BV6" s="1">
        <f t="shared" si="23"/>
        <v>1300000</v>
      </c>
      <c r="BX6" s="1">
        <f>+datos!JF1</f>
        <v>266</v>
      </c>
      <c r="BY6" s="1">
        <f>+SUM(CJ6:CU6)</f>
        <v>133.04155007</v>
      </c>
      <c r="BZ6" s="1">
        <f>+SUM(CV6:DG6)</f>
        <v>186.73694320999999</v>
      </c>
      <c r="CB6" s="1">
        <f>+datos!KK1</f>
        <v>297</v>
      </c>
      <c r="CC6" s="2">
        <f t="shared" ref="CC6:CC24" si="24">+SUM(DI6:DT6)</f>
        <v>102.64524642999999</v>
      </c>
      <c r="CD6" s="2">
        <f t="shared" ref="CD6:CD24" si="25">+SUM(DU6:EF6)</f>
        <v>63.742472280000001</v>
      </c>
      <c r="CF6" s="1">
        <f>+datos!HS1</f>
        <v>227</v>
      </c>
      <c r="CG6" s="1">
        <f t="shared" ref="CG6:CG24" si="26">+EH6</f>
        <v>0</v>
      </c>
      <c r="CH6" s="1">
        <f t="shared" ref="CH6:CH24" si="27">+ET6</f>
        <v>0</v>
      </c>
      <c r="CJ6" s="1">
        <f t="shared" ref="CJ6:CY21" si="28">+VLOOKUP(CJ$1,ran_dat,$BX6,FALSE)</f>
        <v>16.211576590000004</v>
      </c>
      <c r="CK6" s="1">
        <f t="shared" si="28"/>
        <v>9.0263359399999974</v>
      </c>
      <c r="CL6" s="1">
        <f t="shared" si="28"/>
        <v>8.2931694499999988</v>
      </c>
      <c r="CM6" s="1">
        <f t="shared" si="28"/>
        <v>5.0945514700000007</v>
      </c>
      <c r="CN6" s="1">
        <f t="shared" si="28"/>
        <v>7.3093251500000047</v>
      </c>
      <c r="CO6" s="1">
        <f t="shared" si="28"/>
        <v>6.7908860800000017</v>
      </c>
      <c r="CP6" s="1">
        <f t="shared" si="28"/>
        <v>8.6490729999999978</v>
      </c>
      <c r="CQ6" s="1">
        <f t="shared" si="28"/>
        <v>6.462363250000001</v>
      </c>
      <c r="CR6" s="1">
        <f t="shared" si="28"/>
        <v>10.78045292</v>
      </c>
      <c r="CS6" s="1">
        <f t="shared" si="28"/>
        <v>14.805583519999997</v>
      </c>
      <c r="CT6" s="1">
        <f t="shared" si="28"/>
        <v>17.696202909999993</v>
      </c>
      <c r="CU6" s="1">
        <f t="shared" si="28"/>
        <v>21.922029789999996</v>
      </c>
      <c r="CV6" s="1">
        <f t="shared" si="28"/>
        <v>19.20970509</v>
      </c>
      <c r="CW6" s="1">
        <f t="shared" si="28"/>
        <v>24.496622440000007</v>
      </c>
      <c r="CX6" s="1">
        <f t="shared" si="28"/>
        <v>21.439575039999998</v>
      </c>
      <c r="CY6" s="1">
        <f t="shared" si="28"/>
        <v>14.529816729999997</v>
      </c>
      <c r="CZ6" s="1">
        <f t="shared" ref="CZ6:DG21" si="29">+VLOOKUP(CZ$1,ran_dat,$BX6,FALSE)</f>
        <v>18.258202080000007</v>
      </c>
      <c r="DA6" s="1">
        <f t="shared" si="29"/>
        <v>18.510441480000001</v>
      </c>
      <c r="DB6" s="1">
        <f t="shared" si="29"/>
        <v>7.7064561400000011</v>
      </c>
      <c r="DC6" s="1">
        <f t="shared" si="29"/>
        <v>8.1062574399999985</v>
      </c>
      <c r="DD6" s="1">
        <f t="shared" si="29"/>
        <v>8.4463773399999997</v>
      </c>
      <c r="DE6" s="1">
        <f t="shared" si="29"/>
        <v>15.019774559999998</v>
      </c>
      <c r="DF6" s="1">
        <f t="shared" si="29"/>
        <v>14.398572559999998</v>
      </c>
      <c r="DG6" s="1">
        <f t="shared" si="29"/>
        <v>16.61514231</v>
      </c>
      <c r="DI6" s="1">
        <f t="shared" ref="DI6:DX21" si="30">+VLOOKUP(DI$1,ran_dat,$CB6,FALSE)</f>
        <v>10.908765819999998</v>
      </c>
      <c r="DJ6" s="1">
        <f t="shared" si="30"/>
        <v>11.035692889999996</v>
      </c>
      <c r="DK6" s="1">
        <f t="shared" si="30"/>
        <v>9.4337625599999999</v>
      </c>
      <c r="DL6" s="1">
        <f t="shared" si="30"/>
        <v>9.66008332</v>
      </c>
      <c r="DM6" s="1">
        <f t="shared" si="30"/>
        <v>10.467826709999999</v>
      </c>
      <c r="DN6" s="1">
        <f t="shared" si="30"/>
        <v>7.9836210200000002</v>
      </c>
      <c r="DO6" s="1">
        <f t="shared" si="30"/>
        <v>9.7355070900000005</v>
      </c>
      <c r="DP6" s="1">
        <f t="shared" si="30"/>
        <v>7.6983577599999995</v>
      </c>
      <c r="DQ6" s="1">
        <f t="shared" si="30"/>
        <v>8.003268180000001</v>
      </c>
      <c r="DR6" s="1">
        <f t="shared" si="30"/>
        <v>5.6011509000000004</v>
      </c>
      <c r="DS6" s="1">
        <f t="shared" si="30"/>
        <v>5.8112020999999991</v>
      </c>
      <c r="DT6" s="1">
        <f t="shared" si="30"/>
        <v>6.3060080799999998</v>
      </c>
      <c r="DU6" s="1">
        <f t="shared" si="30"/>
        <v>3.7690183000000008</v>
      </c>
      <c r="DV6" s="1">
        <f t="shared" si="30"/>
        <v>4.5361736000000006</v>
      </c>
      <c r="DW6" s="1">
        <f t="shared" si="30"/>
        <v>3.2956469100000003</v>
      </c>
      <c r="DX6" s="1">
        <f t="shared" si="30"/>
        <v>4.5516111999999991</v>
      </c>
      <c r="DY6" s="1">
        <f t="shared" ref="DY6:EF20" si="31">+VLOOKUP(DY$1,ran_dat,$CB6,FALSE)</f>
        <v>3.9375346699999998</v>
      </c>
      <c r="DZ6" s="1">
        <f t="shared" si="31"/>
        <v>4.8118603300000009</v>
      </c>
      <c r="EA6" s="1">
        <f t="shared" si="31"/>
        <v>5.2295233099999994</v>
      </c>
      <c r="EB6" s="1">
        <f t="shared" si="31"/>
        <v>7.4159317900000001</v>
      </c>
      <c r="EC6" s="1">
        <f t="shared" si="31"/>
        <v>3.5587731599999999</v>
      </c>
      <c r="ED6" s="1">
        <f t="shared" si="31"/>
        <v>6.9479693099999986</v>
      </c>
      <c r="EE6" s="1">
        <f t="shared" si="31"/>
        <v>7.5746309199999997</v>
      </c>
      <c r="EF6" s="1">
        <f t="shared" si="31"/>
        <v>8.1137987799999998</v>
      </c>
      <c r="EH6" s="14">
        <f t="shared" ref="EH6:EW21" si="32">+VLOOKUP(EH$1,ran_dat,$CF6,FALSE)</f>
        <v>0</v>
      </c>
      <c r="EI6" s="14">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ref="EX6:FE20" si="33">+VLOOKUP(EX$1,ran_dat,$CF6,FALSE)</f>
        <v>0</v>
      </c>
      <c r="EY6" s="1">
        <f t="shared" si="33"/>
        <v>0</v>
      </c>
      <c r="EZ6" s="1">
        <f t="shared" si="33"/>
        <v>0</v>
      </c>
      <c r="FA6" s="1">
        <f t="shared" si="33"/>
        <v>0</v>
      </c>
      <c r="FB6" s="1">
        <f t="shared" si="33"/>
        <v>0</v>
      </c>
      <c r="FC6" s="1">
        <f t="shared" si="33"/>
        <v>0</v>
      </c>
      <c r="FD6" s="1">
        <f t="shared" si="33"/>
        <v>0</v>
      </c>
      <c r="FE6" s="1">
        <f t="shared" si="33"/>
        <v>0</v>
      </c>
      <c r="FG6" s="162">
        <f t="shared" ref="FG6:FG24" si="34">+I6-K6</f>
        <v>-0.16714476979065296</v>
      </c>
    </row>
    <row r="7" spans="1:163" ht="18.75" customHeight="1">
      <c r="A7" s="244" t="s">
        <v>13</v>
      </c>
      <c r="B7" s="247"/>
      <c r="C7" s="228">
        <f t="shared" si="5"/>
        <v>-0.33</v>
      </c>
      <c r="D7" s="229">
        <v>-1</v>
      </c>
      <c r="E7" s="253">
        <f t="shared" si="6"/>
        <v>0</v>
      </c>
      <c r="F7" s="254">
        <f t="shared" si="7"/>
        <v>-1.8753048130795591E-2</v>
      </c>
      <c r="G7" s="253">
        <f t="shared" si="8"/>
        <v>-9.9313070686619653E-3</v>
      </c>
      <c r="H7" s="254">
        <f t="shared" si="9"/>
        <v>9.9313070686619653E-3</v>
      </c>
      <c r="I7" s="253">
        <f t="shared" si="10"/>
        <v>-0.5</v>
      </c>
      <c r="J7" s="254">
        <f t="shared" si="11"/>
        <v>-0.83556091466426485</v>
      </c>
      <c r="K7" s="253">
        <f t="shared" si="12"/>
        <v>0.28160129725044536</v>
      </c>
      <c r="L7" s="254">
        <f t="shared" si="13"/>
        <v>-0.78160129725044536</v>
      </c>
      <c r="M7" s="255"/>
      <c r="N7" s="256">
        <v>1</v>
      </c>
      <c r="O7" s="253">
        <f t="shared" ref="O7:O24" si="35">IFERROR(+BQ7/BR7-1,"")</f>
        <v>0.14999999999999991</v>
      </c>
      <c r="P7" s="257">
        <f t="shared" ref="P7:P24" si="36">+O7</f>
        <v>0.14999999999999991</v>
      </c>
      <c r="Q7" s="253">
        <f t="shared" si="14"/>
        <v>0.23076923076923084</v>
      </c>
      <c r="R7" s="257">
        <f t="shared" ref="R7:R24" si="37">+Q7</f>
        <v>0.23076923076923084</v>
      </c>
      <c r="S7" s="255"/>
      <c r="T7" s="256">
        <v>-1</v>
      </c>
      <c r="U7" s="253">
        <f t="shared" si="15"/>
        <v>0.57139262329634177</v>
      </c>
      <c r="V7" s="258">
        <f t="shared" si="16"/>
        <v>0.57139262329634177</v>
      </c>
      <c r="W7" s="253">
        <f t="shared" ref="W7:W24" si="38">IFERROR(IF(CC7&lt;0.5,"",+CC7/CD7-1),"")</f>
        <v>0.51621302489118248</v>
      </c>
      <c r="X7" s="258">
        <f t="shared" si="17"/>
        <v>0.51621302489118248</v>
      </c>
      <c r="Y7" s="253">
        <f t="shared" si="18"/>
        <v>0.41428571428571437</v>
      </c>
      <c r="Z7" s="258">
        <f t="shared" si="19"/>
        <v>0.41428571428571437</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4</v>
      </c>
      <c r="AQ7" s="28">
        <f>VLOOKUP($A7,historia!$A$5:$CM$24,+HLOOKUP(AQ$2,historia!$A$3:$EC$4,2,FALSE),FALSE)</f>
        <v>4</v>
      </c>
      <c r="AR7" s="28">
        <f>VLOOKUP($A7,historia!$A$5:$CM$24,+HLOOKUP(AR$2,historia!$A$3:$EC$4,2,FALSE),FALSE)</f>
        <v>4</v>
      </c>
      <c r="AS7" s="28">
        <f>VLOOKUP($A7,historia!$A$5:$CM$24,+HLOOKUP(AS$2,historia!$A$3:$EC$4,2,FALSE),FALSE)</f>
        <v>4</v>
      </c>
      <c r="AT7" s="58">
        <f>VLOOKUP($A7,historia!$A$5:$CM$24,+HLOOKUP(AT$2,historia!$A$3:$EC$4,2,FALSE),FALSE)</f>
        <v>4</v>
      </c>
      <c r="AU7" s="58">
        <f>VLOOKUP($A7,historia!$A$5:$CM$24,+HLOOKUP(AU$2,historia!$A$3:$EC$4,2,FALSE),FALSE)</f>
        <v>4</v>
      </c>
      <c r="AV7" s="58">
        <f>VLOOKUP($A7,historia!$A$5:$CM$24,+HLOOKUP(AV$2,historia!$A$3:$EC$4,2,FALSE),FALSE)</f>
        <v>4</v>
      </c>
      <c r="AW7" s="58">
        <f>VLOOKUP($A7,historia!$A$5:$CM$24,+HLOOKUP(AW$2,historia!$A$3:$EC$4,2,FALSE),FALSE)</f>
        <v>4</v>
      </c>
      <c r="AX7" s="58">
        <f>VLOOKUP($A7,historia!$A$5:$CM$24,+HLOOKUP(AX$2,historia!$A$3:$EC$4,2,FALSE),FALSE)</f>
        <v>4</v>
      </c>
      <c r="AY7" s="58">
        <f>VLOOKUP($A7,historia!$A$5:$CM$24,+HLOOKUP(AY$2,historia!$A$3:$EC$4,2,FALSE),FALSE)</f>
        <v>4</v>
      </c>
      <c r="AZ7" s="58">
        <f>VLOOKUP($A7,historia!$A$5:$CM$24,+HLOOKUP(AZ$2,historia!$A$3:$EC$4,2,FALSE),FALSE)</f>
        <v>4</v>
      </c>
      <c r="BA7" s="58">
        <f>VLOOKUP($A7,historia!$A$5:$DG$24,+HLOOKUP(BA$2,historia!$A$3:$EC$4,2,FALSE),FALSE)</f>
        <v>4</v>
      </c>
      <c r="BB7" s="58"/>
      <c r="BC7" s="286">
        <v>4</v>
      </c>
      <c r="BD7" t="str">
        <f t="shared" si="20"/>
        <v>Arroz</v>
      </c>
      <c r="BE7">
        <f>+datos!R1</f>
        <v>18</v>
      </c>
      <c r="BF7" s="2" t="str">
        <f t="shared" si="4"/>
        <v>$/t</v>
      </c>
      <c r="BG7" s="2">
        <f t="shared" si="4"/>
        <v>200000</v>
      </c>
      <c r="BH7" s="2">
        <f t="shared" si="4"/>
        <v>200000</v>
      </c>
      <c r="BI7" s="2">
        <f t="shared" si="4"/>
        <v>400000</v>
      </c>
      <c r="BK7">
        <f>+datos!BZ1</f>
        <v>78</v>
      </c>
      <c r="BL7" s="2">
        <f t="shared" si="21"/>
        <v>10704.433817355681</v>
      </c>
      <c r="BM7" s="2">
        <f t="shared" si="21"/>
        <v>10811.809214634</v>
      </c>
      <c r="BN7" s="2">
        <f t="shared" si="21"/>
        <v>8352.389967395502</v>
      </c>
      <c r="BP7" s="1">
        <f>+datos!DM1</f>
        <v>117</v>
      </c>
      <c r="BQ7" s="1">
        <f t="shared" si="22"/>
        <v>230000</v>
      </c>
      <c r="BR7" s="1">
        <f t="shared" si="22"/>
        <v>200000</v>
      </c>
      <c r="BT7" s="1">
        <f>+datos!FH1</f>
        <v>164</v>
      </c>
      <c r="BU7" s="1">
        <f t="shared" si="23"/>
        <v>1600000</v>
      </c>
      <c r="BV7" s="1">
        <f t="shared" si="23"/>
        <v>1300000</v>
      </c>
      <c r="BX7" s="1">
        <f>+datos!JG1</f>
        <v>267</v>
      </c>
      <c r="BY7" s="1">
        <f t="shared" ref="BY7:BY24" si="39">+SUM(CJ7:CU7)</f>
        <v>409.64272019999999</v>
      </c>
      <c r="BZ7" s="1">
        <f t="shared" ref="BZ7:BZ24" si="40">+SUM(CV7:DG7)</f>
        <v>260.68769455</v>
      </c>
      <c r="CB7" s="1">
        <f>+datos!KL1</f>
        <v>298</v>
      </c>
      <c r="CC7" s="2">
        <f t="shared" si="24"/>
        <v>4.7800653399999993</v>
      </c>
      <c r="CD7" s="2">
        <f t="shared" si="25"/>
        <v>3.1526344000000006</v>
      </c>
      <c r="CF7" s="1">
        <f>+datos!HU1</f>
        <v>229</v>
      </c>
      <c r="CG7" s="1">
        <f t="shared" si="26"/>
        <v>990000</v>
      </c>
      <c r="CH7" s="1">
        <f t="shared" si="27"/>
        <v>700000</v>
      </c>
      <c r="CJ7" s="1">
        <f t="shared" si="28"/>
        <v>54.436744560000001</v>
      </c>
      <c r="CK7" s="1">
        <f t="shared" si="28"/>
        <v>16.08135906</v>
      </c>
      <c r="CL7" s="1">
        <f t="shared" si="28"/>
        <v>31.537173230000004</v>
      </c>
      <c r="CM7" s="1">
        <f t="shared" si="28"/>
        <v>39.974175860000003</v>
      </c>
      <c r="CN7" s="1">
        <f t="shared" si="28"/>
        <v>35.910188569999995</v>
      </c>
      <c r="CO7" s="1">
        <f t="shared" si="28"/>
        <v>30.652184479999995</v>
      </c>
      <c r="CP7" s="1">
        <f t="shared" si="28"/>
        <v>94.896967090000004</v>
      </c>
      <c r="CQ7" s="1">
        <f t="shared" si="28"/>
        <v>22.007364089999996</v>
      </c>
      <c r="CR7" s="1">
        <f t="shared" si="28"/>
        <v>13.652213600000001</v>
      </c>
      <c r="CS7" s="1">
        <f t="shared" si="28"/>
        <v>21.789652239999999</v>
      </c>
      <c r="CT7" s="1">
        <f t="shared" si="28"/>
        <v>22.506187060000002</v>
      </c>
      <c r="CU7" s="1">
        <f t="shared" si="28"/>
        <v>26.198510359999997</v>
      </c>
      <c r="CV7" s="1">
        <f t="shared" si="28"/>
        <v>16.658344929999998</v>
      </c>
      <c r="CW7" s="1">
        <f t="shared" si="28"/>
        <v>38.799980059999996</v>
      </c>
      <c r="CX7" s="1">
        <f t="shared" si="28"/>
        <v>35.598317799999997</v>
      </c>
      <c r="CY7" s="1">
        <f t="shared" si="28"/>
        <v>32.785113670000001</v>
      </c>
      <c r="CZ7" s="1">
        <f t="shared" si="29"/>
        <v>22.35722878</v>
      </c>
      <c r="DA7" s="1">
        <f t="shared" si="29"/>
        <v>34.376458229999997</v>
      </c>
      <c r="DB7" s="1">
        <f t="shared" si="29"/>
        <v>13.355622539999999</v>
      </c>
      <c r="DC7" s="1">
        <f t="shared" si="29"/>
        <v>10.68224592</v>
      </c>
      <c r="DD7" s="1">
        <f t="shared" si="29"/>
        <v>15.82785018</v>
      </c>
      <c r="DE7" s="1">
        <f t="shared" si="29"/>
        <v>16.180063639999997</v>
      </c>
      <c r="DF7" s="1">
        <f t="shared" si="29"/>
        <v>11.823193960000001</v>
      </c>
      <c r="DG7" s="1">
        <f t="shared" si="29"/>
        <v>12.24327484</v>
      </c>
      <c r="DI7" s="1">
        <f t="shared" si="30"/>
        <v>0.26679149000000002</v>
      </c>
      <c r="DJ7" s="1">
        <f t="shared" si="30"/>
        <v>0.13893236</v>
      </c>
      <c r="DK7" s="1">
        <f t="shared" si="30"/>
        <v>0.4195122</v>
      </c>
      <c r="DL7" s="1">
        <f t="shared" si="30"/>
        <v>0.20050375000000001</v>
      </c>
      <c r="DM7" s="1">
        <f t="shared" si="30"/>
        <v>0.34624290000000002</v>
      </c>
      <c r="DN7" s="1">
        <f t="shared" si="30"/>
        <v>0.15613090000000002</v>
      </c>
      <c r="DO7" s="1">
        <f t="shared" si="30"/>
        <v>0.47281664000000007</v>
      </c>
      <c r="DP7" s="1">
        <f t="shared" si="30"/>
        <v>0.84812041999999999</v>
      </c>
      <c r="DQ7" s="1">
        <f t="shared" si="30"/>
        <v>0.25440681999999998</v>
      </c>
      <c r="DR7" s="1">
        <f t="shared" si="30"/>
        <v>0.7620908099999999</v>
      </c>
      <c r="DS7" s="1">
        <f t="shared" si="30"/>
        <v>0.50490091999999998</v>
      </c>
      <c r="DT7" s="1">
        <f t="shared" si="30"/>
        <v>0.40961613000000002</v>
      </c>
      <c r="DU7" s="1">
        <f t="shared" si="30"/>
        <v>0.23587240000000001</v>
      </c>
      <c r="DV7" s="1">
        <f t="shared" si="30"/>
        <v>0.18557204999999999</v>
      </c>
      <c r="DW7" s="1">
        <f t="shared" si="30"/>
        <v>0.48301414000000004</v>
      </c>
      <c r="DX7" s="1">
        <f t="shared" si="30"/>
        <v>0.23845672000000001</v>
      </c>
      <c r="DY7" s="1">
        <f t="shared" si="31"/>
        <v>0.50080292000000004</v>
      </c>
      <c r="DZ7" s="1">
        <f t="shared" si="31"/>
        <v>8.6091799999999996E-2</v>
      </c>
      <c r="EA7" s="1">
        <f t="shared" si="31"/>
        <v>0.22536</v>
      </c>
      <c r="EB7" s="1">
        <f t="shared" si="31"/>
        <v>0.8256</v>
      </c>
      <c r="EC7" s="1">
        <f t="shared" si="31"/>
        <v>3.973985E-2</v>
      </c>
      <c r="ED7" s="1">
        <f t="shared" si="31"/>
        <v>3.3462720000000001E-2</v>
      </c>
      <c r="EE7" s="1">
        <f t="shared" si="31"/>
        <v>0.19098301000000001</v>
      </c>
      <c r="EF7" s="1">
        <f t="shared" si="31"/>
        <v>0.10767879</v>
      </c>
      <c r="EH7" s="14">
        <f t="shared" si="32"/>
        <v>990000</v>
      </c>
      <c r="EI7" s="14">
        <f t="shared" si="32"/>
        <v>990000</v>
      </c>
      <c r="EJ7" s="1">
        <f t="shared" si="32"/>
        <v>990000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3"/>
        <v>700000</v>
      </c>
      <c r="EY7" s="1">
        <f t="shared" si="33"/>
        <v>700000</v>
      </c>
      <c r="EZ7" s="1">
        <f t="shared" si="33"/>
        <v>700000</v>
      </c>
      <c r="FA7" s="1">
        <f t="shared" si="33"/>
        <v>700000</v>
      </c>
      <c r="FB7" s="1">
        <f t="shared" si="33"/>
        <v>700000</v>
      </c>
      <c r="FC7" s="1">
        <f t="shared" si="33"/>
        <v>700000</v>
      </c>
      <c r="FD7" s="1">
        <f t="shared" si="33"/>
        <v>700000</v>
      </c>
      <c r="FE7" s="1">
        <f t="shared" si="33"/>
        <v>700000</v>
      </c>
      <c r="FG7" s="162">
        <f t="shared" si="34"/>
        <v>-0.78160129725044536</v>
      </c>
    </row>
    <row r="8" spans="1:163" ht="18.75" customHeight="1">
      <c r="A8" s="243" t="s">
        <v>215</v>
      </c>
      <c r="B8" s="246"/>
      <c r="C8" s="156">
        <f t="shared" si="5"/>
        <v>-0.33</v>
      </c>
      <c r="D8" s="198">
        <v>0</v>
      </c>
      <c r="E8" s="248">
        <f t="shared" si="6"/>
        <v>-0.1537714636140638</v>
      </c>
      <c r="F8" s="249">
        <f t="shared" si="7"/>
        <v>-0.17252451174485939</v>
      </c>
      <c r="G8" s="248">
        <f t="shared" si="8"/>
        <v>1.5886977369315103E-2</v>
      </c>
      <c r="H8" s="249">
        <f t="shared" si="9"/>
        <v>-0.1696584409833789</v>
      </c>
      <c r="I8" s="248">
        <f t="shared" si="10"/>
        <v>0.23184847943819542</v>
      </c>
      <c r="J8" s="249">
        <f t="shared" si="11"/>
        <v>-0.10371243522606943</v>
      </c>
      <c r="K8" s="248">
        <f t="shared" si="12"/>
        <v>0.40717364249878529</v>
      </c>
      <c r="L8" s="249">
        <f t="shared" si="13"/>
        <v>-0.17532516306058987</v>
      </c>
      <c r="M8" s="250"/>
      <c r="N8" s="24">
        <v>0</v>
      </c>
      <c r="O8" s="248">
        <f t="shared" si="35"/>
        <v>2.3477783872737357E-2</v>
      </c>
      <c r="P8" s="251">
        <f t="shared" si="36"/>
        <v>2.3477783872737357E-2</v>
      </c>
      <c r="Q8" s="248">
        <f t="shared" si="14"/>
        <v>9.1739486033652895E-3</v>
      </c>
      <c r="R8" s="251">
        <f t="shared" si="37"/>
        <v>9.1739486033652895E-3</v>
      </c>
      <c r="S8" s="250"/>
      <c r="T8" s="24">
        <v>-1</v>
      </c>
      <c r="U8" s="248">
        <f t="shared" si="15"/>
        <v>-0.66561182678794961</v>
      </c>
      <c r="V8" s="252">
        <f t="shared" si="16"/>
        <v>-0.66561182678794961</v>
      </c>
      <c r="W8" s="248">
        <f t="shared" si="38"/>
        <v>0.10678507619126032</v>
      </c>
      <c r="X8" s="252">
        <f t="shared" si="17"/>
        <v>0.10678507619126032</v>
      </c>
      <c r="Y8" s="248">
        <f t="shared" si="18"/>
        <v>6.1687596386870158E-3</v>
      </c>
      <c r="Z8" s="252">
        <f t="shared" si="19"/>
        <v>6.1687596386870158E-3</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3</v>
      </c>
      <c r="AX8" s="58">
        <f>VLOOKUP($A8,historia!$A$5:$CM$24,+HLOOKUP(AX$2,historia!$A$3:$EC$4,2,FALSE),FALSE)</f>
        <v>3</v>
      </c>
      <c r="AY8" s="58">
        <f>VLOOKUP($A8,historia!$A$5:$CM$24,+HLOOKUP(AY$2,historia!$A$3:$EC$4,2,FALSE),FALSE)</f>
        <v>2</v>
      </c>
      <c r="AZ8" s="58">
        <f>VLOOKUP($A8,historia!$A$5:$CM$24,+HLOOKUP(AZ$2,historia!$A$3:$EC$4,2,FALSE),FALSE)</f>
        <v>2</v>
      </c>
      <c r="BA8" s="58">
        <f>VLOOKUP($A8,historia!$A$5:$DG$24,+HLOOKUP(BA$2,historia!$A$3:$EC$4,2,FALSE),FALSE)</f>
        <v>2</v>
      </c>
      <c r="BB8" s="58"/>
      <c r="BC8" s="286">
        <v>2</v>
      </c>
      <c r="BD8" t="str">
        <f t="shared" si="20"/>
        <v>Aves</v>
      </c>
      <c r="BE8">
        <f>+datos!BQ1</f>
        <v>69</v>
      </c>
      <c r="BF8" s="2" t="str">
        <f t="shared" si="4"/>
        <v>prom pond huevo-carne</v>
      </c>
      <c r="BG8" s="2">
        <f t="shared" si="4"/>
        <v>2069.875</v>
      </c>
      <c r="BH8" s="2">
        <f t="shared" si="4"/>
        <v>2446</v>
      </c>
      <c r="BI8" s="2">
        <f t="shared" si="4"/>
        <v>1680.3000000000002</v>
      </c>
      <c r="BK8">
        <f>+datos!DG1</f>
        <v>111</v>
      </c>
      <c r="BL8" s="2">
        <f t="shared" si="21"/>
        <v>10765.881678195852</v>
      </c>
      <c r="BM8" s="2">
        <f t="shared" si="21"/>
        <v>10597.519131581532</v>
      </c>
      <c r="BN8" s="2">
        <f t="shared" si="21"/>
        <v>7650.7129987727476</v>
      </c>
      <c r="BP8" s="1">
        <f>+datos!EP1</f>
        <v>146</v>
      </c>
      <c r="BQ8" s="1">
        <f t="shared" si="22"/>
        <v>9329</v>
      </c>
      <c r="BR8" s="1">
        <f t="shared" si="22"/>
        <v>9115</v>
      </c>
      <c r="BT8" s="1">
        <f>+datos!HM1</f>
        <v>221</v>
      </c>
      <c r="BU8" s="1">
        <f t="shared" si="23"/>
        <v>2374914.1839999999</v>
      </c>
      <c r="BV8" s="1">
        <f t="shared" si="23"/>
        <v>2353324.9022992868</v>
      </c>
      <c r="BX8" s="1">
        <f>+datos!KF1</f>
        <v>292</v>
      </c>
      <c r="BY8" s="1">
        <f t="shared" si="39"/>
        <v>119.90200305</v>
      </c>
      <c r="BZ8" s="1">
        <f t="shared" si="40"/>
        <v>358.57130321999995</v>
      </c>
      <c r="CB8" s="1">
        <f>+datos!LK1</f>
        <v>323</v>
      </c>
      <c r="CC8" s="2">
        <f t="shared" si="24"/>
        <v>40.044369539999998</v>
      </c>
      <c r="CD8" s="2">
        <f t="shared" si="25"/>
        <v>36.180800049999995</v>
      </c>
      <c r="CF8" s="1">
        <f>+datos!IL1</f>
        <v>246</v>
      </c>
      <c r="CG8" s="1">
        <f t="shared" si="26"/>
        <v>45.67</v>
      </c>
      <c r="CH8" s="1">
        <f t="shared" si="27"/>
        <v>45.39</v>
      </c>
      <c r="CJ8" s="1">
        <f t="shared" si="28"/>
        <v>6.5346210099999995</v>
      </c>
      <c r="CK8" s="1">
        <f t="shared" si="28"/>
        <v>6.7443728600000004</v>
      </c>
      <c r="CL8" s="1">
        <f t="shared" si="28"/>
        <v>8.66231011</v>
      </c>
      <c r="CM8" s="1">
        <f t="shared" si="28"/>
        <v>7.3007548499999997</v>
      </c>
      <c r="CN8" s="1">
        <f t="shared" si="28"/>
        <v>9.0051498100000007</v>
      </c>
      <c r="CO8" s="1">
        <f t="shared" si="28"/>
        <v>5.9149876199999998</v>
      </c>
      <c r="CP8" s="1">
        <f t="shared" si="28"/>
        <v>8.0094020700000002</v>
      </c>
      <c r="CQ8" s="1">
        <f t="shared" si="28"/>
        <v>5.62476749</v>
      </c>
      <c r="CR8" s="1">
        <f t="shared" si="28"/>
        <v>10.456415849999999</v>
      </c>
      <c r="CS8" s="1">
        <f t="shared" si="28"/>
        <v>8.1147673099999995</v>
      </c>
      <c r="CT8" s="1">
        <f t="shared" si="28"/>
        <v>20.968439010000004</v>
      </c>
      <c r="CU8" s="1">
        <f t="shared" si="28"/>
        <v>22.566015059999998</v>
      </c>
      <c r="CV8" s="1">
        <f t="shared" si="28"/>
        <v>20.944876220000001</v>
      </c>
      <c r="CW8" s="1">
        <f t="shared" si="28"/>
        <v>23.157032140000002</v>
      </c>
      <c r="CX8" s="1">
        <f t="shared" si="28"/>
        <v>19.314763240000005</v>
      </c>
      <c r="CY8" s="1">
        <f t="shared" si="28"/>
        <v>22.778743510000002</v>
      </c>
      <c r="CZ8" s="1">
        <f t="shared" si="29"/>
        <v>39.062197300000001</v>
      </c>
      <c r="DA8" s="1">
        <f t="shared" si="29"/>
        <v>40.013868680000002</v>
      </c>
      <c r="DB8" s="1">
        <f t="shared" si="29"/>
        <v>35.607742460000011</v>
      </c>
      <c r="DC8" s="1">
        <f t="shared" si="29"/>
        <v>32.51792974</v>
      </c>
      <c r="DD8" s="1">
        <f t="shared" si="29"/>
        <v>35.210116300000003</v>
      </c>
      <c r="DE8" s="1">
        <f t="shared" si="29"/>
        <v>30.603465830000005</v>
      </c>
      <c r="DF8" s="1">
        <f t="shared" si="29"/>
        <v>35.017556320000004</v>
      </c>
      <c r="DG8" s="1">
        <f t="shared" si="29"/>
        <v>24.343011479999998</v>
      </c>
      <c r="DI8" s="1">
        <f t="shared" si="30"/>
        <v>3.4351580800000003</v>
      </c>
      <c r="DJ8" s="1">
        <f t="shared" si="30"/>
        <v>2.0550383299999999</v>
      </c>
      <c r="DK8" s="1">
        <f t="shared" si="30"/>
        <v>3.4373023600000003</v>
      </c>
      <c r="DL8" s="1">
        <f t="shared" si="30"/>
        <v>5.2475744900000008</v>
      </c>
      <c r="DM8" s="1">
        <f t="shared" si="30"/>
        <v>3.52939004</v>
      </c>
      <c r="DN8" s="1">
        <f t="shared" si="30"/>
        <v>1.41927303</v>
      </c>
      <c r="DO8" s="1">
        <f t="shared" si="30"/>
        <v>4.5240591299999995</v>
      </c>
      <c r="DP8" s="1">
        <f t="shared" si="30"/>
        <v>2.5037689800000003</v>
      </c>
      <c r="DQ8" s="1">
        <f t="shared" si="30"/>
        <v>2.5011971499999999</v>
      </c>
      <c r="DR8" s="1">
        <f t="shared" si="30"/>
        <v>3.7585351000000005</v>
      </c>
      <c r="DS8" s="1">
        <f t="shared" si="30"/>
        <v>4.0425458900000004</v>
      </c>
      <c r="DT8" s="1">
        <f t="shared" si="30"/>
        <v>3.59052696</v>
      </c>
      <c r="DU8" s="1">
        <f t="shared" si="30"/>
        <v>2.1766254799999998</v>
      </c>
      <c r="DV8" s="1">
        <f t="shared" si="30"/>
        <v>1.5903026900000001</v>
      </c>
      <c r="DW8" s="1">
        <f t="shared" si="30"/>
        <v>5.6916922899999998</v>
      </c>
      <c r="DX8" s="1">
        <f t="shared" si="30"/>
        <v>1.7294530099999998</v>
      </c>
      <c r="DY8" s="1">
        <f t="shared" si="31"/>
        <v>4.2232492399999995</v>
      </c>
      <c r="DZ8" s="1">
        <f t="shared" si="31"/>
        <v>1.27466579</v>
      </c>
      <c r="EA8" s="1">
        <f t="shared" si="31"/>
        <v>1.8857013599999999</v>
      </c>
      <c r="EB8" s="1">
        <f t="shared" si="31"/>
        <v>4.07849503</v>
      </c>
      <c r="EC8" s="1">
        <f t="shared" si="31"/>
        <v>2.60999925</v>
      </c>
      <c r="ED8" s="1">
        <f t="shared" si="31"/>
        <v>4.3280037599999996</v>
      </c>
      <c r="EE8" s="1">
        <f t="shared" si="31"/>
        <v>3.9253711099999995</v>
      </c>
      <c r="EF8" s="1">
        <f t="shared" si="31"/>
        <v>2.66724104</v>
      </c>
      <c r="EH8" s="14">
        <f t="shared" si="32"/>
        <v>45.67</v>
      </c>
      <c r="EI8" s="14">
        <f t="shared" si="32"/>
        <v>45.79</v>
      </c>
      <c r="EJ8" s="1">
        <f t="shared" si="32"/>
        <v>45.9</v>
      </c>
      <c r="EK8" s="1">
        <f t="shared" si="32"/>
        <v>45.78</v>
      </c>
      <c r="EL8" s="1">
        <f t="shared" si="32"/>
        <v>45.91</v>
      </c>
      <c r="EM8" s="1">
        <f t="shared" si="32"/>
        <v>45.61</v>
      </c>
      <c r="EN8" s="1">
        <f t="shared" si="32"/>
        <v>45.61</v>
      </c>
      <c r="EO8" s="1">
        <f t="shared" si="32"/>
        <v>45.23</v>
      </c>
      <c r="EP8" s="1">
        <f t="shared" si="32"/>
        <v>45.2</v>
      </c>
      <c r="EQ8" s="1">
        <f t="shared" si="32"/>
        <v>46.01</v>
      </c>
      <c r="ER8" s="1">
        <f t="shared" si="32"/>
        <v>44.44</v>
      </c>
      <c r="ES8" s="1">
        <f t="shared" si="32"/>
        <v>42.29</v>
      </c>
      <c r="ET8" s="1">
        <f t="shared" si="32"/>
        <v>45.39</v>
      </c>
      <c r="EU8" s="1">
        <f t="shared" si="32"/>
        <v>45.32</v>
      </c>
      <c r="EV8" s="1">
        <f t="shared" si="32"/>
        <v>44.85</v>
      </c>
      <c r="EW8" s="1">
        <f t="shared" si="32"/>
        <v>45.52</v>
      </c>
      <c r="EX8" s="1">
        <f t="shared" si="33"/>
        <v>46.23</v>
      </c>
      <c r="EY8" s="1">
        <f t="shared" si="33"/>
        <v>46.23</v>
      </c>
      <c r="EZ8" s="1">
        <f t="shared" si="33"/>
        <v>46.23</v>
      </c>
      <c r="FA8" s="1">
        <f t="shared" si="33"/>
        <v>48.52</v>
      </c>
      <c r="FB8" s="1">
        <f t="shared" si="33"/>
        <v>45.85</v>
      </c>
      <c r="FC8" s="1">
        <f t="shared" si="33"/>
        <v>46.03</v>
      </c>
      <c r="FD8" s="1">
        <f t="shared" si="33"/>
        <v>46.13</v>
      </c>
      <c r="FE8" s="1">
        <f t="shared" si="33"/>
        <v>45.88</v>
      </c>
      <c r="FG8" s="162">
        <f t="shared" si="34"/>
        <v>-0.17532516306058987</v>
      </c>
    </row>
    <row r="9" spans="1:163" ht="18.75" customHeight="1">
      <c r="A9" s="244" t="s">
        <v>77</v>
      </c>
      <c r="B9" s="247"/>
      <c r="C9" s="228">
        <v>0</v>
      </c>
      <c r="D9" s="229">
        <v>1</v>
      </c>
      <c r="E9" s="253">
        <f t="shared" si="6"/>
        <v>2.3784748030325487E-2</v>
      </c>
      <c r="F9" s="254">
        <f t="shared" si="7"/>
        <v>5.0316998995298956E-3</v>
      </c>
      <c r="G9" s="253">
        <f t="shared" si="8"/>
        <v>2.1762395587433536E-2</v>
      </c>
      <c r="H9" s="254">
        <f t="shared" si="9"/>
        <v>2.0223524428919504E-3</v>
      </c>
      <c r="I9" s="253">
        <f t="shared" si="10"/>
        <v>0.52589794674002466</v>
      </c>
      <c r="J9" s="254">
        <f t="shared" si="11"/>
        <v>0.1903370320757598</v>
      </c>
      <c r="K9" s="253">
        <f t="shared" si="12"/>
        <v>0.38018917346226999</v>
      </c>
      <c r="L9" s="254">
        <f t="shared" si="13"/>
        <v>0.14570877327775467</v>
      </c>
      <c r="M9" s="255"/>
      <c r="N9" s="256">
        <v>-1</v>
      </c>
      <c r="O9" s="253">
        <f t="shared" si="35"/>
        <v>-2.1957134195409456E-2</v>
      </c>
      <c r="P9" s="257">
        <f t="shared" si="36"/>
        <v>-2.1957134195409456E-2</v>
      </c>
      <c r="Q9" s="253">
        <f t="shared" si="14"/>
        <v>2.5727596972655364E-2</v>
      </c>
      <c r="R9" s="257">
        <f t="shared" si="37"/>
        <v>2.5727596972655364E-2</v>
      </c>
      <c r="S9" s="255"/>
      <c r="T9" s="256">
        <v>0</v>
      </c>
      <c r="U9" s="253">
        <f t="shared" si="15"/>
        <v>0.18621913095747655</v>
      </c>
      <c r="V9" s="258">
        <f t="shared" si="16"/>
        <v>0.18621913095747655</v>
      </c>
      <c r="W9" s="253">
        <f t="shared" si="38"/>
        <v>1.4901529732607104</v>
      </c>
      <c r="X9" s="258">
        <f t="shared" si="17"/>
        <v>1.4901529732607104</v>
      </c>
      <c r="Y9" s="253">
        <f t="shared" si="18"/>
        <v>4.5873481357352253E-2</v>
      </c>
      <c r="Z9" s="258">
        <f t="shared" si="19"/>
        <v>4.5873481357352253E-2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3</v>
      </c>
      <c r="AQ9" s="28">
        <f>VLOOKUP($A9,historia!$A$5:$CM$24,+HLOOKUP(AQ$2,historia!$A$3:$EC$4,2,FALSE),FALSE)</f>
        <v>3</v>
      </c>
      <c r="AR9" s="28">
        <f>VLOOKUP($A9,historia!$A$5:$CM$24,+HLOOKUP(AR$2,historia!$A$3:$EC$4,2,FALSE),FALSE)</f>
        <v>3</v>
      </c>
      <c r="AS9" s="28">
        <f>VLOOKUP($A9,historia!$A$5:$CM$24,+HLOOKUP(AS$2,historia!$A$3:$EC$4,2,FALSE),FALSE)</f>
        <v>3</v>
      </c>
      <c r="AT9" s="58">
        <f>VLOOKUP($A9,historia!$A$5:$CM$24,+HLOOKUP(AT$2,historia!$A$3:$EC$4,2,FALSE),FALSE)</f>
        <v>3</v>
      </c>
      <c r="AU9" s="58">
        <f>VLOOKUP($A9,historia!$A$5:$CM$24,+HLOOKUP(AU$2,historia!$A$3:$EC$4,2,FALSE),FALSE)</f>
        <v>3</v>
      </c>
      <c r="AV9" s="58">
        <f>VLOOKUP($A9,historia!$A$5:$CM$24,+HLOOKUP(AV$2,historia!$A$3:$EC$4,2,FALSE),FALSE)</f>
        <v>2</v>
      </c>
      <c r="AW9" s="58">
        <f>VLOOKUP($A9,historia!$A$5:$CM$24,+HLOOKUP(AW$2,historia!$A$3:$EC$4,2,FALSE),FALSE)</f>
        <v>2</v>
      </c>
      <c r="AX9" s="58">
        <f>VLOOKUP($A9,historia!$A$5:$CM$24,+HLOOKUP(AX$2,historia!$A$3:$EC$4,2,FALSE),FALSE)</f>
        <v>2</v>
      </c>
      <c r="AY9" s="58">
        <f>VLOOKUP($A9,historia!$A$5:$CM$24,+HLOOKUP(AY$2,historia!$A$3:$EC$4,2,FALSE),FALSE)</f>
        <v>2</v>
      </c>
      <c r="AZ9" s="58">
        <f>VLOOKUP($A9,historia!$A$5:$CM$24,+HLOOKUP(AZ$2,historia!$A$3:$EC$4,2,FALSE),FALSE)</f>
        <v>2</v>
      </c>
      <c r="BA9" s="58">
        <f>VLOOKUP($A9,historia!$A$5:$DG$24,+HLOOKUP(BA$2,historia!$A$3:$EC$4,2,FALSE),FALSE)</f>
        <v>1</v>
      </c>
      <c r="BB9" s="58"/>
      <c r="BC9" s="286">
        <v>1</v>
      </c>
      <c r="BD9" t="str">
        <f t="shared" si="20"/>
        <v>Bovinos</v>
      </c>
      <c r="BE9">
        <f>+datos!BM1</f>
        <v>65</v>
      </c>
      <c r="BF9" s="2" t="str">
        <f t="shared" si="4"/>
        <v>$/kg</v>
      </c>
      <c r="BG9" s="2">
        <f t="shared" si="4"/>
        <v>3443.5</v>
      </c>
      <c r="BH9" s="2">
        <f t="shared" si="4"/>
        <v>3363.5</v>
      </c>
      <c r="BI9" s="2">
        <f t="shared" si="4"/>
        <v>2256.7039999999997</v>
      </c>
      <c r="BK9">
        <f>+datos!DB1</f>
        <v>106</v>
      </c>
      <c r="BL9" s="2">
        <f t="shared" si="21"/>
        <v>11582.039826128084</v>
      </c>
      <c r="BM9" s="2">
        <f t="shared" si="21"/>
        <v>11335.355339114154</v>
      </c>
      <c r="BN9" s="2">
        <f t="shared" si="21"/>
        <v>8391.6321391465408</v>
      </c>
      <c r="BP9" s="1">
        <f>+datos!EH1</f>
        <v>138</v>
      </c>
      <c r="BQ9" s="1">
        <f t="shared" si="22"/>
        <v>51624909</v>
      </c>
      <c r="BR9" s="1">
        <f t="shared" si="22"/>
        <v>52783892</v>
      </c>
      <c r="BT9" s="1">
        <f>+datos!HB1</f>
        <v>210</v>
      </c>
      <c r="BU9" s="1">
        <f t="shared" si="23"/>
        <v>3183561</v>
      </c>
      <c r="BV9" s="1">
        <f t="shared" si="23"/>
        <v>3103710</v>
      </c>
      <c r="BX9" s="1">
        <f>+datos!KG1</f>
        <v>293</v>
      </c>
      <c r="BY9" s="1">
        <f t="shared" si="39"/>
        <v>4563.4164880999988</v>
      </c>
      <c r="BZ9" s="1">
        <f t="shared" si="40"/>
        <v>3847.0265476299992</v>
      </c>
      <c r="CB9" s="1">
        <f>+datos!LL1</f>
        <v>324</v>
      </c>
      <c r="CC9" s="2">
        <f t="shared" si="24"/>
        <v>83.770767949999993</v>
      </c>
      <c r="CD9" s="2">
        <f t="shared" si="25"/>
        <v>33.640811970000001</v>
      </c>
      <c r="CF9" s="1">
        <f>+datos!IM1</f>
        <v>247</v>
      </c>
      <c r="CG9" s="1">
        <f t="shared" si="26"/>
        <v>49.93</v>
      </c>
      <c r="CH9" s="1">
        <f t="shared" si="27"/>
        <v>47.74</v>
      </c>
      <c r="CJ9" s="1">
        <f t="shared" si="28"/>
        <v>505.86158855000002</v>
      </c>
      <c r="CK9" s="1">
        <f t="shared" si="28"/>
        <v>434.66638176999993</v>
      </c>
      <c r="CL9" s="1">
        <f t="shared" si="28"/>
        <v>430.01977605999991</v>
      </c>
      <c r="CM9" s="1">
        <f t="shared" si="28"/>
        <v>389.02912699999996</v>
      </c>
      <c r="CN9" s="1">
        <f t="shared" si="28"/>
        <v>350.95842742999997</v>
      </c>
      <c r="CO9" s="1">
        <f t="shared" si="28"/>
        <v>275.41226476999998</v>
      </c>
      <c r="CP9" s="1">
        <f t="shared" si="28"/>
        <v>345.87150417999976</v>
      </c>
      <c r="CQ9" s="1">
        <f t="shared" si="28"/>
        <v>330.34833823999992</v>
      </c>
      <c r="CR9" s="1">
        <f t="shared" si="28"/>
        <v>372.02787432000008</v>
      </c>
      <c r="CS9" s="1">
        <f t="shared" si="28"/>
        <v>363.37275483999991</v>
      </c>
      <c r="CT9" s="1">
        <f t="shared" si="28"/>
        <v>373.60267999999996</v>
      </c>
      <c r="CU9" s="1">
        <f t="shared" si="28"/>
        <v>392.24577093999977</v>
      </c>
      <c r="CV9" s="1">
        <f t="shared" si="28"/>
        <v>370.00520762000008</v>
      </c>
      <c r="CW9" s="1">
        <f t="shared" si="28"/>
        <v>307.7105307999999</v>
      </c>
      <c r="CX9" s="1">
        <f t="shared" si="28"/>
        <v>311.98041742999999</v>
      </c>
      <c r="CY9" s="1">
        <f t="shared" si="28"/>
        <v>309.32423856999998</v>
      </c>
      <c r="CZ9" s="1">
        <f t="shared" si="29"/>
        <v>316.28118749999999</v>
      </c>
      <c r="DA9" s="1">
        <f t="shared" si="29"/>
        <v>350.14414257999977</v>
      </c>
      <c r="DB9" s="1">
        <f t="shared" si="29"/>
        <v>342.85888695999995</v>
      </c>
      <c r="DC9" s="1">
        <f t="shared" si="29"/>
        <v>324.84866957999998</v>
      </c>
      <c r="DD9" s="1">
        <f t="shared" si="29"/>
        <v>325.97502911999987</v>
      </c>
      <c r="DE9" s="1">
        <f t="shared" si="29"/>
        <v>321.39038838999994</v>
      </c>
      <c r="DF9" s="1">
        <f t="shared" si="29"/>
        <v>273.58963931999995</v>
      </c>
      <c r="DG9" s="1">
        <f t="shared" si="29"/>
        <v>292.91820976000002</v>
      </c>
      <c r="DI9" s="1">
        <f t="shared" si="30"/>
        <v>9.6599299699999985</v>
      </c>
      <c r="DJ9" s="1">
        <f t="shared" si="30"/>
        <v>6.816705279999999</v>
      </c>
      <c r="DK9" s="1">
        <f t="shared" si="30"/>
        <v>8.1579769499999983</v>
      </c>
      <c r="DL9" s="1">
        <f t="shared" si="30"/>
        <v>10.16779666</v>
      </c>
      <c r="DM9" s="1">
        <f t="shared" si="30"/>
        <v>11.009236750000001</v>
      </c>
      <c r="DN9" s="1">
        <f t="shared" si="30"/>
        <v>8.7569028099999997</v>
      </c>
      <c r="DO9" s="1">
        <f t="shared" si="30"/>
        <v>7.0677003599999999</v>
      </c>
      <c r="DP9" s="1">
        <f t="shared" si="30"/>
        <v>5.8644577399999989</v>
      </c>
      <c r="DQ9" s="1">
        <f t="shared" si="30"/>
        <v>6.7460545699999992</v>
      </c>
      <c r="DR9" s="1">
        <f t="shared" si="30"/>
        <v>2.8647302900000002</v>
      </c>
      <c r="DS9" s="1">
        <f t="shared" si="30"/>
        <v>3.9160438699999998</v>
      </c>
      <c r="DT9" s="1">
        <f t="shared" si="30"/>
        <v>2.7432327000000001</v>
      </c>
      <c r="DU9" s="1">
        <f t="shared" si="30"/>
        <v>3.5031505699999994</v>
      </c>
      <c r="DV9" s="1">
        <f t="shared" si="30"/>
        <v>3.9954732900000005</v>
      </c>
      <c r="DW9" s="1">
        <f t="shared" si="30"/>
        <v>2.3751918999999999</v>
      </c>
      <c r="DX9" s="1">
        <f t="shared" si="30"/>
        <v>3.3189943100000003</v>
      </c>
      <c r="DY9" s="1">
        <f t="shared" si="31"/>
        <v>3.6004889900000006</v>
      </c>
      <c r="DZ9" s="1">
        <f t="shared" si="31"/>
        <v>2.2940615100000001</v>
      </c>
      <c r="EA9" s="1">
        <f t="shared" si="31"/>
        <v>1.2696953500000001</v>
      </c>
      <c r="EB9" s="1">
        <f t="shared" si="31"/>
        <v>1.4792882700000001</v>
      </c>
      <c r="EC9" s="1">
        <f t="shared" si="31"/>
        <v>3.3410357400000001</v>
      </c>
      <c r="ED9" s="1">
        <f t="shared" si="31"/>
        <v>3.5927978000000009</v>
      </c>
      <c r="EE9" s="1">
        <f t="shared" si="31"/>
        <v>2.53051044</v>
      </c>
      <c r="EF9" s="1">
        <f t="shared" si="31"/>
        <v>2.3401237999999998</v>
      </c>
      <c r="EH9" s="14">
        <f t="shared" si="32"/>
        <v>49.93</v>
      </c>
      <c r="EI9" s="14">
        <f t="shared" si="32"/>
        <v>50.15</v>
      </c>
      <c r="EJ9" s="1">
        <f t="shared" si="32"/>
        <v>50.33</v>
      </c>
      <c r="EK9" s="1">
        <f t="shared" si="32"/>
        <v>49.79</v>
      </c>
      <c r="EL9" s="1">
        <f t="shared" si="32"/>
        <v>49.86</v>
      </c>
      <c r="EM9" s="1">
        <f t="shared" si="32"/>
        <v>49.86</v>
      </c>
      <c r="EN9" s="1">
        <f t="shared" si="32"/>
        <v>48.75</v>
      </c>
      <c r="EO9" s="1">
        <f t="shared" si="32"/>
        <v>48.18</v>
      </c>
      <c r="EP9" s="1">
        <f t="shared" si="32"/>
        <v>47.81</v>
      </c>
      <c r="EQ9" s="1">
        <f t="shared" si="32"/>
        <v>46.91</v>
      </c>
      <c r="ER9" s="1">
        <f t="shared" si="32"/>
        <v>47.74</v>
      </c>
      <c r="ES9" s="1">
        <f t="shared" si="32"/>
        <v>47.38</v>
      </c>
      <c r="ET9" s="1">
        <f t="shared" si="32"/>
        <v>47.74</v>
      </c>
      <c r="EU9" s="1">
        <f t="shared" si="32"/>
        <v>47.8</v>
      </c>
      <c r="EV9" s="1">
        <f t="shared" si="32"/>
        <v>47.58</v>
      </c>
      <c r="EW9" s="1">
        <f t="shared" si="32"/>
        <v>49.18</v>
      </c>
      <c r="EX9" s="1">
        <f t="shared" si="33"/>
        <v>49.37</v>
      </c>
      <c r="EY9" s="1">
        <f t="shared" si="33"/>
        <v>49.38</v>
      </c>
      <c r="EZ9" s="1">
        <f t="shared" si="33"/>
        <v>51.48</v>
      </c>
      <c r="FA9" s="1">
        <f t="shared" si="33"/>
        <v>52.06</v>
      </c>
      <c r="FB9" s="1">
        <f t="shared" si="33"/>
        <v>42.59</v>
      </c>
      <c r="FC9" s="1">
        <f t="shared" si="33"/>
        <v>51.3</v>
      </c>
      <c r="FD9" s="1">
        <f t="shared" si="33"/>
        <v>51.15</v>
      </c>
      <c r="FE9" s="1">
        <f t="shared" si="33"/>
        <v>51.01</v>
      </c>
      <c r="FG9" s="162">
        <f t="shared" si="34"/>
        <v>0.14570877327775467</v>
      </c>
    </row>
    <row r="10" spans="1:163" ht="28.8">
      <c r="A10" s="263" t="s">
        <v>221</v>
      </c>
      <c r="B10" s="246"/>
      <c r="C10" s="156">
        <f t="shared" si="5"/>
        <v>0</v>
      </c>
      <c r="D10" s="198">
        <v>-1</v>
      </c>
      <c r="E10" s="248">
        <f t="shared" si="6"/>
        <v>2.7837901389629716E-2</v>
      </c>
      <c r="F10" s="249">
        <f t="shared" si="7"/>
        <v>9.0848532588341246E-3</v>
      </c>
      <c r="G10" s="248">
        <f t="shared" si="8"/>
        <v>1.1999591044790092E-2</v>
      </c>
      <c r="H10" s="249">
        <f t="shared" si="9"/>
        <v>1.5838310344839623E-2</v>
      </c>
      <c r="I10" s="248">
        <f t="shared" si="10"/>
        <v>0.58466369926607298</v>
      </c>
      <c r="J10" s="249">
        <f t="shared" si="11"/>
        <v>0.24910278460180812</v>
      </c>
      <c r="K10" s="248">
        <f t="shared" si="12"/>
        <v>0.36886031741676661</v>
      </c>
      <c r="L10" s="249">
        <f t="shared" si="13"/>
        <v>0.21580338184930636</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1.1907232239037242</v>
      </c>
      <c r="V10" s="252">
        <f t="shared" si="16"/>
        <v>1.1907232239037242</v>
      </c>
      <c r="W10" s="248">
        <f t="shared" si="38"/>
        <v>0.61702975862979881</v>
      </c>
      <c r="X10" s="252">
        <f t="shared" si="17"/>
        <v>0.61702975862979881</v>
      </c>
      <c r="Y10" s="248">
        <f t="shared" si="18"/>
        <v>-1.4951121334099926E-2</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4</v>
      </c>
      <c r="AR10" s="28">
        <f>VLOOKUP($A10,historia!$A$5:$CM$24,+HLOOKUP(AR$2,historia!$A$3:$EC$4,2,FALSE),FALSE)</f>
        <v>4</v>
      </c>
      <c r="AS10" s="28">
        <f>VLOOKUP($A10,historia!$A$5:$CM$24,+HLOOKUP(AS$2,historia!$A$3:$EC$4,2,FALSE),FALSE)</f>
        <v>4</v>
      </c>
      <c r="AT10" s="58">
        <f>VLOOKUP($A10,historia!$A$5:$CM$24,+HLOOKUP(AT$2,historia!$A$3:$EC$4,2,FALSE),FALSE)</f>
        <v>3</v>
      </c>
      <c r="AU10" s="58">
        <f>VLOOKUP($A10,historia!$A$5:$CM$24,+HLOOKUP(AU$2,historia!$A$3:$EC$4,2,FALSE),FALSE)</f>
        <v>4</v>
      </c>
      <c r="AV10" s="58">
        <f>VLOOKUP($A10,historia!$A$5:$CM$24,+HLOOKUP(AV$2,historia!$A$3:$EC$4,2,FALSE),FALSE)</f>
        <v>4</v>
      </c>
      <c r="AW10" s="58">
        <f>VLOOKUP($A10,historia!$A$5:$CM$24,+HLOOKUP(AW$2,historia!$A$3:$EC$4,2,FALSE),FALSE)</f>
        <v>4</v>
      </c>
      <c r="AX10" s="58">
        <f>VLOOKUP($A10,historia!$A$5:$CM$24,+HLOOKUP(AX$2,historia!$A$3:$EC$4,2,FALSE),FALSE)</f>
        <v>4</v>
      </c>
      <c r="AY10" s="58">
        <f>VLOOKUP($A10,historia!$A$5:$CM$24,+HLOOKUP(AY$2,historia!$A$3:$EC$4,2,FALSE),FALSE)</f>
        <v>3</v>
      </c>
      <c r="AZ10" s="58">
        <f>VLOOKUP($A10,historia!$A$5:$CM$24,+HLOOKUP(AZ$2,historia!$A$3:$EC$4,2,FALSE),FALSE)</f>
        <v>2</v>
      </c>
      <c r="BA10" s="58">
        <f>VLOOKUP($A10,historia!$A$5:$DG$24,+HLOOKUP(BA$2,historia!$A$3:$EC$4,2,FALSE),FALSE)</f>
        <v>3</v>
      </c>
      <c r="BB10" s="58"/>
      <c r="BC10" s="286">
        <v>3</v>
      </c>
      <c r="BD10" t="str">
        <f t="shared" si="20"/>
        <v>Cítricos Dulces</v>
      </c>
      <c r="BE10">
        <f>+datos!AU1</f>
        <v>47</v>
      </c>
      <c r="BF10" s="2" t="str">
        <f t="shared" si="4"/>
        <v>$/caja 18kg</v>
      </c>
      <c r="BG10" s="2">
        <f t="shared" si="4"/>
        <v>11947.793333333333</v>
      </c>
      <c r="BH10" s="2">
        <f t="shared" si="4"/>
        <v>11624.199999999999</v>
      </c>
      <c r="BI10" s="2">
        <f t="shared" si="4"/>
        <v>7539.6396969696971</v>
      </c>
      <c r="BK10">
        <f>+datos!CX1</f>
        <v>102</v>
      </c>
      <c r="BL10" s="2">
        <f t="shared" si="21"/>
        <v>10649.312747885024</v>
      </c>
      <c r="BM10" s="2">
        <f t="shared" si="21"/>
        <v>10523.040564562536</v>
      </c>
      <c r="BN10" s="2">
        <f t="shared" si="21"/>
        <v>7779.6927943544933</v>
      </c>
      <c r="BP10" s="1">
        <f>+datos!ER1</f>
        <v>148</v>
      </c>
      <c r="BQ10" s="1">
        <f t="shared" si="22"/>
        <v>79911</v>
      </c>
      <c r="BR10" s="1">
        <f t="shared" si="22"/>
        <v>80248</v>
      </c>
      <c r="BT10" s="1">
        <f>+datos!GH1</f>
        <v>190</v>
      </c>
      <c r="BU10" s="1">
        <f t="shared" si="23"/>
        <v>1543162</v>
      </c>
      <c r="BV10" s="1">
        <f t="shared" si="23"/>
        <v>1734000</v>
      </c>
      <c r="BX10" s="1">
        <f>+datos!LT1</f>
        <v>332</v>
      </c>
      <c r="BY10" s="1">
        <f t="shared" si="39"/>
        <v>145.69168737000001</v>
      </c>
      <c r="BZ10" s="1">
        <f t="shared" si="40"/>
        <v>66.503922439999997</v>
      </c>
      <c r="CA10" s="1"/>
      <c r="CB10" s="1">
        <f>+datos!LX1</f>
        <v>336</v>
      </c>
      <c r="CC10" s="2">
        <f t="shared" si="24"/>
        <v>7.3573921799999997</v>
      </c>
      <c r="CD10" s="2">
        <f t="shared" si="25"/>
        <v>4.5499423500000002</v>
      </c>
      <c r="CF10" s="1">
        <f>+datos!IV1</f>
        <v>256</v>
      </c>
      <c r="CG10" s="1">
        <f t="shared" si="26"/>
        <v>17.130000000000003</v>
      </c>
      <c r="CH10" s="1">
        <f t="shared" si="27"/>
        <v>17.39</v>
      </c>
      <c r="CJ10" s="1">
        <f t="shared" si="28"/>
        <v>14.350128370000002</v>
      </c>
      <c r="CK10" s="1">
        <f t="shared" si="28"/>
        <v>16.897846870000002</v>
      </c>
      <c r="CL10" s="1">
        <f t="shared" si="28"/>
        <v>10.456701950000001</v>
      </c>
      <c r="CM10" s="1">
        <f t="shared" si="28"/>
        <v>9.5618942600000008</v>
      </c>
      <c r="CN10" s="1">
        <f t="shared" si="28"/>
        <v>5.6783096999999998</v>
      </c>
      <c r="CO10" s="1">
        <f t="shared" si="28"/>
        <v>3.5979505000000001</v>
      </c>
      <c r="CP10" s="1">
        <f t="shared" si="28"/>
        <v>11.482528969999997</v>
      </c>
      <c r="CQ10" s="1">
        <f t="shared" si="28"/>
        <v>11.00321864</v>
      </c>
      <c r="CR10" s="1">
        <f t="shared" si="28"/>
        <v>18.05731771</v>
      </c>
      <c r="CS10" s="1">
        <f t="shared" si="28"/>
        <v>12.23030908</v>
      </c>
      <c r="CT10" s="1">
        <f t="shared" si="28"/>
        <v>17.119922650000003</v>
      </c>
      <c r="CU10" s="1">
        <f t="shared" si="28"/>
        <v>15.255558669999997</v>
      </c>
      <c r="CV10" s="1">
        <f t="shared" si="28"/>
        <v>10.271936310000001</v>
      </c>
      <c r="CW10" s="1">
        <f t="shared" si="28"/>
        <v>14.041262509999999</v>
      </c>
      <c r="CX10" s="1">
        <f t="shared" si="28"/>
        <v>6.1015489199999999</v>
      </c>
      <c r="CY10" s="1">
        <f t="shared" si="28"/>
        <v>2.3063176799999998</v>
      </c>
      <c r="CZ10" s="1">
        <f t="shared" si="29"/>
        <v>3.2785219999999997</v>
      </c>
      <c r="DA10" s="1">
        <f t="shared" si="29"/>
        <v>2.8661316999999999</v>
      </c>
      <c r="DB10" s="1">
        <f t="shared" si="29"/>
        <v>3.3581509099999995</v>
      </c>
      <c r="DC10" s="1">
        <f t="shared" si="29"/>
        <v>4.3519123000000004</v>
      </c>
      <c r="DD10" s="1">
        <f t="shared" si="29"/>
        <v>3.6482140500000004</v>
      </c>
      <c r="DE10" s="1">
        <f t="shared" si="29"/>
        <v>7.8852843799999999</v>
      </c>
      <c r="DF10" s="1">
        <f t="shared" si="29"/>
        <v>4.4927710999999997</v>
      </c>
      <c r="DG10" s="1">
        <f t="shared" si="29"/>
        <v>3.9018705800000002</v>
      </c>
      <c r="DI10" s="1">
        <f t="shared" si="30"/>
        <v>2.631816E-2</v>
      </c>
      <c r="DJ10" s="1">
        <f t="shared" si="30"/>
        <v>4.99154E-3</v>
      </c>
      <c r="DK10" s="1">
        <f t="shared" si="30"/>
        <v>4.683996E-2</v>
      </c>
      <c r="DL10" s="1">
        <f t="shared" si="30"/>
        <v>0.23953321999999996</v>
      </c>
      <c r="DM10" s="1">
        <f t="shared" si="30"/>
        <v>0.72731897999999995</v>
      </c>
      <c r="DN10" s="1">
        <f t="shared" si="30"/>
        <v>1.7947146899999999</v>
      </c>
      <c r="DO10" s="1">
        <f t="shared" si="30"/>
        <v>1.56764612</v>
      </c>
      <c r="DP10" s="1">
        <f t="shared" si="30"/>
        <v>1.4871383200000001</v>
      </c>
      <c r="DQ10" s="1">
        <f t="shared" si="30"/>
        <v>0.7069763</v>
      </c>
      <c r="DR10" s="1">
        <f t="shared" si="30"/>
        <v>0.35634324000000006</v>
      </c>
      <c r="DS10" s="1">
        <f t="shared" si="30"/>
        <v>0.22489865000000001</v>
      </c>
      <c r="DT10" s="1">
        <f t="shared" si="30"/>
        <v>0.17467300000000002</v>
      </c>
      <c r="DU10" s="1">
        <f t="shared" si="30"/>
        <v>7.2500000000000004E-3</v>
      </c>
      <c r="DV10" s="1">
        <f t="shared" si="30"/>
        <v>0.23680799999999999</v>
      </c>
      <c r="DW10" s="1">
        <f t="shared" si="30"/>
        <v>0</v>
      </c>
      <c r="DX10" s="1">
        <f t="shared" si="30"/>
        <v>0.3075099</v>
      </c>
      <c r="DY10" s="1">
        <f t="shared" si="31"/>
        <v>0.82950560000000007</v>
      </c>
      <c r="DZ10" s="1">
        <f t="shared" si="31"/>
        <v>1.06715808</v>
      </c>
      <c r="EA10" s="1">
        <f t="shared" si="31"/>
        <v>0.57276656999999997</v>
      </c>
      <c r="EB10" s="1">
        <f t="shared" si="31"/>
        <v>0.50591796999999994</v>
      </c>
      <c r="EC10" s="1">
        <f t="shared" si="31"/>
        <v>0.37369366000000004</v>
      </c>
      <c r="ED10" s="1">
        <f t="shared" si="31"/>
        <v>1.8223369999999999E-2</v>
      </c>
      <c r="EE10" s="1">
        <f t="shared" si="31"/>
        <v>0.26981320000000003</v>
      </c>
      <c r="EF10" s="1">
        <f t="shared" si="31"/>
        <v>0.36129600000000001</v>
      </c>
      <c r="EH10" s="14">
        <f t="shared" si="32"/>
        <v>17.130000000000003</v>
      </c>
      <c r="EI10" s="14">
        <f t="shared" si="32"/>
        <v>17.130000000000003</v>
      </c>
      <c r="EJ10" s="1">
        <f t="shared" si="32"/>
        <v>17.130000000000003</v>
      </c>
      <c r="EK10" s="1">
        <f t="shared" si="32"/>
        <v>17.130000000000003</v>
      </c>
      <c r="EL10" s="1">
        <f t="shared" si="32"/>
        <v>17.130000000000003</v>
      </c>
      <c r="EM10" s="1">
        <f t="shared" si="32"/>
        <v>17.130000000000003</v>
      </c>
      <c r="EN10" s="1">
        <f t="shared" si="32"/>
        <v>17.130000000000003</v>
      </c>
      <c r="EO10" s="1">
        <f t="shared" si="32"/>
        <v>17.130000000000003</v>
      </c>
      <c r="EP10" s="1">
        <f t="shared" si="32"/>
        <v>17.39</v>
      </c>
      <c r="EQ10" s="1">
        <f t="shared" si="32"/>
        <v>17.39</v>
      </c>
      <c r="ER10" s="1">
        <f t="shared" si="32"/>
        <v>17.39</v>
      </c>
      <c r="ES10" s="1">
        <f t="shared" si="32"/>
        <v>17.39</v>
      </c>
      <c r="ET10" s="1">
        <f t="shared" si="32"/>
        <v>17.39</v>
      </c>
      <c r="EU10" s="1">
        <f t="shared" si="32"/>
        <v>17.39</v>
      </c>
      <c r="EV10" s="1">
        <f t="shared" si="32"/>
        <v>17.39</v>
      </c>
      <c r="EW10" s="1">
        <f t="shared" si="32"/>
        <v>17.39</v>
      </c>
      <c r="EX10" s="1">
        <f t="shared" si="33"/>
        <v>17.39</v>
      </c>
      <c r="EY10" s="1">
        <f t="shared" si="33"/>
        <v>17.39</v>
      </c>
      <c r="EZ10" s="1">
        <f t="shared" si="33"/>
        <v>17.39</v>
      </c>
      <c r="FA10" s="1">
        <f t="shared" si="33"/>
        <v>17.39</v>
      </c>
      <c r="FB10" s="1">
        <f t="shared" si="33"/>
        <v>19.739999999999998</v>
      </c>
      <c r="FC10" s="1">
        <f t="shared" si="33"/>
        <v>19.739999999999998</v>
      </c>
      <c r="FD10" s="1">
        <f t="shared" si="33"/>
        <v>19.739999999999998</v>
      </c>
      <c r="FE10" s="1">
        <f t="shared" si="33"/>
        <v>19.739999999999998</v>
      </c>
      <c r="FG10" s="162">
        <f t="shared" si="34"/>
        <v>0.21580338184930636</v>
      </c>
    </row>
    <row r="11" spans="1:163" ht="18.75" customHeight="1">
      <c r="A11" s="244" t="s">
        <v>116</v>
      </c>
      <c r="B11" s="247"/>
      <c r="C11" s="228">
        <f t="shared" si="5"/>
        <v>-0.33</v>
      </c>
      <c r="D11" s="229">
        <v>1</v>
      </c>
      <c r="E11" s="253">
        <f t="shared" si="6"/>
        <v>1.0168800456658245E-2</v>
      </c>
      <c r="F11" s="254">
        <f t="shared" si="7"/>
        <v>-8.5842476741373464E-3</v>
      </c>
      <c r="G11" s="253">
        <f t="shared" si="8"/>
        <v>8.8797529839190759E-3</v>
      </c>
      <c r="H11" s="254">
        <f t="shared" si="9"/>
        <v>1.2890474727391688E-3</v>
      </c>
      <c r="I11" s="253">
        <f t="shared" si="10"/>
        <v>0.10696381817044509</v>
      </c>
      <c r="J11" s="254">
        <f t="shared" si="11"/>
        <v>-0.22859709649381976</v>
      </c>
      <c r="K11" s="253">
        <f t="shared" si="12"/>
        <v>0.33799043949743068</v>
      </c>
      <c r="L11" s="254">
        <f t="shared" si="13"/>
        <v>-0.23102662132698559</v>
      </c>
      <c r="M11" s="255"/>
      <c r="N11" s="256"/>
      <c r="O11" s="253" t="str">
        <f t="shared" si="35"/>
        <v/>
      </c>
      <c r="P11" s="257" t="str">
        <f t="shared" si="36"/>
        <v/>
      </c>
      <c r="Q11" s="253">
        <f t="shared" si="14"/>
        <v>0</v>
      </c>
      <c r="R11" s="257">
        <f t="shared" si="37"/>
        <v>0</v>
      </c>
      <c r="S11" s="255"/>
      <c r="T11" s="24">
        <v>-2</v>
      </c>
      <c r="U11" s="253">
        <f t="shared" si="15"/>
        <v>-0.39733689851593423</v>
      </c>
      <c r="V11" s="258">
        <f t="shared" si="16"/>
        <v>-0.39733689851593423</v>
      </c>
      <c r="W11" s="253">
        <f t="shared" si="38"/>
        <v>5.8053486841926683E-2</v>
      </c>
      <c r="X11" s="258">
        <f t="shared" si="17"/>
        <v>5.8053486841926683E-2</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3</v>
      </c>
      <c r="AU11" s="58">
        <f>VLOOKUP($A11,historia!$A$5:$CM$24,+HLOOKUP(AU$2,historia!$A$3:$EC$4,2,FALSE),FALSE)</f>
        <v>3</v>
      </c>
      <c r="AV11" s="58">
        <f>VLOOKUP($A11,historia!$A$5:$CM$24,+HLOOKUP(AV$2,historia!$A$3:$EC$4,2,FALSE),FALSE)</f>
        <v>3</v>
      </c>
      <c r="AW11" s="58">
        <f>VLOOKUP($A11,historia!$A$5:$CM$24,+HLOOKUP(AW$2,historia!$A$3:$EC$4,2,FALSE),FALSE)</f>
        <v>3</v>
      </c>
      <c r="AX11" s="58">
        <f>VLOOKUP($A11,historia!$A$5:$CM$24,+HLOOKUP(AX$2,historia!$A$3:$EC$4,2,FALSE),FALSE)</f>
        <v>3</v>
      </c>
      <c r="AY11" s="58">
        <f>VLOOKUP($A11,historia!$A$5:$CM$24,+HLOOKUP(AY$2,historia!$A$3:$EC$4,2,FALSE),FALSE)</f>
        <v>3</v>
      </c>
      <c r="AZ11" s="58">
        <f>VLOOKUP($A11,historia!$A$5:$CM$24,+HLOOKUP(AZ$2,historia!$A$3:$EC$4,2,FALSE),FALSE)</f>
        <v>3</v>
      </c>
      <c r="BA11" s="58">
        <f>VLOOKUP($A11,historia!$A$5:$DG$24,+HLOOKUP(BA$2,historia!$A$3:$EC$4,2,FALSE),FALSE)</f>
        <v>3</v>
      </c>
      <c r="BB11" s="58"/>
      <c r="BC11" s="286">
        <v>3</v>
      </c>
      <c r="BD11" t="str">
        <f t="shared" si="20"/>
        <v>Forestal</v>
      </c>
      <c r="BE11">
        <f>+datos!BG1</f>
        <v>59</v>
      </c>
      <c r="BF11" s="2" t="str">
        <f t="shared" si="4"/>
        <v>$/t</v>
      </c>
      <c r="BG11" s="2">
        <f t="shared" si="4"/>
        <v>30969.25</v>
      </c>
      <c r="BH11" s="2">
        <f t="shared" si="4"/>
        <v>30657.5</v>
      </c>
      <c r="BI11" s="2">
        <f t="shared" si="4"/>
        <v>27976.75</v>
      </c>
      <c r="BK11">
        <f>+datos!CZ1</f>
        <v>104</v>
      </c>
      <c r="BL11" s="2">
        <f t="shared" si="21"/>
        <v>13764.746955366722</v>
      </c>
      <c r="BM11" s="2">
        <f t="shared" si="21"/>
        <v>13643.595200176569</v>
      </c>
      <c r="BN11" s="2">
        <f t="shared" si="21"/>
        <v>10287.627287185227</v>
      </c>
      <c r="BP11" s="1">
        <f>+datos!ES1</f>
        <v>149</v>
      </c>
      <c r="BQ11" s="1">
        <f t="shared" si="22"/>
        <v>0</v>
      </c>
      <c r="BR11" s="1">
        <f t="shared" si="22"/>
        <v>0</v>
      </c>
      <c r="BT11" s="1">
        <f>+datos!GI1</f>
        <v>191</v>
      </c>
      <c r="BU11" s="1">
        <f t="shared" si="23"/>
        <v>1302556</v>
      </c>
      <c r="BV11" s="1">
        <f t="shared" si="23"/>
        <v>1302556</v>
      </c>
      <c r="BX11" s="1">
        <f>+datos!KB1</f>
        <v>288</v>
      </c>
      <c r="BY11" s="1">
        <f t="shared" si="39"/>
        <v>165.48798423</v>
      </c>
      <c r="BZ11" s="1">
        <f t="shared" si="40"/>
        <v>274.59451860000001</v>
      </c>
      <c r="CB11" s="1">
        <f>+datos!LG1</f>
        <v>319</v>
      </c>
      <c r="CC11" s="2">
        <f t="shared" si="24"/>
        <v>180.49648001000003</v>
      </c>
      <c r="CD11" s="2">
        <f t="shared" si="25"/>
        <v>170.59296363999999</v>
      </c>
      <c r="CF11" s="1">
        <f>+datos!IW1</f>
        <v>257</v>
      </c>
      <c r="CG11" s="1">
        <f t="shared" si="26"/>
        <v>0</v>
      </c>
      <c r="CH11" s="1">
        <f t="shared" si="27"/>
        <v>0</v>
      </c>
      <c r="CJ11" s="1">
        <f t="shared" si="28"/>
        <v>12.702036029999997</v>
      </c>
      <c r="CK11" s="1">
        <f t="shared" si="28"/>
        <v>14.879273850000001</v>
      </c>
      <c r="CL11" s="1">
        <f t="shared" si="28"/>
        <v>13.812450910000003</v>
      </c>
      <c r="CM11" s="1">
        <f t="shared" si="28"/>
        <v>14.949040589999999</v>
      </c>
      <c r="CN11" s="1">
        <f t="shared" si="28"/>
        <v>13.968637820000001</v>
      </c>
      <c r="CO11" s="1">
        <f t="shared" si="28"/>
        <v>9.9284284400000011</v>
      </c>
      <c r="CP11" s="1">
        <f t="shared" si="28"/>
        <v>14.484437890000001</v>
      </c>
      <c r="CQ11" s="1">
        <f t="shared" si="28"/>
        <v>10.200287200000002</v>
      </c>
      <c r="CR11" s="1">
        <f t="shared" si="28"/>
        <v>11.119065489999999</v>
      </c>
      <c r="CS11" s="1">
        <f t="shared" si="28"/>
        <v>13.50721221</v>
      </c>
      <c r="CT11" s="1">
        <f t="shared" si="28"/>
        <v>17.7783984</v>
      </c>
      <c r="CU11" s="1">
        <f t="shared" si="28"/>
        <v>18.158715399999995</v>
      </c>
      <c r="CV11" s="1">
        <f t="shared" si="28"/>
        <v>13.62277192</v>
      </c>
      <c r="CW11" s="1">
        <f t="shared" si="28"/>
        <v>18.147427050000005</v>
      </c>
      <c r="CX11" s="1">
        <f t="shared" si="28"/>
        <v>16.38459563</v>
      </c>
      <c r="CY11" s="1">
        <f t="shared" si="28"/>
        <v>19.29025034</v>
      </c>
      <c r="CZ11" s="1">
        <f t="shared" si="29"/>
        <v>32.635385889999995</v>
      </c>
      <c r="DA11" s="1">
        <f t="shared" si="29"/>
        <v>26.653198490000001</v>
      </c>
      <c r="DB11" s="1">
        <f t="shared" si="29"/>
        <v>23.932255000000001</v>
      </c>
      <c r="DC11" s="1">
        <f t="shared" si="29"/>
        <v>23.104867779999999</v>
      </c>
      <c r="DD11" s="1">
        <f t="shared" si="29"/>
        <v>24.797754910000005</v>
      </c>
      <c r="DE11" s="1">
        <f t="shared" si="29"/>
        <v>26.00374025</v>
      </c>
      <c r="DF11" s="1">
        <f t="shared" si="29"/>
        <v>24.373047020000001</v>
      </c>
      <c r="DG11" s="1">
        <f t="shared" si="29"/>
        <v>25.649224320000002</v>
      </c>
      <c r="DI11" s="1">
        <f t="shared" si="30"/>
        <v>17.838312650000002</v>
      </c>
      <c r="DJ11" s="1">
        <f t="shared" si="30"/>
        <v>13.839856769999999</v>
      </c>
      <c r="DK11" s="1">
        <f t="shared" si="30"/>
        <v>16.453753389999996</v>
      </c>
      <c r="DL11" s="1">
        <f t="shared" si="30"/>
        <v>16.050718710000002</v>
      </c>
      <c r="DM11" s="1">
        <f t="shared" si="30"/>
        <v>13.20675994</v>
      </c>
      <c r="DN11" s="1">
        <f t="shared" si="30"/>
        <v>12.082023640000001</v>
      </c>
      <c r="DO11" s="1">
        <f t="shared" si="30"/>
        <v>16.998994660000001</v>
      </c>
      <c r="DP11" s="1">
        <f t="shared" si="30"/>
        <v>14.09144206</v>
      </c>
      <c r="DQ11" s="1">
        <f t="shared" si="30"/>
        <v>14.036730870000001</v>
      </c>
      <c r="DR11" s="1">
        <f t="shared" si="30"/>
        <v>13.365554540000002</v>
      </c>
      <c r="DS11" s="1">
        <f t="shared" si="30"/>
        <v>15.589800310000003</v>
      </c>
      <c r="DT11" s="1">
        <f t="shared" si="30"/>
        <v>16.942532470000003</v>
      </c>
      <c r="DU11" s="1">
        <f t="shared" si="30"/>
        <v>10.998476289999999</v>
      </c>
      <c r="DV11" s="1">
        <f t="shared" si="30"/>
        <v>11.46589975</v>
      </c>
      <c r="DW11" s="1">
        <f t="shared" si="30"/>
        <v>13.53170609</v>
      </c>
      <c r="DX11" s="1">
        <f t="shared" si="30"/>
        <v>19.941855059999995</v>
      </c>
      <c r="DY11" s="1">
        <f t="shared" si="31"/>
        <v>17.561880160000001</v>
      </c>
      <c r="DZ11" s="1">
        <f t="shared" si="31"/>
        <v>14.580088280000002</v>
      </c>
      <c r="EA11" s="1">
        <f t="shared" si="31"/>
        <v>13.107541810000001</v>
      </c>
      <c r="EB11" s="1">
        <f t="shared" si="31"/>
        <v>9.0834929199999994</v>
      </c>
      <c r="EC11" s="1">
        <f t="shared" si="31"/>
        <v>9.5859924200000002</v>
      </c>
      <c r="ED11" s="1">
        <f t="shared" si="31"/>
        <v>12.114691449999999</v>
      </c>
      <c r="EE11" s="1">
        <f t="shared" si="31"/>
        <v>21.937746180000001</v>
      </c>
      <c r="EF11" s="1">
        <f t="shared" si="31"/>
        <v>16.68359323</v>
      </c>
      <c r="EH11" s="14">
        <f t="shared" si="32"/>
        <v>0</v>
      </c>
      <c r="EI11" s="14">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3"/>
        <v>0</v>
      </c>
      <c r="EY11" s="1">
        <f t="shared" si="33"/>
        <v>0</v>
      </c>
      <c r="EZ11" s="1">
        <f t="shared" si="33"/>
        <v>0</v>
      </c>
      <c r="FA11" s="1">
        <f t="shared" si="33"/>
        <v>0</v>
      </c>
      <c r="FB11" s="1">
        <f t="shared" si="33"/>
        <v>0</v>
      </c>
      <c r="FC11" s="1">
        <f t="shared" si="33"/>
        <v>0</v>
      </c>
      <c r="FD11" s="1">
        <f t="shared" si="33"/>
        <v>0</v>
      </c>
      <c r="FE11" s="1">
        <f t="shared" si="33"/>
        <v>0</v>
      </c>
      <c r="FG11" s="162">
        <f t="shared" si="34"/>
        <v>-0.23102662132698559</v>
      </c>
    </row>
    <row r="12" spans="1:163" ht="18.75" customHeight="1">
      <c r="A12" s="243" t="s">
        <v>216</v>
      </c>
      <c r="B12" s="246"/>
      <c r="C12" s="156">
        <f t="shared" si="5"/>
        <v>-0.33</v>
      </c>
      <c r="D12" s="198">
        <v>-1</v>
      </c>
      <c r="E12" s="248">
        <f t="shared" si="6"/>
        <v>3.1218400107448918E-3</v>
      </c>
      <c r="F12" s="249">
        <f t="shared" si="7"/>
        <v>-1.5631208120050699E-2</v>
      </c>
      <c r="G12" s="248">
        <f t="shared" si="8"/>
        <v>1.3172901730978515E-2</v>
      </c>
      <c r="H12" s="249">
        <f t="shared" si="9"/>
        <v>-1.0051061720233623E-2</v>
      </c>
      <c r="I12" s="248">
        <f t="shared" si="10"/>
        <v>0.33354100802090492</v>
      </c>
      <c r="J12" s="249">
        <f t="shared" si="11"/>
        <v>-2.0199066433599366E-3</v>
      </c>
      <c r="K12" s="248">
        <f t="shared" si="12"/>
        <v>0.34714383882090849</v>
      </c>
      <c r="L12" s="249">
        <f t="shared" si="13"/>
        <v>-1.3602830800003574E-2</v>
      </c>
      <c r="M12" s="250"/>
      <c r="N12" s="24">
        <v>1</v>
      </c>
      <c r="O12" s="248">
        <f t="shared" si="35"/>
        <v>8.5121602288984244E-2</v>
      </c>
      <c r="P12" s="251">
        <f t="shared" si="36"/>
        <v>8.5121602288984244E-2</v>
      </c>
      <c r="Q12" s="248">
        <f t="shared" si="14"/>
        <v>7.2566835718909095E-2</v>
      </c>
      <c r="R12" s="251">
        <f t="shared" si="37"/>
        <v>7.2566835718909095E-2</v>
      </c>
      <c r="S12" s="250"/>
      <c r="T12" s="24">
        <v>-1</v>
      </c>
      <c r="U12" s="248">
        <f t="shared" si="15"/>
        <v>2.7808133926688905E-2</v>
      </c>
      <c r="V12" s="252">
        <f t="shared" si="16"/>
        <v>2.7808133926688905E-2</v>
      </c>
      <c r="W12" s="248">
        <f t="shared" si="38"/>
        <v>-0.20282048690481258</v>
      </c>
      <c r="X12" s="252">
        <f t="shared" si="17"/>
        <v>-0.20282048690481258</v>
      </c>
      <c r="Y12" s="248"/>
      <c r="Z12" s="252"/>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4</v>
      </c>
      <c r="AQ12" s="28">
        <f>VLOOKUP($A12,historia!$A$5:$CM$24,+HLOOKUP(AQ$2,historia!$A$3:$EC$4,2,FALSE),FALSE)</f>
        <v>4</v>
      </c>
      <c r="AR12" s="28">
        <f>VLOOKUP($A12,historia!$A$5:$CM$24,+HLOOKUP(AR$2,historia!$A$3:$EC$4,2,FALSE),FALSE)</f>
        <v>4</v>
      </c>
      <c r="AS12" s="28">
        <f>VLOOKUP($A12,historia!$A$5:$CM$24,+HLOOKUP(AS$2,historia!$A$3:$EC$4,2,FALSE),FALSE)</f>
        <v>4</v>
      </c>
      <c r="AT12" s="58">
        <f>VLOOKUP($A12,historia!$A$5:$CM$24,+HLOOKUP(AT$2,historia!$A$3:$EC$4,2,FALSE),FALSE)</f>
        <v>3</v>
      </c>
      <c r="AU12" s="58">
        <f>VLOOKUP($A12,historia!$A$5:$CM$24,+HLOOKUP(AU$2,historia!$A$3:$EC$4,2,FALSE),FALSE)</f>
        <v>3</v>
      </c>
      <c r="AV12" s="58">
        <f>VLOOKUP($A12,historia!$A$5:$CM$24,+HLOOKUP(AV$2,historia!$A$3:$EC$4,2,FALSE),FALSE)</f>
        <v>3</v>
      </c>
      <c r="AW12" s="58">
        <f>VLOOKUP($A12,historia!$A$5:$CM$24,+HLOOKUP(AW$2,historia!$A$3:$EC$4,2,FALSE),FALSE)</f>
        <v>3</v>
      </c>
      <c r="AX12" s="58">
        <f>VLOOKUP($A12,historia!$A$5:$CM$24,+HLOOKUP(AX$2,historia!$A$3:$EC$4,2,FALSE),FALSE)</f>
        <v>3</v>
      </c>
      <c r="AY12" s="58">
        <f>VLOOKUP($A12,historia!$A$5:$CM$24,+HLOOKUP(AY$2,historia!$A$3:$EC$4,2,FALSE),FALSE)</f>
        <v>3</v>
      </c>
      <c r="AZ12" s="58">
        <f>VLOOKUP($A12,historia!$A$5:$CM$24,+HLOOKUP(AZ$2,historia!$A$3:$EC$4,2,FALSE),FALSE)</f>
        <v>2</v>
      </c>
      <c r="BA12" s="58">
        <f>VLOOKUP($A12,historia!$A$5:$DG$24,+HLOOKUP(BA$2,historia!$A$3:$EC$4,2,FALSE),FALSE)</f>
        <v>2</v>
      </c>
      <c r="BB12" s="58"/>
      <c r="BC12" s="286">
        <v>2</v>
      </c>
      <c r="BD12" t="str">
        <f t="shared" si="20"/>
        <v>Granos</v>
      </c>
      <c r="BE12">
        <f>+datos!AE1</f>
        <v>31</v>
      </c>
      <c r="BF12" s="2" t="str">
        <f t="shared" si="4"/>
        <v>$/t</v>
      </c>
      <c r="BG12" s="2">
        <f t="shared" si="4"/>
        <v>302394.82250000001</v>
      </c>
      <c r="BH12" s="2">
        <f t="shared" si="4"/>
        <v>301453.73217749991</v>
      </c>
      <c r="BI12" s="2">
        <f t="shared" si="4"/>
        <v>226760.79751666667</v>
      </c>
      <c r="BK12">
        <f>+datos!CG1</f>
        <v>85</v>
      </c>
      <c r="BL12" s="2">
        <f t="shared" si="21"/>
        <v>11523.030633454176</v>
      </c>
      <c r="BM12" s="2">
        <f t="shared" si="21"/>
        <v>11373.212423829527</v>
      </c>
      <c r="BN12" s="2">
        <f t="shared" si="21"/>
        <v>8553.675043000414</v>
      </c>
      <c r="BP12" s="1">
        <f>+datos!EA1</f>
        <v>131</v>
      </c>
      <c r="BQ12" s="1">
        <f t="shared" si="22"/>
        <v>37925000</v>
      </c>
      <c r="BR12" s="1">
        <f t="shared" si="22"/>
        <v>34950000</v>
      </c>
      <c r="BT12" s="1">
        <f>+datos!FV1</f>
        <v>178</v>
      </c>
      <c r="BU12" s="1">
        <f t="shared" si="23"/>
        <v>130910000</v>
      </c>
      <c r="BV12" s="1">
        <f t="shared" si="23"/>
        <v>122053000</v>
      </c>
      <c r="BX12" s="1">
        <f>+datos!LQ1</f>
        <v>329</v>
      </c>
      <c r="BY12" s="1">
        <f>+SUM(CJ12:CU12)</f>
        <v>43270.545058600001</v>
      </c>
      <c r="BZ12" s="1">
        <f t="shared" si="40"/>
        <v>42099.827419430003</v>
      </c>
      <c r="CB12" s="1">
        <f>+datos!LU1</f>
        <v>333</v>
      </c>
      <c r="CC12" s="2">
        <f t="shared" si="24"/>
        <v>2710.6477295000004</v>
      </c>
      <c r="CD12" s="2">
        <f t="shared" si="25"/>
        <v>3400.2977810799998</v>
      </c>
      <c r="CF12" s="1">
        <f>+datos!II1</f>
        <v>243</v>
      </c>
      <c r="CG12" s="1">
        <f t="shared" si="26"/>
        <v>85820000</v>
      </c>
      <c r="CH12" s="1">
        <f t="shared" si="27"/>
        <v>81600000</v>
      </c>
      <c r="CJ12" s="1">
        <f>+VLOOKUP(CJ$1,ran_dat,$BX12,FALSE)</f>
        <v>4336.2366958999992</v>
      </c>
      <c r="CK12" s="1">
        <f t="shared" si="28"/>
        <v>4557.75384975</v>
      </c>
      <c r="CL12" s="1">
        <f t="shared" si="28"/>
        <v>3762.5394987399995</v>
      </c>
      <c r="CM12" s="1">
        <f t="shared" si="28"/>
        <v>4220.2405017900001</v>
      </c>
      <c r="CN12" s="1">
        <f t="shared" si="28"/>
        <v>3699.5517639399995</v>
      </c>
      <c r="CO12" s="1">
        <f t="shared" si="28"/>
        <v>2719.5194464700007</v>
      </c>
      <c r="CP12" s="1">
        <f t="shared" si="28"/>
        <v>3193.1112506200002</v>
      </c>
      <c r="CQ12" s="1">
        <f t="shared" si="28"/>
        <v>3231.2263099199999</v>
      </c>
      <c r="CR12" s="1">
        <f t="shared" si="28"/>
        <v>3313.8442822299994</v>
      </c>
      <c r="CS12" s="1">
        <f t="shared" si="28"/>
        <v>3339.9998161899998</v>
      </c>
      <c r="CT12" s="1">
        <f t="shared" si="28"/>
        <v>3485.71732419</v>
      </c>
      <c r="CU12" s="1">
        <f t="shared" si="28"/>
        <v>3410.80431886</v>
      </c>
      <c r="CV12" s="1">
        <f t="shared" si="28"/>
        <v>3348.6268518899992</v>
      </c>
      <c r="CW12" s="1">
        <f t="shared" si="28"/>
        <v>4200.6671527199996</v>
      </c>
      <c r="CX12" s="1">
        <f t="shared" si="28"/>
        <v>4256.6159984299993</v>
      </c>
      <c r="CY12" s="1">
        <f t="shared" si="28"/>
        <v>4805.0657855600002</v>
      </c>
      <c r="CZ12" s="1">
        <f t="shared" si="29"/>
        <v>3818.0878160900002</v>
      </c>
      <c r="DA12" s="1">
        <f t="shared" si="29"/>
        <v>3876.9439553199995</v>
      </c>
      <c r="DB12" s="1">
        <f t="shared" si="29"/>
        <v>3089.4855235099994</v>
      </c>
      <c r="DC12" s="1">
        <f t="shared" si="29"/>
        <v>3929.1762735700004</v>
      </c>
      <c r="DD12" s="1">
        <f t="shared" si="29"/>
        <v>2955.6698254600001</v>
      </c>
      <c r="DE12" s="1">
        <f t="shared" si="29"/>
        <v>2441.9361675499999</v>
      </c>
      <c r="DF12" s="1">
        <f t="shared" si="29"/>
        <v>2439.6070879799995</v>
      </c>
      <c r="DG12" s="1">
        <f t="shared" si="29"/>
        <v>2937.94498135</v>
      </c>
      <c r="DI12" s="1">
        <f t="shared" si="30"/>
        <v>175.34564924</v>
      </c>
      <c r="DJ12" s="1">
        <f t="shared" si="30"/>
        <v>241.51209269000003</v>
      </c>
      <c r="DK12" s="1">
        <f t="shared" si="30"/>
        <v>273.75200934999998</v>
      </c>
      <c r="DL12" s="1">
        <f t="shared" si="30"/>
        <v>304.19736033999999</v>
      </c>
      <c r="DM12" s="1">
        <f t="shared" si="30"/>
        <v>338.33098909999995</v>
      </c>
      <c r="DN12" s="1">
        <f t="shared" si="30"/>
        <v>239.40438782999996</v>
      </c>
      <c r="DO12" s="1">
        <f t="shared" si="30"/>
        <v>288.1429152</v>
      </c>
      <c r="DP12" s="1">
        <f t="shared" si="30"/>
        <v>31.883400920000003</v>
      </c>
      <c r="DQ12" s="1">
        <f t="shared" si="30"/>
        <v>52.19269714</v>
      </c>
      <c r="DR12" s="1">
        <f t="shared" si="30"/>
        <v>201.41567115000001</v>
      </c>
      <c r="DS12" s="1">
        <f t="shared" si="30"/>
        <v>299.18688666000003</v>
      </c>
      <c r="DT12" s="1">
        <f t="shared" si="30"/>
        <v>265.28366987999999</v>
      </c>
      <c r="DU12" s="1">
        <f t="shared" si="30"/>
        <v>214.60650260000006</v>
      </c>
      <c r="DV12" s="1">
        <f t="shared" si="30"/>
        <v>390.93673457</v>
      </c>
      <c r="DW12" s="1">
        <f t="shared" si="30"/>
        <v>293.37536226000003</v>
      </c>
      <c r="DX12" s="1">
        <f t="shared" si="30"/>
        <v>336.54852982999995</v>
      </c>
      <c r="DY12" s="1">
        <f t="shared" si="31"/>
        <v>300.95428591999996</v>
      </c>
      <c r="DZ12" s="1">
        <f t="shared" si="31"/>
        <v>389.85732896999997</v>
      </c>
      <c r="EA12" s="1">
        <f t="shared" si="31"/>
        <v>280.54397103999997</v>
      </c>
      <c r="EB12" s="1">
        <f t="shared" si="31"/>
        <v>63.525792080000002</v>
      </c>
      <c r="EC12" s="1">
        <f t="shared" si="31"/>
        <v>301.92103216000004</v>
      </c>
      <c r="ED12" s="1">
        <f t="shared" si="31"/>
        <v>260.76831764999997</v>
      </c>
      <c r="EE12" s="1">
        <f t="shared" si="31"/>
        <v>244.67742642000002</v>
      </c>
      <c r="EF12" s="1">
        <f t="shared" si="31"/>
        <v>322.58249758000005</v>
      </c>
      <c r="EH12" s="14">
        <f t="shared" si="32"/>
        <v>85820000</v>
      </c>
      <c r="EI12" s="14">
        <f t="shared" si="32"/>
        <v>83320000</v>
      </c>
      <c r="EJ12" s="1">
        <f t="shared" si="32"/>
        <v>83120000</v>
      </c>
      <c r="EK12" s="1">
        <f t="shared" si="32"/>
        <v>83420000</v>
      </c>
      <c r="EL12" s="1">
        <f t="shared" si="32"/>
        <v>83260000</v>
      </c>
      <c r="EM12" s="1">
        <f t="shared" si="32"/>
        <v>82660000</v>
      </c>
      <c r="EN12" s="1">
        <f t="shared" si="32"/>
        <v>83330000</v>
      </c>
      <c r="EO12" s="1">
        <f t="shared" si="32"/>
        <v>83330000</v>
      </c>
      <c r="EP12" s="1">
        <f t="shared" si="32"/>
        <v>81580000</v>
      </c>
      <c r="EQ12" s="1">
        <f t="shared" si="32"/>
        <v>81600000</v>
      </c>
      <c r="ER12" s="1">
        <f t="shared" si="32"/>
        <v>81600000</v>
      </c>
      <c r="ES12" s="1">
        <f t="shared" si="32"/>
        <v>81600000</v>
      </c>
      <c r="ET12" s="1">
        <f t="shared" si="32"/>
        <v>81600000</v>
      </c>
      <c r="EU12" s="1">
        <f t="shared" si="32"/>
        <v>81600000</v>
      </c>
      <c r="EV12" s="1">
        <f t="shared" si="32"/>
        <v>81600000</v>
      </c>
      <c r="EW12" s="1">
        <f t="shared" si="32"/>
        <v>81600000</v>
      </c>
      <c r="EX12" s="1">
        <f t="shared" si="33"/>
        <v>81600000</v>
      </c>
      <c r="EY12" s="1">
        <f t="shared" si="33"/>
        <v>73750000</v>
      </c>
      <c r="EZ12" s="1">
        <f t="shared" si="33"/>
        <v>73750000</v>
      </c>
      <c r="FA12" s="1">
        <f t="shared" si="33"/>
        <v>73450000</v>
      </c>
      <c r="FB12" s="1">
        <f t="shared" si="33"/>
        <v>73450000</v>
      </c>
      <c r="FC12" s="1">
        <f t="shared" si="33"/>
        <v>73450000</v>
      </c>
      <c r="FD12" s="1">
        <f t="shared" si="33"/>
        <v>73450000</v>
      </c>
      <c r="FE12" s="1">
        <f t="shared" si="33"/>
        <v>73450000</v>
      </c>
      <c r="FG12" s="162">
        <f t="shared" si="34"/>
        <v>-1.3602830800003574E-2</v>
      </c>
    </row>
    <row r="13" spans="1:163" ht="18.75" customHeight="1">
      <c r="A13" s="244" t="s">
        <v>217</v>
      </c>
      <c r="B13" s="247"/>
      <c r="C13" s="228">
        <f t="shared" si="5"/>
        <v>0</v>
      </c>
      <c r="D13" s="229">
        <v>0</v>
      </c>
      <c r="E13" s="253">
        <f t="shared" si="6"/>
        <v>0.20476548230165159</v>
      </c>
      <c r="F13" s="254">
        <f t="shared" si="7"/>
        <v>0.186012434170856</v>
      </c>
      <c r="G13" s="253">
        <f t="shared" si="8"/>
        <v>3.8315355742660318E-2</v>
      </c>
      <c r="H13" s="254">
        <f t="shared" si="9"/>
        <v>0.16645012655899127</v>
      </c>
      <c r="I13" s="253">
        <f t="shared" si="10"/>
        <v>-0.3574732404149441</v>
      </c>
      <c r="J13" s="254">
        <f t="shared" si="11"/>
        <v>-0.69303415507920896</v>
      </c>
      <c r="K13" s="253">
        <f t="shared" si="12"/>
        <v>0.11456049484868336</v>
      </c>
      <c r="L13" s="254">
        <f t="shared" si="13"/>
        <v>-0.47203373526362746</v>
      </c>
      <c r="M13" s="255"/>
      <c r="N13" s="256">
        <v>0</v>
      </c>
      <c r="O13" s="253">
        <f t="shared" si="35"/>
        <v>0</v>
      </c>
      <c r="P13" s="257">
        <f t="shared" si="36"/>
        <v>0</v>
      </c>
      <c r="Q13" s="253">
        <f t="shared" si="14"/>
        <v>0</v>
      </c>
      <c r="R13" s="257">
        <f t="shared" si="37"/>
        <v>0</v>
      </c>
      <c r="S13" s="255"/>
      <c r="T13" s="256">
        <v>0</v>
      </c>
      <c r="U13" s="253">
        <f t="shared" si="15"/>
        <v>-0.40472800471353998</v>
      </c>
      <c r="V13" s="258">
        <f t="shared" si="16"/>
        <v>-0.40472800471353998</v>
      </c>
      <c r="W13" s="253">
        <f t="shared" si="38"/>
        <v>6.6754981617803244E-2</v>
      </c>
      <c r="X13" s="258">
        <f t="shared" si="17"/>
        <v>6.6754981617803244E-2</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4</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5</v>
      </c>
      <c r="AZ13" s="58">
        <f>VLOOKUP($A13,historia!$A$5:$CM$24,+HLOOKUP(AZ$2,historia!$A$3:$EC$4,2,FALSE),FALSE)</f>
        <v>4</v>
      </c>
      <c r="BA13" s="58">
        <f>VLOOKUP($A13,historia!$A$5:$DG$24,+HLOOKUP(BA$2,historia!$A$3:$EC$4,2,FALSE),FALSE)</f>
        <v>5</v>
      </c>
      <c r="BB13" s="58"/>
      <c r="BC13" s="286">
        <v>5</v>
      </c>
      <c r="BD13" t="str">
        <f t="shared" si="20"/>
        <v>Hortalizas</v>
      </c>
      <c r="BE13">
        <f>+datos!BB1</f>
        <v>54</v>
      </c>
      <c r="BF13" s="2" t="str">
        <f t="shared" si="4"/>
        <v>$/kg</v>
      </c>
      <c r="BG13" s="2">
        <f t="shared" si="4"/>
        <v>9871.4963401773875</v>
      </c>
      <c r="BH13" s="2">
        <f t="shared" si="4"/>
        <v>8193.7078088578091</v>
      </c>
      <c r="BI13" s="2">
        <f t="shared" si="4"/>
        <v>15363.55675918059</v>
      </c>
      <c r="BK13">
        <f>+datos!CO1</f>
        <v>93</v>
      </c>
      <c r="BL13" s="2">
        <f t="shared" si="21"/>
        <v>10986.767242730162</v>
      </c>
      <c r="BM13" s="2">
        <f t="shared" si="21"/>
        <v>10581.339457193928</v>
      </c>
      <c r="BN13" s="2">
        <f t="shared" si="21"/>
        <v>9857.4884840340274</v>
      </c>
      <c r="BP13" s="1">
        <f>+datos!EX1</f>
        <v>154</v>
      </c>
      <c r="BQ13" s="1">
        <f t="shared" si="22"/>
        <v>64395</v>
      </c>
      <c r="BR13" s="1">
        <f t="shared" si="22"/>
        <v>64395</v>
      </c>
      <c r="BT13" s="1">
        <f>+datos!GN1</f>
        <v>196</v>
      </c>
      <c r="BU13" s="1">
        <f t="shared" si="23"/>
        <v>2639386</v>
      </c>
      <c r="BV13" s="1">
        <f t="shared" si="23"/>
        <v>2639386</v>
      </c>
      <c r="BX13" s="1">
        <f>+datos!LR1</f>
        <v>330</v>
      </c>
      <c r="BY13" s="1">
        <f t="shared" si="39"/>
        <v>44.230443919999999</v>
      </c>
      <c r="BZ13" s="1">
        <f t="shared" si="40"/>
        <v>74.302914079999994</v>
      </c>
      <c r="CB13" s="1">
        <f>+datos!LV1</f>
        <v>334</v>
      </c>
      <c r="CC13" s="2">
        <f t="shared" si="24"/>
        <v>26.599809579999999</v>
      </c>
      <c r="CD13" s="2">
        <f t="shared" si="25"/>
        <v>24.93525696</v>
      </c>
      <c r="CF13" s="1">
        <f>+datos!IX1</f>
        <v>258</v>
      </c>
      <c r="CG13" s="1">
        <f t="shared" si="26"/>
        <v>0</v>
      </c>
      <c r="CH13" s="1">
        <f t="shared" si="27"/>
        <v>0</v>
      </c>
      <c r="CJ13" s="1">
        <f t="shared" si="28"/>
        <v>2.3842983399999995</v>
      </c>
      <c r="CK13" s="1">
        <f t="shared" si="28"/>
        <v>1.9006323699999998</v>
      </c>
      <c r="CL13" s="1">
        <f t="shared" si="28"/>
        <v>5.6300601800000001</v>
      </c>
      <c r="CM13" s="1">
        <f t="shared" si="28"/>
        <v>10.78719353</v>
      </c>
      <c r="CN13" s="1">
        <f t="shared" si="28"/>
        <v>6.6589734299999996</v>
      </c>
      <c r="CO13" s="1">
        <f t="shared" si="28"/>
        <v>4.7972503099999999</v>
      </c>
      <c r="CP13" s="1">
        <f t="shared" si="28"/>
        <v>3.6808061599999999</v>
      </c>
      <c r="CQ13" s="1">
        <f t="shared" si="28"/>
        <v>1.7265838599999999</v>
      </c>
      <c r="CR13" s="1">
        <f t="shared" si="28"/>
        <v>1.1603474899999999</v>
      </c>
      <c r="CS13" s="1">
        <f t="shared" si="28"/>
        <v>1.6220564799999999</v>
      </c>
      <c r="CT13" s="1">
        <f t="shared" si="28"/>
        <v>1.7022322700000001</v>
      </c>
      <c r="CU13" s="1">
        <f t="shared" si="28"/>
        <v>2.1800094999999997</v>
      </c>
      <c r="CV13" s="1">
        <f t="shared" si="28"/>
        <v>0.89152303000000011</v>
      </c>
      <c r="CW13" s="1">
        <f t="shared" si="28"/>
        <v>2.22092468</v>
      </c>
      <c r="CX13" s="1">
        <f t="shared" si="28"/>
        <v>5.6369490100000004</v>
      </c>
      <c r="CY13" s="1">
        <f t="shared" si="28"/>
        <v>11.964288460000001</v>
      </c>
      <c r="CZ13" s="1">
        <f t="shared" si="29"/>
        <v>14.874595200000002</v>
      </c>
      <c r="DA13" s="1">
        <f t="shared" si="29"/>
        <v>12.356255849999998</v>
      </c>
      <c r="DB13" s="1">
        <f t="shared" si="29"/>
        <v>7.66143427</v>
      </c>
      <c r="DC13" s="1">
        <f t="shared" si="29"/>
        <v>3.9700200400000001</v>
      </c>
      <c r="DD13" s="1">
        <f t="shared" si="29"/>
        <v>4.244482989999999</v>
      </c>
      <c r="DE13" s="1">
        <f t="shared" si="29"/>
        <v>3.7692072699999999</v>
      </c>
      <c r="DF13" s="1">
        <f t="shared" si="29"/>
        <v>4.3561451300000007</v>
      </c>
      <c r="DG13" s="1">
        <f t="shared" si="29"/>
        <v>2.35708815</v>
      </c>
      <c r="DI13" s="1">
        <f t="shared" si="30"/>
        <v>1.4155427900000002</v>
      </c>
      <c r="DJ13" s="1">
        <f t="shared" si="30"/>
        <v>1.5956283999999996</v>
      </c>
      <c r="DK13" s="1">
        <f t="shared" si="30"/>
        <v>1.7945534399999996</v>
      </c>
      <c r="DL13" s="1">
        <f t="shared" si="30"/>
        <v>2.7487028499999995</v>
      </c>
      <c r="DM13" s="1">
        <f t="shared" si="30"/>
        <v>0.73139703</v>
      </c>
      <c r="DN13" s="1">
        <f t="shared" si="30"/>
        <v>0.52205221000000002</v>
      </c>
      <c r="DO13" s="1">
        <f t="shared" si="30"/>
        <v>0.27889262000000004</v>
      </c>
      <c r="DP13" s="1">
        <f t="shared" si="30"/>
        <v>0.43588088999999991</v>
      </c>
      <c r="DQ13" s="1">
        <f t="shared" si="30"/>
        <v>0.25163443000000002</v>
      </c>
      <c r="DR13" s="1">
        <f t="shared" si="30"/>
        <v>1.8307121500000001</v>
      </c>
      <c r="DS13" s="1">
        <f t="shared" si="30"/>
        <v>4.7138590499999999</v>
      </c>
      <c r="DT13" s="1">
        <f t="shared" si="30"/>
        <v>10.280953719999999</v>
      </c>
      <c r="DU13" s="1">
        <f t="shared" si="30"/>
        <v>10.078043539999999</v>
      </c>
      <c r="DV13" s="1">
        <f t="shared" si="30"/>
        <v>5.0525632100000006</v>
      </c>
      <c r="DW13" s="1">
        <f t="shared" si="30"/>
        <v>1.5134803299999999</v>
      </c>
      <c r="DX13" s="1">
        <f t="shared" si="30"/>
        <v>1.5645213200000003</v>
      </c>
      <c r="DY13" s="1">
        <f t="shared" si="31"/>
        <v>0.17069466</v>
      </c>
      <c r="DZ13" s="1">
        <f t="shared" si="31"/>
        <v>5.8121779999999998E-2</v>
      </c>
      <c r="EA13" s="1">
        <f t="shared" si="31"/>
        <v>0.22874177000000001</v>
      </c>
      <c r="EB13" s="1">
        <f t="shared" si="31"/>
        <v>6.8422739999999996E-2</v>
      </c>
      <c r="EC13" s="1">
        <f t="shared" si="31"/>
        <v>1.38860757</v>
      </c>
      <c r="ED13" s="1">
        <f t="shared" si="31"/>
        <v>1.9631409899999996</v>
      </c>
      <c r="EE13" s="1">
        <f t="shared" si="31"/>
        <v>1.5225679400000001</v>
      </c>
      <c r="EF13" s="1">
        <f t="shared" si="31"/>
        <v>1.3263511099999998</v>
      </c>
      <c r="EH13" s="14">
        <f t="shared" si="32"/>
        <v>0</v>
      </c>
      <c r="EI13" s="14">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3"/>
        <v>0</v>
      </c>
      <c r="EY13" s="1">
        <f t="shared" si="33"/>
        <v>0</v>
      </c>
      <c r="EZ13" s="1">
        <f t="shared" si="33"/>
        <v>0</v>
      </c>
      <c r="FA13" s="1">
        <f t="shared" si="33"/>
        <v>0</v>
      </c>
      <c r="FB13" s="1">
        <f t="shared" si="33"/>
        <v>0</v>
      </c>
      <c r="FC13" s="1">
        <f t="shared" si="33"/>
        <v>0</v>
      </c>
      <c r="FD13" s="1">
        <f t="shared" si="33"/>
        <v>0</v>
      </c>
      <c r="FE13" s="1">
        <f t="shared" si="33"/>
        <v>0</v>
      </c>
      <c r="FG13" s="162">
        <f t="shared" si="34"/>
        <v>-0.47203373526362746</v>
      </c>
    </row>
    <row r="14" spans="1:163" ht="18" customHeight="1">
      <c r="A14" s="243" t="s">
        <v>65</v>
      </c>
      <c r="B14" s="246"/>
      <c r="C14" s="156">
        <f t="shared" si="5"/>
        <v>-0.33</v>
      </c>
      <c r="D14" s="198">
        <v>1</v>
      </c>
      <c r="E14" s="248">
        <f t="shared" si="6"/>
        <v>1.0142416430714007E-3</v>
      </c>
      <c r="F14" s="249">
        <f t="shared" si="7"/>
        <v>-1.773880648772419E-2</v>
      </c>
      <c r="G14" s="248">
        <f t="shared" si="8"/>
        <v>1.4474770608506438E-2</v>
      </c>
      <c r="H14" s="249">
        <f t="shared" si="9"/>
        <v>-1.3460528965435037E-2</v>
      </c>
      <c r="I14" s="248">
        <f t="shared" si="10"/>
        <v>0.1313464202130199</v>
      </c>
      <c r="J14" s="249">
        <f t="shared" si="11"/>
        <v>-0.20421449445124495</v>
      </c>
      <c r="K14" s="248">
        <f t="shared" si="12"/>
        <v>0.35330755238296896</v>
      </c>
      <c r="L14" s="249">
        <f t="shared" si="13"/>
        <v>-0.22196113216994906</v>
      </c>
      <c r="M14" s="250"/>
      <c r="N14" s="24">
        <v>-1</v>
      </c>
      <c r="O14" s="248">
        <f t="shared" si="35"/>
        <v>-9.3929900526217636E-2</v>
      </c>
      <c r="P14" s="251">
        <f t="shared" si="36"/>
        <v>-9.3929900526217636E-2</v>
      </c>
      <c r="Q14" s="248">
        <f t="shared" si="14"/>
        <v>9.522814799206647E-2</v>
      </c>
      <c r="R14" s="251">
        <f t="shared" si="37"/>
        <v>9.522814799206647E-2</v>
      </c>
      <c r="S14" s="250"/>
      <c r="T14" s="24">
        <v>-1</v>
      </c>
      <c r="U14" s="248">
        <f t="shared" si="15"/>
        <v>0.13723071358910444</v>
      </c>
      <c r="V14" s="252">
        <f t="shared" si="16"/>
        <v>0.13723071358910444</v>
      </c>
      <c r="W14" s="248">
        <f t="shared" si="38"/>
        <v>0.30833999308995508</v>
      </c>
      <c r="X14" s="252">
        <f t="shared" si="17"/>
        <v>0.30833999308995508</v>
      </c>
      <c r="Y14" s="248">
        <f t="shared" si="18"/>
        <v>0.15317559153175586</v>
      </c>
      <c r="Z14" s="252">
        <f t="shared" si="19"/>
        <v>0.15317559153175586</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4</v>
      </c>
      <c r="AR14" s="28">
        <f>VLOOKUP($A14,historia!$A$5:$CM$24,+HLOOKUP(AR$2,historia!$A$3:$EC$4,2,FALSE),FALSE)</f>
        <v>4</v>
      </c>
      <c r="AS14" s="28">
        <f>VLOOKUP($A14,historia!$A$5:$CM$24,+HLOOKUP(AS$2,historia!$A$3:$EC$4,2,FALSE),FALSE)</f>
        <v>4</v>
      </c>
      <c r="AT14" s="58">
        <f>VLOOKUP($A14,historia!$A$5:$CM$24,+HLOOKUP(AT$2,historia!$A$3:$EC$4,2,FALSE),FALSE)</f>
        <v>3</v>
      </c>
      <c r="AU14" s="58">
        <f>VLOOKUP($A14,historia!$A$5:$CM$24,+HLOOKUP(AU$2,historia!$A$3:$EC$4,2,FALSE),FALSE)</f>
        <v>3</v>
      </c>
      <c r="AV14" s="58">
        <f>VLOOKUP($A14,historia!$A$5:$CM$24,+HLOOKUP(AV$2,historia!$A$3:$EC$4,2,FALSE),FALSE)</f>
        <v>3</v>
      </c>
      <c r="AW14" s="58">
        <f>VLOOKUP($A14,historia!$A$5:$CM$24,+HLOOKUP(AW$2,historia!$A$3:$EC$4,2,FALSE),FALSE)</f>
        <v>3</v>
      </c>
      <c r="AX14" s="58">
        <f>VLOOKUP($A14,historia!$A$5:$CM$24,+HLOOKUP(AX$2,historia!$A$3:$EC$4,2,FALSE),FALSE)</f>
        <v>3</v>
      </c>
      <c r="AY14" s="58">
        <f>VLOOKUP($A14,historia!$A$5:$CM$24,+HLOOKUP(AY$2,historia!$A$3:$EC$4,2,FALSE),FALSE)</f>
        <v>3</v>
      </c>
      <c r="AZ14" s="58">
        <f>VLOOKUP($A14,historia!$A$5:$CM$24,+HLOOKUP(AZ$2,historia!$A$3:$EC$4,2,FALSE),FALSE)</f>
        <v>3</v>
      </c>
      <c r="BA14" s="58">
        <f>VLOOKUP($A14,historia!$A$5:$DG$24,+HLOOKUP(BA$2,historia!$A$3:$EC$4,2,FALSE),FALSE)</f>
        <v>3</v>
      </c>
      <c r="BB14" s="58"/>
      <c r="BC14" s="286">
        <v>3</v>
      </c>
      <c r="BD14" t="str">
        <f t="shared" si="20"/>
        <v>Leche</v>
      </c>
      <c r="BE14">
        <f>+datos!BN1</f>
        <v>66</v>
      </c>
      <c r="BF14" s="2" t="str">
        <f t="shared" si="4"/>
        <v>$/l</v>
      </c>
      <c r="BG14" s="2">
        <f t="shared" si="4"/>
        <v>473.74</v>
      </c>
      <c r="BH14" s="2">
        <f t="shared" si="4"/>
        <v>473.26</v>
      </c>
      <c r="BI14" s="2">
        <f t="shared" si="4"/>
        <v>418.74</v>
      </c>
      <c r="BK14">
        <f>+datos!DC1</f>
        <v>107</v>
      </c>
      <c r="BL14" s="2">
        <f t="shared" si="21"/>
        <v>11375.588366374526</v>
      </c>
      <c r="BM14" s="2">
        <f t="shared" si="21"/>
        <v>11213.278729002963</v>
      </c>
      <c r="BN14" s="2">
        <f t="shared" si="21"/>
        <v>8405.7672968305269</v>
      </c>
      <c r="BP14" s="1">
        <f>+datos!EN1</f>
        <v>144</v>
      </c>
      <c r="BQ14" s="1">
        <f t="shared" si="22"/>
        <v>2872225</v>
      </c>
      <c r="BR14" s="1">
        <f t="shared" si="22"/>
        <v>3169981</v>
      </c>
      <c r="BT14" s="1">
        <f>+datos!HP1</f>
        <v>224</v>
      </c>
      <c r="BU14" s="1">
        <f t="shared" si="23"/>
        <v>11394.148709999999</v>
      </c>
      <c r="BV14" s="1">
        <f t="shared" si="23"/>
        <v>10403.447656900922</v>
      </c>
      <c r="BX14" s="1">
        <f>+datos!KH1</f>
        <v>294</v>
      </c>
      <c r="BY14" s="1">
        <f t="shared" si="39"/>
        <v>1734.9767645500003</v>
      </c>
      <c r="BZ14" s="1">
        <f t="shared" si="40"/>
        <v>1525.61546555</v>
      </c>
      <c r="CB14" s="1">
        <f>+datos!LM1</f>
        <v>325</v>
      </c>
      <c r="CC14" s="2">
        <f t="shared" si="24"/>
        <v>26.430530550000004</v>
      </c>
      <c r="CD14" s="2">
        <f t="shared" si="25"/>
        <v>20.201576570000004</v>
      </c>
      <c r="CF14" s="1">
        <f>+datos!IN1</f>
        <v>248</v>
      </c>
      <c r="CG14" s="1">
        <f t="shared" si="26"/>
        <v>185.2</v>
      </c>
      <c r="CH14" s="1">
        <f t="shared" si="27"/>
        <v>160.6</v>
      </c>
      <c r="CJ14" s="1">
        <f t="shared" si="28"/>
        <v>166.18279023000005</v>
      </c>
      <c r="CK14" s="1">
        <f t="shared" si="28"/>
        <v>145.54293837</v>
      </c>
      <c r="CL14" s="1">
        <f t="shared" si="28"/>
        <v>161.52973046</v>
      </c>
      <c r="CM14" s="1">
        <f t="shared" si="28"/>
        <v>135.14119298</v>
      </c>
      <c r="CN14" s="1">
        <f t="shared" si="28"/>
        <v>121.87302321000003</v>
      </c>
      <c r="CO14" s="1">
        <f t="shared" si="28"/>
        <v>90.118424640000015</v>
      </c>
      <c r="CP14" s="1">
        <f t="shared" si="28"/>
        <v>158.22857195999995</v>
      </c>
      <c r="CQ14" s="1">
        <f t="shared" si="28"/>
        <v>133.12937443000001</v>
      </c>
      <c r="CR14" s="1">
        <f t="shared" si="28"/>
        <v>150.81206259999999</v>
      </c>
      <c r="CS14" s="1">
        <f t="shared" si="28"/>
        <v>173.78517034999999</v>
      </c>
      <c r="CT14" s="1">
        <f t="shared" si="28"/>
        <v>162.27196751000002</v>
      </c>
      <c r="CU14" s="1">
        <f t="shared" si="28"/>
        <v>136.36151781000004</v>
      </c>
      <c r="CV14" s="1">
        <f t="shared" si="28"/>
        <v>114.33182424</v>
      </c>
      <c r="CW14" s="1">
        <f t="shared" si="28"/>
        <v>131.64359017999999</v>
      </c>
      <c r="CX14" s="1">
        <f t="shared" si="28"/>
        <v>102.41564730000002</v>
      </c>
      <c r="CY14" s="1">
        <f t="shared" si="28"/>
        <v>113.57779348999999</v>
      </c>
      <c r="CZ14" s="1">
        <f t="shared" si="29"/>
        <v>118.3786056</v>
      </c>
      <c r="DA14" s="1">
        <f t="shared" si="29"/>
        <v>126.46519539000002</v>
      </c>
      <c r="DB14" s="1">
        <f t="shared" si="29"/>
        <v>140.50614890000003</v>
      </c>
      <c r="DC14" s="1">
        <f t="shared" si="29"/>
        <v>139.44218023000002</v>
      </c>
      <c r="DD14" s="1">
        <f t="shared" si="29"/>
        <v>153.04661877999999</v>
      </c>
      <c r="DE14" s="1">
        <f t="shared" si="29"/>
        <v>136.81239812999999</v>
      </c>
      <c r="DF14" s="1">
        <f t="shared" si="29"/>
        <v>134.16752365000002</v>
      </c>
      <c r="DG14" s="1">
        <f t="shared" si="29"/>
        <v>114.82793965999997</v>
      </c>
      <c r="DI14" s="1">
        <f t="shared" si="30"/>
        <v>1.95823569</v>
      </c>
      <c r="DJ14" s="1">
        <f t="shared" si="30"/>
        <v>2.3716850700000007</v>
      </c>
      <c r="DK14" s="1">
        <f t="shared" si="30"/>
        <v>3.2200157200000006</v>
      </c>
      <c r="DL14" s="1">
        <f t="shared" si="30"/>
        <v>2.3449699800000001</v>
      </c>
      <c r="DM14" s="1">
        <f t="shared" si="30"/>
        <v>1.8496573299999999</v>
      </c>
      <c r="DN14" s="1">
        <f t="shared" si="30"/>
        <v>2.6840408</v>
      </c>
      <c r="DO14" s="1">
        <f t="shared" si="30"/>
        <v>2.90139879</v>
      </c>
      <c r="DP14" s="1">
        <f t="shared" si="30"/>
        <v>2.9139955600000005</v>
      </c>
      <c r="DQ14" s="1">
        <f t="shared" si="30"/>
        <v>1.6254967600000001</v>
      </c>
      <c r="DR14" s="1">
        <f t="shared" si="30"/>
        <v>2.6289957100000003</v>
      </c>
      <c r="DS14" s="1">
        <f t="shared" si="30"/>
        <v>0.92402921999999987</v>
      </c>
      <c r="DT14" s="1">
        <f t="shared" si="30"/>
        <v>1.0080099199999999</v>
      </c>
      <c r="DU14" s="1">
        <f t="shared" si="30"/>
        <v>0.81005326000000022</v>
      </c>
      <c r="DV14" s="1">
        <f t="shared" si="30"/>
        <v>2.5429137699999997</v>
      </c>
      <c r="DW14" s="1">
        <f t="shared" si="30"/>
        <v>0.83472519000000012</v>
      </c>
      <c r="DX14" s="1">
        <f t="shared" si="30"/>
        <v>1.6658761100000001</v>
      </c>
      <c r="DY14" s="1">
        <f t="shared" si="31"/>
        <v>1.6724867599999997</v>
      </c>
      <c r="DZ14" s="1">
        <f t="shared" si="31"/>
        <v>1.92660527</v>
      </c>
      <c r="EA14" s="1">
        <f t="shared" si="31"/>
        <v>0.38991597</v>
      </c>
      <c r="EB14" s="1">
        <f t="shared" si="31"/>
        <v>3.0425877200000002</v>
      </c>
      <c r="EC14" s="1">
        <f t="shared" si="31"/>
        <v>1.8227840799999999</v>
      </c>
      <c r="ED14" s="1">
        <f t="shared" si="31"/>
        <v>2.1288867499999999</v>
      </c>
      <c r="EE14" s="1">
        <f t="shared" si="31"/>
        <v>2.0947676</v>
      </c>
      <c r="EF14" s="1">
        <f t="shared" si="31"/>
        <v>1.2699740900000001</v>
      </c>
      <c r="EH14" s="14">
        <f t="shared" si="32"/>
        <v>185.2</v>
      </c>
      <c r="EI14" s="14">
        <f t="shared" si="32"/>
        <v>188.7</v>
      </c>
      <c r="EJ14" s="1">
        <f t="shared" si="32"/>
        <v>191.3</v>
      </c>
      <c r="EK14" s="1">
        <f t="shared" si="32"/>
        <v>195.7</v>
      </c>
      <c r="EL14" s="1">
        <f t="shared" si="32"/>
        <v>194.1</v>
      </c>
      <c r="EM14" s="1">
        <f t="shared" si="32"/>
        <v>191</v>
      </c>
      <c r="EN14" s="1">
        <f t="shared" si="32"/>
        <v>181.1</v>
      </c>
      <c r="EO14" s="1">
        <f t="shared" si="32"/>
        <v>170.3</v>
      </c>
      <c r="EP14" s="1">
        <f t="shared" si="32"/>
        <v>170.9</v>
      </c>
      <c r="EQ14" s="1">
        <f t="shared" si="32"/>
        <v>168.7</v>
      </c>
      <c r="ER14" s="1">
        <f t="shared" si="32"/>
        <v>160.6</v>
      </c>
      <c r="ES14" s="1">
        <f t="shared" si="32"/>
        <v>160.6</v>
      </c>
      <c r="ET14" s="1">
        <f t="shared" si="32"/>
        <v>160.6</v>
      </c>
      <c r="EU14" s="1">
        <f t="shared" si="32"/>
        <v>160.6</v>
      </c>
      <c r="EV14" s="1">
        <f t="shared" si="32"/>
        <v>156.30000000000001</v>
      </c>
      <c r="EW14" s="1">
        <f t="shared" si="32"/>
        <v>155.80000000000001</v>
      </c>
      <c r="EX14" s="1">
        <f t="shared" si="33"/>
        <v>159.5</v>
      </c>
      <c r="EY14" s="1">
        <f t="shared" si="33"/>
        <v>170.8</v>
      </c>
      <c r="EZ14" s="1">
        <f t="shared" si="33"/>
        <v>170.8</v>
      </c>
      <c r="FA14" s="1">
        <f t="shared" si="33"/>
        <v>187.7</v>
      </c>
      <c r="FB14" s="1">
        <f t="shared" si="33"/>
        <v>196.8</v>
      </c>
      <c r="FC14" s="1">
        <f t="shared" si="33"/>
        <v>196.8</v>
      </c>
      <c r="FD14" s="1">
        <f t="shared" si="33"/>
        <v>188.6</v>
      </c>
      <c r="FE14" s="1">
        <f t="shared" si="33"/>
        <v>188.6</v>
      </c>
      <c r="FG14" s="162">
        <f t="shared" si="34"/>
        <v>-0.22196113216994906</v>
      </c>
    </row>
    <row r="15" spans="1:163" ht="18.75" customHeight="1">
      <c r="A15" s="244" t="s">
        <v>68</v>
      </c>
      <c r="B15" s="247"/>
      <c r="C15" s="228">
        <v>0</v>
      </c>
      <c r="D15" s="229">
        <v>-1</v>
      </c>
      <c r="E15" s="253">
        <f t="shared" si="6"/>
        <v>1.7878192534381165E-2</v>
      </c>
      <c r="F15" s="254">
        <f t="shared" si="7"/>
        <v>-8.7485559641442556E-4</v>
      </c>
      <c r="G15" s="253">
        <f t="shared" si="8"/>
        <v>1.835664316702923E-2</v>
      </c>
      <c r="H15" s="254">
        <f t="shared" si="9"/>
        <v>-4.784506326480642E-4</v>
      </c>
      <c r="I15" s="253">
        <f t="shared" si="10"/>
        <v>0.23415912339209166</v>
      </c>
      <c r="J15" s="254">
        <f t="shared" si="11"/>
        <v>-0.10140179127217319</v>
      </c>
      <c r="K15" s="253">
        <f t="shared" si="12"/>
        <v>0.3482773442310314</v>
      </c>
      <c r="L15" s="254">
        <f t="shared" si="13"/>
        <v>-0.11411822083893974</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0.30305239680279117</v>
      </c>
      <c r="X15" s="258">
        <f t="shared" si="17"/>
        <v>0.30305239680279117</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5</v>
      </c>
      <c r="AQ15" s="28">
        <f>VLOOKUP($A15,historia!$A$5:$CM$24,+HLOOKUP(AQ$2,historia!$A$3:$EC$4,2,FALSE),FALSE)</f>
        <v>5</v>
      </c>
      <c r="AR15" s="28">
        <f>VLOOKUP($A15,historia!$A$5:$CM$24,+HLOOKUP(AR$2,historia!$A$3:$EC$4,2,FALSE),FALSE)</f>
        <v>5</v>
      </c>
      <c r="AS15" s="28">
        <f>VLOOKUP($A15,historia!$A$5:$CM$24,+HLOOKUP(AS$2,historia!$A$3:$EC$4,2,FALSE),FALSE)</f>
        <v>5</v>
      </c>
      <c r="AT15" s="58">
        <f>VLOOKUP($A15,historia!$A$5:$CM$24,+HLOOKUP(AT$2,historia!$A$3:$EC$4,2,FALSE),FALSE)</f>
        <v>5</v>
      </c>
      <c r="AU15" s="58">
        <f>VLOOKUP($A15,historia!$A$5:$CM$24,+HLOOKUP(AU$2,historia!$A$3:$EC$4,2,FALSE),FALSE)</f>
        <v>5</v>
      </c>
      <c r="AV15" s="58">
        <f>VLOOKUP($A15,historia!$A$5:$CM$24,+HLOOKUP(AV$2,historia!$A$3:$EC$4,2,FALSE),FALSE)</f>
        <v>4</v>
      </c>
      <c r="AW15" s="58">
        <f>VLOOKUP($A15,historia!$A$5:$CM$24,+HLOOKUP(AW$2,historia!$A$3:$EC$4,2,FALSE),FALSE)</f>
        <v>4</v>
      </c>
      <c r="AX15" s="58">
        <f>VLOOKUP($A15,historia!$A$5:$CM$24,+HLOOKUP(AX$2,historia!$A$3:$EC$4,2,FALSE),FALSE)</f>
        <v>4</v>
      </c>
      <c r="AY15" s="58">
        <f>VLOOKUP($A15,historia!$A$5:$CM$24,+HLOOKUP(AY$2,historia!$A$3:$EC$4,2,FALSE),FALSE)</f>
        <v>4</v>
      </c>
      <c r="AZ15" s="58">
        <f>VLOOKUP($A15,historia!$A$5:$CM$24,+HLOOKUP(AZ$2,historia!$A$3:$EC$4,2,FALSE),FALSE)</f>
        <v>4</v>
      </c>
      <c r="BA15" s="58">
        <f>VLOOKUP($A15,historia!$A$5:$DG$24,+HLOOKUP(BA$2,historia!$A$3:$EC$4,2,FALSE),FALSE)</f>
        <v>3</v>
      </c>
      <c r="BB15" s="58"/>
      <c r="BC15" s="286">
        <v>3</v>
      </c>
      <c r="BD15" t="str">
        <f t="shared" si="20"/>
        <v>Mandioca</v>
      </c>
      <c r="BE15">
        <f>+datos!AW1</f>
        <v>49</v>
      </c>
      <c r="BF15" s="2" t="str">
        <f t="shared" si="4"/>
        <v>$/bolsa40kg</v>
      </c>
      <c r="BG15" s="2">
        <f t="shared" si="4"/>
        <v>11775</v>
      </c>
      <c r="BH15" s="2">
        <f t="shared" si="4"/>
        <v>11568.181818181818</v>
      </c>
      <c r="BI15" s="2">
        <f t="shared" si="4"/>
        <v>9540.9090909090901</v>
      </c>
      <c r="BK15">
        <f>+datos!CJ1</f>
        <v>88</v>
      </c>
      <c r="BL15" s="2">
        <f t="shared" si="21"/>
        <v>10382.546823080225</v>
      </c>
      <c r="BM15" s="2">
        <f t="shared" si="21"/>
        <v>10195.393620442359</v>
      </c>
      <c r="BN15" s="2">
        <f t="shared" si="21"/>
        <v>7700.6017104008715</v>
      </c>
      <c r="BP15" s="1">
        <f>+datos!EY1</f>
        <v>155</v>
      </c>
      <c r="BQ15" s="1">
        <f t="shared" si="22"/>
        <v>20031</v>
      </c>
      <c r="BR15" s="1">
        <f t="shared" si="22"/>
        <v>20031</v>
      </c>
      <c r="BT15" s="1">
        <f>+datos!GO1</f>
        <v>197</v>
      </c>
      <c r="BU15" s="1">
        <f t="shared" si="23"/>
        <v>201734</v>
      </c>
      <c r="BV15" s="1">
        <f t="shared" si="23"/>
        <v>201734</v>
      </c>
      <c r="BX15" s="1">
        <f>+datos!JP1</f>
        <v>276</v>
      </c>
      <c r="BY15" s="1">
        <f t="shared" si="39"/>
        <v>0</v>
      </c>
      <c r="BZ15" s="1">
        <f t="shared" si="40"/>
        <v>0</v>
      </c>
      <c r="CB15" s="1">
        <f>+datos!KU1</f>
        <v>307</v>
      </c>
      <c r="CC15" s="2">
        <f t="shared" si="24"/>
        <v>2.84076862</v>
      </c>
      <c r="CD15" s="2">
        <f t="shared" si="25"/>
        <v>2.18008779</v>
      </c>
      <c r="CF15" s="1">
        <f>+datos!IY1</f>
        <v>259</v>
      </c>
      <c r="CG15" s="1">
        <f t="shared" si="26"/>
        <v>1.88</v>
      </c>
      <c r="CH15" s="1">
        <f t="shared" si="27"/>
        <v>1.88</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9"/>
        <v>0</v>
      </c>
      <c r="DA15" s="1">
        <f t="shared" si="29"/>
        <v>0</v>
      </c>
      <c r="DB15" s="1">
        <f t="shared" si="29"/>
        <v>0</v>
      </c>
      <c r="DC15" s="1">
        <f t="shared" si="29"/>
        <v>0</v>
      </c>
      <c r="DD15" s="1">
        <f t="shared" si="29"/>
        <v>0</v>
      </c>
      <c r="DE15" s="1">
        <f t="shared" si="29"/>
        <v>0</v>
      </c>
      <c r="DF15" s="1">
        <f t="shared" si="29"/>
        <v>0</v>
      </c>
      <c r="DG15" s="1">
        <f t="shared" si="29"/>
        <v>0</v>
      </c>
      <c r="DI15" s="14">
        <f t="shared" si="30"/>
        <v>0.30456642</v>
      </c>
      <c r="DJ15" s="14">
        <f t="shared" si="30"/>
        <v>0.53543670999999993</v>
      </c>
      <c r="DK15" s="1">
        <f t="shared" si="30"/>
        <v>0.43177300000000002</v>
      </c>
      <c r="DL15" s="1">
        <f t="shared" si="30"/>
        <v>0.33740116000000003</v>
      </c>
      <c r="DM15" s="1">
        <f t="shared" si="30"/>
        <v>0.28762799999999999</v>
      </c>
      <c r="DN15" s="1">
        <f t="shared" si="30"/>
        <v>0.10344400999999999</v>
      </c>
      <c r="DO15" s="1">
        <f t="shared" si="30"/>
        <v>4.4833160000000004E-2</v>
      </c>
      <c r="DP15" s="1">
        <f t="shared" si="30"/>
        <v>0.14172798</v>
      </c>
      <c r="DQ15" s="1">
        <f t="shared" si="30"/>
        <v>7.4560410000000008E-2</v>
      </c>
      <c r="DR15" s="1">
        <f t="shared" si="30"/>
        <v>0.28059129999999999</v>
      </c>
      <c r="DS15" s="1">
        <f t="shared" si="30"/>
        <v>0.15169276000000001</v>
      </c>
      <c r="DT15" s="1">
        <f t="shared" si="30"/>
        <v>0.14711371000000001</v>
      </c>
      <c r="DU15" s="1">
        <f t="shared" si="30"/>
        <v>0.18175015000000003</v>
      </c>
      <c r="DV15" s="1">
        <f t="shared" si="30"/>
        <v>0.15569543999999999</v>
      </c>
      <c r="DW15" s="1">
        <f t="shared" si="30"/>
        <v>0.1712014</v>
      </c>
      <c r="DX15" s="1">
        <f t="shared" si="30"/>
        <v>0.12198517</v>
      </c>
      <c r="DY15" s="1">
        <f t="shared" si="31"/>
        <v>1.6812999999999999E-3</v>
      </c>
      <c r="DZ15" s="1">
        <f t="shared" si="31"/>
        <v>2.8195380000000003E-2</v>
      </c>
      <c r="EA15" s="1">
        <f t="shared" si="31"/>
        <v>4.9277770000000005E-2</v>
      </c>
      <c r="EB15" s="1">
        <f t="shared" si="31"/>
        <v>0.21358802999999996</v>
      </c>
      <c r="EC15" s="1">
        <f t="shared" si="31"/>
        <v>0.24099903000000003</v>
      </c>
      <c r="ED15" s="1">
        <f t="shared" si="31"/>
        <v>0.39667624000000001</v>
      </c>
      <c r="EE15" s="1">
        <f t="shared" si="31"/>
        <v>0.47948613000000001</v>
      </c>
      <c r="EF15" s="1">
        <f t="shared" si="31"/>
        <v>0.13955175</v>
      </c>
      <c r="EH15" s="14">
        <f t="shared" si="32"/>
        <v>1.88</v>
      </c>
      <c r="EI15" s="14">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3"/>
        <v>1.88</v>
      </c>
      <c r="EY15" s="1">
        <f t="shared" si="33"/>
        <v>1.88</v>
      </c>
      <c r="EZ15" s="1">
        <f t="shared" si="33"/>
        <v>1.88</v>
      </c>
      <c r="FA15" s="1">
        <f t="shared" si="33"/>
        <v>1.88</v>
      </c>
      <c r="FB15" s="1">
        <f t="shared" si="33"/>
        <v>1.88</v>
      </c>
      <c r="FC15" s="1">
        <f t="shared" si="33"/>
        <v>1.88</v>
      </c>
      <c r="FD15" s="1">
        <f t="shared" si="33"/>
        <v>1.88</v>
      </c>
      <c r="FE15" s="1">
        <f t="shared" si="33"/>
        <v>1.88</v>
      </c>
      <c r="FG15" s="162">
        <f t="shared" si="34"/>
        <v>-0.11411822083893974</v>
      </c>
    </row>
    <row r="16" spans="1:163" ht="18" customHeight="1">
      <c r="A16" s="243" t="s">
        <v>25</v>
      </c>
      <c r="B16" s="246"/>
      <c r="C16" s="156">
        <f t="shared" si="5"/>
        <v>-0.66</v>
      </c>
      <c r="D16" s="198">
        <v>-1</v>
      </c>
      <c r="E16" s="248">
        <f t="shared" si="6"/>
        <v>7.5961583770400409E-2</v>
      </c>
      <c r="F16" s="249">
        <f t="shared" si="7"/>
        <v>5.7208535639604818E-2</v>
      </c>
      <c r="G16" s="248">
        <f t="shared" si="8"/>
        <v>4.2181840306525498E-2</v>
      </c>
      <c r="H16" s="249">
        <f t="shared" si="9"/>
        <v>3.3779743463874912E-2</v>
      </c>
      <c r="I16" s="248">
        <f t="shared" si="10"/>
        <v>-0.11359748853747631</v>
      </c>
      <c r="J16" s="249">
        <f t="shared" si="11"/>
        <v>-0.44915840320174116</v>
      </c>
      <c r="K16" s="248">
        <f t="shared" si="12"/>
        <v>0.11854930102376526</v>
      </c>
      <c r="L16" s="249">
        <f t="shared" si="13"/>
        <v>-0.23214678956124157</v>
      </c>
      <c r="M16" s="250"/>
      <c r="N16" s="24">
        <v>1</v>
      </c>
      <c r="O16" s="248">
        <f t="shared" si="35"/>
        <v>0.25148262863454107</v>
      </c>
      <c r="P16" s="251">
        <f t="shared" si="36"/>
        <v>0.25148262863454107</v>
      </c>
      <c r="Q16" s="248">
        <f t="shared" si="14"/>
        <v>0.18097153276393052</v>
      </c>
      <c r="R16" s="251">
        <f t="shared" si="37"/>
        <v>0.18097153276393052</v>
      </c>
      <c r="S16" s="250"/>
      <c r="T16" s="24">
        <v>-2</v>
      </c>
      <c r="U16" s="248">
        <f t="shared" si="15"/>
        <v>0.25606268614612149</v>
      </c>
      <c r="V16" s="252">
        <f t="shared" si="16"/>
        <v>0.25606268614612149</v>
      </c>
      <c r="W16" s="248">
        <f>IFERROR(+CC16/CD16-1,"")</f>
        <v>-0.3399541906960829</v>
      </c>
      <c r="X16" s="258">
        <f t="shared" si="17"/>
        <v>-0.3399541906960829</v>
      </c>
      <c r="Y16" s="248">
        <f t="shared" si="18"/>
        <v>0.10778443113772451</v>
      </c>
      <c r="Z16" s="252">
        <f t="shared" si="19"/>
        <v>0.10778443113772451</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4</v>
      </c>
      <c r="AQ16" s="28">
        <f>VLOOKUP($A16,historia!$A$5:$CM$24,+HLOOKUP(AQ$2,historia!$A$3:$EC$4,2,FALSE),FALSE)</f>
        <v>4</v>
      </c>
      <c r="AR16" s="28">
        <f>VLOOKUP($A16,historia!$A$5:$CM$24,+HLOOKUP(AR$2,historia!$A$3:$EC$4,2,FALSE),FALSE)</f>
        <v>4</v>
      </c>
      <c r="AS16" s="28">
        <f>VLOOKUP($A16,historia!$A$5:$CM$24,+HLOOKUP(AS$2,historia!$A$3:$EC$4,2,FALSE),FALSE)</f>
        <v>4</v>
      </c>
      <c r="AT16" s="58">
        <f>VLOOKUP($A16,historia!$A$5:$CM$24,+HLOOKUP(AT$2,historia!$A$3:$EC$4,2,FALSE),FALSE)</f>
        <v>2</v>
      </c>
      <c r="AU16" s="58">
        <f>VLOOKUP($A16,historia!$A$5:$CM$24,+HLOOKUP(AU$2,historia!$A$3:$EC$4,2,FALSE),FALSE)</f>
        <v>2</v>
      </c>
      <c r="AV16" s="58">
        <f>VLOOKUP($A16,historia!$A$5:$CM$24,+HLOOKUP(AV$2,historia!$A$3:$EC$4,2,FALSE),FALSE)</f>
        <v>3</v>
      </c>
      <c r="AW16" s="58">
        <f>VLOOKUP($A16,historia!$A$5:$CM$24,+HLOOKUP(AW$2,historia!$A$3:$EC$4,2,FALSE),FALSE)</f>
        <v>3</v>
      </c>
      <c r="AX16" s="58">
        <f>VLOOKUP($A16,historia!$A$5:$CM$24,+HLOOKUP(AX$2,historia!$A$3:$EC$4,2,FALSE),FALSE)</f>
        <v>3</v>
      </c>
      <c r="AY16" s="58">
        <f>VLOOKUP($A16,historia!$A$5:$CM$24,+HLOOKUP(AY$2,historia!$A$3:$EC$4,2,FALSE),FALSE)</f>
        <v>3</v>
      </c>
      <c r="AZ16" s="58">
        <f>VLOOKUP($A16,historia!$A$5:$CM$24,+HLOOKUP(AZ$2,historia!$A$3:$EC$4,2,FALSE),FALSE)</f>
        <v>3</v>
      </c>
      <c r="BA16" s="58">
        <f>VLOOKUP($A16,historia!$A$5:$DG$24,+HLOOKUP(BA$2,historia!$A$3:$EC$4,2,FALSE),FALSE)</f>
        <v>3</v>
      </c>
      <c r="BB16" s="58"/>
      <c r="BC16" s="286">
        <v>3</v>
      </c>
      <c r="BD16" t="str">
        <f t="shared" si="20"/>
        <v>Maní</v>
      </c>
      <c r="BE16">
        <f>+datos!AF1</f>
        <v>32</v>
      </c>
      <c r="BF16" s="2" t="str">
        <f t="shared" si="4"/>
        <v>$/t</v>
      </c>
      <c r="BG16" s="2">
        <f t="shared" si="4"/>
        <v>748810.41570000001</v>
      </c>
      <c r="BH16" s="2">
        <f t="shared" si="4"/>
        <v>695945.30789473688</v>
      </c>
      <c r="BI16" s="2">
        <f t="shared" si="4"/>
        <v>844774.7</v>
      </c>
      <c r="BK16">
        <f>+datos!CH1</f>
        <v>86</v>
      </c>
      <c r="BL16" s="2">
        <f t="shared" si="21"/>
        <v>11319.032527081681</v>
      </c>
      <c r="BM16" s="2">
        <f t="shared" si="21"/>
        <v>10860.899786694172</v>
      </c>
      <c r="BN16" s="2">
        <f t="shared" si="21"/>
        <v>10119.386348658754</v>
      </c>
      <c r="BP16" s="1">
        <f>+datos!EB1</f>
        <v>132</v>
      </c>
      <c r="BQ16" s="1">
        <f t="shared" si="22"/>
        <v>521230</v>
      </c>
      <c r="BR16" s="1">
        <f t="shared" si="22"/>
        <v>416490</v>
      </c>
      <c r="BT16" s="1">
        <f>+datos!FW1</f>
        <v>179</v>
      </c>
      <c r="BU16" s="1">
        <f t="shared" si="23"/>
        <v>1895131</v>
      </c>
      <c r="BV16" s="1">
        <f t="shared" si="23"/>
        <v>1604722</v>
      </c>
      <c r="BX16" s="1">
        <f>+datos!JK1</f>
        <v>271</v>
      </c>
      <c r="BY16" s="1">
        <f t="shared" si="39"/>
        <v>1458.10158738</v>
      </c>
      <c r="BZ16" s="1">
        <f t="shared" si="40"/>
        <v>1160.8509698299999</v>
      </c>
      <c r="CB16" s="1">
        <f>+datos!KP1</f>
        <v>302</v>
      </c>
      <c r="CC16" s="2">
        <f t="shared" si="24"/>
        <v>1.9135510099999999</v>
      </c>
      <c r="CD16" s="2">
        <f t="shared" si="25"/>
        <v>2.8991184899999998</v>
      </c>
      <c r="CF16" s="1">
        <f>+datos!IJ1</f>
        <v>244</v>
      </c>
      <c r="CG16" s="1">
        <f t="shared" si="26"/>
        <v>2.3888080854826579</v>
      </c>
      <c r="CH16" s="1">
        <f t="shared" si="27"/>
        <v>2.1563835150032644</v>
      </c>
      <c r="CJ16" s="1">
        <f t="shared" si="28"/>
        <v>119.79773589000003</v>
      </c>
      <c r="CK16" s="1">
        <f t="shared" si="28"/>
        <v>108.38462631999997</v>
      </c>
      <c r="CL16" s="1">
        <f t="shared" si="28"/>
        <v>110.53778464999999</v>
      </c>
      <c r="CM16" s="1">
        <f t="shared" si="28"/>
        <v>97.139552130000013</v>
      </c>
      <c r="CN16" s="1">
        <f t="shared" si="28"/>
        <v>94.262180470000018</v>
      </c>
      <c r="CO16" s="1">
        <f t="shared" si="28"/>
        <v>104.16408064999997</v>
      </c>
      <c r="CP16" s="1">
        <f t="shared" si="28"/>
        <v>129.66034791999999</v>
      </c>
      <c r="CQ16" s="1">
        <f t="shared" si="28"/>
        <v>100.29183523999998</v>
      </c>
      <c r="CR16" s="1">
        <f t="shared" si="28"/>
        <v>142.99991008000001</v>
      </c>
      <c r="CS16" s="1">
        <f t="shared" si="28"/>
        <v>153.43391492999999</v>
      </c>
      <c r="CT16" s="1">
        <f t="shared" si="28"/>
        <v>142.09253510999997</v>
      </c>
      <c r="CU16" s="1">
        <f t="shared" si="28"/>
        <v>155.33708399000002</v>
      </c>
      <c r="CV16" s="1">
        <f t="shared" si="28"/>
        <v>156.99934678</v>
      </c>
      <c r="CW16" s="1">
        <f t="shared" si="28"/>
        <v>115.53726275000001</v>
      </c>
      <c r="CX16" s="1">
        <f t="shared" si="28"/>
        <v>98.487414479999984</v>
      </c>
      <c r="CY16" s="1">
        <f t="shared" si="28"/>
        <v>63.473924160000003</v>
      </c>
      <c r="CZ16" s="1">
        <f t="shared" si="29"/>
        <v>65.127016839999982</v>
      </c>
      <c r="DA16" s="1">
        <f t="shared" si="29"/>
        <v>70.784594500000011</v>
      </c>
      <c r="DB16" s="1">
        <f t="shared" si="29"/>
        <v>111.62267066999999</v>
      </c>
      <c r="DC16" s="1">
        <f t="shared" si="29"/>
        <v>100.80321882999999</v>
      </c>
      <c r="DD16" s="1">
        <f t="shared" si="29"/>
        <v>90.064767340000003</v>
      </c>
      <c r="DE16" s="1">
        <f t="shared" si="29"/>
        <v>96.183340330000021</v>
      </c>
      <c r="DF16" s="1">
        <f t="shared" si="29"/>
        <v>89.024842150000026</v>
      </c>
      <c r="DG16" s="1">
        <f t="shared" si="29"/>
        <v>102.74257099999998</v>
      </c>
      <c r="DI16" s="1">
        <f t="shared" si="30"/>
        <v>0.19844290000000001</v>
      </c>
      <c r="DJ16" s="1">
        <f t="shared" si="30"/>
        <v>0.14424532000000001</v>
      </c>
      <c r="DK16" s="1">
        <f t="shared" si="30"/>
        <v>5.4312239999999998E-2</v>
      </c>
      <c r="DL16" s="1">
        <f t="shared" si="30"/>
        <v>1.9420499999999999E-3</v>
      </c>
      <c r="DM16" s="1">
        <f t="shared" si="30"/>
        <v>1.0560452</v>
      </c>
      <c r="DN16" s="1">
        <f t="shared" si="30"/>
        <v>3.8992409999999998E-2</v>
      </c>
      <c r="DO16" s="1">
        <f t="shared" si="30"/>
        <v>0</v>
      </c>
      <c r="DP16" s="1">
        <f t="shared" si="30"/>
        <v>5.2225250000000001E-2</v>
      </c>
      <c r="DQ16" s="1">
        <f t="shared" si="30"/>
        <v>0.22862400000000002</v>
      </c>
      <c r="DR16" s="1">
        <f t="shared" si="30"/>
        <v>2.6527899999999999E-3</v>
      </c>
      <c r="DS16" s="1">
        <f t="shared" si="30"/>
        <v>1.6271E-3</v>
      </c>
      <c r="DT16" s="1">
        <f t="shared" si="30"/>
        <v>0.13444175</v>
      </c>
      <c r="DU16" s="1">
        <f t="shared" si="30"/>
        <v>4.2737620000000004E-2</v>
      </c>
      <c r="DV16" s="1">
        <f t="shared" si="30"/>
        <v>8.6628999999999998E-2</v>
      </c>
      <c r="DW16" s="1">
        <f t="shared" si="30"/>
        <v>8.4906640000000005E-2</v>
      </c>
      <c r="DX16" s="1">
        <f t="shared" si="30"/>
        <v>8.714181E-2</v>
      </c>
      <c r="DY16" s="1">
        <f t="shared" si="31"/>
        <v>0.111375</v>
      </c>
      <c r="DZ16" s="1">
        <f t="shared" si="31"/>
        <v>0.12514284000000001</v>
      </c>
      <c r="EA16" s="1">
        <f t="shared" si="31"/>
        <v>0.69674917999999986</v>
      </c>
      <c r="EB16" s="1">
        <f t="shared" si="31"/>
        <v>0.79684906</v>
      </c>
      <c r="EC16" s="1">
        <f t="shared" si="31"/>
        <v>0.24194792999999998</v>
      </c>
      <c r="ED16" s="1">
        <f t="shared" si="31"/>
        <v>0.11713932000000001</v>
      </c>
      <c r="EE16" s="1">
        <f t="shared" si="31"/>
        <v>0.45286999999999999</v>
      </c>
      <c r="EF16" s="1">
        <f t="shared" si="31"/>
        <v>5.563009E-2</v>
      </c>
      <c r="EH16" s="14">
        <f t="shared" si="32"/>
        <v>2.3888080854826579</v>
      </c>
      <c r="EI16" s="14">
        <f t="shared" si="32"/>
        <v>2.3888080854826579</v>
      </c>
      <c r="EJ16" s="1">
        <f t="shared" si="32"/>
        <v>2.3888080854826579</v>
      </c>
      <c r="EK16" s="1">
        <f t="shared" si="32"/>
        <v>2.3888080854826579</v>
      </c>
      <c r="EL16" s="1">
        <f t="shared" si="32"/>
        <v>2.3888080854826579</v>
      </c>
      <c r="EM16" s="1">
        <f t="shared" si="32"/>
        <v>2.1563835150032644</v>
      </c>
      <c r="EN16" s="1">
        <f t="shared" si="32"/>
        <v>2.1563835150032644</v>
      </c>
      <c r="EO16" s="1">
        <f t="shared" si="32"/>
        <v>2.1563835150032644</v>
      </c>
      <c r="EP16" s="1">
        <f t="shared" si="32"/>
        <v>2.1563835150032644</v>
      </c>
      <c r="EQ16" s="1">
        <f t="shared" si="32"/>
        <v>2.1563835150032644</v>
      </c>
      <c r="ER16" s="1">
        <f t="shared" si="32"/>
        <v>2.1563835150032644</v>
      </c>
      <c r="ES16" s="1">
        <f t="shared" si="32"/>
        <v>2.1563835150032644</v>
      </c>
      <c r="ET16" s="1">
        <f t="shared" si="32"/>
        <v>2.1563835150032644</v>
      </c>
      <c r="EU16" s="1">
        <f t="shared" si="32"/>
        <v>2.1563835150032644</v>
      </c>
      <c r="EV16" s="1">
        <f t="shared" si="32"/>
        <v>2.1563835150032644</v>
      </c>
      <c r="EW16" s="1">
        <f t="shared" si="32"/>
        <v>2.1563835150032644</v>
      </c>
      <c r="EX16" s="1">
        <f t="shared" si="33"/>
        <v>2.1563835150032644</v>
      </c>
      <c r="EY16" s="1">
        <f t="shared" si="33"/>
        <v>1.9885213252125911</v>
      </c>
      <c r="EZ16" s="1">
        <f t="shared" si="33"/>
        <v>1.9885213252125911</v>
      </c>
      <c r="FA16" s="1">
        <f t="shared" si="33"/>
        <v>1.9885213252125911</v>
      </c>
      <c r="FB16" s="1">
        <f t="shared" si="33"/>
        <v>1.9885213252125911</v>
      </c>
      <c r="FC16" s="1">
        <f t="shared" si="33"/>
        <v>1.9885213252125911</v>
      </c>
      <c r="FD16" s="1">
        <f t="shared" si="33"/>
        <v>1.9885213252125911</v>
      </c>
      <c r="FE16" s="1">
        <f t="shared" si="33"/>
        <v>1.9885213252125911</v>
      </c>
      <c r="FG16" s="162">
        <f t="shared" si="34"/>
        <v>-0.23214678956124157</v>
      </c>
    </row>
    <row r="17" spans="1:163" ht="18.75" customHeight="1">
      <c r="A17" s="244" t="s">
        <v>76</v>
      </c>
      <c r="B17" s="247"/>
      <c r="C17" s="228">
        <f t="shared" si="5"/>
        <v>-0.99</v>
      </c>
      <c r="D17" s="229">
        <v>-1</v>
      </c>
      <c r="E17" s="253">
        <f t="shared" si="6"/>
        <v>9.8650051921080895E-3</v>
      </c>
      <c r="F17" s="254">
        <f t="shared" si="7"/>
        <v>-8.8880429386875015E-3</v>
      </c>
      <c r="G17" s="253">
        <f t="shared" si="8"/>
        <v>1.5396427271393343E-2</v>
      </c>
      <c r="H17" s="254">
        <f t="shared" si="9"/>
        <v>-5.5314220792852531E-3</v>
      </c>
      <c r="I17" s="253">
        <f t="shared" si="10"/>
        <v>0.21108343711083433</v>
      </c>
      <c r="J17" s="254">
        <f t="shared" si="11"/>
        <v>-0.12447747755343053</v>
      </c>
      <c r="K17" s="253">
        <f t="shared" si="12"/>
        <v>0.35233941030953719</v>
      </c>
      <c r="L17" s="254">
        <f t="shared" si="13"/>
        <v>-0.14125597319870287</v>
      </c>
      <c r="M17" s="255"/>
      <c r="N17" s="256">
        <v>-1</v>
      </c>
      <c r="O17" s="253">
        <f>IFERROR(+BQ17/BR17-1,"")</f>
        <v>0.14285714285714279</v>
      </c>
      <c r="P17" s="257">
        <f t="shared" si="36"/>
        <v>0.14285714285714279</v>
      </c>
      <c r="Q17" s="253">
        <f t="shared" si="14"/>
        <v>8.2297934975540166E-2</v>
      </c>
      <c r="R17" s="257">
        <f t="shared" si="37"/>
        <v>8.2297934975540166E-2</v>
      </c>
      <c r="S17" s="255"/>
      <c r="T17" s="256">
        <v>-1</v>
      </c>
      <c r="U17" s="253">
        <f t="shared" si="15"/>
        <v>0.16314906341100954</v>
      </c>
      <c r="V17" s="258">
        <f t="shared" si="16"/>
        <v>0.16314906341100954</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3</v>
      </c>
      <c r="AU17" s="58">
        <f>VLOOKUP($A17,historia!$A$5:$CM$24,+HLOOKUP(AU$2,historia!$A$3:$EC$4,2,FALSE),FALSE)</f>
        <v>3</v>
      </c>
      <c r="AV17" s="58">
        <f>VLOOKUP($A17,historia!$A$5:$CM$24,+HLOOKUP(AV$2,historia!$A$3:$EC$4,2,FALSE),FALSE)</f>
        <v>3</v>
      </c>
      <c r="AW17" s="58">
        <f>VLOOKUP($A17,historia!$A$5:$CM$24,+HLOOKUP(AW$2,historia!$A$3:$EC$4,2,FALSE),FALSE)</f>
        <v>3</v>
      </c>
      <c r="AX17" s="58">
        <f>VLOOKUP($A17,historia!$A$5:$CM$24,+HLOOKUP(AX$2,historia!$A$3:$EC$4,2,FALSE),FALSE)</f>
        <v>3</v>
      </c>
      <c r="AY17" s="58">
        <f>VLOOKUP($A17,historia!$A$5:$CM$24,+HLOOKUP(AY$2,historia!$A$3:$EC$4,2,FALSE),FALSE)</f>
        <v>3</v>
      </c>
      <c r="AZ17" s="58">
        <f>VLOOKUP($A17,historia!$A$5:$CM$24,+HLOOKUP(AZ$2,historia!$A$3:$EC$4,2,FALSE),FALSE)</f>
        <v>3</v>
      </c>
      <c r="BA17" s="58">
        <f>VLOOKUP($A17,historia!$A$5:$DG$24,+HLOOKUP(BA$2,historia!$A$3:$EC$4,2,FALSE),FALSE)</f>
        <v>3</v>
      </c>
      <c r="BB17" s="58"/>
      <c r="BC17" s="286">
        <v>3</v>
      </c>
      <c r="BD17" t="str">
        <f t="shared" si="20"/>
        <v>Miel</v>
      </c>
      <c r="BE17">
        <f>+datos!BV1</f>
        <v>74</v>
      </c>
      <c r="BF17" s="2" t="str">
        <f t="shared" si="4"/>
        <v>$/kg</v>
      </c>
      <c r="BG17" s="2">
        <f t="shared" si="4"/>
        <v>1945</v>
      </c>
      <c r="BH17" s="2">
        <f t="shared" si="4"/>
        <v>1926</v>
      </c>
      <c r="BI17" s="2">
        <f t="shared" si="4"/>
        <v>1606</v>
      </c>
      <c r="BK17">
        <f>+datos!DH1</f>
        <v>112</v>
      </c>
      <c r="BL17" s="2">
        <f t="shared" si="21"/>
        <v>11152.391831199298</v>
      </c>
      <c r="BM17" s="2">
        <f t="shared" si="21"/>
        <v>10983.288429690827</v>
      </c>
      <c r="BN17" s="2">
        <f t="shared" si="21"/>
        <v>8246.7402385667556</v>
      </c>
      <c r="BP17" s="1">
        <f>+datos!EQ1</f>
        <v>147</v>
      </c>
      <c r="BQ17" s="1">
        <f t="shared" si="22"/>
        <v>4000000</v>
      </c>
      <c r="BR17" s="1">
        <f t="shared" si="22"/>
        <v>3500000</v>
      </c>
      <c r="BT17" s="1">
        <f>+datos!GP1</f>
        <v>198</v>
      </c>
      <c r="BU17" s="1">
        <f t="shared" si="23"/>
        <v>75000</v>
      </c>
      <c r="BV17" s="1">
        <f t="shared" si="23"/>
        <v>69297</v>
      </c>
      <c r="BX17" s="1">
        <f>+datos!KE1</f>
        <v>291</v>
      </c>
      <c r="BY17" s="1">
        <f t="shared" si="39"/>
        <v>233.74015857000003</v>
      </c>
      <c r="BZ17" s="1">
        <f t="shared" si="40"/>
        <v>200.95460326000003</v>
      </c>
      <c r="CB17" s="1">
        <f>+datos!LJ1</f>
        <v>322</v>
      </c>
      <c r="CC17" s="2">
        <f t="shared" si="24"/>
        <v>4.5633509999999995E-2</v>
      </c>
      <c r="CD17" s="2">
        <f>+SUM(DU17:EF17)</f>
        <v>9.3139300000000008E-2</v>
      </c>
      <c r="CF17" s="1">
        <f>+datos!IZ1</f>
        <v>260</v>
      </c>
      <c r="CG17" s="2">
        <f t="shared" si="26"/>
        <v>0.3</v>
      </c>
      <c r="CH17" s="2">
        <f t="shared" si="27"/>
        <v>0.3</v>
      </c>
      <c r="CJ17" s="1">
        <f t="shared" si="28"/>
        <v>20.973477770000002</v>
      </c>
      <c r="CK17" s="1">
        <f t="shared" si="28"/>
        <v>25.565397789999999</v>
      </c>
      <c r="CL17" s="1">
        <f t="shared" si="28"/>
        <v>22.120083830000002</v>
      </c>
      <c r="CM17" s="1">
        <f t="shared" si="28"/>
        <v>25.223589140000001</v>
      </c>
      <c r="CN17" s="1">
        <f t="shared" si="28"/>
        <v>23.185079629999997</v>
      </c>
      <c r="CO17" s="1">
        <f t="shared" si="28"/>
        <v>18.014525360000007</v>
      </c>
      <c r="CP17" s="1">
        <f t="shared" si="28"/>
        <v>15.906782769999998</v>
      </c>
      <c r="CQ17" s="1">
        <f t="shared" si="28"/>
        <v>9.6274282100000015</v>
      </c>
      <c r="CR17" s="1">
        <f t="shared" si="28"/>
        <v>12.184475789999999</v>
      </c>
      <c r="CS17" s="1">
        <f t="shared" si="28"/>
        <v>14.349162859999998</v>
      </c>
      <c r="CT17" s="1">
        <f t="shared" si="28"/>
        <v>24.378519029999993</v>
      </c>
      <c r="CU17" s="1">
        <f t="shared" si="28"/>
        <v>22.211636389999995</v>
      </c>
      <c r="CV17" s="1">
        <f t="shared" si="28"/>
        <v>18.934177090000006</v>
      </c>
      <c r="CW17" s="1">
        <f t="shared" si="28"/>
        <v>18.049853030000005</v>
      </c>
      <c r="CX17" s="1">
        <f t="shared" si="28"/>
        <v>20.702965450000001</v>
      </c>
      <c r="CY17" s="1">
        <f t="shared" si="28"/>
        <v>19.199801710000003</v>
      </c>
      <c r="CZ17" s="1">
        <f t="shared" si="29"/>
        <v>16.174522229999997</v>
      </c>
      <c r="DA17" s="1">
        <f t="shared" si="29"/>
        <v>22.082734950000003</v>
      </c>
      <c r="DB17" s="1">
        <f t="shared" si="29"/>
        <v>13.392344960000001</v>
      </c>
      <c r="DC17" s="1">
        <f t="shared" si="29"/>
        <v>10.971998660000001</v>
      </c>
      <c r="DD17" s="1">
        <f t="shared" si="29"/>
        <v>12.805239539999999</v>
      </c>
      <c r="DE17" s="1">
        <f t="shared" si="29"/>
        <v>13.943876809999997</v>
      </c>
      <c r="DF17" s="1">
        <f t="shared" si="29"/>
        <v>17.891480939999997</v>
      </c>
      <c r="DG17" s="1">
        <f t="shared" si="29"/>
        <v>16.805607889999997</v>
      </c>
      <c r="DI17" s="1">
        <f t="shared" si="30"/>
        <v>4.0170669999999999E-2</v>
      </c>
      <c r="DJ17" s="1">
        <f t="shared" si="30"/>
        <v>0</v>
      </c>
      <c r="DK17" s="1">
        <f t="shared" si="30"/>
        <v>0</v>
      </c>
      <c r="DL17" s="1">
        <f t="shared" si="30"/>
        <v>1.5264E-3</v>
      </c>
      <c r="DM17" s="1">
        <f t="shared" si="30"/>
        <v>0</v>
      </c>
      <c r="DN17" s="1">
        <f t="shared" si="30"/>
        <v>0</v>
      </c>
      <c r="DO17" s="1">
        <f t="shared" si="30"/>
        <v>3.5298E-3</v>
      </c>
      <c r="DP17" s="1">
        <f t="shared" si="30"/>
        <v>0</v>
      </c>
      <c r="DQ17" s="1">
        <f t="shared" si="30"/>
        <v>0</v>
      </c>
      <c r="DR17" s="1">
        <f t="shared" si="30"/>
        <v>0</v>
      </c>
      <c r="DS17" s="1">
        <f t="shared" si="30"/>
        <v>0</v>
      </c>
      <c r="DT17" s="1">
        <f t="shared" si="30"/>
        <v>4.0664E-4</v>
      </c>
      <c r="DU17" s="1">
        <f t="shared" si="30"/>
        <v>0</v>
      </c>
      <c r="DV17" s="1">
        <f t="shared" si="30"/>
        <v>0</v>
      </c>
      <c r="DW17" s="1">
        <f t="shared" si="30"/>
        <v>0</v>
      </c>
      <c r="DX17" s="1">
        <f t="shared" si="30"/>
        <v>0</v>
      </c>
      <c r="DY17" s="1">
        <f t="shared" si="31"/>
        <v>0</v>
      </c>
      <c r="DZ17" s="1">
        <f t="shared" si="31"/>
        <v>5.2539300000000004E-2</v>
      </c>
      <c r="EA17" s="1">
        <f t="shared" si="31"/>
        <v>0</v>
      </c>
      <c r="EB17" s="1">
        <f t="shared" si="31"/>
        <v>0</v>
      </c>
      <c r="EC17" s="1">
        <f t="shared" si="31"/>
        <v>4.0599999999999997E-2</v>
      </c>
      <c r="ED17" s="1">
        <f t="shared" si="31"/>
        <v>0</v>
      </c>
      <c r="EE17" s="1">
        <f t="shared" si="31"/>
        <v>0</v>
      </c>
      <c r="EF17" s="1">
        <f t="shared" si="31"/>
        <v>0</v>
      </c>
      <c r="EH17" s="14">
        <f t="shared" si="32"/>
        <v>0.3</v>
      </c>
      <c r="EI17" s="14">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3"/>
        <v>0.3</v>
      </c>
      <c r="EY17" s="1">
        <f t="shared" si="33"/>
        <v>0.3</v>
      </c>
      <c r="EZ17" s="1">
        <f t="shared" si="33"/>
        <v>0.3</v>
      </c>
      <c r="FA17" s="1">
        <f t="shared" si="33"/>
        <v>0.3</v>
      </c>
      <c r="FB17" s="1">
        <f t="shared" si="33"/>
        <v>0.3</v>
      </c>
      <c r="FC17" s="1">
        <f t="shared" si="33"/>
        <v>0.3</v>
      </c>
      <c r="FD17" s="1">
        <f t="shared" si="33"/>
        <v>0.3</v>
      </c>
      <c r="FE17" s="1">
        <f t="shared" si="33"/>
        <v>0.3</v>
      </c>
      <c r="FG17" s="162">
        <f t="shared" si="34"/>
        <v>-0.14125597319870287</v>
      </c>
    </row>
    <row r="18" spans="1:163" ht="18.75" customHeight="1">
      <c r="A18" s="243" t="s">
        <v>222</v>
      </c>
      <c r="B18" s="246"/>
      <c r="C18" s="156">
        <f t="shared" si="5"/>
        <v>-0.33</v>
      </c>
      <c r="D18" s="198">
        <v>1</v>
      </c>
      <c r="E18" s="248">
        <f t="shared" si="6"/>
        <v>4.5791926798566251E-3</v>
      </c>
      <c r="F18" s="249">
        <f t="shared" si="7"/>
        <v>-1.4173855450938966E-2</v>
      </c>
      <c r="G18" s="248">
        <f t="shared" si="8"/>
        <v>2.3754447255659228E-2</v>
      </c>
      <c r="H18" s="249">
        <f t="shared" si="9"/>
        <v>-1.9175254575802603E-2</v>
      </c>
      <c r="I18" s="253">
        <f t="shared" si="10"/>
        <v>0.43484736537535862</v>
      </c>
      <c r="J18" s="254">
        <f t="shared" si="11"/>
        <v>9.9286450711093766E-2</v>
      </c>
      <c r="K18" s="248">
        <f t="shared" si="12"/>
        <v>0.38280936019779155</v>
      </c>
      <c r="L18" s="249">
        <f t="shared" si="13"/>
        <v>5.203800517756707E-2</v>
      </c>
      <c r="M18" s="250"/>
      <c r="N18" s="24">
        <v>-1</v>
      </c>
      <c r="O18" s="248">
        <f t="shared" si="35"/>
        <v>-3.8058080335949818E-2</v>
      </c>
      <c r="P18" s="251">
        <f t="shared" si="36"/>
        <v>-3.8058080335949818E-2</v>
      </c>
      <c r="Q18" s="248">
        <f t="shared" si="14"/>
        <v>-8.4119543760165505E-2</v>
      </c>
      <c r="R18" s="251">
        <f t="shared" si="37"/>
        <v>-8.4119543760165505E-2</v>
      </c>
      <c r="S18" s="250"/>
      <c r="T18" s="24">
        <v>-1</v>
      </c>
      <c r="U18" s="248">
        <f t="shared" si="15"/>
        <v>0.19104899012852927</v>
      </c>
      <c r="V18" s="252">
        <f t="shared" si="16"/>
        <v>0.19104899012852927</v>
      </c>
      <c r="W18" s="248">
        <f t="shared" si="38"/>
        <v>-0.47292798725603102</v>
      </c>
      <c r="X18" s="252">
        <f t="shared" si="17"/>
        <v>-0.47292798725603102</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4</v>
      </c>
      <c r="AQ18" s="28">
        <f>VLOOKUP($A18,historia!$A$5:$CM$24,+HLOOKUP(AQ$2,historia!$A$3:$EC$4,2,FALSE),FALSE)</f>
        <v>4</v>
      </c>
      <c r="AR18" s="28">
        <f>VLOOKUP($A18,historia!$A$5:$CM$24,+HLOOKUP(AR$2,historia!$A$3:$EC$4,2,FALSE),FALSE)</f>
        <v>4</v>
      </c>
      <c r="AS18" s="28">
        <f>VLOOKUP($A18,historia!$A$5:$CM$24,+HLOOKUP(AS$2,historia!$A$3:$EC$4,2,FALSE),FALSE)</f>
        <v>4</v>
      </c>
      <c r="AT18" s="58">
        <f>VLOOKUP($A18,historia!$A$5:$CM$24,+HLOOKUP(AT$2,historia!$A$3:$EC$4,2,FALSE),FALSE)</f>
        <v>3</v>
      </c>
      <c r="AU18" s="58">
        <f>VLOOKUP($A18,historia!$A$5:$CM$24,+HLOOKUP(AU$2,historia!$A$3:$EC$4,2,FALSE),FALSE)</f>
        <v>2</v>
      </c>
      <c r="AV18" s="58">
        <f>VLOOKUP($A18,historia!$A$5:$CM$24,+HLOOKUP(AV$2,historia!$A$3:$EC$4,2,FALSE),FALSE)</f>
        <v>2</v>
      </c>
      <c r="AW18" s="58">
        <f>VLOOKUP($A18,historia!$A$5:$CM$24,+HLOOKUP(AW$2,historia!$A$3:$EC$4,2,FALSE),FALSE)</f>
        <v>2</v>
      </c>
      <c r="AX18" s="58">
        <f>VLOOKUP($A18,historia!$A$5:$CM$24,+HLOOKUP(AX$2,historia!$A$3:$EC$4,2,FALSE),FALSE)</f>
        <v>2</v>
      </c>
      <c r="AY18" s="58">
        <f>VLOOKUP($A18,historia!$A$5:$CM$24,+HLOOKUP(AY$2,historia!$A$3:$EC$4,2,FALSE),FALSE)</f>
        <v>1</v>
      </c>
      <c r="AZ18" s="58">
        <f>VLOOKUP($A18,historia!$A$5:$CM$24,+HLOOKUP(AZ$2,historia!$A$3:$EC$4,2,FALSE),FALSE)</f>
        <v>1</v>
      </c>
      <c r="BA18" s="58">
        <f>VLOOKUP($A18,historia!$A$5:$DG$24,+HLOOKUP(BA$2,historia!$A$3:$EC$4,2,FALSE),FALSE)</f>
        <v>2</v>
      </c>
      <c r="BB18" s="58"/>
      <c r="BC18" s="286">
        <v>2</v>
      </c>
      <c r="BD18" t="str">
        <f t="shared" si="20"/>
        <v>Ovino</v>
      </c>
      <c r="BE18">
        <f>+datos!BU1</f>
        <v>73</v>
      </c>
      <c r="BF18" s="2" t="str">
        <f t="shared" si="4"/>
        <v>$/kg</v>
      </c>
      <c r="BG18" s="2">
        <f t="shared" si="4"/>
        <v>83779.41</v>
      </c>
      <c r="BH18" s="2">
        <f t="shared" si="4"/>
        <v>83397.516701999994</v>
      </c>
      <c r="BI18" s="2">
        <f t="shared" si="4"/>
        <v>58389.074699999997</v>
      </c>
      <c r="BK18">
        <f>+datos!DI1</f>
        <v>113</v>
      </c>
      <c r="BL18" s="2">
        <f t="shared" si="21"/>
        <v>11340.985328453446</v>
      </c>
      <c r="BM18" s="2">
        <f t="shared" si="21"/>
        <v>11077.837423666198</v>
      </c>
      <c r="BN18" s="2">
        <f t="shared" si="21"/>
        <v>8201.4091420608238</v>
      </c>
      <c r="BP18" s="1">
        <f>+datos!EL1</f>
        <v>142</v>
      </c>
      <c r="BQ18" s="1">
        <f t="shared" si="22"/>
        <v>11967429</v>
      </c>
      <c r="BR18" s="1">
        <f t="shared" si="22"/>
        <v>12440906</v>
      </c>
      <c r="BT18" s="1">
        <f>+datos!GS1</f>
        <v>201</v>
      </c>
      <c r="BU18" s="1">
        <f t="shared" si="23"/>
        <v>31776.39</v>
      </c>
      <c r="BV18" s="1">
        <f t="shared" si="23"/>
        <v>34694.910000000003</v>
      </c>
      <c r="BX18" s="1">
        <f>+datos!KI1</f>
        <v>295</v>
      </c>
      <c r="BY18" s="1">
        <f t="shared" si="39"/>
        <v>228.68956721999996</v>
      </c>
      <c r="BZ18" s="1">
        <f t="shared" si="40"/>
        <v>192.00685204000001</v>
      </c>
      <c r="CB18" s="1">
        <f>+datos!LN1</f>
        <v>326</v>
      </c>
      <c r="CC18" s="2">
        <f t="shared" si="24"/>
        <v>2.2065742999999998</v>
      </c>
      <c r="CD18" s="2">
        <f t="shared" si="25"/>
        <v>4.1864759400000002</v>
      </c>
      <c r="CF18" s="1">
        <f>+datos!JA1</f>
        <v>261</v>
      </c>
      <c r="CG18" s="1">
        <f t="shared" si="26"/>
        <v>3555</v>
      </c>
      <c r="CH18" s="1">
        <f t="shared" si="27"/>
        <v>2813</v>
      </c>
      <c r="CJ18" s="1">
        <f t="shared" si="28"/>
        <v>17.8919189</v>
      </c>
      <c r="CK18" s="1">
        <f t="shared" si="28"/>
        <v>19.636014689999996</v>
      </c>
      <c r="CL18" s="1">
        <f t="shared" si="28"/>
        <v>18.748166940000001</v>
      </c>
      <c r="CM18" s="1">
        <f t="shared" si="28"/>
        <v>21.131437869999999</v>
      </c>
      <c r="CN18" s="1">
        <f t="shared" si="28"/>
        <v>23.746863359999999</v>
      </c>
      <c r="CO18" s="1">
        <f t="shared" si="28"/>
        <v>18.662799830000001</v>
      </c>
      <c r="CP18" s="1">
        <f t="shared" si="28"/>
        <v>31.610464650000004</v>
      </c>
      <c r="CQ18" s="1">
        <f t="shared" si="28"/>
        <v>14.881609229999999</v>
      </c>
      <c r="CR18" s="1">
        <f t="shared" si="28"/>
        <v>18.538380959999998</v>
      </c>
      <c r="CS18" s="1">
        <f t="shared" si="28"/>
        <v>15.79353798</v>
      </c>
      <c r="CT18" s="1">
        <f t="shared" si="28"/>
        <v>15.390557059999999</v>
      </c>
      <c r="CU18" s="1">
        <f t="shared" si="28"/>
        <v>12.657815750000001</v>
      </c>
      <c r="CV18" s="1">
        <f t="shared" si="28"/>
        <v>13.430479930000001</v>
      </c>
      <c r="CW18" s="1">
        <f t="shared" si="28"/>
        <v>15.60716012</v>
      </c>
      <c r="CX18" s="1">
        <f t="shared" si="28"/>
        <v>19.03918719</v>
      </c>
      <c r="CY18" s="1">
        <f t="shared" si="28"/>
        <v>17.774232269999999</v>
      </c>
      <c r="CZ18" s="1">
        <f t="shared" si="29"/>
        <v>22.502102959999998</v>
      </c>
      <c r="DA18" s="1">
        <f t="shared" si="29"/>
        <v>22.437193859999997</v>
      </c>
      <c r="DB18" s="1">
        <f t="shared" si="29"/>
        <v>15.322430800000003</v>
      </c>
      <c r="DC18" s="1">
        <f t="shared" si="29"/>
        <v>16.644595240000001</v>
      </c>
      <c r="DD18" s="1">
        <f t="shared" si="29"/>
        <v>15.83663735</v>
      </c>
      <c r="DE18" s="1">
        <f t="shared" si="29"/>
        <v>13.412348609999999</v>
      </c>
      <c r="DF18" s="1">
        <f t="shared" si="29"/>
        <v>9.5091132299999988</v>
      </c>
      <c r="DG18" s="1">
        <f t="shared" si="29"/>
        <v>10.49137048</v>
      </c>
      <c r="DI18" s="1">
        <f t="shared" si="30"/>
        <v>6.2847730000000004E-2</v>
      </c>
      <c r="DJ18" s="1">
        <f t="shared" si="30"/>
        <v>7.1441070000000009E-2</v>
      </c>
      <c r="DK18" s="1">
        <f t="shared" si="30"/>
        <v>0.19937177999999997</v>
      </c>
      <c r="DL18" s="1">
        <f t="shared" si="30"/>
        <v>0.18211829000000002</v>
      </c>
      <c r="DM18" s="1">
        <f t="shared" si="30"/>
        <v>0.19639201000000001</v>
      </c>
      <c r="DN18" s="1">
        <f t="shared" si="30"/>
        <v>0.15047392000000001</v>
      </c>
      <c r="DO18" s="1">
        <f t="shared" si="30"/>
        <v>0.19393855000000002</v>
      </c>
      <c r="DP18" s="1">
        <f t="shared" si="30"/>
        <v>0.16347327</v>
      </c>
      <c r="DQ18" s="1">
        <f t="shared" si="30"/>
        <v>0.18164933</v>
      </c>
      <c r="DR18" s="1">
        <f t="shared" si="30"/>
        <v>0.25055533999999996</v>
      </c>
      <c r="DS18" s="1">
        <f t="shared" si="30"/>
        <v>0.29342396000000004</v>
      </c>
      <c r="DT18" s="1">
        <f t="shared" si="30"/>
        <v>0.26088905000000001</v>
      </c>
      <c r="DU18" s="1">
        <f t="shared" si="30"/>
        <v>0.18624962</v>
      </c>
      <c r="DV18" s="1">
        <f t="shared" si="30"/>
        <v>0.1577527</v>
      </c>
      <c r="DW18" s="1">
        <f t="shared" si="30"/>
        <v>0.24821200999999998</v>
      </c>
      <c r="DX18" s="1">
        <f t="shared" si="30"/>
        <v>0.13589592</v>
      </c>
      <c r="DY18" s="1">
        <f t="shared" si="31"/>
        <v>0.23010199000000001</v>
      </c>
      <c r="DZ18" s="1">
        <f t="shared" si="31"/>
        <v>4.8750000000000002E-2</v>
      </c>
      <c r="EA18" s="1">
        <f t="shared" si="31"/>
        <v>0.31075020000000003</v>
      </c>
      <c r="EB18" s="1">
        <f t="shared" si="31"/>
        <v>0.90541722000000002</v>
      </c>
      <c r="EC18" s="1">
        <f t="shared" si="31"/>
        <v>0.34283965</v>
      </c>
      <c r="ED18" s="1">
        <f t="shared" si="31"/>
        <v>0.74167351000000015</v>
      </c>
      <c r="EE18" s="1">
        <f t="shared" si="31"/>
        <v>0.58632921999999998</v>
      </c>
      <c r="EF18" s="1">
        <f t="shared" si="31"/>
        <v>0.29250390000000004</v>
      </c>
      <c r="EH18" s="14">
        <f t="shared" si="32"/>
        <v>3555</v>
      </c>
      <c r="EI18" s="14">
        <f t="shared" si="32"/>
        <v>3555</v>
      </c>
      <c r="EJ18" s="1">
        <f t="shared" si="32"/>
        <v>3555</v>
      </c>
      <c r="EK18" s="1">
        <f t="shared" si="32"/>
        <v>3735</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3"/>
        <v>2813</v>
      </c>
      <c r="EY18" s="1">
        <f t="shared" si="33"/>
        <v>2813</v>
      </c>
      <c r="EZ18" s="1">
        <f t="shared" si="33"/>
        <v>2813</v>
      </c>
      <c r="FA18" s="1">
        <f t="shared" si="33"/>
        <v>2813</v>
      </c>
      <c r="FB18" s="1">
        <f t="shared" si="33"/>
        <v>2813</v>
      </c>
      <c r="FC18" s="1">
        <f t="shared" si="33"/>
        <v>2813</v>
      </c>
      <c r="FD18" s="1">
        <f t="shared" si="33"/>
        <v>2813</v>
      </c>
      <c r="FE18" s="1">
        <f t="shared" si="33"/>
        <v>2813</v>
      </c>
      <c r="FG18" s="162">
        <f t="shared" si="34"/>
        <v>5.203800517756707E-2</v>
      </c>
    </row>
    <row r="19" spans="1:163" ht="18.75" customHeight="1">
      <c r="A19" s="244" t="s">
        <v>66</v>
      </c>
      <c r="B19" s="247"/>
      <c r="C19" s="228">
        <f t="shared" si="5"/>
        <v>0</v>
      </c>
      <c r="D19" s="229">
        <v>-1</v>
      </c>
      <c r="E19" s="477">
        <f t="shared" si="6"/>
        <v>-0.24361670389801271</v>
      </c>
      <c r="F19" s="254">
        <f t="shared" si="7"/>
        <v>-0.2623697520288083</v>
      </c>
      <c r="G19" s="253">
        <f t="shared" si="8"/>
        <v>-1.4993791320316752E-2</v>
      </c>
      <c r="H19" s="254">
        <f t="shared" si="9"/>
        <v>-0.22862291257769596</v>
      </c>
      <c r="I19" s="253">
        <f t="shared" si="10"/>
        <v>-0.61850702912674205</v>
      </c>
      <c r="J19" s="254">
        <f t="shared" si="11"/>
        <v>-0.9540679437910069</v>
      </c>
      <c r="K19" s="253">
        <f t="shared" si="12"/>
        <v>0.10785830667863205</v>
      </c>
      <c r="L19" s="254">
        <f t="shared" si="13"/>
        <v>-0.7263653358053741</v>
      </c>
      <c r="M19" s="255"/>
      <c r="N19" s="256">
        <v>0</v>
      </c>
      <c r="O19" s="253">
        <f t="shared" si="35"/>
        <v>9.6567571449088119E-2</v>
      </c>
      <c r="P19" s="257">
        <f t="shared" si="36"/>
        <v>9.6567571449088119E-2</v>
      </c>
      <c r="Q19" s="253">
        <f t="shared" si="14"/>
        <v>0</v>
      </c>
      <c r="R19" s="257">
        <v>-0.01</v>
      </c>
      <c r="S19" s="255"/>
      <c r="T19" s="256">
        <v>1</v>
      </c>
      <c r="U19" s="253">
        <f t="shared" si="15"/>
        <v>0.16361974108429922</v>
      </c>
      <c r="V19" s="258">
        <f t="shared" si="16"/>
        <v>0.16361974108429922</v>
      </c>
      <c r="W19" s="253">
        <f t="shared" si="38"/>
        <v>-0.31956137268227536</v>
      </c>
      <c r="X19" s="258">
        <f t="shared" si="17"/>
        <v>-0.31956137268227536</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3</v>
      </c>
      <c r="AQ19" s="28">
        <f>VLOOKUP($A19,historia!$A$5:$CM$24,+HLOOKUP(AQ$2,historia!$A$3:$EC$4,2,FALSE),FALSE)</f>
        <v>3</v>
      </c>
      <c r="AR19" s="28">
        <f>VLOOKUP($A19,historia!$A$5:$CM$24,+HLOOKUP(AR$2,historia!$A$3:$EC$4,2,FALSE),FALSE)</f>
        <v>3</v>
      </c>
      <c r="AS19" s="28">
        <f>VLOOKUP($A19,historia!$A$5:$CM$24,+HLOOKUP(AS$2,historia!$A$3:$EC$4,2,FALSE),FALSE)</f>
        <v>3</v>
      </c>
      <c r="AT19" s="58">
        <f>VLOOKUP($A19,historia!$A$5:$CM$24,+HLOOKUP(AT$2,historia!$A$3:$EC$4,2,FALSE),FALSE)</f>
        <v>4</v>
      </c>
      <c r="AU19" s="58">
        <f>VLOOKUP($A19,historia!$A$5:$CM$24,+HLOOKUP(AU$2,historia!$A$3:$EC$4,2,FALSE),FALSE)</f>
        <v>3</v>
      </c>
      <c r="AV19" s="58">
        <f>VLOOKUP($A19,historia!$A$5:$CM$24,+HLOOKUP(AV$2,historia!$A$3:$EC$4,2,FALSE),FALSE)</f>
        <v>3</v>
      </c>
      <c r="AW19" s="58">
        <f>VLOOKUP($A19,historia!$A$5:$CM$24,+HLOOKUP(AW$2,historia!$A$3:$EC$4,2,FALSE),FALSE)</f>
        <v>3</v>
      </c>
      <c r="AX19" s="58">
        <f>VLOOKUP($A19,historia!$A$5:$CM$24,+HLOOKUP(AX$2,historia!$A$3:$EC$4,2,FALSE),FALSE)</f>
        <v>4</v>
      </c>
      <c r="AY19" s="58">
        <f>VLOOKUP($A19,historia!$A$5:$CM$24,+HLOOKUP(AY$2,historia!$A$3:$EC$4,2,FALSE),FALSE)</f>
        <v>4</v>
      </c>
      <c r="AZ19" s="58">
        <f>VLOOKUP($A19,historia!$A$5:$CM$24,+HLOOKUP(AZ$2,historia!$A$3:$EC$4,2,FALSE),FALSE)</f>
        <v>4</v>
      </c>
      <c r="BA19" s="58">
        <f>VLOOKUP($A19,historia!$A$5:$DG$24,+HLOOKUP(BA$2,historia!$A$3:$EC$4,2,FALSE),FALSE)</f>
        <v>5</v>
      </c>
      <c r="BB19" s="58"/>
      <c r="BC19" s="286">
        <v>5</v>
      </c>
      <c r="BD19" t="str">
        <f t="shared" si="20"/>
        <v>Papa</v>
      </c>
      <c r="BE19">
        <f>+datos!AV1</f>
        <v>48</v>
      </c>
      <c r="BF19" s="2" t="str">
        <f t="shared" si="4"/>
        <v>$/bolsa 20kg</v>
      </c>
      <c r="BG19" s="2">
        <f t="shared" si="4"/>
        <v>5161.3207547169814</v>
      </c>
      <c r="BH19" s="2">
        <f t="shared" si="4"/>
        <v>6823.6842105263158</v>
      </c>
      <c r="BI19" s="2">
        <f t="shared" si="4"/>
        <v>13529.268292682927</v>
      </c>
      <c r="BK19">
        <f>+datos!CI1</f>
        <v>87</v>
      </c>
      <c r="BL19" s="2">
        <f t="shared" si="21"/>
        <v>10955.635889484571</v>
      </c>
      <c r="BM19" s="2">
        <f t="shared" si="21"/>
        <v>11122.402877205886</v>
      </c>
      <c r="BN19" s="2">
        <f t="shared" si="21"/>
        <v>9889.0226515786599</v>
      </c>
      <c r="BP19" s="1">
        <f>+datos!EZ1</f>
        <v>156</v>
      </c>
      <c r="BQ19" s="1">
        <f t="shared" si="22"/>
        <v>38177</v>
      </c>
      <c r="BR19" s="1">
        <f t="shared" si="22"/>
        <v>34815</v>
      </c>
      <c r="BT19" s="1">
        <f>+datos!GT1</f>
        <v>202</v>
      </c>
      <c r="BU19" s="1">
        <f t="shared" si="23"/>
        <v>2111561</v>
      </c>
      <c r="BV19" s="1">
        <f t="shared" si="23"/>
        <v>2111561</v>
      </c>
      <c r="BX19" s="1">
        <f>+datos!JO1</f>
        <v>275</v>
      </c>
      <c r="BY19" s="1">
        <f t="shared" si="39"/>
        <v>403.09638196000009</v>
      </c>
      <c r="BZ19" s="1">
        <f t="shared" si="40"/>
        <v>346.41590180000009</v>
      </c>
      <c r="CB19" s="1">
        <f>+datos!KT1</f>
        <v>306</v>
      </c>
      <c r="CC19" s="2">
        <f t="shared" si="24"/>
        <v>13.155166430000001</v>
      </c>
      <c r="CD19" s="2">
        <f t="shared" si="25"/>
        <v>19.333362190000003</v>
      </c>
      <c r="CF19" s="1">
        <f>+datos!JB1</f>
        <v>262</v>
      </c>
      <c r="CG19" s="1">
        <f t="shared" si="26"/>
        <v>35.950000000000003</v>
      </c>
      <c r="CH19" s="1">
        <f t="shared" si="27"/>
        <v>35.950000000000003</v>
      </c>
      <c r="CJ19" s="1">
        <f t="shared" si="28"/>
        <v>30.172516640000001</v>
      </c>
      <c r="CK19" s="1">
        <f t="shared" si="28"/>
        <v>33.254909299999994</v>
      </c>
      <c r="CL19" s="1">
        <f t="shared" si="28"/>
        <v>34.03841525</v>
      </c>
      <c r="CM19" s="1">
        <f t="shared" si="28"/>
        <v>32.790200410000004</v>
      </c>
      <c r="CN19" s="1">
        <f t="shared" si="28"/>
        <v>33.403797109999999</v>
      </c>
      <c r="CO19" s="1">
        <f t="shared" si="28"/>
        <v>26.866894470000005</v>
      </c>
      <c r="CP19" s="1">
        <f t="shared" si="28"/>
        <v>30.959664470000003</v>
      </c>
      <c r="CQ19" s="1">
        <f t="shared" si="28"/>
        <v>28.030286839999999</v>
      </c>
      <c r="CR19" s="1">
        <f t="shared" si="28"/>
        <v>35.227965569999995</v>
      </c>
      <c r="CS19" s="1">
        <f t="shared" si="28"/>
        <v>43.313690020000003</v>
      </c>
      <c r="CT19" s="1">
        <f t="shared" si="28"/>
        <v>38.158354570000007</v>
      </c>
      <c r="CU19" s="1">
        <f t="shared" si="28"/>
        <v>36.879687310000008</v>
      </c>
      <c r="CV19" s="1">
        <f t="shared" si="28"/>
        <v>30.584450140000001</v>
      </c>
      <c r="CW19" s="1">
        <f t="shared" si="28"/>
        <v>34.87822036</v>
      </c>
      <c r="CX19" s="1">
        <f t="shared" si="28"/>
        <v>30.986019150000001</v>
      </c>
      <c r="CY19" s="1">
        <f t="shared" si="28"/>
        <v>34.45773063</v>
      </c>
      <c r="CZ19" s="1">
        <f t="shared" si="29"/>
        <v>33.675059580000003</v>
      </c>
      <c r="DA19" s="1">
        <f t="shared" si="29"/>
        <v>28.924508010000004</v>
      </c>
      <c r="DB19" s="1">
        <f t="shared" si="29"/>
        <v>27.954086790000002</v>
      </c>
      <c r="DC19" s="1">
        <f t="shared" si="29"/>
        <v>24.143815810000007</v>
      </c>
      <c r="DD19" s="1">
        <f t="shared" si="29"/>
        <v>26.000694290000002</v>
      </c>
      <c r="DE19" s="1">
        <f t="shared" si="29"/>
        <v>22.013274209999999</v>
      </c>
      <c r="DF19" s="1">
        <f t="shared" si="29"/>
        <v>23.44114875</v>
      </c>
      <c r="DG19" s="1">
        <f t="shared" si="29"/>
        <v>29.35689408</v>
      </c>
      <c r="DI19" s="1">
        <f t="shared" si="30"/>
        <v>0.74439149999999998</v>
      </c>
      <c r="DJ19" s="1">
        <f t="shared" si="30"/>
        <v>1.2444918700000001</v>
      </c>
      <c r="DK19" s="1">
        <f t="shared" si="30"/>
        <v>0.75058031000000003</v>
      </c>
      <c r="DL19" s="1">
        <f t="shared" si="30"/>
        <v>0.8744752400000001</v>
      </c>
      <c r="DM19" s="1">
        <f t="shared" si="30"/>
        <v>0.62052411000000007</v>
      </c>
      <c r="DN19" s="1">
        <f t="shared" si="30"/>
        <v>1.19924761</v>
      </c>
      <c r="DO19" s="1">
        <f t="shared" si="30"/>
        <v>0.86551083000000006</v>
      </c>
      <c r="DP19" s="1">
        <f t="shared" si="30"/>
        <v>0.79831189000000002</v>
      </c>
      <c r="DQ19" s="1">
        <f t="shared" si="30"/>
        <v>1.1318278900000001</v>
      </c>
      <c r="DR19" s="1">
        <f t="shared" si="30"/>
        <v>1.8442369199999997</v>
      </c>
      <c r="DS19" s="1">
        <f t="shared" si="30"/>
        <v>1.0529063700000001</v>
      </c>
      <c r="DT19" s="1">
        <f t="shared" si="30"/>
        <v>2.0286618900000004</v>
      </c>
      <c r="DU19" s="1">
        <f t="shared" si="30"/>
        <v>0.79104531999999994</v>
      </c>
      <c r="DV19" s="1">
        <f t="shared" si="30"/>
        <v>1.6294275100000002</v>
      </c>
      <c r="DW19" s="1">
        <f t="shared" si="30"/>
        <v>1.8725515799999999</v>
      </c>
      <c r="DX19" s="1">
        <f t="shared" si="30"/>
        <v>1.9938344900000002</v>
      </c>
      <c r="DY19" s="1">
        <f t="shared" si="31"/>
        <v>1.4070700599999999</v>
      </c>
      <c r="DZ19" s="1">
        <f t="shared" si="31"/>
        <v>0.5838748800000001</v>
      </c>
      <c r="EA19" s="1">
        <f t="shared" si="31"/>
        <v>1.6300787399999999</v>
      </c>
      <c r="EB19" s="1">
        <f t="shared" si="31"/>
        <v>1.5496506000000003</v>
      </c>
      <c r="EC19" s="1">
        <f t="shared" si="31"/>
        <v>2.1384397699999997</v>
      </c>
      <c r="ED19" s="1">
        <f t="shared" si="31"/>
        <v>2.7337765599999999</v>
      </c>
      <c r="EE19" s="1">
        <f t="shared" si="31"/>
        <v>1.0171737099999998</v>
      </c>
      <c r="EF19" s="1">
        <f t="shared" si="31"/>
        <v>1.9864389700000002</v>
      </c>
      <c r="EH19" s="14">
        <f t="shared" si="32"/>
        <v>35.950000000000003</v>
      </c>
      <c r="EI19" s="14">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G19" s="162">
        <f t="shared" si="34"/>
        <v>-0.7263653358053741</v>
      </c>
    </row>
    <row r="20" spans="1:163" ht="28.8">
      <c r="A20" s="264" t="s">
        <v>218</v>
      </c>
      <c r="B20" s="246"/>
      <c r="C20" s="156">
        <f t="shared" si="5"/>
        <v>0</v>
      </c>
      <c r="D20" s="198">
        <v>-1</v>
      </c>
      <c r="E20" s="248">
        <f t="shared" si="6"/>
        <v>-7.4922806487611293E-2</v>
      </c>
      <c r="F20" s="249">
        <f t="shared" si="7"/>
        <v>-9.3675854618406884E-2</v>
      </c>
      <c r="G20" s="248">
        <f t="shared" si="8"/>
        <v>1.0179489394208652E-2</v>
      </c>
      <c r="H20" s="249">
        <f t="shared" si="9"/>
        <v>-8.5102295881819945E-2</v>
      </c>
      <c r="I20" s="248">
        <f t="shared" si="10"/>
        <v>0.17792399964742933</v>
      </c>
      <c r="J20" s="249">
        <f t="shared" si="11"/>
        <v>-0.15763691501683552</v>
      </c>
      <c r="K20" s="248">
        <f t="shared" si="12"/>
        <v>0.32871539307447795</v>
      </c>
      <c r="L20" s="249">
        <f t="shared" si="13"/>
        <v>-0.15079139342704861</v>
      </c>
      <c r="M20" s="250"/>
      <c r="N20" s="24">
        <v>-1</v>
      </c>
      <c r="O20" s="248">
        <f t="shared" si="35"/>
        <v>0</v>
      </c>
      <c r="P20" s="251">
        <f t="shared" si="36"/>
        <v>0</v>
      </c>
      <c r="Q20" s="248">
        <f t="shared" si="14"/>
        <v>7.0559382202914467E-2</v>
      </c>
      <c r="R20" s="251">
        <f t="shared" si="37"/>
        <v>7.0559382202914467E-2</v>
      </c>
      <c r="S20" s="250"/>
      <c r="T20" s="24">
        <v>2</v>
      </c>
      <c r="U20" s="248">
        <f t="shared" si="15"/>
        <v>0.17339648246714168</v>
      </c>
      <c r="V20" s="252">
        <f t="shared" si="16"/>
        <v>0.17339648246714168</v>
      </c>
      <c r="W20" s="248">
        <f t="shared" si="38"/>
        <v>0.20709810465767342</v>
      </c>
      <c r="X20" s="252">
        <f t="shared" si="17"/>
        <v>0.20709810465767342</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3</v>
      </c>
      <c r="AQ20" s="28">
        <f>VLOOKUP($A20,historia!$A$5:$CM$24,+HLOOKUP(AQ$2,historia!$A$3:$EC$4,2,FALSE),FALSE)</f>
        <v>3</v>
      </c>
      <c r="AR20" s="28">
        <f>VLOOKUP($A20,historia!$A$5:$CM$24,+HLOOKUP(AR$2,historia!$A$3:$EC$4,2,FALSE),FALSE)</f>
        <v>3</v>
      </c>
      <c r="AS20" s="28">
        <f>VLOOKUP($A20,historia!$A$5:$CM$24,+HLOOKUP(AS$2,historia!$A$3:$EC$4,2,FALSE),FALSE)</f>
        <v>3</v>
      </c>
      <c r="AT20" s="58">
        <f>VLOOKUP($A20,historia!$A$5:$CM$24,+HLOOKUP(AT$2,historia!$A$3:$EC$4,2,FALSE),FALSE)</f>
        <v>3</v>
      </c>
      <c r="AU20" s="58">
        <f>VLOOKUP($A20,historia!$A$5:$CM$24,+HLOOKUP(AU$2,historia!$A$3:$EC$4,2,FALSE),FALSE)</f>
        <v>4</v>
      </c>
      <c r="AV20" s="58">
        <f>VLOOKUP($A20,historia!$A$5:$CM$24,+HLOOKUP(AV$2,historia!$A$3:$EC$4,2,FALSE),FALSE)</f>
        <v>4</v>
      </c>
      <c r="AW20" s="58">
        <f>VLOOKUP($A20,historia!$A$5:$CM$24,+HLOOKUP(AW$2,historia!$A$3:$EC$4,2,FALSE),FALSE)</f>
        <v>4</v>
      </c>
      <c r="AX20" s="58">
        <f>VLOOKUP($A20,historia!$A$5:$CM$24,+HLOOKUP(AX$2,historia!$A$3:$EC$4,2,FALSE),FALSE)</f>
        <v>4</v>
      </c>
      <c r="AY20" s="58">
        <f>VLOOKUP($A20,historia!$A$5:$CM$24,+HLOOKUP(AY$2,historia!$A$3:$EC$4,2,FALSE),FALSE)</f>
        <v>3</v>
      </c>
      <c r="AZ20" s="58">
        <f>VLOOKUP($A20,historia!$A$5:$CM$24,+HLOOKUP(AZ$2,historia!$A$3:$EC$4,2,FALSE),FALSE)</f>
        <v>2</v>
      </c>
      <c r="BA20" s="58">
        <f>VLOOKUP($A20,historia!$A$5:$DG$24,+HLOOKUP(BA$2,historia!$A$3:$EC$4,2,FALSE),FALSE)</f>
        <v>2</v>
      </c>
      <c r="BB20" s="58"/>
      <c r="BC20" s="286">
        <v>2</v>
      </c>
      <c r="BD20" t="str">
        <f t="shared" si="20"/>
        <v>Peras y Manzanas</v>
      </c>
      <c r="BE20">
        <f>+datos!AP1</f>
        <v>42</v>
      </c>
      <c r="BF20" s="2" t="str">
        <f t="shared" si="4"/>
        <v>$/caja 18kg</v>
      </c>
      <c r="BG20" s="2">
        <f t="shared" si="4"/>
        <v>20045.75</v>
      </c>
      <c r="BH20" s="2">
        <f t="shared" si="4"/>
        <v>21669.272727272728</v>
      </c>
      <c r="BI20" s="2">
        <f t="shared" si="4"/>
        <v>17017.863636363636</v>
      </c>
      <c r="BK20">
        <f>+datos!CS1</f>
        <v>97</v>
      </c>
      <c r="BL20" s="2">
        <f t="shared" si="21"/>
        <v>11023.555817200226</v>
      </c>
      <c r="BM20" s="2">
        <f t="shared" si="21"/>
        <v>10912.472419936885</v>
      </c>
      <c r="BN20" s="2">
        <f t="shared" si="21"/>
        <v>8296.4010763005645</v>
      </c>
      <c r="BP20" s="1">
        <f>+datos!FC1</f>
        <v>159</v>
      </c>
      <c r="BQ20" s="1">
        <f t="shared" si="22"/>
        <v>38084</v>
      </c>
      <c r="BR20" s="1">
        <f t="shared" si="22"/>
        <v>38084</v>
      </c>
      <c r="BT20" s="1">
        <f>+datos!GW1</f>
        <v>205</v>
      </c>
      <c r="BU20" s="1">
        <f t="shared" si="23"/>
        <v>797950</v>
      </c>
      <c r="BV20" s="1">
        <f t="shared" si="23"/>
        <v>745358</v>
      </c>
      <c r="BX20" s="1">
        <f>+datos!LS1</f>
        <v>331</v>
      </c>
      <c r="BY20" s="1">
        <f t="shared" si="39"/>
        <v>436.36209895000013</v>
      </c>
      <c r="BZ20" s="1">
        <f t="shared" si="40"/>
        <v>371.87950149</v>
      </c>
      <c r="CB20" s="1">
        <f>+datos!LW1</f>
        <v>335</v>
      </c>
      <c r="CC20" s="2">
        <f t="shared" si="24"/>
        <v>4.9548095699999992</v>
      </c>
      <c r="CD20" s="2">
        <f t="shared" si="25"/>
        <v>4.1047281500000006</v>
      </c>
      <c r="CF20" s="1">
        <f>+datos!JC1</f>
        <v>263</v>
      </c>
      <c r="CG20" s="1">
        <f t="shared" si="26"/>
        <v>0</v>
      </c>
      <c r="CH20" s="1">
        <f t="shared" si="27"/>
        <v>0</v>
      </c>
      <c r="CJ20" s="1">
        <f t="shared" si="28"/>
        <v>31.183989080000003</v>
      </c>
      <c r="CK20" s="1">
        <f t="shared" si="28"/>
        <v>31.314835450000004</v>
      </c>
      <c r="CL20" s="1">
        <f t="shared" si="28"/>
        <v>42.986147830000007</v>
      </c>
      <c r="CM20" s="1">
        <f t="shared" si="28"/>
        <v>54.859389430000007</v>
      </c>
      <c r="CN20" s="1">
        <f t="shared" si="28"/>
        <v>51.150985829999996</v>
      </c>
      <c r="CO20" s="1">
        <f t="shared" si="28"/>
        <v>59.173949850000007</v>
      </c>
      <c r="CP20" s="1">
        <f t="shared" si="28"/>
        <v>46.396857000000011</v>
      </c>
      <c r="CQ20" s="1">
        <f t="shared" si="28"/>
        <v>23.934850630000003</v>
      </c>
      <c r="CR20" s="1">
        <f t="shared" si="28"/>
        <v>23.934850630000003</v>
      </c>
      <c r="CS20" s="1">
        <f t="shared" si="28"/>
        <v>23.934850630000003</v>
      </c>
      <c r="CT20" s="1">
        <f t="shared" si="28"/>
        <v>25.188374430000003</v>
      </c>
      <c r="CU20" s="1">
        <f t="shared" si="28"/>
        <v>22.303018159999997</v>
      </c>
      <c r="CV20" s="1">
        <f t="shared" si="28"/>
        <v>14.93334776</v>
      </c>
      <c r="CW20" s="1">
        <f t="shared" si="28"/>
        <v>35.336569390000001</v>
      </c>
      <c r="CX20" s="1">
        <f t="shared" si="28"/>
        <v>46.662709379999995</v>
      </c>
      <c r="CY20" s="1">
        <f t="shared" si="28"/>
        <v>45.302769560000002</v>
      </c>
      <c r="CZ20" s="1">
        <f t="shared" si="29"/>
        <v>46.856289650000001</v>
      </c>
      <c r="DA20" s="1">
        <f t="shared" si="29"/>
        <v>60.076282149999997</v>
      </c>
      <c r="DB20" s="1">
        <f t="shared" si="29"/>
        <v>42.744570039999999</v>
      </c>
      <c r="DC20" s="1">
        <f t="shared" si="29"/>
        <v>11.509203560000001</v>
      </c>
      <c r="DD20" s="1">
        <f t="shared" si="29"/>
        <v>11.753879789999999</v>
      </c>
      <c r="DE20" s="1">
        <f t="shared" si="29"/>
        <v>15.619426270000002</v>
      </c>
      <c r="DF20" s="1">
        <f t="shared" si="29"/>
        <v>16.880359240000001</v>
      </c>
      <c r="DG20" s="1">
        <f t="shared" si="29"/>
        <v>24.204094699999999</v>
      </c>
      <c r="DI20" s="1">
        <f t="shared" si="30"/>
        <v>0.72520266</v>
      </c>
      <c r="DJ20" s="1">
        <f t="shared" si="30"/>
        <v>1.1922353400000001</v>
      </c>
      <c r="DK20" s="1">
        <f t="shared" si="30"/>
        <v>1.0915780799999999</v>
      </c>
      <c r="DL20" s="1">
        <f t="shared" si="30"/>
        <v>0.5667896</v>
      </c>
      <c r="DM20" s="1">
        <f t="shared" si="30"/>
        <v>0.43323378000000001</v>
      </c>
      <c r="DN20" s="1">
        <f t="shared" si="30"/>
        <v>0.20107160000000002</v>
      </c>
      <c r="DO20" s="1">
        <f t="shared" si="30"/>
        <v>4.7323499999999998E-2</v>
      </c>
      <c r="DP20" s="1">
        <f t="shared" si="30"/>
        <v>0.18245199000000001</v>
      </c>
      <c r="DQ20" s="1">
        <f t="shared" si="30"/>
        <v>6.8745290000000001E-2</v>
      </c>
      <c r="DR20" s="1">
        <f t="shared" si="30"/>
        <v>0.21798748000000001</v>
      </c>
      <c r="DS20" s="1">
        <f t="shared" si="30"/>
        <v>7.9820000000000002E-2</v>
      </c>
      <c r="DT20" s="1">
        <f t="shared" si="30"/>
        <v>0.14837025000000001</v>
      </c>
      <c r="DU20" s="1">
        <f t="shared" si="30"/>
        <v>0.3865221499999999</v>
      </c>
      <c r="DV20" s="1">
        <f t="shared" si="30"/>
        <v>0.51794252000000007</v>
      </c>
      <c r="DW20" s="1">
        <f t="shared" si="30"/>
        <v>0.37362660000000003</v>
      </c>
      <c r="DX20" s="1">
        <f t="shared" si="30"/>
        <v>0.32288670000000003</v>
      </c>
      <c r="DY20" s="1">
        <f t="shared" si="31"/>
        <v>0.29487440000000004</v>
      </c>
      <c r="DZ20" s="1">
        <f t="shared" si="31"/>
        <v>7.78142E-2</v>
      </c>
      <c r="EA20" s="1">
        <f t="shared" si="31"/>
        <v>0.12479459999999999</v>
      </c>
      <c r="EB20" s="1">
        <f t="shared" si="31"/>
        <v>8.4911199999999992E-2</v>
      </c>
      <c r="EC20" s="1">
        <f t="shared" si="31"/>
        <v>0.22142464000000001</v>
      </c>
      <c r="ED20" s="1">
        <f t="shared" si="31"/>
        <v>1.01853964</v>
      </c>
      <c r="EE20" s="1">
        <f t="shared" si="31"/>
        <v>0.30728509999999998</v>
      </c>
      <c r="EF20" s="1">
        <f t="shared" si="31"/>
        <v>0.37410640000000001</v>
      </c>
      <c r="EH20" s="14">
        <f t="shared" si="32"/>
        <v>0</v>
      </c>
      <c r="EI20" s="14">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3"/>
        <v>0</v>
      </c>
      <c r="EY20" s="1">
        <f t="shared" si="33"/>
        <v>0</v>
      </c>
      <c r="EZ20" s="1">
        <f t="shared" si="33"/>
        <v>0</v>
      </c>
      <c r="FA20" s="1">
        <f t="shared" si="33"/>
        <v>0</v>
      </c>
      <c r="FB20" s="1">
        <f t="shared" si="33"/>
        <v>0</v>
      </c>
      <c r="FC20" s="1">
        <f t="shared" si="33"/>
        <v>0</v>
      </c>
      <c r="FD20" s="1">
        <f t="shared" si="33"/>
        <v>0</v>
      </c>
      <c r="FE20" s="1">
        <f t="shared" si="33"/>
        <v>0</v>
      </c>
      <c r="FG20" s="162">
        <f t="shared" si="34"/>
        <v>-0.15079139342704861</v>
      </c>
    </row>
    <row r="21" spans="1:163" ht="18" customHeight="1">
      <c r="A21" s="244" t="s">
        <v>121</v>
      </c>
      <c r="B21" s="247"/>
      <c r="C21" s="228">
        <f t="shared" si="5"/>
        <v>0</v>
      </c>
      <c r="D21" s="229">
        <v>-2</v>
      </c>
      <c r="E21" s="253">
        <f t="shared" si="6"/>
        <v>1.4619311658809364E-2</v>
      </c>
      <c r="F21" s="254">
        <f t="shared" si="7"/>
        <v>-4.1337364719862268E-3</v>
      </c>
      <c r="G21" s="253">
        <f t="shared" si="8"/>
        <v>1.8038501761496351E-2</v>
      </c>
      <c r="H21" s="254">
        <f t="shared" si="9"/>
        <v>-3.4191901026869864E-3</v>
      </c>
      <c r="I21" s="253">
        <f t="shared" si="10"/>
        <v>0.35005565983310172</v>
      </c>
      <c r="J21" s="254">
        <f t="shared" si="11"/>
        <v>1.4494745168836864E-2</v>
      </c>
      <c r="K21" s="253">
        <f t="shared" si="12"/>
        <v>0.38622675779127724</v>
      </c>
      <c r="L21" s="254">
        <f t="shared" si="13"/>
        <v>-3.6171097958175524E-2</v>
      </c>
      <c r="M21" s="255"/>
      <c r="N21" s="256">
        <v>1</v>
      </c>
      <c r="O21" s="253">
        <f t="shared" si="35"/>
        <v>-2.0839332713567749E-2</v>
      </c>
      <c r="P21" s="257">
        <f t="shared" si="36"/>
        <v>-2.0839332713567749E-2</v>
      </c>
      <c r="Q21" s="253">
        <f t="shared" si="14"/>
        <v>5.9821927209200432E-3</v>
      </c>
      <c r="R21" s="257">
        <f t="shared" si="37"/>
        <v>5.9821927209200432E-3</v>
      </c>
      <c r="S21" s="255"/>
      <c r="T21" s="256">
        <v>1</v>
      </c>
      <c r="U21" s="253">
        <f t="shared" si="15"/>
        <v>6.9985702704862041E-2</v>
      </c>
      <c r="V21" s="258">
        <f t="shared" si="16"/>
        <v>6.9985702704862041E-2</v>
      </c>
      <c r="W21" s="253">
        <f t="shared" si="38"/>
        <v>3.4413102245179399</v>
      </c>
      <c r="X21" s="258">
        <f t="shared" si="17"/>
        <v>3.4413102245179399</v>
      </c>
      <c r="Y21" s="253">
        <f t="shared" si="18"/>
        <v>9.6658711217183502E-2</v>
      </c>
      <c r="Z21" s="258">
        <f t="shared" si="19"/>
        <v>9.6658711217183502E-2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3</v>
      </c>
      <c r="AQ21" s="28">
        <f>VLOOKUP($A21,historia!$A$5:$CM$24,+HLOOKUP(AQ$2,historia!$A$3:$EC$4,2,FALSE),FALSE)</f>
        <v>3</v>
      </c>
      <c r="AR21" s="28">
        <f>VLOOKUP($A21,historia!$A$5:$CM$24,+HLOOKUP(AR$2,historia!$A$3:$EC$4,2,FALSE),FALSE)</f>
        <v>3</v>
      </c>
      <c r="AS21" s="28">
        <f>VLOOKUP($A21,historia!$A$5:$CM$24,+HLOOKUP(AS$2,historia!$A$3:$EC$4,2,FALSE),FALSE)</f>
        <v>3</v>
      </c>
      <c r="AT21" s="58">
        <f>VLOOKUP($A21,historia!$A$5:$CM$24,+HLOOKUP(AT$2,historia!$A$3:$EC$4,2,FALSE),FALSE)</f>
        <v>2</v>
      </c>
      <c r="AU21" s="58">
        <f>VLOOKUP($A21,historia!$A$5:$CM$24,+HLOOKUP(AU$2,historia!$A$3:$EC$4,2,FALSE),FALSE)</f>
        <v>3</v>
      </c>
      <c r="AV21" s="58">
        <f>VLOOKUP($A21,historia!$A$5:$CM$24,+HLOOKUP(AV$2,historia!$A$3:$EC$4,2,FALSE),FALSE)</f>
        <v>3</v>
      </c>
      <c r="AW21" s="58">
        <f>VLOOKUP($A21,historia!$A$5:$CM$24,+HLOOKUP(AW$2,historia!$A$3:$EC$4,2,FALSE),FALSE)</f>
        <v>3</v>
      </c>
      <c r="AX21" s="58">
        <f>VLOOKUP($A21,historia!$A$5:$CM$24,+HLOOKUP(AX$2,historia!$A$3:$EC$4,2,FALSE),FALSE)</f>
        <v>2</v>
      </c>
      <c r="AY21" s="58">
        <f>VLOOKUP($A21,historia!$A$5:$CM$24,+HLOOKUP(AY$2,historia!$A$3:$EC$4,2,FALSE),FALSE)</f>
        <v>1</v>
      </c>
      <c r="AZ21" s="58">
        <f>VLOOKUP($A21,historia!$A$5:$CM$24,+HLOOKUP(AZ$2,historia!$A$3:$EC$4,2,FALSE),FALSE)</f>
        <v>1</v>
      </c>
      <c r="BA21" s="58">
        <f>VLOOKUP($A21,historia!$A$5:$DG$24,+HLOOKUP(BA$2,historia!$A$3:$EC$4,2,FALSE),FALSE)</f>
        <v>2</v>
      </c>
      <c r="BB21" s="58"/>
      <c r="BC21" s="286">
        <v>2</v>
      </c>
      <c r="BD21" t="str">
        <f t="shared" si="20"/>
        <v>Porcinos</v>
      </c>
      <c r="BE21">
        <f>+datos!BR1</f>
        <v>70</v>
      </c>
      <c r="BF21" s="2" t="str">
        <f t="shared" si="4"/>
        <v>$/kg</v>
      </c>
      <c r="BG21" s="2">
        <f t="shared" si="4"/>
        <v>1661.5</v>
      </c>
      <c r="BH21" s="2">
        <f t="shared" si="4"/>
        <v>1637.5600000000002</v>
      </c>
      <c r="BI21" s="2">
        <f t="shared" si="4"/>
        <v>1230.69</v>
      </c>
      <c r="BK21">
        <f>+datos!DD1</f>
        <v>108</v>
      </c>
      <c r="BL21" s="2">
        <f t="shared" si="21"/>
        <v>11176.191180626571</v>
      </c>
      <c r="BM21" s="2">
        <f t="shared" si="21"/>
        <v>10978.161593386281</v>
      </c>
      <c r="BN21" s="2">
        <f t="shared" si="21"/>
        <v>8062.3109587308645</v>
      </c>
      <c r="BP21" s="1">
        <f>+datos!EJ1</f>
        <v>140</v>
      </c>
      <c r="BQ21" s="1">
        <f t="shared" si="22"/>
        <v>5987778</v>
      </c>
      <c r="BR21" s="1">
        <f t="shared" si="22"/>
        <v>6115215</v>
      </c>
      <c r="BT21" s="1">
        <f>+datos!HE1</f>
        <v>213</v>
      </c>
      <c r="BU21" s="1">
        <f t="shared" si="23"/>
        <v>787170</v>
      </c>
      <c r="BV21" s="1">
        <f t="shared" si="23"/>
        <v>782489</v>
      </c>
      <c r="BX21" s="1">
        <f>+datos!KJ1</f>
        <v>296</v>
      </c>
      <c r="BY21" s="1">
        <f t="shared" si="39"/>
        <v>25.881122900000001</v>
      </c>
      <c r="BZ21" s="1">
        <f t="shared" si="40"/>
        <v>24.188288529999998</v>
      </c>
      <c r="CB21" s="1">
        <f>+datos!LO1</f>
        <v>327</v>
      </c>
      <c r="CC21" s="2">
        <f t="shared" si="24"/>
        <v>163.02974593000002</v>
      </c>
      <c r="CD21" s="2">
        <f t="shared" si="25"/>
        <v>36.707579000000003</v>
      </c>
      <c r="CF21" s="1">
        <f>+datos!IO1</f>
        <v>249</v>
      </c>
      <c r="CG21" s="1">
        <f t="shared" si="26"/>
        <v>18.38</v>
      </c>
      <c r="CH21" s="1">
        <f t="shared" si="27"/>
        <v>16.760000000000002</v>
      </c>
      <c r="CJ21" s="1">
        <f t="shared" si="28"/>
        <v>2.08934314</v>
      </c>
      <c r="CK21" s="1">
        <f t="shared" si="28"/>
        <v>2.1371287799999998</v>
      </c>
      <c r="CL21" s="1">
        <f t="shared" si="28"/>
        <v>2.3754365900000001</v>
      </c>
      <c r="CM21" s="1">
        <f t="shared" si="28"/>
        <v>2.2921349499999994</v>
      </c>
      <c r="CN21" s="1">
        <f t="shared" si="28"/>
        <v>1.76811707</v>
      </c>
      <c r="CO21" s="1">
        <f t="shared" si="28"/>
        <v>1.0764735399999998</v>
      </c>
      <c r="CP21" s="1">
        <f t="shared" si="28"/>
        <v>3.87511991</v>
      </c>
      <c r="CQ21" s="1">
        <f t="shared" si="28"/>
        <v>1.4111442899999997</v>
      </c>
      <c r="CR21" s="1">
        <f t="shared" si="28"/>
        <v>1.9463367499999997</v>
      </c>
      <c r="CS21" s="1">
        <f t="shared" si="28"/>
        <v>1.6096260199999999</v>
      </c>
      <c r="CT21" s="1">
        <f t="shared" si="28"/>
        <v>3.1723580499999997</v>
      </c>
      <c r="CU21" s="1">
        <f t="shared" si="28"/>
        <v>2.1279038099999998</v>
      </c>
      <c r="CV21" s="1">
        <f t="shared" si="28"/>
        <v>2.3778769799999995</v>
      </c>
      <c r="CW21" s="1">
        <f t="shared" si="28"/>
        <v>4.3175895799999999</v>
      </c>
      <c r="CX21" s="1">
        <f t="shared" si="28"/>
        <v>2.7596131099999996</v>
      </c>
      <c r="CY21" s="1">
        <f t="shared" si="28"/>
        <v>1.9296841299999996</v>
      </c>
      <c r="CZ21" s="1">
        <f t="shared" si="29"/>
        <v>2.2533318799999997</v>
      </c>
      <c r="DA21" s="1">
        <f t="shared" si="29"/>
        <v>1.55421593</v>
      </c>
      <c r="DB21" s="1">
        <f t="shared" si="29"/>
        <v>1.56892272</v>
      </c>
      <c r="DC21" s="1">
        <f t="shared" si="29"/>
        <v>1.2009935999999999</v>
      </c>
      <c r="DD21" s="1">
        <f t="shared" si="29"/>
        <v>1.5576121499999998</v>
      </c>
      <c r="DE21" s="1">
        <f t="shared" si="29"/>
        <v>1.3743196699999998</v>
      </c>
      <c r="DF21" s="1">
        <f t="shared" si="29"/>
        <v>1.4110336399999999</v>
      </c>
      <c r="DG21" s="1">
        <f t="shared" si="29"/>
        <v>1.8830951399999996</v>
      </c>
      <c r="DI21" s="1">
        <f t="shared" si="30"/>
        <v>11.75892646</v>
      </c>
      <c r="DJ21" s="1">
        <f t="shared" si="30"/>
        <v>11.837628230000002</v>
      </c>
      <c r="DK21" s="1">
        <f t="shared" si="30"/>
        <v>13.531613630000001</v>
      </c>
      <c r="DL21" s="1">
        <f t="shared" si="30"/>
        <v>19.3334501</v>
      </c>
      <c r="DM21" s="1">
        <f t="shared" si="30"/>
        <v>18.318769970000002</v>
      </c>
      <c r="DN21" s="1">
        <f t="shared" si="30"/>
        <v>14.031594299999998</v>
      </c>
      <c r="DO21" s="1">
        <f t="shared" si="30"/>
        <v>14.447589379999997</v>
      </c>
      <c r="DP21" s="1">
        <f t="shared" si="30"/>
        <v>14.265215759999998</v>
      </c>
      <c r="DQ21" s="1">
        <f t="shared" si="30"/>
        <v>16.354180840000001</v>
      </c>
      <c r="DR21" s="1">
        <f t="shared" si="30"/>
        <v>10.919699229999997</v>
      </c>
      <c r="DS21" s="1">
        <f t="shared" si="30"/>
        <v>10.87912704</v>
      </c>
      <c r="DT21" s="1">
        <f t="shared" si="30"/>
        <v>7.3519509899999989</v>
      </c>
      <c r="DU21" s="1">
        <f t="shared" si="30"/>
        <v>4.9251834299999988</v>
      </c>
      <c r="DV21" s="1">
        <f t="shared" si="30"/>
        <v>2.5935797799999998</v>
      </c>
      <c r="DW21" s="1">
        <f t="shared" si="30"/>
        <v>1.7163214500000001</v>
      </c>
      <c r="DX21" s="1">
        <f t="shared" ref="DX21:EF24" si="41">+VLOOKUP(DX$1,ran_dat,$CB21,FALSE)</f>
        <v>2.7920763000000002</v>
      </c>
      <c r="DY21" s="1">
        <f t="shared" si="41"/>
        <v>3.5088459899999997</v>
      </c>
      <c r="DZ21" s="1">
        <f t="shared" si="41"/>
        <v>2.2524288500000003</v>
      </c>
      <c r="EA21" s="1">
        <f t="shared" si="41"/>
        <v>5.2341166499999998</v>
      </c>
      <c r="EB21" s="1">
        <f t="shared" si="41"/>
        <v>3.1162246899999997</v>
      </c>
      <c r="EC21" s="1">
        <f t="shared" si="41"/>
        <v>3.3747357299999998</v>
      </c>
      <c r="ED21" s="1">
        <f t="shared" si="41"/>
        <v>1.8536983500000002</v>
      </c>
      <c r="EE21" s="1">
        <f t="shared" si="41"/>
        <v>2.01592043</v>
      </c>
      <c r="EF21" s="1">
        <f t="shared" si="41"/>
        <v>3.3244473500000002</v>
      </c>
      <c r="EH21" s="14">
        <f t="shared" si="32"/>
        <v>18.38</v>
      </c>
      <c r="EI21" s="14">
        <f t="shared" si="32"/>
        <v>18.28</v>
      </c>
      <c r="EJ21" s="1">
        <f t="shared" si="32"/>
        <v>18.239999999999998</v>
      </c>
      <c r="EK21" s="1">
        <f t="shared" si="32"/>
        <v>18.079999999999998</v>
      </c>
      <c r="EL21" s="1">
        <f t="shared" si="32"/>
        <v>17.989999999999998</v>
      </c>
      <c r="EM21" s="1">
        <f t="shared" si="32"/>
        <v>17.850000000000001</v>
      </c>
      <c r="EN21" s="1">
        <f t="shared" si="32"/>
        <v>17.73</v>
      </c>
      <c r="EO21" s="1">
        <f t="shared" si="32"/>
        <v>17.510000000000002</v>
      </c>
      <c r="EP21" s="1">
        <f t="shared" si="32"/>
        <v>17.13</v>
      </c>
      <c r="EQ21" s="1">
        <f t="shared" si="32"/>
        <v>16.89</v>
      </c>
      <c r="ER21" s="1">
        <f t="shared" si="32"/>
        <v>16.87</v>
      </c>
      <c r="ES21" s="1">
        <f t="shared" si="32"/>
        <v>16.8</v>
      </c>
      <c r="ET21" s="1">
        <f t="shared" si="32"/>
        <v>16.760000000000002</v>
      </c>
      <c r="EU21" s="1">
        <f t="shared" si="32"/>
        <v>16.84</v>
      </c>
      <c r="EV21" s="1">
        <f t="shared" si="32"/>
        <v>16.64</v>
      </c>
      <c r="EW21" s="1">
        <f t="shared" ref="EW21:FE24" si="42">+VLOOKUP(EW$1,ran_dat,$CF21,FALSE)</f>
        <v>16.68</v>
      </c>
      <c r="EX21" s="1">
        <f t="shared" si="42"/>
        <v>16.62</v>
      </c>
      <c r="EY21" s="1">
        <f t="shared" si="42"/>
        <v>16.5</v>
      </c>
      <c r="EZ21" s="1">
        <f t="shared" si="42"/>
        <v>16.64</v>
      </c>
      <c r="FA21" s="1">
        <f t="shared" si="42"/>
        <v>16.68</v>
      </c>
      <c r="FB21" s="1">
        <f t="shared" si="42"/>
        <v>16.72</v>
      </c>
      <c r="FC21" s="1">
        <f t="shared" si="42"/>
        <v>16.75</v>
      </c>
      <c r="FD21" s="1">
        <f t="shared" si="42"/>
        <v>16.760000000000002</v>
      </c>
      <c r="FE21" s="1">
        <f t="shared" si="42"/>
        <v>16.71</v>
      </c>
      <c r="FG21" s="162">
        <f t="shared" si="34"/>
        <v>-3.6171097958175524E-2</v>
      </c>
    </row>
    <row r="22" spans="1:163" ht="18.75" customHeight="1">
      <c r="A22" s="243" t="s">
        <v>75</v>
      </c>
      <c r="B22" s="246"/>
      <c r="C22" s="156">
        <f t="shared" si="5"/>
        <v>0.66</v>
      </c>
      <c r="D22" s="198">
        <v>1</v>
      </c>
      <c r="E22" s="248">
        <f t="shared" si="6"/>
        <v>2.4341668510732495E-2</v>
      </c>
      <c r="F22" s="249">
        <f t="shared" si="7"/>
        <v>5.5886203799369039E-3</v>
      </c>
      <c r="G22" s="248">
        <f t="shared" si="8"/>
        <v>2.3697298297372882E-2</v>
      </c>
      <c r="H22" s="249">
        <f t="shared" si="9"/>
        <v>6.4437021335961298E-4</v>
      </c>
      <c r="I22" s="248">
        <f t="shared" si="10"/>
        <v>0.25959183673469388</v>
      </c>
      <c r="J22" s="249">
        <f t="shared" si="11"/>
        <v>-7.5969077929570972E-2</v>
      </c>
      <c r="K22" s="248">
        <f t="shared" si="12"/>
        <v>0.35841876983582699</v>
      </c>
      <c r="L22" s="249">
        <f t="shared" si="13"/>
        <v>-9.8826933101133108E-2</v>
      </c>
      <c r="M22" s="250"/>
      <c r="N22" s="24">
        <v>0</v>
      </c>
      <c r="O22" s="248">
        <f t="shared" si="35"/>
        <v>0</v>
      </c>
      <c r="P22" s="251">
        <f t="shared" si="36"/>
        <v>0</v>
      </c>
      <c r="Q22" s="248">
        <f t="shared" si="14"/>
        <v>0.17001165379676175</v>
      </c>
      <c r="R22" s="251">
        <f t="shared" si="37"/>
        <v>0.17001165379676175</v>
      </c>
      <c r="S22" s="250"/>
      <c r="T22" s="24">
        <v>1</v>
      </c>
      <c r="U22" s="248">
        <f t="shared" si="15"/>
        <v>0.13322497588285387</v>
      </c>
      <c r="V22" s="252">
        <f t="shared" si="16"/>
        <v>0.13322497588285387</v>
      </c>
      <c r="W22" s="248">
        <f t="shared" si="38"/>
        <v>8.785088458281809E-2</v>
      </c>
      <c r="X22" s="252">
        <f t="shared" si="17"/>
        <v>8.785088458281809E-2</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2</v>
      </c>
      <c r="AQ22" s="28">
        <f>VLOOKUP($A22,historia!$A$5:$CM$24,+HLOOKUP(AQ$2,historia!$A$3:$EC$4,2,FALSE),FALSE)</f>
        <v>2</v>
      </c>
      <c r="AR22" s="28">
        <f>VLOOKUP($A22,historia!$A$5:$CM$24,+HLOOKUP(AR$2,historia!$A$3:$EC$4,2,FALSE),FALSE)</f>
        <v>2</v>
      </c>
      <c r="AS22" s="28">
        <f>VLOOKUP($A22,historia!$A$5:$CM$24,+HLOOKUP(AS$2,historia!$A$3:$EC$4,2,FALSE),FALSE)</f>
        <v>2</v>
      </c>
      <c r="AT22" s="58">
        <f>VLOOKUP($A22,historia!$A$5:$CM$24,+HLOOKUP(AT$2,historia!$A$3:$EC$4,2,FALSE),FALSE)</f>
        <v>2</v>
      </c>
      <c r="AU22" s="58">
        <f>VLOOKUP($A22,historia!$A$5:$CM$24,+HLOOKUP(AU$2,historia!$A$3:$EC$4,2,FALSE),FALSE)</f>
        <v>3</v>
      </c>
      <c r="AV22" s="58">
        <f>VLOOKUP($A22,historia!$A$5:$CM$24,+HLOOKUP(AV$2,historia!$A$3:$EC$4,2,FALSE),FALSE)</f>
        <v>3</v>
      </c>
      <c r="AW22" s="58">
        <f>VLOOKUP($A22,historia!$A$5:$CM$24,+HLOOKUP(AW$2,historia!$A$3:$EC$4,2,FALSE),FALSE)</f>
        <v>3</v>
      </c>
      <c r="AX22" s="58">
        <f>VLOOKUP($A22,historia!$A$5:$CM$24,+HLOOKUP(AX$2,historia!$A$3:$EC$4,2,FALSE),FALSE)</f>
        <v>3</v>
      </c>
      <c r="AY22" s="58">
        <f>VLOOKUP($A22,historia!$A$5:$CM$24,+HLOOKUP(AY$2,historia!$A$3:$EC$4,2,FALSE),FALSE)</f>
        <v>3</v>
      </c>
      <c r="AZ22" s="58">
        <f>VLOOKUP($A22,historia!$A$5:$CM$24,+HLOOKUP(AZ$2,historia!$A$3:$EC$4,2,FALSE),FALSE)</f>
        <v>3</v>
      </c>
      <c r="BA22" s="58">
        <f>VLOOKUP($A22,historia!$A$5:$DG$24,+HLOOKUP(BA$2,historia!$A$3:$EC$4,2,FALSE),FALSE)</f>
        <v>3</v>
      </c>
      <c r="BB22" s="58"/>
      <c r="BC22" s="286">
        <v>3</v>
      </c>
      <c r="BD22" t="str">
        <f t="shared" si="20"/>
        <v>Tabaco</v>
      </c>
      <c r="BE22">
        <f>+datos!BJ1</f>
        <v>62</v>
      </c>
      <c r="BF22" s="2" t="str">
        <f t="shared" si="4"/>
        <v>$/kg</v>
      </c>
      <c r="BG22" s="2">
        <f t="shared" si="4"/>
        <v>4629</v>
      </c>
      <c r="BH22" s="2">
        <f t="shared" si="4"/>
        <v>4519</v>
      </c>
      <c r="BI22" s="2">
        <f t="shared" si="4"/>
        <v>3675</v>
      </c>
      <c r="BK22">
        <f>+datos!DA1</f>
        <v>105</v>
      </c>
      <c r="BL22" s="2">
        <f t="shared" si="21"/>
        <v>11411.105699658588</v>
      </c>
      <c r="BM22" s="2">
        <f t="shared" si="21"/>
        <v>11146.953028632286</v>
      </c>
      <c r="BN22" s="2">
        <f t="shared" si="21"/>
        <v>8400.285650527112</v>
      </c>
      <c r="BP22" s="1">
        <f>+datos!FD1</f>
        <v>160</v>
      </c>
      <c r="BQ22" s="1">
        <f t="shared" si="22"/>
        <v>60376</v>
      </c>
      <c r="BR22" s="1">
        <f t="shared" si="22"/>
        <v>60376</v>
      </c>
      <c r="BT22" s="1">
        <f>+datos!GX1</f>
        <v>206</v>
      </c>
      <c r="BU22" s="1">
        <f t="shared" si="23"/>
        <v>36041.686000000002</v>
      </c>
      <c r="BV22" s="1">
        <f t="shared" si="23"/>
        <v>30804.553</v>
      </c>
      <c r="BX22" s="1">
        <f>+datos!KC1</f>
        <v>289</v>
      </c>
      <c r="BY22" s="1">
        <f t="shared" si="39"/>
        <v>560.88767171999996</v>
      </c>
      <c r="BZ22" s="1">
        <f t="shared" si="40"/>
        <v>494.94820856999996</v>
      </c>
      <c r="CB22" s="1">
        <f>+datos!LH1</f>
        <v>320</v>
      </c>
      <c r="CC22" s="2">
        <f t="shared" si="24"/>
        <v>57.160899480000012</v>
      </c>
      <c r="CD22" s="2">
        <f t="shared" si="25"/>
        <v>52.544792939999994</v>
      </c>
      <c r="CF22" s="1">
        <f>+datos!JD1</f>
        <v>264</v>
      </c>
      <c r="CG22" s="1">
        <f t="shared" si="26"/>
        <v>0</v>
      </c>
      <c r="CH22" s="1">
        <f t="shared" si="27"/>
        <v>0</v>
      </c>
      <c r="CJ22" s="1">
        <f t="shared" ref="CJ22:CY24" si="43">+VLOOKUP(CJ$1,ran_dat,$BX22,FALSE)</f>
        <v>45.834687599999995</v>
      </c>
      <c r="CK22" s="1">
        <f t="shared" si="43"/>
        <v>54.830270300000002</v>
      </c>
      <c r="CL22" s="1">
        <f t="shared" si="43"/>
        <v>93.57534471000001</v>
      </c>
      <c r="CM22" s="1">
        <f t="shared" si="43"/>
        <v>121.04017274</v>
      </c>
      <c r="CN22" s="1">
        <f t="shared" si="43"/>
        <v>27.891120319999999</v>
      </c>
      <c r="CO22" s="1">
        <f t="shared" si="43"/>
        <v>5.5120895000000001</v>
      </c>
      <c r="CP22" s="1">
        <f t="shared" si="43"/>
        <v>9.7228914799999995</v>
      </c>
      <c r="CQ22" s="1">
        <f t="shared" si="43"/>
        <v>6.2035308000000002</v>
      </c>
      <c r="CR22" s="1">
        <f t="shared" si="43"/>
        <v>65.18720725</v>
      </c>
      <c r="CS22" s="1">
        <f t="shared" si="43"/>
        <v>34.962073999999994</v>
      </c>
      <c r="CT22" s="1">
        <f t="shared" si="43"/>
        <v>41.640055749999995</v>
      </c>
      <c r="CU22" s="1">
        <f t="shared" si="43"/>
        <v>54.488227269999996</v>
      </c>
      <c r="CV22" s="1">
        <f t="shared" si="43"/>
        <v>45.888815350000002</v>
      </c>
      <c r="CW22" s="1">
        <f t="shared" si="43"/>
        <v>56.365947810000002</v>
      </c>
      <c r="CX22" s="1">
        <f t="shared" si="43"/>
        <v>58.671597329999997</v>
      </c>
      <c r="CY22" s="1">
        <f t="shared" si="43"/>
        <v>31.625168280000004</v>
      </c>
      <c r="CZ22" s="1">
        <f t="shared" ref="CZ22:DG24" si="44">+VLOOKUP(CZ$1,ran_dat,$BX22,FALSE)</f>
        <v>17.697801470000002</v>
      </c>
      <c r="DA22" s="1">
        <f t="shared" si="44"/>
        <v>30.191481329999998</v>
      </c>
      <c r="DB22" s="1">
        <f t="shared" si="44"/>
        <v>36.249269399999989</v>
      </c>
      <c r="DC22" s="1">
        <f t="shared" si="44"/>
        <v>40.108989959999995</v>
      </c>
      <c r="DD22" s="1">
        <f t="shared" si="44"/>
        <v>56.890802439999995</v>
      </c>
      <c r="DE22" s="1">
        <f t="shared" si="44"/>
        <v>36.8257318</v>
      </c>
      <c r="DF22" s="1">
        <f t="shared" si="44"/>
        <v>51.381121719999996</v>
      </c>
      <c r="DG22" s="1">
        <f t="shared" si="44"/>
        <v>33.051481680000002</v>
      </c>
      <c r="DI22" s="1">
        <f t="shared" ref="DI22:DX24" si="45">+VLOOKUP(DI$1,ran_dat,$CB22,FALSE)</f>
        <v>3.4339864000000002</v>
      </c>
      <c r="DJ22" s="1">
        <f t="shared" si="45"/>
        <v>2.5223350999999994</v>
      </c>
      <c r="DK22" s="1">
        <f t="shared" si="45"/>
        <v>3.5013919399999995</v>
      </c>
      <c r="DL22" s="1">
        <f t="shared" si="45"/>
        <v>4.00557768</v>
      </c>
      <c r="DM22" s="1">
        <f t="shared" si="45"/>
        <v>5.1774083700000002</v>
      </c>
      <c r="DN22" s="1">
        <f t="shared" si="45"/>
        <v>5.7823087099999997</v>
      </c>
      <c r="DO22" s="1">
        <f t="shared" si="45"/>
        <v>5.6310443999999995</v>
      </c>
      <c r="DP22" s="1">
        <f t="shared" si="45"/>
        <v>4.1108512499999996</v>
      </c>
      <c r="DQ22" s="1">
        <f t="shared" si="45"/>
        <v>6.9241559000000006</v>
      </c>
      <c r="DR22" s="1">
        <f t="shared" si="45"/>
        <v>4.9762964800000002</v>
      </c>
      <c r="DS22" s="1">
        <f t="shared" si="45"/>
        <v>5.7062324599999998</v>
      </c>
      <c r="DT22" s="1">
        <f t="shared" si="45"/>
        <v>5.3893107900000006</v>
      </c>
      <c r="DU22" s="1">
        <f t="shared" si="45"/>
        <v>5.0602291599999996</v>
      </c>
      <c r="DV22" s="1">
        <f t="shared" si="45"/>
        <v>1.1636776099999999</v>
      </c>
      <c r="DW22" s="1">
        <f t="shared" si="45"/>
        <v>4.3331795800000004</v>
      </c>
      <c r="DX22" s="1">
        <f t="shared" si="45"/>
        <v>5.5991701699999998</v>
      </c>
      <c r="DY22" s="1">
        <f t="shared" si="41"/>
        <v>5.1284923700000009</v>
      </c>
      <c r="DZ22" s="1">
        <f t="shared" si="41"/>
        <v>4.8853449399999995</v>
      </c>
      <c r="EA22" s="1">
        <f t="shared" si="41"/>
        <v>4.5019780499999991</v>
      </c>
      <c r="EB22" s="1">
        <f t="shared" si="41"/>
        <v>3.2870284000000001</v>
      </c>
      <c r="EC22" s="1">
        <f t="shared" si="41"/>
        <v>2.2553329799999999</v>
      </c>
      <c r="ED22" s="1">
        <f t="shared" si="41"/>
        <v>4.9563280900000004</v>
      </c>
      <c r="EE22" s="1">
        <f t="shared" si="41"/>
        <v>5.4312745199999997</v>
      </c>
      <c r="EF22" s="1">
        <f t="shared" si="41"/>
        <v>5.9427570699999999</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4"/>
        <v>-9.8826933101133108E-2</v>
      </c>
    </row>
    <row r="23" spans="1:163" ht="18.75" customHeight="1">
      <c r="A23" s="244" t="s">
        <v>219</v>
      </c>
      <c r="B23" s="247"/>
      <c r="C23" s="228">
        <f t="shared" si="5"/>
        <v>-0.99</v>
      </c>
      <c r="D23" s="229">
        <v>-1</v>
      </c>
      <c r="E23" s="253">
        <f t="shared" si="6"/>
        <v>8.0837347202461496E-2</v>
      </c>
      <c r="F23" s="254">
        <f t="shared" si="7"/>
        <v>6.2084299071665905E-2</v>
      </c>
      <c r="G23" s="253">
        <f t="shared" si="8"/>
        <v>2.5555300440876394E-2</v>
      </c>
      <c r="H23" s="254">
        <f t="shared" si="9"/>
        <v>5.5282046761585102E-2</v>
      </c>
      <c r="I23" s="253">
        <f t="shared" si="10"/>
        <v>-0.14990393602513596</v>
      </c>
      <c r="J23" s="254">
        <f t="shared" si="11"/>
        <v>-0.48546485068940082</v>
      </c>
      <c r="K23" s="253">
        <f t="shared" si="12"/>
        <v>0.22697030868833368</v>
      </c>
      <c r="L23" s="254">
        <f t="shared" si="13"/>
        <v>-0.37687424471346964</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3.7170326867422609E-2</v>
      </c>
      <c r="V23" s="258">
        <f t="shared" si="16"/>
        <v>3.7170326867422609E-2</v>
      </c>
      <c r="W23" s="253">
        <f t="shared" si="38"/>
        <v>1.49554645187429</v>
      </c>
      <c r="X23" s="258">
        <f t="shared" si="17"/>
        <v>1.49554645187429</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4</v>
      </c>
      <c r="AQ23" s="28">
        <f>VLOOKUP($A23,historia!$A$5:$CM$24,+HLOOKUP(AQ$2,historia!$A$3:$EC$4,2,FALSE),FALSE)</f>
        <v>4</v>
      </c>
      <c r="AR23" s="28">
        <f>VLOOKUP($A23,historia!$A$5:$CM$24,+HLOOKUP(AR$2,historia!$A$3:$EC$4,2,FALSE),FALSE)</f>
        <v>4</v>
      </c>
      <c r="AS23" s="28">
        <f>VLOOKUP($A23,historia!$A$5:$CM$24,+HLOOKUP(AS$2,historia!$A$3:$EC$4,2,FALSE),FALSE)</f>
        <v>4</v>
      </c>
      <c r="AT23" s="58">
        <f>VLOOKUP($A23,historia!$A$5:$CM$24,+HLOOKUP(AT$2,historia!$A$3:$EC$4,2,FALSE),FALSE)</f>
        <v>4</v>
      </c>
      <c r="AU23" s="58">
        <f>VLOOKUP($A23,historia!$A$5:$CM$24,+HLOOKUP(AU$2,historia!$A$3:$EC$4,2,FALSE),FALSE)</f>
        <v>4</v>
      </c>
      <c r="AV23" s="58">
        <f>VLOOKUP($A23,historia!$A$5:$CM$24,+HLOOKUP(AV$2,historia!$A$3:$EC$4,2,FALSE),FALSE)</f>
        <v>4</v>
      </c>
      <c r="AW23" s="58">
        <f>VLOOKUP($A23,historia!$A$5:$CM$24,+HLOOKUP(AW$2,historia!$A$3:$EC$4,2,FALSE),FALSE)</f>
        <v>4</v>
      </c>
      <c r="AX23" s="58">
        <f>VLOOKUP($A23,historia!$A$5:$CM$24,+HLOOKUP(AX$2,historia!$A$3:$EC$4,2,FALSE),FALSE)</f>
        <v>4</v>
      </c>
      <c r="AY23" s="58">
        <f>VLOOKUP($A23,historia!$A$5:$CM$24,+HLOOKUP(AY$2,historia!$A$3:$EC$4,2,FALSE),FALSE)</f>
        <v>4</v>
      </c>
      <c r="AZ23" s="58">
        <f>VLOOKUP($A23,historia!$A$5:$CM$24,+HLOOKUP(AZ$2,historia!$A$3:$EC$4,2,FALSE),FALSE)</f>
        <v>4</v>
      </c>
      <c r="BA23" s="58">
        <f>VLOOKUP($A23,historia!$A$5:$DG$24,+HLOOKUP(BA$2,historia!$A$3:$EC$4,2,FALSE),FALSE)</f>
        <v>4</v>
      </c>
      <c r="BB23" s="58"/>
      <c r="BC23" s="286">
        <v>4</v>
      </c>
      <c r="BD23" t="str">
        <f t="shared" si="20"/>
        <v>Vino y Mosto</v>
      </c>
      <c r="BE23">
        <f>+datos!AM1</f>
        <v>39</v>
      </c>
      <c r="BF23" s="2" t="str">
        <f t="shared" si="4"/>
        <v>$/l</v>
      </c>
      <c r="BG23" s="2">
        <f t="shared" si="4"/>
        <v>304.32639999999998</v>
      </c>
      <c r="BH23" s="2">
        <f t="shared" si="4"/>
        <v>281.56540000000001</v>
      </c>
      <c r="BI23" s="2">
        <f t="shared" si="4"/>
        <v>357.99060000000003</v>
      </c>
      <c r="BK23">
        <f>+datos!CP1</f>
        <v>94</v>
      </c>
      <c r="BL23" s="2">
        <f t="shared" si="21"/>
        <v>11955.362529600978</v>
      </c>
      <c r="BM23" s="2">
        <f t="shared" si="21"/>
        <v>11657.452820400305</v>
      </c>
      <c r="BN23" s="2">
        <f t="shared" si="21"/>
        <v>9743.8075273244394</v>
      </c>
      <c r="BP23" s="1">
        <f>+datos!EF1</f>
        <v>136</v>
      </c>
      <c r="BQ23" s="1">
        <f t="shared" si="22"/>
        <v>196220</v>
      </c>
      <c r="BR23" s="1">
        <f t="shared" si="22"/>
        <v>199946</v>
      </c>
      <c r="BT23" s="1">
        <f>+datos!GB1</f>
        <v>184</v>
      </c>
      <c r="BU23" s="1">
        <f t="shared" si="23"/>
        <v>19908335</v>
      </c>
      <c r="BV23" s="1">
        <f t="shared" si="23"/>
        <v>19189740</v>
      </c>
      <c r="BX23" s="1">
        <f>+datos!JU1</f>
        <v>281</v>
      </c>
      <c r="BY23" s="1">
        <f t="shared" si="39"/>
        <v>977.63076389000025</v>
      </c>
      <c r="BZ23" s="1">
        <f t="shared" si="40"/>
        <v>942.59422831999996</v>
      </c>
      <c r="CB23" s="1">
        <f>+datos!KZ1</f>
        <v>312</v>
      </c>
      <c r="CC23" s="2">
        <f t="shared" si="24"/>
        <v>35.839069529999996</v>
      </c>
      <c r="CD23" s="2">
        <f t="shared" si="25"/>
        <v>14.361211150000001</v>
      </c>
      <c r="CF23" s="1">
        <f>+datos!IQ1</f>
        <v>251</v>
      </c>
      <c r="CG23" s="1">
        <f t="shared" si="26"/>
        <v>16.079999999999998</v>
      </c>
      <c r="CH23" s="1">
        <f t="shared" si="27"/>
        <v>16.3</v>
      </c>
      <c r="CJ23" s="1">
        <f t="shared" si="43"/>
        <v>82.138745600000007</v>
      </c>
      <c r="CK23" s="1">
        <f t="shared" si="43"/>
        <v>101.39273792999998</v>
      </c>
      <c r="CL23" s="1">
        <f t="shared" si="43"/>
        <v>71.170798900000008</v>
      </c>
      <c r="CM23" s="1">
        <f t="shared" si="43"/>
        <v>88.994061629999976</v>
      </c>
      <c r="CN23" s="1">
        <f t="shared" si="43"/>
        <v>77.155977009999987</v>
      </c>
      <c r="CO23" s="1">
        <f t="shared" si="43"/>
        <v>74.722979570000021</v>
      </c>
      <c r="CP23" s="1">
        <f t="shared" si="43"/>
        <v>63.754065359999977</v>
      </c>
      <c r="CQ23" s="1">
        <f t="shared" si="43"/>
        <v>50.923025279999997</v>
      </c>
      <c r="CR23" s="1">
        <f t="shared" si="43"/>
        <v>85.381089520000018</v>
      </c>
      <c r="CS23" s="1">
        <f t="shared" si="43"/>
        <v>87.09478919</v>
      </c>
      <c r="CT23" s="1">
        <f t="shared" si="43"/>
        <v>88.790830600000021</v>
      </c>
      <c r="CU23" s="1">
        <f t="shared" si="43"/>
        <v>106.11166329999998</v>
      </c>
      <c r="CV23" s="1">
        <f t="shared" si="43"/>
        <v>99.074693340000039</v>
      </c>
      <c r="CW23" s="1">
        <f t="shared" si="43"/>
        <v>115.95052356999999</v>
      </c>
      <c r="CX23" s="1">
        <f t="shared" si="43"/>
        <v>55.887516779999999</v>
      </c>
      <c r="CY23" s="1">
        <f t="shared" si="43"/>
        <v>84.428757199999993</v>
      </c>
      <c r="CZ23" s="1">
        <f t="shared" si="44"/>
        <v>70.799436420000006</v>
      </c>
      <c r="DA23" s="1">
        <f t="shared" si="44"/>
        <v>83.547570889999989</v>
      </c>
      <c r="DB23" s="1">
        <f t="shared" si="44"/>
        <v>59.429446169999991</v>
      </c>
      <c r="DC23" s="1">
        <f t="shared" si="44"/>
        <v>57.397509530000008</v>
      </c>
      <c r="DD23" s="1">
        <f t="shared" si="44"/>
        <v>71.762443020000006</v>
      </c>
      <c r="DE23" s="1">
        <f t="shared" si="44"/>
        <v>76.246675170000003</v>
      </c>
      <c r="DF23" s="1">
        <f t="shared" si="44"/>
        <v>81.396405279999982</v>
      </c>
      <c r="DG23" s="1">
        <f t="shared" si="44"/>
        <v>86.673250950000011</v>
      </c>
      <c r="DI23" s="1">
        <f t="shared" si="45"/>
        <v>3.3465065500000004</v>
      </c>
      <c r="DJ23" s="1">
        <f t="shared" si="45"/>
        <v>3.10878063</v>
      </c>
      <c r="DK23" s="1">
        <f t="shared" si="45"/>
        <v>5.0584831100000001</v>
      </c>
      <c r="DL23" s="1">
        <f t="shared" si="45"/>
        <v>4.0554375800000004</v>
      </c>
      <c r="DM23" s="1">
        <f t="shared" si="45"/>
        <v>3.476448889999999</v>
      </c>
      <c r="DN23" s="1">
        <f t="shared" si="45"/>
        <v>3.23844815</v>
      </c>
      <c r="DO23" s="1">
        <f t="shared" si="45"/>
        <v>1.94679845</v>
      </c>
      <c r="DP23" s="1">
        <f t="shared" si="45"/>
        <v>0.41117072999999998</v>
      </c>
      <c r="DQ23" s="1">
        <f t="shared" si="45"/>
        <v>1.6918772199999998</v>
      </c>
      <c r="DR23" s="1">
        <f t="shared" si="45"/>
        <v>4.1008112300000006</v>
      </c>
      <c r="DS23" s="1">
        <f t="shared" si="45"/>
        <v>2.9628047099999995</v>
      </c>
      <c r="DT23" s="1">
        <f t="shared" si="45"/>
        <v>2.4415022799999999</v>
      </c>
      <c r="DU23" s="1">
        <f t="shared" si="45"/>
        <v>2.4186424700000004</v>
      </c>
      <c r="DV23" s="1">
        <f t="shared" si="45"/>
        <v>2.3161338599999999</v>
      </c>
      <c r="DW23" s="1">
        <f t="shared" si="45"/>
        <v>0.34545517000000003</v>
      </c>
      <c r="DX23" s="1">
        <f t="shared" si="45"/>
        <v>1.3068112300000001</v>
      </c>
      <c r="DY23" s="1">
        <f t="shared" si="41"/>
        <v>1.01985657</v>
      </c>
      <c r="DZ23" s="1">
        <f t="shared" si="41"/>
        <v>0.49471243999999998</v>
      </c>
      <c r="EA23" s="1">
        <f t="shared" si="41"/>
        <v>0.76659119999999992</v>
      </c>
      <c r="EB23" s="1">
        <f t="shared" si="41"/>
        <v>0.41683354000000006</v>
      </c>
      <c r="EC23" s="1">
        <f t="shared" si="41"/>
        <v>1.01193058</v>
      </c>
      <c r="ED23" s="1">
        <f t="shared" si="41"/>
        <v>1.2280305999999999</v>
      </c>
      <c r="EE23" s="1">
        <f t="shared" si="41"/>
        <v>1.7214946800000002</v>
      </c>
      <c r="EF23" s="1">
        <f t="shared" si="41"/>
        <v>1.3147188099999998</v>
      </c>
      <c r="EH23" s="14">
        <f t="shared" si="46"/>
        <v>16.079999999999998</v>
      </c>
      <c r="EI23" s="14">
        <f t="shared" si="46"/>
        <v>16.079999999999998</v>
      </c>
      <c r="EJ23" s="1">
        <f t="shared" si="46"/>
        <v>16.079999999999998</v>
      </c>
      <c r="EK23" s="1">
        <f t="shared" si="46"/>
        <v>16.079999999999998</v>
      </c>
      <c r="EL23" s="1">
        <f t="shared" si="46"/>
        <v>16.079999999999998</v>
      </c>
      <c r="EM23" s="1">
        <f t="shared" si="46"/>
        <v>16.079999999999998</v>
      </c>
      <c r="EN23" s="1">
        <f t="shared" si="46"/>
        <v>16.079999999999998</v>
      </c>
      <c r="EO23" s="1">
        <f t="shared" si="46"/>
        <v>16.079999999999998</v>
      </c>
      <c r="EP23" s="1">
        <f t="shared" si="46"/>
        <v>16.3</v>
      </c>
      <c r="EQ23" s="1">
        <f t="shared" si="46"/>
        <v>16.3</v>
      </c>
      <c r="ER23" s="1">
        <f t="shared" si="46"/>
        <v>16.3</v>
      </c>
      <c r="ES23" s="1">
        <f t="shared" si="46"/>
        <v>16.3</v>
      </c>
      <c r="ET23" s="1">
        <f t="shared" si="46"/>
        <v>16.3</v>
      </c>
      <c r="EU23" s="1">
        <f t="shared" si="46"/>
        <v>16.3</v>
      </c>
      <c r="EV23" s="1">
        <f t="shared" si="46"/>
        <v>16.3</v>
      </c>
      <c r="EW23" s="1">
        <f t="shared" si="46"/>
        <v>16.3</v>
      </c>
      <c r="EX23" s="1">
        <f t="shared" si="42"/>
        <v>16.3</v>
      </c>
      <c r="EY23" s="1">
        <f t="shared" si="42"/>
        <v>16.3</v>
      </c>
      <c r="EZ23" s="1">
        <f t="shared" si="42"/>
        <v>16.3</v>
      </c>
      <c r="FA23" s="1">
        <f t="shared" si="42"/>
        <v>16.3</v>
      </c>
      <c r="FB23" s="1">
        <f t="shared" si="42"/>
        <v>16.7</v>
      </c>
      <c r="FC23" s="1">
        <f t="shared" si="42"/>
        <v>16.7</v>
      </c>
      <c r="FD23" s="1">
        <f t="shared" si="42"/>
        <v>16.7</v>
      </c>
      <c r="FE23" s="1">
        <f t="shared" si="42"/>
        <v>16.7</v>
      </c>
      <c r="FG23" s="162">
        <f t="shared" si="34"/>
        <v>-0.37687424471346964</v>
      </c>
    </row>
    <row r="24" spans="1:163" ht="18.75" customHeight="1">
      <c r="A24" s="243" t="s">
        <v>39</v>
      </c>
      <c r="B24" s="246"/>
      <c r="C24" s="156">
        <f t="shared" si="5"/>
        <v>-0.65999999999999992</v>
      </c>
      <c r="D24" s="198">
        <v>-3</v>
      </c>
      <c r="E24" s="248">
        <f t="shared" si="6"/>
        <v>-3.3333333333333326E-2</v>
      </c>
      <c r="F24" s="249">
        <f t="shared" si="7"/>
        <v>-5.2086381464128917E-2</v>
      </c>
      <c r="G24" s="248">
        <f t="shared" si="8"/>
        <v>1.7930611744842784E-2</v>
      </c>
      <c r="H24" s="249">
        <f t="shared" si="9"/>
        <v>-5.126394507817611E-2</v>
      </c>
      <c r="I24" s="248">
        <f t="shared" si="10"/>
        <v>0.38095238095238093</v>
      </c>
      <c r="J24" s="249">
        <f t="shared" si="11"/>
        <v>4.5391466288116078E-2</v>
      </c>
      <c r="K24" s="248">
        <f t="shared" si="12"/>
        <v>0.37958719871309476</v>
      </c>
      <c r="L24" s="249">
        <f t="shared" si="13"/>
        <v>1.3651822392861668E-3</v>
      </c>
      <c r="M24" s="250"/>
      <c r="N24" s="24">
        <v>1</v>
      </c>
      <c r="O24" s="248">
        <f t="shared" si="35"/>
        <v>4.7599193940657258E-3</v>
      </c>
      <c r="P24" s="251">
        <f t="shared" si="36"/>
        <v>4.7599193940657258E-3</v>
      </c>
      <c r="Q24" s="248">
        <f t="shared" si="14"/>
        <v>-0.11154126693048294</v>
      </c>
      <c r="R24" s="251">
        <f t="shared" si="37"/>
        <v>-0.11154126693048294</v>
      </c>
      <c r="S24" s="250"/>
      <c r="T24" s="24">
        <v>0</v>
      </c>
      <c r="U24" s="248">
        <f t="shared" si="15"/>
        <v>3.6856603658671272E-2</v>
      </c>
      <c r="V24" s="252">
        <f t="shared" si="16"/>
        <v>3.6856603658671272E-2</v>
      </c>
      <c r="W24" s="248">
        <f t="shared" si="38"/>
        <v>5.0491543741078893E-2</v>
      </c>
      <c r="X24" s="258">
        <f t="shared" si="17"/>
        <v>5.0491543741078893E-2</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f>VLOOKUP($A24,historia!$A$5:$CM$24,+HLOOKUP(AY$2,historia!$A$3:$EC$4,2,FALSE),FALSE)</f>
        <v>4</v>
      </c>
      <c r="AZ24" s="58">
        <f>VLOOKUP($A24,historia!$A$5:$CM$24,+HLOOKUP(AZ$2,historia!$A$3:$EC$4,2,FALSE),FALSE)</f>
        <v>4</v>
      </c>
      <c r="BA24" s="58">
        <f>VLOOKUP($A24,historia!$A$5:$DG$24,+HLOOKUP(BA$2,historia!$A$3:$EC$4,2,FALSE),FALSE)</f>
        <v>4</v>
      </c>
      <c r="BB24" s="58"/>
      <c r="BC24" s="286">
        <v>4</v>
      </c>
      <c r="BD24" t="str">
        <f t="shared" si="20"/>
        <v>Yerba Mate</v>
      </c>
      <c r="BE24">
        <f>+datos!AG1</f>
        <v>33</v>
      </c>
      <c r="BF24" s="2" t="str">
        <f t="shared" si="4"/>
        <v>$/t</v>
      </c>
      <c r="BG24" s="2">
        <f t="shared" si="4"/>
        <v>290000</v>
      </c>
      <c r="BH24" s="2">
        <f t="shared" si="4"/>
        <v>300000</v>
      </c>
      <c r="BI24" s="2">
        <f t="shared" si="4"/>
        <v>210000</v>
      </c>
      <c r="BK24">
        <f>+datos!CY1</f>
        <v>103</v>
      </c>
      <c r="BL24" s="2">
        <f t="shared" si="21"/>
        <v>11070.984345801633</v>
      </c>
      <c r="BM24" s="2">
        <f t="shared" si="21"/>
        <v>10875.971523073436</v>
      </c>
      <c r="BN24" s="2">
        <f t="shared" si="21"/>
        <v>8024.8529097173832</v>
      </c>
      <c r="BP24" s="1">
        <f>+datos!ED1</f>
        <v>134</v>
      </c>
      <c r="BQ24" s="1">
        <f t="shared" si="22"/>
        <v>231352</v>
      </c>
      <c r="BR24" s="1">
        <f t="shared" si="22"/>
        <v>230256</v>
      </c>
      <c r="BT24" s="1">
        <f>+datos!FZ1</f>
        <v>182</v>
      </c>
      <c r="BU24" s="1">
        <f t="shared" si="23"/>
        <v>884924</v>
      </c>
      <c r="BV24" s="1">
        <f t="shared" si="23"/>
        <v>996021.5</v>
      </c>
      <c r="BX24" s="1">
        <f>+datos!KD1</f>
        <v>290</v>
      </c>
      <c r="BY24" s="1">
        <f t="shared" si="39"/>
        <v>117.42679364</v>
      </c>
      <c r="BZ24" s="1">
        <f t="shared" si="40"/>
        <v>113.25268434000002</v>
      </c>
      <c r="CB24" s="1">
        <f>+datos!LI1</f>
        <v>321</v>
      </c>
      <c r="CC24" s="2">
        <f t="shared" si="24"/>
        <v>24.332174079999998</v>
      </c>
      <c r="CD24" s="2">
        <f t="shared" si="25"/>
        <v>23.162655829999999</v>
      </c>
      <c r="CF24" s="1">
        <f>+datos!IP1</f>
        <v>250</v>
      </c>
      <c r="CG24" s="1">
        <f t="shared" si="26"/>
        <v>5.7424738987207355</v>
      </c>
      <c r="CH24" s="1">
        <f t="shared" si="27"/>
        <v>5.5693606783423002</v>
      </c>
      <c r="CJ24" s="1">
        <f t="shared" si="43"/>
        <v>8.5848558799999992</v>
      </c>
      <c r="CK24" s="1">
        <f t="shared" si="43"/>
        <v>12.502816449999999</v>
      </c>
      <c r="CL24" s="1">
        <f t="shared" si="43"/>
        <v>10.79513302</v>
      </c>
      <c r="CM24" s="1">
        <f t="shared" si="43"/>
        <v>10.492918690000002</v>
      </c>
      <c r="CN24" s="1">
        <f t="shared" si="43"/>
        <v>7.4906505000000001</v>
      </c>
      <c r="CO24" s="1">
        <f t="shared" si="43"/>
        <v>7.8719914600000003</v>
      </c>
      <c r="CP24" s="1">
        <f t="shared" si="43"/>
        <v>9.8166064800000008</v>
      </c>
      <c r="CQ24" s="1">
        <f t="shared" si="43"/>
        <v>7.1690497699999991</v>
      </c>
      <c r="CR24" s="1">
        <f t="shared" si="43"/>
        <v>10.805856030000001</v>
      </c>
      <c r="CS24" s="1">
        <f t="shared" si="43"/>
        <v>10.476429469999998</v>
      </c>
      <c r="CT24" s="1">
        <f t="shared" si="43"/>
        <v>11.361751129999998</v>
      </c>
      <c r="CU24" s="1">
        <f t="shared" si="43"/>
        <v>10.05873476</v>
      </c>
      <c r="CV24" s="1">
        <f t="shared" si="43"/>
        <v>9.4659040999999995</v>
      </c>
      <c r="CW24" s="1">
        <f t="shared" si="43"/>
        <v>8.3006057400000017</v>
      </c>
      <c r="CX24" s="1">
        <f t="shared" si="43"/>
        <v>11.077079630000002</v>
      </c>
      <c r="CY24" s="1">
        <f t="shared" si="43"/>
        <v>7.2906957700000001</v>
      </c>
      <c r="CZ24" s="1">
        <f t="shared" si="44"/>
        <v>8.852789640000001</v>
      </c>
      <c r="DA24" s="1">
        <f t="shared" si="44"/>
        <v>12.408222910000001</v>
      </c>
      <c r="DB24" s="1">
        <f t="shared" si="44"/>
        <v>8.8663402400000013</v>
      </c>
      <c r="DC24" s="1">
        <f t="shared" si="44"/>
        <v>9.2397224899999983</v>
      </c>
      <c r="DD24" s="1">
        <f t="shared" si="44"/>
        <v>7.1224329199999996</v>
      </c>
      <c r="DE24" s="1">
        <f t="shared" si="44"/>
        <v>8.6156523299999996</v>
      </c>
      <c r="DF24" s="1">
        <f t="shared" si="44"/>
        <v>10.17972451</v>
      </c>
      <c r="DG24" s="1">
        <f t="shared" si="44"/>
        <v>11.833514059999999</v>
      </c>
      <c r="DI24" s="1">
        <f t="shared" si="45"/>
        <v>1.7438363500000003</v>
      </c>
      <c r="DJ24" s="1">
        <f t="shared" si="45"/>
        <v>2.3219247899999997</v>
      </c>
      <c r="DK24" s="1">
        <f t="shared" si="45"/>
        <v>1.6709123100000001</v>
      </c>
      <c r="DL24" s="1">
        <f t="shared" si="45"/>
        <v>3.5033770500000001</v>
      </c>
      <c r="DM24" s="1">
        <f t="shared" si="45"/>
        <v>2.2730154199999997</v>
      </c>
      <c r="DN24" s="1">
        <f t="shared" si="45"/>
        <v>2.4041640299999996</v>
      </c>
      <c r="DO24" s="1">
        <f t="shared" si="45"/>
        <v>2.0218665100000002</v>
      </c>
      <c r="DP24" s="1">
        <f t="shared" si="45"/>
        <v>1.1839526999999999</v>
      </c>
      <c r="DQ24" s="1">
        <f t="shared" si="45"/>
        <v>1.1744757299999999</v>
      </c>
      <c r="DR24" s="1">
        <f t="shared" si="45"/>
        <v>2.1750064099999999</v>
      </c>
      <c r="DS24" s="1">
        <f t="shared" si="45"/>
        <v>2.6101839400000002</v>
      </c>
      <c r="DT24" s="1">
        <f t="shared" si="45"/>
        <v>1.2494588400000002</v>
      </c>
      <c r="DU24" s="1">
        <f t="shared" si="45"/>
        <v>0.60028256999999996</v>
      </c>
      <c r="DV24" s="1">
        <f t="shared" si="45"/>
        <v>1.7316709800000001</v>
      </c>
      <c r="DW24" s="1">
        <f t="shared" si="45"/>
        <v>1.1554743999999999</v>
      </c>
      <c r="DX24" s="1">
        <f t="shared" si="45"/>
        <v>1.50586095</v>
      </c>
      <c r="DY24" s="1">
        <f t="shared" si="41"/>
        <v>3.2398820599999998</v>
      </c>
      <c r="DZ24" s="1">
        <f t="shared" si="41"/>
        <v>3.1775986299999999</v>
      </c>
      <c r="EA24" s="1">
        <f t="shared" si="41"/>
        <v>2.4176205400000002</v>
      </c>
      <c r="EB24" s="1">
        <f t="shared" si="41"/>
        <v>1.0621514699999999</v>
      </c>
      <c r="EC24" s="1">
        <f t="shared" si="41"/>
        <v>1.8796713600000001</v>
      </c>
      <c r="ED24" s="1">
        <f t="shared" si="41"/>
        <v>2.4189343299999999</v>
      </c>
      <c r="EE24" s="1">
        <f t="shared" si="41"/>
        <v>2.31537419</v>
      </c>
      <c r="EF24" s="1">
        <f t="shared" si="41"/>
        <v>1.6581343500000001</v>
      </c>
      <c r="EH24" s="14">
        <f t="shared" si="46"/>
        <v>5.7424738987207355</v>
      </c>
      <c r="EI24" s="14">
        <f t="shared" si="46"/>
        <v>5.7424738987207355</v>
      </c>
      <c r="EJ24" s="1">
        <f t="shared" si="46"/>
        <v>5.7424738987207355</v>
      </c>
      <c r="EK24" s="1">
        <f t="shared" si="46"/>
        <v>5.7424738987207355</v>
      </c>
      <c r="EL24" s="1">
        <f t="shared" si="46"/>
        <v>5.7424738987207355</v>
      </c>
      <c r="EM24" s="1">
        <f t="shared" si="46"/>
        <v>5.7424738987207355</v>
      </c>
      <c r="EN24" s="1">
        <f t="shared" si="46"/>
        <v>5.7424738987207355</v>
      </c>
      <c r="EO24" s="1">
        <f t="shared" si="46"/>
        <v>5.7424738987207355</v>
      </c>
      <c r="EP24" s="1">
        <f t="shared" si="46"/>
        <v>5.5693606783423002</v>
      </c>
      <c r="EQ24" s="1">
        <f t="shared" si="46"/>
        <v>5.5693606783423002</v>
      </c>
      <c r="ER24" s="1">
        <f t="shared" si="46"/>
        <v>5.5693606783423002</v>
      </c>
      <c r="ES24" s="1">
        <f t="shared" si="46"/>
        <v>5.5693606783423002</v>
      </c>
      <c r="ET24" s="1">
        <f t="shared" si="46"/>
        <v>5.5693606783423002</v>
      </c>
      <c r="EU24" s="1">
        <f t="shared" si="46"/>
        <v>5.5693606783423002</v>
      </c>
      <c r="EV24" s="1">
        <f t="shared" si="46"/>
        <v>5.5693606783423002</v>
      </c>
      <c r="EW24" s="1">
        <f t="shared" si="46"/>
        <v>5.5693606783423002</v>
      </c>
      <c r="EX24" s="1">
        <f t="shared" si="42"/>
        <v>5.5693606783423002</v>
      </c>
      <c r="EY24" s="1">
        <f t="shared" si="42"/>
        <v>5.5693606783423002</v>
      </c>
      <c r="EZ24" s="1">
        <f t="shared" si="42"/>
        <v>5.5693606783423002</v>
      </c>
      <c r="FA24" s="1">
        <f t="shared" si="42"/>
        <v>5.5693606783423002</v>
      </c>
      <c r="FB24" s="1">
        <f t="shared" si="42"/>
        <v>6.139895208369488</v>
      </c>
      <c r="FC24" s="1">
        <f t="shared" si="42"/>
        <v>6.139895208369488</v>
      </c>
      <c r="FD24" s="1">
        <f t="shared" si="42"/>
        <v>6.139895208369488</v>
      </c>
      <c r="FE24" s="1">
        <f t="shared" si="42"/>
        <v>6.139895208369488</v>
      </c>
      <c r="FG24" s="162">
        <f t="shared" si="34"/>
        <v>1.3651822392861668E-3</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T25" s="58"/>
      <c r="AU25" s="58"/>
      <c r="AV25" s="58"/>
      <c r="AW25" s="58"/>
      <c r="AX25" s="58"/>
      <c r="AY25" s="58"/>
      <c r="AZ25" s="58"/>
      <c r="BA25" s="58"/>
      <c r="BB25" s="58"/>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E26" s="12">
        <f>+AVERAGE(E6:E24)</f>
        <v>1.8183586180528307E-3</v>
      </c>
      <c r="F26" s="37">
        <f>+E26-$I$3</f>
        <v>-0.333742556046212</v>
      </c>
      <c r="G26" s="12">
        <f>+AVERAGE(G6:G24)</f>
        <v>1.7029624510017771E-2</v>
      </c>
      <c r="I26" s="12" t="e">
        <f>+AVERAGEIF(I6:I24,"&gt;211%")</f>
        <v>#DIV/0!</v>
      </c>
      <c r="J26" s="37" t="e">
        <f t="shared" si="11"/>
        <v>#DIV/0!</v>
      </c>
      <c r="K26" s="12">
        <f>+AVERAGE(K6:K24)</f>
        <v>0.30801890958833122</v>
      </c>
      <c r="O26" s="12">
        <f>+AVERAGE(O6:O24)</f>
        <v>3.434367495546467E-2</v>
      </c>
      <c r="AB26" s="57"/>
      <c r="BU26" s="1">
        <f>BU20-BV20</f>
        <v>52592</v>
      </c>
      <c r="BY26" s="1">
        <f>BY20-BZ20</f>
        <v>64.482597460000136</v>
      </c>
    </row>
    <row r="27" spans="1:163" ht="18.75" customHeight="1">
      <c r="I27" s="12">
        <f>+AVERAGEIF(I6:I24,"&lt;211%")</f>
        <v>0.12252784665557197</v>
      </c>
      <c r="K27" s="177">
        <f>+SUBTOTAL(101,K6:K21)</f>
        <v>0.30546143780881485</v>
      </c>
      <c r="V27" t="s">
        <v>167</v>
      </c>
      <c r="X27" s="162"/>
      <c r="BQ27" s="1">
        <f>+SUM(BQ6:BQ24)</f>
        <v>116556446</v>
      </c>
      <c r="BR27" s="1">
        <f>+SUM(BR6:BR24)</f>
        <v>114963750</v>
      </c>
      <c r="BU27" s="1">
        <f>+SUM(BU6:BU24)</f>
        <v>171394596.40871</v>
      </c>
      <c r="BV27" s="1">
        <f>+SUM(BV6:BV24)</f>
        <v>161562802.31295618</v>
      </c>
      <c r="BY27" s="1">
        <f>+SUM(BY6:BY24)</f>
        <v>55028.750846319992</v>
      </c>
      <c r="BZ27" s="1">
        <f>+SUM(BZ6:BZ24)</f>
        <v>52540.957966889997</v>
      </c>
      <c r="CC27" s="1">
        <f>+SUM(CC6:CC24)</f>
        <v>3488.2507835400002</v>
      </c>
      <c r="CD27" s="1">
        <f>+SUM(CD6:CD24)</f>
        <v>3916.8673900800004</v>
      </c>
      <c r="FG27" s="167">
        <f>+COUNTIF(FG6:FG24,"&gt;0")</f>
        <v>4</v>
      </c>
    </row>
    <row r="28" spans="1:163" ht="18.75" customHeight="1">
      <c r="A28" s="11">
        <f>+COUNTIF($C$6:$C$24,"&lt;0")</f>
        <v>10</v>
      </c>
      <c r="C28" s="156">
        <v>-1</v>
      </c>
      <c r="E28" s="167">
        <f>+COUNTIF($I$6:$I$24,"&lt;1,69")</f>
        <v>19</v>
      </c>
      <c r="F28" s="29">
        <v>-1</v>
      </c>
      <c r="I28" s="167">
        <f>+COUNTIF($I$6:$I$24,"&lt;1,69")</f>
        <v>19</v>
      </c>
      <c r="J28" s="29">
        <v>-1</v>
      </c>
      <c r="K28">
        <f>+COUNTIF($L$6:$L$24,"&lt;0")</f>
        <v>15</v>
      </c>
      <c r="L28" s="29">
        <v>-1</v>
      </c>
      <c r="O28">
        <f>+COUNTIF($P$6:$P$24,"&lt;0")</f>
        <v>6</v>
      </c>
      <c r="P28" s="262">
        <v>-1</v>
      </c>
      <c r="Q28">
        <f>+COUNTIF($R$6:$R$24,"&lt;0")</f>
        <v>5</v>
      </c>
      <c r="R28" s="262">
        <v>-1</v>
      </c>
      <c r="T28" s="57">
        <f>+COUNTIF($U$6:$U$24,"&lt;0")</f>
        <v>4</v>
      </c>
      <c r="U28" s="29">
        <v>-1</v>
      </c>
      <c r="BC28" s="141">
        <f>(4*0.5)+(4*0.25)+(2*0.25)</f>
        <v>3.5</v>
      </c>
      <c r="BD28">
        <f>ROUND(BC28,0)</f>
        <v>4</v>
      </c>
      <c r="BR28" t="s">
        <v>491</v>
      </c>
      <c r="BU28" s="167">
        <f>+SUMIFS(BU6:BU24,BC6:BC24,5)+SUMIFS(BU6:BU24,BC6:BC24,4)</f>
        <v>27144206</v>
      </c>
      <c r="BY28" s="10">
        <f>+BY27/BZ27-1</f>
        <v>4.7349591170334993E-2</v>
      </c>
      <c r="CC28" s="10">
        <f>+CC27/CD27-1</f>
        <v>-0.1094284191559638</v>
      </c>
    </row>
    <row r="29" spans="1:163" ht="18.75" customHeight="1">
      <c r="A29" s="11">
        <f>+COUNTIF($C$6:$C$24,C29)</f>
        <v>8</v>
      </c>
      <c r="C29" s="156">
        <v>0</v>
      </c>
      <c r="E29" s="167">
        <f>+COUNTIF($I$6:$I$24,"=1,69")</f>
        <v>0</v>
      </c>
      <c r="F29" s="29">
        <v>0</v>
      </c>
      <c r="I29" s="167">
        <f>+COUNTIF($I$6:$I$24,"=1,69")</f>
        <v>0</v>
      </c>
      <c r="J29" s="29">
        <v>0</v>
      </c>
      <c r="L29" s="29">
        <v>0</v>
      </c>
      <c r="O29">
        <f>+COUNTIF($P$6:$P$24,"=0")</f>
        <v>4</v>
      </c>
      <c r="P29" s="262">
        <v>0</v>
      </c>
      <c r="Q29">
        <f>+COUNTIF($R$6:$R$24,"=0")</f>
        <v>3</v>
      </c>
      <c r="R29" s="262">
        <v>0</v>
      </c>
      <c r="T29" s="57">
        <f>+COUNTIF($U$6:$U$24,"=0")</f>
        <v>0</v>
      </c>
      <c r="U29" s="29">
        <v>0</v>
      </c>
      <c r="BR29" t="s">
        <v>492</v>
      </c>
      <c r="BU29" s="167">
        <f>+SUMIFS(BU6:BU24,BC6:BC24,3)</f>
        <v>6165018.8347099992</v>
      </c>
    </row>
    <row r="30" spans="1:163" ht="18.75" customHeight="1">
      <c r="A30" s="11">
        <f>+COUNTIF($C$6:$C$24,"&gt;0")</f>
        <v>1</v>
      </c>
      <c r="C30" s="156">
        <v>1</v>
      </c>
      <c r="E30" s="167">
        <f>+COUNTIF($I$6:$I$24,"&gt;1,69")</f>
        <v>0</v>
      </c>
      <c r="F30" s="29">
        <v>1</v>
      </c>
      <c r="I30" s="167">
        <f>+COUNTIF($I$6:$I$24,"&gt;1,69")</f>
        <v>0</v>
      </c>
      <c r="J30" s="29">
        <v>1</v>
      </c>
      <c r="K30">
        <f>+COUNTIF($L$6:$L$24,"&gt;0")</f>
        <v>4</v>
      </c>
      <c r="L30" s="29">
        <v>1</v>
      </c>
      <c r="O30">
        <f>+COUNTIF($P$6:$P$24,"&gt;0")</f>
        <v>8</v>
      </c>
      <c r="P30" s="262">
        <v>1</v>
      </c>
      <c r="Q30">
        <f>+COUNTIF($R$6:$R$24,"&gt;0")</f>
        <v>11</v>
      </c>
      <c r="R30" s="262">
        <v>1</v>
      </c>
      <c r="T30" s="57">
        <f>+COUNTIF($U$6:$U$24,"&gt;0")</f>
        <v>14</v>
      </c>
      <c r="U30" s="29">
        <v>1</v>
      </c>
      <c r="X30" s="14"/>
      <c r="BR30" t="s">
        <v>493</v>
      </c>
      <c r="BU30" s="167">
        <f>+SUMIFS(BU6:BU24,BC6:BC24,1)+SUMIFS(BU6:BU24,BC6:BC24,2)</f>
        <v>138085371.574</v>
      </c>
      <c r="BX30" s="1"/>
    </row>
    <row r="31" spans="1:163" ht="18.75" customHeight="1">
      <c r="K31" s="12"/>
    </row>
    <row r="32" spans="1:163" ht="18.75" customHeight="1">
      <c r="C32" s="157"/>
      <c r="I32" s="14">
        <f>+COUNTIF(I6:I24,"&gt;211%")</f>
        <v>0</v>
      </c>
      <c r="J32" s="14"/>
      <c r="K32" s="14"/>
      <c r="Y32" s="163"/>
    </row>
    <row r="33" spans="1:164" ht="18.75" customHeight="1">
      <c r="C33" s="157"/>
      <c r="I33" s="12" t="e">
        <f>+I26/2</f>
        <v>#DIV/0!</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227" priority="53">
      <formula>AP6=0</formula>
    </cfRule>
    <cfRule type="expression" dxfId="226" priority="48">
      <formula>AP6=3</formula>
    </cfRule>
    <cfRule type="expression" dxfId="225" priority="49">
      <formula>AP6=5</formula>
    </cfRule>
    <cfRule type="expression" dxfId="224" priority="50">
      <formula>AP6=4</formula>
    </cfRule>
    <cfRule type="expression" dxfId="223" priority="51">
      <formula>AP6=2</formula>
    </cfRule>
    <cfRule type="expression" dxfId="222" priority="52">
      <formula>AP6=1</formula>
    </cfRule>
  </conditionalFormatting>
  <conditionalFormatting sqref="AN6:AN25">
    <cfRule type="expression" dxfId="221" priority="65">
      <formula>BA6=0</formula>
    </cfRule>
    <cfRule type="expression" dxfId="220" priority="60">
      <formula>BA6=3</formula>
    </cfRule>
    <cfRule type="expression" dxfId="219" priority="61">
      <formula>BA6=5</formula>
    </cfRule>
    <cfRule type="expression" dxfId="218" priority="62">
      <formula>BA6=4</formula>
    </cfRule>
    <cfRule type="expression" dxfId="217" priority="63">
      <formula>BA6=2</formula>
    </cfRule>
    <cfRule type="expression" dxfId="216" priority="64">
      <formula>BA6=1</formula>
    </cfRule>
  </conditionalFormatting>
  <conditionalFormatting sqref="AO6:AO25">
    <cfRule type="expression" dxfId="215" priority="54">
      <formula>#REF!=3</formula>
    </cfRule>
    <cfRule type="expression" dxfId="214" priority="55">
      <formula>#REF!=5</formula>
    </cfRule>
    <cfRule type="expression" dxfId="213" priority="56">
      <formula>#REF!=4</formula>
    </cfRule>
    <cfRule type="expression" dxfId="212" priority="58">
      <formula>#REF!=1</formula>
    </cfRule>
    <cfRule type="expression" dxfId="211" priority="59">
      <formula>#REF!=0</formula>
    </cfRule>
    <cfRule type="expression" dxfId="210" priority="57">
      <formula>#REF!=2</formula>
    </cfRule>
  </conditionalFormatting>
  <conditionalFormatting sqref="FG6:FG25 FG27">
    <cfRule type="colorScale" priority="23">
      <colorScale>
        <cfvo type="min"/>
        <cfvo type="percentile" val="50"/>
        <cfvo type="max"/>
        <color rgb="FFF8696B"/>
        <color rgb="FFFFEB84"/>
        <color rgb="FF63BE7B"/>
      </colorScale>
    </cfRule>
  </conditionalFormatting>
  <dataValidations disablePrompts="1" count="1">
    <dataValidation type="list" allowBlank="1" showInputMessage="1" showErrorMessage="1" sqref="A1:B1" xr:uid="{DFB407F6-1C41-4E31-B73C-EEA2438AE918}">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262BF37A-EEC7-4890-B250-4C53362775E2}">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F8402741-66C6-4957-96A7-EF9BD49D532B}">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11CF-C1E8-4BB3-AB82-C1FE6E5F4379}">
  <sheetPr>
    <tabColor theme="5" tint="-0.249977111117893"/>
    <pageSetUpPr fitToPage="1"/>
  </sheetPr>
  <dimension ref="A1:FI47"/>
  <sheetViews>
    <sheetView showGridLines="0" zoomScale="70" zoomScaleNormal="70" workbookViewId="0">
      <pane xSplit="4" topLeftCell="I1" activePane="topRight" state="frozen"/>
      <selection activeCell="BA2" sqref="BA2"/>
      <selection pane="topRight" activeCell="BA2" sqref="BA2"/>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6" width="6.5546875" style="23" customWidth="1"/>
    <col min="17" max="17" width="6.332031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2.33203125" style="57" customWidth="1"/>
    <col min="41" max="41" width="3" style="57" customWidth="1"/>
    <col min="42" max="42" width="5.33203125" style="28" customWidth="1"/>
    <col min="43" max="43" width="6" style="28" customWidth="1"/>
    <col min="44" max="44" width="5.33203125" style="28" customWidth="1"/>
    <col min="45" max="45" width="8.5546875" style="28" customWidth="1"/>
    <col min="46" max="46" width="5.5546875" customWidth="1"/>
    <col min="47" max="47" width="6.33203125" customWidth="1"/>
    <col min="48" max="48" width="6.88671875" customWidth="1"/>
    <col min="49" max="49" width="6.33203125" customWidth="1"/>
    <col min="50" max="50" width="5.33203125" customWidth="1"/>
    <col min="51" max="51" width="5.6640625" customWidth="1"/>
    <col min="52" max="52" width="5" customWidth="1"/>
    <col min="53" max="53" width="5.33203125" customWidth="1"/>
    <col min="54" max="54" width="6.33203125" customWidth="1"/>
    <col min="55" max="55" width="7.44140625" customWidth="1"/>
    <col min="56" max="56" width="11.6640625" style="141" customWidth="1"/>
    <col min="57" max="57" width="12" customWidth="1"/>
    <col min="58" max="58" width="0.88671875" customWidth="1"/>
    <col min="59" max="59" width="7.88671875" customWidth="1"/>
    <col min="60" max="62" width="8.88671875" bestFit="1" customWidth="1"/>
    <col min="63" max="63" width="2.44140625" customWidth="1"/>
    <col min="64" max="64" width="0.44140625" customWidth="1"/>
    <col min="65" max="67" width="7.88671875" customWidth="1"/>
    <col min="68" max="68" width="2.44140625" customWidth="1"/>
    <col min="69" max="69" width="0.44140625" customWidth="1"/>
    <col min="70" max="70" width="12.88671875" customWidth="1"/>
    <col min="71" max="71" width="12.44140625" customWidth="1"/>
    <col min="72" max="72" width="2.44140625" customWidth="1"/>
    <col min="73" max="73" width="0.5546875" customWidth="1"/>
    <col min="74" max="74" width="14.44140625" bestFit="1" customWidth="1"/>
    <col min="75" max="75" width="12.5546875" customWidth="1"/>
    <col min="76" max="76" width="2.44140625" customWidth="1"/>
    <col min="77" max="77" width="8.109375" customWidth="1"/>
    <col min="78" max="79" width="7.5546875" customWidth="1"/>
    <col min="80" max="80" width="2.88671875" customWidth="1"/>
    <col min="81" max="81" width="0.88671875" customWidth="1"/>
    <col min="82" max="83" width="7.44140625" customWidth="1"/>
    <col min="84" max="84" width="2.88671875" customWidth="1"/>
    <col min="85" max="85" width="0.5546875" customWidth="1"/>
    <col min="86" max="86" width="11" customWidth="1"/>
    <col min="87" max="87" width="10.88671875" customWidth="1"/>
    <col min="88" max="88" width="7" bestFit="1" customWidth="1"/>
    <col min="89" max="89" width="11" bestFit="1" customWidth="1"/>
    <col min="90" max="90" width="7" bestFit="1" customWidth="1"/>
    <col min="91" max="91" width="6.88671875" bestFit="1" customWidth="1"/>
    <col min="92" max="93" width="7" bestFit="1" customWidth="1"/>
    <col min="94" max="94" width="6.5546875" bestFit="1" customWidth="1"/>
    <col min="95" max="95" width="6.6640625" bestFit="1" customWidth="1"/>
    <col min="96" max="96" width="6.4414062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3" width="6.88671875" bestFit="1" customWidth="1"/>
    <col min="104" max="104" width="6.5546875" bestFit="1" customWidth="1"/>
    <col min="105" max="105" width="6.88671875" bestFit="1" customWidth="1"/>
    <col min="106" max="106" width="6.5546875" bestFit="1" customWidth="1"/>
    <col min="107" max="107" width="6.6640625" bestFit="1" customWidth="1"/>
    <col min="108" max="108" width="6.109375" bestFit="1" customWidth="1"/>
    <col min="109" max="109" width="7.44140625" bestFit="1" customWidth="1"/>
    <col min="110" max="110" width="6.6640625" bestFit="1" customWidth="1"/>
    <col min="111" max="111" width="5.6640625" bestFit="1" customWidth="1"/>
    <col min="112" max="112" width="7" bestFit="1" customWidth="1"/>
    <col min="113" max="113" width="5" customWidth="1"/>
    <col min="114" max="114" width="11" bestFit="1" customWidth="1"/>
    <col min="115" max="115" width="6.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2" width="6.6640625" bestFit="1" customWidth="1"/>
    <col min="133" max="133" width="6.109375" bestFit="1" customWidth="1"/>
    <col min="134" max="134" width="7.44140625" bestFit="1" customWidth="1"/>
    <col min="135" max="135" width="6.6640625" bestFit="1" customWidth="1"/>
    <col min="136" max="136" width="6.10937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45839</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G1" t="s">
        <v>101</v>
      </c>
      <c r="BH1" s="3">
        <v>45839</v>
      </c>
      <c r="BI1" s="3">
        <v>45809</v>
      </c>
      <c r="BJ1" s="3">
        <f>+VLOOKUP(BJ2,datos!$D:$E,2,FALSE)</f>
        <v>45474</v>
      </c>
      <c r="BM1" s="3">
        <f>+A1</f>
        <v>45839</v>
      </c>
      <c r="BN1" s="3">
        <f>+VLOOKUP(BN2,datos!$D:$E,2,FALSE)</f>
        <v>45809</v>
      </c>
      <c r="BO1" s="3">
        <f>+VLOOKUP(BO2,datos!$D:$E,2,FALSE)</f>
        <v>45474</v>
      </c>
      <c r="BR1" s="3">
        <f>+A1</f>
        <v>45839</v>
      </c>
      <c r="BS1" s="3">
        <f>+VLOOKUP(BS2,datos!$D:$E,2,FALSE)</f>
        <v>45474</v>
      </c>
      <c r="BV1" s="3">
        <f>+A1</f>
        <v>45839</v>
      </c>
      <c r="BW1" s="3">
        <f>+VLOOKUP(BW2,datos!$D:$E,2,FALSE)</f>
        <v>45474</v>
      </c>
      <c r="BZ1" t="s">
        <v>279</v>
      </c>
      <c r="CA1" t="s">
        <v>280</v>
      </c>
      <c r="CD1" t="s">
        <v>279</v>
      </c>
      <c r="CE1" t="s">
        <v>280</v>
      </c>
      <c r="CH1" t="s">
        <v>282</v>
      </c>
      <c r="CI1" t="s">
        <v>283</v>
      </c>
      <c r="CJ1" s="3">
        <f>+A1</f>
        <v>45839</v>
      </c>
      <c r="CK1" s="3">
        <f>+VLOOKUP(CK2,datos!$D:$E,2,FALSE)</f>
        <v>45839</v>
      </c>
      <c r="CL1" s="3">
        <f>+VLOOKUP(CL2,datos!$D:$E,2,FALSE)</f>
        <v>45809</v>
      </c>
      <c r="CM1" s="3">
        <f>+VLOOKUP(CM2,datos!$D:$E,2,FALSE)</f>
        <v>45778</v>
      </c>
      <c r="CN1" s="3">
        <f>+VLOOKUP(CN2,datos!$D:$E,2,FALSE)</f>
        <v>45748</v>
      </c>
      <c r="CO1" s="3">
        <f>+VLOOKUP(CO2,datos!$D:$E,2,FALSE)</f>
        <v>45717</v>
      </c>
      <c r="CP1" s="3">
        <f>+VLOOKUP(CP2,datos!$D:$E,2,FALSE)</f>
        <v>45689</v>
      </c>
      <c r="CQ1" s="3">
        <f>+VLOOKUP(CQ2,datos!$D:$E,2,FALSE)</f>
        <v>45658</v>
      </c>
      <c r="CR1" s="3">
        <f>+VLOOKUP(CR2,datos!$D:$E,2,FALSE)</f>
        <v>45627</v>
      </c>
      <c r="CS1" s="3">
        <f>+VLOOKUP(CS2,datos!$D:$E,2,FALSE)</f>
        <v>45597</v>
      </c>
      <c r="CT1" s="3">
        <f>+VLOOKUP(CT2,datos!$D:$E,2,FALSE)</f>
        <v>45566</v>
      </c>
      <c r="CU1" s="3">
        <f>+VLOOKUP(CU2,datos!$D:$E,2,FALSE)</f>
        <v>45536</v>
      </c>
      <c r="CV1" s="3">
        <f>+VLOOKUP(CV2,datos!$D:$E,2,FALSE)</f>
        <v>45505</v>
      </c>
      <c r="CW1" s="3">
        <f>+VLOOKUP(CW2,datos!$D:$E,2,FALSE)</f>
        <v>45474</v>
      </c>
      <c r="CX1" s="3">
        <f>+VLOOKUP(CX2,datos!$D:$E,2,FALSE)</f>
        <v>45444</v>
      </c>
      <c r="CY1" s="3">
        <f>+VLOOKUP(CY2,datos!$D:$E,2,FALSE)</f>
        <v>45413</v>
      </c>
      <c r="CZ1" s="3">
        <f>+VLOOKUP(CZ2,datos!$D:$E,2,FALSE)</f>
        <v>45383</v>
      </c>
      <c r="DA1" s="3">
        <f>+VLOOKUP(DA2,datos!$D:$E,2,FALSE)</f>
        <v>45352</v>
      </c>
      <c r="DB1" s="3">
        <f>+VLOOKUP(DB2,datos!$D:$E,2,FALSE)</f>
        <v>45323</v>
      </c>
      <c r="DC1" s="3">
        <f>+VLOOKUP(DC2,datos!$D:$E,2,FALSE)</f>
        <v>45292</v>
      </c>
      <c r="DD1" s="3">
        <f>+VLOOKUP(DD2,datos!$D:$E,2,FALSE)</f>
        <v>45261</v>
      </c>
      <c r="DE1" s="3">
        <f>+VLOOKUP(DE2,datos!$D:$E,2,FALSE)</f>
        <v>45231</v>
      </c>
      <c r="DF1" s="3">
        <f>+VLOOKUP(DF2,datos!$D:$E,2,FALSE)</f>
        <v>45200</v>
      </c>
      <c r="DG1" s="3">
        <f>+VLOOKUP(DG2,datos!$D:$E,2,FALSE)</f>
        <v>45170</v>
      </c>
      <c r="DH1" s="3">
        <f>+VLOOKUP(DH2,datos!$D:$E,2,FALSE)</f>
        <v>45139</v>
      </c>
      <c r="DJ1" s="3">
        <f>+CK1</f>
        <v>45839</v>
      </c>
      <c r="DK1" s="3">
        <f>+VLOOKUP(DK2,datos!$D:$E,2,FALSE)</f>
        <v>45809</v>
      </c>
      <c r="DL1" s="3">
        <f>+VLOOKUP(DL2,datos!$D:$E,2,FALSE)</f>
        <v>45778</v>
      </c>
      <c r="DM1" s="3">
        <f>+VLOOKUP(DM2,datos!$D:$E,2,FALSE)</f>
        <v>45748</v>
      </c>
      <c r="DN1" s="3">
        <f>+VLOOKUP(DN2,datos!$D:$E,2,FALSE)</f>
        <v>45717</v>
      </c>
      <c r="DO1" s="3">
        <f>+VLOOKUP(DO2,datos!$D:$E,2,FALSE)</f>
        <v>45689</v>
      </c>
      <c r="DP1" s="3">
        <f>+VLOOKUP(DP2,datos!$D:$E,2,FALSE)</f>
        <v>45658</v>
      </c>
      <c r="DQ1" s="3">
        <f>+VLOOKUP(DQ2,datos!$D:$E,2,FALSE)</f>
        <v>45627</v>
      </c>
      <c r="DR1" s="3">
        <f>+VLOOKUP(DR2,datos!$D:$E,2,FALSE)</f>
        <v>45597</v>
      </c>
      <c r="DS1" s="3">
        <f>+VLOOKUP(DS2,datos!$D:$E,2,FALSE)</f>
        <v>45566</v>
      </c>
      <c r="DT1" s="3">
        <f>+VLOOKUP(DT2,datos!$D:$E,2,FALSE)</f>
        <v>45536</v>
      </c>
      <c r="DU1" s="3">
        <f>+VLOOKUP(DU2,datos!$D:$E,2,FALSE)</f>
        <v>45505</v>
      </c>
      <c r="DV1" s="3">
        <f>+VLOOKUP(DV2,datos!$D:$E,2,FALSE)</f>
        <v>45474</v>
      </c>
      <c r="DW1" s="3">
        <f>+VLOOKUP(DW2,datos!$D:$E,2,FALSE)</f>
        <v>45444</v>
      </c>
      <c r="DX1" s="3">
        <f>+VLOOKUP(DX2,datos!$D:$E,2,FALSE)</f>
        <v>45413</v>
      </c>
      <c r="DY1" s="3">
        <f>+VLOOKUP(DY2,datos!$D:$E,2,FALSE)</f>
        <v>45383</v>
      </c>
      <c r="DZ1" s="3">
        <f>+VLOOKUP(DZ2,datos!$D:$E,2,FALSE)</f>
        <v>45352</v>
      </c>
      <c r="EA1" s="3">
        <f>+VLOOKUP(EA2,datos!$D:$E,2,FALSE)</f>
        <v>45323</v>
      </c>
      <c r="EB1" s="3">
        <f>+VLOOKUP(EB2,datos!$D:$E,2,FALSE)</f>
        <v>45292</v>
      </c>
      <c r="EC1" s="3">
        <f>+VLOOKUP(EC2,datos!$D:$E,2,FALSE)</f>
        <v>45261</v>
      </c>
      <c r="ED1" s="3">
        <f>+VLOOKUP(ED2,datos!$D:$E,2,FALSE)</f>
        <v>45231</v>
      </c>
      <c r="EE1" s="3">
        <f>+VLOOKUP(EE2,datos!$D:$E,2,FALSE)</f>
        <v>45200</v>
      </c>
      <c r="EF1" s="3">
        <f>+VLOOKUP(EF2,datos!$D:$E,2,FALSE)</f>
        <v>45170</v>
      </c>
      <c r="EG1" s="3">
        <f>+VLOOKUP(EG2,datos!$D:$E,2,FALSE)</f>
        <v>45139</v>
      </c>
      <c r="EI1" s="14">
        <f>+CK1</f>
        <v>45839</v>
      </c>
      <c r="EJ1" s="14">
        <f t="shared" ref="EJ1:FF1" si="0">+CL1</f>
        <v>45809</v>
      </c>
      <c r="EK1" s="3">
        <f t="shared" si="0"/>
        <v>45778</v>
      </c>
      <c r="EL1" s="3">
        <f t="shared" si="0"/>
        <v>45748</v>
      </c>
      <c r="EM1" s="3">
        <f t="shared" si="0"/>
        <v>45717</v>
      </c>
      <c r="EN1" s="3">
        <f t="shared" si="0"/>
        <v>45689</v>
      </c>
      <c r="EO1" s="3">
        <f t="shared" si="0"/>
        <v>45658</v>
      </c>
      <c r="EP1" s="3">
        <f t="shared" si="0"/>
        <v>45627</v>
      </c>
      <c r="EQ1" s="3">
        <f t="shared" si="0"/>
        <v>45597</v>
      </c>
      <c r="ER1" s="3">
        <f t="shared" si="0"/>
        <v>45566</v>
      </c>
      <c r="ES1" s="3">
        <f t="shared" si="0"/>
        <v>45536</v>
      </c>
      <c r="ET1" s="3">
        <f t="shared" si="0"/>
        <v>45505</v>
      </c>
      <c r="EU1" s="3">
        <f t="shared" si="0"/>
        <v>45474</v>
      </c>
      <c r="EV1" s="3">
        <f t="shared" si="0"/>
        <v>45444</v>
      </c>
      <c r="EW1" s="3">
        <f t="shared" si="0"/>
        <v>45413</v>
      </c>
      <c r="EX1" s="3">
        <f t="shared" si="0"/>
        <v>45383</v>
      </c>
      <c r="EY1" s="3">
        <f t="shared" si="0"/>
        <v>45352</v>
      </c>
      <c r="EZ1" s="3">
        <f t="shared" si="0"/>
        <v>45323</v>
      </c>
      <c r="FA1" s="3">
        <f t="shared" si="0"/>
        <v>45292</v>
      </c>
      <c r="FB1" s="3">
        <f t="shared" si="0"/>
        <v>45261</v>
      </c>
      <c r="FC1" s="3">
        <f t="shared" si="0"/>
        <v>45231</v>
      </c>
      <c r="FD1" s="3">
        <f t="shared" si="0"/>
        <v>45200</v>
      </c>
      <c r="FE1" s="3">
        <f t="shared" si="0"/>
        <v>45170</v>
      </c>
      <c r="FF1" s="3">
        <f t="shared" si="0"/>
        <v>45139</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45505</v>
      </c>
      <c r="AQ2" s="174">
        <f>VLOOKUP(VLOOKUP(+$A$1,ran_ma,2,FALSE)-10,ran_idma,2,FALSE)</f>
        <v>45536</v>
      </c>
      <c r="AR2" s="174">
        <f>VLOOKUP(VLOOKUP(+$A$1,ran_ma,2,FALSE)-9,ran_idma,2,FALSE)</f>
        <v>45566</v>
      </c>
      <c r="AS2" s="174">
        <f>VLOOKUP(VLOOKUP(+$A$1,ran_ma,2,FALSE)-8,ran_idma,2,FALSE)</f>
        <v>45597</v>
      </c>
      <c r="AT2" s="59">
        <f>VLOOKUP(VLOOKUP(+$A$1,ran_ma,2,FALSE)-7,ran_idma,2,FALSE)</f>
        <v>45627</v>
      </c>
      <c r="AU2" s="59">
        <f>VLOOKUP(VLOOKUP(+$A$1,ran_ma,2,FALSE)-6,ran_idma,2,FALSE)</f>
        <v>45658</v>
      </c>
      <c r="AV2" s="59">
        <f>VLOOKUP(VLOOKUP(+$A$1,ran_ma,2,FALSE)-5,ran_idma,2,FALSE)</f>
        <v>45689</v>
      </c>
      <c r="AW2" s="59">
        <f>VLOOKUP(VLOOKUP(+$A$1,ran_ma,2,FALSE)-4,ran_idma,2,FALSE)</f>
        <v>45717</v>
      </c>
      <c r="AX2" s="59">
        <f>VLOOKUP(VLOOKUP(+$A$1,ran_ma,2,FALSE)-3,ran_idma,2,FALSE)</f>
        <v>45748</v>
      </c>
      <c r="AY2" s="59">
        <f>VLOOKUP(VLOOKUP(+$A$1,ran_ma,2,FALSE)-2,ran_idma,2,FALSE)</f>
        <v>45778</v>
      </c>
      <c r="AZ2" s="59">
        <f>VLOOKUP(VLOOKUP(+$A$1,ran_ma,2,FALSE)-1,ran_idma,2,FALSE)</f>
        <v>45809</v>
      </c>
      <c r="BA2" s="59">
        <f>+$A$1</f>
        <v>45839</v>
      </c>
      <c r="BB2" s="59"/>
      <c r="BC2" s="59"/>
      <c r="BD2" s="170"/>
      <c r="BF2" s="9" t="s">
        <v>272</v>
      </c>
      <c r="BH2">
        <f>+VLOOKUP(BH1,ran_dat,datos!$D$1,FALSE)</f>
        <v>124</v>
      </c>
      <c r="BI2">
        <f>+BH2-1</f>
        <v>123</v>
      </c>
      <c r="BJ2">
        <f>+BH2-12</f>
        <v>112</v>
      </c>
      <c r="BL2" s="9"/>
      <c r="BM2">
        <f>+VLOOKUP(BM1,ran_dat,datos!$D$1,FALSE)</f>
        <v>124</v>
      </c>
      <c r="BN2">
        <f>+BM2-1</f>
        <v>123</v>
      </c>
      <c r="BO2">
        <f>+BM2-12</f>
        <v>112</v>
      </c>
      <c r="BQ2" s="9"/>
      <c r="BR2">
        <f>+VLOOKUP(BR1,ran_dat,datos!$D$1,FALSE)</f>
        <v>124</v>
      </c>
      <c r="BS2">
        <f>+BR2-12</f>
        <v>112</v>
      </c>
      <c r="BU2" s="9"/>
      <c r="BV2">
        <f>+VLOOKUP(BV1,ran_dat,datos!$D$1,FALSE)</f>
        <v>124</v>
      </c>
      <c r="BW2">
        <f>+BV2-12</f>
        <v>112</v>
      </c>
      <c r="BY2" s="9"/>
      <c r="CC2" s="9"/>
      <c r="CJ2">
        <f>+VLOOKUP(CJ1,ran_dat,datos!$D$1,FALSE)</f>
        <v>124</v>
      </c>
      <c r="CK2">
        <f>+CJ2</f>
        <v>124</v>
      </c>
      <c r="CL2">
        <f t="shared" ref="CL2:DH2" si="1">+CK2-1</f>
        <v>123</v>
      </c>
      <c r="CM2">
        <f t="shared" si="1"/>
        <v>122</v>
      </c>
      <c r="CN2">
        <f t="shared" si="1"/>
        <v>121</v>
      </c>
      <c r="CO2">
        <f t="shared" si="1"/>
        <v>120</v>
      </c>
      <c r="CP2">
        <f t="shared" si="1"/>
        <v>119</v>
      </c>
      <c r="CQ2">
        <f t="shared" si="1"/>
        <v>118</v>
      </c>
      <c r="CR2">
        <f t="shared" si="1"/>
        <v>117</v>
      </c>
      <c r="CS2">
        <f t="shared" si="1"/>
        <v>116</v>
      </c>
      <c r="CT2">
        <f t="shared" si="1"/>
        <v>115</v>
      </c>
      <c r="CU2">
        <f t="shared" si="1"/>
        <v>114</v>
      </c>
      <c r="CV2">
        <f t="shared" si="1"/>
        <v>113</v>
      </c>
      <c r="CW2">
        <f t="shared" si="1"/>
        <v>112</v>
      </c>
      <c r="CX2">
        <f t="shared" si="1"/>
        <v>111</v>
      </c>
      <c r="CY2">
        <f t="shared" si="1"/>
        <v>110</v>
      </c>
      <c r="CZ2">
        <f t="shared" si="1"/>
        <v>109</v>
      </c>
      <c r="DA2">
        <f t="shared" si="1"/>
        <v>108</v>
      </c>
      <c r="DB2">
        <f t="shared" si="1"/>
        <v>107</v>
      </c>
      <c r="DC2">
        <f t="shared" si="1"/>
        <v>106</v>
      </c>
      <c r="DD2">
        <f t="shared" si="1"/>
        <v>105</v>
      </c>
      <c r="DE2">
        <f t="shared" si="1"/>
        <v>104</v>
      </c>
      <c r="DF2">
        <f t="shared" si="1"/>
        <v>103</v>
      </c>
      <c r="DG2">
        <f t="shared" si="1"/>
        <v>102</v>
      </c>
      <c r="DH2">
        <f t="shared" si="1"/>
        <v>101</v>
      </c>
      <c r="DJ2">
        <f>+VLOOKUP(DJ1,ran_dat,datos!$D$1,FALSE)</f>
        <v>124</v>
      </c>
      <c r="DK2">
        <f t="shared" ref="DK2:EG2" si="2">+DJ2-1</f>
        <v>123</v>
      </c>
      <c r="DL2">
        <f t="shared" si="2"/>
        <v>122</v>
      </c>
      <c r="DM2">
        <f t="shared" si="2"/>
        <v>121</v>
      </c>
      <c r="DN2">
        <f t="shared" si="2"/>
        <v>120</v>
      </c>
      <c r="DO2">
        <f t="shared" si="2"/>
        <v>119</v>
      </c>
      <c r="DP2">
        <f t="shared" si="2"/>
        <v>118</v>
      </c>
      <c r="DQ2">
        <f t="shared" si="2"/>
        <v>117</v>
      </c>
      <c r="DR2">
        <f t="shared" si="2"/>
        <v>116</v>
      </c>
      <c r="DS2">
        <f t="shared" si="2"/>
        <v>115</v>
      </c>
      <c r="DT2">
        <f t="shared" si="2"/>
        <v>114</v>
      </c>
      <c r="DU2">
        <f t="shared" si="2"/>
        <v>113</v>
      </c>
      <c r="DV2">
        <f t="shared" si="2"/>
        <v>112</v>
      </c>
      <c r="DW2">
        <f t="shared" si="2"/>
        <v>111</v>
      </c>
      <c r="DX2">
        <f t="shared" si="2"/>
        <v>110</v>
      </c>
      <c r="DY2">
        <f t="shared" si="2"/>
        <v>109</v>
      </c>
      <c r="DZ2">
        <f t="shared" si="2"/>
        <v>108</v>
      </c>
      <c r="EA2">
        <f t="shared" si="2"/>
        <v>107</v>
      </c>
      <c r="EB2">
        <f t="shared" si="2"/>
        <v>106</v>
      </c>
      <c r="EC2">
        <f t="shared" si="2"/>
        <v>105</v>
      </c>
      <c r="ED2">
        <f t="shared" si="2"/>
        <v>104</v>
      </c>
      <c r="EE2">
        <f t="shared" si="2"/>
        <v>103</v>
      </c>
      <c r="EF2">
        <f t="shared" si="2"/>
        <v>102</v>
      </c>
      <c r="EG2">
        <f t="shared" si="2"/>
        <v>101</v>
      </c>
      <c r="EI2" s="14">
        <f>+VLOOKUP(EI1,ran_dat,datos!$D$1,FALSE)</f>
        <v>124</v>
      </c>
      <c r="EJ2" s="14">
        <f t="shared" ref="EJ2:FF2" si="3">+EI2-1</f>
        <v>123</v>
      </c>
      <c r="EK2">
        <f t="shared" si="3"/>
        <v>122</v>
      </c>
      <c r="EL2">
        <f t="shared" si="3"/>
        <v>121</v>
      </c>
      <c r="EM2">
        <f t="shared" si="3"/>
        <v>120</v>
      </c>
      <c r="EN2">
        <f t="shared" si="3"/>
        <v>119</v>
      </c>
      <c r="EO2">
        <f t="shared" si="3"/>
        <v>118</v>
      </c>
      <c r="EP2">
        <f t="shared" si="3"/>
        <v>117</v>
      </c>
      <c r="EQ2">
        <f t="shared" si="3"/>
        <v>116</v>
      </c>
      <c r="ER2">
        <f t="shared" si="3"/>
        <v>115</v>
      </c>
      <c r="ES2">
        <f t="shared" si="3"/>
        <v>114</v>
      </c>
      <c r="ET2">
        <f t="shared" si="3"/>
        <v>113</v>
      </c>
      <c r="EU2">
        <f t="shared" si="3"/>
        <v>112</v>
      </c>
      <c r="EV2">
        <f t="shared" si="3"/>
        <v>111</v>
      </c>
      <c r="EW2">
        <f t="shared" si="3"/>
        <v>110</v>
      </c>
      <c r="EX2">
        <f t="shared" si="3"/>
        <v>109</v>
      </c>
      <c r="EY2">
        <f t="shared" si="3"/>
        <v>108</v>
      </c>
      <c r="EZ2">
        <f t="shared" si="3"/>
        <v>107</v>
      </c>
      <c r="FA2">
        <f t="shared" si="3"/>
        <v>106</v>
      </c>
      <c r="FB2">
        <f t="shared" si="3"/>
        <v>105</v>
      </c>
      <c r="FC2">
        <f t="shared" si="3"/>
        <v>104</v>
      </c>
      <c r="FD2">
        <f t="shared" si="3"/>
        <v>103</v>
      </c>
      <c r="FE2">
        <f t="shared" si="3"/>
        <v>102</v>
      </c>
      <c r="FF2">
        <f t="shared" si="3"/>
        <v>101</v>
      </c>
    </row>
    <row r="3" spans="1:164" ht="18.75" customHeight="1">
      <c r="A3" s="220"/>
      <c r="C3" s="155"/>
      <c r="D3" s="196">
        <v>0.33</v>
      </c>
      <c r="E3" s="100">
        <f>IFERROR(+BH5/BI5-1,"")</f>
        <v>1.9016837553312849E-2</v>
      </c>
      <c r="F3" s="56" t="s">
        <v>515</v>
      </c>
      <c r="G3" s="56"/>
      <c r="H3" s="56"/>
      <c r="I3" s="60">
        <f>IFERROR(+BH5/BJ5-1,"")</f>
        <v>0.36566544858649941</v>
      </c>
      <c r="J3" s="56" t="s">
        <v>515</v>
      </c>
      <c r="K3" s="56"/>
      <c r="L3" s="56"/>
      <c r="M3" s="32"/>
      <c r="N3" s="196">
        <v>0.33</v>
      </c>
      <c r="O3" s="31"/>
      <c r="S3" s="32"/>
      <c r="T3" s="196">
        <v>0.33</v>
      </c>
      <c r="U3" s="150" t="str">
        <f>TEXT(CV1,"MMM-YY")&amp;"."&amp;TEXT(CK1,"MMM-YY")&amp;" vs "&amp;TEXT(DH1,"MMM-YY")&amp;"."&amp;TEXT(CW1,"MMM-YY")</f>
        <v>ago-24.jul-25 vs ago-23.jul-24</v>
      </c>
      <c r="Y3" s="59" t="str">
        <f>TEXT(CK1,"MMM-YY")&amp;" vs "&amp;TEXT(CW1,"MMM-YY")</f>
        <v>jul-25 vs jul-24</v>
      </c>
      <c r="BF3" s="4" t="s">
        <v>3</v>
      </c>
      <c r="BG3" s="4"/>
      <c r="BH3" s="4"/>
      <c r="BI3" s="4"/>
      <c r="BJ3" s="4"/>
      <c r="BL3" s="27" t="s">
        <v>5</v>
      </c>
      <c r="BM3" s="27"/>
      <c r="BN3" s="27"/>
      <c r="BO3" s="27"/>
      <c r="BQ3" s="20" t="s">
        <v>15</v>
      </c>
      <c r="BR3" s="20"/>
      <c r="BS3" s="20"/>
      <c r="BU3" s="21" t="s">
        <v>2</v>
      </c>
      <c r="BV3" s="21"/>
      <c r="BW3" s="21"/>
      <c r="BY3" s="4" t="s">
        <v>7</v>
      </c>
      <c r="BZ3" s="4"/>
      <c r="CA3" s="4"/>
      <c r="CC3" s="43" t="s">
        <v>8</v>
      </c>
      <c r="CD3" s="43"/>
      <c r="CE3" s="43"/>
      <c r="CG3" s="22" t="s">
        <v>9</v>
      </c>
      <c r="CH3" s="22"/>
      <c r="CI3" s="22"/>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83"/>
      <c r="AP4" s="207"/>
      <c r="AQ4" s="207"/>
      <c r="AR4" s="207"/>
      <c r="AS4" s="207"/>
      <c r="AT4" s="19"/>
      <c r="AU4" s="19"/>
      <c r="AV4" s="19"/>
      <c r="AW4" s="19"/>
      <c r="AX4" s="19"/>
      <c r="AY4" s="19"/>
      <c r="AZ4" s="19"/>
      <c r="BA4" s="19"/>
      <c r="BB4" s="19"/>
      <c r="BC4" s="19"/>
      <c r="BD4" s="141" t="s">
        <v>390</v>
      </c>
      <c r="BF4" s="9"/>
      <c r="BL4" s="9"/>
      <c r="BQ4" s="9"/>
      <c r="BU4" s="9"/>
      <c r="BY4" s="9"/>
      <c r="CC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E5">
        <f>+A3</f>
        <v>0</v>
      </c>
      <c r="BF5">
        <f>+datos!G1</f>
        <v>7</v>
      </c>
      <c r="BG5" s="2" t="str">
        <f t="shared" ref="BG5:BJ24" si="4">+VLOOKUP(BG$1,ran_dat,$BF5,FALSE)</f>
        <v>Índice</v>
      </c>
      <c r="BH5" s="2">
        <f t="shared" si="4"/>
        <v>9023.973</v>
      </c>
      <c r="BI5" s="2">
        <f t="shared" si="4"/>
        <v>8855.5681000000004</v>
      </c>
      <c r="BJ5" s="2">
        <f t="shared" si="4"/>
        <v>6607.7479000000003</v>
      </c>
    </row>
    <row r="6" spans="1:164" ht="18.75" customHeight="1">
      <c r="A6" s="243" t="s">
        <v>28</v>
      </c>
      <c r="B6" s="246"/>
      <c r="C6" s="156">
        <f t="shared" ref="C6:C24" si="5">+D6*$D$3+N6*$N$3+T6*$T$3</f>
        <v>0</v>
      </c>
      <c r="D6" s="198">
        <v>-2</v>
      </c>
      <c r="E6" s="248">
        <f t="shared" ref="E6:E24" si="6">IFERROR(+BH6/BI6-1,"")</f>
        <v>5.4259740381210619E-3</v>
      </c>
      <c r="F6" s="249">
        <f t="shared" ref="F6:F24" si="7">+E6-$E$3</f>
        <v>-1.3590863515191787E-2</v>
      </c>
      <c r="G6" s="248">
        <f t="shared" ref="G6:G24" si="8">IFERROR(+BM6/BN6-1,"")</f>
        <v>6.0819849853726016E-2</v>
      </c>
      <c r="H6" s="249">
        <f t="shared" ref="H6:H24" si="9">E6-G6</f>
        <v>-5.5393875815604954E-2</v>
      </c>
      <c r="I6" s="248">
        <f t="shared" ref="I6:I24" si="10">IFERROR(+BH6/BJ6-1,"")</f>
        <v>0.11097470084728278</v>
      </c>
      <c r="J6" s="249">
        <f t="shared" ref="J6:J26" si="11">+I6-$I$3</f>
        <v>-0.25469074773921663</v>
      </c>
      <c r="K6" s="248">
        <f t="shared" ref="K6:K24" si="12">IFERROR(+BM6/BO6-1,"")</f>
        <v>0.27783301010223083</v>
      </c>
      <c r="L6" s="249">
        <f t="shared" ref="L6:L24" si="13">I6-K6</f>
        <v>-0.16685830925494805</v>
      </c>
      <c r="M6" s="250"/>
      <c r="N6" s="24">
        <v>1</v>
      </c>
      <c r="O6" s="248">
        <f>IFERROR(+BR6/BS6-1,"")</f>
        <v>6.1538461538461542E-2</v>
      </c>
      <c r="P6" s="251">
        <f>+O6</f>
        <v>6.1538461538461542E-2</v>
      </c>
      <c r="Q6" s="248">
        <f t="shared" ref="Q6:Q24" si="14">IFERROR(+BV6/BW6-1,"")</f>
        <v>-0.19230769230769229</v>
      </c>
      <c r="R6" s="251">
        <f>+Q6</f>
        <v>-0.19230769230769229</v>
      </c>
      <c r="S6" s="250"/>
      <c r="T6" s="24">
        <v>1</v>
      </c>
      <c r="U6" s="248">
        <f t="shared" ref="U6:U24" si="15">IFERROR(+BZ6/CA6-1,"")</f>
        <v>-0.25188317488369072</v>
      </c>
      <c r="V6" s="252">
        <f t="shared" ref="V6:V24" si="16">+U6</f>
        <v>-0.25188317488369072</v>
      </c>
      <c r="W6" s="248">
        <f>IFERROR(IF(CD6&lt;0.5,"",+CD6/CE6-1),"")</f>
        <v>0.3789200937224908</v>
      </c>
      <c r="X6" s="252">
        <f t="shared" ref="X6:X24" si="17">+W6</f>
        <v>0.3789200937224908</v>
      </c>
      <c r="Y6" s="248" t="str">
        <f t="shared" ref="Y6:Y25" si="18">IFERROR(+CH6/CI6-1,"")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3</v>
      </c>
      <c r="AQ6" s="28">
        <f>VLOOKUP($A6,historia!$A$5:$CM$24,+HLOOKUP(AQ$2,historia!$A$3:$EC$4,2,FALSE),FALSE)</f>
        <v>3</v>
      </c>
      <c r="AR6" s="28">
        <f>VLOOKUP($A6,historia!$A$5:$CM$24,+HLOOKUP(AR$2,historia!$A$3:$EC$4,2,FALSE),FALSE)</f>
        <v>3</v>
      </c>
      <c r="AS6" s="28">
        <f>VLOOKUP($A6,historia!$A$5:$CM$24,+HLOOKUP(AS$2,historia!$A$3:$EC$4,2,FALSE),FALSE)</f>
        <v>3</v>
      </c>
      <c r="AT6" s="58">
        <f>VLOOKUP($A6,historia!$A$5:$CM$24,+HLOOKUP(AT$2,historia!$A$3:$EC$4,2,FALSE),FALSE)</f>
        <v>3</v>
      </c>
      <c r="AU6" s="58">
        <f>VLOOKUP($A6,historia!$A$5:$CM$24,+HLOOKUP(AU$2,historia!$A$3:$EC$4,2,FALSE),FALSE)</f>
        <v>4</v>
      </c>
      <c r="AV6" s="58">
        <f>VLOOKUP($A6,historia!$A$5:$CM$24,+HLOOKUP(AV$2,historia!$A$3:$EC$4,2,FALSE),FALSE)</f>
        <v>4</v>
      </c>
      <c r="AW6" s="58">
        <f>VLOOKUP($A6,historia!$A$5:$CM$24,+HLOOKUP(AW$2,historia!$A$3:$EC$4,2,FALSE),FALSE)</f>
        <v>4</v>
      </c>
      <c r="AX6" s="58">
        <f>VLOOKUP($A6,historia!$A$5:$CM$24,+HLOOKUP(AX$2,historia!$A$3:$EC$4,2,FALSE),FALSE)</f>
        <v>4</v>
      </c>
      <c r="AY6" s="58">
        <f>VLOOKUP($A6,historia!$A$5:$CM$24,+HLOOKUP(AY$2,historia!$A$3:$EC$4,2,FALSE),FALSE)</f>
        <v>3</v>
      </c>
      <c r="AZ6" s="58">
        <f>VLOOKUP($A6,historia!$A$5:$CM$24,+HLOOKUP(AZ$2,historia!$A$3:$EC$4,2,FALSE),FALSE)</f>
        <v>3</v>
      </c>
      <c r="BA6" s="58">
        <f>VLOOKUP($A6,historia!$A$5:$CM$24,+HLOOKUP(BA$2,historia!$A$3:$EC$4,2,FALSE),FALSE)</f>
        <v>3</v>
      </c>
      <c r="BB6" s="58"/>
      <c r="BC6" s="58"/>
      <c r="BD6" s="286">
        <v>3</v>
      </c>
      <c r="BE6" t="str">
        <f t="shared" ref="BE6:BE24" si="20">+A6</f>
        <v>Algodón</v>
      </c>
      <c r="BF6">
        <f>+datos!P1</f>
        <v>16</v>
      </c>
      <c r="BG6" s="2" t="str">
        <f t="shared" si="4"/>
        <v>$/kg</v>
      </c>
      <c r="BH6" s="2">
        <f t="shared" si="4"/>
        <v>1357.1396895374999</v>
      </c>
      <c r="BI6" s="2">
        <f t="shared" si="4"/>
        <v>1349.8156249999997</v>
      </c>
      <c r="BJ6" s="2">
        <f t="shared" si="4"/>
        <v>1221.5756925000001</v>
      </c>
      <c r="BL6">
        <f>+datos!BY1</f>
        <v>77</v>
      </c>
      <c r="BM6" s="2">
        <f t="shared" ref="BM6:BO24" si="21">+VLOOKUP(BM$1,ran_dat,$BL6,FALSE)</f>
        <v>10641.228774787414</v>
      </c>
      <c r="BN6" s="2">
        <f t="shared" si="21"/>
        <v>10031.13655561282</v>
      </c>
      <c r="BO6" s="2">
        <f t="shared" si="21"/>
        <v>8327.5582103925153</v>
      </c>
      <c r="BQ6" s="1">
        <f>+datos!DK1</f>
        <v>115</v>
      </c>
      <c r="BR6" s="1">
        <f t="shared" ref="BR6:BS24" si="22">+VLOOKUP(BR$1,ran_dat,$BQ6,FALSE)</f>
        <v>690000</v>
      </c>
      <c r="BS6" s="1">
        <f t="shared" si="22"/>
        <v>650000</v>
      </c>
      <c r="BU6" s="1">
        <f>+datos!FF1</f>
        <v>162</v>
      </c>
      <c r="BV6" s="1">
        <f t="shared" ref="BV6:BW24" si="23">+VLOOKUP(BV$1,ran_dat,$BU6,FALSE)</f>
        <v>1050000</v>
      </c>
      <c r="BW6" s="1">
        <f t="shared" si="23"/>
        <v>1300000</v>
      </c>
      <c r="BY6" s="1">
        <f>+datos!JF1</f>
        <v>266</v>
      </c>
      <c r="BZ6" s="1">
        <f>+SUM(CK6:CV6)</f>
        <v>136.03967856999998</v>
      </c>
      <c r="CA6" s="1">
        <f>+SUM(CW6:DH6)</f>
        <v>181.84282722</v>
      </c>
      <c r="CC6" s="1">
        <f>+datos!KK1</f>
        <v>297</v>
      </c>
      <c r="CD6" s="2">
        <f t="shared" ref="CD6:CD24" si="24">+SUM(DJ6:DU6)</f>
        <v>95.50549891</v>
      </c>
      <c r="CE6" s="2">
        <f t="shared" ref="CE6:CE24" si="25">+SUM(DV6:EG6)</f>
        <v>69.261082889999997</v>
      </c>
      <c r="CG6" s="1">
        <f>+datos!HS1</f>
        <v>227</v>
      </c>
      <c r="CH6" s="1">
        <f t="shared" ref="CH6:CH24" si="26">+EI6</f>
        <v>0</v>
      </c>
      <c r="CI6" s="1">
        <f t="shared" ref="CI6:CI24" si="27">+EU6</f>
        <v>0</v>
      </c>
      <c r="CK6" s="1">
        <f t="shared" ref="CK6:CZ21" si="28">+VLOOKUP(CK$1,ran_dat,$BY6,FALSE)</f>
        <v>9.0263359399999974</v>
      </c>
      <c r="CL6" s="1">
        <f t="shared" si="28"/>
        <v>8.2931694499999988</v>
      </c>
      <c r="CM6" s="1">
        <f t="shared" si="28"/>
        <v>5.0945514700000007</v>
      </c>
      <c r="CN6" s="1">
        <f t="shared" si="28"/>
        <v>7.3093251500000047</v>
      </c>
      <c r="CO6" s="1">
        <f t="shared" si="28"/>
        <v>6.7908860800000017</v>
      </c>
      <c r="CP6" s="1">
        <f t="shared" si="28"/>
        <v>8.6490729999999978</v>
      </c>
      <c r="CQ6" s="1">
        <f t="shared" si="28"/>
        <v>6.462363250000001</v>
      </c>
      <c r="CR6" s="1">
        <f t="shared" si="28"/>
        <v>10.78045292</v>
      </c>
      <c r="CS6" s="1">
        <f t="shared" si="28"/>
        <v>14.805583519999997</v>
      </c>
      <c r="CT6" s="1">
        <f t="shared" si="28"/>
        <v>17.696202909999993</v>
      </c>
      <c r="CU6" s="1">
        <f t="shared" si="28"/>
        <v>21.922029789999996</v>
      </c>
      <c r="CV6" s="1">
        <f t="shared" si="28"/>
        <v>19.20970509</v>
      </c>
      <c r="CW6" s="1">
        <f t="shared" si="28"/>
        <v>24.496622440000007</v>
      </c>
      <c r="CX6" s="1">
        <f t="shared" si="28"/>
        <v>21.439575039999998</v>
      </c>
      <c r="CY6" s="1">
        <f t="shared" si="28"/>
        <v>14.529816729999997</v>
      </c>
      <c r="CZ6" s="1">
        <f t="shared" si="28"/>
        <v>18.258202080000007</v>
      </c>
      <c r="DA6" s="1">
        <f t="shared" ref="DA6:DH21" si="29">+VLOOKUP(DA$1,ran_dat,$BY6,FALSE)</f>
        <v>18.510441480000001</v>
      </c>
      <c r="DB6" s="1">
        <f t="shared" si="29"/>
        <v>7.7064561400000011</v>
      </c>
      <c r="DC6" s="1">
        <f t="shared" si="29"/>
        <v>8.1062574399999985</v>
      </c>
      <c r="DD6" s="1">
        <f t="shared" si="29"/>
        <v>8.4463773399999997</v>
      </c>
      <c r="DE6" s="1">
        <f t="shared" si="29"/>
        <v>15.019774559999998</v>
      </c>
      <c r="DF6" s="1">
        <f t="shared" si="29"/>
        <v>14.398572559999998</v>
      </c>
      <c r="DG6" s="1">
        <f t="shared" si="29"/>
        <v>16.61514231</v>
      </c>
      <c r="DH6" s="1">
        <f t="shared" si="29"/>
        <v>14.3155891</v>
      </c>
      <c r="DJ6" s="1">
        <f t="shared" ref="DJ6:DY21" si="30">+VLOOKUP(DJ$1,ran_dat,$CC6,FALSE)</f>
        <v>11.035692889999996</v>
      </c>
      <c r="DK6" s="1">
        <f t="shared" si="30"/>
        <v>9.4337625599999999</v>
      </c>
      <c r="DL6" s="1">
        <f t="shared" si="30"/>
        <v>9.66008332</v>
      </c>
      <c r="DM6" s="1">
        <f t="shared" si="30"/>
        <v>10.467826709999999</v>
      </c>
      <c r="DN6" s="1">
        <f t="shared" si="30"/>
        <v>7.9836210200000002</v>
      </c>
      <c r="DO6" s="1">
        <f t="shared" si="30"/>
        <v>9.7355070900000005</v>
      </c>
      <c r="DP6" s="1">
        <f t="shared" si="30"/>
        <v>7.6983577599999995</v>
      </c>
      <c r="DQ6" s="1">
        <f t="shared" si="30"/>
        <v>8.003268180000001</v>
      </c>
      <c r="DR6" s="1">
        <f t="shared" si="30"/>
        <v>5.6011509000000004</v>
      </c>
      <c r="DS6" s="1">
        <f t="shared" si="30"/>
        <v>5.8112020999999991</v>
      </c>
      <c r="DT6" s="1">
        <f t="shared" si="30"/>
        <v>6.3060080799999998</v>
      </c>
      <c r="DU6" s="1">
        <f t="shared" si="30"/>
        <v>3.7690183000000008</v>
      </c>
      <c r="DV6" s="1">
        <f t="shared" si="30"/>
        <v>4.5361736000000006</v>
      </c>
      <c r="DW6" s="1">
        <f t="shared" si="30"/>
        <v>3.2956469100000003</v>
      </c>
      <c r="DX6" s="1">
        <f t="shared" si="30"/>
        <v>4.5516111999999991</v>
      </c>
      <c r="DY6" s="1">
        <f t="shared" si="30"/>
        <v>3.9375346699999998</v>
      </c>
      <c r="DZ6" s="1">
        <f t="shared" ref="DZ6:EG20" si="31">+VLOOKUP(DZ$1,ran_dat,$CC6,FALSE)</f>
        <v>4.8118603300000009</v>
      </c>
      <c r="EA6" s="1">
        <f t="shared" si="31"/>
        <v>5.2295233099999994</v>
      </c>
      <c r="EB6" s="1">
        <f t="shared" si="31"/>
        <v>7.4159317900000001</v>
      </c>
      <c r="EC6" s="1">
        <f t="shared" si="31"/>
        <v>3.5587731599999999</v>
      </c>
      <c r="ED6" s="1">
        <f t="shared" si="31"/>
        <v>6.9479693099999986</v>
      </c>
      <c r="EE6" s="1">
        <f t="shared" si="31"/>
        <v>7.5746309199999997</v>
      </c>
      <c r="EF6" s="1">
        <f t="shared" si="31"/>
        <v>8.1137987799999998</v>
      </c>
      <c r="EG6" s="1">
        <f t="shared" si="31"/>
        <v>9.2876289100000005</v>
      </c>
      <c r="EI6" s="14">
        <f t="shared" ref="EI6:EX21" si="32">+VLOOKUP(EI$1,ran_dat,$CG6,FALSE)</f>
        <v>0</v>
      </c>
      <c r="EJ6" s="14">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si="32"/>
        <v>0</v>
      </c>
      <c r="EY6" s="1">
        <f t="shared" ref="EY6:FF20" si="33">+VLOOKUP(EY$1,ran_dat,$CG6,FALSE)</f>
        <v>0</v>
      </c>
      <c r="EZ6" s="1">
        <f t="shared" si="33"/>
        <v>0</v>
      </c>
      <c r="FA6" s="1">
        <f t="shared" si="33"/>
        <v>0</v>
      </c>
      <c r="FB6" s="1">
        <f t="shared" si="33"/>
        <v>0</v>
      </c>
      <c r="FC6" s="1">
        <f t="shared" si="33"/>
        <v>0</v>
      </c>
      <c r="FD6" s="1">
        <f t="shared" si="33"/>
        <v>0</v>
      </c>
      <c r="FE6" s="1">
        <f t="shared" si="33"/>
        <v>0</v>
      </c>
      <c r="FF6" s="1">
        <f t="shared" si="33"/>
        <v>0</v>
      </c>
      <c r="FH6" s="162">
        <f t="shared" ref="FH6:FH24" si="34">+I6-K6</f>
        <v>-0.16685830925494805</v>
      </c>
    </row>
    <row r="7" spans="1:164" ht="18.75" customHeight="1">
      <c r="A7" s="244" t="s">
        <v>13</v>
      </c>
      <c r="B7" s="247"/>
      <c r="C7" s="228">
        <f t="shared" si="5"/>
        <v>-0.33</v>
      </c>
      <c r="D7" s="229">
        <v>-1</v>
      </c>
      <c r="E7" s="253">
        <f t="shared" si="6"/>
        <v>0</v>
      </c>
      <c r="F7" s="254">
        <f t="shared" si="7"/>
        <v>-1.9016837553312849E-2</v>
      </c>
      <c r="G7" s="253">
        <f t="shared" si="8"/>
        <v>0.10827595973945159</v>
      </c>
      <c r="H7" s="254">
        <f t="shared" si="9"/>
        <v>-0.10827595973945159</v>
      </c>
      <c r="I7" s="253">
        <f t="shared" si="10"/>
        <v>-0.48325754443985114</v>
      </c>
      <c r="J7" s="254">
        <f t="shared" si="11"/>
        <v>-0.84892299302635055</v>
      </c>
      <c r="K7" s="253">
        <f t="shared" si="12"/>
        <v>0.34018193652619311</v>
      </c>
      <c r="L7" s="254">
        <f t="shared" si="13"/>
        <v>-0.82343948096604425</v>
      </c>
      <c r="M7" s="255"/>
      <c r="N7" s="256">
        <v>1</v>
      </c>
      <c r="O7" s="253">
        <f t="shared" ref="O7:O24" si="35">IFERROR(+BR7/BS7-1,"")</f>
        <v>0.14999999999999991</v>
      </c>
      <c r="P7" s="257">
        <f t="shared" ref="P7:P24" si="36">+O7</f>
        <v>0.14999999999999991</v>
      </c>
      <c r="Q7" s="253">
        <f t="shared" si="14"/>
        <v>0.23076923076923084</v>
      </c>
      <c r="R7" s="257">
        <f t="shared" ref="R7:R24" si="37">+Q7</f>
        <v>0.23076923076923084</v>
      </c>
      <c r="S7" s="255"/>
      <c r="T7" s="256">
        <v>-1</v>
      </c>
      <c r="U7" s="253">
        <f t="shared" si="15"/>
        <v>0.4661709684382318</v>
      </c>
      <c r="V7" s="258">
        <f t="shared" si="16"/>
        <v>0.4661709684382318</v>
      </c>
      <c r="W7" s="253">
        <f t="shared" ref="W7:W24" si="38">IFERROR(IF(CD7&lt;0.5,"",+CD7/CE7-1),"")</f>
        <v>0.59767520555322218</v>
      </c>
      <c r="X7" s="258">
        <f t="shared" si="17"/>
        <v>0.59767520555322218</v>
      </c>
      <c r="Y7" s="253">
        <f t="shared" si="18"/>
        <v>0.41428571428571437</v>
      </c>
      <c r="Z7" s="258">
        <f t="shared" si="19"/>
        <v>0.41428571428571437</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4</v>
      </c>
      <c r="AQ7" s="28">
        <f>VLOOKUP($A7,historia!$A$5:$CM$24,+HLOOKUP(AQ$2,historia!$A$3:$EC$4,2,FALSE),FALSE)</f>
        <v>4</v>
      </c>
      <c r="AR7" s="28">
        <f>VLOOKUP($A7,historia!$A$5:$CM$24,+HLOOKUP(AR$2,historia!$A$3:$EC$4,2,FALSE),FALSE)</f>
        <v>4</v>
      </c>
      <c r="AS7" s="28">
        <f>VLOOKUP($A7,historia!$A$5:$CM$24,+HLOOKUP(AS$2,historia!$A$3:$EC$4,2,FALSE),FALSE)</f>
        <v>4</v>
      </c>
      <c r="AT7" s="58">
        <f>VLOOKUP($A7,historia!$A$5:$CM$24,+HLOOKUP(AT$2,historia!$A$3:$EC$4,2,FALSE),FALSE)</f>
        <v>4</v>
      </c>
      <c r="AU7" s="58">
        <f>VLOOKUP($A7,historia!$A$5:$CM$24,+HLOOKUP(AU$2,historia!$A$3:$EC$4,2,FALSE),FALSE)</f>
        <v>4</v>
      </c>
      <c r="AV7" s="58">
        <f>VLOOKUP($A7,historia!$A$5:$CM$24,+HLOOKUP(AV$2,historia!$A$3:$EC$4,2,FALSE),FALSE)</f>
        <v>4</v>
      </c>
      <c r="AW7" s="58">
        <f>VLOOKUP($A7,historia!$A$5:$CM$24,+HLOOKUP(AW$2,historia!$A$3:$EC$4,2,FALSE),FALSE)</f>
        <v>4</v>
      </c>
      <c r="AX7" s="58">
        <f>VLOOKUP($A7,historia!$A$5:$CM$24,+HLOOKUP(AX$2,historia!$A$3:$EC$4,2,FALSE),FALSE)</f>
        <v>4</v>
      </c>
      <c r="AY7" s="58">
        <f>VLOOKUP($A7,historia!$A$5:$CM$24,+HLOOKUP(AY$2,historia!$A$3:$EC$4,2,FALSE),FALSE)</f>
        <v>4</v>
      </c>
      <c r="AZ7" s="58">
        <f>VLOOKUP($A7,historia!$A$5:$CM$24,+HLOOKUP(AZ$2,historia!$A$3:$EC$4,2,FALSE),FALSE)</f>
        <v>4</v>
      </c>
      <c r="BA7" s="58">
        <f>VLOOKUP($A7,historia!$A$5:$CM$24,+HLOOKUP(BA$2,historia!$A$3:$EC$4,2,FALSE),FALSE)</f>
        <v>4</v>
      </c>
      <c r="BB7" s="58"/>
      <c r="BC7" s="58"/>
      <c r="BD7" s="286">
        <v>4</v>
      </c>
      <c r="BE7" t="str">
        <f t="shared" si="20"/>
        <v>Arroz</v>
      </c>
      <c r="BF7">
        <f>+datos!R1</f>
        <v>18</v>
      </c>
      <c r="BG7" s="2" t="str">
        <f t="shared" si="4"/>
        <v>$/t</v>
      </c>
      <c r="BH7" s="2">
        <f t="shared" si="4"/>
        <v>200000</v>
      </c>
      <c r="BI7" s="2">
        <f t="shared" si="4"/>
        <v>200000</v>
      </c>
      <c r="BJ7" s="2">
        <f t="shared" si="4"/>
        <v>387040</v>
      </c>
      <c r="BL7">
        <f>+datos!BZ1</f>
        <v>78</v>
      </c>
      <c r="BM7" s="2">
        <f t="shared" si="21"/>
        <v>10811.809214634</v>
      </c>
      <c r="BN7" s="2">
        <f t="shared" si="21"/>
        <v>9755.5208336160122</v>
      </c>
      <c r="BO7" s="2">
        <f t="shared" si="21"/>
        <v>8067.4189973479688</v>
      </c>
      <c r="BQ7" s="1">
        <f>+datos!DM1</f>
        <v>117</v>
      </c>
      <c r="BR7" s="1">
        <f t="shared" si="22"/>
        <v>230000</v>
      </c>
      <c r="BS7" s="1">
        <f t="shared" si="22"/>
        <v>200000</v>
      </c>
      <c r="BU7" s="1">
        <f>+datos!FH1</f>
        <v>164</v>
      </c>
      <c r="BV7" s="1">
        <f t="shared" si="23"/>
        <v>1600000</v>
      </c>
      <c r="BW7" s="1">
        <f t="shared" si="23"/>
        <v>1300000</v>
      </c>
      <c r="BY7" s="1">
        <f>+datos!JG1</f>
        <v>267</v>
      </c>
      <c r="BZ7" s="1">
        <f t="shared" ref="BZ7:BZ24" si="39">+SUM(CK7:CV7)</f>
        <v>371.86432056999996</v>
      </c>
      <c r="CA7" s="1">
        <f t="shared" ref="CA7:CA24" si="40">+SUM(CW7:DH7)</f>
        <v>253.62957566</v>
      </c>
      <c r="CC7" s="1">
        <f>+datos!KL1</f>
        <v>298</v>
      </c>
      <c r="CD7" s="2">
        <f t="shared" si="24"/>
        <v>4.749146249999999</v>
      </c>
      <c r="CE7" s="2">
        <f t="shared" si="25"/>
        <v>2.9725354900000007</v>
      </c>
      <c r="CG7" s="1">
        <f>+datos!HU1</f>
        <v>229</v>
      </c>
      <c r="CH7" s="1">
        <f t="shared" si="26"/>
        <v>990000</v>
      </c>
      <c r="CI7" s="1">
        <f t="shared" si="27"/>
        <v>700000</v>
      </c>
      <c r="CK7" s="1">
        <f t="shared" si="28"/>
        <v>16.08135906</v>
      </c>
      <c r="CL7" s="1">
        <f t="shared" si="28"/>
        <v>31.537173230000004</v>
      </c>
      <c r="CM7" s="1">
        <f t="shared" si="28"/>
        <v>39.974175860000003</v>
      </c>
      <c r="CN7" s="1">
        <f t="shared" si="28"/>
        <v>35.910188569999995</v>
      </c>
      <c r="CO7" s="1">
        <f t="shared" si="28"/>
        <v>30.652184479999995</v>
      </c>
      <c r="CP7" s="1">
        <f t="shared" si="28"/>
        <v>94.896967090000004</v>
      </c>
      <c r="CQ7" s="1">
        <f t="shared" si="28"/>
        <v>22.007364089999996</v>
      </c>
      <c r="CR7" s="1">
        <f t="shared" si="28"/>
        <v>13.652213600000001</v>
      </c>
      <c r="CS7" s="1">
        <f t="shared" si="28"/>
        <v>21.789652239999999</v>
      </c>
      <c r="CT7" s="1">
        <f t="shared" si="28"/>
        <v>22.506187060000002</v>
      </c>
      <c r="CU7" s="1">
        <f t="shared" si="28"/>
        <v>26.198510359999997</v>
      </c>
      <c r="CV7" s="1">
        <f t="shared" si="28"/>
        <v>16.658344929999998</v>
      </c>
      <c r="CW7" s="1">
        <f t="shared" si="28"/>
        <v>38.799980059999996</v>
      </c>
      <c r="CX7" s="1">
        <f t="shared" si="28"/>
        <v>35.598317799999997</v>
      </c>
      <c r="CY7" s="1">
        <f t="shared" si="28"/>
        <v>32.785113670000001</v>
      </c>
      <c r="CZ7" s="1">
        <f t="shared" si="28"/>
        <v>22.35722878</v>
      </c>
      <c r="DA7" s="1">
        <f t="shared" si="29"/>
        <v>34.376458229999997</v>
      </c>
      <c r="DB7" s="1">
        <f t="shared" si="29"/>
        <v>13.355622539999999</v>
      </c>
      <c r="DC7" s="1">
        <f t="shared" si="29"/>
        <v>10.68224592</v>
      </c>
      <c r="DD7" s="1">
        <f t="shared" si="29"/>
        <v>15.82785018</v>
      </c>
      <c r="DE7" s="1">
        <f t="shared" si="29"/>
        <v>16.180063639999997</v>
      </c>
      <c r="DF7" s="1">
        <f t="shared" si="29"/>
        <v>11.823193960000001</v>
      </c>
      <c r="DG7" s="1">
        <f t="shared" si="29"/>
        <v>12.24327484</v>
      </c>
      <c r="DH7" s="1">
        <f t="shared" si="29"/>
        <v>9.600226039999999</v>
      </c>
      <c r="DJ7" s="1">
        <f t="shared" si="30"/>
        <v>0.13893236</v>
      </c>
      <c r="DK7" s="1">
        <f t="shared" si="30"/>
        <v>0.4195122</v>
      </c>
      <c r="DL7" s="1">
        <f t="shared" si="30"/>
        <v>0.20050375000000001</v>
      </c>
      <c r="DM7" s="1">
        <f t="shared" si="30"/>
        <v>0.34624290000000002</v>
      </c>
      <c r="DN7" s="1">
        <f t="shared" si="30"/>
        <v>0.15613090000000002</v>
      </c>
      <c r="DO7" s="1">
        <f t="shared" si="30"/>
        <v>0.47281664000000007</v>
      </c>
      <c r="DP7" s="1">
        <f t="shared" si="30"/>
        <v>0.84812041999999999</v>
      </c>
      <c r="DQ7" s="1">
        <f t="shared" si="30"/>
        <v>0.25440681999999998</v>
      </c>
      <c r="DR7" s="1">
        <f t="shared" si="30"/>
        <v>0.7620908099999999</v>
      </c>
      <c r="DS7" s="1">
        <f t="shared" si="30"/>
        <v>0.50490091999999998</v>
      </c>
      <c r="DT7" s="1">
        <f t="shared" si="30"/>
        <v>0.40961613000000002</v>
      </c>
      <c r="DU7" s="1">
        <f t="shared" si="30"/>
        <v>0.23587240000000001</v>
      </c>
      <c r="DV7" s="1">
        <f t="shared" si="30"/>
        <v>0.18557204999999999</v>
      </c>
      <c r="DW7" s="1">
        <f t="shared" si="30"/>
        <v>0.48301414000000004</v>
      </c>
      <c r="DX7" s="1">
        <f t="shared" si="30"/>
        <v>0.23845672000000001</v>
      </c>
      <c r="DY7" s="1">
        <f t="shared" si="30"/>
        <v>0.50080292000000004</v>
      </c>
      <c r="DZ7" s="1">
        <f t="shared" si="31"/>
        <v>8.6091799999999996E-2</v>
      </c>
      <c r="EA7" s="1">
        <f t="shared" si="31"/>
        <v>0.22536</v>
      </c>
      <c r="EB7" s="1">
        <f t="shared" si="31"/>
        <v>0.8256</v>
      </c>
      <c r="EC7" s="1">
        <f t="shared" si="31"/>
        <v>3.973985E-2</v>
      </c>
      <c r="ED7" s="1">
        <f t="shared" si="31"/>
        <v>3.3462720000000001E-2</v>
      </c>
      <c r="EE7" s="1">
        <f t="shared" si="31"/>
        <v>0.19098301000000001</v>
      </c>
      <c r="EF7" s="1">
        <f t="shared" si="31"/>
        <v>0.10767879</v>
      </c>
      <c r="EG7" s="1">
        <f t="shared" si="31"/>
        <v>5.5773490000000002E-2</v>
      </c>
      <c r="EI7" s="14">
        <f t="shared" si="32"/>
        <v>990000</v>
      </c>
      <c r="EJ7" s="14">
        <f t="shared" si="32"/>
        <v>990000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2"/>
        <v>700000</v>
      </c>
      <c r="EY7" s="1">
        <f t="shared" si="33"/>
        <v>700000</v>
      </c>
      <c r="EZ7" s="1">
        <f t="shared" si="33"/>
        <v>700000</v>
      </c>
      <c r="FA7" s="1">
        <f t="shared" si="33"/>
        <v>700000</v>
      </c>
      <c r="FB7" s="1">
        <f t="shared" si="33"/>
        <v>700000</v>
      </c>
      <c r="FC7" s="1">
        <f t="shared" si="33"/>
        <v>700000</v>
      </c>
      <c r="FD7" s="1">
        <f t="shared" si="33"/>
        <v>700000</v>
      </c>
      <c r="FE7" s="1">
        <f t="shared" si="33"/>
        <v>700000</v>
      </c>
      <c r="FF7" s="1">
        <f t="shared" si="33"/>
        <v>700000</v>
      </c>
      <c r="FH7" s="162">
        <f t="shared" si="34"/>
        <v>-0.82343948096604425</v>
      </c>
    </row>
    <row r="8" spans="1:164" ht="18.75" customHeight="1">
      <c r="A8" s="243" t="s">
        <v>215</v>
      </c>
      <c r="B8" s="246"/>
      <c r="C8" s="156">
        <f t="shared" si="5"/>
        <v>-0.33</v>
      </c>
      <c r="D8" s="198">
        <v>0</v>
      </c>
      <c r="E8" s="248">
        <f t="shared" si="6"/>
        <v>-1.2295826687395151E-2</v>
      </c>
      <c r="F8" s="249">
        <f t="shared" si="7"/>
        <v>-3.1312664240707999E-2</v>
      </c>
      <c r="G8" s="248">
        <f t="shared" si="8"/>
        <v>6.0445566359507819E-2</v>
      </c>
      <c r="H8" s="249">
        <f t="shared" si="9"/>
        <v>-7.2741393046902969E-2</v>
      </c>
      <c r="I8" s="248">
        <f t="shared" si="10"/>
        <v>0.61468665110951948</v>
      </c>
      <c r="J8" s="249">
        <f t="shared" si="11"/>
        <v>0.24902120252302007</v>
      </c>
      <c r="K8" s="248">
        <f t="shared" si="12"/>
        <v>0.39735778140316058</v>
      </c>
      <c r="L8" s="249">
        <f t="shared" si="13"/>
        <v>0.2173288697063589</v>
      </c>
      <c r="M8" s="250"/>
      <c r="N8" s="24">
        <v>0</v>
      </c>
      <c r="O8" s="248">
        <f t="shared" si="35"/>
        <v>1.5934065934065877E-2</v>
      </c>
      <c r="P8" s="251">
        <f t="shared" si="36"/>
        <v>1.5934065934065877E-2</v>
      </c>
      <c r="Q8" s="248">
        <f t="shared" si="14"/>
        <v>8.3955846272303347E-3</v>
      </c>
      <c r="R8" s="251">
        <f t="shared" si="37"/>
        <v>8.3955846272303347E-3</v>
      </c>
      <c r="S8" s="250"/>
      <c r="T8" s="24">
        <v>-1</v>
      </c>
      <c r="U8" s="248">
        <f t="shared" si="15"/>
        <v>-0.63667942561049085</v>
      </c>
      <c r="V8" s="252">
        <f t="shared" si="16"/>
        <v>-0.63667942561049085</v>
      </c>
      <c r="W8" s="248">
        <f t="shared" si="38"/>
        <v>9.7880297582438436E-2</v>
      </c>
      <c r="X8" s="252">
        <f t="shared" si="17"/>
        <v>9.7880297582438436E-2</v>
      </c>
      <c r="Y8" s="248">
        <f t="shared" si="18"/>
        <v>1.0370697263901052E-2</v>
      </c>
      <c r="Z8" s="252">
        <f t="shared" si="19"/>
        <v>1.0370697263901052E-2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3</v>
      </c>
      <c r="AX8" s="58">
        <f>VLOOKUP($A8,historia!$A$5:$CM$24,+HLOOKUP(AX$2,historia!$A$3:$EC$4,2,FALSE),FALSE)</f>
        <v>3</v>
      </c>
      <c r="AY8" s="58">
        <f>VLOOKUP($A8,historia!$A$5:$CM$24,+HLOOKUP(AY$2,historia!$A$3:$EC$4,2,FALSE),FALSE)</f>
        <v>3</v>
      </c>
      <c r="AZ8" s="58">
        <f>VLOOKUP($A8,historia!$A$5:$CM$24,+HLOOKUP(AZ$2,historia!$A$3:$EC$4,2,FALSE),FALSE)</f>
        <v>2</v>
      </c>
      <c r="BA8" s="58">
        <f>VLOOKUP($A8,historia!$A$5:$CM$24,+HLOOKUP(BA$2,historia!$A$3:$EC$4,2,FALSE),FALSE)</f>
        <v>2</v>
      </c>
      <c r="BB8" s="58"/>
      <c r="BC8" s="58"/>
      <c r="BD8" s="286">
        <v>2</v>
      </c>
      <c r="BE8" t="str">
        <f t="shared" si="20"/>
        <v>Aves</v>
      </c>
      <c r="BF8">
        <f>+datos!BQ1</f>
        <v>69</v>
      </c>
      <c r="BG8" s="2" t="str">
        <f t="shared" si="4"/>
        <v>prom pond huevo-carne</v>
      </c>
      <c r="BH8" s="2">
        <f t="shared" si="4"/>
        <v>2446</v>
      </c>
      <c r="BI8" s="2">
        <f t="shared" si="4"/>
        <v>2476.4499999999998</v>
      </c>
      <c r="BJ8" s="2">
        <f t="shared" si="4"/>
        <v>1514.845</v>
      </c>
      <c r="BL8">
        <f>+datos!DG1</f>
        <v>111</v>
      </c>
      <c r="BM8" s="2">
        <f t="shared" si="21"/>
        <v>10597.519131581532</v>
      </c>
      <c r="BN8" s="2">
        <f t="shared" si="21"/>
        <v>9993.4588514171846</v>
      </c>
      <c r="BO8" s="2">
        <f t="shared" si="21"/>
        <v>7583.9697410494282</v>
      </c>
      <c r="BQ8" s="1">
        <f>+datos!EP1</f>
        <v>146</v>
      </c>
      <c r="BR8" s="1">
        <f t="shared" si="22"/>
        <v>9245</v>
      </c>
      <c r="BS8" s="1">
        <f t="shared" si="22"/>
        <v>9100</v>
      </c>
      <c r="BU8" s="1">
        <f>+datos!HM1</f>
        <v>221</v>
      </c>
      <c r="BV8" s="1">
        <f t="shared" si="23"/>
        <v>2382871.824</v>
      </c>
      <c r="BW8" s="1">
        <f t="shared" si="23"/>
        <v>2363032.7822992867</v>
      </c>
      <c r="BY8" s="1">
        <f>+datos!KF1</f>
        <v>292</v>
      </c>
      <c r="BZ8" s="1">
        <f t="shared" si="39"/>
        <v>134.31225826000002</v>
      </c>
      <c r="CA8" s="1">
        <f t="shared" si="40"/>
        <v>369.67974765999998</v>
      </c>
      <c r="CC8" s="1">
        <f>+datos!LK1</f>
        <v>323</v>
      </c>
      <c r="CD8" s="2">
        <f t="shared" si="24"/>
        <v>38.785836939999996</v>
      </c>
      <c r="CE8" s="2">
        <f t="shared" si="25"/>
        <v>35.327928760000006</v>
      </c>
      <c r="CG8" s="1">
        <f>+datos!IL1</f>
        <v>246</v>
      </c>
      <c r="CH8" s="1">
        <f t="shared" si="26"/>
        <v>45.79</v>
      </c>
      <c r="CI8" s="1">
        <f t="shared" si="27"/>
        <v>45.32</v>
      </c>
      <c r="CK8" s="1">
        <f t="shared" si="28"/>
        <v>6.7443728600000004</v>
      </c>
      <c r="CL8" s="1">
        <f t="shared" si="28"/>
        <v>8.66231011</v>
      </c>
      <c r="CM8" s="1">
        <f t="shared" si="28"/>
        <v>7.3007548499999997</v>
      </c>
      <c r="CN8" s="1">
        <f t="shared" si="28"/>
        <v>9.0051498100000007</v>
      </c>
      <c r="CO8" s="1">
        <f t="shared" si="28"/>
        <v>5.9149876199999998</v>
      </c>
      <c r="CP8" s="1">
        <f t="shared" si="28"/>
        <v>8.0094020700000002</v>
      </c>
      <c r="CQ8" s="1">
        <f t="shared" si="28"/>
        <v>5.62476749</v>
      </c>
      <c r="CR8" s="1">
        <f t="shared" si="28"/>
        <v>10.456415849999999</v>
      </c>
      <c r="CS8" s="1">
        <f t="shared" si="28"/>
        <v>8.1147673099999995</v>
      </c>
      <c r="CT8" s="1">
        <f t="shared" si="28"/>
        <v>20.968439010000004</v>
      </c>
      <c r="CU8" s="1">
        <f t="shared" si="28"/>
        <v>22.566015059999998</v>
      </c>
      <c r="CV8" s="1">
        <f t="shared" si="28"/>
        <v>20.944876220000001</v>
      </c>
      <c r="CW8" s="1">
        <f t="shared" si="28"/>
        <v>23.157032140000002</v>
      </c>
      <c r="CX8" s="1">
        <f t="shared" si="28"/>
        <v>19.314763240000005</v>
      </c>
      <c r="CY8" s="1">
        <f t="shared" si="28"/>
        <v>22.778743510000002</v>
      </c>
      <c r="CZ8" s="1">
        <f t="shared" si="28"/>
        <v>39.062197300000001</v>
      </c>
      <c r="DA8" s="1">
        <f t="shared" si="29"/>
        <v>40.013868680000002</v>
      </c>
      <c r="DB8" s="1">
        <f t="shared" si="29"/>
        <v>35.607742460000011</v>
      </c>
      <c r="DC8" s="1">
        <f t="shared" si="29"/>
        <v>32.51792974</v>
      </c>
      <c r="DD8" s="1">
        <f t="shared" si="29"/>
        <v>35.210116300000003</v>
      </c>
      <c r="DE8" s="1">
        <f t="shared" si="29"/>
        <v>30.603465830000005</v>
      </c>
      <c r="DF8" s="1">
        <f t="shared" si="29"/>
        <v>35.017556320000004</v>
      </c>
      <c r="DG8" s="1">
        <f t="shared" si="29"/>
        <v>24.343011479999998</v>
      </c>
      <c r="DH8" s="1">
        <f t="shared" si="29"/>
        <v>32.053320659999997</v>
      </c>
      <c r="DJ8" s="1">
        <f t="shared" si="30"/>
        <v>2.0550383299999999</v>
      </c>
      <c r="DK8" s="1">
        <f t="shared" si="30"/>
        <v>3.4373023600000003</v>
      </c>
      <c r="DL8" s="1">
        <f t="shared" si="30"/>
        <v>5.2475744900000008</v>
      </c>
      <c r="DM8" s="1">
        <f t="shared" si="30"/>
        <v>3.52939004</v>
      </c>
      <c r="DN8" s="1">
        <f t="shared" si="30"/>
        <v>1.41927303</v>
      </c>
      <c r="DO8" s="1">
        <f t="shared" si="30"/>
        <v>4.5240591299999995</v>
      </c>
      <c r="DP8" s="1">
        <f t="shared" si="30"/>
        <v>2.5037689800000003</v>
      </c>
      <c r="DQ8" s="1">
        <f t="shared" si="30"/>
        <v>2.5011971499999999</v>
      </c>
      <c r="DR8" s="1">
        <f t="shared" si="30"/>
        <v>3.7585351000000005</v>
      </c>
      <c r="DS8" s="1">
        <f t="shared" si="30"/>
        <v>4.0425458900000004</v>
      </c>
      <c r="DT8" s="1">
        <f t="shared" si="30"/>
        <v>3.59052696</v>
      </c>
      <c r="DU8" s="1">
        <f t="shared" si="30"/>
        <v>2.1766254799999998</v>
      </c>
      <c r="DV8" s="1">
        <f t="shared" si="30"/>
        <v>1.5903026900000001</v>
      </c>
      <c r="DW8" s="1">
        <f t="shared" si="30"/>
        <v>5.6916922899999998</v>
      </c>
      <c r="DX8" s="1">
        <f t="shared" si="30"/>
        <v>1.7294530099999998</v>
      </c>
      <c r="DY8" s="1">
        <f t="shared" si="30"/>
        <v>4.2232492399999995</v>
      </c>
      <c r="DZ8" s="1">
        <f t="shared" si="31"/>
        <v>1.27466579</v>
      </c>
      <c r="EA8" s="1">
        <f t="shared" si="31"/>
        <v>1.8857013599999999</v>
      </c>
      <c r="EB8" s="1">
        <f t="shared" si="31"/>
        <v>4.07849503</v>
      </c>
      <c r="EC8" s="1">
        <f t="shared" si="31"/>
        <v>2.60999925</v>
      </c>
      <c r="ED8" s="1">
        <f t="shared" si="31"/>
        <v>4.3280037599999996</v>
      </c>
      <c r="EE8" s="1">
        <f t="shared" si="31"/>
        <v>3.9253711099999995</v>
      </c>
      <c r="EF8" s="1">
        <f t="shared" si="31"/>
        <v>2.66724104</v>
      </c>
      <c r="EG8" s="1">
        <f t="shared" si="31"/>
        <v>1.3237541899999998</v>
      </c>
      <c r="EI8" s="14">
        <f t="shared" si="32"/>
        <v>45.79</v>
      </c>
      <c r="EJ8" s="14">
        <f t="shared" si="32"/>
        <v>45.9</v>
      </c>
      <c r="EK8" s="1">
        <f t="shared" si="32"/>
        <v>45.78</v>
      </c>
      <c r="EL8" s="1">
        <f t="shared" si="32"/>
        <v>45.91</v>
      </c>
      <c r="EM8" s="1">
        <f t="shared" si="32"/>
        <v>45.61</v>
      </c>
      <c r="EN8" s="1">
        <f t="shared" si="32"/>
        <v>45.61</v>
      </c>
      <c r="EO8" s="1">
        <f t="shared" si="32"/>
        <v>45.23</v>
      </c>
      <c r="EP8" s="1">
        <f t="shared" si="32"/>
        <v>45.2</v>
      </c>
      <c r="EQ8" s="1">
        <f t="shared" si="32"/>
        <v>46.01</v>
      </c>
      <c r="ER8" s="1">
        <f t="shared" si="32"/>
        <v>44.44</v>
      </c>
      <c r="ES8" s="1">
        <f t="shared" si="32"/>
        <v>42.29</v>
      </c>
      <c r="ET8" s="1">
        <f t="shared" si="32"/>
        <v>45.39</v>
      </c>
      <c r="EU8" s="1">
        <f t="shared" si="32"/>
        <v>45.32</v>
      </c>
      <c r="EV8" s="1">
        <f t="shared" si="32"/>
        <v>44.85</v>
      </c>
      <c r="EW8" s="1">
        <f t="shared" si="32"/>
        <v>45.52</v>
      </c>
      <c r="EX8" s="1">
        <f t="shared" si="32"/>
        <v>46.23</v>
      </c>
      <c r="EY8" s="1">
        <f t="shared" si="33"/>
        <v>46.23</v>
      </c>
      <c r="EZ8" s="1">
        <f t="shared" si="33"/>
        <v>46.23</v>
      </c>
      <c r="FA8" s="1">
        <f t="shared" si="33"/>
        <v>48.52</v>
      </c>
      <c r="FB8" s="1">
        <f t="shared" si="33"/>
        <v>45.85</v>
      </c>
      <c r="FC8" s="1">
        <f t="shared" si="33"/>
        <v>46.03</v>
      </c>
      <c r="FD8" s="1">
        <f t="shared" si="33"/>
        <v>46.13</v>
      </c>
      <c r="FE8" s="1">
        <f t="shared" si="33"/>
        <v>45.88</v>
      </c>
      <c r="FF8" s="1">
        <f t="shared" si="33"/>
        <v>46.09</v>
      </c>
      <c r="FH8" s="162">
        <f t="shared" si="34"/>
        <v>0.2173288697063589</v>
      </c>
    </row>
    <row r="9" spans="1:164" ht="18.75" customHeight="1">
      <c r="A9" s="244" t="s">
        <v>77</v>
      </c>
      <c r="B9" s="247"/>
      <c r="C9" s="228">
        <v>0</v>
      </c>
      <c r="D9" s="229">
        <v>1</v>
      </c>
      <c r="E9" s="253">
        <f t="shared" si="6"/>
        <v>1.1883273164861707E-2</v>
      </c>
      <c r="F9" s="254">
        <f t="shared" si="7"/>
        <v>-7.1335643884511413E-3</v>
      </c>
      <c r="G9" s="253">
        <f t="shared" si="8"/>
        <v>6.8671041192816196E-2</v>
      </c>
      <c r="H9" s="254">
        <f t="shared" si="9"/>
        <v>-5.6787768027954488E-2</v>
      </c>
      <c r="I9" s="253">
        <f t="shared" si="10"/>
        <v>0.53899617733207572</v>
      </c>
      <c r="J9" s="254">
        <f t="shared" si="11"/>
        <v>0.17333072874557631</v>
      </c>
      <c r="K9" s="253">
        <f t="shared" si="12"/>
        <v>0.37932163278128717</v>
      </c>
      <c r="L9" s="254">
        <f t="shared" si="13"/>
        <v>0.15967454455078856</v>
      </c>
      <c r="M9" s="255"/>
      <c r="N9" s="256">
        <v>-1</v>
      </c>
      <c r="O9" s="253">
        <f t="shared" si="35"/>
        <v>-2.1957134195409456E-2</v>
      </c>
      <c r="P9" s="257">
        <f t="shared" si="36"/>
        <v>-2.1957134195409456E-2</v>
      </c>
      <c r="Q9" s="253">
        <f t="shared" si="14"/>
        <v>2.9115195000056326E-2</v>
      </c>
      <c r="R9" s="257">
        <f t="shared" si="37"/>
        <v>2.9115195000056326E-2</v>
      </c>
      <c r="S9" s="255"/>
      <c r="T9" s="256">
        <v>0</v>
      </c>
      <c r="U9" s="253">
        <f t="shared" si="15"/>
        <v>0.15038998911925461</v>
      </c>
      <c r="V9" s="258">
        <f t="shared" si="16"/>
        <v>0.15038998911925461</v>
      </c>
      <c r="W9" s="253">
        <f t="shared" si="38"/>
        <v>1.3807275482805048</v>
      </c>
      <c r="X9" s="258">
        <f t="shared" si="17"/>
        <v>1.3807275482805048</v>
      </c>
      <c r="Y9" s="253">
        <f t="shared" si="18"/>
        <v>4.9163179916318134E-2</v>
      </c>
      <c r="Z9" s="258">
        <f t="shared" si="19"/>
        <v>4.9163179916318134E-2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3</v>
      </c>
      <c r="AQ9" s="28">
        <f>VLOOKUP($A9,historia!$A$5:$CM$24,+HLOOKUP(AQ$2,historia!$A$3:$EC$4,2,FALSE),FALSE)</f>
        <v>3</v>
      </c>
      <c r="AR9" s="28">
        <f>VLOOKUP($A9,historia!$A$5:$CM$24,+HLOOKUP(AR$2,historia!$A$3:$EC$4,2,FALSE),FALSE)</f>
        <v>3</v>
      </c>
      <c r="AS9" s="28">
        <f>VLOOKUP($A9,historia!$A$5:$CM$24,+HLOOKUP(AS$2,historia!$A$3:$EC$4,2,FALSE),FALSE)</f>
        <v>3</v>
      </c>
      <c r="AT9" s="58">
        <f>VLOOKUP($A9,historia!$A$5:$CM$24,+HLOOKUP(AT$2,historia!$A$3:$EC$4,2,FALSE),FALSE)</f>
        <v>3</v>
      </c>
      <c r="AU9" s="58">
        <f>VLOOKUP($A9,historia!$A$5:$CM$24,+HLOOKUP(AU$2,historia!$A$3:$EC$4,2,FALSE),FALSE)</f>
        <v>3</v>
      </c>
      <c r="AV9" s="58">
        <f>VLOOKUP($A9,historia!$A$5:$CM$24,+HLOOKUP(AV$2,historia!$A$3:$EC$4,2,FALSE),FALSE)</f>
        <v>3</v>
      </c>
      <c r="AW9" s="58">
        <f>VLOOKUP($A9,historia!$A$5:$CM$24,+HLOOKUP(AW$2,historia!$A$3:$EC$4,2,FALSE),FALSE)</f>
        <v>2</v>
      </c>
      <c r="AX9" s="58">
        <f>VLOOKUP($A9,historia!$A$5:$CM$24,+HLOOKUP(AX$2,historia!$A$3:$EC$4,2,FALSE),FALSE)</f>
        <v>2</v>
      </c>
      <c r="AY9" s="58">
        <f>VLOOKUP($A9,historia!$A$5:$CM$24,+HLOOKUP(AY$2,historia!$A$3:$EC$4,2,FALSE),FALSE)</f>
        <v>2</v>
      </c>
      <c r="AZ9" s="58">
        <f>VLOOKUP($A9,historia!$A$5:$CM$24,+HLOOKUP(AZ$2,historia!$A$3:$EC$4,2,FALSE),FALSE)</f>
        <v>2</v>
      </c>
      <c r="BA9" s="58">
        <f>VLOOKUP($A9,historia!$A$5:$CM$24,+HLOOKUP(BA$2,historia!$A$3:$EC$4,2,FALSE),FALSE)</f>
        <v>2</v>
      </c>
      <c r="BB9" s="58"/>
      <c r="BC9" s="58"/>
      <c r="BD9" s="286">
        <v>2</v>
      </c>
      <c r="BE9" t="str">
        <f t="shared" si="20"/>
        <v>Bovinos</v>
      </c>
      <c r="BF9">
        <f>+datos!BM1</f>
        <v>65</v>
      </c>
      <c r="BG9" s="2" t="str">
        <f t="shared" si="4"/>
        <v>$/kg</v>
      </c>
      <c r="BH9" s="2">
        <f t="shared" si="4"/>
        <v>3363.5</v>
      </c>
      <c r="BI9" s="2">
        <f t="shared" si="4"/>
        <v>3324</v>
      </c>
      <c r="BJ9" s="2">
        <f t="shared" si="4"/>
        <v>2185.5155</v>
      </c>
      <c r="BL9">
        <f>+datos!DB1</f>
        <v>106</v>
      </c>
      <c r="BM9" s="2">
        <f t="shared" si="21"/>
        <v>11335.355339114154</v>
      </c>
      <c r="BN9" s="2">
        <f t="shared" si="21"/>
        <v>10606.96407236973</v>
      </c>
      <c r="BO9" s="2">
        <f t="shared" si="21"/>
        <v>8218.0653661302731</v>
      </c>
      <c r="BQ9" s="1">
        <f>+datos!EH1</f>
        <v>138</v>
      </c>
      <c r="BR9" s="1">
        <f t="shared" si="22"/>
        <v>51624909</v>
      </c>
      <c r="BS9" s="1">
        <f t="shared" si="22"/>
        <v>52783892</v>
      </c>
      <c r="BU9" s="1">
        <f>+datos!HB1</f>
        <v>210</v>
      </c>
      <c r="BV9" s="1">
        <f t="shared" si="23"/>
        <v>3192763</v>
      </c>
      <c r="BW9" s="1">
        <f t="shared" si="23"/>
        <v>3102435</v>
      </c>
      <c r="BY9" s="1">
        <f>+datos!KG1</f>
        <v>293</v>
      </c>
      <c r="BZ9" s="1">
        <f t="shared" si="39"/>
        <v>4427.5601071699994</v>
      </c>
      <c r="CA9" s="1">
        <f t="shared" si="40"/>
        <v>3848.7470762499993</v>
      </c>
      <c r="CC9" s="1">
        <f>+datos!LL1</f>
        <v>324</v>
      </c>
      <c r="CD9" s="2">
        <f t="shared" si="24"/>
        <v>77.613988549999988</v>
      </c>
      <c r="CE9" s="2">
        <f t="shared" si="25"/>
        <v>32.600953690000004</v>
      </c>
      <c r="CG9" s="1">
        <f>+datos!IM1</f>
        <v>247</v>
      </c>
      <c r="CH9" s="1">
        <f t="shared" si="26"/>
        <v>50.15</v>
      </c>
      <c r="CI9" s="1">
        <f t="shared" si="27"/>
        <v>47.8</v>
      </c>
      <c r="CK9" s="1">
        <f t="shared" si="28"/>
        <v>434.66638176999993</v>
      </c>
      <c r="CL9" s="1">
        <f t="shared" si="28"/>
        <v>430.01977605999991</v>
      </c>
      <c r="CM9" s="1">
        <f t="shared" si="28"/>
        <v>389.02912699999996</v>
      </c>
      <c r="CN9" s="1">
        <f t="shared" si="28"/>
        <v>350.95842742999997</v>
      </c>
      <c r="CO9" s="1">
        <f t="shared" si="28"/>
        <v>275.41226476999998</v>
      </c>
      <c r="CP9" s="1">
        <f t="shared" si="28"/>
        <v>345.87150417999976</v>
      </c>
      <c r="CQ9" s="1">
        <f t="shared" si="28"/>
        <v>330.34833823999992</v>
      </c>
      <c r="CR9" s="1">
        <f t="shared" si="28"/>
        <v>372.02787432000008</v>
      </c>
      <c r="CS9" s="1">
        <f t="shared" si="28"/>
        <v>363.37275483999991</v>
      </c>
      <c r="CT9" s="1">
        <f t="shared" si="28"/>
        <v>373.60267999999996</v>
      </c>
      <c r="CU9" s="1">
        <f t="shared" si="28"/>
        <v>392.24577093999977</v>
      </c>
      <c r="CV9" s="1">
        <f t="shared" si="28"/>
        <v>370.00520762000008</v>
      </c>
      <c r="CW9" s="1">
        <f t="shared" si="28"/>
        <v>307.7105307999999</v>
      </c>
      <c r="CX9" s="1">
        <f t="shared" si="28"/>
        <v>311.98041742999999</v>
      </c>
      <c r="CY9" s="1">
        <f t="shared" si="28"/>
        <v>309.32423856999998</v>
      </c>
      <c r="CZ9" s="1">
        <f t="shared" si="28"/>
        <v>316.28118749999999</v>
      </c>
      <c r="DA9" s="1">
        <f t="shared" si="29"/>
        <v>350.14414257999977</v>
      </c>
      <c r="DB9" s="1">
        <f t="shared" si="29"/>
        <v>342.85888695999995</v>
      </c>
      <c r="DC9" s="1">
        <f t="shared" si="29"/>
        <v>324.84866957999998</v>
      </c>
      <c r="DD9" s="1">
        <f t="shared" si="29"/>
        <v>325.97502911999987</v>
      </c>
      <c r="DE9" s="1">
        <f t="shared" si="29"/>
        <v>321.39038838999994</v>
      </c>
      <c r="DF9" s="1">
        <f t="shared" si="29"/>
        <v>273.58963931999995</v>
      </c>
      <c r="DG9" s="1">
        <f t="shared" si="29"/>
        <v>292.91820976000002</v>
      </c>
      <c r="DH9" s="1">
        <f t="shared" si="29"/>
        <v>371.72573624</v>
      </c>
      <c r="DJ9" s="1">
        <f t="shared" si="30"/>
        <v>6.816705279999999</v>
      </c>
      <c r="DK9" s="1">
        <f t="shared" si="30"/>
        <v>8.1579769499999983</v>
      </c>
      <c r="DL9" s="1">
        <f t="shared" si="30"/>
        <v>10.16779666</v>
      </c>
      <c r="DM9" s="1">
        <f t="shared" si="30"/>
        <v>11.009236750000001</v>
      </c>
      <c r="DN9" s="1">
        <f t="shared" si="30"/>
        <v>8.7569028099999997</v>
      </c>
      <c r="DO9" s="1">
        <f t="shared" si="30"/>
        <v>7.0677003599999999</v>
      </c>
      <c r="DP9" s="1">
        <f t="shared" si="30"/>
        <v>5.8644577399999989</v>
      </c>
      <c r="DQ9" s="1">
        <f t="shared" si="30"/>
        <v>6.7460545699999992</v>
      </c>
      <c r="DR9" s="1">
        <f t="shared" si="30"/>
        <v>2.8647302900000002</v>
      </c>
      <c r="DS9" s="1">
        <f t="shared" si="30"/>
        <v>3.9160438699999998</v>
      </c>
      <c r="DT9" s="1">
        <f t="shared" si="30"/>
        <v>2.7432327000000001</v>
      </c>
      <c r="DU9" s="1">
        <f t="shared" si="30"/>
        <v>3.5031505699999994</v>
      </c>
      <c r="DV9" s="1">
        <f t="shared" si="30"/>
        <v>3.9954732900000005</v>
      </c>
      <c r="DW9" s="1">
        <f t="shared" si="30"/>
        <v>2.3751918999999999</v>
      </c>
      <c r="DX9" s="1">
        <f t="shared" si="30"/>
        <v>3.3189943100000003</v>
      </c>
      <c r="DY9" s="1">
        <f t="shared" si="30"/>
        <v>3.6004889900000006</v>
      </c>
      <c r="DZ9" s="1">
        <f t="shared" si="31"/>
        <v>2.2940615100000001</v>
      </c>
      <c r="EA9" s="1">
        <f t="shared" si="31"/>
        <v>1.2696953500000001</v>
      </c>
      <c r="EB9" s="1">
        <f t="shared" si="31"/>
        <v>1.4792882700000001</v>
      </c>
      <c r="EC9" s="1">
        <f t="shared" si="31"/>
        <v>3.3410357400000001</v>
      </c>
      <c r="ED9" s="1">
        <f t="shared" si="31"/>
        <v>3.5927978000000009</v>
      </c>
      <c r="EE9" s="1">
        <f t="shared" si="31"/>
        <v>2.53051044</v>
      </c>
      <c r="EF9" s="1">
        <f t="shared" si="31"/>
        <v>2.3401237999999998</v>
      </c>
      <c r="EG9" s="1">
        <f t="shared" si="31"/>
        <v>2.4632922899999996</v>
      </c>
      <c r="EI9" s="14">
        <f t="shared" si="32"/>
        <v>50.15</v>
      </c>
      <c r="EJ9" s="14">
        <f t="shared" si="32"/>
        <v>50.33</v>
      </c>
      <c r="EK9" s="1">
        <f t="shared" si="32"/>
        <v>49.79</v>
      </c>
      <c r="EL9" s="1">
        <f t="shared" si="32"/>
        <v>49.86</v>
      </c>
      <c r="EM9" s="1">
        <f t="shared" si="32"/>
        <v>49.86</v>
      </c>
      <c r="EN9" s="1">
        <f t="shared" si="32"/>
        <v>48.75</v>
      </c>
      <c r="EO9" s="1">
        <f t="shared" si="32"/>
        <v>48.18</v>
      </c>
      <c r="EP9" s="1">
        <f t="shared" si="32"/>
        <v>47.81</v>
      </c>
      <c r="EQ9" s="1">
        <f t="shared" si="32"/>
        <v>46.91</v>
      </c>
      <c r="ER9" s="1">
        <f t="shared" si="32"/>
        <v>47.74</v>
      </c>
      <c r="ES9" s="1">
        <f t="shared" si="32"/>
        <v>47.38</v>
      </c>
      <c r="ET9" s="1">
        <f t="shared" si="32"/>
        <v>47.74</v>
      </c>
      <c r="EU9" s="1">
        <f t="shared" si="32"/>
        <v>47.8</v>
      </c>
      <c r="EV9" s="1">
        <f t="shared" si="32"/>
        <v>47.58</v>
      </c>
      <c r="EW9" s="1">
        <f t="shared" si="32"/>
        <v>49.18</v>
      </c>
      <c r="EX9" s="1">
        <f t="shared" si="32"/>
        <v>49.37</v>
      </c>
      <c r="EY9" s="1">
        <f t="shared" si="33"/>
        <v>49.38</v>
      </c>
      <c r="EZ9" s="1">
        <f t="shared" si="33"/>
        <v>51.48</v>
      </c>
      <c r="FA9" s="1">
        <f t="shared" si="33"/>
        <v>52.06</v>
      </c>
      <c r="FB9" s="1">
        <f t="shared" si="33"/>
        <v>42.59</v>
      </c>
      <c r="FC9" s="1">
        <f t="shared" si="33"/>
        <v>51.3</v>
      </c>
      <c r="FD9" s="1">
        <f t="shared" si="33"/>
        <v>51.15</v>
      </c>
      <c r="FE9" s="1">
        <f t="shared" si="33"/>
        <v>51.01</v>
      </c>
      <c r="FF9" s="1">
        <f t="shared" si="33"/>
        <v>51.15</v>
      </c>
      <c r="FH9" s="162">
        <f t="shared" si="34"/>
        <v>0.15967454455078856</v>
      </c>
    </row>
    <row r="10" spans="1:164" ht="28.8">
      <c r="A10" s="263" t="s">
        <v>221</v>
      </c>
      <c r="B10" s="246"/>
      <c r="C10" s="156">
        <f t="shared" si="5"/>
        <v>0</v>
      </c>
      <c r="D10" s="198">
        <v>-1</v>
      </c>
      <c r="E10" s="248">
        <f t="shared" si="6"/>
        <v>3.0670477746018499E-2</v>
      </c>
      <c r="F10" s="249">
        <f t="shared" si="7"/>
        <v>1.165364019270565E-2</v>
      </c>
      <c r="G10" s="248">
        <f t="shared" si="8"/>
        <v>8.1634086633963765E-2</v>
      </c>
      <c r="H10" s="249">
        <f t="shared" si="9"/>
        <v>-5.0963608887945266E-2</v>
      </c>
      <c r="I10" s="248">
        <f t="shared" si="10"/>
        <v>0.24796027556729139</v>
      </c>
      <c r="J10" s="249">
        <f t="shared" si="11"/>
        <v>-0.11770517301920802</v>
      </c>
      <c r="K10" s="248">
        <f t="shared" si="12"/>
        <v>0.35163345019608139</v>
      </c>
      <c r="L10" s="249">
        <f t="shared" si="13"/>
        <v>-0.10367317462879</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1.1150282204247479</v>
      </c>
      <c r="V10" s="252">
        <f t="shared" si="16"/>
        <v>1.1150282204247479</v>
      </c>
      <c r="W10" s="248">
        <f t="shared" si="38"/>
        <v>0.6153041100991623</v>
      </c>
      <c r="X10" s="252">
        <f t="shared" si="17"/>
        <v>0.6153041100991623</v>
      </c>
      <c r="Y10" s="248">
        <f t="shared" si="18"/>
        <v>-1.4951121334099926E-2</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4</v>
      </c>
      <c r="AR10" s="28">
        <f>VLOOKUP($A10,historia!$A$5:$CM$24,+HLOOKUP(AR$2,historia!$A$3:$EC$4,2,FALSE),FALSE)</f>
        <v>4</v>
      </c>
      <c r="AS10" s="28">
        <f>VLOOKUP($A10,historia!$A$5:$CM$24,+HLOOKUP(AS$2,historia!$A$3:$EC$4,2,FALSE),FALSE)</f>
        <v>4</v>
      </c>
      <c r="AT10" s="58">
        <f>VLOOKUP($A10,historia!$A$5:$CM$24,+HLOOKUP(AT$2,historia!$A$3:$EC$4,2,FALSE),FALSE)</f>
        <v>4</v>
      </c>
      <c r="AU10" s="58">
        <f>VLOOKUP($A10,historia!$A$5:$CM$24,+HLOOKUP(AU$2,historia!$A$3:$EC$4,2,FALSE),FALSE)</f>
        <v>3</v>
      </c>
      <c r="AV10" s="58">
        <f>VLOOKUP($A10,historia!$A$5:$CM$24,+HLOOKUP(AV$2,historia!$A$3:$EC$4,2,FALSE),FALSE)</f>
        <v>4</v>
      </c>
      <c r="AW10" s="58">
        <f>VLOOKUP($A10,historia!$A$5:$CM$24,+HLOOKUP(AW$2,historia!$A$3:$EC$4,2,FALSE),FALSE)</f>
        <v>4</v>
      </c>
      <c r="AX10" s="58">
        <f>VLOOKUP($A10,historia!$A$5:$CM$24,+HLOOKUP(AX$2,historia!$A$3:$EC$4,2,FALSE),FALSE)</f>
        <v>4</v>
      </c>
      <c r="AY10" s="58">
        <f>VLOOKUP($A10,historia!$A$5:$CM$24,+HLOOKUP(AY$2,historia!$A$3:$EC$4,2,FALSE),FALSE)</f>
        <v>4</v>
      </c>
      <c r="AZ10" s="58">
        <f>VLOOKUP($A10,historia!$A$5:$CM$24,+HLOOKUP(AZ$2,historia!$A$3:$EC$4,2,FALSE),FALSE)</f>
        <v>3</v>
      </c>
      <c r="BA10" s="58">
        <f>VLOOKUP($A10,historia!$A$5:$CM$24,+HLOOKUP(BA$2,historia!$A$3:$EC$4,2,FALSE),FALSE)</f>
        <v>2</v>
      </c>
      <c r="BB10" s="58"/>
      <c r="BC10" s="58"/>
      <c r="BD10" s="286">
        <v>2</v>
      </c>
      <c r="BE10" t="str">
        <f t="shared" si="20"/>
        <v>Cítricos Dulces</v>
      </c>
      <c r="BF10">
        <f>+datos!AU1</f>
        <v>47</v>
      </c>
      <c r="BG10" s="2" t="str">
        <f t="shared" si="4"/>
        <v>$/caja 18kg</v>
      </c>
      <c r="BH10" s="2">
        <f t="shared" si="4"/>
        <v>11624.199999999999</v>
      </c>
      <c r="BI10" s="2">
        <f t="shared" si="4"/>
        <v>11278.289473684212</v>
      </c>
      <c r="BJ10" s="2">
        <f t="shared" si="4"/>
        <v>9314.5593073593063</v>
      </c>
      <c r="BL10">
        <f>+datos!CX1</f>
        <v>102</v>
      </c>
      <c r="BM10" s="2">
        <f t="shared" si="21"/>
        <v>10523.040564562536</v>
      </c>
      <c r="BN10" s="2">
        <f t="shared" si="21"/>
        <v>9728.8359294501806</v>
      </c>
      <c r="BO10" s="2">
        <f t="shared" si="21"/>
        <v>7785.4247858662857</v>
      </c>
      <c r="BQ10" s="1">
        <f>+datos!ER1</f>
        <v>148</v>
      </c>
      <c r="BR10" s="1">
        <f t="shared" si="22"/>
        <v>79911</v>
      </c>
      <c r="BS10" s="1">
        <f t="shared" si="22"/>
        <v>80248</v>
      </c>
      <c r="BU10" s="1">
        <f>+datos!GH1</f>
        <v>190</v>
      </c>
      <c r="BV10" s="1">
        <f t="shared" si="23"/>
        <v>1543162</v>
      </c>
      <c r="BW10" s="1">
        <f t="shared" si="23"/>
        <v>1734000</v>
      </c>
      <c r="BY10" s="1">
        <f>+datos!LT1</f>
        <v>332</v>
      </c>
      <c r="BZ10" s="1">
        <f t="shared" si="39"/>
        <v>141.61349530999999</v>
      </c>
      <c r="CA10" s="1">
        <f t="shared" si="40"/>
        <v>66.955841979999988</v>
      </c>
      <c r="CB10" s="1"/>
      <c r="CC10" s="1">
        <f>+datos!LX1</f>
        <v>336</v>
      </c>
      <c r="CD10" s="2">
        <f t="shared" si="24"/>
        <v>7.3383240200000008</v>
      </c>
      <c r="CE10" s="2">
        <f t="shared" si="25"/>
        <v>4.54299842</v>
      </c>
      <c r="CG10" s="1">
        <f>+datos!IV1</f>
        <v>256</v>
      </c>
      <c r="CH10" s="1">
        <f t="shared" si="26"/>
        <v>17.130000000000003</v>
      </c>
      <c r="CI10" s="1">
        <f t="shared" si="27"/>
        <v>17.39</v>
      </c>
      <c r="CK10" s="1">
        <f t="shared" si="28"/>
        <v>16.897846870000002</v>
      </c>
      <c r="CL10" s="1">
        <f t="shared" si="28"/>
        <v>10.456701950000001</v>
      </c>
      <c r="CM10" s="1">
        <f t="shared" si="28"/>
        <v>9.5618942600000008</v>
      </c>
      <c r="CN10" s="1">
        <f t="shared" si="28"/>
        <v>5.6783096999999998</v>
      </c>
      <c r="CO10" s="1">
        <f t="shared" si="28"/>
        <v>3.5979505000000001</v>
      </c>
      <c r="CP10" s="1">
        <f t="shared" si="28"/>
        <v>11.482528969999997</v>
      </c>
      <c r="CQ10" s="1">
        <f t="shared" si="28"/>
        <v>11.00321864</v>
      </c>
      <c r="CR10" s="1">
        <f t="shared" si="28"/>
        <v>18.05731771</v>
      </c>
      <c r="CS10" s="1">
        <f t="shared" si="28"/>
        <v>12.23030908</v>
      </c>
      <c r="CT10" s="1">
        <f t="shared" si="28"/>
        <v>17.119922650000003</v>
      </c>
      <c r="CU10" s="1">
        <f t="shared" si="28"/>
        <v>15.255558669999997</v>
      </c>
      <c r="CV10" s="1">
        <f t="shared" si="28"/>
        <v>10.271936310000001</v>
      </c>
      <c r="CW10" s="1">
        <f t="shared" si="28"/>
        <v>14.041262509999999</v>
      </c>
      <c r="CX10" s="1">
        <f t="shared" si="28"/>
        <v>6.1015489199999999</v>
      </c>
      <c r="CY10" s="1">
        <f t="shared" si="28"/>
        <v>2.3063176799999998</v>
      </c>
      <c r="CZ10" s="1">
        <f t="shared" si="28"/>
        <v>3.2785219999999997</v>
      </c>
      <c r="DA10" s="1">
        <f t="shared" si="29"/>
        <v>2.8661316999999999</v>
      </c>
      <c r="DB10" s="1">
        <f t="shared" si="29"/>
        <v>3.3581509099999995</v>
      </c>
      <c r="DC10" s="1">
        <f t="shared" si="29"/>
        <v>4.3519123000000004</v>
      </c>
      <c r="DD10" s="1">
        <f t="shared" si="29"/>
        <v>3.6482140500000004</v>
      </c>
      <c r="DE10" s="1">
        <f t="shared" si="29"/>
        <v>7.8852843799999999</v>
      </c>
      <c r="DF10" s="1">
        <f t="shared" si="29"/>
        <v>4.4927710999999997</v>
      </c>
      <c r="DG10" s="1">
        <f t="shared" si="29"/>
        <v>3.9018705800000002</v>
      </c>
      <c r="DH10" s="1">
        <f t="shared" si="29"/>
        <v>10.723855849999996</v>
      </c>
      <c r="DJ10" s="1">
        <f t="shared" si="30"/>
        <v>4.99154E-3</v>
      </c>
      <c r="DK10" s="1">
        <f t="shared" si="30"/>
        <v>4.683996E-2</v>
      </c>
      <c r="DL10" s="1">
        <f t="shared" si="30"/>
        <v>0.23953321999999996</v>
      </c>
      <c r="DM10" s="1">
        <f t="shared" si="30"/>
        <v>0.72731897999999995</v>
      </c>
      <c r="DN10" s="1">
        <f t="shared" si="30"/>
        <v>1.7947146899999999</v>
      </c>
      <c r="DO10" s="1">
        <f t="shared" si="30"/>
        <v>1.56764612</v>
      </c>
      <c r="DP10" s="1">
        <f t="shared" si="30"/>
        <v>1.4871383200000001</v>
      </c>
      <c r="DQ10" s="1">
        <f t="shared" si="30"/>
        <v>0.7069763</v>
      </c>
      <c r="DR10" s="1">
        <f t="shared" si="30"/>
        <v>0.35634324000000006</v>
      </c>
      <c r="DS10" s="1">
        <f t="shared" si="30"/>
        <v>0.22489865000000001</v>
      </c>
      <c r="DT10" s="1">
        <f t="shared" si="30"/>
        <v>0.17467300000000002</v>
      </c>
      <c r="DU10" s="1">
        <f t="shared" si="30"/>
        <v>7.2500000000000004E-3</v>
      </c>
      <c r="DV10" s="1">
        <f t="shared" si="30"/>
        <v>0.23680799999999999</v>
      </c>
      <c r="DW10" s="1">
        <f t="shared" si="30"/>
        <v>0</v>
      </c>
      <c r="DX10" s="1">
        <f t="shared" si="30"/>
        <v>0.3075099</v>
      </c>
      <c r="DY10" s="1">
        <f t="shared" si="30"/>
        <v>0.82950560000000007</v>
      </c>
      <c r="DZ10" s="1">
        <f t="shared" si="31"/>
        <v>1.06715808</v>
      </c>
      <c r="EA10" s="1">
        <f t="shared" si="31"/>
        <v>0.57276656999999997</v>
      </c>
      <c r="EB10" s="1">
        <f t="shared" si="31"/>
        <v>0.50591796999999994</v>
      </c>
      <c r="EC10" s="1">
        <f t="shared" si="31"/>
        <v>0.37369366000000004</v>
      </c>
      <c r="ED10" s="1">
        <f t="shared" si="31"/>
        <v>1.8223369999999999E-2</v>
      </c>
      <c r="EE10" s="1">
        <f t="shared" si="31"/>
        <v>0.26981320000000003</v>
      </c>
      <c r="EF10" s="1">
        <f t="shared" si="31"/>
        <v>0.36129600000000001</v>
      </c>
      <c r="EG10" s="1">
        <f t="shared" si="31"/>
        <v>3.0606999999999997E-4</v>
      </c>
      <c r="EI10" s="14">
        <f t="shared" si="32"/>
        <v>17.130000000000003</v>
      </c>
      <c r="EJ10" s="14">
        <f t="shared" si="32"/>
        <v>17.130000000000003</v>
      </c>
      <c r="EK10" s="1">
        <f t="shared" si="32"/>
        <v>17.130000000000003</v>
      </c>
      <c r="EL10" s="1">
        <f t="shared" si="32"/>
        <v>17.130000000000003</v>
      </c>
      <c r="EM10" s="1">
        <f t="shared" si="32"/>
        <v>17.130000000000003</v>
      </c>
      <c r="EN10" s="1">
        <f t="shared" si="32"/>
        <v>17.130000000000003</v>
      </c>
      <c r="EO10" s="1">
        <f t="shared" si="32"/>
        <v>17.130000000000003</v>
      </c>
      <c r="EP10" s="1">
        <f t="shared" si="32"/>
        <v>17.39</v>
      </c>
      <c r="EQ10" s="1">
        <f t="shared" si="32"/>
        <v>17.39</v>
      </c>
      <c r="ER10" s="1">
        <f t="shared" si="32"/>
        <v>17.39</v>
      </c>
      <c r="ES10" s="1">
        <f t="shared" si="32"/>
        <v>17.39</v>
      </c>
      <c r="ET10" s="1">
        <f t="shared" si="32"/>
        <v>17.39</v>
      </c>
      <c r="EU10" s="1">
        <f t="shared" si="32"/>
        <v>17.39</v>
      </c>
      <c r="EV10" s="1">
        <f t="shared" si="32"/>
        <v>17.39</v>
      </c>
      <c r="EW10" s="1">
        <f t="shared" si="32"/>
        <v>17.39</v>
      </c>
      <c r="EX10" s="1">
        <f t="shared" si="32"/>
        <v>17.39</v>
      </c>
      <c r="EY10" s="1">
        <f t="shared" si="33"/>
        <v>17.39</v>
      </c>
      <c r="EZ10" s="1">
        <f t="shared" si="33"/>
        <v>17.39</v>
      </c>
      <c r="FA10" s="1">
        <f t="shared" si="33"/>
        <v>17.39</v>
      </c>
      <c r="FB10" s="1">
        <f t="shared" si="33"/>
        <v>19.739999999999998</v>
      </c>
      <c r="FC10" s="1">
        <f t="shared" si="33"/>
        <v>19.739999999999998</v>
      </c>
      <c r="FD10" s="1">
        <f t="shared" si="33"/>
        <v>19.739999999999998</v>
      </c>
      <c r="FE10" s="1">
        <f t="shared" si="33"/>
        <v>19.739999999999998</v>
      </c>
      <c r="FF10" s="1">
        <f t="shared" si="33"/>
        <v>19.739999999999998</v>
      </c>
      <c r="FH10" s="162">
        <f t="shared" si="34"/>
        <v>-0.10367317462879</v>
      </c>
    </row>
    <row r="11" spans="1:164" ht="18.75" customHeight="1">
      <c r="A11" s="244" t="s">
        <v>116</v>
      </c>
      <c r="B11" s="247"/>
      <c r="C11" s="228">
        <f t="shared" si="5"/>
        <v>-0.33</v>
      </c>
      <c r="D11" s="229">
        <v>1</v>
      </c>
      <c r="E11" s="253">
        <f t="shared" si="6"/>
        <v>-1.3950870421742478E-2</v>
      </c>
      <c r="F11" s="254">
        <f t="shared" si="7"/>
        <v>-3.2967707975055327E-2</v>
      </c>
      <c r="G11" s="253">
        <f t="shared" si="8"/>
        <v>7.3833935854859201E-2</v>
      </c>
      <c r="H11" s="254">
        <f t="shared" si="9"/>
        <v>-8.7784806276601679E-2</v>
      </c>
      <c r="I11" s="253">
        <f t="shared" si="10"/>
        <v>0.11291610701709809</v>
      </c>
      <c r="J11" s="254">
        <f t="shared" si="11"/>
        <v>-0.25274934156940132</v>
      </c>
      <c r="K11" s="253">
        <f t="shared" si="12"/>
        <v>0.36572120599237068</v>
      </c>
      <c r="L11" s="254">
        <f t="shared" si="13"/>
        <v>-0.25280509897527259</v>
      </c>
      <c r="M11" s="255"/>
      <c r="N11" s="256"/>
      <c r="O11" s="253" t="str">
        <f t="shared" si="35"/>
        <v/>
      </c>
      <c r="P11" s="257" t="str">
        <f t="shared" si="36"/>
        <v/>
      </c>
      <c r="Q11" s="253">
        <f t="shared" si="14"/>
        <v>0</v>
      </c>
      <c r="R11" s="257">
        <f t="shared" si="37"/>
        <v>0</v>
      </c>
      <c r="S11" s="255"/>
      <c r="T11" s="24">
        <v>-2</v>
      </c>
      <c r="U11" s="253">
        <f t="shared" si="15"/>
        <v>-0.41537025783486681</v>
      </c>
      <c r="V11" s="258">
        <f t="shared" si="16"/>
        <v>-0.41537025783486681</v>
      </c>
      <c r="W11" s="253">
        <f t="shared" si="38"/>
        <v>-5.0977386908509725E-2</v>
      </c>
      <c r="X11" s="258">
        <f t="shared" si="17"/>
        <v>-5.0977386908509725E-2</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3</v>
      </c>
      <c r="AV11" s="58">
        <f>VLOOKUP($A11,historia!$A$5:$CM$24,+HLOOKUP(AV$2,historia!$A$3:$EC$4,2,FALSE),FALSE)</f>
        <v>3</v>
      </c>
      <c r="AW11" s="58">
        <f>VLOOKUP($A11,historia!$A$5:$CM$24,+HLOOKUP(AW$2,historia!$A$3:$EC$4,2,FALSE),FALSE)</f>
        <v>3</v>
      </c>
      <c r="AX11" s="58">
        <f>VLOOKUP($A11,historia!$A$5:$CM$24,+HLOOKUP(AX$2,historia!$A$3:$EC$4,2,FALSE),FALSE)</f>
        <v>3</v>
      </c>
      <c r="AY11" s="58">
        <f>VLOOKUP($A11,historia!$A$5:$CM$24,+HLOOKUP(AY$2,historia!$A$3:$EC$4,2,FALSE),FALSE)</f>
        <v>3</v>
      </c>
      <c r="AZ11" s="58">
        <f>VLOOKUP($A11,historia!$A$5:$CM$24,+HLOOKUP(AZ$2,historia!$A$3:$EC$4,2,FALSE),FALSE)</f>
        <v>3</v>
      </c>
      <c r="BA11" s="58">
        <f>VLOOKUP($A11,historia!$A$5:$CM$24,+HLOOKUP(BA$2,historia!$A$3:$EC$4,2,FALSE),FALSE)</f>
        <v>3</v>
      </c>
      <c r="BB11" s="58"/>
      <c r="BC11" s="58"/>
      <c r="BD11" s="286">
        <v>3</v>
      </c>
      <c r="BE11" t="str">
        <f t="shared" si="20"/>
        <v>Forestal</v>
      </c>
      <c r="BF11">
        <f>+datos!BG1</f>
        <v>59</v>
      </c>
      <c r="BG11" s="2" t="str">
        <f t="shared" si="4"/>
        <v>$/t</v>
      </c>
      <c r="BH11" s="2">
        <f t="shared" si="4"/>
        <v>30657.5</v>
      </c>
      <c r="BI11" s="2">
        <f t="shared" si="4"/>
        <v>31091.25</v>
      </c>
      <c r="BJ11" s="2">
        <f t="shared" si="4"/>
        <v>27547</v>
      </c>
      <c r="BL11">
        <f>+datos!CZ1</f>
        <v>104</v>
      </c>
      <c r="BM11" s="2">
        <f t="shared" si="21"/>
        <v>13643.595200176569</v>
      </c>
      <c r="BN11" s="2">
        <f t="shared" si="21"/>
        <v>12705.498256874474</v>
      </c>
      <c r="BO11" s="2">
        <f t="shared" si="21"/>
        <v>9990.0295465228246</v>
      </c>
      <c r="BQ11" s="1">
        <f>+datos!ES1</f>
        <v>149</v>
      </c>
      <c r="BR11" s="1">
        <f t="shared" si="22"/>
        <v>0</v>
      </c>
      <c r="BS11" s="1">
        <f t="shared" si="22"/>
        <v>0</v>
      </c>
      <c r="BU11" s="1">
        <f>+datos!GI1</f>
        <v>191</v>
      </c>
      <c r="BV11" s="1">
        <f t="shared" si="23"/>
        <v>1302556</v>
      </c>
      <c r="BW11" s="1">
        <f t="shared" si="23"/>
        <v>1302556</v>
      </c>
      <c r="BY11" s="1">
        <f>+datos!KB1</f>
        <v>288</v>
      </c>
      <c r="BZ11" s="1">
        <f t="shared" si="39"/>
        <v>166.40872012</v>
      </c>
      <c r="CA11" s="1">
        <f t="shared" si="40"/>
        <v>284.63950449000004</v>
      </c>
      <c r="CC11" s="1">
        <f>+datos!LG1</f>
        <v>319</v>
      </c>
      <c r="CD11" s="2">
        <f t="shared" si="24"/>
        <v>173.65664365000003</v>
      </c>
      <c r="CE11" s="2">
        <f t="shared" si="25"/>
        <v>182.98472687</v>
      </c>
      <c r="CG11" s="1">
        <f>+datos!IW1</f>
        <v>257</v>
      </c>
      <c r="CH11" s="1">
        <f t="shared" si="26"/>
        <v>0</v>
      </c>
      <c r="CI11" s="1">
        <f t="shared" si="27"/>
        <v>0</v>
      </c>
      <c r="CK11" s="1">
        <f t="shared" si="28"/>
        <v>14.879273850000001</v>
      </c>
      <c r="CL11" s="1">
        <f t="shared" si="28"/>
        <v>13.812450910000003</v>
      </c>
      <c r="CM11" s="1">
        <f t="shared" si="28"/>
        <v>14.949040589999999</v>
      </c>
      <c r="CN11" s="1">
        <f t="shared" si="28"/>
        <v>13.968637820000001</v>
      </c>
      <c r="CO11" s="1">
        <f t="shared" si="28"/>
        <v>9.9284284400000011</v>
      </c>
      <c r="CP11" s="1">
        <f t="shared" si="28"/>
        <v>14.484437890000001</v>
      </c>
      <c r="CQ11" s="1">
        <f t="shared" si="28"/>
        <v>10.200287200000002</v>
      </c>
      <c r="CR11" s="1">
        <f t="shared" si="28"/>
        <v>11.119065489999999</v>
      </c>
      <c r="CS11" s="1">
        <f t="shared" si="28"/>
        <v>13.50721221</v>
      </c>
      <c r="CT11" s="1">
        <f t="shared" si="28"/>
        <v>17.7783984</v>
      </c>
      <c r="CU11" s="1">
        <f t="shared" si="28"/>
        <v>18.158715399999995</v>
      </c>
      <c r="CV11" s="1">
        <f t="shared" si="28"/>
        <v>13.62277192</v>
      </c>
      <c r="CW11" s="1">
        <f t="shared" si="28"/>
        <v>18.147427050000005</v>
      </c>
      <c r="CX11" s="1">
        <f t="shared" si="28"/>
        <v>16.38459563</v>
      </c>
      <c r="CY11" s="1">
        <f t="shared" si="28"/>
        <v>19.29025034</v>
      </c>
      <c r="CZ11" s="1">
        <f t="shared" si="28"/>
        <v>32.635385889999995</v>
      </c>
      <c r="DA11" s="1">
        <f t="shared" si="29"/>
        <v>26.653198490000001</v>
      </c>
      <c r="DB11" s="1">
        <f t="shared" si="29"/>
        <v>23.932255000000001</v>
      </c>
      <c r="DC11" s="1">
        <f t="shared" si="29"/>
        <v>23.104867779999999</v>
      </c>
      <c r="DD11" s="1">
        <f t="shared" si="29"/>
        <v>24.797754910000005</v>
      </c>
      <c r="DE11" s="1">
        <f t="shared" si="29"/>
        <v>26.00374025</v>
      </c>
      <c r="DF11" s="1">
        <f t="shared" si="29"/>
        <v>24.373047020000001</v>
      </c>
      <c r="DG11" s="1">
        <f t="shared" si="29"/>
        <v>25.649224320000002</v>
      </c>
      <c r="DH11" s="1">
        <f t="shared" si="29"/>
        <v>23.667757810000001</v>
      </c>
      <c r="DJ11" s="1">
        <f t="shared" si="30"/>
        <v>13.839856769999999</v>
      </c>
      <c r="DK11" s="1">
        <f t="shared" si="30"/>
        <v>16.453753389999996</v>
      </c>
      <c r="DL11" s="1">
        <f t="shared" si="30"/>
        <v>16.050718710000002</v>
      </c>
      <c r="DM11" s="1">
        <f t="shared" si="30"/>
        <v>13.20675994</v>
      </c>
      <c r="DN11" s="1">
        <f t="shared" si="30"/>
        <v>12.082023640000001</v>
      </c>
      <c r="DO11" s="1">
        <f t="shared" si="30"/>
        <v>16.998994660000001</v>
      </c>
      <c r="DP11" s="1">
        <f t="shared" si="30"/>
        <v>14.09144206</v>
      </c>
      <c r="DQ11" s="1">
        <f t="shared" si="30"/>
        <v>14.036730870000001</v>
      </c>
      <c r="DR11" s="1">
        <f t="shared" si="30"/>
        <v>13.365554540000002</v>
      </c>
      <c r="DS11" s="1">
        <f t="shared" si="30"/>
        <v>15.589800310000003</v>
      </c>
      <c r="DT11" s="1">
        <f t="shared" si="30"/>
        <v>16.942532470000003</v>
      </c>
      <c r="DU11" s="1">
        <f t="shared" si="30"/>
        <v>10.998476289999999</v>
      </c>
      <c r="DV11" s="1">
        <f t="shared" si="30"/>
        <v>11.46589975</v>
      </c>
      <c r="DW11" s="1">
        <f t="shared" si="30"/>
        <v>13.53170609</v>
      </c>
      <c r="DX11" s="1">
        <f t="shared" si="30"/>
        <v>19.941855059999995</v>
      </c>
      <c r="DY11" s="1">
        <f t="shared" si="30"/>
        <v>17.561880160000001</v>
      </c>
      <c r="DZ11" s="1">
        <f t="shared" si="31"/>
        <v>14.580088280000002</v>
      </c>
      <c r="EA11" s="1">
        <f t="shared" si="31"/>
        <v>13.107541810000001</v>
      </c>
      <c r="EB11" s="1">
        <f t="shared" si="31"/>
        <v>9.0834929199999994</v>
      </c>
      <c r="EC11" s="1">
        <f t="shared" si="31"/>
        <v>9.5859924200000002</v>
      </c>
      <c r="ED11" s="1">
        <f t="shared" si="31"/>
        <v>12.114691449999999</v>
      </c>
      <c r="EE11" s="1">
        <f t="shared" si="31"/>
        <v>21.937746180000001</v>
      </c>
      <c r="EF11" s="1">
        <f t="shared" si="31"/>
        <v>16.68359323</v>
      </c>
      <c r="EG11" s="1">
        <f t="shared" si="31"/>
        <v>23.390239519999994</v>
      </c>
      <c r="EI11" s="14">
        <f t="shared" si="32"/>
        <v>0</v>
      </c>
      <c r="EJ11" s="14">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2"/>
        <v>0</v>
      </c>
      <c r="EY11" s="1">
        <f t="shared" si="33"/>
        <v>0</v>
      </c>
      <c r="EZ11" s="1">
        <f t="shared" si="33"/>
        <v>0</v>
      </c>
      <c r="FA11" s="1">
        <f t="shared" si="33"/>
        <v>0</v>
      </c>
      <c r="FB11" s="1">
        <f t="shared" si="33"/>
        <v>0</v>
      </c>
      <c r="FC11" s="1">
        <f t="shared" si="33"/>
        <v>0</v>
      </c>
      <c r="FD11" s="1">
        <f t="shared" si="33"/>
        <v>0</v>
      </c>
      <c r="FE11" s="1">
        <f t="shared" si="33"/>
        <v>0</v>
      </c>
      <c r="FF11" s="1">
        <f t="shared" si="33"/>
        <v>0</v>
      </c>
      <c r="FH11" s="162">
        <f t="shared" si="34"/>
        <v>-0.25280509897527259</v>
      </c>
    </row>
    <row r="12" spans="1:164" ht="18.75" customHeight="1">
      <c r="A12" s="243" t="s">
        <v>216</v>
      </c>
      <c r="B12" s="246"/>
      <c r="C12" s="156">
        <f t="shared" si="5"/>
        <v>-0.33</v>
      </c>
      <c r="D12" s="198">
        <v>-1</v>
      </c>
      <c r="E12" s="248">
        <f t="shared" si="6"/>
        <v>0.10700321930082546</v>
      </c>
      <c r="F12" s="249">
        <f t="shared" si="7"/>
        <v>8.798638174751261E-2</v>
      </c>
      <c r="G12" s="248">
        <f t="shared" si="8"/>
        <v>9.8188830368187263E-2</v>
      </c>
      <c r="H12" s="249">
        <f t="shared" si="9"/>
        <v>8.8143889326381952E-3</v>
      </c>
      <c r="I12" s="248">
        <f t="shared" si="10"/>
        <v>0.39978824420472514</v>
      </c>
      <c r="J12" s="249">
        <f t="shared" si="11"/>
        <v>3.4122795618225732E-2</v>
      </c>
      <c r="K12" s="248">
        <f t="shared" si="12"/>
        <v>0.38468697591217027</v>
      </c>
      <c r="L12" s="249">
        <f t="shared" si="13"/>
        <v>1.510126829255487E-2</v>
      </c>
      <c r="M12" s="250"/>
      <c r="N12" s="24">
        <v>1</v>
      </c>
      <c r="O12" s="248">
        <f t="shared" si="35"/>
        <v>5.1925820256776056E-2</v>
      </c>
      <c r="P12" s="251">
        <f t="shared" si="36"/>
        <v>5.1925820256776056E-2</v>
      </c>
      <c r="Q12" s="248">
        <f t="shared" si="14"/>
        <v>6.5582444059160139E-2</v>
      </c>
      <c r="R12" s="251">
        <f t="shared" si="37"/>
        <v>6.5582444059160139E-2</v>
      </c>
      <c r="S12" s="250"/>
      <c r="T12" s="24">
        <v>-1</v>
      </c>
      <c r="U12" s="248">
        <f t="shared" si="15"/>
        <v>2.5828319333183192E-3</v>
      </c>
      <c r="V12" s="252">
        <f t="shared" si="16"/>
        <v>2.5828319333183192E-3</v>
      </c>
      <c r="W12" s="248">
        <f t="shared" si="38"/>
        <v>-0.25290071940296344</v>
      </c>
      <c r="X12" s="252">
        <f t="shared" si="17"/>
        <v>-0.25290071940296344</v>
      </c>
      <c r="Y12" s="248">
        <f t="shared" si="18"/>
        <v>2.1078431372548945E-2</v>
      </c>
      <c r="Z12" s="252">
        <f t="shared" si="19"/>
        <v>2.1078431372548945E-2</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4</v>
      </c>
      <c r="AQ12" s="28">
        <f>VLOOKUP($A12,historia!$A$5:$CM$24,+HLOOKUP(AQ$2,historia!$A$3:$EC$4,2,FALSE),FALSE)</f>
        <v>4</v>
      </c>
      <c r="AR12" s="28">
        <f>VLOOKUP($A12,historia!$A$5:$CM$24,+HLOOKUP(AR$2,historia!$A$3:$EC$4,2,FALSE),FALSE)</f>
        <v>4</v>
      </c>
      <c r="AS12" s="28">
        <f>VLOOKUP($A12,historia!$A$5:$CM$24,+HLOOKUP(AS$2,historia!$A$3:$EC$4,2,FALSE),FALSE)</f>
        <v>4</v>
      </c>
      <c r="AT12" s="58">
        <f>VLOOKUP($A12,historia!$A$5:$CM$24,+HLOOKUP(AT$2,historia!$A$3:$EC$4,2,FALSE),FALSE)</f>
        <v>4</v>
      </c>
      <c r="AU12" s="58">
        <f>VLOOKUP($A12,historia!$A$5:$CM$24,+HLOOKUP(AU$2,historia!$A$3:$EC$4,2,FALSE),FALSE)</f>
        <v>3</v>
      </c>
      <c r="AV12" s="58">
        <f>VLOOKUP($A12,historia!$A$5:$CM$24,+HLOOKUP(AV$2,historia!$A$3:$EC$4,2,FALSE),FALSE)</f>
        <v>3</v>
      </c>
      <c r="AW12" s="58">
        <f>VLOOKUP($A12,historia!$A$5:$CM$24,+HLOOKUP(AW$2,historia!$A$3:$EC$4,2,FALSE),FALSE)</f>
        <v>3</v>
      </c>
      <c r="AX12" s="58">
        <f>VLOOKUP($A12,historia!$A$5:$CM$24,+HLOOKUP(AX$2,historia!$A$3:$EC$4,2,FALSE),FALSE)</f>
        <v>3</v>
      </c>
      <c r="AY12" s="58">
        <f>VLOOKUP($A12,historia!$A$5:$CM$24,+HLOOKUP(AY$2,historia!$A$3:$EC$4,2,FALSE),FALSE)</f>
        <v>3</v>
      </c>
      <c r="AZ12" s="58">
        <f>VLOOKUP($A12,historia!$A$5:$CM$24,+HLOOKUP(AZ$2,historia!$A$3:$EC$4,2,FALSE),FALSE)</f>
        <v>3</v>
      </c>
      <c r="BA12" s="58">
        <f>VLOOKUP($A12,historia!$A$5:$CM$24,+HLOOKUP(BA$2,historia!$A$3:$EC$4,2,FALSE),FALSE)</f>
        <v>2</v>
      </c>
      <c r="BB12" s="58"/>
      <c r="BC12" s="58"/>
      <c r="BD12" s="286">
        <v>2</v>
      </c>
      <c r="BE12" t="str">
        <f t="shared" si="20"/>
        <v>Granos</v>
      </c>
      <c r="BF12">
        <f>+datos!AE1</f>
        <v>31</v>
      </c>
      <c r="BG12" s="2" t="str">
        <f t="shared" si="4"/>
        <v>$/t</v>
      </c>
      <c r="BH12" s="2">
        <f t="shared" si="4"/>
        <v>301453.73217749991</v>
      </c>
      <c r="BI12" s="2">
        <f t="shared" si="4"/>
        <v>272315.1359649123</v>
      </c>
      <c r="BJ12" s="2">
        <f t="shared" si="4"/>
        <v>215356.66800000001</v>
      </c>
      <c r="BL12">
        <f>+datos!CG1</f>
        <v>85</v>
      </c>
      <c r="BM12" s="2">
        <f t="shared" si="21"/>
        <v>11373.212423829527</v>
      </c>
      <c r="BN12" s="2">
        <f t="shared" si="21"/>
        <v>10356.335913575498</v>
      </c>
      <c r="BO12" s="2">
        <f t="shared" si="21"/>
        <v>8213.5620697503564</v>
      </c>
      <c r="BQ12" s="1">
        <f>+datos!EA1</f>
        <v>131</v>
      </c>
      <c r="BR12" s="1">
        <f t="shared" si="22"/>
        <v>36870000</v>
      </c>
      <c r="BS12" s="1">
        <f t="shared" si="22"/>
        <v>35050000</v>
      </c>
      <c r="BU12" s="1">
        <f>+datos!FV1</f>
        <v>178</v>
      </c>
      <c r="BV12" s="1">
        <f t="shared" si="23"/>
        <v>130910000</v>
      </c>
      <c r="BW12" s="1">
        <f t="shared" si="23"/>
        <v>122853000</v>
      </c>
      <c r="BY12" s="1">
        <f>+datos!LQ1</f>
        <v>329</v>
      </c>
      <c r="BZ12" s="1">
        <f>+SUM(CK12:CV12)</f>
        <v>42282.93521458999</v>
      </c>
      <c r="CA12" s="1">
        <f t="shared" si="40"/>
        <v>42174.006842960007</v>
      </c>
      <c r="CC12" s="1">
        <f>+datos!LU1</f>
        <v>333</v>
      </c>
      <c r="CD12" s="2">
        <f t="shared" si="24"/>
        <v>2749.9085828600005</v>
      </c>
      <c r="CE12" s="2">
        <f t="shared" si="25"/>
        <v>3680.78065965</v>
      </c>
      <c r="CG12" s="1">
        <f>+datos!II1</f>
        <v>243</v>
      </c>
      <c r="CH12" s="1">
        <f t="shared" si="26"/>
        <v>83320000</v>
      </c>
      <c r="CI12" s="1">
        <f t="shared" si="27"/>
        <v>81600000</v>
      </c>
      <c r="CK12" s="1">
        <f>+VLOOKUP(CK$1,ran_dat,$BY12,FALSE)</f>
        <v>4557.75384975</v>
      </c>
      <c r="CL12" s="1">
        <f t="shared" si="28"/>
        <v>3762.5394987399995</v>
      </c>
      <c r="CM12" s="1">
        <f t="shared" si="28"/>
        <v>4220.2405017900001</v>
      </c>
      <c r="CN12" s="1">
        <f t="shared" si="28"/>
        <v>3699.5517639399995</v>
      </c>
      <c r="CO12" s="1">
        <f t="shared" si="28"/>
        <v>2719.5194464700007</v>
      </c>
      <c r="CP12" s="1">
        <f t="shared" si="28"/>
        <v>3193.1112506200002</v>
      </c>
      <c r="CQ12" s="1">
        <f t="shared" si="28"/>
        <v>3231.2263099199999</v>
      </c>
      <c r="CR12" s="1">
        <f t="shared" si="28"/>
        <v>3313.8442822299994</v>
      </c>
      <c r="CS12" s="1">
        <f t="shared" si="28"/>
        <v>3339.9998161899998</v>
      </c>
      <c r="CT12" s="1">
        <f t="shared" si="28"/>
        <v>3485.71732419</v>
      </c>
      <c r="CU12" s="1">
        <f t="shared" si="28"/>
        <v>3410.80431886</v>
      </c>
      <c r="CV12" s="1">
        <f t="shared" si="28"/>
        <v>3348.6268518899992</v>
      </c>
      <c r="CW12" s="1">
        <f t="shared" si="28"/>
        <v>4200.6671527199996</v>
      </c>
      <c r="CX12" s="1">
        <f t="shared" si="28"/>
        <v>4256.6159984299993</v>
      </c>
      <c r="CY12" s="1">
        <f t="shared" si="28"/>
        <v>4805.0657855600002</v>
      </c>
      <c r="CZ12" s="1">
        <f t="shared" si="28"/>
        <v>3818.0878160900002</v>
      </c>
      <c r="DA12" s="1">
        <f t="shared" si="29"/>
        <v>3876.9439553199995</v>
      </c>
      <c r="DB12" s="1">
        <f t="shared" si="29"/>
        <v>3089.4855235099994</v>
      </c>
      <c r="DC12" s="1">
        <f t="shared" si="29"/>
        <v>3929.1762735700004</v>
      </c>
      <c r="DD12" s="1">
        <f t="shared" si="29"/>
        <v>2955.6698254600001</v>
      </c>
      <c r="DE12" s="1">
        <f t="shared" si="29"/>
        <v>2441.9361675499999</v>
      </c>
      <c r="DF12" s="1">
        <f t="shared" si="29"/>
        <v>2439.6070879799995</v>
      </c>
      <c r="DG12" s="1">
        <f t="shared" si="29"/>
        <v>2937.94498135</v>
      </c>
      <c r="DH12" s="1">
        <f t="shared" si="29"/>
        <v>3422.8062754199996</v>
      </c>
      <c r="DJ12" s="1">
        <f t="shared" si="30"/>
        <v>241.51209269000003</v>
      </c>
      <c r="DK12" s="1">
        <f t="shared" si="30"/>
        <v>273.75200934999998</v>
      </c>
      <c r="DL12" s="1">
        <f t="shared" si="30"/>
        <v>304.19736033999999</v>
      </c>
      <c r="DM12" s="1">
        <f t="shared" si="30"/>
        <v>338.33098909999995</v>
      </c>
      <c r="DN12" s="1">
        <f t="shared" si="30"/>
        <v>239.40438782999996</v>
      </c>
      <c r="DO12" s="1">
        <f t="shared" si="30"/>
        <v>288.1429152</v>
      </c>
      <c r="DP12" s="1">
        <f t="shared" si="30"/>
        <v>31.883400920000003</v>
      </c>
      <c r="DQ12" s="1">
        <f t="shared" si="30"/>
        <v>52.19269714</v>
      </c>
      <c r="DR12" s="1">
        <f t="shared" si="30"/>
        <v>201.41567115000001</v>
      </c>
      <c r="DS12" s="1">
        <f t="shared" si="30"/>
        <v>299.18688666000003</v>
      </c>
      <c r="DT12" s="1">
        <f t="shared" si="30"/>
        <v>265.28366987999999</v>
      </c>
      <c r="DU12" s="1">
        <f t="shared" si="30"/>
        <v>214.60650260000006</v>
      </c>
      <c r="DV12" s="1">
        <f t="shared" si="30"/>
        <v>390.93673457</v>
      </c>
      <c r="DW12" s="1">
        <f t="shared" si="30"/>
        <v>293.37536226000003</v>
      </c>
      <c r="DX12" s="1">
        <f t="shared" si="30"/>
        <v>336.54852982999995</v>
      </c>
      <c r="DY12" s="1">
        <f t="shared" si="30"/>
        <v>300.95428591999996</v>
      </c>
      <c r="DZ12" s="1">
        <f t="shared" si="31"/>
        <v>389.85732896999997</v>
      </c>
      <c r="EA12" s="1">
        <f t="shared" si="31"/>
        <v>280.54397103999997</v>
      </c>
      <c r="EB12" s="1">
        <f t="shared" si="31"/>
        <v>63.525792080000002</v>
      </c>
      <c r="EC12" s="1">
        <f t="shared" si="31"/>
        <v>301.92103216000004</v>
      </c>
      <c r="ED12" s="1">
        <f t="shared" si="31"/>
        <v>260.76831764999997</v>
      </c>
      <c r="EE12" s="1">
        <f t="shared" si="31"/>
        <v>244.67742642000002</v>
      </c>
      <c r="EF12" s="1">
        <f t="shared" si="31"/>
        <v>322.58249758000005</v>
      </c>
      <c r="EG12" s="1">
        <f t="shared" si="31"/>
        <v>495.08938117000014</v>
      </c>
      <c r="EI12" s="14">
        <f t="shared" si="32"/>
        <v>83320000</v>
      </c>
      <c r="EJ12" s="14">
        <f t="shared" si="32"/>
        <v>83120000</v>
      </c>
      <c r="EK12" s="1">
        <f t="shared" si="32"/>
        <v>83420000</v>
      </c>
      <c r="EL12" s="1">
        <f t="shared" si="32"/>
        <v>83260000</v>
      </c>
      <c r="EM12" s="1">
        <f t="shared" si="32"/>
        <v>82660000</v>
      </c>
      <c r="EN12" s="1">
        <f t="shared" si="32"/>
        <v>83330000</v>
      </c>
      <c r="EO12" s="1">
        <f t="shared" si="32"/>
        <v>83330000</v>
      </c>
      <c r="EP12" s="1">
        <f t="shared" si="32"/>
        <v>81580000</v>
      </c>
      <c r="EQ12" s="1">
        <f t="shared" si="32"/>
        <v>81600000</v>
      </c>
      <c r="ER12" s="1">
        <f t="shared" si="32"/>
        <v>81600000</v>
      </c>
      <c r="ES12" s="1">
        <f t="shared" si="32"/>
        <v>81600000</v>
      </c>
      <c r="ET12" s="1">
        <f t="shared" si="32"/>
        <v>81600000</v>
      </c>
      <c r="EU12" s="1">
        <f t="shared" si="32"/>
        <v>81600000</v>
      </c>
      <c r="EV12" s="1">
        <f t="shared" si="32"/>
        <v>81600000</v>
      </c>
      <c r="EW12" s="1">
        <f t="shared" si="32"/>
        <v>81600000</v>
      </c>
      <c r="EX12" s="1">
        <f t="shared" si="32"/>
        <v>81600000</v>
      </c>
      <c r="EY12" s="1">
        <f t="shared" si="33"/>
        <v>73750000</v>
      </c>
      <c r="EZ12" s="1">
        <f t="shared" si="33"/>
        <v>73750000</v>
      </c>
      <c r="FA12" s="1">
        <f t="shared" si="33"/>
        <v>73450000</v>
      </c>
      <c r="FB12" s="1">
        <f t="shared" si="33"/>
        <v>73450000</v>
      </c>
      <c r="FC12" s="1">
        <f t="shared" si="33"/>
        <v>73450000</v>
      </c>
      <c r="FD12" s="1">
        <f t="shared" si="33"/>
        <v>73450000</v>
      </c>
      <c r="FE12" s="1">
        <f t="shared" si="33"/>
        <v>73450000</v>
      </c>
      <c r="FF12" s="1">
        <f t="shared" si="33"/>
        <v>73450000</v>
      </c>
      <c r="FH12" s="162">
        <f t="shared" si="34"/>
        <v>1.510126829255487E-2</v>
      </c>
    </row>
    <row r="13" spans="1:164" ht="18.75" customHeight="1">
      <c r="A13" s="244" t="s">
        <v>217</v>
      </c>
      <c r="B13" s="247"/>
      <c r="C13" s="228">
        <f t="shared" si="5"/>
        <v>0</v>
      </c>
      <c r="D13" s="229">
        <v>0</v>
      </c>
      <c r="E13" s="253">
        <f t="shared" si="6"/>
        <v>-0.1298578312255062</v>
      </c>
      <c r="F13" s="254">
        <f t="shared" si="7"/>
        <v>-0.14887466877881905</v>
      </c>
      <c r="G13" s="253">
        <f t="shared" si="8"/>
        <v>4.3332521415030634E-2</v>
      </c>
      <c r="H13" s="254">
        <f t="shared" si="9"/>
        <v>-0.17319035264053684</v>
      </c>
      <c r="I13" s="253">
        <f t="shared" si="10"/>
        <v>-0.57203524605830558</v>
      </c>
      <c r="J13" s="254">
        <f t="shared" si="11"/>
        <v>-0.93770069464480499</v>
      </c>
      <c r="K13" s="253">
        <f t="shared" si="12"/>
        <v>1.0755762380720624E-2</v>
      </c>
      <c r="L13" s="254">
        <f t="shared" si="13"/>
        <v>-0.5827910084390262</v>
      </c>
      <c r="M13" s="255"/>
      <c r="N13" s="256">
        <v>0</v>
      </c>
      <c r="O13" s="253">
        <f t="shared" si="35"/>
        <v>0</v>
      </c>
      <c r="P13" s="257">
        <f t="shared" si="36"/>
        <v>0</v>
      </c>
      <c r="Q13" s="253">
        <f t="shared" si="14"/>
        <v>0</v>
      </c>
      <c r="R13" s="257">
        <f t="shared" si="37"/>
        <v>0</v>
      </c>
      <c r="S13" s="255"/>
      <c r="T13" s="256">
        <v>0</v>
      </c>
      <c r="U13" s="253">
        <f t="shared" si="15"/>
        <v>-0.44068317900562204</v>
      </c>
      <c r="V13" s="258">
        <f t="shared" si="16"/>
        <v>-0.44068317900562204</v>
      </c>
      <c r="W13" s="253">
        <f t="shared" si="38"/>
        <v>1.0304937696402883</v>
      </c>
      <c r="X13" s="258">
        <f t="shared" si="17"/>
        <v>1.0304937696402883</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4</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5</v>
      </c>
      <c r="BA13" s="58">
        <f>VLOOKUP($A13,historia!$A$5:$CM$24,+HLOOKUP(BA$2,historia!$A$3:$EC$4,2,FALSE),FALSE)</f>
        <v>4</v>
      </c>
      <c r="BB13" s="58"/>
      <c r="BC13" s="58"/>
      <c r="BD13" s="286">
        <v>4</v>
      </c>
      <c r="BE13" t="str">
        <f t="shared" si="20"/>
        <v>Hortalizas</v>
      </c>
      <c r="BF13">
        <f>+datos!BB1</f>
        <v>54</v>
      </c>
      <c r="BG13" s="2" t="str">
        <f t="shared" si="4"/>
        <v>$/kg</v>
      </c>
      <c r="BH13" s="2">
        <f t="shared" si="4"/>
        <v>8193.7078088578091</v>
      </c>
      <c r="BI13" s="2">
        <f t="shared" si="4"/>
        <v>9416.5161773481323</v>
      </c>
      <c r="BJ13" s="2">
        <f t="shared" si="4"/>
        <v>19145.753787878788</v>
      </c>
      <c r="BL13">
        <f>+datos!CO1</f>
        <v>93</v>
      </c>
      <c r="BM13" s="2">
        <f t="shared" si="21"/>
        <v>10581.339457193928</v>
      </c>
      <c r="BN13" s="2">
        <f t="shared" si="21"/>
        <v>10141.866797023518</v>
      </c>
      <c r="BO13" s="2">
        <f t="shared" si="21"/>
        <v>10468.740175441377</v>
      </c>
      <c r="BQ13" s="1">
        <f>+datos!EX1</f>
        <v>154</v>
      </c>
      <c r="BR13" s="1">
        <f t="shared" si="22"/>
        <v>64395</v>
      </c>
      <c r="BS13" s="1">
        <f t="shared" si="22"/>
        <v>64395</v>
      </c>
      <c r="BU13" s="1">
        <f>+datos!GN1</f>
        <v>196</v>
      </c>
      <c r="BV13" s="1">
        <f t="shared" si="23"/>
        <v>2639386</v>
      </c>
      <c r="BW13" s="1">
        <f t="shared" si="23"/>
        <v>2639386</v>
      </c>
      <c r="BY13" s="1">
        <f>+datos!LR1</f>
        <v>330</v>
      </c>
      <c r="BZ13" s="1">
        <f t="shared" si="39"/>
        <v>42.73766861</v>
      </c>
      <c r="CA13" s="1">
        <f t="shared" si="40"/>
        <v>76.410483299999996</v>
      </c>
      <c r="CC13" s="1">
        <f>+datos!LV1</f>
        <v>334</v>
      </c>
      <c r="CD13" s="2">
        <f t="shared" si="24"/>
        <v>35.262310329999991</v>
      </c>
      <c r="CE13" s="2">
        <f t="shared" si="25"/>
        <v>17.366372089999999</v>
      </c>
      <c r="CG13" s="1">
        <f>+datos!IX1</f>
        <v>258</v>
      </c>
      <c r="CH13" s="1">
        <f t="shared" si="26"/>
        <v>0</v>
      </c>
      <c r="CI13" s="1">
        <f t="shared" si="27"/>
        <v>0</v>
      </c>
      <c r="CK13" s="1">
        <f t="shared" si="28"/>
        <v>1.9006323699999998</v>
      </c>
      <c r="CL13" s="1">
        <f t="shared" si="28"/>
        <v>5.6300601800000001</v>
      </c>
      <c r="CM13" s="1">
        <f t="shared" si="28"/>
        <v>10.78719353</v>
      </c>
      <c r="CN13" s="1">
        <f t="shared" si="28"/>
        <v>6.6589734299999996</v>
      </c>
      <c r="CO13" s="1">
        <f t="shared" si="28"/>
        <v>4.7972503099999999</v>
      </c>
      <c r="CP13" s="1">
        <f t="shared" si="28"/>
        <v>3.6808061599999999</v>
      </c>
      <c r="CQ13" s="1">
        <f t="shared" si="28"/>
        <v>1.7265838599999999</v>
      </c>
      <c r="CR13" s="1">
        <f t="shared" si="28"/>
        <v>1.1603474899999999</v>
      </c>
      <c r="CS13" s="1">
        <f t="shared" si="28"/>
        <v>1.6220564799999999</v>
      </c>
      <c r="CT13" s="1">
        <f t="shared" si="28"/>
        <v>1.7022322700000001</v>
      </c>
      <c r="CU13" s="1">
        <f t="shared" si="28"/>
        <v>2.1800094999999997</v>
      </c>
      <c r="CV13" s="1">
        <f t="shared" si="28"/>
        <v>0.89152303000000011</v>
      </c>
      <c r="CW13" s="1">
        <f t="shared" si="28"/>
        <v>2.22092468</v>
      </c>
      <c r="CX13" s="1">
        <f t="shared" si="28"/>
        <v>5.6369490100000004</v>
      </c>
      <c r="CY13" s="1">
        <f t="shared" si="28"/>
        <v>11.964288460000001</v>
      </c>
      <c r="CZ13" s="1">
        <f t="shared" si="28"/>
        <v>14.874595200000002</v>
      </c>
      <c r="DA13" s="1">
        <f t="shared" si="29"/>
        <v>12.356255849999998</v>
      </c>
      <c r="DB13" s="1">
        <f t="shared" si="29"/>
        <v>7.66143427</v>
      </c>
      <c r="DC13" s="1">
        <f t="shared" si="29"/>
        <v>3.9700200400000001</v>
      </c>
      <c r="DD13" s="1">
        <f t="shared" si="29"/>
        <v>4.244482989999999</v>
      </c>
      <c r="DE13" s="1">
        <f t="shared" si="29"/>
        <v>3.7692072699999999</v>
      </c>
      <c r="DF13" s="1">
        <f t="shared" si="29"/>
        <v>4.3561451300000007</v>
      </c>
      <c r="DG13" s="1">
        <f t="shared" si="29"/>
        <v>2.35708815</v>
      </c>
      <c r="DH13" s="1">
        <f t="shared" si="29"/>
        <v>2.9990922500000003</v>
      </c>
      <c r="DJ13" s="1">
        <f t="shared" si="30"/>
        <v>1.5956283999999996</v>
      </c>
      <c r="DK13" s="1">
        <f t="shared" si="30"/>
        <v>1.7945534399999996</v>
      </c>
      <c r="DL13" s="1">
        <f t="shared" si="30"/>
        <v>2.7487028499999995</v>
      </c>
      <c r="DM13" s="1">
        <f t="shared" si="30"/>
        <v>0.73139703</v>
      </c>
      <c r="DN13" s="1">
        <f t="shared" si="30"/>
        <v>0.52205221000000002</v>
      </c>
      <c r="DO13" s="1">
        <f t="shared" si="30"/>
        <v>0.27889262000000004</v>
      </c>
      <c r="DP13" s="1">
        <f t="shared" si="30"/>
        <v>0.43588088999999991</v>
      </c>
      <c r="DQ13" s="1">
        <f t="shared" si="30"/>
        <v>0.25163443000000002</v>
      </c>
      <c r="DR13" s="1">
        <f t="shared" si="30"/>
        <v>1.8307121500000001</v>
      </c>
      <c r="DS13" s="1">
        <f t="shared" si="30"/>
        <v>4.7138590499999999</v>
      </c>
      <c r="DT13" s="1">
        <f t="shared" si="30"/>
        <v>10.280953719999999</v>
      </c>
      <c r="DU13" s="1">
        <f t="shared" si="30"/>
        <v>10.078043539999999</v>
      </c>
      <c r="DV13" s="1">
        <f t="shared" si="30"/>
        <v>5.0525632100000006</v>
      </c>
      <c r="DW13" s="1">
        <f t="shared" si="30"/>
        <v>1.5134803299999999</v>
      </c>
      <c r="DX13" s="1">
        <f t="shared" si="30"/>
        <v>1.5645213200000003</v>
      </c>
      <c r="DY13" s="1">
        <f t="shared" si="30"/>
        <v>0.17069466</v>
      </c>
      <c r="DZ13" s="1">
        <f t="shared" si="31"/>
        <v>5.8121779999999998E-2</v>
      </c>
      <c r="EA13" s="1">
        <f t="shared" si="31"/>
        <v>0.22874177000000001</v>
      </c>
      <c r="EB13" s="1">
        <f t="shared" si="31"/>
        <v>6.8422739999999996E-2</v>
      </c>
      <c r="EC13" s="1">
        <f t="shared" si="31"/>
        <v>1.38860757</v>
      </c>
      <c r="ED13" s="1">
        <f t="shared" si="31"/>
        <v>1.9631409899999996</v>
      </c>
      <c r="EE13" s="1">
        <f t="shared" si="31"/>
        <v>1.5225679400000001</v>
      </c>
      <c r="EF13" s="1">
        <f t="shared" si="31"/>
        <v>1.3263511099999998</v>
      </c>
      <c r="EG13" s="1">
        <f t="shared" si="31"/>
        <v>2.5091586699999997</v>
      </c>
      <c r="EI13" s="14">
        <f t="shared" si="32"/>
        <v>0</v>
      </c>
      <c r="EJ13" s="14">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2"/>
        <v>0</v>
      </c>
      <c r="EY13" s="1">
        <f t="shared" si="33"/>
        <v>0</v>
      </c>
      <c r="EZ13" s="1">
        <f t="shared" si="33"/>
        <v>0</v>
      </c>
      <c r="FA13" s="1">
        <f t="shared" si="33"/>
        <v>0</v>
      </c>
      <c r="FB13" s="1">
        <f t="shared" si="33"/>
        <v>0</v>
      </c>
      <c r="FC13" s="1">
        <f t="shared" si="33"/>
        <v>0</v>
      </c>
      <c r="FD13" s="1">
        <f t="shared" si="33"/>
        <v>0</v>
      </c>
      <c r="FE13" s="1">
        <f t="shared" si="33"/>
        <v>0</v>
      </c>
      <c r="FF13" s="1">
        <f t="shared" si="33"/>
        <v>0</v>
      </c>
      <c r="FH13" s="162">
        <f t="shared" si="34"/>
        <v>-0.5827910084390262</v>
      </c>
    </row>
    <row r="14" spans="1:164" ht="18.75" customHeight="1">
      <c r="A14" s="243" t="s">
        <v>65</v>
      </c>
      <c r="B14" s="246"/>
      <c r="C14" s="156">
        <f t="shared" si="5"/>
        <v>-0.33</v>
      </c>
      <c r="D14" s="198">
        <v>1</v>
      </c>
      <c r="E14" s="248">
        <f t="shared" si="6"/>
        <v>8.2475098864387419E-4</v>
      </c>
      <c r="F14" s="249">
        <f t="shared" si="7"/>
        <v>-1.8192086564668974E-2</v>
      </c>
      <c r="G14" s="248">
        <f t="shared" si="8"/>
        <v>6.7445252340869066E-2</v>
      </c>
      <c r="H14" s="249">
        <f t="shared" si="9"/>
        <v>-6.6620501352225192E-2</v>
      </c>
      <c r="I14" s="248">
        <f t="shared" si="10"/>
        <v>0.14952635414136517</v>
      </c>
      <c r="J14" s="249">
        <f t="shared" si="11"/>
        <v>-0.21613909444513424</v>
      </c>
      <c r="K14" s="248">
        <f t="shared" si="12"/>
        <v>0.35033607349396245</v>
      </c>
      <c r="L14" s="249">
        <f t="shared" si="13"/>
        <v>-0.20080971935259728</v>
      </c>
      <c r="M14" s="250"/>
      <c r="N14" s="24">
        <v>-1</v>
      </c>
      <c r="O14" s="248">
        <f t="shared" si="35"/>
        <v>-7.8322236000783585E-2</v>
      </c>
      <c r="P14" s="251">
        <f t="shared" si="36"/>
        <v>-7.8322236000783585E-2</v>
      </c>
      <c r="Q14" s="248">
        <f t="shared" si="14"/>
        <v>6.9186240661923248E-2</v>
      </c>
      <c r="R14" s="251">
        <f t="shared" si="37"/>
        <v>6.9186240661923248E-2</v>
      </c>
      <c r="S14" s="250"/>
      <c r="T14" s="24">
        <v>-1</v>
      </c>
      <c r="U14" s="248">
        <f t="shared" si="15"/>
        <v>9.8819144668172765E-2</v>
      </c>
      <c r="V14" s="252">
        <f t="shared" si="16"/>
        <v>9.8819144668172765E-2</v>
      </c>
      <c r="W14" s="248">
        <f t="shared" si="38"/>
        <v>0.22067596827905556</v>
      </c>
      <c r="X14" s="252">
        <f t="shared" si="17"/>
        <v>0.22067596827905556</v>
      </c>
      <c r="Y14" s="248">
        <f t="shared" si="18"/>
        <v>0.1749688667496887</v>
      </c>
      <c r="Z14" s="252">
        <f t="shared" si="19"/>
        <v>0.1749688667496887</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4</v>
      </c>
      <c r="AR14" s="28">
        <f>VLOOKUP($A14,historia!$A$5:$CM$24,+HLOOKUP(AR$2,historia!$A$3:$EC$4,2,FALSE),FALSE)</f>
        <v>4</v>
      </c>
      <c r="AS14" s="28">
        <f>VLOOKUP($A14,historia!$A$5:$CM$24,+HLOOKUP(AS$2,historia!$A$3:$EC$4,2,FALSE),FALSE)</f>
        <v>4</v>
      </c>
      <c r="AT14" s="58">
        <f>VLOOKUP($A14,historia!$A$5:$CM$24,+HLOOKUP(AT$2,historia!$A$3:$EC$4,2,FALSE),FALSE)</f>
        <v>4</v>
      </c>
      <c r="AU14" s="58">
        <f>VLOOKUP($A14,historia!$A$5:$CM$24,+HLOOKUP(AU$2,historia!$A$3:$EC$4,2,FALSE),FALSE)</f>
        <v>3</v>
      </c>
      <c r="AV14" s="58">
        <f>VLOOKUP($A14,historia!$A$5:$CM$24,+HLOOKUP(AV$2,historia!$A$3:$EC$4,2,FALSE),FALSE)</f>
        <v>3</v>
      </c>
      <c r="AW14" s="58">
        <f>VLOOKUP($A14,historia!$A$5:$CM$24,+HLOOKUP(AW$2,historia!$A$3:$EC$4,2,FALSE),FALSE)</f>
        <v>3</v>
      </c>
      <c r="AX14" s="58">
        <f>VLOOKUP($A14,historia!$A$5:$CM$24,+HLOOKUP(AX$2,historia!$A$3:$EC$4,2,FALSE),FALSE)</f>
        <v>3</v>
      </c>
      <c r="AY14" s="58">
        <f>VLOOKUP($A14,historia!$A$5:$CM$24,+HLOOKUP(AY$2,historia!$A$3:$EC$4,2,FALSE),FALSE)</f>
        <v>3</v>
      </c>
      <c r="AZ14" s="58">
        <f>VLOOKUP($A14,historia!$A$5:$CM$24,+HLOOKUP(AZ$2,historia!$A$3:$EC$4,2,FALSE),FALSE)</f>
        <v>3</v>
      </c>
      <c r="BA14" s="58">
        <f>VLOOKUP($A14,historia!$A$5:$CM$24,+HLOOKUP(BA$2,historia!$A$3:$EC$4,2,FALSE),FALSE)</f>
        <v>3</v>
      </c>
      <c r="BB14" s="58"/>
      <c r="BC14" s="58"/>
      <c r="BD14" s="286">
        <v>3</v>
      </c>
      <c r="BE14" t="str">
        <f t="shared" si="20"/>
        <v>Leche</v>
      </c>
      <c r="BF14">
        <f>+datos!BN1</f>
        <v>66</v>
      </c>
      <c r="BG14" s="2" t="str">
        <f t="shared" si="4"/>
        <v>$/l</v>
      </c>
      <c r="BH14" s="2">
        <f t="shared" si="4"/>
        <v>473.26</v>
      </c>
      <c r="BI14" s="2">
        <f t="shared" si="4"/>
        <v>472.87</v>
      </c>
      <c r="BJ14" s="2">
        <f t="shared" si="4"/>
        <v>411.7</v>
      </c>
      <c r="BL14">
        <f>+datos!DC1</f>
        <v>107</v>
      </c>
      <c r="BM14" s="2">
        <f t="shared" si="21"/>
        <v>11213.278729002963</v>
      </c>
      <c r="BN14" s="2">
        <f t="shared" si="21"/>
        <v>10504.781115858304</v>
      </c>
      <c r="BO14" s="2">
        <f t="shared" si="21"/>
        <v>8304.065150232469</v>
      </c>
      <c r="BQ14" s="1">
        <f>+datos!EN1</f>
        <v>144</v>
      </c>
      <c r="BR14" s="1">
        <f t="shared" si="22"/>
        <v>2921701</v>
      </c>
      <c r="BS14" s="1">
        <f t="shared" si="22"/>
        <v>3169981</v>
      </c>
      <c r="BU14" s="1">
        <f>+datos!HP1</f>
        <v>224</v>
      </c>
      <c r="BV14" s="1">
        <f t="shared" si="23"/>
        <v>11246.450011999999</v>
      </c>
      <c r="BW14" s="1">
        <f t="shared" si="23"/>
        <v>10518.700656900923</v>
      </c>
      <c r="BY14" s="1">
        <f>+datos!KH1</f>
        <v>294</v>
      </c>
      <c r="BZ14" s="1">
        <f t="shared" si="39"/>
        <v>1683.1257985600002</v>
      </c>
      <c r="CA14" s="1">
        <f t="shared" si="40"/>
        <v>1531.7587127300003</v>
      </c>
      <c r="CC14" s="1">
        <f>+datos!LM1</f>
        <v>325</v>
      </c>
      <c r="CD14" s="2">
        <f t="shared" si="24"/>
        <v>25.282348120000005</v>
      </c>
      <c r="CE14" s="2">
        <f t="shared" si="25"/>
        <v>20.711760350000002</v>
      </c>
      <c r="CG14" s="1">
        <f>+datos!IN1</f>
        <v>248</v>
      </c>
      <c r="CH14" s="1">
        <f t="shared" si="26"/>
        <v>188.7</v>
      </c>
      <c r="CI14" s="1">
        <f t="shared" si="27"/>
        <v>160.6</v>
      </c>
      <c r="CK14" s="1">
        <f t="shared" si="28"/>
        <v>145.54293837</v>
      </c>
      <c r="CL14" s="1">
        <f t="shared" si="28"/>
        <v>161.52973046</v>
      </c>
      <c r="CM14" s="1">
        <f t="shared" si="28"/>
        <v>135.14119298</v>
      </c>
      <c r="CN14" s="1">
        <f t="shared" si="28"/>
        <v>121.87302321000003</v>
      </c>
      <c r="CO14" s="1">
        <f t="shared" si="28"/>
        <v>90.118424640000015</v>
      </c>
      <c r="CP14" s="1">
        <f t="shared" si="28"/>
        <v>158.22857195999995</v>
      </c>
      <c r="CQ14" s="1">
        <f t="shared" si="28"/>
        <v>133.12937443000001</v>
      </c>
      <c r="CR14" s="1">
        <f t="shared" si="28"/>
        <v>150.81206259999999</v>
      </c>
      <c r="CS14" s="1">
        <f t="shared" si="28"/>
        <v>173.78517034999999</v>
      </c>
      <c r="CT14" s="1">
        <f t="shared" si="28"/>
        <v>162.27196751000002</v>
      </c>
      <c r="CU14" s="1">
        <f t="shared" si="28"/>
        <v>136.36151781000004</v>
      </c>
      <c r="CV14" s="1">
        <f t="shared" si="28"/>
        <v>114.33182424</v>
      </c>
      <c r="CW14" s="1">
        <f t="shared" si="28"/>
        <v>131.64359017999999</v>
      </c>
      <c r="CX14" s="1">
        <f t="shared" si="28"/>
        <v>102.41564730000002</v>
      </c>
      <c r="CY14" s="1">
        <f t="shared" si="28"/>
        <v>113.57779348999999</v>
      </c>
      <c r="CZ14" s="1">
        <f t="shared" si="28"/>
        <v>118.3786056</v>
      </c>
      <c r="DA14" s="1">
        <f t="shared" si="29"/>
        <v>126.46519539000002</v>
      </c>
      <c r="DB14" s="1">
        <f t="shared" si="29"/>
        <v>140.50614890000003</v>
      </c>
      <c r="DC14" s="1">
        <f t="shared" si="29"/>
        <v>139.44218023000002</v>
      </c>
      <c r="DD14" s="1">
        <f t="shared" si="29"/>
        <v>153.04661877999999</v>
      </c>
      <c r="DE14" s="1">
        <f t="shared" si="29"/>
        <v>136.81239812999999</v>
      </c>
      <c r="DF14" s="1">
        <f t="shared" si="29"/>
        <v>134.16752365000002</v>
      </c>
      <c r="DG14" s="1">
        <f t="shared" si="29"/>
        <v>114.82793965999997</v>
      </c>
      <c r="DH14" s="1">
        <f t="shared" si="29"/>
        <v>120.47507141999999</v>
      </c>
      <c r="DJ14" s="1">
        <f t="shared" si="30"/>
        <v>2.3716850700000007</v>
      </c>
      <c r="DK14" s="1">
        <f t="shared" si="30"/>
        <v>3.2200157200000006</v>
      </c>
      <c r="DL14" s="1">
        <f t="shared" si="30"/>
        <v>2.3449699800000001</v>
      </c>
      <c r="DM14" s="1">
        <f t="shared" si="30"/>
        <v>1.8496573299999999</v>
      </c>
      <c r="DN14" s="1">
        <f t="shared" si="30"/>
        <v>2.6840408</v>
      </c>
      <c r="DO14" s="1">
        <f t="shared" si="30"/>
        <v>2.90139879</v>
      </c>
      <c r="DP14" s="1">
        <f t="shared" si="30"/>
        <v>2.9139955600000005</v>
      </c>
      <c r="DQ14" s="1">
        <f t="shared" si="30"/>
        <v>1.6254967600000001</v>
      </c>
      <c r="DR14" s="1">
        <f t="shared" si="30"/>
        <v>2.6289957100000003</v>
      </c>
      <c r="DS14" s="1">
        <f t="shared" si="30"/>
        <v>0.92402921999999987</v>
      </c>
      <c r="DT14" s="1">
        <f t="shared" si="30"/>
        <v>1.0080099199999999</v>
      </c>
      <c r="DU14" s="1">
        <f t="shared" si="30"/>
        <v>0.81005326000000022</v>
      </c>
      <c r="DV14" s="1">
        <f t="shared" si="30"/>
        <v>2.5429137699999997</v>
      </c>
      <c r="DW14" s="1">
        <f t="shared" si="30"/>
        <v>0.83472519000000012</v>
      </c>
      <c r="DX14" s="1">
        <f t="shared" si="30"/>
        <v>1.6658761100000001</v>
      </c>
      <c r="DY14" s="1">
        <f t="shared" si="30"/>
        <v>1.6724867599999997</v>
      </c>
      <c r="DZ14" s="1">
        <f t="shared" si="31"/>
        <v>1.92660527</v>
      </c>
      <c r="EA14" s="1">
        <f t="shared" si="31"/>
        <v>0.38991597</v>
      </c>
      <c r="EB14" s="1">
        <f t="shared" si="31"/>
        <v>3.0425877200000002</v>
      </c>
      <c r="EC14" s="1">
        <f t="shared" si="31"/>
        <v>1.8227840799999999</v>
      </c>
      <c r="ED14" s="1">
        <f t="shared" si="31"/>
        <v>2.1288867499999999</v>
      </c>
      <c r="EE14" s="1">
        <f t="shared" si="31"/>
        <v>2.0947676</v>
      </c>
      <c r="EF14" s="1">
        <f t="shared" si="31"/>
        <v>1.2699740900000001</v>
      </c>
      <c r="EG14" s="1">
        <f t="shared" si="31"/>
        <v>1.3202370399999999</v>
      </c>
      <c r="EI14" s="14">
        <f t="shared" si="32"/>
        <v>188.7</v>
      </c>
      <c r="EJ14" s="14">
        <f t="shared" si="32"/>
        <v>191.3</v>
      </c>
      <c r="EK14" s="1">
        <f t="shared" si="32"/>
        <v>195.7</v>
      </c>
      <c r="EL14" s="1">
        <f t="shared" si="32"/>
        <v>194.1</v>
      </c>
      <c r="EM14" s="1">
        <f t="shared" si="32"/>
        <v>191</v>
      </c>
      <c r="EN14" s="1">
        <f t="shared" si="32"/>
        <v>181.1</v>
      </c>
      <c r="EO14" s="1">
        <f t="shared" si="32"/>
        <v>170.3</v>
      </c>
      <c r="EP14" s="1">
        <f t="shared" si="32"/>
        <v>170.9</v>
      </c>
      <c r="EQ14" s="1">
        <f t="shared" si="32"/>
        <v>168.7</v>
      </c>
      <c r="ER14" s="1">
        <f t="shared" si="32"/>
        <v>160.6</v>
      </c>
      <c r="ES14" s="1">
        <f t="shared" si="32"/>
        <v>160.6</v>
      </c>
      <c r="ET14" s="1">
        <f t="shared" si="32"/>
        <v>160.6</v>
      </c>
      <c r="EU14" s="1">
        <f t="shared" si="32"/>
        <v>160.6</v>
      </c>
      <c r="EV14" s="1">
        <f t="shared" si="32"/>
        <v>156.30000000000001</v>
      </c>
      <c r="EW14" s="1">
        <f t="shared" si="32"/>
        <v>155.80000000000001</v>
      </c>
      <c r="EX14" s="1">
        <f t="shared" si="32"/>
        <v>159.5</v>
      </c>
      <c r="EY14" s="1">
        <f t="shared" si="33"/>
        <v>170.8</v>
      </c>
      <c r="EZ14" s="1">
        <f t="shared" si="33"/>
        <v>170.8</v>
      </c>
      <c r="FA14" s="1">
        <f t="shared" si="33"/>
        <v>187.7</v>
      </c>
      <c r="FB14" s="1">
        <f t="shared" si="33"/>
        <v>196.8</v>
      </c>
      <c r="FC14" s="1">
        <f t="shared" si="33"/>
        <v>196.8</v>
      </c>
      <c r="FD14" s="1">
        <f t="shared" si="33"/>
        <v>188.6</v>
      </c>
      <c r="FE14" s="1">
        <f t="shared" si="33"/>
        <v>188.6</v>
      </c>
      <c r="FF14" s="1">
        <f t="shared" si="33"/>
        <v>188.6</v>
      </c>
      <c r="FH14" s="162">
        <f t="shared" si="34"/>
        <v>-0.20080971935259728</v>
      </c>
    </row>
    <row r="15" spans="1:164" ht="18.75" customHeight="1">
      <c r="A15" s="244" t="s">
        <v>68</v>
      </c>
      <c r="B15" s="247"/>
      <c r="C15" s="228">
        <v>0</v>
      </c>
      <c r="D15" s="229">
        <v>-1</v>
      </c>
      <c r="E15" s="253">
        <f t="shared" si="6"/>
        <v>-2.8743020126139829E-2</v>
      </c>
      <c r="F15" s="254">
        <f t="shared" si="7"/>
        <v>-4.7759857679452677E-2</v>
      </c>
      <c r="G15" s="253">
        <f t="shared" si="8"/>
        <v>5.8030658794015366E-2</v>
      </c>
      <c r="H15" s="254">
        <f t="shared" si="9"/>
        <v>-8.6773678920155195E-2</v>
      </c>
      <c r="I15" s="253">
        <f t="shared" si="10"/>
        <v>0.24571708272148807</v>
      </c>
      <c r="J15" s="254">
        <f t="shared" si="11"/>
        <v>-0.11994836586501134</v>
      </c>
      <c r="K15" s="253">
        <f t="shared" si="12"/>
        <v>0.36305172591973389</v>
      </c>
      <c r="L15" s="254">
        <f t="shared" si="13"/>
        <v>-0.11733464319824582</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-5.6928348944571439E-2</v>
      </c>
      <c r="X15" s="258">
        <f t="shared" si="17"/>
        <v>-5.6928348944571439E-2</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5</v>
      </c>
      <c r="AQ15" s="28">
        <f>VLOOKUP($A15,historia!$A$5:$CM$24,+HLOOKUP(AQ$2,historia!$A$3:$EC$4,2,FALSE),FALSE)</f>
        <v>5</v>
      </c>
      <c r="AR15" s="28">
        <f>VLOOKUP($A15,historia!$A$5:$CM$24,+HLOOKUP(AR$2,historia!$A$3:$EC$4,2,FALSE),FALSE)</f>
        <v>5</v>
      </c>
      <c r="AS15" s="28">
        <f>VLOOKUP($A15,historia!$A$5:$CM$24,+HLOOKUP(AS$2,historia!$A$3:$EC$4,2,FALSE),FALSE)</f>
        <v>5</v>
      </c>
      <c r="AT15" s="58">
        <f>VLOOKUP($A15,historia!$A$5:$CM$24,+HLOOKUP(AT$2,historia!$A$3:$EC$4,2,FALSE),FALSE)</f>
        <v>5</v>
      </c>
      <c r="AU15" s="58">
        <f>VLOOKUP($A15,historia!$A$5:$CM$24,+HLOOKUP(AU$2,historia!$A$3:$EC$4,2,FALSE),FALSE)</f>
        <v>5</v>
      </c>
      <c r="AV15" s="58">
        <f>VLOOKUP($A15,historia!$A$5:$CM$24,+HLOOKUP(AV$2,historia!$A$3:$EC$4,2,FALSE),FALSE)</f>
        <v>5</v>
      </c>
      <c r="AW15" s="58">
        <f>VLOOKUP($A15,historia!$A$5:$CM$24,+HLOOKUP(AW$2,historia!$A$3:$EC$4,2,FALSE),FALSE)</f>
        <v>4</v>
      </c>
      <c r="AX15" s="58">
        <f>VLOOKUP($A15,historia!$A$5:$CM$24,+HLOOKUP(AX$2,historia!$A$3:$EC$4,2,FALSE),FALSE)</f>
        <v>4</v>
      </c>
      <c r="AY15" s="58">
        <f>VLOOKUP($A15,historia!$A$5:$CM$24,+HLOOKUP(AY$2,historia!$A$3:$EC$4,2,FALSE),FALSE)</f>
        <v>4</v>
      </c>
      <c r="AZ15" s="58">
        <f>VLOOKUP($A15,historia!$A$5:$CM$24,+HLOOKUP(AZ$2,historia!$A$3:$EC$4,2,FALSE),FALSE)</f>
        <v>4</v>
      </c>
      <c r="BA15" s="58">
        <f>VLOOKUP($A15,historia!$A$5:$CM$24,+HLOOKUP(BA$2,historia!$A$3:$EC$4,2,FALSE),FALSE)</f>
        <v>4</v>
      </c>
      <c r="BB15" s="58"/>
      <c r="BC15" s="58"/>
      <c r="BD15" s="286">
        <v>4</v>
      </c>
      <c r="BE15" t="str">
        <f t="shared" si="20"/>
        <v>Mandioca</v>
      </c>
      <c r="BF15">
        <f>+datos!AW1</f>
        <v>49</v>
      </c>
      <c r="BG15" s="2" t="str">
        <f t="shared" si="4"/>
        <v>$/bolsa40kg</v>
      </c>
      <c r="BH15" s="2">
        <f t="shared" si="4"/>
        <v>11568.181818181818</v>
      </c>
      <c r="BI15" s="2">
        <f t="shared" si="4"/>
        <v>11910.526315789473</v>
      </c>
      <c r="BJ15" s="2">
        <f t="shared" si="4"/>
        <v>9286.363636363636</v>
      </c>
      <c r="BL15">
        <f>+datos!CJ1</f>
        <v>88</v>
      </c>
      <c r="BM15" s="2">
        <f t="shared" si="21"/>
        <v>10195.393620442359</v>
      </c>
      <c r="BN15" s="2">
        <f t="shared" si="21"/>
        <v>9636.1986637168593</v>
      </c>
      <c r="BO15" s="2">
        <f t="shared" si="21"/>
        <v>7479.8288477004835</v>
      </c>
      <c r="BQ15" s="1">
        <f>+datos!EY1</f>
        <v>155</v>
      </c>
      <c r="BR15" s="1">
        <f t="shared" si="22"/>
        <v>20031</v>
      </c>
      <c r="BS15" s="1">
        <f t="shared" si="22"/>
        <v>20031</v>
      </c>
      <c r="BU15" s="1">
        <f>+datos!GO1</f>
        <v>197</v>
      </c>
      <c r="BV15" s="1">
        <f t="shared" si="23"/>
        <v>201734</v>
      </c>
      <c r="BW15" s="1">
        <f t="shared" si="23"/>
        <v>201734</v>
      </c>
      <c r="BY15" s="1">
        <f>+datos!JP1</f>
        <v>276</v>
      </c>
      <c r="BZ15" s="1">
        <f t="shared" si="39"/>
        <v>0</v>
      </c>
      <c r="CA15" s="1">
        <f t="shared" si="40"/>
        <v>0</v>
      </c>
      <c r="CC15" s="1">
        <f>+datos!KU1</f>
        <v>307</v>
      </c>
      <c r="CD15" s="2">
        <f t="shared" si="24"/>
        <v>2.71795235</v>
      </c>
      <c r="CE15" s="2">
        <f t="shared" si="25"/>
        <v>2.8820210500000001</v>
      </c>
      <c r="CG15" s="1">
        <f>+datos!IY1</f>
        <v>259</v>
      </c>
      <c r="CH15" s="1">
        <f t="shared" si="26"/>
        <v>1.88</v>
      </c>
      <c r="CI15" s="1">
        <f t="shared" si="27"/>
        <v>1.88</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8"/>
        <v>0</v>
      </c>
      <c r="DA15" s="1">
        <f t="shared" si="29"/>
        <v>0</v>
      </c>
      <c r="DB15" s="1">
        <f t="shared" si="29"/>
        <v>0</v>
      </c>
      <c r="DC15" s="1">
        <f t="shared" si="29"/>
        <v>0</v>
      </c>
      <c r="DD15" s="1">
        <f t="shared" si="29"/>
        <v>0</v>
      </c>
      <c r="DE15" s="1">
        <f t="shared" si="29"/>
        <v>0</v>
      </c>
      <c r="DF15" s="1">
        <f t="shared" si="29"/>
        <v>0</v>
      </c>
      <c r="DG15" s="1">
        <f t="shared" si="29"/>
        <v>0</v>
      </c>
      <c r="DH15" s="1">
        <f t="shared" si="29"/>
        <v>0</v>
      </c>
      <c r="DJ15" s="14">
        <f t="shared" si="30"/>
        <v>0.53543670999999993</v>
      </c>
      <c r="DK15" s="14">
        <f t="shared" si="30"/>
        <v>0.43177300000000002</v>
      </c>
      <c r="DL15" s="1">
        <f t="shared" si="30"/>
        <v>0.33740116000000003</v>
      </c>
      <c r="DM15" s="1">
        <f t="shared" si="30"/>
        <v>0.28762799999999999</v>
      </c>
      <c r="DN15" s="1">
        <f t="shared" si="30"/>
        <v>0.10344400999999999</v>
      </c>
      <c r="DO15" s="1">
        <f t="shared" si="30"/>
        <v>4.4833160000000004E-2</v>
      </c>
      <c r="DP15" s="1">
        <f t="shared" si="30"/>
        <v>0.14172798</v>
      </c>
      <c r="DQ15" s="1">
        <f t="shared" si="30"/>
        <v>7.4560410000000008E-2</v>
      </c>
      <c r="DR15" s="1">
        <f t="shared" si="30"/>
        <v>0.28059129999999999</v>
      </c>
      <c r="DS15" s="1">
        <f t="shared" si="30"/>
        <v>0.15169276000000001</v>
      </c>
      <c r="DT15" s="1">
        <f t="shared" si="30"/>
        <v>0.14711371000000001</v>
      </c>
      <c r="DU15" s="1">
        <f t="shared" si="30"/>
        <v>0.18175015000000003</v>
      </c>
      <c r="DV15" s="1">
        <f t="shared" si="30"/>
        <v>0.15569543999999999</v>
      </c>
      <c r="DW15" s="1">
        <f t="shared" si="30"/>
        <v>0.1712014</v>
      </c>
      <c r="DX15" s="1">
        <f t="shared" si="30"/>
        <v>0.12198517</v>
      </c>
      <c r="DY15" s="1">
        <f t="shared" si="30"/>
        <v>1.6812999999999999E-3</v>
      </c>
      <c r="DZ15" s="1">
        <f t="shared" si="31"/>
        <v>2.8195380000000003E-2</v>
      </c>
      <c r="EA15" s="1">
        <f t="shared" si="31"/>
        <v>4.9277770000000005E-2</v>
      </c>
      <c r="EB15" s="1">
        <f t="shared" si="31"/>
        <v>0.21358802999999996</v>
      </c>
      <c r="EC15" s="1">
        <f t="shared" si="31"/>
        <v>0.24099903000000003</v>
      </c>
      <c r="ED15" s="1">
        <f t="shared" si="31"/>
        <v>0.39667624000000001</v>
      </c>
      <c r="EE15" s="1">
        <f t="shared" si="31"/>
        <v>0.47948613000000001</v>
      </c>
      <c r="EF15" s="1">
        <f t="shared" si="31"/>
        <v>0.13955175</v>
      </c>
      <c r="EG15" s="1">
        <f t="shared" si="31"/>
        <v>0.88368341000000006</v>
      </c>
      <c r="EI15" s="14">
        <f t="shared" si="32"/>
        <v>1.88</v>
      </c>
      <c r="EJ15" s="14">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2"/>
        <v>1.88</v>
      </c>
      <c r="EY15" s="1">
        <f t="shared" si="33"/>
        <v>1.88</v>
      </c>
      <c r="EZ15" s="1">
        <f t="shared" si="33"/>
        <v>1.88</v>
      </c>
      <c r="FA15" s="1">
        <f t="shared" si="33"/>
        <v>1.88</v>
      </c>
      <c r="FB15" s="1">
        <f t="shared" si="33"/>
        <v>1.88</v>
      </c>
      <c r="FC15" s="1">
        <f t="shared" si="33"/>
        <v>1.88</v>
      </c>
      <c r="FD15" s="1">
        <f t="shared" si="33"/>
        <v>1.88</v>
      </c>
      <c r="FE15" s="1">
        <f t="shared" si="33"/>
        <v>1.88</v>
      </c>
      <c r="FF15" s="1">
        <f t="shared" si="33"/>
        <v>1.88</v>
      </c>
      <c r="FH15" s="162">
        <f t="shared" si="34"/>
        <v>-0.11733464319824582</v>
      </c>
    </row>
    <row r="16" spans="1:164" ht="18" customHeight="1">
      <c r="A16" s="243" t="s">
        <v>25</v>
      </c>
      <c r="B16" s="246"/>
      <c r="C16" s="156">
        <f t="shared" si="5"/>
        <v>-0.66</v>
      </c>
      <c r="D16" s="198">
        <v>-1</v>
      </c>
      <c r="E16" s="248">
        <f t="shared" si="6"/>
        <v>2.4777700676196002E-2</v>
      </c>
      <c r="F16" s="249">
        <f t="shared" si="7"/>
        <v>5.7608631228831531E-3</v>
      </c>
      <c r="G16" s="248">
        <f t="shared" si="8"/>
        <v>7.0148573225196964E-2</v>
      </c>
      <c r="H16" s="249">
        <f t="shared" si="9"/>
        <v>-4.5370872549000962E-2</v>
      </c>
      <c r="I16" s="248">
        <f t="shared" si="10"/>
        <v>-0.15925229439507393</v>
      </c>
      <c r="J16" s="249">
        <f t="shared" si="11"/>
        <v>-0.52491774298157334</v>
      </c>
      <c r="K16" s="248">
        <f t="shared" si="12"/>
        <v>0.10598236227423841</v>
      </c>
      <c r="L16" s="249">
        <f t="shared" si="13"/>
        <v>-0.26523465666931234</v>
      </c>
      <c r="M16" s="250"/>
      <c r="N16" s="24">
        <v>1</v>
      </c>
      <c r="O16" s="248">
        <f t="shared" si="35"/>
        <v>0.25148262863454107</v>
      </c>
      <c r="P16" s="251">
        <f t="shared" si="36"/>
        <v>0.25148262863454107</v>
      </c>
      <c r="Q16" s="248">
        <f t="shared" si="14"/>
        <v>0.18097153276393052</v>
      </c>
      <c r="R16" s="251">
        <f t="shared" si="37"/>
        <v>0.18097153276393052</v>
      </c>
      <c r="S16" s="250"/>
      <c r="T16" s="24">
        <v>-2</v>
      </c>
      <c r="U16" s="248">
        <f t="shared" si="15"/>
        <v>0.35163936760655079</v>
      </c>
      <c r="V16" s="252">
        <f t="shared" si="16"/>
        <v>0.35163936760655079</v>
      </c>
      <c r="W16" s="248">
        <f>IFERROR(+CD16/CE16-1,"")</f>
        <v>-0.38464892976594367</v>
      </c>
      <c r="X16" s="258">
        <f t="shared" si="17"/>
        <v>-0.38464892976594367</v>
      </c>
      <c r="Y16" s="248">
        <f t="shared" si="18"/>
        <v>0.10778443113772451</v>
      </c>
      <c r="Z16" s="252">
        <f t="shared" si="19"/>
        <v>0.10778443113772451</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4</v>
      </c>
      <c r="AQ16" s="28">
        <f>VLOOKUP($A16,historia!$A$5:$CM$24,+HLOOKUP(AQ$2,historia!$A$3:$EC$4,2,FALSE),FALSE)</f>
        <v>4</v>
      </c>
      <c r="AR16" s="28">
        <f>VLOOKUP($A16,historia!$A$5:$CM$24,+HLOOKUP(AR$2,historia!$A$3:$EC$4,2,FALSE),FALSE)</f>
        <v>4</v>
      </c>
      <c r="AS16" s="28">
        <f>VLOOKUP($A16,historia!$A$5:$CM$24,+HLOOKUP(AS$2,historia!$A$3:$EC$4,2,FALSE),FALSE)</f>
        <v>4</v>
      </c>
      <c r="AT16" s="58">
        <f>VLOOKUP($A16,historia!$A$5:$CM$24,+HLOOKUP(AT$2,historia!$A$3:$EC$4,2,FALSE),FALSE)</f>
        <v>4</v>
      </c>
      <c r="AU16" s="58">
        <f>VLOOKUP($A16,historia!$A$5:$CM$24,+HLOOKUP(AU$2,historia!$A$3:$EC$4,2,FALSE),FALSE)</f>
        <v>2</v>
      </c>
      <c r="AV16" s="58">
        <f>VLOOKUP($A16,historia!$A$5:$CM$24,+HLOOKUP(AV$2,historia!$A$3:$EC$4,2,FALSE),FALSE)</f>
        <v>2</v>
      </c>
      <c r="AW16" s="58">
        <f>VLOOKUP($A16,historia!$A$5:$CM$24,+HLOOKUP(AW$2,historia!$A$3:$EC$4,2,FALSE),FALSE)</f>
        <v>3</v>
      </c>
      <c r="AX16" s="58">
        <f>VLOOKUP($A16,historia!$A$5:$CM$24,+HLOOKUP(AX$2,historia!$A$3:$EC$4,2,FALSE),FALSE)</f>
        <v>3</v>
      </c>
      <c r="AY16" s="58">
        <f>VLOOKUP($A16,historia!$A$5:$CM$24,+HLOOKUP(AY$2,historia!$A$3:$EC$4,2,FALSE),FALSE)</f>
        <v>3</v>
      </c>
      <c r="AZ16" s="58">
        <f>VLOOKUP($A16,historia!$A$5:$CM$24,+HLOOKUP(AZ$2,historia!$A$3:$EC$4,2,FALSE),FALSE)</f>
        <v>3</v>
      </c>
      <c r="BA16" s="58">
        <f>VLOOKUP($A16,historia!$A$5:$CM$24,+HLOOKUP(BA$2,historia!$A$3:$EC$4,2,FALSE),FALSE)</f>
        <v>3</v>
      </c>
      <c r="BB16" s="58"/>
      <c r="BC16" s="58"/>
      <c r="BD16" s="286">
        <v>3</v>
      </c>
      <c r="BE16" t="str">
        <f t="shared" si="20"/>
        <v>Maní</v>
      </c>
      <c r="BF16">
        <f>+datos!AF1</f>
        <v>32</v>
      </c>
      <c r="BG16" s="2" t="str">
        <f t="shared" si="4"/>
        <v>$/t</v>
      </c>
      <c r="BH16" s="2">
        <f t="shared" si="4"/>
        <v>695945.30789473688</v>
      </c>
      <c r="BI16" s="2">
        <f t="shared" si="4"/>
        <v>679118.3175</v>
      </c>
      <c r="BJ16" s="2">
        <f t="shared" si="4"/>
        <v>827769.5</v>
      </c>
      <c r="BL16">
        <f>+datos!CH1</f>
        <v>86</v>
      </c>
      <c r="BM16" s="2">
        <f t="shared" si="21"/>
        <v>10860.899786694172</v>
      </c>
      <c r="BN16" s="2">
        <f t="shared" si="21"/>
        <v>10148.964413382118</v>
      </c>
      <c r="BO16" s="2">
        <f t="shared" si="21"/>
        <v>9820.1383287531244</v>
      </c>
      <c r="BQ16" s="1">
        <f>+datos!EB1</f>
        <v>132</v>
      </c>
      <c r="BR16" s="1">
        <f t="shared" si="22"/>
        <v>521230</v>
      </c>
      <c r="BS16" s="1">
        <f t="shared" si="22"/>
        <v>416490</v>
      </c>
      <c r="BU16" s="1">
        <f>+datos!FW1</f>
        <v>179</v>
      </c>
      <c r="BV16" s="1">
        <f t="shared" si="23"/>
        <v>1895131</v>
      </c>
      <c r="BW16" s="1">
        <f t="shared" si="23"/>
        <v>1604722</v>
      </c>
      <c r="BY16" s="1">
        <f>+datos!JK1</f>
        <v>271</v>
      </c>
      <c r="BZ16" s="1">
        <f t="shared" si="39"/>
        <v>1495.3031982699999</v>
      </c>
      <c r="CA16" s="1">
        <f t="shared" si="40"/>
        <v>1106.2885811900001</v>
      </c>
      <c r="CC16" s="1">
        <f>+datos!KP1</f>
        <v>302</v>
      </c>
      <c r="CD16" s="2">
        <f t="shared" si="24"/>
        <v>1.7578457300000001</v>
      </c>
      <c r="CE16" s="2">
        <f t="shared" si="25"/>
        <v>2.8566550299999998</v>
      </c>
      <c r="CG16" s="1">
        <f>+datos!IJ1</f>
        <v>244</v>
      </c>
      <c r="CH16" s="1">
        <f t="shared" si="26"/>
        <v>2.3888080854826579</v>
      </c>
      <c r="CI16" s="1">
        <f t="shared" si="27"/>
        <v>2.1563835150032644</v>
      </c>
      <c r="CK16" s="1">
        <f t="shared" si="28"/>
        <v>108.38462631999997</v>
      </c>
      <c r="CL16" s="1">
        <f t="shared" si="28"/>
        <v>110.53778464999999</v>
      </c>
      <c r="CM16" s="1">
        <f t="shared" si="28"/>
        <v>97.139552130000013</v>
      </c>
      <c r="CN16" s="1">
        <f t="shared" si="28"/>
        <v>94.262180470000018</v>
      </c>
      <c r="CO16" s="1">
        <f t="shared" si="28"/>
        <v>104.16408064999997</v>
      </c>
      <c r="CP16" s="1">
        <f t="shared" si="28"/>
        <v>129.66034791999999</v>
      </c>
      <c r="CQ16" s="1">
        <f t="shared" si="28"/>
        <v>100.29183523999998</v>
      </c>
      <c r="CR16" s="1">
        <f t="shared" si="28"/>
        <v>142.99991008000001</v>
      </c>
      <c r="CS16" s="1">
        <f t="shared" si="28"/>
        <v>153.43391492999999</v>
      </c>
      <c r="CT16" s="1">
        <f t="shared" si="28"/>
        <v>142.09253510999997</v>
      </c>
      <c r="CU16" s="1">
        <f t="shared" si="28"/>
        <v>155.33708399000002</v>
      </c>
      <c r="CV16" s="1">
        <f t="shared" si="28"/>
        <v>156.99934678</v>
      </c>
      <c r="CW16" s="1">
        <f t="shared" si="28"/>
        <v>115.53726275000001</v>
      </c>
      <c r="CX16" s="1">
        <f t="shared" si="28"/>
        <v>98.487414479999984</v>
      </c>
      <c r="CY16" s="1">
        <f t="shared" si="28"/>
        <v>63.473924160000003</v>
      </c>
      <c r="CZ16" s="1">
        <f t="shared" si="28"/>
        <v>65.127016839999982</v>
      </c>
      <c r="DA16" s="1">
        <f t="shared" si="29"/>
        <v>70.784594500000011</v>
      </c>
      <c r="DB16" s="1">
        <f t="shared" si="29"/>
        <v>111.62267066999999</v>
      </c>
      <c r="DC16" s="1">
        <f t="shared" si="29"/>
        <v>100.80321882999999</v>
      </c>
      <c r="DD16" s="1">
        <f t="shared" si="29"/>
        <v>90.064767340000003</v>
      </c>
      <c r="DE16" s="1">
        <f t="shared" si="29"/>
        <v>96.183340330000021</v>
      </c>
      <c r="DF16" s="1">
        <f t="shared" si="29"/>
        <v>89.024842150000026</v>
      </c>
      <c r="DG16" s="1">
        <f t="shared" si="29"/>
        <v>102.74257099999998</v>
      </c>
      <c r="DH16" s="1">
        <f t="shared" si="29"/>
        <v>102.43695814</v>
      </c>
      <c r="DJ16" s="1">
        <f t="shared" si="30"/>
        <v>0.14424532000000001</v>
      </c>
      <c r="DK16" s="1">
        <f t="shared" si="30"/>
        <v>5.4312239999999998E-2</v>
      </c>
      <c r="DL16" s="1">
        <f t="shared" si="30"/>
        <v>1.9420499999999999E-3</v>
      </c>
      <c r="DM16" s="1">
        <f t="shared" si="30"/>
        <v>1.0560452</v>
      </c>
      <c r="DN16" s="1">
        <f t="shared" si="30"/>
        <v>3.8992409999999998E-2</v>
      </c>
      <c r="DO16" s="1">
        <f t="shared" si="30"/>
        <v>0</v>
      </c>
      <c r="DP16" s="1">
        <f t="shared" si="30"/>
        <v>5.2225250000000001E-2</v>
      </c>
      <c r="DQ16" s="1">
        <f t="shared" si="30"/>
        <v>0.22862400000000002</v>
      </c>
      <c r="DR16" s="1">
        <f t="shared" si="30"/>
        <v>2.6527899999999999E-3</v>
      </c>
      <c r="DS16" s="1">
        <f t="shared" si="30"/>
        <v>1.6271E-3</v>
      </c>
      <c r="DT16" s="1">
        <f t="shared" si="30"/>
        <v>0.13444175</v>
      </c>
      <c r="DU16" s="1">
        <f t="shared" si="30"/>
        <v>4.2737620000000004E-2</v>
      </c>
      <c r="DV16" s="1">
        <f t="shared" si="30"/>
        <v>8.6628999999999998E-2</v>
      </c>
      <c r="DW16" s="1">
        <f t="shared" si="30"/>
        <v>8.4906640000000005E-2</v>
      </c>
      <c r="DX16" s="1">
        <f t="shared" si="30"/>
        <v>8.714181E-2</v>
      </c>
      <c r="DY16" s="1">
        <f t="shared" si="30"/>
        <v>0.111375</v>
      </c>
      <c r="DZ16" s="1">
        <f t="shared" si="31"/>
        <v>0.12514284000000001</v>
      </c>
      <c r="EA16" s="1">
        <f t="shared" si="31"/>
        <v>0.69674917999999986</v>
      </c>
      <c r="EB16" s="1">
        <f t="shared" si="31"/>
        <v>0.79684906</v>
      </c>
      <c r="EC16" s="1">
        <f t="shared" si="31"/>
        <v>0.24194792999999998</v>
      </c>
      <c r="ED16" s="1">
        <f t="shared" si="31"/>
        <v>0.11713932000000001</v>
      </c>
      <c r="EE16" s="1">
        <f t="shared" si="31"/>
        <v>0.45286999999999999</v>
      </c>
      <c r="EF16" s="1">
        <f t="shared" si="31"/>
        <v>5.563009E-2</v>
      </c>
      <c r="EG16" s="1">
        <f t="shared" si="31"/>
        <v>2.7416000000000002E-4</v>
      </c>
      <c r="EI16" s="14">
        <f t="shared" si="32"/>
        <v>2.3888080854826579</v>
      </c>
      <c r="EJ16" s="14">
        <f t="shared" si="32"/>
        <v>2.3888080854826579</v>
      </c>
      <c r="EK16" s="1">
        <f t="shared" si="32"/>
        <v>2.3888080854826579</v>
      </c>
      <c r="EL16" s="1">
        <f t="shared" si="32"/>
        <v>2.3888080854826579</v>
      </c>
      <c r="EM16" s="1">
        <f t="shared" si="32"/>
        <v>2.1563835150032644</v>
      </c>
      <c r="EN16" s="1">
        <f t="shared" si="32"/>
        <v>2.1563835150032644</v>
      </c>
      <c r="EO16" s="1">
        <f t="shared" si="32"/>
        <v>2.1563835150032644</v>
      </c>
      <c r="EP16" s="1">
        <f t="shared" si="32"/>
        <v>2.1563835150032644</v>
      </c>
      <c r="EQ16" s="1">
        <f t="shared" si="32"/>
        <v>2.1563835150032644</v>
      </c>
      <c r="ER16" s="1">
        <f t="shared" si="32"/>
        <v>2.1563835150032644</v>
      </c>
      <c r="ES16" s="1">
        <f t="shared" si="32"/>
        <v>2.1563835150032644</v>
      </c>
      <c r="ET16" s="1">
        <f t="shared" si="32"/>
        <v>2.1563835150032644</v>
      </c>
      <c r="EU16" s="1">
        <f t="shared" si="32"/>
        <v>2.1563835150032644</v>
      </c>
      <c r="EV16" s="1">
        <f t="shared" si="32"/>
        <v>2.1563835150032644</v>
      </c>
      <c r="EW16" s="1">
        <f t="shared" si="32"/>
        <v>2.1563835150032644</v>
      </c>
      <c r="EX16" s="1">
        <f t="shared" si="32"/>
        <v>2.1563835150032644</v>
      </c>
      <c r="EY16" s="1">
        <f t="shared" si="33"/>
        <v>1.9885213252125911</v>
      </c>
      <c r="EZ16" s="1">
        <f t="shared" si="33"/>
        <v>1.9885213252125911</v>
      </c>
      <c r="FA16" s="1">
        <f t="shared" si="33"/>
        <v>1.9885213252125911</v>
      </c>
      <c r="FB16" s="1">
        <f t="shared" si="33"/>
        <v>1.9885213252125911</v>
      </c>
      <c r="FC16" s="1">
        <f t="shared" si="33"/>
        <v>1.9885213252125911</v>
      </c>
      <c r="FD16" s="1">
        <f t="shared" si="33"/>
        <v>1.9885213252125911</v>
      </c>
      <c r="FE16" s="1">
        <f t="shared" si="33"/>
        <v>1.9885213252125911</v>
      </c>
      <c r="FF16" s="1">
        <f t="shared" si="33"/>
        <v>1.9885213252125911</v>
      </c>
      <c r="FH16" s="162">
        <f t="shared" si="34"/>
        <v>-0.26523465666931234</v>
      </c>
    </row>
    <row r="17" spans="1:164" ht="18.75" customHeight="1">
      <c r="A17" s="244" t="s">
        <v>76</v>
      </c>
      <c r="B17" s="247"/>
      <c r="C17" s="228">
        <f t="shared" si="5"/>
        <v>-0.99</v>
      </c>
      <c r="D17" s="229">
        <v>-1</v>
      </c>
      <c r="E17" s="253">
        <f t="shared" si="6"/>
        <v>-4.9082924308964104E-3</v>
      </c>
      <c r="F17" s="254">
        <f t="shared" si="7"/>
        <v>-2.3925129984209259E-2</v>
      </c>
      <c r="G17" s="253">
        <f t="shared" si="8"/>
        <v>6.5596340945944576E-2</v>
      </c>
      <c r="H17" s="254">
        <f t="shared" si="9"/>
        <v>-7.0504633376840986E-2</v>
      </c>
      <c r="I17" s="253">
        <f t="shared" si="10"/>
        <v>0.22441195168467898</v>
      </c>
      <c r="J17" s="254">
        <f t="shared" si="11"/>
        <v>-0.14125349690182043</v>
      </c>
      <c r="K17" s="253">
        <f t="shared" si="12"/>
        <v>0.36802984428536201</v>
      </c>
      <c r="L17" s="254">
        <f t="shared" si="13"/>
        <v>-0.14361789260068303</v>
      </c>
      <c r="M17" s="255"/>
      <c r="N17" s="256">
        <v>-1</v>
      </c>
      <c r="O17" s="253">
        <f>IFERROR(+BR17/BS17-1,"")</f>
        <v>0.14285714285714279</v>
      </c>
      <c r="P17" s="257">
        <f t="shared" si="36"/>
        <v>0.14285714285714279</v>
      </c>
      <c r="Q17" s="253">
        <f t="shared" si="14"/>
        <v>8.2297934975540166E-2</v>
      </c>
      <c r="R17" s="257">
        <f t="shared" si="37"/>
        <v>8.2297934975540166E-2</v>
      </c>
      <c r="S17" s="255"/>
      <c r="T17" s="256">
        <v>-1</v>
      </c>
      <c r="U17" s="253">
        <f t="shared" si="15"/>
        <v>0.13943919326705911</v>
      </c>
      <c r="V17" s="258">
        <f t="shared" si="16"/>
        <v>0.13943919326705911</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3</v>
      </c>
      <c r="AV17" s="58">
        <f>VLOOKUP($A17,historia!$A$5:$CM$24,+HLOOKUP(AV$2,historia!$A$3:$EC$4,2,FALSE),FALSE)</f>
        <v>3</v>
      </c>
      <c r="AW17" s="58">
        <f>VLOOKUP($A17,historia!$A$5:$CM$24,+HLOOKUP(AW$2,historia!$A$3:$EC$4,2,FALSE),FALSE)</f>
        <v>3</v>
      </c>
      <c r="AX17" s="58">
        <f>VLOOKUP($A17,historia!$A$5:$CM$24,+HLOOKUP(AX$2,historia!$A$3:$EC$4,2,FALSE),FALSE)</f>
        <v>3</v>
      </c>
      <c r="AY17" s="58">
        <f>VLOOKUP($A17,historia!$A$5:$CM$24,+HLOOKUP(AY$2,historia!$A$3:$EC$4,2,FALSE),FALSE)</f>
        <v>3</v>
      </c>
      <c r="AZ17" s="58">
        <f>VLOOKUP($A17,historia!$A$5:$CM$24,+HLOOKUP(AZ$2,historia!$A$3:$EC$4,2,FALSE),FALSE)</f>
        <v>3</v>
      </c>
      <c r="BA17" s="58">
        <f>VLOOKUP($A17,historia!$A$5:$CM$24,+HLOOKUP(BA$2,historia!$A$3:$EC$4,2,FALSE),FALSE)</f>
        <v>3</v>
      </c>
      <c r="BB17" s="58"/>
      <c r="BC17" s="58"/>
      <c r="BD17" s="286">
        <v>3</v>
      </c>
      <c r="BE17" t="str">
        <f t="shared" si="20"/>
        <v>Miel</v>
      </c>
      <c r="BF17">
        <f>+datos!BV1</f>
        <v>74</v>
      </c>
      <c r="BG17" s="2" t="str">
        <f t="shared" si="4"/>
        <v>$/kg</v>
      </c>
      <c r="BH17" s="2">
        <f t="shared" si="4"/>
        <v>1926</v>
      </c>
      <c r="BI17" s="2">
        <f t="shared" si="4"/>
        <v>1935.5</v>
      </c>
      <c r="BJ17" s="2">
        <f t="shared" si="4"/>
        <v>1573</v>
      </c>
      <c r="BL17">
        <f>+datos!DH1</f>
        <v>112</v>
      </c>
      <c r="BM17" s="2">
        <f t="shared" si="21"/>
        <v>10983.288429690827</v>
      </c>
      <c r="BN17" s="2">
        <f t="shared" si="21"/>
        <v>10307.17543562585</v>
      </c>
      <c r="BO17" s="2">
        <f t="shared" si="21"/>
        <v>8028.5444616366021</v>
      </c>
      <c r="BQ17" s="1">
        <f>+datos!EQ1</f>
        <v>147</v>
      </c>
      <c r="BR17" s="1">
        <f t="shared" si="22"/>
        <v>4000000</v>
      </c>
      <c r="BS17" s="1">
        <f t="shared" si="22"/>
        <v>3500000</v>
      </c>
      <c r="BU17" s="1">
        <f>+datos!GP1</f>
        <v>198</v>
      </c>
      <c r="BV17" s="1">
        <f t="shared" si="23"/>
        <v>75000</v>
      </c>
      <c r="BW17" s="1">
        <f t="shared" si="23"/>
        <v>69297</v>
      </c>
      <c r="BY17" s="1">
        <f>+datos!KE1</f>
        <v>291</v>
      </c>
      <c r="BZ17" s="1">
        <f t="shared" si="39"/>
        <v>231.70085789000001</v>
      </c>
      <c r="CA17" s="1">
        <f t="shared" si="40"/>
        <v>203.34639993000002</v>
      </c>
      <c r="CC17" s="1">
        <f>+datos!LJ1</f>
        <v>322</v>
      </c>
      <c r="CD17" s="2">
        <f t="shared" si="24"/>
        <v>5.4628400000000001E-3</v>
      </c>
      <c r="CE17" s="2">
        <f>+SUM(DV17:EG17)</f>
        <v>9.3139300000000008E-2</v>
      </c>
      <c r="CG17" s="1">
        <f>+datos!IZ1</f>
        <v>260</v>
      </c>
      <c r="CH17" s="2">
        <f t="shared" si="26"/>
        <v>0.3</v>
      </c>
      <c r="CI17" s="2">
        <f t="shared" si="27"/>
        <v>0.3</v>
      </c>
      <c r="CK17" s="1">
        <f t="shared" si="28"/>
        <v>25.565397789999999</v>
      </c>
      <c r="CL17" s="1">
        <f t="shared" si="28"/>
        <v>22.120083830000002</v>
      </c>
      <c r="CM17" s="1">
        <f t="shared" si="28"/>
        <v>25.223589140000001</v>
      </c>
      <c r="CN17" s="1">
        <f t="shared" si="28"/>
        <v>23.185079629999997</v>
      </c>
      <c r="CO17" s="1">
        <f t="shared" si="28"/>
        <v>18.014525360000007</v>
      </c>
      <c r="CP17" s="1">
        <f t="shared" si="28"/>
        <v>15.906782769999998</v>
      </c>
      <c r="CQ17" s="1">
        <f t="shared" si="28"/>
        <v>9.6274282100000015</v>
      </c>
      <c r="CR17" s="1">
        <f t="shared" si="28"/>
        <v>12.184475789999999</v>
      </c>
      <c r="CS17" s="1">
        <f t="shared" si="28"/>
        <v>14.349162859999998</v>
      </c>
      <c r="CT17" s="1">
        <f t="shared" si="28"/>
        <v>24.378519029999993</v>
      </c>
      <c r="CU17" s="1">
        <f t="shared" si="28"/>
        <v>22.211636389999995</v>
      </c>
      <c r="CV17" s="1">
        <f t="shared" si="28"/>
        <v>18.934177090000006</v>
      </c>
      <c r="CW17" s="1">
        <f t="shared" si="28"/>
        <v>18.049853030000005</v>
      </c>
      <c r="CX17" s="1">
        <f t="shared" si="28"/>
        <v>20.702965450000001</v>
      </c>
      <c r="CY17" s="1">
        <f t="shared" si="28"/>
        <v>19.199801710000003</v>
      </c>
      <c r="CZ17" s="1">
        <f t="shared" si="28"/>
        <v>16.174522229999997</v>
      </c>
      <c r="DA17" s="1">
        <f t="shared" si="29"/>
        <v>22.082734950000003</v>
      </c>
      <c r="DB17" s="1">
        <f t="shared" si="29"/>
        <v>13.392344960000001</v>
      </c>
      <c r="DC17" s="1">
        <f t="shared" si="29"/>
        <v>10.971998660000001</v>
      </c>
      <c r="DD17" s="1">
        <f t="shared" si="29"/>
        <v>12.805239539999999</v>
      </c>
      <c r="DE17" s="1">
        <f t="shared" si="29"/>
        <v>13.943876809999997</v>
      </c>
      <c r="DF17" s="1">
        <f t="shared" si="29"/>
        <v>17.891480939999997</v>
      </c>
      <c r="DG17" s="1">
        <f t="shared" si="29"/>
        <v>16.805607889999997</v>
      </c>
      <c r="DH17" s="1">
        <f t="shared" si="29"/>
        <v>21.325973759999997</v>
      </c>
      <c r="DJ17" s="1">
        <f t="shared" si="30"/>
        <v>0</v>
      </c>
      <c r="DK17" s="1">
        <f t="shared" si="30"/>
        <v>0</v>
      </c>
      <c r="DL17" s="1">
        <f t="shared" si="30"/>
        <v>1.5264E-3</v>
      </c>
      <c r="DM17" s="1">
        <f t="shared" si="30"/>
        <v>0</v>
      </c>
      <c r="DN17" s="1">
        <f t="shared" si="30"/>
        <v>0</v>
      </c>
      <c r="DO17" s="1">
        <f t="shared" si="30"/>
        <v>3.5298E-3</v>
      </c>
      <c r="DP17" s="1">
        <f t="shared" si="30"/>
        <v>0</v>
      </c>
      <c r="DQ17" s="1">
        <f t="shared" si="30"/>
        <v>0</v>
      </c>
      <c r="DR17" s="1">
        <f t="shared" si="30"/>
        <v>0</v>
      </c>
      <c r="DS17" s="1">
        <f t="shared" si="30"/>
        <v>0</v>
      </c>
      <c r="DT17" s="1">
        <f t="shared" si="30"/>
        <v>4.0664E-4</v>
      </c>
      <c r="DU17" s="1">
        <f t="shared" si="30"/>
        <v>0</v>
      </c>
      <c r="DV17" s="1">
        <f t="shared" si="30"/>
        <v>0</v>
      </c>
      <c r="DW17" s="1">
        <f t="shared" si="30"/>
        <v>0</v>
      </c>
      <c r="DX17" s="1">
        <f t="shared" si="30"/>
        <v>0</v>
      </c>
      <c r="DY17" s="1">
        <f t="shared" si="30"/>
        <v>0</v>
      </c>
      <c r="DZ17" s="1">
        <f t="shared" si="31"/>
        <v>5.2539300000000004E-2</v>
      </c>
      <c r="EA17" s="1">
        <f t="shared" si="31"/>
        <v>0</v>
      </c>
      <c r="EB17" s="1">
        <f t="shared" si="31"/>
        <v>0</v>
      </c>
      <c r="EC17" s="1">
        <f t="shared" si="31"/>
        <v>4.0599999999999997E-2</v>
      </c>
      <c r="ED17" s="1">
        <f t="shared" si="31"/>
        <v>0</v>
      </c>
      <c r="EE17" s="1">
        <f t="shared" si="31"/>
        <v>0</v>
      </c>
      <c r="EF17" s="1">
        <f t="shared" si="31"/>
        <v>0</v>
      </c>
      <c r="EG17" s="1">
        <f t="shared" si="31"/>
        <v>0</v>
      </c>
      <c r="EI17" s="14">
        <f t="shared" si="32"/>
        <v>0.3</v>
      </c>
      <c r="EJ17" s="14">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2"/>
        <v>0.3</v>
      </c>
      <c r="EY17" s="1">
        <f t="shared" si="33"/>
        <v>0.3</v>
      </c>
      <c r="EZ17" s="1">
        <f t="shared" si="33"/>
        <v>0.3</v>
      </c>
      <c r="FA17" s="1">
        <f t="shared" si="33"/>
        <v>0.3</v>
      </c>
      <c r="FB17" s="1">
        <f t="shared" si="33"/>
        <v>0.3</v>
      </c>
      <c r="FC17" s="1">
        <f t="shared" si="33"/>
        <v>0.3</v>
      </c>
      <c r="FD17" s="1">
        <f t="shared" si="33"/>
        <v>0.3</v>
      </c>
      <c r="FE17" s="1">
        <f t="shared" si="33"/>
        <v>0.3</v>
      </c>
      <c r="FF17" s="1">
        <f t="shared" si="33"/>
        <v>0.3</v>
      </c>
      <c r="FH17" s="162">
        <f t="shared" si="34"/>
        <v>-0.14361789260068303</v>
      </c>
    </row>
    <row r="18" spans="1:164" ht="18.75" customHeight="1">
      <c r="A18" s="243" t="s">
        <v>222</v>
      </c>
      <c r="B18" s="246"/>
      <c r="C18" s="156">
        <f t="shared" si="5"/>
        <v>-0.33</v>
      </c>
      <c r="D18" s="198">
        <v>1</v>
      </c>
      <c r="E18" s="248">
        <f t="shared" si="6"/>
        <v>1.0019748646366677E-2</v>
      </c>
      <c r="F18" s="249">
        <f t="shared" si="7"/>
        <v>-8.9970889069461712E-3</v>
      </c>
      <c r="G18" s="248">
        <f t="shared" si="8"/>
        <v>5.0498651092908187E-2</v>
      </c>
      <c r="H18" s="249">
        <f t="shared" si="9"/>
        <v>-4.0478902446541509E-2</v>
      </c>
      <c r="I18" s="253">
        <f t="shared" si="10"/>
        <v>0.45991786866692985</v>
      </c>
      <c r="J18" s="254">
        <f t="shared" si="11"/>
        <v>9.4252420080430444E-2</v>
      </c>
      <c r="K18" s="248">
        <f t="shared" si="12"/>
        <v>0.39153235784866691</v>
      </c>
      <c r="L18" s="249">
        <f t="shared" si="13"/>
        <v>6.838551081826294E-2</v>
      </c>
      <c r="M18" s="250"/>
      <c r="N18" s="24">
        <v>-1</v>
      </c>
      <c r="O18" s="248">
        <f t="shared" si="35"/>
        <v>-5.0916613399780819E-2</v>
      </c>
      <c r="P18" s="251">
        <f t="shared" si="36"/>
        <v>-5.0916613399780819E-2</v>
      </c>
      <c r="Q18" s="248">
        <f t="shared" si="14"/>
        <v>-4.8512836217733168E-2</v>
      </c>
      <c r="R18" s="251">
        <f t="shared" si="37"/>
        <v>-4.8512836217733168E-2</v>
      </c>
      <c r="S18" s="250"/>
      <c r="T18" s="24">
        <v>-1</v>
      </c>
      <c r="U18" s="248">
        <f t="shared" si="15"/>
        <v>0.17199183506284954</v>
      </c>
      <c r="V18" s="252">
        <f t="shared" si="16"/>
        <v>0.17199183506284954</v>
      </c>
      <c r="W18" s="248">
        <f t="shared" si="38"/>
        <v>-0.47836550774924835</v>
      </c>
      <c r="X18" s="252">
        <f t="shared" si="17"/>
        <v>-0.47836550774924835</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4</v>
      </c>
      <c r="AQ18" s="28">
        <f>VLOOKUP($A18,historia!$A$5:$CM$24,+HLOOKUP(AQ$2,historia!$A$3:$EC$4,2,FALSE),FALSE)</f>
        <v>4</v>
      </c>
      <c r="AR18" s="28">
        <f>VLOOKUP($A18,historia!$A$5:$CM$24,+HLOOKUP(AR$2,historia!$A$3:$EC$4,2,FALSE),FALSE)</f>
        <v>4</v>
      </c>
      <c r="AS18" s="28">
        <f>VLOOKUP($A18,historia!$A$5:$CM$24,+HLOOKUP(AS$2,historia!$A$3:$EC$4,2,FALSE),FALSE)</f>
        <v>4</v>
      </c>
      <c r="AT18" s="58">
        <f>VLOOKUP($A18,historia!$A$5:$CM$24,+HLOOKUP(AT$2,historia!$A$3:$EC$4,2,FALSE),FALSE)</f>
        <v>4</v>
      </c>
      <c r="AU18" s="58">
        <f>VLOOKUP($A18,historia!$A$5:$CM$24,+HLOOKUP(AU$2,historia!$A$3:$EC$4,2,FALSE),FALSE)</f>
        <v>3</v>
      </c>
      <c r="AV18" s="58">
        <f>VLOOKUP($A18,historia!$A$5:$CM$24,+HLOOKUP(AV$2,historia!$A$3:$EC$4,2,FALSE),FALSE)</f>
        <v>2</v>
      </c>
      <c r="AW18" s="58">
        <f>VLOOKUP($A18,historia!$A$5:$CM$24,+HLOOKUP(AW$2,historia!$A$3:$EC$4,2,FALSE),FALSE)</f>
        <v>2</v>
      </c>
      <c r="AX18" s="58">
        <f>VLOOKUP($A18,historia!$A$5:$CM$24,+HLOOKUP(AX$2,historia!$A$3:$EC$4,2,FALSE),FALSE)</f>
        <v>2</v>
      </c>
      <c r="AY18" s="58">
        <f>VLOOKUP($A18,historia!$A$5:$CM$24,+HLOOKUP(AY$2,historia!$A$3:$EC$4,2,FALSE),FALSE)</f>
        <v>2</v>
      </c>
      <c r="AZ18" s="58">
        <f>VLOOKUP($A18,historia!$A$5:$CM$24,+HLOOKUP(AZ$2,historia!$A$3:$EC$4,2,FALSE),FALSE)</f>
        <v>1</v>
      </c>
      <c r="BA18" s="58">
        <f>VLOOKUP($A18,historia!$A$5:$CM$24,+HLOOKUP(BA$2,historia!$A$3:$EC$4,2,FALSE),FALSE)</f>
        <v>1</v>
      </c>
      <c r="BB18" s="58"/>
      <c r="BC18" s="58"/>
      <c r="BD18" s="286">
        <v>1</v>
      </c>
      <c r="BE18" t="str">
        <f t="shared" si="20"/>
        <v>Ovino</v>
      </c>
      <c r="BF18">
        <f>+datos!BU1</f>
        <v>73</v>
      </c>
      <c r="BG18" s="2" t="str">
        <f t="shared" si="4"/>
        <v>$/kg</v>
      </c>
      <c r="BH18" s="2">
        <f t="shared" si="4"/>
        <v>83397.516701999994</v>
      </c>
      <c r="BI18" s="2">
        <f t="shared" si="4"/>
        <v>82570.18421052632</v>
      </c>
      <c r="BJ18" s="2">
        <f t="shared" si="4"/>
        <v>57124.800300000003</v>
      </c>
      <c r="BL18">
        <f>+datos!DI1</f>
        <v>113</v>
      </c>
      <c r="BM18" s="2">
        <f t="shared" si="21"/>
        <v>11077.837423666198</v>
      </c>
      <c r="BN18" s="2">
        <f t="shared" si="21"/>
        <v>10545.313325382322</v>
      </c>
      <c r="BO18" s="2">
        <f t="shared" si="21"/>
        <v>7960.8909998993677</v>
      </c>
      <c r="BQ18" s="1">
        <f>+datos!EL1</f>
        <v>142</v>
      </c>
      <c r="BR18" s="1">
        <f t="shared" si="22"/>
        <v>11967429</v>
      </c>
      <c r="BS18" s="1">
        <f t="shared" si="22"/>
        <v>12609460</v>
      </c>
      <c r="BU18" s="1">
        <f>+datos!GS1</f>
        <v>201</v>
      </c>
      <c r="BV18" s="1">
        <f t="shared" si="23"/>
        <v>32732.560000000001</v>
      </c>
      <c r="BW18" s="1">
        <f t="shared" si="23"/>
        <v>34401.473026587613</v>
      </c>
      <c r="BY18" s="1">
        <f>+datos!KI1</f>
        <v>295</v>
      </c>
      <c r="BZ18" s="1">
        <f t="shared" si="39"/>
        <v>224.22812825</v>
      </c>
      <c r="CA18" s="1">
        <f t="shared" si="40"/>
        <v>191.32226141999999</v>
      </c>
      <c r="CC18" s="1">
        <f>+datos!LN1</f>
        <v>326</v>
      </c>
      <c r="CD18" s="2">
        <f t="shared" si="24"/>
        <v>2.32997619</v>
      </c>
      <c r="CE18" s="2">
        <f t="shared" si="25"/>
        <v>4.4666835200000001</v>
      </c>
      <c r="CG18" s="1">
        <f>+datos!JA1</f>
        <v>261</v>
      </c>
      <c r="CH18" s="1">
        <f t="shared" si="26"/>
        <v>3555</v>
      </c>
      <c r="CI18" s="1">
        <f t="shared" si="27"/>
        <v>2813</v>
      </c>
      <c r="CK18" s="1">
        <f t="shared" si="28"/>
        <v>19.636014689999996</v>
      </c>
      <c r="CL18" s="1">
        <f t="shared" si="28"/>
        <v>18.748166940000001</v>
      </c>
      <c r="CM18" s="1">
        <f t="shared" si="28"/>
        <v>21.131437869999999</v>
      </c>
      <c r="CN18" s="1">
        <f t="shared" si="28"/>
        <v>23.746863359999999</v>
      </c>
      <c r="CO18" s="1">
        <f t="shared" si="28"/>
        <v>18.662799830000001</v>
      </c>
      <c r="CP18" s="1">
        <f t="shared" si="28"/>
        <v>31.610464650000004</v>
      </c>
      <c r="CQ18" s="1">
        <f t="shared" si="28"/>
        <v>14.881609229999999</v>
      </c>
      <c r="CR18" s="1">
        <f t="shared" si="28"/>
        <v>18.538380959999998</v>
      </c>
      <c r="CS18" s="1">
        <f t="shared" si="28"/>
        <v>15.79353798</v>
      </c>
      <c r="CT18" s="1">
        <f t="shared" si="28"/>
        <v>15.390557059999999</v>
      </c>
      <c r="CU18" s="1">
        <f t="shared" si="28"/>
        <v>12.657815750000001</v>
      </c>
      <c r="CV18" s="1">
        <f t="shared" si="28"/>
        <v>13.430479930000001</v>
      </c>
      <c r="CW18" s="1">
        <f t="shared" si="28"/>
        <v>15.60716012</v>
      </c>
      <c r="CX18" s="1">
        <f t="shared" si="28"/>
        <v>19.03918719</v>
      </c>
      <c r="CY18" s="1">
        <f t="shared" si="28"/>
        <v>17.774232269999999</v>
      </c>
      <c r="CZ18" s="1">
        <f t="shared" si="28"/>
        <v>22.502102959999998</v>
      </c>
      <c r="DA18" s="1">
        <f t="shared" si="29"/>
        <v>22.437193859999997</v>
      </c>
      <c r="DB18" s="1">
        <f t="shared" si="29"/>
        <v>15.322430800000003</v>
      </c>
      <c r="DC18" s="1">
        <f t="shared" si="29"/>
        <v>16.644595240000001</v>
      </c>
      <c r="DD18" s="1">
        <f t="shared" si="29"/>
        <v>15.83663735</v>
      </c>
      <c r="DE18" s="1">
        <f t="shared" si="29"/>
        <v>13.412348609999999</v>
      </c>
      <c r="DF18" s="1">
        <f t="shared" si="29"/>
        <v>9.5091132299999988</v>
      </c>
      <c r="DG18" s="1">
        <f t="shared" si="29"/>
        <v>10.49137048</v>
      </c>
      <c r="DH18" s="1">
        <f t="shared" si="29"/>
        <v>12.745889309999999</v>
      </c>
      <c r="DJ18" s="1">
        <f t="shared" si="30"/>
        <v>7.1441070000000009E-2</v>
      </c>
      <c r="DK18" s="1">
        <f t="shared" si="30"/>
        <v>0.19937177999999997</v>
      </c>
      <c r="DL18" s="1">
        <f t="shared" si="30"/>
        <v>0.18211829000000002</v>
      </c>
      <c r="DM18" s="1">
        <f t="shared" si="30"/>
        <v>0.19639201000000001</v>
      </c>
      <c r="DN18" s="1">
        <f t="shared" si="30"/>
        <v>0.15047392000000001</v>
      </c>
      <c r="DO18" s="1">
        <f t="shared" si="30"/>
        <v>0.19393855000000002</v>
      </c>
      <c r="DP18" s="1">
        <f t="shared" si="30"/>
        <v>0.16347327</v>
      </c>
      <c r="DQ18" s="1">
        <f t="shared" si="30"/>
        <v>0.18164933</v>
      </c>
      <c r="DR18" s="1">
        <f t="shared" si="30"/>
        <v>0.25055533999999996</v>
      </c>
      <c r="DS18" s="1">
        <f t="shared" si="30"/>
        <v>0.29342396000000004</v>
      </c>
      <c r="DT18" s="1">
        <f t="shared" si="30"/>
        <v>0.26088905000000001</v>
      </c>
      <c r="DU18" s="1">
        <f t="shared" si="30"/>
        <v>0.18624962</v>
      </c>
      <c r="DV18" s="1">
        <f t="shared" si="30"/>
        <v>0.1577527</v>
      </c>
      <c r="DW18" s="1">
        <f t="shared" si="30"/>
        <v>0.24821200999999998</v>
      </c>
      <c r="DX18" s="1">
        <f t="shared" si="30"/>
        <v>0.13589592</v>
      </c>
      <c r="DY18" s="1">
        <f t="shared" si="30"/>
        <v>0.23010199000000001</v>
      </c>
      <c r="DZ18" s="1">
        <f t="shared" si="31"/>
        <v>4.8750000000000002E-2</v>
      </c>
      <c r="EA18" s="1">
        <f t="shared" si="31"/>
        <v>0.31075020000000003</v>
      </c>
      <c r="EB18" s="1">
        <f t="shared" si="31"/>
        <v>0.90541722000000002</v>
      </c>
      <c r="EC18" s="1">
        <f t="shared" si="31"/>
        <v>0.34283965</v>
      </c>
      <c r="ED18" s="1">
        <f t="shared" si="31"/>
        <v>0.74167351000000015</v>
      </c>
      <c r="EE18" s="1">
        <f t="shared" si="31"/>
        <v>0.58632921999999998</v>
      </c>
      <c r="EF18" s="1">
        <f t="shared" si="31"/>
        <v>0.29250390000000004</v>
      </c>
      <c r="EG18" s="1">
        <f t="shared" si="31"/>
        <v>0.46645720000000002</v>
      </c>
      <c r="EI18" s="14">
        <f t="shared" si="32"/>
        <v>3555</v>
      </c>
      <c r="EJ18" s="14">
        <f t="shared" si="32"/>
        <v>3555</v>
      </c>
      <c r="EK18" s="1">
        <f t="shared" si="32"/>
        <v>3735</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2"/>
        <v>2813</v>
      </c>
      <c r="EY18" s="1">
        <f t="shared" si="33"/>
        <v>2813</v>
      </c>
      <c r="EZ18" s="1">
        <f t="shared" si="33"/>
        <v>2813</v>
      </c>
      <c r="FA18" s="1">
        <f t="shared" si="33"/>
        <v>2813</v>
      </c>
      <c r="FB18" s="1">
        <f t="shared" si="33"/>
        <v>2813</v>
      </c>
      <c r="FC18" s="1">
        <f t="shared" si="33"/>
        <v>2813</v>
      </c>
      <c r="FD18" s="1">
        <f t="shared" si="33"/>
        <v>2813</v>
      </c>
      <c r="FE18" s="1">
        <f t="shared" si="33"/>
        <v>2813</v>
      </c>
      <c r="FF18" s="1">
        <f t="shared" si="33"/>
        <v>2813</v>
      </c>
      <c r="FH18" s="162">
        <f t="shared" si="34"/>
        <v>6.838551081826294E-2</v>
      </c>
    </row>
    <row r="19" spans="1:164" ht="18.75" customHeight="1">
      <c r="A19" s="244" t="s">
        <v>66</v>
      </c>
      <c r="B19" s="247"/>
      <c r="C19" s="228">
        <f t="shared" si="5"/>
        <v>0</v>
      </c>
      <c r="D19" s="229">
        <v>-1</v>
      </c>
      <c r="E19" s="253">
        <f t="shared" si="6"/>
        <v>0.19393745603376611</v>
      </c>
      <c r="F19" s="254">
        <f t="shared" si="7"/>
        <v>0.17492061848045326</v>
      </c>
      <c r="G19" s="253">
        <f t="shared" si="8"/>
        <v>0.10856139574549872</v>
      </c>
      <c r="H19" s="254">
        <f t="shared" si="9"/>
        <v>8.5376060288267386E-2</v>
      </c>
      <c r="I19" s="253">
        <f t="shared" si="10"/>
        <v>-0.29854975447155219</v>
      </c>
      <c r="J19" s="254">
        <f t="shared" si="11"/>
        <v>-0.6642152030580516</v>
      </c>
      <c r="K19" s="253">
        <f t="shared" si="12"/>
        <v>0.23226470633907259</v>
      </c>
      <c r="L19" s="254">
        <f t="shared" si="13"/>
        <v>-0.53081446081062478</v>
      </c>
      <c r="M19" s="255"/>
      <c r="N19" s="256">
        <v>0</v>
      </c>
      <c r="O19" s="253">
        <f t="shared" si="35"/>
        <v>9.6567571449088119E-2</v>
      </c>
      <c r="P19" s="257">
        <f t="shared" si="36"/>
        <v>9.6567571449088119E-2</v>
      </c>
      <c r="Q19" s="253">
        <f t="shared" si="14"/>
        <v>0</v>
      </c>
      <c r="R19" s="257">
        <v>-0.01</v>
      </c>
      <c r="S19" s="255"/>
      <c r="T19" s="256">
        <v>1</v>
      </c>
      <c r="U19" s="253">
        <f t="shared" si="15"/>
        <v>0.18001750159866114</v>
      </c>
      <c r="V19" s="258">
        <f t="shared" si="16"/>
        <v>0.18001750159866114</v>
      </c>
      <c r="W19" s="253">
        <f t="shared" si="38"/>
        <v>-0.38393135133003709</v>
      </c>
      <c r="X19" s="258">
        <f t="shared" si="17"/>
        <v>-0.38393135133003709</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3</v>
      </c>
      <c r="AQ19" s="28">
        <f>VLOOKUP($A19,historia!$A$5:$CM$24,+HLOOKUP(AQ$2,historia!$A$3:$EC$4,2,FALSE),FALSE)</f>
        <v>3</v>
      </c>
      <c r="AR19" s="28">
        <f>VLOOKUP($A19,historia!$A$5:$CM$24,+HLOOKUP(AR$2,historia!$A$3:$EC$4,2,FALSE),FALSE)</f>
        <v>3</v>
      </c>
      <c r="AS19" s="28">
        <f>VLOOKUP($A19,historia!$A$5:$CM$24,+HLOOKUP(AS$2,historia!$A$3:$EC$4,2,FALSE),FALSE)</f>
        <v>3</v>
      </c>
      <c r="AT19" s="58">
        <f>VLOOKUP($A19,historia!$A$5:$CM$24,+HLOOKUP(AT$2,historia!$A$3:$EC$4,2,FALSE),FALSE)</f>
        <v>3</v>
      </c>
      <c r="AU19" s="58">
        <f>VLOOKUP($A19,historia!$A$5:$CM$24,+HLOOKUP(AU$2,historia!$A$3:$EC$4,2,FALSE),FALSE)</f>
        <v>4</v>
      </c>
      <c r="AV19" s="58">
        <f>VLOOKUP($A19,historia!$A$5:$CM$24,+HLOOKUP(AV$2,historia!$A$3:$EC$4,2,FALSE),FALSE)</f>
        <v>3</v>
      </c>
      <c r="AW19" s="58">
        <f>VLOOKUP($A19,historia!$A$5:$CM$24,+HLOOKUP(AW$2,historia!$A$3:$EC$4,2,FALSE),FALSE)</f>
        <v>3</v>
      </c>
      <c r="AX19" s="58">
        <f>VLOOKUP($A19,historia!$A$5:$CM$24,+HLOOKUP(AX$2,historia!$A$3:$EC$4,2,FALSE),FALSE)</f>
        <v>3</v>
      </c>
      <c r="AY19" s="58">
        <f>VLOOKUP($A19,historia!$A$5:$CM$24,+HLOOKUP(AY$2,historia!$A$3:$EC$4,2,FALSE),FALSE)</f>
        <v>4</v>
      </c>
      <c r="AZ19" s="58">
        <f>VLOOKUP($A19,historia!$A$5:$CM$24,+HLOOKUP(AZ$2,historia!$A$3:$EC$4,2,FALSE),FALSE)</f>
        <v>4</v>
      </c>
      <c r="BA19" s="58">
        <f>VLOOKUP($A19,historia!$A$5:$CM$24,+HLOOKUP(BA$2,historia!$A$3:$EC$4,2,FALSE),FALSE)</f>
        <v>4</v>
      </c>
      <c r="BB19" s="58"/>
      <c r="BC19" s="58"/>
      <c r="BD19" s="286">
        <v>4</v>
      </c>
      <c r="BE19" t="str">
        <f t="shared" si="20"/>
        <v>Papa</v>
      </c>
      <c r="BF19">
        <f>+datos!AV1</f>
        <v>48</v>
      </c>
      <c r="BG19" s="2" t="str">
        <f t="shared" si="4"/>
        <v>$/bolsa 20kg</v>
      </c>
      <c r="BH19" s="2">
        <f t="shared" si="4"/>
        <v>6823.6842105263158</v>
      </c>
      <c r="BI19" s="2">
        <f t="shared" si="4"/>
        <v>5715.2777777777774</v>
      </c>
      <c r="BJ19" s="2">
        <f t="shared" si="4"/>
        <v>9727.9661016949158</v>
      </c>
      <c r="BL19">
        <f>+datos!CI1</f>
        <v>87</v>
      </c>
      <c r="BM19" s="2">
        <f t="shared" si="21"/>
        <v>11122.402877205886</v>
      </c>
      <c r="BN19" s="2">
        <f t="shared" si="21"/>
        <v>10033.186181561156</v>
      </c>
      <c r="BO19" s="2">
        <f t="shared" si="21"/>
        <v>9025.9850988099479</v>
      </c>
      <c r="BQ19" s="1">
        <f>+datos!EZ1</f>
        <v>156</v>
      </c>
      <c r="BR19" s="1">
        <f t="shared" si="22"/>
        <v>38177</v>
      </c>
      <c r="BS19" s="1">
        <f t="shared" si="22"/>
        <v>34815</v>
      </c>
      <c r="BU19" s="1">
        <f>+datos!GT1</f>
        <v>202</v>
      </c>
      <c r="BV19" s="1">
        <f t="shared" si="23"/>
        <v>2111561</v>
      </c>
      <c r="BW19" s="1">
        <f t="shared" si="23"/>
        <v>2111561</v>
      </c>
      <c r="BY19" s="1">
        <f>+datos!JO1</f>
        <v>275</v>
      </c>
      <c r="BZ19" s="1">
        <f t="shared" si="39"/>
        <v>403.50831546000006</v>
      </c>
      <c r="CA19" s="1">
        <f t="shared" si="40"/>
        <v>341.95112777000008</v>
      </c>
      <c r="CC19" s="1">
        <f>+datos!KT1</f>
        <v>306</v>
      </c>
      <c r="CD19" s="2">
        <f t="shared" si="24"/>
        <v>13.201820250000001</v>
      </c>
      <c r="CE19" s="2">
        <f t="shared" si="25"/>
        <v>21.429138260000002</v>
      </c>
      <c r="CG19" s="1">
        <f>+datos!JB1</f>
        <v>262</v>
      </c>
      <c r="CH19" s="1">
        <f t="shared" si="26"/>
        <v>35.950000000000003</v>
      </c>
      <c r="CI19" s="1">
        <f t="shared" si="27"/>
        <v>35.950000000000003</v>
      </c>
      <c r="CK19" s="1">
        <f t="shared" si="28"/>
        <v>33.254909299999994</v>
      </c>
      <c r="CL19" s="1">
        <f t="shared" si="28"/>
        <v>34.03841525</v>
      </c>
      <c r="CM19" s="1">
        <f t="shared" si="28"/>
        <v>32.790200410000004</v>
      </c>
      <c r="CN19" s="1">
        <f t="shared" si="28"/>
        <v>33.403797109999999</v>
      </c>
      <c r="CO19" s="1">
        <f t="shared" si="28"/>
        <v>26.866894470000005</v>
      </c>
      <c r="CP19" s="1">
        <f t="shared" si="28"/>
        <v>30.959664470000003</v>
      </c>
      <c r="CQ19" s="1">
        <f t="shared" si="28"/>
        <v>28.030286839999999</v>
      </c>
      <c r="CR19" s="1">
        <f t="shared" si="28"/>
        <v>35.227965569999995</v>
      </c>
      <c r="CS19" s="1">
        <f t="shared" si="28"/>
        <v>43.313690020000003</v>
      </c>
      <c r="CT19" s="1">
        <f t="shared" si="28"/>
        <v>38.158354570000007</v>
      </c>
      <c r="CU19" s="1">
        <f t="shared" si="28"/>
        <v>36.879687310000008</v>
      </c>
      <c r="CV19" s="1">
        <f t="shared" si="28"/>
        <v>30.584450140000001</v>
      </c>
      <c r="CW19" s="1">
        <f t="shared" si="28"/>
        <v>34.87822036</v>
      </c>
      <c r="CX19" s="1">
        <f t="shared" si="28"/>
        <v>30.986019150000001</v>
      </c>
      <c r="CY19" s="1">
        <f t="shared" si="28"/>
        <v>34.45773063</v>
      </c>
      <c r="CZ19" s="1">
        <f t="shared" si="28"/>
        <v>33.675059580000003</v>
      </c>
      <c r="DA19" s="1">
        <f t="shared" si="29"/>
        <v>28.924508010000004</v>
      </c>
      <c r="DB19" s="1">
        <f t="shared" si="29"/>
        <v>27.954086790000002</v>
      </c>
      <c r="DC19" s="1">
        <f t="shared" si="29"/>
        <v>24.143815810000007</v>
      </c>
      <c r="DD19" s="1">
        <f t="shared" si="29"/>
        <v>26.000694290000002</v>
      </c>
      <c r="DE19" s="1">
        <f t="shared" si="29"/>
        <v>22.013274209999999</v>
      </c>
      <c r="DF19" s="1">
        <f t="shared" si="29"/>
        <v>23.44114875</v>
      </c>
      <c r="DG19" s="1">
        <f t="shared" si="29"/>
        <v>29.35689408</v>
      </c>
      <c r="DH19" s="1">
        <f t="shared" si="29"/>
        <v>26.11967611</v>
      </c>
      <c r="DJ19" s="1">
        <f t="shared" si="30"/>
        <v>1.2444918700000001</v>
      </c>
      <c r="DK19" s="1">
        <f t="shared" si="30"/>
        <v>0.75058031000000003</v>
      </c>
      <c r="DL19" s="1">
        <f t="shared" si="30"/>
        <v>0.8744752400000001</v>
      </c>
      <c r="DM19" s="1">
        <f t="shared" si="30"/>
        <v>0.62052411000000007</v>
      </c>
      <c r="DN19" s="1">
        <f t="shared" si="30"/>
        <v>1.19924761</v>
      </c>
      <c r="DO19" s="1">
        <f t="shared" si="30"/>
        <v>0.86551083000000006</v>
      </c>
      <c r="DP19" s="1">
        <f t="shared" si="30"/>
        <v>0.79831189000000002</v>
      </c>
      <c r="DQ19" s="1">
        <f t="shared" si="30"/>
        <v>1.1318278900000001</v>
      </c>
      <c r="DR19" s="1">
        <f t="shared" si="30"/>
        <v>1.8442369199999997</v>
      </c>
      <c r="DS19" s="1">
        <f t="shared" si="30"/>
        <v>1.0529063700000001</v>
      </c>
      <c r="DT19" s="1">
        <f t="shared" si="30"/>
        <v>2.0286618900000004</v>
      </c>
      <c r="DU19" s="1">
        <f t="shared" si="30"/>
        <v>0.79104531999999994</v>
      </c>
      <c r="DV19" s="1">
        <f t="shared" si="30"/>
        <v>1.6294275100000002</v>
      </c>
      <c r="DW19" s="1">
        <f t="shared" si="30"/>
        <v>1.8725515799999999</v>
      </c>
      <c r="DX19" s="1">
        <f t="shared" si="30"/>
        <v>1.9938344900000002</v>
      </c>
      <c r="DY19" s="1">
        <f t="shared" si="30"/>
        <v>1.4070700599999999</v>
      </c>
      <c r="DZ19" s="1">
        <f t="shared" si="31"/>
        <v>0.5838748800000001</v>
      </c>
      <c r="EA19" s="1">
        <f t="shared" si="31"/>
        <v>1.6300787399999999</v>
      </c>
      <c r="EB19" s="1">
        <f t="shared" si="31"/>
        <v>1.5496506000000003</v>
      </c>
      <c r="EC19" s="1">
        <f t="shared" si="31"/>
        <v>2.1384397699999997</v>
      </c>
      <c r="ED19" s="1">
        <f t="shared" si="31"/>
        <v>2.7337765599999999</v>
      </c>
      <c r="EE19" s="1">
        <f t="shared" si="31"/>
        <v>1.0171737099999998</v>
      </c>
      <c r="EF19" s="1">
        <f t="shared" si="31"/>
        <v>1.9864389700000002</v>
      </c>
      <c r="EG19" s="1">
        <f t="shared" si="31"/>
        <v>2.8868213899999997</v>
      </c>
      <c r="EI19" s="14">
        <f t="shared" si="32"/>
        <v>35.950000000000003</v>
      </c>
      <c r="EJ19" s="14">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2"/>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F19" s="1">
        <f t="shared" si="33"/>
        <v>35.950000000000003</v>
      </c>
      <c r="FH19" s="162">
        <f t="shared" si="34"/>
        <v>-0.53081446081062478</v>
      </c>
    </row>
    <row r="20" spans="1:164" ht="28.8">
      <c r="A20" s="264" t="s">
        <v>218</v>
      </c>
      <c r="B20" s="246"/>
      <c r="C20" s="156">
        <f t="shared" si="5"/>
        <v>0</v>
      </c>
      <c r="D20" s="198">
        <v>-1</v>
      </c>
      <c r="E20" s="248">
        <f t="shared" si="6"/>
        <v>0.20664988839053766</v>
      </c>
      <c r="F20" s="249">
        <f t="shared" si="7"/>
        <v>0.18763305083722481</v>
      </c>
      <c r="G20" s="248">
        <f t="shared" si="8"/>
        <v>8.0161579644754566E-2</v>
      </c>
      <c r="H20" s="249">
        <f t="shared" si="9"/>
        <v>0.1264883087457831</v>
      </c>
      <c r="I20" s="248">
        <f t="shared" si="10"/>
        <v>0.27990936109776188</v>
      </c>
      <c r="J20" s="249">
        <f t="shared" si="11"/>
        <v>-8.5756087488737531E-2</v>
      </c>
      <c r="K20" s="248">
        <f t="shared" si="12"/>
        <v>0.35252717576764669</v>
      </c>
      <c r="L20" s="249">
        <f t="shared" si="13"/>
        <v>-7.2617814669884817E-2</v>
      </c>
      <c r="M20" s="250"/>
      <c r="N20" s="24">
        <v>-1</v>
      </c>
      <c r="O20" s="248">
        <f t="shared" si="35"/>
        <v>0</v>
      </c>
      <c r="P20" s="251">
        <f t="shared" si="36"/>
        <v>0</v>
      </c>
      <c r="Q20" s="248">
        <f t="shared" si="14"/>
        <v>6.6405835383393841E-2</v>
      </c>
      <c r="R20" s="251">
        <f t="shared" si="37"/>
        <v>6.6405835383393841E-2</v>
      </c>
      <c r="S20" s="250"/>
      <c r="T20" s="24">
        <v>2</v>
      </c>
      <c r="U20" s="248">
        <f t="shared" si="15"/>
        <v>9.9058275473186574E-2</v>
      </c>
      <c r="V20" s="252">
        <f t="shared" si="16"/>
        <v>9.9058275473186574E-2</v>
      </c>
      <c r="W20" s="248">
        <f t="shared" si="38"/>
        <v>0.13260501751439047</v>
      </c>
      <c r="X20" s="252">
        <f t="shared" si="17"/>
        <v>0.13260501751439047</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3</v>
      </c>
      <c r="AQ20" s="28">
        <f>VLOOKUP($A20,historia!$A$5:$CM$24,+HLOOKUP(AQ$2,historia!$A$3:$EC$4,2,FALSE),FALSE)</f>
        <v>3</v>
      </c>
      <c r="AR20" s="28">
        <f>VLOOKUP($A20,historia!$A$5:$CM$24,+HLOOKUP(AR$2,historia!$A$3:$EC$4,2,FALSE),FALSE)</f>
        <v>3</v>
      </c>
      <c r="AS20" s="28">
        <f>VLOOKUP($A20,historia!$A$5:$CM$24,+HLOOKUP(AS$2,historia!$A$3:$EC$4,2,FALSE),FALSE)</f>
        <v>3</v>
      </c>
      <c r="AT20" s="58">
        <f>VLOOKUP($A20,historia!$A$5:$CM$24,+HLOOKUP(AT$2,historia!$A$3:$EC$4,2,FALSE),FALSE)</f>
        <v>3</v>
      </c>
      <c r="AU20" s="58">
        <f>VLOOKUP($A20,historia!$A$5:$CM$24,+HLOOKUP(AU$2,historia!$A$3:$EC$4,2,FALSE),FALSE)</f>
        <v>3</v>
      </c>
      <c r="AV20" s="58">
        <f>VLOOKUP($A20,historia!$A$5:$CM$24,+HLOOKUP(AV$2,historia!$A$3:$EC$4,2,FALSE),FALSE)</f>
        <v>4</v>
      </c>
      <c r="AW20" s="58">
        <f>VLOOKUP($A20,historia!$A$5:$CM$24,+HLOOKUP(AW$2,historia!$A$3:$EC$4,2,FALSE),FALSE)</f>
        <v>4</v>
      </c>
      <c r="AX20" s="58">
        <f>VLOOKUP($A20,historia!$A$5:$CM$24,+HLOOKUP(AX$2,historia!$A$3:$EC$4,2,FALSE),FALSE)</f>
        <v>4</v>
      </c>
      <c r="AY20" s="58">
        <f>VLOOKUP($A20,historia!$A$5:$CM$24,+HLOOKUP(AY$2,historia!$A$3:$EC$4,2,FALSE),FALSE)</f>
        <v>4</v>
      </c>
      <c r="AZ20" s="58">
        <f>VLOOKUP($A20,historia!$A$5:$CM$24,+HLOOKUP(AZ$2,historia!$A$3:$EC$4,2,FALSE),FALSE)</f>
        <v>3</v>
      </c>
      <c r="BA20" s="58">
        <f>VLOOKUP($A20,historia!$A$5:$CM$24,+HLOOKUP(BA$2,historia!$A$3:$EC$4,2,FALSE),FALSE)</f>
        <v>2</v>
      </c>
      <c r="BB20" s="58"/>
      <c r="BC20" s="58"/>
      <c r="BD20" s="286">
        <v>2</v>
      </c>
      <c r="BE20" t="str">
        <f t="shared" si="20"/>
        <v>Peras y Manzanas</v>
      </c>
      <c r="BF20">
        <f>+datos!AP1</f>
        <v>42</v>
      </c>
      <c r="BG20" s="2" t="str">
        <f t="shared" si="4"/>
        <v>$/caja 18kg</v>
      </c>
      <c r="BH20" s="2">
        <f t="shared" si="4"/>
        <v>21669.272727272728</v>
      </c>
      <c r="BI20" s="2">
        <f t="shared" si="4"/>
        <v>17958.21052631579</v>
      </c>
      <c r="BJ20" s="2">
        <f t="shared" si="4"/>
        <v>16930.31818181818</v>
      </c>
      <c r="BL20">
        <f>+datos!CS1</f>
        <v>97</v>
      </c>
      <c r="BM20" s="2">
        <f t="shared" si="21"/>
        <v>10912.472419936885</v>
      </c>
      <c r="BN20" s="2">
        <f t="shared" si="21"/>
        <v>10102.629667244597</v>
      </c>
      <c r="BO20" s="2">
        <f t="shared" si="21"/>
        <v>8068.2093605574692</v>
      </c>
      <c r="BQ20" s="1">
        <f>+datos!FC1</f>
        <v>159</v>
      </c>
      <c r="BR20" s="1">
        <f t="shared" si="22"/>
        <v>38084</v>
      </c>
      <c r="BS20" s="1">
        <f t="shared" si="22"/>
        <v>38084</v>
      </c>
      <c r="BU20" s="1">
        <f>+datos!GW1</f>
        <v>205</v>
      </c>
      <c r="BV20" s="1">
        <f t="shared" si="23"/>
        <v>793712</v>
      </c>
      <c r="BW20" s="1">
        <f t="shared" si="23"/>
        <v>744287</v>
      </c>
      <c r="BY20" s="1">
        <f>+datos!LS1</f>
        <v>331</v>
      </c>
      <c r="BZ20" s="1">
        <f t="shared" si="39"/>
        <v>420.11145763000019</v>
      </c>
      <c r="CA20" s="1">
        <f t="shared" si="40"/>
        <v>382.24675343000001</v>
      </c>
      <c r="CC20" s="1">
        <f>+datos!LW1</f>
        <v>335</v>
      </c>
      <c r="CD20" s="2">
        <f t="shared" si="24"/>
        <v>4.6161290600000005</v>
      </c>
      <c r="CE20" s="2">
        <f t="shared" si="25"/>
        <v>4.0756742100000007</v>
      </c>
      <c r="CG20" s="1">
        <f>+datos!JC1</f>
        <v>263</v>
      </c>
      <c r="CH20" s="1">
        <f t="shared" si="26"/>
        <v>0</v>
      </c>
      <c r="CI20" s="1">
        <f t="shared" si="27"/>
        <v>0</v>
      </c>
      <c r="CK20" s="1">
        <f t="shared" si="28"/>
        <v>31.314835450000004</v>
      </c>
      <c r="CL20" s="1">
        <f t="shared" si="28"/>
        <v>42.986147830000007</v>
      </c>
      <c r="CM20" s="1">
        <f t="shared" si="28"/>
        <v>54.859389430000007</v>
      </c>
      <c r="CN20" s="1">
        <f t="shared" si="28"/>
        <v>51.150985829999996</v>
      </c>
      <c r="CO20" s="1">
        <f t="shared" si="28"/>
        <v>59.173949850000007</v>
      </c>
      <c r="CP20" s="1">
        <f t="shared" si="28"/>
        <v>46.396857000000011</v>
      </c>
      <c r="CQ20" s="1">
        <f t="shared" si="28"/>
        <v>23.934850630000003</v>
      </c>
      <c r="CR20" s="1">
        <f t="shared" si="28"/>
        <v>23.934850630000003</v>
      </c>
      <c r="CS20" s="1">
        <f t="shared" si="28"/>
        <v>23.934850630000003</v>
      </c>
      <c r="CT20" s="1">
        <f t="shared" si="28"/>
        <v>25.188374430000003</v>
      </c>
      <c r="CU20" s="1">
        <f t="shared" si="28"/>
        <v>22.303018159999997</v>
      </c>
      <c r="CV20" s="1">
        <f t="shared" si="28"/>
        <v>14.93334776</v>
      </c>
      <c r="CW20" s="1">
        <f t="shared" si="28"/>
        <v>35.336569390000001</v>
      </c>
      <c r="CX20" s="1">
        <f t="shared" si="28"/>
        <v>46.662709379999995</v>
      </c>
      <c r="CY20" s="1">
        <f t="shared" si="28"/>
        <v>45.302769560000002</v>
      </c>
      <c r="CZ20" s="1">
        <f t="shared" si="28"/>
        <v>46.856289650000001</v>
      </c>
      <c r="DA20" s="1">
        <f t="shared" si="29"/>
        <v>60.076282149999997</v>
      </c>
      <c r="DB20" s="1">
        <f t="shared" si="29"/>
        <v>42.744570039999999</v>
      </c>
      <c r="DC20" s="1">
        <f t="shared" si="29"/>
        <v>11.509203560000001</v>
      </c>
      <c r="DD20" s="1">
        <f t="shared" si="29"/>
        <v>11.753879789999999</v>
      </c>
      <c r="DE20" s="1">
        <f t="shared" si="29"/>
        <v>15.619426270000002</v>
      </c>
      <c r="DF20" s="1">
        <f t="shared" si="29"/>
        <v>16.880359240000001</v>
      </c>
      <c r="DG20" s="1">
        <f t="shared" si="29"/>
        <v>24.204094699999999</v>
      </c>
      <c r="DH20" s="1">
        <f t="shared" si="29"/>
        <v>25.300599699999999</v>
      </c>
      <c r="DJ20" s="1">
        <f t="shared" si="30"/>
        <v>1.1922353400000001</v>
      </c>
      <c r="DK20" s="1">
        <f t="shared" si="30"/>
        <v>1.0915780799999999</v>
      </c>
      <c r="DL20" s="1">
        <f t="shared" si="30"/>
        <v>0.5667896</v>
      </c>
      <c r="DM20" s="1">
        <f t="shared" si="30"/>
        <v>0.43323378000000001</v>
      </c>
      <c r="DN20" s="1">
        <f t="shared" si="30"/>
        <v>0.20107160000000002</v>
      </c>
      <c r="DO20" s="1">
        <f t="shared" si="30"/>
        <v>4.7323499999999998E-2</v>
      </c>
      <c r="DP20" s="1">
        <f t="shared" si="30"/>
        <v>0.18245199000000001</v>
      </c>
      <c r="DQ20" s="1">
        <f t="shared" si="30"/>
        <v>6.8745290000000001E-2</v>
      </c>
      <c r="DR20" s="1">
        <f t="shared" si="30"/>
        <v>0.21798748000000001</v>
      </c>
      <c r="DS20" s="1">
        <f t="shared" si="30"/>
        <v>7.9820000000000002E-2</v>
      </c>
      <c r="DT20" s="1">
        <f t="shared" si="30"/>
        <v>0.14837025000000001</v>
      </c>
      <c r="DU20" s="1">
        <f t="shared" si="30"/>
        <v>0.3865221499999999</v>
      </c>
      <c r="DV20" s="1">
        <f t="shared" si="30"/>
        <v>0.51794252000000007</v>
      </c>
      <c r="DW20" s="1">
        <f t="shared" si="30"/>
        <v>0.37362660000000003</v>
      </c>
      <c r="DX20" s="1">
        <f t="shared" si="30"/>
        <v>0.32288670000000003</v>
      </c>
      <c r="DY20" s="1">
        <f t="shared" si="30"/>
        <v>0.29487440000000004</v>
      </c>
      <c r="DZ20" s="1">
        <f t="shared" si="31"/>
        <v>7.78142E-2</v>
      </c>
      <c r="EA20" s="1">
        <f t="shared" si="31"/>
        <v>0.12479459999999999</v>
      </c>
      <c r="EB20" s="1">
        <f t="shared" si="31"/>
        <v>8.4911199999999992E-2</v>
      </c>
      <c r="EC20" s="1">
        <f t="shared" si="31"/>
        <v>0.22142464000000001</v>
      </c>
      <c r="ED20" s="1">
        <f t="shared" si="31"/>
        <v>1.01853964</v>
      </c>
      <c r="EE20" s="1">
        <f t="shared" si="31"/>
        <v>0.30728509999999998</v>
      </c>
      <c r="EF20" s="1">
        <f t="shared" si="31"/>
        <v>0.37410640000000001</v>
      </c>
      <c r="EG20" s="1">
        <f t="shared" si="31"/>
        <v>0.35746821000000001</v>
      </c>
      <c r="EI20" s="14">
        <f t="shared" si="32"/>
        <v>0</v>
      </c>
      <c r="EJ20" s="14">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2"/>
        <v>0</v>
      </c>
      <c r="EY20" s="1">
        <f t="shared" si="33"/>
        <v>0</v>
      </c>
      <c r="EZ20" s="1">
        <f t="shared" si="33"/>
        <v>0</v>
      </c>
      <c r="FA20" s="1">
        <f t="shared" si="33"/>
        <v>0</v>
      </c>
      <c r="FB20" s="1">
        <f t="shared" si="33"/>
        <v>0</v>
      </c>
      <c r="FC20" s="1">
        <f t="shared" si="33"/>
        <v>0</v>
      </c>
      <c r="FD20" s="1">
        <f t="shared" si="33"/>
        <v>0</v>
      </c>
      <c r="FE20" s="1">
        <f t="shared" si="33"/>
        <v>0</v>
      </c>
      <c r="FF20" s="1">
        <f t="shared" si="33"/>
        <v>0</v>
      </c>
      <c r="FH20" s="162">
        <f t="shared" si="34"/>
        <v>-7.2617814669884817E-2</v>
      </c>
    </row>
    <row r="21" spans="1:164" ht="18.75" customHeight="1">
      <c r="A21" s="244" t="s">
        <v>121</v>
      </c>
      <c r="B21" s="247"/>
      <c r="C21" s="228">
        <f t="shared" si="5"/>
        <v>0</v>
      </c>
      <c r="D21" s="229">
        <v>-2</v>
      </c>
      <c r="E21" s="253">
        <f t="shared" si="6"/>
        <v>5.6930890689006475E-3</v>
      </c>
      <c r="F21" s="254">
        <f t="shared" si="7"/>
        <v>-1.3323748484412201E-2</v>
      </c>
      <c r="G21" s="253">
        <f t="shared" si="8"/>
        <v>6.7054824528035351E-2</v>
      </c>
      <c r="H21" s="254">
        <f t="shared" si="9"/>
        <v>-6.1361735459134703E-2</v>
      </c>
      <c r="I21" s="253">
        <f t="shared" si="10"/>
        <v>0.62132245560709487</v>
      </c>
      <c r="J21" s="254">
        <f t="shared" si="11"/>
        <v>0.25565700702059546</v>
      </c>
      <c r="K21" s="253">
        <f t="shared" si="12"/>
        <v>0.38904270967429389</v>
      </c>
      <c r="L21" s="254">
        <f t="shared" si="13"/>
        <v>0.23227974593280099</v>
      </c>
      <c r="M21" s="255"/>
      <c r="N21" s="256">
        <v>1</v>
      </c>
      <c r="O21" s="253">
        <f t="shared" si="35"/>
        <v>-2.0839332713567749E-2</v>
      </c>
      <c r="P21" s="257">
        <f t="shared" si="36"/>
        <v>-2.0839332713567749E-2</v>
      </c>
      <c r="Q21" s="253">
        <f t="shared" si="14"/>
        <v>1.3849196784843087E-3</v>
      </c>
      <c r="R21" s="257">
        <f t="shared" si="37"/>
        <v>1.3849196784843087E-3</v>
      </c>
      <c r="S21" s="255"/>
      <c r="T21" s="256">
        <v>1</v>
      </c>
      <c r="U21" s="253">
        <f t="shared" si="15"/>
        <v>0.12413482686903299</v>
      </c>
      <c r="V21" s="258">
        <f t="shared" si="16"/>
        <v>0.12413482686903299</v>
      </c>
      <c r="W21" s="253">
        <f t="shared" si="38"/>
        <v>3.510426939057516</v>
      </c>
      <c r="X21" s="258">
        <f t="shared" si="17"/>
        <v>3.510426939057516</v>
      </c>
      <c r="Y21" s="253">
        <f t="shared" si="18"/>
        <v>8.5510688836104576E-2</v>
      </c>
      <c r="Z21" s="258">
        <f t="shared" si="19"/>
        <v>8.5510688836104576E-2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3</v>
      </c>
      <c r="AQ21" s="28">
        <f>VLOOKUP($A21,historia!$A$5:$CM$24,+HLOOKUP(AQ$2,historia!$A$3:$EC$4,2,FALSE),FALSE)</f>
        <v>3</v>
      </c>
      <c r="AR21" s="28">
        <f>VLOOKUP($A21,historia!$A$5:$CM$24,+HLOOKUP(AR$2,historia!$A$3:$EC$4,2,FALSE),FALSE)</f>
        <v>3</v>
      </c>
      <c r="AS21" s="28">
        <f>VLOOKUP($A21,historia!$A$5:$CM$24,+HLOOKUP(AS$2,historia!$A$3:$EC$4,2,FALSE),FALSE)</f>
        <v>3</v>
      </c>
      <c r="AT21" s="58">
        <f>VLOOKUP($A21,historia!$A$5:$CM$24,+HLOOKUP(AT$2,historia!$A$3:$EC$4,2,FALSE),FALSE)</f>
        <v>3</v>
      </c>
      <c r="AU21" s="58">
        <f>VLOOKUP($A21,historia!$A$5:$CM$24,+HLOOKUP(AU$2,historia!$A$3:$EC$4,2,FALSE),FALSE)</f>
        <v>2</v>
      </c>
      <c r="AV21" s="58">
        <f>VLOOKUP($A21,historia!$A$5:$CM$24,+HLOOKUP(AV$2,historia!$A$3:$EC$4,2,FALSE),FALSE)</f>
        <v>3</v>
      </c>
      <c r="AW21" s="58">
        <f>VLOOKUP($A21,historia!$A$5:$CM$24,+HLOOKUP(AW$2,historia!$A$3:$EC$4,2,FALSE),FALSE)</f>
        <v>3</v>
      </c>
      <c r="AX21" s="58">
        <f>VLOOKUP($A21,historia!$A$5:$CM$24,+HLOOKUP(AX$2,historia!$A$3:$EC$4,2,FALSE),FALSE)</f>
        <v>3</v>
      </c>
      <c r="AY21" s="58">
        <f>VLOOKUP($A21,historia!$A$5:$CM$24,+HLOOKUP(AY$2,historia!$A$3:$EC$4,2,FALSE),FALSE)</f>
        <v>2</v>
      </c>
      <c r="AZ21" s="58">
        <f>VLOOKUP($A21,historia!$A$5:$CM$24,+HLOOKUP(AZ$2,historia!$A$3:$EC$4,2,FALSE),FALSE)</f>
        <v>1</v>
      </c>
      <c r="BA21" s="58">
        <f>VLOOKUP($A21,historia!$A$5:$CM$24,+HLOOKUP(BA$2,historia!$A$3:$EC$4,2,FALSE),FALSE)</f>
        <v>1</v>
      </c>
      <c r="BB21" s="58"/>
      <c r="BC21" s="58"/>
      <c r="BD21" s="286">
        <v>1</v>
      </c>
      <c r="BE21" t="str">
        <f t="shared" si="20"/>
        <v>Porcinos</v>
      </c>
      <c r="BF21">
        <f>+datos!BR1</f>
        <v>70</v>
      </c>
      <c r="BG21" s="2" t="str">
        <f t="shared" si="4"/>
        <v>$/kg</v>
      </c>
      <c r="BH21" s="2">
        <f t="shared" si="4"/>
        <v>1637.5600000000002</v>
      </c>
      <c r="BI21" s="2">
        <f t="shared" si="4"/>
        <v>1628.29</v>
      </c>
      <c r="BJ21" s="2">
        <f t="shared" si="4"/>
        <v>1010.0150000000001</v>
      </c>
      <c r="BL21">
        <f>+datos!DD1</f>
        <v>108</v>
      </c>
      <c r="BM21" s="2">
        <f t="shared" si="21"/>
        <v>10978.161593386281</v>
      </c>
      <c r="BN21" s="2">
        <f t="shared" si="21"/>
        <v>10288.282608386113</v>
      </c>
      <c r="BO21" s="2">
        <f t="shared" si="21"/>
        <v>7903.4010379425026</v>
      </c>
      <c r="BQ21" s="1">
        <f>+datos!EJ1</f>
        <v>140</v>
      </c>
      <c r="BR21" s="1">
        <f t="shared" si="22"/>
        <v>5987778</v>
      </c>
      <c r="BS21" s="1">
        <f t="shared" si="22"/>
        <v>6115215</v>
      </c>
      <c r="BU21" s="1">
        <f>+datos!HE1</f>
        <v>213</v>
      </c>
      <c r="BV21" s="1">
        <f t="shared" si="23"/>
        <v>785247</v>
      </c>
      <c r="BW21" s="1">
        <f t="shared" si="23"/>
        <v>784161</v>
      </c>
      <c r="BY21" s="1">
        <f>+datos!KJ1</f>
        <v>296</v>
      </c>
      <c r="BZ21" s="1">
        <f t="shared" si="39"/>
        <v>26.169656739999997</v>
      </c>
      <c r="CA21" s="1">
        <f t="shared" si="40"/>
        <v>23.279820279999996</v>
      </c>
      <c r="CC21" s="1">
        <f>+datos!LO1</f>
        <v>327</v>
      </c>
      <c r="CD21" s="2">
        <f t="shared" si="24"/>
        <v>156.19600290000002</v>
      </c>
      <c r="CE21" s="2">
        <f t="shared" si="25"/>
        <v>34.629981819999998</v>
      </c>
      <c r="CG21" s="1">
        <f>+datos!IO1</f>
        <v>249</v>
      </c>
      <c r="CH21" s="1">
        <f t="shared" si="26"/>
        <v>18.28</v>
      </c>
      <c r="CI21" s="1">
        <f t="shared" si="27"/>
        <v>16.84</v>
      </c>
      <c r="CK21" s="1">
        <f t="shared" si="28"/>
        <v>2.1371287799999998</v>
      </c>
      <c r="CL21" s="1">
        <f t="shared" si="28"/>
        <v>2.3754365900000001</v>
      </c>
      <c r="CM21" s="1">
        <f t="shared" si="28"/>
        <v>2.2921349499999994</v>
      </c>
      <c r="CN21" s="1">
        <f t="shared" si="28"/>
        <v>1.76811707</v>
      </c>
      <c r="CO21" s="1">
        <f t="shared" si="28"/>
        <v>1.0764735399999998</v>
      </c>
      <c r="CP21" s="1">
        <f t="shared" si="28"/>
        <v>3.87511991</v>
      </c>
      <c r="CQ21" s="1">
        <f t="shared" si="28"/>
        <v>1.4111442899999997</v>
      </c>
      <c r="CR21" s="1">
        <f t="shared" si="28"/>
        <v>1.9463367499999997</v>
      </c>
      <c r="CS21" s="1">
        <f t="shared" si="28"/>
        <v>1.6096260199999999</v>
      </c>
      <c r="CT21" s="1">
        <f t="shared" si="28"/>
        <v>3.1723580499999997</v>
      </c>
      <c r="CU21" s="1">
        <f t="shared" si="28"/>
        <v>2.1279038099999998</v>
      </c>
      <c r="CV21" s="1">
        <f t="shared" si="28"/>
        <v>2.3778769799999995</v>
      </c>
      <c r="CW21" s="1">
        <f t="shared" si="28"/>
        <v>4.3175895799999999</v>
      </c>
      <c r="CX21" s="1">
        <f t="shared" si="28"/>
        <v>2.7596131099999996</v>
      </c>
      <c r="CY21" s="1">
        <f t="shared" si="28"/>
        <v>1.9296841299999996</v>
      </c>
      <c r="CZ21" s="1">
        <f t="shared" si="28"/>
        <v>2.2533318799999997</v>
      </c>
      <c r="DA21" s="1">
        <f t="shared" si="29"/>
        <v>1.55421593</v>
      </c>
      <c r="DB21" s="1">
        <f t="shared" si="29"/>
        <v>1.56892272</v>
      </c>
      <c r="DC21" s="1">
        <f t="shared" si="29"/>
        <v>1.2009935999999999</v>
      </c>
      <c r="DD21" s="1">
        <f t="shared" si="29"/>
        <v>1.5576121499999998</v>
      </c>
      <c r="DE21" s="1">
        <f t="shared" si="29"/>
        <v>1.3743196699999998</v>
      </c>
      <c r="DF21" s="1">
        <f t="shared" si="29"/>
        <v>1.4110336399999999</v>
      </c>
      <c r="DG21" s="1">
        <f t="shared" si="29"/>
        <v>1.8830951399999996</v>
      </c>
      <c r="DH21" s="1">
        <f t="shared" si="29"/>
        <v>1.4694087300000001</v>
      </c>
      <c r="DJ21" s="1">
        <f t="shared" si="30"/>
        <v>11.837628230000002</v>
      </c>
      <c r="DK21" s="1">
        <f t="shared" si="30"/>
        <v>13.531613630000001</v>
      </c>
      <c r="DL21" s="1">
        <f t="shared" si="30"/>
        <v>19.3334501</v>
      </c>
      <c r="DM21" s="1">
        <f t="shared" si="30"/>
        <v>18.318769970000002</v>
      </c>
      <c r="DN21" s="1">
        <f t="shared" si="30"/>
        <v>14.031594299999998</v>
      </c>
      <c r="DO21" s="1">
        <f t="shared" si="30"/>
        <v>14.447589379999997</v>
      </c>
      <c r="DP21" s="1">
        <f t="shared" si="30"/>
        <v>14.265215759999998</v>
      </c>
      <c r="DQ21" s="1">
        <f t="shared" si="30"/>
        <v>16.354180840000001</v>
      </c>
      <c r="DR21" s="1">
        <f t="shared" si="30"/>
        <v>10.919699229999997</v>
      </c>
      <c r="DS21" s="1">
        <f t="shared" si="30"/>
        <v>10.87912704</v>
      </c>
      <c r="DT21" s="1">
        <f t="shared" si="30"/>
        <v>7.3519509899999989</v>
      </c>
      <c r="DU21" s="1">
        <f t="shared" si="30"/>
        <v>4.9251834299999988</v>
      </c>
      <c r="DV21" s="1">
        <f t="shared" si="30"/>
        <v>2.5935797799999998</v>
      </c>
      <c r="DW21" s="1">
        <f t="shared" si="30"/>
        <v>1.7163214500000001</v>
      </c>
      <c r="DX21" s="1">
        <f t="shared" si="30"/>
        <v>2.7920763000000002</v>
      </c>
      <c r="DY21" s="1">
        <f t="shared" ref="DY21:EG24" si="41">+VLOOKUP(DY$1,ran_dat,$CC21,FALSE)</f>
        <v>3.5088459899999997</v>
      </c>
      <c r="DZ21" s="1">
        <f t="shared" si="41"/>
        <v>2.2524288500000003</v>
      </c>
      <c r="EA21" s="1">
        <f t="shared" si="41"/>
        <v>5.2341166499999998</v>
      </c>
      <c r="EB21" s="1">
        <f t="shared" si="41"/>
        <v>3.1162246899999997</v>
      </c>
      <c r="EC21" s="1">
        <f t="shared" si="41"/>
        <v>3.3747357299999998</v>
      </c>
      <c r="ED21" s="1">
        <f t="shared" si="41"/>
        <v>1.8536983500000002</v>
      </c>
      <c r="EE21" s="1">
        <f t="shared" si="41"/>
        <v>2.01592043</v>
      </c>
      <c r="EF21" s="1">
        <f t="shared" si="41"/>
        <v>3.3244473500000002</v>
      </c>
      <c r="EG21" s="1">
        <f t="shared" si="41"/>
        <v>2.84758625</v>
      </c>
      <c r="EI21" s="14">
        <f t="shared" si="32"/>
        <v>18.28</v>
      </c>
      <c r="EJ21" s="14">
        <f t="shared" si="32"/>
        <v>18.239999999999998</v>
      </c>
      <c r="EK21" s="1">
        <f t="shared" si="32"/>
        <v>18.079999999999998</v>
      </c>
      <c r="EL21" s="1">
        <f t="shared" si="32"/>
        <v>17.989999999999998</v>
      </c>
      <c r="EM21" s="1">
        <f t="shared" si="32"/>
        <v>17.850000000000001</v>
      </c>
      <c r="EN21" s="1">
        <f t="shared" si="32"/>
        <v>17.73</v>
      </c>
      <c r="EO21" s="1">
        <f t="shared" si="32"/>
        <v>17.510000000000002</v>
      </c>
      <c r="EP21" s="1">
        <f t="shared" si="32"/>
        <v>17.13</v>
      </c>
      <c r="EQ21" s="1">
        <f t="shared" si="32"/>
        <v>16.89</v>
      </c>
      <c r="ER21" s="1">
        <f t="shared" si="32"/>
        <v>16.87</v>
      </c>
      <c r="ES21" s="1">
        <f t="shared" si="32"/>
        <v>16.8</v>
      </c>
      <c r="ET21" s="1">
        <f t="shared" si="32"/>
        <v>16.760000000000002</v>
      </c>
      <c r="EU21" s="1">
        <f t="shared" si="32"/>
        <v>16.84</v>
      </c>
      <c r="EV21" s="1">
        <f t="shared" si="32"/>
        <v>16.64</v>
      </c>
      <c r="EW21" s="1">
        <f t="shared" si="32"/>
        <v>16.68</v>
      </c>
      <c r="EX21" s="1">
        <f t="shared" ref="EX21:FF24" si="42">+VLOOKUP(EX$1,ran_dat,$CG21,FALSE)</f>
        <v>16.62</v>
      </c>
      <c r="EY21" s="1">
        <f t="shared" si="42"/>
        <v>16.5</v>
      </c>
      <c r="EZ21" s="1">
        <f t="shared" si="42"/>
        <v>16.64</v>
      </c>
      <c r="FA21" s="1">
        <f t="shared" si="42"/>
        <v>16.68</v>
      </c>
      <c r="FB21" s="1">
        <f t="shared" si="42"/>
        <v>16.72</v>
      </c>
      <c r="FC21" s="1">
        <f t="shared" si="42"/>
        <v>16.75</v>
      </c>
      <c r="FD21" s="1">
        <f t="shared" si="42"/>
        <v>16.760000000000002</v>
      </c>
      <c r="FE21" s="1">
        <f t="shared" si="42"/>
        <v>16.71</v>
      </c>
      <c r="FF21" s="1">
        <f t="shared" si="42"/>
        <v>16.68</v>
      </c>
      <c r="FH21" s="162">
        <f t="shared" si="34"/>
        <v>0.23227974593280099</v>
      </c>
    </row>
    <row r="22" spans="1:164" ht="18.75" customHeight="1">
      <c r="A22" s="243" t="s">
        <v>75</v>
      </c>
      <c r="B22" s="246"/>
      <c r="C22" s="156">
        <f t="shared" si="5"/>
        <v>0.66</v>
      </c>
      <c r="D22" s="198">
        <v>1</v>
      </c>
      <c r="E22" s="248">
        <f t="shared" si="6"/>
        <v>0</v>
      </c>
      <c r="F22" s="249">
        <f t="shared" si="7"/>
        <v>-1.9016837553312849E-2</v>
      </c>
      <c r="G22" s="248">
        <f t="shared" si="8"/>
        <v>6.1636379200572744E-2</v>
      </c>
      <c r="H22" s="249">
        <f t="shared" si="9"/>
        <v>-6.1636379200572744E-2</v>
      </c>
      <c r="I22" s="248">
        <f t="shared" si="10"/>
        <v>0.32134502923976616</v>
      </c>
      <c r="J22" s="249">
        <f t="shared" si="11"/>
        <v>-4.4320419346733253E-2</v>
      </c>
      <c r="K22" s="248">
        <f t="shared" si="12"/>
        <v>0.3700456157633647</v>
      </c>
      <c r="L22" s="249">
        <f t="shared" si="13"/>
        <v>-4.8700586523598544E-2</v>
      </c>
      <c r="M22" s="250"/>
      <c r="N22" s="24">
        <v>0</v>
      </c>
      <c r="O22" s="248">
        <f t="shared" si="35"/>
        <v>0</v>
      </c>
      <c r="P22" s="251">
        <f t="shared" si="36"/>
        <v>0</v>
      </c>
      <c r="Q22" s="248">
        <f t="shared" si="14"/>
        <v>0.17001165379676175</v>
      </c>
      <c r="R22" s="251">
        <f t="shared" si="37"/>
        <v>0.17001165379676175</v>
      </c>
      <c r="S22" s="250"/>
      <c r="T22" s="24">
        <v>1</v>
      </c>
      <c r="U22" s="248">
        <f t="shared" si="15"/>
        <v>9.9998259335895678E-2</v>
      </c>
      <c r="V22" s="252">
        <f t="shared" si="16"/>
        <v>9.9998259335895678E-2</v>
      </c>
      <c r="W22" s="248">
        <f t="shared" si="38"/>
        <v>7.7012757873827997E-2</v>
      </c>
      <c r="X22" s="252">
        <f t="shared" si="17"/>
        <v>7.7012757873827997E-2</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2</v>
      </c>
      <c r="AQ22" s="28">
        <f>VLOOKUP($A22,historia!$A$5:$CM$24,+HLOOKUP(AQ$2,historia!$A$3:$EC$4,2,FALSE),FALSE)</f>
        <v>2</v>
      </c>
      <c r="AR22" s="28">
        <f>VLOOKUP($A22,historia!$A$5:$CM$24,+HLOOKUP(AR$2,historia!$A$3:$EC$4,2,FALSE),FALSE)</f>
        <v>2</v>
      </c>
      <c r="AS22" s="28">
        <f>VLOOKUP($A22,historia!$A$5:$CM$24,+HLOOKUP(AS$2,historia!$A$3:$EC$4,2,FALSE),FALSE)</f>
        <v>2</v>
      </c>
      <c r="AT22" s="58">
        <f>VLOOKUP($A22,historia!$A$5:$CM$24,+HLOOKUP(AT$2,historia!$A$3:$EC$4,2,FALSE),FALSE)</f>
        <v>2</v>
      </c>
      <c r="AU22" s="58">
        <f>VLOOKUP($A22,historia!$A$5:$CM$24,+HLOOKUP(AU$2,historia!$A$3:$EC$4,2,FALSE),FALSE)</f>
        <v>2</v>
      </c>
      <c r="AV22" s="58">
        <f>VLOOKUP($A22,historia!$A$5:$CM$24,+HLOOKUP(AV$2,historia!$A$3:$EC$4,2,FALSE),FALSE)</f>
        <v>3</v>
      </c>
      <c r="AW22" s="58">
        <f>VLOOKUP($A22,historia!$A$5:$CM$24,+HLOOKUP(AW$2,historia!$A$3:$EC$4,2,FALSE),FALSE)</f>
        <v>3</v>
      </c>
      <c r="AX22" s="58">
        <f>VLOOKUP($A22,historia!$A$5:$CM$24,+HLOOKUP(AX$2,historia!$A$3:$EC$4,2,FALSE),FALSE)</f>
        <v>3</v>
      </c>
      <c r="AY22" s="58">
        <f>VLOOKUP($A22,historia!$A$5:$CM$24,+HLOOKUP(AY$2,historia!$A$3:$EC$4,2,FALSE),FALSE)</f>
        <v>3</v>
      </c>
      <c r="AZ22" s="58">
        <f>VLOOKUP($A22,historia!$A$5:$CM$24,+HLOOKUP(AZ$2,historia!$A$3:$EC$4,2,FALSE),FALSE)</f>
        <v>3</v>
      </c>
      <c r="BA22" s="58">
        <f>VLOOKUP($A22,historia!$A$5:$CM$24,+HLOOKUP(BA$2,historia!$A$3:$EC$4,2,FALSE),FALSE)</f>
        <v>3</v>
      </c>
      <c r="BB22" s="58"/>
      <c r="BC22" s="58"/>
      <c r="BD22" s="286">
        <v>3</v>
      </c>
      <c r="BE22" t="str">
        <f t="shared" si="20"/>
        <v>Tabaco</v>
      </c>
      <c r="BF22">
        <f>+datos!BJ1</f>
        <v>62</v>
      </c>
      <c r="BG22" s="2" t="str">
        <f t="shared" si="4"/>
        <v>$/kg</v>
      </c>
      <c r="BH22" s="2">
        <f t="shared" si="4"/>
        <v>4519</v>
      </c>
      <c r="BI22" s="2">
        <f t="shared" si="4"/>
        <v>4519</v>
      </c>
      <c r="BJ22" s="2">
        <f t="shared" si="4"/>
        <v>3420</v>
      </c>
      <c r="BL22">
        <f>+datos!DA1</f>
        <v>105</v>
      </c>
      <c r="BM22" s="2">
        <f t="shared" si="21"/>
        <v>11146.953028632286</v>
      </c>
      <c r="BN22" s="2">
        <f t="shared" si="21"/>
        <v>10499.784339555225</v>
      </c>
      <c r="BO22" s="2">
        <f t="shared" si="21"/>
        <v>8136.1911606289141</v>
      </c>
      <c r="BQ22" s="1">
        <f>+datos!FD1</f>
        <v>160</v>
      </c>
      <c r="BR22" s="1">
        <f t="shared" si="22"/>
        <v>60376</v>
      </c>
      <c r="BS22" s="1">
        <f t="shared" si="22"/>
        <v>60376</v>
      </c>
      <c r="BU22" s="1">
        <f>+datos!GX1</f>
        <v>206</v>
      </c>
      <c r="BV22" s="1">
        <f t="shared" si="23"/>
        <v>36041.686000000002</v>
      </c>
      <c r="BW22" s="1">
        <f t="shared" si="23"/>
        <v>30804.553</v>
      </c>
      <c r="BY22" s="1">
        <f>+datos!KC1</f>
        <v>289</v>
      </c>
      <c r="BZ22" s="1">
        <f t="shared" si="39"/>
        <v>560.94179946999998</v>
      </c>
      <c r="CA22" s="1">
        <f t="shared" si="40"/>
        <v>509.94789738000003</v>
      </c>
      <c r="CC22" s="1">
        <f>+datos!LH1</f>
        <v>320</v>
      </c>
      <c r="CD22" s="2">
        <f t="shared" si="24"/>
        <v>58.787142240000009</v>
      </c>
      <c r="CE22" s="2">
        <f t="shared" si="25"/>
        <v>54.583515200000001</v>
      </c>
      <c r="CG22" s="1">
        <f>+datos!JD1</f>
        <v>264</v>
      </c>
      <c r="CH22" s="1">
        <f t="shared" si="26"/>
        <v>0</v>
      </c>
      <c r="CI22" s="1">
        <f t="shared" si="27"/>
        <v>0</v>
      </c>
      <c r="CK22" s="1">
        <f t="shared" ref="CK22:CZ24" si="43">+VLOOKUP(CK$1,ran_dat,$BY22,FALSE)</f>
        <v>54.830270300000002</v>
      </c>
      <c r="CL22" s="1">
        <f t="shared" si="43"/>
        <v>93.57534471000001</v>
      </c>
      <c r="CM22" s="1">
        <f t="shared" si="43"/>
        <v>121.04017274</v>
      </c>
      <c r="CN22" s="1">
        <f t="shared" si="43"/>
        <v>27.891120319999999</v>
      </c>
      <c r="CO22" s="1">
        <f t="shared" si="43"/>
        <v>5.5120895000000001</v>
      </c>
      <c r="CP22" s="1">
        <f t="shared" si="43"/>
        <v>9.7228914799999995</v>
      </c>
      <c r="CQ22" s="1">
        <f t="shared" si="43"/>
        <v>6.2035308000000002</v>
      </c>
      <c r="CR22" s="1">
        <f t="shared" si="43"/>
        <v>65.18720725</v>
      </c>
      <c r="CS22" s="1">
        <f t="shared" si="43"/>
        <v>34.962073999999994</v>
      </c>
      <c r="CT22" s="1">
        <f t="shared" si="43"/>
        <v>41.640055749999995</v>
      </c>
      <c r="CU22" s="1">
        <f t="shared" si="43"/>
        <v>54.488227269999996</v>
      </c>
      <c r="CV22" s="1">
        <f t="shared" si="43"/>
        <v>45.888815350000002</v>
      </c>
      <c r="CW22" s="1">
        <f t="shared" si="43"/>
        <v>56.365947810000002</v>
      </c>
      <c r="CX22" s="1">
        <f t="shared" si="43"/>
        <v>58.671597329999997</v>
      </c>
      <c r="CY22" s="1">
        <f t="shared" si="43"/>
        <v>31.625168280000004</v>
      </c>
      <c r="CZ22" s="1">
        <f t="shared" si="43"/>
        <v>17.697801470000002</v>
      </c>
      <c r="DA22" s="1">
        <f t="shared" ref="DA22:DH24" si="44">+VLOOKUP(DA$1,ran_dat,$BY22,FALSE)</f>
        <v>30.191481329999998</v>
      </c>
      <c r="DB22" s="1">
        <f t="shared" si="44"/>
        <v>36.249269399999989</v>
      </c>
      <c r="DC22" s="1">
        <f t="shared" si="44"/>
        <v>40.108989959999995</v>
      </c>
      <c r="DD22" s="1">
        <f t="shared" si="44"/>
        <v>56.890802439999995</v>
      </c>
      <c r="DE22" s="1">
        <f t="shared" si="44"/>
        <v>36.8257318</v>
      </c>
      <c r="DF22" s="1">
        <f t="shared" si="44"/>
        <v>51.381121719999996</v>
      </c>
      <c r="DG22" s="1">
        <f t="shared" si="44"/>
        <v>33.051481680000002</v>
      </c>
      <c r="DH22" s="1">
        <f t="shared" si="44"/>
        <v>60.888504160000004</v>
      </c>
      <c r="DJ22" s="1">
        <f t="shared" ref="DJ22:DY24" si="45">+VLOOKUP(DJ$1,ran_dat,$CC22,FALSE)</f>
        <v>2.5223350999999994</v>
      </c>
      <c r="DK22" s="1">
        <f t="shared" si="45"/>
        <v>3.5013919399999995</v>
      </c>
      <c r="DL22" s="1">
        <f t="shared" si="45"/>
        <v>4.00557768</v>
      </c>
      <c r="DM22" s="1">
        <f t="shared" si="45"/>
        <v>5.1774083700000002</v>
      </c>
      <c r="DN22" s="1">
        <f t="shared" si="45"/>
        <v>5.7823087099999997</v>
      </c>
      <c r="DO22" s="1">
        <f t="shared" si="45"/>
        <v>5.6310443999999995</v>
      </c>
      <c r="DP22" s="1">
        <f t="shared" si="45"/>
        <v>4.1108512499999996</v>
      </c>
      <c r="DQ22" s="1">
        <f t="shared" si="45"/>
        <v>6.9241559000000006</v>
      </c>
      <c r="DR22" s="1">
        <f t="shared" si="45"/>
        <v>4.9762964800000002</v>
      </c>
      <c r="DS22" s="1">
        <f t="shared" si="45"/>
        <v>5.7062324599999998</v>
      </c>
      <c r="DT22" s="1">
        <f t="shared" si="45"/>
        <v>5.3893107900000006</v>
      </c>
      <c r="DU22" s="1">
        <f t="shared" si="45"/>
        <v>5.0602291599999996</v>
      </c>
      <c r="DV22" s="1">
        <f t="shared" si="45"/>
        <v>1.1636776099999999</v>
      </c>
      <c r="DW22" s="1">
        <f t="shared" si="45"/>
        <v>4.3331795800000004</v>
      </c>
      <c r="DX22" s="1">
        <f t="shared" si="45"/>
        <v>5.5991701699999998</v>
      </c>
      <c r="DY22" s="1">
        <f t="shared" si="45"/>
        <v>5.1284923700000009</v>
      </c>
      <c r="DZ22" s="1">
        <f t="shared" si="41"/>
        <v>4.8853449399999995</v>
      </c>
      <c r="EA22" s="1">
        <f t="shared" si="41"/>
        <v>4.5019780499999991</v>
      </c>
      <c r="EB22" s="1">
        <f t="shared" si="41"/>
        <v>3.2870284000000001</v>
      </c>
      <c r="EC22" s="1">
        <f t="shared" si="41"/>
        <v>2.2553329799999999</v>
      </c>
      <c r="ED22" s="1">
        <f t="shared" si="41"/>
        <v>4.9563280900000004</v>
      </c>
      <c r="EE22" s="1">
        <f t="shared" si="41"/>
        <v>5.4312745199999997</v>
      </c>
      <c r="EF22" s="1">
        <f t="shared" si="41"/>
        <v>5.9427570699999999</v>
      </c>
      <c r="EG22" s="1">
        <f t="shared" si="41"/>
        <v>7.0989514199999997</v>
      </c>
      <c r="EI22" s="14">
        <f t="shared" ref="EI22:EX24" si="46">+VLOOKUP(EI$1,ran_dat,$CG22,FALSE)</f>
        <v>0</v>
      </c>
      <c r="EJ22" s="14">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6"/>
        <v>0</v>
      </c>
      <c r="EY22" s="1">
        <f t="shared" si="42"/>
        <v>0</v>
      </c>
      <c r="EZ22" s="1">
        <f t="shared" si="42"/>
        <v>0</v>
      </c>
      <c r="FA22" s="1">
        <f t="shared" si="42"/>
        <v>0</v>
      </c>
      <c r="FB22" s="1">
        <f t="shared" si="42"/>
        <v>0</v>
      </c>
      <c r="FC22" s="1">
        <f t="shared" si="42"/>
        <v>0</v>
      </c>
      <c r="FD22" s="1">
        <f t="shared" si="42"/>
        <v>0</v>
      </c>
      <c r="FE22" s="1">
        <f t="shared" si="42"/>
        <v>0</v>
      </c>
      <c r="FF22" s="1">
        <f t="shared" si="42"/>
        <v>0</v>
      </c>
      <c r="FH22" s="162">
        <f t="shared" si="34"/>
        <v>-4.8700586523598544E-2</v>
      </c>
    </row>
    <row r="23" spans="1:164" ht="18.75" customHeight="1">
      <c r="A23" s="244" t="s">
        <v>219</v>
      </c>
      <c r="B23" s="247"/>
      <c r="C23" s="228">
        <f t="shared" si="5"/>
        <v>-0.99</v>
      </c>
      <c r="D23" s="229">
        <v>-1</v>
      </c>
      <c r="E23" s="253">
        <f t="shared" si="6"/>
        <v>-8.4896664467462024E-2</v>
      </c>
      <c r="F23" s="254">
        <f t="shared" si="7"/>
        <v>-0.10391350202077487</v>
      </c>
      <c r="G23" s="253">
        <f t="shared" si="8"/>
        <v>3.9770132564709515E-2</v>
      </c>
      <c r="H23" s="254">
        <f t="shared" si="9"/>
        <v>-0.12466679703217154</v>
      </c>
      <c r="I23" s="253">
        <f t="shared" si="10"/>
        <v>-0.22553719831159569</v>
      </c>
      <c r="J23" s="254">
        <f t="shared" si="11"/>
        <v>-0.5912026468980951</v>
      </c>
      <c r="K23" s="253">
        <f t="shared" si="12"/>
        <v>0.22157537899867763</v>
      </c>
      <c r="L23" s="254">
        <f t="shared" si="13"/>
        <v>-0.44711257731027332</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9.1384382436840994E-2</v>
      </c>
      <c r="V23" s="258">
        <f t="shared" si="16"/>
        <v>9.1384382436840994E-2</v>
      </c>
      <c r="W23" s="253">
        <f t="shared" si="38"/>
        <v>1.5274117131239686</v>
      </c>
      <c r="X23" s="258">
        <f t="shared" si="17"/>
        <v>1.5274117131239686</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4</v>
      </c>
      <c r="AQ23" s="28">
        <f>VLOOKUP($A23,historia!$A$5:$CM$24,+HLOOKUP(AQ$2,historia!$A$3:$EC$4,2,FALSE),FALSE)</f>
        <v>4</v>
      </c>
      <c r="AR23" s="28">
        <f>VLOOKUP($A23,historia!$A$5:$CM$24,+HLOOKUP(AR$2,historia!$A$3:$EC$4,2,FALSE),FALSE)</f>
        <v>4</v>
      </c>
      <c r="AS23" s="28">
        <f>VLOOKUP($A23,historia!$A$5:$CM$24,+HLOOKUP(AS$2,historia!$A$3:$EC$4,2,FALSE),FALSE)</f>
        <v>4</v>
      </c>
      <c r="AT23" s="58">
        <f>VLOOKUP($A23,historia!$A$5:$CM$24,+HLOOKUP(AT$2,historia!$A$3:$EC$4,2,FALSE),FALSE)</f>
        <v>4</v>
      </c>
      <c r="AU23" s="58">
        <f>VLOOKUP($A23,historia!$A$5:$CM$24,+HLOOKUP(AU$2,historia!$A$3:$EC$4,2,FALSE),FALSE)</f>
        <v>4</v>
      </c>
      <c r="AV23" s="58">
        <f>VLOOKUP($A23,historia!$A$5:$CM$24,+HLOOKUP(AV$2,historia!$A$3:$EC$4,2,FALSE),FALSE)</f>
        <v>4</v>
      </c>
      <c r="AW23" s="58">
        <f>VLOOKUP($A23,historia!$A$5:$CM$24,+HLOOKUP(AW$2,historia!$A$3:$EC$4,2,FALSE),FALSE)</f>
        <v>4</v>
      </c>
      <c r="AX23" s="58">
        <f>VLOOKUP($A23,historia!$A$5:$CM$24,+HLOOKUP(AX$2,historia!$A$3:$EC$4,2,FALSE),FALSE)</f>
        <v>4</v>
      </c>
      <c r="AY23" s="58">
        <f>VLOOKUP($A23,historia!$A$5:$CM$24,+HLOOKUP(AY$2,historia!$A$3:$EC$4,2,FALSE),FALSE)</f>
        <v>4</v>
      </c>
      <c r="AZ23" s="58">
        <f>VLOOKUP($A23,historia!$A$5:$CM$24,+HLOOKUP(AZ$2,historia!$A$3:$EC$4,2,FALSE),FALSE)</f>
        <v>4</v>
      </c>
      <c r="BA23" s="58">
        <f>VLOOKUP($A23,historia!$A$5:$CM$24,+HLOOKUP(BA$2,historia!$A$3:$EC$4,2,FALSE),FALSE)</f>
        <v>4</v>
      </c>
      <c r="BB23" s="58"/>
      <c r="BC23" s="58"/>
      <c r="BD23" s="286">
        <v>4</v>
      </c>
      <c r="BE23" t="str">
        <f t="shared" si="20"/>
        <v>Vino y Mosto</v>
      </c>
      <c r="BF23">
        <f>+datos!AM1</f>
        <v>39</v>
      </c>
      <c r="BG23" s="2" t="str">
        <f t="shared" si="4"/>
        <v>$/l</v>
      </c>
      <c r="BH23" s="2">
        <f t="shared" si="4"/>
        <v>281.56540000000001</v>
      </c>
      <c r="BI23" s="2">
        <f t="shared" si="4"/>
        <v>307.68700000000001</v>
      </c>
      <c r="BJ23" s="2">
        <f t="shared" si="4"/>
        <v>363.56220000000002</v>
      </c>
      <c r="BL23">
        <f>+datos!CP1</f>
        <v>94</v>
      </c>
      <c r="BM23" s="2">
        <f t="shared" si="21"/>
        <v>11657.452820400305</v>
      </c>
      <c r="BN23" s="2">
        <f t="shared" si="21"/>
        <v>11211.567302520887</v>
      </c>
      <c r="BO23" s="2">
        <f t="shared" si="21"/>
        <v>9542.9664192772871</v>
      </c>
      <c r="BQ23" s="1">
        <f>+datos!EF1</f>
        <v>136</v>
      </c>
      <c r="BR23" s="1">
        <f t="shared" si="22"/>
        <v>196220</v>
      </c>
      <c r="BS23" s="1">
        <f t="shared" si="22"/>
        <v>199946</v>
      </c>
      <c r="BU23" s="1">
        <f>+datos!GB1</f>
        <v>184</v>
      </c>
      <c r="BV23" s="1">
        <f t="shared" si="23"/>
        <v>19908335</v>
      </c>
      <c r="BW23" s="1">
        <f t="shared" si="23"/>
        <v>19189740</v>
      </c>
      <c r="BY23" s="1">
        <f>+datos!JU1</f>
        <v>281</v>
      </c>
      <c r="BZ23" s="1">
        <f t="shared" si="39"/>
        <v>994.5667116300001</v>
      </c>
      <c r="CA23" s="1">
        <f t="shared" si="40"/>
        <v>911.28911832999984</v>
      </c>
      <c r="CC23" s="1">
        <f>+datos!KZ1</f>
        <v>312</v>
      </c>
      <c r="CD23" s="2">
        <f t="shared" si="24"/>
        <v>34.911205449999997</v>
      </c>
      <c r="CE23" s="2">
        <f t="shared" si="25"/>
        <v>13.813026689999999</v>
      </c>
      <c r="CG23" s="1">
        <f>+datos!IQ1</f>
        <v>251</v>
      </c>
      <c r="CH23" s="1">
        <f t="shared" si="26"/>
        <v>16.079999999999998</v>
      </c>
      <c r="CI23" s="1">
        <f t="shared" si="27"/>
        <v>16.3</v>
      </c>
      <c r="CK23" s="1">
        <f t="shared" si="43"/>
        <v>101.39273792999998</v>
      </c>
      <c r="CL23" s="1">
        <f t="shared" si="43"/>
        <v>71.170798900000008</v>
      </c>
      <c r="CM23" s="1">
        <f t="shared" si="43"/>
        <v>88.994061629999976</v>
      </c>
      <c r="CN23" s="1">
        <f t="shared" si="43"/>
        <v>77.155977009999987</v>
      </c>
      <c r="CO23" s="1">
        <f t="shared" si="43"/>
        <v>74.722979570000021</v>
      </c>
      <c r="CP23" s="1">
        <f t="shared" si="43"/>
        <v>63.754065359999977</v>
      </c>
      <c r="CQ23" s="1">
        <f t="shared" si="43"/>
        <v>50.923025279999997</v>
      </c>
      <c r="CR23" s="1">
        <f t="shared" si="43"/>
        <v>85.381089520000018</v>
      </c>
      <c r="CS23" s="1">
        <f t="shared" si="43"/>
        <v>87.09478919</v>
      </c>
      <c r="CT23" s="1">
        <f t="shared" si="43"/>
        <v>88.790830600000021</v>
      </c>
      <c r="CU23" s="1">
        <f t="shared" si="43"/>
        <v>106.11166329999998</v>
      </c>
      <c r="CV23" s="1">
        <f t="shared" si="43"/>
        <v>99.074693340000039</v>
      </c>
      <c r="CW23" s="1">
        <f t="shared" si="43"/>
        <v>115.95052356999999</v>
      </c>
      <c r="CX23" s="1">
        <f t="shared" si="43"/>
        <v>55.887516779999999</v>
      </c>
      <c r="CY23" s="1">
        <f t="shared" si="43"/>
        <v>84.428757199999993</v>
      </c>
      <c r="CZ23" s="1">
        <f t="shared" si="43"/>
        <v>70.799436420000006</v>
      </c>
      <c r="DA23" s="1">
        <f t="shared" si="44"/>
        <v>83.547570889999989</v>
      </c>
      <c r="DB23" s="1">
        <f t="shared" si="44"/>
        <v>59.429446169999991</v>
      </c>
      <c r="DC23" s="1">
        <f t="shared" si="44"/>
        <v>57.397509530000008</v>
      </c>
      <c r="DD23" s="1">
        <f t="shared" si="44"/>
        <v>71.762443020000006</v>
      </c>
      <c r="DE23" s="1">
        <f t="shared" si="44"/>
        <v>76.246675170000003</v>
      </c>
      <c r="DF23" s="1">
        <f t="shared" si="44"/>
        <v>81.396405279999982</v>
      </c>
      <c r="DG23" s="1">
        <f t="shared" si="44"/>
        <v>86.673250950000011</v>
      </c>
      <c r="DH23" s="1">
        <f t="shared" si="44"/>
        <v>67.769583350000005</v>
      </c>
      <c r="DJ23" s="1">
        <f t="shared" si="45"/>
        <v>3.10878063</v>
      </c>
      <c r="DK23" s="1">
        <f t="shared" si="45"/>
        <v>5.0584831100000001</v>
      </c>
      <c r="DL23" s="1">
        <f t="shared" si="45"/>
        <v>4.0554375800000004</v>
      </c>
      <c r="DM23" s="1">
        <f t="shared" si="45"/>
        <v>3.476448889999999</v>
      </c>
      <c r="DN23" s="1">
        <f t="shared" si="45"/>
        <v>3.23844815</v>
      </c>
      <c r="DO23" s="1">
        <f t="shared" si="45"/>
        <v>1.94679845</v>
      </c>
      <c r="DP23" s="1">
        <f t="shared" si="45"/>
        <v>0.41117072999999998</v>
      </c>
      <c r="DQ23" s="1">
        <f t="shared" si="45"/>
        <v>1.6918772199999998</v>
      </c>
      <c r="DR23" s="1">
        <f t="shared" si="45"/>
        <v>4.1008112300000006</v>
      </c>
      <c r="DS23" s="1">
        <f t="shared" si="45"/>
        <v>2.9628047099999995</v>
      </c>
      <c r="DT23" s="1">
        <f t="shared" si="45"/>
        <v>2.4415022799999999</v>
      </c>
      <c r="DU23" s="1">
        <f t="shared" si="45"/>
        <v>2.4186424700000004</v>
      </c>
      <c r="DV23" s="1">
        <f t="shared" si="45"/>
        <v>2.3161338599999999</v>
      </c>
      <c r="DW23" s="1">
        <f t="shared" si="45"/>
        <v>0.34545517000000003</v>
      </c>
      <c r="DX23" s="1">
        <f t="shared" si="45"/>
        <v>1.3068112300000001</v>
      </c>
      <c r="DY23" s="1">
        <f t="shared" si="45"/>
        <v>1.01985657</v>
      </c>
      <c r="DZ23" s="1">
        <f t="shared" si="41"/>
        <v>0.49471243999999998</v>
      </c>
      <c r="EA23" s="1">
        <f t="shared" si="41"/>
        <v>0.76659119999999992</v>
      </c>
      <c r="EB23" s="1">
        <f t="shared" si="41"/>
        <v>0.41683354000000006</v>
      </c>
      <c r="EC23" s="1">
        <f t="shared" si="41"/>
        <v>1.01193058</v>
      </c>
      <c r="ED23" s="1">
        <f t="shared" si="41"/>
        <v>1.2280305999999999</v>
      </c>
      <c r="EE23" s="1">
        <f t="shared" si="41"/>
        <v>1.7214946800000002</v>
      </c>
      <c r="EF23" s="1">
        <f t="shared" si="41"/>
        <v>1.3147188099999998</v>
      </c>
      <c r="EG23" s="1">
        <f t="shared" si="41"/>
        <v>1.8704580099999999</v>
      </c>
      <c r="EI23" s="14">
        <f t="shared" si="46"/>
        <v>16.079999999999998</v>
      </c>
      <c r="EJ23" s="14">
        <f t="shared" si="46"/>
        <v>16.079999999999998</v>
      </c>
      <c r="EK23" s="1">
        <f t="shared" si="46"/>
        <v>16.079999999999998</v>
      </c>
      <c r="EL23" s="1">
        <f t="shared" si="46"/>
        <v>16.079999999999998</v>
      </c>
      <c r="EM23" s="1">
        <f t="shared" si="46"/>
        <v>16.079999999999998</v>
      </c>
      <c r="EN23" s="1">
        <f t="shared" si="46"/>
        <v>16.079999999999998</v>
      </c>
      <c r="EO23" s="1">
        <f t="shared" si="46"/>
        <v>16.079999999999998</v>
      </c>
      <c r="EP23" s="1">
        <f t="shared" si="46"/>
        <v>16.3</v>
      </c>
      <c r="EQ23" s="1">
        <f t="shared" si="46"/>
        <v>16.3</v>
      </c>
      <c r="ER23" s="1">
        <f t="shared" si="46"/>
        <v>16.3</v>
      </c>
      <c r="ES23" s="1">
        <f t="shared" si="46"/>
        <v>16.3</v>
      </c>
      <c r="ET23" s="1">
        <f t="shared" si="46"/>
        <v>16.3</v>
      </c>
      <c r="EU23" s="1">
        <f t="shared" si="46"/>
        <v>16.3</v>
      </c>
      <c r="EV23" s="1">
        <f t="shared" si="46"/>
        <v>16.3</v>
      </c>
      <c r="EW23" s="1">
        <f t="shared" si="46"/>
        <v>16.3</v>
      </c>
      <c r="EX23" s="1">
        <f t="shared" si="46"/>
        <v>16.3</v>
      </c>
      <c r="EY23" s="1">
        <f t="shared" si="42"/>
        <v>16.3</v>
      </c>
      <c r="EZ23" s="1">
        <f t="shared" si="42"/>
        <v>16.3</v>
      </c>
      <c r="FA23" s="1">
        <f t="shared" si="42"/>
        <v>16.3</v>
      </c>
      <c r="FB23" s="1">
        <f t="shared" si="42"/>
        <v>16.7</v>
      </c>
      <c r="FC23" s="1">
        <f t="shared" si="42"/>
        <v>16.7</v>
      </c>
      <c r="FD23" s="1">
        <f t="shared" si="42"/>
        <v>16.7</v>
      </c>
      <c r="FE23" s="1">
        <f t="shared" si="42"/>
        <v>16.7</v>
      </c>
      <c r="FF23" s="1">
        <f t="shared" si="42"/>
        <v>16.7</v>
      </c>
      <c r="FH23" s="162">
        <f t="shared" si="34"/>
        <v>-0.44711257731027332</v>
      </c>
    </row>
    <row r="24" spans="1:164" ht="18.75" customHeight="1">
      <c r="A24" s="243" t="s">
        <v>39</v>
      </c>
      <c r="B24" s="246"/>
      <c r="C24" s="156">
        <f t="shared" si="5"/>
        <v>-0.65999999999999992</v>
      </c>
      <c r="D24" s="198">
        <v>-3</v>
      </c>
      <c r="E24" s="248">
        <f t="shared" si="6"/>
        <v>0</v>
      </c>
      <c r="F24" s="249">
        <f t="shared" si="7"/>
        <v>-1.9016837553312849E-2</v>
      </c>
      <c r="G24" s="248">
        <f t="shared" si="8"/>
        <v>5.6042077012901759E-2</v>
      </c>
      <c r="H24" s="249">
        <f t="shared" si="9"/>
        <v>-5.6042077012901759E-2</v>
      </c>
      <c r="I24" s="248">
        <f t="shared" si="10"/>
        <v>7.1428571428571397E-2</v>
      </c>
      <c r="J24" s="249">
        <f t="shared" si="11"/>
        <v>-0.29423687715792801</v>
      </c>
      <c r="K24" s="248">
        <f t="shared" si="12"/>
        <v>0.37343854477778415</v>
      </c>
      <c r="L24" s="249">
        <f t="shared" si="13"/>
        <v>-0.30200997334921276</v>
      </c>
      <c r="M24" s="250"/>
      <c r="N24" s="24">
        <v>1</v>
      </c>
      <c r="O24" s="248">
        <f t="shared" si="35"/>
        <v>4.7599193940657258E-3</v>
      </c>
      <c r="P24" s="251">
        <f t="shared" si="36"/>
        <v>4.7599193940657258E-3</v>
      </c>
      <c r="Q24" s="248">
        <f t="shared" si="14"/>
        <v>-0.10501245205944498</v>
      </c>
      <c r="R24" s="251">
        <f t="shared" si="37"/>
        <v>-0.10501245205944498</v>
      </c>
      <c r="S24" s="250"/>
      <c r="T24" s="24">
        <v>0</v>
      </c>
      <c r="U24" s="248">
        <f t="shared" si="15"/>
        <v>5.2076614002514621E-2</v>
      </c>
      <c r="V24" s="252">
        <f t="shared" si="16"/>
        <v>5.2076614002514621E-2</v>
      </c>
      <c r="W24" s="248">
        <f t="shared" si="38"/>
        <v>-2.1333380751053843E-2</v>
      </c>
      <c r="X24" s="258">
        <f t="shared" si="17"/>
        <v>-2.1333380751053843E-2</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f>VLOOKUP($A24,historia!$A$5:$CM$24,+HLOOKUP(AY$2,historia!$A$3:$EC$4,2,FALSE),FALSE)</f>
        <v>4</v>
      </c>
      <c r="AZ24" s="58">
        <f>VLOOKUP($A24,historia!$A$5:$CM$24,+HLOOKUP(AZ$2,historia!$A$3:$EC$4,2,FALSE),FALSE)</f>
        <v>4</v>
      </c>
      <c r="BA24" s="58">
        <f>VLOOKUP($A24,historia!$A$5:$CM$24,+HLOOKUP(BA$2,historia!$A$3:$EC$4,2,FALSE),FALSE)</f>
        <v>4</v>
      </c>
      <c r="BB24" s="58"/>
      <c r="BC24" s="58"/>
      <c r="BD24" s="286">
        <v>4</v>
      </c>
      <c r="BE24" t="str">
        <f t="shared" si="20"/>
        <v>Yerba Mate</v>
      </c>
      <c r="BF24">
        <f>+datos!AG1</f>
        <v>33</v>
      </c>
      <c r="BG24" s="2" t="str">
        <f t="shared" si="4"/>
        <v>$/t</v>
      </c>
      <c r="BH24" s="2">
        <f t="shared" si="4"/>
        <v>300000</v>
      </c>
      <c r="BI24" s="2">
        <f t="shared" si="4"/>
        <v>300000</v>
      </c>
      <c r="BJ24" s="2">
        <f t="shared" si="4"/>
        <v>280000</v>
      </c>
      <c r="BL24">
        <f>+datos!CY1</f>
        <v>103</v>
      </c>
      <c r="BM24" s="2">
        <f t="shared" si="21"/>
        <v>10875.971523073436</v>
      </c>
      <c r="BN24" s="2">
        <f t="shared" si="21"/>
        <v>10298.80509480927</v>
      </c>
      <c r="BO24" s="2">
        <f t="shared" si="21"/>
        <v>7918.7900794156885</v>
      </c>
      <c r="BQ24" s="1">
        <f>+datos!ED1</f>
        <v>134</v>
      </c>
      <c r="BR24" s="1">
        <f t="shared" si="22"/>
        <v>231352</v>
      </c>
      <c r="BS24" s="1">
        <f t="shared" si="22"/>
        <v>230256</v>
      </c>
      <c r="BU24" s="1">
        <f>+datos!FZ1</f>
        <v>182</v>
      </c>
      <c r="BV24" s="1">
        <f t="shared" si="23"/>
        <v>887113</v>
      </c>
      <c r="BW24" s="1">
        <f t="shared" si="23"/>
        <v>991201.5</v>
      </c>
      <c r="BY24" s="1">
        <f>+datos!KD1</f>
        <v>290</v>
      </c>
      <c r="BZ24" s="1">
        <f t="shared" si="39"/>
        <v>118.30784186000001</v>
      </c>
      <c r="CA24" s="1">
        <f t="shared" si="40"/>
        <v>112.4517362</v>
      </c>
      <c r="CC24" s="1">
        <f>+datos!LI1</f>
        <v>321</v>
      </c>
      <c r="CD24" s="2">
        <f t="shared" si="24"/>
        <v>23.188620300000004</v>
      </c>
      <c r="CE24" s="2">
        <f t="shared" si="25"/>
        <v>23.69409546</v>
      </c>
      <c r="CG24" s="1">
        <f>+datos!IP1</f>
        <v>250</v>
      </c>
      <c r="CH24" s="1">
        <f t="shared" si="26"/>
        <v>5.7424738987207355</v>
      </c>
      <c r="CI24" s="1">
        <f t="shared" si="27"/>
        <v>5.5693606783423002</v>
      </c>
      <c r="CK24" s="1">
        <f t="shared" si="43"/>
        <v>12.502816449999999</v>
      </c>
      <c r="CL24" s="1">
        <f t="shared" si="43"/>
        <v>10.79513302</v>
      </c>
      <c r="CM24" s="1">
        <f t="shared" si="43"/>
        <v>10.492918690000002</v>
      </c>
      <c r="CN24" s="1">
        <f t="shared" si="43"/>
        <v>7.4906505000000001</v>
      </c>
      <c r="CO24" s="1">
        <f t="shared" si="43"/>
        <v>7.8719914600000003</v>
      </c>
      <c r="CP24" s="1">
        <f t="shared" si="43"/>
        <v>9.8166064800000008</v>
      </c>
      <c r="CQ24" s="1">
        <f t="shared" si="43"/>
        <v>7.1690497699999991</v>
      </c>
      <c r="CR24" s="1">
        <f t="shared" si="43"/>
        <v>10.805856030000001</v>
      </c>
      <c r="CS24" s="1">
        <f t="shared" si="43"/>
        <v>10.476429469999998</v>
      </c>
      <c r="CT24" s="1">
        <f t="shared" si="43"/>
        <v>11.361751129999998</v>
      </c>
      <c r="CU24" s="1">
        <f t="shared" si="43"/>
        <v>10.05873476</v>
      </c>
      <c r="CV24" s="1">
        <f t="shared" si="43"/>
        <v>9.4659040999999995</v>
      </c>
      <c r="CW24" s="1">
        <f t="shared" si="43"/>
        <v>8.3006057400000017</v>
      </c>
      <c r="CX24" s="1">
        <f t="shared" si="43"/>
        <v>11.077079630000002</v>
      </c>
      <c r="CY24" s="1">
        <f t="shared" si="43"/>
        <v>7.2906957700000001</v>
      </c>
      <c r="CZ24" s="1">
        <f t="shared" si="43"/>
        <v>8.852789640000001</v>
      </c>
      <c r="DA24" s="1">
        <f t="shared" si="44"/>
        <v>12.408222910000001</v>
      </c>
      <c r="DB24" s="1">
        <f t="shared" si="44"/>
        <v>8.8663402400000013</v>
      </c>
      <c r="DC24" s="1">
        <f t="shared" si="44"/>
        <v>9.2397224899999983</v>
      </c>
      <c r="DD24" s="1">
        <f t="shared" si="44"/>
        <v>7.1224329199999996</v>
      </c>
      <c r="DE24" s="1">
        <f t="shared" si="44"/>
        <v>8.6156523299999996</v>
      </c>
      <c r="DF24" s="1">
        <f t="shared" si="44"/>
        <v>10.17972451</v>
      </c>
      <c r="DG24" s="1">
        <f t="shared" si="44"/>
        <v>11.833514059999999</v>
      </c>
      <c r="DH24" s="1">
        <f t="shared" si="44"/>
        <v>8.6649559600000003</v>
      </c>
      <c r="DJ24" s="1">
        <f t="shared" si="45"/>
        <v>2.3219247899999997</v>
      </c>
      <c r="DK24" s="1">
        <f t="shared" si="45"/>
        <v>1.6709123100000001</v>
      </c>
      <c r="DL24" s="1">
        <f t="shared" si="45"/>
        <v>3.5033770500000001</v>
      </c>
      <c r="DM24" s="1">
        <f t="shared" si="45"/>
        <v>2.2730154199999997</v>
      </c>
      <c r="DN24" s="1">
        <f t="shared" si="45"/>
        <v>2.4041640299999996</v>
      </c>
      <c r="DO24" s="1">
        <f t="shared" si="45"/>
        <v>2.0218665100000002</v>
      </c>
      <c r="DP24" s="1">
        <f t="shared" si="45"/>
        <v>1.1839526999999999</v>
      </c>
      <c r="DQ24" s="1">
        <f t="shared" si="45"/>
        <v>1.1744757299999999</v>
      </c>
      <c r="DR24" s="1">
        <f t="shared" si="45"/>
        <v>2.1750064099999999</v>
      </c>
      <c r="DS24" s="1">
        <f t="shared" si="45"/>
        <v>2.6101839400000002</v>
      </c>
      <c r="DT24" s="1">
        <f t="shared" si="45"/>
        <v>1.2494588400000002</v>
      </c>
      <c r="DU24" s="1">
        <f t="shared" si="45"/>
        <v>0.60028256999999996</v>
      </c>
      <c r="DV24" s="1">
        <f t="shared" si="45"/>
        <v>1.7316709800000001</v>
      </c>
      <c r="DW24" s="1">
        <f t="shared" si="45"/>
        <v>1.1554743999999999</v>
      </c>
      <c r="DX24" s="1">
        <f t="shared" si="45"/>
        <v>1.50586095</v>
      </c>
      <c r="DY24" s="1">
        <f t="shared" si="45"/>
        <v>3.2398820599999998</v>
      </c>
      <c r="DZ24" s="1">
        <f t="shared" si="41"/>
        <v>3.1775986299999999</v>
      </c>
      <c r="EA24" s="1">
        <f t="shared" si="41"/>
        <v>2.4176205400000002</v>
      </c>
      <c r="EB24" s="1">
        <f t="shared" si="41"/>
        <v>1.0621514699999999</v>
      </c>
      <c r="EC24" s="1">
        <f t="shared" si="41"/>
        <v>1.8796713600000001</v>
      </c>
      <c r="ED24" s="1">
        <f t="shared" si="41"/>
        <v>2.4189343299999999</v>
      </c>
      <c r="EE24" s="1">
        <f t="shared" si="41"/>
        <v>2.31537419</v>
      </c>
      <c r="EF24" s="1">
        <f t="shared" si="41"/>
        <v>1.6581343500000001</v>
      </c>
      <c r="EG24" s="1">
        <f t="shared" si="41"/>
        <v>1.1317222</v>
      </c>
      <c r="EI24" s="14">
        <f t="shared" si="46"/>
        <v>5.7424738987207355</v>
      </c>
      <c r="EJ24" s="14">
        <f t="shared" si="46"/>
        <v>5.7424738987207355</v>
      </c>
      <c r="EK24" s="1">
        <f t="shared" si="46"/>
        <v>5.7424738987207355</v>
      </c>
      <c r="EL24" s="1">
        <f t="shared" si="46"/>
        <v>5.7424738987207355</v>
      </c>
      <c r="EM24" s="1">
        <f t="shared" si="46"/>
        <v>5.7424738987207355</v>
      </c>
      <c r="EN24" s="1">
        <f t="shared" si="46"/>
        <v>5.7424738987207355</v>
      </c>
      <c r="EO24" s="1">
        <f t="shared" si="46"/>
        <v>5.7424738987207355</v>
      </c>
      <c r="EP24" s="1">
        <f t="shared" si="46"/>
        <v>5.5693606783423002</v>
      </c>
      <c r="EQ24" s="1">
        <f t="shared" si="46"/>
        <v>5.5693606783423002</v>
      </c>
      <c r="ER24" s="1">
        <f t="shared" si="46"/>
        <v>5.5693606783423002</v>
      </c>
      <c r="ES24" s="1">
        <f t="shared" si="46"/>
        <v>5.5693606783423002</v>
      </c>
      <c r="ET24" s="1">
        <f t="shared" si="46"/>
        <v>5.5693606783423002</v>
      </c>
      <c r="EU24" s="1">
        <f t="shared" si="46"/>
        <v>5.5693606783423002</v>
      </c>
      <c r="EV24" s="1">
        <f t="shared" si="46"/>
        <v>5.5693606783423002</v>
      </c>
      <c r="EW24" s="1">
        <f t="shared" si="46"/>
        <v>5.5693606783423002</v>
      </c>
      <c r="EX24" s="1">
        <f t="shared" si="46"/>
        <v>5.5693606783423002</v>
      </c>
      <c r="EY24" s="1">
        <f t="shared" si="42"/>
        <v>5.5693606783423002</v>
      </c>
      <c r="EZ24" s="1">
        <f t="shared" si="42"/>
        <v>5.5693606783423002</v>
      </c>
      <c r="FA24" s="1">
        <f t="shared" si="42"/>
        <v>5.5693606783423002</v>
      </c>
      <c r="FB24" s="1">
        <f t="shared" si="42"/>
        <v>6.139895208369488</v>
      </c>
      <c r="FC24" s="1">
        <f t="shared" si="42"/>
        <v>6.139895208369488</v>
      </c>
      <c r="FD24" s="1">
        <f t="shared" si="42"/>
        <v>6.139895208369488</v>
      </c>
      <c r="FE24" s="1">
        <f t="shared" si="42"/>
        <v>6.139895208369488</v>
      </c>
      <c r="FF24" s="1">
        <f t="shared" si="42"/>
        <v>6.139895208369488</v>
      </c>
      <c r="FH24" s="162">
        <f t="shared" si="34"/>
        <v>-0.30200997334921276</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T25" s="58"/>
      <c r="AU25" s="58"/>
      <c r="AV25" s="58"/>
      <c r="AW25" s="58"/>
      <c r="AX25" s="58"/>
      <c r="AY25" s="58"/>
      <c r="AZ25" s="58"/>
      <c r="BA25" s="58"/>
      <c r="BB25" s="58"/>
      <c r="BC25" s="58"/>
      <c r="BG25" s="2"/>
      <c r="BH25" s="2"/>
      <c r="BI25" s="2"/>
      <c r="BJ25" s="2"/>
      <c r="BM25" s="2"/>
      <c r="BN25" s="2"/>
      <c r="BO25" s="2"/>
      <c r="BQ25" s="1"/>
      <c r="BR25" s="1"/>
      <c r="BS25" s="1"/>
      <c r="BU25" s="1"/>
      <c r="BV25" s="1"/>
      <c r="BW25" s="1"/>
      <c r="BY25" s="1"/>
      <c r="BZ25" s="1"/>
      <c r="CA25" s="1"/>
      <c r="CC25" s="1"/>
      <c r="CD25" s="2"/>
      <c r="CE25" s="2"/>
      <c r="CG25" s="1"/>
      <c r="CH25" s="1"/>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E26" s="12">
        <f>+AVERAGE(E6:E24)</f>
        <v>1.695963540500503E-2</v>
      </c>
      <c r="F26" s="37">
        <f>+E26-$I$3</f>
        <v>-0.34870581318149441</v>
      </c>
      <c r="G26" s="12">
        <f>+AVERAGE(G6:G24)</f>
        <v>6.9481455605944695E-2</v>
      </c>
      <c r="I26" s="12" t="e">
        <f>+AVERAGEIF(I6:I24,"&gt;211%")</f>
        <v>#DIV/0!</v>
      </c>
      <c r="J26" s="37" t="e">
        <f t="shared" si="11"/>
        <v>#DIV/0!</v>
      </c>
      <c r="K26" s="12">
        <f>+AVERAGE(K6:K24)</f>
        <v>0.31712201318089567</v>
      </c>
      <c r="O26" s="12">
        <f>+AVERAGE(O6:O24)</f>
        <v>3.2233098927171529E-2</v>
      </c>
      <c r="AB26" s="57"/>
      <c r="BV26" s="1">
        <f>BV20-BW20</f>
        <v>49425</v>
      </c>
      <c r="BZ26" s="1">
        <f>BZ20-CA20</f>
        <v>37.864704200000176</v>
      </c>
    </row>
    <row r="27" spans="1:164" ht="18.75" customHeight="1">
      <c r="I27" s="12">
        <f>+AVERAGEIF(I6:I24,"&lt;211%")</f>
        <v>0.14001414699943526</v>
      </c>
      <c r="K27" s="177">
        <f>+SUBTOTAL(101,K6:K21)</f>
        <v>0.31626616943107444</v>
      </c>
      <c r="V27" t="s">
        <v>167</v>
      </c>
      <c r="X27" s="162"/>
      <c r="BR27" s="1">
        <f>+SUM(BR6:BR24)</f>
        <v>115550838</v>
      </c>
      <c r="BS27" s="1">
        <f>+SUM(BS6:BS24)</f>
        <v>115232289</v>
      </c>
      <c r="BV27" s="1">
        <f>+SUM(BV6:BV24)</f>
        <v>171358592.52001199</v>
      </c>
      <c r="BW27" s="1">
        <f>+SUM(BW6:BW24)</f>
        <v>162366838.00898275</v>
      </c>
      <c r="BZ27" s="1">
        <f>+SUM(BZ6:BZ24)</f>
        <v>53861.435228959992</v>
      </c>
      <c r="CA27" s="1">
        <f>+SUM(CA6:CA24)</f>
        <v>52569.794308180004</v>
      </c>
      <c r="CD27" s="1">
        <f>+SUM(CD6:CD24)</f>
        <v>3505.8148369400001</v>
      </c>
      <c r="CE27" s="1">
        <f>+SUM(CE6:CE24)</f>
        <v>4209.0729487500003</v>
      </c>
      <c r="FH27" s="167">
        <f>+COUNTIF(FH6:FH24,"&gt;0")</f>
        <v>5</v>
      </c>
    </row>
    <row r="28" spans="1:164" ht="18.75" customHeight="1">
      <c r="A28" s="11">
        <f>+COUNTIF($C$6:$C$24,"&lt;0")</f>
        <v>10</v>
      </c>
      <c r="C28" s="156">
        <v>-1</v>
      </c>
      <c r="E28" s="167">
        <f>+COUNTIF($I$6:$I$24,"&lt;1,69")</f>
        <v>19</v>
      </c>
      <c r="F28" s="29">
        <v>-1</v>
      </c>
      <c r="I28" s="167">
        <f>+COUNTIF($I$6:$I$24,"&lt;1,69")</f>
        <v>19</v>
      </c>
      <c r="J28" s="29">
        <v>-1</v>
      </c>
      <c r="K28">
        <f>+COUNTIF($L$6:$L$24,"&lt;0")</f>
        <v>14</v>
      </c>
      <c r="L28" s="29">
        <v>-1</v>
      </c>
      <c r="O28">
        <f>+COUNTIF($P$6:$P$24,"&lt;0")</f>
        <v>6</v>
      </c>
      <c r="P28" s="262">
        <v>-1</v>
      </c>
      <c r="Q28">
        <f>+COUNTIF($R$6:$R$24,"&lt;0")</f>
        <v>5</v>
      </c>
      <c r="R28" s="262">
        <v>-1</v>
      </c>
      <c r="T28" s="57">
        <f>+COUNTIF($U$6:$U$24,"&lt;0")</f>
        <v>4</v>
      </c>
      <c r="U28" s="29">
        <v>-1</v>
      </c>
      <c r="BD28" s="141">
        <f>(4*0.5)+(4*0.25)+(2*0.25)</f>
        <v>3.5</v>
      </c>
      <c r="BE28">
        <f>ROUND(BD28,0)</f>
        <v>4</v>
      </c>
      <c r="BS28" t="s">
        <v>491</v>
      </c>
      <c r="BV28" s="167">
        <f>+SUMIFS(BV6:BV24,BD6:BD24,5)+SUMIFS(BV6:BV24,BD6:BD24,4)</f>
        <v>27348129</v>
      </c>
      <c r="BZ28" s="10">
        <f>+BZ27/CA27-1</f>
        <v>2.4570020441929019E-2</v>
      </c>
      <c r="CD28" s="10">
        <f>+CD27/CE27-1</f>
        <v>-0.16708147384778682</v>
      </c>
    </row>
    <row r="29" spans="1:164" ht="18.75" customHeight="1">
      <c r="A29" s="11">
        <f>+COUNTIF($C$6:$C$24,C29)</f>
        <v>8</v>
      </c>
      <c r="C29" s="156">
        <v>0</v>
      </c>
      <c r="E29" s="167">
        <f>+COUNTIF($I$6:$I$24,"=1,69")</f>
        <v>0</v>
      </c>
      <c r="F29" s="29">
        <v>0</v>
      </c>
      <c r="I29" s="167">
        <f>+COUNTIF($I$6:$I$24,"=1,69")</f>
        <v>0</v>
      </c>
      <c r="J29" s="29">
        <v>0</v>
      </c>
      <c r="L29" s="29">
        <v>0</v>
      </c>
      <c r="O29">
        <f>+COUNTIF($P$6:$P$24,"=0")</f>
        <v>4</v>
      </c>
      <c r="P29" s="262">
        <v>0</v>
      </c>
      <c r="Q29">
        <f>+COUNTIF($R$6:$R$24,"=0")</f>
        <v>3</v>
      </c>
      <c r="R29" s="262">
        <v>0</v>
      </c>
      <c r="T29" s="57">
        <f>+COUNTIF($U$6:$U$24,"=0")</f>
        <v>0</v>
      </c>
      <c r="U29" s="29">
        <v>0</v>
      </c>
      <c r="BS29" t="s">
        <v>492</v>
      </c>
      <c r="BV29" s="167">
        <f>+SUMIFS(BV6:BV24,BD6:BD24,3)</f>
        <v>4369975.136012</v>
      </c>
    </row>
    <row r="30" spans="1:164" ht="18.75" customHeight="1">
      <c r="A30" s="11">
        <f>+COUNTIF($C$6:$C$24,"&gt;0")</f>
        <v>1</v>
      </c>
      <c r="C30" s="156">
        <v>1</v>
      </c>
      <c r="E30" s="167">
        <f>+COUNTIF($I$6:$I$24,"&gt;1,69")</f>
        <v>0</v>
      </c>
      <c r="F30" s="29">
        <v>1</v>
      </c>
      <c r="I30" s="167">
        <f>+COUNTIF($I$6:$I$24,"&gt;1,69")</f>
        <v>0</v>
      </c>
      <c r="J30" s="29">
        <v>1</v>
      </c>
      <c r="K30">
        <f>+COUNTIF($L$6:$L$24,"&gt;0")</f>
        <v>5</v>
      </c>
      <c r="L30" s="29">
        <v>1</v>
      </c>
      <c r="O30">
        <f>+COUNTIF($P$6:$P$24,"&gt;0")</f>
        <v>8</v>
      </c>
      <c r="P30" s="262">
        <v>1</v>
      </c>
      <c r="Q30">
        <f>+COUNTIF($R$6:$R$24,"&gt;0")</f>
        <v>11</v>
      </c>
      <c r="R30" s="262">
        <v>1</v>
      </c>
      <c r="T30" s="57">
        <f>+COUNTIF($U$6:$U$24,"&gt;0")</f>
        <v>14</v>
      </c>
      <c r="U30" s="29">
        <v>1</v>
      </c>
      <c r="X30" s="14"/>
      <c r="BS30" t="s">
        <v>493</v>
      </c>
      <c r="BV30" s="167">
        <f>+SUMIFS(BV6:BV24,BD6:BD24,1)+SUMIFS(BV6:BV24,BD6:BD24,2)</f>
        <v>139640488.384</v>
      </c>
      <c r="BY30" s="1"/>
    </row>
    <row r="31" spans="1:164" ht="18.75" customHeight="1">
      <c r="K31" s="12"/>
    </row>
    <row r="32" spans="1:164" ht="18.75" customHeight="1">
      <c r="C32" s="157"/>
      <c r="I32" s="14">
        <f>+COUNTIF(I6:I24,"&gt;211%")</f>
        <v>0</v>
      </c>
      <c r="J32" s="14"/>
      <c r="K32" s="14"/>
      <c r="Y32" s="163"/>
    </row>
    <row r="33" spans="1:165" ht="18.75" customHeight="1">
      <c r="C33" s="157"/>
      <c r="I33" s="12" t="e">
        <f>+I26/2</f>
        <v>#DIV/0!</v>
      </c>
    </row>
    <row r="34" spans="1:165"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c r="BD34" s="141"/>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c r="BD35" s="141"/>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c r="BD36" s="141"/>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c r="BD37" s="141"/>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c r="BD38" s="141"/>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c r="BD39" s="141"/>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c r="BD40" s="141"/>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c r="BD45" s="141"/>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c r="BD46" s="141"/>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c r="BD47" s="141"/>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6">
      <iconSet>
        <cfvo type="percent" val="0"/>
        <cfvo type="num" val="0"/>
        <cfvo type="num" val="0" gte="0"/>
      </iconSet>
    </cfRule>
  </conditionalFormatting>
  <conditionalFormatting sqref="C28:C30">
    <cfRule type="iconSet" priority="40">
      <iconSet>
        <cfvo type="percent" val="0"/>
        <cfvo type="num" val="0"/>
        <cfvo type="num" val="0" gte="0"/>
      </iconSet>
    </cfRule>
  </conditionalFormatting>
  <conditionalFormatting sqref="D6:D25">
    <cfRule type="iconSet" priority="45">
      <iconSet>
        <cfvo type="percent" val="0"/>
        <cfvo type="num" val="0"/>
        <cfvo type="num" val="0" gte="0"/>
      </iconSet>
    </cfRule>
  </conditionalFormatting>
  <conditionalFormatting sqref="F6:F16 F19:F25">
    <cfRule type="iconSet" priority="41">
      <iconSet>
        <cfvo type="percent" val="0"/>
        <cfvo type="num" val="0"/>
        <cfvo type="num" val="0" gte="0"/>
      </iconSet>
    </cfRule>
  </conditionalFormatting>
  <conditionalFormatting sqref="F17:F18">
    <cfRule type="iconSet" priority="12">
      <iconSet>
        <cfvo type="percent" val="0"/>
        <cfvo type="num" val="0"/>
        <cfvo type="num" val="0" gte="0"/>
      </iconSet>
    </cfRule>
  </conditionalFormatting>
  <conditionalFormatting sqref="F28:F30">
    <cfRule type="iconSet" priority="6">
      <iconSet>
        <cfvo type="percent" val="0"/>
        <cfvo type="num" val="0"/>
        <cfvo type="num" val="0" gte="0"/>
      </iconSet>
    </cfRule>
  </conditionalFormatting>
  <conditionalFormatting sqref="H6:H7 H9 H11:H25">
    <cfRule type="iconSet" priority="38">
      <iconSet>
        <cfvo type="percent" val="0"/>
        <cfvo type="num" val="0"/>
        <cfvo type="num" val="0" gte="0"/>
      </iconSet>
    </cfRule>
  </conditionalFormatting>
  <conditionalFormatting sqref="H8">
    <cfRule type="iconSet" priority="10">
      <iconSet>
        <cfvo type="percent" val="0"/>
        <cfvo type="num" val="0"/>
        <cfvo type="num" val="0" gte="0"/>
      </iconSet>
    </cfRule>
  </conditionalFormatting>
  <conditionalFormatting sqref="H10">
    <cfRule type="iconSet" priority="36">
      <iconSet>
        <cfvo type="percent" val="0"/>
        <cfvo type="num" val="0"/>
        <cfvo type="num" val="0" gte="0"/>
      </iconSet>
    </cfRule>
  </conditionalFormatting>
  <conditionalFormatting sqref="J6:J9 J11:J16 J19:J25">
    <cfRule type="iconSet" priority="39">
      <iconSet>
        <cfvo type="percent" val="0"/>
        <cfvo type="num" val="0"/>
        <cfvo type="num" val="0" gte="0"/>
      </iconSet>
    </cfRule>
  </conditionalFormatting>
  <conditionalFormatting sqref="J10">
    <cfRule type="iconSet" priority="37">
      <iconSet>
        <cfvo type="percent" val="0"/>
        <cfvo type="num" val="0"/>
        <cfvo type="num" val="0" gte="0"/>
      </iconSet>
    </cfRule>
  </conditionalFormatting>
  <conditionalFormatting sqref="J17">
    <cfRule type="iconSet" priority="11">
      <iconSet>
        <cfvo type="percent" val="0"/>
        <cfvo type="num" val="0"/>
        <cfvo type="num" val="0" gte="0"/>
      </iconSet>
    </cfRule>
  </conditionalFormatting>
  <conditionalFormatting sqref="J18">
    <cfRule type="iconSet" priority="3">
      <iconSet>
        <cfvo type="percent" val="0"/>
        <cfvo type="num" val="0"/>
        <cfvo type="num" val="0" gte="0"/>
      </iconSet>
    </cfRule>
  </conditionalFormatting>
  <conditionalFormatting sqref="J28:J30">
    <cfRule type="iconSet" priority="8">
      <iconSet>
        <cfvo type="percent" val="0"/>
        <cfvo type="num" val="0"/>
        <cfvo type="num" val="0" gte="0"/>
      </iconSet>
    </cfRule>
  </conditionalFormatting>
  <conditionalFormatting sqref="L6:L9 L11:L25">
    <cfRule type="iconSet" priority="47">
      <iconSet>
        <cfvo type="percent" val="0"/>
        <cfvo type="num" val="0"/>
        <cfvo type="num" val="0" gte="0"/>
      </iconSet>
    </cfRule>
  </conditionalFormatting>
  <conditionalFormatting sqref="L10">
    <cfRule type="iconSet" priority="48">
      <iconSet>
        <cfvo type="percent" val="0"/>
        <cfvo type="num" val="0"/>
        <cfvo type="num" val="0" gte="0"/>
      </iconSet>
    </cfRule>
  </conditionalFormatting>
  <conditionalFormatting sqref="L28:L30">
    <cfRule type="iconSet" priority="7">
      <iconSet>
        <cfvo type="percent" val="0"/>
        <cfvo type="num" val="0"/>
        <cfvo type="num" val="0" gte="0"/>
      </iconSet>
    </cfRule>
  </conditionalFormatting>
  <conditionalFormatting sqref="M6:M25">
    <cfRule type="iconSet" priority="42">
      <iconSet>
        <cfvo type="percent" val="0"/>
        <cfvo type="num" val="0"/>
        <cfvo type="num" val="0" gte="0"/>
      </iconSet>
    </cfRule>
  </conditionalFormatting>
  <conditionalFormatting sqref="N6:N25">
    <cfRule type="iconSet" priority="35">
      <iconSet>
        <cfvo type="percent" val="0"/>
        <cfvo type="num" val="0"/>
        <cfvo type="num" val="0" gte="0"/>
      </iconSet>
    </cfRule>
  </conditionalFormatting>
  <conditionalFormatting sqref="P6:P9 P11:P25">
    <cfRule type="iconSet" priority="43">
      <iconSet>
        <cfvo type="percent" val="0"/>
        <cfvo type="num" val="0"/>
        <cfvo type="num" val="0" gte="0"/>
      </iconSet>
    </cfRule>
  </conditionalFormatting>
  <conditionalFormatting sqref="P10">
    <cfRule type="iconSet" priority="14">
      <iconSet>
        <cfvo type="percent" val="0"/>
        <cfvo type="num" val="0"/>
        <cfvo type="num" val="0" gte="0"/>
      </iconSet>
    </cfRule>
  </conditionalFormatting>
  <conditionalFormatting sqref="P28:P30">
    <cfRule type="iconSet" priority="27">
      <iconSet>
        <cfvo type="percent" val="0"/>
        <cfvo type="num" val="0"/>
        <cfvo type="num" val="0" gte="0"/>
      </iconSet>
    </cfRule>
  </conditionalFormatting>
  <conditionalFormatting sqref="R6:R15 R17:R25">
    <cfRule type="iconSet" priority="44">
      <iconSet>
        <cfvo type="percent" val="0"/>
        <cfvo type="num" val="0"/>
        <cfvo type="num" val="0" gte="0"/>
      </iconSet>
    </cfRule>
  </conditionalFormatting>
  <conditionalFormatting sqref="R16">
    <cfRule type="iconSet" priority="4">
      <iconSet>
        <cfvo type="percent" val="0"/>
        <cfvo type="num" val="0"/>
        <cfvo type="num" val="0" gte="0"/>
      </iconSet>
    </cfRule>
  </conditionalFormatting>
  <conditionalFormatting sqref="R28:R30">
    <cfRule type="iconSet" priority="26">
      <iconSet>
        <cfvo type="percent" val="0"/>
        <cfvo type="num" val="0"/>
        <cfvo type="num" val="0" gte="0"/>
      </iconSet>
    </cfRule>
  </conditionalFormatting>
  <conditionalFormatting sqref="S6:S25">
    <cfRule type="iconSet" priority="30">
      <iconSet>
        <cfvo type="percent" val="0"/>
        <cfvo type="num" val="0"/>
        <cfvo type="num" val="0" gte="0"/>
      </iconSet>
    </cfRule>
  </conditionalFormatting>
  <conditionalFormatting sqref="T6:T25">
    <cfRule type="iconSet" priority="34">
      <iconSet>
        <cfvo type="percent" val="0"/>
        <cfvo type="num" val="0"/>
        <cfvo type="num" val="0" gte="0"/>
      </iconSet>
    </cfRule>
  </conditionalFormatting>
  <conditionalFormatting sqref="U28:U30">
    <cfRule type="iconSet" priority="9">
      <iconSet>
        <cfvo type="percent" val="0"/>
        <cfvo type="num" val="0"/>
        <cfvo type="num" val="0" gte="0"/>
      </iconSet>
    </cfRule>
  </conditionalFormatting>
  <conditionalFormatting sqref="V6:V10 V16:V25 V12:V14">
    <cfRule type="iconSet" priority="33">
      <iconSet>
        <cfvo type="percent" val="0"/>
        <cfvo type="num" val="0"/>
        <cfvo type="num" val="0" gte="0"/>
      </iconSet>
    </cfRule>
  </conditionalFormatting>
  <conditionalFormatting sqref="V11">
    <cfRule type="iconSet" priority="13">
      <iconSet>
        <cfvo type="percent" val="0"/>
        <cfvo type="num" val="0"/>
        <cfvo type="num" val="0" gte="0"/>
      </iconSet>
    </cfRule>
  </conditionalFormatting>
  <conditionalFormatting sqref="V15">
    <cfRule type="iconSet" priority="29">
      <iconSet>
        <cfvo type="percent" val="0"/>
        <cfvo type="num" val="0"/>
        <cfvo type="num" val="0" gte="0"/>
      </iconSet>
    </cfRule>
  </conditionalFormatting>
  <conditionalFormatting sqref="X25">
    <cfRule type="iconSet" priority="28">
      <iconSet reverse="1">
        <cfvo type="percent" val="0"/>
        <cfvo type="num" val="0"/>
        <cfvo type="num" val="0" gte="0"/>
      </iconSet>
    </cfRule>
  </conditionalFormatting>
  <conditionalFormatting sqref="Z6">
    <cfRule type="iconSet" priority="23">
      <iconSet>
        <cfvo type="percent" val="0"/>
        <cfvo type="num" val="0"/>
        <cfvo type="num" val="0" gte="0"/>
      </iconSet>
    </cfRule>
  </conditionalFormatting>
  <conditionalFormatting sqref="Z7">
    <cfRule type="iconSet" priority="22">
      <iconSet>
        <cfvo type="percent" val="0"/>
        <cfvo type="num" val="0"/>
        <cfvo type="num" val="0" gte="0"/>
      </iconSet>
    </cfRule>
  </conditionalFormatting>
  <conditionalFormatting sqref="Z8 Z12 Z14:Z17 Z21 Z23 Z25">
    <cfRule type="iconSet" priority="31">
      <iconSet>
        <cfvo type="percent" val="0"/>
        <cfvo type="num" val="0"/>
        <cfvo type="num" val="0" gte="0"/>
      </iconSet>
    </cfRule>
  </conditionalFormatting>
  <conditionalFormatting sqref="Z9">
    <cfRule type="iconSet" priority="25">
      <iconSet>
        <cfvo type="percent" val="0"/>
        <cfvo type="num" val="0"/>
        <cfvo type="num" val="0" gte="0"/>
      </iconSet>
    </cfRule>
  </conditionalFormatting>
  <conditionalFormatting sqref="Z10">
    <cfRule type="iconSet" priority="21">
      <iconSet>
        <cfvo type="percent" val="0"/>
        <cfvo type="num" val="0"/>
        <cfvo type="num" val="0" gte="0"/>
      </iconSet>
    </cfRule>
  </conditionalFormatting>
  <conditionalFormatting sqref="Z11">
    <cfRule type="iconSet" priority="20">
      <iconSet>
        <cfvo type="percent" val="0"/>
        <cfvo type="num" val="0"/>
        <cfvo type="num" val="0" gte="0"/>
      </iconSet>
    </cfRule>
  </conditionalFormatting>
  <conditionalFormatting sqref="Z13">
    <cfRule type="iconSet" priority="19">
      <iconSet>
        <cfvo type="percent" val="0"/>
        <cfvo type="num" val="0"/>
        <cfvo type="num" val="0" gte="0"/>
      </iconSet>
    </cfRule>
  </conditionalFormatting>
  <conditionalFormatting sqref="Z18">
    <cfRule type="iconSet" priority="18">
      <iconSet>
        <cfvo type="percent" val="0"/>
        <cfvo type="num" val="0"/>
        <cfvo type="num" val="0" gte="0"/>
      </iconSet>
    </cfRule>
  </conditionalFormatting>
  <conditionalFormatting sqref="Z19">
    <cfRule type="iconSet" priority="17">
      <iconSet>
        <cfvo type="percent" val="0"/>
        <cfvo type="num" val="0"/>
        <cfvo type="num" val="0" gte="0"/>
      </iconSet>
    </cfRule>
  </conditionalFormatting>
  <conditionalFormatting sqref="Z20">
    <cfRule type="iconSet" priority="16">
      <iconSet>
        <cfvo type="percent" val="0"/>
        <cfvo type="num" val="0"/>
        <cfvo type="num" val="0" gte="0"/>
      </iconSet>
    </cfRule>
  </conditionalFormatting>
  <conditionalFormatting sqref="Z22">
    <cfRule type="iconSet" priority="15">
      <iconSet>
        <cfvo type="percent" val="0"/>
        <cfvo type="num" val="0"/>
        <cfvo type="num" val="0" gte="0"/>
      </iconSet>
    </cfRule>
  </conditionalFormatting>
  <conditionalFormatting sqref="Z24">
    <cfRule type="iconSet" priority="5">
      <iconSet>
        <cfvo type="percent" val="0"/>
        <cfvo type="num" val="0"/>
        <cfvo type="num" val="0" gte="0"/>
      </iconSet>
    </cfRule>
  </conditionalFormatting>
  <conditionalFormatting sqref="AC6:AM24 AC25 AE25:AM25">
    <cfRule type="expression" dxfId="209" priority="54">
      <formula>AP6=0</formula>
    </cfRule>
    <cfRule type="expression" dxfId="208" priority="49">
      <formula>AP6=3</formula>
    </cfRule>
    <cfRule type="expression" dxfId="207" priority="50">
      <formula>AP6=5</formula>
    </cfRule>
    <cfRule type="expression" dxfId="206" priority="51">
      <formula>AP6=4</formula>
    </cfRule>
    <cfRule type="expression" dxfId="205" priority="52">
      <formula>AP6=2</formula>
    </cfRule>
    <cfRule type="expression" dxfId="204" priority="53">
      <formula>AP6=1</formula>
    </cfRule>
  </conditionalFormatting>
  <conditionalFormatting sqref="AN6:AN25">
    <cfRule type="expression" dxfId="203" priority="66">
      <formula>BA6=0</formula>
    </cfRule>
    <cfRule type="expression" dxfId="202" priority="61">
      <formula>BA6=3</formula>
    </cfRule>
    <cfRule type="expression" dxfId="201" priority="62">
      <formula>BA6=5</formula>
    </cfRule>
    <cfRule type="expression" dxfId="200" priority="63">
      <formula>BA6=4</formula>
    </cfRule>
    <cfRule type="expression" dxfId="199" priority="64">
      <formula>BA6=2</formula>
    </cfRule>
    <cfRule type="expression" dxfId="198" priority="65">
      <formula>BA6=1</formula>
    </cfRule>
  </conditionalFormatting>
  <conditionalFormatting sqref="AO6:AO25">
    <cfRule type="expression" dxfId="197" priority="55">
      <formula>#REF!=3</formula>
    </cfRule>
    <cfRule type="expression" dxfId="196" priority="56">
      <formula>#REF!=5</formula>
    </cfRule>
    <cfRule type="expression" dxfId="195" priority="57">
      <formula>#REF!=4</formula>
    </cfRule>
    <cfRule type="expression" dxfId="194" priority="59">
      <formula>#REF!=1</formula>
    </cfRule>
    <cfRule type="expression" dxfId="193" priority="60">
      <formula>#REF!=0</formula>
    </cfRule>
    <cfRule type="expression" dxfId="192" priority="58">
      <formula>#REF!=2</formula>
    </cfRule>
  </conditionalFormatting>
  <conditionalFormatting sqref="FH6:FH25 FH27">
    <cfRule type="colorScale" priority="24">
      <colorScale>
        <cfvo type="min"/>
        <cfvo type="percentile" val="50"/>
        <cfvo type="max"/>
        <color rgb="FFF8696B"/>
        <color rgb="FFFFEB84"/>
        <color rgb="FF63BE7B"/>
      </colorScale>
    </cfRule>
  </conditionalFormatting>
  <dataValidations disablePrompts="1" count="1">
    <dataValidation type="list" allowBlank="1" showInputMessage="1" showErrorMessage="1" sqref="A1:B1" xr:uid="{E4674781-C4A6-4CFF-8F28-A38E3BEBD332}">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2" id="{E600A728-A098-4375-A093-16E29B444F91}">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2" id="{9D988363-A2FD-4934-AC90-CA654FA359EC}">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50D7-D524-427B-8644-5C7CCCAFEE3E}">
  <sheetPr>
    <tabColor theme="5" tint="-0.249977111117893"/>
    <pageSetUpPr fitToPage="1"/>
  </sheetPr>
  <dimension ref="A1:FI47"/>
  <sheetViews>
    <sheetView showGridLines="0" zoomScale="70" zoomScaleNormal="70" workbookViewId="0">
      <pane xSplit="4" topLeftCell="I1" activePane="topRight" state="frozen"/>
      <selection activeCell="BA2" sqref="BA2"/>
      <selection pane="topRight" activeCell="BA2" sqref="BA2"/>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3" style="57" customWidth="1"/>
    <col min="42" max="42" width="5.33203125" style="28" hidden="1" customWidth="1"/>
    <col min="43" max="43" width="6" style="28" hidden="1" customWidth="1"/>
    <col min="44" max="44" width="5.33203125" style="28" hidden="1" customWidth="1"/>
    <col min="45" max="45" width="8.5546875" style="28" hidden="1" customWidth="1"/>
    <col min="46" max="46" width="5.5546875" hidden="1" customWidth="1"/>
    <col min="47" max="47" width="6.33203125" hidden="1" customWidth="1"/>
    <col min="48" max="48" width="6.88671875" hidden="1" customWidth="1"/>
    <col min="49" max="51" width="6.33203125" hidden="1" customWidth="1"/>
    <col min="52" max="52" width="5.6640625" hidden="1" customWidth="1"/>
    <col min="53" max="54" width="7.44140625" hidden="1" customWidth="1"/>
    <col min="55" max="55" width="7.44140625" customWidth="1"/>
    <col min="56" max="56" width="11.6640625" style="141" customWidth="1"/>
    <col min="57" max="57" width="12" customWidth="1"/>
    <col min="58" max="58" width="0.88671875" customWidth="1"/>
    <col min="59" max="59" width="7.88671875" customWidth="1"/>
    <col min="60" max="62" width="8.88671875" bestFit="1" customWidth="1"/>
    <col min="63" max="63" width="2.44140625" customWidth="1"/>
    <col min="64" max="64" width="0.44140625" customWidth="1"/>
    <col min="65" max="67" width="7.88671875" customWidth="1"/>
    <col min="68" max="68" width="2.44140625" customWidth="1"/>
    <col min="69" max="69" width="0.44140625" customWidth="1"/>
    <col min="70" max="70" width="12.88671875" customWidth="1"/>
    <col min="71" max="71" width="12.44140625" customWidth="1"/>
    <col min="72" max="72" width="2.44140625" customWidth="1"/>
    <col min="73" max="73" width="0.5546875" customWidth="1"/>
    <col min="74" max="74" width="14.44140625" bestFit="1" customWidth="1"/>
    <col min="75" max="75" width="12.5546875" customWidth="1"/>
    <col min="76" max="76" width="2.44140625" customWidth="1"/>
    <col min="77" max="77" width="8.109375" customWidth="1"/>
    <col min="78" max="79" width="7.5546875" customWidth="1"/>
    <col min="80" max="80" width="2.88671875" customWidth="1"/>
    <col min="81" max="81" width="0.88671875" customWidth="1"/>
    <col min="82" max="83" width="7.44140625" customWidth="1"/>
    <col min="84" max="84" width="2.88671875" customWidth="1"/>
    <col min="85" max="85" width="0.5546875" customWidth="1"/>
    <col min="86" max="86" width="11" customWidth="1"/>
    <col min="87" max="87" width="10.88671875" customWidth="1"/>
    <col min="88" max="88" width="7" bestFit="1" customWidth="1"/>
    <col min="89" max="89" width="11" bestFit="1" customWidth="1"/>
    <col min="90" max="90" width="7" bestFit="1" customWidth="1"/>
    <col min="91" max="91" width="6.88671875" bestFit="1" customWidth="1"/>
    <col min="92" max="93" width="7" bestFit="1" customWidth="1"/>
    <col min="94" max="94" width="6.5546875" bestFit="1" customWidth="1"/>
    <col min="95" max="95" width="6.6640625" bestFit="1" customWidth="1"/>
    <col min="96" max="96" width="6.4414062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3" width="6.88671875" bestFit="1" customWidth="1"/>
    <col min="104" max="104" width="6.5546875" bestFit="1" customWidth="1"/>
    <col min="105" max="105" width="6.88671875" bestFit="1" customWidth="1"/>
    <col min="106" max="106" width="6.5546875" bestFit="1" customWidth="1"/>
    <col min="107" max="107" width="6.6640625" bestFit="1" customWidth="1"/>
    <col min="108" max="108" width="6.109375" bestFit="1" customWidth="1"/>
    <col min="109" max="109" width="7.44140625" bestFit="1" customWidth="1"/>
    <col min="110" max="110" width="6.6640625" bestFit="1" customWidth="1"/>
    <col min="111" max="111" width="5.6640625" bestFit="1" customWidth="1"/>
    <col min="112" max="112" width="7" bestFit="1" customWidth="1"/>
    <col min="113" max="113" width="5" customWidth="1"/>
    <col min="114" max="114" width="11" bestFit="1" customWidth="1"/>
    <col min="115" max="115" width="6.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2" width="6.6640625" bestFit="1" customWidth="1"/>
    <col min="133" max="133" width="6.109375" bestFit="1" customWidth="1"/>
    <col min="134" max="134" width="7.44140625" bestFit="1" customWidth="1"/>
    <col min="135" max="135" width="6.6640625" bestFit="1" customWidth="1"/>
    <col min="136" max="136" width="6.10937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45809</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G1" t="s">
        <v>101</v>
      </c>
      <c r="BH1" s="3">
        <v>45809</v>
      </c>
      <c r="BI1" s="3">
        <v>45778</v>
      </c>
      <c r="BJ1" s="3">
        <f>+VLOOKUP(BJ2,datos!$D:$E,2,FALSE)</f>
        <v>45444</v>
      </c>
      <c r="BM1" s="3">
        <f>+A1</f>
        <v>45809</v>
      </c>
      <c r="BN1" s="3">
        <f>+VLOOKUP(BN2,datos!$D:$E,2,FALSE)</f>
        <v>45778</v>
      </c>
      <c r="BO1" s="3">
        <f>+VLOOKUP(BO2,datos!$D:$E,2,FALSE)</f>
        <v>45444</v>
      </c>
      <c r="BR1" s="3">
        <f>+A1</f>
        <v>45809</v>
      </c>
      <c r="BS1" s="3">
        <f>+VLOOKUP(BS2,datos!$D:$E,2,FALSE)</f>
        <v>45444</v>
      </c>
      <c r="BV1" s="3">
        <f>+A1</f>
        <v>45809</v>
      </c>
      <c r="BW1" s="3">
        <f>+VLOOKUP(BW2,datos!$D:$E,2,FALSE)</f>
        <v>45444</v>
      </c>
      <c r="BZ1" t="s">
        <v>279</v>
      </c>
      <c r="CA1" t="s">
        <v>280</v>
      </c>
      <c r="CD1" t="s">
        <v>279</v>
      </c>
      <c r="CE1" t="s">
        <v>280</v>
      </c>
      <c r="CH1" t="s">
        <v>282</v>
      </c>
      <c r="CI1" t="s">
        <v>283</v>
      </c>
      <c r="CJ1" s="3">
        <f>+A1</f>
        <v>45809</v>
      </c>
      <c r="CK1" s="3">
        <f>+VLOOKUP(CK2,datos!$D:$E,2,FALSE)</f>
        <v>45809</v>
      </c>
      <c r="CL1" s="3">
        <f>+VLOOKUP(CL2,datos!$D:$E,2,FALSE)</f>
        <v>45778</v>
      </c>
      <c r="CM1" s="3">
        <f>+VLOOKUP(CM2,datos!$D:$E,2,FALSE)</f>
        <v>45748</v>
      </c>
      <c r="CN1" s="3">
        <f>+VLOOKUP(CN2,datos!$D:$E,2,FALSE)</f>
        <v>45717</v>
      </c>
      <c r="CO1" s="3">
        <f>+VLOOKUP(CO2,datos!$D:$E,2,FALSE)</f>
        <v>45689</v>
      </c>
      <c r="CP1" s="3">
        <f>+VLOOKUP(CP2,datos!$D:$E,2,FALSE)</f>
        <v>45658</v>
      </c>
      <c r="CQ1" s="3">
        <f>+VLOOKUP(CQ2,datos!$D:$E,2,FALSE)</f>
        <v>45627</v>
      </c>
      <c r="CR1" s="3">
        <f>+VLOOKUP(CR2,datos!$D:$E,2,FALSE)</f>
        <v>45597</v>
      </c>
      <c r="CS1" s="3">
        <f>+VLOOKUP(CS2,datos!$D:$E,2,FALSE)</f>
        <v>45566</v>
      </c>
      <c r="CT1" s="3">
        <f>+VLOOKUP(CT2,datos!$D:$E,2,FALSE)</f>
        <v>45536</v>
      </c>
      <c r="CU1" s="3">
        <f>+VLOOKUP(CU2,datos!$D:$E,2,FALSE)</f>
        <v>45505</v>
      </c>
      <c r="CV1" s="3">
        <f>+VLOOKUP(CV2,datos!$D:$E,2,FALSE)</f>
        <v>45474</v>
      </c>
      <c r="CW1" s="3">
        <f>+VLOOKUP(CW2,datos!$D:$E,2,FALSE)</f>
        <v>45444</v>
      </c>
      <c r="CX1" s="3">
        <f>+VLOOKUP(CX2,datos!$D:$E,2,FALSE)</f>
        <v>45413</v>
      </c>
      <c r="CY1" s="3">
        <f>+VLOOKUP(CY2,datos!$D:$E,2,FALSE)</f>
        <v>45383</v>
      </c>
      <c r="CZ1" s="3">
        <f>+VLOOKUP(CZ2,datos!$D:$E,2,FALSE)</f>
        <v>45352</v>
      </c>
      <c r="DA1" s="3">
        <f>+VLOOKUP(DA2,datos!$D:$E,2,FALSE)</f>
        <v>45323</v>
      </c>
      <c r="DB1" s="3">
        <f>+VLOOKUP(DB2,datos!$D:$E,2,FALSE)</f>
        <v>45292</v>
      </c>
      <c r="DC1" s="3">
        <f>+VLOOKUP(DC2,datos!$D:$E,2,FALSE)</f>
        <v>45261</v>
      </c>
      <c r="DD1" s="3">
        <f>+VLOOKUP(DD2,datos!$D:$E,2,FALSE)</f>
        <v>45231</v>
      </c>
      <c r="DE1" s="3">
        <f>+VLOOKUP(DE2,datos!$D:$E,2,FALSE)</f>
        <v>45200</v>
      </c>
      <c r="DF1" s="3">
        <f>+VLOOKUP(DF2,datos!$D:$E,2,FALSE)</f>
        <v>45170</v>
      </c>
      <c r="DG1" s="3">
        <f>+VLOOKUP(DG2,datos!$D:$E,2,FALSE)</f>
        <v>45139</v>
      </c>
      <c r="DH1" s="3">
        <f>+VLOOKUP(DH2,datos!$D:$E,2,FALSE)</f>
        <v>45108</v>
      </c>
      <c r="DJ1" s="3">
        <f>+CK1</f>
        <v>45809</v>
      </c>
      <c r="DK1" s="3">
        <f>+VLOOKUP(DK2,datos!$D:$E,2,FALSE)</f>
        <v>45778</v>
      </c>
      <c r="DL1" s="3">
        <f>+VLOOKUP(DL2,datos!$D:$E,2,FALSE)</f>
        <v>45748</v>
      </c>
      <c r="DM1" s="3">
        <f>+VLOOKUP(DM2,datos!$D:$E,2,FALSE)</f>
        <v>45717</v>
      </c>
      <c r="DN1" s="3">
        <f>+VLOOKUP(DN2,datos!$D:$E,2,FALSE)</f>
        <v>45689</v>
      </c>
      <c r="DO1" s="3">
        <f>+VLOOKUP(DO2,datos!$D:$E,2,FALSE)</f>
        <v>45658</v>
      </c>
      <c r="DP1" s="3">
        <f>+VLOOKUP(DP2,datos!$D:$E,2,FALSE)</f>
        <v>45627</v>
      </c>
      <c r="DQ1" s="3">
        <f>+VLOOKUP(DQ2,datos!$D:$E,2,FALSE)</f>
        <v>45597</v>
      </c>
      <c r="DR1" s="3">
        <f>+VLOOKUP(DR2,datos!$D:$E,2,FALSE)</f>
        <v>45566</v>
      </c>
      <c r="DS1" s="3">
        <f>+VLOOKUP(DS2,datos!$D:$E,2,FALSE)</f>
        <v>45536</v>
      </c>
      <c r="DT1" s="3">
        <f>+VLOOKUP(DT2,datos!$D:$E,2,FALSE)</f>
        <v>45505</v>
      </c>
      <c r="DU1" s="3">
        <f>+VLOOKUP(DU2,datos!$D:$E,2,FALSE)</f>
        <v>45474</v>
      </c>
      <c r="DV1" s="3">
        <f>+VLOOKUP(DV2,datos!$D:$E,2,FALSE)</f>
        <v>45444</v>
      </c>
      <c r="DW1" s="3">
        <f>+VLOOKUP(DW2,datos!$D:$E,2,FALSE)</f>
        <v>45413</v>
      </c>
      <c r="DX1" s="3">
        <f>+VLOOKUP(DX2,datos!$D:$E,2,FALSE)</f>
        <v>45383</v>
      </c>
      <c r="DY1" s="3">
        <f>+VLOOKUP(DY2,datos!$D:$E,2,FALSE)</f>
        <v>45352</v>
      </c>
      <c r="DZ1" s="3">
        <f>+VLOOKUP(DZ2,datos!$D:$E,2,FALSE)</f>
        <v>45323</v>
      </c>
      <c r="EA1" s="3">
        <f>+VLOOKUP(EA2,datos!$D:$E,2,FALSE)</f>
        <v>45292</v>
      </c>
      <c r="EB1" s="3">
        <f>+VLOOKUP(EB2,datos!$D:$E,2,FALSE)</f>
        <v>45261</v>
      </c>
      <c r="EC1" s="3">
        <f>+VLOOKUP(EC2,datos!$D:$E,2,FALSE)</f>
        <v>45231</v>
      </c>
      <c r="ED1" s="3">
        <f>+VLOOKUP(ED2,datos!$D:$E,2,FALSE)</f>
        <v>45200</v>
      </c>
      <c r="EE1" s="3">
        <f>+VLOOKUP(EE2,datos!$D:$E,2,FALSE)</f>
        <v>45170</v>
      </c>
      <c r="EF1" s="3">
        <f>+VLOOKUP(EF2,datos!$D:$E,2,FALSE)</f>
        <v>45139</v>
      </c>
      <c r="EG1" s="3">
        <f>+VLOOKUP(EG2,datos!$D:$E,2,FALSE)</f>
        <v>45108</v>
      </c>
      <c r="EI1" s="14">
        <f>+CK1</f>
        <v>45809</v>
      </c>
      <c r="EJ1" s="14">
        <f t="shared" ref="EJ1:FF1" si="0">+CL1</f>
        <v>45778</v>
      </c>
      <c r="EK1" s="3">
        <f t="shared" si="0"/>
        <v>45748</v>
      </c>
      <c r="EL1" s="3">
        <f t="shared" si="0"/>
        <v>45717</v>
      </c>
      <c r="EM1" s="3">
        <f t="shared" si="0"/>
        <v>45689</v>
      </c>
      <c r="EN1" s="3">
        <f t="shared" si="0"/>
        <v>45658</v>
      </c>
      <c r="EO1" s="3">
        <f t="shared" si="0"/>
        <v>45627</v>
      </c>
      <c r="EP1" s="3">
        <f t="shared" si="0"/>
        <v>45597</v>
      </c>
      <c r="EQ1" s="3">
        <f t="shared" si="0"/>
        <v>45566</v>
      </c>
      <c r="ER1" s="3">
        <f t="shared" si="0"/>
        <v>45536</v>
      </c>
      <c r="ES1" s="3">
        <f t="shared" si="0"/>
        <v>45505</v>
      </c>
      <c r="ET1" s="3">
        <f t="shared" si="0"/>
        <v>45474</v>
      </c>
      <c r="EU1" s="3">
        <f t="shared" si="0"/>
        <v>45444</v>
      </c>
      <c r="EV1" s="3">
        <f t="shared" si="0"/>
        <v>45413</v>
      </c>
      <c r="EW1" s="3">
        <f t="shared" si="0"/>
        <v>45383</v>
      </c>
      <c r="EX1" s="3">
        <f t="shared" si="0"/>
        <v>45352</v>
      </c>
      <c r="EY1" s="3">
        <f t="shared" si="0"/>
        <v>45323</v>
      </c>
      <c r="EZ1" s="3">
        <f t="shared" si="0"/>
        <v>45292</v>
      </c>
      <c r="FA1" s="3">
        <f t="shared" si="0"/>
        <v>45261</v>
      </c>
      <c r="FB1" s="3">
        <f t="shared" si="0"/>
        <v>45231</v>
      </c>
      <c r="FC1" s="3">
        <f t="shared" si="0"/>
        <v>45200</v>
      </c>
      <c r="FD1" s="3">
        <f t="shared" si="0"/>
        <v>45170</v>
      </c>
      <c r="FE1" s="3">
        <f t="shared" si="0"/>
        <v>45139</v>
      </c>
      <c r="FF1" s="3">
        <f t="shared" si="0"/>
        <v>45108</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45474</v>
      </c>
      <c r="AQ2" s="174">
        <f>VLOOKUP(VLOOKUP(+$A$1,ran_ma,2,FALSE)-10,ran_idma,2,FALSE)</f>
        <v>45505</v>
      </c>
      <c r="AR2" s="174">
        <f>VLOOKUP(VLOOKUP(+$A$1,ran_ma,2,FALSE)-9,ran_idma,2,FALSE)</f>
        <v>45536</v>
      </c>
      <c r="AS2" s="174">
        <f>VLOOKUP(VLOOKUP(+$A$1,ran_ma,2,FALSE)-8,ran_idma,2,FALSE)</f>
        <v>45566</v>
      </c>
      <c r="AT2" s="59">
        <f>VLOOKUP(VLOOKUP(+$A$1,ran_ma,2,FALSE)-7,ran_idma,2,FALSE)</f>
        <v>45597</v>
      </c>
      <c r="AU2" s="59">
        <f>VLOOKUP(VLOOKUP(+$A$1,ran_ma,2,FALSE)-6,ran_idma,2,FALSE)</f>
        <v>45627</v>
      </c>
      <c r="AV2" s="59">
        <f>VLOOKUP(VLOOKUP(+$A$1,ran_ma,2,FALSE)-5,ran_idma,2,FALSE)</f>
        <v>45658</v>
      </c>
      <c r="AW2" s="59">
        <f>VLOOKUP(VLOOKUP(+$A$1,ran_ma,2,FALSE)-4,ran_idma,2,FALSE)</f>
        <v>45689</v>
      </c>
      <c r="AX2" s="59">
        <f>VLOOKUP(VLOOKUP(+$A$1,ran_ma,2,FALSE)-3,ran_idma,2,FALSE)</f>
        <v>45717</v>
      </c>
      <c r="AY2" s="59">
        <f>VLOOKUP(VLOOKUP(+$A$1,ran_ma,2,FALSE)-2,ran_idma,2,FALSE)</f>
        <v>45748</v>
      </c>
      <c r="AZ2" s="59">
        <f>VLOOKUP(VLOOKUP(+$A$1,ran_ma,2,FALSE)-1,ran_idma,2,FALSE)</f>
        <v>45778</v>
      </c>
      <c r="BA2" s="59">
        <f>+$A$1</f>
        <v>45809</v>
      </c>
      <c r="BB2" s="59"/>
      <c r="BC2" s="59"/>
      <c r="BD2" s="170"/>
      <c r="BF2" s="9" t="s">
        <v>272</v>
      </c>
      <c r="BH2">
        <f>+VLOOKUP(BH1,ran_dat,datos!$D$1,FALSE)</f>
        <v>123</v>
      </c>
      <c r="BI2">
        <f>+BH2-1</f>
        <v>122</v>
      </c>
      <c r="BJ2">
        <f>+BH2-12</f>
        <v>111</v>
      </c>
      <c r="BL2" s="9"/>
      <c r="BM2">
        <f>+VLOOKUP(BM1,ran_dat,datos!$D$1,FALSE)</f>
        <v>123</v>
      </c>
      <c r="BN2">
        <f>+BM2-1</f>
        <v>122</v>
      </c>
      <c r="BO2">
        <f>+BM2-12</f>
        <v>111</v>
      </c>
      <c r="BQ2" s="9"/>
      <c r="BR2">
        <f>+VLOOKUP(BR1,ran_dat,datos!$D$1,FALSE)</f>
        <v>123</v>
      </c>
      <c r="BS2">
        <f>+BR2-12</f>
        <v>111</v>
      </c>
      <c r="BU2" s="9"/>
      <c r="BV2">
        <f>+VLOOKUP(BV1,ran_dat,datos!$D$1,FALSE)</f>
        <v>123</v>
      </c>
      <c r="BW2">
        <f>+BV2-12</f>
        <v>111</v>
      </c>
      <c r="BY2" s="9"/>
      <c r="CC2" s="9"/>
      <c r="CJ2">
        <f>+VLOOKUP(CJ1,ran_dat,datos!$D$1,FALSE)</f>
        <v>123</v>
      </c>
      <c r="CK2">
        <f>+CJ2</f>
        <v>123</v>
      </c>
      <c r="CL2">
        <f t="shared" ref="CL2:DH2" si="1">+CK2-1</f>
        <v>122</v>
      </c>
      <c r="CM2">
        <f t="shared" si="1"/>
        <v>121</v>
      </c>
      <c r="CN2">
        <f t="shared" si="1"/>
        <v>120</v>
      </c>
      <c r="CO2">
        <f t="shared" si="1"/>
        <v>119</v>
      </c>
      <c r="CP2">
        <f t="shared" si="1"/>
        <v>118</v>
      </c>
      <c r="CQ2">
        <f t="shared" si="1"/>
        <v>117</v>
      </c>
      <c r="CR2">
        <f t="shared" si="1"/>
        <v>116</v>
      </c>
      <c r="CS2">
        <f t="shared" si="1"/>
        <v>115</v>
      </c>
      <c r="CT2">
        <f t="shared" si="1"/>
        <v>114</v>
      </c>
      <c r="CU2">
        <f t="shared" si="1"/>
        <v>113</v>
      </c>
      <c r="CV2">
        <f t="shared" si="1"/>
        <v>112</v>
      </c>
      <c r="CW2">
        <f t="shared" si="1"/>
        <v>111</v>
      </c>
      <c r="CX2">
        <f t="shared" si="1"/>
        <v>110</v>
      </c>
      <c r="CY2">
        <f t="shared" si="1"/>
        <v>109</v>
      </c>
      <c r="CZ2">
        <f t="shared" si="1"/>
        <v>108</v>
      </c>
      <c r="DA2">
        <f t="shared" si="1"/>
        <v>107</v>
      </c>
      <c r="DB2">
        <f t="shared" si="1"/>
        <v>106</v>
      </c>
      <c r="DC2">
        <f t="shared" si="1"/>
        <v>105</v>
      </c>
      <c r="DD2">
        <f t="shared" si="1"/>
        <v>104</v>
      </c>
      <c r="DE2">
        <f t="shared" si="1"/>
        <v>103</v>
      </c>
      <c r="DF2">
        <f t="shared" si="1"/>
        <v>102</v>
      </c>
      <c r="DG2">
        <f t="shared" si="1"/>
        <v>101</v>
      </c>
      <c r="DH2">
        <f t="shared" si="1"/>
        <v>100</v>
      </c>
      <c r="DJ2">
        <f>+VLOOKUP(DJ1,ran_dat,datos!$D$1,FALSE)</f>
        <v>123</v>
      </c>
      <c r="DK2">
        <f t="shared" ref="DK2:EG2" si="2">+DJ2-1</f>
        <v>122</v>
      </c>
      <c r="DL2">
        <f t="shared" si="2"/>
        <v>121</v>
      </c>
      <c r="DM2">
        <f t="shared" si="2"/>
        <v>120</v>
      </c>
      <c r="DN2">
        <f t="shared" si="2"/>
        <v>119</v>
      </c>
      <c r="DO2">
        <f t="shared" si="2"/>
        <v>118</v>
      </c>
      <c r="DP2">
        <f t="shared" si="2"/>
        <v>117</v>
      </c>
      <c r="DQ2">
        <f t="shared" si="2"/>
        <v>116</v>
      </c>
      <c r="DR2">
        <f t="shared" si="2"/>
        <v>115</v>
      </c>
      <c r="DS2">
        <f t="shared" si="2"/>
        <v>114</v>
      </c>
      <c r="DT2">
        <f t="shared" si="2"/>
        <v>113</v>
      </c>
      <c r="DU2">
        <f t="shared" si="2"/>
        <v>112</v>
      </c>
      <c r="DV2">
        <f t="shared" si="2"/>
        <v>111</v>
      </c>
      <c r="DW2">
        <f t="shared" si="2"/>
        <v>110</v>
      </c>
      <c r="DX2">
        <f t="shared" si="2"/>
        <v>109</v>
      </c>
      <c r="DY2">
        <f t="shared" si="2"/>
        <v>108</v>
      </c>
      <c r="DZ2">
        <f t="shared" si="2"/>
        <v>107</v>
      </c>
      <c r="EA2">
        <f t="shared" si="2"/>
        <v>106</v>
      </c>
      <c r="EB2">
        <f t="shared" si="2"/>
        <v>105</v>
      </c>
      <c r="EC2">
        <f t="shared" si="2"/>
        <v>104</v>
      </c>
      <c r="ED2">
        <f t="shared" si="2"/>
        <v>103</v>
      </c>
      <c r="EE2">
        <f t="shared" si="2"/>
        <v>102</v>
      </c>
      <c r="EF2">
        <f t="shared" si="2"/>
        <v>101</v>
      </c>
      <c r="EG2">
        <f t="shared" si="2"/>
        <v>100</v>
      </c>
      <c r="EI2" s="14">
        <f>+VLOOKUP(EI1,ran_dat,datos!$D$1,FALSE)</f>
        <v>123</v>
      </c>
      <c r="EJ2" s="14">
        <f t="shared" ref="EJ2:FF2" si="3">+EI2-1</f>
        <v>122</v>
      </c>
      <c r="EK2">
        <f t="shared" si="3"/>
        <v>121</v>
      </c>
      <c r="EL2">
        <f t="shared" si="3"/>
        <v>120</v>
      </c>
      <c r="EM2">
        <f t="shared" si="3"/>
        <v>119</v>
      </c>
      <c r="EN2">
        <f t="shared" si="3"/>
        <v>118</v>
      </c>
      <c r="EO2">
        <f t="shared" si="3"/>
        <v>117</v>
      </c>
      <c r="EP2">
        <f t="shared" si="3"/>
        <v>116</v>
      </c>
      <c r="EQ2">
        <f t="shared" si="3"/>
        <v>115</v>
      </c>
      <c r="ER2">
        <f t="shared" si="3"/>
        <v>114</v>
      </c>
      <c r="ES2">
        <f t="shared" si="3"/>
        <v>113</v>
      </c>
      <c r="ET2">
        <f t="shared" si="3"/>
        <v>112</v>
      </c>
      <c r="EU2">
        <f t="shared" si="3"/>
        <v>111</v>
      </c>
      <c r="EV2">
        <f t="shared" si="3"/>
        <v>110</v>
      </c>
      <c r="EW2">
        <f t="shared" si="3"/>
        <v>109</v>
      </c>
      <c r="EX2">
        <f t="shared" si="3"/>
        <v>108</v>
      </c>
      <c r="EY2">
        <f t="shared" si="3"/>
        <v>107</v>
      </c>
      <c r="EZ2">
        <f t="shared" si="3"/>
        <v>106</v>
      </c>
      <c r="FA2">
        <f t="shared" si="3"/>
        <v>105</v>
      </c>
      <c r="FB2">
        <f t="shared" si="3"/>
        <v>104</v>
      </c>
      <c r="FC2">
        <f t="shared" si="3"/>
        <v>103</v>
      </c>
      <c r="FD2">
        <f t="shared" si="3"/>
        <v>102</v>
      </c>
      <c r="FE2">
        <f t="shared" si="3"/>
        <v>101</v>
      </c>
      <c r="FF2">
        <f t="shared" si="3"/>
        <v>100</v>
      </c>
    </row>
    <row r="3" spans="1:164" ht="18.75" customHeight="1">
      <c r="A3" s="220"/>
      <c r="C3" s="155"/>
      <c r="D3" s="196">
        <v>0.33</v>
      </c>
      <c r="E3" s="100">
        <f>IFERROR(+BH5/BI5-1,"")</f>
        <v>1.6189248819933333E-2</v>
      </c>
      <c r="F3" s="56" t="s">
        <v>515</v>
      </c>
      <c r="G3" s="56"/>
      <c r="H3" s="56"/>
      <c r="I3" s="60">
        <f>IFERROR(+BH5/BJ5-1,"")</f>
        <v>0.39420440197112594</v>
      </c>
      <c r="J3" s="56" t="s">
        <v>515</v>
      </c>
      <c r="K3" s="56"/>
      <c r="L3" s="56"/>
      <c r="M3" s="32"/>
      <c r="N3" s="196">
        <v>0.33</v>
      </c>
      <c r="O3" s="31"/>
      <c r="S3" s="32"/>
      <c r="T3" s="196">
        <v>0.33</v>
      </c>
      <c r="U3" s="150" t="str">
        <f>TEXT(CV1,"MMM-YY")&amp;"."&amp;TEXT(CK1,"MMM-YY")&amp;" vs "&amp;TEXT(DH1,"MMM-YY")&amp;"."&amp;TEXT(CW1,"MMM-YY")</f>
        <v>jul-24.jun-25 vs jul-23.jun-24</v>
      </c>
      <c r="Y3" s="59" t="str">
        <f>TEXT(CK1,"MMM-YY")&amp;" vs "&amp;TEXT(CW1,"MMM-YY")</f>
        <v>jun-25 vs jun-24</v>
      </c>
      <c r="BF3" s="4" t="s">
        <v>3</v>
      </c>
      <c r="BG3" s="4"/>
      <c r="BH3" s="4"/>
      <c r="BI3" s="4"/>
      <c r="BJ3" s="4"/>
      <c r="BL3" s="27" t="s">
        <v>5</v>
      </c>
      <c r="BM3" s="27"/>
      <c r="BN3" s="27"/>
      <c r="BO3" s="27"/>
      <c r="BQ3" s="20" t="s">
        <v>15</v>
      </c>
      <c r="BR3" s="20"/>
      <c r="BS3" s="20"/>
      <c r="BU3" s="21" t="s">
        <v>2</v>
      </c>
      <c r="BV3" s="21"/>
      <c r="BW3" s="21"/>
      <c r="BY3" s="4" t="s">
        <v>7</v>
      </c>
      <c r="BZ3" s="4"/>
      <c r="CA3" s="4"/>
      <c r="CC3" s="43" t="s">
        <v>8</v>
      </c>
      <c r="CD3" s="43"/>
      <c r="CE3" s="43"/>
      <c r="CG3" s="22" t="s">
        <v>9</v>
      </c>
      <c r="CH3" s="22"/>
      <c r="CI3" s="22"/>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83"/>
      <c r="AP4" s="207"/>
      <c r="AQ4" s="207"/>
      <c r="AR4" s="207"/>
      <c r="AS4" s="207"/>
      <c r="AT4" s="19"/>
      <c r="AU4" s="19"/>
      <c r="AV4" s="19"/>
      <c r="AW4" s="19"/>
      <c r="AX4" s="19"/>
      <c r="AY4" s="19"/>
      <c r="AZ4" s="19"/>
      <c r="BA4" s="19"/>
      <c r="BB4" s="19"/>
      <c r="BC4" s="19"/>
      <c r="BD4" s="141" t="s">
        <v>390</v>
      </c>
      <c r="BF4" s="9"/>
      <c r="BL4" s="9"/>
      <c r="BQ4" s="9"/>
      <c r="BU4" s="9"/>
      <c r="BY4" s="9"/>
      <c r="CC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E5">
        <f>+A3</f>
        <v>0</v>
      </c>
      <c r="BF5">
        <f>+datos!G1</f>
        <v>7</v>
      </c>
      <c r="BG5" s="2" t="str">
        <f t="shared" ref="BG5:BJ24" si="4">+VLOOKUP(BG$1,ran_dat,$BF5,FALSE)</f>
        <v>Índice</v>
      </c>
      <c r="BH5" s="2">
        <f t="shared" si="4"/>
        <v>8855.5681000000004</v>
      </c>
      <c r="BI5" s="2">
        <f t="shared" si="4"/>
        <v>8714.4871000000003</v>
      </c>
      <c r="BJ5" s="2">
        <f t="shared" si="4"/>
        <v>6351.7</v>
      </c>
    </row>
    <row r="6" spans="1:164" ht="18.75" customHeight="1">
      <c r="A6" s="243" t="s">
        <v>28</v>
      </c>
      <c r="B6" s="246"/>
      <c r="C6" s="156">
        <f t="shared" ref="C6:C24" si="5">+D6*$D$3+N6*$N$3+T6*$T$3</f>
        <v>0</v>
      </c>
      <c r="D6" s="198">
        <v>-2</v>
      </c>
      <c r="E6" s="248">
        <f t="shared" ref="E6:E24" si="6">IFERROR(+BH6/BI6-1,"")</f>
        <v>-2.5036502211106537E-4</v>
      </c>
      <c r="F6" s="249">
        <f t="shared" ref="F6:F24" si="7">+E6-$E$3</f>
        <v>-1.6439613842044398E-2</v>
      </c>
      <c r="G6" s="248">
        <f t="shared" ref="G6:G24" si="8">IFERROR(+BM6/BN6-1,"")</f>
        <v>1.196205552660734E-2</v>
      </c>
      <c r="H6" s="249">
        <f t="shared" ref="H6:H24" si="9">E6-G6</f>
        <v>-1.2212420548718406E-2</v>
      </c>
      <c r="I6" s="248">
        <f t="shared" ref="I6:I24" si="10">IFERROR(+BH6/BJ6-1,"")</f>
        <v>0.15868151394369923</v>
      </c>
      <c r="J6" s="249">
        <f t="shared" ref="J6:J26" si="11">+I6-$I$3</f>
        <v>-0.23552288802742671</v>
      </c>
      <c r="K6" s="248">
        <f t="shared" ref="K6:K24" si="12">IFERROR(+BM6/BO6-1,"")</f>
        <v>0.24286750227210718</v>
      </c>
      <c r="L6" s="249">
        <f t="shared" ref="L6:L24" si="13">I6-K6</f>
        <v>-8.4185988328407957E-2</v>
      </c>
      <c r="M6" s="250"/>
      <c r="N6" s="24">
        <v>1</v>
      </c>
      <c r="O6" s="248">
        <f>IFERROR(+BR6/BS6-1,"")</f>
        <v>6.1538461538461542E-2</v>
      </c>
      <c r="P6" s="251">
        <f>+O6</f>
        <v>6.1538461538461542E-2</v>
      </c>
      <c r="Q6" s="248">
        <f t="shared" ref="Q6:Q24" si="14">IFERROR(+BV6/BW6-1,"")</f>
        <v>-0.23076923076923073</v>
      </c>
      <c r="R6" s="251">
        <f>+Q6</f>
        <v>-0.23076923076923073</v>
      </c>
      <c r="S6" s="250"/>
      <c r="T6" s="24">
        <v>1</v>
      </c>
      <c r="U6" s="248">
        <f t="shared" ref="U6:U24" si="15">IFERROR(+BZ6/CA6-1,"")</f>
        <v>-5.5871555724741007E-2</v>
      </c>
      <c r="V6" s="252">
        <f t="shared" ref="V6:V24" si="16">+U6</f>
        <v>-5.5871555724741007E-2</v>
      </c>
      <c r="W6" s="248">
        <f>IFERROR(IF(CD6&lt;0.5,"",+CD6/CE6-1),"")</f>
        <v>0.22910252931666086</v>
      </c>
      <c r="X6" s="252">
        <f t="shared" ref="X6:X24" si="17">+W6</f>
        <v>0.22910252931666086</v>
      </c>
      <c r="Y6" s="248" t="str">
        <f t="shared" ref="Y6:Y25" si="18">IFERROR(+CH6/CI6-1,"")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3</v>
      </c>
      <c r="AQ6" s="28">
        <f>VLOOKUP($A6,historia!$A$5:$CM$24,+HLOOKUP(AQ$2,historia!$A$3:$EC$4,2,FALSE),FALSE)</f>
        <v>3</v>
      </c>
      <c r="AR6" s="28">
        <f>VLOOKUP($A6,historia!$A$5:$CM$24,+HLOOKUP(AR$2,historia!$A$3:$EC$4,2,FALSE),FALSE)</f>
        <v>3</v>
      </c>
      <c r="AS6" s="28">
        <f>VLOOKUP($A6,historia!$A$5:$CM$24,+HLOOKUP(AS$2,historia!$A$3:$EC$4,2,FALSE),FALSE)</f>
        <v>3</v>
      </c>
      <c r="AT6" s="58">
        <f>VLOOKUP($A6,historia!$A$5:$CM$24,+HLOOKUP(AT$2,historia!$A$3:$EC$4,2,FALSE),FALSE)</f>
        <v>3</v>
      </c>
      <c r="AU6" s="58">
        <f>VLOOKUP($A6,historia!$A$5:$CM$24,+HLOOKUP(AU$2,historia!$A$3:$EC$4,2,FALSE),FALSE)</f>
        <v>3</v>
      </c>
      <c r="AV6" s="58">
        <f>VLOOKUP($A6,historia!$A$5:$CM$24,+HLOOKUP(AV$2,historia!$A$3:$EC$4,2,FALSE),FALSE)</f>
        <v>4</v>
      </c>
      <c r="AW6" s="58">
        <f>VLOOKUP($A6,historia!$A$5:$CM$24,+HLOOKUP(AW$2,historia!$A$3:$EC$4,2,FALSE),FALSE)</f>
        <v>4</v>
      </c>
      <c r="AX6" s="58">
        <f>VLOOKUP($A6,historia!$A$5:$CM$24,+HLOOKUP(AX$2,historia!$A$3:$EC$4,2,FALSE),FALSE)</f>
        <v>4</v>
      </c>
      <c r="AY6" s="58">
        <f>VLOOKUP($A6,historia!$A$5:$CM$24,+HLOOKUP(AY$2,historia!$A$3:$EC$4,2,FALSE),FALSE)</f>
        <v>4</v>
      </c>
      <c r="AZ6" s="58">
        <f>VLOOKUP($A6,historia!$A$5:$CM$24,+HLOOKUP(AZ$2,historia!$A$3:$EC$4,2,FALSE),FALSE)</f>
        <v>3</v>
      </c>
      <c r="BA6" s="58">
        <f>VLOOKUP($A6,historia!$A$5:$CM$24,+HLOOKUP(BA$2,historia!$A$3:$EC$4,2,FALSE),FALSE)</f>
        <v>3</v>
      </c>
      <c r="BB6" s="58"/>
      <c r="BC6" s="58"/>
      <c r="BD6" s="286">
        <v>3</v>
      </c>
      <c r="BE6" t="str">
        <f t="shared" ref="BE6:BE24" si="20">+A6</f>
        <v>Algodón</v>
      </c>
      <c r="BF6">
        <f>+datos!P1</f>
        <v>16</v>
      </c>
      <c r="BG6" s="2" t="str">
        <f t="shared" si="4"/>
        <v>$/kg</v>
      </c>
      <c r="BH6" s="2">
        <f t="shared" si="4"/>
        <v>1349.8156249999997</v>
      </c>
      <c r="BI6" s="2">
        <f t="shared" si="4"/>
        <v>1350.15365625</v>
      </c>
      <c r="BJ6" s="2">
        <f t="shared" si="4"/>
        <v>1164.95828125</v>
      </c>
      <c r="BL6">
        <f>+datos!BY1</f>
        <v>77</v>
      </c>
      <c r="BM6" s="2">
        <f t="shared" ref="BM6:BO24" si="21">+VLOOKUP(BM$1,ran_dat,$BL6,FALSE)</f>
        <v>10031.13655561282</v>
      </c>
      <c r="BN6" s="2">
        <f t="shared" si="21"/>
        <v>9912.5619392841691</v>
      </c>
      <c r="BO6" s="2">
        <f t="shared" si="21"/>
        <v>8070.9621397894225</v>
      </c>
      <c r="BQ6" s="1">
        <f>+datos!DK1</f>
        <v>115</v>
      </c>
      <c r="BR6" s="1">
        <f t="shared" ref="BR6:BS24" si="22">+VLOOKUP(BR$1,ran_dat,$BQ6,FALSE)</f>
        <v>690000</v>
      </c>
      <c r="BS6" s="1">
        <f t="shared" si="22"/>
        <v>650000</v>
      </c>
      <c r="BU6" s="1">
        <f>+datos!FF1</f>
        <v>162</v>
      </c>
      <c r="BV6" s="1">
        <f t="shared" ref="BV6:BW24" si="23">+VLOOKUP(BV$1,ran_dat,$BU6,FALSE)</f>
        <v>1000000</v>
      </c>
      <c r="BW6" s="1">
        <f t="shared" si="23"/>
        <v>1300000</v>
      </c>
      <c r="BY6" s="1">
        <f>+datos!JF1</f>
        <v>266</v>
      </c>
      <c r="BZ6" s="1">
        <f>+SUM(CK6:CV6)</f>
        <v>151.50996506999999</v>
      </c>
      <c r="CA6" s="1">
        <f>+SUM(CW6:DH6)</f>
        <v>160.47600937000001</v>
      </c>
      <c r="CC6" s="1">
        <f>+datos!KK1</f>
        <v>297</v>
      </c>
      <c r="CD6" s="2">
        <f t="shared" ref="CD6:CD24" si="24">+SUM(DJ6:DU6)</f>
        <v>89.005979619999991</v>
      </c>
      <c r="CE6" s="2">
        <f t="shared" ref="CE6:CE24" si="25">+SUM(DV6:EG6)</f>
        <v>72.415423039999993</v>
      </c>
      <c r="CG6" s="1">
        <f>+datos!HS1</f>
        <v>227</v>
      </c>
      <c r="CH6" s="1">
        <f t="shared" ref="CH6:CH24" si="26">+EI6</f>
        <v>0</v>
      </c>
      <c r="CI6" s="1">
        <f t="shared" ref="CI6:CI24" si="27">+EU6</f>
        <v>0</v>
      </c>
      <c r="CK6" s="1">
        <f t="shared" ref="CK6:CZ21" si="28">+VLOOKUP(CK$1,ran_dat,$BY6,FALSE)</f>
        <v>8.2931694499999988</v>
      </c>
      <c r="CL6" s="1">
        <f t="shared" si="28"/>
        <v>5.0945514700000007</v>
      </c>
      <c r="CM6" s="1">
        <f t="shared" si="28"/>
        <v>7.3093251500000047</v>
      </c>
      <c r="CN6" s="1">
        <f t="shared" si="28"/>
        <v>6.7908860800000017</v>
      </c>
      <c r="CO6" s="1">
        <f t="shared" si="28"/>
        <v>8.6490729999999978</v>
      </c>
      <c r="CP6" s="1">
        <f t="shared" si="28"/>
        <v>6.462363250000001</v>
      </c>
      <c r="CQ6" s="1">
        <f t="shared" si="28"/>
        <v>10.78045292</v>
      </c>
      <c r="CR6" s="1">
        <f t="shared" si="28"/>
        <v>14.805583519999997</v>
      </c>
      <c r="CS6" s="1">
        <f t="shared" si="28"/>
        <v>17.696202909999993</v>
      </c>
      <c r="CT6" s="1">
        <f t="shared" si="28"/>
        <v>21.922029789999996</v>
      </c>
      <c r="CU6" s="1">
        <f t="shared" si="28"/>
        <v>19.20970509</v>
      </c>
      <c r="CV6" s="1">
        <f t="shared" si="28"/>
        <v>24.496622440000007</v>
      </c>
      <c r="CW6" s="1">
        <f t="shared" si="28"/>
        <v>21.439575039999998</v>
      </c>
      <c r="CX6" s="1">
        <f t="shared" si="28"/>
        <v>14.529816729999997</v>
      </c>
      <c r="CY6" s="1">
        <f t="shared" si="28"/>
        <v>18.258202080000007</v>
      </c>
      <c r="CZ6" s="1">
        <f t="shared" si="28"/>
        <v>18.510441480000001</v>
      </c>
      <c r="DA6" s="1">
        <f t="shared" ref="DA6:DH21" si="29">+VLOOKUP(DA$1,ran_dat,$BY6,FALSE)</f>
        <v>7.7064561400000011</v>
      </c>
      <c r="DB6" s="1">
        <f t="shared" si="29"/>
        <v>8.1062574399999985</v>
      </c>
      <c r="DC6" s="1">
        <f t="shared" si="29"/>
        <v>8.4463773399999997</v>
      </c>
      <c r="DD6" s="1">
        <f t="shared" si="29"/>
        <v>15.019774559999998</v>
      </c>
      <c r="DE6" s="1">
        <f t="shared" si="29"/>
        <v>14.398572559999998</v>
      </c>
      <c r="DF6" s="1">
        <f t="shared" si="29"/>
        <v>16.61514231</v>
      </c>
      <c r="DG6" s="1">
        <f t="shared" si="29"/>
        <v>14.3155891</v>
      </c>
      <c r="DH6" s="1">
        <f t="shared" si="29"/>
        <v>3.12980459</v>
      </c>
      <c r="DJ6" s="1">
        <f t="shared" ref="DJ6:DY21" si="30">+VLOOKUP(DJ$1,ran_dat,$CC6,FALSE)</f>
        <v>9.4337625599999999</v>
      </c>
      <c r="DK6" s="1">
        <f t="shared" si="30"/>
        <v>9.66008332</v>
      </c>
      <c r="DL6" s="1">
        <f t="shared" si="30"/>
        <v>10.467826709999999</v>
      </c>
      <c r="DM6" s="1">
        <f t="shared" si="30"/>
        <v>7.9836210200000002</v>
      </c>
      <c r="DN6" s="1">
        <f t="shared" si="30"/>
        <v>9.7355070900000005</v>
      </c>
      <c r="DO6" s="1">
        <f t="shared" si="30"/>
        <v>7.6983577599999995</v>
      </c>
      <c r="DP6" s="1">
        <f t="shared" si="30"/>
        <v>8.003268180000001</v>
      </c>
      <c r="DQ6" s="1">
        <f t="shared" si="30"/>
        <v>5.6011509000000004</v>
      </c>
      <c r="DR6" s="1">
        <f t="shared" si="30"/>
        <v>5.8112020999999991</v>
      </c>
      <c r="DS6" s="1">
        <f t="shared" si="30"/>
        <v>6.3060080799999998</v>
      </c>
      <c r="DT6" s="1">
        <f t="shared" si="30"/>
        <v>3.7690183000000008</v>
      </c>
      <c r="DU6" s="1">
        <f t="shared" si="30"/>
        <v>4.5361736000000006</v>
      </c>
      <c r="DV6" s="1">
        <f t="shared" si="30"/>
        <v>3.2956469100000003</v>
      </c>
      <c r="DW6" s="1">
        <f t="shared" si="30"/>
        <v>4.5516111999999991</v>
      </c>
      <c r="DX6" s="1">
        <f t="shared" si="30"/>
        <v>3.9375346699999998</v>
      </c>
      <c r="DY6" s="1">
        <f t="shared" si="30"/>
        <v>4.8118603300000009</v>
      </c>
      <c r="DZ6" s="1">
        <f t="shared" ref="DZ6:EG20" si="31">+VLOOKUP(DZ$1,ran_dat,$CC6,FALSE)</f>
        <v>5.2295233099999994</v>
      </c>
      <c r="EA6" s="1">
        <f t="shared" si="31"/>
        <v>7.4159317900000001</v>
      </c>
      <c r="EB6" s="1">
        <f t="shared" si="31"/>
        <v>3.5587731599999999</v>
      </c>
      <c r="EC6" s="1">
        <f t="shared" si="31"/>
        <v>6.9479693099999986</v>
      </c>
      <c r="ED6" s="1">
        <f t="shared" si="31"/>
        <v>7.5746309199999997</v>
      </c>
      <c r="EE6" s="1">
        <f t="shared" si="31"/>
        <v>8.1137987799999998</v>
      </c>
      <c r="EF6" s="1">
        <f t="shared" si="31"/>
        <v>9.2876289100000005</v>
      </c>
      <c r="EG6" s="1">
        <f t="shared" si="31"/>
        <v>7.69051375</v>
      </c>
      <c r="EI6" s="14">
        <f t="shared" ref="EI6:EX21" si="32">+VLOOKUP(EI$1,ran_dat,$CG6,FALSE)</f>
        <v>0</v>
      </c>
      <c r="EJ6" s="14">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si="32"/>
        <v>0</v>
      </c>
      <c r="EY6" s="1">
        <f t="shared" ref="EY6:FF20" si="33">+VLOOKUP(EY$1,ran_dat,$CG6,FALSE)</f>
        <v>0</v>
      </c>
      <c r="EZ6" s="1">
        <f t="shared" si="33"/>
        <v>0</v>
      </c>
      <c r="FA6" s="1">
        <f t="shared" si="33"/>
        <v>0</v>
      </c>
      <c r="FB6" s="1">
        <f t="shared" si="33"/>
        <v>0</v>
      </c>
      <c r="FC6" s="1">
        <f t="shared" si="33"/>
        <v>0</v>
      </c>
      <c r="FD6" s="1">
        <f t="shared" si="33"/>
        <v>0</v>
      </c>
      <c r="FE6" s="1">
        <f t="shared" si="33"/>
        <v>0</v>
      </c>
      <c r="FF6" s="1">
        <f t="shared" si="33"/>
        <v>0</v>
      </c>
      <c r="FH6" s="162">
        <f t="shared" ref="FH6:FH24" si="34">+I6-K6</f>
        <v>-8.4185988328407957E-2</v>
      </c>
    </row>
    <row r="7" spans="1:164" ht="18.75" customHeight="1">
      <c r="A7" s="244" t="s">
        <v>13</v>
      </c>
      <c r="B7" s="247"/>
      <c r="C7" s="228">
        <f t="shared" si="5"/>
        <v>-0.33</v>
      </c>
      <c r="D7" s="229">
        <v>-1</v>
      </c>
      <c r="E7" s="253">
        <f t="shared" si="6"/>
        <v>-0.13043478260869568</v>
      </c>
      <c r="F7" s="254">
        <f t="shared" si="7"/>
        <v>-0.14662403142862901</v>
      </c>
      <c r="G7" s="253">
        <f t="shared" si="8"/>
        <v>4.8274467797915221E-2</v>
      </c>
      <c r="H7" s="254">
        <f t="shared" si="9"/>
        <v>-0.1787092504066109</v>
      </c>
      <c r="I7" s="253">
        <f t="shared" si="10"/>
        <v>-0.47622668786347522</v>
      </c>
      <c r="J7" s="254">
        <f t="shared" si="11"/>
        <v>-0.87043108983460116</v>
      </c>
      <c r="K7" s="253">
        <f t="shared" si="12"/>
        <v>0.24011377534496359</v>
      </c>
      <c r="L7" s="254">
        <f t="shared" si="13"/>
        <v>-0.7163404632084388</v>
      </c>
      <c r="M7" s="255"/>
      <c r="N7" s="256">
        <v>1</v>
      </c>
      <c r="O7" s="253">
        <f t="shared" ref="O7:O24" si="35">IFERROR(+BR7/BS7-1,"")</f>
        <v>0.14999999999999991</v>
      </c>
      <c r="P7" s="257">
        <f t="shared" ref="P7:P24" si="36">+O7</f>
        <v>0.14999999999999991</v>
      </c>
      <c r="Q7" s="253">
        <f t="shared" si="14"/>
        <v>0.23076923076923084</v>
      </c>
      <c r="R7" s="257">
        <f t="shared" ref="R7:R24" si="37">+Q7</f>
        <v>0.23076923076923084</v>
      </c>
      <c r="S7" s="255"/>
      <c r="T7" s="256">
        <v>-1</v>
      </c>
      <c r="U7" s="253">
        <f t="shared" si="15"/>
        <v>0.63613248534827904</v>
      </c>
      <c r="V7" s="258">
        <f t="shared" si="16"/>
        <v>0.63613248534827904</v>
      </c>
      <c r="W7" s="253">
        <f t="shared" ref="W7:W24" si="38">IFERROR(IF(CD7&lt;0.5,"",+CD7/CE7-1),"")</f>
        <v>0.66859131748512723</v>
      </c>
      <c r="X7" s="258">
        <f t="shared" si="17"/>
        <v>0.66859131748512723</v>
      </c>
      <c r="Y7" s="253">
        <f t="shared" si="18"/>
        <v>0.41428571428571437</v>
      </c>
      <c r="Z7" s="258">
        <f t="shared" si="19"/>
        <v>0.41428571428571437</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4</v>
      </c>
      <c r="AQ7" s="28">
        <f>VLOOKUP($A7,historia!$A$5:$CM$24,+HLOOKUP(AQ$2,historia!$A$3:$EC$4,2,FALSE),FALSE)</f>
        <v>4</v>
      </c>
      <c r="AR7" s="28">
        <f>VLOOKUP($A7,historia!$A$5:$CM$24,+HLOOKUP(AR$2,historia!$A$3:$EC$4,2,FALSE),FALSE)</f>
        <v>4</v>
      </c>
      <c r="AS7" s="28">
        <f>VLOOKUP($A7,historia!$A$5:$CM$24,+HLOOKUP(AS$2,historia!$A$3:$EC$4,2,FALSE),FALSE)</f>
        <v>4</v>
      </c>
      <c r="AT7" s="58">
        <f>VLOOKUP($A7,historia!$A$5:$CM$24,+HLOOKUP(AT$2,historia!$A$3:$EC$4,2,FALSE),FALSE)</f>
        <v>4</v>
      </c>
      <c r="AU7" s="58">
        <f>VLOOKUP($A7,historia!$A$5:$CM$24,+HLOOKUP(AU$2,historia!$A$3:$EC$4,2,FALSE),FALSE)</f>
        <v>4</v>
      </c>
      <c r="AV7" s="58">
        <f>VLOOKUP($A7,historia!$A$5:$CM$24,+HLOOKUP(AV$2,historia!$A$3:$EC$4,2,FALSE),FALSE)</f>
        <v>4</v>
      </c>
      <c r="AW7" s="58">
        <f>VLOOKUP($A7,historia!$A$5:$CM$24,+HLOOKUP(AW$2,historia!$A$3:$EC$4,2,FALSE),FALSE)</f>
        <v>4</v>
      </c>
      <c r="AX7" s="58">
        <f>VLOOKUP($A7,historia!$A$5:$CM$24,+HLOOKUP(AX$2,historia!$A$3:$EC$4,2,FALSE),FALSE)</f>
        <v>4</v>
      </c>
      <c r="AY7" s="58">
        <f>VLOOKUP($A7,historia!$A$5:$CM$24,+HLOOKUP(AY$2,historia!$A$3:$EC$4,2,FALSE),FALSE)</f>
        <v>4</v>
      </c>
      <c r="AZ7" s="58">
        <f>VLOOKUP($A7,historia!$A$5:$CM$24,+HLOOKUP(AZ$2,historia!$A$3:$EC$4,2,FALSE),FALSE)</f>
        <v>4</v>
      </c>
      <c r="BA7" s="58">
        <f>VLOOKUP($A7,historia!$A$5:$CM$24,+HLOOKUP(BA$2,historia!$A$3:$EC$4,2,FALSE),FALSE)</f>
        <v>4</v>
      </c>
      <c r="BB7" s="58"/>
      <c r="BC7" s="58"/>
      <c r="BD7" s="286">
        <v>4</v>
      </c>
      <c r="BE7" t="str">
        <f t="shared" si="20"/>
        <v>Arroz</v>
      </c>
      <c r="BF7">
        <f>+datos!R1</f>
        <v>18</v>
      </c>
      <c r="BG7" s="2" t="str">
        <f t="shared" si="4"/>
        <v>$/t</v>
      </c>
      <c r="BH7" s="2">
        <f t="shared" si="4"/>
        <v>200000</v>
      </c>
      <c r="BI7" s="2">
        <f t="shared" si="4"/>
        <v>230000</v>
      </c>
      <c r="BJ7" s="2">
        <f t="shared" si="4"/>
        <v>381844.57925925928</v>
      </c>
      <c r="BL7">
        <f>+datos!BZ1</f>
        <v>78</v>
      </c>
      <c r="BM7" s="2">
        <f t="shared" si="21"/>
        <v>9755.5208336160122</v>
      </c>
      <c r="BN7" s="2">
        <f t="shared" si="21"/>
        <v>9306.2658047078057</v>
      </c>
      <c r="BO7" s="2">
        <f t="shared" si="21"/>
        <v>7866.6337134286805</v>
      </c>
      <c r="BQ7" s="1">
        <f>+datos!DM1</f>
        <v>117</v>
      </c>
      <c r="BR7" s="1">
        <f t="shared" si="22"/>
        <v>230000</v>
      </c>
      <c r="BS7" s="1">
        <f t="shared" si="22"/>
        <v>200000</v>
      </c>
      <c r="BU7" s="1">
        <f>+datos!FH1</f>
        <v>164</v>
      </c>
      <c r="BV7" s="1">
        <f t="shared" si="23"/>
        <v>1600000</v>
      </c>
      <c r="BW7" s="1">
        <f t="shared" si="23"/>
        <v>1300000</v>
      </c>
      <c r="BY7" s="1">
        <f>+datos!JG1</f>
        <v>267</v>
      </c>
      <c r="BZ7" s="1">
        <f t="shared" ref="BZ7:BZ24" si="39">+SUM(CK7:CV7)</f>
        <v>394.58294157</v>
      </c>
      <c r="CA7" s="1">
        <f t="shared" ref="CA7:CA24" si="40">+SUM(CW7:DH7)</f>
        <v>241.16808700000001</v>
      </c>
      <c r="CC7" s="1">
        <f>+datos!KL1</f>
        <v>298</v>
      </c>
      <c r="CD7" s="2">
        <f t="shared" si="24"/>
        <v>4.7957859399999991</v>
      </c>
      <c r="CE7" s="2">
        <f t="shared" si="25"/>
        <v>2.8741525200000004</v>
      </c>
      <c r="CG7" s="1">
        <f>+datos!HU1</f>
        <v>229</v>
      </c>
      <c r="CH7" s="1">
        <f t="shared" si="26"/>
        <v>990000</v>
      </c>
      <c r="CI7" s="1">
        <f t="shared" si="27"/>
        <v>700000</v>
      </c>
      <c r="CK7" s="1">
        <f t="shared" si="28"/>
        <v>31.537173230000004</v>
      </c>
      <c r="CL7" s="1">
        <f t="shared" si="28"/>
        <v>39.974175860000003</v>
      </c>
      <c r="CM7" s="1">
        <f t="shared" si="28"/>
        <v>35.910188569999995</v>
      </c>
      <c r="CN7" s="1">
        <f t="shared" si="28"/>
        <v>30.652184479999995</v>
      </c>
      <c r="CO7" s="1">
        <f t="shared" si="28"/>
        <v>94.896967090000004</v>
      </c>
      <c r="CP7" s="1">
        <f t="shared" si="28"/>
        <v>22.007364089999996</v>
      </c>
      <c r="CQ7" s="1">
        <f t="shared" si="28"/>
        <v>13.652213600000001</v>
      </c>
      <c r="CR7" s="1">
        <f t="shared" si="28"/>
        <v>21.789652239999999</v>
      </c>
      <c r="CS7" s="1">
        <f t="shared" si="28"/>
        <v>22.506187060000002</v>
      </c>
      <c r="CT7" s="1">
        <f t="shared" si="28"/>
        <v>26.198510359999997</v>
      </c>
      <c r="CU7" s="1">
        <f t="shared" si="28"/>
        <v>16.658344929999998</v>
      </c>
      <c r="CV7" s="1">
        <f t="shared" si="28"/>
        <v>38.799980059999996</v>
      </c>
      <c r="CW7" s="1">
        <f t="shared" si="28"/>
        <v>35.598317799999997</v>
      </c>
      <c r="CX7" s="1">
        <f t="shared" si="28"/>
        <v>32.785113670000001</v>
      </c>
      <c r="CY7" s="1">
        <f t="shared" si="28"/>
        <v>22.35722878</v>
      </c>
      <c r="CZ7" s="1">
        <f t="shared" si="28"/>
        <v>34.376458229999997</v>
      </c>
      <c r="DA7" s="1">
        <f t="shared" si="29"/>
        <v>13.355622539999999</v>
      </c>
      <c r="DB7" s="1">
        <f t="shared" si="29"/>
        <v>10.68224592</v>
      </c>
      <c r="DC7" s="1">
        <f t="shared" si="29"/>
        <v>15.82785018</v>
      </c>
      <c r="DD7" s="1">
        <f t="shared" si="29"/>
        <v>16.180063639999997</v>
      </c>
      <c r="DE7" s="1">
        <f t="shared" si="29"/>
        <v>11.823193960000001</v>
      </c>
      <c r="DF7" s="1">
        <f t="shared" si="29"/>
        <v>12.24327484</v>
      </c>
      <c r="DG7" s="1">
        <f t="shared" si="29"/>
        <v>9.600226039999999</v>
      </c>
      <c r="DH7" s="1">
        <f t="shared" si="29"/>
        <v>26.338491399999999</v>
      </c>
      <c r="DJ7" s="1">
        <f t="shared" si="30"/>
        <v>0.4195122</v>
      </c>
      <c r="DK7" s="1">
        <f t="shared" si="30"/>
        <v>0.20050375000000001</v>
      </c>
      <c r="DL7" s="1">
        <f t="shared" si="30"/>
        <v>0.34624290000000002</v>
      </c>
      <c r="DM7" s="1">
        <f t="shared" si="30"/>
        <v>0.15613090000000002</v>
      </c>
      <c r="DN7" s="1">
        <f t="shared" si="30"/>
        <v>0.47281664000000007</v>
      </c>
      <c r="DO7" s="1">
        <f t="shared" si="30"/>
        <v>0.84812041999999999</v>
      </c>
      <c r="DP7" s="1">
        <f t="shared" si="30"/>
        <v>0.25440681999999998</v>
      </c>
      <c r="DQ7" s="1">
        <f t="shared" si="30"/>
        <v>0.7620908099999999</v>
      </c>
      <c r="DR7" s="1">
        <f t="shared" si="30"/>
        <v>0.50490091999999998</v>
      </c>
      <c r="DS7" s="1">
        <f t="shared" si="30"/>
        <v>0.40961613000000002</v>
      </c>
      <c r="DT7" s="1">
        <f t="shared" si="30"/>
        <v>0.23587240000000001</v>
      </c>
      <c r="DU7" s="1">
        <f t="shared" si="30"/>
        <v>0.18557204999999999</v>
      </c>
      <c r="DV7" s="1">
        <f t="shared" si="30"/>
        <v>0.48301414000000004</v>
      </c>
      <c r="DW7" s="1">
        <f t="shared" si="30"/>
        <v>0.23845672000000001</v>
      </c>
      <c r="DX7" s="1">
        <f t="shared" si="30"/>
        <v>0.50080292000000004</v>
      </c>
      <c r="DY7" s="1">
        <f t="shared" si="30"/>
        <v>8.6091799999999996E-2</v>
      </c>
      <c r="DZ7" s="1">
        <f t="shared" si="31"/>
        <v>0.22536</v>
      </c>
      <c r="EA7" s="1">
        <f t="shared" si="31"/>
        <v>0.8256</v>
      </c>
      <c r="EB7" s="1">
        <f t="shared" si="31"/>
        <v>3.973985E-2</v>
      </c>
      <c r="EC7" s="1">
        <f t="shared" si="31"/>
        <v>3.3462720000000001E-2</v>
      </c>
      <c r="ED7" s="1">
        <f t="shared" si="31"/>
        <v>0.19098301000000001</v>
      </c>
      <c r="EE7" s="1">
        <f t="shared" si="31"/>
        <v>0.10767879</v>
      </c>
      <c r="EF7" s="1">
        <f t="shared" si="31"/>
        <v>5.5773490000000002E-2</v>
      </c>
      <c r="EG7" s="1">
        <f t="shared" si="31"/>
        <v>8.7189080000000002E-2</v>
      </c>
      <c r="EI7" s="14">
        <f t="shared" si="32"/>
        <v>990000</v>
      </c>
      <c r="EJ7" s="14">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2"/>
        <v>700000</v>
      </c>
      <c r="EY7" s="1">
        <f t="shared" si="33"/>
        <v>700000</v>
      </c>
      <c r="EZ7" s="1">
        <f t="shared" si="33"/>
        <v>700000</v>
      </c>
      <c r="FA7" s="1">
        <f t="shared" si="33"/>
        <v>700000</v>
      </c>
      <c r="FB7" s="1">
        <f t="shared" si="33"/>
        <v>700000</v>
      </c>
      <c r="FC7" s="1">
        <f t="shared" si="33"/>
        <v>700000</v>
      </c>
      <c r="FD7" s="1">
        <f t="shared" si="33"/>
        <v>700000</v>
      </c>
      <c r="FE7" s="1">
        <f t="shared" si="33"/>
        <v>700000</v>
      </c>
      <c r="FF7" s="1">
        <f t="shared" si="33"/>
        <v>700000</v>
      </c>
      <c r="FH7" s="162">
        <f t="shared" si="34"/>
        <v>-0.7163404632084388</v>
      </c>
    </row>
    <row r="8" spans="1:164" ht="18.75" customHeight="1">
      <c r="A8" s="243" t="s">
        <v>215</v>
      </c>
      <c r="B8" s="246"/>
      <c r="C8" s="156">
        <f t="shared" si="5"/>
        <v>-0.33</v>
      </c>
      <c r="D8" s="198">
        <v>0</v>
      </c>
      <c r="E8" s="248">
        <f t="shared" si="6"/>
        <v>6.1110986137578704E-2</v>
      </c>
      <c r="F8" s="249">
        <f t="shared" si="7"/>
        <v>4.4921737317645372E-2</v>
      </c>
      <c r="G8" s="248">
        <f t="shared" si="8"/>
        <v>2.1740839443391113E-2</v>
      </c>
      <c r="H8" s="249">
        <f t="shared" si="9"/>
        <v>3.9370146694187591E-2</v>
      </c>
      <c r="I8" s="248">
        <f t="shared" si="10"/>
        <v>0.70339723351423467</v>
      </c>
      <c r="J8" s="249">
        <f t="shared" si="11"/>
        <v>0.30919283154310873</v>
      </c>
      <c r="K8" s="248">
        <f t="shared" si="12"/>
        <v>0.31899432693206364</v>
      </c>
      <c r="L8" s="249">
        <f t="shared" si="13"/>
        <v>0.38440290658217102</v>
      </c>
      <c r="M8" s="250"/>
      <c r="N8" s="24">
        <v>0</v>
      </c>
      <c r="O8" s="248">
        <f t="shared" si="35"/>
        <v>2.3515257574100445E-2</v>
      </c>
      <c r="P8" s="251">
        <f t="shared" si="36"/>
        <v>2.3515257574100445E-2</v>
      </c>
      <c r="Q8" s="248">
        <f t="shared" si="14"/>
        <v>1.9764724653771326E-2</v>
      </c>
      <c r="R8" s="251">
        <f t="shared" si="37"/>
        <v>1.9764724653771326E-2</v>
      </c>
      <c r="S8" s="250"/>
      <c r="T8" s="24">
        <v>-1</v>
      </c>
      <c r="U8" s="248">
        <f t="shared" si="15"/>
        <v>-0.59520635805766098</v>
      </c>
      <c r="V8" s="252">
        <f t="shared" si="16"/>
        <v>-0.59520635805766098</v>
      </c>
      <c r="W8" s="248">
        <f t="shared" si="38"/>
        <v>1.5369644738147725E-2</v>
      </c>
      <c r="X8" s="252">
        <f t="shared" si="17"/>
        <v>1.5369644738147725E-2</v>
      </c>
      <c r="Y8" s="248">
        <f t="shared" si="18"/>
        <v>2.3411371237458178E-2</v>
      </c>
      <c r="Z8" s="252">
        <f t="shared" si="19"/>
        <v>2.3411371237458178E-2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3</v>
      </c>
      <c r="AX8" s="58">
        <f>VLOOKUP($A8,historia!$A$5:$CM$24,+HLOOKUP(AX$2,historia!$A$3:$EC$4,2,FALSE),FALSE)</f>
        <v>3</v>
      </c>
      <c r="AY8" s="58">
        <f>VLOOKUP($A8,historia!$A$5:$CM$24,+HLOOKUP(AY$2,historia!$A$3:$EC$4,2,FALSE),FALSE)</f>
        <v>3</v>
      </c>
      <c r="AZ8" s="58">
        <f>VLOOKUP($A8,historia!$A$5:$CM$24,+HLOOKUP(AZ$2,historia!$A$3:$EC$4,2,FALSE),FALSE)</f>
        <v>3</v>
      </c>
      <c r="BA8" s="58">
        <f>VLOOKUP($A8,historia!$A$5:$CM$24,+HLOOKUP(BA$2,historia!$A$3:$EC$4,2,FALSE),FALSE)</f>
        <v>2</v>
      </c>
      <c r="BB8" s="58"/>
      <c r="BC8" s="58"/>
      <c r="BD8" s="286">
        <v>2</v>
      </c>
      <c r="BE8" t="str">
        <f t="shared" si="20"/>
        <v>Aves</v>
      </c>
      <c r="BF8">
        <f>+datos!BQ1</f>
        <v>69</v>
      </c>
      <c r="BG8" s="2" t="str">
        <f t="shared" si="4"/>
        <v>prom pond huevo-carne</v>
      </c>
      <c r="BH8" s="2">
        <f t="shared" si="4"/>
        <v>2476.4499999999998</v>
      </c>
      <c r="BI8" s="2">
        <f t="shared" si="4"/>
        <v>2333.8274999999999</v>
      </c>
      <c r="BJ8" s="2">
        <f t="shared" si="4"/>
        <v>1453.83</v>
      </c>
      <c r="BL8">
        <f>+datos!DG1</f>
        <v>111</v>
      </c>
      <c r="BM8" s="2">
        <f t="shared" si="21"/>
        <v>9993.4588514171846</v>
      </c>
      <c r="BN8" s="2">
        <f t="shared" si="21"/>
        <v>9780.8157074951341</v>
      </c>
      <c r="BO8" s="2">
        <f t="shared" si="21"/>
        <v>7576.57455181148</v>
      </c>
      <c r="BQ8" s="1">
        <f>+datos!EP1</f>
        <v>146</v>
      </c>
      <c r="BR8" s="1">
        <f t="shared" si="22"/>
        <v>9358</v>
      </c>
      <c r="BS8" s="1">
        <f t="shared" si="22"/>
        <v>9143</v>
      </c>
      <c r="BU8" s="1">
        <f>+datos!HM1</f>
        <v>221</v>
      </c>
      <c r="BV8" s="1">
        <f t="shared" si="23"/>
        <v>2385357.406299287</v>
      </c>
      <c r="BW8" s="1">
        <f t="shared" si="23"/>
        <v>2339125.2400000002</v>
      </c>
      <c r="BY8" s="1">
        <f>+datos!KF1</f>
        <v>292</v>
      </c>
      <c r="BZ8" s="1">
        <f t="shared" si="39"/>
        <v>150.72491754000001</v>
      </c>
      <c r="CA8" s="1">
        <f t="shared" si="40"/>
        <v>372.35001226000003</v>
      </c>
      <c r="CC8" s="1">
        <f>+datos!LK1</f>
        <v>323</v>
      </c>
      <c r="CD8" s="2">
        <f t="shared" si="24"/>
        <v>38.321101300000002</v>
      </c>
      <c r="CE8" s="2">
        <f t="shared" si="25"/>
        <v>37.741035000000004</v>
      </c>
      <c r="CG8" s="1">
        <f>+datos!IL1</f>
        <v>246</v>
      </c>
      <c r="CH8" s="1">
        <f t="shared" si="26"/>
        <v>45.9</v>
      </c>
      <c r="CI8" s="1">
        <f t="shared" si="27"/>
        <v>44.85</v>
      </c>
      <c r="CK8" s="1">
        <f t="shared" si="28"/>
        <v>8.66231011</v>
      </c>
      <c r="CL8" s="1">
        <f t="shared" si="28"/>
        <v>7.3007548499999997</v>
      </c>
      <c r="CM8" s="1">
        <f t="shared" si="28"/>
        <v>9.0051498100000007</v>
      </c>
      <c r="CN8" s="1">
        <f t="shared" si="28"/>
        <v>5.9149876199999998</v>
      </c>
      <c r="CO8" s="1">
        <f t="shared" si="28"/>
        <v>8.0094020700000002</v>
      </c>
      <c r="CP8" s="1">
        <f t="shared" si="28"/>
        <v>5.62476749</v>
      </c>
      <c r="CQ8" s="1">
        <f t="shared" si="28"/>
        <v>10.456415849999999</v>
      </c>
      <c r="CR8" s="1">
        <f t="shared" si="28"/>
        <v>8.1147673099999995</v>
      </c>
      <c r="CS8" s="1">
        <f t="shared" si="28"/>
        <v>20.968439010000004</v>
      </c>
      <c r="CT8" s="1">
        <f t="shared" si="28"/>
        <v>22.566015059999998</v>
      </c>
      <c r="CU8" s="1">
        <f t="shared" si="28"/>
        <v>20.944876220000001</v>
      </c>
      <c r="CV8" s="1">
        <f t="shared" si="28"/>
        <v>23.157032140000002</v>
      </c>
      <c r="CW8" s="1">
        <f t="shared" si="28"/>
        <v>19.314763240000005</v>
      </c>
      <c r="CX8" s="1">
        <f t="shared" si="28"/>
        <v>22.778743510000002</v>
      </c>
      <c r="CY8" s="1">
        <f t="shared" si="28"/>
        <v>39.062197300000001</v>
      </c>
      <c r="CZ8" s="1">
        <f t="shared" si="28"/>
        <v>40.013868680000002</v>
      </c>
      <c r="DA8" s="1">
        <f t="shared" si="29"/>
        <v>35.607742460000011</v>
      </c>
      <c r="DB8" s="1">
        <f t="shared" si="29"/>
        <v>32.51792974</v>
      </c>
      <c r="DC8" s="1">
        <f t="shared" si="29"/>
        <v>35.210116300000003</v>
      </c>
      <c r="DD8" s="1">
        <f t="shared" si="29"/>
        <v>30.603465830000005</v>
      </c>
      <c r="DE8" s="1">
        <f t="shared" si="29"/>
        <v>35.017556320000004</v>
      </c>
      <c r="DF8" s="1">
        <f t="shared" si="29"/>
        <v>24.343011479999998</v>
      </c>
      <c r="DG8" s="1">
        <f t="shared" si="29"/>
        <v>32.053320659999997</v>
      </c>
      <c r="DH8" s="1">
        <f t="shared" si="29"/>
        <v>25.827296739999998</v>
      </c>
      <c r="DJ8" s="1">
        <f t="shared" si="30"/>
        <v>3.4373023600000003</v>
      </c>
      <c r="DK8" s="1">
        <f t="shared" si="30"/>
        <v>5.2475744900000008</v>
      </c>
      <c r="DL8" s="1">
        <f t="shared" si="30"/>
        <v>3.52939004</v>
      </c>
      <c r="DM8" s="1">
        <f t="shared" si="30"/>
        <v>1.41927303</v>
      </c>
      <c r="DN8" s="1">
        <f t="shared" si="30"/>
        <v>4.5240591299999995</v>
      </c>
      <c r="DO8" s="1">
        <f t="shared" si="30"/>
        <v>2.5037689800000003</v>
      </c>
      <c r="DP8" s="1">
        <f t="shared" si="30"/>
        <v>2.5011971499999999</v>
      </c>
      <c r="DQ8" s="1">
        <f t="shared" si="30"/>
        <v>3.7585351000000005</v>
      </c>
      <c r="DR8" s="1">
        <f t="shared" si="30"/>
        <v>4.0425458900000004</v>
      </c>
      <c r="DS8" s="1">
        <f t="shared" si="30"/>
        <v>3.59052696</v>
      </c>
      <c r="DT8" s="1">
        <f t="shared" si="30"/>
        <v>2.1766254799999998</v>
      </c>
      <c r="DU8" s="1">
        <f t="shared" si="30"/>
        <v>1.5903026900000001</v>
      </c>
      <c r="DV8" s="1">
        <f t="shared" si="30"/>
        <v>5.6916922899999998</v>
      </c>
      <c r="DW8" s="1">
        <f t="shared" si="30"/>
        <v>1.7294530099999998</v>
      </c>
      <c r="DX8" s="1">
        <f t="shared" si="30"/>
        <v>4.2232492399999995</v>
      </c>
      <c r="DY8" s="1">
        <f t="shared" si="30"/>
        <v>1.27466579</v>
      </c>
      <c r="DZ8" s="1">
        <f t="shared" si="31"/>
        <v>1.8857013599999999</v>
      </c>
      <c r="EA8" s="1">
        <f t="shared" si="31"/>
        <v>4.07849503</v>
      </c>
      <c r="EB8" s="1">
        <f t="shared" si="31"/>
        <v>2.60999925</v>
      </c>
      <c r="EC8" s="1">
        <f t="shared" si="31"/>
        <v>4.3280037599999996</v>
      </c>
      <c r="ED8" s="1">
        <f t="shared" si="31"/>
        <v>3.9253711099999995</v>
      </c>
      <c r="EE8" s="1">
        <f t="shared" si="31"/>
        <v>2.66724104</v>
      </c>
      <c r="EF8" s="1">
        <f t="shared" si="31"/>
        <v>1.3237541899999998</v>
      </c>
      <c r="EG8" s="1">
        <f t="shared" si="31"/>
        <v>4.0034089300000009</v>
      </c>
      <c r="EI8" s="14">
        <f t="shared" si="32"/>
        <v>45.9</v>
      </c>
      <c r="EJ8" s="14">
        <f t="shared" si="32"/>
        <v>45.78</v>
      </c>
      <c r="EK8" s="1">
        <f t="shared" si="32"/>
        <v>45.91</v>
      </c>
      <c r="EL8" s="1">
        <f t="shared" si="32"/>
        <v>45.61</v>
      </c>
      <c r="EM8" s="1">
        <f t="shared" si="32"/>
        <v>45.61</v>
      </c>
      <c r="EN8" s="1">
        <f t="shared" si="32"/>
        <v>45.23</v>
      </c>
      <c r="EO8" s="1">
        <f t="shared" si="32"/>
        <v>45.2</v>
      </c>
      <c r="EP8" s="1">
        <f t="shared" si="32"/>
        <v>46.01</v>
      </c>
      <c r="EQ8" s="1">
        <f t="shared" si="32"/>
        <v>44.44</v>
      </c>
      <c r="ER8" s="1">
        <f t="shared" si="32"/>
        <v>42.29</v>
      </c>
      <c r="ES8" s="1">
        <f t="shared" si="32"/>
        <v>45.39</v>
      </c>
      <c r="ET8" s="1">
        <f t="shared" si="32"/>
        <v>45.32</v>
      </c>
      <c r="EU8" s="1">
        <f t="shared" si="32"/>
        <v>44.85</v>
      </c>
      <c r="EV8" s="1">
        <f t="shared" si="32"/>
        <v>45.52</v>
      </c>
      <c r="EW8" s="1">
        <f t="shared" si="32"/>
        <v>46.23</v>
      </c>
      <c r="EX8" s="1">
        <f t="shared" si="32"/>
        <v>46.23</v>
      </c>
      <c r="EY8" s="1">
        <f t="shared" si="33"/>
        <v>46.23</v>
      </c>
      <c r="EZ8" s="1">
        <f t="shared" si="33"/>
        <v>48.52</v>
      </c>
      <c r="FA8" s="1">
        <f t="shared" si="33"/>
        <v>45.85</v>
      </c>
      <c r="FB8" s="1">
        <f t="shared" si="33"/>
        <v>46.03</v>
      </c>
      <c r="FC8" s="1">
        <f t="shared" si="33"/>
        <v>46.13</v>
      </c>
      <c r="FD8" s="1">
        <f t="shared" si="33"/>
        <v>45.88</v>
      </c>
      <c r="FE8" s="1">
        <f t="shared" si="33"/>
        <v>46.09</v>
      </c>
      <c r="FF8" s="1">
        <f t="shared" si="33"/>
        <v>45.9</v>
      </c>
      <c r="FH8" s="162">
        <f t="shared" si="34"/>
        <v>0.38440290658217102</v>
      </c>
    </row>
    <row r="9" spans="1:164" ht="18.75" customHeight="1">
      <c r="A9" s="244" t="s">
        <v>77</v>
      </c>
      <c r="B9" s="247"/>
      <c r="C9" s="228">
        <v>0</v>
      </c>
      <c r="D9" s="229">
        <v>1</v>
      </c>
      <c r="E9" s="253">
        <f t="shared" si="6"/>
        <v>3.3100233100233023E-2</v>
      </c>
      <c r="F9" s="254">
        <f t="shared" si="7"/>
        <v>1.691098428029969E-2</v>
      </c>
      <c r="G9" s="253">
        <f t="shared" si="8"/>
        <v>1.4939188186533947E-2</v>
      </c>
      <c r="H9" s="254">
        <f t="shared" si="9"/>
        <v>1.8161044913699076E-2</v>
      </c>
      <c r="I9" s="253">
        <f t="shared" si="10"/>
        <v>0.63753643383089198</v>
      </c>
      <c r="J9" s="254">
        <f t="shared" si="11"/>
        <v>0.24333203185976604</v>
      </c>
      <c r="K9" s="253">
        <f t="shared" si="12"/>
        <v>0.343079694181186</v>
      </c>
      <c r="L9" s="254">
        <f t="shared" si="13"/>
        <v>0.29445673964970598</v>
      </c>
      <c r="M9" s="255"/>
      <c r="N9" s="256">
        <v>-1</v>
      </c>
      <c r="O9" s="253">
        <f t="shared" si="35"/>
        <v>-2.1957134195409456E-2</v>
      </c>
      <c r="P9" s="257">
        <f t="shared" si="36"/>
        <v>-2.1957134195409456E-2</v>
      </c>
      <c r="Q9" s="253">
        <f t="shared" si="14"/>
        <v>2.7338599394379326E-2</v>
      </c>
      <c r="R9" s="257">
        <f t="shared" si="37"/>
        <v>2.7338599394379326E-2</v>
      </c>
      <c r="S9" s="255"/>
      <c r="T9" s="256">
        <v>0</v>
      </c>
      <c r="U9" s="253">
        <f t="shared" si="15"/>
        <v>9.7326817299609569E-2</v>
      </c>
      <c r="V9" s="258">
        <f t="shared" si="16"/>
        <v>9.7326817299609569E-2</v>
      </c>
      <c r="W9" s="253">
        <f t="shared" si="38"/>
        <v>1.3067493908783776</v>
      </c>
      <c r="X9" s="258">
        <f t="shared" si="17"/>
        <v>1.3067493908783776</v>
      </c>
      <c r="Y9" s="253">
        <f t="shared" si="18"/>
        <v>5.7797393862967672E-2</v>
      </c>
      <c r="Z9" s="258">
        <f t="shared" si="19"/>
        <v>5.7797393862967672E-2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3</v>
      </c>
      <c r="AQ9" s="28">
        <f>VLOOKUP($A9,historia!$A$5:$CM$24,+HLOOKUP(AQ$2,historia!$A$3:$EC$4,2,FALSE),FALSE)</f>
        <v>3</v>
      </c>
      <c r="AR9" s="28">
        <f>VLOOKUP($A9,historia!$A$5:$CM$24,+HLOOKUP(AR$2,historia!$A$3:$EC$4,2,FALSE),FALSE)</f>
        <v>3</v>
      </c>
      <c r="AS9" s="28">
        <f>VLOOKUP($A9,historia!$A$5:$CM$24,+HLOOKUP(AS$2,historia!$A$3:$EC$4,2,FALSE),FALSE)</f>
        <v>3</v>
      </c>
      <c r="AT9" s="58">
        <f>VLOOKUP($A9,historia!$A$5:$CM$24,+HLOOKUP(AT$2,historia!$A$3:$EC$4,2,FALSE),FALSE)</f>
        <v>3</v>
      </c>
      <c r="AU9" s="58">
        <f>VLOOKUP($A9,historia!$A$5:$CM$24,+HLOOKUP(AU$2,historia!$A$3:$EC$4,2,FALSE),FALSE)</f>
        <v>3</v>
      </c>
      <c r="AV9" s="58">
        <f>VLOOKUP($A9,historia!$A$5:$CM$24,+HLOOKUP(AV$2,historia!$A$3:$EC$4,2,FALSE),FALSE)</f>
        <v>3</v>
      </c>
      <c r="AW9" s="58">
        <f>VLOOKUP($A9,historia!$A$5:$CM$24,+HLOOKUP(AW$2,historia!$A$3:$EC$4,2,FALSE),FALSE)</f>
        <v>3</v>
      </c>
      <c r="AX9" s="58">
        <f>VLOOKUP($A9,historia!$A$5:$CM$24,+HLOOKUP(AX$2,historia!$A$3:$EC$4,2,FALSE),FALSE)</f>
        <v>2</v>
      </c>
      <c r="AY9" s="58">
        <f>VLOOKUP($A9,historia!$A$5:$CM$24,+HLOOKUP(AY$2,historia!$A$3:$EC$4,2,FALSE),FALSE)</f>
        <v>2</v>
      </c>
      <c r="AZ9" s="58">
        <f>VLOOKUP($A9,historia!$A$5:$CM$24,+HLOOKUP(AZ$2,historia!$A$3:$EC$4,2,FALSE),FALSE)</f>
        <v>2</v>
      </c>
      <c r="BA9" s="58">
        <f>VLOOKUP($A9,historia!$A$5:$CM$24,+HLOOKUP(BA$2,historia!$A$3:$EC$4,2,FALSE),FALSE)</f>
        <v>2</v>
      </c>
      <c r="BB9" s="58"/>
      <c r="BC9" s="58"/>
      <c r="BD9" s="286">
        <v>2</v>
      </c>
      <c r="BE9" t="str">
        <f t="shared" si="20"/>
        <v>Bovinos</v>
      </c>
      <c r="BF9">
        <f>+datos!BM1</f>
        <v>65</v>
      </c>
      <c r="BG9" s="2" t="str">
        <f t="shared" si="4"/>
        <v>$/kg</v>
      </c>
      <c r="BH9" s="2">
        <f t="shared" si="4"/>
        <v>3324</v>
      </c>
      <c r="BI9" s="2">
        <f t="shared" si="4"/>
        <v>3217.5</v>
      </c>
      <c r="BJ9" s="2">
        <f t="shared" si="4"/>
        <v>2029.8784999999998</v>
      </c>
      <c r="BL9">
        <f>+datos!DB1</f>
        <v>106</v>
      </c>
      <c r="BM9" s="2">
        <f t="shared" si="21"/>
        <v>10606.96407236973</v>
      </c>
      <c r="BN9" s="2">
        <f t="shared" si="21"/>
        <v>10450.837050958657</v>
      </c>
      <c r="BO9" s="2">
        <f t="shared" si="21"/>
        <v>7897.4941831998349</v>
      </c>
      <c r="BQ9" s="1">
        <f>+datos!EH1</f>
        <v>138</v>
      </c>
      <c r="BR9" s="1">
        <f t="shared" si="22"/>
        <v>51624909</v>
      </c>
      <c r="BS9" s="1">
        <f t="shared" si="22"/>
        <v>52783892</v>
      </c>
      <c r="BU9" s="1">
        <f>+datos!HB1</f>
        <v>210</v>
      </c>
      <c r="BV9" s="1">
        <f t="shared" si="23"/>
        <v>3189798</v>
      </c>
      <c r="BW9" s="1">
        <f t="shared" si="23"/>
        <v>3104914</v>
      </c>
      <c r="BY9" s="1">
        <f>+datos!KG1</f>
        <v>293</v>
      </c>
      <c r="BZ9" s="1">
        <f t="shared" si="39"/>
        <v>4300.6042561999984</v>
      </c>
      <c r="CA9" s="1">
        <f t="shared" si="40"/>
        <v>3919.1644534699999</v>
      </c>
      <c r="CC9" s="1">
        <f>+datos!LL1</f>
        <v>324</v>
      </c>
      <c r="CD9" s="2">
        <f t="shared" si="24"/>
        <v>74.792756560000015</v>
      </c>
      <c r="CE9" s="2">
        <f t="shared" si="25"/>
        <v>32.423442639999998</v>
      </c>
      <c r="CG9" s="1">
        <f>+datos!IM1</f>
        <v>247</v>
      </c>
      <c r="CH9" s="1">
        <f t="shared" si="26"/>
        <v>50.33</v>
      </c>
      <c r="CI9" s="1">
        <f t="shared" si="27"/>
        <v>47.58</v>
      </c>
      <c r="CK9" s="1">
        <f t="shared" si="28"/>
        <v>430.01977605999991</v>
      </c>
      <c r="CL9" s="1">
        <f t="shared" si="28"/>
        <v>389.02912699999996</v>
      </c>
      <c r="CM9" s="1">
        <f t="shared" si="28"/>
        <v>350.95842742999997</v>
      </c>
      <c r="CN9" s="1">
        <f t="shared" si="28"/>
        <v>275.41226476999998</v>
      </c>
      <c r="CO9" s="1">
        <f t="shared" si="28"/>
        <v>345.87150417999976</v>
      </c>
      <c r="CP9" s="1">
        <f t="shared" si="28"/>
        <v>330.34833823999992</v>
      </c>
      <c r="CQ9" s="1">
        <f t="shared" si="28"/>
        <v>372.02787432000008</v>
      </c>
      <c r="CR9" s="1">
        <f t="shared" si="28"/>
        <v>363.37275483999991</v>
      </c>
      <c r="CS9" s="1">
        <f t="shared" si="28"/>
        <v>373.60267999999996</v>
      </c>
      <c r="CT9" s="1">
        <f t="shared" si="28"/>
        <v>392.24577093999977</v>
      </c>
      <c r="CU9" s="1">
        <f t="shared" si="28"/>
        <v>370.00520762000008</v>
      </c>
      <c r="CV9" s="1">
        <f t="shared" si="28"/>
        <v>307.7105307999999</v>
      </c>
      <c r="CW9" s="1">
        <f t="shared" si="28"/>
        <v>311.98041742999999</v>
      </c>
      <c r="CX9" s="1">
        <f t="shared" si="28"/>
        <v>309.32423856999998</v>
      </c>
      <c r="CY9" s="1">
        <f t="shared" si="28"/>
        <v>316.28118749999999</v>
      </c>
      <c r="CZ9" s="1">
        <f t="shared" si="28"/>
        <v>350.14414257999977</v>
      </c>
      <c r="DA9" s="1">
        <f t="shared" si="29"/>
        <v>342.85888695999995</v>
      </c>
      <c r="DB9" s="1">
        <f t="shared" si="29"/>
        <v>324.84866957999998</v>
      </c>
      <c r="DC9" s="1">
        <f t="shared" si="29"/>
        <v>325.97502911999987</v>
      </c>
      <c r="DD9" s="1">
        <f t="shared" si="29"/>
        <v>321.39038838999994</v>
      </c>
      <c r="DE9" s="1">
        <f t="shared" si="29"/>
        <v>273.58963931999995</v>
      </c>
      <c r="DF9" s="1">
        <f t="shared" si="29"/>
        <v>292.91820976000002</v>
      </c>
      <c r="DG9" s="1">
        <f t="shared" si="29"/>
        <v>371.72573624</v>
      </c>
      <c r="DH9" s="1">
        <f t="shared" si="29"/>
        <v>378.12790802000001</v>
      </c>
      <c r="DJ9" s="1">
        <f t="shared" si="30"/>
        <v>8.1579769499999983</v>
      </c>
      <c r="DK9" s="1">
        <f t="shared" si="30"/>
        <v>10.16779666</v>
      </c>
      <c r="DL9" s="1">
        <f t="shared" si="30"/>
        <v>11.009236750000001</v>
      </c>
      <c r="DM9" s="1">
        <f t="shared" si="30"/>
        <v>8.7569028099999997</v>
      </c>
      <c r="DN9" s="1">
        <f t="shared" si="30"/>
        <v>7.0677003599999999</v>
      </c>
      <c r="DO9" s="1">
        <f t="shared" si="30"/>
        <v>5.8644577399999989</v>
      </c>
      <c r="DP9" s="1">
        <f t="shared" si="30"/>
        <v>6.7460545699999992</v>
      </c>
      <c r="DQ9" s="1">
        <f t="shared" si="30"/>
        <v>2.8647302900000002</v>
      </c>
      <c r="DR9" s="1">
        <f t="shared" si="30"/>
        <v>3.9160438699999998</v>
      </c>
      <c r="DS9" s="1">
        <f t="shared" si="30"/>
        <v>2.7432327000000001</v>
      </c>
      <c r="DT9" s="1">
        <f t="shared" si="30"/>
        <v>3.5031505699999994</v>
      </c>
      <c r="DU9" s="1">
        <f t="shared" si="30"/>
        <v>3.9954732900000005</v>
      </c>
      <c r="DV9" s="1">
        <f t="shared" si="30"/>
        <v>2.3751918999999999</v>
      </c>
      <c r="DW9" s="1">
        <f t="shared" si="30"/>
        <v>3.3189943100000003</v>
      </c>
      <c r="DX9" s="1">
        <f t="shared" si="30"/>
        <v>3.6004889900000006</v>
      </c>
      <c r="DY9" s="1">
        <f t="shared" si="30"/>
        <v>2.2940615100000001</v>
      </c>
      <c r="DZ9" s="1">
        <f t="shared" si="31"/>
        <v>1.2696953500000001</v>
      </c>
      <c r="EA9" s="1">
        <f t="shared" si="31"/>
        <v>1.4792882700000001</v>
      </c>
      <c r="EB9" s="1">
        <f t="shared" si="31"/>
        <v>3.3410357400000001</v>
      </c>
      <c r="EC9" s="1">
        <f t="shared" si="31"/>
        <v>3.5927978000000009</v>
      </c>
      <c r="ED9" s="1">
        <f t="shared" si="31"/>
        <v>2.53051044</v>
      </c>
      <c r="EE9" s="1">
        <f t="shared" si="31"/>
        <v>2.3401237999999998</v>
      </c>
      <c r="EF9" s="1">
        <f t="shared" si="31"/>
        <v>2.4632922899999996</v>
      </c>
      <c r="EG9" s="1">
        <f t="shared" si="31"/>
        <v>3.8179622399999995</v>
      </c>
      <c r="EI9" s="14">
        <f t="shared" si="32"/>
        <v>50.33</v>
      </c>
      <c r="EJ9" s="14">
        <f t="shared" si="32"/>
        <v>49.79</v>
      </c>
      <c r="EK9" s="1">
        <f t="shared" si="32"/>
        <v>49.86</v>
      </c>
      <c r="EL9" s="1">
        <f t="shared" si="32"/>
        <v>49.86</v>
      </c>
      <c r="EM9" s="1">
        <f t="shared" si="32"/>
        <v>48.75</v>
      </c>
      <c r="EN9" s="1">
        <f t="shared" si="32"/>
        <v>48.18</v>
      </c>
      <c r="EO9" s="1">
        <f t="shared" si="32"/>
        <v>47.81</v>
      </c>
      <c r="EP9" s="1">
        <f t="shared" si="32"/>
        <v>46.91</v>
      </c>
      <c r="EQ9" s="1">
        <f t="shared" si="32"/>
        <v>47.74</v>
      </c>
      <c r="ER9" s="1">
        <f t="shared" si="32"/>
        <v>47.38</v>
      </c>
      <c r="ES9" s="1">
        <f t="shared" si="32"/>
        <v>47.74</v>
      </c>
      <c r="ET9" s="1">
        <f t="shared" si="32"/>
        <v>47.8</v>
      </c>
      <c r="EU9" s="1">
        <f t="shared" si="32"/>
        <v>47.58</v>
      </c>
      <c r="EV9" s="1">
        <f t="shared" si="32"/>
        <v>49.18</v>
      </c>
      <c r="EW9" s="1">
        <f t="shared" si="32"/>
        <v>49.37</v>
      </c>
      <c r="EX9" s="1">
        <f t="shared" si="32"/>
        <v>49.38</v>
      </c>
      <c r="EY9" s="1">
        <f t="shared" si="33"/>
        <v>51.48</v>
      </c>
      <c r="EZ9" s="1">
        <f t="shared" si="33"/>
        <v>52.06</v>
      </c>
      <c r="FA9" s="1">
        <f t="shared" si="33"/>
        <v>42.59</v>
      </c>
      <c r="FB9" s="1">
        <f t="shared" si="33"/>
        <v>51.3</v>
      </c>
      <c r="FC9" s="1">
        <f t="shared" si="33"/>
        <v>51.15</v>
      </c>
      <c r="FD9" s="1">
        <f t="shared" si="33"/>
        <v>51.01</v>
      </c>
      <c r="FE9" s="1">
        <f t="shared" si="33"/>
        <v>51.15</v>
      </c>
      <c r="FF9" s="1">
        <f t="shared" si="33"/>
        <v>51.72</v>
      </c>
      <c r="FH9" s="162">
        <f t="shared" si="34"/>
        <v>0.29445673964970598</v>
      </c>
    </row>
    <row r="10" spans="1:164" ht="28.8">
      <c r="A10" s="263" t="s">
        <v>221</v>
      </c>
      <c r="B10" s="246"/>
      <c r="C10" s="156">
        <f t="shared" si="5"/>
        <v>0</v>
      </c>
      <c r="D10" s="198">
        <v>-1</v>
      </c>
      <c r="E10" s="248">
        <f t="shared" si="6"/>
        <v>-7.4715034898367727E-2</v>
      </c>
      <c r="F10" s="249">
        <f t="shared" si="7"/>
        <v>-9.090428371830106E-2</v>
      </c>
      <c r="G10" s="248">
        <f t="shared" si="8"/>
        <v>1.2014299785671589E-2</v>
      </c>
      <c r="H10" s="249">
        <f t="shared" si="9"/>
        <v>-8.6729334684039316E-2</v>
      </c>
      <c r="I10" s="248">
        <f t="shared" si="10"/>
        <v>0.30871519991694085</v>
      </c>
      <c r="J10" s="249">
        <f t="shared" si="11"/>
        <v>-8.5489202054185087E-2</v>
      </c>
      <c r="K10" s="248">
        <f t="shared" si="12"/>
        <v>0.30951072541940827</v>
      </c>
      <c r="L10" s="249">
        <f t="shared" si="13"/>
        <v>-7.9552550246742015E-4</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1.2938015881744094</v>
      </c>
      <c r="V10" s="252">
        <f t="shared" si="16"/>
        <v>1.2938015881744094</v>
      </c>
      <c r="W10" s="248">
        <f t="shared" si="38"/>
        <v>0.63141936602853588</v>
      </c>
      <c r="X10" s="252">
        <f t="shared" si="17"/>
        <v>0.63141936602853588</v>
      </c>
      <c r="Y10" s="248">
        <f t="shared" si="18"/>
        <v>-1.4951121334099926E-2</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4</v>
      </c>
      <c r="AR10" s="28">
        <f>VLOOKUP($A10,historia!$A$5:$CM$24,+HLOOKUP(AR$2,historia!$A$3:$EC$4,2,FALSE),FALSE)</f>
        <v>4</v>
      </c>
      <c r="AS10" s="28">
        <f>VLOOKUP($A10,historia!$A$5:$CM$24,+HLOOKUP(AS$2,historia!$A$3:$EC$4,2,FALSE),FALSE)</f>
        <v>4</v>
      </c>
      <c r="AT10" s="58">
        <f>VLOOKUP($A10,historia!$A$5:$CM$24,+HLOOKUP(AT$2,historia!$A$3:$EC$4,2,FALSE),FALSE)</f>
        <v>4</v>
      </c>
      <c r="AU10" s="58">
        <f>VLOOKUP($A10,historia!$A$5:$CM$24,+HLOOKUP(AU$2,historia!$A$3:$EC$4,2,FALSE),FALSE)</f>
        <v>4</v>
      </c>
      <c r="AV10" s="58">
        <f>VLOOKUP($A10,historia!$A$5:$CM$24,+HLOOKUP(AV$2,historia!$A$3:$EC$4,2,FALSE),FALSE)</f>
        <v>3</v>
      </c>
      <c r="AW10" s="58">
        <f>VLOOKUP($A10,historia!$A$5:$CM$24,+HLOOKUP(AW$2,historia!$A$3:$EC$4,2,FALSE),FALSE)</f>
        <v>4</v>
      </c>
      <c r="AX10" s="58">
        <f>VLOOKUP($A10,historia!$A$5:$CM$24,+HLOOKUP(AX$2,historia!$A$3:$EC$4,2,FALSE),FALSE)</f>
        <v>4</v>
      </c>
      <c r="AY10" s="58">
        <f>VLOOKUP($A10,historia!$A$5:$CM$24,+HLOOKUP(AY$2,historia!$A$3:$EC$4,2,FALSE),FALSE)</f>
        <v>4</v>
      </c>
      <c r="AZ10" s="58">
        <f>VLOOKUP($A10,historia!$A$5:$CM$24,+HLOOKUP(AZ$2,historia!$A$3:$EC$4,2,FALSE),FALSE)</f>
        <v>4</v>
      </c>
      <c r="BA10" s="58">
        <f>VLOOKUP($A10,historia!$A$5:$CM$24,+HLOOKUP(BA$2,historia!$A$3:$EC$4,2,FALSE),FALSE)</f>
        <v>3</v>
      </c>
      <c r="BB10" s="58"/>
      <c r="BC10" s="58"/>
      <c r="BD10" s="286">
        <v>3</v>
      </c>
      <c r="BE10" t="str">
        <f t="shared" si="20"/>
        <v>Cítricos Dulces</v>
      </c>
      <c r="BF10">
        <f>+datos!AU1</f>
        <v>47</v>
      </c>
      <c r="BG10" s="2" t="str">
        <f t="shared" si="4"/>
        <v>$/caja 18kg</v>
      </c>
      <c r="BH10" s="2">
        <f t="shared" si="4"/>
        <v>11278.289473684212</v>
      </c>
      <c r="BI10" s="2">
        <f t="shared" si="4"/>
        <v>12188.990310077519</v>
      </c>
      <c r="BJ10" s="2">
        <f t="shared" si="4"/>
        <v>8617.8333333333339</v>
      </c>
      <c r="BL10">
        <f>+datos!CX1</f>
        <v>102</v>
      </c>
      <c r="BM10" s="2">
        <f t="shared" si="21"/>
        <v>9728.8359294501806</v>
      </c>
      <c r="BN10" s="2">
        <f t="shared" si="21"/>
        <v>9613.3383999718117</v>
      </c>
      <c r="BO10" s="2">
        <f t="shared" si="21"/>
        <v>7429.3671220861843</v>
      </c>
      <c r="BQ10" s="1">
        <f>+datos!ER1</f>
        <v>148</v>
      </c>
      <c r="BR10" s="1">
        <f t="shared" si="22"/>
        <v>79911</v>
      </c>
      <c r="BS10" s="1">
        <f t="shared" si="22"/>
        <v>80248</v>
      </c>
      <c r="BU10" s="1">
        <f>+datos!GH1</f>
        <v>190</v>
      </c>
      <c r="BV10" s="1">
        <f t="shared" si="23"/>
        <v>1543162</v>
      </c>
      <c r="BW10" s="1">
        <f t="shared" si="23"/>
        <v>1734000</v>
      </c>
      <c r="BY10" s="1">
        <f>+datos!LT1</f>
        <v>332</v>
      </c>
      <c r="BZ10" s="1">
        <f t="shared" si="39"/>
        <v>138.75691095000002</v>
      </c>
      <c r="CA10" s="1">
        <f t="shared" si="40"/>
        <v>60.492115649999988</v>
      </c>
      <c r="CB10" s="1"/>
      <c r="CC10" s="1">
        <f>+datos!LX1</f>
        <v>336</v>
      </c>
      <c r="CD10" s="2">
        <f t="shared" si="24"/>
        <v>7.5701404800000001</v>
      </c>
      <c r="CE10" s="2">
        <f t="shared" si="25"/>
        <v>4.6402173700000002</v>
      </c>
      <c r="CG10" s="1">
        <f>+datos!IV1</f>
        <v>256</v>
      </c>
      <c r="CH10" s="1">
        <f t="shared" si="26"/>
        <v>17.130000000000003</v>
      </c>
      <c r="CI10" s="1">
        <f t="shared" si="27"/>
        <v>17.39</v>
      </c>
      <c r="CK10" s="1">
        <f t="shared" si="28"/>
        <v>10.456701950000001</v>
      </c>
      <c r="CL10" s="1">
        <f t="shared" si="28"/>
        <v>9.5618942600000008</v>
      </c>
      <c r="CM10" s="1">
        <f t="shared" si="28"/>
        <v>5.6783096999999998</v>
      </c>
      <c r="CN10" s="1">
        <f t="shared" si="28"/>
        <v>3.5979505000000001</v>
      </c>
      <c r="CO10" s="1">
        <f t="shared" si="28"/>
        <v>11.482528969999997</v>
      </c>
      <c r="CP10" s="1">
        <f t="shared" si="28"/>
        <v>11.00321864</v>
      </c>
      <c r="CQ10" s="1">
        <f t="shared" si="28"/>
        <v>18.05731771</v>
      </c>
      <c r="CR10" s="1">
        <f t="shared" si="28"/>
        <v>12.23030908</v>
      </c>
      <c r="CS10" s="1">
        <f t="shared" si="28"/>
        <v>17.119922650000003</v>
      </c>
      <c r="CT10" s="1">
        <f t="shared" si="28"/>
        <v>15.255558669999997</v>
      </c>
      <c r="CU10" s="1">
        <f t="shared" si="28"/>
        <v>10.271936310000001</v>
      </c>
      <c r="CV10" s="1">
        <f t="shared" si="28"/>
        <v>14.041262509999999</v>
      </c>
      <c r="CW10" s="1">
        <f t="shared" si="28"/>
        <v>6.1015489199999999</v>
      </c>
      <c r="CX10" s="1">
        <f t="shared" si="28"/>
        <v>2.3063176799999998</v>
      </c>
      <c r="CY10" s="1">
        <f t="shared" si="28"/>
        <v>3.2785219999999997</v>
      </c>
      <c r="CZ10" s="1">
        <f t="shared" si="28"/>
        <v>2.8661316999999999</v>
      </c>
      <c r="DA10" s="1">
        <f t="shared" si="29"/>
        <v>3.3581509099999995</v>
      </c>
      <c r="DB10" s="1">
        <f t="shared" si="29"/>
        <v>4.3519123000000004</v>
      </c>
      <c r="DC10" s="1">
        <f t="shared" si="29"/>
        <v>3.6482140500000004</v>
      </c>
      <c r="DD10" s="1">
        <f t="shared" si="29"/>
        <v>7.8852843799999999</v>
      </c>
      <c r="DE10" s="1">
        <f t="shared" si="29"/>
        <v>4.4927710999999997</v>
      </c>
      <c r="DF10" s="1">
        <f t="shared" si="29"/>
        <v>3.9018705800000002</v>
      </c>
      <c r="DG10" s="1">
        <f t="shared" si="29"/>
        <v>10.723855849999996</v>
      </c>
      <c r="DH10" s="1">
        <f t="shared" si="29"/>
        <v>7.5775361799999992</v>
      </c>
      <c r="DJ10" s="1">
        <f t="shared" si="30"/>
        <v>4.683996E-2</v>
      </c>
      <c r="DK10" s="1">
        <f t="shared" si="30"/>
        <v>0.23953321999999996</v>
      </c>
      <c r="DL10" s="1">
        <f t="shared" si="30"/>
        <v>0.72731897999999995</v>
      </c>
      <c r="DM10" s="1">
        <f t="shared" si="30"/>
        <v>1.7947146899999999</v>
      </c>
      <c r="DN10" s="1">
        <f t="shared" si="30"/>
        <v>1.56764612</v>
      </c>
      <c r="DO10" s="1">
        <f t="shared" si="30"/>
        <v>1.4871383200000001</v>
      </c>
      <c r="DP10" s="1">
        <f t="shared" si="30"/>
        <v>0.7069763</v>
      </c>
      <c r="DQ10" s="1">
        <f t="shared" si="30"/>
        <v>0.35634324000000006</v>
      </c>
      <c r="DR10" s="1">
        <f t="shared" si="30"/>
        <v>0.22489865000000001</v>
      </c>
      <c r="DS10" s="1">
        <f t="shared" si="30"/>
        <v>0.17467300000000002</v>
      </c>
      <c r="DT10" s="1">
        <f t="shared" si="30"/>
        <v>7.2500000000000004E-3</v>
      </c>
      <c r="DU10" s="1">
        <f t="shared" si="30"/>
        <v>0.23680799999999999</v>
      </c>
      <c r="DV10" s="1">
        <f t="shared" si="30"/>
        <v>0</v>
      </c>
      <c r="DW10" s="1">
        <f t="shared" si="30"/>
        <v>0.3075099</v>
      </c>
      <c r="DX10" s="1">
        <f t="shared" si="30"/>
        <v>0.82950560000000007</v>
      </c>
      <c r="DY10" s="1">
        <f t="shared" si="30"/>
        <v>1.06715808</v>
      </c>
      <c r="DZ10" s="1">
        <f t="shared" si="31"/>
        <v>0.57276656999999997</v>
      </c>
      <c r="EA10" s="1">
        <f t="shared" si="31"/>
        <v>0.50591796999999994</v>
      </c>
      <c r="EB10" s="1">
        <f t="shared" si="31"/>
        <v>0.37369366000000004</v>
      </c>
      <c r="EC10" s="1">
        <f t="shared" si="31"/>
        <v>1.8223369999999999E-2</v>
      </c>
      <c r="ED10" s="1">
        <f t="shared" si="31"/>
        <v>0.26981320000000003</v>
      </c>
      <c r="EE10" s="1">
        <f t="shared" si="31"/>
        <v>0.36129600000000001</v>
      </c>
      <c r="EF10" s="1">
        <f t="shared" si="31"/>
        <v>3.0606999999999997E-4</v>
      </c>
      <c r="EG10" s="1">
        <f t="shared" si="31"/>
        <v>0.33402694999999999</v>
      </c>
      <c r="EI10" s="14">
        <f t="shared" si="32"/>
        <v>17.130000000000003</v>
      </c>
      <c r="EJ10" s="14">
        <f t="shared" si="32"/>
        <v>17.130000000000003</v>
      </c>
      <c r="EK10" s="1">
        <f t="shared" si="32"/>
        <v>17.130000000000003</v>
      </c>
      <c r="EL10" s="1">
        <f t="shared" si="32"/>
        <v>17.130000000000003</v>
      </c>
      <c r="EM10" s="1">
        <f t="shared" si="32"/>
        <v>17.130000000000003</v>
      </c>
      <c r="EN10" s="1">
        <f t="shared" si="32"/>
        <v>17.130000000000003</v>
      </c>
      <c r="EO10" s="1">
        <f t="shared" si="32"/>
        <v>17.39</v>
      </c>
      <c r="EP10" s="1">
        <f t="shared" si="32"/>
        <v>17.39</v>
      </c>
      <c r="EQ10" s="1">
        <f t="shared" si="32"/>
        <v>17.39</v>
      </c>
      <c r="ER10" s="1">
        <f t="shared" si="32"/>
        <v>17.39</v>
      </c>
      <c r="ES10" s="1">
        <f t="shared" si="32"/>
        <v>17.39</v>
      </c>
      <c r="ET10" s="1">
        <f t="shared" si="32"/>
        <v>17.39</v>
      </c>
      <c r="EU10" s="1">
        <f t="shared" si="32"/>
        <v>17.39</v>
      </c>
      <c r="EV10" s="1">
        <f t="shared" si="32"/>
        <v>17.39</v>
      </c>
      <c r="EW10" s="1">
        <f t="shared" si="32"/>
        <v>17.39</v>
      </c>
      <c r="EX10" s="1">
        <f t="shared" si="32"/>
        <v>17.39</v>
      </c>
      <c r="EY10" s="1">
        <f t="shared" si="33"/>
        <v>17.39</v>
      </c>
      <c r="EZ10" s="1">
        <f t="shared" si="33"/>
        <v>17.39</v>
      </c>
      <c r="FA10" s="1">
        <f t="shared" si="33"/>
        <v>19.739999999999998</v>
      </c>
      <c r="FB10" s="1">
        <f t="shared" si="33"/>
        <v>19.739999999999998</v>
      </c>
      <c r="FC10" s="1">
        <f t="shared" si="33"/>
        <v>19.739999999999998</v>
      </c>
      <c r="FD10" s="1">
        <f t="shared" si="33"/>
        <v>19.739999999999998</v>
      </c>
      <c r="FE10" s="1">
        <f t="shared" si="33"/>
        <v>19.739999999999998</v>
      </c>
      <c r="FF10" s="1">
        <f t="shared" si="33"/>
        <v>19.739999999999998</v>
      </c>
      <c r="FH10" s="162">
        <f t="shared" si="34"/>
        <v>-7.9552550246742015E-4</v>
      </c>
    </row>
    <row r="11" spans="1:164" ht="18.75" customHeight="1">
      <c r="A11" s="244" t="s">
        <v>116</v>
      </c>
      <c r="B11" s="247"/>
      <c r="C11" s="228">
        <f t="shared" si="5"/>
        <v>-0.33</v>
      </c>
      <c r="D11" s="229">
        <v>1</v>
      </c>
      <c r="E11" s="253">
        <f t="shared" si="6"/>
        <v>1.7425450975579793E-2</v>
      </c>
      <c r="F11" s="254">
        <f t="shared" si="7"/>
        <v>1.2362021556464597E-3</v>
      </c>
      <c r="G11" s="253">
        <f t="shared" si="8"/>
        <v>2.0750810516402485E-2</v>
      </c>
      <c r="H11" s="254">
        <f t="shared" si="9"/>
        <v>-3.3253595408226921E-3</v>
      </c>
      <c r="I11" s="253">
        <f t="shared" si="10"/>
        <v>0.19440620152315602</v>
      </c>
      <c r="J11" s="254">
        <f t="shared" si="11"/>
        <v>-0.19979820044796992</v>
      </c>
      <c r="K11" s="253">
        <f t="shared" si="12"/>
        <v>0.33676101759109223</v>
      </c>
      <c r="L11" s="254">
        <f t="shared" si="13"/>
        <v>-0.14235481606793621</v>
      </c>
      <c r="M11" s="255"/>
      <c r="N11" s="256"/>
      <c r="O11" s="253" t="str">
        <f t="shared" si="35"/>
        <v/>
      </c>
      <c r="P11" s="257" t="str">
        <f t="shared" si="36"/>
        <v/>
      </c>
      <c r="Q11" s="253">
        <f t="shared" si="14"/>
        <v>0</v>
      </c>
      <c r="R11" s="257">
        <f t="shared" si="37"/>
        <v>0</v>
      </c>
      <c r="S11" s="255"/>
      <c r="T11" s="24">
        <v>-2</v>
      </c>
      <c r="U11" s="253">
        <f t="shared" si="15"/>
        <v>-0.41807964702053924</v>
      </c>
      <c r="V11" s="258">
        <f t="shared" si="16"/>
        <v>-0.41807964702053924</v>
      </c>
      <c r="W11" s="253">
        <f t="shared" si="38"/>
        <v>-0.12831729968098748</v>
      </c>
      <c r="X11" s="258">
        <f t="shared" si="17"/>
        <v>-0.12831729968098748</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3</v>
      </c>
      <c r="AW11" s="58">
        <f>VLOOKUP($A11,historia!$A$5:$CM$24,+HLOOKUP(AW$2,historia!$A$3:$EC$4,2,FALSE),FALSE)</f>
        <v>3</v>
      </c>
      <c r="AX11" s="58">
        <f>VLOOKUP($A11,historia!$A$5:$CM$24,+HLOOKUP(AX$2,historia!$A$3:$EC$4,2,FALSE),FALSE)</f>
        <v>3</v>
      </c>
      <c r="AY11" s="58">
        <f>VLOOKUP($A11,historia!$A$5:$CM$24,+HLOOKUP(AY$2,historia!$A$3:$EC$4,2,FALSE),FALSE)</f>
        <v>3</v>
      </c>
      <c r="AZ11" s="58">
        <f>VLOOKUP($A11,historia!$A$5:$CM$24,+HLOOKUP(AZ$2,historia!$A$3:$EC$4,2,FALSE),FALSE)</f>
        <v>3</v>
      </c>
      <c r="BA11" s="58">
        <f>VLOOKUP($A11,historia!$A$5:$CM$24,+HLOOKUP(BA$2,historia!$A$3:$EC$4,2,FALSE),FALSE)</f>
        <v>3</v>
      </c>
      <c r="BB11" s="58"/>
      <c r="BC11" s="58"/>
      <c r="BD11" s="286">
        <v>3</v>
      </c>
      <c r="BE11" t="str">
        <f t="shared" si="20"/>
        <v>Forestal</v>
      </c>
      <c r="BF11">
        <f>+datos!BG1</f>
        <v>59</v>
      </c>
      <c r="BG11" s="2" t="str">
        <f t="shared" si="4"/>
        <v>$/t</v>
      </c>
      <c r="BH11" s="2">
        <f t="shared" si="4"/>
        <v>31091.25</v>
      </c>
      <c r="BI11" s="2">
        <f t="shared" si="4"/>
        <v>30558.75</v>
      </c>
      <c r="BJ11" s="2">
        <f t="shared" si="4"/>
        <v>26030.717154977221</v>
      </c>
      <c r="BL11">
        <f>+datos!CZ1</f>
        <v>104</v>
      </c>
      <c r="BM11" s="2">
        <f t="shared" si="21"/>
        <v>12705.498256874474</v>
      </c>
      <c r="BN11" s="2">
        <f t="shared" si="21"/>
        <v>12447.208589965954</v>
      </c>
      <c r="BO11" s="2">
        <f t="shared" si="21"/>
        <v>9504.6893870157837</v>
      </c>
      <c r="BQ11" s="1">
        <f>+datos!ES1</f>
        <v>149</v>
      </c>
      <c r="BR11" s="1">
        <f t="shared" si="22"/>
        <v>0</v>
      </c>
      <c r="BS11" s="1">
        <f t="shared" si="22"/>
        <v>0</v>
      </c>
      <c r="BU11" s="1">
        <f>+datos!GI1</f>
        <v>191</v>
      </c>
      <c r="BV11" s="1">
        <f t="shared" si="23"/>
        <v>1302556</v>
      </c>
      <c r="BW11" s="1">
        <f t="shared" si="23"/>
        <v>1302556</v>
      </c>
      <c r="BY11" s="1">
        <f>+datos!KB1</f>
        <v>288</v>
      </c>
      <c r="BZ11" s="1">
        <f t="shared" si="39"/>
        <v>169.67687332</v>
      </c>
      <c r="CA11" s="1">
        <f t="shared" si="40"/>
        <v>291.58092246000001</v>
      </c>
      <c r="CC11" s="1">
        <f>+datos!LG1</f>
        <v>319</v>
      </c>
      <c r="CD11" s="2">
        <f t="shared" si="24"/>
        <v>171.28268663000006</v>
      </c>
      <c r="CE11" s="2">
        <f t="shared" si="25"/>
        <v>196.49659969999999</v>
      </c>
      <c r="CG11" s="1">
        <f>+datos!IW1</f>
        <v>257</v>
      </c>
      <c r="CH11" s="1">
        <f t="shared" si="26"/>
        <v>0</v>
      </c>
      <c r="CI11" s="1">
        <f t="shared" si="27"/>
        <v>0</v>
      </c>
      <c r="CK11" s="1">
        <f t="shared" si="28"/>
        <v>13.812450910000003</v>
      </c>
      <c r="CL11" s="1">
        <f t="shared" si="28"/>
        <v>14.949040589999999</v>
      </c>
      <c r="CM11" s="1">
        <f t="shared" si="28"/>
        <v>13.968637820000001</v>
      </c>
      <c r="CN11" s="1">
        <f t="shared" si="28"/>
        <v>9.9284284400000011</v>
      </c>
      <c r="CO11" s="1">
        <f t="shared" si="28"/>
        <v>14.484437890000001</v>
      </c>
      <c r="CP11" s="1">
        <f t="shared" si="28"/>
        <v>10.200287200000002</v>
      </c>
      <c r="CQ11" s="1">
        <f t="shared" si="28"/>
        <v>11.119065489999999</v>
      </c>
      <c r="CR11" s="1">
        <f t="shared" si="28"/>
        <v>13.50721221</v>
      </c>
      <c r="CS11" s="1">
        <f t="shared" si="28"/>
        <v>17.7783984</v>
      </c>
      <c r="CT11" s="1">
        <f t="shared" si="28"/>
        <v>18.158715399999995</v>
      </c>
      <c r="CU11" s="1">
        <f t="shared" si="28"/>
        <v>13.62277192</v>
      </c>
      <c r="CV11" s="1">
        <f t="shared" si="28"/>
        <v>18.147427050000005</v>
      </c>
      <c r="CW11" s="1">
        <f t="shared" si="28"/>
        <v>16.38459563</v>
      </c>
      <c r="CX11" s="1">
        <f t="shared" si="28"/>
        <v>19.29025034</v>
      </c>
      <c r="CY11" s="1">
        <f t="shared" si="28"/>
        <v>32.635385889999995</v>
      </c>
      <c r="CZ11" s="1">
        <f t="shared" si="28"/>
        <v>26.653198490000001</v>
      </c>
      <c r="DA11" s="1">
        <f t="shared" si="29"/>
        <v>23.932255000000001</v>
      </c>
      <c r="DB11" s="1">
        <f t="shared" si="29"/>
        <v>23.104867779999999</v>
      </c>
      <c r="DC11" s="1">
        <f t="shared" si="29"/>
        <v>24.797754910000005</v>
      </c>
      <c r="DD11" s="1">
        <f t="shared" si="29"/>
        <v>26.00374025</v>
      </c>
      <c r="DE11" s="1">
        <f t="shared" si="29"/>
        <v>24.373047020000001</v>
      </c>
      <c r="DF11" s="1">
        <f t="shared" si="29"/>
        <v>25.649224320000002</v>
      </c>
      <c r="DG11" s="1">
        <f t="shared" si="29"/>
        <v>23.667757810000001</v>
      </c>
      <c r="DH11" s="1">
        <f t="shared" si="29"/>
        <v>25.088845019999997</v>
      </c>
      <c r="DJ11" s="1">
        <f t="shared" si="30"/>
        <v>16.453753389999996</v>
      </c>
      <c r="DK11" s="1">
        <f t="shared" si="30"/>
        <v>16.050718710000002</v>
      </c>
      <c r="DL11" s="1">
        <f t="shared" si="30"/>
        <v>13.20675994</v>
      </c>
      <c r="DM11" s="1">
        <f t="shared" si="30"/>
        <v>12.082023640000001</v>
      </c>
      <c r="DN11" s="1">
        <f t="shared" si="30"/>
        <v>16.998994660000001</v>
      </c>
      <c r="DO11" s="1">
        <f t="shared" si="30"/>
        <v>14.09144206</v>
      </c>
      <c r="DP11" s="1">
        <f t="shared" si="30"/>
        <v>14.036730870000001</v>
      </c>
      <c r="DQ11" s="1">
        <f t="shared" si="30"/>
        <v>13.365554540000002</v>
      </c>
      <c r="DR11" s="1">
        <f t="shared" si="30"/>
        <v>15.589800310000003</v>
      </c>
      <c r="DS11" s="1">
        <f t="shared" si="30"/>
        <v>16.942532470000003</v>
      </c>
      <c r="DT11" s="1">
        <f t="shared" si="30"/>
        <v>10.998476289999999</v>
      </c>
      <c r="DU11" s="1">
        <f t="shared" si="30"/>
        <v>11.46589975</v>
      </c>
      <c r="DV11" s="1">
        <f t="shared" si="30"/>
        <v>13.53170609</v>
      </c>
      <c r="DW11" s="1">
        <f t="shared" si="30"/>
        <v>19.941855059999995</v>
      </c>
      <c r="DX11" s="1">
        <f t="shared" si="30"/>
        <v>17.561880160000001</v>
      </c>
      <c r="DY11" s="1">
        <f t="shared" si="30"/>
        <v>14.580088280000002</v>
      </c>
      <c r="DZ11" s="1">
        <f t="shared" si="31"/>
        <v>13.107541810000001</v>
      </c>
      <c r="EA11" s="1">
        <f t="shared" si="31"/>
        <v>9.0834929199999994</v>
      </c>
      <c r="EB11" s="1">
        <f t="shared" si="31"/>
        <v>9.5859924200000002</v>
      </c>
      <c r="EC11" s="1">
        <f t="shared" si="31"/>
        <v>12.114691449999999</v>
      </c>
      <c r="ED11" s="1">
        <f t="shared" si="31"/>
        <v>21.937746180000001</v>
      </c>
      <c r="EE11" s="1">
        <f t="shared" si="31"/>
        <v>16.68359323</v>
      </c>
      <c r="EF11" s="1">
        <f t="shared" si="31"/>
        <v>23.390239519999994</v>
      </c>
      <c r="EG11" s="1">
        <f t="shared" si="31"/>
        <v>24.97777258</v>
      </c>
      <c r="EI11" s="14">
        <f t="shared" si="32"/>
        <v>0</v>
      </c>
      <c r="EJ11" s="14">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2"/>
        <v>0</v>
      </c>
      <c r="EY11" s="1">
        <f t="shared" si="33"/>
        <v>0</v>
      </c>
      <c r="EZ11" s="1">
        <f t="shared" si="33"/>
        <v>0</v>
      </c>
      <c r="FA11" s="1">
        <f t="shared" si="33"/>
        <v>0</v>
      </c>
      <c r="FB11" s="1">
        <f t="shared" si="33"/>
        <v>0</v>
      </c>
      <c r="FC11" s="1">
        <f t="shared" si="33"/>
        <v>0</v>
      </c>
      <c r="FD11" s="1">
        <f t="shared" si="33"/>
        <v>0</v>
      </c>
      <c r="FE11" s="1">
        <f t="shared" si="33"/>
        <v>0</v>
      </c>
      <c r="FF11" s="1">
        <f t="shared" si="33"/>
        <v>0</v>
      </c>
      <c r="FH11" s="162">
        <f t="shared" si="34"/>
        <v>-0.14235481606793621</v>
      </c>
    </row>
    <row r="12" spans="1:164" ht="18.75" customHeight="1">
      <c r="A12" s="243" t="s">
        <v>216</v>
      </c>
      <c r="B12" s="246"/>
      <c r="C12" s="156">
        <f t="shared" si="5"/>
        <v>-0.33</v>
      </c>
      <c r="D12" s="198">
        <v>-1</v>
      </c>
      <c r="E12" s="248">
        <f t="shared" si="6"/>
        <v>3.1610500622399007E-2</v>
      </c>
      <c r="F12" s="249">
        <f t="shared" si="7"/>
        <v>1.5421251802465674E-2</v>
      </c>
      <c r="G12" s="248">
        <f t="shared" si="8"/>
        <v>3.1529434663479128E-2</v>
      </c>
      <c r="H12" s="249">
        <f t="shared" si="9"/>
        <v>8.1065958919879222E-5</v>
      </c>
      <c r="I12" s="248">
        <f t="shared" si="10"/>
        <v>0.27999794418081914</v>
      </c>
      <c r="J12" s="249">
        <f t="shared" si="11"/>
        <v>-0.1142064577903068</v>
      </c>
      <c r="K12" s="248">
        <f t="shared" si="12"/>
        <v>0.26841462892340018</v>
      </c>
      <c r="L12" s="249">
        <f t="shared" si="13"/>
        <v>1.1583315257418958E-2</v>
      </c>
      <c r="M12" s="250"/>
      <c r="N12" s="24">
        <v>1</v>
      </c>
      <c r="O12" s="248">
        <f t="shared" si="35"/>
        <v>4.9072753209700393E-2</v>
      </c>
      <c r="P12" s="251">
        <f t="shared" si="36"/>
        <v>4.9072753209700393E-2</v>
      </c>
      <c r="Q12" s="248">
        <f t="shared" si="14"/>
        <v>5.9641840895640952E-2</v>
      </c>
      <c r="R12" s="251">
        <f t="shared" si="37"/>
        <v>5.9641840895640952E-2</v>
      </c>
      <c r="S12" s="250"/>
      <c r="T12" s="24">
        <v>-1</v>
      </c>
      <c r="U12" s="248">
        <f t="shared" si="15"/>
        <v>1.5675645443073982E-2</v>
      </c>
      <c r="V12" s="252">
        <f t="shared" si="16"/>
        <v>1.5675645443073982E-2</v>
      </c>
      <c r="W12" s="248">
        <f t="shared" si="38"/>
        <v>-0.24277844094836531</v>
      </c>
      <c r="X12" s="252">
        <f t="shared" si="17"/>
        <v>-0.24277844094836531</v>
      </c>
      <c r="Y12" s="248">
        <f t="shared" si="18"/>
        <v>1.8627450980392091E-2</v>
      </c>
      <c r="Z12" s="252">
        <f t="shared" si="19"/>
        <v>1.8627450980392091E-2</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4</v>
      </c>
      <c r="AQ12" s="28">
        <f>VLOOKUP($A12,historia!$A$5:$CM$24,+HLOOKUP(AQ$2,historia!$A$3:$EC$4,2,FALSE),FALSE)</f>
        <v>4</v>
      </c>
      <c r="AR12" s="28">
        <f>VLOOKUP($A12,historia!$A$5:$CM$24,+HLOOKUP(AR$2,historia!$A$3:$EC$4,2,FALSE),FALSE)</f>
        <v>4</v>
      </c>
      <c r="AS12" s="28">
        <f>VLOOKUP($A12,historia!$A$5:$CM$24,+HLOOKUP(AS$2,historia!$A$3:$EC$4,2,FALSE),FALSE)</f>
        <v>4</v>
      </c>
      <c r="AT12" s="58">
        <f>VLOOKUP($A12,historia!$A$5:$CM$24,+HLOOKUP(AT$2,historia!$A$3:$EC$4,2,FALSE),FALSE)</f>
        <v>4</v>
      </c>
      <c r="AU12" s="58">
        <f>VLOOKUP($A12,historia!$A$5:$CM$24,+HLOOKUP(AU$2,historia!$A$3:$EC$4,2,FALSE),FALSE)</f>
        <v>4</v>
      </c>
      <c r="AV12" s="58">
        <f>VLOOKUP($A12,historia!$A$5:$CM$24,+HLOOKUP(AV$2,historia!$A$3:$EC$4,2,FALSE),FALSE)</f>
        <v>3</v>
      </c>
      <c r="AW12" s="58">
        <f>VLOOKUP($A12,historia!$A$5:$CM$24,+HLOOKUP(AW$2,historia!$A$3:$EC$4,2,FALSE),FALSE)</f>
        <v>3</v>
      </c>
      <c r="AX12" s="58">
        <f>VLOOKUP($A12,historia!$A$5:$CM$24,+HLOOKUP(AX$2,historia!$A$3:$EC$4,2,FALSE),FALSE)</f>
        <v>3</v>
      </c>
      <c r="AY12" s="58">
        <f>VLOOKUP($A12,historia!$A$5:$CM$24,+HLOOKUP(AY$2,historia!$A$3:$EC$4,2,FALSE),FALSE)</f>
        <v>3</v>
      </c>
      <c r="AZ12" s="58">
        <f>VLOOKUP($A12,historia!$A$5:$CM$24,+HLOOKUP(AZ$2,historia!$A$3:$EC$4,2,FALSE),FALSE)</f>
        <v>3</v>
      </c>
      <c r="BA12" s="58">
        <f>VLOOKUP($A12,historia!$A$5:$CM$24,+HLOOKUP(BA$2,historia!$A$3:$EC$4,2,FALSE),FALSE)</f>
        <v>3</v>
      </c>
      <c r="BB12" s="58"/>
      <c r="BC12" s="58"/>
      <c r="BD12" s="286">
        <v>3</v>
      </c>
      <c r="BE12" t="str">
        <f t="shared" si="20"/>
        <v>Granos</v>
      </c>
      <c r="BF12">
        <f>+datos!AE1</f>
        <v>31</v>
      </c>
      <c r="BG12" s="2" t="str">
        <f t="shared" si="4"/>
        <v>$/t</v>
      </c>
      <c r="BH12" s="2">
        <f t="shared" si="4"/>
        <v>272315.1359649123</v>
      </c>
      <c r="BI12" s="2">
        <f t="shared" si="4"/>
        <v>263970.88416666666</v>
      </c>
      <c r="BJ12" s="2">
        <f t="shared" si="4"/>
        <v>212746.54166666666</v>
      </c>
      <c r="BL12">
        <f>+datos!CG1</f>
        <v>85</v>
      </c>
      <c r="BM12" s="2">
        <f t="shared" si="21"/>
        <v>10356.335913575498</v>
      </c>
      <c r="BN12" s="2">
        <f t="shared" si="21"/>
        <v>10039.787102104456</v>
      </c>
      <c r="BO12" s="2">
        <f t="shared" si="21"/>
        <v>8164.7875051438868</v>
      </c>
      <c r="BQ12" s="1">
        <f>+datos!EA1</f>
        <v>131</v>
      </c>
      <c r="BR12" s="1">
        <f t="shared" si="22"/>
        <v>36770000</v>
      </c>
      <c r="BS12" s="1">
        <f t="shared" si="22"/>
        <v>35050000</v>
      </c>
      <c r="BU12" s="1">
        <f>+datos!FV1</f>
        <v>178</v>
      </c>
      <c r="BV12" s="1">
        <f t="shared" si="23"/>
        <v>130710000</v>
      </c>
      <c r="BW12" s="1">
        <f t="shared" si="23"/>
        <v>123353000</v>
      </c>
      <c r="BY12" s="1">
        <f>+datos!LQ1</f>
        <v>329</v>
      </c>
      <c r="BZ12" s="1">
        <f>+SUM(CK12:CV12)</f>
        <v>41925.848517559993</v>
      </c>
      <c r="CA12" s="1">
        <f t="shared" si="40"/>
        <v>41278.77704429</v>
      </c>
      <c r="CC12" s="1">
        <f>+datos!LU1</f>
        <v>333</v>
      </c>
      <c r="CD12" s="2">
        <f t="shared" si="24"/>
        <v>2899.3332247400003</v>
      </c>
      <c r="CE12" s="2">
        <f t="shared" si="25"/>
        <v>3828.9100331099999</v>
      </c>
      <c r="CG12" s="1">
        <f>+datos!II1</f>
        <v>243</v>
      </c>
      <c r="CH12" s="1">
        <f t="shared" si="26"/>
        <v>83120000</v>
      </c>
      <c r="CI12" s="1">
        <f t="shared" si="27"/>
        <v>81600000</v>
      </c>
      <c r="CK12" s="1">
        <f>+VLOOKUP(CK$1,ran_dat,$BY12,FALSE)</f>
        <v>3762.5394987399995</v>
      </c>
      <c r="CL12" s="1">
        <f t="shared" si="28"/>
        <v>4220.2405017900001</v>
      </c>
      <c r="CM12" s="1">
        <f t="shared" si="28"/>
        <v>3699.5517639399995</v>
      </c>
      <c r="CN12" s="1">
        <f t="shared" si="28"/>
        <v>2719.5194464700007</v>
      </c>
      <c r="CO12" s="1">
        <f t="shared" si="28"/>
        <v>3193.1112506200002</v>
      </c>
      <c r="CP12" s="1">
        <f t="shared" si="28"/>
        <v>3231.2263099199999</v>
      </c>
      <c r="CQ12" s="1">
        <f t="shared" si="28"/>
        <v>3313.8442822299994</v>
      </c>
      <c r="CR12" s="1">
        <f t="shared" si="28"/>
        <v>3339.9998161899998</v>
      </c>
      <c r="CS12" s="1">
        <f t="shared" si="28"/>
        <v>3485.71732419</v>
      </c>
      <c r="CT12" s="1">
        <f t="shared" si="28"/>
        <v>3410.80431886</v>
      </c>
      <c r="CU12" s="1">
        <f t="shared" si="28"/>
        <v>3348.6268518899992</v>
      </c>
      <c r="CV12" s="1">
        <f t="shared" si="28"/>
        <v>4200.6671527199996</v>
      </c>
      <c r="CW12" s="1">
        <f t="shared" si="28"/>
        <v>4256.6159984299993</v>
      </c>
      <c r="CX12" s="1">
        <f t="shared" si="28"/>
        <v>4805.0657855600002</v>
      </c>
      <c r="CY12" s="1">
        <f t="shared" si="28"/>
        <v>3818.0878160900002</v>
      </c>
      <c r="CZ12" s="1">
        <f t="shared" si="28"/>
        <v>3876.9439553199995</v>
      </c>
      <c r="DA12" s="1">
        <f t="shared" si="29"/>
        <v>3089.4855235099994</v>
      </c>
      <c r="DB12" s="1">
        <f t="shared" si="29"/>
        <v>3929.1762735700004</v>
      </c>
      <c r="DC12" s="1">
        <f t="shared" si="29"/>
        <v>2955.6698254600001</v>
      </c>
      <c r="DD12" s="1">
        <f t="shared" si="29"/>
        <v>2441.9361675499999</v>
      </c>
      <c r="DE12" s="1">
        <f t="shared" si="29"/>
        <v>2439.6070879799995</v>
      </c>
      <c r="DF12" s="1">
        <f t="shared" si="29"/>
        <v>2937.94498135</v>
      </c>
      <c r="DG12" s="1">
        <f t="shared" si="29"/>
        <v>3422.8062754199996</v>
      </c>
      <c r="DH12" s="1">
        <f t="shared" si="29"/>
        <v>3305.4373540500001</v>
      </c>
      <c r="DJ12" s="1">
        <f t="shared" si="30"/>
        <v>273.75200934999998</v>
      </c>
      <c r="DK12" s="1">
        <f t="shared" si="30"/>
        <v>304.19736033999999</v>
      </c>
      <c r="DL12" s="1">
        <f t="shared" si="30"/>
        <v>338.33098909999995</v>
      </c>
      <c r="DM12" s="1">
        <f t="shared" si="30"/>
        <v>239.40438782999996</v>
      </c>
      <c r="DN12" s="1">
        <f t="shared" si="30"/>
        <v>288.1429152</v>
      </c>
      <c r="DO12" s="1">
        <f t="shared" si="30"/>
        <v>31.883400920000003</v>
      </c>
      <c r="DP12" s="1">
        <f t="shared" si="30"/>
        <v>52.19269714</v>
      </c>
      <c r="DQ12" s="1">
        <f t="shared" si="30"/>
        <v>201.41567115000001</v>
      </c>
      <c r="DR12" s="1">
        <f t="shared" si="30"/>
        <v>299.18688666000003</v>
      </c>
      <c r="DS12" s="1">
        <f t="shared" si="30"/>
        <v>265.28366987999999</v>
      </c>
      <c r="DT12" s="1">
        <f t="shared" si="30"/>
        <v>214.60650260000006</v>
      </c>
      <c r="DU12" s="1">
        <f t="shared" si="30"/>
        <v>390.93673457</v>
      </c>
      <c r="DV12" s="1">
        <f t="shared" si="30"/>
        <v>293.37536226000003</v>
      </c>
      <c r="DW12" s="1">
        <f t="shared" si="30"/>
        <v>336.54852982999995</v>
      </c>
      <c r="DX12" s="1">
        <f t="shared" si="30"/>
        <v>300.95428591999996</v>
      </c>
      <c r="DY12" s="1">
        <f t="shared" si="30"/>
        <v>389.85732896999997</v>
      </c>
      <c r="DZ12" s="1">
        <f t="shared" si="31"/>
        <v>280.54397103999997</v>
      </c>
      <c r="EA12" s="1">
        <f t="shared" si="31"/>
        <v>63.525792080000002</v>
      </c>
      <c r="EB12" s="1">
        <f t="shared" si="31"/>
        <v>301.92103216000004</v>
      </c>
      <c r="EC12" s="1">
        <f t="shared" si="31"/>
        <v>260.76831764999997</v>
      </c>
      <c r="ED12" s="1">
        <f t="shared" si="31"/>
        <v>244.67742642000002</v>
      </c>
      <c r="EE12" s="1">
        <f t="shared" si="31"/>
        <v>322.58249758000005</v>
      </c>
      <c r="EF12" s="1">
        <f t="shared" si="31"/>
        <v>495.08938117000014</v>
      </c>
      <c r="EG12" s="1">
        <f t="shared" si="31"/>
        <v>539.06610803000001</v>
      </c>
      <c r="EI12" s="14">
        <f t="shared" si="32"/>
        <v>83120000</v>
      </c>
      <c r="EJ12" s="14">
        <f t="shared" si="32"/>
        <v>83420000</v>
      </c>
      <c r="EK12" s="1">
        <f t="shared" si="32"/>
        <v>83260000</v>
      </c>
      <c r="EL12" s="1">
        <f t="shared" si="32"/>
        <v>82660000</v>
      </c>
      <c r="EM12" s="1">
        <f t="shared" si="32"/>
        <v>83330000</v>
      </c>
      <c r="EN12" s="1">
        <f t="shared" si="32"/>
        <v>83330000</v>
      </c>
      <c r="EO12" s="1">
        <f t="shared" si="32"/>
        <v>81580000</v>
      </c>
      <c r="EP12" s="1">
        <f t="shared" si="32"/>
        <v>81600000</v>
      </c>
      <c r="EQ12" s="1">
        <f t="shared" si="32"/>
        <v>81600000</v>
      </c>
      <c r="ER12" s="1">
        <f t="shared" si="32"/>
        <v>81600000</v>
      </c>
      <c r="ES12" s="1">
        <f t="shared" si="32"/>
        <v>81600000</v>
      </c>
      <c r="ET12" s="1">
        <f t="shared" si="32"/>
        <v>81600000</v>
      </c>
      <c r="EU12" s="1">
        <f t="shared" si="32"/>
        <v>81600000</v>
      </c>
      <c r="EV12" s="1">
        <f t="shared" si="32"/>
        <v>81600000</v>
      </c>
      <c r="EW12" s="1">
        <f t="shared" si="32"/>
        <v>81600000</v>
      </c>
      <c r="EX12" s="1">
        <f t="shared" si="32"/>
        <v>73750000</v>
      </c>
      <c r="EY12" s="1">
        <f t="shared" si="33"/>
        <v>73750000</v>
      </c>
      <c r="EZ12" s="1">
        <f t="shared" si="33"/>
        <v>73450000</v>
      </c>
      <c r="FA12" s="1">
        <f t="shared" si="33"/>
        <v>73450000</v>
      </c>
      <c r="FB12" s="1">
        <f t="shared" si="33"/>
        <v>73450000</v>
      </c>
      <c r="FC12" s="1">
        <f t="shared" si="33"/>
        <v>73450000</v>
      </c>
      <c r="FD12" s="1">
        <f t="shared" si="33"/>
        <v>73450000</v>
      </c>
      <c r="FE12" s="1">
        <f t="shared" si="33"/>
        <v>73450000</v>
      </c>
      <c r="FF12" s="1">
        <f t="shared" si="33"/>
        <v>73450000</v>
      </c>
      <c r="FH12" s="162">
        <f t="shared" si="34"/>
        <v>1.1583315257418958E-2</v>
      </c>
    </row>
    <row r="13" spans="1:164" ht="18.75" customHeight="1">
      <c r="A13" s="244" t="s">
        <v>217</v>
      </c>
      <c r="B13" s="247"/>
      <c r="C13" s="228">
        <f t="shared" si="5"/>
        <v>0</v>
      </c>
      <c r="D13" s="229">
        <v>0</v>
      </c>
      <c r="E13" s="253">
        <f t="shared" si="6"/>
        <v>-7.4956236918419683E-2</v>
      </c>
      <c r="F13" s="254">
        <f t="shared" si="7"/>
        <v>-9.1145485738353016E-2</v>
      </c>
      <c r="G13" s="253">
        <f t="shared" si="8"/>
        <v>-1.7923411689590996E-4</v>
      </c>
      <c r="H13" s="254">
        <f t="shared" si="9"/>
        <v>-7.4777002801523773E-2</v>
      </c>
      <c r="I13" s="253">
        <f t="shared" si="10"/>
        <v>-0.31017169202546679</v>
      </c>
      <c r="J13" s="254">
        <f t="shared" si="11"/>
        <v>-0.70437609399659273</v>
      </c>
      <c r="K13" s="253">
        <f t="shared" si="12"/>
        <v>0.11938829625985248</v>
      </c>
      <c r="L13" s="254">
        <f t="shared" si="13"/>
        <v>-0.42955998828531927</v>
      </c>
      <c r="M13" s="255"/>
      <c r="N13" s="256">
        <v>0</v>
      </c>
      <c r="O13" s="253">
        <f t="shared" si="35"/>
        <v>0</v>
      </c>
      <c r="P13" s="257">
        <f t="shared" si="36"/>
        <v>0</v>
      </c>
      <c r="Q13" s="253">
        <f t="shared" si="14"/>
        <v>0</v>
      </c>
      <c r="R13" s="257">
        <f t="shared" si="37"/>
        <v>0</v>
      </c>
      <c r="S13" s="255"/>
      <c r="T13" s="256">
        <v>0</v>
      </c>
      <c r="U13" s="253">
        <f t="shared" si="15"/>
        <v>-0.4560296250320065</v>
      </c>
      <c r="V13" s="258">
        <f t="shared" si="16"/>
        <v>-0.4560296250320065</v>
      </c>
      <c r="W13" s="253">
        <f t="shared" si="38"/>
        <v>1.7722578934075357</v>
      </c>
      <c r="X13" s="258">
        <f t="shared" si="17"/>
        <v>1.7722578934075357</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4</v>
      </c>
      <c r="AX13" s="58">
        <f>VLOOKUP($A13,historia!$A$5:$CM$24,+HLOOKUP(AX$2,historia!$A$3:$EC$4,2,FALSE),FALSE)</f>
        <v>3</v>
      </c>
      <c r="AY13" s="58">
        <f>VLOOKUP($A13,historia!$A$5:$CM$24,+HLOOKUP(AY$2,historia!$A$3:$EC$4,2,FALSE),FALSE)</f>
        <v>3</v>
      </c>
      <c r="AZ13" s="58">
        <f>VLOOKUP($A13,historia!$A$5:$CM$24,+HLOOKUP(AZ$2,historia!$A$3:$EC$4,2,FALSE),FALSE)</f>
        <v>3</v>
      </c>
      <c r="BA13" s="58">
        <f>VLOOKUP($A13,historia!$A$5:$CM$24,+HLOOKUP(BA$2,historia!$A$3:$EC$4,2,FALSE),FALSE)</f>
        <v>5</v>
      </c>
      <c r="BB13" s="58"/>
      <c r="BC13" s="58"/>
      <c r="BD13" s="286">
        <v>5</v>
      </c>
      <c r="BE13" t="str">
        <f t="shared" si="20"/>
        <v>Hortalizas</v>
      </c>
      <c r="BF13">
        <f>+datos!BB1</f>
        <v>54</v>
      </c>
      <c r="BG13" s="2" t="str">
        <f t="shared" si="4"/>
        <v>$/kg</v>
      </c>
      <c r="BH13" s="2">
        <f t="shared" si="4"/>
        <v>9416.5161773481323</v>
      </c>
      <c r="BI13" s="2">
        <f t="shared" si="4"/>
        <v>10179.535880528587</v>
      </c>
      <c r="BJ13" s="2">
        <f t="shared" si="4"/>
        <v>13650.521540637859</v>
      </c>
      <c r="BL13">
        <f>+datos!CO1</f>
        <v>93</v>
      </c>
      <c r="BM13" s="2">
        <f t="shared" si="21"/>
        <v>10141.866797023518</v>
      </c>
      <c r="BN13" s="2">
        <f t="shared" si="21"/>
        <v>10143.684891427103</v>
      </c>
      <c r="BO13" s="2">
        <f t="shared" si="21"/>
        <v>9060.186559846974</v>
      </c>
      <c r="BQ13" s="1">
        <f>+datos!EX1</f>
        <v>154</v>
      </c>
      <c r="BR13" s="1">
        <f t="shared" si="22"/>
        <v>64395</v>
      </c>
      <c r="BS13" s="1">
        <f t="shared" si="22"/>
        <v>64395</v>
      </c>
      <c r="BU13" s="1">
        <f>+datos!GN1</f>
        <v>196</v>
      </c>
      <c r="BV13" s="1">
        <f t="shared" si="23"/>
        <v>2639386</v>
      </c>
      <c r="BW13" s="1">
        <f t="shared" si="23"/>
        <v>2639386</v>
      </c>
      <c r="BY13" s="1">
        <f>+datos!LR1</f>
        <v>330</v>
      </c>
      <c r="BZ13" s="1">
        <f t="shared" si="39"/>
        <v>43.057960919999999</v>
      </c>
      <c r="CA13" s="1">
        <f t="shared" si="40"/>
        <v>79.154974060000001</v>
      </c>
      <c r="CC13" s="1">
        <f>+datos!LV1</f>
        <v>334</v>
      </c>
      <c r="CD13" s="2">
        <f t="shared" si="24"/>
        <v>38.719245139999998</v>
      </c>
      <c r="CE13" s="2">
        <f t="shared" si="25"/>
        <v>13.966682259999999</v>
      </c>
      <c r="CG13" s="1">
        <f>+datos!IX1</f>
        <v>258</v>
      </c>
      <c r="CH13" s="1">
        <f t="shared" si="26"/>
        <v>0</v>
      </c>
      <c r="CI13" s="1">
        <f t="shared" si="27"/>
        <v>0</v>
      </c>
      <c r="CK13" s="1">
        <f t="shared" si="28"/>
        <v>5.6300601800000001</v>
      </c>
      <c r="CL13" s="1">
        <f t="shared" si="28"/>
        <v>10.78719353</v>
      </c>
      <c r="CM13" s="1">
        <f t="shared" si="28"/>
        <v>6.6589734299999996</v>
      </c>
      <c r="CN13" s="1">
        <f t="shared" si="28"/>
        <v>4.7972503099999999</v>
      </c>
      <c r="CO13" s="1">
        <f t="shared" si="28"/>
        <v>3.6808061599999999</v>
      </c>
      <c r="CP13" s="1">
        <f t="shared" si="28"/>
        <v>1.7265838599999999</v>
      </c>
      <c r="CQ13" s="1">
        <f t="shared" si="28"/>
        <v>1.1603474899999999</v>
      </c>
      <c r="CR13" s="1">
        <f t="shared" si="28"/>
        <v>1.6220564799999999</v>
      </c>
      <c r="CS13" s="1">
        <f t="shared" si="28"/>
        <v>1.7022322700000001</v>
      </c>
      <c r="CT13" s="1">
        <f t="shared" si="28"/>
        <v>2.1800094999999997</v>
      </c>
      <c r="CU13" s="1">
        <f t="shared" si="28"/>
        <v>0.89152303000000011</v>
      </c>
      <c r="CV13" s="1">
        <f t="shared" si="28"/>
        <v>2.22092468</v>
      </c>
      <c r="CW13" s="1">
        <f t="shared" si="28"/>
        <v>5.6369490100000004</v>
      </c>
      <c r="CX13" s="1">
        <f t="shared" si="28"/>
        <v>11.964288460000001</v>
      </c>
      <c r="CY13" s="1">
        <f t="shared" si="28"/>
        <v>14.874595200000002</v>
      </c>
      <c r="CZ13" s="1">
        <f t="shared" si="28"/>
        <v>12.356255849999998</v>
      </c>
      <c r="DA13" s="1">
        <f t="shared" si="29"/>
        <v>7.66143427</v>
      </c>
      <c r="DB13" s="1">
        <f t="shared" si="29"/>
        <v>3.9700200400000001</v>
      </c>
      <c r="DC13" s="1">
        <f t="shared" si="29"/>
        <v>4.244482989999999</v>
      </c>
      <c r="DD13" s="1">
        <f t="shared" si="29"/>
        <v>3.7692072699999999</v>
      </c>
      <c r="DE13" s="1">
        <f t="shared" si="29"/>
        <v>4.3561451300000007</v>
      </c>
      <c r="DF13" s="1">
        <f t="shared" si="29"/>
        <v>2.35708815</v>
      </c>
      <c r="DG13" s="1">
        <f t="shared" si="29"/>
        <v>2.9990922500000003</v>
      </c>
      <c r="DH13" s="1">
        <f t="shared" si="29"/>
        <v>4.9654154400000001</v>
      </c>
      <c r="DJ13" s="1">
        <f t="shared" si="30"/>
        <v>1.7945534399999996</v>
      </c>
      <c r="DK13" s="1">
        <f t="shared" si="30"/>
        <v>2.7487028499999995</v>
      </c>
      <c r="DL13" s="1">
        <f t="shared" si="30"/>
        <v>0.73139703</v>
      </c>
      <c r="DM13" s="1">
        <f t="shared" si="30"/>
        <v>0.52205221000000002</v>
      </c>
      <c r="DN13" s="1">
        <f t="shared" si="30"/>
        <v>0.27889262000000004</v>
      </c>
      <c r="DO13" s="1">
        <f t="shared" si="30"/>
        <v>0.43588088999999991</v>
      </c>
      <c r="DP13" s="1">
        <f t="shared" si="30"/>
        <v>0.25163443000000002</v>
      </c>
      <c r="DQ13" s="1">
        <f t="shared" si="30"/>
        <v>1.8307121500000001</v>
      </c>
      <c r="DR13" s="1">
        <f t="shared" si="30"/>
        <v>4.7138590499999999</v>
      </c>
      <c r="DS13" s="1">
        <f t="shared" si="30"/>
        <v>10.280953719999999</v>
      </c>
      <c r="DT13" s="1">
        <f t="shared" si="30"/>
        <v>10.078043539999999</v>
      </c>
      <c r="DU13" s="1">
        <f t="shared" si="30"/>
        <v>5.0525632100000006</v>
      </c>
      <c r="DV13" s="1">
        <f t="shared" si="30"/>
        <v>1.5134803299999999</v>
      </c>
      <c r="DW13" s="1">
        <f t="shared" si="30"/>
        <v>1.5645213200000003</v>
      </c>
      <c r="DX13" s="1">
        <f t="shared" si="30"/>
        <v>0.17069466</v>
      </c>
      <c r="DY13" s="1">
        <f t="shared" si="30"/>
        <v>5.8121779999999998E-2</v>
      </c>
      <c r="DZ13" s="1">
        <f t="shared" si="31"/>
        <v>0.22874177000000001</v>
      </c>
      <c r="EA13" s="1">
        <f t="shared" si="31"/>
        <v>6.8422739999999996E-2</v>
      </c>
      <c r="EB13" s="1">
        <f t="shared" si="31"/>
        <v>1.38860757</v>
      </c>
      <c r="EC13" s="1">
        <f t="shared" si="31"/>
        <v>1.9631409899999996</v>
      </c>
      <c r="ED13" s="1">
        <f t="shared" si="31"/>
        <v>1.5225679400000001</v>
      </c>
      <c r="EE13" s="1">
        <f t="shared" si="31"/>
        <v>1.3263511099999998</v>
      </c>
      <c r="EF13" s="1">
        <f t="shared" si="31"/>
        <v>2.5091586699999997</v>
      </c>
      <c r="EG13" s="1">
        <f t="shared" si="31"/>
        <v>1.6528733800000002</v>
      </c>
      <c r="EI13" s="14">
        <f t="shared" si="32"/>
        <v>0</v>
      </c>
      <c r="EJ13" s="14">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2"/>
        <v>0</v>
      </c>
      <c r="EY13" s="1">
        <f t="shared" si="33"/>
        <v>0</v>
      </c>
      <c r="EZ13" s="1">
        <f t="shared" si="33"/>
        <v>0</v>
      </c>
      <c r="FA13" s="1">
        <f t="shared" si="33"/>
        <v>0</v>
      </c>
      <c r="FB13" s="1">
        <f t="shared" si="33"/>
        <v>0</v>
      </c>
      <c r="FC13" s="1">
        <f t="shared" si="33"/>
        <v>0</v>
      </c>
      <c r="FD13" s="1">
        <f t="shared" si="33"/>
        <v>0</v>
      </c>
      <c r="FE13" s="1">
        <f t="shared" si="33"/>
        <v>0</v>
      </c>
      <c r="FF13" s="1">
        <f t="shared" si="33"/>
        <v>0</v>
      </c>
      <c r="FH13" s="162">
        <f t="shared" si="34"/>
        <v>-0.42955998828531927</v>
      </c>
    </row>
    <row r="14" spans="1:164" ht="18.75" customHeight="1">
      <c r="A14" s="243" t="s">
        <v>65</v>
      </c>
      <c r="B14" s="246"/>
      <c r="C14" s="156">
        <f t="shared" si="5"/>
        <v>-0.33</v>
      </c>
      <c r="D14" s="198">
        <v>1</v>
      </c>
      <c r="E14" s="248">
        <f t="shared" si="6"/>
        <v>1.0578731407078212E-2</v>
      </c>
      <c r="F14" s="249">
        <f t="shared" si="7"/>
        <v>-5.6105174128551205E-3</v>
      </c>
      <c r="G14" s="248">
        <f t="shared" si="8"/>
        <v>2.3823342289475136E-2</v>
      </c>
      <c r="H14" s="249">
        <f t="shared" si="9"/>
        <v>-1.3244610882396923E-2</v>
      </c>
      <c r="I14" s="248">
        <f t="shared" si="10"/>
        <v>0.17226932421042207</v>
      </c>
      <c r="J14" s="249">
        <f t="shared" si="11"/>
        <v>-0.22193507776070387</v>
      </c>
      <c r="K14" s="248">
        <f t="shared" si="12"/>
        <v>0.27228377468460141</v>
      </c>
      <c r="L14" s="249">
        <f t="shared" si="13"/>
        <v>-0.10001445047417934</v>
      </c>
      <c r="M14" s="250"/>
      <c r="N14" s="24">
        <v>-1</v>
      </c>
      <c r="O14" s="248">
        <f t="shared" si="35"/>
        <v>-6.2906055272886507E-2</v>
      </c>
      <c r="P14" s="251">
        <f t="shared" si="36"/>
        <v>-6.2906055272886507E-2</v>
      </c>
      <c r="Q14" s="248">
        <f t="shared" si="14"/>
        <v>3.8470438908530857E-2</v>
      </c>
      <c r="R14" s="251">
        <f t="shared" si="37"/>
        <v>3.8470438908530857E-2</v>
      </c>
      <c r="S14" s="250"/>
      <c r="T14" s="24">
        <v>-1</v>
      </c>
      <c r="U14" s="248">
        <f t="shared" si="15"/>
        <v>9.8925150070052981E-2</v>
      </c>
      <c r="V14" s="252">
        <f t="shared" si="16"/>
        <v>9.8925150070052981E-2</v>
      </c>
      <c r="W14" s="248">
        <f t="shared" si="38"/>
        <v>0.24406546591092271</v>
      </c>
      <c r="X14" s="252">
        <f t="shared" si="17"/>
        <v>0.24406546591092271</v>
      </c>
      <c r="Y14" s="248">
        <f t="shared" si="18"/>
        <v>0.22392834293026231</v>
      </c>
      <c r="Z14" s="252">
        <f t="shared" si="19"/>
        <v>0.22392834293026231</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4</v>
      </c>
      <c r="AR14" s="28">
        <f>VLOOKUP($A14,historia!$A$5:$CM$24,+HLOOKUP(AR$2,historia!$A$3:$EC$4,2,FALSE),FALSE)</f>
        <v>4</v>
      </c>
      <c r="AS14" s="28">
        <f>VLOOKUP($A14,historia!$A$5:$CM$24,+HLOOKUP(AS$2,historia!$A$3:$EC$4,2,FALSE),FALSE)</f>
        <v>4</v>
      </c>
      <c r="AT14" s="58">
        <f>VLOOKUP($A14,historia!$A$5:$CM$24,+HLOOKUP(AT$2,historia!$A$3:$EC$4,2,FALSE),FALSE)</f>
        <v>4</v>
      </c>
      <c r="AU14" s="58">
        <f>VLOOKUP($A14,historia!$A$5:$CM$24,+HLOOKUP(AU$2,historia!$A$3:$EC$4,2,FALSE),FALSE)</f>
        <v>4</v>
      </c>
      <c r="AV14" s="58">
        <f>VLOOKUP($A14,historia!$A$5:$CM$24,+HLOOKUP(AV$2,historia!$A$3:$EC$4,2,FALSE),FALSE)</f>
        <v>3</v>
      </c>
      <c r="AW14" s="58">
        <f>VLOOKUP($A14,historia!$A$5:$CM$24,+HLOOKUP(AW$2,historia!$A$3:$EC$4,2,FALSE),FALSE)</f>
        <v>3</v>
      </c>
      <c r="AX14" s="58">
        <f>VLOOKUP($A14,historia!$A$5:$CM$24,+HLOOKUP(AX$2,historia!$A$3:$EC$4,2,FALSE),FALSE)</f>
        <v>3</v>
      </c>
      <c r="AY14" s="58">
        <f>VLOOKUP($A14,historia!$A$5:$CM$24,+HLOOKUP(AY$2,historia!$A$3:$EC$4,2,FALSE),FALSE)</f>
        <v>3</v>
      </c>
      <c r="AZ14" s="58">
        <f>VLOOKUP($A14,historia!$A$5:$CM$24,+HLOOKUP(AZ$2,historia!$A$3:$EC$4,2,FALSE),FALSE)</f>
        <v>3</v>
      </c>
      <c r="BA14" s="58">
        <f>VLOOKUP($A14,historia!$A$5:$CM$24,+HLOOKUP(BA$2,historia!$A$3:$EC$4,2,FALSE),FALSE)</f>
        <v>3</v>
      </c>
      <c r="BB14" s="58"/>
      <c r="BC14" s="58"/>
      <c r="BD14" s="286">
        <v>3</v>
      </c>
      <c r="BE14" t="str">
        <f t="shared" si="20"/>
        <v>Leche</v>
      </c>
      <c r="BF14">
        <f>+datos!BN1</f>
        <v>66</v>
      </c>
      <c r="BG14" s="2" t="str">
        <f t="shared" si="4"/>
        <v>$/l</v>
      </c>
      <c r="BH14" s="2">
        <f t="shared" si="4"/>
        <v>472.87</v>
      </c>
      <c r="BI14" s="2">
        <f t="shared" si="4"/>
        <v>467.92</v>
      </c>
      <c r="BJ14" s="2">
        <f t="shared" si="4"/>
        <v>403.38</v>
      </c>
      <c r="BL14">
        <f>+datos!DC1</f>
        <v>107</v>
      </c>
      <c r="BM14" s="2">
        <f t="shared" si="21"/>
        <v>10504.781115858304</v>
      </c>
      <c r="BN14" s="2">
        <f t="shared" si="21"/>
        <v>10260.345395493228</v>
      </c>
      <c r="BO14" s="2">
        <f t="shared" si="21"/>
        <v>8256.6337203053899</v>
      </c>
      <c r="BQ14" s="1">
        <f>+datos!EN1</f>
        <v>144</v>
      </c>
      <c r="BR14" s="1">
        <f t="shared" si="22"/>
        <v>2970570</v>
      </c>
      <c r="BS14" s="1">
        <f t="shared" si="22"/>
        <v>3169981</v>
      </c>
      <c r="BU14" s="1">
        <f>+datos!HP1</f>
        <v>224</v>
      </c>
      <c r="BV14" s="1">
        <f t="shared" si="23"/>
        <v>11074.976371999999</v>
      </c>
      <c r="BW14" s="1">
        <f t="shared" si="23"/>
        <v>10664.700656900923</v>
      </c>
      <c r="BY14" s="1">
        <f>+datos!KH1</f>
        <v>294</v>
      </c>
      <c r="BZ14" s="1">
        <f t="shared" si="39"/>
        <v>1669.2264503700001</v>
      </c>
      <c r="CA14" s="1">
        <f t="shared" si="40"/>
        <v>1518.9628249600003</v>
      </c>
      <c r="CC14" s="1">
        <f>+datos!LM1</f>
        <v>325</v>
      </c>
      <c r="CD14" s="2">
        <f t="shared" si="24"/>
        <v>25.453576820000002</v>
      </c>
      <c r="CE14" s="2">
        <f t="shared" si="25"/>
        <v>20.459997900000001</v>
      </c>
      <c r="CG14" s="1">
        <f>+datos!IN1</f>
        <v>248</v>
      </c>
      <c r="CH14" s="1">
        <f t="shared" si="26"/>
        <v>191.3</v>
      </c>
      <c r="CI14" s="1">
        <f t="shared" si="27"/>
        <v>156.30000000000001</v>
      </c>
      <c r="CK14" s="1">
        <f t="shared" si="28"/>
        <v>161.52973046</v>
      </c>
      <c r="CL14" s="1">
        <f t="shared" si="28"/>
        <v>135.14119298</v>
      </c>
      <c r="CM14" s="1">
        <f t="shared" si="28"/>
        <v>121.87302321000003</v>
      </c>
      <c r="CN14" s="1">
        <f t="shared" si="28"/>
        <v>90.118424640000015</v>
      </c>
      <c r="CO14" s="1">
        <f t="shared" si="28"/>
        <v>158.22857195999995</v>
      </c>
      <c r="CP14" s="1">
        <f t="shared" si="28"/>
        <v>133.12937443000001</v>
      </c>
      <c r="CQ14" s="1">
        <f t="shared" si="28"/>
        <v>150.81206259999999</v>
      </c>
      <c r="CR14" s="1">
        <f t="shared" si="28"/>
        <v>173.78517034999999</v>
      </c>
      <c r="CS14" s="1">
        <f t="shared" si="28"/>
        <v>162.27196751000002</v>
      </c>
      <c r="CT14" s="1">
        <f t="shared" si="28"/>
        <v>136.36151781000004</v>
      </c>
      <c r="CU14" s="1">
        <f t="shared" si="28"/>
        <v>114.33182424</v>
      </c>
      <c r="CV14" s="1">
        <f t="shared" si="28"/>
        <v>131.64359017999999</v>
      </c>
      <c r="CW14" s="1">
        <f t="shared" si="28"/>
        <v>102.41564730000002</v>
      </c>
      <c r="CX14" s="1">
        <f t="shared" si="28"/>
        <v>113.57779348999999</v>
      </c>
      <c r="CY14" s="1">
        <f t="shared" si="28"/>
        <v>118.3786056</v>
      </c>
      <c r="CZ14" s="1">
        <f t="shared" si="28"/>
        <v>126.46519539000002</v>
      </c>
      <c r="DA14" s="1">
        <f t="shared" si="29"/>
        <v>140.50614890000003</v>
      </c>
      <c r="DB14" s="1">
        <f t="shared" si="29"/>
        <v>139.44218023000002</v>
      </c>
      <c r="DC14" s="1">
        <f t="shared" si="29"/>
        <v>153.04661877999999</v>
      </c>
      <c r="DD14" s="1">
        <f t="shared" si="29"/>
        <v>136.81239812999999</v>
      </c>
      <c r="DE14" s="1">
        <f t="shared" si="29"/>
        <v>134.16752365000002</v>
      </c>
      <c r="DF14" s="1">
        <f t="shared" si="29"/>
        <v>114.82793965999997</v>
      </c>
      <c r="DG14" s="1">
        <f t="shared" si="29"/>
        <v>120.47507141999999</v>
      </c>
      <c r="DH14" s="1">
        <f t="shared" si="29"/>
        <v>118.84770241</v>
      </c>
      <c r="DJ14" s="1">
        <f t="shared" si="30"/>
        <v>3.2200157200000006</v>
      </c>
      <c r="DK14" s="1">
        <f t="shared" si="30"/>
        <v>2.3449699800000001</v>
      </c>
      <c r="DL14" s="1">
        <f t="shared" si="30"/>
        <v>1.8496573299999999</v>
      </c>
      <c r="DM14" s="1">
        <f t="shared" si="30"/>
        <v>2.6840408</v>
      </c>
      <c r="DN14" s="1">
        <f t="shared" si="30"/>
        <v>2.90139879</v>
      </c>
      <c r="DO14" s="1">
        <f t="shared" si="30"/>
        <v>2.9139955600000005</v>
      </c>
      <c r="DP14" s="1">
        <f t="shared" si="30"/>
        <v>1.6254967600000001</v>
      </c>
      <c r="DQ14" s="1">
        <f t="shared" si="30"/>
        <v>2.6289957100000003</v>
      </c>
      <c r="DR14" s="1">
        <f t="shared" si="30"/>
        <v>0.92402921999999987</v>
      </c>
      <c r="DS14" s="1">
        <f t="shared" si="30"/>
        <v>1.0080099199999999</v>
      </c>
      <c r="DT14" s="1">
        <f t="shared" si="30"/>
        <v>0.81005326000000022</v>
      </c>
      <c r="DU14" s="1">
        <f t="shared" si="30"/>
        <v>2.5429137699999997</v>
      </c>
      <c r="DV14" s="1">
        <f t="shared" si="30"/>
        <v>0.83472519000000012</v>
      </c>
      <c r="DW14" s="1">
        <f t="shared" si="30"/>
        <v>1.6658761100000001</v>
      </c>
      <c r="DX14" s="1">
        <f t="shared" si="30"/>
        <v>1.6724867599999997</v>
      </c>
      <c r="DY14" s="1">
        <f t="shared" si="30"/>
        <v>1.92660527</v>
      </c>
      <c r="DZ14" s="1">
        <f t="shared" si="31"/>
        <v>0.38991597</v>
      </c>
      <c r="EA14" s="1">
        <f t="shared" si="31"/>
        <v>3.0425877200000002</v>
      </c>
      <c r="EB14" s="1">
        <f t="shared" si="31"/>
        <v>1.8227840799999999</v>
      </c>
      <c r="EC14" s="1">
        <f t="shared" si="31"/>
        <v>2.1288867499999999</v>
      </c>
      <c r="ED14" s="1">
        <f t="shared" si="31"/>
        <v>2.0947676</v>
      </c>
      <c r="EE14" s="1">
        <f t="shared" si="31"/>
        <v>1.2699740900000001</v>
      </c>
      <c r="EF14" s="1">
        <f t="shared" si="31"/>
        <v>1.3202370399999999</v>
      </c>
      <c r="EG14" s="1">
        <f t="shared" si="31"/>
        <v>2.29115132</v>
      </c>
      <c r="EI14" s="14">
        <f t="shared" si="32"/>
        <v>191.3</v>
      </c>
      <c r="EJ14" s="14">
        <f t="shared" si="32"/>
        <v>195.7</v>
      </c>
      <c r="EK14" s="1">
        <f t="shared" si="32"/>
        <v>194.1</v>
      </c>
      <c r="EL14" s="1">
        <f t="shared" si="32"/>
        <v>191</v>
      </c>
      <c r="EM14" s="1">
        <f t="shared" si="32"/>
        <v>181.1</v>
      </c>
      <c r="EN14" s="1">
        <f t="shared" si="32"/>
        <v>170.3</v>
      </c>
      <c r="EO14" s="1">
        <f t="shared" si="32"/>
        <v>170.9</v>
      </c>
      <c r="EP14" s="1">
        <f t="shared" si="32"/>
        <v>168.7</v>
      </c>
      <c r="EQ14" s="1">
        <f t="shared" si="32"/>
        <v>160.6</v>
      </c>
      <c r="ER14" s="1">
        <f t="shared" si="32"/>
        <v>160.6</v>
      </c>
      <c r="ES14" s="1">
        <f t="shared" si="32"/>
        <v>160.6</v>
      </c>
      <c r="ET14" s="1">
        <f t="shared" si="32"/>
        <v>160.6</v>
      </c>
      <c r="EU14" s="1">
        <f t="shared" si="32"/>
        <v>156.30000000000001</v>
      </c>
      <c r="EV14" s="1">
        <f t="shared" si="32"/>
        <v>155.80000000000001</v>
      </c>
      <c r="EW14" s="1">
        <f t="shared" si="32"/>
        <v>159.5</v>
      </c>
      <c r="EX14" s="1">
        <f t="shared" si="32"/>
        <v>170.8</v>
      </c>
      <c r="EY14" s="1">
        <f t="shared" si="33"/>
        <v>170.8</v>
      </c>
      <c r="EZ14" s="1">
        <f t="shared" si="33"/>
        <v>187.7</v>
      </c>
      <c r="FA14" s="1">
        <f t="shared" si="33"/>
        <v>196.8</v>
      </c>
      <c r="FB14" s="1">
        <f t="shared" si="33"/>
        <v>196.8</v>
      </c>
      <c r="FC14" s="1">
        <f t="shared" si="33"/>
        <v>188.6</v>
      </c>
      <c r="FD14" s="1">
        <f t="shared" si="33"/>
        <v>188.6</v>
      </c>
      <c r="FE14" s="1">
        <f t="shared" si="33"/>
        <v>188.6</v>
      </c>
      <c r="FF14" s="1">
        <f t="shared" si="33"/>
        <v>188.6</v>
      </c>
      <c r="FH14" s="162">
        <f t="shared" si="34"/>
        <v>-0.10001445047417934</v>
      </c>
    </row>
    <row r="15" spans="1:164" ht="18.75" customHeight="1">
      <c r="A15" s="244" t="s">
        <v>68</v>
      </c>
      <c r="B15" s="247"/>
      <c r="C15" s="228">
        <v>0</v>
      </c>
      <c r="D15" s="229">
        <v>-1</v>
      </c>
      <c r="E15" s="253">
        <f t="shared" si="6"/>
        <v>7.2054573878440387E-2</v>
      </c>
      <c r="F15" s="254">
        <f t="shared" si="7"/>
        <v>5.5865325058507054E-2</v>
      </c>
      <c r="G15" s="253">
        <f t="shared" si="8"/>
        <v>1.9592694565857105E-2</v>
      </c>
      <c r="H15" s="254">
        <f t="shared" si="9"/>
        <v>5.2461879312583282E-2</v>
      </c>
      <c r="I15" s="253">
        <f t="shared" si="10"/>
        <v>0.42706766917293226</v>
      </c>
      <c r="J15" s="254">
        <f t="shared" si="11"/>
        <v>3.2863267201806323E-2</v>
      </c>
      <c r="K15" s="253">
        <f t="shared" si="12"/>
        <v>0.36296514066970076</v>
      </c>
      <c r="L15" s="254">
        <f t="shared" si="13"/>
        <v>6.4102528503231504E-2</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-0.35821206182535525</v>
      </c>
      <c r="X15" s="258">
        <f t="shared" si="17"/>
        <v>-0.35821206182535525</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5</v>
      </c>
      <c r="AQ15" s="28">
        <f>VLOOKUP($A15,historia!$A$5:$CM$24,+HLOOKUP(AQ$2,historia!$A$3:$EC$4,2,FALSE),FALSE)</f>
        <v>5</v>
      </c>
      <c r="AR15" s="28">
        <f>VLOOKUP($A15,historia!$A$5:$CM$24,+HLOOKUP(AR$2,historia!$A$3:$EC$4,2,FALSE),FALSE)</f>
        <v>5</v>
      </c>
      <c r="AS15" s="28">
        <f>VLOOKUP($A15,historia!$A$5:$CM$24,+HLOOKUP(AS$2,historia!$A$3:$EC$4,2,FALSE),FALSE)</f>
        <v>5</v>
      </c>
      <c r="AT15" s="58">
        <f>VLOOKUP($A15,historia!$A$5:$CM$24,+HLOOKUP(AT$2,historia!$A$3:$EC$4,2,FALSE),FALSE)</f>
        <v>5</v>
      </c>
      <c r="AU15" s="58">
        <f>VLOOKUP($A15,historia!$A$5:$CM$24,+HLOOKUP(AU$2,historia!$A$3:$EC$4,2,FALSE),FALSE)</f>
        <v>5</v>
      </c>
      <c r="AV15" s="58">
        <f>VLOOKUP($A15,historia!$A$5:$CM$24,+HLOOKUP(AV$2,historia!$A$3:$EC$4,2,FALSE),FALSE)</f>
        <v>5</v>
      </c>
      <c r="AW15" s="58">
        <f>VLOOKUP($A15,historia!$A$5:$CM$24,+HLOOKUP(AW$2,historia!$A$3:$EC$4,2,FALSE),FALSE)</f>
        <v>5</v>
      </c>
      <c r="AX15" s="58">
        <f>VLOOKUP($A15,historia!$A$5:$CM$24,+HLOOKUP(AX$2,historia!$A$3:$EC$4,2,FALSE),FALSE)</f>
        <v>4</v>
      </c>
      <c r="AY15" s="58">
        <f>VLOOKUP($A15,historia!$A$5:$CM$24,+HLOOKUP(AY$2,historia!$A$3:$EC$4,2,FALSE),FALSE)</f>
        <v>4</v>
      </c>
      <c r="AZ15" s="58">
        <f>VLOOKUP($A15,historia!$A$5:$CM$24,+HLOOKUP(AZ$2,historia!$A$3:$EC$4,2,FALSE),FALSE)</f>
        <v>4</v>
      </c>
      <c r="BA15" s="58">
        <f>VLOOKUP($A15,historia!$A$5:$CM$24,+HLOOKUP(BA$2,historia!$A$3:$EC$4,2,FALSE),FALSE)</f>
        <v>4</v>
      </c>
      <c r="BB15" s="58"/>
      <c r="BC15" s="58"/>
      <c r="BD15" s="286">
        <v>4</v>
      </c>
      <c r="BE15" t="str">
        <f t="shared" si="20"/>
        <v>Mandioca</v>
      </c>
      <c r="BF15">
        <f>+datos!AW1</f>
        <v>49</v>
      </c>
      <c r="BG15" s="2" t="str">
        <f t="shared" si="4"/>
        <v>$/bolsa40kg</v>
      </c>
      <c r="BH15" s="2">
        <f t="shared" si="4"/>
        <v>11910.526315789473</v>
      </c>
      <c r="BI15" s="2">
        <f t="shared" si="4"/>
        <v>11110</v>
      </c>
      <c r="BJ15" s="2">
        <f t="shared" si="4"/>
        <v>8346.1538461538457</v>
      </c>
      <c r="BL15">
        <f>+datos!CJ1</f>
        <v>88</v>
      </c>
      <c r="BM15" s="2">
        <f t="shared" si="21"/>
        <v>9636.1986637168593</v>
      </c>
      <c r="BN15" s="2">
        <f t="shared" si="21"/>
        <v>9451.0275672580756</v>
      </c>
      <c r="BO15" s="2">
        <f t="shared" si="21"/>
        <v>7070.0257667500264</v>
      </c>
      <c r="BQ15" s="1">
        <f>+datos!EY1</f>
        <v>155</v>
      </c>
      <c r="BR15" s="1">
        <f t="shared" si="22"/>
        <v>20031</v>
      </c>
      <c r="BS15" s="1">
        <f t="shared" si="22"/>
        <v>20031</v>
      </c>
      <c r="BU15" s="1">
        <f>+datos!GO1</f>
        <v>197</v>
      </c>
      <c r="BV15" s="1">
        <f t="shared" si="23"/>
        <v>201734</v>
      </c>
      <c r="BW15" s="1">
        <f t="shared" si="23"/>
        <v>201734</v>
      </c>
      <c r="BY15" s="1">
        <f>+datos!JP1</f>
        <v>276</v>
      </c>
      <c r="BZ15" s="1">
        <f t="shared" si="39"/>
        <v>0</v>
      </c>
      <c r="CA15" s="1">
        <f t="shared" si="40"/>
        <v>0</v>
      </c>
      <c r="CC15" s="1">
        <f>+datos!KU1</f>
        <v>307</v>
      </c>
      <c r="CD15" s="2">
        <f t="shared" si="24"/>
        <v>2.3382110800000002</v>
      </c>
      <c r="CE15" s="2">
        <f t="shared" si="25"/>
        <v>3.64327676</v>
      </c>
      <c r="CG15" s="1">
        <f>+datos!IY1</f>
        <v>259</v>
      </c>
      <c r="CH15" s="1">
        <f t="shared" si="26"/>
        <v>1.88</v>
      </c>
      <c r="CI15" s="1">
        <f t="shared" si="27"/>
        <v>1.88</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8"/>
        <v>0</v>
      </c>
      <c r="DA15" s="1">
        <f t="shared" si="29"/>
        <v>0</v>
      </c>
      <c r="DB15" s="1">
        <f t="shared" si="29"/>
        <v>0</v>
      </c>
      <c r="DC15" s="1">
        <f t="shared" si="29"/>
        <v>0</v>
      </c>
      <c r="DD15" s="1">
        <f t="shared" si="29"/>
        <v>0</v>
      </c>
      <c r="DE15" s="1">
        <f t="shared" si="29"/>
        <v>0</v>
      </c>
      <c r="DF15" s="1">
        <f t="shared" si="29"/>
        <v>0</v>
      </c>
      <c r="DG15" s="1">
        <f t="shared" si="29"/>
        <v>0</v>
      </c>
      <c r="DH15" s="1">
        <f t="shared" si="29"/>
        <v>0</v>
      </c>
      <c r="DJ15" s="14">
        <f t="shared" si="30"/>
        <v>0.43177300000000002</v>
      </c>
      <c r="DK15" s="14">
        <f t="shared" si="30"/>
        <v>0.33740116000000003</v>
      </c>
      <c r="DL15" s="1">
        <f t="shared" si="30"/>
        <v>0.28762799999999999</v>
      </c>
      <c r="DM15" s="1">
        <f t="shared" si="30"/>
        <v>0.10344400999999999</v>
      </c>
      <c r="DN15" s="1">
        <f t="shared" si="30"/>
        <v>4.4833160000000004E-2</v>
      </c>
      <c r="DO15" s="1">
        <f t="shared" si="30"/>
        <v>0.14172798</v>
      </c>
      <c r="DP15" s="1">
        <f t="shared" si="30"/>
        <v>7.4560410000000008E-2</v>
      </c>
      <c r="DQ15" s="1">
        <f t="shared" si="30"/>
        <v>0.28059129999999999</v>
      </c>
      <c r="DR15" s="1">
        <f t="shared" si="30"/>
        <v>0.15169276000000001</v>
      </c>
      <c r="DS15" s="1">
        <f t="shared" si="30"/>
        <v>0.14711371000000001</v>
      </c>
      <c r="DT15" s="1">
        <f t="shared" si="30"/>
        <v>0.18175015000000003</v>
      </c>
      <c r="DU15" s="1">
        <f t="shared" si="30"/>
        <v>0.15569543999999999</v>
      </c>
      <c r="DV15" s="1">
        <f t="shared" si="30"/>
        <v>0.1712014</v>
      </c>
      <c r="DW15" s="1">
        <f t="shared" si="30"/>
        <v>0.12198517</v>
      </c>
      <c r="DX15" s="1">
        <f t="shared" si="30"/>
        <v>1.6812999999999999E-3</v>
      </c>
      <c r="DY15" s="1">
        <f t="shared" si="30"/>
        <v>2.8195380000000003E-2</v>
      </c>
      <c r="DZ15" s="1">
        <f t="shared" si="31"/>
        <v>4.9277770000000005E-2</v>
      </c>
      <c r="EA15" s="1">
        <f t="shared" si="31"/>
        <v>0.21358802999999996</v>
      </c>
      <c r="EB15" s="1">
        <f t="shared" si="31"/>
        <v>0.24099903000000003</v>
      </c>
      <c r="EC15" s="1">
        <f t="shared" si="31"/>
        <v>0.39667624000000001</v>
      </c>
      <c r="ED15" s="1">
        <f t="shared" si="31"/>
        <v>0.47948613000000001</v>
      </c>
      <c r="EE15" s="1">
        <f t="shared" si="31"/>
        <v>0.13955175</v>
      </c>
      <c r="EF15" s="1">
        <f t="shared" si="31"/>
        <v>0.88368341000000006</v>
      </c>
      <c r="EG15" s="1">
        <f t="shared" si="31"/>
        <v>0.91695114999999994</v>
      </c>
      <c r="EI15" s="14">
        <f t="shared" si="32"/>
        <v>1.88</v>
      </c>
      <c r="EJ15" s="14">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2"/>
        <v>1.88</v>
      </c>
      <c r="EY15" s="1">
        <f t="shared" si="33"/>
        <v>1.88</v>
      </c>
      <c r="EZ15" s="1">
        <f t="shared" si="33"/>
        <v>1.88</v>
      </c>
      <c r="FA15" s="1">
        <f t="shared" si="33"/>
        <v>1.88</v>
      </c>
      <c r="FB15" s="1">
        <f t="shared" si="33"/>
        <v>1.88</v>
      </c>
      <c r="FC15" s="1">
        <f t="shared" si="33"/>
        <v>1.88</v>
      </c>
      <c r="FD15" s="1">
        <f t="shared" si="33"/>
        <v>1.88</v>
      </c>
      <c r="FE15" s="1">
        <f t="shared" si="33"/>
        <v>1.88</v>
      </c>
      <c r="FF15" s="1">
        <f t="shared" si="33"/>
        <v>1.88</v>
      </c>
      <c r="FH15" s="162">
        <f t="shared" si="34"/>
        <v>6.4102528503231504E-2</v>
      </c>
    </row>
    <row r="16" spans="1:164" ht="18" customHeight="1">
      <c r="A16" s="243" t="s">
        <v>25</v>
      </c>
      <c r="B16" s="246"/>
      <c r="C16" s="156">
        <f t="shared" si="5"/>
        <v>-0.66</v>
      </c>
      <c r="D16" s="198">
        <v>-1</v>
      </c>
      <c r="E16" s="248">
        <f t="shared" si="6"/>
        <v>-2.0879011678200721E-2</v>
      </c>
      <c r="F16" s="249">
        <f t="shared" si="7"/>
        <v>-3.7068260498134054E-2</v>
      </c>
      <c r="G16" s="248">
        <f t="shared" si="8"/>
        <v>1.1975477275251833E-2</v>
      </c>
      <c r="H16" s="249">
        <f t="shared" si="9"/>
        <v>-3.2854488953452554E-2</v>
      </c>
      <c r="I16" s="248">
        <f t="shared" si="10"/>
        <v>-0.16124511659153606</v>
      </c>
      <c r="J16" s="249">
        <f t="shared" si="11"/>
        <v>-0.555449518562662</v>
      </c>
      <c r="K16" s="248">
        <f t="shared" si="12"/>
        <v>4.9762587591279939E-2</v>
      </c>
      <c r="L16" s="249">
        <f t="shared" si="13"/>
        <v>-0.211007704182816</v>
      </c>
      <c r="M16" s="250"/>
      <c r="N16" s="24">
        <v>1</v>
      </c>
      <c r="O16" s="248">
        <f t="shared" si="35"/>
        <v>0.25148262863454107</v>
      </c>
      <c r="P16" s="251">
        <f t="shared" si="36"/>
        <v>0.25148262863454107</v>
      </c>
      <c r="Q16" s="248">
        <f t="shared" si="14"/>
        <v>0.18097153276393052</v>
      </c>
      <c r="R16" s="251">
        <f t="shared" si="37"/>
        <v>0.18097153276393052</v>
      </c>
      <c r="S16" s="250"/>
      <c r="T16" s="24">
        <v>-2</v>
      </c>
      <c r="U16" s="248">
        <f t="shared" si="15"/>
        <v>0.37740062691365583</v>
      </c>
      <c r="V16" s="252">
        <f t="shared" si="16"/>
        <v>0.37740062691365583</v>
      </c>
      <c r="W16" s="248"/>
      <c r="X16" s="252"/>
      <c r="Y16" s="248">
        <f t="shared" si="18"/>
        <v>0.10778443113772451</v>
      </c>
      <c r="Z16" s="252">
        <f t="shared" si="19"/>
        <v>0.10778443113772451</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4</v>
      </c>
      <c r="AQ16" s="28">
        <f>VLOOKUP($A16,historia!$A$5:$CM$24,+HLOOKUP(AQ$2,historia!$A$3:$EC$4,2,FALSE),FALSE)</f>
        <v>4</v>
      </c>
      <c r="AR16" s="28">
        <f>VLOOKUP($A16,historia!$A$5:$CM$24,+HLOOKUP(AR$2,historia!$A$3:$EC$4,2,FALSE),FALSE)</f>
        <v>4</v>
      </c>
      <c r="AS16" s="28">
        <f>VLOOKUP($A16,historia!$A$5:$CM$24,+HLOOKUP(AS$2,historia!$A$3:$EC$4,2,FALSE),FALSE)</f>
        <v>4</v>
      </c>
      <c r="AT16" s="58">
        <f>VLOOKUP($A16,historia!$A$5:$CM$24,+HLOOKUP(AT$2,historia!$A$3:$EC$4,2,FALSE),FALSE)</f>
        <v>4</v>
      </c>
      <c r="AU16" s="58">
        <f>VLOOKUP($A16,historia!$A$5:$CM$24,+HLOOKUP(AU$2,historia!$A$3:$EC$4,2,FALSE),FALSE)</f>
        <v>4</v>
      </c>
      <c r="AV16" s="58">
        <f>VLOOKUP($A16,historia!$A$5:$CM$24,+HLOOKUP(AV$2,historia!$A$3:$EC$4,2,FALSE),FALSE)</f>
        <v>2</v>
      </c>
      <c r="AW16" s="58">
        <f>VLOOKUP($A16,historia!$A$5:$CM$24,+HLOOKUP(AW$2,historia!$A$3:$EC$4,2,FALSE),FALSE)</f>
        <v>2</v>
      </c>
      <c r="AX16" s="58">
        <f>VLOOKUP($A16,historia!$A$5:$CM$24,+HLOOKUP(AX$2,historia!$A$3:$EC$4,2,FALSE),FALSE)</f>
        <v>3</v>
      </c>
      <c r="AY16" s="58">
        <f>VLOOKUP($A16,historia!$A$5:$CM$24,+HLOOKUP(AY$2,historia!$A$3:$EC$4,2,FALSE),FALSE)</f>
        <v>3</v>
      </c>
      <c r="AZ16" s="58">
        <f>VLOOKUP($A16,historia!$A$5:$CM$24,+HLOOKUP(AZ$2,historia!$A$3:$EC$4,2,FALSE),FALSE)</f>
        <v>3</v>
      </c>
      <c r="BA16" s="58">
        <f>VLOOKUP($A16,historia!$A$5:$CM$24,+HLOOKUP(BA$2,historia!$A$3:$EC$4,2,FALSE),FALSE)</f>
        <v>3</v>
      </c>
      <c r="BB16" s="58"/>
      <c r="BC16" s="58"/>
      <c r="BD16" s="286">
        <v>3</v>
      </c>
      <c r="BE16" t="str">
        <f t="shared" si="20"/>
        <v>Maní</v>
      </c>
      <c r="BF16">
        <f>+datos!AF1</f>
        <v>32</v>
      </c>
      <c r="BG16" s="2" t="str">
        <f t="shared" si="4"/>
        <v>$/t</v>
      </c>
      <c r="BH16" s="2">
        <f t="shared" si="4"/>
        <v>679118.3175</v>
      </c>
      <c r="BI16" s="2">
        <f t="shared" si="4"/>
        <v>693600</v>
      </c>
      <c r="BJ16" s="2">
        <f t="shared" si="4"/>
        <v>809674.3529411765</v>
      </c>
      <c r="BL16">
        <f>+datos!CH1</f>
        <v>86</v>
      </c>
      <c r="BM16" s="2">
        <f t="shared" si="21"/>
        <v>10148.964413382118</v>
      </c>
      <c r="BN16" s="2">
        <f t="shared" si="21"/>
        <v>10028.863980684835</v>
      </c>
      <c r="BO16" s="2">
        <f t="shared" si="21"/>
        <v>9667.8663664984506</v>
      </c>
      <c r="BQ16" s="1">
        <f>+datos!EB1</f>
        <v>132</v>
      </c>
      <c r="BR16" s="1">
        <f t="shared" si="22"/>
        <v>521230</v>
      </c>
      <c r="BS16" s="1">
        <f t="shared" si="22"/>
        <v>416490</v>
      </c>
      <c r="BU16" s="1">
        <f>+datos!FW1</f>
        <v>179</v>
      </c>
      <c r="BV16" s="1">
        <f t="shared" si="23"/>
        <v>1895131</v>
      </c>
      <c r="BW16" s="1">
        <f t="shared" si="23"/>
        <v>1604722</v>
      </c>
      <c r="BY16" s="1">
        <f>+datos!JK1</f>
        <v>271</v>
      </c>
      <c r="BZ16" s="1">
        <f t="shared" si="39"/>
        <v>1502.4558347</v>
      </c>
      <c r="CA16" s="1">
        <f t="shared" si="40"/>
        <v>1090.79072954</v>
      </c>
      <c r="CC16" s="1">
        <f>+datos!KP1</f>
        <v>302</v>
      </c>
      <c r="CD16" s="2">
        <f t="shared" si="24"/>
        <v>1.7002294100000002</v>
      </c>
      <c r="CE16" s="2">
        <f t="shared" si="25"/>
        <v>2.8903411299999999</v>
      </c>
      <c r="CG16" s="1">
        <f>+datos!IJ1</f>
        <v>244</v>
      </c>
      <c r="CH16" s="1">
        <f t="shared" si="26"/>
        <v>2.3888080854826579</v>
      </c>
      <c r="CI16" s="1">
        <f t="shared" si="27"/>
        <v>2.1563835150032644</v>
      </c>
      <c r="CK16" s="1">
        <f t="shared" si="28"/>
        <v>110.53778464999999</v>
      </c>
      <c r="CL16" s="1">
        <f t="shared" si="28"/>
        <v>97.139552130000013</v>
      </c>
      <c r="CM16" s="1">
        <f t="shared" si="28"/>
        <v>94.262180470000018</v>
      </c>
      <c r="CN16" s="1">
        <f t="shared" si="28"/>
        <v>104.16408064999997</v>
      </c>
      <c r="CO16" s="1">
        <f t="shared" si="28"/>
        <v>129.66034791999999</v>
      </c>
      <c r="CP16" s="1">
        <f t="shared" si="28"/>
        <v>100.29183523999998</v>
      </c>
      <c r="CQ16" s="1">
        <f t="shared" si="28"/>
        <v>142.99991008000001</v>
      </c>
      <c r="CR16" s="1">
        <f t="shared" si="28"/>
        <v>153.43391492999999</v>
      </c>
      <c r="CS16" s="1">
        <f t="shared" si="28"/>
        <v>142.09253510999997</v>
      </c>
      <c r="CT16" s="1">
        <f t="shared" si="28"/>
        <v>155.33708399000002</v>
      </c>
      <c r="CU16" s="1">
        <f t="shared" si="28"/>
        <v>156.99934678</v>
      </c>
      <c r="CV16" s="1">
        <f t="shared" si="28"/>
        <v>115.53726275000001</v>
      </c>
      <c r="CW16" s="1">
        <f t="shared" si="28"/>
        <v>98.487414479999984</v>
      </c>
      <c r="CX16" s="1">
        <f t="shared" si="28"/>
        <v>63.473924160000003</v>
      </c>
      <c r="CY16" s="1">
        <f t="shared" si="28"/>
        <v>65.127016839999982</v>
      </c>
      <c r="CZ16" s="1">
        <f t="shared" si="28"/>
        <v>70.784594500000011</v>
      </c>
      <c r="DA16" s="1">
        <f t="shared" si="29"/>
        <v>111.62267066999999</v>
      </c>
      <c r="DB16" s="1">
        <f t="shared" si="29"/>
        <v>100.80321882999999</v>
      </c>
      <c r="DC16" s="1">
        <f t="shared" si="29"/>
        <v>90.064767340000003</v>
      </c>
      <c r="DD16" s="1">
        <f t="shared" si="29"/>
        <v>96.183340330000021</v>
      </c>
      <c r="DE16" s="1">
        <f t="shared" si="29"/>
        <v>89.024842150000026</v>
      </c>
      <c r="DF16" s="1">
        <f t="shared" si="29"/>
        <v>102.74257099999998</v>
      </c>
      <c r="DG16" s="1">
        <f t="shared" si="29"/>
        <v>102.43695814</v>
      </c>
      <c r="DH16" s="1">
        <f t="shared" si="29"/>
        <v>100.03941109999997</v>
      </c>
      <c r="DJ16" s="1">
        <f t="shared" si="30"/>
        <v>5.4312239999999998E-2</v>
      </c>
      <c r="DK16" s="1">
        <f t="shared" si="30"/>
        <v>1.9420499999999999E-3</v>
      </c>
      <c r="DL16" s="1">
        <f t="shared" si="30"/>
        <v>1.0560452</v>
      </c>
      <c r="DM16" s="1">
        <f t="shared" si="30"/>
        <v>3.8992409999999998E-2</v>
      </c>
      <c r="DN16" s="1">
        <f t="shared" si="30"/>
        <v>0</v>
      </c>
      <c r="DO16" s="1">
        <f t="shared" si="30"/>
        <v>5.2225250000000001E-2</v>
      </c>
      <c r="DP16" s="1">
        <f t="shared" si="30"/>
        <v>0.22862400000000002</v>
      </c>
      <c r="DQ16" s="1">
        <f t="shared" si="30"/>
        <v>2.6527899999999999E-3</v>
      </c>
      <c r="DR16" s="1">
        <f t="shared" si="30"/>
        <v>1.6271E-3</v>
      </c>
      <c r="DS16" s="1">
        <f t="shared" si="30"/>
        <v>0.13444175</v>
      </c>
      <c r="DT16" s="1">
        <f t="shared" si="30"/>
        <v>4.2737620000000004E-2</v>
      </c>
      <c r="DU16" s="1">
        <f t="shared" si="30"/>
        <v>8.6628999999999998E-2</v>
      </c>
      <c r="DV16" s="1">
        <f t="shared" si="30"/>
        <v>8.4906640000000005E-2</v>
      </c>
      <c r="DW16" s="1">
        <f t="shared" si="30"/>
        <v>8.714181E-2</v>
      </c>
      <c r="DX16" s="1">
        <f t="shared" si="30"/>
        <v>0.111375</v>
      </c>
      <c r="DY16" s="1">
        <f t="shared" si="30"/>
        <v>0.12514284000000001</v>
      </c>
      <c r="DZ16" s="1">
        <f t="shared" si="31"/>
        <v>0.69674917999999986</v>
      </c>
      <c r="EA16" s="1">
        <f t="shared" si="31"/>
        <v>0.79684906</v>
      </c>
      <c r="EB16" s="1">
        <f t="shared" si="31"/>
        <v>0.24194792999999998</v>
      </c>
      <c r="EC16" s="1">
        <f t="shared" si="31"/>
        <v>0.11713932000000001</v>
      </c>
      <c r="ED16" s="1">
        <f t="shared" si="31"/>
        <v>0.45286999999999999</v>
      </c>
      <c r="EE16" s="1">
        <f t="shared" si="31"/>
        <v>5.563009E-2</v>
      </c>
      <c r="EF16" s="1">
        <f t="shared" si="31"/>
        <v>2.7416000000000002E-4</v>
      </c>
      <c r="EG16" s="1">
        <f t="shared" si="31"/>
        <v>0.12031510000000001</v>
      </c>
      <c r="EI16" s="14">
        <f t="shared" si="32"/>
        <v>2.3888080854826579</v>
      </c>
      <c r="EJ16" s="14">
        <f t="shared" si="32"/>
        <v>2.3888080854826579</v>
      </c>
      <c r="EK16" s="1">
        <f t="shared" si="32"/>
        <v>2.3888080854826579</v>
      </c>
      <c r="EL16" s="1">
        <f t="shared" si="32"/>
        <v>2.1563835150032644</v>
      </c>
      <c r="EM16" s="1">
        <f t="shared" si="32"/>
        <v>2.1563835150032644</v>
      </c>
      <c r="EN16" s="1">
        <f t="shared" si="32"/>
        <v>2.1563835150032644</v>
      </c>
      <c r="EO16" s="1">
        <f t="shared" si="32"/>
        <v>2.1563835150032644</v>
      </c>
      <c r="EP16" s="1">
        <f t="shared" si="32"/>
        <v>2.1563835150032644</v>
      </c>
      <c r="EQ16" s="1">
        <f t="shared" si="32"/>
        <v>2.1563835150032644</v>
      </c>
      <c r="ER16" s="1">
        <f t="shared" si="32"/>
        <v>2.1563835150032644</v>
      </c>
      <c r="ES16" s="1">
        <f t="shared" si="32"/>
        <v>2.1563835150032644</v>
      </c>
      <c r="ET16" s="1">
        <f t="shared" si="32"/>
        <v>2.1563835150032644</v>
      </c>
      <c r="EU16" s="1">
        <f t="shared" si="32"/>
        <v>2.1563835150032644</v>
      </c>
      <c r="EV16" s="1">
        <f t="shared" si="32"/>
        <v>2.1563835150032644</v>
      </c>
      <c r="EW16" s="1">
        <f t="shared" si="32"/>
        <v>2.1563835150032644</v>
      </c>
      <c r="EX16" s="1">
        <f t="shared" si="32"/>
        <v>1.9885213252125911</v>
      </c>
      <c r="EY16" s="1">
        <f t="shared" si="33"/>
        <v>1.9885213252125911</v>
      </c>
      <c r="EZ16" s="1">
        <f t="shared" si="33"/>
        <v>1.9885213252125911</v>
      </c>
      <c r="FA16" s="1">
        <f t="shared" si="33"/>
        <v>1.9885213252125911</v>
      </c>
      <c r="FB16" s="1">
        <f t="shared" si="33"/>
        <v>1.9885213252125911</v>
      </c>
      <c r="FC16" s="1">
        <f t="shared" si="33"/>
        <v>1.9885213252125911</v>
      </c>
      <c r="FD16" s="1">
        <f t="shared" si="33"/>
        <v>1.9885213252125911</v>
      </c>
      <c r="FE16" s="1">
        <f t="shared" si="33"/>
        <v>1.9885213252125911</v>
      </c>
      <c r="FF16" s="1">
        <f t="shared" si="33"/>
        <v>1.9885213252125911</v>
      </c>
      <c r="FH16" s="162">
        <f t="shared" si="34"/>
        <v>-0.211007704182816</v>
      </c>
    </row>
    <row r="17" spans="1:164" ht="18.75" customHeight="1">
      <c r="A17" s="244" t="s">
        <v>76</v>
      </c>
      <c r="B17" s="247"/>
      <c r="C17" s="228">
        <f t="shared" si="5"/>
        <v>-0.99</v>
      </c>
      <c r="D17" s="229">
        <v>-1</v>
      </c>
      <c r="E17" s="253">
        <f t="shared" si="6"/>
        <v>-1.0986203372508996E-2</v>
      </c>
      <c r="F17" s="254">
        <f t="shared" si="7"/>
        <v>-2.7175452192442329E-2</v>
      </c>
      <c r="G17" s="253">
        <f t="shared" si="8"/>
        <v>1.2336617162234997E-2</v>
      </c>
      <c r="H17" s="254">
        <f t="shared" si="9"/>
        <v>-2.3322820534743993E-2</v>
      </c>
      <c r="I17" s="253">
        <f t="shared" si="10"/>
        <v>0.32477754962354544</v>
      </c>
      <c r="J17" s="254">
        <f t="shared" si="11"/>
        <v>-6.9426852347580503E-2</v>
      </c>
      <c r="K17" s="253">
        <f t="shared" si="12"/>
        <v>0.34675301912563139</v>
      </c>
      <c r="L17" s="254">
        <f t="shared" si="13"/>
        <v>-2.1975469502085954E-2</v>
      </c>
      <c r="M17" s="255"/>
      <c r="N17" s="256">
        <v>-1</v>
      </c>
      <c r="O17" s="253">
        <f>IFERROR(+BR17/BS17-1,"")</f>
        <v>0.14285714285714279</v>
      </c>
      <c r="P17" s="257">
        <f t="shared" si="36"/>
        <v>0.14285714285714279</v>
      </c>
      <c r="Q17" s="253">
        <f t="shared" si="14"/>
        <v>8.2297934975540166E-2</v>
      </c>
      <c r="R17" s="257">
        <f t="shared" si="37"/>
        <v>8.2297934975540166E-2</v>
      </c>
      <c r="S17" s="255"/>
      <c r="T17" s="256">
        <v>-1</v>
      </c>
      <c r="U17" s="253">
        <f t="shared" si="15"/>
        <v>0.10694074219007033</v>
      </c>
      <c r="V17" s="258">
        <f t="shared" si="16"/>
        <v>0.10694074219007033</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3</v>
      </c>
      <c r="AW17" s="58">
        <f>VLOOKUP($A17,historia!$A$5:$CM$24,+HLOOKUP(AW$2,historia!$A$3:$EC$4,2,FALSE),FALSE)</f>
        <v>3</v>
      </c>
      <c r="AX17" s="58">
        <f>VLOOKUP($A17,historia!$A$5:$CM$24,+HLOOKUP(AX$2,historia!$A$3:$EC$4,2,FALSE),FALSE)</f>
        <v>3</v>
      </c>
      <c r="AY17" s="58">
        <f>VLOOKUP($A17,historia!$A$5:$CM$24,+HLOOKUP(AY$2,historia!$A$3:$EC$4,2,FALSE),FALSE)</f>
        <v>3</v>
      </c>
      <c r="AZ17" s="58">
        <f>VLOOKUP($A17,historia!$A$5:$CM$24,+HLOOKUP(AZ$2,historia!$A$3:$EC$4,2,FALSE),FALSE)</f>
        <v>3</v>
      </c>
      <c r="BA17" s="58">
        <f>VLOOKUP($A17,historia!$A$5:$CM$24,+HLOOKUP(BA$2,historia!$A$3:$EC$4,2,FALSE),FALSE)</f>
        <v>3</v>
      </c>
      <c r="BB17" s="58"/>
      <c r="BC17" s="58"/>
      <c r="BD17" s="286">
        <v>3</v>
      </c>
      <c r="BE17" t="str">
        <f t="shared" si="20"/>
        <v>Miel</v>
      </c>
      <c r="BF17">
        <f>+datos!BV1</f>
        <v>74</v>
      </c>
      <c r="BG17" s="2" t="str">
        <f t="shared" si="4"/>
        <v>$/kg</v>
      </c>
      <c r="BH17" s="2">
        <f t="shared" si="4"/>
        <v>1935.5</v>
      </c>
      <c r="BI17" s="2">
        <f t="shared" si="4"/>
        <v>1957</v>
      </c>
      <c r="BJ17" s="2">
        <f t="shared" si="4"/>
        <v>1461</v>
      </c>
      <c r="BL17">
        <f>+datos!DH1</f>
        <v>112</v>
      </c>
      <c r="BM17" s="2">
        <f t="shared" si="21"/>
        <v>10307.17543562585</v>
      </c>
      <c r="BN17" s="2">
        <f t="shared" si="21"/>
        <v>10181.56931290182</v>
      </c>
      <c r="BO17" s="2">
        <f t="shared" si="21"/>
        <v>7653.3523884859751</v>
      </c>
      <c r="BQ17" s="1">
        <f>+datos!EQ1</f>
        <v>147</v>
      </c>
      <c r="BR17" s="1">
        <f t="shared" si="22"/>
        <v>4000000</v>
      </c>
      <c r="BS17" s="1">
        <f t="shared" si="22"/>
        <v>3500000</v>
      </c>
      <c r="BU17" s="1">
        <f>+datos!GP1</f>
        <v>198</v>
      </c>
      <c r="BV17" s="1">
        <f t="shared" si="23"/>
        <v>75000</v>
      </c>
      <c r="BW17" s="1">
        <f t="shared" si="23"/>
        <v>69297</v>
      </c>
      <c r="BY17" s="1">
        <f>+datos!KE1</f>
        <v>291</v>
      </c>
      <c r="BZ17" s="1">
        <f t="shared" si="39"/>
        <v>224.18531313</v>
      </c>
      <c r="CA17" s="1">
        <f t="shared" si="40"/>
        <v>202.52693264000001</v>
      </c>
      <c r="CC17" s="1">
        <f>+datos!LJ1</f>
        <v>322</v>
      </c>
      <c r="CD17" s="2">
        <f t="shared" si="24"/>
        <v>5.4628400000000001E-3</v>
      </c>
      <c r="CE17" s="2">
        <f>+SUM(DV17:EG17)</f>
        <v>9.3139300000000008E-2</v>
      </c>
      <c r="CG17" s="1">
        <f>+datos!IZ1</f>
        <v>260</v>
      </c>
      <c r="CH17" s="1">
        <f t="shared" si="26"/>
        <v>0.3</v>
      </c>
      <c r="CI17" s="1">
        <f t="shared" si="27"/>
        <v>0.3</v>
      </c>
      <c r="CK17" s="1">
        <f t="shared" si="28"/>
        <v>22.120083830000002</v>
      </c>
      <c r="CL17" s="1">
        <f t="shared" si="28"/>
        <v>25.223589140000001</v>
      </c>
      <c r="CM17" s="1">
        <f t="shared" si="28"/>
        <v>23.185079629999997</v>
      </c>
      <c r="CN17" s="1">
        <f t="shared" si="28"/>
        <v>18.014525360000007</v>
      </c>
      <c r="CO17" s="1">
        <f t="shared" si="28"/>
        <v>15.906782769999998</v>
      </c>
      <c r="CP17" s="1">
        <f t="shared" si="28"/>
        <v>9.6274282100000015</v>
      </c>
      <c r="CQ17" s="1">
        <f t="shared" si="28"/>
        <v>12.184475789999999</v>
      </c>
      <c r="CR17" s="1">
        <f t="shared" si="28"/>
        <v>14.349162859999998</v>
      </c>
      <c r="CS17" s="1">
        <f t="shared" si="28"/>
        <v>24.378519029999993</v>
      </c>
      <c r="CT17" s="1">
        <f t="shared" si="28"/>
        <v>22.211636389999995</v>
      </c>
      <c r="CU17" s="1">
        <f t="shared" si="28"/>
        <v>18.934177090000006</v>
      </c>
      <c r="CV17" s="1">
        <f t="shared" si="28"/>
        <v>18.049853030000005</v>
      </c>
      <c r="CW17" s="1">
        <f t="shared" si="28"/>
        <v>20.702965450000001</v>
      </c>
      <c r="CX17" s="1">
        <f t="shared" si="28"/>
        <v>19.199801710000003</v>
      </c>
      <c r="CY17" s="1">
        <f t="shared" si="28"/>
        <v>16.174522229999997</v>
      </c>
      <c r="CZ17" s="1">
        <f t="shared" si="28"/>
        <v>22.082734950000003</v>
      </c>
      <c r="DA17" s="1">
        <f t="shared" si="29"/>
        <v>13.392344960000001</v>
      </c>
      <c r="DB17" s="1">
        <f t="shared" si="29"/>
        <v>10.971998660000001</v>
      </c>
      <c r="DC17" s="1">
        <f t="shared" si="29"/>
        <v>12.805239539999999</v>
      </c>
      <c r="DD17" s="1">
        <f t="shared" si="29"/>
        <v>13.943876809999997</v>
      </c>
      <c r="DE17" s="1">
        <f t="shared" si="29"/>
        <v>17.891480939999997</v>
      </c>
      <c r="DF17" s="1">
        <f t="shared" si="29"/>
        <v>16.805607889999997</v>
      </c>
      <c r="DG17" s="1">
        <f t="shared" si="29"/>
        <v>21.325973759999997</v>
      </c>
      <c r="DH17" s="1">
        <f t="shared" si="29"/>
        <v>17.230385739999999</v>
      </c>
      <c r="DJ17" s="1">
        <f t="shared" si="30"/>
        <v>0</v>
      </c>
      <c r="DK17" s="1">
        <f t="shared" si="30"/>
        <v>1.5264E-3</v>
      </c>
      <c r="DL17" s="1">
        <f t="shared" si="30"/>
        <v>0</v>
      </c>
      <c r="DM17" s="1">
        <f t="shared" si="30"/>
        <v>0</v>
      </c>
      <c r="DN17" s="1">
        <f t="shared" si="30"/>
        <v>3.5298E-3</v>
      </c>
      <c r="DO17" s="1">
        <f t="shared" si="30"/>
        <v>0</v>
      </c>
      <c r="DP17" s="1">
        <f t="shared" si="30"/>
        <v>0</v>
      </c>
      <c r="DQ17" s="1">
        <f t="shared" si="30"/>
        <v>0</v>
      </c>
      <c r="DR17" s="1">
        <f t="shared" si="30"/>
        <v>0</v>
      </c>
      <c r="DS17" s="1">
        <f t="shared" si="30"/>
        <v>4.0664E-4</v>
      </c>
      <c r="DT17" s="1">
        <f t="shared" si="30"/>
        <v>0</v>
      </c>
      <c r="DU17" s="1">
        <f t="shared" si="30"/>
        <v>0</v>
      </c>
      <c r="DV17" s="1">
        <f t="shared" si="30"/>
        <v>0</v>
      </c>
      <c r="DW17" s="1">
        <f t="shared" si="30"/>
        <v>0</v>
      </c>
      <c r="DX17" s="1">
        <f t="shared" si="30"/>
        <v>0</v>
      </c>
      <c r="DY17" s="1">
        <f t="shared" si="30"/>
        <v>5.2539300000000004E-2</v>
      </c>
      <c r="DZ17" s="1">
        <f t="shared" si="31"/>
        <v>0</v>
      </c>
      <c r="EA17" s="1">
        <f t="shared" si="31"/>
        <v>0</v>
      </c>
      <c r="EB17" s="1">
        <f t="shared" si="31"/>
        <v>4.0599999999999997E-2</v>
      </c>
      <c r="EC17" s="1">
        <f t="shared" si="31"/>
        <v>0</v>
      </c>
      <c r="ED17" s="1">
        <f t="shared" si="31"/>
        <v>0</v>
      </c>
      <c r="EE17" s="1">
        <f t="shared" si="31"/>
        <v>0</v>
      </c>
      <c r="EF17" s="1">
        <f t="shared" si="31"/>
        <v>0</v>
      </c>
      <c r="EG17" s="1">
        <f t="shared" si="31"/>
        <v>0</v>
      </c>
      <c r="EI17" s="14">
        <f t="shared" si="32"/>
        <v>0.3</v>
      </c>
      <c r="EJ17" s="14">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2"/>
        <v>0.3</v>
      </c>
      <c r="EY17" s="1">
        <f t="shared" si="33"/>
        <v>0.3</v>
      </c>
      <c r="EZ17" s="1">
        <f t="shared" si="33"/>
        <v>0.3</v>
      </c>
      <c r="FA17" s="1">
        <f t="shared" si="33"/>
        <v>0.3</v>
      </c>
      <c r="FB17" s="1">
        <f t="shared" si="33"/>
        <v>0.3</v>
      </c>
      <c r="FC17" s="1">
        <f t="shared" si="33"/>
        <v>0.3</v>
      </c>
      <c r="FD17" s="1">
        <f t="shared" si="33"/>
        <v>0.3</v>
      </c>
      <c r="FE17" s="1">
        <f t="shared" si="33"/>
        <v>0.3</v>
      </c>
      <c r="FF17" s="1">
        <f t="shared" si="33"/>
        <v>0.3</v>
      </c>
      <c r="FH17" s="162">
        <f t="shared" si="34"/>
        <v>-2.1975469502085954E-2</v>
      </c>
    </row>
    <row r="18" spans="1:164" ht="18.75" customHeight="1">
      <c r="A18" s="243" t="s">
        <v>222</v>
      </c>
      <c r="B18" s="246"/>
      <c r="C18" s="156">
        <f t="shared" si="5"/>
        <v>-0.33</v>
      </c>
      <c r="D18" s="198">
        <v>1</v>
      </c>
      <c r="E18" s="248">
        <f t="shared" si="6"/>
        <v>-2.6789349507590043E-2</v>
      </c>
      <c r="F18" s="249">
        <f t="shared" si="7"/>
        <v>-4.2978598327523376E-2</v>
      </c>
      <c r="G18" s="248">
        <f t="shared" si="8"/>
        <v>2.6072563790424663E-3</v>
      </c>
      <c r="H18" s="249">
        <f t="shared" si="9"/>
        <v>-2.939660588663251E-2</v>
      </c>
      <c r="I18" s="253">
        <f t="shared" si="10"/>
        <v>0.65695780677884907</v>
      </c>
      <c r="J18" s="254">
        <f t="shared" si="11"/>
        <v>0.26275340480772313</v>
      </c>
      <c r="K18" s="248">
        <f t="shared" si="12"/>
        <v>0.4164704804655055</v>
      </c>
      <c r="L18" s="249">
        <f t="shared" si="13"/>
        <v>0.24048732631334357</v>
      </c>
      <c r="M18" s="250"/>
      <c r="N18" s="24">
        <v>-1</v>
      </c>
      <c r="O18" s="248">
        <f t="shared" si="35"/>
        <v>-5.0916613399780819E-2</v>
      </c>
      <c r="P18" s="251">
        <f t="shared" si="36"/>
        <v>-5.0916613399780819E-2</v>
      </c>
      <c r="Q18" s="248">
        <f t="shared" si="14"/>
        <v>6.5018762408657338E-3</v>
      </c>
      <c r="R18" s="251">
        <f t="shared" si="37"/>
        <v>6.5018762408657338E-3</v>
      </c>
      <c r="S18" s="250"/>
      <c r="T18" s="24">
        <v>-1</v>
      </c>
      <c r="U18" s="248">
        <f t="shared" si="15"/>
        <v>0.17368347213648661</v>
      </c>
      <c r="V18" s="252">
        <f t="shared" si="16"/>
        <v>0.17368347213648661</v>
      </c>
      <c r="W18" s="248">
        <f t="shared" si="38"/>
        <v>-0.44961524978210177</v>
      </c>
      <c r="X18" s="252">
        <f t="shared" si="17"/>
        <v>-0.44961524978210177</v>
      </c>
      <c r="Y18" s="248">
        <f t="shared" si="18"/>
        <v>0.26377532883043009</v>
      </c>
      <c r="Z18" s="252">
        <f t="shared" si="19"/>
        <v>0.26377532883043009</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4</v>
      </c>
      <c r="AQ18" s="28">
        <f>VLOOKUP($A18,historia!$A$5:$CM$24,+HLOOKUP(AQ$2,historia!$A$3:$EC$4,2,FALSE),FALSE)</f>
        <v>4</v>
      </c>
      <c r="AR18" s="28">
        <f>VLOOKUP($A18,historia!$A$5:$CM$24,+HLOOKUP(AR$2,historia!$A$3:$EC$4,2,FALSE),FALSE)</f>
        <v>4</v>
      </c>
      <c r="AS18" s="28">
        <f>VLOOKUP($A18,historia!$A$5:$CM$24,+HLOOKUP(AS$2,historia!$A$3:$EC$4,2,FALSE),FALSE)</f>
        <v>4</v>
      </c>
      <c r="AT18" s="58">
        <f>VLOOKUP($A18,historia!$A$5:$CM$24,+HLOOKUP(AT$2,historia!$A$3:$EC$4,2,FALSE),FALSE)</f>
        <v>4</v>
      </c>
      <c r="AU18" s="58">
        <f>VLOOKUP($A18,historia!$A$5:$CM$24,+HLOOKUP(AU$2,historia!$A$3:$EC$4,2,FALSE),FALSE)</f>
        <v>4</v>
      </c>
      <c r="AV18" s="58">
        <f>VLOOKUP($A18,historia!$A$5:$CM$24,+HLOOKUP(AV$2,historia!$A$3:$EC$4,2,FALSE),FALSE)</f>
        <v>3</v>
      </c>
      <c r="AW18" s="58">
        <f>VLOOKUP($A18,historia!$A$5:$CM$24,+HLOOKUP(AW$2,historia!$A$3:$EC$4,2,FALSE),FALSE)</f>
        <v>2</v>
      </c>
      <c r="AX18" s="58">
        <f>VLOOKUP($A18,historia!$A$5:$CM$24,+HLOOKUP(AX$2,historia!$A$3:$EC$4,2,FALSE),FALSE)</f>
        <v>2</v>
      </c>
      <c r="AY18" s="58">
        <f>VLOOKUP($A18,historia!$A$5:$CM$24,+HLOOKUP(AY$2,historia!$A$3:$EC$4,2,FALSE),FALSE)</f>
        <v>2</v>
      </c>
      <c r="AZ18" s="58">
        <f>VLOOKUP($A18,historia!$A$5:$CM$24,+HLOOKUP(AZ$2,historia!$A$3:$EC$4,2,FALSE),FALSE)</f>
        <v>2</v>
      </c>
      <c r="BA18" s="58">
        <f>VLOOKUP($A18,historia!$A$5:$CM$24,+HLOOKUP(BA$2,historia!$A$3:$EC$4,2,FALSE),FALSE)</f>
        <v>1</v>
      </c>
      <c r="BB18" s="58"/>
      <c r="BC18" s="58"/>
      <c r="BD18" s="286">
        <v>1</v>
      </c>
      <c r="BE18" t="str">
        <f t="shared" si="20"/>
        <v>Ovino</v>
      </c>
      <c r="BF18">
        <f>+datos!BU1</f>
        <v>73</v>
      </c>
      <c r="BG18" s="2" t="str">
        <f t="shared" si="4"/>
        <v>$/kg</v>
      </c>
      <c r="BH18" s="2">
        <f t="shared" si="4"/>
        <v>82570.18421052632</v>
      </c>
      <c r="BI18" s="2">
        <f t="shared" si="4"/>
        <v>84843.074999999997</v>
      </c>
      <c r="BJ18" s="2">
        <f t="shared" si="4"/>
        <v>49832.4</v>
      </c>
      <c r="BL18">
        <f>+datos!DI1</f>
        <v>113</v>
      </c>
      <c r="BM18" s="2">
        <f t="shared" si="21"/>
        <v>10545.313325382322</v>
      </c>
      <c r="BN18" s="2">
        <f t="shared" si="21"/>
        <v>10517.890488312598</v>
      </c>
      <c r="BO18" s="2">
        <f t="shared" si="21"/>
        <v>7444.7815685623991</v>
      </c>
      <c r="BQ18" s="1">
        <f>+datos!EL1</f>
        <v>142</v>
      </c>
      <c r="BR18" s="1">
        <f t="shared" si="22"/>
        <v>11967429</v>
      </c>
      <c r="BS18" s="1">
        <f t="shared" si="22"/>
        <v>12609460</v>
      </c>
      <c r="BU18" s="1">
        <f>+datos!GS1</f>
        <v>201</v>
      </c>
      <c r="BV18" s="1">
        <f t="shared" si="23"/>
        <v>34858.26</v>
      </c>
      <c r="BW18" s="1">
        <f t="shared" si="23"/>
        <v>34633.08</v>
      </c>
      <c r="BY18" s="1">
        <f>+datos!KI1</f>
        <v>295</v>
      </c>
      <c r="BZ18" s="1">
        <f t="shared" si="39"/>
        <v>220.19927367999998</v>
      </c>
      <c r="CA18" s="1">
        <f t="shared" si="40"/>
        <v>187.61384896999999</v>
      </c>
      <c r="CC18" s="1">
        <f>+datos!LN1</f>
        <v>326</v>
      </c>
      <c r="CD18" s="2">
        <f t="shared" si="24"/>
        <v>2.41628782</v>
      </c>
      <c r="CE18" s="2">
        <f t="shared" si="25"/>
        <v>4.3901794500000006</v>
      </c>
      <c r="CG18" s="1">
        <f>+datos!JA1</f>
        <v>261</v>
      </c>
      <c r="CH18" s="1">
        <f t="shared" si="26"/>
        <v>3555</v>
      </c>
      <c r="CI18" s="1">
        <f t="shared" si="27"/>
        <v>2813</v>
      </c>
      <c r="CK18" s="1">
        <f t="shared" si="28"/>
        <v>18.748166940000001</v>
      </c>
      <c r="CL18" s="1">
        <f t="shared" si="28"/>
        <v>21.131437869999999</v>
      </c>
      <c r="CM18" s="1">
        <f t="shared" si="28"/>
        <v>23.746863359999999</v>
      </c>
      <c r="CN18" s="1">
        <f t="shared" si="28"/>
        <v>18.662799830000001</v>
      </c>
      <c r="CO18" s="1">
        <f t="shared" si="28"/>
        <v>31.610464650000004</v>
      </c>
      <c r="CP18" s="1">
        <f t="shared" si="28"/>
        <v>14.881609229999999</v>
      </c>
      <c r="CQ18" s="1">
        <f t="shared" si="28"/>
        <v>18.538380959999998</v>
      </c>
      <c r="CR18" s="1">
        <f t="shared" si="28"/>
        <v>15.79353798</v>
      </c>
      <c r="CS18" s="1">
        <f t="shared" si="28"/>
        <v>15.390557059999999</v>
      </c>
      <c r="CT18" s="1">
        <f t="shared" si="28"/>
        <v>12.657815750000001</v>
      </c>
      <c r="CU18" s="1">
        <f t="shared" si="28"/>
        <v>13.430479930000001</v>
      </c>
      <c r="CV18" s="1">
        <f t="shared" si="28"/>
        <v>15.60716012</v>
      </c>
      <c r="CW18" s="1">
        <f t="shared" si="28"/>
        <v>19.03918719</v>
      </c>
      <c r="CX18" s="1">
        <f t="shared" si="28"/>
        <v>17.774232269999999</v>
      </c>
      <c r="CY18" s="1">
        <f t="shared" si="28"/>
        <v>22.502102959999998</v>
      </c>
      <c r="CZ18" s="1">
        <f t="shared" si="28"/>
        <v>22.437193859999997</v>
      </c>
      <c r="DA18" s="1">
        <f t="shared" si="29"/>
        <v>15.322430800000003</v>
      </c>
      <c r="DB18" s="1">
        <f t="shared" si="29"/>
        <v>16.644595240000001</v>
      </c>
      <c r="DC18" s="1">
        <f t="shared" si="29"/>
        <v>15.83663735</v>
      </c>
      <c r="DD18" s="1">
        <f t="shared" si="29"/>
        <v>13.412348609999999</v>
      </c>
      <c r="DE18" s="1">
        <f t="shared" si="29"/>
        <v>9.5091132299999988</v>
      </c>
      <c r="DF18" s="1">
        <f t="shared" si="29"/>
        <v>10.49137048</v>
      </c>
      <c r="DG18" s="1">
        <f t="shared" si="29"/>
        <v>12.745889309999999</v>
      </c>
      <c r="DH18" s="1">
        <f t="shared" si="29"/>
        <v>11.898747670000001</v>
      </c>
      <c r="DJ18" s="1">
        <f t="shared" si="30"/>
        <v>0.19937177999999997</v>
      </c>
      <c r="DK18" s="1">
        <f t="shared" si="30"/>
        <v>0.18211829000000002</v>
      </c>
      <c r="DL18" s="1">
        <f t="shared" si="30"/>
        <v>0.19639201000000001</v>
      </c>
      <c r="DM18" s="1">
        <f t="shared" si="30"/>
        <v>0.15047392000000001</v>
      </c>
      <c r="DN18" s="1">
        <f t="shared" si="30"/>
        <v>0.19393855000000002</v>
      </c>
      <c r="DO18" s="1">
        <f t="shared" si="30"/>
        <v>0.16347327</v>
      </c>
      <c r="DP18" s="1">
        <f t="shared" si="30"/>
        <v>0.18164933</v>
      </c>
      <c r="DQ18" s="1">
        <f t="shared" si="30"/>
        <v>0.25055533999999996</v>
      </c>
      <c r="DR18" s="1">
        <f t="shared" si="30"/>
        <v>0.29342396000000004</v>
      </c>
      <c r="DS18" s="1">
        <f t="shared" si="30"/>
        <v>0.26088905000000001</v>
      </c>
      <c r="DT18" s="1">
        <f t="shared" si="30"/>
        <v>0.18624962</v>
      </c>
      <c r="DU18" s="1">
        <f t="shared" si="30"/>
        <v>0.1577527</v>
      </c>
      <c r="DV18" s="1">
        <f t="shared" si="30"/>
        <v>0.24821200999999998</v>
      </c>
      <c r="DW18" s="1">
        <f t="shared" si="30"/>
        <v>0.13589592</v>
      </c>
      <c r="DX18" s="1">
        <f t="shared" si="30"/>
        <v>0.23010199000000001</v>
      </c>
      <c r="DY18" s="1">
        <f t="shared" si="30"/>
        <v>4.8750000000000002E-2</v>
      </c>
      <c r="DZ18" s="1">
        <f t="shared" si="31"/>
        <v>0.31075020000000003</v>
      </c>
      <c r="EA18" s="1">
        <f t="shared" si="31"/>
        <v>0.90541722000000002</v>
      </c>
      <c r="EB18" s="1">
        <f t="shared" si="31"/>
        <v>0.34283965</v>
      </c>
      <c r="EC18" s="1">
        <f t="shared" si="31"/>
        <v>0.74167351000000015</v>
      </c>
      <c r="ED18" s="1">
        <f t="shared" si="31"/>
        <v>0.58632921999999998</v>
      </c>
      <c r="EE18" s="1">
        <f t="shared" si="31"/>
        <v>0.29250390000000004</v>
      </c>
      <c r="EF18" s="1">
        <f t="shared" si="31"/>
        <v>0.46645720000000002</v>
      </c>
      <c r="EG18" s="1">
        <f t="shared" si="31"/>
        <v>8.1248630000000002E-2</v>
      </c>
      <c r="EI18" s="14">
        <f t="shared" si="32"/>
        <v>3555</v>
      </c>
      <c r="EJ18" s="14">
        <f t="shared" si="32"/>
        <v>3735</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2"/>
        <v>2813</v>
      </c>
      <c r="EY18" s="1">
        <f t="shared" si="33"/>
        <v>2813</v>
      </c>
      <c r="EZ18" s="1">
        <f t="shared" si="33"/>
        <v>2813</v>
      </c>
      <c r="FA18" s="1">
        <f t="shared" si="33"/>
        <v>2813</v>
      </c>
      <c r="FB18" s="1">
        <f t="shared" si="33"/>
        <v>2813</v>
      </c>
      <c r="FC18" s="1">
        <f t="shared" si="33"/>
        <v>2813</v>
      </c>
      <c r="FD18" s="1">
        <f t="shared" si="33"/>
        <v>2813</v>
      </c>
      <c r="FE18" s="1">
        <f t="shared" si="33"/>
        <v>2813</v>
      </c>
      <c r="FF18" s="1">
        <f t="shared" si="33"/>
        <v>2813</v>
      </c>
      <c r="FH18" s="162">
        <f t="shared" si="34"/>
        <v>0.24048732631334357</v>
      </c>
    </row>
    <row r="19" spans="1:164" ht="18.75" customHeight="1">
      <c r="A19" s="244" t="s">
        <v>66</v>
      </c>
      <c r="B19" s="247"/>
      <c r="C19" s="228">
        <f t="shared" si="5"/>
        <v>0</v>
      </c>
      <c r="D19" s="229">
        <v>-1</v>
      </c>
      <c r="E19" s="253">
        <f t="shared" si="6"/>
        <v>-4.6008261675940076E-2</v>
      </c>
      <c r="F19" s="254">
        <f t="shared" si="7"/>
        <v>-6.2197510495873409E-2</v>
      </c>
      <c r="G19" s="253">
        <f t="shared" si="8"/>
        <v>1.8763709999671141E-2</v>
      </c>
      <c r="H19" s="254">
        <f t="shared" si="9"/>
        <v>-6.4771971675611217E-2</v>
      </c>
      <c r="I19" s="253">
        <f t="shared" si="10"/>
        <v>-0.19721332347626097</v>
      </c>
      <c r="J19" s="254">
        <f t="shared" si="11"/>
        <v>-0.59141772544738691</v>
      </c>
      <c r="K19" s="253">
        <f t="shared" si="12"/>
        <v>0.20158020387617115</v>
      </c>
      <c r="L19" s="254">
        <f t="shared" si="13"/>
        <v>-0.39879352735243212</v>
      </c>
      <c r="M19" s="255"/>
      <c r="N19" s="256">
        <v>0</v>
      </c>
      <c r="O19" s="253">
        <f t="shared" si="35"/>
        <v>9.6567571449088119E-2</v>
      </c>
      <c r="P19" s="257">
        <f t="shared" si="36"/>
        <v>9.6567571449088119E-2</v>
      </c>
      <c r="Q19" s="253">
        <f t="shared" si="14"/>
        <v>0</v>
      </c>
      <c r="R19" s="257">
        <v>-0.01</v>
      </c>
      <c r="S19" s="255"/>
      <c r="T19" s="256">
        <v>1</v>
      </c>
      <c r="U19" s="253">
        <f t="shared" si="15"/>
        <v>0.20053436280262305</v>
      </c>
      <c r="V19" s="258">
        <f t="shared" si="16"/>
        <v>0.20053436280262305</v>
      </c>
      <c r="W19" s="253">
        <f t="shared" si="38"/>
        <v>-0.3583419980011332</v>
      </c>
      <c r="X19" s="258">
        <f t="shared" si="17"/>
        <v>-0.3583419980011332</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3</v>
      </c>
      <c r="AQ19" s="28">
        <f>VLOOKUP($A19,historia!$A$5:$CM$24,+HLOOKUP(AQ$2,historia!$A$3:$EC$4,2,FALSE),FALSE)</f>
        <v>3</v>
      </c>
      <c r="AR19" s="28">
        <f>VLOOKUP($A19,historia!$A$5:$CM$24,+HLOOKUP(AR$2,historia!$A$3:$EC$4,2,FALSE),FALSE)</f>
        <v>3</v>
      </c>
      <c r="AS19" s="28">
        <f>VLOOKUP($A19,historia!$A$5:$CM$24,+HLOOKUP(AS$2,historia!$A$3:$EC$4,2,FALSE),FALSE)</f>
        <v>3</v>
      </c>
      <c r="AT19" s="58">
        <f>VLOOKUP($A19,historia!$A$5:$CM$24,+HLOOKUP(AT$2,historia!$A$3:$EC$4,2,FALSE),FALSE)</f>
        <v>3</v>
      </c>
      <c r="AU19" s="58">
        <f>VLOOKUP($A19,historia!$A$5:$CM$24,+HLOOKUP(AU$2,historia!$A$3:$EC$4,2,FALSE),FALSE)</f>
        <v>3</v>
      </c>
      <c r="AV19" s="58">
        <f>VLOOKUP($A19,historia!$A$5:$CM$24,+HLOOKUP(AV$2,historia!$A$3:$EC$4,2,FALSE),FALSE)</f>
        <v>4</v>
      </c>
      <c r="AW19" s="58">
        <f>VLOOKUP($A19,historia!$A$5:$CM$24,+HLOOKUP(AW$2,historia!$A$3:$EC$4,2,FALSE),FALSE)</f>
        <v>3</v>
      </c>
      <c r="AX19" s="58">
        <f>VLOOKUP($A19,historia!$A$5:$CM$24,+HLOOKUP(AX$2,historia!$A$3:$EC$4,2,FALSE),FALSE)</f>
        <v>3</v>
      </c>
      <c r="AY19" s="58">
        <f>VLOOKUP($A19,historia!$A$5:$CM$24,+HLOOKUP(AY$2,historia!$A$3:$EC$4,2,FALSE),FALSE)</f>
        <v>3</v>
      </c>
      <c r="AZ19" s="58">
        <f>VLOOKUP($A19,historia!$A$5:$CM$24,+HLOOKUP(AZ$2,historia!$A$3:$EC$4,2,FALSE),FALSE)</f>
        <v>4</v>
      </c>
      <c r="BA19" s="58">
        <f>VLOOKUP($A19,historia!$A$5:$CM$24,+HLOOKUP(BA$2,historia!$A$3:$EC$4,2,FALSE),FALSE)</f>
        <v>4</v>
      </c>
      <c r="BB19" s="58"/>
      <c r="BC19" s="58"/>
      <c r="BD19" s="286">
        <v>4</v>
      </c>
      <c r="BE19" t="str">
        <f t="shared" si="20"/>
        <v>Papa</v>
      </c>
      <c r="BF19">
        <f>+datos!AV1</f>
        <v>48</v>
      </c>
      <c r="BG19" s="2" t="str">
        <f t="shared" si="4"/>
        <v>$/bolsa 20kg</v>
      </c>
      <c r="BH19" s="2">
        <f t="shared" si="4"/>
        <v>5715.2777777777774</v>
      </c>
      <c r="BI19" s="2">
        <f t="shared" si="4"/>
        <v>5990.909090909091</v>
      </c>
      <c r="BJ19" s="2">
        <f t="shared" si="4"/>
        <v>7119.2982456140353</v>
      </c>
      <c r="BL19">
        <f>+datos!CI1</f>
        <v>87</v>
      </c>
      <c r="BM19" s="2">
        <f t="shared" si="21"/>
        <v>10033.186181561156</v>
      </c>
      <c r="BN19" s="2">
        <f t="shared" si="21"/>
        <v>9848.3937767712541</v>
      </c>
      <c r="BO19" s="2">
        <f t="shared" si="21"/>
        <v>8349.9929086673983</v>
      </c>
      <c r="BQ19" s="1">
        <f>+datos!EZ1</f>
        <v>156</v>
      </c>
      <c r="BR19" s="1">
        <f t="shared" si="22"/>
        <v>38177</v>
      </c>
      <c r="BS19" s="1">
        <f t="shared" si="22"/>
        <v>34815</v>
      </c>
      <c r="BU19" s="1">
        <f>+datos!GT1</f>
        <v>202</v>
      </c>
      <c r="BV19" s="1">
        <f t="shared" si="23"/>
        <v>2111561</v>
      </c>
      <c r="BW19" s="1">
        <f t="shared" si="23"/>
        <v>2111561</v>
      </c>
      <c r="BY19" s="1">
        <f>+datos!JO1</f>
        <v>275</v>
      </c>
      <c r="BZ19" s="1">
        <f t="shared" si="39"/>
        <v>405.13162652000005</v>
      </c>
      <c r="CA19" s="1">
        <f t="shared" si="40"/>
        <v>337.45941730000004</v>
      </c>
      <c r="CC19" s="1">
        <f>+datos!KT1</f>
        <v>306</v>
      </c>
      <c r="CD19" s="2">
        <f t="shared" si="24"/>
        <v>13.586755890000003</v>
      </c>
      <c r="CE19" s="2">
        <f t="shared" si="25"/>
        <v>21.174450949999994</v>
      </c>
      <c r="CG19" s="1">
        <f>+datos!JB1</f>
        <v>262</v>
      </c>
      <c r="CH19" s="1">
        <f t="shared" si="26"/>
        <v>35.950000000000003</v>
      </c>
      <c r="CI19" s="1">
        <f t="shared" si="27"/>
        <v>35.950000000000003</v>
      </c>
      <c r="CK19" s="1">
        <f t="shared" si="28"/>
        <v>34.03841525</v>
      </c>
      <c r="CL19" s="1">
        <f t="shared" si="28"/>
        <v>32.790200410000004</v>
      </c>
      <c r="CM19" s="1">
        <f t="shared" si="28"/>
        <v>33.403797109999999</v>
      </c>
      <c r="CN19" s="1">
        <f t="shared" si="28"/>
        <v>26.866894470000005</v>
      </c>
      <c r="CO19" s="1">
        <f t="shared" si="28"/>
        <v>30.959664470000003</v>
      </c>
      <c r="CP19" s="1">
        <f t="shared" si="28"/>
        <v>28.030286839999999</v>
      </c>
      <c r="CQ19" s="1">
        <f t="shared" si="28"/>
        <v>35.227965569999995</v>
      </c>
      <c r="CR19" s="1">
        <f t="shared" si="28"/>
        <v>43.313690020000003</v>
      </c>
      <c r="CS19" s="1">
        <f t="shared" si="28"/>
        <v>38.158354570000007</v>
      </c>
      <c r="CT19" s="1">
        <f t="shared" si="28"/>
        <v>36.879687310000008</v>
      </c>
      <c r="CU19" s="1">
        <f t="shared" si="28"/>
        <v>30.584450140000001</v>
      </c>
      <c r="CV19" s="1">
        <f t="shared" si="28"/>
        <v>34.87822036</v>
      </c>
      <c r="CW19" s="1">
        <f t="shared" si="28"/>
        <v>30.986019150000001</v>
      </c>
      <c r="CX19" s="1">
        <f t="shared" si="28"/>
        <v>34.45773063</v>
      </c>
      <c r="CY19" s="1">
        <f t="shared" si="28"/>
        <v>33.675059580000003</v>
      </c>
      <c r="CZ19" s="1">
        <f t="shared" si="28"/>
        <v>28.924508010000004</v>
      </c>
      <c r="DA19" s="1">
        <f t="shared" si="29"/>
        <v>27.954086790000002</v>
      </c>
      <c r="DB19" s="1">
        <f t="shared" si="29"/>
        <v>24.143815810000007</v>
      </c>
      <c r="DC19" s="1">
        <f t="shared" si="29"/>
        <v>26.000694290000002</v>
      </c>
      <c r="DD19" s="1">
        <f t="shared" si="29"/>
        <v>22.013274209999999</v>
      </c>
      <c r="DE19" s="1">
        <f t="shared" si="29"/>
        <v>23.44114875</v>
      </c>
      <c r="DF19" s="1">
        <f t="shared" si="29"/>
        <v>29.35689408</v>
      </c>
      <c r="DG19" s="1">
        <f t="shared" si="29"/>
        <v>26.11967611</v>
      </c>
      <c r="DH19" s="1">
        <f t="shared" si="29"/>
        <v>30.386509889999999</v>
      </c>
      <c r="DJ19" s="1">
        <f t="shared" si="30"/>
        <v>0.75058031000000003</v>
      </c>
      <c r="DK19" s="1">
        <f t="shared" si="30"/>
        <v>0.8744752400000001</v>
      </c>
      <c r="DL19" s="1">
        <f t="shared" si="30"/>
        <v>0.62052411000000007</v>
      </c>
      <c r="DM19" s="1">
        <f t="shared" si="30"/>
        <v>1.19924761</v>
      </c>
      <c r="DN19" s="1">
        <f t="shared" si="30"/>
        <v>0.86551083000000006</v>
      </c>
      <c r="DO19" s="1">
        <f t="shared" si="30"/>
        <v>0.79831189000000002</v>
      </c>
      <c r="DP19" s="1">
        <f t="shared" si="30"/>
        <v>1.1318278900000001</v>
      </c>
      <c r="DQ19" s="1">
        <f t="shared" si="30"/>
        <v>1.8442369199999997</v>
      </c>
      <c r="DR19" s="1">
        <f t="shared" si="30"/>
        <v>1.0529063700000001</v>
      </c>
      <c r="DS19" s="1">
        <f t="shared" si="30"/>
        <v>2.0286618900000004</v>
      </c>
      <c r="DT19" s="1">
        <f t="shared" si="30"/>
        <v>0.79104531999999994</v>
      </c>
      <c r="DU19" s="1">
        <f t="shared" si="30"/>
        <v>1.6294275100000002</v>
      </c>
      <c r="DV19" s="1">
        <f t="shared" si="30"/>
        <v>1.8725515799999999</v>
      </c>
      <c r="DW19" s="1">
        <f t="shared" si="30"/>
        <v>1.9938344900000002</v>
      </c>
      <c r="DX19" s="1">
        <f t="shared" si="30"/>
        <v>1.4070700599999999</v>
      </c>
      <c r="DY19" s="1">
        <f t="shared" si="30"/>
        <v>0.5838748800000001</v>
      </c>
      <c r="DZ19" s="1">
        <f t="shared" si="31"/>
        <v>1.6300787399999999</v>
      </c>
      <c r="EA19" s="1">
        <f t="shared" si="31"/>
        <v>1.5496506000000003</v>
      </c>
      <c r="EB19" s="1">
        <f t="shared" si="31"/>
        <v>2.1384397699999997</v>
      </c>
      <c r="EC19" s="1">
        <f t="shared" si="31"/>
        <v>2.7337765599999999</v>
      </c>
      <c r="ED19" s="1">
        <f t="shared" si="31"/>
        <v>1.0171737099999998</v>
      </c>
      <c r="EE19" s="1">
        <f t="shared" si="31"/>
        <v>1.9864389700000002</v>
      </c>
      <c r="EF19" s="1">
        <f t="shared" si="31"/>
        <v>2.8868213899999997</v>
      </c>
      <c r="EG19" s="1">
        <f t="shared" si="31"/>
        <v>1.3747401999999997</v>
      </c>
      <c r="EI19" s="14">
        <f t="shared" si="32"/>
        <v>35.950000000000003</v>
      </c>
      <c r="EJ19" s="14">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2"/>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F19" s="1">
        <f t="shared" si="33"/>
        <v>35.950000000000003</v>
      </c>
      <c r="FH19" s="162">
        <f t="shared" si="34"/>
        <v>-0.39879352735243212</v>
      </c>
    </row>
    <row r="20" spans="1:164" ht="28.8">
      <c r="A20" s="264" t="s">
        <v>218</v>
      </c>
      <c r="B20" s="246"/>
      <c r="C20" s="156">
        <f t="shared" si="5"/>
        <v>0</v>
      </c>
      <c r="D20" s="198">
        <v>-1</v>
      </c>
      <c r="E20" s="248">
        <f t="shared" si="6"/>
        <v>0.15375589632610276</v>
      </c>
      <c r="F20" s="249">
        <f t="shared" si="7"/>
        <v>0.13756664750616943</v>
      </c>
      <c r="G20" s="248">
        <f t="shared" si="8"/>
        <v>2.6292598636790121E-2</v>
      </c>
      <c r="H20" s="249">
        <f t="shared" si="9"/>
        <v>0.12746329768931264</v>
      </c>
      <c r="I20" s="248">
        <f t="shared" si="10"/>
        <v>0.35388696264402109</v>
      </c>
      <c r="J20" s="249">
        <f t="shared" si="11"/>
        <v>-4.0317439327104854E-2</v>
      </c>
      <c r="K20" s="248">
        <f t="shared" si="12"/>
        <v>0.32003869938087126</v>
      </c>
      <c r="L20" s="249">
        <f t="shared" si="13"/>
        <v>3.3848263263149825E-2</v>
      </c>
      <c r="M20" s="250"/>
      <c r="N20" s="24">
        <v>-1</v>
      </c>
      <c r="O20" s="248">
        <f t="shared" si="35"/>
        <v>0</v>
      </c>
      <c r="P20" s="251">
        <f t="shared" si="36"/>
        <v>0</v>
      </c>
      <c r="Q20" s="248">
        <f t="shared" si="14"/>
        <v>6.7596377226355919E-2</v>
      </c>
      <c r="R20" s="251">
        <f t="shared" si="37"/>
        <v>6.7596377226355919E-2</v>
      </c>
      <c r="S20" s="250"/>
      <c r="T20" s="24">
        <v>2</v>
      </c>
      <c r="U20" s="248">
        <f t="shared" si="15"/>
        <v>7.3883958320290821E-2</v>
      </c>
      <c r="V20" s="252">
        <f t="shared" si="16"/>
        <v>7.3883958320290821E-2</v>
      </c>
      <c r="W20" s="248">
        <f t="shared" si="38"/>
        <v>-0.12714428118352916</v>
      </c>
      <c r="X20" s="252">
        <f t="shared" si="17"/>
        <v>-0.12714428118352916</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3</v>
      </c>
      <c r="AQ20" s="28">
        <f>VLOOKUP($A20,historia!$A$5:$CM$24,+HLOOKUP(AQ$2,historia!$A$3:$EC$4,2,FALSE),FALSE)</f>
        <v>3</v>
      </c>
      <c r="AR20" s="28">
        <f>VLOOKUP($A20,historia!$A$5:$CM$24,+HLOOKUP(AR$2,historia!$A$3:$EC$4,2,FALSE),FALSE)</f>
        <v>3</v>
      </c>
      <c r="AS20" s="28">
        <f>VLOOKUP($A20,historia!$A$5:$CM$24,+HLOOKUP(AS$2,historia!$A$3:$EC$4,2,FALSE),FALSE)</f>
        <v>3</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4</v>
      </c>
      <c r="AX20" s="58">
        <f>VLOOKUP($A20,historia!$A$5:$CM$24,+HLOOKUP(AX$2,historia!$A$3:$EC$4,2,FALSE),FALSE)</f>
        <v>4</v>
      </c>
      <c r="AY20" s="58">
        <f>VLOOKUP($A20,historia!$A$5:$CM$24,+HLOOKUP(AY$2,historia!$A$3:$EC$4,2,FALSE),FALSE)</f>
        <v>4</v>
      </c>
      <c r="AZ20" s="58">
        <f>VLOOKUP($A20,historia!$A$5:$CM$24,+HLOOKUP(AZ$2,historia!$A$3:$EC$4,2,FALSE),FALSE)</f>
        <v>4</v>
      </c>
      <c r="BA20" s="58">
        <f>VLOOKUP($A20,historia!$A$5:$CM$24,+HLOOKUP(BA$2,historia!$A$3:$EC$4,2,FALSE),FALSE)</f>
        <v>3</v>
      </c>
      <c r="BB20" s="58"/>
      <c r="BC20" s="58"/>
      <c r="BD20" s="286">
        <v>3</v>
      </c>
      <c r="BE20" t="str">
        <f t="shared" si="20"/>
        <v>Peras y Manzanas</v>
      </c>
      <c r="BF20">
        <f>+datos!AP1</f>
        <v>42</v>
      </c>
      <c r="BG20" s="2" t="str">
        <f t="shared" si="4"/>
        <v>$/caja 18kg</v>
      </c>
      <c r="BH20" s="2">
        <f t="shared" si="4"/>
        <v>17958.21052631579</v>
      </c>
      <c r="BI20" s="2">
        <f t="shared" si="4"/>
        <v>15565</v>
      </c>
      <c r="BJ20" s="2">
        <f t="shared" si="4"/>
        <v>13264.1875</v>
      </c>
      <c r="BL20">
        <f>+datos!CS1</f>
        <v>97</v>
      </c>
      <c r="BM20" s="2">
        <f t="shared" si="21"/>
        <v>10102.629667244597</v>
      </c>
      <c r="BN20" s="2">
        <f t="shared" si="21"/>
        <v>9843.810313612099</v>
      </c>
      <c r="BO20" s="2">
        <f t="shared" si="21"/>
        <v>7653.2829469188782</v>
      </c>
      <c r="BQ20" s="1">
        <f>+datos!FC1</f>
        <v>159</v>
      </c>
      <c r="BR20" s="1">
        <f t="shared" si="22"/>
        <v>38084</v>
      </c>
      <c r="BS20" s="1">
        <f t="shared" si="22"/>
        <v>38084</v>
      </c>
      <c r="BU20" s="1">
        <f>+datos!GW1</f>
        <v>205</v>
      </c>
      <c r="BV20" s="1">
        <f t="shared" si="23"/>
        <v>792717</v>
      </c>
      <c r="BW20" s="1">
        <f t="shared" si="23"/>
        <v>742525</v>
      </c>
      <c r="BY20" s="1">
        <f>+datos!LS1</f>
        <v>331</v>
      </c>
      <c r="BZ20" s="1">
        <f t="shared" si="39"/>
        <v>424.13319157000018</v>
      </c>
      <c r="CA20" s="1">
        <f t="shared" si="40"/>
        <v>394.95253494000002</v>
      </c>
      <c r="CC20" s="1">
        <f>+datos!LW1</f>
        <v>335</v>
      </c>
      <c r="CD20" s="2">
        <f t="shared" si="24"/>
        <v>3.9418362400000002</v>
      </c>
      <c r="CE20" s="2">
        <f t="shared" si="25"/>
        <v>4.5160227000000006</v>
      </c>
      <c r="CG20" s="1">
        <f>+datos!JC1</f>
        <v>263</v>
      </c>
      <c r="CH20" s="1">
        <f t="shared" si="26"/>
        <v>0</v>
      </c>
      <c r="CI20" s="1">
        <f t="shared" si="27"/>
        <v>0</v>
      </c>
      <c r="CK20" s="1">
        <f t="shared" si="28"/>
        <v>42.986147830000007</v>
      </c>
      <c r="CL20" s="1">
        <f t="shared" si="28"/>
        <v>54.859389430000007</v>
      </c>
      <c r="CM20" s="1">
        <f t="shared" si="28"/>
        <v>51.150985829999996</v>
      </c>
      <c r="CN20" s="1">
        <f t="shared" si="28"/>
        <v>59.173949850000007</v>
      </c>
      <c r="CO20" s="1">
        <f t="shared" si="28"/>
        <v>46.396857000000011</v>
      </c>
      <c r="CP20" s="1">
        <f t="shared" si="28"/>
        <v>23.934850630000003</v>
      </c>
      <c r="CQ20" s="1">
        <f t="shared" si="28"/>
        <v>23.934850630000003</v>
      </c>
      <c r="CR20" s="1">
        <f t="shared" si="28"/>
        <v>23.934850630000003</v>
      </c>
      <c r="CS20" s="1">
        <f t="shared" si="28"/>
        <v>25.188374430000003</v>
      </c>
      <c r="CT20" s="1">
        <f t="shared" si="28"/>
        <v>22.303018159999997</v>
      </c>
      <c r="CU20" s="1">
        <f t="shared" si="28"/>
        <v>14.93334776</v>
      </c>
      <c r="CV20" s="1">
        <f t="shared" si="28"/>
        <v>35.336569390000001</v>
      </c>
      <c r="CW20" s="1">
        <f t="shared" si="28"/>
        <v>46.662709379999995</v>
      </c>
      <c r="CX20" s="1">
        <f t="shared" si="28"/>
        <v>45.302769560000002</v>
      </c>
      <c r="CY20" s="1">
        <f t="shared" si="28"/>
        <v>46.856289650000001</v>
      </c>
      <c r="CZ20" s="1">
        <f t="shared" si="28"/>
        <v>60.076282149999997</v>
      </c>
      <c r="DA20" s="1">
        <f t="shared" si="29"/>
        <v>42.744570039999999</v>
      </c>
      <c r="DB20" s="1">
        <f t="shared" si="29"/>
        <v>11.509203560000001</v>
      </c>
      <c r="DC20" s="1">
        <f t="shared" si="29"/>
        <v>11.753879789999999</v>
      </c>
      <c r="DD20" s="1">
        <f t="shared" si="29"/>
        <v>15.619426270000002</v>
      </c>
      <c r="DE20" s="1">
        <f t="shared" si="29"/>
        <v>16.880359240000001</v>
      </c>
      <c r="DF20" s="1">
        <f t="shared" si="29"/>
        <v>24.204094699999999</v>
      </c>
      <c r="DG20" s="1">
        <f t="shared" si="29"/>
        <v>25.300599699999999</v>
      </c>
      <c r="DH20" s="1">
        <f t="shared" si="29"/>
        <v>48.042350899999995</v>
      </c>
      <c r="DJ20" s="1">
        <f t="shared" si="30"/>
        <v>1.0915780799999999</v>
      </c>
      <c r="DK20" s="1">
        <f t="shared" si="30"/>
        <v>0.5667896</v>
      </c>
      <c r="DL20" s="1">
        <f t="shared" si="30"/>
        <v>0.43323378000000001</v>
      </c>
      <c r="DM20" s="1">
        <f t="shared" si="30"/>
        <v>0.20107160000000002</v>
      </c>
      <c r="DN20" s="1">
        <f t="shared" si="30"/>
        <v>4.7323499999999998E-2</v>
      </c>
      <c r="DO20" s="1">
        <f t="shared" si="30"/>
        <v>0.18245199000000001</v>
      </c>
      <c r="DP20" s="1">
        <f t="shared" si="30"/>
        <v>6.8745290000000001E-2</v>
      </c>
      <c r="DQ20" s="1">
        <f t="shared" si="30"/>
        <v>0.21798748000000001</v>
      </c>
      <c r="DR20" s="1">
        <f t="shared" si="30"/>
        <v>7.9820000000000002E-2</v>
      </c>
      <c r="DS20" s="1">
        <f t="shared" si="30"/>
        <v>0.14837025000000001</v>
      </c>
      <c r="DT20" s="1">
        <f t="shared" si="30"/>
        <v>0.3865221499999999</v>
      </c>
      <c r="DU20" s="1">
        <f t="shared" si="30"/>
        <v>0.51794252000000007</v>
      </c>
      <c r="DV20" s="1">
        <f t="shared" si="30"/>
        <v>0.37362660000000003</v>
      </c>
      <c r="DW20" s="1">
        <f t="shared" si="30"/>
        <v>0.32288670000000003</v>
      </c>
      <c r="DX20" s="1">
        <f t="shared" si="30"/>
        <v>0.29487440000000004</v>
      </c>
      <c r="DY20" s="1">
        <f t="shared" si="30"/>
        <v>7.78142E-2</v>
      </c>
      <c r="DZ20" s="1">
        <f t="shared" si="31"/>
        <v>0.12479459999999999</v>
      </c>
      <c r="EA20" s="1">
        <f t="shared" si="31"/>
        <v>8.4911199999999992E-2</v>
      </c>
      <c r="EB20" s="1">
        <f t="shared" si="31"/>
        <v>0.22142464000000001</v>
      </c>
      <c r="EC20" s="1">
        <f t="shared" si="31"/>
        <v>1.01853964</v>
      </c>
      <c r="ED20" s="1">
        <f t="shared" si="31"/>
        <v>0.30728509999999998</v>
      </c>
      <c r="EE20" s="1">
        <f t="shared" si="31"/>
        <v>0.37410640000000001</v>
      </c>
      <c r="EF20" s="1">
        <f t="shared" si="31"/>
        <v>0.35746821000000001</v>
      </c>
      <c r="EG20" s="1">
        <f t="shared" si="31"/>
        <v>0.95829101000000005</v>
      </c>
      <c r="EI20" s="14">
        <f t="shared" si="32"/>
        <v>0</v>
      </c>
      <c r="EJ20" s="14">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2"/>
        <v>0</v>
      </c>
      <c r="EY20" s="1">
        <f t="shared" si="33"/>
        <v>0</v>
      </c>
      <c r="EZ20" s="1">
        <f t="shared" si="33"/>
        <v>0</v>
      </c>
      <c r="FA20" s="1">
        <f t="shared" si="33"/>
        <v>0</v>
      </c>
      <c r="FB20" s="1">
        <f t="shared" si="33"/>
        <v>0</v>
      </c>
      <c r="FC20" s="1">
        <f t="shared" si="33"/>
        <v>0</v>
      </c>
      <c r="FD20" s="1">
        <f t="shared" si="33"/>
        <v>0</v>
      </c>
      <c r="FE20" s="1">
        <f t="shared" si="33"/>
        <v>0</v>
      </c>
      <c r="FF20" s="1">
        <f t="shared" si="33"/>
        <v>0</v>
      </c>
      <c r="FH20" s="162">
        <f t="shared" si="34"/>
        <v>3.3848263263149825E-2</v>
      </c>
    </row>
    <row r="21" spans="1:164" ht="18.75" customHeight="1">
      <c r="A21" s="244" t="s">
        <v>121</v>
      </c>
      <c r="B21" s="247"/>
      <c r="C21" s="228">
        <f t="shared" si="5"/>
        <v>0</v>
      </c>
      <c r="D21" s="229">
        <v>-2</v>
      </c>
      <c r="E21" s="253">
        <f t="shared" si="6"/>
        <v>-4.7431313223923466E-3</v>
      </c>
      <c r="F21" s="254">
        <f t="shared" si="7"/>
        <v>-2.0932380142325679E-2</v>
      </c>
      <c r="G21" s="253">
        <f t="shared" si="8"/>
        <v>2.060745510755968E-2</v>
      </c>
      <c r="H21" s="254">
        <f t="shared" si="9"/>
        <v>-2.5350586429952027E-2</v>
      </c>
      <c r="I21" s="253">
        <f t="shared" si="10"/>
        <v>0.76216140168609248</v>
      </c>
      <c r="J21" s="254">
        <f t="shared" si="11"/>
        <v>0.36795699971496654</v>
      </c>
      <c r="K21" s="253">
        <f t="shared" si="12"/>
        <v>0.31035769114174205</v>
      </c>
      <c r="L21" s="254">
        <f t="shared" si="13"/>
        <v>0.45180371054435042</v>
      </c>
      <c r="M21" s="255"/>
      <c r="N21" s="256">
        <v>1</v>
      </c>
      <c r="O21" s="253">
        <f t="shared" si="35"/>
        <v>-2.0839332713567749E-2</v>
      </c>
      <c r="P21" s="257">
        <f t="shared" si="36"/>
        <v>-2.0839332713567749E-2</v>
      </c>
      <c r="Q21" s="253">
        <f t="shared" si="14"/>
        <v>2.1690995943465019E-2</v>
      </c>
      <c r="R21" s="257">
        <f t="shared" si="37"/>
        <v>2.1690995943465019E-2</v>
      </c>
      <c r="S21" s="255"/>
      <c r="T21" s="256">
        <v>1</v>
      </c>
      <c r="U21" s="253">
        <f t="shared" si="15"/>
        <v>0.34920628300973844</v>
      </c>
      <c r="V21" s="258">
        <f t="shared" si="16"/>
        <v>0.34920628300973844</v>
      </c>
      <c r="W21" s="253">
        <f t="shared" si="38"/>
        <v>3.0593805888762704</v>
      </c>
      <c r="X21" s="258">
        <f t="shared" si="17"/>
        <v>3.0593805888762704</v>
      </c>
      <c r="Y21" s="253">
        <f t="shared" si="18"/>
        <v>9.6153846153846034E-2</v>
      </c>
      <c r="Z21" s="258">
        <f t="shared" si="19"/>
        <v>9.6153846153846034E-2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3</v>
      </c>
      <c r="AQ21" s="28">
        <f>VLOOKUP($A21,historia!$A$5:$CM$24,+HLOOKUP(AQ$2,historia!$A$3:$EC$4,2,FALSE),FALSE)</f>
        <v>3</v>
      </c>
      <c r="AR21" s="28">
        <f>VLOOKUP($A21,historia!$A$5:$CM$24,+HLOOKUP(AR$2,historia!$A$3:$EC$4,2,FALSE),FALSE)</f>
        <v>3</v>
      </c>
      <c r="AS21" s="28">
        <f>VLOOKUP($A21,historia!$A$5:$CM$24,+HLOOKUP(AS$2,historia!$A$3:$EC$4,2,FALSE),FALSE)</f>
        <v>3</v>
      </c>
      <c r="AT21" s="58">
        <f>VLOOKUP($A21,historia!$A$5:$CM$24,+HLOOKUP(AT$2,historia!$A$3:$EC$4,2,FALSE),FALSE)</f>
        <v>3</v>
      </c>
      <c r="AU21" s="58">
        <f>VLOOKUP($A21,historia!$A$5:$CM$24,+HLOOKUP(AU$2,historia!$A$3:$EC$4,2,FALSE),FALSE)</f>
        <v>3</v>
      </c>
      <c r="AV21" s="58">
        <f>VLOOKUP($A21,historia!$A$5:$CM$24,+HLOOKUP(AV$2,historia!$A$3:$EC$4,2,FALSE),FALSE)</f>
        <v>2</v>
      </c>
      <c r="AW21" s="58">
        <f>VLOOKUP($A21,historia!$A$5:$CM$24,+HLOOKUP(AW$2,historia!$A$3:$EC$4,2,FALSE),FALSE)</f>
        <v>3</v>
      </c>
      <c r="AX21" s="58">
        <f>VLOOKUP($A21,historia!$A$5:$CM$24,+HLOOKUP(AX$2,historia!$A$3:$EC$4,2,FALSE),FALSE)</f>
        <v>3</v>
      </c>
      <c r="AY21" s="58">
        <f>VLOOKUP($A21,historia!$A$5:$CM$24,+HLOOKUP(AY$2,historia!$A$3:$EC$4,2,FALSE),FALSE)</f>
        <v>3</v>
      </c>
      <c r="AZ21" s="58">
        <f>VLOOKUP($A21,historia!$A$5:$CM$24,+HLOOKUP(AZ$2,historia!$A$3:$EC$4,2,FALSE),FALSE)</f>
        <v>2</v>
      </c>
      <c r="BA21" s="58">
        <f>VLOOKUP($A21,historia!$A$5:$CM$24,+HLOOKUP(BA$2,historia!$A$3:$EC$4,2,FALSE),FALSE)</f>
        <v>1</v>
      </c>
      <c r="BB21" s="58"/>
      <c r="BC21" s="58"/>
      <c r="BD21" s="286">
        <v>1</v>
      </c>
      <c r="BE21" t="str">
        <f t="shared" si="20"/>
        <v>Porcinos</v>
      </c>
      <c r="BF21">
        <f>+datos!BR1</f>
        <v>70</v>
      </c>
      <c r="BG21" s="2" t="str">
        <f t="shared" si="4"/>
        <v>$/kg</v>
      </c>
      <c r="BH21" s="2">
        <f t="shared" si="4"/>
        <v>1628.29</v>
      </c>
      <c r="BI21" s="2">
        <f t="shared" si="4"/>
        <v>1636.05</v>
      </c>
      <c r="BJ21" s="2">
        <f t="shared" si="4"/>
        <v>924.03</v>
      </c>
      <c r="BL21">
        <f>+datos!DD1</f>
        <v>108</v>
      </c>
      <c r="BM21" s="2">
        <f t="shared" si="21"/>
        <v>10288.282608386113</v>
      </c>
      <c r="BN21" s="2">
        <f t="shared" si="21"/>
        <v>10080.54816462403</v>
      </c>
      <c r="BO21" s="2">
        <f t="shared" si="21"/>
        <v>7851.5070182262352</v>
      </c>
      <c r="BQ21" s="1">
        <f>+datos!EJ1</f>
        <v>140</v>
      </c>
      <c r="BR21" s="1">
        <f t="shared" si="22"/>
        <v>5987778</v>
      </c>
      <c r="BS21" s="1">
        <f t="shared" si="22"/>
        <v>6115215</v>
      </c>
      <c r="BU21" s="1">
        <f>+datos!HE1</f>
        <v>213</v>
      </c>
      <c r="BV21" s="1">
        <f t="shared" si="23"/>
        <v>788583</v>
      </c>
      <c r="BW21" s="1">
        <f t="shared" si="23"/>
        <v>771841</v>
      </c>
      <c r="BY21" s="1">
        <f>+datos!KJ1</f>
        <v>296</v>
      </c>
      <c r="BZ21" s="1">
        <f t="shared" si="39"/>
        <v>28.350117539999996</v>
      </c>
      <c r="CA21" s="1">
        <f t="shared" si="40"/>
        <v>21.012441089999999</v>
      </c>
      <c r="CC21" s="1">
        <f>+datos!LO1</f>
        <v>327</v>
      </c>
      <c r="CD21" s="2">
        <f t="shared" si="24"/>
        <v>146.95195445000002</v>
      </c>
      <c r="CE21" s="2">
        <f t="shared" si="25"/>
        <v>36.200585589999996</v>
      </c>
      <c r="CG21" s="1">
        <f>+datos!IO1</f>
        <v>249</v>
      </c>
      <c r="CH21" s="1">
        <f t="shared" si="26"/>
        <v>18.239999999999998</v>
      </c>
      <c r="CI21" s="1">
        <f t="shared" si="27"/>
        <v>16.64</v>
      </c>
      <c r="CK21" s="1">
        <f t="shared" si="28"/>
        <v>2.3754365900000001</v>
      </c>
      <c r="CL21" s="1">
        <f t="shared" si="28"/>
        <v>2.2921349499999994</v>
      </c>
      <c r="CM21" s="1">
        <f t="shared" si="28"/>
        <v>1.76811707</v>
      </c>
      <c r="CN21" s="1">
        <f t="shared" si="28"/>
        <v>1.0764735399999998</v>
      </c>
      <c r="CO21" s="1">
        <f t="shared" si="28"/>
        <v>3.87511991</v>
      </c>
      <c r="CP21" s="1">
        <f t="shared" si="28"/>
        <v>1.4111442899999997</v>
      </c>
      <c r="CQ21" s="1">
        <f t="shared" si="28"/>
        <v>1.9463367499999997</v>
      </c>
      <c r="CR21" s="1">
        <f t="shared" si="28"/>
        <v>1.6096260199999999</v>
      </c>
      <c r="CS21" s="1">
        <f t="shared" si="28"/>
        <v>3.1723580499999997</v>
      </c>
      <c r="CT21" s="1">
        <f t="shared" si="28"/>
        <v>2.1279038099999998</v>
      </c>
      <c r="CU21" s="1">
        <f t="shared" si="28"/>
        <v>2.3778769799999995</v>
      </c>
      <c r="CV21" s="1">
        <f t="shared" si="28"/>
        <v>4.3175895799999999</v>
      </c>
      <c r="CW21" s="1">
        <f t="shared" si="28"/>
        <v>2.7596131099999996</v>
      </c>
      <c r="CX21" s="1">
        <f t="shared" si="28"/>
        <v>1.9296841299999996</v>
      </c>
      <c r="CY21" s="1">
        <f t="shared" si="28"/>
        <v>2.2533318799999997</v>
      </c>
      <c r="CZ21" s="1">
        <f t="shared" si="28"/>
        <v>1.55421593</v>
      </c>
      <c r="DA21" s="1">
        <f t="shared" si="29"/>
        <v>1.56892272</v>
      </c>
      <c r="DB21" s="1">
        <f t="shared" si="29"/>
        <v>1.2009935999999999</v>
      </c>
      <c r="DC21" s="1">
        <f t="shared" si="29"/>
        <v>1.5576121499999998</v>
      </c>
      <c r="DD21" s="1">
        <f t="shared" si="29"/>
        <v>1.3743196699999998</v>
      </c>
      <c r="DE21" s="1">
        <f t="shared" si="29"/>
        <v>1.4110336399999999</v>
      </c>
      <c r="DF21" s="1">
        <f t="shared" si="29"/>
        <v>1.8830951399999996</v>
      </c>
      <c r="DG21" s="1">
        <f t="shared" si="29"/>
        <v>1.4694087300000001</v>
      </c>
      <c r="DH21" s="1">
        <f t="shared" si="29"/>
        <v>2.0502103900000002</v>
      </c>
      <c r="DJ21" s="1">
        <f t="shared" si="30"/>
        <v>13.531613630000001</v>
      </c>
      <c r="DK21" s="1">
        <f t="shared" si="30"/>
        <v>19.3334501</v>
      </c>
      <c r="DL21" s="1">
        <f t="shared" si="30"/>
        <v>18.318769970000002</v>
      </c>
      <c r="DM21" s="1">
        <f t="shared" si="30"/>
        <v>14.031594299999998</v>
      </c>
      <c r="DN21" s="1">
        <f t="shared" si="30"/>
        <v>14.447589379999997</v>
      </c>
      <c r="DO21" s="1">
        <f t="shared" si="30"/>
        <v>14.265215759999998</v>
      </c>
      <c r="DP21" s="1">
        <f t="shared" si="30"/>
        <v>16.354180840000001</v>
      </c>
      <c r="DQ21" s="1">
        <f t="shared" si="30"/>
        <v>10.919699229999997</v>
      </c>
      <c r="DR21" s="1">
        <f t="shared" si="30"/>
        <v>10.87912704</v>
      </c>
      <c r="DS21" s="1">
        <f t="shared" si="30"/>
        <v>7.3519509899999989</v>
      </c>
      <c r="DT21" s="1">
        <f t="shared" si="30"/>
        <v>4.9251834299999988</v>
      </c>
      <c r="DU21" s="1">
        <f t="shared" si="30"/>
        <v>2.5935797799999998</v>
      </c>
      <c r="DV21" s="1">
        <f t="shared" si="30"/>
        <v>1.7163214500000001</v>
      </c>
      <c r="DW21" s="1">
        <f t="shared" si="30"/>
        <v>2.7920763000000002</v>
      </c>
      <c r="DX21" s="1">
        <f t="shared" si="30"/>
        <v>3.5088459899999997</v>
      </c>
      <c r="DY21" s="1">
        <f t="shared" ref="DY21:EG24" si="41">+VLOOKUP(DY$1,ran_dat,$CC21,FALSE)</f>
        <v>2.2524288500000003</v>
      </c>
      <c r="DZ21" s="1">
        <f t="shared" si="41"/>
        <v>5.2341166499999998</v>
      </c>
      <c r="EA21" s="1">
        <f t="shared" si="41"/>
        <v>3.1162246899999997</v>
      </c>
      <c r="EB21" s="1">
        <f t="shared" si="41"/>
        <v>3.3747357299999998</v>
      </c>
      <c r="EC21" s="1">
        <f t="shared" si="41"/>
        <v>1.8536983500000002</v>
      </c>
      <c r="ED21" s="1">
        <f t="shared" si="41"/>
        <v>2.01592043</v>
      </c>
      <c r="EE21" s="1">
        <f t="shared" si="41"/>
        <v>3.3244473500000002</v>
      </c>
      <c r="EF21" s="1">
        <f t="shared" si="41"/>
        <v>2.84758625</v>
      </c>
      <c r="EG21" s="1">
        <f t="shared" si="41"/>
        <v>4.1641835499999997</v>
      </c>
      <c r="EI21" s="14">
        <f t="shared" si="32"/>
        <v>18.239999999999998</v>
      </c>
      <c r="EJ21" s="14">
        <f t="shared" si="32"/>
        <v>18.079999999999998</v>
      </c>
      <c r="EK21" s="1">
        <f t="shared" si="32"/>
        <v>17.989999999999998</v>
      </c>
      <c r="EL21" s="1">
        <f t="shared" si="32"/>
        <v>17.850000000000001</v>
      </c>
      <c r="EM21" s="1">
        <f t="shared" si="32"/>
        <v>17.73</v>
      </c>
      <c r="EN21" s="1">
        <f t="shared" si="32"/>
        <v>17.510000000000002</v>
      </c>
      <c r="EO21" s="1">
        <f t="shared" si="32"/>
        <v>17.13</v>
      </c>
      <c r="EP21" s="1">
        <f t="shared" si="32"/>
        <v>16.89</v>
      </c>
      <c r="EQ21" s="1">
        <f t="shared" si="32"/>
        <v>16.87</v>
      </c>
      <c r="ER21" s="1">
        <f t="shared" si="32"/>
        <v>16.8</v>
      </c>
      <c r="ES21" s="1">
        <f t="shared" si="32"/>
        <v>16.760000000000002</v>
      </c>
      <c r="ET21" s="1">
        <f t="shared" si="32"/>
        <v>16.84</v>
      </c>
      <c r="EU21" s="1">
        <f t="shared" si="32"/>
        <v>16.64</v>
      </c>
      <c r="EV21" s="1">
        <f t="shared" si="32"/>
        <v>16.68</v>
      </c>
      <c r="EW21" s="1">
        <f t="shared" si="32"/>
        <v>16.62</v>
      </c>
      <c r="EX21" s="1">
        <f t="shared" ref="EX21:FF24" si="42">+VLOOKUP(EX$1,ran_dat,$CG21,FALSE)</f>
        <v>16.5</v>
      </c>
      <c r="EY21" s="1">
        <f t="shared" si="42"/>
        <v>16.64</v>
      </c>
      <c r="EZ21" s="1">
        <f t="shared" si="42"/>
        <v>16.68</v>
      </c>
      <c r="FA21" s="1">
        <f t="shared" si="42"/>
        <v>16.72</v>
      </c>
      <c r="FB21" s="1">
        <f t="shared" si="42"/>
        <v>16.75</v>
      </c>
      <c r="FC21" s="1">
        <f t="shared" si="42"/>
        <v>16.760000000000002</v>
      </c>
      <c r="FD21" s="1">
        <f t="shared" si="42"/>
        <v>16.71</v>
      </c>
      <c r="FE21" s="1">
        <f t="shared" si="42"/>
        <v>16.68</v>
      </c>
      <c r="FF21" s="1">
        <f t="shared" si="42"/>
        <v>16.670000000000002</v>
      </c>
      <c r="FH21" s="162">
        <f t="shared" si="34"/>
        <v>0.45180371054435042</v>
      </c>
    </row>
    <row r="22" spans="1:164" ht="18.75" customHeight="1">
      <c r="A22" s="243" t="s">
        <v>75</v>
      </c>
      <c r="B22" s="246"/>
      <c r="C22" s="156">
        <f t="shared" si="5"/>
        <v>0.66</v>
      </c>
      <c r="D22" s="198">
        <v>1</v>
      </c>
      <c r="E22" s="248">
        <f t="shared" si="6"/>
        <v>0</v>
      </c>
      <c r="F22" s="249">
        <f t="shared" si="7"/>
        <v>-1.6189248819933333E-2</v>
      </c>
      <c r="G22" s="248">
        <f t="shared" si="8"/>
        <v>1.1244050581493914E-2</v>
      </c>
      <c r="H22" s="249">
        <f t="shared" si="9"/>
        <v>-1.1244050581493914E-2</v>
      </c>
      <c r="I22" s="248">
        <f t="shared" si="10"/>
        <v>0.32134502923976616</v>
      </c>
      <c r="J22" s="249">
        <f t="shared" si="11"/>
        <v>-7.2859372731359784E-2</v>
      </c>
      <c r="K22" s="248">
        <f t="shared" si="12"/>
        <v>0.36090403036923679</v>
      </c>
      <c r="L22" s="249">
        <f t="shared" si="13"/>
        <v>-3.9559001129470639E-2</v>
      </c>
      <c r="M22" s="250"/>
      <c r="N22" s="24">
        <v>0</v>
      </c>
      <c r="O22" s="248">
        <f t="shared" si="35"/>
        <v>0.10289900078548864</v>
      </c>
      <c r="P22" s="251">
        <f t="shared" si="36"/>
        <v>0.10289900078548864</v>
      </c>
      <c r="Q22" s="248">
        <f t="shared" si="14"/>
        <v>0.17001165379676175</v>
      </c>
      <c r="R22" s="251">
        <f t="shared" si="37"/>
        <v>0.17001165379676175</v>
      </c>
      <c r="S22" s="250"/>
      <c r="T22" s="24">
        <v>1</v>
      </c>
      <c r="U22" s="248">
        <f t="shared" si="15"/>
        <v>0.10429355896868064</v>
      </c>
      <c r="V22" s="252">
        <f t="shared" si="16"/>
        <v>0.10429355896868064</v>
      </c>
      <c r="W22" s="248">
        <f t="shared" si="38"/>
        <v>-6.6355312903303987E-2</v>
      </c>
      <c r="X22" s="252">
        <f t="shared" si="17"/>
        <v>-6.6355312903303987E-2</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2</v>
      </c>
      <c r="AQ22" s="28">
        <f>VLOOKUP($A22,historia!$A$5:$CM$24,+HLOOKUP(AQ$2,historia!$A$3:$EC$4,2,FALSE),FALSE)</f>
        <v>2</v>
      </c>
      <c r="AR22" s="28">
        <f>VLOOKUP($A22,historia!$A$5:$CM$24,+HLOOKUP(AR$2,historia!$A$3:$EC$4,2,FALSE),FALSE)</f>
        <v>2</v>
      </c>
      <c r="AS22" s="28">
        <f>VLOOKUP($A22,historia!$A$5:$CM$24,+HLOOKUP(AS$2,historia!$A$3:$EC$4,2,FALSE),FALSE)</f>
        <v>2</v>
      </c>
      <c r="AT22" s="58">
        <f>VLOOKUP($A22,historia!$A$5:$CM$24,+HLOOKUP(AT$2,historia!$A$3:$EC$4,2,FALSE),FALSE)</f>
        <v>2</v>
      </c>
      <c r="AU22" s="58">
        <f>VLOOKUP($A22,historia!$A$5:$CM$24,+HLOOKUP(AU$2,historia!$A$3:$EC$4,2,FALSE),FALSE)</f>
        <v>2</v>
      </c>
      <c r="AV22" s="58">
        <f>VLOOKUP($A22,historia!$A$5:$CM$24,+HLOOKUP(AV$2,historia!$A$3:$EC$4,2,FALSE),FALSE)</f>
        <v>2</v>
      </c>
      <c r="AW22" s="58">
        <f>VLOOKUP($A22,historia!$A$5:$CM$24,+HLOOKUP(AW$2,historia!$A$3:$EC$4,2,FALSE),FALSE)</f>
        <v>3</v>
      </c>
      <c r="AX22" s="58">
        <f>VLOOKUP($A22,historia!$A$5:$CM$24,+HLOOKUP(AX$2,historia!$A$3:$EC$4,2,FALSE),FALSE)</f>
        <v>3</v>
      </c>
      <c r="AY22" s="58">
        <f>VLOOKUP($A22,historia!$A$5:$CM$24,+HLOOKUP(AY$2,historia!$A$3:$EC$4,2,FALSE),FALSE)</f>
        <v>3</v>
      </c>
      <c r="AZ22" s="58">
        <f>VLOOKUP($A22,historia!$A$5:$CM$24,+HLOOKUP(AZ$2,historia!$A$3:$EC$4,2,FALSE),FALSE)</f>
        <v>3</v>
      </c>
      <c r="BA22" s="58">
        <f>VLOOKUP($A22,historia!$A$5:$CM$24,+HLOOKUP(BA$2,historia!$A$3:$EC$4,2,FALSE),FALSE)</f>
        <v>3</v>
      </c>
      <c r="BB22" s="58"/>
      <c r="BC22" s="58"/>
      <c r="BD22" s="286">
        <v>3</v>
      </c>
      <c r="BE22" t="str">
        <f t="shared" si="20"/>
        <v>Tabaco</v>
      </c>
      <c r="BF22">
        <f>+datos!BJ1</f>
        <v>62</v>
      </c>
      <c r="BG22" s="2" t="str">
        <f t="shared" si="4"/>
        <v>$/kg</v>
      </c>
      <c r="BH22" s="2">
        <f t="shared" si="4"/>
        <v>4519</v>
      </c>
      <c r="BI22" s="2">
        <f t="shared" si="4"/>
        <v>4519</v>
      </c>
      <c r="BJ22" s="2">
        <f t="shared" si="4"/>
        <v>3420</v>
      </c>
      <c r="BL22">
        <f>+datos!DA1</f>
        <v>105</v>
      </c>
      <c r="BM22" s="2">
        <f t="shared" si="21"/>
        <v>10499.784339555225</v>
      </c>
      <c r="BN22" s="2">
        <f t="shared" si="21"/>
        <v>10383.036946934373</v>
      </c>
      <c r="BO22" s="2">
        <f t="shared" si="21"/>
        <v>7715.3010831384281</v>
      </c>
      <c r="BQ22" s="1">
        <f>+datos!FD1</f>
        <v>160</v>
      </c>
      <c r="BR22" s="1">
        <f t="shared" si="22"/>
        <v>60376</v>
      </c>
      <c r="BS22" s="1">
        <f t="shared" si="22"/>
        <v>54743</v>
      </c>
      <c r="BU22" s="1">
        <f>+datos!GX1</f>
        <v>206</v>
      </c>
      <c r="BV22" s="1">
        <f t="shared" si="23"/>
        <v>36041.686000000002</v>
      </c>
      <c r="BW22" s="1">
        <f t="shared" si="23"/>
        <v>30804.553</v>
      </c>
      <c r="BY22" s="1">
        <f>+datos!KC1</f>
        <v>289</v>
      </c>
      <c r="BZ22" s="1">
        <f t="shared" si="39"/>
        <v>562.47747698000001</v>
      </c>
      <c r="CA22" s="1">
        <f t="shared" si="40"/>
        <v>509.35502829999996</v>
      </c>
      <c r="CC22" s="1">
        <f>+datos!LH1</f>
        <v>320</v>
      </c>
      <c r="CD22" s="2">
        <f t="shared" si="24"/>
        <v>57.42848475000001</v>
      </c>
      <c r="CE22" s="2">
        <f t="shared" si="25"/>
        <v>61.510000050000002</v>
      </c>
      <c r="CG22" s="1">
        <f>+datos!JD1</f>
        <v>264</v>
      </c>
      <c r="CH22" s="1">
        <f t="shared" si="26"/>
        <v>0</v>
      </c>
      <c r="CI22" s="1">
        <f t="shared" si="27"/>
        <v>0</v>
      </c>
      <c r="CK22" s="1">
        <f t="shared" ref="CK22:CZ24" si="43">+VLOOKUP(CK$1,ran_dat,$BY22,FALSE)</f>
        <v>93.57534471000001</v>
      </c>
      <c r="CL22" s="1">
        <f t="shared" si="43"/>
        <v>121.04017274</v>
      </c>
      <c r="CM22" s="1">
        <f t="shared" si="43"/>
        <v>27.891120319999999</v>
      </c>
      <c r="CN22" s="1">
        <f t="shared" si="43"/>
        <v>5.5120895000000001</v>
      </c>
      <c r="CO22" s="1">
        <f t="shared" si="43"/>
        <v>9.7228914799999995</v>
      </c>
      <c r="CP22" s="1">
        <f t="shared" si="43"/>
        <v>6.2035308000000002</v>
      </c>
      <c r="CQ22" s="1">
        <f t="shared" si="43"/>
        <v>65.18720725</v>
      </c>
      <c r="CR22" s="1">
        <f t="shared" si="43"/>
        <v>34.962073999999994</v>
      </c>
      <c r="CS22" s="1">
        <f t="shared" si="43"/>
        <v>41.640055749999995</v>
      </c>
      <c r="CT22" s="1">
        <f t="shared" si="43"/>
        <v>54.488227269999996</v>
      </c>
      <c r="CU22" s="1">
        <f t="shared" si="43"/>
        <v>45.888815350000002</v>
      </c>
      <c r="CV22" s="1">
        <f t="shared" si="43"/>
        <v>56.365947810000002</v>
      </c>
      <c r="CW22" s="1">
        <f t="shared" si="43"/>
        <v>58.671597329999997</v>
      </c>
      <c r="CX22" s="1">
        <f t="shared" si="43"/>
        <v>31.625168280000004</v>
      </c>
      <c r="CY22" s="1">
        <f t="shared" si="43"/>
        <v>17.697801470000002</v>
      </c>
      <c r="CZ22" s="1">
        <f t="shared" si="43"/>
        <v>30.191481329999998</v>
      </c>
      <c r="DA22" s="1">
        <f t="shared" ref="DA22:DH24" si="44">+VLOOKUP(DA$1,ran_dat,$BY22,FALSE)</f>
        <v>36.249269399999989</v>
      </c>
      <c r="DB22" s="1">
        <f t="shared" si="44"/>
        <v>40.108989959999995</v>
      </c>
      <c r="DC22" s="1">
        <f t="shared" si="44"/>
        <v>56.890802439999995</v>
      </c>
      <c r="DD22" s="1">
        <f t="shared" si="44"/>
        <v>36.8257318</v>
      </c>
      <c r="DE22" s="1">
        <f t="shared" si="44"/>
        <v>51.381121719999996</v>
      </c>
      <c r="DF22" s="1">
        <f t="shared" si="44"/>
        <v>33.051481680000002</v>
      </c>
      <c r="DG22" s="1">
        <f t="shared" si="44"/>
        <v>60.888504160000004</v>
      </c>
      <c r="DH22" s="1">
        <f t="shared" si="44"/>
        <v>55.773078730000002</v>
      </c>
      <c r="DJ22" s="1">
        <f t="shared" ref="DJ22:DY24" si="45">+VLOOKUP(DJ$1,ran_dat,$CC22,FALSE)</f>
        <v>3.5013919399999995</v>
      </c>
      <c r="DK22" s="1">
        <f t="shared" si="45"/>
        <v>4.00557768</v>
      </c>
      <c r="DL22" s="1">
        <f t="shared" si="45"/>
        <v>5.1774083700000002</v>
      </c>
      <c r="DM22" s="1">
        <f t="shared" si="45"/>
        <v>5.7823087099999997</v>
      </c>
      <c r="DN22" s="1">
        <f t="shared" si="45"/>
        <v>5.6310443999999995</v>
      </c>
      <c r="DO22" s="1">
        <f t="shared" si="45"/>
        <v>4.1108512499999996</v>
      </c>
      <c r="DP22" s="1">
        <f t="shared" si="45"/>
        <v>6.9241559000000006</v>
      </c>
      <c r="DQ22" s="1">
        <f t="shared" si="45"/>
        <v>4.9762964800000002</v>
      </c>
      <c r="DR22" s="1">
        <f t="shared" si="45"/>
        <v>5.7062324599999998</v>
      </c>
      <c r="DS22" s="1">
        <f t="shared" si="45"/>
        <v>5.3893107900000006</v>
      </c>
      <c r="DT22" s="1">
        <f t="shared" si="45"/>
        <v>5.0602291599999996</v>
      </c>
      <c r="DU22" s="1">
        <f t="shared" si="45"/>
        <v>1.1636776099999999</v>
      </c>
      <c r="DV22" s="1">
        <f t="shared" si="45"/>
        <v>4.3331795800000004</v>
      </c>
      <c r="DW22" s="1">
        <f t="shared" si="45"/>
        <v>5.5991701699999998</v>
      </c>
      <c r="DX22" s="1">
        <f t="shared" si="45"/>
        <v>5.1284923700000009</v>
      </c>
      <c r="DY22" s="1">
        <f t="shared" si="45"/>
        <v>4.8853449399999995</v>
      </c>
      <c r="DZ22" s="1">
        <f t="shared" si="41"/>
        <v>4.5019780499999991</v>
      </c>
      <c r="EA22" s="1">
        <f t="shared" si="41"/>
        <v>3.2870284000000001</v>
      </c>
      <c r="EB22" s="1">
        <f t="shared" si="41"/>
        <v>2.2553329799999999</v>
      </c>
      <c r="EC22" s="1">
        <f t="shared" si="41"/>
        <v>4.9563280900000004</v>
      </c>
      <c r="ED22" s="1">
        <f t="shared" si="41"/>
        <v>5.4312745199999997</v>
      </c>
      <c r="EE22" s="1">
        <f t="shared" si="41"/>
        <v>5.9427570699999999</v>
      </c>
      <c r="EF22" s="1">
        <f t="shared" si="41"/>
        <v>7.0989514199999997</v>
      </c>
      <c r="EG22" s="1">
        <f t="shared" si="41"/>
        <v>8.0901624599999984</v>
      </c>
      <c r="EI22" s="14">
        <f t="shared" ref="EI22:EX24" si="46">+VLOOKUP(EI$1,ran_dat,$CG22,FALSE)</f>
        <v>0</v>
      </c>
      <c r="EJ22" s="14">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6"/>
        <v>0</v>
      </c>
      <c r="EY22" s="1">
        <f t="shared" si="42"/>
        <v>0</v>
      </c>
      <c r="EZ22" s="1">
        <f t="shared" si="42"/>
        <v>0</v>
      </c>
      <c r="FA22" s="1">
        <f t="shared" si="42"/>
        <v>0</v>
      </c>
      <c r="FB22" s="1">
        <f t="shared" si="42"/>
        <v>0</v>
      </c>
      <c r="FC22" s="1">
        <f t="shared" si="42"/>
        <v>0</v>
      </c>
      <c r="FD22" s="1">
        <f t="shared" si="42"/>
        <v>0</v>
      </c>
      <c r="FE22" s="1">
        <f t="shared" si="42"/>
        <v>0</v>
      </c>
      <c r="FF22" s="1">
        <f t="shared" si="42"/>
        <v>0</v>
      </c>
      <c r="FH22" s="162">
        <f t="shared" si="34"/>
        <v>-3.9559001129470639E-2</v>
      </c>
    </row>
    <row r="23" spans="1:164" ht="18.75" customHeight="1">
      <c r="A23" s="244" t="s">
        <v>219</v>
      </c>
      <c r="B23" s="247"/>
      <c r="C23" s="228">
        <f t="shared" si="5"/>
        <v>-0.99</v>
      </c>
      <c r="D23" s="229">
        <v>-1</v>
      </c>
      <c r="E23" s="253">
        <f t="shared" si="6"/>
        <v>-0.12803690909039389</v>
      </c>
      <c r="F23" s="254">
        <f t="shared" si="7"/>
        <v>-0.14422615791032722</v>
      </c>
      <c r="G23" s="253">
        <f t="shared" si="8"/>
        <v>-6.2757088214937529E-4</v>
      </c>
      <c r="H23" s="254">
        <f t="shared" si="9"/>
        <v>-0.12740933820824452</v>
      </c>
      <c r="I23" s="253">
        <f t="shared" si="10"/>
        <v>-0.15341942754758053</v>
      </c>
      <c r="J23" s="254">
        <f t="shared" si="11"/>
        <v>-0.54762382951870647</v>
      </c>
      <c r="K23" s="253">
        <f t="shared" si="12"/>
        <v>0.22725639983903956</v>
      </c>
      <c r="L23" s="254">
        <f t="shared" si="13"/>
        <v>-0.38067582738662009</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0.15361468477543183</v>
      </c>
      <c r="V23" s="258">
        <f t="shared" si="16"/>
        <v>0.15361468477543183</v>
      </c>
      <c r="W23" s="253">
        <f t="shared" si="38"/>
        <v>1.6836450252456276</v>
      </c>
      <c r="X23" s="258">
        <f t="shared" si="17"/>
        <v>1.6836450252456276</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4</v>
      </c>
      <c r="AQ23" s="28">
        <f>VLOOKUP($A23,historia!$A$5:$CM$24,+HLOOKUP(AQ$2,historia!$A$3:$EC$4,2,FALSE),FALSE)</f>
        <v>4</v>
      </c>
      <c r="AR23" s="28">
        <f>VLOOKUP($A23,historia!$A$5:$CM$24,+HLOOKUP(AR$2,historia!$A$3:$EC$4,2,FALSE),FALSE)</f>
        <v>4</v>
      </c>
      <c r="AS23" s="28">
        <f>VLOOKUP($A23,historia!$A$5:$CM$24,+HLOOKUP(AS$2,historia!$A$3:$EC$4,2,FALSE),FALSE)</f>
        <v>4</v>
      </c>
      <c r="AT23" s="58">
        <f>VLOOKUP($A23,historia!$A$5:$CM$24,+HLOOKUP(AT$2,historia!$A$3:$EC$4,2,FALSE),FALSE)</f>
        <v>4</v>
      </c>
      <c r="AU23" s="58">
        <f>VLOOKUP($A23,historia!$A$5:$CM$24,+HLOOKUP(AU$2,historia!$A$3:$EC$4,2,FALSE),FALSE)</f>
        <v>4</v>
      </c>
      <c r="AV23" s="58">
        <f>VLOOKUP($A23,historia!$A$5:$CM$24,+HLOOKUP(AV$2,historia!$A$3:$EC$4,2,FALSE),FALSE)</f>
        <v>4</v>
      </c>
      <c r="AW23" s="58">
        <f>VLOOKUP($A23,historia!$A$5:$CM$24,+HLOOKUP(AW$2,historia!$A$3:$EC$4,2,FALSE),FALSE)</f>
        <v>4</v>
      </c>
      <c r="AX23" s="58">
        <f>VLOOKUP($A23,historia!$A$5:$CM$24,+HLOOKUP(AX$2,historia!$A$3:$EC$4,2,FALSE),FALSE)</f>
        <v>4</v>
      </c>
      <c r="AY23" s="58">
        <f>VLOOKUP($A23,historia!$A$5:$CM$24,+HLOOKUP(AY$2,historia!$A$3:$EC$4,2,FALSE),FALSE)</f>
        <v>4</v>
      </c>
      <c r="AZ23" s="58">
        <f>VLOOKUP($A23,historia!$A$5:$CM$24,+HLOOKUP(AZ$2,historia!$A$3:$EC$4,2,FALSE),FALSE)</f>
        <v>4</v>
      </c>
      <c r="BA23" s="58">
        <f>VLOOKUP($A23,historia!$A$5:$CM$24,+HLOOKUP(BA$2,historia!$A$3:$EC$4,2,FALSE),FALSE)</f>
        <v>4</v>
      </c>
      <c r="BB23" s="58"/>
      <c r="BC23" s="58"/>
      <c r="BD23" s="286">
        <v>4</v>
      </c>
      <c r="BE23" t="str">
        <f t="shared" si="20"/>
        <v>Vino y Mosto</v>
      </c>
      <c r="BF23">
        <f>+datos!AM1</f>
        <v>39</v>
      </c>
      <c r="BG23" s="2" t="str">
        <f t="shared" si="4"/>
        <v>$/l</v>
      </c>
      <c r="BH23" s="2">
        <f t="shared" si="4"/>
        <v>307.68700000000001</v>
      </c>
      <c r="BI23" s="2">
        <f t="shared" si="4"/>
        <v>352.86700000000002</v>
      </c>
      <c r="BJ23" s="2">
        <f t="shared" si="4"/>
        <v>363.4468</v>
      </c>
      <c r="BL23">
        <f>+datos!CP1</f>
        <v>94</v>
      </c>
      <c r="BM23" s="2">
        <f t="shared" si="21"/>
        <v>11211.567302520887</v>
      </c>
      <c r="BN23" s="2">
        <f t="shared" si="21"/>
        <v>11218.607774098165</v>
      </c>
      <c r="BO23" s="2">
        <f t="shared" si="21"/>
        <v>9135.4726722071573</v>
      </c>
      <c r="BQ23" s="1">
        <f>+datos!EF1</f>
        <v>136</v>
      </c>
      <c r="BR23" s="1">
        <f t="shared" si="22"/>
        <v>196220</v>
      </c>
      <c r="BS23" s="1">
        <f t="shared" si="22"/>
        <v>199946</v>
      </c>
      <c r="BU23" s="1">
        <f>+datos!GB1</f>
        <v>184</v>
      </c>
      <c r="BV23" s="1">
        <f t="shared" si="23"/>
        <v>19908335</v>
      </c>
      <c r="BW23" s="1">
        <f t="shared" si="23"/>
        <v>19189740</v>
      </c>
      <c r="BY23" s="1">
        <f>+datos!JU1</f>
        <v>281</v>
      </c>
      <c r="BZ23" s="1">
        <f t="shared" si="39"/>
        <v>1009.12449727</v>
      </c>
      <c r="CA23" s="1">
        <f t="shared" si="40"/>
        <v>874.75004487000001</v>
      </c>
      <c r="CC23" s="1">
        <f>+datos!KZ1</f>
        <v>312</v>
      </c>
      <c r="CD23" s="2">
        <f t="shared" si="24"/>
        <v>34.11855868</v>
      </c>
      <c r="CE23" s="2">
        <f t="shared" si="25"/>
        <v>12.713514030000002</v>
      </c>
      <c r="CG23" s="1">
        <f>+datos!IQ1</f>
        <v>251</v>
      </c>
      <c r="CH23" s="1">
        <f t="shared" si="26"/>
        <v>16.079999999999998</v>
      </c>
      <c r="CI23" s="1">
        <f t="shared" si="27"/>
        <v>16.3</v>
      </c>
      <c r="CK23" s="1">
        <f t="shared" si="43"/>
        <v>71.170798900000008</v>
      </c>
      <c r="CL23" s="1">
        <f t="shared" si="43"/>
        <v>88.994061629999976</v>
      </c>
      <c r="CM23" s="1">
        <f t="shared" si="43"/>
        <v>77.155977009999987</v>
      </c>
      <c r="CN23" s="1">
        <f t="shared" si="43"/>
        <v>74.722979570000021</v>
      </c>
      <c r="CO23" s="1">
        <f t="shared" si="43"/>
        <v>63.754065359999977</v>
      </c>
      <c r="CP23" s="1">
        <f t="shared" si="43"/>
        <v>50.923025279999997</v>
      </c>
      <c r="CQ23" s="1">
        <f t="shared" si="43"/>
        <v>85.381089520000018</v>
      </c>
      <c r="CR23" s="1">
        <f t="shared" si="43"/>
        <v>87.09478919</v>
      </c>
      <c r="CS23" s="1">
        <f t="shared" si="43"/>
        <v>88.790830600000021</v>
      </c>
      <c r="CT23" s="1">
        <f t="shared" si="43"/>
        <v>106.11166329999998</v>
      </c>
      <c r="CU23" s="1">
        <f t="shared" si="43"/>
        <v>99.074693340000039</v>
      </c>
      <c r="CV23" s="1">
        <f t="shared" si="43"/>
        <v>115.95052356999999</v>
      </c>
      <c r="CW23" s="1">
        <f t="shared" si="43"/>
        <v>55.887516779999999</v>
      </c>
      <c r="CX23" s="1">
        <f t="shared" si="43"/>
        <v>84.428757199999993</v>
      </c>
      <c r="CY23" s="1">
        <f t="shared" si="43"/>
        <v>70.799436420000006</v>
      </c>
      <c r="CZ23" s="1">
        <f t="shared" si="43"/>
        <v>83.547570889999989</v>
      </c>
      <c r="DA23" s="1">
        <f t="shared" si="44"/>
        <v>59.429446169999991</v>
      </c>
      <c r="DB23" s="1">
        <f t="shared" si="44"/>
        <v>57.397509530000008</v>
      </c>
      <c r="DC23" s="1">
        <f t="shared" si="44"/>
        <v>71.762443020000006</v>
      </c>
      <c r="DD23" s="1">
        <f t="shared" si="44"/>
        <v>76.246675170000003</v>
      </c>
      <c r="DE23" s="1">
        <f t="shared" si="44"/>
        <v>81.396405279999982</v>
      </c>
      <c r="DF23" s="1">
        <f t="shared" si="44"/>
        <v>86.673250950000011</v>
      </c>
      <c r="DG23" s="1">
        <f t="shared" si="44"/>
        <v>67.769583350000005</v>
      </c>
      <c r="DH23" s="1">
        <f t="shared" si="44"/>
        <v>79.411450110000018</v>
      </c>
      <c r="DJ23" s="1">
        <f t="shared" si="45"/>
        <v>5.0584831100000001</v>
      </c>
      <c r="DK23" s="1">
        <f t="shared" si="45"/>
        <v>4.0554375800000004</v>
      </c>
      <c r="DL23" s="1">
        <f t="shared" si="45"/>
        <v>3.476448889999999</v>
      </c>
      <c r="DM23" s="1">
        <f t="shared" si="45"/>
        <v>3.23844815</v>
      </c>
      <c r="DN23" s="1">
        <f t="shared" si="45"/>
        <v>1.94679845</v>
      </c>
      <c r="DO23" s="1">
        <f t="shared" si="45"/>
        <v>0.41117072999999998</v>
      </c>
      <c r="DP23" s="1">
        <f t="shared" si="45"/>
        <v>1.6918772199999998</v>
      </c>
      <c r="DQ23" s="1">
        <f t="shared" si="45"/>
        <v>4.1008112300000006</v>
      </c>
      <c r="DR23" s="1">
        <f t="shared" si="45"/>
        <v>2.9628047099999995</v>
      </c>
      <c r="DS23" s="1">
        <f t="shared" si="45"/>
        <v>2.4415022799999999</v>
      </c>
      <c r="DT23" s="1">
        <f t="shared" si="45"/>
        <v>2.4186424700000004</v>
      </c>
      <c r="DU23" s="1">
        <f t="shared" si="45"/>
        <v>2.3161338599999999</v>
      </c>
      <c r="DV23" s="1">
        <f t="shared" si="45"/>
        <v>0.34545517000000003</v>
      </c>
      <c r="DW23" s="1">
        <f t="shared" si="45"/>
        <v>1.3068112300000001</v>
      </c>
      <c r="DX23" s="1">
        <f t="shared" si="45"/>
        <v>1.01985657</v>
      </c>
      <c r="DY23" s="1">
        <f t="shared" si="45"/>
        <v>0.49471243999999998</v>
      </c>
      <c r="DZ23" s="1">
        <f t="shared" si="41"/>
        <v>0.76659119999999992</v>
      </c>
      <c r="EA23" s="1">
        <f t="shared" si="41"/>
        <v>0.41683354000000006</v>
      </c>
      <c r="EB23" s="1">
        <f t="shared" si="41"/>
        <v>1.01193058</v>
      </c>
      <c r="EC23" s="1">
        <f t="shared" si="41"/>
        <v>1.2280305999999999</v>
      </c>
      <c r="ED23" s="1">
        <f t="shared" si="41"/>
        <v>1.7214946800000002</v>
      </c>
      <c r="EE23" s="1">
        <f t="shared" si="41"/>
        <v>1.3147188099999998</v>
      </c>
      <c r="EF23" s="1">
        <f t="shared" si="41"/>
        <v>1.8704580099999999</v>
      </c>
      <c r="EG23" s="1">
        <f t="shared" si="41"/>
        <v>1.2166211999999998</v>
      </c>
      <c r="EI23" s="14">
        <f t="shared" si="46"/>
        <v>16.079999999999998</v>
      </c>
      <c r="EJ23" s="14">
        <f t="shared" si="46"/>
        <v>16.079999999999998</v>
      </c>
      <c r="EK23" s="1">
        <f t="shared" si="46"/>
        <v>16.079999999999998</v>
      </c>
      <c r="EL23" s="1">
        <f t="shared" si="46"/>
        <v>16.079999999999998</v>
      </c>
      <c r="EM23" s="1">
        <f t="shared" si="46"/>
        <v>16.079999999999998</v>
      </c>
      <c r="EN23" s="1">
        <f t="shared" si="46"/>
        <v>16.079999999999998</v>
      </c>
      <c r="EO23" s="1">
        <f t="shared" si="46"/>
        <v>16.3</v>
      </c>
      <c r="EP23" s="1">
        <f t="shared" si="46"/>
        <v>16.3</v>
      </c>
      <c r="EQ23" s="1">
        <f t="shared" si="46"/>
        <v>16.3</v>
      </c>
      <c r="ER23" s="1">
        <f t="shared" si="46"/>
        <v>16.3</v>
      </c>
      <c r="ES23" s="1">
        <f t="shared" si="46"/>
        <v>16.3</v>
      </c>
      <c r="ET23" s="1">
        <f t="shared" si="46"/>
        <v>16.3</v>
      </c>
      <c r="EU23" s="1">
        <f t="shared" si="46"/>
        <v>16.3</v>
      </c>
      <c r="EV23" s="1">
        <f t="shared" si="46"/>
        <v>16.3</v>
      </c>
      <c r="EW23" s="1">
        <f t="shared" si="46"/>
        <v>16.3</v>
      </c>
      <c r="EX23" s="1">
        <f t="shared" si="46"/>
        <v>16.3</v>
      </c>
      <c r="EY23" s="1">
        <f t="shared" si="42"/>
        <v>16.3</v>
      </c>
      <c r="EZ23" s="1">
        <f t="shared" si="42"/>
        <v>16.3</v>
      </c>
      <c r="FA23" s="1">
        <f t="shared" si="42"/>
        <v>16.7</v>
      </c>
      <c r="FB23" s="1">
        <f t="shared" si="42"/>
        <v>16.7</v>
      </c>
      <c r="FC23" s="1">
        <f t="shared" si="42"/>
        <v>16.7</v>
      </c>
      <c r="FD23" s="1">
        <f t="shared" si="42"/>
        <v>16.7</v>
      </c>
      <c r="FE23" s="1">
        <f t="shared" si="42"/>
        <v>16.7</v>
      </c>
      <c r="FF23" s="1">
        <f t="shared" si="42"/>
        <v>16.7</v>
      </c>
      <c r="FH23" s="162">
        <f t="shared" si="34"/>
        <v>-0.38067582738662009</v>
      </c>
    </row>
    <row r="24" spans="1:164" ht="18.75" customHeight="1">
      <c r="A24" s="243" t="s">
        <v>39</v>
      </c>
      <c r="B24" s="246"/>
      <c r="C24" s="156">
        <f t="shared" si="5"/>
        <v>-0.65999999999999992</v>
      </c>
      <c r="D24" s="198">
        <v>-3</v>
      </c>
      <c r="E24" s="248">
        <f t="shared" si="6"/>
        <v>0</v>
      </c>
      <c r="F24" s="249">
        <f t="shared" si="7"/>
        <v>-1.6189248819933333E-2</v>
      </c>
      <c r="G24" s="248">
        <f t="shared" si="8"/>
        <v>8.7272334471453217E-3</v>
      </c>
      <c r="H24" s="249">
        <f t="shared" si="9"/>
        <v>-8.7272334471453217E-3</v>
      </c>
      <c r="I24" s="248">
        <f t="shared" si="10"/>
        <v>0</v>
      </c>
      <c r="J24" s="249">
        <f t="shared" si="11"/>
        <v>-0.39420440197112594</v>
      </c>
      <c r="K24" s="248">
        <f t="shared" si="12"/>
        <v>0.3602554360922483</v>
      </c>
      <c r="L24" s="249">
        <f t="shared" si="13"/>
        <v>-0.3602554360922483</v>
      </c>
      <c r="M24" s="250"/>
      <c r="N24" s="24">
        <v>1</v>
      </c>
      <c r="O24" s="248">
        <f t="shared" si="35"/>
        <v>4.7599193940657258E-3</v>
      </c>
      <c r="P24" s="251">
        <f t="shared" si="36"/>
        <v>4.7599193940657258E-3</v>
      </c>
      <c r="Q24" s="248">
        <f t="shared" si="14"/>
        <v>-8.2005549053899451E-2</v>
      </c>
      <c r="R24" s="251">
        <f t="shared" si="37"/>
        <v>-8.2005549053899451E-2</v>
      </c>
      <c r="S24" s="250"/>
      <c r="T24" s="24">
        <v>0</v>
      </c>
      <c r="U24" s="248">
        <f t="shared" si="15"/>
        <v>1.1120873321849301E-2</v>
      </c>
      <c r="V24" s="252">
        <f t="shared" si="16"/>
        <v>1.1120873321849301E-2</v>
      </c>
      <c r="W24" s="248">
        <f t="shared" si="38"/>
        <v>-2.6467157803162666E-2</v>
      </c>
      <c r="X24" s="258">
        <f t="shared" si="17"/>
        <v>-2.6467157803162666E-2</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f>VLOOKUP($A24,historia!$A$5:$CM$24,+HLOOKUP(AY$2,historia!$A$3:$EC$4,2,FALSE),FALSE)</f>
        <v>4</v>
      </c>
      <c r="AZ24" s="58">
        <f>VLOOKUP($A24,historia!$A$5:$CM$24,+HLOOKUP(AZ$2,historia!$A$3:$EC$4,2,FALSE),FALSE)</f>
        <v>4</v>
      </c>
      <c r="BA24" s="58">
        <f>VLOOKUP($A24,historia!$A$5:$CM$24,+HLOOKUP(BA$2,historia!$A$3:$EC$4,2,FALSE),FALSE)</f>
        <v>4</v>
      </c>
      <c r="BB24" s="58"/>
      <c r="BC24" s="58"/>
      <c r="BD24" s="286">
        <v>4</v>
      </c>
      <c r="BE24" t="str">
        <f t="shared" si="20"/>
        <v>Yerba Mate</v>
      </c>
      <c r="BF24">
        <f>+datos!AG1</f>
        <v>33</v>
      </c>
      <c r="BG24" s="2" t="str">
        <f t="shared" si="4"/>
        <v>$/t</v>
      </c>
      <c r="BH24" s="2">
        <f t="shared" si="4"/>
        <v>300000</v>
      </c>
      <c r="BI24" s="2">
        <f t="shared" si="4"/>
        <v>300000</v>
      </c>
      <c r="BJ24" s="2">
        <f t="shared" si="4"/>
        <v>300000</v>
      </c>
      <c r="BL24">
        <f>+datos!CY1</f>
        <v>103</v>
      </c>
      <c r="BM24" s="2">
        <f t="shared" si="21"/>
        <v>10298.80509480927</v>
      </c>
      <c r="BN24" s="2">
        <f t="shared" si="21"/>
        <v>10209.702636474818</v>
      </c>
      <c r="BO24" s="2">
        <f t="shared" si="21"/>
        <v>7571.2287718516691</v>
      </c>
      <c r="BQ24" s="1">
        <f>+datos!ED1</f>
        <v>134</v>
      </c>
      <c r="BR24" s="1">
        <f t="shared" si="22"/>
        <v>231352</v>
      </c>
      <c r="BS24" s="1">
        <f t="shared" si="22"/>
        <v>230256</v>
      </c>
      <c r="BU24" s="1">
        <f>+datos!FZ1</f>
        <v>182</v>
      </c>
      <c r="BV24" s="1">
        <f t="shared" si="23"/>
        <v>872657</v>
      </c>
      <c r="BW24" s="1">
        <f t="shared" si="23"/>
        <v>950612.5</v>
      </c>
      <c r="BY24" s="1">
        <f>+datos!KD1</f>
        <v>290</v>
      </c>
      <c r="BZ24" s="1">
        <f t="shared" si="39"/>
        <v>114.10563114999999</v>
      </c>
      <c r="CA24" s="1">
        <f t="shared" si="40"/>
        <v>112.85063355</v>
      </c>
      <c r="CC24" s="1">
        <f>+datos!LI1</f>
        <v>321</v>
      </c>
      <c r="CD24" s="2">
        <f t="shared" si="24"/>
        <v>22.59836649</v>
      </c>
      <c r="CE24" s="2">
        <f t="shared" si="25"/>
        <v>23.212741789999999</v>
      </c>
      <c r="CG24" s="1">
        <f>+datos!IP1</f>
        <v>250</v>
      </c>
      <c r="CH24" s="1">
        <f t="shared" si="26"/>
        <v>5.7424738987207355</v>
      </c>
      <c r="CI24" s="1">
        <f t="shared" si="27"/>
        <v>5.5693606783423002</v>
      </c>
      <c r="CK24" s="1">
        <f t="shared" si="43"/>
        <v>10.79513302</v>
      </c>
      <c r="CL24" s="1">
        <f t="shared" si="43"/>
        <v>10.492918690000002</v>
      </c>
      <c r="CM24" s="1">
        <f t="shared" si="43"/>
        <v>7.4906505000000001</v>
      </c>
      <c r="CN24" s="1">
        <f t="shared" si="43"/>
        <v>7.8719914600000003</v>
      </c>
      <c r="CO24" s="1">
        <f t="shared" si="43"/>
        <v>9.8166064800000008</v>
      </c>
      <c r="CP24" s="1">
        <f t="shared" si="43"/>
        <v>7.1690497699999991</v>
      </c>
      <c r="CQ24" s="1">
        <f t="shared" si="43"/>
        <v>10.805856030000001</v>
      </c>
      <c r="CR24" s="1">
        <f t="shared" si="43"/>
        <v>10.476429469999998</v>
      </c>
      <c r="CS24" s="1">
        <f t="shared" si="43"/>
        <v>11.361751129999998</v>
      </c>
      <c r="CT24" s="1">
        <f t="shared" si="43"/>
        <v>10.05873476</v>
      </c>
      <c r="CU24" s="1">
        <f t="shared" si="43"/>
        <v>9.4659040999999995</v>
      </c>
      <c r="CV24" s="1">
        <f t="shared" si="43"/>
        <v>8.3006057400000017</v>
      </c>
      <c r="CW24" s="1">
        <f t="shared" si="43"/>
        <v>11.077079630000002</v>
      </c>
      <c r="CX24" s="1">
        <f t="shared" si="43"/>
        <v>7.2906957700000001</v>
      </c>
      <c r="CY24" s="1">
        <f t="shared" si="43"/>
        <v>8.852789640000001</v>
      </c>
      <c r="CZ24" s="1">
        <f t="shared" si="43"/>
        <v>12.408222910000001</v>
      </c>
      <c r="DA24" s="1">
        <f t="shared" si="44"/>
        <v>8.8663402400000013</v>
      </c>
      <c r="DB24" s="1">
        <f t="shared" si="44"/>
        <v>9.2397224899999983</v>
      </c>
      <c r="DC24" s="1">
        <f t="shared" si="44"/>
        <v>7.1224329199999996</v>
      </c>
      <c r="DD24" s="1">
        <f t="shared" si="44"/>
        <v>8.6156523299999996</v>
      </c>
      <c r="DE24" s="1">
        <f t="shared" si="44"/>
        <v>10.17972451</v>
      </c>
      <c r="DF24" s="1">
        <f t="shared" si="44"/>
        <v>11.833514059999999</v>
      </c>
      <c r="DG24" s="1">
        <f t="shared" si="44"/>
        <v>8.6649559600000003</v>
      </c>
      <c r="DH24" s="1">
        <f t="shared" si="44"/>
        <v>8.6995030900000003</v>
      </c>
      <c r="DJ24" s="1">
        <f t="shared" si="45"/>
        <v>1.6709123100000001</v>
      </c>
      <c r="DK24" s="1">
        <f t="shared" si="45"/>
        <v>3.5033770500000001</v>
      </c>
      <c r="DL24" s="1">
        <f t="shared" si="45"/>
        <v>2.2730154199999997</v>
      </c>
      <c r="DM24" s="1">
        <f t="shared" si="45"/>
        <v>2.4041640299999996</v>
      </c>
      <c r="DN24" s="1">
        <f t="shared" si="45"/>
        <v>2.0218665100000002</v>
      </c>
      <c r="DO24" s="1">
        <f t="shared" si="45"/>
        <v>1.1839526999999999</v>
      </c>
      <c r="DP24" s="1">
        <f t="shared" si="45"/>
        <v>1.1744757299999999</v>
      </c>
      <c r="DQ24" s="1">
        <f t="shared" si="45"/>
        <v>2.1750064099999999</v>
      </c>
      <c r="DR24" s="1">
        <f t="shared" si="45"/>
        <v>2.6101839400000002</v>
      </c>
      <c r="DS24" s="1">
        <f t="shared" si="45"/>
        <v>1.2494588400000002</v>
      </c>
      <c r="DT24" s="1">
        <f t="shared" si="45"/>
        <v>0.60028256999999996</v>
      </c>
      <c r="DU24" s="1">
        <f t="shared" si="45"/>
        <v>1.7316709800000001</v>
      </c>
      <c r="DV24" s="1">
        <f t="shared" si="45"/>
        <v>1.1554743999999999</v>
      </c>
      <c r="DW24" s="1">
        <f t="shared" si="45"/>
        <v>1.50586095</v>
      </c>
      <c r="DX24" s="1">
        <f t="shared" si="45"/>
        <v>3.2398820599999998</v>
      </c>
      <c r="DY24" s="1">
        <f t="shared" si="45"/>
        <v>3.1775986299999999</v>
      </c>
      <c r="DZ24" s="1">
        <f t="shared" si="41"/>
        <v>2.4176205400000002</v>
      </c>
      <c r="EA24" s="1">
        <f t="shared" si="41"/>
        <v>1.0621514699999999</v>
      </c>
      <c r="EB24" s="1">
        <f t="shared" si="41"/>
        <v>1.8796713600000001</v>
      </c>
      <c r="EC24" s="1">
        <f t="shared" si="41"/>
        <v>2.4189343299999999</v>
      </c>
      <c r="ED24" s="1">
        <f t="shared" si="41"/>
        <v>2.31537419</v>
      </c>
      <c r="EE24" s="1">
        <f t="shared" si="41"/>
        <v>1.6581343500000001</v>
      </c>
      <c r="EF24" s="1">
        <f t="shared" si="41"/>
        <v>1.1317222</v>
      </c>
      <c r="EG24" s="1">
        <f t="shared" si="41"/>
        <v>1.25031731</v>
      </c>
      <c r="EI24" s="14">
        <f t="shared" si="46"/>
        <v>5.7424738987207355</v>
      </c>
      <c r="EJ24" s="14">
        <f t="shared" si="46"/>
        <v>5.7424738987207355</v>
      </c>
      <c r="EK24" s="1">
        <f t="shared" si="46"/>
        <v>5.7424738987207355</v>
      </c>
      <c r="EL24" s="1">
        <f t="shared" si="46"/>
        <v>5.7424738987207355</v>
      </c>
      <c r="EM24" s="1">
        <f t="shared" si="46"/>
        <v>5.7424738987207355</v>
      </c>
      <c r="EN24" s="1">
        <f t="shared" si="46"/>
        <v>5.7424738987207355</v>
      </c>
      <c r="EO24" s="1">
        <f t="shared" si="46"/>
        <v>5.5693606783423002</v>
      </c>
      <c r="EP24" s="1">
        <f t="shared" si="46"/>
        <v>5.5693606783423002</v>
      </c>
      <c r="EQ24" s="1">
        <f t="shared" si="46"/>
        <v>5.5693606783423002</v>
      </c>
      <c r="ER24" s="1">
        <f t="shared" si="46"/>
        <v>5.5693606783423002</v>
      </c>
      <c r="ES24" s="1">
        <f t="shared" si="46"/>
        <v>5.5693606783423002</v>
      </c>
      <c r="ET24" s="1">
        <f t="shared" si="46"/>
        <v>5.5693606783423002</v>
      </c>
      <c r="EU24" s="1">
        <f t="shared" si="46"/>
        <v>5.5693606783423002</v>
      </c>
      <c r="EV24" s="1">
        <f t="shared" si="46"/>
        <v>5.5693606783423002</v>
      </c>
      <c r="EW24" s="1">
        <f t="shared" si="46"/>
        <v>5.5693606783423002</v>
      </c>
      <c r="EX24" s="1">
        <f t="shared" si="46"/>
        <v>5.5693606783423002</v>
      </c>
      <c r="EY24" s="1">
        <f t="shared" si="42"/>
        <v>5.5693606783423002</v>
      </c>
      <c r="EZ24" s="1">
        <f t="shared" si="42"/>
        <v>5.5693606783423002</v>
      </c>
      <c r="FA24" s="1">
        <f t="shared" si="42"/>
        <v>6.139895208369488</v>
      </c>
      <c r="FB24" s="1">
        <f t="shared" si="42"/>
        <v>6.139895208369488</v>
      </c>
      <c r="FC24" s="1">
        <f t="shared" si="42"/>
        <v>6.139895208369488</v>
      </c>
      <c r="FD24" s="1">
        <f t="shared" si="42"/>
        <v>6.139895208369488</v>
      </c>
      <c r="FE24" s="1">
        <f t="shared" si="42"/>
        <v>6.139895208369488</v>
      </c>
      <c r="FF24" s="1">
        <f t="shared" si="42"/>
        <v>6.139895208369488</v>
      </c>
      <c r="FH24" s="162">
        <f t="shared" si="34"/>
        <v>-0.3602554360922483</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T25" s="58"/>
      <c r="AU25" s="58"/>
      <c r="AV25" s="58"/>
      <c r="AW25" s="58"/>
      <c r="AX25" s="58"/>
      <c r="AY25" s="58">
        <v>4</v>
      </c>
      <c r="AZ25" s="58"/>
      <c r="BA25" s="58"/>
      <c r="BB25" s="58"/>
      <c r="BC25" s="58"/>
      <c r="BG25" s="2"/>
      <c r="BH25" s="2"/>
      <c r="BI25" s="2"/>
      <c r="BJ25" s="2"/>
      <c r="BM25" s="2"/>
      <c r="BN25" s="2"/>
      <c r="BO25" s="2"/>
      <c r="BQ25" s="1"/>
      <c r="BR25" s="1"/>
      <c r="BS25" s="1"/>
      <c r="BU25" s="1"/>
      <c r="BV25" s="1"/>
      <c r="BW25" s="1"/>
      <c r="BY25" s="1"/>
      <c r="BZ25" s="1"/>
      <c r="CA25" s="1"/>
      <c r="CC25" s="1"/>
      <c r="CD25" s="2"/>
      <c r="CE25" s="2"/>
      <c r="CG25" s="1"/>
      <c r="CH25" s="1"/>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E26" s="12">
        <f>+AVERAGE(E6:E24)</f>
        <v>-7.2717322972214917E-3</v>
      </c>
      <c r="F26" s="37">
        <f>+E26-$I$3</f>
        <v>-0.40147613426834744</v>
      </c>
      <c r="G26" s="12">
        <f>+AVERAGE(G6:G24)</f>
        <v>1.6651301387656699E-2</v>
      </c>
      <c r="I26" s="12" t="e">
        <f>+AVERAGEIF(I6:I24,"&gt;211%")</f>
        <v>#DIV/0!</v>
      </c>
      <c r="J26" s="37" t="e">
        <f t="shared" si="11"/>
        <v>#DIV/0!</v>
      </c>
      <c r="K26" s="12">
        <f>+AVERAGE(K6:K24)</f>
        <v>0.28461881211368956</v>
      </c>
      <c r="O26" s="12">
        <f>+AVERAGE(O6:O24)</f>
        <v>3.9068838155301787E-2</v>
      </c>
      <c r="AB26" s="57"/>
    </row>
    <row r="27" spans="1:164" ht="18.75" customHeight="1">
      <c r="I27" s="12">
        <f>+AVERAGEIF(I6:I24,"&lt;211%")</f>
        <v>0.21068021172426579</v>
      </c>
      <c r="K27" s="177">
        <f>+SUBTOTAL(101,K6:K21)</f>
        <v>0.27870884774122356</v>
      </c>
      <c r="V27" t="s">
        <v>167</v>
      </c>
      <c r="X27" s="162"/>
      <c r="BR27" s="1">
        <f>+SUM(BR6:BR24)</f>
        <v>115499820</v>
      </c>
      <c r="BS27" s="1">
        <f>+SUM(BS6:BS24)</f>
        <v>115226699</v>
      </c>
      <c r="BV27" s="1">
        <f>+SUM(BV6:BV24)</f>
        <v>171097952.32867128</v>
      </c>
      <c r="BW27" s="1">
        <f>+SUM(BW6:BW24)</f>
        <v>162791116.07365692</v>
      </c>
      <c r="BZ27" s="1">
        <f>+SUM(BZ6:BZ24)</f>
        <v>53434.151756039988</v>
      </c>
      <c r="CA27" s="1">
        <f>+SUM(CA6:CA24)</f>
        <v>51653.438054720005</v>
      </c>
      <c r="CD27" s="1">
        <f>+SUM(CD6:CD24)</f>
        <v>3634.3606448799997</v>
      </c>
      <c r="CE27" s="1">
        <f>+SUM(CE6:CE24)</f>
        <v>4380.2718352899992</v>
      </c>
      <c r="FH27" s="167">
        <f>+COUNTIF(FH6:FH24,"&gt;0")</f>
        <v>7</v>
      </c>
    </row>
    <row r="28" spans="1:164" ht="18.75" customHeight="1">
      <c r="A28" s="11">
        <f>+COUNTIF($C$6:$C$24,"&lt;0")</f>
        <v>10</v>
      </c>
      <c r="C28" s="156">
        <v>-1</v>
      </c>
      <c r="E28" s="167">
        <f>+COUNTIF($I$6:$I$24,"&lt;1,69")</f>
        <v>19</v>
      </c>
      <c r="F28" s="29">
        <v>-1</v>
      </c>
      <c r="I28" s="167">
        <f>+COUNTIF($I$6:$I$24,"&lt;1,69")</f>
        <v>19</v>
      </c>
      <c r="J28" s="29">
        <v>-1</v>
      </c>
      <c r="K28">
        <f>+COUNTIF($L$6:$L$24,"&lt;0")</f>
        <v>12</v>
      </c>
      <c r="L28" s="29">
        <v>-1</v>
      </c>
      <c r="O28">
        <f>+COUNTIF($P$6:$P$24,"&lt;0")</f>
        <v>6</v>
      </c>
      <c r="P28" s="262">
        <v>-1</v>
      </c>
      <c r="Q28">
        <f>+COUNTIF($R$6:$R$24,"&lt;0")</f>
        <v>4</v>
      </c>
      <c r="R28" s="262">
        <v>-1</v>
      </c>
      <c r="T28" s="57">
        <f>+COUNTIF($U$6:$U$24,"&lt;0")</f>
        <v>4</v>
      </c>
      <c r="U28" s="29">
        <v>-1</v>
      </c>
      <c r="BD28" s="141">
        <f>(4*0.5)+(4*0.25)+(2*0.25)</f>
        <v>3.5</v>
      </c>
      <c r="BE28">
        <f>ROUND(BD28,0)</f>
        <v>4</v>
      </c>
      <c r="BS28" t="s">
        <v>491</v>
      </c>
      <c r="BV28" s="167">
        <f>+SUMIFS(BV6:BV24,BD6:BD24,5)+SUMIFS(BV6:BV24,BD6:BD24,4)</f>
        <v>27333673</v>
      </c>
      <c r="BZ28" s="10">
        <f>+BZ27/CA27-1</f>
        <v>3.4474253183951697E-2</v>
      </c>
      <c r="CD28" s="10">
        <f>+CD27/CE27-1</f>
        <v>-0.1702887899331974</v>
      </c>
    </row>
    <row r="29" spans="1:164" ht="18.75" customHeight="1">
      <c r="A29" s="11">
        <f>+COUNTIF($C$6:$C$24,C29)</f>
        <v>8</v>
      </c>
      <c r="C29" s="156">
        <v>0</v>
      </c>
      <c r="E29" s="167">
        <f>+COUNTIF($I$6:$I$24,"=1,69")</f>
        <v>0</v>
      </c>
      <c r="F29" s="29">
        <v>0</v>
      </c>
      <c r="I29" s="167">
        <f>+COUNTIF($I$6:$I$24,"=1,69")</f>
        <v>0</v>
      </c>
      <c r="J29" s="29">
        <v>0</v>
      </c>
      <c r="L29" s="29">
        <v>0</v>
      </c>
      <c r="O29">
        <f>+COUNTIF($P$6:$P$24,"=0")</f>
        <v>3</v>
      </c>
      <c r="P29" s="262">
        <v>0</v>
      </c>
      <c r="Q29">
        <f>+COUNTIF($R$6:$R$24,"=0")</f>
        <v>3</v>
      </c>
      <c r="R29" s="262">
        <v>0</v>
      </c>
      <c r="T29" s="57">
        <f>+COUNTIF($U$6:$U$24,"=0")</f>
        <v>0</v>
      </c>
      <c r="U29" s="29">
        <v>0</v>
      </c>
      <c r="BS29" t="s">
        <v>492</v>
      </c>
      <c r="BV29" s="167">
        <f>+SUMIFS(BV6:BV24,BD6:BD24,3)</f>
        <v>137365682.66237199</v>
      </c>
    </row>
    <row r="30" spans="1:164" ht="18.75" customHeight="1">
      <c r="A30" s="11">
        <f>+COUNTIF($C$6:$C$24,"&gt;0")</f>
        <v>1</v>
      </c>
      <c r="C30" s="156">
        <v>1</v>
      </c>
      <c r="E30" s="167">
        <f>+COUNTIF($I$6:$I$24,"&gt;1,69")</f>
        <v>0</v>
      </c>
      <c r="F30" s="29">
        <v>1</v>
      </c>
      <c r="I30" s="167">
        <f>+COUNTIF($I$6:$I$24,"&gt;1,69")</f>
        <v>0</v>
      </c>
      <c r="J30" s="29">
        <v>1</v>
      </c>
      <c r="K30">
        <f>+COUNTIF($L$6:$L$24,"&gt;0")</f>
        <v>7</v>
      </c>
      <c r="L30" s="29">
        <v>1</v>
      </c>
      <c r="O30">
        <f>+COUNTIF($P$6:$P$24,"&gt;0")</f>
        <v>9</v>
      </c>
      <c r="P30" s="262">
        <v>1</v>
      </c>
      <c r="Q30">
        <f>+COUNTIF($R$6:$R$24,"&gt;0")</f>
        <v>12</v>
      </c>
      <c r="R30" s="262">
        <v>1</v>
      </c>
      <c r="T30" s="57">
        <f>+COUNTIF($U$6:$U$24,"&gt;0")</f>
        <v>14</v>
      </c>
      <c r="U30" s="29">
        <v>1</v>
      </c>
      <c r="X30" s="14"/>
      <c r="BS30" t="s">
        <v>493</v>
      </c>
      <c r="BV30" s="167">
        <f>+SUMIFS(BV6:BV24,BD6:BD24,1)+SUMIFS(BV6:BV24,BD6:BD24,2)</f>
        <v>6398596.6662992872</v>
      </c>
      <c r="BY30" s="1"/>
    </row>
    <row r="31" spans="1:164" ht="18.75" customHeight="1">
      <c r="K31" s="12"/>
    </row>
    <row r="32" spans="1:164" ht="18.75" customHeight="1">
      <c r="C32" s="157"/>
      <c r="I32" s="14">
        <f>+COUNTIF(I6:I24,"&gt;211%")</f>
        <v>0</v>
      </c>
      <c r="J32" s="14"/>
      <c r="K32" s="14"/>
      <c r="Y32" s="163"/>
    </row>
    <row r="33" spans="1:165" ht="18.75" customHeight="1">
      <c r="C33" s="157"/>
      <c r="I33" s="12" t="e">
        <f>+I26/2</f>
        <v>#DIV/0!</v>
      </c>
    </row>
    <row r="34" spans="1:165"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c r="BD34" s="141"/>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c r="BD35" s="141"/>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c r="BD36" s="141"/>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c r="BD37" s="141"/>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c r="BD38" s="141"/>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c r="BD39" s="141"/>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c r="BD40" s="141"/>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c r="BD45" s="141"/>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c r="BD46" s="141"/>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c r="BD47" s="141"/>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191" priority="53">
      <formula>AP6=0</formula>
    </cfRule>
    <cfRule type="expression" dxfId="190" priority="48">
      <formula>AP6=3</formula>
    </cfRule>
    <cfRule type="expression" dxfId="189" priority="49">
      <formula>AP6=5</formula>
    </cfRule>
    <cfRule type="expression" dxfId="188" priority="50">
      <formula>AP6=4</formula>
    </cfRule>
    <cfRule type="expression" dxfId="187" priority="51">
      <formula>AP6=2</formula>
    </cfRule>
    <cfRule type="expression" dxfId="186" priority="52">
      <formula>AP6=1</formula>
    </cfRule>
  </conditionalFormatting>
  <conditionalFormatting sqref="AN6:AN25">
    <cfRule type="expression" dxfId="185" priority="65">
      <formula>BA6=0</formula>
    </cfRule>
    <cfRule type="expression" dxfId="184" priority="60">
      <formula>BA6=3</formula>
    </cfRule>
    <cfRule type="expression" dxfId="183" priority="61">
      <formula>BA6=5</formula>
    </cfRule>
    <cfRule type="expression" dxfId="182" priority="62">
      <formula>BA6=4</formula>
    </cfRule>
    <cfRule type="expression" dxfId="181" priority="63">
      <formula>BA6=2</formula>
    </cfRule>
    <cfRule type="expression" dxfId="180" priority="64">
      <formula>BA6=1</formula>
    </cfRule>
  </conditionalFormatting>
  <conditionalFormatting sqref="AO6:AO25">
    <cfRule type="expression" dxfId="179" priority="54">
      <formula>#REF!=3</formula>
    </cfRule>
    <cfRule type="expression" dxfId="178" priority="55">
      <formula>#REF!=5</formula>
    </cfRule>
    <cfRule type="expression" dxfId="177" priority="56">
      <formula>#REF!=4</formula>
    </cfRule>
    <cfRule type="expression" dxfId="176" priority="58">
      <formula>#REF!=1</formula>
    </cfRule>
    <cfRule type="expression" dxfId="175" priority="59">
      <formula>#REF!=0</formula>
    </cfRule>
    <cfRule type="expression" dxfId="174" priority="57">
      <formula>#REF!=2</formula>
    </cfRule>
  </conditionalFormatting>
  <conditionalFormatting sqref="FH6:FH25 FH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6292744B-EB75-4E31-BD46-C5F6CE4C6338}">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54BE122C-3D4D-40CD-B3F8-D6D4C2FADE40}">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B3E4F7FF-ABA7-409B-8096-B522BDD3B782}">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9F34-4C66-4358-A521-1114DF7DBF08}">
  <sheetPr>
    <tabColor theme="5" tint="-0.249977111117893"/>
    <pageSetUpPr fitToPage="1"/>
  </sheetPr>
  <dimension ref="A1:FI47"/>
  <sheetViews>
    <sheetView showGridLines="0" zoomScale="70" zoomScaleNormal="70" workbookViewId="0">
      <pane xSplit="4" topLeftCell="E1" activePane="topRight" state="frozen"/>
      <selection activeCell="BA2" sqref="BA2"/>
      <selection pane="topRight" activeCell="BA2" sqref="BA2"/>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10.66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3" style="57" customWidth="1"/>
    <col min="42" max="42" width="5.33203125" style="28" customWidth="1"/>
    <col min="43" max="43" width="6" style="28" customWidth="1"/>
    <col min="44" max="44" width="5.33203125" style="28" customWidth="1"/>
    <col min="45" max="45" width="8.5546875" style="28" customWidth="1"/>
    <col min="46" max="46" width="5.5546875" customWidth="1"/>
    <col min="47" max="47" width="6.33203125" customWidth="1"/>
    <col min="48" max="48" width="6.88671875" customWidth="1"/>
    <col min="49" max="51" width="6.33203125" customWidth="1"/>
    <col min="52" max="52" width="5.6640625" customWidth="1"/>
    <col min="53" max="55" width="7.44140625" customWidth="1"/>
    <col min="56" max="56" width="11.6640625" style="141" customWidth="1"/>
    <col min="57" max="57" width="12" customWidth="1"/>
    <col min="58" max="58" width="0.88671875" customWidth="1"/>
    <col min="59" max="59" width="7.88671875" customWidth="1"/>
    <col min="60" max="62" width="8.88671875" bestFit="1" customWidth="1"/>
    <col min="63" max="63" width="2.44140625" customWidth="1"/>
    <col min="64" max="64" width="0.44140625" customWidth="1"/>
    <col min="65" max="67" width="7.88671875" customWidth="1"/>
    <col min="68" max="68" width="2.44140625" customWidth="1"/>
    <col min="69" max="69" width="0.44140625" customWidth="1"/>
    <col min="70" max="70" width="12.88671875" customWidth="1"/>
    <col min="71" max="71" width="12.44140625" customWidth="1"/>
    <col min="72" max="72" width="2.44140625" customWidth="1"/>
    <col min="73" max="73" width="0.5546875" customWidth="1"/>
    <col min="74" max="74" width="14.44140625" bestFit="1" customWidth="1"/>
    <col min="75" max="75" width="12.5546875" customWidth="1"/>
    <col min="76" max="76" width="2.44140625" customWidth="1"/>
    <col min="77" max="77" width="8.109375" customWidth="1"/>
    <col min="78" max="79" width="7.5546875" customWidth="1"/>
    <col min="80" max="80" width="2.88671875" customWidth="1"/>
    <col min="81" max="81" width="0.88671875" customWidth="1"/>
    <col min="82" max="83" width="7.44140625" customWidth="1"/>
    <col min="84" max="84" width="2.88671875" customWidth="1"/>
    <col min="85" max="85" width="0.5546875" customWidth="1"/>
    <col min="86" max="86" width="11" customWidth="1"/>
    <col min="87" max="87" width="10.88671875" customWidth="1"/>
    <col min="88" max="88" width="7" bestFit="1" customWidth="1"/>
    <col min="89" max="89" width="11" bestFit="1" customWidth="1"/>
    <col min="90" max="90" width="7" bestFit="1" customWidth="1"/>
    <col min="91" max="91" width="6.88671875" bestFit="1" customWidth="1"/>
    <col min="92" max="93" width="7" bestFit="1" customWidth="1"/>
    <col min="94" max="94" width="6.5546875" bestFit="1" customWidth="1"/>
    <col min="95" max="95" width="6.6640625" bestFit="1" customWidth="1"/>
    <col min="96" max="96" width="6.44140625" bestFit="1" customWidth="1"/>
    <col min="97" max="97" width="7.44140625" bestFit="1" customWidth="1"/>
    <col min="98" max="98" width="6.6640625" bestFit="1" customWidth="1"/>
    <col min="99" max="99" width="6.109375" bestFit="1" customWidth="1"/>
    <col min="100" max="100" width="7" bestFit="1" customWidth="1"/>
    <col min="101" max="101" width="7.109375" bestFit="1" customWidth="1"/>
    <col min="102" max="103" width="6.88671875" bestFit="1" customWidth="1"/>
    <col min="104" max="104" width="6.5546875" bestFit="1" customWidth="1"/>
    <col min="105" max="105" width="6.88671875" bestFit="1" customWidth="1"/>
    <col min="106" max="106" width="6.5546875" bestFit="1" customWidth="1"/>
    <col min="107" max="107" width="6.6640625" bestFit="1" customWidth="1"/>
    <col min="108" max="108" width="6.109375" bestFit="1" customWidth="1"/>
    <col min="109" max="109" width="7.44140625" bestFit="1" customWidth="1"/>
    <col min="110" max="110" width="6.6640625" bestFit="1" customWidth="1"/>
    <col min="111" max="111" width="5.6640625" bestFit="1" customWidth="1"/>
    <col min="112" max="112" width="7" bestFit="1" customWidth="1"/>
    <col min="113" max="113" width="5" customWidth="1"/>
    <col min="114" max="114" width="11" bestFit="1" customWidth="1"/>
    <col min="115" max="115" width="6.44140625" bestFit="1" customWidth="1"/>
    <col min="116" max="116" width="6.88671875" bestFit="1" customWidth="1"/>
    <col min="117" max="117" width="6.44140625" bestFit="1" customWidth="1"/>
    <col min="118" max="118" width="6.88671875" bestFit="1" customWidth="1"/>
    <col min="119" max="119" width="6.109375" bestFit="1" customWidth="1"/>
    <col min="120" max="120" width="6.6640625" bestFit="1" customWidth="1"/>
    <col min="121" max="121" width="6.109375" bestFit="1" customWidth="1"/>
    <col min="122" max="122" width="7.44140625" bestFit="1" customWidth="1"/>
    <col min="123" max="123" width="6.6640625" bestFit="1" customWidth="1"/>
    <col min="124" max="124" width="5.6640625" bestFit="1" customWidth="1"/>
    <col min="125" max="125" width="6.33203125" bestFit="1" customWidth="1"/>
    <col min="126" max="126" width="7.109375" bestFit="1" customWidth="1"/>
    <col min="127" max="127" width="6.44140625" bestFit="1" customWidth="1"/>
    <col min="128" max="128" width="6.88671875" bestFit="1" customWidth="1"/>
    <col min="129" max="129" width="6.44140625" bestFit="1" customWidth="1"/>
    <col min="130" max="130" width="6.88671875" bestFit="1" customWidth="1"/>
    <col min="131" max="131" width="6.109375" bestFit="1" customWidth="1"/>
    <col min="132" max="132" width="6.6640625" bestFit="1" customWidth="1"/>
    <col min="133" max="133" width="6.109375" bestFit="1" customWidth="1"/>
    <col min="134" max="134" width="7.44140625" bestFit="1" customWidth="1"/>
    <col min="135" max="135" width="6.6640625" bestFit="1" customWidth="1"/>
    <col min="136" max="136" width="6.10937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45778</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G1" t="s">
        <v>101</v>
      </c>
      <c r="BH1" s="3">
        <v>45778</v>
      </c>
      <c r="BI1" s="3">
        <v>45748</v>
      </c>
      <c r="BJ1" s="3">
        <f>+VLOOKUP(BJ2,datos!$D:$E,2,FALSE)</f>
        <v>45413</v>
      </c>
      <c r="BM1" s="3">
        <f>+A1</f>
        <v>45778</v>
      </c>
      <c r="BN1" s="3">
        <f>+VLOOKUP(BN2,datos!$D:$E,2,FALSE)</f>
        <v>45748</v>
      </c>
      <c r="BO1" s="3">
        <f>+VLOOKUP(BO2,datos!$D:$E,2,FALSE)</f>
        <v>45413</v>
      </c>
      <c r="BR1" s="3">
        <f>+A1</f>
        <v>45778</v>
      </c>
      <c r="BS1" s="3">
        <f>+VLOOKUP(BS2,datos!$D:$E,2,FALSE)</f>
        <v>45413</v>
      </c>
      <c r="BV1" s="3">
        <f>+A1</f>
        <v>45778</v>
      </c>
      <c r="BW1" s="3">
        <f>+VLOOKUP(BW2,datos!$D:$E,2,FALSE)</f>
        <v>45413</v>
      </c>
      <c r="BZ1" t="s">
        <v>279</v>
      </c>
      <c r="CA1" t="s">
        <v>280</v>
      </c>
      <c r="CD1" t="s">
        <v>279</v>
      </c>
      <c r="CE1" t="s">
        <v>280</v>
      </c>
      <c r="CH1" t="s">
        <v>282</v>
      </c>
      <c r="CI1" t="s">
        <v>283</v>
      </c>
      <c r="CJ1" s="3">
        <f>+A1</f>
        <v>45778</v>
      </c>
      <c r="CK1" s="3">
        <f>+VLOOKUP(CK2,datos!$D:$E,2,FALSE)</f>
        <v>45778</v>
      </c>
      <c r="CL1" s="3">
        <f>+VLOOKUP(CL2,datos!$D:$E,2,FALSE)</f>
        <v>45748</v>
      </c>
      <c r="CM1" s="3">
        <f>+VLOOKUP(CM2,datos!$D:$E,2,FALSE)</f>
        <v>45717</v>
      </c>
      <c r="CN1" s="3">
        <f>+VLOOKUP(CN2,datos!$D:$E,2,FALSE)</f>
        <v>45689</v>
      </c>
      <c r="CO1" s="3">
        <f>+VLOOKUP(CO2,datos!$D:$E,2,FALSE)</f>
        <v>45658</v>
      </c>
      <c r="CP1" s="3">
        <f>+VLOOKUP(CP2,datos!$D:$E,2,FALSE)</f>
        <v>45627</v>
      </c>
      <c r="CQ1" s="3">
        <f>+VLOOKUP(CQ2,datos!$D:$E,2,FALSE)</f>
        <v>45597</v>
      </c>
      <c r="CR1" s="3">
        <f>+VLOOKUP(CR2,datos!$D:$E,2,FALSE)</f>
        <v>45566</v>
      </c>
      <c r="CS1" s="3">
        <f>+VLOOKUP(CS2,datos!$D:$E,2,FALSE)</f>
        <v>45536</v>
      </c>
      <c r="CT1" s="3">
        <f>+VLOOKUP(CT2,datos!$D:$E,2,FALSE)</f>
        <v>45505</v>
      </c>
      <c r="CU1" s="3">
        <f>+VLOOKUP(CU2,datos!$D:$E,2,FALSE)</f>
        <v>45474</v>
      </c>
      <c r="CV1" s="3">
        <f>+VLOOKUP(CV2,datos!$D:$E,2,FALSE)</f>
        <v>45444</v>
      </c>
      <c r="CW1" s="3">
        <f>+VLOOKUP(CW2,datos!$D:$E,2,FALSE)</f>
        <v>45413</v>
      </c>
      <c r="CX1" s="3">
        <f>+VLOOKUP(CX2,datos!$D:$E,2,FALSE)</f>
        <v>45383</v>
      </c>
      <c r="CY1" s="3">
        <f>+VLOOKUP(CY2,datos!$D:$E,2,FALSE)</f>
        <v>45352</v>
      </c>
      <c r="CZ1" s="3">
        <f>+VLOOKUP(CZ2,datos!$D:$E,2,FALSE)</f>
        <v>45323</v>
      </c>
      <c r="DA1" s="3">
        <f>+VLOOKUP(DA2,datos!$D:$E,2,FALSE)</f>
        <v>45292</v>
      </c>
      <c r="DB1" s="3">
        <f>+VLOOKUP(DB2,datos!$D:$E,2,FALSE)</f>
        <v>45261</v>
      </c>
      <c r="DC1" s="3">
        <f>+VLOOKUP(DC2,datos!$D:$E,2,FALSE)</f>
        <v>45231</v>
      </c>
      <c r="DD1" s="3">
        <f>+VLOOKUP(DD2,datos!$D:$E,2,FALSE)</f>
        <v>45200</v>
      </c>
      <c r="DE1" s="3">
        <f>+VLOOKUP(DE2,datos!$D:$E,2,FALSE)</f>
        <v>45170</v>
      </c>
      <c r="DF1" s="3">
        <f>+VLOOKUP(DF2,datos!$D:$E,2,FALSE)</f>
        <v>45139</v>
      </c>
      <c r="DG1" s="3">
        <f>+VLOOKUP(DG2,datos!$D:$E,2,FALSE)</f>
        <v>45108</v>
      </c>
      <c r="DH1" s="3">
        <f>+VLOOKUP(DH2,datos!$D:$E,2,FALSE)</f>
        <v>45078</v>
      </c>
      <c r="DJ1" s="3">
        <f>+CK1</f>
        <v>45778</v>
      </c>
      <c r="DK1" s="3">
        <f>+VLOOKUP(DK2,datos!$D:$E,2,FALSE)</f>
        <v>45748</v>
      </c>
      <c r="DL1" s="3">
        <f>+VLOOKUP(DL2,datos!$D:$E,2,FALSE)</f>
        <v>45717</v>
      </c>
      <c r="DM1" s="3">
        <f>+VLOOKUP(DM2,datos!$D:$E,2,FALSE)</f>
        <v>45689</v>
      </c>
      <c r="DN1" s="3">
        <f>+VLOOKUP(DN2,datos!$D:$E,2,FALSE)</f>
        <v>45658</v>
      </c>
      <c r="DO1" s="3">
        <f>+VLOOKUP(DO2,datos!$D:$E,2,FALSE)</f>
        <v>45627</v>
      </c>
      <c r="DP1" s="3">
        <f>+VLOOKUP(DP2,datos!$D:$E,2,FALSE)</f>
        <v>45597</v>
      </c>
      <c r="DQ1" s="3">
        <f>+VLOOKUP(DQ2,datos!$D:$E,2,FALSE)</f>
        <v>45566</v>
      </c>
      <c r="DR1" s="3">
        <f>+VLOOKUP(DR2,datos!$D:$E,2,FALSE)</f>
        <v>45536</v>
      </c>
      <c r="DS1" s="3">
        <f>+VLOOKUP(DS2,datos!$D:$E,2,FALSE)</f>
        <v>45505</v>
      </c>
      <c r="DT1" s="3">
        <f>+VLOOKUP(DT2,datos!$D:$E,2,FALSE)</f>
        <v>45474</v>
      </c>
      <c r="DU1" s="3">
        <f>+VLOOKUP(DU2,datos!$D:$E,2,FALSE)</f>
        <v>45444</v>
      </c>
      <c r="DV1" s="3">
        <f>+VLOOKUP(DV2,datos!$D:$E,2,FALSE)</f>
        <v>45413</v>
      </c>
      <c r="DW1" s="3">
        <f>+VLOOKUP(DW2,datos!$D:$E,2,FALSE)</f>
        <v>45383</v>
      </c>
      <c r="DX1" s="3">
        <f>+VLOOKUP(DX2,datos!$D:$E,2,FALSE)</f>
        <v>45352</v>
      </c>
      <c r="DY1" s="3">
        <f>+VLOOKUP(DY2,datos!$D:$E,2,FALSE)</f>
        <v>45323</v>
      </c>
      <c r="DZ1" s="3">
        <f>+VLOOKUP(DZ2,datos!$D:$E,2,FALSE)</f>
        <v>45292</v>
      </c>
      <c r="EA1" s="3">
        <f>+VLOOKUP(EA2,datos!$D:$E,2,FALSE)</f>
        <v>45261</v>
      </c>
      <c r="EB1" s="3">
        <f>+VLOOKUP(EB2,datos!$D:$E,2,FALSE)</f>
        <v>45231</v>
      </c>
      <c r="EC1" s="3">
        <f>+VLOOKUP(EC2,datos!$D:$E,2,FALSE)</f>
        <v>45200</v>
      </c>
      <c r="ED1" s="3">
        <f>+VLOOKUP(ED2,datos!$D:$E,2,FALSE)</f>
        <v>45170</v>
      </c>
      <c r="EE1" s="3">
        <f>+VLOOKUP(EE2,datos!$D:$E,2,FALSE)</f>
        <v>45139</v>
      </c>
      <c r="EF1" s="3">
        <f>+VLOOKUP(EF2,datos!$D:$E,2,FALSE)</f>
        <v>45108</v>
      </c>
      <c r="EG1" s="3">
        <f>+VLOOKUP(EG2,datos!$D:$E,2,FALSE)</f>
        <v>45078</v>
      </c>
      <c r="EI1" s="14">
        <f>+CK1</f>
        <v>45778</v>
      </c>
      <c r="EJ1" s="14">
        <f t="shared" ref="EJ1:FF1" si="0">+CL1</f>
        <v>45748</v>
      </c>
      <c r="EK1" s="3">
        <f t="shared" si="0"/>
        <v>45717</v>
      </c>
      <c r="EL1" s="3">
        <f t="shared" si="0"/>
        <v>45689</v>
      </c>
      <c r="EM1" s="3">
        <f t="shared" si="0"/>
        <v>45658</v>
      </c>
      <c r="EN1" s="3">
        <f t="shared" si="0"/>
        <v>45627</v>
      </c>
      <c r="EO1" s="3">
        <f t="shared" si="0"/>
        <v>45597</v>
      </c>
      <c r="EP1" s="3">
        <f t="shared" si="0"/>
        <v>45566</v>
      </c>
      <c r="EQ1" s="3">
        <f t="shared" si="0"/>
        <v>45536</v>
      </c>
      <c r="ER1" s="3">
        <f t="shared" si="0"/>
        <v>45505</v>
      </c>
      <c r="ES1" s="3">
        <f t="shared" si="0"/>
        <v>45474</v>
      </c>
      <c r="ET1" s="3">
        <f t="shared" si="0"/>
        <v>45444</v>
      </c>
      <c r="EU1" s="3">
        <f t="shared" si="0"/>
        <v>45413</v>
      </c>
      <c r="EV1" s="3">
        <f t="shared" si="0"/>
        <v>45383</v>
      </c>
      <c r="EW1" s="3">
        <f t="shared" si="0"/>
        <v>45352</v>
      </c>
      <c r="EX1" s="3">
        <f t="shared" si="0"/>
        <v>45323</v>
      </c>
      <c r="EY1" s="3">
        <f t="shared" si="0"/>
        <v>45292</v>
      </c>
      <c r="EZ1" s="3">
        <f t="shared" si="0"/>
        <v>45261</v>
      </c>
      <c r="FA1" s="3">
        <f t="shared" si="0"/>
        <v>45231</v>
      </c>
      <c r="FB1" s="3">
        <f t="shared" si="0"/>
        <v>45200</v>
      </c>
      <c r="FC1" s="3">
        <f t="shared" si="0"/>
        <v>45170</v>
      </c>
      <c r="FD1" s="3">
        <f t="shared" si="0"/>
        <v>45139</v>
      </c>
      <c r="FE1" s="3">
        <f t="shared" si="0"/>
        <v>45108</v>
      </c>
      <c r="FF1" s="3">
        <f t="shared" si="0"/>
        <v>45078</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45444</v>
      </c>
      <c r="AQ2" s="174">
        <f>VLOOKUP(VLOOKUP(+$A$1,ran_ma,2,FALSE)-10,ran_idma,2,FALSE)</f>
        <v>45474</v>
      </c>
      <c r="AR2" s="174">
        <f>VLOOKUP(VLOOKUP(+$A$1,ran_ma,2,FALSE)-9,ran_idma,2,FALSE)</f>
        <v>45505</v>
      </c>
      <c r="AS2" s="174">
        <f>VLOOKUP(VLOOKUP(+$A$1,ran_ma,2,FALSE)-8,ran_idma,2,FALSE)</f>
        <v>45536</v>
      </c>
      <c r="AT2" s="59">
        <f>VLOOKUP(VLOOKUP(+$A$1,ran_ma,2,FALSE)-7,ran_idma,2,FALSE)</f>
        <v>45566</v>
      </c>
      <c r="AU2" s="59">
        <f>VLOOKUP(VLOOKUP(+$A$1,ran_ma,2,FALSE)-6,ran_idma,2,FALSE)</f>
        <v>45597</v>
      </c>
      <c r="AV2" s="59">
        <f>VLOOKUP(VLOOKUP(+$A$1,ran_ma,2,FALSE)-5,ran_idma,2,FALSE)</f>
        <v>45627</v>
      </c>
      <c r="AW2" s="59">
        <f>VLOOKUP(VLOOKUP(+$A$1,ran_ma,2,FALSE)-4,ran_idma,2,FALSE)</f>
        <v>45658</v>
      </c>
      <c r="AX2" s="59">
        <f>VLOOKUP(VLOOKUP(+$A$1,ran_ma,2,FALSE)-3,ran_idma,2,FALSE)</f>
        <v>45689</v>
      </c>
      <c r="AY2" s="59">
        <f>VLOOKUP(VLOOKUP(+$A$1,ran_ma,2,FALSE)-2,ran_idma,2,FALSE)</f>
        <v>45717</v>
      </c>
      <c r="AZ2" s="59">
        <f>VLOOKUP(VLOOKUP(+$A$1,ran_ma,2,FALSE)-1,ran_idma,2,FALSE)</f>
        <v>45748</v>
      </c>
      <c r="BA2" s="59">
        <f>+$A$1</f>
        <v>45778</v>
      </c>
      <c r="BB2" s="59"/>
      <c r="BC2" s="59"/>
      <c r="BD2" s="170"/>
      <c r="BF2" s="9" t="s">
        <v>272</v>
      </c>
      <c r="BH2">
        <f>+VLOOKUP(BH1,ran_dat,datos!$D$1,FALSE)</f>
        <v>122</v>
      </c>
      <c r="BI2">
        <f>+BH2-1</f>
        <v>121</v>
      </c>
      <c r="BJ2">
        <f>+BH2-12</f>
        <v>110</v>
      </c>
      <c r="BL2" s="9"/>
      <c r="BM2">
        <f>+VLOOKUP(BM1,ran_dat,datos!$D$1,FALSE)</f>
        <v>122</v>
      </c>
      <c r="BN2">
        <f>+BM2-1</f>
        <v>121</v>
      </c>
      <c r="BO2">
        <f>+BM2-12</f>
        <v>110</v>
      </c>
      <c r="BQ2" s="9"/>
      <c r="BR2">
        <f>+VLOOKUP(BR1,ran_dat,datos!$D$1,FALSE)</f>
        <v>122</v>
      </c>
      <c r="BS2">
        <f>+BR2-12</f>
        <v>110</v>
      </c>
      <c r="BU2" s="9"/>
      <c r="BV2">
        <f>+VLOOKUP(BV1,ran_dat,datos!$D$1,FALSE)</f>
        <v>122</v>
      </c>
      <c r="BW2">
        <f>+BV2-12</f>
        <v>110</v>
      </c>
      <c r="BY2" s="9"/>
      <c r="CC2" s="9"/>
      <c r="CJ2">
        <f>+VLOOKUP(CJ1,ran_dat,datos!$D$1,FALSE)</f>
        <v>122</v>
      </c>
      <c r="CK2">
        <f>+CJ2</f>
        <v>122</v>
      </c>
      <c r="CL2">
        <f t="shared" ref="CL2:DH2" si="1">+CK2-1</f>
        <v>121</v>
      </c>
      <c r="CM2">
        <f t="shared" si="1"/>
        <v>120</v>
      </c>
      <c r="CN2">
        <f t="shared" si="1"/>
        <v>119</v>
      </c>
      <c r="CO2">
        <f t="shared" si="1"/>
        <v>118</v>
      </c>
      <c r="CP2">
        <f t="shared" si="1"/>
        <v>117</v>
      </c>
      <c r="CQ2">
        <f t="shared" si="1"/>
        <v>116</v>
      </c>
      <c r="CR2">
        <f t="shared" si="1"/>
        <v>115</v>
      </c>
      <c r="CS2">
        <f t="shared" si="1"/>
        <v>114</v>
      </c>
      <c r="CT2">
        <f t="shared" si="1"/>
        <v>113</v>
      </c>
      <c r="CU2">
        <f t="shared" si="1"/>
        <v>112</v>
      </c>
      <c r="CV2">
        <f t="shared" si="1"/>
        <v>111</v>
      </c>
      <c r="CW2">
        <f t="shared" si="1"/>
        <v>110</v>
      </c>
      <c r="CX2">
        <f t="shared" si="1"/>
        <v>109</v>
      </c>
      <c r="CY2">
        <f t="shared" si="1"/>
        <v>108</v>
      </c>
      <c r="CZ2">
        <f t="shared" si="1"/>
        <v>107</v>
      </c>
      <c r="DA2">
        <f t="shared" si="1"/>
        <v>106</v>
      </c>
      <c r="DB2">
        <f t="shared" si="1"/>
        <v>105</v>
      </c>
      <c r="DC2">
        <f t="shared" si="1"/>
        <v>104</v>
      </c>
      <c r="DD2">
        <f t="shared" si="1"/>
        <v>103</v>
      </c>
      <c r="DE2">
        <f t="shared" si="1"/>
        <v>102</v>
      </c>
      <c r="DF2">
        <f t="shared" si="1"/>
        <v>101</v>
      </c>
      <c r="DG2">
        <f t="shared" si="1"/>
        <v>100</v>
      </c>
      <c r="DH2">
        <f t="shared" si="1"/>
        <v>99</v>
      </c>
      <c r="DJ2">
        <f>+VLOOKUP(DJ1,ran_dat,datos!$D$1,FALSE)</f>
        <v>122</v>
      </c>
      <c r="DK2">
        <f t="shared" ref="DK2:EG2" si="2">+DJ2-1</f>
        <v>121</v>
      </c>
      <c r="DL2">
        <f t="shared" si="2"/>
        <v>120</v>
      </c>
      <c r="DM2">
        <f t="shared" si="2"/>
        <v>119</v>
      </c>
      <c r="DN2">
        <f t="shared" si="2"/>
        <v>118</v>
      </c>
      <c r="DO2">
        <f t="shared" si="2"/>
        <v>117</v>
      </c>
      <c r="DP2">
        <f t="shared" si="2"/>
        <v>116</v>
      </c>
      <c r="DQ2">
        <f t="shared" si="2"/>
        <v>115</v>
      </c>
      <c r="DR2">
        <f t="shared" si="2"/>
        <v>114</v>
      </c>
      <c r="DS2">
        <f t="shared" si="2"/>
        <v>113</v>
      </c>
      <c r="DT2">
        <f t="shared" si="2"/>
        <v>112</v>
      </c>
      <c r="DU2">
        <f t="shared" si="2"/>
        <v>111</v>
      </c>
      <c r="DV2">
        <f t="shared" si="2"/>
        <v>110</v>
      </c>
      <c r="DW2">
        <f t="shared" si="2"/>
        <v>109</v>
      </c>
      <c r="DX2">
        <f t="shared" si="2"/>
        <v>108</v>
      </c>
      <c r="DY2">
        <f t="shared" si="2"/>
        <v>107</v>
      </c>
      <c r="DZ2">
        <f t="shared" si="2"/>
        <v>106</v>
      </c>
      <c r="EA2">
        <f t="shared" si="2"/>
        <v>105</v>
      </c>
      <c r="EB2">
        <f t="shared" si="2"/>
        <v>104</v>
      </c>
      <c r="EC2">
        <f t="shared" si="2"/>
        <v>103</v>
      </c>
      <c r="ED2">
        <f t="shared" si="2"/>
        <v>102</v>
      </c>
      <c r="EE2">
        <f t="shared" si="2"/>
        <v>101</v>
      </c>
      <c r="EF2">
        <f t="shared" si="2"/>
        <v>100</v>
      </c>
      <c r="EG2">
        <f t="shared" si="2"/>
        <v>99</v>
      </c>
      <c r="EI2" s="14">
        <f>+VLOOKUP(EI1,ran_dat,datos!$D$1,FALSE)</f>
        <v>122</v>
      </c>
      <c r="EJ2" s="14">
        <f t="shared" ref="EJ2:FF2" si="3">+EI2-1</f>
        <v>121</v>
      </c>
      <c r="EK2">
        <f t="shared" si="3"/>
        <v>120</v>
      </c>
      <c r="EL2">
        <f t="shared" si="3"/>
        <v>119</v>
      </c>
      <c r="EM2">
        <f t="shared" si="3"/>
        <v>118</v>
      </c>
      <c r="EN2">
        <f t="shared" si="3"/>
        <v>117</v>
      </c>
      <c r="EO2">
        <f t="shared" si="3"/>
        <v>116</v>
      </c>
      <c r="EP2">
        <f t="shared" si="3"/>
        <v>115</v>
      </c>
      <c r="EQ2">
        <f t="shared" si="3"/>
        <v>114</v>
      </c>
      <c r="ER2">
        <f t="shared" si="3"/>
        <v>113</v>
      </c>
      <c r="ES2">
        <f t="shared" si="3"/>
        <v>112</v>
      </c>
      <c r="ET2">
        <f t="shared" si="3"/>
        <v>111</v>
      </c>
      <c r="EU2">
        <f t="shared" si="3"/>
        <v>110</v>
      </c>
      <c r="EV2">
        <f t="shared" si="3"/>
        <v>109</v>
      </c>
      <c r="EW2">
        <f t="shared" si="3"/>
        <v>108</v>
      </c>
      <c r="EX2">
        <f t="shared" si="3"/>
        <v>107</v>
      </c>
      <c r="EY2">
        <f t="shared" si="3"/>
        <v>106</v>
      </c>
      <c r="EZ2">
        <f t="shared" si="3"/>
        <v>105</v>
      </c>
      <c r="FA2">
        <f t="shared" si="3"/>
        <v>104</v>
      </c>
      <c r="FB2">
        <f t="shared" si="3"/>
        <v>103</v>
      </c>
      <c r="FC2">
        <f t="shared" si="3"/>
        <v>102</v>
      </c>
      <c r="FD2">
        <f t="shared" si="3"/>
        <v>101</v>
      </c>
      <c r="FE2">
        <f t="shared" si="3"/>
        <v>100</v>
      </c>
      <c r="FF2">
        <f t="shared" si="3"/>
        <v>99</v>
      </c>
    </row>
    <row r="3" spans="1:164" ht="18.75" customHeight="1">
      <c r="A3" s="220"/>
      <c r="C3" s="155"/>
      <c r="D3" s="196">
        <v>0.33</v>
      </c>
      <c r="E3" s="100">
        <f>IFERROR(+BH5/BI5-1,"")</f>
        <v>1.5012008479314165E-2</v>
      </c>
      <c r="F3" s="56" t="s">
        <v>515</v>
      </c>
      <c r="G3" s="56"/>
      <c r="H3" s="56"/>
      <c r="I3" s="60">
        <f>IFERROR(+BH5/BJ5-1,"")</f>
        <v>0.4347866088250909</v>
      </c>
      <c r="J3" s="56" t="s">
        <v>515</v>
      </c>
      <c r="K3" s="56"/>
      <c r="L3" s="56"/>
      <c r="M3" s="32"/>
      <c r="N3" s="196">
        <v>0.33</v>
      </c>
      <c r="O3" s="31"/>
      <c r="S3" s="32"/>
      <c r="T3" s="196">
        <v>0.33</v>
      </c>
      <c r="U3" s="150" t="str">
        <f>TEXT(CV1,"MMM-YY")&amp;"."&amp;TEXT(CK1,"MMM-YY")&amp;" vs "&amp;TEXT(DH1,"MMM-YY")&amp;"."&amp;TEXT(CW1,"MMM-YY")</f>
        <v>jun-24.may-25 vs jun-23.may-24</v>
      </c>
      <c r="Y3" s="59" t="str">
        <f>TEXT(CK1,"MMM-YY")&amp;" vs "&amp;TEXT(CW1,"MMM-YY")</f>
        <v>may-25 vs may-24</v>
      </c>
      <c r="BF3" s="4" t="s">
        <v>3</v>
      </c>
      <c r="BG3" s="4"/>
      <c r="BH3" s="4"/>
      <c r="BI3" s="4"/>
      <c r="BJ3" s="4"/>
      <c r="BL3" s="27" t="s">
        <v>5</v>
      </c>
      <c r="BM3" s="27"/>
      <c r="BN3" s="27"/>
      <c r="BO3" s="27"/>
      <c r="BQ3" s="20" t="s">
        <v>15</v>
      </c>
      <c r="BR3" s="20"/>
      <c r="BS3" s="20"/>
      <c r="BU3" s="21" t="s">
        <v>2</v>
      </c>
      <c r="BV3" s="21"/>
      <c r="BW3" s="21"/>
      <c r="BY3" s="4" t="s">
        <v>7</v>
      </c>
      <c r="BZ3" s="4"/>
      <c r="CA3" s="4"/>
      <c r="CC3" s="43" t="s">
        <v>8</v>
      </c>
      <c r="CD3" s="43"/>
      <c r="CE3" s="43"/>
      <c r="CG3" s="22" t="s">
        <v>9</v>
      </c>
      <c r="CH3" s="22"/>
      <c r="CI3" s="22"/>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83"/>
      <c r="AP4" s="207"/>
      <c r="AQ4" s="207"/>
      <c r="AR4" s="207"/>
      <c r="AS4" s="207"/>
      <c r="AT4" s="19"/>
      <c r="AU4" s="19"/>
      <c r="AV4" s="19"/>
      <c r="AW4" s="19"/>
      <c r="AX4" s="19"/>
      <c r="AY4" s="19"/>
      <c r="AZ4" s="19"/>
      <c r="BA4" s="19"/>
      <c r="BB4" s="19"/>
      <c r="BC4" s="19"/>
      <c r="BD4" s="141" t="s">
        <v>390</v>
      </c>
      <c r="BF4" s="9"/>
      <c r="BL4" s="9"/>
      <c r="BQ4" s="9"/>
      <c r="BU4" s="9"/>
      <c r="BY4" s="9"/>
      <c r="CC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E5">
        <f>+A3</f>
        <v>0</v>
      </c>
      <c r="BF5">
        <f>+datos!G1</f>
        <v>7</v>
      </c>
      <c r="BG5" s="2" t="str">
        <f t="shared" ref="BG5:BJ24" si="4">+VLOOKUP(BG$1,ran_dat,$BF5,FALSE)</f>
        <v>Índice</v>
      </c>
      <c r="BH5" s="2">
        <f t="shared" si="4"/>
        <v>8714.4871000000003</v>
      </c>
      <c r="BI5" s="2">
        <f t="shared" si="4"/>
        <v>8585.6</v>
      </c>
      <c r="BJ5" s="2">
        <f t="shared" si="4"/>
        <v>6073.7165000000005</v>
      </c>
    </row>
    <row r="6" spans="1:164" ht="18.75" customHeight="1">
      <c r="A6" s="243" t="s">
        <v>28</v>
      </c>
      <c r="B6" s="246"/>
      <c r="C6" s="156">
        <f t="shared" ref="C6:C24" si="5">+D6*$D$3+N6*$N$3+T6*$T$3</f>
        <v>0</v>
      </c>
      <c r="D6" s="198">
        <v>-2</v>
      </c>
      <c r="E6" s="248">
        <f t="shared" ref="E6:E24" si="6">IFERROR(+BH6/BI6-1,"")</f>
        <v>5.3967749647251262E-2</v>
      </c>
      <c r="F6" s="249">
        <f t="shared" ref="F6:F24" si="7">+E6-$E$3</f>
        <v>3.8955741167937097E-2</v>
      </c>
      <c r="G6" s="248">
        <f t="shared" ref="G6:G24" si="8">IFERROR(+BM6/BN6-1,"")</f>
        <v>7.1078486068996138E-3</v>
      </c>
      <c r="H6" s="249">
        <f t="shared" ref="H6:H24" si="9">E6-G6</f>
        <v>4.6859901040351648E-2</v>
      </c>
      <c r="I6" s="248">
        <f t="shared" ref="I6:I24" si="10">IFERROR(+BH6/BJ6-1,"")</f>
        <v>0.21938704113218943</v>
      </c>
      <c r="J6" s="249">
        <f t="shared" ref="J6:J26" si="11">+I6-$I$3</f>
        <v>-0.21539956769290147</v>
      </c>
      <c r="K6" s="248">
        <f t="shared" ref="K6:K24" si="12">IFERROR(+BM6/BO6-1,"")</f>
        <v>0.24859037475166246</v>
      </c>
      <c r="L6" s="249">
        <f t="shared" ref="L6:L24" si="13">I6-K6</f>
        <v>-2.9203333619473026E-2</v>
      </c>
      <c r="M6" s="250"/>
      <c r="N6" s="24">
        <v>1</v>
      </c>
      <c r="O6" s="248">
        <f>IFERROR(+BR6/BS6-1,"")</f>
        <v>6.1538461538461542E-2</v>
      </c>
      <c r="P6" s="251">
        <f>+O6</f>
        <v>6.1538461538461542E-2</v>
      </c>
      <c r="Q6" s="248">
        <f t="shared" ref="Q6:Q24" si="14">IFERROR(+BV6/BW6-1,"")</f>
        <v>-0.19230769230769229</v>
      </c>
      <c r="R6" s="251">
        <f>+Q6</f>
        <v>-0.19230769230769229</v>
      </c>
      <c r="S6" s="250"/>
      <c r="T6" s="24">
        <v>1</v>
      </c>
      <c r="U6" s="248">
        <f t="shared" ref="U6:U24" si="15">IFERROR(+BZ6/CA6-1,"")</f>
        <v>0.16450564212148744</v>
      </c>
      <c r="V6" s="252">
        <f t="shared" ref="V6:V24" si="16">+U6</f>
        <v>0.16450564212148744</v>
      </c>
      <c r="W6" s="248">
        <f>IFERROR(IF(CD6&lt;0.5,"",+CD6/CE6-1),"")</f>
        <v>8.6529119558698353E-2</v>
      </c>
      <c r="X6" s="252">
        <f t="shared" ref="X6:X24" si="17">+W6</f>
        <v>8.6529119558698353E-2</v>
      </c>
      <c r="Y6" s="248" t="str">
        <f t="shared" ref="Y6:Y25" si="18">IFERROR(+CH6/CI6-1,"")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3</v>
      </c>
      <c r="AQ6" s="28">
        <f>VLOOKUP($A6,historia!$A$5:$CM$24,+HLOOKUP(AQ$2,historia!$A$3:$EC$4,2,FALSE),FALSE)</f>
        <v>3</v>
      </c>
      <c r="AR6" s="28">
        <f>VLOOKUP($A6,historia!$A$5:$CM$24,+HLOOKUP(AR$2,historia!$A$3:$EC$4,2,FALSE),FALSE)</f>
        <v>3</v>
      </c>
      <c r="AS6" s="28">
        <f>VLOOKUP($A6,historia!$A$5:$CM$24,+HLOOKUP(AS$2,historia!$A$3:$EC$4,2,FALSE),FALSE)</f>
        <v>3</v>
      </c>
      <c r="AT6" s="58">
        <f>VLOOKUP($A6,historia!$A$5:$CM$24,+HLOOKUP(AT$2,historia!$A$3:$EC$4,2,FALSE),FALSE)</f>
        <v>3</v>
      </c>
      <c r="AU6" s="58">
        <f>VLOOKUP($A6,historia!$A$5:$CM$24,+HLOOKUP(AU$2,historia!$A$3:$EC$4,2,FALSE),FALSE)</f>
        <v>3</v>
      </c>
      <c r="AV6" s="58">
        <f>VLOOKUP($A6,historia!$A$5:$CM$24,+HLOOKUP(AV$2,historia!$A$3:$EC$4,2,FALSE),FALSE)</f>
        <v>3</v>
      </c>
      <c r="AW6" s="58">
        <f>VLOOKUP($A6,historia!$A$5:$CM$24,+HLOOKUP(AW$2,historia!$A$3:$EC$4,2,FALSE),FALSE)</f>
        <v>4</v>
      </c>
      <c r="AX6" s="58">
        <f>VLOOKUP($A6,historia!$A$5:$CM$24,+HLOOKUP(AX$2,historia!$A$3:$EC$4,2,FALSE),FALSE)</f>
        <v>4</v>
      </c>
      <c r="AY6" s="58">
        <f>VLOOKUP($A6,historia!$A$5:$CM$24,+HLOOKUP(AY$2,historia!$A$3:$EC$4,2,FALSE),FALSE)</f>
        <v>4</v>
      </c>
      <c r="AZ6" s="58">
        <f>VLOOKUP($A6,historia!$A$5:$CM$24,+HLOOKUP(AZ$2,historia!$A$3:$EC$4,2,FALSE),FALSE)</f>
        <v>4</v>
      </c>
      <c r="BA6" s="58">
        <f>VLOOKUP($A6,historia!$A$5:$CM$24,+HLOOKUP(BA$2,historia!$A$3:$EC$4,2,FALSE),FALSE)</f>
        <v>3</v>
      </c>
      <c r="BB6" s="58"/>
      <c r="BC6" s="58"/>
      <c r="BD6" s="286">
        <v>3</v>
      </c>
      <c r="BE6" t="str">
        <f t="shared" ref="BE6:BE24" si="20">+A6</f>
        <v>Algodón</v>
      </c>
      <c r="BF6">
        <f>+datos!P1</f>
        <v>16</v>
      </c>
      <c r="BG6" s="2" t="str">
        <f t="shared" si="4"/>
        <v>$/kg</v>
      </c>
      <c r="BH6" s="2">
        <f t="shared" si="4"/>
        <v>1350.15365625</v>
      </c>
      <c r="BI6" s="2">
        <f t="shared" si="4"/>
        <v>1281.01989525</v>
      </c>
      <c r="BJ6" s="2">
        <f t="shared" si="4"/>
        <v>1107.2396299999998</v>
      </c>
      <c r="BL6">
        <f>+datos!BY1</f>
        <v>77</v>
      </c>
      <c r="BM6" s="2">
        <f t="shared" ref="BM6:BO24" si="21">+VLOOKUP(BM$1,ran_dat,$BL6,FALSE)</f>
        <v>9912.5619392841691</v>
      </c>
      <c r="BN6" s="2">
        <f t="shared" si="21"/>
        <v>9842.602212857244</v>
      </c>
      <c r="BO6" s="2">
        <f t="shared" si="21"/>
        <v>7939.0023659726839</v>
      </c>
      <c r="BQ6" s="1">
        <f>+datos!DK1</f>
        <v>115</v>
      </c>
      <c r="BR6" s="1">
        <f t="shared" ref="BR6:BS24" si="22">+VLOOKUP(BR$1,ran_dat,$BQ6,FALSE)</f>
        <v>690000</v>
      </c>
      <c r="BS6" s="1">
        <f t="shared" si="22"/>
        <v>650000</v>
      </c>
      <c r="BU6" s="1">
        <f>+datos!FF1</f>
        <v>162</v>
      </c>
      <c r="BV6" s="1">
        <f t="shared" ref="BV6:BW24" si="23">+VLOOKUP(BV$1,ran_dat,$BU6,FALSE)</f>
        <v>1050000</v>
      </c>
      <c r="BW6" s="1">
        <f t="shared" si="23"/>
        <v>1300000</v>
      </c>
      <c r="BY6" s="1">
        <f>+datos!JF1</f>
        <v>266</v>
      </c>
      <c r="BZ6" s="1">
        <f>+SUM(CK6:CV6)</f>
        <v>164.65637065999999</v>
      </c>
      <c r="CA6" s="1">
        <f>+SUM(CW6:DH6)</f>
        <v>141.39594065</v>
      </c>
      <c r="CC6" s="1">
        <f>+datos!KK1</f>
        <v>297</v>
      </c>
      <c r="CD6" s="2">
        <f t="shared" ref="CD6:CD24" si="24">+SUM(DJ6:DU6)</f>
        <v>82.867863970000002</v>
      </c>
      <c r="CE6" s="2">
        <f t="shared" ref="CE6:CE24" si="25">+SUM(DV6:EG6)</f>
        <v>76.268424360000012</v>
      </c>
      <c r="CG6" s="1">
        <f>+datos!HS1</f>
        <v>227</v>
      </c>
      <c r="CH6" s="1">
        <f t="shared" ref="CH6:CH24" si="26">+EI6</f>
        <v>0</v>
      </c>
      <c r="CI6" s="1">
        <f t="shared" ref="CI6:CI24" si="27">+EU6</f>
        <v>0</v>
      </c>
      <c r="CK6" s="1">
        <f t="shared" ref="CK6:CZ21" si="28">+VLOOKUP(CK$1,ran_dat,$BY6,FALSE)</f>
        <v>5.0945514700000007</v>
      </c>
      <c r="CL6" s="1">
        <f t="shared" si="28"/>
        <v>7.3093251500000047</v>
      </c>
      <c r="CM6" s="1">
        <f t="shared" si="28"/>
        <v>6.7908860800000017</v>
      </c>
      <c r="CN6" s="1">
        <f t="shared" si="28"/>
        <v>8.6490729999999978</v>
      </c>
      <c r="CO6" s="1">
        <f t="shared" si="28"/>
        <v>6.462363250000001</v>
      </c>
      <c r="CP6" s="1">
        <f t="shared" si="28"/>
        <v>10.78045292</v>
      </c>
      <c r="CQ6" s="1">
        <f t="shared" si="28"/>
        <v>14.805583519999997</v>
      </c>
      <c r="CR6" s="1">
        <f t="shared" si="28"/>
        <v>17.696202909999993</v>
      </c>
      <c r="CS6" s="1">
        <f t="shared" si="28"/>
        <v>21.922029789999996</v>
      </c>
      <c r="CT6" s="1">
        <f t="shared" si="28"/>
        <v>19.20970509</v>
      </c>
      <c r="CU6" s="1">
        <f t="shared" si="28"/>
        <v>24.496622440000007</v>
      </c>
      <c r="CV6" s="1">
        <f t="shared" si="28"/>
        <v>21.439575039999998</v>
      </c>
      <c r="CW6" s="1">
        <f t="shared" si="28"/>
        <v>14.529816729999997</v>
      </c>
      <c r="CX6" s="1">
        <f t="shared" si="28"/>
        <v>18.258202080000007</v>
      </c>
      <c r="CY6" s="1">
        <f t="shared" si="28"/>
        <v>18.510441480000001</v>
      </c>
      <c r="CZ6" s="1">
        <f t="shared" si="28"/>
        <v>7.7064561400000011</v>
      </c>
      <c r="DA6" s="1">
        <f t="shared" ref="DA6:DH21" si="29">+VLOOKUP(DA$1,ran_dat,$BY6,FALSE)</f>
        <v>8.1062574399999985</v>
      </c>
      <c r="DB6" s="1">
        <f t="shared" si="29"/>
        <v>8.4463773399999997</v>
      </c>
      <c r="DC6" s="1">
        <f t="shared" si="29"/>
        <v>15.019774559999998</v>
      </c>
      <c r="DD6" s="1">
        <f t="shared" si="29"/>
        <v>14.398572559999998</v>
      </c>
      <c r="DE6" s="1">
        <f t="shared" si="29"/>
        <v>16.61514231</v>
      </c>
      <c r="DF6" s="1">
        <f t="shared" si="29"/>
        <v>14.3155891</v>
      </c>
      <c r="DG6" s="1">
        <f t="shared" si="29"/>
        <v>3.12980459</v>
      </c>
      <c r="DH6" s="1">
        <f t="shared" si="29"/>
        <v>2.3595063199999995</v>
      </c>
      <c r="DJ6" s="1">
        <f t="shared" ref="DJ6:DY21" si="30">+VLOOKUP(DJ$1,ran_dat,$CC6,FALSE)</f>
        <v>9.66008332</v>
      </c>
      <c r="DK6" s="1">
        <f t="shared" si="30"/>
        <v>10.467826709999999</v>
      </c>
      <c r="DL6" s="1">
        <f t="shared" si="30"/>
        <v>7.9836210200000002</v>
      </c>
      <c r="DM6" s="1">
        <f t="shared" si="30"/>
        <v>9.7355070900000005</v>
      </c>
      <c r="DN6" s="1">
        <f t="shared" si="30"/>
        <v>7.6983577599999995</v>
      </c>
      <c r="DO6" s="1">
        <f t="shared" si="30"/>
        <v>8.003268180000001</v>
      </c>
      <c r="DP6" s="1">
        <f t="shared" si="30"/>
        <v>5.6011509000000004</v>
      </c>
      <c r="DQ6" s="1">
        <f t="shared" si="30"/>
        <v>5.8112020999999991</v>
      </c>
      <c r="DR6" s="1">
        <f t="shared" si="30"/>
        <v>6.3060080799999998</v>
      </c>
      <c r="DS6" s="1">
        <f t="shared" si="30"/>
        <v>3.7690183000000008</v>
      </c>
      <c r="DT6" s="1">
        <f t="shared" si="30"/>
        <v>4.5361736000000006</v>
      </c>
      <c r="DU6" s="1">
        <f t="shared" si="30"/>
        <v>3.2956469100000003</v>
      </c>
      <c r="DV6" s="1">
        <f t="shared" si="30"/>
        <v>4.5516111999999991</v>
      </c>
      <c r="DW6" s="1">
        <f t="shared" si="30"/>
        <v>3.9375346699999998</v>
      </c>
      <c r="DX6" s="1">
        <f t="shared" si="30"/>
        <v>4.8118603300000009</v>
      </c>
      <c r="DY6" s="1">
        <f t="shared" si="30"/>
        <v>5.2295233099999994</v>
      </c>
      <c r="DZ6" s="1">
        <f t="shared" ref="DZ6:EG20" si="31">+VLOOKUP(DZ$1,ran_dat,$CC6,FALSE)</f>
        <v>7.4159317900000001</v>
      </c>
      <c r="EA6" s="1">
        <f t="shared" si="31"/>
        <v>3.5587731599999999</v>
      </c>
      <c r="EB6" s="1">
        <f t="shared" si="31"/>
        <v>6.9479693099999986</v>
      </c>
      <c r="EC6" s="1">
        <f t="shared" si="31"/>
        <v>7.5746309199999997</v>
      </c>
      <c r="ED6" s="1">
        <f t="shared" si="31"/>
        <v>8.1137987799999998</v>
      </c>
      <c r="EE6" s="1">
        <f t="shared" si="31"/>
        <v>9.2876289100000005</v>
      </c>
      <c r="EF6" s="1">
        <f t="shared" si="31"/>
        <v>7.69051375</v>
      </c>
      <c r="EG6" s="1">
        <f t="shared" si="31"/>
        <v>7.1486482300000009</v>
      </c>
      <c r="EI6" s="14">
        <f t="shared" ref="EI6:EX21" si="32">+VLOOKUP(EI$1,ran_dat,$CG6,FALSE)</f>
        <v>0</v>
      </c>
      <c r="EJ6" s="14">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si="32"/>
        <v>0</v>
      </c>
      <c r="EY6" s="1">
        <f t="shared" ref="EY6:FF20" si="33">+VLOOKUP(EY$1,ran_dat,$CG6,FALSE)</f>
        <v>0</v>
      </c>
      <c r="EZ6" s="1">
        <f t="shared" si="33"/>
        <v>0</v>
      </c>
      <c r="FA6" s="1">
        <f t="shared" si="33"/>
        <v>0</v>
      </c>
      <c r="FB6" s="1">
        <f t="shared" si="33"/>
        <v>0</v>
      </c>
      <c r="FC6" s="1">
        <f t="shared" si="33"/>
        <v>0</v>
      </c>
      <c r="FD6" s="1">
        <f t="shared" si="33"/>
        <v>0</v>
      </c>
      <c r="FE6" s="1">
        <f t="shared" si="33"/>
        <v>0</v>
      </c>
      <c r="FF6" s="1">
        <f t="shared" si="33"/>
        <v>0</v>
      </c>
      <c r="FH6" s="162">
        <f t="shared" ref="FH6:FH24" si="34">+I6-K6</f>
        <v>-2.9203333619473026E-2</v>
      </c>
    </row>
    <row r="7" spans="1:164" ht="18.75" customHeight="1">
      <c r="A7" s="244" t="s">
        <v>13</v>
      </c>
      <c r="B7" s="247"/>
      <c r="C7" s="228">
        <f t="shared" si="5"/>
        <v>-0.33</v>
      </c>
      <c r="D7" s="229">
        <v>-1</v>
      </c>
      <c r="E7" s="253">
        <f t="shared" si="6"/>
        <v>0</v>
      </c>
      <c r="F7" s="254">
        <f t="shared" si="7"/>
        <v>-1.5012008479314165E-2</v>
      </c>
      <c r="G7" s="253">
        <f t="shared" si="8"/>
        <v>-5.0785129886346425E-2</v>
      </c>
      <c r="H7" s="254">
        <f t="shared" si="9"/>
        <v>5.0785129886346425E-2</v>
      </c>
      <c r="I7" s="253">
        <f t="shared" si="10"/>
        <v>-0.28209379854124972</v>
      </c>
      <c r="J7" s="254">
        <f t="shared" si="11"/>
        <v>-0.71688040736634062</v>
      </c>
      <c r="K7" s="253">
        <f t="shared" si="12"/>
        <v>0.19804518257708303</v>
      </c>
      <c r="L7" s="254">
        <f t="shared" si="13"/>
        <v>-0.48013898111833275</v>
      </c>
      <c r="M7" s="255"/>
      <c r="N7" s="256">
        <v>1</v>
      </c>
      <c r="O7" s="253">
        <f t="shared" ref="O7:O24" si="35">IFERROR(+BR7/BS7-1,"")</f>
        <v>0.14999999999999991</v>
      </c>
      <c r="P7" s="257">
        <f t="shared" ref="P7:P24" si="36">+O7</f>
        <v>0.14999999999999991</v>
      </c>
      <c r="Q7" s="253">
        <f t="shared" si="14"/>
        <v>0.23076923076923084</v>
      </c>
      <c r="R7" s="257">
        <f t="shared" ref="R7:R24" si="37">+Q7</f>
        <v>0.23076923076923084</v>
      </c>
      <c r="S7" s="255"/>
      <c r="T7" s="256">
        <v>-1</v>
      </c>
      <c r="U7" s="253">
        <f t="shared" si="15"/>
        <v>0.75623035531717253</v>
      </c>
      <c r="V7" s="258">
        <f t="shared" si="16"/>
        <v>0.75623035531717253</v>
      </c>
      <c r="W7" s="253">
        <f t="shared" ref="W7:W24" si="38">IFERROR(IF(CD7&lt;0.5,"",+CD7/CE7-1),"")</f>
        <v>0.99939241656827926</v>
      </c>
      <c r="X7" s="258">
        <f t="shared" si="17"/>
        <v>0.99939241656827926</v>
      </c>
      <c r="Y7" s="253">
        <f t="shared" si="18"/>
        <v>0</v>
      </c>
      <c r="Z7" s="258">
        <f t="shared" si="19"/>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2</v>
      </c>
      <c r="AQ7" s="28">
        <f>VLOOKUP($A7,historia!$A$5:$CM$24,+HLOOKUP(AQ$2,historia!$A$3:$EC$4,2,FALSE),FALSE)</f>
        <v>4</v>
      </c>
      <c r="AR7" s="28">
        <f>VLOOKUP($A7,historia!$A$5:$CM$24,+HLOOKUP(AR$2,historia!$A$3:$EC$4,2,FALSE),FALSE)</f>
        <v>4</v>
      </c>
      <c r="AS7" s="28">
        <f>VLOOKUP($A7,historia!$A$5:$CM$24,+HLOOKUP(AS$2,historia!$A$3:$EC$4,2,FALSE),FALSE)</f>
        <v>4</v>
      </c>
      <c r="AT7" s="58">
        <f>VLOOKUP($A7,historia!$A$5:$CM$24,+HLOOKUP(AT$2,historia!$A$3:$EC$4,2,FALSE),FALSE)</f>
        <v>4</v>
      </c>
      <c r="AU7" s="58">
        <f>VLOOKUP($A7,historia!$A$5:$CM$24,+HLOOKUP(AU$2,historia!$A$3:$EC$4,2,FALSE),FALSE)</f>
        <v>4</v>
      </c>
      <c r="AV7" s="58">
        <f>VLOOKUP($A7,historia!$A$5:$CM$24,+HLOOKUP(AV$2,historia!$A$3:$EC$4,2,FALSE),FALSE)</f>
        <v>4</v>
      </c>
      <c r="AW7" s="58">
        <f>VLOOKUP($A7,historia!$A$5:$CM$24,+HLOOKUP(AW$2,historia!$A$3:$EC$4,2,FALSE),FALSE)</f>
        <v>4</v>
      </c>
      <c r="AX7" s="58">
        <f>VLOOKUP($A7,historia!$A$5:$CM$24,+HLOOKUP(AX$2,historia!$A$3:$EC$4,2,FALSE),FALSE)</f>
        <v>4</v>
      </c>
      <c r="AY7" s="58">
        <f>VLOOKUP($A7,historia!$A$5:$CM$24,+HLOOKUP(AY$2,historia!$A$3:$EC$4,2,FALSE),FALSE)</f>
        <v>4</v>
      </c>
      <c r="AZ7" s="58">
        <f>VLOOKUP($A7,historia!$A$5:$CM$24,+HLOOKUP(AZ$2,historia!$A$3:$EC$4,2,FALSE),FALSE)</f>
        <v>4</v>
      </c>
      <c r="BA7" s="58">
        <f>VLOOKUP($A7,historia!$A$5:$CM$24,+HLOOKUP(BA$2,historia!$A$3:$EC$4,2,FALSE),FALSE)</f>
        <v>4</v>
      </c>
      <c r="BB7" s="58"/>
      <c r="BC7" s="58"/>
      <c r="BD7" s="286">
        <v>4</v>
      </c>
      <c r="BE7" t="str">
        <f t="shared" si="20"/>
        <v>Arroz</v>
      </c>
      <c r="BF7">
        <f>+datos!R1</f>
        <v>18</v>
      </c>
      <c r="BG7" s="2" t="str">
        <f t="shared" si="4"/>
        <v>$/t</v>
      </c>
      <c r="BH7" s="2">
        <f t="shared" si="4"/>
        <v>230000</v>
      </c>
      <c r="BI7" s="2">
        <f t="shared" si="4"/>
        <v>230000</v>
      </c>
      <c r="BJ7" s="2">
        <f t="shared" si="4"/>
        <v>320376.11533742328</v>
      </c>
      <c r="BL7">
        <f>+datos!BZ1</f>
        <v>78</v>
      </c>
      <c r="BM7" s="2">
        <f t="shared" si="21"/>
        <v>9306.2658047078057</v>
      </c>
      <c r="BN7" s="2">
        <f t="shared" si="21"/>
        <v>9804.1719506496211</v>
      </c>
      <c r="BO7" s="2">
        <f t="shared" si="21"/>
        <v>7767.8754858721986</v>
      </c>
      <c r="BQ7" s="1">
        <f>+datos!DM1</f>
        <v>117</v>
      </c>
      <c r="BR7" s="1">
        <f t="shared" si="22"/>
        <v>230000</v>
      </c>
      <c r="BS7" s="1">
        <f t="shared" si="22"/>
        <v>200000</v>
      </c>
      <c r="BU7" s="1">
        <f>+datos!FH1</f>
        <v>164</v>
      </c>
      <c r="BV7" s="1">
        <f t="shared" si="23"/>
        <v>1600000</v>
      </c>
      <c r="BW7" s="1">
        <f t="shared" si="23"/>
        <v>1300000</v>
      </c>
      <c r="BY7" s="1">
        <f>+datos!JG1</f>
        <v>267</v>
      </c>
      <c r="BZ7" s="1">
        <f t="shared" ref="BZ7:BZ24" si="39">+SUM(CK7:CV7)</f>
        <v>398.64408614000001</v>
      </c>
      <c r="CA7" s="1">
        <f t="shared" ref="CA7:CA24" si="40">+SUM(CW7:DH7)</f>
        <v>226.98849551999999</v>
      </c>
      <c r="CC7" s="1">
        <f>+datos!KL1</f>
        <v>298</v>
      </c>
      <c r="CD7" s="2">
        <f t="shared" si="24"/>
        <v>4.8592878799999992</v>
      </c>
      <c r="CE7" s="2">
        <f t="shared" si="25"/>
        <v>2.4303822699999995</v>
      </c>
      <c r="CG7" s="1">
        <f>+datos!HU1</f>
        <v>229</v>
      </c>
      <c r="CH7" s="1">
        <f t="shared" si="26"/>
        <v>700000</v>
      </c>
      <c r="CI7" s="1">
        <f t="shared" si="27"/>
        <v>700000</v>
      </c>
      <c r="CK7" s="1">
        <f t="shared" si="28"/>
        <v>39.974175860000003</v>
      </c>
      <c r="CL7" s="1">
        <f t="shared" si="28"/>
        <v>35.910188569999995</v>
      </c>
      <c r="CM7" s="1">
        <f t="shared" si="28"/>
        <v>30.652184479999995</v>
      </c>
      <c r="CN7" s="1">
        <f t="shared" si="28"/>
        <v>94.896967090000004</v>
      </c>
      <c r="CO7" s="1">
        <f t="shared" si="28"/>
        <v>22.007364089999996</v>
      </c>
      <c r="CP7" s="1">
        <f t="shared" si="28"/>
        <v>13.652213600000001</v>
      </c>
      <c r="CQ7" s="1">
        <f t="shared" si="28"/>
        <v>21.789652239999999</v>
      </c>
      <c r="CR7" s="1">
        <f t="shared" si="28"/>
        <v>22.506187060000002</v>
      </c>
      <c r="CS7" s="1">
        <f t="shared" si="28"/>
        <v>26.198510359999997</v>
      </c>
      <c r="CT7" s="1">
        <f t="shared" si="28"/>
        <v>16.658344929999998</v>
      </c>
      <c r="CU7" s="1">
        <f t="shared" si="28"/>
        <v>38.799980059999996</v>
      </c>
      <c r="CV7" s="1">
        <f t="shared" si="28"/>
        <v>35.598317799999997</v>
      </c>
      <c r="CW7" s="1">
        <f t="shared" si="28"/>
        <v>32.785113670000001</v>
      </c>
      <c r="CX7" s="1">
        <f t="shared" si="28"/>
        <v>22.35722878</v>
      </c>
      <c r="CY7" s="1">
        <f t="shared" si="28"/>
        <v>34.376458229999997</v>
      </c>
      <c r="CZ7" s="1">
        <f t="shared" si="28"/>
        <v>13.355622539999999</v>
      </c>
      <c r="DA7" s="1">
        <f t="shared" si="29"/>
        <v>10.68224592</v>
      </c>
      <c r="DB7" s="1">
        <f t="shared" si="29"/>
        <v>15.82785018</v>
      </c>
      <c r="DC7" s="1">
        <f t="shared" si="29"/>
        <v>16.180063639999997</v>
      </c>
      <c r="DD7" s="1">
        <f t="shared" si="29"/>
        <v>11.823193960000001</v>
      </c>
      <c r="DE7" s="1">
        <f t="shared" si="29"/>
        <v>12.24327484</v>
      </c>
      <c r="DF7" s="1">
        <f t="shared" si="29"/>
        <v>9.600226039999999</v>
      </c>
      <c r="DG7" s="1">
        <f t="shared" si="29"/>
        <v>26.338491399999999</v>
      </c>
      <c r="DH7" s="1">
        <f t="shared" si="29"/>
        <v>21.418726320000001</v>
      </c>
      <c r="DJ7" s="1">
        <f t="shared" si="30"/>
        <v>0.20050375000000001</v>
      </c>
      <c r="DK7" s="1">
        <f t="shared" si="30"/>
        <v>0.34624290000000002</v>
      </c>
      <c r="DL7" s="1">
        <f t="shared" si="30"/>
        <v>0.15613090000000002</v>
      </c>
      <c r="DM7" s="1">
        <f t="shared" si="30"/>
        <v>0.47281664000000007</v>
      </c>
      <c r="DN7" s="1">
        <f t="shared" si="30"/>
        <v>0.84812041999999999</v>
      </c>
      <c r="DO7" s="1">
        <f t="shared" si="30"/>
        <v>0.25440681999999998</v>
      </c>
      <c r="DP7" s="1">
        <f t="shared" si="30"/>
        <v>0.7620908099999999</v>
      </c>
      <c r="DQ7" s="1">
        <f t="shared" si="30"/>
        <v>0.50490091999999998</v>
      </c>
      <c r="DR7" s="1">
        <f t="shared" si="30"/>
        <v>0.40961613000000002</v>
      </c>
      <c r="DS7" s="1">
        <f t="shared" si="30"/>
        <v>0.23587240000000001</v>
      </c>
      <c r="DT7" s="1">
        <f t="shared" si="30"/>
        <v>0.18557204999999999</v>
      </c>
      <c r="DU7" s="1">
        <f t="shared" si="30"/>
        <v>0.48301414000000004</v>
      </c>
      <c r="DV7" s="1">
        <f t="shared" si="30"/>
        <v>0.23845672000000001</v>
      </c>
      <c r="DW7" s="1">
        <f t="shared" si="30"/>
        <v>0.50080292000000004</v>
      </c>
      <c r="DX7" s="1">
        <f t="shared" si="30"/>
        <v>8.6091799999999996E-2</v>
      </c>
      <c r="DY7" s="1">
        <f t="shared" si="30"/>
        <v>0.22536</v>
      </c>
      <c r="DZ7" s="1">
        <f t="shared" si="31"/>
        <v>0.8256</v>
      </c>
      <c r="EA7" s="1">
        <f t="shared" si="31"/>
        <v>3.973985E-2</v>
      </c>
      <c r="EB7" s="1">
        <f t="shared" si="31"/>
        <v>3.3462720000000001E-2</v>
      </c>
      <c r="EC7" s="1">
        <f t="shared" si="31"/>
        <v>0.19098301000000001</v>
      </c>
      <c r="ED7" s="1">
        <f t="shared" si="31"/>
        <v>0.10767879</v>
      </c>
      <c r="EE7" s="1">
        <f t="shared" si="31"/>
        <v>5.5773490000000002E-2</v>
      </c>
      <c r="EF7" s="1">
        <f t="shared" si="31"/>
        <v>8.7189080000000002E-2</v>
      </c>
      <c r="EG7" s="1">
        <f t="shared" si="31"/>
        <v>3.9243889999999997E-2</v>
      </c>
      <c r="EI7" s="14">
        <f t="shared" si="32"/>
        <v>700000</v>
      </c>
      <c r="EJ7" s="14">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2"/>
        <v>700000</v>
      </c>
      <c r="EY7" s="1">
        <f t="shared" si="33"/>
        <v>700000</v>
      </c>
      <c r="EZ7" s="1">
        <f t="shared" si="33"/>
        <v>700000</v>
      </c>
      <c r="FA7" s="1">
        <f t="shared" si="33"/>
        <v>700000</v>
      </c>
      <c r="FB7" s="1">
        <f t="shared" si="33"/>
        <v>700000</v>
      </c>
      <c r="FC7" s="1">
        <f t="shared" si="33"/>
        <v>700000</v>
      </c>
      <c r="FD7" s="1">
        <f t="shared" si="33"/>
        <v>700000</v>
      </c>
      <c r="FE7" s="1">
        <f t="shared" si="33"/>
        <v>700000</v>
      </c>
      <c r="FF7" s="1">
        <f t="shared" si="33"/>
        <v>700000</v>
      </c>
      <c r="FH7" s="162">
        <f t="shared" si="34"/>
        <v>-0.48013898111833275</v>
      </c>
    </row>
    <row r="8" spans="1:164" ht="18.75" customHeight="1">
      <c r="A8" s="243" t="s">
        <v>215</v>
      </c>
      <c r="B8" s="246"/>
      <c r="C8" s="156">
        <f t="shared" si="5"/>
        <v>-0.33</v>
      </c>
      <c r="D8" s="198">
        <v>0</v>
      </c>
      <c r="E8" s="248">
        <f t="shared" si="6"/>
        <v>-1.4824109466450186E-2</v>
      </c>
      <c r="F8" s="249">
        <f t="shared" si="7"/>
        <v>-2.9836117945764351E-2</v>
      </c>
      <c r="G8" s="248">
        <f t="shared" si="8"/>
        <v>-7.3022339584474238E-2</v>
      </c>
      <c r="H8" s="249">
        <f t="shared" si="9"/>
        <v>5.8198230118024052E-2</v>
      </c>
      <c r="I8" s="248">
        <f t="shared" si="10"/>
        <v>0.62131590556213578</v>
      </c>
      <c r="J8" s="249">
        <f t="shared" si="11"/>
        <v>0.18652929673704488</v>
      </c>
      <c r="K8" s="248">
        <f t="shared" si="12"/>
        <v>0.3147259635724502</v>
      </c>
      <c r="L8" s="249">
        <f t="shared" si="13"/>
        <v>0.30658994198968559</v>
      </c>
      <c r="M8" s="250"/>
      <c r="N8" s="24">
        <v>0</v>
      </c>
      <c r="O8" s="248">
        <f t="shared" si="35"/>
        <v>2.437957800371704E-2</v>
      </c>
      <c r="P8" s="251">
        <f t="shared" si="36"/>
        <v>2.437957800371704E-2</v>
      </c>
      <c r="Q8" s="248">
        <f t="shared" si="14"/>
        <v>5.3141915143923857E-3</v>
      </c>
      <c r="R8" s="251">
        <f t="shared" si="37"/>
        <v>5.3141915143923857E-3</v>
      </c>
      <c r="S8" s="250"/>
      <c r="T8" s="24">
        <v>-1</v>
      </c>
      <c r="U8" s="248">
        <f t="shared" si="15"/>
        <v>-0.56771987173027827</v>
      </c>
      <c r="V8" s="252">
        <f t="shared" si="16"/>
        <v>-0.56771987173027827</v>
      </c>
      <c r="W8" s="248">
        <f t="shared" si="38"/>
        <v>0.11743006904559361</v>
      </c>
      <c r="X8" s="252">
        <f t="shared" si="17"/>
        <v>0.11743006904559361</v>
      </c>
      <c r="Y8" s="248">
        <f t="shared" si="18"/>
        <v>5.7117750439366066E-3</v>
      </c>
      <c r="Z8" s="252">
        <f t="shared" si="19"/>
        <v>5.7117750439366066E-3</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3</v>
      </c>
      <c r="AX8" s="58">
        <f>VLOOKUP($A8,historia!$A$5:$CM$24,+HLOOKUP(AX$2,historia!$A$3:$EC$4,2,FALSE),FALSE)</f>
        <v>3</v>
      </c>
      <c r="AY8" s="58">
        <f>VLOOKUP($A8,historia!$A$5:$CM$24,+HLOOKUP(AY$2,historia!$A$3:$EC$4,2,FALSE),FALSE)</f>
        <v>3</v>
      </c>
      <c r="AZ8" s="58">
        <f>VLOOKUP($A8,historia!$A$5:$CM$24,+HLOOKUP(AZ$2,historia!$A$3:$EC$4,2,FALSE),FALSE)</f>
        <v>3</v>
      </c>
      <c r="BA8" s="58">
        <f>VLOOKUP($A8,historia!$A$5:$CM$24,+HLOOKUP(BA$2,historia!$A$3:$EC$4,2,FALSE),FALSE)</f>
        <v>3</v>
      </c>
      <c r="BB8" s="58"/>
      <c r="BC8" s="58"/>
      <c r="BD8" s="286">
        <v>3</v>
      </c>
      <c r="BE8" t="str">
        <f t="shared" si="20"/>
        <v>Aves</v>
      </c>
      <c r="BF8">
        <f>+datos!BQ1</f>
        <v>69</v>
      </c>
      <c r="BG8" s="2" t="str">
        <f t="shared" si="4"/>
        <v>prom pond huevo-carne</v>
      </c>
      <c r="BH8" s="2">
        <f t="shared" si="4"/>
        <v>2333.8274999999999</v>
      </c>
      <c r="BI8" s="2">
        <f t="shared" si="4"/>
        <v>2368.9449999999997</v>
      </c>
      <c r="BJ8" s="2">
        <f t="shared" si="4"/>
        <v>1439.4650000000001</v>
      </c>
      <c r="BL8">
        <f>+datos!DG1</f>
        <v>111</v>
      </c>
      <c r="BM8" s="2">
        <f t="shared" si="21"/>
        <v>9780.8157074951341</v>
      </c>
      <c r="BN8" s="2">
        <f t="shared" si="21"/>
        <v>10551.296029195351</v>
      </c>
      <c r="BO8" s="2">
        <f t="shared" si="21"/>
        <v>7439.4329909771695</v>
      </c>
      <c r="BQ8" s="1">
        <f>+datos!EP1</f>
        <v>146</v>
      </c>
      <c r="BR8" s="1">
        <f t="shared" si="22"/>
        <v>9370</v>
      </c>
      <c r="BS8" s="1">
        <f t="shared" si="22"/>
        <v>9147</v>
      </c>
      <c r="BU8" s="1">
        <f>+datos!HM1</f>
        <v>221</v>
      </c>
      <c r="BV8" s="1">
        <f t="shared" si="23"/>
        <v>2377704.906299287</v>
      </c>
      <c r="BW8" s="1">
        <f t="shared" si="23"/>
        <v>2365136.12</v>
      </c>
      <c r="BY8" s="1">
        <f>+datos!KF1</f>
        <v>292</v>
      </c>
      <c r="BZ8" s="1">
        <f t="shared" si="39"/>
        <v>161.37737067</v>
      </c>
      <c r="CA8" s="1">
        <f t="shared" si="40"/>
        <v>373.31665306000002</v>
      </c>
      <c r="CC8" s="1">
        <f>+datos!LK1</f>
        <v>323</v>
      </c>
      <c r="CD8" s="2">
        <f t="shared" si="24"/>
        <v>40.575491229999997</v>
      </c>
      <c r="CE8" s="2">
        <f t="shared" si="25"/>
        <v>36.311436709999995</v>
      </c>
      <c r="CG8" s="1">
        <f>+datos!IL1</f>
        <v>246</v>
      </c>
      <c r="CH8" s="1">
        <f t="shared" si="26"/>
        <v>45.78</v>
      </c>
      <c r="CI8" s="1">
        <f t="shared" si="27"/>
        <v>45.52</v>
      </c>
      <c r="CK8" s="1">
        <f t="shared" si="28"/>
        <v>7.3007548499999997</v>
      </c>
      <c r="CL8" s="1">
        <f t="shared" si="28"/>
        <v>9.0051498100000007</v>
      </c>
      <c r="CM8" s="1">
        <f t="shared" si="28"/>
        <v>5.9149876199999998</v>
      </c>
      <c r="CN8" s="1">
        <f t="shared" si="28"/>
        <v>8.0094020700000002</v>
      </c>
      <c r="CO8" s="1">
        <f t="shared" si="28"/>
        <v>5.62476749</v>
      </c>
      <c r="CP8" s="1">
        <f t="shared" si="28"/>
        <v>10.456415849999999</v>
      </c>
      <c r="CQ8" s="1">
        <f t="shared" si="28"/>
        <v>8.1147673099999995</v>
      </c>
      <c r="CR8" s="1">
        <f t="shared" si="28"/>
        <v>20.968439010000004</v>
      </c>
      <c r="CS8" s="1">
        <f t="shared" si="28"/>
        <v>22.566015059999998</v>
      </c>
      <c r="CT8" s="1">
        <f t="shared" si="28"/>
        <v>20.944876220000001</v>
      </c>
      <c r="CU8" s="1">
        <f t="shared" si="28"/>
        <v>23.157032140000002</v>
      </c>
      <c r="CV8" s="1">
        <f t="shared" si="28"/>
        <v>19.314763240000005</v>
      </c>
      <c r="CW8" s="1">
        <f t="shared" si="28"/>
        <v>22.778743510000002</v>
      </c>
      <c r="CX8" s="1">
        <f t="shared" si="28"/>
        <v>39.062197300000001</v>
      </c>
      <c r="CY8" s="1">
        <f t="shared" si="28"/>
        <v>40.013868680000002</v>
      </c>
      <c r="CZ8" s="1">
        <f t="shared" si="28"/>
        <v>35.607742460000011</v>
      </c>
      <c r="DA8" s="1">
        <f t="shared" si="29"/>
        <v>32.51792974</v>
      </c>
      <c r="DB8" s="1">
        <f t="shared" si="29"/>
        <v>35.210116300000003</v>
      </c>
      <c r="DC8" s="1">
        <f t="shared" si="29"/>
        <v>30.603465830000005</v>
      </c>
      <c r="DD8" s="1">
        <f t="shared" si="29"/>
        <v>35.017556320000004</v>
      </c>
      <c r="DE8" s="1">
        <f t="shared" si="29"/>
        <v>24.343011479999998</v>
      </c>
      <c r="DF8" s="1">
        <f t="shared" si="29"/>
        <v>32.053320659999997</v>
      </c>
      <c r="DG8" s="1">
        <f t="shared" si="29"/>
        <v>25.827296739999998</v>
      </c>
      <c r="DH8" s="1">
        <f t="shared" si="29"/>
        <v>20.281404040000002</v>
      </c>
      <c r="DJ8" s="1">
        <f t="shared" si="30"/>
        <v>5.2475744900000008</v>
      </c>
      <c r="DK8" s="1">
        <f t="shared" si="30"/>
        <v>3.52939004</v>
      </c>
      <c r="DL8" s="1">
        <f t="shared" si="30"/>
        <v>1.41927303</v>
      </c>
      <c r="DM8" s="1">
        <f t="shared" si="30"/>
        <v>4.5240591299999995</v>
      </c>
      <c r="DN8" s="1">
        <f t="shared" si="30"/>
        <v>2.5037689800000003</v>
      </c>
      <c r="DO8" s="1">
        <f t="shared" si="30"/>
        <v>2.5011971499999999</v>
      </c>
      <c r="DP8" s="1">
        <f t="shared" si="30"/>
        <v>3.7585351000000005</v>
      </c>
      <c r="DQ8" s="1">
        <f t="shared" si="30"/>
        <v>4.0425458900000004</v>
      </c>
      <c r="DR8" s="1">
        <f t="shared" si="30"/>
        <v>3.59052696</v>
      </c>
      <c r="DS8" s="1">
        <f t="shared" si="30"/>
        <v>2.1766254799999998</v>
      </c>
      <c r="DT8" s="1">
        <f t="shared" si="30"/>
        <v>1.5903026900000001</v>
      </c>
      <c r="DU8" s="1">
        <f t="shared" si="30"/>
        <v>5.6916922899999998</v>
      </c>
      <c r="DV8" s="1">
        <f t="shared" si="30"/>
        <v>1.7294530099999998</v>
      </c>
      <c r="DW8" s="1">
        <f t="shared" si="30"/>
        <v>4.2232492399999995</v>
      </c>
      <c r="DX8" s="1">
        <f t="shared" si="30"/>
        <v>1.27466579</v>
      </c>
      <c r="DY8" s="1">
        <f t="shared" si="30"/>
        <v>1.8857013599999999</v>
      </c>
      <c r="DZ8" s="1">
        <f t="shared" si="31"/>
        <v>4.07849503</v>
      </c>
      <c r="EA8" s="1">
        <f t="shared" si="31"/>
        <v>2.60999925</v>
      </c>
      <c r="EB8" s="1">
        <f t="shared" si="31"/>
        <v>4.3280037599999996</v>
      </c>
      <c r="EC8" s="1">
        <f t="shared" si="31"/>
        <v>3.9253711099999995</v>
      </c>
      <c r="ED8" s="1">
        <f t="shared" si="31"/>
        <v>2.66724104</v>
      </c>
      <c r="EE8" s="1">
        <f t="shared" si="31"/>
        <v>1.3237541899999998</v>
      </c>
      <c r="EF8" s="1">
        <f t="shared" si="31"/>
        <v>4.0034089300000009</v>
      </c>
      <c r="EG8" s="1">
        <f t="shared" si="31"/>
        <v>4.2620939999999994</v>
      </c>
      <c r="EI8" s="14">
        <f t="shared" si="32"/>
        <v>45.78</v>
      </c>
      <c r="EJ8" s="14">
        <f t="shared" si="32"/>
        <v>45.91</v>
      </c>
      <c r="EK8" s="1">
        <f t="shared" si="32"/>
        <v>45.61</v>
      </c>
      <c r="EL8" s="1">
        <f t="shared" si="32"/>
        <v>45.61</v>
      </c>
      <c r="EM8" s="1">
        <f t="shared" si="32"/>
        <v>45.23</v>
      </c>
      <c r="EN8" s="1">
        <f t="shared" si="32"/>
        <v>45.2</v>
      </c>
      <c r="EO8" s="1">
        <f t="shared" si="32"/>
        <v>46.01</v>
      </c>
      <c r="EP8" s="1">
        <f t="shared" si="32"/>
        <v>44.44</v>
      </c>
      <c r="EQ8" s="1">
        <f t="shared" si="32"/>
        <v>42.29</v>
      </c>
      <c r="ER8" s="1">
        <f t="shared" si="32"/>
        <v>45.39</v>
      </c>
      <c r="ES8" s="1">
        <f t="shared" si="32"/>
        <v>45.32</v>
      </c>
      <c r="ET8" s="1">
        <f t="shared" si="32"/>
        <v>44.85</v>
      </c>
      <c r="EU8" s="1">
        <f t="shared" si="32"/>
        <v>45.52</v>
      </c>
      <c r="EV8" s="1">
        <f t="shared" si="32"/>
        <v>46.23</v>
      </c>
      <c r="EW8" s="1">
        <f t="shared" si="32"/>
        <v>46.23</v>
      </c>
      <c r="EX8" s="1">
        <f t="shared" si="32"/>
        <v>46.23</v>
      </c>
      <c r="EY8" s="1">
        <f t="shared" si="33"/>
        <v>48.52</v>
      </c>
      <c r="EZ8" s="1">
        <f t="shared" si="33"/>
        <v>45.85</v>
      </c>
      <c r="FA8" s="1">
        <f t="shared" si="33"/>
        <v>46.03</v>
      </c>
      <c r="FB8" s="1">
        <f t="shared" si="33"/>
        <v>46.13</v>
      </c>
      <c r="FC8" s="1">
        <f t="shared" si="33"/>
        <v>45.88</v>
      </c>
      <c r="FD8" s="1">
        <f t="shared" si="33"/>
        <v>46.09</v>
      </c>
      <c r="FE8" s="1">
        <f t="shared" si="33"/>
        <v>45.9</v>
      </c>
      <c r="FF8" s="1">
        <f t="shared" si="33"/>
        <v>46</v>
      </c>
      <c r="FH8" s="162">
        <f t="shared" si="34"/>
        <v>0.30658994198968559</v>
      </c>
    </row>
    <row r="9" spans="1:164" ht="18.75" customHeight="1">
      <c r="A9" s="244" t="s">
        <v>77</v>
      </c>
      <c r="B9" s="247"/>
      <c r="C9" s="228">
        <v>0</v>
      </c>
      <c r="D9" s="229">
        <v>1</v>
      </c>
      <c r="E9" s="253">
        <f t="shared" si="6"/>
        <v>-1.831861701153914E-2</v>
      </c>
      <c r="F9" s="254">
        <f t="shared" si="7"/>
        <v>-3.3330625490853305E-2</v>
      </c>
      <c r="G9" s="253">
        <f t="shared" si="8"/>
        <v>-8.9663645132079806E-3</v>
      </c>
      <c r="H9" s="254">
        <f t="shared" si="9"/>
        <v>-9.3522524983311595E-3</v>
      </c>
      <c r="I9" s="253">
        <f t="shared" si="10"/>
        <v>0.58763367826227264</v>
      </c>
      <c r="J9" s="254">
        <f t="shared" si="11"/>
        <v>0.15284706943718174</v>
      </c>
      <c r="K9" s="253">
        <f t="shared" si="12"/>
        <v>0.33947352192004354</v>
      </c>
      <c r="L9" s="254">
        <f t="shared" si="13"/>
        <v>0.2481601563422291</v>
      </c>
      <c r="M9" s="255"/>
      <c r="N9" s="256">
        <v>-1</v>
      </c>
      <c r="O9" s="253">
        <f t="shared" si="35"/>
        <v>-2.1957134195409456E-2</v>
      </c>
      <c r="P9" s="257">
        <f t="shared" si="36"/>
        <v>-2.1957134195409456E-2</v>
      </c>
      <c r="Q9" s="253">
        <f t="shared" si="14"/>
        <v>-2.5569041301336526E-3</v>
      </c>
      <c r="R9" s="257">
        <f t="shared" si="37"/>
        <v>-2.5569041301336526E-3</v>
      </c>
      <c r="S9" s="255"/>
      <c r="T9" s="256">
        <v>0</v>
      </c>
      <c r="U9" s="253">
        <f t="shared" si="15"/>
        <v>6.8198026713775173E-2</v>
      </c>
      <c r="V9" s="258">
        <f t="shared" si="16"/>
        <v>6.8198026713775173E-2</v>
      </c>
      <c r="W9" s="253">
        <f t="shared" si="38"/>
        <v>1.0366626241784203</v>
      </c>
      <c r="X9" s="258">
        <f t="shared" si="17"/>
        <v>1.0366626241784203</v>
      </c>
      <c r="Y9" s="253">
        <f t="shared" si="18"/>
        <v>1.2403416022773506E-2</v>
      </c>
      <c r="Z9" s="258">
        <f t="shared" si="19"/>
        <v>1.2403416022773506E-2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3</v>
      </c>
      <c r="AQ9" s="28">
        <f>VLOOKUP($A9,historia!$A$5:$CM$24,+HLOOKUP(AQ$2,historia!$A$3:$EC$4,2,FALSE),FALSE)</f>
        <v>3</v>
      </c>
      <c r="AR9" s="28">
        <f>VLOOKUP($A9,historia!$A$5:$CM$24,+HLOOKUP(AR$2,historia!$A$3:$EC$4,2,FALSE),FALSE)</f>
        <v>3</v>
      </c>
      <c r="AS9" s="28">
        <f>VLOOKUP($A9,historia!$A$5:$CM$24,+HLOOKUP(AS$2,historia!$A$3:$EC$4,2,FALSE),FALSE)</f>
        <v>3</v>
      </c>
      <c r="AT9" s="58">
        <f>VLOOKUP($A9,historia!$A$5:$CM$24,+HLOOKUP(AT$2,historia!$A$3:$EC$4,2,FALSE),FALSE)</f>
        <v>3</v>
      </c>
      <c r="AU9" s="58">
        <f>VLOOKUP($A9,historia!$A$5:$CM$24,+HLOOKUP(AU$2,historia!$A$3:$EC$4,2,FALSE),FALSE)</f>
        <v>3</v>
      </c>
      <c r="AV9" s="58">
        <f>VLOOKUP($A9,historia!$A$5:$CM$24,+HLOOKUP(AV$2,historia!$A$3:$EC$4,2,FALSE),FALSE)</f>
        <v>3</v>
      </c>
      <c r="AW9" s="58">
        <f>VLOOKUP($A9,historia!$A$5:$CM$24,+HLOOKUP(AW$2,historia!$A$3:$EC$4,2,FALSE),FALSE)</f>
        <v>3</v>
      </c>
      <c r="AX9" s="58">
        <f>VLOOKUP($A9,historia!$A$5:$CM$24,+HLOOKUP(AX$2,historia!$A$3:$EC$4,2,FALSE),FALSE)</f>
        <v>3</v>
      </c>
      <c r="AY9" s="58">
        <f>VLOOKUP($A9,historia!$A$5:$CM$24,+HLOOKUP(AY$2,historia!$A$3:$EC$4,2,FALSE),FALSE)</f>
        <v>2</v>
      </c>
      <c r="AZ9" s="58">
        <f>VLOOKUP($A9,historia!$A$5:$CM$24,+HLOOKUP(AZ$2,historia!$A$3:$EC$4,2,FALSE),FALSE)</f>
        <v>2</v>
      </c>
      <c r="BA9" s="58">
        <f>VLOOKUP($A9,historia!$A$5:$CM$24,+HLOOKUP(BA$2,historia!$A$3:$EC$4,2,FALSE),FALSE)</f>
        <v>2</v>
      </c>
      <c r="BB9" s="58"/>
      <c r="BC9" s="58"/>
      <c r="BD9" s="286">
        <v>2</v>
      </c>
      <c r="BE9" t="str">
        <f t="shared" si="20"/>
        <v>Bovinos</v>
      </c>
      <c r="BF9">
        <f>+datos!BM1</f>
        <v>65</v>
      </c>
      <c r="BG9" s="2" t="str">
        <f t="shared" si="4"/>
        <v>$/kg</v>
      </c>
      <c r="BH9" s="2">
        <f t="shared" si="4"/>
        <v>3217.5</v>
      </c>
      <c r="BI9" s="2">
        <f t="shared" si="4"/>
        <v>3277.54</v>
      </c>
      <c r="BJ9" s="2">
        <f t="shared" si="4"/>
        <v>2026.6010000000001</v>
      </c>
      <c r="BL9">
        <f>+datos!DB1</f>
        <v>106</v>
      </c>
      <c r="BM9" s="2">
        <f t="shared" si="21"/>
        <v>10450.837050958657</v>
      </c>
      <c r="BN9" s="2">
        <f t="shared" si="21"/>
        <v>10545.390869428205</v>
      </c>
      <c r="BO9" s="2">
        <f t="shared" si="21"/>
        <v>7802.1975648895977</v>
      </c>
      <c r="BQ9" s="1">
        <f>+datos!EH1</f>
        <v>138</v>
      </c>
      <c r="BR9" s="1">
        <f t="shared" si="22"/>
        <v>51624909</v>
      </c>
      <c r="BS9" s="1">
        <f t="shared" si="22"/>
        <v>52783892</v>
      </c>
      <c r="BU9" s="1">
        <f>+datos!HB1</f>
        <v>210</v>
      </c>
      <c r="BV9" s="1">
        <f t="shared" si="23"/>
        <v>3161744</v>
      </c>
      <c r="BW9" s="1">
        <f t="shared" si="23"/>
        <v>3169849</v>
      </c>
      <c r="BY9" s="1">
        <f>+datos!KG1</f>
        <v>293</v>
      </c>
      <c r="BZ9" s="1">
        <f t="shared" si="39"/>
        <v>4182.5648975699987</v>
      </c>
      <c r="CA9" s="1">
        <f t="shared" si="40"/>
        <v>3915.5332559799999</v>
      </c>
      <c r="CC9" s="1">
        <f>+datos!LL1</f>
        <v>324</v>
      </c>
      <c r="CD9" s="2">
        <f t="shared" si="24"/>
        <v>69.00997151</v>
      </c>
      <c r="CE9" s="2">
        <f t="shared" si="25"/>
        <v>33.883850320000001</v>
      </c>
      <c r="CG9" s="1">
        <f>+datos!IM1</f>
        <v>247</v>
      </c>
      <c r="CH9" s="1">
        <f t="shared" si="26"/>
        <v>49.79</v>
      </c>
      <c r="CI9" s="1">
        <f t="shared" si="27"/>
        <v>49.18</v>
      </c>
      <c r="CK9" s="1">
        <f t="shared" si="28"/>
        <v>389.02912699999996</v>
      </c>
      <c r="CL9" s="1">
        <f t="shared" si="28"/>
        <v>350.95842742999997</v>
      </c>
      <c r="CM9" s="1">
        <f t="shared" si="28"/>
        <v>275.41226476999998</v>
      </c>
      <c r="CN9" s="1">
        <f t="shared" si="28"/>
        <v>345.87150417999976</v>
      </c>
      <c r="CO9" s="1">
        <f t="shared" si="28"/>
        <v>330.34833823999992</v>
      </c>
      <c r="CP9" s="1">
        <f t="shared" si="28"/>
        <v>372.02787432000008</v>
      </c>
      <c r="CQ9" s="1">
        <f t="shared" si="28"/>
        <v>363.37275483999991</v>
      </c>
      <c r="CR9" s="1">
        <f t="shared" si="28"/>
        <v>373.60267999999996</v>
      </c>
      <c r="CS9" s="1">
        <f t="shared" si="28"/>
        <v>392.24577093999977</v>
      </c>
      <c r="CT9" s="1">
        <f t="shared" si="28"/>
        <v>370.00520762000008</v>
      </c>
      <c r="CU9" s="1">
        <f t="shared" si="28"/>
        <v>307.7105307999999</v>
      </c>
      <c r="CV9" s="1">
        <f t="shared" si="28"/>
        <v>311.98041742999999</v>
      </c>
      <c r="CW9" s="1">
        <f t="shared" si="28"/>
        <v>309.32423856999998</v>
      </c>
      <c r="CX9" s="1">
        <f t="shared" si="28"/>
        <v>316.28118749999999</v>
      </c>
      <c r="CY9" s="1">
        <f t="shared" si="28"/>
        <v>350.14414257999977</v>
      </c>
      <c r="CZ9" s="1">
        <f t="shared" si="28"/>
        <v>342.85888695999995</v>
      </c>
      <c r="DA9" s="1">
        <f t="shared" si="29"/>
        <v>324.84866957999998</v>
      </c>
      <c r="DB9" s="1">
        <f t="shared" si="29"/>
        <v>325.97502911999987</v>
      </c>
      <c r="DC9" s="1">
        <f t="shared" si="29"/>
        <v>321.39038838999994</v>
      </c>
      <c r="DD9" s="1">
        <f t="shared" si="29"/>
        <v>273.58963931999995</v>
      </c>
      <c r="DE9" s="1">
        <f t="shared" si="29"/>
        <v>292.91820976000002</v>
      </c>
      <c r="DF9" s="1">
        <f t="shared" si="29"/>
        <v>371.72573624</v>
      </c>
      <c r="DG9" s="1">
        <f t="shared" si="29"/>
        <v>378.12790802000001</v>
      </c>
      <c r="DH9" s="1">
        <f t="shared" si="29"/>
        <v>308.34921994000001</v>
      </c>
      <c r="DJ9" s="1">
        <f t="shared" si="30"/>
        <v>10.16779666</v>
      </c>
      <c r="DK9" s="1">
        <f t="shared" si="30"/>
        <v>11.009236750000001</v>
      </c>
      <c r="DL9" s="1">
        <f t="shared" si="30"/>
        <v>8.7569028099999997</v>
      </c>
      <c r="DM9" s="1">
        <f t="shared" si="30"/>
        <v>7.0677003599999999</v>
      </c>
      <c r="DN9" s="1">
        <f t="shared" si="30"/>
        <v>5.8644577399999989</v>
      </c>
      <c r="DO9" s="1">
        <f t="shared" si="30"/>
        <v>6.7460545699999992</v>
      </c>
      <c r="DP9" s="1">
        <f t="shared" si="30"/>
        <v>2.8647302900000002</v>
      </c>
      <c r="DQ9" s="1">
        <f t="shared" si="30"/>
        <v>3.9160438699999998</v>
      </c>
      <c r="DR9" s="1">
        <f t="shared" si="30"/>
        <v>2.7432327000000001</v>
      </c>
      <c r="DS9" s="1">
        <f t="shared" si="30"/>
        <v>3.5031505699999994</v>
      </c>
      <c r="DT9" s="1">
        <f t="shared" si="30"/>
        <v>3.9954732900000005</v>
      </c>
      <c r="DU9" s="1">
        <f t="shared" si="30"/>
        <v>2.3751918999999999</v>
      </c>
      <c r="DV9" s="1">
        <f t="shared" si="30"/>
        <v>3.3189943100000003</v>
      </c>
      <c r="DW9" s="1">
        <f t="shared" si="30"/>
        <v>3.6004889900000006</v>
      </c>
      <c r="DX9" s="1">
        <f t="shared" si="30"/>
        <v>2.2940615100000001</v>
      </c>
      <c r="DY9" s="1">
        <f t="shared" si="30"/>
        <v>1.2696953500000001</v>
      </c>
      <c r="DZ9" s="1">
        <f t="shared" si="31"/>
        <v>1.4792882700000001</v>
      </c>
      <c r="EA9" s="1">
        <f t="shared" si="31"/>
        <v>3.3410357400000001</v>
      </c>
      <c r="EB9" s="1">
        <f t="shared" si="31"/>
        <v>3.5927978000000009</v>
      </c>
      <c r="EC9" s="1">
        <f t="shared" si="31"/>
        <v>2.53051044</v>
      </c>
      <c r="ED9" s="1">
        <f t="shared" si="31"/>
        <v>2.3401237999999998</v>
      </c>
      <c r="EE9" s="1">
        <f t="shared" si="31"/>
        <v>2.4632922899999996</v>
      </c>
      <c r="EF9" s="1">
        <f t="shared" si="31"/>
        <v>3.8179622399999995</v>
      </c>
      <c r="EG9" s="1">
        <f t="shared" si="31"/>
        <v>3.8355995800000002</v>
      </c>
      <c r="EI9" s="14">
        <f t="shared" si="32"/>
        <v>49.79</v>
      </c>
      <c r="EJ9" s="14">
        <f t="shared" si="32"/>
        <v>49.86</v>
      </c>
      <c r="EK9" s="1">
        <f t="shared" si="32"/>
        <v>49.86</v>
      </c>
      <c r="EL9" s="1">
        <f t="shared" si="32"/>
        <v>48.75</v>
      </c>
      <c r="EM9" s="1">
        <f t="shared" si="32"/>
        <v>48.18</v>
      </c>
      <c r="EN9" s="1">
        <f t="shared" si="32"/>
        <v>47.81</v>
      </c>
      <c r="EO9" s="1">
        <f t="shared" si="32"/>
        <v>46.91</v>
      </c>
      <c r="EP9" s="1">
        <f t="shared" si="32"/>
        <v>47.74</v>
      </c>
      <c r="EQ9" s="1">
        <f t="shared" si="32"/>
        <v>47.38</v>
      </c>
      <c r="ER9" s="1">
        <f t="shared" si="32"/>
        <v>47.74</v>
      </c>
      <c r="ES9" s="1">
        <f t="shared" si="32"/>
        <v>47.8</v>
      </c>
      <c r="ET9" s="1">
        <f t="shared" si="32"/>
        <v>47.58</v>
      </c>
      <c r="EU9" s="1">
        <f t="shared" si="32"/>
        <v>49.18</v>
      </c>
      <c r="EV9" s="1">
        <f t="shared" si="32"/>
        <v>49.37</v>
      </c>
      <c r="EW9" s="1">
        <f t="shared" si="32"/>
        <v>49.38</v>
      </c>
      <c r="EX9" s="1">
        <f t="shared" si="32"/>
        <v>51.48</v>
      </c>
      <c r="EY9" s="1">
        <f t="shared" si="33"/>
        <v>52.06</v>
      </c>
      <c r="EZ9" s="1">
        <f t="shared" si="33"/>
        <v>42.59</v>
      </c>
      <c r="FA9" s="1">
        <f t="shared" si="33"/>
        <v>51.3</v>
      </c>
      <c r="FB9" s="1">
        <f t="shared" si="33"/>
        <v>51.15</v>
      </c>
      <c r="FC9" s="1">
        <f t="shared" si="33"/>
        <v>51.01</v>
      </c>
      <c r="FD9" s="1">
        <f t="shared" si="33"/>
        <v>51.15</v>
      </c>
      <c r="FE9" s="1">
        <f t="shared" si="33"/>
        <v>51.72</v>
      </c>
      <c r="FF9" s="1">
        <f t="shared" si="33"/>
        <v>51.32</v>
      </c>
      <c r="FH9" s="162">
        <f t="shared" si="34"/>
        <v>0.2481601563422291</v>
      </c>
    </row>
    <row r="10" spans="1:164" ht="28.8">
      <c r="A10" s="263" t="s">
        <v>221</v>
      </c>
      <c r="B10" s="246"/>
      <c r="C10" s="156">
        <f t="shared" si="5"/>
        <v>0</v>
      </c>
      <c r="D10" s="198">
        <v>-1</v>
      </c>
      <c r="E10" s="248">
        <f t="shared" si="6"/>
        <v>-0.10372454064546577</v>
      </c>
      <c r="F10" s="249">
        <f t="shared" si="7"/>
        <v>-0.11873654912477993</v>
      </c>
      <c r="G10" s="248">
        <f t="shared" si="8"/>
        <v>-2.0667659639185709E-2</v>
      </c>
      <c r="H10" s="249">
        <f t="shared" si="9"/>
        <v>-8.3056881006280059E-2</v>
      </c>
      <c r="I10" s="248">
        <f t="shared" si="10"/>
        <v>0.12888046103673911</v>
      </c>
      <c r="J10" s="249">
        <f t="shared" si="11"/>
        <v>-0.30590614778835179</v>
      </c>
      <c r="K10" s="248">
        <f t="shared" si="12"/>
        <v>0.26735246562572401</v>
      </c>
      <c r="L10" s="249">
        <f t="shared" si="13"/>
        <v>-0.1384720045889849</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1.4154793189656005</v>
      </c>
      <c r="V10" s="252">
        <f t="shared" si="16"/>
        <v>1.4154793189656005</v>
      </c>
      <c r="W10" s="248">
        <f t="shared" si="38"/>
        <v>0.62132501995267519</v>
      </c>
      <c r="X10" s="252">
        <f t="shared" si="17"/>
        <v>0.62132501995267519</v>
      </c>
      <c r="Y10" s="248">
        <f t="shared" si="18"/>
        <v>-1.4951121334099926E-2</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4</v>
      </c>
      <c r="AR10" s="28">
        <f>VLOOKUP($A10,historia!$A$5:$CM$24,+HLOOKUP(AR$2,historia!$A$3:$EC$4,2,FALSE),FALSE)</f>
        <v>4</v>
      </c>
      <c r="AS10" s="28">
        <f>VLOOKUP($A10,historia!$A$5:$CM$24,+HLOOKUP(AS$2,historia!$A$3:$EC$4,2,FALSE),FALSE)</f>
        <v>4</v>
      </c>
      <c r="AT10" s="58">
        <f>VLOOKUP($A10,historia!$A$5:$CM$24,+HLOOKUP(AT$2,historia!$A$3:$EC$4,2,FALSE),FALSE)</f>
        <v>4</v>
      </c>
      <c r="AU10" s="58">
        <f>VLOOKUP($A10,historia!$A$5:$CM$24,+HLOOKUP(AU$2,historia!$A$3:$EC$4,2,FALSE),FALSE)</f>
        <v>4</v>
      </c>
      <c r="AV10" s="58">
        <f>VLOOKUP($A10,historia!$A$5:$CM$24,+HLOOKUP(AV$2,historia!$A$3:$EC$4,2,FALSE),FALSE)</f>
        <v>4</v>
      </c>
      <c r="AW10" s="58">
        <f>VLOOKUP($A10,historia!$A$5:$CM$24,+HLOOKUP(AW$2,historia!$A$3:$EC$4,2,FALSE),FALSE)</f>
        <v>3</v>
      </c>
      <c r="AX10" s="58">
        <f>VLOOKUP($A10,historia!$A$5:$CM$24,+HLOOKUP(AX$2,historia!$A$3:$EC$4,2,FALSE),FALSE)</f>
        <v>4</v>
      </c>
      <c r="AY10" s="58">
        <f>VLOOKUP($A10,historia!$A$5:$CM$24,+HLOOKUP(AY$2,historia!$A$3:$EC$4,2,FALSE),FALSE)</f>
        <v>4</v>
      </c>
      <c r="AZ10" s="58">
        <f>VLOOKUP($A10,historia!$A$5:$CM$24,+HLOOKUP(AZ$2,historia!$A$3:$EC$4,2,FALSE),FALSE)</f>
        <v>4</v>
      </c>
      <c r="BA10" s="58">
        <f>VLOOKUP($A10,historia!$A$5:$CM$24,+HLOOKUP(BA$2,historia!$A$3:$EC$4,2,FALSE),FALSE)</f>
        <v>4</v>
      </c>
      <c r="BB10" s="58"/>
      <c r="BC10" s="58"/>
      <c r="BD10" s="286">
        <v>4</v>
      </c>
      <c r="BE10" t="str">
        <f t="shared" si="20"/>
        <v>Cítricos Dulces</v>
      </c>
      <c r="BF10">
        <f>+datos!AU1</f>
        <v>47</v>
      </c>
      <c r="BG10" s="2" t="str">
        <f t="shared" si="4"/>
        <v>$/caja 18kg</v>
      </c>
      <c r="BH10" s="2">
        <f t="shared" si="4"/>
        <v>12188.990310077519</v>
      </c>
      <c r="BI10" s="2">
        <f t="shared" si="4"/>
        <v>13599.602870813396</v>
      </c>
      <c r="BJ10" s="2">
        <f t="shared" si="4"/>
        <v>10797.414545454545</v>
      </c>
      <c r="BL10">
        <f>+datos!CX1</f>
        <v>102</v>
      </c>
      <c r="BM10" s="2">
        <f t="shared" si="21"/>
        <v>9613.3383999718117</v>
      </c>
      <c r="BN10" s="2">
        <f t="shared" si="21"/>
        <v>9816.2166241032955</v>
      </c>
      <c r="BO10" s="2">
        <f t="shared" si="21"/>
        <v>7585.3708109728286</v>
      </c>
      <c r="BQ10" s="1">
        <f>+datos!ER1</f>
        <v>148</v>
      </c>
      <c r="BR10" s="1">
        <f t="shared" si="22"/>
        <v>79911</v>
      </c>
      <c r="BS10" s="1">
        <f t="shared" si="22"/>
        <v>80248</v>
      </c>
      <c r="BU10" s="1">
        <f>+datos!GH1</f>
        <v>190</v>
      </c>
      <c r="BV10" s="1">
        <f t="shared" si="23"/>
        <v>1543162</v>
      </c>
      <c r="BW10" s="1">
        <f t="shared" si="23"/>
        <v>1734000</v>
      </c>
      <c r="BY10" s="1">
        <f>+datos!LT1</f>
        <v>332</v>
      </c>
      <c r="BZ10" s="1">
        <f t="shared" si="39"/>
        <v>134.40175792000002</v>
      </c>
      <c r="CA10" s="1">
        <f t="shared" si="40"/>
        <v>55.641858269999986</v>
      </c>
      <c r="CB10" s="1"/>
      <c r="CC10" s="1">
        <f>+datos!LX1</f>
        <v>336</v>
      </c>
      <c r="CD10" s="2">
        <f t="shared" si="24"/>
        <v>7.5233005200000003</v>
      </c>
      <c r="CE10" s="2">
        <f t="shared" si="25"/>
        <v>4.6402173700000002</v>
      </c>
      <c r="CG10" s="1">
        <f>+datos!IV1</f>
        <v>256</v>
      </c>
      <c r="CH10" s="1">
        <f t="shared" si="26"/>
        <v>17.130000000000003</v>
      </c>
      <c r="CI10" s="1">
        <f t="shared" si="27"/>
        <v>17.39</v>
      </c>
      <c r="CK10" s="1">
        <f t="shared" si="28"/>
        <v>9.5618942600000008</v>
      </c>
      <c r="CL10" s="1">
        <f t="shared" si="28"/>
        <v>5.6783096999999998</v>
      </c>
      <c r="CM10" s="1">
        <f t="shared" si="28"/>
        <v>3.5979505000000001</v>
      </c>
      <c r="CN10" s="1">
        <f t="shared" si="28"/>
        <v>11.482528969999997</v>
      </c>
      <c r="CO10" s="1">
        <f t="shared" si="28"/>
        <v>11.00321864</v>
      </c>
      <c r="CP10" s="1">
        <f t="shared" si="28"/>
        <v>18.05731771</v>
      </c>
      <c r="CQ10" s="1">
        <f t="shared" si="28"/>
        <v>12.23030908</v>
      </c>
      <c r="CR10" s="1">
        <f t="shared" si="28"/>
        <v>17.119922650000003</v>
      </c>
      <c r="CS10" s="1">
        <f t="shared" si="28"/>
        <v>15.255558669999997</v>
      </c>
      <c r="CT10" s="1">
        <f t="shared" si="28"/>
        <v>10.271936310000001</v>
      </c>
      <c r="CU10" s="1">
        <f t="shared" si="28"/>
        <v>14.041262509999999</v>
      </c>
      <c r="CV10" s="1">
        <f t="shared" si="28"/>
        <v>6.1015489199999999</v>
      </c>
      <c r="CW10" s="1">
        <f t="shared" si="28"/>
        <v>2.3063176799999998</v>
      </c>
      <c r="CX10" s="1">
        <f t="shared" si="28"/>
        <v>3.2785219999999997</v>
      </c>
      <c r="CY10" s="1">
        <f t="shared" si="28"/>
        <v>2.8661316999999999</v>
      </c>
      <c r="CZ10" s="1">
        <f t="shared" si="28"/>
        <v>3.3581509099999995</v>
      </c>
      <c r="DA10" s="1">
        <f t="shared" si="29"/>
        <v>4.3519123000000004</v>
      </c>
      <c r="DB10" s="1">
        <f t="shared" si="29"/>
        <v>3.6482140500000004</v>
      </c>
      <c r="DC10" s="1">
        <f t="shared" si="29"/>
        <v>7.8852843799999999</v>
      </c>
      <c r="DD10" s="1">
        <f t="shared" si="29"/>
        <v>4.4927710999999997</v>
      </c>
      <c r="DE10" s="1">
        <f t="shared" si="29"/>
        <v>3.9018705800000002</v>
      </c>
      <c r="DF10" s="1">
        <f t="shared" si="29"/>
        <v>10.723855849999996</v>
      </c>
      <c r="DG10" s="1">
        <f t="shared" si="29"/>
        <v>7.5775361799999992</v>
      </c>
      <c r="DH10" s="1">
        <f t="shared" si="29"/>
        <v>1.25129154</v>
      </c>
      <c r="DJ10" s="1">
        <f t="shared" si="30"/>
        <v>0.23953321999999996</v>
      </c>
      <c r="DK10" s="1">
        <f t="shared" si="30"/>
        <v>0.72731897999999995</v>
      </c>
      <c r="DL10" s="1">
        <f t="shared" si="30"/>
        <v>1.7947146899999999</v>
      </c>
      <c r="DM10" s="1">
        <f t="shared" si="30"/>
        <v>1.56764612</v>
      </c>
      <c r="DN10" s="1">
        <f t="shared" si="30"/>
        <v>1.4871383200000001</v>
      </c>
      <c r="DO10" s="1">
        <f t="shared" si="30"/>
        <v>0.7069763</v>
      </c>
      <c r="DP10" s="1">
        <f t="shared" si="30"/>
        <v>0.35634324000000006</v>
      </c>
      <c r="DQ10" s="1">
        <f t="shared" si="30"/>
        <v>0.22489865000000001</v>
      </c>
      <c r="DR10" s="1">
        <f t="shared" si="30"/>
        <v>0.17467300000000002</v>
      </c>
      <c r="DS10" s="1">
        <f t="shared" si="30"/>
        <v>7.2500000000000004E-3</v>
      </c>
      <c r="DT10" s="1">
        <f t="shared" si="30"/>
        <v>0.23680799999999999</v>
      </c>
      <c r="DU10" s="1">
        <f t="shared" si="30"/>
        <v>0</v>
      </c>
      <c r="DV10" s="1">
        <f t="shared" si="30"/>
        <v>0.3075099</v>
      </c>
      <c r="DW10" s="1">
        <f t="shared" si="30"/>
        <v>0.82950560000000007</v>
      </c>
      <c r="DX10" s="1">
        <f t="shared" si="30"/>
        <v>1.06715808</v>
      </c>
      <c r="DY10" s="1">
        <f t="shared" si="30"/>
        <v>0.57276656999999997</v>
      </c>
      <c r="DZ10" s="1">
        <f t="shared" si="31"/>
        <v>0.50591796999999994</v>
      </c>
      <c r="EA10" s="1">
        <f t="shared" si="31"/>
        <v>0.37369366000000004</v>
      </c>
      <c r="EB10" s="1">
        <f t="shared" si="31"/>
        <v>1.8223369999999999E-2</v>
      </c>
      <c r="EC10" s="1">
        <f t="shared" si="31"/>
        <v>0.26981320000000003</v>
      </c>
      <c r="ED10" s="1">
        <f t="shared" si="31"/>
        <v>0.36129600000000001</v>
      </c>
      <c r="EE10" s="1">
        <f t="shared" si="31"/>
        <v>3.0606999999999997E-4</v>
      </c>
      <c r="EF10" s="1">
        <f t="shared" si="31"/>
        <v>0.33402694999999999</v>
      </c>
      <c r="EG10" s="1">
        <f t="shared" si="31"/>
        <v>0</v>
      </c>
      <c r="EI10" s="14">
        <f t="shared" si="32"/>
        <v>17.130000000000003</v>
      </c>
      <c r="EJ10" s="14">
        <f t="shared" si="32"/>
        <v>17.130000000000003</v>
      </c>
      <c r="EK10" s="1">
        <f t="shared" si="32"/>
        <v>17.130000000000003</v>
      </c>
      <c r="EL10" s="1">
        <f t="shared" si="32"/>
        <v>17.130000000000003</v>
      </c>
      <c r="EM10" s="1">
        <f t="shared" si="32"/>
        <v>17.130000000000003</v>
      </c>
      <c r="EN10" s="1">
        <f t="shared" si="32"/>
        <v>17.39</v>
      </c>
      <c r="EO10" s="1">
        <f t="shared" si="32"/>
        <v>17.39</v>
      </c>
      <c r="EP10" s="1">
        <f t="shared" si="32"/>
        <v>17.39</v>
      </c>
      <c r="EQ10" s="1">
        <f t="shared" si="32"/>
        <v>17.39</v>
      </c>
      <c r="ER10" s="1">
        <f t="shared" si="32"/>
        <v>17.39</v>
      </c>
      <c r="ES10" s="1">
        <f t="shared" si="32"/>
        <v>17.39</v>
      </c>
      <c r="ET10" s="1">
        <f t="shared" si="32"/>
        <v>17.39</v>
      </c>
      <c r="EU10" s="1">
        <f t="shared" si="32"/>
        <v>17.39</v>
      </c>
      <c r="EV10" s="1">
        <f t="shared" si="32"/>
        <v>17.39</v>
      </c>
      <c r="EW10" s="1">
        <f t="shared" si="32"/>
        <v>17.39</v>
      </c>
      <c r="EX10" s="1">
        <f t="shared" si="32"/>
        <v>17.39</v>
      </c>
      <c r="EY10" s="1">
        <f t="shared" si="33"/>
        <v>17.39</v>
      </c>
      <c r="EZ10" s="1">
        <f t="shared" si="33"/>
        <v>19.739999999999998</v>
      </c>
      <c r="FA10" s="1">
        <f t="shared" si="33"/>
        <v>19.739999999999998</v>
      </c>
      <c r="FB10" s="1">
        <f t="shared" si="33"/>
        <v>19.739999999999998</v>
      </c>
      <c r="FC10" s="1">
        <f t="shared" si="33"/>
        <v>19.739999999999998</v>
      </c>
      <c r="FD10" s="1">
        <f t="shared" si="33"/>
        <v>19.739999999999998</v>
      </c>
      <c r="FE10" s="1">
        <f t="shared" si="33"/>
        <v>19.739999999999998</v>
      </c>
      <c r="FF10" s="1">
        <f t="shared" si="33"/>
        <v>19.739999999999998</v>
      </c>
      <c r="FH10" s="162">
        <f t="shared" si="34"/>
        <v>-0.1384720045889849</v>
      </c>
    </row>
    <row r="11" spans="1:164" ht="18.75" customHeight="1">
      <c r="A11" s="244" t="s">
        <v>116</v>
      </c>
      <c r="B11" s="247"/>
      <c r="C11" s="228">
        <f t="shared" si="5"/>
        <v>-0.33</v>
      </c>
      <c r="D11" s="229">
        <v>1</v>
      </c>
      <c r="E11" s="253">
        <f t="shared" si="6"/>
        <v>1.9202548110595963E-2</v>
      </c>
      <c r="F11" s="254">
        <f t="shared" si="7"/>
        <v>4.1905396312817977E-3</v>
      </c>
      <c r="G11" s="253">
        <f t="shared" si="8"/>
        <v>-2.1352851220167945E-2</v>
      </c>
      <c r="H11" s="254">
        <f t="shared" si="9"/>
        <v>4.0555399330763908E-2</v>
      </c>
      <c r="I11" s="253">
        <f t="shared" si="10"/>
        <v>9.7429589793774696E-2</v>
      </c>
      <c r="J11" s="254">
        <f t="shared" si="11"/>
        <v>-0.33735701903131621</v>
      </c>
      <c r="K11" s="253">
        <f t="shared" si="12"/>
        <v>0.34502063160533525</v>
      </c>
      <c r="L11" s="254">
        <f t="shared" si="13"/>
        <v>-0.24759104181156055</v>
      </c>
      <c r="M11" s="255"/>
      <c r="N11" s="256"/>
      <c r="O11" s="253" t="str">
        <f t="shared" si="35"/>
        <v/>
      </c>
      <c r="P11" s="257" t="str">
        <f t="shared" si="36"/>
        <v/>
      </c>
      <c r="Q11" s="253">
        <f t="shared" si="14"/>
        <v>0</v>
      </c>
      <c r="R11" s="257">
        <f t="shared" si="37"/>
        <v>0</v>
      </c>
      <c r="S11" s="255"/>
      <c r="T11" s="24">
        <v>-2</v>
      </c>
      <c r="U11" s="253">
        <f t="shared" si="15"/>
        <v>-0.42919138940407431</v>
      </c>
      <c r="V11" s="258">
        <f t="shared" si="16"/>
        <v>-0.42919138940407431</v>
      </c>
      <c r="W11" s="253">
        <f t="shared" si="38"/>
        <v>-0.1942319255623588</v>
      </c>
      <c r="X11" s="258">
        <f t="shared" si="17"/>
        <v>-0.1942319255623588</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3</v>
      </c>
      <c r="AX11" s="58">
        <f>VLOOKUP($A11,historia!$A$5:$CM$24,+HLOOKUP(AX$2,historia!$A$3:$EC$4,2,FALSE),FALSE)</f>
        <v>3</v>
      </c>
      <c r="AY11" s="58">
        <f>VLOOKUP($A11,historia!$A$5:$CM$24,+HLOOKUP(AY$2,historia!$A$3:$EC$4,2,FALSE),FALSE)</f>
        <v>3</v>
      </c>
      <c r="AZ11" s="58">
        <f>VLOOKUP($A11,historia!$A$5:$CM$24,+HLOOKUP(AZ$2,historia!$A$3:$EC$4,2,FALSE),FALSE)</f>
        <v>3</v>
      </c>
      <c r="BA11" s="58">
        <f>VLOOKUP($A11,historia!$A$5:$CM$24,+HLOOKUP(BA$2,historia!$A$3:$EC$4,2,FALSE),FALSE)</f>
        <v>3</v>
      </c>
      <c r="BB11" s="58"/>
      <c r="BC11" s="58"/>
      <c r="BD11" s="286">
        <v>3</v>
      </c>
      <c r="BE11" t="str">
        <f t="shared" si="20"/>
        <v>Forestal</v>
      </c>
      <c r="BF11">
        <f>+datos!BG1</f>
        <v>59</v>
      </c>
      <c r="BG11" s="2" t="str">
        <f t="shared" si="4"/>
        <v>$/t</v>
      </c>
      <c r="BH11" s="2">
        <f t="shared" si="4"/>
        <v>30558.75</v>
      </c>
      <c r="BI11" s="2">
        <f t="shared" si="4"/>
        <v>29983</v>
      </c>
      <c r="BJ11" s="2">
        <f t="shared" si="4"/>
        <v>27845.75</v>
      </c>
      <c r="BL11">
        <f>+datos!CZ1</f>
        <v>104</v>
      </c>
      <c r="BM11" s="2">
        <f t="shared" si="21"/>
        <v>12447.208589965954</v>
      </c>
      <c r="BN11" s="2">
        <f t="shared" si="21"/>
        <v>12718.791042803339</v>
      </c>
      <c r="BO11" s="2">
        <f t="shared" si="21"/>
        <v>9254.2882224116656</v>
      </c>
      <c r="BQ11" s="1">
        <f>+datos!ES1</f>
        <v>149</v>
      </c>
      <c r="BR11" s="1">
        <f t="shared" si="22"/>
        <v>0</v>
      </c>
      <c r="BS11" s="1">
        <f t="shared" si="22"/>
        <v>0</v>
      </c>
      <c r="BU11" s="1">
        <f>+datos!GI1</f>
        <v>191</v>
      </c>
      <c r="BV11" s="1">
        <f t="shared" si="23"/>
        <v>1302556</v>
      </c>
      <c r="BW11" s="1">
        <f t="shared" si="23"/>
        <v>1302556</v>
      </c>
      <c r="BY11" s="1">
        <f>+datos!KB1</f>
        <v>288</v>
      </c>
      <c r="BZ11" s="1">
        <f t="shared" si="39"/>
        <v>172.24901804000001</v>
      </c>
      <c r="CA11" s="1">
        <f t="shared" si="40"/>
        <v>301.76317393000005</v>
      </c>
      <c r="CC11" s="1">
        <f>+datos!LG1</f>
        <v>319</v>
      </c>
      <c r="CD11" s="2">
        <f t="shared" si="24"/>
        <v>168.36063933000003</v>
      </c>
      <c r="CE11" s="2">
        <f t="shared" si="25"/>
        <v>208.94429137999998</v>
      </c>
      <c r="CG11" s="1">
        <f>+datos!IW1</f>
        <v>257</v>
      </c>
      <c r="CH11" s="1">
        <f t="shared" si="26"/>
        <v>0</v>
      </c>
      <c r="CI11" s="1">
        <f t="shared" si="27"/>
        <v>0</v>
      </c>
      <c r="CK11" s="1">
        <f t="shared" si="28"/>
        <v>14.949040589999999</v>
      </c>
      <c r="CL11" s="1">
        <f t="shared" si="28"/>
        <v>13.968637820000001</v>
      </c>
      <c r="CM11" s="1">
        <f t="shared" si="28"/>
        <v>9.9284284400000011</v>
      </c>
      <c r="CN11" s="1">
        <f t="shared" si="28"/>
        <v>14.484437890000001</v>
      </c>
      <c r="CO11" s="1">
        <f t="shared" si="28"/>
        <v>10.200287200000002</v>
      </c>
      <c r="CP11" s="1">
        <f t="shared" si="28"/>
        <v>11.119065489999999</v>
      </c>
      <c r="CQ11" s="1">
        <f t="shared" si="28"/>
        <v>13.50721221</v>
      </c>
      <c r="CR11" s="1">
        <f t="shared" si="28"/>
        <v>17.7783984</v>
      </c>
      <c r="CS11" s="1">
        <f t="shared" si="28"/>
        <v>18.158715399999995</v>
      </c>
      <c r="CT11" s="1">
        <f t="shared" si="28"/>
        <v>13.62277192</v>
      </c>
      <c r="CU11" s="1">
        <f t="shared" si="28"/>
        <v>18.147427050000005</v>
      </c>
      <c r="CV11" s="1">
        <f t="shared" si="28"/>
        <v>16.38459563</v>
      </c>
      <c r="CW11" s="1">
        <f t="shared" si="28"/>
        <v>19.29025034</v>
      </c>
      <c r="CX11" s="1">
        <f t="shared" si="28"/>
        <v>32.635385889999995</v>
      </c>
      <c r="CY11" s="1">
        <f t="shared" si="28"/>
        <v>26.653198490000001</v>
      </c>
      <c r="CZ11" s="1">
        <f t="shared" si="28"/>
        <v>23.932255000000001</v>
      </c>
      <c r="DA11" s="1">
        <f t="shared" si="29"/>
        <v>23.104867779999999</v>
      </c>
      <c r="DB11" s="1">
        <f t="shared" si="29"/>
        <v>24.797754910000005</v>
      </c>
      <c r="DC11" s="1">
        <f t="shared" si="29"/>
        <v>26.00374025</v>
      </c>
      <c r="DD11" s="1">
        <f t="shared" si="29"/>
        <v>24.373047020000001</v>
      </c>
      <c r="DE11" s="1">
        <f t="shared" si="29"/>
        <v>25.649224320000002</v>
      </c>
      <c r="DF11" s="1">
        <f t="shared" si="29"/>
        <v>23.667757810000001</v>
      </c>
      <c r="DG11" s="1">
        <f t="shared" si="29"/>
        <v>25.088845019999997</v>
      </c>
      <c r="DH11" s="1">
        <f t="shared" si="29"/>
        <v>26.5668471</v>
      </c>
      <c r="DJ11" s="1">
        <f t="shared" si="30"/>
        <v>16.050718710000002</v>
      </c>
      <c r="DK11" s="1">
        <f t="shared" si="30"/>
        <v>13.20675994</v>
      </c>
      <c r="DL11" s="1">
        <f t="shared" si="30"/>
        <v>12.082023640000001</v>
      </c>
      <c r="DM11" s="1">
        <f t="shared" si="30"/>
        <v>16.998994660000001</v>
      </c>
      <c r="DN11" s="1">
        <f t="shared" si="30"/>
        <v>14.09144206</v>
      </c>
      <c r="DO11" s="1">
        <f t="shared" si="30"/>
        <v>14.036730870000001</v>
      </c>
      <c r="DP11" s="1">
        <f t="shared" si="30"/>
        <v>13.365554540000002</v>
      </c>
      <c r="DQ11" s="1">
        <f t="shared" si="30"/>
        <v>15.589800310000003</v>
      </c>
      <c r="DR11" s="1">
        <f t="shared" si="30"/>
        <v>16.942532470000003</v>
      </c>
      <c r="DS11" s="1">
        <f t="shared" si="30"/>
        <v>10.998476289999999</v>
      </c>
      <c r="DT11" s="1">
        <f t="shared" si="30"/>
        <v>11.46589975</v>
      </c>
      <c r="DU11" s="1">
        <f t="shared" si="30"/>
        <v>13.53170609</v>
      </c>
      <c r="DV11" s="1">
        <f t="shared" si="30"/>
        <v>19.941855059999995</v>
      </c>
      <c r="DW11" s="1">
        <f t="shared" si="30"/>
        <v>17.561880160000001</v>
      </c>
      <c r="DX11" s="1">
        <f t="shared" si="30"/>
        <v>14.580088280000002</v>
      </c>
      <c r="DY11" s="1">
        <f t="shared" si="30"/>
        <v>13.107541810000001</v>
      </c>
      <c r="DZ11" s="1">
        <f t="shared" si="31"/>
        <v>9.0834929199999994</v>
      </c>
      <c r="EA11" s="1">
        <f t="shared" si="31"/>
        <v>9.5859924200000002</v>
      </c>
      <c r="EB11" s="1">
        <f t="shared" si="31"/>
        <v>12.114691449999999</v>
      </c>
      <c r="EC11" s="1">
        <f t="shared" si="31"/>
        <v>21.937746180000001</v>
      </c>
      <c r="ED11" s="1">
        <f t="shared" si="31"/>
        <v>16.68359323</v>
      </c>
      <c r="EE11" s="1">
        <f t="shared" si="31"/>
        <v>23.390239519999994</v>
      </c>
      <c r="EF11" s="1">
        <f t="shared" si="31"/>
        <v>24.97777258</v>
      </c>
      <c r="EG11" s="1">
        <f t="shared" si="31"/>
        <v>25.979397770000002</v>
      </c>
      <c r="EI11" s="14">
        <f t="shared" si="32"/>
        <v>0</v>
      </c>
      <c r="EJ11" s="14">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2"/>
        <v>0</v>
      </c>
      <c r="EY11" s="1">
        <f t="shared" si="33"/>
        <v>0</v>
      </c>
      <c r="EZ11" s="1">
        <f t="shared" si="33"/>
        <v>0</v>
      </c>
      <c r="FA11" s="1">
        <f t="shared" si="33"/>
        <v>0</v>
      </c>
      <c r="FB11" s="1">
        <f t="shared" si="33"/>
        <v>0</v>
      </c>
      <c r="FC11" s="1">
        <f t="shared" si="33"/>
        <v>0</v>
      </c>
      <c r="FD11" s="1">
        <f t="shared" si="33"/>
        <v>0</v>
      </c>
      <c r="FE11" s="1">
        <f t="shared" si="33"/>
        <v>0</v>
      </c>
      <c r="FF11" s="1">
        <f t="shared" si="33"/>
        <v>0</v>
      </c>
      <c r="FH11" s="162">
        <f t="shared" si="34"/>
        <v>-0.24759104181156055</v>
      </c>
    </row>
    <row r="12" spans="1:164" ht="18.75" customHeight="1">
      <c r="A12" s="243" t="s">
        <v>216</v>
      </c>
      <c r="B12" s="246"/>
      <c r="C12" s="156">
        <f t="shared" si="5"/>
        <v>-0.33</v>
      </c>
      <c r="D12" s="198">
        <v>-1</v>
      </c>
      <c r="E12" s="248">
        <f t="shared" si="6"/>
        <v>-6.6333131224384223E-3</v>
      </c>
      <c r="F12" s="249">
        <f t="shared" si="7"/>
        <v>-2.1645321601752587E-2</v>
      </c>
      <c r="G12" s="248">
        <f t="shared" si="8"/>
        <v>-1.3922715788158957E-2</v>
      </c>
      <c r="H12" s="249">
        <f t="shared" si="9"/>
        <v>7.2894026657205346E-3</v>
      </c>
      <c r="I12" s="248">
        <f t="shared" si="10"/>
        <v>0.29229706732687899</v>
      </c>
      <c r="J12" s="249">
        <f t="shared" si="11"/>
        <v>-0.14248954149821191</v>
      </c>
      <c r="K12" s="248">
        <f t="shared" si="12"/>
        <v>0.24355590927503434</v>
      </c>
      <c r="L12" s="249">
        <f t="shared" si="13"/>
        <v>4.8741158051844646E-2</v>
      </c>
      <c r="M12" s="250"/>
      <c r="N12" s="24">
        <v>1</v>
      </c>
      <c r="O12" s="248">
        <f t="shared" si="35"/>
        <v>5.6184293674958363E-2</v>
      </c>
      <c r="P12" s="251">
        <f t="shared" si="36"/>
        <v>5.6184293674958363E-2</v>
      </c>
      <c r="Q12" s="248">
        <f t="shared" si="14"/>
        <v>5.531935491678297E-2</v>
      </c>
      <c r="R12" s="251">
        <f t="shared" si="37"/>
        <v>5.531935491678297E-2</v>
      </c>
      <c r="S12" s="250"/>
      <c r="T12" s="24">
        <v>-1</v>
      </c>
      <c r="U12" s="248">
        <f t="shared" si="15"/>
        <v>4.9729636960902157E-2</v>
      </c>
      <c r="V12" s="252">
        <f t="shared" si="16"/>
        <v>4.9729636960902157E-2</v>
      </c>
      <c r="W12" s="248">
        <f t="shared" si="38"/>
        <v>-0.33118600125818187</v>
      </c>
      <c r="X12" s="252">
        <f t="shared" si="17"/>
        <v>-0.33118600125818187</v>
      </c>
      <c r="Y12" s="248">
        <f t="shared" si="18"/>
        <v>2.2303921568627372E-2</v>
      </c>
      <c r="Z12" s="252">
        <f t="shared" si="19"/>
        <v>2.2303921568627372E-2</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4</v>
      </c>
      <c r="AQ12" s="28">
        <f>VLOOKUP($A12,historia!$A$5:$CM$24,+HLOOKUP(AQ$2,historia!$A$3:$EC$4,2,FALSE),FALSE)</f>
        <v>4</v>
      </c>
      <c r="AR12" s="28">
        <f>VLOOKUP($A12,historia!$A$5:$CM$24,+HLOOKUP(AR$2,historia!$A$3:$EC$4,2,FALSE),FALSE)</f>
        <v>4</v>
      </c>
      <c r="AS12" s="28">
        <f>VLOOKUP($A12,historia!$A$5:$CM$24,+HLOOKUP(AS$2,historia!$A$3:$EC$4,2,FALSE),FALSE)</f>
        <v>4</v>
      </c>
      <c r="AT12" s="58">
        <f>VLOOKUP($A12,historia!$A$5:$CM$24,+HLOOKUP(AT$2,historia!$A$3:$EC$4,2,FALSE),FALSE)</f>
        <v>4</v>
      </c>
      <c r="AU12" s="58">
        <f>VLOOKUP($A12,historia!$A$5:$CM$24,+HLOOKUP(AU$2,historia!$A$3:$EC$4,2,FALSE),FALSE)</f>
        <v>4</v>
      </c>
      <c r="AV12" s="58">
        <f>VLOOKUP($A12,historia!$A$5:$CM$24,+HLOOKUP(AV$2,historia!$A$3:$EC$4,2,FALSE),FALSE)</f>
        <v>4</v>
      </c>
      <c r="AW12" s="58">
        <f>VLOOKUP($A12,historia!$A$5:$CM$24,+HLOOKUP(AW$2,historia!$A$3:$EC$4,2,FALSE),FALSE)</f>
        <v>3</v>
      </c>
      <c r="AX12" s="58">
        <f>VLOOKUP($A12,historia!$A$5:$CM$24,+HLOOKUP(AX$2,historia!$A$3:$EC$4,2,FALSE),FALSE)</f>
        <v>3</v>
      </c>
      <c r="AY12" s="58">
        <f>VLOOKUP($A12,historia!$A$5:$CM$24,+HLOOKUP(AY$2,historia!$A$3:$EC$4,2,FALSE),FALSE)</f>
        <v>3</v>
      </c>
      <c r="AZ12" s="58">
        <f>VLOOKUP($A12,historia!$A$5:$CM$24,+HLOOKUP(AZ$2,historia!$A$3:$EC$4,2,FALSE),FALSE)</f>
        <v>3</v>
      </c>
      <c r="BA12" s="58">
        <f>VLOOKUP($A12,historia!$A$5:$CM$24,+HLOOKUP(BA$2,historia!$A$3:$EC$4,2,FALSE),FALSE)</f>
        <v>3</v>
      </c>
      <c r="BB12" s="58"/>
      <c r="BC12" s="58"/>
      <c r="BD12" s="286">
        <v>3</v>
      </c>
      <c r="BE12" t="str">
        <f t="shared" si="20"/>
        <v>Granos</v>
      </c>
      <c r="BF12">
        <f>+datos!AE1</f>
        <v>31</v>
      </c>
      <c r="BG12" s="2" t="str">
        <f t="shared" si="4"/>
        <v>$/t</v>
      </c>
      <c r="BH12" s="2">
        <f t="shared" si="4"/>
        <v>263970.88416666666</v>
      </c>
      <c r="BI12" s="2">
        <f t="shared" si="4"/>
        <v>265733.57819799997</v>
      </c>
      <c r="BJ12" s="2">
        <f t="shared" si="4"/>
        <v>204264.86358333332</v>
      </c>
      <c r="BL12">
        <f>+datos!CG1</f>
        <v>85</v>
      </c>
      <c r="BM12" s="2">
        <f t="shared" si="21"/>
        <v>10039.787102104456</v>
      </c>
      <c r="BN12" s="2">
        <f t="shared" si="21"/>
        <v>10181.541815081086</v>
      </c>
      <c r="BO12" s="2">
        <f t="shared" si="21"/>
        <v>8073.45051977392</v>
      </c>
      <c r="BQ12" s="1">
        <f>+datos!EA1</f>
        <v>131</v>
      </c>
      <c r="BR12" s="1">
        <f t="shared" si="22"/>
        <v>36770000</v>
      </c>
      <c r="BS12" s="1">
        <f t="shared" si="22"/>
        <v>34814000</v>
      </c>
      <c r="BU12" s="1">
        <f>+datos!FV1</f>
        <v>178</v>
      </c>
      <c r="BV12" s="1">
        <f t="shared" si="23"/>
        <v>130810000</v>
      </c>
      <c r="BW12" s="1">
        <f t="shared" si="23"/>
        <v>123953000</v>
      </c>
      <c r="BY12" s="1">
        <f>+datos!LQ1</f>
        <v>329</v>
      </c>
      <c r="BZ12" s="1">
        <f>+SUM(CK12:CV12)</f>
        <v>42419.925017249989</v>
      </c>
      <c r="CA12" s="1">
        <f t="shared" si="40"/>
        <v>40410.333788479998</v>
      </c>
      <c r="CC12" s="1">
        <f>+datos!LU1</f>
        <v>333</v>
      </c>
      <c r="CD12" s="2">
        <f t="shared" si="24"/>
        <v>2918.9565776499999</v>
      </c>
      <c r="CE12" s="2">
        <f t="shared" si="25"/>
        <v>4364.3772157000003</v>
      </c>
      <c r="CG12" s="1">
        <f>+datos!II1</f>
        <v>243</v>
      </c>
      <c r="CH12" s="1">
        <f t="shared" si="26"/>
        <v>83420000</v>
      </c>
      <c r="CI12" s="1">
        <f t="shared" si="27"/>
        <v>81600000</v>
      </c>
      <c r="CK12" s="1">
        <f>+VLOOKUP(CK$1,ran_dat,$BY12,FALSE)</f>
        <v>4220.2405017900001</v>
      </c>
      <c r="CL12" s="1">
        <f t="shared" si="28"/>
        <v>3699.5517639399995</v>
      </c>
      <c r="CM12" s="1">
        <f t="shared" si="28"/>
        <v>2719.5194464700007</v>
      </c>
      <c r="CN12" s="1">
        <f t="shared" si="28"/>
        <v>3193.1112506200002</v>
      </c>
      <c r="CO12" s="1">
        <f t="shared" si="28"/>
        <v>3231.2263099199999</v>
      </c>
      <c r="CP12" s="1">
        <f t="shared" si="28"/>
        <v>3313.8442822299994</v>
      </c>
      <c r="CQ12" s="1">
        <f t="shared" si="28"/>
        <v>3339.9998161899998</v>
      </c>
      <c r="CR12" s="1">
        <f t="shared" si="28"/>
        <v>3485.71732419</v>
      </c>
      <c r="CS12" s="1">
        <f t="shared" si="28"/>
        <v>3410.80431886</v>
      </c>
      <c r="CT12" s="1">
        <f t="shared" si="28"/>
        <v>3348.6268518899992</v>
      </c>
      <c r="CU12" s="1">
        <f t="shared" si="28"/>
        <v>4200.6671527199996</v>
      </c>
      <c r="CV12" s="1">
        <f t="shared" si="28"/>
        <v>4256.6159984299993</v>
      </c>
      <c r="CW12" s="1">
        <f t="shared" si="28"/>
        <v>4805.0657855600002</v>
      </c>
      <c r="CX12" s="1">
        <f t="shared" si="28"/>
        <v>3818.0878160900002</v>
      </c>
      <c r="CY12" s="1">
        <f t="shared" si="28"/>
        <v>3876.9439553199995</v>
      </c>
      <c r="CZ12" s="1">
        <f t="shared" si="28"/>
        <v>3089.4855235099994</v>
      </c>
      <c r="DA12" s="1">
        <f t="shared" si="29"/>
        <v>3929.1762735700004</v>
      </c>
      <c r="DB12" s="1">
        <f t="shared" si="29"/>
        <v>2955.6698254600001</v>
      </c>
      <c r="DC12" s="1">
        <f t="shared" si="29"/>
        <v>2441.9361675499999</v>
      </c>
      <c r="DD12" s="1">
        <f t="shared" si="29"/>
        <v>2439.6070879799995</v>
      </c>
      <c r="DE12" s="1">
        <f t="shared" si="29"/>
        <v>2937.94498135</v>
      </c>
      <c r="DF12" s="1">
        <f t="shared" si="29"/>
        <v>3422.8062754199996</v>
      </c>
      <c r="DG12" s="1">
        <f t="shared" si="29"/>
        <v>3305.4373540500001</v>
      </c>
      <c r="DH12" s="1">
        <f t="shared" si="29"/>
        <v>3388.1727426199996</v>
      </c>
      <c r="DJ12" s="1">
        <f t="shared" si="30"/>
        <v>304.19736033999999</v>
      </c>
      <c r="DK12" s="1">
        <f t="shared" si="30"/>
        <v>338.33098909999995</v>
      </c>
      <c r="DL12" s="1">
        <f t="shared" si="30"/>
        <v>239.40438782999996</v>
      </c>
      <c r="DM12" s="1">
        <f t="shared" si="30"/>
        <v>288.1429152</v>
      </c>
      <c r="DN12" s="1">
        <f t="shared" si="30"/>
        <v>31.883400920000003</v>
      </c>
      <c r="DO12" s="1">
        <f t="shared" si="30"/>
        <v>52.19269714</v>
      </c>
      <c r="DP12" s="1">
        <f t="shared" si="30"/>
        <v>201.41567115000001</v>
      </c>
      <c r="DQ12" s="1">
        <f t="shared" si="30"/>
        <v>299.18688666000003</v>
      </c>
      <c r="DR12" s="1">
        <f t="shared" si="30"/>
        <v>265.28366987999999</v>
      </c>
      <c r="DS12" s="1">
        <f t="shared" si="30"/>
        <v>214.60650260000006</v>
      </c>
      <c r="DT12" s="1">
        <f t="shared" si="30"/>
        <v>390.93673457</v>
      </c>
      <c r="DU12" s="1">
        <f t="shared" si="30"/>
        <v>293.37536226000003</v>
      </c>
      <c r="DV12" s="1">
        <f t="shared" si="30"/>
        <v>336.54852982999995</v>
      </c>
      <c r="DW12" s="1">
        <f t="shared" si="30"/>
        <v>300.95428591999996</v>
      </c>
      <c r="DX12" s="1">
        <f t="shared" si="30"/>
        <v>389.85732896999997</v>
      </c>
      <c r="DY12" s="1">
        <f t="shared" si="30"/>
        <v>280.54397103999997</v>
      </c>
      <c r="DZ12" s="1">
        <f t="shared" si="31"/>
        <v>63.525792080000002</v>
      </c>
      <c r="EA12" s="1">
        <f t="shared" si="31"/>
        <v>301.92103216000004</v>
      </c>
      <c r="EB12" s="1">
        <f t="shared" si="31"/>
        <v>260.76831764999997</v>
      </c>
      <c r="EC12" s="1">
        <f t="shared" si="31"/>
        <v>244.67742642000002</v>
      </c>
      <c r="ED12" s="1">
        <f t="shared" si="31"/>
        <v>322.58249758000005</v>
      </c>
      <c r="EE12" s="1">
        <f t="shared" si="31"/>
        <v>495.08938117000014</v>
      </c>
      <c r="EF12" s="1">
        <f t="shared" si="31"/>
        <v>539.06610803000001</v>
      </c>
      <c r="EG12" s="1">
        <f t="shared" si="31"/>
        <v>828.84254484999997</v>
      </c>
      <c r="EI12" s="14">
        <f t="shared" si="32"/>
        <v>83420000</v>
      </c>
      <c r="EJ12" s="14">
        <f t="shared" si="32"/>
        <v>83260000</v>
      </c>
      <c r="EK12" s="1">
        <f t="shared" si="32"/>
        <v>82660000</v>
      </c>
      <c r="EL12" s="1">
        <f t="shared" si="32"/>
        <v>83330000</v>
      </c>
      <c r="EM12" s="1">
        <f t="shared" si="32"/>
        <v>83330000</v>
      </c>
      <c r="EN12" s="1">
        <f t="shared" si="32"/>
        <v>81580000</v>
      </c>
      <c r="EO12" s="1">
        <f t="shared" si="32"/>
        <v>81600000</v>
      </c>
      <c r="EP12" s="1">
        <f t="shared" si="32"/>
        <v>81600000</v>
      </c>
      <c r="EQ12" s="1">
        <f t="shared" si="32"/>
        <v>81600000</v>
      </c>
      <c r="ER12" s="1">
        <f t="shared" si="32"/>
        <v>81600000</v>
      </c>
      <c r="ES12" s="1">
        <f t="shared" si="32"/>
        <v>81600000</v>
      </c>
      <c r="ET12" s="1">
        <f t="shared" si="32"/>
        <v>81600000</v>
      </c>
      <c r="EU12" s="1">
        <f t="shared" si="32"/>
        <v>81600000</v>
      </c>
      <c r="EV12" s="1">
        <f t="shared" si="32"/>
        <v>81600000</v>
      </c>
      <c r="EW12" s="1">
        <f t="shared" si="32"/>
        <v>73750000</v>
      </c>
      <c r="EX12" s="1">
        <f t="shared" si="32"/>
        <v>73750000</v>
      </c>
      <c r="EY12" s="1">
        <f t="shared" si="33"/>
        <v>73450000</v>
      </c>
      <c r="EZ12" s="1">
        <f t="shared" si="33"/>
        <v>73450000</v>
      </c>
      <c r="FA12" s="1">
        <f t="shared" si="33"/>
        <v>73450000</v>
      </c>
      <c r="FB12" s="1">
        <f t="shared" si="33"/>
        <v>73450000</v>
      </c>
      <c r="FC12" s="1">
        <f t="shared" si="33"/>
        <v>73450000</v>
      </c>
      <c r="FD12" s="1">
        <f t="shared" si="33"/>
        <v>73450000</v>
      </c>
      <c r="FE12" s="1">
        <f t="shared" si="33"/>
        <v>73450000</v>
      </c>
      <c r="FF12" s="1">
        <f t="shared" si="33"/>
        <v>73450000</v>
      </c>
      <c r="FH12" s="162">
        <f t="shared" si="34"/>
        <v>4.8741158051844646E-2</v>
      </c>
    </row>
    <row r="13" spans="1:164" ht="18.75" customHeight="1">
      <c r="A13" s="244" t="s">
        <v>217</v>
      </c>
      <c r="B13" s="247"/>
      <c r="C13" s="228">
        <f t="shared" si="5"/>
        <v>0</v>
      </c>
      <c r="D13" s="229">
        <v>0</v>
      </c>
      <c r="E13" s="253">
        <f t="shared" si="6"/>
        <v>-0.131192868886992</v>
      </c>
      <c r="F13" s="254">
        <f t="shared" si="7"/>
        <v>-0.14620487736630616</v>
      </c>
      <c r="G13" s="253">
        <f t="shared" si="8"/>
        <v>-3.8746491963591145E-2</v>
      </c>
      <c r="H13" s="254">
        <f t="shared" si="9"/>
        <v>-9.2446376923400853E-2</v>
      </c>
      <c r="I13" s="253">
        <f t="shared" si="10"/>
        <v>-0.34394323023892581</v>
      </c>
      <c r="J13" s="254">
        <f t="shared" si="11"/>
        <v>-0.77872983906401672</v>
      </c>
      <c r="K13" s="253">
        <f t="shared" si="12"/>
        <v>8.5822246060781815E-2</v>
      </c>
      <c r="L13" s="254">
        <f t="shared" si="13"/>
        <v>-0.42976547629970763</v>
      </c>
      <c r="M13" s="255"/>
      <c r="N13" s="256">
        <v>0</v>
      </c>
      <c r="O13" s="253">
        <f t="shared" si="35"/>
        <v>0</v>
      </c>
      <c r="P13" s="257">
        <f t="shared" si="36"/>
        <v>0</v>
      </c>
      <c r="Q13" s="253">
        <f t="shared" si="14"/>
        <v>0</v>
      </c>
      <c r="R13" s="257">
        <f t="shared" si="37"/>
        <v>0</v>
      </c>
      <c r="S13" s="255"/>
      <c r="T13" s="256">
        <v>0</v>
      </c>
      <c r="U13" s="253">
        <f t="shared" si="15"/>
        <v>-0.47012572053139434</v>
      </c>
      <c r="V13" s="258">
        <f t="shared" si="16"/>
        <v>-0.47012572053139434</v>
      </c>
      <c r="W13" s="253">
        <f t="shared" si="38"/>
        <v>1.9850052638264213</v>
      </c>
      <c r="X13" s="258">
        <f t="shared" si="17"/>
        <v>1.9850052638264213</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2</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4</v>
      </c>
      <c r="AY13" s="58">
        <f>VLOOKUP($A13,historia!$A$5:$CM$24,+HLOOKUP(AY$2,historia!$A$3:$EC$4,2,FALSE),FALSE)</f>
        <v>3</v>
      </c>
      <c r="AZ13" s="58">
        <f>VLOOKUP($A13,historia!$A$5:$CM$24,+HLOOKUP(AZ$2,historia!$A$3:$EC$4,2,FALSE),FALSE)</f>
        <v>3</v>
      </c>
      <c r="BA13" s="58">
        <f>VLOOKUP($A13,historia!$A$5:$CM$24,+HLOOKUP(BA$2,historia!$A$3:$EC$4,2,FALSE),FALSE)</f>
        <v>3</v>
      </c>
      <c r="BB13" s="58"/>
      <c r="BC13" s="58"/>
      <c r="BD13" s="286">
        <v>3</v>
      </c>
      <c r="BE13" t="str">
        <f t="shared" si="20"/>
        <v>Hortalizas</v>
      </c>
      <c r="BF13">
        <f>+datos!BB1</f>
        <v>54</v>
      </c>
      <c r="BG13" s="2" t="str">
        <f t="shared" si="4"/>
        <v>$/kg</v>
      </c>
      <c r="BH13" s="2">
        <f t="shared" si="4"/>
        <v>10179.535880528587</v>
      </c>
      <c r="BI13" s="2">
        <f t="shared" si="4"/>
        <v>11716.680855839462</v>
      </c>
      <c r="BJ13" s="2">
        <f t="shared" si="4"/>
        <v>15516.242419441563</v>
      </c>
      <c r="BL13">
        <f>+datos!CO1</f>
        <v>93</v>
      </c>
      <c r="BM13" s="2">
        <f t="shared" si="21"/>
        <v>10143.684891427103</v>
      </c>
      <c r="BN13" s="2">
        <f t="shared" si="21"/>
        <v>10552.559555437167</v>
      </c>
      <c r="BO13" s="2">
        <f t="shared" si="21"/>
        <v>9341.9387272889635</v>
      </c>
      <c r="BQ13" s="1">
        <f>+datos!EX1</f>
        <v>154</v>
      </c>
      <c r="BR13" s="1">
        <f t="shared" si="22"/>
        <v>64395</v>
      </c>
      <c r="BS13" s="1">
        <f t="shared" si="22"/>
        <v>64395</v>
      </c>
      <c r="BU13" s="1">
        <f>+datos!GN1</f>
        <v>196</v>
      </c>
      <c r="BV13" s="1">
        <f t="shared" si="23"/>
        <v>2639386</v>
      </c>
      <c r="BW13" s="1">
        <f t="shared" si="23"/>
        <v>2639386</v>
      </c>
      <c r="BY13" s="1">
        <f>+datos!LR1</f>
        <v>330</v>
      </c>
      <c r="BZ13" s="1">
        <f t="shared" si="39"/>
        <v>43.06484975</v>
      </c>
      <c r="CA13" s="1">
        <f t="shared" si="40"/>
        <v>81.273712310000008</v>
      </c>
      <c r="CC13" s="1">
        <f>+datos!LV1</f>
        <v>334</v>
      </c>
      <c r="CD13" s="2">
        <f t="shared" si="24"/>
        <v>38.438172029999997</v>
      </c>
      <c r="CE13" s="2">
        <f t="shared" si="25"/>
        <v>12.877086850000001</v>
      </c>
      <c r="CG13" s="1">
        <f>+datos!IX1</f>
        <v>258</v>
      </c>
      <c r="CH13" s="1">
        <f t="shared" si="26"/>
        <v>0</v>
      </c>
      <c r="CI13" s="1">
        <f t="shared" si="27"/>
        <v>0</v>
      </c>
      <c r="CK13" s="1">
        <f t="shared" si="28"/>
        <v>10.78719353</v>
      </c>
      <c r="CL13" s="1">
        <f t="shared" si="28"/>
        <v>6.6589734299999996</v>
      </c>
      <c r="CM13" s="1">
        <f t="shared" si="28"/>
        <v>4.7972503099999999</v>
      </c>
      <c r="CN13" s="1">
        <f t="shared" si="28"/>
        <v>3.6808061599999999</v>
      </c>
      <c r="CO13" s="1">
        <f t="shared" si="28"/>
        <v>1.7265838599999999</v>
      </c>
      <c r="CP13" s="1">
        <f t="shared" si="28"/>
        <v>1.1603474899999999</v>
      </c>
      <c r="CQ13" s="1">
        <f t="shared" si="28"/>
        <v>1.6220564799999999</v>
      </c>
      <c r="CR13" s="1">
        <f t="shared" si="28"/>
        <v>1.7022322700000001</v>
      </c>
      <c r="CS13" s="1">
        <f t="shared" si="28"/>
        <v>2.1800094999999997</v>
      </c>
      <c r="CT13" s="1">
        <f t="shared" si="28"/>
        <v>0.89152303000000011</v>
      </c>
      <c r="CU13" s="1">
        <f t="shared" si="28"/>
        <v>2.22092468</v>
      </c>
      <c r="CV13" s="1">
        <f t="shared" si="28"/>
        <v>5.6369490100000004</v>
      </c>
      <c r="CW13" s="1">
        <f t="shared" si="28"/>
        <v>11.964288460000001</v>
      </c>
      <c r="CX13" s="1">
        <f t="shared" si="28"/>
        <v>14.874595200000002</v>
      </c>
      <c r="CY13" s="1">
        <f t="shared" si="28"/>
        <v>12.356255849999998</v>
      </c>
      <c r="CZ13" s="1">
        <f t="shared" si="28"/>
        <v>7.66143427</v>
      </c>
      <c r="DA13" s="1">
        <f t="shared" si="29"/>
        <v>3.9700200400000001</v>
      </c>
      <c r="DB13" s="1">
        <f t="shared" si="29"/>
        <v>4.244482989999999</v>
      </c>
      <c r="DC13" s="1">
        <f t="shared" si="29"/>
        <v>3.7692072699999999</v>
      </c>
      <c r="DD13" s="1">
        <f t="shared" si="29"/>
        <v>4.3561451300000007</v>
      </c>
      <c r="DE13" s="1">
        <f t="shared" si="29"/>
        <v>2.35708815</v>
      </c>
      <c r="DF13" s="1">
        <f t="shared" si="29"/>
        <v>2.9990922500000003</v>
      </c>
      <c r="DG13" s="1">
        <f t="shared" si="29"/>
        <v>4.9654154400000001</v>
      </c>
      <c r="DH13" s="1">
        <f t="shared" si="29"/>
        <v>7.7556872599999993</v>
      </c>
      <c r="DJ13" s="1">
        <f t="shared" si="30"/>
        <v>2.7487028499999995</v>
      </c>
      <c r="DK13" s="1">
        <f t="shared" si="30"/>
        <v>0.73139703</v>
      </c>
      <c r="DL13" s="1">
        <f t="shared" si="30"/>
        <v>0.52205221000000002</v>
      </c>
      <c r="DM13" s="1">
        <f t="shared" si="30"/>
        <v>0.27889262000000004</v>
      </c>
      <c r="DN13" s="1">
        <f t="shared" si="30"/>
        <v>0.43588088999999991</v>
      </c>
      <c r="DO13" s="1">
        <f t="shared" si="30"/>
        <v>0.25163443000000002</v>
      </c>
      <c r="DP13" s="1">
        <f t="shared" si="30"/>
        <v>1.8307121500000001</v>
      </c>
      <c r="DQ13" s="1">
        <f t="shared" si="30"/>
        <v>4.7138590499999999</v>
      </c>
      <c r="DR13" s="1">
        <f t="shared" si="30"/>
        <v>10.280953719999999</v>
      </c>
      <c r="DS13" s="1">
        <f t="shared" si="30"/>
        <v>10.078043539999999</v>
      </c>
      <c r="DT13" s="1">
        <f t="shared" si="30"/>
        <v>5.0525632100000006</v>
      </c>
      <c r="DU13" s="1">
        <f t="shared" si="30"/>
        <v>1.5134803299999999</v>
      </c>
      <c r="DV13" s="1">
        <f t="shared" si="30"/>
        <v>1.5645213200000003</v>
      </c>
      <c r="DW13" s="1">
        <f t="shared" si="30"/>
        <v>0.17069466</v>
      </c>
      <c r="DX13" s="1">
        <f t="shared" si="30"/>
        <v>5.8121779999999998E-2</v>
      </c>
      <c r="DY13" s="1">
        <f t="shared" si="30"/>
        <v>0.22874177000000001</v>
      </c>
      <c r="DZ13" s="1">
        <f t="shared" si="31"/>
        <v>6.8422739999999996E-2</v>
      </c>
      <c r="EA13" s="1">
        <f t="shared" si="31"/>
        <v>1.38860757</v>
      </c>
      <c r="EB13" s="1">
        <f t="shared" si="31"/>
        <v>1.9631409899999996</v>
      </c>
      <c r="EC13" s="1">
        <f t="shared" si="31"/>
        <v>1.5225679400000001</v>
      </c>
      <c r="ED13" s="1">
        <f t="shared" si="31"/>
        <v>1.3263511099999998</v>
      </c>
      <c r="EE13" s="1">
        <f t="shared" si="31"/>
        <v>2.5091586699999997</v>
      </c>
      <c r="EF13" s="1">
        <f t="shared" si="31"/>
        <v>1.6528733800000002</v>
      </c>
      <c r="EG13" s="1">
        <f t="shared" si="31"/>
        <v>0.42388491999999994</v>
      </c>
      <c r="EI13" s="14">
        <f t="shared" si="32"/>
        <v>0</v>
      </c>
      <c r="EJ13" s="14">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2"/>
        <v>0</v>
      </c>
      <c r="EY13" s="1">
        <f t="shared" si="33"/>
        <v>0</v>
      </c>
      <c r="EZ13" s="1">
        <f t="shared" si="33"/>
        <v>0</v>
      </c>
      <c r="FA13" s="1">
        <f t="shared" si="33"/>
        <v>0</v>
      </c>
      <c r="FB13" s="1">
        <f t="shared" si="33"/>
        <v>0</v>
      </c>
      <c r="FC13" s="1">
        <f t="shared" si="33"/>
        <v>0</v>
      </c>
      <c r="FD13" s="1">
        <f t="shared" si="33"/>
        <v>0</v>
      </c>
      <c r="FE13" s="1">
        <f t="shared" si="33"/>
        <v>0</v>
      </c>
      <c r="FF13" s="1">
        <f t="shared" si="33"/>
        <v>0</v>
      </c>
      <c r="FH13" s="162">
        <f t="shared" si="34"/>
        <v>-0.42976547629970763</v>
      </c>
    </row>
    <row r="14" spans="1:164" ht="18.75" customHeight="1">
      <c r="A14" s="243" t="s">
        <v>65</v>
      </c>
      <c r="B14" s="246"/>
      <c r="C14" s="156">
        <f t="shared" si="5"/>
        <v>-0.33</v>
      </c>
      <c r="D14" s="198">
        <v>1</v>
      </c>
      <c r="E14" s="248">
        <f t="shared" si="6"/>
        <v>1.4988828875729387E-2</v>
      </c>
      <c r="F14" s="249">
        <f t="shared" si="7"/>
        <v>-2.3179603584777553E-5</v>
      </c>
      <c r="G14" s="248">
        <f t="shared" si="8"/>
        <v>-7.4908226333418204E-2</v>
      </c>
      <c r="H14" s="249">
        <f t="shared" si="9"/>
        <v>8.9897055209147592E-2</v>
      </c>
      <c r="I14" s="248">
        <f t="shared" si="10"/>
        <v>0.20185960496237132</v>
      </c>
      <c r="J14" s="249">
        <f t="shared" si="11"/>
        <v>-0.23292700386271958</v>
      </c>
      <c r="K14" s="248">
        <f t="shared" si="12"/>
        <v>0.26863866190152685</v>
      </c>
      <c r="L14" s="249">
        <f t="shared" si="13"/>
        <v>-6.6779056939155534E-2</v>
      </c>
      <c r="M14" s="250"/>
      <c r="N14" s="24">
        <v>-1</v>
      </c>
      <c r="O14" s="248">
        <f t="shared" si="35"/>
        <v>-4.8212591810487204E-2</v>
      </c>
      <c r="P14" s="251">
        <f t="shared" si="36"/>
        <v>-4.8212591810487204E-2</v>
      </c>
      <c r="Q14" s="248">
        <f t="shared" si="14"/>
        <v>2.4090071410297398E-2</v>
      </c>
      <c r="R14" s="251">
        <f t="shared" si="37"/>
        <v>2.4090071410297398E-2</v>
      </c>
      <c r="S14" s="250"/>
      <c r="T14" s="24">
        <v>-1</v>
      </c>
      <c r="U14" s="248">
        <f t="shared" si="15"/>
        <v>6.110064673647253E-2</v>
      </c>
      <c r="V14" s="252">
        <f t="shared" si="16"/>
        <v>6.110064673647253E-2</v>
      </c>
      <c r="W14" s="248">
        <f t="shared" si="38"/>
        <v>7.6138748468836281E-2</v>
      </c>
      <c r="X14" s="252">
        <f t="shared" si="17"/>
        <v>7.6138748468836281E-2</v>
      </c>
      <c r="Y14" s="248">
        <f t="shared" si="18"/>
        <v>0.25609756097560954</v>
      </c>
      <c r="Z14" s="252">
        <f t="shared" si="19"/>
        <v>0.25609756097560954</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4</v>
      </c>
      <c r="AR14" s="28">
        <f>VLOOKUP($A14,historia!$A$5:$CM$24,+HLOOKUP(AR$2,historia!$A$3:$EC$4,2,FALSE),FALSE)</f>
        <v>4</v>
      </c>
      <c r="AS14" s="28">
        <f>VLOOKUP($A14,historia!$A$5:$CM$24,+HLOOKUP(AS$2,historia!$A$3:$EC$4,2,FALSE),FALSE)</f>
        <v>4</v>
      </c>
      <c r="AT14" s="58">
        <f>VLOOKUP($A14,historia!$A$5:$CM$24,+HLOOKUP(AT$2,historia!$A$3:$EC$4,2,FALSE),FALSE)</f>
        <v>4</v>
      </c>
      <c r="AU14" s="58">
        <f>VLOOKUP($A14,historia!$A$5:$CM$24,+HLOOKUP(AU$2,historia!$A$3:$EC$4,2,FALSE),FALSE)</f>
        <v>4</v>
      </c>
      <c r="AV14" s="58">
        <f>VLOOKUP($A14,historia!$A$5:$CM$24,+HLOOKUP(AV$2,historia!$A$3:$EC$4,2,FALSE),FALSE)</f>
        <v>4</v>
      </c>
      <c r="AW14" s="58">
        <f>VLOOKUP($A14,historia!$A$5:$CM$24,+HLOOKUP(AW$2,historia!$A$3:$EC$4,2,FALSE),FALSE)</f>
        <v>3</v>
      </c>
      <c r="AX14" s="58">
        <f>VLOOKUP($A14,historia!$A$5:$CM$24,+HLOOKUP(AX$2,historia!$A$3:$EC$4,2,FALSE),FALSE)</f>
        <v>3</v>
      </c>
      <c r="AY14" s="58">
        <f>VLOOKUP($A14,historia!$A$5:$CM$24,+HLOOKUP(AY$2,historia!$A$3:$EC$4,2,FALSE),FALSE)</f>
        <v>3</v>
      </c>
      <c r="AZ14" s="58">
        <f>VLOOKUP($A14,historia!$A$5:$CM$24,+HLOOKUP(AZ$2,historia!$A$3:$EC$4,2,FALSE),FALSE)</f>
        <v>3</v>
      </c>
      <c r="BA14" s="58">
        <f>VLOOKUP($A14,historia!$A$5:$CM$24,+HLOOKUP(BA$2,historia!$A$3:$EC$4,2,FALSE),FALSE)</f>
        <v>3</v>
      </c>
      <c r="BB14" s="58"/>
      <c r="BC14" s="58"/>
      <c r="BD14" s="286">
        <v>3</v>
      </c>
      <c r="BE14" t="str">
        <f t="shared" si="20"/>
        <v>Leche</v>
      </c>
      <c r="BF14">
        <f>+datos!BN1</f>
        <v>66</v>
      </c>
      <c r="BG14" s="2" t="str">
        <f t="shared" si="4"/>
        <v>$/l</v>
      </c>
      <c r="BH14" s="2">
        <f t="shared" si="4"/>
        <v>467.92</v>
      </c>
      <c r="BI14" s="2">
        <f t="shared" si="4"/>
        <v>461.01</v>
      </c>
      <c r="BJ14" s="2">
        <f t="shared" si="4"/>
        <v>389.33</v>
      </c>
      <c r="BL14">
        <f>+datos!DC1</f>
        <v>107</v>
      </c>
      <c r="BM14" s="2">
        <f t="shared" si="21"/>
        <v>10260.345395493228</v>
      </c>
      <c r="BN14" s="2">
        <f t="shared" si="21"/>
        <v>11091.164885000075</v>
      </c>
      <c r="BO14" s="2">
        <f t="shared" si="21"/>
        <v>8087.6814680346288</v>
      </c>
      <c r="BQ14" s="1">
        <f>+datos!EN1</f>
        <v>144</v>
      </c>
      <c r="BR14" s="1">
        <f t="shared" si="22"/>
        <v>3017148</v>
      </c>
      <c r="BS14" s="1">
        <f t="shared" si="22"/>
        <v>3169981</v>
      </c>
      <c r="BU14" s="1">
        <f>+datos!HP1</f>
        <v>224</v>
      </c>
      <c r="BV14" s="1">
        <f t="shared" si="23"/>
        <v>10987.917579999999</v>
      </c>
      <c r="BW14" s="1">
        <f t="shared" si="23"/>
        <v>10729.444495900923</v>
      </c>
      <c r="BY14" s="1">
        <f>+datos!KH1</f>
        <v>294</v>
      </c>
      <c r="BZ14" s="1">
        <f t="shared" si="39"/>
        <v>1610.1123672100002</v>
      </c>
      <c r="CA14" s="1">
        <f t="shared" si="40"/>
        <v>1517.3983468599999</v>
      </c>
      <c r="CC14" s="1">
        <f>+datos!LM1</f>
        <v>325</v>
      </c>
      <c r="CD14" s="2">
        <f t="shared" si="24"/>
        <v>23.06828629</v>
      </c>
      <c r="CE14" s="2">
        <f t="shared" si="25"/>
        <v>21.436163620000002</v>
      </c>
      <c r="CG14" s="1">
        <f>+datos!IN1</f>
        <v>248</v>
      </c>
      <c r="CH14" s="1">
        <f t="shared" si="26"/>
        <v>195.7</v>
      </c>
      <c r="CI14" s="1">
        <f t="shared" si="27"/>
        <v>155.80000000000001</v>
      </c>
      <c r="CK14" s="1">
        <f t="shared" si="28"/>
        <v>135.14119298</v>
      </c>
      <c r="CL14" s="1">
        <f t="shared" si="28"/>
        <v>121.87302321000003</v>
      </c>
      <c r="CM14" s="1">
        <f t="shared" si="28"/>
        <v>90.118424640000015</v>
      </c>
      <c r="CN14" s="1">
        <f t="shared" si="28"/>
        <v>158.22857195999995</v>
      </c>
      <c r="CO14" s="1">
        <f t="shared" si="28"/>
        <v>133.12937443000001</v>
      </c>
      <c r="CP14" s="1">
        <f t="shared" si="28"/>
        <v>150.81206259999999</v>
      </c>
      <c r="CQ14" s="1">
        <f t="shared" si="28"/>
        <v>173.78517034999999</v>
      </c>
      <c r="CR14" s="1">
        <f t="shared" si="28"/>
        <v>162.27196751000002</v>
      </c>
      <c r="CS14" s="1">
        <f t="shared" si="28"/>
        <v>136.36151781000004</v>
      </c>
      <c r="CT14" s="1">
        <f t="shared" si="28"/>
        <v>114.33182424</v>
      </c>
      <c r="CU14" s="1">
        <f t="shared" si="28"/>
        <v>131.64359017999999</v>
      </c>
      <c r="CV14" s="1">
        <f t="shared" si="28"/>
        <v>102.41564730000002</v>
      </c>
      <c r="CW14" s="1">
        <f t="shared" si="28"/>
        <v>113.57779348999999</v>
      </c>
      <c r="CX14" s="1">
        <f t="shared" si="28"/>
        <v>118.3786056</v>
      </c>
      <c r="CY14" s="1">
        <f t="shared" si="28"/>
        <v>126.46519539000002</v>
      </c>
      <c r="CZ14" s="1">
        <f t="shared" si="28"/>
        <v>140.50614890000003</v>
      </c>
      <c r="DA14" s="1">
        <f t="shared" si="29"/>
        <v>139.44218023000002</v>
      </c>
      <c r="DB14" s="1">
        <f t="shared" si="29"/>
        <v>153.04661877999999</v>
      </c>
      <c r="DC14" s="1">
        <f t="shared" si="29"/>
        <v>136.81239812999999</v>
      </c>
      <c r="DD14" s="1">
        <f t="shared" si="29"/>
        <v>134.16752365000002</v>
      </c>
      <c r="DE14" s="1">
        <f t="shared" si="29"/>
        <v>114.82793965999997</v>
      </c>
      <c r="DF14" s="1">
        <f t="shared" si="29"/>
        <v>120.47507141999999</v>
      </c>
      <c r="DG14" s="1">
        <f t="shared" si="29"/>
        <v>118.84770241</v>
      </c>
      <c r="DH14" s="1">
        <f t="shared" si="29"/>
        <v>100.85116919999999</v>
      </c>
      <c r="DJ14" s="1">
        <f t="shared" si="30"/>
        <v>2.3449699800000001</v>
      </c>
      <c r="DK14" s="1">
        <f t="shared" si="30"/>
        <v>1.8496573299999999</v>
      </c>
      <c r="DL14" s="1">
        <f t="shared" si="30"/>
        <v>2.6840408</v>
      </c>
      <c r="DM14" s="1">
        <f t="shared" si="30"/>
        <v>2.90139879</v>
      </c>
      <c r="DN14" s="1">
        <f t="shared" si="30"/>
        <v>2.9139955600000005</v>
      </c>
      <c r="DO14" s="1">
        <f t="shared" si="30"/>
        <v>1.6254967600000001</v>
      </c>
      <c r="DP14" s="1">
        <f t="shared" si="30"/>
        <v>2.6289957100000003</v>
      </c>
      <c r="DQ14" s="1">
        <f t="shared" si="30"/>
        <v>0.92402921999999987</v>
      </c>
      <c r="DR14" s="1">
        <f t="shared" si="30"/>
        <v>1.0080099199999999</v>
      </c>
      <c r="DS14" s="1">
        <f t="shared" si="30"/>
        <v>0.81005326000000022</v>
      </c>
      <c r="DT14" s="1">
        <f t="shared" si="30"/>
        <v>2.5429137699999997</v>
      </c>
      <c r="DU14" s="1">
        <f t="shared" si="30"/>
        <v>0.83472519000000012</v>
      </c>
      <c r="DV14" s="1">
        <f t="shared" si="30"/>
        <v>1.6658761100000001</v>
      </c>
      <c r="DW14" s="1">
        <f t="shared" si="30"/>
        <v>1.6724867599999997</v>
      </c>
      <c r="DX14" s="1">
        <f t="shared" si="30"/>
        <v>1.92660527</v>
      </c>
      <c r="DY14" s="1">
        <f t="shared" si="30"/>
        <v>0.38991597</v>
      </c>
      <c r="DZ14" s="1">
        <f t="shared" si="31"/>
        <v>3.0425877200000002</v>
      </c>
      <c r="EA14" s="1">
        <f t="shared" si="31"/>
        <v>1.8227840799999999</v>
      </c>
      <c r="EB14" s="1">
        <f t="shared" si="31"/>
        <v>2.1288867499999999</v>
      </c>
      <c r="EC14" s="1">
        <f t="shared" si="31"/>
        <v>2.0947676</v>
      </c>
      <c r="ED14" s="1">
        <f t="shared" si="31"/>
        <v>1.2699740900000001</v>
      </c>
      <c r="EE14" s="1">
        <f t="shared" si="31"/>
        <v>1.3202370399999999</v>
      </c>
      <c r="EF14" s="1">
        <f t="shared" si="31"/>
        <v>2.29115132</v>
      </c>
      <c r="EG14" s="1">
        <f t="shared" si="31"/>
        <v>1.8108909100000001</v>
      </c>
      <c r="EI14" s="14">
        <f t="shared" si="32"/>
        <v>195.7</v>
      </c>
      <c r="EJ14" s="14">
        <f t="shared" si="32"/>
        <v>194.1</v>
      </c>
      <c r="EK14" s="1">
        <f t="shared" si="32"/>
        <v>191</v>
      </c>
      <c r="EL14" s="1">
        <f t="shared" si="32"/>
        <v>181.1</v>
      </c>
      <c r="EM14" s="1">
        <f t="shared" si="32"/>
        <v>170.3</v>
      </c>
      <c r="EN14" s="1">
        <f t="shared" si="32"/>
        <v>170.9</v>
      </c>
      <c r="EO14" s="1">
        <f t="shared" si="32"/>
        <v>168.7</v>
      </c>
      <c r="EP14" s="1">
        <f t="shared" si="32"/>
        <v>160.6</v>
      </c>
      <c r="EQ14" s="1">
        <f t="shared" si="32"/>
        <v>160.6</v>
      </c>
      <c r="ER14" s="1">
        <f t="shared" si="32"/>
        <v>160.6</v>
      </c>
      <c r="ES14" s="1">
        <f t="shared" si="32"/>
        <v>160.6</v>
      </c>
      <c r="ET14" s="1">
        <f t="shared" si="32"/>
        <v>156.30000000000001</v>
      </c>
      <c r="EU14" s="1">
        <f t="shared" si="32"/>
        <v>155.80000000000001</v>
      </c>
      <c r="EV14" s="1">
        <f t="shared" si="32"/>
        <v>159.5</v>
      </c>
      <c r="EW14" s="1">
        <f t="shared" si="32"/>
        <v>170.8</v>
      </c>
      <c r="EX14" s="1">
        <f t="shared" si="32"/>
        <v>170.8</v>
      </c>
      <c r="EY14" s="1">
        <f t="shared" si="33"/>
        <v>187.7</v>
      </c>
      <c r="EZ14" s="1">
        <f t="shared" si="33"/>
        <v>196.8</v>
      </c>
      <c r="FA14" s="1">
        <f t="shared" si="33"/>
        <v>196.8</v>
      </c>
      <c r="FB14" s="1">
        <f t="shared" si="33"/>
        <v>188.6</v>
      </c>
      <c r="FC14" s="1">
        <f t="shared" si="33"/>
        <v>188.6</v>
      </c>
      <c r="FD14" s="1">
        <f t="shared" si="33"/>
        <v>188.6</v>
      </c>
      <c r="FE14" s="1">
        <f t="shared" si="33"/>
        <v>188.6</v>
      </c>
      <c r="FF14" s="1">
        <f t="shared" si="33"/>
        <v>188.6</v>
      </c>
      <c r="FH14" s="162">
        <f t="shared" si="34"/>
        <v>-6.6779056939155534E-2</v>
      </c>
    </row>
    <row r="15" spans="1:164" ht="18.75" customHeight="1">
      <c r="A15" s="244" t="s">
        <v>68</v>
      </c>
      <c r="B15" s="247"/>
      <c r="C15" s="228">
        <v>0</v>
      </c>
      <c r="D15" s="229">
        <v>-1</v>
      </c>
      <c r="E15" s="253">
        <f t="shared" si="6"/>
        <v>-5.5525727069351216E-2</v>
      </c>
      <c r="F15" s="254">
        <f t="shared" si="7"/>
        <v>-7.0537735548665381E-2</v>
      </c>
      <c r="G15" s="253">
        <f t="shared" si="8"/>
        <v>-1.4354467942256033E-2</v>
      </c>
      <c r="H15" s="254">
        <f t="shared" si="9"/>
        <v>-4.1171259127095183E-2</v>
      </c>
      <c r="I15" s="253">
        <f t="shared" si="10"/>
        <v>7.1547566856641875E-2</v>
      </c>
      <c r="J15" s="254">
        <f t="shared" si="11"/>
        <v>-0.36323904196844903</v>
      </c>
      <c r="K15" s="253">
        <f t="shared" si="12"/>
        <v>0.33788469361544982</v>
      </c>
      <c r="L15" s="254">
        <f t="shared" si="13"/>
        <v>-0.26633712675880794</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-0.55478181866101051</v>
      </c>
      <c r="X15" s="258">
        <f t="shared" si="17"/>
        <v>-0.55478181866101051</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4</v>
      </c>
      <c r="AQ15" s="28">
        <f>VLOOKUP($A15,historia!$A$5:$CM$24,+HLOOKUP(AQ$2,historia!$A$3:$EC$4,2,FALSE),FALSE)</f>
        <v>5</v>
      </c>
      <c r="AR15" s="28">
        <f>VLOOKUP($A15,historia!$A$5:$CM$24,+HLOOKUP(AR$2,historia!$A$3:$EC$4,2,FALSE),FALSE)</f>
        <v>5</v>
      </c>
      <c r="AS15" s="28">
        <f>VLOOKUP($A15,historia!$A$5:$CM$24,+HLOOKUP(AS$2,historia!$A$3:$EC$4,2,FALSE),FALSE)</f>
        <v>5</v>
      </c>
      <c r="AT15" s="58">
        <f>VLOOKUP($A15,historia!$A$5:$CM$24,+HLOOKUP(AT$2,historia!$A$3:$EC$4,2,FALSE),FALSE)</f>
        <v>5</v>
      </c>
      <c r="AU15" s="58">
        <f>VLOOKUP($A15,historia!$A$5:$CM$24,+HLOOKUP(AU$2,historia!$A$3:$EC$4,2,FALSE),FALSE)</f>
        <v>5</v>
      </c>
      <c r="AV15" s="58">
        <f>VLOOKUP($A15,historia!$A$5:$CM$24,+HLOOKUP(AV$2,historia!$A$3:$EC$4,2,FALSE),FALSE)</f>
        <v>5</v>
      </c>
      <c r="AW15" s="58">
        <f>VLOOKUP($A15,historia!$A$5:$CM$24,+HLOOKUP(AW$2,historia!$A$3:$EC$4,2,FALSE),FALSE)</f>
        <v>5</v>
      </c>
      <c r="AX15" s="58">
        <f>VLOOKUP($A15,historia!$A$5:$CM$24,+HLOOKUP(AX$2,historia!$A$3:$EC$4,2,FALSE),FALSE)</f>
        <v>5</v>
      </c>
      <c r="AY15" s="58">
        <f>VLOOKUP($A15,historia!$A$5:$CM$24,+HLOOKUP(AY$2,historia!$A$3:$EC$4,2,FALSE),FALSE)</f>
        <v>4</v>
      </c>
      <c r="AZ15" s="58">
        <f>VLOOKUP($A15,historia!$A$5:$CM$24,+HLOOKUP(AZ$2,historia!$A$3:$EC$4,2,FALSE),FALSE)</f>
        <v>4</v>
      </c>
      <c r="BA15" s="58">
        <f>VLOOKUP($A15,historia!$A$5:$CM$24,+HLOOKUP(BA$2,historia!$A$3:$EC$4,2,FALSE),FALSE)</f>
        <v>4</v>
      </c>
      <c r="BB15" s="58"/>
      <c r="BC15" s="58"/>
      <c r="BD15" s="286">
        <v>4</v>
      </c>
      <c r="BE15" t="str">
        <f t="shared" si="20"/>
        <v>Mandioca</v>
      </c>
      <c r="BF15">
        <f>+datos!AW1</f>
        <v>49</v>
      </c>
      <c r="BG15" s="2" t="str">
        <f t="shared" si="4"/>
        <v>$/bolsa40kg</v>
      </c>
      <c r="BH15" s="2">
        <f t="shared" si="4"/>
        <v>11110</v>
      </c>
      <c r="BI15" s="2">
        <f t="shared" si="4"/>
        <v>11763.157894736842</v>
      </c>
      <c r="BJ15" s="2">
        <f t="shared" si="4"/>
        <v>10368.181818181818</v>
      </c>
      <c r="BL15">
        <f>+datos!CJ1</f>
        <v>88</v>
      </c>
      <c r="BM15" s="2">
        <f t="shared" si="21"/>
        <v>9451.0275672580756</v>
      </c>
      <c r="BN15" s="2">
        <f t="shared" si="21"/>
        <v>9588.6677916827284</v>
      </c>
      <c r="BO15" s="2">
        <f t="shared" si="21"/>
        <v>7064.1570326348301</v>
      </c>
      <c r="BQ15" s="1">
        <f>+datos!EY1</f>
        <v>155</v>
      </c>
      <c r="BR15" s="1">
        <f t="shared" si="22"/>
        <v>20031</v>
      </c>
      <c r="BS15" s="1">
        <f t="shared" si="22"/>
        <v>20031</v>
      </c>
      <c r="BU15" s="1">
        <f>+datos!GO1</f>
        <v>197</v>
      </c>
      <c r="BV15" s="1">
        <f t="shared" si="23"/>
        <v>201734</v>
      </c>
      <c r="BW15" s="1">
        <f t="shared" si="23"/>
        <v>201734</v>
      </c>
      <c r="BY15" s="1">
        <f>+datos!JP1</f>
        <v>276</v>
      </c>
      <c r="BZ15" s="1">
        <f t="shared" si="39"/>
        <v>0</v>
      </c>
      <c r="CA15" s="1">
        <f t="shared" si="40"/>
        <v>0</v>
      </c>
      <c r="CC15" s="1">
        <f>+datos!KU1</f>
        <v>307</v>
      </c>
      <c r="CD15" s="2">
        <f t="shared" si="24"/>
        <v>2.0776394800000002</v>
      </c>
      <c r="CE15" s="2">
        <f t="shared" si="25"/>
        <v>4.6665647700000008</v>
      </c>
      <c r="CG15" s="1">
        <f>+datos!IY1</f>
        <v>259</v>
      </c>
      <c r="CH15" s="1">
        <f t="shared" si="26"/>
        <v>1.88</v>
      </c>
      <c r="CI15" s="1">
        <f t="shared" si="27"/>
        <v>1.88</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8"/>
        <v>0</v>
      </c>
      <c r="DA15" s="1">
        <f t="shared" si="29"/>
        <v>0</v>
      </c>
      <c r="DB15" s="1">
        <f t="shared" si="29"/>
        <v>0</v>
      </c>
      <c r="DC15" s="1">
        <f t="shared" si="29"/>
        <v>0</v>
      </c>
      <c r="DD15" s="1">
        <f t="shared" si="29"/>
        <v>0</v>
      </c>
      <c r="DE15" s="1">
        <f t="shared" si="29"/>
        <v>0</v>
      </c>
      <c r="DF15" s="1">
        <f t="shared" si="29"/>
        <v>0</v>
      </c>
      <c r="DG15" s="1">
        <f t="shared" si="29"/>
        <v>0</v>
      </c>
      <c r="DH15" s="1">
        <f t="shared" si="29"/>
        <v>0</v>
      </c>
      <c r="DJ15" s="14">
        <f t="shared" si="30"/>
        <v>0.33740116000000003</v>
      </c>
      <c r="DK15" s="14">
        <f t="shared" si="30"/>
        <v>0.28762799999999999</v>
      </c>
      <c r="DL15" s="1">
        <f t="shared" si="30"/>
        <v>0.10344400999999999</v>
      </c>
      <c r="DM15" s="1">
        <f t="shared" si="30"/>
        <v>4.4833160000000004E-2</v>
      </c>
      <c r="DN15" s="1">
        <f t="shared" si="30"/>
        <v>0.14172798</v>
      </c>
      <c r="DO15" s="1">
        <f t="shared" si="30"/>
        <v>7.4560410000000008E-2</v>
      </c>
      <c r="DP15" s="1">
        <f t="shared" si="30"/>
        <v>0.28059129999999999</v>
      </c>
      <c r="DQ15" s="1">
        <f t="shared" si="30"/>
        <v>0.15169276000000001</v>
      </c>
      <c r="DR15" s="1">
        <f t="shared" si="30"/>
        <v>0.14711371000000001</v>
      </c>
      <c r="DS15" s="1">
        <f t="shared" si="30"/>
        <v>0.18175015000000003</v>
      </c>
      <c r="DT15" s="1">
        <f t="shared" si="30"/>
        <v>0.15569543999999999</v>
      </c>
      <c r="DU15" s="1">
        <f t="shared" si="30"/>
        <v>0.1712014</v>
      </c>
      <c r="DV15" s="1">
        <f t="shared" si="30"/>
        <v>0.12198517</v>
      </c>
      <c r="DW15" s="1">
        <f t="shared" si="30"/>
        <v>1.6812999999999999E-3</v>
      </c>
      <c r="DX15" s="1">
        <f t="shared" si="30"/>
        <v>2.8195380000000003E-2</v>
      </c>
      <c r="DY15" s="1">
        <f t="shared" si="30"/>
        <v>4.9277770000000005E-2</v>
      </c>
      <c r="DZ15" s="1">
        <f t="shared" si="31"/>
        <v>0.21358802999999996</v>
      </c>
      <c r="EA15" s="1">
        <f t="shared" si="31"/>
        <v>0.24099903000000003</v>
      </c>
      <c r="EB15" s="1">
        <f t="shared" si="31"/>
        <v>0.39667624000000001</v>
      </c>
      <c r="EC15" s="1">
        <f t="shared" si="31"/>
        <v>0.47948613000000001</v>
      </c>
      <c r="ED15" s="1">
        <f t="shared" si="31"/>
        <v>0.13955175</v>
      </c>
      <c r="EE15" s="1">
        <f t="shared" si="31"/>
        <v>0.88368341000000006</v>
      </c>
      <c r="EF15" s="1">
        <f t="shared" si="31"/>
        <v>0.91695114999999994</v>
      </c>
      <c r="EG15" s="1">
        <f t="shared" si="31"/>
        <v>1.1944894100000001</v>
      </c>
      <c r="EI15" s="14">
        <f t="shared" si="32"/>
        <v>1.88</v>
      </c>
      <c r="EJ15" s="14">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2"/>
        <v>1.88</v>
      </c>
      <c r="EY15" s="1">
        <f t="shared" si="33"/>
        <v>1.88</v>
      </c>
      <c r="EZ15" s="1">
        <f t="shared" si="33"/>
        <v>1.88</v>
      </c>
      <c r="FA15" s="1">
        <f t="shared" si="33"/>
        <v>1.88</v>
      </c>
      <c r="FB15" s="1">
        <f t="shared" si="33"/>
        <v>1.88</v>
      </c>
      <c r="FC15" s="1">
        <f t="shared" si="33"/>
        <v>1.88</v>
      </c>
      <c r="FD15" s="1">
        <f t="shared" si="33"/>
        <v>1.88</v>
      </c>
      <c r="FE15" s="1">
        <f t="shared" si="33"/>
        <v>1.88</v>
      </c>
      <c r="FF15" s="1">
        <f t="shared" si="33"/>
        <v>1.88</v>
      </c>
      <c r="FH15" s="162">
        <f t="shared" si="34"/>
        <v>-0.26633712675880794</v>
      </c>
    </row>
    <row r="16" spans="1:164" ht="18" customHeight="1">
      <c r="A16" s="243" t="s">
        <v>25</v>
      </c>
      <c r="B16" s="246"/>
      <c r="C16" s="156">
        <f t="shared" si="5"/>
        <v>-0.66</v>
      </c>
      <c r="D16" s="198">
        <v>-1</v>
      </c>
      <c r="E16" s="248">
        <f t="shared" si="6"/>
        <v>-0.16782908639501548</v>
      </c>
      <c r="F16" s="249">
        <f t="shared" si="7"/>
        <v>-0.18284109487432965</v>
      </c>
      <c r="G16" s="248">
        <f t="shared" si="8"/>
        <v>-8.0391584229244417E-2</v>
      </c>
      <c r="H16" s="249">
        <f t="shared" si="9"/>
        <v>-8.7437502165771064E-2</v>
      </c>
      <c r="I16" s="248">
        <f t="shared" si="10"/>
        <v>-0.1203964327430217</v>
      </c>
      <c r="J16" s="249">
        <f t="shared" si="11"/>
        <v>-0.5551830415681126</v>
      </c>
      <c r="K16" s="248">
        <f t="shared" si="12"/>
        <v>5.0506259705685341E-2</v>
      </c>
      <c r="L16" s="249">
        <f t="shared" si="13"/>
        <v>-0.17090269244870704</v>
      </c>
      <c r="M16" s="250"/>
      <c r="N16" s="24">
        <v>1</v>
      </c>
      <c r="O16" s="248">
        <f t="shared" si="35"/>
        <v>0.25148262863454107</v>
      </c>
      <c r="P16" s="251">
        <f t="shared" si="36"/>
        <v>0.25148262863454107</v>
      </c>
      <c r="Q16" s="248">
        <f t="shared" si="14"/>
        <v>0.18097153276393052</v>
      </c>
      <c r="R16" s="251">
        <f t="shared" si="37"/>
        <v>0.18097153276393052</v>
      </c>
      <c r="S16" s="250"/>
      <c r="T16" s="24">
        <v>-2</v>
      </c>
      <c r="U16" s="248">
        <f t="shared" si="15"/>
        <v>0.37733187844966021</v>
      </c>
      <c r="V16" s="252">
        <f t="shared" si="16"/>
        <v>0.37733187844966021</v>
      </c>
      <c r="W16" s="248"/>
      <c r="X16" s="252"/>
      <c r="Y16" s="248">
        <f t="shared" si="18"/>
        <v>0.10778443113772451</v>
      </c>
      <c r="Z16" s="252">
        <f t="shared" si="19"/>
        <v>0.10778443113772451</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3</v>
      </c>
      <c r="AQ16" s="28">
        <f>VLOOKUP($A16,historia!$A$5:$CM$24,+HLOOKUP(AQ$2,historia!$A$3:$EC$4,2,FALSE),FALSE)</f>
        <v>4</v>
      </c>
      <c r="AR16" s="28">
        <f>VLOOKUP($A16,historia!$A$5:$CM$24,+HLOOKUP(AR$2,historia!$A$3:$EC$4,2,FALSE),FALSE)</f>
        <v>4</v>
      </c>
      <c r="AS16" s="28">
        <f>VLOOKUP($A16,historia!$A$5:$CM$24,+HLOOKUP(AS$2,historia!$A$3:$EC$4,2,FALSE),FALSE)</f>
        <v>4</v>
      </c>
      <c r="AT16" s="58">
        <f>VLOOKUP($A16,historia!$A$5:$CM$24,+HLOOKUP(AT$2,historia!$A$3:$EC$4,2,FALSE),FALSE)</f>
        <v>4</v>
      </c>
      <c r="AU16" s="58">
        <f>VLOOKUP($A16,historia!$A$5:$CM$24,+HLOOKUP(AU$2,historia!$A$3:$EC$4,2,FALSE),FALSE)</f>
        <v>4</v>
      </c>
      <c r="AV16" s="58">
        <f>VLOOKUP($A16,historia!$A$5:$CM$24,+HLOOKUP(AV$2,historia!$A$3:$EC$4,2,FALSE),FALSE)</f>
        <v>4</v>
      </c>
      <c r="AW16" s="58">
        <f>VLOOKUP($A16,historia!$A$5:$CM$24,+HLOOKUP(AW$2,historia!$A$3:$EC$4,2,FALSE),FALSE)</f>
        <v>2</v>
      </c>
      <c r="AX16" s="58">
        <f>VLOOKUP($A16,historia!$A$5:$CM$24,+HLOOKUP(AX$2,historia!$A$3:$EC$4,2,FALSE),FALSE)</f>
        <v>2</v>
      </c>
      <c r="AY16" s="58">
        <f>VLOOKUP($A16,historia!$A$5:$CM$24,+HLOOKUP(AY$2,historia!$A$3:$EC$4,2,FALSE),FALSE)</f>
        <v>3</v>
      </c>
      <c r="AZ16" s="58">
        <f>VLOOKUP($A16,historia!$A$5:$CM$24,+HLOOKUP(AZ$2,historia!$A$3:$EC$4,2,FALSE),FALSE)</f>
        <v>3</v>
      </c>
      <c r="BA16" s="58">
        <f>VLOOKUP($A16,historia!$A$5:$CM$24,+HLOOKUP(BA$2,historia!$A$3:$EC$4,2,FALSE),FALSE)</f>
        <v>3</v>
      </c>
      <c r="BB16" s="58"/>
      <c r="BC16" s="58"/>
      <c r="BD16" s="286">
        <v>3</v>
      </c>
      <c r="BE16" t="str">
        <f t="shared" si="20"/>
        <v>Maní</v>
      </c>
      <c r="BF16">
        <f>+datos!AF1</f>
        <v>32</v>
      </c>
      <c r="BG16" s="2" t="str">
        <f t="shared" si="4"/>
        <v>$/t</v>
      </c>
      <c r="BH16" s="2">
        <f t="shared" si="4"/>
        <v>693600</v>
      </c>
      <c r="BI16" s="2">
        <f t="shared" si="4"/>
        <v>833482.62797999999</v>
      </c>
      <c r="BJ16" s="2">
        <f t="shared" si="4"/>
        <v>788537.04761904757</v>
      </c>
      <c r="BL16">
        <f>+datos!CH1</f>
        <v>86</v>
      </c>
      <c r="BM16" s="2">
        <f t="shared" si="21"/>
        <v>10028.863980684835</v>
      </c>
      <c r="BN16" s="2">
        <f t="shared" si="21"/>
        <v>10905.580906715928</v>
      </c>
      <c r="BO16" s="2">
        <f t="shared" si="21"/>
        <v>9546.6960696593742</v>
      </c>
      <c r="BQ16" s="1">
        <f>+datos!EB1</f>
        <v>132</v>
      </c>
      <c r="BR16" s="1">
        <f t="shared" si="22"/>
        <v>521230</v>
      </c>
      <c r="BS16" s="1">
        <f t="shared" si="22"/>
        <v>416490</v>
      </c>
      <c r="BU16" s="1">
        <f>+datos!FW1</f>
        <v>179</v>
      </c>
      <c r="BV16" s="1">
        <f t="shared" si="23"/>
        <v>1895131</v>
      </c>
      <c r="BW16" s="1">
        <f t="shared" si="23"/>
        <v>1604722</v>
      </c>
      <c r="BY16" s="1">
        <f>+datos!JK1</f>
        <v>271</v>
      </c>
      <c r="BZ16" s="1">
        <f t="shared" si="39"/>
        <v>1490.4054645300002</v>
      </c>
      <c r="CA16" s="1">
        <f t="shared" si="40"/>
        <v>1082.09610759</v>
      </c>
      <c r="CC16" s="1">
        <f>+datos!KP1</f>
        <v>302</v>
      </c>
      <c r="CD16" s="2">
        <f t="shared" si="24"/>
        <v>1.7308238100000002</v>
      </c>
      <c r="CE16" s="2">
        <f t="shared" si="25"/>
        <v>2.9400017000000003</v>
      </c>
      <c r="CG16" s="1">
        <f>+datos!IJ1</f>
        <v>244</v>
      </c>
      <c r="CH16" s="1">
        <f t="shared" si="26"/>
        <v>2.3888080854826579</v>
      </c>
      <c r="CI16" s="1">
        <f t="shared" si="27"/>
        <v>2.1563835150032644</v>
      </c>
      <c r="CK16" s="1">
        <f t="shared" si="28"/>
        <v>97.139552130000013</v>
      </c>
      <c r="CL16" s="1">
        <f t="shared" si="28"/>
        <v>94.262180470000018</v>
      </c>
      <c r="CM16" s="1">
        <f t="shared" si="28"/>
        <v>104.16408064999997</v>
      </c>
      <c r="CN16" s="1">
        <f t="shared" si="28"/>
        <v>129.66034791999999</v>
      </c>
      <c r="CO16" s="1">
        <f t="shared" si="28"/>
        <v>100.29183523999998</v>
      </c>
      <c r="CP16" s="1">
        <f t="shared" si="28"/>
        <v>142.99991008000001</v>
      </c>
      <c r="CQ16" s="1">
        <f t="shared" si="28"/>
        <v>153.43391492999999</v>
      </c>
      <c r="CR16" s="1">
        <f t="shared" si="28"/>
        <v>142.09253510999997</v>
      </c>
      <c r="CS16" s="1">
        <f t="shared" si="28"/>
        <v>155.33708399000002</v>
      </c>
      <c r="CT16" s="1">
        <f t="shared" si="28"/>
        <v>156.99934678</v>
      </c>
      <c r="CU16" s="1">
        <f t="shared" si="28"/>
        <v>115.53726275000001</v>
      </c>
      <c r="CV16" s="1">
        <f t="shared" si="28"/>
        <v>98.487414479999984</v>
      </c>
      <c r="CW16" s="1">
        <f t="shared" si="28"/>
        <v>63.473924160000003</v>
      </c>
      <c r="CX16" s="1">
        <f t="shared" si="28"/>
        <v>65.127016839999982</v>
      </c>
      <c r="CY16" s="1">
        <f t="shared" si="28"/>
        <v>70.784594500000011</v>
      </c>
      <c r="CZ16" s="1">
        <f t="shared" si="28"/>
        <v>111.62267066999999</v>
      </c>
      <c r="DA16" s="1">
        <f t="shared" si="29"/>
        <v>100.80321882999999</v>
      </c>
      <c r="DB16" s="1">
        <f t="shared" si="29"/>
        <v>90.064767340000003</v>
      </c>
      <c r="DC16" s="1">
        <f t="shared" si="29"/>
        <v>96.183340330000021</v>
      </c>
      <c r="DD16" s="1">
        <f t="shared" si="29"/>
        <v>89.024842150000026</v>
      </c>
      <c r="DE16" s="1">
        <f t="shared" si="29"/>
        <v>102.74257099999998</v>
      </c>
      <c r="DF16" s="1">
        <f t="shared" si="29"/>
        <v>102.43695814</v>
      </c>
      <c r="DG16" s="1">
        <f t="shared" si="29"/>
        <v>100.03941109999997</v>
      </c>
      <c r="DH16" s="1">
        <f t="shared" si="29"/>
        <v>89.79279253</v>
      </c>
      <c r="DJ16" s="1">
        <f t="shared" si="30"/>
        <v>1.9420499999999999E-3</v>
      </c>
      <c r="DK16" s="1">
        <f t="shared" si="30"/>
        <v>1.0560452</v>
      </c>
      <c r="DL16" s="1">
        <f t="shared" si="30"/>
        <v>3.8992409999999998E-2</v>
      </c>
      <c r="DM16" s="1">
        <f t="shared" si="30"/>
        <v>0</v>
      </c>
      <c r="DN16" s="1">
        <f t="shared" si="30"/>
        <v>5.2225250000000001E-2</v>
      </c>
      <c r="DO16" s="1">
        <f t="shared" si="30"/>
        <v>0.22862400000000002</v>
      </c>
      <c r="DP16" s="1">
        <f t="shared" si="30"/>
        <v>2.6527899999999999E-3</v>
      </c>
      <c r="DQ16" s="1">
        <f t="shared" si="30"/>
        <v>1.6271E-3</v>
      </c>
      <c r="DR16" s="1">
        <f t="shared" si="30"/>
        <v>0.13444175</v>
      </c>
      <c r="DS16" s="1">
        <f t="shared" si="30"/>
        <v>4.2737620000000004E-2</v>
      </c>
      <c r="DT16" s="1">
        <f t="shared" si="30"/>
        <v>8.6628999999999998E-2</v>
      </c>
      <c r="DU16" s="1">
        <f t="shared" si="30"/>
        <v>8.4906640000000005E-2</v>
      </c>
      <c r="DV16" s="1">
        <f t="shared" si="30"/>
        <v>8.714181E-2</v>
      </c>
      <c r="DW16" s="1">
        <f t="shared" si="30"/>
        <v>0.111375</v>
      </c>
      <c r="DX16" s="1">
        <f t="shared" si="30"/>
        <v>0.12514284000000001</v>
      </c>
      <c r="DY16" s="1">
        <f t="shared" si="30"/>
        <v>0.69674917999999986</v>
      </c>
      <c r="DZ16" s="1">
        <f t="shared" si="31"/>
        <v>0.79684906</v>
      </c>
      <c r="EA16" s="1">
        <f t="shared" si="31"/>
        <v>0.24194792999999998</v>
      </c>
      <c r="EB16" s="1">
        <f t="shared" si="31"/>
        <v>0.11713932000000001</v>
      </c>
      <c r="EC16" s="1">
        <f t="shared" si="31"/>
        <v>0.45286999999999999</v>
      </c>
      <c r="ED16" s="1">
        <f t="shared" si="31"/>
        <v>5.563009E-2</v>
      </c>
      <c r="EE16" s="1">
        <f t="shared" si="31"/>
        <v>2.7416000000000002E-4</v>
      </c>
      <c r="EF16" s="1">
        <f t="shared" si="31"/>
        <v>0.12031510000000001</v>
      </c>
      <c r="EG16" s="1">
        <f t="shared" si="31"/>
        <v>0.13456720999999999</v>
      </c>
      <c r="EI16" s="14">
        <f t="shared" si="32"/>
        <v>2.3888080854826579</v>
      </c>
      <c r="EJ16" s="14">
        <f t="shared" si="32"/>
        <v>2.3888080854826579</v>
      </c>
      <c r="EK16" s="1">
        <f t="shared" si="32"/>
        <v>2.1563835150032644</v>
      </c>
      <c r="EL16" s="1">
        <f t="shared" si="32"/>
        <v>2.1563835150032644</v>
      </c>
      <c r="EM16" s="1">
        <f t="shared" si="32"/>
        <v>2.1563835150032644</v>
      </c>
      <c r="EN16" s="1">
        <f t="shared" si="32"/>
        <v>2.1563835150032644</v>
      </c>
      <c r="EO16" s="1">
        <f t="shared" si="32"/>
        <v>2.1563835150032644</v>
      </c>
      <c r="EP16" s="1">
        <f t="shared" si="32"/>
        <v>2.1563835150032644</v>
      </c>
      <c r="EQ16" s="1">
        <f t="shared" si="32"/>
        <v>2.1563835150032644</v>
      </c>
      <c r="ER16" s="1">
        <f t="shared" si="32"/>
        <v>2.1563835150032644</v>
      </c>
      <c r="ES16" s="1">
        <f t="shared" si="32"/>
        <v>2.1563835150032644</v>
      </c>
      <c r="ET16" s="1">
        <f t="shared" si="32"/>
        <v>2.1563835150032644</v>
      </c>
      <c r="EU16" s="1">
        <f t="shared" si="32"/>
        <v>2.1563835150032644</v>
      </c>
      <c r="EV16" s="1">
        <f t="shared" si="32"/>
        <v>2.1563835150032644</v>
      </c>
      <c r="EW16" s="1">
        <f t="shared" si="32"/>
        <v>1.9885213252125911</v>
      </c>
      <c r="EX16" s="1">
        <f t="shared" si="32"/>
        <v>1.9885213252125911</v>
      </c>
      <c r="EY16" s="1">
        <f t="shared" si="33"/>
        <v>1.9885213252125911</v>
      </c>
      <c r="EZ16" s="1">
        <f t="shared" si="33"/>
        <v>1.9885213252125911</v>
      </c>
      <c r="FA16" s="1">
        <f t="shared" si="33"/>
        <v>1.9885213252125911</v>
      </c>
      <c r="FB16" s="1">
        <f t="shared" si="33"/>
        <v>1.9885213252125911</v>
      </c>
      <c r="FC16" s="1">
        <f t="shared" si="33"/>
        <v>1.9885213252125911</v>
      </c>
      <c r="FD16" s="1">
        <f t="shared" si="33"/>
        <v>1.9885213252125911</v>
      </c>
      <c r="FE16" s="1">
        <f t="shared" si="33"/>
        <v>1.9885213252125911</v>
      </c>
      <c r="FF16" s="1">
        <f t="shared" si="33"/>
        <v>1.9885213252125911</v>
      </c>
      <c r="FH16" s="162">
        <f t="shared" si="34"/>
        <v>-0.17090269244870704</v>
      </c>
    </row>
    <row r="17" spans="1:164" ht="18.75" customHeight="1">
      <c r="A17" s="244" t="s">
        <v>76</v>
      </c>
      <c r="B17" s="247"/>
      <c r="C17" s="228">
        <f t="shared" si="5"/>
        <v>-0.99</v>
      </c>
      <c r="D17" s="229">
        <v>-1</v>
      </c>
      <c r="E17" s="253">
        <f t="shared" si="6"/>
        <v>7.8236914600551044E-2</v>
      </c>
      <c r="F17" s="254">
        <f t="shared" si="7"/>
        <v>6.3224906121236879E-2</v>
      </c>
      <c r="G17" s="253">
        <f t="shared" si="8"/>
        <v>-1.2589740644747272E-3</v>
      </c>
      <c r="H17" s="254">
        <f t="shared" si="9"/>
        <v>7.9495888665025771E-2</v>
      </c>
      <c r="I17" s="253">
        <f t="shared" si="10"/>
        <v>0.32140445644834581</v>
      </c>
      <c r="J17" s="254">
        <f t="shared" si="11"/>
        <v>-0.11338215237674509</v>
      </c>
      <c r="K17" s="253">
        <f t="shared" si="12"/>
        <v>0.3562493180501316</v>
      </c>
      <c r="L17" s="254">
        <f t="shared" si="13"/>
        <v>-3.4844861601785793E-2</v>
      </c>
      <c r="M17" s="255"/>
      <c r="N17" s="256">
        <v>-1</v>
      </c>
      <c r="O17" s="253">
        <f>IFERROR(+BR17/BS17-1,"")</f>
        <v>0.14285714285714279</v>
      </c>
      <c r="P17" s="257">
        <f t="shared" si="36"/>
        <v>0.14285714285714279</v>
      </c>
      <c r="Q17" s="253">
        <f t="shared" si="14"/>
        <v>8.2297934975540166E-2</v>
      </c>
      <c r="R17" s="257">
        <f t="shared" si="37"/>
        <v>8.2297934975540166E-2</v>
      </c>
      <c r="S17" s="255"/>
      <c r="T17" s="256">
        <v>-1</v>
      </c>
      <c r="U17" s="253">
        <f t="shared" si="15"/>
        <v>0.13274914658431625</v>
      </c>
      <c r="V17" s="258">
        <f t="shared" si="16"/>
        <v>0.13274914658431625</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3</v>
      </c>
      <c r="AX17" s="58">
        <f>VLOOKUP($A17,historia!$A$5:$CM$24,+HLOOKUP(AX$2,historia!$A$3:$EC$4,2,FALSE),FALSE)</f>
        <v>3</v>
      </c>
      <c r="AY17" s="58">
        <f>VLOOKUP($A17,historia!$A$5:$CM$24,+HLOOKUP(AY$2,historia!$A$3:$EC$4,2,FALSE),FALSE)</f>
        <v>3</v>
      </c>
      <c r="AZ17" s="58">
        <f>VLOOKUP($A17,historia!$A$5:$CM$24,+HLOOKUP(AZ$2,historia!$A$3:$EC$4,2,FALSE),FALSE)</f>
        <v>3</v>
      </c>
      <c r="BA17" s="58">
        <f>VLOOKUP($A17,historia!$A$5:$CM$24,+HLOOKUP(BA$2,historia!$A$3:$EC$4,2,FALSE),FALSE)</f>
        <v>3</v>
      </c>
      <c r="BB17" s="58"/>
      <c r="BC17" s="58"/>
      <c r="BD17" s="286">
        <v>3</v>
      </c>
      <c r="BE17" t="str">
        <f t="shared" si="20"/>
        <v>Miel</v>
      </c>
      <c r="BF17">
        <f>+datos!BV1</f>
        <v>74</v>
      </c>
      <c r="BG17" s="2" t="str">
        <f t="shared" si="4"/>
        <v>$/kg</v>
      </c>
      <c r="BH17" s="2">
        <f t="shared" si="4"/>
        <v>1957</v>
      </c>
      <c r="BI17" s="2">
        <f t="shared" si="4"/>
        <v>1815</v>
      </c>
      <c r="BJ17" s="2">
        <f t="shared" si="4"/>
        <v>1481</v>
      </c>
      <c r="BL17">
        <f>+datos!DH1</f>
        <v>112</v>
      </c>
      <c r="BM17" s="2">
        <f t="shared" si="21"/>
        <v>10181.56931290182</v>
      </c>
      <c r="BN17" s="2">
        <f t="shared" si="21"/>
        <v>10194.403802892444</v>
      </c>
      <c r="BO17" s="2">
        <f t="shared" si="21"/>
        <v>7507.1516552279472</v>
      </c>
      <c r="BQ17" s="1">
        <f>+datos!EQ1</f>
        <v>147</v>
      </c>
      <c r="BR17" s="1">
        <f t="shared" si="22"/>
        <v>4000000</v>
      </c>
      <c r="BS17" s="1">
        <f t="shared" si="22"/>
        <v>3500000</v>
      </c>
      <c r="BU17" s="1">
        <f>+datos!GP1</f>
        <v>198</v>
      </c>
      <c r="BV17" s="1">
        <f t="shared" si="23"/>
        <v>75000</v>
      </c>
      <c r="BW17" s="1">
        <f t="shared" si="23"/>
        <v>69297</v>
      </c>
      <c r="BY17" s="1">
        <f>+datos!KE1</f>
        <v>291</v>
      </c>
      <c r="BZ17" s="1">
        <f t="shared" si="39"/>
        <v>222.76819474999999</v>
      </c>
      <c r="CA17" s="1">
        <f t="shared" si="40"/>
        <v>196.66154277999999</v>
      </c>
      <c r="CC17" s="1">
        <f>+datos!LJ1</f>
        <v>322</v>
      </c>
      <c r="CD17" s="2">
        <f t="shared" si="24"/>
        <v>5.4628400000000001E-3</v>
      </c>
      <c r="CE17" s="2">
        <f>+SUM(DV17:EG17)</f>
        <v>9.3139300000000008E-2</v>
      </c>
      <c r="CG17" s="1">
        <f>+datos!IZ1</f>
        <v>260</v>
      </c>
      <c r="CH17" s="1">
        <f t="shared" si="26"/>
        <v>0.3</v>
      </c>
      <c r="CI17" s="1">
        <f t="shared" si="27"/>
        <v>0.3</v>
      </c>
      <c r="CK17" s="1">
        <f t="shared" si="28"/>
        <v>25.223589140000001</v>
      </c>
      <c r="CL17" s="1">
        <f t="shared" si="28"/>
        <v>23.185079629999997</v>
      </c>
      <c r="CM17" s="1">
        <f t="shared" si="28"/>
        <v>18.014525360000007</v>
      </c>
      <c r="CN17" s="1">
        <f t="shared" si="28"/>
        <v>15.906782769999998</v>
      </c>
      <c r="CO17" s="1">
        <f t="shared" si="28"/>
        <v>9.6274282100000015</v>
      </c>
      <c r="CP17" s="1">
        <f t="shared" si="28"/>
        <v>12.184475789999999</v>
      </c>
      <c r="CQ17" s="1">
        <f t="shared" si="28"/>
        <v>14.349162859999998</v>
      </c>
      <c r="CR17" s="1">
        <f t="shared" si="28"/>
        <v>24.378519029999993</v>
      </c>
      <c r="CS17" s="1">
        <f t="shared" si="28"/>
        <v>22.211636389999995</v>
      </c>
      <c r="CT17" s="1">
        <f t="shared" si="28"/>
        <v>18.934177090000006</v>
      </c>
      <c r="CU17" s="1">
        <f t="shared" si="28"/>
        <v>18.049853030000005</v>
      </c>
      <c r="CV17" s="1">
        <f t="shared" si="28"/>
        <v>20.702965450000001</v>
      </c>
      <c r="CW17" s="1">
        <f t="shared" si="28"/>
        <v>19.199801710000003</v>
      </c>
      <c r="CX17" s="1">
        <f t="shared" si="28"/>
        <v>16.174522229999997</v>
      </c>
      <c r="CY17" s="1">
        <f t="shared" si="28"/>
        <v>22.082734950000003</v>
      </c>
      <c r="CZ17" s="1">
        <f t="shared" si="28"/>
        <v>13.392344960000001</v>
      </c>
      <c r="DA17" s="1">
        <f t="shared" si="29"/>
        <v>10.971998660000001</v>
      </c>
      <c r="DB17" s="1">
        <f t="shared" si="29"/>
        <v>12.805239539999999</v>
      </c>
      <c r="DC17" s="1">
        <f t="shared" si="29"/>
        <v>13.943876809999997</v>
      </c>
      <c r="DD17" s="1">
        <f t="shared" si="29"/>
        <v>17.891480939999997</v>
      </c>
      <c r="DE17" s="1">
        <f t="shared" si="29"/>
        <v>16.805607889999997</v>
      </c>
      <c r="DF17" s="1">
        <f t="shared" si="29"/>
        <v>21.325973759999997</v>
      </c>
      <c r="DG17" s="1">
        <f t="shared" si="29"/>
        <v>17.230385739999999</v>
      </c>
      <c r="DH17" s="1">
        <f t="shared" si="29"/>
        <v>14.837575590000002</v>
      </c>
      <c r="DJ17" s="1">
        <f t="shared" si="30"/>
        <v>1.5264E-3</v>
      </c>
      <c r="DK17" s="1">
        <f t="shared" si="30"/>
        <v>0</v>
      </c>
      <c r="DL17" s="1">
        <f t="shared" si="30"/>
        <v>0</v>
      </c>
      <c r="DM17" s="1">
        <f t="shared" si="30"/>
        <v>3.5298E-3</v>
      </c>
      <c r="DN17" s="1">
        <f t="shared" si="30"/>
        <v>0</v>
      </c>
      <c r="DO17" s="1">
        <f t="shared" si="30"/>
        <v>0</v>
      </c>
      <c r="DP17" s="1">
        <f t="shared" si="30"/>
        <v>0</v>
      </c>
      <c r="DQ17" s="1">
        <f t="shared" si="30"/>
        <v>0</v>
      </c>
      <c r="DR17" s="1">
        <f t="shared" si="30"/>
        <v>4.0664E-4</v>
      </c>
      <c r="DS17" s="1">
        <f t="shared" si="30"/>
        <v>0</v>
      </c>
      <c r="DT17" s="1">
        <f t="shared" si="30"/>
        <v>0</v>
      </c>
      <c r="DU17" s="1">
        <f t="shared" si="30"/>
        <v>0</v>
      </c>
      <c r="DV17" s="1">
        <f t="shared" si="30"/>
        <v>0</v>
      </c>
      <c r="DW17" s="1">
        <f t="shared" si="30"/>
        <v>0</v>
      </c>
      <c r="DX17" s="1">
        <f t="shared" si="30"/>
        <v>5.2539300000000004E-2</v>
      </c>
      <c r="DY17" s="1">
        <f t="shared" si="30"/>
        <v>0</v>
      </c>
      <c r="DZ17" s="1">
        <f t="shared" si="31"/>
        <v>0</v>
      </c>
      <c r="EA17" s="1">
        <f t="shared" si="31"/>
        <v>4.0599999999999997E-2</v>
      </c>
      <c r="EB17" s="1">
        <f t="shared" si="31"/>
        <v>0</v>
      </c>
      <c r="EC17" s="1">
        <f t="shared" si="31"/>
        <v>0</v>
      </c>
      <c r="ED17" s="1">
        <f t="shared" si="31"/>
        <v>0</v>
      </c>
      <c r="EE17" s="1">
        <f t="shared" si="31"/>
        <v>0</v>
      </c>
      <c r="EF17" s="1">
        <f t="shared" si="31"/>
        <v>0</v>
      </c>
      <c r="EG17" s="1">
        <f t="shared" si="31"/>
        <v>0</v>
      </c>
      <c r="EI17" s="14">
        <f t="shared" si="32"/>
        <v>0.3</v>
      </c>
      <c r="EJ17" s="14">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2"/>
        <v>0.3</v>
      </c>
      <c r="EY17" s="1">
        <f t="shared" si="33"/>
        <v>0.3</v>
      </c>
      <c r="EZ17" s="1">
        <f t="shared" si="33"/>
        <v>0.3</v>
      </c>
      <c r="FA17" s="1">
        <f t="shared" si="33"/>
        <v>0.3</v>
      </c>
      <c r="FB17" s="1">
        <f t="shared" si="33"/>
        <v>0.3</v>
      </c>
      <c r="FC17" s="1">
        <f t="shared" si="33"/>
        <v>0.3</v>
      </c>
      <c r="FD17" s="1">
        <f t="shared" si="33"/>
        <v>0.3</v>
      </c>
      <c r="FE17" s="1">
        <f t="shared" si="33"/>
        <v>0.3</v>
      </c>
      <c r="FF17" s="1">
        <f t="shared" si="33"/>
        <v>0.3</v>
      </c>
      <c r="FH17" s="162">
        <f t="shared" si="34"/>
        <v>-3.4844861601785793E-2</v>
      </c>
    </row>
    <row r="18" spans="1:164" ht="18.75" customHeight="1">
      <c r="A18" s="243" t="s">
        <v>222</v>
      </c>
      <c r="B18" s="246"/>
      <c r="C18" s="156">
        <f t="shared" si="5"/>
        <v>-0.33</v>
      </c>
      <c r="D18" s="198">
        <v>1</v>
      </c>
      <c r="E18" s="248">
        <f t="shared" si="6"/>
        <v>-1.3042364385323357E-2</v>
      </c>
      <c r="F18" s="249">
        <f t="shared" si="7"/>
        <v>-2.8054372864637522E-2</v>
      </c>
      <c r="G18" s="248">
        <f t="shared" si="8"/>
        <v>-2.6668390492561311E-3</v>
      </c>
      <c r="H18" s="249">
        <f t="shared" si="9"/>
        <v>-1.0375525336067226E-2</v>
      </c>
      <c r="I18" s="253">
        <f t="shared" si="10"/>
        <v>0.89425002423822075</v>
      </c>
      <c r="J18" s="254">
        <f t="shared" si="11"/>
        <v>0.45946341541312985</v>
      </c>
      <c r="K18" s="248">
        <f t="shared" si="12"/>
        <v>0.47413477842011043</v>
      </c>
      <c r="L18" s="249">
        <f t="shared" si="13"/>
        <v>0.42011524581811033</v>
      </c>
      <c r="M18" s="250"/>
      <c r="N18" s="24">
        <v>-1</v>
      </c>
      <c r="O18" s="248">
        <f t="shared" si="35"/>
        <v>-5.0916613399780819E-2</v>
      </c>
      <c r="P18" s="251">
        <f t="shared" si="36"/>
        <v>-5.0916613399780819E-2</v>
      </c>
      <c r="Q18" s="248">
        <f t="shared" si="14"/>
        <v>8.9821073694185127E-3</v>
      </c>
      <c r="R18" s="251">
        <f t="shared" si="37"/>
        <v>8.9821073694185127E-3</v>
      </c>
      <c r="S18" s="250"/>
      <c r="T18" s="24">
        <v>-1</v>
      </c>
      <c r="U18" s="248">
        <f t="shared" si="15"/>
        <v>0.21928121968880832</v>
      </c>
      <c r="V18" s="252">
        <f t="shared" si="16"/>
        <v>0.21928121968880832</v>
      </c>
      <c r="W18" s="248">
        <f t="shared" si="38"/>
        <v>-0.42706864776703279</v>
      </c>
      <c r="X18" s="252">
        <f t="shared" si="17"/>
        <v>-0.42706864776703279</v>
      </c>
      <c r="Y18" s="248">
        <f t="shared" si="18"/>
        <v>0.32776395307500894</v>
      </c>
      <c r="Z18" s="252">
        <f t="shared" si="19"/>
        <v>0.32776395307500894</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5</v>
      </c>
      <c r="AQ18" s="28">
        <f>VLOOKUP($A18,historia!$A$5:$CM$24,+HLOOKUP(AQ$2,historia!$A$3:$EC$4,2,FALSE),FALSE)</f>
        <v>4</v>
      </c>
      <c r="AR18" s="28">
        <f>VLOOKUP($A18,historia!$A$5:$CM$24,+HLOOKUP(AR$2,historia!$A$3:$EC$4,2,FALSE),FALSE)</f>
        <v>4</v>
      </c>
      <c r="AS18" s="28">
        <f>VLOOKUP($A18,historia!$A$5:$CM$24,+HLOOKUP(AS$2,historia!$A$3:$EC$4,2,FALSE),FALSE)</f>
        <v>4</v>
      </c>
      <c r="AT18" s="58">
        <f>VLOOKUP($A18,historia!$A$5:$CM$24,+HLOOKUP(AT$2,historia!$A$3:$EC$4,2,FALSE),FALSE)</f>
        <v>4</v>
      </c>
      <c r="AU18" s="58">
        <f>VLOOKUP($A18,historia!$A$5:$CM$24,+HLOOKUP(AU$2,historia!$A$3:$EC$4,2,FALSE),FALSE)</f>
        <v>4</v>
      </c>
      <c r="AV18" s="58">
        <f>VLOOKUP($A18,historia!$A$5:$CM$24,+HLOOKUP(AV$2,historia!$A$3:$EC$4,2,FALSE),FALSE)</f>
        <v>4</v>
      </c>
      <c r="AW18" s="58">
        <f>VLOOKUP($A18,historia!$A$5:$CM$24,+HLOOKUP(AW$2,historia!$A$3:$EC$4,2,FALSE),FALSE)</f>
        <v>3</v>
      </c>
      <c r="AX18" s="58">
        <f>VLOOKUP($A18,historia!$A$5:$CM$24,+HLOOKUP(AX$2,historia!$A$3:$EC$4,2,FALSE),FALSE)</f>
        <v>2</v>
      </c>
      <c r="AY18" s="58">
        <f>VLOOKUP($A18,historia!$A$5:$CM$24,+HLOOKUP(AY$2,historia!$A$3:$EC$4,2,FALSE),FALSE)</f>
        <v>2</v>
      </c>
      <c r="AZ18" s="58">
        <f>VLOOKUP($A18,historia!$A$5:$CM$24,+HLOOKUP(AZ$2,historia!$A$3:$EC$4,2,FALSE),FALSE)</f>
        <v>2</v>
      </c>
      <c r="BA18" s="58">
        <f>VLOOKUP($A18,historia!$A$5:$CM$24,+HLOOKUP(BA$2,historia!$A$3:$EC$4,2,FALSE),FALSE)</f>
        <v>2</v>
      </c>
      <c r="BB18" s="58"/>
      <c r="BC18" s="58"/>
      <c r="BD18" s="286">
        <v>2</v>
      </c>
      <c r="BE18" t="str">
        <f t="shared" si="20"/>
        <v>Ovino</v>
      </c>
      <c r="BF18">
        <f>+datos!BU1</f>
        <v>73</v>
      </c>
      <c r="BG18" s="2" t="str">
        <f t="shared" si="4"/>
        <v>$/kg</v>
      </c>
      <c r="BH18" s="2">
        <f t="shared" si="4"/>
        <v>84843.074999999997</v>
      </c>
      <c r="BI18" s="2">
        <f t="shared" si="4"/>
        <v>85964.252099999998</v>
      </c>
      <c r="BJ18" s="2">
        <f t="shared" si="4"/>
        <v>44789.797500000001</v>
      </c>
      <c r="BL18">
        <f>+datos!DI1</f>
        <v>113</v>
      </c>
      <c r="BM18" s="2">
        <f t="shared" si="21"/>
        <v>10517.890488312598</v>
      </c>
      <c r="BN18" s="2">
        <f t="shared" si="21"/>
        <v>10546.015012963209</v>
      </c>
      <c r="BO18" s="2">
        <f t="shared" si="21"/>
        <v>7134.9585141631651</v>
      </c>
      <c r="BQ18" s="1">
        <f>+datos!EL1</f>
        <v>142</v>
      </c>
      <c r="BR18" s="1">
        <f t="shared" si="22"/>
        <v>11967429</v>
      </c>
      <c r="BS18" s="1">
        <f t="shared" si="22"/>
        <v>12609460</v>
      </c>
      <c r="BU18" s="1">
        <f>+datos!GS1</f>
        <v>201</v>
      </c>
      <c r="BV18" s="1">
        <f t="shared" si="23"/>
        <v>35519.519999999997</v>
      </c>
      <c r="BW18" s="1">
        <f t="shared" si="23"/>
        <v>35203.32</v>
      </c>
      <c r="BY18" s="1">
        <f>+datos!KI1</f>
        <v>295</v>
      </c>
      <c r="BZ18" s="1">
        <f t="shared" si="39"/>
        <v>220.49029392999998</v>
      </c>
      <c r="CA18" s="1">
        <f t="shared" si="40"/>
        <v>180.83629139000001</v>
      </c>
      <c r="CC18" s="1">
        <f>+datos!LN1</f>
        <v>326</v>
      </c>
      <c r="CD18" s="2">
        <f t="shared" si="24"/>
        <v>2.4651280500000006</v>
      </c>
      <c r="CE18" s="2">
        <f t="shared" si="25"/>
        <v>4.3026586700000005</v>
      </c>
      <c r="CG18" s="1">
        <f>+datos!JA1</f>
        <v>261</v>
      </c>
      <c r="CH18" s="1">
        <f t="shared" si="26"/>
        <v>3735</v>
      </c>
      <c r="CI18" s="1">
        <f t="shared" si="27"/>
        <v>2813</v>
      </c>
      <c r="CK18" s="1">
        <f t="shared" si="28"/>
        <v>21.131437869999999</v>
      </c>
      <c r="CL18" s="1">
        <f t="shared" si="28"/>
        <v>23.746863359999999</v>
      </c>
      <c r="CM18" s="1">
        <f t="shared" si="28"/>
        <v>18.662799830000001</v>
      </c>
      <c r="CN18" s="1">
        <f t="shared" si="28"/>
        <v>31.610464650000004</v>
      </c>
      <c r="CO18" s="1">
        <f t="shared" si="28"/>
        <v>14.881609229999999</v>
      </c>
      <c r="CP18" s="1">
        <f t="shared" si="28"/>
        <v>18.538380959999998</v>
      </c>
      <c r="CQ18" s="1">
        <f t="shared" si="28"/>
        <v>15.79353798</v>
      </c>
      <c r="CR18" s="1">
        <f t="shared" si="28"/>
        <v>15.390557059999999</v>
      </c>
      <c r="CS18" s="1">
        <f t="shared" si="28"/>
        <v>12.657815750000001</v>
      </c>
      <c r="CT18" s="1">
        <f t="shared" si="28"/>
        <v>13.430479930000001</v>
      </c>
      <c r="CU18" s="1">
        <f t="shared" si="28"/>
        <v>15.60716012</v>
      </c>
      <c r="CV18" s="1">
        <f t="shared" si="28"/>
        <v>19.03918719</v>
      </c>
      <c r="CW18" s="1">
        <f t="shared" si="28"/>
        <v>17.774232269999999</v>
      </c>
      <c r="CX18" s="1">
        <f t="shared" si="28"/>
        <v>22.502102959999998</v>
      </c>
      <c r="CY18" s="1">
        <f t="shared" si="28"/>
        <v>22.437193859999997</v>
      </c>
      <c r="CZ18" s="1">
        <f t="shared" si="28"/>
        <v>15.322430800000003</v>
      </c>
      <c r="DA18" s="1">
        <f t="shared" si="29"/>
        <v>16.644595240000001</v>
      </c>
      <c r="DB18" s="1">
        <f t="shared" si="29"/>
        <v>15.83663735</v>
      </c>
      <c r="DC18" s="1">
        <f t="shared" si="29"/>
        <v>13.412348609999999</v>
      </c>
      <c r="DD18" s="1">
        <f t="shared" si="29"/>
        <v>9.5091132299999988</v>
      </c>
      <c r="DE18" s="1">
        <f t="shared" si="29"/>
        <v>10.49137048</v>
      </c>
      <c r="DF18" s="1">
        <f t="shared" si="29"/>
        <v>12.745889309999999</v>
      </c>
      <c r="DG18" s="1">
        <f t="shared" si="29"/>
        <v>11.898747670000001</v>
      </c>
      <c r="DH18" s="1">
        <f t="shared" si="29"/>
        <v>12.26162961</v>
      </c>
      <c r="DJ18" s="1">
        <f t="shared" si="30"/>
        <v>0.18211829000000002</v>
      </c>
      <c r="DK18" s="1">
        <f t="shared" si="30"/>
        <v>0.19639201000000001</v>
      </c>
      <c r="DL18" s="1">
        <f t="shared" si="30"/>
        <v>0.15047392000000001</v>
      </c>
      <c r="DM18" s="1">
        <f t="shared" si="30"/>
        <v>0.19393855000000002</v>
      </c>
      <c r="DN18" s="1">
        <f t="shared" si="30"/>
        <v>0.16347327</v>
      </c>
      <c r="DO18" s="1">
        <f t="shared" si="30"/>
        <v>0.18164933</v>
      </c>
      <c r="DP18" s="1">
        <f t="shared" si="30"/>
        <v>0.25055533999999996</v>
      </c>
      <c r="DQ18" s="1">
        <f t="shared" si="30"/>
        <v>0.29342396000000004</v>
      </c>
      <c r="DR18" s="1">
        <f t="shared" si="30"/>
        <v>0.26088905000000001</v>
      </c>
      <c r="DS18" s="1">
        <f t="shared" si="30"/>
        <v>0.18624962</v>
      </c>
      <c r="DT18" s="1">
        <f t="shared" si="30"/>
        <v>0.1577527</v>
      </c>
      <c r="DU18" s="1">
        <f t="shared" si="30"/>
        <v>0.24821200999999998</v>
      </c>
      <c r="DV18" s="1">
        <f t="shared" si="30"/>
        <v>0.13589592</v>
      </c>
      <c r="DW18" s="1">
        <f t="shared" si="30"/>
        <v>0.23010199000000001</v>
      </c>
      <c r="DX18" s="1">
        <f t="shared" si="30"/>
        <v>4.8750000000000002E-2</v>
      </c>
      <c r="DY18" s="1">
        <f t="shared" si="30"/>
        <v>0.31075020000000003</v>
      </c>
      <c r="DZ18" s="1">
        <f t="shared" si="31"/>
        <v>0.90541722000000002</v>
      </c>
      <c r="EA18" s="1">
        <f t="shared" si="31"/>
        <v>0.34283965</v>
      </c>
      <c r="EB18" s="1">
        <f t="shared" si="31"/>
        <v>0.74167351000000015</v>
      </c>
      <c r="EC18" s="1">
        <f t="shared" si="31"/>
        <v>0.58632921999999998</v>
      </c>
      <c r="ED18" s="1">
        <f t="shared" si="31"/>
        <v>0.29250390000000004</v>
      </c>
      <c r="EE18" s="1">
        <f t="shared" si="31"/>
        <v>0.46645720000000002</v>
      </c>
      <c r="EF18" s="1">
        <f t="shared" si="31"/>
        <v>8.1248630000000002E-2</v>
      </c>
      <c r="EG18" s="1">
        <f t="shared" si="31"/>
        <v>0.16069122999999999</v>
      </c>
      <c r="EI18" s="14">
        <f t="shared" si="32"/>
        <v>3735</v>
      </c>
      <c r="EJ18" s="14">
        <f t="shared" si="32"/>
        <v>2813</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2"/>
        <v>2813</v>
      </c>
      <c r="EY18" s="1">
        <f t="shared" si="33"/>
        <v>2813</v>
      </c>
      <c r="EZ18" s="1">
        <f t="shared" si="33"/>
        <v>2813</v>
      </c>
      <c r="FA18" s="1">
        <f t="shared" si="33"/>
        <v>2813</v>
      </c>
      <c r="FB18" s="1">
        <f t="shared" si="33"/>
        <v>2813</v>
      </c>
      <c r="FC18" s="1">
        <f t="shared" si="33"/>
        <v>2813</v>
      </c>
      <c r="FD18" s="1">
        <f t="shared" si="33"/>
        <v>2813</v>
      </c>
      <c r="FE18" s="1">
        <f t="shared" si="33"/>
        <v>2813</v>
      </c>
      <c r="FF18" s="1">
        <f t="shared" si="33"/>
        <v>2813</v>
      </c>
      <c r="FH18" s="162">
        <f t="shared" si="34"/>
        <v>0.42011524581811033</v>
      </c>
    </row>
    <row r="19" spans="1:164" ht="18.75" customHeight="1">
      <c r="A19" s="244" t="s">
        <v>66</v>
      </c>
      <c r="B19" s="247"/>
      <c r="C19" s="228">
        <f t="shared" si="5"/>
        <v>0</v>
      </c>
      <c r="D19" s="229">
        <v>-1</v>
      </c>
      <c r="E19" s="253">
        <f t="shared" si="6"/>
        <v>-7.5989440129697994E-2</v>
      </c>
      <c r="F19" s="254">
        <f t="shared" si="7"/>
        <v>-9.1001448609012159E-2</v>
      </c>
      <c r="G19" s="253">
        <f t="shared" si="8"/>
        <v>-2.7656008877209537E-2</v>
      </c>
      <c r="H19" s="254">
        <f t="shared" si="9"/>
        <v>-4.8333431252488457E-2</v>
      </c>
      <c r="I19" s="253">
        <f t="shared" si="10"/>
        <v>-7.1504050722085211E-2</v>
      </c>
      <c r="J19" s="254">
        <f t="shared" si="11"/>
        <v>-0.50629065954717611</v>
      </c>
      <c r="K19" s="253">
        <f t="shared" si="12"/>
        <v>0.19842644937363763</v>
      </c>
      <c r="L19" s="254">
        <f t="shared" si="13"/>
        <v>-0.26993050009572284</v>
      </c>
      <c r="M19" s="255"/>
      <c r="N19" s="256">
        <v>0</v>
      </c>
      <c r="O19" s="253">
        <f t="shared" si="35"/>
        <v>9.6567571449088119E-2</v>
      </c>
      <c r="P19" s="257">
        <f t="shared" si="36"/>
        <v>9.6567571449088119E-2</v>
      </c>
      <c r="Q19" s="253">
        <f t="shared" si="14"/>
        <v>0</v>
      </c>
      <c r="R19" s="257">
        <v>-0.01</v>
      </c>
      <c r="S19" s="255"/>
      <c r="T19" s="256">
        <v>1</v>
      </c>
      <c r="U19" s="253">
        <f t="shared" si="15"/>
        <v>0.20836063159675944</v>
      </c>
      <c r="V19" s="258">
        <f t="shared" si="16"/>
        <v>0.20836063159675944</v>
      </c>
      <c r="W19" s="253">
        <f t="shared" si="38"/>
        <v>-0.29752363864028364</v>
      </c>
      <c r="X19" s="258">
        <f t="shared" si="17"/>
        <v>-0.29752363864028364</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4</v>
      </c>
      <c r="AQ19" s="28">
        <f>VLOOKUP($A19,historia!$A$5:$CM$24,+HLOOKUP(AQ$2,historia!$A$3:$EC$4,2,FALSE),FALSE)</f>
        <v>3</v>
      </c>
      <c r="AR19" s="28">
        <f>VLOOKUP($A19,historia!$A$5:$CM$24,+HLOOKUP(AR$2,historia!$A$3:$EC$4,2,FALSE),FALSE)</f>
        <v>3</v>
      </c>
      <c r="AS19" s="28">
        <f>VLOOKUP($A19,historia!$A$5:$CM$24,+HLOOKUP(AS$2,historia!$A$3:$EC$4,2,FALSE),FALSE)</f>
        <v>3</v>
      </c>
      <c r="AT19" s="58">
        <f>VLOOKUP($A19,historia!$A$5:$CM$24,+HLOOKUP(AT$2,historia!$A$3:$EC$4,2,FALSE),FALSE)</f>
        <v>3</v>
      </c>
      <c r="AU19" s="58">
        <f>VLOOKUP($A19,historia!$A$5:$CM$24,+HLOOKUP(AU$2,historia!$A$3:$EC$4,2,FALSE),FALSE)</f>
        <v>3</v>
      </c>
      <c r="AV19" s="58">
        <f>VLOOKUP($A19,historia!$A$5:$CM$24,+HLOOKUP(AV$2,historia!$A$3:$EC$4,2,FALSE),FALSE)</f>
        <v>3</v>
      </c>
      <c r="AW19" s="58">
        <f>VLOOKUP($A19,historia!$A$5:$CM$24,+HLOOKUP(AW$2,historia!$A$3:$EC$4,2,FALSE),FALSE)</f>
        <v>4</v>
      </c>
      <c r="AX19" s="58">
        <f>VLOOKUP($A19,historia!$A$5:$CM$24,+HLOOKUP(AX$2,historia!$A$3:$EC$4,2,FALSE),FALSE)</f>
        <v>3</v>
      </c>
      <c r="AY19" s="58">
        <f>VLOOKUP($A19,historia!$A$5:$CM$24,+HLOOKUP(AY$2,historia!$A$3:$EC$4,2,FALSE),FALSE)</f>
        <v>3</v>
      </c>
      <c r="AZ19" s="58">
        <f>VLOOKUP($A19,historia!$A$5:$CM$24,+HLOOKUP(AZ$2,historia!$A$3:$EC$4,2,FALSE),FALSE)</f>
        <v>3</v>
      </c>
      <c r="BA19" s="58">
        <f>VLOOKUP($A19,historia!$A$5:$CM$24,+HLOOKUP(BA$2,historia!$A$3:$EC$4,2,FALSE),FALSE)</f>
        <v>4</v>
      </c>
      <c r="BB19" s="58"/>
      <c r="BC19" s="58"/>
      <c r="BD19" s="286">
        <v>4</v>
      </c>
      <c r="BE19" t="str">
        <f t="shared" si="20"/>
        <v>Papa</v>
      </c>
      <c r="BF19">
        <f>+datos!AV1</f>
        <v>48</v>
      </c>
      <c r="BG19" s="2" t="str">
        <f t="shared" si="4"/>
        <v>$/bolsa 20kg</v>
      </c>
      <c r="BH19" s="2">
        <f t="shared" si="4"/>
        <v>5990.909090909091</v>
      </c>
      <c r="BI19" s="2">
        <f t="shared" si="4"/>
        <v>6483.59375</v>
      </c>
      <c r="BJ19" s="2">
        <f t="shared" si="4"/>
        <v>6452.272727272727</v>
      </c>
      <c r="BL19">
        <f>+datos!CI1</f>
        <v>87</v>
      </c>
      <c r="BM19" s="2">
        <f t="shared" si="21"/>
        <v>9848.3937767712541</v>
      </c>
      <c r="BN19" s="2">
        <f t="shared" si="21"/>
        <v>10128.507880630868</v>
      </c>
      <c r="BO19" s="2">
        <f t="shared" si="21"/>
        <v>8217.7707125193683</v>
      </c>
      <c r="BQ19" s="1">
        <f>+datos!EZ1</f>
        <v>156</v>
      </c>
      <c r="BR19" s="1">
        <f t="shared" si="22"/>
        <v>38177</v>
      </c>
      <c r="BS19" s="1">
        <f t="shared" si="22"/>
        <v>34815</v>
      </c>
      <c r="BU19" s="1">
        <f>+datos!GT1</f>
        <v>202</v>
      </c>
      <c r="BV19" s="1">
        <f t="shared" si="23"/>
        <v>2111561</v>
      </c>
      <c r="BW19" s="1">
        <f t="shared" si="23"/>
        <v>2111561</v>
      </c>
      <c r="BY19" s="1">
        <f>+datos!JO1</f>
        <v>275</v>
      </c>
      <c r="BZ19" s="1">
        <f t="shared" si="39"/>
        <v>402.07923042000004</v>
      </c>
      <c r="CA19" s="1">
        <f t="shared" si="40"/>
        <v>332.74770785000004</v>
      </c>
      <c r="CC19" s="1">
        <f>+datos!KT1</f>
        <v>306</v>
      </c>
      <c r="CD19" s="2">
        <f t="shared" si="24"/>
        <v>14.708727160000002</v>
      </c>
      <c r="CE19" s="2">
        <f t="shared" si="25"/>
        <v>20.938394469999995</v>
      </c>
      <c r="CG19" s="1">
        <f>+datos!JB1</f>
        <v>262</v>
      </c>
      <c r="CH19" s="1">
        <f t="shared" si="26"/>
        <v>35.950000000000003</v>
      </c>
      <c r="CI19" s="1">
        <f t="shared" si="27"/>
        <v>35.950000000000003</v>
      </c>
      <c r="CK19" s="1">
        <f t="shared" si="28"/>
        <v>32.790200410000004</v>
      </c>
      <c r="CL19" s="1">
        <f t="shared" si="28"/>
        <v>33.403797109999999</v>
      </c>
      <c r="CM19" s="1">
        <f t="shared" si="28"/>
        <v>26.866894470000005</v>
      </c>
      <c r="CN19" s="1">
        <f t="shared" si="28"/>
        <v>30.959664470000003</v>
      </c>
      <c r="CO19" s="1">
        <f t="shared" si="28"/>
        <v>28.030286839999999</v>
      </c>
      <c r="CP19" s="1">
        <f t="shared" si="28"/>
        <v>35.227965569999995</v>
      </c>
      <c r="CQ19" s="1">
        <f t="shared" si="28"/>
        <v>43.313690020000003</v>
      </c>
      <c r="CR19" s="1">
        <f t="shared" si="28"/>
        <v>38.158354570000007</v>
      </c>
      <c r="CS19" s="1">
        <f t="shared" si="28"/>
        <v>36.879687310000008</v>
      </c>
      <c r="CT19" s="1">
        <f t="shared" si="28"/>
        <v>30.584450140000001</v>
      </c>
      <c r="CU19" s="1">
        <f t="shared" si="28"/>
        <v>34.87822036</v>
      </c>
      <c r="CV19" s="1">
        <f t="shared" si="28"/>
        <v>30.986019150000001</v>
      </c>
      <c r="CW19" s="1">
        <f t="shared" si="28"/>
        <v>34.45773063</v>
      </c>
      <c r="CX19" s="1">
        <f t="shared" si="28"/>
        <v>33.675059580000003</v>
      </c>
      <c r="CY19" s="1">
        <f t="shared" si="28"/>
        <v>28.924508010000004</v>
      </c>
      <c r="CZ19" s="1">
        <f t="shared" si="28"/>
        <v>27.954086790000002</v>
      </c>
      <c r="DA19" s="1">
        <f t="shared" si="29"/>
        <v>24.143815810000007</v>
      </c>
      <c r="DB19" s="1">
        <f t="shared" si="29"/>
        <v>26.000694290000002</v>
      </c>
      <c r="DC19" s="1">
        <f t="shared" si="29"/>
        <v>22.013274209999999</v>
      </c>
      <c r="DD19" s="1">
        <f t="shared" si="29"/>
        <v>23.44114875</v>
      </c>
      <c r="DE19" s="1">
        <f t="shared" si="29"/>
        <v>29.35689408</v>
      </c>
      <c r="DF19" s="1">
        <f t="shared" si="29"/>
        <v>26.11967611</v>
      </c>
      <c r="DG19" s="1">
        <f t="shared" si="29"/>
        <v>30.386509889999999</v>
      </c>
      <c r="DH19" s="1">
        <f t="shared" si="29"/>
        <v>26.2743097</v>
      </c>
      <c r="DJ19" s="1">
        <f t="shared" si="30"/>
        <v>0.8744752400000001</v>
      </c>
      <c r="DK19" s="1">
        <f t="shared" si="30"/>
        <v>0.62052411000000007</v>
      </c>
      <c r="DL19" s="1">
        <f t="shared" si="30"/>
        <v>1.19924761</v>
      </c>
      <c r="DM19" s="1">
        <f t="shared" si="30"/>
        <v>0.86551083000000006</v>
      </c>
      <c r="DN19" s="1">
        <f t="shared" si="30"/>
        <v>0.79831189000000002</v>
      </c>
      <c r="DO19" s="1">
        <f t="shared" si="30"/>
        <v>1.1318278900000001</v>
      </c>
      <c r="DP19" s="1">
        <f t="shared" si="30"/>
        <v>1.8442369199999997</v>
      </c>
      <c r="DQ19" s="1">
        <f t="shared" si="30"/>
        <v>1.0529063700000001</v>
      </c>
      <c r="DR19" s="1">
        <f t="shared" si="30"/>
        <v>2.0286618900000004</v>
      </c>
      <c r="DS19" s="1">
        <f t="shared" si="30"/>
        <v>0.79104531999999994</v>
      </c>
      <c r="DT19" s="1">
        <f t="shared" si="30"/>
        <v>1.6294275100000002</v>
      </c>
      <c r="DU19" s="1">
        <f t="shared" si="30"/>
        <v>1.8725515799999999</v>
      </c>
      <c r="DV19" s="1">
        <f t="shared" si="30"/>
        <v>1.9938344900000002</v>
      </c>
      <c r="DW19" s="1">
        <f t="shared" si="30"/>
        <v>1.4070700599999999</v>
      </c>
      <c r="DX19" s="1">
        <f t="shared" si="30"/>
        <v>0.5838748800000001</v>
      </c>
      <c r="DY19" s="1">
        <f t="shared" si="30"/>
        <v>1.6300787399999999</v>
      </c>
      <c r="DZ19" s="1">
        <f t="shared" si="31"/>
        <v>1.5496506000000003</v>
      </c>
      <c r="EA19" s="1">
        <f t="shared" si="31"/>
        <v>2.1384397699999997</v>
      </c>
      <c r="EB19" s="1">
        <f t="shared" si="31"/>
        <v>2.7337765599999999</v>
      </c>
      <c r="EC19" s="1">
        <f t="shared" si="31"/>
        <v>1.0171737099999998</v>
      </c>
      <c r="ED19" s="1">
        <f t="shared" si="31"/>
        <v>1.9864389700000002</v>
      </c>
      <c r="EE19" s="1">
        <f t="shared" si="31"/>
        <v>2.8868213899999997</v>
      </c>
      <c r="EF19" s="1">
        <f t="shared" si="31"/>
        <v>1.3747401999999997</v>
      </c>
      <c r="EG19" s="1">
        <f t="shared" si="31"/>
        <v>1.6364950999999999</v>
      </c>
      <c r="EI19" s="14">
        <f t="shared" si="32"/>
        <v>35.950000000000003</v>
      </c>
      <c r="EJ19" s="14">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2"/>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F19" s="1">
        <f t="shared" si="33"/>
        <v>35.950000000000003</v>
      </c>
      <c r="FH19" s="162">
        <f t="shared" si="34"/>
        <v>-0.26993050009572284</v>
      </c>
    </row>
    <row r="20" spans="1:164" ht="28.8">
      <c r="A20" s="264" t="s">
        <v>218</v>
      </c>
      <c r="B20" s="246"/>
      <c r="C20" s="156">
        <f t="shared" si="5"/>
        <v>0</v>
      </c>
      <c r="D20" s="198">
        <v>-1</v>
      </c>
      <c r="E20" s="248">
        <f t="shared" si="6"/>
        <v>8.3341880842833227E-2</v>
      </c>
      <c r="F20" s="249">
        <f t="shared" si="7"/>
        <v>6.8329872363519062E-2</v>
      </c>
      <c r="G20" s="248">
        <f t="shared" si="8"/>
        <v>-9.2524454488781549E-3</v>
      </c>
      <c r="H20" s="249">
        <f t="shared" si="9"/>
        <v>9.2594326291711382E-2</v>
      </c>
      <c r="I20" s="248">
        <f t="shared" si="10"/>
        <v>0.15643616518297376</v>
      </c>
      <c r="J20" s="249">
        <f t="shared" si="11"/>
        <v>-0.27835044364211714</v>
      </c>
      <c r="K20" s="248">
        <f t="shared" si="12"/>
        <v>0.30547093651636148</v>
      </c>
      <c r="L20" s="249">
        <f t="shared" si="13"/>
        <v>-0.14903477133338772</v>
      </c>
      <c r="M20" s="250"/>
      <c r="N20" s="24">
        <v>-1</v>
      </c>
      <c r="O20" s="248">
        <f t="shared" si="35"/>
        <v>0</v>
      </c>
      <c r="P20" s="251">
        <f t="shared" si="36"/>
        <v>0</v>
      </c>
      <c r="Q20" s="248">
        <f t="shared" si="14"/>
        <v>4.2733159641804352E-2</v>
      </c>
      <c r="R20" s="251">
        <f t="shared" si="37"/>
        <v>4.2733159641804352E-2</v>
      </c>
      <c r="S20" s="250"/>
      <c r="T20" s="24">
        <v>2</v>
      </c>
      <c r="U20" s="248">
        <f t="shared" si="15"/>
        <v>0.12995739347589752</v>
      </c>
      <c r="V20" s="252">
        <f t="shared" si="16"/>
        <v>0.12995739347589752</v>
      </c>
      <c r="W20" s="248">
        <f t="shared" si="38"/>
        <v>-0.28178689893890774</v>
      </c>
      <c r="X20" s="252">
        <f t="shared" si="17"/>
        <v>-0.28178689893890774</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4</v>
      </c>
      <c r="AQ20" s="28">
        <f>VLOOKUP($A20,historia!$A$5:$CM$24,+HLOOKUP(AQ$2,historia!$A$3:$EC$4,2,FALSE),FALSE)</f>
        <v>3</v>
      </c>
      <c r="AR20" s="28">
        <f>VLOOKUP($A20,historia!$A$5:$CM$24,+HLOOKUP(AR$2,historia!$A$3:$EC$4,2,FALSE),FALSE)</f>
        <v>3</v>
      </c>
      <c r="AS20" s="28">
        <f>VLOOKUP($A20,historia!$A$5:$CM$24,+HLOOKUP(AS$2,historia!$A$3:$EC$4,2,FALSE),FALSE)</f>
        <v>3</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4</v>
      </c>
      <c r="AY20" s="58">
        <f>VLOOKUP($A20,historia!$A$5:$CM$24,+HLOOKUP(AY$2,historia!$A$3:$EC$4,2,FALSE),FALSE)</f>
        <v>4</v>
      </c>
      <c r="AZ20" s="58">
        <f>VLOOKUP($A20,historia!$A$5:$CM$24,+HLOOKUP(AZ$2,historia!$A$3:$EC$4,2,FALSE),FALSE)</f>
        <v>4</v>
      </c>
      <c r="BA20" s="58">
        <f>VLOOKUP($A20,historia!$A$5:$CM$24,+HLOOKUP(BA$2,historia!$A$3:$EC$4,2,FALSE),FALSE)</f>
        <v>4</v>
      </c>
      <c r="BB20" s="58"/>
      <c r="BC20" s="58"/>
      <c r="BD20" s="286">
        <v>4</v>
      </c>
      <c r="BE20" t="str">
        <f t="shared" si="20"/>
        <v>Peras y Manzanas</v>
      </c>
      <c r="BF20">
        <f>+datos!AP1</f>
        <v>42</v>
      </c>
      <c r="BG20" s="2" t="str">
        <f t="shared" si="4"/>
        <v>$/caja 18kg</v>
      </c>
      <c r="BH20" s="2">
        <f t="shared" si="4"/>
        <v>15565</v>
      </c>
      <c r="BI20" s="2">
        <f t="shared" si="4"/>
        <v>14367.578947368422</v>
      </c>
      <c r="BJ20" s="2">
        <f t="shared" si="4"/>
        <v>13459.454545454546</v>
      </c>
      <c r="BL20">
        <f>+datos!CS1</f>
        <v>97</v>
      </c>
      <c r="BM20" s="2">
        <f t="shared" si="21"/>
        <v>9843.810313612099</v>
      </c>
      <c r="BN20" s="2">
        <f t="shared" si="21"/>
        <v>9935.7402078797313</v>
      </c>
      <c r="BO20" s="2">
        <f t="shared" si="21"/>
        <v>7540.4285444149573</v>
      </c>
      <c r="BQ20" s="1">
        <f>+datos!FC1</f>
        <v>159</v>
      </c>
      <c r="BR20" s="1">
        <f t="shared" si="22"/>
        <v>38084</v>
      </c>
      <c r="BS20" s="1">
        <f t="shared" si="22"/>
        <v>38084</v>
      </c>
      <c r="BU20" s="1">
        <f>+datos!GW1</f>
        <v>205</v>
      </c>
      <c r="BV20" s="1">
        <f t="shared" si="23"/>
        <v>785640</v>
      </c>
      <c r="BW20" s="1">
        <f t="shared" si="23"/>
        <v>753443</v>
      </c>
      <c r="BY20" s="1">
        <f>+datos!LS1</f>
        <v>331</v>
      </c>
      <c r="BZ20" s="1">
        <f t="shared" si="39"/>
        <v>427.8097531200001</v>
      </c>
      <c r="CA20" s="1">
        <f t="shared" si="40"/>
        <v>378.60697720999997</v>
      </c>
      <c r="CC20" s="1">
        <f>+datos!LW1</f>
        <v>335</v>
      </c>
      <c r="CD20" s="2">
        <f t="shared" si="24"/>
        <v>3.2238847600000002</v>
      </c>
      <c r="CE20" s="2">
        <f t="shared" si="25"/>
        <v>4.4887579400000002</v>
      </c>
      <c r="CG20" s="1">
        <f>+datos!JC1</f>
        <v>263</v>
      </c>
      <c r="CH20" s="1">
        <f t="shared" si="26"/>
        <v>0</v>
      </c>
      <c r="CI20" s="1">
        <f t="shared" si="27"/>
        <v>0</v>
      </c>
      <c r="CK20" s="1">
        <f t="shared" si="28"/>
        <v>54.859389430000007</v>
      </c>
      <c r="CL20" s="1">
        <f t="shared" si="28"/>
        <v>51.150985829999996</v>
      </c>
      <c r="CM20" s="1">
        <f t="shared" si="28"/>
        <v>59.173949850000007</v>
      </c>
      <c r="CN20" s="1">
        <f t="shared" si="28"/>
        <v>46.396857000000011</v>
      </c>
      <c r="CO20" s="1">
        <f t="shared" si="28"/>
        <v>23.934850630000003</v>
      </c>
      <c r="CP20" s="1">
        <f t="shared" si="28"/>
        <v>23.934850630000003</v>
      </c>
      <c r="CQ20" s="1">
        <f t="shared" si="28"/>
        <v>23.934850630000003</v>
      </c>
      <c r="CR20" s="1">
        <f t="shared" si="28"/>
        <v>25.188374430000003</v>
      </c>
      <c r="CS20" s="1">
        <f t="shared" si="28"/>
        <v>22.303018159999997</v>
      </c>
      <c r="CT20" s="1">
        <f t="shared" si="28"/>
        <v>14.93334776</v>
      </c>
      <c r="CU20" s="1">
        <f t="shared" si="28"/>
        <v>35.336569390000001</v>
      </c>
      <c r="CV20" s="1">
        <f t="shared" si="28"/>
        <v>46.662709379999995</v>
      </c>
      <c r="CW20" s="1">
        <f t="shared" si="28"/>
        <v>45.302769560000002</v>
      </c>
      <c r="CX20" s="1">
        <f t="shared" si="28"/>
        <v>46.856289650000001</v>
      </c>
      <c r="CY20" s="1">
        <f t="shared" si="28"/>
        <v>60.076282149999997</v>
      </c>
      <c r="CZ20" s="1">
        <f t="shared" si="28"/>
        <v>42.744570039999999</v>
      </c>
      <c r="DA20" s="1">
        <f t="shared" si="29"/>
        <v>11.509203560000001</v>
      </c>
      <c r="DB20" s="1">
        <f t="shared" si="29"/>
        <v>11.753879789999999</v>
      </c>
      <c r="DC20" s="1">
        <f t="shared" si="29"/>
        <v>15.619426270000002</v>
      </c>
      <c r="DD20" s="1">
        <f t="shared" si="29"/>
        <v>16.880359240000001</v>
      </c>
      <c r="DE20" s="1">
        <f t="shared" si="29"/>
        <v>24.204094699999999</v>
      </c>
      <c r="DF20" s="1">
        <f t="shared" si="29"/>
        <v>25.300599699999999</v>
      </c>
      <c r="DG20" s="1">
        <f t="shared" si="29"/>
        <v>48.042350899999995</v>
      </c>
      <c r="DH20" s="1">
        <f t="shared" si="29"/>
        <v>30.317151650000003</v>
      </c>
      <c r="DJ20" s="1">
        <f t="shared" si="30"/>
        <v>0.5667896</v>
      </c>
      <c r="DK20" s="1">
        <f t="shared" si="30"/>
        <v>0.43323378000000001</v>
      </c>
      <c r="DL20" s="1">
        <f t="shared" si="30"/>
        <v>0.20107160000000002</v>
      </c>
      <c r="DM20" s="1">
        <f t="shared" si="30"/>
        <v>4.7323499999999998E-2</v>
      </c>
      <c r="DN20" s="1">
        <f t="shared" si="30"/>
        <v>0.18245199000000001</v>
      </c>
      <c r="DO20" s="1">
        <f t="shared" si="30"/>
        <v>6.8745290000000001E-2</v>
      </c>
      <c r="DP20" s="1">
        <f t="shared" si="30"/>
        <v>0.21798748000000001</v>
      </c>
      <c r="DQ20" s="1">
        <f t="shared" si="30"/>
        <v>7.9820000000000002E-2</v>
      </c>
      <c r="DR20" s="1">
        <f t="shared" si="30"/>
        <v>0.14837025000000001</v>
      </c>
      <c r="DS20" s="1">
        <f t="shared" si="30"/>
        <v>0.3865221499999999</v>
      </c>
      <c r="DT20" s="1">
        <f t="shared" si="30"/>
        <v>0.51794252000000007</v>
      </c>
      <c r="DU20" s="1">
        <f t="shared" si="30"/>
        <v>0.37362660000000003</v>
      </c>
      <c r="DV20" s="1">
        <f t="shared" si="30"/>
        <v>0.32288670000000003</v>
      </c>
      <c r="DW20" s="1">
        <f t="shared" si="30"/>
        <v>0.29487440000000004</v>
      </c>
      <c r="DX20" s="1">
        <f t="shared" si="30"/>
        <v>7.78142E-2</v>
      </c>
      <c r="DY20" s="1">
        <f t="shared" si="30"/>
        <v>0.12479459999999999</v>
      </c>
      <c r="DZ20" s="1">
        <f t="shared" si="31"/>
        <v>8.4911199999999992E-2</v>
      </c>
      <c r="EA20" s="1">
        <f t="shared" si="31"/>
        <v>0.22142464000000001</v>
      </c>
      <c r="EB20" s="1">
        <f t="shared" si="31"/>
        <v>1.01853964</v>
      </c>
      <c r="EC20" s="1">
        <f t="shared" si="31"/>
        <v>0.30728509999999998</v>
      </c>
      <c r="ED20" s="1">
        <f t="shared" si="31"/>
        <v>0.37410640000000001</v>
      </c>
      <c r="EE20" s="1">
        <f t="shared" si="31"/>
        <v>0.35746821000000001</v>
      </c>
      <c r="EF20" s="1">
        <f t="shared" si="31"/>
        <v>0.95829101000000005</v>
      </c>
      <c r="EG20" s="1">
        <f t="shared" si="31"/>
        <v>0.34636184000000003</v>
      </c>
      <c r="EI20" s="14">
        <f t="shared" si="32"/>
        <v>0</v>
      </c>
      <c r="EJ20" s="14">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2"/>
        <v>0</v>
      </c>
      <c r="EY20" s="1">
        <f t="shared" si="33"/>
        <v>0</v>
      </c>
      <c r="EZ20" s="1">
        <f t="shared" si="33"/>
        <v>0</v>
      </c>
      <c r="FA20" s="1">
        <f t="shared" si="33"/>
        <v>0</v>
      </c>
      <c r="FB20" s="1">
        <f t="shared" si="33"/>
        <v>0</v>
      </c>
      <c r="FC20" s="1">
        <f t="shared" si="33"/>
        <v>0</v>
      </c>
      <c r="FD20" s="1">
        <f t="shared" si="33"/>
        <v>0</v>
      </c>
      <c r="FE20" s="1">
        <f t="shared" si="33"/>
        <v>0</v>
      </c>
      <c r="FF20" s="1">
        <f t="shared" si="33"/>
        <v>0</v>
      </c>
      <c r="FH20" s="162">
        <f t="shared" si="34"/>
        <v>-0.14903477133338772</v>
      </c>
    </row>
    <row r="21" spans="1:164" ht="18.75" customHeight="1">
      <c r="A21" s="244" t="s">
        <v>121</v>
      </c>
      <c r="B21" s="247"/>
      <c r="C21" s="228">
        <f t="shared" si="5"/>
        <v>0</v>
      </c>
      <c r="D21" s="229">
        <v>-2</v>
      </c>
      <c r="E21" s="253">
        <f t="shared" si="6"/>
        <v>-3.1464513463813626E-3</v>
      </c>
      <c r="F21" s="254">
        <f t="shared" si="7"/>
        <v>-1.8158459825695528E-2</v>
      </c>
      <c r="G21" s="253">
        <f t="shared" si="8"/>
        <v>-7.3491807013962074E-2</v>
      </c>
      <c r="H21" s="254">
        <f t="shared" si="9"/>
        <v>7.0345355667580711E-2</v>
      </c>
      <c r="I21" s="253">
        <f t="shared" si="10"/>
        <v>0.76422062867310059</v>
      </c>
      <c r="J21" s="254">
        <f t="shared" si="11"/>
        <v>0.32943401984800968</v>
      </c>
      <c r="K21" s="253">
        <f t="shared" si="12"/>
        <v>0.30737505584962954</v>
      </c>
      <c r="L21" s="254">
        <f t="shared" si="13"/>
        <v>0.45684557282347105</v>
      </c>
      <c r="M21" s="255"/>
      <c r="N21" s="256">
        <v>1</v>
      </c>
      <c r="O21" s="253">
        <f t="shared" si="35"/>
        <v>-2.0839332713567749E-2</v>
      </c>
      <c r="P21" s="257">
        <f t="shared" si="36"/>
        <v>-2.0839332713567749E-2</v>
      </c>
      <c r="Q21" s="253">
        <f t="shared" si="14"/>
        <v>1.9673950098317849E-2</v>
      </c>
      <c r="R21" s="257">
        <f t="shared" si="37"/>
        <v>1.9673950098317849E-2</v>
      </c>
      <c r="S21" s="255"/>
      <c r="T21" s="256">
        <v>1</v>
      </c>
      <c r="U21" s="253">
        <f t="shared" si="15"/>
        <v>0.43166702375018473</v>
      </c>
      <c r="V21" s="258">
        <f t="shared" si="16"/>
        <v>0.43166702375018473</v>
      </c>
      <c r="W21" s="253">
        <f t="shared" si="38"/>
        <v>2.4603529133638773</v>
      </c>
      <c r="X21" s="258">
        <f t="shared" si="17"/>
        <v>2.4603529133638773</v>
      </c>
      <c r="Y21" s="253">
        <f t="shared" si="18"/>
        <v>8.3932853717026301E-2</v>
      </c>
      <c r="Z21" s="258">
        <f t="shared" si="19"/>
        <v>8.3932853717026301E-2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4</v>
      </c>
      <c r="AQ21" s="28">
        <f>VLOOKUP($A21,historia!$A$5:$CM$24,+HLOOKUP(AQ$2,historia!$A$3:$EC$4,2,FALSE),FALSE)</f>
        <v>3</v>
      </c>
      <c r="AR21" s="28">
        <f>VLOOKUP($A21,historia!$A$5:$CM$24,+HLOOKUP(AR$2,historia!$A$3:$EC$4,2,FALSE),FALSE)</f>
        <v>3</v>
      </c>
      <c r="AS21" s="28">
        <f>VLOOKUP($A21,historia!$A$5:$CM$24,+HLOOKUP(AS$2,historia!$A$3:$EC$4,2,FALSE),FALSE)</f>
        <v>3</v>
      </c>
      <c r="AT21" s="58">
        <f>VLOOKUP($A21,historia!$A$5:$CM$24,+HLOOKUP(AT$2,historia!$A$3:$EC$4,2,FALSE),FALSE)</f>
        <v>3</v>
      </c>
      <c r="AU21" s="58">
        <f>VLOOKUP($A21,historia!$A$5:$CM$24,+HLOOKUP(AU$2,historia!$A$3:$EC$4,2,FALSE),FALSE)</f>
        <v>3</v>
      </c>
      <c r="AV21" s="58">
        <f>VLOOKUP($A21,historia!$A$5:$CM$24,+HLOOKUP(AV$2,historia!$A$3:$EC$4,2,FALSE),FALSE)</f>
        <v>3</v>
      </c>
      <c r="AW21" s="58">
        <f>VLOOKUP($A21,historia!$A$5:$CM$24,+HLOOKUP(AW$2,historia!$A$3:$EC$4,2,FALSE),FALSE)</f>
        <v>2</v>
      </c>
      <c r="AX21" s="58">
        <f>VLOOKUP($A21,historia!$A$5:$CM$24,+HLOOKUP(AX$2,historia!$A$3:$EC$4,2,FALSE),FALSE)</f>
        <v>3</v>
      </c>
      <c r="AY21" s="58">
        <f>VLOOKUP($A21,historia!$A$5:$CM$24,+HLOOKUP(AY$2,historia!$A$3:$EC$4,2,FALSE),FALSE)</f>
        <v>3</v>
      </c>
      <c r="AZ21" s="58">
        <f>VLOOKUP($A21,historia!$A$5:$CM$24,+HLOOKUP(AZ$2,historia!$A$3:$EC$4,2,FALSE),FALSE)</f>
        <v>3</v>
      </c>
      <c r="BA21" s="58">
        <f>VLOOKUP($A21,historia!$A$5:$CM$24,+HLOOKUP(BA$2,historia!$A$3:$EC$4,2,FALSE),FALSE)</f>
        <v>2</v>
      </c>
      <c r="BB21" s="58"/>
      <c r="BC21" s="58"/>
      <c r="BD21" s="286">
        <v>2</v>
      </c>
      <c r="BE21" t="str">
        <f t="shared" si="20"/>
        <v>Porcinos</v>
      </c>
      <c r="BF21">
        <f>+datos!BR1</f>
        <v>70</v>
      </c>
      <c r="BG21" s="2" t="str">
        <f t="shared" si="4"/>
        <v>$/kg</v>
      </c>
      <c r="BH21" s="2">
        <f t="shared" si="4"/>
        <v>1636.05</v>
      </c>
      <c r="BI21" s="2">
        <f t="shared" si="4"/>
        <v>1641.2139999999999</v>
      </c>
      <c r="BJ21" s="2">
        <f t="shared" si="4"/>
        <v>927.35</v>
      </c>
      <c r="BL21">
        <f>+datos!DD1</f>
        <v>108</v>
      </c>
      <c r="BM21" s="2">
        <f t="shared" si="21"/>
        <v>10080.54816462403</v>
      </c>
      <c r="BN21" s="2">
        <f t="shared" si="21"/>
        <v>10880.150052570489</v>
      </c>
      <c r="BO21" s="2">
        <f t="shared" si="21"/>
        <v>7710.5250857589144</v>
      </c>
      <c r="BQ21" s="1">
        <f>+datos!EJ1</f>
        <v>140</v>
      </c>
      <c r="BR21" s="1">
        <f t="shared" si="22"/>
        <v>5987778</v>
      </c>
      <c r="BS21" s="1">
        <f t="shared" si="22"/>
        <v>6115215</v>
      </c>
      <c r="BU21" s="1">
        <f>+datos!HE1</f>
        <v>213</v>
      </c>
      <c r="BV21" s="1">
        <f t="shared" si="23"/>
        <v>786655</v>
      </c>
      <c r="BW21" s="1">
        <f t="shared" si="23"/>
        <v>771477</v>
      </c>
      <c r="BY21" s="1">
        <f>+datos!KJ1</f>
        <v>296</v>
      </c>
      <c r="BZ21" s="1">
        <f t="shared" si="39"/>
        <v>28.73429406</v>
      </c>
      <c r="CA21" s="1">
        <f t="shared" si="40"/>
        <v>20.070514709999998</v>
      </c>
      <c r="CC21" s="1">
        <f>+datos!LO1</f>
        <v>327</v>
      </c>
      <c r="CD21" s="2">
        <f t="shared" si="24"/>
        <v>135.13666226999999</v>
      </c>
      <c r="CE21" s="2">
        <f t="shared" si="25"/>
        <v>39.052855489999999</v>
      </c>
      <c r="CG21" s="1">
        <f>+datos!IO1</f>
        <v>249</v>
      </c>
      <c r="CH21" s="1">
        <f t="shared" si="26"/>
        <v>18.079999999999998</v>
      </c>
      <c r="CI21" s="1">
        <f t="shared" si="27"/>
        <v>16.68</v>
      </c>
      <c r="CK21" s="1">
        <f t="shared" si="28"/>
        <v>2.2921349499999994</v>
      </c>
      <c r="CL21" s="1">
        <f t="shared" si="28"/>
        <v>1.76811707</v>
      </c>
      <c r="CM21" s="1">
        <f t="shared" si="28"/>
        <v>1.0764735399999998</v>
      </c>
      <c r="CN21" s="1">
        <f t="shared" si="28"/>
        <v>3.87511991</v>
      </c>
      <c r="CO21" s="1">
        <f t="shared" si="28"/>
        <v>1.4111442899999997</v>
      </c>
      <c r="CP21" s="1">
        <f t="shared" si="28"/>
        <v>1.9463367499999997</v>
      </c>
      <c r="CQ21" s="1">
        <f t="shared" si="28"/>
        <v>1.6096260199999999</v>
      </c>
      <c r="CR21" s="1">
        <f t="shared" si="28"/>
        <v>3.1723580499999997</v>
      </c>
      <c r="CS21" s="1">
        <f t="shared" si="28"/>
        <v>2.1279038099999998</v>
      </c>
      <c r="CT21" s="1">
        <f t="shared" si="28"/>
        <v>2.3778769799999995</v>
      </c>
      <c r="CU21" s="1">
        <f t="shared" si="28"/>
        <v>4.3175895799999999</v>
      </c>
      <c r="CV21" s="1">
        <f t="shared" si="28"/>
        <v>2.7596131099999996</v>
      </c>
      <c r="CW21" s="1">
        <f t="shared" si="28"/>
        <v>1.9296841299999996</v>
      </c>
      <c r="CX21" s="1">
        <f t="shared" si="28"/>
        <v>2.2533318799999997</v>
      </c>
      <c r="CY21" s="1">
        <f t="shared" si="28"/>
        <v>1.55421593</v>
      </c>
      <c r="CZ21" s="1">
        <f t="shared" si="28"/>
        <v>1.56892272</v>
      </c>
      <c r="DA21" s="1">
        <f t="shared" si="29"/>
        <v>1.2009935999999999</v>
      </c>
      <c r="DB21" s="1">
        <f t="shared" si="29"/>
        <v>1.5576121499999998</v>
      </c>
      <c r="DC21" s="1">
        <f t="shared" si="29"/>
        <v>1.3743196699999998</v>
      </c>
      <c r="DD21" s="1">
        <f t="shared" si="29"/>
        <v>1.4110336399999999</v>
      </c>
      <c r="DE21" s="1">
        <f t="shared" si="29"/>
        <v>1.8830951399999996</v>
      </c>
      <c r="DF21" s="1">
        <f t="shared" si="29"/>
        <v>1.4694087300000001</v>
      </c>
      <c r="DG21" s="1">
        <f t="shared" si="29"/>
        <v>2.0502103900000002</v>
      </c>
      <c r="DH21" s="1">
        <f t="shared" si="29"/>
        <v>1.8176867299999997</v>
      </c>
      <c r="DJ21" s="1">
        <f t="shared" si="30"/>
        <v>19.3334501</v>
      </c>
      <c r="DK21" s="1">
        <f t="shared" si="30"/>
        <v>18.318769970000002</v>
      </c>
      <c r="DL21" s="1">
        <f t="shared" si="30"/>
        <v>14.031594299999998</v>
      </c>
      <c r="DM21" s="1">
        <f t="shared" si="30"/>
        <v>14.447589379999997</v>
      </c>
      <c r="DN21" s="1">
        <f t="shared" si="30"/>
        <v>14.265215759999998</v>
      </c>
      <c r="DO21" s="1">
        <f t="shared" si="30"/>
        <v>16.354180840000001</v>
      </c>
      <c r="DP21" s="1">
        <f t="shared" si="30"/>
        <v>10.919699229999997</v>
      </c>
      <c r="DQ21" s="1">
        <f t="shared" si="30"/>
        <v>10.87912704</v>
      </c>
      <c r="DR21" s="1">
        <f t="shared" si="30"/>
        <v>7.3519509899999989</v>
      </c>
      <c r="DS21" s="1">
        <f t="shared" si="30"/>
        <v>4.9251834299999988</v>
      </c>
      <c r="DT21" s="1">
        <f t="shared" si="30"/>
        <v>2.5935797799999998</v>
      </c>
      <c r="DU21" s="1">
        <f t="shared" si="30"/>
        <v>1.7163214500000001</v>
      </c>
      <c r="DV21" s="1">
        <f t="shared" si="30"/>
        <v>2.7920763000000002</v>
      </c>
      <c r="DW21" s="1">
        <f t="shared" si="30"/>
        <v>3.5088459899999997</v>
      </c>
      <c r="DX21" s="1">
        <f t="shared" si="30"/>
        <v>2.2524288500000003</v>
      </c>
      <c r="DY21" s="1">
        <f t="shared" ref="DY21:EG24" si="41">+VLOOKUP(DY$1,ran_dat,$CC21,FALSE)</f>
        <v>5.2341166499999998</v>
      </c>
      <c r="DZ21" s="1">
        <f t="shared" si="41"/>
        <v>3.1162246899999997</v>
      </c>
      <c r="EA21" s="1">
        <f t="shared" si="41"/>
        <v>3.3747357299999998</v>
      </c>
      <c r="EB21" s="1">
        <f t="shared" si="41"/>
        <v>1.8536983500000002</v>
      </c>
      <c r="EC21" s="1">
        <f t="shared" si="41"/>
        <v>2.01592043</v>
      </c>
      <c r="ED21" s="1">
        <f t="shared" si="41"/>
        <v>3.3244473500000002</v>
      </c>
      <c r="EE21" s="1">
        <f t="shared" si="41"/>
        <v>2.84758625</v>
      </c>
      <c r="EF21" s="1">
        <f t="shared" si="41"/>
        <v>4.1641835499999997</v>
      </c>
      <c r="EG21" s="1">
        <f t="shared" si="41"/>
        <v>4.5685913500000002</v>
      </c>
      <c r="EI21" s="14">
        <f t="shared" si="32"/>
        <v>18.079999999999998</v>
      </c>
      <c r="EJ21" s="14">
        <f t="shared" si="32"/>
        <v>17.989999999999998</v>
      </c>
      <c r="EK21" s="1">
        <f t="shared" si="32"/>
        <v>17.850000000000001</v>
      </c>
      <c r="EL21" s="1">
        <f t="shared" si="32"/>
        <v>17.73</v>
      </c>
      <c r="EM21" s="1">
        <f t="shared" si="32"/>
        <v>17.510000000000002</v>
      </c>
      <c r="EN21" s="1">
        <f t="shared" si="32"/>
        <v>17.13</v>
      </c>
      <c r="EO21" s="1">
        <f t="shared" si="32"/>
        <v>16.89</v>
      </c>
      <c r="EP21" s="1">
        <f t="shared" si="32"/>
        <v>16.87</v>
      </c>
      <c r="EQ21" s="1">
        <f t="shared" si="32"/>
        <v>16.8</v>
      </c>
      <c r="ER21" s="1">
        <f t="shared" si="32"/>
        <v>16.760000000000002</v>
      </c>
      <c r="ES21" s="1">
        <f t="shared" si="32"/>
        <v>16.84</v>
      </c>
      <c r="ET21" s="1">
        <f t="shared" si="32"/>
        <v>16.64</v>
      </c>
      <c r="EU21" s="1">
        <f t="shared" si="32"/>
        <v>16.68</v>
      </c>
      <c r="EV21" s="1">
        <f t="shared" si="32"/>
        <v>16.62</v>
      </c>
      <c r="EW21" s="1">
        <f t="shared" si="32"/>
        <v>16.5</v>
      </c>
      <c r="EX21" s="1">
        <f t="shared" ref="EX21:FF24" si="42">+VLOOKUP(EX$1,ran_dat,$CG21,FALSE)</f>
        <v>16.64</v>
      </c>
      <c r="EY21" s="1">
        <f t="shared" si="42"/>
        <v>16.68</v>
      </c>
      <c r="EZ21" s="1">
        <f t="shared" si="42"/>
        <v>16.72</v>
      </c>
      <c r="FA21" s="1">
        <f t="shared" si="42"/>
        <v>16.75</v>
      </c>
      <c r="FB21" s="1">
        <f t="shared" si="42"/>
        <v>16.760000000000002</v>
      </c>
      <c r="FC21" s="1">
        <f t="shared" si="42"/>
        <v>16.71</v>
      </c>
      <c r="FD21" s="1">
        <f t="shared" si="42"/>
        <v>16.68</v>
      </c>
      <c r="FE21" s="1">
        <f t="shared" si="42"/>
        <v>16.670000000000002</v>
      </c>
      <c r="FF21" s="1">
        <f t="shared" si="42"/>
        <v>16.670000000000002</v>
      </c>
      <c r="FH21" s="162">
        <f t="shared" si="34"/>
        <v>0.45684557282347105</v>
      </c>
    </row>
    <row r="22" spans="1:164" ht="18.75" customHeight="1">
      <c r="A22" s="243" t="s">
        <v>75</v>
      </c>
      <c r="B22" s="246"/>
      <c r="C22" s="156">
        <f t="shared" si="5"/>
        <v>0.66</v>
      </c>
      <c r="D22" s="198">
        <v>1</v>
      </c>
      <c r="E22" s="248">
        <f t="shared" si="6"/>
        <v>0</v>
      </c>
      <c r="F22" s="249">
        <f t="shared" si="7"/>
        <v>-1.5012008479314165E-2</v>
      </c>
      <c r="G22" s="248">
        <f t="shared" si="8"/>
        <v>-7.1726429242003897E-3</v>
      </c>
      <c r="H22" s="249">
        <f t="shared" si="9"/>
        <v>7.1726429242003897E-3</v>
      </c>
      <c r="I22" s="248">
        <f t="shared" si="10"/>
        <v>0.32134502923976616</v>
      </c>
      <c r="J22" s="249">
        <f t="shared" si="11"/>
        <v>-0.11344157958532475</v>
      </c>
      <c r="K22" s="248">
        <f t="shared" si="12"/>
        <v>0.38565588000802697</v>
      </c>
      <c r="L22" s="249">
        <f t="shared" si="13"/>
        <v>-6.4310850768260819E-2</v>
      </c>
      <c r="M22" s="250"/>
      <c r="N22" s="24">
        <v>0</v>
      </c>
      <c r="O22" s="248">
        <f t="shared" si="35"/>
        <v>0.10289900078548864</v>
      </c>
      <c r="P22" s="251">
        <f t="shared" si="36"/>
        <v>0.10289900078548864</v>
      </c>
      <c r="Q22" s="248">
        <f t="shared" si="14"/>
        <v>0.17001165379676175</v>
      </c>
      <c r="R22" s="251">
        <f t="shared" si="37"/>
        <v>0.17001165379676175</v>
      </c>
      <c r="S22" s="250"/>
      <c r="T22" s="24">
        <v>1</v>
      </c>
      <c r="U22" s="248">
        <f t="shared" si="15"/>
        <v>8.6641387415289373E-2</v>
      </c>
      <c r="V22" s="252">
        <f t="shared" si="16"/>
        <v>8.6641387415289373E-2</v>
      </c>
      <c r="W22" s="248">
        <f t="shared" si="38"/>
        <v>-0.11313096331991834</v>
      </c>
      <c r="X22" s="252">
        <f t="shared" si="17"/>
        <v>-0.11313096331991834</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2</v>
      </c>
      <c r="AQ22" s="28">
        <f>VLOOKUP($A22,historia!$A$5:$CM$24,+HLOOKUP(AQ$2,historia!$A$3:$EC$4,2,FALSE),FALSE)</f>
        <v>2</v>
      </c>
      <c r="AR22" s="28">
        <f>VLOOKUP($A22,historia!$A$5:$CM$24,+HLOOKUP(AR$2,historia!$A$3:$EC$4,2,FALSE),FALSE)</f>
        <v>2</v>
      </c>
      <c r="AS22" s="28">
        <f>VLOOKUP($A22,historia!$A$5:$CM$24,+HLOOKUP(AS$2,historia!$A$3:$EC$4,2,FALSE),FALSE)</f>
        <v>2</v>
      </c>
      <c r="AT22" s="58">
        <f>VLOOKUP($A22,historia!$A$5:$CM$24,+HLOOKUP(AT$2,historia!$A$3:$EC$4,2,FALSE),FALSE)</f>
        <v>2</v>
      </c>
      <c r="AU22" s="58">
        <f>VLOOKUP($A22,historia!$A$5:$CM$24,+HLOOKUP(AU$2,historia!$A$3:$EC$4,2,FALSE),FALSE)</f>
        <v>2</v>
      </c>
      <c r="AV22" s="58">
        <f>VLOOKUP($A22,historia!$A$5:$CM$24,+HLOOKUP(AV$2,historia!$A$3:$EC$4,2,FALSE),FALSE)</f>
        <v>2</v>
      </c>
      <c r="AW22" s="58">
        <f>VLOOKUP($A22,historia!$A$5:$CM$24,+HLOOKUP(AW$2,historia!$A$3:$EC$4,2,FALSE),FALSE)</f>
        <v>2</v>
      </c>
      <c r="AX22" s="58">
        <f>VLOOKUP($A22,historia!$A$5:$CM$24,+HLOOKUP(AX$2,historia!$A$3:$EC$4,2,FALSE),FALSE)</f>
        <v>3</v>
      </c>
      <c r="AY22" s="58">
        <f>VLOOKUP($A22,historia!$A$5:$CM$24,+HLOOKUP(AY$2,historia!$A$3:$EC$4,2,FALSE),FALSE)</f>
        <v>3</v>
      </c>
      <c r="AZ22" s="58">
        <f>VLOOKUP($A22,historia!$A$5:$CM$24,+HLOOKUP(AZ$2,historia!$A$3:$EC$4,2,FALSE),FALSE)</f>
        <v>3</v>
      </c>
      <c r="BA22" s="58">
        <f>VLOOKUP($A22,historia!$A$5:$CM$24,+HLOOKUP(BA$2,historia!$A$3:$EC$4,2,FALSE),FALSE)</f>
        <v>3</v>
      </c>
      <c r="BB22" s="58"/>
      <c r="BC22" s="58"/>
      <c r="BD22" s="286">
        <v>3</v>
      </c>
      <c r="BE22" t="str">
        <f t="shared" si="20"/>
        <v>Tabaco</v>
      </c>
      <c r="BF22">
        <f>+datos!BJ1</f>
        <v>62</v>
      </c>
      <c r="BG22" s="2" t="str">
        <f t="shared" si="4"/>
        <v>$/kg</v>
      </c>
      <c r="BH22" s="2">
        <f t="shared" si="4"/>
        <v>4519</v>
      </c>
      <c r="BI22" s="2">
        <f t="shared" si="4"/>
        <v>4519</v>
      </c>
      <c r="BJ22" s="2">
        <f t="shared" si="4"/>
        <v>3420</v>
      </c>
      <c r="BL22">
        <f>+datos!DA1</f>
        <v>105</v>
      </c>
      <c r="BM22" s="2">
        <f t="shared" si="21"/>
        <v>10383.036946934373</v>
      </c>
      <c r="BN22" s="2">
        <f t="shared" si="21"/>
        <v>10458.048796636511</v>
      </c>
      <c r="BO22" s="2">
        <f t="shared" si="21"/>
        <v>7493.229088649503</v>
      </c>
      <c r="BQ22" s="1">
        <f>+datos!FD1</f>
        <v>160</v>
      </c>
      <c r="BR22" s="1">
        <f t="shared" si="22"/>
        <v>60376</v>
      </c>
      <c r="BS22" s="1">
        <f t="shared" si="22"/>
        <v>54743</v>
      </c>
      <c r="BU22" s="1">
        <f>+datos!GX1</f>
        <v>206</v>
      </c>
      <c r="BV22" s="1">
        <f t="shared" si="23"/>
        <v>36041.686000000002</v>
      </c>
      <c r="BW22" s="1">
        <f t="shared" si="23"/>
        <v>30804.553</v>
      </c>
      <c r="BY22" s="1">
        <f>+datos!KC1</f>
        <v>289</v>
      </c>
      <c r="BZ22" s="1">
        <f t="shared" si="39"/>
        <v>527.57372959999998</v>
      </c>
      <c r="CA22" s="1">
        <f t="shared" si="40"/>
        <v>485.50859162</v>
      </c>
      <c r="CC22" s="1">
        <f>+datos!LH1</f>
        <v>320</v>
      </c>
      <c r="CD22" s="2">
        <f t="shared" si="24"/>
        <v>58.260272390000004</v>
      </c>
      <c r="CE22" s="2">
        <f t="shared" si="25"/>
        <v>65.69208076999999</v>
      </c>
      <c r="CG22" s="1">
        <f>+datos!JD1</f>
        <v>264</v>
      </c>
      <c r="CH22" s="1">
        <f t="shared" si="26"/>
        <v>0</v>
      </c>
      <c r="CI22" s="1">
        <f t="shared" si="27"/>
        <v>0</v>
      </c>
      <c r="CK22" s="1">
        <f t="shared" ref="CK22:CZ24" si="43">+VLOOKUP(CK$1,ran_dat,$BY22,FALSE)</f>
        <v>121.04017274</v>
      </c>
      <c r="CL22" s="1">
        <f t="shared" si="43"/>
        <v>27.891120319999999</v>
      </c>
      <c r="CM22" s="1">
        <f t="shared" si="43"/>
        <v>5.5120895000000001</v>
      </c>
      <c r="CN22" s="1">
        <f t="shared" si="43"/>
        <v>9.7228914799999995</v>
      </c>
      <c r="CO22" s="1">
        <f t="shared" si="43"/>
        <v>6.2035308000000002</v>
      </c>
      <c r="CP22" s="1">
        <f t="shared" si="43"/>
        <v>65.18720725</v>
      </c>
      <c r="CQ22" s="1">
        <f t="shared" si="43"/>
        <v>34.962073999999994</v>
      </c>
      <c r="CR22" s="1">
        <f t="shared" si="43"/>
        <v>41.640055749999995</v>
      </c>
      <c r="CS22" s="1">
        <f t="shared" si="43"/>
        <v>54.488227269999996</v>
      </c>
      <c r="CT22" s="1">
        <f t="shared" si="43"/>
        <v>45.888815350000002</v>
      </c>
      <c r="CU22" s="1">
        <f t="shared" si="43"/>
        <v>56.365947810000002</v>
      </c>
      <c r="CV22" s="1">
        <f t="shared" si="43"/>
        <v>58.671597329999997</v>
      </c>
      <c r="CW22" s="1">
        <f t="shared" si="43"/>
        <v>31.625168280000004</v>
      </c>
      <c r="CX22" s="1">
        <f t="shared" si="43"/>
        <v>17.697801470000002</v>
      </c>
      <c r="CY22" s="1">
        <f t="shared" si="43"/>
        <v>30.191481329999998</v>
      </c>
      <c r="CZ22" s="1">
        <f t="shared" si="43"/>
        <v>36.249269399999989</v>
      </c>
      <c r="DA22" s="1">
        <f t="shared" ref="DA22:DH24" si="44">+VLOOKUP(DA$1,ran_dat,$BY22,FALSE)</f>
        <v>40.108989959999995</v>
      </c>
      <c r="DB22" s="1">
        <f t="shared" si="44"/>
        <v>56.890802439999995</v>
      </c>
      <c r="DC22" s="1">
        <f t="shared" si="44"/>
        <v>36.8257318</v>
      </c>
      <c r="DD22" s="1">
        <f t="shared" si="44"/>
        <v>51.381121719999996</v>
      </c>
      <c r="DE22" s="1">
        <f t="shared" si="44"/>
        <v>33.051481680000002</v>
      </c>
      <c r="DF22" s="1">
        <f t="shared" si="44"/>
        <v>60.888504160000004</v>
      </c>
      <c r="DG22" s="1">
        <f t="shared" si="44"/>
        <v>55.773078730000002</v>
      </c>
      <c r="DH22" s="1">
        <f t="shared" si="44"/>
        <v>34.825160650000001</v>
      </c>
      <c r="DJ22" s="1">
        <f t="shared" ref="DJ22:DY24" si="45">+VLOOKUP(DJ$1,ran_dat,$CC22,FALSE)</f>
        <v>4.00557768</v>
      </c>
      <c r="DK22" s="1">
        <f t="shared" si="45"/>
        <v>5.1774083700000002</v>
      </c>
      <c r="DL22" s="1">
        <f t="shared" si="45"/>
        <v>5.7823087099999997</v>
      </c>
      <c r="DM22" s="1">
        <f t="shared" si="45"/>
        <v>5.6310443999999995</v>
      </c>
      <c r="DN22" s="1">
        <f t="shared" si="45"/>
        <v>4.1108512499999996</v>
      </c>
      <c r="DO22" s="1">
        <f t="shared" si="45"/>
        <v>6.9241559000000006</v>
      </c>
      <c r="DP22" s="1">
        <f t="shared" si="45"/>
        <v>4.9762964800000002</v>
      </c>
      <c r="DQ22" s="1">
        <f t="shared" si="45"/>
        <v>5.7062324599999998</v>
      </c>
      <c r="DR22" s="1">
        <f t="shared" si="45"/>
        <v>5.3893107900000006</v>
      </c>
      <c r="DS22" s="1">
        <f t="shared" si="45"/>
        <v>5.0602291599999996</v>
      </c>
      <c r="DT22" s="1">
        <f t="shared" si="45"/>
        <v>1.1636776099999999</v>
      </c>
      <c r="DU22" s="1">
        <f t="shared" si="45"/>
        <v>4.3331795800000004</v>
      </c>
      <c r="DV22" s="1">
        <f t="shared" si="45"/>
        <v>5.5991701699999998</v>
      </c>
      <c r="DW22" s="1">
        <f t="shared" si="45"/>
        <v>5.1284923700000009</v>
      </c>
      <c r="DX22" s="1">
        <f t="shared" si="45"/>
        <v>4.8853449399999995</v>
      </c>
      <c r="DY22" s="1">
        <f t="shared" si="45"/>
        <v>4.5019780499999991</v>
      </c>
      <c r="DZ22" s="1">
        <f t="shared" si="41"/>
        <v>3.2870284000000001</v>
      </c>
      <c r="EA22" s="1">
        <f t="shared" si="41"/>
        <v>2.2553329799999999</v>
      </c>
      <c r="EB22" s="1">
        <f t="shared" si="41"/>
        <v>4.9563280900000004</v>
      </c>
      <c r="EC22" s="1">
        <f t="shared" si="41"/>
        <v>5.4312745199999997</v>
      </c>
      <c r="ED22" s="1">
        <f t="shared" si="41"/>
        <v>5.9427570699999999</v>
      </c>
      <c r="EE22" s="1">
        <f t="shared" si="41"/>
        <v>7.0989514199999997</v>
      </c>
      <c r="EF22" s="1">
        <f t="shared" si="41"/>
        <v>8.0901624599999984</v>
      </c>
      <c r="EG22" s="1">
        <f t="shared" si="41"/>
        <v>8.5152603000000013</v>
      </c>
      <c r="EI22" s="14">
        <f t="shared" ref="EI22:EX24" si="46">+VLOOKUP(EI$1,ran_dat,$CG22,FALSE)</f>
        <v>0</v>
      </c>
      <c r="EJ22" s="14">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6"/>
        <v>0</v>
      </c>
      <c r="EY22" s="1">
        <f t="shared" si="42"/>
        <v>0</v>
      </c>
      <c r="EZ22" s="1">
        <f t="shared" si="42"/>
        <v>0</v>
      </c>
      <c r="FA22" s="1">
        <f t="shared" si="42"/>
        <v>0</v>
      </c>
      <c r="FB22" s="1">
        <f t="shared" si="42"/>
        <v>0</v>
      </c>
      <c r="FC22" s="1">
        <f t="shared" si="42"/>
        <v>0</v>
      </c>
      <c r="FD22" s="1">
        <f t="shared" si="42"/>
        <v>0</v>
      </c>
      <c r="FE22" s="1">
        <f t="shared" si="42"/>
        <v>0</v>
      </c>
      <c r="FF22" s="1">
        <f t="shared" si="42"/>
        <v>0</v>
      </c>
      <c r="FH22" s="162">
        <f t="shared" si="34"/>
        <v>-6.4310850768260819E-2</v>
      </c>
    </row>
    <row r="23" spans="1:164" ht="18.75" customHeight="1">
      <c r="A23" s="244" t="s">
        <v>219</v>
      </c>
      <c r="B23" s="247"/>
      <c r="C23" s="228">
        <f t="shared" si="5"/>
        <v>-0.99</v>
      </c>
      <c r="D23" s="229">
        <v>-1</v>
      </c>
      <c r="E23" s="253">
        <f t="shared" si="6"/>
        <v>5.9263172950253518E-2</v>
      </c>
      <c r="F23" s="254">
        <f t="shared" si="7"/>
        <v>4.4251164470939353E-2</v>
      </c>
      <c r="G23" s="253">
        <f t="shared" si="8"/>
        <v>-8.881380504828007E-3</v>
      </c>
      <c r="H23" s="254">
        <f t="shared" si="9"/>
        <v>6.8144553455081525E-2</v>
      </c>
      <c r="I23" s="253">
        <f t="shared" si="10"/>
        <v>6.2023903039496453E-2</v>
      </c>
      <c r="J23" s="254">
        <f t="shared" si="11"/>
        <v>-0.37276270578559445</v>
      </c>
      <c r="K23" s="253">
        <f t="shared" si="12"/>
        <v>0.26625025402071079</v>
      </c>
      <c r="L23" s="254">
        <f t="shared" si="13"/>
        <v>-0.20422635098121433</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0.12886580721536967</v>
      </c>
      <c r="V23" s="258">
        <f t="shared" si="16"/>
        <v>0.12886580721536967</v>
      </c>
      <c r="W23" s="253">
        <f t="shared" si="38"/>
        <v>1.1574313394809863</v>
      </c>
      <c r="X23" s="258">
        <f t="shared" si="17"/>
        <v>1.1574313394809863</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5</v>
      </c>
      <c r="AQ23" s="28">
        <f>VLOOKUP($A23,historia!$A$5:$CM$24,+HLOOKUP(AQ$2,historia!$A$3:$EC$4,2,FALSE),FALSE)</f>
        <v>4</v>
      </c>
      <c r="AR23" s="28">
        <f>VLOOKUP($A23,historia!$A$5:$CM$24,+HLOOKUP(AR$2,historia!$A$3:$EC$4,2,FALSE),FALSE)</f>
        <v>4</v>
      </c>
      <c r="AS23" s="28">
        <f>VLOOKUP($A23,historia!$A$5:$CM$24,+HLOOKUP(AS$2,historia!$A$3:$EC$4,2,FALSE),FALSE)</f>
        <v>4</v>
      </c>
      <c r="AT23" s="58">
        <f>VLOOKUP($A23,historia!$A$5:$CM$24,+HLOOKUP(AT$2,historia!$A$3:$EC$4,2,FALSE),FALSE)</f>
        <v>4</v>
      </c>
      <c r="AU23" s="58">
        <f>VLOOKUP($A23,historia!$A$5:$CM$24,+HLOOKUP(AU$2,historia!$A$3:$EC$4,2,FALSE),FALSE)</f>
        <v>4</v>
      </c>
      <c r="AV23" s="58">
        <f>VLOOKUP($A23,historia!$A$5:$CM$24,+HLOOKUP(AV$2,historia!$A$3:$EC$4,2,FALSE),FALSE)</f>
        <v>4</v>
      </c>
      <c r="AW23" s="58">
        <f>VLOOKUP($A23,historia!$A$5:$CM$24,+HLOOKUP(AW$2,historia!$A$3:$EC$4,2,FALSE),FALSE)</f>
        <v>4</v>
      </c>
      <c r="AX23" s="58">
        <f>VLOOKUP($A23,historia!$A$5:$CM$24,+HLOOKUP(AX$2,historia!$A$3:$EC$4,2,FALSE),FALSE)</f>
        <v>4</v>
      </c>
      <c r="AY23" s="58">
        <f>VLOOKUP($A23,historia!$A$5:$CM$24,+HLOOKUP(AY$2,historia!$A$3:$EC$4,2,FALSE),FALSE)</f>
        <v>4</v>
      </c>
      <c r="AZ23" s="58">
        <f>VLOOKUP($A23,historia!$A$5:$CM$24,+HLOOKUP(AZ$2,historia!$A$3:$EC$4,2,FALSE),FALSE)</f>
        <v>4</v>
      </c>
      <c r="BA23" s="58">
        <f>VLOOKUP($A23,historia!$A$5:$CM$24,+HLOOKUP(BA$2,historia!$A$3:$EC$4,2,FALSE),FALSE)</f>
        <v>4</v>
      </c>
      <c r="BB23" s="58"/>
      <c r="BC23" s="58"/>
      <c r="BD23" s="286">
        <v>4</v>
      </c>
      <c r="BE23" t="str">
        <f t="shared" si="20"/>
        <v>Vino y Mosto</v>
      </c>
      <c r="BF23">
        <f>+datos!AM1</f>
        <v>39</v>
      </c>
      <c r="BG23" s="2" t="str">
        <f t="shared" si="4"/>
        <v>$/l</v>
      </c>
      <c r="BH23" s="2">
        <f t="shared" si="4"/>
        <v>352.86700000000002</v>
      </c>
      <c r="BI23" s="2">
        <f t="shared" si="4"/>
        <v>333.12495800000005</v>
      </c>
      <c r="BJ23" s="2">
        <f t="shared" si="4"/>
        <v>332.25899999999996</v>
      </c>
      <c r="BL23">
        <f>+datos!CP1</f>
        <v>94</v>
      </c>
      <c r="BM23" s="2">
        <f t="shared" si="21"/>
        <v>11218.607774098165</v>
      </c>
      <c r="BN23" s="2">
        <f t="shared" si="21"/>
        <v>11319.13733979933</v>
      </c>
      <c r="BO23" s="2">
        <f t="shared" si="21"/>
        <v>8859.708212081965</v>
      </c>
      <c r="BQ23" s="1">
        <f>+datos!EF1</f>
        <v>136</v>
      </c>
      <c r="BR23" s="1">
        <f t="shared" si="22"/>
        <v>196220</v>
      </c>
      <c r="BS23" s="1">
        <f t="shared" si="22"/>
        <v>199946</v>
      </c>
      <c r="BU23" s="1">
        <f>+datos!GB1</f>
        <v>184</v>
      </c>
      <c r="BV23" s="1">
        <f t="shared" si="23"/>
        <v>19908335</v>
      </c>
      <c r="BW23" s="1">
        <f t="shared" si="23"/>
        <v>19189740</v>
      </c>
      <c r="BY23" s="1">
        <f>+datos!JU1</f>
        <v>281</v>
      </c>
      <c r="BZ23" s="1">
        <f t="shared" si="39"/>
        <v>993.84121515000015</v>
      </c>
      <c r="CA23" s="1">
        <f t="shared" si="40"/>
        <v>880.38915591000011</v>
      </c>
      <c r="CC23" s="1">
        <f>+datos!KZ1</f>
        <v>312</v>
      </c>
      <c r="CD23" s="2">
        <f t="shared" si="24"/>
        <v>29.405530740000003</v>
      </c>
      <c r="CE23" s="2">
        <f t="shared" si="25"/>
        <v>13.62988022</v>
      </c>
      <c r="CG23" s="1">
        <f>+datos!IQ1</f>
        <v>251</v>
      </c>
      <c r="CH23" s="1">
        <f t="shared" si="26"/>
        <v>16.079999999999998</v>
      </c>
      <c r="CI23" s="1">
        <f t="shared" si="27"/>
        <v>16.3</v>
      </c>
      <c r="CK23" s="1">
        <f t="shared" si="43"/>
        <v>88.994061629999976</v>
      </c>
      <c r="CL23" s="1">
        <f t="shared" si="43"/>
        <v>77.155977009999987</v>
      </c>
      <c r="CM23" s="1">
        <f t="shared" si="43"/>
        <v>74.722979570000021</v>
      </c>
      <c r="CN23" s="1">
        <f t="shared" si="43"/>
        <v>63.754065359999977</v>
      </c>
      <c r="CO23" s="1">
        <f t="shared" si="43"/>
        <v>50.923025279999997</v>
      </c>
      <c r="CP23" s="1">
        <f t="shared" si="43"/>
        <v>85.381089520000018</v>
      </c>
      <c r="CQ23" s="1">
        <f t="shared" si="43"/>
        <v>87.09478919</v>
      </c>
      <c r="CR23" s="1">
        <f t="shared" si="43"/>
        <v>88.790830600000021</v>
      </c>
      <c r="CS23" s="1">
        <f t="shared" si="43"/>
        <v>106.11166329999998</v>
      </c>
      <c r="CT23" s="1">
        <f t="shared" si="43"/>
        <v>99.074693340000039</v>
      </c>
      <c r="CU23" s="1">
        <f t="shared" si="43"/>
        <v>115.95052356999999</v>
      </c>
      <c r="CV23" s="1">
        <f t="shared" si="43"/>
        <v>55.887516779999999</v>
      </c>
      <c r="CW23" s="1">
        <f t="shared" si="43"/>
        <v>84.428757199999993</v>
      </c>
      <c r="CX23" s="1">
        <f t="shared" si="43"/>
        <v>70.799436420000006</v>
      </c>
      <c r="CY23" s="1">
        <f t="shared" si="43"/>
        <v>83.547570889999989</v>
      </c>
      <c r="CZ23" s="1">
        <f t="shared" si="43"/>
        <v>59.429446169999991</v>
      </c>
      <c r="DA23" s="1">
        <f t="shared" si="44"/>
        <v>57.397509530000008</v>
      </c>
      <c r="DB23" s="1">
        <f t="shared" si="44"/>
        <v>71.762443020000006</v>
      </c>
      <c r="DC23" s="1">
        <f t="shared" si="44"/>
        <v>76.246675170000003</v>
      </c>
      <c r="DD23" s="1">
        <f t="shared" si="44"/>
        <v>81.396405279999982</v>
      </c>
      <c r="DE23" s="1">
        <f t="shared" si="44"/>
        <v>86.673250950000011</v>
      </c>
      <c r="DF23" s="1">
        <f t="shared" si="44"/>
        <v>67.769583350000005</v>
      </c>
      <c r="DG23" s="1">
        <f t="shared" si="44"/>
        <v>79.411450110000018</v>
      </c>
      <c r="DH23" s="1">
        <f t="shared" si="44"/>
        <v>61.526627820000002</v>
      </c>
      <c r="DJ23" s="1">
        <f t="shared" si="45"/>
        <v>4.0554375800000004</v>
      </c>
      <c r="DK23" s="1">
        <f t="shared" si="45"/>
        <v>3.476448889999999</v>
      </c>
      <c r="DL23" s="1">
        <f t="shared" si="45"/>
        <v>3.23844815</v>
      </c>
      <c r="DM23" s="1">
        <f t="shared" si="45"/>
        <v>1.94679845</v>
      </c>
      <c r="DN23" s="1">
        <f t="shared" si="45"/>
        <v>0.41117072999999998</v>
      </c>
      <c r="DO23" s="1">
        <f t="shared" si="45"/>
        <v>1.6918772199999998</v>
      </c>
      <c r="DP23" s="1">
        <f t="shared" si="45"/>
        <v>4.1008112300000006</v>
      </c>
      <c r="DQ23" s="1">
        <f t="shared" si="45"/>
        <v>2.9628047099999995</v>
      </c>
      <c r="DR23" s="1">
        <f t="shared" si="45"/>
        <v>2.4415022799999999</v>
      </c>
      <c r="DS23" s="1">
        <f t="shared" si="45"/>
        <v>2.4186424700000004</v>
      </c>
      <c r="DT23" s="1">
        <f t="shared" si="45"/>
        <v>2.3161338599999999</v>
      </c>
      <c r="DU23" s="1">
        <f t="shared" si="45"/>
        <v>0.34545517000000003</v>
      </c>
      <c r="DV23" s="1">
        <f t="shared" si="45"/>
        <v>1.3068112300000001</v>
      </c>
      <c r="DW23" s="1">
        <f t="shared" si="45"/>
        <v>1.01985657</v>
      </c>
      <c r="DX23" s="1">
        <f t="shared" si="45"/>
        <v>0.49471243999999998</v>
      </c>
      <c r="DY23" s="1">
        <f t="shared" si="45"/>
        <v>0.76659119999999992</v>
      </c>
      <c r="DZ23" s="1">
        <f t="shared" si="41"/>
        <v>0.41683354000000006</v>
      </c>
      <c r="EA23" s="1">
        <f t="shared" si="41"/>
        <v>1.01193058</v>
      </c>
      <c r="EB23" s="1">
        <f t="shared" si="41"/>
        <v>1.2280305999999999</v>
      </c>
      <c r="EC23" s="1">
        <f t="shared" si="41"/>
        <v>1.7214946800000002</v>
      </c>
      <c r="ED23" s="1">
        <f t="shared" si="41"/>
        <v>1.3147188099999998</v>
      </c>
      <c r="EE23" s="1">
        <f t="shared" si="41"/>
        <v>1.8704580099999999</v>
      </c>
      <c r="EF23" s="1">
        <f t="shared" si="41"/>
        <v>1.2166211999999998</v>
      </c>
      <c r="EG23" s="1">
        <f t="shared" si="41"/>
        <v>1.2618213600000001</v>
      </c>
      <c r="EI23" s="14">
        <f t="shared" si="46"/>
        <v>16.079999999999998</v>
      </c>
      <c r="EJ23" s="14">
        <f t="shared" si="46"/>
        <v>16.079999999999998</v>
      </c>
      <c r="EK23" s="1">
        <f t="shared" si="46"/>
        <v>16.079999999999998</v>
      </c>
      <c r="EL23" s="1">
        <f t="shared" si="46"/>
        <v>16.079999999999998</v>
      </c>
      <c r="EM23" s="1">
        <f t="shared" si="46"/>
        <v>16.079999999999998</v>
      </c>
      <c r="EN23" s="1">
        <f t="shared" si="46"/>
        <v>16.3</v>
      </c>
      <c r="EO23" s="1">
        <f t="shared" si="46"/>
        <v>16.3</v>
      </c>
      <c r="EP23" s="1">
        <f t="shared" si="46"/>
        <v>16.3</v>
      </c>
      <c r="EQ23" s="1">
        <f t="shared" si="46"/>
        <v>16.3</v>
      </c>
      <c r="ER23" s="1">
        <f t="shared" si="46"/>
        <v>16.3</v>
      </c>
      <c r="ES23" s="1">
        <f t="shared" si="46"/>
        <v>16.3</v>
      </c>
      <c r="ET23" s="1">
        <f t="shared" si="46"/>
        <v>16.3</v>
      </c>
      <c r="EU23" s="1">
        <f t="shared" si="46"/>
        <v>16.3</v>
      </c>
      <c r="EV23" s="1">
        <f t="shared" si="46"/>
        <v>16.3</v>
      </c>
      <c r="EW23" s="1">
        <f t="shared" si="46"/>
        <v>16.3</v>
      </c>
      <c r="EX23" s="1">
        <f t="shared" si="46"/>
        <v>16.3</v>
      </c>
      <c r="EY23" s="1">
        <f t="shared" si="42"/>
        <v>16.3</v>
      </c>
      <c r="EZ23" s="1">
        <f t="shared" si="42"/>
        <v>16.7</v>
      </c>
      <c r="FA23" s="1">
        <f t="shared" si="42"/>
        <v>16.7</v>
      </c>
      <c r="FB23" s="1">
        <f t="shared" si="42"/>
        <v>16.7</v>
      </c>
      <c r="FC23" s="1">
        <f t="shared" si="42"/>
        <v>16.7</v>
      </c>
      <c r="FD23" s="1">
        <f t="shared" si="42"/>
        <v>16.7</v>
      </c>
      <c r="FE23" s="1">
        <f t="shared" si="42"/>
        <v>16.7</v>
      </c>
      <c r="FF23" s="1">
        <f t="shared" si="42"/>
        <v>16.7</v>
      </c>
      <c r="FH23" s="162">
        <f t="shared" si="34"/>
        <v>-0.20422635098121433</v>
      </c>
    </row>
    <row r="24" spans="1:164" ht="18.75" customHeight="1">
      <c r="A24" s="243" t="s">
        <v>39</v>
      </c>
      <c r="B24" s="246"/>
      <c r="C24" s="156">
        <f t="shared" si="5"/>
        <v>-0.65999999999999992</v>
      </c>
      <c r="D24" s="198">
        <v>-3</v>
      </c>
      <c r="E24" s="248">
        <f t="shared" si="6"/>
        <v>3.4482758620689724E-2</v>
      </c>
      <c r="F24" s="249">
        <f t="shared" si="7"/>
        <v>1.9470750141375559E-2</v>
      </c>
      <c r="G24" s="248">
        <f t="shared" si="8"/>
        <v>4.587572790129002E-4</v>
      </c>
      <c r="H24" s="249">
        <f t="shared" si="9"/>
        <v>3.4024001341676824E-2</v>
      </c>
      <c r="I24" s="248">
        <f t="shared" si="10"/>
        <v>-9.0909090909090939E-2</v>
      </c>
      <c r="J24" s="249">
        <f t="shared" si="11"/>
        <v>-0.52569569973418184</v>
      </c>
      <c r="K24" s="248">
        <f t="shared" si="12"/>
        <v>0.38183408329632629</v>
      </c>
      <c r="L24" s="249">
        <f t="shared" si="13"/>
        <v>-0.47274317420541723</v>
      </c>
      <c r="M24" s="250"/>
      <c r="N24" s="24">
        <v>1</v>
      </c>
      <c r="O24" s="248">
        <f t="shared" si="35"/>
        <v>4.7599193940657258E-3</v>
      </c>
      <c r="P24" s="251">
        <f t="shared" si="36"/>
        <v>4.7599193940657258E-3</v>
      </c>
      <c r="Q24" s="248">
        <f t="shared" si="14"/>
        <v>-7.8962999765239572E-2</v>
      </c>
      <c r="R24" s="251">
        <f t="shared" si="37"/>
        <v>-7.8962999765239572E-2</v>
      </c>
      <c r="S24" s="250"/>
      <c r="T24" s="24">
        <v>0</v>
      </c>
      <c r="U24" s="248">
        <f t="shared" si="15"/>
        <v>2.9024520074103277E-2</v>
      </c>
      <c r="V24" s="252">
        <f t="shared" si="16"/>
        <v>2.9024520074103277E-2</v>
      </c>
      <c r="W24" s="248">
        <f t="shared" si="38"/>
        <v>-4.7300223995097146E-2</v>
      </c>
      <c r="X24" s="258">
        <f t="shared" si="17"/>
        <v>-4.7300223995097146E-2</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f>VLOOKUP($A24,historia!$A$5:$CM$24,+HLOOKUP(AY$2,historia!$A$3:$EC$4,2,FALSE),FALSE)</f>
        <v>4</v>
      </c>
      <c r="AZ24" s="58">
        <f>VLOOKUP($A24,historia!$A$5:$CM$24,+HLOOKUP(AZ$2,historia!$A$3:$EC$4,2,FALSE),FALSE)</f>
        <v>4</v>
      </c>
      <c r="BA24" s="58">
        <f>VLOOKUP($A24,historia!$A$5:$CM$24,+HLOOKUP(BA$2,historia!$A$3:$EC$4,2,FALSE),FALSE)</f>
        <v>4</v>
      </c>
      <c r="BB24" s="58"/>
      <c r="BC24" s="58"/>
      <c r="BD24" s="286">
        <v>4</v>
      </c>
      <c r="BE24" t="str">
        <f t="shared" si="20"/>
        <v>Yerba Mate</v>
      </c>
      <c r="BF24">
        <f>+datos!AG1</f>
        <v>33</v>
      </c>
      <c r="BG24" s="2" t="str">
        <f t="shared" si="4"/>
        <v>$/t</v>
      </c>
      <c r="BH24" s="2">
        <f t="shared" si="4"/>
        <v>300000</v>
      </c>
      <c r="BI24" s="2">
        <f t="shared" si="4"/>
        <v>290000</v>
      </c>
      <c r="BJ24" s="2">
        <f t="shared" si="4"/>
        <v>330000</v>
      </c>
      <c r="BL24">
        <f>+datos!CY1</f>
        <v>103</v>
      </c>
      <c r="BM24" s="2">
        <f t="shared" si="21"/>
        <v>10209.702636474818</v>
      </c>
      <c r="BN24" s="2">
        <f t="shared" si="21"/>
        <v>10205.02100880455</v>
      </c>
      <c r="BO24" s="2">
        <f t="shared" si="21"/>
        <v>7388.5155677444718</v>
      </c>
      <c r="BQ24" s="1">
        <f>+datos!ED1</f>
        <v>134</v>
      </c>
      <c r="BR24" s="1">
        <f t="shared" si="22"/>
        <v>231352</v>
      </c>
      <c r="BS24" s="1">
        <f t="shared" si="22"/>
        <v>230256</v>
      </c>
      <c r="BU24" s="1">
        <f>+datos!FZ1</f>
        <v>182</v>
      </c>
      <c r="BV24" s="1">
        <f t="shared" si="23"/>
        <v>876859</v>
      </c>
      <c r="BW24" s="1">
        <f t="shared" si="23"/>
        <v>952034.5</v>
      </c>
      <c r="BY24" s="1">
        <f>+datos!KD1</f>
        <v>290</v>
      </c>
      <c r="BZ24" s="1">
        <f t="shared" si="39"/>
        <v>114.38757776000001</v>
      </c>
      <c r="CA24" s="1">
        <f t="shared" si="40"/>
        <v>111.16117792000001</v>
      </c>
      <c r="CC24" s="1">
        <f>+datos!LI1</f>
        <v>321</v>
      </c>
      <c r="CD24" s="2">
        <f t="shared" si="24"/>
        <v>22.082928579999997</v>
      </c>
      <c r="CE24" s="2">
        <f t="shared" si="25"/>
        <v>23.179315389999999</v>
      </c>
      <c r="CG24" s="1">
        <f>+datos!IP1</f>
        <v>250</v>
      </c>
      <c r="CH24" s="1">
        <f t="shared" si="26"/>
        <v>5.7424738987207355</v>
      </c>
      <c r="CI24" s="1">
        <f t="shared" si="27"/>
        <v>5.5693606783423002</v>
      </c>
      <c r="CK24" s="1">
        <f t="shared" si="43"/>
        <v>10.492918690000002</v>
      </c>
      <c r="CL24" s="1">
        <f t="shared" si="43"/>
        <v>7.4906505000000001</v>
      </c>
      <c r="CM24" s="1">
        <f t="shared" si="43"/>
        <v>7.8719914600000003</v>
      </c>
      <c r="CN24" s="1">
        <f t="shared" si="43"/>
        <v>9.8166064800000008</v>
      </c>
      <c r="CO24" s="1">
        <f t="shared" si="43"/>
        <v>7.1690497699999991</v>
      </c>
      <c r="CP24" s="1">
        <f t="shared" si="43"/>
        <v>10.805856030000001</v>
      </c>
      <c r="CQ24" s="1">
        <f t="shared" si="43"/>
        <v>10.476429469999998</v>
      </c>
      <c r="CR24" s="1">
        <f t="shared" si="43"/>
        <v>11.361751129999998</v>
      </c>
      <c r="CS24" s="1">
        <f t="shared" si="43"/>
        <v>10.05873476</v>
      </c>
      <c r="CT24" s="1">
        <f t="shared" si="43"/>
        <v>9.4659040999999995</v>
      </c>
      <c r="CU24" s="1">
        <f t="shared" si="43"/>
        <v>8.3006057400000017</v>
      </c>
      <c r="CV24" s="1">
        <f t="shared" si="43"/>
        <v>11.077079630000002</v>
      </c>
      <c r="CW24" s="1">
        <f t="shared" si="43"/>
        <v>7.2906957700000001</v>
      </c>
      <c r="CX24" s="1">
        <f t="shared" si="43"/>
        <v>8.852789640000001</v>
      </c>
      <c r="CY24" s="1">
        <f t="shared" si="43"/>
        <v>12.408222910000001</v>
      </c>
      <c r="CZ24" s="1">
        <f t="shared" si="43"/>
        <v>8.8663402400000013</v>
      </c>
      <c r="DA24" s="1">
        <f t="shared" si="44"/>
        <v>9.2397224899999983</v>
      </c>
      <c r="DB24" s="1">
        <f t="shared" si="44"/>
        <v>7.1224329199999996</v>
      </c>
      <c r="DC24" s="1">
        <f t="shared" si="44"/>
        <v>8.6156523299999996</v>
      </c>
      <c r="DD24" s="1">
        <f t="shared" si="44"/>
        <v>10.17972451</v>
      </c>
      <c r="DE24" s="1">
        <f t="shared" si="44"/>
        <v>11.833514059999999</v>
      </c>
      <c r="DF24" s="1">
        <f t="shared" si="44"/>
        <v>8.6649559600000003</v>
      </c>
      <c r="DG24" s="1">
        <f t="shared" si="44"/>
        <v>8.6995030900000003</v>
      </c>
      <c r="DH24" s="1">
        <f t="shared" si="44"/>
        <v>9.3876240000000006</v>
      </c>
      <c r="DJ24" s="1">
        <f t="shared" si="45"/>
        <v>3.5033770500000001</v>
      </c>
      <c r="DK24" s="1">
        <f t="shared" si="45"/>
        <v>2.2730154199999997</v>
      </c>
      <c r="DL24" s="1">
        <f t="shared" si="45"/>
        <v>2.4041640299999996</v>
      </c>
      <c r="DM24" s="1">
        <f t="shared" si="45"/>
        <v>2.0218665100000002</v>
      </c>
      <c r="DN24" s="1">
        <f t="shared" si="45"/>
        <v>1.1839526999999999</v>
      </c>
      <c r="DO24" s="1">
        <f t="shared" si="45"/>
        <v>1.1744757299999999</v>
      </c>
      <c r="DP24" s="1">
        <f t="shared" si="45"/>
        <v>2.1750064099999999</v>
      </c>
      <c r="DQ24" s="1">
        <f t="shared" si="45"/>
        <v>2.6101839400000002</v>
      </c>
      <c r="DR24" s="1">
        <f t="shared" si="45"/>
        <v>1.2494588400000002</v>
      </c>
      <c r="DS24" s="1">
        <f t="shared" si="45"/>
        <v>0.60028256999999996</v>
      </c>
      <c r="DT24" s="1">
        <f t="shared" si="45"/>
        <v>1.7316709800000001</v>
      </c>
      <c r="DU24" s="1">
        <f t="shared" si="45"/>
        <v>1.1554743999999999</v>
      </c>
      <c r="DV24" s="1">
        <f t="shared" si="45"/>
        <v>1.50586095</v>
      </c>
      <c r="DW24" s="1">
        <f t="shared" si="45"/>
        <v>3.2398820599999998</v>
      </c>
      <c r="DX24" s="1">
        <f t="shared" si="45"/>
        <v>3.1775986299999999</v>
      </c>
      <c r="DY24" s="1">
        <f t="shared" si="45"/>
        <v>2.4176205400000002</v>
      </c>
      <c r="DZ24" s="1">
        <f t="shared" si="41"/>
        <v>1.0621514699999999</v>
      </c>
      <c r="EA24" s="1">
        <f t="shared" si="41"/>
        <v>1.8796713600000001</v>
      </c>
      <c r="EB24" s="1">
        <f t="shared" si="41"/>
        <v>2.4189343299999999</v>
      </c>
      <c r="EC24" s="1">
        <f t="shared" si="41"/>
        <v>2.31537419</v>
      </c>
      <c r="ED24" s="1">
        <f t="shared" si="41"/>
        <v>1.6581343500000001</v>
      </c>
      <c r="EE24" s="1">
        <f t="shared" si="41"/>
        <v>1.1317222</v>
      </c>
      <c r="EF24" s="1">
        <f t="shared" si="41"/>
        <v>1.25031731</v>
      </c>
      <c r="EG24" s="1">
        <f t="shared" si="41"/>
        <v>1.1220479999999999</v>
      </c>
      <c r="EI24" s="14">
        <f t="shared" si="46"/>
        <v>5.7424738987207355</v>
      </c>
      <c r="EJ24" s="14">
        <f t="shared" si="46"/>
        <v>5.7424738987207355</v>
      </c>
      <c r="EK24" s="1">
        <f t="shared" si="46"/>
        <v>5.7424738987207355</v>
      </c>
      <c r="EL24" s="1">
        <f t="shared" si="46"/>
        <v>5.7424738987207355</v>
      </c>
      <c r="EM24" s="1">
        <f t="shared" si="46"/>
        <v>5.7424738987207355</v>
      </c>
      <c r="EN24" s="1">
        <f t="shared" si="46"/>
        <v>5.5693606783423002</v>
      </c>
      <c r="EO24" s="1">
        <f t="shared" si="46"/>
        <v>5.5693606783423002</v>
      </c>
      <c r="EP24" s="1">
        <f t="shared" si="46"/>
        <v>5.5693606783423002</v>
      </c>
      <c r="EQ24" s="1">
        <f t="shared" si="46"/>
        <v>5.5693606783423002</v>
      </c>
      <c r="ER24" s="1">
        <f t="shared" si="46"/>
        <v>5.5693606783423002</v>
      </c>
      <c r="ES24" s="1">
        <f t="shared" si="46"/>
        <v>5.5693606783423002</v>
      </c>
      <c r="ET24" s="1">
        <f t="shared" si="46"/>
        <v>5.5693606783423002</v>
      </c>
      <c r="EU24" s="1">
        <f t="shared" si="46"/>
        <v>5.5693606783423002</v>
      </c>
      <c r="EV24" s="1">
        <f t="shared" si="46"/>
        <v>5.5693606783423002</v>
      </c>
      <c r="EW24" s="1">
        <f t="shared" si="46"/>
        <v>5.5693606783423002</v>
      </c>
      <c r="EX24" s="1">
        <f t="shared" si="46"/>
        <v>5.5693606783423002</v>
      </c>
      <c r="EY24" s="1">
        <f t="shared" si="42"/>
        <v>5.5693606783423002</v>
      </c>
      <c r="EZ24" s="1">
        <f t="shared" si="42"/>
        <v>6.139895208369488</v>
      </c>
      <c r="FA24" s="1">
        <f t="shared" si="42"/>
        <v>6.139895208369488</v>
      </c>
      <c r="FB24" s="1">
        <f t="shared" si="42"/>
        <v>6.139895208369488</v>
      </c>
      <c r="FC24" s="1">
        <f t="shared" si="42"/>
        <v>6.139895208369488</v>
      </c>
      <c r="FD24" s="1">
        <f t="shared" si="42"/>
        <v>6.139895208369488</v>
      </c>
      <c r="FE24" s="1">
        <f t="shared" si="42"/>
        <v>6.139895208369488</v>
      </c>
      <c r="FF24" s="1">
        <f t="shared" si="42"/>
        <v>6.139895208369488</v>
      </c>
      <c r="FH24" s="162">
        <f t="shared" si="34"/>
        <v>-0.47274317420541723</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T25" s="58"/>
      <c r="AU25" s="58"/>
      <c r="AV25" s="58"/>
      <c r="AW25" s="58"/>
      <c r="AX25" s="58"/>
      <c r="AY25" s="58">
        <v>4</v>
      </c>
      <c r="AZ25" s="58"/>
      <c r="BA25" s="58"/>
      <c r="BB25" s="58"/>
      <c r="BC25" s="58"/>
      <c r="BG25" s="2"/>
      <c r="BH25" s="2"/>
      <c r="BI25" s="2"/>
      <c r="BJ25" s="2"/>
      <c r="BM25" s="2"/>
      <c r="BN25" s="2"/>
      <c r="BO25" s="2"/>
      <c r="BQ25" s="1"/>
      <c r="BR25" s="1"/>
      <c r="BS25" s="1"/>
      <c r="BU25" s="1"/>
      <c r="BV25" s="1"/>
      <c r="BW25" s="1"/>
      <c r="BY25" s="1"/>
      <c r="BZ25" s="1"/>
      <c r="CA25" s="1"/>
      <c r="CC25" s="1"/>
      <c r="CD25" s="2"/>
      <c r="CE25" s="2"/>
      <c r="CG25" s="1"/>
      <c r="CH25" s="1"/>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E26" s="12">
        <f>+AVERAGE(E6:E24)</f>
        <v>-1.2986456042671094E-2</v>
      </c>
      <c r="F26" s="37">
        <f>+E26-$I$3</f>
        <v>-0.44777306486776197</v>
      </c>
      <c r="G26" s="12">
        <f>+AVERAGE(G6:G24)</f>
        <v>-2.7364806478786714E-2</v>
      </c>
      <c r="I26" s="12" t="e">
        <f>+AVERAGEIF(I6:I24,"&gt;211%")</f>
        <v>#DIV/0!</v>
      </c>
      <c r="J26" s="37" t="e">
        <f t="shared" si="11"/>
        <v>#DIV/0!</v>
      </c>
      <c r="K26" s="12">
        <f>+AVERAGE(K6:K24)</f>
        <v>0.28289540348135322</v>
      </c>
      <c r="O26" s="12">
        <f>+AVERAGE(O6:O24)</f>
        <v>4.0328245064039224E-2</v>
      </c>
      <c r="AB26" s="57"/>
    </row>
    <row r="27" spans="1:164" ht="18.75" customHeight="1">
      <c r="I27" s="12">
        <f>+AVERAGEIF(I6:I24,"&lt;211%")</f>
        <v>0.20164129045265972</v>
      </c>
      <c r="K27" s="177">
        <f>+SUBTOTAL(101,K6:K21)</f>
        <v>0.2713295280512904</v>
      </c>
      <c r="V27" t="s">
        <v>167</v>
      </c>
      <c r="X27" s="162"/>
      <c r="BR27" s="1">
        <f>+SUM(BR6:BR24)</f>
        <v>115546410</v>
      </c>
      <c r="BS27" s="1">
        <f>+SUM(BS6:BS24)</f>
        <v>114990703</v>
      </c>
      <c r="BV27" s="1">
        <f>+SUM(BV6:BV24)</f>
        <v>171208017.0298793</v>
      </c>
      <c r="BW27" s="1">
        <f>+SUM(BW6:BW24)</f>
        <v>163494672.93749589</v>
      </c>
      <c r="BZ27" s="1">
        <f>+SUM(BZ6:BZ24)</f>
        <v>53715.085488529985</v>
      </c>
      <c r="CA27" s="1">
        <f>+SUM(CA6:CA24)</f>
        <v>50691.723292039998</v>
      </c>
      <c r="CD27" s="1">
        <f>+SUM(CD6:CD24)</f>
        <v>3622.7566504899992</v>
      </c>
      <c r="CE27" s="1">
        <f>+SUM(CE6:CE24)</f>
        <v>4940.1527173000004</v>
      </c>
      <c r="FH27" s="167">
        <f>+COUNTIF(FH6:FH24,"&gt;0")</f>
        <v>5</v>
      </c>
    </row>
    <row r="28" spans="1:164" ht="18.75" customHeight="1">
      <c r="A28" s="11">
        <f>+COUNTIF($C$6:$C$24,"&lt;0")</f>
        <v>10</v>
      </c>
      <c r="C28" s="156">
        <v>-1</v>
      </c>
      <c r="E28" s="167">
        <f>+COUNTIF($I$6:$I$24,"&lt;1,69")</f>
        <v>19</v>
      </c>
      <c r="F28" s="29">
        <v>-1</v>
      </c>
      <c r="I28" s="167">
        <f>+COUNTIF($I$6:$I$24,"&lt;1,69")</f>
        <v>19</v>
      </c>
      <c r="J28" s="29">
        <v>-1</v>
      </c>
      <c r="K28">
        <f>+COUNTIF($L$6:$L$24,"&lt;0")</f>
        <v>14</v>
      </c>
      <c r="L28" s="29">
        <v>-1</v>
      </c>
      <c r="O28">
        <f>+COUNTIF($P$6:$P$24,"&lt;0")</f>
        <v>6</v>
      </c>
      <c r="P28" s="262">
        <v>-1</v>
      </c>
      <c r="Q28">
        <f>+COUNTIF($R$6:$R$24,"&lt;0")</f>
        <v>5</v>
      </c>
      <c r="R28" s="262">
        <v>-1</v>
      </c>
      <c r="T28" s="57">
        <f>+COUNTIF($U$6:$U$24,"&lt;0")</f>
        <v>3</v>
      </c>
      <c r="U28" s="29">
        <v>-1</v>
      </c>
      <c r="BD28" s="141">
        <f>(4*0.5)+(4*0.25)+(2*0.25)</f>
        <v>3.5</v>
      </c>
      <c r="BE28">
        <f>ROUND(BD28,0)</f>
        <v>4</v>
      </c>
      <c r="BS28" t="s">
        <v>491</v>
      </c>
      <c r="BV28" s="167">
        <f>+SUMIFS(BV6:BV24,BD6:BD24,5)+SUMIFS(BV6:BV24,BD6:BD24,4)</f>
        <v>27027291</v>
      </c>
      <c r="BZ28" s="10">
        <f>+BZ27/CA27-1</f>
        <v>5.9642126961675812E-2</v>
      </c>
      <c r="CD28" s="10">
        <f>+CD27/CE27-1</f>
        <v>-0.26667112176443264</v>
      </c>
    </row>
    <row r="29" spans="1:164" ht="18.75" customHeight="1">
      <c r="A29" s="11">
        <f>+COUNTIF($C$6:$C$24,C29)</f>
        <v>8</v>
      </c>
      <c r="C29" s="156">
        <v>0</v>
      </c>
      <c r="E29" s="167">
        <f>+COUNTIF($I$6:$I$24,"=1,69")</f>
        <v>0</v>
      </c>
      <c r="F29" s="29">
        <v>0</v>
      </c>
      <c r="I29" s="167">
        <f>+COUNTIF($I$6:$I$24,"=1,69")</f>
        <v>0</v>
      </c>
      <c r="J29" s="29">
        <v>0</v>
      </c>
      <c r="L29" s="29">
        <v>0</v>
      </c>
      <c r="O29">
        <f>+COUNTIF($P$6:$P$24,"=0")</f>
        <v>3</v>
      </c>
      <c r="P29" s="262">
        <v>0</v>
      </c>
      <c r="Q29">
        <f>+COUNTIF($R$6:$R$24,"=0")</f>
        <v>3</v>
      </c>
      <c r="R29" s="262">
        <v>0</v>
      </c>
      <c r="T29" s="57">
        <f>+COUNTIF($U$6:$U$24,"=0")</f>
        <v>0</v>
      </c>
      <c r="U29" s="29">
        <v>0</v>
      </c>
      <c r="BS29" t="s">
        <v>492</v>
      </c>
      <c r="BV29" s="167">
        <f>+SUMIFS(BV6:BV24,BD6:BD24,3)</f>
        <v>140196807.50987929</v>
      </c>
    </row>
    <row r="30" spans="1:164" ht="18.75" customHeight="1">
      <c r="A30" s="11">
        <f>+COUNTIF($C$6:$C$24,"&gt;0")</f>
        <v>1</v>
      </c>
      <c r="C30" s="156">
        <v>1</v>
      </c>
      <c r="E30" s="167">
        <f>+COUNTIF($I$6:$I$24,"&gt;1,69")</f>
        <v>0</v>
      </c>
      <c r="F30" s="29">
        <v>1</v>
      </c>
      <c r="I30" s="167">
        <f>+COUNTIF($I$6:$I$24,"&gt;1,69")</f>
        <v>0</v>
      </c>
      <c r="J30" s="29">
        <v>1</v>
      </c>
      <c r="K30">
        <f>+COUNTIF($L$6:$L$24,"&gt;0")</f>
        <v>5</v>
      </c>
      <c r="L30" s="29">
        <v>1</v>
      </c>
      <c r="O30">
        <f>+COUNTIF($P$6:$P$24,"&gt;0")</f>
        <v>9</v>
      </c>
      <c r="P30" s="262">
        <v>1</v>
      </c>
      <c r="Q30">
        <f>+COUNTIF($R$6:$R$24,"&gt;0")</f>
        <v>11</v>
      </c>
      <c r="R30" s="262">
        <v>1</v>
      </c>
      <c r="T30" s="57">
        <f>+COUNTIF($U$6:$U$24,"&gt;0")</f>
        <v>15</v>
      </c>
      <c r="U30" s="29">
        <v>1</v>
      </c>
      <c r="X30" s="14"/>
      <c r="BS30" t="s">
        <v>493</v>
      </c>
      <c r="BV30" s="167">
        <f>+SUMIFS(BV6:BV24,BD6:BD24,1)+SUMIFS(BV6:BV24,BD6:BD24,2)</f>
        <v>3983918.52</v>
      </c>
      <c r="BY30" s="1"/>
    </row>
    <row r="31" spans="1:164" ht="18.75" customHeight="1">
      <c r="K31" s="12"/>
    </row>
    <row r="32" spans="1:164" ht="18.75" customHeight="1">
      <c r="C32" s="157"/>
      <c r="I32" s="14">
        <f>+COUNTIF(I6:I24,"&gt;211%")</f>
        <v>0</v>
      </c>
      <c r="J32" s="14"/>
      <c r="K32" s="14"/>
      <c r="Y32" s="163"/>
    </row>
    <row r="33" spans="1:165" ht="18.75" customHeight="1">
      <c r="C33" s="157"/>
      <c r="I33" s="12" t="e">
        <f>+I26/2</f>
        <v>#DIV/0!</v>
      </c>
    </row>
    <row r="34" spans="1:165"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c r="BD34" s="141"/>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c r="BD35" s="141"/>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c r="BD36" s="141"/>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c r="BD37" s="141"/>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c r="BD38" s="141"/>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c r="BD39" s="141"/>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c r="BD40" s="141"/>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c r="BD45" s="141"/>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c r="BD46" s="141"/>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c r="BD47" s="141"/>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173" priority="53">
      <formula>AP6=0</formula>
    </cfRule>
    <cfRule type="expression" dxfId="172" priority="48">
      <formula>AP6=3</formula>
    </cfRule>
    <cfRule type="expression" dxfId="171" priority="49">
      <formula>AP6=5</formula>
    </cfRule>
    <cfRule type="expression" dxfId="170" priority="50">
      <formula>AP6=4</formula>
    </cfRule>
    <cfRule type="expression" dxfId="169" priority="51">
      <formula>AP6=2</formula>
    </cfRule>
    <cfRule type="expression" dxfId="168" priority="52">
      <formula>AP6=1</formula>
    </cfRule>
  </conditionalFormatting>
  <conditionalFormatting sqref="AN6:AN25">
    <cfRule type="expression" dxfId="167" priority="65">
      <formula>BA6=0</formula>
    </cfRule>
    <cfRule type="expression" dxfId="166" priority="60">
      <formula>BA6=3</formula>
    </cfRule>
    <cfRule type="expression" dxfId="165" priority="61">
      <formula>BA6=5</formula>
    </cfRule>
    <cfRule type="expression" dxfId="164" priority="62">
      <formula>BA6=4</formula>
    </cfRule>
    <cfRule type="expression" dxfId="163" priority="63">
      <formula>BA6=2</formula>
    </cfRule>
    <cfRule type="expression" dxfId="162" priority="64">
      <formula>BA6=1</formula>
    </cfRule>
  </conditionalFormatting>
  <conditionalFormatting sqref="AO6:AO25">
    <cfRule type="expression" dxfId="161" priority="54">
      <formula>#REF!=3</formula>
    </cfRule>
    <cfRule type="expression" dxfId="160" priority="55">
      <formula>#REF!=5</formula>
    </cfRule>
    <cfRule type="expression" dxfId="159" priority="56">
      <formula>#REF!=4</formula>
    </cfRule>
    <cfRule type="expression" dxfId="158" priority="58">
      <formula>#REF!=1</formula>
    </cfRule>
    <cfRule type="expression" dxfId="157" priority="59">
      <formula>#REF!=0</formula>
    </cfRule>
    <cfRule type="expression" dxfId="156" priority="57">
      <formula>#REF!=2</formula>
    </cfRule>
  </conditionalFormatting>
  <conditionalFormatting sqref="FH6:FH25 FH27">
    <cfRule type="colorScale" priority="23">
      <colorScale>
        <cfvo type="min"/>
        <cfvo type="percentile" val="50"/>
        <cfvo type="max"/>
        <color rgb="FFF8696B"/>
        <color rgb="FFFFEB84"/>
        <color rgb="FF63BE7B"/>
      </colorScale>
    </cfRule>
  </conditionalFormatting>
  <dataValidations disablePrompts="1" count="1">
    <dataValidation type="list" allowBlank="1" showInputMessage="1" showErrorMessage="1" sqref="A1:B1" xr:uid="{5E220264-E2FF-49F4-B6B2-37CF29AE7A98}">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EAA9AFAF-A01A-4B7F-801E-075A0AB1BC54}">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D5BB385D-91A7-48BF-BBB6-EAAD05A2EBBC}">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95A92-3C65-4411-9245-041ABCA20BBC}">
  <sheetPr>
    <tabColor theme="5" tint="-0.249977111117893"/>
    <pageSetUpPr fitToPage="1"/>
  </sheetPr>
  <dimension ref="A1:FI47"/>
  <sheetViews>
    <sheetView showGridLines="0" zoomScale="70" zoomScaleNormal="70" workbookViewId="0">
      <selection activeCell="BA2" sqref="BA2"/>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7.33203125" customWidth="1"/>
    <col min="8" max="8" width="4.5546875" style="37" customWidth="1"/>
    <col min="9" max="9" width="7.44140625" style="12" customWidth="1"/>
    <col min="10" max="10" width="5" style="37" customWidth="1"/>
    <col min="11" max="11" width="7.5546875"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3" style="57" customWidth="1"/>
    <col min="42" max="42" width="5.33203125" style="28" hidden="1" customWidth="1"/>
    <col min="43" max="43" width="6" style="28" hidden="1" customWidth="1"/>
    <col min="44" max="44" width="5.33203125" style="28" hidden="1" customWidth="1"/>
    <col min="45" max="45" width="8.5546875" style="28" hidden="1" customWidth="1"/>
    <col min="46" max="46" width="5.5546875" hidden="1" customWidth="1"/>
    <col min="47" max="47" width="6.33203125" hidden="1" customWidth="1"/>
    <col min="48" max="48" width="6.88671875" hidden="1" customWidth="1"/>
    <col min="49" max="51" width="6.33203125" hidden="1" customWidth="1"/>
    <col min="52" max="52" width="5.6640625" hidden="1" customWidth="1"/>
    <col min="53" max="53" width="7.44140625" hidden="1" customWidth="1"/>
    <col min="54" max="54" width="7.44140625" customWidth="1"/>
    <col min="55" max="55" width="7.44140625" hidden="1" customWidth="1"/>
    <col min="56" max="56" width="11.6640625" style="141" customWidth="1"/>
    <col min="57" max="57" width="12" customWidth="1"/>
    <col min="58" max="58" width="0.88671875" customWidth="1"/>
    <col min="59" max="59" width="7.88671875" customWidth="1"/>
    <col min="60" max="62" width="8.88671875" bestFit="1" customWidth="1"/>
    <col min="63" max="63" width="2.44140625" customWidth="1"/>
    <col min="64" max="64" width="0.44140625" customWidth="1"/>
    <col min="65" max="67" width="7.88671875" customWidth="1"/>
    <col min="68" max="68" width="2.44140625" customWidth="1"/>
    <col min="69" max="69" width="0.44140625" customWidth="1"/>
    <col min="70" max="70" width="12.88671875" customWidth="1"/>
    <col min="71" max="71" width="12.44140625" customWidth="1"/>
    <col min="72" max="72" width="2.44140625" customWidth="1"/>
    <col min="73" max="73" width="0.5546875" customWidth="1"/>
    <col min="74" max="74" width="14.44140625" bestFit="1" customWidth="1"/>
    <col min="75" max="75" width="12.5546875" customWidth="1"/>
    <col min="76" max="76" width="2.44140625" customWidth="1"/>
    <col min="77" max="77" width="8.109375" customWidth="1"/>
    <col min="78" max="79" width="7.5546875" customWidth="1"/>
    <col min="80" max="80" width="2.88671875" customWidth="1"/>
    <col min="81" max="81" width="0.88671875" customWidth="1"/>
    <col min="82" max="83" width="7.44140625" customWidth="1"/>
    <col min="84" max="84" width="2.88671875" customWidth="1"/>
    <col min="85" max="85" width="0.5546875" customWidth="1"/>
    <col min="86" max="86" width="11" customWidth="1"/>
    <col min="87" max="87" width="10.88671875" customWidth="1"/>
    <col min="88" max="88" width="7" bestFit="1" customWidth="1"/>
    <col min="89" max="89" width="11" bestFit="1" customWidth="1"/>
    <col min="90" max="90" width="7" bestFit="1" customWidth="1"/>
    <col min="91" max="91" width="6.5546875" bestFit="1" customWidth="1"/>
    <col min="92" max="93" width="7" bestFit="1" customWidth="1"/>
    <col min="94" max="94" width="6.5546875" bestFit="1" customWidth="1"/>
    <col min="95" max="95" width="6.109375" bestFit="1" customWidth="1"/>
    <col min="96" max="97" width="6.44140625" bestFit="1" customWidth="1"/>
    <col min="98" max="98" width="5.5546875" bestFit="1" customWidth="1"/>
    <col min="99" max="99" width="6.109375" bestFit="1" customWidth="1"/>
    <col min="100" max="100" width="7" bestFit="1" customWidth="1"/>
    <col min="101" max="101" width="6.33203125" bestFit="1" customWidth="1"/>
    <col min="102" max="102" width="6.88671875" bestFit="1" customWidth="1"/>
    <col min="103" max="103" width="6.109375" bestFit="1" customWidth="1"/>
    <col min="104" max="104" width="6.5546875" bestFit="1" customWidth="1"/>
    <col min="105" max="105" width="5.88671875" bestFit="1" customWidth="1"/>
    <col min="106" max="106" width="6.5546875" bestFit="1" customWidth="1"/>
    <col min="107" max="107" width="6.109375" bestFit="1" customWidth="1"/>
    <col min="108" max="109" width="6.44140625" bestFit="1" customWidth="1"/>
    <col min="110" max="110" width="5.5546875" bestFit="1" customWidth="1"/>
    <col min="111" max="111" width="6.109375" bestFit="1" customWidth="1"/>
    <col min="112" max="112" width="7" bestFit="1" customWidth="1"/>
    <col min="113" max="113" width="5" customWidth="1"/>
    <col min="114" max="114" width="11" bestFit="1" customWidth="1"/>
    <col min="115" max="115" width="6.88671875" bestFit="1" customWidth="1"/>
    <col min="116" max="116" width="6.109375" bestFit="1" customWidth="1"/>
    <col min="117" max="117" width="6.5546875" bestFit="1" customWidth="1"/>
    <col min="118" max="118" width="5.88671875" bestFit="1" customWidth="1"/>
    <col min="119" max="119" width="6.5546875" bestFit="1" customWidth="1"/>
    <col min="120" max="120" width="6.109375" bestFit="1" customWidth="1"/>
    <col min="121" max="122" width="6.44140625" bestFit="1" customWidth="1"/>
    <col min="123" max="123" width="5.5546875" bestFit="1" customWidth="1"/>
    <col min="124" max="124" width="6.109375" bestFit="1" customWidth="1"/>
    <col min="125" max="125" width="7" bestFit="1" customWidth="1"/>
    <col min="126" max="126" width="6.33203125" bestFit="1" customWidth="1"/>
    <col min="127" max="127" width="6.88671875" bestFit="1" customWidth="1"/>
    <col min="128" max="128" width="6.109375" bestFit="1" customWidth="1"/>
    <col min="129" max="129" width="6.5546875" bestFit="1" customWidth="1"/>
    <col min="130" max="130" width="5.88671875" bestFit="1" customWidth="1"/>
    <col min="131" max="131" width="6.5546875" bestFit="1" customWidth="1"/>
    <col min="132" max="132" width="6.109375" bestFit="1" customWidth="1"/>
    <col min="133" max="134" width="6.44140625" bestFit="1" customWidth="1"/>
    <col min="135" max="135" width="5.5546875" bestFit="1" customWidth="1"/>
    <col min="136" max="136" width="6.109375" bestFit="1" customWidth="1"/>
    <col min="137" max="137" width="7" bestFit="1" customWidth="1"/>
    <col min="138" max="138" width="5" customWidth="1"/>
    <col min="139" max="140" width="13.5546875" style="14" bestFit="1" customWidth="1"/>
    <col min="141" max="162" width="9.88671875" bestFit="1" customWidth="1"/>
    <col min="163" max="164" width="5" customWidth="1"/>
  </cols>
  <sheetData>
    <row r="1" spans="1:164" ht="18.75" customHeight="1">
      <c r="A1" s="219">
        <v>45748</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G1" t="s">
        <v>101</v>
      </c>
      <c r="BH1" s="3">
        <f>+A1</f>
        <v>45748</v>
      </c>
      <c r="BI1" s="3">
        <f>+VLOOKUP(BI2,datos!$D:$E,2,FALSE)</f>
        <v>45717</v>
      </c>
      <c r="BJ1" s="3">
        <f>+VLOOKUP(BJ2,datos!$D:$E,2,FALSE)</f>
        <v>45383</v>
      </c>
      <c r="BM1" s="3">
        <f>+A1</f>
        <v>45748</v>
      </c>
      <c r="BN1" s="3">
        <f>+VLOOKUP(BN2,datos!$D:$E,2,FALSE)</f>
        <v>45717</v>
      </c>
      <c r="BO1" s="3">
        <f>+VLOOKUP(BO2,datos!$D:$E,2,FALSE)</f>
        <v>45383</v>
      </c>
      <c r="BR1" s="3">
        <f>+A1</f>
        <v>45748</v>
      </c>
      <c r="BS1" s="3">
        <f>+VLOOKUP(BS2,datos!$D:$E,2,FALSE)</f>
        <v>45383</v>
      </c>
      <c r="BV1" s="3">
        <f>+A1</f>
        <v>45748</v>
      </c>
      <c r="BW1" s="3">
        <f>+VLOOKUP(BW2,datos!$D:$E,2,FALSE)</f>
        <v>45383</v>
      </c>
      <c r="BZ1" t="s">
        <v>279</v>
      </c>
      <c r="CA1" t="s">
        <v>280</v>
      </c>
      <c r="CD1" t="s">
        <v>279</v>
      </c>
      <c r="CE1" t="s">
        <v>280</v>
      </c>
      <c r="CH1" t="s">
        <v>282</v>
      </c>
      <c r="CI1" t="s">
        <v>283</v>
      </c>
      <c r="CJ1" s="3">
        <f>+A1</f>
        <v>45748</v>
      </c>
      <c r="CK1" s="3">
        <f>+VLOOKUP(CK2,datos!$D:$E,2,FALSE)</f>
        <v>45748</v>
      </c>
      <c r="CL1" s="3">
        <f>+VLOOKUP(CL2,datos!$D:$E,2,FALSE)</f>
        <v>45717</v>
      </c>
      <c r="CM1" s="3">
        <f>+VLOOKUP(CM2,datos!$D:$E,2,FALSE)</f>
        <v>45689</v>
      </c>
      <c r="CN1" s="3">
        <f>+VLOOKUP(CN2,datos!$D:$E,2,FALSE)</f>
        <v>45658</v>
      </c>
      <c r="CO1" s="3">
        <f>+VLOOKUP(CO2,datos!$D:$E,2,FALSE)</f>
        <v>45627</v>
      </c>
      <c r="CP1" s="3">
        <f>+VLOOKUP(CP2,datos!$D:$E,2,FALSE)</f>
        <v>45597</v>
      </c>
      <c r="CQ1" s="3">
        <f>+VLOOKUP(CQ2,datos!$D:$E,2,FALSE)</f>
        <v>45566</v>
      </c>
      <c r="CR1" s="3">
        <f>+VLOOKUP(CR2,datos!$D:$E,2,FALSE)</f>
        <v>45536</v>
      </c>
      <c r="CS1" s="3">
        <f>+VLOOKUP(CS2,datos!$D:$E,2,FALSE)</f>
        <v>45505</v>
      </c>
      <c r="CT1" s="3">
        <f>+VLOOKUP(CT2,datos!$D:$E,2,FALSE)</f>
        <v>45474</v>
      </c>
      <c r="CU1" s="3">
        <f>+VLOOKUP(CU2,datos!$D:$E,2,FALSE)</f>
        <v>45444</v>
      </c>
      <c r="CV1" s="3">
        <f>+VLOOKUP(CV2,datos!$D:$E,2,FALSE)</f>
        <v>45413</v>
      </c>
      <c r="CW1" s="3">
        <f>+VLOOKUP(CW2,datos!$D:$E,2,FALSE)</f>
        <v>45383</v>
      </c>
      <c r="CX1" s="3">
        <f>+VLOOKUP(CX2,datos!$D:$E,2,FALSE)</f>
        <v>45352</v>
      </c>
      <c r="CY1" s="3">
        <f>+VLOOKUP(CY2,datos!$D:$E,2,FALSE)</f>
        <v>45323</v>
      </c>
      <c r="CZ1" s="3">
        <f>+VLOOKUP(CZ2,datos!$D:$E,2,FALSE)</f>
        <v>45292</v>
      </c>
      <c r="DA1" s="3">
        <f>+VLOOKUP(DA2,datos!$D:$E,2,FALSE)</f>
        <v>45261</v>
      </c>
      <c r="DB1" s="3">
        <f>+VLOOKUP(DB2,datos!$D:$E,2,FALSE)</f>
        <v>45231</v>
      </c>
      <c r="DC1" s="3">
        <f>+VLOOKUP(DC2,datos!$D:$E,2,FALSE)</f>
        <v>45200</v>
      </c>
      <c r="DD1" s="3">
        <f>+VLOOKUP(DD2,datos!$D:$E,2,FALSE)</f>
        <v>45170</v>
      </c>
      <c r="DE1" s="3">
        <f>+VLOOKUP(DE2,datos!$D:$E,2,FALSE)</f>
        <v>45139</v>
      </c>
      <c r="DF1" s="3">
        <f>+VLOOKUP(DF2,datos!$D:$E,2,FALSE)</f>
        <v>45108</v>
      </c>
      <c r="DG1" s="3">
        <f>+VLOOKUP(DG2,datos!$D:$E,2,FALSE)</f>
        <v>45078</v>
      </c>
      <c r="DH1" s="3">
        <f>+VLOOKUP(DH2,datos!$D:$E,2,FALSE)</f>
        <v>45047</v>
      </c>
      <c r="DJ1" s="3">
        <f>+CK1</f>
        <v>45748</v>
      </c>
      <c r="DK1" s="3">
        <f>+VLOOKUP(DK2,datos!$D:$E,2,FALSE)</f>
        <v>45717</v>
      </c>
      <c r="DL1" s="3">
        <f>+VLOOKUP(DL2,datos!$D:$E,2,FALSE)</f>
        <v>45689</v>
      </c>
      <c r="DM1" s="3">
        <f>+VLOOKUP(DM2,datos!$D:$E,2,FALSE)</f>
        <v>45658</v>
      </c>
      <c r="DN1" s="3">
        <f>+VLOOKUP(DN2,datos!$D:$E,2,FALSE)</f>
        <v>45627</v>
      </c>
      <c r="DO1" s="3">
        <f>+VLOOKUP(DO2,datos!$D:$E,2,FALSE)</f>
        <v>45597</v>
      </c>
      <c r="DP1" s="3">
        <f>+VLOOKUP(DP2,datos!$D:$E,2,FALSE)</f>
        <v>45566</v>
      </c>
      <c r="DQ1" s="3">
        <f>+VLOOKUP(DQ2,datos!$D:$E,2,FALSE)</f>
        <v>45536</v>
      </c>
      <c r="DR1" s="3">
        <f>+VLOOKUP(DR2,datos!$D:$E,2,FALSE)</f>
        <v>45505</v>
      </c>
      <c r="DS1" s="3">
        <f>+VLOOKUP(DS2,datos!$D:$E,2,FALSE)</f>
        <v>45474</v>
      </c>
      <c r="DT1" s="3">
        <f>+VLOOKUP(DT2,datos!$D:$E,2,FALSE)</f>
        <v>45444</v>
      </c>
      <c r="DU1" s="3">
        <f>+VLOOKUP(DU2,datos!$D:$E,2,FALSE)</f>
        <v>45413</v>
      </c>
      <c r="DV1" s="3">
        <f>+VLOOKUP(DV2,datos!$D:$E,2,FALSE)</f>
        <v>45383</v>
      </c>
      <c r="DW1" s="3">
        <f>+VLOOKUP(DW2,datos!$D:$E,2,FALSE)</f>
        <v>45352</v>
      </c>
      <c r="DX1" s="3">
        <f>+VLOOKUP(DX2,datos!$D:$E,2,FALSE)</f>
        <v>45323</v>
      </c>
      <c r="DY1" s="3">
        <f>+VLOOKUP(DY2,datos!$D:$E,2,FALSE)</f>
        <v>45292</v>
      </c>
      <c r="DZ1" s="3">
        <f>+VLOOKUP(DZ2,datos!$D:$E,2,FALSE)</f>
        <v>45261</v>
      </c>
      <c r="EA1" s="3">
        <f>+VLOOKUP(EA2,datos!$D:$E,2,FALSE)</f>
        <v>45231</v>
      </c>
      <c r="EB1" s="3">
        <f>+VLOOKUP(EB2,datos!$D:$E,2,FALSE)</f>
        <v>45200</v>
      </c>
      <c r="EC1" s="3">
        <f>+VLOOKUP(EC2,datos!$D:$E,2,FALSE)</f>
        <v>45170</v>
      </c>
      <c r="ED1" s="3">
        <f>+VLOOKUP(ED2,datos!$D:$E,2,FALSE)</f>
        <v>45139</v>
      </c>
      <c r="EE1" s="3">
        <f>+VLOOKUP(EE2,datos!$D:$E,2,FALSE)</f>
        <v>45108</v>
      </c>
      <c r="EF1" s="3">
        <f>+VLOOKUP(EF2,datos!$D:$E,2,FALSE)</f>
        <v>45078</v>
      </c>
      <c r="EG1" s="3">
        <f>+VLOOKUP(EG2,datos!$D:$E,2,FALSE)</f>
        <v>45047</v>
      </c>
      <c r="EI1" s="14">
        <f>+CK1</f>
        <v>45748</v>
      </c>
      <c r="EJ1" s="14">
        <f t="shared" ref="EJ1:FF1" si="0">+CL1</f>
        <v>45717</v>
      </c>
      <c r="EK1" s="3">
        <f t="shared" si="0"/>
        <v>45689</v>
      </c>
      <c r="EL1" s="3">
        <f t="shared" si="0"/>
        <v>45658</v>
      </c>
      <c r="EM1" s="3">
        <f t="shared" si="0"/>
        <v>45627</v>
      </c>
      <c r="EN1" s="3">
        <f t="shared" si="0"/>
        <v>45597</v>
      </c>
      <c r="EO1" s="3">
        <f t="shared" si="0"/>
        <v>45566</v>
      </c>
      <c r="EP1" s="3">
        <f t="shared" si="0"/>
        <v>45536</v>
      </c>
      <c r="EQ1" s="3">
        <f t="shared" si="0"/>
        <v>45505</v>
      </c>
      <c r="ER1" s="3">
        <f t="shared" si="0"/>
        <v>45474</v>
      </c>
      <c r="ES1" s="3">
        <f t="shared" si="0"/>
        <v>45444</v>
      </c>
      <c r="ET1" s="3">
        <f t="shared" si="0"/>
        <v>45413</v>
      </c>
      <c r="EU1" s="3">
        <f t="shared" si="0"/>
        <v>45383</v>
      </c>
      <c r="EV1" s="3">
        <f t="shared" si="0"/>
        <v>45352</v>
      </c>
      <c r="EW1" s="3">
        <f t="shared" si="0"/>
        <v>45323</v>
      </c>
      <c r="EX1" s="3">
        <f t="shared" si="0"/>
        <v>45292</v>
      </c>
      <c r="EY1" s="3">
        <f t="shared" si="0"/>
        <v>45261</v>
      </c>
      <c r="EZ1" s="3">
        <f t="shared" si="0"/>
        <v>45231</v>
      </c>
      <c r="FA1" s="3">
        <f t="shared" si="0"/>
        <v>45200</v>
      </c>
      <c r="FB1" s="3">
        <f t="shared" si="0"/>
        <v>45170</v>
      </c>
      <c r="FC1" s="3">
        <f t="shared" si="0"/>
        <v>45139</v>
      </c>
      <c r="FD1" s="3">
        <f t="shared" si="0"/>
        <v>45108</v>
      </c>
      <c r="FE1" s="3">
        <f t="shared" si="0"/>
        <v>45078</v>
      </c>
      <c r="FF1" s="3">
        <f t="shared" si="0"/>
        <v>45047</v>
      </c>
    </row>
    <row r="2" spans="1:164"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45413</v>
      </c>
      <c r="AQ2" s="174">
        <f>VLOOKUP(VLOOKUP(+$A$1,ran_ma,2,FALSE)-10,ran_idma,2,FALSE)</f>
        <v>45444</v>
      </c>
      <c r="AR2" s="174">
        <f>VLOOKUP(VLOOKUP(+$A$1,ran_ma,2,FALSE)-9,ran_idma,2,FALSE)</f>
        <v>45474</v>
      </c>
      <c r="AS2" s="174">
        <f>VLOOKUP(VLOOKUP(+$A$1,ran_ma,2,FALSE)-8,ran_idma,2,FALSE)</f>
        <v>45505</v>
      </c>
      <c r="AT2" s="59">
        <f>VLOOKUP(VLOOKUP(+$A$1,ran_ma,2,FALSE)-7,ran_idma,2,FALSE)</f>
        <v>45536</v>
      </c>
      <c r="AU2" s="59">
        <f>VLOOKUP(VLOOKUP(+$A$1,ran_ma,2,FALSE)-6,ran_idma,2,FALSE)</f>
        <v>45566</v>
      </c>
      <c r="AV2" s="59">
        <f>VLOOKUP(VLOOKUP(+$A$1,ran_ma,2,FALSE)-5,ran_idma,2,FALSE)</f>
        <v>45597</v>
      </c>
      <c r="AW2" s="59">
        <f>VLOOKUP(VLOOKUP(+$A$1,ran_ma,2,FALSE)-4,ran_idma,2,FALSE)</f>
        <v>45627</v>
      </c>
      <c r="AX2" s="59">
        <f>VLOOKUP(VLOOKUP(+$A$1,ran_ma,2,FALSE)-3,ran_idma,2,FALSE)</f>
        <v>45658</v>
      </c>
      <c r="AY2" s="59">
        <f>VLOOKUP(VLOOKUP(+$A$1,ran_ma,2,FALSE)-2,ran_idma,2,FALSE)</f>
        <v>45689</v>
      </c>
      <c r="AZ2" s="59">
        <f>VLOOKUP(VLOOKUP(+$A$1,ran_ma,2,FALSE)-1,ran_idma,2,FALSE)</f>
        <v>45717</v>
      </c>
      <c r="BA2" s="59">
        <f>+$A$1</f>
        <v>45748</v>
      </c>
      <c r="BB2" s="59"/>
      <c r="BC2" s="59"/>
      <c r="BD2" s="170"/>
      <c r="BF2" s="9" t="s">
        <v>272</v>
      </c>
      <c r="BH2">
        <f>+VLOOKUP(BH1,ran_dat,datos!$D$1,FALSE)</f>
        <v>121</v>
      </c>
      <c r="BI2">
        <f>+BH2-1</f>
        <v>120</v>
      </c>
      <c r="BJ2">
        <f>+BH2-12</f>
        <v>109</v>
      </c>
      <c r="BL2" s="9"/>
      <c r="BM2">
        <f>+VLOOKUP(BM1,ran_dat,datos!$D$1,FALSE)</f>
        <v>121</v>
      </c>
      <c r="BN2">
        <f>+BM2-1</f>
        <v>120</v>
      </c>
      <c r="BO2">
        <f>+BM2-12</f>
        <v>109</v>
      </c>
      <c r="BQ2" s="9"/>
      <c r="BR2">
        <f>+VLOOKUP(BR1,ran_dat,datos!$D$1,FALSE)</f>
        <v>121</v>
      </c>
      <c r="BS2">
        <f>+BR2-12</f>
        <v>109</v>
      </c>
      <c r="BU2" s="9"/>
      <c r="BV2">
        <f>+VLOOKUP(BV1,ran_dat,datos!$D$1,FALSE)</f>
        <v>121</v>
      </c>
      <c r="BW2">
        <f>+BV2-12</f>
        <v>109</v>
      </c>
      <c r="BY2" s="9"/>
      <c r="CC2" s="9"/>
      <c r="CJ2">
        <f>+VLOOKUP(CJ1,ran_dat,datos!$D$1,FALSE)</f>
        <v>121</v>
      </c>
      <c r="CK2">
        <f>+CJ2</f>
        <v>121</v>
      </c>
      <c r="CL2">
        <f t="shared" ref="CL2:DH2" si="1">+CK2-1</f>
        <v>120</v>
      </c>
      <c r="CM2">
        <f t="shared" si="1"/>
        <v>119</v>
      </c>
      <c r="CN2">
        <f t="shared" si="1"/>
        <v>118</v>
      </c>
      <c r="CO2">
        <f t="shared" si="1"/>
        <v>117</v>
      </c>
      <c r="CP2">
        <f t="shared" si="1"/>
        <v>116</v>
      </c>
      <c r="CQ2">
        <f t="shared" si="1"/>
        <v>115</v>
      </c>
      <c r="CR2">
        <f t="shared" si="1"/>
        <v>114</v>
      </c>
      <c r="CS2">
        <f t="shared" si="1"/>
        <v>113</v>
      </c>
      <c r="CT2">
        <f t="shared" si="1"/>
        <v>112</v>
      </c>
      <c r="CU2">
        <f t="shared" si="1"/>
        <v>111</v>
      </c>
      <c r="CV2">
        <f t="shared" si="1"/>
        <v>110</v>
      </c>
      <c r="CW2">
        <f t="shared" si="1"/>
        <v>109</v>
      </c>
      <c r="CX2">
        <f t="shared" si="1"/>
        <v>108</v>
      </c>
      <c r="CY2">
        <f t="shared" si="1"/>
        <v>107</v>
      </c>
      <c r="CZ2">
        <f t="shared" si="1"/>
        <v>106</v>
      </c>
      <c r="DA2">
        <f t="shared" si="1"/>
        <v>105</v>
      </c>
      <c r="DB2">
        <f t="shared" si="1"/>
        <v>104</v>
      </c>
      <c r="DC2">
        <f t="shared" si="1"/>
        <v>103</v>
      </c>
      <c r="DD2">
        <f t="shared" si="1"/>
        <v>102</v>
      </c>
      <c r="DE2">
        <f t="shared" si="1"/>
        <v>101</v>
      </c>
      <c r="DF2">
        <f t="shared" si="1"/>
        <v>100</v>
      </c>
      <c r="DG2">
        <f t="shared" si="1"/>
        <v>99</v>
      </c>
      <c r="DH2">
        <f t="shared" si="1"/>
        <v>98</v>
      </c>
      <c r="DJ2">
        <f>+VLOOKUP(DJ1,ran_dat,datos!$D$1,FALSE)</f>
        <v>121</v>
      </c>
      <c r="DK2">
        <f t="shared" ref="DK2:EG2" si="2">+DJ2-1</f>
        <v>120</v>
      </c>
      <c r="DL2">
        <f t="shared" si="2"/>
        <v>119</v>
      </c>
      <c r="DM2">
        <f t="shared" si="2"/>
        <v>118</v>
      </c>
      <c r="DN2">
        <f t="shared" si="2"/>
        <v>117</v>
      </c>
      <c r="DO2">
        <f t="shared" si="2"/>
        <v>116</v>
      </c>
      <c r="DP2">
        <f t="shared" si="2"/>
        <v>115</v>
      </c>
      <c r="DQ2">
        <f t="shared" si="2"/>
        <v>114</v>
      </c>
      <c r="DR2">
        <f t="shared" si="2"/>
        <v>113</v>
      </c>
      <c r="DS2">
        <f t="shared" si="2"/>
        <v>112</v>
      </c>
      <c r="DT2">
        <f t="shared" si="2"/>
        <v>111</v>
      </c>
      <c r="DU2">
        <f t="shared" si="2"/>
        <v>110</v>
      </c>
      <c r="DV2">
        <f t="shared" si="2"/>
        <v>109</v>
      </c>
      <c r="DW2">
        <f t="shared" si="2"/>
        <v>108</v>
      </c>
      <c r="DX2">
        <f t="shared" si="2"/>
        <v>107</v>
      </c>
      <c r="DY2">
        <f t="shared" si="2"/>
        <v>106</v>
      </c>
      <c r="DZ2">
        <f t="shared" si="2"/>
        <v>105</v>
      </c>
      <c r="EA2">
        <f t="shared" si="2"/>
        <v>104</v>
      </c>
      <c r="EB2">
        <f t="shared" si="2"/>
        <v>103</v>
      </c>
      <c r="EC2">
        <f t="shared" si="2"/>
        <v>102</v>
      </c>
      <c r="ED2">
        <f t="shared" si="2"/>
        <v>101</v>
      </c>
      <c r="EE2">
        <f t="shared" si="2"/>
        <v>100</v>
      </c>
      <c r="EF2">
        <f t="shared" si="2"/>
        <v>99</v>
      </c>
      <c r="EG2">
        <f t="shared" si="2"/>
        <v>98</v>
      </c>
      <c r="EI2" s="14">
        <f>+VLOOKUP(EI1,ran_dat,datos!$D$1,FALSE)</f>
        <v>121</v>
      </c>
      <c r="EJ2" s="14">
        <f t="shared" ref="EJ2:FF2" si="3">+EI2-1</f>
        <v>120</v>
      </c>
      <c r="EK2">
        <f t="shared" si="3"/>
        <v>119</v>
      </c>
      <c r="EL2">
        <f t="shared" si="3"/>
        <v>118</v>
      </c>
      <c r="EM2">
        <f t="shared" si="3"/>
        <v>117</v>
      </c>
      <c r="EN2">
        <f t="shared" si="3"/>
        <v>116</v>
      </c>
      <c r="EO2">
        <f t="shared" si="3"/>
        <v>115</v>
      </c>
      <c r="EP2">
        <f t="shared" si="3"/>
        <v>114</v>
      </c>
      <c r="EQ2">
        <f t="shared" si="3"/>
        <v>113</v>
      </c>
      <c r="ER2">
        <f t="shared" si="3"/>
        <v>112</v>
      </c>
      <c r="ES2">
        <f t="shared" si="3"/>
        <v>111</v>
      </c>
      <c r="ET2">
        <f t="shared" si="3"/>
        <v>110</v>
      </c>
      <c r="EU2">
        <f t="shared" si="3"/>
        <v>109</v>
      </c>
      <c r="EV2">
        <f t="shared" si="3"/>
        <v>108</v>
      </c>
      <c r="EW2">
        <f t="shared" si="3"/>
        <v>107</v>
      </c>
      <c r="EX2">
        <f t="shared" si="3"/>
        <v>106</v>
      </c>
      <c r="EY2">
        <f t="shared" si="3"/>
        <v>105</v>
      </c>
      <c r="EZ2">
        <f t="shared" si="3"/>
        <v>104</v>
      </c>
      <c r="FA2">
        <f t="shared" si="3"/>
        <v>103</v>
      </c>
      <c r="FB2">
        <f t="shared" si="3"/>
        <v>102</v>
      </c>
      <c r="FC2">
        <f t="shared" si="3"/>
        <v>101</v>
      </c>
      <c r="FD2">
        <f t="shared" si="3"/>
        <v>100</v>
      </c>
      <c r="FE2">
        <f t="shared" si="3"/>
        <v>99</v>
      </c>
      <c r="FF2">
        <f t="shared" si="3"/>
        <v>98</v>
      </c>
    </row>
    <row r="3" spans="1:164" ht="18.75" customHeight="1">
      <c r="A3" s="220"/>
      <c r="C3" s="155"/>
      <c r="D3" s="196">
        <v>0.33</v>
      </c>
      <c r="E3" s="100">
        <f>IFERROR(+BH5/BI5-1,"")</f>
        <v>2.7932425798881777E-2</v>
      </c>
      <c r="F3" s="56" t="s">
        <v>515</v>
      </c>
      <c r="G3" s="56"/>
      <c r="H3" s="56"/>
      <c r="I3" s="60">
        <f>IFERROR(+BH5/BJ5-1,"")</f>
        <v>0.47260129884134372</v>
      </c>
      <c r="J3" s="56" t="s">
        <v>515</v>
      </c>
      <c r="K3" s="56"/>
      <c r="L3" s="56"/>
      <c r="M3" s="32"/>
      <c r="N3" s="196">
        <v>0.33</v>
      </c>
      <c r="O3" s="31"/>
      <c r="S3" s="32"/>
      <c r="T3" s="196">
        <v>0.33</v>
      </c>
      <c r="U3" s="150" t="str">
        <f>TEXT(CV1,"MMM-YY")&amp;"."&amp;TEXT(CK1,"MMM-YY")&amp;" vs "&amp;TEXT(DH1,"MMM-YY")&amp;"."&amp;TEXT(CW1,"MMM-YY")</f>
        <v>may-24.abr-25 vs may-23.abr-24</v>
      </c>
      <c r="Y3" s="59" t="str">
        <f>TEXT(CK1,"MMM-YY")&amp;" vs "&amp;TEXT(CW1,"MMM-YY")</f>
        <v>abr-25 vs abr-24</v>
      </c>
      <c r="BF3" s="4" t="s">
        <v>3</v>
      </c>
      <c r="BG3" s="4"/>
      <c r="BH3" s="4"/>
      <c r="BI3" s="4"/>
      <c r="BJ3" s="4"/>
      <c r="BL3" s="27" t="s">
        <v>5</v>
      </c>
      <c r="BM3" s="27"/>
      <c r="BN3" s="27"/>
      <c r="BO3" s="27"/>
      <c r="BQ3" s="20" t="s">
        <v>15</v>
      </c>
      <c r="BR3" s="20"/>
      <c r="BS3" s="20"/>
      <c r="BU3" s="21" t="s">
        <v>2</v>
      </c>
      <c r="BV3" s="21"/>
      <c r="BW3" s="21"/>
      <c r="BY3" s="4" t="s">
        <v>7</v>
      </c>
      <c r="BZ3" s="4"/>
      <c r="CA3" s="4"/>
      <c r="CC3" s="43" t="s">
        <v>8</v>
      </c>
      <c r="CD3" s="43"/>
      <c r="CE3" s="43"/>
      <c r="CG3" s="22" t="s">
        <v>9</v>
      </c>
      <c r="CH3" s="22"/>
      <c r="CI3" s="22"/>
      <c r="CK3" s="4" t="s">
        <v>7</v>
      </c>
      <c r="CL3" s="4"/>
      <c r="CM3" s="4"/>
      <c r="CN3" s="4"/>
      <c r="CO3" s="4"/>
      <c r="CP3" s="4"/>
      <c r="CQ3" s="4"/>
      <c r="CR3" s="4"/>
      <c r="CS3" s="4"/>
      <c r="CT3" s="4"/>
      <c r="CU3" s="4"/>
      <c r="CV3" s="4"/>
      <c r="CW3" s="4"/>
      <c r="CX3" s="4"/>
      <c r="CY3" s="4"/>
      <c r="CZ3" s="4"/>
      <c r="DA3" s="4"/>
      <c r="DB3" s="4"/>
      <c r="DC3" s="4"/>
      <c r="DD3" s="4"/>
      <c r="DE3" s="4"/>
      <c r="DF3" s="4"/>
      <c r="DG3" s="4"/>
      <c r="DH3" s="4"/>
      <c r="DJ3" s="43" t="s">
        <v>8</v>
      </c>
      <c r="DK3" s="43"/>
      <c r="DL3" s="43"/>
      <c r="DM3" s="43"/>
      <c r="DN3" s="43"/>
      <c r="DO3" s="43"/>
      <c r="DP3" s="43"/>
      <c r="DQ3" s="43"/>
      <c r="DR3" s="43"/>
      <c r="DS3" s="43"/>
      <c r="DT3" s="43"/>
      <c r="DU3" s="43"/>
      <c r="DV3" s="43"/>
      <c r="DW3" s="43"/>
      <c r="DX3" s="43"/>
      <c r="DY3" s="43"/>
      <c r="DZ3" s="43"/>
      <c r="EA3" s="43"/>
      <c r="EB3" s="43"/>
      <c r="EC3" s="43"/>
      <c r="ED3" s="43"/>
      <c r="EE3" s="43"/>
      <c r="EF3" s="43"/>
      <c r="EG3" s="43"/>
      <c r="EI3" s="151" t="s">
        <v>9</v>
      </c>
      <c r="EJ3" s="151"/>
      <c r="EK3" s="22"/>
      <c r="EL3" s="22"/>
      <c r="EM3" s="22"/>
      <c r="EN3" s="22"/>
      <c r="EO3" s="22"/>
      <c r="EP3" s="22"/>
      <c r="EQ3" s="22"/>
      <c r="ER3" s="22"/>
      <c r="ES3" s="22"/>
      <c r="ET3" s="22"/>
      <c r="EU3" s="22"/>
      <c r="EV3" s="22"/>
      <c r="EW3" s="22"/>
      <c r="EX3" s="22"/>
      <c r="EY3" s="22"/>
      <c r="EZ3" s="22"/>
      <c r="FA3" s="22"/>
      <c r="FB3" s="22"/>
      <c r="FC3" s="22"/>
      <c r="FD3" s="22"/>
      <c r="FE3" s="22"/>
      <c r="FF3" s="22"/>
    </row>
    <row r="4" spans="1:164"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83"/>
      <c r="AP4" s="207"/>
      <c r="AQ4" s="207"/>
      <c r="AR4" s="207"/>
      <c r="AS4" s="207"/>
      <c r="AT4" s="19"/>
      <c r="AU4" s="19"/>
      <c r="AV4" s="19"/>
      <c r="AW4" s="19"/>
      <c r="AX4" s="19"/>
      <c r="AY4" s="19"/>
      <c r="AZ4" s="19"/>
      <c r="BA4" s="19"/>
      <c r="BB4" s="19"/>
      <c r="BC4" s="19"/>
      <c r="BD4" s="141" t="s">
        <v>390</v>
      </c>
      <c r="BF4" s="9"/>
      <c r="BL4" s="9"/>
      <c r="BQ4" s="9"/>
      <c r="BU4" s="9"/>
      <c r="BY4" s="9"/>
      <c r="CC4" s="9"/>
      <c r="CK4" s="44" t="s">
        <v>281</v>
      </c>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152"/>
      <c r="EJ4" s="152"/>
      <c r="EK4" s="44"/>
      <c r="EL4" s="44"/>
      <c r="EM4" s="44"/>
      <c r="EN4" s="44"/>
      <c r="EO4" s="44"/>
      <c r="EP4" s="44"/>
      <c r="EQ4" s="44"/>
      <c r="ER4" s="44"/>
      <c r="ES4" s="44"/>
      <c r="ET4" s="44"/>
      <c r="EU4" s="44"/>
      <c r="EV4" s="44"/>
      <c r="EW4" s="44"/>
      <c r="EX4" s="44"/>
      <c r="EY4" s="44"/>
      <c r="EZ4" s="44"/>
      <c r="FA4" s="44"/>
      <c r="FB4" s="44"/>
      <c r="FC4" s="44"/>
      <c r="FD4" s="44"/>
      <c r="FE4" s="44"/>
      <c r="FF4" s="44"/>
    </row>
    <row r="5" spans="1:164" ht="16.5" customHeight="1">
      <c r="E5" s="18"/>
      <c r="N5" s="197"/>
      <c r="O5" s="34"/>
      <c r="P5" s="33"/>
      <c r="Q5" s="34"/>
      <c r="R5" s="33"/>
      <c r="T5" s="197"/>
      <c r="U5" s="25"/>
      <c r="V5" s="34"/>
      <c r="W5" s="34"/>
      <c r="X5" s="34"/>
      <c r="Y5" s="34"/>
      <c r="Z5" s="34"/>
      <c r="AB5" s="211"/>
      <c r="BE5">
        <f>+A3</f>
        <v>0</v>
      </c>
      <c r="BF5">
        <f>+datos!G1</f>
        <v>7</v>
      </c>
      <c r="BG5" s="2" t="str">
        <f t="shared" ref="BG5:BJ24" si="4">+VLOOKUP(BG$1,ran_dat,$BF5,FALSE)</f>
        <v>Índice</v>
      </c>
      <c r="BH5" s="2">
        <f t="shared" si="4"/>
        <v>8585.6</v>
      </c>
      <c r="BI5" s="2">
        <f t="shared" si="4"/>
        <v>8352.2999999999993</v>
      </c>
      <c r="BJ5" s="2">
        <f t="shared" si="4"/>
        <v>5830.2271000000001</v>
      </c>
    </row>
    <row r="6" spans="1:164" ht="18.75" customHeight="1">
      <c r="A6" s="243" t="s">
        <v>28</v>
      </c>
      <c r="B6" s="246"/>
      <c r="C6" s="156">
        <f t="shared" ref="C6:C24" si="5">+D6*$D$3+N6*$N$3+T6*$T$3</f>
        <v>0</v>
      </c>
      <c r="D6" s="198">
        <v>-2</v>
      </c>
      <c r="E6" s="248">
        <f t="shared" ref="E6:E24" si="6">IFERROR(+BH6/BI6-1,"")</f>
        <v>-3.5018237901940363E-3</v>
      </c>
      <c r="F6" s="249">
        <f t="shared" ref="F6:F24" si="7">+E6-$E$3</f>
        <v>-3.1434249589075813E-2</v>
      </c>
      <c r="G6" s="248">
        <f t="shared" ref="G6:G24" si="8">IFERROR(+BM6/BN6-1,"")</f>
        <v>9.282763368181568E-3</v>
      </c>
      <c r="H6" s="249">
        <f t="shared" ref="H6:H24" si="9">E6-G6</f>
        <v>-1.2784587158375604E-2</v>
      </c>
      <c r="I6" s="248">
        <f t="shared" ref="I6:I24" si="10">IFERROR(+BH6/BJ6-1,"")</f>
        <v>0.17587882328707805</v>
      </c>
      <c r="J6" s="249">
        <f t="shared" ref="J6:J26" si="11">+I6-$I$3</f>
        <v>-0.29672247555426567</v>
      </c>
      <c r="K6" s="248">
        <f t="shared" ref="K6:K24" si="12">IFERROR(+BM6/BO6-1,"")</f>
        <v>0.25876735867237177</v>
      </c>
      <c r="L6" s="249">
        <f t="shared" ref="L6:L24" si="13">I6-K6</f>
        <v>-8.2888535385293727E-2</v>
      </c>
      <c r="M6" s="250"/>
      <c r="N6" s="24">
        <v>1</v>
      </c>
      <c r="O6" s="248">
        <f>IFERROR(+BR6/BS6-1,"")</f>
        <v>6.1538461538461542E-2</v>
      </c>
      <c r="P6" s="251">
        <f>+O6</f>
        <v>6.1538461538461542E-2</v>
      </c>
      <c r="Q6" s="248">
        <f t="shared" ref="Q6:Q24" si="14">IFERROR(+BV6/BW6-1,"")</f>
        <v>-0.15384615384615385</v>
      </c>
      <c r="R6" s="251">
        <f>+Q6</f>
        <v>-0.15384615384615385</v>
      </c>
      <c r="S6" s="250"/>
      <c r="T6" s="24">
        <v>1</v>
      </c>
      <c r="U6" s="248">
        <f t="shared" ref="U6:U24" si="15">IFERROR(+BZ6/CA6-1,"")</f>
        <v>0.31629467691400182</v>
      </c>
      <c r="V6" s="252">
        <f t="shared" ref="V6:V24" si="16">+U6</f>
        <v>0.31629467691400182</v>
      </c>
      <c r="W6" s="248">
        <f>IFERROR(IF(CD6&lt;0.5,"",+CD6/CE6-1),"")</f>
        <v>-3.8692733773308952E-2</v>
      </c>
      <c r="X6" s="252">
        <f t="shared" ref="X6:X24" si="17">+W6</f>
        <v>-3.8692733773308952E-2</v>
      </c>
      <c r="Y6" s="248" t="str">
        <f t="shared" ref="Y6:Y25" si="18">IFERROR(+CH6/CI6-1,"")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3</v>
      </c>
      <c r="AQ6" s="28">
        <f>VLOOKUP($A6,historia!$A$5:$CM$24,+HLOOKUP(AQ$2,historia!$A$3:$EC$4,2,FALSE),FALSE)</f>
        <v>3</v>
      </c>
      <c r="AR6" s="28">
        <f>VLOOKUP($A6,historia!$A$5:$CM$24,+HLOOKUP(AR$2,historia!$A$3:$EC$4,2,FALSE),FALSE)</f>
        <v>3</v>
      </c>
      <c r="AS6" s="28">
        <f>VLOOKUP($A6,historia!$A$5:$CM$24,+HLOOKUP(AS$2,historia!$A$3:$EC$4,2,FALSE),FALSE)</f>
        <v>3</v>
      </c>
      <c r="AT6" s="58">
        <f>VLOOKUP($A6,historia!$A$5:$CM$24,+HLOOKUP(AT$2,historia!$A$3:$EC$4,2,FALSE),FALSE)</f>
        <v>3</v>
      </c>
      <c r="AU6" s="58">
        <f>VLOOKUP($A6,historia!$A$5:$CM$24,+HLOOKUP(AU$2,historia!$A$3:$EC$4,2,FALSE),FALSE)</f>
        <v>3</v>
      </c>
      <c r="AV6" s="58">
        <f>VLOOKUP($A6,historia!$A$5:$CM$24,+HLOOKUP(AV$2,historia!$A$3:$EC$4,2,FALSE),FALSE)</f>
        <v>3</v>
      </c>
      <c r="AW6" s="58">
        <f>VLOOKUP($A6,historia!$A$5:$CM$24,+HLOOKUP(AW$2,historia!$A$3:$EC$4,2,FALSE),FALSE)</f>
        <v>3</v>
      </c>
      <c r="AX6" s="58">
        <f>VLOOKUP($A6,historia!$A$5:$CM$24,+HLOOKUP(AX$2,historia!$A$3:$EC$4,2,FALSE),FALSE)</f>
        <v>4</v>
      </c>
      <c r="AY6" s="58">
        <f>VLOOKUP($A6,historia!$A$5:$CM$24,+HLOOKUP(AY$2,historia!$A$3:$EC$4,2,FALSE),FALSE)</f>
        <v>4</v>
      </c>
      <c r="AZ6" s="58">
        <f>VLOOKUP($A6,historia!$A$5:$CM$24,+HLOOKUP(AZ$2,historia!$A$3:$EC$4,2,FALSE),FALSE)</f>
        <v>4</v>
      </c>
      <c r="BA6" s="58">
        <f>VLOOKUP($A6,historia!$A$5:$CM$24,+HLOOKUP(BA$2,historia!$A$3:$EC$4,2,FALSE),FALSE)</f>
        <v>4</v>
      </c>
      <c r="BB6" s="58"/>
      <c r="BC6" s="58"/>
      <c r="BD6" s="286">
        <v>4</v>
      </c>
      <c r="BE6" t="str">
        <f t="shared" ref="BE6:BE24" si="20">+A6</f>
        <v>Algodón</v>
      </c>
      <c r="BF6">
        <f>+datos!P1</f>
        <v>16</v>
      </c>
      <c r="BG6" s="2" t="str">
        <f t="shared" si="4"/>
        <v>$/kg</v>
      </c>
      <c r="BH6" s="2">
        <f t="shared" si="4"/>
        <v>1281.01989525</v>
      </c>
      <c r="BI6" s="2">
        <f t="shared" si="4"/>
        <v>1285.5215652499999</v>
      </c>
      <c r="BJ6" s="2">
        <f t="shared" si="4"/>
        <v>1089.4148868749999</v>
      </c>
      <c r="BL6">
        <f>+datos!BY1</f>
        <v>77</v>
      </c>
      <c r="BM6" s="2">
        <f t="shared" ref="BM6:BO24" si="21">+VLOOKUP(BM$1,ran_dat,$BL6,FALSE)</f>
        <v>9842.602212857244</v>
      </c>
      <c r="BN6" s="2">
        <f t="shared" si="21"/>
        <v>9752.0759990099123</v>
      </c>
      <c r="BO6" s="2">
        <f t="shared" si="21"/>
        <v>7819.2385153983378</v>
      </c>
      <c r="BQ6" s="1">
        <f>+datos!DK1</f>
        <v>115</v>
      </c>
      <c r="BR6" s="1">
        <f t="shared" ref="BR6:BS24" si="22">+VLOOKUP(BR$1,ran_dat,$BQ6,FALSE)</f>
        <v>690000</v>
      </c>
      <c r="BS6" s="1">
        <f t="shared" si="22"/>
        <v>650000</v>
      </c>
      <c r="BU6" s="1">
        <f>+datos!FF1</f>
        <v>162</v>
      </c>
      <c r="BV6" s="1">
        <f t="shared" ref="BV6:BW24" si="23">+VLOOKUP(BV$1,ran_dat,$BU6,FALSE)</f>
        <v>1100000</v>
      </c>
      <c r="BW6" s="1">
        <f t="shared" si="23"/>
        <v>1300000</v>
      </c>
      <c r="BY6" s="1">
        <f>+datos!JF1</f>
        <v>266</v>
      </c>
      <c r="BZ6" s="1">
        <f>+SUM(CK6:CV6)</f>
        <v>174.09163591999999</v>
      </c>
      <c r="CA6" s="1">
        <f>+SUM(CW6:DH6)</f>
        <v>132.25886192000002</v>
      </c>
      <c r="CC6" s="1">
        <f>+datos!KK1</f>
        <v>297</v>
      </c>
      <c r="CD6" s="2">
        <f t="shared" ref="CD6:CD24" si="24">+SUM(DJ6:DU6)</f>
        <v>77.759391849999986</v>
      </c>
      <c r="CE6" s="2">
        <f t="shared" ref="CE6:CE24" si="25">+SUM(DV6:EG6)</f>
        <v>80.889216779999998</v>
      </c>
      <c r="CG6" s="1">
        <f>+datos!HS1</f>
        <v>227</v>
      </c>
      <c r="CH6" s="1">
        <f t="shared" ref="CH6:CH24" si="26">+EI6</f>
        <v>0</v>
      </c>
      <c r="CI6" s="1">
        <f t="shared" ref="CI6:CI24" si="27">+EU6</f>
        <v>0</v>
      </c>
      <c r="CK6" s="1">
        <f t="shared" ref="CK6:CZ21" si="28">+VLOOKUP(CK$1,ran_dat,$BY6,FALSE)</f>
        <v>7.3093251500000047</v>
      </c>
      <c r="CL6" s="1">
        <f t="shared" si="28"/>
        <v>6.7908860800000017</v>
      </c>
      <c r="CM6" s="1">
        <f t="shared" si="28"/>
        <v>8.6490729999999978</v>
      </c>
      <c r="CN6" s="1">
        <f t="shared" si="28"/>
        <v>6.462363250000001</v>
      </c>
      <c r="CO6" s="1">
        <f t="shared" si="28"/>
        <v>10.78045292</v>
      </c>
      <c r="CP6" s="1">
        <f t="shared" si="28"/>
        <v>14.805583519999997</v>
      </c>
      <c r="CQ6" s="1">
        <f t="shared" si="28"/>
        <v>17.696202909999993</v>
      </c>
      <c r="CR6" s="1">
        <f t="shared" si="28"/>
        <v>21.922029789999996</v>
      </c>
      <c r="CS6" s="1">
        <f t="shared" si="28"/>
        <v>19.20970509</v>
      </c>
      <c r="CT6" s="1">
        <f t="shared" si="28"/>
        <v>24.496622440000007</v>
      </c>
      <c r="CU6" s="1">
        <f t="shared" si="28"/>
        <v>21.439575039999998</v>
      </c>
      <c r="CV6" s="1">
        <f t="shared" si="28"/>
        <v>14.529816729999997</v>
      </c>
      <c r="CW6" s="1">
        <f t="shared" si="28"/>
        <v>18.258202080000007</v>
      </c>
      <c r="CX6" s="1">
        <f t="shared" si="28"/>
        <v>18.510441480000001</v>
      </c>
      <c r="CY6" s="1">
        <f t="shared" si="28"/>
        <v>7.7064561400000011</v>
      </c>
      <c r="CZ6" s="1">
        <f t="shared" si="28"/>
        <v>8.1062574399999985</v>
      </c>
      <c r="DA6" s="1">
        <f t="shared" ref="DA6:DH21" si="29">+VLOOKUP(DA$1,ran_dat,$BY6,FALSE)</f>
        <v>8.4463773399999997</v>
      </c>
      <c r="DB6" s="1">
        <f t="shared" si="29"/>
        <v>15.019774559999998</v>
      </c>
      <c r="DC6" s="1">
        <f t="shared" si="29"/>
        <v>14.398572559999998</v>
      </c>
      <c r="DD6" s="1">
        <f t="shared" si="29"/>
        <v>16.61514231</v>
      </c>
      <c r="DE6" s="1">
        <f t="shared" si="29"/>
        <v>14.3155891</v>
      </c>
      <c r="DF6" s="1">
        <f t="shared" si="29"/>
        <v>3.12980459</v>
      </c>
      <c r="DG6" s="1">
        <f t="shared" si="29"/>
        <v>2.3595063199999995</v>
      </c>
      <c r="DH6" s="1">
        <f t="shared" si="29"/>
        <v>5.3927380000000005</v>
      </c>
      <c r="DJ6" s="1">
        <f t="shared" ref="DJ6:DY21" si="30">+VLOOKUP(DJ$1,ran_dat,$CC6,FALSE)</f>
        <v>10.467826709999999</v>
      </c>
      <c r="DK6" s="1">
        <f t="shared" si="30"/>
        <v>7.9836210200000002</v>
      </c>
      <c r="DL6" s="1">
        <f t="shared" si="30"/>
        <v>9.7355070900000005</v>
      </c>
      <c r="DM6" s="1">
        <f t="shared" si="30"/>
        <v>7.6983577599999995</v>
      </c>
      <c r="DN6" s="1">
        <f t="shared" si="30"/>
        <v>8.003268180000001</v>
      </c>
      <c r="DO6" s="1">
        <f t="shared" si="30"/>
        <v>5.6011509000000004</v>
      </c>
      <c r="DP6" s="1">
        <f t="shared" si="30"/>
        <v>5.8112020999999991</v>
      </c>
      <c r="DQ6" s="1">
        <f t="shared" si="30"/>
        <v>6.3060080799999998</v>
      </c>
      <c r="DR6" s="1">
        <f t="shared" si="30"/>
        <v>3.7690183000000008</v>
      </c>
      <c r="DS6" s="1">
        <f t="shared" si="30"/>
        <v>4.5361736000000006</v>
      </c>
      <c r="DT6" s="1">
        <f t="shared" si="30"/>
        <v>3.2956469100000003</v>
      </c>
      <c r="DU6" s="1">
        <f t="shared" si="30"/>
        <v>4.5516111999999991</v>
      </c>
      <c r="DV6" s="1">
        <f t="shared" si="30"/>
        <v>3.9375346699999998</v>
      </c>
      <c r="DW6" s="1">
        <f t="shared" si="30"/>
        <v>4.8118603300000009</v>
      </c>
      <c r="DX6" s="1">
        <f t="shared" si="30"/>
        <v>5.2295233099999994</v>
      </c>
      <c r="DY6" s="1">
        <f t="shared" si="30"/>
        <v>7.4159317900000001</v>
      </c>
      <c r="DZ6" s="1">
        <f t="shared" ref="DZ6:EG20" si="31">+VLOOKUP(DZ$1,ran_dat,$CC6,FALSE)</f>
        <v>3.5587731599999999</v>
      </c>
      <c r="EA6" s="1">
        <f t="shared" si="31"/>
        <v>6.9479693099999986</v>
      </c>
      <c r="EB6" s="1">
        <f t="shared" si="31"/>
        <v>7.5746309199999997</v>
      </c>
      <c r="EC6" s="1">
        <f t="shared" si="31"/>
        <v>8.1137987799999998</v>
      </c>
      <c r="ED6" s="1">
        <f t="shared" si="31"/>
        <v>9.2876289100000005</v>
      </c>
      <c r="EE6" s="1">
        <f t="shared" si="31"/>
        <v>7.69051375</v>
      </c>
      <c r="EF6" s="1">
        <f t="shared" si="31"/>
        <v>7.1486482300000009</v>
      </c>
      <c r="EG6" s="1">
        <f t="shared" si="31"/>
        <v>9.1724036200000008</v>
      </c>
      <c r="EI6" s="14">
        <f t="shared" ref="EI6:EX21" si="32">+VLOOKUP(EI$1,ran_dat,$CG6,FALSE)</f>
        <v>0</v>
      </c>
      <c r="EJ6" s="14">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si="32"/>
        <v>0</v>
      </c>
      <c r="EY6" s="1">
        <f t="shared" ref="EY6:FF20" si="33">+VLOOKUP(EY$1,ran_dat,$CG6,FALSE)</f>
        <v>0</v>
      </c>
      <c r="EZ6" s="1">
        <f t="shared" si="33"/>
        <v>0</v>
      </c>
      <c r="FA6" s="1">
        <f t="shared" si="33"/>
        <v>0</v>
      </c>
      <c r="FB6" s="1">
        <f t="shared" si="33"/>
        <v>0</v>
      </c>
      <c r="FC6" s="1">
        <f t="shared" si="33"/>
        <v>0</v>
      </c>
      <c r="FD6" s="1">
        <f t="shared" si="33"/>
        <v>0</v>
      </c>
      <c r="FE6" s="1">
        <f t="shared" si="33"/>
        <v>0</v>
      </c>
      <c r="FF6" s="1">
        <f t="shared" si="33"/>
        <v>0</v>
      </c>
      <c r="FH6" s="162">
        <f t="shared" ref="FH6:FH24" si="34">+I6-K6</f>
        <v>-8.2888535385293727E-2</v>
      </c>
    </row>
    <row r="7" spans="1:164" ht="18.75" customHeight="1">
      <c r="A7" s="244" t="s">
        <v>13</v>
      </c>
      <c r="B7" s="247"/>
      <c r="C7" s="228">
        <f t="shared" si="5"/>
        <v>-0.33</v>
      </c>
      <c r="D7" s="229">
        <v>-1</v>
      </c>
      <c r="E7" s="253">
        <f t="shared" si="6"/>
        <v>-7.999999999999996E-2</v>
      </c>
      <c r="F7" s="254">
        <f t="shared" si="7"/>
        <v>-0.10793242579888174</v>
      </c>
      <c r="G7" s="253">
        <f t="shared" si="8"/>
        <v>2.3799644819780585E-2</v>
      </c>
      <c r="H7" s="254">
        <f t="shared" si="9"/>
        <v>-0.10379964481978055</v>
      </c>
      <c r="I7" s="253">
        <f t="shared" si="10"/>
        <v>-0.24978484493494535</v>
      </c>
      <c r="J7" s="254">
        <f t="shared" si="11"/>
        <v>-0.72238614377628907</v>
      </c>
      <c r="K7" s="253">
        <f t="shared" si="12"/>
        <v>0.30344359344816629</v>
      </c>
      <c r="L7" s="254">
        <f t="shared" si="13"/>
        <v>-0.55322843838311164</v>
      </c>
      <c r="M7" s="255"/>
      <c r="N7" s="256">
        <v>1</v>
      </c>
      <c r="O7" s="253">
        <f t="shared" ref="O7:O24" si="35">IFERROR(+BR7/BS7-1,"")</f>
        <v>0.14999999999999991</v>
      </c>
      <c r="P7" s="257">
        <f t="shared" ref="P7:P24" si="36">+O7</f>
        <v>0.14999999999999991</v>
      </c>
      <c r="Q7" s="253">
        <f t="shared" si="14"/>
        <v>0.23076923076923084</v>
      </c>
      <c r="R7" s="257">
        <f t="shared" ref="R7:R24" si="37">+Q7</f>
        <v>0.23076923076923084</v>
      </c>
      <c r="S7" s="255"/>
      <c r="T7" s="256">
        <v>-1</v>
      </c>
      <c r="U7" s="253">
        <f t="shared" si="15"/>
        <v>0.80845313992477386</v>
      </c>
      <c r="V7" s="258">
        <f t="shared" si="16"/>
        <v>0.80845313992477386</v>
      </c>
      <c r="W7" s="253">
        <f t="shared" ref="W7:W24" si="38">IFERROR(IF(CD7&lt;0.5,"",+CD7/CE7-1),"")</f>
        <v>1.1284516413623149</v>
      </c>
      <c r="X7" s="258">
        <f t="shared" si="17"/>
        <v>1.1284516413623149</v>
      </c>
      <c r="Y7" s="253">
        <f t="shared" si="18"/>
        <v>0</v>
      </c>
      <c r="Z7" s="258">
        <f t="shared" si="19"/>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2</v>
      </c>
      <c r="AQ7" s="28">
        <f>VLOOKUP($A7,historia!$A$5:$CM$24,+HLOOKUP(AQ$2,historia!$A$3:$EC$4,2,FALSE),FALSE)</f>
        <v>2</v>
      </c>
      <c r="AR7" s="28">
        <f>VLOOKUP($A7,historia!$A$5:$CM$24,+HLOOKUP(AR$2,historia!$A$3:$EC$4,2,FALSE),FALSE)</f>
        <v>4</v>
      </c>
      <c r="AS7" s="28">
        <f>VLOOKUP($A7,historia!$A$5:$CM$24,+HLOOKUP(AS$2,historia!$A$3:$EC$4,2,FALSE),FALSE)</f>
        <v>4</v>
      </c>
      <c r="AT7" s="58">
        <f>VLOOKUP($A7,historia!$A$5:$CM$24,+HLOOKUP(AT$2,historia!$A$3:$EC$4,2,FALSE),FALSE)</f>
        <v>4</v>
      </c>
      <c r="AU7" s="58">
        <f>VLOOKUP($A7,historia!$A$5:$CM$24,+HLOOKUP(AU$2,historia!$A$3:$EC$4,2,FALSE),FALSE)</f>
        <v>4</v>
      </c>
      <c r="AV7" s="58">
        <f>VLOOKUP($A7,historia!$A$5:$CM$24,+HLOOKUP(AV$2,historia!$A$3:$EC$4,2,FALSE),FALSE)</f>
        <v>4</v>
      </c>
      <c r="AW7" s="58">
        <f>VLOOKUP($A7,historia!$A$5:$CM$24,+HLOOKUP(AW$2,historia!$A$3:$EC$4,2,FALSE),FALSE)</f>
        <v>4</v>
      </c>
      <c r="AX7" s="58">
        <f>VLOOKUP($A7,historia!$A$5:$CM$24,+HLOOKUP(AX$2,historia!$A$3:$EC$4,2,FALSE),FALSE)</f>
        <v>4</v>
      </c>
      <c r="AY7" s="58">
        <f>VLOOKUP($A7,historia!$A$5:$CM$24,+HLOOKUP(AY$2,historia!$A$3:$EC$4,2,FALSE),FALSE)</f>
        <v>4</v>
      </c>
      <c r="AZ7" s="58">
        <f>VLOOKUP($A7,historia!$A$5:$CM$24,+HLOOKUP(AZ$2,historia!$A$3:$EC$4,2,FALSE),FALSE)</f>
        <v>4</v>
      </c>
      <c r="BA7" s="58">
        <f>VLOOKUP($A7,historia!$A$5:$CM$24,+HLOOKUP(BA$2,historia!$A$3:$EC$4,2,FALSE),FALSE)</f>
        <v>4</v>
      </c>
      <c r="BB7" s="58"/>
      <c r="BC7" s="58"/>
      <c r="BD7" s="286">
        <v>4</v>
      </c>
      <c r="BE7" t="str">
        <f t="shared" si="20"/>
        <v>Arroz</v>
      </c>
      <c r="BF7">
        <f>+datos!R1</f>
        <v>18</v>
      </c>
      <c r="BG7" s="2" t="str">
        <f t="shared" si="4"/>
        <v>$/t</v>
      </c>
      <c r="BH7" s="2">
        <f t="shared" si="4"/>
        <v>230000</v>
      </c>
      <c r="BI7" s="2">
        <f t="shared" si="4"/>
        <v>250000</v>
      </c>
      <c r="BJ7" s="2">
        <f t="shared" si="4"/>
        <v>306578.71738148987</v>
      </c>
      <c r="BL7">
        <f>+datos!BZ1</f>
        <v>78</v>
      </c>
      <c r="BM7" s="2">
        <f t="shared" si="21"/>
        <v>9804.1719506496211</v>
      </c>
      <c r="BN7" s="2">
        <f t="shared" si="21"/>
        <v>9576.2603554872785</v>
      </c>
      <c r="BO7" s="2">
        <f t="shared" si="21"/>
        <v>7521.7462419784424</v>
      </c>
      <c r="BQ7" s="1">
        <f>+datos!DM1</f>
        <v>117</v>
      </c>
      <c r="BR7" s="1">
        <f t="shared" si="22"/>
        <v>230000</v>
      </c>
      <c r="BS7" s="1">
        <f t="shared" si="22"/>
        <v>200000</v>
      </c>
      <c r="BU7" s="1">
        <f>+datos!FH1</f>
        <v>164</v>
      </c>
      <c r="BV7" s="1">
        <f t="shared" si="23"/>
        <v>1600000</v>
      </c>
      <c r="BW7" s="1">
        <f t="shared" si="23"/>
        <v>1300000</v>
      </c>
      <c r="BY7" s="1">
        <f>+datos!JG1</f>
        <v>267</v>
      </c>
      <c r="BZ7" s="1">
        <f t="shared" ref="BZ7:BZ24" si="39">+SUM(CK7:CV7)</f>
        <v>391.45502395</v>
      </c>
      <c r="CA7" s="1">
        <f t="shared" ref="CA7:CA24" si="40">+SUM(CW7:DH7)</f>
        <v>216.45848339</v>
      </c>
      <c r="CC7" s="1">
        <f>+datos!KL1</f>
        <v>298</v>
      </c>
      <c r="CD7" s="2">
        <f t="shared" si="24"/>
        <v>4.8972408499999993</v>
      </c>
      <c r="CE7" s="2">
        <f t="shared" si="25"/>
        <v>2.3008466599999995</v>
      </c>
      <c r="CG7" s="1">
        <f>+datos!HU1</f>
        <v>229</v>
      </c>
      <c r="CH7" s="1">
        <f t="shared" si="26"/>
        <v>700000</v>
      </c>
      <c r="CI7" s="1">
        <f t="shared" si="27"/>
        <v>700000</v>
      </c>
      <c r="CK7" s="1">
        <f t="shared" si="28"/>
        <v>35.910188569999995</v>
      </c>
      <c r="CL7" s="1">
        <f t="shared" si="28"/>
        <v>30.652184479999995</v>
      </c>
      <c r="CM7" s="1">
        <f t="shared" si="28"/>
        <v>94.896967090000004</v>
      </c>
      <c r="CN7" s="1">
        <f t="shared" si="28"/>
        <v>22.007364089999996</v>
      </c>
      <c r="CO7" s="1">
        <f t="shared" si="28"/>
        <v>13.652213600000001</v>
      </c>
      <c r="CP7" s="1">
        <f t="shared" si="28"/>
        <v>21.789652239999999</v>
      </c>
      <c r="CQ7" s="1">
        <f t="shared" si="28"/>
        <v>22.506187060000002</v>
      </c>
      <c r="CR7" s="1">
        <f t="shared" si="28"/>
        <v>26.198510359999997</v>
      </c>
      <c r="CS7" s="1">
        <f t="shared" si="28"/>
        <v>16.658344929999998</v>
      </c>
      <c r="CT7" s="1">
        <f t="shared" si="28"/>
        <v>38.799980059999996</v>
      </c>
      <c r="CU7" s="1">
        <f t="shared" si="28"/>
        <v>35.598317799999997</v>
      </c>
      <c r="CV7" s="1">
        <f t="shared" si="28"/>
        <v>32.785113670000001</v>
      </c>
      <c r="CW7" s="1">
        <f t="shared" si="28"/>
        <v>22.35722878</v>
      </c>
      <c r="CX7" s="1">
        <f t="shared" si="28"/>
        <v>34.376458229999997</v>
      </c>
      <c r="CY7" s="1">
        <f t="shared" si="28"/>
        <v>13.355622539999999</v>
      </c>
      <c r="CZ7" s="1">
        <f t="shared" si="28"/>
        <v>10.68224592</v>
      </c>
      <c r="DA7" s="1">
        <f t="shared" si="29"/>
        <v>15.82785018</v>
      </c>
      <c r="DB7" s="1">
        <f t="shared" si="29"/>
        <v>16.180063639999997</v>
      </c>
      <c r="DC7" s="1">
        <f t="shared" si="29"/>
        <v>11.823193960000001</v>
      </c>
      <c r="DD7" s="1">
        <f t="shared" si="29"/>
        <v>12.24327484</v>
      </c>
      <c r="DE7" s="1">
        <f t="shared" si="29"/>
        <v>9.600226039999999</v>
      </c>
      <c r="DF7" s="1">
        <f t="shared" si="29"/>
        <v>26.338491399999999</v>
      </c>
      <c r="DG7" s="1">
        <f t="shared" si="29"/>
        <v>21.418726320000001</v>
      </c>
      <c r="DH7" s="1">
        <f t="shared" si="29"/>
        <v>22.255101539999998</v>
      </c>
      <c r="DJ7" s="1">
        <f t="shared" si="30"/>
        <v>0.34624290000000002</v>
      </c>
      <c r="DK7" s="1">
        <f t="shared" si="30"/>
        <v>0.15613090000000002</v>
      </c>
      <c r="DL7" s="1">
        <f t="shared" si="30"/>
        <v>0.47281664000000007</v>
      </c>
      <c r="DM7" s="1">
        <f t="shared" si="30"/>
        <v>0.84812041999999999</v>
      </c>
      <c r="DN7" s="1">
        <f t="shared" si="30"/>
        <v>0.25440681999999998</v>
      </c>
      <c r="DO7" s="1">
        <f t="shared" si="30"/>
        <v>0.7620908099999999</v>
      </c>
      <c r="DP7" s="1">
        <f t="shared" si="30"/>
        <v>0.50490091999999998</v>
      </c>
      <c r="DQ7" s="1">
        <f t="shared" si="30"/>
        <v>0.40961613000000002</v>
      </c>
      <c r="DR7" s="1">
        <f t="shared" si="30"/>
        <v>0.23587240000000001</v>
      </c>
      <c r="DS7" s="1">
        <f t="shared" si="30"/>
        <v>0.18557204999999999</v>
      </c>
      <c r="DT7" s="1">
        <f t="shared" si="30"/>
        <v>0.48301414000000004</v>
      </c>
      <c r="DU7" s="1">
        <f t="shared" si="30"/>
        <v>0.23845672000000001</v>
      </c>
      <c r="DV7" s="1">
        <f t="shared" si="30"/>
        <v>0.50080292000000004</v>
      </c>
      <c r="DW7" s="1">
        <f t="shared" si="30"/>
        <v>8.6091799999999996E-2</v>
      </c>
      <c r="DX7" s="1">
        <f t="shared" si="30"/>
        <v>0.22536</v>
      </c>
      <c r="DY7" s="1">
        <f t="shared" si="30"/>
        <v>0.8256</v>
      </c>
      <c r="DZ7" s="1">
        <f t="shared" si="31"/>
        <v>3.973985E-2</v>
      </c>
      <c r="EA7" s="1">
        <f t="shared" si="31"/>
        <v>3.3462720000000001E-2</v>
      </c>
      <c r="EB7" s="1">
        <f t="shared" si="31"/>
        <v>0.19098301000000001</v>
      </c>
      <c r="EC7" s="1">
        <f t="shared" si="31"/>
        <v>0.10767879</v>
      </c>
      <c r="ED7" s="1">
        <f t="shared" si="31"/>
        <v>5.5773490000000002E-2</v>
      </c>
      <c r="EE7" s="1">
        <f t="shared" si="31"/>
        <v>8.7189080000000002E-2</v>
      </c>
      <c r="EF7" s="1">
        <f t="shared" si="31"/>
        <v>3.9243889999999997E-2</v>
      </c>
      <c r="EG7" s="1">
        <f t="shared" si="31"/>
        <v>0.10892111</v>
      </c>
      <c r="EI7" s="14">
        <f t="shared" si="32"/>
        <v>700000</v>
      </c>
      <c r="EJ7" s="14">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2"/>
        <v>700000</v>
      </c>
      <c r="EY7" s="1">
        <f t="shared" si="33"/>
        <v>700000</v>
      </c>
      <c r="EZ7" s="1">
        <f t="shared" si="33"/>
        <v>700000</v>
      </c>
      <c r="FA7" s="1">
        <f t="shared" si="33"/>
        <v>700000</v>
      </c>
      <c r="FB7" s="1">
        <f t="shared" si="33"/>
        <v>700000</v>
      </c>
      <c r="FC7" s="1">
        <f t="shared" si="33"/>
        <v>700000</v>
      </c>
      <c r="FD7" s="1">
        <f t="shared" si="33"/>
        <v>700000</v>
      </c>
      <c r="FE7" s="1">
        <f t="shared" si="33"/>
        <v>700000</v>
      </c>
      <c r="FF7" s="1">
        <f t="shared" si="33"/>
        <v>700000</v>
      </c>
      <c r="FH7" s="162">
        <f t="shared" si="34"/>
        <v>-0.55322843838311164</v>
      </c>
    </row>
    <row r="8" spans="1:164" ht="18.75" customHeight="1">
      <c r="A8" s="243" t="s">
        <v>215</v>
      </c>
      <c r="B8" s="246"/>
      <c r="C8" s="156">
        <f t="shared" si="5"/>
        <v>-0.33</v>
      </c>
      <c r="D8" s="198">
        <v>0</v>
      </c>
      <c r="E8" s="248">
        <f t="shared" si="6"/>
        <v>0.15309393139199501</v>
      </c>
      <c r="F8" s="249">
        <f t="shared" si="7"/>
        <v>0.12516150559311323</v>
      </c>
      <c r="G8" s="248">
        <f t="shared" si="8"/>
        <v>7.683927967965376E-2</v>
      </c>
      <c r="H8" s="249">
        <f t="shared" si="9"/>
        <v>7.6254651712341248E-2</v>
      </c>
      <c r="I8" s="248">
        <f t="shared" si="10"/>
        <v>0.36951127719574917</v>
      </c>
      <c r="J8" s="249">
        <f t="shared" si="11"/>
        <v>-0.10309002164559455</v>
      </c>
      <c r="K8" s="248">
        <f t="shared" si="12"/>
        <v>0.49938810389873289</v>
      </c>
      <c r="L8" s="249">
        <f t="shared" si="13"/>
        <v>-0.12987682670298373</v>
      </c>
      <c r="M8" s="250"/>
      <c r="N8" s="24">
        <v>0</v>
      </c>
      <c r="O8" s="248">
        <f t="shared" si="35"/>
        <v>1.4324470971242453E-2</v>
      </c>
      <c r="P8" s="251">
        <f t="shared" si="36"/>
        <v>1.4324470971242453E-2</v>
      </c>
      <c r="Q8" s="248">
        <f t="shared" si="14"/>
        <v>8.1873491546704535E-3</v>
      </c>
      <c r="R8" s="251">
        <f t="shared" si="37"/>
        <v>8.1873491546704535E-3</v>
      </c>
      <c r="S8" s="250"/>
      <c r="T8" s="24">
        <v>-1</v>
      </c>
      <c r="U8" s="248">
        <f t="shared" si="15"/>
        <v>-0.52370504721051914</v>
      </c>
      <c r="V8" s="252">
        <f t="shared" si="16"/>
        <v>-0.52370504721051914</v>
      </c>
      <c r="W8" s="248">
        <f t="shared" si="38"/>
        <v>-0.10456353025609166</v>
      </c>
      <c r="X8" s="252">
        <f t="shared" si="17"/>
        <v>-0.10456353025609166</v>
      </c>
      <c r="Y8" s="248">
        <f t="shared" si="18"/>
        <v>-6.9219121782392312E-3</v>
      </c>
      <c r="Z8" s="252">
        <f t="shared" si="19"/>
        <v>-6.9219121782392312E-3</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3</v>
      </c>
      <c r="AX8" s="58">
        <f>VLOOKUP($A8,historia!$A$5:$CM$24,+HLOOKUP(AX$2,historia!$A$3:$EC$4,2,FALSE),FALSE)</f>
        <v>3</v>
      </c>
      <c r="AY8" s="58">
        <f>VLOOKUP($A8,historia!$A$5:$CM$24,+HLOOKUP(AY$2,historia!$A$3:$EC$4,2,FALSE),FALSE)</f>
        <v>3</v>
      </c>
      <c r="AZ8" s="58">
        <f>VLOOKUP($A8,historia!$A$5:$CM$24,+HLOOKUP(AZ$2,historia!$A$3:$EC$4,2,FALSE),FALSE)</f>
        <v>3</v>
      </c>
      <c r="BA8" s="58">
        <f>VLOOKUP($A8,historia!$A$5:$CM$24,+HLOOKUP(BA$2,historia!$A$3:$EC$4,2,FALSE),FALSE)</f>
        <v>3</v>
      </c>
      <c r="BB8" s="58"/>
      <c r="BC8" s="58"/>
      <c r="BD8" s="286">
        <v>3</v>
      </c>
      <c r="BE8" t="str">
        <f t="shared" si="20"/>
        <v>Aves</v>
      </c>
      <c r="BF8">
        <f>+datos!BQ1</f>
        <v>69</v>
      </c>
      <c r="BG8" s="2" t="str">
        <f t="shared" si="4"/>
        <v>prom pond huevo-carne</v>
      </c>
      <c r="BH8" s="2">
        <f t="shared" si="4"/>
        <v>2368.9449999999997</v>
      </c>
      <c r="BI8" s="2">
        <f t="shared" si="4"/>
        <v>2054.4250000000002</v>
      </c>
      <c r="BJ8" s="2">
        <f t="shared" si="4"/>
        <v>1729.7739999999999</v>
      </c>
      <c r="BL8">
        <f>+datos!DG1</f>
        <v>111</v>
      </c>
      <c r="BM8" s="2">
        <f t="shared" si="21"/>
        <v>10551.296029195351</v>
      </c>
      <c r="BN8" s="2">
        <f t="shared" si="21"/>
        <v>9798.3944570950553</v>
      </c>
      <c r="BO8" s="2">
        <f t="shared" si="21"/>
        <v>7037.0679891081591</v>
      </c>
      <c r="BQ8" s="1">
        <f>+datos!EP1</f>
        <v>146</v>
      </c>
      <c r="BR8" s="1">
        <f t="shared" si="22"/>
        <v>9347</v>
      </c>
      <c r="BS8" s="1">
        <f t="shared" si="22"/>
        <v>9215</v>
      </c>
      <c r="BU8" s="1">
        <f>+datos!HM1</f>
        <v>221</v>
      </c>
      <c r="BV8" s="1">
        <f t="shared" si="23"/>
        <v>2384824.3062992869</v>
      </c>
      <c r="BW8" s="1">
        <f t="shared" si="23"/>
        <v>2365457.48</v>
      </c>
      <c r="BY8" s="1">
        <f>+datos!KF1</f>
        <v>292</v>
      </c>
      <c r="BZ8" s="1">
        <f t="shared" si="39"/>
        <v>176.85535933000003</v>
      </c>
      <c r="CA8" s="1">
        <f t="shared" si="40"/>
        <v>371.31478780999998</v>
      </c>
      <c r="CC8" s="1">
        <f>+datos!LK1</f>
        <v>323</v>
      </c>
      <c r="CD8" s="2">
        <f t="shared" si="24"/>
        <v>37.057369749999999</v>
      </c>
      <c r="CE8" s="2">
        <f t="shared" si="25"/>
        <v>41.384700089999995</v>
      </c>
      <c r="CG8" s="1">
        <f>+datos!IL1</f>
        <v>246</v>
      </c>
      <c r="CH8" s="1">
        <f t="shared" si="26"/>
        <v>45.91</v>
      </c>
      <c r="CI8" s="1">
        <f t="shared" si="27"/>
        <v>46.23</v>
      </c>
      <c r="CK8" s="1">
        <f t="shared" si="28"/>
        <v>9.0051498100000007</v>
      </c>
      <c r="CL8" s="1">
        <f t="shared" si="28"/>
        <v>5.9149876199999998</v>
      </c>
      <c r="CM8" s="1">
        <f t="shared" si="28"/>
        <v>8.0094020700000002</v>
      </c>
      <c r="CN8" s="1">
        <f t="shared" si="28"/>
        <v>5.62476749</v>
      </c>
      <c r="CO8" s="1">
        <f t="shared" si="28"/>
        <v>10.456415849999999</v>
      </c>
      <c r="CP8" s="1">
        <f t="shared" si="28"/>
        <v>8.1147673099999995</v>
      </c>
      <c r="CQ8" s="1">
        <f t="shared" si="28"/>
        <v>20.968439010000004</v>
      </c>
      <c r="CR8" s="1">
        <f t="shared" si="28"/>
        <v>22.566015059999998</v>
      </c>
      <c r="CS8" s="1">
        <f t="shared" si="28"/>
        <v>20.944876220000001</v>
      </c>
      <c r="CT8" s="1">
        <f t="shared" si="28"/>
        <v>23.157032140000002</v>
      </c>
      <c r="CU8" s="1">
        <f t="shared" si="28"/>
        <v>19.314763240000005</v>
      </c>
      <c r="CV8" s="1">
        <f t="shared" si="28"/>
        <v>22.778743510000002</v>
      </c>
      <c r="CW8" s="1">
        <f t="shared" si="28"/>
        <v>39.062197300000001</v>
      </c>
      <c r="CX8" s="1">
        <f t="shared" si="28"/>
        <v>40.013868680000002</v>
      </c>
      <c r="CY8" s="1">
        <f t="shared" si="28"/>
        <v>35.607742460000011</v>
      </c>
      <c r="CZ8" s="1">
        <f t="shared" si="28"/>
        <v>32.51792974</v>
      </c>
      <c r="DA8" s="1">
        <f t="shared" si="29"/>
        <v>35.210116300000003</v>
      </c>
      <c r="DB8" s="1">
        <f t="shared" si="29"/>
        <v>30.603465830000005</v>
      </c>
      <c r="DC8" s="1">
        <f t="shared" si="29"/>
        <v>35.017556320000004</v>
      </c>
      <c r="DD8" s="1">
        <f t="shared" si="29"/>
        <v>24.343011479999998</v>
      </c>
      <c r="DE8" s="1">
        <f t="shared" si="29"/>
        <v>32.053320659999997</v>
      </c>
      <c r="DF8" s="1">
        <f t="shared" si="29"/>
        <v>25.827296739999998</v>
      </c>
      <c r="DG8" s="1">
        <f t="shared" si="29"/>
        <v>20.281404040000002</v>
      </c>
      <c r="DH8" s="1">
        <f t="shared" si="29"/>
        <v>20.776878260000004</v>
      </c>
      <c r="DJ8" s="1">
        <f t="shared" si="30"/>
        <v>3.52939004</v>
      </c>
      <c r="DK8" s="1">
        <f t="shared" si="30"/>
        <v>1.41927303</v>
      </c>
      <c r="DL8" s="1">
        <f t="shared" si="30"/>
        <v>4.5240591299999995</v>
      </c>
      <c r="DM8" s="1">
        <f t="shared" si="30"/>
        <v>2.5037689800000003</v>
      </c>
      <c r="DN8" s="1">
        <f t="shared" si="30"/>
        <v>2.5011971499999999</v>
      </c>
      <c r="DO8" s="1">
        <f t="shared" si="30"/>
        <v>3.7585351000000005</v>
      </c>
      <c r="DP8" s="1">
        <f t="shared" si="30"/>
        <v>4.0425458900000004</v>
      </c>
      <c r="DQ8" s="1">
        <f t="shared" si="30"/>
        <v>3.59052696</v>
      </c>
      <c r="DR8" s="1">
        <f t="shared" si="30"/>
        <v>2.1766254799999998</v>
      </c>
      <c r="DS8" s="1">
        <f t="shared" si="30"/>
        <v>1.5903026900000001</v>
      </c>
      <c r="DT8" s="1">
        <f t="shared" si="30"/>
        <v>5.6916922899999998</v>
      </c>
      <c r="DU8" s="1">
        <f t="shared" si="30"/>
        <v>1.7294530099999998</v>
      </c>
      <c r="DV8" s="1">
        <f t="shared" si="30"/>
        <v>4.2232492399999995</v>
      </c>
      <c r="DW8" s="1">
        <f t="shared" si="30"/>
        <v>1.27466579</v>
      </c>
      <c r="DX8" s="1">
        <f t="shared" si="30"/>
        <v>1.8857013599999999</v>
      </c>
      <c r="DY8" s="1">
        <f t="shared" si="30"/>
        <v>4.07849503</v>
      </c>
      <c r="DZ8" s="1">
        <f t="shared" si="31"/>
        <v>2.60999925</v>
      </c>
      <c r="EA8" s="1">
        <f t="shared" si="31"/>
        <v>4.3280037599999996</v>
      </c>
      <c r="EB8" s="1">
        <f t="shared" si="31"/>
        <v>3.9253711099999995</v>
      </c>
      <c r="EC8" s="1">
        <f t="shared" si="31"/>
        <v>2.66724104</v>
      </c>
      <c r="ED8" s="1">
        <f t="shared" si="31"/>
        <v>1.3237541899999998</v>
      </c>
      <c r="EE8" s="1">
        <f t="shared" si="31"/>
        <v>4.0034089300000009</v>
      </c>
      <c r="EF8" s="1">
        <f t="shared" si="31"/>
        <v>4.2620939999999994</v>
      </c>
      <c r="EG8" s="1">
        <f t="shared" si="31"/>
        <v>6.8027163900000005</v>
      </c>
      <c r="EI8" s="14">
        <f t="shared" si="32"/>
        <v>45.91</v>
      </c>
      <c r="EJ8" s="14">
        <f t="shared" si="32"/>
        <v>45.61</v>
      </c>
      <c r="EK8" s="1">
        <f t="shared" si="32"/>
        <v>45.61</v>
      </c>
      <c r="EL8" s="1">
        <f t="shared" si="32"/>
        <v>45.23</v>
      </c>
      <c r="EM8" s="1">
        <f t="shared" si="32"/>
        <v>45.2</v>
      </c>
      <c r="EN8" s="1">
        <f t="shared" si="32"/>
        <v>46.01</v>
      </c>
      <c r="EO8" s="1">
        <f t="shared" si="32"/>
        <v>44.44</v>
      </c>
      <c r="EP8" s="1">
        <f t="shared" si="32"/>
        <v>42.29</v>
      </c>
      <c r="EQ8" s="1">
        <f t="shared" si="32"/>
        <v>45.39</v>
      </c>
      <c r="ER8" s="1">
        <f t="shared" si="32"/>
        <v>45.32</v>
      </c>
      <c r="ES8" s="1">
        <f t="shared" si="32"/>
        <v>44.85</v>
      </c>
      <c r="ET8" s="1">
        <f t="shared" si="32"/>
        <v>45.52</v>
      </c>
      <c r="EU8" s="1">
        <f t="shared" si="32"/>
        <v>46.23</v>
      </c>
      <c r="EV8" s="1">
        <f t="shared" si="32"/>
        <v>46.23</v>
      </c>
      <c r="EW8" s="1">
        <f t="shared" si="32"/>
        <v>46.23</v>
      </c>
      <c r="EX8" s="1">
        <f t="shared" si="32"/>
        <v>48.52</v>
      </c>
      <c r="EY8" s="1">
        <f t="shared" si="33"/>
        <v>45.85</v>
      </c>
      <c r="EZ8" s="1">
        <f t="shared" si="33"/>
        <v>46.03</v>
      </c>
      <c r="FA8" s="1">
        <f t="shared" si="33"/>
        <v>46.13</v>
      </c>
      <c r="FB8" s="1">
        <f t="shared" si="33"/>
        <v>45.88</v>
      </c>
      <c r="FC8" s="1">
        <f t="shared" si="33"/>
        <v>46.09</v>
      </c>
      <c r="FD8" s="1">
        <f t="shared" si="33"/>
        <v>45.9</v>
      </c>
      <c r="FE8" s="1">
        <f t="shared" si="33"/>
        <v>46</v>
      </c>
      <c r="FF8" s="1">
        <f t="shared" si="33"/>
        <v>45.99</v>
      </c>
      <c r="FH8" s="162">
        <f t="shared" si="34"/>
        <v>-0.12987682670298373</v>
      </c>
    </row>
    <row r="9" spans="1:164" ht="18.75" customHeight="1">
      <c r="A9" s="244" t="s">
        <v>77</v>
      </c>
      <c r="B9" s="247"/>
      <c r="C9" s="228">
        <v>0</v>
      </c>
      <c r="D9" s="229">
        <v>1</v>
      </c>
      <c r="E9" s="253">
        <f t="shared" si="6"/>
        <v>1.8665041380916847E-2</v>
      </c>
      <c r="F9" s="254">
        <f t="shared" si="7"/>
        <v>-9.2673844179649301E-3</v>
      </c>
      <c r="G9" s="253">
        <f t="shared" si="8"/>
        <v>2.0867010769878513E-2</v>
      </c>
      <c r="H9" s="254">
        <f t="shared" si="9"/>
        <v>-2.2019693889616665E-3</v>
      </c>
      <c r="I9" s="253">
        <f t="shared" si="10"/>
        <v>0.6218428264206477</v>
      </c>
      <c r="J9" s="254">
        <f t="shared" si="11"/>
        <v>0.14924152757930398</v>
      </c>
      <c r="K9" s="253">
        <f t="shared" si="12"/>
        <v>0.37973822263039736</v>
      </c>
      <c r="L9" s="254">
        <f t="shared" si="13"/>
        <v>0.24210460379025034</v>
      </c>
      <c r="M9" s="255"/>
      <c r="N9" s="256">
        <v>-1</v>
      </c>
      <c r="O9" s="253">
        <f t="shared" si="35"/>
        <v>-2.1957134195409456E-2</v>
      </c>
      <c r="P9" s="257">
        <f t="shared" si="36"/>
        <v>-2.1957134195409456E-2</v>
      </c>
      <c r="Q9" s="253">
        <f t="shared" si="14"/>
        <v>-7.7214876628481921E-3</v>
      </c>
      <c r="R9" s="257">
        <f t="shared" si="37"/>
        <v>-7.7214876628481921E-3</v>
      </c>
      <c r="S9" s="255"/>
      <c r="T9" s="256">
        <v>0</v>
      </c>
      <c r="U9" s="253">
        <f t="shared" si="15"/>
        <v>2.652472814198914E-2</v>
      </c>
      <c r="V9" s="258">
        <f t="shared" si="16"/>
        <v>2.652472814198914E-2</v>
      </c>
      <c r="W9" s="253">
        <f t="shared" si="38"/>
        <v>0.63988605499833162</v>
      </c>
      <c r="X9" s="258">
        <f t="shared" si="17"/>
        <v>0.63988605499833162</v>
      </c>
      <c r="Y9" s="253">
        <f t="shared" si="18"/>
        <v>9.9250557018433216E-3</v>
      </c>
      <c r="Z9" s="258">
        <f t="shared" si="19"/>
        <v>9.9250557018433216E-3</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4</v>
      </c>
      <c r="AQ9" s="28">
        <f>VLOOKUP($A9,historia!$A$5:$CM$24,+HLOOKUP(AQ$2,historia!$A$3:$EC$4,2,FALSE),FALSE)</f>
        <v>3</v>
      </c>
      <c r="AR9" s="28">
        <f>VLOOKUP($A9,historia!$A$5:$CM$24,+HLOOKUP(AR$2,historia!$A$3:$EC$4,2,FALSE),FALSE)</f>
        <v>3</v>
      </c>
      <c r="AS9" s="28">
        <f>VLOOKUP($A9,historia!$A$5:$CM$24,+HLOOKUP(AS$2,historia!$A$3:$EC$4,2,FALSE),FALSE)</f>
        <v>3</v>
      </c>
      <c r="AT9" s="58">
        <f>VLOOKUP($A9,historia!$A$5:$CM$24,+HLOOKUP(AT$2,historia!$A$3:$EC$4,2,FALSE),FALSE)</f>
        <v>3</v>
      </c>
      <c r="AU9" s="58">
        <f>VLOOKUP($A9,historia!$A$5:$CM$24,+HLOOKUP(AU$2,historia!$A$3:$EC$4,2,FALSE),FALSE)</f>
        <v>3</v>
      </c>
      <c r="AV9" s="58">
        <f>VLOOKUP($A9,historia!$A$5:$CM$24,+HLOOKUP(AV$2,historia!$A$3:$EC$4,2,FALSE),FALSE)</f>
        <v>3</v>
      </c>
      <c r="AW9" s="58">
        <f>VLOOKUP($A9,historia!$A$5:$CM$24,+HLOOKUP(AW$2,historia!$A$3:$EC$4,2,FALSE),FALSE)</f>
        <v>3</v>
      </c>
      <c r="AX9" s="58">
        <f>VLOOKUP($A9,historia!$A$5:$CM$24,+HLOOKUP(AX$2,historia!$A$3:$EC$4,2,FALSE),FALSE)</f>
        <v>3</v>
      </c>
      <c r="AY9" s="58">
        <f>VLOOKUP($A9,historia!$A$5:$CM$24,+HLOOKUP(AY$2,historia!$A$3:$EC$4,2,FALSE),FALSE)</f>
        <v>3</v>
      </c>
      <c r="AZ9" s="58">
        <f>VLOOKUP($A9,historia!$A$5:$CM$24,+HLOOKUP(AZ$2,historia!$A$3:$EC$4,2,FALSE),FALSE)</f>
        <v>2</v>
      </c>
      <c r="BA9" s="58">
        <f>VLOOKUP($A9,historia!$A$5:$CM$24,+HLOOKUP(BA$2,historia!$A$3:$EC$4,2,FALSE),FALSE)</f>
        <v>2</v>
      </c>
      <c r="BB9" s="58"/>
      <c r="BC9" s="58"/>
      <c r="BD9" s="286">
        <v>2</v>
      </c>
      <c r="BE9" t="str">
        <f t="shared" si="20"/>
        <v>Bovinos</v>
      </c>
      <c r="BF9">
        <f>+datos!BM1</f>
        <v>65</v>
      </c>
      <c r="BG9" s="2" t="str">
        <f t="shared" si="4"/>
        <v>$/kg</v>
      </c>
      <c r="BH9" s="2">
        <f t="shared" si="4"/>
        <v>3277.54</v>
      </c>
      <c r="BI9" s="2">
        <f t="shared" si="4"/>
        <v>3217.4854999999998</v>
      </c>
      <c r="BJ9" s="2">
        <f t="shared" si="4"/>
        <v>2020.874</v>
      </c>
      <c r="BL9">
        <f>+datos!DB1</f>
        <v>106</v>
      </c>
      <c r="BM9" s="2">
        <f t="shared" si="21"/>
        <v>10545.390869428205</v>
      </c>
      <c r="BN9" s="2">
        <f t="shared" si="21"/>
        <v>10329.838028045871</v>
      </c>
      <c r="BO9" s="2">
        <f t="shared" si="21"/>
        <v>7643.0374229424333</v>
      </c>
      <c r="BQ9" s="1">
        <f>+datos!EH1</f>
        <v>138</v>
      </c>
      <c r="BR9" s="1">
        <f t="shared" si="22"/>
        <v>51624909</v>
      </c>
      <c r="BS9" s="1">
        <f t="shared" si="22"/>
        <v>52783892</v>
      </c>
      <c r="BU9" s="1">
        <f>+datos!HB1</f>
        <v>210</v>
      </c>
      <c r="BV9" s="1">
        <f t="shared" si="23"/>
        <v>3167740</v>
      </c>
      <c r="BW9" s="1">
        <f t="shared" si="23"/>
        <v>3192390</v>
      </c>
      <c r="BY9" s="1">
        <f>+datos!KG1</f>
        <v>293</v>
      </c>
      <c r="BZ9" s="1">
        <f t="shared" si="39"/>
        <v>4102.8600091399985</v>
      </c>
      <c r="CA9" s="1">
        <f t="shared" si="40"/>
        <v>3996.8447877199997</v>
      </c>
      <c r="CC9" s="1">
        <f>+datos!LL1</f>
        <v>324</v>
      </c>
      <c r="CD9" s="2">
        <f t="shared" si="24"/>
        <v>62.161169159999993</v>
      </c>
      <c r="CE9" s="2">
        <f t="shared" si="25"/>
        <v>37.905785570000006</v>
      </c>
      <c r="CG9" s="1">
        <f>+datos!IM1</f>
        <v>247</v>
      </c>
      <c r="CH9" s="1">
        <f t="shared" si="26"/>
        <v>49.86</v>
      </c>
      <c r="CI9" s="1">
        <f t="shared" si="27"/>
        <v>49.37</v>
      </c>
      <c r="CK9" s="1">
        <f t="shared" si="28"/>
        <v>350.95842742999997</v>
      </c>
      <c r="CL9" s="1">
        <f t="shared" si="28"/>
        <v>275.41226476999998</v>
      </c>
      <c r="CM9" s="1">
        <f t="shared" si="28"/>
        <v>345.87150417999976</v>
      </c>
      <c r="CN9" s="1">
        <f t="shared" si="28"/>
        <v>330.34833823999992</v>
      </c>
      <c r="CO9" s="1">
        <f t="shared" si="28"/>
        <v>372.02787432000008</v>
      </c>
      <c r="CP9" s="1">
        <f t="shared" si="28"/>
        <v>363.37275483999991</v>
      </c>
      <c r="CQ9" s="1">
        <f t="shared" si="28"/>
        <v>373.60267999999996</v>
      </c>
      <c r="CR9" s="1">
        <f t="shared" si="28"/>
        <v>392.24577093999977</v>
      </c>
      <c r="CS9" s="1">
        <f t="shared" si="28"/>
        <v>370.00520762000008</v>
      </c>
      <c r="CT9" s="1">
        <f t="shared" si="28"/>
        <v>307.7105307999999</v>
      </c>
      <c r="CU9" s="1">
        <f t="shared" si="28"/>
        <v>311.98041742999999</v>
      </c>
      <c r="CV9" s="1">
        <f t="shared" si="28"/>
        <v>309.32423856999998</v>
      </c>
      <c r="CW9" s="1">
        <f t="shared" si="28"/>
        <v>316.28118749999999</v>
      </c>
      <c r="CX9" s="1">
        <f t="shared" si="28"/>
        <v>350.14414257999977</v>
      </c>
      <c r="CY9" s="1">
        <f t="shared" si="28"/>
        <v>342.85888695999995</v>
      </c>
      <c r="CZ9" s="1">
        <f t="shared" si="28"/>
        <v>324.84866957999998</v>
      </c>
      <c r="DA9" s="1">
        <f t="shared" si="29"/>
        <v>325.97502911999987</v>
      </c>
      <c r="DB9" s="1">
        <f t="shared" si="29"/>
        <v>321.39038838999994</v>
      </c>
      <c r="DC9" s="1">
        <f t="shared" si="29"/>
        <v>273.58963931999995</v>
      </c>
      <c r="DD9" s="1">
        <f t="shared" si="29"/>
        <v>292.91820976000002</v>
      </c>
      <c r="DE9" s="1">
        <f t="shared" si="29"/>
        <v>371.72573624</v>
      </c>
      <c r="DF9" s="1">
        <f t="shared" si="29"/>
        <v>378.12790802000001</v>
      </c>
      <c r="DG9" s="1">
        <f t="shared" si="29"/>
        <v>308.34921994000001</v>
      </c>
      <c r="DH9" s="1">
        <f t="shared" si="29"/>
        <v>390.63577031</v>
      </c>
      <c r="DJ9" s="1">
        <f t="shared" si="30"/>
        <v>11.009236750000001</v>
      </c>
      <c r="DK9" s="1">
        <f t="shared" si="30"/>
        <v>8.7569028099999997</v>
      </c>
      <c r="DL9" s="1">
        <f t="shared" si="30"/>
        <v>7.0677003599999999</v>
      </c>
      <c r="DM9" s="1">
        <f t="shared" si="30"/>
        <v>5.8644577399999989</v>
      </c>
      <c r="DN9" s="1">
        <f t="shared" si="30"/>
        <v>6.7460545699999992</v>
      </c>
      <c r="DO9" s="1">
        <f t="shared" si="30"/>
        <v>2.8647302900000002</v>
      </c>
      <c r="DP9" s="1">
        <f t="shared" si="30"/>
        <v>3.9160438699999998</v>
      </c>
      <c r="DQ9" s="1">
        <f t="shared" si="30"/>
        <v>2.7432327000000001</v>
      </c>
      <c r="DR9" s="1">
        <f t="shared" si="30"/>
        <v>3.5031505699999994</v>
      </c>
      <c r="DS9" s="1">
        <f t="shared" si="30"/>
        <v>3.9954732900000005</v>
      </c>
      <c r="DT9" s="1">
        <f t="shared" si="30"/>
        <v>2.3751918999999999</v>
      </c>
      <c r="DU9" s="1">
        <f t="shared" si="30"/>
        <v>3.3189943100000003</v>
      </c>
      <c r="DV9" s="1">
        <f t="shared" si="30"/>
        <v>3.6004889900000006</v>
      </c>
      <c r="DW9" s="1">
        <f t="shared" si="30"/>
        <v>2.2940615100000001</v>
      </c>
      <c r="DX9" s="1">
        <f t="shared" si="30"/>
        <v>1.2696953500000001</v>
      </c>
      <c r="DY9" s="1">
        <f t="shared" si="30"/>
        <v>1.4792882700000001</v>
      </c>
      <c r="DZ9" s="1">
        <f t="shared" si="31"/>
        <v>3.3410357400000001</v>
      </c>
      <c r="EA9" s="1">
        <f t="shared" si="31"/>
        <v>3.5927978000000009</v>
      </c>
      <c r="EB9" s="1">
        <f t="shared" si="31"/>
        <v>2.53051044</v>
      </c>
      <c r="EC9" s="1">
        <f t="shared" si="31"/>
        <v>2.3401237999999998</v>
      </c>
      <c r="ED9" s="1">
        <f t="shared" si="31"/>
        <v>2.4632922899999996</v>
      </c>
      <c r="EE9" s="1">
        <f t="shared" si="31"/>
        <v>3.8179622399999995</v>
      </c>
      <c r="EF9" s="1">
        <f t="shared" si="31"/>
        <v>3.8355995800000002</v>
      </c>
      <c r="EG9" s="1">
        <f t="shared" si="31"/>
        <v>7.3409295600000002</v>
      </c>
      <c r="EI9" s="14">
        <f t="shared" si="32"/>
        <v>49.86</v>
      </c>
      <c r="EJ9" s="14">
        <f t="shared" si="32"/>
        <v>49.86</v>
      </c>
      <c r="EK9" s="1">
        <f t="shared" si="32"/>
        <v>48.75</v>
      </c>
      <c r="EL9" s="1">
        <f t="shared" si="32"/>
        <v>48.18</v>
      </c>
      <c r="EM9" s="1">
        <f t="shared" si="32"/>
        <v>47.81</v>
      </c>
      <c r="EN9" s="1">
        <f t="shared" si="32"/>
        <v>46.91</v>
      </c>
      <c r="EO9" s="1">
        <f t="shared" si="32"/>
        <v>47.74</v>
      </c>
      <c r="EP9" s="1">
        <f t="shared" si="32"/>
        <v>47.38</v>
      </c>
      <c r="EQ9" s="1">
        <f t="shared" si="32"/>
        <v>47.74</v>
      </c>
      <c r="ER9" s="1">
        <f t="shared" si="32"/>
        <v>47.8</v>
      </c>
      <c r="ES9" s="1">
        <f t="shared" si="32"/>
        <v>47.58</v>
      </c>
      <c r="ET9" s="1">
        <f t="shared" si="32"/>
        <v>49.18</v>
      </c>
      <c r="EU9" s="1">
        <f t="shared" si="32"/>
        <v>49.37</v>
      </c>
      <c r="EV9" s="1">
        <f t="shared" si="32"/>
        <v>49.38</v>
      </c>
      <c r="EW9" s="1">
        <f t="shared" si="32"/>
        <v>51.48</v>
      </c>
      <c r="EX9" s="1">
        <f t="shared" si="32"/>
        <v>52.06</v>
      </c>
      <c r="EY9" s="1">
        <f t="shared" si="33"/>
        <v>42.59</v>
      </c>
      <c r="EZ9" s="1">
        <f t="shared" si="33"/>
        <v>51.3</v>
      </c>
      <c r="FA9" s="1">
        <f t="shared" si="33"/>
        <v>51.15</v>
      </c>
      <c r="FB9" s="1">
        <f t="shared" si="33"/>
        <v>51.01</v>
      </c>
      <c r="FC9" s="1">
        <f t="shared" si="33"/>
        <v>51.15</v>
      </c>
      <c r="FD9" s="1">
        <f t="shared" si="33"/>
        <v>51.72</v>
      </c>
      <c r="FE9" s="1">
        <f t="shared" si="33"/>
        <v>51.32</v>
      </c>
      <c r="FF9" s="1">
        <f t="shared" si="33"/>
        <v>50.44</v>
      </c>
      <c r="FH9" s="162">
        <f t="shared" si="34"/>
        <v>0.24210460379025034</v>
      </c>
    </row>
    <row r="10" spans="1:164" ht="28.8">
      <c r="A10" s="263" t="s">
        <v>221</v>
      </c>
      <c r="B10" s="246"/>
      <c r="C10" s="156">
        <f t="shared" si="5"/>
        <v>0</v>
      </c>
      <c r="D10" s="198">
        <v>-1</v>
      </c>
      <c r="E10" s="248">
        <f t="shared" si="6"/>
        <v>-6.1467981697695073E-2</v>
      </c>
      <c r="F10" s="249">
        <f t="shared" si="7"/>
        <v>-8.940040749657685E-2</v>
      </c>
      <c r="G10" s="248">
        <f t="shared" si="8"/>
        <v>3.2905970986728761E-2</v>
      </c>
      <c r="H10" s="249">
        <f t="shared" si="9"/>
        <v>-9.4373952684423834E-2</v>
      </c>
      <c r="I10" s="248">
        <f t="shared" si="10"/>
        <v>0.21685812300191931</v>
      </c>
      <c r="J10" s="249">
        <f t="shared" si="11"/>
        <v>-0.25574317583942441</v>
      </c>
      <c r="K10" s="248">
        <f t="shared" si="12"/>
        <v>0.32598995588580815</v>
      </c>
      <c r="L10" s="249">
        <f t="shared" si="13"/>
        <v>-0.10913183288388884</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1.3496249367341715</v>
      </c>
      <c r="V10" s="252">
        <f t="shared" si="16"/>
        <v>1.3496249367341715</v>
      </c>
      <c r="W10" s="248">
        <f t="shared" si="38"/>
        <v>0.63448914086877672</v>
      </c>
      <c r="X10" s="252">
        <f t="shared" si="17"/>
        <v>0.63448914086877672</v>
      </c>
      <c r="Y10" s="248">
        <f t="shared" si="18"/>
        <v>-1.4951121334099926E-2</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5</v>
      </c>
      <c r="AQ10" s="28">
        <f>VLOOKUP($A10,historia!$A$5:$CM$24,+HLOOKUP(AQ$2,historia!$A$3:$EC$4,2,FALSE),FALSE)</f>
        <v>4</v>
      </c>
      <c r="AR10" s="28">
        <f>VLOOKUP($A10,historia!$A$5:$CM$24,+HLOOKUP(AR$2,historia!$A$3:$EC$4,2,FALSE),FALSE)</f>
        <v>4</v>
      </c>
      <c r="AS10" s="28">
        <f>VLOOKUP($A10,historia!$A$5:$CM$24,+HLOOKUP(AS$2,historia!$A$3:$EC$4,2,FALSE),FALSE)</f>
        <v>4</v>
      </c>
      <c r="AT10" s="58">
        <f>VLOOKUP($A10,historia!$A$5:$CM$24,+HLOOKUP(AT$2,historia!$A$3:$EC$4,2,FALSE),FALSE)</f>
        <v>4</v>
      </c>
      <c r="AU10" s="58">
        <f>VLOOKUP($A10,historia!$A$5:$CM$24,+HLOOKUP(AU$2,historia!$A$3:$EC$4,2,FALSE),FALSE)</f>
        <v>4</v>
      </c>
      <c r="AV10" s="58">
        <f>VLOOKUP($A10,historia!$A$5:$CM$24,+HLOOKUP(AV$2,historia!$A$3:$EC$4,2,FALSE),FALSE)</f>
        <v>4</v>
      </c>
      <c r="AW10" s="58">
        <f>VLOOKUP($A10,historia!$A$5:$CM$24,+HLOOKUP(AW$2,historia!$A$3:$EC$4,2,FALSE),FALSE)</f>
        <v>4</v>
      </c>
      <c r="AX10" s="58">
        <f>VLOOKUP($A10,historia!$A$5:$CM$24,+HLOOKUP(AX$2,historia!$A$3:$EC$4,2,FALSE),FALSE)</f>
        <v>3</v>
      </c>
      <c r="AY10" s="58">
        <f>VLOOKUP($A10,historia!$A$5:$CM$24,+HLOOKUP(AY$2,historia!$A$3:$EC$4,2,FALSE),FALSE)</f>
        <v>4</v>
      </c>
      <c r="AZ10" s="58">
        <f>VLOOKUP($A10,historia!$A$5:$CM$24,+HLOOKUP(AZ$2,historia!$A$3:$EC$4,2,FALSE),FALSE)</f>
        <v>4</v>
      </c>
      <c r="BA10" s="58">
        <f>VLOOKUP($A10,historia!$A$5:$CM$24,+HLOOKUP(BA$2,historia!$A$3:$EC$4,2,FALSE),FALSE)</f>
        <v>4</v>
      </c>
      <c r="BB10" s="58"/>
      <c r="BC10" s="58"/>
      <c r="BD10" s="286">
        <v>4</v>
      </c>
      <c r="BE10" t="str">
        <f t="shared" si="20"/>
        <v>Cítricos Dulces</v>
      </c>
      <c r="BF10">
        <f>+datos!AU1</f>
        <v>47</v>
      </c>
      <c r="BG10" s="2" t="str">
        <f t="shared" si="4"/>
        <v>$/caja 18kg</v>
      </c>
      <c r="BH10" s="2">
        <f t="shared" si="4"/>
        <v>13599.602870813396</v>
      </c>
      <c r="BI10" s="2">
        <f t="shared" si="4"/>
        <v>14490.291866028709</v>
      </c>
      <c r="BJ10" s="2">
        <f t="shared" si="4"/>
        <v>11175.997113997115</v>
      </c>
      <c r="BL10">
        <f>+datos!CX1</f>
        <v>102</v>
      </c>
      <c r="BM10" s="2">
        <f t="shared" si="21"/>
        <v>9816.2166241032955</v>
      </c>
      <c r="BN10" s="2">
        <f t="shared" si="21"/>
        <v>9503.4948967580494</v>
      </c>
      <c r="BO10" s="2">
        <f t="shared" si="21"/>
        <v>7402.9343740735321</v>
      </c>
      <c r="BQ10" s="1">
        <f>+datos!ER1</f>
        <v>148</v>
      </c>
      <c r="BR10" s="1">
        <f t="shared" si="22"/>
        <v>79911</v>
      </c>
      <c r="BS10" s="1">
        <f t="shared" si="22"/>
        <v>80248</v>
      </c>
      <c r="BU10" s="1">
        <f>+datos!GH1</f>
        <v>190</v>
      </c>
      <c r="BV10" s="1">
        <f t="shared" si="23"/>
        <v>1543162</v>
      </c>
      <c r="BW10" s="1">
        <f t="shared" si="23"/>
        <v>1734000</v>
      </c>
      <c r="BY10" s="1">
        <f>+datos!LT1</f>
        <v>332</v>
      </c>
      <c r="BZ10" s="1">
        <f t="shared" si="39"/>
        <v>127.14618134</v>
      </c>
      <c r="CA10" s="1">
        <f t="shared" si="40"/>
        <v>54.113394589999992</v>
      </c>
      <c r="CB10" s="1"/>
      <c r="CC10" s="1">
        <f>+datos!LX1</f>
        <v>336</v>
      </c>
      <c r="CD10" s="2">
        <f t="shared" si="24"/>
        <v>7.5912772000000004</v>
      </c>
      <c r="CE10" s="2">
        <f t="shared" si="25"/>
        <v>4.6444341600000012</v>
      </c>
      <c r="CG10" s="1">
        <f>+datos!IV1</f>
        <v>256</v>
      </c>
      <c r="CH10" s="1">
        <f t="shared" si="26"/>
        <v>17.130000000000003</v>
      </c>
      <c r="CI10" s="1">
        <f t="shared" si="27"/>
        <v>17.39</v>
      </c>
      <c r="CK10" s="1">
        <f t="shared" si="28"/>
        <v>5.6783096999999998</v>
      </c>
      <c r="CL10" s="1">
        <f t="shared" si="28"/>
        <v>3.5979505000000001</v>
      </c>
      <c r="CM10" s="1">
        <f t="shared" si="28"/>
        <v>11.482528969999997</v>
      </c>
      <c r="CN10" s="1">
        <f t="shared" si="28"/>
        <v>11.00321864</v>
      </c>
      <c r="CO10" s="1">
        <f t="shared" si="28"/>
        <v>18.05731771</v>
      </c>
      <c r="CP10" s="1">
        <f t="shared" si="28"/>
        <v>12.23030908</v>
      </c>
      <c r="CQ10" s="1">
        <f t="shared" si="28"/>
        <v>17.119922650000003</v>
      </c>
      <c r="CR10" s="1">
        <f t="shared" si="28"/>
        <v>15.255558669999997</v>
      </c>
      <c r="CS10" s="1">
        <f t="shared" si="28"/>
        <v>10.271936310000001</v>
      </c>
      <c r="CT10" s="1">
        <f t="shared" si="28"/>
        <v>14.041262509999999</v>
      </c>
      <c r="CU10" s="1">
        <f t="shared" si="28"/>
        <v>6.1015489199999999</v>
      </c>
      <c r="CV10" s="1">
        <f t="shared" si="28"/>
        <v>2.3063176799999998</v>
      </c>
      <c r="CW10" s="1">
        <f t="shared" si="28"/>
        <v>3.2785219999999997</v>
      </c>
      <c r="CX10" s="1">
        <f t="shared" si="28"/>
        <v>2.8661316999999999</v>
      </c>
      <c r="CY10" s="1">
        <f t="shared" si="28"/>
        <v>3.3581509099999995</v>
      </c>
      <c r="CZ10" s="1">
        <f t="shared" si="28"/>
        <v>4.3519123000000004</v>
      </c>
      <c r="DA10" s="1">
        <f t="shared" si="29"/>
        <v>3.6482140500000004</v>
      </c>
      <c r="DB10" s="1">
        <f t="shared" si="29"/>
        <v>7.8852843799999999</v>
      </c>
      <c r="DC10" s="1">
        <f t="shared" si="29"/>
        <v>4.4927710999999997</v>
      </c>
      <c r="DD10" s="1">
        <f t="shared" si="29"/>
        <v>3.9018705800000002</v>
      </c>
      <c r="DE10" s="1">
        <f t="shared" si="29"/>
        <v>10.723855849999996</v>
      </c>
      <c r="DF10" s="1">
        <f t="shared" si="29"/>
        <v>7.5775361799999992</v>
      </c>
      <c r="DG10" s="1">
        <f t="shared" si="29"/>
        <v>1.25129154</v>
      </c>
      <c r="DH10" s="1">
        <f t="shared" si="29"/>
        <v>0.77785399999999993</v>
      </c>
      <c r="DJ10" s="1">
        <f t="shared" si="30"/>
        <v>0.72731897999999995</v>
      </c>
      <c r="DK10" s="1">
        <f t="shared" si="30"/>
        <v>1.7947146899999999</v>
      </c>
      <c r="DL10" s="1">
        <f t="shared" si="30"/>
        <v>1.56764612</v>
      </c>
      <c r="DM10" s="1">
        <f t="shared" si="30"/>
        <v>1.4871383200000001</v>
      </c>
      <c r="DN10" s="1">
        <f t="shared" si="30"/>
        <v>0.7069763</v>
      </c>
      <c r="DO10" s="1">
        <f t="shared" si="30"/>
        <v>0.35634324000000006</v>
      </c>
      <c r="DP10" s="1">
        <f t="shared" si="30"/>
        <v>0.22489865000000001</v>
      </c>
      <c r="DQ10" s="1">
        <f t="shared" si="30"/>
        <v>0.17467300000000002</v>
      </c>
      <c r="DR10" s="1">
        <f t="shared" si="30"/>
        <v>7.2500000000000004E-3</v>
      </c>
      <c r="DS10" s="1">
        <f t="shared" si="30"/>
        <v>0.23680799999999999</v>
      </c>
      <c r="DT10" s="1">
        <f t="shared" si="30"/>
        <v>0</v>
      </c>
      <c r="DU10" s="1">
        <f t="shared" si="30"/>
        <v>0.3075099</v>
      </c>
      <c r="DV10" s="1">
        <f t="shared" si="30"/>
        <v>0.82950560000000007</v>
      </c>
      <c r="DW10" s="1">
        <f t="shared" si="30"/>
        <v>1.06715808</v>
      </c>
      <c r="DX10" s="1">
        <f t="shared" si="30"/>
        <v>0.57276656999999997</v>
      </c>
      <c r="DY10" s="1">
        <f t="shared" si="30"/>
        <v>0.50591796999999994</v>
      </c>
      <c r="DZ10" s="1">
        <f t="shared" si="31"/>
        <v>0.37369366000000004</v>
      </c>
      <c r="EA10" s="1">
        <f t="shared" si="31"/>
        <v>1.8223369999999999E-2</v>
      </c>
      <c r="EB10" s="1">
        <f t="shared" si="31"/>
        <v>0.26981320000000003</v>
      </c>
      <c r="EC10" s="1">
        <f t="shared" si="31"/>
        <v>0.36129600000000001</v>
      </c>
      <c r="ED10" s="1">
        <f t="shared" si="31"/>
        <v>3.0606999999999997E-4</v>
      </c>
      <c r="EE10" s="1">
        <f t="shared" si="31"/>
        <v>0.33402694999999999</v>
      </c>
      <c r="EF10" s="1">
        <f t="shared" si="31"/>
        <v>0</v>
      </c>
      <c r="EG10" s="1">
        <f t="shared" si="31"/>
        <v>0.31172668999999997</v>
      </c>
      <c r="EI10" s="14">
        <f t="shared" si="32"/>
        <v>17.130000000000003</v>
      </c>
      <c r="EJ10" s="14">
        <f t="shared" si="32"/>
        <v>17.130000000000003</v>
      </c>
      <c r="EK10" s="1">
        <f t="shared" si="32"/>
        <v>17.130000000000003</v>
      </c>
      <c r="EL10" s="1">
        <f t="shared" si="32"/>
        <v>17.130000000000003</v>
      </c>
      <c r="EM10" s="1">
        <f t="shared" si="32"/>
        <v>17.39</v>
      </c>
      <c r="EN10" s="1">
        <f t="shared" si="32"/>
        <v>17.39</v>
      </c>
      <c r="EO10" s="1">
        <f t="shared" si="32"/>
        <v>17.39</v>
      </c>
      <c r="EP10" s="1">
        <f t="shared" si="32"/>
        <v>17.39</v>
      </c>
      <c r="EQ10" s="1">
        <f t="shared" si="32"/>
        <v>17.39</v>
      </c>
      <c r="ER10" s="1">
        <f t="shared" si="32"/>
        <v>17.39</v>
      </c>
      <c r="ES10" s="1">
        <f t="shared" si="32"/>
        <v>17.39</v>
      </c>
      <c r="ET10" s="1">
        <f t="shared" si="32"/>
        <v>17.39</v>
      </c>
      <c r="EU10" s="1">
        <f t="shared" si="32"/>
        <v>17.39</v>
      </c>
      <c r="EV10" s="1">
        <f t="shared" si="32"/>
        <v>17.39</v>
      </c>
      <c r="EW10" s="1">
        <f t="shared" si="32"/>
        <v>17.39</v>
      </c>
      <c r="EX10" s="1">
        <f t="shared" si="32"/>
        <v>17.39</v>
      </c>
      <c r="EY10" s="1">
        <f t="shared" si="33"/>
        <v>19.739999999999998</v>
      </c>
      <c r="EZ10" s="1">
        <f t="shared" si="33"/>
        <v>19.739999999999998</v>
      </c>
      <c r="FA10" s="1">
        <f t="shared" si="33"/>
        <v>19.739999999999998</v>
      </c>
      <c r="FB10" s="1">
        <f t="shared" si="33"/>
        <v>19.739999999999998</v>
      </c>
      <c r="FC10" s="1">
        <f t="shared" si="33"/>
        <v>19.739999999999998</v>
      </c>
      <c r="FD10" s="1">
        <f t="shared" si="33"/>
        <v>19.739999999999998</v>
      </c>
      <c r="FE10" s="1">
        <f t="shared" si="33"/>
        <v>19.739999999999998</v>
      </c>
      <c r="FF10" s="1">
        <f t="shared" si="33"/>
        <v>19.739999999999998</v>
      </c>
      <c r="FH10" s="162">
        <f t="shared" si="34"/>
        <v>-0.10913183288388884</v>
      </c>
    </row>
    <row r="11" spans="1:164" ht="18.75" customHeight="1">
      <c r="A11" s="244" t="s">
        <v>116</v>
      </c>
      <c r="B11" s="247"/>
      <c r="C11" s="228">
        <f t="shared" si="5"/>
        <v>-0.33</v>
      </c>
      <c r="D11" s="229">
        <v>1</v>
      </c>
      <c r="E11" s="253">
        <f t="shared" si="6"/>
        <v>0</v>
      </c>
      <c r="F11" s="254">
        <f t="shared" si="7"/>
        <v>-2.7932425798881777E-2</v>
      </c>
      <c r="G11" s="253">
        <f t="shared" si="8"/>
        <v>2.8839306123538577E-2</v>
      </c>
      <c r="H11" s="254">
        <f t="shared" si="9"/>
        <v>-2.8839306123538577E-2</v>
      </c>
      <c r="I11" s="253">
        <f t="shared" si="10"/>
        <v>7.6753184956411591E-2</v>
      </c>
      <c r="J11" s="254">
        <f t="shared" si="11"/>
        <v>-0.39584811388493213</v>
      </c>
      <c r="K11" s="253">
        <f t="shared" si="12"/>
        <v>0.4310438014566087</v>
      </c>
      <c r="L11" s="254">
        <f t="shared" si="13"/>
        <v>-0.35429061650019711</v>
      </c>
      <c r="M11" s="255"/>
      <c r="N11" s="256"/>
      <c r="O11" s="253" t="str">
        <f t="shared" si="35"/>
        <v/>
      </c>
      <c r="P11" s="257" t="str">
        <f t="shared" si="36"/>
        <v/>
      </c>
      <c r="Q11" s="253">
        <f t="shared" si="14"/>
        <v>0</v>
      </c>
      <c r="R11" s="257">
        <f t="shared" si="37"/>
        <v>0</v>
      </c>
      <c r="S11" s="255"/>
      <c r="T11" s="24">
        <v>-2</v>
      </c>
      <c r="U11" s="253">
        <f t="shared" si="15"/>
        <v>-0.42344848263532764</v>
      </c>
      <c r="V11" s="258">
        <f t="shared" si="16"/>
        <v>-0.42344848263532764</v>
      </c>
      <c r="W11" s="253">
        <f t="shared" si="38"/>
        <v>-0.20130438646094462</v>
      </c>
      <c r="X11" s="258">
        <f t="shared" si="17"/>
        <v>-0.20130438646094462</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3</v>
      </c>
      <c r="AY11" s="58">
        <f>VLOOKUP($A11,historia!$A$5:$CM$24,+HLOOKUP(AY$2,historia!$A$3:$EC$4,2,FALSE),FALSE)</f>
        <v>3</v>
      </c>
      <c r="AZ11" s="58">
        <f>VLOOKUP($A11,historia!$A$5:$CM$24,+HLOOKUP(AZ$2,historia!$A$3:$EC$4,2,FALSE),FALSE)</f>
        <v>3</v>
      </c>
      <c r="BA11" s="58">
        <f>VLOOKUP($A11,historia!$A$5:$CM$24,+HLOOKUP(BA$2,historia!$A$3:$EC$4,2,FALSE),FALSE)</f>
        <v>3</v>
      </c>
      <c r="BB11" s="58"/>
      <c r="BC11" s="58"/>
      <c r="BD11" s="286">
        <v>3</v>
      </c>
      <c r="BE11" t="str">
        <f t="shared" si="20"/>
        <v>Forestal</v>
      </c>
      <c r="BF11">
        <f>+datos!BG1</f>
        <v>59</v>
      </c>
      <c r="BG11" s="2" t="str">
        <f t="shared" si="4"/>
        <v>$/t</v>
      </c>
      <c r="BH11" s="2">
        <f t="shared" si="4"/>
        <v>29983</v>
      </c>
      <c r="BI11" s="2">
        <f t="shared" si="4"/>
        <v>29983</v>
      </c>
      <c r="BJ11" s="2">
        <f t="shared" si="4"/>
        <v>27845.75</v>
      </c>
      <c r="BL11">
        <f>+datos!CZ1</f>
        <v>104</v>
      </c>
      <c r="BM11" s="2">
        <f t="shared" si="21"/>
        <v>12718.791042803339</v>
      </c>
      <c r="BN11" s="2">
        <f t="shared" si="21"/>
        <v>12362.27170472832</v>
      </c>
      <c r="BO11" s="2">
        <f t="shared" si="21"/>
        <v>8887.7720093943553</v>
      </c>
      <c r="BQ11" s="1">
        <f>+datos!ES1</f>
        <v>149</v>
      </c>
      <c r="BR11" s="1">
        <f t="shared" si="22"/>
        <v>0</v>
      </c>
      <c r="BS11" s="1">
        <f t="shared" si="22"/>
        <v>0</v>
      </c>
      <c r="BU11" s="1">
        <f>+datos!GI1</f>
        <v>191</v>
      </c>
      <c r="BV11" s="1">
        <f t="shared" si="23"/>
        <v>1302556</v>
      </c>
      <c r="BW11" s="1">
        <f t="shared" si="23"/>
        <v>1302556</v>
      </c>
      <c r="BY11" s="1">
        <f>+datos!KB1</f>
        <v>288</v>
      </c>
      <c r="BZ11" s="1">
        <f t="shared" si="39"/>
        <v>176.59022779</v>
      </c>
      <c r="CA11" s="1">
        <f t="shared" si="40"/>
        <v>306.28698819000005</v>
      </c>
      <c r="CC11" s="1">
        <f>+datos!LG1</f>
        <v>319</v>
      </c>
      <c r="CD11" s="2">
        <f t="shared" si="24"/>
        <v>172.25177568000001</v>
      </c>
      <c r="CE11" s="2">
        <f t="shared" si="25"/>
        <v>215.66635994999999</v>
      </c>
      <c r="CG11" s="1">
        <f>+datos!IW1</f>
        <v>257</v>
      </c>
      <c r="CH11" s="1">
        <f t="shared" si="26"/>
        <v>0</v>
      </c>
      <c r="CI11" s="1">
        <f t="shared" si="27"/>
        <v>0</v>
      </c>
      <c r="CK11" s="1">
        <f t="shared" si="28"/>
        <v>13.968637820000001</v>
      </c>
      <c r="CL11" s="1">
        <f t="shared" si="28"/>
        <v>9.9284284400000011</v>
      </c>
      <c r="CM11" s="1">
        <f t="shared" si="28"/>
        <v>14.484437890000001</v>
      </c>
      <c r="CN11" s="1">
        <f t="shared" si="28"/>
        <v>10.200287200000002</v>
      </c>
      <c r="CO11" s="1">
        <f t="shared" si="28"/>
        <v>11.119065489999999</v>
      </c>
      <c r="CP11" s="1">
        <f t="shared" si="28"/>
        <v>13.50721221</v>
      </c>
      <c r="CQ11" s="1">
        <f t="shared" si="28"/>
        <v>17.7783984</v>
      </c>
      <c r="CR11" s="1">
        <f t="shared" si="28"/>
        <v>18.158715399999995</v>
      </c>
      <c r="CS11" s="1">
        <f t="shared" si="28"/>
        <v>13.62277192</v>
      </c>
      <c r="CT11" s="1">
        <f t="shared" si="28"/>
        <v>18.147427050000005</v>
      </c>
      <c r="CU11" s="1">
        <f t="shared" si="28"/>
        <v>16.38459563</v>
      </c>
      <c r="CV11" s="1">
        <f t="shared" si="28"/>
        <v>19.29025034</v>
      </c>
      <c r="CW11" s="1">
        <f t="shared" si="28"/>
        <v>32.635385889999995</v>
      </c>
      <c r="CX11" s="1">
        <f t="shared" si="28"/>
        <v>26.653198490000001</v>
      </c>
      <c r="CY11" s="1">
        <f t="shared" si="28"/>
        <v>23.932255000000001</v>
      </c>
      <c r="CZ11" s="1">
        <f t="shared" si="28"/>
        <v>23.104867779999999</v>
      </c>
      <c r="DA11" s="1">
        <f t="shared" si="29"/>
        <v>24.797754910000005</v>
      </c>
      <c r="DB11" s="1">
        <f t="shared" si="29"/>
        <v>26.00374025</v>
      </c>
      <c r="DC11" s="1">
        <f t="shared" si="29"/>
        <v>24.373047020000001</v>
      </c>
      <c r="DD11" s="1">
        <f t="shared" si="29"/>
        <v>25.649224320000002</v>
      </c>
      <c r="DE11" s="1">
        <f t="shared" si="29"/>
        <v>23.667757810000001</v>
      </c>
      <c r="DF11" s="1">
        <f t="shared" si="29"/>
        <v>25.088845019999997</v>
      </c>
      <c r="DG11" s="1">
        <f t="shared" si="29"/>
        <v>26.5668471</v>
      </c>
      <c r="DH11" s="1">
        <f t="shared" si="29"/>
        <v>23.814064600000002</v>
      </c>
      <c r="DJ11" s="1">
        <f t="shared" si="30"/>
        <v>13.20675994</v>
      </c>
      <c r="DK11" s="1">
        <f t="shared" si="30"/>
        <v>12.082023640000001</v>
      </c>
      <c r="DL11" s="1">
        <f t="shared" si="30"/>
        <v>16.998994660000001</v>
      </c>
      <c r="DM11" s="1">
        <f t="shared" si="30"/>
        <v>14.09144206</v>
      </c>
      <c r="DN11" s="1">
        <f t="shared" si="30"/>
        <v>14.036730870000001</v>
      </c>
      <c r="DO11" s="1">
        <f t="shared" si="30"/>
        <v>13.365554540000002</v>
      </c>
      <c r="DP11" s="1">
        <f t="shared" si="30"/>
        <v>15.589800310000003</v>
      </c>
      <c r="DQ11" s="1">
        <f t="shared" si="30"/>
        <v>16.942532470000003</v>
      </c>
      <c r="DR11" s="1">
        <f t="shared" si="30"/>
        <v>10.998476289999999</v>
      </c>
      <c r="DS11" s="1">
        <f t="shared" si="30"/>
        <v>11.46589975</v>
      </c>
      <c r="DT11" s="1">
        <f t="shared" si="30"/>
        <v>13.53170609</v>
      </c>
      <c r="DU11" s="1">
        <f t="shared" si="30"/>
        <v>19.941855059999995</v>
      </c>
      <c r="DV11" s="1">
        <f t="shared" si="30"/>
        <v>17.561880160000001</v>
      </c>
      <c r="DW11" s="1">
        <f t="shared" si="30"/>
        <v>14.580088280000002</v>
      </c>
      <c r="DX11" s="1">
        <f t="shared" si="30"/>
        <v>13.107541810000001</v>
      </c>
      <c r="DY11" s="1">
        <f t="shared" si="30"/>
        <v>9.0834929199999994</v>
      </c>
      <c r="DZ11" s="1">
        <f t="shared" si="31"/>
        <v>9.5859924200000002</v>
      </c>
      <c r="EA11" s="1">
        <f t="shared" si="31"/>
        <v>12.114691449999999</v>
      </c>
      <c r="EB11" s="1">
        <f t="shared" si="31"/>
        <v>21.937746180000001</v>
      </c>
      <c r="EC11" s="1">
        <f t="shared" si="31"/>
        <v>16.68359323</v>
      </c>
      <c r="ED11" s="1">
        <f t="shared" si="31"/>
        <v>23.390239519999994</v>
      </c>
      <c r="EE11" s="1">
        <f t="shared" si="31"/>
        <v>24.97777258</v>
      </c>
      <c r="EF11" s="1">
        <f t="shared" si="31"/>
        <v>25.979397770000002</v>
      </c>
      <c r="EG11" s="1">
        <f t="shared" si="31"/>
        <v>26.663923630000003</v>
      </c>
      <c r="EI11" s="14">
        <f t="shared" si="32"/>
        <v>0</v>
      </c>
      <c r="EJ11" s="14">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2"/>
        <v>0</v>
      </c>
      <c r="EY11" s="1">
        <f t="shared" si="33"/>
        <v>0</v>
      </c>
      <c r="EZ11" s="1">
        <f t="shared" si="33"/>
        <v>0</v>
      </c>
      <c r="FA11" s="1">
        <f t="shared" si="33"/>
        <v>0</v>
      </c>
      <c r="FB11" s="1">
        <f t="shared" si="33"/>
        <v>0</v>
      </c>
      <c r="FC11" s="1">
        <f t="shared" si="33"/>
        <v>0</v>
      </c>
      <c r="FD11" s="1">
        <f t="shared" si="33"/>
        <v>0</v>
      </c>
      <c r="FE11" s="1">
        <f t="shared" si="33"/>
        <v>0</v>
      </c>
      <c r="FF11" s="1">
        <f t="shared" si="33"/>
        <v>0</v>
      </c>
      <c r="FH11" s="162">
        <f t="shared" si="34"/>
        <v>-0.35429061650019711</v>
      </c>
    </row>
    <row r="12" spans="1:164" ht="18.75" customHeight="1">
      <c r="A12" s="243" t="s">
        <v>216</v>
      </c>
      <c r="B12" s="246"/>
      <c r="C12" s="156">
        <f t="shared" si="5"/>
        <v>-0.33</v>
      </c>
      <c r="D12" s="198">
        <v>-1</v>
      </c>
      <c r="E12" s="248">
        <f t="shared" si="6"/>
        <v>2.2874285293407182E-2</v>
      </c>
      <c r="F12" s="249">
        <f t="shared" si="7"/>
        <v>-5.0581405054745954E-3</v>
      </c>
      <c r="G12" s="248">
        <f t="shared" si="8"/>
        <v>1.4457069600434913E-2</v>
      </c>
      <c r="H12" s="249">
        <f t="shared" si="9"/>
        <v>8.4172156929722686E-3</v>
      </c>
      <c r="I12" s="248">
        <f t="shared" si="10"/>
        <v>0.39727580386894723</v>
      </c>
      <c r="J12" s="249">
        <f t="shared" si="11"/>
        <v>-7.532549497239649E-2</v>
      </c>
      <c r="K12" s="248">
        <f t="shared" si="12"/>
        <v>0.31384991829707265</v>
      </c>
      <c r="L12" s="249">
        <f t="shared" si="13"/>
        <v>8.3425885571874581E-2</v>
      </c>
      <c r="M12" s="250"/>
      <c r="N12" s="24">
        <v>1</v>
      </c>
      <c r="O12" s="248">
        <f t="shared" si="35"/>
        <v>6.0378137627938422E-2</v>
      </c>
      <c r="P12" s="251">
        <f t="shared" si="36"/>
        <v>6.0378137627938422E-2</v>
      </c>
      <c r="Q12" s="248">
        <f t="shared" si="14"/>
        <v>2.4251703648465295E-2</v>
      </c>
      <c r="R12" s="251">
        <f t="shared" si="37"/>
        <v>2.4251703648465295E-2</v>
      </c>
      <c r="S12" s="250"/>
      <c r="T12" s="24">
        <v>-1</v>
      </c>
      <c r="U12" s="248">
        <f t="shared" si="15"/>
        <v>9.1543809672688381E-2</v>
      </c>
      <c r="V12" s="252">
        <f t="shared" si="16"/>
        <v>9.1543809672688381E-2</v>
      </c>
      <c r="W12" s="248">
        <f t="shared" si="38"/>
        <v>-0.37307278478244699</v>
      </c>
      <c r="X12" s="252">
        <f t="shared" si="17"/>
        <v>-0.37307278478244699</v>
      </c>
      <c r="Y12" s="248">
        <f t="shared" si="18"/>
        <v>2.0343137254901889E-2</v>
      </c>
      <c r="Z12" s="252">
        <f t="shared" si="19"/>
        <v>2.0343137254901889E-2</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4</v>
      </c>
      <c r="AQ12" s="28">
        <f>VLOOKUP($A12,historia!$A$5:$CM$24,+HLOOKUP(AQ$2,historia!$A$3:$EC$4,2,FALSE),FALSE)</f>
        <v>4</v>
      </c>
      <c r="AR12" s="28">
        <f>VLOOKUP($A12,historia!$A$5:$CM$24,+HLOOKUP(AR$2,historia!$A$3:$EC$4,2,FALSE),FALSE)</f>
        <v>4</v>
      </c>
      <c r="AS12" s="28">
        <f>VLOOKUP($A12,historia!$A$5:$CM$24,+HLOOKUP(AS$2,historia!$A$3:$EC$4,2,FALSE),FALSE)</f>
        <v>4</v>
      </c>
      <c r="AT12" s="58">
        <f>VLOOKUP($A12,historia!$A$5:$CM$24,+HLOOKUP(AT$2,historia!$A$3:$EC$4,2,FALSE),FALSE)</f>
        <v>4</v>
      </c>
      <c r="AU12" s="58">
        <f>VLOOKUP($A12,historia!$A$5:$CM$24,+HLOOKUP(AU$2,historia!$A$3:$EC$4,2,FALSE),FALSE)</f>
        <v>4</v>
      </c>
      <c r="AV12" s="58">
        <f>VLOOKUP($A12,historia!$A$5:$CM$24,+HLOOKUP(AV$2,historia!$A$3:$EC$4,2,FALSE),FALSE)</f>
        <v>4</v>
      </c>
      <c r="AW12" s="58">
        <f>VLOOKUP($A12,historia!$A$5:$CM$24,+HLOOKUP(AW$2,historia!$A$3:$EC$4,2,FALSE),FALSE)</f>
        <v>4</v>
      </c>
      <c r="AX12" s="58">
        <f>VLOOKUP($A12,historia!$A$5:$CM$24,+HLOOKUP(AX$2,historia!$A$3:$EC$4,2,FALSE),FALSE)</f>
        <v>3</v>
      </c>
      <c r="AY12" s="58">
        <f>VLOOKUP($A12,historia!$A$5:$CM$24,+HLOOKUP(AY$2,historia!$A$3:$EC$4,2,FALSE),FALSE)</f>
        <v>3</v>
      </c>
      <c r="AZ12" s="58">
        <f>VLOOKUP($A12,historia!$A$5:$CM$24,+HLOOKUP(AZ$2,historia!$A$3:$EC$4,2,FALSE),FALSE)</f>
        <v>3</v>
      </c>
      <c r="BA12" s="58">
        <f>VLOOKUP($A12,historia!$A$5:$CM$24,+HLOOKUP(BA$2,historia!$A$3:$EC$4,2,FALSE),FALSE)</f>
        <v>3</v>
      </c>
      <c r="BB12" s="58"/>
      <c r="BC12" s="58"/>
      <c r="BD12" s="286">
        <v>3</v>
      </c>
      <c r="BE12" t="str">
        <f t="shared" si="20"/>
        <v>Granos</v>
      </c>
      <c r="BF12">
        <f>+datos!AE1</f>
        <v>31</v>
      </c>
      <c r="BG12" s="2" t="str">
        <f t="shared" si="4"/>
        <v>$/t</v>
      </c>
      <c r="BH12" s="2">
        <f t="shared" si="4"/>
        <v>265733.57819799997</v>
      </c>
      <c r="BI12" s="2">
        <f t="shared" si="4"/>
        <v>259791.04374666669</v>
      </c>
      <c r="BJ12" s="2">
        <f t="shared" si="4"/>
        <v>190179.76083333333</v>
      </c>
      <c r="BL12">
        <f>+datos!CG1</f>
        <v>85</v>
      </c>
      <c r="BM12" s="2">
        <f t="shared" si="21"/>
        <v>10181.541815081086</v>
      </c>
      <c r="BN12" s="2">
        <f t="shared" si="21"/>
        <v>10036.444242131704</v>
      </c>
      <c r="BO12" s="2">
        <f t="shared" si="21"/>
        <v>7749.3948686907415</v>
      </c>
      <c r="BQ12" s="1">
        <f>+datos!EA1</f>
        <v>131</v>
      </c>
      <c r="BR12" s="1">
        <f t="shared" si="22"/>
        <v>35950000</v>
      </c>
      <c r="BS12" s="1">
        <f t="shared" si="22"/>
        <v>33903000</v>
      </c>
      <c r="BU12" s="1">
        <f>+datos!FV1</f>
        <v>178</v>
      </c>
      <c r="BV12" s="1">
        <f t="shared" si="23"/>
        <v>129110000</v>
      </c>
      <c r="BW12" s="1">
        <f t="shared" si="23"/>
        <v>126053000</v>
      </c>
      <c r="BY12" s="1">
        <f>+datos!LQ1</f>
        <v>329</v>
      </c>
      <c r="BZ12" s="1">
        <f>+SUM(CK12:CV12)</f>
        <v>43004.750301020002</v>
      </c>
      <c r="CA12" s="1">
        <f t="shared" si="40"/>
        <v>39398.098289720001</v>
      </c>
      <c r="CC12" s="1">
        <f>+datos!LU1</f>
        <v>333</v>
      </c>
      <c r="CD12" s="2">
        <f t="shared" si="24"/>
        <v>2951.3077471400002</v>
      </c>
      <c r="CE12" s="2">
        <f t="shared" si="25"/>
        <v>4707.5763748999998</v>
      </c>
      <c r="CG12" s="1">
        <f>+datos!II1</f>
        <v>243</v>
      </c>
      <c r="CH12" s="1">
        <f t="shared" si="26"/>
        <v>83260000</v>
      </c>
      <c r="CI12" s="1">
        <f t="shared" si="27"/>
        <v>81600000</v>
      </c>
      <c r="CK12" s="1">
        <f>+VLOOKUP(CK$1,ran_dat,$BY12,FALSE)</f>
        <v>3699.5517639399995</v>
      </c>
      <c r="CL12" s="1">
        <f t="shared" si="28"/>
        <v>2719.5194464700007</v>
      </c>
      <c r="CM12" s="1">
        <f t="shared" si="28"/>
        <v>3193.1112506200002</v>
      </c>
      <c r="CN12" s="1">
        <f t="shared" si="28"/>
        <v>3231.2263099199999</v>
      </c>
      <c r="CO12" s="1">
        <f t="shared" si="28"/>
        <v>3313.8442822299994</v>
      </c>
      <c r="CP12" s="1">
        <f t="shared" si="28"/>
        <v>3339.9998161899998</v>
      </c>
      <c r="CQ12" s="1">
        <f t="shared" si="28"/>
        <v>3485.71732419</v>
      </c>
      <c r="CR12" s="1">
        <f t="shared" si="28"/>
        <v>3410.80431886</v>
      </c>
      <c r="CS12" s="1">
        <f t="shared" si="28"/>
        <v>3348.6268518899992</v>
      </c>
      <c r="CT12" s="1">
        <f t="shared" si="28"/>
        <v>4200.6671527199996</v>
      </c>
      <c r="CU12" s="1">
        <f t="shared" si="28"/>
        <v>4256.6159984299993</v>
      </c>
      <c r="CV12" s="1">
        <f t="shared" si="28"/>
        <v>4805.0657855600002</v>
      </c>
      <c r="CW12" s="1">
        <f t="shared" si="28"/>
        <v>3818.0878160900002</v>
      </c>
      <c r="CX12" s="1">
        <f t="shared" si="28"/>
        <v>3876.9439553199995</v>
      </c>
      <c r="CY12" s="1">
        <f t="shared" si="28"/>
        <v>3089.4855235099994</v>
      </c>
      <c r="CZ12" s="1">
        <f t="shared" si="28"/>
        <v>3929.1762735700004</v>
      </c>
      <c r="DA12" s="1">
        <f t="shared" si="29"/>
        <v>2955.6698254600001</v>
      </c>
      <c r="DB12" s="1">
        <f t="shared" si="29"/>
        <v>2441.9361675499999</v>
      </c>
      <c r="DC12" s="1">
        <f t="shared" si="29"/>
        <v>2439.6070879799995</v>
      </c>
      <c r="DD12" s="1">
        <f t="shared" si="29"/>
        <v>2937.94498135</v>
      </c>
      <c r="DE12" s="1">
        <f t="shared" si="29"/>
        <v>3422.8062754199996</v>
      </c>
      <c r="DF12" s="1">
        <f t="shared" si="29"/>
        <v>3305.4373540500001</v>
      </c>
      <c r="DG12" s="1">
        <f t="shared" si="29"/>
        <v>3388.1727426199996</v>
      </c>
      <c r="DH12" s="1">
        <f t="shared" si="29"/>
        <v>3792.8302867999996</v>
      </c>
      <c r="DJ12" s="1">
        <f t="shared" si="30"/>
        <v>338.33098909999995</v>
      </c>
      <c r="DK12" s="1">
        <f t="shared" si="30"/>
        <v>239.40438782999996</v>
      </c>
      <c r="DL12" s="1">
        <f t="shared" si="30"/>
        <v>288.1429152</v>
      </c>
      <c r="DM12" s="1">
        <f t="shared" si="30"/>
        <v>31.883400920000003</v>
      </c>
      <c r="DN12" s="1">
        <f t="shared" si="30"/>
        <v>52.19269714</v>
      </c>
      <c r="DO12" s="1">
        <f t="shared" si="30"/>
        <v>201.41567115000001</v>
      </c>
      <c r="DP12" s="1">
        <f t="shared" si="30"/>
        <v>299.18688666000003</v>
      </c>
      <c r="DQ12" s="1">
        <f t="shared" si="30"/>
        <v>265.28366987999999</v>
      </c>
      <c r="DR12" s="1">
        <f t="shared" si="30"/>
        <v>214.60650260000006</v>
      </c>
      <c r="DS12" s="1">
        <f t="shared" si="30"/>
        <v>390.93673457</v>
      </c>
      <c r="DT12" s="1">
        <f t="shared" si="30"/>
        <v>293.37536226000003</v>
      </c>
      <c r="DU12" s="1">
        <f t="shared" si="30"/>
        <v>336.54852982999995</v>
      </c>
      <c r="DV12" s="1">
        <f t="shared" si="30"/>
        <v>300.95428591999996</v>
      </c>
      <c r="DW12" s="1">
        <f t="shared" si="30"/>
        <v>389.85732896999997</v>
      </c>
      <c r="DX12" s="1">
        <f t="shared" si="30"/>
        <v>280.54397103999997</v>
      </c>
      <c r="DY12" s="1">
        <f t="shared" si="30"/>
        <v>63.525792080000002</v>
      </c>
      <c r="DZ12" s="1">
        <f t="shared" si="31"/>
        <v>301.92103216000004</v>
      </c>
      <c r="EA12" s="1">
        <f t="shared" si="31"/>
        <v>260.76831764999997</v>
      </c>
      <c r="EB12" s="1">
        <f t="shared" si="31"/>
        <v>244.67742642000002</v>
      </c>
      <c r="EC12" s="1">
        <f t="shared" si="31"/>
        <v>322.58249758000005</v>
      </c>
      <c r="ED12" s="1">
        <f t="shared" si="31"/>
        <v>495.08938117000014</v>
      </c>
      <c r="EE12" s="1">
        <f t="shared" si="31"/>
        <v>539.06610803000001</v>
      </c>
      <c r="EF12" s="1">
        <f t="shared" si="31"/>
        <v>828.84254484999997</v>
      </c>
      <c r="EG12" s="1">
        <f t="shared" si="31"/>
        <v>679.74768902999983</v>
      </c>
      <c r="EI12" s="14">
        <f t="shared" si="32"/>
        <v>83260000</v>
      </c>
      <c r="EJ12" s="14">
        <f t="shared" si="32"/>
        <v>82660000</v>
      </c>
      <c r="EK12" s="1">
        <f t="shared" si="32"/>
        <v>83330000</v>
      </c>
      <c r="EL12" s="1">
        <f t="shared" si="32"/>
        <v>83330000</v>
      </c>
      <c r="EM12" s="1">
        <f t="shared" si="32"/>
        <v>81580000</v>
      </c>
      <c r="EN12" s="1">
        <f t="shared" si="32"/>
        <v>81600000</v>
      </c>
      <c r="EO12" s="1">
        <f t="shared" si="32"/>
        <v>81600000</v>
      </c>
      <c r="EP12" s="1">
        <f t="shared" si="32"/>
        <v>81600000</v>
      </c>
      <c r="EQ12" s="1">
        <f t="shared" si="32"/>
        <v>81600000</v>
      </c>
      <c r="ER12" s="1">
        <f t="shared" si="32"/>
        <v>81600000</v>
      </c>
      <c r="ES12" s="1">
        <f t="shared" si="32"/>
        <v>81600000</v>
      </c>
      <c r="ET12" s="1">
        <f t="shared" si="32"/>
        <v>81600000</v>
      </c>
      <c r="EU12" s="1">
        <f t="shared" si="32"/>
        <v>81600000</v>
      </c>
      <c r="EV12" s="1">
        <f t="shared" si="32"/>
        <v>73750000</v>
      </c>
      <c r="EW12" s="1">
        <f t="shared" si="32"/>
        <v>73750000</v>
      </c>
      <c r="EX12" s="1">
        <f t="shared" si="32"/>
        <v>73450000</v>
      </c>
      <c r="EY12" s="1">
        <f t="shared" si="33"/>
        <v>73450000</v>
      </c>
      <c r="EZ12" s="1">
        <f t="shared" si="33"/>
        <v>73450000</v>
      </c>
      <c r="FA12" s="1">
        <f t="shared" si="33"/>
        <v>73450000</v>
      </c>
      <c r="FB12" s="1">
        <f t="shared" si="33"/>
        <v>73450000</v>
      </c>
      <c r="FC12" s="1">
        <f t="shared" si="33"/>
        <v>73450000</v>
      </c>
      <c r="FD12" s="1">
        <f t="shared" si="33"/>
        <v>73450000</v>
      </c>
      <c r="FE12" s="1">
        <f t="shared" si="33"/>
        <v>73450000</v>
      </c>
      <c r="FF12" s="1">
        <f t="shared" si="33"/>
        <v>73450000</v>
      </c>
      <c r="FH12" s="162">
        <f t="shared" si="34"/>
        <v>8.3425885571874581E-2</v>
      </c>
    </row>
    <row r="13" spans="1:164" ht="18.75" customHeight="1">
      <c r="A13" s="244" t="s">
        <v>217</v>
      </c>
      <c r="B13" s="247"/>
      <c r="C13" s="228">
        <f t="shared" si="5"/>
        <v>0</v>
      </c>
      <c r="D13" s="229">
        <v>0</v>
      </c>
      <c r="E13" s="253">
        <f t="shared" si="6"/>
        <v>7.975346222613755E-2</v>
      </c>
      <c r="F13" s="254">
        <f t="shared" si="7"/>
        <v>5.1821036427255773E-2</v>
      </c>
      <c r="G13" s="253">
        <f t="shared" si="8"/>
        <v>3.5425602236873299E-2</v>
      </c>
      <c r="H13" s="254">
        <f t="shared" si="9"/>
        <v>4.4327859989264251E-2</v>
      </c>
      <c r="I13" s="253">
        <f t="shared" si="10"/>
        <v>0.13882347845101517</v>
      </c>
      <c r="J13" s="254">
        <f t="shared" si="11"/>
        <v>-0.33377782039032855</v>
      </c>
      <c r="K13" s="253">
        <f t="shared" si="12"/>
        <v>0.29914982114640587</v>
      </c>
      <c r="L13" s="254">
        <f t="shared" si="13"/>
        <v>-0.1603263426953907</v>
      </c>
      <c r="M13" s="255"/>
      <c r="N13" s="256">
        <v>0</v>
      </c>
      <c r="O13" s="253">
        <f t="shared" si="35"/>
        <v>0</v>
      </c>
      <c r="P13" s="257">
        <f t="shared" si="36"/>
        <v>0</v>
      </c>
      <c r="Q13" s="253">
        <f t="shared" si="14"/>
        <v>0</v>
      </c>
      <c r="R13" s="257">
        <f t="shared" si="37"/>
        <v>0</v>
      </c>
      <c r="S13" s="255"/>
      <c r="T13" s="256">
        <v>0</v>
      </c>
      <c r="U13" s="253">
        <f t="shared" si="15"/>
        <v>-0.44663348757359134</v>
      </c>
      <c r="V13" s="258">
        <f t="shared" si="16"/>
        <v>-0.44663348757359134</v>
      </c>
      <c r="W13" s="253">
        <f t="shared" si="38"/>
        <v>1.8562999243511209</v>
      </c>
      <c r="X13" s="258">
        <f t="shared" si="17"/>
        <v>1.8562999243511209</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2</v>
      </c>
      <c r="AQ13" s="28">
        <f>VLOOKUP($A13,historia!$A$5:$CM$24,+HLOOKUP(AQ$2,historia!$A$3:$EC$4,2,FALSE),FALSE)</f>
        <v>2</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4</v>
      </c>
      <c r="AZ13" s="58">
        <f>VLOOKUP($A13,historia!$A$5:$CM$24,+HLOOKUP(AZ$2,historia!$A$3:$EC$4,2,FALSE),FALSE)</f>
        <v>3</v>
      </c>
      <c r="BA13" s="58">
        <f>VLOOKUP($A13,historia!$A$5:$CM$24,+HLOOKUP(BA$2,historia!$A$3:$EC$4,2,FALSE),FALSE)</f>
        <v>3</v>
      </c>
      <c r="BB13" s="58"/>
      <c r="BC13" s="58"/>
      <c r="BD13" s="286">
        <v>3</v>
      </c>
      <c r="BE13" t="str">
        <f t="shared" si="20"/>
        <v>Hortalizas</v>
      </c>
      <c r="BF13">
        <f>+datos!BB1</f>
        <v>54</v>
      </c>
      <c r="BG13" s="2" t="str">
        <f t="shared" si="4"/>
        <v>$/kg</v>
      </c>
      <c r="BH13" s="2">
        <f t="shared" si="4"/>
        <v>11716.680855839462</v>
      </c>
      <c r="BI13" s="2">
        <f t="shared" si="4"/>
        <v>10851.255648380209</v>
      </c>
      <c r="BJ13" s="2">
        <f t="shared" si="4"/>
        <v>10288.408236697096</v>
      </c>
      <c r="BL13">
        <f>+datos!CO1</f>
        <v>93</v>
      </c>
      <c r="BM13" s="2">
        <f t="shared" si="21"/>
        <v>10552.559555437167</v>
      </c>
      <c r="BN13" s="2">
        <f t="shared" si="21"/>
        <v>10191.518862040914</v>
      </c>
      <c r="BO13" s="2">
        <f t="shared" si="21"/>
        <v>8122.6655953547343</v>
      </c>
      <c r="BQ13" s="1">
        <f>+datos!EX1</f>
        <v>154</v>
      </c>
      <c r="BR13" s="1">
        <f t="shared" si="22"/>
        <v>64395</v>
      </c>
      <c r="BS13" s="1">
        <f t="shared" si="22"/>
        <v>64395</v>
      </c>
      <c r="BU13" s="1">
        <f>+datos!GN1</f>
        <v>196</v>
      </c>
      <c r="BV13" s="1">
        <f t="shared" si="23"/>
        <v>2639386</v>
      </c>
      <c r="BW13" s="1">
        <f t="shared" si="23"/>
        <v>2639386</v>
      </c>
      <c r="BY13" s="1">
        <f>+datos!LR1</f>
        <v>330</v>
      </c>
      <c r="BZ13" s="1">
        <f t="shared" si="39"/>
        <v>44.241944679999996</v>
      </c>
      <c r="CA13" s="1">
        <f t="shared" si="40"/>
        <v>79.950527700000023</v>
      </c>
      <c r="CC13" s="1">
        <f>+datos!LV1</f>
        <v>334</v>
      </c>
      <c r="CD13" s="2">
        <f t="shared" si="24"/>
        <v>37.253990499999993</v>
      </c>
      <c r="CE13" s="2">
        <f t="shared" si="25"/>
        <v>13.042744630000001</v>
      </c>
      <c r="CG13" s="1">
        <f>+datos!IX1</f>
        <v>258</v>
      </c>
      <c r="CH13" s="1">
        <f t="shared" si="26"/>
        <v>0</v>
      </c>
      <c r="CI13" s="1">
        <f t="shared" si="27"/>
        <v>0</v>
      </c>
      <c r="CK13" s="1">
        <f t="shared" si="28"/>
        <v>6.6589734299999996</v>
      </c>
      <c r="CL13" s="1">
        <f t="shared" si="28"/>
        <v>4.7972503099999999</v>
      </c>
      <c r="CM13" s="1">
        <f t="shared" si="28"/>
        <v>3.6808061599999999</v>
      </c>
      <c r="CN13" s="1">
        <f t="shared" si="28"/>
        <v>1.7265838599999999</v>
      </c>
      <c r="CO13" s="1">
        <f t="shared" si="28"/>
        <v>1.1603474899999999</v>
      </c>
      <c r="CP13" s="1">
        <f t="shared" si="28"/>
        <v>1.6220564799999999</v>
      </c>
      <c r="CQ13" s="1">
        <f t="shared" si="28"/>
        <v>1.7022322700000001</v>
      </c>
      <c r="CR13" s="1">
        <f t="shared" si="28"/>
        <v>2.1800094999999997</v>
      </c>
      <c r="CS13" s="1">
        <f t="shared" si="28"/>
        <v>0.89152303000000011</v>
      </c>
      <c r="CT13" s="1">
        <f t="shared" si="28"/>
        <v>2.22092468</v>
      </c>
      <c r="CU13" s="1">
        <f t="shared" si="28"/>
        <v>5.6369490100000004</v>
      </c>
      <c r="CV13" s="1">
        <f t="shared" si="28"/>
        <v>11.964288460000001</v>
      </c>
      <c r="CW13" s="1">
        <f t="shared" si="28"/>
        <v>14.874595200000002</v>
      </c>
      <c r="CX13" s="1">
        <f t="shared" si="28"/>
        <v>12.356255849999998</v>
      </c>
      <c r="CY13" s="1">
        <f t="shared" si="28"/>
        <v>7.66143427</v>
      </c>
      <c r="CZ13" s="1">
        <f t="shared" si="28"/>
        <v>3.9700200400000001</v>
      </c>
      <c r="DA13" s="1">
        <f t="shared" si="29"/>
        <v>4.244482989999999</v>
      </c>
      <c r="DB13" s="1">
        <f t="shared" si="29"/>
        <v>3.7692072699999999</v>
      </c>
      <c r="DC13" s="1">
        <f t="shared" si="29"/>
        <v>4.3561451300000007</v>
      </c>
      <c r="DD13" s="1">
        <f t="shared" si="29"/>
        <v>2.35708815</v>
      </c>
      <c r="DE13" s="1">
        <f t="shared" si="29"/>
        <v>2.9990922500000003</v>
      </c>
      <c r="DF13" s="1">
        <f t="shared" si="29"/>
        <v>4.9654154400000001</v>
      </c>
      <c r="DG13" s="1">
        <f t="shared" si="29"/>
        <v>7.7556872599999993</v>
      </c>
      <c r="DH13" s="1">
        <f t="shared" si="29"/>
        <v>10.641103850000002</v>
      </c>
      <c r="DJ13" s="1">
        <f t="shared" si="30"/>
        <v>0.73139703</v>
      </c>
      <c r="DK13" s="1">
        <f t="shared" si="30"/>
        <v>0.52205221000000002</v>
      </c>
      <c r="DL13" s="1">
        <f t="shared" si="30"/>
        <v>0.27889262000000004</v>
      </c>
      <c r="DM13" s="1">
        <f t="shared" si="30"/>
        <v>0.43588088999999991</v>
      </c>
      <c r="DN13" s="1">
        <f t="shared" si="30"/>
        <v>0.25163443000000002</v>
      </c>
      <c r="DO13" s="1">
        <f t="shared" si="30"/>
        <v>1.8307121500000001</v>
      </c>
      <c r="DP13" s="1">
        <f t="shared" si="30"/>
        <v>4.7138590499999999</v>
      </c>
      <c r="DQ13" s="1">
        <f t="shared" si="30"/>
        <v>10.280953719999999</v>
      </c>
      <c r="DR13" s="1">
        <f t="shared" si="30"/>
        <v>10.078043539999999</v>
      </c>
      <c r="DS13" s="1">
        <f t="shared" si="30"/>
        <v>5.0525632100000006</v>
      </c>
      <c r="DT13" s="1">
        <f t="shared" si="30"/>
        <v>1.5134803299999999</v>
      </c>
      <c r="DU13" s="1">
        <f t="shared" si="30"/>
        <v>1.5645213200000003</v>
      </c>
      <c r="DV13" s="1">
        <f t="shared" si="30"/>
        <v>0.17069466</v>
      </c>
      <c r="DW13" s="1">
        <f t="shared" si="30"/>
        <v>5.8121779999999998E-2</v>
      </c>
      <c r="DX13" s="1">
        <f t="shared" si="30"/>
        <v>0.22874177000000001</v>
      </c>
      <c r="DY13" s="1">
        <f t="shared" si="30"/>
        <v>6.8422739999999996E-2</v>
      </c>
      <c r="DZ13" s="1">
        <f t="shared" si="31"/>
        <v>1.38860757</v>
      </c>
      <c r="EA13" s="1">
        <f t="shared" si="31"/>
        <v>1.9631409899999996</v>
      </c>
      <c r="EB13" s="1">
        <f t="shared" si="31"/>
        <v>1.5225679400000001</v>
      </c>
      <c r="EC13" s="1">
        <f t="shared" si="31"/>
        <v>1.3263511099999998</v>
      </c>
      <c r="ED13" s="1">
        <f t="shared" si="31"/>
        <v>2.5091586699999997</v>
      </c>
      <c r="EE13" s="1">
        <f t="shared" si="31"/>
        <v>1.6528733800000002</v>
      </c>
      <c r="EF13" s="1">
        <f t="shared" si="31"/>
        <v>0.42388491999999994</v>
      </c>
      <c r="EG13" s="1">
        <f t="shared" si="31"/>
        <v>1.7301791</v>
      </c>
      <c r="EI13" s="14">
        <f t="shared" si="32"/>
        <v>0</v>
      </c>
      <c r="EJ13" s="14">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2"/>
        <v>0</v>
      </c>
      <c r="EY13" s="1">
        <f t="shared" si="33"/>
        <v>0</v>
      </c>
      <c r="EZ13" s="1">
        <f t="shared" si="33"/>
        <v>0</v>
      </c>
      <c r="FA13" s="1">
        <f t="shared" si="33"/>
        <v>0</v>
      </c>
      <c r="FB13" s="1">
        <f t="shared" si="33"/>
        <v>0</v>
      </c>
      <c r="FC13" s="1">
        <f t="shared" si="33"/>
        <v>0</v>
      </c>
      <c r="FD13" s="1">
        <f t="shared" si="33"/>
        <v>0</v>
      </c>
      <c r="FE13" s="1">
        <f t="shared" si="33"/>
        <v>0</v>
      </c>
      <c r="FF13" s="1">
        <f t="shared" si="33"/>
        <v>0</v>
      </c>
      <c r="FH13" s="162">
        <f t="shared" si="34"/>
        <v>-0.1603263426953907</v>
      </c>
    </row>
    <row r="14" spans="1:164" ht="18.75" customHeight="1">
      <c r="A14" s="243" t="s">
        <v>65</v>
      </c>
      <c r="B14" s="246"/>
      <c r="C14" s="156">
        <f t="shared" si="5"/>
        <v>-0.33</v>
      </c>
      <c r="D14" s="198">
        <v>1</v>
      </c>
      <c r="E14" s="248">
        <f t="shared" si="6"/>
        <v>1.7367700931279595E-2</v>
      </c>
      <c r="F14" s="249">
        <f t="shared" si="7"/>
        <v>-1.0564724867602182E-2</v>
      </c>
      <c r="G14" s="248">
        <f t="shared" si="8"/>
        <v>6.3512447141391037E-2</v>
      </c>
      <c r="H14" s="249">
        <f t="shared" si="9"/>
        <v>-4.6144746210111443E-2</v>
      </c>
      <c r="I14" s="248">
        <f t="shared" si="10"/>
        <v>0.29909544340180916</v>
      </c>
      <c r="J14" s="249">
        <f t="shared" si="11"/>
        <v>-0.17350585543953456</v>
      </c>
      <c r="K14" s="248">
        <f t="shared" si="12"/>
        <v>0.45338105389095218</v>
      </c>
      <c r="L14" s="249">
        <f t="shared" si="13"/>
        <v>-0.15428561048914302</v>
      </c>
      <c r="M14" s="250"/>
      <c r="N14" s="24">
        <v>-1</v>
      </c>
      <c r="O14" s="248">
        <f t="shared" si="35"/>
        <v>-5.0000615145642802E-2</v>
      </c>
      <c r="P14" s="251">
        <f t="shared" si="36"/>
        <v>-5.0000615145642802E-2</v>
      </c>
      <c r="Q14" s="248">
        <f t="shared" si="14"/>
        <v>4.8849683855591852E-3</v>
      </c>
      <c r="R14" s="251">
        <f t="shared" si="37"/>
        <v>4.8849683855591852E-3</v>
      </c>
      <c r="S14" s="250"/>
      <c r="T14" s="24">
        <v>-1</v>
      </c>
      <c r="U14" s="248">
        <f t="shared" si="15"/>
        <v>4.5017752163781788E-2</v>
      </c>
      <c r="V14" s="252">
        <f t="shared" si="16"/>
        <v>4.5017752163781788E-2</v>
      </c>
      <c r="W14" s="248">
        <f t="shared" si="38"/>
        <v>-1.7138750467111552E-2</v>
      </c>
      <c r="X14" s="252">
        <f t="shared" si="17"/>
        <v>-1.7138750467111552E-2</v>
      </c>
      <c r="Y14" s="248">
        <f t="shared" si="18"/>
        <v>0.21692789968652026</v>
      </c>
      <c r="Z14" s="252">
        <f t="shared" si="19"/>
        <v>0.21692789968652026</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4</v>
      </c>
      <c r="AR14" s="28">
        <f>VLOOKUP($A14,historia!$A$5:$CM$24,+HLOOKUP(AR$2,historia!$A$3:$EC$4,2,FALSE),FALSE)</f>
        <v>4</v>
      </c>
      <c r="AS14" s="28">
        <f>VLOOKUP($A14,historia!$A$5:$CM$24,+HLOOKUP(AS$2,historia!$A$3:$EC$4,2,FALSE),FALSE)</f>
        <v>4</v>
      </c>
      <c r="AT14" s="58">
        <f>VLOOKUP($A14,historia!$A$5:$CM$24,+HLOOKUP(AT$2,historia!$A$3:$EC$4,2,FALSE),FALSE)</f>
        <v>4</v>
      </c>
      <c r="AU14" s="58">
        <f>VLOOKUP($A14,historia!$A$5:$CM$24,+HLOOKUP(AU$2,historia!$A$3:$EC$4,2,FALSE),FALSE)</f>
        <v>4</v>
      </c>
      <c r="AV14" s="58">
        <f>VLOOKUP($A14,historia!$A$5:$CM$24,+HLOOKUP(AV$2,historia!$A$3:$EC$4,2,FALSE),FALSE)</f>
        <v>4</v>
      </c>
      <c r="AW14" s="58">
        <f>VLOOKUP($A14,historia!$A$5:$CM$24,+HLOOKUP(AW$2,historia!$A$3:$EC$4,2,FALSE),FALSE)</f>
        <v>4</v>
      </c>
      <c r="AX14" s="58">
        <f>VLOOKUP($A14,historia!$A$5:$CM$24,+HLOOKUP(AX$2,historia!$A$3:$EC$4,2,FALSE),FALSE)</f>
        <v>3</v>
      </c>
      <c r="AY14" s="58">
        <f>VLOOKUP($A14,historia!$A$5:$CM$24,+HLOOKUP(AY$2,historia!$A$3:$EC$4,2,FALSE),FALSE)</f>
        <v>3</v>
      </c>
      <c r="AZ14" s="58">
        <f>VLOOKUP($A14,historia!$A$5:$CM$24,+HLOOKUP(AZ$2,historia!$A$3:$EC$4,2,FALSE),FALSE)</f>
        <v>3</v>
      </c>
      <c r="BA14" s="58">
        <f>VLOOKUP($A14,historia!$A$5:$CM$24,+HLOOKUP(BA$2,historia!$A$3:$EC$4,2,FALSE),FALSE)</f>
        <v>3</v>
      </c>
      <c r="BB14" s="58"/>
      <c r="BC14" s="58"/>
      <c r="BD14" s="286">
        <v>3</v>
      </c>
      <c r="BE14" t="str">
        <f t="shared" si="20"/>
        <v>Leche</v>
      </c>
      <c r="BF14">
        <f>+datos!BN1</f>
        <v>66</v>
      </c>
      <c r="BG14" s="2" t="str">
        <f t="shared" si="4"/>
        <v>$/l</v>
      </c>
      <c r="BH14" s="2">
        <f t="shared" si="4"/>
        <v>461.01</v>
      </c>
      <c r="BI14" s="2">
        <f t="shared" si="4"/>
        <v>453.14</v>
      </c>
      <c r="BJ14" s="2">
        <f t="shared" si="4"/>
        <v>354.87</v>
      </c>
      <c r="BL14">
        <f>+datos!DC1</f>
        <v>107</v>
      </c>
      <c r="BM14" s="2">
        <f t="shared" si="21"/>
        <v>11091.164885000075</v>
      </c>
      <c r="BN14" s="2">
        <f t="shared" si="21"/>
        <v>10428.805901437217</v>
      </c>
      <c r="BO14" s="2">
        <f t="shared" si="21"/>
        <v>7631.2848962129447</v>
      </c>
      <c r="BQ14" s="1">
        <f>+datos!EN1</f>
        <v>144</v>
      </c>
      <c r="BR14" s="1">
        <f t="shared" si="22"/>
        <v>3011480</v>
      </c>
      <c r="BS14" s="1">
        <f t="shared" si="22"/>
        <v>3169981</v>
      </c>
      <c r="BU14" s="1">
        <f>+datos!HP1</f>
        <v>224</v>
      </c>
      <c r="BV14" s="1">
        <f t="shared" si="23"/>
        <v>10877.183481900924</v>
      </c>
      <c r="BW14" s="1">
        <f t="shared" si="23"/>
        <v>10824.307084</v>
      </c>
      <c r="BY14" s="1">
        <f>+datos!KH1</f>
        <v>294</v>
      </c>
      <c r="BZ14" s="1">
        <f t="shared" si="39"/>
        <v>1588.5489677200003</v>
      </c>
      <c r="CA14" s="1">
        <f t="shared" si="40"/>
        <v>1520.1167295300002</v>
      </c>
      <c r="CC14" s="1">
        <f>+datos!LM1</f>
        <v>325</v>
      </c>
      <c r="CD14" s="2">
        <f t="shared" si="24"/>
        <v>22.389192419999997</v>
      </c>
      <c r="CE14" s="2">
        <f t="shared" si="25"/>
        <v>22.779606410000003</v>
      </c>
      <c r="CG14" s="1">
        <f>+datos!IN1</f>
        <v>248</v>
      </c>
      <c r="CH14" s="1">
        <f t="shared" si="26"/>
        <v>194.1</v>
      </c>
      <c r="CI14" s="1">
        <f t="shared" si="27"/>
        <v>159.5</v>
      </c>
      <c r="CK14" s="1">
        <f t="shared" si="28"/>
        <v>121.87302321000003</v>
      </c>
      <c r="CL14" s="1">
        <f t="shared" si="28"/>
        <v>90.118424640000015</v>
      </c>
      <c r="CM14" s="1">
        <f t="shared" si="28"/>
        <v>158.22857195999995</v>
      </c>
      <c r="CN14" s="1">
        <f t="shared" si="28"/>
        <v>133.12937443000001</v>
      </c>
      <c r="CO14" s="1">
        <f t="shared" si="28"/>
        <v>150.81206259999999</v>
      </c>
      <c r="CP14" s="1">
        <f t="shared" si="28"/>
        <v>173.78517034999999</v>
      </c>
      <c r="CQ14" s="1">
        <f t="shared" si="28"/>
        <v>162.27196751000002</v>
      </c>
      <c r="CR14" s="1">
        <f t="shared" si="28"/>
        <v>136.36151781000004</v>
      </c>
      <c r="CS14" s="1">
        <f t="shared" si="28"/>
        <v>114.33182424</v>
      </c>
      <c r="CT14" s="1">
        <f t="shared" si="28"/>
        <v>131.64359017999999</v>
      </c>
      <c r="CU14" s="1">
        <f t="shared" si="28"/>
        <v>102.41564730000002</v>
      </c>
      <c r="CV14" s="1">
        <f t="shared" si="28"/>
        <v>113.57779348999999</v>
      </c>
      <c r="CW14" s="1">
        <f t="shared" si="28"/>
        <v>118.3786056</v>
      </c>
      <c r="CX14" s="1">
        <f t="shared" si="28"/>
        <v>126.46519539000002</v>
      </c>
      <c r="CY14" s="1">
        <f t="shared" si="28"/>
        <v>140.50614890000003</v>
      </c>
      <c r="CZ14" s="1">
        <f t="shared" si="28"/>
        <v>139.44218023000002</v>
      </c>
      <c r="DA14" s="1">
        <f t="shared" si="29"/>
        <v>153.04661877999999</v>
      </c>
      <c r="DB14" s="1">
        <f t="shared" si="29"/>
        <v>136.81239812999999</v>
      </c>
      <c r="DC14" s="1">
        <f t="shared" si="29"/>
        <v>134.16752365000002</v>
      </c>
      <c r="DD14" s="1">
        <f t="shared" si="29"/>
        <v>114.82793965999997</v>
      </c>
      <c r="DE14" s="1">
        <f t="shared" si="29"/>
        <v>120.47507141999999</v>
      </c>
      <c r="DF14" s="1">
        <f t="shared" si="29"/>
        <v>118.84770241</v>
      </c>
      <c r="DG14" s="1">
        <f t="shared" si="29"/>
        <v>100.85116919999999</v>
      </c>
      <c r="DH14" s="1">
        <f t="shared" si="29"/>
        <v>116.29617616</v>
      </c>
      <c r="DJ14" s="1">
        <f t="shared" si="30"/>
        <v>1.8496573299999999</v>
      </c>
      <c r="DK14" s="1">
        <f t="shared" si="30"/>
        <v>2.6840408</v>
      </c>
      <c r="DL14" s="1">
        <f t="shared" si="30"/>
        <v>2.90139879</v>
      </c>
      <c r="DM14" s="1">
        <f t="shared" si="30"/>
        <v>2.9139955600000005</v>
      </c>
      <c r="DN14" s="1">
        <f t="shared" si="30"/>
        <v>1.6254967600000001</v>
      </c>
      <c r="DO14" s="1">
        <f t="shared" si="30"/>
        <v>2.6289957100000003</v>
      </c>
      <c r="DP14" s="1">
        <f t="shared" si="30"/>
        <v>0.92402921999999987</v>
      </c>
      <c r="DQ14" s="1">
        <f t="shared" si="30"/>
        <v>1.0080099199999999</v>
      </c>
      <c r="DR14" s="1">
        <f t="shared" si="30"/>
        <v>0.81005326000000022</v>
      </c>
      <c r="DS14" s="1">
        <f t="shared" si="30"/>
        <v>2.5429137699999997</v>
      </c>
      <c r="DT14" s="1">
        <f t="shared" si="30"/>
        <v>0.83472519000000012</v>
      </c>
      <c r="DU14" s="1">
        <f t="shared" si="30"/>
        <v>1.6658761100000001</v>
      </c>
      <c r="DV14" s="1">
        <f t="shared" si="30"/>
        <v>1.6724867599999997</v>
      </c>
      <c r="DW14" s="1">
        <f t="shared" si="30"/>
        <v>1.92660527</v>
      </c>
      <c r="DX14" s="1">
        <f t="shared" si="30"/>
        <v>0.38991597</v>
      </c>
      <c r="DY14" s="1">
        <f t="shared" si="30"/>
        <v>3.0425877200000002</v>
      </c>
      <c r="DZ14" s="1">
        <f t="shared" si="31"/>
        <v>1.8227840799999999</v>
      </c>
      <c r="EA14" s="1">
        <f t="shared" si="31"/>
        <v>2.1288867499999999</v>
      </c>
      <c r="EB14" s="1">
        <f t="shared" si="31"/>
        <v>2.0947676</v>
      </c>
      <c r="EC14" s="1">
        <f t="shared" si="31"/>
        <v>1.2699740900000001</v>
      </c>
      <c r="ED14" s="1">
        <f t="shared" si="31"/>
        <v>1.3202370399999999</v>
      </c>
      <c r="EE14" s="1">
        <f t="shared" si="31"/>
        <v>2.29115132</v>
      </c>
      <c r="EF14" s="1">
        <f t="shared" si="31"/>
        <v>1.8108909100000001</v>
      </c>
      <c r="EG14" s="1">
        <f t="shared" si="31"/>
        <v>3.0093188999999998</v>
      </c>
      <c r="EI14" s="14">
        <f t="shared" si="32"/>
        <v>194.1</v>
      </c>
      <c r="EJ14" s="14">
        <f t="shared" si="32"/>
        <v>191</v>
      </c>
      <c r="EK14" s="1">
        <f t="shared" si="32"/>
        <v>181.1</v>
      </c>
      <c r="EL14" s="1">
        <f t="shared" si="32"/>
        <v>170.3</v>
      </c>
      <c r="EM14" s="1">
        <f t="shared" si="32"/>
        <v>170.9</v>
      </c>
      <c r="EN14" s="1">
        <f t="shared" si="32"/>
        <v>168.7</v>
      </c>
      <c r="EO14" s="1">
        <f t="shared" si="32"/>
        <v>160.6</v>
      </c>
      <c r="EP14" s="1">
        <f t="shared" si="32"/>
        <v>160.6</v>
      </c>
      <c r="EQ14" s="1">
        <f t="shared" si="32"/>
        <v>160.6</v>
      </c>
      <c r="ER14" s="1">
        <f t="shared" si="32"/>
        <v>160.6</v>
      </c>
      <c r="ES14" s="1">
        <f t="shared" si="32"/>
        <v>156.30000000000001</v>
      </c>
      <c r="ET14" s="1">
        <f t="shared" si="32"/>
        <v>155.80000000000001</v>
      </c>
      <c r="EU14" s="1">
        <f t="shared" si="32"/>
        <v>159.5</v>
      </c>
      <c r="EV14" s="1">
        <f t="shared" si="32"/>
        <v>170.8</v>
      </c>
      <c r="EW14" s="1">
        <f t="shared" si="32"/>
        <v>170.8</v>
      </c>
      <c r="EX14" s="1">
        <f t="shared" si="32"/>
        <v>187.7</v>
      </c>
      <c r="EY14" s="1">
        <f t="shared" si="33"/>
        <v>196.8</v>
      </c>
      <c r="EZ14" s="1">
        <f t="shared" si="33"/>
        <v>196.8</v>
      </c>
      <c r="FA14" s="1">
        <f t="shared" si="33"/>
        <v>188.6</v>
      </c>
      <c r="FB14" s="1">
        <f t="shared" si="33"/>
        <v>188.6</v>
      </c>
      <c r="FC14" s="1">
        <f t="shared" si="33"/>
        <v>188.6</v>
      </c>
      <c r="FD14" s="1">
        <f t="shared" si="33"/>
        <v>188.6</v>
      </c>
      <c r="FE14" s="1">
        <f t="shared" si="33"/>
        <v>188.6</v>
      </c>
      <c r="FF14" s="1">
        <f t="shared" si="33"/>
        <v>188.6</v>
      </c>
      <c r="FH14" s="162">
        <f t="shared" si="34"/>
        <v>-0.15428561048914302</v>
      </c>
    </row>
    <row r="15" spans="1:164" ht="18.75" customHeight="1">
      <c r="A15" s="244" t="s">
        <v>68</v>
      </c>
      <c r="B15" s="247"/>
      <c r="C15" s="228">
        <v>0</v>
      </c>
      <c r="D15" s="229">
        <v>-1</v>
      </c>
      <c r="E15" s="253">
        <f t="shared" si="6"/>
        <v>1.3605442176870763E-2</v>
      </c>
      <c r="F15" s="254">
        <f t="shared" si="7"/>
        <v>-1.4326983622011014E-2</v>
      </c>
      <c r="G15" s="253">
        <f t="shared" si="8"/>
        <v>2.5106483384268907E-2</v>
      </c>
      <c r="H15" s="254">
        <f t="shared" si="9"/>
        <v>-1.1501041207398144E-2</v>
      </c>
      <c r="I15" s="253">
        <f t="shared" si="10"/>
        <v>0.15829782333294951</v>
      </c>
      <c r="J15" s="254">
        <f t="shared" si="11"/>
        <v>-0.31430347550839421</v>
      </c>
      <c r="K15" s="253">
        <f t="shared" si="12"/>
        <v>0.41079704328578659</v>
      </c>
      <c r="L15" s="254">
        <f t="shared" si="13"/>
        <v>-0.25249921995283708</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-0.67099534246797421</v>
      </c>
      <c r="X15" s="258">
        <f t="shared" si="17"/>
        <v>-0.67099534246797421</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4</v>
      </c>
      <c r="AQ15" s="28">
        <f>VLOOKUP($A15,historia!$A$5:$CM$24,+HLOOKUP(AQ$2,historia!$A$3:$EC$4,2,FALSE),FALSE)</f>
        <v>4</v>
      </c>
      <c r="AR15" s="28">
        <f>VLOOKUP($A15,historia!$A$5:$CM$24,+HLOOKUP(AR$2,historia!$A$3:$EC$4,2,FALSE),FALSE)</f>
        <v>5</v>
      </c>
      <c r="AS15" s="28">
        <f>VLOOKUP($A15,historia!$A$5:$CM$24,+HLOOKUP(AS$2,historia!$A$3:$EC$4,2,FALSE),FALSE)</f>
        <v>5</v>
      </c>
      <c r="AT15" s="58">
        <f>VLOOKUP($A15,historia!$A$5:$CM$24,+HLOOKUP(AT$2,historia!$A$3:$EC$4,2,FALSE),FALSE)</f>
        <v>5</v>
      </c>
      <c r="AU15" s="58">
        <f>VLOOKUP($A15,historia!$A$5:$CM$24,+HLOOKUP(AU$2,historia!$A$3:$EC$4,2,FALSE),FALSE)</f>
        <v>5</v>
      </c>
      <c r="AV15" s="58">
        <f>VLOOKUP($A15,historia!$A$5:$CM$24,+HLOOKUP(AV$2,historia!$A$3:$EC$4,2,FALSE),FALSE)</f>
        <v>5</v>
      </c>
      <c r="AW15" s="58">
        <f>VLOOKUP($A15,historia!$A$5:$CM$24,+HLOOKUP(AW$2,historia!$A$3:$EC$4,2,FALSE),FALSE)</f>
        <v>5</v>
      </c>
      <c r="AX15" s="58">
        <f>VLOOKUP($A15,historia!$A$5:$CM$24,+HLOOKUP(AX$2,historia!$A$3:$EC$4,2,FALSE),FALSE)</f>
        <v>5</v>
      </c>
      <c r="AY15" s="58">
        <f>VLOOKUP($A15,historia!$A$5:$CM$24,+HLOOKUP(AY$2,historia!$A$3:$EC$4,2,FALSE),FALSE)</f>
        <v>5</v>
      </c>
      <c r="AZ15" s="58">
        <f>VLOOKUP($A15,historia!$A$5:$CM$24,+HLOOKUP(AZ$2,historia!$A$3:$EC$4,2,FALSE),FALSE)</f>
        <v>4</v>
      </c>
      <c r="BA15" s="58">
        <f>VLOOKUP($A15,historia!$A$5:$CM$24,+HLOOKUP(BA$2,historia!$A$3:$EC$4,2,FALSE),FALSE)</f>
        <v>4</v>
      </c>
      <c r="BB15" s="58"/>
      <c r="BC15" s="58"/>
      <c r="BD15" s="286">
        <v>4</v>
      </c>
      <c r="BE15" t="str">
        <f t="shared" si="20"/>
        <v>Mandioca</v>
      </c>
      <c r="BF15">
        <f>+datos!AW1</f>
        <v>49</v>
      </c>
      <c r="BG15" s="2" t="str">
        <f t="shared" si="4"/>
        <v>$/bolsa40kg</v>
      </c>
      <c r="BH15" s="2">
        <f t="shared" si="4"/>
        <v>11763.157894736842</v>
      </c>
      <c r="BI15" s="2">
        <f t="shared" si="4"/>
        <v>11605.263157894737</v>
      </c>
      <c r="BJ15" s="2">
        <f t="shared" si="4"/>
        <v>10155.555555555555</v>
      </c>
      <c r="BL15">
        <f>+datos!CJ1</f>
        <v>88</v>
      </c>
      <c r="BM15" s="2">
        <f t="shared" si="21"/>
        <v>9588.6677916827284</v>
      </c>
      <c r="BN15" s="2">
        <f t="shared" si="21"/>
        <v>9353.8261118268074</v>
      </c>
      <c r="BO15" s="2">
        <f t="shared" si="21"/>
        <v>6796.6316185001688</v>
      </c>
      <c r="BQ15" s="1">
        <f>+datos!EY1</f>
        <v>155</v>
      </c>
      <c r="BR15" s="1">
        <f t="shared" si="22"/>
        <v>20031</v>
      </c>
      <c r="BS15" s="1">
        <f t="shared" si="22"/>
        <v>20031</v>
      </c>
      <c r="BU15" s="1">
        <f>+datos!GO1</f>
        <v>197</v>
      </c>
      <c r="BV15" s="1">
        <f t="shared" si="23"/>
        <v>201734</v>
      </c>
      <c r="BW15" s="1">
        <f t="shared" si="23"/>
        <v>201734</v>
      </c>
      <c r="BY15" s="1">
        <f>+datos!JP1</f>
        <v>276</v>
      </c>
      <c r="BZ15" s="1">
        <f t="shared" si="39"/>
        <v>0</v>
      </c>
      <c r="CA15" s="1">
        <f t="shared" si="40"/>
        <v>0</v>
      </c>
      <c r="CC15" s="1">
        <f>+datos!KU1</f>
        <v>307</v>
      </c>
      <c r="CD15" s="2">
        <f t="shared" si="24"/>
        <v>1.8622234899999999</v>
      </c>
      <c r="CE15" s="2">
        <f t="shared" si="25"/>
        <v>5.66017364</v>
      </c>
      <c r="CG15" s="1">
        <f>+datos!IY1</f>
        <v>259</v>
      </c>
      <c r="CH15" s="1">
        <f t="shared" si="26"/>
        <v>1.88</v>
      </c>
      <c r="CI15" s="1">
        <f t="shared" si="27"/>
        <v>1.88</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8"/>
        <v>0</v>
      </c>
      <c r="DA15" s="1">
        <f t="shared" si="29"/>
        <v>0</v>
      </c>
      <c r="DB15" s="1">
        <f t="shared" si="29"/>
        <v>0</v>
      </c>
      <c r="DC15" s="1">
        <f t="shared" si="29"/>
        <v>0</v>
      </c>
      <c r="DD15" s="1">
        <f t="shared" si="29"/>
        <v>0</v>
      </c>
      <c r="DE15" s="1">
        <f t="shared" si="29"/>
        <v>0</v>
      </c>
      <c r="DF15" s="1">
        <f t="shared" si="29"/>
        <v>0</v>
      </c>
      <c r="DG15" s="1">
        <f t="shared" si="29"/>
        <v>0</v>
      </c>
      <c r="DH15" s="1">
        <f t="shared" si="29"/>
        <v>0</v>
      </c>
      <c r="DJ15" s="14">
        <f t="shared" si="30"/>
        <v>0.28762799999999999</v>
      </c>
      <c r="DK15" s="14">
        <f t="shared" si="30"/>
        <v>0.10344400999999999</v>
      </c>
      <c r="DL15" s="1">
        <f t="shared" si="30"/>
        <v>4.4833160000000004E-2</v>
      </c>
      <c r="DM15" s="1">
        <f t="shared" si="30"/>
        <v>0.14172798</v>
      </c>
      <c r="DN15" s="1">
        <f t="shared" si="30"/>
        <v>7.4560410000000008E-2</v>
      </c>
      <c r="DO15" s="1">
        <f t="shared" si="30"/>
        <v>0.28059129999999999</v>
      </c>
      <c r="DP15" s="1">
        <f t="shared" si="30"/>
        <v>0.15169276000000001</v>
      </c>
      <c r="DQ15" s="1">
        <f t="shared" si="30"/>
        <v>0.14711371000000001</v>
      </c>
      <c r="DR15" s="1">
        <f t="shared" si="30"/>
        <v>0.18175015000000003</v>
      </c>
      <c r="DS15" s="1">
        <f t="shared" si="30"/>
        <v>0.15569543999999999</v>
      </c>
      <c r="DT15" s="1">
        <f t="shared" si="30"/>
        <v>0.1712014</v>
      </c>
      <c r="DU15" s="1">
        <f t="shared" si="30"/>
        <v>0.12198517</v>
      </c>
      <c r="DV15" s="1">
        <f t="shared" si="30"/>
        <v>1.6812999999999999E-3</v>
      </c>
      <c r="DW15" s="1">
        <f t="shared" si="30"/>
        <v>2.8195380000000003E-2</v>
      </c>
      <c r="DX15" s="1">
        <f t="shared" si="30"/>
        <v>4.9277770000000005E-2</v>
      </c>
      <c r="DY15" s="1">
        <f t="shared" si="30"/>
        <v>0.21358802999999996</v>
      </c>
      <c r="DZ15" s="1">
        <f t="shared" si="31"/>
        <v>0.24099903000000003</v>
      </c>
      <c r="EA15" s="1">
        <f t="shared" si="31"/>
        <v>0.39667624000000001</v>
      </c>
      <c r="EB15" s="1">
        <f t="shared" si="31"/>
        <v>0.47948613000000001</v>
      </c>
      <c r="EC15" s="1">
        <f t="shared" si="31"/>
        <v>0.13955175</v>
      </c>
      <c r="ED15" s="1">
        <f t="shared" si="31"/>
        <v>0.88368341000000006</v>
      </c>
      <c r="EE15" s="1">
        <f t="shared" si="31"/>
        <v>0.91695114999999994</v>
      </c>
      <c r="EF15" s="1">
        <f t="shared" si="31"/>
        <v>1.1944894100000001</v>
      </c>
      <c r="EG15" s="1">
        <f t="shared" si="31"/>
        <v>1.11559404</v>
      </c>
      <c r="EI15" s="14">
        <f t="shared" si="32"/>
        <v>1.88</v>
      </c>
      <c r="EJ15" s="14">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2"/>
        <v>1.88</v>
      </c>
      <c r="EY15" s="1">
        <f t="shared" si="33"/>
        <v>1.88</v>
      </c>
      <c r="EZ15" s="1">
        <f t="shared" si="33"/>
        <v>1.88</v>
      </c>
      <c r="FA15" s="1">
        <f t="shared" si="33"/>
        <v>1.88</v>
      </c>
      <c r="FB15" s="1">
        <f t="shared" si="33"/>
        <v>1.88</v>
      </c>
      <c r="FC15" s="1">
        <f t="shared" si="33"/>
        <v>1.88</v>
      </c>
      <c r="FD15" s="1">
        <f t="shared" si="33"/>
        <v>1.88</v>
      </c>
      <c r="FE15" s="1">
        <f t="shared" si="33"/>
        <v>1.88</v>
      </c>
      <c r="FF15" s="1">
        <f t="shared" si="33"/>
        <v>1.88</v>
      </c>
      <c r="FH15" s="162">
        <f t="shared" si="34"/>
        <v>-0.25249921995283708</v>
      </c>
    </row>
    <row r="16" spans="1:164" ht="18.75" customHeight="1">
      <c r="A16" s="243" t="s">
        <v>25</v>
      </c>
      <c r="B16" s="246"/>
      <c r="C16" s="156">
        <f t="shared" si="5"/>
        <v>-0.66</v>
      </c>
      <c r="D16" s="198">
        <v>-1</v>
      </c>
      <c r="E16" s="248">
        <f t="shared" si="6"/>
        <v>-6.7839962275914933E-2</v>
      </c>
      <c r="F16" s="249">
        <f t="shared" si="7"/>
        <v>-9.577238807479671E-2</v>
      </c>
      <c r="G16" s="248">
        <f t="shared" si="8"/>
        <v>-2.887857357550272E-2</v>
      </c>
      <c r="H16" s="249">
        <f t="shared" si="9"/>
        <v>-3.8961388700412214E-2</v>
      </c>
      <c r="I16" s="248">
        <f t="shared" si="10"/>
        <v>6.6334458046444666E-2</v>
      </c>
      <c r="J16" s="249">
        <f t="shared" si="11"/>
        <v>-0.40626684079489905</v>
      </c>
      <c r="K16" s="248">
        <f t="shared" si="12"/>
        <v>0.16440531146422965</v>
      </c>
      <c r="L16" s="249">
        <f t="shared" si="13"/>
        <v>-9.8070853417784987E-2</v>
      </c>
      <c r="M16" s="250"/>
      <c r="N16" s="24">
        <v>1</v>
      </c>
      <c r="O16" s="248">
        <f t="shared" si="35"/>
        <v>0.25148262863454107</v>
      </c>
      <c r="P16" s="251">
        <f t="shared" si="36"/>
        <v>0.25148262863454107</v>
      </c>
      <c r="Q16" s="248">
        <f t="shared" si="14"/>
        <v>0.18097153276393052</v>
      </c>
      <c r="R16" s="251">
        <f t="shared" si="37"/>
        <v>0.18097153276393052</v>
      </c>
      <c r="S16" s="250"/>
      <c r="T16" s="24">
        <v>-2</v>
      </c>
      <c r="U16" s="248">
        <f t="shared" si="15"/>
        <v>0.29948439912180547</v>
      </c>
      <c r="V16" s="252">
        <f t="shared" si="16"/>
        <v>0.29948439912180547</v>
      </c>
      <c r="W16" s="248"/>
      <c r="X16" s="252"/>
      <c r="Y16" s="248">
        <f t="shared" si="18"/>
        <v>0.10778443113772451</v>
      </c>
      <c r="Z16" s="252">
        <f t="shared" si="19"/>
        <v>0.10778443113772451</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3</v>
      </c>
      <c r="AQ16" s="28">
        <f>VLOOKUP($A16,historia!$A$5:$CM$24,+HLOOKUP(AQ$2,historia!$A$3:$EC$4,2,FALSE),FALSE)</f>
        <v>3</v>
      </c>
      <c r="AR16" s="28">
        <f>VLOOKUP($A16,historia!$A$5:$CM$24,+HLOOKUP(AR$2,historia!$A$3:$EC$4,2,FALSE),FALSE)</f>
        <v>4</v>
      </c>
      <c r="AS16" s="28">
        <f>VLOOKUP($A16,historia!$A$5:$CM$24,+HLOOKUP(AS$2,historia!$A$3:$EC$4,2,FALSE),FALSE)</f>
        <v>4</v>
      </c>
      <c r="AT16" s="58">
        <f>VLOOKUP($A16,historia!$A$5:$CM$24,+HLOOKUP(AT$2,historia!$A$3:$EC$4,2,FALSE),FALSE)</f>
        <v>4</v>
      </c>
      <c r="AU16" s="58">
        <f>VLOOKUP($A16,historia!$A$5:$CM$24,+HLOOKUP(AU$2,historia!$A$3:$EC$4,2,FALSE),FALSE)</f>
        <v>4</v>
      </c>
      <c r="AV16" s="58">
        <f>VLOOKUP($A16,historia!$A$5:$CM$24,+HLOOKUP(AV$2,historia!$A$3:$EC$4,2,FALSE),FALSE)</f>
        <v>4</v>
      </c>
      <c r="AW16" s="58">
        <f>VLOOKUP($A16,historia!$A$5:$CM$24,+HLOOKUP(AW$2,historia!$A$3:$EC$4,2,FALSE),FALSE)</f>
        <v>4</v>
      </c>
      <c r="AX16" s="58">
        <f>VLOOKUP($A16,historia!$A$5:$CM$24,+HLOOKUP(AX$2,historia!$A$3:$EC$4,2,FALSE),FALSE)</f>
        <v>2</v>
      </c>
      <c r="AY16" s="58">
        <f>VLOOKUP($A16,historia!$A$5:$CM$24,+HLOOKUP(AY$2,historia!$A$3:$EC$4,2,FALSE),FALSE)</f>
        <v>2</v>
      </c>
      <c r="AZ16" s="58">
        <f>VLOOKUP($A16,historia!$A$5:$CM$24,+HLOOKUP(AZ$2,historia!$A$3:$EC$4,2,FALSE),FALSE)</f>
        <v>3</v>
      </c>
      <c r="BA16" s="58">
        <f>VLOOKUP($A16,historia!$A$5:$CM$24,+HLOOKUP(BA$2,historia!$A$3:$EC$4,2,FALSE),FALSE)</f>
        <v>3</v>
      </c>
      <c r="BB16" s="58"/>
      <c r="BC16" s="58"/>
      <c r="BD16" s="286">
        <v>3</v>
      </c>
      <c r="BE16" t="str">
        <f t="shared" si="20"/>
        <v>Maní</v>
      </c>
      <c r="BF16">
        <f>+datos!AF1</f>
        <v>32</v>
      </c>
      <c r="BG16" s="2" t="str">
        <f t="shared" si="4"/>
        <v>$/t</v>
      </c>
      <c r="BH16" s="2">
        <f t="shared" si="4"/>
        <v>833482.62797999999</v>
      </c>
      <c r="BI16" s="2">
        <f t="shared" si="4"/>
        <v>894141.12840000005</v>
      </c>
      <c r="BJ16" s="2">
        <f t="shared" si="4"/>
        <v>781633.4</v>
      </c>
      <c r="BL16">
        <f>+datos!CH1</f>
        <v>86</v>
      </c>
      <c r="BM16" s="2">
        <f t="shared" si="21"/>
        <v>10905.580906715928</v>
      </c>
      <c r="BN16" s="2">
        <f t="shared" si="21"/>
        <v>11229.883936212187</v>
      </c>
      <c r="BO16" s="2">
        <f t="shared" si="21"/>
        <v>9365.7945385033108</v>
      </c>
      <c r="BQ16" s="1">
        <f>+datos!EB1</f>
        <v>132</v>
      </c>
      <c r="BR16" s="1">
        <f t="shared" si="22"/>
        <v>521230</v>
      </c>
      <c r="BS16" s="1">
        <f t="shared" si="22"/>
        <v>416490</v>
      </c>
      <c r="BU16" s="1">
        <f>+datos!FW1</f>
        <v>179</v>
      </c>
      <c r="BV16" s="1">
        <f t="shared" si="23"/>
        <v>1895131</v>
      </c>
      <c r="BW16" s="1">
        <f t="shared" si="23"/>
        <v>1604722</v>
      </c>
      <c r="BY16" s="1">
        <f>+datos!JK1</f>
        <v>271</v>
      </c>
      <c r="BZ16" s="1">
        <f t="shared" si="39"/>
        <v>1456.7398365600002</v>
      </c>
      <c r="CA16" s="1">
        <f t="shared" si="40"/>
        <v>1121.01371709</v>
      </c>
      <c r="CC16" s="1">
        <f>+datos!KP1</f>
        <v>302</v>
      </c>
      <c r="CD16" s="2">
        <f t="shared" si="24"/>
        <v>1.8160235700000003</v>
      </c>
      <c r="CE16" s="2">
        <f t="shared" si="25"/>
        <v>2.8534718899999998</v>
      </c>
      <c r="CG16" s="1">
        <f>+datos!IJ1</f>
        <v>244</v>
      </c>
      <c r="CH16" s="1">
        <f t="shared" si="26"/>
        <v>2.3888080854826579</v>
      </c>
      <c r="CI16" s="1">
        <f t="shared" si="27"/>
        <v>2.1563835150032644</v>
      </c>
      <c r="CK16" s="1">
        <f t="shared" si="28"/>
        <v>94.262180470000018</v>
      </c>
      <c r="CL16" s="1">
        <f t="shared" si="28"/>
        <v>104.16408064999997</v>
      </c>
      <c r="CM16" s="1">
        <f t="shared" si="28"/>
        <v>129.66034791999999</v>
      </c>
      <c r="CN16" s="1">
        <f t="shared" si="28"/>
        <v>100.29183523999998</v>
      </c>
      <c r="CO16" s="1">
        <f t="shared" si="28"/>
        <v>142.99991008000001</v>
      </c>
      <c r="CP16" s="1">
        <f t="shared" si="28"/>
        <v>153.43391492999999</v>
      </c>
      <c r="CQ16" s="1">
        <f t="shared" si="28"/>
        <v>142.09253510999997</v>
      </c>
      <c r="CR16" s="1">
        <f t="shared" si="28"/>
        <v>155.33708399000002</v>
      </c>
      <c r="CS16" s="1">
        <f t="shared" si="28"/>
        <v>156.99934678</v>
      </c>
      <c r="CT16" s="1">
        <f t="shared" si="28"/>
        <v>115.53726275000001</v>
      </c>
      <c r="CU16" s="1">
        <f t="shared" si="28"/>
        <v>98.487414479999984</v>
      </c>
      <c r="CV16" s="1">
        <f t="shared" si="28"/>
        <v>63.473924160000003</v>
      </c>
      <c r="CW16" s="1">
        <f t="shared" si="28"/>
        <v>65.127016839999982</v>
      </c>
      <c r="CX16" s="1">
        <f t="shared" si="28"/>
        <v>70.784594500000011</v>
      </c>
      <c r="CY16" s="1">
        <f t="shared" si="28"/>
        <v>111.62267066999999</v>
      </c>
      <c r="CZ16" s="1">
        <f t="shared" si="28"/>
        <v>100.80321882999999</v>
      </c>
      <c r="DA16" s="1">
        <f t="shared" si="29"/>
        <v>90.064767340000003</v>
      </c>
      <c r="DB16" s="1">
        <f t="shared" si="29"/>
        <v>96.183340330000021</v>
      </c>
      <c r="DC16" s="1">
        <f t="shared" si="29"/>
        <v>89.024842150000026</v>
      </c>
      <c r="DD16" s="1">
        <f t="shared" si="29"/>
        <v>102.74257099999998</v>
      </c>
      <c r="DE16" s="1">
        <f t="shared" si="29"/>
        <v>102.43695814</v>
      </c>
      <c r="DF16" s="1">
        <f t="shared" si="29"/>
        <v>100.03941109999997</v>
      </c>
      <c r="DG16" s="1">
        <f t="shared" si="29"/>
        <v>89.79279253</v>
      </c>
      <c r="DH16" s="1">
        <f t="shared" si="29"/>
        <v>102.39153366000001</v>
      </c>
      <c r="DJ16" s="1">
        <f t="shared" si="30"/>
        <v>1.0560452</v>
      </c>
      <c r="DK16" s="1">
        <f t="shared" si="30"/>
        <v>3.8992409999999998E-2</v>
      </c>
      <c r="DL16" s="1">
        <f t="shared" si="30"/>
        <v>0</v>
      </c>
      <c r="DM16" s="1">
        <f t="shared" si="30"/>
        <v>5.2225250000000001E-2</v>
      </c>
      <c r="DN16" s="1">
        <f t="shared" si="30"/>
        <v>0.22862400000000002</v>
      </c>
      <c r="DO16" s="1">
        <f t="shared" si="30"/>
        <v>2.6527899999999999E-3</v>
      </c>
      <c r="DP16" s="1">
        <f t="shared" si="30"/>
        <v>1.6271E-3</v>
      </c>
      <c r="DQ16" s="1">
        <f t="shared" si="30"/>
        <v>0.13444175</v>
      </c>
      <c r="DR16" s="1">
        <f t="shared" si="30"/>
        <v>4.2737620000000004E-2</v>
      </c>
      <c r="DS16" s="1">
        <f t="shared" si="30"/>
        <v>8.6628999999999998E-2</v>
      </c>
      <c r="DT16" s="1">
        <f t="shared" si="30"/>
        <v>8.4906640000000005E-2</v>
      </c>
      <c r="DU16" s="1">
        <f t="shared" si="30"/>
        <v>8.714181E-2</v>
      </c>
      <c r="DV16" s="1">
        <f t="shared" si="30"/>
        <v>0.111375</v>
      </c>
      <c r="DW16" s="1">
        <f t="shared" si="30"/>
        <v>0.12514284000000001</v>
      </c>
      <c r="DX16" s="1">
        <f t="shared" si="30"/>
        <v>0.69674917999999986</v>
      </c>
      <c r="DY16" s="1">
        <f t="shared" si="30"/>
        <v>0.79684906</v>
      </c>
      <c r="DZ16" s="1">
        <f t="shared" si="31"/>
        <v>0.24194792999999998</v>
      </c>
      <c r="EA16" s="1">
        <f t="shared" si="31"/>
        <v>0.11713932000000001</v>
      </c>
      <c r="EB16" s="1">
        <f t="shared" si="31"/>
        <v>0.45286999999999999</v>
      </c>
      <c r="EC16" s="1">
        <f t="shared" si="31"/>
        <v>5.563009E-2</v>
      </c>
      <c r="ED16" s="1">
        <f t="shared" si="31"/>
        <v>2.7416000000000002E-4</v>
      </c>
      <c r="EE16" s="1">
        <f t="shared" si="31"/>
        <v>0.12031510000000001</v>
      </c>
      <c r="EF16" s="1">
        <f t="shared" si="31"/>
        <v>0.13456720999999999</v>
      </c>
      <c r="EG16" s="1">
        <f t="shared" si="31"/>
        <v>6.1200000000000002E-4</v>
      </c>
      <c r="EI16" s="14">
        <f t="shared" si="32"/>
        <v>2.3888080854826579</v>
      </c>
      <c r="EJ16" s="14">
        <f t="shared" si="32"/>
        <v>2.1563835150032644</v>
      </c>
      <c r="EK16" s="1">
        <f t="shared" si="32"/>
        <v>2.1563835150032644</v>
      </c>
      <c r="EL16" s="1">
        <f t="shared" si="32"/>
        <v>2.1563835150032644</v>
      </c>
      <c r="EM16" s="1">
        <f t="shared" si="32"/>
        <v>2.1563835150032644</v>
      </c>
      <c r="EN16" s="1">
        <f t="shared" si="32"/>
        <v>2.1563835150032644</v>
      </c>
      <c r="EO16" s="1">
        <f t="shared" si="32"/>
        <v>2.1563835150032644</v>
      </c>
      <c r="EP16" s="1">
        <f t="shared" si="32"/>
        <v>2.1563835150032644</v>
      </c>
      <c r="EQ16" s="1">
        <f t="shared" si="32"/>
        <v>2.1563835150032644</v>
      </c>
      <c r="ER16" s="1">
        <f t="shared" si="32"/>
        <v>2.1563835150032644</v>
      </c>
      <c r="ES16" s="1">
        <f t="shared" si="32"/>
        <v>2.1563835150032644</v>
      </c>
      <c r="ET16" s="1">
        <f t="shared" si="32"/>
        <v>2.1563835150032644</v>
      </c>
      <c r="EU16" s="1">
        <f t="shared" si="32"/>
        <v>2.1563835150032644</v>
      </c>
      <c r="EV16" s="1">
        <f t="shared" si="32"/>
        <v>1.9885213252125911</v>
      </c>
      <c r="EW16" s="1">
        <f t="shared" si="32"/>
        <v>1.9885213252125911</v>
      </c>
      <c r="EX16" s="1">
        <f t="shared" si="32"/>
        <v>1.9885213252125911</v>
      </c>
      <c r="EY16" s="1">
        <f t="shared" si="33"/>
        <v>1.9885213252125911</v>
      </c>
      <c r="EZ16" s="1">
        <f t="shared" si="33"/>
        <v>1.9885213252125911</v>
      </c>
      <c r="FA16" s="1">
        <f t="shared" si="33"/>
        <v>1.9885213252125911</v>
      </c>
      <c r="FB16" s="1">
        <f t="shared" si="33"/>
        <v>1.9885213252125911</v>
      </c>
      <c r="FC16" s="1">
        <f t="shared" si="33"/>
        <v>1.9885213252125911</v>
      </c>
      <c r="FD16" s="1">
        <f t="shared" si="33"/>
        <v>1.9885213252125911</v>
      </c>
      <c r="FE16" s="1">
        <f t="shared" si="33"/>
        <v>1.9885213252125911</v>
      </c>
      <c r="FF16" s="1">
        <f t="shared" si="33"/>
        <v>1.9885213252125911</v>
      </c>
      <c r="FH16" s="162">
        <f t="shared" si="34"/>
        <v>-9.8070853417784987E-2</v>
      </c>
    </row>
    <row r="17" spans="1:164" ht="18.75" customHeight="1">
      <c r="A17" s="244" t="s">
        <v>76</v>
      </c>
      <c r="B17" s="247"/>
      <c r="C17" s="228">
        <f t="shared" si="5"/>
        <v>-0.99</v>
      </c>
      <c r="D17" s="229">
        <v>-1</v>
      </c>
      <c r="E17" s="253">
        <f t="shared" si="6"/>
        <v>-7.6544559868780837E-3</v>
      </c>
      <c r="F17" s="254">
        <f t="shared" si="7"/>
        <v>-3.5586881785759861E-2</v>
      </c>
      <c r="G17" s="253">
        <f t="shared" si="8"/>
        <v>2.3474444020151308E-2</v>
      </c>
      <c r="H17" s="254">
        <f t="shared" si="9"/>
        <v>-3.1128900007029392E-2</v>
      </c>
      <c r="I17" s="253">
        <f t="shared" si="10"/>
        <v>0.23301630434782616</v>
      </c>
      <c r="J17" s="254">
        <f t="shared" si="11"/>
        <v>-0.23958499449351756</v>
      </c>
      <c r="K17" s="253">
        <f t="shared" si="12"/>
        <v>0.4041583949705736</v>
      </c>
      <c r="L17" s="254">
        <f t="shared" si="13"/>
        <v>-0.17114209062274743</v>
      </c>
      <c r="M17" s="255"/>
      <c r="N17" s="256">
        <v>-1</v>
      </c>
      <c r="O17" s="253">
        <f>IFERROR(+BR17/BS17-1,"")</f>
        <v>0.14285714285714279</v>
      </c>
      <c r="P17" s="257">
        <f t="shared" si="36"/>
        <v>0.14285714285714279</v>
      </c>
      <c r="Q17" s="253">
        <f t="shared" si="14"/>
        <v>8.2297934975540166E-2</v>
      </c>
      <c r="R17" s="257">
        <f t="shared" si="37"/>
        <v>8.2297934975540166E-2</v>
      </c>
      <c r="S17" s="255"/>
      <c r="T17" s="256">
        <v>-1</v>
      </c>
      <c r="U17" s="253">
        <f t="shared" si="15"/>
        <v>0.11185963106819075</v>
      </c>
      <c r="V17" s="258">
        <f t="shared" si="16"/>
        <v>0.11185963106819075</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3</v>
      </c>
      <c r="AY17" s="58">
        <f>VLOOKUP($A17,historia!$A$5:$CM$24,+HLOOKUP(AY$2,historia!$A$3:$EC$4,2,FALSE),FALSE)</f>
        <v>3</v>
      </c>
      <c r="AZ17" s="58">
        <f>VLOOKUP($A17,historia!$A$5:$CM$24,+HLOOKUP(AZ$2,historia!$A$3:$EC$4,2,FALSE),FALSE)</f>
        <v>3</v>
      </c>
      <c r="BA17" s="58">
        <f>VLOOKUP($A17,historia!$A$5:$CM$24,+HLOOKUP(BA$2,historia!$A$3:$EC$4,2,FALSE),FALSE)</f>
        <v>3</v>
      </c>
      <c r="BB17" s="58"/>
      <c r="BC17" s="58"/>
      <c r="BD17" s="286">
        <v>3</v>
      </c>
      <c r="BE17" t="str">
        <f t="shared" si="20"/>
        <v>Miel</v>
      </c>
      <c r="BF17">
        <f>+datos!BV1</f>
        <v>74</v>
      </c>
      <c r="BG17" s="2" t="str">
        <f t="shared" si="4"/>
        <v>$/kg</v>
      </c>
      <c r="BH17" s="2">
        <f t="shared" si="4"/>
        <v>1815</v>
      </c>
      <c r="BI17" s="2">
        <f t="shared" si="4"/>
        <v>1829</v>
      </c>
      <c r="BJ17" s="2">
        <f t="shared" si="4"/>
        <v>1472</v>
      </c>
      <c r="BL17">
        <f>+datos!DH1</f>
        <v>112</v>
      </c>
      <c r="BM17" s="2">
        <f t="shared" si="21"/>
        <v>10194.403802892444</v>
      </c>
      <c r="BN17" s="2">
        <f t="shared" si="21"/>
        <v>9960.5846168951593</v>
      </c>
      <c r="BO17" s="2">
        <f t="shared" si="21"/>
        <v>7260.1523014831128</v>
      </c>
      <c r="BQ17" s="1">
        <f>+datos!EQ1</f>
        <v>147</v>
      </c>
      <c r="BR17" s="1">
        <f t="shared" si="22"/>
        <v>4000000</v>
      </c>
      <c r="BS17" s="1">
        <f t="shared" si="22"/>
        <v>3500000</v>
      </c>
      <c r="BU17" s="1">
        <f>+datos!GP1</f>
        <v>198</v>
      </c>
      <c r="BV17" s="1">
        <f t="shared" si="23"/>
        <v>75000</v>
      </c>
      <c r="BW17" s="1">
        <f t="shared" si="23"/>
        <v>69297</v>
      </c>
      <c r="BY17" s="1">
        <f>+datos!KE1</f>
        <v>291</v>
      </c>
      <c r="BZ17" s="1">
        <f t="shared" si="39"/>
        <v>216.74440731999999</v>
      </c>
      <c r="CA17" s="1">
        <f t="shared" si="40"/>
        <v>194.93864266999995</v>
      </c>
      <c r="CC17" s="1">
        <f>+datos!LJ1</f>
        <v>322</v>
      </c>
      <c r="CD17" s="2">
        <f t="shared" si="24"/>
        <v>3.9364400000000003E-3</v>
      </c>
      <c r="CE17" s="2">
        <f>+SUM(DV17:EG17)</f>
        <v>0.10017730000000001</v>
      </c>
      <c r="CG17" s="1">
        <f>+datos!IZ1</f>
        <v>260</v>
      </c>
      <c r="CH17" s="1">
        <f t="shared" si="26"/>
        <v>0.3</v>
      </c>
      <c r="CI17" s="1">
        <f t="shared" si="27"/>
        <v>0.3</v>
      </c>
      <c r="CK17" s="1">
        <f t="shared" si="28"/>
        <v>23.185079629999997</v>
      </c>
      <c r="CL17" s="1">
        <f t="shared" si="28"/>
        <v>18.014525360000007</v>
      </c>
      <c r="CM17" s="1">
        <f t="shared" si="28"/>
        <v>15.906782769999998</v>
      </c>
      <c r="CN17" s="1">
        <f t="shared" si="28"/>
        <v>9.6274282100000015</v>
      </c>
      <c r="CO17" s="1">
        <f t="shared" si="28"/>
        <v>12.184475789999999</v>
      </c>
      <c r="CP17" s="1">
        <f t="shared" si="28"/>
        <v>14.349162859999998</v>
      </c>
      <c r="CQ17" s="1">
        <f t="shared" si="28"/>
        <v>24.378519029999993</v>
      </c>
      <c r="CR17" s="1">
        <f t="shared" si="28"/>
        <v>22.211636389999995</v>
      </c>
      <c r="CS17" s="1">
        <f t="shared" si="28"/>
        <v>18.934177090000006</v>
      </c>
      <c r="CT17" s="1">
        <f t="shared" si="28"/>
        <v>18.049853030000005</v>
      </c>
      <c r="CU17" s="1">
        <f t="shared" si="28"/>
        <v>20.702965450000001</v>
      </c>
      <c r="CV17" s="1">
        <f t="shared" si="28"/>
        <v>19.199801710000003</v>
      </c>
      <c r="CW17" s="1">
        <f t="shared" si="28"/>
        <v>16.174522229999997</v>
      </c>
      <c r="CX17" s="1">
        <f t="shared" si="28"/>
        <v>22.082734950000003</v>
      </c>
      <c r="CY17" s="1">
        <f t="shared" si="28"/>
        <v>13.392344960000001</v>
      </c>
      <c r="CZ17" s="1">
        <f t="shared" si="28"/>
        <v>10.971998660000001</v>
      </c>
      <c r="DA17" s="1">
        <f t="shared" si="29"/>
        <v>12.805239539999999</v>
      </c>
      <c r="DB17" s="1">
        <f t="shared" si="29"/>
        <v>13.943876809999997</v>
      </c>
      <c r="DC17" s="1">
        <f t="shared" si="29"/>
        <v>17.891480939999997</v>
      </c>
      <c r="DD17" s="1">
        <f t="shared" si="29"/>
        <v>16.805607889999997</v>
      </c>
      <c r="DE17" s="1">
        <f t="shared" si="29"/>
        <v>21.325973759999997</v>
      </c>
      <c r="DF17" s="1">
        <f t="shared" si="29"/>
        <v>17.230385739999999</v>
      </c>
      <c r="DG17" s="1">
        <f t="shared" si="29"/>
        <v>14.837575590000002</v>
      </c>
      <c r="DH17" s="1">
        <f t="shared" si="29"/>
        <v>17.476901599999998</v>
      </c>
      <c r="DJ17" s="1">
        <f t="shared" si="30"/>
        <v>0</v>
      </c>
      <c r="DK17" s="1">
        <f t="shared" si="30"/>
        <v>0</v>
      </c>
      <c r="DL17" s="1">
        <f t="shared" si="30"/>
        <v>3.5298E-3</v>
      </c>
      <c r="DM17" s="1">
        <f t="shared" si="30"/>
        <v>0</v>
      </c>
      <c r="DN17" s="1">
        <f t="shared" si="30"/>
        <v>0</v>
      </c>
      <c r="DO17" s="1">
        <f t="shared" si="30"/>
        <v>0</v>
      </c>
      <c r="DP17" s="1">
        <f t="shared" si="30"/>
        <v>0</v>
      </c>
      <c r="DQ17" s="1">
        <f t="shared" si="30"/>
        <v>4.0664E-4</v>
      </c>
      <c r="DR17" s="1">
        <f t="shared" si="30"/>
        <v>0</v>
      </c>
      <c r="DS17" s="1">
        <f t="shared" si="30"/>
        <v>0</v>
      </c>
      <c r="DT17" s="1">
        <f t="shared" si="30"/>
        <v>0</v>
      </c>
      <c r="DU17" s="1">
        <f t="shared" si="30"/>
        <v>0</v>
      </c>
      <c r="DV17" s="1">
        <f t="shared" si="30"/>
        <v>0</v>
      </c>
      <c r="DW17" s="1">
        <f t="shared" si="30"/>
        <v>5.2539300000000004E-2</v>
      </c>
      <c r="DX17" s="1">
        <f t="shared" si="30"/>
        <v>0</v>
      </c>
      <c r="DY17" s="1">
        <f t="shared" si="30"/>
        <v>0</v>
      </c>
      <c r="DZ17" s="1">
        <f t="shared" si="31"/>
        <v>4.0599999999999997E-2</v>
      </c>
      <c r="EA17" s="1">
        <f t="shared" si="31"/>
        <v>0</v>
      </c>
      <c r="EB17" s="1">
        <f t="shared" si="31"/>
        <v>0</v>
      </c>
      <c r="EC17" s="1">
        <f t="shared" si="31"/>
        <v>0</v>
      </c>
      <c r="ED17" s="1">
        <f t="shared" si="31"/>
        <v>0</v>
      </c>
      <c r="EE17" s="1">
        <f t="shared" si="31"/>
        <v>0</v>
      </c>
      <c r="EF17" s="1">
        <f t="shared" si="31"/>
        <v>0</v>
      </c>
      <c r="EG17" s="1">
        <f t="shared" si="31"/>
        <v>7.038E-3</v>
      </c>
      <c r="EI17" s="14">
        <f t="shared" si="32"/>
        <v>0.3</v>
      </c>
      <c r="EJ17" s="14">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2"/>
        <v>0.3</v>
      </c>
      <c r="EY17" s="1">
        <f t="shared" si="33"/>
        <v>0.3</v>
      </c>
      <c r="EZ17" s="1">
        <f t="shared" si="33"/>
        <v>0.3</v>
      </c>
      <c r="FA17" s="1">
        <f t="shared" si="33"/>
        <v>0.3</v>
      </c>
      <c r="FB17" s="1">
        <f t="shared" si="33"/>
        <v>0.3</v>
      </c>
      <c r="FC17" s="1">
        <f t="shared" si="33"/>
        <v>0.3</v>
      </c>
      <c r="FD17" s="1">
        <f t="shared" si="33"/>
        <v>0.3</v>
      </c>
      <c r="FE17" s="1">
        <f t="shared" si="33"/>
        <v>0.3</v>
      </c>
      <c r="FF17" s="1">
        <f t="shared" si="33"/>
        <v>0.3</v>
      </c>
      <c r="FH17" s="162">
        <f t="shared" si="34"/>
        <v>-0.17114209062274743</v>
      </c>
    </row>
    <row r="18" spans="1:164" ht="18.75" customHeight="1">
      <c r="A18" s="243" t="s">
        <v>222</v>
      </c>
      <c r="B18" s="246"/>
      <c r="C18" s="156">
        <f t="shared" si="5"/>
        <v>-0.33</v>
      </c>
      <c r="D18" s="198">
        <v>1</v>
      </c>
      <c r="E18" s="248">
        <f t="shared" si="6"/>
        <v>7.9417213541741249E-2</v>
      </c>
      <c r="F18" s="249">
        <f t="shared" si="7"/>
        <v>5.1484787742859472E-2</v>
      </c>
      <c r="G18" s="248">
        <f t="shared" si="8"/>
        <v>3.2471134680353231E-2</v>
      </c>
      <c r="H18" s="249">
        <f t="shared" si="9"/>
        <v>4.6946078861388019E-2</v>
      </c>
      <c r="I18" s="253">
        <f t="shared" si="10"/>
        <v>0.92728582257247627</v>
      </c>
      <c r="J18" s="254">
        <f t="shared" si="11"/>
        <v>0.45468452373113255</v>
      </c>
      <c r="K18" s="248">
        <f t="shared" si="12"/>
        <v>0.54282343792296905</v>
      </c>
      <c r="L18" s="249">
        <f t="shared" si="13"/>
        <v>0.38446238464950722</v>
      </c>
      <c r="M18" s="250"/>
      <c r="N18" s="24">
        <v>-1</v>
      </c>
      <c r="O18" s="248">
        <f t="shared" si="35"/>
        <v>-1.3367265529213745E-2</v>
      </c>
      <c r="P18" s="251">
        <f t="shared" si="36"/>
        <v>-1.3367265529213745E-2</v>
      </c>
      <c r="Q18" s="248">
        <f t="shared" si="14"/>
        <v>1.7893488105964694E-2</v>
      </c>
      <c r="R18" s="251">
        <f t="shared" si="37"/>
        <v>1.7893488105964694E-2</v>
      </c>
      <c r="S18" s="250"/>
      <c r="T18" s="24">
        <v>-1</v>
      </c>
      <c r="U18" s="248">
        <f t="shared" si="15"/>
        <v>0.17517766134254331</v>
      </c>
      <c r="V18" s="252">
        <f t="shared" si="16"/>
        <v>0.17517766134254331</v>
      </c>
      <c r="W18" s="248">
        <f t="shared" si="38"/>
        <v>-0.43682362228258564</v>
      </c>
      <c r="X18" s="252">
        <f t="shared" si="17"/>
        <v>-0.43682362228258564</v>
      </c>
      <c r="Y18" s="248">
        <f t="shared" si="18"/>
        <v>0</v>
      </c>
      <c r="Z18" s="252">
        <f t="shared" si="19"/>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5</v>
      </c>
      <c r="AQ18" s="28">
        <f>VLOOKUP($A18,historia!$A$5:$CM$24,+HLOOKUP(AQ$2,historia!$A$3:$EC$4,2,FALSE),FALSE)</f>
        <v>5</v>
      </c>
      <c r="AR18" s="28">
        <f>VLOOKUP($A18,historia!$A$5:$CM$24,+HLOOKUP(AR$2,historia!$A$3:$EC$4,2,FALSE),FALSE)</f>
        <v>4</v>
      </c>
      <c r="AS18" s="28">
        <f>VLOOKUP($A18,historia!$A$5:$CM$24,+HLOOKUP(AS$2,historia!$A$3:$EC$4,2,FALSE),FALSE)</f>
        <v>4</v>
      </c>
      <c r="AT18" s="58">
        <f>VLOOKUP($A18,historia!$A$5:$CM$24,+HLOOKUP(AT$2,historia!$A$3:$EC$4,2,FALSE),FALSE)</f>
        <v>4</v>
      </c>
      <c r="AU18" s="58">
        <f>VLOOKUP($A18,historia!$A$5:$CM$24,+HLOOKUP(AU$2,historia!$A$3:$EC$4,2,FALSE),FALSE)</f>
        <v>4</v>
      </c>
      <c r="AV18" s="58">
        <f>VLOOKUP($A18,historia!$A$5:$CM$24,+HLOOKUP(AV$2,historia!$A$3:$EC$4,2,FALSE),FALSE)</f>
        <v>4</v>
      </c>
      <c r="AW18" s="58">
        <f>VLOOKUP($A18,historia!$A$5:$CM$24,+HLOOKUP(AW$2,historia!$A$3:$EC$4,2,FALSE),FALSE)</f>
        <v>4</v>
      </c>
      <c r="AX18" s="58">
        <f>VLOOKUP($A18,historia!$A$5:$CM$24,+HLOOKUP(AX$2,historia!$A$3:$EC$4,2,FALSE),FALSE)</f>
        <v>3</v>
      </c>
      <c r="AY18" s="58">
        <f>VLOOKUP($A18,historia!$A$5:$CM$24,+HLOOKUP(AY$2,historia!$A$3:$EC$4,2,FALSE),FALSE)</f>
        <v>2</v>
      </c>
      <c r="AZ18" s="58">
        <f>VLOOKUP($A18,historia!$A$5:$CM$24,+HLOOKUP(AZ$2,historia!$A$3:$EC$4,2,FALSE),FALSE)</f>
        <v>2</v>
      </c>
      <c r="BA18" s="58">
        <f>VLOOKUP($A18,historia!$A$5:$CM$24,+HLOOKUP(BA$2,historia!$A$3:$EC$4,2,FALSE),FALSE)</f>
        <v>2</v>
      </c>
      <c r="BB18" s="58"/>
      <c r="BC18" s="58"/>
      <c r="BD18" s="286">
        <v>2</v>
      </c>
      <c r="BE18" t="str">
        <f t="shared" si="20"/>
        <v>Ovino</v>
      </c>
      <c r="BF18">
        <f>+datos!BU1</f>
        <v>73</v>
      </c>
      <c r="BG18" s="2" t="str">
        <f t="shared" si="4"/>
        <v>$/kg</v>
      </c>
      <c r="BH18" s="2">
        <f t="shared" si="4"/>
        <v>85964.252099999998</v>
      </c>
      <c r="BI18" s="2">
        <f t="shared" si="4"/>
        <v>79639.504560000001</v>
      </c>
      <c r="BJ18" s="2">
        <f t="shared" si="4"/>
        <v>44603.79</v>
      </c>
      <c r="BL18">
        <f>+datos!DI1</f>
        <v>113</v>
      </c>
      <c r="BM18" s="2">
        <f t="shared" si="21"/>
        <v>10546.015012963209</v>
      </c>
      <c r="BN18" s="2">
        <f t="shared" si="21"/>
        <v>10214.343683543455</v>
      </c>
      <c r="BO18" s="2">
        <f t="shared" si="21"/>
        <v>6835.5294285396749</v>
      </c>
      <c r="BQ18" s="1">
        <f>+datos!EL1</f>
        <v>142</v>
      </c>
      <c r="BR18" s="1">
        <f t="shared" si="22"/>
        <v>12440906</v>
      </c>
      <c r="BS18" s="1">
        <f t="shared" si="22"/>
        <v>12609460</v>
      </c>
      <c r="BU18" s="1">
        <f>+datos!GS1</f>
        <v>201</v>
      </c>
      <c r="BV18" s="1">
        <f t="shared" si="23"/>
        <v>36398.1</v>
      </c>
      <c r="BW18" s="1">
        <f t="shared" si="23"/>
        <v>35758.26</v>
      </c>
      <c r="BY18" s="1">
        <f>+datos!KI1</f>
        <v>295</v>
      </c>
      <c r="BZ18" s="1">
        <f t="shared" si="39"/>
        <v>217.13308832999999</v>
      </c>
      <c r="CA18" s="1">
        <f t="shared" si="40"/>
        <v>184.76618087000003</v>
      </c>
      <c r="CC18" s="1">
        <f>+datos!LN1</f>
        <v>326</v>
      </c>
      <c r="CD18" s="2">
        <f t="shared" si="24"/>
        <v>2.4189056800000004</v>
      </c>
      <c r="CE18" s="2">
        <f t="shared" si="25"/>
        <v>4.2951121099999998</v>
      </c>
      <c r="CG18" s="1">
        <f>+datos!JA1</f>
        <v>261</v>
      </c>
      <c r="CH18" s="1">
        <f t="shared" si="26"/>
        <v>2813</v>
      </c>
      <c r="CI18" s="1">
        <f t="shared" si="27"/>
        <v>2813</v>
      </c>
      <c r="CK18" s="1">
        <f t="shared" si="28"/>
        <v>23.746863359999999</v>
      </c>
      <c r="CL18" s="1">
        <f t="shared" si="28"/>
        <v>18.662799830000001</v>
      </c>
      <c r="CM18" s="1">
        <f t="shared" si="28"/>
        <v>31.610464650000004</v>
      </c>
      <c r="CN18" s="1">
        <f t="shared" si="28"/>
        <v>14.881609229999999</v>
      </c>
      <c r="CO18" s="1">
        <f t="shared" si="28"/>
        <v>18.538380959999998</v>
      </c>
      <c r="CP18" s="1">
        <f t="shared" si="28"/>
        <v>15.79353798</v>
      </c>
      <c r="CQ18" s="1">
        <f t="shared" si="28"/>
        <v>15.390557059999999</v>
      </c>
      <c r="CR18" s="1">
        <f t="shared" si="28"/>
        <v>12.657815750000001</v>
      </c>
      <c r="CS18" s="1">
        <f t="shared" si="28"/>
        <v>13.430479930000001</v>
      </c>
      <c r="CT18" s="1">
        <f t="shared" si="28"/>
        <v>15.60716012</v>
      </c>
      <c r="CU18" s="1">
        <f t="shared" si="28"/>
        <v>19.03918719</v>
      </c>
      <c r="CV18" s="1">
        <f t="shared" si="28"/>
        <v>17.774232269999999</v>
      </c>
      <c r="CW18" s="1">
        <f t="shared" si="28"/>
        <v>22.502102959999998</v>
      </c>
      <c r="CX18" s="1">
        <f t="shared" si="28"/>
        <v>22.437193859999997</v>
      </c>
      <c r="CY18" s="1">
        <f t="shared" si="28"/>
        <v>15.322430800000003</v>
      </c>
      <c r="CZ18" s="1">
        <f t="shared" si="28"/>
        <v>16.644595240000001</v>
      </c>
      <c r="DA18" s="1">
        <f t="shared" si="29"/>
        <v>15.83663735</v>
      </c>
      <c r="DB18" s="1">
        <f t="shared" si="29"/>
        <v>13.412348609999999</v>
      </c>
      <c r="DC18" s="1">
        <f t="shared" si="29"/>
        <v>9.5091132299999988</v>
      </c>
      <c r="DD18" s="1">
        <f t="shared" si="29"/>
        <v>10.49137048</v>
      </c>
      <c r="DE18" s="1">
        <f t="shared" si="29"/>
        <v>12.745889309999999</v>
      </c>
      <c r="DF18" s="1">
        <f t="shared" si="29"/>
        <v>11.898747670000001</v>
      </c>
      <c r="DG18" s="1">
        <f t="shared" si="29"/>
        <v>12.26162961</v>
      </c>
      <c r="DH18" s="1">
        <f t="shared" si="29"/>
        <v>21.704121750000002</v>
      </c>
      <c r="DJ18" s="1">
        <f t="shared" si="30"/>
        <v>0.19639201000000001</v>
      </c>
      <c r="DK18" s="1">
        <f t="shared" si="30"/>
        <v>0.15047392000000001</v>
      </c>
      <c r="DL18" s="1">
        <f t="shared" si="30"/>
        <v>0.19393855000000002</v>
      </c>
      <c r="DM18" s="1">
        <f t="shared" si="30"/>
        <v>0.16347327</v>
      </c>
      <c r="DN18" s="1">
        <f t="shared" si="30"/>
        <v>0.18164933</v>
      </c>
      <c r="DO18" s="1">
        <f t="shared" si="30"/>
        <v>0.25055533999999996</v>
      </c>
      <c r="DP18" s="1">
        <f t="shared" si="30"/>
        <v>0.29342396000000004</v>
      </c>
      <c r="DQ18" s="1">
        <f t="shared" si="30"/>
        <v>0.26088905000000001</v>
      </c>
      <c r="DR18" s="1">
        <f t="shared" si="30"/>
        <v>0.18624962</v>
      </c>
      <c r="DS18" s="1">
        <f t="shared" si="30"/>
        <v>0.1577527</v>
      </c>
      <c r="DT18" s="1">
        <f t="shared" si="30"/>
        <v>0.24821200999999998</v>
      </c>
      <c r="DU18" s="1">
        <f t="shared" si="30"/>
        <v>0.13589592</v>
      </c>
      <c r="DV18" s="1">
        <f t="shared" si="30"/>
        <v>0.23010199000000001</v>
      </c>
      <c r="DW18" s="1">
        <f t="shared" si="30"/>
        <v>4.8750000000000002E-2</v>
      </c>
      <c r="DX18" s="1">
        <f t="shared" si="30"/>
        <v>0.31075020000000003</v>
      </c>
      <c r="DY18" s="1">
        <f t="shared" si="30"/>
        <v>0.90541722000000002</v>
      </c>
      <c r="DZ18" s="1">
        <f t="shared" si="31"/>
        <v>0.34283965</v>
      </c>
      <c r="EA18" s="1">
        <f t="shared" si="31"/>
        <v>0.74167351000000015</v>
      </c>
      <c r="EB18" s="1">
        <f t="shared" si="31"/>
        <v>0.58632921999999998</v>
      </c>
      <c r="EC18" s="1">
        <f t="shared" si="31"/>
        <v>0.29250390000000004</v>
      </c>
      <c r="ED18" s="1">
        <f t="shared" si="31"/>
        <v>0.46645720000000002</v>
      </c>
      <c r="EE18" s="1">
        <f t="shared" si="31"/>
        <v>8.1248630000000002E-2</v>
      </c>
      <c r="EF18" s="1">
        <f t="shared" si="31"/>
        <v>0.16069122999999999</v>
      </c>
      <c r="EG18" s="1">
        <f t="shared" si="31"/>
        <v>0.12834936</v>
      </c>
      <c r="EI18" s="14">
        <f t="shared" si="32"/>
        <v>2813</v>
      </c>
      <c r="EJ18" s="14">
        <f t="shared" si="32"/>
        <v>2813</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2"/>
        <v>2813</v>
      </c>
      <c r="EY18" s="1">
        <f t="shared" si="33"/>
        <v>2813</v>
      </c>
      <c r="EZ18" s="1">
        <f t="shared" si="33"/>
        <v>2813</v>
      </c>
      <c r="FA18" s="1">
        <f t="shared" si="33"/>
        <v>2813</v>
      </c>
      <c r="FB18" s="1">
        <f t="shared" si="33"/>
        <v>2813</v>
      </c>
      <c r="FC18" s="1">
        <f t="shared" si="33"/>
        <v>2813</v>
      </c>
      <c r="FD18" s="1">
        <f t="shared" si="33"/>
        <v>2813</v>
      </c>
      <c r="FE18" s="1">
        <f t="shared" si="33"/>
        <v>2813</v>
      </c>
      <c r="FF18" s="1">
        <f t="shared" si="33"/>
        <v>2813</v>
      </c>
      <c r="FH18" s="162">
        <f t="shared" si="34"/>
        <v>0.38446238464950722</v>
      </c>
    </row>
    <row r="19" spans="1:164" ht="18.75" customHeight="1">
      <c r="A19" s="244" t="s">
        <v>66</v>
      </c>
      <c r="B19" s="247"/>
      <c r="C19" s="228">
        <f t="shared" si="5"/>
        <v>0</v>
      </c>
      <c r="D19" s="229">
        <v>-1</v>
      </c>
      <c r="E19" s="253">
        <f t="shared" si="6"/>
        <v>-0.2690908902519894</v>
      </c>
      <c r="F19" s="254">
        <f t="shared" si="7"/>
        <v>-0.29702331605087118</v>
      </c>
      <c r="G19" s="253">
        <f t="shared" si="8"/>
        <v>-1.9759531577147493E-2</v>
      </c>
      <c r="H19" s="254">
        <f t="shared" si="9"/>
        <v>-0.24933135867484191</v>
      </c>
      <c r="I19" s="253">
        <f t="shared" si="10"/>
        <v>4.0887996989840802E-2</v>
      </c>
      <c r="J19" s="254">
        <f t="shared" si="11"/>
        <v>-0.43171330185150292</v>
      </c>
      <c r="K19" s="253">
        <f t="shared" si="12"/>
        <v>0.25238178105385556</v>
      </c>
      <c r="L19" s="254">
        <f t="shared" si="13"/>
        <v>-0.21149378406401476</v>
      </c>
      <c r="M19" s="255"/>
      <c r="N19" s="256">
        <v>0</v>
      </c>
      <c r="O19" s="253">
        <f t="shared" si="35"/>
        <v>9.6567571449088119E-2</v>
      </c>
      <c r="P19" s="257">
        <f t="shared" si="36"/>
        <v>9.6567571449088119E-2</v>
      </c>
      <c r="Q19" s="253">
        <f t="shared" si="14"/>
        <v>0</v>
      </c>
      <c r="R19" s="257">
        <v>-0.01</v>
      </c>
      <c r="S19" s="255"/>
      <c r="T19" s="256">
        <v>1</v>
      </c>
      <c r="U19" s="253">
        <f t="shared" si="15"/>
        <v>0.22683201208225712</v>
      </c>
      <c r="V19" s="258">
        <f t="shared" si="16"/>
        <v>0.22683201208225712</v>
      </c>
      <c r="W19" s="253">
        <f t="shared" si="38"/>
        <v>-0.21172621032148453</v>
      </c>
      <c r="X19" s="258">
        <f t="shared" si="17"/>
        <v>-0.21172621032148453</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4</v>
      </c>
      <c r="AQ19" s="28">
        <f>VLOOKUP($A19,historia!$A$5:$CM$24,+HLOOKUP(AQ$2,historia!$A$3:$EC$4,2,FALSE),FALSE)</f>
        <v>4</v>
      </c>
      <c r="AR19" s="28">
        <f>VLOOKUP($A19,historia!$A$5:$CM$24,+HLOOKUP(AR$2,historia!$A$3:$EC$4,2,FALSE),FALSE)</f>
        <v>3</v>
      </c>
      <c r="AS19" s="28">
        <f>VLOOKUP($A19,historia!$A$5:$CM$24,+HLOOKUP(AS$2,historia!$A$3:$EC$4,2,FALSE),FALSE)</f>
        <v>3</v>
      </c>
      <c r="AT19" s="58">
        <f>VLOOKUP($A19,historia!$A$5:$CM$24,+HLOOKUP(AT$2,historia!$A$3:$EC$4,2,FALSE),FALSE)</f>
        <v>3</v>
      </c>
      <c r="AU19" s="58">
        <f>VLOOKUP($A19,historia!$A$5:$CM$24,+HLOOKUP(AU$2,historia!$A$3:$EC$4,2,FALSE),FALSE)</f>
        <v>3</v>
      </c>
      <c r="AV19" s="58">
        <f>VLOOKUP($A19,historia!$A$5:$CM$24,+HLOOKUP(AV$2,historia!$A$3:$EC$4,2,FALSE),FALSE)</f>
        <v>3</v>
      </c>
      <c r="AW19" s="58">
        <f>VLOOKUP($A19,historia!$A$5:$CM$24,+HLOOKUP(AW$2,historia!$A$3:$EC$4,2,FALSE),FALSE)</f>
        <v>3</v>
      </c>
      <c r="AX19" s="58">
        <f>VLOOKUP($A19,historia!$A$5:$CM$24,+HLOOKUP(AX$2,historia!$A$3:$EC$4,2,FALSE),FALSE)</f>
        <v>4</v>
      </c>
      <c r="AY19" s="58">
        <f>VLOOKUP($A19,historia!$A$5:$CM$24,+HLOOKUP(AY$2,historia!$A$3:$EC$4,2,FALSE),FALSE)</f>
        <v>3</v>
      </c>
      <c r="AZ19" s="58">
        <f>VLOOKUP($A19,historia!$A$5:$CM$24,+HLOOKUP(AZ$2,historia!$A$3:$EC$4,2,FALSE),FALSE)</f>
        <v>3</v>
      </c>
      <c r="BA19" s="58">
        <f>VLOOKUP($A19,historia!$A$5:$CM$24,+HLOOKUP(BA$2,historia!$A$3:$EC$4,2,FALSE),FALSE)</f>
        <v>3</v>
      </c>
      <c r="BB19" s="58"/>
      <c r="BC19" s="58"/>
      <c r="BD19" s="286">
        <v>3</v>
      </c>
      <c r="BE19" t="str">
        <f t="shared" si="20"/>
        <v>Papa</v>
      </c>
      <c r="BF19">
        <f>+datos!AV1</f>
        <v>48</v>
      </c>
      <c r="BG19" s="2" t="str">
        <f t="shared" si="4"/>
        <v>$/bolsa 20kg</v>
      </c>
      <c r="BH19" s="2">
        <f t="shared" si="4"/>
        <v>6483.59375</v>
      </c>
      <c r="BI19" s="2">
        <f t="shared" si="4"/>
        <v>8870.5882352941171</v>
      </c>
      <c r="BJ19" s="2">
        <f t="shared" si="4"/>
        <v>6228.90625</v>
      </c>
      <c r="BL19">
        <f>+datos!CI1</f>
        <v>87</v>
      </c>
      <c r="BM19" s="2">
        <f t="shared" si="21"/>
        <v>10128.507880630868</v>
      </c>
      <c r="BN19" s="2">
        <f t="shared" si="21"/>
        <v>10332.67673280927</v>
      </c>
      <c r="BO19" s="2">
        <f t="shared" si="21"/>
        <v>8087.3963785291735</v>
      </c>
      <c r="BQ19" s="1">
        <f>+datos!EZ1</f>
        <v>156</v>
      </c>
      <c r="BR19" s="1">
        <f t="shared" si="22"/>
        <v>38177</v>
      </c>
      <c r="BS19" s="1">
        <f t="shared" si="22"/>
        <v>34815</v>
      </c>
      <c r="BU19" s="1">
        <f>+datos!GT1</f>
        <v>202</v>
      </c>
      <c r="BV19" s="1">
        <f t="shared" si="23"/>
        <v>2111561</v>
      </c>
      <c r="BW19" s="1">
        <f t="shared" si="23"/>
        <v>2111561</v>
      </c>
      <c r="BY19" s="1">
        <f>+datos!JO1</f>
        <v>275</v>
      </c>
      <c r="BZ19" s="1">
        <f t="shared" si="39"/>
        <v>403.74676064000005</v>
      </c>
      <c r="CA19" s="1">
        <f t="shared" si="40"/>
        <v>329.09702116000005</v>
      </c>
      <c r="CC19" s="1">
        <f>+datos!KT1</f>
        <v>306</v>
      </c>
      <c r="CD19" s="2">
        <f t="shared" si="24"/>
        <v>15.828086410000001</v>
      </c>
      <c r="CE19" s="2">
        <f t="shared" si="25"/>
        <v>20.079427500000001</v>
      </c>
      <c r="CG19" s="1">
        <f>+datos!JB1</f>
        <v>262</v>
      </c>
      <c r="CH19" s="1">
        <f t="shared" si="26"/>
        <v>35.950000000000003</v>
      </c>
      <c r="CI19" s="1">
        <f t="shared" si="27"/>
        <v>35.950000000000003</v>
      </c>
      <c r="CK19" s="1">
        <f t="shared" si="28"/>
        <v>33.403797109999999</v>
      </c>
      <c r="CL19" s="1">
        <f t="shared" si="28"/>
        <v>26.866894470000005</v>
      </c>
      <c r="CM19" s="1">
        <f t="shared" si="28"/>
        <v>30.959664470000003</v>
      </c>
      <c r="CN19" s="1">
        <f t="shared" si="28"/>
        <v>28.030286839999999</v>
      </c>
      <c r="CO19" s="1">
        <f t="shared" si="28"/>
        <v>35.227965569999995</v>
      </c>
      <c r="CP19" s="1">
        <f t="shared" si="28"/>
        <v>43.313690020000003</v>
      </c>
      <c r="CQ19" s="1">
        <f t="shared" si="28"/>
        <v>38.158354570000007</v>
      </c>
      <c r="CR19" s="1">
        <f t="shared" si="28"/>
        <v>36.879687310000008</v>
      </c>
      <c r="CS19" s="1">
        <f t="shared" si="28"/>
        <v>30.584450140000001</v>
      </c>
      <c r="CT19" s="1">
        <f t="shared" si="28"/>
        <v>34.87822036</v>
      </c>
      <c r="CU19" s="1">
        <f t="shared" si="28"/>
        <v>30.986019150000001</v>
      </c>
      <c r="CV19" s="1">
        <f t="shared" si="28"/>
        <v>34.45773063</v>
      </c>
      <c r="CW19" s="1">
        <f t="shared" si="28"/>
        <v>33.675059580000003</v>
      </c>
      <c r="CX19" s="1">
        <f t="shared" si="28"/>
        <v>28.924508010000004</v>
      </c>
      <c r="CY19" s="1">
        <f t="shared" si="28"/>
        <v>27.954086790000002</v>
      </c>
      <c r="CZ19" s="1">
        <f t="shared" si="28"/>
        <v>24.143815810000007</v>
      </c>
      <c r="DA19" s="1">
        <f t="shared" si="29"/>
        <v>26.000694290000002</v>
      </c>
      <c r="DB19" s="1">
        <f t="shared" si="29"/>
        <v>22.013274209999999</v>
      </c>
      <c r="DC19" s="1">
        <f t="shared" si="29"/>
        <v>23.44114875</v>
      </c>
      <c r="DD19" s="1">
        <f t="shared" si="29"/>
        <v>29.35689408</v>
      </c>
      <c r="DE19" s="1">
        <f t="shared" si="29"/>
        <v>26.11967611</v>
      </c>
      <c r="DF19" s="1">
        <f t="shared" si="29"/>
        <v>30.386509889999999</v>
      </c>
      <c r="DG19" s="1">
        <f t="shared" si="29"/>
        <v>26.2743097</v>
      </c>
      <c r="DH19" s="1">
        <f t="shared" si="29"/>
        <v>30.80704394</v>
      </c>
      <c r="DJ19" s="1">
        <f t="shared" si="30"/>
        <v>0.62052411000000007</v>
      </c>
      <c r="DK19" s="1">
        <f t="shared" si="30"/>
        <v>1.19924761</v>
      </c>
      <c r="DL19" s="1">
        <f t="shared" si="30"/>
        <v>0.86551083000000006</v>
      </c>
      <c r="DM19" s="1">
        <f t="shared" si="30"/>
        <v>0.79831189000000002</v>
      </c>
      <c r="DN19" s="1">
        <f t="shared" si="30"/>
        <v>1.1318278900000001</v>
      </c>
      <c r="DO19" s="1">
        <f t="shared" si="30"/>
        <v>1.8442369199999997</v>
      </c>
      <c r="DP19" s="1">
        <f t="shared" si="30"/>
        <v>1.0529063700000001</v>
      </c>
      <c r="DQ19" s="1">
        <f t="shared" si="30"/>
        <v>2.0286618900000004</v>
      </c>
      <c r="DR19" s="1">
        <f t="shared" si="30"/>
        <v>0.79104531999999994</v>
      </c>
      <c r="DS19" s="1">
        <f t="shared" si="30"/>
        <v>1.6294275100000002</v>
      </c>
      <c r="DT19" s="1">
        <f t="shared" si="30"/>
        <v>1.8725515799999999</v>
      </c>
      <c r="DU19" s="1">
        <f t="shared" si="30"/>
        <v>1.9938344900000002</v>
      </c>
      <c r="DV19" s="1">
        <f t="shared" si="30"/>
        <v>1.4070700599999999</v>
      </c>
      <c r="DW19" s="1">
        <f t="shared" si="30"/>
        <v>0.5838748800000001</v>
      </c>
      <c r="DX19" s="1">
        <f t="shared" si="30"/>
        <v>1.6300787399999999</v>
      </c>
      <c r="DY19" s="1">
        <f t="shared" si="30"/>
        <v>1.5496506000000003</v>
      </c>
      <c r="DZ19" s="1">
        <f t="shared" si="31"/>
        <v>2.1384397699999997</v>
      </c>
      <c r="EA19" s="1">
        <f t="shared" si="31"/>
        <v>2.7337765599999999</v>
      </c>
      <c r="EB19" s="1">
        <f t="shared" si="31"/>
        <v>1.0171737099999998</v>
      </c>
      <c r="EC19" s="1">
        <f t="shared" si="31"/>
        <v>1.9864389700000002</v>
      </c>
      <c r="ED19" s="1">
        <f t="shared" si="31"/>
        <v>2.8868213899999997</v>
      </c>
      <c r="EE19" s="1">
        <f t="shared" si="31"/>
        <v>1.3747401999999997</v>
      </c>
      <c r="EF19" s="1">
        <f t="shared" si="31"/>
        <v>1.6364950999999999</v>
      </c>
      <c r="EG19" s="1">
        <f t="shared" si="31"/>
        <v>1.1348675200000002</v>
      </c>
      <c r="EI19" s="14">
        <f t="shared" si="32"/>
        <v>35.950000000000003</v>
      </c>
      <c r="EJ19" s="14">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2"/>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F19" s="1">
        <f t="shared" si="33"/>
        <v>35.950000000000003</v>
      </c>
      <c r="FH19" s="162">
        <f t="shared" si="34"/>
        <v>-0.21149378406401476</v>
      </c>
    </row>
    <row r="20" spans="1:164" ht="28.8">
      <c r="A20" s="264" t="s">
        <v>218</v>
      </c>
      <c r="B20" s="246"/>
      <c r="C20" s="156">
        <f t="shared" si="5"/>
        <v>0</v>
      </c>
      <c r="D20" s="198">
        <v>-1</v>
      </c>
      <c r="E20" s="248">
        <f t="shared" si="6"/>
        <v>7.8937846599176353E-3</v>
      </c>
      <c r="F20" s="249">
        <f t="shared" si="7"/>
        <v>-2.0038641138964142E-2</v>
      </c>
      <c r="G20" s="248">
        <f t="shared" si="8"/>
        <v>1.8232635383835127E-2</v>
      </c>
      <c r="H20" s="249">
        <f t="shared" si="9"/>
        <v>-1.0338850723917492E-2</v>
      </c>
      <c r="I20" s="248">
        <f t="shared" si="10"/>
        <v>0.10112462280477663</v>
      </c>
      <c r="J20" s="249">
        <f t="shared" si="11"/>
        <v>-0.37147667603656709</v>
      </c>
      <c r="K20" s="248">
        <f t="shared" si="12"/>
        <v>0.35981369158106746</v>
      </c>
      <c r="L20" s="249">
        <f t="shared" si="13"/>
        <v>-0.25868906877629083</v>
      </c>
      <c r="M20" s="250"/>
      <c r="N20" s="24">
        <v>-1</v>
      </c>
      <c r="O20" s="248">
        <f t="shared" si="35"/>
        <v>0</v>
      </c>
      <c r="P20" s="251">
        <f t="shared" si="36"/>
        <v>0</v>
      </c>
      <c r="Q20" s="248">
        <f t="shared" si="14"/>
        <v>3.3643408163183564E-2</v>
      </c>
      <c r="R20" s="251">
        <f t="shared" si="37"/>
        <v>3.3643408163183564E-2</v>
      </c>
      <c r="S20" s="250"/>
      <c r="T20" s="24">
        <v>2</v>
      </c>
      <c r="U20" s="248">
        <f t="shared" si="15"/>
        <v>0.1209186886188045</v>
      </c>
      <c r="V20" s="252">
        <f t="shared" si="16"/>
        <v>0.1209186886188045</v>
      </c>
      <c r="W20" s="248">
        <f t="shared" si="38"/>
        <v>-0.45024675649284718</v>
      </c>
      <c r="X20" s="252">
        <f t="shared" si="17"/>
        <v>-0.45024675649284718</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4</v>
      </c>
      <c r="AQ20" s="28">
        <f>VLOOKUP($A20,historia!$A$5:$CM$24,+HLOOKUP(AQ$2,historia!$A$3:$EC$4,2,FALSE),FALSE)</f>
        <v>4</v>
      </c>
      <c r="AR20" s="28">
        <f>VLOOKUP($A20,historia!$A$5:$CM$24,+HLOOKUP(AR$2,historia!$A$3:$EC$4,2,FALSE),FALSE)</f>
        <v>3</v>
      </c>
      <c r="AS20" s="28">
        <f>VLOOKUP($A20,historia!$A$5:$CM$24,+HLOOKUP(AS$2,historia!$A$3:$EC$4,2,FALSE),FALSE)</f>
        <v>3</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3</v>
      </c>
      <c r="AY20" s="58">
        <f>VLOOKUP($A20,historia!$A$5:$CM$24,+HLOOKUP(AY$2,historia!$A$3:$EC$4,2,FALSE),FALSE)</f>
        <v>4</v>
      </c>
      <c r="AZ20" s="58">
        <f>VLOOKUP($A20,historia!$A$5:$CM$24,+HLOOKUP(AZ$2,historia!$A$3:$EC$4,2,FALSE),FALSE)</f>
        <v>4</v>
      </c>
      <c r="BA20" s="58">
        <f>VLOOKUP($A20,historia!$A$5:$CM$24,+HLOOKUP(BA$2,historia!$A$3:$EC$4,2,FALSE),FALSE)</f>
        <v>4</v>
      </c>
      <c r="BB20" s="58"/>
      <c r="BC20" s="58"/>
      <c r="BD20" s="286">
        <v>4</v>
      </c>
      <c r="BE20" t="str">
        <f t="shared" si="20"/>
        <v>Peras y Manzanas</v>
      </c>
      <c r="BF20">
        <f>+datos!AP1</f>
        <v>42</v>
      </c>
      <c r="BG20" s="2" t="str">
        <f t="shared" si="4"/>
        <v>$/caja 18kg</v>
      </c>
      <c r="BH20" s="2">
        <f t="shared" si="4"/>
        <v>14367.578947368422</v>
      </c>
      <c r="BI20" s="2">
        <f t="shared" si="4"/>
        <v>14255.052631578947</v>
      </c>
      <c r="BJ20" s="2">
        <f t="shared" si="4"/>
        <v>13048.095238095239</v>
      </c>
      <c r="BL20">
        <f>+datos!CS1</f>
        <v>97</v>
      </c>
      <c r="BM20" s="2">
        <f t="shared" si="21"/>
        <v>9935.7402078797313</v>
      </c>
      <c r="BN20" s="2">
        <f t="shared" si="21"/>
        <v>9757.8292647576891</v>
      </c>
      <c r="BO20" s="2">
        <f t="shared" si="21"/>
        <v>7306.6922839461622</v>
      </c>
      <c r="BQ20" s="1">
        <f>+datos!FC1</f>
        <v>159</v>
      </c>
      <c r="BR20" s="1">
        <f t="shared" si="22"/>
        <v>38084</v>
      </c>
      <c r="BS20" s="1">
        <f t="shared" si="22"/>
        <v>38084</v>
      </c>
      <c r="BU20" s="1">
        <f>+datos!GW1</f>
        <v>205</v>
      </c>
      <c r="BV20" s="1">
        <f t="shared" si="23"/>
        <v>774601</v>
      </c>
      <c r="BW20" s="1">
        <f t="shared" si="23"/>
        <v>749389</v>
      </c>
      <c r="BY20" s="1">
        <f>+datos!LS1</f>
        <v>331</v>
      </c>
      <c r="BZ20" s="1">
        <f t="shared" si="39"/>
        <v>418.25313325000002</v>
      </c>
      <c r="CA20" s="1">
        <f t="shared" si="40"/>
        <v>373.13423131999997</v>
      </c>
      <c r="CC20" s="1">
        <f>+datos!LW1</f>
        <v>335</v>
      </c>
      <c r="CD20" s="2">
        <f t="shared" si="24"/>
        <v>2.9799818600000001</v>
      </c>
      <c r="CE20" s="2">
        <f t="shared" si="25"/>
        <v>5.4205807699999999</v>
      </c>
      <c r="CG20" s="1">
        <f>+datos!JC1</f>
        <v>263</v>
      </c>
      <c r="CH20" s="1">
        <f t="shared" si="26"/>
        <v>0</v>
      </c>
      <c r="CI20" s="1">
        <f t="shared" si="27"/>
        <v>0</v>
      </c>
      <c r="CK20" s="1">
        <f t="shared" si="28"/>
        <v>51.150985829999996</v>
      </c>
      <c r="CL20" s="1">
        <f t="shared" si="28"/>
        <v>59.173949850000007</v>
      </c>
      <c r="CM20" s="1">
        <f t="shared" si="28"/>
        <v>46.396857000000011</v>
      </c>
      <c r="CN20" s="1">
        <f t="shared" si="28"/>
        <v>23.934850630000003</v>
      </c>
      <c r="CO20" s="1">
        <f t="shared" si="28"/>
        <v>23.934850630000003</v>
      </c>
      <c r="CP20" s="1">
        <f t="shared" si="28"/>
        <v>23.934850630000003</v>
      </c>
      <c r="CQ20" s="1">
        <f t="shared" si="28"/>
        <v>25.188374430000003</v>
      </c>
      <c r="CR20" s="1">
        <f t="shared" si="28"/>
        <v>22.303018159999997</v>
      </c>
      <c r="CS20" s="1">
        <f t="shared" si="28"/>
        <v>14.93334776</v>
      </c>
      <c r="CT20" s="1">
        <f t="shared" si="28"/>
        <v>35.336569390000001</v>
      </c>
      <c r="CU20" s="1">
        <f t="shared" si="28"/>
        <v>46.662709379999995</v>
      </c>
      <c r="CV20" s="1">
        <f t="shared" si="28"/>
        <v>45.302769560000002</v>
      </c>
      <c r="CW20" s="1">
        <f t="shared" si="28"/>
        <v>46.856289650000001</v>
      </c>
      <c r="CX20" s="1">
        <f t="shared" si="28"/>
        <v>60.076282149999997</v>
      </c>
      <c r="CY20" s="1">
        <f t="shared" si="28"/>
        <v>42.744570039999999</v>
      </c>
      <c r="CZ20" s="1">
        <f t="shared" si="28"/>
        <v>11.509203560000001</v>
      </c>
      <c r="DA20" s="1">
        <f t="shared" si="29"/>
        <v>11.753879789999999</v>
      </c>
      <c r="DB20" s="1">
        <f t="shared" si="29"/>
        <v>15.619426270000002</v>
      </c>
      <c r="DC20" s="1">
        <f t="shared" si="29"/>
        <v>16.880359240000001</v>
      </c>
      <c r="DD20" s="1">
        <f t="shared" si="29"/>
        <v>24.204094699999999</v>
      </c>
      <c r="DE20" s="1">
        <f t="shared" si="29"/>
        <v>25.300599699999999</v>
      </c>
      <c r="DF20" s="1">
        <f t="shared" si="29"/>
        <v>48.042350899999995</v>
      </c>
      <c r="DG20" s="1">
        <f t="shared" si="29"/>
        <v>30.317151650000003</v>
      </c>
      <c r="DH20" s="1">
        <f t="shared" si="29"/>
        <v>39.830023670000003</v>
      </c>
      <c r="DJ20" s="1">
        <f t="shared" si="30"/>
        <v>0.43323378000000001</v>
      </c>
      <c r="DK20" s="1">
        <f t="shared" si="30"/>
        <v>0.20107160000000002</v>
      </c>
      <c r="DL20" s="1">
        <f t="shared" si="30"/>
        <v>4.7323499999999998E-2</v>
      </c>
      <c r="DM20" s="1">
        <f t="shared" si="30"/>
        <v>0.18245199000000001</v>
      </c>
      <c r="DN20" s="1">
        <f t="shared" si="30"/>
        <v>6.8745290000000001E-2</v>
      </c>
      <c r="DO20" s="1">
        <f t="shared" si="30"/>
        <v>0.21798748000000001</v>
      </c>
      <c r="DP20" s="1">
        <f t="shared" si="30"/>
        <v>7.9820000000000002E-2</v>
      </c>
      <c r="DQ20" s="1">
        <f t="shared" si="30"/>
        <v>0.14837025000000001</v>
      </c>
      <c r="DR20" s="1">
        <f t="shared" si="30"/>
        <v>0.3865221499999999</v>
      </c>
      <c r="DS20" s="1">
        <f t="shared" si="30"/>
        <v>0.51794252000000007</v>
      </c>
      <c r="DT20" s="1">
        <f t="shared" si="30"/>
        <v>0.37362660000000003</v>
      </c>
      <c r="DU20" s="1">
        <f t="shared" si="30"/>
        <v>0.32288670000000003</v>
      </c>
      <c r="DV20" s="1">
        <f t="shared" si="30"/>
        <v>0.29487440000000004</v>
      </c>
      <c r="DW20" s="1">
        <f t="shared" si="30"/>
        <v>7.78142E-2</v>
      </c>
      <c r="DX20" s="1">
        <f t="shared" si="30"/>
        <v>0.12479459999999999</v>
      </c>
      <c r="DY20" s="1">
        <f t="shared" si="30"/>
        <v>8.4911199999999992E-2</v>
      </c>
      <c r="DZ20" s="1">
        <f t="shared" si="31"/>
        <v>0.22142464000000001</v>
      </c>
      <c r="EA20" s="1">
        <f t="shared" si="31"/>
        <v>1.01853964</v>
      </c>
      <c r="EB20" s="1">
        <f t="shared" si="31"/>
        <v>0.30728509999999998</v>
      </c>
      <c r="EC20" s="1">
        <f t="shared" si="31"/>
        <v>0.37410640000000001</v>
      </c>
      <c r="ED20" s="1">
        <f t="shared" si="31"/>
        <v>0.35746821000000001</v>
      </c>
      <c r="EE20" s="1">
        <f t="shared" si="31"/>
        <v>0.95829101000000005</v>
      </c>
      <c r="EF20" s="1">
        <f t="shared" si="31"/>
        <v>0.34636184000000003</v>
      </c>
      <c r="EG20" s="1">
        <f t="shared" si="31"/>
        <v>1.2547095300000002</v>
      </c>
      <c r="EI20" s="14">
        <f t="shared" si="32"/>
        <v>0</v>
      </c>
      <c r="EJ20" s="14">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2"/>
        <v>0</v>
      </c>
      <c r="EY20" s="1">
        <f t="shared" si="33"/>
        <v>0</v>
      </c>
      <c r="EZ20" s="1">
        <f t="shared" si="33"/>
        <v>0</v>
      </c>
      <c r="FA20" s="1">
        <f t="shared" si="33"/>
        <v>0</v>
      </c>
      <c r="FB20" s="1">
        <f t="shared" si="33"/>
        <v>0</v>
      </c>
      <c r="FC20" s="1">
        <f t="shared" si="33"/>
        <v>0</v>
      </c>
      <c r="FD20" s="1">
        <f t="shared" si="33"/>
        <v>0</v>
      </c>
      <c r="FE20" s="1">
        <f t="shared" si="33"/>
        <v>0</v>
      </c>
      <c r="FF20" s="1">
        <f t="shared" si="33"/>
        <v>0</v>
      </c>
      <c r="FH20" s="162">
        <f t="shared" si="34"/>
        <v>-0.25868906877629083</v>
      </c>
    </row>
    <row r="21" spans="1:164" ht="18.75" customHeight="1">
      <c r="A21" s="244" t="s">
        <v>121</v>
      </c>
      <c r="B21" s="247"/>
      <c r="C21" s="228">
        <f t="shared" si="5"/>
        <v>0</v>
      </c>
      <c r="D21" s="229">
        <v>-2</v>
      </c>
      <c r="E21" s="253">
        <f t="shared" si="6"/>
        <v>-2.610740742991613E-3</v>
      </c>
      <c r="F21" s="254">
        <f t="shared" si="7"/>
        <v>-3.054316654187339E-2</v>
      </c>
      <c r="G21" s="253">
        <f t="shared" si="8"/>
        <v>6.2927455590937376E-2</v>
      </c>
      <c r="H21" s="254">
        <f t="shared" si="9"/>
        <v>-6.5538196333928989E-2</v>
      </c>
      <c r="I21" s="253">
        <f t="shared" si="10"/>
        <v>0.70528142306453456</v>
      </c>
      <c r="J21" s="254">
        <f t="shared" si="11"/>
        <v>0.23268012422319084</v>
      </c>
      <c r="K21" s="253">
        <f t="shared" si="12"/>
        <v>0.48615487576975491</v>
      </c>
      <c r="L21" s="254">
        <f t="shared" si="13"/>
        <v>0.21912654729477965</v>
      </c>
      <c r="M21" s="255"/>
      <c r="N21" s="256">
        <v>1</v>
      </c>
      <c r="O21" s="253">
        <f t="shared" si="35"/>
        <v>-2.0839332713567749E-2</v>
      </c>
      <c r="P21" s="257">
        <f t="shared" si="36"/>
        <v>-2.0839332713567749E-2</v>
      </c>
      <c r="Q21" s="253">
        <f t="shared" si="14"/>
        <v>3.2218107888458247E-2</v>
      </c>
      <c r="R21" s="257">
        <f t="shared" si="37"/>
        <v>3.2218107888458247E-2</v>
      </c>
      <c r="S21" s="255"/>
      <c r="T21" s="256">
        <v>1</v>
      </c>
      <c r="U21" s="253">
        <f t="shared" si="15"/>
        <v>0.46150143114424047</v>
      </c>
      <c r="V21" s="258">
        <f t="shared" si="16"/>
        <v>0.46150143114424047</v>
      </c>
      <c r="W21" s="253">
        <f t="shared" si="38"/>
        <v>1.7824674337326636</v>
      </c>
      <c r="X21" s="258">
        <f t="shared" si="17"/>
        <v>1.7824674337326636</v>
      </c>
      <c r="Y21" s="253">
        <f t="shared" si="18"/>
        <v>8.2430806257520972E-2</v>
      </c>
      <c r="Z21" s="258">
        <f t="shared" si="19"/>
        <v>8.2430806257520972E-2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3</v>
      </c>
      <c r="AQ21" s="28">
        <f>VLOOKUP($A21,historia!$A$5:$CM$24,+HLOOKUP(AQ$2,historia!$A$3:$EC$4,2,FALSE),FALSE)</f>
        <v>4</v>
      </c>
      <c r="AR21" s="28">
        <f>VLOOKUP($A21,historia!$A$5:$CM$24,+HLOOKUP(AR$2,historia!$A$3:$EC$4,2,FALSE),FALSE)</f>
        <v>3</v>
      </c>
      <c r="AS21" s="28">
        <f>VLOOKUP($A21,historia!$A$5:$CM$24,+HLOOKUP(AS$2,historia!$A$3:$EC$4,2,FALSE),FALSE)</f>
        <v>3</v>
      </c>
      <c r="AT21" s="58">
        <f>VLOOKUP($A21,historia!$A$5:$CM$24,+HLOOKUP(AT$2,historia!$A$3:$EC$4,2,FALSE),FALSE)</f>
        <v>3</v>
      </c>
      <c r="AU21" s="58">
        <f>VLOOKUP($A21,historia!$A$5:$CM$24,+HLOOKUP(AU$2,historia!$A$3:$EC$4,2,FALSE),FALSE)</f>
        <v>3</v>
      </c>
      <c r="AV21" s="58">
        <f>VLOOKUP($A21,historia!$A$5:$CM$24,+HLOOKUP(AV$2,historia!$A$3:$EC$4,2,FALSE),FALSE)</f>
        <v>3</v>
      </c>
      <c r="AW21" s="58">
        <f>VLOOKUP($A21,historia!$A$5:$CM$24,+HLOOKUP(AW$2,historia!$A$3:$EC$4,2,FALSE),FALSE)</f>
        <v>3</v>
      </c>
      <c r="AX21" s="58">
        <f>VLOOKUP($A21,historia!$A$5:$CM$24,+HLOOKUP(AX$2,historia!$A$3:$EC$4,2,FALSE),FALSE)</f>
        <v>2</v>
      </c>
      <c r="AY21" s="58">
        <f>VLOOKUP($A21,historia!$A$5:$CM$24,+HLOOKUP(AY$2,historia!$A$3:$EC$4,2,FALSE),FALSE)</f>
        <v>3</v>
      </c>
      <c r="AZ21" s="58">
        <f>VLOOKUP($A21,historia!$A$5:$CM$24,+HLOOKUP(AZ$2,historia!$A$3:$EC$4,2,FALSE),FALSE)</f>
        <v>3</v>
      </c>
      <c r="BA21" s="58">
        <f>VLOOKUP($A21,historia!$A$5:$CM$24,+HLOOKUP(BA$2,historia!$A$3:$EC$4,2,FALSE),FALSE)</f>
        <v>3</v>
      </c>
      <c r="BB21" s="58"/>
      <c r="BC21" s="58"/>
      <c r="BD21" s="286">
        <v>3</v>
      </c>
      <c r="BE21" t="str">
        <f t="shared" si="20"/>
        <v>Porcinos</v>
      </c>
      <c r="BF21">
        <f>+datos!BR1</f>
        <v>70</v>
      </c>
      <c r="BG21" s="2" t="str">
        <f t="shared" si="4"/>
        <v>$/kg</v>
      </c>
      <c r="BH21" s="2">
        <f t="shared" si="4"/>
        <v>1641.2139999999999</v>
      </c>
      <c r="BI21" s="2">
        <f t="shared" si="4"/>
        <v>1645.51</v>
      </c>
      <c r="BJ21" s="2">
        <f t="shared" si="4"/>
        <v>962.43</v>
      </c>
      <c r="BL21">
        <f>+datos!DD1</f>
        <v>108</v>
      </c>
      <c r="BM21" s="2">
        <f t="shared" si="21"/>
        <v>10880.150052570489</v>
      </c>
      <c r="BN21" s="2">
        <f t="shared" si="21"/>
        <v>10236.023159757069</v>
      </c>
      <c r="BO21" s="2">
        <f t="shared" si="21"/>
        <v>7321.0068680998729</v>
      </c>
      <c r="BQ21" s="1">
        <f>+datos!EJ1</f>
        <v>140</v>
      </c>
      <c r="BR21" s="1">
        <f t="shared" si="22"/>
        <v>5987778</v>
      </c>
      <c r="BS21" s="1">
        <f t="shared" si="22"/>
        <v>6115215</v>
      </c>
      <c r="BU21" s="1">
        <f>+datos!HE1</f>
        <v>213</v>
      </c>
      <c r="BV21" s="1">
        <f t="shared" si="23"/>
        <v>790004</v>
      </c>
      <c r="BW21" s="1">
        <f t="shared" si="23"/>
        <v>765346</v>
      </c>
      <c r="BY21" s="1">
        <f>+datos!KJ1</f>
        <v>296</v>
      </c>
      <c r="BZ21" s="1">
        <f t="shared" si="39"/>
        <v>28.371843239999997</v>
      </c>
      <c r="CA21" s="1">
        <f t="shared" si="40"/>
        <v>19.412805649999999</v>
      </c>
      <c r="CC21" s="1">
        <f>+datos!LO1</f>
        <v>327</v>
      </c>
      <c r="CD21" s="2">
        <f t="shared" si="24"/>
        <v>118.59528846999999</v>
      </c>
      <c r="CE21" s="2">
        <f t="shared" si="25"/>
        <v>42.622345559999999</v>
      </c>
      <c r="CG21" s="1">
        <f>+datos!IO1</f>
        <v>249</v>
      </c>
      <c r="CH21" s="1">
        <f t="shared" si="26"/>
        <v>17.989999999999998</v>
      </c>
      <c r="CI21" s="1">
        <f t="shared" si="27"/>
        <v>16.62</v>
      </c>
      <c r="CK21" s="1">
        <f t="shared" si="28"/>
        <v>1.76811707</v>
      </c>
      <c r="CL21" s="1">
        <f t="shared" si="28"/>
        <v>1.0764735399999998</v>
      </c>
      <c r="CM21" s="1">
        <f t="shared" si="28"/>
        <v>3.87511991</v>
      </c>
      <c r="CN21" s="1">
        <f t="shared" si="28"/>
        <v>1.4111442899999997</v>
      </c>
      <c r="CO21" s="1">
        <f t="shared" si="28"/>
        <v>1.9463367499999997</v>
      </c>
      <c r="CP21" s="1">
        <f t="shared" si="28"/>
        <v>1.6096260199999999</v>
      </c>
      <c r="CQ21" s="1">
        <f t="shared" si="28"/>
        <v>3.1723580499999997</v>
      </c>
      <c r="CR21" s="1">
        <f t="shared" si="28"/>
        <v>2.1279038099999998</v>
      </c>
      <c r="CS21" s="1">
        <f t="shared" si="28"/>
        <v>2.3778769799999995</v>
      </c>
      <c r="CT21" s="1">
        <f t="shared" si="28"/>
        <v>4.3175895799999999</v>
      </c>
      <c r="CU21" s="1">
        <f t="shared" si="28"/>
        <v>2.7596131099999996</v>
      </c>
      <c r="CV21" s="1">
        <f t="shared" si="28"/>
        <v>1.9296841299999996</v>
      </c>
      <c r="CW21" s="1">
        <f t="shared" si="28"/>
        <v>2.2533318799999997</v>
      </c>
      <c r="CX21" s="1">
        <f t="shared" si="28"/>
        <v>1.55421593</v>
      </c>
      <c r="CY21" s="1">
        <f t="shared" si="28"/>
        <v>1.56892272</v>
      </c>
      <c r="CZ21" s="1">
        <f t="shared" si="28"/>
        <v>1.2009935999999999</v>
      </c>
      <c r="DA21" s="1">
        <f t="shared" si="29"/>
        <v>1.5576121499999998</v>
      </c>
      <c r="DB21" s="1">
        <f t="shared" si="29"/>
        <v>1.3743196699999998</v>
      </c>
      <c r="DC21" s="1">
        <f t="shared" si="29"/>
        <v>1.4110336399999999</v>
      </c>
      <c r="DD21" s="1">
        <f t="shared" si="29"/>
        <v>1.8830951399999996</v>
      </c>
      <c r="DE21" s="1">
        <f t="shared" si="29"/>
        <v>1.4694087300000001</v>
      </c>
      <c r="DF21" s="1">
        <f t="shared" si="29"/>
        <v>2.0502103900000002</v>
      </c>
      <c r="DG21" s="1">
        <f t="shared" si="29"/>
        <v>1.8176867299999997</v>
      </c>
      <c r="DH21" s="1">
        <f t="shared" si="29"/>
        <v>1.2719750699999999</v>
      </c>
      <c r="DJ21" s="1">
        <f t="shared" si="30"/>
        <v>18.318769970000002</v>
      </c>
      <c r="DK21" s="1">
        <f t="shared" si="30"/>
        <v>14.031594299999998</v>
      </c>
      <c r="DL21" s="1">
        <f t="shared" si="30"/>
        <v>14.447589379999997</v>
      </c>
      <c r="DM21" s="1">
        <f t="shared" si="30"/>
        <v>14.265215759999998</v>
      </c>
      <c r="DN21" s="1">
        <f t="shared" si="30"/>
        <v>16.354180840000001</v>
      </c>
      <c r="DO21" s="1">
        <f t="shared" si="30"/>
        <v>10.919699229999997</v>
      </c>
      <c r="DP21" s="1">
        <f t="shared" si="30"/>
        <v>10.87912704</v>
      </c>
      <c r="DQ21" s="1">
        <f t="shared" si="30"/>
        <v>7.3519509899999989</v>
      </c>
      <c r="DR21" s="1">
        <f t="shared" si="30"/>
        <v>4.9251834299999988</v>
      </c>
      <c r="DS21" s="1">
        <f t="shared" si="30"/>
        <v>2.5935797799999998</v>
      </c>
      <c r="DT21" s="1">
        <f t="shared" si="30"/>
        <v>1.7163214500000001</v>
      </c>
      <c r="DU21" s="1">
        <f t="shared" si="30"/>
        <v>2.7920763000000002</v>
      </c>
      <c r="DV21" s="1">
        <f t="shared" si="30"/>
        <v>3.5088459899999997</v>
      </c>
      <c r="DW21" s="1">
        <f t="shared" si="30"/>
        <v>2.2524288500000003</v>
      </c>
      <c r="DX21" s="1">
        <f t="shared" si="30"/>
        <v>5.2341166499999998</v>
      </c>
      <c r="DY21" s="1">
        <f t="shared" ref="DY21:EG24" si="41">+VLOOKUP(DY$1,ran_dat,$CC21,FALSE)</f>
        <v>3.1162246899999997</v>
      </c>
      <c r="DZ21" s="1">
        <f t="shared" si="41"/>
        <v>3.3747357299999998</v>
      </c>
      <c r="EA21" s="1">
        <f t="shared" si="41"/>
        <v>1.8536983500000002</v>
      </c>
      <c r="EB21" s="1">
        <f t="shared" si="41"/>
        <v>2.01592043</v>
      </c>
      <c r="EC21" s="1">
        <f t="shared" si="41"/>
        <v>3.3244473500000002</v>
      </c>
      <c r="ED21" s="1">
        <f t="shared" si="41"/>
        <v>2.84758625</v>
      </c>
      <c r="EE21" s="1">
        <f t="shared" si="41"/>
        <v>4.1641835499999997</v>
      </c>
      <c r="EF21" s="1">
        <f t="shared" si="41"/>
        <v>4.5685913500000002</v>
      </c>
      <c r="EG21" s="1">
        <f t="shared" si="41"/>
        <v>6.3615663699999985</v>
      </c>
      <c r="EI21" s="14">
        <f t="shared" si="32"/>
        <v>17.989999999999998</v>
      </c>
      <c r="EJ21" s="14">
        <f t="shared" si="32"/>
        <v>17.850000000000001</v>
      </c>
      <c r="EK21" s="1">
        <f t="shared" si="32"/>
        <v>17.73</v>
      </c>
      <c r="EL21" s="1">
        <f t="shared" si="32"/>
        <v>17.510000000000002</v>
      </c>
      <c r="EM21" s="1">
        <f t="shared" si="32"/>
        <v>17.13</v>
      </c>
      <c r="EN21" s="1">
        <f t="shared" si="32"/>
        <v>16.89</v>
      </c>
      <c r="EO21" s="1">
        <f t="shared" si="32"/>
        <v>16.87</v>
      </c>
      <c r="EP21" s="1">
        <f t="shared" si="32"/>
        <v>16.8</v>
      </c>
      <c r="EQ21" s="1">
        <f t="shared" si="32"/>
        <v>16.760000000000002</v>
      </c>
      <c r="ER21" s="1">
        <f t="shared" si="32"/>
        <v>16.84</v>
      </c>
      <c r="ES21" s="1">
        <f t="shared" si="32"/>
        <v>16.64</v>
      </c>
      <c r="ET21" s="1">
        <f t="shared" si="32"/>
        <v>16.68</v>
      </c>
      <c r="EU21" s="1">
        <f t="shared" si="32"/>
        <v>16.62</v>
      </c>
      <c r="EV21" s="1">
        <f t="shared" si="32"/>
        <v>16.5</v>
      </c>
      <c r="EW21" s="1">
        <f t="shared" si="32"/>
        <v>16.64</v>
      </c>
      <c r="EX21" s="1">
        <f t="shared" ref="EX21:FF24" si="42">+VLOOKUP(EX$1,ran_dat,$CG21,FALSE)</f>
        <v>16.68</v>
      </c>
      <c r="EY21" s="1">
        <f t="shared" si="42"/>
        <v>16.72</v>
      </c>
      <c r="EZ21" s="1">
        <f t="shared" si="42"/>
        <v>16.75</v>
      </c>
      <c r="FA21" s="1">
        <f t="shared" si="42"/>
        <v>16.760000000000002</v>
      </c>
      <c r="FB21" s="1">
        <f t="shared" si="42"/>
        <v>16.71</v>
      </c>
      <c r="FC21" s="1">
        <f t="shared" si="42"/>
        <v>16.68</v>
      </c>
      <c r="FD21" s="1">
        <f t="shared" si="42"/>
        <v>16.670000000000002</v>
      </c>
      <c r="FE21" s="1">
        <f t="shared" si="42"/>
        <v>16.670000000000002</v>
      </c>
      <c r="FF21" s="1">
        <f t="shared" si="42"/>
        <v>16.72</v>
      </c>
      <c r="FH21" s="162">
        <f t="shared" si="34"/>
        <v>0.21912654729477965</v>
      </c>
    </row>
    <row r="22" spans="1:164" ht="18.75" customHeight="1">
      <c r="A22" s="243" t="s">
        <v>75</v>
      </c>
      <c r="B22" s="246"/>
      <c r="C22" s="156">
        <f t="shared" si="5"/>
        <v>0.66</v>
      </c>
      <c r="D22" s="198">
        <v>1</v>
      </c>
      <c r="E22" s="248">
        <f t="shared" si="6"/>
        <v>0</v>
      </c>
      <c r="F22" s="249">
        <f t="shared" si="7"/>
        <v>-2.7932425798881777E-2</v>
      </c>
      <c r="G22" s="248">
        <f t="shared" si="8"/>
        <v>2.4715178250804382E-2</v>
      </c>
      <c r="H22" s="249">
        <f t="shared" si="9"/>
        <v>-2.4715178250804382E-2</v>
      </c>
      <c r="I22" s="248">
        <f t="shared" si="10"/>
        <v>0.60248226950354611</v>
      </c>
      <c r="J22" s="249">
        <f t="shared" si="11"/>
        <v>0.12988097066220239</v>
      </c>
      <c r="K22" s="248">
        <f t="shared" si="12"/>
        <v>0.46406294438431916</v>
      </c>
      <c r="L22" s="249">
        <f t="shared" si="13"/>
        <v>0.13841932511922694</v>
      </c>
      <c r="M22" s="250"/>
      <c r="N22" s="24">
        <v>0</v>
      </c>
      <c r="O22" s="248">
        <f t="shared" si="35"/>
        <v>0.10289900078548864</v>
      </c>
      <c r="P22" s="251">
        <f t="shared" si="36"/>
        <v>0.10289900078548864</v>
      </c>
      <c r="Q22" s="248">
        <f t="shared" si="14"/>
        <v>0.17001165379676175</v>
      </c>
      <c r="R22" s="251">
        <f t="shared" si="37"/>
        <v>0.17001165379676175</v>
      </c>
      <c r="S22" s="250"/>
      <c r="T22" s="24">
        <v>1</v>
      </c>
      <c r="U22" s="248">
        <f t="shared" si="15"/>
        <v>-7.3459268811148393E-2</v>
      </c>
      <c r="V22" s="252">
        <f t="shared" si="16"/>
        <v>-7.3459268811148393E-2</v>
      </c>
      <c r="W22" s="248">
        <f t="shared" si="38"/>
        <v>-0.10020089158624101</v>
      </c>
      <c r="X22" s="252">
        <f t="shared" si="17"/>
        <v>-0.10020089158624101</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3</v>
      </c>
      <c r="AQ22" s="28">
        <f>VLOOKUP($A22,historia!$A$5:$CM$24,+HLOOKUP(AQ$2,historia!$A$3:$EC$4,2,FALSE),FALSE)</f>
        <v>2</v>
      </c>
      <c r="AR22" s="28">
        <f>VLOOKUP($A22,historia!$A$5:$CM$24,+HLOOKUP(AR$2,historia!$A$3:$EC$4,2,FALSE),FALSE)</f>
        <v>2</v>
      </c>
      <c r="AS22" s="28">
        <f>VLOOKUP($A22,historia!$A$5:$CM$24,+HLOOKUP(AS$2,historia!$A$3:$EC$4,2,FALSE),FALSE)</f>
        <v>2</v>
      </c>
      <c r="AT22" s="58">
        <f>VLOOKUP($A22,historia!$A$5:$CM$24,+HLOOKUP(AT$2,historia!$A$3:$EC$4,2,FALSE),FALSE)</f>
        <v>2</v>
      </c>
      <c r="AU22" s="58">
        <f>VLOOKUP($A22,historia!$A$5:$CM$24,+HLOOKUP(AU$2,historia!$A$3:$EC$4,2,FALSE),FALSE)</f>
        <v>2</v>
      </c>
      <c r="AV22" s="58">
        <f>VLOOKUP($A22,historia!$A$5:$CM$24,+HLOOKUP(AV$2,historia!$A$3:$EC$4,2,FALSE),FALSE)</f>
        <v>2</v>
      </c>
      <c r="AW22" s="58">
        <f>VLOOKUP($A22,historia!$A$5:$CM$24,+HLOOKUP(AW$2,historia!$A$3:$EC$4,2,FALSE),FALSE)</f>
        <v>2</v>
      </c>
      <c r="AX22" s="58">
        <f>VLOOKUP($A22,historia!$A$5:$CM$24,+HLOOKUP(AX$2,historia!$A$3:$EC$4,2,FALSE),FALSE)</f>
        <v>2</v>
      </c>
      <c r="AY22" s="58">
        <f>VLOOKUP($A22,historia!$A$5:$CM$24,+HLOOKUP(AY$2,historia!$A$3:$EC$4,2,FALSE),FALSE)</f>
        <v>3</v>
      </c>
      <c r="AZ22" s="58">
        <f>VLOOKUP($A22,historia!$A$5:$CM$24,+HLOOKUP(AZ$2,historia!$A$3:$EC$4,2,FALSE),FALSE)</f>
        <v>3</v>
      </c>
      <c r="BA22" s="58">
        <f>VLOOKUP($A22,historia!$A$5:$CM$24,+HLOOKUP(BA$2,historia!$A$3:$EC$4,2,FALSE),FALSE)</f>
        <v>3</v>
      </c>
      <c r="BB22" s="58"/>
      <c r="BC22" s="58"/>
      <c r="BD22" s="286">
        <v>3</v>
      </c>
      <c r="BE22" t="str">
        <f t="shared" si="20"/>
        <v>Tabaco</v>
      </c>
      <c r="BF22">
        <f>+datos!BJ1</f>
        <v>62</v>
      </c>
      <c r="BG22" s="2" t="str">
        <f t="shared" si="4"/>
        <v>$/kg</v>
      </c>
      <c r="BH22" s="2">
        <f t="shared" si="4"/>
        <v>4519</v>
      </c>
      <c r="BI22" s="2">
        <f t="shared" si="4"/>
        <v>4519</v>
      </c>
      <c r="BJ22" s="2">
        <f t="shared" si="4"/>
        <v>2820</v>
      </c>
      <c r="BL22">
        <f>+datos!DA1</f>
        <v>105</v>
      </c>
      <c r="BM22" s="2">
        <f t="shared" si="21"/>
        <v>10458.048796636511</v>
      </c>
      <c r="BN22" s="2">
        <f t="shared" si="21"/>
        <v>10205.810374048006</v>
      </c>
      <c r="BO22" s="2">
        <f t="shared" si="21"/>
        <v>7143.1688348853213</v>
      </c>
      <c r="BQ22" s="1">
        <f>+datos!FD1</f>
        <v>160</v>
      </c>
      <c r="BR22" s="1">
        <f t="shared" si="22"/>
        <v>60376</v>
      </c>
      <c r="BS22" s="1">
        <f t="shared" si="22"/>
        <v>54743</v>
      </c>
      <c r="BU22" s="1">
        <f>+datos!GX1</f>
        <v>206</v>
      </c>
      <c r="BV22" s="1">
        <f t="shared" si="23"/>
        <v>36041.686000000002</v>
      </c>
      <c r="BW22" s="1">
        <f t="shared" si="23"/>
        <v>30804.553</v>
      </c>
      <c r="BY22" s="1">
        <f>+datos!KC1</f>
        <v>289</v>
      </c>
      <c r="BZ22" s="1">
        <f t="shared" si="39"/>
        <v>438.15872514000006</v>
      </c>
      <c r="CA22" s="1">
        <f t="shared" si="40"/>
        <v>472.89742414</v>
      </c>
      <c r="CC22" s="1">
        <f>+datos!LH1</f>
        <v>320</v>
      </c>
      <c r="CD22" s="2">
        <f t="shared" si="24"/>
        <v>59.85386488000001</v>
      </c>
      <c r="CE22" s="2">
        <f t="shared" si="25"/>
        <v>66.519142239999994</v>
      </c>
      <c r="CG22" s="1">
        <f>+datos!JD1</f>
        <v>264</v>
      </c>
      <c r="CH22" s="1">
        <f t="shared" si="26"/>
        <v>0</v>
      </c>
      <c r="CI22" s="1">
        <f t="shared" si="27"/>
        <v>0</v>
      </c>
      <c r="CK22" s="1">
        <f t="shared" ref="CK22:CZ24" si="43">+VLOOKUP(CK$1,ran_dat,$BY22,FALSE)</f>
        <v>27.891120319999999</v>
      </c>
      <c r="CL22" s="1">
        <f t="shared" si="43"/>
        <v>5.5120895000000001</v>
      </c>
      <c r="CM22" s="1">
        <f t="shared" si="43"/>
        <v>9.7228914799999995</v>
      </c>
      <c r="CN22" s="1">
        <f t="shared" si="43"/>
        <v>6.2035308000000002</v>
      </c>
      <c r="CO22" s="1">
        <f t="shared" si="43"/>
        <v>65.18720725</v>
      </c>
      <c r="CP22" s="1">
        <f t="shared" si="43"/>
        <v>34.962073999999994</v>
      </c>
      <c r="CQ22" s="1">
        <f t="shared" si="43"/>
        <v>41.640055749999995</v>
      </c>
      <c r="CR22" s="1">
        <f t="shared" si="43"/>
        <v>54.488227269999996</v>
      </c>
      <c r="CS22" s="1">
        <f t="shared" si="43"/>
        <v>45.888815350000002</v>
      </c>
      <c r="CT22" s="1">
        <f t="shared" si="43"/>
        <v>56.365947810000002</v>
      </c>
      <c r="CU22" s="1">
        <f t="shared" si="43"/>
        <v>58.671597329999997</v>
      </c>
      <c r="CV22" s="1">
        <f t="shared" si="43"/>
        <v>31.625168280000004</v>
      </c>
      <c r="CW22" s="1">
        <f t="shared" si="43"/>
        <v>17.697801470000002</v>
      </c>
      <c r="CX22" s="1">
        <f t="shared" si="43"/>
        <v>30.191481329999998</v>
      </c>
      <c r="CY22" s="1">
        <f t="shared" si="43"/>
        <v>36.249269399999989</v>
      </c>
      <c r="CZ22" s="1">
        <f t="shared" si="43"/>
        <v>40.108989959999995</v>
      </c>
      <c r="DA22" s="1">
        <f t="shared" ref="DA22:DH24" si="44">+VLOOKUP(DA$1,ran_dat,$BY22,FALSE)</f>
        <v>56.890802439999995</v>
      </c>
      <c r="DB22" s="1">
        <f t="shared" si="44"/>
        <v>36.8257318</v>
      </c>
      <c r="DC22" s="1">
        <f t="shared" si="44"/>
        <v>51.381121719999996</v>
      </c>
      <c r="DD22" s="1">
        <f t="shared" si="44"/>
        <v>33.051481680000002</v>
      </c>
      <c r="DE22" s="1">
        <f t="shared" si="44"/>
        <v>60.888504160000004</v>
      </c>
      <c r="DF22" s="1">
        <f t="shared" si="44"/>
        <v>55.773078730000002</v>
      </c>
      <c r="DG22" s="1">
        <f t="shared" si="44"/>
        <v>34.825160650000001</v>
      </c>
      <c r="DH22" s="1">
        <f t="shared" si="44"/>
        <v>19.014000799999998</v>
      </c>
      <c r="DJ22" s="1">
        <f t="shared" ref="DJ22:DY24" si="45">+VLOOKUP(DJ$1,ran_dat,$CC22,FALSE)</f>
        <v>5.1774083700000002</v>
      </c>
      <c r="DK22" s="1">
        <f t="shared" si="45"/>
        <v>5.7823087099999997</v>
      </c>
      <c r="DL22" s="1">
        <f t="shared" si="45"/>
        <v>5.6310443999999995</v>
      </c>
      <c r="DM22" s="1">
        <f t="shared" si="45"/>
        <v>4.1108512499999996</v>
      </c>
      <c r="DN22" s="1">
        <f t="shared" si="45"/>
        <v>6.9241559000000006</v>
      </c>
      <c r="DO22" s="1">
        <f t="shared" si="45"/>
        <v>4.9762964800000002</v>
      </c>
      <c r="DP22" s="1">
        <f t="shared" si="45"/>
        <v>5.7062324599999998</v>
      </c>
      <c r="DQ22" s="1">
        <f t="shared" si="45"/>
        <v>5.3893107900000006</v>
      </c>
      <c r="DR22" s="1">
        <f t="shared" si="45"/>
        <v>5.0602291599999996</v>
      </c>
      <c r="DS22" s="1">
        <f t="shared" si="45"/>
        <v>1.1636776099999999</v>
      </c>
      <c r="DT22" s="1">
        <f t="shared" si="45"/>
        <v>4.3331795800000004</v>
      </c>
      <c r="DU22" s="1">
        <f t="shared" si="45"/>
        <v>5.5991701699999998</v>
      </c>
      <c r="DV22" s="1">
        <f t="shared" si="45"/>
        <v>5.1284923700000009</v>
      </c>
      <c r="DW22" s="1">
        <f t="shared" si="45"/>
        <v>4.8853449399999995</v>
      </c>
      <c r="DX22" s="1">
        <f t="shared" si="45"/>
        <v>4.5019780499999991</v>
      </c>
      <c r="DY22" s="1">
        <f t="shared" si="45"/>
        <v>3.2870284000000001</v>
      </c>
      <c r="DZ22" s="1">
        <f t="shared" si="41"/>
        <v>2.2553329799999999</v>
      </c>
      <c r="EA22" s="1">
        <f t="shared" si="41"/>
        <v>4.9563280900000004</v>
      </c>
      <c r="EB22" s="1">
        <f t="shared" si="41"/>
        <v>5.4312745199999997</v>
      </c>
      <c r="EC22" s="1">
        <f t="shared" si="41"/>
        <v>5.9427570699999999</v>
      </c>
      <c r="ED22" s="1">
        <f t="shared" si="41"/>
        <v>7.0989514199999997</v>
      </c>
      <c r="EE22" s="1">
        <f t="shared" si="41"/>
        <v>8.0901624599999984</v>
      </c>
      <c r="EF22" s="1">
        <f t="shared" si="41"/>
        <v>8.5152603000000013</v>
      </c>
      <c r="EG22" s="1">
        <f t="shared" si="41"/>
        <v>6.4262316399999984</v>
      </c>
      <c r="EI22" s="14">
        <f t="shared" ref="EI22:EX24" si="46">+VLOOKUP(EI$1,ran_dat,$CG22,FALSE)</f>
        <v>0</v>
      </c>
      <c r="EJ22" s="14">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6"/>
        <v>0</v>
      </c>
      <c r="EY22" s="1">
        <f t="shared" si="42"/>
        <v>0</v>
      </c>
      <c r="EZ22" s="1">
        <f t="shared" si="42"/>
        <v>0</v>
      </c>
      <c r="FA22" s="1">
        <f t="shared" si="42"/>
        <v>0</v>
      </c>
      <c r="FB22" s="1">
        <f t="shared" si="42"/>
        <v>0</v>
      </c>
      <c r="FC22" s="1">
        <f t="shared" si="42"/>
        <v>0</v>
      </c>
      <c r="FD22" s="1">
        <f t="shared" si="42"/>
        <v>0</v>
      </c>
      <c r="FE22" s="1">
        <f t="shared" si="42"/>
        <v>0</v>
      </c>
      <c r="FF22" s="1">
        <f t="shared" si="42"/>
        <v>0</v>
      </c>
      <c r="FH22" s="162">
        <f t="shared" si="34"/>
        <v>0.13841932511922694</v>
      </c>
    </row>
    <row r="23" spans="1:164" ht="18.75" customHeight="1">
      <c r="A23" s="244" t="s">
        <v>219</v>
      </c>
      <c r="B23" s="247"/>
      <c r="C23" s="228">
        <f t="shared" si="5"/>
        <v>-0.99</v>
      </c>
      <c r="D23" s="229">
        <v>-1</v>
      </c>
      <c r="E23" s="253">
        <f t="shared" si="6"/>
        <v>-5.474788570094824E-2</v>
      </c>
      <c r="F23" s="254">
        <f t="shared" si="7"/>
        <v>-8.2680311499830017E-2</v>
      </c>
      <c r="G23" s="253">
        <f t="shared" si="8"/>
        <v>1.7495122840992527E-2</v>
      </c>
      <c r="H23" s="254">
        <f t="shared" si="9"/>
        <v>-7.2243008541940767E-2</v>
      </c>
      <c r="I23" s="253">
        <f t="shared" si="10"/>
        <v>3.0427847615748238E-2</v>
      </c>
      <c r="J23" s="254">
        <f t="shared" si="11"/>
        <v>-0.44217345122559548</v>
      </c>
      <c r="K23" s="253">
        <f t="shared" si="12"/>
        <v>0.30803236897363528</v>
      </c>
      <c r="L23" s="254">
        <f t="shared" si="13"/>
        <v>-0.27760452135788705</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0.12613660268742644</v>
      </c>
      <c r="V23" s="258">
        <f t="shared" si="16"/>
        <v>0.12613660268742644</v>
      </c>
      <c r="W23" s="253">
        <f t="shared" si="38"/>
        <v>0.77781079188401714</v>
      </c>
      <c r="X23" s="258">
        <f t="shared" si="17"/>
        <v>0.77781079188401714</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5</v>
      </c>
      <c r="AQ23" s="28">
        <f>VLOOKUP($A23,historia!$A$5:$CM$24,+HLOOKUP(AQ$2,historia!$A$3:$EC$4,2,FALSE),FALSE)</f>
        <v>5</v>
      </c>
      <c r="AR23" s="28">
        <f>VLOOKUP($A23,historia!$A$5:$CM$24,+HLOOKUP(AR$2,historia!$A$3:$EC$4,2,FALSE),FALSE)</f>
        <v>4</v>
      </c>
      <c r="AS23" s="28">
        <f>VLOOKUP($A23,historia!$A$5:$CM$24,+HLOOKUP(AS$2,historia!$A$3:$EC$4,2,FALSE),FALSE)</f>
        <v>4</v>
      </c>
      <c r="AT23" s="58">
        <f>VLOOKUP($A23,historia!$A$5:$CM$24,+HLOOKUP(AT$2,historia!$A$3:$EC$4,2,FALSE),FALSE)</f>
        <v>4</v>
      </c>
      <c r="AU23" s="58">
        <f>VLOOKUP($A23,historia!$A$5:$CM$24,+HLOOKUP(AU$2,historia!$A$3:$EC$4,2,FALSE),FALSE)</f>
        <v>4</v>
      </c>
      <c r="AV23" s="58">
        <f>VLOOKUP($A23,historia!$A$5:$CM$24,+HLOOKUP(AV$2,historia!$A$3:$EC$4,2,FALSE),FALSE)</f>
        <v>4</v>
      </c>
      <c r="AW23" s="58">
        <f>VLOOKUP($A23,historia!$A$5:$CM$24,+HLOOKUP(AW$2,historia!$A$3:$EC$4,2,FALSE),FALSE)</f>
        <v>4</v>
      </c>
      <c r="AX23" s="58">
        <f>VLOOKUP($A23,historia!$A$5:$CM$24,+HLOOKUP(AX$2,historia!$A$3:$EC$4,2,FALSE),FALSE)</f>
        <v>4</v>
      </c>
      <c r="AY23" s="58">
        <f>VLOOKUP($A23,historia!$A$5:$CM$24,+HLOOKUP(AY$2,historia!$A$3:$EC$4,2,FALSE),FALSE)</f>
        <v>4</v>
      </c>
      <c r="AZ23" s="58">
        <f>VLOOKUP($A23,historia!$A$5:$CM$24,+HLOOKUP(AZ$2,historia!$A$3:$EC$4,2,FALSE),FALSE)</f>
        <v>4</v>
      </c>
      <c r="BA23" s="58">
        <f>VLOOKUP($A23,historia!$A$5:$CM$24,+HLOOKUP(BA$2,historia!$A$3:$EC$4,2,FALSE),FALSE)</f>
        <v>4</v>
      </c>
      <c r="BB23" s="58"/>
      <c r="BC23" s="58"/>
      <c r="BD23" s="286">
        <v>4</v>
      </c>
      <c r="BE23" t="str">
        <f t="shared" si="20"/>
        <v>Vino y Mosto</v>
      </c>
      <c r="BF23">
        <f>+datos!AM1</f>
        <v>39</v>
      </c>
      <c r="BG23" s="2" t="str">
        <f t="shared" si="4"/>
        <v>$/l</v>
      </c>
      <c r="BH23" s="2">
        <f t="shared" si="4"/>
        <v>333.12495800000005</v>
      </c>
      <c r="BI23" s="2">
        <f t="shared" si="4"/>
        <v>352.41916200000003</v>
      </c>
      <c r="BJ23" s="2">
        <f t="shared" si="4"/>
        <v>323.28800000000001</v>
      </c>
      <c r="BL23">
        <f>+datos!CP1</f>
        <v>94</v>
      </c>
      <c r="BM23" s="2">
        <f t="shared" si="21"/>
        <v>11319.13733979933</v>
      </c>
      <c r="BN23" s="2">
        <f t="shared" si="21"/>
        <v>11124.512624880866</v>
      </c>
      <c r="BO23" s="2">
        <f t="shared" si="21"/>
        <v>8653.5605756308923</v>
      </c>
      <c r="BQ23" s="1">
        <f>+datos!EF1</f>
        <v>136</v>
      </c>
      <c r="BR23" s="1">
        <f t="shared" si="22"/>
        <v>196220</v>
      </c>
      <c r="BS23" s="1">
        <f t="shared" si="22"/>
        <v>199946</v>
      </c>
      <c r="BU23" s="1">
        <f>+datos!GB1</f>
        <v>184</v>
      </c>
      <c r="BV23" s="1">
        <f t="shared" si="23"/>
        <v>19908335</v>
      </c>
      <c r="BW23" s="1">
        <f t="shared" si="23"/>
        <v>19189740</v>
      </c>
      <c r="BY23" s="1">
        <f>+datos!JU1</f>
        <v>281</v>
      </c>
      <c r="BZ23" s="1">
        <f t="shared" si="39"/>
        <v>989.27591072000007</v>
      </c>
      <c r="CA23" s="1">
        <f t="shared" si="40"/>
        <v>878.46883616000014</v>
      </c>
      <c r="CC23" s="1">
        <f>+datos!KZ1</f>
        <v>312</v>
      </c>
      <c r="CD23" s="2">
        <f t="shared" si="24"/>
        <v>26.656904390000001</v>
      </c>
      <c r="CE23" s="2">
        <f t="shared" si="25"/>
        <v>14.994230270000001</v>
      </c>
      <c r="CG23" s="1">
        <f>+datos!IQ1</f>
        <v>251</v>
      </c>
      <c r="CH23" s="1">
        <f t="shared" si="26"/>
        <v>16.079999999999998</v>
      </c>
      <c r="CI23" s="1">
        <f t="shared" si="27"/>
        <v>16.3</v>
      </c>
      <c r="CK23" s="1">
        <f t="shared" si="43"/>
        <v>77.155977009999987</v>
      </c>
      <c r="CL23" s="1">
        <f t="shared" si="43"/>
        <v>74.722979570000021</v>
      </c>
      <c r="CM23" s="1">
        <f t="shared" si="43"/>
        <v>63.754065359999977</v>
      </c>
      <c r="CN23" s="1">
        <f t="shared" si="43"/>
        <v>50.923025279999997</v>
      </c>
      <c r="CO23" s="1">
        <f t="shared" si="43"/>
        <v>85.381089520000018</v>
      </c>
      <c r="CP23" s="1">
        <f t="shared" si="43"/>
        <v>87.09478919</v>
      </c>
      <c r="CQ23" s="1">
        <f t="shared" si="43"/>
        <v>88.790830600000021</v>
      </c>
      <c r="CR23" s="1">
        <f t="shared" si="43"/>
        <v>106.11166329999998</v>
      </c>
      <c r="CS23" s="1">
        <f t="shared" si="43"/>
        <v>99.074693340000039</v>
      </c>
      <c r="CT23" s="1">
        <f t="shared" si="43"/>
        <v>115.95052356999999</v>
      </c>
      <c r="CU23" s="1">
        <f t="shared" si="43"/>
        <v>55.887516779999999</v>
      </c>
      <c r="CV23" s="1">
        <f t="shared" si="43"/>
        <v>84.428757199999993</v>
      </c>
      <c r="CW23" s="1">
        <f t="shared" si="43"/>
        <v>70.799436420000006</v>
      </c>
      <c r="CX23" s="1">
        <f t="shared" si="43"/>
        <v>83.547570889999989</v>
      </c>
      <c r="CY23" s="1">
        <f t="shared" si="43"/>
        <v>59.429446169999991</v>
      </c>
      <c r="CZ23" s="1">
        <f t="shared" si="43"/>
        <v>57.397509530000008</v>
      </c>
      <c r="DA23" s="1">
        <f t="shared" si="44"/>
        <v>71.762443020000006</v>
      </c>
      <c r="DB23" s="1">
        <f t="shared" si="44"/>
        <v>76.246675170000003</v>
      </c>
      <c r="DC23" s="1">
        <f t="shared" si="44"/>
        <v>81.396405279999982</v>
      </c>
      <c r="DD23" s="1">
        <f t="shared" si="44"/>
        <v>86.673250950000011</v>
      </c>
      <c r="DE23" s="1">
        <f t="shared" si="44"/>
        <v>67.769583350000005</v>
      </c>
      <c r="DF23" s="1">
        <f t="shared" si="44"/>
        <v>79.411450110000018</v>
      </c>
      <c r="DG23" s="1">
        <f t="shared" si="44"/>
        <v>61.526627820000002</v>
      </c>
      <c r="DH23" s="1">
        <f t="shared" si="44"/>
        <v>82.508437450000031</v>
      </c>
      <c r="DJ23" s="1">
        <f t="shared" si="45"/>
        <v>3.476448889999999</v>
      </c>
      <c r="DK23" s="1">
        <f t="shared" si="45"/>
        <v>3.23844815</v>
      </c>
      <c r="DL23" s="1">
        <f t="shared" si="45"/>
        <v>1.94679845</v>
      </c>
      <c r="DM23" s="1">
        <f t="shared" si="45"/>
        <v>0.41117072999999998</v>
      </c>
      <c r="DN23" s="1">
        <f t="shared" si="45"/>
        <v>1.6918772199999998</v>
      </c>
      <c r="DO23" s="1">
        <f t="shared" si="45"/>
        <v>4.1008112300000006</v>
      </c>
      <c r="DP23" s="1">
        <f t="shared" si="45"/>
        <v>2.9628047099999995</v>
      </c>
      <c r="DQ23" s="1">
        <f t="shared" si="45"/>
        <v>2.4415022799999999</v>
      </c>
      <c r="DR23" s="1">
        <f t="shared" si="45"/>
        <v>2.4186424700000004</v>
      </c>
      <c r="DS23" s="1">
        <f t="shared" si="45"/>
        <v>2.3161338599999999</v>
      </c>
      <c r="DT23" s="1">
        <f t="shared" si="45"/>
        <v>0.34545517000000003</v>
      </c>
      <c r="DU23" s="1">
        <f t="shared" si="45"/>
        <v>1.3068112300000001</v>
      </c>
      <c r="DV23" s="1">
        <f t="shared" si="45"/>
        <v>1.01985657</v>
      </c>
      <c r="DW23" s="1">
        <f t="shared" si="45"/>
        <v>0.49471243999999998</v>
      </c>
      <c r="DX23" s="1">
        <f t="shared" si="45"/>
        <v>0.76659119999999992</v>
      </c>
      <c r="DY23" s="1">
        <f t="shared" si="45"/>
        <v>0.41683354000000006</v>
      </c>
      <c r="DZ23" s="1">
        <f t="shared" si="41"/>
        <v>1.01193058</v>
      </c>
      <c r="EA23" s="1">
        <f t="shared" si="41"/>
        <v>1.2280305999999999</v>
      </c>
      <c r="EB23" s="1">
        <f t="shared" si="41"/>
        <v>1.7214946800000002</v>
      </c>
      <c r="EC23" s="1">
        <f t="shared" si="41"/>
        <v>1.3147188099999998</v>
      </c>
      <c r="ED23" s="1">
        <f t="shared" si="41"/>
        <v>1.8704580099999999</v>
      </c>
      <c r="EE23" s="1">
        <f t="shared" si="41"/>
        <v>1.2166211999999998</v>
      </c>
      <c r="EF23" s="1">
        <f t="shared" si="41"/>
        <v>1.2618213600000001</v>
      </c>
      <c r="EG23" s="1">
        <f t="shared" si="41"/>
        <v>2.6711612799999997</v>
      </c>
      <c r="EI23" s="14">
        <f t="shared" si="46"/>
        <v>16.079999999999998</v>
      </c>
      <c r="EJ23" s="14">
        <f t="shared" si="46"/>
        <v>16.079999999999998</v>
      </c>
      <c r="EK23" s="1">
        <f t="shared" si="46"/>
        <v>16.079999999999998</v>
      </c>
      <c r="EL23" s="1">
        <f t="shared" si="46"/>
        <v>16.079999999999998</v>
      </c>
      <c r="EM23" s="1">
        <f t="shared" si="46"/>
        <v>16.3</v>
      </c>
      <c r="EN23" s="1">
        <f t="shared" si="46"/>
        <v>16.3</v>
      </c>
      <c r="EO23" s="1">
        <f t="shared" si="46"/>
        <v>16.3</v>
      </c>
      <c r="EP23" s="1">
        <f t="shared" si="46"/>
        <v>16.3</v>
      </c>
      <c r="EQ23" s="1">
        <f t="shared" si="46"/>
        <v>16.3</v>
      </c>
      <c r="ER23" s="1">
        <f t="shared" si="46"/>
        <v>16.3</v>
      </c>
      <c r="ES23" s="1">
        <f t="shared" si="46"/>
        <v>16.3</v>
      </c>
      <c r="ET23" s="1">
        <f t="shared" si="46"/>
        <v>16.3</v>
      </c>
      <c r="EU23" s="1">
        <f t="shared" si="46"/>
        <v>16.3</v>
      </c>
      <c r="EV23" s="1">
        <f t="shared" si="46"/>
        <v>16.3</v>
      </c>
      <c r="EW23" s="1">
        <f t="shared" si="46"/>
        <v>16.3</v>
      </c>
      <c r="EX23" s="1">
        <f t="shared" si="46"/>
        <v>16.3</v>
      </c>
      <c r="EY23" s="1">
        <f t="shared" si="42"/>
        <v>16.7</v>
      </c>
      <c r="EZ23" s="1">
        <f t="shared" si="42"/>
        <v>16.7</v>
      </c>
      <c r="FA23" s="1">
        <f t="shared" si="42"/>
        <v>16.7</v>
      </c>
      <c r="FB23" s="1">
        <f t="shared" si="42"/>
        <v>16.7</v>
      </c>
      <c r="FC23" s="1">
        <f t="shared" si="42"/>
        <v>16.7</v>
      </c>
      <c r="FD23" s="1">
        <f t="shared" si="42"/>
        <v>16.7</v>
      </c>
      <c r="FE23" s="1">
        <f t="shared" si="42"/>
        <v>16.7</v>
      </c>
      <c r="FF23" s="1">
        <f t="shared" si="42"/>
        <v>16.7</v>
      </c>
      <c r="FH23" s="162">
        <f t="shared" si="34"/>
        <v>-0.27760452135788705</v>
      </c>
    </row>
    <row r="24" spans="1:164" ht="18.75" customHeight="1">
      <c r="A24" s="243" t="s">
        <v>39</v>
      </c>
      <c r="B24" s="246"/>
      <c r="C24" s="156">
        <f t="shared" si="5"/>
        <v>-0.65999999999999992</v>
      </c>
      <c r="D24" s="198">
        <v>-3</v>
      </c>
      <c r="E24" s="248">
        <f t="shared" si="6"/>
        <v>1.7543859649122862E-2</v>
      </c>
      <c r="F24" s="249">
        <f t="shared" si="7"/>
        <v>-1.0388566149758915E-2</v>
      </c>
      <c r="G24" s="248">
        <f t="shared" si="8"/>
        <v>2.4881023670063396E-2</v>
      </c>
      <c r="H24" s="249">
        <f t="shared" si="9"/>
        <v>-7.3371640209405342E-3</v>
      </c>
      <c r="I24" s="248">
        <f t="shared" si="10"/>
        <v>-0.22666666666666668</v>
      </c>
      <c r="J24" s="249">
        <f t="shared" si="11"/>
        <v>-0.6992679655080104</v>
      </c>
      <c r="K24" s="248">
        <f t="shared" si="12"/>
        <v>0.4314885790288483</v>
      </c>
      <c r="L24" s="249">
        <f t="shared" si="13"/>
        <v>-0.65815524569551498</v>
      </c>
      <c r="M24" s="250"/>
      <c r="N24" s="24">
        <v>1</v>
      </c>
      <c r="O24" s="248">
        <f t="shared" si="35"/>
        <v>4.7599193940657258E-3</v>
      </c>
      <c r="P24" s="251">
        <f t="shared" si="36"/>
        <v>4.7599193940657258E-3</v>
      </c>
      <c r="Q24" s="248">
        <f t="shared" si="14"/>
        <v>-2.6937199964016112E-2</v>
      </c>
      <c r="R24" s="251">
        <f t="shared" si="37"/>
        <v>-2.6937199964016112E-2</v>
      </c>
      <c r="S24" s="250"/>
      <c r="T24" s="24">
        <v>0</v>
      </c>
      <c r="U24" s="248">
        <f t="shared" si="15"/>
        <v>-1.1865057971466197E-2</v>
      </c>
      <c r="V24" s="252">
        <f t="shared" si="16"/>
        <v>-1.1865057971466197E-2</v>
      </c>
      <c r="W24" s="248">
        <f t="shared" si="38"/>
        <v>-0.11659487762370224</v>
      </c>
      <c r="X24" s="258">
        <f t="shared" si="17"/>
        <v>-0.11659487762370224</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f>VLOOKUP($A24,historia!$A$5:$CM$24,+HLOOKUP(AY$2,historia!$A$3:$EC$4,2,FALSE),FALSE)</f>
        <v>4</v>
      </c>
      <c r="AZ24" s="58">
        <f>VLOOKUP($A24,historia!$A$5:$CM$24,+HLOOKUP(AZ$2,historia!$A$3:$EC$4,2,FALSE),FALSE)</f>
        <v>4</v>
      </c>
      <c r="BA24" s="58">
        <f>VLOOKUP($A24,historia!$A$5:$CM$24,+HLOOKUP(BA$2,historia!$A$3:$EC$4,2,FALSE),FALSE)</f>
        <v>4</v>
      </c>
      <c r="BB24" s="58"/>
      <c r="BC24" s="58"/>
      <c r="BD24" s="286">
        <v>4</v>
      </c>
      <c r="BE24" t="str">
        <f t="shared" si="20"/>
        <v>Yerba Mate</v>
      </c>
      <c r="BF24">
        <f>+datos!AG1</f>
        <v>33</v>
      </c>
      <c r="BG24" s="2" t="str">
        <f t="shared" si="4"/>
        <v>$/t</v>
      </c>
      <c r="BH24" s="2">
        <f t="shared" si="4"/>
        <v>290000</v>
      </c>
      <c r="BI24" s="2">
        <f t="shared" si="4"/>
        <v>285000</v>
      </c>
      <c r="BJ24" s="2">
        <f t="shared" si="4"/>
        <v>375000</v>
      </c>
      <c r="BL24">
        <f>+datos!CY1</f>
        <v>103</v>
      </c>
      <c r="BM24" s="2">
        <f t="shared" si="21"/>
        <v>10205.02100880455</v>
      </c>
      <c r="BN24" s="2">
        <f t="shared" si="21"/>
        <v>9957.273842636605</v>
      </c>
      <c r="BO24" s="2">
        <f t="shared" si="21"/>
        <v>7128.9573373528756</v>
      </c>
      <c r="BQ24" s="1">
        <f>+datos!ED1</f>
        <v>134</v>
      </c>
      <c r="BR24" s="1">
        <f t="shared" si="22"/>
        <v>231352</v>
      </c>
      <c r="BS24" s="1">
        <f t="shared" si="22"/>
        <v>230256</v>
      </c>
      <c r="BU24" s="1">
        <f>+datos!FZ1</f>
        <v>182</v>
      </c>
      <c r="BV24" s="1">
        <f t="shared" si="23"/>
        <v>892374</v>
      </c>
      <c r="BW24" s="1">
        <f t="shared" si="23"/>
        <v>917077.5</v>
      </c>
      <c r="BY24" s="1">
        <f>+datos!KD1</f>
        <v>290</v>
      </c>
      <c r="BZ24" s="1">
        <f t="shared" si="39"/>
        <v>111.18535484</v>
      </c>
      <c r="CA24" s="1">
        <f t="shared" si="40"/>
        <v>112.52041610000001</v>
      </c>
      <c r="CC24" s="1">
        <f>+datos!LI1</f>
        <v>321</v>
      </c>
      <c r="CD24" s="2">
        <f t="shared" si="24"/>
        <v>20.085412479999999</v>
      </c>
      <c r="CE24" s="2">
        <f t="shared" si="25"/>
        <v>22.736355009999997</v>
      </c>
      <c r="CG24" s="1">
        <f>+datos!IP1</f>
        <v>250</v>
      </c>
      <c r="CH24" s="1">
        <f t="shared" si="26"/>
        <v>5.7424738987207355</v>
      </c>
      <c r="CI24" s="1">
        <f t="shared" si="27"/>
        <v>5.5693606783423002</v>
      </c>
      <c r="CK24" s="1">
        <f t="shared" si="43"/>
        <v>7.4906505000000001</v>
      </c>
      <c r="CL24" s="1">
        <f t="shared" si="43"/>
        <v>7.8719914600000003</v>
      </c>
      <c r="CM24" s="1">
        <f t="shared" si="43"/>
        <v>9.8166064800000008</v>
      </c>
      <c r="CN24" s="1">
        <f t="shared" si="43"/>
        <v>7.1690497699999991</v>
      </c>
      <c r="CO24" s="1">
        <f t="shared" si="43"/>
        <v>10.805856030000001</v>
      </c>
      <c r="CP24" s="1">
        <f t="shared" si="43"/>
        <v>10.476429469999998</v>
      </c>
      <c r="CQ24" s="1">
        <f t="shared" si="43"/>
        <v>11.361751129999998</v>
      </c>
      <c r="CR24" s="1">
        <f t="shared" si="43"/>
        <v>10.05873476</v>
      </c>
      <c r="CS24" s="1">
        <f t="shared" si="43"/>
        <v>9.4659040999999995</v>
      </c>
      <c r="CT24" s="1">
        <f t="shared" si="43"/>
        <v>8.3006057400000017</v>
      </c>
      <c r="CU24" s="1">
        <f t="shared" si="43"/>
        <v>11.077079630000002</v>
      </c>
      <c r="CV24" s="1">
        <f t="shared" si="43"/>
        <v>7.2906957700000001</v>
      </c>
      <c r="CW24" s="1">
        <f t="shared" si="43"/>
        <v>8.852789640000001</v>
      </c>
      <c r="CX24" s="1">
        <f t="shared" si="43"/>
        <v>12.408222910000001</v>
      </c>
      <c r="CY24" s="1">
        <f t="shared" si="43"/>
        <v>8.8663402400000013</v>
      </c>
      <c r="CZ24" s="1">
        <f t="shared" si="43"/>
        <v>9.2397224899999983</v>
      </c>
      <c r="DA24" s="1">
        <f t="shared" si="44"/>
        <v>7.1224329199999996</v>
      </c>
      <c r="DB24" s="1">
        <f t="shared" si="44"/>
        <v>8.6156523299999996</v>
      </c>
      <c r="DC24" s="1">
        <f t="shared" si="44"/>
        <v>10.17972451</v>
      </c>
      <c r="DD24" s="1">
        <f t="shared" si="44"/>
        <v>11.833514059999999</v>
      </c>
      <c r="DE24" s="1">
        <f t="shared" si="44"/>
        <v>8.6649559600000003</v>
      </c>
      <c r="DF24" s="1">
        <f t="shared" si="44"/>
        <v>8.6995030900000003</v>
      </c>
      <c r="DG24" s="1">
        <f t="shared" si="44"/>
        <v>9.3876240000000006</v>
      </c>
      <c r="DH24" s="1">
        <f t="shared" si="44"/>
        <v>8.6499339499999994</v>
      </c>
      <c r="DJ24" s="1">
        <f t="shared" si="45"/>
        <v>2.2730154199999997</v>
      </c>
      <c r="DK24" s="1">
        <f t="shared" si="45"/>
        <v>2.4041640299999996</v>
      </c>
      <c r="DL24" s="1">
        <f t="shared" si="45"/>
        <v>2.0218665100000002</v>
      </c>
      <c r="DM24" s="1">
        <f t="shared" si="45"/>
        <v>1.1839526999999999</v>
      </c>
      <c r="DN24" s="1">
        <f t="shared" si="45"/>
        <v>1.1744757299999999</v>
      </c>
      <c r="DO24" s="1">
        <f t="shared" si="45"/>
        <v>2.1750064099999999</v>
      </c>
      <c r="DP24" s="1">
        <f t="shared" si="45"/>
        <v>2.6101839400000002</v>
      </c>
      <c r="DQ24" s="1">
        <f t="shared" si="45"/>
        <v>1.2494588400000002</v>
      </c>
      <c r="DR24" s="1">
        <f t="shared" si="45"/>
        <v>0.60028256999999996</v>
      </c>
      <c r="DS24" s="1">
        <f t="shared" si="45"/>
        <v>1.7316709800000001</v>
      </c>
      <c r="DT24" s="1">
        <f t="shared" si="45"/>
        <v>1.1554743999999999</v>
      </c>
      <c r="DU24" s="1">
        <f t="shared" si="45"/>
        <v>1.50586095</v>
      </c>
      <c r="DV24" s="1">
        <f t="shared" si="45"/>
        <v>3.2398820599999998</v>
      </c>
      <c r="DW24" s="1">
        <f t="shared" si="45"/>
        <v>3.1775986299999999</v>
      </c>
      <c r="DX24" s="1">
        <f t="shared" si="45"/>
        <v>2.4176205400000002</v>
      </c>
      <c r="DY24" s="1">
        <f t="shared" si="45"/>
        <v>1.0621514699999999</v>
      </c>
      <c r="DZ24" s="1">
        <f t="shared" si="41"/>
        <v>1.8796713600000001</v>
      </c>
      <c r="EA24" s="1">
        <f t="shared" si="41"/>
        <v>2.4189343299999999</v>
      </c>
      <c r="EB24" s="1">
        <f t="shared" si="41"/>
        <v>2.31537419</v>
      </c>
      <c r="EC24" s="1">
        <f t="shared" si="41"/>
        <v>1.6581343500000001</v>
      </c>
      <c r="ED24" s="1">
        <f t="shared" si="41"/>
        <v>1.1317222</v>
      </c>
      <c r="EE24" s="1">
        <f t="shared" si="41"/>
        <v>1.25031731</v>
      </c>
      <c r="EF24" s="1">
        <f t="shared" si="41"/>
        <v>1.1220479999999999</v>
      </c>
      <c r="EG24" s="1">
        <f t="shared" si="41"/>
        <v>1.06290057</v>
      </c>
      <c r="EI24" s="14">
        <f t="shared" si="46"/>
        <v>5.7424738987207355</v>
      </c>
      <c r="EJ24" s="14">
        <f t="shared" si="46"/>
        <v>5.7424738987207355</v>
      </c>
      <c r="EK24" s="1">
        <f t="shared" si="46"/>
        <v>5.7424738987207355</v>
      </c>
      <c r="EL24" s="1">
        <f t="shared" si="46"/>
        <v>5.7424738987207355</v>
      </c>
      <c r="EM24" s="1">
        <f t="shared" si="46"/>
        <v>5.5693606783423002</v>
      </c>
      <c r="EN24" s="1">
        <f t="shared" si="46"/>
        <v>5.5693606783423002</v>
      </c>
      <c r="EO24" s="1">
        <f t="shared" si="46"/>
        <v>5.5693606783423002</v>
      </c>
      <c r="EP24" s="1">
        <f t="shared" si="46"/>
        <v>5.5693606783423002</v>
      </c>
      <c r="EQ24" s="1">
        <f t="shared" si="46"/>
        <v>5.5693606783423002</v>
      </c>
      <c r="ER24" s="1">
        <f t="shared" si="46"/>
        <v>5.5693606783423002</v>
      </c>
      <c r="ES24" s="1">
        <f t="shared" si="46"/>
        <v>5.5693606783423002</v>
      </c>
      <c r="ET24" s="1">
        <f t="shared" si="46"/>
        <v>5.5693606783423002</v>
      </c>
      <c r="EU24" s="1">
        <f t="shared" si="46"/>
        <v>5.5693606783423002</v>
      </c>
      <c r="EV24" s="1">
        <f t="shared" si="46"/>
        <v>5.5693606783423002</v>
      </c>
      <c r="EW24" s="1">
        <f t="shared" si="46"/>
        <v>5.5693606783423002</v>
      </c>
      <c r="EX24" s="1">
        <f t="shared" si="46"/>
        <v>5.5693606783423002</v>
      </c>
      <c r="EY24" s="1">
        <f t="shared" si="42"/>
        <v>6.139895208369488</v>
      </c>
      <c r="EZ24" s="1">
        <f t="shared" si="42"/>
        <v>6.139895208369488</v>
      </c>
      <c r="FA24" s="1">
        <f t="shared" si="42"/>
        <v>6.139895208369488</v>
      </c>
      <c r="FB24" s="1">
        <f t="shared" si="42"/>
        <v>6.139895208369488</v>
      </c>
      <c r="FC24" s="1">
        <f t="shared" si="42"/>
        <v>6.139895208369488</v>
      </c>
      <c r="FD24" s="1">
        <f t="shared" si="42"/>
        <v>6.139895208369488</v>
      </c>
      <c r="FE24" s="1">
        <f t="shared" si="42"/>
        <v>6.139895208369488</v>
      </c>
      <c r="FF24" s="1">
        <f t="shared" si="42"/>
        <v>6.139895208369488</v>
      </c>
      <c r="FH24" s="162">
        <f t="shared" si="34"/>
        <v>-0.65815524569551498</v>
      </c>
    </row>
    <row r="25" spans="1:164"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T25" s="58"/>
      <c r="AU25" s="58"/>
      <c r="AV25" s="58"/>
      <c r="AW25" s="58"/>
      <c r="AX25" s="58"/>
      <c r="AY25" s="58">
        <v>4</v>
      </c>
      <c r="AZ25" s="58"/>
      <c r="BA25" s="58"/>
      <c r="BB25" s="58"/>
      <c r="BC25" s="58"/>
      <c r="BG25" s="2"/>
      <c r="BH25" s="2"/>
      <c r="BI25" s="2"/>
      <c r="BJ25" s="2"/>
      <c r="BM25" s="2"/>
      <c r="BN25" s="2"/>
      <c r="BO25" s="2"/>
      <c r="BQ25" s="1"/>
      <c r="BR25" s="1"/>
      <c r="BS25" s="1"/>
      <c r="BU25" s="1"/>
      <c r="BV25" s="1"/>
      <c r="BW25" s="1"/>
      <c r="BY25" s="1"/>
      <c r="BZ25" s="1"/>
      <c r="CA25" s="1"/>
      <c r="CC25" s="1"/>
      <c r="CD25" s="2"/>
      <c r="CE25" s="2"/>
      <c r="CG25" s="1"/>
      <c r="CH25" s="1"/>
      <c r="CI25" s="1"/>
      <c r="CK25" s="1"/>
      <c r="CL25" s="1"/>
      <c r="CM25" s="1"/>
      <c r="CN25" s="1"/>
      <c r="CO25" s="1"/>
      <c r="CP25" s="1"/>
      <c r="CQ25" s="1"/>
      <c r="CR25" s="1"/>
      <c r="CS25" s="1"/>
      <c r="CT25" s="1"/>
      <c r="CU25" s="1"/>
      <c r="CV25" s="1"/>
      <c r="CW25" s="1"/>
      <c r="CX25" s="1"/>
      <c r="CY25" s="1"/>
      <c r="CZ25" s="1"/>
      <c r="DA25" s="1"/>
      <c r="DB25" s="1"/>
      <c r="DC25" s="1"/>
      <c r="DD25" s="1"/>
      <c r="DE25" s="1"/>
      <c r="DF25" s="1"/>
      <c r="DG25" s="1"/>
      <c r="DH25" s="1"/>
      <c r="DJ25" s="1"/>
      <c r="DK25" s="1"/>
      <c r="DL25" s="1"/>
      <c r="DM25" s="1"/>
      <c r="DN25" s="1"/>
      <c r="DO25" s="1"/>
      <c r="DP25" s="1"/>
      <c r="DQ25" s="1"/>
      <c r="DR25" s="1"/>
      <c r="DS25" s="1"/>
      <c r="DT25" s="1"/>
      <c r="DU25" s="1"/>
      <c r="DV25" s="1"/>
      <c r="DW25" s="1"/>
      <c r="DX25" s="1"/>
      <c r="DY25" s="1"/>
      <c r="DZ25" s="1"/>
      <c r="EA25" s="1"/>
      <c r="EB25" s="1"/>
      <c r="EC25" s="1"/>
      <c r="ED25" s="1"/>
      <c r="EE25" s="1"/>
      <c r="EF25" s="1"/>
      <c r="EG25" s="1"/>
      <c r="EK25" s="1"/>
      <c r="EL25" s="1"/>
      <c r="EM25" s="1"/>
      <c r="EN25" s="1"/>
      <c r="EO25" s="1"/>
      <c r="EP25" s="1"/>
      <c r="EQ25" s="1"/>
      <c r="ER25" s="1"/>
      <c r="ES25" s="1"/>
      <c r="ET25" s="1"/>
      <c r="EU25" s="1"/>
      <c r="EV25" s="1"/>
      <c r="EW25" s="1"/>
      <c r="EX25" s="1"/>
      <c r="EY25" s="1"/>
      <c r="EZ25" s="1"/>
      <c r="FA25" s="1"/>
      <c r="FB25" s="1"/>
      <c r="FC25" s="1"/>
      <c r="FD25" s="1"/>
      <c r="FE25" s="1"/>
      <c r="FF25" s="1"/>
      <c r="FH25" s="162"/>
    </row>
    <row r="26" spans="1:164" ht="18.75" customHeight="1">
      <c r="E26" s="12">
        <f>+AVERAGE(E6:E24)</f>
        <v>-7.1946852208011917E-3</v>
      </c>
      <c r="F26" s="37">
        <f>+E26-$I$3</f>
        <v>-0.47979598406214491</v>
      </c>
      <c r="G26" s="12">
        <f>+AVERAGE(G6:G24)</f>
        <v>2.5610235126064057E-2</v>
      </c>
      <c r="I26" s="12" t="e">
        <f>+AVERAGEIF(I6:I24,"&gt;211%")</f>
        <v>#DIV/0!</v>
      </c>
      <c r="J26" s="37" t="e">
        <f t="shared" si="11"/>
        <v>#DIV/0!</v>
      </c>
      <c r="K26" s="12">
        <f>+AVERAGE(K6:K24)</f>
        <v>0.3730984346190292</v>
      </c>
      <c r="O26" s="12">
        <f>+AVERAGE(O6:O24)</f>
        <v>4.198935958936794E-2</v>
      </c>
      <c r="AB26" s="57"/>
    </row>
    <row r="27" spans="1:164" ht="18.75" customHeight="1">
      <c r="I27" s="12">
        <f>+AVERAGEIF(I6:I24,"&lt;211%")</f>
        <v>0.24656452722421618</v>
      </c>
      <c r="K27" s="177">
        <f>+SUBTOTAL(101,K6:K21)</f>
        <v>0.36783039783592197</v>
      </c>
      <c r="V27" t="s">
        <v>167</v>
      </c>
      <c r="X27" s="162"/>
      <c r="BD27" s="141" t="s">
        <v>273</v>
      </c>
      <c r="BR27" s="1">
        <f>+SUM(BR6:BR24)</f>
        <v>115194196</v>
      </c>
      <c r="BS27" s="1">
        <f>+SUM(BS6:BS24)</f>
        <v>114079771</v>
      </c>
      <c r="BV27" s="1">
        <f>+SUM(BV6:BV24)</f>
        <v>169579725.27578118</v>
      </c>
      <c r="BW27" s="1">
        <f>+SUM(BW6:BW24)</f>
        <v>165573043.10008398</v>
      </c>
      <c r="BZ27" s="1">
        <f>+SUM(BZ6:BZ24)</f>
        <v>54066.148710930014</v>
      </c>
      <c r="CA27" s="1">
        <f>+SUM(CA6:CA24)</f>
        <v>49761.692125729998</v>
      </c>
      <c r="CD27" s="1">
        <f>+SUM(CD6:CD24)</f>
        <v>3622.7697822200003</v>
      </c>
      <c r="CE27" s="1">
        <f>+SUM(CE6:CE24)</f>
        <v>5311.4710854400009</v>
      </c>
      <c r="FH27" s="167">
        <f>+COUNTIF(FH6:FH24,"&gt;0")</f>
        <v>5</v>
      </c>
    </row>
    <row r="28" spans="1:164" ht="18.75" customHeight="1">
      <c r="A28" s="11">
        <f>+COUNTIF($C$6:$C$24,"&lt;0")</f>
        <v>10</v>
      </c>
      <c r="C28" s="156">
        <v>-1</v>
      </c>
      <c r="E28" s="167">
        <f>+COUNTIF($I$6:$I$24,"&lt;1,69")</f>
        <v>19</v>
      </c>
      <c r="F28" s="29">
        <v>-1</v>
      </c>
      <c r="I28" s="167">
        <f>+COUNTIF($I$6:$I$24,"&lt;1,69")</f>
        <v>19</v>
      </c>
      <c r="J28" s="29">
        <v>-1</v>
      </c>
      <c r="K28">
        <f>+COUNTIF($L$6:$L$24,"&lt;0")</f>
        <v>14</v>
      </c>
      <c r="L28" s="29">
        <v>-1</v>
      </c>
      <c r="O28">
        <f>+COUNTIF($P$6:$P$24,"&lt;0")</f>
        <v>6</v>
      </c>
      <c r="P28" s="262">
        <v>-1</v>
      </c>
      <c r="Q28">
        <f>+COUNTIF($R$6:$R$24,"&lt;0")</f>
        <v>5</v>
      </c>
      <c r="R28" s="262">
        <v>-1</v>
      </c>
      <c r="T28" s="57">
        <f>+COUNTIF($U$6:$U$24,"&lt;0")</f>
        <v>5</v>
      </c>
      <c r="U28" s="29">
        <v>-1</v>
      </c>
      <c r="BS28" t="s">
        <v>491</v>
      </c>
      <c r="BV28" s="167">
        <f>+SUMIFS(BV6:BV24,BD6:BD24,5)+SUMIFS(BV6:BV24,BD6:BD24,4)</f>
        <v>26020206</v>
      </c>
      <c r="BZ28" s="10">
        <f>+BZ27/CA27-1</f>
        <v>8.6501411051782329E-2</v>
      </c>
      <c r="CD28" s="10">
        <f>+CD27/CE27-1</f>
        <v>-0.31793476346866134</v>
      </c>
    </row>
    <row r="29" spans="1:164" ht="18.75" customHeight="1">
      <c r="A29" s="11">
        <f>+COUNTIF($C$6:$C$24,C29)</f>
        <v>8</v>
      </c>
      <c r="C29" s="156">
        <v>0</v>
      </c>
      <c r="E29" s="167">
        <f>+COUNTIF($I$6:$I$24,"=1,69")</f>
        <v>0</v>
      </c>
      <c r="F29" s="29">
        <v>0</v>
      </c>
      <c r="I29" s="167">
        <f>+COUNTIF($I$6:$I$24,"=1,69")</f>
        <v>0</v>
      </c>
      <c r="J29" s="29">
        <v>0</v>
      </c>
      <c r="L29" s="29">
        <v>0</v>
      </c>
      <c r="O29">
        <f>+COUNTIF($P$6:$P$24,"=0")</f>
        <v>3</v>
      </c>
      <c r="P29" s="262">
        <v>0</v>
      </c>
      <c r="Q29">
        <f>+COUNTIF($R$6:$R$24,"=0")</f>
        <v>3</v>
      </c>
      <c r="R29" s="262">
        <v>0</v>
      </c>
      <c r="T29" s="57">
        <f>+COUNTIF($U$6:$U$24,"=0")</f>
        <v>0</v>
      </c>
      <c r="U29" s="29">
        <v>0</v>
      </c>
      <c r="BS29" t="s">
        <v>492</v>
      </c>
      <c r="BV29" s="167">
        <f>+SUMIFS(BV6:BV24,BD6:BD24,3)</f>
        <v>140355381.17578116</v>
      </c>
    </row>
    <row r="30" spans="1:164" ht="18.75" customHeight="1">
      <c r="A30" s="11">
        <f>+COUNTIF($C$6:$C$24,"&gt;0")</f>
        <v>1</v>
      </c>
      <c r="C30" s="156">
        <v>1</v>
      </c>
      <c r="E30" s="167">
        <f>+COUNTIF($I$6:$I$24,"&gt;1,69")</f>
        <v>0</v>
      </c>
      <c r="F30" s="29">
        <v>1</v>
      </c>
      <c r="I30" s="167">
        <f>+COUNTIF($I$6:$I$24,"&gt;1,69")</f>
        <v>0</v>
      </c>
      <c r="J30" s="29">
        <v>1</v>
      </c>
      <c r="K30">
        <f>+COUNTIF($L$6:$L$24,"&gt;0")</f>
        <v>5</v>
      </c>
      <c r="L30" s="29">
        <v>1</v>
      </c>
      <c r="O30">
        <f>+COUNTIF($P$6:$P$24,"&gt;0")</f>
        <v>9</v>
      </c>
      <c r="P30" s="262">
        <v>1</v>
      </c>
      <c r="Q30">
        <f>+COUNTIF($R$6:$R$24,"&gt;0")</f>
        <v>11</v>
      </c>
      <c r="R30" s="262">
        <v>1</v>
      </c>
      <c r="T30" s="57">
        <f>+COUNTIF($U$6:$U$24,"&gt;0")</f>
        <v>13</v>
      </c>
      <c r="U30" s="29">
        <v>1</v>
      </c>
      <c r="X30" s="14"/>
      <c r="BS30" t="s">
        <v>493</v>
      </c>
      <c r="BV30" s="167">
        <f>+SUMIFS(BV6:BV24,BD6:BD24,1)+SUMIFS(BV6:BV24,BD6:BD24,2)</f>
        <v>3204138.1</v>
      </c>
      <c r="BY30" s="1"/>
    </row>
    <row r="31" spans="1:164" ht="18.75" customHeight="1">
      <c r="K31" s="12"/>
    </row>
    <row r="32" spans="1:164" ht="18.75" customHeight="1">
      <c r="C32" s="157"/>
      <c r="I32" s="14">
        <f>+COUNTIF(I6:I24,"&gt;211%")</f>
        <v>0</v>
      </c>
      <c r="J32" s="14"/>
      <c r="K32" s="14"/>
      <c r="Y32" s="163"/>
    </row>
    <row r="33" spans="1:165" ht="18.75" customHeight="1">
      <c r="C33" s="157"/>
      <c r="I33" s="12" t="e">
        <f>+I26/2</f>
        <v>#DIV/0!</v>
      </c>
    </row>
    <row r="34" spans="1:165"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c r="BD34" s="141"/>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s="14"/>
      <c r="EJ34" s="14"/>
      <c r="EK34"/>
      <c r="EL34"/>
      <c r="EM34"/>
      <c r="EN34"/>
      <c r="EO34"/>
      <c r="EP34"/>
      <c r="EQ34"/>
      <c r="ER34"/>
      <c r="ES34"/>
      <c r="ET34"/>
      <c r="EU34"/>
      <c r="EV34"/>
      <c r="EW34"/>
      <c r="EX34"/>
      <c r="EY34"/>
      <c r="EZ34"/>
      <c r="FA34"/>
      <c r="FB34"/>
      <c r="FC34"/>
      <c r="FD34"/>
      <c r="FE34"/>
      <c r="FF34"/>
      <c r="FG34"/>
      <c r="FH34"/>
      <c r="FI34"/>
    </row>
    <row r="35" spans="1:165"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c r="BD35" s="141"/>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s="14"/>
      <c r="EJ35" s="14"/>
      <c r="EK35"/>
      <c r="EL35"/>
      <c r="EM35"/>
      <c r="EN35"/>
      <c r="EO35"/>
      <c r="EP35"/>
      <c r="EQ35"/>
      <c r="ER35"/>
      <c r="ES35"/>
      <c r="ET35"/>
      <c r="EU35"/>
      <c r="EV35"/>
      <c r="EW35"/>
      <c r="EX35"/>
      <c r="EY35"/>
      <c r="EZ35"/>
      <c r="FA35"/>
      <c r="FB35"/>
      <c r="FC35"/>
      <c r="FD35"/>
      <c r="FE35"/>
      <c r="FF35"/>
      <c r="FG35"/>
      <c r="FH35"/>
      <c r="FI35"/>
    </row>
    <row r="36" spans="1:165"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c r="BD36" s="141"/>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s="14"/>
      <c r="EJ36" s="14"/>
      <c r="EK36"/>
      <c r="EL36"/>
      <c r="EM36"/>
      <c r="EN36"/>
      <c r="EO36"/>
      <c r="EP36"/>
      <c r="EQ36"/>
      <c r="ER36"/>
      <c r="ES36"/>
      <c r="ET36"/>
      <c r="EU36"/>
      <c r="EV36"/>
      <c r="EW36"/>
      <c r="EX36"/>
      <c r="EY36"/>
      <c r="EZ36"/>
      <c r="FA36"/>
      <c r="FB36"/>
      <c r="FC36"/>
      <c r="FD36"/>
      <c r="FE36"/>
      <c r="FF36"/>
      <c r="FG36"/>
      <c r="FH36"/>
      <c r="FI36"/>
    </row>
    <row r="37" spans="1:165"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c r="BD37" s="141"/>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s="14"/>
      <c r="EJ37" s="14"/>
      <c r="EK37"/>
      <c r="EL37"/>
      <c r="EM37"/>
      <c r="EN37"/>
      <c r="EO37"/>
      <c r="EP37"/>
      <c r="EQ37"/>
      <c r="ER37"/>
      <c r="ES37"/>
      <c r="ET37"/>
      <c r="EU37"/>
      <c r="EV37"/>
      <c r="EW37"/>
      <c r="EX37"/>
      <c r="EY37"/>
      <c r="EZ37"/>
      <c r="FA37"/>
      <c r="FB37"/>
      <c r="FC37"/>
      <c r="FD37"/>
      <c r="FE37"/>
      <c r="FF37"/>
      <c r="FG37"/>
      <c r="FH37"/>
      <c r="FI37"/>
    </row>
    <row r="38" spans="1:165"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c r="BD38" s="141"/>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s="14"/>
      <c r="EJ38" s="14"/>
      <c r="EK38"/>
      <c r="EL38"/>
      <c r="EM38"/>
      <c r="EN38"/>
      <c r="EO38"/>
      <c r="EP38"/>
      <c r="EQ38"/>
      <c r="ER38"/>
      <c r="ES38"/>
      <c r="ET38"/>
      <c r="EU38"/>
      <c r="EV38"/>
      <c r="EW38"/>
      <c r="EX38"/>
      <c r="EY38"/>
      <c r="EZ38"/>
      <c r="FA38"/>
      <c r="FB38"/>
      <c r="FC38"/>
      <c r="FD38"/>
      <c r="FE38"/>
      <c r="FF38"/>
      <c r="FG38"/>
      <c r="FH38"/>
      <c r="FI38"/>
    </row>
    <row r="39" spans="1:165"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c r="BD39" s="141"/>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s="14"/>
      <c r="EJ39" s="14"/>
      <c r="EK39"/>
      <c r="EL39"/>
      <c r="EM39"/>
      <c r="EN39"/>
      <c r="EO39"/>
      <c r="EP39"/>
      <c r="EQ39"/>
      <c r="ER39"/>
      <c r="ES39"/>
      <c r="ET39"/>
      <c r="EU39"/>
      <c r="EV39"/>
      <c r="EW39"/>
      <c r="EX39"/>
      <c r="EY39"/>
      <c r="EZ39"/>
      <c r="FA39"/>
      <c r="FB39"/>
      <c r="FC39"/>
      <c r="FD39"/>
      <c r="FE39"/>
      <c r="FF39"/>
      <c r="FG39"/>
      <c r="FH39"/>
      <c r="FI39"/>
    </row>
    <row r="40" spans="1:165"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c r="BD40" s="141"/>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s="14"/>
      <c r="EJ40" s="14"/>
      <c r="EK40"/>
      <c r="EL40"/>
      <c r="EM40"/>
      <c r="EN40"/>
      <c r="EO40"/>
      <c r="EP40"/>
      <c r="EQ40"/>
      <c r="ER40"/>
      <c r="ES40"/>
      <c r="ET40"/>
      <c r="EU40"/>
      <c r="EV40"/>
      <c r="EW40"/>
      <c r="EX40"/>
      <c r="EY40"/>
      <c r="EZ40"/>
      <c r="FA40"/>
      <c r="FB40"/>
      <c r="FC40"/>
      <c r="FD40"/>
      <c r="FE40"/>
      <c r="FF40"/>
      <c r="FG40"/>
      <c r="FH40"/>
      <c r="FI40"/>
    </row>
    <row r="45" spans="1:165"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c r="BD45" s="141"/>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s="14"/>
      <c r="EJ45" s="14"/>
      <c r="EK45"/>
      <c r="EL45"/>
      <c r="EM45"/>
      <c r="EN45"/>
      <c r="EO45"/>
      <c r="EP45"/>
      <c r="EQ45"/>
      <c r="ER45"/>
      <c r="ES45"/>
      <c r="ET45"/>
      <c r="EU45"/>
      <c r="EV45"/>
      <c r="EW45"/>
      <c r="EX45"/>
      <c r="EY45"/>
      <c r="EZ45"/>
      <c r="FA45"/>
      <c r="FB45"/>
      <c r="FC45"/>
      <c r="FD45"/>
      <c r="FE45"/>
      <c r="FF45"/>
      <c r="FG45"/>
      <c r="FH45"/>
      <c r="FI45"/>
    </row>
    <row r="46" spans="1:165"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c r="BD46" s="141"/>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s="14"/>
      <c r="EJ46" s="14"/>
      <c r="EK46"/>
      <c r="EL46"/>
      <c r="EM46"/>
      <c r="EN46"/>
      <c r="EO46"/>
      <c r="EP46"/>
      <c r="EQ46"/>
      <c r="ER46"/>
      <c r="ES46"/>
      <c r="ET46"/>
      <c r="EU46"/>
      <c r="EV46"/>
      <c r="EW46"/>
      <c r="EX46"/>
      <c r="EY46"/>
      <c r="EZ46"/>
      <c r="FA46"/>
      <c r="FB46"/>
      <c r="FC46"/>
      <c r="FD46"/>
      <c r="FE46"/>
      <c r="FF46"/>
      <c r="FG46"/>
      <c r="FH46"/>
      <c r="FI46"/>
    </row>
    <row r="47" spans="1:165"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c r="BD47" s="141"/>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s="14"/>
      <c r="EJ47" s="14"/>
      <c r="EK47"/>
      <c r="EL47"/>
      <c r="EM47"/>
      <c r="EN47"/>
      <c r="EO47"/>
      <c r="EP47"/>
      <c r="EQ47"/>
      <c r="ER47"/>
      <c r="ES47"/>
      <c r="ET47"/>
      <c r="EU47"/>
      <c r="EV47"/>
      <c r="EW47"/>
      <c r="EX47"/>
      <c r="EY47"/>
      <c r="EZ47"/>
      <c r="FA47"/>
      <c r="FB47"/>
      <c r="FC47"/>
      <c r="FD47"/>
      <c r="FE47"/>
      <c r="FF47"/>
      <c r="FG47"/>
      <c r="FH47"/>
      <c r="FI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155" priority="53">
      <formula>AP6=0</formula>
    </cfRule>
    <cfRule type="expression" dxfId="154" priority="48">
      <formula>AP6=3</formula>
    </cfRule>
    <cfRule type="expression" dxfId="153" priority="49">
      <formula>AP6=5</formula>
    </cfRule>
    <cfRule type="expression" dxfId="152" priority="50">
      <formula>AP6=4</formula>
    </cfRule>
    <cfRule type="expression" dxfId="151" priority="51">
      <formula>AP6=2</formula>
    </cfRule>
    <cfRule type="expression" dxfId="150" priority="52">
      <formula>AP6=1</formula>
    </cfRule>
  </conditionalFormatting>
  <conditionalFormatting sqref="AN6:AN25">
    <cfRule type="expression" dxfId="149" priority="65">
      <formula>BA6=0</formula>
    </cfRule>
    <cfRule type="expression" dxfId="148" priority="60">
      <formula>BA6=3</formula>
    </cfRule>
    <cfRule type="expression" dxfId="147" priority="61">
      <formula>BA6=5</formula>
    </cfRule>
    <cfRule type="expression" dxfId="146" priority="62">
      <formula>BA6=4</formula>
    </cfRule>
    <cfRule type="expression" dxfId="145" priority="63">
      <formula>BA6=2</formula>
    </cfRule>
    <cfRule type="expression" dxfId="144" priority="64">
      <formula>BA6=1</formula>
    </cfRule>
  </conditionalFormatting>
  <conditionalFormatting sqref="AO6:AO25">
    <cfRule type="expression" dxfId="143" priority="54">
      <formula>#REF!=3</formula>
    </cfRule>
    <cfRule type="expression" dxfId="142" priority="55">
      <formula>#REF!=5</formula>
    </cfRule>
    <cfRule type="expression" dxfId="141" priority="56">
      <formula>#REF!=4</formula>
    </cfRule>
    <cfRule type="expression" dxfId="140" priority="58">
      <formula>#REF!=1</formula>
    </cfRule>
    <cfRule type="expression" dxfId="139" priority="59">
      <formula>#REF!=0</formula>
    </cfRule>
    <cfRule type="expression" dxfId="138" priority="57">
      <formula>#REF!=2</formula>
    </cfRule>
  </conditionalFormatting>
  <conditionalFormatting sqref="FH6:FH25 FH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7F93A611-8D2E-471B-A466-87275F559C18}">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1FB72D69-D2F8-490C-B1CB-CA6831C8D687}">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69EEE704-E3A0-4858-B10F-19EE41FC049B}">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216D0-03D4-4F03-A54F-A9B984F891A8}">
  <sheetPr>
    <tabColor theme="5" tint="-0.249977111117893"/>
    <pageSetUpPr fitToPage="1"/>
  </sheetPr>
  <dimension ref="A1:FH47"/>
  <sheetViews>
    <sheetView showGridLines="0" zoomScale="70" zoomScaleNormal="70" workbookViewId="0">
      <selection activeCell="BA2" sqref="BA2"/>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3" style="57" customWidth="1"/>
    <col min="42" max="42" width="5.33203125" style="28" hidden="1" customWidth="1"/>
    <col min="43" max="43" width="6" style="28" hidden="1" customWidth="1"/>
    <col min="44" max="44" width="5.33203125" style="28" hidden="1" customWidth="1"/>
    <col min="45" max="45" width="8.5546875" style="28" hidden="1" customWidth="1"/>
    <col min="46" max="46" width="5.5546875" hidden="1" customWidth="1"/>
    <col min="47" max="47" width="6.33203125" hidden="1" customWidth="1"/>
    <col min="48" max="48" width="6.88671875" hidden="1" customWidth="1"/>
    <col min="49" max="51" width="6.33203125" hidden="1" customWidth="1"/>
    <col min="52" max="52" width="5.6640625" hidden="1" customWidth="1"/>
    <col min="53" max="54" width="7.44140625" hidden="1" customWidth="1"/>
    <col min="55" max="55" width="11.664062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45717</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f>+A1</f>
        <v>45717</v>
      </c>
      <c r="BH1" s="3">
        <f>+VLOOKUP(BH2,datos!$D:$E,2,FALSE)</f>
        <v>45689</v>
      </c>
      <c r="BI1" s="3">
        <f>+VLOOKUP(BI2,datos!$D:$E,2,FALSE)</f>
        <v>45352</v>
      </c>
      <c r="BL1" s="3">
        <f>+A1</f>
        <v>45717</v>
      </c>
      <c r="BM1" s="3">
        <f>+VLOOKUP(BM2,datos!$D:$E,2,FALSE)</f>
        <v>45689</v>
      </c>
      <c r="BN1" s="3">
        <f>+VLOOKUP(BN2,datos!$D:$E,2,FALSE)</f>
        <v>45352</v>
      </c>
      <c r="BQ1" s="3">
        <f>+A1</f>
        <v>45717</v>
      </c>
      <c r="BR1" s="3">
        <f>+VLOOKUP(BR2,datos!$D:$E,2,FALSE)</f>
        <v>45352</v>
      </c>
      <c r="BU1" s="3">
        <f>+A1</f>
        <v>45717</v>
      </c>
      <c r="BV1" s="3">
        <f>+VLOOKUP(BV2,datos!$D:$E,2,FALSE)</f>
        <v>45352</v>
      </c>
      <c r="BY1" t="s">
        <v>279</v>
      </c>
      <c r="BZ1" t="s">
        <v>280</v>
      </c>
      <c r="CC1" t="s">
        <v>279</v>
      </c>
      <c r="CD1" t="s">
        <v>280</v>
      </c>
      <c r="CG1" t="s">
        <v>282</v>
      </c>
      <c r="CH1" t="s">
        <v>283</v>
      </c>
      <c r="CI1" s="3">
        <f>+A1</f>
        <v>45717</v>
      </c>
      <c r="CJ1" s="3">
        <f>+VLOOKUP(CJ2,datos!$D:$E,2,FALSE)</f>
        <v>45717</v>
      </c>
      <c r="CK1" s="3">
        <f>+VLOOKUP(CK2,datos!$D:$E,2,FALSE)</f>
        <v>45689</v>
      </c>
      <c r="CL1" s="3">
        <f>+VLOOKUP(CL2,datos!$D:$E,2,FALSE)</f>
        <v>45658</v>
      </c>
      <c r="CM1" s="3">
        <f>+VLOOKUP(CM2,datos!$D:$E,2,FALSE)</f>
        <v>45627</v>
      </c>
      <c r="CN1" s="3">
        <f>+VLOOKUP(CN2,datos!$D:$E,2,FALSE)</f>
        <v>45597</v>
      </c>
      <c r="CO1" s="3">
        <f>+VLOOKUP(CO2,datos!$D:$E,2,FALSE)</f>
        <v>45566</v>
      </c>
      <c r="CP1" s="3">
        <f>+VLOOKUP(CP2,datos!$D:$E,2,FALSE)</f>
        <v>45536</v>
      </c>
      <c r="CQ1" s="3">
        <f>+VLOOKUP(CQ2,datos!$D:$E,2,FALSE)</f>
        <v>45505</v>
      </c>
      <c r="CR1" s="3">
        <f>+VLOOKUP(CR2,datos!$D:$E,2,FALSE)</f>
        <v>45474</v>
      </c>
      <c r="CS1" s="3">
        <f>+VLOOKUP(CS2,datos!$D:$E,2,FALSE)</f>
        <v>45444</v>
      </c>
      <c r="CT1" s="3">
        <f>+VLOOKUP(CT2,datos!$D:$E,2,FALSE)</f>
        <v>45413</v>
      </c>
      <c r="CU1" s="3">
        <f>+VLOOKUP(CU2,datos!$D:$E,2,FALSE)</f>
        <v>45383</v>
      </c>
      <c r="CV1" s="3">
        <f>+VLOOKUP(CV2,datos!$D:$E,2,FALSE)</f>
        <v>45352</v>
      </c>
      <c r="CW1" s="3">
        <f>+VLOOKUP(CW2,datos!$D:$E,2,FALSE)</f>
        <v>45323</v>
      </c>
      <c r="CX1" s="3">
        <f>+VLOOKUP(CX2,datos!$D:$E,2,FALSE)</f>
        <v>45292</v>
      </c>
      <c r="CY1" s="3">
        <f>+VLOOKUP(CY2,datos!$D:$E,2,FALSE)</f>
        <v>45261</v>
      </c>
      <c r="CZ1" s="3">
        <f>+VLOOKUP(CZ2,datos!$D:$E,2,FALSE)</f>
        <v>45231</v>
      </c>
      <c r="DA1" s="3">
        <f>+VLOOKUP(DA2,datos!$D:$E,2,FALSE)</f>
        <v>45200</v>
      </c>
      <c r="DB1" s="3">
        <f>+VLOOKUP(DB2,datos!$D:$E,2,FALSE)</f>
        <v>45170</v>
      </c>
      <c r="DC1" s="3">
        <f>+VLOOKUP(DC2,datos!$D:$E,2,FALSE)</f>
        <v>45139</v>
      </c>
      <c r="DD1" s="3">
        <f>+VLOOKUP(DD2,datos!$D:$E,2,FALSE)</f>
        <v>45108</v>
      </c>
      <c r="DE1" s="3">
        <f>+VLOOKUP(DE2,datos!$D:$E,2,FALSE)</f>
        <v>45078</v>
      </c>
      <c r="DF1" s="3">
        <f>+VLOOKUP(DF2,datos!$D:$E,2,FALSE)</f>
        <v>45047</v>
      </c>
      <c r="DG1" s="3">
        <f>+VLOOKUP(DG2,datos!$D:$E,2,FALSE)</f>
        <v>45017</v>
      </c>
      <c r="DI1" s="3">
        <f>+CJ1</f>
        <v>45717</v>
      </c>
      <c r="DJ1" s="3">
        <f>+VLOOKUP(DJ2,datos!$D:$E,2,FALSE)</f>
        <v>45689</v>
      </c>
      <c r="DK1" s="3">
        <f>+VLOOKUP(DK2,datos!$D:$E,2,FALSE)</f>
        <v>45658</v>
      </c>
      <c r="DL1" s="3">
        <f>+VLOOKUP(DL2,datos!$D:$E,2,FALSE)</f>
        <v>45627</v>
      </c>
      <c r="DM1" s="3">
        <f>+VLOOKUP(DM2,datos!$D:$E,2,FALSE)</f>
        <v>45597</v>
      </c>
      <c r="DN1" s="3">
        <f>+VLOOKUP(DN2,datos!$D:$E,2,FALSE)</f>
        <v>45566</v>
      </c>
      <c r="DO1" s="3">
        <f>+VLOOKUP(DO2,datos!$D:$E,2,FALSE)</f>
        <v>45536</v>
      </c>
      <c r="DP1" s="3">
        <f>+VLOOKUP(DP2,datos!$D:$E,2,FALSE)</f>
        <v>45505</v>
      </c>
      <c r="DQ1" s="3">
        <f>+VLOOKUP(DQ2,datos!$D:$E,2,FALSE)</f>
        <v>45474</v>
      </c>
      <c r="DR1" s="3">
        <f>+VLOOKUP(DR2,datos!$D:$E,2,FALSE)</f>
        <v>45444</v>
      </c>
      <c r="DS1" s="3">
        <f>+VLOOKUP(DS2,datos!$D:$E,2,FALSE)</f>
        <v>45413</v>
      </c>
      <c r="DT1" s="3">
        <f>+VLOOKUP(DT2,datos!$D:$E,2,FALSE)</f>
        <v>45383</v>
      </c>
      <c r="DU1" s="3">
        <f>+VLOOKUP(DU2,datos!$D:$E,2,FALSE)</f>
        <v>45352</v>
      </c>
      <c r="DV1" s="3">
        <f>+VLOOKUP(DV2,datos!$D:$E,2,FALSE)</f>
        <v>45323</v>
      </c>
      <c r="DW1" s="3">
        <f>+VLOOKUP(DW2,datos!$D:$E,2,FALSE)</f>
        <v>45292</v>
      </c>
      <c r="DX1" s="3">
        <f>+VLOOKUP(DX2,datos!$D:$E,2,FALSE)</f>
        <v>45261</v>
      </c>
      <c r="DY1" s="3">
        <f>+VLOOKUP(DY2,datos!$D:$E,2,FALSE)</f>
        <v>45231</v>
      </c>
      <c r="DZ1" s="3">
        <f>+VLOOKUP(DZ2,datos!$D:$E,2,FALSE)</f>
        <v>45200</v>
      </c>
      <c r="EA1" s="3">
        <f>+VLOOKUP(EA2,datos!$D:$E,2,FALSE)</f>
        <v>45170</v>
      </c>
      <c r="EB1" s="3">
        <f>+VLOOKUP(EB2,datos!$D:$E,2,FALSE)</f>
        <v>45139</v>
      </c>
      <c r="EC1" s="3">
        <f>+VLOOKUP(EC2,datos!$D:$E,2,FALSE)</f>
        <v>45108</v>
      </c>
      <c r="ED1" s="3">
        <f>+VLOOKUP(ED2,datos!$D:$E,2,FALSE)</f>
        <v>45078</v>
      </c>
      <c r="EE1" s="3">
        <f>+VLOOKUP(EE2,datos!$D:$E,2,FALSE)</f>
        <v>45047</v>
      </c>
      <c r="EF1" s="3">
        <f>+VLOOKUP(EF2,datos!$D:$E,2,FALSE)</f>
        <v>45017</v>
      </c>
      <c r="EH1" s="14">
        <f>+CJ1</f>
        <v>45717</v>
      </c>
      <c r="EI1" s="14">
        <f t="shared" ref="EI1:FE1" si="0">+CK1</f>
        <v>45689</v>
      </c>
      <c r="EJ1" s="3">
        <f t="shared" si="0"/>
        <v>45658</v>
      </c>
      <c r="EK1" s="3">
        <f t="shared" si="0"/>
        <v>45627</v>
      </c>
      <c r="EL1" s="3">
        <f t="shared" si="0"/>
        <v>45597</v>
      </c>
      <c r="EM1" s="3">
        <f t="shared" si="0"/>
        <v>45566</v>
      </c>
      <c r="EN1" s="3">
        <f t="shared" si="0"/>
        <v>45536</v>
      </c>
      <c r="EO1" s="3">
        <f t="shared" si="0"/>
        <v>45505</v>
      </c>
      <c r="EP1" s="3">
        <f t="shared" si="0"/>
        <v>45474</v>
      </c>
      <c r="EQ1" s="3">
        <f t="shared" si="0"/>
        <v>45444</v>
      </c>
      <c r="ER1" s="3">
        <f t="shared" si="0"/>
        <v>45413</v>
      </c>
      <c r="ES1" s="3">
        <f t="shared" si="0"/>
        <v>45383</v>
      </c>
      <c r="ET1" s="3">
        <f t="shared" si="0"/>
        <v>45352</v>
      </c>
      <c r="EU1" s="3">
        <f t="shared" si="0"/>
        <v>45323</v>
      </c>
      <c r="EV1" s="3">
        <f t="shared" si="0"/>
        <v>45292</v>
      </c>
      <c r="EW1" s="3">
        <f t="shared" si="0"/>
        <v>45261</v>
      </c>
      <c r="EX1" s="3">
        <f t="shared" si="0"/>
        <v>45231</v>
      </c>
      <c r="EY1" s="3">
        <f t="shared" si="0"/>
        <v>45200</v>
      </c>
      <c r="EZ1" s="3">
        <f t="shared" si="0"/>
        <v>45170</v>
      </c>
      <c r="FA1" s="3">
        <f t="shared" si="0"/>
        <v>45139</v>
      </c>
      <c r="FB1" s="3">
        <f t="shared" si="0"/>
        <v>45108</v>
      </c>
      <c r="FC1" s="3">
        <f t="shared" si="0"/>
        <v>45078</v>
      </c>
      <c r="FD1" s="3">
        <f t="shared" si="0"/>
        <v>45047</v>
      </c>
      <c r="FE1" s="3">
        <f t="shared" si="0"/>
        <v>45017</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45383</v>
      </c>
      <c r="AQ2" s="174">
        <f>VLOOKUP(VLOOKUP(+$A$1,ran_ma,2,FALSE)-10,ran_idma,2,FALSE)</f>
        <v>45413</v>
      </c>
      <c r="AR2" s="174">
        <f>VLOOKUP(VLOOKUP(+$A$1,ran_ma,2,FALSE)-9,ran_idma,2,FALSE)</f>
        <v>45444</v>
      </c>
      <c r="AS2" s="174">
        <f>VLOOKUP(VLOOKUP(+$A$1,ran_ma,2,FALSE)-8,ran_idma,2,FALSE)</f>
        <v>45474</v>
      </c>
      <c r="AT2" s="59">
        <f>VLOOKUP(VLOOKUP(+$A$1,ran_ma,2,FALSE)-7,ran_idma,2,FALSE)</f>
        <v>45505</v>
      </c>
      <c r="AU2" s="59">
        <f>VLOOKUP(VLOOKUP(+$A$1,ran_ma,2,FALSE)-6,ran_idma,2,FALSE)</f>
        <v>45536</v>
      </c>
      <c r="AV2" s="59">
        <f>VLOOKUP(VLOOKUP(+$A$1,ran_ma,2,FALSE)-5,ran_idma,2,FALSE)</f>
        <v>45566</v>
      </c>
      <c r="AW2" s="59">
        <f>VLOOKUP(VLOOKUP(+$A$1,ran_ma,2,FALSE)-4,ran_idma,2,FALSE)</f>
        <v>45597</v>
      </c>
      <c r="AX2" s="59">
        <f>VLOOKUP(VLOOKUP(+$A$1,ran_ma,2,FALSE)-3,ran_idma,2,FALSE)</f>
        <v>45627</v>
      </c>
      <c r="AY2" s="59">
        <f>VLOOKUP(VLOOKUP(+$A$1,ran_ma,2,FALSE)-2,ran_idma,2,FALSE)</f>
        <v>45658</v>
      </c>
      <c r="AZ2" s="59">
        <f>VLOOKUP(VLOOKUP(+$A$1,ran_ma,2,FALSE)-1,ran_idma,2,FALSE)</f>
        <v>45689</v>
      </c>
      <c r="BA2" s="59">
        <f>+$A$1</f>
        <v>45717</v>
      </c>
      <c r="BB2" s="59"/>
      <c r="BC2" s="170"/>
      <c r="BE2" s="9" t="s">
        <v>272</v>
      </c>
      <c r="BG2">
        <f>+VLOOKUP(BG1,ran_dat,datos!$D$1,FALSE)</f>
        <v>120</v>
      </c>
      <c r="BH2">
        <f>+BG2-1</f>
        <v>119</v>
      </c>
      <c r="BI2">
        <f>+BG2-12</f>
        <v>108</v>
      </c>
      <c r="BK2" s="9"/>
      <c r="BL2">
        <f>+VLOOKUP(BL1,ran_dat,datos!$D$1,FALSE)</f>
        <v>120</v>
      </c>
      <c r="BM2">
        <f>+BL2-1</f>
        <v>119</v>
      </c>
      <c r="BN2">
        <f>+BL2-12</f>
        <v>108</v>
      </c>
      <c r="BP2" s="9"/>
      <c r="BQ2">
        <f>+VLOOKUP(BQ1,ran_dat,datos!$D$1,FALSE)</f>
        <v>120</v>
      </c>
      <c r="BR2">
        <f>+BQ2-12</f>
        <v>108</v>
      </c>
      <c r="BT2" s="9"/>
      <c r="BU2">
        <f>+VLOOKUP(BU1,ran_dat,datos!$D$1,FALSE)</f>
        <v>120</v>
      </c>
      <c r="BV2">
        <f>+BU2-12</f>
        <v>108</v>
      </c>
      <c r="BX2" s="9"/>
      <c r="CB2" s="9"/>
      <c r="CI2">
        <f>+VLOOKUP(CI1,ran_dat,datos!$D$1,FALSE)</f>
        <v>120</v>
      </c>
      <c r="CJ2">
        <f>+CI2</f>
        <v>120</v>
      </c>
      <c r="CK2">
        <f t="shared" ref="CK2:DG2" si="1">+CJ2-1</f>
        <v>119</v>
      </c>
      <c r="CL2">
        <f t="shared" si="1"/>
        <v>118</v>
      </c>
      <c r="CM2">
        <f t="shared" si="1"/>
        <v>117</v>
      </c>
      <c r="CN2">
        <f t="shared" si="1"/>
        <v>116</v>
      </c>
      <c r="CO2">
        <f t="shared" si="1"/>
        <v>115</v>
      </c>
      <c r="CP2">
        <f t="shared" si="1"/>
        <v>114</v>
      </c>
      <c r="CQ2">
        <f t="shared" si="1"/>
        <v>113</v>
      </c>
      <c r="CR2">
        <f t="shared" si="1"/>
        <v>112</v>
      </c>
      <c r="CS2">
        <f t="shared" si="1"/>
        <v>111</v>
      </c>
      <c r="CT2">
        <f t="shared" si="1"/>
        <v>110</v>
      </c>
      <c r="CU2">
        <f t="shared" si="1"/>
        <v>109</v>
      </c>
      <c r="CV2">
        <f t="shared" si="1"/>
        <v>108</v>
      </c>
      <c r="CW2">
        <f t="shared" si="1"/>
        <v>107</v>
      </c>
      <c r="CX2">
        <f t="shared" si="1"/>
        <v>106</v>
      </c>
      <c r="CY2">
        <f t="shared" si="1"/>
        <v>105</v>
      </c>
      <c r="CZ2">
        <f t="shared" si="1"/>
        <v>104</v>
      </c>
      <c r="DA2">
        <f t="shared" si="1"/>
        <v>103</v>
      </c>
      <c r="DB2">
        <f t="shared" si="1"/>
        <v>102</v>
      </c>
      <c r="DC2">
        <f t="shared" si="1"/>
        <v>101</v>
      </c>
      <c r="DD2">
        <f t="shared" si="1"/>
        <v>100</v>
      </c>
      <c r="DE2">
        <f t="shared" si="1"/>
        <v>99</v>
      </c>
      <c r="DF2">
        <f t="shared" si="1"/>
        <v>98</v>
      </c>
      <c r="DG2">
        <f t="shared" si="1"/>
        <v>97</v>
      </c>
      <c r="DI2">
        <f>+VLOOKUP(DI1,ran_dat,datos!$D$1,FALSE)</f>
        <v>120</v>
      </c>
      <c r="DJ2">
        <f t="shared" ref="DJ2:EF2" si="2">+DI2-1</f>
        <v>119</v>
      </c>
      <c r="DK2">
        <f t="shared" si="2"/>
        <v>118</v>
      </c>
      <c r="DL2">
        <f t="shared" si="2"/>
        <v>117</v>
      </c>
      <c r="DM2">
        <f t="shared" si="2"/>
        <v>116</v>
      </c>
      <c r="DN2">
        <f t="shared" si="2"/>
        <v>115</v>
      </c>
      <c r="DO2">
        <f t="shared" si="2"/>
        <v>114</v>
      </c>
      <c r="DP2">
        <f t="shared" si="2"/>
        <v>113</v>
      </c>
      <c r="DQ2">
        <f t="shared" si="2"/>
        <v>112</v>
      </c>
      <c r="DR2">
        <f t="shared" si="2"/>
        <v>111</v>
      </c>
      <c r="DS2">
        <f t="shared" si="2"/>
        <v>110</v>
      </c>
      <c r="DT2">
        <f t="shared" si="2"/>
        <v>109</v>
      </c>
      <c r="DU2">
        <f t="shared" si="2"/>
        <v>108</v>
      </c>
      <c r="DV2">
        <f t="shared" si="2"/>
        <v>107</v>
      </c>
      <c r="DW2">
        <f t="shared" si="2"/>
        <v>106</v>
      </c>
      <c r="DX2">
        <f t="shared" si="2"/>
        <v>105</v>
      </c>
      <c r="DY2">
        <f t="shared" si="2"/>
        <v>104</v>
      </c>
      <c r="DZ2">
        <f t="shared" si="2"/>
        <v>103</v>
      </c>
      <c r="EA2">
        <f t="shared" si="2"/>
        <v>102</v>
      </c>
      <c r="EB2">
        <f t="shared" si="2"/>
        <v>101</v>
      </c>
      <c r="EC2">
        <f t="shared" si="2"/>
        <v>100</v>
      </c>
      <c r="ED2">
        <f t="shared" si="2"/>
        <v>99</v>
      </c>
      <c r="EE2">
        <f t="shared" si="2"/>
        <v>98</v>
      </c>
      <c r="EF2">
        <f t="shared" si="2"/>
        <v>97</v>
      </c>
      <c r="EH2" s="14">
        <f>+VLOOKUP(EH1,ran_dat,datos!$D$1,FALSE)</f>
        <v>120</v>
      </c>
      <c r="EI2" s="14">
        <f t="shared" ref="EI2:FE2" si="3">+EH2-1</f>
        <v>119</v>
      </c>
      <c r="EJ2">
        <f t="shared" si="3"/>
        <v>118</v>
      </c>
      <c r="EK2">
        <f t="shared" si="3"/>
        <v>117</v>
      </c>
      <c r="EL2">
        <f t="shared" si="3"/>
        <v>116</v>
      </c>
      <c r="EM2">
        <f t="shared" si="3"/>
        <v>115</v>
      </c>
      <c r="EN2">
        <f t="shared" si="3"/>
        <v>114</v>
      </c>
      <c r="EO2">
        <f t="shared" si="3"/>
        <v>113</v>
      </c>
      <c r="EP2">
        <f t="shared" si="3"/>
        <v>112</v>
      </c>
      <c r="EQ2">
        <f t="shared" si="3"/>
        <v>111</v>
      </c>
      <c r="ER2">
        <f t="shared" si="3"/>
        <v>110</v>
      </c>
      <c r="ES2">
        <f t="shared" si="3"/>
        <v>109</v>
      </c>
      <c r="ET2">
        <f t="shared" si="3"/>
        <v>108</v>
      </c>
      <c r="EU2">
        <f t="shared" si="3"/>
        <v>107</v>
      </c>
      <c r="EV2">
        <f t="shared" si="3"/>
        <v>106</v>
      </c>
      <c r="EW2">
        <f t="shared" si="3"/>
        <v>105</v>
      </c>
      <c r="EX2">
        <f t="shared" si="3"/>
        <v>104</v>
      </c>
      <c r="EY2">
        <f t="shared" si="3"/>
        <v>103</v>
      </c>
      <c r="EZ2">
        <f t="shared" si="3"/>
        <v>102</v>
      </c>
      <c r="FA2">
        <f t="shared" si="3"/>
        <v>101</v>
      </c>
      <c r="FB2">
        <f t="shared" si="3"/>
        <v>100</v>
      </c>
      <c r="FC2">
        <f t="shared" si="3"/>
        <v>99</v>
      </c>
      <c r="FD2">
        <f t="shared" si="3"/>
        <v>98</v>
      </c>
      <c r="FE2">
        <f t="shared" si="3"/>
        <v>97</v>
      </c>
    </row>
    <row r="3" spans="1:163" ht="18.75" customHeight="1">
      <c r="A3" s="220"/>
      <c r="C3" s="155"/>
      <c r="D3" s="196">
        <v>0.33</v>
      </c>
      <c r="E3" s="100">
        <f>IFERROR(+BG5/BH5-1,"")</f>
        <v>3.7166273438470121E-2</v>
      </c>
      <c r="F3" s="56" t="s">
        <v>515</v>
      </c>
      <c r="G3" s="56"/>
      <c r="H3" s="56"/>
      <c r="I3" s="60">
        <f>IFERROR(+BG5/BI5-1,"")</f>
        <v>0.55911138323231446</v>
      </c>
      <c r="J3" s="56" t="s">
        <v>515</v>
      </c>
      <c r="K3" s="56"/>
      <c r="L3" s="56"/>
      <c r="M3" s="32"/>
      <c r="N3" s="196">
        <v>0.33</v>
      </c>
      <c r="O3" s="31"/>
      <c r="S3" s="32"/>
      <c r="T3" s="196">
        <v>0.33</v>
      </c>
      <c r="U3" s="150" t="str">
        <f>TEXT(CU1,"MMM-YY")&amp;"."&amp;TEXT(CJ1,"MMM-YY")&amp;" vs "&amp;TEXT(DG1,"MMM-YY")&amp;"."&amp;TEXT(CV1,"MMM-YY")</f>
        <v>abr-24.mar-25 vs abr-23.mar-24</v>
      </c>
      <c r="Y3" s="59" t="str">
        <f>TEXT(CJ1,"MMM-YY")&amp;" vs "&amp;TEXT(CV1,"MMM-YY")</f>
        <v>mar-25 vs mar-24</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83"/>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8352.2999999999993</v>
      </c>
      <c r="BH5" s="2">
        <f t="shared" si="4"/>
        <v>8053</v>
      </c>
      <c r="BI5" s="2">
        <f t="shared" si="4"/>
        <v>5357.09</v>
      </c>
    </row>
    <row r="6" spans="1:163" ht="18.75" customHeight="1">
      <c r="A6" s="243" t="s">
        <v>28</v>
      </c>
      <c r="B6" s="246"/>
      <c r="C6" s="156">
        <f t="shared" ref="C6:C24" si="5">+D6*$D$3+N6*$N$3+T6*$T$3</f>
        <v>0</v>
      </c>
      <c r="D6" s="198">
        <v>-2</v>
      </c>
      <c r="E6" s="248">
        <f t="shared" ref="E6:E24" si="6">IFERROR(+BG6/BH6-1,"")</f>
        <v>-1.5312656711356065E-2</v>
      </c>
      <c r="F6" s="249">
        <f t="shared" ref="F6:F24" si="7">+E6-$E$3</f>
        <v>-5.2478930149826186E-2</v>
      </c>
      <c r="G6" s="248">
        <f t="shared" ref="G6:G24" si="8">IFERROR(+BL6/BM6-1,"")</f>
        <v>2.8793063931997764E-3</v>
      </c>
      <c r="H6" s="249">
        <f t="shared" ref="H6:H24" si="9">E6-G6</f>
        <v>-1.8191963104555842E-2</v>
      </c>
      <c r="I6" s="248">
        <f t="shared" ref="I6:I24" si="10">IFERROR(+BG6/BI6-1,"")</f>
        <v>0.13233280995382657</v>
      </c>
      <c r="J6" s="249">
        <f t="shared" ref="J6:J26" si="11">+I6-$I$3</f>
        <v>-0.42677857327848789</v>
      </c>
      <c r="K6" s="248">
        <f t="shared" ref="K6:K24" si="12">IFERROR(+BL6/BN6-1,"")</f>
        <v>0.22971501218783574</v>
      </c>
      <c r="L6" s="249">
        <f t="shared" ref="L6:L24" si="13">I6-K6</f>
        <v>-9.7382202234009174E-2</v>
      </c>
      <c r="M6" s="250"/>
      <c r="N6" s="24">
        <v>1</v>
      </c>
      <c r="O6" s="248">
        <f>IFERROR(+BQ6/BR6-1,"")</f>
        <v>6.1538461538461542E-2</v>
      </c>
      <c r="P6" s="251">
        <f>+O6</f>
        <v>6.1538461538461542E-2</v>
      </c>
      <c r="Q6" s="248">
        <f t="shared" ref="Q6:Q24" si="14">IFERROR(+BU6/BV6-1,"")</f>
        <v>0.44444444444444442</v>
      </c>
      <c r="R6" s="251">
        <f>+Q6</f>
        <v>0.44444444444444442</v>
      </c>
      <c r="S6" s="250"/>
      <c r="T6" s="24">
        <v>1</v>
      </c>
      <c r="U6" s="248">
        <f t="shared" ref="U6:U24" si="15">IFERROR(+BY6/BZ6-1,"")</f>
        <v>0.60738578156208622</v>
      </c>
      <c r="V6" s="252">
        <f t="shared" ref="V6:V24" si="16">+U6</f>
        <v>0.60738578156208622</v>
      </c>
      <c r="W6" s="248">
        <f>IFERROR(IF(CC6&lt;0.5,"",+CC6/CD6-1),"")</f>
        <v>-0.15001746459337706</v>
      </c>
      <c r="X6" s="252">
        <f t="shared" ref="X6:X24" si="17">+W6</f>
        <v>-0.15001746459337706</v>
      </c>
      <c r="Y6" s="248" t="str">
        <f t="shared" ref="Y6:Y25" si="18">IFERROR(+CG6/CH6-1,"")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4</v>
      </c>
      <c r="AQ6" s="28">
        <f>VLOOKUP($A6,historia!$A$5:$CM$24,+HLOOKUP(AQ$2,historia!$A$3:$EC$4,2,FALSE),FALSE)</f>
        <v>3</v>
      </c>
      <c r="AR6" s="28">
        <f>VLOOKUP($A6,historia!$A$5:$CM$24,+HLOOKUP(AR$2,historia!$A$3:$EC$4,2,FALSE),FALSE)</f>
        <v>3</v>
      </c>
      <c r="AS6" s="28">
        <f>VLOOKUP($A6,historia!$A$5:$CM$24,+HLOOKUP(AS$2,historia!$A$3:$EC$4,2,FALSE),FALSE)</f>
        <v>3</v>
      </c>
      <c r="AT6" s="58">
        <f>VLOOKUP($A6,historia!$A$5:$CM$24,+HLOOKUP(AT$2,historia!$A$3:$EC$4,2,FALSE),FALSE)</f>
        <v>3</v>
      </c>
      <c r="AU6" s="58">
        <f>VLOOKUP($A6,historia!$A$5:$CM$24,+HLOOKUP(AU$2,historia!$A$3:$EC$4,2,FALSE),FALSE)</f>
        <v>3</v>
      </c>
      <c r="AV6" s="58">
        <f>VLOOKUP($A6,historia!$A$5:$CM$24,+HLOOKUP(AV$2,historia!$A$3:$EC$4,2,FALSE),FALSE)</f>
        <v>3</v>
      </c>
      <c r="AW6" s="58">
        <f>VLOOKUP($A6,historia!$A$5:$CM$24,+HLOOKUP(AW$2,historia!$A$3:$EC$4,2,FALSE),FALSE)</f>
        <v>3</v>
      </c>
      <c r="AX6" s="58">
        <f>VLOOKUP($A6,historia!$A$5:$CM$24,+HLOOKUP(AX$2,historia!$A$3:$EC$4,2,FALSE),FALSE)</f>
        <v>3</v>
      </c>
      <c r="AY6" s="58">
        <f>VLOOKUP($A6,historia!$A$5:$CM$24,+HLOOKUP(AY$2,historia!$A$3:$EC$4,2,FALSE),FALSE)</f>
        <v>4</v>
      </c>
      <c r="AZ6" s="58">
        <f>VLOOKUP($A6,historia!$A$5:$CM$24,+HLOOKUP(AZ$2,historia!$A$3:$EC$4,2,FALSE),FALSE)</f>
        <v>4</v>
      </c>
      <c r="BA6" s="58">
        <f>VLOOKUP($A6,historia!$A$5:$CM$24,+HLOOKUP(BA$2,historia!$A$3:$EC$4,2,FALSE),FALSE)</f>
        <v>4</v>
      </c>
      <c r="BB6" s="58"/>
      <c r="BC6" s="286">
        <v>4</v>
      </c>
      <c r="BD6" t="str">
        <f t="shared" ref="BD6:BD24" si="20">+A6</f>
        <v>Algodón</v>
      </c>
      <c r="BE6">
        <f>+datos!P1</f>
        <v>16</v>
      </c>
      <c r="BF6" s="2" t="str">
        <f t="shared" si="4"/>
        <v>$/kg</v>
      </c>
      <c r="BG6" s="2">
        <f t="shared" si="4"/>
        <v>1285.5215652499999</v>
      </c>
      <c r="BH6" s="2">
        <f t="shared" si="4"/>
        <v>1305.5124289062499</v>
      </c>
      <c r="BI6" s="2">
        <f t="shared" si="4"/>
        <v>1135.2859812500001</v>
      </c>
      <c r="BK6">
        <f>+datos!BY1</f>
        <v>77</v>
      </c>
      <c r="BL6" s="2">
        <f t="shared" ref="BL6:BN24" si="21">+VLOOKUP(BL$1,ran_dat,$BK6,FALSE)</f>
        <v>9752.0759990099123</v>
      </c>
      <c r="BM6" s="2">
        <f t="shared" si="21"/>
        <v>9724.0774007818709</v>
      </c>
      <c r="BN6" s="2">
        <f t="shared" si="21"/>
        <v>7930.3545149535094</v>
      </c>
      <c r="BP6" s="1">
        <f>+datos!DK1</f>
        <v>115</v>
      </c>
      <c r="BQ6" s="1">
        <f t="shared" ref="BQ6:BR24" si="22">+VLOOKUP(BQ$1,ran_dat,$BP6,FALSE)</f>
        <v>690000</v>
      </c>
      <c r="BR6" s="1">
        <f t="shared" si="22"/>
        <v>650000</v>
      </c>
      <c r="BT6" s="1">
        <f>+datos!FF1</f>
        <v>162</v>
      </c>
      <c r="BU6" s="1">
        <f t="shared" ref="BU6:BV24" si="23">+VLOOKUP(BU$1,ran_dat,$BT6,FALSE)</f>
        <v>1300000</v>
      </c>
      <c r="BV6" s="1">
        <f t="shared" si="23"/>
        <v>900000</v>
      </c>
      <c r="BX6" s="1">
        <f>+datos!JF1</f>
        <v>266</v>
      </c>
      <c r="BY6" s="1">
        <f>+SUM(CJ6:CU6)</f>
        <v>185.04051285</v>
      </c>
      <c r="BZ6" s="1">
        <f>+SUM(CV6:DG6)</f>
        <v>115.11891853999998</v>
      </c>
      <c r="CB6" s="1">
        <f>+datos!KK1</f>
        <v>297</v>
      </c>
      <c r="CC6" s="2">
        <f t="shared" ref="CC6:CC24" si="24">+SUM(DI6:DT6)</f>
        <v>71.229099809999994</v>
      </c>
      <c r="CD6" s="2">
        <f t="shared" ref="CD6:CD24" si="25">+SUM(DU6:EF6)</f>
        <v>83.800662770000002</v>
      </c>
      <c r="CF6" s="1">
        <f>+datos!HS1</f>
        <v>227</v>
      </c>
      <c r="CG6" s="1">
        <f t="shared" ref="CG6:CG24" si="26">+EH6</f>
        <v>0</v>
      </c>
      <c r="CH6" s="1">
        <f t="shared" ref="CH6:CH24" si="27">+ET6</f>
        <v>0</v>
      </c>
      <c r="CJ6" s="1">
        <f t="shared" ref="CJ6:CY21" si="28">+VLOOKUP(CJ$1,ran_dat,$BX6,FALSE)</f>
        <v>6.7908860800000017</v>
      </c>
      <c r="CK6" s="1">
        <f t="shared" si="28"/>
        <v>8.6490729999999978</v>
      </c>
      <c r="CL6" s="1">
        <f t="shared" si="28"/>
        <v>6.462363250000001</v>
      </c>
      <c r="CM6" s="1">
        <f t="shared" si="28"/>
        <v>10.78045292</v>
      </c>
      <c r="CN6" s="1">
        <f t="shared" si="28"/>
        <v>14.805583519999997</v>
      </c>
      <c r="CO6" s="1">
        <f t="shared" si="28"/>
        <v>17.696202909999993</v>
      </c>
      <c r="CP6" s="1">
        <f t="shared" si="28"/>
        <v>21.922029789999996</v>
      </c>
      <c r="CQ6" s="1">
        <f t="shared" si="28"/>
        <v>19.20970509</v>
      </c>
      <c r="CR6" s="1">
        <f t="shared" si="28"/>
        <v>24.496622440000007</v>
      </c>
      <c r="CS6" s="1">
        <f t="shared" si="28"/>
        <v>21.439575039999998</v>
      </c>
      <c r="CT6" s="1">
        <f t="shared" si="28"/>
        <v>14.529816729999997</v>
      </c>
      <c r="CU6" s="1">
        <f t="shared" si="28"/>
        <v>18.258202080000007</v>
      </c>
      <c r="CV6" s="1">
        <f t="shared" si="28"/>
        <v>18.510441480000001</v>
      </c>
      <c r="CW6" s="1">
        <f t="shared" si="28"/>
        <v>7.7064561400000011</v>
      </c>
      <c r="CX6" s="1">
        <f t="shared" si="28"/>
        <v>8.1062574399999985</v>
      </c>
      <c r="CY6" s="1">
        <f t="shared" si="28"/>
        <v>8.4463773399999997</v>
      </c>
      <c r="CZ6" s="1">
        <f t="shared" ref="CZ6:DG21" si="29">+VLOOKUP(CZ$1,ran_dat,$BX6,FALSE)</f>
        <v>15.019774559999998</v>
      </c>
      <c r="DA6" s="1">
        <f t="shared" si="29"/>
        <v>14.398572559999998</v>
      </c>
      <c r="DB6" s="1">
        <f t="shared" si="29"/>
        <v>16.61514231</v>
      </c>
      <c r="DC6" s="1">
        <f t="shared" si="29"/>
        <v>14.3155891</v>
      </c>
      <c r="DD6" s="1">
        <f t="shared" si="29"/>
        <v>3.12980459</v>
      </c>
      <c r="DE6" s="1">
        <f t="shared" si="29"/>
        <v>2.3595063199999995</v>
      </c>
      <c r="DF6" s="1">
        <f t="shared" si="29"/>
        <v>5.3927380000000005</v>
      </c>
      <c r="DG6" s="1">
        <f t="shared" si="29"/>
        <v>1.1182586999999999</v>
      </c>
      <c r="DI6" s="1">
        <f t="shared" ref="DI6:DX21" si="30">+VLOOKUP(DI$1,ran_dat,$CB6,FALSE)</f>
        <v>7.9836210200000002</v>
      </c>
      <c r="DJ6" s="1">
        <f t="shared" si="30"/>
        <v>9.7355070900000005</v>
      </c>
      <c r="DK6" s="1">
        <f t="shared" si="30"/>
        <v>7.6983577599999995</v>
      </c>
      <c r="DL6" s="1">
        <f t="shared" si="30"/>
        <v>8.003268180000001</v>
      </c>
      <c r="DM6" s="1">
        <f t="shared" si="30"/>
        <v>5.6011509000000004</v>
      </c>
      <c r="DN6" s="1">
        <f t="shared" si="30"/>
        <v>5.8112020999999991</v>
      </c>
      <c r="DO6" s="1">
        <f t="shared" si="30"/>
        <v>6.3060080799999998</v>
      </c>
      <c r="DP6" s="1">
        <f t="shared" si="30"/>
        <v>3.7690183000000008</v>
      </c>
      <c r="DQ6" s="1">
        <f t="shared" si="30"/>
        <v>4.5361736000000006</v>
      </c>
      <c r="DR6" s="1">
        <f t="shared" si="30"/>
        <v>3.2956469100000003</v>
      </c>
      <c r="DS6" s="1">
        <f t="shared" si="30"/>
        <v>4.5516111999999991</v>
      </c>
      <c r="DT6" s="1">
        <f t="shared" si="30"/>
        <v>3.9375346699999998</v>
      </c>
      <c r="DU6" s="1">
        <f t="shared" si="30"/>
        <v>4.8118603300000009</v>
      </c>
      <c r="DV6" s="1">
        <f t="shared" si="30"/>
        <v>5.2295233099999994</v>
      </c>
      <c r="DW6" s="1">
        <f t="shared" si="30"/>
        <v>7.4159317900000001</v>
      </c>
      <c r="DX6" s="1">
        <f t="shared" si="30"/>
        <v>3.5587731599999999</v>
      </c>
      <c r="DY6" s="1">
        <f t="shared" ref="DY6:EF20" si="31">+VLOOKUP(DY$1,ran_dat,$CB6,FALSE)</f>
        <v>6.9479693099999986</v>
      </c>
      <c r="DZ6" s="1">
        <f t="shared" si="31"/>
        <v>7.5746309199999997</v>
      </c>
      <c r="EA6" s="1">
        <f t="shared" si="31"/>
        <v>8.1137987799999998</v>
      </c>
      <c r="EB6" s="1">
        <f t="shared" si="31"/>
        <v>9.2876289100000005</v>
      </c>
      <c r="EC6" s="1">
        <f t="shared" si="31"/>
        <v>7.69051375</v>
      </c>
      <c r="ED6" s="1">
        <f t="shared" si="31"/>
        <v>7.1486482300000009</v>
      </c>
      <c r="EE6" s="1">
        <f t="shared" si="31"/>
        <v>9.1724036200000008</v>
      </c>
      <c r="EF6" s="1">
        <f t="shared" si="31"/>
        <v>6.8489806600000005</v>
      </c>
      <c r="EH6" s="14">
        <f t="shared" ref="EH6:EW21" si="32">+VLOOKUP(EH$1,ran_dat,$CF6,FALSE)</f>
        <v>0</v>
      </c>
      <c r="EI6" s="14">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ref="EX6:FE20" si="33">+VLOOKUP(EX$1,ran_dat,$CF6,FALSE)</f>
        <v>0</v>
      </c>
      <c r="EY6" s="1">
        <f t="shared" si="33"/>
        <v>0</v>
      </c>
      <c r="EZ6" s="1">
        <f t="shared" si="33"/>
        <v>0</v>
      </c>
      <c r="FA6" s="1">
        <f t="shared" si="33"/>
        <v>0</v>
      </c>
      <c r="FB6" s="1">
        <f t="shared" si="33"/>
        <v>0</v>
      </c>
      <c r="FC6" s="1">
        <f t="shared" si="33"/>
        <v>0</v>
      </c>
      <c r="FD6" s="1">
        <f t="shared" si="33"/>
        <v>0</v>
      </c>
      <c r="FE6" s="1">
        <f t="shared" si="33"/>
        <v>0</v>
      </c>
      <c r="FG6" s="162">
        <f t="shared" ref="FG6:FG24" si="34">+I6-K6</f>
        <v>-9.7382202234009174E-2</v>
      </c>
    </row>
    <row r="7" spans="1:163" ht="18.75" customHeight="1">
      <c r="A7" s="244" t="s">
        <v>13</v>
      </c>
      <c r="B7" s="247"/>
      <c r="C7" s="228">
        <f t="shared" si="5"/>
        <v>-0.33</v>
      </c>
      <c r="D7" s="229">
        <v>-1</v>
      </c>
      <c r="E7" s="253">
        <f t="shared" si="6"/>
        <v>4.1666666666666741E-2</v>
      </c>
      <c r="F7" s="254">
        <f t="shared" si="7"/>
        <v>4.5003932281966197E-3</v>
      </c>
      <c r="G7" s="253">
        <f t="shared" si="8"/>
        <v>8.0842703429899743E-3</v>
      </c>
      <c r="H7" s="254">
        <f t="shared" si="9"/>
        <v>3.3582396323676766E-2</v>
      </c>
      <c r="I7" s="253">
        <f t="shared" si="10"/>
        <v>-0.2857142857142857</v>
      </c>
      <c r="J7" s="254">
        <f t="shared" si="11"/>
        <v>-0.84482566894660016</v>
      </c>
      <c r="K7" s="253">
        <f t="shared" si="12"/>
        <v>0.29653226945794486</v>
      </c>
      <c r="L7" s="254">
        <f t="shared" si="13"/>
        <v>-0.58224655517223056</v>
      </c>
      <c r="M7" s="255"/>
      <c r="N7" s="256">
        <v>1</v>
      </c>
      <c r="O7" s="253">
        <f t="shared" ref="O7:O24" si="35">IFERROR(+BQ7/BR7-1,"")</f>
        <v>0.14999999999999991</v>
      </c>
      <c r="P7" s="257">
        <f t="shared" ref="P7:P24" si="36">+O7</f>
        <v>0.14999999999999991</v>
      </c>
      <c r="Q7" s="253">
        <f t="shared" si="14"/>
        <v>8.3333333333333259E-2</v>
      </c>
      <c r="R7" s="257">
        <f t="shared" ref="R7:R24" si="37">+Q7</f>
        <v>8.3333333333333259E-2</v>
      </c>
      <c r="S7" s="255"/>
      <c r="T7" s="256">
        <v>-1</v>
      </c>
      <c r="U7" s="253">
        <f t="shared" si="15"/>
        <v>0.58150992859740769</v>
      </c>
      <c r="V7" s="258">
        <f t="shared" si="16"/>
        <v>0.58150992859740769</v>
      </c>
      <c r="W7" s="253">
        <f t="shared" ref="W7:W24" si="38">IFERROR(IF(CC7&lt;0.5,"",+CC7/CD7-1),"")</f>
        <v>1.7786457464456658</v>
      </c>
      <c r="X7" s="258">
        <f t="shared" si="17"/>
        <v>1.7786457464456658</v>
      </c>
      <c r="Y7" s="253">
        <f t="shared" si="18"/>
        <v>0</v>
      </c>
      <c r="Z7" s="258">
        <f t="shared" si="19"/>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2</v>
      </c>
      <c r="AQ7" s="28">
        <f>VLOOKUP($A7,historia!$A$5:$CM$24,+HLOOKUP(AQ$2,historia!$A$3:$EC$4,2,FALSE),FALSE)</f>
        <v>2</v>
      </c>
      <c r="AR7" s="28">
        <f>VLOOKUP($A7,historia!$A$5:$CM$24,+HLOOKUP(AR$2,historia!$A$3:$EC$4,2,FALSE),FALSE)</f>
        <v>2</v>
      </c>
      <c r="AS7" s="28">
        <f>VLOOKUP($A7,historia!$A$5:$CM$24,+HLOOKUP(AS$2,historia!$A$3:$EC$4,2,FALSE),FALSE)</f>
        <v>4</v>
      </c>
      <c r="AT7" s="58">
        <f>VLOOKUP($A7,historia!$A$5:$CM$24,+HLOOKUP(AT$2,historia!$A$3:$EC$4,2,FALSE),FALSE)</f>
        <v>4</v>
      </c>
      <c r="AU7" s="58">
        <f>VLOOKUP($A7,historia!$A$5:$CM$24,+HLOOKUP(AU$2,historia!$A$3:$EC$4,2,FALSE),FALSE)</f>
        <v>4</v>
      </c>
      <c r="AV7" s="58">
        <f>VLOOKUP($A7,historia!$A$5:$CM$24,+HLOOKUP(AV$2,historia!$A$3:$EC$4,2,FALSE),FALSE)</f>
        <v>4</v>
      </c>
      <c r="AW7" s="58">
        <f>VLOOKUP($A7,historia!$A$5:$CM$24,+HLOOKUP(AW$2,historia!$A$3:$EC$4,2,FALSE),FALSE)</f>
        <v>4</v>
      </c>
      <c r="AX7" s="58">
        <f>VLOOKUP($A7,historia!$A$5:$CM$24,+HLOOKUP(AX$2,historia!$A$3:$EC$4,2,FALSE),FALSE)</f>
        <v>4</v>
      </c>
      <c r="AY7" s="58">
        <f>VLOOKUP($A7,historia!$A$5:$CM$24,+HLOOKUP(AY$2,historia!$A$3:$EC$4,2,FALSE),FALSE)</f>
        <v>4</v>
      </c>
      <c r="AZ7" s="58">
        <f>VLOOKUP($A7,historia!$A$5:$CM$24,+HLOOKUP(AZ$2,historia!$A$3:$EC$4,2,FALSE),FALSE)</f>
        <v>4</v>
      </c>
      <c r="BA7" s="58">
        <f>VLOOKUP($A7,historia!$A$5:$CM$24,+HLOOKUP(BA$2,historia!$A$3:$EC$4,2,FALSE),FALSE)</f>
        <v>4</v>
      </c>
      <c r="BB7" s="58"/>
      <c r="BC7" s="286">
        <v>4</v>
      </c>
      <c r="BD7" t="str">
        <f t="shared" si="20"/>
        <v>Arroz</v>
      </c>
      <c r="BE7">
        <f>+datos!R1</f>
        <v>18</v>
      </c>
      <c r="BF7" s="2" t="str">
        <f t="shared" si="4"/>
        <v>$/t</v>
      </c>
      <c r="BG7" s="2">
        <f t="shared" si="4"/>
        <v>250000</v>
      </c>
      <c r="BH7" s="2">
        <f t="shared" si="4"/>
        <v>240000</v>
      </c>
      <c r="BI7" s="2">
        <f t="shared" si="4"/>
        <v>350000</v>
      </c>
      <c r="BK7">
        <f>+datos!BZ1</f>
        <v>78</v>
      </c>
      <c r="BL7" s="2">
        <f t="shared" si="21"/>
        <v>9576.2603554872785</v>
      </c>
      <c r="BM7" s="2">
        <f t="shared" si="21"/>
        <v>9499.4641194322558</v>
      </c>
      <c r="BN7" s="2">
        <f t="shared" si="21"/>
        <v>7386.0563142720139</v>
      </c>
      <c r="BP7" s="1">
        <f>+datos!DM1</f>
        <v>117</v>
      </c>
      <c r="BQ7" s="1">
        <f t="shared" si="22"/>
        <v>230000</v>
      </c>
      <c r="BR7" s="1">
        <f t="shared" si="22"/>
        <v>200000</v>
      </c>
      <c r="BT7" s="1">
        <f>+datos!FH1</f>
        <v>164</v>
      </c>
      <c r="BU7" s="1">
        <f t="shared" si="23"/>
        <v>1300000</v>
      </c>
      <c r="BV7" s="1">
        <f t="shared" si="23"/>
        <v>1200000</v>
      </c>
      <c r="BX7" s="1">
        <f>+datos!JG1</f>
        <v>267</v>
      </c>
      <c r="BY7" s="1">
        <f t="shared" ref="BY7:BY24" si="39">+SUM(CJ7:CU7)</f>
        <v>377.90206416000001</v>
      </c>
      <c r="BZ7" s="1">
        <f t="shared" ref="BZ7:BZ24" si="40">+SUM(CV7:DG7)</f>
        <v>238.95016864999999</v>
      </c>
      <c r="CB7" s="1">
        <f>+datos!KL1</f>
        <v>298</v>
      </c>
      <c r="CC7" s="2">
        <f t="shared" si="24"/>
        <v>5.0518008700000001</v>
      </c>
      <c r="CD7" s="2">
        <f t="shared" si="25"/>
        <v>1.8180802199999999</v>
      </c>
      <c r="CF7" s="1">
        <f>+datos!HU1</f>
        <v>229</v>
      </c>
      <c r="CG7" s="1">
        <f t="shared" si="26"/>
        <v>700000</v>
      </c>
      <c r="CH7" s="1">
        <f t="shared" si="27"/>
        <v>700000</v>
      </c>
      <c r="CJ7" s="1">
        <f t="shared" si="28"/>
        <v>30.652184479999995</v>
      </c>
      <c r="CK7" s="1">
        <f t="shared" si="28"/>
        <v>94.896967090000004</v>
      </c>
      <c r="CL7" s="1">
        <f t="shared" si="28"/>
        <v>22.007364089999996</v>
      </c>
      <c r="CM7" s="1">
        <f t="shared" si="28"/>
        <v>13.652213600000001</v>
      </c>
      <c r="CN7" s="1">
        <f t="shared" si="28"/>
        <v>21.789652239999999</v>
      </c>
      <c r="CO7" s="1">
        <f t="shared" si="28"/>
        <v>22.506187060000002</v>
      </c>
      <c r="CP7" s="1">
        <f t="shared" si="28"/>
        <v>26.198510359999997</v>
      </c>
      <c r="CQ7" s="1">
        <f t="shared" si="28"/>
        <v>16.658344929999998</v>
      </c>
      <c r="CR7" s="1">
        <f t="shared" si="28"/>
        <v>38.799980059999996</v>
      </c>
      <c r="CS7" s="1">
        <f t="shared" si="28"/>
        <v>35.598317799999997</v>
      </c>
      <c r="CT7" s="1">
        <f t="shared" si="28"/>
        <v>32.785113670000001</v>
      </c>
      <c r="CU7" s="1">
        <f t="shared" si="28"/>
        <v>22.35722878</v>
      </c>
      <c r="CV7" s="1">
        <f t="shared" si="28"/>
        <v>34.376458229999997</v>
      </c>
      <c r="CW7" s="1">
        <f t="shared" si="28"/>
        <v>13.355622539999999</v>
      </c>
      <c r="CX7" s="1">
        <f t="shared" si="28"/>
        <v>10.68224592</v>
      </c>
      <c r="CY7" s="1">
        <f t="shared" si="28"/>
        <v>15.82785018</v>
      </c>
      <c r="CZ7" s="1">
        <f t="shared" si="29"/>
        <v>16.180063639999997</v>
      </c>
      <c r="DA7" s="1">
        <f t="shared" si="29"/>
        <v>11.823193960000001</v>
      </c>
      <c r="DB7" s="1">
        <f t="shared" si="29"/>
        <v>12.24327484</v>
      </c>
      <c r="DC7" s="1">
        <f t="shared" si="29"/>
        <v>9.600226039999999</v>
      </c>
      <c r="DD7" s="1">
        <f t="shared" si="29"/>
        <v>26.338491399999999</v>
      </c>
      <c r="DE7" s="1">
        <f t="shared" si="29"/>
        <v>21.418726320000001</v>
      </c>
      <c r="DF7" s="1">
        <f t="shared" si="29"/>
        <v>22.255101539999998</v>
      </c>
      <c r="DG7" s="1">
        <f t="shared" si="29"/>
        <v>44.848914040000004</v>
      </c>
      <c r="DI7" s="1">
        <f t="shared" si="30"/>
        <v>0.15613090000000002</v>
      </c>
      <c r="DJ7" s="1">
        <f t="shared" si="30"/>
        <v>0.47281664000000007</v>
      </c>
      <c r="DK7" s="1">
        <f t="shared" si="30"/>
        <v>0.84812041999999999</v>
      </c>
      <c r="DL7" s="1">
        <f t="shared" si="30"/>
        <v>0.25440681999999998</v>
      </c>
      <c r="DM7" s="1">
        <f t="shared" si="30"/>
        <v>0.7620908099999999</v>
      </c>
      <c r="DN7" s="1">
        <f t="shared" si="30"/>
        <v>0.50490091999999998</v>
      </c>
      <c r="DO7" s="1">
        <f t="shared" si="30"/>
        <v>0.40961613000000002</v>
      </c>
      <c r="DP7" s="1">
        <f t="shared" si="30"/>
        <v>0.23587240000000001</v>
      </c>
      <c r="DQ7" s="1">
        <f t="shared" si="30"/>
        <v>0.18557204999999999</v>
      </c>
      <c r="DR7" s="1">
        <f t="shared" si="30"/>
        <v>0.48301414000000004</v>
      </c>
      <c r="DS7" s="1">
        <f t="shared" si="30"/>
        <v>0.23845672000000001</v>
      </c>
      <c r="DT7" s="1">
        <f t="shared" si="30"/>
        <v>0.50080292000000004</v>
      </c>
      <c r="DU7" s="1">
        <f t="shared" si="30"/>
        <v>8.6091799999999996E-2</v>
      </c>
      <c r="DV7" s="1">
        <f t="shared" si="30"/>
        <v>0.22536</v>
      </c>
      <c r="DW7" s="1">
        <f t="shared" si="30"/>
        <v>0.8256</v>
      </c>
      <c r="DX7" s="1">
        <f t="shared" si="30"/>
        <v>3.973985E-2</v>
      </c>
      <c r="DY7" s="1">
        <f t="shared" si="31"/>
        <v>3.3462720000000001E-2</v>
      </c>
      <c r="DZ7" s="1">
        <f t="shared" si="31"/>
        <v>0.19098301000000001</v>
      </c>
      <c r="EA7" s="1">
        <f t="shared" si="31"/>
        <v>0.10767879</v>
      </c>
      <c r="EB7" s="1">
        <f t="shared" si="31"/>
        <v>5.5773490000000002E-2</v>
      </c>
      <c r="EC7" s="1">
        <f t="shared" si="31"/>
        <v>8.7189080000000002E-2</v>
      </c>
      <c r="ED7" s="1">
        <f t="shared" si="31"/>
        <v>3.9243889999999997E-2</v>
      </c>
      <c r="EE7" s="1">
        <f t="shared" si="31"/>
        <v>0.10892111</v>
      </c>
      <c r="EF7" s="1">
        <f t="shared" si="31"/>
        <v>1.8036480000000001E-2</v>
      </c>
      <c r="EH7" s="14">
        <f t="shared" si="32"/>
        <v>700000</v>
      </c>
      <c r="EI7" s="14">
        <f t="shared" si="32"/>
        <v>700000</v>
      </c>
      <c r="EJ7" s="1">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3"/>
        <v>700000</v>
      </c>
      <c r="EY7" s="1">
        <f t="shared" si="33"/>
        <v>700000</v>
      </c>
      <c r="EZ7" s="1">
        <f t="shared" si="33"/>
        <v>700000</v>
      </c>
      <c r="FA7" s="1">
        <f t="shared" si="33"/>
        <v>700000</v>
      </c>
      <c r="FB7" s="1">
        <f t="shared" si="33"/>
        <v>700000</v>
      </c>
      <c r="FC7" s="1">
        <f t="shared" si="33"/>
        <v>700000</v>
      </c>
      <c r="FD7" s="1">
        <f t="shared" si="33"/>
        <v>700000</v>
      </c>
      <c r="FE7" s="1">
        <f t="shared" si="33"/>
        <v>700000</v>
      </c>
      <c r="FG7" s="162">
        <f t="shared" si="34"/>
        <v>-0.58224655517223056</v>
      </c>
    </row>
    <row r="8" spans="1:163" ht="18.75" customHeight="1">
      <c r="A8" s="243" t="s">
        <v>215</v>
      </c>
      <c r="B8" s="246"/>
      <c r="C8" s="156">
        <f t="shared" si="5"/>
        <v>-0.33</v>
      </c>
      <c r="D8" s="198">
        <v>0</v>
      </c>
      <c r="E8" s="248">
        <f t="shared" si="6"/>
        <v>0.16528409977169933</v>
      </c>
      <c r="F8" s="249">
        <f t="shared" si="7"/>
        <v>0.12811782633322921</v>
      </c>
      <c r="G8" s="248">
        <f t="shared" si="8"/>
        <v>-2.2976290870044602E-2</v>
      </c>
      <c r="H8" s="249">
        <f t="shared" si="9"/>
        <v>0.18826039064174394</v>
      </c>
      <c r="I8" s="248">
        <f t="shared" si="10"/>
        <v>0.30952183657182797</v>
      </c>
      <c r="J8" s="249">
        <f t="shared" si="11"/>
        <v>-0.24958954666048649</v>
      </c>
      <c r="K8" s="248">
        <f t="shared" si="12"/>
        <v>0.49035940792648702</v>
      </c>
      <c r="L8" s="249">
        <f t="shared" si="13"/>
        <v>-0.18083757135465905</v>
      </c>
      <c r="M8" s="250"/>
      <c r="N8" s="24">
        <v>0</v>
      </c>
      <c r="O8" s="248">
        <f t="shared" si="35"/>
        <v>4.1223692775005372E-3</v>
      </c>
      <c r="P8" s="251">
        <f t="shared" si="36"/>
        <v>4.1223692775005372E-3</v>
      </c>
      <c r="Q8" s="248">
        <f t="shared" si="14"/>
        <v>9.4590767899283001E-3</v>
      </c>
      <c r="R8" s="251">
        <f t="shared" si="37"/>
        <v>9.4590767899283001E-3</v>
      </c>
      <c r="S8" s="250"/>
      <c r="T8" s="24">
        <v>-1</v>
      </c>
      <c r="U8" s="248">
        <f t="shared" si="15"/>
        <v>-0.40925238063466451</v>
      </c>
      <c r="V8" s="252">
        <f t="shared" si="16"/>
        <v>-0.40925238063466451</v>
      </c>
      <c r="W8" s="248">
        <f t="shared" si="38"/>
        <v>-2.9321559224129823E-2</v>
      </c>
      <c r="X8" s="252">
        <f t="shared" si="17"/>
        <v>-2.9321559224129823E-2</v>
      </c>
      <c r="Y8" s="248">
        <f t="shared" si="18"/>
        <v>-1.341120484533842E-2</v>
      </c>
      <c r="Z8" s="252">
        <f t="shared" si="19"/>
        <v>-1.341120484533842E-2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2</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3</v>
      </c>
      <c r="AX8" s="58">
        <f>VLOOKUP($A8,historia!$A$5:$CM$24,+HLOOKUP(AX$2,historia!$A$3:$EC$4,2,FALSE),FALSE)</f>
        <v>3</v>
      </c>
      <c r="AY8" s="58">
        <f>VLOOKUP($A8,historia!$A$5:$CM$24,+HLOOKUP(AY$2,historia!$A$3:$EC$4,2,FALSE),FALSE)</f>
        <v>3</v>
      </c>
      <c r="AZ8" s="58">
        <f>VLOOKUP($A8,historia!$A$5:$CM$24,+HLOOKUP(AZ$2,historia!$A$3:$EC$4,2,FALSE),FALSE)</f>
        <v>3</v>
      </c>
      <c r="BA8" s="58">
        <f>VLOOKUP($A8,historia!$A$5:$CM$24,+HLOOKUP(BA$2,historia!$A$3:$EC$4,2,FALSE),FALSE)</f>
        <v>3</v>
      </c>
      <c r="BB8" s="58"/>
      <c r="BC8" s="286">
        <v>3</v>
      </c>
      <c r="BD8" t="str">
        <f t="shared" si="20"/>
        <v>Aves</v>
      </c>
      <c r="BE8">
        <f>+datos!BQ1</f>
        <v>69</v>
      </c>
      <c r="BF8" s="2" t="str">
        <f t="shared" si="4"/>
        <v>prom pond huevo-carne</v>
      </c>
      <c r="BG8" s="2">
        <f t="shared" si="4"/>
        <v>2054.4250000000002</v>
      </c>
      <c r="BH8" s="2">
        <f t="shared" si="4"/>
        <v>1763.0250000000001</v>
      </c>
      <c r="BI8" s="2">
        <f t="shared" si="4"/>
        <v>1568.836</v>
      </c>
      <c r="BK8">
        <f>+datos!DG1</f>
        <v>111</v>
      </c>
      <c r="BL8" s="2">
        <f t="shared" si="21"/>
        <v>9798.3944570950553</v>
      </c>
      <c r="BM8" s="2">
        <f t="shared" si="21"/>
        <v>10028.819531739486</v>
      </c>
      <c r="BN8" s="2">
        <f t="shared" si="21"/>
        <v>6574.5178008621442</v>
      </c>
      <c r="BP8" s="1">
        <f>+datos!EP1</f>
        <v>146</v>
      </c>
      <c r="BQ8" s="1">
        <f t="shared" si="22"/>
        <v>9256</v>
      </c>
      <c r="BR8" s="1">
        <f t="shared" si="22"/>
        <v>9218</v>
      </c>
      <c r="BT8" s="1">
        <f>+datos!HM1</f>
        <v>221</v>
      </c>
      <c r="BU8" s="1">
        <f t="shared" si="23"/>
        <v>2382481.906299287</v>
      </c>
      <c r="BV8" s="1">
        <f t="shared" si="23"/>
        <v>2360157</v>
      </c>
      <c r="BX8" s="1">
        <f>+datos!KF1</f>
        <v>292</v>
      </c>
      <c r="BY8" s="1">
        <f t="shared" si="39"/>
        <v>206.91240682</v>
      </c>
      <c r="BZ8" s="1">
        <f t="shared" si="40"/>
        <v>350.25516826</v>
      </c>
      <c r="CB8" s="1">
        <f>+datos!LK1</f>
        <v>323</v>
      </c>
      <c r="CC8" s="2">
        <f t="shared" si="24"/>
        <v>37.751228949999998</v>
      </c>
      <c r="CD8" s="2">
        <f t="shared" si="25"/>
        <v>38.891591039999994</v>
      </c>
      <c r="CF8" s="1">
        <f>+datos!IL1</f>
        <v>246</v>
      </c>
      <c r="CG8" s="1">
        <f t="shared" si="26"/>
        <v>45.61</v>
      </c>
      <c r="CH8" s="1">
        <f t="shared" si="27"/>
        <v>46.23</v>
      </c>
      <c r="CJ8" s="1">
        <f t="shared" si="28"/>
        <v>5.9149876199999998</v>
      </c>
      <c r="CK8" s="1">
        <f t="shared" si="28"/>
        <v>8.0094020700000002</v>
      </c>
      <c r="CL8" s="1">
        <f t="shared" si="28"/>
        <v>5.62476749</v>
      </c>
      <c r="CM8" s="1">
        <f t="shared" si="28"/>
        <v>10.456415849999999</v>
      </c>
      <c r="CN8" s="1">
        <f t="shared" si="28"/>
        <v>8.1147673099999995</v>
      </c>
      <c r="CO8" s="1">
        <f t="shared" si="28"/>
        <v>20.968439010000004</v>
      </c>
      <c r="CP8" s="1">
        <f t="shared" si="28"/>
        <v>22.566015059999998</v>
      </c>
      <c r="CQ8" s="1">
        <f t="shared" si="28"/>
        <v>20.944876220000001</v>
      </c>
      <c r="CR8" s="1">
        <f t="shared" si="28"/>
        <v>23.157032140000002</v>
      </c>
      <c r="CS8" s="1">
        <f t="shared" si="28"/>
        <v>19.314763240000005</v>
      </c>
      <c r="CT8" s="1">
        <f t="shared" si="28"/>
        <v>22.778743510000002</v>
      </c>
      <c r="CU8" s="1">
        <f t="shared" si="28"/>
        <v>39.062197300000001</v>
      </c>
      <c r="CV8" s="1">
        <f t="shared" si="28"/>
        <v>40.013868680000002</v>
      </c>
      <c r="CW8" s="1">
        <f t="shared" si="28"/>
        <v>35.607742460000011</v>
      </c>
      <c r="CX8" s="1">
        <f t="shared" si="28"/>
        <v>32.51792974</v>
      </c>
      <c r="CY8" s="1">
        <f t="shared" si="28"/>
        <v>35.210116300000003</v>
      </c>
      <c r="CZ8" s="1">
        <f t="shared" si="29"/>
        <v>30.603465830000005</v>
      </c>
      <c r="DA8" s="1">
        <f t="shared" si="29"/>
        <v>35.017556320000004</v>
      </c>
      <c r="DB8" s="1">
        <f t="shared" si="29"/>
        <v>24.343011479999998</v>
      </c>
      <c r="DC8" s="1">
        <f t="shared" si="29"/>
        <v>32.053320659999997</v>
      </c>
      <c r="DD8" s="1">
        <f t="shared" si="29"/>
        <v>25.827296739999998</v>
      </c>
      <c r="DE8" s="1">
        <f t="shared" si="29"/>
        <v>20.281404040000002</v>
      </c>
      <c r="DF8" s="1">
        <f t="shared" si="29"/>
        <v>20.776878260000004</v>
      </c>
      <c r="DG8" s="1">
        <f t="shared" si="29"/>
        <v>18.00257775</v>
      </c>
      <c r="DI8" s="1">
        <f t="shared" si="30"/>
        <v>1.41927303</v>
      </c>
      <c r="DJ8" s="1">
        <f t="shared" si="30"/>
        <v>4.5240591299999995</v>
      </c>
      <c r="DK8" s="1">
        <f t="shared" si="30"/>
        <v>2.5037689800000003</v>
      </c>
      <c r="DL8" s="1">
        <f t="shared" si="30"/>
        <v>2.5011971499999999</v>
      </c>
      <c r="DM8" s="1">
        <f t="shared" si="30"/>
        <v>3.7585351000000005</v>
      </c>
      <c r="DN8" s="1">
        <f t="shared" si="30"/>
        <v>4.0425458900000004</v>
      </c>
      <c r="DO8" s="1">
        <f t="shared" si="30"/>
        <v>3.59052696</v>
      </c>
      <c r="DP8" s="1">
        <f t="shared" si="30"/>
        <v>2.1766254799999998</v>
      </c>
      <c r="DQ8" s="1">
        <f t="shared" si="30"/>
        <v>1.5903026900000001</v>
      </c>
      <c r="DR8" s="1">
        <f t="shared" si="30"/>
        <v>5.6916922899999998</v>
      </c>
      <c r="DS8" s="1">
        <f t="shared" si="30"/>
        <v>1.7294530099999998</v>
      </c>
      <c r="DT8" s="1">
        <f t="shared" si="30"/>
        <v>4.2232492399999995</v>
      </c>
      <c r="DU8" s="1">
        <f t="shared" si="30"/>
        <v>1.27466579</v>
      </c>
      <c r="DV8" s="1">
        <f t="shared" si="30"/>
        <v>1.8857013599999999</v>
      </c>
      <c r="DW8" s="1">
        <f t="shared" si="30"/>
        <v>4.07849503</v>
      </c>
      <c r="DX8" s="1">
        <f t="shared" si="30"/>
        <v>2.60999925</v>
      </c>
      <c r="DY8" s="1">
        <f t="shared" si="31"/>
        <v>4.3280037599999996</v>
      </c>
      <c r="DZ8" s="1">
        <f t="shared" si="31"/>
        <v>3.9253711099999995</v>
      </c>
      <c r="EA8" s="1">
        <f t="shared" si="31"/>
        <v>2.66724104</v>
      </c>
      <c r="EB8" s="1">
        <f t="shared" si="31"/>
        <v>1.3237541899999998</v>
      </c>
      <c r="EC8" s="1">
        <f t="shared" si="31"/>
        <v>4.0034089300000009</v>
      </c>
      <c r="ED8" s="1">
        <f t="shared" si="31"/>
        <v>4.2620939999999994</v>
      </c>
      <c r="EE8" s="1">
        <f t="shared" si="31"/>
        <v>6.8027163900000005</v>
      </c>
      <c r="EF8" s="1">
        <f t="shared" si="31"/>
        <v>1.73014019</v>
      </c>
      <c r="EH8" s="14">
        <f t="shared" si="32"/>
        <v>45.61</v>
      </c>
      <c r="EI8" s="14">
        <f t="shared" si="32"/>
        <v>45.61</v>
      </c>
      <c r="EJ8" s="1">
        <f t="shared" si="32"/>
        <v>45.23</v>
      </c>
      <c r="EK8" s="1">
        <f t="shared" si="32"/>
        <v>45.2</v>
      </c>
      <c r="EL8" s="1">
        <f t="shared" si="32"/>
        <v>46.01</v>
      </c>
      <c r="EM8" s="1">
        <f t="shared" si="32"/>
        <v>44.44</v>
      </c>
      <c r="EN8" s="1">
        <f t="shared" si="32"/>
        <v>42.29</v>
      </c>
      <c r="EO8" s="1">
        <f t="shared" si="32"/>
        <v>45.39</v>
      </c>
      <c r="EP8" s="1">
        <f t="shared" si="32"/>
        <v>45.32</v>
      </c>
      <c r="EQ8" s="1">
        <f t="shared" si="32"/>
        <v>44.85</v>
      </c>
      <c r="ER8" s="1">
        <f t="shared" si="32"/>
        <v>45.52</v>
      </c>
      <c r="ES8" s="1">
        <f t="shared" si="32"/>
        <v>46.23</v>
      </c>
      <c r="ET8" s="1">
        <f t="shared" si="32"/>
        <v>46.23</v>
      </c>
      <c r="EU8" s="1">
        <f t="shared" si="32"/>
        <v>46.23</v>
      </c>
      <c r="EV8" s="1">
        <f t="shared" si="32"/>
        <v>48.52</v>
      </c>
      <c r="EW8" s="1">
        <f t="shared" si="32"/>
        <v>45.85</v>
      </c>
      <c r="EX8" s="1">
        <f t="shared" si="33"/>
        <v>46.03</v>
      </c>
      <c r="EY8" s="1">
        <f t="shared" si="33"/>
        <v>46.13</v>
      </c>
      <c r="EZ8" s="1">
        <f t="shared" si="33"/>
        <v>45.88</v>
      </c>
      <c r="FA8" s="1">
        <f t="shared" si="33"/>
        <v>46.09</v>
      </c>
      <c r="FB8" s="1">
        <f t="shared" si="33"/>
        <v>45.9</v>
      </c>
      <c r="FC8" s="1">
        <f t="shared" si="33"/>
        <v>46</v>
      </c>
      <c r="FD8" s="1">
        <f t="shared" si="33"/>
        <v>45.99</v>
      </c>
      <c r="FE8" s="1">
        <f t="shared" si="33"/>
        <v>45.74</v>
      </c>
      <c r="FG8" s="162">
        <f t="shared" si="34"/>
        <v>-0.18083757135465905</v>
      </c>
    </row>
    <row r="9" spans="1:163" ht="18.75" customHeight="1">
      <c r="A9" s="244" t="s">
        <v>77</v>
      </c>
      <c r="B9" s="247"/>
      <c r="C9" s="228">
        <v>0</v>
      </c>
      <c r="D9" s="229">
        <v>1</v>
      </c>
      <c r="E9" s="253">
        <f t="shared" si="6"/>
        <v>5.7073173776713615E-2</v>
      </c>
      <c r="F9" s="254">
        <f t="shared" si="7"/>
        <v>1.9906900338243494E-2</v>
      </c>
      <c r="G9" s="253">
        <f t="shared" si="8"/>
        <v>2.1641162290829463E-2</v>
      </c>
      <c r="H9" s="254">
        <f t="shared" si="9"/>
        <v>3.5432011485884152E-2</v>
      </c>
      <c r="I9" s="253">
        <f t="shared" si="10"/>
        <v>0.68683697636713714</v>
      </c>
      <c r="J9" s="254">
        <f t="shared" si="11"/>
        <v>0.12772559313482268</v>
      </c>
      <c r="K9" s="253">
        <f t="shared" si="12"/>
        <v>0.36593278572932597</v>
      </c>
      <c r="L9" s="254">
        <f t="shared" si="13"/>
        <v>0.32090419063781117</v>
      </c>
      <c r="M9" s="255"/>
      <c r="N9" s="256">
        <v>-1</v>
      </c>
      <c r="O9" s="253">
        <f t="shared" si="35"/>
        <v>-2.1957134195409456E-2</v>
      </c>
      <c r="P9" s="257">
        <f t="shared" si="36"/>
        <v>-2.1957134195409456E-2</v>
      </c>
      <c r="Q9" s="253">
        <f t="shared" si="14"/>
        <v>-1.8608765811318762E-2</v>
      </c>
      <c r="R9" s="257">
        <f t="shared" si="37"/>
        <v>-1.8608765811318762E-2</v>
      </c>
      <c r="S9" s="255"/>
      <c r="T9" s="256">
        <v>0</v>
      </c>
      <c r="U9" s="253">
        <f t="shared" si="15"/>
        <v>1.2486028550123818E-2</v>
      </c>
      <c r="V9" s="258">
        <f t="shared" si="16"/>
        <v>1.2486028550123818E-2</v>
      </c>
      <c r="W9" s="253">
        <f t="shared" si="38"/>
        <v>0.43588464504254754</v>
      </c>
      <c r="X9" s="258">
        <f t="shared" si="17"/>
        <v>0.43588464504254754</v>
      </c>
      <c r="Y9" s="253">
        <f t="shared" si="18"/>
        <v>9.7205346294044759E-3</v>
      </c>
      <c r="Z9" s="258">
        <f t="shared" si="19"/>
        <v>9.7205346294044759E-3</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4</v>
      </c>
      <c r="AQ9" s="28">
        <f>VLOOKUP($A9,historia!$A$5:$CM$24,+HLOOKUP(AQ$2,historia!$A$3:$EC$4,2,FALSE),FALSE)</f>
        <v>4</v>
      </c>
      <c r="AR9" s="28">
        <f>VLOOKUP($A9,historia!$A$5:$CM$24,+HLOOKUP(AR$2,historia!$A$3:$EC$4,2,FALSE),FALSE)</f>
        <v>3</v>
      </c>
      <c r="AS9" s="28">
        <f>VLOOKUP($A9,historia!$A$5:$CM$24,+HLOOKUP(AS$2,historia!$A$3:$EC$4,2,FALSE),FALSE)</f>
        <v>3</v>
      </c>
      <c r="AT9" s="58">
        <f>VLOOKUP($A9,historia!$A$5:$CM$24,+HLOOKUP(AT$2,historia!$A$3:$EC$4,2,FALSE),FALSE)</f>
        <v>3</v>
      </c>
      <c r="AU9" s="58">
        <f>VLOOKUP($A9,historia!$A$5:$CM$24,+HLOOKUP(AU$2,historia!$A$3:$EC$4,2,FALSE),FALSE)</f>
        <v>3</v>
      </c>
      <c r="AV9" s="58">
        <f>VLOOKUP($A9,historia!$A$5:$CM$24,+HLOOKUP(AV$2,historia!$A$3:$EC$4,2,FALSE),FALSE)</f>
        <v>3</v>
      </c>
      <c r="AW9" s="58">
        <f>VLOOKUP($A9,historia!$A$5:$CM$24,+HLOOKUP(AW$2,historia!$A$3:$EC$4,2,FALSE),FALSE)</f>
        <v>3</v>
      </c>
      <c r="AX9" s="58">
        <f>VLOOKUP($A9,historia!$A$5:$CM$24,+HLOOKUP(AX$2,historia!$A$3:$EC$4,2,FALSE),FALSE)</f>
        <v>3</v>
      </c>
      <c r="AY9" s="58">
        <f>VLOOKUP($A9,historia!$A$5:$CM$24,+HLOOKUP(AY$2,historia!$A$3:$EC$4,2,FALSE),FALSE)</f>
        <v>3</v>
      </c>
      <c r="AZ9" s="58">
        <f>VLOOKUP($A9,historia!$A$5:$CM$24,+HLOOKUP(AZ$2,historia!$A$3:$EC$4,2,FALSE),FALSE)</f>
        <v>3</v>
      </c>
      <c r="BA9" s="58">
        <f>VLOOKUP($A9,historia!$A$5:$CM$24,+HLOOKUP(BA$2,historia!$A$3:$EC$4,2,FALSE),FALSE)</f>
        <v>2</v>
      </c>
      <c r="BB9" s="58"/>
      <c r="BC9" s="286">
        <v>2</v>
      </c>
      <c r="BD9" t="str">
        <f t="shared" si="20"/>
        <v>Bovinos</v>
      </c>
      <c r="BE9">
        <f>+datos!BM1</f>
        <v>65</v>
      </c>
      <c r="BF9" s="2" t="str">
        <f t="shared" si="4"/>
        <v>$/kg</v>
      </c>
      <c r="BG9" s="2">
        <f t="shared" si="4"/>
        <v>3217.4854999999998</v>
      </c>
      <c r="BH9" s="2">
        <f t="shared" si="4"/>
        <v>3043.768</v>
      </c>
      <c r="BI9" s="2">
        <f t="shared" si="4"/>
        <v>1907.4074999999998</v>
      </c>
      <c r="BK9">
        <f>+datos!DB1</f>
        <v>106</v>
      </c>
      <c r="BL9" s="2">
        <f t="shared" si="21"/>
        <v>10329.838028045871</v>
      </c>
      <c r="BM9" s="2">
        <f t="shared" si="21"/>
        <v>10111.023722735721</v>
      </c>
      <c r="BN9" s="2">
        <f t="shared" si="21"/>
        <v>7562.4790150493081</v>
      </c>
      <c r="BP9" s="1">
        <f>+datos!EH1</f>
        <v>138</v>
      </c>
      <c r="BQ9" s="1">
        <f t="shared" si="22"/>
        <v>51624909</v>
      </c>
      <c r="BR9" s="1">
        <f t="shared" si="22"/>
        <v>52783892</v>
      </c>
      <c r="BT9" s="1">
        <f>+datos!HB1</f>
        <v>210</v>
      </c>
      <c r="BU9" s="1">
        <f t="shared" si="23"/>
        <v>3152790</v>
      </c>
      <c r="BV9" s="1">
        <f t="shared" si="23"/>
        <v>3212572</v>
      </c>
      <c r="BX9" s="1">
        <f>+datos!KG1</f>
        <v>293</v>
      </c>
      <c r="BY9" s="1">
        <f t="shared" si="39"/>
        <v>4068.1827692099996</v>
      </c>
      <c r="BZ9" s="1">
        <f t="shared" si="40"/>
        <v>4018.013735</v>
      </c>
      <c r="CB9" s="1">
        <f>+datos!LL1</f>
        <v>324</v>
      </c>
      <c r="CC9" s="2">
        <f t="shared" si="24"/>
        <v>54.752421400000003</v>
      </c>
      <c r="CD9" s="2">
        <f t="shared" si="25"/>
        <v>38.131490290000002</v>
      </c>
      <c r="CF9" s="1">
        <f>+datos!IM1</f>
        <v>247</v>
      </c>
      <c r="CG9" s="1">
        <f t="shared" si="26"/>
        <v>49.86</v>
      </c>
      <c r="CH9" s="1">
        <f t="shared" si="27"/>
        <v>49.38</v>
      </c>
      <c r="CJ9" s="1">
        <f t="shared" si="28"/>
        <v>275.41226476999998</v>
      </c>
      <c r="CK9" s="1">
        <f t="shared" si="28"/>
        <v>345.87150417999976</v>
      </c>
      <c r="CL9" s="1">
        <f t="shared" si="28"/>
        <v>330.34833823999992</v>
      </c>
      <c r="CM9" s="1">
        <f t="shared" si="28"/>
        <v>372.02787432000008</v>
      </c>
      <c r="CN9" s="1">
        <f t="shared" si="28"/>
        <v>363.37275483999991</v>
      </c>
      <c r="CO9" s="1">
        <f t="shared" si="28"/>
        <v>373.60267999999996</v>
      </c>
      <c r="CP9" s="1">
        <f t="shared" si="28"/>
        <v>392.24577093999977</v>
      </c>
      <c r="CQ9" s="1">
        <f t="shared" si="28"/>
        <v>370.00520762000008</v>
      </c>
      <c r="CR9" s="1">
        <f t="shared" si="28"/>
        <v>307.7105307999999</v>
      </c>
      <c r="CS9" s="1">
        <f t="shared" si="28"/>
        <v>311.98041742999999</v>
      </c>
      <c r="CT9" s="1">
        <f t="shared" si="28"/>
        <v>309.32423856999998</v>
      </c>
      <c r="CU9" s="1">
        <f t="shared" si="28"/>
        <v>316.28118749999999</v>
      </c>
      <c r="CV9" s="1">
        <f t="shared" si="28"/>
        <v>350.14414257999977</v>
      </c>
      <c r="CW9" s="1">
        <f t="shared" si="28"/>
        <v>342.85888695999995</v>
      </c>
      <c r="CX9" s="1">
        <f t="shared" si="28"/>
        <v>324.84866957999998</v>
      </c>
      <c r="CY9" s="1">
        <f t="shared" si="28"/>
        <v>325.97502911999987</v>
      </c>
      <c r="CZ9" s="1">
        <f t="shared" si="29"/>
        <v>321.39038838999994</v>
      </c>
      <c r="DA9" s="1">
        <f t="shared" si="29"/>
        <v>273.58963931999995</v>
      </c>
      <c r="DB9" s="1">
        <f t="shared" si="29"/>
        <v>292.91820976000002</v>
      </c>
      <c r="DC9" s="1">
        <f t="shared" si="29"/>
        <v>371.72573624</v>
      </c>
      <c r="DD9" s="1">
        <f t="shared" si="29"/>
        <v>378.12790802000001</v>
      </c>
      <c r="DE9" s="1">
        <f t="shared" si="29"/>
        <v>308.34921994000001</v>
      </c>
      <c r="DF9" s="1">
        <f t="shared" si="29"/>
        <v>390.63577031</v>
      </c>
      <c r="DG9" s="1">
        <f t="shared" si="29"/>
        <v>337.45013477999998</v>
      </c>
      <c r="DI9" s="1">
        <f t="shared" si="30"/>
        <v>8.7569028099999997</v>
      </c>
      <c r="DJ9" s="1">
        <f t="shared" si="30"/>
        <v>7.0677003599999999</v>
      </c>
      <c r="DK9" s="1">
        <f t="shared" si="30"/>
        <v>5.8644577399999989</v>
      </c>
      <c r="DL9" s="1">
        <f t="shared" si="30"/>
        <v>6.7460545699999992</v>
      </c>
      <c r="DM9" s="1">
        <f t="shared" si="30"/>
        <v>2.8647302900000002</v>
      </c>
      <c r="DN9" s="1">
        <f t="shared" si="30"/>
        <v>3.9160438699999998</v>
      </c>
      <c r="DO9" s="1">
        <f t="shared" si="30"/>
        <v>2.7432327000000001</v>
      </c>
      <c r="DP9" s="1">
        <f t="shared" si="30"/>
        <v>3.5031505699999994</v>
      </c>
      <c r="DQ9" s="1">
        <f t="shared" si="30"/>
        <v>3.9954732900000005</v>
      </c>
      <c r="DR9" s="1">
        <f t="shared" si="30"/>
        <v>2.3751918999999999</v>
      </c>
      <c r="DS9" s="1">
        <f t="shared" si="30"/>
        <v>3.3189943100000003</v>
      </c>
      <c r="DT9" s="1">
        <f t="shared" si="30"/>
        <v>3.6004889900000006</v>
      </c>
      <c r="DU9" s="1">
        <f t="shared" si="30"/>
        <v>2.2940615100000001</v>
      </c>
      <c r="DV9" s="1">
        <f t="shared" si="30"/>
        <v>1.2696953500000001</v>
      </c>
      <c r="DW9" s="1">
        <f t="shared" si="30"/>
        <v>1.4792882700000001</v>
      </c>
      <c r="DX9" s="1">
        <f t="shared" si="30"/>
        <v>3.3410357400000001</v>
      </c>
      <c r="DY9" s="1">
        <f t="shared" si="31"/>
        <v>3.5927978000000009</v>
      </c>
      <c r="DZ9" s="1">
        <f t="shared" si="31"/>
        <v>2.53051044</v>
      </c>
      <c r="EA9" s="1">
        <f t="shared" si="31"/>
        <v>2.3401237999999998</v>
      </c>
      <c r="EB9" s="1">
        <f t="shared" si="31"/>
        <v>2.4632922899999996</v>
      </c>
      <c r="EC9" s="1">
        <f t="shared" si="31"/>
        <v>3.8179622399999995</v>
      </c>
      <c r="ED9" s="1">
        <f t="shared" si="31"/>
        <v>3.8355995800000002</v>
      </c>
      <c r="EE9" s="1">
        <f t="shared" si="31"/>
        <v>7.3409295600000002</v>
      </c>
      <c r="EF9" s="1">
        <f t="shared" si="31"/>
        <v>3.8261937100000005</v>
      </c>
      <c r="EH9" s="14">
        <f t="shared" si="32"/>
        <v>49.86</v>
      </c>
      <c r="EI9" s="14">
        <f t="shared" si="32"/>
        <v>48.75</v>
      </c>
      <c r="EJ9" s="1">
        <f t="shared" si="32"/>
        <v>48.18</v>
      </c>
      <c r="EK9" s="1">
        <f t="shared" si="32"/>
        <v>47.81</v>
      </c>
      <c r="EL9" s="1">
        <f t="shared" si="32"/>
        <v>46.91</v>
      </c>
      <c r="EM9" s="1">
        <f t="shared" si="32"/>
        <v>47.74</v>
      </c>
      <c r="EN9" s="1">
        <f t="shared" si="32"/>
        <v>47.38</v>
      </c>
      <c r="EO9" s="1">
        <f t="shared" si="32"/>
        <v>47.74</v>
      </c>
      <c r="EP9" s="1">
        <f t="shared" si="32"/>
        <v>47.8</v>
      </c>
      <c r="EQ9" s="1">
        <f t="shared" si="32"/>
        <v>47.58</v>
      </c>
      <c r="ER9" s="1">
        <f t="shared" si="32"/>
        <v>49.18</v>
      </c>
      <c r="ES9" s="1">
        <f t="shared" si="32"/>
        <v>49.37</v>
      </c>
      <c r="ET9" s="1">
        <f t="shared" si="32"/>
        <v>49.38</v>
      </c>
      <c r="EU9" s="1">
        <f t="shared" si="32"/>
        <v>51.48</v>
      </c>
      <c r="EV9" s="1">
        <f t="shared" si="32"/>
        <v>52.06</v>
      </c>
      <c r="EW9" s="1">
        <f t="shared" si="32"/>
        <v>42.59</v>
      </c>
      <c r="EX9" s="1">
        <f t="shared" si="33"/>
        <v>51.3</v>
      </c>
      <c r="EY9" s="1">
        <f t="shared" si="33"/>
        <v>51.15</v>
      </c>
      <c r="EZ9" s="1">
        <f t="shared" si="33"/>
        <v>51.01</v>
      </c>
      <c r="FA9" s="1">
        <f t="shared" si="33"/>
        <v>51.15</v>
      </c>
      <c r="FB9" s="1">
        <f t="shared" si="33"/>
        <v>51.72</v>
      </c>
      <c r="FC9" s="1">
        <f t="shared" si="33"/>
        <v>51.32</v>
      </c>
      <c r="FD9" s="1">
        <f t="shared" si="33"/>
        <v>50.44</v>
      </c>
      <c r="FE9" s="1">
        <f t="shared" si="33"/>
        <v>50.29</v>
      </c>
      <c r="FG9" s="162">
        <f t="shared" si="34"/>
        <v>0.32090419063781117</v>
      </c>
    </row>
    <row r="10" spans="1:163" ht="28.8">
      <c r="A10" s="263" t="s">
        <v>221</v>
      </c>
      <c r="B10" s="246"/>
      <c r="C10" s="156">
        <f t="shared" si="5"/>
        <v>0</v>
      </c>
      <c r="D10" s="198">
        <v>-1</v>
      </c>
      <c r="E10" s="248">
        <f t="shared" si="6"/>
        <v>-0.17209572418310803</v>
      </c>
      <c r="F10" s="249">
        <f t="shared" si="7"/>
        <v>-0.20926199762157816</v>
      </c>
      <c r="G10" s="248">
        <f t="shared" si="8"/>
        <v>4.7939811404762445E-3</v>
      </c>
      <c r="H10" s="249">
        <f t="shared" si="9"/>
        <v>-0.17688970532358428</v>
      </c>
      <c r="I10" s="248">
        <f t="shared" si="10"/>
        <v>-2.2155676602198193E-2</v>
      </c>
      <c r="J10" s="249">
        <f t="shared" si="11"/>
        <v>-0.58126705983451266</v>
      </c>
      <c r="K10" s="248">
        <f t="shared" si="12"/>
        <v>0.28870446832619767</v>
      </c>
      <c r="L10" s="249">
        <f t="shared" si="13"/>
        <v>-0.31086014492839587</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1.3625340470528711</v>
      </c>
      <c r="V10" s="252">
        <f t="shared" si="16"/>
        <v>1.3625340470528711</v>
      </c>
      <c r="W10" s="248">
        <f t="shared" si="38"/>
        <v>0.49795646410448091</v>
      </c>
      <c r="X10" s="252">
        <f t="shared" si="17"/>
        <v>0.49795646410448091</v>
      </c>
      <c r="Y10" s="248">
        <f t="shared" si="18"/>
        <v>-1.4951121334099926E-2</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5</v>
      </c>
      <c r="AR10" s="28">
        <f>VLOOKUP($A10,historia!$A$5:$CM$24,+HLOOKUP(AR$2,historia!$A$3:$EC$4,2,FALSE),FALSE)</f>
        <v>4</v>
      </c>
      <c r="AS10" s="28">
        <f>VLOOKUP($A10,historia!$A$5:$CM$24,+HLOOKUP(AS$2,historia!$A$3:$EC$4,2,FALSE),FALSE)</f>
        <v>4</v>
      </c>
      <c r="AT10" s="58">
        <f>VLOOKUP($A10,historia!$A$5:$CM$24,+HLOOKUP(AT$2,historia!$A$3:$EC$4,2,FALSE),FALSE)</f>
        <v>4</v>
      </c>
      <c r="AU10" s="58">
        <f>VLOOKUP($A10,historia!$A$5:$CM$24,+HLOOKUP(AU$2,historia!$A$3:$EC$4,2,FALSE),FALSE)</f>
        <v>4</v>
      </c>
      <c r="AV10" s="58">
        <f>VLOOKUP($A10,historia!$A$5:$CM$24,+HLOOKUP(AV$2,historia!$A$3:$EC$4,2,FALSE),FALSE)</f>
        <v>4</v>
      </c>
      <c r="AW10" s="58">
        <f>VLOOKUP($A10,historia!$A$5:$CM$24,+HLOOKUP(AW$2,historia!$A$3:$EC$4,2,FALSE),FALSE)</f>
        <v>4</v>
      </c>
      <c r="AX10" s="58">
        <f>VLOOKUP($A10,historia!$A$5:$CM$24,+HLOOKUP(AX$2,historia!$A$3:$EC$4,2,FALSE),FALSE)</f>
        <v>4</v>
      </c>
      <c r="AY10" s="58">
        <f>VLOOKUP($A10,historia!$A$5:$CM$24,+HLOOKUP(AY$2,historia!$A$3:$EC$4,2,FALSE),FALSE)</f>
        <v>3</v>
      </c>
      <c r="AZ10" s="58">
        <f>VLOOKUP($A10,historia!$A$5:$CM$24,+HLOOKUP(AZ$2,historia!$A$3:$EC$4,2,FALSE),FALSE)</f>
        <v>4</v>
      </c>
      <c r="BA10" s="58">
        <f>VLOOKUP($A10,historia!$A$5:$CM$24,+HLOOKUP(BA$2,historia!$A$3:$EC$4,2,FALSE),FALSE)</f>
        <v>4</v>
      </c>
      <c r="BB10" s="58"/>
      <c r="BC10" s="286">
        <v>4</v>
      </c>
      <c r="BD10" t="str">
        <f t="shared" si="20"/>
        <v>Cítricos Dulces</v>
      </c>
      <c r="BE10">
        <f>+datos!AU1</f>
        <v>47</v>
      </c>
      <c r="BF10" s="2" t="str">
        <f t="shared" si="4"/>
        <v>$/caja 18kg</v>
      </c>
      <c r="BG10" s="2">
        <f t="shared" si="4"/>
        <v>14490.291866028709</v>
      </c>
      <c r="BH10" s="2">
        <f t="shared" si="4"/>
        <v>17502.375925925928</v>
      </c>
      <c r="BI10" s="2">
        <f t="shared" si="4"/>
        <v>14818.608156028369</v>
      </c>
      <c r="BK10">
        <f>+datos!CX1</f>
        <v>102</v>
      </c>
      <c r="BL10" s="2">
        <f t="shared" si="21"/>
        <v>9503.4948967580494</v>
      </c>
      <c r="BM10" s="2">
        <f t="shared" si="21"/>
        <v>9458.1526911330129</v>
      </c>
      <c r="BN10" s="2">
        <f t="shared" si="21"/>
        <v>7374.4563864990951</v>
      </c>
      <c r="BP10" s="1">
        <f>+datos!ER1</f>
        <v>148</v>
      </c>
      <c r="BQ10" s="1">
        <f t="shared" si="22"/>
        <v>79911</v>
      </c>
      <c r="BR10" s="1">
        <f t="shared" si="22"/>
        <v>80248</v>
      </c>
      <c r="BT10" s="1">
        <f>+datos!GH1</f>
        <v>190</v>
      </c>
      <c r="BU10" s="1">
        <f t="shared" si="23"/>
        <v>1543162</v>
      </c>
      <c r="BV10" s="1">
        <f t="shared" si="23"/>
        <v>1734000</v>
      </c>
      <c r="BX10" s="1">
        <f>+datos!LT1</f>
        <v>332</v>
      </c>
      <c r="BY10" s="1">
        <f t="shared" si="39"/>
        <v>124.74639363999999</v>
      </c>
      <c r="BZ10" s="1">
        <f t="shared" si="40"/>
        <v>52.801945349999983</v>
      </c>
      <c r="CA10" s="1"/>
      <c r="CB10" s="1">
        <f>+datos!LX1</f>
        <v>336</v>
      </c>
      <c r="CC10" s="2">
        <f t="shared" si="24"/>
        <v>7.6934638200000007</v>
      </c>
      <c r="CD10" s="2">
        <f t="shared" si="25"/>
        <v>5.1359729099999996</v>
      </c>
      <c r="CF10" s="1">
        <f>+datos!IV1</f>
        <v>256</v>
      </c>
      <c r="CG10" s="1">
        <f t="shared" si="26"/>
        <v>17.130000000000003</v>
      </c>
      <c r="CH10" s="1">
        <f t="shared" si="27"/>
        <v>17.39</v>
      </c>
      <c r="CJ10" s="1">
        <f t="shared" si="28"/>
        <v>3.5979505000000001</v>
      </c>
      <c r="CK10" s="1">
        <f t="shared" si="28"/>
        <v>11.482528969999997</v>
      </c>
      <c r="CL10" s="1">
        <f t="shared" si="28"/>
        <v>11.00321864</v>
      </c>
      <c r="CM10" s="1">
        <f t="shared" si="28"/>
        <v>18.05731771</v>
      </c>
      <c r="CN10" s="1">
        <f t="shared" si="28"/>
        <v>12.23030908</v>
      </c>
      <c r="CO10" s="1">
        <f t="shared" si="28"/>
        <v>17.119922650000003</v>
      </c>
      <c r="CP10" s="1">
        <f t="shared" si="28"/>
        <v>15.255558669999997</v>
      </c>
      <c r="CQ10" s="1">
        <f t="shared" si="28"/>
        <v>10.271936310000001</v>
      </c>
      <c r="CR10" s="1">
        <f t="shared" si="28"/>
        <v>14.041262509999999</v>
      </c>
      <c r="CS10" s="1">
        <f t="shared" si="28"/>
        <v>6.1015489199999999</v>
      </c>
      <c r="CT10" s="1">
        <f t="shared" si="28"/>
        <v>2.3063176799999998</v>
      </c>
      <c r="CU10" s="1">
        <f t="shared" si="28"/>
        <v>3.2785219999999997</v>
      </c>
      <c r="CV10" s="1">
        <f t="shared" si="28"/>
        <v>2.8661316999999999</v>
      </c>
      <c r="CW10" s="1">
        <f t="shared" si="28"/>
        <v>3.3581509099999995</v>
      </c>
      <c r="CX10" s="1">
        <f t="shared" si="28"/>
        <v>4.3519123000000004</v>
      </c>
      <c r="CY10" s="1">
        <f t="shared" si="28"/>
        <v>3.6482140500000004</v>
      </c>
      <c r="CZ10" s="1">
        <f t="shared" si="29"/>
        <v>7.8852843799999999</v>
      </c>
      <c r="DA10" s="1">
        <f t="shared" si="29"/>
        <v>4.4927710999999997</v>
      </c>
      <c r="DB10" s="1">
        <f t="shared" si="29"/>
        <v>3.9018705800000002</v>
      </c>
      <c r="DC10" s="1">
        <f t="shared" si="29"/>
        <v>10.723855849999996</v>
      </c>
      <c r="DD10" s="1">
        <f t="shared" si="29"/>
        <v>7.5775361799999992</v>
      </c>
      <c r="DE10" s="1">
        <f t="shared" si="29"/>
        <v>1.25129154</v>
      </c>
      <c r="DF10" s="1">
        <f t="shared" si="29"/>
        <v>0.77785399999999993</v>
      </c>
      <c r="DG10" s="1">
        <f t="shared" si="29"/>
        <v>1.96707276</v>
      </c>
      <c r="DI10" s="1">
        <f t="shared" si="30"/>
        <v>1.7947146899999999</v>
      </c>
      <c r="DJ10" s="1">
        <f t="shared" si="30"/>
        <v>1.56764612</v>
      </c>
      <c r="DK10" s="1">
        <f t="shared" si="30"/>
        <v>1.4871383200000001</v>
      </c>
      <c r="DL10" s="1">
        <f t="shared" si="30"/>
        <v>0.7069763</v>
      </c>
      <c r="DM10" s="1">
        <f t="shared" si="30"/>
        <v>0.35634324000000006</v>
      </c>
      <c r="DN10" s="1">
        <f t="shared" si="30"/>
        <v>0.22489865000000001</v>
      </c>
      <c r="DO10" s="1">
        <f t="shared" si="30"/>
        <v>0.17467300000000002</v>
      </c>
      <c r="DP10" s="1">
        <f t="shared" si="30"/>
        <v>7.2500000000000004E-3</v>
      </c>
      <c r="DQ10" s="1">
        <f t="shared" si="30"/>
        <v>0.23680799999999999</v>
      </c>
      <c r="DR10" s="1">
        <f t="shared" si="30"/>
        <v>0</v>
      </c>
      <c r="DS10" s="1">
        <f t="shared" si="30"/>
        <v>0.3075099</v>
      </c>
      <c r="DT10" s="1">
        <f t="shared" si="30"/>
        <v>0.82950560000000007</v>
      </c>
      <c r="DU10" s="1">
        <f t="shared" si="30"/>
        <v>1.06715808</v>
      </c>
      <c r="DV10" s="1">
        <f t="shared" si="30"/>
        <v>0.57276656999999997</v>
      </c>
      <c r="DW10" s="1">
        <f t="shared" si="30"/>
        <v>0.50591796999999994</v>
      </c>
      <c r="DX10" s="1">
        <f t="shared" si="30"/>
        <v>0.37369366000000004</v>
      </c>
      <c r="DY10" s="1">
        <f t="shared" si="31"/>
        <v>1.8223369999999999E-2</v>
      </c>
      <c r="DZ10" s="1">
        <f t="shared" si="31"/>
        <v>0.26981320000000003</v>
      </c>
      <c r="EA10" s="1">
        <f t="shared" si="31"/>
        <v>0.36129600000000001</v>
      </c>
      <c r="EB10" s="1">
        <f t="shared" si="31"/>
        <v>3.0606999999999997E-4</v>
      </c>
      <c r="EC10" s="1">
        <f t="shared" si="31"/>
        <v>0.33402694999999999</v>
      </c>
      <c r="ED10" s="1">
        <f t="shared" si="31"/>
        <v>0</v>
      </c>
      <c r="EE10" s="1">
        <f t="shared" si="31"/>
        <v>0.31172668999999997</v>
      </c>
      <c r="EF10" s="1">
        <f t="shared" si="31"/>
        <v>1.32104435</v>
      </c>
      <c r="EH10" s="14">
        <f t="shared" si="32"/>
        <v>17.130000000000003</v>
      </c>
      <c r="EI10" s="14">
        <f t="shared" si="32"/>
        <v>17.130000000000003</v>
      </c>
      <c r="EJ10" s="1">
        <f t="shared" si="32"/>
        <v>17.130000000000003</v>
      </c>
      <c r="EK10" s="1">
        <f t="shared" si="32"/>
        <v>17.39</v>
      </c>
      <c r="EL10" s="1">
        <f t="shared" si="32"/>
        <v>17.39</v>
      </c>
      <c r="EM10" s="1">
        <f t="shared" si="32"/>
        <v>17.39</v>
      </c>
      <c r="EN10" s="1">
        <f t="shared" si="32"/>
        <v>17.39</v>
      </c>
      <c r="EO10" s="1">
        <f t="shared" si="32"/>
        <v>17.39</v>
      </c>
      <c r="EP10" s="1">
        <f t="shared" si="32"/>
        <v>17.39</v>
      </c>
      <c r="EQ10" s="1">
        <f t="shared" si="32"/>
        <v>17.39</v>
      </c>
      <c r="ER10" s="1">
        <f t="shared" si="32"/>
        <v>17.39</v>
      </c>
      <c r="ES10" s="1">
        <f t="shared" si="32"/>
        <v>17.39</v>
      </c>
      <c r="ET10" s="1">
        <f t="shared" si="32"/>
        <v>17.39</v>
      </c>
      <c r="EU10" s="1">
        <f t="shared" si="32"/>
        <v>17.39</v>
      </c>
      <c r="EV10" s="1">
        <f t="shared" si="32"/>
        <v>17.39</v>
      </c>
      <c r="EW10" s="1">
        <f t="shared" si="32"/>
        <v>19.739999999999998</v>
      </c>
      <c r="EX10" s="1">
        <f t="shared" si="33"/>
        <v>19.739999999999998</v>
      </c>
      <c r="EY10" s="1">
        <f t="shared" si="33"/>
        <v>19.739999999999998</v>
      </c>
      <c r="EZ10" s="1">
        <f t="shared" si="33"/>
        <v>19.739999999999998</v>
      </c>
      <c r="FA10" s="1">
        <f t="shared" si="33"/>
        <v>19.739999999999998</v>
      </c>
      <c r="FB10" s="1">
        <f t="shared" si="33"/>
        <v>19.739999999999998</v>
      </c>
      <c r="FC10" s="1">
        <f t="shared" si="33"/>
        <v>19.739999999999998</v>
      </c>
      <c r="FD10" s="1">
        <f t="shared" si="33"/>
        <v>19.739999999999998</v>
      </c>
      <c r="FE10" s="1">
        <f t="shared" si="33"/>
        <v>19.739999999999998</v>
      </c>
      <c r="FG10" s="162">
        <f t="shared" si="34"/>
        <v>-0.31086014492839587</v>
      </c>
    </row>
    <row r="11" spans="1:163" ht="18.75" customHeight="1">
      <c r="A11" s="244" t="s">
        <v>116</v>
      </c>
      <c r="B11" s="247"/>
      <c r="C11" s="228">
        <f t="shared" si="5"/>
        <v>-0.33</v>
      </c>
      <c r="D11" s="229">
        <v>1</v>
      </c>
      <c r="E11" s="253">
        <f t="shared" si="6"/>
        <v>0.10391929456379678</v>
      </c>
      <c r="F11" s="254">
        <f t="shared" si="7"/>
        <v>6.6753021125326661E-2</v>
      </c>
      <c r="G11" s="253">
        <f t="shared" si="8"/>
        <v>2.3228730943914533E-2</v>
      </c>
      <c r="H11" s="254">
        <f t="shared" si="9"/>
        <v>8.069056361988225E-2</v>
      </c>
      <c r="I11" s="253">
        <f t="shared" si="10"/>
        <v>0.17811513753439479</v>
      </c>
      <c r="J11" s="254">
        <f t="shared" si="11"/>
        <v>-0.38099624569791968</v>
      </c>
      <c r="K11" s="253">
        <f t="shared" si="12"/>
        <v>0.44712108202527445</v>
      </c>
      <c r="L11" s="254">
        <f t="shared" si="13"/>
        <v>-0.26900594449087967</v>
      </c>
      <c r="M11" s="255"/>
      <c r="N11" s="256"/>
      <c r="O11" s="253" t="str">
        <f t="shared" si="35"/>
        <v/>
      </c>
      <c r="P11" s="257" t="str">
        <f t="shared" si="36"/>
        <v/>
      </c>
      <c r="Q11" s="253">
        <f t="shared" si="14"/>
        <v>0</v>
      </c>
      <c r="R11" s="257">
        <f t="shared" si="37"/>
        <v>0</v>
      </c>
      <c r="S11" s="255"/>
      <c r="T11" s="24">
        <v>-2</v>
      </c>
      <c r="U11" s="253">
        <f t="shared" si="15"/>
        <v>-0.3363475792135473</v>
      </c>
      <c r="V11" s="258">
        <f t="shared" si="16"/>
        <v>-0.3363475792135473</v>
      </c>
      <c r="W11" s="253">
        <f t="shared" si="38"/>
        <v>-0.21116283086815113</v>
      </c>
      <c r="X11" s="258">
        <f t="shared" si="17"/>
        <v>-0.21116283086815113</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4</v>
      </c>
      <c r="AY11" s="58">
        <f>VLOOKUP($A11,historia!$A$5:$CM$24,+HLOOKUP(AY$2,historia!$A$3:$EC$4,2,FALSE),FALSE)</f>
        <v>3</v>
      </c>
      <c r="AZ11" s="58">
        <f>VLOOKUP($A11,historia!$A$5:$CM$24,+HLOOKUP(AZ$2,historia!$A$3:$EC$4,2,FALSE),FALSE)</f>
        <v>3</v>
      </c>
      <c r="BA11" s="58">
        <f>VLOOKUP($A11,historia!$A$5:$CM$24,+HLOOKUP(BA$2,historia!$A$3:$EC$4,2,FALSE),FALSE)</f>
        <v>3</v>
      </c>
      <c r="BB11" s="58"/>
      <c r="BC11" s="286">
        <v>3</v>
      </c>
      <c r="BD11" t="str">
        <f t="shared" si="20"/>
        <v>Forestal</v>
      </c>
      <c r="BE11">
        <f>+datos!BG1</f>
        <v>59</v>
      </c>
      <c r="BF11" s="2" t="str">
        <f t="shared" si="4"/>
        <v>$/t</v>
      </c>
      <c r="BG11" s="2">
        <f t="shared" si="4"/>
        <v>29983</v>
      </c>
      <c r="BH11" s="2">
        <f t="shared" si="4"/>
        <v>27160.5</v>
      </c>
      <c r="BI11" s="2">
        <f t="shared" si="4"/>
        <v>25449.97432317998</v>
      </c>
      <c r="BK11">
        <f>+datos!CZ1</f>
        <v>104</v>
      </c>
      <c r="BL11" s="2">
        <f t="shared" si="21"/>
        <v>12362.27170472832</v>
      </c>
      <c r="BM11" s="2">
        <f t="shared" si="21"/>
        <v>12081.630754566766</v>
      </c>
      <c r="BN11" s="2">
        <f t="shared" si="21"/>
        <v>8542.6657508348071</v>
      </c>
      <c r="BP11" s="1">
        <f>+datos!ES1</f>
        <v>149</v>
      </c>
      <c r="BQ11" s="1">
        <f t="shared" si="22"/>
        <v>0</v>
      </c>
      <c r="BR11" s="1">
        <f t="shared" si="22"/>
        <v>0</v>
      </c>
      <c r="BT11" s="1">
        <f>+datos!GI1</f>
        <v>191</v>
      </c>
      <c r="BU11" s="1">
        <f t="shared" si="23"/>
        <v>1302556</v>
      </c>
      <c r="BV11" s="1">
        <f t="shared" si="23"/>
        <v>1302556</v>
      </c>
      <c r="BX11" s="1">
        <f>+datos!KB1</f>
        <v>288</v>
      </c>
      <c r="BY11" s="1">
        <f t="shared" si="39"/>
        <v>195.25697586000001</v>
      </c>
      <c r="BZ11" s="1">
        <f t="shared" si="40"/>
        <v>294.21572158000004</v>
      </c>
      <c r="CB11" s="1">
        <f>+datos!LG1</f>
        <v>319</v>
      </c>
      <c r="CC11" s="2">
        <f t="shared" si="24"/>
        <v>176.60689590000004</v>
      </c>
      <c r="CD11" s="2">
        <f t="shared" si="25"/>
        <v>223.88257400999998</v>
      </c>
      <c r="CF11" s="1">
        <f>+datos!IW1</f>
        <v>257</v>
      </c>
      <c r="CG11" s="1">
        <f t="shared" si="26"/>
        <v>0</v>
      </c>
      <c r="CH11" s="1">
        <f t="shared" si="27"/>
        <v>0</v>
      </c>
      <c r="CJ11" s="1">
        <f t="shared" si="28"/>
        <v>9.9284284400000011</v>
      </c>
      <c r="CK11" s="1">
        <f t="shared" si="28"/>
        <v>14.484437890000001</v>
      </c>
      <c r="CL11" s="1">
        <f t="shared" si="28"/>
        <v>10.200287200000002</v>
      </c>
      <c r="CM11" s="1">
        <f t="shared" si="28"/>
        <v>11.119065489999999</v>
      </c>
      <c r="CN11" s="1">
        <f t="shared" si="28"/>
        <v>13.50721221</v>
      </c>
      <c r="CO11" s="1">
        <f t="shared" si="28"/>
        <v>17.7783984</v>
      </c>
      <c r="CP11" s="1">
        <f t="shared" si="28"/>
        <v>18.158715399999995</v>
      </c>
      <c r="CQ11" s="1">
        <f t="shared" si="28"/>
        <v>13.62277192</v>
      </c>
      <c r="CR11" s="1">
        <f t="shared" si="28"/>
        <v>18.147427050000005</v>
      </c>
      <c r="CS11" s="1">
        <f t="shared" si="28"/>
        <v>16.38459563</v>
      </c>
      <c r="CT11" s="1">
        <f t="shared" si="28"/>
        <v>19.29025034</v>
      </c>
      <c r="CU11" s="1">
        <f t="shared" si="28"/>
        <v>32.635385889999995</v>
      </c>
      <c r="CV11" s="1">
        <f t="shared" si="28"/>
        <v>26.653198490000001</v>
      </c>
      <c r="CW11" s="1">
        <f t="shared" si="28"/>
        <v>23.932255000000001</v>
      </c>
      <c r="CX11" s="1">
        <f t="shared" si="28"/>
        <v>23.104867779999999</v>
      </c>
      <c r="CY11" s="1">
        <f t="shared" si="28"/>
        <v>24.797754910000005</v>
      </c>
      <c r="CZ11" s="1">
        <f t="shared" si="29"/>
        <v>26.00374025</v>
      </c>
      <c r="DA11" s="1">
        <f t="shared" si="29"/>
        <v>24.373047020000001</v>
      </c>
      <c r="DB11" s="1">
        <f t="shared" si="29"/>
        <v>25.649224320000002</v>
      </c>
      <c r="DC11" s="1">
        <f t="shared" si="29"/>
        <v>23.667757810000001</v>
      </c>
      <c r="DD11" s="1">
        <f t="shared" si="29"/>
        <v>25.088845019999997</v>
      </c>
      <c r="DE11" s="1">
        <f t="shared" si="29"/>
        <v>26.5668471</v>
      </c>
      <c r="DF11" s="1">
        <f t="shared" si="29"/>
        <v>23.814064600000002</v>
      </c>
      <c r="DG11" s="1">
        <f t="shared" si="29"/>
        <v>20.56411928</v>
      </c>
      <c r="DI11" s="1">
        <f t="shared" si="30"/>
        <v>12.082023640000001</v>
      </c>
      <c r="DJ11" s="1">
        <f t="shared" si="30"/>
        <v>16.998994660000001</v>
      </c>
      <c r="DK11" s="1">
        <f t="shared" si="30"/>
        <v>14.09144206</v>
      </c>
      <c r="DL11" s="1">
        <f t="shared" si="30"/>
        <v>14.036730870000001</v>
      </c>
      <c r="DM11" s="1">
        <f t="shared" si="30"/>
        <v>13.365554540000002</v>
      </c>
      <c r="DN11" s="1">
        <f t="shared" si="30"/>
        <v>15.589800310000003</v>
      </c>
      <c r="DO11" s="1">
        <f t="shared" si="30"/>
        <v>16.942532470000003</v>
      </c>
      <c r="DP11" s="1">
        <f t="shared" si="30"/>
        <v>10.998476289999999</v>
      </c>
      <c r="DQ11" s="1">
        <f t="shared" si="30"/>
        <v>11.46589975</v>
      </c>
      <c r="DR11" s="1">
        <f t="shared" si="30"/>
        <v>13.53170609</v>
      </c>
      <c r="DS11" s="1">
        <f t="shared" si="30"/>
        <v>19.941855059999995</v>
      </c>
      <c r="DT11" s="1">
        <f t="shared" si="30"/>
        <v>17.561880160000001</v>
      </c>
      <c r="DU11" s="1">
        <f t="shared" si="30"/>
        <v>14.580088280000002</v>
      </c>
      <c r="DV11" s="1">
        <f t="shared" si="30"/>
        <v>13.107541810000001</v>
      </c>
      <c r="DW11" s="1">
        <f t="shared" si="30"/>
        <v>9.0834929199999994</v>
      </c>
      <c r="DX11" s="1">
        <f t="shared" si="30"/>
        <v>9.5859924200000002</v>
      </c>
      <c r="DY11" s="1">
        <f t="shared" si="31"/>
        <v>12.114691449999999</v>
      </c>
      <c r="DZ11" s="1">
        <f t="shared" si="31"/>
        <v>21.937746180000001</v>
      </c>
      <c r="EA11" s="1">
        <f t="shared" si="31"/>
        <v>16.68359323</v>
      </c>
      <c r="EB11" s="1">
        <f t="shared" si="31"/>
        <v>23.390239519999994</v>
      </c>
      <c r="EC11" s="1">
        <f t="shared" si="31"/>
        <v>24.97777258</v>
      </c>
      <c r="ED11" s="1">
        <f t="shared" si="31"/>
        <v>25.979397770000002</v>
      </c>
      <c r="EE11" s="1">
        <f t="shared" si="31"/>
        <v>26.663923630000003</v>
      </c>
      <c r="EF11" s="1">
        <f t="shared" si="31"/>
        <v>25.77809422</v>
      </c>
      <c r="EH11" s="14">
        <f t="shared" si="32"/>
        <v>0</v>
      </c>
      <c r="EI11" s="14">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3"/>
        <v>0</v>
      </c>
      <c r="EY11" s="1">
        <f t="shared" si="33"/>
        <v>0</v>
      </c>
      <c r="EZ11" s="1">
        <f t="shared" si="33"/>
        <v>0</v>
      </c>
      <c r="FA11" s="1">
        <f t="shared" si="33"/>
        <v>0</v>
      </c>
      <c r="FB11" s="1">
        <f t="shared" si="33"/>
        <v>0</v>
      </c>
      <c r="FC11" s="1">
        <f t="shared" si="33"/>
        <v>0</v>
      </c>
      <c r="FD11" s="1">
        <f t="shared" si="33"/>
        <v>0</v>
      </c>
      <c r="FE11" s="1">
        <f t="shared" si="33"/>
        <v>0</v>
      </c>
      <c r="FG11" s="162">
        <f t="shared" si="34"/>
        <v>-0.26900594449087967</v>
      </c>
    </row>
    <row r="12" spans="1:163" ht="18.75" customHeight="1">
      <c r="A12" s="243" t="s">
        <v>216</v>
      </c>
      <c r="B12" s="246"/>
      <c r="C12" s="156">
        <f t="shared" si="5"/>
        <v>-0.33</v>
      </c>
      <c r="D12" s="198">
        <v>-1</v>
      </c>
      <c r="E12" s="248">
        <f t="shared" si="6"/>
        <v>-4.5442110250809575E-3</v>
      </c>
      <c r="F12" s="249">
        <f t="shared" si="7"/>
        <v>-4.1710484463551079E-2</v>
      </c>
      <c r="G12" s="248">
        <f t="shared" si="8"/>
        <v>5.5973472700348026E-3</v>
      </c>
      <c r="H12" s="249">
        <f t="shared" si="9"/>
        <v>-1.014155829511576E-2</v>
      </c>
      <c r="I12" s="248">
        <f t="shared" si="10"/>
        <v>0.41015735904696604</v>
      </c>
      <c r="J12" s="249">
        <f t="shared" si="11"/>
        <v>-0.14895402418534842</v>
      </c>
      <c r="K12" s="248">
        <f t="shared" si="12"/>
        <v>0.33412154697893515</v>
      </c>
      <c r="L12" s="249">
        <f t="shared" si="13"/>
        <v>7.6035812068030895E-2</v>
      </c>
      <c r="M12" s="250"/>
      <c r="N12" s="24">
        <v>1</v>
      </c>
      <c r="O12" s="248">
        <f t="shared" si="35"/>
        <v>5.4685208003285801E-2</v>
      </c>
      <c r="P12" s="251">
        <f t="shared" si="36"/>
        <v>5.4685208003285801E-2</v>
      </c>
      <c r="Q12" s="248">
        <f t="shared" si="14"/>
        <v>0.17797513992053071</v>
      </c>
      <c r="R12" s="251">
        <f t="shared" si="37"/>
        <v>0.17797513992053071</v>
      </c>
      <c r="S12" s="250"/>
      <c r="T12" s="24">
        <v>-1</v>
      </c>
      <c r="U12" s="248">
        <f t="shared" si="15"/>
        <v>0.11438376869207345</v>
      </c>
      <c r="V12" s="252">
        <f t="shared" si="16"/>
        <v>0.11438376869207345</v>
      </c>
      <c r="W12" s="248">
        <f t="shared" si="38"/>
        <v>-0.42696114536264662</v>
      </c>
      <c r="X12" s="252">
        <f t="shared" si="17"/>
        <v>-0.42696114536264662</v>
      </c>
      <c r="Y12" s="248">
        <f t="shared" si="18"/>
        <v>0.12081355932203386</v>
      </c>
      <c r="Z12" s="252">
        <f t="shared" si="19"/>
        <v>0.12081355932203386</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5</v>
      </c>
      <c r="AQ12" s="28">
        <f>VLOOKUP($A12,historia!$A$5:$CM$24,+HLOOKUP(AQ$2,historia!$A$3:$EC$4,2,FALSE),FALSE)</f>
        <v>4</v>
      </c>
      <c r="AR12" s="28">
        <f>VLOOKUP($A12,historia!$A$5:$CM$24,+HLOOKUP(AR$2,historia!$A$3:$EC$4,2,FALSE),FALSE)</f>
        <v>4</v>
      </c>
      <c r="AS12" s="28">
        <f>VLOOKUP($A12,historia!$A$5:$CM$24,+HLOOKUP(AS$2,historia!$A$3:$EC$4,2,FALSE),FALSE)</f>
        <v>4</v>
      </c>
      <c r="AT12" s="58">
        <f>VLOOKUP($A12,historia!$A$5:$CM$24,+HLOOKUP(AT$2,historia!$A$3:$EC$4,2,FALSE),FALSE)</f>
        <v>4</v>
      </c>
      <c r="AU12" s="58">
        <f>VLOOKUP($A12,historia!$A$5:$CM$24,+HLOOKUP(AU$2,historia!$A$3:$EC$4,2,FALSE),FALSE)</f>
        <v>4</v>
      </c>
      <c r="AV12" s="58">
        <f>VLOOKUP($A12,historia!$A$5:$CM$24,+HLOOKUP(AV$2,historia!$A$3:$EC$4,2,FALSE),FALSE)</f>
        <v>4</v>
      </c>
      <c r="AW12" s="58">
        <f>VLOOKUP($A12,historia!$A$5:$CM$24,+HLOOKUP(AW$2,historia!$A$3:$EC$4,2,FALSE),FALSE)</f>
        <v>4</v>
      </c>
      <c r="AX12" s="58">
        <f>VLOOKUP($A12,historia!$A$5:$CM$24,+HLOOKUP(AX$2,historia!$A$3:$EC$4,2,FALSE),FALSE)</f>
        <v>4</v>
      </c>
      <c r="AY12" s="58">
        <f>VLOOKUP($A12,historia!$A$5:$CM$24,+HLOOKUP(AY$2,historia!$A$3:$EC$4,2,FALSE),FALSE)</f>
        <v>3</v>
      </c>
      <c r="AZ12" s="58">
        <f>VLOOKUP($A12,historia!$A$5:$CM$24,+HLOOKUP(AZ$2,historia!$A$3:$EC$4,2,FALSE),FALSE)</f>
        <v>3</v>
      </c>
      <c r="BA12" s="58">
        <f>VLOOKUP($A12,historia!$A$5:$CM$24,+HLOOKUP(BA$2,historia!$A$3:$EC$4,2,FALSE),FALSE)</f>
        <v>3</v>
      </c>
      <c r="BB12" s="58"/>
      <c r="BC12" s="286">
        <v>3</v>
      </c>
      <c r="BD12" t="str">
        <f t="shared" si="20"/>
        <v>Granos</v>
      </c>
      <c r="BE12">
        <f>+datos!AE1</f>
        <v>31</v>
      </c>
      <c r="BF12" s="2" t="str">
        <f t="shared" si="4"/>
        <v>$/t</v>
      </c>
      <c r="BG12" s="2">
        <f t="shared" si="4"/>
        <v>259791.04374666669</v>
      </c>
      <c r="BH12" s="2">
        <f t="shared" si="4"/>
        <v>260976.97820833331</v>
      </c>
      <c r="BI12" s="2">
        <f t="shared" si="4"/>
        <v>184228.40690789474</v>
      </c>
      <c r="BK12">
        <f>+datos!CG1</f>
        <v>85</v>
      </c>
      <c r="BL12" s="2">
        <f t="shared" si="21"/>
        <v>10036.444242131704</v>
      </c>
      <c r="BM12" s="2">
        <f t="shared" si="21"/>
        <v>9980.579472865893</v>
      </c>
      <c r="BN12" s="2">
        <f t="shared" si="21"/>
        <v>7522.885950578363</v>
      </c>
      <c r="BP12" s="1">
        <f>+datos!EA1</f>
        <v>131</v>
      </c>
      <c r="BQ12" s="1">
        <f t="shared" si="22"/>
        <v>35950000</v>
      </c>
      <c r="BR12" s="1">
        <f t="shared" si="22"/>
        <v>34086000</v>
      </c>
      <c r="BT12" s="1">
        <f>+datos!FV1</f>
        <v>178</v>
      </c>
      <c r="BU12" s="1">
        <f t="shared" si="23"/>
        <v>124810000</v>
      </c>
      <c r="BV12" s="1">
        <f t="shared" si="23"/>
        <v>105953000</v>
      </c>
      <c r="BX12" s="1">
        <f>+datos!LQ1</f>
        <v>329</v>
      </c>
      <c r="BY12" s="1">
        <f>+SUM(CJ12:CU12)</f>
        <v>43123.286353169999</v>
      </c>
      <c r="BZ12" s="1">
        <f t="shared" si="40"/>
        <v>38696.979949540008</v>
      </c>
      <c r="CB12" s="1">
        <f>+datos!LU1</f>
        <v>333</v>
      </c>
      <c r="CC12" s="2">
        <f t="shared" si="24"/>
        <v>2913.9310439600004</v>
      </c>
      <c r="CD12" s="2">
        <f t="shared" si="25"/>
        <v>5085.04967923</v>
      </c>
      <c r="CF12" s="1">
        <f>+datos!II1</f>
        <v>243</v>
      </c>
      <c r="CG12" s="1">
        <f t="shared" si="26"/>
        <v>82660000</v>
      </c>
      <c r="CH12" s="1">
        <f t="shared" si="27"/>
        <v>73750000</v>
      </c>
      <c r="CJ12" s="1">
        <f>+VLOOKUP(CJ$1,ran_dat,$BX12,FALSE)</f>
        <v>2719.5194464700007</v>
      </c>
      <c r="CK12" s="1">
        <f t="shared" si="28"/>
        <v>3193.1112506200002</v>
      </c>
      <c r="CL12" s="1">
        <f t="shared" si="28"/>
        <v>3231.2263099199999</v>
      </c>
      <c r="CM12" s="1">
        <f t="shared" si="28"/>
        <v>3313.8442822299994</v>
      </c>
      <c r="CN12" s="1">
        <f t="shared" si="28"/>
        <v>3339.9998161899998</v>
      </c>
      <c r="CO12" s="1">
        <f t="shared" si="28"/>
        <v>3485.71732419</v>
      </c>
      <c r="CP12" s="1">
        <f t="shared" si="28"/>
        <v>3410.80431886</v>
      </c>
      <c r="CQ12" s="1">
        <f t="shared" si="28"/>
        <v>3348.6268518899992</v>
      </c>
      <c r="CR12" s="1">
        <f t="shared" si="28"/>
        <v>4200.6671527199996</v>
      </c>
      <c r="CS12" s="1">
        <f t="shared" si="28"/>
        <v>4256.6159984299993</v>
      </c>
      <c r="CT12" s="1">
        <f t="shared" si="28"/>
        <v>4805.0657855600002</v>
      </c>
      <c r="CU12" s="1">
        <f t="shared" si="28"/>
        <v>3818.0878160900002</v>
      </c>
      <c r="CV12" s="1">
        <f t="shared" si="28"/>
        <v>3876.9439553199995</v>
      </c>
      <c r="CW12" s="1">
        <f t="shared" si="28"/>
        <v>3089.4855235099994</v>
      </c>
      <c r="CX12" s="1">
        <f t="shared" si="28"/>
        <v>3929.1762735700004</v>
      </c>
      <c r="CY12" s="1">
        <f t="shared" si="28"/>
        <v>2955.6698254600001</v>
      </c>
      <c r="CZ12" s="1">
        <f t="shared" si="29"/>
        <v>2441.9361675499999</v>
      </c>
      <c r="DA12" s="1">
        <f t="shared" si="29"/>
        <v>2439.6070879799995</v>
      </c>
      <c r="DB12" s="1">
        <f t="shared" si="29"/>
        <v>2937.94498135</v>
      </c>
      <c r="DC12" s="1">
        <f t="shared" si="29"/>
        <v>3422.8062754199996</v>
      </c>
      <c r="DD12" s="1">
        <f t="shared" si="29"/>
        <v>3305.4373540500001</v>
      </c>
      <c r="DE12" s="1">
        <f t="shared" si="29"/>
        <v>3388.1727426199996</v>
      </c>
      <c r="DF12" s="1">
        <f t="shared" si="29"/>
        <v>3792.8302867999996</v>
      </c>
      <c r="DG12" s="1">
        <f t="shared" si="29"/>
        <v>3116.9694759099998</v>
      </c>
      <c r="DI12" s="1">
        <f t="shared" si="30"/>
        <v>239.40438782999996</v>
      </c>
      <c r="DJ12" s="1">
        <f t="shared" si="30"/>
        <v>288.1429152</v>
      </c>
      <c r="DK12" s="1">
        <f t="shared" si="30"/>
        <v>31.883400920000003</v>
      </c>
      <c r="DL12" s="1">
        <f t="shared" si="30"/>
        <v>52.19269714</v>
      </c>
      <c r="DM12" s="1">
        <f t="shared" si="30"/>
        <v>201.41567115000001</v>
      </c>
      <c r="DN12" s="1">
        <f t="shared" si="30"/>
        <v>299.18688666000003</v>
      </c>
      <c r="DO12" s="1">
        <f t="shared" si="30"/>
        <v>265.28366987999999</v>
      </c>
      <c r="DP12" s="1">
        <f t="shared" si="30"/>
        <v>214.60650260000006</v>
      </c>
      <c r="DQ12" s="1">
        <f t="shared" si="30"/>
        <v>390.93673457</v>
      </c>
      <c r="DR12" s="1">
        <f t="shared" si="30"/>
        <v>293.37536226000003</v>
      </c>
      <c r="DS12" s="1">
        <f t="shared" si="30"/>
        <v>336.54852982999995</v>
      </c>
      <c r="DT12" s="1">
        <f t="shared" si="30"/>
        <v>300.95428591999996</v>
      </c>
      <c r="DU12" s="1">
        <f t="shared" si="30"/>
        <v>389.85732896999997</v>
      </c>
      <c r="DV12" s="1">
        <f t="shared" si="30"/>
        <v>280.54397103999997</v>
      </c>
      <c r="DW12" s="1">
        <f t="shared" si="30"/>
        <v>63.525792080000002</v>
      </c>
      <c r="DX12" s="1">
        <f t="shared" si="30"/>
        <v>301.92103216000004</v>
      </c>
      <c r="DY12" s="1">
        <f t="shared" si="31"/>
        <v>260.76831764999997</v>
      </c>
      <c r="DZ12" s="1">
        <f t="shared" si="31"/>
        <v>244.67742642000002</v>
      </c>
      <c r="EA12" s="1">
        <f t="shared" si="31"/>
        <v>322.58249758000005</v>
      </c>
      <c r="EB12" s="1">
        <f t="shared" si="31"/>
        <v>495.08938117000014</v>
      </c>
      <c r="EC12" s="1">
        <f t="shared" si="31"/>
        <v>539.06610803000001</v>
      </c>
      <c r="ED12" s="1">
        <f t="shared" si="31"/>
        <v>828.84254484999997</v>
      </c>
      <c r="EE12" s="1">
        <f t="shared" si="31"/>
        <v>679.74768902999983</v>
      </c>
      <c r="EF12" s="1">
        <f t="shared" si="31"/>
        <v>678.42759025000009</v>
      </c>
      <c r="EH12" s="14">
        <f t="shared" si="32"/>
        <v>82660000</v>
      </c>
      <c r="EI12" s="14">
        <f t="shared" si="32"/>
        <v>83330000</v>
      </c>
      <c r="EJ12" s="1">
        <f t="shared" si="32"/>
        <v>83330000</v>
      </c>
      <c r="EK12" s="1">
        <f t="shared" si="32"/>
        <v>81580000</v>
      </c>
      <c r="EL12" s="1">
        <f t="shared" si="32"/>
        <v>81600000</v>
      </c>
      <c r="EM12" s="1">
        <f t="shared" si="32"/>
        <v>81600000</v>
      </c>
      <c r="EN12" s="1">
        <f t="shared" si="32"/>
        <v>81600000</v>
      </c>
      <c r="EO12" s="1">
        <f t="shared" si="32"/>
        <v>81600000</v>
      </c>
      <c r="EP12" s="1">
        <f t="shared" si="32"/>
        <v>81600000</v>
      </c>
      <c r="EQ12" s="1">
        <f t="shared" si="32"/>
        <v>81600000</v>
      </c>
      <c r="ER12" s="1">
        <f t="shared" si="32"/>
        <v>81600000</v>
      </c>
      <c r="ES12" s="1">
        <f t="shared" si="32"/>
        <v>81600000</v>
      </c>
      <c r="ET12" s="1">
        <f t="shared" si="32"/>
        <v>73750000</v>
      </c>
      <c r="EU12" s="1">
        <f t="shared" si="32"/>
        <v>73750000</v>
      </c>
      <c r="EV12" s="1">
        <f t="shared" si="32"/>
        <v>73450000</v>
      </c>
      <c r="EW12" s="1">
        <f t="shared" si="32"/>
        <v>73450000</v>
      </c>
      <c r="EX12" s="1">
        <f t="shared" si="33"/>
        <v>73450000</v>
      </c>
      <c r="EY12" s="1">
        <f t="shared" si="33"/>
        <v>73450000</v>
      </c>
      <c r="EZ12" s="1">
        <f t="shared" si="33"/>
        <v>73450000</v>
      </c>
      <c r="FA12" s="1">
        <f t="shared" si="33"/>
        <v>73450000</v>
      </c>
      <c r="FB12" s="1">
        <f t="shared" si="33"/>
        <v>73450000</v>
      </c>
      <c r="FC12" s="1">
        <f t="shared" si="33"/>
        <v>73450000</v>
      </c>
      <c r="FD12" s="1">
        <f t="shared" si="33"/>
        <v>73450000</v>
      </c>
      <c r="FE12" s="1">
        <f t="shared" si="33"/>
        <v>73450000</v>
      </c>
      <c r="FG12" s="162">
        <f t="shared" si="34"/>
        <v>7.6035812068030895E-2</v>
      </c>
    </row>
    <row r="13" spans="1:163" ht="18.75" customHeight="1">
      <c r="A13" s="244" t="s">
        <v>217</v>
      </c>
      <c r="B13" s="247"/>
      <c r="C13" s="228">
        <f t="shared" si="5"/>
        <v>0</v>
      </c>
      <c r="D13" s="229">
        <v>0</v>
      </c>
      <c r="E13" s="253">
        <f t="shared" si="6"/>
        <v>0.4070147455821751</v>
      </c>
      <c r="F13" s="254">
        <f t="shared" si="7"/>
        <v>0.36984847214370498</v>
      </c>
      <c r="G13" s="253">
        <f t="shared" si="8"/>
        <v>8.0601374941912551E-2</v>
      </c>
      <c r="H13" s="254">
        <f t="shared" si="9"/>
        <v>0.32641337064026255</v>
      </c>
      <c r="I13" s="253">
        <f t="shared" si="10"/>
        <v>0.27007796987236765</v>
      </c>
      <c r="J13" s="254">
        <f t="shared" si="11"/>
        <v>-0.28903341335994681</v>
      </c>
      <c r="K13" s="253">
        <f t="shared" si="12"/>
        <v>0.34488713281102745</v>
      </c>
      <c r="L13" s="254">
        <f t="shared" si="13"/>
        <v>-7.4809162938659801E-2</v>
      </c>
      <c r="M13" s="255"/>
      <c r="N13" s="256">
        <v>0</v>
      </c>
      <c r="O13" s="253">
        <f t="shared" si="35"/>
        <v>0</v>
      </c>
      <c r="P13" s="257">
        <f t="shared" si="36"/>
        <v>0</v>
      </c>
      <c r="Q13" s="253">
        <f t="shared" si="14"/>
        <v>0</v>
      </c>
      <c r="R13" s="257">
        <f t="shared" si="37"/>
        <v>0</v>
      </c>
      <c r="S13" s="255"/>
      <c r="T13" s="256">
        <v>0</v>
      </c>
      <c r="U13" s="253">
        <f t="shared" si="15"/>
        <v>-0.29410856735029067</v>
      </c>
      <c r="V13" s="258">
        <f t="shared" si="16"/>
        <v>-0.29410856735029067</v>
      </c>
      <c r="W13" s="253">
        <f t="shared" si="38"/>
        <v>1.4592700778715355</v>
      </c>
      <c r="X13" s="258">
        <f t="shared" si="17"/>
        <v>1.4592700778715355</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2</v>
      </c>
      <c r="AR13" s="28">
        <f>VLOOKUP($A13,historia!$A$5:$CM$24,+HLOOKUP(AR$2,historia!$A$3:$EC$4,2,FALSE),FALSE)</f>
        <v>2</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4</v>
      </c>
      <c r="BA13" s="58">
        <f>VLOOKUP($A13,historia!$A$5:$CM$24,+HLOOKUP(BA$2,historia!$A$3:$EC$4,2,FALSE),FALSE)</f>
        <v>3</v>
      </c>
      <c r="BB13" s="58"/>
      <c r="BC13" s="286">
        <v>3</v>
      </c>
      <c r="BD13" t="str">
        <f t="shared" si="20"/>
        <v>Hortalizas</v>
      </c>
      <c r="BE13">
        <f>+datos!BB1</f>
        <v>54</v>
      </c>
      <c r="BF13" s="2" t="str">
        <f t="shared" si="4"/>
        <v>$/kg</v>
      </c>
      <c r="BG13" s="2">
        <f t="shared" si="4"/>
        <v>10851.255648380209</v>
      </c>
      <c r="BH13" s="2">
        <f t="shared" si="4"/>
        <v>7712.2543899782131</v>
      </c>
      <c r="BI13" s="2">
        <f t="shared" si="4"/>
        <v>8543.7712532488622</v>
      </c>
      <c r="BK13">
        <f>+datos!CO1</f>
        <v>93</v>
      </c>
      <c r="BL13" s="2">
        <f t="shared" si="21"/>
        <v>10191.518862040914</v>
      </c>
      <c r="BM13" s="2">
        <f t="shared" si="21"/>
        <v>9431.3398986640714</v>
      </c>
      <c r="BN13" s="2">
        <f t="shared" si="21"/>
        <v>7577.9733580609272</v>
      </c>
      <c r="BP13" s="1">
        <f>+datos!EX1</f>
        <v>154</v>
      </c>
      <c r="BQ13" s="1">
        <f t="shared" si="22"/>
        <v>64395</v>
      </c>
      <c r="BR13" s="1">
        <f t="shared" si="22"/>
        <v>64395</v>
      </c>
      <c r="BT13" s="1">
        <f>+datos!GN1</f>
        <v>196</v>
      </c>
      <c r="BU13" s="1">
        <f t="shared" si="23"/>
        <v>2639386</v>
      </c>
      <c r="BV13" s="1">
        <f t="shared" si="23"/>
        <v>2639386</v>
      </c>
      <c r="BX13" s="1">
        <f>+datos!LR1</f>
        <v>330</v>
      </c>
      <c r="BY13" s="1">
        <f t="shared" si="39"/>
        <v>52.457566449999995</v>
      </c>
      <c r="BZ13" s="1">
        <f t="shared" si="40"/>
        <v>74.313929910000013</v>
      </c>
      <c r="CB13" s="1">
        <f>+datos!LV1</f>
        <v>334</v>
      </c>
      <c r="CC13" s="2">
        <f t="shared" si="24"/>
        <v>36.693288129999999</v>
      </c>
      <c r="CD13" s="2">
        <f t="shared" si="25"/>
        <v>14.920397910000002</v>
      </c>
      <c r="CF13" s="1">
        <f>+datos!IX1</f>
        <v>258</v>
      </c>
      <c r="CG13" s="1">
        <f t="shared" si="26"/>
        <v>0</v>
      </c>
      <c r="CH13" s="1">
        <f t="shared" si="27"/>
        <v>0</v>
      </c>
      <c r="CJ13" s="1">
        <f t="shared" si="28"/>
        <v>4.7972503099999999</v>
      </c>
      <c r="CK13" s="1">
        <f t="shared" si="28"/>
        <v>3.6808061599999999</v>
      </c>
      <c r="CL13" s="1">
        <f t="shared" si="28"/>
        <v>1.7265838599999999</v>
      </c>
      <c r="CM13" s="1">
        <f t="shared" si="28"/>
        <v>1.1603474899999999</v>
      </c>
      <c r="CN13" s="1">
        <f t="shared" si="28"/>
        <v>1.6220564799999999</v>
      </c>
      <c r="CO13" s="1">
        <f t="shared" si="28"/>
        <v>1.7022322700000001</v>
      </c>
      <c r="CP13" s="1">
        <f t="shared" si="28"/>
        <v>2.1800094999999997</v>
      </c>
      <c r="CQ13" s="1">
        <f t="shared" si="28"/>
        <v>0.89152303000000011</v>
      </c>
      <c r="CR13" s="1">
        <f t="shared" si="28"/>
        <v>2.22092468</v>
      </c>
      <c r="CS13" s="1">
        <f t="shared" si="28"/>
        <v>5.6369490100000004</v>
      </c>
      <c r="CT13" s="1">
        <f t="shared" si="28"/>
        <v>11.964288460000001</v>
      </c>
      <c r="CU13" s="1">
        <f t="shared" si="28"/>
        <v>14.874595200000002</v>
      </c>
      <c r="CV13" s="1">
        <f t="shared" si="28"/>
        <v>12.356255849999998</v>
      </c>
      <c r="CW13" s="1">
        <f t="shared" si="28"/>
        <v>7.66143427</v>
      </c>
      <c r="CX13" s="1">
        <f t="shared" si="28"/>
        <v>3.9700200400000001</v>
      </c>
      <c r="CY13" s="1">
        <f t="shared" si="28"/>
        <v>4.244482989999999</v>
      </c>
      <c r="CZ13" s="1">
        <f t="shared" si="29"/>
        <v>3.7692072699999999</v>
      </c>
      <c r="DA13" s="1">
        <f t="shared" si="29"/>
        <v>4.3561451300000007</v>
      </c>
      <c r="DB13" s="1">
        <f t="shared" si="29"/>
        <v>2.35708815</v>
      </c>
      <c r="DC13" s="1">
        <f t="shared" si="29"/>
        <v>2.9990922500000003</v>
      </c>
      <c r="DD13" s="1">
        <f t="shared" si="29"/>
        <v>4.9654154400000001</v>
      </c>
      <c r="DE13" s="1">
        <f t="shared" si="29"/>
        <v>7.7556872599999993</v>
      </c>
      <c r="DF13" s="1">
        <f t="shared" si="29"/>
        <v>10.641103850000002</v>
      </c>
      <c r="DG13" s="1">
        <f t="shared" si="29"/>
        <v>9.2379974100000002</v>
      </c>
      <c r="DI13" s="1">
        <f t="shared" si="30"/>
        <v>0.52205221000000002</v>
      </c>
      <c r="DJ13" s="1">
        <f t="shared" si="30"/>
        <v>0.27889262000000004</v>
      </c>
      <c r="DK13" s="1">
        <f t="shared" si="30"/>
        <v>0.43588088999999991</v>
      </c>
      <c r="DL13" s="1">
        <f t="shared" si="30"/>
        <v>0.25163443000000002</v>
      </c>
      <c r="DM13" s="1">
        <f t="shared" si="30"/>
        <v>1.8307121500000001</v>
      </c>
      <c r="DN13" s="1">
        <f t="shared" si="30"/>
        <v>4.7138590499999999</v>
      </c>
      <c r="DO13" s="1">
        <f t="shared" si="30"/>
        <v>10.280953719999999</v>
      </c>
      <c r="DP13" s="1">
        <f t="shared" si="30"/>
        <v>10.078043539999999</v>
      </c>
      <c r="DQ13" s="1">
        <f t="shared" si="30"/>
        <v>5.0525632100000006</v>
      </c>
      <c r="DR13" s="1">
        <f t="shared" si="30"/>
        <v>1.5134803299999999</v>
      </c>
      <c r="DS13" s="1">
        <f t="shared" si="30"/>
        <v>1.5645213200000003</v>
      </c>
      <c r="DT13" s="1">
        <f t="shared" si="30"/>
        <v>0.17069466</v>
      </c>
      <c r="DU13" s="1">
        <f t="shared" si="30"/>
        <v>5.8121779999999998E-2</v>
      </c>
      <c r="DV13" s="1">
        <f t="shared" si="30"/>
        <v>0.22874177000000001</v>
      </c>
      <c r="DW13" s="1">
        <f t="shared" si="30"/>
        <v>6.8422739999999996E-2</v>
      </c>
      <c r="DX13" s="1">
        <f t="shared" si="30"/>
        <v>1.38860757</v>
      </c>
      <c r="DY13" s="1">
        <f t="shared" si="31"/>
        <v>1.9631409899999996</v>
      </c>
      <c r="DZ13" s="1">
        <f t="shared" si="31"/>
        <v>1.5225679400000001</v>
      </c>
      <c r="EA13" s="1">
        <f t="shared" si="31"/>
        <v>1.3263511099999998</v>
      </c>
      <c r="EB13" s="1">
        <f t="shared" si="31"/>
        <v>2.5091586699999997</v>
      </c>
      <c r="EC13" s="1">
        <f t="shared" si="31"/>
        <v>1.6528733800000002</v>
      </c>
      <c r="ED13" s="1">
        <f t="shared" si="31"/>
        <v>0.42388491999999994</v>
      </c>
      <c r="EE13" s="1">
        <f t="shared" si="31"/>
        <v>1.7301791</v>
      </c>
      <c r="EF13" s="1">
        <f t="shared" si="31"/>
        <v>2.0483479400000002</v>
      </c>
      <c r="EH13" s="14">
        <f t="shared" si="32"/>
        <v>0</v>
      </c>
      <c r="EI13" s="14">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3"/>
        <v>0</v>
      </c>
      <c r="EY13" s="1">
        <f t="shared" si="33"/>
        <v>0</v>
      </c>
      <c r="EZ13" s="1">
        <f t="shared" si="33"/>
        <v>0</v>
      </c>
      <c r="FA13" s="1">
        <f t="shared" si="33"/>
        <v>0</v>
      </c>
      <c r="FB13" s="1">
        <f t="shared" si="33"/>
        <v>0</v>
      </c>
      <c r="FC13" s="1">
        <f t="shared" si="33"/>
        <v>0</v>
      </c>
      <c r="FD13" s="1">
        <f t="shared" si="33"/>
        <v>0</v>
      </c>
      <c r="FE13" s="1">
        <f t="shared" si="33"/>
        <v>0</v>
      </c>
      <c r="FG13" s="162">
        <f t="shared" si="34"/>
        <v>-7.4809162938659801E-2</v>
      </c>
    </row>
    <row r="14" spans="1:163" ht="18.75" customHeight="1">
      <c r="A14" s="243" t="s">
        <v>65</v>
      </c>
      <c r="B14" s="246"/>
      <c r="C14" s="156">
        <f t="shared" si="5"/>
        <v>-0.33</v>
      </c>
      <c r="D14" s="198">
        <v>1</v>
      </c>
      <c r="E14" s="248">
        <f t="shared" si="6"/>
        <v>1.2784408385856594E-2</v>
      </c>
      <c r="F14" s="249">
        <f t="shared" si="7"/>
        <v>-2.4381865052613527E-2</v>
      </c>
      <c r="G14" s="248">
        <f t="shared" si="8"/>
        <v>-2.1577252807006286E-2</v>
      </c>
      <c r="H14" s="249">
        <f t="shared" si="9"/>
        <v>3.436166119286288E-2</v>
      </c>
      <c r="I14" s="248">
        <f t="shared" si="10"/>
        <v>0.36619633381572592</v>
      </c>
      <c r="J14" s="249">
        <f t="shared" si="11"/>
        <v>-0.19291504941658855</v>
      </c>
      <c r="K14" s="248">
        <f t="shared" si="12"/>
        <v>0.45678423525626188</v>
      </c>
      <c r="L14" s="249">
        <f t="shared" si="13"/>
        <v>-9.0587901440535967E-2</v>
      </c>
      <c r="M14" s="250"/>
      <c r="N14" s="24">
        <v>-1</v>
      </c>
      <c r="O14" s="248">
        <f t="shared" si="35"/>
        <v>-8.2595132273663441E-2</v>
      </c>
      <c r="P14" s="251">
        <f t="shared" si="36"/>
        <v>-8.2595132273663441E-2</v>
      </c>
      <c r="Q14" s="248">
        <f t="shared" si="14"/>
        <v>-1.7802035243901004E-2</v>
      </c>
      <c r="R14" s="251">
        <f t="shared" si="37"/>
        <v>-1.7802035243901004E-2</v>
      </c>
      <c r="S14" s="250"/>
      <c r="T14" s="24">
        <v>-1</v>
      </c>
      <c r="U14" s="248">
        <f t="shared" si="15"/>
        <v>4.4717756487750782E-2</v>
      </c>
      <c r="V14" s="252">
        <f t="shared" si="16"/>
        <v>4.4717756487750782E-2</v>
      </c>
      <c r="W14" s="248">
        <f t="shared" si="38"/>
        <v>-5.0757253339942521E-2</v>
      </c>
      <c r="X14" s="252">
        <f t="shared" si="17"/>
        <v>-5.0757253339942521E-2</v>
      </c>
      <c r="Y14" s="248">
        <f t="shared" si="18"/>
        <v>0.11826697892271665</v>
      </c>
      <c r="Z14" s="252">
        <f t="shared" si="19"/>
        <v>0.11826697892271665</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4</v>
      </c>
      <c r="AR14" s="28">
        <f>VLOOKUP($A14,historia!$A$5:$CM$24,+HLOOKUP(AR$2,historia!$A$3:$EC$4,2,FALSE),FALSE)</f>
        <v>4</v>
      </c>
      <c r="AS14" s="28">
        <f>VLOOKUP($A14,historia!$A$5:$CM$24,+HLOOKUP(AS$2,historia!$A$3:$EC$4,2,FALSE),FALSE)</f>
        <v>4</v>
      </c>
      <c r="AT14" s="58">
        <f>VLOOKUP($A14,historia!$A$5:$CM$24,+HLOOKUP(AT$2,historia!$A$3:$EC$4,2,FALSE),FALSE)</f>
        <v>4</v>
      </c>
      <c r="AU14" s="58">
        <f>VLOOKUP($A14,historia!$A$5:$CM$24,+HLOOKUP(AU$2,historia!$A$3:$EC$4,2,FALSE),FALSE)</f>
        <v>4</v>
      </c>
      <c r="AV14" s="58">
        <f>VLOOKUP($A14,historia!$A$5:$CM$24,+HLOOKUP(AV$2,historia!$A$3:$EC$4,2,FALSE),FALSE)</f>
        <v>4</v>
      </c>
      <c r="AW14" s="58">
        <f>VLOOKUP($A14,historia!$A$5:$CM$24,+HLOOKUP(AW$2,historia!$A$3:$EC$4,2,FALSE),FALSE)</f>
        <v>4</v>
      </c>
      <c r="AX14" s="58">
        <f>VLOOKUP($A14,historia!$A$5:$CM$24,+HLOOKUP(AX$2,historia!$A$3:$EC$4,2,FALSE),FALSE)</f>
        <v>4</v>
      </c>
      <c r="AY14" s="58">
        <f>VLOOKUP($A14,historia!$A$5:$CM$24,+HLOOKUP(AY$2,historia!$A$3:$EC$4,2,FALSE),FALSE)</f>
        <v>3</v>
      </c>
      <c r="AZ14" s="58">
        <f>VLOOKUP($A14,historia!$A$5:$CM$24,+HLOOKUP(AZ$2,historia!$A$3:$EC$4,2,FALSE),FALSE)</f>
        <v>3</v>
      </c>
      <c r="BA14" s="58">
        <f>VLOOKUP($A14,historia!$A$5:$CM$24,+HLOOKUP(BA$2,historia!$A$3:$EC$4,2,FALSE),FALSE)</f>
        <v>3</v>
      </c>
      <c r="BB14" s="58"/>
      <c r="BC14" s="286">
        <v>3</v>
      </c>
      <c r="BD14" t="str">
        <f t="shared" si="20"/>
        <v>Leche</v>
      </c>
      <c r="BE14">
        <f>+datos!BN1</f>
        <v>66</v>
      </c>
      <c r="BF14" s="2" t="str">
        <f t="shared" si="4"/>
        <v>$/l</v>
      </c>
      <c r="BG14" s="2">
        <f t="shared" si="4"/>
        <v>453.14</v>
      </c>
      <c r="BH14" s="2">
        <f t="shared" si="4"/>
        <v>447.42</v>
      </c>
      <c r="BI14" s="2">
        <f t="shared" si="4"/>
        <v>331.68</v>
      </c>
      <c r="BK14">
        <f>+datos!DC1</f>
        <v>107</v>
      </c>
      <c r="BL14" s="2">
        <f t="shared" si="21"/>
        <v>10428.805901437217</v>
      </c>
      <c r="BM14" s="2">
        <f t="shared" si="21"/>
        <v>10658.793380833098</v>
      </c>
      <c r="BN14" s="2">
        <f t="shared" si="21"/>
        <v>7158.7855284572697</v>
      </c>
      <c r="BP14" s="1">
        <f>+datos!EN1</f>
        <v>144</v>
      </c>
      <c r="BQ14" s="1">
        <f t="shared" si="22"/>
        <v>2908156</v>
      </c>
      <c r="BR14" s="1">
        <f t="shared" si="22"/>
        <v>3169981</v>
      </c>
      <c r="BT14" s="1">
        <f>+datos!HP1</f>
        <v>224</v>
      </c>
      <c r="BU14" s="1">
        <f t="shared" si="23"/>
        <v>10768.137904900923</v>
      </c>
      <c r="BV14" s="1">
        <f t="shared" si="23"/>
        <v>10963.307084</v>
      </c>
      <c r="BX14" s="1">
        <f>+datos!KH1</f>
        <v>294</v>
      </c>
      <c r="BY14" s="1">
        <f t="shared" si="39"/>
        <v>1585.0545501099998</v>
      </c>
      <c r="BZ14" s="1">
        <f t="shared" si="40"/>
        <v>1517.20839458</v>
      </c>
      <c r="CB14" s="1">
        <f>+datos!LM1</f>
        <v>325</v>
      </c>
      <c r="CC14" s="2">
        <f t="shared" si="24"/>
        <v>22.212021849999996</v>
      </c>
      <c r="CD14" s="2">
        <f t="shared" si="25"/>
        <v>23.399727760000001</v>
      </c>
      <c r="CF14" s="1">
        <f>+datos!IN1</f>
        <v>248</v>
      </c>
      <c r="CG14" s="1">
        <f t="shared" si="26"/>
        <v>191</v>
      </c>
      <c r="CH14" s="1">
        <f t="shared" si="27"/>
        <v>170.8</v>
      </c>
      <c r="CJ14" s="1">
        <f t="shared" si="28"/>
        <v>90.118424640000015</v>
      </c>
      <c r="CK14" s="1">
        <f t="shared" si="28"/>
        <v>158.22857195999995</v>
      </c>
      <c r="CL14" s="1">
        <f t="shared" si="28"/>
        <v>133.12937443000001</v>
      </c>
      <c r="CM14" s="1">
        <f t="shared" si="28"/>
        <v>150.81206259999999</v>
      </c>
      <c r="CN14" s="1">
        <f t="shared" si="28"/>
        <v>173.78517034999999</v>
      </c>
      <c r="CO14" s="1">
        <f t="shared" si="28"/>
        <v>162.27196751000002</v>
      </c>
      <c r="CP14" s="1">
        <f t="shared" si="28"/>
        <v>136.36151781000004</v>
      </c>
      <c r="CQ14" s="1">
        <f t="shared" si="28"/>
        <v>114.33182424</v>
      </c>
      <c r="CR14" s="1">
        <f t="shared" si="28"/>
        <v>131.64359017999999</v>
      </c>
      <c r="CS14" s="1">
        <f t="shared" si="28"/>
        <v>102.41564730000002</v>
      </c>
      <c r="CT14" s="1">
        <f t="shared" si="28"/>
        <v>113.57779348999999</v>
      </c>
      <c r="CU14" s="1">
        <f t="shared" si="28"/>
        <v>118.3786056</v>
      </c>
      <c r="CV14" s="1">
        <f t="shared" si="28"/>
        <v>126.46519539000002</v>
      </c>
      <c r="CW14" s="1">
        <f t="shared" si="28"/>
        <v>140.50614890000003</v>
      </c>
      <c r="CX14" s="1">
        <f t="shared" si="28"/>
        <v>139.44218023000002</v>
      </c>
      <c r="CY14" s="1">
        <f t="shared" si="28"/>
        <v>153.04661877999999</v>
      </c>
      <c r="CZ14" s="1">
        <f t="shared" si="29"/>
        <v>136.81239812999999</v>
      </c>
      <c r="DA14" s="1">
        <f t="shared" si="29"/>
        <v>134.16752365000002</v>
      </c>
      <c r="DB14" s="1">
        <f t="shared" si="29"/>
        <v>114.82793965999997</v>
      </c>
      <c r="DC14" s="1">
        <f t="shared" si="29"/>
        <v>120.47507141999999</v>
      </c>
      <c r="DD14" s="1">
        <f t="shared" si="29"/>
        <v>118.84770241</v>
      </c>
      <c r="DE14" s="1">
        <f t="shared" si="29"/>
        <v>100.85116919999999</v>
      </c>
      <c r="DF14" s="1">
        <f t="shared" si="29"/>
        <v>116.29617616</v>
      </c>
      <c r="DG14" s="1">
        <f t="shared" si="29"/>
        <v>115.47027065</v>
      </c>
      <c r="DI14" s="1">
        <f t="shared" si="30"/>
        <v>2.6840408</v>
      </c>
      <c r="DJ14" s="1">
        <f t="shared" si="30"/>
        <v>2.90139879</v>
      </c>
      <c r="DK14" s="1">
        <f t="shared" si="30"/>
        <v>2.9139955600000005</v>
      </c>
      <c r="DL14" s="1">
        <f t="shared" si="30"/>
        <v>1.6254967600000001</v>
      </c>
      <c r="DM14" s="1">
        <f t="shared" si="30"/>
        <v>2.6289957100000003</v>
      </c>
      <c r="DN14" s="1">
        <f t="shared" si="30"/>
        <v>0.92402921999999987</v>
      </c>
      <c r="DO14" s="1">
        <f t="shared" si="30"/>
        <v>1.0080099199999999</v>
      </c>
      <c r="DP14" s="1">
        <f t="shared" si="30"/>
        <v>0.81005326000000022</v>
      </c>
      <c r="DQ14" s="1">
        <f t="shared" si="30"/>
        <v>2.5429137699999997</v>
      </c>
      <c r="DR14" s="1">
        <f t="shared" si="30"/>
        <v>0.83472519000000012</v>
      </c>
      <c r="DS14" s="1">
        <f t="shared" si="30"/>
        <v>1.6658761100000001</v>
      </c>
      <c r="DT14" s="1">
        <f t="shared" si="30"/>
        <v>1.6724867599999997</v>
      </c>
      <c r="DU14" s="1">
        <f t="shared" si="30"/>
        <v>1.92660527</v>
      </c>
      <c r="DV14" s="1">
        <f t="shared" si="30"/>
        <v>0.38991597</v>
      </c>
      <c r="DW14" s="1">
        <f t="shared" si="30"/>
        <v>3.0425877200000002</v>
      </c>
      <c r="DX14" s="1">
        <f t="shared" si="30"/>
        <v>1.8227840799999999</v>
      </c>
      <c r="DY14" s="1">
        <f t="shared" si="31"/>
        <v>2.1288867499999999</v>
      </c>
      <c r="DZ14" s="1">
        <f t="shared" si="31"/>
        <v>2.0947676</v>
      </c>
      <c r="EA14" s="1">
        <f t="shared" si="31"/>
        <v>1.2699740900000001</v>
      </c>
      <c r="EB14" s="1">
        <f t="shared" si="31"/>
        <v>1.3202370399999999</v>
      </c>
      <c r="EC14" s="1">
        <f t="shared" si="31"/>
        <v>2.29115132</v>
      </c>
      <c r="ED14" s="1">
        <f t="shared" si="31"/>
        <v>1.8108909100000001</v>
      </c>
      <c r="EE14" s="1">
        <f t="shared" si="31"/>
        <v>3.0093188999999998</v>
      </c>
      <c r="EF14" s="1">
        <f t="shared" si="31"/>
        <v>2.2926081099999998</v>
      </c>
      <c r="EH14" s="14">
        <f t="shared" si="32"/>
        <v>191</v>
      </c>
      <c r="EI14" s="14">
        <f t="shared" si="32"/>
        <v>181.1</v>
      </c>
      <c r="EJ14" s="1">
        <f t="shared" si="32"/>
        <v>170.3</v>
      </c>
      <c r="EK14" s="1">
        <f t="shared" si="32"/>
        <v>170.9</v>
      </c>
      <c r="EL14" s="1">
        <f t="shared" si="32"/>
        <v>168.7</v>
      </c>
      <c r="EM14" s="1">
        <f t="shared" si="32"/>
        <v>160.6</v>
      </c>
      <c r="EN14" s="1">
        <f t="shared" si="32"/>
        <v>160.6</v>
      </c>
      <c r="EO14" s="1">
        <f t="shared" si="32"/>
        <v>160.6</v>
      </c>
      <c r="EP14" s="1">
        <f t="shared" si="32"/>
        <v>160.6</v>
      </c>
      <c r="EQ14" s="1">
        <f t="shared" si="32"/>
        <v>156.30000000000001</v>
      </c>
      <c r="ER14" s="1">
        <f t="shared" si="32"/>
        <v>155.80000000000001</v>
      </c>
      <c r="ES14" s="1">
        <f t="shared" si="32"/>
        <v>159.5</v>
      </c>
      <c r="ET14" s="1">
        <f t="shared" si="32"/>
        <v>170.8</v>
      </c>
      <c r="EU14" s="1">
        <f t="shared" si="32"/>
        <v>170.8</v>
      </c>
      <c r="EV14" s="1">
        <f t="shared" si="32"/>
        <v>187.7</v>
      </c>
      <c r="EW14" s="1">
        <f t="shared" si="32"/>
        <v>196.8</v>
      </c>
      <c r="EX14" s="1">
        <f t="shared" si="33"/>
        <v>196.8</v>
      </c>
      <c r="EY14" s="1">
        <f t="shared" si="33"/>
        <v>188.6</v>
      </c>
      <c r="EZ14" s="1">
        <f t="shared" si="33"/>
        <v>188.6</v>
      </c>
      <c r="FA14" s="1">
        <f t="shared" si="33"/>
        <v>188.6</v>
      </c>
      <c r="FB14" s="1">
        <f t="shared" si="33"/>
        <v>188.6</v>
      </c>
      <c r="FC14" s="1">
        <f t="shared" si="33"/>
        <v>188.6</v>
      </c>
      <c r="FD14" s="1">
        <f t="shared" si="33"/>
        <v>188.6</v>
      </c>
      <c r="FE14" s="1">
        <f t="shared" si="33"/>
        <v>188.6</v>
      </c>
      <c r="FG14" s="162">
        <f t="shared" si="34"/>
        <v>-9.0587901440535967E-2</v>
      </c>
    </row>
    <row r="15" spans="1:163" ht="18.75" customHeight="1">
      <c r="A15" s="244" t="s">
        <v>68</v>
      </c>
      <c r="B15" s="247"/>
      <c r="C15" s="228">
        <v>0</v>
      </c>
      <c r="D15" s="229">
        <v>-1</v>
      </c>
      <c r="E15" s="253">
        <f t="shared" si="6"/>
        <v>0.25961611699291631</v>
      </c>
      <c r="F15" s="254">
        <f t="shared" si="7"/>
        <v>0.22244984355444619</v>
      </c>
      <c r="G15" s="253">
        <f t="shared" si="8"/>
        <v>4.4158461339051991E-2</v>
      </c>
      <c r="H15" s="254">
        <f t="shared" si="9"/>
        <v>0.21545765565386432</v>
      </c>
      <c r="I15" s="253">
        <f t="shared" si="10"/>
        <v>0.21203792771746599</v>
      </c>
      <c r="J15" s="254">
        <f t="shared" si="11"/>
        <v>-0.34707345551484847</v>
      </c>
      <c r="K15" s="253">
        <f t="shared" si="12"/>
        <v>0.43450481010734099</v>
      </c>
      <c r="L15" s="254">
        <f t="shared" si="13"/>
        <v>-0.222466882389875</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-0.7755461746977228</v>
      </c>
      <c r="X15" s="258">
        <f t="shared" si="17"/>
        <v>-0.7755461746977228</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3</v>
      </c>
      <c r="AQ15" s="28">
        <f>VLOOKUP($A15,historia!$A$5:$CM$24,+HLOOKUP(AQ$2,historia!$A$3:$EC$4,2,FALSE),FALSE)</f>
        <v>4</v>
      </c>
      <c r="AR15" s="28">
        <f>VLOOKUP($A15,historia!$A$5:$CM$24,+HLOOKUP(AR$2,historia!$A$3:$EC$4,2,FALSE),FALSE)</f>
        <v>4</v>
      </c>
      <c r="AS15" s="28">
        <f>VLOOKUP($A15,historia!$A$5:$CM$24,+HLOOKUP(AS$2,historia!$A$3:$EC$4,2,FALSE),FALSE)</f>
        <v>5</v>
      </c>
      <c r="AT15" s="58">
        <f>VLOOKUP($A15,historia!$A$5:$CM$24,+HLOOKUP(AT$2,historia!$A$3:$EC$4,2,FALSE),FALSE)</f>
        <v>5</v>
      </c>
      <c r="AU15" s="58">
        <f>VLOOKUP($A15,historia!$A$5:$CM$24,+HLOOKUP(AU$2,historia!$A$3:$EC$4,2,FALSE),FALSE)</f>
        <v>5</v>
      </c>
      <c r="AV15" s="58">
        <f>VLOOKUP($A15,historia!$A$5:$CM$24,+HLOOKUP(AV$2,historia!$A$3:$EC$4,2,FALSE),FALSE)</f>
        <v>5</v>
      </c>
      <c r="AW15" s="58">
        <f>VLOOKUP($A15,historia!$A$5:$CM$24,+HLOOKUP(AW$2,historia!$A$3:$EC$4,2,FALSE),FALSE)</f>
        <v>5</v>
      </c>
      <c r="AX15" s="58">
        <f>VLOOKUP($A15,historia!$A$5:$CM$24,+HLOOKUP(AX$2,historia!$A$3:$EC$4,2,FALSE),FALSE)</f>
        <v>5</v>
      </c>
      <c r="AY15" s="58">
        <f>VLOOKUP($A15,historia!$A$5:$CM$24,+HLOOKUP(AY$2,historia!$A$3:$EC$4,2,FALSE),FALSE)</f>
        <v>5</v>
      </c>
      <c r="AZ15" s="58">
        <f>VLOOKUP($A15,historia!$A$5:$CM$24,+HLOOKUP(AZ$2,historia!$A$3:$EC$4,2,FALSE),FALSE)</f>
        <v>5</v>
      </c>
      <c r="BA15" s="58">
        <f>VLOOKUP($A15,historia!$A$5:$CM$24,+HLOOKUP(BA$2,historia!$A$3:$EC$4,2,FALSE),FALSE)</f>
        <v>4</v>
      </c>
      <c r="BB15" s="58"/>
      <c r="BC15" s="286">
        <v>4</v>
      </c>
      <c r="BD15" t="str">
        <f t="shared" si="20"/>
        <v>Mandioca</v>
      </c>
      <c r="BE15">
        <f>+datos!AW1</f>
        <v>49</v>
      </c>
      <c r="BF15" s="2" t="str">
        <f t="shared" si="4"/>
        <v>$/bolsa40kg</v>
      </c>
      <c r="BG15" s="2">
        <f t="shared" si="4"/>
        <v>11605.263157894737</v>
      </c>
      <c r="BH15" s="2">
        <f t="shared" si="4"/>
        <v>9213.3333333333339</v>
      </c>
      <c r="BI15" s="2">
        <f t="shared" si="4"/>
        <v>9575</v>
      </c>
      <c r="BK15">
        <f>+datos!CJ1</f>
        <v>88</v>
      </c>
      <c r="BL15" s="2">
        <f t="shared" si="21"/>
        <v>9353.8261118268074</v>
      </c>
      <c r="BM15" s="2">
        <f t="shared" si="21"/>
        <v>8958.2438472329704</v>
      </c>
      <c r="BN15" s="2">
        <f t="shared" si="21"/>
        <v>6520.5958501644063</v>
      </c>
      <c r="BP15" s="1">
        <f>+datos!EY1</f>
        <v>155</v>
      </c>
      <c r="BQ15" s="1">
        <f t="shared" si="22"/>
        <v>20031</v>
      </c>
      <c r="BR15" s="1">
        <f t="shared" si="22"/>
        <v>20031</v>
      </c>
      <c r="BT15" s="1">
        <f>+datos!GO1</f>
        <v>197</v>
      </c>
      <c r="BU15" s="1">
        <f t="shared" si="23"/>
        <v>201734</v>
      </c>
      <c r="BV15" s="1">
        <f t="shared" si="23"/>
        <v>201734</v>
      </c>
      <c r="BX15" s="1">
        <f>+datos!JP1</f>
        <v>276</v>
      </c>
      <c r="BY15" s="1">
        <f t="shared" si="39"/>
        <v>0</v>
      </c>
      <c r="BZ15" s="1">
        <f t="shared" si="40"/>
        <v>0</v>
      </c>
      <c r="CB15" s="1">
        <f>+datos!KU1</f>
        <v>307</v>
      </c>
      <c r="CC15" s="2">
        <f t="shared" si="24"/>
        <v>1.5762767899999999</v>
      </c>
      <c r="CD15" s="2">
        <f t="shared" si="25"/>
        <v>7.0227218800000006</v>
      </c>
      <c r="CF15" s="1">
        <f>+datos!IY1</f>
        <v>259</v>
      </c>
      <c r="CG15" s="1">
        <f t="shared" si="26"/>
        <v>1.88</v>
      </c>
      <c r="CH15" s="1">
        <f t="shared" si="27"/>
        <v>1.88</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9"/>
        <v>0</v>
      </c>
      <c r="DA15" s="1">
        <f t="shared" si="29"/>
        <v>0</v>
      </c>
      <c r="DB15" s="1">
        <f t="shared" si="29"/>
        <v>0</v>
      </c>
      <c r="DC15" s="1">
        <f t="shared" si="29"/>
        <v>0</v>
      </c>
      <c r="DD15" s="1">
        <f t="shared" si="29"/>
        <v>0</v>
      </c>
      <c r="DE15" s="1">
        <f t="shared" si="29"/>
        <v>0</v>
      </c>
      <c r="DF15" s="1">
        <f t="shared" si="29"/>
        <v>0</v>
      </c>
      <c r="DG15" s="1">
        <f t="shared" si="29"/>
        <v>0</v>
      </c>
      <c r="DI15" s="14">
        <f t="shared" si="30"/>
        <v>0.10344400999999999</v>
      </c>
      <c r="DJ15" s="14">
        <f t="shared" si="30"/>
        <v>4.4833160000000004E-2</v>
      </c>
      <c r="DK15" s="1">
        <f t="shared" si="30"/>
        <v>0.14172798</v>
      </c>
      <c r="DL15" s="1">
        <f t="shared" si="30"/>
        <v>7.4560410000000008E-2</v>
      </c>
      <c r="DM15" s="1">
        <f t="shared" si="30"/>
        <v>0.28059129999999999</v>
      </c>
      <c r="DN15" s="1">
        <f t="shared" si="30"/>
        <v>0.15169276000000001</v>
      </c>
      <c r="DO15" s="1">
        <f t="shared" si="30"/>
        <v>0.14711371000000001</v>
      </c>
      <c r="DP15" s="1">
        <f t="shared" si="30"/>
        <v>0.18175015000000003</v>
      </c>
      <c r="DQ15" s="1">
        <f t="shared" si="30"/>
        <v>0.15569543999999999</v>
      </c>
      <c r="DR15" s="1">
        <f t="shared" si="30"/>
        <v>0.1712014</v>
      </c>
      <c r="DS15" s="1">
        <f t="shared" si="30"/>
        <v>0.12198517</v>
      </c>
      <c r="DT15" s="1">
        <f t="shared" si="30"/>
        <v>1.6812999999999999E-3</v>
      </c>
      <c r="DU15" s="1">
        <f t="shared" si="30"/>
        <v>2.8195380000000003E-2</v>
      </c>
      <c r="DV15" s="1">
        <f t="shared" si="30"/>
        <v>4.9277770000000005E-2</v>
      </c>
      <c r="DW15" s="1">
        <f t="shared" si="30"/>
        <v>0.21358802999999996</v>
      </c>
      <c r="DX15" s="1">
        <f t="shared" si="30"/>
        <v>0.24099903000000003</v>
      </c>
      <c r="DY15" s="1">
        <f t="shared" si="31"/>
        <v>0.39667624000000001</v>
      </c>
      <c r="DZ15" s="1">
        <f t="shared" si="31"/>
        <v>0.47948613000000001</v>
      </c>
      <c r="EA15" s="1">
        <f t="shared" si="31"/>
        <v>0.13955175</v>
      </c>
      <c r="EB15" s="1">
        <f t="shared" si="31"/>
        <v>0.88368341000000006</v>
      </c>
      <c r="EC15" s="1">
        <f t="shared" si="31"/>
        <v>0.91695114999999994</v>
      </c>
      <c r="ED15" s="1">
        <f t="shared" si="31"/>
        <v>1.1944894100000001</v>
      </c>
      <c r="EE15" s="1">
        <f t="shared" si="31"/>
        <v>1.11559404</v>
      </c>
      <c r="EF15" s="1">
        <f t="shared" si="31"/>
        <v>1.36422954</v>
      </c>
      <c r="EH15" s="14">
        <f t="shared" si="32"/>
        <v>1.88</v>
      </c>
      <c r="EI15" s="14">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3"/>
        <v>1.88</v>
      </c>
      <c r="EY15" s="1">
        <f t="shared" si="33"/>
        <v>1.88</v>
      </c>
      <c r="EZ15" s="1">
        <f t="shared" si="33"/>
        <v>1.88</v>
      </c>
      <c r="FA15" s="1">
        <f t="shared" si="33"/>
        <v>1.88</v>
      </c>
      <c r="FB15" s="1">
        <f t="shared" si="33"/>
        <v>1.88</v>
      </c>
      <c r="FC15" s="1">
        <f t="shared" si="33"/>
        <v>1.88</v>
      </c>
      <c r="FD15" s="1">
        <f t="shared" si="33"/>
        <v>1.88</v>
      </c>
      <c r="FE15" s="1">
        <f t="shared" si="33"/>
        <v>1.88</v>
      </c>
      <c r="FG15" s="162">
        <f t="shared" si="34"/>
        <v>-0.222466882389875</v>
      </c>
    </row>
    <row r="16" spans="1:163" ht="18.75" customHeight="1">
      <c r="A16" s="243" t="s">
        <v>25</v>
      </c>
      <c r="B16" s="246"/>
      <c r="C16" s="156">
        <f t="shared" si="5"/>
        <v>-0.66</v>
      </c>
      <c r="D16" s="198">
        <v>-1</v>
      </c>
      <c r="E16" s="248">
        <f t="shared" si="6"/>
        <v>-2.2630019514227162E-2</v>
      </c>
      <c r="F16" s="249">
        <f t="shared" si="7"/>
        <v>-5.9796292952697283E-2</v>
      </c>
      <c r="G16" s="248">
        <f t="shared" si="8"/>
        <v>-7.3691167419496217E-3</v>
      </c>
      <c r="H16" s="249">
        <f t="shared" si="9"/>
        <v>-1.526090277227754E-2</v>
      </c>
      <c r="I16" s="248">
        <f t="shared" si="10"/>
        <v>0.15715555384329161</v>
      </c>
      <c r="J16" s="249">
        <f t="shared" si="11"/>
        <v>-0.40195582938902286</v>
      </c>
      <c r="K16" s="248">
        <f t="shared" si="12"/>
        <v>0.21191735090399355</v>
      </c>
      <c r="L16" s="249">
        <f t="shared" si="13"/>
        <v>-5.4761797060701944E-2</v>
      </c>
      <c r="M16" s="250"/>
      <c r="N16" s="24">
        <v>1</v>
      </c>
      <c r="O16" s="248">
        <f t="shared" si="35"/>
        <v>0.25148262863454107</v>
      </c>
      <c r="P16" s="251">
        <f t="shared" si="36"/>
        <v>0.25148262863454107</v>
      </c>
      <c r="Q16" s="248">
        <f t="shared" si="14"/>
        <v>1.0151835444787789</v>
      </c>
      <c r="R16" s="251">
        <f t="shared" si="37"/>
        <v>1.0151835444787789</v>
      </c>
      <c r="S16" s="250"/>
      <c r="T16" s="24">
        <v>-2</v>
      </c>
      <c r="U16" s="248">
        <f t="shared" si="15"/>
        <v>0.23670939069074404</v>
      </c>
      <c r="V16" s="252">
        <f t="shared" si="16"/>
        <v>0.23670939069074404</v>
      </c>
      <c r="W16" s="248"/>
      <c r="X16" s="252"/>
      <c r="Y16" s="248">
        <f t="shared" si="18"/>
        <v>8.4415584415584499E-2</v>
      </c>
      <c r="Z16" s="252">
        <f t="shared" si="19"/>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2</v>
      </c>
      <c r="AQ16" s="28">
        <f>VLOOKUP($A16,historia!$A$5:$CM$24,+HLOOKUP(AQ$2,historia!$A$3:$EC$4,2,FALSE),FALSE)</f>
        <v>3</v>
      </c>
      <c r="AR16" s="28">
        <f>VLOOKUP($A16,historia!$A$5:$CM$24,+HLOOKUP(AR$2,historia!$A$3:$EC$4,2,FALSE),FALSE)</f>
        <v>3</v>
      </c>
      <c r="AS16" s="28">
        <f>VLOOKUP($A16,historia!$A$5:$CM$24,+HLOOKUP(AS$2,historia!$A$3:$EC$4,2,FALSE),FALSE)</f>
        <v>4</v>
      </c>
      <c r="AT16" s="58">
        <f>VLOOKUP($A16,historia!$A$5:$CM$24,+HLOOKUP(AT$2,historia!$A$3:$EC$4,2,FALSE),FALSE)</f>
        <v>4</v>
      </c>
      <c r="AU16" s="58">
        <f>VLOOKUP($A16,historia!$A$5:$CM$24,+HLOOKUP(AU$2,historia!$A$3:$EC$4,2,FALSE),FALSE)</f>
        <v>4</v>
      </c>
      <c r="AV16" s="58">
        <f>VLOOKUP($A16,historia!$A$5:$CM$24,+HLOOKUP(AV$2,historia!$A$3:$EC$4,2,FALSE),FALSE)</f>
        <v>4</v>
      </c>
      <c r="AW16" s="58">
        <f>VLOOKUP($A16,historia!$A$5:$CM$24,+HLOOKUP(AW$2,historia!$A$3:$EC$4,2,FALSE),FALSE)</f>
        <v>4</v>
      </c>
      <c r="AX16" s="58">
        <f>VLOOKUP($A16,historia!$A$5:$CM$24,+HLOOKUP(AX$2,historia!$A$3:$EC$4,2,FALSE),FALSE)</f>
        <v>4</v>
      </c>
      <c r="AY16" s="58">
        <f>VLOOKUP($A16,historia!$A$5:$CM$24,+HLOOKUP(AY$2,historia!$A$3:$EC$4,2,FALSE),FALSE)</f>
        <v>2</v>
      </c>
      <c r="AZ16" s="58">
        <f>VLOOKUP($A16,historia!$A$5:$CM$24,+HLOOKUP(AZ$2,historia!$A$3:$EC$4,2,FALSE),FALSE)</f>
        <v>2</v>
      </c>
      <c r="BA16" s="58">
        <f>VLOOKUP($A16,historia!$A$5:$CM$24,+HLOOKUP(BA$2,historia!$A$3:$EC$4,2,FALSE),FALSE)</f>
        <v>3</v>
      </c>
      <c r="BB16" s="58"/>
      <c r="BC16" s="286">
        <v>3</v>
      </c>
      <c r="BD16" t="str">
        <f t="shared" si="20"/>
        <v>Maní</v>
      </c>
      <c r="BE16">
        <f>+datos!AF1</f>
        <v>32</v>
      </c>
      <c r="BF16" s="2" t="str">
        <f t="shared" si="4"/>
        <v>$/t</v>
      </c>
      <c r="BG16" s="2">
        <f t="shared" si="4"/>
        <v>894141.12840000005</v>
      </c>
      <c r="BH16" s="2">
        <f t="shared" si="4"/>
        <v>914844.0675</v>
      </c>
      <c r="BI16" s="2">
        <f t="shared" si="4"/>
        <v>772706.07692307688</v>
      </c>
      <c r="BK16">
        <f>+datos!CH1</f>
        <v>86</v>
      </c>
      <c r="BL16" s="2">
        <f t="shared" si="21"/>
        <v>11229.883936212187</v>
      </c>
      <c r="BM16" s="2">
        <f t="shared" si="21"/>
        <v>11313.252615466728</v>
      </c>
      <c r="BN16" s="2">
        <f t="shared" si="21"/>
        <v>9266.2126900284002</v>
      </c>
      <c r="BP16" s="1">
        <f>+datos!EB1</f>
        <v>132</v>
      </c>
      <c r="BQ16" s="1">
        <f t="shared" si="22"/>
        <v>521230</v>
      </c>
      <c r="BR16" s="1">
        <f t="shared" si="22"/>
        <v>416490</v>
      </c>
      <c r="BT16" s="1">
        <f>+datos!FW1</f>
        <v>179</v>
      </c>
      <c r="BU16" s="1">
        <f t="shared" si="23"/>
        <v>1895131</v>
      </c>
      <c r="BV16" s="1">
        <f t="shared" si="23"/>
        <v>940426</v>
      </c>
      <c r="BX16" s="1">
        <f>+datos!JK1</f>
        <v>271</v>
      </c>
      <c r="BY16" s="1">
        <f t="shared" si="39"/>
        <v>1427.6046729299999</v>
      </c>
      <c r="BZ16" s="1">
        <f t="shared" si="40"/>
        <v>1154.3574292200001</v>
      </c>
      <c r="CB16" s="1">
        <f>+datos!KP1</f>
        <v>302</v>
      </c>
      <c r="CC16" s="2">
        <f t="shared" si="24"/>
        <v>0.87135337000000002</v>
      </c>
      <c r="CD16" s="2">
        <f t="shared" si="25"/>
        <v>2.74209689</v>
      </c>
      <c r="CF16" s="1">
        <f>+datos!IJ1</f>
        <v>244</v>
      </c>
      <c r="CG16" s="1">
        <f t="shared" si="26"/>
        <v>2.1563835150032644</v>
      </c>
      <c r="CH16" s="1">
        <f t="shared" si="27"/>
        <v>1.9885213252125911</v>
      </c>
      <c r="CJ16" s="1">
        <f t="shared" si="28"/>
        <v>104.16408064999997</v>
      </c>
      <c r="CK16" s="1">
        <f t="shared" si="28"/>
        <v>129.66034791999999</v>
      </c>
      <c r="CL16" s="1">
        <f t="shared" si="28"/>
        <v>100.29183523999998</v>
      </c>
      <c r="CM16" s="1">
        <f t="shared" si="28"/>
        <v>142.99991008000001</v>
      </c>
      <c r="CN16" s="1">
        <f t="shared" si="28"/>
        <v>153.43391492999999</v>
      </c>
      <c r="CO16" s="1">
        <f t="shared" si="28"/>
        <v>142.09253510999997</v>
      </c>
      <c r="CP16" s="1">
        <f t="shared" si="28"/>
        <v>155.33708399000002</v>
      </c>
      <c r="CQ16" s="1">
        <f t="shared" si="28"/>
        <v>156.99934678</v>
      </c>
      <c r="CR16" s="1">
        <f t="shared" si="28"/>
        <v>115.53726275000001</v>
      </c>
      <c r="CS16" s="1">
        <f t="shared" si="28"/>
        <v>98.487414479999984</v>
      </c>
      <c r="CT16" s="1">
        <f t="shared" si="28"/>
        <v>63.473924160000003</v>
      </c>
      <c r="CU16" s="1">
        <f t="shared" si="28"/>
        <v>65.127016839999982</v>
      </c>
      <c r="CV16" s="1">
        <f t="shared" si="28"/>
        <v>70.784594500000011</v>
      </c>
      <c r="CW16" s="1">
        <f t="shared" si="28"/>
        <v>111.62267066999999</v>
      </c>
      <c r="CX16" s="1">
        <f t="shared" si="28"/>
        <v>100.80321882999999</v>
      </c>
      <c r="CY16" s="1">
        <f t="shared" si="28"/>
        <v>90.064767340000003</v>
      </c>
      <c r="CZ16" s="1">
        <f t="shared" si="29"/>
        <v>96.183340330000021</v>
      </c>
      <c r="DA16" s="1">
        <f t="shared" si="29"/>
        <v>89.024842150000026</v>
      </c>
      <c r="DB16" s="1">
        <f t="shared" si="29"/>
        <v>102.74257099999998</v>
      </c>
      <c r="DC16" s="1">
        <f t="shared" si="29"/>
        <v>102.43695814</v>
      </c>
      <c r="DD16" s="1">
        <f t="shared" si="29"/>
        <v>100.03941109999997</v>
      </c>
      <c r="DE16" s="1">
        <f t="shared" si="29"/>
        <v>89.79279253</v>
      </c>
      <c r="DF16" s="1">
        <f t="shared" si="29"/>
        <v>102.39153366000001</v>
      </c>
      <c r="DG16" s="1">
        <f t="shared" si="29"/>
        <v>98.470728969999996</v>
      </c>
      <c r="DI16" s="1">
        <f t="shared" si="30"/>
        <v>3.8992409999999998E-2</v>
      </c>
      <c r="DJ16" s="1">
        <f t="shared" si="30"/>
        <v>0</v>
      </c>
      <c r="DK16" s="1">
        <f t="shared" si="30"/>
        <v>5.2225250000000001E-2</v>
      </c>
      <c r="DL16" s="1">
        <f t="shared" si="30"/>
        <v>0.22862400000000002</v>
      </c>
      <c r="DM16" s="1">
        <f t="shared" si="30"/>
        <v>2.6527899999999999E-3</v>
      </c>
      <c r="DN16" s="1">
        <f t="shared" si="30"/>
        <v>1.6271E-3</v>
      </c>
      <c r="DO16" s="1">
        <f t="shared" si="30"/>
        <v>0.13444175</v>
      </c>
      <c r="DP16" s="1">
        <f t="shared" si="30"/>
        <v>4.2737620000000004E-2</v>
      </c>
      <c r="DQ16" s="1">
        <f t="shared" si="30"/>
        <v>8.6628999999999998E-2</v>
      </c>
      <c r="DR16" s="1">
        <f t="shared" si="30"/>
        <v>8.4906640000000005E-2</v>
      </c>
      <c r="DS16" s="1">
        <f t="shared" si="30"/>
        <v>8.714181E-2</v>
      </c>
      <c r="DT16" s="1">
        <f t="shared" si="30"/>
        <v>0.111375</v>
      </c>
      <c r="DU16" s="1">
        <f t="shared" si="30"/>
        <v>0.12514284000000001</v>
      </c>
      <c r="DV16" s="1">
        <f t="shared" si="30"/>
        <v>0.69674917999999986</v>
      </c>
      <c r="DW16" s="1">
        <f t="shared" si="30"/>
        <v>0.79684906</v>
      </c>
      <c r="DX16" s="1">
        <f t="shared" si="30"/>
        <v>0.24194792999999998</v>
      </c>
      <c r="DY16" s="1">
        <f t="shared" si="31"/>
        <v>0.11713932000000001</v>
      </c>
      <c r="DZ16" s="1">
        <f t="shared" si="31"/>
        <v>0.45286999999999999</v>
      </c>
      <c r="EA16" s="1">
        <f t="shared" si="31"/>
        <v>5.563009E-2</v>
      </c>
      <c r="EB16" s="1">
        <f t="shared" si="31"/>
        <v>2.7416000000000002E-4</v>
      </c>
      <c r="EC16" s="1">
        <f t="shared" si="31"/>
        <v>0.12031510000000001</v>
      </c>
      <c r="ED16" s="1">
        <f t="shared" si="31"/>
        <v>0.13456720999999999</v>
      </c>
      <c r="EE16" s="1">
        <f t="shared" si="31"/>
        <v>6.1200000000000002E-4</v>
      </c>
      <c r="EF16" s="1">
        <f t="shared" si="31"/>
        <v>0</v>
      </c>
      <c r="EH16" s="14">
        <f t="shared" si="32"/>
        <v>2.1563835150032644</v>
      </c>
      <c r="EI16" s="14">
        <f t="shared" si="32"/>
        <v>2.1563835150032644</v>
      </c>
      <c r="EJ16" s="1">
        <f t="shared" si="32"/>
        <v>2.1563835150032644</v>
      </c>
      <c r="EK16" s="1">
        <f t="shared" si="32"/>
        <v>2.1563835150032644</v>
      </c>
      <c r="EL16" s="1">
        <f t="shared" si="32"/>
        <v>2.1563835150032644</v>
      </c>
      <c r="EM16" s="1">
        <f t="shared" si="32"/>
        <v>2.1563835150032644</v>
      </c>
      <c r="EN16" s="1">
        <f t="shared" si="32"/>
        <v>2.1563835150032644</v>
      </c>
      <c r="EO16" s="1">
        <f t="shared" si="32"/>
        <v>2.1563835150032644</v>
      </c>
      <c r="EP16" s="1">
        <f t="shared" si="32"/>
        <v>2.1563835150032644</v>
      </c>
      <c r="EQ16" s="1">
        <f t="shared" si="32"/>
        <v>2.1563835150032644</v>
      </c>
      <c r="ER16" s="1">
        <f t="shared" si="32"/>
        <v>2.1563835150032644</v>
      </c>
      <c r="ES16" s="1">
        <f t="shared" si="32"/>
        <v>2.1563835150032644</v>
      </c>
      <c r="ET16" s="1">
        <f t="shared" si="32"/>
        <v>1.9885213252125911</v>
      </c>
      <c r="EU16" s="1">
        <f t="shared" si="32"/>
        <v>1.9885213252125911</v>
      </c>
      <c r="EV16" s="1">
        <f t="shared" si="32"/>
        <v>1.9885213252125911</v>
      </c>
      <c r="EW16" s="1">
        <f t="shared" si="32"/>
        <v>1.9885213252125911</v>
      </c>
      <c r="EX16" s="1">
        <f t="shared" si="33"/>
        <v>1.9885213252125911</v>
      </c>
      <c r="EY16" s="1">
        <f t="shared" si="33"/>
        <v>1.9885213252125911</v>
      </c>
      <c r="EZ16" s="1">
        <f t="shared" si="33"/>
        <v>1.9885213252125911</v>
      </c>
      <c r="FA16" s="1">
        <f t="shared" si="33"/>
        <v>1.9885213252125911</v>
      </c>
      <c r="FB16" s="1">
        <f t="shared" si="33"/>
        <v>1.9885213252125911</v>
      </c>
      <c r="FC16" s="1">
        <f t="shared" si="33"/>
        <v>1.9885213252125911</v>
      </c>
      <c r="FD16" s="1">
        <f t="shared" si="33"/>
        <v>1.9885213252125911</v>
      </c>
      <c r="FE16" s="1">
        <f t="shared" si="33"/>
        <v>1.9885213252125911</v>
      </c>
      <c r="FG16" s="162">
        <f t="shared" si="34"/>
        <v>-5.4761797060701944E-2</v>
      </c>
    </row>
    <row r="17" spans="1:163" ht="18.75" customHeight="1">
      <c r="A17" s="244" t="s">
        <v>76</v>
      </c>
      <c r="B17" s="247"/>
      <c r="C17" s="228">
        <f t="shared" si="5"/>
        <v>-0.99</v>
      </c>
      <c r="D17" s="229">
        <v>-1</v>
      </c>
      <c r="E17" s="253">
        <f t="shared" si="6"/>
        <v>4.3931905546403804E-3</v>
      </c>
      <c r="F17" s="254">
        <f t="shared" si="7"/>
        <v>-3.2773082883829741E-2</v>
      </c>
      <c r="G17" s="253">
        <f t="shared" si="8"/>
        <v>1.9962559063782637E-2</v>
      </c>
      <c r="H17" s="254">
        <f t="shared" si="9"/>
        <v>-1.5569368509142256E-2</v>
      </c>
      <c r="I17" s="253">
        <f t="shared" si="10"/>
        <v>0.24846416382252556</v>
      </c>
      <c r="J17" s="254">
        <f t="shared" si="11"/>
        <v>-0.3106472194097889</v>
      </c>
      <c r="K17" s="253">
        <f t="shared" si="12"/>
        <v>0.4184802172656692</v>
      </c>
      <c r="L17" s="254">
        <f t="shared" si="13"/>
        <v>-0.17001605344314363</v>
      </c>
      <c r="M17" s="255"/>
      <c r="N17" s="256">
        <v>-1</v>
      </c>
      <c r="O17" s="253">
        <f>IFERROR(+BQ17/BR17-1,"")</f>
        <v>0.14285714285714279</v>
      </c>
      <c r="P17" s="257">
        <f t="shared" si="36"/>
        <v>0.14285714285714279</v>
      </c>
      <c r="Q17" s="253">
        <f t="shared" si="14"/>
        <v>8.2297934975540166E-2</v>
      </c>
      <c r="R17" s="257">
        <f t="shared" si="37"/>
        <v>8.2297934975540166E-2</v>
      </c>
      <c r="S17" s="255"/>
      <c r="T17" s="256">
        <v>-1</v>
      </c>
      <c r="U17" s="253">
        <f t="shared" si="15"/>
        <v>3.6864523668581617E-2</v>
      </c>
      <c r="V17" s="258">
        <f t="shared" si="16"/>
        <v>3.6864523668581617E-2</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3</v>
      </c>
      <c r="AZ17" s="58">
        <f>VLOOKUP($A17,historia!$A$5:$CM$24,+HLOOKUP(AZ$2,historia!$A$3:$EC$4,2,FALSE),FALSE)</f>
        <v>3</v>
      </c>
      <c r="BA17" s="58">
        <f>VLOOKUP($A17,historia!$A$5:$CM$24,+HLOOKUP(BA$2,historia!$A$3:$EC$4,2,FALSE),FALSE)</f>
        <v>3</v>
      </c>
      <c r="BB17" s="58"/>
      <c r="BC17" s="286">
        <v>3</v>
      </c>
      <c r="BD17" t="str">
        <f t="shared" si="20"/>
        <v>Miel</v>
      </c>
      <c r="BE17">
        <f>+datos!BV1</f>
        <v>74</v>
      </c>
      <c r="BF17" s="2" t="str">
        <f t="shared" si="4"/>
        <v>$/kg</v>
      </c>
      <c r="BG17" s="2">
        <f t="shared" si="4"/>
        <v>1829</v>
      </c>
      <c r="BH17" s="2">
        <f t="shared" si="4"/>
        <v>1821</v>
      </c>
      <c r="BI17" s="2">
        <f t="shared" si="4"/>
        <v>1465</v>
      </c>
      <c r="BK17">
        <f>+datos!DH1</f>
        <v>112</v>
      </c>
      <c r="BL17" s="2">
        <f t="shared" si="21"/>
        <v>9960.5846168951593</v>
      </c>
      <c r="BM17" s="2">
        <f t="shared" si="21"/>
        <v>9765.6375014764453</v>
      </c>
      <c r="BN17" s="2">
        <f t="shared" si="21"/>
        <v>7022.0116542024552</v>
      </c>
      <c r="BP17" s="1">
        <f>+datos!EQ1</f>
        <v>147</v>
      </c>
      <c r="BQ17" s="1">
        <f t="shared" si="22"/>
        <v>4000000</v>
      </c>
      <c r="BR17" s="1">
        <f t="shared" si="22"/>
        <v>3500000</v>
      </c>
      <c r="BT17" s="1">
        <f>+datos!GP1</f>
        <v>198</v>
      </c>
      <c r="BU17" s="1">
        <f t="shared" si="23"/>
        <v>75000</v>
      </c>
      <c r="BV17" s="1">
        <f t="shared" si="23"/>
        <v>69297</v>
      </c>
      <c r="BX17" s="1">
        <f>+datos!KE1</f>
        <v>291</v>
      </c>
      <c r="BY17" s="1">
        <f t="shared" si="39"/>
        <v>209.73384992000001</v>
      </c>
      <c r="BZ17" s="1">
        <f t="shared" si="40"/>
        <v>202.27700449999998</v>
      </c>
      <c r="CB17" s="1">
        <f>+datos!LJ1</f>
        <v>322</v>
      </c>
      <c r="CC17" s="2">
        <f t="shared" si="24"/>
        <v>3.9364400000000003E-3</v>
      </c>
      <c r="CD17" s="2">
        <f>+SUM(DU17:EF17)</f>
        <v>0.10017730000000001</v>
      </c>
      <c r="CF17" s="1">
        <f>+datos!IZ1</f>
        <v>260</v>
      </c>
      <c r="CG17" s="1">
        <f t="shared" si="26"/>
        <v>0.3</v>
      </c>
      <c r="CH17" s="1">
        <f t="shared" si="27"/>
        <v>0.3</v>
      </c>
      <c r="CJ17" s="1">
        <f t="shared" si="28"/>
        <v>18.014525360000007</v>
      </c>
      <c r="CK17" s="1">
        <f t="shared" si="28"/>
        <v>15.906782769999998</v>
      </c>
      <c r="CL17" s="1">
        <f t="shared" si="28"/>
        <v>9.6274282100000015</v>
      </c>
      <c r="CM17" s="1">
        <f t="shared" si="28"/>
        <v>12.184475789999999</v>
      </c>
      <c r="CN17" s="1">
        <f t="shared" si="28"/>
        <v>14.349162859999998</v>
      </c>
      <c r="CO17" s="1">
        <f t="shared" si="28"/>
        <v>24.378519029999993</v>
      </c>
      <c r="CP17" s="1">
        <f t="shared" si="28"/>
        <v>22.211636389999995</v>
      </c>
      <c r="CQ17" s="1">
        <f t="shared" si="28"/>
        <v>18.934177090000006</v>
      </c>
      <c r="CR17" s="1">
        <f t="shared" si="28"/>
        <v>18.049853030000005</v>
      </c>
      <c r="CS17" s="1">
        <f t="shared" si="28"/>
        <v>20.702965450000001</v>
      </c>
      <c r="CT17" s="1">
        <f t="shared" si="28"/>
        <v>19.199801710000003</v>
      </c>
      <c r="CU17" s="1">
        <f t="shared" si="28"/>
        <v>16.174522229999997</v>
      </c>
      <c r="CV17" s="1">
        <f t="shared" si="28"/>
        <v>22.082734950000003</v>
      </c>
      <c r="CW17" s="1">
        <f t="shared" si="28"/>
        <v>13.392344960000001</v>
      </c>
      <c r="CX17" s="1">
        <f t="shared" si="28"/>
        <v>10.971998660000001</v>
      </c>
      <c r="CY17" s="1">
        <f t="shared" si="28"/>
        <v>12.805239539999999</v>
      </c>
      <c r="CZ17" s="1">
        <f t="shared" si="29"/>
        <v>13.943876809999997</v>
      </c>
      <c r="DA17" s="1">
        <f t="shared" si="29"/>
        <v>17.891480939999997</v>
      </c>
      <c r="DB17" s="1">
        <f t="shared" si="29"/>
        <v>16.805607889999997</v>
      </c>
      <c r="DC17" s="1">
        <f t="shared" si="29"/>
        <v>21.325973759999997</v>
      </c>
      <c r="DD17" s="1">
        <f t="shared" si="29"/>
        <v>17.230385739999999</v>
      </c>
      <c r="DE17" s="1">
        <f t="shared" si="29"/>
        <v>14.837575590000002</v>
      </c>
      <c r="DF17" s="1">
        <f t="shared" si="29"/>
        <v>17.476901599999998</v>
      </c>
      <c r="DG17" s="1">
        <f t="shared" si="29"/>
        <v>23.512884059999998</v>
      </c>
      <c r="DI17" s="1">
        <f t="shared" si="30"/>
        <v>0</v>
      </c>
      <c r="DJ17" s="1">
        <f t="shared" si="30"/>
        <v>3.5298E-3</v>
      </c>
      <c r="DK17" s="1">
        <f t="shared" si="30"/>
        <v>0</v>
      </c>
      <c r="DL17" s="1">
        <f t="shared" si="30"/>
        <v>0</v>
      </c>
      <c r="DM17" s="1">
        <f t="shared" si="30"/>
        <v>0</v>
      </c>
      <c r="DN17" s="1">
        <f t="shared" si="30"/>
        <v>0</v>
      </c>
      <c r="DO17" s="1">
        <f t="shared" si="30"/>
        <v>4.0664E-4</v>
      </c>
      <c r="DP17" s="1">
        <f t="shared" si="30"/>
        <v>0</v>
      </c>
      <c r="DQ17" s="1">
        <f t="shared" si="30"/>
        <v>0</v>
      </c>
      <c r="DR17" s="1">
        <f t="shared" si="30"/>
        <v>0</v>
      </c>
      <c r="DS17" s="1">
        <f t="shared" si="30"/>
        <v>0</v>
      </c>
      <c r="DT17" s="1">
        <f t="shared" si="30"/>
        <v>0</v>
      </c>
      <c r="DU17" s="1">
        <f t="shared" si="30"/>
        <v>5.2539300000000004E-2</v>
      </c>
      <c r="DV17" s="1">
        <f t="shared" si="30"/>
        <v>0</v>
      </c>
      <c r="DW17" s="1">
        <f t="shared" si="30"/>
        <v>0</v>
      </c>
      <c r="DX17" s="1">
        <f t="shared" si="30"/>
        <v>4.0599999999999997E-2</v>
      </c>
      <c r="DY17" s="1">
        <f t="shared" si="31"/>
        <v>0</v>
      </c>
      <c r="DZ17" s="1">
        <f t="shared" si="31"/>
        <v>0</v>
      </c>
      <c r="EA17" s="1">
        <f t="shared" si="31"/>
        <v>0</v>
      </c>
      <c r="EB17" s="1">
        <f t="shared" si="31"/>
        <v>0</v>
      </c>
      <c r="EC17" s="1">
        <f t="shared" si="31"/>
        <v>0</v>
      </c>
      <c r="ED17" s="1">
        <f t="shared" si="31"/>
        <v>0</v>
      </c>
      <c r="EE17" s="1">
        <f t="shared" si="31"/>
        <v>7.038E-3</v>
      </c>
      <c r="EF17" s="1">
        <f t="shared" si="31"/>
        <v>0</v>
      </c>
      <c r="EH17" s="14">
        <f t="shared" si="32"/>
        <v>0.3</v>
      </c>
      <c r="EI17" s="14">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3"/>
        <v>0.3</v>
      </c>
      <c r="EY17" s="1">
        <f t="shared" si="33"/>
        <v>0.3</v>
      </c>
      <c r="EZ17" s="1">
        <f t="shared" si="33"/>
        <v>0.3</v>
      </c>
      <c r="FA17" s="1">
        <f t="shared" si="33"/>
        <v>0.3</v>
      </c>
      <c r="FB17" s="1">
        <f t="shared" si="33"/>
        <v>0.3</v>
      </c>
      <c r="FC17" s="1">
        <f t="shared" si="33"/>
        <v>0.3</v>
      </c>
      <c r="FD17" s="1">
        <f t="shared" si="33"/>
        <v>0.3</v>
      </c>
      <c r="FE17" s="1">
        <f t="shared" si="33"/>
        <v>0.3</v>
      </c>
      <c r="FG17" s="162">
        <f t="shared" si="34"/>
        <v>-0.17001605344314363</v>
      </c>
    </row>
    <row r="18" spans="1:163" ht="18.75" customHeight="1">
      <c r="A18" s="243" t="s">
        <v>222</v>
      </c>
      <c r="B18" s="246"/>
      <c r="C18" s="156">
        <f t="shared" si="5"/>
        <v>-0.33</v>
      </c>
      <c r="D18" s="198">
        <v>1</v>
      </c>
      <c r="E18" s="248">
        <f t="shared" si="6"/>
        <v>8.3933399785914409E-2</v>
      </c>
      <c r="F18" s="249">
        <f t="shared" si="7"/>
        <v>4.6767126347444288E-2</v>
      </c>
      <c r="G18" s="248">
        <f t="shared" si="8"/>
        <v>3.6225259815817479E-2</v>
      </c>
      <c r="H18" s="249">
        <f t="shared" si="9"/>
        <v>4.770813997009693E-2</v>
      </c>
      <c r="I18" s="253">
        <f t="shared" si="10"/>
        <v>0.94372489834461781</v>
      </c>
      <c r="J18" s="254">
        <f t="shared" si="11"/>
        <v>0.38461351511230335</v>
      </c>
      <c r="K18" s="248">
        <f t="shared" si="12"/>
        <v>0.57606177919617907</v>
      </c>
      <c r="L18" s="249">
        <f t="shared" si="13"/>
        <v>0.36766311914843874</v>
      </c>
      <c r="M18" s="250"/>
      <c r="N18" s="24">
        <v>-1</v>
      </c>
      <c r="O18" s="248">
        <f t="shared" si="35"/>
        <v>-1.6802487914109321E-3</v>
      </c>
      <c r="P18" s="251">
        <f t="shared" si="36"/>
        <v>-1.6802487914109321E-3</v>
      </c>
      <c r="Q18" s="248">
        <f t="shared" si="14"/>
        <v>1.3581560991000607E-3</v>
      </c>
      <c r="R18" s="251">
        <f t="shared" si="37"/>
        <v>1.3581560991000607E-3</v>
      </c>
      <c r="S18" s="250"/>
      <c r="T18" s="24">
        <v>-1</v>
      </c>
      <c r="U18" s="248">
        <f t="shared" si="15"/>
        <v>0.17797524518159813</v>
      </c>
      <c r="V18" s="252">
        <f t="shared" si="16"/>
        <v>0.17797524518159813</v>
      </c>
      <c r="W18" s="248">
        <f t="shared" si="38"/>
        <v>-0.42667072870877287</v>
      </c>
      <c r="X18" s="252">
        <f t="shared" si="17"/>
        <v>-0.42667072870877287</v>
      </c>
      <c r="Y18" s="248">
        <f t="shared" si="18"/>
        <v>0</v>
      </c>
      <c r="Z18" s="252">
        <f t="shared" si="19"/>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4</v>
      </c>
      <c r="AQ18" s="28">
        <f>VLOOKUP($A18,historia!$A$5:$CM$24,+HLOOKUP(AQ$2,historia!$A$3:$EC$4,2,FALSE),FALSE)</f>
        <v>5</v>
      </c>
      <c r="AR18" s="28">
        <f>VLOOKUP($A18,historia!$A$5:$CM$24,+HLOOKUP(AR$2,historia!$A$3:$EC$4,2,FALSE),FALSE)</f>
        <v>5</v>
      </c>
      <c r="AS18" s="28">
        <f>VLOOKUP($A18,historia!$A$5:$CM$24,+HLOOKUP(AS$2,historia!$A$3:$EC$4,2,FALSE),FALSE)</f>
        <v>4</v>
      </c>
      <c r="AT18" s="58">
        <f>VLOOKUP($A18,historia!$A$5:$CM$24,+HLOOKUP(AT$2,historia!$A$3:$EC$4,2,FALSE),FALSE)</f>
        <v>4</v>
      </c>
      <c r="AU18" s="58">
        <f>VLOOKUP($A18,historia!$A$5:$CM$24,+HLOOKUP(AU$2,historia!$A$3:$EC$4,2,FALSE),FALSE)</f>
        <v>4</v>
      </c>
      <c r="AV18" s="58">
        <f>VLOOKUP($A18,historia!$A$5:$CM$24,+HLOOKUP(AV$2,historia!$A$3:$EC$4,2,FALSE),FALSE)</f>
        <v>4</v>
      </c>
      <c r="AW18" s="58">
        <f>VLOOKUP($A18,historia!$A$5:$CM$24,+HLOOKUP(AW$2,historia!$A$3:$EC$4,2,FALSE),FALSE)</f>
        <v>4</v>
      </c>
      <c r="AX18" s="58">
        <f>VLOOKUP($A18,historia!$A$5:$CM$24,+HLOOKUP(AX$2,historia!$A$3:$EC$4,2,FALSE),FALSE)</f>
        <v>4</v>
      </c>
      <c r="AY18" s="58">
        <f>VLOOKUP($A18,historia!$A$5:$CM$24,+HLOOKUP(AY$2,historia!$A$3:$EC$4,2,FALSE),FALSE)</f>
        <v>3</v>
      </c>
      <c r="AZ18" s="58">
        <f>VLOOKUP($A18,historia!$A$5:$CM$24,+HLOOKUP(AZ$2,historia!$A$3:$EC$4,2,FALSE),FALSE)</f>
        <v>2</v>
      </c>
      <c r="BA18" s="58">
        <f>VLOOKUP($A18,historia!$A$5:$CM$24,+HLOOKUP(BA$2,historia!$A$3:$EC$4,2,FALSE),FALSE)</f>
        <v>2</v>
      </c>
      <c r="BB18" s="58"/>
      <c r="BC18" s="286">
        <v>2</v>
      </c>
      <c r="BD18" t="str">
        <f t="shared" si="20"/>
        <v>Ovino</v>
      </c>
      <c r="BE18">
        <f>+datos!BU1</f>
        <v>73</v>
      </c>
      <c r="BF18" s="2" t="str">
        <f t="shared" si="4"/>
        <v>$/kg</v>
      </c>
      <c r="BG18" s="2">
        <f t="shared" si="4"/>
        <v>79639.504560000001</v>
      </c>
      <c r="BH18" s="2">
        <f t="shared" si="4"/>
        <v>73472.691749999998</v>
      </c>
      <c r="BI18" s="2">
        <f t="shared" si="4"/>
        <v>40972.621500000001</v>
      </c>
      <c r="BK18">
        <f>+datos!DI1</f>
        <v>113</v>
      </c>
      <c r="BL18" s="2">
        <f t="shared" si="21"/>
        <v>10214.343683543455</v>
      </c>
      <c r="BM18" s="2">
        <f t="shared" si="21"/>
        <v>9857.2618132846819</v>
      </c>
      <c r="BN18" s="2">
        <f t="shared" si="21"/>
        <v>6480.9284879384368</v>
      </c>
      <c r="BP18" s="1">
        <f>+datos!EL1</f>
        <v>142</v>
      </c>
      <c r="BQ18" s="1">
        <f t="shared" si="22"/>
        <v>12440906</v>
      </c>
      <c r="BR18" s="1">
        <f t="shared" si="22"/>
        <v>12461845</v>
      </c>
      <c r="BT18" s="1">
        <f>+datos!GS1</f>
        <v>201</v>
      </c>
      <c r="BU18" s="1">
        <f t="shared" si="23"/>
        <v>37275.660000000003</v>
      </c>
      <c r="BV18" s="1">
        <f t="shared" si="23"/>
        <v>37225.102500000001</v>
      </c>
      <c r="BX18" s="1">
        <f>+datos!KI1</f>
        <v>295</v>
      </c>
      <c r="BY18" s="1">
        <f t="shared" si="39"/>
        <v>215.88832793</v>
      </c>
      <c r="BZ18" s="1">
        <f t="shared" si="40"/>
        <v>183.27068316</v>
      </c>
      <c r="CB18" s="1">
        <f>+datos!LN1</f>
        <v>326</v>
      </c>
      <c r="CC18" s="2">
        <f t="shared" si="24"/>
        <v>2.4526156600000002</v>
      </c>
      <c r="CD18" s="2">
        <f t="shared" si="25"/>
        <v>4.2778483200000004</v>
      </c>
      <c r="CF18" s="1">
        <f>+datos!JA1</f>
        <v>261</v>
      </c>
      <c r="CG18" s="1">
        <f t="shared" si="26"/>
        <v>2813</v>
      </c>
      <c r="CH18" s="1">
        <f t="shared" si="27"/>
        <v>2813</v>
      </c>
      <c r="CJ18" s="1">
        <f t="shared" si="28"/>
        <v>18.662799830000001</v>
      </c>
      <c r="CK18" s="1">
        <f t="shared" si="28"/>
        <v>31.610464650000004</v>
      </c>
      <c r="CL18" s="1">
        <f t="shared" si="28"/>
        <v>14.881609229999999</v>
      </c>
      <c r="CM18" s="1">
        <f t="shared" si="28"/>
        <v>18.538380959999998</v>
      </c>
      <c r="CN18" s="1">
        <f t="shared" si="28"/>
        <v>15.79353798</v>
      </c>
      <c r="CO18" s="1">
        <f t="shared" si="28"/>
        <v>15.390557059999999</v>
      </c>
      <c r="CP18" s="1">
        <f t="shared" si="28"/>
        <v>12.657815750000001</v>
      </c>
      <c r="CQ18" s="1">
        <f t="shared" si="28"/>
        <v>13.430479930000001</v>
      </c>
      <c r="CR18" s="1">
        <f t="shared" si="28"/>
        <v>15.60716012</v>
      </c>
      <c r="CS18" s="1">
        <f t="shared" si="28"/>
        <v>19.03918719</v>
      </c>
      <c r="CT18" s="1">
        <f t="shared" si="28"/>
        <v>17.774232269999999</v>
      </c>
      <c r="CU18" s="1">
        <f t="shared" si="28"/>
        <v>22.502102959999998</v>
      </c>
      <c r="CV18" s="1">
        <f t="shared" si="28"/>
        <v>22.437193859999997</v>
      </c>
      <c r="CW18" s="1">
        <f t="shared" si="28"/>
        <v>15.322430800000003</v>
      </c>
      <c r="CX18" s="1">
        <f t="shared" si="28"/>
        <v>16.644595240000001</v>
      </c>
      <c r="CY18" s="1">
        <f t="shared" si="28"/>
        <v>15.83663735</v>
      </c>
      <c r="CZ18" s="1">
        <f t="shared" si="29"/>
        <v>13.412348609999999</v>
      </c>
      <c r="DA18" s="1">
        <f t="shared" si="29"/>
        <v>9.5091132299999988</v>
      </c>
      <c r="DB18" s="1">
        <f t="shared" si="29"/>
        <v>10.49137048</v>
      </c>
      <c r="DC18" s="1">
        <f t="shared" si="29"/>
        <v>12.745889309999999</v>
      </c>
      <c r="DD18" s="1">
        <f t="shared" si="29"/>
        <v>11.898747670000001</v>
      </c>
      <c r="DE18" s="1">
        <f t="shared" si="29"/>
        <v>12.26162961</v>
      </c>
      <c r="DF18" s="1">
        <f t="shared" si="29"/>
        <v>21.704121750000002</v>
      </c>
      <c r="DG18" s="1">
        <f t="shared" si="29"/>
        <v>21.006605250000003</v>
      </c>
      <c r="DI18" s="1">
        <f t="shared" si="30"/>
        <v>0.15047392000000001</v>
      </c>
      <c r="DJ18" s="1">
        <f t="shared" si="30"/>
        <v>0.19393855000000002</v>
      </c>
      <c r="DK18" s="1">
        <f t="shared" si="30"/>
        <v>0.16347327</v>
      </c>
      <c r="DL18" s="1">
        <f t="shared" si="30"/>
        <v>0.18164933</v>
      </c>
      <c r="DM18" s="1">
        <f t="shared" si="30"/>
        <v>0.25055533999999996</v>
      </c>
      <c r="DN18" s="1">
        <f t="shared" si="30"/>
        <v>0.29342396000000004</v>
      </c>
      <c r="DO18" s="1">
        <f t="shared" si="30"/>
        <v>0.26088905000000001</v>
      </c>
      <c r="DP18" s="1">
        <f t="shared" si="30"/>
        <v>0.18624962</v>
      </c>
      <c r="DQ18" s="1">
        <f t="shared" si="30"/>
        <v>0.1577527</v>
      </c>
      <c r="DR18" s="1">
        <f t="shared" si="30"/>
        <v>0.24821200999999998</v>
      </c>
      <c r="DS18" s="1">
        <f t="shared" si="30"/>
        <v>0.13589592</v>
      </c>
      <c r="DT18" s="1">
        <f t="shared" si="30"/>
        <v>0.23010199000000001</v>
      </c>
      <c r="DU18" s="1">
        <f t="shared" si="30"/>
        <v>4.8750000000000002E-2</v>
      </c>
      <c r="DV18" s="1">
        <f t="shared" si="30"/>
        <v>0.31075020000000003</v>
      </c>
      <c r="DW18" s="1">
        <f t="shared" si="30"/>
        <v>0.90541722000000002</v>
      </c>
      <c r="DX18" s="1">
        <f t="shared" si="30"/>
        <v>0.34283965</v>
      </c>
      <c r="DY18" s="1">
        <f t="shared" si="31"/>
        <v>0.74167351000000015</v>
      </c>
      <c r="DZ18" s="1">
        <f t="shared" si="31"/>
        <v>0.58632921999999998</v>
      </c>
      <c r="EA18" s="1">
        <f t="shared" si="31"/>
        <v>0.29250390000000004</v>
      </c>
      <c r="EB18" s="1">
        <f t="shared" si="31"/>
        <v>0.46645720000000002</v>
      </c>
      <c r="EC18" s="1">
        <f t="shared" si="31"/>
        <v>8.1248630000000002E-2</v>
      </c>
      <c r="ED18" s="1">
        <f t="shared" si="31"/>
        <v>0.16069122999999999</v>
      </c>
      <c r="EE18" s="1">
        <f t="shared" si="31"/>
        <v>0.12834936</v>
      </c>
      <c r="EF18" s="1">
        <f t="shared" si="31"/>
        <v>0.21283820000000001</v>
      </c>
      <c r="EH18" s="14">
        <f t="shared" si="32"/>
        <v>2813</v>
      </c>
      <c r="EI18" s="14">
        <f t="shared" si="32"/>
        <v>2813</v>
      </c>
      <c r="EJ18" s="1">
        <f t="shared" si="32"/>
        <v>2813</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3"/>
        <v>2813</v>
      </c>
      <c r="EY18" s="1">
        <f t="shared" si="33"/>
        <v>2813</v>
      </c>
      <c r="EZ18" s="1">
        <f t="shared" si="33"/>
        <v>2813</v>
      </c>
      <c r="FA18" s="1">
        <f t="shared" si="33"/>
        <v>2813</v>
      </c>
      <c r="FB18" s="1">
        <f t="shared" si="33"/>
        <v>2813</v>
      </c>
      <c r="FC18" s="1">
        <f t="shared" si="33"/>
        <v>2813</v>
      </c>
      <c r="FD18" s="1">
        <f t="shared" si="33"/>
        <v>2813</v>
      </c>
      <c r="FE18" s="1">
        <f t="shared" si="33"/>
        <v>2813</v>
      </c>
      <c r="FG18" s="162">
        <f t="shared" si="34"/>
        <v>0.36766311914843874</v>
      </c>
    </row>
    <row r="19" spans="1:163" ht="18.75" customHeight="1">
      <c r="A19" s="244" t="s">
        <v>66</v>
      </c>
      <c r="B19" s="247"/>
      <c r="C19" s="228">
        <f t="shared" si="5"/>
        <v>0</v>
      </c>
      <c r="D19" s="229">
        <v>-1</v>
      </c>
      <c r="E19" s="253">
        <f t="shared" si="6"/>
        <v>0.48941888894286012</v>
      </c>
      <c r="F19" s="254">
        <f t="shared" si="7"/>
        <v>0.45225261550439</v>
      </c>
      <c r="G19" s="253">
        <f t="shared" si="8"/>
        <v>5.9125278532070613E-2</v>
      </c>
      <c r="H19" s="254">
        <f t="shared" si="9"/>
        <v>0.43029361041078951</v>
      </c>
      <c r="I19" s="253">
        <f t="shared" si="10"/>
        <v>0.29860996490825187</v>
      </c>
      <c r="J19" s="254">
        <f t="shared" si="11"/>
        <v>-0.26050141832406259</v>
      </c>
      <c r="K19" s="253">
        <f t="shared" si="12"/>
        <v>0.24534785838221396</v>
      </c>
      <c r="L19" s="254">
        <f t="shared" si="13"/>
        <v>5.3262106526037911E-2</v>
      </c>
      <c r="M19" s="255"/>
      <c r="N19" s="256">
        <v>0</v>
      </c>
      <c r="O19" s="253">
        <f t="shared" si="35"/>
        <v>9.6567571449088119E-2</v>
      </c>
      <c r="P19" s="257">
        <f t="shared" si="36"/>
        <v>9.6567571449088119E-2</v>
      </c>
      <c r="Q19" s="253">
        <f t="shared" si="14"/>
        <v>0</v>
      </c>
      <c r="R19" s="257">
        <v>-0.01</v>
      </c>
      <c r="S19" s="255"/>
      <c r="T19" s="256">
        <v>1</v>
      </c>
      <c r="U19" s="253">
        <f t="shared" si="15"/>
        <v>0.25060046805672886</v>
      </c>
      <c r="V19" s="258">
        <f t="shared" si="16"/>
        <v>0.25060046805672886</v>
      </c>
      <c r="W19" s="253">
        <f t="shared" si="38"/>
        <v>-0.14378649015106737</v>
      </c>
      <c r="X19" s="258">
        <f t="shared" si="17"/>
        <v>-0.14378649015106737</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4</v>
      </c>
      <c r="AQ19" s="28">
        <f>VLOOKUP($A19,historia!$A$5:$CM$24,+HLOOKUP(AQ$2,historia!$A$3:$EC$4,2,FALSE),FALSE)</f>
        <v>4</v>
      </c>
      <c r="AR19" s="28">
        <f>VLOOKUP($A19,historia!$A$5:$CM$24,+HLOOKUP(AR$2,historia!$A$3:$EC$4,2,FALSE),FALSE)</f>
        <v>4</v>
      </c>
      <c r="AS19" s="28">
        <f>VLOOKUP($A19,historia!$A$5:$CM$24,+HLOOKUP(AS$2,historia!$A$3:$EC$4,2,FALSE),FALSE)</f>
        <v>3</v>
      </c>
      <c r="AT19" s="58">
        <f>VLOOKUP($A19,historia!$A$5:$CM$24,+HLOOKUP(AT$2,historia!$A$3:$EC$4,2,FALSE),FALSE)</f>
        <v>3</v>
      </c>
      <c r="AU19" s="58">
        <f>VLOOKUP($A19,historia!$A$5:$CM$24,+HLOOKUP(AU$2,historia!$A$3:$EC$4,2,FALSE),FALSE)</f>
        <v>3</v>
      </c>
      <c r="AV19" s="58">
        <f>VLOOKUP($A19,historia!$A$5:$CM$24,+HLOOKUP(AV$2,historia!$A$3:$EC$4,2,FALSE),FALSE)</f>
        <v>3</v>
      </c>
      <c r="AW19" s="58">
        <f>VLOOKUP($A19,historia!$A$5:$CM$24,+HLOOKUP(AW$2,historia!$A$3:$EC$4,2,FALSE),FALSE)</f>
        <v>3</v>
      </c>
      <c r="AX19" s="58">
        <f>VLOOKUP($A19,historia!$A$5:$CM$24,+HLOOKUP(AX$2,historia!$A$3:$EC$4,2,FALSE),FALSE)</f>
        <v>3</v>
      </c>
      <c r="AY19" s="58">
        <f>VLOOKUP($A19,historia!$A$5:$CM$24,+HLOOKUP(AY$2,historia!$A$3:$EC$4,2,FALSE),FALSE)</f>
        <v>4</v>
      </c>
      <c r="AZ19" s="58">
        <f>VLOOKUP($A19,historia!$A$5:$CM$24,+HLOOKUP(AZ$2,historia!$A$3:$EC$4,2,FALSE),FALSE)</f>
        <v>3</v>
      </c>
      <c r="BA19" s="58">
        <f>VLOOKUP($A19,historia!$A$5:$CM$24,+HLOOKUP(BA$2,historia!$A$3:$EC$4,2,FALSE),FALSE)</f>
        <v>3</v>
      </c>
      <c r="BB19" s="58"/>
      <c r="BC19" s="286">
        <v>3</v>
      </c>
      <c r="BD19" t="str">
        <f t="shared" si="20"/>
        <v>Papa</v>
      </c>
      <c r="BE19">
        <f>+datos!AV1</f>
        <v>48</v>
      </c>
      <c r="BF19" s="2" t="str">
        <f t="shared" si="4"/>
        <v>$/bolsa 20kg</v>
      </c>
      <c r="BG19" s="2">
        <f t="shared" si="4"/>
        <v>8870.5882352941171</v>
      </c>
      <c r="BH19" s="2">
        <f t="shared" si="4"/>
        <v>5955.7377049180332</v>
      </c>
      <c r="BI19" s="2">
        <f t="shared" si="4"/>
        <v>6830.833333333333</v>
      </c>
      <c r="BK19">
        <f>+datos!CI1</f>
        <v>87</v>
      </c>
      <c r="BL19" s="2">
        <f t="shared" si="21"/>
        <v>10332.67673280927</v>
      </c>
      <c r="BM19" s="2">
        <f t="shared" si="21"/>
        <v>9755.8588603703065</v>
      </c>
      <c r="BN19" s="2">
        <f t="shared" si="21"/>
        <v>8297.0205178110427</v>
      </c>
      <c r="BP19" s="1">
        <f>+datos!EZ1</f>
        <v>156</v>
      </c>
      <c r="BQ19" s="1">
        <f t="shared" si="22"/>
        <v>38177</v>
      </c>
      <c r="BR19" s="1">
        <f t="shared" si="22"/>
        <v>34815</v>
      </c>
      <c r="BT19" s="1">
        <f>+datos!GT1</f>
        <v>202</v>
      </c>
      <c r="BU19" s="1">
        <f t="shared" si="23"/>
        <v>2111561</v>
      </c>
      <c r="BV19" s="1">
        <f t="shared" si="23"/>
        <v>2111561</v>
      </c>
      <c r="BX19" s="1">
        <f>+datos!JO1</f>
        <v>275</v>
      </c>
      <c r="BY19" s="1">
        <f t="shared" si="39"/>
        <v>404.01802311000006</v>
      </c>
      <c r="BZ19" s="1">
        <f t="shared" si="40"/>
        <v>323.05922909000003</v>
      </c>
      <c r="CB19" s="1">
        <f>+datos!KT1</f>
        <v>306</v>
      </c>
      <c r="CC19" s="2">
        <f t="shared" si="24"/>
        <v>16.614632360000002</v>
      </c>
      <c r="CD19" s="2">
        <f t="shared" si="25"/>
        <v>19.404777159999998</v>
      </c>
      <c r="CF19" s="1">
        <f>+datos!JB1</f>
        <v>262</v>
      </c>
      <c r="CG19" s="1">
        <f t="shared" si="26"/>
        <v>35.950000000000003</v>
      </c>
      <c r="CH19" s="1">
        <f t="shared" si="27"/>
        <v>35.950000000000003</v>
      </c>
      <c r="CJ19" s="1">
        <f t="shared" si="28"/>
        <v>26.866894470000005</v>
      </c>
      <c r="CK19" s="1">
        <f t="shared" si="28"/>
        <v>30.959664470000003</v>
      </c>
      <c r="CL19" s="1">
        <f t="shared" si="28"/>
        <v>28.030286839999999</v>
      </c>
      <c r="CM19" s="1">
        <f t="shared" si="28"/>
        <v>35.227965569999995</v>
      </c>
      <c r="CN19" s="1">
        <f t="shared" si="28"/>
        <v>43.313690020000003</v>
      </c>
      <c r="CO19" s="1">
        <f t="shared" si="28"/>
        <v>38.158354570000007</v>
      </c>
      <c r="CP19" s="1">
        <f t="shared" si="28"/>
        <v>36.879687310000008</v>
      </c>
      <c r="CQ19" s="1">
        <f t="shared" si="28"/>
        <v>30.584450140000001</v>
      </c>
      <c r="CR19" s="1">
        <f t="shared" si="28"/>
        <v>34.87822036</v>
      </c>
      <c r="CS19" s="1">
        <f t="shared" si="28"/>
        <v>30.986019150000001</v>
      </c>
      <c r="CT19" s="1">
        <f t="shared" si="28"/>
        <v>34.45773063</v>
      </c>
      <c r="CU19" s="1">
        <f t="shared" si="28"/>
        <v>33.675059580000003</v>
      </c>
      <c r="CV19" s="1">
        <f t="shared" si="28"/>
        <v>28.924508010000004</v>
      </c>
      <c r="CW19" s="1">
        <f t="shared" si="28"/>
        <v>27.954086790000002</v>
      </c>
      <c r="CX19" s="1">
        <f t="shared" si="28"/>
        <v>24.143815810000007</v>
      </c>
      <c r="CY19" s="1">
        <f t="shared" si="28"/>
        <v>26.000694290000002</v>
      </c>
      <c r="CZ19" s="1">
        <f t="shared" si="29"/>
        <v>22.013274209999999</v>
      </c>
      <c r="DA19" s="1">
        <f t="shared" si="29"/>
        <v>23.44114875</v>
      </c>
      <c r="DB19" s="1">
        <f t="shared" si="29"/>
        <v>29.35689408</v>
      </c>
      <c r="DC19" s="1">
        <f t="shared" si="29"/>
        <v>26.11967611</v>
      </c>
      <c r="DD19" s="1">
        <f t="shared" si="29"/>
        <v>30.386509889999999</v>
      </c>
      <c r="DE19" s="1">
        <f t="shared" si="29"/>
        <v>26.2743097</v>
      </c>
      <c r="DF19" s="1">
        <f t="shared" si="29"/>
        <v>30.80704394</v>
      </c>
      <c r="DG19" s="1">
        <f t="shared" si="29"/>
        <v>27.637267510000001</v>
      </c>
      <c r="DI19" s="1">
        <f t="shared" si="30"/>
        <v>1.19924761</v>
      </c>
      <c r="DJ19" s="1">
        <f t="shared" si="30"/>
        <v>0.86551083000000006</v>
      </c>
      <c r="DK19" s="1">
        <f t="shared" si="30"/>
        <v>0.79831189000000002</v>
      </c>
      <c r="DL19" s="1">
        <f t="shared" si="30"/>
        <v>1.1318278900000001</v>
      </c>
      <c r="DM19" s="1">
        <f t="shared" si="30"/>
        <v>1.8442369199999997</v>
      </c>
      <c r="DN19" s="1">
        <f t="shared" si="30"/>
        <v>1.0529063700000001</v>
      </c>
      <c r="DO19" s="1">
        <f t="shared" si="30"/>
        <v>2.0286618900000004</v>
      </c>
      <c r="DP19" s="1">
        <f t="shared" si="30"/>
        <v>0.79104531999999994</v>
      </c>
      <c r="DQ19" s="1">
        <f t="shared" si="30"/>
        <v>1.6294275100000002</v>
      </c>
      <c r="DR19" s="1">
        <f t="shared" si="30"/>
        <v>1.8725515799999999</v>
      </c>
      <c r="DS19" s="1">
        <f t="shared" si="30"/>
        <v>1.9938344900000002</v>
      </c>
      <c r="DT19" s="1">
        <f t="shared" si="30"/>
        <v>1.4070700599999999</v>
      </c>
      <c r="DU19" s="1">
        <f t="shared" si="30"/>
        <v>0.5838748800000001</v>
      </c>
      <c r="DV19" s="1">
        <f t="shared" si="30"/>
        <v>1.6300787399999999</v>
      </c>
      <c r="DW19" s="1">
        <f t="shared" si="30"/>
        <v>1.5496506000000003</v>
      </c>
      <c r="DX19" s="1">
        <f t="shared" si="30"/>
        <v>2.1384397699999997</v>
      </c>
      <c r="DY19" s="1">
        <f t="shared" si="31"/>
        <v>2.7337765599999999</v>
      </c>
      <c r="DZ19" s="1">
        <f t="shared" si="31"/>
        <v>1.0171737099999998</v>
      </c>
      <c r="EA19" s="1">
        <f t="shared" si="31"/>
        <v>1.9864389700000002</v>
      </c>
      <c r="EB19" s="1">
        <f t="shared" si="31"/>
        <v>2.8868213899999997</v>
      </c>
      <c r="EC19" s="1">
        <f t="shared" si="31"/>
        <v>1.3747401999999997</v>
      </c>
      <c r="ED19" s="1">
        <f t="shared" si="31"/>
        <v>1.6364950999999999</v>
      </c>
      <c r="EE19" s="1">
        <f t="shared" si="31"/>
        <v>1.1348675200000002</v>
      </c>
      <c r="EF19" s="1">
        <f t="shared" si="31"/>
        <v>0.73241972</v>
      </c>
      <c r="EH19" s="14">
        <f t="shared" si="32"/>
        <v>35.950000000000003</v>
      </c>
      <c r="EI19" s="14">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G19" s="162">
        <f t="shared" si="34"/>
        <v>5.3262106526037911E-2</v>
      </c>
    </row>
    <row r="20" spans="1:163" ht="28.8">
      <c r="A20" s="264" t="s">
        <v>218</v>
      </c>
      <c r="B20" s="246"/>
      <c r="C20" s="156">
        <f t="shared" si="5"/>
        <v>0</v>
      </c>
      <c r="D20" s="198">
        <v>-1</v>
      </c>
      <c r="E20" s="248">
        <f t="shared" si="6"/>
        <v>-0.15926179084073833</v>
      </c>
      <c r="F20" s="249">
        <f t="shared" si="7"/>
        <v>-0.19642806427920845</v>
      </c>
      <c r="G20" s="248">
        <f t="shared" si="8"/>
        <v>8.0987341829175108E-4</v>
      </c>
      <c r="H20" s="249">
        <f t="shared" si="9"/>
        <v>-0.16007166425903008</v>
      </c>
      <c r="I20" s="248">
        <f t="shared" si="10"/>
        <v>0.21503144167392851</v>
      </c>
      <c r="J20" s="249">
        <f t="shared" si="11"/>
        <v>-0.34407994155838595</v>
      </c>
      <c r="K20" s="248">
        <f t="shared" si="12"/>
        <v>0.38102808026396939</v>
      </c>
      <c r="L20" s="249">
        <f t="shared" si="13"/>
        <v>-0.16599663859004088</v>
      </c>
      <c r="M20" s="250"/>
      <c r="N20" s="24">
        <v>-1</v>
      </c>
      <c r="O20" s="248">
        <f t="shared" si="35"/>
        <v>0</v>
      </c>
      <c r="P20" s="251">
        <f t="shared" si="36"/>
        <v>0</v>
      </c>
      <c r="Q20" s="248">
        <f t="shared" si="14"/>
        <v>4.1823473397620825E-2</v>
      </c>
      <c r="R20" s="251">
        <f t="shared" si="37"/>
        <v>4.1823473397620825E-2</v>
      </c>
      <c r="S20" s="250"/>
      <c r="T20" s="24">
        <v>2</v>
      </c>
      <c r="U20" s="248">
        <f t="shared" si="15"/>
        <v>0.10539206143044599</v>
      </c>
      <c r="V20" s="252">
        <f t="shared" si="16"/>
        <v>0.10539206143044599</v>
      </c>
      <c r="W20" s="248">
        <f t="shared" si="38"/>
        <v>-0.55595405127755981</v>
      </c>
      <c r="X20" s="252">
        <f t="shared" si="17"/>
        <v>-0.55595405127755981</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4</v>
      </c>
      <c r="AQ20" s="28">
        <f>VLOOKUP($A20,historia!$A$5:$CM$24,+HLOOKUP(AQ$2,historia!$A$3:$EC$4,2,FALSE),FALSE)</f>
        <v>4</v>
      </c>
      <c r="AR20" s="28">
        <f>VLOOKUP($A20,historia!$A$5:$CM$24,+HLOOKUP(AR$2,historia!$A$3:$EC$4,2,FALSE),FALSE)</f>
        <v>4</v>
      </c>
      <c r="AS20" s="28">
        <f>VLOOKUP($A20,historia!$A$5:$CM$24,+HLOOKUP(AS$2,historia!$A$3:$EC$4,2,FALSE),FALSE)</f>
        <v>3</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3</v>
      </c>
      <c r="AY20" s="58">
        <f>VLOOKUP($A20,historia!$A$5:$CM$24,+HLOOKUP(AY$2,historia!$A$3:$EC$4,2,FALSE),FALSE)</f>
        <v>3</v>
      </c>
      <c r="AZ20" s="58">
        <f>VLOOKUP($A20,historia!$A$5:$CM$24,+HLOOKUP(AZ$2,historia!$A$3:$EC$4,2,FALSE),FALSE)</f>
        <v>4</v>
      </c>
      <c r="BA20" s="58">
        <f>VLOOKUP($A20,historia!$A$5:$CM$24,+HLOOKUP(BA$2,historia!$A$3:$EC$4,2,FALSE),FALSE)</f>
        <v>4</v>
      </c>
      <c r="BB20" s="58"/>
      <c r="BC20" s="286">
        <v>4</v>
      </c>
      <c r="BD20" t="str">
        <f t="shared" si="20"/>
        <v>Peras y Manzanas</v>
      </c>
      <c r="BE20">
        <f>+datos!AP1</f>
        <v>42</v>
      </c>
      <c r="BF20" s="2" t="str">
        <f t="shared" si="4"/>
        <v>$/caja 18kg</v>
      </c>
      <c r="BG20" s="2">
        <f t="shared" si="4"/>
        <v>14255.052631578947</v>
      </c>
      <c r="BH20" s="2">
        <f t="shared" si="4"/>
        <v>16955.400000000001</v>
      </c>
      <c r="BI20" s="2">
        <f t="shared" si="4"/>
        <v>11732.25</v>
      </c>
      <c r="BK20">
        <f>+datos!CS1</f>
        <v>97</v>
      </c>
      <c r="BL20" s="2">
        <f t="shared" si="21"/>
        <v>9757.8292647576891</v>
      </c>
      <c r="BM20" s="2">
        <f t="shared" si="21"/>
        <v>9749.9330531478208</v>
      </c>
      <c r="BN20" s="2">
        <f t="shared" si="21"/>
        <v>7065.6269805119246</v>
      </c>
      <c r="BP20" s="1">
        <f>+datos!FC1</f>
        <v>159</v>
      </c>
      <c r="BQ20" s="1">
        <f t="shared" si="22"/>
        <v>38084</v>
      </c>
      <c r="BR20" s="1">
        <f t="shared" si="22"/>
        <v>38084</v>
      </c>
      <c r="BT20" s="1">
        <f>+datos!GW1</f>
        <v>205</v>
      </c>
      <c r="BU20" s="1">
        <f t="shared" si="23"/>
        <v>776794</v>
      </c>
      <c r="BV20" s="1">
        <f t="shared" si="23"/>
        <v>745610</v>
      </c>
      <c r="BX20" s="1">
        <f>+datos!LS1</f>
        <v>331</v>
      </c>
      <c r="BY20" s="1">
        <f t="shared" si="39"/>
        <v>413.95843707000006</v>
      </c>
      <c r="BZ20" s="1">
        <f t="shared" si="40"/>
        <v>374.49014835000003</v>
      </c>
      <c r="CB20" s="1">
        <f>+datos!LW1</f>
        <v>335</v>
      </c>
      <c r="CC20" s="2">
        <f t="shared" si="24"/>
        <v>2.8416224800000003</v>
      </c>
      <c r="CD20" s="2">
        <f t="shared" si="25"/>
        <v>6.3993883700000005</v>
      </c>
      <c r="CF20" s="1">
        <f>+datos!JC1</f>
        <v>263</v>
      </c>
      <c r="CG20" s="1">
        <f t="shared" si="26"/>
        <v>0</v>
      </c>
      <c r="CH20" s="1">
        <f t="shared" si="27"/>
        <v>0</v>
      </c>
      <c r="CJ20" s="1">
        <f t="shared" si="28"/>
        <v>59.173949850000007</v>
      </c>
      <c r="CK20" s="1">
        <f t="shared" si="28"/>
        <v>46.396857000000011</v>
      </c>
      <c r="CL20" s="1">
        <f t="shared" si="28"/>
        <v>23.934850630000003</v>
      </c>
      <c r="CM20" s="1">
        <f t="shared" si="28"/>
        <v>23.934850630000003</v>
      </c>
      <c r="CN20" s="1">
        <f t="shared" si="28"/>
        <v>23.934850630000003</v>
      </c>
      <c r="CO20" s="1">
        <f t="shared" si="28"/>
        <v>25.188374430000003</v>
      </c>
      <c r="CP20" s="1">
        <f t="shared" si="28"/>
        <v>22.303018159999997</v>
      </c>
      <c r="CQ20" s="1">
        <f t="shared" si="28"/>
        <v>14.93334776</v>
      </c>
      <c r="CR20" s="1">
        <f t="shared" si="28"/>
        <v>35.336569390000001</v>
      </c>
      <c r="CS20" s="1">
        <f t="shared" si="28"/>
        <v>46.662709379999995</v>
      </c>
      <c r="CT20" s="1">
        <f t="shared" si="28"/>
        <v>45.302769560000002</v>
      </c>
      <c r="CU20" s="1">
        <f t="shared" si="28"/>
        <v>46.856289650000001</v>
      </c>
      <c r="CV20" s="1">
        <f t="shared" si="28"/>
        <v>60.076282149999997</v>
      </c>
      <c r="CW20" s="1">
        <f t="shared" si="28"/>
        <v>42.744570039999999</v>
      </c>
      <c r="CX20" s="1">
        <f t="shared" si="28"/>
        <v>11.509203560000001</v>
      </c>
      <c r="CY20" s="1">
        <f t="shared" si="28"/>
        <v>11.753879789999999</v>
      </c>
      <c r="CZ20" s="1">
        <f t="shared" si="29"/>
        <v>15.619426270000002</v>
      </c>
      <c r="DA20" s="1">
        <f t="shared" si="29"/>
        <v>16.880359240000001</v>
      </c>
      <c r="DB20" s="1">
        <f t="shared" si="29"/>
        <v>24.204094699999999</v>
      </c>
      <c r="DC20" s="1">
        <f t="shared" si="29"/>
        <v>25.300599699999999</v>
      </c>
      <c r="DD20" s="1">
        <f t="shared" si="29"/>
        <v>48.042350899999995</v>
      </c>
      <c r="DE20" s="1">
        <f t="shared" si="29"/>
        <v>30.317151650000003</v>
      </c>
      <c r="DF20" s="1">
        <f t="shared" si="29"/>
        <v>39.830023670000003</v>
      </c>
      <c r="DG20" s="1">
        <f t="shared" si="29"/>
        <v>48.212206680000008</v>
      </c>
      <c r="DI20" s="1">
        <f t="shared" si="30"/>
        <v>0.20107160000000002</v>
      </c>
      <c r="DJ20" s="1">
        <f t="shared" si="30"/>
        <v>4.7323499999999998E-2</v>
      </c>
      <c r="DK20" s="1">
        <f t="shared" si="30"/>
        <v>0.18245199000000001</v>
      </c>
      <c r="DL20" s="1">
        <f t="shared" si="30"/>
        <v>6.8745290000000001E-2</v>
      </c>
      <c r="DM20" s="1">
        <f t="shared" si="30"/>
        <v>0.21798748000000001</v>
      </c>
      <c r="DN20" s="1">
        <f t="shared" si="30"/>
        <v>7.9820000000000002E-2</v>
      </c>
      <c r="DO20" s="1">
        <f t="shared" si="30"/>
        <v>0.14837025000000001</v>
      </c>
      <c r="DP20" s="1">
        <f t="shared" si="30"/>
        <v>0.3865221499999999</v>
      </c>
      <c r="DQ20" s="1">
        <f t="shared" si="30"/>
        <v>0.51794252000000007</v>
      </c>
      <c r="DR20" s="1">
        <f t="shared" si="30"/>
        <v>0.37362660000000003</v>
      </c>
      <c r="DS20" s="1">
        <f t="shared" si="30"/>
        <v>0.32288670000000003</v>
      </c>
      <c r="DT20" s="1">
        <f t="shared" si="30"/>
        <v>0.29487440000000004</v>
      </c>
      <c r="DU20" s="1">
        <f t="shared" si="30"/>
        <v>7.78142E-2</v>
      </c>
      <c r="DV20" s="1">
        <f t="shared" si="30"/>
        <v>0.12479459999999999</v>
      </c>
      <c r="DW20" s="1">
        <f t="shared" si="30"/>
        <v>8.4911199999999992E-2</v>
      </c>
      <c r="DX20" s="1">
        <f t="shared" si="30"/>
        <v>0.22142464000000001</v>
      </c>
      <c r="DY20" s="1">
        <f t="shared" si="31"/>
        <v>1.01853964</v>
      </c>
      <c r="DZ20" s="1">
        <f t="shared" si="31"/>
        <v>0.30728509999999998</v>
      </c>
      <c r="EA20" s="1">
        <f t="shared" si="31"/>
        <v>0.37410640000000001</v>
      </c>
      <c r="EB20" s="1">
        <f t="shared" si="31"/>
        <v>0.35746821000000001</v>
      </c>
      <c r="EC20" s="1">
        <f t="shared" si="31"/>
        <v>0.95829101000000005</v>
      </c>
      <c r="ED20" s="1">
        <f t="shared" si="31"/>
        <v>0.34636184000000003</v>
      </c>
      <c r="EE20" s="1">
        <f t="shared" si="31"/>
        <v>1.2547095300000002</v>
      </c>
      <c r="EF20" s="1">
        <f t="shared" si="31"/>
        <v>1.273682</v>
      </c>
      <c r="EH20" s="14">
        <f t="shared" si="32"/>
        <v>0</v>
      </c>
      <c r="EI20" s="14">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3"/>
        <v>0</v>
      </c>
      <c r="EY20" s="1">
        <f t="shared" si="33"/>
        <v>0</v>
      </c>
      <c r="EZ20" s="1">
        <f t="shared" si="33"/>
        <v>0</v>
      </c>
      <c r="FA20" s="1">
        <f t="shared" si="33"/>
        <v>0</v>
      </c>
      <c r="FB20" s="1">
        <f t="shared" si="33"/>
        <v>0</v>
      </c>
      <c r="FC20" s="1">
        <f t="shared" si="33"/>
        <v>0</v>
      </c>
      <c r="FD20" s="1">
        <f t="shared" si="33"/>
        <v>0</v>
      </c>
      <c r="FE20" s="1">
        <f t="shared" si="33"/>
        <v>0</v>
      </c>
      <c r="FG20" s="162">
        <f t="shared" si="34"/>
        <v>-0.16599663859004088</v>
      </c>
    </row>
    <row r="21" spans="1:163" ht="18.75" customHeight="1">
      <c r="A21" s="244" t="s">
        <v>121</v>
      </c>
      <c r="B21" s="247"/>
      <c r="C21" s="228">
        <f t="shared" si="5"/>
        <v>0</v>
      </c>
      <c r="D21" s="229">
        <v>-2</v>
      </c>
      <c r="E21" s="253">
        <f t="shared" si="6"/>
        <v>-5.9283483387939651E-3</v>
      </c>
      <c r="F21" s="254">
        <f t="shared" si="7"/>
        <v>-4.3094621777264086E-2</v>
      </c>
      <c r="G21" s="253">
        <f t="shared" si="8"/>
        <v>-2.2939080800929768E-2</v>
      </c>
      <c r="H21" s="254">
        <f t="shared" si="9"/>
        <v>1.7010732462135802E-2</v>
      </c>
      <c r="I21" s="253">
        <f t="shared" si="10"/>
        <v>0.4959181818181817</v>
      </c>
      <c r="J21" s="254">
        <f t="shared" si="11"/>
        <v>-6.319320141413276E-2</v>
      </c>
      <c r="K21" s="253">
        <f t="shared" si="12"/>
        <v>0.48332488153599096</v>
      </c>
      <c r="L21" s="254">
        <f t="shared" si="13"/>
        <v>1.2593300282190745E-2</v>
      </c>
      <c r="M21" s="255"/>
      <c r="N21" s="256">
        <v>1</v>
      </c>
      <c r="O21" s="253">
        <f t="shared" si="35"/>
        <v>-2.0839332713567749E-2</v>
      </c>
      <c r="P21" s="257">
        <f t="shared" si="36"/>
        <v>-2.0839332713567749E-2</v>
      </c>
      <c r="Q21" s="253">
        <f t="shared" si="14"/>
        <v>4.4185251069370768E-2</v>
      </c>
      <c r="R21" s="257">
        <f t="shared" si="37"/>
        <v>4.4185251069370768E-2</v>
      </c>
      <c r="S21" s="255"/>
      <c r="T21" s="256">
        <v>1</v>
      </c>
      <c r="U21" s="253">
        <f t="shared" si="15"/>
        <v>0.54462106288661638</v>
      </c>
      <c r="V21" s="258">
        <f t="shared" si="16"/>
        <v>0.54462106288661638</v>
      </c>
      <c r="W21" s="253">
        <f t="shared" si="38"/>
        <v>1.3235011437688327</v>
      </c>
      <c r="X21" s="258">
        <f t="shared" si="17"/>
        <v>1.3235011437688327</v>
      </c>
      <c r="Y21" s="253">
        <f t="shared" si="18"/>
        <v>8.1818181818182012E-2</v>
      </c>
      <c r="Z21" s="258">
        <f t="shared" si="19"/>
        <v>8.1818181818182012E-2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5</v>
      </c>
      <c r="AQ21" s="28">
        <f>VLOOKUP($A21,historia!$A$5:$CM$24,+HLOOKUP(AQ$2,historia!$A$3:$EC$4,2,FALSE),FALSE)</f>
        <v>3</v>
      </c>
      <c r="AR21" s="28">
        <f>VLOOKUP($A21,historia!$A$5:$CM$24,+HLOOKUP(AR$2,historia!$A$3:$EC$4,2,FALSE),FALSE)</f>
        <v>4</v>
      </c>
      <c r="AS21" s="28">
        <f>VLOOKUP($A21,historia!$A$5:$CM$24,+HLOOKUP(AS$2,historia!$A$3:$EC$4,2,FALSE),FALSE)</f>
        <v>3</v>
      </c>
      <c r="AT21" s="58">
        <f>VLOOKUP($A21,historia!$A$5:$CM$24,+HLOOKUP(AT$2,historia!$A$3:$EC$4,2,FALSE),FALSE)</f>
        <v>3</v>
      </c>
      <c r="AU21" s="58">
        <f>VLOOKUP($A21,historia!$A$5:$CM$24,+HLOOKUP(AU$2,historia!$A$3:$EC$4,2,FALSE),FALSE)</f>
        <v>3</v>
      </c>
      <c r="AV21" s="58">
        <f>VLOOKUP($A21,historia!$A$5:$CM$24,+HLOOKUP(AV$2,historia!$A$3:$EC$4,2,FALSE),FALSE)</f>
        <v>3</v>
      </c>
      <c r="AW21" s="58">
        <f>VLOOKUP($A21,historia!$A$5:$CM$24,+HLOOKUP(AW$2,historia!$A$3:$EC$4,2,FALSE),FALSE)</f>
        <v>3</v>
      </c>
      <c r="AX21" s="58">
        <f>VLOOKUP($A21,historia!$A$5:$CM$24,+HLOOKUP(AX$2,historia!$A$3:$EC$4,2,FALSE),FALSE)</f>
        <v>3</v>
      </c>
      <c r="AY21" s="58">
        <f>VLOOKUP($A21,historia!$A$5:$CM$24,+HLOOKUP(AY$2,historia!$A$3:$EC$4,2,FALSE),FALSE)</f>
        <v>2</v>
      </c>
      <c r="AZ21" s="58">
        <f>VLOOKUP($A21,historia!$A$5:$CM$24,+HLOOKUP(AZ$2,historia!$A$3:$EC$4,2,FALSE),FALSE)</f>
        <v>3</v>
      </c>
      <c r="BA21" s="58">
        <f>VLOOKUP($A21,historia!$A$5:$CM$24,+HLOOKUP(BA$2,historia!$A$3:$EC$4,2,FALSE),FALSE)</f>
        <v>3</v>
      </c>
      <c r="BB21" s="58"/>
      <c r="BC21" s="286">
        <v>3</v>
      </c>
      <c r="BD21" t="str">
        <f t="shared" si="20"/>
        <v>Porcinos</v>
      </c>
      <c r="BE21">
        <f>+datos!BR1</f>
        <v>70</v>
      </c>
      <c r="BF21" s="2" t="str">
        <f t="shared" si="4"/>
        <v>$/kg</v>
      </c>
      <c r="BG21" s="2">
        <f t="shared" si="4"/>
        <v>1645.51</v>
      </c>
      <c r="BH21" s="2">
        <f t="shared" si="4"/>
        <v>1655.3233333333335</v>
      </c>
      <c r="BI21" s="2">
        <f t="shared" si="4"/>
        <v>1100</v>
      </c>
      <c r="BK21">
        <f>+datos!DD1</f>
        <v>108</v>
      </c>
      <c r="BL21" s="2">
        <f t="shared" si="21"/>
        <v>10236.023159757069</v>
      </c>
      <c r="BM21" s="2">
        <f t="shared" si="21"/>
        <v>10476.340787581477</v>
      </c>
      <c r="BN21" s="2">
        <f t="shared" si="21"/>
        <v>6900.7290898792253</v>
      </c>
      <c r="BP21" s="1">
        <f>+datos!EJ1</f>
        <v>140</v>
      </c>
      <c r="BQ21" s="1">
        <f t="shared" si="22"/>
        <v>5987778</v>
      </c>
      <c r="BR21" s="1">
        <f t="shared" si="22"/>
        <v>6115215</v>
      </c>
      <c r="BT21" s="1">
        <f>+datos!HE1</f>
        <v>213</v>
      </c>
      <c r="BU21" s="1">
        <f t="shared" si="23"/>
        <v>790679</v>
      </c>
      <c r="BV21" s="1">
        <f t="shared" si="23"/>
        <v>757221</v>
      </c>
      <c r="BX21" s="1">
        <f>+datos!KJ1</f>
        <v>296</v>
      </c>
      <c r="BY21" s="1">
        <f t="shared" si="39"/>
        <v>28.857058049999999</v>
      </c>
      <c r="BZ21" s="1">
        <f t="shared" si="40"/>
        <v>18.682289619999999</v>
      </c>
      <c r="CB21" s="1">
        <f>+datos!LO1</f>
        <v>327</v>
      </c>
      <c r="CC21" s="2">
        <f t="shared" si="24"/>
        <v>103.78536448999998</v>
      </c>
      <c r="CD21" s="2">
        <f t="shared" si="25"/>
        <v>44.667662319999991</v>
      </c>
      <c r="CF21" s="1">
        <f>+datos!IO1</f>
        <v>249</v>
      </c>
      <c r="CG21" s="1">
        <f t="shared" si="26"/>
        <v>17.850000000000001</v>
      </c>
      <c r="CH21" s="1">
        <f t="shared" si="27"/>
        <v>16.5</v>
      </c>
      <c r="CJ21" s="1">
        <f t="shared" si="28"/>
        <v>1.0764735399999998</v>
      </c>
      <c r="CK21" s="1">
        <f t="shared" si="28"/>
        <v>3.87511991</v>
      </c>
      <c r="CL21" s="1">
        <f t="shared" si="28"/>
        <v>1.4111442899999997</v>
      </c>
      <c r="CM21" s="1">
        <f t="shared" si="28"/>
        <v>1.9463367499999997</v>
      </c>
      <c r="CN21" s="1">
        <f t="shared" si="28"/>
        <v>1.6096260199999999</v>
      </c>
      <c r="CO21" s="1">
        <f t="shared" si="28"/>
        <v>3.1723580499999997</v>
      </c>
      <c r="CP21" s="1">
        <f t="shared" si="28"/>
        <v>2.1279038099999998</v>
      </c>
      <c r="CQ21" s="1">
        <f t="shared" si="28"/>
        <v>2.3778769799999995</v>
      </c>
      <c r="CR21" s="1">
        <f t="shared" si="28"/>
        <v>4.3175895799999999</v>
      </c>
      <c r="CS21" s="1">
        <f t="shared" si="28"/>
        <v>2.7596131099999996</v>
      </c>
      <c r="CT21" s="1">
        <f t="shared" si="28"/>
        <v>1.9296841299999996</v>
      </c>
      <c r="CU21" s="1">
        <f t="shared" si="28"/>
        <v>2.2533318799999997</v>
      </c>
      <c r="CV21" s="1">
        <f t="shared" si="28"/>
        <v>1.55421593</v>
      </c>
      <c r="CW21" s="1">
        <f t="shared" si="28"/>
        <v>1.56892272</v>
      </c>
      <c r="CX21" s="1">
        <f t="shared" si="28"/>
        <v>1.2009935999999999</v>
      </c>
      <c r="CY21" s="1">
        <f t="shared" si="28"/>
        <v>1.5576121499999998</v>
      </c>
      <c r="CZ21" s="1">
        <f t="shared" si="29"/>
        <v>1.3743196699999998</v>
      </c>
      <c r="DA21" s="1">
        <f t="shared" si="29"/>
        <v>1.4110336399999999</v>
      </c>
      <c r="DB21" s="1">
        <f t="shared" si="29"/>
        <v>1.8830951399999996</v>
      </c>
      <c r="DC21" s="1">
        <f t="shared" si="29"/>
        <v>1.4694087300000001</v>
      </c>
      <c r="DD21" s="1">
        <f t="shared" si="29"/>
        <v>2.0502103900000002</v>
      </c>
      <c r="DE21" s="1">
        <f t="shared" si="29"/>
        <v>1.8176867299999997</v>
      </c>
      <c r="DF21" s="1">
        <f t="shared" si="29"/>
        <v>1.2719750699999999</v>
      </c>
      <c r="DG21" s="1">
        <f t="shared" si="29"/>
        <v>1.5228158499999997</v>
      </c>
      <c r="DI21" s="1">
        <f t="shared" si="30"/>
        <v>14.031594299999998</v>
      </c>
      <c r="DJ21" s="1">
        <f t="shared" si="30"/>
        <v>14.447589379999997</v>
      </c>
      <c r="DK21" s="1">
        <f t="shared" si="30"/>
        <v>14.265215759999998</v>
      </c>
      <c r="DL21" s="1">
        <f t="shared" si="30"/>
        <v>16.354180840000001</v>
      </c>
      <c r="DM21" s="1">
        <f t="shared" si="30"/>
        <v>10.919699229999997</v>
      </c>
      <c r="DN21" s="1">
        <f t="shared" si="30"/>
        <v>10.87912704</v>
      </c>
      <c r="DO21" s="1">
        <f t="shared" si="30"/>
        <v>7.3519509899999989</v>
      </c>
      <c r="DP21" s="1">
        <f t="shared" si="30"/>
        <v>4.9251834299999988</v>
      </c>
      <c r="DQ21" s="1">
        <f t="shared" si="30"/>
        <v>2.5935797799999998</v>
      </c>
      <c r="DR21" s="1">
        <f t="shared" si="30"/>
        <v>1.7163214500000001</v>
      </c>
      <c r="DS21" s="1">
        <f t="shared" si="30"/>
        <v>2.7920763000000002</v>
      </c>
      <c r="DT21" s="1">
        <f t="shared" si="30"/>
        <v>3.5088459899999997</v>
      </c>
      <c r="DU21" s="1">
        <f t="shared" si="30"/>
        <v>2.2524288500000003</v>
      </c>
      <c r="DV21" s="1">
        <f t="shared" si="30"/>
        <v>5.2341166499999998</v>
      </c>
      <c r="DW21" s="1">
        <f t="shared" si="30"/>
        <v>3.1162246899999997</v>
      </c>
      <c r="DX21" s="1">
        <f t="shared" ref="DX21:EF24" si="41">+VLOOKUP(DX$1,ran_dat,$CB21,FALSE)</f>
        <v>3.3747357299999998</v>
      </c>
      <c r="DY21" s="1">
        <f t="shared" si="41"/>
        <v>1.8536983500000002</v>
      </c>
      <c r="DZ21" s="1">
        <f t="shared" si="41"/>
        <v>2.01592043</v>
      </c>
      <c r="EA21" s="1">
        <f t="shared" si="41"/>
        <v>3.3244473500000002</v>
      </c>
      <c r="EB21" s="1">
        <f t="shared" si="41"/>
        <v>2.84758625</v>
      </c>
      <c r="EC21" s="1">
        <f t="shared" si="41"/>
        <v>4.1641835499999997</v>
      </c>
      <c r="ED21" s="1">
        <f t="shared" si="41"/>
        <v>4.5685913500000002</v>
      </c>
      <c r="EE21" s="1">
        <f t="shared" si="41"/>
        <v>6.3615663699999985</v>
      </c>
      <c r="EF21" s="1">
        <f t="shared" si="41"/>
        <v>5.5541627499999997</v>
      </c>
      <c r="EH21" s="14">
        <f t="shared" si="32"/>
        <v>17.850000000000001</v>
      </c>
      <c r="EI21" s="14">
        <f t="shared" si="32"/>
        <v>17.73</v>
      </c>
      <c r="EJ21" s="1">
        <f t="shared" si="32"/>
        <v>17.510000000000002</v>
      </c>
      <c r="EK21" s="1">
        <f t="shared" si="32"/>
        <v>17.13</v>
      </c>
      <c r="EL21" s="1">
        <f t="shared" si="32"/>
        <v>16.89</v>
      </c>
      <c r="EM21" s="1">
        <f t="shared" si="32"/>
        <v>16.87</v>
      </c>
      <c r="EN21" s="1">
        <f t="shared" si="32"/>
        <v>16.8</v>
      </c>
      <c r="EO21" s="1">
        <f t="shared" si="32"/>
        <v>16.760000000000002</v>
      </c>
      <c r="EP21" s="1">
        <f t="shared" si="32"/>
        <v>16.84</v>
      </c>
      <c r="EQ21" s="1">
        <f t="shared" si="32"/>
        <v>16.64</v>
      </c>
      <c r="ER21" s="1">
        <f t="shared" si="32"/>
        <v>16.68</v>
      </c>
      <c r="ES21" s="1">
        <f t="shared" si="32"/>
        <v>16.62</v>
      </c>
      <c r="ET21" s="1">
        <f t="shared" si="32"/>
        <v>16.5</v>
      </c>
      <c r="EU21" s="1">
        <f t="shared" si="32"/>
        <v>16.64</v>
      </c>
      <c r="EV21" s="1">
        <f t="shared" si="32"/>
        <v>16.68</v>
      </c>
      <c r="EW21" s="1">
        <f t="shared" ref="EW21:FE24" si="42">+VLOOKUP(EW$1,ran_dat,$CF21,FALSE)</f>
        <v>16.72</v>
      </c>
      <c r="EX21" s="1">
        <f t="shared" si="42"/>
        <v>16.75</v>
      </c>
      <c r="EY21" s="1">
        <f t="shared" si="42"/>
        <v>16.760000000000002</v>
      </c>
      <c r="EZ21" s="1">
        <f t="shared" si="42"/>
        <v>16.71</v>
      </c>
      <c r="FA21" s="1">
        <f t="shared" si="42"/>
        <v>16.68</v>
      </c>
      <c r="FB21" s="1">
        <f t="shared" si="42"/>
        <v>16.670000000000002</v>
      </c>
      <c r="FC21" s="1">
        <f t="shared" si="42"/>
        <v>16.670000000000002</v>
      </c>
      <c r="FD21" s="1">
        <f t="shared" si="42"/>
        <v>16.72</v>
      </c>
      <c r="FE21" s="1">
        <f t="shared" si="42"/>
        <v>16.77</v>
      </c>
      <c r="FG21" s="162">
        <f t="shared" si="34"/>
        <v>1.2593300282190745E-2</v>
      </c>
    </row>
    <row r="22" spans="1:163" ht="18.75" customHeight="1">
      <c r="A22" s="243" t="s">
        <v>75</v>
      </c>
      <c r="B22" s="246"/>
      <c r="C22" s="156">
        <f t="shared" si="5"/>
        <v>0.66</v>
      </c>
      <c r="D22" s="198">
        <v>1</v>
      </c>
      <c r="E22" s="248">
        <f t="shared" si="6"/>
        <v>0.27944507361268411</v>
      </c>
      <c r="F22" s="249">
        <f t="shared" si="7"/>
        <v>0.24227880017421399</v>
      </c>
      <c r="G22" s="248">
        <f t="shared" si="8"/>
        <v>3.2541883035205554E-2</v>
      </c>
      <c r="H22" s="249">
        <f t="shared" si="9"/>
        <v>0.24690319057747856</v>
      </c>
      <c r="I22" s="248">
        <f t="shared" si="10"/>
        <v>0.60248226950354611</v>
      </c>
      <c r="J22" s="249">
        <f t="shared" si="11"/>
        <v>4.3370886271231646E-2</v>
      </c>
      <c r="K22" s="248">
        <f t="shared" si="12"/>
        <v>0.47937383864397964</v>
      </c>
      <c r="L22" s="249">
        <f t="shared" si="13"/>
        <v>0.12310843085956646</v>
      </c>
      <c r="M22" s="250"/>
      <c r="N22" s="24">
        <v>0</v>
      </c>
      <c r="O22" s="248">
        <f t="shared" si="35"/>
        <v>0.10289900078548864</v>
      </c>
      <c r="P22" s="251">
        <f t="shared" si="36"/>
        <v>0.10289900078548864</v>
      </c>
      <c r="Q22" s="248">
        <f t="shared" si="14"/>
        <v>0.17001165379676175</v>
      </c>
      <c r="R22" s="251">
        <f t="shared" si="37"/>
        <v>0.17001165379676175</v>
      </c>
      <c r="S22" s="250"/>
      <c r="T22" s="24">
        <v>1</v>
      </c>
      <c r="U22" s="248">
        <f t="shared" si="15"/>
        <v>-8.6574590451843569E-2</v>
      </c>
      <c r="V22" s="252">
        <f t="shared" si="16"/>
        <v>-8.6574590451843569E-2</v>
      </c>
      <c r="W22" s="248">
        <f t="shared" si="38"/>
        <v>-0.10689660034486126</v>
      </c>
      <c r="X22" s="252">
        <f t="shared" si="17"/>
        <v>-0.10689660034486126</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4</v>
      </c>
      <c r="AQ22" s="28">
        <f>VLOOKUP($A22,historia!$A$5:$CM$24,+HLOOKUP(AQ$2,historia!$A$3:$EC$4,2,FALSE),FALSE)</f>
        <v>3</v>
      </c>
      <c r="AR22" s="28">
        <f>VLOOKUP($A22,historia!$A$5:$CM$24,+HLOOKUP(AR$2,historia!$A$3:$EC$4,2,FALSE),FALSE)</f>
        <v>2</v>
      </c>
      <c r="AS22" s="28">
        <f>VLOOKUP($A22,historia!$A$5:$CM$24,+HLOOKUP(AS$2,historia!$A$3:$EC$4,2,FALSE),FALSE)</f>
        <v>2</v>
      </c>
      <c r="AT22" s="58">
        <f>VLOOKUP($A22,historia!$A$5:$CM$24,+HLOOKUP(AT$2,historia!$A$3:$EC$4,2,FALSE),FALSE)</f>
        <v>2</v>
      </c>
      <c r="AU22" s="58">
        <f>VLOOKUP($A22,historia!$A$5:$CM$24,+HLOOKUP(AU$2,historia!$A$3:$EC$4,2,FALSE),FALSE)</f>
        <v>2</v>
      </c>
      <c r="AV22" s="58">
        <f>VLOOKUP($A22,historia!$A$5:$CM$24,+HLOOKUP(AV$2,historia!$A$3:$EC$4,2,FALSE),FALSE)</f>
        <v>2</v>
      </c>
      <c r="AW22" s="58">
        <f>VLOOKUP($A22,historia!$A$5:$CM$24,+HLOOKUP(AW$2,historia!$A$3:$EC$4,2,FALSE),FALSE)</f>
        <v>2</v>
      </c>
      <c r="AX22" s="58">
        <f>VLOOKUP($A22,historia!$A$5:$CM$24,+HLOOKUP(AX$2,historia!$A$3:$EC$4,2,FALSE),FALSE)</f>
        <v>2</v>
      </c>
      <c r="AY22" s="58">
        <f>VLOOKUP($A22,historia!$A$5:$CM$24,+HLOOKUP(AY$2,historia!$A$3:$EC$4,2,FALSE),FALSE)</f>
        <v>2</v>
      </c>
      <c r="AZ22" s="58">
        <f>VLOOKUP($A22,historia!$A$5:$CM$24,+HLOOKUP(AZ$2,historia!$A$3:$EC$4,2,FALSE),FALSE)</f>
        <v>3</v>
      </c>
      <c r="BA22" s="58">
        <f>VLOOKUP($A22,historia!$A$5:$CM$24,+HLOOKUP(BA$2,historia!$A$3:$EC$4,2,FALSE),FALSE)</f>
        <v>3</v>
      </c>
      <c r="BB22" s="58"/>
      <c r="BC22" s="286">
        <v>3</v>
      </c>
      <c r="BD22" t="str">
        <f t="shared" si="20"/>
        <v>Tabaco</v>
      </c>
      <c r="BE22">
        <f>+datos!BJ1</f>
        <v>62</v>
      </c>
      <c r="BF22" s="2" t="str">
        <f t="shared" si="4"/>
        <v>$/kg</v>
      </c>
      <c r="BG22" s="2">
        <f t="shared" si="4"/>
        <v>4519</v>
      </c>
      <c r="BH22" s="2">
        <f t="shared" si="4"/>
        <v>3532</v>
      </c>
      <c r="BI22" s="2">
        <f t="shared" si="4"/>
        <v>2820</v>
      </c>
      <c r="BK22">
        <f>+datos!DA1</f>
        <v>105</v>
      </c>
      <c r="BL22" s="2">
        <f t="shared" si="21"/>
        <v>10205.810374048006</v>
      </c>
      <c r="BM22" s="2">
        <f t="shared" si="21"/>
        <v>9884.1611577513395</v>
      </c>
      <c r="BN22" s="2">
        <f t="shared" si="21"/>
        <v>6898.736551541856</v>
      </c>
      <c r="BP22" s="1">
        <f>+datos!FD1</f>
        <v>160</v>
      </c>
      <c r="BQ22" s="1">
        <f t="shared" si="22"/>
        <v>60376</v>
      </c>
      <c r="BR22" s="1">
        <f t="shared" si="22"/>
        <v>54743</v>
      </c>
      <c r="BT22" s="1">
        <f>+datos!GX1</f>
        <v>206</v>
      </c>
      <c r="BU22" s="1">
        <f t="shared" si="23"/>
        <v>36041.686000000002</v>
      </c>
      <c r="BV22" s="1">
        <f t="shared" si="23"/>
        <v>30804.553</v>
      </c>
      <c r="BX22" s="1">
        <f>+datos!KC1</f>
        <v>289</v>
      </c>
      <c r="BY22" s="1">
        <f t="shared" si="39"/>
        <v>427.96540629000003</v>
      </c>
      <c r="BZ22" s="1">
        <f t="shared" si="40"/>
        <v>468.52802846999998</v>
      </c>
      <c r="CB22" s="1">
        <f>+datos!LH1</f>
        <v>320</v>
      </c>
      <c r="CC22" s="2">
        <f t="shared" si="24"/>
        <v>59.804948880000012</v>
      </c>
      <c r="CD22" s="2">
        <f t="shared" si="25"/>
        <v>66.963073819999991</v>
      </c>
      <c r="CF22" s="1">
        <f>+datos!JD1</f>
        <v>264</v>
      </c>
      <c r="CG22" s="1">
        <f t="shared" si="26"/>
        <v>0</v>
      </c>
      <c r="CH22" s="1">
        <f t="shared" si="27"/>
        <v>0</v>
      </c>
      <c r="CJ22" s="1">
        <f t="shared" ref="CJ22:CY24" si="43">+VLOOKUP(CJ$1,ran_dat,$BX22,FALSE)</f>
        <v>5.5120895000000001</v>
      </c>
      <c r="CK22" s="1">
        <f t="shared" si="43"/>
        <v>9.7228914799999995</v>
      </c>
      <c r="CL22" s="1">
        <f t="shared" si="43"/>
        <v>6.2035308000000002</v>
      </c>
      <c r="CM22" s="1">
        <f t="shared" si="43"/>
        <v>65.18720725</v>
      </c>
      <c r="CN22" s="1">
        <f t="shared" si="43"/>
        <v>34.962073999999994</v>
      </c>
      <c r="CO22" s="1">
        <f t="shared" si="43"/>
        <v>41.640055749999995</v>
      </c>
      <c r="CP22" s="1">
        <f t="shared" si="43"/>
        <v>54.488227269999996</v>
      </c>
      <c r="CQ22" s="1">
        <f t="shared" si="43"/>
        <v>45.888815350000002</v>
      </c>
      <c r="CR22" s="1">
        <f t="shared" si="43"/>
        <v>56.365947810000002</v>
      </c>
      <c r="CS22" s="1">
        <f t="shared" si="43"/>
        <v>58.671597329999997</v>
      </c>
      <c r="CT22" s="1">
        <f t="shared" si="43"/>
        <v>31.625168280000004</v>
      </c>
      <c r="CU22" s="1">
        <f t="shared" si="43"/>
        <v>17.697801470000002</v>
      </c>
      <c r="CV22" s="1">
        <f t="shared" si="43"/>
        <v>30.191481329999998</v>
      </c>
      <c r="CW22" s="1">
        <f t="shared" si="43"/>
        <v>36.249269399999989</v>
      </c>
      <c r="CX22" s="1">
        <f t="shared" si="43"/>
        <v>40.108989959999995</v>
      </c>
      <c r="CY22" s="1">
        <f t="shared" si="43"/>
        <v>56.890802439999995</v>
      </c>
      <c r="CZ22" s="1">
        <f t="shared" ref="CZ22:DG24" si="44">+VLOOKUP(CZ$1,ran_dat,$BX22,FALSE)</f>
        <v>36.8257318</v>
      </c>
      <c r="DA22" s="1">
        <f t="shared" si="44"/>
        <v>51.381121719999996</v>
      </c>
      <c r="DB22" s="1">
        <f t="shared" si="44"/>
        <v>33.051481680000002</v>
      </c>
      <c r="DC22" s="1">
        <f t="shared" si="44"/>
        <v>60.888504160000004</v>
      </c>
      <c r="DD22" s="1">
        <f t="shared" si="44"/>
        <v>55.773078730000002</v>
      </c>
      <c r="DE22" s="1">
        <f t="shared" si="44"/>
        <v>34.825160650000001</v>
      </c>
      <c r="DF22" s="1">
        <f t="shared" si="44"/>
        <v>19.014000799999998</v>
      </c>
      <c r="DG22" s="1">
        <f t="shared" si="44"/>
        <v>13.328405800000001</v>
      </c>
      <c r="DI22" s="1">
        <f t="shared" ref="DI22:DX24" si="45">+VLOOKUP(DI$1,ran_dat,$CB22,FALSE)</f>
        <v>5.7823087099999997</v>
      </c>
      <c r="DJ22" s="1">
        <f t="shared" si="45"/>
        <v>5.6310443999999995</v>
      </c>
      <c r="DK22" s="1">
        <f t="shared" si="45"/>
        <v>4.1108512499999996</v>
      </c>
      <c r="DL22" s="1">
        <f t="shared" si="45"/>
        <v>6.9241559000000006</v>
      </c>
      <c r="DM22" s="1">
        <f t="shared" si="45"/>
        <v>4.9762964800000002</v>
      </c>
      <c r="DN22" s="1">
        <f t="shared" si="45"/>
        <v>5.7062324599999998</v>
      </c>
      <c r="DO22" s="1">
        <f t="shared" si="45"/>
        <v>5.3893107900000006</v>
      </c>
      <c r="DP22" s="1">
        <f t="shared" si="45"/>
        <v>5.0602291599999996</v>
      </c>
      <c r="DQ22" s="1">
        <f t="shared" si="45"/>
        <v>1.1636776099999999</v>
      </c>
      <c r="DR22" s="1">
        <f t="shared" si="45"/>
        <v>4.3331795800000004</v>
      </c>
      <c r="DS22" s="1">
        <f t="shared" si="45"/>
        <v>5.5991701699999998</v>
      </c>
      <c r="DT22" s="1">
        <f t="shared" si="45"/>
        <v>5.1284923700000009</v>
      </c>
      <c r="DU22" s="1">
        <f t="shared" si="45"/>
        <v>4.8853449399999995</v>
      </c>
      <c r="DV22" s="1">
        <f t="shared" si="45"/>
        <v>4.5019780499999991</v>
      </c>
      <c r="DW22" s="1">
        <f t="shared" si="45"/>
        <v>3.2870284000000001</v>
      </c>
      <c r="DX22" s="1">
        <f t="shared" si="45"/>
        <v>2.2553329799999999</v>
      </c>
      <c r="DY22" s="1">
        <f t="shared" si="41"/>
        <v>4.9563280900000004</v>
      </c>
      <c r="DZ22" s="1">
        <f t="shared" si="41"/>
        <v>5.4312745199999997</v>
      </c>
      <c r="EA22" s="1">
        <f t="shared" si="41"/>
        <v>5.9427570699999999</v>
      </c>
      <c r="EB22" s="1">
        <f t="shared" si="41"/>
        <v>7.0989514199999997</v>
      </c>
      <c r="EC22" s="1">
        <f t="shared" si="41"/>
        <v>8.0901624599999984</v>
      </c>
      <c r="ED22" s="1">
        <f t="shared" si="41"/>
        <v>8.5152603000000013</v>
      </c>
      <c r="EE22" s="1">
        <f t="shared" si="41"/>
        <v>6.4262316399999984</v>
      </c>
      <c r="EF22" s="1">
        <f t="shared" si="41"/>
        <v>5.5724239500000001</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4"/>
        <v>0.12310843085956646</v>
      </c>
    </row>
    <row r="23" spans="1:163" ht="18.75" customHeight="1">
      <c r="A23" s="244" t="s">
        <v>219</v>
      </c>
      <c r="B23" s="247"/>
      <c r="C23" s="228">
        <f t="shared" si="5"/>
        <v>-0.99</v>
      </c>
      <c r="D23" s="229">
        <v>-1</v>
      </c>
      <c r="E23" s="253">
        <f t="shared" si="6"/>
        <v>3.2333728831746011E-3</v>
      </c>
      <c r="F23" s="254">
        <f t="shared" si="7"/>
        <v>-3.393290055529552E-2</v>
      </c>
      <c r="G23" s="253">
        <f t="shared" si="8"/>
        <v>8.0663628097168427E-3</v>
      </c>
      <c r="H23" s="254">
        <f t="shared" si="9"/>
        <v>-4.8329899265422416E-3</v>
      </c>
      <c r="I23" s="253">
        <f t="shared" si="10"/>
        <v>8.5579829520251671E-2</v>
      </c>
      <c r="J23" s="254">
        <f t="shared" si="11"/>
        <v>-0.47353155371206279</v>
      </c>
      <c r="K23" s="253">
        <f t="shared" si="12"/>
        <v>0.31938433779179487</v>
      </c>
      <c r="L23" s="254">
        <f t="shared" si="13"/>
        <v>-0.2338045082715432</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0.11588006516075966</v>
      </c>
      <c r="V23" s="258">
        <f t="shared" si="16"/>
        <v>0.11588006516075966</v>
      </c>
      <c r="W23" s="253">
        <f t="shared" si="38"/>
        <v>0.52770963586260522</v>
      </c>
      <c r="X23" s="258">
        <f t="shared" si="17"/>
        <v>0.52770963586260522</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4</v>
      </c>
      <c r="AT23" s="58">
        <f>VLOOKUP($A23,historia!$A$5:$CM$24,+HLOOKUP(AT$2,historia!$A$3:$EC$4,2,FALSE),FALSE)</f>
        <v>4</v>
      </c>
      <c r="AU23" s="58">
        <f>VLOOKUP($A23,historia!$A$5:$CM$24,+HLOOKUP(AU$2,historia!$A$3:$EC$4,2,FALSE),FALSE)</f>
        <v>4</v>
      </c>
      <c r="AV23" s="58">
        <f>VLOOKUP($A23,historia!$A$5:$CM$24,+HLOOKUP(AV$2,historia!$A$3:$EC$4,2,FALSE),FALSE)</f>
        <v>4</v>
      </c>
      <c r="AW23" s="58">
        <f>VLOOKUP($A23,historia!$A$5:$CM$24,+HLOOKUP(AW$2,historia!$A$3:$EC$4,2,FALSE),FALSE)</f>
        <v>4</v>
      </c>
      <c r="AX23" s="58">
        <f>VLOOKUP($A23,historia!$A$5:$CM$24,+HLOOKUP(AX$2,historia!$A$3:$EC$4,2,FALSE),FALSE)</f>
        <v>4</v>
      </c>
      <c r="AY23" s="58">
        <f>VLOOKUP($A23,historia!$A$5:$CM$24,+HLOOKUP(AY$2,historia!$A$3:$EC$4,2,FALSE),FALSE)</f>
        <v>4</v>
      </c>
      <c r="AZ23" s="58">
        <f>VLOOKUP($A23,historia!$A$5:$CM$24,+HLOOKUP(AZ$2,historia!$A$3:$EC$4,2,FALSE),FALSE)</f>
        <v>4</v>
      </c>
      <c r="BA23" s="58">
        <f>VLOOKUP($A23,historia!$A$5:$CM$24,+HLOOKUP(BA$2,historia!$A$3:$EC$4,2,FALSE),FALSE)</f>
        <v>4</v>
      </c>
      <c r="BB23" s="58"/>
      <c r="BC23" s="286">
        <v>4</v>
      </c>
      <c r="BD23" t="str">
        <f t="shared" si="20"/>
        <v>Vino y Mosto</v>
      </c>
      <c r="BE23">
        <f>+datos!AM1</f>
        <v>39</v>
      </c>
      <c r="BF23" s="2" t="str">
        <f t="shared" si="4"/>
        <v>$/l</v>
      </c>
      <c r="BG23" s="2">
        <f t="shared" si="4"/>
        <v>352.41916200000003</v>
      </c>
      <c r="BH23" s="2">
        <f t="shared" si="4"/>
        <v>351.28333199999997</v>
      </c>
      <c r="BI23" s="2">
        <f t="shared" si="4"/>
        <v>324.63679999999999</v>
      </c>
      <c r="BK23">
        <f>+datos!CP1</f>
        <v>94</v>
      </c>
      <c r="BL23" s="2">
        <f t="shared" si="21"/>
        <v>11124.512624880866</v>
      </c>
      <c r="BM23" s="2">
        <f t="shared" si="21"/>
        <v>11035.496307876245</v>
      </c>
      <c r="BN23" s="2">
        <f t="shared" si="21"/>
        <v>8431.5936654967081</v>
      </c>
      <c r="BP23" s="1">
        <f>+datos!EF1</f>
        <v>136</v>
      </c>
      <c r="BQ23" s="1">
        <f t="shared" si="22"/>
        <v>196220</v>
      </c>
      <c r="BR23" s="1">
        <f t="shared" si="22"/>
        <v>199946</v>
      </c>
      <c r="BT23" s="1">
        <f>+datos!GB1</f>
        <v>184</v>
      </c>
      <c r="BU23" s="1">
        <f t="shared" si="23"/>
        <v>19908335</v>
      </c>
      <c r="BV23" s="1">
        <f t="shared" si="23"/>
        <v>19189740</v>
      </c>
      <c r="BX23" s="1">
        <f>+datos!JU1</f>
        <v>281</v>
      </c>
      <c r="BY23" s="1">
        <f t="shared" si="39"/>
        <v>982.91937013000006</v>
      </c>
      <c r="BZ23" s="1">
        <f t="shared" si="40"/>
        <v>880.84678705000022</v>
      </c>
      <c r="CB23" s="1">
        <f>+datos!KZ1</f>
        <v>312</v>
      </c>
      <c r="CC23" s="2">
        <f t="shared" si="24"/>
        <v>24.20031207000001</v>
      </c>
      <c r="CD23" s="2">
        <f t="shared" si="25"/>
        <v>15.8409108</v>
      </c>
      <c r="CF23" s="1">
        <f>+datos!IQ1</f>
        <v>251</v>
      </c>
      <c r="CG23" s="1">
        <f t="shared" si="26"/>
        <v>16.079999999999998</v>
      </c>
      <c r="CH23" s="1">
        <f t="shared" si="27"/>
        <v>16.3</v>
      </c>
      <c r="CJ23" s="1">
        <f t="shared" si="43"/>
        <v>74.722979570000021</v>
      </c>
      <c r="CK23" s="1">
        <f t="shared" si="43"/>
        <v>63.754065359999977</v>
      </c>
      <c r="CL23" s="1">
        <f t="shared" si="43"/>
        <v>50.923025279999997</v>
      </c>
      <c r="CM23" s="1">
        <f t="shared" si="43"/>
        <v>85.381089520000018</v>
      </c>
      <c r="CN23" s="1">
        <f t="shared" si="43"/>
        <v>87.09478919</v>
      </c>
      <c r="CO23" s="1">
        <f t="shared" si="43"/>
        <v>88.790830600000021</v>
      </c>
      <c r="CP23" s="1">
        <f t="shared" si="43"/>
        <v>106.11166329999998</v>
      </c>
      <c r="CQ23" s="1">
        <f t="shared" si="43"/>
        <v>99.074693340000039</v>
      </c>
      <c r="CR23" s="1">
        <f t="shared" si="43"/>
        <v>115.95052356999999</v>
      </c>
      <c r="CS23" s="1">
        <f t="shared" si="43"/>
        <v>55.887516779999999</v>
      </c>
      <c r="CT23" s="1">
        <f t="shared" si="43"/>
        <v>84.428757199999993</v>
      </c>
      <c r="CU23" s="1">
        <f t="shared" si="43"/>
        <v>70.799436420000006</v>
      </c>
      <c r="CV23" s="1">
        <f t="shared" si="43"/>
        <v>83.547570889999989</v>
      </c>
      <c r="CW23" s="1">
        <f t="shared" si="43"/>
        <v>59.429446169999991</v>
      </c>
      <c r="CX23" s="1">
        <f t="shared" si="43"/>
        <v>57.397509530000008</v>
      </c>
      <c r="CY23" s="1">
        <f t="shared" si="43"/>
        <v>71.762443020000006</v>
      </c>
      <c r="CZ23" s="1">
        <f t="shared" si="44"/>
        <v>76.246675170000003</v>
      </c>
      <c r="DA23" s="1">
        <f t="shared" si="44"/>
        <v>81.396405279999982</v>
      </c>
      <c r="DB23" s="1">
        <f t="shared" si="44"/>
        <v>86.673250950000011</v>
      </c>
      <c r="DC23" s="1">
        <f t="shared" si="44"/>
        <v>67.769583350000005</v>
      </c>
      <c r="DD23" s="1">
        <f t="shared" si="44"/>
        <v>79.411450110000018</v>
      </c>
      <c r="DE23" s="1">
        <f t="shared" si="44"/>
        <v>61.526627820000002</v>
      </c>
      <c r="DF23" s="1">
        <f t="shared" si="44"/>
        <v>82.508437450000031</v>
      </c>
      <c r="DG23" s="1">
        <f t="shared" si="44"/>
        <v>73.17738731</v>
      </c>
      <c r="DI23" s="1">
        <f t="shared" si="45"/>
        <v>3.23844815</v>
      </c>
      <c r="DJ23" s="1">
        <f t="shared" si="45"/>
        <v>1.94679845</v>
      </c>
      <c r="DK23" s="1">
        <f t="shared" si="45"/>
        <v>0.41117072999999998</v>
      </c>
      <c r="DL23" s="1">
        <f t="shared" si="45"/>
        <v>1.6918772199999998</v>
      </c>
      <c r="DM23" s="1">
        <f t="shared" si="45"/>
        <v>4.1008112300000006</v>
      </c>
      <c r="DN23" s="1">
        <f t="shared" si="45"/>
        <v>2.9628047099999995</v>
      </c>
      <c r="DO23" s="1">
        <f t="shared" si="45"/>
        <v>2.4415022799999999</v>
      </c>
      <c r="DP23" s="1">
        <f t="shared" si="45"/>
        <v>2.4186424700000004</v>
      </c>
      <c r="DQ23" s="1">
        <f t="shared" si="45"/>
        <v>2.3161338599999999</v>
      </c>
      <c r="DR23" s="1">
        <f t="shared" si="45"/>
        <v>0.34545517000000003</v>
      </c>
      <c r="DS23" s="1">
        <f t="shared" si="45"/>
        <v>1.3068112300000001</v>
      </c>
      <c r="DT23" s="1">
        <f t="shared" si="45"/>
        <v>1.01985657</v>
      </c>
      <c r="DU23" s="1">
        <f t="shared" si="45"/>
        <v>0.49471243999999998</v>
      </c>
      <c r="DV23" s="1">
        <f t="shared" si="45"/>
        <v>0.76659119999999992</v>
      </c>
      <c r="DW23" s="1">
        <f t="shared" si="45"/>
        <v>0.41683354000000006</v>
      </c>
      <c r="DX23" s="1">
        <f t="shared" si="45"/>
        <v>1.01193058</v>
      </c>
      <c r="DY23" s="1">
        <f t="shared" si="41"/>
        <v>1.2280305999999999</v>
      </c>
      <c r="DZ23" s="1">
        <f t="shared" si="41"/>
        <v>1.7214946800000002</v>
      </c>
      <c r="EA23" s="1">
        <f t="shared" si="41"/>
        <v>1.3147188099999998</v>
      </c>
      <c r="EB23" s="1">
        <f t="shared" si="41"/>
        <v>1.8704580099999999</v>
      </c>
      <c r="EC23" s="1">
        <f t="shared" si="41"/>
        <v>1.2166211999999998</v>
      </c>
      <c r="ED23" s="1">
        <f t="shared" si="41"/>
        <v>1.2618213600000001</v>
      </c>
      <c r="EE23" s="1">
        <f t="shared" si="41"/>
        <v>2.6711612799999997</v>
      </c>
      <c r="EF23" s="1">
        <f t="shared" si="41"/>
        <v>1.8665371000000002</v>
      </c>
      <c r="EH23" s="14">
        <f t="shared" si="46"/>
        <v>16.079999999999998</v>
      </c>
      <c r="EI23" s="14">
        <f t="shared" si="46"/>
        <v>16.079999999999998</v>
      </c>
      <c r="EJ23" s="1">
        <f t="shared" si="46"/>
        <v>16.079999999999998</v>
      </c>
      <c r="EK23" s="1">
        <f t="shared" si="46"/>
        <v>16.3</v>
      </c>
      <c r="EL23" s="1">
        <f t="shared" si="46"/>
        <v>16.3</v>
      </c>
      <c r="EM23" s="1">
        <f t="shared" si="46"/>
        <v>16.3</v>
      </c>
      <c r="EN23" s="1">
        <f t="shared" si="46"/>
        <v>16.3</v>
      </c>
      <c r="EO23" s="1">
        <f t="shared" si="46"/>
        <v>16.3</v>
      </c>
      <c r="EP23" s="1">
        <f t="shared" si="46"/>
        <v>16.3</v>
      </c>
      <c r="EQ23" s="1">
        <f t="shared" si="46"/>
        <v>16.3</v>
      </c>
      <c r="ER23" s="1">
        <f t="shared" si="46"/>
        <v>16.3</v>
      </c>
      <c r="ES23" s="1">
        <f t="shared" si="46"/>
        <v>16.3</v>
      </c>
      <c r="ET23" s="1">
        <f t="shared" si="46"/>
        <v>16.3</v>
      </c>
      <c r="EU23" s="1">
        <f t="shared" si="46"/>
        <v>16.3</v>
      </c>
      <c r="EV23" s="1">
        <f t="shared" si="46"/>
        <v>16.3</v>
      </c>
      <c r="EW23" s="1">
        <f t="shared" si="46"/>
        <v>16.7</v>
      </c>
      <c r="EX23" s="1">
        <f t="shared" si="42"/>
        <v>16.7</v>
      </c>
      <c r="EY23" s="1">
        <f t="shared" si="42"/>
        <v>16.7</v>
      </c>
      <c r="EZ23" s="1">
        <f t="shared" si="42"/>
        <v>16.7</v>
      </c>
      <c r="FA23" s="1">
        <f t="shared" si="42"/>
        <v>16.7</v>
      </c>
      <c r="FB23" s="1">
        <f t="shared" si="42"/>
        <v>16.7</v>
      </c>
      <c r="FC23" s="1">
        <f t="shared" si="42"/>
        <v>16.7</v>
      </c>
      <c r="FD23" s="1">
        <f t="shared" si="42"/>
        <v>16.7</v>
      </c>
      <c r="FE23" s="1">
        <f t="shared" si="42"/>
        <v>16.7</v>
      </c>
      <c r="FG23" s="162">
        <f t="shared" si="34"/>
        <v>-0.2338045082715432</v>
      </c>
    </row>
    <row r="24" spans="1:163" ht="18.75" customHeight="1">
      <c r="A24" s="243" t="s">
        <v>39</v>
      </c>
      <c r="B24" s="246"/>
      <c r="C24" s="156">
        <f t="shared" si="5"/>
        <v>-0.65999999999999992</v>
      </c>
      <c r="D24" s="198">
        <v>-3</v>
      </c>
      <c r="E24" s="248">
        <f t="shared" si="6"/>
        <v>-5.0000000000000044E-2</v>
      </c>
      <c r="F24" s="249">
        <f t="shared" si="7"/>
        <v>-8.7166273438470165E-2</v>
      </c>
      <c r="G24" s="248">
        <f t="shared" si="8"/>
        <v>2.445124783750563E-2</v>
      </c>
      <c r="H24" s="249">
        <f t="shared" si="9"/>
        <v>-7.4451247837505674E-2</v>
      </c>
      <c r="I24" s="248">
        <f t="shared" si="10"/>
        <v>-0.22972972972972971</v>
      </c>
      <c r="J24" s="249">
        <f t="shared" si="11"/>
        <v>-0.78884111296204418</v>
      </c>
      <c r="K24" s="248">
        <f t="shared" si="12"/>
        <v>0.48327046712338206</v>
      </c>
      <c r="L24" s="249">
        <f t="shared" si="13"/>
        <v>-0.71300019685311178</v>
      </c>
      <c r="M24" s="250"/>
      <c r="N24" s="24">
        <v>1</v>
      </c>
      <c r="O24" s="248">
        <f t="shared" si="35"/>
        <v>4.7599193940657258E-3</v>
      </c>
      <c r="P24" s="251">
        <f t="shared" si="36"/>
        <v>4.7599193940657258E-3</v>
      </c>
      <c r="Q24" s="248">
        <f t="shared" si="14"/>
        <v>8.1730323202061195E-2</v>
      </c>
      <c r="R24" s="251">
        <f t="shared" si="37"/>
        <v>8.1730323202061195E-2</v>
      </c>
      <c r="S24" s="250"/>
      <c r="T24" s="24">
        <v>0</v>
      </c>
      <c r="U24" s="248">
        <f t="shared" si="15"/>
        <v>-1.463222549274501E-2</v>
      </c>
      <c r="V24" s="252">
        <f t="shared" si="16"/>
        <v>-1.463222549274501E-2</v>
      </c>
      <c r="W24" s="248">
        <f t="shared" si="38"/>
        <v>2.9864544806219584E-2</v>
      </c>
      <c r="X24" s="258">
        <f t="shared" si="17"/>
        <v>2.9864544806219584E-2</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f>VLOOKUP($A24,historia!$A$5:$CM$24,+HLOOKUP(AY$2,historia!$A$3:$EC$4,2,FALSE),FALSE)</f>
        <v>4</v>
      </c>
      <c r="AZ24" s="58">
        <f>VLOOKUP($A24,historia!$A$5:$CM$24,+HLOOKUP(AZ$2,historia!$A$3:$EC$4,2,FALSE),FALSE)</f>
        <v>4</v>
      </c>
      <c r="BA24" s="58">
        <f>VLOOKUP($A24,historia!$A$5:$CM$24,+HLOOKUP(BA$2,historia!$A$3:$EC$4,2,FALSE),FALSE)</f>
        <v>4</v>
      </c>
      <c r="BB24" s="58"/>
      <c r="BC24" s="286">
        <v>4</v>
      </c>
      <c r="BD24" t="str">
        <f t="shared" si="20"/>
        <v>Yerba Mate</v>
      </c>
      <c r="BE24">
        <f>+datos!AG1</f>
        <v>33</v>
      </c>
      <c r="BF24" s="2" t="str">
        <f t="shared" si="4"/>
        <v>$/t</v>
      </c>
      <c r="BG24" s="2">
        <f t="shared" si="4"/>
        <v>285000</v>
      </c>
      <c r="BH24" s="2">
        <f t="shared" si="4"/>
        <v>300000</v>
      </c>
      <c r="BI24" s="2">
        <f t="shared" si="4"/>
        <v>370000</v>
      </c>
      <c r="BK24">
        <f>+datos!CY1</f>
        <v>103</v>
      </c>
      <c r="BL24" s="2">
        <f t="shared" si="21"/>
        <v>9957.273842636605</v>
      </c>
      <c r="BM24" s="2">
        <f t="shared" si="21"/>
        <v>9719.6170766107443</v>
      </c>
      <c r="BN24" s="2">
        <f t="shared" si="21"/>
        <v>6713.0533933892011</v>
      </c>
      <c r="BP24" s="1">
        <f>+datos!ED1</f>
        <v>134</v>
      </c>
      <c r="BQ24" s="1">
        <f t="shared" si="22"/>
        <v>231352</v>
      </c>
      <c r="BR24" s="1">
        <f t="shared" si="22"/>
        <v>230256</v>
      </c>
      <c r="BT24" s="1">
        <f>+datos!FZ1</f>
        <v>182</v>
      </c>
      <c r="BU24" s="1">
        <f t="shared" si="23"/>
        <v>915298</v>
      </c>
      <c r="BV24" s="1">
        <f t="shared" si="23"/>
        <v>846142.5</v>
      </c>
      <c r="BX24" s="1">
        <f>+datos!KD1</f>
        <v>290</v>
      </c>
      <c r="BY24" s="1">
        <f t="shared" si="39"/>
        <v>112.54749397999998</v>
      </c>
      <c r="BZ24" s="1">
        <f t="shared" si="40"/>
        <v>114.21876876</v>
      </c>
      <c r="CB24" s="1">
        <f>+datos!LI1</f>
        <v>321</v>
      </c>
      <c r="CC24" s="2">
        <f t="shared" si="24"/>
        <v>21.052279119999998</v>
      </c>
      <c r="CD24" s="2">
        <f t="shared" si="25"/>
        <v>20.441794239999997</v>
      </c>
      <c r="CF24" s="1">
        <f>+datos!IP1</f>
        <v>250</v>
      </c>
      <c r="CG24" s="1">
        <f t="shared" si="26"/>
        <v>5.7424738987207355</v>
      </c>
      <c r="CH24" s="1">
        <f t="shared" si="27"/>
        <v>5.5693606783423002</v>
      </c>
      <c r="CJ24" s="1">
        <f t="shared" si="43"/>
        <v>7.8719914600000003</v>
      </c>
      <c r="CK24" s="1">
        <f t="shared" si="43"/>
        <v>9.8166064800000008</v>
      </c>
      <c r="CL24" s="1">
        <f t="shared" si="43"/>
        <v>7.1690497699999991</v>
      </c>
      <c r="CM24" s="1">
        <f t="shared" si="43"/>
        <v>10.805856030000001</v>
      </c>
      <c r="CN24" s="1">
        <f t="shared" si="43"/>
        <v>10.476429469999998</v>
      </c>
      <c r="CO24" s="1">
        <f t="shared" si="43"/>
        <v>11.361751129999998</v>
      </c>
      <c r="CP24" s="1">
        <f t="shared" si="43"/>
        <v>10.05873476</v>
      </c>
      <c r="CQ24" s="1">
        <f t="shared" si="43"/>
        <v>9.4659040999999995</v>
      </c>
      <c r="CR24" s="1">
        <f t="shared" si="43"/>
        <v>8.3006057400000017</v>
      </c>
      <c r="CS24" s="1">
        <f t="shared" si="43"/>
        <v>11.077079630000002</v>
      </c>
      <c r="CT24" s="1">
        <f t="shared" si="43"/>
        <v>7.2906957700000001</v>
      </c>
      <c r="CU24" s="1">
        <f t="shared" si="43"/>
        <v>8.852789640000001</v>
      </c>
      <c r="CV24" s="1">
        <f t="shared" si="43"/>
        <v>12.408222910000001</v>
      </c>
      <c r="CW24" s="1">
        <f t="shared" si="43"/>
        <v>8.8663402400000013</v>
      </c>
      <c r="CX24" s="1">
        <f t="shared" si="43"/>
        <v>9.2397224899999983</v>
      </c>
      <c r="CY24" s="1">
        <f t="shared" si="43"/>
        <v>7.1224329199999996</v>
      </c>
      <c r="CZ24" s="1">
        <f t="shared" si="44"/>
        <v>8.6156523299999996</v>
      </c>
      <c r="DA24" s="1">
        <f t="shared" si="44"/>
        <v>10.17972451</v>
      </c>
      <c r="DB24" s="1">
        <f t="shared" si="44"/>
        <v>11.833514059999999</v>
      </c>
      <c r="DC24" s="1">
        <f t="shared" si="44"/>
        <v>8.6649559600000003</v>
      </c>
      <c r="DD24" s="1">
        <f t="shared" si="44"/>
        <v>8.6995030900000003</v>
      </c>
      <c r="DE24" s="1">
        <f t="shared" si="44"/>
        <v>9.3876240000000006</v>
      </c>
      <c r="DF24" s="1">
        <f t="shared" si="44"/>
        <v>8.6499339499999994</v>
      </c>
      <c r="DG24" s="1">
        <f t="shared" si="44"/>
        <v>10.5511423</v>
      </c>
      <c r="DI24" s="1">
        <f t="shared" si="45"/>
        <v>2.4041640299999996</v>
      </c>
      <c r="DJ24" s="1">
        <f t="shared" si="45"/>
        <v>2.0218665100000002</v>
      </c>
      <c r="DK24" s="1">
        <f t="shared" si="45"/>
        <v>1.1839526999999999</v>
      </c>
      <c r="DL24" s="1">
        <f t="shared" si="45"/>
        <v>1.1744757299999999</v>
      </c>
      <c r="DM24" s="1">
        <f t="shared" si="45"/>
        <v>2.1750064099999999</v>
      </c>
      <c r="DN24" s="1">
        <f t="shared" si="45"/>
        <v>2.6101839400000002</v>
      </c>
      <c r="DO24" s="1">
        <f t="shared" si="45"/>
        <v>1.2494588400000002</v>
      </c>
      <c r="DP24" s="1">
        <f t="shared" si="45"/>
        <v>0.60028256999999996</v>
      </c>
      <c r="DQ24" s="1">
        <f t="shared" si="45"/>
        <v>1.7316709800000001</v>
      </c>
      <c r="DR24" s="1">
        <f t="shared" si="45"/>
        <v>1.1554743999999999</v>
      </c>
      <c r="DS24" s="1">
        <f t="shared" si="45"/>
        <v>1.50586095</v>
      </c>
      <c r="DT24" s="1">
        <f t="shared" si="45"/>
        <v>3.2398820599999998</v>
      </c>
      <c r="DU24" s="1">
        <f t="shared" si="45"/>
        <v>3.1775986299999999</v>
      </c>
      <c r="DV24" s="1">
        <f t="shared" si="45"/>
        <v>2.4176205400000002</v>
      </c>
      <c r="DW24" s="1">
        <f t="shared" si="45"/>
        <v>1.0621514699999999</v>
      </c>
      <c r="DX24" s="1">
        <f t="shared" si="45"/>
        <v>1.8796713600000001</v>
      </c>
      <c r="DY24" s="1">
        <f t="shared" si="41"/>
        <v>2.4189343299999999</v>
      </c>
      <c r="DZ24" s="1">
        <f t="shared" si="41"/>
        <v>2.31537419</v>
      </c>
      <c r="EA24" s="1">
        <f t="shared" si="41"/>
        <v>1.6581343500000001</v>
      </c>
      <c r="EB24" s="1">
        <f t="shared" si="41"/>
        <v>1.1317222</v>
      </c>
      <c r="EC24" s="1">
        <f t="shared" si="41"/>
        <v>1.25031731</v>
      </c>
      <c r="ED24" s="1">
        <f t="shared" si="41"/>
        <v>1.1220479999999999</v>
      </c>
      <c r="EE24" s="1">
        <f t="shared" si="41"/>
        <v>1.06290057</v>
      </c>
      <c r="EF24" s="1">
        <f t="shared" si="41"/>
        <v>0.94532128999999998</v>
      </c>
      <c r="EH24" s="14">
        <f t="shared" si="46"/>
        <v>5.7424738987207355</v>
      </c>
      <c r="EI24" s="14">
        <f t="shared" si="46"/>
        <v>5.7424738987207355</v>
      </c>
      <c r="EJ24" s="1">
        <f t="shared" si="46"/>
        <v>5.7424738987207355</v>
      </c>
      <c r="EK24" s="1">
        <f t="shared" si="46"/>
        <v>5.5693606783423002</v>
      </c>
      <c r="EL24" s="1">
        <f t="shared" si="46"/>
        <v>5.5693606783423002</v>
      </c>
      <c r="EM24" s="1">
        <f t="shared" si="46"/>
        <v>5.5693606783423002</v>
      </c>
      <c r="EN24" s="1">
        <f t="shared" si="46"/>
        <v>5.5693606783423002</v>
      </c>
      <c r="EO24" s="1">
        <f t="shared" si="46"/>
        <v>5.5693606783423002</v>
      </c>
      <c r="EP24" s="1">
        <f t="shared" si="46"/>
        <v>5.5693606783423002</v>
      </c>
      <c r="EQ24" s="1">
        <f t="shared" si="46"/>
        <v>5.5693606783423002</v>
      </c>
      <c r="ER24" s="1">
        <f t="shared" si="46"/>
        <v>5.5693606783423002</v>
      </c>
      <c r="ES24" s="1">
        <f t="shared" si="46"/>
        <v>5.5693606783423002</v>
      </c>
      <c r="ET24" s="1">
        <f t="shared" si="46"/>
        <v>5.5693606783423002</v>
      </c>
      <c r="EU24" s="1">
        <f t="shared" si="46"/>
        <v>5.5693606783423002</v>
      </c>
      <c r="EV24" s="1">
        <f t="shared" si="46"/>
        <v>5.5693606783423002</v>
      </c>
      <c r="EW24" s="1">
        <f t="shared" si="46"/>
        <v>6.139895208369488</v>
      </c>
      <c r="EX24" s="1">
        <f t="shared" si="42"/>
        <v>6.139895208369488</v>
      </c>
      <c r="EY24" s="1">
        <f t="shared" si="42"/>
        <v>6.139895208369488</v>
      </c>
      <c r="EZ24" s="1">
        <f t="shared" si="42"/>
        <v>6.139895208369488</v>
      </c>
      <c r="FA24" s="1">
        <f t="shared" si="42"/>
        <v>6.139895208369488</v>
      </c>
      <c r="FB24" s="1">
        <f t="shared" si="42"/>
        <v>6.139895208369488</v>
      </c>
      <c r="FC24" s="1">
        <f t="shared" si="42"/>
        <v>6.139895208369488</v>
      </c>
      <c r="FD24" s="1">
        <f t="shared" si="42"/>
        <v>6.139895208369488</v>
      </c>
      <c r="FE24" s="1">
        <f t="shared" si="42"/>
        <v>6.139895208369488</v>
      </c>
      <c r="FG24" s="162">
        <f t="shared" si="34"/>
        <v>-0.71300019685311178</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T25" s="58"/>
      <c r="AU25" s="58"/>
      <c r="AV25" s="58"/>
      <c r="AW25" s="58"/>
      <c r="AX25" s="58"/>
      <c r="AY25" s="58">
        <v>4</v>
      </c>
      <c r="AZ25" s="58"/>
      <c r="BA25" s="58"/>
      <c r="BB25" s="58"/>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E26" s="12">
        <f>+AVERAGE(E6:E24)</f>
        <v>7.778998320556807E-2</v>
      </c>
      <c r="F26" s="37">
        <f>+E26-$I$3</f>
        <v>-0.48132140002674639</v>
      </c>
      <c r="G26" s="12">
        <f>+AVERAGE(G6:G24)</f>
        <v>1.5647650418677345E-2</v>
      </c>
      <c r="I26" s="12" t="e">
        <f>+AVERAGEIF(I6:I24,"&gt;211%")</f>
        <v>#DIV/0!</v>
      </c>
      <c r="J26" s="37" t="e">
        <f t="shared" si="11"/>
        <v>#DIV/0!</v>
      </c>
      <c r="K26" s="12">
        <f>+AVERAGE(K6:K24)</f>
        <v>0.38351850325862119</v>
      </c>
      <c r="O26" s="12">
        <f>+AVERAGE(O6:O24)</f>
        <v>3.9944774494445029E-2</v>
      </c>
      <c r="AB26" s="57"/>
    </row>
    <row r="27" spans="1:163" ht="18.75" customHeight="1">
      <c r="I27" s="12">
        <f>+AVERAGEIF(I6:I24,"&lt;211%")</f>
        <v>0.26708647169832067</v>
      </c>
      <c r="K27" s="177">
        <f>+SUBTOTAL(101,K6:K21)</f>
        <v>0.3753014323971654</v>
      </c>
      <c r="V27" t="s">
        <v>167</v>
      </c>
      <c r="X27" s="162"/>
      <c r="BC27" s="141" t="s">
        <v>273</v>
      </c>
      <c r="BQ27" s="1">
        <f>+SUM(BQ6:BQ24)</f>
        <v>115090781</v>
      </c>
      <c r="BR27" s="1">
        <f>+SUM(BR6:BR24)</f>
        <v>114115159</v>
      </c>
      <c r="BU27" s="1">
        <f>+SUM(BU6:BU24)</f>
        <v>165188993.39020419</v>
      </c>
      <c r="BV27" s="1">
        <f>+SUM(BV6:BV24)</f>
        <v>144242395.46258402</v>
      </c>
      <c r="BY27" s="1">
        <f>+SUM(BY6:BY24)</f>
        <v>54142.332231680004</v>
      </c>
      <c r="BZ27" s="1">
        <f>+SUM(BZ6:BZ24)</f>
        <v>49077.588299630013</v>
      </c>
      <c r="CC27" s="1">
        <f>+SUM(CC6:CC24)</f>
        <v>3559.1246063500007</v>
      </c>
      <c r="CD27" s="1">
        <f>+SUM(CD6:CD24)</f>
        <v>5702.89062724</v>
      </c>
      <c r="FG27" s="167">
        <f>+COUNTIF(FG6:FG24,"&gt;0")</f>
        <v>6</v>
      </c>
    </row>
    <row r="28" spans="1:163" ht="18.75" customHeight="1">
      <c r="A28" s="11">
        <f>+COUNTIF($C$6:$C$24,"&lt;0")</f>
        <v>10</v>
      </c>
      <c r="C28" s="156">
        <v>-1</v>
      </c>
      <c r="E28" s="167">
        <f>+COUNTIF($I$6:$I$24,"&lt;1,69")</f>
        <v>19</v>
      </c>
      <c r="F28" s="29">
        <v>-1</v>
      </c>
      <c r="I28" s="167">
        <f>+COUNTIF($I$6:$I$24,"&lt;1,69")</f>
        <v>19</v>
      </c>
      <c r="J28" s="29">
        <v>-1</v>
      </c>
      <c r="K28">
        <f>+COUNTIF($L$6:$L$24,"&lt;0")</f>
        <v>13</v>
      </c>
      <c r="L28" s="29">
        <v>-1</v>
      </c>
      <c r="O28">
        <f>+COUNTIF($P$6:$P$24,"&lt;0")</f>
        <v>6</v>
      </c>
      <c r="P28" s="262">
        <v>-1</v>
      </c>
      <c r="Q28">
        <f>+COUNTIF($R$6:$R$24,"&lt;0")</f>
        <v>4</v>
      </c>
      <c r="R28" s="262">
        <v>-1</v>
      </c>
      <c r="T28" s="57">
        <f>+COUNTIF($U$6:$U$24,"&lt;0")</f>
        <v>5</v>
      </c>
      <c r="U28" s="29">
        <v>-1</v>
      </c>
      <c r="BR28" t="s">
        <v>491</v>
      </c>
      <c r="BU28" s="167">
        <f>+SUMIFS(BU6:BU24,BC6:BC24,5)+SUMIFS(BU6:BU24,BC6:BC24,4)</f>
        <v>25945323</v>
      </c>
      <c r="BY28" s="10">
        <f>+BY27/BZ27-1</f>
        <v>0.10319871264106451</v>
      </c>
      <c r="CC28" s="10">
        <f>+CC27/CD27-1</f>
        <v>-0.37590866825505076</v>
      </c>
    </row>
    <row r="29" spans="1:163" ht="18.75" customHeight="1">
      <c r="A29" s="11">
        <f>+COUNTIF($C$6:$C$24,C29)</f>
        <v>8</v>
      </c>
      <c r="C29" s="156">
        <v>0</v>
      </c>
      <c r="E29" s="167">
        <f>+COUNTIF($I$6:$I$24,"=1,69")</f>
        <v>0</v>
      </c>
      <c r="F29" s="29">
        <v>0</v>
      </c>
      <c r="I29" s="167">
        <f>+COUNTIF($I$6:$I$24,"=1,69")</f>
        <v>0</v>
      </c>
      <c r="J29" s="29">
        <v>0</v>
      </c>
      <c r="L29" s="29">
        <v>0</v>
      </c>
      <c r="O29">
        <f>+COUNTIF($P$6:$P$24,"=0")</f>
        <v>3</v>
      </c>
      <c r="P29" s="262">
        <v>0</v>
      </c>
      <c r="Q29">
        <f>+COUNTIF($R$6:$R$24,"=0")</f>
        <v>3</v>
      </c>
      <c r="R29" s="262">
        <v>0</v>
      </c>
      <c r="T29" s="57">
        <f>+COUNTIF($U$6:$U$24,"=0")</f>
        <v>0</v>
      </c>
      <c r="U29" s="29">
        <v>0</v>
      </c>
      <c r="BR29" t="s">
        <v>492</v>
      </c>
      <c r="BU29" s="167">
        <f>+SUMIFS(BU6:BU24,BC6:BC24,3)</f>
        <v>136053604.73020416</v>
      </c>
    </row>
    <row r="30" spans="1:163" ht="18.75" customHeight="1">
      <c r="A30" s="11">
        <f>+COUNTIF($C$6:$C$24,"&gt;0")</f>
        <v>1</v>
      </c>
      <c r="C30" s="156">
        <v>1</v>
      </c>
      <c r="E30" s="167">
        <f>+COUNTIF($I$6:$I$24,"&gt;1,69")</f>
        <v>0</v>
      </c>
      <c r="F30" s="29">
        <v>1</v>
      </c>
      <c r="I30" s="167">
        <f>+COUNTIF($I$6:$I$24,"&gt;1,69")</f>
        <v>0</v>
      </c>
      <c r="J30" s="29">
        <v>1</v>
      </c>
      <c r="K30">
        <f>+COUNTIF($L$6:$L$24,"&gt;0")</f>
        <v>6</v>
      </c>
      <c r="L30" s="29">
        <v>1</v>
      </c>
      <c r="O30">
        <f>+COUNTIF($P$6:$P$24,"&gt;0")</f>
        <v>9</v>
      </c>
      <c r="P30" s="262">
        <v>1</v>
      </c>
      <c r="Q30">
        <f>+COUNTIF($R$6:$R$24,"&gt;0")</f>
        <v>12</v>
      </c>
      <c r="R30" s="262">
        <v>1</v>
      </c>
      <c r="T30" s="57">
        <f>+COUNTIF($U$6:$U$24,"&gt;0")</f>
        <v>13</v>
      </c>
      <c r="U30" s="29">
        <v>1</v>
      </c>
      <c r="X30" s="14"/>
      <c r="BR30" t="s">
        <v>493</v>
      </c>
      <c r="BU30" s="167">
        <f>+SUMIFS(BU6:BU24,BC6:BC24,1)+SUMIFS(BU6:BU24,BC6:BC24,2)</f>
        <v>3190065.66</v>
      </c>
      <c r="BX30" s="1"/>
    </row>
    <row r="31" spans="1:163" ht="18.75" customHeight="1">
      <c r="K31" s="12"/>
    </row>
    <row r="32" spans="1:163" ht="18.75" customHeight="1">
      <c r="C32" s="157"/>
      <c r="I32" s="14">
        <f>+COUNTIF(I6:I24,"&gt;211%")</f>
        <v>0</v>
      </c>
      <c r="J32" s="14"/>
      <c r="K32" s="14"/>
      <c r="Y32" s="163"/>
    </row>
    <row r="33" spans="1:164" ht="18.75" customHeight="1">
      <c r="C33" s="157"/>
      <c r="I33" s="12" t="e">
        <f>+I26/2</f>
        <v>#DIV/0!</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137" priority="53">
      <formula>AP6=0</formula>
    </cfRule>
    <cfRule type="expression" dxfId="136" priority="48">
      <formula>AP6=3</formula>
    </cfRule>
    <cfRule type="expression" dxfId="135" priority="49">
      <formula>AP6=5</formula>
    </cfRule>
    <cfRule type="expression" dxfId="134" priority="50">
      <formula>AP6=4</formula>
    </cfRule>
    <cfRule type="expression" dxfId="133" priority="51">
      <formula>AP6=2</formula>
    </cfRule>
    <cfRule type="expression" dxfId="132" priority="52">
      <formula>AP6=1</formula>
    </cfRule>
  </conditionalFormatting>
  <conditionalFormatting sqref="AN6:AN25">
    <cfRule type="expression" dxfId="131" priority="65">
      <formula>BA6=0</formula>
    </cfRule>
    <cfRule type="expression" dxfId="130" priority="60">
      <formula>BA6=3</formula>
    </cfRule>
    <cfRule type="expression" dxfId="129" priority="61">
      <formula>BA6=5</formula>
    </cfRule>
    <cfRule type="expression" dxfId="128" priority="62">
      <formula>BA6=4</formula>
    </cfRule>
    <cfRule type="expression" dxfId="127" priority="63">
      <formula>BA6=2</formula>
    </cfRule>
    <cfRule type="expression" dxfId="126" priority="64">
      <formula>BA6=1</formula>
    </cfRule>
  </conditionalFormatting>
  <conditionalFormatting sqref="AO6:AO25">
    <cfRule type="expression" dxfId="125" priority="54">
      <formula>#REF!=3</formula>
    </cfRule>
    <cfRule type="expression" dxfId="124" priority="55">
      <formula>#REF!=5</formula>
    </cfRule>
    <cfRule type="expression" dxfId="123" priority="56">
      <formula>#REF!=4</formula>
    </cfRule>
    <cfRule type="expression" dxfId="122" priority="58">
      <formula>#REF!=1</formula>
    </cfRule>
    <cfRule type="expression" dxfId="121" priority="59">
      <formula>#REF!=0</formula>
    </cfRule>
    <cfRule type="expression" dxfId="120" priority="57">
      <formula>#REF!=2</formula>
    </cfRule>
  </conditionalFormatting>
  <conditionalFormatting sqref="FG6:FG25 FG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76270B87-DE94-4D1C-B6F0-A6E7110E9028}">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D6C7BA03-D5D0-45F3-A659-107A28659B41}">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4B61139C-C028-4009-8E01-000C2DD9C6D3}">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AA97C-90AC-4F6E-8F22-1C193BA64D44}">
  <sheetPr>
    <tabColor theme="5" tint="-0.249977111117893"/>
    <pageSetUpPr fitToPage="1"/>
  </sheetPr>
  <dimension ref="A1:FH47"/>
  <sheetViews>
    <sheetView showGridLines="0" zoomScale="70" zoomScaleNormal="70" workbookViewId="0">
      <selection activeCell="BA2" sqref="BA2"/>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3" style="57" customWidth="1"/>
    <col min="42" max="42" width="5.33203125" style="28" hidden="1" customWidth="1"/>
    <col min="43" max="43" width="6" style="28" hidden="1" customWidth="1"/>
    <col min="44" max="44" width="5.33203125" style="28" hidden="1" customWidth="1"/>
    <col min="45" max="45" width="8.5546875" style="28" hidden="1" customWidth="1"/>
    <col min="46" max="46" width="5.5546875" hidden="1" customWidth="1"/>
    <col min="47" max="47" width="6.33203125" hidden="1" customWidth="1"/>
    <col min="48" max="48" width="6.88671875" hidden="1" customWidth="1"/>
    <col min="49" max="51" width="6.33203125" hidden="1" customWidth="1"/>
    <col min="52" max="52" width="5.6640625" hidden="1" customWidth="1"/>
    <col min="53" max="53" width="7.44140625" hidden="1" customWidth="1"/>
    <col min="54" max="54" width="7.44140625" customWidth="1"/>
    <col min="55" max="55" width="11.664062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45689</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f>+A1</f>
        <v>45689</v>
      </c>
      <c r="BH1" s="3">
        <f>+VLOOKUP(BH2,datos!$D:$E,2,FALSE)</f>
        <v>45658</v>
      </c>
      <c r="BI1" s="3">
        <f>+VLOOKUP(BI2,datos!$D:$E,2,FALSE)</f>
        <v>45323</v>
      </c>
      <c r="BL1" s="3">
        <f>+A1</f>
        <v>45689</v>
      </c>
      <c r="BM1" s="3">
        <f>+VLOOKUP(BM2,datos!$D:$E,2,FALSE)</f>
        <v>45658</v>
      </c>
      <c r="BN1" s="3">
        <f>+VLOOKUP(BN2,datos!$D:$E,2,FALSE)</f>
        <v>45323</v>
      </c>
      <c r="BQ1" s="3">
        <f>+A1</f>
        <v>45689</v>
      </c>
      <c r="BR1" s="3">
        <f>+VLOOKUP(BR2,datos!$D:$E,2,FALSE)</f>
        <v>45323</v>
      </c>
      <c r="BU1" s="3">
        <f>+A1</f>
        <v>45689</v>
      </c>
      <c r="BV1" s="3">
        <f>+VLOOKUP(BV2,datos!$D:$E,2,FALSE)</f>
        <v>45323</v>
      </c>
      <c r="BY1" t="s">
        <v>279</v>
      </c>
      <c r="BZ1" t="s">
        <v>280</v>
      </c>
      <c r="CC1" t="s">
        <v>279</v>
      </c>
      <c r="CD1" t="s">
        <v>280</v>
      </c>
      <c r="CG1" t="s">
        <v>282</v>
      </c>
      <c r="CH1" t="s">
        <v>283</v>
      </c>
      <c r="CI1" s="3">
        <f>+A1</f>
        <v>45689</v>
      </c>
      <c r="CJ1" s="3">
        <f>+VLOOKUP(CJ2,datos!$D:$E,2,FALSE)</f>
        <v>45689</v>
      </c>
      <c r="CK1" s="3">
        <f>+VLOOKUP(CK2,datos!$D:$E,2,FALSE)</f>
        <v>45658</v>
      </c>
      <c r="CL1" s="3">
        <f>+VLOOKUP(CL2,datos!$D:$E,2,FALSE)</f>
        <v>45627</v>
      </c>
      <c r="CM1" s="3">
        <f>+VLOOKUP(CM2,datos!$D:$E,2,FALSE)</f>
        <v>45597</v>
      </c>
      <c r="CN1" s="3">
        <f>+VLOOKUP(CN2,datos!$D:$E,2,FALSE)</f>
        <v>45566</v>
      </c>
      <c r="CO1" s="3">
        <f>+VLOOKUP(CO2,datos!$D:$E,2,FALSE)</f>
        <v>45536</v>
      </c>
      <c r="CP1" s="3">
        <f>+VLOOKUP(CP2,datos!$D:$E,2,FALSE)</f>
        <v>45505</v>
      </c>
      <c r="CQ1" s="3">
        <f>+VLOOKUP(CQ2,datos!$D:$E,2,FALSE)</f>
        <v>45474</v>
      </c>
      <c r="CR1" s="3">
        <f>+VLOOKUP(CR2,datos!$D:$E,2,FALSE)</f>
        <v>45444</v>
      </c>
      <c r="CS1" s="3">
        <f>+VLOOKUP(CS2,datos!$D:$E,2,FALSE)</f>
        <v>45413</v>
      </c>
      <c r="CT1" s="3">
        <f>+VLOOKUP(CT2,datos!$D:$E,2,FALSE)</f>
        <v>45383</v>
      </c>
      <c r="CU1" s="3">
        <f>+VLOOKUP(CU2,datos!$D:$E,2,FALSE)</f>
        <v>45352</v>
      </c>
      <c r="CV1" s="3">
        <f>+VLOOKUP(CV2,datos!$D:$E,2,FALSE)</f>
        <v>45323</v>
      </c>
      <c r="CW1" s="3">
        <f>+VLOOKUP(CW2,datos!$D:$E,2,FALSE)</f>
        <v>45292</v>
      </c>
      <c r="CX1" s="3">
        <f>+VLOOKUP(CX2,datos!$D:$E,2,FALSE)</f>
        <v>45261</v>
      </c>
      <c r="CY1" s="3">
        <f>+VLOOKUP(CY2,datos!$D:$E,2,FALSE)</f>
        <v>45231</v>
      </c>
      <c r="CZ1" s="3">
        <f>+VLOOKUP(CZ2,datos!$D:$E,2,FALSE)</f>
        <v>45200</v>
      </c>
      <c r="DA1" s="3">
        <f>+VLOOKUP(DA2,datos!$D:$E,2,FALSE)</f>
        <v>45170</v>
      </c>
      <c r="DB1" s="3">
        <f>+VLOOKUP(DB2,datos!$D:$E,2,FALSE)</f>
        <v>45139</v>
      </c>
      <c r="DC1" s="3">
        <f>+VLOOKUP(DC2,datos!$D:$E,2,FALSE)</f>
        <v>45108</v>
      </c>
      <c r="DD1" s="3">
        <f>+VLOOKUP(DD2,datos!$D:$E,2,FALSE)</f>
        <v>45078</v>
      </c>
      <c r="DE1" s="3">
        <f>+VLOOKUP(DE2,datos!$D:$E,2,FALSE)</f>
        <v>45047</v>
      </c>
      <c r="DF1" s="3">
        <f>+VLOOKUP(DF2,datos!$D:$E,2,FALSE)</f>
        <v>45017</v>
      </c>
      <c r="DG1" s="3">
        <f>+VLOOKUP(DG2,datos!$D:$E,2,FALSE)</f>
        <v>44986</v>
      </c>
      <c r="DI1" s="3">
        <f>+CJ1</f>
        <v>45689</v>
      </c>
      <c r="DJ1" s="3">
        <f>+VLOOKUP(DJ2,datos!$D:$E,2,FALSE)</f>
        <v>45658</v>
      </c>
      <c r="DK1" s="3">
        <f>+VLOOKUP(DK2,datos!$D:$E,2,FALSE)</f>
        <v>45627</v>
      </c>
      <c r="DL1" s="3">
        <f>+VLOOKUP(DL2,datos!$D:$E,2,FALSE)</f>
        <v>45597</v>
      </c>
      <c r="DM1" s="3">
        <f>+VLOOKUP(DM2,datos!$D:$E,2,FALSE)</f>
        <v>45566</v>
      </c>
      <c r="DN1" s="3">
        <f>+VLOOKUP(DN2,datos!$D:$E,2,FALSE)</f>
        <v>45536</v>
      </c>
      <c r="DO1" s="3">
        <f>+VLOOKUP(DO2,datos!$D:$E,2,FALSE)</f>
        <v>45505</v>
      </c>
      <c r="DP1" s="3">
        <f>+VLOOKUP(DP2,datos!$D:$E,2,FALSE)</f>
        <v>45474</v>
      </c>
      <c r="DQ1" s="3">
        <f>+VLOOKUP(DQ2,datos!$D:$E,2,FALSE)</f>
        <v>45444</v>
      </c>
      <c r="DR1" s="3">
        <f>+VLOOKUP(DR2,datos!$D:$E,2,FALSE)</f>
        <v>45413</v>
      </c>
      <c r="DS1" s="3">
        <f>+VLOOKUP(DS2,datos!$D:$E,2,FALSE)</f>
        <v>45383</v>
      </c>
      <c r="DT1" s="3">
        <f>+VLOOKUP(DT2,datos!$D:$E,2,FALSE)</f>
        <v>45352</v>
      </c>
      <c r="DU1" s="3">
        <f>+VLOOKUP(DU2,datos!$D:$E,2,FALSE)</f>
        <v>45323</v>
      </c>
      <c r="DV1" s="3">
        <f>+VLOOKUP(DV2,datos!$D:$E,2,FALSE)</f>
        <v>45292</v>
      </c>
      <c r="DW1" s="3">
        <f>+VLOOKUP(DW2,datos!$D:$E,2,FALSE)</f>
        <v>45261</v>
      </c>
      <c r="DX1" s="3">
        <f>+VLOOKUP(DX2,datos!$D:$E,2,FALSE)</f>
        <v>45231</v>
      </c>
      <c r="DY1" s="3">
        <f>+VLOOKUP(DY2,datos!$D:$E,2,FALSE)</f>
        <v>45200</v>
      </c>
      <c r="DZ1" s="3">
        <f>+VLOOKUP(DZ2,datos!$D:$E,2,FALSE)</f>
        <v>45170</v>
      </c>
      <c r="EA1" s="3">
        <f>+VLOOKUP(EA2,datos!$D:$E,2,FALSE)</f>
        <v>45139</v>
      </c>
      <c r="EB1" s="3">
        <f>+VLOOKUP(EB2,datos!$D:$E,2,FALSE)</f>
        <v>45108</v>
      </c>
      <c r="EC1" s="3">
        <f>+VLOOKUP(EC2,datos!$D:$E,2,FALSE)</f>
        <v>45078</v>
      </c>
      <c r="ED1" s="3">
        <f>+VLOOKUP(ED2,datos!$D:$E,2,FALSE)</f>
        <v>45047</v>
      </c>
      <c r="EE1" s="3">
        <f>+VLOOKUP(EE2,datos!$D:$E,2,FALSE)</f>
        <v>45017</v>
      </c>
      <c r="EF1" s="3">
        <f>+VLOOKUP(EF2,datos!$D:$E,2,FALSE)</f>
        <v>44986</v>
      </c>
      <c r="EH1" s="14">
        <f>+CJ1</f>
        <v>45689</v>
      </c>
      <c r="EI1" s="14">
        <f t="shared" ref="EI1:FE1" si="0">+CK1</f>
        <v>45658</v>
      </c>
      <c r="EJ1" s="3">
        <f t="shared" si="0"/>
        <v>45627</v>
      </c>
      <c r="EK1" s="3">
        <f t="shared" si="0"/>
        <v>45597</v>
      </c>
      <c r="EL1" s="3">
        <f t="shared" si="0"/>
        <v>45566</v>
      </c>
      <c r="EM1" s="3">
        <f t="shared" si="0"/>
        <v>45536</v>
      </c>
      <c r="EN1" s="3">
        <f t="shared" si="0"/>
        <v>45505</v>
      </c>
      <c r="EO1" s="3">
        <f t="shared" si="0"/>
        <v>45474</v>
      </c>
      <c r="EP1" s="3">
        <f t="shared" si="0"/>
        <v>45444</v>
      </c>
      <c r="EQ1" s="3">
        <f t="shared" si="0"/>
        <v>45413</v>
      </c>
      <c r="ER1" s="3">
        <f t="shared" si="0"/>
        <v>45383</v>
      </c>
      <c r="ES1" s="3">
        <f t="shared" si="0"/>
        <v>45352</v>
      </c>
      <c r="ET1" s="3">
        <f t="shared" si="0"/>
        <v>45323</v>
      </c>
      <c r="EU1" s="3">
        <f t="shared" si="0"/>
        <v>45292</v>
      </c>
      <c r="EV1" s="3">
        <f t="shared" si="0"/>
        <v>45261</v>
      </c>
      <c r="EW1" s="3">
        <f t="shared" si="0"/>
        <v>45231</v>
      </c>
      <c r="EX1" s="3">
        <f t="shared" si="0"/>
        <v>45200</v>
      </c>
      <c r="EY1" s="3">
        <f t="shared" si="0"/>
        <v>45170</v>
      </c>
      <c r="EZ1" s="3">
        <f t="shared" si="0"/>
        <v>45139</v>
      </c>
      <c r="FA1" s="3">
        <f t="shared" si="0"/>
        <v>45108</v>
      </c>
      <c r="FB1" s="3">
        <f t="shared" si="0"/>
        <v>45078</v>
      </c>
      <c r="FC1" s="3">
        <f t="shared" si="0"/>
        <v>45047</v>
      </c>
      <c r="FD1" s="3">
        <f t="shared" si="0"/>
        <v>45017</v>
      </c>
      <c r="FE1" s="3">
        <f t="shared" si="0"/>
        <v>44986</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45352</v>
      </c>
      <c r="AQ2" s="174">
        <f>VLOOKUP(VLOOKUP(+$A$1,ran_ma,2,FALSE)-10,ran_idma,2,FALSE)</f>
        <v>45383</v>
      </c>
      <c r="AR2" s="174">
        <f>VLOOKUP(VLOOKUP(+$A$1,ran_ma,2,FALSE)-9,ran_idma,2,FALSE)</f>
        <v>45413</v>
      </c>
      <c r="AS2" s="174">
        <f>VLOOKUP(VLOOKUP(+$A$1,ran_ma,2,FALSE)-8,ran_idma,2,FALSE)</f>
        <v>45444</v>
      </c>
      <c r="AT2" s="59">
        <f>VLOOKUP(VLOOKUP(+$A$1,ran_ma,2,FALSE)-7,ran_idma,2,FALSE)</f>
        <v>45474</v>
      </c>
      <c r="AU2" s="59">
        <f>VLOOKUP(VLOOKUP(+$A$1,ran_ma,2,FALSE)-6,ran_idma,2,FALSE)</f>
        <v>45505</v>
      </c>
      <c r="AV2" s="59">
        <f>VLOOKUP(VLOOKUP(+$A$1,ran_ma,2,FALSE)-5,ran_idma,2,FALSE)</f>
        <v>45536</v>
      </c>
      <c r="AW2" s="59">
        <f>VLOOKUP(VLOOKUP(+$A$1,ran_ma,2,FALSE)-4,ran_idma,2,FALSE)</f>
        <v>45566</v>
      </c>
      <c r="AX2" s="59">
        <f>VLOOKUP(VLOOKUP(+$A$1,ran_ma,2,FALSE)-3,ran_idma,2,FALSE)</f>
        <v>45597</v>
      </c>
      <c r="AY2" s="59">
        <f>VLOOKUP(VLOOKUP(+$A$1,ran_ma,2,FALSE)-2,ran_idma,2,FALSE)</f>
        <v>45627</v>
      </c>
      <c r="AZ2" s="59">
        <f>VLOOKUP(VLOOKUP(+$A$1,ran_ma,2,FALSE)-1,ran_idma,2,FALSE)</f>
        <v>45658</v>
      </c>
      <c r="BA2" s="59">
        <f>+$A$1</f>
        <v>45689</v>
      </c>
      <c r="BB2" s="59"/>
      <c r="BC2" s="170"/>
      <c r="BE2" s="9" t="s">
        <v>272</v>
      </c>
      <c r="BG2">
        <f>+VLOOKUP(BG1,ran_dat,datos!$D$1,FALSE)</f>
        <v>119</v>
      </c>
      <c r="BH2">
        <f>+BG2-1</f>
        <v>118</v>
      </c>
      <c r="BI2">
        <f>+BG2-12</f>
        <v>107</v>
      </c>
      <c r="BK2" s="9"/>
      <c r="BL2">
        <f>+VLOOKUP(BL1,ran_dat,datos!$D$1,FALSE)</f>
        <v>119</v>
      </c>
      <c r="BM2">
        <f>+BL2-1</f>
        <v>118</v>
      </c>
      <c r="BN2">
        <f>+BL2-12</f>
        <v>107</v>
      </c>
      <c r="BP2" s="9"/>
      <c r="BQ2">
        <f>+VLOOKUP(BQ1,ran_dat,datos!$D$1,FALSE)</f>
        <v>119</v>
      </c>
      <c r="BR2">
        <f>+BQ2-12</f>
        <v>107</v>
      </c>
      <c r="BT2" s="9"/>
      <c r="BU2">
        <f>+VLOOKUP(BU1,ran_dat,datos!$D$1,FALSE)</f>
        <v>119</v>
      </c>
      <c r="BV2">
        <f>+BU2-12</f>
        <v>107</v>
      </c>
      <c r="BX2" s="9"/>
      <c r="CB2" s="9"/>
      <c r="CI2">
        <f>+VLOOKUP(CI1,ran_dat,datos!$D$1,FALSE)</f>
        <v>119</v>
      </c>
      <c r="CJ2">
        <f>+CI2</f>
        <v>119</v>
      </c>
      <c r="CK2">
        <f t="shared" ref="CK2:DG2" si="1">+CJ2-1</f>
        <v>118</v>
      </c>
      <c r="CL2">
        <f t="shared" si="1"/>
        <v>117</v>
      </c>
      <c r="CM2">
        <f t="shared" si="1"/>
        <v>116</v>
      </c>
      <c r="CN2">
        <f t="shared" si="1"/>
        <v>115</v>
      </c>
      <c r="CO2">
        <f t="shared" si="1"/>
        <v>114</v>
      </c>
      <c r="CP2">
        <f t="shared" si="1"/>
        <v>113</v>
      </c>
      <c r="CQ2">
        <f t="shared" si="1"/>
        <v>112</v>
      </c>
      <c r="CR2">
        <f t="shared" si="1"/>
        <v>111</v>
      </c>
      <c r="CS2">
        <f t="shared" si="1"/>
        <v>110</v>
      </c>
      <c r="CT2">
        <f t="shared" si="1"/>
        <v>109</v>
      </c>
      <c r="CU2">
        <f t="shared" si="1"/>
        <v>108</v>
      </c>
      <c r="CV2">
        <f t="shared" si="1"/>
        <v>107</v>
      </c>
      <c r="CW2">
        <f t="shared" si="1"/>
        <v>106</v>
      </c>
      <c r="CX2">
        <f t="shared" si="1"/>
        <v>105</v>
      </c>
      <c r="CY2">
        <f t="shared" si="1"/>
        <v>104</v>
      </c>
      <c r="CZ2">
        <f t="shared" si="1"/>
        <v>103</v>
      </c>
      <c r="DA2">
        <f t="shared" si="1"/>
        <v>102</v>
      </c>
      <c r="DB2">
        <f t="shared" si="1"/>
        <v>101</v>
      </c>
      <c r="DC2">
        <f t="shared" si="1"/>
        <v>100</v>
      </c>
      <c r="DD2">
        <f t="shared" si="1"/>
        <v>99</v>
      </c>
      <c r="DE2">
        <f t="shared" si="1"/>
        <v>98</v>
      </c>
      <c r="DF2">
        <f t="shared" si="1"/>
        <v>97</v>
      </c>
      <c r="DG2">
        <f t="shared" si="1"/>
        <v>96</v>
      </c>
      <c r="DI2">
        <f>+VLOOKUP(DI1,ran_dat,datos!$D$1,FALSE)</f>
        <v>119</v>
      </c>
      <c r="DJ2">
        <f t="shared" ref="DJ2:EF2" si="2">+DI2-1</f>
        <v>118</v>
      </c>
      <c r="DK2">
        <f t="shared" si="2"/>
        <v>117</v>
      </c>
      <c r="DL2">
        <f t="shared" si="2"/>
        <v>116</v>
      </c>
      <c r="DM2">
        <f t="shared" si="2"/>
        <v>115</v>
      </c>
      <c r="DN2">
        <f t="shared" si="2"/>
        <v>114</v>
      </c>
      <c r="DO2">
        <f t="shared" si="2"/>
        <v>113</v>
      </c>
      <c r="DP2">
        <f t="shared" si="2"/>
        <v>112</v>
      </c>
      <c r="DQ2">
        <f t="shared" si="2"/>
        <v>111</v>
      </c>
      <c r="DR2">
        <f t="shared" si="2"/>
        <v>110</v>
      </c>
      <c r="DS2">
        <f t="shared" si="2"/>
        <v>109</v>
      </c>
      <c r="DT2">
        <f t="shared" si="2"/>
        <v>108</v>
      </c>
      <c r="DU2">
        <f t="shared" si="2"/>
        <v>107</v>
      </c>
      <c r="DV2">
        <f t="shared" si="2"/>
        <v>106</v>
      </c>
      <c r="DW2">
        <f t="shared" si="2"/>
        <v>105</v>
      </c>
      <c r="DX2">
        <f t="shared" si="2"/>
        <v>104</v>
      </c>
      <c r="DY2">
        <f t="shared" si="2"/>
        <v>103</v>
      </c>
      <c r="DZ2">
        <f t="shared" si="2"/>
        <v>102</v>
      </c>
      <c r="EA2">
        <f t="shared" si="2"/>
        <v>101</v>
      </c>
      <c r="EB2">
        <f t="shared" si="2"/>
        <v>100</v>
      </c>
      <c r="EC2">
        <f t="shared" si="2"/>
        <v>99</v>
      </c>
      <c r="ED2">
        <f t="shared" si="2"/>
        <v>98</v>
      </c>
      <c r="EE2">
        <f t="shared" si="2"/>
        <v>97</v>
      </c>
      <c r="EF2">
        <f t="shared" si="2"/>
        <v>96</v>
      </c>
      <c r="EH2" s="14">
        <f>+VLOOKUP(EH1,ran_dat,datos!$D$1,FALSE)</f>
        <v>119</v>
      </c>
      <c r="EI2" s="14">
        <f t="shared" ref="EI2:FE2" si="3">+EH2-1</f>
        <v>118</v>
      </c>
      <c r="EJ2">
        <f t="shared" si="3"/>
        <v>117</v>
      </c>
      <c r="EK2">
        <f t="shared" si="3"/>
        <v>116</v>
      </c>
      <c r="EL2">
        <f t="shared" si="3"/>
        <v>115</v>
      </c>
      <c r="EM2">
        <f t="shared" si="3"/>
        <v>114</v>
      </c>
      <c r="EN2">
        <f t="shared" si="3"/>
        <v>113</v>
      </c>
      <c r="EO2">
        <f t="shared" si="3"/>
        <v>112</v>
      </c>
      <c r="EP2">
        <f t="shared" si="3"/>
        <v>111</v>
      </c>
      <c r="EQ2">
        <f t="shared" si="3"/>
        <v>110</v>
      </c>
      <c r="ER2">
        <f t="shared" si="3"/>
        <v>109</v>
      </c>
      <c r="ES2">
        <f t="shared" si="3"/>
        <v>108</v>
      </c>
      <c r="ET2">
        <f t="shared" si="3"/>
        <v>107</v>
      </c>
      <c r="EU2">
        <f t="shared" si="3"/>
        <v>106</v>
      </c>
      <c r="EV2">
        <f t="shared" si="3"/>
        <v>105</v>
      </c>
      <c r="EW2">
        <f t="shared" si="3"/>
        <v>104</v>
      </c>
      <c r="EX2">
        <f t="shared" si="3"/>
        <v>103</v>
      </c>
      <c r="EY2">
        <f t="shared" si="3"/>
        <v>102</v>
      </c>
      <c r="EZ2">
        <f t="shared" si="3"/>
        <v>101</v>
      </c>
      <c r="FA2">
        <f t="shared" si="3"/>
        <v>100</v>
      </c>
      <c r="FB2">
        <f t="shared" si="3"/>
        <v>99</v>
      </c>
      <c r="FC2">
        <f t="shared" si="3"/>
        <v>98</v>
      </c>
      <c r="FD2">
        <f t="shared" si="3"/>
        <v>97</v>
      </c>
      <c r="FE2">
        <f t="shared" si="3"/>
        <v>96</v>
      </c>
    </row>
    <row r="3" spans="1:163" ht="18.75" customHeight="1">
      <c r="A3" s="220"/>
      <c r="C3" s="155"/>
      <c r="D3" s="196">
        <v>0.33</v>
      </c>
      <c r="E3" s="100">
        <f>IFERROR(+BG5/BH5-1,"")</f>
        <v>2.4020549077453213E-2</v>
      </c>
      <c r="F3" s="56" t="s">
        <v>515</v>
      </c>
      <c r="G3" s="56"/>
      <c r="H3" s="56"/>
      <c r="I3" s="60">
        <f>IFERROR(+BG5/BI5-1,"")</f>
        <v>0.66874297692432871</v>
      </c>
      <c r="J3" s="56" t="s">
        <v>515</v>
      </c>
      <c r="K3" s="56"/>
      <c r="L3" s="56"/>
      <c r="M3" s="32"/>
      <c r="N3" s="196">
        <v>0.33</v>
      </c>
      <c r="O3" s="31"/>
      <c r="S3" s="32"/>
      <c r="T3" s="196">
        <v>0.33</v>
      </c>
      <c r="U3" s="150" t="str">
        <f>TEXT(CU1,"MMM-YY")&amp;"."&amp;TEXT(CJ1,"MMM-YY")&amp;" vs "&amp;TEXT(DG1,"MMM-YY")&amp;"."&amp;TEXT(CV1,"MMM-YY")</f>
        <v>mar-24.feb-25 vs mar-23.feb-24</v>
      </c>
      <c r="Y3" s="59" t="str">
        <f>TEXT(CJ1,"MMM-YY")&amp;" vs "&amp;TEXT(CV1,"MMM-YY")</f>
        <v>feb-25 vs feb-24</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83"/>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8053</v>
      </c>
      <c r="BH5" s="2">
        <f t="shared" si="4"/>
        <v>7864.1</v>
      </c>
      <c r="BI5" s="2">
        <f t="shared" si="4"/>
        <v>4825.7880999999998</v>
      </c>
    </row>
    <row r="6" spans="1:163" ht="18.75" customHeight="1">
      <c r="A6" s="243" t="s">
        <v>28</v>
      </c>
      <c r="B6" s="246"/>
      <c r="C6" s="156">
        <f t="shared" ref="C6:C24" si="5">+D6*$D$3+N6*$N$3+T6*$T$3</f>
        <v>0</v>
      </c>
      <c r="D6" s="198">
        <v>-2</v>
      </c>
      <c r="E6" s="248">
        <f t="shared" ref="E6:E24" si="6">IFERROR(+BG6/BH6-1,"")</f>
        <v>-3.9378347282231108E-2</v>
      </c>
      <c r="F6" s="249">
        <f t="shared" ref="F6:F24" si="7">+E6-$E$3</f>
        <v>-6.339889635968432E-2</v>
      </c>
      <c r="G6" s="248">
        <f t="shared" ref="G6:G24" si="8">IFERROR(+BL6/BM6-1,"")</f>
        <v>2.5230225035175913E-2</v>
      </c>
      <c r="H6" s="249">
        <f t="shared" ref="H6:H24" si="9">E6-G6</f>
        <v>-6.460857231740702E-2</v>
      </c>
      <c r="I6" s="248">
        <f t="shared" ref="I6:I24" si="10">IFERROR(+BG6/BI6-1,"")</f>
        <v>0.16575202841461145</v>
      </c>
      <c r="J6" s="249">
        <f t="shared" ref="J6:J26" si="11">+I6-$I$3</f>
        <v>-0.50299094850971726</v>
      </c>
      <c r="K6" s="248">
        <f t="shared" ref="K6:K24" si="12">IFERROR(+BL6/BN6-1,"")</f>
        <v>0.26103336362869745</v>
      </c>
      <c r="L6" s="249">
        <f t="shared" ref="L6:L24" si="13">I6-K6</f>
        <v>-9.5281335214085994E-2</v>
      </c>
      <c r="M6" s="250"/>
      <c r="N6" s="24">
        <v>1</v>
      </c>
      <c r="O6" s="248">
        <f>IFERROR(+BQ6/BR6-1,"")</f>
        <v>6.1538461538461542E-2</v>
      </c>
      <c r="P6" s="251">
        <f>+O6</f>
        <v>6.1538461538461542E-2</v>
      </c>
      <c r="Q6" s="248">
        <f t="shared" ref="Q6:Q24" si="14">IFERROR(+BU6/BV6-1,"")</f>
        <v>0.44444444444444442</v>
      </c>
      <c r="R6" s="251">
        <f>+Q6</f>
        <v>0.44444444444444442</v>
      </c>
      <c r="S6" s="250"/>
      <c r="T6" s="24">
        <v>1</v>
      </c>
      <c r="U6" s="248">
        <f t="shared" ref="U6:U24" si="15">IFERROR(+BY6/BZ6-1,"")</f>
        <v>1.0196649154530801</v>
      </c>
      <c r="V6" s="252">
        <f t="shared" ref="V6:V24" si="16">+U6</f>
        <v>1.0196649154530801</v>
      </c>
      <c r="W6" s="248">
        <f>IFERROR(IF(CC6&lt;0.5,"",+CC6/CD6-1),"")</f>
        <v>-0.22116034112491212</v>
      </c>
      <c r="X6" s="252">
        <f t="shared" ref="X6:X24" si="17">+W6</f>
        <v>-0.22116034112491212</v>
      </c>
      <c r="Y6" s="248" t="str">
        <f t="shared" ref="Y6:Y25" si="18">IFERROR(+CG6/CH6-1,"")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4</v>
      </c>
      <c r="AQ6" s="28">
        <f>VLOOKUP($A6,historia!$A$5:$CM$24,+HLOOKUP(AQ$2,historia!$A$3:$EC$4,2,FALSE),FALSE)</f>
        <v>4</v>
      </c>
      <c r="AR6" s="28">
        <f>VLOOKUP($A6,historia!$A$5:$CM$24,+HLOOKUP(AR$2,historia!$A$3:$EC$4,2,FALSE),FALSE)</f>
        <v>3</v>
      </c>
      <c r="AS6" s="28">
        <f>VLOOKUP($A6,historia!$A$5:$CM$24,+HLOOKUP(AS$2,historia!$A$3:$EC$4,2,FALSE),FALSE)</f>
        <v>3</v>
      </c>
      <c r="AT6" s="58">
        <f>VLOOKUP($A6,historia!$A$5:$CM$24,+HLOOKUP(AT$2,historia!$A$3:$EC$4,2,FALSE),FALSE)</f>
        <v>3</v>
      </c>
      <c r="AU6" s="58">
        <f>VLOOKUP($A6,historia!$A$5:$CM$24,+HLOOKUP(AU$2,historia!$A$3:$EC$4,2,FALSE),FALSE)</f>
        <v>3</v>
      </c>
      <c r="AV6" s="58">
        <f>VLOOKUP($A6,historia!$A$5:$CM$24,+HLOOKUP(AV$2,historia!$A$3:$EC$4,2,FALSE),FALSE)</f>
        <v>3</v>
      </c>
      <c r="AW6" s="58">
        <f>VLOOKUP($A6,historia!$A$5:$CM$24,+HLOOKUP(AW$2,historia!$A$3:$EC$4,2,FALSE),FALSE)</f>
        <v>3</v>
      </c>
      <c r="AX6" s="58">
        <f>VLOOKUP($A6,historia!$A$5:$CM$24,+HLOOKUP(AX$2,historia!$A$3:$EC$4,2,FALSE),FALSE)</f>
        <v>3</v>
      </c>
      <c r="AY6" s="58">
        <f>VLOOKUP($A6,historia!$A$5:$CM$24,+HLOOKUP(AY$2,historia!$A$3:$EC$4,2,FALSE),FALSE)</f>
        <v>3</v>
      </c>
      <c r="AZ6" s="58">
        <f>VLOOKUP($A6,historia!$A$5:$CM$24,+HLOOKUP(AZ$2,historia!$A$3:$EC$4,2,FALSE),FALSE)</f>
        <v>4</v>
      </c>
      <c r="BA6" s="58">
        <f>VLOOKUP($A6,historia!$A$5:$CM$24,+HLOOKUP(BA$2,historia!$A$3:$EC$4,2,FALSE),FALSE)</f>
        <v>4</v>
      </c>
      <c r="BB6" s="58"/>
      <c r="BC6" s="286">
        <v>4</v>
      </c>
      <c r="BD6" t="str">
        <f t="shared" ref="BD6:BD24" si="20">+A6</f>
        <v>Algodón</v>
      </c>
      <c r="BE6">
        <f>+datos!P1</f>
        <v>16</v>
      </c>
      <c r="BF6" s="2" t="str">
        <f t="shared" si="4"/>
        <v>$/kg</v>
      </c>
      <c r="BG6" s="2">
        <f t="shared" si="4"/>
        <v>1305.5124289062499</v>
      </c>
      <c r="BH6" s="2">
        <f t="shared" si="4"/>
        <v>1359.0287343749997</v>
      </c>
      <c r="BI6" s="2">
        <f t="shared" si="4"/>
        <v>1119.88861875</v>
      </c>
      <c r="BK6">
        <f>+datos!BY1</f>
        <v>77</v>
      </c>
      <c r="BL6" s="2">
        <f t="shared" ref="BL6:BN24" si="21">+VLOOKUP(BL$1,ran_dat,$BK6,FALSE)</f>
        <v>9724.0774007818709</v>
      </c>
      <c r="BM6" s="2">
        <f t="shared" si="21"/>
        <v>9484.7744080586726</v>
      </c>
      <c r="BN6" s="2">
        <f t="shared" si="21"/>
        <v>7711.1975632431067</v>
      </c>
      <c r="BP6" s="1">
        <f>+datos!DK1</f>
        <v>115</v>
      </c>
      <c r="BQ6" s="1">
        <f t="shared" ref="BQ6:BR24" si="22">+VLOOKUP(BQ$1,ran_dat,$BP6,FALSE)</f>
        <v>690000</v>
      </c>
      <c r="BR6" s="1">
        <f t="shared" si="22"/>
        <v>650000</v>
      </c>
      <c r="BT6" s="1">
        <f>+datos!FF1</f>
        <v>162</v>
      </c>
      <c r="BU6" s="1">
        <f t="shared" ref="BU6:BV24" si="23">+VLOOKUP(BU$1,ran_dat,$BT6,FALSE)</f>
        <v>1300000</v>
      </c>
      <c r="BV6" s="1">
        <f t="shared" si="23"/>
        <v>900000</v>
      </c>
      <c r="BX6" s="1">
        <f>+datos!JF1</f>
        <v>266</v>
      </c>
      <c r="BY6" s="1">
        <f>+SUM(CJ6:CU6)</f>
        <v>196.76006825000002</v>
      </c>
      <c r="BZ6" s="1">
        <f>+SUM(CV6:DG6)</f>
        <v>97.422135099999977</v>
      </c>
      <c r="CB6" s="1">
        <f>+datos!KK1</f>
        <v>297</v>
      </c>
      <c r="CC6" s="2">
        <f t="shared" ref="CC6:CC24" si="24">+SUM(DI6:DT6)</f>
        <v>68.05733911999998</v>
      </c>
      <c r="CD6" s="2">
        <f t="shared" ref="CD6:CD24" si="25">+SUM(DU6:EF6)</f>
        <v>87.382991279999999</v>
      </c>
      <c r="CF6" s="1">
        <f>+datos!HS1</f>
        <v>227</v>
      </c>
      <c r="CG6" s="1">
        <f t="shared" ref="CG6:CG24" si="26">+EH6</f>
        <v>0</v>
      </c>
      <c r="CH6" s="1">
        <f t="shared" ref="CH6:CH24" si="27">+ET6</f>
        <v>0</v>
      </c>
      <c r="CJ6" s="1">
        <f t="shared" ref="CJ6:CY21" si="28">+VLOOKUP(CJ$1,ran_dat,$BX6,FALSE)</f>
        <v>8.6490729999999978</v>
      </c>
      <c r="CK6" s="1">
        <f t="shared" si="28"/>
        <v>6.462363250000001</v>
      </c>
      <c r="CL6" s="1">
        <f t="shared" si="28"/>
        <v>10.78045292</v>
      </c>
      <c r="CM6" s="1">
        <f t="shared" si="28"/>
        <v>14.805583519999997</v>
      </c>
      <c r="CN6" s="1">
        <f t="shared" si="28"/>
        <v>17.696202909999993</v>
      </c>
      <c r="CO6" s="1">
        <f t="shared" si="28"/>
        <v>21.922029789999996</v>
      </c>
      <c r="CP6" s="1">
        <f t="shared" si="28"/>
        <v>19.20970509</v>
      </c>
      <c r="CQ6" s="1">
        <f t="shared" si="28"/>
        <v>24.496622440000007</v>
      </c>
      <c r="CR6" s="1">
        <f t="shared" si="28"/>
        <v>21.439575039999998</v>
      </c>
      <c r="CS6" s="1">
        <f t="shared" si="28"/>
        <v>14.529816729999997</v>
      </c>
      <c r="CT6" s="1">
        <f t="shared" si="28"/>
        <v>18.258202080000007</v>
      </c>
      <c r="CU6" s="1">
        <f t="shared" si="28"/>
        <v>18.510441480000001</v>
      </c>
      <c r="CV6" s="1">
        <f t="shared" si="28"/>
        <v>7.7064561400000011</v>
      </c>
      <c r="CW6" s="1">
        <f t="shared" si="28"/>
        <v>8.1062574399999985</v>
      </c>
      <c r="CX6" s="1">
        <f t="shared" si="28"/>
        <v>8.4463773399999997</v>
      </c>
      <c r="CY6" s="1">
        <f t="shared" si="28"/>
        <v>15.019774559999998</v>
      </c>
      <c r="CZ6" s="1">
        <f t="shared" ref="CZ6:DG21" si="29">+VLOOKUP(CZ$1,ran_dat,$BX6,FALSE)</f>
        <v>14.398572559999998</v>
      </c>
      <c r="DA6" s="1">
        <f t="shared" si="29"/>
        <v>16.61514231</v>
      </c>
      <c r="DB6" s="1">
        <f t="shared" si="29"/>
        <v>14.3155891</v>
      </c>
      <c r="DC6" s="1">
        <f t="shared" si="29"/>
        <v>3.12980459</v>
      </c>
      <c r="DD6" s="1">
        <f t="shared" si="29"/>
        <v>2.3595063199999995</v>
      </c>
      <c r="DE6" s="1">
        <f t="shared" si="29"/>
        <v>5.3927380000000005</v>
      </c>
      <c r="DF6" s="1">
        <f t="shared" si="29"/>
        <v>1.1182586999999999</v>
      </c>
      <c r="DG6" s="1">
        <f t="shared" si="29"/>
        <v>0.81365803999999953</v>
      </c>
      <c r="DI6" s="1">
        <f t="shared" ref="DI6:DX21" si="30">+VLOOKUP(DI$1,ran_dat,$CB6,FALSE)</f>
        <v>9.7355070900000005</v>
      </c>
      <c r="DJ6" s="1">
        <f t="shared" si="30"/>
        <v>7.6983577599999995</v>
      </c>
      <c r="DK6" s="1">
        <f t="shared" si="30"/>
        <v>8.003268180000001</v>
      </c>
      <c r="DL6" s="1">
        <f t="shared" si="30"/>
        <v>5.6011509000000004</v>
      </c>
      <c r="DM6" s="1">
        <f t="shared" si="30"/>
        <v>5.8112020999999991</v>
      </c>
      <c r="DN6" s="1">
        <f t="shared" si="30"/>
        <v>6.3060080799999998</v>
      </c>
      <c r="DO6" s="1">
        <f t="shared" si="30"/>
        <v>3.7690183000000008</v>
      </c>
      <c r="DP6" s="1">
        <f t="shared" si="30"/>
        <v>4.5361736000000006</v>
      </c>
      <c r="DQ6" s="1">
        <f t="shared" si="30"/>
        <v>3.2956469100000003</v>
      </c>
      <c r="DR6" s="1">
        <f t="shared" si="30"/>
        <v>4.5516111999999991</v>
      </c>
      <c r="DS6" s="1">
        <f t="shared" si="30"/>
        <v>3.9375346699999998</v>
      </c>
      <c r="DT6" s="1">
        <f t="shared" si="30"/>
        <v>4.8118603300000009</v>
      </c>
      <c r="DU6" s="1">
        <f t="shared" si="30"/>
        <v>5.2295233099999994</v>
      </c>
      <c r="DV6" s="1">
        <f t="shared" si="30"/>
        <v>7.4159317900000001</v>
      </c>
      <c r="DW6" s="1">
        <f t="shared" si="30"/>
        <v>3.5587731599999999</v>
      </c>
      <c r="DX6" s="1">
        <f t="shared" si="30"/>
        <v>6.9479693099999986</v>
      </c>
      <c r="DY6" s="1">
        <f t="shared" ref="DY6:EF20" si="31">+VLOOKUP(DY$1,ran_dat,$CB6,FALSE)</f>
        <v>7.5746309199999997</v>
      </c>
      <c r="DZ6" s="1">
        <f t="shared" si="31"/>
        <v>8.1137987799999998</v>
      </c>
      <c r="EA6" s="1">
        <f t="shared" si="31"/>
        <v>9.2876289100000005</v>
      </c>
      <c r="EB6" s="1">
        <f t="shared" si="31"/>
        <v>7.69051375</v>
      </c>
      <c r="EC6" s="1">
        <f t="shared" si="31"/>
        <v>7.1486482300000009</v>
      </c>
      <c r="ED6" s="1">
        <f t="shared" si="31"/>
        <v>9.1724036200000008</v>
      </c>
      <c r="EE6" s="1">
        <f t="shared" si="31"/>
        <v>6.8489806600000005</v>
      </c>
      <c r="EF6" s="1">
        <f t="shared" si="31"/>
        <v>8.39418884</v>
      </c>
      <c r="EH6" s="14">
        <f t="shared" ref="EH6:EW21" si="32">+VLOOKUP(EH$1,ran_dat,$CF6,FALSE)</f>
        <v>0</v>
      </c>
      <c r="EI6" s="14">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ref="EX6:FE20" si="33">+VLOOKUP(EX$1,ran_dat,$CF6,FALSE)</f>
        <v>0</v>
      </c>
      <c r="EY6" s="1">
        <f t="shared" si="33"/>
        <v>0</v>
      </c>
      <c r="EZ6" s="1">
        <f t="shared" si="33"/>
        <v>0</v>
      </c>
      <c r="FA6" s="1">
        <f t="shared" si="33"/>
        <v>0</v>
      </c>
      <c r="FB6" s="1">
        <f t="shared" si="33"/>
        <v>0</v>
      </c>
      <c r="FC6" s="1">
        <f t="shared" si="33"/>
        <v>0</v>
      </c>
      <c r="FD6" s="1">
        <f t="shared" si="33"/>
        <v>0</v>
      </c>
      <c r="FE6" s="1">
        <f t="shared" si="33"/>
        <v>0</v>
      </c>
      <c r="FG6" s="162">
        <f t="shared" ref="FG6:FG24" si="34">+I6-K6</f>
        <v>-9.5281335214085994E-2</v>
      </c>
    </row>
    <row r="7" spans="1:163" ht="18.75" customHeight="1">
      <c r="A7" s="244" t="s">
        <v>13</v>
      </c>
      <c r="B7" s="247"/>
      <c r="C7" s="228">
        <f t="shared" si="5"/>
        <v>-0.33</v>
      </c>
      <c r="D7" s="229">
        <v>-1</v>
      </c>
      <c r="E7" s="253">
        <f t="shared" si="6"/>
        <v>-4.0000000000000036E-2</v>
      </c>
      <c r="F7" s="254">
        <f t="shared" si="7"/>
        <v>-6.4020549077453248E-2</v>
      </c>
      <c r="G7" s="253">
        <f t="shared" si="8"/>
        <v>5.8843978043046974E-2</v>
      </c>
      <c r="H7" s="254">
        <f t="shared" si="9"/>
        <v>-9.8843978043047009E-2</v>
      </c>
      <c r="I7" s="253">
        <f t="shared" si="10"/>
        <v>-0.44186046511627908</v>
      </c>
      <c r="J7" s="254">
        <f t="shared" si="11"/>
        <v>-1.1106034420406079</v>
      </c>
      <c r="K7" s="253">
        <f t="shared" si="12"/>
        <v>0.32879456330311307</v>
      </c>
      <c r="L7" s="254">
        <f t="shared" si="13"/>
        <v>-0.77065502841939215</v>
      </c>
      <c r="M7" s="255"/>
      <c r="N7" s="256">
        <v>1</v>
      </c>
      <c r="O7" s="253">
        <f t="shared" ref="O7:O24" si="35">IFERROR(+BQ7/BR7-1,"")</f>
        <v>0.14999999999999991</v>
      </c>
      <c r="P7" s="257">
        <f t="shared" ref="P7:P24" si="36">+O7</f>
        <v>0.14999999999999991</v>
      </c>
      <c r="Q7" s="253">
        <f t="shared" si="14"/>
        <v>8.3333333333333259E-2</v>
      </c>
      <c r="R7" s="257">
        <f t="shared" ref="R7:R24" si="37">+Q7</f>
        <v>8.3333333333333259E-2</v>
      </c>
      <c r="S7" s="255"/>
      <c r="T7" s="256">
        <v>-1</v>
      </c>
      <c r="U7" s="253">
        <f t="shared" si="15"/>
        <v>0.69663757545529004</v>
      </c>
      <c r="V7" s="258">
        <f t="shared" si="16"/>
        <v>0.69663757545529004</v>
      </c>
      <c r="W7" s="253">
        <f t="shared" ref="W7:W24" si="38">IFERROR(IF(CC7&lt;0.5,"",+CC7/CD7-1),"")</f>
        <v>1.8729246783355586</v>
      </c>
      <c r="X7" s="258">
        <f t="shared" si="17"/>
        <v>1.8729246783355586</v>
      </c>
      <c r="Y7" s="253">
        <f t="shared" si="18"/>
        <v>0</v>
      </c>
      <c r="Z7" s="258">
        <f t="shared" si="19"/>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2</v>
      </c>
      <c r="AQ7" s="28">
        <f>VLOOKUP($A7,historia!$A$5:$CM$24,+HLOOKUP(AQ$2,historia!$A$3:$EC$4,2,FALSE),FALSE)</f>
        <v>2</v>
      </c>
      <c r="AR7" s="28">
        <f>VLOOKUP($A7,historia!$A$5:$CM$24,+HLOOKUP(AR$2,historia!$A$3:$EC$4,2,FALSE),FALSE)</f>
        <v>2</v>
      </c>
      <c r="AS7" s="28">
        <f>VLOOKUP($A7,historia!$A$5:$CM$24,+HLOOKUP(AS$2,historia!$A$3:$EC$4,2,FALSE),FALSE)</f>
        <v>2</v>
      </c>
      <c r="AT7" s="58">
        <f>VLOOKUP($A7,historia!$A$5:$CM$24,+HLOOKUP(AT$2,historia!$A$3:$EC$4,2,FALSE),FALSE)</f>
        <v>4</v>
      </c>
      <c r="AU7" s="58">
        <f>VLOOKUP($A7,historia!$A$5:$CM$24,+HLOOKUP(AU$2,historia!$A$3:$EC$4,2,FALSE),FALSE)</f>
        <v>4</v>
      </c>
      <c r="AV7" s="58">
        <f>VLOOKUP($A7,historia!$A$5:$CM$24,+HLOOKUP(AV$2,historia!$A$3:$EC$4,2,FALSE),FALSE)</f>
        <v>4</v>
      </c>
      <c r="AW7" s="58">
        <f>VLOOKUP($A7,historia!$A$5:$CM$24,+HLOOKUP(AW$2,historia!$A$3:$EC$4,2,FALSE),FALSE)</f>
        <v>4</v>
      </c>
      <c r="AX7" s="58">
        <f>VLOOKUP($A7,historia!$A$5:$CM$24,+HLOOKUP(AX$2,historia!$A$3:$EC$4,2,FALSE),FALSE)</f>
        <v>4</v>
      </c>
      <c r="AY7" s="58">
        <f>VLOOKUP($A7,historia!$A$5:$CM$24,+HLOOKUP(AY$2,historia!$A$3:$EC$4,2,FALSE),FALSE)</f>
        <v>4</v>
      </c>
      <c r="AZ7" s="58">
        <f>VLOOKUP($A7,historia!$A$5:$CM$24,+HLOOKUP(AZ$2,historia!$A$3:$EC$4,2,FALSE),FALSE)</f>
        <v>4</v>
      </c>
      <c r="BA7" s="58">
        <f>VLOOKUP($A7,historia!$A$5:$CM$24,+HLOOKUP(BA$2,historia!$A$3:$EC$4,2,FALSE),FALSE)</f>
        <v>4</v>
      </c>
      <c r="BB7" s="58"/>
      <c r="BC7" s="286">
        <v>4</v>
      </c>
      <c r="BD7" t="str">
        <f t="shared" si="20"/>
        <v>Arroz</v>
      </c>
      <c r="BE7">
        <f>+datos!R1</f>
        <v>18</v>
      </c>
      <c r="BF7" s="2" t="str">
        <f t="shared" si="4"/>
        <v>$/t</v>
      </c>
      <c r="BG7" s="2">
        <f t="shared" si="4"/>
        <v>240000</v>
      </c>
      <c r="BH7" s="2">
        <f t="shared" si="4"/>
        <v>250000</v>
      </c>
      <c r="BI7" s="2">
        <f t="shared" si="4"/>
        <v>430000</v>
      </c>
      <c r="BK7">
        <f>+datos!BZ1</f>
        <v>78</v>
      </c>
      <c r="BL7" s="2">
        <f t="shared" si="21"/>
        <v>9499.4641194322558</v>
      </c>
      <c r="BM7" s="2">
        <f t="shared" si="21"/>
        <v>8971.5428490126978</v>
      </c>
      <c r="BN7" s="2">
        <f t="shared" si="21"/>
        <v>7148.9336137999544</v>
      </c>
      <c r="BP7" s="1">
        <f>+datos!DM1</f>
        <v>117</v>
      </c>
      <c r="BQ7" s="1">
        <f t="shared" si="22"/>
        <v>230000</v>
      </c>
      <c r="BR7" s="1">
        <f t="shared" si="22"/>
        <v>200000</v>
      </c>
      <c r="BT7" s="1">
        <f>+datos!FH1</f>
        <v>164</v>
      </c>
      <c r="BU7" s="1">
        <f t="shared" si="23"/>
        <v>1300000</v>
      </c>
      <c r="BV7" s="1">
        <f t="shared" si="23"/>
        <v>1200000</v>
      </c>
      <c r="BX7" s="1">
        <f>+datos!JG1</f>
        <v>267</v>
      </c>
      <c r="BY7" s="1">
        <f t="shared" ref="BY7:BY24" si="39">+SUM(CJ7:CU7)</f>
        <v>381.62633791000007</v>
      </c>
      <c r="BZ7" s="1">
        <f t="shared" ref="BZ7:BZ24" si="40">+SUM(CV7:DG7)</f>
        <v>224.93097137000001</v>
      </c>
      <c r="CB7" s="1">
        <f>+datos!KL1</f>
        <v>298</v>
      </c>
      <c r="CC7" s="2">
        <f t="shared" si="24"/>
        <v>4.9817617700000003</v>
      </c>
      <c r="CD7" s="2">
        <f t="shared" si="25"/>
        <v>1.7340384199999999</v>
      </c>
      <c r="CF7" s="1">
        <f>+datos!HU1</f>
        <v>229</v>
      </c>
      <c r="CG7" s="1">
        <f t="shared" si="26"/>
        <v>700000</v>
      </c>
      <c r="CH7" s="1">
        <f t="shared" si="27"/>
        <v>700000</v>
      </c>
      <c r="CJ7" s="1">
        <f t="shared" si="28"/>
        <v>94.896967090000004</v>
      </c>
      <c r="CK7" s="1">
        <f t="shared" si="28"/>
        <v>22.007364089999996</v>
      </c>
      <c r="CL7" s="1">
        <f t="shared" si="28"/>
        <v>13.652213600000001</v>
      </c>
      <c r="CM7" s="1">
        <f t="shared" si="28"/>
        <v>21.789652239999999</v>
      </c>
      <c r="CN7" s="1">
        <f t="shared" si="28"/>
        <v>22.506187060000002</v>
      </c>
      <c r="CO7" s="1">
        <f t="shared" si="28"/>
        <v>26.198510359999997</v>
      </c>
      <c r="CP7" s="1">
        <f t="shared" si="28"/>
        <v>16.658344929999998</v>
      </c>
      <c r="CQ7" s="1">
        <f t="shared" si="28"/>
        <v>38.799980059999996</v>
      </c>
      <c r="CR7" s="1">
        <f t="shared" si="28"/>
        <v>35.598317799999997</v>
      </c>
      <c r="CS7" s="1">
        <f t="shared" si="28"/>
        <v>32.785113670000001</v>
      </c>
      <c r="CT7" s="1">
        <f t="shared" si="28"/>
        <v>22.35722878</v>
      </c>
      <c r="CU7" s="1">
        <f t="shared" si="28"/>
        <v>34.376458229999997</v>
      </c>
      <c r="CV7" s="1">
        <f t="shared" si="28"/>
        <v>13.355622539999999</v>
      </c>
      <c r="CW7" s="1">
        <f t="shared" si="28"/>
        <v>10.68224592</v>
      </c>
      <c r="CX7" s="1">
        <f t="shared" si="28"/>
        <v>15.82785018</v>
      </c>
      <c r="CY7" s="1">
        <f t="shared" si="28"/>
        <v>16.180063639999997</v>
      </c>
      <c r="CZ7" s="1">
        <f t="shared" si="29"/>
        <v>11.823193960000001</v>
      </c>
      <c r="DA7" s="1">
        <f t="shared" si="29"/>
        <v>12.24327484</v>
      </c>
      <c r="DB7" s="1">
        <f t="shared" si="29"/>
        <v>9.600226039999999</v>
      </c>
      <c r="DC7" s="1">
        <f t="shared" si="29"/>
        <v>26.338491399999999</v>
      </c>
      <c r="DD7" s="1">
        <f t="shared" si="29"/>
        <v>21.418726320000001</v>
      </c>
      <c r="DE7" s="1">
        <f t="shared" si="29"/>
        <v>22.255101539999998</v>
      </c>
      <c r="DF7" s="1">
        <f t="shared" si="29"/>
        <v>44.848914040000004</v>
      </c>
      <c r="DG7" s="1">
        <f t="shared" si="29"/>
        <v>20.357260950000001</v>
      </c>
      <c r="DI7" s="1">
        <f t="shared" si="30"/>
        <v>0.47281664000000007</v>
      </c>
      <c r="DJ7" s="1">
        <f t="shared" si="30"/>
        <v>0.84812041999999999</v>
      </c>
      <c r="DK7" s="1">
        <f t="shared" si="30"/>
        <v>0.25440681999999998</v>
      </c>
      <c r="DL7" s="1">
        <f t="shared" si="30"/>
        <v>0.7620908099999999</v>
      </c>
      <c r="DM7" s="1">
        <f t="shared" si="30"/>
        <v>0.50490091999999998</v>
      </c>
      <c r="DN7" s="1">
        <f t="shared" si="30"/>
        <v>0.40961613000000002</v>
      </c>
      <c r="DO7" s="1">
        <f t="shared" si="30"/>
        <v>0.23587240000000001</v>
      </c>
      <c r="DP7" s="1">
        <f t="shared" si="30"/>
        <v>0.18557204999999999</v>
      </c>
      <c r="DQ7" s="1">
        <f t="shared" si="30"/>
        <v>0.48301414000000004</v>
      </c>
      <c r="DR7" s="1">
        <f t="shared" si="30"/>
        <v>0.23845672000000001</v>
      </c>
      <c r="DS7" s="1">
        <f t="shared" si="30"/>
        <v>0.50080292000000004</v>
      </c>
      <c r="DT7" s="1">
        <f t="shared" si="30"/>
        <v>8.6091799999999996E-2</v>
      </c>
      <c r="DU7" s="1">
        <f t="shared" si="30"/>
        <v>0.22536</v>
      </c>
      <c r="DV7" s="1">
        <f t="shared" si="30"/>
        <v>0.8256</v>
      </c>
      <c r="DW7" s="1">
        <f t="shared" si="30"/>
        <v>3.973985E-2</v>
      </c>
      <c r="DX7" s="1">
        <f t="shared" si="30"/>
        <v>3.3462720000000001E-2</v>
      </c>
      <c r="DY7" s="1">
        <f t="shared" si="31"/>
        <v>0.19098301000000001</v>
      </c>
      <c r="DZ7" s="1">
        <f t="shared" si="31"/>
        <v>0.10767879</v>
      </c>
      <c r="EA7" s="1">
        <f t="shared" si="31"/>
        <v>5.5773490000000002E-2</v>
      </c>
      <c r="EB7" s="1">
        <f t="shared" si="31"/>
        <v>8.7189080000000002E-2</v>
      </c>
      <c r="EC7" s="1">
        <f t="shared" si="31"/>
        <v>3.9243889999999997E-2</v>
      </c>
      <c r="ED7" s="1">
        <f t="shared" si="31"/>
        <v>0.10892111</v>
      </c>
      <c r="EE7" s="1">
        <f t="shared" si="31"/>
        <v>1.8036480000000001E-2</v>
      </c>
      <c r="EF7" s="1">
        <f t="shared" si="31"/>
        <v>2.0500000000000002E-3</v>
      </c>
      <c r="EH7" s="14">
        <f t="shared" si="32"/>
        <v>700000</v>
      </c>
      <c r="EI7" s="14">
        <f t="shared" si="32"/>
        <v>700000</v>
      </c>
      <c r="EJ7" s="1">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3"/>
        <v>700000</v>
      </c>
      <c r="EY7" s="1">
        <f t="shared" si="33"/>
        <v>700000</v>
      </c>
      <c r="EZ7" s="1">
        <f t="shared" si="33"/>
        <v>700000</v>
      </c>
      <c r="FA7" s="1">
        <f t="shared" si="33"/>
        <v>700000</v>
      </c>
      <c r="FB7" s="1">
        <f t="shared" si="33"/>
        <v>700000</v>
      </c>
      <c r="FC7" s="1">
        <f t="shared" si="33"/>
        <v>700000</v>
      </c>
      <c r="FD7" s="1">
        <f t="shared" si="33"/>
        <v>700000</v>
      </c>
      <c r="FE7" s="1">
        <f t="shared" si="33"/>
        <v>700000</v>
      </c>
      <c r="FG7" s="162">
        <f t="shared" si="34"/>
        <v>-0.77065502841939215</v>
      </c>
    </row>
    <row r="8" spans="1:163" ht="18.75" customHeight="1">
      <c r="A8" s="243" t="s">
        <v>215</v>
      </c>
      <c r="B8" s="246"/>
      <c r="C8" s="156">
        <f t="shared" si="5"/>
        <v>-0.33</v>
      </c>
      <c r="D8" s="198">
        <v>0</v>
      </c>
      <c r="E8" s="248">
        <f t="shared" si="6"/>
        <v>8.7256827635542988E-2</v>
      </c>
      <c r="F8" s="249">
        <f t="shared" si="7"/>
        <v>6.3236278558089776E-2</v>
      </c>
      <c r="G8" s="248">
        <f t="shared" si="8"/>
        <v>5.0550901638074519E-2</v>
      </c>
      <c r="H8" s="249">
        <f t="shared" si="9"/>
        <v>3.6705925997468469E-2</v>
      </c>
      <c r="I8" s="248">
        <f t="shared" si="10"/>
        <v>0.26008572463907953</v>
      </c>
      <c r="J8" s="249">
        <f t="shared" si="11"/>
        <v>-0.40865725228524918</v>
      </c>
      <c r="K8" s="248">
        <f t="shared" si="12"/>
        <v>0.54668115743935375</v>
      </c>
      <c r="L8" s="249">
        <f t="shared" si="13"/>
        <v>-0.28659543280027422</v>
      </c>
      <c r="M8" s="250"/>
      <c r="N8" s="24">
        <v>0</v>
      </c>
      <c r="O8" s="248">
        <f t="shared" si="35"/>
        <v>-7.6394194041251584E-4</v>
      </c>
      <c r="P8" s="251">
        <f t="shared" si="36"/>
        <v>-7.6394194041251584E-4</v>
      </c>
      <c r="Q8" s="248">
        <f t="shared" si="14"/>
        <v>3.2047646719839396E-3</v>
      </c>
      <c r="R8" s="251">
        <f t="shared" si="37"/>
        <v>3.2047646719839396E-3</v>
      </c>
      <c r="S8" s="250"/>
      <c r="T8" s="24">
        <v>-1</v>
      </c>
      <c r="U8" s="248">
        <f t="shared" si="15"/>
        <v>-0.26588679082061772</v>
      </c>
      <c r="V8" s="252">
        <f t="shared" si="16"/>
        <v>-0.26588679082061772</v>
      </c>
      <c r="W8" s="248">
        <f t="shared" si="38"/>
        <v>-0.14697306902901175</v>
      </c>
      <c r="X8" s="252">
        <f t="shared" si="17"/>
        <v>-0.14697306902901175</v>
      </c>
      <c r="Y8" s="248">
        <f t="shared" si="18"/>
        <v>-1.341120484533842E-2</v>
      </c>
      <c r="Z8" s="252">
        <f t="shared" si="19"/>
        <v>-1.341120484533842E-2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1</v>
      </c>
      <c r="AQ8" s="28">
        <f>VLOOKUP($A8,historia!$A$5:$CM$24,+HLOOKUP(AQ$2,historia!$A$3:$EC$4,2,FALSE),FALSE)</f>
        <v>2</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3</v>
      </c>
      <c r="AX8" s="58">
        <f>VLOOKUP($A8,historia!$A$5:$CM$24,+HLOOKUP(AX$2,historia!$A$3:$EC$4,2,FALSE),FALSE)</f>
        <v>3</v>
      </c>
      <c r="AY8" s="58">
        <f>VLOOKUP($A8,historia!$A$5:$CM$24,+HLOOKUP(AY$2,historia!$A$3:$EC$4,2,FALSE),FALSE)</f>
        <v>3</v>
      </c>
      <c r="AZ8" s="58">
        <f>VLOOKUP($A8,historia!$A$5:$CM$24,+HLOOKUP(AZ$2,historia!$A$3:$EC$4,2,FALSE),FALSE)</f>
        <v>3</v>
      </c>
      <c r="BA8" s="58">
        <f>VLOOKUP($A8,historia!$A$5:$CM$24,+HLOOKUP(BA$2,historia!$A$3:$EC$4,2,FALSE),FALSE)</f>
        <v>3</v>
      </c>
      <c r="BB8" s="58"/>
      <c r="BC8" s="286">
        <v>3</v>
      </c>
      <c r="BD8" t="str">
        <f t="shared" si="20"/>
        <v>Aves</v>
      </c>
      <c r="BE8">
        <f>+datos!BQ1</f>
        <v>69</v>
      </c>
      <c r="BF8" s="2" t="str">
        <f t="shared" si="4"/>
        <v>prom pond huevo-carne</v>
      </c>
      <c r="BG8" s="2">
        <f t="shared" si="4"/>
        <v>1763.0250000000001</v>
      </c>
      <c r="BH8" s="2">
        <f t="shared" si="4"/>
        <v>1621.5349999999999</v>
      </c>
      <c r="BI8" s="2">
        <f t="shared" si="4"/>
        <v>1399.1310000000001</v>
      </c>
      <c r="BK8">
        <f>+datos!DG1</f>
        <v>111</v>
      </c>
      <c r="BL8" s="2">
        <f t="shared" si="21"/>
        <v>10028.819531739486</v>
      </c>
      <c r="BM8" s="2">
        <f t="shared" si="21"/>
        <v>9546.2480838406027</v>
      </c>
      <c r="BN8" s="2">
        <f t="shared" si="21"/>
        <v>6484.0898096560159</v>
      </c>
      <c r="BP8" s="1">
        <f>+datos!EP1</f>
        <v>146</v>
      </c>
      <c r="BQ8" s="1">
        <f t="shared" si="22"/>
        <v>9156</v>
      </c>
      <c r="BR8" s="1">
        <f t="shared" si="22"/>
        <v>9163</v>
      </c>
      <c r="BT8" s="1">
        <f>+datos!HM1</f>
        <v>221</v>
      </c>
      <c r="BU8" s="1">
        <f t="shared" si="23"/>
        <v>2377981.5862992867</v>
      </c>
      <c r="BV8" s="1">
        <f t="shared" si="23"/>
        <v>2370385.06</v>
      </c>
      <c r="BX8" s="1">
        <f>+datos!KF1</f>
        <v>292</v>
      </c>
      <c r="BY8" s="1">
        <f t="shared" si="39"/>
        <v>241.01128788000003</v>
      </c>
      <c r="BZ8" s="1">
        <f t="shared" si="40"/>
        <v>328.30261718000003</v>
      </c>
      <c r="CB8" s="1">
        <f>+datos!LK1</f>
        <v>323</v>
      </c>
      <c r="CC8" s="2">
        <f t="shared" si="24"/>
        <v>37.606621709999999</v>
      </c>
      <c r="CD8" s="2">
        <f t="shared" si="25"/>
        <v>44.086089599999994</v>
      </c>
      <c r="CF8" s="1">
        <f>+datos!IL1</f>
        <v>246</v>
      </c>
      <c r="CG8" s="1">
        <f t="shared" si="26"/>
        <v>45.61</v>
      </c>
      <c r="CH8" s="1">
        <f t="shared" si="27"/>
        <v>46.23</v>
      </c>
      <c r="CJ8" s="1">
        <f t="shared" si="28"/>
        <v>8.0094020700000002</v>
      </c>
      <c r="CK8" s="1">
        <f t="shared" si="28"/>
        <v>5.62476749</v>
      </c>
      <c r="CL8" s="1">
        <f t="shared" si="28"/>
        <v>10.456415849999999</v>
      </c>
      <c r="CM8" s="1">
        <f t="shared" si="28"/>
        <v>8.1147673099999995</v>
      </c>
      <c r="CN8" s="1">
        <f t="shared" si="28"/>
        <v>20.968439010000004</v>
      </c>
      <c r="CO8" s="1">
        <f t="shared" si="28"/>
        <v>22.566015059999998</v>
      </c>
      <c r="CP8" s="1">
        <f t="shared" si="28"/>
        <v>20.944876220000001</v>
      </c>
      <c r="CQ8" s="1">
        <f t="shared" si="28"/>
        <v>23.157032140000002</v>
      </c>
      <c r="CR8" s="1">
        <f t="shared" si="28"/>
        <v>19.314763240000005</v>
      </c>
      <c r="CS8" s="1">
        <f t="shared" si="28"/>
        <v>22.778743510000002</v>
      </c>
      <c r="CT8" s="1">
        <f t="shared" si="28"/>
        <v>39.062197300000001</v>
      </c>
      <c r="CU8" s="1">
        <f t="shared" si="28"/>
        <v>40.013868680000002</v>
      </c>
      <c r="CV8" s="1">
        <f t="shared" si="28"/>
        <v>35.607742460000011</v>
      </c>
      <c r="CW8" s="1">
        <f t="shared" si="28"/>
        <v>32.51792974</v>
      </c>
      <c r="CX8" s="1">
        <f t="shared" si="28"/>
        <v>35.210116300000003</v>
      </c>
      <c r="CY8" s="1">
        <f t="shared" si="28"/>
        <v>30.603465830000005</v>
      </c>
      <c r="CZ8" s="1">
        <f t="shared" si="29"/>
        <v>35.017556320000004</v>
      </c>
      <c r="DA8" s="1">
        <f t="shared" si="29"/>
        <v>24.343011479999998</v>
      </c>
      <c r="DB8" s="1">
        <f t="shared" si="29"/>
        <v>32.053320659999997</v>
      </c>
      <c r="DC8" s="1">
        <f t="shared" si="29"/>
        <v>25.827296739999998</v>
      </c>
      <c r="DD8" s="1">
        <f t="shared" si="29"/>
        <v>20.281404040000002</v>
      </c>
      <c r="DE8" s="1">
        <f t="shared" si="29"/>
        <v>20.776878260000004</v>
      </c>
      <c r="DF8" s="1">
        <f t="shared" si="29"/>
        <v>18.00257775</v>
      </c>
      <c r="DG8" s="1">
        <f t="shared" si="29"/>
        <v>18.061317600000002</v>
      </c>
      <c r="DI8" s="1">
        <f t="shared" si="30"/>
        <v>4.5240591299999995</v>
      </c>
      <c r="DJ8" s="1">
        <f t="shared" si="30"/>
        <v>2.5037689800000003</v>
      </c>
      <c r="DK8" s="1">
        <f t="shared" si="30"/>
        <v>2.5011971499999999</v>
      </c>
      <c r="DL8" s="1">
        <f t="shared" si="30"/>
        <v>3.7585351000000005</v>
      </c>
      <c r="DM8" s="1">
        <f t="shared" si="30"/>
        <v>4.0425458900000004</v>
      </c>
      <c r="DN8" s="1">
        <f t="shared" si="30"/>
        <v>3.59052696</v>
      </c>
      <c r="DO8" s="1">
        <f t="shared" si="30"/>
        <v>2.1766254799999998</v>
      </c>
      <c r="DP8" s="1">
        <f t="shared" si="30"/>
        <v>1.5903026900000001</v>
      </c>
      <c r="DQ8" s="1">
        <f t="shared" si="30"/>
        <v>5.6916922899999998</v>
      </c>
      <c r="DR8" s="1">
        <f t="shared" si="30"/>
        <v>1.7294530099999998</v>
      </c>
      <c r="DS8" s="1">
        <f t="shared" si="30"/>
        <v>4.2232492399999995</v>
      </c>
      <c r="DT8" s="1">
        <f t="shared" si="30"/>
        <v>1.27466579</v>
      </c>
      <c r="DU8" s="1">
        <f t="shared" si="30"/>
        <v>1.8857013599999999</v>
      </c>
      <c r="DV8" s="1">
        <f t="shared" si="30"/>
        <v>4.07849503</v>
      </c>
      <c r="DW8" s="1">
        <f t="shared" si="30"/>
        <v>2.60999925</v>
      </c>
      <c r="DX8" s="1">
        <f t="shared" si="30"/>
        <v>4.3280037599999996</v>
      </c>
      <c r="DY8" s="1">
        <f t="shared" si="31"/>
        <v>3.9253711099999995</v>
      </c>
      <c r="DZ8" s="1">
        <f t="shared" si="31"/>
        <v>2.66724104</v>
      </c>
      <c r="EA8" s="1">
        <f t="shared" si="31"/>
        <v>1.3237541899999998</v>
      </c>
      <c r="EB8" s="1">
        <f t="shared" si="31"/>
        <v>4.0034089300000009</v>
      </c>
      <c r="EC8" s="1">
        <f t="shared" si="31"/>
        <v>4.2620939999999994</v>
      </c>
      <c r="ED8" s="1">
        <f t="shared" si="31"/>
        <v>6.8027163900000005</v>
      </c>
      <c r="EE8" s="1">
        <f t="shared" si="31"/>
        <v>1.73014019</v>
      </c>
      <c r="EF8" s="1">
        <f t="shared" si="31"/>
        <v>6.4691643499999998</v>
      </c>
      <c r="EH8" s="14">
        <f t="shared" si="32"/>
        <v>45.61</v>
      </c>
      <c r="EI8" s="14">
        <f t="shared" si="32"/>
        <v>45.23</v>
      </c>
      <c r="EJ8" s="1">
        <f t="shared" si="32"/>
        <v>45.2</v>
      </c>
      <c r="EK8" s="1">
        <f t="shared" si="32"/>
        <v>46.01</v>
      </c>
      <c r="EL8" s="1">
        <f t="shared" si="32"/>
        <v>44.44</v>
      </c>
      <c r="EM8" s="1">
        <f t="shared" si="32"/>
        <v>42.29</v>
      </c>
      <c r="EN8" s="1">
        <f t="shared" si="32"/>
        <v>45.39</v>
      </c>
      <c r="EO8" s="1">
        <f t="shared" si="32"/>
        <v>45.32</v>
      </c>
      <c r="EP8" s="1">
        <f t="shared" si="32"/>
        <v>44.85</v>
      </c>
      <c r="EQ8" s="1">
        <f t="shared" si="32"/>
        <v>45.52</v>
      </c>
      <c r="ER8" s="1">
        <f t="shared" si="32"/>
        <v>46.23</v>
      </c>
      <c r="ES8" s="1">
        <f t="shared" si="32"/>
        <v>46.23</v>
      </c>
      <c r="ET8" s="1">
        <f t="shared" si="32"/>
        <v>46.23</v>
      </c>
      <c r="EU8" s="1">
        <f t="shared" si="32"/>
        <v>48.52</v>
      </c>
      <c r="EV8" s="1">
        <f t="shared" si="32"/>
        <v>45.85</v>
      </c>
      <c r="EW8" s="1">
        <f t="shared" si="32"/>
        <v>46.03</v>
      </c>
      <c r="EX8" s="1">
        <f t="shared" si="33"/>
        <v>46.13</v>
      </c>
      <c r="EY8" s="1">
        <f t="shared" si="33"/>
        <v>45.88</v>
      </c>
      <c r="EZ8" s="1">
        <f t="shared" si="33"/>
        <v>46.09</v>
      </c>
      <c r="FA8" s="1">
        <f t="shared" si="33"/>
        <v>45.9</v>
      </c>
      <c r="FB8" s="1">
        <f t="shared" si="33"/>
        <v>46</v>
      </c>
      <c r="FC8" s="1">
        <f t="shared" si="33"/>
        <v>45.99</v>
      </c>
      <c r="FD8" s="1">
        <f t="shared" si="33"/>
        <v>45.74</v>
      </c>
      <c r="FE8" s="1">
        <f t="shared" si="33"/>
        <v>45.46</v>
      </c>
      <c r="FG8" s="162">
        <f t="shared" si="34"/>
        <v>-0.28659543280027422</v>
      </c>
    </row>
    <row r="9" spans="1:163" ht="18.75" customHeight="1">
      <c r="A9" s="244" t="s">
        <v>77</v>
      </c>
      <c r="B9" s="247"/>
      <c r="C9" s="228">
        <v>0</v>
      </c>
      <c r="D9" s="229">
        <v>1</v>
      </c>
      <c r="E9" s="253">
        <f t="shared" si="6"/>
        <v>0.10247336512542859</v>
      </c>
      <c r="F9" s="254">
        <f t="shared" si="7"/>
        <v>7.8452816047975382E-2</v>
      </c>
      <c r="G9" s="253">
        <f t="shared" si="8"/>
        <v>5.8201394789694216E-2</v>
      </c>
      <c r="H9" s="254">
        <f t="shared" si="9"/>
        <v>4.4271970335734379E-2</v>
      </c>
      <c r="I9" s="253">
        <f t="shared" si="10"/>
        <v>0.59140159366653378</v>
      </c>
      <c r="J9" s="254">
        <f t="shared" si="11"/>
        <v>-7.7341383257794938E-2</v>
      </c>
      <c r="K9" s="253">
        <f t="shared" si="12"/>
        <v>0.41266958707031987</v>
      </c>
      <c r="L9" s="254">
        <f t="shared" si="13"/>
        <v>0.17873200659621391</v>
      </c>
      <c r="M9" s="255"/>
      <c r="N9" s="256">
        <v>-1</v>
      </c>
      <c r="O9" s="253">
        <f t="shared" si="35"/>
        <v>-2.1957134195409456E-2</v>
      </c>
      <c r="P9" s="257">
        <f t="shared" si="36"/>
        <v>-2.1957134195409456E-2</v>
      </c>
      <c r="Q9" s="253">
        <f t="shared" si="14"/>
        <v>-3.3223479358291175E-2</v>
      </c>
      <c r="R9" s="257">
        <f t="shared" si="37"/>
        <v>-3.3223479358291175E-2</v>
      </c>
      <c r="S9" s="255"/>
      <c r="T9" s="256">
        <v>0</v>
      </c>
      <c r="U9" s="253">
        <f t="shared" si="15"/>
        <v>3.3887915469065666E-2</v>
      </c>
      <c r="V9" s="258">
        <f t="shared" si="16"/>
        <v>3.3887915469065666E-2</v>
      </c>
      <c r="W9" s="253">
        <f t="shared" si="38"/>
        <v>0.17247396830519879</v>
      </c>
      <c r="X9" s="258">
        <f t="shared" si="17"/>
        <v>0.17247396830519879</v>
      </c>
      <c r="Y9" s="253">
        <f t="shared" si="18"/>
        <v>-5.3030303030302983E-2</v>
      </c>
      <c r="Z9" s="258">
        <f t="shared" si="19"/>
        <v>-5.3030303030302983E-2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2</v>
      </c>
      <c r="AQ9" s="28">
        <f>VLOOKUP($A9,historia!$A$5:$CM$24,+HLOOKUP(AQ$2,historia!$A$3:$EC$4,2,FALSE),FALSE)</f>
        <v>4</v>
      </c>
      <c r="AR9" s="28">
        <f>VLOOKUP($A9,historia!$A$5:$CM$24,+HLOOKUP(AR$2,historia!$A$3:$EC$4,2,FALSE),FALSE)</f>
        <v>4</v>
      </c>
      <c r="AS9" s="28">
        <f>VLOOKUP($A9,historia!$A$5:$CM$24,+HLOOKUP(AS$2,historia!$A$3:$EC$4,2,FALSE),FALSE)</f>
        <v>3</v>
      </c>
      <c r="AT9" s="58">
        <f>VLOOKUP($A9,historia!$A$5:$CM$24,+HLOOKUP(AT$2,historia!$A$3:$EC$4,2,FALSE),FALSE)</f>
        <v>3</v>
      </c>
      <c r="AU9" s="58">
        <f>VLOOKUP($A9,historia!$A$5:$CM$24,+HLOOKUP(AU$2,historia!$A$3:$EC$4,2,FALSE),FALSE)</f>
        <v>3</v>
      </c>
      <c r="AV9" s="58">
        <f>VLOOKUP($A9,historia!$A$5:$CM$24,+HLOOKUP(AV$2,historia!$A$3:$EC$4,2,FALSE),FALSE)</f>
        <v>3</v>
      </c>
      <c r="AW9" s="58">
        <f>VLOOKUP($A9,historia!$A$5:$CM$24,+HLOOKUP(AW$2,historia!$A$3:$EC$4,2,FALSE),FALSE)</f>
        <v>3</v>
      </c>
      <c r="AX9" s="58">
        <f>VLOOKUP($A9,historia!$A$5:$CM$24,+HLOOKUP(AX$2,historia!$A$3:$EC$4,2,FALSE),FALSE)</f>
        <v>3</v>
      </c>
      <c r="AY9" s="58">
        <f>VLOOKUP($A9,historia!$A$5:$CM$24,+HLOOKUP(AY$2,historia!$A$3:$EC$4,2,FALSE),FALSE)</f>
        <v>3</v>
      </c>
      <c r="AZ9" s="58">
        <f>VLOOKUP($A9,historia!$A$5:$CM$24,+HLOOKUP(AZ$2,historia!$A$3:$EC$4,2,FALSE),FALSE)</f>
        <v>3</v>
      </c>
      <c r="BA9" s="58">
        <f>VLOOKUP($A9,historia!$A$5:$CM$24,+HLOOKUP(BA$2,historia!$A$3:$EC$4,2,FALSE),FALSE)</f>
        <v>3</v>
      </c>
      <c r="BB9" s="58"/>
      <c r="BC9" s="286">
        <v>3</v>
      </c>
      <c r="BD9" t="str">
        <f t="shared" si="20"/>
        <v>Bovinos</v>
      </c>
      <c r="BE9">
        <f>+datos!BM1</f>
        <v>65</v>
      </c>
      <c r="BF9" s="2" t="str">
        <f t="shared" si="4"/>
        <v>$/kg</v>
      </c>
      <c r="BG9" s="2">
        <f t="shared" si="4"/>
        <v>3043.768</v>
      </c>
      <c r="BH9" s="2">
        <f t="shared" si="4"/>
        <v>2760.8540000000003</v>
      </c>
      <c r="BI9" s="2">
        <f t="shared" si="4"/>
        <v>1912.6334999999999</v>
      </c>
      <c r="BK9">
        <f>+datos!DB1</f>
        <v>106</v>
      </c>
      <c r="BL9" s="2">
        <f t="shared" si="21"/>
        <v>10111.023722735721</v>
      </c>
      <c r="BM9" s="2">
        <f t="shared" si="21"/>
        <v>9554.9143787938156</v>
      </c>
      <c r="BN9" s="2">
        <f t="shared" si="21"/>
        <v>7157.3875556453204</v>
      </c>
      <c r="BP9" s="1">
        <f>+datos!EH1</f>
        <v>138</v>
      </c>
      <c r="BQ9" s="1">
        <f t="shared" si="22"/>
        <v>51624909</v>
      </c>
      <c r="BR9" s="1">
        <f t="shared" si="22"/>
        <v>52783892</v>
      </c>
      <c r="BT9" s="1">
        <f>+datos!HB1</f>
        <v>210</v>
      </c>
      <c r="BU9" s="1">
        <f t="shared" si="23"/>
        <v>3157641</v>
      </c>
      <c r="BV9" s="1">
        <f t="shared" si="23"/>
        <v>3266154</v>
      </c>
      <c r="BX9" s="1">
        <f>+datos!KG1</f>
        <v>293</v>
      </c>
      <c r="BY9" s="1">
        <f t="shared" si="39"/>
        <v>4142.9146470199994</v>
      </c>
      <c r="BZ9" s="1">
        <f t="shared" si="40"/>
        <v>4007.1216473600007</v>
      </c>
      <c r="CB9" s="1">
        <f>+datos!LL1</f>
        <v>324</v>
      </c>
      <c r="CC9" s="2">
        <f t="shared" si="24"/>
        <v>48.289580099999995</v>
      </c>
      <c r="CD9" s="2">
        <f t="shared" si="25"/>
        <v>41.186057349999999</v>
      </c>
      <c r="CF9" s="1">
        <f>+datos!IM1</f>
        <v>247</v>
      </c>
      <c r="CG9" s="1">
        <f t="shared" si="26"/>
        <v>48.75</v>
      </c>
      <c r="CH9" s="1">
        <f t="shared" si="27"/>
        <v>51.48</v>
      </c>
      <c r="CJ9" s="1">
        <f t="shared" si="28"/>
        <v>345.87150417999976</v>
      </c>
      <c r="CK9" s="1">
        <f t="shared" si="28"/>
        <v>330.34833823999992</v>
      </c>
      <c r="CL9" s="1">
        <f t="shared" si="28"/>
        <v>372.02787432000008</v>
      </c>
      <c r="CM9" s="1">
        <f t="shared" si="28"/>
        <v>363.37275483999991</v>
      </c>
      <c r="CN9" s="1">
        <f t="shared" si="28"/>
        <v>373.60267999999996</v>
      </c>
      <c r="CO9" s="1">
        <f t="shared" si="28"/>
        <v>392.24577093999977</v>
      </c>
      <c r="CP9" s="1">
        <f t="shared" si="28"/>
        <v>370.00520762000008</v>
      </c>
      <c r="CQ9" s="1">
        <f t="shared" si="28"/>
        <v>307.7105307999999</v>
      </c>
      <c r="CR9" s="1">
        <f t="shared" si="28"/>
        <v>311.98041742999999</v>
      </c>
      <c r="CS9" s="1">
        <f t="shared" si="28"/>
        <v>309.32423856999998</v>
      </c>
      <c r="CT9" s="1">
        <f t="shared" si="28"/>
        <v>316.28118749999999</v>
      </c>
      <c r="CU9" s="1">
        <f t="shared" si="28"/>
        <v>350.14414257999977</v>
      </c>
      <c r="CV9" s="1">
        <f t="shared" si="28"/>
        <v>342.85888695999995</v>
      </c>
      <c r="CW9" s="1">
        <f t="shared" si="28"/>
        <v>324.84866957999998</v>
      </c>
      <c r="CX9" s="1">
        <f t="shared" si="28"/>
        <v>325.97502911999987</v>
      </c>
      <c r="CY9" s="1">
        <f t="shared" si="28"/>
        <v>321.39038838999994</v>
      </c>
      <c r="CZ9" s="1">
        <f t="shared" si="29"/>
        <v>273.58963931999995</v>
      </c>
      <c r="DA9" s="1">
        <f t="shared" si="29"/>
        <v>292.91820976000002</v>
      </c>
      <c r="DB9" s="1">
        <f t="shared" si="29"/>
        <v>371.72573624</v>
      </c>
      <c r="DC9" s="1">
        <f t="shared" si="29"/>
        <v>378.12790802000001</v>
      </c>
      <c r="DD9" s="1">
        <f t="shared" si="29"/>
        <v>308.34921994000001</v>
      </c>
      <c r="DE9" s="1">
        <f t="shared" si="29"/>
        <v>390.63577031</v>
      </c>
      <c r="DF9" s="1">
        <f t="shared" si="29"/>
        <v>337.45013477999998</v>
      </c>
      <c r="DG9" s="1">
        <f t="shared" si="29"/>
        <v>339.25205494000011</v>
      </c>
      <c r="DI9" s="1">
        <f t="shared" si="30"/>
        <v>7.0677003599999999</v>
      </c>
      <c r="DJ9" s="1">
        <f t="shared" si="30"/>
        <v>5.8644577399999989</v>
      </c>
      <c r="DK9" s="1">
        <f t="shared" si="30"/>
        <v>6.7460545699999992</v>
      </c>
      <c r="DL9" s="1">
        <f t="shared" si="30"/>
        <v>2.8647302900000002</v>
      </c>
      <c r="DM9" s="1">
        <f t="shared" si="30"/>
        <v>3.9160438699999998</v>
      </c>
      <c r="DN9" s="1">
        <f t="shared" si="30"/>
        <v>2.7432327000000001</v>
      </c>
      <c r="DO9" s="1">
        <f t="shared" si="30"/>
        <v>3.5031505699999994</v>
      </c>
      <c r="DP9" s="1">
        <f t="shared" si="30"/>
        <v>3.9954732900000005</v>
      </c>
      <c r="DQ9" s="1">
        <f t="shared" si="30"/>
        <v>2.3751918999999999</v>
      </c>
      <c r="DR9" s="1">
        <f t="shared" si="30"/>
        <v>3.3189943100000003</v>
      </c>
      <c r="DS9" s="1">
        <f t="shared" si="30"/>
        <v>3.6004889900000006</v>
      </c>
      <c r="DT9" s="1">
        <f t="shared" si="30"/>
        <v>2.2940615100000001</v>
      </c>
      <c r="DU9" s="1">
        <f t="shared" si="30"/>
        <v>1.2696953500000001</v>
      </c>
      <c r="DV9" s="1">
        <f t="shared" si="30"/>
        <v>1.4792882700000001</v>
      </c>
      <c r="DW9" s="1">
        <f t="shared" si="30"/>
        <v>3.3410357400000001</v>
      </c>
      <c r="DX9" s="1">
        <f t="shared" si="30"/>
        <v>3.5927978000000009</v>
      </c>
      <c r="DY9" s="1">
        <f t="shared" si="31"/>
        <v>2.53051044</v>
      </c>
      <c r="DZ9" s="1">
        <f t="shared" si="31"/>
        <v>2.3401237999999998</v>
      </c>
      <c r="EA9" s="1">
        <f t="shared" si="31"/>
        <v>2.4632922899999996</v>
      </c>
      <c r="EB9" s="1">
        <f t="shared" si="31"/>
        <v>3.8179622399999995</v>
      </c>
      <c r="EC9" s="1">
        <f t="shared" si="31"/>
        <v>3.8355995800000002</v>
      </c>
      <c r="ED9" s="1">
        <f t="shared" si="31"/>
        <v>7.3409295600000002</v>
      </c>
      <c r="EE9" s="1">
        <f t="shared" si="31"/>
        <v>3.8261937100000005</v>
      </c>
      <c r="EF9" s="1">
        <f t="shared" si="31"/>
        <v>5.3486285699999998</v>
      </c>
      <c r="EH9" s="14">
        <f t="shared" si="32"/>
        <v>48.75</v>
      </c>
      <c r="EI9" s="14">
        <f t="shared" si="32"/>
        <v>48.18</v>
      </c>
      <c r="EJ9" s="1">
        <f t="shared" si="32"/>
        <v>47.81</v>
      </c>
      <c r="EK9" s="1">
        <f t="shared" si="32"/>
        <v>46.91</v>
      </c>
      <c r="EL9" s="1">
        <f t="shared" si="32"/>
        <v>47.74</v>
      </c>
      <c r="EM9" s="1">
        <f t="shared" si="32"/>
        <v>47.38</v>
      </c>
      <c r="EN9" s="1">
        <f t="shared" si="32"/>
        <v>47.74</v>
      </c>
      <c r="EO9" s="1">
        <f t="shared" si="32"/>
        <v>47.8</v>
      </c>
      <c r="EP9" s="1">
        <f t="shared" si="32"/>
        <v>47.58</v>
      </c>
      <c r="EQ9" s="1">
        <f t="shared" si="32"/>
        <v>49.18</v>
      </c>
      <c r="ER9" s="1">
        <f t="shared" si="32"/>
        <v>49.37</v>
      </c>
      <c r="ES9" s="1">
        <f t="shared" si="32"/>
        <v>49.38</v>
      </c>
      <c r="ET9" s="1">
        <f t="shared" si="32"/>
        <v>51.48</v>
      </c>
      <c r="EU9" s="1">
        <f t="shared" si="32"/>
        <v>52.06</v>
      </c>
      <c r="EV9" s="1">
        <f t="shared" si="32"/>
        <v>42.59</v>
      </c>
      <c r="EW9" s="1">
        <f t="shared" si="32"/>
        <v>51.3</v>
      </c>
      <c r="EX9" s="1">
        <f t="shared" si="33"/>
        <v>51.15</v>
      </c>
      <c r="EY9" s="1">
        <f t="shared" si="33"/>
        <v>51.01</v>
      </c>
      <c r="EZ9" s="1">
        <f t="shared" si="33"/>
        <v>51.15</v>
      </c>
      <c r="FA9" s="1">
        <f t="shared" si="33"/>
        <v>51.72</v>
      </c>
      <c r="FB9" s="1">
        <f t="shared" si="33"/>
        <v>51.32</v>
      </c>
      <c r="FC9" s="1">
        <f t="shared" si="33"/>
        <v>50.44</v>
      </c>
      <c r="FD9" s="1">
        <f t="shared" si="33"/>
        <v>50.29</v>
      </c>
      <c r="FE9" s="1">
        <f t="shared" si="33"/>
        <v>50.29</v>
      </c>
      <c r="FG9" s="162">
        <f t="shared" si="34"/>
        <v>0.17873200659621391</v>
      </c>
    </row>
    <row r="10" spans="1:163" ht="18.600000000000001" customHeight="1">
      <c r="A10" s="263" t="s">
        <v>221</v>
      </c>
      <c r="B10" s="246"/>
      <c r="C10" s="156">
        <f t="shared" si="5"/>
        <v>0</v>
      </c>
      <c r="D10" s="198">
        <v>-1</v>
      </c>
      <c r="E10" s="248">
        <f t="shared" si="6"/>
        <v>-4.9611906695985253E-2</v>
      </c>
      <c r="F10" s="249">
        <f t="shared" si="7"/>
        <v>-7.3632455773438465E-2</v>
      </c>
      <c r="G10" s="248">
        <f t="shared" si="8"/>
        <v>2.9268372370207629E-2</v>
      </c>
      <c r="H10" s="249">
        <f t="shared" si="9"/>
        <v>-7.8880279066192882E-2</v>
      </c>
      <c r="I10" s="248">
        <f t="shared" si="10"/>
        <v>5.7267708938478989E-2</v>
      </c>
      <c r="J10" s="249">
        <f t="shared" si="11"/>
        <v>-0.61147526798584972</v>
      </c>
      <c r="K10" s="248">
        <f t="shared" si="12"/>
        <v>0.32900966397522424</v>
      </c>
      <c r="L10" s="249">
        <f t="shared" si="13"/>
        <v>-0.27174195503674525</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1.400164072345107</v>
      </c>
      <c r="V10" s="252">
        <f t="shared" si="16"/>
        <v>1.400164072345107</v>
      </c>
      <c r="W10" s="248">
        <f t="shared" si="38"/>
        <v>0.32006688427972985</v>
      </c>
      <c r="X10" s="252">
        <f t="shared" si="17"/>
        <v>0.32006688427972985</v>
      </c>
      <c r="Y10" s="248">
        <f t="shared" si="18"/>
        <v>-1.4951121334099926E-2</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4</v>
      </c>
      <c r="AQ10" s="28">
        <f>VLOOKUP($A10,historia!$A$5:$CM$24,+HLOOKUP(AQ$2,historia!$A$3:$EC$4,2,FALSE),FALSE)</f>
        <v>4</v>
      </c>
      <c r="AR10" s="28">
        <f>VLOOKUP($A10,historia!$A$5:$CM$24,+HLOOKUP(AR$2,historia!$A$3:$EC$4,2,FALSE),FALSE)</f>
        <v>5</v>
      </c>
      <c r="AS10" s="28">
        <f>VLOOKUP($A10,historia!$A$5:$CM$24,+HLOOKUP(AS$2,historia!$A$3:$EC$4,2,FALSE),FALSE)</f>
        <v>4</v>
      </c>
      <c r="AT10" s="58">
        <f>VLOOKUP($A10,historia!$A$5:$CM$24,+HLOOKUP(AT$2,historia!$A$3:$EC$4,2,FALSE),FALSE)</f>
        <v>4</v>
      </c>
      <c r="AU10" s="58">
        <f>VLOOKUP($A10,historia!$A$5:$CM$24,+HLOOKUP(AU$2,historia!$A$3:$EC$4,2,FALSE),FALSE)</f>
        <v>4</v>
      </c>
      <c r="AV10" s="58">
        <f>VLOOKUP($A10,historia!$A$5:$CM$24,+HLOOKUP(AV$2,historia!$A$3:$EC$4,2,FALSE),FALSE)</f>
        <v>4</v>
      </c>
      <c r="AW10" s="58">
        <f>VLOOKUP($A10,historia!$A$5:$CM$24,+HLOOKUP(AW$2,historia!$A$3:$EC$4,2,FALSE),FALSE)</f>
        <v>4</v>
      </c>
      <c r="AX10" s="58">
        <f>VLOOKUP($A10,historia!$A$5:$CM$24,+HLOOKUP(AX$2,historia!$A$3:$EC$4,2,FALSE),FALSE)</f>
        <v>4</v>
      </c>
      <c r="AY10" s="58">
        <f>VLOOKUP($A10,historia!$A$5:$CM$24,+HLOOKUP(AY$2,historia!$A$3:$EC$4,2,FALSE),FALSE)</f>
        <v>4</v>
      </c>
      <c r="AZ10" s="58">
        <f>VLOOKUP($A10,historia!$A$5:$CM$24,+HLOOKUP(AZ$2,historia!$A$3:$EC$4,2,FALSE),FALSE)</f>
        <v>3</v>
      </c>
      <c r="BA10" s="58">
        <f>VLOOKUP($A10,historia!$A$5:$CM$24,+HLOOKUP(BA$2,historia!$A$3:$EC$4,2,FALSE),FALSE)</f>
        <v>4</v>
      </c>
      <c r="BB10" s="58"/>
      <c r="BC10" s="286">
        <v>4</v>
      </c>
      <c r="BD10" t="str">
        <f t="shared" si="20"/>
        <v>Cítricos Dulces</v>
      </c>
      <c r="BE10">
        <f>+datos!AU1</f>
        <v>47</v>
      </c>
      <c r="BF10" s="2" t="str">
        <f t="shared" si="4"/>
        <v>$/caja 18kg</v>
      </c>
      <c r="BG10" s="2">
        <f t="shared" si="4"/>
        <v>17502.375925925928</v>
      </c>
      <c r="BH10" s="2">
        <f t="shared" si="4"/>
        <v>18416.030303030304</v>
      </c>
      <c r="BI10" s="2">
        <f t="shared" si="4"/>
        <v>16554.346432748538</v>
      </c>
      <c r="BK10">
        <f>+datos!CX1</f>
        <v>102</v>
      </c>
      <c r="BL10" s="2">
        <f t="shared" si="21"/>
        <v>9458.1526911330129</v>
      </c>
      <c r="BM10" s="2">
        <f t="shared" si="21"/>
        <v>9189.1997704667647</v>
      </c>
      <c r="BN10" s="2">
        <f t="shared" si="21"/>
        <v>7116.6921863025173</v>
      </c>
      <c r="BP10" s="1">
        <f>+datos!ER1</f>
        <v>148</v>
      </c>
      <c r="BQ10" s="1">
        <f t="shared" si="22"/>
        <v>79911</v>
      </c>
      <c r="BR10" s="1">
        <f t="shared" si="22"/>
        <v>80248</v>
      </c>
      <c r="BT10" s="1">
        <f>+datos!GH1</f>
        <v>190</v>
      </c>
      <c r="BU10" s="1">
        <f t="shared" si="23"/>
        <v>1543162</v>
      </c>
      <c r="BV10" s="1">
        <f t="shared" si="23"/>
        <v>1734000</v>
      </c>
      <c r="BX10" s="1">
        <f>+datos!LT1</f>
        <v>332</v>
      </c>
      <c r="BY10" s="1">
        <f t="shared" si="39"/>
        <v>124.01457483999999</v>
      </c>
      <c r="BZ10" s="1">
        <f t="shared" si="40"/>
        <v>51.669207229999984</v>
      </c>
      <c r="CA10" s="1"/>
      <c r="CB10" s="1">
        <f>+datos!LX1</f>
        <v>336</v>
      </c>
      <c r="CC10" s="2">
        <f t="shared" si="24"/>
        <v>6.965907210000001</v>
      </c>
      <c r="CD10" s="2">
        <f t="shared" si="25"/>
        <v>5.2769350500000005</v>
      </c>
      <c r="CF10" s="1">
        <f>+datos!IV1</f>
        <v>256</v>
      </c>
      <c r="CG10" s="1">
        <f t="shared" si="26"/>
        <v>17.130000000000003</v>
      </c>
      <c r="CH10" s="1">
        <f t="shared" si="27"/>
        <v>17.39</v>
      </c>
      <c r="CJ10" s="1">
        <f t="shared" si="28"/>
        <v>11.482528969999997</v>
      </c>
      <c r="CK10" s="1">
        <f t="shared" si="28"/>
        <v>11.00321864</v>
      </c>
      <c r="CL10" s="1">
        <f t="shared" si="28"/>
        <v>18.05731771</v>
      </c>
      <c r="CM10" s="1">
        <f t="shared" si="28"/>
        <v>12.23030908</v>
      </c>
      <c r="CN10" s="1">
        <f t="shared" si="28"/>
        <v>17.119922650000003</v>
      </c>
      <c r="CO10" s="1">
        <f t="shared" si="28"/>
        <v>15.255558669999997</v>
      </c>
      <c r="CP10" s="1">
        <f t="shared" si="28"/>
        <v>10.271936310000001</v>
      </c>
      <c r="CQ10" s="1">
        <f t="shared" si="28"/>
        <v>14.041262509999999</v>
      </c>
      <c r="CR10" s="1">
        <f t="shared" si="28"/>
        <v>6.1015489199999999</v>
      </c>
      <c r="CS10" s="1">
        <f t="shared" si="28"/>
        <v>2.3063176799999998</v>
      </c>
      <c r="CT10" s="1">
        <f t="shared" si="28"/>
        <v>3.2785219999999997</v>
      </c>
      <c r="CU10" s="1">
        <f t="shared" si="28"/>
        <v>2.8661316999999999</v>
      </c>
      <c r="CV10" s="1">
        <f t="shared" si="28"/>
        <v>3.3581509099999995</v>
      </c>
      <c r="CW10" s="1">
        <f t="shared" si="28"/>
        <v>4.3519123000000004</v>
      </c>
      <c r="CX10" s="1">
        <f t="shared" si="28"/>
        <v>3.6482140500000004</v>
      </c>
      <c r="CY10" s="1">
        <f t="shared" si="28"/>
        <v>7.8852843799999999</v>
      </c>
      <c r="CZ10" s="1">
        <f t="shared" si="29"/>
        <v>4.4927710999999997</v>
      </c>
      <c r="DA10" s="1">
        <f t="shared" si="29"/>
        <v>3.9018705800000002</v>
      </c>
      <c r="DB10" s="1">
        <f t="shared" si="29"/>
        <v>10.723855849999996</v>
      </c>
      <c r="DC10" s="1">
        <f t="shared" si="29"/>
        <v>7.5775361799999992</v>
      </c>
      <c r="DD10" s="1">
        <f t="shared" si="29"/>
        <v>1.25129154</v>
      </c>
      <c r="DE10" s="1">
        <f t="shared" si="29"/>
        <v>0.77785399999999993</v>
      </c>
      <c r="DF10" s="1">
        <f t="shared" si="29"/>
        <v>1.96707276</v>
      </c>
      <c r="DG10" s="1">
        <f t="shared" si="29"/>
        <v>1.7333935799999998</v>
      </c>
      <c r="DI10" s="1">
        <f t="shared" si="30"/>
        <v>1.56764612</v>
      </c>
      <c r="DJ10" s="1">
        <f t="shared" si="30"/>
        <v>1.4871383200000001</v>
      </c>
      <c r="DK10" s="1">
        <f t="shared" si="30"/>
        <v>0.7069763</v>
      </c>
      <c r="DL10" s="1">
        <f t="shared" si="30"/>
        <v>0.35634324000000006</v>
      </c>
      <c r="DM10" s="1">
        <f t="shared" si="30"/>
        <v>0.22489865000000001</v>
      </c>
      <c r="DN10" s="1">
        <f t="shared" si="30"/>
        <v>0.17467300000000002</v>
      </c>
      <c r="DO10" s="1">
        <f t="shared" si="30"/>
        <v>7.2500000000000004E-3</v>
      </c>
      <c r="DP10" s="1">
        <f t="shared" si="30"/>
        <v>0.23680799999999999</v>
      </c>
      <c r="DQ10" s="1">
        <f t="shared" si="30"/>
        <v>0</v>
      </c>
      <c r="DR10" s="1">
        <f t="shared" si="30"/>
        <v>0.3075099</v>
      </c>
      <c r="DS10" s="1">
        <f t="shared" si="30"/>
        <v>0.82950560000000007</v>
      </c>
      <c r="DT10" s="1">
        <f t="shared" si="30"/>
        <v>1.06715808</v>
      </c>
      <c r="DU10" s="1">
        <f t="shared" si="30"/>
        <v>0.57276656999999997</v>
      </c>
      <c r="DV10" s="1">
        <f t="shared" si="30"/>
        <v>0.50591796999999994</v>
      </c>
      <c r="DW10" s="1">
        <f t="shared" si="30"/>
        <v>0.37369366000000004</v>
      </c>
      <c r="DX10" s="1">
        <f t="shared" si="30"/>
        <v>1.8223369999999999E-2</v>
      </c>
      <c r="DY10" s="1">
        <f t="shared" si="31"/>
        <v>0.26981320000000003</v>
      </c>
      <c r="DZ10" s="1">
        <f t="shared" si="31"/>
        <v>0.36129600000000001</v>
      </c>
      <c r="EA10" s="1">
        <f t="shared" si="31"/>
        <v>3.0606999999999997E-4</v>
      </c>
      <c r="EB10" s="1">
        <f t="shared" si="31"/>
        <v>0.33402694999999999</v>
      </c>
      <c r="EC10" s="1">
        <f t="shared" si="31"/>
        <v>0</v>
      </c>
      <c r="ED10" s="1">
        <f t="shared" si="31"/>
        <v>0.31172668999999997</v>
      </c>
      <c r="EE10" s="1">
        <f t="shared" si="31"/>
        <v>1.32104435</v>
      </c>
      <c r="EF10" s="1">
        <f t="shared" si="31"/>
        <v>1.2081202200000001</v>
      </c>
      <c r="EH10" s="14">
        <f t="shared" si="32"/>
        <v>17.130000000000003</v>
      </c>
      <c r="EI10" s="14">
        <f t="shared" si="32"/>
        <v>17.130000000000003</v>
      </c>
      <c r="EJ10" s="1">
        <f t="shared" si="32"/>
        <v>17.39</v>
      </c>
      <c r="EK10" s="1">
        <f t="shared" si="32"/>
        <v>17.39</v>
      </c>
      <c r="EL10" s="1">
        <f t="shared" si="32"/>
        <v>17.39</v>
      </c>
      <c r="EM10" s="1">
        <f t="shared" si="32"/>
        <v>17.39</v>
      </c>
      <c r="EN10" s="1">
        <f t="shared" si="32"/>
        <v>17.39</v>
      </c>
      <c r="EO10" s="1">
        <f t="shared" si="32"/>
        <v>17.39</v>
      </c>
      <c r="EP10" s="1">
        <f t="shared" si="32"/>
        <v>17.39</v>
      </c>
      <c r="EQ10" s="1">
        <f t="shared" si="32"/>
        <v>17.39</v>
      </c>
      <c r="ER10" s="1">
        <f t="shared" si="32"/>
        <v>17.39</v>
      </c>
      <c r="ES10" s="1">
        <f t="shared" si="32"/>
        <v>17.39</v>
      </c>
      <c r="ET10" s="1">
        <f t="shared" si="32"/>
        <v>17.39</v>
      </c>
      <c r="EU10" s="1">
        <f t="shared" si="32"/>
        <v>17.39</v>
      </c>
      <c r="EV10" s="1">
        <f t="shared" si="32"/>
        <v>19.739999999999998</v>
      </c>
      <c r="EW10" s="1">
        <f t="shared" si="32"/>
        <v>19.739999999999998</v>
      </c>
      <c r="EX10" s="1">
        <f t="shared" si="33"/>
        <v>19.739999999999998</v>
      </c>
      <c r="EY10" s="1">
        <f t="shared" si="33"/>
        <v>19.739999999999998</v>
      </c>
      <c r="EZ10" s="1">
        <f t="shared" si="33"/>
        <v>19.739999999999998</v>
      </c>
      <c r="FA10" s="1">
        <f t="shared" si="33"/>
        <v>19.739999999999998</v>
      </c>
      <c r="FB10" s="1">
        <f t="shared" si="33"/>
        <v>19.739999999999998</v>
      </c>
      <c r="FC10" s="1">
        <f t="shared" si="33"/>
        <v>19.739999999999998</v>
      </c>
      <c r="FD10" s="1">
        <f t="shared" si="33"/>
        <v>19.739999999999998</v>
      </c>
      <c r="FE10" s="1">
        <f t="shared" si="33"/>
        <v>19.739999999999998</v>
      </c>
      <c r="FG10" s="162">
        <f t="shared" si="34"/>
        <v>-0.27174195503674525</v>
      </c>
    </row>
    <row r="11" spans="1:163" ht="18.75" customHeight="1">
      <c r="A11" s="244" t="s">
        <v>116</v>
      </c>
      <c r="B11" s="247"/>
      <c r="C11" s="228">
        <f t="shared" si="5"/>
        <v>-0.33</v>
      </c>
      <c r="D11" s="229">
        <v>1</v>
      </c>
      <c r="E11" s="253">
        <f t="shared" si="6"/>
        <v>5.3300760646270984E-3</v>
      </c>
      <c r="F11" s="254">
        <f t="shared" si="7"/>
        <v>-1.8690473012826114E-2</v>
      </c>
      <c r="G11" s="253">
        <f t="shared" si="8"/>
        <v>3.8035827266134747E-2</v>
      </c>
      <c r="H11" s="254">
        <f t="shared" si="9"/>
        <v>-3.2705751201507649E-2</v>
      </c>
      <c r="I11" s="253">
        <f t="shared" si="10"/>
        <v>0.12896082534183884</v>
      </c>
      <c r="J11" s="254">
        <f t="shared" si="11"/>
        <v>-0.53978215158248988</v>
      </c>
      <c r="K11" s="253">
        <f t="shared" si="12"/>
        <v>0.56683011588679966</v>
      </c>
      <c r="L11" s="254">
        <f t="shared" si="13"/>
        <v>-0.43786929054496082</v>
      </c>
      <c r="M11" s="255"/>
      <c r="N11" s="256"/>
      <c r="O11" s="253" t="str">
        <f t="shared" si="35"/>
        <v/>
      </c>
      <c r="P11" s="257" t="str">
        <f t="shared" si="36"/>
        <v/>
      </c>
      <c r="Q11" s="253">
        <f t="shared" si="14"/>
        <v>0</v>
      </c>
      <c r="R11" s="257">
        <f t="shared" si="37"/>
        <v>0</v>
      </c>
      <c r="S11" s="255"/>
      <c r="T11" s="24">
        <v>-2</v>
      </c>
      <c r="U11" s="253">
        <f t="shared" si="15"/>
        <v>-0.26062241987763368</v>
      </c>
      <c r="V11" s="258">
        <f t="shared" si="16"/>
        <v>-0.26062241987763368</v>
      </c>
      <c r="W11" s="253">
        <f t="shared" si="38"/>
        <v>-0.25418885811246505</v>
      </c>
      <c r="X11" s="258">
        <f t="shared" si="17"/>
        <v>-0.25418885811246505</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4</v>
      </c>
      <c r="AY11" s="58">
        <f>VLOOKUP($A11,historia!$A$5:$CM$24,+HLOOKUP(AY$2,historia!$A$3:$EC$4,2,FALSE),FALSE)</f>
        <v>4</v>
      </c>
      <c r="AZ11" s="58">
        <f>VLOOKUP($A11,historia!$A$5:$CM$24,+HLOOKUP(AZ$2,historia!$A$3:$EC$4,2,FALSE),FALSE)</f>
        <v>3</v>
      </c>
      <c r="BA11" s="58">
        <f>VLOOKUP($A11,historia!$A$5:$CM$24,+HLOOKUP(BA$2,historia!$A$3:$EC$4,2,FALSE),FALSE)</f>
        <v>3</v>
      </c>
      <c r="BB11" s="58"/>
      <c r="BC11" s="286">
        <v>3</v>
      </c>
      <c r="BD11" t="str">
        <f t="shared" si="20"/>
        <v>Forestal</v>
      </c>
      <c r="BE11">
        <f>+datos!BG1</f>
        <v>59</v>
      </c>
      <c r="BF11" s="2" t="str">
        <f t="shared" si="4"/>
        <v>$/t</v>
      </c>
      <c r="BG11" s="2">
        <f t="shared" si="4"/>
        <v>27160.5</v>
      </c>
      <c r="BH11" s="2">
        <f t="shared" si="4"/>
        <v>27016.5</v>
      </c>
      <c r="BI11" s="2">
        <f t="shared" si="4"/>
        <v>24057.964980118821</v>
      </c>
      <c r="BK11">
        <f>+datos!CZ1</f>
        <v>104</v>
      </c>
      <c r="BL11" s="2">
        <f t="shared" si="21"/>
        <v>12081.630754566766</v>
      </c>
      <c r="BM11" s="2">
        <f t="shared" si="21"/>
        <v>11638.934261436856</v>
      </c>
      <c r="BN11" s="2">
        <f t="shared" si="21"/>
        <v>7710.8747349605064</v>
      </c>
      <c r="BP11" s="1">
        <f>+datos!ES1</f>
        <v>149</v>
      </c>
      <c r="BQ11" s="1">
        <f t="shared" si="22"/>
        <v>0</v>
      </c>
      <c r="BR11" s="1">
        <f t="shared" si="22"/>
        <v>0</v>
      </c>
      <c r="BT11" s="1">
        <f>+datos!GI1</f>
        <v>191</v>
      </c>
      <c r="BU11" s="1">
        <f t="shared" si="23"/>
        <v>1302556</v>
      </c>
      <c r="BV11" s="1">
        <f t="shared" si="23"/>
        <v>1302556</v>
      </c>
      <c r="BX11" s="1">
        <f>+datos!KB1</f>
        <v>288</v>
      </c>
      <c r="BY11" s="1">
        <f t="shared" si="39"/>
        <v>211.98174591</v>
      </c>
      <c r="BZ11" s="1">
        <f t="shared" si="40"/>
        <v>286.70296694000001</v>
      </c>
      <c r="CB11" s="1">
        <f>+datos!LG1</f>
        <v>319</v>
      </c>
      <c r="CC11" s="2">
        <f t="shared" si="24"/>
        <v>179.10496054000001</v>
      </c>
      <c r="CD11" s="2">
        <f t="shared" si="25"/>
        <v>240.14787455000001</v>
      </c>
      <c r="CF11" s="1">
        <f>+datos!IW1</f>
        <v>257</v>
      </c>
      <c r="CG11" s="1">
        <f t="shared" si="26"/>
        <v>0</v>
      </c>
      <c r="CH11" s="1">
        <f t="shared" si="27"/>
        <v>0</v>
      </c>
      <c r="CJ11" s="1">
        <f t="shared" si="28"/>
        <v>14.484437890000001</v>
      </c>
      <c r="CK11" s="1">
        <f t="shared" si="28"/>
        <v>10.200287200000002</v>
      </c>
      <c r="CL11" s="1">
        <f t="shared" si="28"/>
        <v>11.119065489999999</v>
      </c>
      <c r="CM11" s="1">
        <f t="shared" si="28"/>
        <v>13.50721221</v>
      </c>
      <c r="CN11" s="1">
        <f t="shared" si="28"/>
        <v>17.7783984</v>
      </c>
      <c r="CO11" s="1">
        <f t="shared" si="28"/>
        <v>18.158715399999995</v>
      </c>
      <c r="CP11" s="1">
        <f t="shared" si="28"/>
        <v>13.62277192</v>
      </c>
      <c r="CQ11" s="1">
        <f t="shared" si="28"/>
        <v>18.147427050000005</v>
      </c>
      <c r="CR11" s="1">
        <f t="shared" si="28"/>
        <v>16.38459563</v>
      </c>
      <c r="CS11" s="1">
        <f t="shared" si="28"/>
        <v>19.29025034</v>
      </c>
      <c r="CT11" s="1">
        <f t="shared" si="28"/>
        <v>32.635385889999995</v>
      </c>
      <c r="CU11" s="1">
        <f t="shared" si="28"/>
        <v>26.653198490000001</v>
      </c>
      <c r="CV11" s="1">
        <f t="shared" si="28"/>
        <v>23.932255000000001</v>
      </c>
      <c r="CW11" s="1">
        <f t="shared" si="28"/>
        <v>23.104867779999999</v>
      </c>
      <c r="CX11" s="1">
        <f t="shared" si="28"/>
        <v>24.797754910000005</v>
      </c>
      <c r="CY11" s="1">
        <f t="shared" si="28"/>
        <v>26.00374025</v>
      </c>
      <c r="CZ11" s="1">
        <f t="shared" si="29"/>
        <v>24.373047020000001</v>
      </c>
      <c r="DA11" s="1">
        <f t="shared" si="29"/>
        <v>25.649224320000002</v>
      </c>
      <c r="DB11" s="1">
        <f t="shared" si="29"/>
        <v>23.667757810000001</v>
      </c>
      <c r="DC11" s="1">
        <f t="shared" si="29"/>
        <v>25.088845019999997</v>
      </c>
      <c r="DD11" s="1">
        <f t="shared" si="29"/>
        <v>26.5668471</v>
      </c>
      <c r="DE11" s="1">
        <f t="shared" si="29"/>
        <v>23.814064600000002</v>
      </c>
      <c r="DF11" s="1">
        <f t="shared" si="29"/>
        <v>20.56411928</v>
      </c>
      <c r="DG11" s="1">
        <f t="shared" si="29"/>
        <v>19.140443850000004</v>
      </c>
      <c r="DI11" s="1">
        <f t="shared" si="30"/>
        <v>16.998994660000001</v>
      </c>
      <c r="DJ11" s="1">
        <f t="shared" si="30"/>
        <v>14.09144206</v>
      </c>
      <c r="DK11" s="1">
        <f t="shared" si="30"/>
        <v>14.036730870000001</v>
      </c>
      <c r="DL11" s="1">
        <f t="shared" si="30"/>
        <v>13.365554540000002</v>
      </c>
      <c r="DM11" s="1">
        <f t="shared" si="30"/>
        <v>15.589800310000003</v>
      </c>
      <c r="DN11" s="1">
        <f t="shared" si="30"/>
        <v>16.942532470000003</v>
      </c>
      <c r="DO11" s="1">
        <f t="shared" si="30"/>
        <v>10.998476289999999</v>
      </c>
      <c r="DP11" s="1">
        <f t="shared" si="30"/>
        <v>11.46589975</v>
      </c>
      <c r="DQ11" s="1">
        <f t="shared" si="30"/>
        <v>13.53170609</v>
      </c>
      <c r="DR11" s="1">
        <f t="shared" si="30"/>
        <v>19.941855059999995</v>
      </c>
      <c r="DS11" s="1">
        <f t="shared" si="30"/>
        <v>17.561880160000001</v>
      </c>
      <c r="DT11" s="1">
        <f t="shared" si="30"/>
        <v>14.580088280000002</v>
      </c>
      <c r="DU11" s="1">
        <f t="shared" si="30"/>
        <v>13.107541810000001</v>
      </c>
      <c r="DV11" s="1">
        <f t="shared" si="30"/>
        <v>9.0834929199999994</v>
      </c>
      <c r="DW11" s="1">
        <f t="shared" si="30"/>
        <v>9.5859924200000002</v>
      </c>
      <c r="DX11" s="1">
        <f t="shared" si="30"/>
        <v>12.114691449999999</v>
      </c>
      <c r="DY11" s="1">
        <f t="shared" si="31"/>
        <v>21.937746180000001</v>
      </c>
      <c r="DZ11" s="1">
        <f t="shared" si="31"/>
        <v>16.68359323</v>
      </c>
      <c r="EA11" s="1">
        <f t="shared" si="31"/>
        <v>23.390239519999994</v>
      </c>
      <c r="EB11" s="1">
        <f t="shared" si="31"/>
        <v>24.97777258</v>
      </c>
      <c r="EC11" s="1">
        <f t="shared" si="31"/>
        <v>25.979397770000002</v>
      </c>
      <c r="ED11" s="1">
        <f t="shared" si="31"/>
        <v>26.663923630000003</v>
      </c>
      <c r="EE11" s="1">
        <f t="shared" si="31"/>
        <v>25.77809422</v>
      </c>
      <c r="EF11" s="1">
        <f t="shared" si="31"/>
        <v>30.845388820000004</v>
      </c>
      <c r="EH11" s="14">
        <f t="shared" si="32"/>
        <v>0</v>
      </c>
      <c r="EI11" s="14">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3"/>
        <v>0</v>
      </c>
      <c r="EY11" s="1">
        <f t="shared" si="33"/>
        <v>0</v>
      </c>
      <c r="EZ11" s="1">
        <f t="shared" si="33"/>
        <v>0</v>
      </c>
      <c r="FA11" s="1">
        <f t="shared" si="33"/>
        <v>0</v>
      </c>
      <c r="FB11" s="1">
        <f t="shared" si="33"/>
        <v>0</v>
      </c>
      <c r="FC11" s="1">
        <f t="shared" si="33"/>
        <v>0</v>
      </c>
      <c r="FD11" s="1">
        <f t="shared" si="33"/>
        <v>0</v>
      </c>
      <c r="FE11" s="1">
        <f t="shared" si="33"/>
        <v>0</v>
      </c>
      <c r="FG11" s="162">
        <f t="shared" si="34"/>
        <v>-0.43786929054496082</v>
      </c>
    </row>
    <row r="12" spans="1:163" ht="18.75" customHeight="1">
      <c r="A12" s="243" t="s">
        <v>216</v>
      </c>
      <c r="B12" s="246"/>
      <c r="C12" s="156">
        <f t="shared" si="5"/>
        <v>-0.33</v>
      </c>
      <c r="D12" s="198">
        <v>-1</v>
      </c>
      <c r="E12" s="248">
        <f t="shared" si="6"/>
        <v>7.6575128131476156E-2</v>
      </c>
      <c r="F12" s="249">
        <f t="shared" si="7"/>
        <v>5.2554579054022943E-2</v>
      </c>
      <c r="G12" s="248">
        <f t="shared" si="8"/>
        <v>7.7969505563495689E-2</v>
      </c>
      <c r="H12" s="249">
        <f t="shared" si="9"/>
        <v>-1.3943774320195335E-3</v>
      </c>
      <c r="I12" s="248">
        <f t="shared" si="10"/>
        <v>0.35135328769338403</v>
      </c>
      <c r="J12" s="249">
        <f t="shared" si="11"/>
        <v>-0.31738968923094468</v>
      </c>
      <c r="K12" s="248">
        <f t="shared" si="12"/>
        <v>0.32182111858091855</v>
      </c>
      <c r="L12" s="249">
        <f t="shared" si="13"/>
        <v>2.9532169112465478E-2</v>
      </c>
      <c r="M12" s="250"/>
      <c r="N12" s="24">
        <v>1</v>
      </c>
      <c r="O12" s="248">
        <f t="shared" si="35"/>
        <v>5.4685208003285801E-2</v>
      </c>
      <c r="P12" s="251">
        <f t="shared" si="36"/>
        <v>5.4685208003285801E-2</v>
      </c>
      <c r="Q12" s="248">
        <f t="shared" si="14"/>
        <v>0.17780732275371758</v>
      </c>
      <c r="R12" s="251">
        <f t="shared" si="37"/>
        <v>0.17780732275371758</v>
      </c>
      <c r="S12" s="250"/>
      <c r="T12" s="24">
        <v>-1</v>
      </c>
      <c r="U12" s="248">
        <f t="shared" si="15"/>
        <v>0.17490091341178937</v>
      </c>
      <c r="V12" s="252">
        <f t="shared" si="16"/>
        <v>0.17490091341178937</v>
      </c>
      <c r="W12" s="248">
        <f t="shared" si="38"/>
        <v>-0.44407157869771152</v>
      </c>
      <c r="X12" s="252">
        <f t="shared" si="17"/>
        <v>-0.44407157869771152</v>
      </c>
      <c r="Y12" s="248">
        <f t="shared" si="18"/>
        <v>0.12989830508474576</v>
      </c>
      <c r="Z12" s="252">
        <f t="shared" si="19"/>
        <v>0.12989830508474576</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5</v>
      </c>
      <c r="AQ12" s="28">
        <f>VLOOKUP($A12,historia!$A$5:$CM$24,+HLOOKUP(AQ$2,historia!$A$3:$EC$4,2,FALSE),FALSE)</f>
        <v>5</v>
      </c>
      <c r="AR12" s="28">
        <f>VLOOKUP($A12,historia!$A$5:$CM$24,+HLOOKUP(AR$2,historia!$A$3:$EC$4,2,FALSE),FALSE)</f>
        <v>4</v>
      </c>
      <c r="AS12" s="28">
        <f>VLOOKUP($A12,historia!$A$5:$CM$24,+HLOOKUP(AS$2,historia!$A$3:$EC$4,2,FALSE),FALSE)</f>
        <v>4</v>
      </c>
      <c r="AT12" s="58">
        <f>VLOOKUP($A12,historia!$A$5:$CM$24,+HLOOKUP(AT$2,historia!$A$3:$EC$4,2,FALSE),FALSE)</f>
        <v>4</v>
      </c>
      <c r="AU12" s="58">
        <f>VLOOKUP($A12,historia!$A$5:$CM$24,+HLOOKUP(AU$2,historia!$A$3:$EC$4,2,FALSE),FALSE)</f>
        <v>4</v>
      </c>
      <c r="AV12" s="58">
        <f>VLOOKUP($A12,historia!$A$5:$CM$24,+HLOOKUP(AV$2,historia!$A$3:$EC$4,2,FALSE),FALSE)</f>
        <v>4</v>
      </c>
      <c r="AW12" s="58">
        <f>VLOOKUP($A12,historia!$A$5:$CM$24,+HLOOKUP(AW$2,historia!$A$3:$EC$4,2,FALSE),FALSE)</f>
        <v>4</v>
      </c>
      <c r="AX12" s="58">
        <f>VLOOKUP($A12,historia!$A$5:$CM$24,+HLOOKUP(AX$2,historia!$A$3:$EC$4,2,FALSE),FALSE)</f>
        <v>4</v>
      </c>
      <c r="AY12" s="58">
        <f>VLOOKUP($A12,historia!$A$5:$CM$24,+HLOOKUP(AY$2,historia!$A$3:$EC$4,2,FALSE),FALSE)</f>
        <v>4</v>
      </c>
      <c r="AZ12" s="58">
        <f>VLOOKUP($A12,historia!$A$5:$CM$24,+HLOOKUP(AZ$2,historia!$A$3:$EC$4,2,FALSE),FALSE)</f>
        <v>3</v>
      </c>
      <c r="BA12" s="58">
        <f>VLOOKUP($A12,historia!$A$5:$CM$24,+HLOOKUP(BA$2,historia!$A$3:$EC$4,2,FALSE),FALSE)</f>
        <v>3</v>
      </c>
      <c r="BB12" s="58"/>
      <c r="BC12" s="286">
        <v>3</v>
      </c>
      <c r="BD12" t="str">
        <f t="shared" si="20"/>
        <v>Granos</v>
      </c>
      <c r="BE12">
        <f>+datos!AE1</f>
        <v>31</v>
      </c>
      <c r="BF12" s="2" t="str">
        <f t="shared" si="4"/>
        <v>$/t</v>
      </c>
      <c r="BG12" s="2">
        <f t="shared" si="4"/>
        <v>260976.97820833331</v>
      </c>
      <c r="BH12" s="2">
        <f t="shared" si="4"/>
        <v>242414.08833333332</v>
      </c>
      <c r="BI12" s="2">
        <f t="shared" si="4"/>
        <v>193122.68714999998</v>
      </c>
      <c r="BK12">
        <f>+datos!CG1</f>
        <v>85</v>
      </c>
      <c r="BL12" s="2">
        <f t="shared" si="21"/>
        <v>9980.579472865893</v>
      </c>
      <c r="BM12" s="2">
        <f t="shared" si="21"/>
        <v>9258.6844260020735</v>
      </c>
      <c r="BN12" s="2">
        <f t="shared" si="21"/>
        <v>7550.6279424411441</v>
      </c>
      <c r="BP12" s="1">
        <f>+datos!EA1</f>
        <v>131</v>
      </c>
      <c r="BQ12" s="1">
        <f t="shared" si="22"/>
        <v>35950000</v>
      </c>
      <c r="BR12" s="1">
        <f t="shared" si="22"/>
        <v>34086000</v>
      </c>
      <c r="BT12" s="1">
        <f>+datos!FV1</f>
        <v>178</v>
      </c>
      <c r="BU12" s="1">
        <f t="shared" si="23"/>
        <v>124910000</v>
      </c>
      <c r="BV12" s="1">
        <f t="shared" si="23"/>
        <v>106053000</v>
      </c>
      <c r="BX12" s="1">
        <f>+datos!LQ1</f>
        <v>329</v>
      </c>
      <c r="BY12" s="1">
        <f>+SUM(CJ12:CU12)</f>
        <v>44280.710862019994</v>
      </c>
      <c r="BZ12" s="1">
        <f t="shared" si="40"/>
        <v>37688.889638729997</v>
      </c>
      <c r="CB12" s="1">
        <f>+datos!LU1</f>
        <v>333</v>
      </c>
      <c r="CC12" s="2">
        <f t="shared" si="24"/>
        <v>3064.3839850999998</v>
      </c>
      <c r="CD12" s="2">
        <f t="shared" si="25"/>
        <v>5512.1916197800001</v>
      </c>
      <c r="CF12" s="1">
        <f>+datos!II1</f>
        <v>243</v>
      </c>
      <c r="CG12" s="1">
        <f t="shared" si="26"/>
        <v>83330000</v>
      </c>
      <c r="CH12" s="1">
        <f t="shared" si="27"/>
        <v>73750000</v>
      </c>
      <c r="CJ12" s="1">
        <f>+VLOOKUP(CJ$1,ran_dat,$BX12,FALSE)</f>
        <v>3193.1112506200002</v>
      </c>
      <c r="CK12" s="1">
        <f t="shared" si="28"/>
        <v>3231.2263099199999</v>
      </c>
      <c r="CL12" s="1">
        <f t="shared" si="28"/>
        <v>3313.8442822299994</v>
      </c>
      <c r="CM12" s="1">
        <f t="shared" si="28"/>
        <v>3339.9998161899998</v>
      </c>
      <c r="CN12" s="1">
        <f t="shared" si="28"/>
        <v>3485.71732419</v>
      </c>
      <c r="CO12" s="1">
        <f t="shared" si="28"/>
        <v>3410.80431886</v>
      </c>
      <c r="CP12" s="1">
        <f t="shared" si="28"/>
        <v>3348.6268518899992</v>
      </c>
      <c r="CQ12" s="1">
        <f t="shared" si="28"/>
        <v>4200.6671527199996</v>
      </c>
      <c r="CR12" s="1">
        <f t="shared" si="28"/>
        <v>4256.6159984299993</v>
      </c>
      <c r="CS12" s="1">
        <f t="shared" si="28"/>
        <v>4805.0657855600002</v>
      </c>
      <c r="CT12" s="1">
        <f t="shared" si="28"/>
        <v>3818.0878160900002</v>
      </c>
      <c r="CU12" s="1">
        <f t="shared" si="28"/>
        <v>3876.9439553199995</v>
      </c>
      <c r="CV12" s="1">
        <f t="shared" si="28"/>
        <v>3089.4855235099994</v>
      </c>
      <c r="CW12" s="1">
        <f t="shared" si="28"/>
        <v>3929.1762735700004</v>
      </c>
      <c r="CX12" s="1">
        <f t="shared" si="28"/>
        <v>2955.6698254600001</v>
      </c>
      <c r="CY12" s="1">
        <f t="shared" si="28"/>
        <v>2441.9361675499999</v>
      </c>
      <c r="CZ12" s="1">
        <f t="shared" si="29"/>
        <v>2439.6070879799995</v>
      </c>
      <c r="DA12" s="1">
        <f t="shared" si="29"/>
        <v>2937.94498135</v>
      </c>
      <c r="DB12" s="1">
        <f t="shared" si="29"/>
        <v>3422.8062754199996</v>
      </c>
      <c r="DC12" s="1">
        <f t="shared" si="29"/>
        <v>3305.4373540500001</v>
      </c>
      <c r="DD12" s="1">
        <f t="shared" si="29"/>
        <v>3388.1727426199996</v>
      </c>
      <c r="DE12" s="1">
        <f t="shared" si="29"/>
        <v>3792.8302867999996</v>
      </c>
      <c r="DF12" s="1">
        <f t="shared" si="29"/>
        <v>3116.9694759099998</v>
      </c>
      <c r="DG12" s="1">
        <f t="shared" si="29"/>
        <v>2868.8536445099994</v>
      </c>
      <c r="DI12" s="1">
        <f t="shared" si="30"/>
        <v>288.1429152</v>
      </c>
      <c r="DJ12" s="1">
        <f t="shared" si="30"/>
        <v>31.883400920000003</v>
      </c>
      <c r="DK12" s="1">
        <f t="shared" si="30"/>
        <v>52.19269714</v>
      </c>
      <c r="DL12" s="1">
        <f t="shared" si="30"/>
        <v>201.41567115000001</v>
      </c>
      <c r="DM12" s="1">
        <f t="shared" si="30"/>
        <v>299.18688666000003</v>
      </c>
      <c r="DN12" s="1">
        <f t="shared" si="30"/>
        <v>265.28366987999999</v>
      </c>
      <c r="DO12" s="1">
        <f t="shared" si="30"/>
        <v>214.60650260000006</v>
      </c>
      <c r="DP12" s="1">
        <f t="shared" si="30"/>
        <v>390.93673457</v>
      </c>
      <c r="DQ12" s="1">
        <f t="shared" si="30"/>
        <v>293.37536226000003</v>
      </c>
      <c r="DR12" s="1">
        <f t="shared" si="30"/>
        <v>336.54852982999995</v>
      </c>
      <c r="DS12" s="1">
        <f t="shared" si="30"/>
        <v>300.95428591999996</v>
      </c>
      <c r="DT12" s="1">
        <f t="shared" si="30"/>
        <v>389.85732896999997</v>
      </c>
      <c r="DU12" s="1">
        <f t="shared" si="30"/>
        <v>280.54397103999997</v>
      </c>
      <c r="DV12" s="1">
        <f t="shared" si="30"/>
        <v>63.525792080000002</v>
      </c>
      <c r="DW12" s="1">
        <f t="shared" si="30"/>
        <v>301.92103216000004</v>
      </c>
      <c r="DX12" s="1">
        <f t="shared" si="30"/>
        <v>260.76831764999997</v>
      </c>
      <c r="DY12" s="1">
        <f t="shared" si="31"/>
        <v>244.67742642000002</v>
      </c>
      <c r="DZ12" s="1">
        <f t="shared" si="31"/>
        <v>322.58249758000005</v>
      </c>
      <c r="EA12" s="1">
        <f t="shared" si="31"/>
        <v>495.08938117000014</v>
      </c>
      <c r="EB12" s="1">
        <f t="shared" si="31"/>
        <v>539.06610803000001</v>
      </c>
      <c r="EC12" s="1">
        <f t="shared" si="31"/>
        <v>828.84254484999997</v>
      </c>
      <c r="ED12" s="1">
        <f t="shared" si="31"/>
        <v>679.74768902999983</v>
      </c>
      <c r="EE12" s="1">
        <f t="shared" si="31"/>
        <v>678.42759025000009</v>
      </c>
      <c r="EF12" s="1">
        <f t="shared" si="31"/>
        <v>816.99926951999987</v>
      </c>
      <c r="EH12" s="14">
        <f t="shared" si="32"/>
        <v>83330000</v>
      </c>
      <c r="EI12" s="14">
        <f t="shared" si="32"/>
        <v>83330000</v>
      </c>
      <c r="EJ12" s="1">
        <f t="shared" si="32"/>
        <v>81580000</v>
      </c>
      <c r="EK12" s="1">
        <f t="shared" si="32"/>
        <v>81600000</v>
      </c>
      <c r="EL12" s="1">
        <f t="shared" si="32"/>
        <v>81600000</v>
      </c>
      <c r="EM12" s="1">
        <f t="shared" si="32"/>
        <v>81600000</v>
      </c>
      <c r="EN12" s="1">
        <f t="shared" si="32"/>
        <v>81600000</v>
      </c>
      <c r="EO12" s="1">
        <f t="shared" si="32"/>
        <v>81600000</v>
      </c>
      <c r="EP12" s="1">
        <f t="shared" si="32"/>
        <v>81600000</v>
      </c>
      <c r="EQ12" s="1">
        <f t="shared" si="32"/>
        <v>81600000</v>
      </c>
      <c r="ER12" s="1">
        <f t="shared" si="32"/>
        <v>81600000</v>
      </c>
      <c r="ES12" s="1">
        <f t="shared" si="32"/>
        <v>73750000</v>
      </c>
      <c r="ET12" s="1">
        <f t="shared" si="32"/>
        <v>73750000</v>
      </c>
      <c r="EU12" s="1">
        <f t="shared" si="32"/>
        <v>73450000</v>
      </c>
      <c r="EV12" s="1">
        <f t="shared" si="32"/>
        <v>73450000</v>
      </c>
      <c r="EW12" s="1">
        <f t="shared" si="32"/>
        <v>73450000</v>
      </c>
      <c r="EX12" s="1">
        <f t="shared" si="33"/>
        <v>73450000</v>
      </c>
      <c r="EY12" s="1">
        <f t="shared" si="33"/>
        <v>73450000</v>
      </c>
      <c r="EZ12" s="1">
        <f t="shared" si="33"/>
        <v>73450000</v>
      </c>
      <c r="FA12" s="1">
        <f t="shared" si="33"/>
        <v>73450000</v>
      </c>
      <c r="FB12" s="1">
        <f t="shared" si="33"/>
        <v>73450000</v>
      </c>
      <c r="FC12" s="1">
        <f t="shared" si="33"/>
        <v>73450000</v>
      </c>
      <c r="FD12" s="1">
        <f t="shared" si="33"/>
        <v>73450000</v>
      </c>
      <c r="FE12" s="1">
        <f t="shared" si="33"/>
        <v>74890000</v>
      </c>
      <c r="FG12" s="162">
        <f t="shared" si="34"/>
        <v>2.9532169112465478E-2</v>
      </c>
    </row>
    <row r="13" spans="1:163" ht="18.75" customHeight="1">
      <c r="A13" s="244" t="s">
        <v>217</v>
      </c>
      <c r="B13" s="247"/>
      <c r="C13" s="228">
        <f t="shared" si="5"/>
        <v>0</v>
      </c>
      <c r="D13" s="229">
        <v>0</v>
      </c>
      <c r="E13" s="253">
        <f t="shared" si="6"/>
        <v>-0.24852099104788983</v>
      </c>
      <c r="F13" s="254">
        <f t="shared" si="7"/>
        <v>-0.27254154012534304</v>
      </c>
      <c r="G13" s="253">
        <f t="shared" si="8"/>
        <v>-1.5290294272280125E-2</v>
      </c>
      <c r="H13" s="254">
        <f t="shared" si="9"/>
        <v>-0.2332306967756097</v>
      </c>
      <c r="I13" s="253">
        <f t="shared" si="10"/>
        <v>0.11920195353483498</v>
      </c>
      <c r="J13" s="254">
        <f t="shared" si="11"/>
        <v>-0.54954102338949373</v>
      </c>
      <c r="K13" s="253">
        <f t="shared" si="12"/>
        <v>0.36503160708859861</v>
      </c>
      <c r="L13" s="254">
        <f t="shared" si="13"/>
        <v>-0.24582965355376363</v>
      </c>
      <c r="M13" s="255"/>
      <c r="N13" s="256">
        <v>0</v>
      </c>
      <c r="O13" s="253">
        <f t="shared" si="35"/>
        <v>0</v>
      </c>
      <c r="P13" s="257">
        <f t="shared" si="36"/>
        <v>0</v>
      </c>
      <c r="Q13" s="253">
        <f t="shared" si="14"/>
        <v>0</v>
      </c>
      <c r="R13" s="257">
        <f t="shared" si="37"/>
        <v>0</v>
      </c>
      <c r="S13" s="255"/>
      <c r="T13" s="256">
        <v>0</v>
      </c>
      <c r="U13" s="253">
        <f t="shared" si="15"/>
        <v>-0.12715950906363671</v>
      </c>
      <c r="V13" s="258">
        <f t="shared" si="16"/>
        <v>-0.12715950906363671</v>
      </c>
      <c r="W13" s="253">
        <f t="shared" si="38"/>
        <v>1.3490880381600641</v>
      </c>
      <c r="X13" s="258">
        <f t="shared" si="17"/>
        <v>1.3490880381600641</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3</v>
      </c>
      <c r="AR13" s="28">
        <f>VLOOKUP($A13,historia!$A$5:$CM$24,+HLOOKUP(AR$2,historia!$A$3:$EC$4,2,FALSE),FALSE)</f>
        <v>2</v>
      </c>
      <c r="AS13" s="28">
        <f>VLOOKUP($A13,historia!$A$5:$CM$24,+HLOOKUP(AS$2,historia!$A$3:$EC$4,2,FALSE),FALSE)</f>
        <v>2</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3</v>
      </c>
      <c r="BA13" s="58">
        <f>VLOOKUP($A13,historia!$A$5:$CM$24,+HLOOKUP(BA$2,historia!$A$3:$EC$4,2,FALSE),FALSE)</f>
        <v>4</v>
      </c>
      <c r="BB13" s="58"/>
      <c r="BC13" s="286">
        <v>4</v>
      </c>
      <c r="BD13" t="str">
        <f t="shared" si="20"/>
        <v>Hortalizas</v>
      </c>
      <c r="BE13">
        <f>+datos!BB1</f>
        <v>54</v>
      </c>
      <c r="BF13" s="2" t="str">
        <f t="shared" si="4"/>
        <v>$/kg</v>
      </c>
      <c r="BG13" s="2">
        <f t="shared" si="4"/>
        <v>7712.2543899782131</v>
      </c>
      <c r="BH13" s="2">
        <f t="shared" si="4"/>
        <v>10262.76755319149</v>
      </c>
      <c r="BI13" s="2">
        <f t="shared" si="4"/>
        <v>6890.8514371514366</v>
      </c>
      <c r="BK13">
        <f>+datos!CO1</f>
        <v>93</v>
      </c>
      <c r="BL13" s="2">
        <f t="shared" si="21"/>
        <v>9431.3398986640714</v>
      </c>
      <c r="BM13" s="2">
        <f t="shared" si="21"/>
        <v>9577.7870816192735</v>
      </c>
      <c r="BN13" s="2">
        <f t="shared" si="21"/>
        <v>6909.2465329646557</v>
      </c>
      <c r="BP13" s="1">
        <f>+datos!EX1</f>
        <v>154</v>
      </c>
      <c r="BQ13" s="1">
        <f t="shared" si="22"/>
        <v>64395</v>
      </c>
      <c r="BR13" s="1">
        <f t="shared" si="22"/>
        <v>64395</v>
      </c>
      <c r="BT13" s="1">
        <f>+datos!GN1</f>
        <v>196</v>
      </c>
      <c r="BU13" s="1">
        <f t="shared" si="23"/>
        <v>2639386</v>
      </c>
      <c r="BV13" s="1">
        <f t="shared" si="23"/>
        <v>2639386</v>
      </c>
      <c r="BX13" s="1">
        <f>+datos!LR1</f>
        <v>330</v>
      </c>
      <c r="BY13" s="1">
        <f t="shared" si="39"/>
        <v>60.016571989999996</v>
      </c>
      <c r="BZ13" s="1">
        <f t="shared" si="40"/>
        <v>68.76006855</v>
      </c>
      <c r="CB13" s="1">
        <f>+datos!LV1</f>
        <v>334</v>
      </c>
      <c r="CC13" s="2">
        <f t="shared" si="24"/>
        <v>36.229357700000001</v>
      </c>
      <c r="CD13" s="2">
        <f t="shared" si="25"/>
        <v>15.422733040000001</v>
      </c>
      <c r="CF13" s="1">
        <f>+datos!IX1</f>
        <v>258</v>
      </c>
      <c r="CG13" s="1">
        <f t="shared" si="26"/>
        <v>0</v>
      </c>
      <c r="CH13" s="1">
        <f t="shared" si="27"/>
        <v>0</v>
      </c>
      <c r="CJ13" s="1">
        <f t="shared" si="28"/>
        <v>3.6808061599999999</v>
      </c>
      <c r="CK13" s="1">
        <f t="shared" si="28"/>
        <v>1.7265838599999999</v>
      </c>
      <c r="CL13" s="1">
        <f t="shared" si="28"/>
        <v>1.1603474899999999</v>
      </c>
      <c r="CM13" s="1">
        <f t="shared" si="28"/>
        <v>1.6220564799999999</v>
      </c>
      <c r="CN13" s="1">
        <f t="shared" si="28"/>
        <v>1.7022322700000001</v>
      </c>
      <c r="CO13" s="1">
        <f t="shared" si="28"/>
        <v>2.1800094999999997</v>
      </c>
      <c r="CP13" s="1">
        <f t="shared" si="28"/>
        <v>0.89152303000000011</v>
      </c>
      <c r="CQ13" s="1">
        <f t="shared" si="28"/>
        <v>2.22092468</v>
      </c>
      <c r="CR13" s="1">
        <f t="shared" si="28"/>
        <v>5.6369490100000004</v>
      </c>
      <c r="CS13" s="1">
        <f t="shared" si="28"/>
        <v>11.964288460000001</v>
      </c>
      <c r="CT13" s="1">
        <f t="shared" si="28"/>
        <v>14.874595200000002</v>
      </c>
      <c r="CU13" s="1">
        <f t="shared" si="28"/>
        <v>12.356255849999998</v>
      </c>
      <c r="CV13" s="1">
        <f t="shared" si="28"/>
        <v>7.66143427</v>
      </c>
      <c r="CW13" s="1">
        <f t="shared" si="28"/>
        <v>3.9700200400000001</v>
      </c>
      <c r="CX13" s="1">
        <f t="shared" si="28"/>
        <v>4.244482989999999</v>
      </c>
      <c r="CY13" s="1">
        <f t="shared" si="28"/>
        <v>3.7692072699999999</v>
      </c>
      <c r="CZ13" s="1">
        <f t="shared" si="29"/>
        <v>4.3561451300000007</v>
      </c>
      <c r="DA13" s="1">
        <f t="shared" si="29"/>
        <v>2.35708815</v>
      </c>
      <c r="DB13" s="1">
        <f t="shared" si="29"/>
        <v>2.9990922500000003</v>
      </c>
      <c r="DC13" s="1">
        <f t="shared" si="29"/>
        <v>4.9654154400000001</v>
      </c>
      <c r="DD13" s="1">
        <f t="shared" si="29"/>
        <v>7.7556872599999993</v>
      </c>
      <c r="DE13" s="1">
        <f t="shared" si="29"/>
        <v>10.641103850000002</v>
      </c>
      <c r="DF13" s="1">
        <f t="shared" si="29"/>
        <v>9.2379974100000002</v>
      </c>
      <c r="DG13" s="1">
        <f t="shared" si="29"/>
        <v>6.8023944899999993</v>
      </c>
      <c r="DI13" s="1">
        <f t="shared" si="30"/>
        <v>0.27889262000000004</v>
      </c>
      <c r="DJ13" s="1">
        <f t="shared" si="30"/>
        <v>0.43588088999999991</v>
      </c>
      <c r="DK13" s="1">
        <f t="shared" si="30"/>
        <v>0.25163443000000002</v>
      </c>
      <c r="DL13" s="1">
        <f t="shared" si="30"/>
        <v>1.8307121500000001</v>
      </c>
      <c r="DM13" s="1">
        <f t="shared" si="30"/>
        <v>4.7138590499999999</v>
      </c>
      <c r="DN13" s="1">
        <f t="shared" si="30"/>
        <v>10.280953719999999</v>
      </c>
      <c r="DO13" s="1">
        <f t="shared" si="30"/>
        <v>10.078043539999999</v>
      </c>
      <c r="DP13" s="1">
        <f t="shared" si="30"/>
        <v>5.0525632100000006</v>
      </c>
      <c r="DQ13" s="1">
        <f t="shared" si="30"/>
        <v>1.5134803299999999</v>
      </c>
      <c r="DR13" s="1">
        <f t="shared" si="30"/>
        <v>1.5645213200000003</v>
      </c>
      <c r="DS13" s="1">
        <f t="shared" si="30"/>
        <v>0.17069466</v>
      </c>
      <c r="DT13" s="1">
        <f t="shared" si="30"/>
        <v>5.8121779999999998E-2</v>
      </c>
      <c r="DU13" s="1">
        <f t="shared" si="30"/>
        <v>0.22874177000000001</v>
      </c>
      <c r="DV13" s="1">
        <f t="shared" si="30"/>
        <v>6.8422739999999996E-2</v>
      </c>
      <c r="DW13" s="1">
        <f t="shared" si="30"/>
        <v>1.38860757</v>
      </c>
      <c r="DX13" s="1">
        <f t="shared" si="30"/>
        <v>1.9631409899999996</v>
      </c>
      <c r="DY13" s="1">
        <f t="shared" si="31"/>
        <v>1.5225679400000001</v>
      </c>
      <c r="DZ13" s="1">
        <f t="shared" si="31"/>
        <v>1.3263511099999998</v>
      </c>
      <c r="EA13" s="1">
        <f t="shared" si="31"/>
        <v>2.5091586699999997</v>
      </c>
      <c r="EB13" s="1">
        <f t="shared" si="31"/>
        <v>1.6528733800000002</v>
      </c>
      <c r="EC13" s="1">
        <f t="shared" si="31"/>
        <v>0.42388491999999994</v>
      </c>
      <c r="ED13" s="1">
        <f t="shared" si="31"/>
        <v>1.7301791</v>
      </c>
      <c r="EE13" s="1">
        <f t="shared" si="31"/>
        <v>2.0483479400000002</v>
      </c>
      <c r="EF13" s="1">
        <f t="shared" si="31"/>
        <v>0.56045690999999997</v>
      </c>
      <c r="EH13" s="14">
        <f t="shared" si="32"/>
        <v>0</v>
      </c>
      <c r="EI13" s="14">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3"/>
        <v>0</v>
      </c>
      <c r="EY13" s="1">
        <f t="shared" si="33"/>
        <v>0</v>
      </c>
      <c r="EZ13" s="1">
        <f t="shared" si="33"/>
        <v>0</v>
      </c>
      <c r="FA13" s="1">
        <f t="shared" si="33"/>
        <v>0</v>
      </c>
      <c r="FB13" s="1">
        <f t="shared" si="33"/>
        <v>0</v>
      </c>
      <c r="FC13" s="1">
        <f t="shared" si="33"/>
        <v>0</v>
      </c>
      <c r="FD13" s="1">
        <f t="shared" si="33"/>
        <v>0</v>
      </c>
      <c r="FE13" s="1">
        <f t="shared" si="33"/>
        <v>0</v>
      </c>
      <c r="FG13" s="162">
        <f t="shared" si="34"/>
        <v>-0.24582965355376363</v>
      </c>
    </row>
    <row r="14" spans="1:163" ht="18.75" customHeight="1">
      <c r="A14" s="243" t="s">
        <v>65</v>
      </c>
      <c r="B14" s="246"/>
      <c r="C14" s="156">
        <f t="shared" si="5"/>
        <v>-0.33</v>
      </c>
      <c r="D14" s="198">
        <v>1</v>
      </c>
      <c r="E14" s="248">
        <f t="shared" si="6"/>
        <v>7.4531084641191736E-3</v>
      </c>
      <c r="F14" s="249">
        <f t="shared" si="7"/>
        <v>-1.6567440613334039E-2</v>
      </c>
      <c r="G14" s="248">
        <f t="shared" si="8"/>
        <v>4.6519068002352615E-2</v>
      </c>
      <c r="H14" s="249">
        <f t="shared" si="9"/>
        <v>-3.9065959538233441E-2</v>
      </c>
      <c r="I14" s="248">
        <f t="shared" si="10"/>
        <v>0.53388871747403077</v>
      </c>
      <c r="J14" s="249">
        <f t="shared" si="11"/>
        <v>-0.13485425945029794</v>
      </c>
      <c r="K14" s="248">
        <f t="shared" si="12"/>
        <v>0.51883620366187166</v>
      </c>
      <c r="L14" s="249">
        <f t="shared" si="13"/>
        <v>1.5052513812159107E-2</v>
      </c>
      <c r="M14" s="250"/>
      <c r="N14" s="24">
        <v>-1</v>
      </c>
      <c r="O14" s="248">
        <f t="shared" si="35"/>
        <v>-0.103835007212977</v>
      </c>
      <c r="P14" s="251">
        <f t="shared" si="36"/>
        <v>-0.103835007212977</v>
      </c>
      <c r="Q14" s="248">
        <f t="shared" si="14"/>
        <v>-3.831365476882409E-2</v>
      </c>
      <c r="R14" s="251">
        <f t="shared" si="37"/>
        <v>-3.831365476882409E-2</v>
      </c>
      <c r="S14" s="250"/>
      <c r="T14" s="24">
        <v>-1</v>
      </c>
      <c r="U14" s="248">
        <f t="shared" si="15"/>
        <v>6.0429678011364452E-2</v>
      </c>
      <c r="V14" s="252">
        <f t="shared" si="16"/>
        <v>6.0429678011364452E-2</v>
      </c>
      <c r="W14" s="248">
        <f t="shared" si="38"/>
        <v>-0.13201769673124097</v>
      </c>
      <c r="X14" s="252">
        <f t="shared" si="17"/>
        <v>-0.13201769673124097</v>
      </c>
      <c r="Y14" s="248">
        <f t="shared" si="18"/>
        <v>6.0304449648711733E-2</v>
      </c>
      <c r="Z14" s="252">
        <f t="shared" si="19"/>
        <v>6.0304449648711733E-2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4</v>
      </c>
      <c r="AR14" s="28">
        <f>VLOOKUP($A14,historia!$A$5:$CM$24,+HLOOKUP(AR$2,historia!$A$3:$EC$4,2,FALSE),FALSE)</f>
        <v>4</v>
      </c>
      <c r="AS14" s="28">
        <f>VLOOKUP($A14,historia!$A$5:$CM$24,+HLOOKUP(AS$2,historia!$A$3:$EC$4,2,FALSE),FALSE)</f>
        <v>4</v>
      </c>
      <c r="AT14" s="58">
        <f>VLOOKUP($A14,historia!$A$5:$CM$24,+HLOOKUP(AT$2,historia!$A$3:$EC$4,2,FALSE),FALSE)</f>
        <v>4</v>
      </c>
      <c r="AU14" s="58">
        <f>VLOOKUP($A14,historia!$A$5:$CM$24,+HLOOKUP(AU$2,historia!$A$3:$EC$4,2,FALSE),FALSE)</f>
        <v>4</v>
      </c>
      <c r="AV14" s="58">
        <f>VLOOKUP($A14,historia!$A$5:$CM$24,+HLOOKUP(AV$2,historia!$A$3:$EC$4,2,FALSE),FALSE)</f>
        <v>4</v>
      </c>
      <c r="AW14" s="58">
        <f>VLOOKUP($A14,historia!$A$5:$CM$24,+HLOOKUP(AW$2,historia!$A$3:$EC$4,2,FALSE),FALSE)</f>
        <v>4</v>
      </c>
      <c r="AX14" s="58">
        <f>VLOOKUP($A14,historia!$A$5:$CM$24,+HLOOKUP(AX$2,historia!$A$3:$EC$4,2,FALSE),FALSE)</f>
        <v>4</v>
      </c>
      <c r="AY14" s="58">
        <f>VLOOKUP($A14,historia!$A$5:$CM$24,+HLOOKUP(AY$2,historia!$A$3:$EC$4,2,FALSE),FALSE)</f>
        <v>4</v>
      </c>
      <c r="AZ14" s="58">
        <f>VLOOKUP($A14,historia!$A$5:$CM$24,+HLOOKUP(AZ$2,historia!$A$3:$EC$4,2,FALSE),FALSE)</f>
        <v>3</v>
      </c>
      <c r="BA14" s="58">
        <f>VLOOKUP($A14,historia!$A$5:$CM$24,+HLOOKUP(BA$2,historia!$A$3:$EC$4,2,FALSE),FALSE)</f>
        <v>3</v>
      </c>
      <c r="BB14" s="58"/>
      <c r="BC14" s="286">
        <v>3</v>
      </c>
      <c r="BD14" t="str">
        <f t="shared" si="20"/>
        <v>Leche</v>
      </c>
      <c r="BE14">
        <f>+datos!BN1</f>
        <v>66</v>
      </c>
      <c r="BF14" s="2" t="str">
        <f t="shared" si="4"/>
        <v>$/l</v>
      </c>
      <c r="BG14" s="2">
        <f t="shared" si="4"/>
        <v>447.42</v>
      </c>
      <c r="BH14" s="2">
        <f t="shared" si="4"/>
        <v>444.11</v>
      </c>
      <c r="BI14" s="2">
        <f t="shared" si="4"/>
        <v>291.69</v>
      </c>
      <c r="BK14">
        <f>+datos!DC1</f>
        <v>107</v>
      </c>
      <c r="BL14" s="2">
        <f t="shared" si="21"/>
        <v>10658.793380833098</v>
      </c>
      <c r="BM14" s="2">
        <f t="shared" si="21"/>
        <v>10184.99682110822</v>
      </c>
      <c r="BN14" s="2">
        <f t="shared" si="21"/>
        <v>7017.7372353483843</v>
      </c>
      <c r="BP14" s="1">
        <f>+datos!EN1</f>
        <v>144</v>
      </c>
      <c r="BQ14" s="1">
        <f t="shared" si="22"/>
        <v>2840826</v>
      </c>
      <c r="BR14" s="1">
        <f t="shared" si="22"/>
        <v>3169981</v>
      </c>
      <c r="BT14" s="1">
        <f>+datos!HP1</f>
        <v>224</v>
      </c>
      <c r="BU14" s="1">
        <f t="shared" si="23"/>
        <v>10656.445703900923</v>
      </c>
      <c r="BV14" s="1">
        <f t="shared" si="23"/>
        <v>11080.999285</v>
      </c>
      <c r="BX14" s="1">
        <f>+datos!KH1</f>
        <v>294</v>
      </c>
      <c r="BY14" s="1">
        <f t="shared" si="39"/>
        <v>1621.4013208599997</v>
      </c>
      <c r="BZ14" s="1">
        <f t="shared" si="40"/>
        <v>1529.0040956799999</v>
      </c>
      <c r="CB14" s="1">
        <f>+datos!LM1</f>
        <v>325</v>
      </c>
      <c r="CC14" s="2">
        <f t="shared" si="24"/>
        <v>21.454586319999997</v>
      </c>
      <c r="CD14" s="2">
        <f t="shared" si="25"/>
        <v>24.71776929</v>
      </c>
      <c r="CF14" s="1">
        <f>+datos!IN1</f>
        <v>248</v>
      </c>
      <c r="CG14" s="1">
        <f t="shared" si="26"/>
        <v>181.1</v>
      </c>
      <c r="CH14" s="1">
        <f t="shared" si="27"/>
        <v>170.8</v>
      </c>
      <c r="CJ14" s="1">
        <f t="shared" si="28"/>
        <v>158.22857195999995</v>
      </c>
      <c r="CK14" s="1">
        <f t="shared" si="28"/>
        <v>133.12937443000001</v>
      </c>
      <c r="CL14" s="1">
        <f t="shared" si="28"/>
        <v>150.81206259999999</v>
      </c>
      <c r="CM14" s="1">
        <f t="shared" si="28"/>
        <v>173.78517034999999</v>
      </c>
      <c r="CN14" s="1">
        <f t="shared" si="28"/>
        <v>162.27196751000002</v>
      </c>
      <c r="CO14" s="1">
        <f t="shared" si="28"/>
        <v>136.36151781000004</v>
      </c>
      <c r="CP14" s="1">
        <f t="shared" si="28"/>
        <v>114.33182424</v>
      </c>
      <c r="CQ14" s="1">
        <f t="shared" si="28"/>
        <v>131.64359017999999</v>
      </c>
      <c r="CR14" s="1">
        <f t="shared" si="28"/>
        <v>102.41564730000002</v>
      </c>
      <c r="CS14" s="1">
        <f t="shared" si="28"/>
        <v>113.57779348999999</v>
      </c>
      <c r="CT14" s="1">
        <f t="shared" si="28"/>
        <v>118.3786056</v>
      </c>
      <c r="CU14" s="1">
        <f t="shared" si="28"/>
        <v>126.46519539000002</v>
      </c>
      <c r="CV14" s="1">
        <f t="shared" si="28"/>
        <v>140.50614890000003</v>
      </c>
      <c r="CW14" s="1">
        <f t="shared" si="28"/>
        <v>139.44218023000002</v>
      </c>
      <c r="CX14" s="1">
        <f t="shared" si="28"/>
        <v>153.04661877999999</v>
      </c>
      <c r="CY14" s="1">
        <f t="shared" si="28"/>
        <v>136.81239812999999</v>
      </c>
      <c r="CZ14" s="1">
        <f t="shared" si="29"/>
        <v>134.16752365000002</v>
      </c>
      <c r="DA14" s="1">
        <f t="shared" si="29"/>
        <v>114.82793965999997</v>
      </c>
      <c r="DB14" s="1">
        <f t="shared" si="29"/>
        <v>120.47507141999999</v>
      </c>
      <c r="DC14" s="1">
        <f t="shared" si="29"/>
        <v>118.84770241</v>
      </c>
      <c r="DD14" s="1">
        <f t="shared" si="29"/>
        <v>100.85116919999999</v>
      </c>
      <c r="DE14" s="1">
        <f t="shared" si="29"/>
        <v>116.29617616</v>
      </c>
      <c r="DF14" s="1">
        <f t="shared" si="29"/>
        <v>115.47027065</v>
      </c>
      <c r="DG14" s="1">
        <f t="shared" si="29"/>
        <v>138.26089648999999</v>
      </c>
      <c r="DI14" s="1">
        <f t="shared" si="30"/>
        <v>2.90139879</v>
      </c>
      <c r="DJ14" s="1">
        <f t="shared" si="30"/>
        <v>2.9139955600000005</v>
      </c>
      <c r="DK14" s="1">
        <f t="shared" si="30"/>
        <v>1.6254967600000001</v>
      </c>
      <c r="DL14" s="1">
        <f t="shared" si="30"/>
        <v>2.6289957100000003</v>
      </c>
      <c r="DM14" s="1">
        <f t="shared" si="30"/>
        <v>0.92402921999999987</v>
      </c>
      <c r="DN14" s="1">
        <f t="shared" si="30"/>
        <v>1.0080099199999999</v>
      </c>
      <c r="DO14" s="1">
        <f t="shared" si="30"/>
        <v>0.81005326000000022</v>
      </c>
      <c r="DP14" s="1">
        <f t="shared" si="30"/>
        <v>2.5429137699999997</v>
      </c>
      <c r="DQ14" s="1">
        <f t="shared" si="30"/>
        <v>0.83472519000000012</v>
      </c>
      <c r="DR14" s="1">
        <f t="shared" si="30"/>
        <v>1.6658761100000001</v>
      </c>
      <c r="DS14" s="1">
        <f t="shared" si="30"/>
        <v>1.6724867599999997</v>
      </c>
      <c r="DT14" s="1">
        <f t="shared" si="30"/>
        <v>1.92660527</v>
      </c>
      <c r="DU14" s="1">
        <f t="shared" si="30"/>
        <v>0.38991597</v>
      </c>
      <c r="DV14" s="1">
        <f t="shared" si="30"/>
        <v>3.0425877200000002</v>
      </c>
      <c r="DW14" s="1">
        <f t="shared" si="30"/>
        <v>1.8227840799999999</v>
      </c>
      <c r="DX14" s="1">
        <f t="shared" si="30"/>
        <v>2.1288867499999999</v>
      </c>
      <c r="DY14" s="1">
        <f t="shared" si="31"/>
        <v>2.0947676</v>
      </c>
      <c r="DZ14" s="1">
        <f t="shared" si="31"/>
        <v>1.2699740900000001</v>
      </c>
      <c r="EA14" s="1">
        <f t="shared" si="31"/>
        <v>1.3202370399999999</v>
      </c>
      <c r="EB14" s="1">
        <f t="shared" si="31"/>
        <v>2.29115132</v>
      </c>
      <c r="EC14" s="1">
        <f t="shared" si="31"/>
        <v>1.8108909100000001</v>
      </c>
      <c r="ED14" s="1">
        <f t="shared" si="31"/>
        <v>3.0093188999999998</v>
      </c>
      <c r="EE14" s="1">
        <f t="shared" si="31"/>
        <v>2.2926081099999998</v>
      </c>
      <c r="EF14" s="1">
        <f t="shared" si="31"/>
        <v>3.2446467999999999</v>
      </c>
      <c r="EH14" s="14">
        <f t="shared" si="32"/>
        <v>181.1</v>
      </c>
      <c r="EI14" s="14">
        <f t="shared" si="32"/>
        <v>170.3</v>
      </c>
      <c r="EJ14" s="1">
        <f t="shared" si="32"/>
        <v>170.9</v>
      </c>
      <c r="EK14" s="1">
        <f t="shared" si="32"/>
        <v>168.7</v>
      </c>
      <c r="EL14" s="1">
        <f t="shared" si="32"/>
        <v>160.6</v>
      </c>
      <c r="EM14" s="1">
        <f t="shared" si="32"/>
        <v>160.6</v>
      </c>
      <c r="EN14" s="1">
        <f t="shared" si="32"/>
        <v>160.6</v>
      </c>
      <c r="EO14" s="1">
        <f t="shared" si="32"/>
        <v>160.6</v>
      </c>
      <c r="EP14" s="1">
        <f t="shared" si="32"/>
        <v>156.30000000000001</v>
      </c>
      <c r="EQ14" s="1">
        <f t="shared" si="32"/>
        <v>155.80000000000001</v>
      </c>
      <c r="ER14" s="1">
        <f t="shared" si="32"/>
        <v>159.5</v>
      </c>
      <c r="ES14" s="1">
        <f t="shared" si="32"/>
        <v>170.8</v>
      </c>
      <c r="ET14" s="1">
        <f t="shared" si="32"/>
        <v>170.8</v>
      </c>
      <c r="EU14" s="1">
        <f t="shared" si="32"/>
        <v>187.7</v>
      </c>
      <c r="EV14" s="1">
        <f t="shared" si="32"/>
        <v>196.8</v>
      </c>
      <c r="EW14" s="1">
        <f t="shared" si="32"/>
        <v>196.8</v>
      </c>
      <c r="EX14" s="1">
        <f t="shared" si="33"/>
        <v>188.6</v>
      </c>
      <c r="EY14" s="1">
        <f t="shared" si="33"/>
        <v>188.6</v>
      </c>
      <c r="EZ14" s="1">
        <f t="shared" si="33"/>
        <v>188.6</v>
      </c>
      <c r="FA14" s="1">
        <f t="shared" si="33"/>
        <v>188.6</v>
      </c>
      <c r="FB14" s="1">
        <f t="shared" si="33"/>
        <v>188.6</v>
      </c>
      <c r="FC14" s="1">
        <f t="shared" si="33"/>
        <v>188.6</v>
      </c>
      <c r="FD14" s="1">
        <f t="shared" si="33"/>
        <v>188.6</v>
      </c>
      <c r="FE14" s="1">
        <f t="shared" si="33"/>
        <v>188.6</v>
      </c>
      <c r="FG14" s="162">
        <f t="shared" si="34"/>
        <v>1.5052513812159107E-2</v>
      </c>
    </row>
    <row r="15" spans="1:163" ht="18.75" customHeight="1">
      <c r="A15" s="244" t="s">
        <v>68</v>
      </c>
      <c r="B15" s="247"/>
      <c r="C15" s="228">
        <v>0</v>
      </c>
      <c r="D15" s="229">
        <v>-1</v>
      </c>
      <c r="E15" s="253">
        <f t="shared" si="6"/>
        <v>3.5890652557319269E-2</v>
      </c>
      <c r="F15" s="254">
        <f t="shared" si="7"/>
        <v>1.1870103479866057E-2</v>
      </c>
      <c r="G15" s="253">
        <f t="shared" si="8"/>
        <v>3.803072317439371E-2</v>
      </c>
      <c r="H15" s="254">
        <f t="shared" si="9"/>
        <v>-2.140070617074441E-3</v>
      </c>
      <c r="I15" s="253">
        <f t="shared" si="10"/>
        <v>-0.12354134956874674</v>
      </c>
      <c r="J15" s="254">
        <f t="shared" si="11"/>
        <v>-0.79228432649307545</v>
      </c>
      <c r="K15" s="253">
        <f t="shared" si="12"/>
        <v>0.4919896258194536</v>
      </c>
      <c r="L15" s="254">
        <f t="shared" si="13"/>
        <v>-0.61553097538820034</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-0.82827512030904027</v>
      </c>
      <c r="X15" s="258">
        <f t="shared" si="17"/>
        <v>-0.82827512030904027</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3</v>
      </c>
      <c r="AQ15" s="28">
        <f>VLOOKUP($A15,historia!$A$5:$CM$24,+HLOOKUP(AQ$2,historia!$A$3:$EC$4,2,FALSE),FALSE)</f>
        <v>3</v>
      </c>
      <c r="AR15" s="28">
        <f>VLOOKUP($A15,historia!$A$5:$CM$24,+HLOOKUP(AR$2,historia!$A$3:$EC$4,2,FALSE),FALSE)</f>
        <v>4</v>
      </c>
      <c r="AS15" s="28">
        <f>VLOOKUP($A15,historia!$A$5:$CM$24,+HLOOKUP(AS$2,historia!$A$3:$EC$4,2,FALSE),FALSE)</f>
        <v>4</v>
      </c>
      <c r="AT15" s="58">
        <f>VLOOKUP($A15,historia!$A$5:$CM$24,+HLOOKUP(AT$2,historia!$A$3:$EC$4,2,FALSE),FALSE)</f>
        <v>5</v>
      </c>
      <c r="AU15" s="58">
        <f>VLOOKUP($A15,historia!$A$5:$CM$24,+HLOOKUP(AU$2,historia!$A$3:$EC$4,2,FALSE),FALSE)</f>
        <v>5</v>
      </c>
      <c r="AV15" s="58">
        <f>VLOOKUP($A15,historia!$A$5:$CM$24,+HLOOKUP(AV$2,historia!$A$3:$EC$4,2,FALSE),FALSE)</f>
        <v>5</v>
      </c>
      <c r="AW15" s="58">
        <f>VLOOKUP($A15,historia!$A$5:$CM$24,+HLOOKUP(AW$2,historia!$A$3:$EC$4,2,FALSE),FALSE)</f>
        <v>5</v>
      </c>
      <c r="AX15" s="58">
        <f>VLOOKUP($A15,historia!$A$5:$CM$24,+HLOOKUP(AX$2,historia!$A$3:$EC$4,2,FALSE),FALSE)</f>
        <v>5</v>
      </c>
      <c r="AY15" s="58">
        <f>VLOOKUP($A15,historia!$A$5:$CM$24,+HLOOKUP(AY$2,historia!$A$3:$EC$4,2,FALSE),FALSE)</f>
        <v>5</v>
      </c>
      <c r="AZ15" s="58">
        <f>VLOOKUP($A15,historia!$A$5:$CM$24,+HLOOKUP(AZ$2,historia!$A$3:$EC$4,2,FALSE),FALSE)</f>
        <v>5</v>
      </c>
      <c r="BA15" s="58">
        <f>VLOOKUP($A15,historia!$A$5:$CM$24,+HLOOKUP(BA$2,historia!$A$3:$EC$4,2,FALSE),FALSE)</f>
        <v>5</v>
      </c>
      <c r="BB15" s="58"/>
      <c r="BC15" s="286">
        <v>5</v>
      </c>
      <c r="BD15" t="str">
        <f t="shared" si="20"/>
        <v>Mandioca</v>
      </c>
      <c r="BE15">
        <f>+datos!AW1</f>
        <v>49</v>
      </c>
      <c r="BF15" s="2" t="str">
        <f t="shared" si="4"/>
        <v>$/bolsa40kg</v>
      </c>
      <c r="BG15" s="2">
        <f t="shared" si="4"/>
        <v>9213.3333333333339</v>
      </c>
      <c r="BH15" s="2">
        <f t="shared" si="4"/>
        <v>8894.1176470588234</v>
      </c>
      <c r="BI15" s="2">
        <f t="shared" si="4"/>
        <v>10512</v>
      </c>
      <c r="BK15">
        <f>+datos!CJ1</f>
        <v>88</v>
      </c>
      <c r="BL15" s="2">
        <f t="shared" si="21"/>
        <v>8958.2438472329704</v>
      </c>
      <c r="BM15" s="2">
        <f t="shared" si="21"/>
        <v>8630.0372881429121</v>
      </c>
      <c r="BN15" s="2">
        <f t="shared" si="21"/>
        <v>6004.226632817762</v>
      </c>
      <c r="BP15" s="1">
        <f>+datos!EY1</f>
        <v>155</v>
      </c>
      <c r="BQ15" s="1">
        <f t="shared" si="22"/>
        <v>20031</v>
      </c>
      <c r="BR15" s="1">
        <f t="shared" si="22"/>
        <v>20031</v>
      </c>
      <c r="BT15" s="1">
        <f>+datos!GO1</f>
        <v>197</v>
      </c>
      <c r="BU15" s="1">
        <f t="shared" si="23"/>
        <v>201734</v>
      </c>
      <c r="BV15" s="1">
        <f t="shared" si="23"/>
        <v>201734</v>
      </c>
      <c r="BX15" s="1">
        <f>+datos!JP1</f>
        <v>276</v>
      </c>
      <c r="BY15" s="1">
        <f t="shared" si="39"/>
        <v>0</v>
      </c>
      <c r="BZ15" s="1">
        <f t="shared" si="40"/>
        <v>0</v>
      </c>
      <c r="CB15" s="1">
        <f>+datos!KU1</f>
        <v>307</v>
      </c>
      <c r="CC15" s="2">
        <f t="shared" si="24"/>
        <v>1.5010281600000002</v>
      </c>
      <c r="CD15" s="2">
        <f t="shared" si="25"/>
        <v>8.7408892800000011</v>
      </c>
      <c r="CF15" s="1">
        <f>+datos!IY1</f>
        <v>259</v>
      </c>
      <c r="CG15" s="1">
        <f t="shared" si="26"/>
        <v>1.88</v>
      </c>
      <c r="CH15" s="1">
        <f t="shared" si="27"/>
        <v>1.88</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9"/>
        <v>0</v>
      </c>
      <c r="DA15" s="1">
        <f t="shared" si="29"/>
        <v>0</v>
      </c>
      <c r="DB15" s="1">
        <f t="shared" si="29"/>
        <v>0</v>
      </c>
      <c r="DC15" s="1">
        <f t="shared" si="29"/>
        <v>0</v>
      </c>
      <c r="DD15" s="1">
        <f t="shared" si="29"/>
        <v>0</v>
      </c>
      <c r="DE15" s="1">
        <f t="shared" si="29"/>
        <v>0</v>
      </c>
      <c r="DF15" s="1">
        <f t="shared" si="29"/>
        <v>0</v>
      </c>
      <c r="DG15" s="1">
        <f t="shared" si="29"/>
        <v>0</v>
      </c>
      <c r="DI15" s="14">
        <f t="shared" si="30"/>
        <v>4.4833160000000004E-2</v>
      </c>
      <c r="DJ15" s="14">
        <f t="shared" si="30"/>
        <v>0.14172798</v>
      </c>
      <c r="DK15" s="1">
        <f t="shared" si="30"/>
        <v>7.4560410000000008E-2</v>
      </c>
      <c r="DL15" s="1">
        <f t="shared" si="30"/>
        <v>0.28059129999999999</v>
      </c>
      <c r="DM15" s="1">
        <f t="shared" si="30"/>
        <v>0.15169276000000001</v>
      </c>
      <c r="DN15" s="1">
        <f t="shared" si="30"/>
        <v>0.14711371000000001</v>
      </c>
      <c r="DO15" s="1">
        <f t="shared" si="30"/>
        <v>0.18175015000000003</v>
      </c>
      <c r="DP15" s="1">
        <f t="shared" si="30"/>
        <v>0.15569543999999999</v>
      </c>
      <c r="DQ15" s="1">
        <f t="shared" si="30"/>
        <v>0.1712014</v>
      </c>
      <c r="DR15" s="1">
        <f t="shared" si="30"/>
        <v>0.12198517</v>
      </c>
      <c r="DS15" s="1">
        <f t="shared" si="30"/>
        <v>1.6812999999999999E-3</v>
      </c>
      <c r="DT15" s="1">
        <f t="shared" si="30"/>
        <v>2.8195380000000003E-2</v>
      </c>
      <c r="DU15" s="1">
        <f t="shared" si="30"/>
        <v>4.9277770000000005E-2</v>
      </c>
      <c r="DV15" s="1">
        <f t="shared" si="30"/>
        <v>0.21358802999999996</v>
      </c>
      <c r="DW15" s="1">
        <f t="shared" si="30"/>
        <v>0.24099903000000003</v>
      </c>
      <c r="DX15" s="1">
        <f t="shared" si="30"/>
        <v>0.39667624000000001</v>
      </c>
      <c r="DY15" s="1">
        <f t="shared" si="31"/>
        <v>0.47948613000000001</v>
      </c>
      <c r="DZ15" s="1">
        <f t="shared" si="31"/>
        <v>0.13955175</v>
      </c>
      <c r="EA15" s="1">
        <f t="shared" si="31"/>
        <v>0.88368341000000006</v>
      </c>
      <c r="EB15" s="1">
        <f t="shared" si="31"/>
        <v>0.91695114999999994</v>
      </c>
      <c r="EC15" s="1">
        <f t="shared" si="31"/>
        <v>1.1944894100000001</v>
      </c>
      <c r="ED15" s="1">
        <f t="shared" si="31"/>
        <v>1.11559404</v>
      </c>
      <c r="EE15" s="1">
        <f t="shared" si="31"/>
        <v>1.36422954</v>
      </c>
      <c r="EF15" s="1">
        <f t="shared" si="31"/>
        <v>1.7463627799999999</v>
      </c>
      <c r="EH15" s="14">
        <f t="shared" si="32"/>
        <v>1.88</v>
      </c>
      <c r="EI15" s="14">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3"/>
        <v>1.88</v>
      </c>
      <c r="EY15" s="1">
        <f t="shared" si="33"/>
        <v>1.88</v>
      </c>
      <c r="EZ15" s="1">
        <f t="shared" si="33"/>
        <v>1.88</v>
      </c>
      <c r="FA15" s="1">
        <f t="shared" si="33"/>
        <v>1.88</v>
      </c>
      <c r="FB15" s="1">
        <f t="shared" si="33"/>
        <v>1.88</v>
      </c>
      <c r="FC15" s="1">
        <f t="shared" si="33"/>
        <v>1.88</v>
      </c>
      <c r="FD15" s="1">
        <f t="shared" si="33"/>
        <v>1.88</v>
      </c>
      <c r="FE15" s="1">
        <f t="shared" si="33"/>
        <v>1.88</v>
      </c>
      <c r="FG15" s="162">
        <f t="shared" si="34"/>
        <v>-0.61553097538820034</v>
      </c>
    </row>
    <row r="16" spans="1:163" ht="18.75" customHeight="1">
      <c r="A16" s="243" t="s">
        <v>25</v>
      </c>
      <c r="B16" s="246"/>
      <c r="C16" s="156">
        <f t="shared" si="5"/>
        <v>-0.66</v>
      </c>
      <c r="D16" s="198">
        <v>-1</v>
      </c>
      <c r="E16" s="248">
        <f t="shared" si="6"/>
        <v>5.6392091360581986E-3</v>
      </c>
      <c r="F16" s="249">
        <f t="shared" si="7"/>
        <v>-1.8381339941395014E-2</v>
      </c>
      <c r="G16" s="248">
        <f t="shared" si="8"/>
        <v>4.2181546565484007E-2</v>
      </c>
      <c r="H16" s="249">
        <f t="shared" si="9"/>
        <v>-3.6542337429425809E-2</v>
      </c>
      <c r="I16" s="248">
        <f t="shared" si="10"/>
        <v>0.20673453279259402</v>
      </c>
      <c r="J16" s="249">
        <f t="shared" si="11"/>
        <v>-0.4620084441317347</v>
      </c>
      <c r="K16" s="248">
        <f t="shared" si="12"/>
        <v>0.24015034157447879</v>
      </c>
      <c r="L16" s="249">
        <f t="shared" si="13"/>
        <v>-3.341580878188477E-2</v>
      </c>
      <c r="M16" s="250"/>
      <c r="N16" s="24">
        <v>1</v>
      </c>
      <c r="O16" s="248">
        <f t="shared" si="35"/>
        <v>0.25148262863454107</v>
      </c>
      <c r="P16" s="251">
        <f t="shared" si="36"/>
        <v>0.25148262863454107</v>
      </c>
      <c r="Q16" s="248">
        <f t="shared" si="14"/>
        <v>0.70637774795677699</v>
      </c>
      <c r="R16" s="251">
        <f t="shared" si="37"/>
        <v>0.70637774795677699</v>
      </c>
      <c r="S16" s="250"/>
      <c r="T16" s="24">
        <v>-2</v>
      </c>
      <c r="U16" s="248">
        <f t="shared" si="15"/>
        <v>0.14457936225779311</v>
      </c>
      <c r="V16" s="252">
        <f t="shared" si="16"/>
        <v>0.14457936225779311</v>
      </c>
      <c r="W16" s="248"/>
      <c r="X16" s="252"/>
      <c r="Y16" s="248">
        <f t="shared" si="18"/>
        <v>8.4415584415584499E-2</v>
      </c>
      <c r="Z16" s="252">
        <f t="shared" si="19"/>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2</v>
      </c>
      <c r="AQ16" s="28">
        <f>VLOOKUP($A16,historia!$A$5:$CM$24,+HLOOKUP(AQ$2,historia!$A$3:$EC$4,2,FALSE),FALSE)</f>
        <v>2</v>
      </c>
      <c r="AR16" s="28">
        <f>VLOOKUP($A16,historia!$A$5:$CM$24,+HLOOKUP(AR$2,historia!$A$3:$EC$4,2,FALSE),FALSE)</f>
        <v>3</v>
      </c>
      <c r="AS16" s="28">
        <f>VLOOKUP($A16,historia!$A$5:$CM$24,+HLOOKUP(AS$2,historia!$A$3:$EC$4,2,FALSE),FALSE)</f>
        <v>3</v>
      </c>
      <c r="AT16" s="58">
        <f>VLOOKUP($A16,historia!$A$5:$CM$24,+HLOOKUP(AT$2,historia!$A$3:$EC$4,2,FALSE),FALSE)</f>
        <v>4</v>
      </c>
      <c r="AU16" s="58">
        <f>VLOOKUP($A16,historia!$A$5:$CM$24,+HLOOKUP(AU$2,historia!$A$3:$EC$4,2,FALSE),FALSE)</f>
        <v>4</v>
      </c>
      <c r="AV16" s="58">
        <f>VLOOKUP($A16,historia!$A$5:$CM$24,+HLOOKUP(AV$2,historia!$A$3:$EC$4,2,FALSE),FALSE)</f>
        <v>4</v>
      </c>
      <c r="AW16" s="58">
        <f>VLOOKUP($A16,historia!$A$5:$CM$24,+HLOOKUP(AW$2,historia!$A$3:$EC$4,2,FALSE),FALSE)</f>
        <v>4</v>
      </c>
      <c r="AX16" s="58">
        <f>VLOOKUP($A16,historia!$A$5:$CM$24,+HLOOKUP(AX$2,historia!$A$3:$EC$4,2,FALSE),FALSE)</f>
        <v>4</v>
      </c>
      <c r="AY16" s="58">
        <f>VLOOKUP($A16,historia!$A$5:$CM$24,+HLOOKUP(AY$2,historia!$A$3:$EC$4,2,FALSE),FALSE)</f>
        <v>4</v>
      </c>
      <c r="AZ16" s="58">
        <f>VLOOKUP($A16,historia!$A$5:$CM$24,+HLOOKUP(AZ$2,historia!$A$3:$EC$4,2,FALSE),FALSE)</f>
        <v>2</v>
      </c>
      <c r="BA16" s="58">
        <f>VLOOKUP($A16,historia!$A$5:$CM$24,+HLOOKUP(BA$2,historia!$A$3:$EC$4,2,FALSE),FALSE)</f>
        <v>2</v>
      </c>
      <c r="BB16" s="58"/>
      <c r="BC16" s="286">
        <v>2</v>
      </c>
      <c r="BD16" t="str">
        <f t="shared" si="20"/>
        <v>Maní</v>
      </c>
      <c r="BE16">
        <f>+datos!AF1</f>
        <v>32</v>
      </c>
      <c r="BF16" s="2" t="str">
        <f t="shared" si="4"/>
        <v>$/t</v>
      </c>
      <c r="BG16" s="2">
        <f t="shared" si="4"/>
        <v>914844.0675</v>
      </c>
      <c r="BH16" s="2">
        <f t="shared" si="4"/>
        <v>909714</v>
      </c>
      <c r="BI16" s="2">
        <f t="shared" si="4"/>
        <v>758115.42857142852</v>
      </c>
      <c r="BK16">
        <f>+datos!CH1</f>
        <v>86</v>
      </c>
      <c r="BL16" s="2">
        <f t="shared" si="21"/>
        <v>11313.252615466728</v>
      </c>
      <c r="BM16" s="2">
        <f t="shared" si="21"/>
        <v>10855.356874001103</v>
      </c>
      <c r="BN16" s="2">
        <f t="shared" si="21"/>
        <v>9122.4847796304839</v>
      </c>
      <c r="BP16" s="1">
        <f>+datos!EB1</f>
        <v>132</v>
      </c>
      <c r="BQ16" s="1">
        <f t="shared" si="22"/>
        <v>521230</v>
      </c>
      <c r="BR16" s="1">
        <f t="shared" si="22"/>
        <v>416490</v>
      </c>
      <c r="BT16" s="1">
        <f>+datos!FW1</f>
        <v>179</v>
      </c>
      <c r="BU16" s="1">
        <f t="shared" si="23"/>
        <v>1604722</v>
      </c>
      <c r="BV16" s="1">
        <f t="shared" si="23"/>
        <v>940426</v>
      </c>
      <c r="BX16" s="1">
        <f>+datos!JK1</f>
        <v>271</v>
      </c>
      <c r="BY16" s="1">
        <f t="shared" si="39"/>
        <v>1394.2251867799998</v>
      </c>
      <c r="BZ16" s="1">
        <f t="shared" si="40"/>
        <v>1218.1114152100001</v>
      </c>
      <c r="CB16" s="1">
        <f>+datos!KP1</f>
        <v>302</v>
      </c>
      <c r="CC16" s="2">
        <f t="shared" si="24"/>
        <v>0.95750380000000002</v>
      </c>
      <c r="CD16" s="2">
        <f t="shared" si="25"/>
        <v>2.6221710499999999</v>
      </c>
      <c r="CF16" s="1">
        <f>+datos!IJ1</f>
        <v>244</v>
      </c>
      <c r="CG16" s="1">
        <f t="shared" si="26"/>
        <v>2.1563835150032644</v>
      </c>
      <c r="CH16" s="1">
        <f t="shared" si="27"/>
        <v>1.9885213252125911</v>
      </c>
      <c r="CJ16" s="1">
        <f t="shared" si="28"/>
        <v>129.66034791999999</v>
      </c>
      <c r="CK16" s="1">
        <f t="shared" si="28"/>
        <v>100.29183523999998</v>
      </c>
      <c r="CL16" s="1">
        <f t="shared" si="28"/>
        <v>142.99991008000001</v>
      </c>
      <c r="CM16" s="1">
        <f t="shared" si="28"/>
        <v>153.43391492999999</v>
      </c>
      <c r="CN16" s="1">
        <f t="shared" si="28"/>
        <v>142.09253510999997</v>
      </c>
      <c r="CO16" s="1">
        <f t="shared" si="28"/>
        <v>155.33708399000002</v>
      </c>
      <c r="CP16" s="1">
        <f t="shared" si="28"/>
        <v>156.99934678</v>
      </c>
      <c r="CQ16" s="1">
        <f t="shared" si="28"/>
        <v>115.53726275000001</v>
      </c>
      <c r="CR16" s="1">
        <f t="shared" si="28"/>
        <v>98.487414479999984</v>
      </c>
      <c r="CS16" s="1">
        <f t="shared" si="28"/>
        <v>63.473924160000003</v>
      </c>
      <c r="CT16" s="1">
        <f t="shared" si="28"/>
        <v>65.127016839999982</v>
      </c>
      <c r="CU16" s="1">
        <f t="shared" si="28"/>
        <v>70.784594500000011</v>
      </c>
      <c r="CV16" s="1">
        <f t="shared" si="28"/>
        <v>111.62267066999999</v>
      </c>
      <c r="CW16" s="1">
        <f t="shared" si="28"/>
        <v>100.80321882999999</v>
      </c>
      <c r="CX16" s="1">
        <f t="shared" si="28"/>
        <v>90.064767340000003</v>
      </c>
      <c r="CY16" s="1">
        <f t="shared" si="28"/>
        <v>96.183340330000021</v>
      </c>
      <c r="CZ16" s="1">
        <f t="shared" si="29"/>
        <v>89.024842150000026</v>
      </c>
      <c r="DA16" s="1">
        <f t="shared" si="29"/>
        <v>102.74257099999998</v>
      </c>
      <c r="DB16" s="1">
        <f t="shared" si="29"/>
        <v>102.43695814</v>
      </c>
      <c r="DC16" s="1">
        <f t="shared" si="29"/>
        <v>100.03941109999997</v>
      </c>
      <c r="DD16" s="1">
        <f t="shared" si="29"/>
        <v>89.79279253</v>
      </c>
      <c r="DE16" s="1">
        <f t="shared" si="29"/>
        <v>102.39153366000001</v>
      </c>
      <c r="DF16" s="1">
        <f t="shared" si="29"/>
        <v>98.470728969999996</v>
      </c>
      <c r="DG16" s="1">
        <f t="shared" si="29"/>
        <v>134.53858048999999</v>
      </c>
      <c r="DI16" s="1">
        <f t="shared" si="30"/>
        <v>0</v>
      </c>
      <c r="DJ16" s="1">
        <f t="shared" si="30"/>
        <v>5.2225250000000001E-2</v>
      </c>
      <c r="DK16" s="1">
        <f t="shared" si="30"/>
        <v>0.22862400000000002</v>
      </c>
      <c r="DL16" s="1">
        <f t="shared" si="30"/>
        <v>2.6527899999999999E-3</v>
      </c>
      <c r="DM16" s="1">
        <f t="shared" si="30"/>
        <v>1.6271E-3</v>
      </c>
      <c r="DN16" s="1">
        <f t="shared" si="30"/>
        <v>0.13444175</v>
      </c>
      <c r="DO16" s="1">
        <f t="shared" si="30"/>
        <v>4.2737620000000004E-2</v>
      </c>
      <c r="DP16" s="1">
        <f t="shared" si="30"/>
        <v>8.6628999999999998E-2</v>
      </c>
      <c r="DQ16" s="1">
        <f t="shared" si="30"/>
        <v>8.4906640000000005E-2</v>
      </c>
      <c r="DR16" s="1">
        <f t="shared" si="30"/>
        <v>8.714181E-2</v>
      </c>
      <c r="DS16" s="1">
        <f t="shared" si="30"/>
        <v>0.111375</v>
      </c>
      <c r="DT16" s="1">
        <f t="shared" si="30"/>
        <v>0.12514284000000001</v>
      </c>
      <c r="DU16" s="1">
        <f t="shared" si="30"/>
        <v>0.69674917999999986</v>
      </c>
      <c r="DV16" s="1">
        <f t="shared" si="30"/>
        <v>0.79684906</v>
      </c>
      <c r="DW16" s="1">
        <f t="shared" si="30"/>
        <v>0.24194792999999998</v>
      </c>
      <c r="DX16" s="1">
        <f t="shared" si="30"/>
        <v>0.11713932000000001</v>
      </c>
      <c r="DY16" s="1">
        <f t="shared" si="31"/>
        <v>0.45286999999999999</v>
      </c>
      <c r="DZ16" s="1">
        <f t="shared" si="31"/>
        <v>5.563009E-2</v>
      </c>
      <c r="EA16" s="1">
        <f t="shared" si="31"/>
        <v>2.7416000000000002E-4</v>
      </c>
      <c r="EB16" s="1">
        <f t="shared" si="31"/>
        <v>0.12031510000000001</v>
      </c>
      <c r="EC16" s="1">
        <f t="shared" si="31"/>
        <v>0.13456720999999999</v>
      </c>
      <c r="ED16" s="1">
        <f t="shared" si="31"/>
        <v>6.1200000000000002E-4</v>
      </c>
      <c r="EE16" s="1">
        <f t="shared" si="31"/>
        <v>0</v>
      </c>
      <c r="EF16" s="1">
        <f t="shared" si="31"/>
        <v>5.2170000000000003E-3</v>
      </c>
      <c r="EH16" s="14">
        <f t="shared" si="32"/>
        <v>2.1563835150032644</v>
      </c>
      <c r="EI16" s="14">
        <f t="shared" si="32"/>
        <v>2.1563835150032644</v>
      </c>
      <c r="EJ16" s="1">
        <f t="shared" si="32"/>
        <v>2.1563835150032644</v>
      </c>
      <c r="EK16" s="1">
        <f t="shared" si="32"/>
        <v>2.1563835150032644</v>
      </c>
      <c r="EL16" s="1">
        <f t="shared" si="32"/>
        <v>2.1563835150032644</v>
      </c>
      <c r="EM16" s="1">
        <f t="shared" si="32"/>
        <v>2.1563835150032644</v>
      </c>
      <c r="EN16" s="1">
        <f t="shared" si="32"/>
        <v>2.1563835150032644</v>
      </c>
      <c r="EO16" s="1">
        <f t="shared" si="32"/>
        <v>2.1563835150032644</v>
      </c>
      <c r="EP16" s="1">
        <f t="shared" si="32"/>
        <v>2.1563835150032644</v>
      </c>
      <c r="EQ16" s="1">
        <f t="shared" si="32"/>
        <v>2.1563835150032644</v>
      </c>
      <c r="ER16" s="1">
        <f t="shared" si="32"/>
        <v>2.1563835150032644</v>
      </c>
      <c r="ES16" s="1">
        <f t="shared" si="32"/>
        <v>1.9885213252125911</v>
      </c>
      <c r="ET16" s="1">
        <f t="shared" si="32"/>
        <v>1.9885213252125911</v>
      </c>
      <c r="EU16" s="1">
        <f t="shared" si="32"/>
        <v>1.9885213252125911</v>
      </c>
      <c r="EV16" s="1">
        <f t="shared" si="32"/>
        <v>1.9885213252125911</v>
      </c>
      <c r="EW16" s="1">
        <f t="shared" si="32"/>
        <v>1.9885213252125911</v>
      </c>
      <c r="EX16" s="1">
        <f t="shared" si="33"/>
        <v>1.9885213252125911</v>
      </c>
      <c r="EY16" s="1">
        <f t="shared" si="33"/>
        <v>1.9885213252125911</v>
      </c>
      <c r="EZ16" s="1">
        <f t="shared" si="33"/>
        <v>1.9885213252125911</v>
      </c>
      <c r="FA16" s="1">
        <f t="shared" si="33"/>
        <v>1.9885213252125911</v>
      </c>
      <c r="FB16" s="1">
        <f t="shared" si="33"/>
        <v>1.9885213252125911</v>
      </c>
      <c r="FC16" s="1">
        <f t="shared" si="33"/>
        <v>1.9885213252125911</v>
      </c>
      <c r="FD16" s="1">
        <f t="shared" si="33"/>
        <v>1.9885213252125911</v>
      </c>
      <c r="FE16" s="1">
        <f t="shared" si="33"/>
        <v>1.9885213252125911</v>
      </c>
      <c r="FG16" s="162">
        <f t="shared" si="34"/>
        <v>-3.341580878188477E-2</v>
      </c>
    </row>
    <row r="17" spans="1:163" ht="18.75" customHeight="1">
      <c r="A17" s="244" t="s">
        <v>76</v>
      </c>
      <c r="B17" s="247"/>
      <c r="C17" s="228">
        <f t="shared" si="5"/>
        <v>-0.99</v>
      </c>
      <c r="D17" s="229">
        <v>-1</v>
      </c>
      <c r="E17" s="253">
        <f t="shared" si="6"/>
        <v>4.9668874172186239E-3</v>
      </c>
      <c r="F17" s="254">
        <f t="shared" si="7"/>
        <v>-1.9053661660234589E-2</v>
      </c>
      <c r="G17" s="253">
        <f t="shared" si="8"/>
        <v>3.8781425611197351E-2</v>
      </c>
      <c r="H17" s="254">
        <f t="shared" si="9"/>
        <v>-3.3814538193978727E-2</v>
      </c>
      <c r="I17" s="253">
        <f t="shared" si="10"/>
        <v>0.29700854700854706</v>
      </c>
      <c r="J17" s="254">
        <f t="shared" si="11"/>
        <v>-0.37173442991578165</v>
      </c>
      <c r="K17" s="253">
        <f t="shared" si="12"/>
        <v>0.51682895448346255</v>
      </c>
      <c r="L17" s="254">
        <f t="shared" si="13"/>
        <v>-0.21982040747491549</v>
      </c>
      <c r="M17" s="255"/>
      <c r="N17" s="256">
        <v>-1</v>
      </c>
      <c r="O17" s="253">
        <f>IFERROR(+BQ17/BR17-1,"")</f>
        <v>0.14285714285714279</v>
      </c>
      <c r="P17" s="257">
        <f t="shared" si="36"/>
        <v>0.14285714285714279</v>
      </c>
      <c r="Q17" s="253">
        <f t="shared" si="14"/>
        <v>8.2297934975540166E-2</v>
      </c>
      <c r="R17" s="257">
        <f t="shared" si="37"/>
        <v>8.2297934975540166E-2</v>
      </c>
      <c r="S17" s="255"/>
      <c r="T17" s="256">
        <v>-1</v>
      </c>
      <c r="U17" s="253">
        <f t="shared" si="15"/>
        <v>7.4335648505559959E-2</v>
      </c>
      <c r="V17" s="258">
        <f t="shared" si="16"/>
        <v>7.4335648505559959E-2</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f>VLOOKUP($A17,historia!$A$5:$CM$24,+HLOOKUP(AZ$2,historia!$A$3:$EC$4,2,FALSE),FALSE)</f>
        <v>3</v>
      </c>
      <c r="BA17" s="58">
        <f>VLOOKUP($A17,historia!$A$5:$CM$24,+HLOOKUP(BA$2,historia!$A$3:$EC$4,2,FALSE),FALSE)</f>
        <v>3</v>
      </c>
      <c r="BB17" s="58"/>
      <c r="BC17" s="286">
        <v>3</v>
      </c>
      <c r="BD17" t="str">
        <f t="shared" si="20"/>
        <v>Miel</v>
      </c>
      <c r="BE17">
        <f>+datos!BV1</f>
        <v>74</v>
      </c>
      <c r="BF17" s="2" t="str">
        <f t="shared" si="4"/>
        <v>$/kg</v>
      </c>
      <c r="BG17" s="2">
        <f t="shared" si="4"/>
        <v>1821</v>
      </c>
      <c r="BH17" s="2">
        <f t="shared" si="4"/>
        <v>1812</v>
      </c>
      <c r="BI17" s="2">
        <f t="shared" si="4"/>
        <v>1404</v>
      </c>
      <c r="BK17">
        <f>+datos!DH1</f>
        <v>112</v>
      </c>
      <c r="BL17" s="2">
        <f t="shared" si="21"/>
        <v>9765.6375014764453</v>
      </c>
      <c r="BM17" s="2">
        <f t="shared" si="21"/>
        <v>9401.0513287052163</v>
      </c>
      <c r="BN17" s="2">
        <f t="shared" si="21"/>
        <v>6438.1929634261323</v>
      </c>
      <c r="BP17" s="1">
        <f>+datos!EQ1</f>
        <v>147</v>
      </c>
      <c r="BQ17" s="1">
        <f t="shared" si="22"/>
        <v>4000000</v>
      </c>
      <c r="BR17" s="1">
        <f t="shared" si="22"/>
        <v>3500000</v>
      </c>
      <c r="BT17" s="1">
        <f>+datos!GP1</f>
        <v>198</v>
      </c>
      <c r="BU17" s="1">
        <f t="shared" si="23"/>
        <v>75000</v>
      </c>
      <c r="BV17" s="1">
        <f t="shared" si="23"/>
        <v>69297</v>
      </c>
      <c r="BX17" s="1">
        <f>+datos!KE1</f>
        <v>291</v>
      </c>
      <c r="BY17" s="1">
        <f t="shared" si="39"/>
        <v>213.80205950999999</v>
      </c>
      <c r="BZ17" s="1">
        <f t="shared" si="40"/>
        <v>199.00862436</v>
      </c>
      <c r="CB17" s="1">
        <f>+datos!LJ1</f>
        <v>322</v>
      </c>
      <c r="CC17" s="2">
        <f t="shared" si="24"/>
        <v>5.6475740000000003E-2</v>
      </c>
      <c r="CD17" s="2">
        <f>+SUM(DU17:EF17)</f>
        <v>4.7638E-2</v>
      </c>
      <c r="CF17" s="1">
        <f>+datos!IZ1</f>
        <v>260</v>
      </c>
      <c r="CG17" s="1">
        <f t="shared" si="26"/>
        <v>0.3</v>
      </c>
      <c r="CH17" s="1">
        <f t="shared" si="27"/>
        <v>0.3</v>
      </c>
      <c r="CJ17" s="1">
        <f t="shared" si="28"/>
        <v>15.906782769999998</v>
      </c>
      <c r="CK17" s="1">
        <f t="shared" si="28"/>
        <v>9.6274282100000015</v>
      </c>
      <c r="CL17" s="1">
        <f t="shared" si="28"/>
        <v>12.184475789999999</v>
      </c>
      <c r="CM17" s="1">
        <f t="shared" si="28"/>
        <v>14.349162859999998</v>
      </c>
      <c r="CN17" s="1">
        <f t="shared" si="28"/>
        <v>24.378519029999993</v>
      </c>
      <c r="CO17" s="1">
        <f t="shared" si="28"/>
        <v>22.211636389999995</v>
      </c>
      <c r="CP17" s="1">
        <f t="shared" si="28"/>
        <v>18.934177090000006</v>
      </c>
      <c r="CQ17" s="1">
        <f t="shared" si="28"/>
        <v>18.049853030000005</v>
      </c>
      <c r="CR17" s="1">
        <f t="shared" si="28"/>
        <v>20.702965450000001</v>
      </c>
      <c r="CS17" s="1">
        <f t="shared" si="28"/>
        <v>19.199801710000003</v>
      </c>
      <c r="CT17" s="1">
        <f t="shared" si="28"/>
        <v>16.174522229999997</v>
      </c>
      <c r="CU17" s="1">
        <f t="shared" si="28"/>
        <v>22.082734950000003</v>
      </c>
      <c r="CV17" s="1">
        <f t="shared" si="28"/>
        <v>13.392344960000001</v>
      </c>
      <c r="CW17" s="1">
        <f t="shared" si="28"/>
        <v>10.971998660000001</v>
      </c>
      <c r="CX17" s="1">
        <f t="shared" si="28"/>
        <v>12.805239539999999</v>
      </c>
      <c r="CY17" s="1">
        <f t="shared" si="28"/>
        <v>13.943876809999997</v>
      </c>
      <c r="CZ17" s="1">
        <f t="shared" si="29"/>
        <v>17.891480939999997</v>
      </c>
      <c r="DA17" s="1">
        <f t="shared" si="29"/>
        <v>16.805607889999997</v>
      </c>
      <c r="DB17" s="1">
        <f t="shared" si="29"/>
        <v>21.325973759999997</v>
      </c>
      <c r="DC17" s="1">
        <f t="shared" si="29"/>
        <v>17.230385739999999</v>
      </c>
      <c r="DD17" s="1">
        <f t="shared" si="29"/>
        <v>14.837575590000002</v>
      </c>
      <c r="DE17" s="1">
        <f t="shared" si="29"/>
        <v>17.476901599999998</v>
      </c>
      <c r="DF17" s="1">
        <f t="shared" si="29"/>
        <v>23.512884059999998</v>
      </c>
      <c r="DG17" s="1">
        <f t="shared" si="29"/>
        <v>18.814354810000005</v>
      </c>
      <c r="DI17" s="1">
        <f t="shared" si="30"/>
        <v>3.5298E-3</v>
      </c>
      <c r="DJ17" s="1">
        <f t="shared" si="30"/>
        <v>0</v>
      </c>
      <c r="DK17" s="1">
        <f t="shared" si="30"/>
        <v>0</v>
      </c>
      <c r="DL17" s="1">
        <f t="shared" si="30"/>
        <v>0</v>
      </c>
      <c r="DM17" s="1">
        <f t="shared" si="30"/>
        <v>0</v>
      </c>
      <c r="DN17" s="1">
        <f t="shared" si="30"/>
        <v>4.0664E-4</v>
      </c>
      <c r="DO17" s="1">
        <f t="shared" si="30"/>
        <v>0</v>
      </c>
      <c r="DP17" s="1">
        <f t="shared" si="30"/>
        <v>0</v>
      </c>
      <c r="DQ17" s="1">
        <f t="shared" si="30"/>
        <v>0</v>
      </c>
      <c r="DR17" s="1">
        <f t="shared" si="30"/>
        <v>0</v>
      </c>
      <c r="DS17" s="1">
        <f t="shared" si="30"/>
        <v>0</v>
      </c>
      <c r="DT17" s="1">
        <f t="shared" si="30"/>
        <v>5.2539300000000004E-2</v>
      </c>
      <c r="DU17" s="1">
        <f t="shared" si="30"/>
        <v>0</v>
      </c>
      <c r="DV17" s="1">
        <f t="shared" si="30"/>
        <v>0</v>
      </c>
      <c r="DW17" s="1">
        <f t="shared" si="30"/>
        <v>4.0599999999999997E-2</v>
      </c>
      <c r="DX17" s="1">
        <f t="shared" si="30"/>
        <v>0</v>
      </c>
      <c r="DY17" s="1">
        <f t="shared" si="31"/>
        <v>0</v>
      </c>
      <c r="DZ17" s="1">
        <f t="shared" si="31"/>
        <v>0</v>
      </c>
      <c r="EA17" s="1">
        <f t="shared" si="31"/>
        <v>0</v>
      </c>
      <c r="EB17" s="1">
        <f t="shared" si="31"/>
        <v>0</v>
      </c>
      <c r="EC17" s="1">
        <f t="shared" si="31"/>
        <v>0</v>
      </c>
      <c r="ED17" s="1">
        <f t="shared" si="31"/>
        <v>7.038E-3</v>
      </c>
      <c r="EE17" s="1">
        <f t="shared" si="31"/>
        <v>0</v>
      </c>
      <c r="EF17" s="1">
        <f t="shared" si="31"/>
        <v>0</v>
      </c>
      <c r="EH17" s="14">
        <f t="shared" si="32"/>
        <v>0.3</v>
      </c>
      <c r="EI17" s="14">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3"/>
        <v>0.3</v>
      </c>
      <c r="EY17" s="1">
        <f t="shared" si="33"/>
        <v>0.3</v>
      </c>
      <c r="EZ17" s="1">
        <f t="shared" si="33"/>
        <v>0.3</v>
      </c>
      <c r="FA17" s="1">
        <f t="shared" si="33"/>
        <v>0.3</v>
      </c>
      <c r="FB17" s="1">
        <f t="shared" si="33"/>
        <v>0.3</v>
      </c>
      <c r="FC17" s="1">
        <f t="shared" si="33"/>
        <v>0.3</v>
      </c>
      <c r="FD17" s="1">
        <f t="shared" si="33"/>
        <v>0.3</v>
      </c>
      <c r="FE17" s="1">
        <f t="shared" si="33"/>
        <v>0.3</v>
      </c>
      <c r="FG17" s="162">
        <f t="shared" si="34"/>
        <v>-0.21982040747491549</v>
      </c>
    </row>
    <row r="18" spans="1:163" ht="18.75" customHeight="1">
      <c r="A18" s="243" t="s">
        <v>222</v>
      </c>
      <c r="B18" s="246"/>
      <c r="C18" s="156">
        <f t="shared" si="5"/>
        <v>-0.33</v>
      </c>
      <c r="D18" s="198">
        <v>1</v>
      </c>
      <c r="E18" s="248">
        <f t="shared" si="6"/>
        <v>0.1153515295046692</v>
      </c>
      <c r="F18" s="249">
        <f t="shared" si="7"/>
        <v>9.1330980427215991E-2</v>
      </c>
      <c r="G18" s="248">
        <f t="shared" si="8"/>
        <v>4.5176790016335344E-2</v>
      </c>
      <c r="H18" s="249">
        <f t="shared" si="9"/>
        <v>7.0174739488333859E-2</v>
      </c>
      <c r="I18" s="253">
        <f t="shared" si="10"/>
        <v>0.7951365960576886</v>
      </c>
      <c r="J18" s="254">
        <f t="shared" si="11"/>
        <v>0.12639361913335989</v>
      </c>
      <c r="K18" s="248">
        <f t="shared" si="12"/>
        <v>0.71776173862359505</v>
      </c>
      <c r="L18" s="249">
        <f t="shared" si="13"/>
        <v>7.7374857434093558E-2</v>
      </c>
      <c r="M18" s="250"/>
      <c r="N18" s="24">
        <v>-1</v>
      </c>
      <c r="O18" s="248">
        <f t="shared" si="35"/>
        <v>-1.6802487914109321E-3</v>
      </c>
      <c r="P18" s="251">
        <f t="shared" si="36"/>
        <v>-1.6802487914109321E-3</v>
      </c>
      <c r="Q18" s="248">
        <f t="shared" si="14"/>
        <v>4.1545834343088561E-3</v>
      </c>
      <c r="R18" s="251">
        <f t="shared" si="37"/>
        <v>4.1545834343088561E-3</v>
      </c>
      <c r="S18" s="250"/>
      <c r="T18" s="24">
        <v>-1</v>
      </c>
      <c r="U18" s="248">
        <f t="shared" si="15"/>
        <v>0.19870145995095467</v>
      </c>
      <c r="V18" s="252">
        <f t="shared" si="16"/>
        <v>0.19870145995095467</v>
      </c>
      <c r="W18" s="248">
        <f t="shared" si="38"/>
        <v>-0.47913240182482575</v>
      </c>
      <c r="X18" s="252">
        <f t="shared" si="17"/>
        <v>-0.47913240182482575</v>
      </c>
      <c r="Y18" s="248">
        <f t="shared" si="18"/>
        <v>0</v>
      </c>
      <c r="Z18" s="252">
        <f t="shared" si="19"/>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4</v>
      </c>
      <c r="AQ18" s="28">
        <f>VLOOKUP($A18,historia!$A$5:$CM$24,+HLOOKUP(AQ$2,historia!$A$3:$EC$4,2,FALSE),FALSE)</f>
        <v>4</v>
      </c>
      <c r="AR18" s="28">
        <f>VLOOKUP($A18,historia!$A$5:$CM$24,+HLOOKUP(AR$2,historia!$A$3:$EC$4,2,FALSE),FALSE)</f>
        <v>5</v>
      </c>
      <c r="AS18" s="28">
        <f>VLOOKUP($A18,historia!$A$5:$CM$24,+HLOOKUP(AS$2,historia!$A$3:$EC$4,2,FALSE),FALSE)</f>
        <v>5</v>
      </c>
      <c r="AT18" s="58">
        <f>VLOOKUP($A18,historia!$A$5:$CM$24,+HLOOKUP(AT$2,historia!$A$3:$EC$4,2,FALSE),FALSE)</f>
        <v>4</v>
      </c>
      <c r="AU18" s="58">
        <f>VLOOKUP($A18,historia!$A$5:$CM$24,+HLOOKUP(AU$2,historia!$A$3:$EC$4,2,FALSE),FALSE)</f>
        <v>4</v>
      </c>
      <c r="AV18" s="58">
        <f>VLOOKUP($A18,historia!$A$5:$CM$24,+HLOOKUP(AV$2,historia!$A$3:$EC$4,2,FALSE),FALSE)</f>
        <v>4</v>
      </c>
      <c r="AW18" s="58">
        <f>VLOOKUP($A18,historia!$A$5:$CM$24,+HLOOKUP(AW$2,historia!$A$3:$EC$4,2,FALSE),FALSE)</f>
        <v>4</v>
      </c>
      <c r="AX18" s="58">
        <f>VLOOKUP($A18,historia!$A$5:$CM$24,+HLOOKUP(AX$2,historia!$A$3:$EC$4,2,FALSE),FALSE)</f>
        <v>4</v>
      </c>
      <c r="AY18" s="58">
        <f>VLOOKUP($A18,historia!$A$5:$CM$24,+HLOOKUP(AY$2,historia!$A$3:$EC$4,2,FALSE),FALSE)</f>
        <v>4</v>
      </c>
      <c r="AZ18" s="58">
        <f>VLOOKUP($A18,historia!$A$5:$CM$24,+HLOOKUP(AZ$2,historia!$A$3:$EC$4,2,FALSE),FALSE)</f>
        <v>3</v>
      </c>
      <c r="BA18" s="58">
        <f>VLOOKUP($A18,historia!$A$5:$CM$24,+HLOOKUP(BA$2,historia!$A$3:$EC$4,2,FALSE),FALSE)</f>
        <v>2</v>
      </c>
      <c r="BB18" s="58"/>
      <c r="BC18" s="286">
        <v>2</v>
      </c>
      <c r="BD18" t="str">
        <f t="shared" si="20"/>
        <v>Ovino</v>
      </c>
      <c r="BE18">
        <f>+datos!BU1</f>
        <v>73</v>
      </c>
      <c r="BF18" s="2" t="str">
        <f t="shared" si="4"/>
        <v>$/kg</v>
      </c>
      <c r="BG18" s="2">
        <f t="shared" si="4"/>
        <v>73472.691749999998</v>
      </c>
      <c r="BH18" s="2">
        <f t="shared" si="4"/>
        <v>65874.022500000006</v>
      </c>
      <c r="BI18" s="2">
        <f t="shared" si="4"/>
        <v>40928.747100000001</v>
      </c>
      <c r="BK18">
        <f>+datos!DI1</f>
        <v>113</v>
      </c>
      <c r="BL18" s="2">
        <f t="shared" si="21"/>
        <v>9857.2618132846819</v>
      </c>
      <c r="BM18" s="2">
        <f t="shared" si="21"/>
        <v>9431.1908831525234</v>
      </c>
      <c r="BN18" s="2">
        <f t="shared" si="21"/>
        <v>5738.4336789239997</v>
      </c>
      <c r="BP18" s="1">
        <f>+datos!EL1</f>
        <v>142</v>
      </c>
      <c r="BQ18" s="1">
        <f t="shared" si="22"/>
        <v>12440906</v>
      </c>
      <c r="BR18" s="1">
        <f t="shared" si="22"/>
        <v>12461845</v>
      </c>
      <c r="BT18" s="1">
        <f>+datos!GS1</f>
        <v>201</v>
      </c>
      <c r="BU18" s="1">
        <f t="shared" si="23"/>
        <v>38970.18</v>
      </c>
      <c r="BV18" s="1">
        <f t="shared" si="23"/>
        <v>38808.945</v>
      </c>
      <c r="BX18" s="1">
        <f>+datos!KI1</f>
        <v>295</v>
      </c>
      <c r="BY18" s="1">
        <f t="shared" si="39"/>
        <v>219.66272196</v>
      </c>
      <c r="BZ18" s="1">
        <f t="shared" si="40"/>
        <v>183.25056680000003</v>
      </c>
      <c r="CB18" s="1">
        <f>+datos!LN1</f>
        <v>326</v>
      </c>
      <c r="CC18" s="2">
        <f t="shared" si="24"/>
        <v>2.3508917400000002</v>
      </c>
      <c r="CD18" s="2">
        <f t="shared" si="25"/>
        <v>4.5134152100000007</v>
      </c>
      <c r="CF18" s="1">
        <f>+datos!JA1</f>
        <v>261</v>
      </c>
      <c r="CG18" s="1">
        <f t="shared" si="26"/>
        <v>2813</v>
      </c>
      <c r="CH18" s="1">
        <f t="shared" si="27"/>
        <v>2813</v>
      </c>
      <c r="CJ18" s="1">
        <f t="shared" si="28"/>
        <v>31.610464650000004</v>
      </c>
      <c r="CK18" s="1">
        <f t="shared" si="28"/>
        <v>14.881609229999999</v>
      </c>
      <c r="CL18" s="1">
        <f t="shared" si="28"/>
        <v>18.538380959999998</v>
      </c>
      <c r="CM18" s="1">
        <f t="shared" si="28"/>
        <v>15.79353798</v>
      </c>
      <c r="CN18" s="1">
        <f t="shared" si="28"/>
        <v>15.390557059999999</v>
      </c>
      <c r="CO18" s="1">
        <f t="shared" si="28"/>
        <v>12.657815750000001</v>
      </c>
      <c r="CP18" s="1">
        <f t="shared" si="28"/>
        <v>13.430479930000001</v>
      </c>
      <c r="CQ18" s="1">
        <f t="shared" si="28"/>
        <v>15.60716012</v>
      </c>
      <c r="CR18" s="1">
        <f t="shared" si="28"/>
        <v>19.03918719</v>
      </c>
      <c r="CS18" s="1">
        <f t="shared" si="28"/>
        <v>17.774232269999999</v>
      </c>
      <c r="CT18" s="1">
        <f t="shared" si="28"/>
        <v>22.502102959999998</v>
      </c>
      <c r="CU18" s="1">
        <f t="shared" si="28"/>
        <v>22.437193859999997</v>
      </c>
      <c r="CV18" s="1">
        <f t="shared" si="28"/>
        <v>15.322430800000003</v>
      </c>
      <c r="CW18" s="1">
        <f t="shared" si="28"/>
        <v>16.644595240000001</v>
      </c>
      <c r="CX18" s="1">
        <f t="shared" si="28"/>
        <v>15.83663735</v>
      </c>
      <c r="CY18" s="1">
        <f t="shared" si="28"/>
        <v>13.412348609999999</v>
      </c>
      <c r="CZ18" s="1">
        <f t="shared" si="29"/>
        <v>9.5091132299999988</v>
      </c>
      <c r="DA18" s="1">
        <f t="shared" si="29"/>
        <v>10.49137048</v>
      </c>
      <c r="DB18" s="1">
        <f t="shared" si="29"/>
        <v>12.745889309999999</v>
      </c>
      <c r="DC18" s="1">
        <f t="shared" si="29"/>
        <v>11.898747670000001</v>
      </c>
      <c r="DD18" s="1">
        <f t="shared" si="29"/>
        <v>12.26162961</v>
      </c>
      <c r="DE18" s="1">
        <f t="shared" si="29"/>
        <v>21.704121750000002</v>
      </c>
      <c r="DF18" s="1">
        <f t="shared" si="29"/>
        <v>21.006605250000003</v>
      </c>
      <c r="DG18" s="1">
        <f t="shared" si="29"/>
        <v>22.417077500000001</v>
      </c>
      <c r="DI18" s="1">
        <f t="shared" si="30"/>
        <v>0.19393855000000002</v>
      </c>
      <c r="DJ18" s="1">
        <f t="shared" si="30"/>
        <v>0.16347327</v>
      </c>
      <c r="DK18" s="1">
        <f t="shared" si="30"/>
        <v>0.18164933</v>
      </c>
      <c r="DL18" s="1">
        <f t="shared" si="30"/>
        <v>0.25055533999999996</v>
      </c>
      <c r="DM18" s="1">
        <f t="shared" si="30"/>
        <v>0.29342396000000004</v>
      </c>
      <c r="DN18" s="1">
        <f t="shared" si="30"/>
        <v>0.26088905000000001</v>
      </c>
      <c r="DO18" s="1">
        <f t="shared" si="30"/>
        <v>0.18624962</v>
      </c>
      <c r="DP18" s="1">
        <f t="shared" si="30"/>
        <v>0.1577527</v>
      </c>
      <c r="DQ18" s="1">
        <f t="shared" si="30"/>
        <v>0.24821200999999998</v>
      </c>
      <c r="DR18" s="1">
        <f t="shared" si="30"/>
        <v>0.13589592</v>
      </c>
      <c r="DS18" s="1">
        <f t="shared" si="30"/>
        <v>0.23010199000000001</v>
      </c>
      <c r="DT18" s="1">
        <f t="shared" si="30"/>
        <v>4.8750000000000002E-2</v>
      </c>
      <c r="DU18" s="1">
        <f t="shared" si="30"/>
        <v>0.31075020000000003</v>
      </c>
      <c r="DV18" s="1">
        <f t="shared" si="30"/>
        <v>0.90541722000000002</v>
      </c>
      <c r="DW18" s="1">
        <f t="shared" si="30"/>
        <v>0.34283965</v>
      </c>
      <c r="DX18" s="1">
        <f t="shared" si="30"/>
        <v>0.74167351000000015</v>
      </c>
      <c r="DY18" s="1">
        <f t="shared" si="31"/>
        <v>0.58632921999999998</v>
      </c>
      <c r="DZ18" s="1">
        <f t="shared" si="31"/>
        <v>0.29250390000000004</v>
      </c>
      <c r="EA18" s="1">
        <f t="shared" si="31"/>
        <v>0.46645720000000002</v>
      </c>
      <c r="EB18" s="1">
        <f t="shared" si="31"/>
        <v>8.1248630000000002E-2</v>
      </c>
      <c r="EC18" s="1">
        <f t="shared" si="31"/>
        <v>0.16069122999999999</v>
      </c>
      <c r="ED18" s="1">
        <f t="shared" si="31"/>
        <v>0.12834936</v>
      </c>
      <c r="EE18" s="1">
        <f t="shared" si="31"/>
        <v>0.21283820000000001</v>
      </c>
      <c r="EF18" s="1">
        <f t="shared" si="31"/>
        <v>0.28431688999999999</v>
      </c>
      <c r="EH18" s="14">
        <f t="shared" si="32"/>
        <v>2813</v>
      </c>
      <c r="EI18" s="14">
        <f t="shared" si="32"/>
        <v>2813</v>
      </c>
      <c r="EJ18" s="1">
        <f t="shared" si="32"/>
        <v>2813</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3"/>
        <v>2813</v>
      </c>
      <c r="EY18" s="1">
        <f t="shared" si="33"/>
        <v>2813</v>
      </c>
      <c r="EZ18" s="1">
        <f t="shared" si="33"/>
        <v>2813</v>
      </c>
      <c r="FA18" s="1">
        <f t="shared" si="33"/>
        <v>2813</v>
      </c>
      <c r="FB18" s="1">
        <f t="shared" si="33"/>
        <v>2813</v>
      </c>
      <c r="FC18" s="1">
        <f t="shared" si="33"/>
        <v>2813</v>
      </c>
      <c r="FD18" s="1">
        <f t="shared" si="33"/>
        <v>2813</v>
      </c>
      <c r="FE18" s="1">
        <f t="shared" si="33"/>
        <v>2813</v>
      </c>
      <c r="FG18" s="162">
        <f t="shared" si="34"/>
        <v>7.7374857434093558E-2</v>
      </c>
    </row>
    <row r="19" spans="1:163" ht="18.75" customHeight="1">
      <c r="A19" s="244" t="s">
        <v>66</v>
      </c>
      <c r="B19" s="247"/>
      <c r="C19" s="228">
        <f t="shared" si="5"/>
        <v>0</v>
      </c>
      <c r="D19" s="229">
        <v>-1</v>
      </c>
      <c r="E19" s="253">
        <f t="shared" si="6"/>
        <v>0.52659032080947532</v>
      </c>
      <c r="F19" s="254">
        <f t="shared" si="7"/>
        <v>0.50256977173202211</v>
      </c>
      <c r="G19" s="253">
        <f t="shared" si="8"/>
        <v>9.0101070181527021E-2</v>
      </c>
      <c r="H19" s="254">
        <f t="shared" si="9"/>
        <v>0.4364892506279483</v>
      </c>
      <c r="I19" s="253">
        <f t="shared" si="10"/>
        <v>-0.11690785754663646</v>
      </c>
      <c r="J19" s="254">
        <f t="shared" si="11"/>
        <v>-0.78565083447096518</v>
      </c>
      <c r="K19" s="253">
        <f t="shared" si="12"/>
        <v>0.1963323710541911</v>
      </c>
      <c r="L19" s="254">
        <f t="shared" si="13"/>
        <v>-0.31324022860082756</v>
      </c>
      <c r="M19" s="255"/>
      <c r="N19" s="256">
        <v>0</v>
      </c>
      <c r="O19" s="253">
        <f t="shared" si="35"/>
        <v>9.6567571449088119E-2</v>
      </c>
      <c r="P19" s="257">
        <f t="shared" si="36"/>
        <v>9.6567571449088119E-2</v>
      </c>
      <c r="Q19" s="253">
        <f t="shared" si="14"/>
        <v>0</v>
      </c>
      <c r="R19" s="257">
        <v>-0.01</v>
      </c>
      <c r="S19" s="255"/>
      <c r="T19" s="256">
        <v>1</v>
      </c>
      <c r="U19" s="253">
        <f t="shared" si="15"/>
        <v>0.25098191748822329</v>
      </c>
      <c r="V19" s="258">
        <f t="shared" si="16"/>
        <v>0.25098191748822329</v>
      </c>
      <c r="W19" s="253">
        <f t="shared" si="38"/>
        <v>-0.20096592637340249</v>
      </c>
      <c r="X19" s="258">
        <f t="shared" si="17"/>
        <v>-0.20096592637340249</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4</v>
      </c>
      <c r="AQ19" s="28">
        <f>VLOOKUP($A19,historia!$A$5:$CM$24,+HLOOKUP(AQ$2,historia!$A$3:$EC$4,2,FALSE),FALSE)</f>
        <v>4</v>
      </c>
      <c r="AR19" s="28">
        <f>VLOOKUP($A19,historia!$A$5:$CM$24,+HLOOKUP(AR$2,historia!$A$3:$EC$4,2,FALSE),FALSE)</f>
        <v>4</v>
      </c>
      <c r="AS19" s="28">
        <f>VLOOKUP($A19,historia!$A$5:$CM$24,+HLOOKUP(AS$2,historia!$A$3:$EC$4,2,FALSE),FALSE)</f>
        <v>4</v>
      </c>
      <c r="AT19" s="58">
        <f>VLOOKUP($A19,historia!$A$5:$CM$24,+HLOOKUP(AT$2,historia!$A$3:$EC$4,2,FALSE),FALSE)</f>
        <v>3</v>
      </c>
      <c r="AU19" s="58">
        <f>VLOOKUP($A19,historia!$A$5:$CM$24,+HLOOKUP(AU$2,historia!$A$3:$EC$4,2,FALSE),FALSE)</f>
        <v>3</v>
      </c>
      <c r="AV19" s="58">
        <f>VLOOKUP($A19,historia!$A$5:$CM$24,+HLOOKUP(AV$2,historia!$A$3:$EC$4,2,FALSE),FALSE)</f>
        <v>3</v>
      </c>
      <c r="AW19" s="58">
        <f>VLOOKUP($A19,historia!$A$5:$CM$24,+HLOOKUP(AW$2,historia!$A$3:$EC$4,2,FALSE),FALSE)</f>
        <v>3</v>
      </c>
      <c r="AX19" s="58">
        <f>VLOOKUP($A19,historia!$A$5:$CM$24,+HLOOKUP(AX$2,historia!$A$3:$EC$4,2,FALSE),FALSE)</f>
        <v>3</v>
      </c>
      <c r="AY19" s="58">
        <f>VLOOKUP($A19,historia!$A$5:$CM$24,+HLOOKUP(AY$2,historia!$A$3:$EC$4,2,FALSE),FALSE)</f>
        <v>3</v>
      </c>
      <c r="AZ19" s="58">
        <f>VLOOKUP($A19,historia!$A$5:$CM$24,+HLOOKUP(AZ$2,historia!$A$3:$EC$4,2,FALSE),FALSE)</f>
        <v>4</v>
      </c>
      <c r="BA19" s="58">
        <f>VLOOKUP($A19,historia!$A$5:$CM$24,+HLOOKUP(BA$2,historia!$A$3:$EC$4,2,FALSE),FALSE)</f>
        <v>3</v>
      </c>
      <c r="BB19" s="58"/>
      <c r="BC19" s="286">
        <v>3</v>
      </c>
      <c r="BD19" t="str">
        <f t="shared" si="20"/>
        <v>Papa</v>
      </c>
      <c r="BE19">
        <f>+datos!AV1</f>
        <v>48</v>
      </c>
      <c r="BF19" s="2" t="str">
        <f t="shared" si="4"/>
        <v>$/bolsa 20kg</v>
      </c>
      <c r="BG19" s="2">
        <f t="shared" si="4"/>
        <v>5955.7377049180332</v>
      </c>
      <c r="BH19" s="2">
        <f t="shared" si="4"/>
        <v>3901.3333333333335</v>
      </c>
      <c r="BI19" s="2">
        <f t="shared" si="4"/>
        <v>6744.1860465116279</v>
      </c>
      <c r="BK19">
        <f>+datos!CI1</f>
        <v>87</v>
      </c>
      <c r="BL19" s="2">
        <f t="shared" si="21"/>
        <v>9755.8588603703065</v>
      </c>
      <c r="BM19" s="2">
        <f t="shared" si="21"/>
        <v>8949.4993879289832</v>
      </c>
      <c r="BN19" s="2">
        <f t="shared" si="21"/>
        <v>8154.8063869354155</v>
      </c>
      <c r="BP19" s="1">
        <f>+datos!EZ1</f>
        <v>156</v>
      </c>
      <c r="BQ19" s="1">
        <f t="shared" si="22"/>
        <v>38177</v>
      </c>
      <c r="BR19" s="1">
        <f t="shared" si="22"/>
        <v>34815</v>
      </c>
      <c r="BT19" s="1">
        <f>+datos!GT1</f>
        <v>202</v>
      </c>
      <c r="BU19" s="1">
        <f t="shared" si="23"/>
        <v>2111561</v>
      </c>
      <c r="BV19" s="1">
        <f t="shared" si="23"/>
        <v>2111561</v>
      </c>
      <c r="BX19" s="1">
        <f>+datos!JO1</f>
        <v>275</v>
      </c>
      <c r="BY19" s="1">
        <f t="shared" si="39"/>
        <v>406.07563665000004</v>
      </c>
      <c r="BZ19" s="1">
        <f t="shared" si="40"/>
        <v>324.60552064999996</v>
      </c>
      <c r="CB19" s="1">
        <f>+datos!KT1</f>
        <v>306</v>
      </c>
      <c r="CC19" s="2">
        <f t="shared" si="24"/>
        <v>15.999259630000003</v>
      </c>
      <c r="CD19" s="2">
        <f t="shared" si="25"/>
        <v>20.023250769999997</v>
      </c>
      <c r="CF19" s="1">
        <f>+datos!JB1</f>
        <v>262</v>
      </c>
      <c r="CG19" s="1">
        <f t="shared" si="26"/>
        <v>35.950000000000003</v>
      </c>
      <c r="CH19" s="1">
        <f t="shared" si="27"/>
        <v>35.950000000000003</v>
      </c>
      <c r="CJ19" s="1">
        <f t="shared" si="28"/>
        <v>30.959664470000003</v>
      </c>
      <c r="CK19" s="1">
        <f t="shared" si="28"/>
        <v>28.030286839999999</v>
      </c>
      <c r="CL19" s="1">
        <f t="shared" si="28"/>
        <v>35.227965569999995</v>
      </c>
      <c r="CM19" s="1">
        <f t="shared" si="28"/>
        <v>43.313690020000003</v>
      </c>
      <c r="CN19" s="1">
        <f t="shared" si="28"/>
        <v>38.158354570000007</v>
      </c>
      <c r="CO19" s="1">
        <f t="shared" si="28"/>
        <v>36.879687310000008</v>
      </c>
      <c r="CP19" s="1">
        <f t="shared" si="28"/>
        <v>30.584450140000001</v>
      </c>
      <c r="CQ19" s="1">
        <f t="shared" si="28"/>
        <v>34.87822036</v>
      </c>
      <c r="CR19" s="1">
        <f t="shared" si="28"/>
        <v>30.986019150000001</v>
      </c>
      <c r="CS19" s="1">
        <f t="shared" si="28"/>
        <v>34.45773063</v>
      </c>
      <c r="CT19" s="1">
        <f t="shared" si="28"/>
        <v>33.675059580000003</v>
      </c>
      <c r="CU19" s="1">
        <f t="shared" si="28"/>
        <v>28.924508010000004</v>
      </c>
      <c r="CV19" s="1">
        <f t="shared" si="28"/>
        <v>27.954086790000002</v>
      </c>
      <c r="CW19" s="1">
        <f t="shared" si="28"/>
        <v>24.143815810000007</v>
      </c>
      <c r="CX19" s="1">
        <f t="shared" si="28"/>
        <v>26.000694290000002</v>
      </c>
      <c r="CY19" s="1">
        <f t="shared" si="28"/>
        <v>22.013274209999999</v>
      </c>
      <c r="CZ19" s="1">
        <f t="shared" si="29"/>
        <v>23.44114875</v>
      </c>
      <c r="DA19" s="1">
        <f t="shared" si="29"/>
        <v>29.35689408</v>
      </c>
      <c r="DB19" s="1">
        <f t="shared" si="29"/>
        <v>26.11967611</v>
      </c>
      <c r="DC19" s="1">
        <f t="shared" si="29"/>
        <v>30.386509889999999</v>
      </c>
      <c r="DD19" s="1">
        <f t="shared" si="29"/>
        <v>26.2743097</v>
      </c>
      <c r="DE19" s="1">
        <f t="shared" si="29"/>
        <v>30.80704394</v>
      </c>
      <c r="DF19" s="1">
        <f t="shared" si="29"/>
        <v>27.637267510000001</v>
      </c>
      <c r="DG19" s="1">
        <f t="shared" si="29"/>
        <v>30.470799569999997</v>
      </c>
      <c r="DI19" s="1">
        <f t="shared" si="30"/>
        <v>0.86551083000000006</v>
      </c>
      <c r="DJ19" s="1">
        <f t="shared" si="30"/>
        <v>0.79831189000000002</v>
      </c>
      <c r="DK19" s="1">
        <f t="shared" si="30"/>
        <v>1.1318278900000001</v>
      </c>
      <c r="DL19" s="1">
        <f t="shared" si="30"/>
        <v>1.8442369199999997</v>
      </c>
      <c r="DM19" s="1">
        <f t="shared" si="30"/>
        <v>1.0529063700000001</v>
      </c>
      <c r="DN19" s="1">
        <f t="shared" si="30"/>
        <v>2.0286618900000004</v>
      </c>
      <c r="DO19" s="1">
        <f t="shared" si="30"/>
        <v>0.79104531999999994</v>
      </c>
      <c r="DP19" s="1">
        <f t="shared" si="30"/>
        <v>1.6294275100000002</v>
      </c>
      <c r="DQ19" s="1">
        <f t="shared" si="30"/>
        <v>1.8725515799999999</v>
      </c>
      <c r="DR19" s="1">
        <f t="shared" si="30"/>
        <v>1.9938344900000002</v>
      </c>
      <c r="DS19" s="1">
        <f t="shared" si="30"/>
        <v>1.4070700599999999</v>
      </c>
      <c r="DT19" s="1">
        <f t="shared" si="30"/>
        <v>0.5838748800000001</v>
      </c>
      <c r="DU19" s="1">
        <f t="shared" si="30"/>
        <v>1.6300787399999999</v>
      </c>
      <c r="DV19" s="1">
        <f t="shared" si="30"/>
        <v>1.5496506000000003</v>
      </c>
      <c r="DW19" s="1">
        <f t="shared" si="30"/>
        <v>2.1384397699999997</v>
      </c>
      <c r="DX19" s="1">
        <f t="shared" si="30"/>
        <v>2.7337765599999999</v>
      </c>
      <c r="DY19" s="1">
        <f t="shared" si="31"/>
        <v>1.0171737099999998</v>
      </c>
      <c r="DZ19" s="1">
        <f t="shared" si="31"/>
        <v>1.9864389700000002</v>
      </c>
      <c r="EA19" s="1">
        <f t="shared" si="31"/>
        <v>2.8868213899999997</v>
      </c>
      <c r="EB19" s="1">
        <f t="shared" si="31"/>
        <v>1.3747401999999997</v>
      </c>
      <c r="EC19" s="1">
        <f t="shared" si="31"/>
        <v>1.6364950999999999</v>
      </c>
      <c r="ED19" s="1">
        <f t="shared" si="31"/>
        <v>1.1348675200000002</v>
      </c>
      <c r="EE19" s="1">
        <f t="shared" si="31"/>
        <v>0.73241972</v>
      </c>
      <c r="EF19" s="1">
        <f t="shared" si="31"/>
        <v>1.2023484900000001</v>
      </c>
      <c r="EH19" s="14">
        <f t="shared" si="32"/>
        <v>35.950000000000003</v>
      </c>
      <c r="EI19" s="14">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G19" s="162">
        <f t="shared" si="34"/>
        <v>-0.31324022860082756</v>
      </c>
    </row>
    <row r="20" spans="1:163" ht="18.75" customHeight="1">
      <c r="A20" s="264" t="s">
        <v>218</v>
      </c>
      <c r="B20" s="246"/>
      <c r="C20" s="156">
        <f t="shared" si="5"/>
        <v>0</v>
      </c>
      <c r="D20" s="198">
        <v>-1</v>
      </c>
      <c r="E20" s="248">
        <f t="shared" si="6"/>
        <v>-6.793534345975949E-2</v>
      </c>
      <c r="F20" s="249">
        <f t="shared" si="7"/>
        <v>-9.1955892537212702E-2</v>
      </c>
      <c r="G20" s="248">
        <f t="shared" si="8"/>
        <v>2.6851083465221581E-2</v>
      </c>
      <c r="H20" s="249">
        <f t="shared" si="9"/>
        <v>-9.4786426924981071E-2</v>
      </c>
      <c r="I20" s="248">
        <f t="shared" si="10"/>
        <v>0.35120446018443841</v>
      </c>
      <c r="J20" s="249">
        <f t="shared" si="11"/>
        <v>-0.31753851673989031</v>
      </c>
      <c r="K20" s="248">
        <f t="shared" si="12"/>
        <v>0.48101796069685387</v>
      </c>
      <c r="L20" s="249">
        <f t="shared" si="13"/>
        <v>-0.12981350051241547</v>
      </c>
      <c r="M20" s="250"/>
      <c r="N20" s="24">
        <v>-1</v>
      </c>
      <c r="O20" s="248">
        <f t="shared" si="35"/>
        <v>0</v>
      </c>
      <c r="P20" s="251">
        <f t="shared" si="36"/>
        <v>0</v>
      </c>
      <c r="Q20" s="248">
        <f t="shared" si="14"/>
        <v>3.4663358556344948E-2</v>
      </c>
      <c r="R20" s="251">
        <f t="shared" si="37"/>
        <v>3.4663358556344948E-2</v>
      </c>
      <c r="S20" s="250"/>
      <c r="T20" s="24">
        <v>2</v>
      </c>
      <c r="U20" s="248">
        <f t="shared" si="15"/>
        <v>0.14866020146430636</v>
      </c>
      <c r="V20" s="252">
        <f t="shared" si="16"/>
        <v>0.14866020146430636</v>
      </c>
      <c r="W20" s="248">
        <f t="shared" si="38"/>
        <v>-0.62476169424965911</v>
      </c>
      <c r="X20" s="252">
        <f t="shared" si="17"/>
        <v>-0.62476169424965911</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4</v>
      </c>
      <c r="AQ20" s="28">
        <f>VLOOKUP($A20,historia!$A$5:$CM$24,+HLOOKUP(AQ$2,historia!$A$3:$EC$4,2,FALSE),FALSE)</f>
        <v>4</v>
      </c>
      <c r="AR20" s="28">
        <f>VLOOKUP($A20,historia!$A$5:$CM$24,+HLOOKUP(AR$2,historia!$A$3:$EC$4,2,FALSE),FALSE)</f>
        <v>4</v>
      </c>
      <c r="AS20" s="28">
        <f>VLOOKUP($A20,historia!$A$5:$CM$24,+HLOOKUP(AS$2,historia!$A$3:$EC$4,2,FALSE),FALSE)</f>
        <v>4</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3</v>
      </c>
      <c r="AY20" s="58">
        <f>VLOOKUP($A20,historia!$A$5:$CM$24,+HLOOKUP(AY$2,historia!$A$3:$EC$4,2,FALSE),FALSE)</f>
        <v>3</v>
      </c>
      <c r="AZ20" s="58">
        <f>VLOOKUP($A20,historia!$A$5:$CM$24,+HLOOKUP(AZ$2,historia!$A$3:$EC$4,2,FALSE),FALSE)</f>
        <v>3</v>
      </c>
      <c r="BA20" s="58">
        <f>VLOOKUP($A20,historia!$A$5:$CM$24,+HLOOKUP(BA$2,historia!$A$3:$EC$4,2,FALSE),FALSE)</f>
        <v>4</v>
      </c>
      <c r="BB20" s="58"/>
      <c r="BC20" s="286">
        <v>4</v>
      </c>
      <c r="BD20" t="str">
        <f t="shared" si="20"/>
        <v>Peras y Manzanas</v>
      </c>
      <c r="BE20">
        <f>+datos!AP1</f>
        <v>42</v>
      </c>
      <c r="BF20" s="2" t="str">
        <f t="shared" si="4"/>
        <v>$/caja 18kg</v>
      </c>
      <c r="BG20" s="2">
        <f t="shared" si="4"/>
        <v>16955.400000000001</v>
      </c>
      <c r="BH20" s="2">
        <f t="shared" si="4"/>
        <v>18191.227272727272</v>
      </c>
      <c r="BI20" s="2">
        <f t="shared" si="4"/>
        <v>12548.36</v>
      </c>
      <c r="BK20">
        <f>+datos!CS1</f>
        <v>97</v>
      </c>
      <c r="BL20" s="2">
        <f t="shared" si="21"/>
        <v>9749.9330531478208</v>
      </c>
      <c r="BM20" s="2">
        <f t="shared" si="21"/>
        <v>9494.9824859176297</v>
      </c>
      <c r="BN20" s="2">
        <f t="shared" si="21"/>
        <v>6583.2645598438576</v>
      </c>
      <c r="BP20" s="1">
        <f>+datos!FC1</f>
        <v>159</v>
      </c>
      <c r="BQ20" s="1">
        <f t="shared" si="22"/>
        <v>38084</v>
      </c>
      <c r="BR20" s="1">
        <f t="shared" si="22"/>
        <v>38084</v>
      </c>
      <c r="BT20" s="1">
        <f>+datos!GW1</f>
        <v>205</v>
      </c>
      <c r="BU20" s="1">
        <f t="shared" si="23"/>
        <v>778161</v>
      </c>
      <c r="BV20" s="1">
        <f t="shared" si="23"/>
        <v>752091</v>
      </c>
      <c r="BX20" s="1">
        <f>+datos!LS1</f>
        <v>331</v>
      </c>
      <c r="BY20" s="1">
        <f t="shared" si="39"/>
        <v>414.86076937000001</v>
      </c>
      <c r="BZ20" s="1">
        <f t="shared" si="40"/>
        <v>361.16927255000002</v>
      </c>
      <c r="CB20" s="1">
        <f>+datos!LW1</f>
        <v>335</v>
      </c>
      <c r="CC20" s="2">
        <f t="shared" si="24"/>
        <v>2.7183650800000003</v>
      </c>
      <c r="CD20" s="2">
        <f t="shared" si="25"/>
        <v>7.2443698799999998</v>
      </c>
      <c r="CF20" s="1">
        <f>+datos!JC1</f>
        <v>263</v>
      </c>
      <c r="CG20" s="1">
        <f t="shared" si="26"/>
        <v>0</v>
      </c>
      <c r="CH20" s="1">
        <f t="shared" si="27"/>
        <v>0</v>
      </c>
      <c r="CJ20" s="1">
        <f t="shared" si="28"/>
        <v>46.396857000000011</v>
      </c>
      <c r="CK20" s="1">
        <f t="shared" si="28"/>
        <v>23.934850630000003</v>
      </c>
      <c r="CL20" s="1">
        <f t="shared" si="28"/>
        <v>23.934850630000003</v>
      </c>
      <c r="CM20" s="1">
        <f t="shared" si="28"/>
        <v>23.934850630000003</v>
      </c>
      <c r="CN20" s="1">
        <f t="shared" si="28"/>
        <v>25.188374430000003</v>
      </c>
      <c r="CO20" s="1">
        <f t="shared" si="28"/>
        <v>22.303018159999997</v>
      </c>
      <c r="CP20" s="1">
        <f t="shared" si="28"/>
        <v>14.93334776</v>
      </c>
      <c r="CQ20" s="1">
        <f t="shared" si="28"/>
        <v>35.336569390000001</v>
      </c>
      <c r="CR20" s="1">
        <f t="shared" si="28"/>
        <v>46.662709379999995</v>
      </c>
      <c r="CS20" s="1">
        <f t="shared" si="28"/>
        <v>45.302769560000002</v>
      </c>
      <c r="CT20" s="1">
        <f t="shared" si="28"/>
        <v>46.856289650000001</v>
      </c>
      <c r="CU20" s="1">
        <f t="shared" si="28"/>
        <v>60.076282149999997</v>
      </c>
      <c r="CV20" s="1">
        <f t="shared" si="28"/>
        <v>42.744570039999999</v>
      </c>
      <c r="CW20" s="1">
        <f t="shared" si="28"/>
        <v>11.509203560000001</v>
      </c>
      <c r="CX20" s="1">
        <f t="shared" si="28"/>
        <v>11.753879789999999</v>
      </c>
      <c r="CY20" s="1">
        <f t="shared" si="28"/>
        <v>15.619426270000002</v>
      </c>
      <c r="CZ20" s="1">
        <f t="shared" si="29"/>
        <v>16.880359240000001</v>
      </c>
      <c r="DA20" s="1">
        <f t="shared" si="29"/>
        <v>24.204094699999999</v>
      </c>
      <c r="DB20" s="1">
        <f t="shared" si="29"/>
        <v>25.300599699999999</v>
      </c>
      <c r="DC20" s="1">
        <f t="shared" si="29"/>
        <v>48.042350899999995</v>
      </c>
      <c r="DD20" s="1">
        <f t="shared" si="29"/>
        <v>30.317151650000003</v>
      </c>
      <c r="DE20" s="1">
        <f t="shared" si="29"/>
        <v>39.830023670000003</v>
      </c>
      <c r="DF20" s="1">
        <f t="shared" si="29"/>
        <v>48.212206680000008</v>
      </c>
      <c r="DG20" s="1">
        <f t="shared" si="29"/>
        <v>46.755406350000001</v>
      </c>
      <c r="DI20" s="1">
        <f t="shared" si="30"/>
        <v>4.7323499999999998E-2</v>
      </c>
      <c r="DJ20" s="1">
        <f t="shared" si="30"/>
        <v>0.18245199000000001</v>
      </c>
      <c r="DK20" s="1">
        <f t="shared" si="30"/>
        <v>6.8745290000000001E-2</v>
      </c>
      <c r="DL20" s="1">
        <f t="shared" si="30"/>
        <v>0.21798748000000001</v>
      </c>
      <c r="DM20" s="1">
        <f t="shared" si="30"/>
        <v>7.9820000000000002E-2</v>
      </c>
      <c r="DN20" s="1">
        <f t="shared" si="30"/>
        <v>0.14837025000000001</v>
      </c>
      <c r="DO20" s="1">
        <f t="shared" si="30"/>
        <v>0.3865221499999999</v>
      </c>
      <c r="DP20" s="1">
        <f t="shared" si="30"/>
        <v>0.51794252000000007</v>
      </c>
      <c r="DQ20" s="1">
        <f t="shared" si="30"/>
        <v>0.37362660000000003</v>
      </c>
      <c r="DR20" s="1">
        <f t="shared" si="30"/>
        <v>0.32288670000000003</v>
      </c>
      <c r="DS20" s="1">
        <f t="shared" si="30"/>
        <v>0.29487440000000004</v>
      </c>
      <c r="DT20" s="1">
        <f t="shared" si="30"/>
        <v>7.78142E-2</v>
      </c>
      <c r="DU20" s="1">
        <f t="shared" si="30"/>
        <v>0.12479459999999999</v>
      </c>
      <c r="DV20" s="1">
        <f t="shared" si="30"/>
        <v>8.4911199999999992E-2</v>
      </c>
      <c r="DW20" s="1">
        <f t="shared" si="30"/>
        <v>0.22142464000000001</v>
      </c>
      <c r="DX20" s="1">
        <f t="shared" si="30"/>
        <v>1.01853964</v>
      </c>
      <c r="DY20" s="1">
        <f t="shared" si="31"/>
        <v>0.30728509999999998</v>
      </c>
      <c r="DZ20" s="1">
        <f t="shared" si="31"/>
        <v>0.37410640000000001</v>
      </c>
      <c r="EA20" s="1">
        <f t="shared" si="31"/>
        <v>0.35746821000000001</v>
      </c>
      <c r="EB20" s="1">
        <f t="shared" si="31"/>
        <v>0.95829101000000005</v>
      </c>
      <c r="EC20" s="1">
        <f t="shared" si="31"/>
        <v>0.34636184000000003</v>
      </c>
      <c r="ED20" s="1">
        <f t="shared" si="31"/>
        <v>1.2547095300000002</v>
      </c>
      <c r="EE20" s="1">
        <f t="shared" si="31"/>
        <v>1.273682</v>
      </c>
      <c r="EF20" s="1">
        <f t="shared" si="31"/>
        <v>0.92279571000000005</v>
      </c>
      <c r="EH20" s="14">
        <f t="shared" si="32"/>
        <v>0</v>
      </c>
      <c r="EI20" s="14">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3"/>
        <v>0</v>
      </c>
      <c r="EY20" s="1">
        <f t="shared" si="33"/>
        <v>0</v>
      </c>
      <c r="EZ20" s="1">
        <f t="shared" si="33"/>
        <v>0</v>
      </c>
      <c r="FA20" s="1">
        <f t="shared" si="33"/>
        <v>0</v>
      </c>
      <c r="FB20" s="1">
        <f t="shared" si="33"/>
        <v>0</v>
      </c>
      <c r="FC20" s="1">
        <f t="shared" si="33"/>
        <v>0</v>
      </c>
      <c r="FD20" s="1">
        <f t="shared" si="33"/>
        <v>0</v>
      </c>
      <c r="FE20" s="1">
        <f t="shared" si="33"/>
        <v>0</v>
      </c>
      <c r="FG20" s="162">
        <f t="shared" si="34"/>
        <v>-0.12981350051241547</v>
      </c>
    </row>
    <row r="21" spans="1:163" ht="18.75" customHeight="1">
      <c r="A21" s="244" t="s">
        <v>121</v>
      </c>
      <c r="B21" s="247"/>
      <c r="C21" s="228">
        <f t="shared" si="5"/>
        <v>0</v>
      </c>
      <c r="D21" s="229">
        <v>-2</v>
      </c>
      <c r="E21" s="253">
        <f t="shared" si="6"/>
        <v>3.3088145044288364E-2</v>
      </c>
      <c r="F21" s="254">
        <f t="shared" si="7"/>
        <v>9.0675959668351513E-3</v>
      </c>
      <c r="G21" s="253">
        <f t="shared" si="8"/>
        <v>4.988295521598074E-2</v>
      </c>
      <c r="H21" s="254">
        <f t="shared" si="9"/>
        <v>-1.6794810171692376E-2</v>
      </c>
      <c r="I21" s="253">
        <f t="shared" si="10"/>
        <v>0.58435606432218212</v>
      </c>
      <c r="J21" s="254">
        <f t="shared" si="11"/>
        <v>-8.4386912602146591E-2</v>
      </c>
      <c r="K21" s="253">
        <f t="shared" si="12"/>
        <v>0.5398562095491497</v>
      </c>
      <c r="L21" s="254">
        <f t="shared" si="13"/>
        <v>4.4499854773032421E-2</v>
      </c>
      <c r="M21" s="255"/>
      <c r="N21" s="256">
        <v>1</v>
      </c>
      <c r="O21" s="253">
        <f t="shared" si="35"/>
        <v>3.8695172963417956E-2</v>
      </c>
      <c r="P21" s="257">
        <f t="shared" si="36"/>
        <v>3.8695172963417956E-2</v>
      </c>
      <c r="Q21" s="253">
        <f t="shared" si="14"/>
        <v>3.7668386366531026E-2</v>
      </c>
      <c r="R21" s="257">
        <f t="shared" si="37"/>
        <v>3.7668386366531026E-2</v>
      </c>
      <c r="S21" s="255"/>
      <c r="T21" s="256">
        <v>1</v>
      </c>
      <c r="U21" s="253">
        <f t="shared" si="15"/>
        <v>0.58990863496304913</v>
      </c>
      <c r="V21" s="258">
        <f t="shared" si="16"/>
        <v>0.58990863496304913</v>
      </c>
      <c r="W21" s="253">
        <f t="shared" si="38"/>
        <v>0.8672038882953137</v>
      </c>
      <c r="X21" s="258">
        <f t="shared" si="17"/>
        <v>0.8672038882953137</v>
      </c>
      <c r="Y21" s="253">
        <f t="shared" si="18"/>
        <v>6.5504807692307709E-2</v>
      </c>
      <c r="Z21" s="258">
        <f t="shared" si="19"/>
        <v>6.5504807692307709E-2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4</v>
      </c>
      <c r="AQ21" s="28">
        <f>VLOOKUP($A21,historia!$A$5:$CM$24,+HLOOKUP(AQ$2,historia!$A$3:$EC$4,2,FALSE),FALSE)</f>
        <v>5</v>
      </c>
      <c r="AR21" s="28">
        <f>VLOOKUP($A21,historia!$A$5:$CM$24,+HLOOKUP(AR$2,historia!$A$3:$EC$4,2,FALSE),FALSE)</f>
        <v>3</v>
      </c>
      <c r="AS21" s="28">
        <f>VLOOKUP($A21,historia!$A$5:$CM$24,+HLOOKUP(AS$2,historia!$A$3:$EC$4,2,FALSE),FALSE)</f>
        <v>4</v>
      </c>
      <c r="AT21" s="58">
        <f>VLOOKUP($A21,historia!$A$5:$CM$24,+HLOOKUP(AT$2,historia!$A$3:$EC$4,2,FALSE),FALSE)</f>
        <v>3</v>
      </c>
      <c r="AU21" s="58">
        <f>VLOOKUP($A21,historia!$A$5:$CM$24,+HLOOKUP(AU$2,historia!$A$3:$EC$4,2,FALSE),FALSE)</f>
        <v>3</v>
      </c>
      <c r="AV21" s="58">
        <f>VLOOKUP($A21,historia!$A$5:$CM$24,+HLOOKUP(AV$2,historia!$A$3:$EC$4,2,FALSE),FALSE)</f>
        <v>3</v>
      </c>
      <c r="AW21" s="58">
        <f>VLOOKUP($A21,historia!$A$5:$CM$24,+HLOOKUP(AW$2,historia!$A$3:$EC$4,2,FALSE),FALSE)</f>
        <v>3</v>
      </c>
      <c r="AX21" s="58">
        <f>VLOOKUP($A21,historia!$A$5:$CM$24,+HLOOKUP(AX$2,historia!$A$3:$EC$4,2,FALSE),FALSE)</f>
        <v>3</v>
      </c>
      <c r="AY21" s="58">
        <f>VLOOKUP($A21,historia!$A$5:$CM$24,+HLOOKUP(AY$2,historia!$A$3:$EC$4,2,FALSE),FALSE)</f>
        <v>3</v>
      </c>
      <c r="AZ21" s="58">
        <f>VLOOKUP($A21,historia!$A$5:$CM$24,+HLOOKUP(AZ$2,historia!$A$3:$EC$4,2,FALSE),FALSE)</f>
        <v>2</v>
      </c>
      <c r="BA21" s="58">
        <f>VLOOKUP($A21,historia!$A$5:$CM$24,+HLOOKUP(BA$2,historia!$A$3:$EC$4,2,FALSE),FALSE)</f>
        <v>3</v>
      </c>
      <c r="BB21" s="58"/>
      <c r="BC21" s="286">
        <v>3</v>
      </c>
      <c r="BD21" t="str">
        <f t="shared" si="20"/>
        <v>Porcinos</v>
      </c>
      <c r="BE21">
        <f>+datos!BR1</f>
        <v>70</v>
      </c>
      <c r="BF21" s="2" t="str">
        <f t="shared" si="4"/>
        <v>$/kg</v>
      </c>
      <c r="BG21" s="2">
        <f t="shared" si="4"/>
        <v>1655.3233333333335</v>
      </c>
      <c r="BH21" s="2">
        <f t="shared" si="4"/>
        <v>1602.3059999999998</v>
      </c>
      <c r="BI21" s="2">
        <f t="shared" si="4"/>
        <v>1044.7925</v>
      </c>
      <c r="BK21">
        <f>+datos!DD1</f>
        <v>108</v>
      </c>
      <c r="BL21" s="2">
        <f t="shared" si="21"/>
        <v>10476.340787581477</v>
      </c>
      <c r="BM21" s="2">
        <f t="shared" si="21"/>
        <v>9978.5797412305801</v>
      </c>
      <c r="BN21" s="2">
        <f t="shared" si="21"/>
        <v>6803.4539346039437</v>
      </c>
      <c r="BP21" s="1">
        <f>+datos!EJ1</f>
        <v>140</v>
      </c>
      <c r="BQ21" s="1">
        <f t="shared" si="22"/>
        <v>6115215</v>
      </c>
      <c r="BR21" s="1">
        <f t="shared" si="22"/>
        <v>5887401</v>
      </c>
      <c r="BT21" s="1">
        <f>+datos!HE1</f>
        <v>213</v>
      </c>
      <c r="BU21" s="1">
        <f t="shared" si="23"/>
        <v>790254</v>
      </c>
      <c r="BV21" s="1">
        <f t="shared" si="23"/>
        <v>761567</v>
      </c>
      <c r="BX21" s="1">
        <f>+datos!KJ1</f>
        <v>296</v>
      </c>
      <c r="BY21" s="1">
        <f t="shared" si="39"/>
        <v>29.334800439999999</v>
      </c>
      <c r="BZ21" s="1">
        <f t="shared" si="40"/>
        <v>18.450620239999996</v>
      </c>
      <c r="CB21" s="1">
        <f>+datos!LO1</f>
        <v>327</v>
      </c>
      <c r="CC21" s="2">
        <f t="shared" si="24"/>
        <v>92.006199040000013</v>
      </c>
      <c r="CD21" s="2">
        <f t="shared" si="25"/>
        <v>49.27485403</v>
      </c>
      <c r="CF21" s="1">
        <f>+datos!IO1</f>
        <v>249</v>
      </c>
      <c r="CG21" s="1">
        <f t="shared" si="26"/>
        <v>17.73</v>
      </c>
      <c r="CH21" s="1">
        <f t="shared" si="27"/>
        <v>16.64</v>
      </c>
      <c r="CJ21" s="1">
        <f t="shared" si="28"/>
        <v>3.87511991</v>
      </c>
      <c r="CK21" s="1">
        <f t="shared" si="28"/>
        <v>1.4111442899999997</v>
      </c>
      <c r="CL21" s="1">
        <f t="shared" si="28"/>
        <v>1.9463367499999997</v>
      </c>
      <c r="CM21" s="1">
        <f t="shared" si="28"/>
        <v>1.6096260199999999</v>
      </c>
      <c r="CN21" s="1">
        <f t="shared" si="28"/>
        <v>3.1723580499999997</v>
      </c>
      <c r="CO21" s="1">
        <f t="shared" si="28"/>
        <v>2.1279038099999998</v>
      </c>
      <c r="CP21" s="1">
        <f t="shared" si="28"/>
        <v>2.3778769799999995</v>
      </c>
      <c r="CQ21" s="1">
        <f t="shared" si="28"/>
        <v>4.3175895799999999</v>
      </c>
      <c r="CR21" s="1">
        <f t="shared" si="28"/>
        <v>2.7596131099999996</v>
      </c>
      <c r="CS21" s="1">
        <f t="shared" si="28"/>
        <v>1.9296841299999996</v>
      </c>
      <c r="CT21" s="1">
        <f t="shared" si="28"/>
        <v>2.2533318799999997</v>
      </c>
      <c r="CU21" s="1">
        <f t="shared" si="28"/>
        <v>1.55421593</v>
      </c>
      <c r="CV21" s="1">
        <f t="shared" si="28"/>
        <v>1.56892272</v>
      </c>
      <c r="CW21" s="1">
        <f t="shared" si="28"/>
        <v>1.2009935999999999</v>
      </c>
      <c r="CX21" s="1">
        <f t="shared" si="28"/>
        <v>1.5576121499999998</v>
      </c>
      <c r="CY21" s="1">
        <f t="shared" si="28"/>
        <v>1.3743196699999998</v>
      </c>
      <c r="CZ21" s="1">
        <f t="shared" si="29"/>
        <v>1.4110336399999999</v>
      </c>
      <c r="DA21" s="1">
        <f t="shared" si="29"/>
        <v>1.8830951399999996</v>
      </c>
      <c r="DB21" s="1">
        <f t="shared" si="29"/>
        <v>1.4694087300000001</v>
      </c>
      <c r="DC21" s="1">
        <f t="shared" si="29"/>
        <v>2.0502103900000002</v>
      </c>
      <c r="DD21" s="1">
        <f t="shared" si="29"/>
        <v>1.8176867299999997</v>
      </c>
      <c r="DE21" s="1">
        <f t="shared" si="29"/>
        <v>1.2719750699999999</v>
      </c>
      <c r="DF21" s="1">
        <f t="shared" si="29"/>
        <v>1.5228158499999997</v>
      </c>
      <c r="DG21" s="1">
        <f t="shared" si="29"/>
        <v>1.32254655</v>
      </c>
      <c r="DI21" s="1">
        <f t="shared" si="30"/>
        <v>14.447589379999997</v>
      </c>
      <c r="DJ21" s="1">
        <f t="shared" si="30"/>
        <v>14.265215759999998</v>
      </c>
      <c r="DK21" s="1">
        <f t="shared" si="30"/>
        <v>16.354180840000001</v>
      </c>
      <c r="DL21" s="1">
        <f t="shared" si="30"/>
        <v>10.919699229999997</v>
      </c>
      <c r="DM21" s="1">
        <f t="shared" si="30"/>
        <v>10.87912704</v>
      </c>
      <c r="DN21" s="1">
        <f t="shared" si="30"/>
        <v>7.3519509899999989</v>
      </c>
      <c r="DO21" s="1">
        <f t="shared" si="30"/>
        <v>4.9251834299999988</v>
      </c>
      <c r="DP21" s="1">
        <f t="shared" si="30"/>
        <v>2.5935797799999998</v>
      </c>
      <c r="DQ21" s="1">
        <f t="shared" si="30"/>
        <v>1.7163214500000001</v>
      </c>
      <c r="DR21" s="1">
        <f t="shared" si="30"/>
        <v>2.7920763000000002</v>
      </c>
      <c r="DS21" s="1">
        <f t="shared" si="30"/>
        <v>3.5088459899999997</v>
      </c>
      <c r="DT21" s="1">
        <f t="shared" si="30"/>
        <v>2.2524288500000003</v>
      </c>
      <c r="DU21" s="1">
        <f t="shared" si="30"/>
        <v>5.2341166499999998</v>
      </c>
      <c r="DV21" s="1">
        <f t="shared" si="30"/>
        <v>3.1162246899999997</v>
      </c>
      <c r="DW21" s="1">
        <f t="shared" si="30"/>
        <v>3.3747357299999998</v>
      </c>
      <c r="DX21" s="1">
        <f t="shared" ref="DX21:EF24" si="41">+VLOOKUP(DX$1,ran_dat,$CB21,FALSE)</f>
        <v>1.8536983500000002</v>
      </c>
      <c r="DY21" s="1">
        <f t="shared" si="41"/>
        <v>2.01592043</v>
      </c>
      <c r="DZ21" s="1">
        <f t="shared" si="41"/>
        <v>3.3244473500000002</v>
      </c>
      <c r="EA21" s="1">
        <f t="shared" si="41"/>
        <v>2.84758625</v>
      </c>
      <c r="EB21" s="1">
        <f t="shared" si="41"/>
        <v>4.1641835499999997</v>
      </c>
      <c r="EC21" s="1">
        <f t="shared" si="41"/>
        <v>4.5685913500000002</v>
      </c>
      <c r="ED21" s="1">
        <f t="shared" si="41"/>
        <v>6.3615663699999985</v>
      </c>
      <c r="EE21" s="1">
        <f t="shared" si="41"/>
        <v>5.5541627499999997</v>
      </c>
      <c r="EF21" s="1">
        <f t="shared" si="41"/>
        <v>6.8596205599999998</v>
      </c>
      <c r="EH21" s="14">
        <f t="shared" si="32"/>
        <v>17.73</v>
      </c>
      <c r="EI21" s="14">
        <f t="shared" si="32"/>
        <v>17.510000000000002</v>
      </c>
      <c r="EJ21" s="1">
        <f t="shared" si="32"/>
        <v>17.13</v>
      </c>
      <c r="EK21" s="1">
        <f t="shared" si="32"/>
        <v>16.89</v>
      </c>
      <c r="EL21" s="1">
        <f t="shared" si="32"/>
        <v>16.87</v>
      </c>
      <c r="EM21" s="1">
        <f t="shared" si="32"/>
        <v>16.8</v>
      </c>
      <c r="EN21" s="1">
        <f t="shared" si="32"/>
        <v>16.760000000000002</v>
      </c>
      <c r="EO21" s="1">
        <f t="shared" si="32"/>
        <v>16.84</v>
      </c>
      <c r="EP21" s="1">
        <f t="shared" si="32"/>
        <v>16.64</v>
      </c>
      <c r="EQ21" s="1">
        <f t="shared" si="32"/>
        <v>16.68</v>
      </c>
      <c r="ER21" s="1">
        <f t="shared" si="32"/>
        <v>16.62</v>
      </c>
      <c r="ES21" s="1">
        <f t="shared" si="32"/>
        <v>16.5</v>
      </c>
      <c r="ET21" s="1">
        <f t="shared" si="32"/>
        <v>16.64</v>
      </c>
      <c r="EU21" s="1">
        <f t="shared" si="32"/>
        <v>16.68</v>
      </c>
      <c r="EV21" s="1">
        <f t="shared" si="32"/>
        <v>16.72</v>
      </c>
      <c r="EW21" s="1">
        <f t="shared" ref="EW21:FE24" si="42">+VLOOKUP(EW$1,ran_dat,$CF21,FALSE)</f>
        <v>16.75</v>
      </c>
      <c r="EX21" s="1">
        <f t="shared" si="42"/>
        <v>16.760000000000002</v>
      </c>
      <c r="EY21" s="1">
        <f t="shared" si="42"/>
        <v>16.71</v>
      </c>
      <c r="EZ21" s="1">
        <f t="shared" si="42"/>
        <v>16.68</v>
      </c>
      <c r="FA21" s="1">
        <f t="shared" si="42"/>
        <v>16.670000000000002</v>
      </c>
      <c r="FB21" s="1">
        <f t="shared" si="42"/>
        <v>16.670000000000002</v>
      </c>
      <c r="FC21" s="1">
        <f t="shared" si="42"/>
        <v>16.72</v>
      </c>
      <c r="FD21" s="1">
        <f t="shared" si="42"/>
        <v>16.77</v>
      </c>
      <c r="FE21" s="1">
        <f t="shared" si="42"/>
        <v>16.88</v>
      </c>
      <c r="FG21" s="162">
        <f t="shared" si="34"/>
        <v>4.4499854773032421E-2</v>
      </c>
    </row>
    <row r="22" spans="1:163" ht="18.75" customHeight="1">
      <c r="A22" s="243" t="s">
        <v>75</v>
      </c>
      <c r="B22" s="246"/>
      <c r="C22" s="156">
        <f t="shared" si="5"/>
        <v>0.66</v>
      </c>
      <c r="D22" s="198">
        <v>1</v>
      </c>
      <c r="E22" s="248">
        <f t="shared" si="6"/>
        <v>-3.8911564625850326E-2</v>
      </c>
      <c r="F22" s="249">
        <f t="shared" si="7"/>
        <v>-6.2932113703303538E-2</v>
      </c>
      <c r="G22" s="248">
        <f t="shared" si="8"/>
        <v>3.3141043276496029E-2</v>
      </c>
      <c r="H22" s="249">
        <f t="shared" si="9"/>
        <v>-7.2052607902346355E-2</v>
      </c>
      <c r="I22" s="248">
        <f t="shared" si="10"/>
        <v>0.25248226950354602</v>
      </c>
      <c r="J22" s="249">
        <f t="shared" si="11"/>
        <v>-0.41626070742078269</v>
      </c>
      <c r="K22" s="248">
        <f t="shared" si="12"/>
        <v>0.60966095717396618</v>
      </c>
      <c r="L22" s="249">
        <f t="shared" si="13"/>
        <v>-0.35717868767042016</v>
      </c>
      <c r="M22" s="250"/>
      <c r="N22" s="24">
        <v>0</v>
      </c>
      <c r="O22" s="248">
        <f t="shared" si="35"/>
        <v>0.10289900078548864</v>
      </c>
      <c r="P22" s="251">
        <f t="shared" si="36"/>
        <v>0.10289900078548864</v>
      </c>
      <c r="Q22" s="248">
        <f t="shared" si="14"/>
        <v>0.17001165379676175</v>
      </c>
      <c r="R22" s="251">
        <f t="shared" si="37"/>
        <v>0.17001165379676175</v>
      </c>
      <c r="S22" s="250"/>
      <c r="T22" s="24">
        <v>1</v>
      </c>
      <c r="U22" s="248">
        <f t="shared" si="15"/>
        <v>-5.7134094354025833E-2</v>
      </c>
      <c r="V22" s="252">
        <f t="shared" si="16"/>
        <v>-5.7134094354025833E-2</v>
      </c>
      <c r="W22" s="248">
        <f t="shared" si="38"/>
        <v>-0.13592520081423254</v>
      </c>
      <c r="X22" s="252">
        <f t="shared" si="17"/>
        <v>-0.13592520081423254</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4</v>
      </c>
      <c r="AQ22" s="28">
        <f>VLOOKUP($A22,historia!$A$5:$CM$24,+HLOOKUP(AQ$2,historia!$A$3:$EC$4,2,FALSE),FALSE)</f>
        <v>4</v>
      </c>
      <c r="AR22" s="28">
        <f>VLOOKUP($A22,historia!$A$5:$CM$24,+HLOOKUP(AR$2,historia!$A$3:$EC$4,2,FALSE),FALSE)</f>
        <v>3</v>
      </c>
      <c r="AS22" s="28">
        <f>VLOOKUP($A22,historia!$A$5:$CM$24,+HLOOKUP(AS$2,historia!$A$3:$EC$4,2,FALSE),FALSE)</f>
        <v>2</v>
      </c>
      <c r="AT22" s="58">
        <f>VLOOKUP($A22,historia!$A$5:$CM$24,+HLOOKUP(AT$2,historia!$A$3:$EC$4,2,FALSE),FALSE)</f>
        <v>2</v>
      </c>
      <c r="AU22" s="58">
        <f>VLOOKUP($A22,historia!$A$5:$CM$24,+HLOOKUP(AU$2,historia!$A$3:$EC$4,2,FALSE),FALSE)</f>
        <v>2</v>
      </c>
      <c r="AV22" s="58">
        <f>VLOOKUP($A22,historia!$A$5:$CM$24,+HLOOKUP(AV$2,historia!$A$3:$EC$4,2,FALSE),FALSE)</f>
        <v>2</v>
      </c>
      <c r="AW22" s="58">
        <f>VLOOKUP($A22,historia!$A$5:$CM$24,+HLOOKUP(AW$2,historia!$A$3:$EC$4,2,FALSE),FALSE)</f>
        <v>2</v>
      </c>
      <c r="AX22" s="58">
        <f>VLOOKUP($A22,historia!$A$5:$CM$24,+HLOOKUP(AX$2,historia!$A$3:$EC$4,2,FALSE),FALSE)</f>
        <v>2</v>
      </c>
      <c r="AY22" s="58">
        <f>VLOOKUP($A22,historia!$A$5:$CM$24,+HLOOKUP(AY$2,historia!$A$3:$EC$4,2,FALSE),FALSE)</f>
        <v>2</v>
      </c>
      <c r="AZ22" s="58">
        <f>VLOOKUP($A22,historia!$A$5:$CM$24,+HLOOKUP(AZ$2,historia!$A$3:$EC$4,2,FALSE),FALSE)</f>
        <v>2</v>
      </c>
      <c r="BA22" s="58">
        <f>VLOOKUP($A22,historia!$A$5:$CM$24,+HLOOKUP(BA$2,historia!$A$3:$EC$4,2,FALSE),FALSE)</f>
        <v>3</v>
      </c>
      <c r="BB22" s="58"/>
      <c r="BC22" s="286">
        <v>3</v>
      </c>
      <c r="BD22" t="str">
        <f t="shared" si="20"/>
        <v>Tabaco</v>
      </c>
      <c r="BE22">
        <f>+datos!BJ1</f>
        <v>62</v>
      </c>
      <c r="BF22" s="2" t="str">
        <f t="shared" si="4"/>
        <v>$/kg</v>
      </c>
      <c r="BG22" s="2">
        <f t="shared" si="4"/>
        <v>3532</v>
      </c>
      <c r="BH22" s="2">
        <f t="shared" si="4"/>
        <v>3675</v>
      </c>
      <c r="BI22" s="2">
        <f t="shared" si="4"/>
        <v>2820</v>
      </c>
      <c r="BK22">
        <f>+datos!DA1</f>
        <v>105</v>
      </c>
      <c r="BL22" s="2">
        <f t="shared" si="21"/>
        <v>9884.1611577513395</v>
      </c>
      <c r="BM22" s="2">
        <f t="shared" si="21"/>
        <v>9567.0975633731305</v>
      </c>
      <c r="BN22" s="2">
        <f t="shared" si="21"/>
        <v>6140.5236386578372</v>
      </c>
      <c r="BP22" s="1">
        <f>+datos!FD1</f>
        <v>160</v>
      </c>
      <c r="BQ22" s="1">
        <f t="shared" si="22"/>
        <v>60376</v>
      </c>
      <c r="BR22" s="1">
        <f t="shared" si="22"/>
        <v>54743</v>
      </c>
      <c r="BT22" s="1">
        <f>+datos!GX1</f>
        <v>206</v>
      </c>
      <c r="BU22" s="1">
        <f t="shared" si="23"/>
        <v>36041.686000000002</v>
      </c>
      <c r="BV22" s="1">
        <f t="shared" si="23"/>
        <v>30804.553</v>
      </c>
      <c r="BX22" s="1">
        <f>+datos!KC1</f>
        <v>289</v>
      </c>
      <c r="BY22" s="1">
        <f t="shared" si="39"/>
        <v>452.64479812000002</v>
      </c>
      <c r="BZ22" s="1">
        <f t="shared" si="40"/>
        <v>480.07335445000001</v>
      </c>
      <c r="CB22" s="1">
        <f>+datos!LH1</f>
        <v>320</v>
      </c>
      <c r="CC22" s="2">
        <f t="shared" si="24"/>
        <v>58.907985109999998</v>
      </c>
      <c r="CD22" s="2">
        <f t="shared" si="25"/>
        <v>68.174636230000004</v>
      </c>
      <c r="CF22" s="1">
        <f>+datos!JD1</f>
        <v>264</v>
      </c>
      <c r="CG22" s="1">
        <f t="shared" si="26"/>
        <v>0</v>
      </c>
      <c r="CH22" s="1">
        <f t="shared" si="27"/>
        <v>0</v>
      </c>
      <c r="CJ22" s="1">
        <f t="shared" ref="CJ22:CY24" si="43">+VLOOKUP(CJ$1,ran_dat,$BX22,FALSE)</f>
        <v>9.7228914799999995</v>
      </c>
      <c r="CK22" s="1">
        <f t="shared" si="43"/>
        <v>6.2035308000000002</v>
      </c>
      <c r="CL22" s="1">
        <f t="shared" si="43"/>
        <v>65.18720725</v>
      </c>
      <c r="CM22" s="1">
        <f t="shared" si="43"/>
        <v>34.962073999999994</v>
      </c>
      <c r="CN22" s="1">
        <f t="shared" si="43"/>
        <v>41.640055749999995</v>
      </c>
      <c r="CO22" s="1">
        <f t="shared" si="43"/>
        <v>54.488227269999996</v>
      </c>
      <c r="CP22" s="1">
        <f t="shared" si="43"/>
        <v>45.888815350000002</v>
      </c>
      <c r="CQ22" s="1">
        <f t="shared" si="43"/>
        <v>56.365947810000002</v>
      </c>
      <c r="CR22" s="1">
        <f t="shared" si="43"/>
        <v>58.671597329999997</v>
      </c>
      <c r="CS22" s="1">
        <f t="shared" si="43"/>
        <v>31.625168280000004</v>
      </c>
      <c r="CT22" s="1">
        <f t="shared" si="43"/>
        <v>17.697801470000002</v>
      </c>
      <c r="CU22" s="1">
        <f t="shared" si="43"/>
        <v>30.191481329999998</v>
      </c>
      <c r="CV22" s="1">
        <f t="shared" si="43"/>
        <v>36.249269399999989</v>
      </c>
      <c r="CW22" s="1">
        <f t="shared" si="43"/>
        <v>40.108989959999995</v>
      </c>
      <c r="CX22" s="1">
        <f t="shared" si="43"/>
        <v>56.890802439999995</v>
      </c>
      <c r="CY22" s="1">
        <f t="shared" si="43"/>
        <v>36.8257318</v>
      </c>
      <c r="CZ22" s="1">
        <f t="shared" ref="CZ22:DG24" si="44">+VLOOKUP(CZ$1,ran_dat,$BX22,FALSE)</f>
        <v>51.381121719999996</v>
      </c>
      <c r="DA22" s="1">
        <f t="shared" si="44"/>
        <v>33.051481680000002</v>
      </c>
      <c r="DB22" s="1">
        <f t="shared" si="44"/>
        <v>60.888504160000004</v>
      </c>
      <c r="DC22" s="1">
        <f t="shared" si="44"/>
        <v>55.773078730000002</v>
      </c>
      <c r="DD22" s="1">
        <f t="shared" si="44"/>
        <v>34.825160650000001</v>
      </c>
      <c r="DE22" s="1">
        <f t="shared" si="44"/>
        <v>19.014000799999998</v>
      </c>
      <c r="DF22" s="1">
        <f t="shared" si="44"/>
        <v>13.328405800000001</v>
      </c>
      <c r="DG22" s="1">
        <f t="shared" si="44"/>
        <v>41.736807310000003</v>
      </c>
      <c r="DI22" s="1">
        <f t="shared" ref="DI22:DX24" si="45">+VLOOKUP(DI$1,ran_dat,$CB22,FALSE)</f>
        <v>5.6310443999999995</v>
      </c>
      <c r="DJ22" s="1">
        <f t="shared" si="45"/>
        <v>4.1108512499999996</v>
      </c>
      <c r="DK22" s="1">
        <f t="shared" si="45"/>
        <v>6.9241559000000006</v>
      </c>
      <c r="DL22" s="1">
        <f t="shared" si="45"/>
        <v>4.9762964800000002</v>
      </c>
      <c r="DM22" s="1">
        <f t="shared" si="45"/>
        <v>5.7062324599999998</v>
      </c>
      <c r="DN22" s="1">
        <f t="shared" si="45"/>
        <v>5.3893107900000006</v>
      </c>
      <c r="DO22" s="1">
        <f t="shared" si="45"/>
        <v>5.0602291599999996</v>
      </c>
      <c r="DP22" s="1">
        <f t="shared" si="45"/>
        <v>1.1636776099999999</v>
      </c>
      <c r="DQ22" s="1">
        <f t="shared" si="45"/>
        <v>4.3331795800000004</v>
      </c>
      <c r="DR22" s="1">
        <f t="shared" si="45"/>
        <v>5.5991701699999998</v>
      </c>
      <c r="DS22" s="1">
        <f t="shared" si="45"/>
        <v>5.1284923700000009</v>
      </c>
      <c r="DT22" s="1">
        <f t="shared" si="45"/>
        <v>4.8853449399999995</v>
      </c>
      <c r="DU22" s="1">
        <f t="shared" si="45"/>
        <v>4.5019780499999991</v>
      </c>
      <c r="DV22" s="1">
        <f t="shared" si="45"/>
        <v>3.2870284000000001</v>
      </c>
      <c r="DW22" s="1">
        <f t="shared" si="45"/>
        <v>2.2553329799999999</v>
      </c>
      <c r="DX22" s="1">
        <f t="shared" si="45"/>
        <v>4.9563280900000004</v>
      </c>
      <c r="DY22" s="1">
        <f t="shared" si="41"/>
        <v>5.4312745199999997</v>
      </c>
      <c r="DZ22" s="1">
        <f t="shared" si="41"/>
        <v>5.9427570699999999</v>
      </c>
      <c r="EA22" s="1">
        <f t="shared" si="41"/>
        <v>7.0989514199999997</v>
      </c>
      <c r="EB22" s="1">
        <f t="shared" si="41"/>
        <v>8.0901624599999984</v>
      </c>
      <c r="EC22" s="1">
        <f t="shared" si="41"/>
        <v>8.5152603000000013</v>
      </c>
      <c r="ED22" s="1">
        <f t="shared" si="41"/>
        <v>6.4262316399999984</v>
      </c>
      <c r="EE22" s="1">
        <f t="shared" si="41"/>
        <v>5.5724239500000001</v>
      </c>
      <c r="EF22" s="1">
        <f t="shared" si="41"/>
        <v>6.0969073500000004</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4"/>
        <v>-0.35717868767042016</v>
      </c>
    </row>
    <row r="23" spans="1:163" ht="18.75" customHeight="1">
      <c r="A23" s="244" t="s">
        <v>219</v>
      </c>
      <c r="B23" s="247"/>
      <c r="C23" s="228">
        <f t="shared" si="5"/>
        <v>-0.99</v>
      </c>
      <c r="D23" s="229">
        <v>-1</v>
      </c>
      <c r="E23" s="253">
        <f t="shared" si="6"/>
        <v>-9.0123167023060669E-3</v>
      </c>
      <c r="F23" s="254">
        <f t="shared" si="7"/>
        <v>-3.303286577975928E-2</v>
      </c>
      <c r="G23" s="253">
        <f t="shared" si="8"/>
        <v>3.086743514185275E-2</v>
      </c>
      <c r="H23" s="254">
        <f t="shared" si="9"/>
        <v>-3.9879751844158817E-2</v>
      </c>
      <c r="I23" s="253">
        <f t="shared" si="10"/>
        <v>0.2200065986977644</v>
      </c>
      <c r="J23" s="254">
        <f t="shared" si="11"/>
        <v>-0.44873637822656431</v>
      </c>
      <c r="K23" s="253">
        <f t="shared" si="12"/>
        <v>0.43637628961427111</v>
      </c>
      <c r="L23" s="254">
        <f t="shared" si="13"/>
        <v>-0.21636969091650671</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0.14282886844935705</v>
      </c>
      <c r="V23" s="258">
        <f t="shared" si="16"/>
        <v>0.14282886844935705</v>
      </c>
      <c r="W23" s="253">
        <f t="shared" si="38"/>
        <v>0.30337881244091025</v>
      </c>
      <c r="X23" s="258">
        <f t="shared" si="17"/>
        <v>0.30337881244091025</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5</v>
      </c>
      <c r="AT23" s="58">
        <f>VLOOKUP($A23,historia!$A$5:$CM$24,+HLOOKUP(AT$2,historia!$A$3:$EC$4,2,FALSE),FALSE)</f>
        <v>4</v>
      </c>
      <c r="AU23" s="58">
        <f>VLOOKUP($A23,historia!$A$5:$CM$24,+HLOOKUP(AU$2,historia!$A$3:$EC$4,2,FALSE),FALSE)</f>
        <v>4</v>
      </c>
      <c r="AV23" s="58">
        <f>VLOOKUP($A23,historia!$A$5:$CM$24,+HLOOKUP(AV$2,historia!$A$3:$EC$4,2,FALSE),FALSE)</f>
        <v>4</v>
      </c>
      <c r="AW23" s="58">
        <f>VLOOKUP($A23,historia!$A$5:$CM$24,+HLOOKUP(AW$2,historia!$A$3:$EC$4,2,FALSE),FALSE)</f>
        <v>4</v>
      </c>
      <c r="AX23" s="58">
        <f>VLOOKUP($A23,historia!$A$5:$CM$24,+HLOOKUP(AX$2,historia!$A$3:$EC$4,2,FALSE),FALSE)</f>
        <v>4</v>
      </c>
      <c r="AY23" s="58">
        <f>VLOOKUP($A23,historia!$A$5:$CM$24,+HLOOKUP(AY$2,historia!$A$3:$EC$4,2,FALSE),FALSE)</f>
        <v>4</v>
      </c>
      <c r="AZ23" s="58">
        <f>VLOOKUP($A23,historia!$A$5:$CM$24,+HLOOKUP(AZ$2,historia!$A$3:$EC$4,2,FALSE),FALSE)</f>
        <v>4</v>
      </c>
      <c r="BA23" s="58">
        <f>VLOOKUP($A23,historia!$A$5:$CM$24,+HLOOKUP(BA$2,historia!$A$3:$EC$4,2,FALSE),FALSE)</f>
        <v>4</v>
      </c>
      <c r="BB23" s="58"/>
      <c r="BC23" s="286">
        <v>4</v>
      </c>
      <c r="BD23" t="str">
        <f t="shared" si="20"/>
        <v>Vino y Mosto</v>
      </c>
      <c r="BE23">
        <f>+datos!AM1</f>
        <v>39</v>
      </c>
      <c r="BF23" s="2" t="str">
        <f t="shared" si="4"/>
        <v>$/l</v>
      </c>
      <c r="BG23" s="2">
        <f t="shared" si="4"/>
        <v>351.28333199999997</v>
      </c>
      <c r="BH23" s="2">
        <f t="shared" si="4"/>
        <v>354.47800000000001</v>
      </c>
      <c r="BI23" s="2">
        <f t="shared" si="4"/>
        <v>287.93559999999997</v>
      </c>
      <c r="BK23">
        <f>+datos!CP1</f>
        <v>94</v>
      </c>
      <c r="BL23" s="2">
        <f t="shared" si="21"/>
        <v>11035.496307876245</v>
      </c>
      <c r="BM23" s="2">
        <f t="shared" si="21"/>
        <v>10705.058605675815</v>
      </c>
      <c r="BN23" s="2">
        <f t="shared" si="21"/>
        <v>7682.8727873527841</v>
      </c>
      <c r="BP23" s="1">
        <f>+datos!EF1</f>
        <v>136</v>
      </c>
      <c r="BQ23" s="1">
        <f t="shared" si="22"/>
        <v>196220</v>
      </c>
      <c r="BR23" s="1">
        <f t="shared" si="22"/>
        <v>199946</v>
      </c>
      <c r="BT23" s="1">
        <f>+datos!GB1</f>
        <v>184</v>
      </c>
      <c r="BU23" s="1">
        <f t="shared" si="23"/>
        <v>19908335</v>
      </c>
      <c r="BV23" s="1">
        <f t="shared" si="23"/>
        <v>19189740</v>
      </c>
      <c r="BX23" s="1">
        <f>+datos!JU1</f>
        <v>281</v>
      </c>
      <c r="BY23" s="1">
        <f t="shared" si="39"/>
        <v>991.74396145000003</v>
      </c>
      <c r="BZ23" s="1">
        <f t="shared" si="40"/>
        <v>867.79743567000014</v>
      </c>
      <c r="CB23" s="1">
        <f>+datos!KZ1</f>
        <v>312</v>
      </c>
      <c r="CC23" s="2">
        <f t="shared" si="24"/>
        <v>21.456576360000007</v>
      </c>
      <c r="CD23" s="2">
        <f t="shared" si="25"/>
        <v>16.462271870000002</v>
      </c>
      <c r="CF23" s="1">
        <f>+datos!IQ1</f>
        <v>251</v>
      </c>
      <c r="CG23" s="1">
        <f t="shared" si="26"/>
        <v>16.079999999999998</v>
      </c>
      <c r="CH23" s="1">
        <f t="shared" si="27"/>
        <v>16.3</v>
      </c>
      <c r="CJ23" s="1">
        <f t="shared" si="43"/>
        <v>63.754065359999977</v>
      </c>
      <c r="CK23" s="1">
        <f t="shared" si="43"/>
        <v>50.923025279999997</v>
      </c>
      <c r="CL23" s="1">
        <f t="shared" si="43"/>
        <v>85.381089520000018</v>
      </c>
      <c r="CM23" s="1">
        <f t="shared" si="43"/>
        <v>87.09478919</v>
      </c>
      <c r="CN23" s="1">
        <f t="shared" si="43"/>
        <v>88.790830600000021</v>
      </c>
      <c r="CO23" s="1">
        <f t="shared" si="43"/>
        <v>106.11166329999998</v>
      </c>
      <c r="CP23" s="1">
        <f t="shared" si="43"/>
        <v>99.074693340000039</v>
      </c>
      <c r="CQ23" s="1">
        <f t="shared" si="43"/>
        <v>115.95052356999999</v>
      </c>
      <c r="CR23" s="1">
        <f t="shared" si="43"/>
        <v>55.887516779999999</v>
      </c>
      <c r="CS23" s="1">
        <f t="shared" si="43"/>
        <v>84.428757199999993</v>
      </c>
      <c r="CT23" s="1">
        <f t="shared" si="43"/>
        <v>70.799436420000006</v>
      </c>
      <c r="CU23" s="1">
        <f t="shared" si="43"/>
        <v>83.547570889999989</v>
      </c>
      <c r="CV23" s="1">
        <f t="shared" si="43"/>
        <v>59.429446169999991</v>
      </c>
      <c r="CW23" s="1">
        <f t="shared" si="43"/>
        <v>57.397509530000008</v>
      </c>
      <c r="CX23" s="1">
        <f t="shared" si="43"/>
        <v>71.762443020000006</v>
      </c>
      <c r="CY23" s="1">
        <f t="shared" si="43"/>
        <v>76.246675170000003</v>
      </c>
      <c r="CZ23" s="1">
        <f t="shared" si="44"/>
        <v>81.396405279999982</v>
      </c>
      <c r="DA23" s="1">
        <f t="shared" si="44"/>
        <v>86.673250950000011</v>
      </c>
      <c r="DB23" s="1">
        <f t="shared" si="44"/>
        <v>67.769583350000005</v>
      </c>
      <c r="DC23" s="1">
        <f t="shared" si="44"/>
        <v>79.411450110000018</v>
      </c>
      <c r="DD23" s="1">
        <f t="shared" si="44"/>
        <v>61.526627820000002</v>
      </c>
      <c r="DE23" s="1">
        <f t="shared" si="44"/>
        <v>82.508437450000031</v>
      </c>
      <c r="DF23" s="1">
        <f t="shared" si="44"/>
        <v>73.17738731</v>
      </c>
      <c r="DG23" s="1">
        <f t="shared" si="44"/>
        <v>70.498219510000013</v>
      </c>
      <c r="DI23" s="1">
        <f t="shared" si="45"/>
        <v>1.94679845</v>
      </c>
      <c r="DJ23" s="1">
        <f t="shared" si="45"/>
        <v>0.41117072999999998</v>
      </c>
      <c r="DK23" s="1">
        <f t="shared" si="45"/>
        <v>1.6918772199999998</v>
      </c>
      <c r="DL23" s="1">
        <f t="shared" si="45"/>
        <v>4.1008112300000006</v>
      </c>
      <c r="DM23" s="1">
        <f t="shared" si="45"/>
        <v>2.9628047099999995</v>
      </c>
      <c r="DN23" s="1">
        <f t="shared" si="45"/>
        <v>2.4415022799999999</v>
      </c>
      <c r="DO23" s="1">
        <f t="shared" si="45"/>
        <v>2.4186424700000004</v>
      </c>
      <c r="DP23" s="1">
        <f t="shared" si="45"/>
        <v>2.3161338599999999</v>
      </c>
      <c r="DQ23" s="1">
        <f t="shared" si="45"/>
        <v>0.34545517000000003</v>
      </c>
      <c r="DR23" s="1">
        <f t="shared" si="45"/>
        <v>1.3068112300000001</v>
      </c>
      <c r="DS23" s="1">
        <f t="shared" si="45"/>
        <v>1.01985657</v>
      </c>
      <c r="DT23" s="1">
        <f t="shared" si="45"/>
        <v>0.49471243999999998</v>
      </c>
      <c r="DU23" s="1">
        <f t="shared" si="45"/>
        <v>0.76659119999999992</v>
      </c>
      <c r="DV23" s="1">
        <f t="shared" si="45"/>
        <v>0.41683354000000006</v>
      </c>
      <c r="DW23" s="1">
        <f t="shared" si="45"/>
        <v>1.01193058</v>
      </c>
      <c r="DX23" s="1">
        <f t="shared" si="45"/>
        <v>1.2280305999999999</v>
      </c>
      <c r="DY23" s="1">
        <f t="shared" si="41"/>
        <v>1.7214946800000002</v>
      </c>
      <c r="DZ23" s="1">
        <f t="shared" si="41"/>
        <v>1.3147188099999998</v>
      </c>
      <c r="EA23" s="1">
        <f t="shared" si="41"/>
        <v>1.8704580099999999</v>
      </c>
      <c r="EB23" s="1">
        <f t="shared" si="41"/>
        <v>1.2166211999999998</v>
      </c>
      <c r="EC23" s="1">
        <f t="shared" si="41"/>
        <v>1.2618213600000001</v>
      </c>
      <c r="ED23" s="1">
        <f t="shared" si="41"/>
        <v>2.6711612799999997</v>
      </c>
      <c r="EE23" s="1">
        <f t="shared" si="41"/>
        <v>1.8665371000000002</v>
      </c>
      <c r="EF23" s="1">
        <f t="shared" si="41"/>
        <v>1.1160735099999999</v>
      </c>
      <c r="EH23" s="14">
        <f t="shared" si="46"/>
        <v>16.079999999999998</v>
      </c>
      <c r="EI23" s="14">
        <f t="shared" si="46"/>
        <v>16.079999999999998</v>
      </c>
      <c r="EJ23" s="1">
        <f t="shared" si="46"/>
        <v>16.3</v>
      </c>
      <c r="EK23" s="1">
        <f t="shared" si="46"/>
        <v>16.3</v>
      </c>
      <c r="EL23" s="1">
        <f t="shared" si="46"/>
        <v>16.3</v>
      </c>
      <c r="EM23" s="1">
        <f t="shared" si="46"/>
        <v>16.3</v>
      </c>
      <c r="EN23" s="1">
        <f t="shared" si="46"/>
        <v>16.3</v>
      </c>
      <c r="EO23" s="1">
        <f t="shared" si="46"/>
        <v>16.3</v>
      </c>
      <c r="EP23" s="1">
        <f t="shared" si="46"/>
        <v>16.3</v>
      </c>
      <c r="EQ23" s="1">
        <f t="shared" si="46"/>
        <v>16.3</v>
      </c>
      <c r="ER23" s="1">
        <f t="shared" si="46"/>
        <v>16.3</v>
      </c>
      <c r="ES23" s="1">
        <f t="shared" si="46"/>
        <v>16.3</v>
      </c>
      <c r="ET23" s="1">
        <f t="shared" si="46"/>
        <v>16.3</v>
      </c>
      <c r="EU23" s="1">
        <f t="shared" si="46"/>
        <v>16.3</v>
      </c>
      <c r="EV23" s="1">
        <f t="shared" si="46"/>
        <v>16.7</v>
      </c>
      <c r="EW23" s="1">
        <f t="shared" si="46"/>
        <v>16.7</v>
      </c>
      <c r="EX23" s="1">
        <f t="shared" si="42"/>
        <v>16.7</v>
      </c>
      <c r="EY23" s="1">
        <f t="shared" si="42"/>
        <v>16.7</v>
      </c>
      <c r="EZ23" s="1">
        <f t="shared" si="42"/>
        <v>16.7</v>
      </c>
      <c r="FA23" s="1">
        <f t="shared" si="42"/>
        <v>16.7</v>
      </c>
      <c r="FB23" s="1">
        <f t="shared" si="42"/>
        <v>16.7</v>
      </c>
      <c r="FC23" s="1">
        <f t="shared" si="42"/>
        <v>16.7</v>
      </c>
      <c r="FD23" s="1">
        <f t="shared" si="42"/>
        <v>16.7</v>
      </c>
      <c r="FE23" s="1">
        <f t="shared" si="42"/>
        <v>16.7</v>
      </c>
      <c r="FG23" s="162">
        <f t="shared" si="34"/>
        <v>-0.21636969091650671</v>
      </c>
    </row>
    <row r="24" spans="1:163" ht="18.75" customHeight="1">
      <c r="A24" s="243" t="s">
        <v>39</v>
      </c>
      <c r="B24" s="246"/>
      <c r="C24" s="156">
        <f t="shared" si="5"/>
        <v>-0.65999999999999992</v>
      </c>
      <c r="D24" s="198">
        <v>-3</v>
      </c>
      <c r="E24" s="248">
        <f t="shared" si="6"/>
        <v>0.25</v>
      </c>
      <c r="F24" s="249">
        <f t="shared" si="7"/>
        <v>0.22597945092254679</v>
      </c>
      <c r="G24" s="248">
        <f t="shared" si="8"/>
        <v>4.6866670435834479E-2</v>
      </c>
      <c r="H24" s="249">
        <f t="shared" si="9"/>
        <v>0.20313332956416552</v>
      </c>
      <c r="I24" s="248">
        <f t="shared" si="10"/>
        <v>0</v>
      </c>
      <c r="J24" s="249">
        <f t="shared" si="11"/>
        <v>-0.66874297692432871</v>
      </c>
      <c r="K24" s="248">
        <f t="shared" si="12"/>
        <v>0.67664256609186979</v>
      </c>
      <c r="L24" s="249">
        <f t="shared" si="13"/>
        <v>-0.67664256609186979</v>
      </c>
      <c r="M24" s="250"/>
      <c r="N24" s="24">
        <v>1</v>
      </c>
      <c r="O24" s="248">
        <f t="shared" si="35"/>
        <v>4.7599193940657258E-3</v>
      </c>
      <c r="P24" s="251">
        <f t="shared" si="36"/>
        <v>4.7599193940657258E-3</v>
      </c>
      <c r="Q24" s="248">
        <f t="shared" si="14"/>
        <v>0.19691914174318437</v>
      </c>
      <c r="R24" s="251">
        <f t="shared" si="37"/>
        <v>0.19691914174318437</v>
      </c>
      <c r="S24" s="250"/>
      <c r="T24" s="24">
        <v>0</v>
      </c>
      <c r="U24" s="248">
        <f t="shared" si="15"/>
        <v>2.4397500095088676E-2</v>
      </c>
      <c r="V24" s="252">
        <f t="shared" si="16"/>
        <v>2.4397500095088676E-2</v>
      </c>
      <c r="W24" s="248">
        <f t="shared" si="38"/>
        <v>0.21163923218583869</v>
      </c>
      <c r="X24" s="258">
        <f t="shared" si="17"/>
        <v>0.21163923218583869</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2</v>
      </c>
      <c r="AQ24" s="28">
        <f>VLOOKUP($A24,historia!$A$5:$CM$24,+HLOOKUP(AQ$2,historia!$A$3:$EC$4,2,FALSE),FALSE)</f>
        <v>4</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f>VLOOKUP($A24,historia!$A$5:$CM$24,+HLOOKUP(AY$2,historia!$A$3:$EC$4,2,FALSE),FALSE)</f>
        <v>4</v>
      </c>
      <c r="AZ24" s="58">
        <f>VLOOKUP($A24,historia!$A$5:$CM$24,+HLOOKUP(AZ$2,historia!$A$3:$EC$4,2,FALSE),FALSE)</f>
        <v>4</v>
      </c>
      <c r="BA24" s="58">
        <f>VLOOKUP($A24,historia!$A$5:$CM$24,+HLOOKUP(BA$2,historia!$A$3:$EC$4,2,FALSE),FALSE)</f>
        <v>4</v>
      </c>
      <c r="BB24" s="58"/>
      <c r="BC24" s="286">
        <v>4</v>
      </c>
      <c r="BD24" t="str">
        <f t="shared" si="20"/>
        <v>Yerba Mate</v>
      </c>
      <c r="BE24">
        <f>+datos!AG1</f>
        <v>33</v>
      </c>
      <c r="BF24" s="2" t="str">
        <f t="shared" si="4"/>
        <v>$/t</v>
      </c>
      <c r="BG24" s="2">
        <f t="shared" si="4"/>
        <v>300000</v>
      </c>
      <c r="BH24" s="2">
        <f t="shared" si="4"/>
        <v>240000</v>
      </c>
      <c r="BI24" s="2">
        <f t="shared" si="4"/>
        <v>300000</v>
      </c>
      <c r="BK24">
        <f>+datos!CY1</f>
        <v>103</v>
      </c>
      <c r="BL24" s="2">
        <f t="shared" si="21"/>
        <v>9719.6170766107443</v>
      </c>
      <c r="BM24" s="2">
        <f t="shared" si="21"/>
        <v>9284.4842147512882</v>
      </c>
      <c r="BN24" s="2">
        <f t="shared" si="21"/>
        <v>5797.0716437591436</v>
      </c>
      <c r="BP24" s="1">
        <f>+datos!ED1</f>
        <v>134</v>
      </c>
      <c r="BQ24" s="1">
        <f t="shared" si="22"/>
        <v>231352</v>
      </c>
      <c r="BR24" s="1">
        <f t="shared" si="22"/>
        <v>230256</v>
      </c>
      <c r="BT24" s="1">
        <f>+datos!FZ1</f>
        <v>182</v>
      </c>
      <c r="BU24" s="1">
        <f t="shared" si="23"/>
        <v>964417</v>
      </c>
      <c r="BV24" s="1">
        <f t="shared" si="23"/>
        <v>805749.5</v>
      </c>
      <c r="BX24" s="1">
        <f>+datos!KD1</f>
        <v>290</v>
      </c>
      <c r="BY24" s="1">
        <f t="shared" si="39"/>
        <v>117.08372542999999</v>
      </c>
      <c r="BZ24" s="1">
        <f t="shared" si="40"/>
        <v>114.29520807999999</v>
      </c>
      <c r="CB24" s="1">
        <f>+datos!LI1</f>
        <v>321</v>
      </c>
      <c r="CC24" s="2">
        <f t="shared" si="24"/>
        <v>21.82571372</v>
      </c>
      <c r="CD24" s="2">
        <f t="shared" si="25"/>
        <v>18.013376539999999</v>
      </c>
      <c r="CF24" s="1">
        <f>+datos!IP1</f>
        <v>250</v>
      </c>
      <c r="CG24" s="1">
        <f t="shared" si="26"/>
        <v>5.7424738987207355</v>
      </c>
      <c r="CH24" s="1">
        <f t="shared" si="27"/>
        <v>5.5693606783423002</v>
      </c>
      <c r="CJ24" s="1">
        <f t="shared" si="43"/>
        <v>9.8166064800000008</v>
      </c>
      <c r="CK24" s="1">
        <f t="shared" si="43"/>
        <v>7.1690497699999991</v>
      </c>
      <c r="CL24" s="1">
        <f t="shared" si="43"/>
        <v>10.805856030000001</v>
      </c>
      <c r="CM24" s="1">
        <f t="shared" si="43"/>
        <v>10.476429469999998</v>
      </c>
      <c r="CN24" s="1">
        <f t="shared" si="43"/>
        <v>11.361751129999998</v>
      </c>
      <c r="CO24" s="1">
        <f t="shared" si="43"/>
        <v>10.05873476</v>
      </c>
      <c r="CP24" s="1">
        <f t="shared" si="43"/>
        <v>9.4659040999999995</v>
      </c>
      <c r="CQ24" s="1">
        <f t="shared" si="43"/>
        <v>8.3006057400000017</v>
      </c>
      <c r="CR24" s="1">
        <f t="shared" si="43"/>
        <v>11.077079630000002</v>
      </c>
      <c r="CS24" s="1">
        <f t="shared" si="43"/>
        <v>7.2906957700000001</v>
      </c>
      <c r="CT24" s="1">
        <f t="shared" si="43"/>
        <v>8.852789640000001</v>
      </c>
      <c r="CU24" s="1">
        <f t="shared" si="43"/>
        <v>12.408222910000001</v>
      </c>
      <c r="CV24" s="1">
        <f t="shared" si="43"/>
        <v>8.8663402400000013</v>
      </c>
      <c r="CW24" s="1">
        <f t="shared" si="43"/>
        <v>9.2397224899999983</v>
      </c>
      <c r="CX24" s="1">
        <f t="shared" si="43"/>
        <v>7.1224329199999996</v>
      </c>
      <c r="CY24" s="1">
        <f t="shared" si="43"/>
        <v>8.6156523299999996</v>
      </c>
      <c r="CZ24" s="1">
        <f t="shared" si="44"/>
        <v>10.17972451</v>
      </c>
      <c r="DA24" s="1">
        <f t="shared" si="44"/>
        <v>11.833514059999999</v>
      </c>
      <c r="DB24" s="1">
        <f t="shared" si="44"/>
        <v>8.6649559600000003</v>
      </c>
      <c r="DC24" s="1">
        <f t="shared" si="44"/>
        <v>8.6995030900000003</v>
      </c>
      <c r="DD24" s="1">
        <f t="shared" si="44"/>
        <v>9.3876240000000006</v>
      </c>
      <c r="DE24" s="1">
        <f t="shared" si="44"/>
        <v>8.6499339499999994</v>
      </c>
      <c r="DF24" s="1">
        <f t="shared" si="44"/>
        <v>10.5511423</v>
      </c>
      <c r="DG24" s="1">
        <f t="shared" si="44"/>
        <v>12.484662230000001</v>
      </c>
      <c r="DI24" s="1">
        <f t="shared" si="45"/>
        <v>2.0218665100000002</v>
      </c>
      <c r="DJ24" s="1">
        <f t="shared" si="45"/>
        <v>1.1839526999999999</v>
      </c>
      <c r="DK24" s="1">
        <f t="shared" si="45"/>
        <v>1.1744757299999999</v>
      </c>
      <c r="DL24" s="1">
        <f t="shared" si="45"/>
        <v>2.1750064099999999</v>
      </c>
      <c r="DM24" s="1">
        <f t="shared" si="45"/>
        <v>2.6101839400000002</v>
      </c>
      <c r="DN24" s="1">
        <f t="shared" si="45"/>
        <v>1.2494588400000002</v>
      </c>
      <c r="DO24" s="1">
        <f t="shared" si="45"/>
        <v>0.60028256999999996</v>
      </c>
      <c r="DP24" s="1">
        <f t="shared" si="45"/>
        <v>1.7316709800000001</v>
      </c>
      <c r="DQ24" s="1">
        <f t="shared" si="45"/>
        <v>1.1554743999999999</v>
      </c>
      <c r="DR24" s="1">
        <f t="shared" si="45"/>
        <v>1.50586095</v>
      </c>
      <c r="DS24" s="1">
        <f t="shared" si="45"/>
        <v>3.2398820599999998</v>
      </c>
      <c r="DT24" s="1">
        <f t="shared" si="45"/>
        <v>3.1775986299999999</v>
      </c>
      <c r="DU24" s="1">
        <f t="shared" si="45"/>
        <v>2.4176205400000002</v>
      </c>
      <c r="DV24" s="1">
        <f t="shared" si="45"/>
        <v>1.0621514699999999</v>
      </c>
      <c r="DW24" s="1">
        <f t="shared" si="45"/>
        <v>1.8796713600000001</v>
      </c>
      <c r="DX24" s="1">
        <f t="shared" si="45"/>
        <v>2.4189343299999999</v>
      </c>
      <c r="DY24" s="1">
        <f t="shared" si="41"/>
        <v>2.31537419</v>
      </c>
      <c r="DZ24" s="1">
        <f t="shared" si="41"/>
        <v>1.6581343500000001</v>
      </c>
      <c r="EA24" s="1">
        <f t="shared" si="41"/>
        <v>1.1317222</v>
      </c>
      <c r="EB24" s="1">
        <f t="shared" si="41"/>
        <v>1.25031731</v>
      </c>
      <c r="EC24" s="1">
        <f t="shared" si="41"/>
        <v>1.1220479999999999</v>
      </c>
      <c r="ED24" s="1">
        <f t="shared" si="41"/>
        <v>1.06290057</v>
      </c>
      <c r="EE24" s="1">
        <f t="shared" si="41"/>
        <v>0.94532128999999998</v>
      </c>
      <c r="EF24" s="1">
        <f t="shared" si="41"/>
        <v>0.74918092999999997</v>
      </c>
      <c r="EH24" s="14">
        <f t="shared" si="46"/>
        <v>5.7424738987207355</v>
      </c>
      <c r="EI24" s="14">
        <f t="shared" si="46"/>
        <v>5.7424738987207355</v>
      </c>
      <c r="EJ24" s="1">
        <f t="shared" si="46"/>
        <v>5.5693606783423002</v>
      </c>
      <c r="EK24" s="1">
        <f t="shared" si="46"/>
        <v>5.5693606783423002</v>
      </c>
      <c r="EL24" s="1">
        <f t="shared" si="46"/>
        <v>5.5693606783423002</v>
      </c>
      <c r="EM24" s="1">
        <f t="shared" si="46"/>
        <v>5.5693606783423002</v>
      </c>
      <c r="EN24" s="1">
        <f t="shared" si="46"/>
        <v>5.5693606783423002</v>
      </c>
      <c r="EO24" s="1">
        <f t="shared" si="46"/>
        <v>5.5693606783423002</v>
      </c>
      <c r="EP24" s="1">
        <f t="shared" si="46"/>
        <v>5.5693606783423002</v>
      </c>
      <c r="EQ24" s="1">
        <f t="shared" si="46"/>
        <v>5.5693606783423002</v>
      </c>
      <c r="ER24" s="1">
        <f t="shared" si="46"/>
        <v>5.5693606783423002</v>
      </c>
      <c r="ES24" s="1">
        <f t="shared" si="46"/>
        <v>5.5693606783423002</v>
      </c>
      <c r="ET24" s="1">
        <f t="shared" si="46"/>
        <v>5.5693606783423002</v>
      </c>
      <c r="EU24" s="1">
        <f t="shared" si="46"/>
        <v>5.5693606783423002</v>
      </c>
      <c r="EV24" s="1">
        <f t="shared" si="46"/>
        <v>6.139895208369488</v>
      </c>
      <c r="EW24" s="1">
        <f t="shared" si="46"/>
        <v>6.139895208369488</v>
      </c>
      <c r="EX24" s="1">
        <f t="shared" si="42"/>
        <v>6.139895208369488</v>
      </c>
      <c r="EY24" s="1">
        <f t="shared" si="42"/>
        <v>6.139895208369488</v>
      </c>
      <c r="EZ24" s="1">
        <f t="shared" si="42"/>
        <v>6.139895208369488</v>
      </c>
      <c r="FA24" s="1">
        <f t="shared" si="42"/>
        <v>6.139895208369488</v>
      </c>
      <c r="FB24" s="1">
        <f t="shared" si="42"/>
        <v>6.139895208369488</v>
      </c>
      <c r="FC24" s="1">
        <f t="shared" si="42"/>
        <v>6.139895208369488</v>
      </c>
      <c r="FD24" s="1">
        <f t="shared" si="42"/>
        <v>6.139895208369488</v>
      </c>
      <c r="FE24" s="1">
        <f t="shared" si="42"/>
        <v>6.139895208369488</v>
      </c>
      <c r="FG24" s="162">
        <f t="shared" si="34"/>
        <v>-0.67664256609186979</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T25" s="58"/>
      <c r="AU25" s="58"/>
      <c r="AV25" s="58"/>
      <c r="AW25" s="58"/>
      <c r="AX25" s="58"/>
      <c r="AY25" s="58">
        <v>4</v>
      </c>
      <c r="AZ25" s="58"/>
      <c r="BA25" s="58"/>
      <c r="BB25" s="58"/>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E26" s="12">
        <f>+AVERAGE(E6:E24)</f>
        <v>3.9854988425063208E-2</v>
      </c>
      <c r="F26" s="37">
        <f>+E26-$I$3</f>
        <v>-0.62888798849926553</v>
      </c>
      <c r="G26" s="12">
        <f>+AVERAGE(G6:G24)</f>
        <v>4.2695248501064487E-2</v>
      </c>
      <c r="I26" s="12" t="e">
        <f>+AVERAGEIF(I6:I24,"&gt;211%")</f>
        <v>#DIV/0!</v>
      </c>
      <c r="J26" s="37" t="e">
        <f t="shared" si="11"/>
        <v>#DIV/0!</v>
      </c>
      <c r="K26" s="12">
        <f>+AVERAGE(K6:K24)</f>
        <v>0.45038549449032578</v>
      </c>
      <c r="O26" s="12">
        <f>+AVERAGE(O6:O24)</f>
        <v>4.1800792245542756E-2</v>
      </c>
      <c r="AB26" s="57"/>
    </row>
    <row r="27" spans="1:163" ht="18.75" customHeight="1">
      <c r="I27" s="12">
        <f>+AVERAGEIF(I6:I24,"&lt;211%")</f>
        <v>0.22276480189673104</v>
      </c>
      <c r="K27" s="177">
        <f>+SUBTOTAL(101,K6:K21)</f>
        <v>0.42716528640225515</v>
      </c>
      <c r="V27" t="s">
        <v>167</v>
      </c>
      <c r="X27" s="162"/>
      <c r="BC27" s="141" t="s">
        <v>273</v>
      </c>
      <c r="BQ27" s="1">
        <f>+SUM(BQ6:BQ24)</f>
        <v>115150788</v>
      </c>
      <c r="BR27" s="1">
        <f>+SUM(BR6:BR24)</f>
        <v>113887290</v>
      </c>
      <c r="BU27" s="1">
        <f>+SUM(BU6:BU24)</f>
        <v>165050578.89800319</v>
      </c>
      <c r="BV27" s="1">
        <f>+SUM(BV6:BV24)</f>
        <v>144378341.05728501</v>
      </c>
      <c r="BY27" s="1">
        <f>+SUM(BY6:BY24)</f>
        <v>55499.871076390009</v>
      </c>
      <c r="BZ27" s="1">
        <f>+SUM(BZ6:BZ24)</f>
        <v>48049.565366150011</v>
      </c>
      <c r="CC27" s="1">
        <f>+SUM(CC6:CC24)</f>
        <v>3684.854097949999</v>
      </c>
      <c r="CD27" s="1">
        <f>+SUM(CD6:CD24)</f>
        <v>6167.2629812200012</v>
      </c>
      <c r="FG27" s="167">
        <f>+COUNTIF(FG6:FG24,"&gt;0")</f>
        <v>5</v>
      </c>
    </row>
    <row r="28" spans="1:163" ht="18.75" customHeight="1">
      <c r="A28" s="11">
        <f>+COUNTIF($C$6:$C$24,"&lt;0")</f>
        <v>10</v>
      </c>
      <c r="C28" s="156">
        <v>-1</v>
      </c>
      <c r="E28" s="167">
        <f>+COUNTIF($I$6:$I$24,"&lt;1,69")</f>
        <v>19</v>
      </c>
      <c r="F28" s="29">
        <v>-1</v>
      </c>
      <c r="I28" s="167">
        <f>+COUNTIF($I$6:$I$24,"&lt;1,69")</f>
        <v>19</v>
      </c>
      <c r="J28" s="29">
        <v>-1</v>
      </c>
      <c r="K28">
        <f>+COUNTIF($L$6:$L$24,"&lt;0")</f>
        <v>14</v>
      </c>
      <c r="L28" s="29">
        <v>-1</v>
      </c>
      <c r="O28">
        <f>+COUNTIF($P$6:$P$24,"&lt;0")</f>
        <v>6</v>
      </c>
      <c r="P28" s="262">
        <v>-1</v>
      </c>
      <c r="Q28">
        <f>+COUNTIF($R$6:$R$24,"&lt;0")</f>
        <v>4</v>
      </c>
      <c r="R28" s="262">
        <v>-1</v>
      </c>
      <c r="T28" s="57">
        <f>+COUNTIF($U$6:$U$24,"&lt;0")</f>
        <v>4</v>
      </c>
      <c r="U28" s="29">
        <v>-1</v>
      </c>
      <c r="BR28" t="s">
        <v>491</v>
      </c>
      <c r="BU28" s="167">
        <f>+SUMIFS(BU6:BU24,BC6:BC24,5)+SUMIFS(BU6:BU24,BC6:BC24,4)</f>
        <v>28635195</v>
      </c>
      <c r="BY28" s="10">
        <f>+BY27/BZ27-1</f>
        <v>0.1550545910970631</v>
      </c>
      <c r="CC28" s="10">
        <f>+CC27/CD27-1</f>
        <v>-0.4025138689284391</v>
      </c>
    </row>
    <row r="29" spans="1:163" ht="18.75" customHeight="1">
      <c r="A29" s="11">
        <f>+COUNTIF($C$6:$C$24,C29)</f>
        <v>8</v>
      </c>
      <c r="C29" s="156">
        <v>0</v>
      </c>
      <c r="E29" s="167">
        <f>+COUNTIF($I$6:$I$24,"=1,69")</f>
        <v>0</v>
      </c>
      <c r="F29" s="29">
        <v>0</v>
      </c>
      <c r="I29" s="167">
        <f>+COUNTIF($I$6:$I$24,"=1,69")</f>
        <v>0</v>
      </c>
      <c r="J29" s="29">
        <v>0</v>
      </c>
      <c r="L29" s="29">
        <v>0</v>
      </c>
      <c r="O29">
        <f>+COUNTIF($P$6:$P$24,"=0")</f>
        <v>3</v>
      </c>
      <c r="P29" s="262">
        <v>0</v>
      </c>
      <c r="Q29">
        <f>+COUNTIF($R$6:$R$24,"=0")</f>
        <v>3</v>
      </c>
      <c r="R29" s="262">
        <v>0</v>
      </c>
      <c r="T29" s="57">
        <f>+COUNTIF($U$6:$U$24,"=0")</f>
        <v>0</v>
      </c>
      <c r="U29" s="29">
        <v>0</v>
      </c>
      <c r="BR29" t="s">
        <v>492</v>
      </c>
      <c r="BU29" s="167">
        <f>+SUMIFS(BU6:BU24,BC6:BC24,3)</f>
        <v>134771691.71800315</v>
      </c>
    </row>
    <row r="30" spans="1:163" ht="18.75" customHeight="1">
      <c r="A30" s="11">
        <f>+COUNTIF($C$6:$C$24,"&gt;0")</f>
        <v>1</v>
      </c>
      <c r="C30" s="156">
        <v>1</v>
      </c>
      <c r="E30" s="167">
        <f>+COUNTIF($I$6:$I$24,"&gt;1,69")</f>
        <v>0</v>
      </c>
      <c r="F30" s="29">
        <v>1</v>
      </c>
      <c r="I30" s="167">
        <f>+COUNTIF($I$6:$I$24,"&gt;1,69")</f>
        <v>0</v>
      </c>
      <c r="J30" s="29">
        <v>1</v>
      </c>
      <c r="K30">
        <f>+COUNTIF($L$6:$L$24,"&gt;0")</f>
        <v>5</v>
      </c>
      <c r="L30" s="29">
        <v>1</v>
      </c>
      <c r="O30">
        <f>+COUNTIF($P$6:$P$24,"&gt;0")</f>
        <v>9</v>
      </c>
      <c r="P30" s="262">
        <v>1</v>
      </c>
      <c r="Q30">
        <f>+COUNTIF($R$6:$R$24,"&gt;0")</f>
        <v>12</v>
      </c>
      <c r="R30" s="262">
        <v>1</v>
      </c>
      <c r="T30" s="57">
        <f>+COUNTIF($U$6:$U$24,"&gt;0")</f>
        <v>14</v>
      </c>
      <c r="U30" s="29">
        <v>1</v>
      </c>
      <c r="X30" s="14"/>
      <c r="BR30" t="s">
        <v>493</v>
      </c>
      <c r="BU30" s="167">
        <f>+SUMIFS(BU6:BU24,BC6:BC24,1)+SUMIFS(BU6:BU24,BC6:BC24,2)</f>
        <v>1643692.18</v>
      </c>
      <c r="BX30" s="1"/>
    </row>
    <row r="31" spans="1:163" ht="18.75" customHeight="1">
      <c r="K31" s="12"/>
    </row>
    <row r="32" spans="1:163" ht="18.75" customHeight="1">
      <c r="C32" s="157"/>
      <c r="I32" s="14">
        <f>+COUNTIF(I6:I24,"&gt;211%")</f>
        <v>0</v>
      </c>
      <c r="J32" s="14"/>
      <c r="K32" s="14"/>
      <c r="Y32" s="163"/>
    </row>
    <row r="33" spans="1:164" ht="18.75" customHeight="1">
      <c r="C33" s="157"/>
      <c r="I33" s="12" t="e">
        <f>+I26/2</f>
        <v>#DIV/0!</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119" priority="53">
      <formula>AP6=0</formula>
    </cfRule>
    <cfRule type="expression" dxfId="118" priority="48">
      <formula>AP6=3</formula>
    </cfRule>
    <cfRule type="expression" dxfId="117" priority="49">
      <formula>AP6=5</formula>
    </cfRule>
    <cfRule type="expression" dxfId="116" priority="50">
      <formula>AP6=4</formula>
    </cfRule>
    <cfRule type="expression" dxfId="115" priority="51">
      <formula>AP6=2</formula>
    </cfRule>
    <cfRule type="expression" dxfId="114" priority="52">
      <formula>AP6=1</formula>
    </cfRule>
  </conditionalFormatting>
  <conditionalFormatting sqref="AN6:AN25">
    <cfRule type="expression" dxfId="113" priority="65">
      <formula>BA6=0</formula>
    </cfRule>
    <cfRule type="expression" dxfId="112" priority="60">
      <formula>BA6=3</formula>
    </cfRule>
    <cfRule type="expression" dxfId="111" priority="61">
      <formula>BA6=5</formula>
    </cfRule>
    <cfRule type="expression" dxfId="110" priority="62">
      <formula>BA6=4</formula>
    </cfRule>
    <cfRule type="expression" dxfId="109" priority="63">
      <formula>BA6=2</formula>
    </cfRule>
    <cfRule type="expression" dxfId="108" priority="64">
      <formula>BA6=1</formula>
    </cfRule>
  </conditionalFormatting>
  <conditionalFormatting sqref="AO6:AO25">
    <cfRule type="expression" dxfId="107" priority="54">
      <formula>#REF!=3</formula>
    </cfRule>
    <cfRule type="expression" dxfId="106" priority="55">
      <formula>#REF!=5</formula>
    </cfRule>
    <cfRule type="expression" dxfId="105" priority="56">
      <formula>#REF!=4</formula>
    </cfRule>
    <cfRule type="expression" dxfId="104" priority="58">
      <formula>#REF!=1</formula>
    </cfRule>
    <cfRule type="expression" dxfId="103" priority="59">
      <formula>#REF!=0</formula>
    </cfRule>
    <cfRule type="expression" dxfId="102" priority="57">
      <formula>#REF!=2</formula>
    </cfRule>
  </conditionalFormatting>
  <conditionalFormatting sqref="FG6:FG25 FG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1B308432-0AC2-417E-AFF1-81DDB06230DE}">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DF10A9A9-D453-4CFF-AF4E-FE097AB23992}">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3729AC11-4A42-4901-9739-ED7B2CFC4307}">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B5D2-5A59-43D1-AC9A-E9854C119F7E}">
  <sheetPr>
    <tabColor theme="5" tint="-0.249977111117893"/>
    <pageSetUpPr fitToPage="1"/>
  </sheetPr>
  <dimension ref="A1:FH47"/>
  <sheetViews>
    <sheetView showGridLines="0" zoomScale="70" zoomScaleNormal="70" workbookViewId="0">
      <selection activeCell="BA2" sqref="BA2"/>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3" style="57" customWidth="1"/>
    <col min="42" max="42" width="5.33203125" style="28" customWidth="1"/>
    <col min="43" max="43" width="6" style="28" customWidth="1"/>
    <col min="44" max="44" width="5.33203125" style="28" customWidth="1"/>
    <col min="45" max="45" width="8.5546875" style="28" customWidth="1"/>
    <col min="46" max="46" width="5.5546875" customWidth="1"/>
    <col min="47" max="47" width="6.33203125" customWidth="1"/>
    <col min="48" max="48" width="6.88671875" customWidth="1"/>
    <col min="49" max="51" width="6.33203125" customWidth="1"/>
    <col min="52" max="52" width="5.6640625" customWidth="1"/>
    <col min="53" max="54" width="7.44140625" customWidth="1"/>
    <col min="55" max="55" width="11.664062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45658</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AO1" s="50"/>
      <c r="BF1" t="s">
        <v>101</v>
      </c>
      <c r="BG1" s="3">
        <f>+A1</f>
        <v>45658</v>
      </c>
      <c r="BH1" s="3">
        <f>+VLOOKUP(BH2,datos!$D:$E,2,FALSE)</f>
        <v>45627</v>
      </c>
      <c r="BI1" s="3">
        <f>+VLOOKUP(BI2,datos!$D:$E,2,FALSE)</f>
        <v>45292</v>
      </c>
      <c r="BL1" s="3">
        <f>+A1</f>
        <v>45658</v>
      </c>
      <c r="BM1" s="3">
        <f>+VLOOKUP(BM2,datos!$D:$E,2,FALSE)</f>
        <v>45627</v>
      </c>
      <c r="BN1" s="3">
        <f>+VLOOKUP(BN2,datos!$D:$E,2,FALSE)</f>
        <v>45292</v>
      </c>
      <c r="BQ1" s="3">
        <f>+A1</f>
        <v>45658</v>
      </c>
      <c r="BR1" s="3">
        <f>+VLOOKUP(BR2,datos!$D:$E,2,FALSE)</f>
        <v>45292</v>
      </c>
      <c r="BU1" s="3">
        <f>+A1</f>
        <v>45658</v>
      </c>
      <c r="BV1" s="3">
        <f>+VLOOKUP(BV2,datos!$D:$E,2,FALSE)</f>
        <v>45292</v>
      </c>
      <c r="BY1" t="s">
        <v>279</v>
      </c>
      <c r="BZ1" t="s">
        <v>280</v>
      </c>
      <c r="CC1" t="s">
        <v>279</v>
      </c>
      <c r="CD1" t="s">
        <v>280</v>
      </c>
      <c r="CG1" t="s">
        <v>282</v>
      </c>
      <c r="CH1" t="s">
        <v>283</v>
      </c>
      <c r="CI1" s="3">
        <f>+A1</f>
        <v>45658</v>
      </c>
      <c r="CJ1" s="3">
        <f>+VLOOKUP(CJ2,datos!$D:$E,2,FALSE)</f>
        <v>45658</v>
      </c>
      <c r="CK1" s="3">
        <f>+VLOOKUP(CK2,datos!$D:$E,2,FALSE)</f>
        <v>45627</v>
      </c>
      <c r="CL1" s="3">
        <f>+VLOOKUP(CL2,datos!$D:$E,2,FALSE)</f>
        <v>45597</v>
      </c>
      <c r="CM1" s="3">
        <f>+VLOOKUP(CM2,datos!$D:$E,2,FALSE)</f>
        <v>45566</v>
      </c>
      <c r="CN1" s="3">
        <f>+VLOOKUP(CN2,datos!$D:$E,2,FALSE)</f>
        <v>45536</v>
      </c>
      <c r="CO1" s="3">
        <f>+VLOOKUP(CO2,datos!$D:$E,2,FALSE)</f>
        <v>45505</v>
      </c>
      <c r="CP1" s="3">
        <f>+VLOOKUP(CP2,datos!$D:$E,2,FALSE)</f>
        <v>45474</v>
      </c>
      <c r="CQ1" s="3">
        <f>+VLOOKUP(CQ2,datos!$D:$E,2,FALSE)</f>
        <v>45444</v>
      </c>
      <c r="CR1" s="3">
        <f>+VLOOKUP(CR2,datos!$D:$E,2,FALSE)</f>
        <v>45413</v>
      </c>
      <c r="CS1" s="3">
        <f>+VLOOKUP(CS2,datos!$D:$E,2,FALSE)</f>
        <v>45383</v>
      </c>
      <c r="CT1" s="3">
        <f>+VLOOKUP(CT2,datos!$D:$E,2,FALSE)</f>
        <v>45352</v>
      </c>
      <c r="CU1" s="3">
        <f>+VLOOKUP(CU2,datos!$D:$E,2,FALSE)</f>
        <v>45323</v>
      </c>
      <c r="CV1" s="3">
        <f>+VLOOKUP(CV2,datos!$D:$E,2,FALSE)</f>
        <v>45292</v>
      </c>
      <c r="CW1" s="3">
        <f>+VLOOKUP(CW2,datos!$D:$E,2,FALSE)</f>
        <v>45261</v>
      </c>
      <c r="CX1" s="3">
        <f>+VLOOKUP(CX2,datos!$D:$E,2,FALSE)</f>
        <v>45231</v>
      </c>
      <c r="CY1" s="3">
        <f>+VLOOKUP(CY2,datos!$D:$E,2,FALSE)</f>
        <v>45200</v>
      </c>
      <c r="CZ1" s="3">
        <f>+VLOOKUP(CZ2,datos!$D:$E,2,FALSE)</f>
        <v>45170</v>
      </c>
      <c r="DA1" s="3">
        <f>+VLOOKUP(DA2,datos!$D:$E,2,FALSE)</f>
        <v>45139</v>
      </c>
      <c r="DB1" s="3">
        <f>+VLOOKUP(DB2,datos!$D:$E,2,FALSE)</f>
        <v>45108</v>
      </c>
      <c r="DC1" s="3">
        <f>+VLOOKUP(DC2,datos!$D:$E,2,FALSE)</f>
        <v>45078</v>
      </c>
      <c r="DD1" s="3">
        <f>+VLOOKUP(DD2,datos!$D:$E,2,FALSE)</f>
        <v>45047</v>
      </c>
      <c r="DE1" s="3">
        <f>+VLOOKUP(DE2,datos!$D:$E,2,FALSE)</f>
        <v>45017</v>
      </c>
      <c r="DF1" s="3">
        <f>+VLOOKUP(DF2,datos!$D:$E,2,FALSE)</f>
        <v>44986</v>
      </c>
      <c r="DG1" s="3">
        <f>+VLOOKUP(DG2,datos!$D:$E,2,FALSE)</f>
        <v>44958</v>
      </c>
      <c r="DI1" s="3">
        <f>+CJ1</f>
        <v>45658</v>
      </c>
      <c r="DJ1" s="3">
        <f>+VLOOKUP(DJ2,datos!$D:$E,2,FALSE)</f>
        <v>45627</v>
      </c>
      <c r="DK1" s="3">
        <f>+VLOOKUP(DK2,datos!$D:$E,2,FALSE)</f>
        <v>45597</v>
      </c>
      <c r="DL1" s="3">
        <f>+VLOOKUP(DL2,datos!$D:$E,2,FALSE)</f>
        <v>45566</v>
      </c>
      <c r="DM1" s="3">
        <f>+VLOOKUP(DM2,datos!$D:$E,2,FALSE)</f>
        <v>45536</v>
      </c>
      <c r="DN1" s="3">
        <f>+VLOOKUP(DN2,datos!$D:$E,2,FALSE)</f>
        <v>45505</v>
      </c>
      <c r="DO1" s="3">
        <f>+VLOOKUP(DO2,datos!$D:$E,2,FALSE)</f>
        <v>45474</v>
      </c>
      <c r="DP1" s="3">
        <f>+VLOOKUP(DP2,datos!$D:$E,2,FALSE)</f>
        <v>45444</v>
      </c>
      <c r="DQ1" s="3">
        <f>+VLOOKUP(DQ2,datos!$D:$E,2,FALSE)</f>
        <v>45413</v>
      </c>
      <c r="DR1" s="3">
        <f>+VLOOKUP(DR2,datos!$D:$E,2,FALSE)</f>
        <v>45383</v>
      </c>
      <c r="DS1" s="3">
        <f>+VLOOKUP(DS2,datos!$D:$E,2,FALSE)</f>
        <v>45352</v>
      </c>
      <c r="DT1" s="3">
        <f>+VLOOKUP(DT2,datos!$D:$E,2,FALSE)</f>
        <v>45323</v>
      </c>
      <c r="DU1" s="3">
        <f>+VLOOKUP(DU2,datos!$D:$E,2,FALSE)</f>
        <v>45292</v>
      </c>
      <c r="DV1" s="3">
        <f>+VLOOKUP(DV2,datos!$D:$E,2,FALSE)</f>
        <v>45261</v>
      </c>
      <c r="DW1" s="3">
        <f>+VLOOKUP(DW2,datos!$D:$E,2,FALSE)</f>
        <v>45231</v>
      </c>
      <c r="DX1" s="3">
        <f>+VLOOKUP(DX2,datos!$D:$E,2,FALSE)</f>
        <v>45200</v>
      </c>
      <c r="DY1" s="3">
        <f>+VLOOKUP(DY2,datos!$D:$E,2,FALSE)</f>
        <v>45170</v>
      </c>
      <c r="DZ1" s="3">
        <f>+VLOOKUP(DZ2,datos!$D:$E,2,FALSE)</f>
        <v>45139</v>
      </c>
      <c r="EA1" s="3">
        <f>+VLOOKUP(EA2,datos!$D:$E,2,FALSE)</f>
        <v>45108</v>
      </c>
      <c r="EB1" s="3">
        <f>+VLOOKUP(EB2,datos!$D:$E,2,FALSE)</f>
        <v>45078</v>
      </c>
      <c r="EC1" s="3">
        <f>+VLOOKUP(EC2,datos!$D:$E,2,FALSE)</f>
        <v>45047</v>
      </c>
      <c r="ED1" s="3">
        <f>+VLOOKUP(ED2,datos!$D:$E,2,FALSE)</f>
        <v>45017</v>
      </c>
      <c r="EE1" s="3">
        <f>+VLOOKUP(EE2,datos!$D:$E,2,FALSE)</f>
        <v>44986</v>
      </c>
      <c r="EF1" s="3">
        <f>+VLOOKUP(EF2,datos!$D:$E,2,FALSE)</f>
        <v>44958</v>
      </c>
      <c r="EH1" s="14">
        <f>+CJ1</f>
        <v>45658</v>
      </c>
      <c r="EI1" s="14">
        <f t="shared" ref="EI1:FE1" si="0">+CK1</f>
        <v>45627</v>
      </c>
      <c r="EJ1" s="3">
        <f t="shared" si="0"/>
        <v>45597</v>
      </c>
      <c r="EK1" s="3">
        <f t="shared" si="0"/>
        <v>45566</v>
      </c>
      <c r="EL1" s="3">
        <f t="shared" si="0"/>
        <v>45536</v>
      </c>
      <c r="EM1" s="3">
        <f t="shared" si="0"/>
        <v>45505</v>
      </c>
      <c r="EN1" s="3">
        <f t="shared" si="0"/>
        <v>45474</v>
      </c>
      <c r="EO1" s="3">
        <f t="shared" si="0"/>
        <v>45444</v>
      </c>
      <c r="EP1" s="3">
        <f t="shared" si="0"/>
        <v>45413</v>
      </c>
      <c r="EQ1" s="3">
        <f t="shared" si="0"/>
        <v>45383</v>
      </c>
      <c r="ER1" s="3">
        <f t="shared" si="0"/>
        <v>45352</v>
      </c>
      <c r="ES1" s="3">
        <f t="shared" si="0"/>
        <v>45323</v>
      </c>
      <c r="ET1" s="3">
        <f t="shared" si="0"/>
        <v>45292</v>
      </c>
      <c r="EU1" s="3">
        <f t="shared" si="0"/>
        <v>45261</v>
      </c>
      <c r="EV1" s="3">
        <f t="shared" si="0"/>
        <v>45231</v>
      </c>
      <c r="EW1" s="3">
        <f t="shared" si="0"/>
        <v>45200</v>
      </c>
      <c r="EX1" s="3">
        <f t="shared" si="0"/>
        <v>45170</v>
      </c>
      <c r="EY1" s="3">
        <f t="shared" si="0"/>
        <v>45139</v>
      </c>
      <c r="EZ1" s="3">
        <f t="shared" si="0"/>
        <v>45108</v>
      </c>
      <c r="FA1" s="3">
        <f t="shared" si="0"/>
        <v>45078</v>
      </c>
      <c r="FB1" s="3">
        <f t="shared" si="0"/>
        <v>45047</v>
      </c>
      <c r="FC1" s="3">
        <f t="shared" si="0"/>
        <v>45017</v>
      </c>
      <c r="FD1" s="3">
        <f t="shared" si="0"/>
        <v>44986</v>
      </c>
      <c r="FE1" s="3">
        <f t="shared" si="0"/>
        <v>44958</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59"/>
      <c r="AP2" s="174">
        <f>VLOOKUP(VLOOKUP(+$A$1,ran_ma,2,FALSE)-11,ran_idma,2,FALSE)</f>
        <v>45323</v>
      </c>
      <c r="AQ2" s="174">
        <f>VLOOKUP(VLOOKUP(+$A$1,ran_ma,2,FALSE)-10,ran_idma,2,FALSE)</f>
        <v>45352</v>
      </c>
      <c r="AR2" s="174">
        <f>VLOOKUP(VLOOKUP(+$A$1,ran_ma,2,FALSE)-9,ran_idma,2,FALSE)</f>
        <v>45383</v>
      </c>
      <c r="AS2" s="174">
        <f>VLOOKUP(VLOOKUP(+$A$1,ran_ma,2,FALSE)-8,ran_idma,2,FALSE)</f>
        <v>45413</v>
      </c>
      <c r="AT2" s="59">
        <f>VLOOKUP(VLOOKUP(+$A$1,ran_ma,2,FALSE)-7,ran_idma,2,FALSE)</f>
        <v>45444</v>
      </c>
      <c r="AU2" s="59">
        <f>VLOOKUP(VLOOKUP(+$A$1,ran_ma,2,FALSE)-6,ran_idma,2,FALSE)</f>
        <v>45474</v>
      </c>
      <c r="AV2" s="59">
        <f>VLOOKUP(VLOOKUP(+$A$1,ran_ma,2,FALSE)-5,ran_idma,2,FALSE)</f>
        <v>45505</v>
      </c>
      <c r="AW2" s="59">
        <f>VLOOKUP(VLOOKUP(+$A$1,ran_ma,2,FALSE)-4,ran_idma,2,FALSE)</f>
        <v>45536</v>
      </c>
      <c r="AX2" s="59">
        <f>VLOOKUP(VLOOKUP(+$A$1,ran_ma,2,FALSE)-3,ran_idma,2,FALSE)</f>
        <v>45566</v>
      </c>
      <c r="AY2" s="59">
        <f>VLOOKUP(VLOOKUP(+$A$1,ran_ma,2,FALSE)-2,ran_idma,2,FALSE)</f>
        <v>45597</v>
      </c>
      <c r="AZ2" s="59">
        <f>VLOOKUP(VLOOKUP(+$A$1,ran_ma,2,FALSE)-1,ran_idma,2,FALSE)</f>
        <v>45627</v>
      </c>
      <c r="BA2" s="59">
        <f>+$A$1</f>
        <v>45658</v>
      </c>
      <c r="BB2" s="59"/>
      <c r="BC2" s="170"/>
      <c r="BE2" s="9" t="s">
        <v>272</v>
      </c>
      <c r="BG2">
        <f>+VLOOKUP(BG1,ran_dat,datos!$D$1,FALSE)</f>
        <v>118</v>
      </c>
      <c r="BH2">
        <f>+BG2-1</f>
        <v>117</v>
      </c>
      <c r="BI2">
        <f>+BG2-12</f>
        <v>106</v>
      </c>
      <c r="BK2" s="9"/>
      <c r="BL2">
        <f>+VLOOKUP(BL1,ran_dat,datos!$D$1,FALSE)</f>
        <v>118</v>
      </c>
      <c r="BM2">
        <f>+BL2-1</f>
        <v>117</v>
      </c>
      <c r="BN2">
        <f>+BL2-12</f>
        <v>106</v>
      </c>
      <c r="BP2" s="9"/>
      <c r="BQ2">
        <f>+VLOOKUP(BQ1,ran_dat,datos!$D$1,FALSE)</f>
        <v>118</v>
      </c>
      <c r="BR2">
        <f>+BQ2-12</f>
        <v>106</v>
      </c>
      <c r="BT2" s="9"/>
      <c r="BU2">
        <f>+VLOOKUP(BU1,ran_dat,datos!$D$1,FALSE)</f>
        <v>118</v>
      </c>
      <c r="BV2">
        <f>+BU2-12</f>
        <v>106</v>
      </c>
      <c r="BX2" s="9"/>
      <c r="CB2" s="9"/>
      <c r="CI2">
        <f>+VLOOKUP(CI1,ran_dat,datos!$D$1,FALSE)</f>
        <v>118</v>
      </c>
      <c r="CJ2">
        <f>+CI2</f>
        <v>118</v>
      </c>
      <c r="CK2">
        <f t="shared" ref="CK2:DG2" si="1">+CJ2-1</f>
        <v>117</v>
      </c>
      <c r="CL2">
        <f t="shared" si="1"/>
        <v>116</v>
      </c>
      <c r="CM2">
        <f t="shared" si="1"/>
        <v>115</v>
      </c>
      <c r="CN2">
        <f t="shared" si="1"/>
        <v>114</v>
      </c>
      <c r="CO2">
        <f t="shared" si="1"/>
        <v>113</v>
      </c>
      <c r="CP2">
        <f t="shared" si="1"/>
        <v>112</v>
      </c>
      <c r="CQ2">
        <f t="shared" si="1"/>
        <v>111</v>
      </c>
      <c r="CR2">
        <f t="shared" si="1"/>
        <v>110</v>
      </c>
      <c r="CS2">
        <f t="shared" si="1"/>
        <v>109</v>
      </c>
      <c r="CT2">
        <f t="shared" si="1"/>
        <v>108</v>
      </c>
      <c r="CU2">
        <f t="shared" si="1"/>
        <v>107</v>
      </c>
      <c r="CV2">
        <f t="shared" si="1"/>
        <v>106</v>
      </c>
      <c r="CW2">
        <f t="shared" si="1"/>
        <v>105</v>
      </c>
      <c r="CX2">
        <f t="shared" si="1"/>
        <v>104</v>
      </c>
      <c r="CY2">
        <f t="shared" si="1"/>
        <v>103</v>
      </c>
      <c r="CZ2">
        <f t="shared" si="1"/>
        <v>102</v>
      </c>
      <c r="DA2">
        <f t="shared" si="1"/>
        <v>101</v>
      </c>
      <c r="DB2">
        <f t="shared" si="1"/>
        <v>100</v>
      </c>
      <c r="DC2">
        <f t="shared" si="1"/>
        <v>99</v>
      </c>
      <c r="DD2">
        <f t="shared" si="1"/>
        <v>98</v>
      </c>
      <c r="DE2">
        <f t="shared" si="1"/>
        <v>97</v>
      </c>
      <c r="DF2">
        <f t="shared" si="1"/>
        <v>96</v>
      </c>
      <c r="DG2">
        <f t="shared" si="1"/>
        <v>95</v>
      </c>
      <c r="DI2">
        <f>+VLOOKUP(DI1,ran_dat,datos!$D$1,FALSE)</f>
        <v>118</v>
      </c>
      <c r="DJ2">
        <f t="shared" ref="DJ2:EF2" si="2">+DI2-1</f>
        <v>117</v>
      </c>
      <c r="DK2">
        <f t="shared" si="2"/>
        <v>116</v>
      </c>
      <c r="DL2">
        <f t="shared" si="2"/>
        <v>115</v>
      </c>
      <c r="DM2">
        <f t="shared" si="2"/>
        <v>114</v>
      </c>
      <c r="DN2">
        <f t="shared" si="2"/>
        <v>113</v>
      </c>
      <c r="DO2">
        <f t="shared" si="2"/>
        <v>112</v>
      </c>
      <c r="DP2">
        <f t="shared" si="2"/>
        <v>111</v>
      </c>
      <c r="DQ2">
        <f t="shared" si="2"/>
        <v>110</v>
      </c>
      <c r="DR2">
        <f t="shared" si="2"/>
        <v>109</v>
      </c>
      <c r="DS2">
        <f t="shared" si="2"/>
        <v>108</v>
      </c>
      <c r="DT2">
        <f t="shared" si="2"/>
        <v>107</v>
      </c>
      <c r="DU2">
        <f t="shared" si="2"/>
        <v>106</v>
      </c>
      <c r="DV2">
        <f t="shared" si="2"/>
        <v>105</v>
      </c>
      <c r="DW2">
        <f t="shared" si="2"/>
        <v>104</v>
      </c>
      <c r="DX2">
        <f t="shared" si="2"/>
        <v>103</v>
      </c>
      <c r="DY2">
        <f t="shared" si="2"/>
        <v>102</v>
      </c>
      <c r="DZ2">
        <f t="shared" si="2"/>
        <v>101</v>
      </c>
      <c r="EA2">
        <f t="shared" si="2"/>
        <v>100</v>
      </c>
      <c r="EB2">
        <f t="shared" si="2"/>
        <v>99</v>
      </c>
      <c r="EC2">
        <f t="shared" si="2"/>
        <v>98</v>
      </c>
      <c r="ED2">
        <f t="shared" si="2"/>
        <v>97</v>
      </c>
      <c r="EE2">
        <f t="shared" si="2"/>
        <v>96</v>
      </c>
      <c r="EF2">
        <f t="shared" si="2"/>
        <v>95</v>
      </c>
      <c r="EH2" s="14">
        <f>+VLOOKUP(EH1,ran_dat,datos!$D$1,FALSE)</f>
        <v>118</v>
      </c>
      <c r="EI2" s="14">
        <f t="shared" ref="EI2:FE2" si="3">+EH2-1</f>
        <v>117</v>
      </c>
      <c r="EJ2">
        <f t="shared" si="3"/>
        <v>116</v>
      </c>
      <c r="EK2">
        <f t="shared" si="3"/>
        <v>115</v>
      </c>
      <c r="EL2">
        <f t="shared" si="3"/>
        <v>114</v>
      </c>
      <c r="EM2">
        <f t="shared" si="3"/>
        <v>113</v>
      </c>
      <c r="EN2">
        <f t="shared" si="3"/>
        <v>112</v>
      </c>
      <c r="EO2">
        <f t="shared" si="3"/>
        <v>111</v>
      </c>
      <c r="EP2">
        <f t="shared" si="3"/>
        <v>110</v>
      </c>
      <c r="EQ2">
        <f t="shared" si="3"/>
        <v>109</v>
      </c>
      <c r="ER2">
        <f t="shared" si="3"/>
        <v>108</v>
      </c>
      <c r="ES2">
        <f t="shared" si="3"/>
        <v>107</v>
      </c>
      <c r="ET2">
        <f t="shared" si="3"/>
        <v>106</v>
      </c>
      <c r="EU2">
        <f t="shared" si="3"/>
        <v>105</v>
      </c>
      <c r="EV2">
        <f t="shared" si="3"/>
        <v>104</v>
      </c>
      <c r="EW2">
        <f t="shared" si="3"/>
        <v>103</v>
      </c>
      <c r="EX2">
        <f t="shared" si="3"/>
        <v>102</v>
      </c>
      <c r="EY2">
        <f t="shared" si="3"/>
        <v>101</v>
      </c>
      <c r="EZ2">
        <f t="shared" si="3"/>
        <v>100</v>
      </c>
      <c r="FA2">
        <f t="shared" si="3"/>
        <v>99</v>
      </c>
      <c r="FB2">
        <f t="shared" si="3"/>
        <v>98</v>
      </c>
      <c r="FC2">
        <f t="shared" si="3"/>
        <v>97</v>
      </c>
      <c r="FD2">
        <f t="shared" si="3"/>
        <v>96</v>
      </c>
      <c r="FE2">
        <f t="shared" si="3"/>
        <v>95</v>
      </c>
    </row>
    <row r="3" spans="1:163" ht="18.75" customHeight="1">
      <c r="A3" s="220"/>
      <c r="C3" s="155"/>
      <c r="D3" s="196">
        <v>0.33</v>
      </c>
      <c r="E3" s="100">
        <f>IFERROR(+BG5/BH5-1,"")</f>
        <v>2.2108136210033935E-2</v>
      </c>
      <c r="F3" s="56" t="s">
        <v>515</v>
      </c>
      <c r="G3" s="56"/>
      <c r="H3" s="56"/>
      <c r="I3" s="60">
        <f>IFERROR(+BG5/BI5-1,"")</f>
        <v>0.84536905081374014</v>
      </c>
      <c r="J3" s="56" t="s">
        <v>515</v>
      </c>
      <c r="K3" s="56"/>
      <c r="L3" s="56"/>
      <c r="M3" s="32"/>
      <c r="N3" s="196">
        <v>0.33</v>
      </c>
      <c r="O3" s="31"/>
      <c r="S3" s="32"/>
      <c r="T3" s="196">
        <v>0.33</v>
      </c>
      <c r="U3" s="150" t="str">
        <f>TEXT(CU1,"MMM-YY")&amp;"."&amp;TEXT(CJ1,"MMM-YY")&amp;" vs "&amp;TEXT(DG1,"MMM-YY")&amp;"."&amp;TEXT(CV1,"MMM-YY")</f>
        <v>feb-24.ene-25 vs feb-23.ene-24</v>
      </c>
      <c r="Y3" s="59" t="str">
        <f>TEXT(CJ1,"MMM-YY")&amp;" vs "&amp;TEXT(CV1,"MMM-YY")</f>
        <v>ene-25 vs ene-24</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83"/>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16.5"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7864.1</v>
      </c>
      <c r="BH5" s="2">
        <f t="shared" si="4"/>
        <v>7694</v>
      </c>
      <c r="BI5" s="2">
        <f t="shared" si="4"/>
        <v>4261.5324000000001</v>
      </c>
    </row>
    <row r="6" spans="1:163" ht="18.75" customHeight="1">
      <c r="A6" s="243" t="s">
        <v>28</v>
      </c>
      <c r="B6" s="246"/>
      <c r="C6" s="156">
        <f t="shared" ref="C6:C24" si="5">+D6*$D$3+N6*$N$3+T6*$T$3</f>
        <v>0</v>
      </c>
      <c r="D6" s="198">
        <v>-2</v>
      </c>
      <c r="E6" s="248">
        <f t="shared" ref="E6:E24" si="6">IFERROR(+BG6/BH6-1,"")</f>
        <v>-1.9601128445541072E-2</v>
      </c>
      <c r="F6" s="249">
        <f t="shared" ref="F6:F24" si="7">+E6-$E$3</f>
        <v>-4.1709264655575007E-2</v>
      </c>
      <c r="G6" s="248">
        <f t="shared" ref="G6:G24" si="8">IFERROR(+BL6/BM6-1,"")</f>
        <v>1.6868756885766611E-2</v>
      </c>
      <c r="H6" s="249">
        <f t="shared" ref="H6:H24" si="9">E6-G6</f>
        <v>-3.6469885331307683E-2</v>
      </c>
      <c r="I6" s="248">
        <f t="shared" ref="I6:I24" si="10">IFERROR(+BG6/BI6-1,"")</f>
        <v>0.24832127115878966</v>
      </c>
      <c r="J6" s="249">
        <f t="shared" ref="J6:J26" si="11">+I6-$I$3</f>
        <v>-0.59704777965495048</v>
      </c>
      <c r="K6" s="248">
        <f t="shared" ref="K6:K24" si="12">IFERROR(+BL6/BN6-1,"")</f>
        <v>0.23848579430322192</v>
      </c>
      <c r="L6" s="249">
        <f t="shared" ref="L6:L24" si="13">I6-K6</f>
        <v>9.8354768555677374E-3</v>
      </c>
      <c r="M6" s="250"/>
      <c r="N6" s="24">
        <v>1</v>
      </c>
      <c r="O6" s="248">
        <f>IFERROR(+BQ6/BR6-1,"")</f>
        <v>6.1538461538461542E-2</v>
      </c>
      <c r="P6" s="251">
        <f>+O6</f>
        <v>6.1538461538461542E-2</v>
      </c>
      <c r="Q6" s="248">
        <f t="shared" ref="Q6:Q24" si="14">IFERROR(+BU6/BV6-1,"")</f>
        <v>0.44444444444444442</v>
      </c>
      <c r="R6" s="251">
        <f>+Q6</f>
        <v>0.44444444444444442</v>
      </c>
      <c r="S6" s="250"/>
      <c r="T6" s="24">
        <v>1</v>
      </c>
      <c r="U6" s="248">
        <f t="shared" ref="U6:U24" si="15">IFERROR(+BY6/BZ6-1,"")</f>
        <v>1.1302784414565767</v>
      </c>
      <c r="V6" s="252">
        <f t="shared" ref="V6:V24" si="16">+U6</f>
        <v>1.1302784414565767</v>
      </c>
      <c r="W6" s="248">
        <f>IFERROR(IF(CC6&lt;0.5,"",+CC6/CD6-1),"")</f>
        <v>-0.29577693487749879</v>
      </c>
      <c r="X6" s="252">
        <f t="shared" ref="X6:X24" si="17">+W6</f>
        <v>-0.29577693487749879</v>
      </c>
      <c r="Y6" s="248" t="str">
        <f t="shared" ref="Y6:Y25" si="18">IFERROR(+CG6/CH6-1,"")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4"/>
      <c r="AP6" s="28">
        <f>VLOOKUP($A6,historia!$A$5:$CM$24,+HLOOKUP(AP$2,historia!$A$3:$EC$4,2,FALSE),FALSE)</f>
        <v>4</v>
      </c>
      <c r="AQ6" s="28">
        <f>VLOOKUP($A6,historia!$A$5:$CM$24,+HLOOKUP(AQ$2,historia!$A$3:$EC$4,2,FALSE),FALSE)</f>
        <v>4</v>
      </c>
      <c r="AR6" s="28">
        <f>VLOOKUP($A6,historia!$A$5:$CM$24,+HLOOKUP(AR$2,historia!$A$3:$EC$4,2,FALSE),FALSE)</f>
        <v>4</v>
      </c>
      <c r="AS6" s="28">
        <f>VLOOKUP($A6,historia!$A$5:$CM$24,+HLOOKUP(AS$2,historia!$A$3:$EC$4,2,FALSE),FALSE)</f>
        <v>3</v>
      </c>
      <c r="AT6" s="58">
        <f>VLOOKUP($A6,historia!$A$5:$CM$24,+HLOOKUP(AT$2,historia!$A$3:$EC$4,2,FALSE),FALSE)</f>
        <v>3</v>
      </c>
      <c r="AU6" s="58">
        <f>VLOOKUP($A6,historia!$A$5:$CM$24,+HLOOKUP(AU$2,historia!$A$3:$EC$4,2,FALSE),FALSE)</f>
        <v>3</v>
      </c>
      <c r="AV6" s="58">
        <f>VLOOKUP($A6,historia!$A$5:$CM$24,+HLOOKUP(AV$2,historia!$A$3:$EC$4,2,FALSE),FALSE)</f>
        <v>3</v>
      </c>
      <c r="AW6" s="58">
        <f>VLOOKUP($A6,historia!$A$5:$CM$24,+HLOOKUP(AW$2,historia!$A$3:$EC$4,2,FALSE),FALSE)</f>
        <v>3</v>
      </c>
      <c r="AX6" s="58">
        <f>VLOOKUP($A6,historia!$A$5:$CM$24,+HLOOKUP(AX$2,historia!$A$3:$EC$4,2,FALSE),FALSE)</f>
        <v>3</v>
      </c>
      <c r="AY6" s="58">
        <f>VLOOKUP($A6,historia!$A$5:$CM$24,+HLOOKUP(AY$2,historia!$A$3:$EC$4,2,FALSE),FALSE)</f>
        <v>3</v>
      </c>
      <c r="AZ6" s="58">
        <f>VLOOKUP($A6,historia!$A$5:$CM$24,+HLOOKUP(AZ$2,historia!$A$3:$EC$4,2,FALSE),FALSE)</f>
        <v>3</v>
      </c>
      <c r="BA6" s="58">
        <f>VLOOKUP($A6,historia!$A$5:$CM$24,+HLOOKUP(BA$2,historia!$A$3:$EC$4,2,FALSE),FALSE)</f>
        <v>4</v>
      </c>
      <c r="BB6" s="58"/>
      <c r="BC6" s="286">
        <v>4</v>
      </c>
      <c r="BD6" t="str">
        <f t="shared" ref="BD6:BD24" si="20">+A6</f>
        <v>Algodón</v>
      </c>
      <c r="BE6">
        <f>+datos!P1</f>
        <v>16</v>
      </c>
      <c r="BF6" s="2" t="str">
        <f t="shared" si="4"/>
        <v>$/kg</v>
      </c>
      <c r="BG6" s="2">
        <f t="shared" si="4"/>
        <v>1359.0287343749997</v>
      </c>
      <c r="BH6" s="2">
        <f t="shared" si="4"/>
        <v>1386.1998149999999</v>
      </c>
      <c r="BI6" s="2">
        <f t="shared" si="4"/>
        <v>1088.6850731249999</v>
      </c>
      <c r="BK6">
        <f>+datos!BY1</f>
        <v>77</v>
      </c>
      <c r="BL6" s="2">
        <f t="shared" ref="BL6:BN24" si="21">+VLOOKUP(BL$1,ran_dat,$BK6,FALSE)</f>
        <v>9484.7744080586726</v>
      </c>
      <c r="BM6" s="2">
        <f t="shared" si="21"/>
        <v>9327.4322215449647</v>
      </c>
      <c r="BN6" s="2">
        <f t="shared" si="21"/>
        <v>7658.3635046010786</v>
      </c>
      <c r="BP6" s="1">
        <f>+datos!DK1</f>
        <v>115</v>
      </c>
      <c r="BQ6" s="1">
        <f t="shared" ref="BQ6:BR24" si="22">+VLOOKUP(BQ$1,ran_dat,$BP6,FALSE)</f>
        <v>690000</v>
      </c>
      <c r="BR6" s="1">
        <f t="shared" si="22"/>
        <v>650000</v>
      </c>
      <c r="BT6" s="1">
        <f>+datos!FF1</f>
        <v>162</v>
      </c>
      <c r="BU6" s="1">
        <f t="shared" ref="BU6:BV24" si="23">+VLOOKUP(BU$1,ran_dat,$BT6,FALSE)</f>
        <v>1300000</v>
      </c>
      <c r="BV6" s="1">
        <f t="shared" si="23"/>
        <v>900000</v>
      </c>
      <c r="BX6" s="1">
        <f>+datos!JF1</f>
        <v>266</v>
      </c>
      <c r="BY6" s="1">
        <f>+SUM(CJ6:CU6)</f>
        <v>195.81745139</v>
      </c>
      <c r="BZ6" s="1">
        <f>+SUM(CV6:DG6)</f>
        <v>91.921059509999978</v>
      </c>
      <c r="CB6" s="1">
        <f>+datos!KK1</f>
        <v>297</v>
      </c>
      <c r="CC6" s="2">
        <f t="shared" ref="CC6:CC24" si="24">+SUM(DI6:DT6)</f>
        <v>63.551355339999994</v>
      </c>
      <c r="CD6" s="2">
        <f t="shared" ref="CD6:CD24" si="25">+SUM(DU6:EF6)</f>
        <v>90.243217649999991</v>
      </c>
      <c r="CF6" s="1">
        <f>+datos!HS1</f>
        <v>227</v>
      </c>
      <c r="CG6" s="1">
        <f t="shared" ref="CG6:CG24" si="26">+EH6</f>
        <v>0</v>
      </c>
      <c r="CH6" s="1">
        <f t="shared" ref="CH6:CH24" si="27">+ET6</f>
        <v>0</v>
      </c>
      <c r="CJ6" s="1">
        <f t="shared" ref="CJ6:CY21" si="28">+VLOOKUP(CJ$1,ran_dat,$BX6,FALSE)</f>
        <v>6.462363250000001</v>
      </c>
      <c r="CK6" s="1">
        <f t="shared" si="28"/>
        <v>10.78045292</v>
      </c>
      <c r="CL6" s="1">
        <f t="shared" si="28"/>
        <v>14.805583519999997</v>
      </c>
      <c r="CM6" s="1">
        <f t="shared" si="28"/>
        <v>17.696202909999993</v>
      </c>
      <c r="CN6" s="1">
        <f t="shared" si="28"/>
        <v>21.922029789999996</v>
      </c>
      <c r="CO6" s="1">
        <f t="shared" si="28"/>
        <v>19.20970509</v>
      </c>
      <c r="CP6" s="1">
        <f t="shared" si="28"/>
        <v>24.496622440000007</v>
      </c>
      <c r="CQ6" s="1">
        <f t="shared" si="28"/>
        <v>21.439575039999998</v>
      </c>
      <c r="CR6" s="1">
        <f t="shared" si="28"/>
        <v>14.529816729999997</v>
      </c>
      <c r="CS6" s="1">
        <f t="shared" si="28"/>
        <v>18.258202080000007</v>
      </c>
      <c r="CT6" s="1">
        <f t="shared" si="28"/>
        <v>18.510441480000001</v>
      </c>
      <c r="CU6" s="1">
        <f t="shared" si="28"/>
        <v>7.7064561400000011</v>
      </c>
      <c r="CV6" s="1">
        <f t="shared" si="28"/>
        <v>8.1062574399999985</v>
      </c>
      <c r="CW6" s="1">
        <f t="shared" si="28"/>
        <v>8.4463773399999997</v>
      </c>
      <c r="CX6" s="1">
        <f t="shared" si="28"/>
        <v>15.019774559999998</v>
      </c>
      <c r="CY6" s="1">
        <f t="shared" si="28"/>
        <v>14.398572559999998</v>
      </c>
      <c r="CZ6" s="1">
        <f t="shared" ref="CZ6:DG21" si="29">+VLOOKUP(CZ$1,ran_dat,$BX6,FALSE)</f>
        <v>16.61514231</v>
      </c>
      <c r="DA6" s="1">
        <f t="shared" si="29"/>
        <v>14.3155891</v>
      </c>
      <c r="DB6" s="1">
        <f t="shared" si="29"/>
        <v>3.12980459</v>
      </c>
      <c r="DC6" s="1">
        <f t="shared" si="29"/>
        <v>2.3595063199999995</v>
      </c>
      <c r="DD6" s="1">
        <f t="shared" si="29"/>
        <v>5.3927380000000005</v>
      </c>
      <c r="DE6" s="1">
        <f t="shared" si="29"/>
        <v>1.1182586999999999</v>
      </c>
      <c r="DF6" s="1">
        <f t="shared" si="29"/>
        <v>0.81365803999999953</v>
      </c>
      <c r="DG6" s="1">
        <f t="shared" si="29"/>
        <v>2.2053805500000006</v>
      </c>
      <c r="DI6" s="1">
        <f t="shared" ref="DI6:DX21" si="30">+VLOOKUP(DI$1,ran_dat,$CB6,FALSE)</f>
        <v>7.6983577599999995</v>
      </c>
      <c r="DJ6" s="1">
        <f t="shared" si="30"/>
        <v>8.003268180000001</v>
      </c>
      <c r="DK6" s="1">
        <f t="shared" si="30"/>
        <v>5.6011509000000004</v>
      </c>
      <c r="DL6" s="1">
        <f t="shared" si="30"/>
        <v>5.8112020999999991</v>
      </c>
      <c r="DM6" s="1">
        <f t="shared" si="30"/>
        <v>6.3060080799999998</v>
      </c>
      <c r="DN6" s="1">
        <f t="shared" si="30"/>
        <v>3.7690183000000008</v>
      </c>
      <c r="DO6" s="1">
        <f t="shared" si="30"/>
        <v>4.5361736000000006</v>
      </c>
      <c r="DP6" s="1">
        <f t="shared" si="30"/>
        <v>3.2956469100000003</v>
      </c>
      <c r="DQ6" s="1">
        <f t="shared" si="30"/>
        <v>4.5516111999999991</v>
      </c>
      <c r="DR6" s="1">
        <f t="shared" si="30"/>
        <v>3.9375346699999998</v>
      </c>
      <c r="DS6" s="1">
        <f t="shared" si="30"/>
        <v>4.8118603300000009</v>
      </c>
      <c r="DT6" s="1">
        <f t="shared" si="30"/>
        <v>5.2295233099999994</v>
      </c>
      <c r="DU6" s="1">
        <f t="shared" si="30"/>
        <v>7.4159317900000001</v>
      </c>
      <c r="DV6" s="1">
        <f t="shared" si="30"/>
        <v>3.5587731599999999</v>
      </c>
      <c r="DW6" s="1">
        <f t="shared" si="30"/>
        <v>6.9479693099999986</v>
      </c>
      <c r="DX6" s="1">
        <f t="shared" si="30"/>
        <v>7.5746309199999997</v>
      </c>
      <c r="DY6" s="1">
        <f t="shared" ref="DY6:EF20" si="31">+VLOOKUP(DY$1,ran_dat,$CB6,FALSE)</f>
        <v>8.1137987799999998</v>
      </c>
      <c r="DZ6" s="1">
        <f t="shared" si="31"/>
        <v>9.2876289100000005</v>
      </c>
      <c r="EA6" s="1">
        <f t="shared" si="31"/>
        <v>7.69051375</v>
      </c>
      <c r="EB6" s="1">
        <f t="shared" si="31"/>
        <v>7.1486482300000009</v>
      </c>
      <c r="EC6" s="1">
        <f t="shared" si="31"/>
        <v>9.1724036200000008</v>
      </c>
      <c r="ED6" s="1">
        <f t="shared" si="31"/>
        <v>6.8489806600000005</v>
      </c>
      <c r="EE6" s="1">
        <f t="shared" si="31"/>
        <v>8.39418884</v>
      </c>
      <c r="EF6" s="1">
        <f t="shared" si="31"/>
        <v>8.0897496800000006</v>
      </c>
      <c r="EH6" s="14">
        <f t="shared" ref="EH6:EW21" si="32">+VLOOKUP(EH$1,ran_dat,$CF6,FALSE)</f>
        <v>0</v>
      </c>
      <c r="EI6" s="14">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si="32"/>
        <v>0</v>
      </c>
      <c r="EX6" s="1">
        <f t="shared" ref="EX6:FE20" si="33">+VLOOKUP(EX$1,ran_dat,$CF6,FALSE)</f>
        <v>0</v>
      </c>
      <c r="EY6" s="1">
        <f t="shared" si="33"/>
        <v>0</v>
      </c>
      <c r="EZ6" s="1">
        <f t="shared" si="33"/>
        <v>0</v>
      </c>
      <c r="FA6" s="1">
        <f t="shared" si="33"/>
        <v>0</v>
      </c>
      <c r="FB6" s="1">
        <f t="shared" si="33"/>
        <v>0</v>
      </c>
      <c r="FC6" s="1">
        <f t="shared" si="33"/>
        <v>0</v>
      </c>
      <c r="FD6" s="1">
        <f t="shared" si="33"/>
        <v>0</v>
      </c>
      <c r="FE6" s="1">
        <f t="shared" si="33"/>
        <v>0</v>
      </c>
      <c r="FG6" s="162">
        <f t="shared" ref="FG6:FG24" si="34">+I6-K6</f>
        <v>9.8354768555677374E-3</v>
      </c>
    </row>
    <row r="7" spans="1:163" ht="18.75" customHeight="1">
      <c r="A7" s="244" t="s">
        <v>13</v>
      </c>
      <c r="B7" s="247"/>
      <c r="C7" s="228">
        <f t="shared" si="5"/>
        <v>-0.33</v>
      </c>
      <c r="D7" s="229">
        <v>-1</v>
      </c>
      <c r="E7" s="253">
        <f t="shared" si="6"/>
        <v>-0.16666666666666663</v>
      </c>
      <c r="F7" s="254">
        <f t="shared" si="7"/>
        <v>-0.18877480287670056</v>
      </c>
      <c r="G7" s="253">
        <f t="shared" si="8"/>
        <v>2.3127493720180636E-2</v>
      </c>
      <c r="H7" s="254">
        <f t="shared" si="9"/>
        <v>-0.18979416038684727</v>
      </c>
      <c r="I7" s="253">
        <f t="shared" si="10"/>
        <v>-0.41860465116279066</v>
      </c>
      <c r="J7" s="254">
        <f t="shared" si="11"/>
        <v>-1.2639737019765307</v>
      </c>
      <c r="K7" s="253">
        <f t="shared" si="12"/>
        <v>0.2648380587665542</v>
      </c>
      <c r="L7" s="254">
        <f t="shared" si="13"/>
        <v>-0.68344270992934486</v>
      </c>
      <c r="M7" s="255"/>
      <c r="N7" s="256">
        <v>1</v>
      </c>
      <c r="O7" s="253">
        <f t="shared" ref="O7:O24" si="35">IFERROR(+BQ7/BR7-1,"")</f>
        <v>0.14999999999999991</v>
      </c>
      <c r="P7" s="257">
        <f t="shared" ref="P7:P24" si="36">+O7</f>
        <v>0.14999999999999991</v>
      </c>
      <c r="Q7" s="253">
        <f t="shared" si="14"/>
        <v>8.3333333333333259E-2</v>
      </c>
      <c r="R7" s="257">
        <f t="shared" ref="R7:R24" si="37">+Q7</f>
        <v>8.3333333333333259E-2</v>
      </c>
      <c r="S7" s="255"/>
      <c r="T7" s="256">
        <v>-1</v>
      </c>
      <c r="U7" s="253">
        <f t="shared" si="15"/>
        <v>0.31207689650203307</v>
      </c>
      <c r="V7" s="258">
        <f t="shared" si="16"/>
        <v>0.31207689650203307</v>
      </c>
      <c r="W7" s="253">
        <f t="shared" ref="W7:W24" si="38">IFERROR(IF(CC7&lt;0.5,"",+CC7/CD7-1),"")</f>
        <v>2.1358670504029922</v>
      </c>
      <c r="X7" s="258">
        <f t="shared" si="17"/>
        <v>2.1358670504029922</v>
      </c>
      <c r="Y7" s="253">
        <f t="shared" si="18"/>
        <v>0</v>
      </c>
      <c r="Z7" s="258">
        <f t="shared" si="19"/>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4"/>
      <c r="AP7" s="28">
        <f>VLOOKUP($A7,historia!$A$5:$CM$24,+HLOOKUP(AP$2,historia!$A$3:$EC$4,2,FALSE),FALSE)</f>
        <v>2</v>
      </c>
      <c r="AQ7" s="28">
        <f>VLOOKUP($A7,historia!$A$5:$CM$24,+HLOOKUP(AQ$2,historia!$A$3:$EC$4,2,FALSE),FALSE)</f>
        <v>2</v>
      </c>
      <c r="AR7" s="28">
        <f>VLOOKUP($A7,historia!$A$5:$CM$24,+HLOOKUP(AR$2,historia!$A$3:$EC$4,2,FALSE),FALSE)</f>
        <v>2</v>
      </c>
      <c r="AS7" s="28">
        <f>VLOOKUP($A7,historia!$A$5:$CM$24,+HLOOKUP(AS$2,historia!$A$3:$EC$4,2,FALSE),FALSE)</f>
        <v>2</v>
      </c>
      <c r="AT7" s="58">
        <f>VLOOKUP($A7,historia!$A$5:$CM$24,+HLOOKUP(AT$2,historia!$A$3:$EC$4,2,FALSE),FALSE)</f>
        <v>2</v>
      </c>
      <c r="AU7" s="58">
        <f>VLOOKUP($A7,historia!$A$5:$CM$24,+HLOOKUP(AU$2,historia!$A$3:$EC$4,2,FALSE),FALSE)</f>
        <v>4</v>
      </c>
      <c r="AV7" s="58">
        <f>VLOOKUP($A7,historia!$A$5:$CM$24,+HLOOKUP(AV$2,historia!$A$3:$EC$4,2,FALSE),FALSE)</f>
        <v>4</v>
      </c>
      <c r="AW7" s="58">
        <f>VLOOKUP($A7,historia!$A$5:$CM$24,+HLOOKUP(AW$2,historia!$A$3:$EC$4,2,FALSE),FALSE)</f>
        <v>4</v>
      </c>
      <c r="AX7" s="58">
        <f>VLOOKUP($A7,historia!$A$5:$CM$24,+HLOOKUP(AX$2,historia!$A$3:$EC$4,2,FALSE),FALSE)</f>
        <v>4</v>
      </c>
      <c r="AY7" s="58">
        <f>VLOOKUP($A7,historia!$A$5:$CM$24,+HLOOKUP(AY$2,historia!$A$3:$EC$4,2,FALSE),FALSE)</f>
        <v>4</v>
      </c>
      <c r="AZ7" s="58">
        <f>VLOOKUP($A7,historia!$A$5:$CM$24,+HLOOKUP(AZ$2,historia!$A$3:$EC$4,2,FALSE),FALSE)</f>
        <v>4</v>
      </c>
      <c r="BA7" s="58">
        <f>VLOOKUP($A7,historia!$A$5:$CM$24,+HLOOKUP(BA$2,historia!$A$3:$EC$4,2,FALSE),FALSE)</f>
        <v>4</v>
      </c>
      <c r="BB7" s="58"/>
      <c r="BC7" s="286">
        <v>4</v>
      </c>
      <c r="BD7" t="str">
        <f t="shared" si="20"/>
        <v>Arroz</v>
      </c>
      <c r="BE7">
        <f>+datos!R1</f>
        <v>18</v>
      </c>
      <c r="BF7" s="2" t="str">
        <f t="shared" si="4"/>
        <v>$/t</v>
      </c>
      <c r="BG7" s="2">
        <f t="shared" si="4"/>
        <v>250000</v>
      </c>
      <c r="BH7" s="2">
        <f t="shared" si="4"/>
        <v>300000</v>
      </c>
      <c r="BI7" s="2">
        <f t="shared" si="4"/>
        <v>430000</v>
      </c>
      <c r="BK7">
        <f>+datos!BZ1</f>
        <v>78</v>
      </c>
      <c r="BL7" s="2">
        <f t="shared" si="21"/>
        <v>8971.5428490126978</v>
      </c>
      <c r="BM7" s="2">
        <f t="shared" si="21"/>
        <v>8768.743782254729</v>
      </c>
      <c r="BN7" s="2">
        <f t="shared" si="21"/>
        <v>7093.036762161928</v>
      </c>
      <c r="BP7" s="1">
        <f>+datos!DM1</f>
        <v>117</v>
      </c>
      <c r="BQ7" s="1">
        <f t="shared" si="22"/>
        <v>230000</v>
      </c>
      <c r="BR7" s="1">
        <f t="shared" si="22"/>
        <v>200000</v>
      </c>
      <c r="BT7" s="1">
        <f>+datos!FH1</f>
        <v>164</v>
      </c>
      <c r="BU7" s="1">
        <f t="shared" si="23"/>
        <v>1300000</v>
      </c>
      <c r="BV7" s="1">
        <f t="shared" si="23"/>
        <v>1200000</v>
      </c>
      <c r="BX7" s="1">
        <f>+datos!JG1</f>
        <v>267</v>
      </c>
      <c r="BY7" s="1">
        <f t="shared" ref="BY7:BY24" si="39">+SUM(CJ7:CU7)</f>
        <v>300.08499336</v>
      </c>
      <c r="BZ7" s="1">
        <f t="shared" ref="BZ7:BZ24" si="40">+SUM(CV7:DG7)</f>
        <v>228.70991339</v>
      </c>
      <c r="CB7" s="1">
        <f>+datos!KL1</f>
        <v>298</v>
      </c>
      <c r="CC7" s="2">
        <f t="shared" si="24"/>
        <v>4.7343051300000001</v>
      </c>
      <c r="CD7" s="2">
        <f t="shared" si="25"/>
        <v>1.50972763</v>
      </c>
      <c r="CF7" s="1">
        <f>+datos!HU1</f>
        <v>229</v>
      </c>
      <c r="CG7" s="1">
        <f t="shared" si="26"/>
        <v>700000</v>
      </c>
      <c r="CH7" s="1">
        <f t="shared" si="27"/>
        <v>700000</v>
      </c>
      <c r="CJ7" s="1">
        <f t="shared" si="28"/>
        <v>22.007364089999996</v>
      </c>
      <c r="CK7" s="1">
        <f t="shared" si="28"/>
        <v>13.652213600000001</v>
      </c>
      <c r="CL7" s="1">
        <f t="shared" si="28"/>
        <v>21.789652239999999</v>
      </c>
      <c r="CM7" s="1">
        <f t="shared" si="28"/>
        <v>22.506187060000002</v>
      </c>
      <c r="CN7" s="1">
        <f t="shared" si="28"/>
        <v>26.198510359999997</v>
      </c>
      <c r="CO7" s="1">
        <f t="shared" si="28"/>
        <v>16.658344929999998</v>
      </c>
      <c r="CP7" s="1">
        <f t="shared" si="28"/>
        <v>38.799980059999996</v>
      </c>
      <c r="CQ7" s="1">
        <f t="shared" si="28"/>
        <v>35.598317799999997</v>
      </c>
      <c r="CR7" s="1">
        <f t="shared" si="28"/>
        <v>32.785113670000001</v>
      </c>
      <c r="CS7" s="1">
        <f t="shared" si="28"/>
        <v>22.35722878</v>
      </c>
      <c r="CT7" s="1">
        <f t="shared" si="28"/>
        <v>34.376458229999997</v>
      </c>
      <c r="CU7" s="1">
        <f t="shared" si="28"/>
        <v>13.355622539999999</v>
      </c>
      <c r="CV7" s="1">
        <f t="shared" si="28"/>
        <v>10.68224592</v>
      </c>
      <c r="CW7" s="1">
        <f t="shared" si="28"/>
        <v>15.82785018</v>
      </c>
      <c r="CX7" s="1">
        <f t="shared" si="28"/>
        <v>16.180063639999997</v>
      </c>
      <c r="CY7" s="1">
        <f t="shared" si="28"/>
        <v>11.823193960000001</v>
      </c>
      <c r="CZ7" s="1">
        <f t="shared" si="29"/>
        <v>12.24327484</v>
      </c>
      <c r="DA7" s="1">
        <f t="shared" si="29"/>
        <v>9.600226039999999</v>
      </c>
      <c r="DB7" s="1">
        <f t="shared" si="29"/>
        <v>26.338491399999999</v>
      </c>
      <c r="DC7" s="1">
        <f t="shared" si="29"/>
        <v>21.418726320000001</v>
      </c>
      <c r="DD7" s="1">
        <f t="shared" si="29"/>
        <v>22.255101539999998</v>
      </c>
      <c r="DE7" s="1">
        <f t="shared" si="29"/>
        <v>44.848914040000004</v>
      </c>
      <c r="DF7" s="1">
        <f t="shared" si="29"/>
        <v>20.357260950000001</v>
      </c>
      <c r="DG7" s="1">
        <f t="shared" si="29"/>
        <v>17.134564559999998</v>
      </c>
      <c r="DI7" s="1">
        <f t="shared" si="30"/>
        <v>0.84812041999999999</v>
      </c>
      <c r="DJ7" s="1">
        <f t="shared" si="30"/>
        <v>0.25440681999999998</v>
      </c>
      <c r="DK7" s="1">
        <f t="shared" si="30"/>
        <v>0.7620908099999999</v>
      </c>
      <c r="DL7" s="1">
        <f t="shared" si="30"/>
        <v>0.50490091999999998</v>
      </c>
      <c r="DM7" s="1">
        <f t="shared" si="30"/>
        <v>0.40961613000000002</v>
      </c>
      <c r="DN7" s="1">
        <f t="shared" si="30"/>
        <v>0.23587240000000001</v>
      </c>
      <c r="DO7" s="1">
        <f t="shared" si="30"/>
        <v>0.18557204999999999</v>
      </c>
      <c r="DP7" s="1">
        <f t="shared" si="30"/>
        <v>0.48301414000000004</v>
      </c>
      <c r="DQ7" s="1">
        <f t="shared" si="30"/>
        <v>0.23845672000000001</v>
      </c>
      <c r="DR7" s="1">
        <f t="shared" si="30"/>
        <v>0.50080292000000004</v>
      </c>
      <c r="DS7" s="1">
        <f t="shared" si="30"/>
        <v>8.6091799999999996E-2</v>
      </c>
      <c r="DT7" s="1">
        <f t="shared" si="30"/>
        <v>0.22536</v>
      </c>
      <c r="DU7" s="1">
        <f t="shared" si="30"/>
        <v>0.8256</v>
      </c>
      <c r="DV7" s="1">
        <f t="shared" si="30"/>
        <v>3.973985E-2</v>
      </c>
      <c r="DW7" s="1">
        <f t="shared" si="30"/>
        <v>3.3462720000000001E-2</v>
      </c>
      <c r="DX7" s="1">
        <f t="shared" si="30"/>
        <v>0.19098301000000001</v>
      </c>
      <c r="DY7" s="1">
        <f t="shared" si="31"/>
        <v>0.10767879</v>
      </c>
      <c r="DZ7" s="1">
        <f t="shared" si="31"/>
        <v>5.5773490000000002E-2</v>
      </c>
      <c r="EA7" s="1">
        <f t="shared" si="31"/>
        <v>8.7189080000000002E-2</v>
      </c>
      <c r="EB7" s="1">
        <f t="shared" si="31"/>
        <v>3.9243889999999997E-2</v>
      </c>
      <c r="EC7" s="1">
        <f t="shared" si="31"/>
        <v>0.10892111</v>
      </c>
      <c r="ED7" s="1">
        <f t="shared" si="31"/>
        <v>1.8036480000000001E-2</v>
      </c>
      <c r="EE7" s="1">
        <f t="shared" si="31"/>
        <v>2.0500000000000002E-3</v>
      </c>
      <c r="EF7" s="1">
        <f t="shared" si="31"/>
        <v>1.0492100000000001E-3</v>
      </c>
      <c r="EH7" s="14">
        <f t="shared" si="32"/>
        <v>700000</v>
      </c>
      <c r="EI7" s="14">
        <f t="shared" si="32"/>
        <v>700000</v>
      </c>
      <c r="EJ7" s="1">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2"/>
        <v>700000</v>
      </c>
      <c r="EX7" s="1">
        <f t="shared" si="33"/>
        <v>700000</v>
      </c>
      <c r="EY7" s="1">
        <f t="shared" si="33"/>
        <v>700000</v>
      </c>
      <c r="EZ7" s="1">
        <f t="shared" si="33"/>
        <v>700000</v>
      </c>
      <c r="FA7" s="1">
        <f t="shared" si="33"/>
        <v>700000</v>
      </c>
      <c r="FB7" s="1">
        <f t="shared" si="33"/>
        <v>700000</v>
      </c>
      <c r="FC7" s="1">
        <f t="shared" si="33"/>
        <v>700000</v>
      </c>
      <c r="FD7" s="1">
        <f t="shared" si="33"/>
        <v>700000</v>
      </c>
      <c r="FE7" s="1">
        <f t="shared" si="33"/>
        <v>650000</v>
      </c>
      <c r="FG7" s="162">
        <f t="shared" si="34"/>
        <v>-0.68344270992934486</v>
      </c>
    </row>
    <row r="8" spans="1:163" ht="18.75" customHeight="1">
      <c r="A8" s="243" t="s">
        <v>215</v>
      </c>
      <c r="B8" s="246"/>
      <c r="C8" s="156">
        <f t="shared" si="5"/>
        <v>-0.33</v>
      </c>
      <c r="D8" s="198">
        <v>0</v>
      </c>
      <c r="E8" s="248">
        <f t="shared" si="6"/>
        <v>-0.10722190411170096</v>
      </c>
      <c r="F8" s="249">
        <f t="shared" si="7"/>
        <v>-0.1293300403217349</v>
      </c>
      <c r="G8" s="248">
        <f t="shared" si="8"/>
        <v>0.10097514962472709</v>
      </c>
      <c r="H8" s="249">
        <f t="shared" si="9"/>
        <v>-0.20819705373642805</v>
      </c>
      <c r="I8" s="248">
        <f t="shared" si="10"/>
        <v>0.49957342045409736</v>
      </c>
      <c r="J8" s="249">
        <f t="shared" si="11"/>
        <v>-0.34579563035964278</v>
      </c>
      <c r="K8" s="248">
        <f t="shared" si="12"/>
        <v>0.43227482847560728</v>
      </c>
      <c r="L8" s="249">
        <f t="shared" si="13"/>
        <v>6.7298591978490085E-2</v>
      </c>
      <c r="M8" s="250"/>
      <c r="N8" s="24">
        <v>0</v>
      </c>
      <c r="O8" s="248">
        <f t="shared" si="35"/>
        <v>-8.8321884200196488E-3</v>
      </c>
      <c r="P8" s="251">
        <f t="shared" si="36"/>
        <v>-8.8321884200196488E-3</v>
      </c>
      <c r="Q8" s="248">
        <f t="shared" si="14"/>
        <v>3.7631993465532254E-3</v>
      </c>
      <c r="R8" s="251">
        <f t="shared" si="37"/>
        <v>3.7631993465532254E-3</v>
      </c>
      <c r="S8" s="250"/>
      <c r="T8" s="24">
        <v>-1</v>
      </c>
      <c r="U8" s="248">
        <f t="shared" si="15"/>
        <v>-0.21781036357464134</v>
      </c>
      <c r="V8" s="252">
        <f t="shared" si="16"/>
        <v>-0.21781036357464134</v>
      </c>
      <c r="W8" s="248">
        <f t="shared" si="38"/>
        <v>-0.20542879335252739</v>
      </c>
      <c r="X8" s="252">
        <f t="shared" si="17"/>
        <v>-0.20542879335252739</v>
      </c>
      <c r="Y8" s="248">
        <f t="shared" si="18"/>
        <v>-6.7807089859851732E-2</v>
      </c>
      <c r="Z8" s="252">
        <f t="shared" si="19"/>
        <v>-6.7807089859851732E-2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4"/>
      <c r="AP8" s="28">
        <f>VLOOKUP($A8,historia!$A$5:$CM$24,+HLOOKUP(AP$2,historia!$A$3:$EC$4,2,FALSE),FALSE)</f>
        <v>1</v>
      </c>
      <c r="AQ8" s="28">
        <f>VLOOKUP($A8,historia!$A$5:$CM$24,+HLOOKUP(AQ$2,historia!$A$3:$EC$4,2,FALSE),FALSE)</f>
        <v>1</v>
      </c>
      <c r="AR8" s="28">
        <f>VLOOKUP($A8,historia!$A$5:$CM$24,+HLOOKUP(AR$2,historia!$A$3:$EC$4,2,FALSE),FALSE)</f>
        <v>2</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3</v>
      </c>
      <c r="AX8" s="58">
        <f>VLOOKUP($A8,historia!$A$5:$CM$24,+HLOOKUP(AX$2,historia!$A$3:$EC$4,2,FALSE),FALSE)</f>
        <v>3</v>
      </c>
      <c r="AY8" s="58">
        <f>VLOOKUP($A8,historia!$A$5:$CM$24,+HLOOKUP(AY$2,historia!$A$3:$EC$4,2,FALSE),FALSE)</f>
        <v>3</v>
      </c>
      <c r="AZ8" s="58">
        <f>VLOOKUP($A8,historia!$A$5:$CM$24,+HLOOKUP(AZ$2,historia!$A$3:$EC$4,2,FALSE),FALSE)</f>
        <v>3</v>
      </c>
      <c r="BA8" s="58">
        <f>VLOOKUP($A8,historia!$A$5:$CM$24,+HLOOKUP(BA$2,historia!$A$3:$EC$4,2,FALSE),FALSE)</f>
        <v>3</v>
      </c>
      <c r="BB8" s="58"/>
      <c r="BC8" s="286">
        <v>3</v>
      </c>
      <c r="BD8" t="str">
        <f t="shared" si="20"/>
        <v>Aves</v>
      </c>
      <c r="BE8">
        <f>+datos!BQ1</f>
        <v>69</v>
      </c>
      <c r="BF8" s="2" t="str">
        <f t="shared" si="4"/>
        <v>prom pond huevo-carne</v>
      </c>
      <c r="BG8" s="2">
        <f t="shared" si="4"/>
        <v>1621.5349999999999</v>
      </c>
      <c r="BH8" s="2">
        <f t="shared" si="4"/>
        <v>1816.28</v>
      </c>
      <c r="BI8" s="2">
        <f t="shared" si="4"/>
        <v>1081.3308490817144</v>
      </c>
      <c r="BK8">
        <f>+datos!DG1</f>
        <v>111</v>
      </c>
      <c r="BL8" s="2">
        <f t="shared" si="21"/>
        <v>9546.2480838406027</v>
      </c>
      <c r="BM8" s="2">
        <f t="shared" si="21"/>
        <v>8670.7207579521564</v>
      </c>
      <c r="BN8" s="2">
        <f t="shared" si="21"/>
        <v>6665.0951996418353</v>
      </c>
      <c r="BP8" s="1">
        <f>+datos!EP1</f>
        <v>146</v>
      </c>
      <c r="BQ8" s="1">
        <f t="shared" si="22"/>
        <v>9090</v>
      </c>
      <c r="BR8" s="1">
        <f t="shared" si="22"/>
        <v>9171</v>
      </c>
      <c r="BT8" s="1">
        <f>+datos!HM1</f>
        <v>221</v>
      </c>
      <c r="BU8" s="1">
        <f t="shared" si="23"/>
        <v>2369450.8462992869</v>
      </c>
      <c r="BV8" s="1">
        <f t="shared" si="23"/>
        <v>2360567.56</v>
      </c>
      <c r="BX8" s="1">
        <f>+datos!KF1</f>
        <v>292</v>
      </c>
      <c r="BY8" s="1">
        <f t="shared" si="39"/>
        <v>268.60962827000003</v>
      </c>
      <c r="BZ8" s="1">
        <f t="shared" si="40"/>
        <v>343.40729634000002</v>
      </c>
      <c r="CB8" s="1">
        <f>+datos!LK1</f>
        <v>323</v>
      </c>
      <c r="CC8" s="2">
        <f t="shared" si="24"/>
        <v>34.96826394</v>
      </c>
      <c r="CD8" s="2">
        <f t="shared" si="25"/>
        <v>44.008974459999997</v>
      </c>
      <c r="CF8" s="1">
        <f>+datos!IL1</f>
        <v>246</v>
      </c>
      <c r="CG8" s="1">
        <f t="shared" si="26"/>
        <v>45.23</v>
      </c>
      <c r="CH8" s="1">
        <f t="shared" si="27"/>
        <v>48.52</v>
      </c>
      <c r="CJ8" s="1">
        <f t="shared" si="28"/>
        <v>5.62476749</v>
      </c>
      <c r="CK8" s="1">
        <f t="shared" si="28"/>
        <v>10.456415849999999</v>
      </c>
      <c r="CL8" s="1">
        <f t="shared" si="28"/>
        <v>8.1147673099999995</v>
      </c>
      <c r="CM8" s="1">
        <f t="shared" si="28"/>
        <v>20.968439010000004</v>
      </c>
      <c r="CN8" s="1">
        <f t="shared" si="28"/>
        <v>22.566015059999998</v>
      </c>
      <c r="CO8" s="1">
        <f t="shared" si="28"/>
        <v>20.944876220000001</v>
      </c>
      <c r="CP8" s="1">
        <f t="shared" si="28"/>
        <v>23.157032140000002</v>
      </c>
      <c r="CQ8" s="1">
        <f t="shared" si="28"/>
        <v>19.314763240000005</v>
      </c>
      <c r="CR8" s="1">
        <f t="shared" si="28"/>
        <v>22.778743510000002</v>
      </c>
      <c r="CS8" s="1">
        <f t="shared" si="28"/>
        <v>39.062197300000001</v>
      </c>
      <c r="CT8" s="1">
        <f t="shared" si="28"/>
        <v>40.013868680000002</v>
      </c>
      <c r="CU8" s="1">
        <f t="shared" si="28"/>
        <v>35.607742460000011</v>
      </c>
      <c r="CV8" s="1">
        <f t="shared" si="28"/>
        <v>32.51792974</v>
      </c>
      <c r="CW8" s="1">
        <f t="shared" si="28"/>
        <v>35.210116300000003</v>
      </c>
      <c r="CX8" s="1">
        <f t="shared" si="28"/>
        <v>30.603465830000005</v>
      </c>
      <c r="CY8" s="1">
        <f t="shared" si="28"/>
        <v>35.017556320000004</v>
      </c>
      <c r="CZ8" s="1">
        <f t="shared" si="29"/>
        <v>24.343011479999998</v>
      </c>
      <c r="DA8" s="1">
        <f t="shared" si="29"/>
        <v>32.053320659999997</v>
      </c>
      <c r="DB8" s="1">
        <f t="shared" si="29"/>
        <v>25.827296739999998</v>
      </c>
      <c r="DC8" s="1">
        <f t="shared" si="29"/>
        <v>20.281404040000002</v>
      </c>
      <c r="DD8" s="1">
        <f t="shared" si="29"/>
        <v>20.776878260000004</v>
      </c>
      <c r="DE8" s="1">
        <f t="shared" si="29"/>
        <v>18.00257775</v>
      </c>
      <c r="DF8" s="1">
        <f t="shared" si="29"/>
        <v>18.061317600000002</v>
      </c>
      <c r="DG8" s="1">
        <f t="shared" si="29"/>
        <v>50.712421620000008</v>
      </c>
      <c r="DI8" s="1">
        <f t="shared" si="30"/>
        <v>2.5037689800000003</v>
      </c>
      <c r="DJ8" s="1">
        <f t="shared" si="30"/>
        <v>2.5011971499999999</v>
      </c>
      <c r="DK8" s="1">
        <f t="shared" si="30"/>
        <v>3.7585351000000005</v>
      </c>
      <c r="DL8" s="1">
        <f t="shared" si="30"/>
        <v>4.0425458900000004</v>
      </c>
      <c r="DM8" s="1">
        <f t="shared" si="30"/>
        <v>3.59052696</v>
      </c>
      <c r="DN8" s="1">
        <f t="shared" si="30"/>
        <v>2.1766254799999998</v>
      </c>
      <c r="DO8" s="1">
        <f t="shared" si="30"/>
        <v>1.5903026900000001</v>
      </c>
      <c r="DP8" s="1">
        <f t="shared" si="30"/>
        <v>5.6916922899999998</v>
      </c>
      <c r="DQ8" s="1">
        <f t="shared" si="30"/>
        <v>1.7294530099999998</v>
      </c>
      <c r="DR8" s="1">
        <f t="shared" si="30"/>
        <v>4.2232492399999995</v>
      </c>
      <c r="DS8" s="1">
        <f t="shared" si="30"/>
        <v>1.27466579</v>
      </c>
      <c r="DT8" s="1">
        <f t="shared" si="30"/>
        <v>1.8857013599999999</v>
      </c>
      <c r="DU8" s="1">
        <f t="shared" si="30"/>
        <v>4.07849503</v>
      </c>
      <c r="DV8" s="1">
        <f t="shared" si="30"/>
        <v>2.60999925</v>
      </c>
      <c r="DW8" s="1">
        <f t="shared" si="30"/>
        <v>4.3280037599999996</v>
      </c>
      <c r="DX8" s="1">
        <f t="shared" si="30"/>
        <v>3.9253711099999995</v>
      </c>
      <c r="DY8" s="1">
        <f t="shared" si="31"/>
        <v>2.66724104</v>
      </c>
      <c r="DZ8" s="1">
        <f t="shared" si="31"/>
        <v>1.3237541899999998</v>
      </c>
      <c r="EA8" s="1">
        <f t="shared" si="31"/>
        <v>4.0034089300000009</v>
      </c>
      <c r="EB8" s="1">
        <f t="shared" si="31"/>
        <v>4.2620939999999994</v>
      </c>
      <c r="EC8" s="1">
        <f t="shared" si="31"/>
        <v>6.8027163900000005</v>
      </c>
      <c r="ED8" s="1">
        <f t="shared" si="31"/>
        <v>1.73014019</v>
      </c>
      <c r="EE8" s="1">
        <f t="shared" si="31"/>
        <v>6.4691643499999998</v>
      </c>
      <c r="EF8" s="1">
        <f t="shared" si="31"/>
        <v>1.80858622</v>
      </c>
      <c r="EH8" s="14">
        <f t="shared" si="32"/>
        <v>45.23</v>
      </c>
      <c r="EI8" s="14">
        <f t="shared" si="32"/>
        <v>45.2</v>
      </c>
      <c r="EJ8" s="1">
        <f t="shared" si="32"/>
        <v>46.01</v>
      </c>
      <c r="EK8" s="1">
        <f t="shared" si="32"/>
        <v>44.44</v>
      </c>
      <c r="EL8" s="1">
        <f t="shared" si="32"/>
        <v>42.29</v>
      </c>
      <c r="EM8" s="1">
        <f t="shared" si="32"/>
        <v>45.39</v>
      </c>
      <c r="EN8" s="1">
        <f t="shared" si="32"/>
        <v>45.32</v>
      </c>
      <c r="EO8" s="1">
        <f t="shared" si="32"/>
        <v>44.85</v>
      </c>
      <c r="EP8" s="1">
        <f t="shared" si="32"/>
        <v>45.52</v>
      </c>
      <c r="EQ8" s="1">
        <f t="shared" si="32"/>
        <v>46.23</v>
      </c>
      <c r="ER8" s="1">
        <f t="shared" si="32"/>
        <v>46.23</v>
      </c>
      <c r="ES8" s="1">
        <f t="shared" si="32"/>
        <v>46.23</v>
      </c>
      <c r="ET8" s="1">
        <f t="shared" si="32"/>
        <v>48.52</v>
      </c>
      <c r="EU8" s="1">
        <f t="shared" si="32"/>
        <v>45.85</v>
      </c>
      <c r="EV8" s="1">
        <f t="shared" si="32"/>
        <v>46.03</v>
      </c>
      <c r="EW8" s="1">
        <f t="shared" si="32"/>
        <v>46.13</v>
      </c>
      <c r="EX8" s="1">
        <f t="shared" si="33"/>
        <v>45.88</v>
      </c>
      <c r="EY8" s="1">
        <f t="shared" si="33"/>
        <v>46.09</v>
      </c>
      <c r="EZ8" s="1">
        <f t="shared" si="33"/>
        <v>45.9</v>
      </c>
      <c r="FA8" s="1">
        <f t="shared" si="33"/>
        <v>46</v>
      </c>
      <c r="FB8" s="1">
        <f t="shared" si="33"/>
        <v>45.99</v>
      </c>
      <c r="FC8" s="1">
        <f t="shared" si="33"/>
        <v>45.74</v>
      </c>
      <c r="FD8" s="1">
        <f t="shared" si="33"/>
        <v>45.46</v>
      </c>
      <c r="FE8" s="1">
        <f t="shared" si="33"/>
        <v>45.56</v>
      </c>
      <c r="FG8" s="162">
        <f t="shared" si="34"/>
        <v>6.7298591978490085E-2</v>
      </c>
    </row>
    <row r="9" spans="1:163" ht="18.75" customHeight="1">
      <c r="A9" s="244" t="s">
        <v>77</v>
      </c>
      <c r="B9" s="247"/>
      <c r="C9" s="228">
        <v>0</v>
      </c>
      <c r="D9" s="229">
        <v>1</v>
      </c>
      <c r="E9" s="253">
        <f t="shared" si="6"/>
        <v>9.0775192619316547E-2</v>
      </c>
      <c r="F9" s="254">
        <f t="shared" si="7"/>
        <v>6.8667056409282612E-2</v>
      </c>
      <c r="G9" s="253">
        <f t="shared" si="8"/>
        <v>3.4623111468238266E-2</v>
      </c>
      <c r="H9" s="254">
        <f t="shared" si="9"/>
        <v>5.6152081151078281E-2</v>
      </c>
      <c r="I9" s="253">
        <f t="shared" si="10"/>
        <v>0.60296875526174309</v>
      </c>
      <c r="J9" s="254">
        <f t="shared" si="11"/>
        <v>-0.24240029555199705</v>
      </c>
      <c r="K9" s="253">
        <f t="shared" si="12"/>
        <v>0.36821748796911269</v>
      </c>
      <c r="L9" s="254">
        <f t="shared" si="13"/>
        <v>0.23475126729263041</v>
      </c>
      <c r="M9" s="255"/>
      <c r="N9" s="256">
        <v>-1</v>
      </c>
      <c r="O9" s="253">
        <f t="shared" si="35"/>
        <v>-2.1957134195409456E-2</v>
      </c>
      <c r="P9" s="257">
        <f t="shared" si="36"/>
        <v>-2.1957134195409456E-2</v>
      </c>
      <c r="Q9" s="253">
        <f t="shared" si="14"/>
        <v>-3.2447485400238674E-2</v>
      </c>
      <c r="R9" s="257">
        <f t="shared" si="37"/>
        <v>-3.2447485400238674E-2</v>
      </c>
      <c r="S9" s="255"/>
      <c r="T9" s="256">
        <v>0</v>
      </c>
      <c r="U9" s="253">
        <f t="shared" si="15"/>
        <v>4.5243611232326453E-2</v>
      </c>
      <c r="V9" s="258">
        <f t="shared" si="16"/>
        <v>4.5243611232326453E-2</v>
      </c>
      <c r="W9" s="253">
        <f t="shared" si="38"/>
        <v>-4.1141342191375663E-2</v>
      </c>
      <c r="X9" s="258">
        <f t="shared" si="17"/>
        <v>-4.1141342191375663E-2</v>
      </c>
      <c r="Y9" s="253">
        <f t="shared" si="18"/>
        <v>-7.4529389166346549E-2</v>
      </c>
      <c r="Z9" s="258">
        <f t="shared" si="19"/>
        <v>-7.4529389166346549E-2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4"/>
      <c r="AP9" s="28">
        <f>VLOOKUP($A9,historia!$A$5:$CM$24,+HLOOKUP(AP$2,historia!$A$3:$EC$4,2,FALSE),FALSE)</f>
        <v>2</v>
      </c>
      <c r="AQ9" s="28">
        <f>VLOOKUP($A9,historia!$A$5:$CM$24,+HLOOKUP(AQ$2,historia!$A$3:$EC$4,2,FALSE),FALSE)</f>
        <v>2</v>
      </c>
      <c r="AR9" s="28">
        <f>VLOOKUP($A9,historia!$A$5:$CM$24,+HLOOKUP(AR$2,historia!$A$3:$EC$4,2,FALSE),FALSE)</f>
        <v>4</v>
      </c>
      <c r="AS9" s="28">
        <f>VLOOKUP($A9,historia!$A$5:$CM$24,+HLOOKUP(AS$2,historia!$A$3:$EC$4,2,FALSE),FALSE)</f>
        <v>4</v>
      </c>
      <c r="AT9" s="58">
        <f>VLOOKUP($A9,historia!$A$5:$CM$24,+HLOOKUP(AT$2,historia!$A$3:$EC$4,2,FALSE),FALSE)</f>
        <v>3</v>
      </c>
      <c r="AU9" s="58">
        <f>VLOOKUP($A9,historia!$A$5:$CM$24,+HLOOKUP(AU$2,historia!$A$3:$EC$4,2,FALSE),FALSE)</f>
        <v>3</v>
      </c>
      <c r="AV9" s="58">
        <f>VLOOKUP($A9,historia!$A$5:$CM$24,+HLOOKUP(AV$2,historia!$A$3:$EC$4,2,FALSE),FALSE)</f>
        <v>3</v>
      </c>
      <c r="AW9" s="58">
        <f>VLOOKUP($A9,historia!$A$5:$CM$24,+HLOOKUP(AW$2,historia!$A$3:$EC$4,2,FALSE),FALSE)</f>
        <v>3</v>
      </c>
      <c r="AX9" s="58">
        <f>VLOOKUP($A9,historia!$A$5:$CM$24,+HLOOKUP(AX$2,historia!$A$3:$EC$4,2,FALSE),FALSE)</f>
        <v>3</v>
      </c>
      <c r="AY9" s="58">
        <f>VLOOKUP($A9,historia!$A$5:$CM$24,+HLOOKUP(AY$2,historia!$A$3:$EC$4,2,FALSE),FALSE)</f>
        <v>3</v>
      </c>
      <c r="AZ9" s="58">
        <f>VLOOKUP($A9,historia!$A$5:$CM$24,+HLOOKUP(AZ$2,historia!$A$3:$EC$4,2,FALSE),FALSE)</f>
        <v>3</v>
      </c>
      <c r="BA9" s="58">
        <f>VLOOKUP($A9,historia!$A$5:$CM$24,+HLOOKUP(BA$2,historia!$A$3:$EC$4,2,FALSE),FALSE)</f>
        <v>3</v>
      </c>
      <c r="BB9" s="58"/>
      <c r="BC9" s="286">
        <v>3</v>
      </c>
      <c r="BD9" t="str">
        <f t="shared" si="20"/>
        <v>Bovinos</v>
      </c>
      <c r="BE9">
        <f>+datos!BM1</f>
        <v>65</v>
      </c>
      <c r="BF9" s="2" t="str">
        <f t="shared" si="4"/>
        <v>$/kg</v>
      </c>
      <c r="BG9" s="2">
        <f t="shared" si="4"/>
        <v>2760.8540000000003</v>
      </c>
      <c r="BH9" s="2">
        <f t="shared" si="4"/>
        <v>2531.0934999999999</v>
      </c>
      <c r="BI9" s="2">
        <f t="shared" si="4"/>
        <v>1722.3380000000002</v>
      </c>
      <c r="BK9">
        <f>+datos!DB1</f>
        <v>106</v>
      </c>
      <c r="BL9" s="2">
        <f t="shared" si="21"/>
        <v>9554.9143787938156</v>
      </c>
      <c r="BM9" s="2">
        <f t="shared" si="21"/>
        <v>9235.164257286302</v>
      </c>
      <c r="BN9" s="2">
        <f t="shared" si="21"/>
        <v>6983.4762841516294</v>
      </c>
      <c r="BP9" s="1">
        <f>+datos!EH1</f>
        <v>138</v>
      </c>
      <c r="BQ9" s="1">
        <f t="shared" si="22"/>
        <v>51624909</v>
      </c>
      <c r="BR9" s="1">
        <f t="shared" si="22"/>
        <v>52783892</v>
      </c>
      <c r="BT9" s="1">
        <f>+datos!HB1</f>
        <v>210</v>
      </c>
      <c r="BU9" s="1">
        <f t="shared" si="23"/>
        <v>3160668</v>
      </c>
      <c r="BV9" s="1">
        <f t="shared" si="23"/>
        <v>3266663</v>
      </c>
      <c r="BX9" s="1">
        <f>+datos!KG1</f>
        <v>293</v>
      </c>
      <c r="BY9" s="1">
        <f t="shared" si="39"/>
        <v>4139.9020298000005</v>
      </c>
      <c r="BZ9" s="1">
        <f t="shared" si="40"/>
        <v>3960.7054138500007</v>
      </c>
      <c r="CB9" s="1">
        <f>+datos!LL1</f>
        <v>324</v>
      </c>
      <c r="CC9" s="2">
        <f t="shared" si="24"/>
        <v>42.491575089999998</v>
      </c>
      <c r="CD9" s="2">
        <f t="shared" si="25"/>
        <v>44.314743100000001</v>
      </c>
      <c r="CF9" s="1">
        <f>+datos!IM1</f>
        <v>247</v>
      </c>
      <c r="CG9" s="1">
        <f t="shared" si="26"/>
        <v>48.18</v>
      </c>
      <c r="CH9" s="1">
        <f t="shared" si="27"/>
        <v>52.06</v>
      </c>
      <c r="CJ9" s="1">
        <f t="shared" si="28"/>
        <v>330.34833823999992</v>
      </c>
      <c r="CK9" s="1">
        <f t="shared" si="28"/>
        <v>372.02787432000008</v>
      </c>
      <c r="CL9" s="1">
        <f t="shared" si="28"/>
        <v>363.37275483999991</v>
      </c>
      <c r="CM9" s="1">
        <f t="shared" si="28"/>
        <v>373.60267999999996</v>
      </c>
      <c r="CN9" s="1">
        <f t="shared" si="28"/>
        <v>392.24577093999977</v>
      </c>
      <c r="CO9" s="1">
        <f t="shared" si="28"/>
        <v>370.00520762000008</v>
      </c>
      <c r="CP9" s="1">
        <f t="shared" si="28"/>
        <v>307.7105307999999</v>
      </c>
      <c r="CQ9" s="1">
        <f t="shared" si="28"/>
        <v>311.98041742999999</v>
      </c>
      <c r="CR9" s="1">
        <f t="shared" si="28"/>
        <v>309.32423856999998</v>
      </c>
      <c r="CS9" s="1">
        <f t="shared" si="28"/>
        <v>316.28118749999999</v>
      </c>
      <c r="CT9" s="1">
        <f t="shared" si="28"/>
        <v>350.14414257999977</v>
      </c>
      <c r="CU9" s="1">
        <f t="shared" si="28"/>
        <v>342.85888695999995</v>
      </c>
      <c r="CV9" s="1">
        <f t="shared" si="28"/>
        <v>324.84866957999998</v>
      </c>
      <c r="CW9" s="1">
        <f t="shared" si="28"/>
        <v>325.97502911999987</v>
      </c>
      <c r="CX9" s="1">
        <f t="shared" si="28"/>
        <v>321.39038838999994</v>
      </c>
      <c r="CY9" s="1">
        <f t="shared" si="28"/>
        <v>273.58963931999995</v>
      </c>
      <c r="CZ9" s="1">
        <f t="shared" si="29"/>
        <v>292.91820976000002</v>
      </c>
      <c r="DA9" s="1">
        <f t="shared" si="29"/>
        <v>371.72573624</v>
      </c>
      <c r="DB9" s="1">
        <f t="shared" si="29"/>
        <v>378.12790802000001</v>
      </c>
      <c r="DC9" s="1">
        <f t="shared" si="29"/>
        <v>308.34921994000001</v>
      </c>
      <c r="DD9" s="1">
        <f t="shared" si="29"/>
        <v>390.63577031</v>
      </c>
      <c r="DE9" s="1">
        <f t="shared" si="29"/>
        <v>337.45013477999998</v>
      </c>
      <c r="DF9" s="1">
        <f t="shared" si="29"/>
        <v>339.25205494000011</v>
      </c>
      <c r="DG9" s="1">
        <f t="shared" si="29"/>
        <v>296.44265344999985</v>
      </c>
      <c r="DI9" s="1">
        <f t="shared" si="30"/>
        <v>5.8644577399999989</v>
      </c>
      <c r="DJ9" s="1">
        <f t="shared" si="30"/>
        <v>6.7460545699999992</v>
      </c>
      <c r="DK9" s="1">
        <f t="shared" si="30"/>
        <v>2.8647302900000002</v>
      </c>
      <c r="DL9" s="1">
        <f t="shared" si="30"/>
        <v>3.9160438699999998</v>
      </c>
      <c r="DM9" s="1">
        <f t="shared" si="30"/>
        <v>2.7432327000000001</v>
      </c>
      <c r="DN9" s="1">
        <f t="shared" si="30"/>
        <v>3.5031505699999994</v>
      </c>
      <c r="DO9" s="1">
        <f t="shared" si="30"/>
        <v>3.9954732900000005</v>
      </c>
      <c r="DP9" s="1">
        <f t="shared" si="30"/>
        <v>2.3751918999999999</v>
      </c>
      <c r="DQ9" s="1">
        <f t="shared" si="30"/>
        <v>3.3189943100000003</v>
      </c>
      <c r="DR9" s="1">
        <f t="shared" si="30"/>
        <v>3.6004889900000006</v>
      </c>
      <c r="DS9" s="1">
        <f t="shared" si="30"/>
        <v>2.2940615100000001</v>
      </c>
      <c r="DT9" s="1">
        <f t="shared" si="30"/>
        <v>1.2696953500000001</v>
      </c>
      <c r="DU9" s="1">
        <f t="shared" si="30"/>
        <v>1.4792882700000001</v>
      </c>
      <c r="DV9" s="1">
        <f t="shared" si="30"/>
        <v>3.3410357400000001</v>
      </c>
      <c r="DW9" s="1">
        <f t="shared" si="30"/>
        <v>3.5927978000000009</v>
      </c>
      <c r="DX9" s="1">
        <f t="shared" si="30"/>
        <v>2.53051044</v>
      </c>
      <c r="DY9" s="1">
        <f t="shared" si="31"/>
        <v>2.3401237999999998</v>
      </c>
      <c r="DZ9" s="1">
        <f t="shared" si="31"/>
        <v>2.4632922899999996</v>
      </c>
      <c r="EA9" s="1">
        <f t="shared" si="31"/>
        <v>3.8179622399999995</v>
      </c>
      <c r="EB9" s="1">
        <f t="shared" si="31"/>
        <v>3.8355995800000002</v>
      </c>
      <c r="EC9" s="1">
        <f t="shared" si="31"/>
        <v>7.3409295600000002</v>
      </c>
      <c r="ED9" s="1">
        <f t="shared" si="31"/>
        <v>3.8261937100000005</v>
      </c>
      <c r="EE9" s="1">
        <f t="shared" si="31"/>
        <v>5.3486285699999998</v>
      </c>
      <c r="EF9" s="1">
        <f t="shared" si="31"/>
        <v>4.398381099999999</v>
      </c>
      <c r="EH9" s="14">
        <f t="shared" si="32"/>
        <v>48.18</v>
      </c>
      <c r="EI9" s="14">
        <f t="shared" si="32"/>
        <v>47.81</v>
      </c>
      <c r="EJ9" s="1">
        <f t="shared" si="32"/>
        <v>46.91</v>
      </c>
      <c r="EK9" s="1">
        <f t="shared" si="32"/>
        <v>47.74</v>
      </c>
      <c r="EL9" s="1">
        <f t="shared" si="32"/>
        <v>47.38</v>
      </c>
      <c r="EM9" s="1">
        <f t="shared" si="32"/>
        <v>47.74</v>
      </c>
      <c r="EN9" s="1">
        <f t="shared" si="32"/>
        <v>47.8</v>
      </c>
      <c r="EO9" s="1">
        <f t="shared" si="32"/>
        <v>47.58</v>
      </c>
      <c r="EP9" s="1">
        <f t="shared" si="32"/>
        <v>49.18</v>
      </c>
      <c r="EQ9" s="1">
        <f t="shared" si="32"/>
        <v>49.37</v>
      </c>
      <c r="ER9" s="1">
        <f t="shared" si="32"/>
        <v>49.38</v>
      </c>
      <c r="ES9" s="1">
        <f t="shared" si="32"/>
        <v>51.48</v>
      </c>
      <c r="ET9" s="1">
        <f t="shared" si="32"/>
        <v>52.06</v>
      </c>
      <c r="EU9" s="1">
        <f t="shared" si="32"/>
        <v>42.59</v>
      </c>
      <c r="EV9" s="1">
        <f t="shared" si="32"/>
        <v>51.3</v>
      </c>
      <c r="EW9" s="1">
        <f t="shared" si="32"/>
        <v>51.15</v>
      </c>
      <c r="EX9" s="1">
        <f t="shared" si="33"/>
        <v>51.01</v>
      </c>
      <c r="EY9" s="1">
        <f t="shared" si="33"/>
        <v>51.15</v>
      </c>
      <c r="EZ9" s="1">
        <f t="shared" si="33"/>
        <v>51.72</v>
      </c>
      <c r="FA9" s="1">
        <f t="shared" si="33"/>
        <v>51.32</v>
      </c>
      <c r="FB9" s="1">
        <f t="shared" si="33"/>
        <v>50.44</v>
      </c>
      <c r="FC9" s="1">
        <f t="shared" si="33"/>
        <v>50.29</v>
      </c>
      <c r="FD9" s="1">
        <f t="shared" si="33"/>
        <v>50.29</v>
      </c>
      <c r="FE9" s="1">
        <f t="shared" si="33"/>
        <v>49.14</v>
      </c>
      <c r="FG9" s="162">
        <f t="shared" si="34"/>
        <v>0.23475126729263041</v>
      </c>
    </row>
    <row r="10" spans="1:163" ht="18.600000000000001" customHeight="1">
      <c r="A10" s="263" t="s">
        <v>221</v>
      </c>
      <c r="B10" s="246"/>
      <c r="C10" s="156">
        <f t="shared" si="5"/>
        <v>0</v>
      </c>
      <c r="D10" s="198">
        <v>-1</v>
      </c>
      <c r="E10" s="248">
        <f t="shared" si="6"/>
        <v>0.29787847465445672</v>
      </c>
      <c r="F10" s="249">
        <f t="shared" si="7"/>
        <v>0.27577033844442278</v>
      </c>
      <c r="G10" s="248">
        <f t="shared" si="8"/>
        <v>5.1043622705623681E-2</v>
      </c>
      <c r="H10" s="249">
        <f t="shared" si="9"/>
        <v>0.24683485194883303</v>
      </c>
      <c r="I10" s="248">
        <f t="shared" si="10"/>
        <v>0.32472317282486696</v>
      </c>
      <c r="J10" s="249">
        <f t="shared" si="11"/>
        <v>-0.52064587798887318</v>
      </c>
      <c r="K10" s="248">
        <f t="shared" si="12"/>
        <v>0.34469433624089807</v>
      </c>
      <c r="L10" s="249">
        <f t="shared" si="13"/>
        <v>-1.9971163416031112E-2</v>
      </c>
      <c r="M10" s="250"/>
      <c r="N10" s="24">
        <v>0</v>
      </c>
      <c r="O10" s="248">
        <f t="shared" si="35"/>
        <v>-4.1994816070182184E-3</v>
      </c>
      <c r="P10" s="251">
        <f t="shared" si="36"/>
        <v>-4.1994816070182184E-3</v>
      </c>
      <c r="Q10" s="248">
        <f t="shared" si="14"/>
        <v>-0.11005651672433681</v>
      </c>
      <c r="R10" s="251">
        <f t="shared" si="37"/>
        <v>-0.11005651672433681</v>
      </c>
      <c r="S10" s="250"/>
      <c r="T10" s="24">
        <v>1</v>
      </c>
      <c r="U10" s="248">
        <f t="shared" si="15"/>
        <v>1.1941674701477898</v>
      </c>
      <c r="V10" s="252">
        <f t="shared" si="16"/>
        <v>1.1941674701477898</v>
      </c>
      <c r="W10" s="248">
        <f t="shared" si="38"/>
        <v>0.11478757675501416</v>
      </c>
      <c r="X10" s="252">
        <f t="shared" si="17"/>
        <v>0.11478757675501416</v>
      </c>
      <c r="Y10" s="248">
        <f t="shared" si="18"/>
        <v>-1.4951121334099926E-2</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4"/>
      <c r="AP10" s="28">
        <f>VLOOKUP($A10,historia!$A$5:$CM$24,+HLOOKUP(AP$2,historia!$A$3:$EC$4,2,FALSE),FALSE)</f>
        <v>3</v>
      </c>
      <c r="AQ10" s="28">
        <f>VLOOKUP($A10,historia!$A$5:$CM$24,+HLOOKUP(AQ$2,historia!$A$3:$EC$4,2,FALSE),FALSE)</f>
        <v>4</v>
      </c>
      <c r="AR10" s="28">
        <f>VLOOKUP($A10,historia!$A$5:$CM$24,+HLOOKUP(AR$2,historia!$A$3:$EC$4,2,FALSE),FALSE)</f>
        <v>4</v>
      </c>
      <c r="AS10" s="28">
        <f>VLOOKUP($A10,historia!$A$5:$CM$24,+HLOOKUP(AS$2,historia!$A$3:$EC$4,2,FALSE),FALSE)</f>
        <v>5</v>
      </c>
      <c r="AT10" s="58">
        <f>VLOOKUP($A10,historia!$A$5:$CM$24,+HLOOKUP(AT$2,historia!$A$3:$EC$4,2,FALSE),FALSE)</f>
        <v>4</v>
      </c>
      <c r="AU10" s="58">
        <f>VLOOKUP($A10,historia!$A$5:$CM$24,+HLOOKUP(AU$2,historia!$A$3:$EC$4,2,FALSE),FALSE)</f>
        <v>4</v>
      </c>
      <c r="AV10" s="58">
        <f>VLOOKUP($A10,historia!$A$5:$CM$24,+HLOOKUP(AV$2,historia!$A$3:$EC$4,2,FALSE),FALSE)</f>
        <v>4</v>
      </c>
      <c r="AW10" s="58">
        <f>VLOOKUP($A10,historia!$A$5:$CM$24,+HLOOKUP(AW$2,historia!$A$3:$EC$4,2,FALSE),FALSE)</f>
        <v>4</v>
      </c>
      <c r="AX10" s="58">
        <f>VLOOKUP($A10,historia!$A$5:$CM$24,+HLOOKUP(AX$2,historia!$A$3:$EC$4,2,FALSE),FALSE)</f>
        <v>4</v>
      </c>
      <c r="AY10" s="58">
        <f>VLOOKUP($A10,historia!$A$5:$CM$24,+HLOOKUP(AY$2,historia!$A$3:$EC$4,2,FALSE),FALSE)</f>
        <v>4</v>
      </c>
      <c r="AZ10" s="58">
        <f>VLOOKUP($A10,historia!$A$5:$CM$24,+HLOOKUP(AZ$2,historia!$A$3:$EC$4,2,FALSE),FALSE)</f>
        <v>4</v>
      </c>
      <c r="BA10" s="58">
        <f>VLOOKUP($A10,historia!$A$5:$CM$24,+HLOOKUP(BA$2,historia!$A$3:$EC$4,2,FALSE),FALSE)</f>
        <v>3</v>
      </c>
      <c r="BB10" s="58"/>
      <c r="BC10" s="286">
        <v>3</v>
      </c>
      <c r="BD10" t="str">
        <f t="shared" si="20"/>
        <v>Cítricos Dulces</v>
      </c>
      <c r="BE10">
        <f>+datos!AU1</f>
        <v>47</v>
      </c>
      <c r="BF10" s="2" t="str">
        <f t="shared" si="4"/>
        <v>$/caja 18kg</v>
      </c>
      <c r="BG10" s="2">
        <f t="shared" si="4"/>
        <v>18416.030303030304</v>
      </c>
      <c r="BH10" s="2">
        <f t="shared" si="4"/>
        <v>14189.333333333334</v>
      </c>
      <c r="BI10" s="2">
        <f t="shared" si="4"/>
        <v>13901.79524357499</v>
      </c>
      <c r="BK10">
        <f>+datos!CX1</f>
        <v>102</v>
      </c>
      <c r="BL10" s="2">
        <f t="shared" si="21"/>
        <v>9189.1997704667647</v>
      </c>
      <c r="BM10" s="2">
        <f t="shared" si="21"/>
        <v>8742.9290011880657</v>
      </c>
      <c r="BN10" s="2">
        <f t="shared" si="21"/>
        <v>6833.6718039247744</v>
      </c>
      <c r="BP10" s="1">
        <f>+datos!ER1</f>
        <v>148</v>
      </c>
      <c r="BQ10" s="1">
        <f t="shared" si="22"/>
        <v>79911</v>
      </c>
      <c r="BR10" s="1">
        <f t="shared" si="22"/>
        <v>80248</v>
      </c>
      <c r="BT10" s="1">
        <f>+datos!GH1</f>
        <v>190</v>
      </c>
      <c r="BU10" s="1">
        <f t="shared" si="23"/>
        <v>1543162</v>
      </c>
      <c r="BV10" s="1">
        <f t="shared" si="23"/>
        <v>1734000</v>
      </c>
      <c r="BX10" s="1">
        <f>+datos!LT1</f>
        <v>332</v>
      </c>
      <c r="BY10" s="1">
        <f t="shared" si="39"/>
        <v>115.89019678</v>
      </c>
      <c r="BZ10" s="1">
        <f t="shared" si="40"/>
        <v>52.817388989999991</v>
      </c>
      <c r="CA10" s="1"/>
      <c r="CB10" s="1">
        <f>+datos!LX1</f>
        <v>336</v>
      </c>
      <c r="CC10" s="2">
        <f t="shared" si="24"/>
        <v>5.9710276599999998</v>
      </c>
      <c r="CD10" s="2">
        <f t="shared" si="25"/>
        <v>5.3562021900000003</v>
      </c>
      <c r="CF10" s="1">
        <f>+datos!IV1</f>
        <v>256</v>
      </c>
      <c r="CG10" s="1">
        <f t="shared" si="26"/>
        <v>17.130000000000003</v>
      </c>
      <c r="CH10" s="1">
        <f t="shared" si="27"/>
        <v>17.39</v>
      </c>
      <c r="CJ10" s="1">
        <f t="shared" si="28"/>
        <v>11.00321864</v>
      </c>
      <c r="CK10" s="1">
        <f t="shared" si="28"/>
        <v>18.05731771</v>
      </c>
      <c r="CL10" s="1">
        <f t="shared" si="28"/>
        <v>12.23030908</v>
      </c>
      <c r="CM10" s="1">
        <f t="shared" si="28"/>
        <v>17.119922650000003</v>
      </c>
      <c r="CN10" s="1">
        <f t="shared" si="28"/>
        <v>15.255558669999997</v>
      </c>
      <c r="CO10" s="1">
        <f t="shared" si="28"/>
        <v>10.271936310000001</v>
      </c>
      <c r="CP10" s="1">
        <f t="shared" si="28"/>
        <v>14.041262509999999</v>
      </c>
      <c r="CQ10" s="1">
        <f t="shared" si="28"/>
        <v>6.1015489199999999</v>
      </c>
      <c r="CR10" s="1">
        <f t="shared" si="28"/>
        <v>2.3063176799999998</v>
      </c>
      <c r="CS10" s="1">
        <f t="shared" si="28"/>
        <v>3.2785219999999997</v>
      </c>
      <c r="CT10" s="1">
        <f t="shared" si="28"/>
        <v>2.8661316999999999</v>
      </c>
      <c r="CU10" s="1">
        <f t="shared" si="28"/>
        <v>3.3581509099999995</v>
      </c>
      <c r="CV10" s="1">
        <f t="shared" si="28"/>
        <v>4.3519123000000004</v>
      </c>
      <c r="CW10" s="1">
        <f t="shared" si="28"/>
        <v>3.6482140500000004</v>
      </c>
      <c r="CX10" s="1">
        <f t="shared" si="28"/>
        <v>7.8852843799999999</v>
      </c>
      <c r="CY10" s="1">
        <f t="shared" si="28"/>
        <v>4.4927710999999997</v>
      </c>
      <c r="CZ10" s="1">
        <f t="shared" si="29"/>
        <v>3.9018705800000002</v>
      </c>
      <c r="DA10" s="1">
        <f t="shared" si="29"/>
        <v>10.723855849999996</v>
      </c>
      <c r="DB10" s="1">
        <f t="shared" si="29"/>
        <v>7.5775361799999992</v>
      </c>
      <c r="DC10" s="1">
        <f t="shared" si="29"/>
        <v>1.25129154</v>
      </c>
      <c r="DD10" s="1">
        <f t="shared" si="29"/>
        <v>0.77785399999999993</v>
      </c>
      <c r="DE10" s="1">
        <f t="shared" si="29"/>
        <v>1.96707276</v>
      </c>
      <c r="DF10" s="1">
        <f t="shared" si="29"/>
        <v>1.7333935799999998</v>
      </c>
      <c r="DG10" s="1">
        <f t="shared" si="29"/>
        <v>4.5063326699999999</v>
      </c>
      <c r="DI10" s="1">
        <f t="shared" si="30"/>
        <v>1.4871383200000001</v>
      </c>
      <c r="DJ10" s="1">
        <f t="shared" si="30"/>
        <v>0.7069763</v>
      </c>
      <c r="DK10" s="1">
        <f t="shared" si="30"/>
        <v>0.35634324000000006</v>
      </c>
      <c r="DL10" s="1">
        <f t="shared" si="30"/>
        <v>0.22489865000000001</v>
      </c>
      <c r="DM10" s="1">
        <f t="shared" si="30"/>
        <v>0.17467300000000002</v>
      </c>
      <c r="DN10" s="1">
        <f t="shared" si="30"/>
        <v>7.2500000000000004E-3</v>
      </c>
      <c r="DO10" s="1">
        <f t="shared" si="30"/>
        <v>0.23680799999999999</v>
      </c>
      <c r="DP10" s="1">
        <f t="shared" si="30"/>
        <v>0</v>
      </c>
      <c r="DQ10" s="1">
        <f t="shared" si="30"/>
        <v>0.3075099</v>
      </c>
      <c r="DR10" s="1">
        <f t="shared" si="30"/>
        <v>0.82950560000000007</v>
      </c>
      <c r="DS10" s="1">
        <f t="shared" si="30"/>
        <v>1.06715808</v>
      </c>
      <c r="DT10" s="1">
        <f t="shared" si="30"/>
        <v>0.57276656999999997</v>
      </c>
      <c r="DU10" s="1">
        <f t="shared" si="30"/>
        <v>0.50591796999999994</v>
      </c>
      <c r="DV10" s="1">
        <f t="shared" si="30"/>
        <v>0.37369366000000004</v>
      </c>
      <c r="DW10" s="1">
        <f t="shared" si="30"/>
        <v>1.8223369999999999E-2</v>
      </c>
      <c r="DX10" s="1">
        <f t="shared" si="30"/>
        <v>0.26981320000000003</v>
      </c>
      <c r="DY10" s="1">
        <f t="shared" si="31"/>
        <v>0.36129600000000001</v>
      </c>
      <c r="DZ10" s="1">
        <f t="shared" si="31"/>
        <v>3.0606999999999997E-4</v>
      </c>
      <c r="EA10" s="1">
        <f t="shared" si="31"/>
        <v>0.33402694999999999</v>
      </c>
      <c r="EB10" s="1">
        <f t="shared" si="31"/>
        <v>0</v>
      </c>
      <c r="EC10" s="1">
        <f t="shared" si="31"/>
        <v>0.31172668999999997</v>
      </c>
      <c r="ED10" s="1">
        <f t="shared" si="31"/>
        <v>1.32104435</v>
      </c>
      <c r="EE10" s="1">
        <f t="shared" si="31"/>
        <v>1.2081202200000001</v>
      </c>
      <c r="EF10" s="1">
        <f t="shared" si="31"/>
        <v>0.6520337100000001</v>
      </c>
      <c r="EH10" s="14">
        <f t="shared" si="32"/>
        <v>17.130000000000003</v>
      </c>
      <c r="EI10" s="14">
        <f t="shared" si="32"/>
        <v>17.39</v>
      </c>
      <c r="EJ10" s="1">
        <f t="shared" si="32"/>
        <v>17.39</v>
      </c>
      <c r="EK10" s="1">
        <f t="shared" si="32"/>
        <v>17.39</v>
      </c>
      <c r="EL10" s="1">
        <f t="shared" si="32"/>
        <v>17.39</v>
      </c>
      <c r="EM10" s="1">
        <f t="shared" si="32"/>
        <v>17.39</v>
      </c>
      <c r="EN10" s="1">
        <f t="shared" si="32"/>
        <v>17.39</v>
      </c>
      <c r="EO10" s="1">
        <f t="shared" si="32"/>
        <v>17.39</v>
      </c>
      <c r="EP10" s="1">
        <f t="shared" si="32"/>
        <v>17.39</v>
      </c>
      <c r="EQ10" s="1">
        <f t="shared" si="32"/>
        <v>17.39</v>
      </c>
      <c r="ER10" s="1">
        <f t="shared" si="32"/>
        <v>17.39</v>
      </c>
      <c r="ES10" s="1">
        <f t="shared" si="32"/>
        <v>17.39</v>
      </c>
      <c r="ET10" s="1">
        <f t="shared" si="32"/>
        <v>17.39</v>
      </c>
      <c r="EU10" s="1">
        <f t="shared" si="32"/>
        <v>19.739999999999998</v>
      </c>
      <c r="EV10" s="1">
        <f t="shared" si="32"/>
        <v>19.739999999999998</v>
      </c>
      <c r="EW10" s="1">
        <f t="shared" si="32"/>
        <v>19.739999999999998</v>
      </c>
      <c r="EX10" s="1">
        <f t="shared" si="33"/>
        <v>19.739999999999998</v>
      </c>
      <c r="EY10" s="1">
        <f t="shared" si="33"/>
        <v>19.739999999999998</v>
      </c>
      <c r="EZ10" s="1">
        <f t="shared" si="33"/>
        <v>19.739999999999998</v>
      </c>
      <c r="FA10" s="1">
        <f t="shared" si="33"/>
        <v>19.739999999999998</v>
      </c>
      <c r="FB10" s="1">
        <f t="shared" si="33"/>
        <v>19.739999999999998</v>
      </c>
      <c r="FC10" s="1">
        <f t="shared" si="33"/>
        <v>19.739999999999998</v>
      </c>
      <c r="FD10" s="1">
        <f t="shared" si="33"/>
        <v>19.739999999999998</v>
      </c>
      <c r="FE10" s="1">
        <f t="shared" si="33"/>
        <v>19.739999999999998</v>
      </c>
      <c r="FG10" s="162">
        <f t="shared" si="34"/>
        <v>-1.9971163416031112E-2</v>
      </c>
    </row>
    <row r="11" spans="1:163" ht="18.75" customHeight="1">
      <c r="A11" s="244" t="s">
        <v>116</v>
      </c>
      <c r="B11" s="247"/>
      <c r="C11" s="228">
        <f t="shared" si="5"/>
        <v>-0.33</v>
      </c>
      <c r="D11" s="229">
        <v>1</v>
      </c>
      <c r="E11" s="253">
        <f t="shared" si="6"/>
        <v>9.302325581395321E-3</v>
      </c>
      <c r="F11" s="254">
        <f t="shared" si="7"/>
        <v>-1.2805810628638614E-2</v>
      </c>
      <c r="G11" s="253">
        <f t="shared" si="8"/>
        <v>3.0210522046183241E-2</v>
      </c>
      <c r="H11" s="254">
        <f t="shared" si="9"/>
        <v>-2.090819646478792E-2</v>
      </c>
      <c r="I11" s="253">
        <f t="shared" si="10"/>
        <v>0.29653362677885542</v>
      </c>
      <c r="J11" s="254">
        <f t="shared" si="11"/>
        <v>-0.54883542403488472</v>
      </c>
      <c r="K11" s="253">
        <f t="shared" si="12"/>
        <v>0.58464164753175463</v>
      </c>
      <c r="L11" s="254">
        <f t="shared" si="13"/>
        <v>-0.28810802075289921</v>
      </c>
      <c r="M11" s="255"/>
      <c r="N11" s="256"/>
      <c r="O11" s="253" t="str">
        <f t="shared" si="35"/>
        <v/>
      </c>
      <c r="P11" s="257" t="str">
        <f t="shared" si="36"/>
        <v/>
      </c>
      <c r="Q11" s="253">
        <f t="shared" si="14"/>
        <v>0</v>
      </c>
      <c r="R11" s="257">
        <f t="shared" si="37"/>
        <v>0</v>
      </c>
      <c r="S11" s="255"/>
      <c r="T11" s="24">
        <v>-2</v>
      </c>
      <c r="U11" s="253">
        <f t="shared" si="15"/>
        <v>-0.24631960844153467</v>
      </c>
      <c r="V11" s="258">
        <f t="shared" si="16"/>
        <v>-0.24631960844153467</v>
      </c>
      <c r="W11" s="253">
        <f t="shared" si="38"/>
        <v>-0.28877560572114225</v>
      </c>
      <c r="X11" s="258">
        <f t="shared" si="17"/>
        <v>-0.28877560572114225</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4"/>
      <c r="AP11" s="28">
        <f>VLOOKUP($A11,historia!$A$5:$CM$24,+HLOOKUP(AP$2,historia!$A$3:$EC$4,2,FALSE),FALSE)</f>
        <v>3</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4</v>
      </c>
      <c r="AY11" s="58">
        <f>VLOOKUP($A11,historia!$A$5:$CM$24,+HLOOKUP(AY$2,historia!$A$3:$EC$4,2,FALSE),FALSE)</f>
        <v>4</v>
      </c>
      <c r="AZ11" s="58">
        <f>VLOOKUP($A11,historia!$A$5:$CM$24,+HLOOKUP(AZ$2,historia!$A$3:$EC$4,2,FALSE),FALSE)</f>
        <v>4</v>
      </c>
      <c r="BA11" s="58">
        <f>VLOOKUP($A11,historia!$A$5:$CM$24,+HLOOKUP(BA$2,historia!$A$3:$EC$4,2,FALSE),FALSE)</f>
        <v>3</v>
      </c>
      <c r="BB11" s="58"/>
      <c r="BC11" s="286">
        <v>3</v>
      </c>
      <c r="BD11" t="str">
        <f t="shared" si="20"/>
        <v>Forestal</v>
      </c>
      <c r="BE11">
        <f>+datos!BG1</f>
        <v>59</v>
      </c>
      <c r="BF11" s="2" t="str">
        <f t="shared" si="4"/>
        <v>$/t</v>
      </c>
      <c r="BG11" s="2">
        <f t="shared" si="4"/>
        <v>27016.5</v>
      </c>
      <c r="BH11" s="2">
        <f t="shared" si="4"/>
        <v>26767.5</v>
      </c>
      <c r="BI11" s="2">
        <f t="shared" si="4"/>
        <v>20837.485000000001</v>
      </c>
      <c r="BK11">
        <f>+datos!CZ1</f>
        <v>104</v>
      </c>
      <c r="BL11" s="2">
        <f t="shared" si="21"/>
        <v>11638.934261436856</v>
      </c>
      <c r="BM11" s="2">
        <f t="shared" si="21"/>
        <v>11297.627050362329</v>
      </c>
      <c r="BN11" s="2">
        <f t="shared" si="21"/>
        <v>7344.836783487116</v>
      </c>
      <c r="BP11" s="1">
        <f>+datos!ES1</f>
        <v>149</v>
      </c>
      <c r="BQ11" s="1">
        <f t="shared" si="22"/>
        <v>0</v>
      </c>
      <c r="BR11" s="1">
        <f t="shared" si="22"/>
        <v>0</v>
      </c>
      <c r="BT11" s="1">
        <f>+datos!GI1</f>
        <v>191</v>
      </c>
      <c r="BU11" s="1">
        <f t="shared" si="23"/>
        <v>1302556</v>
      </c>
      <c r="BV11" s="1">
        <f t="shared" si="23"/>
        <v>1302556</v>
      </c>
      <c r="BX11" s="1">
        <f>+datos!KB1</f>
        <v>288</v>
      </c>
      <c r="BY11" s="1">
        <f t="shared" si="39"/>
        <v>221.42956302000002</v>
      </c>
      <c r="BZ11" s="1">
        <f t="shared" si="40"/>
        <v>293.79769661</v>
      </c>
      <c r="CB11" s="1">
        <f>+datos!LG1</f>
        <v>319</v>
      </c>
      <c r="CC11" s="2">
        <f t="shared" si="24"/>
        <v>175.21350769000003</v>
      </c>
      <c r="CD11" s="2">
        <f t="shared" si="25"/>
        <v>246.35474977999996</v>
      </c>
      <c r="CF11" s="1">
        <f>+datos!IW1</f>
        <v>257</v>
      </c>
      <c r="CG11" s="1">
        <f t="shared" si="26"/>
        <v>0</v>
      </c>
      <c r="CH11" s="1">
        <f t="shared" si="27"/>
        <v>0</v>
      </c>
      <c r="CJ11" s="1">
        <f t="shared" si="28"/>
        <v>10.200287200000002</v>
      </c>
      <c r="CK11" s="1">
        <f t="shared" si="28"/>
        <v>11.119065489999999</v>
      </c>
      <c r="CL11" s="1">
        <f t="shared" si="28"/>
        <v>13.50721221</v>
      </c>
      <c r="CM11" s="1">
        <f t="shared" si="28"/>
        <v>17.7783984</v>
      </c>
      <c r="CN11" s="1">
        <f t="shared" si="28"/>
        <v>18.158715399999995</v>
      </c>
      <c r="CO11" s="1">
        <f t="shared" si="28"/>
        <v>13.62277192</v>
      </c>
      <c r="CP11" s="1">
        <f t="shared" si="28"/>
        <v>18.147427050000005</v>
      </c>
      <c r="CQ11" s="1">
        <f t="shared" si="28"/>
        <v>16.38459563</v>
      </c>
      <c r="CR11" s="1">
        <f t="shared" si="28"/>
        <v>19.29025034</v>
      </c>
      <c r="CS11" s="1">
        <f t="shared" si="28"/>
        <v>32.635385889999995</v>
      </c>
      <c r="CT11" s="1">
        <f t="shared" si="28"/>
        <v>26.653198490000001</v>
      </c>
      <c r="CU11" s="1">
        <f t="shared" si="28"/>
        <v>23.932255000000001</v>
      </c>
      <c r="CV11" s="1">
        <f t="shared" si="28"/>
        <v>23.104867779999999</v>
      </c>
      <c r="CW11" s="1">
        <f t="shared" si="28"/>
        <v>24.797754910000005</v>
      </c>
      <c r="CX11" s="1">
        <f t="shared" si="28"/>
        <v>26.00374025</v>
      </c>
      <c r="CY11" s="1">
        <f t="shared" si="28"/>
        <v>24.373047020000001</v>
      </c>
      <c r="CZ11" s="1">
        <f t="shared" si="29"/>
        <v>25.649224320000002</v>
      </c>
      <c r="DA11" s="1">
        <f t="shared" si="29"/>
        <v>23.667757810000001</v>
      </c>
      <c r="DB11" s="1">
        <f t="shared" si="29"/>
        <v>25.088845019999997</v>
      </c>
      <c r="DC11" s="1">
        <f t="shared" si="29"/>
        <v>26.5668471</v>
      </c>
      <c r="DD11" s="1">
        <f t="shared" si="29"/>
        <v>23.814064600000002</v>
      </c>
      <c r="DE11" s="1">
        <f t="shared" si="29"/>
        <v>20.56411928</v>
      </c>
      <c r="DF11" s="1">
        <f t="shared" si="29"/>
        <v>19.140443850000004</v>
      </c>
      <c r="DG11" s="1">
        <f t="shared" si="29"/>
        <v>31.026984670000001</v>
      </c>
      <c r="DI11" s="1">
        <f t="shared" si="30"/>
        <v>14.09144206</v>
      </c>
      <c r="DJ11" s="1">
        <f t="shared" si="30"/>
        <v>14.036730870000001</v>
      </c>
      <c r="DK11" s="1">
        <f t="shared" si="30"/>
        <v>13.365554540000002</v>
      </c>
      <c r="DL11" s="1">
        <f t="shared" si="30"/>
        <v>15.589800310000003</v>
      </c>
      <c r="DM11" s="1">
        <f t="shared" si="30"/>
        <v>16.942532470000003</v>
      </c>
      <c r="DN11" s="1">
        <f t="shared" si="30"/>
        <v>10.998476289999999</v>
      </c>
      <c r="DO11" s="1">
        <f t="shared" si="30"/>
        <v>11.46589975</v>
      </c>
      <c r="DP11" s="1">
        <f t="shared" si="30"/>
        <v>13.53170609</v>
      </c>
      <c r="DQ11" s="1">
        <f t="shared" si="30"/>
        <v>19.941855059999995</v>
      </c>
      <c r="DR11" s="1">
        <f t="shared" si="30"/>
        <v>17.561880160000001</v>
      </c>
      <c r="DS11" s="1">
        <f t="shared" si="30"/>
        <v>14.580088280000002</v>
      </c>
      <c r="DT11" s="1">
        <f t="shared" si="30"/>
        <v>13.107541810000001</v>
      </c>
      <c r="DU11" s="1">
        <f t="shared" si="30"/>
        <v>9.0834929199999994</v>
      </c>
      <c r="DV11" s="1">
        <f t="shared" si="30"/>
        <v>9.5859924200000002</v>
      </c>
      <c r="DW11" s="1">
        <f t="shared" si="30"/>
        <v>12.114691449999999</v>
      </c>
      <c r="DX11" s="1">
        <f t="shared" si="30"/>
        <v>21.937746180000001</v>
      </c>
      <c r="DY11" s="1">
        <f t="shared" si="31"/>
        <v>16.68359323</v>
      </c>
      <c r="DZ11" s="1">
        <f t="shared" si="31"/>
        <v>23.390239519999994</v>
      </c>
      <c r="EA11" s="1">
        <f t="shared" si="31"/>
        <v>24.97777258</v>
      </c>
      <c r="EB11" s="1">
        <f t="shared" si="31"/>
        <v>25.979397770000002</v>
      </c>
      <c r="EC11" s="1">
        <f t="shared" si="31"/>
        <v>26.663923630000003</v>
      </c>
      <c r="ED11" s="1">
        <f t="shared" si="31"/>
        <v>25.77809422</v>
      </c>
      <c r="EE11" s="1">
        <f t="shared" si="31"/>
        <v>30.845388820000004</v>
      </c>
      <c r="EF11" s="1">
        <f t="shared" si="31"/>
        <v>19.314417040000002</v>
      </c>
      <c r="EH11" s="14">
        <f t="shared" si="32"/>
        <v>0</v>
      </c>
      <c r="EI11" s="14">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2"/>
        <v>0</v>
      </c>
      <c r="EX11" s="1">
        <f t="shared" si="33"/>
        <v>0</v>
      </c>
      <c r="EY11" s="1">
        <f t="shared" si="33"/>
        <v>0</v>
      </c>
      <c r="EZ11" s="1">
        <f t="shared" si="33"/>
        <v>0</v>
      </c>
      <c r="FA11" s="1">
        <f t="shared" si="33"/>
        <v>0</v>
      </c>
      <c r="FB11" s="1">
        <f t="shared" si="33"/>
        <v>0</v>
      </c>
      <c r="FC11" s="1">
        <f t="shared" si="33"/>
        <v>0</v>
      </c>
      <c r="FD11" s="1">
        <f t="shared" si="33"/>
        <v>0</v>
      </c>
      <c r="FE11" s="1">
        <f t="shared" si="33"/>
        <v>0</v>
      </c>
      <c r="FG11" s="162">
        <f t="shared" si="34"/>
        <v>-0.28810802075289921</v>
      </c>
    </row>
    <row r="12" spans="1:163" ht="18.75" customHeight="1">
      <c r="A12" s="243" t="s">
        <v>216</v>
      </c>
      <c r="B12" s="246"/>
      <c r="C12" s="156">
        <f t="shared" si="5"/>
        <v>-0.33</v>
      </c>
      <c r="D12" s="198">
        <v>-1</v>
      </c>
      <c r="E12" s="248">
        <f t="shared" si="6"/>
        <v>1.364840494797348E-2</v>
      </c>
      <c r="F12" s="249">
        <f t="shared" si="7"/>
        <v>-8.4597312620604548E-3</v>
      </c>
      <c r="G12" s="248">
        <f t="shared" si="8"/>
        <v>2.3091582013766709E-2</v>
      </c>
      <c r="H12" s="249">
        <f t="shared" si="9"/>
        <v>-9.443177065793229E-3</v>
      </c>
      <c r="I12" s="248">
        <f t="shared" si="10"/>
        <v>0.24692070407127753</v>
      </c>
      <c r="J12" s="249">
        <f t="shared" si="11"/>
        <v>-0.59844834674246261</v>
      </c>
      <c r="K12" s="248">
        <f t="shared" si="12"/>
        <v>0.23163699719024722</v>
      </c>
      <c r="L12" s="249">
        <f t="shared" si="13"/>
        <v>1.5283706881030312E-2</v>
      </c>
      <c r="M12" s="250"/>
      <c r="N12" s="24">
        <v>1</v>
      </c>
      <c r="O12" s="248">
        <f t="shared" si="35"/>
        <v>5.0210921021795141E-2</v>
      </c>
      <c r="P12" s="251">
        <f t="shared" si="36"/>
        <v>5.0210921021795141E-2</v>
      </c>
      <c r="Q12" s="248">
        <f t="shared" si="14"/>
        <v>0.14357239140601363</v>
      </c>
      <c r="R12" s="251">
        <f t="shared" si="37"/>
        <v>0.14357239140601363</v>
      </c>
      <c r="S12" s="250"/>
      <c r="T12" s="24">
        <v>-1</v>
      </c>
      <c r="U12" s="248">
        <f t="shared" si="15"/>
        <v>0.18132980560565448</v>
      </c>
      <c r="V12" s="252">
        <f t="shared" si="16"/>
        <v>0.18132980560565448</v>
      </c>
      <c r="W12" s="248">
        <f t="shared" si="38"/>
        <v>-0.44096206491067069</v>
      </c>
      <c r="X12" s="252">
        <f t="shared" si="17"/>
        <v>-0.44096206491067069</v>
      </c>
      <c r="Y12" s="248">
        <f t="shared" si="18"/>
        <v>0.13451327433628313</v>
      </c>
      <c r="Z12" s="252">
        <f t="shared" si="19"/>
        <v>0.13451327433628313</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4"/>
      <c r="AP12" s="28">
        <f>VLOOKUP($A12,historia!$A$5:$CM$24,+HLOOKUP(AP$2,historia!$A$3:$EC$4,2,FALSE),FALSE)</f>
        <v>5</v>
      </c>
      <c r="AQ12" s="28">
        <f>VLOOKUP($A12,historia!$A$5:$CM$24,+HLOOKUP(AQ$2,historia!$A$3:$EC$4,2,FALSE),FALSE)</f>
        <v>5</v>
      </c>
      <c r="AR12" s="28">
        <f>VLOOKUP($A12,historia!$A$5:$CM$24,+HLOOKUP(AR$2,historia!$A$3:$EC$4,2,FALSE),FALSE)</f>
        <v>5</v>
      </c>
      <c r="AS12" s="28">
        <f>VLOOKUP($A12,historia!$A$5:$CM$24,+HLOOKUP(AS$2,historia!$A$3:$EC$4,2,FALSE),FALSE)</f>
        <v>4</v>
      </c>
      <c r="AT12" s="58">
        <f>VLOOKUP($A12,historia!$A$5:$CM$24,+HLOOKUP(AT$2,historia!$A$3:$EC$4,2,FALSE),FALSE)</f>
        <v>4</v>
      </c>
      <c r="AU12" s="58">
        <f>VLOOKUP($A12,historia!$A$5:$CM$24,+HLOOKUP(AU$2,historia!$A$3:$EC$4,2,FALSE),FALSE)</f>
        <v>4</v>
      </c>
      <c r="AV12" s="58">
        <f>VLOOKUP($A12,historia!$A$5:$CM$24,+HLOOKUP(AV$2,historia!$A$3:$EC$4,2,FALSE),FALSE)</f>
        <v>4</v>
      </c>
      <c r="AW12" s="58">
        <f>VLOOKUP($A12,historia!$A$5:$CM$24,+HLOOKUP(AW$2,historia!$A$3:$EC$4,2,FALSE),FALSE)</f>
        <v>4</v>
      </c>
      <c r="AX12" s="58">
        <f>VLOOKUP($A12,historia!$A$5:$CM$24,+HLOOKUP(AX$2,historia!$A$3:$EC$4,2,FALSE),FALSE)</f>
        <v>4</v>
      </c>
      <c r="AY12" s="58">
        <f>VLOOKUP($A12,historia!$A$5:$CM$24,+HLOOKUP(AY$2,historia!$A$3:$EC$4,2,FALSE),FALSE)</f>
        <v>4</v>
      </c>
      <c r="AZ12" s="58">
        <f>VLOOKUP($A12,historia!$A$5:$CM$24,+HLOOKUP(AZ$2,historia!$A$3:$EC$4,2,FALSE),FALSE)</f>
        <v>4</v>
      </c>
      <c r="BA12" s="58">
        <f>VLOOKUP($A12,historia!$A$5:$CM$24,+HLOOKUP(BA$2,historia!$A$3:$EC$4,2,FALSE),FALSE)</f>
        <v>3</v>
      </c>
      <c r="BB12" s="58"/>
      <c r="BC12" s="286">
        <v>3</v>
      </c>
      <c r="BD12" t="str">
        <f t="shared" si="20"/>
        <v>Granos</v>
      </c>
      <c r="BE12">
        <f>+datos!AE1</f>
        <v>31</v>
      </c>
      <c r="BF12" s="2" t="str">
        <f t="shared" si="4"/>
        <v>$/t</v>
      </c>
      <c r="BG12" s="2">
        <f t="shared" si="4"/>
        <v>242414.08833333332</v>
      </c>
      <c r="BH12" s="2">
        <f t="shared" si="4"/>
        <v>239150.0713166667</v>
      </c>
      <c r="BI12" s="2">
        <f t="shared" si="4"/>
        <v>194410.18786666665</v>
      </c>
      <c r="BK12">
        <f>+datos!CG1</f>
        <v>85</v>
      </c>
      <c r="BL12" s="2">
        <f t="shared" si="21"/>
        <v>9258.6844260020735</v>
      </c>
      <c r="BM12" s="2">
        <f t="shared" si="21"/>
        <v>9049.7122533039164</v>
      </c>
      <c r="BN12" s="2">
        <f t="shared" si="21"/>
        <v>7517.3808899245923</v>
      </c>
      <c r="BP12" s="1">
        <f>+datos!EA1</f>
        <v>131</v>
      </c>
      <c r="BQ12" s="1">
        <f t="shared" si="22"/>
        <v>35850000</v>
      </c>
      <c r="BR12" s="1">
        <f t="shared" si="22"/>
        <v>34136000</v>
      </c>
      <c r="BT12" s="1">
        <f>+datos!FV1</f>
        <v>178</v>
      </c>
      <c r="BU12" s="1">
        <f t="shared" si="23"/>
        <v>124710000</v>
      </c>
      <c r="BV12" s="1">
        <f t="shared" si="23"/>
        <v>109053000</v>
      </c>
      <c r="BX12" s="1">
        <f>+datos!LQ1</f>
        <v>329</v>
      </c>
      <c r="BY12" s="1">
        <f>+SUM(CJ12:CU12)</f>
        <v>44177.08513490999</v>
      </c>
      <c r="BZ12" s="1">
        <f t="shared" si="40"/>
        <v>37396.064101049997</v>
      </c>
      <c r="CB12" s="1">
        <f>+datos!LU1</f>
        <v>333</v>
      </c>
      <c r="CC12" s="2">
        <f t="shared" si="24"/>
        <v>3056.7850409399998</v>
      </c>
      <c r="CD12" s="2">
        <f t="shared" si="25"/>
        <v>5467.9384869500009</v>
      </c>
      <c r="CF12" s="1">
        <f>+datos!II1</f>
        <v>243</v>
      </c>
      <c r="CG12" s="1">
        <f t="shared" si="26"/>
        <v>83330000</v>
      </c>
      <c r="CH12" s="1">
        <f t="shared" si="27"/>
        <v>73450000</v>
      </c>
      <c r="CJ12" s="1">
        <f>+VLOOKUP(CJ$1,ran_dat,$BX12,FALSE)</f>
        <v>3231.2263099199999</v>
      </c>
      <c r="CK12" s="1">
        <f t="shared" si="28"/>
        <v>3313.8442822299994</v>
      </c>
      <c r="CL12" s="1">
        <f t="shared" si="28"/>
        <v>3339.9998161899998</v>
      </c>
      <c r="CM12" s="1">
        <f t="shared" si="28"/>
        <v>3485.71732419</v>
      </c>
      <c r="CN12" s="1">
        <f t="shared" si="28"/>
        <v>3410.80431886</v>
      </c>
      <c r="CO12" s="1">
        <f t="shared" si="28"/>
        <v>3348.6268518899992</v>
      </c>
      <c r="CP12" s="1">
        <f t="shared" si="28"/>
        <v>4200.6671527199996</v>
      </c>
      <c r="CQ12" s="1">
        <f t="shared" si="28"/>
        <v>4256.6159984299993</v>
      </c>
      <c r="CR12" s="1">
        <f t="shared" si="28"/>
        <v>4805.0657855600002</v>
      </c>
      <c r="CS12" s="1">
        <f t="shared" si="28"/>
        <v>3818.0878160900002</v>
      </c>
      <c r="CT12" s="1">
        <f t="shared" si="28"/>
        <v>3876.9439553199995</v>
      </c>
      <c r="CU12" s="1">
        <f t="shared" si="28"/>
        <v>3089.4855235099994</v>
      </c>
      <c r="CV12" s="1">
        <f t="shared" si="28"/>
        <v>3929.1762735700004</v>
      </c>
      <c r="CW12" s="1">
        <f t="shared" si="28"/>
        <v>2955.6698254600001</v>
      </c>
      <c r="CX12" s="1">
        <f t="shared" si="28"/>
        <v>2441.9361675499999</v>
      </c>
      <c r="CY12" s="1">
        <f t="shared" si="28"/>
        <v>2439.6070879799995</v>
      </c>
      <c r="CZ12" s="1">
        <f t="shared" si="29"/>
        <v>2937.94498135</v>
      </c>
      <c r="DA12" s="1">
        <f t="shared" si="29"/>
        <v>3422.8062754199996</v>
      </c>
      <c r="DB12" s="1">
        <f t="shared" si="29"/>
        <v>3305.4373540500001</v>
      </c>
      <c r="DC12" s="1">
        <f t="shared" si="29"/>
        <v>3388.1727426199996</v>
      </c>
      <c r="DD12" s="1">
        <f t="shared" si="29"/>
        <v>3792.8302867999996</v>
      </c>
      <c r="DE12" s="1">
        <f t="shared" si="29"/>
        <v>3116.9694759099998</v>
      </c>
      <c r="DF12" s="1">
        <f t="shared" si="29"/>
        <v>2868.8536445099994</v>
      </c>
      <c r="DG12" s="1">
        <f t="shared" si="29"/>
        <v>2796.6599858300006</v>
      </c>
      <c r="DI12" s="1">
        <f t="shared" si="30"/>
        <v>31.883400920000003</v>
      </c>
      <c r="DJ12" s="1">
        <f t="shared" si="30"/>
        <v>52.19269714</v>
      </c>
      <c r="DK12" s="1">
        <f t="shared" si="30"/>
        <v>201.41567115000001</v>
      </c>
      <c r="DL12" s="1">
        <f t="shared" si="30"/>
        <v>299.18688666000003</v>
      </c>
      <c r="DM12" s="1">
        <f t="shared" si="30"/>
        <v>265.28366987999999</v>
      </c>
      <c r="DN12" s="1">
        <f t="shared" si="30"/>
        <v>214.60650260000006</v>
      </c>
      <c r="DO12" s="1">
        <f t="shared" si="30"/>
        <v>390.93673457</v>
      </c>
      <c r="DP12" s="1">
        <f t="shared" si="30"/>
        <v>293.37536226000003</v>
      </c>
      <c r="DQ12" s="1">
        <f t="shared" si="30"/>
        <v>336.54852982999995</v>
      </c>
      <c r="DR12" s="1">
        <f t="shared" si="30"/>
        <v>300.95428591999996</v>
      </c>
      <c r="DS12" s="1">
        <f t="shared" si="30"/>
        <v>389.85732896999997</v>
      </c>
      <c r="DT12" s="1">
        <f t="shared" si="30"/>
        <v>280.54397103999997</v>
      </c>
      <c r="DU12" s="1">
        <f t="shared" si="30"/>
        <v>63.525792080000002</v>
      </c>
      <c r="DV12" s="1">
        <f t="shared" si="30"/>
        <v>301.92103216000004</v>
      </c>
      <c r="DW12" s="1">
        <f t="shared" si="30"/>
        <v>260.76831764999997</v>
      </c>
      <c r="DX12" s="1">
        <f t="shared" si="30"/>
        <v>244.67742642000002</v>
      </c>
      <c r="DY12" s="1">
        <f t="shared" si="31"/>
        <v>322.58249758000005</v>
      </c>
      <c r="DZ12" s="1">
        <f t="shared" si="31"/>
        <v>495.08938117000014</v>
      </c>
      <c r="EA12" s="1">
        <f t="shared" si="31"/>
        <v>539.06610803000001</v>
      </c>
      <c r="EB12" s="1">
        <f t="shared" si="31"/>
        <v>828.84254484999997</v>
      </c>
      <c r="EC12" s="1">
        <f t="shared" si="31"/>
        <v>679.74768902999983</v>
      </c>
      <c r="ED12" s="1">
        <f t="shared" si="31"/>
        <v>678.42759025000009</v>
      </c>
      <c r="EE12" s="1">
        <f t="shared" si="31"/>
        <v>816.99926951999987</v>
      </c>
      <c r="EF12" s="1">
        <f t="shared" si="31"/>
        <v>236.29083821</v>
      </c>
      <c r="EH12" s="14">
        <f t="shared" si="32"/>
        <v>83330000</v>
      </c>
      <c r="EI12" s="14">
        <f t="shared" si="32"/>
        <v>81580000</v>
      </c>
      <c r="EJ12" s="1">
        <f t="shared" si="32"/>
        <v>81600000</v>
      </c>
      <c r="EK12" s="1">
        <f t="shared" si="32"/>
        <v>81600000</v>
      </c>
      <c r="EL12" s="1">
        <f t="shared" si="32"/>
        <v>81600000</v>
      </c>
      <c r="EM12" s="1">
        <f t="shared" si="32"/>
        <v>81600000</v>
      </c>
      <c r="EN12" s="1">
        <f t="shared" si="32"/>
        <v>81600000</v>
      </c>
      <c r="EO12" s="1">
        <f t="shared" si="32"/>
        <v>81600000</v>
      </c>
      <c r="EP12" s="1">
        <f t="shared" si="32"/>
        <v>81600000</v>
      </c>
      <c r="EQ12" s="1">
        <f t="shared" si="32"/>
        <v>81600000</v>
      </c>
      <c r="ER12" s="1">
        <f t="shared" si="32"/>
        <v>73750000</v>
      </c>
      <c r="ES12" s="1">
        <f t="shared" si="32"/>
        <v>73750000</v>
      </c>
      <c r="ET12" s="1">
        <f t="shared" si="32"/>
        <v>73450000</v>
      </c>
      <c r="EU12" s="1">
        <f t="shared" si="32"/>
        <v>73450000</v>
      </c>
      <c r="EV12" s="1">
        <f t="shared" si="32"/>
        <v>73450000</v>
      </c>
      <c r="EW12" s="1">
        <f t="shared" si="32"/>
        <v>73450000</v>
      </c>
      <c r="EX12" s="1">
        <f t="shared" si="33"/>
        <v>73450000</v>
      </c>
      <c r="EY12" s="1">
        <f t="shared" si="33"/>
        <v>73450000</v>
      </c>
      <c r="EZ12" s="1">
        <f t="shared" si="33"/>
        <v>73450000</v>
      </c>
      <c r="FA12" s="1">
        <f t="shared" si="33"/>
        <v>73450000</v>
      </c>
      <c r="FB12" s="1">
        <f t="shared" si="33"/>
        <v>73450000</v>
      </c>
      <c r="FC12" s="1">
        <f t="shared" si="33"/>
        <v>73450000</v>
      </c>
      <c r="FD12" s="1">
        <f t="shared" si="33"/>
        <v>74890000</v>
      </c>
      <c r="FE12" s="1">
        <f t="shared" si="33"/>
        <v>75510000</v>
      </c>
      <c r="FG12" s="162">
        <f t="shared" si="34"/>
        <v>1.5283706881030312E-2</v>
      </c>
    </row>
    <row r="13" spans="1:163" ht="18.75" customHeight="1">
      <c r="A13" s="244" t="s">
        <v>217</v>
      </c>
      <c r="B13" s="247"/>
      <c r="C13" s="228">
        <f t="shared" si="5"/>
        <v>0</v>
      </c>
      <c r="D13" s="229">
        <v>0</v>
      </c>
      <c r="E13" s="253">
        <f t="shared" si="6"/>
        <v>-3.6897955624827561E-2</v>
      </c>
      <c r="F13" s="254">
        <f t="shared" si="7"/>
        <v>-5.9006091834861496E-2</v>
      </c>
      <c r="G13" s="253">
        <f t="shared" si="8"/>
        <v>1.0536937706306482E-2</v>
      </c>
      <c r="H13" s="254">
        <f t="shared" si="9"/>
        <v>-4.7434893331134043E-2</v>
      </c>
      <c r="I13" s="253">
        <f t="shared" si="10"/>
        <v>0.82212715740639619</v>
      </c>
      <c r="J13" s="254">
        <f t="shared" si="11"/>
        <v>-2.324189340734395E-2</v>
      </c>
      <c r="K13" s="253">
        <f t="shared" si="12"/>
        <v>0.4828676327628294</v>
      </c>
      <c r="L13" s="254">
        <f t="shared" si="13"/>
        <v>0.33925952464356679</v>
      </c>
      <c r="M13" s="255"/>
      <c r="N13" s="256">
        <v>0</v>
      </c>
      <c r="O13" s="253">
        <f t="shared" si="35"/>
        <v>0</v>
      </c>
      <c r="P13" s="257">
        <f t="shared" si="36"/>
        <v>0</v>
      </c>
      <c r="Q13" s="253">
        <f t="shared" si="14"/>
        <v>0</v>
      </c>
      <c r="R13" s="257">
        <f t="shared" si="37"/>
        <v>0</v>
      </c>
      <c r="S13" s="255"/>
      <c r="T13" s="256">
        <v>0</v>
      </c>
      <c r="U13" s="253">
        <f t="shared" si="15"/>
        <v>5.9687660795375574E-3</v>
      </c>
      <c r="V13" s="258">
        <f t="shared" si="16"/>
        <v>5.9687660795375574E-3</v>
      </c>
      <c r="W13" s="253">
        <f t="shared" si="38"/>
        <v>1.2158638781073914</v>
      </c>
      <c r="X13" s="258">
        <f t="shared" si="17"/>
        <v>1.2158638781073914</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4"/>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2</v>
      </c>
      <c r="AT13" s="58">
        <f>VLOOKUP($A13,historia!$A$5:$CM$24,+HLOOKUP(AT$2,historia!$A$3:$EC$4,2,FALSE),FALSE)</f>
        <v>2</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3</v>
      </c>
      <c r="BA13" s="58">
        <f>VLOOKUP($A13,historia!$A$5:$CM$24,+HLOOKUP(BA$2,historia!$A$3:$EC$4,2,FALSE),FALSE)</f>
        <v>3</v>
      </c>
      <c r="BB13" s="58"/>
      <c r="BC13" s="286">
        <v>3</v>
      </c>
      <c r="BD13" t="str">
        <f t="shared" si="20"/>
        <v>Hortalizas</v>
      </c>
      <c r="BE13">
        <f>+datos!BB1</f>
        <v>54</v>
      </c>
      <c r="BF13" s="2" t="str">
        <f t="shared" si="4"/>
        <v>$/kg</v>
      </c>
      <c r="BG13" s="2">
        <f t="shared" si="4"/>
        <v>10262.76755319149</v>
      </c>
      <c r="BH13" s="2">
        <f t="shared" si="4"/>
        <v>10655.950335823056</v>
      </c>
      <c r="BI13" s="2">
        <f t="shared" si="4"/>
        <v>5632.3004195818285</v>
      </c>
      <c r="BK13">
        <f>+datos!CO1</f>
        <v>93</v>
      </c>
      <c r="BL13" s="2">
        <f t="shared" si="21"/>
        <v>9577.7870816192735</v>
      </c>
      <c r="BM13" s="2">
        <f t="shared" si="21"/>
        <v>9477.9188412040785</v>
      </c>
      <c r="BN13" s="2">
        <f t="shared" si="21"/>
        <v>6458.9629377601696</v>
      </c>
      <c r="BP13" s="1">
        <f>+datos!EX1</f>
        <v>154</v>
      </c>
      <c r="BQ13" s="1">
        <f t="shared" si="22"/>
        <v>64395</v>
      </c>
      <c r="BR13" s="1">
        <f t="shared" si="22"/>
        <v>64395</v>
      </c>
      <c r="BT13" s="1">
        <f>+datos!GN1</f>
        <v>196</v>
      </c>
      <c r="BU13" s="1">
        <f t="shared" si="23"/>
        <v>2639386</v>
      </c>
      <c r="BV13" s="1">
        <f t="shared" si="23"/>
        <v>2639386</v>
      </c>
      <c r="BX13" s="1">
        <f>+datos!LR1</f>
        <v>330</v>
      </c>
      <c r="BY13" s="1">
        <f t="shared" si="39"/>
        <v>63.997200100000001</v>
      </c>
      <c r="BZ13" s="1">
        <f t="shared" si="40"/>
        <v>63.61748223</v>
      </c>
      <c r="CB13" s="1">
        <f>+datos!LV1</f>
        <v>334</v>
      </c>
      <c r="CC13" s="2">
        <f t="shared" si="24"/>
        <v>36.17920685</v>
      </c>
      <c r="CD13" s="2">
        <f t="shared" si="25"/>
        <v>16.327359820000002</v>
      </c>
      <c r="CF13" s="1">
        <f>+datos!IX1</f>
        <v>258</v>
      </c>
      <c r="CG13" s="1">
        <f t="shared" si="26"/>
        <v>0</v>
      </c>
      <c r="CH13" s="1">
        <f t="shared" si="27"/>
        <v>0</v>
      </c>
      <c r="CJ13" s="1">
        <f t="shared" si="28"/>
        <v>1.7265838599999999</v>
      </c>
      <c r="CK13" s="1">
        <f t="shared" si="28"/>
        <v>1.1603474899999999</v>
      </c>
      <c r="CL13" s="1">
        <f t="shared" si="28"/>
        <v>1.6220564799999999</v>
      </c>
      <c r="CM13" s="1">
        <f t="shared" si="28"/>
        <v>1.7022322700000001</v>
      </c>
      <c r="CN13" s="1">
        <f t="shared" si="28"/>
        <v>2.1800094999999997</v>
      </c>
      <c r="CO13" s="1">
        <f t="shared" si="28"/>
        <v>0.89152303000000011</v>
      </c>
      <c r="CP13" s="1">
        <f t="shared" si="28"/>
        <v>2.22092468</v>
      </c>
      <c r="CQ13" s="1">
        <f t="shared" si="28"/>
        <v>5.6369490100000004</v>
      </c>
      <c r="CR13" s="1">
        <f t="shared" si="28"/>
        <v>11.964288460000001</v>
      </c>
      <c r="CS13" s="1">
        <f t="shared" si="28"/>
        <v>14.874595200000002</v>
      </c>
      <c r="CT13" s="1">
        <f t="shared" si="28"/>
        <v>12.356255849999998</v>
      </c>
      <c r="CU13" s="1">
        <f t="shared" si="28"/>
        <v>7.66143427</v>
      </c>
      <c r="CV13" s="1">
        <f t="shared" si="28"/>
        <v>3.9700200400000001</v>
      </c>
      <c r="CW13" s="1">
        <f t="shared" si="28"/>
        <v>4.244482989999999</v>
      </c>
      <c r="CX13" s="1">
        <f t="shared" si="28"/>
        <v>3.7692072699999999</v>
      </c>
      <c r="CY13" s="1">
        <f t="shared" si="28"/>
        <v>4.3561451300000007</v>
      </c>
      <c r="CZ13" s="1">
        <f t="shared" si="29"/>
        <v>2.35708815</v>
      </c>
      <c r="DA13" s="1">
        <f t="shared" si="29"/>
        <v>2.9990922500000003</v>
      </c>
      <c r="DB13" s="1">
        <f t="shared" si="29"/>
        <v>4.9654154400000001</v>
      </c>
      <c r="DC13" s="1">
        <f t="shared" si="29"/>
        <v>7.7556872599999993</v>
      </c>
      <c r="DD13" s="1">
        <f t="shared" si="29"/>
        <v>10.641103850000002</v>
      </c>
      <c r="DE13" s="1">
        <f t="shared" si="29"/>
        <v>9.2379974100000002</v>
      </c>
      <c r="DF13" s="1">
        <f t="shared" si="29"/>
        <v>6.8023944899999993</v>
      </c>
      <c r="DG13" s="1">
        <f t="shared" si="29"/>
        <v>2.5188479500000001</v>
      </c>
      <c r="DI13" s="1">
        <f t="shared" si="30"/>
        <v>0.43588088999999991</v>
      </c>
      <c r="DJ13" s="1">
        <f t="shared" si="30"/>
        <v>0.25163443000000002</v>
      </c>
      <c r="DK13" s="1">
        <f t="shared" si="30"/>
        <v>1.8307121500000001</v>
      </c>
      <c r="DL13" s="1">
        <f t="shared" si="30"/>
        <v>4.7138590499999999</v>
      </c>
      <c r="DM13" s="1">
        <f t="shared" si="30"/>
        <v>10.280953719999999</v>
      </c>
      <c r="DN13" s="1">
        <f t="shared" si="30"/>
        <v>10.078043539999999</v>
      </c>
      <c r="DO13" s="1">
        <f t="shared" si="30"/>
        <v>5.0525632100000006</v>
      </c>
      <c r="DP13" s="1">
        <f t="shared" si="30"/>
        <v>1.5134803299999999</v>
      </c>
      <c r="DQ13" s="1">
        <f t="shared" si="30"/>
        <v>1.5645213200000003</v>
      </c>
      <c r="DR13" s="1">
        <f t="shared" si="30"/>
        <v>0.17069466</v>
      </c>
      <c r="DS13" s="1">
        <f t="shared" si="30"/>
        <v>5.8121779999999998E-2</v>
      </c>
      <c r="DT13" s="1">
        <f t="shared" si="30"/>
        <v>0.22874177000000001</v>
      </c>
      <c r="DU13" s="1">
        <f t="shared" si="30"/>
        <v>6.8422739999999996E-2</v>
      </c>
      <c r="DV13" s="1">
        <f t="shared" si="30"/>
        <v>1.38860757</v>
      </c>
      <c r="DW13" s="1">
        <f t="shared" si="30"/>
        <v>1.9631409899999996</v>
      </c>
      <c r="DX13" s="1">
        <f t="shared" si="30"/>
        <v>1.5225679400000001</v>
      </c>
      <c r="DY13" s="1">
        <f t="shared" si="31"/>
        <v>1.3263511099999998</v>
      </c>
      <c r="DZ13" s="1">
        <f t="shared" si="31"/>
        <v>2.5091586699999997</v>
      </c>
      <c r="EA13" s="1">
        <f t="shared" si="31"/>
        <v>1.6528733800000002</v>
      </c>
      <c r="EB13" s="1">
        <f t="shared" si="31"/>
        <v>0.42388491999999994</v>
      </c>
      <c r="EC13" s="1">
        <f t="shared" si="31"/>
        <v>1.7301791</v>
      </c>
      <c r="ED13" s="1">
        <f t="shared" si="31"/>
        <v>2.0483479400000002</v>
      </c>
      <c r="EE13" s="1">
        <f t="shared" si="31"/>
        <v>0.56045690999999997</v>
      </c>
      <c r="EF13" s="1">
        <f t="shared" si="31"/>
        <v>1.1333685500000001</v>
      </c>
      <c r="EH13" s="14">
        <f t="shared" si="32"/>
        <v>0</v>
      </c>
      <c r="EI13" s="14">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2"/>
        <v>0</v>
      </c>
      <c r="EX13" s="1">
        <f t="shared" si="33"/>
        <v>0</v>
      </c>
      <c r="EY13" s="1">
        <f t="shared" si="33"/>
        <v>0</v>
      </c>
      <c r="EZ13" s="1">
        <f t="shared" si="33"/>
        <v>0</v>
      </c>
      <c r="FA13" s="1">
        <f t="shared" si="33"/>
        <v>0</v>
      </c>
      <c r="FB13" s="1">
        <f t="shared" si="33"/>
        <v>0</v>
      </c>
      <c r="FC13" s="1">
        <f t="shared" si="33"/>
        <v>0</v>
      </c>
      <c r="FD13" s="1">
        <f t="shared" si="33"/>
        <v>0</v>
      </c>
      <c r="FE13" s="1">
        <f t="shared" si="33"/>
        <v>0</v>
      </c>
      <c r="FG13" s="162">
        <f t="shared" si="34"/>
        <v>0.33925952464356679</v>
      </c>
    </row>
    <row r="14" spans="1:163" ht="18.75" customHeight="1">
      <c r="A14" s="243" t="s">
        <v>65</v>
      </c>
      <c r="B14" s="246"/>
      <c r="C14" s="156">
        <f t="shared" si="5"/>
        <v>-0.33</v>
      </c>
      <c r="D14" s="198">
        <v>1</v>
      </c>
      <c r="E14" s="248">
        <f t="shared" si="6"/>
        <v>6.8238494672410166E-3</v>
      </c>
      <c r="F14" s="249">
        <f t="shared" si="7"/>
        <v>-1.5284286742792919E-2</v>
      </c>
      <c r="G14" s="248">
        <f t="shared" si="8"/>
        <v>8.7184545406388647E-2</v>
      </c>
      <c r="H14" s="249">
        <f t="shared" si="9"/>
        <v>-8.0360695939147631E-2</v>
      </c>
      <c r="I14" s="248">
        <f t="shared" si="10"/>
        <v>0.82071990816661211</v>
      </c>
      <c r="J14" s="249">
        <f t="shared" si="11"/>
        <v>-2.4649142647128031E-2</v>
      </c>
      <c r="K14" s="248">
        <f t="shared" si="12"/>
        <v>0.43416490775003491</v>
      </c>
      <c r="L14" s="249">
        <f t="shared" si="13"/>
        <v>0.3865550004165772</v>
      </c>
      <c r="M14" s="250"/>
      <c r="N14" s="24">
        <v>-1</v>
      </c>
      <c r="O14" s="248">
        <f t="shared" si="35"/>
        <v>0</v>
      </c>
      <c r="P14" s="251">
        <f t="shared" si="36"/>
        <v>0</v>
      </c>
      <c r="Q14" s="248">
        <f t="shared" si="14"/>
        <v>-5.3531573158406398E-2</v>
      </c>
      <c r="R14" s="251">
        <f t="shared" si="37"/>
        <v>-5.3531573158406398E-2</v>
      </c>
      <c r="S14" s="250"/>
      <c r="T14" s="24">
        <v>-1</v>
      </c>
      <c r="U14" s="248">
        <f t="shared" si="15"/>
        <v>3.3332559207551071E-2</v>
      </c>
      <c r="V14" s="252">
        <f t="shared" si="16"/>
        <v>3.3332559207551071E-2</v>
      </c>
      <c r="W14" s="248">
        <f t="shared" si="38"/>
        <v>-0.28878116358778705</v>
      </c>
      <c r="X14" s="252">
        <f t="shared" si="17"/>
        <v>-0.28878116358778705</v>
      </c>
      <c r="Y14" s="248">
        <f t="shared" si="18"/>
        <v>-9.2701118806606142E-2</v>
      </c>
      <c r="Z14" s="252">
        <f t="shared" si="19"/>
        <v>-9.2701118806606142E-2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4"/>
      <c r="AP14" s="28">
        <f>VLOOKUP($A14,historia!$A$5:$CM$24,+HLOOKUP(AP$2,historia!$A$3:$EC$4,2,FALSE),FALSE)</f>
        <v>4</v>
      </c>
      <c r="AQ14" s="28">
        <f>VLOOKUP($A14,historia!$A$5:$CM$24,+HLOOKUP(AQ$2,historia!$A$3:$EC$4,2,FALSE),FALSE)</f>
        <v>4</v>
      </c>
      <c r="AR14" s="28">
        <f>VLOOKUP($A14,historia!$A$5:$CM$24,+HLOOKUP(AR$2,historia!$A$3:$EC$4,2,FALSE),FALSE)</f>
        <v>4</v>
      </c>
      <c r="AS14" s="28">
        <f>VLOOKUP($A14,historia!$A$5:$CM$24,+HLOOKUP(AS$2,historia!$A$3:$EC$4,2,FALSE),FALSE)</f>
        <v>4</v>
      </c>
      <c r="AT14" s="58">
        <f>VLOOKUP($A14,historia!$A$5:$CM$24,+HLOOKUP(AT$2,historia!$A$3:$EC$4,2,FALSE),FALSE)</f>
        <v>4</v>
      </c>
      <c r="AU14" s="58">
        <f>VLOOKUP($A14,historia!$A$5:$CM$24,+HLOOKUP(AU$2,historia!$A$3:$EC$4,2,FALSE),FALSE)</f>
        <v>4</v>
      </c>
      <c r="AV14" s="58">
        <f>VLOOKUP($A14,historia!$A$5:$CM$24,+HLOOKUP(AV$2,historia!$A$3:$EC$4,2,FALSE),FALSE)</f>
        <v>4</v>
      </c>
      <c r="AW14" s="58">
        <f>VLOOKUP($A14,historia!$A$5:$CM$24,+HLOOKUP(AW$2,historia!$A$3:$EC$4,2,FALSE),FALSE)</f>
        <v>4</v>
      </c>
      <c r="AX14" s="58">
        <f>VLOOKUP($A14,historia!$A$5:$CM$24,+HLOOKUP(AX$2,historia!$A$3:$EC$4,2,FALSE),FALSE)</f>
        <v>4</v>
      </c>
      <c r="AY14" s="58">
        <f>VLOOKUP($A14,historia!$A$5:$CM$24,+HLOOKUP(AY$2,historia!$A$3:$EC$4,2,FALSE),FALSE)</f>
        <v>4</v>
      </c>
      <c r="AZ14" s="58">
        <f>VLOOKUP($A14,historia!$A$5:$CM$24,+HLOOKUP(AZ$2,historia!$A$3:$EC$4,2,FALSE),FALSE)</f>
        <v>4</v>
      </c>
      <c r="BA14" s="58">
        <f>VLOOKUP($A14,historia!$A$5:$CM$24,+HLOOKUP(BA$2,historia!$A$3:$EC$4,2,FALSE),FALSE)</f>
        <v>3</v>
      </c>
      <c r="BB14" s="58"/>
      <c r="BC14" s="286">
        <v>3</v>
      </c>
      <c r="BD14" t="str">
        <f t="shared" si="20"/>
        <v>Leche</v>
      </c>
      <c r="BE14">
        <f>+datos!BN1</f>
        <v>66</v>
      </c>
      <c r="BF14" s="2" t="str">
        <f t="shared" si="4"/>
        <v>$/l</v>
      </c>
      <c r="BG14" s="2">
        <f t="shared" si="4"/>
        <v>444.11</v>
      </c>
      <c r="BH14" s="2">
        <f t="shared" si="4"/>
        <v>441.1</v>
      </c>
      <c r="BI14" s="2">
        <f t="shared" si="4"/>
        <v>243.92</v>
      </c>
      <c r="BK14">
        <f>+datos!DC1</f>
        <v>107</v>
      </c>
      <c r="BL14" s="2">
        <f t="shared" si="21"/>
        <v>10184.99682110822</v>
      </c>
      <c r="BM14" s="2">
        <f t="shared" si="21"/>
        <v>9368.2317911363207</v>
      </c>
      <c r="BN14" s="2">
        <f t="shared" si="21"/>
        <v>7101.6915600638822</v>
      </c>
      <c r="BP14" s="1">
        <f>+datos!EN1</f>
        <v>144</v>
      </c>
      <c r="BQ14" s="1">
        <f t="shared" si="22"/>
        <v>3169981</v>
      </c>
      <c r="BR14" s="1">
        <f t="shared" si="22"/>
        <v>3169981</v>
      </c>
      <c r="BT14" s="1">
        <f>+datos!HP1</f>
        <v>224</v>
      </c>
      <c r="BU14" s="1">
        <f t="shared" si="23"/>
        <v>10600.445703900923</v>
      </c>
      <c r="BV14" s="1">
        <f t="shared" si="23"/>
        <v>11199.999285</v>
      </c>
      <c r="BX14" s="1">
        <f>+datos!KH1</f>
        <v>294</v>
      </c>
      <c r="BY14" s="1">
        <f t="shared" si="39"/>
        <v>1603.6788978</v>
      </c>
      <c r="BZ14" s="1">
        <f t="shared" si="40"/>
        <v>1551.9484831</v>
      </c>
      <c r="CB14" s="1">
        <f>+datos!LM1</f>
        <v>325</v>
      </c>
      <c r="CC14" s="2">
        <f t="shared" si="24"/>
        <v>18.943103499999999</v>
      </c>
      <c r="CD14" s="2">
        <f t="shared" si="25"/>
        <v>26.634704439999997</v>
      </c>
      <c r="CF14" s="1">
        <f>+datos!IN1</f>
        <v>248</v>
      </c>
      <c r="CG14" s="1">
        <f t="shared" si="26"/>
        <v>170.3</v>
      </c>
      <c r="CH14" s="1">
        <f t="shared" si="27"/>
        <v>187.7</v>
      </c>
      <c r="CJ14" s="1">
        <f t="shared" si="28"/>
        <v>133.12937443000001</v>
      </c>
      <c r="CK14" s="1">
        <f t="shared" si="28"/>
        <v>150.81206259999999</v>
      </c>
      <c r="CL14" s="1">
        <f t="shared" si="28"/>
        <v>173.78517034999999</v>
      </c>
      <c r="CM14" s="1">
        <f t="shared" si="28"/>
        <v>162.27196751000002</v>
      </c>
      <c r="CN14" s="1">
        <f t="shared" si="28"/>
        <v>136.36151781000004</v>
      </c>
      <c r="CO14" s="1">
        <f t="shared" si="28"/>
        <v>114.33182424</v>
      </c>
      <c r="CP14" s="1">
        <f t="shared" si="28"/>
        <v>131.64359017999999</v>
      </c>
      <c r="CQ14" s="1">
        <f t="shared" si="28"/>
        <v>102.41564730000002</v>
      </c>
      <c r="CR14" s="1">
        <f t="shared" si="28"/>
        <v>113.57779348999999</v>
      </c>
      <c r="CS14" s="1">
        <f t="shared" si="28"/>
        <v>118.3786056</v>
      </c>
      <c r="CT14" s="1">
        <f t="shared" si="28"/>
        <v>126.46519539000002</v>
      </c>
      <c r="CU14" s="1">
        <f t="shared" si="28"/>
        <v>140.50614890000003</v>
      </c>
      <c r="CV14" s="1">
        <f t="shared" si="28"/>
        <v>139.44218023000002</v>
      </c>
      <c r="CW14" s="1">
        <f t="shared" si="28"/>
        <v>153.04661877999999</v>
      </c>
      <c r="CX14" s="1">
        <f t="shared" si="28"/>
        <v>136.81239812999999</v>
      </c>
      <c r="CY14" s="1">
        <f t="shared" si="28"/>
        <v>134.16752365000002</v>
      </c>
      <c r="CZ14" s="1">
        <f t="shared" si="29"/>
        <v>114.82793965999997</v>
      </c>
      <c r="DA14" s="1">
        <f t="shared" si="29"/>
        <v>120.47507141999999</v>
      </c>
      <c r="DB14" s="1">
        <f t="shared" si="29"/>
        <v>118.84770241</v>
      </c>
      <c r="DC14" s="1">
        <f t="shared" si="29"/>
        <v>100.85116919999999</v>
      </c>
      <c r="DD14" s="1">
        <f t="shared" si="29"/>
        <v>116.29617616</v>
      </c>
      <c r="DE14" s="1">
        <f t="shared" si="29"/>
        <v>115.47027065</v>
      </c>
      <c r="DF14" s="1">
        <f t="shared" si="29"/>
        <v>138.26089648999999</v>
      </c>
      <c r="DG14" s="1">
        <f t="shared" si="29"/>
        <v>163.45053632000003</v>
      </c>
      <c r="DI14" s="1">
        <f t="shared" si="30"/>
        <v>2.9139955600000005</v>
      </c>
      <c r="DJ14" s="1">
        <f t="shared" si="30"/>
        <v>1.6254967600000001</v>
      </c>
      <c r="DK14" s="1">
        <f t="shared" si="30"/>
        <v>2.6289957100000003</v>
      </c>
      <c r="DL14" s="1">
        <f t="shared" si="30"/>
        <v>0.92402921999999987</v>
      </c>
      <c r="DM14" s="1">
        <f t="shared" si="30"/>
        <v>1.0080099199999999</v>
      </c>
      <c r="DN14" s="1">
        <f t="shared" si="30"/>
        <v>0.81005326000000022</v>
      </c>
      <c r="DO14" s="1">
        <f t="shared" si="30"/>
        <v>2.5429137699999997</v>
      </c>
      <c r="DP14" s="1">
        <f t="shared" si="30"/>
        <v>0.83472519000000012</v>
      </c>
      <c r="DQ14" s="1">
        <f t="shared" si="30"/>
        <v>1.6658761100000001</v>
      </c>
      <c r="DR14" s="1">
        <f t="shared" si="30"/>
        <v>1.6724867599999997</v>
      </c>
      <c r="DS14" s="1">
        <f t="shared" si="30"/>
        <v>1.92660527</v>
      </c>
      <c r="DT14" s="1">
        <f t="shared" si="30"/>
        <v>0.38991597</v>
      </c>
      <c r="DU14" s="1">
        <f t="shared" si="30"/>
        <v>3.0425877200000002</v>
      </c>
      <c r="DV14" s="1">
        <f t="shared" si="30"/>
        <v>1.8227840799999999</v>
      </c>
      <c r="DW14" s="1">
        <f t="shared" si="30"/>
        <v>2.1288867499999999</v>
      </c>
      <c r="DX14" s="1">
        <f t="shared" si="30"/>
        <v>2.0947676</v>
      </c>
      <c r="DY14" s="1">
        <f t="shared" si="31"/>
        <v>1.2699740900000001</v>
      </c>
      <c r="DZ14" s="1">
        <f t="shared" si="31"/>
        <v>1.3202370399999999</v>
      </c>
      <c r="EA14" s="1">
        <f t="shared" si="31"/>
        <v>2.29115132</v>
      </c>
      <c r="EB14" s="1">
        <f t="shared" si="31"/>
        <v>1.8108909100000001</v>
      </c>
      <c r="EC14" s="1">
        <f t="shared" si="31"/>
        <v>3.0093188999999998</v>
      </c>
      <c r="ED14" s="1">
        <f t="shared" si="31"/>
        <v>2.2926081099999998</v>
      </c>
      <c r="EE14" s="1">
        <f t="shared" si="31"/>
        <v>3.2446467999999999</v>
      </c>
      <c r="EF14" s="1">
        <f t="shared" si="31"/>
        <v>2.3068511200000001</v>
      </c>
      <c r="EH14" s="14">
        <f t="shared" si="32"/>
        <v>170.3</v>
      </c>
      <c r="EI14" s="14">
        <f t="shared" si="32"/>
        <v>170.9</v>
      </c>
      <c r="EJ14" s="1">
        <f t="shared" si="32"/>
        <v>168.7</v>
      </c>
      <c r="EK14" s="1">
        <f t="shared" si="32"/>
        <v>160.6</v>
      </c>
      <c r="EL14" s="1">
        <f t="shared" si="32"/>
        <v>160.6</v>
      </c>
      <c r="EM14" s="1">
        <f t="shared" si="32"/>
        <v>160.6</v>
      </c>
      <c r="EN14" s="1">
        <f t="shared" si="32"/>
        <v>160.6</v>
      </c>
      <c r="EO14" s="1">
        <f t="shared" si="32"/>
        <v>156.30000000000001</v>
      </c>
      <c r="EP14" s="1">
        <f t="shared" si="32"/>
        <v>155.80000000000001</v>
      </c>
      <c r="EQ14" s="1">
        <f t="shared" si="32"/>
        <v>159.5</v>
      </c>
      <c r="ER14" s="1">
        <f t="shared" si="32"/>
        <v>170.8</v>
      </c>
      <c r="ES14" s="1">
        <f t="shared" si="32"/>
        <v>170.8</v>
      </c>
      <c r="ET14" s="1">
        <f t="shared" si="32"/>
        <v>187.7</v>
      </c>
      <c r="EU14" s="1">
        <f t="shared" si="32"/>
        <v>196.8</v>
      </c>
      <c r="EV14" s="1">
        <f t="shared" si="32"/>
        <v>196.8</v>
      </c>
      <c r="EW14" s="1">
        <f t="shared" si="32"/>
        <v>188.6</v>
      </c>
      <c r="EX14" s="1">
        <f t="shared" si="33"/>
        <v>188.6</v>
      </c>
      <c r="EY14" s="1">
        <f t="shared" si="33"/>
        <v>188.6</v>
      </c>
      <c r="EZ14" s="1">
        <f t="shared" si="33"/>
        <v>188.6</v>
      </c>
      <c r="FA14" s="1">
        <f t="shared" si="33"/>
        <v>188.6</v>
      </c>
      <c r="FB14" s="1">
        <f t="shared" si="33"/>
        <v>188.6</v>
      </c>
      <c r="FC14" s="1">
        <f t="shared" si="33"/>
        <v>188.6</v>
      </c>
      <c r="FD14" s="1">
        <f t="shared" si="33"/>
        <v>188.6</v>
      </c>
      <c r="FE14" s="1">
        <f t="shared" si="33"/>
        <v>188.6</v>
      </c>
      <c r="FG14" s="162">
        <f t="shared" si="34"/>
        <v>0.3865550004165772</v>
      </c>
    </row>
    <row r="15" spans="1:163" ht="18.75" customHeight="1">
      <c r="A15" s="244" t="s">
        <v>68</v>
      </c>
      <c r="B15" s="247"/>
      <c r="C15" s="228">
        <v>0</v>
      </c>
      <c r="D15" s="229">
        <v>-1</v>
      </c>
      <c r="E15" s="253">
        <f t="shared" si="6"/>
        <v>-4.955998147290408E-2</v>
      </c>
      <c r="F15" s="254">
        <f t="shared" si="7"/>
        <v>-7.1668117682938015E-2</v>
      </c>
      <c r="G15" s="253">
        <f t="shared" si="8"/>
        <v>2.4007935928436197E-2</v>
      </c>
      <c r="H15" s="254">
        <f t="shared" si="9"/>
        <v>-7.3567917401340277E-2</v>
      </c>
      <c r="I15" s="253">
        <f t="shared" si="10"/>
        <v>-0.10661764705882348</v>
      </c>
      <c r="J15" s="254">
        <f t="shared" si="11"/>
        <v>-0.95198669787256363</v>
      </c>
      <c r="K15" s="253">
        <f t="shared" si="12"/>
        <v>0.51014622888572014</v>
      </c>
      <c r="L15" s="254">
        <f t="shared" si="13"/>
        <v>-0.61676387594454363</v>
      </c>
      <c r="M15" s="255"/>
      <c r="N15" s="256">
        <v>0</v>
      </c>
      <c r="O15" s="253">
        <f t="shared" si="35"/>
        <v>0</v>
      </c>
      <c r="P15" s="257">
        <f t="shared" si="36"/>
        <v>0</v>
      </c>
      <c r="Q15" s="253">
        <f t="shared" si="14"/>
        <v>0</v>
      </c>
      <c r="R15" s="257">
        <f t="shared" si="37"/>
        <v>0</v>
      </c>
      <c r="S15" s="255"/>
      <c r="T15" s="256">
        <v>-1</v>
      </c>
      <c r="U15" s="253" t="str">
        <f t="shared" si="15"/>
        <v/>
      </c>
      <c r="V15" s="258" t="str">
        <f t="shared" si="16"/>
        <v/>
      </c>
      <c r="W15" s="253">
        <f t="shared" si="38"/>
        <v>-0.8394778441297942</v>
      </c>
      <c r="X15" s="258">
        <f t="shared" si="17"/>
        <v>-0.8394778441297942</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4"/>
      <c r="AP15" s="28">
        <f>VLOOKUP($A15,historia!$A$5:$CM$24,+HLOOKUP(AP$2,historia!$A$3:$EC$4,2,FALSE),FALSE)</f>
        <v>3</v>
      </c>
      <c r="AQ15" s="28">
        <f>VLOOKUP($A15,historia!$A$5:$CM$24,+HLOOKUP(AQ$2,historia!$A$3:$EC$4,2,FALSE),FALSE)</f>
        <v>3</v>
      </c>
      <c r="AR15" s="28">
        <f>VLOOKUP($A15,historia!$A$5:$CM$24,+HLOOKUP(AR$2,historia!$A$3:$EC$4,2,FALSE),FALSE)</f>
        <v>3</v>
      </c>
      <c r="AS15" s="28">
        <f>VLOOKUP($A15,historia!$A$5:$CM$24,+HLOOKUP(AS$2,historia!$A$3:$EC$4,2,FALSE),FALSE)</f>
        <v>4</v>
      </c>
      <c r="AT15" s="58">
        <f>VLOOKUP($A15,historia!$A$5:$CM$24,+HLOOKUP(AT$2,historia!$A$3:$EC$4,2,FALSE),FALSE)</f>
        <v>4</v>
      </c>
      <c r="AU15" s="58">
        <f>VLOOKUP($A15,historia!$A$5:$CM$24,+HLOOKUP(AU$2,historia!$A$3:$EC$4,2,FALSE),FALSE)</f>
        <v>5</v>
      </c>
      <c r="AV15" s="58">
        <f>VLOOKUP($A15,historia!$A$5:$CM$24,+HLOOKUP(AV$2,historia!$A$3:$EC$4,2,FALSE),FALSE)</f>
        <v>5</v>
      </c>
      <c r="AW15" s="58">
        <f>VLOOKUP($A15,historia!$A$5:$CM$24,+HLOOKUP(AW$2,historia!$A$3:$EC$4,2,FALSE),FALSE)</f>
        <v>5</v>
      </c>
      <c r="AX15" s="58">
        <f>VLOOKUP($A15,historia!$A$5:$CM$24,+HLOOKUP(AX$2,historia!$A$3:$EC$4,2,FALSE),FALSE)</f>
        <v>5</v>
      </c>
      <c r="AY15" s="58">
        <f>VLOOKUP($A15,historia!$A$5:$CM$24,+HLOOKUP(AY$2,historia!$A$3:$EC$4,2,FALSE),FALSE)</f>
        <v>5</v>
      </c>
      <c r="AZ15" s="58">
        <f>VLOOKUP($A15,historia!$A$5:$CM$24,+HLOOKUP(AZ$2,historia!$A$3:$EC$4,2,FALSE),FALSE)</f>
        <v>5</v>
      </c>
      <c r="BA15" s="58">
        <f>VLOOKUP($A15,historia!$A$5:$CM$24,+HLOOKUP(BA$2,historia!$A$3:$EC$4,2,FALSE),FALSE)</f>
        <v>5</v>
      </c>
      <c r="BB15" s="58"/>
      <c r="BC15" s="286">
        <v>5</v>
      </c>
      <c r="BD15" t="str">
        <f t="shared" si="20"/>
        <v>Mandioca</v>
      </c>
      <c r="BE15">
        <f>+datos!AW1</f>
        <v>49</v>
      </c>
      <c r="BF15" s="2" t="str">
        <f t="shared" si="4"/>
        <v>$/bolsa40kg</v>
      </c>
      <c r="BG15" s="2">
        <f t="shared" si="4"/>
        <v>8894.1176470588234</v>
      </c>
      <c r="BH15" s="2">
        <f t="shared" si="4"/>
        <v>9357.894736842105</v>
      </c>
      <c r="BI15" s="2">
        <f t="shared" si="4"/>
        <v>9955.5555555555547</v>
      </c>
      <c r="BK15">
        <f>+datos!CJ1</f>
        <v>88</v>
      </c>
      <c r="BL15" s="2">
        <f t="shared" si="21"/>
        <v>8630.0372881429121</v>
      </c>
      <c r="BM15" s="2">
        <f t="shared" si="21"/>
        <v>8427.7054750736133</v>
      </c>
      <c r="BN15" s="2">
        <f t="shared" si="21"/>
        <v>5714.7030685304499</v>
      </c>
      <c r="BP15" s="1">
        <f>+datos!EY1</f>
        <v>155</v>
      </c>
      <c r="BQ15" s="1">
        <f t="shared" si="22"/>
        <v>20031</v>
      </c>
      <c r="BR15" s="1">
        <f t="shared" si="22"/>
        <v>20031</v>
      </c>
      <c r="BT15" s="1">
        <f>+datos!GO1</f>
        <v>197</v>
      </c>
      <c r="BU15" s="1">
        <f t="shared" si="23"/>
        <v>201734</v>
      </c>
      <c r="BV15" s="1">
        <f t="shared" si="23"/>
        <v>201734</v>
      </c>
      <c r="BX15" s="1">
        <f>+datos!JP1</f>
        <v>276</v>
      </c>
      <c r="BY15" s="1">
        <f t="shared" si="39"/>
        <v>0</v>
      </c>
      <c r="BZ15" s="1">
        <f t="shared" si="40"/>
        <v>0</v>
      </c>
      <c r="CB15" s="1">
        <f>+datos!KU1</f>
        <v>307</v>
      </c>
      <c r="CC15" s="2">
        <f t="shared" si="24"/>
        <v>1.5054727700000001</v>
      </c>
      <c r="CD15" s="2">
        <f t="shared" si="25"/>
        <v>9.3785980000000002</v>
      </c>
      <c r="CF15" s="1">
        <f>+datos!IY1</f>
        <v>259</v>
      </c>
      <c r="CG15" s="1">
        <f t="shared" si="26"/>
        <v>1.88</v>
      </c>
      <c r="CH15" s="1">
        <f t="shared" si="27"/>
        <v>1.88</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8"/>
        <v>0</v>
      </c>
      <c r="CZ15" s="1">
        <f t="shared" si="29"/>
        <v>0</v>
      </c>
      <c r="DA15" s="1">
        <f t="shared" si="29"/>
        <v>0</v>
      </c>
      <c r="DB15" s="1">
        <f t="shared" si="29"/>
        <v>0</v>
      </c>
      <c r="DC15" s="1">
        <f t="shared" si="29"/>
        <v>0</v>
      </c>
      <c r="DD15" s="1">
        <f t="shared" si="29"/>
        <v>0</v>
      </c>
      <c r="DE15" s="1">
        <f t="shared" si="29"/>
        <v>0</v>
      </c>
      <c r="DF15" s="1">
        <f t="shared" si="29"/>
        <v>0</v>
      </c>
      <c r="DG15" s="1">
        <f t="shared" si="29"/>
        <v>0</v>
      </c>
      <c r="DI15" s="14">
        <f t="shared" si="30"/>
        <v>0.14172798</v>
      </c>
      <c r="DJ15" s="14">
        <f t="shared" si="30"/>
        <v>7.4560410000000008E-2</v>
      </c>
      <c r="DK15" s="1">
        <f t="shared" si="30"/>
        <v>0.28059129999999999</v>
      </c>
      <c r="DL15" s="1">
        <f t="shared" si="30"/>
        <v>0.15169276000000001</v>
      </c>
      <c r="DM15" s="1">
        <f t="shared" si="30"/>
        <v>0.14711371000000001</v>
      </c>
      <c r="DN15" s="1">
        <f t="shared" si="30"/>
        <v>0.18175015000000003</v>
      </c>
      <c r="DO15" s="1">
        <f t="shared" si="30"/>
        <v>0.15569543999999999</v>
      </c>
      <c r="DP15" s="1">
        <f t="shared" si="30"/>
        <v>0.1712014</v>
      </c>
      <c r="DQ15" s="1">
        <f t="shared" si="30"/>
        <v>0.12198517</v>
      </c>
      <c r="DR15" s="1">
        <f t="shared" si="30"/>
        <v>1.6812999999999999E-3</v>
      </c>
      <c r="DS15" s="1">
        <f t="shared" si="30"/>
        <v>2.8195380000000003E-2</v>
      </c>
      <c r="DT15" s="1">
        <f t="shared" si="30"/>
        <v>4.9277770000000005E-2</v>
      </c>
      <c r="DU15" s="1">
        <f t="shared" si="30"/>
        <v>0.21358802999999996</v>
      </c>
      <c r="DV15" s="1">
        <f t="shared" si="30"/>
        <v>0.24099903000000003</v>
      </c>
      <c r="DW15" s="1">
        <f t="shared" si="30"/>
        <v>0.39667624000000001</v>
      </c>
      <c r="DX15" s="1">
        <f t="shared" si="30"/>
        <v>0.47948613000000001</v>
      </c>
      <c r="DY15" s="1">
        <f t="shared" si="31"/>
        <v>0.13955175</v>
      </c>
      <c r="DZ15" s="1">
        <f t="shared" si="31"/>
        <v>0.88368341000000006</v>
      </c>
      <c r="EA15" s="1">
        <f t="shared" si="31"/>
        <v>0.91695114999999994</v>
      </c>
      <c r="EB15" s="1">
        <f t="shared" si="31"/>
        <v>1.1944894100000001</v>
      </c>
      <c r="EC15" s="1">
        <f t="shared" si="31"/>
        <v>1.11559404</v>
      </c>
      <c r="ED15" s="1">
        <f t="shared" si="31"/>
        <v>1.36422954</v>
      </c>
      <c r="EE15" s="1">
        <f t="shared" si="31"/>
        <v>1.7463627799999999</v>
      </c>
      <c r="EF15" s="1">
        <f t="shared" si="31"/>
        <v>0.68698649000000001</v>
      </c>
      <c r="EH15" s="14">
        <f t="shared" si="32"/>
        <v>1.88</v>
      </c>
      <c r="EI15" s="14">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2"/>
        <v>1.88</v>
      </c>
      <c r="EX15" s="1">
        <f t="shared" si="33"/>
        <v>1.88</v>
      </c>
      <c r="EY15" s="1">
        <f t="shared" si="33"/>
        <v>1.88</v>
      </c>
      <c r="EZ15" s="1">
        <f t="shared" si="33"/>
        <v>1.88</v>
      </c>
      <c r="FA15" s="1">
        <f t="shared" si="33"/>
        <v>1.88</v>
      </c>
      <c r="FB15" s="1">
        <f t="shared" si="33"/>
        <v>1.88</v>
      </c>
      <c r="FC15" s="1">
        <f t="shared" si="33"/>
        <v>1.88</v>
      </c>
      <c r="FD15" s="1">
        <f t="shared" si="33"/>
        <v>1.88</v>
      </c>
      <c r="FE15" s="1">
        <f t="shared" si="33"/>
        <v>1.88</v>
      </c>
      <c r="FG15" s="162">
        <f t="shared" si="34"/>
        <v>-0.61676387594454363</v>
      </c>
    </row>
    <row r="16" spans="1:163" ht="18.75" customHeight="1">
      <c r="A16" s="243" t="s">
        <v>25</v>
      </c>
      <c r="B16" s="246"/>
      <c r="C16" s="156">
        <f t="shared" si="5"/>
        <v>-0.66</v>
      </c>
      <c r="D16" s="198">
        <v>-1</v>
      </c>
      <c r="E16" s="248">
        <f t="shared" si="6"/>
        <v>2.0478925589194841E-2</v>
      </c>
      <c r="F16" s="249">
        <f t="shared" si="7"/>
        <v>-1.6292106208390944E-3</v>
      </c>
      <c r="G16" s="248">
        <f t="shared" si="8"/>
        <v>2.1308389030090469E-2</v>
      </c>
      <c r="H16" s="249">
        <f t="shared" si="9"/>
        <v>-8.2946344089562807E-4</v>
      </c>
      <c r="I16" s="248">
        <f t="shared" si="10"/>
        <v>0.21479200495684125</v>
      </c>
      <c r="J16" s="249">
        <f t="shared" si="11"/>
        <v>-0.63057704585689889</v>
      </c>
      <c r="K16" s="248">
        <f t="shared" si="12"/>
        <v>0.19166597915974681</v>
      </c>
      <c r="L16" s="249">
        <f t="shared" si="13"/>
        <v>2.3126025797094441E-2</v>
      </c>
      <c r="M16" s="250"/>
      <c r="N16" s="24">
        <v>1</v>
      </c>
      <c r="O16" s="248">
        <f t="shared" si="35"/>
        <v>0.25148262863454107</v>
      </c>
      <c r="P16" s="251">
        <f t="shared" si="36"/>
        <v>0.25148262863454107</v>
      </c>
      <c r="Q16" s="248">
        <f t="shared" si="14"/>
        <v>0.70637774795677699</v>
      </c>
      <c r="R16" s="251">
        <f t="shared" si="37"/>
        <v>0.70637774795677699</v>
      </c>
      <c r="S16" s="250"/>
      <c r="T16" s="24">
        <v>-2</v>
      </c>
      <c r="U16" s="248">
        <f t="shared" si="15"/>
        <v>0.12524566533778603</v>
      </c>
      <c r="V16" s="252">
        <f t="shared" si="16"/>
        <v>0.12524566533778603</v>
      </c>
      <c r="W16" s="248"/>
      <c r="X16" s="252"/>
      <c r="Y16" s="248">
        <f t="shared" si="18"/>
        <v>8.4415584415584499E-2</v>
      </c>
      <c r="Z16" s="252">
        <f t="shared" si="19"/>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4"/>
      <c r="AP16" s="28">
        <f>VLOOKUP($A16,historia!$A$5:$CM$24,+HLOOKUP(AP$2,historia!$A$3:$EC$4,2,FALSE),FALSE)</f>
        <v>2</v>
      </c>
      <c r="AQ16" s="28">
        <f>VLOOKUP($A16,historia!$A$5:$CM$24,+HLOOKUP(AQ$2,historia!$A$3:$EC$4,2,FALSE),FALSE)</f>
        <v>2</v>
      </c>
      <c r="AR16" s="28">
        <f>VLOOKUP($A16,historia!$A$5:$CM$24,+HLOOKUP(AR$2,historia!$A$3:$EC$4,2,FALSE),FALSE)</f>
        <v>2</v>
      </c>
      <c r="AS16" s="28">
        <f>VLOOKUP($A16,historia!$A$5:$CM$24,+HLOOKUP(AS$2,historia!$A$3:$EC$4,2,FALSE),FALSE)</f>
        <v>3</v>
      </c>
      <c r="AT16" s="58">
        <f>VLOOKUP($A16,historia!$A$5:$CM$24,+HLOOKUP(AT$2,historia!$A$3:$EC$4,2,FALSE),FALSE)</f>
        <v>3</v>
      </c>
      <c r="AU16" s="58">
        <f>VLOOKUP($A16,historia!$A$5:$CM$24,+HLOOKUP(AU$2,historia!$A$3:$EC$4,2,FALSE),FALSE)</f>
        <v>4</v>
      </c>
      <c r="AV16" s="58">
        <f>VLOOKUP($A16,historia!$A$5:$CM$24,+HLOOKUP(AV$2,historia!$A$3:$EC$4,2,FALSE),FALSE)</f>
        <v>4</v>
      </c>
      <c r="AW16" s="58">
        <f>VLOOKUP($A16,historia!$A$5:$CM$24,+HLOOKUP(AW$2,historia!$A$3:$EC$4,2,FALSE),FALSE)</f>
        <v>4</v>
      </c>
      <c r="AX16" s="58">
        <f>VLOOKUP($A16,historia!$A$5:$CM$24,+HLOOKUP(AX$2,historia!$A$3:$EC$4,2,FALSE),FALSE)</f>
        <v>4</v>
      </c>
      <c r="AY16" s="58">
        <f>VLOOKUP($A16,historia!$A$5:$CM$24,+HLOOKUP(AY$2,historia!$A$3:$EC$4,2,FALSE),FALSE)</f>
        <v>4</v>
      </c>
      <c r="AZ16" s="58">
        <f>VLOOKUP($A16,historia!$A$5:$CM$24,+HLOOKUP(AZ$2,historia!$A$3:$EC$4,2,FALSE),FALSE)</f>
        <v>4</v>
      </c>
      <c r="BA16" s="58">
        <f>VLOOKUP($A16,historia!$A$5:$CM$24,+HLOOKUP(BA$2,historia!$A$3:$EC$4,2,FALSE),FALSE)</f>
        <v>2</v>
      </c>
      <c r="BB16" s="58"/>
      <c r="BC16" s="286">
        <v>2</v>
      </c>
      <c r="BD16" t="str">
        <f t="shared" si="20"/>
        <v>Maní</v>
      </c>
      <c r="BE16">
        <f>+datos!AF1</f>
        <v>32</v>
      </c>
      <c r="BF16" s="2" t="str">
        <f t="shared" si="4"/>
        <v>$/t</v>
      </c>
      <c r="BG16" s="2">
        <f t="shared" si="4"/>
        <v>909714</v>
      </c>
      <c r="BH16" s="2">
        <f t="shared" si="4"/>
        <v>891457.9</v>
      </c>
      <c r="BI16" s="2">
        <f t="shared" si="4"/>
        <v>748864</v>
      </c>
      <c r="BK16">
        <f>+datos!CH1</f>
        <v>86</v>
      </c>
      <c r="BL16" s="2">
        <f t="shared" si="21"/>
        <v>10855.356874001103</v>
      </c>
      <c r="BM16" s="2">
        <f t="shared" si="21"/>
        <v>10628.872719150137</v>
      </c>
      <c r="BN16" s="2">
        <f t="shared" si="21"/>
        <v>9109.3956392506079</v>
      </c>
      <c r="BP16" s="1">
        <f>+datos!EB1</f>
        <v>132</v>
      </c>
      <c r="BQ16" s="1">
        <f t="shared" si="22"/>
        <v>521230</v>
      </c>
      <c r="BR16" s="1">
        <f t="shared" si="22"/>
        <v>416490</v>
      </c>
      <c r="BT16" s="1">
        <f>+datos!FW1</f>
        <v>179</v>
      </c>
      <c r="BU16" s="1">
        <f t="shared" si="23"/>
        <v>1604722</v>
      </c>
      <c r="BV16" s="1">
        <f t="shared" si="23"/>
        <v>940426</v>
      </c>
      <c r="BX16" s="1">
        <f>+datos!JK1</f>
        <v>271</v>
      </c>
      <c r="BY16" s="1">
        <f t="shared" si="39"/>
        <v>1376.1875095299995</v>
      </c>
      <c r="BZ16" s="1">
        <f t="shared" si="40"/>
        <v>1223.0107183900002</v>
      </c>
      <c r="CB16" s="1">
        <f>+datos!KP1</f>
        <v>302</v>
      </c>
      <c r="CC16" s="2">
        <f t="shared" si="24"/>
        <v>1.6542529799999999</v>
      </c>
      <c r="CD16" s="2">
        <f t="shared" si="25"/>
        <v>2.0351812699999998</v>
      </c>
      <c r="CF16" s="1">
        <f>+datos!IJ1</f>
        <v>244</v>
      </c>
      <c r="CG16" s="1">
        <f t="shared" si="26"/>
        <v>2.1563835150032644</v>
      </c>
      <c r="CH16" s="1">
        <f t="shared" si="27"/>
        <v>1.9885213252125911</v>
      </c>
      <c r="CJ16" s="1">
        <f t="shared" si="28"/>
        <v>100.29183523999998</v>
      </c>
      <c r="CK16" s="1">
        <f t="shared" si="28"/>
        <v>142.99991008000001</v>
      </c>
      <c r="CL16" s="1">
        <f t="shared" si="28"/>
        <v>153.43391492999999</v>
      </c>
      <c r="CM16" s="1">
        <f t="shared" si="28"/>
        <v>142.09253510999997</v>
      </c>
      <c r="CN16" s="1">
        <f t="shared" si="28"/>
        <v>155.33708399000002</v>
      </c>
      <c r="CO16" s="1">
        <f t="shared" si="28"/>
        <v>156.99934678</v>
      </c>
      <c r="CP16" s="1">
        <f t="shared" si="28"/>
        <v>115.53726275000001</v>
      </c>
      <c r="CQ16" s="1">
        <f t="shared" si="28"/>
        <v>98.487414479999984</v>
      </c>
      <c r="CR16" s="1">
        <f t="shared" si="28"/>
        <v>63.473924160000003</v>
      </c>
      <c r="CS16" s="1">
        <f t="shared" si="28"/>
        <v>65.127016839999982</v>
      </c>
      <c r="CT16" s="1">
        <f t="shared" si="28"/>
        <v>70.784594500000011</v>
      </c>
      <c r="CU16" s="1">
        <f t="shared" si="28"/>
        <v>111.62267066999999</v>
      </c>
      <c r="CV16" s="1">
        <f t="shared" si="28"/>
        <v>100.80321882999999</v>
      </c>
      <c r="CW16" s="1">
        <f t="shared" si="28"/>
        <v>90.064767340000003</v>
      </c>
      <c r="CX16" s="1">
        <f t="shared" si="28"/>
        <v>96.183340330000021</v>
      </c>
      <c r="CY16" s="1">
        <f t="shared" si="28"/>
        <v>89.024842150000026</v>
      </c>
      <c r="CZ16" s="1">
        <f t="shared" si="29"/>
        <v>102.74257099999998</v>
      </c>
      <c r="DA16" s="1">
        <f t="shared" si="29"/>
        <v>102.43695814</v>
      </c>
      <c r="DB16" s="1">
        <f t="shared" si="29"/>
        <v>100.03941109999997</v>
      </c>
      <c r="DC16" s="1">
        <f t="shared" si="29"/>
        <v>89.79279253</v>
      </c>
      <c r="DD16" s="1">
        <f t="shared" si="29"/>
        <v>102.39153366000001</v>
      </c>
      <c r="DE16" s="1">
        <f t="shared" si="29"/>
        <v>98.470728969999996</v>
      </c>
      <c r="DF16" s="1">
        <f t="shared" si="29"/>
        <v>134.53858048999999</v>
      </c>
      <c r="DG16" s="1">
        <f t="shared" si="29"/>
        <v>116.52197384999999</v>
      </c>
      <c r="DI16" s="1">
        <f t="shared" si="30"/>
        <v>5.2225250000000001E-2</v>
      </c>
      <c r="DJ16" s="1">
        <f t="shared" si="30"/>
        <v>0.22862400000000002</v>
      </c>
      <c r="DK16" s="1">
        <f t="shared" si="30"/>
        <v>2.6527899999999999E-3</v>
      </c>
      <c r="DL16" s="1">
        <f t="shared" si="30"/>
        <v>1.6271E-3</v>
      </c>
      <c r="DM16" s="1">
        <f t="shared" si="30"/>
        <v>0.13444175</v>
      </c>
      <c r="DN16" s="1">
        <f t="shared" si="30"/>
        <v>4.2737620000000004E-2</v>
      </c>
      <c r="DO16" s="1">
        <f t="shared" si="30"/>
        <v>8.6628999999999998E-2</v>
      </c>
      <c r="DP16" s="1">
        <f t="shared" si="30"/>
        <v>8.4906640000000005E-2</v>
      </c>
      <c r="DQ16" s="1">
        <f t="shared" si="30"/>
        <v>8.714181E-2</v>
      </c>
      <c r="DR16" s="1">
        <f t="shared" si="30"/>
        <v>0.111375</v>
      </c>
      <c r="DS16" s="1">
        <f t="shared" si="30"/>
        <v>0.12514284000000001</v>
      </c>
      <c r="DT16" s="1">
        <f t="shared" si="30"/>
        <v>0.69674917999999986</v>
      </c>
      <c r="DU16" s="1">
        <f t="shared" si="30"/>
        <v>0.79684906</v>
      </c>
      <c r="DV16" s="1">
        <f t="shared" si="30"/>
        <v>0.24194792999999998</v>
      </c>
      <c r="DW16" s="1">
        <f t="shared" si="30"/>
        <v>0.11713932000000001</v>
      </c>
      <c r="DX16" s="1">
        <f t="shared" si="30"/>
        <v>0.45286999999999999</v>
      </c>
      <c r="DY16" s="1">
        <f t="shared" si="31"/>
        <v>5.563009E-2</v>
      </c>
      <c r="DZ16" s="1">
        <f t="shared" si="31"/>
        <v>2.7416000000000002E-4</v>
      </c>
      <c r="EA16" s="1">
        <f t="shared" si="31"/>
        <v>0.12031510000000001</v>
      </c>
      <c r="EB16" s="1">
        <f t="shared" si="31"/>
        <v>0.13456720999999999</v>
      </c>
      <c r="EC16" s="1">
        <f t="shared" si="31"/>
        <v>6.1200000000000002E-4</v>
      </c>
      <c r="ED16" s="1">
        <f t="shared" si="31"/>
        <v>0</v>
      </c>
      <c r="EE16" s="1">
        <f t="shared" si="31"/>
        <v>5.2170000000000003E-3</v>
      </c>
      <c r="EF16" s="1">
        <f t="shared" si="31"/>
        <v>0.10975939999999999</v>
      </c>
      <c r="EH16" s="14">
        <f t="shared" si="32"/>
        <v>2.1563835150032644</v>
      </c>
      <c r="EI16" s="14">
        <f t="shared" si="32"/>
        <v>2.1563835150032644</v>
      </c>
      <c r="EJ16" s="1">
        <f t="shared" si="32"/>
        <v>2.1563835150032644</v>
      </c>
      <c r="EK16" s="1">
        <f t="shared" si="32"/>
        <v>2.1563835150032644</v>
      </c>
      <c r="EL16" s="1">
        <f t="shared" si="32"/>
        <v>2.1563835150032644</v>
      </c>
      <c r="EM16" s="1">
        <f t="shared" si="32"/>
        <v>2.1563835150032644</v>
      </c>
      <c r="EN16" s="1">
        <f t="shared" si="32"/>
        <v>2.1563835150032644</v>
      </c>
      <c r="EO16" s="1">
        <f t="shared" si="32"/>
        <v>2.1563835150032644</v>
      </c>
      <c r="EP16" s="1">
        <f t="shared" si="32"/>
        <v>2.1563835150032644</v>
      </c>
      <c r="EQ16" s="1">
        <f t="shared" si="32"/>
        <v>2.1563835150032644</v>
      </c>
      <c r="ER16" s="1">
        <f t="shared" si="32"/>
        <v>1.9885213252125911</v>
      </c>
      <c r="ES16" s="1">
        <f t="shared" si="32"/>
        <v>1.9885213252125911</v>
      </c>
      <c r="ET16" s="1">
        <f t="shared" si="32"/>
        <v>1.9885213252125911</v>
      </c>
      <c r="EU16" s="1">
        <f t="shared" si="32"/>
        <v>1.9885213252125911</v>
      </c>
      <c r="EV16" s="1">
        <f t="shared" si="32"/>
        <v>1.9885213252125911</v>
      </c>
      <c r="EW16" s="1">
        <f t="shared" si="32"/>
        <v>1.9885213252125911</v>
      </c>
      <c r="EX16" s="1">
        <f t="shared" si="33"/>
        <v>1.9885213252125911</v>
      </c>
      <c r="EY16" s="1">
        <f t="shared" si="33"/>
        <v>1.9885213252125911</v>
      </c>
      <c r="EZ16" s="1">
        <f t="shared" si="33"/>
        <v>1.9885213252125911</v>
      </c>
      <c r="FA16" s="1">
        <f t="shared" si="33"/>
        <v>1.9885213252125911</v>
      </c>
      <c r="FB16" s="1">
        <f t="shared" si="33"/>
        <v>1.9885213252125911</v>
      </c>
      <c r="FC16" s="1">
        <f t="shared" si="33"/>
        <v>1.9885213252125911</v>
      </c>
      <c r="FD16" s="1">
        <f t="shared" si="33"/>
        <v>1.9885213252125911</v>
      </c>
      <c r="FE16" s="1">
        <f t="shared" si="33"/>
        <v>1.9040737312717446</v>
      </c>
      <c r="FG16" s="162">
        <f t="shared" si="34"/>
        <v>2.3126025797094441E-2</v>
      </c>
    </row>
    <row r="17" spans="1:163" ht="18.75" customHeight="1">
      <c r="A17" s="244" t="s">
        <v>76</v>
      </c>
      <c r="B17" s="247"/>
      <c r="C17" s="228">
        <f t="shared" si="5"/>
        <v>-0.99</v>
      </c>
      <c r="D17" s="229">
        <v>-1</v>
      </c>
      <c r="E17" s="253">
        <f t="shared" si="6"/>
        <v>1.7977528089887729E-2</v>
      </c>
      <c r="F17" s="254">
        <f t="shared" si="7"/>
        <v>-4.1306081201462064E-3</v>
      </c>
      <c r="G17" s="253">
        <f t="shared" si="8"/>
        <v>2.9456174458100559E-2</v>
      </c>
      <c r="H17" s="254">
        <f t="shared" si="9"/>
        <v>-1.147864636821283E-2</v>
      </c>
      <c r="I17" s="253">
        <f t="shared" si="10"/>
        <v>0.47557003257328989</v>
      </c>
      <c r="J17" s="254">
        <f t="shared" si="11"/>
        <v>-0.36979901824045025</v>
      </c>
      <c r="K17" s="253">
        <f t="shared" si="12"/>
        <v>0.53689529923950841</v>
      </c>
      <c r="L17" s="254">
        <f t="shared" si="13"/>
        <v>-6.1325266666218514E-2</v>
      </c>
      <c r="M17" s="255"/>
      <c r="N17" s="256">
        <v>-1</v>
      </c>
      <c r="O17" s="253">
        <f>IFERROR(+BQ17/BR17-1,"")</f>
        <v>0.14285714285714279</v>
      </c>
      <c r="P17" s="257">
        <f t="shared" si="36"/>
        <v>0.14285714285714279</v>
      </c>
      <c r="Q17" s="253">
        <f t="shared" si="14"/>
        <v>8.2297934975540166E-2</v>
      </c>
      <c r="R17" s="257">
        <f t="shared" si="37"/>
        <v>8.2297934975540166E-2</v>
      </c>
      <c r="S17" s="255"/>
      <c r="T17" s="256">
        <v>-1</v>
      </c>
      <c r="U17" s="253">
        <f t="shared" si="15"/>
        <v>5.0707611546124243E-2</v>
      </c>
      <c r="V17" s="258">
        <f t="shared" si="16"/>
        <v>5.0707611546124243E-2</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4"/>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f>VLOOKUP($A17,historia!$A$5:$CM$24,+HLOOKUP(AZ$2,historia!$A$3:$EC$4,2,FALSE),FALSE)</f>
        <v>5</v>
      </c>
      <c r="BA17" s="58">
        <f>VLOOKUP($A17,historia!$A$5:$CM$24,+HLOOKUP(BA$2,historia!$A$3:$EC$4,2,FALSE),FALSE)</f>
        <v>3</v>
      </c>
      <c r="BB17" s="58"/>
      <c r="BC17" s="286">
        <v>3</v>
      </c>
      <c r="BD17" t="str">
        <f t="shared" si="20"/>
        <v>Miel</v>
      </c>
      <c r="BE17">
        <f>+datos!BV1</f>
        <v>74</v>
      </c>
      <c r="BF17" s="2" t="str">
        <f t="shared" si="4"/>
        <v>$/kg</v>
      </c>
      <c r="BG17" s="2">
        <f t="shared" si="4"/>
        <v>1812</v>
      </c>
      <c r="BH17" s="2">
        <f t="shared" si="4"/>
        <v>1780</v>
      </c>
      <c r="BI17" s="2">
        <f t="shared" si="4"/>
        <v>1228</v>
      </c>
      <c r="BK17">
        <f>+datos!DH1</f>
        <v>112</v>
      </c>
      <c r="BL17" s="2">
        <f t="shared" si="21"/>
        <v>9401.0513287052163</v>
      </c>
      <c r="BM17" s="2">
        <f t="shared" si="21"/>
        <v>9132.0558970408547</v>
      </c>
      <c r="BN17" s="2">
        <f t="shared" si="21"/>
        <v>6116.9107182233402</v>
      </c>
      <c r="BP17" s="1">
        <f>+datos!EQ1</f>
        <v>147</v>
      </c>
      <c r="BQ17" s="1">
        <f t="shared" si="22"/>
        <v>4000000</v>
      </c>
      <c r="BR17" s="1">
        <f t="shared" si="22"/>
        <v>3500000</v>
      </c>
      <c r="BT17" s="1">
        <f>+datos!GP1</f>
        <v>198</v>
      </c>
      <c r="BU17" s="1">
        <f t="shared" si="23"/>
        <v>75000</v>
      </c>
      <c r="BV17" s="1">
        <f t="shared" si="23"/>
        <v>69297</v>
      </c>
      <c r="BX17" s="1">
        <f>+datos!KE1</f>
        <v>291</v>
      </c>
      <c r="BY17" s="1">
        <f t="shared" si="39"/>
        <v>211.28762170000002</v>
      </c>
      <c r="BZ17" s="1">
        <f t="shared" si="40"/>
        <v>201.09078812999999</v>
      </c>
      <c r="CB17" s="1">
        <f>+datos!LJ1</f>
        <v>322</v>
      </c>
      <c r="CC17" s="2">
        <f t="shared" si="24"/>
        <v>5.2945940000000004E-2</v>
      </c>
      <c r="CD17" s="2">
        <f>+SUM(DU17:EF17)</f>
        <v>4.7638E-2</v>
      </c>
      <c r="CF17" s="1">
        <f>+datos!IZ1</f>
        <v>260</v>
      </c>
      <c r="CG17" s="1">
        <f t="shared" si="26"/>
        <v>0.3</v>
      </c>
      <c r="CH17" s="1">
        <f t="shared" si="27"/>
        <v>0.3</v>
      </c>
      <c r="CJ17" s="1">
        <f t="shared" si="28"/>
        <v>9.6274282100000015</v>
      </c>
      <c r="CK17" s="1">
        <f t="shared" si="28"/>
        <v>12.184475789999999</v>
      </c>
      <c r="CL17" s="1">
        <f t="shared" si="28"/>
        <v>14.349162859999998</v>
      </c>
      <c r="CM17" s="1">
        <f t="shared" si="28"/>
        <v>24.378519029999993</v>
      </c>
      <c r="CN17" s="1">
        <f t="shared" si="28"/>
        <v>22.211636389999995</v>
      </c>
      <c r="CO17" s="1">
        <f t="shared" si="28"/>
        <v>18.934177090000006</v>
      </c>
      <c r="CP17" s="1">
        <f t="shared" si="28"/>
        <v>18.049853030000005</v>
      </c>
      <c r="CQ17" s="1">
        <f t="shared" si="28"/>
        <v>20.702965450000001</v>
      </c>
      <c r="CR17" s="1">
        <f t="shared" si="28"/>
        <v>19.199801710000003</v>
      </c>
      <c r="CS17" s="1">
        <f t="shared" si="28"/>
        <v>16.174522229999997</v>
      </c>
      <c r="CT17" s="1">
        <f t="shared" si="28"/>
        <v>22.082734950000003</v>
      </c>
      <c r="CU17" s="1">
        <f t="shared" si="28"/>
        <v>13.392344960000001</v>
      </c>
      <c r="CV17" s="1">
        <f t="shared" si="28"/>
        <v>10.971998660000001</v>
      </c>
      <c r="CW17" s="1">
        <f t="shared" si="28"/>
        <v>12.805239539999999</v>
      </c>
      <c r="CX17" s="1">
        <f t="shared" si="28"/>
        <v>13.943876809999997</v>
      </c>
      <c r="CY17" s="1">
        <f t="shared" si="28"/>
        <v>17.891480939999997</v>
      </c>
      <c r="CZ17" s="1">
        <f t="shared" si="29"/>
        <v>16.805607889999997</v>
      </c>
      <c r="DA17" s="1">
        <f t="shared" si="29"/>
        <v>21.325973759999997</v>
      </c>
      <c r="DB17" s="1">
        <f t="shared" si="29"/>
        <v>17.230385739999999</v>
      </c>
      <c r="DC17" s="1">
        <f t="shared" si="29"/>
        <v>14.837575590000002</v>
      </c>
      <c r="DD17" s="1">
        <f t="shared" si="29"/>
        <v>17.476901599999998</v>
      </c>
      <c r="DE17" s="1">
        <f t="shared" si="29"/>
        <v>23.512884059999998</v>
      </c>
      <c r="DF17" s="1">
        <f t="shared" si="29"/>
        <v>18.814354810000005</v>
      </c>
      <c r="DG17" s="1">
        <f t="shared" si="29"/>
        <v>15.47450873</v>
      </c>
      <c r="DI17" s="1">
        <f t="shared" si="30"/>
        <v>0</v>
      </c>
      <c r="DJ17" s="1">
        <f t="shared" si="30"/>
        <v>0</v>
      </c>
      <c r="DK17" s="1">
        <f t="shared" si="30"/>
        <v>0</v>
      </c>
      <c r="DL17" s="1">
        <f t="shared" si="30"/>
        <v>0</v>
      </c>
      <c r="DM17" s="1">
        <f t="shared" si="30"/>
        <v>4.0664E-4</v>
      </c>
      <c r="DN17" s="1">
        <f t="shared" si="30"/>
        <v>0</v>
      </c>
      <c r="DO17" s="1">
        <f t="shared" si="30"/>
        <v>0</v>
      </c>
      <c r="DP17" s="1">
        <f t="shared" si="30"/>
        <v>0</v>
      </c>
      <c r="DQ17" s="1">
        <f t="shared" si="30"/>
        <v>0</v>
      </c>
      <c r="DR17" s="1">
        <f t="shared" si="30"/>
        <v>0</v>
      </c>
      <c r="DS17" s="1">
        <f t="shared" si="30"/>
        <v>5.2539300000000004E-2</v>
      </c>
      <c r="DT17" s="1">
        <f t="shared" si="30"/>
        <v>0</v>
      </c>
      <c r="DU17" s="1">
        <f t="shared" si="30"/>
        <v>0</v>
      </c>
      <c r="DV17" s="1">
        <f t="shared" si="30"/>
        <v>4.0599999999999997E-2</v>
      </c>
      <c r="DW17" s="1">
        <f t="shared" si="30"/>
        <v>0</v>
      </c>
      <c r="DX17" s="1">
        <f t="shared" si="30"/>
        <v>0</v>
      </c>
      <c r="DY17" s="1">
        <f t="shared" si="31"/>
        <v>0</v>
      </c>
      <c r="DZ17" s="1">
        <f t="shared" si="31"/>
        <v>0</v>
      </c>
      <c r="EA17" s="1">
        <f t="shared" si="31"/>
        <v>0</v>
      </c>
      <c r="EB17" s="1">
        <f t="shared" si="31"/>
        <v>0</v>
      </c>
      <c r="EC17" s="1">
        <f t="shared" si="31"/>
        <v>7.038E-3</v>
      </c>
      <c r="ED17" s="1">
        <f t="shared" si="31"/>
        <v>0</v>
      </c>
      <c r="EE17" s="1">
        <f t="shared" si="31"/>
        <v>0</v>
      </c>
      <c r="EF17" s="1">
        <f t="shared" si="31"/>
        <v>0</v>
      </c>
      <c r="EH17" s="14">
        <f t="shared" si="32"/>
        <v>0.3</v>
      </c>
      <c r="EI17" s="14">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2"/>
        <v>0.3</v>
      </c>
      <c r="EX17" s="1">
        <f t="shared" si="33"/>
        <v>0.3</v>
      </c>
      <c r="EY17" s="1">
        <f t="shared" si="33"/>
        <v>0.3</v>
      </c>
      <c r="EZ17" s="1">
        <f t="shared" si="33"/>
        <v>0.3</v>
      </c>
      <c r="FA17" s="1">
        <f t="shared" si="33"/>
        <v>0.3</v>
      </c>
      <c r="FB17" s="1">
        <f t="shared" si="33"/>
        <v>0.3</v>
      </c>
      <c r="FC17" s="1">
        <f t="shared" si="33"/>
        <v>0.3</v>
      </c>
      <c r="FD17" s="1">
        <f t="shared" si="33"/>
        <v>0.3</v>
      </c>
      <c r="FE17" s="1">
        <f t="shared" si="33"/>
        <v>0.3</v>
      </c>
      <c r="FG17" s="162">
        <f t="shared" si="34"/>
        <v>-6.1325266666218514E-2</v>
      </c>
    </row>
    <row r="18" spans="1:163" ht="18.75" customHeight="1">
      <c r="A18" s="243" t="s">
        <v>222</v>
      </c>
      <c r="B18" s="246"/>
      <c r="C18" s="156">
        <f t="shared" si="5"/>
        <v>-0.33</v>
      </c>
      <c r="D18" s="198">
        <v>1</v>
      </c>
      <c r="E18" s="248">
        <f t="shared" si="6"/>
        <v>-0.12596001365950704</v>
      </c>
      <c r="F18" s="249">
        <f t="shared" si="7"/>
        <v>-0.14806814986954098</v>
      </c>
      <c r="G18" s="248">
        <f t="shared" si="8"/>
        <v>8.8245704471174857E-3</v>
      </c>
      <c r="H18" s="249">
        <f t="shared" si="9"/>
        <v>-0.13478458410662453</v>
      </c>
      <c r="I18" s="253">
        <f t="shared" si="10"/>
        <v>0.60858122481162513</v>
      </c>
      <c r="J18" s="254">
        <f t="shared" si="11"/>
        <v>-0.23678782600211501</v>
      </c>
      <c r="K18" s="248">
        <f t="shared" si="12"/>
        <v>0.73903064556399589</v>
      </c>
      <c r="L18" s="249">
        <f t="shared" si="13"/>
        <v>-0.13044942075237076</v>
      </c>
      <c r="M18" s="250"/>
      <c r="N18" s="24">
        <v>-1</v>
      </c>
      <c r="O18" s="248">
        <f t="shared" si="35"/>
        <v>-1.6802487914109321E-3</v>
      </c>
      <c r="P18" s="251">
        <f t="shared" si="36"/>
        <v>-1.6802487914109321E-3</v>
      </c>
      <c r="Q18" s="248">
        <f t="shared" si="14"/>
        <v>-3.8234223776167919E-4</v>
      </c>
      <c r="R18" s="251">
        <f t="shared" si="37"/>
        <v>-3.8234223776167919E-4</v>
      </c>
      <c r="S18" s="250"/>
      <c r="T18" s="24">
        <v>-1</v>
      </c>
      <c r="U18" s="248">
        <f t="shared" si="15"/>
        <v>3.2847382616764786E-2</v>
      </c>
      <c r="V18" s="252">
        <f t="shared" si="16"/>
        <v>3.2847382616764786E-2</v>
      </c>
      <c r="W18" s="248">
        <f t="shared" si="38"/>
        <v>-0.44837761298976675</v>
      </c>
      <c r="X18" s="252">
        <f t="shared" si="17"/>
        <v>-0.44837761298976675</v>
      </c>
      <c r="Y18" s="248">
        <f t="shared" si="18"/>
        <v>0</v>
      </c>
      <c r="Z18" s="252">
        <f t="shared" si="19"/>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4"/>
      <c r="AP18" s="28">
        <f>VLOOKUP($A18,historia!$A$5:$CM$24,+HLOOKUP(AP$2,historia!$A$3:$EC$4,2,FALSE),FALSE)</f>
        <v>4</v>
      </c>
      <c r="AQ18" s="28">
        <f>VLOOKUP($A18,historia!$A$5:$CM$24,+HLOOKUP(AQ$2,historia!$A$3:$EC$4,2,FALSE),FALSE)</f>
        <v>4</v>
      </c>
      <c r="AR18" s="28">
        <f>VLOOKUP($A18,historia!$A$5:$CM$24,+HLOOKUP(AR$2,historia!$A$3:$EC$4,2,FALSE),FALSE)</f>
        <v>4</v>
      </c>
      <c r="AS18" s="28">
        <f>VLOOKUP($A18,historia!$A$5:$CM$24,+HLOOKUP(AS$2,historia!$A$3:$EC$4,2,FALSE),FALSE)</f>
        <v>5</v>
      </c>
      <c r="AT18" s="58">
        <f>VLOOKUP($A18,historia!$A$5:$CM$24,+HLOOKUP(AT$2,historia!$A$3:$EC$4,2,FALSE),FALSE)</f>
        <v>5</v>
      </c>
      <c r="AU18" s="58">
        <f>VLOOKUP($A18,historia!$A$5:$CM$24,+HLOOKUP(AU$2,historia!$A$3:$EC$4,2,FALSE),FALSE)</f>
        <v>4</v>
      </c>
      <c r="AV18" s="58">
        <f>VLOOKUP($A18,historia!$A$5:$CM$24,+HLOOKUP(AV$2,historia!$A$3:$EC$4,2,FALSE),FALSE)</f>
        <v>4</v>
      </c>
      <c r="AW18" s="58">
        <f>VLOOKUP($A18,historia!$A$5:$CM$24,+HLOOKUP(AW$2,historia!$A$3:$EC$4,2,FALSE),FALSE)</f>
        <v>4</v>
      </c>
      <c r="AX18" s="58">
        <f>VLOOKUP($A18,historia!$A$5:$CM$24,+HLOOKUP(AX$2,historia!$A$3:$EC$4,2,FALSE),FALSE)</f>
        <v>4</v>
      </c>
      <c r="AY18" s="58">
        <f>VLOOKUP($A18,historia!$A$5:$CM$24,+HLOOKUP(AY$2,historia!$A$3:$EC$4,2,FALSE),FALSE)</f>
        <v>4</v>
      </c>
      <c r="AZ18" s="58">
        <f>VLOOKUP($A18,historia!$A$5:$CM$24,+HLOOKUP(AZ$2,historia!$A$3:$EC$4,2,FALSE),FALSE)</f>
        <v>4</v>
      </c>
      <c r="BA18" s="58">
        <f>VLOOKUP($A18,historia!$A$5:$CM$24,+HLOOKUP(BA$2,historia!$A$3:$EC$4,2,FALSE),FALSE)</f>
        <v>3</v>
      </c>
      <c r="BB18" s="58"/>
      <c r="BC18" s="286">
        <v>3</v>
      </c>
      <c r="BD18" t="str">
        <f t="shared" si="20"/>
        <v>Ovino</v>
      </c>
      <c r="BE18">
        <f>+datos!BU1</f>
        <v>73</v>
      </c>
      <c r="BF18" s="2" t="str">
        <f t="shared" si="4"/>
        <v>$/kg</v>
      </c>
      <c r="BG18" s="2">
        <f t="shared" si="4"/>
        <v>65874.022500000006</v>
      </c>
      <c r="BH18" s="2">
        <f t="shared" si="4"/>
        <v>75367.286999999997</v>
      </c>
      <c r="BI18" s="2">
        <f t="shared" si="4"/>
        <v>40951.6296</v>
      </c>
      <c r="BK18">
        <f>+datos!DI1</f>
        <v>113</v>
      </c>
      <c r="BL18" s="2">
        <f t="shared" si="21"/>
        <v>9431.1908831525234</v>
      </c>
      <c r="BM18" s="2">
        <f t="shared" si="21"/>
        <v>9348.6926859568448</v>
      </c>
      <c r="BN18" s="2">
        <f t="shared" si="21"/>
        <v>5423.2459371604891</v>
      </c>
      <c r="BP18" s="1">
        <f>+datos!EL1</f>
        <v>142</v>
      </c>
      <c r="BQ18" s="1">
        <f t="shared" si="22"/>
        <v>12440906</v>
      </c>
      <c r="BR18" s="1">
        <f t="shared" si="22"/>
        <v>12461845</v>
      </c>
      <c r="BT18" s="1">
        <f>+datos!GS1</f>
        <v>201</v>
      </c>
      <c r="BU18" s="1">
        <f t="shared" si="23"/>
        <v>39060</v>
      </c>
      <c r="BV18" s="1">
        <f t="shared" si="23"/>
        <v>39074.94</v>
      </c>
      <c r="BX18" s="1">
        <f>+datos!KI1</f>
        <v>295</v>
      </c>
      <c r="BY18" s="1">
        <f t="shared" si="39"/>
        <v>203.37468810999999</v>
      </c>
      <c r="BZ18" s="1">
        <f t="shared" si="40"/>
        <v>196.90681462999999</v>
      </c>
      <c r="CB18" s="1">
        <f>+datos!LN1</f>
        <v>326</v>
      </c>
      <c r="CC18" s="2">
        <f t="shared" si="24"/>
        <v>2.4677033900000005</v>
      </c>
      <c r="CD18" s="2">
        <f t="shared" si="25"/>
        <v>4.4735374200000004</v>
      </c>
      <c r="CF18" s="1">
        <f>+datos!JA1</f>
        <v>261</v>
      </c>
      <c r="CG18" s="1">
        <f t="shared" si="26"/>
        <v>2813</v>
      </c>
      <c r="CH18" s="1">
        <f t="shared" si="27"/>
        <v>2813</v>
      </c>
      <c r="CJ18" s="1">
        <f t="shared" si="28"/>
        <v>14.881609229999999</v>
      </c>
      <c r="CK18" s="1">
        <f t="shared" si="28"/>
        <v>18.538380959999998</v>
      </c>
      <c r="CL18" s="1">
        <f t="shared" si="28"/>
        <v>15.79353798</v>
      </c>
      <c r="CM18" s="1">
        <f t="shared" si="28"/>
        <v>15.390557059999999</v>
      </c>
      <c r="CN18" s="1">
        <f t="shared" si="28"/>
        <v>12.657815750000001</v>
      </c>
      <c r="CO18" s="1">
        <f t="shared" si="28"/>
        <v>13.430479930000001</v>
      </c>
      <c r="CP18" s="1">
        <f t="shared" si="28"/>
        <v>15.60716012</v>
      </c>
      <c r="CQ18" s="1">
        <f t="shared" si="28"/>
        <v>19.03918719</v>
      </c>
      <c r="CR18" s="1">
        <f t="shared" si="28"/>
        <v>17.774232269999999</v>
      </c>
      <c r="CS18" s="1">
        <f t="shared" si="28"/>
        <v>22.502102959999998</v>
      </c>
      <c r="CT18" s="1">
        <f t="shared" si="28"/>
        <v>22.437193859999997</v>
      </c>
      <c r="CU18" s="1">
        <f t="shared" si="28"/>
        <v>15.322430800000003</v>
      </c>
      <c r="CV18" s="1">
        <f t="shared" si="28"/>
        <v>16.644595240000001</v>
      </c>
      <c r="CW18" s="1">
        <f t="shared" si="28"/>
        <v>15.83663735</v>
      </c>
      <c r="CX18" s="1">
        <f t="shared" si="28"/>
        <v>13.412348609999999</v>
      </c>
      <c r="CY18" s="1">
        <f t="shared" si="28"/>
        <v>9.5091132299999988</v>
      </c>
      <c r="CZ18" s="1">
        <f t="shared" si="29"/>
        <v>10.49137048</v>
      </c>
      <c r="DA18" s="1">
        <f t="shared" si="29"/>
        <v>12.745889309999999</v>
      </c>
      <c r="DB18" s="1">
        <f t="shared" si="29"/>
        <v>11.898747670000001</v>
      </c>
      <c r="DC18" s="1">
        <f t="shared" si="29"/>
        <v>12.26162961</v>
      </c>
      <c r="DD18" s="1">
        <f t="shared" si="29"/>
        <v>21.704121750000002</v>
      </c>
      <c r="DE18" s="1">
        <f t="shared" si="29"/>
        <v>21.006605250000003</v>
      </c>
      <c r="DF18" s="1">
        <f t="shared" si="29"/>
        <v>22.417077500000001</v>
      </c>
      <c r="DG18" s="1">
        <f t="shared" si="29"/>
        <v>28.978678630000001</v>
      </c>
      <c r="DI18" s="1">
        <f t="shared" si="30"/>
        <v>0.16347327</v>
      </c>
      <c r="DJ18" s="1">
        <f t="shared" si="30"/>
        <v>0.18164933</v>
      </c>
      <c r="DK18" s="1">
        <f t="shared" si="30"/>
        <v>0.25055533999999996</v>
      </c>
      <c r="DL18" s="1">
        <f t="shared" si="30"/>
        <v>0.29342396000000004</v>
      </c>
      <c r="DM18" s="1">
        <f t="shared" si="30"/>
        <v>0.26088905000000001</v>
      </c>
      <c r="DN18" s="1">
        <f t="shared" si="30"/>
        <v>0.18624962</v>
      </c>
      <c r="DO18" s="1">
        <f t="shared" si="30"/>
        <v>0.1577527</v>
      </c>
      <c r="DP18" s="1">
        <f t="shared" si="30"/>
        <v>0.24821200999999998</v>
      </c>
      <c r="DQ18" s="1">
        <f t="shared" si="30"/>
        <v>0.13589592</v>
      </c>
      <c r="DR18" s="1">
        <f t="shared" si="30"/>
        <v>0.23010199000000001</v>
      </c>
      <c r="DS18" s="1">
        <f t="shared" si="30"/>
        <v>4.8750000000000002E-2</v>
      </c>
      <c r="DT18" s="1">
        <f t="shared" si="30"/>
        <v>0.31075020000000003</v>
      </c>
      <c r="DU18" s="1">
        <f t="shared" si="30"/>
        <v>0.90541722000000002</v>
      </c>
      <c r="DV18" s="1">
        <f t="shared" si="30"/>
        <v>0.34283965</v>
      </c>
      <c r="DW18" s="1">
        <f t="shared" si="30"/>
        <v>0.74167351000000015</v>
      </c>
      <c r="DX18" s="1">
        <f t="shared" si="30"/>
        <v>0.58632921999999998</v>
      </c>
      <c r="DY18" s="1">
        <f t="shared" si="31"/>
        <v>0.29250390000000004</v>
      </c>
      <c r="DZ18" s="1">
        <f t="shared" si="31"/>
        <v>0.46645720000000002</v>
      </c>
      <c r="EA18" s="1">
        <f t="shared" si="31"/>
        <v>8.1248630000000002E-2</v>
      </c>
      <c r="EB18" s="1">
        <f t="shared" si="31"/>
        <v>0.16069122999999999</v>
      </c>
      <c r="EC18" s="1">
        <f t="shared" si="31"/>
        <v>0.12834936</v>
      </c>
      <c r="ED18" s="1">
        <f t="shared" si="31"/>
        <v>0.21283820000000001</v>
      </c>
      <c r="EE18" s="1">
        <f t="shared" si="31"/>
        <v>0.28431688999999999</v>
      </c>
      <c r="EF18" s="1">
        <f t="shared" si="31"/>
        <v>0.27087241000000001</v>
      </c>
      <c r="EH18" s="14">
        <f t="shared" si="32"/>
        <v>2813</v>
      </c>
      <c r="EI18" s="14">
        <f t="shared" si="32"/>
        <v>2813</v>
      </c>
      <c r="EJ18" s="1">
        <f t="shared" si="32"/>
        <v>2813</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2"/>
        <v>2813</v>
      </c>
      <c r="EX18" s="1">
        <f t="shared" si="33"/>
        <v>2813</v>
      </c>
      <c r="EY18" s="1">
        <f t="shared" si="33"/>
        <v>2813</v>
      </c>
      <c r="EZ18" s="1">
        <f t="shared" si="33"/>
        <v>2813</v>
      </c>
      <c r="FA18" s="1">
        <f t="shared" si="33"/>
        <v>2813</v>
      </c>
      <c r="FB18" s="1">
        <f t="shared" si="33"/>
        <v>2813</v>
      </c>
      <c r="FC18" s="1">
        <f t="shared" si="33"/>
        <v>2813</v>
      </c>
      <c r="FD18" s="1">
        <f t="shared" si="33"/>
        <v>2813</v>
      </c>
      <c r="FE18" s="1">
        <f t="shared" si="33"/>
        <v>2813</v>
      </c>
      <c r="FG18" s="162">
        <f t="shared" si="34"/>
        <v>-0.13044942075237076</v>
      </c>
    </row>
    <row r="19" spans="1:163" ht="18.75" customHeight="1">
      <c r="A19" s="244" t="s">
        <v>66</v>
      </c>
      <c r="B19" s="247"/>
      <c r="C19" s="228">
        <f t="shared" si="5"/>
        <v>0</v>
      </c>
      <c r="D19" s="229">
        <v>-1</v>
      </c>
      <c r="E19" s="253">
        <f t="shared" si="6"/>
        <v>-0.28275898037681724</v>
      </c>
      <c r="F19" s="254">
        <f t="shared" si="7"/>
        <v>-0.30486711658685117</v>
      </c>
      <c r="G19" s="253">
        <f t="shared" si="8"/>
        <v>-4.1130978852575995E-3</v>
      </c>
      <c r="H19" s="254">
        <f t="shared" si="9"/>
        <v>-0.27864588249155964</v>
      </c>
      <c r="I19" s="253">
        <f t="shared" si="10"/>
        <v>-0.22966845051362483</v>
      </c>
      <c r="J19" s="254">
        <f t="shared" si="11"/>
        <v>-1.075037501327365</v>
      </c>
      <c r="K19" s="253">
        <f t="shared" si="12"/>
        <v>0.12053305608838283</v>
      </c>
      <c r="L19" s="254">
        <f t="shared" si="13"/>
        <v>-0.35020150660200766</v>
      </c>
      <c r="M19" s="255"/>
      <c r="N19" s="256">
        <v>0</v>
      </c>
      <c r="O19" s="253">
        <f t="shared" si="35"/>
        <v>9.6567571449088119E-2</v>
      </c>
      <c r="P19" s="257">
        <f t="shared" si="36"/>
        <v>9.6567571449088119E-2</v>
      </c>
      <c r="Q19" s="253">
        <f t="shared" si="14"/>
        <v>0</v>
      </c>
      <c r="R19" s="257">
        <v>-0.01</v>
      </c>
      <c r="S19" s="255"/>
      <c r="T19" s="256">
        <v>1</v>
      </c>
      <c r="U19" s="253">
        <f t="shared" si="15"/>
        <v>0.24969012500524923</v>
      </c>
      <c r="V19" s="258">
        <f t="shared" si="16"/>
        <v>0.24969012500524923</v>
      </c>
      <c r="W19" s="253">
        <f t="shared" si="38"/>
        <v>-0.10875142891917899</v>
      </c>
      <c r="X19" s="258">
        <f t="shared" si="17"/>
        <v>-0.10875142891917899</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4"/>
      <c r="AP19" s="28">
        <f>VLOOKUP($A19,historia!$A$5:$CM$24,+HLOOKUP(AP$2,historia!$A$3:$EC$4,2,FALSE),FALSE)</f>
        <v>3</v>
      </c>
      <c r="AQ19" s="28">
        <f>VLOOKUP($A19,historia!$A$5:$CM$24,+HLOOKUP(AQ$2,historia!$A$3:$EC$4,2,FALSE),FALSE)</f>
        <v>4</v>
      </c>
      <c r="AR19" s="28">
        <f>VLOOKUP($A19,historia!$A$5:$CM$24,+HLOOKUP(AR$2,historia!$A$3:$EC$4,2,FALSE),FALSE)</f>
        <v>4</v>
      </c>
      <c r="AS19" s="28">
        <f>VLOOKUP($A19,historia!$A$5:$CM$24,+HLOOKUP(AS$2,historia!$A$3:$EC$4,2,FALSE),FALSE)</f>
        <v>4</v>
      </c>
      <c r="AT19" s="58">
        <f>VLOOKUP($A19,historia!$A$5:$CM$24,+HLOOKUP(AT$2,historia!$A$3:$EC$4,2,FALSE),FALSE)</f>
        <v>4</v>
      </c>
      <c r="AU19" s="58">
        <f>VLOOKUP($A19,historia!$A$5:$CM$24,+HLOOKUP(AU$2,historia!$A$3:$EC$4,2,FALSE),FALSE)</f>
        <v>3</v>
      </c>
      <c r="AV19" s="58">
        <f>VLOOKUP($A19,historia!$A$5:$CM$24,+HLOOKUP(AV$2,historia!$A$3:$EC$4,2,FALSE),FALSE)</f>
        <v>3</v>
      </c>
      <c r="AW19" s="58">
        <f>VLOOKUP($A19,historia!$A$5:$CM$24,+HLOOKUP(AW$2,historia!$A$3:$EC$4,2,FALSE),FALSE)</f>
        <v>3</v>
      </c>
      <c r="AX19" s="58">
        <f>VLOOKUP($A19,historia!$A$5:$CM$24,+HLOOKUP(AX$2,historia!$A$3:$EC$4,2,FALSE),FALSE)</f>
        <v>3</v>
      </c>
      <c r="AY19" s="58">
        <f>VLOOKUP($A19,historia!$A$5:$CM$24,+HLOOKUP(AY$2,historia!$A$3:$EC$4,2,FALSE),FALSE)</f>
        <v>3</v>
      </c>
      <c r="AZ19" s="58">
        <f>VLOOKUP($A19,historia!$A$5:$CM$24,+HLOOKUP(AZ$2,historia!$A$3:$EC$4,2,FALSE),FALSE)</f>
        <v>3</v>
      </c>
      <c r="BA19" s="58">
        <f>VLOOKUP($A19,historia!$A$5:$CM$24,+HLOOKUP(BA$2,historia!$A$3:$EC$4,2,FALSE),FALSE)</f>
        <v>4</v>
      </c>
      <c r="BB19" s="58"/>
      <c r="BC19" s="286">
        <v>4</v>
      </c>
      <c r="BD19" t="str">
        <f t="shared" si="20"/>
        <v>Papa</v>
      </c>
      <c r="BE19">
        <f>+datos!AV1</f>
        <v>48</v>
      </c>
      <c r="BF19" s="2" t="str">
        <f t="shared" si="4"/>
        <v>$/bolsa 20kg</v>
      </c>
      <c r="BG19" s="2">
        <f t="shared" si="4"/>
        <v>3901.3333333333335</v>
      </c>
      <c r="BH19" s="2">
        <f t="shared" si="4"/>
        <v>5439.3617021276596</v>
      </c>
      <c r="BI19" s="2">
        <f t="shared" si="4"/>
        <v>5064.4859813084113</v>
      </c>
      <c r="BK19">
        <f>+datos!CI1</f>
        <v>87</v>
      </c>
      <c r="BL19" s="2">
        <f t="shared" si="21"/>
        <v>8949.4993879289832</v>
      </c>
      <c r="BM19" s="2">
        <f t="shared" si="21"/>
        <v>8986.4615840663555</v>
      </c>
      <c r="BN19" s="2">
        <f t="shared" si="21"/>
        <v>7986.8231814332885</v>
      </c>
      <c r="BP19" s="1">
        <f>+datos!EZ1</f>
        <v>156</v>
      </c>
      <c r="BQ19" s="1">
        <f t="shared" si="22"/>
        <v>38177</v>
      </c>
      <c r="BR19" s="1">
        <f t="shared" si="22"/>
        <v>34815</v>
      </c>
      <c r="BT19" s="1">
        <f>+datos!GT1</f>
        <v>202</v>
      </c>
      <c r="BU19" s="1">
        <f t="shared" si="23"/>
        <v>2111561</v>
      </c>
      <c r="BV19" s="1">
        <f t="shared" si="23"/>
        <v>2111561</v>
      </c>
      <c r="BX19" s="1">
        <f>+datos!JO1</f>
        <v>275</v>
      </c>
      <c r="BY19" s="1">
        <f t="shared" si="39"/>
        <v>403.07005897000005</v>
      </c>
      <c r="BZ19" s="1">
        <f t="shared" si="40"/>
        <v>322.53600384999999</v>
      </c>
      <c r="CB19" s="1">
        <f>+datos!KT1</f>
        <v>306</v>
      </c>
      <c r="CC19" s="2">
        <f t="shared" si="24"/>
        <v>16.763827540000001</v>
      </c>
      <c r="CD19" s="2">
        <f t="shared" si="25"/>
        <v>18.809373819999998</v>
      </c>
      <c r="CF19" s="1">
        <f>+datos!JB1</f>
        <v>262</v>
      </c>
      <c r="CG19" s="1">
        <f t="shared" si="26"/>
        <v>35.950000000000003</v>
      </c>
      <c r="CH19" s="1">
        <f t="shared" si="27"/>
        <v>35.950000000000003</v>
      </c>
      <c r="CJ19" s="1">
        <f t="shared" si="28"/>
        <v>28.030286839999999</v>
      </c>
      <c r="CK19" s="1">
        <f t="shared" si="28"/>
        <v>35.227965569999995</v>
      </c>
      <c r="CL19" s="1">
        <f t="shared" si="28"/>
        <v>43.313690020000003</v>
      </c>
      <c r="CM19" s="1">
        <f t="shared" si="28"/>
        <v>38.158354570000007</v>
      </c>
      <c r="CN19" s="1">
        <f t="shared" si="28"/>
        <v>36.879687310000008</v>
      </c>
      <c r="CO19" s="1">
        <f t="shared" si="28"/>
        <v>30.584450140000001</v>
      </c>
      <c r="CP19" s="1">
        <f t="shared" si="28"/>
        <v>34.87822036</v>
      </c>
      <c r="CQ19" s="1">
        <f t="shared" si="28"/>
        <v>30.986019150000001</v>
      </c>
      <c r="CR19" s="1">
        <f t="shared" si="28"/>
        <v>34.45773063</v>
      </c>
      <c r="CS19" s="1">
        <f t="shared" si="28"/>
        <v>33.675059580000003</v>
      </c>
      <c r="CT19" s="1">
        <f t="shared" si="28"/>
        <v>28.924508010000004</v>
      </c>
      <c r="CU19" s="1">
        <f t="shared" si="28"/>
        <v>27.954086790000002</v>
      </c>
      <c r="CV19" s="1">
        <f t="shared" si="28"/>
        <v>24.143815810000007</v>
      </c>
      <c r="CW19" s="1">
        <f t="shared" si="28"/>
        <v>26.000694290000002</v>
      </c>
      <c r="CX19" s="1">
        <f t="shared" si="28"/>
        <v>22.013274209999999</v>
      </c>
      <c r="CY19" s="1">
        <f t="shared" si="28"/>
        <v>23.44114875</v>
      </c>
      <c r="CZ19" s="1">
        <f t="shared" si="29"/>
        <v>29.35689408</v>
      </c>
      <c r="DA19" s="1">
        <f t="shared" si="29"/>
        <v>26.11967611</v>
      </c>
      <c r="DB19" s="1">
        <f t="shared" si="29"/>
        <v>30.386509889999999</v>
      </c>
      <c r="DC19" s="1">
        <f t="shared" si="29"/>
        <v>26.2743097</v>
      </c>
      <c r="DD19" s="1">
        <f t="shared" si="29"/>
        <v>30.80704394</v>
      </c>
      <c r="DE19" s="1">
        <f t="shared" si="29"/>
        <v>27.637267510000001</v>
      </c>
      <c r="DF19" s="1">
        <f t="shared" si="29"/>
        <v>30.470799569999997</v>
      </c>
      <c r="DG19" s="1">
        <f t="shared" si="29"/>
        <v>25.884569989999999</v>
      </c>
      <c r="DI19" s="1">
        <f t="shared" si="30"/>
        <v>0.79831189000000002</v>
      </c>
      <c r="DJ19" s="1">
        <f t="shared" si="30"/>
        <v>1.1318278900000001</v>
      </c>
      <c r="DK19" s="1">
        <f t="shared" si="30"/>
        <v>1.8442369199999997</v>
      </c>
      <c r="DL19" s="1">
        <f t="shared" si="30"/>
        <v>1.0529063700000001</v>
      </c>
      <c r="DM19" s="1">
        <f t="shared" si="30"/>
        <v>2.0286618900000004</v>
      </c>
      <c r="DN19" s="1">
        <f t="shared" si="30"/>
        <v>0.79104531999999994</v>
      </c>
      <c r="DO19" s="1">
        <f t="shared" si="30"/>
        <v>1.6294275100000002</v>
      </c>
      <c r="DP19" s="1">
        <f t="shared" si="30"/>
        <v>1.8725515799999999</v>
      </c>
      <c r="DQ19" s="1">
        <f t="shared" si="30"/>
        <v>1.9938344900000002</v>
      </c>
      <c r="DR19" s="1">
        <f t="shared" si="30"/>
        <v>1.4070700599999999</v>
      </c>
      <c r="DS19" s="1">
        <f t="shared" si="30"/>
        <v>0.5838748800000001</v>
      </c>
      <c r="DT19" s="1">
        <f t="shared" si="30"/>
        <v>1.6300787399999999</v>
      </c>
      <c r="DU19" s="1">
        <f t="shared" si="30"/>
        <v>1.5496506000000003</v>
      </c>
      <c r="DV19" s="1">
        <f t="shared" si="30"/>
        <v>2.1384397699999997</v>
      </c>
      <c r="DW19" s="1">
        <f t="shared" si="30"/>
        <v>2.7337765599999999</v>
      </c>
      <c r="DX19" s="1">
        <f t="shared" si="30"/>
        <v>1.0171737099999998</v>
      </c>
      <c r="DY19" s="1">
        <f t="shared" si="31"/>
        <v>1.9864389700000002</v>
      </c>
      <c r="DZ19" s="1">
        <f t="shared" si="31"/>
        <v>2.8868213899999997</v>
      </c>
      <c r="EA19" s="1">
        <f t="shared" si="31"/>
        <v>1.3747401999999997</v>
      </c>
      <c r="EB19" s="1">
        <f t="shared" si="31"/>
        <v>1.6364950999999999</v>
      </c>
      <c r="EC19" s="1">
        <f t="shared" si="31"/>
        <v>1.1348675200000002</v>
      </c>
      <c r="ED19" s="1">
        <f t="shared" si="31"/>
        <v>0.73241972</v>
      </c>
      <c r="EE19" s="1">
        <f t="shared" si="31"/>
        <v>1.2023484900000001</v>
      </c>
      <c r="EF19" s="1">
        <f t="shared" si="31"/>
        <v>0.41620179000000002</v>
      </c>
      <c r="EH19" s="14">
        <f t="shared" si="32"/>
        <v>35.950000000000003</v>
      </c>
      <c r="EI19" s="14">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2"/>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E19" s="1">
        <f t="shared" si="33"/>
        <v>35.950000000000003</v>
      </c>
      <c r="FG19" s="162">
        <f t="shared" si="34"/>
        <v>-0.35020150660200766</v>
      </c>
    </row>
    <row r="20" spans="1:163" ht="18.75" customHeight="1">
      <c r="A20" s="264" t="s">
        <v>218</v>
      </c>
      <c r="B20" s="246"/>
      <c r="C20" s="156">
        <f t="shared" si="5"/>
        <v>0</v>
      </c>
      <c r="D20" s="198">
        <v>-1</v>
      </c>
      <c r="E20" s="248">
        <f t="shared" si="6"/>
        <v>-0.1012777003096389</v>
      </c>
      <c r="F20" s="249">
        <f t="shared" si="7"/>
        <v>-0.12338583651967283</v>
      </c>
      <c r="G20" s="248">
        <f t="shared" si="8"/>
        <v>1.7516977283442259E-2</v>
      </c>
      <c r="H20" s="249">
        <f t="shared" si="9"/>
        <v>-0.11879467759308115</v>
      </c>
      <c r="I20" s="248">
        <f t="shared" si="10"/>
        <v>0.59437397415263016</v>
      </c>
      <c r="J20" s="249">
        <f t="shared" si="11"/>
        <v>-0.25099507666110998</v>
      </c>
      <c r="K20" s="248">
        <f t="shared" si="12"/>
        <v>0.5137601668304681</v>
      </c>
      <c r="L20" s="249">
        <f t="shared" si="13"/>
        <v>8.0613807322162057E-2</v>
      </c>
      <c r="M20" s="250"/>
      <c r="N20" s="24">
        <v>-1</v>
      </c>
      <c r="O20" s="248">
        <f t="shared" si="35"/>
        <v>0</v>
      </c>
      <c r="P20" s="251">
        <f t="shared" si="36"/>
        <v>0</v>
      </c>
      <c r="Q20" s="248">
        <f t="shared" si="14"/>
        <v>1.2919253682281973E-2</v>
      </c>
      <c r="R20" s="251">
        <f t="shared" si="37"/>
        <v>1.2919253682281973E-2</v>
      </c>
      <c r="S20" s="250"/>
      <c r="T20" s="24">
        <v>2</v>
      </c>
      <c r="U20" s="248">
        <f t="shared" si="15"/>
        <v>0.15604875825587672</v>
      </c>
      <c r="V20" s="252">
        <f t="shared" si="16"/>
        <v>0.15604875825587672</v>
      </c>
      <c r="W20" s="248">
        <f t="shared" si="38"/>
        <v>-0.63590565114649955</v>
      </c>
      <c r="X20" s="252">
        <f t="shared" si="17"/>
        <v>-0.63590565114649955</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4"/>
      <c r="AP20" s="28">
        <f>VLOOKUP($A20,historia!$A$5:$CM$24,+HLOOKUP(AP$2,historia!$A$3:$EC$4,2,FALSE),FALSE)</f>
        <v>3</v>
      </c>
      <c r="AQ20" s="28">
        <f>VLOOKUP($A20,historia!$A$5:$CM$24,+HLOOKUP(AQ$2,historia!$A$3:$EC$4,2,FALSE),FALSE)</f>
        <v>4</v>
      </c>
      <c r="AR20" s="28">
        <f>VLOOKUP($A20,historia!$A$5:$CM$24,+HLOOKUP(AR$2,historia!$A$3:$EC$4,2,FALSE),FALSE)</f>
        <v>4</v>
      </c>
      <c r="AS20" s="28">
        <f>VLOOKUP($A20,historia!$A$5:$CM$24,+HLOOKUP(AS$2,historia!$A$3:$EC$4,2,FALSE),FALSE)</f>
        <v>4</v>
      </c>
      <c r="AT20" s="58">
        <f>VLOOKUP($A20,historia!$A$5:$CM$24,+HLOOKUP(AT$2,historia!$A$3:$EC$4,2,FALSE),FALSE)</f>
        <v>4</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3</v>
      </c>
      <c r="AY20" s="58">
        <f>VLOOKUP($A20,historia!$A$5:$CM$24,+HLOOKUP(AY$2,historia!$A$3:$EC$4,2,FALSE),FALSE)</f>
        <v>3</v>
      </c>
      <c r="AZ20" s="58">
        <f>VLOOKUP($A20,historia!$A$5:$CM$24,+HLOOKUP(AZ$2,historia!$A$3:$EC$4,2,FALSE),FALSE)</f>
        <v>3</v>
      </c>
      <c r="BA20" s="58">
        <f>VLOOKUP($A20,historia!$A$5:$CM$24,+HLOOKUP(BA$2,historia!$A$3:$EC$4,2,FALSE),FALSE)</f>
        <v>3</v>
      </c>
      <c r="BB20" s="58"/>
      <c r="BC20" s="286">
        <v>3</v>
      </c>
      <c r="BD20" t="str">
        <f t="shared" si="20"/>
        <v>Peras y Manzanas</v>
      </c>
      <c r="BE20">
        <f>+datos!AP1</f>
        <v>42</v>
      </c>
      <c r="BF20" s="2" t="str">
        <f t="shared" si="4"/>
        <v>$/caja 18kg</v>
      </c>
      <c r="BG20" s="2">
        <f t="shared" si="4"/>
        <v>18191.227272727272</v>
      </c>
      <c r="BH20" s="2">
        <f t="shared" si="4"/>
        <v>20241.21052631579</v>
      </c>
      <c r="BI20" s="2">
        <f t="shared" si="4"/>
        <v>11409.636363636364</v>
      </c>
      <c r="BK20">
        <f>+datos!CS1</f>
        <v>97</v>
      </c>
      <c r="BL20" s="2">
        <f t="shared" si="21"/>
        <v>9494.9824859176297</v>
      </c>
      <c r="BM20" s="2">
        <f t="shared" si="21"/>
        <v>9331.5224196722975</v>
      </c>
      <c r="BN20" s="2">
        <f t="shared" si="21"/>
        <v>6272.4483666381275</v>
      </c>
      <c r="BP20" s="1">
        <f>+datos!FC1</f>
        <v>159</v>
      </c>
      <c r="BQ20" s="1">
        <f t="shared" si="22"/>
        <v>38084</v>
      </c>
      <c r="BR20" s="1">
        <f t="shared" si="22"/>
        <v>38084</v>
      </c>
      <c r="BT20" s="1">
        <f>+datos!GW1</f>
        <v>205</v>
      </c>
      <c r="BU20" s="1">
        <f t="shared" si="23"/>
        <v>773454</v>
      </c>
      <c r="BV20" s="1">
        <f t="shared" si="23"/>
        <v>763589</v>
      </c>
      <c r="BX20" s="1">
        <f>+datos!LS1</f>
        <v>331</v>
      </c>
      <c r="BY20" s="1">
        <f t="shared" si="39"/>
        <v>411.20848240999999</v>
      </c>
      <c r="BZ20" s="1">
        <f t="shared" si="40"/>
        <v>355.70167735000001</v>
      </c>
      <c r="CB20" s="1">
        <f>+datos!LW1</f>
        <v>335</v>
      </c>
      <c r="CC20" s="2">
        <f t="shared" si="24"/>
        <v>2.7958361800000002</v>
      </c>
      <c r="CD20" s="2">
        <f t="shared" si="25"/>
        <v>7.6788782600000003</v>
      </c>
      <c r="CF20" s="1">
        <f>+datos!JC1</f>
        <v>263</v>
      </c>
      <c r="CG20" s="1">
        <f t="shared" si="26"/>
        <v>0</v>
      </c>
      <c r="CH20" s="1">
        <f t="shared" si="27"/>
        <v>0</v>
      </c>
      <c r="CJ20" s="1">
        <f t="shared" si="28"/>
        <v>23.934850630000003</v>
      </c>
      <c r="CK20" s="1">
        <f t="shared" si="28"/>
        <v>23.934850630000003</v>
      </c>
      <c r="CL20" s="1">
        <f t="shared" si="28"/>
        <v>23.934850630000003</v>
      </c>
      <c r="CM20" s="1">
        <f t="shared" si="28"/>
        <v>25.188374430000003</v>
      </c>
      <c r="CN20" s="1">
        <f t="shared" si="28"/>
        <v>22.303018159999997</v>
      </c>
      <c r="CO20" s="1">
        <f t="shared" si="28"/>
        <v>14.93334776</v>
      </c>
      <c r="CP20" s="1">
        <f t="shared" si="28"/>
        <v>35.336569390000001</v>
      </c>
      <c r="CQ20" s="1">
        <f t="shared" si="28"/>
        <v>46.662709379999995</v>
      </c>
      <c r="CR20" s="1">
        <f t="shared" si="28"/>
        <v>45.302769560000002</v>
      </c>
      <c r="CS20" s="1">
        <f t="shared" si="28"/>
        <v>46.856289650000001</v>
      </c>
      <c r="CT20" s="1">
        <f t="shared" si="28"/>
        <v>60.076282149999997</v>
      </c>
      <c r="CU20" s="1">
        <f t="shared" si="28"/>
        <v>42.744570039999999</v>
      </c>
      <c r="CV20" s="1">
        <f t="shared" si="28"/>
        <v>11.509203560000001</v>
      </c>
      <c r="CW20" s="1">
        <f t="shared" si="28"/>
        <v>11.753879789999999</v>
      </c>
      <c r="CX20" s="1">
        <f t="shared" si="28"/>
        <v>15.619426270000002</v>
      </c>
      <c r="CY20" s="1">
        <f t="shared" si="28"/>
        <v>16.880359240000001</v>
      </c>
      <c r="CZ20" s="1">
        <f t="shared" si="29"/>
        <v>24.204094699999999</v>
      </c>
      <c r="DA20" s="1">
        <f t="shared" si="29"/>
        <v>25.300599699999999</v>
      </c>
      <c r="DB20" s="1">
        <f t="shared" si="29"/>
        <v>48.042350899999995</v>
      </c>
      <c r="DC20" s="1">
        <f t="shared" si="29"/>
        <v>30.317151650000003</v>
      </c>
      <c r="DD20" s="1">
        <f t="shared" si="29"/>
        <v>39.830023670000003</v>
      </c>
      <c r="DE20" s="1">
        <f t="shared" si="29"/>
        <v>48.212206680000008</v>
      </c>
      <c r="DF20" s="1">
        <f t="shared" si="29"/>
        <v>46.755406350000001</v>
      </c>
      <c r="DG20" s="1">
        <f t="shared" si="29"/>
        <v>37.276974840000001</v>
      </c>
      <c r="DI20" s="1">
        <f t="shared" si="30"/>
        <v>0.18245199000000001</v>
      </c>
      <c r="DJ20" s="1">
        <f t="shared" si="30"/>
        <v>6.8745290000000001E-2</v>
      </c>
      <c r="DK20" s="1">
        <f t="shared" si="30"/>
        <v>0.21798748000000001</v>
      </c>
      <c r="DL20" s="1">
        <f t="shared" si="30"/>
        <v>7.9820000000000002E-2</v>
      </c>
      <c r="DM20" s="1">
        <f t="shared" si="30"/>
        <v>0.14837025000000001</v>
      </c>
      <c r="DN20" s="1">
        <f t="shared" si="30"/>
        <v>0.3865221499999999</v>
      </c>
      <c r="DO20" s="1">
        <f t="shared" si="30"/>
        <v>0.51794252000000007</v>
      </c>
      <c r="DP20" s="1">
        <f t="shared" si="30"/>
        <v>0.37362660000000003</v>
      </c>
      <c r="DQ20" s="1">
        <f t="shared" si="30"/>
        <v>0.32288670000000003</v>
      </c>
      <c r="DR20" s="1">
        <f t="shared" si="30"/>
        <v>0.29487440000000004</v>
      </c>
      <c r="DS20" s="1">
        <f t="shared" si="30"/>
        <v>7.78142E-2</v>
      </c>
      <c r="DT20" s="1">
        <f t="shared" si="30"/>
        <v>0.12479459999999999</v>
      </c>
      <c r="DU20" s="1">
        <f t="shared" si="30"/>
        <v>8.4911199999999992E-2</v>
      </c>
      <c r="DV20" s="1">
        <f t="shared" si="30"/>
        <v>0.22142464000000001</v>
      </c>
      <c r="DW20" s="1">
        <f t="shared" si="30"/>
        <v>1.01853964</v>
      </c>
      <c r="DX20" s="1">
        <f t="shared" si="30"/>
        <v>0.30728509999999998</v>
      </c>
      <c r="DY20" s="1">
        <f t="shared" si="31"/>
        <v>0.37410640000000001</v>
      </c>
      <c r="DZ20" s="1">
        <f t="shared" si="31"/>
        <v>0.35746821000000001</v>
      </c>
      <c r="EA20" s="1">
        <f t="shared" si="31"/>
        <v>0.95829101000000005</v>
      </c>
      <c r="EB20" s="1">
        <f t="shared" si="31"/>
        <v>0.34636184000000003</v>
      </c>
      <c r="EC20" s="1">
        <f t="shared" si="31"/>
        <v>1.2547095300000002</v>
      </c>
      <c r="ED20" s="1">
        <f t="shared" si="31"/>
        <v>1.273682</v>
      </c>
      <c r="EE20" s="1">
        <f t="shared" si="31"/>
        <v>0.92279571000000005</v>
      </c>
      <c r="EF20" s="1">
        <f t="shared" si="31"/>
        <v>0.55930298000000001</v>
      </c>
      <c r="EH20" s="14">
        <f t="shared" si="32"/>
        <v>0</v>
      </c>
      <c r="EI20" s="14">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2"/>
        <v>0</v>
      </c>
      <c r="EX20" s="1">
        <f t="shared" si="33"/>
        <v>0</v>
      </c>
      <c r="EY20" s="1">
        <f t="shared" si="33"/>
        <v>0</v>
      </c>
      <c r="EZ20" s="1">
        <f t="shared" si="33"/>
        <v>0</v>
      </c>
      <c r="FA20" s="1">
        <f t="shared" si="33"/>
        <v>0</v>
      </c>
      <c r="FB20" s="1">
        <f t="shared" si="33"/>
        <v>0</v>
      </c>
      <c r="FC20" s="1">
        <f t="shared" si="33"/>
        <v>0</v>
      </c>
      <c r="FD20" s="1">
        <f t="shared" si="33"/>
        <v>0</v>
      </c>
      <c r="FE20" s="1">
        <f t="shared" si="33"/>
        <v>0</v>
      </c>
      <c r="FG20" s="162">
        <f t="shared" si="34"/>
        <v>8.0613807322162057E-2</v>
      </c>
    </row>
    <row r="21" spans="1:163" ht="18.75" customHeight="1">
      <c r="A21" s="244" t="s">
        <v>121</v>
      </c>
      <c r="B21" s="247"/>
      <c r="C21" s="228">
        <f t="shared" si="5"/>
        <v>0</v>
      </c>
      <c r="D21" s="229">
        <v>-2</v>
      </c>
      <c r="E21" s="253">
        <f t="shared" si="6"/>
        <v>3.3825844581515829E-2</v>
      </c>
      <c r="F21" s="254">
        <f t="shared" si="7"/>
        <v>1.1717708371481894E-2</v>
      </c>
      <c r="G21" s="253">
        <f t="shared" si="8"/>
        <v>9.1793099016282076E-2</v>
      </c>
      <c r="H21" s="254">
        <f t="shared" si="9"/>
        <v>-5.7967254434766247E-2</v>
      </c>
      <c r="I21" s="253">
        <f t="shared" si="10"/>
        <v>0.41454308699058662</v>
      </c>
      <c r="J21" s="254">
        <f t="shared" si="11"/>
        <v>-0.43082596382315352</v>
      </c>
      <c r="K21" s="253">
        <f t="shared" si="12"/>
        <v>0.42943426226364423</v>
      </c>
      <c r="L21" s="254">
        <f t="shared" si="13"/>
        <v>-1.4891175273057611E-2</v>
      </c>
      <c r="M21" s="255"/>
      <c r="N21" s="256">
        <v>1</v>
      </c>
      <c r="O21" s="253">
        <f t="shared" si="35"/>
        <v>3.8695172963417956E-2</v>
      </c>
      <c r="P21" s="257">
        <f t="shared" si="36"/>
        <v>3.8695172963417956E-2</v>
      </c>
      <c r="Q21" s="253">
        <f t="shared" si="14"/>
        <v>3.6482916844259972E-2</v>
      </c>
      <c r="R21" s="257">
        <f t="shared" si="37"/>
        <v>3.6482916844259972E-2</v>
      </c>
      <c r="S21" s="255"/>
      <c r="T21" s="256">
        <v>1</v>
      </c>
      <c r="U21" s="253">
        <f t="shared" si="15"/>
        <v>0.42305582150574361</v>
      </c>
      <c r="V21" s="258">
        <f t="shared" si="16"/>
        <v>0.42305582150574361</v>
      </c>
      <c r="W21" s="253">
        <f t="shared" si="38"/>
        <v>0.69954179076526946</v>
      </c>
      <c r="X21" s="258">
        <f t="shared" si="17"/>
        <v>0.69954179076526946</v>
      </c>
      <c r="Y21" s="253">
        <f t="shared" si="18"/>
        <v>4.9760191846522916E-2</v>
      </c>
      <c r="Z21" s="258">
        <f t="shared" si="19"/>
        <v>4.9760191846522916E-2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4"/>
      <c r="AP21" s="28">
        <f>VLOOKUP($A21,historia!$A$5:$CM$24,+HLOOKUP(AP$2,historia!$A$3:$EC$4,2,FALSE),FALSE)</f>
        <v>2</v>
      </c>
      <c r="AQ21" s="28">
        <f>VLOOKUP($A21,historia!$A$5:$CM$24,+HLOOKUP(AQ$2,historia!$A$3:$EC$4,2,FALSE),FALSE)</f>
        <v>4</v>
      </c>
      <c r="AR21" s="28">
        <f>VLOOKUP($A21,historia!$A$5:$CM$24,+HLOOKUP(AR$2,historia!$A$3:$EC$4,2,FALSE),FALSE)</f>
        <v>5</v>
      </c>
      <c r="AS21" s="28">
        <f>VLOOKUP($A21,historia!$A$5:$CM$24,+HLOOKUP(AS$2,historia!$A$3:$EC$4,2,FALSE),FALSE)</f>
        <v>3</v>
      </c>
      <c r="AT21" s="58">
        <f>VLOOKUP($A21,historia!$A$5:$CM$24,+HLOOKUP(AT$2,historia!$A$3:$EC$4,2,FALSE),FALSE)</f>
        <v>4</v>
      </c>
      <c r="AU21" s="58">
        <f>VLOOKUP($A21,historia!$A$5:$CM$24,+HLOOKUP(AU$2,historia!$A$3:$EC$4,2,FALSE),FALSE)</f>
        <v>3</v>
      </c>
      <c r="AV21" s="58">
        <f>VLOOKUP($A21,historia!$A$5:$CM$24,+HLOOKUP(AV$2,historia!$A$3:$EC$4,2,FALSE),FALSE)</f>
        <v>3</v>
      </c>
      <c r="AW21" s="58">
        <f>VLOOKUP($A21,historia!$A$5:$CM$24,+HLOOKUP(AW$2,historia!$A$3:$EC$4,2,FALSE),FALSE)</f>
        <v>3</v>
      </c>
      <c r="AX21" s="58">
        <f>VLOOKUP($A21,historia!$A$5:$CM$24,+HLOOKUP(AX$2,historia!$A$3:$EC$4,2,FALSE),FALSE)</f>
        <v>3</v>
      </c>
      <c r="AY21" s="58">
        <f>VLOOKUP($A21,historia!$A$5:$CM$24,+HLOOKUP(AY$2,historia!$A$3:$EC$4,2,FALSE),FALSE)</f>
        <v>3</v>
      </c>
      <c r="AZ21" s="58">
        <f>VLOOKUP($A21,historia!$A$5:$CM$24,+HLOOKUP(AZ$2,historia!$A$3:$EC$4,2,FALSE),FALSE)</f>
        <v>3</v>
      </c>
      <c r="BA21" s="58">
        <f>VLOOKUP($A21,historia!$A$5:$CM$24,+HLOOKUP(BA$2,historia!$A$3:$EC$4,2,FALSE),FALSE)</f>
        <v>2</v>
      </c>
      <c r="BB21" s="58"/>
      <c r="BC21" s="286">
        <v>2</v>
      </c>
      <c r="BD21" t="str">
        <f t="shared" si="20"/>
        <v>Porcinos</v>
      </c>
      <c r="BE21">
        <f>+datos!BR1</f>
        <v>70</v>
      </c>
      <c r="BF21" s="2" t="str">
        <f t="shared" si="4"/>
        <v>$/kg</v>
      </c>
      <c r="BG21" s="2">
        <f t="shared" si="4"/>
        <v>1602.3059999999998</v>
      </c>
      <c r="BH21" s="2">
        <f t="shared" si="4"/>
        <v>1549.88</v>
      </c>
      <c r="BI21" s="2">
        <f t="shared" si="4"/>
        <v>1132.7375000000002</v>
      </c>
      <c r="BK21">
        <f>+datos!DD1</f>
        <v>108</v>
      </c>
      <c r="BL21" s="2">
        <f t="shared" si="21"/>
        <v>9978.5797412305801</v>
      </c>
      <c r="BM21" s="2">
        <f t="shared" si="21"/>
        <v>9139.625218570618</v>
      </c>
      <c r="BN21" s="2">
        <f t="shared" si="21"/>
        <v>6980.7895365741106</v>
      </c>
      <c r="BP21" s="1">
        <f>+datos!EJ1</f>
        <v>140</v>
      </c>
      <c r="BQ21" s="1">
        <f t="shared" si="22"/>
        <v>6115215</v>
      </c>
      <c r="BR21" s="1">
        <f t="shared" si="22"/>
        <v>5887401</v>
      </c>
      <c r="BT21" s="1">
        <f>+datos!HE1</f>
        <v>213</v>
      </c>
      <c r="BU21" s="1">
        <f t="shared" si="23"/>
        <v>787897</v>
      </c>
      <c r="BV21" s="1">
        <f t="shared" si="23"/>
        <v>760164</v>
      </c>
      <c r="BX21" s="1">
        <f>+datos!KJ1</f>
        <v>296</v>
      </c>
      <c r="BY21" s="1">
        <f t="shared" si="39"/>
        <v>27.02860325</v>
      </c>
      <c r="BZ21" s="1">
        <f t="shared" si="40"/>
        <v>18.993354189999994</v>
      </c>
      <c r="CB21" s="1">
        <f>+datos!LO1</f>
        <v>327</v>
      </c>
      <c r="CC21" s="2">
        <f t="shared" si="24"/>
        <v>82.792726310000006</v>
      </c>
      <c r="CD21" s="2">
        <f t="shared" si="25"/>
        <v>48.714734029999995</v>
      </c>
      <c r="CF21" s="1">
        <f>+datos!IO1</f>
        <v>249</v>
      </c>
      <c r="CG21" s="1">
        <f t="shared" si="26"/>
        <v>17.510000000000002</v>
      </c>
      <c r="CH21" s="1">
        <f t="shared" si="27"/>
        <v>16.68</v>
      </c>
      <c r="CJ21" s="1">
        <f t="shared" si="28"/>
        <v>1.4111442899999997</v>
      </c>
      <c r="CK21" s="1">
        <f t="shared" si="28"/>
        <v>1.9463367499999997</v>
      </c>
      <c r="CL21" s="1">
        <f t="shared" si="28"/>
        <v>1.6096260199999999</v>
      </c>
      <c r="CM21" s="1">
        <f t="shared" si="28"/>
        <v>3.1723580499999997</v>
      </c>
      <c r="CN21" s="1">
        <f t="shared" si="28"/>
        <v>2.1279038099999998</v>
      </c>
      <c r="CO21" s="1">
        <f t="shared" si="28"/>
        <v>2.3778769799999995</v>
      </c>
      <c r="CP21" s="1">
        <f t="shared" si="28"/>
        <v>4.3175895799999999</v>
      </c>
      <c r="CQ21" s="1">
        <f t="shared" si="28"/>
        <v>2.7596131099999996</v>
      </c>
      <c r="CR21" s="1">
        <f t="shared" si="28"/>
        <v>1.9296841299999996</v>
      </c>
      <c r="CS21" s="1">
        <f t="shared" si="28"/>
        <v>2.2533318799999997</v>
      </c>
      <c r="CT21" s="1">
        <f t="shared" si="28"/>
        <v>1.55421593</v>
      </c>
      <c r="CU21" s="1">
        <f t="shared" si="28"/>
        <v>1.56892272</v>
      </c>
      <c r="CV21" s="1">
        <f t="shared" si="28"/>
        <v>1.2009935999999999</v>
      </c>
      <c r="CW21" s="1">
        <f t="shared" si="28"/>
        <v>1.5576121499999998</v>
      </c>
      <c r="CX21" s="1">
        <f t="shared" si="28"/>
        <v>1.3743196699999998</v>
      </c>
      <c r="CY21" s="1">
        <f t="shared" si="28"/>
        <v>1.4110336399999999</v>
      </c>
      <c r="CZ21" s="1">
        <f t="shared" si="29"/>
        <v>1.8830951399999996</v>
      </c>
      <c r="DA21" s="1">
        <f t="shared" si="29"/>
        <v>1.4694087300000001</v>
      </c>
      <c r="DB21" s="1">
        <f t="shared" si="29"/>
        <v>2.0502103900000002</v>
      </c>
      <c r="DC21" s="1">
        <f t="shared" si="29"/>
        <v>1.8176867299999997</v>
      </c>
      <c r="DD21" s="1">
        <f t="shared" si="29"/>
        <v>1.2719750699999999</v>
      </c>
      <c r="DE21" s="1">
        <f t="shared" si="29"/>
        <v>1.5228158499999997</v>
      </c>
      <c r="DF21" s="1">
        <f t="shared" si="29"/>
        <v>1.32254655</v>
      </c>
      <c r="DG21" s="1">
        <f t="shared" si="29"/>
        <v>2.1116566699999999</v>
      </c>
      <c r="DI21" s="1">
        <f t="shared" si="30"/>
        <v>14.265215759999998</v>
      </c>
      <c r="DJ21" s="1">
        <f t="shared" si="30"/>
        <v>16.354180840000001</v>
      </c>
      <c r="DK21" s="1">
        <f t="shared" si="30"/>
        <v>10.919699229999997</v>
      </c>
      <c r="DL21" s="1">
        <f t="shared" si="30"/>
        <v>10.87912704</v>
      </c>
      <c r="DM21" s="1">
        <f t="shared" si="30"/>
        <v>7.3519509899999989</v>
      </c>
      <c r="DN21" s="1">
        <f t="shared" si="30"/>
        <v>4.9251834299999988</v>
      </c>
      <c r="DO21" s="1">
        <f t="shared" si="30"/>
        <v>2.5935797799999998</v>
      </c>
      <c r="DP21" s="1">
        <f t="shared" si="30"/>
        <v>1.7163214500000001</v>
      </c>
      <c r="DQ21" s="1">
        <f t="shared" si="30"/>
        <v>2.7920763000000002</v>
      </c>
      <c r="DR21" s="1">
        <f t="shared" si="30"/>
        <v>3.5088459899999997</v>
      </c>
      <c r="DS21" s="1">
        <f t="shared" si="30"/>
        <v>2.2524288500000003</v>
      </c>
      <c r="DT21" s="1">
        <f t="shared" si="30"/>
        <v>5.2341166499999998</v>
      </c>
      <c r="DU21" s="1">
        <f t="shared" si="30"/>
        <v>3.1162246899999997</v>
      </c>
      <c r="DV21" s="1">
        <f t="shared" si="30"/>
        <v>3.3747357299999998</v>
      </c>
      <c r="DW21" s="1">
        <f t="shared" si="30"/>
        <v>1.8536983500000002</v>
      </c>
      <c r="DX21" s="1">
        <f t="shared" ref="DX21:EF24" si="41">+VLOOKUP(DX$1,ran_dat,$CB21,FALSE)</f>
        <v>2.01592043</v>
      </c>
      <c r="DY21" s="1">
        <f t="shared" si="41"/>
        <v>3.3244473500000002</v>
      </c>
      <c r="DZ21" s="1">
        <f t="shared" si="41"/>
        <v>2.84758625</v>
      </c>
      <c r="EA21" s="1">
        <f t="shared" si="41"/>
        <v>4.1641835499999997</v>
      </c>
      <c r="EB21" s="1">
        <f t="shared" si="41"/>
        <v>4.5685913500000002</v>
      </c>
      <c r="EC21" s="1">
        <f t="shared" si="41"/>
        <v>6.3615663699999985</v>
      </c>
      <c r="ED21" s="1">
        <f t="shared" si="41"/>
        <v>5.5541627499999997</v>
      </c>
      <c r="EE21" s="1">
        <f t="shared" si="41"/>
        <v>6.8596205599999998</v>
      </c>
      <c r="EF21" s="1">
        <f t="shared" si="41"/>
        <v>4.6739966500000012</v>
      </c>
      <c r="EH21" s="14">
        <f t="shared" si="32"/>
        <v>17.510000000000002</v>
      </c>
      <c r="EI21" s="14">
        <f t="shared" si="32"/>
        <v>17.13</v>
      </c>
      <c r="EJ21" s="1">
        <f t="shared" si="32"/>
        <v>16.89</v>
      </c>
      <c r="EK21" s="1">
        <f t="shared" si="32"/>
        <v>16.87</v>
      </c>
      <c r="EL21" s="1">
        <f t="shared" si="32"/>
        <v>16.8</v>
      </c>
      <c r="EM21" s="1">
        <f t="shared" si="32"/>
        <v>16.760000000000002</v>
      </c>
      <c r="EN21" s="1">
        <f t="shared" si="32"/>
        <v>16.84</v>
      </c>
      <c r="EO21" s="1">
        <f t="shared" si="32"/>
        <v>16.64</v>
      </c>
      <c r="EP21" s="1">
        <f t="shared" si="32"/>
        <v>16.68</v>
      </c>
      <c r="EQ21" s="1">
        <f t="shared" si="32"/>
        <v>16.62</v>
      </c>
      <c r="ER21" s="1">
        <f t="shared" si="32"/>
        <v>16.5</v>
      </c>
      <c r="ES21" s="1">
        <f t="shared" si="32"/>
        <v>16.64</v>
      </c>
      <c r="ET21" s="1">
        <f t="shared" si="32"/>
        <v>16.68</v>
      </c>
      <c r="EU21" s="1">
        <f t="shared" si="32"/>
        <v>16.72</v>
      </c>
      <c r="EV21" s="1">
        <f t="shared" si="32"/>
        <v>16.75</v>
      </c>
      <c r="EW21" s="1">
        <f t="shared" ref="EW21:FE24" si="42">+VLOOKUP(EW$1,ran_dat,$CF21,FALSE)</f>
        <v>16.760000000000002</v>
      </c>
      <c r="EX21" s="1">
        <f t="shared" si="42"/>
        <v>16.71</v>
      </c>
      <c r="EY21" s="1">
        <f t="shared" si="42"/>
        <v>16.68</v>
      </c>
      <c r="EZ21" s="1">
        <f t="shared" si="42"/>
        <v>16.670000000000002</v>
      </c>
      <c r="FA21" s="1">
        <f t="shared" si="42"/>
        <v>16.670000000000002</v>
      </c>
      <c r="FB21" s="1">
        <f t="shared" si="42"/>
        <v>16.72</v>
      </c>
      <c r="FC21" s="1">
        <f t="shared" si="42"/>
        <v>16.77</v>
      </c>
      <c r="FD21" s="1">
        <f t="shared" si="42"/>
        <v>16.88</v>
      </c>
      <c r="FE21" s="1">
        <f t="shared" si="42"/>
        <v>16.93</v>
      </c>
      <c r="FG21" s="162">
        <f t="shared" si="34"/>
        <v>-1.4891175273057611E-2</v>
      </c>
    </row>
    <row r="22" spans="1:163" ht="18.75" customHeight="1">
      <c r="A22" s="243" t="s">
        <v>75</v>
      </c>
      <c r="B22" s="246"/>
      <c r="C22" s="156">
        <f t="shared" si="5"/>
        <v>0.66</v>
      </c>
      <c r="D22" s="198">
        <v>1</v>
      </c>
      <c r="E22" s="248">
        <f t="shared" si="6"/>
        <v>0</v>
      </c>
      <c r="F22" s="249">
        <f t="shared" si="7"/>
        <v>-2.2108136210033935E-2</v>
      </c>
      <c r="G22" s="248">
        <f t="shared" si="8"/>
        <v>3.1657632326866247E-2</v>
      </c>
      <c r="H22" s="249">
        <f t="shared" si="9"/>
        <v>-3.1657632326866247E-2</v>
      </c>
      <c r="I22" s="248">
        <f t="shared" si="10"/>
        <v>0.30319148936170204</v>
      </c>
      <c r="J22" s="249">
        <f t="shared" si="11"/>
        <v>-0.5421775614520381</v>
      </c>
      <c r="K22" s="248">
        <f t="shared" si="12"/>
        <v>0.63176216098993954</v>
      </c>
      <c r="L22" s="249">
        <f t="shared" si="13"/>
        <v>-0.3285706716282375</v>
      </c>
      <c r="M22" s="250"/>
      <c r="N22" s="24">
        <v>0</v>
      </c>
      <c r="O22" s="248">
        <f t="shared" si="35"/>
        <v>0.10289900078548864</v>
      </c>
      <c r="P22" s="251">
        <f t="shared" si="36"/>
        <v>0.10289900078548864</v>
      </c>
      <c r="Q22" s="248">
        <f t="shared" si="14"/>
        <v>0.17001165379676175</v>
      </c>
      <c r="R22" s="251">
        <f t="shared" si="37"/>
        <v>0.17001165379676175</v>
      </c>
      <c r="S22" s="250"/>
      <c r="T22" s="24">
        <v>1</v>
      </c>
      <c r="U22" s="248">
        <f t="shared" si="15"/>
        <v>-0.11851531280823724</v>
      </c>
      <c r="V22" s="252">
        <f t="shared" si="16"/>
        <v>-0.11851531280823724</v>
      </c>
      <c r="W22" s="248">
        <f t="shared" si="38"/>
        <v>-0.14452439748424639</v>
      </c>
      <c r="X22" s="252">
        <f t="shared" si="17"/>
        <v>-0.14452439748424639</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4"/>
      <c r="AP22" s="28">
        <f>VLOOKUP($A22,historia!$A$5:$CM$24,+HLOOKUP(AP$2,historia!$A$3:$EC$4,2,FALSE),FALSE)</f>
        <v>3</v>
      </c>
      <c r="AQ22" s="28">
        <f>VLOOKUP($A22,historia!$A$5:$CM$24,+HLOOKUP(AQ$2,historia!$A$3:$EC$4,2,FALSE),FALSE)</f>
        <v>4</v>
      </c>
      <c r="AR22" s="28">
        <f>VLOOKUP($A22,historia!$A$5:$CM$24,+HLOOKUP(AR$2,historia!$A$3:$EC$4,2,FALSE),FALSE)</f>
        <v>4</v>
      </c>
      <c r="AS22" s="28">
        <f>VLOOKUP($A22,historia!$A$5:$CM$24,+HLOOKUP(AS$2,historia!$A$3:$EC$4,2,FALSE),FALSE)</f>
        <v>3</v>
      </c>
      <c r="AT22" s="58">
        <f>VLOOKUP($A22,historia!$A$5:$CM$24,+HLOOKUP(AT$2,historia!$A$3:$EC$4,2,FALSE),FALSE)</f>
        <v>2</v>
      </c>
      <c r="AU22" s="58">
        <f>VLOOKUP($A22,historia!$A$5:$CM$24,+HLOOKUP(AU$2,historia!$A$3:$EC$4,2,FALSE),FALSE)</f>
        <v>2</v>
      </c>
      <c r="AV22" s="58">
        <f>VLOOKUP($A22,historia!$A$5:$CM$24,+HLOOKUP(AV$2,historia!$A$3:$EC$4,2,FALSE),FALSE)</f>
        <v>2</v>
      </c>
      <c r="AW22" s="58">
        <f>VLOOKUP($A22,historia!$A$5:$CM$24,+HLOOKUP(AW$2,historia!$A$3:$EC$4,2,FALSE),FALSE)</f>
        <v>2</v>
      </c>
      <c r="AX22" s="58">
        <f>VLOOKUP($A22,historia!$A$5:$CM$24,+HLOOKUP(AX$2,historia!$A$3:$EC$4,2,FALSE),FALSE)</f>
        <v>2</v>
      </c>
      <c r="AY22" s="58">
        <f>VLOOKUP($A22,historia!$A$5:$CM$24,+HLOOKUP(AY$2,historia!$A$3:$EC$4,2,FALSE),FALSE)</f>
        <v>2</v>
      </c>
      <c r="AZ22" s="58">
        <f>VLOOKUP($A22,historia!$A$5:$CM$24,+HLOOKUP(AZ$2,historia!$A$3:$EC$4,2,FALSE),FALSE)</f>
        <v>2</v>
      </c>
      <c r="BA22" s="58">
        <f>VLOOKUP($A22,historia!$A$5:$CM$24,+HLOOKUP(BA$2,historia!$A$3:$EC$4,2,FALSE),FALSE)</f>
        <v>2</v>
      </c>
      <c r="BB22" s="58"/>
      <c r="BC22" s="286">
        <v>2</v>
      </c>
      <c r="BD22" t="str">
        <f t="shared" si="20"/>
        <v>Tabaco</v>
      </c>
      <c r="BE22">
        <f>+datos!BJ1</f>
        <v>62</v>
      </c>
      <c r="BF22" s="2" t="str">
        <f t="shared" si="4"/>
        <v>$/kg</v>
      </c>
      <c r="BG22" s="2">
        <f t="shared" si="4"/>
        <v>3675</v>
      </c>
      <c r="BH22" s="2">
        <f t="shared" si="4"/>
        <v>3675</v>
      </c>
      <c r="BI22" s="2">
        <f t="shared" si="4"/>
        <v>2820</v>
      </c>
      <c r="BK22">
        <f>+datos!DA1</f>
        <v>105</v>
      </c>
      <c r="BL22" s="2">
        <f t="shared" si="21"/>
        <v>9567.0975633731305</v>
      </c>
      <c r="BM22" s="2">
        <f t="shared" si="21"/>
        <v>9273.5198806166827</v>
      </c>
      <c r="BN22" s="2">
        <f t="shared" si="21"/>
        <v>5863.0465836816984</v>
      </c>
      <c r="BP22" s="1">
        <f>+datos!FD1</f>
        <v>160</v>
      </c>
      <c r="BQ22" s="1">
        <f t="shared" si="22"/>
        <v>60376</v>
      </c>
      <c r="BR22" s="1">
        <f t="shared" si="22"/>
        <v>54743</v>
      </c>
      <c r="BT22" s="1">
        <f>+datos!GX1</f>
        <v>206</v>
      </c>
      <c r="BU22" s="1">
        <f t="shared" si="23"/>
        <v>36041.686000000002</v>
      </c>
      <c r="BV22" s="1">
        <f t="shared" si="23"/>
        <v>30804.553</v>
      </c>
      <c r="BX22" s="1">
        <f>+datos!KC1</f>
        <v>289</v>
      </c>
      <c r="BY22" s="1">
        <f t="shared" si="39"/>
        <v>479.17117604000003</v>
      </c>
      <c r="BZ22" s="1">
        <f t="shared" si="40"/>
        <v>543.59557573999996</v>
      </c>
      <c r="CB22" s="1">
        <f>+datos!LH1</f>
        <v>320</v>
      </c>
      <c r="CC22" s="2">
        <f t="shared" si="24"/>
        <v>57.778918760000003</v>
      </c>
      <c r="CD22" s="2">
        <f t="shared" si="25"/>
        <v>67.540112879999995</v>
      </c>
      <c r="CF22" s="1">
        <f>+datos!JD1</f>
        <v>264</v>
      </c>
      <c r="CG22" s="1">
        <f t="shared" si="26"/>
        <v>0</v>
      </c>
      <c r="CH22" s="1">
        <f t="shared" si="27"/>
        <v>0</v>
      </c>
      <c r="CJ22" s="1">
        <f t="shared" ref="CJ22:CY24" si="43">+VLOOKUP(CJ$1,ran_dat,$BX22,FALSE)</f>
        <v>6.2035308000000002</v>
      </c>
      <c r="CK22" s="1">
        <f t="shared" si="43"/>
        <v>65.18720725</v>
      </c>
      <c r="CL22" s="1">
        <f t="shared" si="43"/>
        <v>34.962073999999994</v>
      </c>
      <c r="CM22" s="1">
        <f t="shared" si="43"/>
        <v>41.640055749999995</v>
      </c>
      <c r="CN22" s="1">
        <f t="shared" si="43"/>
        <v>54.488227269999996</v>
      </c>
      <c r="CO22" s="1">
        <f t="shared" si="43"/>
        <v>45.888815350000002</v>
      </c>
      <c r="CP22" s="1">
        <f t="shared" si="43"/>
        <v>56.365947810000002</v>
      </c>
      <c r="CQ22" s="1">
        <f t="shared" si="43"/>
        <v>58.671597329999997</v>
      </c>
      <c r="CR22" s="1">
        <f t="shared" si="43"/>
        <v>31.625168280000004</v>
      </c>
      <c r="CS22" s="1">
        <f t="shared" si="43"/>
        <v>17.697801470000002</v>
      </c>
      <c r="CT22" s="1">
        <f t="shared" si="43"/>
        <v>30.191481329999998</v>
      </c>
      <c r="CU22" s="1">
        <f t="shared" si="43"/>
        <v>36.249269399999989</v>
      </c>
      <c r="CV22" s="1">
        <f t="shared" si="43"/>
        <v>40.108989959999995</v>
      </c>
      <c r="CW22" s="1">
        <f t="shared" si="43"/>
        <v>56.890802439999995</v>
      </c>
      <c r="CX22" s="1">
        <f t="shared" si="43"/>
        <v>36.8257318</v>
      </c>
      <c r="CY22" s="1">
        <f t="shared" si="43"/>
        <v>51.381121719999996</v>
      </c>
      <c r="CZ22" s="1">
        <f t="shared" ref="CZ22:DG24" si="44">+VLOOKUP(CZ$1,ran_dat,$BX22,FALSE)</f>
        <v>33.051481680000002</v>
      </c>
      <c r="DA22" s="1">
        <f t="shared" si="44"/>
        <v>60.888504160000004</v>
      </c>
      <c r="DB22" s="1">
        <f t="shared" si="44"/>
        <v>55.773078730000002</v>
      </c>
      <c r="DC22" s="1">
        <f t="shared" si="44"/>
        <v>34.825160650000001</v>
      </c>
      <c r="DD22" s="1">
        <f t="shared" si="44"/>
        <v>19.014000799999998</v>
      </c>
      <c r="DE22" s="1">
        <f t="shared" si="44"/>
        <v>13.328405800000001</v>
      </c>
      <c r="DF22" s="1">
        <f t="shared" si="44"/>
        <v>41.736807310000003</v>
      </c>
      <c r="DG22" s="1">
        <f t="shared" si="44"/>
        <v>99.771490689999993</v>
      </c>
      <c r="DI22" s="1">
        <f t="shared" ref="DI22:DX24" si="45">+VLOOKUP(DI$1,ran_dat,$CB22,FALSE)</f>
        <v>4.1108512499999996</v>
      </c>
      <c r="DJ22" s="1">
        <f t="shared" si="45"/>
        <v>6.9241559000000006</v>
      </c>
      <c r="DK22" s="1">
        <f t="shared" si="45"/>
        <v>4.9762964800000002</v>
      </c>
      <c r="DL22" s="1">
        <f t="shared" si="45"/>
        <v>5.7062324599999998</v>
      </c>
      <c r="DM22" s="1">
        <f t="shared" si="45"/>
        <v>5.3893107900000006</v>
      </c>
      <c r="DN22" s="1">
        <f t="shared" si="45"/>
        <v>5.0602291599999996</v>
      </c>
      <c r="DO22" s="1">
        <f t="shared" si="45"/>
        <v>1.1636776099999999</v>
      </c>
      <c r="DP22" s="1">
        <f t="shared" si="45"/>
        <v>4.3331795800000004</v>
      </c>
      <c r="DQ22" s="1">
        <f t="shared" si="45"/>
        <v>5.5991701699999998</v>
      </c>
      <c r="DR22" s="1">
        <f t="shared" si="45"/>
        <v>5.1284923700000009</v>
      </c>
      <c r="DS22" s="1">
        <f t="shared" si="45"/>
        <v>4.8853449399999995</v>
      </c>
      <c r="DT22" s="1">
        <f t="shared" si="45"/>
        <v>4.5019780499999991</v>
      </c>
      <c r="DU22" s="1">
        <f t="shared" si="45"/>
        <v>3.2870284000000001</v>
      </c>
      <c r="DV22" s="1">
        <f t="shared" si="45"/>
        <v>2.2553329799999999</v>
      </c>
      <c r="DW22" s="1">
        <f t="shared" si="45"/>
        <v>4.9563280900000004</v>
      </c>
      <c r="DX22" s="1">
        <f t="shared" si="45"/>
        <v>5.4312745199999997</v>
      </c>
      <c r="DY22" s="1">
        <f t="shared" si="41"/>
        <v>5.9427570699999999</v>
      </c>
      <c r="DZ22" s="1">
        <f t="shared" si="41"/>
        <v>7.0989514199999997</v>
      </c>
      <c r="EA22" s="1">
        <f t="shared" si="41"/>
        <v>8.0901624599999984</v>
      </c>
      <c r="EB22" s="1">
        <f t="shared" si="41"/>
        <v>8.5152603000000013</v>
      </c>
      <c r="EC22" s="1">
        <f t="shared" si="41"/>
        <v>6.4262316399999984</v>
      </c>
      <c r="ED22" s="1">
        <f t="shared" si="41"/>
        <v>5.5724239500000001</v>
      </c>
      <c r="EE22" s="1">
        <f t="shared" si="41"/>
        <v>6.0969073500000004</v>
      </c>
      <c r="EF22" s="1">
        <f t="shared" si="41"/>
        <v>3.8674547000000001</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4"/>
        <v>-0.3285706716282375</v>
      </c>
    </row>
    <row r="23" spans="1:163" ht="18.75" customHeight="1">
      <c r="A23" s="244" t="s">
        <v>219</v>
      </c>
      <c r="B23" s="247"/>
      <c r="C23" s="228">
        <f t="shared" si="5"/>
        <v>-0.99</v>
      </c>
      <c r="D23" s="229">
        <v>-1</v>
      </c>
      <c r="E23" s="253">
        <f t="shared" si="6"/>
        <v>-1.128460648916485E-2</v>
      </c>
      <c r="F23" s="254">
        <f t="shared" si="7"/>
        <v>-3.3392742699198785E-2</v>
      </c>
      <c r="G23" s="253">
        <f t="shared" si="8"/>
        <v>1.9364814832310673E-2</v>
      </c>
      <c r="H23" s="254">
        <f t="shared" si="9"/>
        <v>-3.0649421321475523E-2</v>
      </c>
      <c r="I23" s="253">
        <f t="shared" si="10"/>
        <v>0.41834317632560314</v>
      </c>
      <c r="J23" s="254">
        <f t="shared" si="11"/>
        <v>-0.427025874488137</v>
      </c>
      <c r="K23" s="253">
        <f t="shared" si="12"/>
        <v>0.49450599732280431</v>
      </c>
      <c r="L23" s="254">
        <f t="shared" si="13"/>
        <v>-7.6162820997201175E-2</v>
      </c>
      <c r="M23" s="255"/>
      <c r="N23" s="256">
        <v>-2</v>
      </c>
      <c r="O23" s="253">
        <f t="shared" si="35"/>
        <v>-1.8635031458493767E-2</v>
      </c>
      <c r="P23" s="257">
        <f t="shared" si="36"/>
        <v>-1.8635031458493767E-2</v>
      </c>
      <c r="Q23" s="253">
        <f t="shared" si="14"/>
        <v>3.7446833568354654E-2</v>
      </c>
      <c r="R23" s="257">
        <f t="shared" si="37"/>
        <v>3.7446833568354654E-2</v>
      </c>
      <c r="S23" s="255"/>
      <c r="T23" s="256">
        <v>0</v>
      </c>
      <c r="U23" s="253">
        <f t="shared" si="15"/>
        <v>0.13963056230240012</v>
      </c>
      <c r="V23" s="258">
        <f t="shared" si="16"/>
        <v>0.13963056230240012</v>
      </c>
      <c r="W23" s="253">
        <f t="shared" si="38"/>
        <v>0.26567373714517695</v>
      </c>
      <c r="X23" s="258">
        <f t="shared" si="17"/>
        <v>0.26567373714517695</v>
      </c>
      <c r="Y23" s="253">
        <f t="shared" si="18"/>
        <v>-1.3496932515337567E-2</v>
      </c>
      <c r="Z23" s="258">
        <f t="shared" si="19"/>
        <v>-1.3496932515337567E-2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4"/>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5</v>
      </c>
      <c r="AT23" s="58">
        <f>VLOOKUP($A23,historia!$A$5:$CM$24,+HLOOKUP(AT$2,historia!$A$3:$EC$4,2,FALSE),FALSE)</f>
        <v>5</v>
      </c>
      <c r="AU23" s="58">
        <f>VLOOKUP($A23,historia!$A$5:$CM$24,+HLOOKUP(AU$2,historia!$A$3:$EC$4,2,FALSE),FALSE)</f>
        <v>4</v>
      </c>
      <c r="AV23" s="58">
        <f>VLOOKUP($A23,historia!$A$5:$CM$24,+HLOOKUP(AV$2,historia!$A$3:$EC$4,2,FALSE),FALSE)</f>
        <v>4</v>
      </c>
      <c r="AW23" s="58">
        <f>VLOOKUP($A23,historia!$A$5:$CM$24,+HLOOKUP(AW$2,historia!$A$3:$EC$4,2,FALSE),FALSE)</f>
        <v>4</v>
      </c>
      <c r="AX23" s="58">
        <f>VLOOKUP($A23,historia!$A$5:$CM$24,+HLOOKUP(AX$2,historia!$A$3:$EC$4,2,FALSE),FALSE)</f>
        <v>4</v>
      </c>
      <c r="AY23" s="58">
        <f>VLOOKUP($A23,historia!$A$5:$CM$24,+HLOOKUP(AY$2,historia!$A$3:$EC$4,2,FALSE),FALSE)</f>
        <v>4</v>
      </c>
      <c r="AZ23" s="58">
        <f>VLOOKUP($A23,historia!$A$5:$CM$24,+HLOOKUP(AZ$2,historia!$A$3:$EC$4,2,FALSE),FALSE)</f>
        <v>4</v>
      </c>
      <c r="BA23" s="58">
        <f>VLOOKUP($A23,historia!$A$5:$CM$24,+HLOOKUP(BA$2,historia!$A$3:$EC$4,2,FALSE),FALSE)</f>
        <v>4</v>
      </c>
      <c r="BB23" s="58"/>
      <c r="BC23" s="286">
        <v>4</v>
      </c>
      <c r="BD23" t="str">
        <f t="shared" si="20"/>
        <v>Vino y Mosto</v>
      </c>
      <c r="BE23">
        <f>+datos!AM1</f>
        <v>39</v>
      </c>
      <c r="BF23" s="2" t="str">
        <f t="shared" si="4"/>
        <v>$/l</v>
      </c>
      <c r="BG23" s="2">
        <f t="shared" si="4"/>
        <v>354.47800000000001</v>
      </c>
      <c r="BH23" s="2">
        <f t="shared" si="4"/>
        <v>358.52380000000005</v>
      </c>
      <c r="BI23" s="2">
        <f t="shared" si="4"/>
        <v>249.92399999999998</v>
      </c>
      <c r="BK23">
        <f>+datos!CP1</f>
        <v>94</v>
      </c>
      <c r="BL23" s="2">
        <f t="shared" si="21"/>
        <v>10705.058605675815</v>
      </c>
      <c r="BM23" s="2">
        <f t="shared" si="21"/>
        <v>10501.695222271172</v>
      </c>
      <c r="BN23" s="2">
        <f t="shared" si="21"/>
        <v>7162.9412159284811</v>
      </c>
      <c r="BP23" s="1">
        <f>+datos!EF1</f>
        <v>136</v>
      </c>
      <c r="BQ23" s="1">
        <f t="shared" si="22"/>
        <v>196220</v>
      </c>
      <c r="BR23" s="1">
        <f t="shared" si="22"/>
        <v>199946</v>
      </c>
      <c r="BT23" s="1">
        <f>+datos!GB1</f>
        <v>184</v>
      </c>
      <c r="BU23" s="1">
        <f t="shared" si="23"/>
        <v>19908335</v>
      </c>
      <c r="BV23" s="1">
        <f t="shared" si="23"/>
        <v>19189740</v>
      </c>
      <c r="BX23" s="1">
        <f>+datos!JU1</f>
        <v>281</v>
      </c>
      <c r="BY23" s="1">
        <f t="shared" si="39"/>
        <v>987.41934225999989</v>
      </c>
      <c r="BZ23" s="1">
        <f t="shared" si="40"/>
        <v>866.43810277</v>
      </c>
      <c r="CB23" s="1">
        <f>+datos!KZ1</f>
        <v>312</v>
      </c>
      <c r="CC23" s="2">
        <f t="shared" si="24"/>
        <v>20.276369110000005</v>
      </c>
      <c r="CD23" s="2">
        <f t="shared" si="25"/>
        <v>16.020217939999998</v>
      </c>
      <c r="CF23" s="1">
        <f>+datos!IQ1</f>
        <v>251</v>
      </c>
      <c r="CG23" s="1">
        <f t="shared" si="26"/>
        <v>16.079999999999998</v>
      </c>
      <c r="CH23" s="1">
        <f t="shared" si="27"/>
        <v>16.3</v>
      </c>
      <c r="CJ23" s="1">
        <f t="shared" si="43"/>
        <v>50.923025279999997</v>
      </c>
      <c r="CK23" s="1">
        <f t="shared" si="43"/>
        <v>85.381089520000018</v>
      </c>
      <c r="CL23" s="1">
        <f t="shared" si="43"/>
        <v>87.09478919</v>
      </c>
      <c r="CM23" s="1">
        <f t="shared" si="43"/>
        <v>88.790830600000021</v>
      </c>
      <c r="CN23" s="1">
        <f t="shared" si="43"/>
        <v>106.11166329999998</v>
      </c>
      <c r="CO23" s="1">
        <f t="shared" si="43"/>
        <v>99.074693340000039</v>
      </c>
      <c r="CP23" s="1">
        <f t="shared" si="43"/>
        <v>115.95052356999999</v>
      </c>
      <c r="CQ23" s="1">
        <f t="shared" si="43"/>
        <v>55.887516779999999</v>
      </c>
      <c r="CR23" s="1">
        <f t="shared" si="43"/>
        <v>84.428757199999993</v>
      </c>
      <c r="CS23" s="1">
        <f t="shared" si="43"/>
        <v>70.799436420000006</v>
      </c>
      <c r="CT23" s="1">
        <f t="shared" si="43"/>
        <v>83.547570889999989</v>
      </c>
      <c r="CU23" s="1">
        <f t="shared" si="43"/>
        <v>59.429446169999991</v>
      </c>
      <c r="CV23" s="1">
        <f t="shared" si="43"/>
        <v>57.397509530000008</v>
      </c>
      <c r="CW23" s="1">
        <f t="shared" si="43"/>
        <v>71.762443020000006</v>
      </c>
      <c r="CX23" s="1">
        <f t="shared" si="43"/>
        <v>76.246675170000003</v>
      </c>
      <c r="CY23" s="1">
        <f t="shared" si="43"/>
        <v>81.396405279999982</v>
      </c>
      <c r="CZ23" s="1">
        <f t="shared" si="44"/>
        <v>86.673250950000011</v>
      </c>
      <c r="DA23" s="1">
        <f t="shared" si="44"/>
        <v>67.769583350000005</v>
      </c>
      <c r="DB23" s="1">
        <f t="shared" si="44"/>
        <v>79.411450110000018</v>
      </c>
      <c r="DC23" s="1">
        <f t="shared" si="44"/>
        <v>61.526627820000002</v>
      </c>
      <c r="DD23" s="1">
        <f t="shared" si="44"/>
        <v>82.508437450000031</v>
      </c>
      <c r="DE23" s="1">
        <f t="shared" si="44"/>
        <v>73.17738731</v>
      </c>
      <c r="DF23" s="1">
        <f t="shared" si="44"/>
        <v>70.498219510000013</v>
      </c>
      <c r="DG23" s="1">
        <f t="shared" si="44"/>
        <v>58.070113270000007</v>
      </c>
      <c r="DI23" s="1">
        <f t="shared" si="45"/>
        <v>0.41117072999999998</v>
      </c>
      <c r="DJ23" s="1">
        <f t="shared" si="45"/>
        <v>1.6918772199999998</v>
      </c>
      <c r="DK23" s="1">
        <f t="shared" si="45"/>
        <v>4.1008112300000006</v>
      </c>
      <c r="DL23" s="1">
        <f t="shared" si="45"/>
        <v>2.9628047099999995</v>
      </c>
      <c r="DM23" s="1">
        <f t="shared" si="45"/>
        <v>2.4415022799999999</v>
      </c>
      <c r="DN23" s="1">
        <f t="shared" si="45"/>
        <v>2.4186424700000004</v>
      </c>
      <c r="DO23" s="1">
        <f t="shared" si="45"/>
        <v>2.3161338599999999</v>
      </c>
      <c r="DP23" s="1">
        <f t="shared" si="45"/>
        <v>0.34545517000000003</v>
      </c>
      <c r="DQ23" s="1">
        <f t="shared" si="45"/>
        <v>1.3068112300000001</v>
      </c>
      <c r="DR23" s="1">
        <f t="shared" si="45"/>
        <v>1.01985657</v>
      </c>
      <c r="DS23" s="1">
        <f t="shared" si="45"/>
        <v>0.49471243999999998</v>
      </c>
      <c r="DT23" s="1">
        <f t="shared" si="45"/>
        <v>0.76659119999999992</v>
      </c>
      <c r="DU23" s="1">
        <f t="shared" si="45"/>
        <v>0.41683354000000006</v>
      </c>
      <c r="DV23" s="1">
        <f t="shared" si="45"/>
        <v>1.01193058</v>
      </c>
      <c r="DW23" s="1">
        <f t="shared" si="45"/>
        <v>1.2280305999999999</v>
      </c>
      <c r="DX23" s="1">
        <f t="shared" si="45"/>
        <v>1.7214946800000002</v>
      </c>
      <c r="DY23" s="1">
        <f t="shared" si="41"/>
        <v>1.3147188099999998</v>
      </c>
      <c r="DZ23" s="1">
        <f t="shared" si="41"/>
        <v>1.8704580099999999</v>
      </c>
      <c r="EA23" s="1">
        <f t="shared" si="41"/>
        <v>1.2166211999999998</v>
      </c>
      <c r="EB23" s="1">
        <f t="shared" si="41"/>
        <v>1.2618213600000001</v>
      </c>
      <c r="EC23" s="1">
        <f t="shared" si="41"/>
        <v>2.6711612799999997</v>
      </c>
      <c r="ED23" s="1">
        <f t="shared" si="41"/>
        <v>1.8665371000000002</v>
      </c>
      <c r="EE23" s="1">
        <f t="shared" si="41"/>
        <v>1.1160735099999999</v>
      </c>
      <c r="EF23" s="1">
        <f t="shared" si="41"/>
        <v>0.32453726999999999</v>
      </c>
      <c r="EH23" s="14">
        <f t="shared" si="46"/>
        <v>16.079999999999998</v>
      </c>
      <c r="EI23" s="14">
        <f t="shared" si="46"/>
        <v>16.3</v>
      </c>
      <c r="EJ23" s="1">
        <f t="shared" si="46"/>
        <v>16.3</v>
      </c>
      <c r="EK23" s="1">
        <f t="shared" si="46"/>
        <v>16.3</v>
      </c>
      <c r="EL23" s="1">
        <f t="shared" si="46"/>
        <v>16.3</v>
      </c>
      <c r="EM23" s="1">
        <f t="shared" si="46"/>
        <v>16.3</v>
      </c>
      <c r="EN23" s="1">
        <f t="shared" si="46"/>
        <v>16.3</v>
      </c>
      <c r="EO23" s="1">
        <f t="shared" si="46"/>
        <v>16.3</v>
      </c>
      <c r="EP23" s="1">
        <f t="shared" si="46"/>
        <v>16.3</v>
      </c>
      <c r="EQ23" s="1">
        <f t="shared" si="46"/>
        <v>16.3</v>
      </c>
      <c r="ER23" s="1">
        <f t="shared" si="46"/>
        <v>16.3</v>
      </c>
      <c r="ES23" s="1">
        <f t="shared" si="46"/>
        <v>16.3</v>
      </c>
      <c r="ET23" s="1">
        <f t="shared" si="46"/>
        <v>16.3</v>
      </c>
      <c r="EU23" s="1">
        <f t="shared" si="46"/>
        <v>16.7</v>
      </c>
      <c r="EV23" s="1">
        <f t="shared" si="46"/>
        <v>16.7</v>
      </c>
      <c r="EW23" s="1">
        <f t="shared" si="46"/>
        <v>16.7</v>
      </c>
      <c r="EX23" s="1">
        <f t="shared" si="42"/>
        <v>16.7</v>
      </c>
      <c r="EY23" s="1">
        <f t="shared" si="42"/>
        <v>16.7</v>
      </c>
      <c r="EZ23" s="1">
        <f t="shared" si="42"/>
        <v>16.7</v>
      </c>
      <c r="FA23" s="1">
        <f t="shared" si="42"/>
        <v>16.7</v>
      </c>
      <c r="FB23" s="1">
        <f t="shared" si="42"/>
        <v>16.7</v>
      </c>
      <c r="FC23" s="1">
        <f t="shared" si="42"/>
        <v>16.7</v>
      </c>
      <c r="FD23" s="1">
        <f t="shared" si="42"/>
        <v>16.7</v>
      </c>
      <c r="FE23" s="1">
        <f t="shared" si="42"/>
        <v>16.7</v>
      </c>
      <c r="FG23" s="162">
        <f t="shared" si="34"/>
        <v>-7.6162820997201175E-2</v>
      </c>
    </row>
    <row r="24" spans="1:163" ht="18.75" customHeight="1">
      <c r="A24" s="243" t="s">
        <v>39</v>
      </c>
      <c r="B24" s="246"/>
      <c r="C24" s="156">
        <f t="shared" si="5"/>
        <v>-0.65999999999999992</v>
      </c>
      <c r="D24" s="198">
        <v>-3</v>
      </c>
      <c r="E24" s="248">
        <f t="shared" si="6"/>
        <v>0.45454545454545459</v>
      </c>
      <c r="F24" s="249">
        <f t="shared" si="7"/>
        <v>0.43243731833542065</v>
      </c>
      <c r="G24" s="248">
        <f t="shared" si="8"/>
        <v>4.4645133912825097E-2</v>
      </c>
      <c r="H24" s="249">
        <f t="shared" si="9"/>
        <v>0.40990032063262949</v>
      </c>
      <c r="I24" s="248">
        <f t="shared" si="10"/>
        <v>-4.0000000000000036E-2</v>
      </c>
      <c r="J24" s="249">
        <f t="shared" si="11"/>
        <v>-0.88536905081374018</v>
      </c>
      <c r="K24" s="248">
        <f t="shared" si="12"/>
        <v>0.75459265178785628</v>
      </c>
      <c r="L24" s="249">
        <f t="shared" si="13"/>
        <v>-0.79459265178785632</v>
      </c>
      <c r="M24" s="250"/>
      <c r="N24" s="24">
        <v>1</v>
      </c>
      <c r="O24" s="248">
        <f t="shared" si="35"/>
        <v>4.7599193940657258E-3</v>
      </c>
      <c r="P24" s="251">
        <f t="shared" si="36"/>
        <v>4.7599193940657258E-3</v>
      </c>
      <c r="Q24" s="248">
        <f t="shared" si="14"/>
        <v>0.24910534285336672</v>
      </c>
      <c r="R24" s="251">
        <f t="shared" si="37"/>
        <v>0.24910534285336672</v>
      </c>
      <c r="S24" s="250"/>
      <c r="T24" s="24">
        <v>0</v>
      </c>
      <c r="U24" s="248">
        <f t="shared" si="15"/>
        <v>1.5096910700708843E-2</v>
      </c>
      <c r="V24" s="252">
        <f t="shared" si="16"/>
        <v>1.5096910700708843E-2</v>
      </c>
      <c r="W24" s="248">
        <f t="shared" si="38"/>
        <v>0.39067810395109603</v>
      </c>
      <c r="X24" s="258">
        <f t="shared" si="17"/>
        <v>0.39067810395109603</v>
      </c>
      <c r="Y24" s="248">
        <f t="shared" si="18"/>
        <v>3.1083140485338667E-2</v>
      </c>
      <c r="Z24" s="252">
        <f t="shared" si="19"/>
        <v>3.1083140485338667E-2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4"/>
      <c r="AP24" s="28">
        <f>VLOOKUP($A24,historia!$A$5:$CM$24,+HLOOKUP(AP$2,historia!$A$3:$EC$4,2,FALSE),FALSE)</f>
        <v>2</v>
      </c>
      <c r="AQ24" s="28">
        <f>VLOOKUP($A24,historia!$A$5:$CM$24,+HLOOKUP(AQ$2,historia!$A$3:$EC$4,2,FALSE),FALSE)</f>
        <v>2</v>
      </c>
      <c r="AR24" s="28">
        <f>VLOOKUP($A24,historia!$A$5:$CM$24,+HLOOKUP(AR$2,historia!$A$3:$EC$4,2,FALSE),FALSE)</f>
        <v>4</v>
      </c>
      <c r="AS24" s="2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f>VLOOKUP($A24,historia!$A$5:$CM$24,+HLOOKUP(AY$2,historia!$A$3:$EC$4,2,FALSE),FALSE)</f>
        <v>4</v>
      </c>
      <c r="AZ24" s="58">
        <f>VLOOKUP($A24,historia!$A$5:$CM$24,+HLOOKUP(AZ$2,historia!$A$3:$EC$4,2,FALSE),FALSE)</f>
        <v>4</v>
      </c>
      <c r="BA24" s="58">
        <f>VLOOKUP($A24,historia!$A$5:$CM$24,+HLOOKUP(BA$2,historia!$A$3:$EC$4,2,FALSE),FALSE)</f>
        <v>4</v>
      </c>
      <c r="BB24" s="58"/>
      <c r="BC24" s="286">
        <v>4</v>
      </c>
      <c r="BD24" t="str">
        <f t="shared" si="20"/>
        <v>Yerba Mate</v>
      </c>
      <c r="BE24">
        <f>+datos!AG1</f>
        <v>33</v>
      </c>
      <c r="BF24" s="2" t="str">
        <f t="shared" si="4"/>
        <v>$/t</v>
      </c>
      <c r="BG24" s="2">
        <f t="shared" si="4"/>
        <v>240000</v>
      </c>
      <c r="BH24" s="2">
        <f t="shared" si="4"/>
        <v>165000</v>
      </c>
      <c r="BI24" s="2">
        <f t="shared" si="4"/>
        <v>250000</v>
      </c>
      <c r="BK24">
        <f>+datos!CY1</f>
        <v>103</v>
      </c>
      <c r="BL24" s="2">
        <f t="shared" si="21"/>
        <v>9284.4842147512882</v>
      </c>
      <c r="BM24" s="2">
        <f t="shared" si="21"/>
        <v>8887.6920145842287</v>
      </c>
      <c r="BN24" s="2">
        <f t="shared" si="21"/>
        <v>5291.5325989145049</v>
      </c>
      <c r="BP24" s="1">
        <f>+datos!ED1</f>
        <v>134</v>
      </c>
      <c r="BQ24" s="1">
        <f t="shared" si="22"/>
        <v>231352</v>
      </c>
      <c r="BR24" s="1">
        <f t="shared" si="22"/>
        <v>230256</v>
      </c>
      <c r="BT24" s="1">
        <f>+datos!FZ1</f>
        <v>182</v>
      </c>
      <c r="BU24" s="1">
        <f t="shared" si="23"/>
        <v>981550</v>
      </c>
      <c r="BV24" s="1">
        <f t="shared" si="23"/>
        <v>785802.41899999999</v>
      </c>
      <c r="BX24" s="1">
        <f>+datos!KD1</f>
        <v>290</v>
      </c>
      <c r="BY24" s="1">
        <f t="shared" si="39"/>
        <v>116.13345919</v>
      </c>
      <c r="BZ24" s="1">
        <f t="shared" si="40"/>
        <v>114.40627782999999</v>
      </c>
      <c r="CB24" s="1">
        <f>+datos!LI1</f>
        <v>321</v>
      </c>
      <c r="CC24" s="2">
        <f t="shared" si="24"/>
        <v>22.221467750000002</v>
      </c>
      <c r="CD24" s="2">
        <f t="shared" si="25"/>
        <v>15.978872239999999</v>
      </c>
      <c r="CF24" s="1">
        <f>+datos!IP1</f>
        <v>250</v>
      </c>
      <c r="CG24" s="1">
        <f t="shared" si="26"/>
        <v>5.7424738987207355</v>
      </c>
      <c r="CH24" s="1">
        <f t="shared" si="27"/>
        <v>5.5693606783423002</v>
      </c>
      <c r="CJ24" s="1">
        <f t="shared" si="43"/>
        <v>7.1690497699999991</v>
      </c>
      <c r="CK24" s="1">
        <f t="shared" si="43"/>
        <v>10.805856030000001</v>
      </c>
      <c r="CL24" s="1">
        <f t="shared" si="43"/>
        <v>10.476429469999998</v>
      </c>
      <c r="CM24" s="1">
        <f t="shared" si="43"/>
        <v>11.361751129999998</v>
      </c>
      <c r="CN24" s="1">
        <f t="shared" si="43"/>
        <v>10.05873476</v>
      </c>
      <c r="CO24" s="1">
        <f t="shared" si="43"/>
        <v>9.4659040999999995</v>
      </c>
      <c r="CP24" s="1">
        <f t="shared" si="43"/>
        <v>8.3006057400000017</v>
      </c>
      <c r="CQ24" s="1">
        <f t="shared" si="43"/>
        <v>11.077079630000002</v>
      </c>
      <c r="CR24" s="1">
        <f t="shared" si="43"/>
        <v>7.2906957700000001</v>
      </c>
      <c r="CS24" s="1">
        <f t="shared" si="43"/>
        <v>8.852789640000001</v>
      </c>
      <c r="CT24" s="1">
        <f t="shared" si="43"/>
        <v>12.408222910000001</v>
      </c>
      <c r="CU24" s="1">
        <f t="shared" si="43"/>
        <v>8.8663402400000013</v>
      </c>
      <c r="CV24" s="1">
        <f t="shared" si="43"/>
        <v>9.2397224899999983</v>
      </c>
      <c r="CW24" s="1">
        <f t="shared" si="43"/>
        <v>7.1224329199999996</v>
      </c>
      <c r="CX24" s="1">
        <f t="shared" si="43"/>
        <v>8.6156523299999996</v>
      </c>
      <c r="CY24" s="1">
        <f t="shared" si="43"/>
        <v>10.17972451</v>
      </c>
      <c r="CZ24" s="1">
        <f t="shared" si="44"/>
        <v>11.833514059999999</v>
      </c>
      <c r="DA24" s="1">
        <f t="shared" si="44"/>
        <v>8.6649559600000003</v>
      </c>
      <c r="DB24" s="1">
        <f t="shared" si="44"/>
        <v>8.6995030900000003</v>
      </c>
      <c r="DC24" s="1">
        <f t="shared" si="44"/>
        <v>9.3876240000000006</v>
      </c>
      <c r="DD24" s="1">
        <f t="shared" si="44"/>
        <v>8.6499339499999994</v>
      </c>
      <c r="DE24" s="1">
        <f t="shared" si="44"/>
        <v>10.5511423</v>
      </c>
      <c r="DF24" s="1">
        <f t="shared" si="44"/>
        <v>12.484662230000001</v>
      </c>
      <c r="DG24" s="1">
        <f t="shared" si="44"/>
        <v>8.9774099899999982</v>
      </c>
      <c r="DI24" s="1">
        <f t="shared" si="45"/>
        <v>1.1839526999999999</v>
      </c>
      <c r="DJ24" s="1">
        <f t="shared" si="45"/>
        <v>1.1744757299999999</v>
      </c>
      <c r="DK24" s="1">
        <f t="shared" si="45"/>
        <v>2.1750064099999999</v>
      </c>
      <c r="DL24" s="1">
        <f t="shared" si="45"/>
        <v>2.6101839400000002</v>
      </c>
      <c r="DM24" s="1">
        <f t="shared" si="45"/>
        <v>1.2494588400000002</v>
      </c>
      <c r="DN24" s="1">
        <f t="shared" si="45"/>
        <v>0.60028256999999996</v>
      </c>
      <c r="DO24" s="1">
        <f t="shared" si="45"/>
        <v>1.7316709800000001</v>
      </c>
      <c r="DP24" s="1">
        <f t="shared" si="45"/>
        <v>1.1554743999999999</v>
      </c>
      <c r="DQ24" s="1">
        <f t="shared" si="45"/>
        <v>1.50586095</v>
      </c>
      <c r="DR24" s="1">
        <f t="shared" si="45"/>
        <v>3.2398820599999998</v>
      </c>
      <c r="DS24" s="1">
        <f t="shared" si="45"/>
        <v>3.1775986299999999</v>
      </c>
      <c r="DT24" s="1">
        <f t="shared" si="45"/>
        <v>2.4176205400000002</v>
      </c>
      <c r="DU24" s="1">
        <f t="shared" si="45"/>
        <v>1.0621514699999999</v>
      </c>
      <c r="DV24" s="1">
        <f t="shared" si="45"/>
        <v>1.8796713600000001</v>
      </c>
      <c r="DW24" s="1">
        <f t="shared" si="45"/>
        <v>2.4189343299999999</v>
      </c>
      <c r="DX24" s="1">
        <f t="shared" si="45"/>
        <v>2.31537419</v>
      </c>
      <c r="DY24" s="1">
        <f t="shared" si="41"/>
        <v>1.6581343500000001</v>
      </c>
      <c r="DZ24" s="1">
        <f t="shared" si="41"/>
        <v>1.1317222</v>
      </c>
      <c r="EA24" s="1">
        <f t="shared" si="41"/>
        <v>1.25031731</v>
      </c>
      <c r="EB24" s="1">
        <f t="shared" si="41"/>
        <v>1.1220479999999999</v>
      </c>
      <c r="EC24" s="1">
        <f t="shared" si="41"/>
        <v>1.06290057</v>
      </c>
      <c r="ED24" s="1">
        <f t="shared" si="41"/>
        <v>0.94532128999999998</v>
      </c>
      <c r="EE24" s="1">
        <f t="shared" si="41"/>
        <v>0.74918092999999997</v>
      </c>
      <c r="EF24" s="1">
        <f t="shared" si="41"/>
        <v>0.38311624</v>
      </c>
      <c r="EH24" s="14">
        <f t="shared" si="46"/>
        <v>5.7424738987207355</v>
      </c>
      <c r="EI24" s="14">
        <f t="shared" si="46"/>
        <v>5.5693606783423002</v>
      </c>
      <c r="EJ24" s="1">
        <f t="shared" si="46"/>
        <v>5.5693606783423002</v>
      </c>
      <c r="EK24" s="1">
        <f t="shared" si="46"/>
        <v>5.5693606783423002</v>
      </c>
      <c r="EL24" s="1">
        <f t="shared" si="46"/>
        <v>5.5693606783423002</v>
      </c>
      <c r="EM24" s="1">
        <f t="shared" si="46"/>
        <v>5.5693606783423002</v>
      </c>
      <c r="EN24" s="1">
        <f t="shared" si="46"/>
        <v>5.5693606783423002</v>
      </c>
      <c r="EO24" s="1">
        <f t="shared" si="46"/>
        <v>5.5693606783423002</v>
      </c>
      <c r="EP24" s="1">
        <f t="shared" si="46"/>
        <v>5.5693606783423002</v>
      </c>
      <c r="EQ24" s="1">
        <f t="shared" si="46"/>
        <v>5.5693606783423002</v>
      </c>
      <c r="ER24" s="1">
        <f t="shared" si="46"/>
        <v>5.5693606783423002</v>
      </c>
      <c r="ES24" s="1">
        <f t="shared" si="46"/>
        <v>5.5693606783423002</v>
      </c>
      <c r="ET24" s="1">
        <f t="shared" si="46"/>
        <v>5.5693606783423002</v>
      </c>
      <c r="EU24" s="1">
        <f t="shared" si="46"/>
        <v>6.139895208369488</v>
      </c>
      <c r="EV24" s="1">
        <f t="shared" si="46"/>
        <v>6.139895208369488</v>
      </c>
      <c r="EW24" s="1">
        <f t="shared" si="46"/>
        <v>6.139895208369488</v>
      </c>
      <c r="EX24" s="1">
        <f t="shared" si="42"/>
        <v>6.139895208369488</v>
      </c>
      <c r="EY24" s="1">
        <f t="shared" si="42"/>
        <v>6.139895208369488</v>
      </c>
      <c r="EZ24" s="1">
        <f t="shared" si="42"/>
        <v>6.139895208369488</v>
      </c>
      <c r="FA24" s="1">
        <f t="shared" si="42"/>
        <v>6.139895208369488</v>
      </c>
      <c r="FB24" s="1">
        <f t="shared" si="42"/>
        <v>6.139895208369488</v>
      </c>
      <c r="FC24" s="1">
        <f t="shared" si="42"/>
        <v>6.139895208369488</v>
      </c>
      <c r="FD24" s="1">
        <f t="shared" si="42"/>
        <v>6.139895208369488</v>
      </c>
      <c r="FE24" s="1">
        <f t="shared" si="42"/>
        <v>6.139895208369488</v>
      </c>
      <c r="FG24" s="162">
        <f t="shared" si="34"/>
        <v>-0.79459265178785632</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T25" s="58"/>
      <c r="AU25" s="58"/>
      <c r="AV25" s="58"/>
      <c r="AW25" s="58"/>
      <c r="AX25" s="58"/>
      <c r="AY25" s="58">
        <v>4</v>
      </c>
      <c r="AZ25" s="58"/>
      <c r="BA25" s="58"/>
      <c r="BB25" s="58"/>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E26" s="12">
        <f>+AVERAGE(E6:E24)</f>
        <v>2.3172138378772492E-3</v>
      </c>
      <c r="F26" s="37">
        <f>+E26-$I$3</f>
        <v>-0.84305183697586294</v>
      </c>
      <c r="G26" s="12">
        <f>+AVERAGE(G6:G24)</f>
        <v>3.4848597417231307E-2</v>
      </c>
      <c r="I26" s="12" t="e">
        <f>+AVERAGEIF(I6:I24,"&gt;211%")</f>
        <v>#DIV/0!</v>
      </c>
      <c r="J26" s="37" t="e">
        <f t="shared" si="11"/>
        <v>#DIV/0!</v>
      </c>
      <c r="K26" s="12">
        <f>+AVERAGE(K6:K24)</f>
        <v>0.43706042837485926</v>
      </c>
      <c r="O26" s="12">
        <f>+AVERAGE(O6:O24)</f>
        <v>4.6872596342869381E-2</v>
      </c>
      <c r="AB26" s="57"/>
    </row>
    <row r="27" spans="1:163" ht="18.75" customHeight="1">
      <c r="I27" s="12">
        <f>+AVERAGEIF(I6:I24,"&lt;211%")</f>
        <v>0.32086275034524619</v>
      </c>
      <c r="K27" s="177">
        <f>+SUBTOTAL(101,K6:K21)</f>
        <v>0.40145545806385785</v>
      </c>
      <c r="V27" t="s">
        <v>167</v>
      </c>
      <c r="X27" s="162"/>
      <c r="BC27" s="141" t="s">
        <v>273</v>
      </c>
      <c r="BQ27" s="1">
        <f>+SUM(BQ6:BQ24)</f>
        <v>115379877</v>
      </c>
      <c r="BR27" s="1">
        <f>+SUM(BR6:BR24)</f>
        <v>113937298</v>
      </c>
      <c r="BU27" s="1">
        <f>+SUM(BU6:BU24)</f>
        <v>164855177.97800317</v>
      </c>
      <c r="BV27" s="1">
        <f>+SUM(BV6:BV24)</f>
        <v>147359565.47128502</v>
      </c>
      <c r="BY27" s="1">
        <f>+SUM(BY6:BY24)</f>
        <v>55301.376036889989</v>
      </c>
      <c r="BZ27" s="1">
        <f>+SUM(BZ6:BZ24)</f>
        <v>47825.668147950004</v>
      </c>
      <c r="CC27" s="1">
        <f>+SUM(CC6:CC24)</f>
        <v>3647.1469068699998</v>
      </c>
      <c r="CD27" s="1">
        <f>+SUM(CD6:CD24)</f>
        <v>6133.3653098800014</v>
      </c>
      <c r="FG27" s="167">
        <f>+COUNTIF(FG6:FG24,"&gt;0")</f>
        <v>8</v>
      </c>
    </row>
    <row r="28" spans="1:163" ht="18.75" customHeight="1">
      <c r="A28" s="11">
        <f>+COUNTIF($C$6:$C$24,"&lt;0")</f>
        <v>10</v>
      </c>
      <c r="C28" s="156">
        <v>-1</v>
      </c>
      <c r="E28" s="167">
        <f>+COUNTIF($I$6:$I$24,"&lt;1,69")</f>
        <v>19</v>
      </c>
      <c r="F28" s="29">
        <v>-1</v>
      </c>
      <c r="I28" s="167">
        <f>+COUNTIF($I$6:$I$24,"&lt;1,69")</f>
        <v>19</v>
      </c>
      <c r="J28" s="29">
        <v>-1</v>
      </c>
      <c r="K28">
        <f>+COUNTIF($L$6:$L$24,"&lt;0")</f>
        <v>11</v>
      </c>
      <c r="L28" s="29">
        <v>-1</v>
      </c>
      <c r="O28">
        <f>+COUNTIF($P$6:$P$24,"&lt;0")</f>
        <v>5</v>
      </c>
      <c r="P28" s="262">
        <v>-1</v>
      </c>
      <c r="Q28">
        <f>+COUNTIF($R$6:$R$24,"&lt;0")</f>
        <v>5</v>
      </c>
      <c r="R28" s="262">
        <v>-1</v>
      </c>
      <c r="T28" s="57">
        <f>+COUNTIF($U$6:$U$24,"&lt;0")</f>
        <v>3</v>
      </c>
      <c r="U28" s="29">
        <v>-1</v>
      </c>
      <c r="BR28" t="s">
        <v>491</v>
      </c>
      <c r="BU28" s="167">
        <f>+SUMIFS(BU6:BU24,BC6:BC24,5)+SUMIFS(BU6:BU24,BC6:BC24,4)</f>
        <v>25803180</v>
      </c>
      <c r="BY28" s="10">
        <f>+BY27/BZ27-1</f>
        <v>0.1563116246659364</v>
      </c>
      <c r="CC28" s="10">
        <f>+CC27/CD27-1</f>
        <v>-0.40535958277343243</v>
      </c>
    </row>
    <row r="29" spans="1:163" ht="18.75" customHeight="1">
      <c r="A29" s="11">
        <f>+COUNTIF($C$6:$C$24,C29)</f>
        <v>8</v>
      </c>
      <c r="C29" s="156">
        <v>0</v>
      </c>
      <c r="E29" s="167">
        <f>+COUNTIF($I$6:$I$24,"=1,69")</f>
        <v>0</v>
      </c>
      <c r="F29" s="29">
        <v>0</v>
      </c>
      <c r="I29" s="167">
        <f>+COUNTIF($I$6:$I$24,"=1,69")</f>
        <v>0</v>
      </c>
      <c r="J29" s="29">
        <v>0</v>
      </c>
      <c r="L29" s="29">
        <v>0</v>
      </c>
      <c r="O29">
        <f>+COUNTIF($P$6:$P$24,"=0")</f>
        <v>4</v>
      </c>
      <c r="P29" s="262">
        <v>0</v>
      </c>
      <c r="Q29">
        <f>+COUNTIF($R$6:$R$24,"=0")</f>
        <v>3</v>
      </c>
      <c r="R29" s="262">
        <v>0</v>
      </c>
      <c r="T29" s="57">
        <f>+COUNTIF($U$6:$U$24,"=0")</f>
        <v>0</v>
      </c>
      <c r="U29" s="29">
        <v>0</v>
      </c>
      <c r="BR29" t="s">
        <v>492</v>
      </c>
      <c r="BU29" s="167">
        <f>+SUMIFS(BU6:BU24,BC6:BC24,3)</f>
        <v>136623337.29200318</v>
      </c>
    </row>
    <row r="30" spans="1:163" ht="18.75" customHeight="1">
      <c r="A30" s="11">
        <f>+COUNTIF($C$6:$C$24,"&gt;0")</f>
        <v>1</v>
      </c>
      <c r="C30" s="156">
        <v>1</v>
      </c>
      <c r="E30" s="167">
        <f>+COUNTIF($I$6:$I$24,"&gt;1,69")</f>
        <v>0</v>
      </c>
      <c r="F30" s="29">
        <v>1</v>
      </c>
      <c r="I30" s="167">
        <f>+COUNTIF($I$6:$I$24,"&gt;1,69")</f>
        <v>0</v>
      </c>
      <c r="J30" s="29">
        <v>1</v>
      </c>
      <c r="K30">
        <f>+COUNTIF($L$6:$L$24,"&gt;0")</f>
        <v>8</v>
      </c>
      <c r="L30" s="29">
        <v>1</v>
      </c>
      <c r="O30">
        <f>+COUNTIF($P$6:$P$24,"&gt;0")</f>
        <v>9</v>
      </c>
      <c r="P30" s="262">
        <v>1</v>
      </c>
      <c r="Q30">
        <f>+COUNTIF($R$6:$R$24,"&gt;0")</f>
        <v>11</v>
      </c>
      <c r="R30" s="262">
        <v>1</v>
      </c>
      <c r="T30" s="57">
        <f>+COUNTIF($U$6:$U$24,"&gt;0")</f>
        <v>15</v>
      </c>
      <c r="U30" s="29">
        <v>1</v>
      </c>
      <c r="X30" s="14"/>
      <c r="BR30" t="s">
        <v>493</v>
      </c>
      <c r="BU30" s="167">
        <f>+SUMIFS(BU6:BU24,BC6:BC24,1)+SUMIFS(BU6:BU24,BC6:BC24,2)</f>
        <v>2428660.6860000002</v>
      </c>
      <c r="BX30" s="1"/>
    </row>
    <row r="31" spans="1:163" ht="18.75" customHeight="1">
      <c r="K31" s="12"/>
    </row>
    <row r="32" spans="1:163" ht="18.75" customHeight="1">
      <c r="C32" s="157"/>
      <c r="I32" s="14">
        <f>+COUNTIF(I6:I24,"&gt;211%")</f>
        <v>0</v>
      </c>
      <c r="J32" s="14"/>
      <c r="K32" s="14"/>
      <c r="Y32" s="163"/>
    </row>
    <row r="33" spans="1:164" ht="18.75" customHeight="1">
      <c r="C33" s="157"/>
      <c r="I33" s="12" t="e">
        <f>+I26/2</f>
        <v>#DIV/0!</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57"/>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57"/>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57"/>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57"/>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57"/>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57"/>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57"/>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57"/>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57"/>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57"/>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M24 AC25 AE25:AM25">
    <cfRule type="expression" dxfId="101" priority="53">
      <formula>AP6=0</formula>
    </cfRule>
    <cfRule type="expression" dxfId="100" priority="48">
      <formula>AP6=3</formula>
    </cfRule>
    <cfRule type="expression" dxfId="99" priority="49">
      <formula>AP6=5</formula>
    </cfRule>
    <cfRule type="expression" dxfId="98" priority="50">
      <formula>AP6=4</formula>
    </cfRule>
    <cfRule type="expression" dxfId="97" priority="51">
      <formula>AP6=2</formula>
    </cfRule>
    <cfRule type="expression" dxfId="96" priority="52">
      <formula>AP6=1</formula>
    </cfRule>
  </conditionalFormatting>
  <conditionalFormatting sqref="AN6:AN25">
    <cfRule type="expression" dxfId="95" priority="6124">
      <formula>BA6=0</formula>
    </cfRule>
    <cfRule type="expression" dxfId="94" priority="6119">
      <formula>BA6=3</formula>
    </cfRule>
    <cfRule type="expression" dxfId="93" priority="6120">
      <formula>BA6=5</formula>
    </cfRule>
    <cfRule type="expression" dxfId="92" priority="6121">
      <formula>BA6=4</formula>
    </cfRule>
    <cfRule type="expression" dxfId="91" priority="6122">
      <formula>BA6=2</formula>
    </cfRule>
    <cfRule type="expression" dxfId="90" priority="6123">
      <formula>BA6=1</formula>
    </cfRule>
  </conditionalFormatting>
  <conditionalFormatting sqref="AO6:AO25">
    <cfRule type="expression" dxfId="89" priority="6107">
      <formula>#REF!=3</formula>
    </cfRule>
    <cfRule type="expression" dxfId="88" priority="6108">
      <formula>#REF!=5</formula>
    </cfRule>
    <cfRule type="expression" dxfId="87" priority="6109">
      <formula>#REF!=4</formula>
    </cfRule>
    <cfRule type="expression" dxfId="86" priority="6111">
      <formula>#REF!=1</formula>
    </cfRule>
    <cfRule type="expression" dxfId="85" priority="6112">
      <formula>#REF!=0</formula>
    </cfRule>
    <cfRule type="expression" dxfId="84" priority="6110">
      <formula>#REF!=2</formula>
    </cfRule>
  </conditionalFormatting>
  <conditionalFormatting sqref="FG6:FG25 FG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74D5C88A-AF7C-41B4-BEE0-C115636041F1}">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9A41D89A-E5B9-411A-8DCE-6C145EB99AC5}">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9A96B490-C50F-4D6B-8BA8-761CFDF12CA1}">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2A66-D346-4FA6-8E27-DB1F9D410DC8}">
  <sheetPr>
    <tabColor theme="5" tint="-0.249977111117893"/>
    <pageSetUpPr fitToPage="1"/>
  </sheetPr>
  <dimension ref="A1:FG47"/>
  <sheetViews>
    <sheetView showGridLines="0" topLeftCell="A4" zoomScale="70" zoomScaleNormal="70" workbookViewId="0">
      <selection activeCell="BB7" sqref="BB7"/>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5.44140625" style="28" customWidth="1"/>
    <col min="42" max="42" width="6" style="28" customWidth="1"/>
    <col min="43" max="43" width="5.33203125" style="28" customWidth="1"/>
    <col min="44" max="44" width="4.88671875" style="28" customWidth="1"/>
    <col min="45" max="45" width="5.5546875" customWidth="1"/>
    <col min="46" max="46" width="6.33203125" bestFit="1" customWidth="1"/>
    <col min="47" max="47" width="5.33203125" customWidth="1"/>
    <col min="48" max="50" width="6.33203125" bestFit="1" customWidth="1"/>
    <col min="51" max="51" width="5.6640625" customWidth="1"/>
    <col min="52" max="52" width="7.44140625" customWidth="1"/>
    <col min="53" max="53" width="2.44140625" customWidth="1"/>
    <col min="54" max="54" width="15.88671875" style="141" customWidth="1"/>
    <col min="55" max="55" width="12" customWidth="1"/>
    <col min="56" max="56" width="0.88671875" customWidth="1"/>
    <col min="57" max="60" width="7.88671875" customWidth="1"/>
    <col min="61" max="61" width="2.44140625" customWidth="1"/>
    <col min="62" max="62" width="0.44140625" customWidth="1"/>
    <col min="63" max="65" width="7.88671875" customWidth="1"/>
    <col min="66" max="66" width="2.44140625" customWidth="1"/>
    <col min="67" max="67" width="0.44140625" customWidth="1"/>
    <col min="68" max="68" width="12.88671875" customWidth="1"/>
    <col min="69" max="69" width="12.44140625" customWidth="1"/>
    <col min="70" max="70" width="2.44140625" customWidth="1"/>
    <col min="71" max="71" width="0.5546875" customWidth="1"/>
    <col min="72" max="72" width="14.44140625" bestFit="1" customWidth="1"/>
    <col min="73" max="73" width="12.5546875" customWidth="1"/>
    <col min="74" max="74" width="2.44140625" customWidth="1"/>
    <col min="75" max="75" width="8.109375" customWidth="1"/>
    <col min="76" max="77" width="7.5546875" customWidth="1"/>
    <col min="78" max="78" width="2.88671875" customWidth="1"/>
    <col min="79" max="79" width="0.88671875" customWidth="1"/>
    <col min="80" max="81" width="7.44140625" customWidth="1"/>
    <col min="82" max="82" width="2.88671875" customWidth="1"/>
    <col min="83" max="83" width="0.5546875" customWidth="1"/>
    <col min="84" max="84" width="11" customWidth="1"/>
    <col min="85" max="85" width="10.88671875" customWidth="1"/>
    <col min="86" max="86" width="7" bestFit="1" customWidth="1"/>
    <col min="87" max="87" width="11" bestFit="1" customWidth="1"/>
    <col min="88" max="88" width="7" bestFit="1" customWidth="1"/>
    <col min="89" max="89" width="6.5546875" bestFit="1" customWidth="1"/>
    <col min="90" max="91" width="7" bestFit="1" customWidth="1"/>
    <col min="92" max="92" width="6.5546875" bestFit="1" customWidth="1"/>
    <col min="93" max="93" width="6.109375" bestFit="1" customWidth="1"/>
    <col min="94" max="95" width="6.44140625" bestFit="1" customWidth="1"/>
    <col min="96" max="96" width="5.5546875" bestFit="1" customWidth="1"/>
    <col min="97" max="97" width="6.109375" bestFit="1" customWidth="1"/>
    <col min="98" max="98" width="7" bestFit="1" customWidth="1"/>
    <col min="99" max="99" width="6.33203125" bestFit="1" customWidth="1"/>
    <col min="100" max="100" width="6.88671875" bestFit="1" customWidth="1"/>
    <col min="101" max="101" width="6.109375" bestFit="1" customWidth="1"/>
    <col min="102" max="102" width="6.5546875" bestFit="1" customWidth="1"/>
    <col min="103" max="103" width="5.88671875" bestFit="1" customWidth="1"/>
    <col min="104" max="104" width="6.5546875" bestFit="1" customWidth="1"/>
    <col min="105" max="105" width="6.109375" bestFit="1" customWidth="1"/>
    <col min="106" max="107" width="6.44140625" bestFit="1" customWidth="1"/>
    <col min="108" max="108" width="5.5546875" bestFit="1" customWidth="1"/>
    <col min="109" max="109" width="6.109375" bestFit="1" customWidth="1"/>
    <col min="110" max="110" width="7" bestFit="1" customWidth="1"/>
    <col min="111" max="111" width="5" customWidth="1"/>
    <col min="112" max="112" width="11" bestFit="1" customWidth="1"/>
    <col min="113" max="113" width="6.88671875" bestFit="1" customWidth="1"/>
    <col min="114" max="114" width="6.109375" bestFit="1" customWidth="1"/>
    <col min="115" max="115" width="6.5546875" bestFit="1" customWidth="1"/>
    <col min="116" max="116" width="5.88671875" bestFit="1" customWidth="1"/>
    <col min="117" max="117" width="6.5546875" bestFit="1" customWidth="1"/>
    <col min="118" max="118" width="6.109375" bestFit="1" customWidth="1"/>
    <col min="119" max="120" width="6.44140625" bestFit="1" customWidth="1"/>
    <col min="121" max="121" width="5.5546875" bestFit="1" customWidth="1"/>
    <col min="122" max="122" width="6.109375" bestFit="1" customWidth="1"/>
    <col min="123" max="123" width="7" bestFit="1" customWidth="1"/>
    <col min="124" max="124" width="6.33203125" bestFit="1" customWidth="1"/>
    <col min="125" max="125" width="6.88671875" bestFit="1" customWidth="1"/>
    <col min="126" max="126" width="6.109375" bestFit="1" customWidth="1"/>
    <col min="127" max="127" width="6.5546875" bestFit="1" customWidth="1"/>
    <col min="128" max="128" width="5.88671875" bestFit="1" customWidth="1"/>
    <col min="129" max="129" width="6.5546875" bestFit="1" customWidth="1"/>
    <col min="130" max="130" width="6.109375" bestFit="1" customWidth="1"/>
    <col min="131" max="132" width="6.44140625" bestFit="1" customWidth="1"/>
    <col min="133" max="133" width="5.5546875" bestFit="1" customWidth="1"/>
    <col min="134" max="134" width="6.109375" bestFit="1" customWidth="1"/>
    <col min="135" max="135" width="7" bestFit="1" customWidth="1"/>
    <col min="136" max="136" width="5" customWidth="1"/>
    <col min="137" max="138" width="13.5546875" style="14" bestFit="1" customWidth="1"/>
    <col min="139" max="160" width="9.88671875" bestFit="1" customWidth="1"/>
    <col min="161" max="162" width="5" customWidth="1"/>
  </cols>
  <sheetData>
    <row r="1" spans="1:162" ht="18.75" customHeight="1">
      <c r="A1" s="219">
        <v>45627</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BE1" t="s">
        <v>101</v>
      </c>
      <c r="BF1" s="3">
        <f>+A1</f>
        <v>45627</v>
      </c>
      <c r="BG1" s="3">
        <f>+VLOOKUP(BG2,datos!$D:$E,2,FALSE)</f>
        <v>45597</v>
      </c>
      <c r="BH1" s="3">
        <f>+VLOOKUP(BH2,datos!$D:$E,2,FALSE)</f>
        <v>45261</v>
      </c>
      <c r="BK1" s="3">
        <f>+A1</f>
        <v>45627</v>
      </c>
      <c r="BL1" s="3">
        <f>+VLOOKUP(BL2,datos!$D:$E,2,FALSE)</f>
        <v>45597</v>
      </c>
      <c r="BM1" s="3">
        <f>+VLOOKUP(BM2,datos!$D:$E,2,FALSE)</f>
        <v>45261</v>
      </c>
      <c r="BP1" s="3">
        <f>+A1</f>
        <v>45627</v>
      </c>
      <c r="BQ1" s="3">
        <f>+VLOOKUP(BQ2,datos!$D:$E,2,FALSE)</f>
        <v>45261</v>
      </c>
      <c r="BT1" s="3">
        <f>+A1</f>
        <v>45627</v>
      </c>
      <c r="BU1" s="3">
        <f>+VLOOKUP(BU2,datos!$D:$E,2,FALSE)</f>
        <v>45261</v>
      </c>
      <c r="BX1" t="s">
        <v>279</v>
      </c>
      <c r="BY1" t="s">
        <v>280</v>
      </c>
      <c r="CB1" t="s">
        <v>279</v>
      </c>
      <c r="CC1" t="s">
        <v>280</v>
      </c>
      <c r="CF1" t="s">
        <v>282</v>
      </c>
      <c r="CG1" t="s">
        <v>283</v>
      </c>
      <c r="CH1" s="3">
        <f>+A1</f>
        <v>45627</v>
      </c>
      <c r="CI1" s="3">
        <f>+VLOOKUP(CI2,datos!$D:$E,2,FALSE)</f>
        <v>45627</v>
      </c>
      <c r="CJ1" s="3">
        <f>+VLOOKUP(CJ2,datos!$D:$E,2,FALSE)</f>
        <v>45597</v>
      </c>
      <c r="CK1" s="3">
        <f>+VLOOKUP(CK2,datos!$D:$E,2,FALSE)</f>
        <v>45566</v>
      </c>
      <c r="CL1" s="3">
        <f>+VLOOKUP(CL2,datos!$D:$E,2,FALSE)</f>
        <v>45536</v>
      </c>
      <c r="CM1" s="3">
        <f>+VLOOKUP(CM2,datos!$D:$E,2,FALSE)</f>
        <v>45505</v>
      </c>
      <c r="CN1" s="3">
        <f>+VLOOKUP(CN2,datos!$D:$E,2,FALSE)</f>
        <v>45474</v>
      </c>
      <c r="CO1" s="3">
        <f>+VLOOKUP(CO2,datos!$D:$E,2,FALSE)</f>
        <v>45444</v>
      </c>
      <c r="CP1" s="3">
        <f>+VLOOKUP(CP2,datos!$D:$E,2,FALSE)</f>
        <v>45413</v>
      </c>
      <c r="CQ1" s="3">
        <f>+VLOOKUP(CQ2,datos!$D:$E,2,FALSE)</f>
        <v>45383</v>
      </c>
      <c r="CR1" s="3">
        <f>+VLOOKUP(CR2,datos!$D:$E,2,FALSE)</f>
        <v>45352</v>
      </c>
      <c r="CS1" s="3">
        <f>+VLOOKUP(CS2,datos!$D:$E,2,FALSE)</f>
        <v>45323</v>
      </c>
      <c r="CT1" s="3">
        <f>+VLOOKUP(CT2,datos!$D:$E,2,FALSE)</f>
        <v>45292</v>
      </c>
      <c r="CU1" s="3">
        <f>+VLOOKUP(CU2,datos!$D:$E,2,FALSE)</f>
        <v>45261</v>
      </c>
      <c r="CV1" s="3">
        <f>+VLOOKUP(CV2,datos!$D:$E,2,FALSE)</f>
        <v>45231</v>
      </c>
      <c r="CW1" s="3">
        <f>+VLOOKUP(CW2,datos!$D:$E,2,FALSE)</f>
        <v>45200</v>
      </c>
      <c r="CX1" s="3">
        <f>+VLOOKUP(CX2,datos!$D:$E,2,FALSE)</f>
        <v>45170</v>
      </c>
      <c r="CY1" s="3">
        <f>+VLOOKUP(CY2,datos!$D:$E,2,FALSE)</f>
        <v>45139</v>
      </c>
      <c r="CZ1" s="3">
        <f>+VLOOKUP(CZ2,datos!$D:$E,2,FALSE)</f>
        <v>45108</v>
      </c>
      <c r="DA1" s="3">
        <f>+VLOOKUP(DA2,datos!$D:$E,2,FALSE)</f>
        <v>45078</v>
      </c>
      <c r="DB1" s="3">
        <f>+VLOOKUP(DB2,datos!$D:$E,2,FALSE)</f>
        <v>45047</v>
      </c>
      <c r="DC1" s="3">
        <f>+VLOOKUP(DC2,datos!$D:$E,2,FALSE)</f>
        <v>45017</v>
      </c>
      <c r="DD1" s="3">
        <f>+VLOOKUP(DD2,datos!$D:$E,2,FALSE)</f>
        <v>44986</v>
      </c>
      <c r="DE1" s="3">
        <f>+VLOOKUP(DE2,datos!$D:$E,2,FALSE)</f>
        <v>44958</v>
      </c>
      <c r="DF1" s="3">
        <f>+VLOOKUP(DF2,datos!$D:$E,2,FALSE)</f>
        <v>44927</v>
      </c>
      <c r="DH1" s="3">
        <f>+CI1</f>
        <v>45627</v>
      </c>
      <c r="DI1" s="3">
        <f>+VLOOKUP(DI2,datos!$D:$E,2,FALSE)</f>
        <v>45597</v>
      </c>
      <c r="DJ1" s="3">
        <f>+VLOOKUP(DJ2,datos!$D:$E,2,FALSE)</f>
        <v>45566</v>
      </c>
      <c r="DK1" s="3">
        <f>+VLOOKUP(DK2,datos!$D:$E,2,FALSE)</f>
        <v>45536</v>
      </c>
      <c r="DL1" s="3">
        <f>+VLOOKUP(DL2,datos!$D:$E,2,FALSE)</f>
        <v>45505</v>
      </c>
      <c r="DM1" s="3">
        <f>+VLOOKUP(DM2,datos!$D:$E,2,FALSE)</f>
        <v>45474</v>
      </c>
      <c r="DN1" s="3">
        <f>+VLOOKUP(DN2,datos!$D:$E,2,FALSE)</f>
        <v>45444</v>
      </c>
      <c r="DO1" s="3">
        <f>+VLOOKUP(DO2,datos!$D:$E,2,FALSE)</f>
        <v>45413</v>
      </c>
      <c r="DP1" s="3">
        <f>+VLOOKUP(DP2,datos!$D:$E,2,FALSE)</f>
        <v>45383</v>
      </c>
      <c r="DQ1" s="3">
        <f>+VLOOKUP(DQ2,datos!$D:$E,2,FALSE)</f>
        <v>45352</v>
      </c>
      <c r="DR1" s="3">
        <f>+VLOOKUP(DR2,datos!$D:$E,2,FALSE)</f>
        <v>45323</v>
      </c>
      <c r="DS1" s="3">
        <f>+VLOOKUP(DS2,datos!$D:$E,2,FALSE)</f>
        <v>45292</v>
      </c>
      <c r="DT1" s="3">
        <f>+VLOOKUP(DT2,datos!$D:$E,2,FALSE)</f>
        <v>45261</v>
      </c>
      <c r="DU1" s="3">
        <f>+VLOOKUP(DU2,datos!$D:$E,2,FALSE)</f>
        <v>45231</v>
      </c>
      <c r="DV1" s="3">
        <f>+VLOOKUP(DV2,datos!$D:$E,2,FALSE)</f>
        <v>45200</v>
      </c>
      <c r="DW1" s="3">
        <f>+VLOOKUP(DW2,datos!$D:$E,2,FALSE)</f>
        <v>45170</v>
      </c>
      <c r="DX1" s="3">
        <f>+VLOOKUP(DX2,datos!$D:$E,2,FALSE)</f>
        <v>45139</v>
      </c>
      <c r="DY1" s="3">
        <f>+VLOOKUP(DY2,datos!$D:$E,2,FALSE)</f>
        <v>45108</v>
      </c>
      <c r="DZ1" s="3">
        <f>+VLOOKUP(DZ2,datos!$D:$E,2,FALSE)</f>
        <v>45078</v>
      </c>
      <c r="EA1" s="3">
        <f>+VLOOKUP(EA2,datos!$D:$E,2,FALSE)</f>
        <v>45047</v>
      </c>
      <c r="EB1" s="3">
        <f>+VLOOKUP(EB2,datos!$D:$E,2,FALSE)</f>
        <v>45017</v>
      </c>
      <c r="EC1" s="3">
        <f>+VLOOKUP(EC2,datos!$D:$E,2,FALSE)</f>
        <v>44986</v>
      </c>
      <c r="ED1" s="3">
        <f>+VLOOKUP(ED2,datos!$D:$E,2,FALSE)</f>
        <v>44958</v>
      </c>
      <c r="EE1" s="3">
        <f>+VLOOKUP(EE2,datos!$D:$E,2,FALSE)</f>
        <v>44927</v>
      </c>
      <c r="EG1" s="14">
        <f>+CI1</f>
        <v>45627</v>
      </c>
      <c r="EH1" s="14">
        <f t="shared" ref="EH1:FD1" si="0">+CJ1</f>
        <v>45597</v>
      </c>
      <c r="EI1" s="3">
        <f t="shared" si="0"/>
        <v>45566</v>
      </c>
      <c r="EJ1" s="3">
        <f t="shared" si="0"/>
        <v>45536</v>
      </c>
      <c r="EK1" s="3">
        <f t="shared" si="0"/>
        <v>45505</v>
      </c>
      <c r="EL1" s="3">
        <f t="shared" si="0"/>
        <v>45474</v>
      </c>
      <c r="EM1" s="3">
        <f t="shared" si="0"/>
        <v>45444</v>
      </c>
      <c r="EN1" s="3">
        <f t="shared" si="0"/>
        <v>45413</v>
      </c>
      <c r="EO1" s="3">
        <f t="shared" si="0"/>
        <v>45383</v>
      </c>
      <c r="EP1" s="3">
        <f t="shared" si="0"/>
        <v>45352</v>
      </c>
      <c r="EQ1" s="3">
        <f t="shared" si="0"/>
        <v>45323</v>
      </c>
      <c r="ER1" s="3">
        <f t="shared" si="0"/>
        <v>45292</v>
      </c>
      <c r="ES1" s="3">
        <f t="shared" si="0"/>
        <v>45261</v>
      </c>
      <c r="ET1" s="3">
        <f t="shared" si="0"/>
        <v>45231</v>
      </c>
      <c r="EU1" s="3">
        <f t="shared" si="0"/>
        <v>45200</v>
      </c>
      <c r="EV1" s="3">
        <f t="shared" si="0"/>
        <v>45170</v>
      </c>
      <c r="EW1" s="3">
        <f t="shared" si="0"/>
        <v>45139</v>
      </c>
      <c r="EX1" s="3">
        <f t="shared" si="0"/>
        <v>45108</v>
      </c>
      <c r="EY1" s="3">
        <f t="shared" si="0"/>
        <v>45078</v>
      </c>
      <c r="EZ1" s="3">
        <f t="shared" si="0"/>
        <v>45047</v>
      </c>
      <c r="FA1" s="3">
        <f t="shared" si="0"/>
        <v>45017</v>
      </c>
      <c r="FB1" s="3">
        <f t="shared" si="0"/>
        <v>44986</v>
      </c>
      <c r="FC1" s="3">
        <f t="shared" si="0"/>
        <v>44958</v>
      </c>
      <c r="FD1" s="3">
        <f t="shared" si="0"/>
        <v>44927</v>
      </c>
    </row>
    <row r="2" spans="1:162"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174">
        <f>VLOOKUP(VLOOKUP(+$A$1,ran_ma,2,FALSE)-11,ran_idma,2,FALSE)</f>
        <v>45292</v>
      </c>
      <c r="AP2" s="174">
        <f>VLOOKUP(VLOOKUP(+$A$1,ran_ma,2,FALSE)-10,ran_idma,2,FALSE)</f>
        <v>45323</v>
      </c>
      <c r="AQ2" s="174">
        <f>VLOOKUP(VLOOKUP(+$A$1,ran_ma,2,FALSE)-9,ran_idma,2,FALSE)</f>
        <v>45352</v>
      </c>
      <c r="AR2" s="174">
        <f>VLOOKUP(VLOOKUP(+$A$1,ran_ma,2,FALSE)-8,ran_idma,2,FALSE)</f>
        <v>45383</v>
      </c>
      <c r="AS2" s="59">
        <f>VLOOKUP(VLOOKUP(+$A$1,ran_ma,2,FALSE)-7,ran_idma,2,FALSE)</f>
        <v>45413</v>
      </c>
      <c r="AT2" s="59">
        <f>VLOOKUP(VLOOKUP(+$A$1,ran_ma,2,FALSE)-6,ran_idma,2,FALSE)</f>
        <v>45444</v>
      </c>
      <c r="AU2" s="59">
        <f>VLOOKUP(VLOOKUP(+$A$1,ran_ma,2,FALSE)-5,ran_idma,2,FALSE)</f>
        <v>45474</v>
      </c>
      <c r="AV2" s="59">
        <f>VLOOKUP(VLOOKUP(+$A$1,ran_ma,2,FALSE)-4,ran_idma,2,FALSE)</f>
        <v>45505</v>
      </c>
      <c r="AW2" s="59">
        <f>VLOOKUP(VLOOKUP(+$A$1,ran_ma,2,FALSE)-3,ran_idma,2,FALSE)</f>
        <v>45536</v>
      </c>
      <c r="AX2" s="59">
        <f>VLOOKUP(VLOOKUP(+$A$1,ran_ma,2,FALSE)-2,ran_idma,2,FALSE)</f>
        <v>45566</v>
      </c>
      <c r="AY2" s="59">
        <f>VLOOKUP(VLOOKUP(+$A$1,ran_ma,2,FALSE)-1,ran_idma,2,FALSE)</f>
        <v>45597</v>
      </c>
      <c r="AZ2" s="59">
        <f>+$A$1</f>
        <v>45627</v>
      </c>
      <c r="BA2" s="5"/>
      <c r="BB2" s="170"/>
      <c r="BD2" s="9" t="s">
        <v>272</v>
      </c>
      <c r="BF2">
        <f>+VLOOKUP(BF1,ran_dat,datos!$D$1,FALSE)</f>
        <v>117</v>
      </c>
      <c r="BG2">
        <f>+BF2-1</f>
        <v>116</v>
      </c>
      <c r="BH2">
        <f>+BF2-12</f>
        <v>105</v>
      </c>
      <c r="BJ2" s="9"/>
      <c r="BK2">
        <f>+VLOOKUP(BK1,ran_dat,datos!$D$1,FALSE)</f>
        <v>117</v>
      </c>
      <c r="BL2">
        <f>+BK2-1</f>
        <v>116</v>
      </c>
      <c r="BM2">
        <f>+BK2-12</f>
        <v>105</v>
      </c>
      <c r="BO2" s="9"/>
      <c r="BP2">
        <f>+VLOOKUP(BP1,ran_dat,datos!$D$1,FALSE)</f>
        <v>117</v>
      </c>
      <c r="BQ2">
        <f>+BP2-12</f>
        <v>105</v>
      </c>
      <c r="BS2" s="9"/>
      <c r="BT2">
        <f>+VLOOKUP(BT1,ran_dat,datos!$D$1,FALSE)</f>
        <v>117</v>
      </c>
      <c r="BU2">
        <f>+BT2-12</f>
        <v>105</v>
      </c>
      <c r="BW2" s="9"/>
      <c r="CA2" s="9"/>
      <c r="CH2">
        <f>+VLOOKUP(CH1,ran_dat,datos!$D$1,FALSE)</f>
        <v>117</v>
      </c>
      <c r="CI2">
        <f>+CH2</f>
        <v>117</v>
      </c>
      <c r="CJ2">
        <f t="shared" ref="CJ2:DF2" si="1">+CI2-1</f>
        <v>116</v>
      </c>
      <c r="CK2">
        <f t="shared" si="1"/>
        <v>115</v>
      </c>
      <c r="CL2">
        <f t="shared" si="1"/>
        <v>114</v>
      </c>
      <c r="CM2">
        <f t="shared" si="1"/>
        <v>113</v>
      </c>
      <c r="CN2">
        <f t="shared" si="1"/>
        <v>112</v>
      </c>
      <c r="CO2">
        <f t="shared" si="1"/>
        <v>111</v>
      </c>
      <c r="CP2">
        <f t="shared" si="1"/>
        <v>110</v>
      </c>
      <c r="CQ2">
        <f t="shared" si="1"/>
        <v>109</v>
      </c>
      <c r="CR2">
        <f t="shared" si="1"/>
        <v>108</v>
      </c>
      <c r="CS2">
        <f t="shared" si="1"/>
        <v>107</v>
      </c>
      <c r="CT2">
        <f t="shared" si="1"/>
        <v>106</v>
      </c>
      <c r="CU2">
        <f t="shared" si="1"/>
        <v>105</v>
      </c>
      <c r="CV2">
        <f t="shared" si="1"/>
        <v>104</v>
      </c>
      <c r="CW2">
        <f t="shared" si="1"/>
        <v>103</v>
      </c>
      <c r="CX2">
        <f t="shared" si="1"/>
        <v>102</v>
      </c>
      <c r="CY2">
        <f t="shared" si="1"/>
        <v>101</v>
      </c>
      <c r="CZ2">
        <f t="shared" si="1"/>
        <v>100</v>
      </c>
      <c r="DA2">
        <f t="shared" si="1"/>
        <v>99</v>
      </c>
      <c r="DB2">
        <f t="shared" si="1"/>
        <v>98</v>
      </c>
      <c r="DC2">
        <f t="shared" si="1"/>
        <v>97</v>
      </c>
      <c r="DD2">
        <f t="shared" si="1"/>
        <v>96</v>
      </c>
      <c r="DE2">
        <f t="shared" si="1"/>
        <v>95</v>
      </c>
      <c r="DF2">
        <f t="shared" si="1"/>
        <v>94</v>
      </c>
      <c r="DH2">
        <f>+VLOOKUP(DH1,ran_dat,datos!$D$1,FALSE)</f>
        <v>117</v>
      </c>
      <c r="DI2">
        <f t="shared" ref="DI2:EE2" si="2">+DH2-1</f>
        <v>116</v>
      </c>
      <c r="DJ2">
        <f t="shared" si="2"/>
        <v>115</v>
      </c>
      <c r="DK2">
        <f t="shared" si="2"/>
        <v>114</v>
      </c>
      <c r="DL2">
        <f t="shared" si="2"/>
        <v>113</v>
      </c>
      <c r="DM2">
        <f t="shared" si="2"/>
        <v>112</v>
      </c>
      <c r="DN2">
        <f t="shared" si="2"/>
        <v>111</v>
      </c>
      <c r="DO2">
        <f t="shared" si="2"/>
        <v>110</v>
      </c>
      <c r="DP2">
        <f t="shared" si="2"/>
        <v>109</v>
      </c>
      <c r="DQ2">
        <f t="shared" si="2"/>
        <v>108</v>
      </c>
      <c r="DR2">
        <f t="shared" si="2"/>
        <v>107</v>
      </c>
      <c r="DS2">
        <f t="shared" si="2"/>
        <v>106</v>
      </c>
      <c r="DT2">
        <f t="shared" si="2"/>
        <v>105</v>
      </c>
      <c r="DU2">
        <f t="shared" si="2"/>
        <v>104</v>
      </c>
      <c r="DV2">
        <f t="shared" si="2"/>
        <v>103</v>
      </c>
      <c r="DW2">
        <f t="shared" si="2"/>
        <v>102</v>
      </c>
      <c r="DX2">
        <f t="shared" si="2"/>
        <v>101</v>
      </c>
      <c r="DY2">
        <f t="shared" si="2"/>
        <v>100</v>
      </c>
      <c r="DZ2">
        <f t="shared" si="2"/>
        <v>99</v>
      </c>
      <c r="EA2">
        <f t="shared" si="2"/>
        <v>98</v>
      </c>
      <c r="EB2">
        <f t="shared" si="2"/>
        <v>97</v>
      </c>
      <c r="EC2">
        <f t="shared" si="2"/>
        <v>96</v>
      </c>
      <c r="ED2">
        <f t="shared" si="2"/>
        <v>95</v>
      </c>
      <c r="EE2">
        <f t="shared" si="2"/>
        <v>94</v>
      </c>
      <c r="EG2" s="14">
        <f>+VLOOKUP(EG1,ran_dat,datos!$D$1,FALSE)</f>
        <v>117</v>
      </c>
      <c r="EH2" s="14">
        <f t="shared" ref="EH2:FD2" si="3">+EG2-1</f>
        <v>116</v>
      </c>
      <c r="EI2">
        <f t="shared" si="3"/>
        <v>115</v>
      </c>
      <c r="EJ2">
        <f t="shared" si="3"/>
        <v>114</v>
      </c>
      <c r="EK2">
        <f t="shared" si="3"/>
        <v>113</v>
      </c>
      <c r="EL2">
        <f t="shared" si="3"/>
        <v>112</v>
      </c>
      <c r="EM2">
        <f t="shared" si="3"/>
        <v>111</v>
      </c>
      <c r="EN2">
        <f t="shared" si="3"/>
        <v>110</v>
      </c>
      <c r="EO2">
        <f t="shared" si="3"/>
        <v>109</v>
      </c>
      <c r="EP2">
        <f t="shared" si="3"/>
        <v>108</v>
      </c>
      <c r="EQ2">
        <f t="shared" si="3"/>
        <v>107</v>
      </c>
      <c r="ER2">
        <f t="shared" si="3"/>
        <v>106</v>
      </c>
      <c r="ES2">
        <f t="shared" si="3"/>
        <v>105</v>
      </c>
      <c r="ET2">
        <f t="shared" si="3"/>
        <v>104</v>
      </c>
      <c r="EU2">
        <f t="shared" si="3"/>
        <v>103</v>
      </c>
      <c r="EV2">
        <f t="shared" si="3"/>
        <v>102</v>
      </c>
      <c r="EW2">
        <f t="shared" si="3"/>
        <v>101</v>
      </c>
      <c r="EX2">
        <f t="shared" si="3"/>
        <v>100</v>
      </c>
      <c r="EY2">
        <f t="shared" si="3"/>
        <v>99</v>
      </c>
      <c r="EZ2">
        <f t="shared" si="3"/>
        <v>98</v>
      </c>
      <c r="FA2">
        <f t="shared" si="3"/>
        <v>97</v>
      </c>
      <c r="FB2">
        <f t="shared" si="3"/>
        <v>96</v>
      </c>
      <c r="FC2">
        <f t="shared" si="3"/>
        <v>95</v>
      </c>
      <c r="FD2">
        <f t="shared" si="3"/>
        <v>94</v>
      </c>
    </row>
    <row r="3" spans="1:162" ht="18.75" customHeight="1">
      <c r="A3" s="220"/>
      <c r="C3" s="155"/>
      <c r="D3" s="196">
        <v>0.33</v>
      </c>
      <c r="E3" s="100">
        <f>IFERROR(+BF5/BG5-1,"")</f>
        <v>2.7044344181327951E-2</v>
      </c>
      <c r="F3" s="56" t="s">
        <v>515</v>
      </c>
      <c r="G3" s="56"/>
      <c r="H3" s="56"/>
      <c r="I3" s="60">
        <f>IFERROR(+BF5/BH5-1,"")</f>
        <v>1.177634151915087</v>
      </c>
      <c r="J3" s="56" t="s">
        <v>515</v>
      </c>
      <c r="K3" s="56"/>
      <c r="L3" s="56"/>
      <c r="M3" s="32"/>
      <c r="N3" s="196">
        <v>0.33</v>
      </c>
      <c r="O3" s="31"/>
      <c r="S3" s="32"/>
      <c r="T3" s="196">
        <v>0.33</v>
      </c>
      <c r="U3" s="150" t="str">
        <f>TEXT(CT1,"MMM-YY")&amp;"."&amp;TEXT(CI1,"MMM-YY")&amp;" vs "&amp;TEXT(DF1,"MMM-YY")&amp;"."&amp;TEXT(CU1,"MMM-YY")</f>
        <v>ene-24.dic-24 vs ene-23.dic-23</v>
      </c>
      <c r="Y3" s="59" t="str">
        <f>TEXT(CI1,"MMM-YY")&amp;" vs "&amp;TEXT(CU1,"MMM-YY")</f>
        <v>dic-24 vs dic-23</v>
      </c>
      <c r="BD3" s="4" t="s">
        <v>3</v>
      </c>
      <c r="BE3" s="4"/>
      <c r="BF3" s="4"/>
      <c r="BG3" s="4"/>
      <c r="BH3" s="4"/>
      <c r="BJ3" s="27" t="s">
        <v>5</v>
      </c>
      <c r="BK3" s="27"/>
      <c r="BL3" s="27"/>
      <c r="BM3" s="27"/>
      <c r="BO3" s="20" t="s">
        <v>15</v>
      </c>
      <c r="BP3" s="20"/>
      <c r="BQ3" s="20"/>
      <c r="BS3" s="21" t="s">
        <v>2</v>
      </c>
      <c r="BT3" s="21"/>
      <c r="BU3" s="21"/>
      <c r="BW3" s="4" t="s">
        <v>7</v>
      </c>
      <c r="BX3" s="4"/>
      <c r="BY3" s="4"/>
      <c r="CA3" s="43" t="s">
        <v>8</v>
      </c>
      <c r="CB3" s="43"/>
      <c r="CC3" s="43"/>
      <c r="CE3" s="22" t="s">
        <v>9</v>
      </c>
      <c r="CF3" s="22"/>
      <c r="CG3" s="22"/>
      <c r="CI3" s="4" t="s">
        <v>7</v>
      </c>
      <c r="CJ3" s="4"/>
      <c r="CK3" s="4"/>
      <c r="CL3" s="4"/>
      <c r="CM3" s="4"/>
      <c r="CN3" s="4"/>
      <c r="CO3" s="4"/>
      <c r="CP3" s="4"/>
      <c r="CQ3" s="4"/>
      <c r="CR3" s="4"/>
      <c r="CS3" s="4"/>
      <c r="CT3" s="4"/>
      <c r="CU3" s="4"/>
      <c r="CV3" s="4"/>
      <c r="CW3" s="4"/>
      <c r="CX3" s="4"/>
      <c r="CY3" s="4"/>
      <c r="CZ3" s="4"/>
      <c r="DA3" s="4"/>
      <c r="DB3" s="4"/>
      <c r="DC3" s="4"/>
      <c r="DD3" s="4"/>
      <c r="DE3" s="4"/>
      <c r="DF3" s="4"/>
      <c r="DH3" s="43" t="s">
        <v>8</v>
      </c>
      <c r="DI3" s="43"/>
      <c r="DJ3" s="43"/>
      <c r="DK3" s="43"/>
      <c r="DL3" s="43"/>
      <c r="DM3" s="43"/>
      <c r="DN3" s="43"/>
      <c r="DO3" s="43"/>
      <c r="DP3" s="43"/>
      <c r="DQ3" s="43"/>
      <c r="DR3" s="43"/>
      <c r="DS3" s="43"/>
      <c r="DT3" s="43"/>
      <c r="DU3" s="43"/>
      <c r="DV3" s="43"/>
      <c r="DW3" s="43"/>
      <c r="DX3" s="43"/>
      <c r="DY3" s="43"/>
      <c r="DZ3" s="43"/>
      <c r="EA3" s="43"/>
      <c r="EB3" s="43"/>
      <c r="EC3" s="43"/>
      <c r="ED3" s="43"/>
      <c r="EE3" s="43"/>
      <c r="EG3" s="151" t="s">
        <v>9</v>
      </c>
      <c r="EH3" s="151"/>
      <c r="EI3" s="22"/>
      <c r="EJ3" s="22"/>
      <c r="EK3" s="22"/>
      <c r="EL3" s="22"/>
      <c r="EM3" s="22"/>
      <c r="EN3" s="22"/>
      <c r="EO3" s="22"/>
      <c r="EP3" s="22"/>
      <c r="EQ3" s="22"/>
      <c r="ER3" s="22"/>
      <c r="ES3" s="22"/>
      <c r="ET3" s="22"/>
      <c r="EU3" s="22"/>
      <c r="EV3" s="22"/>
      <c r="EW3" s="22"/>
      <c r="EX3" s="22"/>
      <c r="EY3" s="22"/>
      <c r="EZ3" s="22"/>
      <c r="FA3" s="22"/>
      <c r="FB3" s="22"/>
      <c r="FC3" s="22"/>
      <c r="FD3" s="22"/>
    </row>
    <row r="4" spans="1:162"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19"/>
      <c r="AT4" s="19"/>
      <c r="AU4" s="19"/>
      <c r="AV4" s="19"/>
      <c r="AW4" s="19"/>
      <c r="AX4" s="19"/>
      <c r="AY4" s="19"/>
      <c r="AZ4" s="19"/>
      <c r="BA4" s="19"/>
      <c r="BB4" s="141" t="s">
        <v>390</v>
      </c>
      <c r="BD4" s="9"/>
      <c r="BJ4" s="9"/>
      <c r="BO4" s="9"/>
      <c r="BS4" s="9"/>
      <c r="BW4" s="9"/>
      <c r="CA4" s="9"/>
      <c r="CI4" s="44" t="s">
        <v>281</v>
      </c>
      <c r="CJ4" s="44"/>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152"/>
      <c r="EH4" s="152"/>
      <c r="EI4" s="44"/>
      <c r="EJ4" s="44"/>
      <c r="EK4" s="44"/>
      <c r="EL4" s="44"/>
      <c r="EM4" s="44"/>
      <c r="EN4" s="44"/>
      <c r="EO4" s="44"/>
      <c r="EP4" s="44"/>
      <c r="EQ4" s="44"/>
      <c r="ER4" s="44"/>
      <c r="ES4" s="44"/>
      <c r="ET4" s="44"/>
      <c r="EU4" s="44"/>
      <c r="EV4" s="44"/>
      <c r="EW4" s="44"/>
      <c r="EX4" s="44"/>
      <c r="EY4" s="44"/>
      <c r="EZ4" s="44"/>
      <c r="FA4" s="44"/>
      <c r="FB4" s="44"/>
      <c r="FC4" s="44"/>
      <c r="FD4" s="44"/>
    </row>
    <row r="5" spans="1:162" ht="16.5" customHeight="1">
      <c r="E5" s="18"/>
      <c r="N5" s="197"/>
      <c r="O5" s="34"/>
      <c r="P5" s="33"/>
      <c r="Q5" s="34"/>
      <c r="R5" s="33"/>
      <c r="T5" s="197"/>
      <c r="U5" s="25"/>
      <c r="V5" s="34"/>
      <c r="W5" s="34"/>
      <c r="X5" s="34"/>
      <c r="Y5" s="34"/>
      <c r="Z5" s="34"/>
      <c r="AB5" s="211"/>
      <c r="BC5">
        <f>+A3</f>
        <v>0</v>
      </c>
      <c r="BD5">
        <f>+datos!G1</f>
        <v>7</v>
      </c>
      <c r="BE5" s="2" t="str">
        <f t="shared" ref="BE5:BH24" si="4">+VLOOKUP(BE$1,ran_dat,$BD5,FALSE)</f>
        <v>Índice</v>
      </c>
      <c r="BF5" s="2">
        <f t="shared" si="4"/>
        <v>7694</v>
      </c>
      <c r="BG5" s="2">
        <f t="shared" si="4"/>
        <v>7491.4</v>
      </c>
      <c r="BH5" s="2">
        <f t="shared" si="4"/>
        <v>3533.1922</v>
      </c>
    </row>
    <row r="6" spans="1:162" ht="18.75" customHeight="1">
      <c r="A6" s="243" t="s">
        <v>28</v>
      </c>
      <c r="B6" s="246"/>
      <c r="C6" s="156">
        <f t="shared" ref="C6:C24" si="5">+D6*$D$3+N6*$N$3+T6*$T$3</f>
        <v>0</v>
      </c>
      <c r="D6" s="198">
        <v>-2</v>
      </c>
      <c r="E6" s="248">
        <f t="shared" ref="E6:E24" si="6">IFERROR(+BF6/BG6-1,"")</f>
        <v>-5.2264112067845758E-3</v>
      </c>
      <c r="F6" s="249">
        <f t="shared" ref="F6:F24" si="7">+E6-$E$3</f>
        <v>-3.2270755388112526E-2</v>
      </c>
      <c r="G6" s="248">
        <f t="shared" ref="G6:G24" si="8">IFERROR(+BK6/BL6-1,"")</f>
        <v>1.3505238418918264E-3</v>
      </c>
      <c r="H6" s="249">
        <f t="shared" ref="H6:H24" si="9">E6-G6</f>
        <v>-6.5769350486764022E-3</v>
      </c>
      <c r="I6" s="248">
        <f t="shared" ref="I6:I24" si="10">IFERROR(+BF6/BH6-1,"")</f>
        <v>-0.13528940204474948</v>
      </c>
      <c r="J6" s="249">
        <f t="shared" ref="J6:J26" si="11">+I6-$I$3</f>
        <v>-1.3129235539598365</v>
      </c>
      <c r="K6" s="248">
        <f t="shared" ref="K6:K24" si="12">IFERROR(+BK6/BM6-1,"")</f>
        <v>9.1698665046708649E-2</v>
      </c>
      <c r="L6" s="249">
        <f t="shared" ref="L6:L24" si="13">I6-K6</f>
        <v>-0.22698806709145813</v>
      </c>
      <c r="M6" s="250"/>
      <c r="N6" s="24">
        <v>1</v>
      </c>
      <c r="O6" s="248">
        <f>IFERROR(+BP6/BQ6-1,"")</f>
        <v>6.1538461538461542E-2</v>
      </c>
      <c r="P6" s="251">
        <f>+O6</f>
        <v>6.1538461538461542E-2</v>
      </c>
      <c r="Q6" s="248">
        <f t="shared" ref="Q6:Q24" si="14">IFERROR(+BT6/BU6-1,"")</f>
        <v>0.44444444444444442</v>
      </c>
      <c r="R6" s="251">
        <f>+Q6</f>
        <v>0.44444444444444442</v>
      </c>
      <c r="S6" s="250"/>
      <c r="T6" s="24">
        <v>1</v>
      </c>
      <c r="U6" s="248">
        <f t="shared" ref="U6:U24" si="15">IFERROR(+BX6/BY6-1,"")</f>
        <v>1.322029175817196</v>
      </c>
      <c r="V6" s="252">
        <f t="shared" ref="V6:V24" si="16">+U6</f>
        <v>1.322029175817196</v>
      </c>
      <c r="W6" s="248">
        <f>IFERROR(IF(CB6&lt;0.5,"",+CB6/CC6-1),"")</f>
        <v>-0.31758368252255964</v>
      </c>
      <c r="X6" s="252">
        <f t="shared" ref="X6:X24" si="17">+W6</f>
        <v>-0.31758368252255964</v>
      </c>
      <c r="Y6" s="248" t="str">
        <f t="shared" ref="Y6:Y25" si="18">IFERROR(+CF6/CG6-1,"")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
        <f>VLOOKUP($A6,historia!$A$5:$CM$24,+HLOOKUP(AO$2,historia!$A$3:$EC$4,2,FALSE),FALSE)</f>
        <v>4</v>
      </c>
      <c r="AP6" s="28">
        <f>VLOOKUP($A6,historia!$A$5:$CM$24,+HLOOKUP(AP$2,historia!$A$3:$EC$4,2,FALSE),FALSE)</f>
        <v>4</v>
      </c>
      <c r="AQ6" s="28">
        <f>VLOOKUP($A6,historia!$A$5:$CM$24,+HLOOKUP(AQ$2,historia!$A$3:$EC$4,2,FALSE),FALSE)</f>
        <v>4</v>
      </c>
      <c r="AR6" s="28">
        <f>VLOOKUP($A6,historia!$A$5:$CM$24,+HLOOKUP(AR$2,historia!$A$3:$EC$4,2,FALSE),FALSE)</f>
        <v>4</v>
      </c>
      <c r="AS6" s="58">
        <f>VLOOKUP($A6,historia!$A$5:$CM$24,+HLOOKUP(AS$2,historia!$A$3:$EC$4,2,FALSE),FALSE)</f>
        <v>3</v>
      </c>
      <c r="AT6" s="58">
        <f>VLOOKUP($A6,historia!$A$5:$CM$24,+HLOOKUP(AT$2,historia!$A$3:$EC$4,2,FALSE),FALSE)</f>
        <v>3</v>
      </c>
      <c r="AU6" s="58">
        <f>VLOOKUP($A6,historia!$A$5:$CM$24,+HLOOKUP(AU$2,historia!$A$3:$EC$4,2,FALSE),FALSE)</f>
        <v>3</v>
      </c>
      <c r="AV6" s="58">
        <v>3</v>
      </c>
      <c r="AW6" s="58">
        <v>3</v>
      </c>
      <c r="AX6" s="58">
        <v>3</v>
      </c>
      <c r="AY6" s="58">
        <v>3</v>
      </c>
      <c r="AZ6" s="58">
        <v>4</v>
      </c>
      <c r="BA6" s="30"/>
      <c r="BB6" s="141">
        <v>3</v>
      </c>
      <c r="BC6" t="str">
        <f t="shared" ref="BC6:BC24" si="20">+A6</f>
        <v>Algodón</v>
      </c>
      <c r="BD6">
        <f>+datos!P1</f>
        <v>16</v>
      </c>
      <c r="BE6" s="2" t="str">
        <f t="shared" si="4"/>
        <v>$/kg</v>
      </c>
      <c r="BF6" s="2">
        <f t="shared" si="4"/>
        <v>1386.1998149999999</v>
      </c>
      <c r="BG6" s="2">
        <f t="shared" si="4"/>
        <v>1393.4827287499998</v>
      </c>
      <c r="BH6" s="2">
        <f t="shared" si="4"/>
        <v>1603.0794791666667</v>
      </c>
      <c r="BJ6">
        <f>+datos!BY1</f>
        <v>77</v>
      </c>
      <c r="BK6" s="2">
        <f t="shared" ref="BK6:BM24" si="21">+VLOOKUP(BK$1,ran_dat,$BJ6,FALSE)</f>
        <v>9327.4322215449647</v>
      </c>
      <c r="BL6" s="2">
        <f t="shared" si="21"/>
        <v>9314.8522914416717</v>
      </c>
      <c r="BM6" s="2">
        <f t="shared" si="21"/>
        <v>8543.9622857337545</v>
      </c>
      <c r="BO6" s="1">
        <f>+datos!DK1</f>
        <v>115</v>
      </c>
      <c r="BP6" s="1">
        <f t="shared" ref="BP6:BQ24" si="22">+VLOOKUP(BP$1,ran_dat,$BO6,FALSE)</f>
        <v>690000</v>
      </c>
      <c r="BQ6" s="1">
        <f t="shared" si="22"/>
        <v>650000</v>
      </c>
      <c r="BS6" s="1">
        <f>+datos!FF1</f>
        <v>162</v>
      </c>
      <c r="BT6" s="1">
        <f t="shared" ref="BT6:BU24" si="23">+VLOOKUP(BT$1,ran_dat,$BS6,FALSE)</f>
        <v>1300000</v>
      </c>
      <c r="BU6" s="1">
        <f t="shared" si="23"/>
        <v>900000</v>
      </c>
      <c r="BW6" s="1">
        <f>+datos!JF1</f>
        <v>266</v>
      </c>
      <c r="BX6" s="1">
        <f>+SUM(CI6:CT6)</f>
        <v>197.46134558</v>
      </c>
      <c r="BY6" s="1">
        <f>+SUM(CU6:DF6)</f>
        <v>85.038270679999982</v>
      </c>
      <c r="CA6" s="1">
        <f>+datos!KK1</f>
        <v>297</v>
      </c>
      <c r="CB6" s="2">
        <f t="shared" ref="CB6:CB24" si="24">+SUM(DH6:DS6)</f>
        <v>63.268929369999995</v>
      </c>
      <c r="CC6" s="2">
        <f t="shared" ref="CC6:CC24" si="25">+SUM(DT6:EE6)</f>
        <v>92.713095729999992</v>
      </c>
      <c r="CE6" s="1">
        <f>+datos!HS1</f>
        <v>227</v>
      </c>
      <c r="CF6" s="1">
        <f t="shared" ref="CF6:CF24" si="26">+EG6</f>
        <v>0</v>
      </c>
      <c r="CG6" s="1">
        <f t="shared" ref="CG6:CG24" si="27">+ES6</f>
        <v>0</v>
      </c>
      <c r="CI6" s="1">
        <f t="shared" ref="CI6:CX21" si="28">+VLOOKUP(CI$1,ran_dat,$BW6,FALSE)</f>
        <v>10.78045292</v>
      </c>
      <c r="CJ6" s="1">
        <f t="shared" si="28"/>
        <v>14.805583519999997</v>
      </c>
      <c r="CK6" s="1">
        <f t="shared" si="28"/>
        <v>17.696202909999993</v>
      </c>
      <c r="CL6" s="1">
        <f t="shared" si="28"/>
        <v>21.922029789999996</v>
      </c>
      <c r="CM6" s="1">
        <f t="shared" si="28"/>
        <v>19.20970509</v>
      </c>
      <c r="CN6" s="1">
        <f t="shared" si="28"/>
        <v>24.496622440000007</v>
      </c>
      <c r="CO6" s="1">
        <f t="shared" si="28"/>
        <v>21.439575039999998</v>
      </c>
      <c r="CP6" s="1">
        <f t="shared" si="28"/>
        <v>14.529816729999997</v>
      </c>
      <c r="CQ6" s="1">
        <f t="shared" si="28"/>
        <v>18.258202080000007</v>
      </c>
      <c r="CR6" s="1">
        <f t="shared" si="28"/>
        <v>18.510441480000001</v>
      </c>
      <c r="CS6" s="1">
        <f t="shared" si="28"/>
        <v>7.7064561400000011</v>
      </c>
      <c r="CT6" s="1">
        <f t="shared" si="28"/>
        <v>8.1062574399999985</v>
      </c>
      <c r="CU6" s="1">
        <f t="shared" si="28"/>
        <v>8.4463773399999997</v>
      </c>
      <c r="CV6" s="1">
        <f t="shared" si="28"/>
        <v>15.019774559999998</v>
      </c>
      <c r="CW6" s="1">
        <f t="shared" si="28"/>
        <v>14.398572559999998</v>
      </c>
      <c r="CX6" s="1">
        <f t="shared" si="28"/>
        <v>16.61514231</v>
      </c>
      <c r="CY6" s="1">
        <f t="shared" ref="CY6:DF21" si="29">+VLOOKUP(CY$1,ran_dat,$BW6,FALSE)</f>
        <v>14.3155891</v>
      </c>
      <c r="CZ6" s="1">
        <f t="shared" si="29"/>
        <v>3.12980459</v>
      </c>
      <c r="DA6" s="1">
        <f t="shared" si="29"/>
        <v>2.3595063199999995</v>
      </c>
      <c r="DB6" s="1">
        <f t="shared" si="29"/>
        <v>5.3927380000000005</v>
      </c>
      <c r="DC6" s="1">
        <f t="shared" si="29"/>
        <v>1.1182586999999999</v>
      </c>
      <c r="DD6" s="1">
        <f t="shared" si="29"/>
        <v>0.81365803999999953</v>
      </c>
      <c r="DE6" s="1">
        <f t="shared" si="29"/>
        <v>2.2053805500000006</v>
      </c>
      <c r="DF6" s="1">
        <f t="shared" si="29"/>
        <v>1.2234686099999996</v>
      </c>
      <c r="DH6" s="1">
        <f t="shared" ref="DH6:DW21" si="30">+VLOOKUP(DH$1,ran_dat,$CA6,FALSE)</f>
        <v>8.003268180000001</v>
      </c>
      <c r="DI6" s="1">
        <f t="shared" si="30"/>
        <v>5.6011509000000004</v>
      </c>
      <c r="DJ6" s="1">
        <f t="shared" si="30"/>
        <v>5.8112020999999991</v>
      </c>
      <c r="DK6" s="1">
        <f t="shared" si="30"/>
        <v>6.3060080799999998</v>
      </c>
      <c r="DL6" s="1">
        <f t="shared" si="30"/>
        <v>3.7690183000000008</v>
      </c>
      <c r="DM6" s="1">
        <f t="shared" si="30"/>
        <v>4.5361736000000006</v>
      </c>
      <c r="DN6" s="1">
        <f t="shared" si="30"/>
        <v>3.2956469100000003</v>
      </c>
      <c r="DO6" s="1">
        <f t="shared" si="30"/>
        <v>4.5516111999999991</v>
      </c>
      <c r="DP6" s="1">
        <f t="shared" si="30"/>
        <v>3.9375346699999998</v>
      </c>
      <c r="DQ6" s="1">
        <f t="shared" si="30"/>
        <v>4.8118603300000009</v>
      </c>
      <c r="DR6" s="1">
        <f t="shared" si="30"/>
        <v>5.2295233099999994</v>
      </c>
      <c r="DS6" s="1">
        <f t="shared" si="30"/>
        <v>7.4159317900000001</v>
      </c>
      <c r="DT6" s="1">
        <f t="shared" si="30"/>
        <v>3.5587731599999999</v>
      </c>
      <c r="DU6" s="1">
        <f t="shared" si="30"/>
        <v>6.9479693099999986</v>
      </c>
      <c r="DV6" s="1">
        <f t="shared" si="30"/>
        <v>7.5746309199999997</v>
      </c>
      <c r="DW6" s="1">
        <f t="shared" si="30"/>
        <v>8.1137987799999998</v>
      </c>
      <c r="DX6" s="1">
        <f t="shared" ref="DX6:EE20" si="31">+VLOOKUP(DX$1,ran_dat,$CA6,FALSE)</f>
        <v>9.2876289100000005</v>
      </c>
      <c r="DY6" s="1">
        <f t="shared" si="31"/>
        <v>7.69051375</v>
      </c>
      <c r="DZ6" s="1">
        <f t="shared" si="31"/>
        <v>7.1486482300000009</v>
      </c>
      <c r="EA6" s="1">
        <f t="shared" si="31"/>
        <v>9.1724036200000008</v>
      </c>
      <c r="EB6" s="1">
        <f t="shared" si="31"/>
        <v>6.8489806600000005</v>
      </c>
      <c r="EC6" s="1">
        <f t="shared" si="31"/>
        <v>8.39418884</v>
      </c>
      <c r="ED6" s="1">
        <f t="shared" si="31"/>
        <v>8.0897496800000006</v>
      </c>
      <c r="EE6" s="1">
        <f t="shared" si="31"/>
        <v>9.8858098699999992</v>
      </c>
      <c r="EG6" s="14">
        <f t="shared" ref="EG6:EV21" si="32">+VLOOKUP(EG$1,ran_dat,$CE6,FALSE)</f>
        <v>0</v>
      </c>
      <c r="EH6" s="14">
        <f t="shared" si="32"/>
        <v>0</v>
      </c>
      <c r="EI6" s="1">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ref="EW6:FD20" si="33">+VLOOKUP(EW$1,ran_dat,$CE6,FALSE)</f>
        <v>0</v>
      </c>
      <c r="EX6" s="1">
        <f t="shared" si="33"/>
        <v>0</v>
      </c>
      <c r="EY6" s="1">
        <f t="shared" si="33"/>
        <v>0</v>
      </c>
      <c r="EZ6" s="1">
        <f t="shared" si="33"/>
        <v>0</v>
      </c>
      <c r="FA6" s="1">
        <f t="shared" si="33"/>
        <v>0</v>
      </c>
      <c r="FB6" s="1">
        <f t="shared" si="33"/>
        <v>0</v>
      </c>
      <c r="FC6" s="1">
        <f t="shared" si="33"/>
        <v>0</v>
      </c>
      <c r="FD6" s="1">
        <f t="shared" si="33"/>
        <v>0</v>
      </c>
      <c r="FF6" s="162">
        <f t="shared" ref="FF6:FF24" si="34">+I6-K6</f>
        <v>-0.22698806709145813</v>
      </c>
    </row>
    <row r="7" spans="1:162" ht="18.75" customHeight="1">
      <c r="A7" s="244" t="s">
        <v>13</v>
      </c>
      <c r="B7" s="247"/>
      <c r="C7" s="228">
        <f t="shared" si="5"/>
        <v>-0.33</v>
      </c>
      <c r="D7" s="229">
        <v>-1</v>
      </c>
      <c r="E7" s="253">
        <f t="shared" si="6"/>
        <v>-0.1428571428571429</v>
      </c>
      <c r="F7" s="254">
        <f t="shared" si="7"/>
        <v>-0.16990148703847086</v>
      </c>
      <c r="G7" s="253">
        <f t="shared" si="8"/>
        <v>-2.2746259827405302E-3</v>
      </c>
      <c r="H7" s="254">
        <f t="shared" si="9"/>
        <v>-0.14058251687440237</v>
      </c>
      <c r="I7" s="253">
        <f t="shared" si="10"/>
        <v>-0.16666666666666663</v>
      </c>
      <c r="J7" s="254">
        <f t="shared" si="11"/>
        <v>-1.3443008185817535</v>
      </c>
      <c r="K7" s="253">
        <f t="shared" si="12"/>
        <v>0.24056746768279158</v>
      </c>
      <c r="L7" s="254">
        <f t="shared" si="13"/>
        <v>-0.40723413434945821</v>
      </c>
      <c r="M7" s="255"/>
      <c r="N7" s="256">
        <v>1</v>
      </c>
      <c r="O7" s="253">
        <f t="shared" ref="O7:O24" si="35">IFERROR(+BP7/BQ7-1,"")</f>
        <v>0.14999999999999991</v>
      </c>
      <c r="P7" s="257">
        <f t="shared" ref="P7:P24" si="36">+O7</f>
        <v>0.14999999999999991</v>
      </c>
      <c r="Q7" s="253">
        <f t="shared" si="14"/>
        <v>8.3333333333333259E-2</v>
      </c>
      <c r="R7" s="257">
        <f t="shared" ref="R7:R24" si="37">+Q7</f>
        <v>8.3333333333333259E-2</v>
      </c>
      <c r="S7" s="255"/>
      <c r="T7" s="256">
        <v>-1</v>
      </c>
      <c r="U7" s="253">
        <f t="shared" si="15"/>
        <v>0.16966477117360101</v>
      </c>
      <c r="V7" s="258">
        <f t="shared" si="16"/>
        <v>0.16966477117360101</v>
      </c>
      <c r="W7" s="253">
        <f t="shared" ref="W7:W24" si="38">IFERROR(IF(CB7&lt;0.5,"",+CB7/CC7-1),"")</f>
        <v>5.624601025999624</v>
      </c>
      <c r="X7" s="258">
        <f t="shared" si="17"/>
        <v>5.624601025999624</v>
      </c>
      <c r="Y7" s="253">
        <f t="shared" si="18"/>
        <v>0</v>
      </c>
      <c r="Z7" s="258">
        <f t="shared" si="19"/>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
        <f>VLOOKUP($A7,historia!$A$5:$CM$24,+HLOOKUP(AO$2,historia!$A$3:$EC$4,2,FALSE),FALSE)</f>
        <v>2</v>
      </c>
      <c r="AP7" s="28">
        <f>VLOOKUP($A7,historia!$A$5:$CM$24,+HLOOKUP(AP$2,historia!$A$3:$EC$4,2,FALSE),FALSE)</f>
        <v>2</v>
      </c>
      <c r="AQ7" s="28">
        <f>VLOOKUP($A7,historia!$A$5:$CM$24,+HLOOKUP(AQ$2,historia!$A$3:$EC$4,2,FALSE),FALSE)</f>
        <v>2</v>
      </c>
      <c r="AR7" s="28">
        <f>VLOOKUP($A7,historia!$A$5:$CM$24,+HLOOKUP(AR$2,historia!$A$3:$EC$4,2,FALSE),FALSE)</f>
        <v>2</v>
      </c>
      <c r="AS7" s="58">
        <f>VLOOKUP($A7,historia!$A$5:$CM$24,+HLOOKUP(AS$2,historia!$A$3:$EC$4,2,FALSE),FALSE)</f>
        <v>2</v>
      </c>
      <c r="AT7" s="58">
        <f>VLOOKUP($A7,historia!$A$5:$CM$24,+HLOOKUP(AT$2,historia!$A$3:$EC$4,2,FALSE),FALSE)</f>
        <v>2</v>
      </c>
      <c r="AU7" s="58">
        <f>VLOOKUP($A7,historia!$A$5:$CM$24,+HLOOKUP(AU$2,historia!$A$3:$EC$4,2,FALSE),FALSE)</f>
        <v>4</v>
      </c>
      <c r="AV7" s="58">
        <v>4</v>
      </c>
      <c r="AW7" s="58">
        <v>4</v>
      </c>
      <c r="AX7" s="58">
        <v>4</v>
      </c>
      <c r="AY7" s="58">
        <v>4</v>
      </c>
      <c r="AZ7" s="58">
        <v>4</v>
      </c>
      <c r="BA7" s="30"/>
      <c r="BB7" s="141">
        <v>4</v>
      </c>
      <c r="BC7" t="str">
        <f t="shared" si="20"/>
        <v>Arroz</v>
      </c>
      <c r="BD7">
        <f>+datos!R1</f>
        <v>18</v>
      </c>
      <c r="BE7" s="2" t="str">
        <f t="shared" si="4"/>
        <v>$/t</v>
      </c>
      <c r="BF7" s="2">
        <f t="shared" si="4"/>
        <v>300000</v>
      </c>
      <c r="BG7" s="2">
        <f t="shared" si="4"/>
        <v>350000</v>
      </c>
      <c r="BH7" s="2">
        <f t="shared" si="4"/>
        <v>360000</v>
      </c>
      <c r="BJ7">
        <f>+datos!BZ1</f>
        <v>78</v>
      </c>
      <c r="BK7" s="2">
        <f t="shared" si="21"/>
        <v>8768.743782254729</v>
      </c>
      <c r="BL7" s="2">
        <f t="shared" si="21"/>
        <v>8788.7348669384846</v>
      </c>
      <c r="BM7" s="2">
        <f t="shared" si="21"/>
        <v>7068.3328482194765</v>
      </c>
      <c r="BO7" s="1">
        <f>+datos!DM1</f>
        <v>117</v>
      </c>
      <c r="BP7" s="1">
        <f t="shared" si="22"/>
        <v>230000</v>
      </c>
      <c r="BQ7" s="1">
        <f t="shared" si="22"/>
        <v>200000</v>
      </c>
      <c r="BS7" s="1">
        <f>+datos!FH1</f>
        <v>164</v>
      </c>
      <c r="BT7" s="1">
        <f t="shared" si="23"/>
        <v>1300000</v>
      </c>
      <c r="BU7" s="1">
        <f t="shared" si="23"/>
        <v>1200000</v>
      </c>
      <c r="BW7" s="1">
        <f>+datos!JG1</f>
        <v>267</v>
      </c>
      <c r="BX7" s="1">
        <f t="shared" ref="BX7:BX24" si="39">+SUM(CI7:CT7)</f>
        <v>288.75987519</v>
      </c>
      <c r="BY7" s="1">
        <f t="shared" ref="BY7:BY24" si="40">+SUM(CU7:DF7)</f>
        <v>246.87404657000002</v>
      </c>
      <c r="CA7" s="1">
        <f>+datos!KL1</f>
        <v>298</v>
      </c>
      <c r="CB7" s="2">
        <f t="shared" si="24"/>
        <v>4.711784709999999</v>
      </c>
      <c r="CC7" s="2">
        <f t="shared" si="25"/>
        <v>0.71125562000000009</v>
      </c>
      <c r="CE7" s="1">
        <f>+datos!HU1</f>
        <v>229</v>
      </c>
      <c r="CF7" s="1">
        <f t="shared" si="26"/>
        <v>700000</v>
      </c>
      <c r="CG7" s="1">
        <f t="shared" si="27"/>
        <v>700000</v>
      </c>
      <c r="CI7" s="1">
        <f t="shared" si="28"/>
        <v>13.652213600000001</v>
      </c>
      <c r="CJ7" s="1">
        <f t="shared" si="28"/>
        <v>21.789652239999999</v>
      </c>
      <c r="CK7" s="1">
        <f t="shared" si="28"/>
        <v>22.506187060000002</v>
      </c>
      <c r="CL7" s="1">
        <f t="shared" si="28"/>
        <v>26.198510359999997</v>
      </c>
      <c r="CM7" s="1">
        <f t="shared" si="28"/>
        <v>16.658344929999998</v>
      </c>
      <c r="CN7" s="1">
        <f t="shared" si="28"/>
        <v>38.799980059999996</v>
      </c>
      <c r="CO7" s="1">
        <f t="shared" si="28"/>
        <v>35.598317799999997</v>
      </c>
      <c r="CP7" s="1">
        <f t="shared" si="28"/>
        <v>32.785113670000001</v>
      </c>
      <c r="CQ7" s="1">
        <f t="shared" si="28"/>
        <v>22.35722878</v>
      </c>
      <c r="CR7" s="1">
        <f t="shared" si="28"/>
        <v>34.376458229999997</v>
      </c>
      <c r="CS7" s="1">
        <f t="shared" si="28"/>
        <v>13.355622539999999</v>
      </c>
      <c r="CT7" s="1">
        <f t="shared" si="28"/>
        <v>10.68224592</v>
      </c>
      <c r="CU7" s="1">
        <f t="shared" si="28"/>
        <v>15.82785018</v>
      </c>
      <c r="CV7" s="1">
        <f t="shared" si="28"/>
        <v>16.180063639999997</v>
      </c>
      <c r="CW7" s="1">
        <f t="shared" si="28"/>
        <v>11.823193960000001</v>
      </c>
      <c r="CX7" s="1">
        <f t="shared" si="28"/>
        <v>12.24327484</v>
      </c>
      <c r="CY7" s="1">
        <f t="shared" si="29"/>
        <v>9.600226039999999</v>
      </c>
      <c r="CZ7" s="1">
        <f t="shared" si="29"/>
        <v>26.338491399999999</v>
      </c>
      <c r="DA7" s="1">
        <f t="shared" si="29"/>
        <v>21.418726320000001</v>
      </c>
      <c r="DB7" s="1">
        <f t="shared" si="29"/>
        <v>22.255101539999998</v>
      </c>
      <c r="DC7" s="1">
        <f t="shared" si="29"/>
        <v>44.848914040000004</v>
      </c>
      <c r="DD7" s="1">
        <f t="shared" si="29"/>
        <v>20.357260950000001</v>
      </c>
      <c r="DE7" s="1">
        <f t="shared" si="29"/>
        <v>17.134564559999998</v>
      </c>
      <c r="DF7" s="1">
        <f t="shared" si="29"/>
        <v>28.8463791</v>
      </c>
      <c r="DH7" s="1">
        <f t="shared" si="30"/>
        <v>0.25440681999999998</v>
      </c>
      <c r="DI7" s="1">
        <f t="shared" si="30"/>
        <v>0.7620908099999999</v>
      </c>
      <c r="DJ7" s="1">
        <f t="shared" si="30"/>
        <v>0.50490091999999998</v>
      </c>
      <c r="DK7" s="1">
        <f t="shared" si="30"/>
        <v>0.40961613000000002</v>
      </c>
      <c r="DL7" s="1">
        <f t="shared" si="30"/>
        <v>0.23587240000000001</v>
      </c>
      <c r="DM7" s="1">
        <f t="shared" si="30"/>
        <v>0.18557204999999999</v>
      </c>
      <c r="DN7" s="1">
        <f t="shared" si="30"/>
        <v>0.48301414000000004</v>
      </c>
      <c r="DO7" s="1">
        <f t="shared" si="30"/>
        <v>0.23845672000000001</v>
      </c>
      <c r="DP7" s="1">
        <f t="shared" si="30"/>
        <v>0.50080292000000004</v>
      </c>
      <c r="DQ7" s="1">
        <f t="shared" si="30"/>
        <v>8.6091799999999996E-2</v>
      </c>
      <c r="DR7" s="1">
        <f t="shared" si="30"/>
        <v>0.22536</v>
      </c>
      <c r="DS7" s="1">
        <f t="shared" si="30"/>
        <v>0.8256</v>
      </c>
      <c r="DT7" s="1">
        <f t="shared" si="30"/>
        <v>3.973985E-2</v>
      </c>
      <c r="DU7" s="1">
        <f t="shared" si="30"/>
        <v>3.3462720000000001E-2</v>
      </c>
      <c r="DV7" s="1">
        <f t="shared" si="30"/>
        <v>0.19098301000000001</v>
      </c>
      <c r="DW7" s="1">
        <f t="shared" si="30"/>
        <v>0.10767879</v>
      </c>
      <c r="DX7" s="1">
        <f t="shared" si="31"/>
        <v>5.5773490000000002E-2</v>
      </c>
      <c r="DY7" s="1">
        <f t="shared" si="31"/>
        <v>8.7189080000000002E-2</v>
      </c>
      <c r="DZ7" s="1">
        <f t="shared" si="31"/>
        <v>3.9243889999999997E-2</v>
      </c>
      <c r="EA7" s="1">
        <f t="shared" si="31"/>
        <v>0.10892111</v>
      </c>
      <c r="EB7" s="1">
        <f t="shared" si="31"/>
        <v>1.8036480000000001E-2</v>
      </c>
      <c r="EC7" s="1">
        <f t="shared" si="31"/>
        <v>2.0500000000000002E-3</v>
      </c>
      <c r="ED7" s="1">
        <f t="shared" si="31"/>
        <v>1.0492100000000001E-3</v>
      </c>
      <c r="EE7" s="1">
        <f t="shared" si="31"/>
        <v>2.7127990000000001E-2</v>
      </c>
      <c r="EG7" s="14">
        <f t="shared" si="32"/>
        <v>700000</v>
      </c>
      <c r="EH7" s="14">
        <f t="shared" si="32"/>
        <v>700000</v>
      </c>
      <c r="EI7" s="1">
        <f t="shared" si="32"/>
        <v>700000</v>
      </c>
      <c r="EJ7" s="1">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3"/>
        <v>700000</v>
      </c>
      <c r="EX7" s="1">
        <f t="shared" si="33"/>
        <v>700000</v>
      </c>
      <c r="EY7" s="1">
        <f t="shared" si="33"/>
        <v>700000</v>
      </c>
      <c r="EZ7" s="1">
        <f t="shared" si="33"/>
        <v>700000</v>
      </c>
      <c r="FA7" s="1">
        <f t="shared" si="33"/>
        <v>700000</v>
      </c>
      <c r="FB7" s="1">
        <f t="shared" si="33"/>
        <v>700000</v>
      </c>
      <c r="FC7" s="1">
        <f t="shared" si="33"/>
        <v>650000</v>
      </c>
      <c r="FD7" s="1">
        <f t="shared" si="33"/>
        <v>650000</v>
      </c>
      <c r="FF7" s="162">
        <f t="shared" si="34"/>
        <v>-0.40723413434945821</v>
      </c>
    </row>
    <row r="8" spans="1:162" ht="18.75" customHeight="1">
      <c r="A8" s="243" t="s">
        <v>215</v>
      </c>
      <c r="B8" s="246"/>
      <c r="C8" s="156">
        <f t="shared" si="5"/>
        <v>-0.33</v>
      </c>
      <c r="D8" s="198">
        <v>0</v>
      </c>
      <c r="E8" s="248">
        <f t="shared" si="6"/>
        <v>4.7102361202921994E-3</v>
      </c>
      <c r="F8" s="249">
        <f t="shared" si="7"/>
        <v>-2.2334108061035751E-2</v>
      </c>
      <c r="G8" s="248">
        <f t="shared" si="8"/>
        <v>3.2798349919451741E-3</v>
      </c>
      <c r="H8" s="249">
        <f t="shared" si="9"/>
        <v>1.4304011283470253E-3</v>
      </c>
      <c r="I8" s="248">
        <f t="shared" si="10"/>
        <v>0.81433865763632896</v>
      </c>
      <c r="J8" s="249">
        <f t="shared" si="11"/>
        <v>-0.36329549427875807</v>
      </c>
      <c r="K8" s="248">
        <f t="shared" si="12"/>
        <v>0.36336692990590858</v>
      </c>
      <c r="L8" s="249">
        <f t="shared" si="13"/>
        <v>0.45097172773042038</v>
      </c>
      <c r="M8" s="250"/>
      <c r="N8" s="24">
        <v>0</v>
      </c>
      <c r="O8" s="248">
        <f t="shared" si="35"/>
        <v>-1.955964087216755E-2</v>
      </c>
      <c r="P8" s="251">
        <f t="shared" si="36"/>
        <v>-1.955964087216755E-2</v>
      </c>
      <c r="Q8" s="248">
        <f t="shared" si="14"/>
        <v>7.6676586930570778E-3</v>
      </c>
      <c r="R8" s="251">
        <f t="shared" si="37"/>
        <v>7.6676586930570778E-3</v>
      </c>
      <c r="S8" s="250"/>
      <c r="T8" s="24">
        <v>-1</v>
      </c>
      <c r="U8" s="248">
        <f t="shared" si="15"/>
        <v>-0.171773478415715</v>
      </c>
      <c r="V8" s="252">
        <f t="shared" si="16"/>
        <v>-0.171773478415715</v>
      </c>
      <c r="W8" s="248">
        <f t="shared" si="38"/>
        <v>-0.16327290774128844</v>
      </c>
      <c r="X8" s="252">
        <f t="shared" si="17"/>
        <v>-0.16327290774128844</v>
      </c>
      <c r="Y8" s="248">
        <f t="shared" si="18"/>
        <v>-1.4176663031624792E-2</v>
      </c>
      <c r="Z8" s="252">
        <f t="shared" si="19"/>
        <v>-1.4176663031624792E-2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
        <f>VLOOKUP($A8,historia!$A$5:$CM$24,+HLOOKUP(AO$2,historia!$A$3:$EC$4,2,FALSE),FALSE)</f>
        <v>2</v>
      </c>
      <c r="AP8" s="28">
        <f>VLOOKUP($A8,historia!$A$5:$CM$24,+HLOOKUP(AP$2,historia!$A$3:$EC$4,2,FALSE),FALSE)</f>
        <v>1</v>
      </c>
      <c r="AQ8" s="28">
        <f>VLOOKUP($A8,historia!$A$5:$CM$24,+HLOOKUP(AQ$2,historia!$A$3:$EC$4,2,FALSE),FALSE)</f>
        <v>1</v>
      </c>
      <c r="AR8" s="28">
        <f>VLOOKUP($A8,historia!$A$5:$CM$24,+HLOOKUP(AR$2,historia!$A$3:$EC$4,2,FALSE),FALSE)</f>
        <v>2</v>
      </c>
      <c r="AS8" s="58">
        <f>VLOOKUP($A8,historia!$A$5:$CM$24,+HLOOKUP(AS$2,historia!$A$3:$EC$4,2,FALSE),FALSE)</f>
        <v>3</v>
      </c>
      <c r="AT8" s="58">
        <f>VLOOKUP($A8,historia!$A$5:$CM$24,+HLOOKUP(AT$2,historia!$A$3:$EC$4,2,FALSE),FALSE)</f>
        <v>3</v>
      </c>
      <c r="AU8" s="58">
        <f>VLOOKUP($A8,historia!$A$5:$CM$24,+HLOOKUP(AU$2,historia!$A$3:$EC$4,2,FALSE),FALSE)</f>
        <v>3</v>
      </c>
      <c r="AV8" s="58">
        <v>3</v>
      </c>
      <c r="AW8" s="58">
        <v>3</v>
      </c>
      <c r="AX8" s="58">
        <v>3</v>
      </c>
      <c r="AY8" s="58">
        <v>4</v>
      </c>
      <c r="AZ8" s="58">
        <v>2</v>
      </c>
      <c r="BA8" s="30"/>
      <c r="BB8" s="141">
        <v>3</v>
      </c>
      <c r="BC8" t="str">
        <f t="shared" si="20"/>
        <v>Aves</v>
      </c>
      <c r="BD8">
        <f>+datos!BQ1</f>
        <v>69</v>
      </c>
      <c r="BE8" s="2" t="str">
        <f t="shared" si="4"/>
        <v>prom pond huevo-carne</v>
      </c>
      <c r="BF8" s="2">
        <f t="shared" si="4"/>
        <v>1816.28</v>
      </c>
      <c r="BG8" s="2">
        <f t="shared" si="4"/>
        <v>1807.7650000000001</v>
      </c>
      <c r="BH8" s="2">
        <f t="shared" si="4"/>
        <v>1001.07</v>
      </c>
      <c r="BJ8">
        <f>+datos!DG1</f>
        <v>111</v>
      </c>
      <c r="BK8" s="2">
        <f t="shared" si="21"/>
        <v>8670.7207579521564</v>
      </c>
      <c r="BL8" s="2">
        <f t="shared" si="21"/>
        <v>8642.3751933793919</v>
      </c>
      <c r="BM8" s="2">
        <f t="shared" si="21"/>
        <v>6359.785152299798</v>
      </c>
      <c r="BO8" s="1">
        <f>+datos!EP1</f>
        <v>146</v>
      </c>
      <c r="BP8" s="1">
        <f t="shared" si="22"/>
        <v>9173</v>
      </c>
      <c r="BQ8" s="1">
        <f t="shared" si="22"/>
        <v>9356</v>
      </c>
      <c r="BS8" s="1">
        <f>+datos!HM1</f>
        <v>221</v>
      </c>
      <c r="BT8" s="1">
        <f t="shared" si="23"/>
        <v>2369431.5262992866</v>
      </c>
      <c r="BU8" s="1">
        <f t="shared" si="23"/>
        <v>2351401.7799999998</v>
      </c>
      <c r="BW8" s="1">
        <f>+datos!KF1</f>
        <v>292</v>
      </c>
      <c r="BX8" s="1">
        <f t="shared" si="39"/>
        <v>295.50279052000002</v>
      </c>
      <c r="BY8" s="1">
        <f t="shared" si="40"/>
        <v>356.78981874999999</v>
      </c>
      <c r="CA8" s="1">
        <f>+datos!LK1</f>
        <v>323</v>
      </c>
      <c r="CB8" s="2">
        <f t="shared" si="24"/>
        <v>36.542989990000002</v>
      </c>
      <c r="CC8" s="2">
        <f t="shared" si="25"/>
        <v>43.673726269999996</v>
      </c>
      <c r="CE8" s="1">
        <f>+datos!IL1</f>
        <v>246</v>
      </c>
      <c r="CF8" s="1">
        <f t="shared" si="26"/>
        <v>45.2</v>
      </c>
      <c r="CG8" s="1">
        <f t="shared" si="27"/>
        <v>45.85</v>
      </c>
      <c r="CI8" s="1">
        <f t="shared" si="28"/>
        <v>10.456415849999999</v>
      </c>
      <c r="CJ8" s="1">
        <f t="shared" si="28"/>
        <v>8.1147673099999995</v>
      </c>
      <c r="CK8" s="1">
        <f t="shared" si="28"/>
        <v>20.968439010000004</v>
      </c>
      <c r="CL8" s="1">
        <f t="shared" si="28"/>
        <v>22.566015059999998</v>
      </c>
      <c r="CM8" s="1">
        <f t="shared" si="28"/>
        <v>20.944876220000001</v>
      </c>
      <c r="CN8" s="1">
        <f t="shared" si="28"/>
        <v>23.157032140000002</v>
      </c>
      <c r="CO8" s="1">
        <f t="shared" si="28"/>
        <v>19.314763240000005</v>
      </c>
      <c r="CP8" s="1">
        <f t="shared" si="28"/>
        <v>22.778743510000002</v>
      </c>
      <c r="CQ8" s="1">
        <f t="shared" si="28"/>
        <v>39.062197300000001</v>
      </c>
      <c r="CR8" s="1">
        <f t="shared" si="28"/>
        <v>40.013868680000002</v>
      </c>
      <c r="CS8" s="1">
        <f t="shared" si="28"/>
        <v>35.607742460000011</v>
      </c>
      <c r="CT8" s="1">
        <f t="shared" si="28"/>
        <v>32.51792974</v>
      </c>
      <c r="CU8" s="1">
        <f t="shared" si="28"/>
        <v>35.210116300000003</v>
      </c>
      <c r="CV8" s="1">
        <f t="shared" si="28"/>
        <v>30.603465830000005</v>
      </c>
      <c r="CW8" s="1">
        <f t="shared" si="28"/>
        <v>35.017556320000004</v>
      </c>
      <c r="CX8" s="1">
        <f t="shared" si="28"/>
        <v>24.343011479999998</v>
      </c>
      <c r="CY8" s="1">
        <f t="shared" si="29"/>
        <v>32.053320659999997</v>
      </c>
      <c r="CZ8" s="1">
        <f t="shared" si="29"/>
        <v>25.827296739999998</v>
      </c>
      <c r="DA8" s="1">
        <f t="shared" si="29"/>
        <v>20.281404040000002</v>
      </c>
      <c r="DB8" s="1">
        <f t="shared" si="29"/>
        <v>20.776878260000004</v>
      </c>
      <c r="DC8" s="1">
        <f t="shared" si="29"/>
        <v>18.00257775</v>
      </c>
      <c r="DD8" s="1">
        <f t="shared" si="29"/>
        <v>18.061317600000002</v>
      </c>
      <c r="DE8" s="1">
        <f t="shared" si="29"/>
        <v>50.712421620000008</v>
      </c>
      <c r="DF8" s="1">
        <f t="shared" si="29"/>
        <v>45.90045215</v>
      </c>
      <c r="DH8" s="1">
        <f t="shared" si="30"/>
        <v>2.5011971499999999</v>
      </c>
      <c r="DI8" s="1">
        <f t="shared" si="30"/>
        <v>3.7585351000000005</v>
      </c>
      <c r="DJ8" s="1">
        <f t="shared" si="30"/>
        <v>4.0425458900000004</v>
      </c>
      <c r="DK8" s="1">
        <f t="shared" si="30"/>
        <v>3.59052696</v>
      </c>
      <c r="DL8" s="1">
        <f t="shared" si="30"/>
        <v>2.1766254799999998</v>
      </c>
      <c r="DM8" s="1">
        <f t="shared" si="30"/>
        <v>1.5903026900000001</v>
      </c>
      <c r="DN8" s="1">
        <f t="shared" si="30"/>
        <v>5.6916922899999998</v>
      </c>
      <c r="DO8" s="1">
        <f t="shared" si="30"/>
        <v>1.7294530099999998</v>
      </c>
      <c r="DP8" s="1">
        <f t="shared" si="30"/>
        <v>4.2232492399999995</v>
      </c>
      <c r="DQ8" s="1">
        <f t="shared" si="30"/>
        <v>1.27466579</v>
      </c>
      <c r="DR8" s="1">
        <f t="shared" si="30"/>
        <v>1.8857013599999999</v>
      </c>
      <c r="DS8" s="1">
        <f t="shared" si="30"/>
        <v>4.07849503</v>
      </c>
      <c r="DT8" s="1">
        <f t="shared" si="30"/>
        <v>2.60999925</v>
      </c>
      <c r="DU8" s="1">
        <f t="shared" si="30"/>
        <v>4.3280037599999996</v>
      </c>
      <c r="DV8" s="1">
        <f t="shared" si="30"/>
        <v>3.9253711099999995</v>
      </c>
      <c r="DW8" s="1">
        <f t="shared" si="30"/>
        <v>2.66724104</v>
      </c>
      <c r="DX8" s="1">
        <f t="shared" si="31"/>
        <v>1.3237541899999998</v>
      </c>
      <c r="DY8" s="1">
        <f t="shared" si="31"/>
        <v>4.0034089300000009</v>
      </c>
      <c r="DZ8" s="1">
        <f t="shared" si="31"/>
        <v>4.2620939999999994</v>
      </c>
      <c r="EA8" s="1">
        <f t="shared" si="31"/>
        <v>6.8027163900000005</v>
      </c>
      <c r="EB8" s="1">
        <f t="shared" si="31"/>
        <v>1.73014019</v>
      </c>
      <c r="EC8" s="1">
        <f t="shared" si="31"/>
        <v>6.4691643499999998</v>
      </c>
      <c r="ED8" s="1">
        <f t="shared" si="31"/>
        <v>1.80858622</v>
      </c>
      <c r="EE8" s="1">
        <f t="shared" si="31"/>
        <v>3.7432468400000003</v>
      </c>
      <c r="EG8" s="14">
        <f t="shared" si="32"/>
        <v>45.2</v>
      </c>
      <c r="EH8" s="14">
        <f t="shared" si="32"/>
        <v>46.01</v>
      </c>
      <c r="EI8" s="1">
        <f t="shared" si="32"/>
        <v>44.44</v>
      </c>
      <c r="EJ8" s="1">
        <f t="shared" si="32"/>
        <v>42.29</v>
      </c>
      <c r="EK8" s="1">
        <f t="shared" si="32"/>
        <v>45.39</v>
      </c>
      <c r="EL8" s="1">
        <f t="shared" si="32"/>
        <v>45.32</v>
      </c>
      <c r="EM8" s="1">
        <f t="shared" si="32"/>
        <v>44.85</v>
      </c>
      <c r="EN8" s="1">
        <f t="shared" si="32"/>
        <v>45.52</v>
      </c>
      <c r="EO8" s="1">
        <f t="shared" si="32"/>
        <v>46.23</v>
      </c>
      <c r="EP8" s="1">
        <f t="shared" si="32"/>
        <v>46.23</v>
      </c>
      <c r="EQ8" s="1">
        <f t="shared" si="32"/>
        <v>46.23</v>
      </c>
      <c r="ER8" s="1">
        <f t="shared" si="32"/>
        <v>48.52</v>
      </c>
      <c r="ES8" s="1">
        <f t="shared" si="32"/>
        <v>45.85</v>
      </c>
      <c r="ET8" s="1">
        <f t="shared" si="32"/>
        <v>46.03</v>
      </c>
      <c r="EU8" s="1">
        <f t="shared" si="32"/>
        <v>46.13</v>
      </c>
      <c r="EV8" s="1">
        <f t="shared" si="32"/>
        <v>45.88</v>
      </c>
      <c r="EW8" s="1">
        <f t="shared" si="33"/>
        <v>46.09</v>
      </c>
      <c r="EX8" s="1">
        <f t="shared" si="33"/>
        <v>45.9</v>
      </c>
      <c r="EY8" s="1">
        <f t="shared" si="33"/>
        <v>46</v>
      </c>
      <c r="EZ8" s="1">
        <f t="shared" si="33"/>
        <v>45.99</v>
      </c>
      <c r="FA8" s="1">
        <f t="shared" si="33"/>
        <v>45.74</v>
      </c>
      <c r="FB8" s="1">
        <f t="shared" si="33"/>
        <v>45.46</v>
      </c>
      <c r="FC8" s="1">
        <f t="shared" si="33"/>
        <v>45.56</v>
      </c>
      <c r="FD8" s="1">
        <f t="shared" si="33"/>
        <v>45.71</v>
      </c>
      <c r="FF8" s="162">
        <f t="shared" si="34"/>
        <v>0.45097172773042038</v>
      </c>
    </row>
    <row r="9" spans="1:162" ht="18.75" customHeight="1">
      <c r="A9" s="244" t="s">
        <v>77</v>
      </c>
      <c r="B9" s="247"/>
      <c r="C9" s="228">
        <v>0</v>
      </c>
      <c r="D9" s="229">
        <v>1</v>
      </c>
      <c r="E9" s="253">
        <f t="shared" si="6"/>
        <v>3.2890701674559653E-2</v>
      </c>
      <c r="F9" s="254">
        <f t="shared" si="7"/>
        <v>5.846357493231702E-3</v>
      </c>
      <c r="G9" s="253">
        <f t="shared" si="8"/>
        <v>2.9276023986951394E-2</v>
      </c>
      <c r="H9" s="254">
        <f t="shared" si="9"/>
        <v>3.6146776876082587E-3</v>
      </c>
      <c r="I9" s="253">
        <f t="shared" si="10"/>
        <v>0.45778987406220528</v>
      </c>
      <c r="J9" s="254">
        <f t="shared" si="11"/>
        <v>-0.71984427785288174</v>
      </c>
      <c r="K9" s="253">
        <f t="shared" si="12"/>
        <v>0.3997232085311222</v>
      </c>
      <c r="L9" s="254">
        <f t="shared" si="13"/>
        <v>5.8066665531083084E-2</v>
      </c>
      <c r="M9" s="255"/>
      <c r="N9" s="256">
        <v>-1</v>
      </c>
      <c r="O9" s="253">
        <f t="shared" si="35"/>
        <v>-2.6892205286269899E-2</v>
      </c>
      <c r="P9" s="257">
        <f t="shared" si="36"/>
        <v>-2.6892205286269899E-2</v>
      </c>
      <c r="Q9" s="253">
        <f t="shared" si="14"/>
        <v>-3.2882950636442199E-2</v>
      </c>
      <c r="R9" s="257">
        <f t="shared" si="37"/>
        <v>-3.2882950636442199E-2</v>
      </c>
      <c r="S9" s="255"/>
      <c r="T9" s="256">
        <v>0</v>
      </c>
      <c r="U9" s="253">
        <f t="shared" si="15"/>
        <v>5.4262316187212223E-2</v>
      </c>
      <c r="V9" s="258">
        <f t="shared" si="16"/>
        <v>5.4262316187212223E-2</v>
      </c>
      <c r="W9" s="253">
        <f t="shared" si="38"/>
        <v>-0.1932460966521522</v>
      </c>
      <c r="X9" s="258">
        <f t="shared" si="17"/>
        <v>-0.1932460966521522</v>
      </c>
      <c r="Y9" s="253">
        <f t="shared" si="18"/>
        <v>0.1225639821554354</v>
      </c>
      <c r="Z9" s="258">
        <f t="shared" si="19"/>
        <v>0.1225639821554354</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
        <f>VLOOKUP($A9,historia!$A$5:$CM$24,+HLOOKUP(AO$2,historia!$A$3:$EC$4,2,FALSE),FALSE)</f>
        <v>2</v>
      </c>
      <c r="AP9" s="28">
        <f>VLOOKUP($A9,historia!$A$5:$CM$24,+HLOOKUP(AP$2,historia!$A$3:$EC$4,2,FALSE),FALSE)</f>
        <v>2</v>
      </c>
      <c r="AQ9" s="28">
        <f>VLOOKUP($A9,historia!$A$5:$CM$24,+HLOOKUP(AQ$2,historia!$A$3:$EC$4,2,FALSE),FALSE)</f>
        <v>2</v>
      </c>
      <c r="AR9" s="28">
        <f>VLOOKUP($A9,historia!$A$5:$CM$24,+HLOOKUP(AR$2,historia!$A$3:$EC$4,2,FALSE),FALSE)</f>
        <v>4</v>
      </c>
      <c r="AS9" s="58">
        <f>VLOOKUP($A9,historia!$A$5:$CM$24,+HLOOKUP(AS$2,historia!$A$3:$EC$4,2,FALSE),FALSE)</f>
        <v>4</v>
      </c>
      <c r="AT9" s="58">
        <f>VLOOKUP($A9,historia!$A$5:$CM$24,+HLOOKUP(AT$2,historia!$A$3:$EC$4,2,FALSE),FALSE)</f>
        <v>3</v>
      </c>
      <c r="AU9" s="58">
        <f>VLOOKUP($A9,historia!$A$5:$CM$24,+HLOOKUP(AU$2,historia!$A$3:$EC$4,2,FALSE),FALSE)</f>
        <v>3</v>
      </c>
      <c r="AV9" s="58">
        <v>3</v>
      </c>
      <c r="AW9" s="58">
        <v>3</v>
      </c>
      <c r="AX9" s="58">
        <v>4</v>
      </c>
      <c r="AY9" s="58">
        <v>3</v>
      </c>
      <c r="AZ9" s="58">
        <v>2</v>
      </c>
      <c r="BA9" s="30"/>
      <c r="BB9" s="141">
        <v>3</v>
      </c>
      <c r="BC9" t="str">
        <f t="shared" si="20"/>
        <v>Bovinos</v>
      </c>
      <c r="BD9">
        <f>+datos!BM1</f>
        <v>65</v>
      </c>
      <c r="BE9" s="2" t="str">
        <f t="shared" si="4"/>
        <v>$/kg</v>
      </c>
      <c r="BF9" s="2">
        <f t="shared" si="4"/>
        <v>2531.0934999999999</v>
      </c>
      <c r="BG9" s="2">
        <f t="shared" si="4"/>
        <v>2450.4949999999999</v>
      </c>
      <c r="BH9" s="2">
        <f t="shared" si="4"/>
        <v>1736.2539999999999</v>
      </c>
      <c r="BJ9">
        <f>+datos!DB1</f>
        <v>106</v>
      </c>
      <c r="BK9" s="2">
        <f t="shared" si="21"/>
        <v>9235.164257286302</v>
      </c>
      <c r="BL9" s="2">
        <f t="shared" si="21"/>
        <v>8972.485554956811</v>
      </c>
      <c r="BM9" s="2">
        <f t="shared" si="21"/>
        <v>6597.8503471252279</v>
      </c>
      <c r="BO9" s="1">
        <f>+datos!EH1</f>
        <v>138</v>
      </c>
      <c r="BP9" s="1">
        <f t="shared" si="22"/>
        <v>52783892</v>
      </c>
      <c r="BQ9" s="1">
        <f t="shared" si="22"/>
        <v>54242595</v>
      </c>
      <c r="BS9" s="1">
        <f>+datos!HB1</f>
        <v>210</v>
      </c>
      <c r="BT9" s="1">
        <f t="shared" si="23"/>
        <v>3163436</v>
      </c>
      <c r="BU9" s="1">
        <f t="shared" si="23"/>
        <v>3270996</v>
      </c>
      <c r="BW9" s="1">
        <f>+datos!KG1</f>
        <v>293</v>
      </c>
      <c r="BX9" s="1">
        <f t="shared" si="39"/>
        <v>4134.4023611399998</v>
      </c>
      <c r="BY9" s="1">
        <f t="shared" si="40"/>
        <v>3921.6068882099994</v>
      </c>
      <c r="CA9" s="1">
        <f>+datos!LL1</f>
        <v>324</v>
      </c>
      <c r="CB9" s="2">
        <f t="shared" si="24"/>
        <v>38.106405619999997</v>
      </c>
      <c r="CC9" s="2">
        <f t="shared" si="25"/>
        <v>47.234237680000007</v>
      </c>
      <c r="CE9" s="1">
        <f>+datos!IM1</f>
        <v>247</v>
      </c>
      <c r="CF9" s="1">
        <f t="shared" si="26"/>
        <v>47.81</v>
      </c>
      <c r="CG9" s="1">
        <f t="shared" si="27"/>
        <v>42.59</v>
      </c>
      <c r="CI9" s="1">
        <f t="shared" si="28"/>
        <v>372.02787432000008</v>
      </c>
      <c r="CJ9" s="1">
        <f t="shared" si="28"/>
        <v>363.37275483999991</v>
      </c>
      <c r="CK9" s="1">
        <f t="shared" si="28"/>
        <v>373.60267999999996</v>
      </c>
      <c r="CL9" s="1">
        <f t="shared" si="28"/>
        <v>392.24577093999977</v>
      </c>
      <c r="CM9" s="1">
        <f t="shared" si="28"/>
        <v>370.00520762000008</v>
      </c>
      <c r="CN9" s="1">
        <f t="shared" si="28"/>
        <v>307.7105307999999</v>
      </c>
      <c r="CO9" s="1">
        <f t="shared" si="28"/>
        <v>311.98041742999999</v>
      </c>
      <c r="CP9" s="1">
        <f t="shared" si="28"/>
        <v>309.32423856999998</v>
      </c>
      <c r="CQ9" s="1">
        <f t="shared" si="28"/>
        <v>316.28118749999999</v>
      </c>
      <c r="CR9" s="1">
        <f t="shared" si="28"/>
        <v>350.14414257999977</v>
      </c>
      <c r="CS9" s="1">
        <f t="shared" si="28"/>
        <v>342.85888695999995</v>
      </c>
      <c r="CT9" s="1">
        <f t="shared" si="28"/>
        <v>324.84866957999998</v>
      </c>
      <c r="CU9" s="1">
        <f t="shared" si="28"/>
        <v>325.97502911999987</v>
      </c>
      <c r="CV9" s="1">
        <f t="shared" si="28"/>
        <v>321.39038838999994</v>
      </c>
      <c r="CW9" s="1">
        <f t="shared" si="28"/>
        <v>273.58963931999995</v>
      </c>
      <c r="CX9" s="1">
        <f t="shared" si="28"/>
        <v>292.91820976000002</v>
      </c>
      <c r="CY9" s="1">
        <f t="shared" si="29"/>
        <v>371.72573624</v>
      </c>
      <c r="CZ9" s="1">
        <f t="shared" si="29"/>
        <v>378.12790802000001</v>
      </c>
      <c r="DA9" s="1">
        <f t="shared" si="29"/>
        <v>308.34921994000001</v>
      </c>
      <c r="DB9" s="1">
        <f t="shared" si="29"/>
        <v>390.63577031</v>
      </c>
      <c r="DC9" s="1">
        <f t="shared" si="29"/>
        <v>337.45013477999998</v>
      </c>
      <c r="DD9" s="1">
        <f t="shared" si="29"/>
        <v>339.25205494000011</v>
      </c>
      <c r="DE9" s="1">
        <f t="shared" si="29"/>
        <v>296.44265344999985</v>
      </c>
      <c r="DF9" s="1">
        <f t="shared" si="29"/>
        <v>285.75014393999987</v>
      </c>
      <c r="DH9" s="1">
        <f t="shared" si="30"/>
        <v>6.7460545699999992</v>
      </c>
      <c r="DI9" s="1">
        <f t="shared" si="30"/>
        <v>2.8647302900000002</v>
      </c>
      <c r="DJ9" s="1">
        <f t="shared" si="30"/>
        <v>3.9160438699999998</v>
      </c>
      <c r="DK9" s="1">
        <f t="shared" si="30"/>
        <v>2.7432327000000001</v>
      </c>
      <c r="DL9" s="1">
        <f t="shared" si="30"/>
        <v>3.5031505699999994</v>
      </c>
      <c r="DM9" s="1">
        <f t="shared" si="30"/>
        <v>3.9954732900000005</v>
      </c>
      <c r="DN9" s="1">
        <f t="shared" si="30"/>
        <v>2.3751918999999999</v>
      </c>
      <c r="DO9" s="1">
        <f t="shared" si="30"/>
        <v>3.3189943100000003</v>
      </c>
      <c r="DP9" s="1">
        <f t="shared" si="30"/>
        <v>3.6004889900000006</v>
      </c>
      <c r="DQ9" s="1">
        <f t="shared" si="30"/>
        <v>2.2940615100000001</v>
      </c>
      <c r="DR9" s="1">
        <f t="shared" si="30"/>
        <v>1.2696953500000001</v>
      </c>
      <c r="DS9" s="1">
        <f t="shared" si="30"/>
        <v>1.4792882700000001</v>
      </c>
      <c r="DT9" s="1">
        <f t="shared" si="30"/>
        <v>3.3410357400000001</v>
      </c>
      <c r="DU9" s="1">
        <f t="shared" si="30"/>
        <v>3.5927978000000009</v>
      </c>
      <c r="DV9" s="1">
        <f t="shared" si="30"/>
        <v>2.53051044</v>
      </c>
      <c r="DW9" s="1">
        <f t="shared" si="30"/>
        <v>2.3401237999999998</v>
      </c>
      <c r="DX9" s="1">
        <f t="shared" si="31"/>
        <v>2.4632922899999996</v>
      </c>
      <c r="DY9" s="1">
        <f t="shared" si="31"/>
        <v>3.8179622399999995</v>
      </c>
      <c r="DZ9" s="1">
        <f t="shared" si="31"/>
        <v>3.8355995800000002</v>
      </c>
      <c r="EA9" s="1">
        <f t="shared" si="31"/>
        <v>7.3409295600000002</v>
      </c>
      <c r="EB9" s="1">
        <f t="shared" si="31"/>
        <v>3.8261937100000005</v>
      </c>
      <c r="EC9" s="1">
        <f t="shared" si="31"/>
        <v>5.3486285699999998</v>
      </c>
      <c r="ED9" s="1">
        <f t="shared" si="31"/>
        <v>4.398381099999999</v>
      </c>
      <c r="EE9" s="1">
        <f t="shared" si="31"/>
        <v>4.3987828499999999</v>
      </c>
      <c r="EG9" s="14">
        <f t="shared" si="32"/>
        <v>47.81</v>
      </c>
      <c r="EH9" s="14">
        <f t="shared" si="32"/>
        <v>46.91</v>
      </c>
      <c r="EI9" s="1">
        <f t="shared" si="32"/>
        <v>47.74</v>
      </c>
      <c r="EJ9" s="1">
        <f t="shared" si="32"/>
        <v>47.38</v>
      </c>
      <c r="EK9" s="1">
        <f t="shared" si="32"/>
        <v>47.74</v>
      </c>
      <c r="EL9" s="1">
        <f t="shared" si="32"/>
        <v>47.8</v>
      </c>
      <c r="EM9" s="1">
        <f t="shared" si="32"/>
        <v>47.58</v>
      </c>
      <c r="EN9" s="1">
        <f t="shared" si="32"/>
        <v>49.18</v>
      </c>
      <c r="EO9" s="1">
        <f t="shared" si="32"/>
        <v>49.37</v>
      </c>
      <c r="EP9" s="1">
        <f t="shared" si="32"/>
        <v>49.38</v>
      </c>
      <c r="EQ9" s="1">
        <f t="shared" si="32"/>
        <v>51.48</v>
      </c>
      <c r="ER9" s="1">
        <f t="shared" si="32"/>
        <v>52.06</v>
      </c>
      <c r="ES9" s="1">
        <f t="shared" si="32"/>
        <v>42.59</v>
      </c>
      <c r="ET9" s="1">
        <f t="shared" si="32"/>
        <v>51.3</v>
      </c>
      <c r="EU9" s="1">
        <f t="shared" si="32"/>
        <v>51.15</v>
      </c>
      <c r="EV9" s="1">
        <f t="shared" si="32"/>
        <v>51.01</v>
      </c>
      <c r="EW9" s="1">
        <f t="shared" si="33"/>
        <v>51.15</v>
      </c>
      <c r="EX9" s="1">
        <f t="shared" si="33"/>
        <v>51.72</v>
      </c>
      <c r="EY9" s="1">
        <f t="shared" si="33"/>
        <v>51.32</v>
      </c>
      <c r="EZ9" s="1">
        <f t="shared" si="33"/>
        <v>50.44</v>
      </c>
      <c r="FA9" s="1">
        <f t="shared" si="33"/>
        <v>50.29</v>
      </c>
      <c r="FB9" s="1">
        <f t="shared" si="33"/>
        <v>50.29</v>
      </c>
      <c r="FC9" s="1">
        <f t="shared" si="33"/>
        <v>49.14</v>
      </c>
      <c r="FD9" s="1">
        <f t="shared" si="33"/>
        <v>48.66</v>
      </c>
      <c r="FF9" s="162">
        <f t="shared" si="34"/>
        <v>5.8066665531083084E-2</v>
      </c>
    </row>
    <row r="10" spans="1:162" ht="18.600000000000001" customHeight="1">
      <c r="A10" s="263" t="s">
        <v>221</v>
      </c>
      <c r="B10" s="246"/>
      <c r="C10" s="156">
        <f t="shared" si="5"/>
        <v>0</v>
      </c>
      <c r="D10" s="198">
        <v>-1</v>
      </c>
      <c r="E10" s="248">
        <f t="shared" si="6"/>
        <v>0.10002078744314402</v>
      </c>
      <c r="F10" s="249">
        <f t="shared" si="7"/>
        <v>7.2976443261816071E-2</v>
      </c>
      <c r="G10" s="248">
        <f t="shared" si="8"/>
        <v>1.095013713596793E-2</v>
      </c>
      <c r="H10" s="249">
        <f t="shared" si="9"/>
        <v>8.9070650307176091E-2</v>
      </c>
      <c r="I10" s="248">
        <f t="shared" si="10"/>
        <v>0.75033722950250792</v>
      </c>
      <c r="J10" s="249">
        <f t="shared" si="11"/>
        <v>-0.42729692241257911</v>
      </c>
      <c r="K10" s="248">
        <f t="shared" si="12"/>
        <v>0.39495539374326505</v>
      </c>
      <c r="L10" s="249">
        <f t="shared" si="13"/>
        <v>0.35538183575924287</v>
      </c>
      <c r="M10" s="250"/>
      <c r="N10" s="24">
        <v>0</v>
      </c>
      <c r="O10" s="248">
        <f t="shared" si="35"/>
        <v>4.1543620801842707E-3</v>
      </c>
      <c r="P10" s="251">
        <f t="shared" si="36"/>
        <v>4.1543620801842707E-3</v>
      </c>
      <c r="Q10" s="248">
        <f t="shared" si="14"/>
        <v>0.10798722044728426</v>
      </c>
      <c r="R10" s="251">
        <f t="shared" si="37"/>
        <v>0.10798722044728426</v>
      </c>
      <c r="S10" s="250"/>
      <c r="T10" s="24">
        <v>1</v>
      </c>
      <c r="U10" s="248">
        <f t="shared" si="15"/>
        <v>1.1389129064177403</v>
      </c>
      <c r="V10" s="252">
        <f t="shared" si="16"/>
        <v>1.1389129064177403</v>
      </c>
      <c r="W10" s="248">
        <f t="shared" si="38"/>
        <v>-6.0139023614561027E-2</v>
      </c>
      <c r="X10" s="252">
        <f t="shared" si="17"/>
        <v>-6.0139023614561027E-2</v>
      </c>
      <c r="Y10" s="248">
        <f t="shared" si="18"/>
        <v>-0.11904761904761896</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
        <f>VLOOKUP($A10,historia!$A$5:$CM$24,+HLOOKUP(AO$2,historia!$A$3:$EC$4,2,FALSE),FALSE)</f>
        <v>3</v>
      </c>
      <c r="AP10" s="28">
        <f>VLOOKUP($A10,historia!$A$5:$CM$24,+HLOOKUP(AP$2,historia!$A$3:$EC$4,2,FALSE),FALSE)</f>
        <v>3</v>
      </c>
      <c r="AQ10" s="28">
        <f>VLOOKUP($A10,historia!$A$5:$CM$24,+HLOOKUP(AQ$2,historia!$A$3:$EC$4,2,FALSE),FALSE)</f>
        <v>4</v>
      </c>
      <c r="AR10" s="28">
        <f>VLOOKUP($A10,historia!$A$5:$CM$24,+HLOOKUP(AR$2,historia!$A$3:$EC$4,2,FALSE),FALSE)</f>
        <v>4</v>
      </c>
      <c r="AS10" s="58">
        <f>VLOOKUP($A10,historia!$A$5:$CM$24,+HLOOKUP(AS$2,historia!$A$3:$EC$4,2,FALSE),FALSE)</f>
        <v>5</v>
      </c>
      <c r="AT10" s="58">
        <f>VLOOKUP($A10,historia!$A$5:$CM$24,+HLOOKUP(AT$2,historia!$A$3:$EC$4,2,FALSE),FALSE)</f>
        <v>4</v>
      </c>
      <c r="AU10" s="58">
        <f>VLOOKUP($A10,historia!$A$5:$CM$24,+HLOOKUP(AU$2,historia!$A$3:$EC$4,2,FALSE),FALSE)</f>
        <v>4</v>
      </c>
      <c r="AV10" s="58">
        <v>4</v>
      </c>
      <c r="AW10" s="58">
        <v>4</v>
      </c>
      <c r="AX10" s="58">
        <v>4</v>
      </c>
      <c r="AY10" s="58">
        <v>4</v>
      </c>
      <c r="AZ10" s="58">
        <v>3</v>
      </c>
      <c r="BA10" s="30"/>
      <c r="BB10" s="141">
        <v>4</v>
      </c>
      <c r="BC10" t="str">
        <f t="shared" si="20"/>
        <v>Cítricos Dulces</v>
      </c>
      <c r="BD10">
        <f>+datos!AU1</f>
        <v>47</v>
      </c>
      <c r="BE10" s="2" t="str">
        <f t="shared" si="4"/>
        <v>$/caja 18kg</v>
      </c>
      <c r="BF10" s="2">
        <f t="shared" si="4"/>
        <v>14189.333333333334</v>
      </c>
      <c r="BG10" s="2">
        <f t="shared" si="4"/>
        <v>12899.150175438597</v>
      </c>
      <c r="BH10" s="2">
        <f t="shared" si="4"/>
        <v>8106.6283080582807</v>
      </c>
      <c r="BJ10">
        <f>+datos!CX1</f>
        <v>102</v>
      </c>
      <c r="BK10" s="2">
        <f t="shared" si="21"/>
        <v>8742.9290011880657</v>
      </c>
      <c r="BL10" s="2">
        <f t="shared" si="21"/>
        <v>8648.2296999898263</v>
      </c>
      <c r="BM10" s="2">
        <f t="shared" si="21"/>
        <v>6267.5330267923682</v>
      </c>
      <c r="BO10" s="1">
        <f>+datos!ER1</f>
        <v>148</v>
      </c>
      <c r="BP10" s="1">
        <f t="shared" si="22"/>
        <v>80248</v>
      </c>
      <c r="BQ10" s="1">
        <f t="shared" si="22"/>
        <v>79916</v>
      </c>
      <c r="BS10" s="1">
        <f>+datos!GH1</f>
        <v>190</v>
      </c>
      <c r="BT10" s="1">
        <f t="shared" si="23"/>
        <v>1734000</v>
      </c>
      <c r="BU10" s="1">
        <f t="shared" si="23"/>
        <v>1565000</v>
      </c>
      <c r="BW10" s="1">
        <f>+datos!LT1</f>
        <v>332</v>
      </c>
      <c r="BX10" s="1">
        <f t="shared" si="39"/>
        <v>109.23889043999999</v>
      </c>
      <c r="BY10" s="1">
        <f t="shared" si="40"/>
        <v>51.07215450999999</v>
      </c>
      <c r="BZ10" s="1"/>
      <c r="CA10" s="1">
        <f>+datos!LX1</f>
        <v>336</v>
      </c>
      <c r="CB10" s="2">
        <f t="shared" si="24"/>
        <v>4.9898073099999998</v>
      </c>
      <c r="CC10" s="2">
        <f t="shared" si="25"/>
        <v>5.3090908499999996</v>
      </c>
      <c r="CE10" s="1">
        <f>+datos!IV1</f>
        <v>256</v>
      </c>
      <c r="CF10" s="1">
        <f t="shared" si="26"/>
        <v>17.39</v>
      </c>
      <c r="CG10" s="1">
        <f t="shared" si="27"/>
        <v>19.739999999999998</v>
      </c>
      <c r="CI10" s="1">
        <f t="shared" si="28"/>
        <v>18.05731771</v>
      </c>
      <c r="CJ10" s="1">
        <f t="shared" si="28"/>
        <v>12.23030908</v>
      </c>
      <c r="CK10" s="1">
        <f t="shared" si="28"/>
        <v>17.119922650000003</v>
      </c>
      <c r="CL10" s="1">
        <f t="shared" si="28"/>
        <v>15.255558669999997</v>
      </c>
      <c r="CM10" s="1">
        <f t="shared" si="28"/>
        <v>10.271936310000001</v>
      </c>
      <c r="CN10" s="1">
        <f t="shared" si="28"/>
        <v>14.041262509999999</v>
      </c>
      <c r="CO10" s="1">
        <f t="shared" si="28"/>
        <v>6.1015489199999999</v>
      </c>
      <c r="CP10" s="1">
        <f t="shared" si="28"/>
        <v>2.3063176799999998</v>
      </c>
      <c r="CQ10" s="1">
        <f t="shared" si="28"/>
        <v>3.2785219999999997</v>
      </c>
      <c r="CR10" s="1">
        <f t="shared" si="28"/>
        <v>2.8661316999999999</v>
      </c>
      <c r="CS10" s="1">
        <f t="shared" si="28"/>
        <v>3.3581509099999995</v>
      </c>
      <c r="CT10" s="1">
        <f t="shared" si="28"/>
        <v>4.3519123000000004</v>
      </c>
      <c r="CU10" s="1">
        <f t="shared" si="28"/>
        <v>3.6482140500000004</v>
      </c>
      <c r="CV10" s="1">
        <f t="shared" si="28"/>
        <v>7.8852843799999999</v>
      </c>
      <c r="CW10" s="1">
        <f t="shared" si="28"/>
        <v>4.4927710999999997</v>
      </c>
      <c r="CX10" s="1">
        <f t="shared" si="28"/>
        <v>3.9018705800000002</v>
      </c>
      <c r="CY10" s="1">
        <f t="shared" si="29"/>
        <v>10.723855849999996</v>
      </c>
      <c r="CZ10" s="1">
        <f t="shared" si="29"/>
        <v>7.5775361799999992</v>
      </c>
      <c r="DA10" s="1">
        <f t="shared" si="29"/>
        <v>1.25129154</v>
      </c>
      <c r="DB10" s="1">
        <f t="shared" si="29"/>
        <v>0.77785399999999993</v>
      </c>
      <c r="DC10" s="1">
        <f t="shared" si="29"/>
        <v>1.96707276</v>
      </c>
      <c r="DD10" s="1">
        <f t="shared" si="29"/>
        <v>1.7333935799999998</v>
      </c>
      <c r="DE10" s="1">
        <f t="shared" si="29"/>
        <v>4.5063326699999999</v>
      </c>
      <c r="DF10" s="1">
        <f t="shared" si="29"/>
        <v>2.6066778199999998</v>
      </c>
      <c r="DH10" s="1">
        <f t="shared" si="30"/>
        <v>0.7069763</v>
      </c>
      <c r="DI10" s="1">
        <f t="shared" si="30"/>
        <v>0.35634324000000006</v>
      </c>
      <c r="DJ10" s="1">
        <f t="shared" si="30"/>
        <v>0.22489865000000001</v>
      </c>
      <c r="DK10" s="1">
        <f t="shared" si="30"/>
        <v>0.17467300000000002</v>
      </c>
      <c r="DL10" s="1">
        <f t="shared" si="30"/>
        <v>7.2500000000000004E-3</v>
      </c>
      <c r="DM10" s="1">
        <f t="shared" si="30"/>
        <v>0.23680799999999999</v>
      </c>
      <c r="DN10" s="1">
        <f t="shared" si="30"/>
        <v>0</v>
      </c>
      <c r="DO10" s="1">
        <f t="shared" si="30"/>
        <v>0.3075099</v>
      </c>
      <c r="DP10" s="1">
        <f t="shared" si="30"/>
        <v>0.82950560000000007</v>
      </c>
      <c r="DQ10" s="1">
        <f t="shared" si="30"/>
        <v>1.06715808</v>
      </c>
      <c r="DR10" s="1">
        <f t="shared" si="30"/>
        <v>0.57276656999999997</v>
      </c>
      <c r="DS10" s="1">
        <f t="shared" si="30"/>
        <v>0.50591796999999994</v>
      </c>
      <c r="DT10" s="1">
        <f t="shared" si="30"/>
        <v>0.37369366000000004</v>
      </c>
      <c r="DU10" s="1">
        <f t="shared" si="30"/>
        <v>1.8223369999999999E-2</v>
      </c>
      <c r="DV10" s="1">
        <f t="shared" si="30"/>
        <v>0.26981320000000003</v>
      </c>
      <c r="DW10" s="1">
        <f t="shared" si="30"/>
        <v>0.36129600000000001</v>
      </c>
      <c r="DX10" s="1">
        <f t="shared" si="31"/>
        <v>3.0606999999999997E-4</v>
      </c>
      <c r="DY10" s="1">
        <f t="shared" si="31"/>
        <v>0.33402694999999999</v>
      </c>
      <c r="DZ10" s="1">
        <f t="shared" si="31"/>
        <v>0</v>
      </c>
      <c r="EA10" s="1">
        <f t="shared" si="31"/>
        <v>0.31172668999999997</v>
      </c>
      <c r="EB10" s="1">
        <f t="shared" si="31"/>
        <v>1.32104435</v>
      </c>
      <c r="EC10" s="1">
        <f t="shared" si="31"/>
        <v>1.2081202200000001</v>
      </c>
      <c r="ED10" s="1">
        <f t="shared" si="31"/>
        <v>0.6520337100000001</v>
      </c>
      <c r="EE10" s="1">
        <f t="shared" si="31"/>
        <v>0.45880662999999999</v>
      </c>
      <c r="EG10" s="14">
        <f t="shared" si="32"/>
        <v>17.39</v>
      </c>
      <c r="EH10" s="14">
        <f t="shared" si="32"/>
        <v>17.39</v>
      </c>
      <c r="EI10" s="1">
        <f t="shared" si="32"/>
        <v>17.39</v>
      </c>
      <c r="EJ10" s="1">
        <f t="shared" si="32"/>
        <v>17.39</v>
      </c>
      <c r="EK10" s="1">
        <f t="shared" si="32"/>
        <v>17.39</v>
      </c>
      <c r="EL10" s="1">
        <f t="shared" si="32"/>
        <v>17.39</v>
      </c>
      <c r="EM10" s="1">
        <f t="shared" si="32"/>
        <v>17.39</v>
      </c>
      <c r="EN10" s="1">
        <f t="shared" si="32"/>
        <v>17.39</v>
      </c>
      <c r="EO10" s="1">
        <f t="shared" si="32"/>
        <v>17.39</v>
      </c>
      <c r="EP10" s="1">
        <f t="shared" si="32"/>
        <v>17.39</v>
      </c>
      <c r="EQ10" s="1">
        <f t="shared" si="32"/>
        <v>17.39</v>
      </c>
      <c r="ER10" s="1">
        <f t="shared" si="32"/>
        <v>17.39</v>
      </c>
      <c r="ES10" s="1">
        <f t="shared" si="32"/>
        <v>19.739999999999998</v>
      </c>
      <c r="ET10" s="1">
        <f t="shared" si="32"/>
        <v>19.739999999999998</v>
      </c>
      <c r="EU10" s="1">
        <f t="shared" si="32"/>
        <v>19.739999999999998</v>
      </c>
      <c r="EV10" s="1">
        <f t="shared" si="32"/>
        <v>19.739999999999998</v>
      </c>
      <c r="EW10" s="1">
        <f t="shared" si="33"/>
        <v>19.739999999999998</v>
      </c>
      <c r="EX10" s="1">
        <f t="shared" si="33"/>
        <v>19.739999999999998</v>
      </c>
      <c r="EY10" s="1">
        <f t="shared" si="33"/>
        <v>19.739999999999998</v>
      </c>
      <c r="EZ10" s="1">
        <f t="shared" si="33"/>
        <v>19.739999999999998</v>
      </c>
      <c r="FA10" s="1">
        <f t="shared" si="33"/>
        <v>19.739999999999998</v>
      </c>
      <c r="FB10" s="1">
        <f t="shared" si="33"/>
        <v>19.739999999999998</v>
      </c>
      <c r="FC10" s="1">
        <f t="shared" si="33"/>
        <v>19.739999999999998</v>
      </c>
      <c r="FD10" s="1">
        <f t="shared" si="33"/>
        <v>19.739999999999998</v>
      </c>
      <c r="FF10" s="162">
        <f t="shared" si="34"/>
        <v>0.35538183575924287</v>
      </c>
    </row>
    <row r="11" spans="1:162" ht="18.75" customHeight="1">
      <c r="A11" s="244" t="s">
        <v>116</v>
      </c>
      <c r="B11" s="247"/>
      <c r="C11" s="228">
        <f t="shared" si="5"/>
        <v>-0.33</v>
      </c>
      <c r="D11" s="229">
        <v>1</v>
      </c>
      <c r="E11" s="253">
        <f t="shared" si="6"/>
        <v>-7.481335545416834E-2</v>
      </c>
      <c r="F11" s="254">
        <f t="shared" si="7"/>
        <v>-0.10185769963549629</v>
      </c>
      <c r="G11" s="253">
        <f t="shared" si="8"/>
        <v>2.0318234946112623E-2</v>
      </c>
      <c r="H11" s="254">
        <f t="shared" si="9"/>
        <v>-9.5131590400280963E-2</v>
      </c>
      <c r="I11" s="253">
        <f t="shared" si="10"/>
        <v>0.84675885800033623</v>
      </c>
      <c r="J11" s="254">
        <f t="shared" si="11"/>
        <v>-0.33087529391475079</v>
      </c>
      <c r="K11" s="253">
        <f t="shared" si="12"/>
        <v>0.64611898812071789</v>
      </c>
      <c r="L11" s="254">
        <f t="shared" si="13"/>
        <v>0.20063986987961835</v>
      </c>
      <c r="M11" s="255"/>
      <c r="N11" s="256"/>
      <c r="O11" s="253" t="str">
        <f t="shared" si="35"/>
        <v/>
      </c>
      <c r="P11" s="257" t="str">
        <f t="shared" si="36"/>
        <v/>
      </c>
      <c r="Q11" s="253">
        <f t="shared" si="14"/>
        <v>0</v>
      </c>
      <c r="R11" s="257">
        <f t="shared" si="37"/>
        <v>0</v>
      </c>
      <c r="S11" s="255"/>
      <c r="T11" s="24">
        <v>-2</v>
      </c>
      <c r="U11" s="253">
        <f t="shared" si="15"/>
        <v>-0.2195654574142788</v>
      </c>
      <c r="V11" s="258">
        <f t="shared" si="16"/>
        <v>-0.2195654574142788</v>
      </c>
      <c r="W11" s="253">
        <f t="shared" si="38"/>
        <v>-0.34628790129837483</v>
      </c>
      <c r="X11" s="258">
        <f t="shared" si="17"/>
        <v>-0.34628790129837483</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
        <f>VLOOKUP($A11,historia!$A$5:$CM$24,+HLOOKUP(AO$2,historia!$A$3:$EC$4,2,FALSE),FALSE)</f>
        <v>3</v>
      </c>
      <c r="AP11" s="28">
        <f>VLOOKUP($A11,historia!$A$5:$CM$24,+HLOOKUP(AP$2,historia!$A$3:$EC$4,2,FALSE),FALSE)</f>
        <v>3</v>
      </c>
      <c r="AQ11" s="28">
        <f>VLOOKUP($A11,historia!$A$5:$CM$24,+HLOOKUP(AQ$2,historia!$A$3:$EC$4,2,FALSE),FALSE)</f>
        <v>4</v>
      </c>
      <c r="AR11" s="28">
        <f>VLOOKUP($A11,historia!$A$5:$CM$24,+HLOOKUP(AR$2,historia!$A$3:$EC$4,2,FALSE),FALSE)</f>
        <v>4</v>
      </c>
      <c r="AS11" s="58">
        <f>VLOOKUP($A11,historia!$A$5:$CM$24,+HLOOKUP(AS$2,historia!$A$3:$EC$4,2,FALSE),FALSE)</f>
        <v>4</v>
      </c>
      <c r="AT11" s="58">
        <f>VLOOKUP($A11,historia!$A$5:$CM$24,+HLOOKUP(AT$2,historia!$A$3:$EC$4,2,FALSE),FALSE)</f>
        <v>4</v>
      </c>
      <c r="AU11" s="58">
        <f>VLOOKUP($A11,historia!$A$5:$CM$24,+HLOOKUP(AU$2,historia!$A$3:$EC$4,2,FALSE),FALSE)</f>
        <v>4</v>
      </c>
      <c r="AV11" s="58">
        <v>4</v>
      </c>
      <c r="AW11" s="58">
        <v>4</v>
      </c>
      <c r="AX11" s="58">
        <v>3</v>
      </c>
      <c r="AY11" s="58">
        <v>3</v>
      </c>
      <c r="AZ11" s="58">
        <v>1</v>
      </c>
      <c r="BA11" s="30"/>
      <c r="BB11" s="141">
        <v>4</v>
      </c>
      <c r="BC11" t="str">
        <f t="shared" si="20"/>
        <v>Forestal</v>
      </c>
      <c r="BD11">
        <f>+datos!BG1</f>
        <v>59</v>
      </c>
      <c r="BE11" s="2" t="str">
        <f t="shared" si="4"/>
        <v>$/t</v>
      </c>
      <c r="BF11" s="2">
        <f t="shared" si="4"/>
        <v>26767.5</v>
      </c>
      <c r="BG11" s="2">
        <f t="shared" si="4"/>
        <v>28932</v>
      </c>
      <c r="BH11" s="2">
        <f t="shared" si="4"/>
        <v>14494.3125</v>
      </c>
      <c r="BJ11">
        <f>+datos!CZ1</f>
        <v>104</v>
      </c>
      <c r="BK11" s="2">
        <f t="shared" si="21"/>
        <v>11297.627050362329</v>
      </c>
      <c r="BL11" s="2">
        <f t="shared" si="21"/>
        <v>11072.650339292431</v>
      </c>
      <c r="BM11" s="2">
        <f t="shared" si="21"/>
        <v>6863.1898009148163</v>
      </c>
      <c r="BO11" s="1">
        <f>+datos!ES1</f>
        <v>149</v>
      </c>
      <c r="BP11" s="1">
        <f t="shared" si="22"/>
        <v>0</v>
      </c>
      <c r="BQ11" s="1">
        <f t="shared" si="22"/>
        <v>0</v>
      </c>
      <c r="BS11" s="1">
        <f>+datos!GI1</f>
        <v>191</v>
      </c>
      <c r="BT11" s="1">
        <f t="shared" si="23"/>
        <v>1302556</v>
      </c>
      <c r="BU11" s="1">
        <f t="shared" si="23"/>
        <v>1302556</v>
      </c>
      <c r="BW11" s="1">
        <f>+datos!KB1</f>
        <v>288</v>
      </c>
      <c r="BX11" s="1">
        <f t="shared" si="39"/>
        <v>234.33414359999998</v>
      </c>
      <c r="BY11" s="1">
        <f t="shared" si="40"/>
        <v>300.26111199999997</v>
      </c>
      <c r="CA11" s="1">
        <f>+datos!LG1</f>
        <v>319</v>
      </c>
      <c r="CB11" s="2">
        <f t="shared" si="24"/>
        <v>170.20555855000001</v>
      </c>
      <c r="CC11" s="2">
        <f t="shared" si="25"/>
        <v>260.36776570000001</v>
      </c>
      <c r="CE11" s="1">
        <f>+datos!IW1</f>
        <v>257</v>
      </c>
      <c r="CF11" s="1">
        <f t="shared" si="26"/>
        <v>0</v>
      </c>
      <c r="CG11" s="1">
        <f t="shared" si="27"/>
        <v>0</v>
      </c>
      <c r="CI11" s="1">
        <f t="shared" si="28"/>
        <v>11.119065489999999</v>
      </c>
      <c r="CJ11" s="1">
        <f t="shared" si="28"/>
        <v>13.50721221</v>
      </c>
      <c r="CK11" s="1">
        <f t="shared" si="28"/>
        <v>17.7783984</v>
      </c>
      <c r="CL11" s="1">
        <f t="shared" si="28"/>
        <v>18.158715399999995</v>
      </c>
      <c r="CM11" s="1">
        <f t="shared" si="28"/>
        <v>13.62277192</v>
      </c>
      <c r="CN11" s="1">
        <f t="shared" si="28"/>
        <v>18.147427050000005</v>
      </c>
      <c r="CO11" s="1">
        <f t="shared" si="28"/>
        <v>16.38459563</v>
      </c>
      <c r="CP11" s="1">
        <f t="shared" si="28"/>
        <v>19.29025034</v>
      </c>
      <c r="CQ11" s="1">
        <f t="shared" si="28"/>
        <v>32.635385889999995</v>
      </c>
      <c r="CR11" s="1">
        <f t="shared" si="28"/>
        <v>26.653198490000001</v>
      </c>
      <c r="CS11" s="1">
        <f t="shared" si="28"/>
        <v>23.932255000000001</v>
      </c>
      <c r="CT11" s="1">
        <f t="shared" si="28"/>
        <v>23.104867779999999</v>
      </c>
      <c r="CU11" s="1">
        <f t="shared" si="28"/>
        <v>24.797754910000005</v>
      </c>
      <c r="CV11" s="1">
        <f t="shared" si="28"/>
        <v>26.00374025</v>
      </c>
      <c r="CW11" s="1">
        <f t="shared" si="28"/>
        <v>24.373047020000001</v>
      </c>
      <c r="CX11" s="1">
        <f t="shared" si="28"/>
        <v>25.649224320000002</v>
      </c>
      <c r="CY11" s="1">
        <f t="shared" si="29"/>
        <v>23.667757810000001</v>
      </c>
      <c r="CZ11" s="1">
        <f t="shared" si="29"/>
        <v>25.088845019999997</v>
      </c>
      <c r="DA11" s="1">
        <f t="shared" si="29"/>
        <v>26.5668471</v>
      </c>
      <c r="DB11" s="1">
        <f t="shared" si="29"/>
        <v>23.814064600000002</v>
      </c>
      <c r="DC11" s="1">
        <f t="shared" si="29"/>
        <v>20.56411928</v>
      </c>
      <c r="DD11" s="1">
        <f t="shared" si="29"/>
        <v>19.140443850000004</v>
      </c>
      <c r="DE11" s="1">
        <f t="shared" si="29"/>
        <v>31.026984670000001</v>
      </c>
      <c r="DF11" s="1">
        <f t="shared" si="29"/>
        <v>29.568283169999997</v>
      </c>
      <c r="DH11" s="1">
        <f t="shared" si="30"/>
        <v>14.036730870000001</v>
      </c>
      <c r="DI11" s="1">
        <f t="shared" si="30"/>
        <v>13.365554540000002</v>
      </c>
      <c r="DJ11" s="1">
        <f t="shared" si="30"/>
        <v>15.589800310000003</v>
      </c>
      <c r="DK11" s="1">
        <f t="shared" si="30"/>
        <v>16.942532470000003</v>
      </c>
      <c r="DL11" s="1">
        <f t="shared" si="30"/>
        <v>10.998476289999999</v>
      </c>
      <c r="DM11" s="1">
        <f t="shared" si="30"/>
        <v>11.46589975</v>
      </c>
      <c r="DN11" s="1">
        <f t="shared" si="30"/>
        <v>13.53170609</v>
      </c>
      <c r="DO11" s="1">
        <f t="shared" si="30"/>
        <v>19.941855059999995</v>
      </c>
      <c r="DP11" s="1">
        <f t="shared" si="30"/>
        <v>17.561880160000001</v>
      </c>
      <c r="DQ11" s="1">
        <f t="shared" si="30"/>
        <v>14.580088280000002</v>
      </c>
      <c r="DR11" s="1">
        <f t="shared" si="30"/>
        <v>13.107541810000001</v>
      </c>
      <c r="DS11" s="1">
        <f t="shared" si="30"/>
        <v>9.0834929199999994</v>
      </c>
      <c r="DT11" s="1">
        <f t="shared" si="30"/>
        <v>9.5859924200000002</v>
      </c>
      <c r="DU11" s="1">
        <f t="shared" si="30"/>
        <v>12.114691449999999</v>
      </c>
      <c r="DV11" s="1">
        <f t="shared" si="30"/>
        <v>21.937746180000001</v>
      </c>
      <c r="DW11" s="1">
        <f t="shared" si="30"/>
        <v>16.68359323</v>
      </c>
      <c r="DX11" s="1">
        <f t="shared" si="31"/>
        <v>23.390239519999994</v>
      </c>
      <c r="DY11" s="1">
        <f t="shared" si="31"/>
        <v>24.97777258</v>
      </c>
      <c r="DZ11" s="1">
        <f t="shared" si="31"/>
        <v>25.979397770000002</v>
      </c>
      <c r="EA11" s="1">
        <f t="shared" si="31"/>
        <v>26.663923630000003</v>
      </c>
      <c r="EB11" s="1">
        <f t="shared" si="31"/>
        <v>25.77809422</v>
      </c>
      <c r="EC11" s="1">
        <f t="shared" si="31"/>
        <v>30.845388820000004</v>
      </c>
      <c r="ED11" s="1">
        <f t="shared" si="31"/>
        <v>19.314417040000002</v>
      </c>
      <c r="EE11" s="1">
        <f t="shared" si="31"/>
        <v>23.096508839999995</v>
      </c>
      <c r="EG11" s="14">
        <f t="shared" si="32"/>
        <v>0</v>
      </c>
      <c r="EH11" s="14">
        <f t="shared" si="32"/>
        <v>0</v>
      </c>
      <c r="EI11" s="1">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3"/>
        <v>0</v>
      </c>
      <c r="EX11" s="1">
        <f t="shared" si="33"/>
        <v>0</v>
      </c>
      <c r="EY11" s="1">
        <f t="shared" si="33"/>
        <v>0</v>
      </c>
      <c r="EZ11" s="1">
        <f t="shared" si="33"/>
        <v>0</v>
      </c>
      <c r="FA11" s="1">
        <f t="shared" si="33"/>
        <v>0</v>
      </c>
      <c r="FB11" s="1">
        <f t="shared" si="33"/>
        <v>0</v>
      </c>
      <c r="FC11" s="1">
        <f t="shared" si="33"/>
        <v>0</v>
      </c>
      <c r="FD11" s="1">
        <f t="shared" si="33"/>
        <v>0</v>
      </c>
      <c r="FF11" s="162">
        <f t="shared" si="34"/>
        <v>0.20063986987961835</v>
      </c>
    </row>
    <row r="12" spans="1:162" ht="18.75" customHeight="1">
      <c r="A12" s="243" t="s">
        <v>216</v>
      </c>
      <c r="B12" s="246"/>
      <c r="C12" s="156">
        <f t="shared" si="5"/>
        <v>-0.33</v>
      </c>
      <c r="D12" s="198">
        <v>-1</v>
      </c>
      <c r="E12" s="248">
        <f t="shared" si="6"/>
        <v>2.7794160659571077E-3</v>
      </c>
      <c r="F12" s="249">
        <f t="shared" si="7"/>
        <v>-2.4264928115370843E-2</v>
      </c>
      <c r="G12" s="248">
        <f t="shared" si="8"/>
        <v>-1.027809295965687E-2</v>
      </c>
      <c r="H12" s="249">
        <f t="shared" si="9"/>
        <v>1.3057509025613978E-2</v>
      </c>
      <c r="I12" s="248">
        <f t="shared" si="10"/>
        <v>0.2366343131153501</v>
      </c>
      <c r="J12" s="249">
        <f t="shared" si="11"/>
        <v>-0.94099983879973692</v>
      </c>
      <c r="K12" s="248">
        <f t="shared" si="12"/>
        <v>0.18448158241399182</v>
      </c>
      <c r="L12" s="249">
        <f t="shared" si="13"/>
        <v>5.2152730701358285E-2</v>
      </c>
      <c r="M12" s="250"/>
      <c r="N12" s="24">
        <v>1</v>
      </c>
      <c r="O12" s="248">
        <f t="shared" si="35"/>
        <v>5.2368930898843313E-2</v>
      </c>
      <c r="P12" s="251">
        <f t="shared" si="36"/>
        <v>5.2368930898843313E-2</v>
      </c>
      <c r="Q12" s="248">
        <f t="shared" si="14"/>
        <v>0.12987974783148037</v>
      </c>
      <c r="R12" s="251">
        <f t="shared" si="37"/>
        <v>0.12987974783148037</v>
      </c>
      <c r="S12" s="250"/>
      <c r="T12" s="24">
        <v>-1</v>
      </c>
      <c r="U12" s="248">
        <f t="shared" si="15"/>
        <v>0.24014958182854085</v>
      </c>
      <c r="V12" s="252">
        <f t="shared" si="16"/>
        <v>0.24014958182854085</v>
      </c>
      <c r="W12" s="248">
        <f t="shared" si="38"/>
        <v>-0.42997077859577948</v>
      </c>
      <c r="X12" s="252">
        <f t="shared" si="17"/>
        <v>-0.42997077859577948</v>
      </c>
      <c r="Y12" s="248">
        <f t="shared" si="18"/>
        <v>0.1106875425459497</v>
      </c>
      <c r="Z12" s="252">
        <f t="shared" si="19"/>
        <v>0.1106875425459497</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
        <f>VLOOKUP($A12,historia!$A$5:$CM$24,+HLOOKUP(AO$2,historia!$A$3:$EC$4,2,FALSE),FALSE)</f>
        <v>5</v>
      </c>
      <c r="AP12" s="28">
        <f>VLOOKUP($A12,historia!$A$5:$CM$24,+HLOOKUP(AP$2,historia!$A$3:$EC$4,2,FALSE),FALSE)</f>
        <v>5</v>
      </c>
      <c r="AQ12" s="28">
        <f>VLOOKUP($A12,historia!$A$5:$CM$24,+HLOOKUP(AQ$2,historia!$A$3:$EC$4,2,FALSE),FALSE)</f>
        <v>5</v>
      </c>
      <c r="AR12" s="28">
        <f>VLOOKUP($A12,historia!$A$5:$CM$24,+HLOOKUP(AR$2,historia!$A$3:$EC$4,2,FALSE),FALSE)</f>
        <v>5</v>
      </c>
      <c r="AS12" s="58">
        <f>VLOOKUP($A12,historia!$A$5:$CM$24,+HLOOKUP(AS$2,historia!$A$3:$EC$4,2,FALSE),FALSE)</f>
        <v>4</v>
      </c>
      <c r="AT12" s="58">
        <f>VLOOKUP($A12,historia!$A$5:$CM$24,+HLOOKUP(AT$2,historia!$A$3:$EC$4,2,FALSE),FALSE)</f>
        <v>4</v>
      </c>
      <c r="AU12" s="58">
        <f>VLOOKUP($A12,historia!$A$5:$CM$24,+HLOOKUP(AU$2,historia!$A$3:$EC$4,2,FALSE),FALSE)</f>
        <v>4</v>
      </c>
      <c r="AV12" s="58">
        <v>4</v>
      </c>
      <c r="AW12" s="58">
        <v>4</v>
      </c>
      <c r="AX12" s="58">
        <v>3</v>
      </c>
      <c r="AY12" s="58">
        <v>3</v>
      </c>
      <c r="AZ12" s="58">
        <v>3</v>
      </c>
      <c r="BA12" s="30"/>
      <c r="BB12" s="141">
        <v>4</v>
      </c>
      <c r="BC12" t="str">
        <f t="shared" si="20"/>
        <v>Granos</v>
      </c>
      <c r="BD12">
        <f>+datos!AE1</f>
        <v>31</v>
      </c>
      <c r="BE12" s="2" t="str">
        <f t="shared" si="4"/>
        <v>$/t</v>
      </c>
      <c r="BF12" s="2">
        <f t="shared" si="4"/>
        <v>239150.0713166667</v>
      </c>
      <c r="BG12" s="2">
        <f t="shared" si="4"/>
        <v>238487.21611666665</v>
      </c>
      <c r="BH12" s="2">
        <f t="shared" si="4"/>
        <v>193387.86638888888</v>
      </c>
      <c r="BJ12">
        <f>+datos!CG1</f>
        <v>85</v>
      </c>
      <c r="BK12" s="2">
        <f t="shared" si="21"/>
        <v>9049.7122533039164</v>
      </c>
      <c r="BL12" s="2">
        <f t="shared" si="21"/>
        <v>9143.6919693594609</v>
      </c>
      <c r="BM12" s="2">
        <f t="shared" si="21"/>
        <v>7640.230449898987</v>
      </c>
      <c r="BO12" s="1">
        <f>+datos!EA1</f>
        <v>131</v>
      </c>
      <c r="BP12" s="1">
        <f t="shared" si="22"/>
        <v>35850000</v>
      </c>
      <c r="BQ12" s="1">
        <f t="shared" si="22"/>
        <v>34066000</v>
      </c>
      <c r="BS12" s="1">
        <f>+datos!FV1</f>
        <v>178</v>
      </c>
      <c r="BT12" s="1">
        <f t="shared" si="23"/>
        <v>122053000</v>
      </c>
      <c r="BU12" s="1">
        <f t="shared" si="23"/>
        <v>108023000</v>
      </c>
      <c r="BW12" s="1">
        <f>+datos!LQ1</f>
        <v>329</v>
      </c>
      <c r="BX12" s="1">
        <f>+SUM(CI12:CT12)</f>
        <v>44875.035098559994</v>
      </c>
      <c r="BY12" s="1">
        <f t="shared" si="40"/>
        <v>36185.179397789994</v>
      </c>
      <c r="CA12" s="1">
        <f>+datos!LU1</f>
        <v>333</v>
      </c>
      <c r="CB12" s="2">
        <f t="shared" si="24"/>
        <v>3088.4274320999998</v>
      </c>
      <c r="CC12" s="2">
        <f t="shared" si="25"/>
        <v>5418.0159825700002</v>
      </c>
      <c r="CE12" s="1">
        <f>+datos!II1</f>
        <v>243</v>
      </c>
      <c r="CF12" s="1">
        <f t="shared" si="26"/>
        <v>81580000</v>
      </c>
      <c r="CG12" s="1">
        <f t="shared" si="27"/>
        <v>73450000</v>
      </c>
      <c r="CI12" s="1">
        <f>+VLOOKUP(CI$1,ran_dat,$BW12,FALSE)</f>
        <v>3313.8442822299994</v>
      </c>
      <c r="CJ12" s="1">
        <f t="shared" si="28"/>
        <v>3339.9998161899998</v>
      </c>
      <c r="CK12" s="1">
        <f t="shared" si="28"/>
        <v>3485.71732419</v>
      </c>
      <c r="CL12" s="1">
        <f t="shared" si="28"/>
        <v>3410.80431886</v>
      </c>
      <c r="CM12" s="1">
        <f t="shared" si="28"/>
        <v>3348.6268518899992</v>
      </c>
      <c r="CN12" s="1">
        <f t="shared" si="28"/>
        <v>4200.6671527199996</v>
      </c>
      <c r="CO12" s="1">
        <f t="shared" si="28"/>
        <v>4256.6159984299993</v>
      </c>
      <c r="CP12" s="1">
        <f t="shared" si="28"/>
        <v>4805.0657855600002</v>
      </c>
      <c r="CQ12" s="1">
        <f t="shared" si="28"/>
        <v>3818.0878160900002</v>
      </c>
      <c r="CR12" s="1">
        <f t="shared" si="28"/>
        <v>3876.9439553199995</v>
      </c>
      <c r="CS12" s="1">
        <f t="shared" si="28"/>
        <v>3089.4855235099994</v>
      </c>
      <c r="CT12" s="1">
        <f t="shared" si="28"/>
        <v>3929.1762735700004</v>
      </c>
      <c r="CU12" s="1">
        <f t="shared" si="28"/>
        <v>2955.6698254600001</v>
      </c>
      <c r="CV12" s="1">
        <f t="shared" si="28"/>
        <v>2441.9361675499999</v>
      </c>
      <c r="CW12" s="1">
        <f t="shared" si="28"/>
        <v>2439.6070879799995</v>
      </c>
      <c r="CX12" s="1">
        <f t="shared" si="28"/>
        <v>2937.94498135</v>
      </c>
      <c r="CY12" s="1">
        <f t="shared" si="29"/>
        <v>3422.8062754199996</v>
      </c>
      <c r="CZ12" s="1">
        <f t="shared" si="29"/>
        <v>3305.4373540500001</v>
      </c>
      <c r="DA12" s="1">
        <f t="shared" si="29"/>
        <v>3388.1727426199996</v>
      </c>
      <c r="DB12" s="1">
        <f t="shared" si="29"/>
        <v>3792.8302867999996</v>
      </c>
      <c r="DC12" s="1">
        <f t="shared" si="29"/>
        <v>3116.9694759099998</v>
      </c>
      <c r="DD12" s="1">
        <f t="shared" si="29"/>
        <v>2868.8536445099994</v>
      </c>
      <c r="DE12" s="1">
        <f t="shared" si="29"/>
        <v>2796.6599858300006</v>
      </c>
      <c r="DF12" s="1">
        <f t="shared" si="29"/>
        <v>2718.2915703099998</v>
      </c>
      <c r="DH12" s="1">
        <f t="shared" si="30"/>
        <v>52.19269714</v>
      </c>
      <c r="DI12" s="1">
        <f t="shared" si="30"/>
        <v>201.41567115000001</v>
      </c>
      <c r="DJ12" s="1">
        <f t="shared" si="30"/>
        <v>299.18688666000003</v>
      </c>
      <c r="DK12" s="1">
        <f t="shared" si="30"/>
        <v>265.28366987999999</v>
      </c>
      <c r="DL12" s="1">
        <f t="shared" si="30"/>
        <v>214.60650260000006</v>
      </c>
      <c r="DM12" s="1">
        <f t="shared" si="30"/>
        <v>390.93673457</v>
      </c>
      <c r="DN12" s="1">
        <f t="shared" si="30"/>
        <v>293.37536226000003</v>
      </c>
      <c r="DO12" s="1">
        <f t="shared" si="30"/>
        <v>336.54852982999995</v>
      </c>
      <c r="DP12" s="1">
        <f t="shared" si="30"/>
        <v>300.95428591999996</v>
      </c>
      <c r="DQ12" s="1">
        <f t="shared" si="30"/>
        <v>389.85732896999997</v>
      </c>
      <c r="DR12" s="1">
        <f t="shared" si="30"/>
        <v>280.54397103999997</v>
      </c>
      <c r="DS12" s="1">
        <f t="shared" si="30"/>
        <v>63.525792080000002</v>
      </c>
      <c r="DT12" s="1">
        <f t="shared" si="30"/>
        <v>301.92103216000004</v>
      </c>
      <c r="DU12" s="1">
        <f t="shared" si="30"/>
        <v>260.76831764999997</v>
      </c>
      <c r="DV12" s="1">
        <f t="shared" si="30"/>
        <v>244.67742642000002</v>
      </c>
      <c r="DW12" s="1">
        <f t="shared" si="30"/>
        <v>322.58249758000005</v>
      </c>
      <c r="DX12" s="1">
        <f t="shared" si="31"/>
        <v>495.08938117000014</v>
      </c>
      <c r="DY12" s="1">
        <f t="shared" si="31"/>
        <v>539.06610803000001</v>
      </c>
      <c r="DZ12" s="1">
        <f t="shared" si="31"/>
        <v>828.84254484999997</v>
      </c>
      <c r="EA12" s="1">
        <f t="shared" si="31"/>
        <v>679.74768902999983</v>
      </c>
      <c r="EB12" s="1">
        <f t="shared" si="31"/>
        <v>678.42759025000009</v>
      </c>
      <c r="EC12" s="1">
        <f t="shared" si="31"/>
        <v>816.99926951999987</v>
      </c>
      <c r="ED12" s="1">
        <f t="shared" si="31"/>
        <v>236.29083821</v>
      </c>
      <c r="EE12" s="1">
        <f t="shared" si="31"/>
        <v>13.603287699999997</v>
      </c>
      <c r="EG12" s="14">
        <f t="shared" si="32"/>
        <v>81580000</v>
      </c>
      <c r="EH12" s="14">
        <f t="shared" si="32"/>
        <v>81600000</v>
      </c>
      <c r="EI12" s="1">
        <f t="shared" si="32"/>
        <v>81600000</v>
      </c>
      <c r="EJ12" s="1">
        <f t="shared" si="32"/>
        <v>81600000</v>
      </c>
      <c r="EK12" s="1">
        <f t="shared" si="32"/>
        <v>81600000</v>
      </c>
      <c r="EL12" s="1">
        <f t="shared" si="32"/>
        <v>81600000</v>
      </c>
      <c r="EM12" s="1">
        <f t="shared" si="32"/>
        <v>81600000</v>
      </c>
      <c r="EN12" s="1">
        <f t="shared" si="32"/>
        <v>81600000</v>
      </c>
      <c r="EO12" s="1">
        <f t="shared" si="32"/>
        <v>81600000</v>
      </c>
      <c r="EP12" s="1">
        <f t="shared" si="32"/>
        <v>73750000</v>
      </c>
      <c r="EQ12" s="1">
        <f t="shared" si="32"/>
        <v>73750000</v>
      </c>
      <c r="ER12" s="1">
        <f t="shared" si="32"/>
        <v>73450000</v>
      </c>
      <c r="ES12" s="1">
        <f t="shared" si="32"/>
        <v>73450000</v>
      </c>
      <c r="ET12" s="1">
        <f t="shared" si="32"/>
        <v>73450000</v>
      </c>
      <c r="EU12" s="1">
        <f t="shared" si="32"/>
        <v>73450000</v>
      </c>
      <c r="EV12" s="1">
        <f t="shared" si="32"/>
        <v>73450000</v>
      </c>
      <c r="EW12" s="1">
        <f t="shared" si="33"/>
        <v>73450000</v>
      </c>
      <c r="EX12" s="1">
        <f t="shared" si="33"/>
        <v>73450000</v>
      </c>
      <c r="EY12" s="1">
        <f t="shared" si="33"/>
        <v>73450000</v>
      </c>
      <c r="EZ12" s="1">
        <f t="shared" si="33"/>
        <v>73450000</v>
      </c>
      <c r="FA12" s="1">
        <f t="shared" si="33"/>
        <v>73450000</v>
      </c>
      <c r="FB12" s="1">
        <f t="shared" si="33"/>
        <v>74890000</v>
      </c>
      <c r="FC12" s="1">
        <f t="shared" si="33"/>
        <v>75510000</v>
      </c>
      <c r="FD12" s="1">
        <f t="shared" si="33"/>
        <v>75510000</v>
      </c>
      <c r="FF12" s="162">
        <f t="shared" si="34"/>
        <v>5.2152730701358285E-2</v>
      </c>
    </row>
    <row r="13" spans="1:162" ht="18.75" customHeight="1">
      <c r="A13" s="244" t="s">
        <v>217</v>
      </c>
      <c r="B13" s="247"/>
      <c r="C13" s="228">
        <f t="shared" si="5"/>
        <v>0</v>
      </c>
      <c r="D13" s="229">
        <v>0</v>
      </c>
      <c r="E13" s="253">
        <f t="shared" si="6"/>
        <v>-4.392352646152653E-2</v>
      </c>
      <c r="F13" s="254">
        <f t="shared" si="7"/>
        <v>-7.096787064285448E-2</v>
      </c>
      <c r="G13" s="253">
        <f t="shared" si="8"/>
        <v>3.0685290128444898E-3</v>
      </c>
      <c r="H13" s="254">
        <f t="shared" si="9"/>
        <v>-4.6992055474371019E-2</v>
      </c>
      <c r="I13" s="253">
        <f t="shared" si="10"/>
        <v>1.3840362325632851</v>
      </c>
      <c r="J13" s="254">
        <f t="shared" si="11"/>
        <v>0.20640208064819809</v>
      </c>
      <c r="K13" s="253">
        <f t="shared" si="12"/>
        <v>0.59775644520522975</v>
      </c>
      <c r="L13" s="254">
        <f t="shared" si="13"/>
        <v>0.78627978735805537</v>
      </c>
      <c r="M13" s="255"/>
      <c r="N13" s="256">
        <v>0</v>
      </c>
      <c r="O13" s="253">
        <f t="shared" si="35"/>
        <v>-3.3006472151727695E-2</v>
      </c>
      <c r="P13" s="257">
        <f t="shared" si="36"/>
        <v>-3.3006472151727695E-2</v>
      </c>
      <c r="Q13" s="253">
        <f t="shared" si="14"/>
        <v>-1.4386787894224651E-2</v>
      </c>
      <c r="R13" s="257">
        <f t="shared" si="37"/>
        <v>-1.4386787894224651E-2</v>
      </c>
      <c r="S13" s="255"/>
      <c r="T13" s="256">
        <v>0</v>
      </c>
      <c r="U13" s="253">
        <f t="shared" si="15"/>
        <v>7.56236596790687E-2</v>
      </c>
      <c r="V13" s="258">
        <f t="shared" si="16"/>
        <v>7.56236596790687E-2</v>
      </c>
      <c r="W13" s="253">
        <f t="shared" si="38"/>
        <v>0.96874681449739097</v>
      </c>
      <c r="X13" s="258">
        <f t="shared" si="17"/>
        <v>0.96874681449739097</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
        <f>VLOOKUP($A13,historia!$A$5:$CM$24,+HLOOKUP(AO$2,historia!$A$3:$EC$4,2,FALSE),FALSE)</f>
        <v>3</v>
      </c>
      <c r="AP13" s="28">
        <f>VLOOKUP($A13,historia!$A$5:$CM$24,+HLOOKUP(AP$2,historia!$A$3:$EC$4,2,FALSE),FALSE)</f>
        <v>3</v>
      </c>
      <c r="AQ13" s="28">
        <f>VLOOKUP($A13,historia!$A$5:$CM$24,+HLOOKUP(AQ$2,historia!$A$3:$EC$4,2,FALSE),FALSE)</f>
        <v>3</v>
      </c>
      <c r="AR13" s="28">
        <f>VLOOKUP($A13,historia!$A$5:$CM$24,+HLOOKUP(AR$2,historia!$A$3:$EC$4,2,FALSE),FALSE)</f>
        <v>3</v>
      </c>
      <c r="AS13" s="58">
        <f>VLOOKUP($A13,historia!$A$5:$CM$24,+HLOOKUP(AS$2,historia!$A$3:$EC$4,2,FALSE),FALSE)</f>
        <v>2</v>
      </c>
      <c r="AT13" s="58">
        <f>VLOOKUP($A13,historia!$A$5:$CM$24,+HLOOKUP(AT$2,historia!$A$3:$EC$4,2,FALSE),FALSE)</f>
        <v>2</v>
      </c>
      <c r="AU13" s="58">
        <f>VLOOKUP($A13,historia!$A$5:$CM$24,+HLOOKUP(AU$2,historia!$A$3:$EC$4,2,FALSE),FALSE)</f>
        <v>3</v>
      </c>
      <c r="AV13" s="58">
        <v>3</v>
      </c>
      <c r="AW13" s="58">
        <v>3</v>
      </c>
      <c r="AX13" s="58">
        <v>2</v>
      </c>
      <c r="AY13" s="58">
        <v>4</v>
      </c>
      <c r="AZ13" s="58">
        <v>2</v>
      </c>
      <c r="BA13" s="30"/>
      <c r="BB13" s="141">
        <v>3</v>
      </c>
      <c r="BC13" t="str">
        <f t="shared" si="20"/>
        <v>Hortalizas</v>
      </c>
      <c r="BD13">
        <f>+datos!BB1</f>
        <v>54</v>
      </c>
      <c r="BE13" s="2" t="str">
        <f t="shared" si="4"/>
        <v>$/kg</v>
      </c>
      <c r="BF13" s="2">
        <f t="shared" si="4"/>
        <v>10655.950335823056</v>
      </c>
      <c r="BG13" s="2">
        <f t="shared" si="4"/>
        <v>11145.5</v>
      </c>
      <c r="BH13" s="2">
        <f t="shared" si="4"/>
        <v>4469.7098937820738</v>
      </c>
      <c r="BJ13">
        <f>+datos!CO1</f>
        <v>93</v>
      </c>
      <c r="BK13" s="2">
        <f t="shared" si="21"/>
        <v>9477.9188412040785</v>
      </c>
      <c r="BL13" s="2">
        <f t="shared" si="21"/>
        <v>9448.9245421064461</v>
      </c>
      <c r="BM13" s="2">
        <f t="shared" si="21"/>
        <v>5932.0172793836873</v>
      </c>
      <c r="BO13" s="1">
        <f>+datos!EX1</f>
        <v>154</v>
      </c>
      <c r="BP13" s="1">
        <f t="shared" si="22"/>
        <v>64395</v>
      </c>
      <c r="BQ13" s="1">
        <f t="shared" si="22"/>
        <v>66593</v>
      </c>
      <c r="BS13" s="1">
        <f>+datos!GN1</f>
        <v>196</v>
      </c>
      <c r="BT13" s="1">
        <f t="shared" si="23"/>
        <v>2639386</v>
      </c>
      <c r="BU13" s="1">
        <f t="shared" si="23"/>
        <v>2677912.56</v>
      </c>
      <c r="BW13" s="1">
        <f>+datos!LR1</f>
        <v>330</v>
      </c>
      <c r="BX13" s="1">
        <f t="shared" si="39"/>
        <v>66.240636280000004</v>
      </c>
      <c r="BY13" s="1">
        <f t="shared" si="40"/>
        <v>61.583468979999999</v>
      </c>
      <c r="CA13" s="1">
        <f>+datos!LV1</f>
        <v>334</v>
      </c>
      <c r="CB13" s="2">
        <f t="shared" si="24"/>
        <v>35.811748700000003</v>
      </c>
      <c r="CC13" s="2">
        <f t="shared" si="25"/>
        <v>18.190124009999998</v>
      </c>
      <c r="CE13" s="1">
        <f>+datos!IX1</f>
        <v>258</v>
      </c>
      <c r="CF13" s="1">
        <f t="shared" si="26"/>
        <v>0</v>
      </c>
      <c r="CG13" s="1">
        <f t="shared" si="27"/>
        <v>0</v>
      </c>
      <c r="CI13" s="1">
        <f t="shared" si="28"/>
        <v>1.1603474899999999</v>
      </c>
      <c r="CJ13" s="1">
        <f t="shared" si="28"/>
        <v>1.6220564799999999</v>
      </c>
      <c r="CK13" s="1">
        <f t="shared" si="28"/>
        <v>1.7022322700000001</v>
      </c>
      <c r="CL13" s="1">
        <f t="shared" si="28"/>
        <v>2.1800094999999997</v>
      </c>
      <c r="CM13" s="1">
        <f t="shared" si="28"/>
        <v>0.89152303000000011</v>
      </c>
      <c r="CN13" s="1">
        <f t="shared" si="28"/>
        <v>2.22092468</v>
      </c>
      <c r="CO13" s="1">
        <f t="shared" si="28"/>
        <v>5.6369490100000004</v>
      </c>
      <c r="CP13" s="1">
        <f t="shared" si="28"/>
        <v>11.964288460000001</v>
      </c>
      <c r="CQ13" s="1">
        <f t="shared" si="28"/>
        <v>14.874595200000002</v>
      </c>
      <c r="CR13" s="1">
        <f t="shared" si="28"/>
        <v>12.356255849999998</v>
      </c>
      <c r="CS13" s="1">
        <f t="shared" si="28"/>
        <v>7.66143427</v>
      </c>
      <c r="CT13" s="1">
        <f t="shared" si="28"/>
        <v>3.9700200400000001</v>
      </c>
      <c r="CU13" s="1">
        <f t="shared" si="28"/>
        <v>4.244482989999999</v>
      </c>
      <c r="CV13" s="1">
        <f t="shared" si="28"/>
        <v>3.7692072699999999</v>
      </c>
      <c r="CW13" s="1">
        <f t="shared" si="28"/>
        <v>4.3561451300000007</v>
      </c>
      <c r="CX13" s="1">
        <f t="shared" si="28"/>
        <v>2.35708815</v>
      </c>
      <c r="CY13" s="1">
        <f t="shared" si="29"/>
        <v>2.9990922500000003</v>
      </c>
      <c r="CZ13" s="1">
        <f t="shared" si="29"/>
        <v>4.9654154400000001</v>
      </c>
      <c r="DA13" s="1">
        <f t="shared" si="29"/>
        <v>7.7556872599999993</v>
      </c>
      <c r="DB13" s="1">
        <f t="shared" si="29"/>
        <v>10.641103850000002</v>
      </c>
      <c r="DC13" s="1">
        <f t="shared" si="29"/>
        <v>9.2379974100000002</v>
      </c>
      <c r="DD13" s="1">
        <f t="shared" si="29"/>
        <v>6.8023944899999993</v>
      </c>
      <c r="DE13" s="1">
        <f t="shared" si="29"/>
        <v>2.5188479500000001</v>
      </c>
      <c r="DF13" s="1">
        <f t="shared" si="29"/>
        <v>1.93600679</v>
      </c>
      <c r="DH13" s="1">
        <f t="shared" si="30"/>
        <v>0.25163443000000002</v>
      </c>
      <c r="DI13" s="1">
        <f t="shared" si="30"/>
        <v>1.8307121500000001</v>
      </c>
      <c r="DJ13" s="1">
        <f t="shared" si="30"/>
        <v>4.7138590499999999</v>
      </c>
      <c r="DK13" s="1">
        <f t="shared" si="30"/>
        <v>10.280953719999999</v>
      </c>
      <c r="DL13" s="1">
        <f t="shared" si="30"/>
        <v>10.078043539999999</v>
      </c>
      <c r="DM13" s="1">
        <f t="shared" si="30"/>
        <v>5.0525632100000006</v>
      </c>
      <c r="DN13" s="1">
        <f t="shared" si="30"/>
        <v>1.5134803299999999</v>
      </c>
      <c r="DO13" s="1">
        <f t="shared" si="30"/>
        <v>1.5645213200000003</v>
      </c>
      <c r="DP13" s="1">
        <f t="shared" si="30"/>
        <v>0.17069466</v>
      </c>
      <c r="DQ13" s="1">
        <f t="shared" si="30"/>
        <v>5.8121779999999998E-2</v>
      </c>
      <c r="DR13" s="1">
        <f t="shared" si="30"/>
        <v>0.22874177000000001</v>
      </c>
      <c r="DS13" s="1">
        <f t="shared" si="30"/>
        <v>6.8422739999999996E-2</v>
      </c>
      <c r="DT13" s="1">
        <f t="shared" si="30"/>
        <v>1.38860757</v>
      </c>
      <c r="DU13" s="1">
        <f t="shared" si="30"/>
        <v>1.9631409899999996</v>
      </c>
      <c r="DV13" s="1">
        <f t="shared" si="30"/>
        <v>1.5225679400000001</v>
      </c>
      <c r="DW13" s="1">
        <f t="shared" si="30"/>
        <v>1.3263511099999998</v>
      </c>
      <c r="DX13" s="1">
        <f t="shared" si="31"/>
        <v>2.5091586699999997</v>
      </c>
      <c r="DY13" s="1">
        <f t="shared" si="31"/>
        <v>1.6528733800000002</v>
      </c>
      <c r="DZ13" s="1">
        <f t="shared" si="31"/>
        <v>0.42388491999999994</v>
      </c>
      <c r="EA13" s="1">
        <f t="shared" si="31"/>
        <v>1.7301791</v>
      </c>
      <c r="EB13" s="1">
        <f t="shared" si="31"/>
        <v>2.0483479400000002</v>
      </c>
      <c r="EC13" s="1">
        <f t="shared" si="31"/>
        <v>0.56045690999999997</v>
      </c>
      <c r="ED13" s="1">
        <f t="shared" si="31"/>
        <v>1.1333685500000001</v>
      </c>
      <c r="EE13" s="1">
        <f t="shared" si="31"/>
        <v>1.93118693</v>
      </c>
      <c r="EG13" s="14">
        <f t="shared" si="32"/>
        <v>0</v>
      </c>
      <c r="EH13" s="14">
        <f t="shared" si="32"/>
        <v>0</v>
      </c>
      <c r="EI13" s="1">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3"/>
        <v>0</v>
      </c>
      <c r="EX13" s="1">
        <f t="shared" si="33"/>
        <v>0</v>
      </c>
      <c r="EY13" s="1">
        <f t="shared" si="33"/>
        <v>0</v>
      </c>
      <c r="EZ13" s="1">
        <f t="shared" si="33"/>
        <v>0</v>
      </c>
      <c r="FA13" s="1">
        <f t="shared" si="33"/>
        <v>0</v>
      </c>
      <c r="FB13" s="1">
        <f t="shared" si="33"/>
        <v>0</v>
      </c>
      <c r="FC13" s="1">
        <f t="shared" si="33"/>
        <v>0</v>
      </c>
      <c r="FD13" s="1">
        <f t="shared" si="33"/>
        <v>0</v>
      </c>
      <c r="FF13" s="162">
        <f t="shared" si="34"/>
        <v>0.78627978735805537</v>
      </c>
    </row>
    <row r="14" spans="1:162" ht="18.75" customHeight="1">
      <c r="A14" s="243" t="s">
        <v>65</v>
      </c>
      <c r="B14" s="246"/>
      <c r="C14" s="156">
        <f t="shared" si="5"/>
        <v>-0.33</v>
      </c>
      <c r="D14" s="198">
        <v>1</v>
      </c>
      <c r="E14" s="248">
        <f t="shared" si="6"/>
        <v>3.1155481772906501E-3</v>
      </c>
      <c r="F14" s="249">
        <f t="shared" si="7"/>
        <v>-2.39287960040373E-2</v>
      </c>
      <c r="G14" s="248">
        <f t="shared" si="8"/>
        <v>3.8720637611042719E-3</v>
      </c>
      <c r="H14" s="249">
        <f t="shared" si="9"/>
        <v>-7.5651558381362172E-4</v>
      </c>
      <c r="I14" s="248">
        <f t="shared" si="10"/>
        <v>1.2778208107410278</v>
      </c>
      <c r="J14" s="249">
        <f t="shared" si="11"/>
        <v>0.1001866588259408</v>
      </c>
      <c r="K14" s="248">
        <f t="shared" si="12"/>
        <v>0.39344093422105186</v>
      </c>
      <c r="L14" s="249">
        <f t="shared" si="13"/>
        <v>0.88437987651997596</v>
      </c>
      <c r="M14" s="250"/>
      <c r="N14" s="24">
        <v>-1</v>
      </c>
      <c r="O14" s="248">
        <f t="shared" si="35"/>
        <v>0</v>
      </c>
      <c r="P14" s="251">
        <f t="shared" si="36"/>
        <v>0</v>
      </c>
      <c r="Q14" s="248">
        <f t="shared" si="14"/>
        <v>-7.7726904754222503E-2</v>
      </c>
      <c r="R14" s="251">
        <f t="shared" si="37"/>
        <v>-7.7726904754222503E-2</v>
      </c>
      <c r="S14" s="250"/>
      <c r="T14" s="24">
        <v>-1</v>
      </c>
      <c r="U14" s="248">
        <f t="shared" si="15"/>
        <v>3.9962745477094774E-2</v>
      </c>
      <c r="V14" s="252">
        <f t="shared" si="16"/>
        <v>3.9962745477094774E-2</v>
      </c>
      <c r="W14" s="248">
        <f t="shared" si="38"/>
        <v>-0.2671559233364541</v>
      </c>
      <c r="X14" s="252">
        <f t="shared" si="17"/>
        <v>-0.2671559233364541</v>
      </c>
      <c r="Y14" s="248">
        <f t="shared" si="18"/>
        <v>-0.13160569105691056</v>
      </c>
      <c r="Z14" s="252">
        <f t="shared" si="19"/>
        <v>-0.13160569105691056</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
        <f>VLOOKUP($A14,historia!$A$5:$CM$24,+HLOOKUP(AO$2,historia!$A$3:$EC$4,2,FALSE),FALSE)</f>
        <v>5</v>
      </c>
      <c r="AP14" s="28">
        <f>VLOOKUP($A14,historia!$A$5:$CM$24,+HLOOKUP(AP$2,historia!$A$3:$EC$4,2,FALSE),FALSE)</f>
        <v>4</v>
      </c>
      <c r="AQ14" s="28">
        <f>VLOOKUP($A14,historia!$A$5:$CM$24,+HLOOKUP(AQ$2,historia!$A$3:$EC$4,2,FALSE),FALSE)</f>
        <v>4</v>
      </c>
      <c r="AR14" s="28">
        <f>VLOOKUP($A14,historia!$A$5:$CM$24,+HLOOKUP(AR$2,historia!$A$3:$EC$4,2,FALSE),FALSE)</f>
        <v>4</v>
      </c>
      <c r="AS14" s="58">
        <f>VLOOKUP($A14,historia!$A$5:$CM$24,+HLOOKUP(AS$2,historia!$A$3:$EC$4,2,FALSE),FALSE)</f>
        <v>4</v>
      </c>
      <c r="AT14" s="58">
        <f>VLOOKUP($A14,historia!$A$5:$CM$24,+HLOOKUP(AT$2,historia!$A$3:$EC$4,2,FALSE),FALSE)</f>
        <v>4</v>
      </c>
      <c r="AU14" s="58">
        <f>VLOOKUP($A14,historia!$A$5:$CM$24,+HLOOKUP(AU$2,historia!$A$3:$EC$4,2,FALSE),FALSE)</f>
        <v>4</v>
      </c>
      <c r="AV14" s="58">
        <v>4</v>
      </c>
      <c r="AW14" s="58">
        <v>4</v>
      </c>
      <c r="AX14" s="58">
        <v>3</v>
      </c>
      <c r="AY14" s="58">
        <v>3</v>
      </c>
      <c r="AZ14" s="58">
        <v>3</v>
      </c>
      <c r="BA14" s="30"/>
      <c r="BB14" s="141">
        <v>4</v>
      </c>
      <c r="BC14" t="str">
        <f t="shared" si="20"/>
        <v>Leche</v>
      </c>
      <c r="BD14">
        <f>+datos!BN1</f>
        <v>66</v>
      </c>
      <c r="BE14" s="2" t="str">
        <f t="shared" si="4"/>
        <v>$/l</v>
      </c>
      <c r="BF14" s="2">
        <f t="shared" si="4"/>
        <v>441.1</v>
      </c>
      <c r="BG14" s="2">
        <f t="shared" si="4"/>
        <v>439.73</v>
      </c>
      <c r="BH14" s="2">
        <f t="shared" si="4"/>
        <v>193.65</v>
      </c>
      <c r="BJ14">
        <f>+datos!DC1</f>
        <v>107</v>
      </c>
      <c r="BK14" s="2">
        <f t="shared" si="21"/>
        <v>9368.2317911363207</v>
      </c>
      <c r="BL14" s="2">
        <f t="shared" si="21"/>
        <v>9332.0973153066225</v>
      </c>
      <c r="BM14" s="2">
        <f t="shared" si="21"/>
        <v>6723.0921390817766</v>
      </c>
      <c r="BO14" s="1">
        <f>+datos!EN1</f>
        <v>144</v>
      </c>
      <c r="BP14" s="1">
        <f t="shared" si="22"/>
        <v>3169981</v>
      </c>
      <c r="BQ14" s="1">
        <f t="shared" si="22"/>
        <v>3169981</v>
      </c>
      <c r="BS14" s="1">
        <f>+datos!HP1</f>
        <v>224</v>
      </c>
      <c r="BT14" s="1">
        <f t="shared" si="23"/>
        <v>10440.761656900922</v>
      </c>
      <c r="BU14" s="1">
        <f t="shared" si="23"/>
        <v>11320.683332000001</v>
      </c>
      <c r="BW14" s="1">
        <f>+datos!KH1</f>
        <v>294</v>
      </c>
      <c r="BX14" s="1">
        <f t="shared" si="39"/>
        <v>1609.9917035999999</v>
      </c>
      <c r="BY14" s="1">
        <f t="shared" si="40"/>
        <v>1548.1244021499999</v>
      </c>
      <c r="CA14" s="1">
        <f>+datos!LM1</f>
        <v>325</v>
      </c>
      <c r="CB14" s="2">
        <f t="shared" si="24"/>
        <v>19.07169566</v>
      </c>
      <c r="CC14" s="2">
        <f t="shared" si="25"/>
        <v>26.024220249999996</v>
      </c>
      <c r="CE14" s="1">
        <f>+datos!IN1</f>
        <v>248</v>
      </c>
      <c r="CF14" s="1">
        <f t="shared" si="26"/>
        <v>170.9</v>
      </c>
      <c r="CG14" s="1">
        <f t="shared" si="27"/>
        <v>196.8</v>
      </c>
      <c r="CI14" s="1">
        <f t="shared" si="28"/>
        <v>150.81206259999999</v>
      </c>
      <c r="CJ14" s="1">
        <f t="shared" si="28"/>
        <v>173.78517034999999</v>
      </c>
      <c r="CK14" s="1">
        <f t="shared" si="28"/>
        <v>162.27196751000002</v>
      </c>
      <c r="CL14" s="1">
        <f t="shared" si="28"/>
        <v>136.36151781000004</v>
      </c>
      <c r="CM14" s="1">
        <f t="shared" si="28"/>
        <v>114.33182424</v>
      </c>
      <c r="CN14" s="1">
        <f t="shared" si="28"/>
        <v>131.64359017999999</v>
      </c>
      <c r="CO14" s="1">
        <f t="shared" si="28"/>
        <v>102.41564730000002</v>
      </c>
      <c r="CP14" s="1">
        <f t="shared" si="28"/>
        <v>113.57779348999999</v>
      </c>
      <c r="CQ14" s="1">
        <f t="shared" si="28"/>
        <v>118.3786056</v>
      </c>
      <c r="CR14" s="1">
        <f t="shared" si="28"/>
        <v>126.46519539000002</v>
      </c>
      <c r="CS14" s="1">
        <f t="shared" si="28"/>
        <v>140.50614890000003</v>
      </c>
      <c r="CT14" s="1">
        <f t="shared" si="28"/>
        <v>139.44218023000002</v>
      </c>
      <c r="CU14" s="1">
        <f t="shared" si="28"/>
        <v>153.04661877999999</v>
      </c>
      <c r="CV14" s="1">
        <f t="shared" si="28"/>
        <v>136.81239812999999</v>
      </c>
      <c r="CW14" s="1">
        <f t="shared" si="28"/>
        <v>134.16752365000002</v>
      </c>
      <c r="CX14" s="1">
        <f t="shared" si="28"/>
        <v>114.82793965999997</v>
      </c>
      <c r="CY14" s="1">
        <f t="shared" si="29"/>
        <v>120.47507141999999</v>
      </c>
      <c r="CZ14" s="1">
        <f t="shared" si="29"/>
        <v>118.84770241</v>
      </c>
      <c r="DA14" s="1">
        <f t="shared" si="29"/>
        <v>100.85116919999999</v>
      </c>
      <c r="DB14" s="1">
        <f t="shared" si="29"/>
        <v>116.29617616</v>
      </c>
      <c r="DC14" s="1">
        <f t="shared" si="29"/>
        <v>115.47027065</v>
      </c>
      <c r="DD14" s="1">
        <f t="shared" si="29"/>
        <v>138.26089648999999</v>
      </c>
      <c r="DE14" s="1">
        <f t="shared" si="29"/>
        <v>163.45053632000003</v>
      </c>
      <c r="DF14" s="1">
        <f t="shared" si="29"/>
        <v>135.61809928</v>
      </c>
      <c r="DH14" s="1">
        <f t="shared" si="30"/>
        <v>1.6254967600000001</v>
      </c>
      <c r="DI14" s="1">
        <f t="shared" si="30"/>
        <v>2.6289957100000003</v>
      </c>
      <c r="DJ14" s="1">
        <f t="shared" si="30"/>
        <v>0.92402921999999987</v>
      </c>
      <c r="DK14" s="1">
        <f t="shared" si="30"/>
        <v>1.0080099199999999</v>
      </c>
      <c r="DL14" s="1">
        <f t="shared" si="30"/>
        <v>0.81005326000000022</v>
      </c>
      <c r="DM14" s="1">
        <f t="shared" si="30"/>
        <v>2.5429137699999997</v>
      </c>
      <c r="DN14" s="1">
        <f t="shared" si="30"/>
        <v>0.83472519000000012</v>
      </c>
      <c r="DO14" s="1">
        <f t="shared" si="30"/>
        <v>1.6658761100000001</v>
      </c>
      <c r="DP14" s="1">
        <f t="shared" si="30"/>
        <v>1.6724867599999997</v>
      </c>
      <c r="DQ14" s="1">
        <f t="shared" si="30"/>
        <v>1.92660527</v>
      </c>
      <c r="DR14" s="1">
        <f t="shared" si="30"/>
        <v>0.38991597</v>
      </c>
      <c r="DS14" s="1">
        <f t="shared" si="30"/>
        <v>3.0425877200000002</v>
      </c>
      <c r="DT14" s="1">
        <f t="shared" si="30"/>
        <v>1.8227840799999999</v>
      </c>
      <c r="DU14" s="1">
        <f t="shared" si="30"/>
        <v>2.1288867499999999</v>
      </c>
      <c r="DV14" s="1">
        <f t="shared" si="30"/>
        <v>2.0947676</v>
      </c>
      <c r="DW14" s="1">
        <f t="shared" si="30"/>
        <v>1.2699740900000001</v>
      </c>
      <c r="DX14" s="1">
        <f t="shared" si="31"/>
        <v>1.3202370399999999</v>
      </c>
      <c r="DY14" s="1">
        <f t="shared" si="31"/>
        <v>2.29115132</v>
      </c>
      <c r="DZ14" s="1">
        <f t="shared" si="31"/>
        <v>1.8108909100000001</v>
      </c>
      <c r="EA14" s="1">
        <f t="shared" si="31"/>
        <v>3.0093188999999998</v>
      </c>
      <c r="EB14" s="1">
        <f t="shared" si="31"/>
        <v>2.2926081099999998</v>
      </c>
      <c r="EC14" s="1">
        <f t="shared" si="31"/>
        <v>3.2446467999999999</v>
      </c>
      <c r="ED14" s="1">
        <f t="shared" si="31"/>
        <v>2.3068511200000001</v>
      </c>
      <c r="EE14" s="1">
        <f t="shared" si="31"/>
        <v>2.4321035299999991</v>
      </c>
      <c r="EG14" s="14">
        <f t="shared" si="32"/>
        <v>170.9</v>
      </c>
      <c r="EH14" s="14">
        <f t="shared" si="32"/>
        <v>168.7</v>
      </c>
      <c r="EI14" s="1">
        <f t="shared" si="32"/>
        <v>160.6</v>
      </c>
      <c r="EJ14" s="1">
        <f t="shared" si="32"/>
        <v>160.6</v>
      </c>
      <c r="EK14" s="1">
        <f t="shared" si="32"/>
        <v>160.6</v>
      </c>
      <c r="EL14" s="1">
        <f t="shared" si="32"/>
        <v>160.6</v>
      </c>
      <c r="EM14" s="1">
        <f t="shared" si="32"/>
        <v>156.30000000000001</v>
      </c>
      <c r="EN14" s="1">
        <f t="shared" si="32"/>
        <v>155.80000000000001</v>
      </c>
      <c r="EO14" s="1">
        <f t="shared" si="32"/>
        <v>159.5</v>
      </c>
      <c r="EP14" s="1">
        <f t="shared" si="32"/>
        <v>170.8</v>
      </c>
      <c r="EQ14" s="1">
        <f t="shared" si="32"/>
        <v>170.8</v>
      </c>
      <c r="ER14" s="1">
        <f t="shared" si="32"/>
        <v>187.7</v>
      </c>
      <c r="ES14" s="1">
        <f t="shared" si="32"/>
        <v>196.8</v>
      </c>
      <c r="ET14" s="1">
        <f t="shared" si="32"/>
        <v>196.8</v>
      </c>
      <c r="EU14" s="1">
        <f t="shared" si="32"/>
        <v>188.6</v>
      </c>
      <c r="EV14" s="1">
        <f t="shared" si="32"/>
        <v>188.6</v>
      </c>
      <c r="EW14" s="1">
        <f t="shared" si="33"/>
        <v>188.6</v>
      </c>
      <c r="EX14" s="1">
        <f t="shared" si="33"/>
        <v>188.6</v>
      </c>
      <c r="EY14" s="1">
        <f t="shared" si="33"/>
        <v>188.6</v>
      </c>
      <c r="EZ14" s="1">
        <f t="shared" si="33"/>
        <v>188.6</v>
      </c>
      <c r="FA14" s="1">
        <f t="shared" si="33"/>
        <v>188.6</v>
      </c>
      <c r="FB14" s="1">
        <f t="shared" si="33"/>
        <v>188.6</v>
      </c>
      <c r="FC14" s="1">
        <f t="shared" si="33"/>
        <v>188.6</v>
      </c>
      <c r="FD14" s="1">
        <f t="shared" si="33"/>
        <v>188.6</v>
      </c>
      <c r="FF14" s="162">
        <f t="shared" si="34"/>
        <v>0.88437987651997596</v>
      </c>
    </row>
    <row r="15" spans="1:162" ht="18.75" customHeight="1">
      <c r="A15" s="244" t="s">
        <v>68</v>
      </c>
      <c r="B15" s="247"/>
      <c r="C15" s="228">
        <v>0</v>
      </c>
      <c r="D15" s="229">
        <v>-1</v>
      </c>
      <c r="E15" s="253">
        <f t="shared" si="6"/>
        <v>1.1664295874822095E-2</v>
      </c>
      <c r="F15" s="254">
        <f t="shared" si="7"/>
        <v>-1.5380048306505856E-2</v>
      </c>
      <c r="G15" s="253">
        <f t="shared" si="8"/>
        <v>2.2113339065515936E-2</v>
      </c>
      <c r="H15" s="254">
        <f t="shared" si="9"/>
        <v>-1.0449043190693841E-2</v>
      </c>
      <c r="I15" s="253">
        <f t="shared" si="10"/>
        <v>-1.6844469399213136E-3</v>
      </c>
      <c r="J15" s="254">
        <f t="shared" si="11"/>
        <v>-1.1793185988550083</v>
      </c>
      <c r="K15" s="253">
        <f t="shared" si="12"/>
        <v>0.58282836359672485</v>
      </c>
      <c r="L15" s="254">
        <f t="shared" si="13"/>
        <v>-0.58451281053664617</v>
      </c>
      <c r="M15" s="255"/>
      <c r="N15" s="256">
        <v>0</v>
      </c>
      <c r="O15" s="253">
        <f t="shared" si="35"/>
        <v>-8.022582082899965E-3</v>
      </c>
      <c r="P15" s="257">
        <f t="shared" si="36"/>
        <v>-8.022582082899965E-3</v>
      </c>
      <c r="Q15" s="253">
        <f t="shared" si="14"/>
        <v>-3.262739139568871E-3</v>
      </c>
      <c r="R15" s="257">
        <f t="shared" si="37"/>
        <v>-3.262739139568871E-3</v>
      </c>
      <c r="S15" s="255"/>
      <c r="T15" s="256">
        <v>-1</v>
      </c>
      <c r="U15" s="253" t="str">
        <f t="shared" si="15"/>
        <v/>
      </c>
      <c r="V15" s="258" t="str">
        <f t="shared" si="16"/>
        <v/>
      </c>
      <c r="W15" s="253">
        <f t="shared" si="38"/>
        <v>-0.82996826239804733</v>
      </c>
      <c r="X15" s="258">
        <f t="shared" si="17"/>
        <v>-0.82996826239804733</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
        <f>VLOOKUP($A15,historia!$A$5:$CM$24,+HLOOKUP(AO$2,historia!$A$3:$EC$4,2,FALSE),FALSE)</f>
        <v>4</v>
      </c>
      <c r="AP15" s="28">
        <f>VLOOKUP($A15,historia!$A$5:$CM$24,+HLOOKUP(AP$2,historia!$A$3:$EC$4,2,FALSE),FALSE)</f>
        <v>3</v>
      </c>
      <c r="AQ15" s="28">
        <f>VLOOKUP($A15,historia!$A$5:$CM$24,+HLOOKUP(AQ$2,historia!$A$3:$EC$4,2,FALSE),FALSE)</f>
        <v>3</v>
      </c>
      <c r="AR15" s="28">
        <f>VLOOKUP($A15,historia!$A$5:$CM$24,+HLOOKUP(AR$2,historia!$A$3:$EC$4,2,FALSE),FALSE)</f>
        <v>3</v>
      </c>
      <c r="AS15" s="58">
        <f>VLOOKUP($A15,historia!$A$5:$CM$24,+HLOOKUP(AS$2,historia!$A$3:$EC$4,2,FALSE),FALSE)</f>
        <v>4</v>
      </c>
      <c r="AT15" s="58">
        <f>VLOOKUP($A15,historia!$A$5:$CM$24,+HLOOKUP(AT$2,historia!$A$3:$EC$4,2,FALSE),FALSE)</f>
        <v>4</v>
      </c>
      <c r="AU15" s="58">
        <f>VLOOKUP($A15,historia!$A$5:$CM$24,+HLOOKUP(AU$2,historia!$A$3:$EC$4,2,FALSE),FALSE)</f>
        <v>5</v>
      </c>
      <c r="AV15" s="58">
        <v>4</v>
      </c>
      <c r="AW15" s="58">
        <v>4</v>
      </c>
      <c r="AX15" s="58">
        <v>3</v>
      </c>
      <c r="AY15" s="58">
        <v>4</v>
      </c>
      <c r="AZ15" s="58">
        <v>4</v>
      </c>
      <c r="BA15" s="30"/>
      <c r="BB15" s="141">
        <v>5</v>
      </c>
      <c r="BC15" t="str">
        <f t="shared" si="20"/>
        <v>Mandioca</v>
      </c>
      <c r="BD15">
        <f>+datos!AW1</f>
        <v>49</v>
      </c>
      <c r="BE15" s="2" t="str">
        <f t="shared" si="4"/>
        <v>$/bolsa40kg</v>
      </c>
      <c r="BF15" s="2">
        <f t="shared" si="4"/>
        <v>9357.894736842105</v>
      </c>
      <c r="BG15" s="2">
        <f t="shared" si="4"/>
        <v>9250</v>
      </c>
      <c r="BH15" s="2">
        <f t="shared" si="4"/>
        <v>9373.6842105263149</v>
      </c>
      <c r="BJ15">
        <f>+datos!CJ1</f>
        <v>88</v>
      </c>
      <c r="BK15" s="2">
        <f t="shared" si="21"/>
        <v>8427.7054750736133</v>
      </c>
      <c r="BL15" s="2">
        <f t="shared" si="21"/>
        <v>8245.3727516938416</v>
      </c>
      <c r="BM15" s="2">
        <f t="shared" si="21"/>
        <v>5324.4594732450951</v>
      </c>
      <c r="BO15" s="1">
        <f>+datos!EY1</f>
        <v>155</v>
      </c>
      <c r="BP15" s="1">
        <f t="shared" si="22"/>
        <v>20031</v>
      </c>
      <c r="BQ15" s="1">
        <f t="shared" si="22"/>
        <v>20193</v>
      </c>
      <c r="BS15" s="1">
        <f>+datos!GO1</f>
        <v>197</v>
      </c>
      <c r="BT15" s="1">
        <f t="shared" si="23"/>
        <v>201734</v>
      </c>
      <c r="BU15" s="1">
        <f t="shared" si="23"/>
        <v>202394.36</v>
      </c>
      <c r="BW15" s="1">
        <f>+datos!JP1</f>
        <v>276</v>
      </c>
      <c r="BX15" s="1">
        <f t="shared" si="39"/>
        <v>0</v>
      </c>
      <c r="BY15" s="1">
        <f t="shared" si="40"/>
        <v>0</v>
      </c>
      <c r="CA15" s="1">
        <f>+datos!KU1</f>
        <v>307</v>
      </c>
      <c r="CB15" s="2">
        <f t="shared" si="24"/>
        <v>1.5773328200000003</v>
      </c>
      <c r="CC15" s="2">
        <f t="shared" si="25"/>
        <v>9.276696470000001</v>
      </c>
      <c r="CE15" s="1">
        <f>+datos!IY1</f>
        <v>259</v>
      </c>
      <c r="CF15" s="1">
        <f t="shared" si="26"/>
        <v>1.88</v>
      </c>
      <c r="CG15" s="1">
        <f t="shared" si="27"/>
        <v>1.88</v>
      </c>
      <c r="CI15" s="1">
        <f t="shared" si="28"/>
        <v>0</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9"/>
        <v>0</v>
      </c>
      <c r="CZ15" s="1">
        <f t="shared" si="29"/>
        <v>0</v>
      </c>
      <c r="DA15" s="1">
        <f t="shared" si="29"/>
        <v>0</v>
      </c>
      <c r="DB15" s="1">
        <f t="shared" si="29"/>
        <v>0</v>
      </c>
      <c r="DC15" s="1">
        <f t="shared" si="29"/>
        <v>0</v>
      </c>
      <c r="DD15" s="1">
        <f t="shared" si="29"/>
        <v>0</v>
      </c>
      <c r="DE15" s="1">
        <f t="shared" si="29"/>
        <v>0</v>
      </c>
      <c r="DF15" s="1">
        <f t="shared" si="29"/>
        <v>0</v>
      </c>
      <c r="DH15" s="14">
        <f t="shared" si="30"/>
        <v>7.4560410000000008E-2</v>
      </c>
      <c r="DI15" s="14">
        <f t="shared" si="30"/>
        <v>0.28059129999999999</v>
      </c>
      <c r="DJ15" s="1">
        <f t="shared" si="30"/>
        <v>0.15169276000000001</v>
      </c>
      <c r="DK15" s="1">
        <f t="shared" si="30"/>
        <v>0.14711371000000001</v>
      </c>
      <c r="DL15" s="1">
        <f t="shared" si="30"/>
        <v>0.18175015000000003</v>
      </c>
      <c r="DM15" s="1">
        <f t="shared" si="30"/>
        <v>0.15569543999999999</v>
      </c>
      <c r="DN15" s="1">
        <f t="shared" si="30"/>
        <v>0.1712014</v>
      </c>
      <c r="DO15" s="1">
        <f t="shared" si="30"/>
        <v>0.12198517</v>
      </c>
      <c r="DP15" s="1">
        <f t="shared" si="30"/>
        <v>1.6812999999999999E-3</v>
      </c>
      <c r="DQ15" s="1">
        <f t="shared" si="30"/>
        <v>2.8195380000000003E-2</v>
      </c>
      <c r="DR15" s="1">
        <f t="shared" si="30"/>
        <v>4.9277770000000005E-2</v>
      </c>
      <c r="DS15" s="1">
        <f t="shared" si="30"/>
        <v>0.21358802999999996</v>
      </c>
      <c r="DT15" s="1">
        <f t="shared" si="30"/>
        <v>0.24099903000000003</v>
      </c>
      <c r="DU15" s="1">
        <f t="shared" si="30"/>
        <v>0.39667624000000001</v>
      </c>
      <c r="DV15" s="1">
        <f t="shared" si="30"/>
        <v>0.47948613000000001</v>
      </c>
      <c r="DW15" s="1">
        <f t="shared" si="30"/>
        <v>0.13955175</v>
      </c>
      <c r="DX15" s="1">
        <f t="shared" si="31"/>
        <v>0.88368341000000006</v>
      </c>
      <c r="DY15" s="1">
        <f t="shared" si="31"/>
        <v>0.91695114999999994</v>
      </c>
      <c r="DZ15" s="1">
        <f t="shared" si="31"/>
        <v>1.1944894100000001</v>
      </c>
      <c r="EA15" s="1">
        <f t="shared" si="31"/>
        <v>1.11559404</v>
      </c>
      <c r="EB15" s="1">
        <f t="shared" si="31"/>
        <v>1.36422954</v>
      </c>
      <c r="EC15" s="1">
        <f t="shared" si="31"/>
        <v>1.7463627799999999</v>
      </c>
      <c r="ED15" s="1">
        <f t="shared" si="31"/>
        <v>0.68698649000000001</v>
      </c>
      <c r="EE15" s="1">
        <f t="shared" si="31"/>
        <v>0.11168649999999999</v>
      </c>
      <c r="EG15" s="14">
        <f t="shared" si="32"/>
        <v>1.88</v>
      </c>
      <c r="EH15" s="14">
        <f t="shared" si="32"/>
        <v>1.88</v>
      </c>
      <c r="EI15" s="1">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3"/>
        <v>1.88</v>
      </c>
      <c r="EX15" s="1">
        <f t="shared" si="33"/>
        <v>1.88</v>
      </c>
      <c r="EY15" s="1">
        <f t="shared" si="33"/>
        <v>1.88</v>
      </c>
      <c r="EZ15" s="1">
        <f t="shared" si="33"/>
        <v>1.88</v>
      </c>
      <c r="FA15" s="1">
        <f t="shared" si="33"/>
        <v>1.88</v>
      </c>
      <c r="FB15" s="1">
        <f t="shared" si="33"/>
        <v>1.88</v>
      </c>
      <c r="FC15" s="1">
        <f t="shared" si="33"/>
        <v>1.88</v>
      </c>
      <c r="FD15" s="1">
        <f t="shared" si="33"/>
        <v>1.88</v>
      </c>
      <c r="FF15" s="162">
        <f t="shared" si="34"/>
        <v>-0.58451281053664617</v>
      </c>
    </row>
    <row r="16" spans="1:162" ht="18.75" customHeight="1">
      <c r="A16" s="243" t="s">
        <v>25</v>
      </c>
      <c r="B16" s="246"/>
      <c r="C16" s="156">
        <f t="shared" si="5"/>
        <v>-0.66</v>
      </c>
      <c r="D16" s="198">
        <v>-1</v>
      </c>
      <c r="E16" s="248">
        <f t="shared" si="6"/>
        <v>5.7781666443839086E-3</v>
      </c>
      <c r="F16" s="249">
        <f t="shared" si="7"/>
        <v>-2.1266177536944042E-2</v>
      </c>
      <c r="G16" s="248">
        <f t="shared" si="8"/>
        <v>-4.6546895233813279E-3</v>
      </c>
      <c r="H16" s="249">
        <f t="shared" si="9"/>
        <v>1.0432856167765236E-2</v>
      </c>
      <c r="I16" s="248">
        <f t="shared" si="10"/>
        <v>1.0498327174730337</v>
      </c>
      <c r="J16" s="249">
        <f t="shared" si="11"/>
        <v>-0.12780143444205327</v>
      </c>
      <c r="K16" s="248">
        <f t="shared" si="12"/>
        <v>0.4497652828366292</v>
      </c>
      <c r="L16" s="249">
        <f t="shared" si="13"/>
        <v>0.60006743463640455</v>
      </c>
      <c r="M16" s="250"/>
      <c r="N16" s="24">
        <v>1</v>
      </c>
      <c r="O16" s="248">
        <f t="shared" si="35"/>
        <v>0.25148262863454107</v>
      </c>
      <c r="P16" s="251">
        <f t="shared" si="36"/>
        <v>0.25148262863454107</v>
      </c>
      <c r="Q16" s="248">
        <f t="shared" si="14"/>
        <v>0.70637774795677699</v>
      </c>
      <c r="R16" s="251">
        <f t="shared" si="37"/>
        <v>0.70637774795677699</v>
      </c>
      <c r="S16" s="250"/>
      <c r="T16" s="24">
        <v>-2</v>
      </c>
      <c r="U16" s="248">
        <f t="shared" si="15"/>
        <v>9.9365502482048784E-2</v>
      </c>
      <c r="V16" s="252">
        <f t="shared" si="16"/>
        <v>9.9365502482048784E-2</v>
      </c>
      <c r="W16" s="248"/>
      <c r="X16" s="252"/>
      <c r="Y16" s="248">
        <f t="shared" si="18"/>
        <v>8.4415584415584499E-2</v>
      </c>
      <c r="Z16" s="252">
        <f t="shared" si="19"/>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
        <f>VLOOKUP($A16,historia!$A$5:$CM$24,+HLOOKUP(AO$2,historia!$A$3:$EC$4,2,FALSE),FALSE)</f>
        <v>2</v>
      </c>
      <c r="AP16" s="28">
        <f>VLOOKUP($A16,historia!$A$5:$CM$24,+HLOOKUP(AP$2,historia!$A$3:$EC$4,2,FALSE),FALSE)</f>
        <v>2</v>
      </c>
      <c r="AQ16" s="28">
        <f>VLOOKUP($A16,historia!$A$5:$CM$24,+HLOOKUP(AQ$2,historia!$A$3:$EC$4,2,FALSE),FALSE)</f>
        <v>2</v>
      </c>
      <c r="AR16" s="28">
        <f>VLOOKUP($A16,historia!$A$5:$CM$24,+HLOOKUP(AR$2,historia!$A$3:$EC$4,2,FALSE),FALSE)</f>
        <v>2</v>
      </c>
      <c r="AS16" s="58">
        <f>VLOOKUP($A16,historia!$A$5:$CM$24,+HLOOKUP(AS$2,historia!$A$3:$EC$4,2,FALSE),FALSE)</f>
        <v>3</v>
      </c>
      <c r="AT16" s="58">
        <f>VLOOKUP($A16,historia!$A$5:$CM$24,+HLOOKUP(AT$2,historia!$A$3:$EC$4,2,FALSE),FALSE)</f>
        <v>3</v>
      </c>
      <c r="AU16" s="58">
        <f>VLOOKUP($A16,historia!$A$5:$CM$24,+HLOOKUP(AU$2,historia!$A$3:$EC$4,2,FALSE),FALSE)</f>
        <v>4</v>
      </c>
      <c r="AV16" s="58">
        <v>4</v>
      </c>
      <c r="AW16" s="58">
        <v>4</v>
      </c>
      <c r="AX16" s="58">
        <v>4</v>
      </c>
      <c r="AY16" s="58">
        <v>3</v>
      </c>
      <c r="AZ16" s="58">
        <v>2</v>
      </c>
      <c r="BA16" s="30"/>
      <c r="BB16" s="141">
        <v>4</v>
      </c>
      <c r="BC16" t="str">
        <f t="shared" si="20"/>
        <v>Maní</v>
      </c>
      <c r="BD16">
        <f>+datos!AF1</f>
        <v>32</v>
      </c>
      <c r="BE16" s="2" t="str">
        <f t="shared" si="4"/>
        <v>$/t</v>
      </c>
      <c r="BF16" s="2">
        <f t="shared" si="4"/>
        <v>891457.9</v>
      </c>
      <c r="BG16" s="2">
        <f t="shared" si="4"/>
        <v>886336.5</v>
      </c>
      <c r="BH16" s="2">
        <f t="shared" si="4"/>
        <v>434893</v>
      </c>
      <c r="BJ16">
        <f>+datos!CH1</f>
        <v>86</v>
      </c>
      <c r="BK16" s="2">
        <f t="shared" si="21"/>
        <v>10628.872719150137</v>
      </c>
      <c r="BL16" s="2">
        <f t="shared" si="21"/>
        <v>10678.578185153177</v>
      </c>
      <c r="BM16" s="2">
        <f t="shared" si="21"/>
        <v>7331.4438171353841</v>
      </c>
      <c r="BO16" s="1">
        <f>+datos!EB1</f>
        <v>132</v>
      </c>
      <c r="BP16" s="1">
        <f t="shared" si="22"/>
        <v>521230</v>
      </c>
      <c r="BQ16" s="1">
        <f t="shared" si="22"/>
        <v>416490</v>
      </c>
      <c r="BS16" s="1">
        <f>+datos!FW1</f>
        <v>179</v>
      </c>
      <c r="BT16" s="1">
        <f t="shared" si="23"/>
        <v>1604722</v>
      </c>
      <c r="BU16" s="1">
        <f t="shared" si="23"/>
        <v>940426</v>
      </c>
      <c r="BW16" s="1">
        <f>+datos!JK1</f>
        <v>271</v>
      </c>
      <c r="BX16" s="1">
        <f t="shared" si="39"/>
        <v>1376.6988931199994</v>
      </c>
      <c r="BY16" s="1">
        <f t="shared" si="40"/>
        <v>1252.26677571</v>
      </c>
      <c r="CA16" s="1">
        <f>+datos!KP1</f>
        <v>302</v>
      </c>
      <c r="CB16" s="2">
        <f t="shared" si="24"/>
        <v>2.3988767900000001</v>
      </c>
      <c r="CC16" s="2">
        <f t="shared" si="25"/>
        <v>1.32957605</v>
      </c>
      <c r="CE16" s="1">
        <f>+datos!IJ1</f>
        <v>244</v>
      </c>
      <c r="CF16" s="1">
        <f t="shared" si="26"/>
        <v>2.1563835150032644</v>
      </c>
      <c r="CG16" s="1">
        <f t="shared" si="27"/>
        <v>1.9885213252125911</v>
      </c>
      <c r="CI16" s="1">
        <f t="shared" si="28"/>
        <v>142.99991008000001</v>
      </c>
      <c r="CJ16" s="1">
        <f t="shared" si="28"/>
        <v>153.43391492999999</v>
      </c>
      <c r="CK16" s="1">
        <f t="shared" si="28"/>
        <v>142.09253510999997</v>
      </c>
      <c r="CL16" s="1">
        <f t="shared" si="28"/>
        <v>155.33708399000002</v>
      </c>
      <c r="CM16" s="1">
        <f t="shared" si="28"/>
        <v>156.99934678</v>
      </c>
      <c r="CN16" s="1">
        <f t="shared" si="28"/>
        <v>115.53726275000001</v>
      </c>
      <c r="CO16" s="1">
        <f t="shared" si="28"/>
        <v>98.487414479999984</v>
      </c>
      <c r="CP16" s="1">
        <f t="shared" si="28"/>
        <v>63.473924160000003</v>
      </c>
      <c r="CQ16" s="1">
        <f t="shared" si="28"/>
        <v>65.127016839999982</v>
      </c>
      <c r="CR16" s="1">
        <f t="shared" si="28"/>
        <v>70.784594500000011</v>
      </c>
      <c r="CS16" s="1">
        <f t="shared" si="28"/>
        <v>111.62267066999999</v>
      </c>
      <c r="CT16" s="1">
        <f t="shared" si="28"/>
        <v>100.80321882999999</v>
      </c>
      <c r="CU16" s="1">
        <f t="shared" si="28"/>
        <v>90.064767340000003</v>
      </c>
      <c r="CV16" s="1">
        <f t="shared" si="28"/>
        <v>96.183340330000021</v>
      </c>
      <c r="CW16" s="1">
        <f t="shared" si="28"/>
        <v>89.024842150000026</v>
      </c>
      <c r="CX16" s="1">
        <f t="shared" si="28"/>
        <v>102.74257099999998</v>
      </c>
      <c r="CY16" s="1">
        <f t="shared" si="29"/>
        <v>102.43695814</v>
      </c>
      <c r="CZ16" s="1">
        <f t="shared" si="29"/>
        <v>100.03941109999997</v>
      </c>
      <c r="DA16" s="1">
        <f t="shared" si="29"/>
        <v>89.79279253</v>
      </c>
      <c r="DB16" s="1">
        <f t="shared" si="29"/>
        <v>102.39153366000001</v>
      </c>
      <c r="DC16" s="1">
        <f t="shared" si="29"/>
        <v>98.470728969999996</v>
      </c>
      <c r="DD16" s="1">
        <f t="shared" si="29"/>
        <v>134.53858048999999</v>
      </c>
      <c r="DE16" s="1">
        <f t="shared" si="29"/>
        <v>116.52197384999999</v>
      </c>
      <c r="DF16" s="1">
        <f t="shared" si="29"/>
        <v>130.05927615000002</v>
      </c>
      <c r="DH16" s="1">
        <f t="shared" si="30"/>
        <v>0.22862400000000002</v>
      </c>
      <c r="DI16" s="1">
        <f t="shared" si="30"/>
        <v>2.6527899999999999E-3</v>
      </c>
      <c r="DJ16" s="1">
        <f t="shared" si="30"/>
        <v>1.6271E-3</v>
      </c>
      <c r="DK16" s="1">
        <f t="shared" si="30"/>
        <v>0.13444175</v>
      </c>
      <c r="DL16" s="1">
        <f t="shared" si="30"/>
        <v>4.2737620000000004E-2</v>
      </c>
      <c r="DM16" s="1">
        <f t="shared" si="30"/>
        <v>8.6628999999999998E-2</v>
      </c>
      <c r="DN16" s="1">
        <f t="shared" si="30"/>
        <v>8.4906640000000005E-2</v>
      </c>
      <c r="DO16" s="1">
        <f t="shared" si="30"/>
        <v>8.714181E-2</v>
      </c>
      <c r="DP16" s="1">
        <f t="shared" si="30"/>
        <v>0.111375</v>
      </c>
      <c r="DQ16" s="1">
        <f t="shared" si="30"/>
        <v>0.12514284000000001</v>
      </c>
      <c r="DR16" s="1">
        <f t="shared" si="30"/>
        <v>0.69674917999999986</v>
      </c>
      <c r="DS16" s="1">
        <f t="shared" si="30"/>
        <v>0.79684906</v>
      </c>
      <c r="DT16" s="1">
        <f t="shared" si="30"/>
        <v>0.24194792999999998</v>
      </c>
      <c r="DU16" s="1">
        <f t="shared" si="30"/>
        <v>0.11713932000000001</v>
      </c>
      <c r="DV16" s="1">
        <f t="shared" si="30"/>
        <v>0.45286999999999999</v>
      </c>
      <c r="DW16" s="1">
        <f t="shared" si="30"/>
        <v>5.563009E-2</v>
      </c>
      <c r="DX16" s="1">
        <f t="shared" si="31"/>
        <v>2.7416000000000002E-4</v>
      </c>
      <c r="DY16" s="1">
        <f t="shared" si="31"/>
        <v>0.12031510000000001</v>
      </c>
      <c r="DZ16" s="1">
        <f t="shared" si="31"/>
        <v>0.13456720999999999</v>
      </c>
      <c r="EA16" s="1">
        <f t="shared" si="31"/>
        <v>6.1200000000000002E-4</v>
      </c>
      <c r="EB16" s="1">
        <f t="shared" si="31"/>
        <v>0</v>
      </c>
      <c r="EC16" s="1">
        <f t="shared" si="31"/>
        <v>5.2170000000000003E-3</v>
      </c>
      <c r="ED16" s="1">
        <f t="shared" si="31"/>
        <v>0.10975939999999999</v>
      </c>
      <c r="EE16" s="1">
        <f t="shared" si="31"/>
        <v>9.1243839999999993E-2</v>
      </c>
      <c r="EG16" s="14">
        <f t="shared" si="32"/>
        <v>2.1563835150032644</v>
      </c>
      <c r="EH16" s="14">
        <f t="shared" si="32"/>
        <v>2.1563835150032644</v>
      </c>
      <c r="EI16" s="1">
        <f t="shared" si="32"/>
        <v>2.1563835150032644</v>
      </c>
      <c r="EJ16" s="1">
        <f t="shared" si="32"/>
        <v>2.1563835150032644</v>
      </c>
      <c r="EK16" s="1">
        <f t="shared" si="32"/>
        <v>2.1563835150032644</v>
      </c>
      <c r="EL16" s="1">
        <f t="shared" si="32"/>
        <v>2.1563835150032644</v>
      </c>
      <c r="EM16" s="1">
        <f t="shared" si="32"/>
        <v>2.1563835150032644</v>
      </c>
      <c r="EN16" s="1">
        <f t="shared" si="32"/>
        <v>2.1563835150032644</v>
      </c>
      <c r="EO16" s="1">
        <f t="shared" si="32"/>
        <v>2.1563835150032644</v>
      </c>
      <c r="EP16" s="1">
        <f t="shared" si="32"/>
        <v>1.9885213252125911</v>
      </c>
      <c r="EQ16" s="1">
        <f t="shared" si="32"/>
        <v>1.9885213252125911</v>
      </c>
      <c r="ER16" s="1">
        <f t="shared" si="32"/>
        <v>1.9885213252125911</v>
      </c>
      <c r="ES16" s="1">
        <f t="shared" si="32"/>
        <v>1.9885213252125911</v>
      </c>
      <c r="ET16" s="1">
        <f t="shared" si="32"/>
        <v>1.9885213252125911</v>
      </c>
      <c r="EU16" s="1">
        <f t="shared" si="32"/>
        <v>1.9885213252125911</v>
      </c>
      <c r="EV16" s="1">
        <f t="shared" si="32"/>
        <v>1.9885213252125911</v>
      </c>
      <c r="EW16" s="1">
        <f t="shared" si="33"/>
        <v>1.9885213252125911</v>
      </c>
      <c r="EX16" s="1">
        <f t="shared" si="33"/>
        <v>1.9885213252125911</v>
      </c>
      <c r="EY16" s="1">
        <f t="shared" si="33"/>
        <v>1.9885213252125911</v>
      </c>
      <c r="EZ16" s="1">
        <f t="shared" si="33"/>
        <v>1.9885213252125911</v>
      </c>
      <c r="FA16" s="1">
        <f t="shared" si="33"/>
        <v>1.9885213252125911</v>
      </c>
      <c r="FB16" s="1">
        <f t="shared" si="33"/>
        <v>1.9885213252125911</v>
      </c>
      <c r="FC16" s="1">
        <f t="shared" si="33"/>
        <v>1.9040737312717446</v>
      </c>
      <c r="FD16" s="1">
        <f t="shared" si="33"/>
        <v>1.9040737312717446</v>
      </c>
      <c r="FF16" s="162">
        <f t="shared" si="34"/>
        <v>0.60006743463640455</v>
      </c>
    </row>
    <row r="17" spans="1:162" ht="18.75" customHeight="1">
      <c r="A17" s="244" t="s">
        <v>76</v>
      </c>
      <c r="B17" s="247"/>
      <c r="C17" s="228">
        <f t="shared" si="5"/>
        <v>-0.99</v>
      </c>
      <c r="D17" s="229">
        <v>-1</v>
      </c>
      <c r="E17" s="253">
        <f t="shared" si="6"/>
        <v>2.2522522522523403E-3</v>
      </c>
      <c r="F17" s="254">
        <f t="shared" si="7"/>
        <v>-2.479209192907561E-2</v>
      </c>
      <c r="G17" s="253">
        <f t="shared" si="8"/>
        <v>1.8742011916738077E-2</v>
      </c>
      <c r="H17" s="254">
        <f t="shared" si="9"/>
        <v>-1.6489759664485737E-2</v>
      </c>
      <c r="I17" s="253">
        <f t="shared" si="10"/>
        <v>0.72647914645974776</v>
      </c>
      <c r="J17" s="254">
        <f t="shared" si="11"/>
        <v>-0.45115500545533926</v>
      </c>
      <c r="K17" s="253">
        <f t="shared" si="12"/>
        <v>0.61358036492481571</v>
      </c>
      <c r="L17" s="254">
        <f t="shared" si="13"/>
        <v>0.11289878153493205</v>
      </c>
      <c r="M17" s="255"/>
      <c r="N17" s="256">
        <v>-1</v>
      </c>
      <c r="O17" s="253">
        <f>IFERROR(+BP17/BQ17-1,"")</f>
        <v>0</v>
      </c>
      <c r="P17" s="257">
        <f t="shared" si="36"/>
        <v>0</v>
      </c>
      <c r="Q17" s="253">
        <f t="shared" si="14"/>
        <v>-5.5834866135295314E-2</v>
      </c>
      <c r="R17" s="257">
        <f t="shared" si="37"/>
        <v>-5.5834866135295314E-2</v>
      </c>
      <c r="S17" s="255"/>
      <c r="T17" s="256">
        <v>-1</v>
      </c>
      <c r="U17" s="253">
        <f t="shared" si="15"/>
        <v>1.8007502018227317E-2</v>
      </c>
      <c r="V17" s="258">
        <f t="shared" si="16"/>
        <v>1.8007502018227317E-2</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
        <f>VLOOKUP($A17,historia!$A$5:$CM$24,+HLOOKUP(AO$2,historia!$A$3:$EC$4,2,FALSE),FALSE)</f>
        <v>5</v>
      </c>
      <c r="AP17" s="28">
        <f>VLOOKUP($A17,historia!$A$5:$CM$24,+HLOOKUP(AP$2,historia!$A$3:$EC$4,2,FALSE),FALSE)</f>
        <v>5</v>
      </c>
      <c r="AQ17" s="28">
        <f>VLOOKUP($A17,historia!$A$5:$CM$24,+HLOOKUP(AQ$2,historia!$A$3:$EC$4,2,FALSE),FALSE)</f>
        <v>5</v>
      </c>
      <c r="AR17" s="28">
        <f>VLOOKUP($A17,historia!$A$5:$CM$24,+HLOOKUP(AR$2,historia!$A$3:$EC$4,2,FALSE),FALSE)</f>
        <v>5</v>
      </c>
      <c r="AS17" s="58">
        <f>VLOOKUP($A17,historia!$A$5:$CM$24,+HLOOKUP(AS$2,historia!$A$3:$EC$4,2,FALSE),FALSE)</f>
        <v>5</v>
      </c>
      <c r="AT17" s="58">
        <f>VLOOKUP($A17,historia!$A$5:$CM$24,+HLOOKUP(AT$2,historia!$A$3:$EC$4,2,FALSE),FALSE)</f>
        <v>5</v>
      </c>
      <c r="AU17" s="58">
        <f>VLOOKUP($A17,historia!$A$5:$CM$24,+HLOOKUP(AU$2,historia!$A$3:$EC$4,2,FALSE),FALSE)</f>
        <v>5</v>
      </c>
      <c r="AV17" s="58">
        <v>3</v>
      </c>
      <c r="AW17" s="58">
        <v>3</v>
      </c>
      <c r="AX17" s="58">
        <v>3</v>
      </c>
      <c r="AY17" s="58">
        <v>2</v>
      </c>
      <c r="AZ17" s="58">
        <v>3</v>
      </c>
      <c r="BA17" s="30"/>
      <c r="BB17" s="141">
        <v>5</v>
      </c>
      <c r="BC17" t="str">
        <f t="shared" si="20"/>
        <v>Miel</v>
      </c>
      <c r="BD17">
        <f>+datos!BV1</f>
        <v>74</v>
      </c>
      <c r="BE17" s="2" t="str">
        <f t="shared" si="4"/>
        <v>$/kg</v>
      </c>
      <c r="BF17" s="2">
        <f t="shared" si="4"/>
        <v>1780</v>
      </c>
      <c r="BG17" s="2">
        <f t="shared" si="4"/>
        <v>1776</v>
      </c>
      <c r="BH17" s="2">
        <f t="shared" si="4"/>
        <v>1031</v>
      </c>
      <c r="BJ17">
        <f>+datos!DH1</f>
        <v>112</v>
      </c>
      <c r="BK17" s="2">
        <f t="shared" si="21"/>
        <v>9132.0558970408547</v>
      </c>
      <c r="BL17" s="2">
        <f t="shared" si="21"/>
        <v>8964.0515363248014</v>
      </c>
      <c r="BM17" s="2">
        <f t="shared" si="21"/>
        <v>5659.4986500510377</v>
      </c>
      <c r="BO17" s="1">
        <f>+datos!EQ1</f>
        <v>147</v>
      </c>
      <c r="BP17" s="1">
        <f t="shared" si="22"/>
        <v>3500000</v>
      </c>
      <c r="BQ17" s="1">
        <f t="shared" si="22"/>
        <v>3500000</v>
      </c>
      <c r="BS17" s="1">
        <f>+datos!GP1</f>
        <v>198</v>
      </c>
      <c r="BT17" s="1">
        <f t="shared" si="23"/>
        <v>69297</v>
      </c>
      <c r="BU17" s="1">
        <f t="shared" si="23"/>
        <v>73395</v>
      </c>
      <c r="BW17" s="1">
        <f>+datos!KE1</f>
        <v>291</v>
      </c>
      <c r="BX17" s="1">
        <f t="shared" si="39"/>
        <v>212.63219215000001</v>
      </c>
      <c r="BY17" s="1">
        <f t="shared" si="40"/>
        <v>208.87094812999996</v>
      </c>
      <c r="CA17" s="1">
        <f>+datos!LJ1</f>
        <v>322</v>
      </c>
      <c r="CB17" s="2">
        <f t="shared" si="24"/>
        <v>5.2945940000000004E-2</v>
      </c>
      <c r="CC17" s="2">
        <f>+SUM(DT17:EE17)</f>
        <v>4.7638E-2</v>
      </c>
      <c r="CE17" s="1">
        <f>+datos!IZ1</f>
        <v>260</v>
      </c>
      <c r="CF17" s="1">
        <f t="shared" si="26"/>
        <v>0.3</v>
      </c>
      <c r="CG17" s="1">
        <f t="shared" si="27"/>
        <v>0.3</v>
      </c>
      <c r="CI17" s="1">
        <f t="shared" si="28"/>
        <v>12.184475789999999</v>
      </c>
      <c r="CJ17" s="1">
        <f t="shared" si="28"/>
        <v>14.349162859999998</v>
      </c>
      <c r="CK17" s="1">
        <f t="shared" si="28"/>
        <v>24.378519029999993</v>
      </c>
      <c r="CL17" s="1">
        <f t="shared" si="28"/>
        <v>22.211636389999995</v>
      </c>
      <c r="CM17" s="1">
        <f t="shared" si="28"/>
        <v>18.934177090000006</v>
      </c>
      <c r="CN17" s="1">
        <f t="shared" si="28"/>
        <v>18.049853030000005</v>
      </c>
      <c r="CO17" s="1">
        <f t="shared" si="28"/>
        <v>20.702965450000001</v>
      </c>
      <c r="CP17" s="1">
        <f t="shared" si="28"/>
        <v>19.199801710000003</v>
      </c>
      <c r="CQ17" s="1">
        <f t="shared" si="28"/>
        <v>16.174522229999997</v>
      </c>
      <c r="CR17" s="1">
        <f t="shared" si="28"/>
        <v>22.082734950000003</v>
      </c>
      <c r="CS17" s="1">
        <f t="shared" si="28"/>
        <v>13.392344960000001</v>
      </c>
      <c r="CT17" s="1">
        <f t="shared" si="28"/>
        <v>10.971998660000001</v>
      </c>
      <c r="CU17" s="1">
        <f t="shared" si="28"/>
        <v>12.805239539999999</v>
      </c>
      <c r="CV17" s="1">
        <f t="shared" si="28"/>
        <v>13.943876809999997</v>
      </c>
      <c r="CW17" s="1">
        <f t="shared" si="28"/>
        <v>17.891480939999997</v>
      </c>
      <c r="CX17" s="1">
        <f t="shared" si="28"/>
        <v>16.805607889999997</v>
      </c>
      <c r="CY17" s="1">
        <f t="shared" si="29"/>
        <v>21.325973759999997</v>
      </c>
      <c r="CZ17" s="1">
        <f t="shared" si="29"/>
        <v>17.230385739999999</v>
      </c>
      <c r="DA17" s="1">
        <f t="shared" si="29"/>
        <v>14.837575590000002</v>
      </c>
      <c r="DB17" s="1">
        <f t="shared" si="29"/>
        <v>17.476901599999998</v>
      </c>
      <c r="DC17" s="1">
        <f t="shared" si="29"/>
        <v>23.512884059999998</v>
      </c>
      <c r="DD17" s="1">
        <f t="shared" si="29"/>
        <v>18.814354810000005</v>
      </c>
      <c r="DE17" s="1">
        <f t="shared" si="29"/>
        <v>15.47450873</v>
      </c>
      <c r="DF17" s="1">
        <f t="shared" si="29"/>
        <v>18.752158659999996</v>
      </c>
      <c r="DH17" s="1">
        <f t="shared" si="30"/>
        <v>0</v>
      </c>
      <c r="DI17" s="1">
        <f t="shared" si="30"/>
        <v>0</v>
      </c>
      <c r="DJ17" s="1">
        <f t="shared" si="30"/>
        <v>0</v>
      </c>
      <c r="DK17" s="1">
        <f t="shared" si="30"/>
        <v>4.0664E-4</v>
      </c>
      <c r="DL17" s="1">
        <f t="shared" si="30"/>
        <v>0</v>
      </c>
      <c r="DM17" s="1">
        <f t="shared" si="30"/>
        <v>0</v>
      </c>
      <c r="DN17" s="1">
        <f t="shared" si="30"/>
        <v>0</v>
      </c>
      <c r="DO17" s="1">
        <f t="shared" si="30"/>
        <v>0</v>
      </c>
      <c r="DP17" s="1">
        <f t="shared" si="30"/>
        <v>0</v>
      </c>
      <c r="DQ17" s="1">
        <f t="shared" si="30"/>
        <v>5.2539300000000004E-2</v>
      </c>
      <c r="DR17" s="1">
        <f t="shared" si="30"/>
        <v>0</v>
      </c>
      <c r="DS17" s="1">
        <f t="shared" si="30"/>
        <v>0</v>
      </c>
      <c r="DT17" s="1">
        <f t="shared" si="30"/>
        <v>4.0599999999999997E-2</v>
      </c>
      <c r="DU17" s="1">
        <f t="shared" si="30"/>
        <v>0</v>
      </c>
      <c r="DV17" s="1">
        <f t="shared" si="30"/>
        <v>0</v>
      </c>
      <c r="DW17" s="1">
        <f t="shared" si="30"/>
        <v>0</v>
      </c>
      <c r="DX17" s="1">
        <f t="shared" si="31"/>
        <v>0</v>
      </c>
      <c r="DY17" s="1">
        <f t="shared" si="31"/>
        <v>0</v>
      </c>
      <c r="DZ17" s="1">
        <f t="shared" si="31"/>
        <v>0</v>
      </c>
      <c r="EA17" s="1">
        <f t="shared" si="31"/>
        <v>7.038E-3</v>
      </c>
      <c r="EB17" s="1">
        <f t="shared" si="31"/>
        <v>0</v>
      </c>
      <c r="EC17" s="1">
        <f t="shared" si="31"/>
        <v>0</v>
      </c>
      <c r="ED17" s="1">
        <f t="shared" si="31"/>
        <v>0</v>
      </c>
      <c r="EE17" s="1">
        <f t="shared" si="31"/>
        <v>0</v>
      </c>
      <c r="EG17" s="14">
        <f t="shared" si="32"/>
        <v>0.3</v>
      </c>
      <c r="EH17" s="14">
        <f t="shared" si="32"/>
        <v>0.3</v>
      </c>
      <c r="EI17" s="1">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3"/>
        <v>0.3</v>
      </c>
      <c r="EX17" s="1">
        <f t="shared" si="33"/>
        <v>0.3</v>
      </c>
      <c r="EY17" s="1">
        <f t="shared" si="33"/>
        <v>0.3</v>
      </c>
      <c r="EZ17" s="1">
        <f t="shared" si="33"/>
        <v>0.3</v>
      </c>
      <c r="FA17" s="1">
        <f t="shared" si="33"/>
        <v>0.3</v>
      </c>
      <c r="FB17" s="1">
        <f t="shared" si="33"/>
        <v>0.3</v>
      </c>
      <c r="FC17" s="1">
        <f t="shared" si="33"/>
        <v>0.3</v>
      </c>
      <c r="FD17" s="1">
        <f t="shared" si="33"/>
        <v>0.3</v>
      </c>
      <c r="FF17" s="162">
        <f t="shared" si="34"/>
        <v>0.11289878153493205</v>
      </c>
    </row>
    <row r="18" spans="1:162" ht="18.75" customHeight="1">
      <c r="A18" s="243" t="s">
        <v>222</v>
      </c>
      <c r="B18" s="246"/>
      <c r="C18" s="156">
        <f t="shared" si="5"/>
        <v>-0.33</v>
      </c>
      <c r="D18" s="198">
        <v>1</v>
      </c>
      <c r="E18" s="248">
        <f t="shared" si="6"/>
        <v>0.22600123255379989</v>
      </c>
      <c r="F18" s="249">
        <f t="shared" si="7"/>
        <v>0.19895688837247194</v>
      </c>
      <c r="G18" s="248">
        <f t="shared" si="8"/>
        <v>5.326642528521508E-2</v>
      </c>
      <c r="H18" s="249">
        <f t="shared" si="9"/>
        <v>0.17273480726858481</v>
      </c>
      <c r="I18" s="253">
        <f t="shared" si="10"/>
        <v>0.95795510894456193</v>
      </c>
      <c r="J18" s="254">
        <f t="shared" si="11"/>
        <v>-0.2196790429705251</v>
      </c>
      <c r="K18" s="248">
        <f t="shared" si="12"/>
        <v>0.87292400036818663</v>
      </c>
      <c r="L18" s="249">
        <f t="shared" si="13"/>
        <v>8.5031108576375303E-2</v>
      </c>
      <c r="M18" s="250"/>
      <c r="N18" s="24">
        <v>-1</v>
      </c>
      <c r="O18" s="248">
        <f t="shared" si="35"/>
        <v>-1.6802487914109321E-3</v>
      </c>
      <c r="P18" s="251">
        <f t="shared" si="36"/>
        <v>-1.6802487914109321E-3</v>
      </c>
      <c r="Q18" s="248">
        <f t="shared" si="14"/>
        <v>-3.3679041911188312E-2</v>
      </c>
      <c r="R18" s="251">
        <f t="shared" si="37"/>
        <v>-3.3679041911188312E-2</v>
      </c>
      <c r="S18" s="250"/>
      <c r="T18" s="24">
        <v>-1</v>
      </c>
      <c r="U18" s="248">
        <f t="shared" si="15"/>
        <v>5.2292233001218102E-2</v>
      </c>
      <c r="V18" s="252">
        <f t="shared" si="16"/>
        <v>5.2292233001218102E-2</v>
      </c>
      <c r="W18" s="248">
        <f t="shared" si="38"/>
        <v>-0.27429123123444998</v>
      </c>
      <c r="X18" s="252">
        <f t="shared" si="17"/>
        <v>-0.27429123123444998</v>
      </c>
      <c r="Y18" s="248">
        <f t="shared" si="18"/>
        <v>0</v>
      </c>
      <c r="Z18" s="252">
        <f t="shared" si="19"/>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
        <f>VLOOKUP($A18,historia!$A$5:$CM$24,+HLOOKUP(AO$2,historia!$A$3:$EC$4,2,FALSE),FALSE)</f>
        <v>4</v>
      </c>
      <c r="AP18" s="28">
        <f>VLOOKUP($A18,historia!$A$5:$CM$24,+HLOOKUP(AP$2,historia!$A$3:$EC$4,2,FALSE),FALSE)</f>
        <v>4</v>
      </c>
      <c r="AQ18" s="28">
        <f>VLOOKUP($A18,historia!$A$5:$CM$24,+HLOOKUP(AQ$2,historia!$A$3:$EC$4,2,FALSE),FALSE)</f>
        <v>4</v>
      </c>
      <c r="AR18" s="28">
        <f>VLOOKUP($A18,historia!$A$5:$CM$24,+HLOOKUP(AR$2,historia!$A$3:$EC$4,2,FALSE),FALSE)</f>
        <v>4</v>
      </c>
      <c r="AS18" s="58">
        <f>VLOOKUP($A18,historia!$A$5:$CM$24,+HLOOKUP(AS$2,historia!$A$3:$EC$4,2,FALSE),FALSE)</f>
        <v>5</v>
      </c>
      <c r="AT18" s="58">
        <f>VLOOKUP($A18,historia!$A$5:$CM$24,+HLOOKUP(AT$2,historia!$A$3:$EC$4,2,FALSE),FALSE)</f>
        <v>5</v>
      </c>
      <c r="AU18" s="58">
        <f>VLOOKUP($A18,historia!$A$5:$CM$24,+HLOOKUP(AU$2,historia!$A$3:$EC$4,2,FALSE),FALSE)</f>
        <v>4</v>
      </c>
      <c r="AV18" s="58">
        <v>4</v>
      </c>
      <c r="AW18" s="58">
        <v>4</v>
      </c>
      <c r="AX18" s="58">
        <v>3</v>
      </c>
      <c r="AY18" s="58">
        <v>2</v>
      </c>
      <c r="AZ18" s="58">
        <v>2</v>
      </c>
      <c r="BA18" s="30"/>
      <c r="BB18" s="141">
        <v>4</v>
      </c>
      <c r="BC18" t="str">
        <f t="shared" si="20"/>
        <v>Ovino</v>
      </c>
      <c r="BD18">
        <f>+datos!BU1</f>
        <v>73</v>
      </c>
      <c r="BE18" s="2" t="str">
        <f t="shared" si="4"/>
        <v>$/kg</v>
      </c>
      <c r="BF18" s="2">
        <f t="shared" si="4"/>
        <v>75367.286999999997</v>
      </c>
      <c r="BG18" s="2">
        <f t="shared" si="4"/>
        <v>61474.071150000003</v>
      </c>
      <c r="BH18" s="2">
        <f t="shared" si="4"/>
        <v>38492.857499999998</v>
      </c>
      <c r="BJ18">
        <f>+datos!DI1</f>
        <v>113</v>
      </c>
      <c r="BK18" s="2">
        <f t="shared" si="21"/>
        <v>9348.6926859568448</v>
      </c>
      <c r="BL18" s="2">
        <f t="shared" si="21"/>
        <v>8875.9049576894122</v>
      </c>
      <c r="BM18" s="2">
        <f t="shared" si="21"/>
        <v>4991.4960159189814</v>
      </c>
      <c r="BO18" s="1">
        <f>+datos!EL1</f>
        <v>142</v>
      </c>
      <c r="BP18" s="1">
        <f t="shared" si="22"/>
        <v>12440906</v>
      </c>
      <c r="BQ18" s="1">
        <f t="shared" si="22"/>
        <v>12461845</v>
      </c>
      <c r="BS18" s="1">
        <f>+datos!GS1</f>
        <v>201</v>
      </c>
      <c r="BT18" s="1">
        <f t="shared" si="23"/>
        <v>38349.300000000003</v>
      </c>
      <c r="BU18" s="1">
        <f t="shared" si="23"/>
        <v>39685.8825</v>
      </c>
      <c r="BW18" s="1">
        <f>+datos!KI1</f>
        <v>295</v>
      </c>
      <c r="BX18" s="1">
        <f t="shared" si="39"/>
        <v>205.13767412000001</v>
      </c>
      <c r="BY18" s="1">
        <f t="shared" si="40"/>
        <v>194.94363607999998</v>
      </c>
      <c r="CA18" s="1">
        <f>+datos!LN1</f>
        <v>326</v>
      </c>
      <c r="CB18" s="2">
        <f t="shared" si="24"/>
        <v>3.2096473400000001</v>
      </c>
      <c r="CC18" s="2">
        <f t="shared" si="25"/>
        <v>4.4227760200000006</v>
      </c>
      <c r="CE18" s="1">
        <f>+datos!JA1</f>
        <v>261</v>
      </c>
      <c r="CF18" s="1">
        <f t="shared" si="26"/>
        <v>2813</v>
      </c>
      <c r="CG18" s="1">
        <f t="shared" si="27"/>
        <v>2813</v>
      </c>
      <c r="CI18" s="1">
        <f t="shared" si="28"/>
        <v>18.538380959999998</v>
      </c>
      <c r="CJ18" s="1">
        <f t="shared" si="28"/>
        <v>15.79353798</v>
      </c>
      <c r="CK18" s="1">
        <f t="shared" si="28"/>
        <v>15.390557059999999</v>
      </c>
      <c r="CL18" s="1">
        <f t="shared" si="28"/>
        <v>12.657815750000001</v>
      </c>
      <c r="CM18" s="1">
        <f t="shared" si="28"/>
        <v>13.430479930000001</v>
      </c>
      <c r="CN18" s="1">
        <f t="shared" si="28"/>
        <v>15.60716012</v>
      </c>
      <c r="CO18" s="1">
        <f t="shared" si="28"/>
        <v>19.03918719</v>
      </c>
      <c r="CP18" s="1">
        <f t="shared" si="28"/>
        <v>17.774232269999999</v>
      </c>
      <c r="CQ18" s="1">
        <f t="shared" si="28"/>
        <v>22.502102959999998</v>
      </c>
      <c r="CR18" s="1">
        <f t="shared" si="28"/>
        <v>22.437193859999997</v>
      </c>
      <c r="CS18" s="1">
        <f t="shared" si="28"/>
        <v>15.322430800000003</v>
      </c>
      <c r="CT18" s="1">
        <f t="shared" si="28"/>
        <v>16.644595240000001</v>
      </c>
      <c r="CU18" s="1">
        <f t="shared" si="28"/>
        <v>15.83663735</v>
      </c>
      <c r="CV18" s="1">
        <f t="shared" si="28"/>
        <v>13.412348609999999</v>
      </c>
      <c r="CW18" s="1">
        <f t="shared" si="28"/>
        <v>9.5091132299999988</v>
      </c>
      <c r="CX18" s="1">
        <f t="shared" si="28"/>
        <v>10.49137048</v>
      </c>
      <c r="CY18" s="1">
        <f t="shared" si="29"/>
        <v>12.745889309999999</v>
      </c>
      <c r="CZ18" s="1">
        <f t="shared" si="29"/>
        <v>11.898747670000001</v>
      </c>
      <c r="DA18" s="1">
        <f t="shared" si="29"/>
        <v>12.26162961</v>
      </c>
      <c r="DB18" s="1">
        <f t="shared" si="29"/>
        <v>21.704121750000002</v>
      </c>
      <c r="DC18" s="1">
        <f t="shared" si="29"/>
        <v>21.006605250000003</v>
      </c>
      <c r="DD18" s="1">
        <f t="shared" si="29"/>
        <v>22.417077500000001</v>
      </c>
      <c r="DE18" s="1">
        <f t="shared" si="29"/>
        <v>28.978678630000001</v>
      </c>
      <c r="DF18" s="1">
        <f t="shared" si="29"/>
        <v>14.681416690000001</v>
      </c>
      <c r="DH18" s="1">
        <f t="shared" si="30"/>
        <v>0.18164933</v>
      </c>
      <c r="DI18" s="1">
        <f t="shared" si="30"/>
        <v>0.25055533999999996</v>
      </c>
      <c r="DJ18" s="1">
        <f t="shared" si="30"/>
        <v>0.29342396000000004</v>
      </c>
      <c r="DK18" s="1">
        <f t="shared" si="30"/>
        <v>0.26088905000000001</v>
      </c>
      <c r="DL18" s="1">
        <f t="shared" si="30"/>
        <v>0.18624962</v>
      </c>
      <c r="DM18" s="1">
        <f t="shared" si="30"/>
        <v>0.1577527</v>
      </c>
      <c r="DN18" s="1">
        <f t="shared" si="30"/>
        <v>0.24821200999999998</v>
      </c>
      <c r="DO18" s="1">
        <f t="shared" si="30"/>
        <v>0.13589592</v>
      </c>
      <c r="DP18" s="1">
        <f t="shared" si="30"/>
        <v>0.23010199000000001</v>
      </c>
      <c r="DQ18" s="1">
        <f t="shared" si="30"/>
        <v>4.8750000000000002E-2</v>
      </c>
      <c r="DR18" s="1">
        <f t="shared" si="30"/>
        <v>0.31075020000000003</v>
      </c>
      <c r="DS18" s="1">
        <f t="shared" si="30"/>
        <v>0.90541722000000002</v>
      </c>
      <c r="DT18" s="1">
        <f t="shared" si="30"/>
        <v>0.34283965</v>
      </c>
      <c r="DU18" s="1">
        <f t="shared" si="30"/>
        <v>0.74167351000000015</v>
      </c>
      <c r="DV18" s="1">
        <f t="shared" si="30"/>
        <v>0.58632921999999998</v>
      </c>
      <c r="DW18" s="1">
        <f t="shared" si="30"/>
        <v>0.29250390000000004</v>
      </c>
      <c r="DX18" s="1">
        <f t="shared" si="31"/>
        <v>0.46645720000000002</v>
      </c>
      <c r="DY18" s="1">
        <f t="shared" si="31"/>
        <v>8.1248630000000002E-2</v>
      </c>
      <c r="DZ18" s="1">
        <f t="shared" si="31"/>
        <v>0.16069122999999999</v>
      </c>
      <c r="EA18" s="1">
        <f t="shared" si="31"/>
        <v>0.12834936</v>
      </c>
      <c r="EB18" s="1">
        <f t="shared" si="31"/>
        <v>0.21283820000000001</v>
      </c>
      <c r="EC18" s="1">
        <f t="shared" si="31"/>
        <v>0.28431688999999999</v>
      </c>
      <c r="ED18" s="1">
        <f t="shared" si="31"/>
        <v>0.27087241000000001</v>
      </c>
      <c r="EE18" s="1">
        <f t="shared" si="31"/>
        <v>0.85465582000000007</v>
      </c>
      <c r="EG18" s="14">
        <f t="shared" si="32"/>
        <v>2813</v>
      </c>
      <c r="EH18" s="14">
        <f t="shared" si="32"/>
        <v>2813</v>
      </c>
      <c r="EI18" s="1">
        <f t="shared" si="32"/>
        <v>2813</v>
      </c>
      <c r="EJ18" s="1">
        <f t="shared" si="32"/>
        <v>2813</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3"/>
        <v>2813</v>
      </c>
      <c r="EX18" s="1">
        <f t="shared" si="33"/>
        <v>2813</v>
      </c>
      <c r="EY18" s="1">
        <f t="shared" si="33"/>
        <v>2813</v>
      </c>
      <c r="EZ18" s="1">
        <f t="shared" si="33"/>
        <v>2813</v>
      </c>
      <c r="FA18" s="1">
        <f t="shared" si="33"/>
        <v>2813</v>
      </c>
      <c r="FB18" s="1">
        <f t="shared" si="33"/>
        <v>2813</v>
      </c>
      <c r="FC18" s="1">
        <f t="shared" si="33"/>
        <v>2813</v>
      </c>
      <c r="FD18" s="1">
        <f t="shared" si="33"/>
        <v>2813</v>
      </c>
      <c r="FF18" s="162">
        <f t="shared" si="34"/>
        <v>8.5031108576375303E-2</v>
      </c>
    </row>
    <row r="19" spans="1:162" ht="18.75" customHeight="1">
      <c r="A19" s="244" t="s">
        <v>66</v>
      </c>
      <c r="B19" s="247"/>
      <c r="C19" s="228">
        <f t="shared" si="5"/>
        <v>0</v>
      </c>
      <c r="D19" s="229">
        <v>-1</v>
      </c>
      <c r="E19" s="253">
        <f t="shared" si="6"/>
        <v>-0.6075043509981195</v>
      </c>
      <c r="F19" s="254">
        <f t="shared" si="7"/>
        <v>-0.63454869517944745</v>
      </c>
      <c r="G19" s="253">
        <f t="shared" si="8"/>
        <v>-0.13840586777225883</v>
      </c>
      <c r="H19" s="254">
        <f t="shared" si="9"/>
        <v>-0.46909848322586067</v>
      </c>
      <c r="I19" s="253">
        <f t="shared" si="10"/>
        <v>-0.14822282118860175</v>
      </c>
      <c r="J19" s="254">
        <f t="shared" si="11"/>
        <v>-1.3258569731036887</v>
      </c>
      <c r="K19" s="253">
        <f t="shared" si="12"/>
        <v>0.1297233343442763</v>
      </c>
      <c r="L19" s="254">
        <f t="shared" si="13"/>
        <v>-0.27794615553287805</v>
      </c>
      <c r="M19" s="255"/>
      <c r="N19" s="256">
        <v>0</v>
      </c>
      <c r="O19" s="253">
        <f t="shared" si="35"/>
        <v>6.5265283642371941E-2</v>
      </c>
      <c r="P19" s="257">
        <f t="shared" si="36"/>
        <v>6.5265283642371941E-2</v>
      </c>
      <c r="Q19" s="253">
        <f t="shared" si="14"/>
        <v>-0.10753859789340392</v>
      </c>
      <c r="R19" s="257">
        <v>-0.01</v>
      </c>
      <c r="S19" s="255"/>
      <c r="T19" s="256">
        <v>1</v>
      </c>
      <c r="U19" s="253">
        <f t="shared" si="15"/>
        <v>0.24920046053594525</v>
      </c>
      <c r="V19" s="258">
        <f t="shared" si="16"/>
        <v>0.24920046053594525</v>
      </c>
      <c r="W19" s="253">
        <f t="shared" si="38"/>
        <v>-4.2560000407745546E-2</v>
      </c>
      <c r="X19" s="258">
        <f t="shared" si="17"/>
        <v>-4.2560000407745546E-2</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
        <f>VLOOKUP($A19,historia!$A$5:$CM$24,+HLOOKUP(AO$2,historia!$A$3:$EC$4,2,FALSE),FALSE)</f>
        <v>4</v>
      </c>
      <c r="AP19" s="28">
        <f>VLOOKUP($A19,historia!$A$5:$CM$24,+HLOOKUP(AP$2,historia!$A$3:$EC$4,2,FALSE),FALSE)</f>
        <v>3</v>
      </c>
      <c r="AQ19" s="28">
        <f>VLOOKUP($A19,historia!$A$5:$CM$24,+HLOOKUP(AQ$2,historia!$A$3:$EC$4,2,FALSE),FALSE)</f>
        <v>4</v>
      </c>
      <c r="AR19" s="28">
        <f>VLOOKUP($A19,historia!$A$5:$CM$24,+HLOOKUP(AR$2,historia!$A$3:$EC$4,2,FALSE),FALSE)</f>
        <v>4</v>
      </c>
      <c r="AS19" s="58">
        <f>VLOOKUP($A19,historia!$A$5:$CM$24,+HLOOKUP(AS$2,historia!$A$3:$EC$4,2,FALSE),FALSE)</f>
        <v>4</v>
      </c>
      <c r="AT19" s="58">
        <f>VLOOKUP($A19,historia!$A$5:$CM$24,+HLOOKUP(AT$2,historia!$A$3:$EC$4,2,FALSE),FALSE)</f>
        <v>4</v>
      </c>
      <c r="AU19" s="58">
        <f>VLOOKUP($A19,historia!$A$5:$CM$24,+HLOOKUP(AU$2,historia!$A$3:$EC$4,2,FALSE),FALSE)</f>
        <v>3</v>
      </c>
      <c r="AV19" s="58">
        <v>3</v>
      </c>
      <c r="AW19" s="58">
        <v>3</v>
      </c>
      <c r="AX19" s="58">
        <v>3</v>
      </c>
      <c r="AY19" s="58">
        <v>2</v>
      </c>
      <c r="AZ19" s="58">
        <v>4</v>
      </c>
      <c r="BA19" s="30"/>
      <c r="BB19" s="141">
        <v>3</v>
      </c>
      <c r="BC19" t="str">
        <f t="shared" si="20"/>
        <v>Papa</v>
      </c>
      <c r="BD19">
        <f>+datos!AV1</f>
        <v>48</v>
      </c>
      <c r="BE19" s="2" t="str">
        <f t="shared" si="4"/>
        <v>$/bolsa 20kg</v>
      </c>
      <c r="BF19" s="2">
        <f t="shared" si="4"/>
        <v>5439.3617021276596</v>
      </c>
      <c r="BG19" s="2">
        <f t="shared" si="4"/>
        <v>13858.4</v>
      </c>
      <c r="BH19" s="2">
        <f t="shared" si="4"/>
        <v>6385.8974358974356</v>
      </c>
      <c r="BJ19">
        <f>+datos!CI1</f>
        <v>87</v>
      </c>
      <c r="BK19" s="2">
        <f t="shared" si="21"/>
        <v>8986.4615840663555</v>
      </c>
      <c r="BL19" s="2">
        <f t="shared" si="21"/>
        <v>10430.040372757559</v>
      </c>
      <c r="BM19" s="2">
        <f t="shared" si="21"/>
        <v>7954.5684424429055</v>
      </c>
      <c r="BO19" s="1">
        <f>+datos!EZ1</f>
        <v>156</v>
      </c>
      <c r="BP19" s="1">
        <f t="shared" si="22"/>
        <v>34815</v>
      </c>
      <c r="BQ19" s="1">
        <f t="shared" si="22"/>
        <v>32682</v>
      </c>
      <c r="BS19" s="1">
        <f>+datos!GT1</f>
        <v>202</v>
      </c>
      <c r="BT19" s="1">
        <f t="shared" si="23"/>
        <v>2111561</v>
      </c>
      <c r="BU19" s="1">
        <f t="shared" si="23"/>
        <v>2365997</v>
      </c>
      <c r="BW19" s="1">
        <f>+datos!JO1</f>
        <v>275</v>
      </c>
      <c r="BX19" s="1">
        <f t="shared" si="39"/>
        <v>399.18358794000005</v>
      </c>
      <c r="BY19" s="1">
        <f t="shared" si="40"/>
        <v>319.55126543</v>
      </c>
      <c r="CA19" s="1">
        <f>+datos!KT1</f>
        <v>306</v>
      </c>
      <c r="CB19" s="2">
        <f t="shared" si="24"/>
        <v>17.51516625</v>
      </c>
      <c r="CC19" s="2">
        <f t="shared" si="25"/>
        <v>18.293748179999994</v>
      </c>
      <c r="CE19" s="1">
        <f>+datos!JB1</f>
        <v>262</v>
      </c>
      <c r="CF19" s="1">
        <f t="shared" si="26"/>
        <v>35.950000000000003</v>
      </c>
      <c r="CG19" s="1">
        <f t="shared" si="27"/>
        <v>35.950000000000003</v>
      </c>
      <c r="CI19" s="1">
        <f t="shared" si="28"/>
        <v>35.227965569999995</v>
      </c>
      <c r="CJ19" s="1">
        <f t="shared" si="28"/>
        <v>43.313690020000003</v>
      </c>
      <c r="CK19" s="1">
        <f t="shared" si="28"/>
        <v>38.158354570000007</v>
      </c>
      <c r="CL19" s="1">
        <f t="shared" si="28"/>
        <v>36.879687310000008</v>
      </c>
      <c r="CM19" s="1">
        <f t="shared" si="28"/>
        <v>30.584450140000001</v>
      </c>
      <c r="CN19" s="1">
        <f t="shared" si="28"/>
        <v>34.87822036</v>
      </c>
      <c r="CO19" s="1">
        <f t="shared" si="28"/>
        <v>30.986019150000001</v>
      </c>
      <c r="CP19" s="1">
        <f t="shared" si="28"/>
        <v>34.45773063</v>
      </c>
      <c r="CQ19" s="1">
        <f t="shared" si="28"/>
        <v>33.675059580000003</v>
      </c>
      <c r="CR19" s="1">
        <f t="shared" si="28"/>
        <v>28.924508010000004</v>
      </c>
      <c r="CS19" s="1">
        <f t="shared" si="28"/>
        <v>27.954086790000002</v>
      </c>
      <c r="CT19" s="1">
        <f t="shared" si="28"/>
        <v>24.143815810000007</v>
      </c>
      <c r="CU19" s="1">
        <f t="shared" si="28"/>
        <v>26.000694290000002</v>
      </c>
      <c r="CV19" s="1">
        <f t="shared" si="28"/>
        <v>22.013274209999999</v>
      </c>
      <c r="CW19" s="1">
        <f t="shared" si="28"/>
        <v>23.44114875</v>
      </c>
      <c r="CX19" s="1">
        <f t="shared" si="28"/>
        <v>29.35689408</v>
      </c>
      <c r="CY19" s="1">
        <f t="shared" si="29"/>
        <v>26.11967611</v>
      </c>
      <c r="CZ19" s="1">
        <f t="shared" si="29"/>
        <v>30.386509889999999</v>
      </c>
      <c r="DA19" s="1">
        <f t="shared" si="29"/>
        <v>26.2743097</v>
      </c>
      <c r="DB19" s="1">
        <f t="shared" si="29"/>
        <v>30.80704394</v>
      </c>
      <c r="DC19" s="1">
        <f t="shared" si="29"/>
        <v>27.637267510000001</v>
      </c>
      <c r="DD19" s="1">
        <f t="shared" si="29"/>
        <v>30.470799569999997</v>
      </c>
      <c r="DE19" s="1">
        <f t="shared" si="29"/>
        <v>25.884569989999999</v>
      </c>
      <c r="DF19" s="1">
        <f t="shared" si="29"/>
        <v>21.159077390000004</v>
      </c>
      <c r="DH19" s="1">
        <f t="shared" si="30"/>
        <v>1.1318278900000001</v>
      </c>
      <c r="DI19" s="1">
        <f t="shared" si="30"/>
        <v>1.8442369199999997</v>
      </c>
      <c r="DJ19" s="1">
        <f t="shared" si="30"/>
        <v>1.0529063700000001</v>
      </c>
      <c r="DK19" s="1">
        <f t="shared" si="30"/>
        <v>2.0286618900000004</v>
      </c>
      <c r="DL19" s="1">
        <f t="shared" si="30"/>
        <v>0.79104531999999994</v>
      </c>
      <c r="DM19" s="1">
        <f t="shared" si="30"/>
        <v>1.6294275100000002</v>
      </c>
      <c r="DN19" s="1">
        <f t="shared" si="30"/>
        <v>1.8725515799999999</v>
      </c>
      <c r="DO19" s="1">
        <f t="shared" si="30"/>
        <v>1.9938344900000002</v>
      </c>
      <c r="DP19" s="1">
        <f t="shared" si="30"/>
        <v>1.4070700599999999</v>
      </c>
      <c r="DQ19" s="1">
        <f t="shared" si="30"/>
        <v>0.5838748800000001</v>
      </c>
      <c r="DR19" s="1">
        <f t="shared" si="30"/>
        <v>1.6300787399999999</v>
      </c>
      <c r="DS19" s="1">
        <f t="shared" si="30"/>
        <v>1.5496506000000003</v>
      </c>
      <c r="DT19" s="1">
        <f t="shared" si="30"/>
        <v>2.1384397699999997</v>
      </c>
      <c r="DU19" s="1">
        <f t="shared" si="30"/>
        <v>2.7337765599999999</v>
      </c>
      <c r="DV19" s="1">
        <f t="shared" si="30"/>
        <v>1.0171737099999998</v>
      </c>
      <c r="DW19" s="1">
        <f t="shared" si="30"/>
        <v>1.9864389700000002</v>
      </c>
      <c r="DX19" s="1">
        <f t="shared" si="31"/>
        <v>2.8868213899999997</v>
      </c>
      <c r="DY19" s="1">
        <f t="shared" si="31"/>
        <v>1.3747401999999997</v>
      </c>
      <c r="DZ19" s="1">
        <f t="shared" si="31"/>
        <v>1.6364950999999999</v>
      </c>
      <c r="EA19" s="1">
        <f t="shared" si="31"/>
        <v>1.1348675200000002</v>
      </c>
      <c r="EB19" s="1">
        <f t="shared" si="31"/>
        <v>0.73241972</v>
      </c>
      <c r="EC19" s="1">
        <f t="shared" si="31"/>
        <v>1.2023484900000001</v>
      </c>
      <c r="ED19" s="1">
        <f t="shared" si="31"/>
        <v>0.41620179000000002</v>
      </c>
      <c r="EE19" s="1">
        <f t="shared" si="31"/>
        <v>1.03402496</v>
      </c>
      <c r="EG19" s="14">
        <f t="shared" si="32"/>
        <v>35.950000000000003</v>
      </c>
      <c r="EH19" s="14">
        <f t="shared" si="32"/>
        <v>35.950000000000003</v>
      </c>
      <c r="EI19" s="1">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3"/>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35.950000000000003</v>
      </c>
      <c r="FF19" s="162">
        <f t="shared" si="34"/>
        <v>-0.27794615553287805</v>
      </c>
    </row>
    <row r="20" spans="1:162" ht="18.75" customHeight="1">
      <c r="A20" s="264" t="s">
        <v>218</v>
      </c>
      <c r="B20" s="246"/>
      <c r="C20" s="156">
        <f t="shared" si="5"/>
        <v>0</v>
      </c>
      <c r="D20" s="198">
        <v>-1</v>
      </c>
      <c r="E20" s="248">
        <f t="shared" si="6"/>
        <v>-5.050613237747692E-3</v>
      </c>
      <c r="F20" s="249">
        <f t="shared" si="7"/>
        <v>-3.2094957419075643E-2</v>
      </c>
      <c r="G20" s="248">
        <f t="shared" si="8"/>
        <v>1.2985357529093466E-2</v>
      </c>
      <c r="H20" s="249">
        <f t="shared" si="9"/>
        <v>-1.8035970766841158E-2</v>
      </c>
      <c r="I20" s="248">
        <f t="shared" si="10"/>
        <v>1.6078462618200806</v>
      </c>
      <c r="J20" s="249">
        <f t="shared" si="11"/>
        <v>0.43021210990499359</v>
      </c>
      <c r="K20" s="248">
        <f t="shared" si="12"/>
        <v>0.63107717770058414</v>
      </c>
      <c r="L20" s="249">
        <f t="shared" si="13"/>
        <v>0.97676908411949648</v>
      </c>
      <c r="M20" s="250"/>
      <c r="N20" s="24">
        <v>-1</v>
      </c>
      <c r="O20" s="248">
        <f t="shared" si="35"/>
        <v>-2.3211675087845274E-2</v>
      </c>
      <c r="P20" s="251">
        <f t="shared" si="36"/>
        <v>-2.3211675087845274E-2</v>
      </c>
      <c r="Q20" s="248">
        <f t="shared" si="14"/>
        <v>-1.1677514950148904E-2</v>
      </c>
      <c r="R20" s="251">
        <f t="shared" si="37"/>
        <v>-1.1677514950148904E-2</v>
      </c>
      <c r="S20" s="250"/>
      <c r="T20" s="24">
        <v>2</v>
      </c>
      <c r="U20" s="248">
        <f t="shared" si="15"/>
        <v>0.12017152428696454</v>
      </c>
      <c r="V20" s="252">
        <f t="shared" si="16"/>
        <v>0.12017152428696454</v>
      </c>
      <c r="W20" s="248">
        <f t="shared" si="38"/>
        <v>-0.65530296906226759</v>
      </c>
      <c r="X20" s="252">
        <f t="shared" si="17"/>
        <v>-0.65530296906226759</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
        <f>VLOOKUP($A20,historia!$A$5:$CM$24,+HLOOKUP(AO$2,historia!$A$3:$EC$4,2,FALSE),FALSE)</f>
        <v>3</v>
      </c>
      <c r="AP20" s="28">
        <f>VLOOKUP($A20,historia!$A$5:$CM$24,+HLOOKUP(AP$2,historia!$A$3:$EC$4,2,FALSE),FALSE)</f>
        <v>3</v>
      </c>
      <c r="AQ20" s="28">
        <f>VLOOKUP($A20,historia!$A$5:$CM$24,+HLOOKUP(AQ$2,historia!$A$3:$EC$4,2,FALSE),FALSE)</f>
        <v>4</v>
      </c>
      <c r="AR20" s="28">
        <f>VLOOKUP($A20,historia!$A$5:$CM$24,+HLOOKUP(AR$2,historia!$A$3:$EC$4,2,FALSE),FALSE)</f>
        <v>4</v>
      </c>
      <c r="AS20" s="58">
        <f>VLOOKUP($A20,historia!$A$5:$CM$24,+HLOOKUP(AS$2,historia!$A$3:$EC$4,2,FALSE),FALSE)</f>
        <v>4</v>
      </c>
      <c r="AT20" s="58">
        <f>VLOOKUP($A20,historia!$A$5:$CM$24,+HLOOKUP(AT$2,historia!$A$3:$EC$4,2,FALSE),FALSE)</f>
        <v>4</v>
      </c>
      <c r="AU20" s="58">
        <f>VLOOKUP($A20,historia!$A$5:$CM$24,+HLOOKUP(AU$2,historia!$A$3:$EC$4,2,FALSE),FALSE)</f>
        <v>3</v>
      </c>
      <c r="AV20" s="58">
        <v>3</v>
      </c>
      <c r="AW20" s="58">
        <v>3</v>
      </c>
      <c r="AX20" s="58">
        <v>3</v>
      </c>
      <c r="AY20" s="58">
        <v>3</v>
      </c>
      <c r="AZ20" s="58">
        <v>3</v>
      </c>
      <c r="BA20" s="30"/>
      <c r="BB20" s="141">
        <v>3</v>
      </c>
      <c r="BC20" t="str">
        <f t="shared" si="20"/>
        <v>Peras y Manzanas</v>
      </c>
      <c r="BD20">
        <f>+datos!AP1</f>
        <v>42</v>
      </c>
      <c r="BE20" s="2" t="str">
        <f t="shared" si="4"/>
        <v>$/caja 18kg</v>
      </c>
      <c r="BF20" s="2">
        <f t="shared" si="4"/>
        <v>20241.21052631579</v>
      </c>
      <c r="BG20" s="2">
        <f t="shared" si="4"/>
        <v>20343.96</v>
      </c>
      <c r="BH20" s="2">
        <f t="shared" si="4"/>
        <v>7761.6578947368425</v>
      </c>
      <c r="BJ20">
        <f>+datos!CS1</f>
        <v>97</v>
      </c>
      <c r="BK20" s="2">
        <f t="shared" si="21"/>
        <v>9331.5224196722975</v>
      </c>
      <c r="BL20" s="2">
        <f t="shared" si="21"/>
        <v>9211.9025712612947</v>
      </c>
      <c r="BM20" s="2">
        <f t="shared" si="21"/>
        <v>5721.079632067097</v>
      </c>
      <c r="BO20" s="1">
        <f>+datos!FC1</f>
        <v>159</v>
      </c>
      <c r="BP20" s="1">
        <f t="shared" si="22"/>
        <v>38084</v>
      </c>
      <c r="BQ20" s="1">
        <f t="shared" si="22"/>
        <v>38989</v>
      </c>
      <c r="BS20" s="1">
        <f>+datos!GW1</f>
        <v>205</v>
      </c>
      <c r="BT20" s="1">
        <f t="shared" si="23"/>
        <v>762389</v>
      </c>
      <c r="BU20" s="1">
        <f t="shared" si="23"/>
        <v>771397</v>
      </c>
      <c r="BW20" s="1">
        <f>+datos!LS1</f>
        <v>331</v>
      </c>
      <c r="BX20" s="1">
        <f t="shared" si="39"/>
        <v>398.78283533999996</v>
      </c>
      <c r="BY20" s="1">
        <f t="shared" si="40"/>
        <v>356.00158251999994</v>
      </c>
      <c r="CA20" s="1">
        <f>+datos!LW1</f>
        <v>335</v>
      </c>
      <c r="CB20" s="2">
        <f t="shared" si="24"/>
        <v>2.6982953900000002</v>
      </c>
      <c r="CC20" s="2">
        <f t="shared" si="25"/>
        <v>7.8280203999999998</v>
      </c>
      <c r="CE20" s="1">
        <f>+datos!JC1</f>
        <v>263</v>
      </c>
      <c r="CF20" s="1">
        <f t="shared" si="26"/>
        <v>0</v>
      </c>
      <c r="CG20" s="1">
        <f t="shared" si="27"/>
        <v>0</v>
      </c>
      <c r="CI20" s="1">
        <f t="shared" si="28"/>
        <v>23.934850630000003</v>
      </c>
      <c r="CJ20" s="1">
        <f t="shared" si="28"/>
        <v>23.934850630000003</v>
      </c>
      <c r="CK20" s="1">
        <f t="shared" si="28"/>
        <v>25.188374430000003</v>
      </c>
      <c r="CL20" s="1">
        <f t="shared" si="28"/>
        <v>22.303018159999997</v>
      </c>
      <c r="CM20" s="1">
        <f t="shared" si="28"/>
        <v>14.93334776</v>
      </c>
      <c r="CN20" s="1">
        <f t="shared" si="28"/>
        <v>35.336569390000001</v>
      </c>
      <c r="CO20" s="1">
        <f t="shared" si="28"/>
        <v>46.662709379999995</v>
      </c>
      <c r="CP20" s="1">
        <f t="shared" si="28"/>
        <v>45.302769560000002</v>
      </c>
      <c r="CQ20" s="1">
        <f t="shared" si="28"/>
        <v>46.856289650000001</v>
      </c>
      <c r="CR20" s="1">
        <f t="shared" si="28"/>
        <v>60.076282149999997</v>
      </c>
      <c r="CS20" s="1">
        <f t="shared" si="28"/>
        <v>42.744570039999999</v>
      </c>
      <c r="CT20" s="1">
        <f t="shared" si="28"/>
        <v>11.509203560000001</v>
      </c>
      <c r="CU20" s="1">
        <f t="shared" si="28"/>
        <v>11.753879789999999</v>
      </c>
      <c r="CV20" s="1">
        <f t="shared" si="28"/>
        <v>15.619426270000002</v>
      </c>
      <c r="CW20" s="1">
        <f t="shared" si="28"/>
        <v>16.880359240000001</v>
      </c>
      <c r="CX20" s="1">
        <f t="shared" si="28"/>
        <v>24.204094699999999</v>
      </c>
      <c r="CY20" s="1">
        <f t="shared" si="29"/>
        <v>25.300599699999999</v>
      </c>
      <c r="CZ20" s="1">
        <f t="shared" si="29"/>
        <v>48.042350899999995</v>
      </c>
      <c r="DA20" s="1">
        <f t="shared" si="29"/>
        <v>30.317151650000003</v>
      </c>
      <c r="DB20" s="1">
        <f t="shared" si="29"/>
        <v>39.830023670000003</v>
      </c>
      <c r="DC20" s="1">
        <f t="shared" si="29"/>
        <v>48.212206680000008</v>
      </c>
      <c r="DD20" s="1">
        <f t="shared" si="29"/>
        <v>46.755406350000001</v>
      </c>
      <c r="DE20" s="1">
        <f t="shared" si="29"/>
        <v>37.276974840000001</v>
      </c>
      <c r="DF20" s="1">
        <f t="shared" si="29"/>
        <v>11.80910873</v>
      </c>
      <c r="DH20" s="1">
        <f t="shared" si="30"/>
        <v>6.8745290000000001E-2</v>
      </c>
      <c r="DI20" s="1">
        <f t="shared" si="30"/>
        <v>0.21798748000000001</v>
      </c>
      <c r="DJ20" s="1">
        <f t="shared" si="30"/>
        <v>7.9820000000000002E-2</v>
      </c>
      <c r="DK20" s="1">
        <f t="shared" si="30"/>
        <v>0.14837025000000001</v>
      </c>
      <c r="DL20" s="1">
        <f t="shared" si="30"/>
        <v>0.3865221499999999</v>
      </c>
      <c r="DM20" s="1">
        <f t="shared" si="30"/>
        <v>0.51794252000000007</v>
      </c>
      <c r="DN20" s="1">
        <f t="shared" si="30"/>
        <v>0.37362660000000003</v>
      </c>
      <c r="DO20" s="1">
        <f t="shared" si="30"/>
        <v>0.32288670000000003</v>
      </c>
      <c r="DP20" s="1">
        <f t="shared" si="30"/>
        <v>0.29487440000000004</v>
      </c>
      <c r="DQ20" s="1">
        <f t="shared" si="30"/>
        <v>7.78142E-2</v>
      </c>
      <c r="DR20" s="1">
        <f t="shared" si="30"/>
        <v>0.12479459999999999</v>
      </c>
      <c r="DS20" s="1">
        <f t="shared" si="30"/>
        <v>8.4911199999999992E-2</v>
      </c>
      <c r="DT20" s="1">
        <f t="shared" si="30"/>
        <v>0.22142464000000001</v>
      </c>
      <c r="DU20" s="1">
        <f t="shared" si="30"/>
        <v>1.01853964</v>
      </c>
      <c r="DV20" s="1">
        <f t="shared" si="30"/>
        <v>0.30728509999999998</v>
      </c>
      <c r="DW20" s="1">
        <f t="shared" si="30"/>
        <v>0.37410640000000001</v>
      </c>
      <c r="DX20" s="1">
        <f t="shared" si="31"/>
        <v>0.35746821000000001</v>
      </c>
      <c r="DY20" s="1">
        <f t="shared" si="31"/>
        <v>0.95829101000000005</v>
      </c>
      <c r="DZ20" s="1">
        <f t="shared" si="31"/>
        <v>0.34636184000000003</v>
      </c>
      <c r="EA20" s="1">
        <f t="shared" si="31"/>
        <v>1.2547095300000002</v>
      </c>
      <c r="EB20" s="1">
        <f t="shared" si="31"/>
        <v>1.273682</v>
      </c>
      <c r="EC20" s="1">
        <f t="shared" si="31"/>
        <v>0.92279571000000005</v>
      </c>
      <c r="ED20" s="1">
        <f t="shared" si="31"/>
        <v>0.55930298000000001</v>
      </c>
      <c r="EE20" s="1">
        <f t="shared" si="31"/>
        <v>0.23405334</v>
      </c>
      <c r="EG20" s="14">
        <f t="shared" si="32"/>
        <v>0</v>
      </c>
      <c r="EH20" s="14">
        <f t="shared" si="32"/>
        <v>0</v>
      </c>
      <c r="EI20" s="1">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3"/>
        <v>0</v>
      </c>
      <c r="EX20" s="1">
        <f t="shared" si="33"/>
        <v>0</v>
      </c>
      <c r="EY20" s="1">
        <f t="shared" si="33"/>
        <v>0</v>
      </c>
      <c r="EZ20" s="1">
        <f t="shared" si="33"/>
        <v>0</v>
      </c>
      <c r="FA20" s="1">
        <f t="shared" si="33"/>
        <v>0</v>
      </c>
      <c r="FB20" s="1">
        <f t="shared" si="33"/>
        <v>0</v>
      </c>
      <c r="FC20" s="1">
        <f t="shared" si="33"/>
        <v>0</v>
      </c>
      <c r="FD20" s="1">
        <f t="shared" si="33"/>
        <v>0</v>
      </c>
      <c r="FF20" s="162">
        <f t="shared" si="34"/>
        <v>0.97676908411949648</v>
      </c>
    </row>
    <row r="21" spans="1:162" ht="18.75" customHeight="1">
      <c r="A21" s="244" t="s">
        <v>121</v>
      </c>
      <c r="B21" s="247"/>
      <c r="C21" s="228">
        <f t="shared" si="5"/>
        <v>0</v>
      </c>
      <c r="D21" s="229">
        <v>-2</v>
      </c>
      <c r="E21" s="253">
        <f t="shared" si="6"/>
        <v>5.8639508753236091E-2</v>
      </c>
      <c r="F21" s="254">
        <f t="shared" si="7"/>
        <v>3.1595164571908141E-2</v>
      </c>
      <c r="G21" s="253">
        <f t="shared" si="8"/>
        <v>7.3331453845224548E-3</v>
      </c>
      <c r="H21" s="254">
        <f t="shared" si="9"/>
        <v>5.1306363368713637E-2</v>
      </c>
      <c r="I21" s="253">
        <f t="shared" si="10"/>
        <v>0.66233710516436961</v>
      </c>
      <c r="J21" s="254">
        <f t="shared" si="11"/>
        <v>-0.51529704675071741</v>
      </c>
      <c r="K21" s="253">
        <f t="shared" si="12"/>
        <v>0.38222272798724344</v>
      </c>
      <c r="L21" s="254">
        <f t="shared" si="13"/>
        <v>0.28011437717712617</v>
      </c>
      <c r="M21" s="255"/>
      <c r="N21" s="256">
        <v>1</v>
      </c>
      <c r="O21" s="253">
        <f t="shared" si="35"/>
        <v>3.8695172963417956E-2</v>
      </c>
      <c r="P21" s="257">
        <f t="shared" si="36"/>
        <v>3.8695172963417956E-2</v>
      </c>
      <c r="Q21" s="253">
        <f t="shared" si="14"/>
        <v>3.0613717085761882E-2</v>
      </c>
      <c r="R21" s="257">
        <f t="shared" si="37"/>
        <v>3.0613717085761882E-2</v>
      </c>
      <c r="S21" s="255"/>
      <c r="T21" s="256">
        <v>1</v>
      </c>
      <c r="U21" s="253">
        <f t="shared" si="15"/>
        <v>0.36673051349901464</v>
      </c>
      <c r="V21" s="258">
        <f t="shared" si="16"/>
        <v>0.36673051349901464</v>
      </c>
      <c r="W21" s="253">
        <f t="shared" si="38"/>
        <v>0.34599944862703436</v>
      </c>
      <c r="X21" s="258">
        <f t="shared" si="17"/>
        <v>0.34599944862703436</v>
      </c>
      <c r="Y21" s="253">
        <f t="shared" si="18"/>
        <v>2.45215311004785E-2</v>
      </c>
      <c r="Z21" s="258">
        <f t="shared" si="19"/>
        <v>2.45215311004785E-2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
        <f>VLOOKUP($A21,historia!$A$5:$CM$24,+HLOOKUP(AO$2,historia!$A$3:$EC$4,2,FALSE),FALSE)</f>
        <v>1</v>
      </c>
      <c r="AP21" s="28">
        <f>VLOOKUP($A21,historia!$A$5:$CM$24,+HLOOKUP(AP$2,historia!$A$3:$EC$4,2,FALSE),FALSE)</f>
        <v>2</v>
      </c>
      <c r="AQ21" s="28">
        <f>VLOOKUP($A21,historia!$A$5:$CM$24,+HLOOKUP(AQ$2,historia!$A$3:$EC$4,2,FALSE),FALSE)</f>
        <v>4</v>
      </c>
      <c r="AR21" s="28">
        <f>VLOOKUP($A21,historia!$A$5:$CM$24,+HLOOKUP(AR$2,historia!$A$3:$EC$4,2,FALSE),FALSE)</f>
        <v>5</v>
      </c>
      <c r="AS21" s="58">
        <f>VLOOKUP($A21,historia!$A$5:$CM$24,+HLOOKUP(AS$2,historia!$A$3:$EC$4,2,FALSE),FALSE)</f>
        <v>3</v>
      </c>
      <c r="AT21" s="58">
        <f>VLOOKUP($A21,historia!$A$5:$CM$24,+HLOOKUP(AT$2,historia!$A$3:$EC$4,2,FALSE),FALSE)</f>
        <v>4</v>
      </c>
      <c r="AU21" s="58">
        <f>VLOOKUP($A21,historia!$A$5:$CM$24,+HLOOKUP(AU$2,historia!$A$3:$EC$4,2,FALSE),FALSE)</f>
        <v>3</v>
      </c>
      <c r="AV21" s="58">
        <v>2</v>
      </c>
      <c r="AW21" s="58">
        <v>2</v>
      </c>
      <c r="AX21" s="58">
        <v>3</v>
      </c>
      <c r="AY21" s="58">
        <v>2</v>
      </c>
      <c r="AZ21" s="58">
        <v>2</v>
      </c>
      <c r="BA21" s="30"/>
      <c r="BB21" s="141">
        <v>3</v>
      </c>
      <c r="BC21" t="str">
        <f t="shared" si="20"/>
        <v>Porcinos</v>
      </c>
      <c r="BD21">
        <f>+datos!BR1</f>
        <v>70</v>
      </c>
      <c r="BE21" s="2" t="str">
        <f t="shared" si="4"/>
        <v>$/kg</v>
      </c>
      <c r="BF21" s="2">
        <f t="shared" si="4"/>
        <v>1549.88</v>
      </c>
      <c r="BG21" s="2">
        <f t="shared" si="4"/>
        <v>1464.03</v>
      </c>
      <c r="BH21" s="2">
        <f t="shared" si="4"/>
        <v>932.35</v>
      </c>
      <c r="BJ21">
        <f>+datos!DD1</f>
        <v>108</v>
      </c>
      <c r="BK21" s="2">
        <f t="shared" si="21"/>
        <v>9139.625218570618</v>
      </c>
      <c r="BL21" s="2">
        <f t="shared" si="21"/>
        <v>9073.0909237398428</v>
      </c>
      <c r="BM21" s="2">
        <f t="shared" si="21"/>
        <v>6612.2666293293423</v>
      </c>
      <c r="BO21" s="1">
        <f>+datos!EJ1</f>
        <v>140</v>
      </c>
      <c r="BP21" s="1">
        <f t="shared" si="22"/>
        <v>6115215</v>
      </c>
      <c r="BQ21" s="1">
        <f t="shared" si="22"/>
        <v>5887401</v>
      </c>
      <c r="BS21" s="1">
        <f>+datos!HE1</f>
        <v>213</v>
      </c>
      <c r="BT21" s="1">
        <f t="shared" si="23"/>
        <v>785777</v>
      </c>
      <c r="BU21" s="1">
        <f t="shared" si="23"/>
        <v>762436</v>
      </c>
      <c r="BW21" s="1">
        <f>+datos!KJ1</f>
        <v>296</v>
      </c>
      <c r="BX21" s="1">
        <f t="shared" si="39"/>
        <v>26.818452560000001</v>
      </c>
      <c r="BY21" s="1">
        <f t="shared" si="40"/>
        <v>19.622341269999996</v>
      </c>
      <c r="CA21" s="1">
        <f>+datos!LO1</f>
        <v>327</v>
      </c>
      <c r="CB21" s="2">
        <f t="shared" si="24"/>
        <v>71.643735239999984</v>
      </c>
      <c r="CC21" s="2">
        <f t="shared" si="25"/>
        <v>53.227165370000002</v>
      </c>
      <c r="CE21" s="1">
        <f>+datos!IO1</f>
        <v>249</v>
      </c>
      <c r="CF21" s="1">
        <f t="shared" si="26"/>
        <v>17.13</v>
      </c>
      <c r="CG21" s="1">
        <f t="shared" si="27"/>
        <v>16.72</v>
      </c>
      <c r="CI21" s="1">
        <f t="shared" si="28"/>
        <v>1.9463367499999997</v>
      </c>
      <c r="CJ21" s="1">
        <f t="shared" si="28"/>
        <v>1.6096260199999999</v>
      </c>
      <c r="CK21" s="1">
        <f t="shared" si="28"/>
        <v>3.1723580499999997</v>
      </c>
      <c r="CL21" s="1">
        <f t="shared" si="28"/>
        <v>2.1279038099999998</v>
      </c>
      <c r="CM21" s="1">
        <f t="shared" si="28"/>
        <v>2.3778769799999995</v>
      </c>
      <c r="CN21" s="1">
        <f t="shared" si="28"/>
        <v>4.3175895799999999</v>
      </c>
      <c r="CO21" s="1">
        <f t="shared" si="28"/>
        <v>2.7596131099999996</v>
      </c>
      <c r="CP21" s="1">
        <f t="shared" si="28"/>
        <v>1.9296841299999996</v>
      </c>
      <c r="CQ21" s="1">
        <f t="shared" si="28"/>
        <v>2.2533318799999997</v>
      </c>
      <c r="CR21" s="1">
        <f t="shared" si="28"/>
        <v>1.55421593</v>
      </c>
      <c r="CS21" s="1">
        <f t="shared" si="28"/>
        <v>1.56892272</v>
      </c>
      <c r="CT21" s="1">
        <f t="shared" si="28"/>
        <v>1.2009935999999999</v>
      </c>
      <c r="CU21" s="1">
        <f t="shared" si="28"/>
        <v>1.5576121499999998</v>
      </c>
      <c r="CV21" s="1">
        <f t="shared" si="28"/>
        <v>1.3743196699999998</v>
      </c>
      <c r="CW21" s="1">
        <f t="shared" si="28"/>
        <v>1.4110336399999999</v>
      </c>
      <c r="CX21" s="1">
        <f t="shared" si="28"/>
        <v>1.8830951399999996</v>
      </c>
      <c r="CY21" s="1">
        <f t="shared" si="29"/>
        <v>1.4694087300000001</v>
      </c>
      <c r="CZ21" s="1">
        <f t="shared" si="29"/>
        <v>2.0502103900000002</v>
      </c>
      <c r="DA21" s="1">
        <f t="shared" si="29"/>
        <v>1.8176867299999997</v>
      </c>
      <c r="DB21" s="1">
        <f t="shared" si="29"/>
        <v>1.2719750699999999</v>
      </c>
      <c r="DC21" s="1">
        <f t="shared" si="29"/>
        <v>1.5228158499999997</v>
      </c>
      <c r="DD21" s="1">
        <f t="shared" si="29"/>
        <v>1.32254655</v>
      </c>
      <c r="DE21" s="1">
        <f t="shared" si="29"/>
        <v>2.1116566699999999</v>
      </c>
      <c r="DF21" s="1">
        <f t="shared" si="29"/>
        <v>1.8299806799999998</v>
      </c>
      <c r="DH21" s="1">
        <f t="shared" si="30"/>
        <v>16.354180840000001</v>
      </c>
      <c r="DI21" s="1">
        <f t="shared" si="30"/>
        <v>10.919699229999997</v>
      </c>
      <c r="DJ21" s="1">
        <f t="shared" si="30"/>
        <v>10.87912704</v>
      </c>
      <c r="DK21" s="1">
        <f t="shared" si="30"/>
        <v>7.3519509899999989</v>
      </c>
      <c r="DL21" s="1">
        <f t="shared" si="30"/>
        <v>4.9251834299999988</v>
      </c>
      <c r="DM21" s="1">
        <f t="shared" si="30"/>
        <v>2.5935797799999998</v>
      </c>
      <c r="DN21" s="1">
        <f t="shared" si="30"/>
        <v>1.7163214500000001</v>
      </c>
      <c r="DO21" s="1">
        <f t="shared" si="30"/>
        <v>2.7920763000000002</v>
      </c>
      <c r="DP21" s="1">
        <f t="shared" si="30"/>
        <v>3.5088459899999997</v>
      </c>
      <c r="DQ21" s="1">
        <f t="shared" si="30"/>
        <v>2.2524288500000003</v>
      </c>
      <c r="DR21" s="1">
        <f t="shared" si="30"/>
        <v>5.2341166499999998</v>
      </c>
      <c r="DS21" s="1">
        <f t="shared" si="30"/>
        <v>3.1162246899999997</v>
      </c>
      <c r="DT21" s="1">
        <f t="shared" si="30"/>
        <v>3.3747357299999998</v>
      </c>
      <c r="DU21" s="1">
        <f t="shared" si="30"/>
        <v>1.8536983500000002</v>
      </c>
      <c r="DV21" s="1">
        <f t="shared" si="30"/>
        <v>2.01592043</v>
      </c>
      <c r="DW21" s="1">
        <f t="shared" ref="DW21:EE24" si="41">+VLOOKUP(DW$1,ran_dat,$CA21,FALSE)</f>
        <v>3.3244473500000002</v>
      </c>
      <c r="DX21" s="1">
        <f t="shared" si="41"/>
        <v>2.84758625</v>
      </c>
      <c r="DY21" s="1">
        <f t="shared" si="41"/>
        <v>4.1641835499999997</v>
      </c>
      <c r="DZ21" s="1">
        <f t="shared" si="41"/>
        <v>4.5685913500000002</v>
      </c>
      <c r="EA21" s="1">
        <f t="shared" si="41"/>
        <v>6.3615663699999985</v>
      </c>
      <c r="EB21" s="1">
        <f t="shared" si="41"/>
        <v>5.5541627499999997</v>
      </c>
      <c r="EC21" s="1">
        <f t="shared" si="41"/>
        <v>6.8596205599999998</v>
      </c>
      <c r="ED21" s="1">
        <f t="shared" si="41"/>
        <v>4.6739966500000012</v>
      </c>
      <c r="EE21" s="1">
        <f t="shared" si="41"/>
        <v>7.6286560299999993</v>
      </c>
      <c r="EG21" s="14">
        <f t="shared" si="32"/>
        <v>17.13</v>
      </c>
      <c r="EH21" s="14">
        <f t="shared" si="32"/>
        <v>16.89</v>
      </c>
      <c r="EI21" s="1">
        <f t="shared" si="32"/>
        <v>16.87</v>
      </c>
      <c r="EJ21" s="1">
        <f t="shared" si="32"/>
        <v>16.8</v>
      </c>
      <c r="EK21" s="1">
        <f t="shared" si="32"/>
        <v>16.760000000000002</v>
      </c>
      <c r="EL21" s="1">
        <f t="shared" si="32"/>
        <v>16.84</v>
      </c>
      <c r="EM21" s="1">
        <f t="shared" si="32"/>
        <v>16.64</v>
      </c>
      <c r="EN21" s="1">
        <f t="shared" si="32"/>
        <v>16.68</v>
      </c>
      <c r="EO21" s="1">
        <f t="shared" si="32"/>
        <v>16.62</v>
      </c>
      <c r="EP21" s="1">
        <f t="shared" si="32"/>
        <v>16.5</v>
      </c>
      <c r="EQ21" s="1">
        <f t="shared" si="32"/>
        <v>16.64</v>
      </c>
      <c r="ER21" s="1">
        <f t="shared" si="32"/>
        <v>16.68</v>
      </c>
      <c r="ES21" s="1">
        <f t="shared" si="32"/>
        <v>16.72</v>
      </c>
      <c r="ET21" s="1">
        <f t="shared" si="32"/>
        <v>16.75</v>
      </c>
      <c r="EU21" s="1">
        <f t="shared" si="32"/>
        <v>16.760000000000002</v>
      </c>
      <c r="EV21" s="1">
        <f t="shared" ref="EV21:FD24" si="42">+VLOOKUP(EV$1,ran_dat,$CE21,FALSE)</f>
        <v>16.71</v>
      </c>
      <c r="EW21" s="1">
        <f t="shared" si="42"/>
        <v>16.68</v>
      </c>
      <c r="EX21" s="1">
        <f t="shared" si="42"/>
        <v>16.670000000000002</v>
      </c>
      <c r="EY21" s="1">
        <f t="shared" si="42"/>
        <v>16.670000000000002</v>
      </c>
      <c r="EZ21" s="1">
        <f t="shared" si="42"/>
        <v>16.72</v>
      </c>
      <c r="FA21" s="1">
        <f t="shared" si="42"/>
        <v>16.77</v>
      </c>
      <c r="FB21" s="1">
        <f t="shared" si="42"/>
        <v>16.88</v>
      </c>
      <c r="FC21" s="1">
        <f t="shared" si="42"/>
        <v>16.93</v>
      </c>
      <c r="FD21" s="1">
        <f t="shared" si="42"/>
        <v>16.97</v>
      </c>
      <c r="FF21" s="162">
        <f t="shared" si="34"/>
        <v>0.28011437717712617</v>
      </c>
    </row>
    <row r="22" spans="1:162" ht="18.75" customHeight="1">
      <c r="A22" s="243" t="s">
        <v>75</v>
      </c>
      <c r="B22" s="246"/>
      <c r="C22" s="156">
        <f t="shared" si="5"/>
        <v>0.66</v>
      </c>
      <c r="D22" s="198">
        <v>1</v>
      </c>
      <c r="E22" s="248">
        <f t="shared" si="6"/>
        <v>0</v>
      </c>
      <c r="F22" s="249">
        <f t="shared" si="7"/>
        <v>-2.7044344181327951E-2</v>
      </c>
      <c r="G22" s="248">
        <f t="shared" si="8"/>
        <v>2.4380145467825187E-2</v>
      </c>
      <c r="H22" s="249">
        <f t="shared" si="9"/>
        <v>-2.4380145467825187E-2</v>
      </c>
      <c r="I22" s="248">
        <f t="shared" si="10"/>
        <v>1.625</v>
      </c>
      <c r="J22" s="249">
        <f t="shared" si="11"/>
        <v>0.44736584808491298</v>
      </c>
      <c r="K22" s="248">
        <f t="shared" si="12"/>
        <v>0.73862051335283141</v>
      </c>
      <c r="L22" s="249">
        <f t="shared" si="13"/>
        <v>0.88637948664716859</v>
      </c>
      <c r="M22" s="250"/>
      <c r="N22" s="24">
        <v>0</v>
      </c>
      <c r="O22" s="248">
        <f t="shared" si="35"/>
        <v>0.10289900078548864</v>
      </c>
      <c r="P22" s="251">
        <f t="shared" si="36"/>
        <v>0.10289900078548864</v>
      </c>
      <c r="Q22" s="248">
        <f t="shared" si="14"/>
        <v>-7.0102125429331252E-2</v>
      </c>
      <c r="R22" s="251">
        <f t="shared" si="37"/>
        <v>-7.0102125429331252E-2</v>
      </c>
      <c r="S22" s="250"/>
      <c r="T22" s="24">
        <v>1</v>
      </c>
      <c r="U22" s="248">
        <f t="shared" si="15"/>
        <v>-4.9502979581969919E-2</v>
      </c>
      <c r="V22" s="252">
        <f t="shared" si="16"/>
        <v>-4.9502979581969919E-2</v>
      </c>
      <c r="W22" s="248">
        <f t="shared" si="38"/>
        <v>-0.1607047999745842</v>
      </c>
      <c r="X22" s="252">
        <f t="shared" si="17"/>
        <v>-0.1607047999745842</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
        <f>VLOOKUP($A22,historia!$A$5:$CM$24,+HLOOKUP(AO$2,historia!$A$3:$EC$4,2,FALSE),FALSE)</f>
        <v>3</v>
      </c>
      <c r="AP22" s="28">
        <f>VLOOKUP($A22,historia!$A$5:$CM$24,+HLOOKUP(AP$2,historia!$A$3:$EC$4,2,FALSE),FALSE)</f>
        <v>3</v>
      </c>
      <c r="AQ22" s="28">
        <f>VLOOKUP($A22,historia!$A$5:$CM$24,+HLOOKUP(AQ$2,historia!$A$3:$EC$4,2,FALSE),FALSE)</f>
        <v>4</v>
      </c>
      <c r="AR22" s="28">
        <f>VLOOKUP($A22,historia!$A$5:$CM$24,+HLOOKUP(AR$2,historia!$A$3:$EC$4,2,FALSE),FALSE)</f>
        <v>4</v>
      </c>
      <c r="AS22" s="58">
        <f>VLOOKUP($A22,historia!$A$5:$CM$24,+HLOOKUP(AS$2,historia!$A$3:$EC$4,2,FALSE),FALSE)</f>
        <v>3</v>
      </c>
      <c r="AT22" s="58">
        <f>VLOOKUP($A22,historia!$A$5:$CM$24,+HLOOKUP(AT$2,historia!$A$3:$EC$4,2,FALSE),FALSE)</f>
        <v>2</v>
      </c>
      <c r="AU22" s="58">
        <f>VLOOKUP($A22,historia!$A$5:$CM$24,+HLOOKUP(AU$2,historia!$A$3:$EC$4,2,FALSE),FALSE)</f>
        <v>2</v>
      </c>
      <c r="AV22" s="58">
        <v>2</v>
      </c>
      <c r="AW22" s="58">
        <v>2</v>
      </c>
      <c r="AX22" s="58">
        <v>2</v>
      </c>
      <c r="AY22" s="58">
        <v>2</v>
      </c>
      <c r="AZ22" s="58">
        <v>2</v>
      </c>
      <c r="BA22" s="30"/>
      <c r="BB22" s="141">
        <v>2</v>
      </c>
      <c r="BC22" t="str">
        <f t="shared" si="20"/>
        <v>Tabaco</v>
      </c>
      <c r="BD22">
        <f>+datos!BJ1</f>
        <v>62</v>
      </c>
      <c r="BE22" s="2" t="str">
        <f t="shared" si="4"/>
        <v>$/kg</v>
      </c>
      <c r="BF22" s="2">
        <f t="shared" si="4"/>
        <v>3675</v>
      </c>
      <c r="BG22" s="2">
        <f t="shared" si="4"/>
        <v>3675</v>
      </c>
      <c r="BH22" s="2">
        <f t="shared" si="4"/>
        <v>1400</v>
      </c>
      <c r="BJ22">
        <f>+datos!DA1</f>
        <v>105</v>
      </c>
      <c r="BK22" s="2">
        <f t="shared" si="21"/>
        <v>9273.5198806166827</v>
      </c>
      <c r="BL22" s="2">
        <f t="shared" si="21"/>
        <v>9052.8110307932111</v>
      </c>
      <c r="BM22" s="2">
        <f t="shared" si="21"/>
        <v>5333.8378383292074</v>
      </c>
      <c r="BO22" s="1">
        <f>+datos!FD1</f>
        <v>160</v>
      </c>
      <c r="BP22" s="1">
        <f t="shared" si="22"/>
        <v>60376</v>
      </c>
      <c r="BQ22" s="1">
        <f t="shared" si="22"/>
        <v>54743</v>
      </c>
      <c r="BS22" s="1">
        <f>+datos!GX1</f>
        <v>206</v>
      </c>
      <c r="BT22" s="1">
        <f t="shared" si="23"/>
        <v>30804.553</v>
      </c>
      <c r="BU22" s="1">
        <f t="shared" si="23"/>
        <v>33126.813000000002</v>
      </c>
      <c r="BW22" s="1">
        <f>+datos!KC1</f>
        <v>289</v>
      </c>
      <c r="BX22" s="1">
        <f t="shared" si="39"/>
        <v>513.07663520000006</v>
      </c>
      <c r="BY22" s="1">
        <f t="shared" si="40"/>
        <v>539.79825730999994</v>
      </c>
      <c r="CA22" s="1">
        <f>+datos!LH1</f>
        <v>320</v>
      </c>
      <c r="CB22" s="2">
        <f t="shared" si="24"/>
        <v>56.955095910000004</v>
      </c>
      <c r="CC22" s="2">
        <f t="shared" si="25"/>
        <v>67.860623899999993</v>
      </c>
      <c r="CE22" s="1">
        <f>+datos!JD1</f>
        <v>264</v>
      </c>
      <c r="CF22" s="1">
        <f t="shared" si="26"/>
        <v>0</v>
      </c>
      <c r="CG22" s="1">
        <f t="shared" si="27"/>
        <v>0</v>
      </c>
      <c r="CI22" s="1">
        <f t="shared" ref="CI22:CX24" si="43">+VLOOKUP(CI$1,ran_dat,$BW22,FALSE)</f>
        <v>65.18720725</v>
      </c>
      <c r="CJ22" s="1">
        <f t="shared" si="43"/>
        <v>34.962073999999994</v>
      </c>
      <c r="CK22" s="1">
        <f t="shared" si="43"/>
        <v>41.640055749999995</v>
      </c>
      <c r="CL22" s="1">
        <f t="shared" si="43"/>
        <v>54.488227269999996</v>
      </c>
      <c r="CM22" s="1">
        <f t="shared" si="43"/>
        <v>45.888815350000002</v>
      </c>
      <c r="CN22" s="1">
        <f t="shared" si="43"/>
        <v>56.365947810000002</v>
      </c>
      <c r="CO22" s="1">
        <f t="shared" si="43"/>
        <v>58.671597329999997</v>
      </c>
      <c r="CP22" s="1">
        <f t="shared" si="43"/>
        <v>31.625168280000004</v>
      </c>
      <c r="CQ22" s="1">
        <f t="shared" si="43"/>
        <v>17.697801470000002</v>
      </c>
      <c r="CR22" s="1">
        <f t="shared" si="43"/>
        <v>30.191481329999998</v>
      </c>
      <c r="CS22" s="1">
        <f t="shared" si="43"/>
        <v>36.249269399999989</v>
      </c>
      <c r="CT22" s="1">
        <f t="shared" si="43"/>
        <v>40.108989959999995</v>
      </c>
      <c r="CU22" s="1">
        <f t="shared" si="43"/>
        <v>56.890802439999995</v>
      </c>
      <c r="CV22" s="1">
        <f t="shared" si="43"/>
        <v>36.8257318</v>
      </c>
      <c r="CW22" s="1">
        <f t="shared" si="43"/>
        <v>51.381121719999996</v>
      </c>
      <c r="CX22" s="1">
        <f t="shared" si="43"/>
        <v>33.051481680000002</v>
      </c>
      <c r="CY22" s="1">
        <f t="shared" ref="CY22:DF24" si="44">+VLOOKUP(CY$1,ran_dat,$BW22,FALSE)</f>
        <v>60.888504160000004</v>
      </c>
      <c r="CZ22" s="1">
        <f t="shared" si="44"/>
        <v>55.773078730000002</v>
      </c>
      <c r="DA22" s="1">
        <f t="shared" si="44"/>
        <v>34.825160650000001</v>
      </c>
      <c r="DB22" s="1">
        <f t="shared" si="44"/>
        <v>19.014000799999998</v>
      </c>
      <c r="DC22" s="1">
        <f t="shared" si="44"/>
        <v>13.328405800000001</v>
      </c>
      <c r="DD22" s="1">
        <f t="shared" si="44"/>
        <v>41.736807310000003</v>
      </c>
      <c r="DE22" s="1">
        <f t="shared" si="44"/>
        <v>99.771490689999993</v>
      </c>
      <c r="DF22" s="1">
        <f t="shared" si="44"/>
        <v>36.311671529999998</v>
      </c>
      <c r="DH22" s="1">
        <f t="shared" ref="DH22:DW24" si="45">+VLOOKUP(DH$1,ran_dat,$CA22,FALSE)</f>
        <v>6.9241559000000006</v>
      </c>
      <c r="DI22" s="1">
        <f t="shared" si="45"/>
        <v>4.9762964800000002</v>
      </c>
      <c r="DJ22" s="1">
        <f t="shared" si="45"/>
        <v>5.7062324599999998</v>
      </c>
      <c r="DK22" s="1">
        <f t="shared" si="45"/>
        <v>5.3893107900000006</v>
      </c>
      <c r="DL22" s="1">
        <f t="shared" si="45"/>
        <v>5.0602291599999996</v>
      </c>
      <c r="DM22" s="1">
        <f t="shared" si="45"/>
        <v>1.1636776099999999</v>
      </c>
      <c r="DN22" s="1">
        <f t="shared" si="45"/>
        <v>4.3331795800000004</v>
      </c>
      <c r="DO22" s="1">
        <f t="shared" si="45"/>
        <v>5.5991701699999998</v>
      </c>
      <c r="DP22" s="1">
        <f t="shared" si="45"/>
        <v>5.1284923700000009</v>
      </c>
      <c r="DQ22" s="1">
        <f t="shared" si="45"/>
        <v>4.8853449399999995</v>
      </c>
      <c r="DR22" s="1">
        <f t="shared" si="45"/>
        <v>4.5019780499999991</v>
      </c>
      <c r="DS22" s="1">
        <f t="shared" si="45"/>
        <v>3.2870284000000001</v>
      </c>
      <c r="DT22" s="1">
        <f t="shared" si="45"/>
        <v>2.2553329799999999</v>
      </c>
      <c r="DU22" s="1">
        <f t="shared" si="45"/>
        <v>4.9563280900000004</v>
      </c>
      <c r="DV22" s="1">
        <f t="shared" si="45"/>
        <v>5.4312745199999997</v>
      </c>
      <c r="DW22" s="1">
        <f t="shared" si="45"/>
        <v>5.9427570699999999</v>
      </c>
      <c r="DX22" s="1">
        <f t="shared" si="41"/>
        <v>7.0989514199999997</v>
      </c>
      <c r="DY22" s="1">
        <f t="shared" si="41"/>
        <v>8.0901624599999984</v>
      </c>
      <c r="DZ22" s="1">
        <f t="shared" si="41"/>
        <v>8.5152603000000013</v>
      </c>
      <c r="EA22" s="1">
        <f t="shared" si="41"/>
        <v>6.4262316399999984</v>
      </c>
      <c r="EB22" s="1">
        <f t="shared" si="41"/>
        <v>5.5724239500000001</v>
      </c>
      <c r="EC22" s="1">
        <f t="shared" si="41"/>
        <v>6.0969073500000004</v>
      </c>
      <c r="ED22" s="1">
        <f t="shared" si="41"/>
        <v>3.8674547000000001</v>
      </c>
      <c r="EE22" s="1">
        <f t="shared" si="41"/>
        <v>3.6075394200000002</v>
      </c>
      <c r="EG22" s="14">
        <f t="shared" ref="EG22:EV24" si="46">+VLOOKUP(EG$1,ran_dat,$CE22,FALSE)</f>
        <v>0</v>
      </c>
      <c r="EH22" s="14">
        <f t="shared" si="46"/>
        <v>0</v>
      </c>
      <c r="EI22" s="1">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2"/>
        <v>0</v>
      </c>
      <c r="EX22" s="1">
        <f t="shared" si="42"/>
        <v>0</v>
      </c>
      <c r="EY22" s="1">
        <f t="shared" si="42"/>
        <v>0</v>
      </c>
      <c r="EZ22" s="1">
        <f t="shared" si="42"/>
        <v>0</v>
      </c>
      <c r="FA22" s="1">
        <f t="shared" si="42"/>
        <v>0</v>
      </c>
      <c r="FB22" s="1">
        <f t="shared" si="42"/>
        <v>0</v>
      </c>
      <c r="FC22" s="1">
        <f t="shared" si="42"/>
        <v>0</v>
      </c>
      <c r="FD22" s="1">
        <f t="shared" si="42"/>
        <v>0</v>
      </c>
      <c r="FF22" s="162">
        <f t="shared" si="34"/>
        <v>0.88637948664716859</v>
      </c>
    </row>
    <row r="23" spans="1:162" ht="18.75" customHeight="1">
      <c r="A23" s="244" t="s">
        <v>219</v>
      </c>
      <c r="B23" s="247"/>
      <c r="C23" s="228">
        <f t="shared" si="5"/>
        <v>-0.99</v>
      </c>
      <c r="D23" s="229">
        <v>-1</v>
      </c>
      <c r="E23" s="253">
        <f t="shared" si="6"/>
        <v>3.4999422632794763E-2</v>
      </c>
      <c r="F23" s="254">
        <f t="shared" si="7"/>
        <v>7.9550784514668127E-3</v>
      </c>
      <c r="G23" s="253">
        <f t="shared" si="8"/>
        <v>2.0891758049046638E-2</v>
      </c>
      <c r="H23" s="254">
        <f t="shared" si="9"/>
        <v>1.4107664583748125E-2</v>
      </c>
      <c r="I23" s="253">
        <f t="shared" si="10"/>
        <v>0.7971243908478558</v>
      </c>
      <c r="J23" s="254">
        <f t="shared" si="11"/>
        <v>-0.38050976106723122</v>
      </c>
      <c r="K23" s="253">
        <f t="shared" si="12"/>
        <v>0.59091984691736199</v>
      </c>
      <c r="L23" s="254">
        <f t="shared" si="13"/>
        <v>0.20620454393049381</v>
      </c>
      <c r="M23" s="255"/>
      <c r="N23" s="256">
        <v>-2</v>
      </c>
      <c r="O23" s="253">
        <f t="shared" si="35"/>
        <v>-2.3925173422115087E-2</v>
      </c>
      <c r="P23" s="257">
        <f t="shared" si="36"/>
        <v>-2.3925173422115087E-2</v>
      </c>
      <c r="Q23" s="253">
        <f t="shared" si="14"/>
        <v>0.31859999476400835</v>
      </c>
      <c r="R23" s="257">
        <f t="shared" si="37"/>
        <v>0.31859999476400835</v>
      </c>
      <c r="S23" s="255"/>
      <c r="T23" s="256">
        <v>0</v>
      </c>
      <c r="U23" s="253">
        <f t="shared" si="15"/>
        <v>0.13498340050058588</v>
      </c>
      <c r="V23" s="258">
        <f t="shared" si="16"/>
        <v>0.13498340050058588</v>
      </c>
      <c r="W23" s="253">
        <f t="shared" si="38"/>
        <v>0.28951518546065969</v>
      </c>
      <c r="X23" s="258">
        <f t="shared" si="17"/>
        <v>0.28951518546065969</v>
      </c>
      <c r="Y23" s="253">
        <f t="shared" si="18"/>
        <v>-2.39520958083832E-2</v>
      </c>
      <c r="Z23" s="258">
        <f t="shared" si="19"/>
        <v>-2.39520958083832E-2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
        <f>VLOOKUP($A23,historia!$A$5:$CM$24,+HLOOKUP(AO$2,historia!$A$3:$EC$4,2,FALSE),FALSE)</f>
        <v>5</v>
      </c>
      <c r="AP23" s="28">
        <f>VLOOKUP($A23,historia!$A$5:$CM$24,+HLOOKUP(AP$2,historia!$A$3:$EC$4,2,FALSE),FALSE)</f>
        <v>5</v>
      </c>
      <c r="AQ23" s="28">
        <f>VLOOKUP($A23,historia!$A$5:$CM$24,+HLOOKUP(AQ$2,historia!$A$3:$EC$4,2,FALSE),FALSE)</f>
        <v>5</v>
      </c>
      <c r="AR23" s="28">
        <f>VLOOKUP($A23,historia!$A$5:$CM$24,+HLOOKUP(AR$2,historia!$A$3:$EC$4,2,FALSE),FALSE)</f>
        <v>5</v>
      </c>
      <c r="AS23" s="58">
        <f>VLOOKUP($A23,historia!$A$5:$CM$24,+HLOOKUP(AS$2,historia!$A$3:$EC$4,2,FALSE),FALSE)</f>
        <v>5</v>
      </c>
      <c r="AT23" s="58">
        <f>VLOOKUP($A23,historia!$A$5:$CM$24,+HLOOKUP(AT$2,historia!$A$3:$EC$4,2,FALSE),FALSE)</f>
        <v>5</v>
      </c>
      <c r="AU23" s="58">
        <f>VLOOKUP($A23,historia!$A$5:$CM$24,+HLOOKUP(AU$2,historia!$A$3:$EC$4,2,FALSE),FALSE)</f>
        <v>4</v>
      </c>
      <c r="AV23" s="58">
        <v>4</v>
      </c>
      <c r="AW23" s="58">
        <v>4</v>
      </c>
      <c r="AX23" s="58">
        <v>2</v>
      </c>
      <c r="AY23" s="58">
        <v>4</v>
      </c>
      <c r="AZ23" s="58">
        <v>4</v>
      </c>
      <c r="BA23" s="30"/>
      <c r="BB23" s="141">
        <v>4</v>
      </c>
      <c r="BC23" t="str">
        <f t="shared" si="20"/>
        <v>Vino y Mosto</v>
      </c>
      <c r="BD23">
        <f>+datos!AM1</f>
        <v>39</v>
      </c>
      <c r="BE23" s="2" t="str">
        <f t="shared" si="4"/>
        <v>$/l</v>
      </c>
      <c r="BF23" s="2">
        <f t="shared" si="4"/>
        <v>358.52380000000005</v>
      </c>
      <c r="BG23" s="2">
        <f t="shared" si="4"/>
        <v>346.4</v>
      </c>
      <c r="BH23" s="2">
        <f t="shared" si="4"/>
        <v>199.49860000000001</v>
      </c>
      <c r="BJ23">
        <f>+datos!CP1</f>
        <v>94</v>
      </c>
      <c r="BK23" s="2">
        <f t="shared" si="21"/>
        <v>10501.695222271172</v>
      </c>
      <c r="BL23" s="2">
        <f t="shared" si="21"/>
        <v>10286.786174413055</v>
      </c>
      <c r="BM23" s="2">
        <f t="shared" si="21"/>
        <v>6601.0209393136493</v>
      </c>
      <c r="BO23" s="1">
        <f>+datos!EF1</f>
        <v>136</v>
      </c>
      <c r="BP23" s="1">
        <f t="shared" si="22"/>
        <v>199946</v>
      </c>
      <c r="BQ23" s="1">
        <f t="shared" si="22"/>
        <v>204847</v>
      </c>
      <c r="BS23" s="1">
        <f>+datos!GB1</f>
        <v>184</v>
      </c>
      <c r="BT23" s="1">
        <f t="shared" si="23"/>
        <v>19189740</v>
      </c>
      <c r="BU23" s="1">
        <f t="shared" si="23"/>
        <v>14553117</v>
      </c>
      <c r="BW23" s="1">
        <f>+datos!JU1</f>
        <v>281</v>
      </c>
      <c r="BX23" s="1">
        <f t="shared" si="39"/>
        <v>993.89382650999983</v>
      </c>
      <c r="BY23" s="1">
        <f t="shared" si="40"/>
        <v>875.69018725000001</v>
      </c>
      <c r="CA23" s="1">
        <f>+datos!KZ1</f>
        <v>312</v>
      </c>
      <c r="CB23" s="2">
        <f t="shared" si="24"/>
        <v>20.282031920000001</v>
      </c>
      <c r="CC23" s="2">
        <f t="shared" si="25"/>
        <v>15.728416500000002</v>
      </c>
      <c r="CE23" s="1">
        <f>+datos!IQ1</f>
        <v>251</v>
      </c>
      <c r="CF23" s="1">
        <f t="shared" si="26"/>
        <v>16.3</v>
      </c>
      <c r="CG23" s="1">
        <f t="shared" si="27"/>
        <v>16.7</v>
      </c>
      <c r="CI23" s="1">
        <f t="shared" si="43"/>
        <v>85.381089520000018</v>
      </c>
      <c r="CJ23" s="1">
        <f t="shared" si="43"/>
        <v>87.09478919</v>
      </c>
      <c r="CK23" s="1">
        <f t="shared" si="43"/>
        <v>88.790830600000021</v>
      </c>
      <c r="CL23" s="1">
        <f t="shared" si="43"/>
        <v>106.11166329999998</v>
      </c>
      <c r="CM23" s="1">
        <f t="shared" si="43"/>
        <v>99.074693340000039</v>
      </c>
      <c r="CN23" s="1">
        <f t="shared" si="43"/>
        <v>115.95052356999999</v>
      </c>
      <c r="CO23" s="1">
        <f t="shared" si="43"/>
        <v>55.887516779999999</v>
      </c>
      <c r="CP23" s="1">
        <f t="shared" si="43"/>
        <v>84.428757199999993</v>
      </c>
      <c r="CQ23" s="1">
        <f t="shared" si="43"/>
        <v>70.799436420000006</v>
      </c>
      <c r="CR23" s="1">
        <f t="shared" si="43"/>
        <v>83.547570889999989</v>
      </c>
      <c r="CS23" s="1">
        <f t="shared" si="43"/>
        <v>59.429446169999991</v>
      </c>
      <c r="CT23" s="1">
        <f t="shared" si="43"/>
        <v>57.397509530000008</v>
      </c>
      <c r="CU23" s="1">
        <f t="shared" si="43"/>
        <v>71.762443020000006</v>
      </c>
      <c r="CV23" s="1">
        <f t="shared" si="43"/>
        <v>76.246675170000003</v>
      </c>
      <c r="CW23" s="1">
        <f t="shared" si="43"/>
        <v>81.396405279999982</v>
      </c>
      <c r="CX23" s="1">
        <f t="shared" si="43"/>
        <v>86.673250950000011</v>
      </c>
      <c r="CY23" s="1">
        <f t="shared" si="44"/>
        <v>67.769583350000005</v>
      </c>
      <c r="CZ23" s="1">
        <f t="shared" si="44"/>
        <v>79.411450110000018</v>
      </c>
      <c r="DA23" s="1">
        <f t="shared" si="44"/>
        <v>61.526627820000002</v>
      </c>
      <c r="DB23" s="1">
        <f t="shared" si="44"/>
        <v>82.508437450000031</v>
      </c>
      <c r="DC23" s="1">
        <f t="shared" si="44"/>
        <v>73.17738731</v>
      </c>
      <c r="DD23" s="1">
        <f t="shared" si="44"/>
        <v>70.498219510000013</v>
      </c>
      <c r="DE23" s="1">
        <f t="shared" si="44"/>
        <v>58.070113270000007</v>
      </c>
      <c r="DF23" s="1">
        <f t="shared" si="44"/>
        <v>66.649594010000001</v>
      </c>
      <c r="DH23" s="1">
        <f t="shared" si="45"/>
        <v>1.6918772199999998</v>
      </c>
      <c r="DI23" s="1">
        <f t="shared" si="45"/>
        <v>4.1008112300000006</v>
      </c>
      <c r="DJ23" s="1">
        <f t="shared" si="45"/>
        <v>2.9628047099999995</v>
      </c>
      <c r="DK23" s="1">
        <f t="shared" si="45"/>
        <v>2.4415022799999999</v>
      </c>
      <c r="DL23" s="1">
        <f t="shared" si="45"/>
        <v>2.4186424700000004</v>
      </c>
      <c r="DM23" s="1">
        <f t="shared" si="45"/>
        <v>2.3161338599999999</v>
      </c>
      <c r="DN23" s="1">
        <f t="shared" si="45"/>
        <v>0.34545517000000003</v>
      </c>
      <c r="DO23" s="1">
        <f t="shared" si="45"/>
        <v>1.3068112300000001</v>
      </c>
      <c r="DP23" s="1">
        <f t="shared" si="45"/>
        <v>1.01985657</v>
      </c>
      <c r="DQ23" s="1">
        <f t="shared" si="45"/>
        <v>0.49471243999999998</v>
      </c>
      <c r="DR23" s="1">
        <f t="shared" si="45"/>
        <v>0.76659119999999992</v>
      </c>
      <c r="DS23" s="1">
        <f t="shared" si="45"/>
        <v>0.41683354000000006</v>
      </c>
      <c r="DT23" s="1">
        <f t="shared" si="45"/>
        <v>1.01193058</v>
      </c>
      <c r="DU23" s="1">
        <f t="shared" si="45"/>
        <v>1.2280305999999999</v>
      </c>
      <c r="DV23" s="1">
        <f t="shared" si="45"/>
        <v>1.7214946800000002</v>
      </c>
      <c r="DW23" s="1">
        <f t="shared" si="45"/>
        <v>1.3147188099999998</v>
      </c>
      <c r="DX23" s="1">
        <f t="shared" si="41"/>
        <v>1.8704580099999999</v>
      </c>
      <c r="DY23" s="1">
        <f t="shared" si="41"/>
        <v>1.2166211999999998</v>
      </c>
      <c r="DZ23" s="1">
        <f t="shared" si="41"/>
        <v>1.2618213600000001</v>
      </c>
      <c r="EA23" s="1">
        <f t="shared" si="41"/>
        <v>2.6711612799999997</v>
      </c>
      <c r="EB23" s="1">
        <f t="shared" si="41"/>
        <v>1.8665371000000002</v>
      </c>
      <c r="EC23" s="1">
        <f t="shared" si="41"/>
        <v>1.1160735099999999</v>
      </c>
      <c r="ED23" s="1">
        <f t="shared" si="41"/>
        <v>0.32453726999999999</v>
      </c>
      <c r="EE23" s="1">
        <f t="shared" si="41"/>
        <v>0.12503209999999998</v>
      </c>
      <c r="EG23" s="14">
        <f t="shared" si="46"/>
        <v>16.3</v>
      </c>
      <c r="EH23" s="14">
        <f t="shared" si="46"/>
        <v>16.3</v>
      </c>
      <c r="EI23" s="1">
        <f t="shared" si="46"/>
        <v>16.3</v>
      </c>
      <c r="EJ23" s="1">
        <f t="shared" si="46"/>
        <v>16.3</v>
      </c>
      <c r="EK23" s="1">
        <f t="shared" si="46"/>
        <v>16.3</v>
      </c>
      <c r="EL23" s="1">
        <f t="shared" si="46"/>
        <v>16.3</v>
      </c>
      <c r="EM23" s="1">
        <f t="shared" si="46"/>
        <v>16.3</v>
      </c>
      <c r="EN23" s="1">
        <f t="shared" si="46"/>
        <v>16.3</v>
      </c>
      <c r="EO23" s="1">
        <f t="shared" si="46"/>
        <v>16.3</v>
      </c>
      <c r="EP23" s="1">
        <f t="shared" si="46"/>
        <v>16.3</v>
      </c>
      <c r="EQ23" s="1">
        <f t="shared" si="46"/>
        <v>16.3</v>
      </c>
      <c r="ER23" s="1">
        <f t="shared" si="46"/>
        <v>16.3</v>
      </c>
      <c r="ES23" s="1">
        <f t="shared" si="46"/>
        <v>16.7</v>
      </c>
      <c r="ET23" s="1">
        <f t="shared" si="46"/>
        <v>16.7</v>
      </c>
      <c r="EU23" s="1">
        <f t="shared" si="46"/>
        <v>16.7</v>
      </c>
      <c r="EV23" s="1">
        <f t="shared" si="46"/>
        <v>16.7</v>
      </c>
      <c r="EW23" s="1">
        <f t="shared" si="42"/>
        <v>16.7</v>
      </c>
      <c r="EX23" s="1">
        <f t="shared" si="42"/>
        <v>16.7</v>
      </c>
      <c r="EY23" s="1">
        <f t="shared" si="42"/>
        <v>16.7</v>
      </c>
      <c r="EZ23" s="1">
        <f t="shared" si="42"/>
        <v>16.7</v>
      </c>
      <c r="FA23" s="1">
        <f t="shared" si="42"/>
        <v>16.7</v>
      </c>
      <c r="FB23" s="1">
        <f t="shared" si="42"/>
        <v>16.7</v>
      </c>
      <c r="FC23" s="1">
        <f t="shared" si="42"/>
        <v>16.7</v>
      </c>
      <c r="FD23" s="1">
        <f t="shared" si="42"/>
        <v>16.7</v>
      </c>
      <c r="FF23" s="162">
        <f t="shared" si="34"/>
        <v>0.20620454393049381</v>
      </c>
    </row>
    <row r="24" spans="1:162" ht="18.75" customHeight="1">
      <c r="A24" s="243" t="s">
        <v>39</v>
      </c>
      <c r="B24" s="246"/>
      <c r="C24" s="156">
        <f t="shared" si="5"/>
        <v>-0.65999999999999992</v>
      </c>
      <c r="D24" s="198">
        <v>-3</v>
      </c>
      <c r="E24" s="248">
        <f t="shared" si="6"/>
        <v>0</v>
      </c>
      <c r="F24" s="249">
        <f t="shared" si="7"/>
        <v>-2.7044344181327951E-2</v>
      </c>
      <c r="G24" s="248">
        <f t="shared" si="8"/>
        <v>2.5864207972727815E-2</v>
      </c>
      <c r="H24" s="249">
        <f t="shared" si="9"/>
        <v>-2.5864207972727815E-2</v>
      </c>
      <c r="I24" s="248">
        <f t="shared" si="10"/>
        <v>-0.2142857142857143</v>
      </c>
      <c r="J24" s="249">
        <f t="shared" si="11"/>
        <v>-1.3919198662008014</v>
      </c>
      <c r="K24" s="248">
        <f t="shared" si="12"/>
        <v>0.84218059189259065</v>
      </c>
      <c r="L24" s="249">
        <f t="shared" si="13"/>
        <v>-1.0564663061783048</v>
      </c>
      <c r="M24" s="250"/>
      <c r="N24" s="24">
        <v>1</v>
      </c>
      <c r="O24" s="248">
        <f t="shared" si="35"/>
        <v>3.6432873308666736E-2</v>
      </c>
      <c r="P24" s="251">
        <f t="shared" si="36"/>
        <v>3.6432873308666736E-2</v>
      </c>
      <c r="Q24" s="248">
        <f t="shared" si="14"/>
        <v>0.27328121219358859</v>
      </c>
      <c r="R24" s="251">
        <f t="shared" si="37"/>
        <v>0.27328121219358859</v>
      </c>
      <c r="S24" s="250"/>
      <c r="T24" s="24">
        <v>0</v>
      </c>
      <c r="U24" s="248">
        <f t="shared" si="15"/>
        <v>8.9019538846166091E-2</v>
      </c>
      <c r="V24" s="252">
        <f t="shared" si="16"/>
        <v>8.9019538846166091E-2</v>
      </c>
      <c r="W24" s="248">
        <f t="shared" si="38"/>
        <v>0.4101807167030298</v>
      </c>
      <c r="X24" s="258">
        <f t="shared" si="17"/>
        <v>0.4101807167030298</v>
      </c>
      <c r="Y24" s="248">
        <f t="shared" si="18"/>
        <v>-9.2922519141609095E-2</v>
      </c>
      <c r="Z24" s="252">
        <f t="shared" si="19"/>
        <v>-9.2922519141609095E-2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
        <f>VLOOKUP($A24,historia!$A$5:$CM$24,+HLOOKUP(AO$2,historia!$A$3:$EC$4,2,FALSE),FALSE)</f>
        <v>2</v>
      </c>
      <c r="AP24" s="28">
        <f>VLOOKUP($A24,historia!$A$5:$CM$24,+HLOOKUP(AP$2,historia!$A$3:$EC$4,2,FALSE),FALSE)</f>
        <v>2</v>
      </c>
      <c r="AQ24" s="28">
        <f>VLOOKUP($A24,historia!$A$5:$CM$24,+HLOOKUP(AQ$2,historia!$A$3:$EC$4,2,FALSE),FALSE)</f>
        <v>2</v>
      </c>
      <c r="AR24" s="28">
        <f>VLOOKUP($A24,historia!$A$5:$CM$24,+HLOOKUP(AR$2,historia!$A$3:$EC$4,2,FALSE),FALSE)</f>
        <v>4</v>
      </c>
      <c r="AS24" s="58">
        <f>VLOOKUP($A24,historia!$A$5:$CM$24,+HLOOKUP(AS$2,historia!$A$3:$EC$4,2,FALSE),FALSE)</f>
        <v>4</v>
      </c>
      <c r="AT24" s="58">
        <f>VLOOKUP($A24,historia!$A$5:$CM$24,+HLOOKUP(AT$2,historia!$A$3:$EC$4,2,FALSE),FALSE)</f>
        <v>4</v>
      </c>
      <c r="AU24" s="58">
        <f>VLOOKUP($A24,historia!$A$5:$CM$24,+HLOOKUP(AU$2,historia!$A$3:$EC$4,2,FALSE),FALSE)</f>
        <v>4</v>
      </c>
      <c r="AV24" s="58">
        <v>4</v>
      </c>
      <c r="AW24" s="58">
        <v>4</v>
      </c>
      <c r="AX24" s="58">
        <v>4</v>
      </c>
      <c r="AY24" s="58">
        <v>4</v>
      </c>
      <c r="AZ24" s="58">
        <v>4</v>
      </c>
      <c r="BA24" s="30"/>
      <c r="BB24" s="141">
        <v>4</v>
      </c>
      <c r="BC24" t="str">
        <f t="shared" si="20"/>
        <v>Yerba Mate</v>
      </c>
      <c r="BD24">
        <f>+datos!AG1</f>
        <v>33</v>
      </c>
      <c r="BE24" s="2" t="str">
        <f t="shared" si="4"/>
        <v>$/t</v>
      </c>
      <c r="BF24" s="2">
        <f t="shared" si="4"/>
        <v>165000</v>
      </c>
      <c r="BG24" s="2">
        <f t="shared" si="4"/>
        <v>165000</v>
      </c>
      <c r="BH24" s="2">
        <f t="shared" si="4"/>
        <v>210000</v>
      </c>
      <c r="BJ24">
        <f>+datos!CY1</f>
        <v>103</v>
      </c>
      <c r="BK24" s="2">
        <f t="shared" si="21"/>
        <v>8887.6920145842287</v>
      </c>
      <c r="BL24" s="2">
        <f t="shared" si="21"/>
        <v>8663.6144876793514</v>
      </c>
      <c r="BM24" s="2">
        <f t="shared" si="21"/>
        <v>4824.5498045625</v>
      </c>
      <c r="BO24" s="1">
        <f>+datos!ED1</f>
        <v>134</v>
      </c>
      <c r="BP24" s="1">
        <f t="shared" si="22"/>
        <v>230256</v>
      </c>
      <c r="BQ24" s="1">
        <f t="shared" si="22"/>
        <v>222162</v>
      </c>
      <c r="BS24" s="1">
        <f>+datos!FZ1</f>
        <v>182</v>
      </c>
      <c r="BT24" s="1">
        <f t="shared" si="23"/>
        <v>985731</v>
      </c>
      <c r="BU24" s="1">
        <f t="shared" si="23"/>
        <v>774165.98200000008</v>
      </c>
      <c r="BW24" s="1">
        <f>+datos!KD1</f>
        <v>290</v>
      </c>
      <c r="BX24" s="1">
        <f t="shared" si="39"/>
        <v>118.20413191</v>
      </c>
      <c r="BY24" s="1">
        <f t="shared" si="40"/>
        <v>108.54179166999998</v>
      </c>
      <c r="CA24" s="1">
        <f>+datos!LI1</f>
        <v>321</v>
      </c>
      <c r="CB24" s="2">
        <f t="shared" si="24"/>
        <v>22.09966652</v>
      </c>
      <c r="CC24" s="2">
        <f t="shared" si="25"/>
        <v>15.671513769999999</v>
      </c>
      <c r="CE24" s="1">
        <f>+datos!IP1</f>
        <v>250</v>
      </c>
      <c r="CF24" s="1">
        <f t="shared" si="26"/>
        <v>5.5693606783423002</v>
      </c>
      <c r="CG24" s="1">
        <f t="shared" si="27"/>
        <v>6.139895208369488</v>
      </c>
      <c r="CI24" s="1">
        <f t="shared" si="43"/>
        <v>10.805856030000001</v>
      </c>
      <c r="CJ24" s="1">
        <f t="shared" si="43"/>
        <v>10.476429469999998</v>
      </c>
      <c r="CK24" s="1">
        <f t="shared" si="43"/>
        <v>11.361751129999998</v>
      </c>
      <c r="CL24" s="1">
        <f t="shared" si="43"/>
        <v>10.05873476</v>
      </c>
      <c r="CM24" s="1">
        <f t="shared" si="43"/>
        <v>9.4659040999999995</v>
      </c>
      <c r="CN24" s="1">
        <f t="shared" si="43"/>
        <v>8.3006057400000017</v>
      </c>
      <c r="CO24" s="1">
        <f t="shared" si="43"/>
        <v>11.077079630000002</v>
      </c>
      <c r="CP24" s="1">
        <f t="shared" si="43"/>
        <v>7.2906957700000001</v>
      </c>
      <c r="CQ24" s="1">
        <f t="shared" si="43"/>
        <v>8.852789640000001</v>
      </c>
      <c r="CR24" s="1">
        <f t="shared" si="43"/>
        <v>12.408222910000001</v>
      </c>
      <c r="CS24" s="1">
        <f t="shared" si="43"/>
        <v>8.8663402400000013</v>
      </c>
      <c r="CT24" s="1">
        <f t="shared" si="43"/>
        <v>9.2397224899999983</v>
      </c>
      <c r="CU24" s="1">
        <f t="shared" si="43"/>
        <v>7.1224329199999996</v>
      </c>
      <c r="CV24" s="1">
        <f t="shared" si="43"/>
        <v>8.6156523299999996</v>
      </c>
      <c r="CW24" s="1">
        <f t="shared" si="43"/>
        <v>10.17972451</v>
      </c>
      <c r="CX24" s="1">
        <f t="shared" si="43"/>
        <v>11.833514059999999</v>
      </c>
      <c r="CY24" s="1">
        <f t="shared" si="44"/>
        <v>8.6649559600000003</v>
      </c>
      <c r="CZ24" s="1">
        <f t="shared" si="44"/>
        <v>8.6995030900000003</v>
      </c>
      <c r="DA24" s="1">
        <f t="shared" si="44"/>
        <v>9.3876240000000006</v>
      </c>
      <c r="DB24" s="1">
        <f t="shared" si="44"/>
        <v>8.6499339499999994</v>
      </c>
      <c r="DC24" s="1">
        <f t="shared" si="44"/>
        <v>10.5511423</v>
      </c>
      <c r="DD24" s="1">
        <f t="shared" si="44"/>
        <v>12.484662230000001</v>
      </c>
      <c r="DE24" s="1">
        <f t="shared" si="44"/>
        <v>8.9774099899999982</v>
      </c>
      <c r="DF24" s="1">
        <f t="shared" si="44"/>
        <v>3.3752363299999999</v>
      </c>
      <c r="DH24" s="1">
        <f t="shared" si="45"/>
        <v>1.1744757299999999</v>
      </c>
      <c r="DI24" s="1">
        <f t="shared" si="45"/>
        <v>2.1750064099999999</v>
      </c>
      <c r="DJ24" s="1">
        <f t="shared" si="45"/>
        <v>2.6101839400000002</v>
      </c>
      <c r="DK24" s="1">
        <f t="shared" si="45"/>
        <v>1.2494588400000002</v>
      </c>
      <c r="DL24" s="1">
        <f t="shared" si="45"/>
        <v>0.60028256999999996</v>
      </c>
      <c r="DM24" s="1">
        <f t="shared" si="45"/>
        <v>1.7316709800000001</v>
      </c>
      <c r="DN24" s="1">
        <f t="shared" si="45"/>
        <v>1.1554743999999999</v>
      </c>
      <c r="DO24" s="1">
        <f t="shared" si="45"/>
        <v>1.50586095</v>
      </c>
      <c r="DP24" s="1">
        <f t="shared" si="45"/>
        <v>3.2398820599999998</v>
      </c>
      <c r="DQ24" s="1">
        <f t="shared" si="45"/>
        <v>3.1775986299999999</v>
      </c>
      <c r="DR24" s="1">
        <f t="shared" si="45"/>
        <v>2.4176205400000002</v>
      </c>
      <c r="DS24" s="1">
        <f t="shared" si="45"/>
        <v>1.0621514699999999</v>
      </c>
      <c r="DT24" s="1">
        <f t="shared" si="45"/>
        <v>1.8796713600000001</v>
      </c>
      <c r="DU24" s="1">
        <f t="shared" si="45"/>
        <v>2.4189343299999999</v>
      </c>
      <c r="DV24" s="1">
        <f t="shared" si="45"/>
        <v>2.31537419</v>
      </c>
      <c r="DW24" s="1">
        <f t="shared" si="45"/>
        <v>1.6581343500000001</v>
      </c>
      <c r="DX24" s="1">
        <f t="shared" si="41"/>
        <v>1.1317222</v>
      </c>
      <c r="DY24" s="1">
        <f t="shared" si="41"/>
        <v>1.25031731</v>
      </c>
      <c r="DZ24" s="1">
        <f t="shared" si="41"/>
        <v>1.1220479999999999</v>
      </c>
      <c r="EA24" s="1">
        <f t="shared" si="41"/>
        <v>1.06290057</v>
      </c>
      <c r="EB24" s="1">
        <f t="shared" si="41"/>
        <v>0.94532128999999998</v>
      </c>
      <c r="EC24" s="1">
        <f t="shared" si="41"/>
        <v>0.74918092999999997</v>
      </c>
      <c r="ED24" s="1">
        <f t="shared" si="41"/>
        <v>0.38311624</v>
      </c>
      <c r="EE24" s="1">
        <f t="shared" si="41"/>
        <v>0.75479300000000005</v>
      </c>
      <c r="EG24" s="14">
        <f t="shared" si="46"/>
        <v>5.5693606783423002</v>
      </c>
      <c r="EH24" s="14">
        <f t="shared" si="46"/>
        <v>5.5693606783423002</v>
      </c>
      <c r="EI24" s="1">
        <f t="shared" si="46"/>
        <v>5.5693606783423002</v>
      </c>
      <c r="EJ24" s="1">
        <f t="shared" si="46"/>
        <v>5.5693606783423002</v>
      </c>
      <c r="EK24" s="1">
        <f t="shared" si="46"/>
        <v>5.5693606783423002</v>
      </c>
      <c r="EL24" s="1">
        <f t="shared" si="46"/>
        <v>5.5693606783423002</v>
      </c>
      <c r="EM24" s="1">
        <f t="shared" si="46"/>
        <v>5.5693606783423002</v>
      </c>
      <c r="EN24" s="1">
        <f t="shared" si="46"/>
        <v>5.5693606783423002</v>
      </c>
      <c r="EO24" s="1">
        <f t="shared" si="46"/>
        <v>5.5693606783423002</v>
      </c>
      <c r="EP24" s="1">
        <f t="shared" si="46"/>
        <v>5.5693606783423002</v>
      </c>
      <c r="EQ24" s="1">
        <f t="shared" si="46"/>
        <v>5.5693606783423002</v>
      </c>
      <c r="ER24" s="1">
        <f t="shared" si="46"/>
        <v>5.5693606783423002</v>
      </c>
      <c r="ES24" s="1">
        <f t="shared" si="46"/>
        <v>6.139895208369488</v>
      </c>
      <c r="ET24" s="1">
        <f t="shared" si="46"/>
        <v>6.139895208369488</v>
      </c>
      <c r="EU24" s="1">
        <f t="shared" si="46"/>
        <v>6.139895208369488</v>
      </c>
      <c r="EV24" s="1">
        <f t="shared" si="46"/>
        <v>6.139895208369488</v>
      </c>
      <c r="EW24" s="1">
        <f t="shared" si="42"/>
        <v>6.139895208369488</v>
      </c>
      <c r="EX24" s="1">
        <f t="shared" si="42"/>
        <v>6.139895208369488</v>
      </c>
      <c r="EY24" s="1">
        <f t="shared" si="42"/>
        <v>6.139895208369488</v>
      </c>
      <c r="EZ24" s="1">
        <f t="shared" si="42"/>
        <v>6.139895208369488</v>
      </c>
      <c r="FA24" s="1">
        <f t="shared" si="42"/>
        <v>6.139895208369488</v>
      </c>
      <c r="FB24" s="1">
        <f t="shared" si="42"/>
        <v>6.139895208369488</v>
      </c>
      <c r="FC24" s="1">
        <f t="shared" si="42"/>
        <v>6.139895208369488</v>
      </c>
      <c r="FD24" s="1">
        <f t="shared" si="42"/>
        <v>6.139895208369488</v>
      </c>
      <c r="FF24" s="162">
        <f t="shared" si="34"/>
        <v>-1.0564663061783048</v>
      </c>
    </row>
    <row r="25" spans="1:162"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S25" s="58"/>
      <c r="AT25" s="58"/>
      <c r="AU25" s="58"/>
      <c r="AV25" s="58"/>
      <c r="AW25" s="58"/>
      <c r="AX25" s="58">
        <v>4</v>
      </c>
      <c r="AY25" s="58"/>
      <c r="AZ25" s="58"/>
      <c r="BA25" s="30"/>
      <c r="BE25" s="2"/>
      <c r="BF25" s="2"/>
      <c r="BG25" s="2"/>
      <c r="BH25" s="2"/>
      <c r="BK25" s="2"/>
      <c r="BL25" s="2"/>
      <c r="BM25" s="2"/>
      <c r="BO25" s="1"/>
      <c r="BP25" s="1"/>
      <c r="BQ25" s="1"/>
      <c r="BS25" s="1"/>
      <c r="BT25" s="1"/>
      <c r="BU25" s="1"/>
      <c r="BW25" s="1"/>
      <c r="BX25" s="1"/>
      <c r="BY25" s="1"/>
      <c r="CA25" s="1"/>
      <c r="CB25" s="2"/>
      <c r="CC25" s="2"/>
      <c r="CE25" s="1"/>
      <c r="CF25" s="1"/>
      <c r="CG25" s="1"/>
      <c r="CI25" s="1"/>
      <c r="CJ25" s="1"/>
      <c r="CK25" s="1"/>
      <c r="CL25" s="1"/>
      <c r="CM25" s="1"/>
      <c r="CN25" s="1"/>
      <c r="CO25" s="1"/>
      <c r="CP25" s="1"/>
      <c r="CQ25" s="1"/>
      <c r="CR25" s="1"/>
      <c r="CS25" s="1"/>
      <c r="CT25" s="1"/>
      <c r="CU25" s="1"/>
      <c r="CV25" s="1"/>
      <c r="CW25" s="1"/>
      <c r="CX25" s="1"/>
      <c r="CY25" s="1"/>
      <c r="CZ25" s="1"/>
      <c r="DA25" s="1"/>
      <c r="DB25" s="1"/>
      <c r="DC25" s="1"/>
      <c r="DD25" s="1"/>
      <c r="DE25" s="1"/>
      <c r="DF25" s="1"/>
      <c r="DH25" s="1"/>
      <c r="DI25" s="1"/>
      <c r="DJ25" s="1"/>
      <c r="DK25" s="1"/>
      <c r="DL25" s="1"/>
      <c r="DM25" s="1"/>
      <c r="DN25" s="1"/>
      <c r="DO25" s="1"/>
      <c r="DP25" s="1"/>
      <c r="DQ25" s="1"/>
      <c r="DR25" s="1"/>
      <c r="DS25" s="1"/>
      <c r="DT25" s="1"/>
      <c r="DU25" s="1"/>
      <c r="DV25" s="1"/>
      <c r="DW25" s="1"/>
      <c r="DX25" s="1"/>
      <c r="DY25" s="1"/>
      <c r="DZ25" s="1"/>
      <c r="EA25" s="1"/>
      <c r="EB25" s="1"/>
      <c r="EC25" s="1"/>
      <c r="ED25" s="1"/>
      <c r="EE25" s="1"/>
      <c r="EI25" s="1"/>
      <c r="EJ25" s="1"/>
      <c r="EK25" s="1"/>
      <c r="EL25" s="1"/>
      <c r="EM25" s="1"/>
      <c r="EN25" s="1"/>
      <c r="EO25" s="1"/>
      <c r="EP25" s="1"/>
      <c r="EQ25" s="1"/>
      <c r="ER25" s="1"/>
      <c r="ES25" s="1"/>
      <c r="ET25" s="1"/>
      <c r="EU25" s="1"/>
      <c r="EV25" s="1"/>
      <c r="EW25" s="1"/>
      <c r="EX25" s="1"/>
      <c r="EY25" s="1"/>
      <c r="EZ25" s="1"/>
      <c r="FA25" s="1"/>
      <c r="FB25" s="1"/>
      <c r="FC25" s="1"/>
      <c r="FD25" s="1"/>
      <c r="FF25" s="162"/>
    </row>
    <row r="26" spans="1:162" ht="18.75" customHeight="1">
      <c r="E26" s="12">
        <f>+AVERAGE(E6:E24)</f>
        <v>-2.0869675369629307E-2</v>
      </c>
      <c r="F26" s="37">
        <f>+E26-$I$3</f>
        <v>-1.1985038272847164</v>
      </c>
      <c r="G26" s="12">
        <f>+AVERAGE(G6:G24)</f>
        <v>5.3725506373402529E-3</v>
      </c>
      <c r="I26" s="12" t="e">
        <f>+AVERAGEIF(I6:I24,"&gt;211%")</f>
        <v>#DIV/0!</v>
      </c>
      <c r="J26" s="37" t="e">
        <f t="shared" si="11"/>
        <v>#DIV/0!</v>
      </c>
      <c r="K26" s="12">
        <f>+AVERAGE(K6:K24)</f>
        <v>0.48136588519958062</v>
      </c>
      <c r="O26" s="12">
        <f>+AVERAGE(O6:O24)</f>
        <v>3.4807706453196613E-2</v>
      </c>
      <c r="AB26" s="57"/>
    </row>
    <row r="27" spans="1:162" ht="18.75" customHeight="1">
      <c r="I27" s="12">
        <f>+AVERAGEIF(I6:I24,"&lt;211%")</f>
        <v>0.65937587658973873</v>
      </c>
      <c r="K27" s="177">
        <f>+SUBTOTAL(101,K6:K21)</f>
        <v>0.43588942916432794</v>
      </c>
      <c r="V27" t="s">
        <v>167</v>
      </c>
      <c r="X27" s="162"/>
      <c r="BB27" s="141" t="s">
        <v>273</v>
      </c>
      <c r="BP27" s="1">
        <f>+SUM(BP6:BP24)</f>
        <v>116038548</v>
      </c>
      <c r="BQ27" s="1">
        <f>+SUM(BQ6:BQ24)</f>
        <v>115323793</v>
      </c>
      <c r="BT27" s="1">
        <f>+SUM(BT6:BT24)</f>
        <v>161652355.14095622</v>
      </c>
      <c r="BU27" s="1">
        <f>+SUM(BU6:BU24)</f>
        <v>141818328.06083196</v>
      </c>
      <c r="BX27" s="1">
        <f>+SUM(BX6:BX24)</f>
        <v>56055.395073759988</v>
      </c>
      <c r="BY27" s="1">
        <f>+SUM(BY6:BY24)</f>
        <v>46631.816345010011</v>
      </c>
      <c r="CB27" s="1">
        <f>+SUM(CB6:CB24)</f>
        <v>3659.5691461300003</v>
      </c>
      <c r="CC27" s="1">
        <f>+SUM(CC6:CC24)</f>
        <v>6105.9256733400007</v>
      </c>
      <c r="FF27" s="167">
        <f>+COUNTIF(FF6:FF24,"&gt;0")</f>
        <v>14</v>
      </c>
    </row>
    <row r="28" spans="1:162" ht="18.75" customHeight="1">
      <c r="A28" s="11">
        <f>+COUNTIF($C$6:$C$24,"&lt;0")</f>
        <v>10</v>
      </c>
      <c r="C28" s="156">
        <v>-1</v>
      </c>
      <c r="E28" s="167">
        <f>+COUNTIF($I$6:$I$24,"&lt;1,69")</f>
        <v>19</v>
      </c>
      <c r="F28" s="29">
        <v>-1</v>
      </c>
      <c r="I28" s="167">
        <f>+COUNTIF($I$6:$I$24,"&lt;1,69")</f>
        <v>19</v>
      </c>
      <c r="J28" s="29">
        <v>-1</v>
      </c>
      <c r="K28">
        <f>+COUNTIF($L$6:$L$24,"&lt;0")</f>
        <v>5</v>
      </c>
      <c r="L28" s="29">
        <v>-1</v>
      </c>
      <c r="O28">
        <f>+COUNTIF($P$6:$P$24,"&lt;0")</f>
        <v>7</v>
      </c>
      <c r="P28" s="262">
        <v>-1</v>
      </c>
      <c r="Q28">
        <f>+COUNTIF($R$6:$R$24,"&lt;0")</f>
        <v>9</v>
      </c>
      <c r="R28" s="262">
        <v>-1</v>
      </c>
      <c r="T28" s="57">
        <f>+COUNTIF($U$6:$U$24,"&lt;0")</f>
        <v>3</v>
      </c>
      <c r="U28" s="29">
        <v>-1</v>
      </c>
      <c r="BQ28" t="s">
        <v>491</v>
      </c>
      <c r="BT28" s="167">
        <f>+SUMIFS(BT6:BT24,BB6:BB24,5)+SUMIFS(BT6:BT24,BB6:BB24,4)</f>
        <v>148489570.06165689</v>
      </c>
      <c r="BX28" s="10">
        <f>+BX27/BY27-1</f>
        <v>0.20208474529554499</v>
      </c>
      <c r="CB28" s="10">
        <f>+CB27/CC27-1</f>
        <v>-0.40065285070393264</v>
      </c>
    </row>
    <row r="29" spans="1:162" ht="18.75" customHeight="1">
      <c r="A29" s="11">
        <f>+COUNTIF($C$6:$C$24,C29)</f>
        <v>8</v>
      </c>
      <c r="C29" s="156">
        <v>0</v>
      </c>
      <c r="E29" s="167">
        <f>+COUNTIF($I$6:$I$24,"=1,69")</f>
        <v>0</v>
      </c>
      <c r="F29" s="29">
        <v>0</v>
      </c>
      <c r="I29" s="167">
        <f>+COUNTIF($I$6:$I$24,"=1,69")</f>
        <v>0</v>
      </c>
      <c r="J29" s="29">
        <v>0</v>
      </c>
      <c r="L29" s="29">
        <v>0</v>
      </c>
      <c r="O29">
        <f>+COUNTIF($P$6:$P$24,"=0")</f>
        <v>2</v>
      </c>
      <c r="P29" s="262">
        <v>0</v>
      </c>
      <c r="Q29">
        <f>+COUNTIF($R$6:$R$24,"=0")</f>
        <v>1</v>
      </c>
      <c r="R29" s="262">
        <v>0</v>
      </c>
      <c r="T29" s="57">
        <f>+COUNTIF($U$6:$U$24,"=0")</f>
        <v>0</v>
      </c>
      <c r="U29" s="29">
        <v>0</v>
      </c>
      <c r="BQ29" t="s">
        <v>492</v>
      </c>
      <c r="BT29" s="167">
        <f>+SUMIFS(BT6:BT24,BB6:BB24,3)</f>
        <v>13131980.526299287</v>
      </c>
    </row>
    <row r="30" spans="1:162" ht="18.75" customHeight="1">
      <c r="A30" s="11">
        <f>+COUNTIF($C$6:$C$24,"&gt;0")</f>
        <v>1</v>
      </c>
      <c r="C30" s="156">
        <v>1</v>
      </c>
      <c r="E30" s="167">
        <f>+COUNTIF($I$6:$I$24,"&gt;1,69")</f>
        <v>0</v>
      </c>
      <c r="F30" s="29">
        <v>1</v>
      </c>
      <c r="I30" s="167">
        <f>+COUNTIF($I$6:$I$24,"&gt;1,69")</f>
        <v>0</v>
      </c>
      <c r="J30" s="29">
        <v>1</v>
      </c>
      <c r="K30">
        <f>+COUNTIF($L$6:$L$24,"&gt;0")</f>
        <v>14</v>
      </c>
      <c r="L30" s="29">
        <v>1</v>
      </c>
      <c r="O30">
        <f>+COUNTIF($P$6:$P$24,"&gt;0")</f>
        <v>9</v>
      </c>
      <c r="P30" s="262">
        <v>1</v>
      </c>
      <c r="Q30">
        <f>+COUNTIF($R$6:$R$24,"&gt;0")</f>
        <v>9</v>
      </c>
      <c r="R30" s="262">
        <v>1</v>
      </c>
      <c r="T30" s="57">
        <f>+COUNTIF($U$6:$U$24,"&gt;0")</f>
        <v>15</v>
      </c>
      <c r="U30" s="29">
        <v>1</v>
      </c>
      <c r="X30" s="14"/>
      <c r="BQ30" t="s">
        <v>493</v>
      </c>
      <c r="BT30" s="167">
        <f>+SUMIFS(BT6:BT24,BB6:BB24,1)+SUMIFS(BT6:BT24,BB6:BB24,2)</f>
        <v>30804.553</v>
      </c>
      <c r="BW30" s="1"/>
    </row>
    <row r="31" spans="1:162" ht="18.75" customHeight="1">
      <c r="K31" s="12"/>
    </row>
    <row r="32" spans="1:162" ht="18.75" customHeight="1">
      <c r="C32" s="157"/>
      <c r="I32" s="14">
        <f>+COUNTIF(I6:I24,"&gt;211%")</f>
        <v>0</v>
      </c>
      <c r="J32" s="14"/>
      <c r="K32" s="14"/>
      <c r="Y32" s="163"/>
    </row>
    <row r="33" spans="1:163" ht="18.75" customHeight="1">
      <c r="C33" s="157"/>
      <c r="I33" s="12" t="e">
        <f>+I26/2</f>
        <v>#DIV/0!</v>
      </c>
    </row>
    <row r="34" spans="1:163"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28"/>
      <c r="AP34" s="28"/>
      <c r="AQ34" s="28"/>
      <c r="AR34" s="28"/>
      <c r="AS34"/>
      <c r="AT34"/>
      <c r="AU34"/>
      <c r="AV34"/>
      <c r="AW34"/>
      <c r="AX34"/>
      <c r="AY34"/>
      <c r="AZ34"/>
      <c r="BA34"/>
      <c r="BB34" s="141"/>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s="14"/>
      <c r="EH34" s="14"/>
      <c r="EI34"/>
      <c r="EJ34"/>
      <c r="EK34"/>
      <c r="EL34"/>
      <c r="EM34"/>
      <c r="EN34"/>
      <c r="EO34"/>
      <c r="EP34"/>
      <c r="EQ34"/>
      <c r="ER34"/>
      <c r="ES34"/>
      <c r="ET34"/>
      <c r="EU34"/>
      <c r="EV34"/>
      <c r="EW34"/>
      <c r="EX34"/>
      <c r="EY34"/>
      <c r="EZ34"/>
      <c r="FA34"/>
      <c r="FB34"/>
      <c r="FC34"/>
      <c r="FD34"/>
      <c r="FE34"/>
      <c r="FF34"/>
      <c r="FG34"/>
    </row>
    <row r="35" spans="1:163"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28"/>
      <c r="AP35" s="28"/>
      <c r="AQ35" s="28"/>
      <c r="AR35" s="28"/>
      <c r="AS35"/>
      <c r="AT35"/>
      <c r="AU35"/>
      <c r="AV35"/>
      <c r="AW35"/>
      <c r="AX35"/>
      <c r="AY35"/>
      <c r="AZ35"/>
      <c r="BA35"/>
      <c r="BB35" s="141"/>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s="14"/>
      <c r="EH35" s="14"/>
      <c r="EI35"/>
      <c r="EJ35"/>
      <c r="EK35"/>
      <c r="EL35"/>
      <c r="EM35"/>
      <c r="EN35"/>
      <c r="EO35"/>
      <c r="EP35"/>
      <c r="EQ35"/>
      <c r="ER35"/>
      <c r="ES35"/>
      <c r="ET35"/>
      <c r="EU35"/>
      <c r="EV35"/>
      <c r="EW35"/>
      <c r="EX35"/>
      <c r="EY35"/>
      <c r="EZ35"/>
      <c r="FA35"/>
      <c r="FB35"/>
      <c r="FC35"/>
      <c r="FD35"/>
      <c r="FE35"/>
      <c r="FF35"/>
      <c r="FG35"/>
    </row>
    <row r="36" spans="1:163"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28"/>
      <c r="AP36" s="28"/>
      <c r="AQ36" s="28"/>
      <c r="AR36" s="28"/>
      <c r="AS36"/>
      <c r="AT36"/>
      <c r="AU36"/>
      <c r="AV36"/>
      <c r="AW36"/>
      <c r="AX36"/>
      <c r="AY36"/>
      <c r="AZ36"/>
      <c r="BA36"/>
      <c r="BB36" s="141"/>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s="14"/>
      <c r="EH36" s="14"/>
      <c r="EI36"/>
      <c r="EJ36"/>
      <c r="EK36"/>
      <c r="EL36"/>
      <c r="EM36"/>
      <c r="EN36"/>
      <c r="EO36"/>
      <c r="EP36"/>
      <c r="EQ36"/>
      <c r="ER36"/>
      <c r="ES36"/>
      <c r="ET36"/>
      <c r="EU36"/>
      <c r="EV36"/>
      <c r="EW36"/>
      <c r="EX36"/>
      <c r="EY36"/>
      <c r="EZ36"/>
      <c r="FA36"/>
      <c r="FB36"/>
      <c r="FC36"/>
      <c r="FD36"/>
      <c r="FE36"/>
      <c r="FF36"/>
      <c r="FG36"/>
    </row>
    <row r="37" spans="1:163"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28"/>
      <c r="AP37" s="28"/>
      <c r="AQ37" s="28"/>
      <c r="AR37" s="28"/>
      <c r="AS37"/>
      <c r="AT37"/>
      <c r="AU37"/>
      <c r="AV37"/>
      <c r="AW37"/>
      <c r="AX37"/>
      <c r="AY37"/>
      <c r="AZ37"/>
      <c r="BA37"/>
      <c r="BB37" s="141"/>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s="14"/>
      <c r="EH37" s="14"/>
      <c r="EI37"/>
      <c r="EJ37"/>
      <c r="EK37"/>
      <c r="EL37"/>
      <c r="EM37"/>
      <c r="EN37"/>
      <c r="EO37"/>
      <c r="EP37"/>
      <c r="EQ37"/>
      <c r="ER37"/>
      <c r="ES37"/>
      <c r="ET37"/>
      <c r="EU37"/>
      <c r="EV37"/>
      <c r="EW37"/>
      <c r="EX37"/>
      <c r="EY37"/>
      <c r="EZ37"/>
      <c r="FA37"/>
      <c r="FB37"/>
      <c r="FC37"/>
      <c r="FD37"/>
      <c r="FE37"/>
      <c r="FF37"/>
      <c r="FG37"/>
    </row>
    <row r="38" spans="1:163"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28"/>
      <c r="AP38" s="28"/>
      <c r="AQ38" s="28"/>
      <c r="AR38" s="28"/>
      <c r="AS38"/>
      <c r="AT38"/>
      <c r="AU38"/>
      <c r="AV38"/>
      <c r="AW38"/>
      <c r="AX38"/>
      <c r="AY38"/>
      <c r="AZ38"/>
      <c r="BA38"/>
      <c r="BB38" s="141"/>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s="14"/>
      <c r="EH38" s="14"/>
      <c r="EI38"/>
      <c r="EJ38"/>
      <c r="EK38"/>
      <c r="EL38"/>
      <c r="EM38"/>
      <c r="EN38"/>
      <c r="EO38"/>
      <c r="EP38"/>
      <c r="EQ38"/>
      <c r="ER38"/>
      <c r="ES38"/>
      <c r="ET38"/>
      <c r="EU38"/>
      <c r="EV38"/>
      <c r="EW38"/>
      <c r="EX38"/>
      <c r="EY38"/>
      <c r="EZ38"/>
      <c r="FA38"/>
      <c r="FB38"/>
      <c r="FC38"/>
      <c r="FD38"/>
      <c r="FE38"/>
      <c r="FF38"/>
      <c r="FG38"/>
    </row>
    <row r="39" spans="1:163"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28"/>
      <c r="AP39" s="28"/>
      <c r="AQ39" s="28"/>
      <c r="AR39" s="28"/>
      <c r="AS39"/>
      <c r="AT39"/>
      <c r="AU39"/>
      <c r="AV39"/>
      <c r="AW39"/>
      <c r="AX39"/>
      <c r="AY39"/>
      <c r="AZ39"/>
      <c r="BA39"/>
      <c r="BB39" s="141"/>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s="14"/>
      <c r="EH39" s="14"/>
      <c r="EI39"/>
      <c r="EJ39"/>
      <c r="EK39"/>
      <c r="EL39"/>
      <c r="EM39"/>
      <c r="EN39"/>
      <c r="EO39"/>
      <c r="EP39"/>
      <c r="EQ39"/>
      <c r="ER39"/>
      <c r="ES39"/>
      <c r="ET39"/>
      <c r="EU39"/>
      <c r="EV39"/>
      <c r="EW39"/>
      <c r="EX39"/>
      <c r="EY39"/>
      <c r="EZ39"/>
      <c r="FA39"/>
      <c r="FB39"/>
      <c r="FC39"/>
      <c r="FD39"/>
      <c r="FE39"/>
      <c r="FF39"/>
      <c r="FG39"/>
    </row>
    <row r="40" spans="1:163"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28"/>
      <c r="AP40" s="28"/>
      <c r="AQ40" s="28"/>
      <c r="AR40" s="28"/>
      <c r="AS40"/>
      <c r="AT40"/>
      <c r="AU40"/>
      <c r="AV40"/>
      <c r="AW40"/>
      <c r="AX40"/>
      <c r="AY40"/>
      <c r="AZ40"/>
      <c r="BA40"/>
      <c r="BB40" s="141"/>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s="14"/>
      <c r="EH40" s="14"/>
      <c r="EI40"/>
      <c r="EJ40"/>
      <c r="EK40"/>
      <c r="EL40"/>
      <c r="EM40"/>
      <c r="EN40"/>
      <c r="EO40"/>
      <c r="EP40"/>
      <c r="EQ40"/>
      <c r="ER40"/>
      <c r="ES40"/>
      <c r="ET40"/>
      <c r="EU40"/>
      <c r="EV40"/>
      <c r="EW40"/>
      <c r="EX40"/>
      <c r="EY40"/>
      <c r="EZ40"/>
      <c r="FA40"/>
      <c r="FB40"/>
      <c r="FC40"/>
      <c r="FD40"/>
      <c r="FE40"/>
      <c r="FF40"/>
      <c r="FG40"/>
    </row>
    <row r="45" spans="1:163"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28"/>
      <c r="AP45" s="28"/>
      <c r="AQ45" s="28"/>
      <c r="AR45" s="28"/>
      <c r="AS45"/>
      <c r="AT45"/>
      <c r="AU45"/>
      <c r="AV45"/>
      <c r="AW45"/>
      <c r="AX45"/>
      <c r="AY45"/>
      <c r="AZ45"/>
      <c r="BA45"/>
      <c r="BB45" s="141"/>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s="14"/>
      <c r="EH45" s="14"/>
      <c r="EI45"/>
      <c r="EJ45"/>
      <c r="EK45"/>
      <c r="EL45"/>
      <c r="EM45"/>
      <c r="EN45"/>
      <c r="EO45"/>
      <c r="EP45"/>
      <c r="EQ45"/>
      <c r="ER45"/>
      <c r="ES45"/>
      <c r="ET45"/>
      <c r="EU45"/>
      <c r="EV45"/>
      <c r="EW45"/>
      <c r="EX45"/>
      <c r="EY45"/>
      <c r="EZ45"/>
      <c r="FA45"/>
      <c r="FB45"/>
      <c r="FC45"/>
      <c r="FD45"/>
      <c r="FE45"/>
      <c r="FF45"/>
      <c r="FG45"/>
    </row>
    <row r="46" spans="1:163"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28"/>
      <c r="AP46" s="28"/>
      <c r="AQ46" s="28"/>
      <c r="AR46" s="28"/>
      <c r="AS46"/>
      <c r="AT46"/>
      <c r="AU46"/>
      <c r="AV46"/>
      <c r="AW46"/>
      <c r="AX46"/>
      <c r="AY46"/>
      <c r="AZ46"/>
      <c r="BA46"/>
      <c r="BB46" s="141"/>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s="14"/>
      <c r="EH46" s="14"/>
      <c r="EI46"/>
      <c r="EJ46"/>
      <c r="EK46"/>
      <c r="EL46"/>
      <c r="EM46"/>
      <c r="EN46"/>
      <c r="EO46"/>
      <c r="EP46"/>
      <c r="EQ46"/>
      <c r="ER46"/>
      <c r="ES46"/>
      <c r="ET46"/>
      <c r="EU46"/>
      <c r="EV46"/>
      <c r="EW46"/>
      <c r="EX46"/>
      <c r="EY46"/>
      <c r="EZ46"/>
      <c r="FA46"/>
      <c r="FB46"/>
      <c r="FC46"/>
      <c r="FD46"/>
      <c r="FE46"/>
      <c r="FF46"/>
      <c r="FG46"/>
    </row>
    <row r="47" spans="1:163"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28"/>
      <c r="AP47" s="28"/>
      <c r="AQ47" s="28"/>
      <c r="AR47" s="28"/>
      <c r="AS47"/>
      <c r="AT47"/>
      <c r="AU47"/>
      <c r="AV47"/>
      <c r="AW47"/>
      <c r="AX47"/>
      <c r="AY47"/>
      <c r="AZ47"/>
      <c r="BA47"/>
      <c r="BB47" s="141"/>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s="14"/>
      <c r="EH47" s="14"/>
      <c r="EI47"/>
      <c r="EJ47"/>
      <c r="EK47"/>
      <c r="EL47"/>
      <c r="EM47"/>
      <c r="EN47"/>
      <c r="EO47"/>
      <c r="EP47"/>
      <c r="EQ47"/>
      <c r="ER47"/>
      <c r="ES47"/>
      <c r="ET47"/>
      <c r="EU47"/>
      <c r="EV47"/>
      <c r="EW47"/>
      <c r="EX47"/>
      <c r="EY47"/>
      <c r="EZ47"/>
      <c r="FA47"/>
      <c r="FB47"/>
      <c r="FC47"/>
      <c r="FD47"/>
      <c r="FE47"/>
      <c r="FF47"/>
      <c r="FG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N24 AC25 AE25:AN25">
    <cfRule type="expression" dxfId="83" priority="48">
      <formula>AO6=3</formula>
    </cfRule>
    <cfRule type="expression" dxfId="82" priority="49">
      <formula>AO6=5</formula>
    </cfRule>
    <cfRule type="expression" dxfId="81" priority="50">
      <formula>AO6=4</formula>
    </cfRule>
    <cfRule type="expression" dxfId="80" priority="51">
      <formula>AO6=2</formula>
    </cfRule>
    <cfRule type="expression" dxfId="79" priority="52">
      <formula>AO6=1</formula>
    </cfRule>
    <cfRule type="expression" dxfId="78" priority="53">
      <formula>AO6=0</formula>
    </cfRule>
  </conditionalFormatting>
  <conditionalFormatting sqref="FF6:FF25 FF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0BD0B84D-1368-4607-84CF-A03712000761}">
      <formula1>lis_dat</formula1>
    </dataValidation>
  </dataValidations>
  <pageMargins left="0.25" right="0.25" top="0.75" bottom="0.75" header="0.3" footer="0.3"/>
  <pageSetup paperSize="9" scale="76" orientation="portrait" r:id="rId1"/>
  <extLst>
    <ext xmlns:x14="http://schemas.microsoft.com/office/spreadsheetml/2009/9/main" uri="{78C0D931-6437-407d-A8EE-F0AAD7539E65}">
      <x14:conditionalFormattings>
        <x14:conditionalFormatting xmlns:xm="http://schemas.microsoft.com/office/excel/2006/main">
          <x14:cfRule type="iconSet" priority="1" id="{DB3341A7-BD6E-40F0-BBBC-230B57DC9D3E}">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D7E15197-AEDE-480F-8751-D20FB975DF61}">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0E810-1C94-4B11-8E5A-D16F3F5D084E}">
  <sheetPr>
    <tabColor theme="5" tint="-0.249977111117893"/>
    <pageSetUpPr fitToPage="1"/>
  </sheetPr>
  <dimension ref="A1:FG47"/>
  <sheetViews>
    <sheetView showGridLines="0" topLeftCell="A4" zoomScale="76" zoomScaleNormal="76" workbookViewId="0">
      <selection activeCell="BB7" sqref="BB7"/>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5.44140625" style="28" customWidth="1"/>
    <col min="42" max="42" width="6" style="28" customWidth="1"/>
    <col min="43" max="43" width="5.33203125" style="28" customWidth="1"/>
    <col min="44" max="44" width="4.88671875" style="28" customWidth="1"/>
    <col min="45" max="45" width="5.5546875" customWidth="1"/>
    <col min="46" max="46" width="6.33203125" bestFit="1" customWidth="1"/>
    <col min="47" max="47" width="5.33203125" customWidth="1"/>
    <col min="48" max="48" width="5.5546875" customWidth="1"/>
    <col min="49" max="50" width="6.33203125" bestFit="1" customWidth="1"/>
    <col min="51" max="51" width="5.6640625" customWidth="1"/>
    <col min="52" max="52" width="7.44140625" customWidth="1"/>
    <col min="53" max="53" width="2.44140625" customWidth="1"/>
    <col min="54" max="54" width="15.88671875" style="141" customWidth="1"/>
    <col min="55" max="55" width="12" customWidth="1"/>
    <col min="56" max="56" width="0.88671875" customWidth="1"/>
    <col min="57" max="60" width="7.88671875" customWidth="1"/>
    <col min="61" max="61" width="2.44140625" customWidth="1"/>
    <col min="62" max="62" width="0.44140625" customWidth="1"/>
    <col min="63" max="65" width="7.88671875" customWidth="1"/>
    <col min="66" max="66" width="2.44140625" customWidth="1"/>
    <col min="67" max="67" width="0.44140625" customWidth="1"/>
    <col min="68" max="68" width="12.88671875" customWidth="1"/>
    <col min="69" max="69" width="12.44140625" customWidth="1"/>
    <col min="70" max="70" width="2.44140625" customWidth="1"/>
    <col min="71" max="71" width="0.5546875" customWidth="1"/>
    <col min="72" max="72" width="14.44140625" bestFit="1" customWidth="1"/>
    <col min="73" max="73" width="12.5546875" customWidth="1"/>
    <col min="74" max="74" width="2.44140625" customWidth="1"/>
    <col min="75" max="75" width="8.109375" customWidth="1"/>
    <col min="76" max="77" width="7.5546875" customWidth="1"/>
    <col min="78" max="78" width="2.88671875" customWidth="1"/>
    <col min="79" max="79" width="0.88671875" customWidth="1"/>
    <col min="80" max="81" width="7.44140625" customWidth="1"/>
    <col min="82" max="82" width="2.88671875" customWidth="1"/>
    <col min="83" max="83" width="0.5546875" customWidth="1"/>
    <col min="84" max="84" width="11" customWidth="1"/>
    <col min="85" max="85" width="10.88671875" customWidth="1"/>
    <col min="86" max="86" width="7" bestFit="1" customWidth="1"/>
    <col min="87" max="87" width="11" bestFit="1" customWidth="1"/>
    <col min="88" max="88" width="7" bestFit="1" customWidth="1"/>
    <col min="89" max="89" width="6.5546875" bestFit="1" customWidth="1"/>
    <col min="90" max="91" width="7" bestFit="1" customWidth="1"/>
    <col min="92" max="92" width="6.5546875" bestFit="1" customWidth="1"/>
    <col min="93" max="93" width="6.109375" bestFit="1" customWidth="1"/>
    <col min="94" max="95" width="6.44140625" bestFit="1" customWidth="1"/>
    <col min="96" max="96" width="5.5546875" bestFit="1" customWidth="1"/>
    <col min="97" max="97" width="6.109375" bestFit="1" customWidth="1"/>
    <col min="98" max="98" width="7" bestFit="1" customWidth="1"/>
    <col min="99" max="99" width="6.33203125" bestFit="1" customWidth="1"/>
    <col min="100" max="100" width="6.88671875" bestFit="1" customWidth="1"/>
    <col min="101" max="101" width="6.109375" bestFit="1" customWidth="1"/>
    <col min="102" max="102" width="6.5546875" bestFit="1" customWidth="1"/>
    <col min="103" max="103" width="5.88671875" bestFit="1" customWidth="1"/>
    <col min="104" max="104" width="6.5546875" bestFit="1" customWidth="1"/>
    <col min="105" max="105" width="6.109375" bestFit="1" customWidth="1"/>
    <col min="106" max="107" width="6.44140625" bestFit="1" customWidth="1"/>
    <col min="108" max="108" width="5.5546875" bestFit="1" customWidth="1"/>
    <col min="109" max="109" width="6.109375" bestFit="1" customWidth="1"/>
    <col min="110" max="110" width="7" bestFit="1" customWidth="1"/>
    <col min="111" max="111" width="5" customWidth="1"/>
    <col min="112" max="112" width="11" bestFit="1" customWidth="1"/>
    <col min="113" max="113" width="6.88671875" bestFit="1" customWidth="1"/>
    <col min="114" max="114" width="6.109375" bestFit="1" customWidth="1"/>
    <col min="115" max="115" width="6.5546875" bestFit="1" customWidth="1"/>
    <col min="116" max="116" width="5.88671875" bestFit="1" customWidth="1"/>
    <col min="117" max="117" width="6.5546875" bestFit="1" customWidth="1"/>
    <col min="118" max="118" width="6.109375" bestFit="1" customWidth="1"/>
    <col min="119" max="120" width="6.44140625" bestFit="1" customWidth="1"/>
    <col min="121" max="121" width="5.5546875" bestFit="1" customWidth="1"/>
    <col min="122" max="122" width="6.109375" bestFit="1" customWidth="1"/>
    <col min="123" max="123" width="7" bestFit="1" customWidth="1"/>
    <col min="124" max="124" width="6.33203125" bestFit="1" customWidth="1"/>
    <col min="125" max="125" width="6.88671875" bestFit="1" customWidth="1"/>
    <col min="126" max="126" width="6.109375" bestFit="1" customWidth="1"/>
    <col min="127" max="127" width="6.5546875" bestFit="1" customWidth="1"/>
    <col min="128" max="128" width="5.88671875" bestFit="1" customWidth="1"/>
    <col min="129" max="129" width="6.5546875" bestFit="1" customWidth="1"/>
    <col min="130" max="130" width="6.109375" bestFit="1" customWidth="1"/>
    <col min="131" max="132" width="6.44140625" bestFit="1" customWidth="1"/>
    <col min="133" max="133" width="5.5546875" bestFit="1" customWidth="1"/>
    <col min="134" max="134" width="6.109375" bestFit="1" customWidth="1"/>
    <col min="135" max="135" width="7" bestFit="1" customWidth="1"/>
    <col min="136" max="136" width="5" customWidth="1"/>
    <col min="137" max="138" width="13.5546875" style="14" bestFit="1" customWidth="1"/>
    <col min="139" max="160" width="9.88671875" bestFit="1" customWidth="1"/>
    <col min="161" max="162" width="5" customWidth="1"/>
  </cols>
  <sheetData>
    <row r="1" spans="1:162" ht="18.75" customHeight="1">
      <c r="A1" s="219">
        <v>45597</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BE1" t="s">
        <v>101</v>
      </c>
      <c r="BF1" s="3">
        <f>+A1</f>
        <v>45597</v>
      </c>
      <c r="BG1" s="3">
        <f>+VLOOKUP(BG2,datos!$D:$E,2,FALSE)</f>
        <v>45566</v>
      </c>
      <c r="BH1" s="3">
        <f>+VLOOKUP(BH2,datos!$D:$E,2,FALSE)</f>
        <v>45231</v>
      </c>
      <c r="BK1" s="3">
        <f>+A1</f>
        <v>45597</v>
      </c>
      <c r="BL1" s="3">
        <f>+VLOOKUP(BL2,datos!$D:$E,2,FALSE)</f>
        <v>45566</v>
      </c>
      <c r="BM1" s="3">
        <f>+VLOOKUP(BM2,datos!$D:$E,2,FALSE)</f>
        <v>45231</v>
      </c>
      <c r="BP1" s="3">
        <f>+A1</f>
        <v>45597</v>
      </c>
      <c r="BQ1" s="3">
        <f>+VLOOKUP(BQ2,datos!$D:$E,2,FALSE)</f>
        <v>45231</v>
      </c>
      <c r="BT1" s="3">
        <f>+A1</f>
        <v>45597</v>
      </c>
      <c r="BU1" s="3">
        <f>+VLOOKUP(BU2,datos!$D:$E,2,FALSE)</f>
        <v>45231</v>
      </c>
      <c r="BX1" t="s">
        <v>279</v>
      </c>
      <c r="BY1" t="s">
        <v>280</v>
      </c>
      <c r="CB1" t="s">
        <v>279</v>
      </c>
      <c r="CC1" t="s">
        <v>280</v>
      </c>
      <c r="CF1" t="s">
        <v>282</v>
      </c>
      <c r="CG1" t="s">
        <v>283</v>
      </c>
      <c r="CH1" s="3">
        <f>+A1</f>
        <v>45597</v>
      </c>
      <c r="CI1" s="3">
        <f>+VLOOKUP(CI2,datos!$D:$E,2,FALSE)</f>
        <v>45597</v>
      </c>
      <c r="CJ1" s="3">
        <f>+VLOOKUP(CJ2,datos!$D:$E,2,FALSE)</f>
        <v>45566</v>
      </c>
      <c r="CK1" s="3">
        <f>+VLOOKUP(CK2,datos!$D:$E,2,FALSE)</f>
        <v>45536</v>
      </c>
      <c r="CL1" s="3">
        <f>+VLOOKUP(CL2,datos!$D:$E,2,FALSE)</f>
        <v>45505</v>
      </c>
      <c r="CM1" s="3">
        <f>+VLOOKUP(CM2,datos!$D:$E,2,FALSE)</f>
        <v>45474</v>
      </c>
      <c r="CN1" s="3">
        <f>+VLOOKUP(CN2,datos!$D:$E,2,FALSE)</f>
        <v>45444</v>
      </c>
      <c r="CO1" s="3">
        <f>+VLOOKUP(CO2,datos!$D:$E,2,FALSE)</f>
        <v>45413</v>
      </c>
      <c r="CP1" s="3">
        <f>+VLOOKUP(CP2,datos!$D:$E,2,FALSE)</f>
        <v>45383</v>
      </c>
      <c r="CQ1" s="3">
        <f>+VLOOKUP(CQ2,datos!$D:$E,2,FALSE)</f>
        <v>45352</v>
      </c>
      <c r="CR1" s="3">
        <f>+VLOOKUP(CR2,datos!$D:$E,2,FALSE)</f>
        <v>45323</v>
      </c>
      <c r="CS1" s="3">
        <f>+VLOOKUP(CS2,datos!$D:$E,2,FALSE)</f>
        <v>45292</v>
      </c>
      <c r="CT1" s="3">
        <f>+VLOOKUP(CT2,datos!$D:$E,2,FALSE)</f>
        <v>45261</v>
      </c>
      <c r="CU1" s="3">
        <f>+VLOOKUP(CU2,datos!$D:$E,2,FALSE)</f>
        <v>45231</v>
      </c>
      <c r="CV1" s="3">
        <f>+VLOOKUP(CV2,datos!$D:$E,2,FALSE)</f>
        <v>45200</v>
      </c>
      <c r="CW1" s="3">
        <f>+VLOOKUP(CW2,datos!$D:$E,2,FALSE)</f>
        <v>45170</v>
      </c>
      <c r="CX1" s="3">
        <f>+VLOOKUP(CX2,datos!$D:$E,2,FALSE)</f>
        <v>45139</v>
      </c>
      <c r="CY1" s="3">
        <f>+VLOOKUP(CY2,datos!$D:$E,2,FALSE)</f>
        <v>45108</v>
      </c>
      <c r="CZ1" s="3">
        <f>+VLOOKUP(CZ2,datos!$D:$E,2,FALSE)</f>
        <v>45078</v>
      </c>
      <c r="DA1" s="3">
        <f>+VLOOKUP(DA2,datos!$D:$E,2,FALSE)</f>
        <v>45047</v>
      </c>
      <c r="DB1" s="3">
        <f>+VLOOKUP(DB2,datos!$D:$E,2,FALSE)</f>
        <v>45017</v>
      </c>
      <c r="DC1" s="3">
        <f>+VLOOKUP(DC2,datos!$D:$E,2,FALSE)</f>
        <v>44986</v>
      </c>
      <c r="DD1" s="3">
        <f>+VLOOKUP(DD2,datos!$D:$E,2,FALSE)</f>
        <v>44958</v>
      </c>
      <c r="DE1" s="3">
        <f>+VLOOKUP(DE2,datos!$D:$E,2,FALSE)</f>
        <v>44927</v>
      </c>
      <c r="DF1" s="3">
        <f>+VLOOKUP(DF2,datos!$D:$E,2,FALSE)</f>
        <v>44896</v>
      </c>
      <c r="DH1" s="3">
        <f>+CI1</f>
        <v>45597</v>
      </c>
      <c r="DI1" s="3">
        <f>+VLOOKUP(DI2,datos!$D:$E,2,FALSE)</f>
        <v>45566</v>
      </c>
      <c r="DJ1" s="3">
        <f>+VLOOKUP(DJ2,datos!$D:$E,2,FALSE)</f>
        <v>45536</v>
      </c>
      <c r="DK1" s="3">
        <f>+VLOOKUP(DK2,datos!$D:$E,2,FALSE)</f>
        <v>45505</v>
      </c>
      <c r="DL1" s="3">
        <f>+VLOOKUP(DL2,datos!$D:$E,2,FALSE)</f>
        <v>45474</v>
      </c>
      <c r="DM1" s="3">
        <f>+VLOOKUP(DM2,datos!$D:$E,2,FALSE)</f>
        <v>45444</v>
      </c>
      <c r="DN1" s="3">
        <f>+VLOOKUP(DN2,datos!$D:$E,2,FALSE)</f>
        <v>45413</v>
      </c>
      <c r="DO1" s="3">
        <f>+VLOOKUP(DO2,datos!$D:$E,2,FALSE)</f>
        <v>45383</v>
      </c>
      <c r="DP1" s="3">
        <f>+VLOOKUP(DP2,datos!$D:$E,2,FALSE)</f>
        <v>45352</v>
      </c>
      <c r="DQ1" s="3">
        <f>+VLOOKUP(DQ2,datos!$D:$E,2,FALSE)</f>
        <v>45323</v>
      </c>
      <c r="DR1" s="3">
        <f>+VLOOKUP(DR2,datos!$D:$E,2,FALSE)</f>
        <v>45292</v>
      </c>
      <c r="DS1" s="3">
        <f>+VLOOKUP(DS2,datos!$D:$E,2,FALSE)</f>
        <v>45261</v>
      </c>
      <c r="DT1" s="3">
        <f>+VLOOKUP(DT2,datos!$D:$E,2,FALSE)</f>
        <v>45231</v>
      </c>
      <c r="DU1" s="3">
        <f>+VLOOKUP(DU2,datos!$D:$E,2,FALSE)</f>
        <v>45200</v>
      </c>
      <c r="DV1" s="3">
        <f>+VLOOKUP(DV2,datos!$D:$E,2,FALSE)</f>
        <v>45170</v>
      </c>
      <c r="DW1" s="3">
        <f>+VLOOKUP(DW2,datos!$D:$E,2,FALSE)</f>
        <v>45139</v>
      </c>
      <c r="DX1" s="3">
        <f>+VLOOKUP(DX2,datos!$D:$E,2,FALSE)</f>
        <v>45108</v>
      </c>
      <c r="DY1" s="3">
        <f>+VLOOKUP(DY2,datos!$D:$E,2,FALSE)</f>
        <v>45078</v>
      </c>
      <c r="DZ1" s="3">
        <f>+VLOOKUP(DZ2,datos!$D:$E,2,FALSE)</f>
        <v>45047</v>
      </c>
      <c r="EA1" s="3">
        <f>+VLOOKUP(EA2,datos!$D:$E,2,FALSE)</f>
        <v>45017</v>
      </c>
      <c r="EB1" s="3">
        <f>+VLOOKUP(EB2,datos!$D:$E,2,FALSE)</f>
        <v>44986</v>
      </c>
      <c r="EC1" s="3">
        <f>+VLOOKUP(EC2,datos!$D:$E,2,FALSE)</f>
        <v>44958</v>
      </c>
      <c r="ED1" s="3">
        <f>+VLOOKUP(ED2,datos!$D:$E,2,FALSE)</f>
        <v>44927</v>
      </c>
      <c r="EE1" s="3">
        <f>+VLOOKUP(EE2,datos!$D:$E,2,FALSE)</f>
        <v>44896</v>
      </c>
      <c r="EG1" s="14">
        <f>+CI1</f>
        <v>45597</v>
      </c>
      <c r="EH1" s="14">
        <f t="shared" ref="EH1:FD1" si="0">+CJ1</f>
        <v>45566</v>
      </c>
      <c r="EI1" s="3">
        <f t="shared" si="0"/>
        <v>45536</v>
      </c>
      <c r="EJ1" s="3">
        <f t="shared" si="0"/>
        <v>45505</v>
      </c>
      <c r="EK1" s="3">
        <f t="shared" si="0"/>
        <v>45474</v>
      </c>
      <c r="EL1" s="3">
        <f t="shared" si="0"/>
        <v>45444</v>
      </c>
      <c r="EM1" s="3">
        <f t="shared" si="0"/>
        <v>45413</v>
      </c>
      <c r="EN1" s="3">
        <f t="shared" si="0"/>
        <v>45383</v>
      </c>
      <c r="EO1" s="3">
        <f t="shared" si="0"/>
        <v>45352</v>
      </c>
      <c r="EP1" s="3">
        <f t="shared" si="0"/>
        <v>45323</v>
      </c>
      <c r="EQ1" s="3">
        <f t="shared" si="0"/>
        <v>45292</v>
      </c>
      <c r="ER1" s="3">
        <f t="shared" si="0"/>
        <v>45261</v>
      </c>
      <c r="ES1" s="3">
        <f t="shared" si="0"/>
        <v>45231</v>
      </c>
      <c r="ET1" s="3">
        <f t="shared" si="0"/>
        <v>45200</v>
      </c>
      <c r="EU1" s="3">
        <f t="shared" si="0"/>
        <v>45170</v>
      </c>
      <c r="EV1" s="3">
        <f t="shared" si="0"/>
        <v>45139</v>
      </c>
      <c r="EW1" s="3">
        <f t="shared" si="0"/>
        <v>45108</v>
      </c>
      <c r="EX1" s="3">
        <f t="shared" si="0"/>
        <v>45078</v>
      </c>
      <c r="EY1" s="3">
        <f t="shared" si="0"/>
        <v>45047</v>
      </c>
      <c r="EZ1" s="3">
        <f t="shared" si="0"/>
        <v>45017</v>
      </c>
      <c r="FA1" s="3">
        <f t="shared" si="0"/>
        <v>44986</v>
      </c>
      <c r="FB1" s="3">
        <f t="shared" si="0"/>
        <v>44958</v>
      </c>
      <c r="FC1" s="3">
        <f t="shared" si="0"/>
        <v>44927</v>
      </c>
      <c r="FD1" s="3">
        <f t="shared" si="0"/>
        <v>44896</v>
      </c>
    </row>
    <row r="2" spans="1:162"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174">
        <f>VLOOKUP(VLOOKUP(+$A$1,ran_ma,2,FALSE)-11,ran_idma,2,FALSE)</f>
        <v>45261</v>
      </c>
      <c r="AP2" s="174">
        <f>VLOOKUP(VLOOKUP(+$A$1,ran_ma,2,FALSE)-10,ran_idma,2,FALSE)</f>
        <v>45292</v>
      </c>
      <c r="AQ2" s="174">
        <f>VLOOKUP(VLOOKUP(+$A$1,ran_ma,2,FALSE)-9,ran_idma,2,FALSE)</f>
        <v>45323</v>
      </c>
      <c r="AR2" s="174">
        <f>VLOOKUP(VLOOKUP(+$A$1,ran_ma,2,FALSE)-8,ran_idma,2,FALSE)</f>
        <v>45352</v>
      </c>
      <c r="AS2" s="59">
        <f>VLOOKUP(VLOOKUP(+$A$1,ran_ma,2,FALSE)-7,ran_idma,2,FALSE)</f>
        <v>45383</v>
      </c>
      <c r="AT2" s="59">
        <f>VLOOKUP(VLOOKUP(+$A$1,ran_ma,2,FALSE)-6,ran_idma,2,FALSE)</f>
        <v>45413</v>
      </c>
      <c r="AU2" s="59">
        <f>VLOOKUP(VLOOKUP(+$A$1,ran_ma,2,FALSE)-5,ran_idma,2,FALSE)</f>
        <v>45444</v>
      </c>
      <c r="AV2" s="59">
        <f>VLOOKUP(VLOOKUP(+$A$1,ran_ma,2,FALSE)-4,ran_idma,2,FALSE)</f>
        <v>45474</v>
      </c>
      <c r="AW2" s="59">
        <f>VLOOKUP(VLOOKUP(+$A$1,ran_ma,2,FALSE)-3,ran_idma,2,FALSE)</f>
        <v>45505</v>
      </c>
      <c r="AX2" s="59">
        <f>VLOOKUP(VLOOKUP(+$A$1,ran_ma,2,FALSE)-2,ran_idma,2,FALSE)</f>
        <v>45536</v>
      </c>
      <c r="AY2" s="59">
        <f>VLOOKUP(VLOOKUP(+$A$1,ran_ma,2,FALSE)-1,ran_idma,2,FALSE)</f>
        <v>45566</v>
      </c>
      <c r="AZ2" s="59">
        <f>+$A$1</f>
        <v>45597</v>
      </c>
      <c r="BA2" s="5"/>
      <c r="BB2" s="170"/>
      <c r="BD2" s="9" t="s">
        <v>272</v>
      </c>
      <c r="BF2">
        <f>+VLOOKUP(BF1,ran_dat,datos!$D$1,FALSE)</f>
        <v>116</v>
      </c>
      <c r="BG2">
        <f>+BF2-1</f>
        <v>115</v>
      </c>
      <c r="BH2">
        <f>+BF2-12</f>
        <v>104</v>
      </c>
      <c r="BJ2" s="9"/>
      <c r="BK2">
        <f>+VLOOKUP(BK1,ran_dat,datos!$D$1,FALSE)</f>
        <v>116</v>
      </c>
      <c r="BL2">
        <f>+BK2-1</f>
        <v>115</v>
      </c>
      <c r="BM2">
        <f>+BK2-12</f>
        <v>104</v>
      </c>
      <c r="BO2" s="9"/>
      <c r="BP2">
        <f>+VLOOKUP(BP1,ran_dat,datos!$D$1,FALSE)</f>
        <v>116</v>
      </c>
      <c r="BQ2">
        <f>+BP2-12</f>
        <v>104</v>
      </c>
      <c r="BS2" s="9"/>
      <c r="BT2">
        <f>+VLOOKUP(BT1,ran_dat,datos!$D$1,FALSE)</f>
        <v>116</v>
      </c>
      <c r="BU2">
        <f>+BT2-12</f>
        <v>104</v>
      </c>
      <c r="BW2" s="9"/>
      <c r="CA2" s="9"/>
      <c r="CH2">
        <f>+VLOOKUP(CH1,ran_dat,datos!$D$1,FALSE)</f>
        <v>116</v>
      </c>
      <c r="CI2">
        <f>+CH2</f>
        <v>116</v>
      </c>
      <c r="CJ2">
        <f t="shared" ref="CJ2:DF2" si="1">+CI2-1</f>
        <v>115</v>
      </c>
      <c r="CK2">
        <f t="shared" si="1"/>
        <v>114</v>
      </c>
      <c r="CL2">
        <f t="shared" si="1"/>
        <v>113</v>
      </c>
      <c r="CM2">
        <f t="shared" si="1"/>
        <v>112</v>
      </c>
      <c r="CN2">
        <f t="shared" si="1"/>
        <v>111</v>
      </c>
      <c r="CO2">
        <f t="shared" si="1"/>
        <v>110</v>
      </c>
      <c r="CP2">
        <f t="shared" si="1"/>
        <v>109</v>
      </c>
      <c r="CQ2">
        <f t="shared" si="1"/>
        <v>108</v>
      </c>
      <c r="CR2">
        <f t="shared" si="1"/>
        <v>107</v>
      </c>
      <c r="CS2">
        <f t="shared" si="1"/>
        <v>106</v>
      </c>
      <c r="CT2">
        <f t="shared" si="1"/>
        <v>105</v>
      </c>
      <c r="CU2">
        <f t="shared" si="1"/>
        <v>104</v>
      </c>
      <c r="CV2">
        <f t="shared" si="1"/>
        <v>103</v>
      </c>
      <c r="CW2">
        <f t="shared" si="1"/>
        <v>102</v>
      </c>
      <c r="CX2">
        <f t="shared" si="1"/>
        <v>101</v>
      </c>
      <c r="CY2">
        <f t="shared" si="1"/>
        <v>100</v>
      </c>
      <c r="CZ2">
        <f t="shared" si="1"/>
        <v>99</v>
      </c>
      <c r="DA2">
        <f t="shared" si="1"/>
        <v>98</v>
      </c>
      <c r="DB2">
        <f t="shared" si="1"/>
        <v>97</v>
      </c>
      <c r="DC2">
        <f t="shared" si="1"/>
        <v>96</v>
      </c>
      <c r="DD2">
        <f t="shared" si="1"/>
        <v>95</v>
      </c>
      <c r="DE2">
        <f t="shared" si="1"/>
        <v>94</v>
      </c>
      <c r="DF2">
        <f t="shared" si="1"/>
        <v>93</v>
      </c>
      <c r="DH2">
        <f>+VLOOKUP(DH1,ran_dat,datos!$D$1,FALSE)</f>
        <v>116</v>
      </c>
      <c r="DI2">
        <f t="shared" ref="DI2:EE2" si="2">+DH2-1</f>
        <v>115</v>
      </c>
      <c r="DJ2">
        <f t="shared" si="2"/>
        <v>114</v>
      </c>
      <c r="DK2">
        <f t="shared" si="2"/>
        <v>113</v>
      </c>
      <c r="DL2">
        <f t="shared" si="2"/>
        <v>112</v>
      </c>
      <c r="DM2">
        <f t="shared" si="2"/>
        <v>111</v>
      </c>
      <c r="DN2">
        <f t="shared" si="2"/>
        <v>110</v>
      </c>
      <c r="DO2">
        <f t="shared" si="2"/>
        <v>109</v>
      </c>
      <c r="DP2">
        <f t="shared" si="2"/>
        <v>108</v>
      </c>
      <c r="DQ2">
        <f t="shared" si="2"/>
        <v>107</v>
      </c>
      <c r="DR2">
        <f t="shared" si="2"/>
        <v>106</v>
      </c>
      <c r="DS2">
        <f t="shared" si="2"/>
        <v>105</v>
      </c>
      <c r="DT2">
        <f t="shared" si="2"/>
        <v>104</v>
      </c>
      <c r="DU2">
        <f t="shared" si="2"/>
        <v>103</v>
      </c>
      <c r="DV2">
        <f t="shared" si="2"/>
        <v>102</v>
      </c>
      <c r="DW2">
        <f t="shared" si="2"/>
        <v>101</v>
      </c>
      <c r="DX2">
        <f t="shared" si="2"/>
        <v>100</v>
      </c>
      <c r="DY2">
        <f t="shared" si="2"/>
        <v>99</v>
      </c>
      <c r="DZ2">
        <f t="shared" si="2"/>
        <v>98</v>
      </c>
      <c r="EA2">
        <f t="shared" si="2"/>
        <v>97</v>
      </c>
      <c r="EB2">
        <f t="shared" si="2"/>
        <v>96</v>
      </c>
      <c r="EC2">
        <f t="shared" si="2"/>
        <v>95</v>
      </c>
      <c r="ED2">
        <f t="shared" si="2"/>
        <v>94</v>
      </c>
      <c r="EE2">
        <f t="shared" si="2"/>
        <v>93</v>
      </c>
      <c r="EG2" s="14">
        <f>+VLOOKUP(EG1,ran_dat,datos!$D$1,FALSE)</f>
        <v>116</v>
      </c>
      <c r="EH2" s="14">
        <f t="shared" ref="EH2:FD2" si="3">+EG2-1</f>
        <v>115</v>
      </c>
      <c r="EI2">
        <f t="shared" si="3"/>
        <v>114</v>
      </c>
      <c r="EJ2">
        <f t="shared" si="3"/>
        <v>113</v>
      </c>
      <c r="EK2">
        <f t="shared" si="3"/>
        <v>112</v>
      </c>
      <c r="EL2">
        <f t="shared" si="3"/>
        <v>111</v>
      </c>
      <c r="EM2">
        <f t="shared" si="3"/>
        <v>110</v>
      </c>
      <c r="EN2">
        <f t="shared" si="3"/>
        <v>109</v>
      </c>
      <c r="EO2">
        <f t="shared" si="3"/>
        <v>108</v>
      </c>
      <c r="EP2">
        <f t="shared" si="3"/>
        <v>107</v>
      </c>
      <c r="EQ2">
        <f t="shared" si="3"/>
        <v>106</v>
      </c>
      <c r="ER2">
        <f t="shared" si="3"/>
        <v>105</v>
      </c>
      <c r="ES2">
        <f t="shared" si="3"/>
        <v>104</v>
      </c>
      <c r="ET2">
        <f t="shared" si="3"/>
        <v>103</v>
      </c>
      <c r="EU2">
        <f t="shared" si="3"/>
        <v>102</v>
      </c>
      <c r="EV2">
        <f t="shared" si="3"/>
        <v>101</v>
      </c>
      <c r="EW2">
        <f t="shared" si="3"/>
        <v>100</v>
      </c>
      <c r="EX2">
        <f t="shared" si="3"/>
        <v>99</v>
      </c>
      <c r="EY2">
        <f t="shared" si="3"/>
        <v>98</v>
      </c>
      <c r="EZ2">
        <f t="shared" si="3"/>
        <v>97</v>
      </c>
      <c r="FA2">
        <f t="shared" si="3"/>
        <v>96</v>
      </c>
      <c r="FB2">
        <f t="shared" si="3"/>
        <v>95</v>
      </c>
      <c r="FC2">
        <f t="shared" si="3"/>
        <v>94</v>
      </c>
      <c r="FD2">
        <f t="shared" si="3"/>
        <v>93</v>
      </c>
    </row>
    <row r="3" spans="1:162" ht="18.75" customHeight="1">
      <c r="A3" s="220"/>
      <c r="C3" s="155"/>
      <c r="D3" s="196">
        <v>0.33</v>
      </c>
      <c r="E3" s="100">
        <f>IFERROR(+BF5/BG5-1,"")</f>
        <v>2.4254853705222734E-2</v>
      </c>
      <c r="F3" s="56" t="s">
        <v>515</v>
      </c>
      <c r="G3" s="56"/>
      <c r="H3" s="56"/>
      <c r="I3" s="60">
        <f>IFERROR(+BF5/BH5-1,"")</f>
        <v>1.6602389691025352</v>
      </c>
      <c r="J3" s="56" t="s">
        <v>515</v>
      </c>
      <c r="K3" s="56"/>
      <c r="L3" s="56"/>
      <c r="M3" s="32"/>
      <c r="N3" s="196">
        <v>0.33</v>
      </c>
      <c r="O3" s="31"/>
      <c r="S3" s="32"/>
      <c r="T3" s="196">
        <v>0.33</v>
      </c>
      <c r="U3" s="150" t="str">
        <f>TEXT(CT1,"MMM-YY")&amp;"."&amp;TEXT(CI1,"MMM-YY")&amp;" vs "&amp;TEXT(DF1,"MMM-YY")&amp;"."&amp;TEXT(CU1,"MMM-YY")</f>
        <v>dic-23.nov-24 vs dic-22.nov-23</v>
      </c>
      <c r="Y3" s="59" t="str">
        <f>TEXT(CI1,"MMM-YY")&amp;" vs "&amp;TEXT(CU1,"MMM-YY")</f>
        <v>nov-24 vs nov-23</v>
      </c>
      <c r="BD3" s="4" t="s">
        <v>3</v>
      </c>
      <c r="BE3" s="4"/>
      <c r="BF3" s="4"/>
      <c r="BG3" s="4"/>
      <c r="BH3" s="4"/>
      <c r="BJ3" s="27" t="s">
        <v>5</v>
      </c>
      <c r="BK3" s="27"/>
      <c r="BL3" s="27"/>
      <c r="BM3" s="27"/>
      <c r="BO3" s="20" t="s">
        <v>15</v>
      </c>
      <c r="BP3" s="20"/>
      <c r="BQ3" s="20"/>
      <c r="BS3" s="21" t="s">
        <v>2</v>
      </c>
      <c r="BT3" s="21"/>
      <c r="BU3" s="21"/>
      <c r="BW3" s="4" t="s">
        <v>7</v>
      </c>
      <c r="BX3" s="4"/>
      <c r="BY3" s="4"/>
      <c r="CA3" s="43" t="s">
        <v>8</v>
      </c>
      <c r="CB3" s="43"/>
      <c r="CC3" s="43"/>
      <c r="CE3" s="22" t="s">
        <v>9</v>
      </c>
      <c r="CF3" s="22"/>
      <c r="CG3" s="22"/>
      <c r="CI3" s="4" t="s">
        <v>7</v>
      </c>
      <c r="CJ3" s="4"/>
      <c r="CK3" s="4"/>
      <c r="CL3" s="4"/>
      <c r="CM3" s="4"/>
      <c r="CN3" s="4"/>
      <c r="CO3" s="4"/>
      <c r="CP3" s="4"/>
      <c r="CQ3" s="4"/>
      <c r="CR3" s="4"/>
      <c r="CS3" s="4"/>
      <c r="CT3" s="4"/>
      <c r="CU3" s="4"/>
      <c r="CV3" s="4"/>
      <c r="CW3" s="4"/>
      <c r="CX3" s="4"/>
      <c r="CY3" s="4"/>
      <c r="CZ3" s="4"/>
      <c r="DA3" s="4"/>
      <c r="DB3" s="4"/>
      <c r="DC3" s="4"/>
      <c r="DD3" s="4"/>
      <c r="DE3" s="4"/>
      <c r="DF3" s="4"/>
      <c r="DH3" s="43" t="s">
        <v>8</v>
      </c>
      <c r="DI3" s="43"/>
      <c r="DJ3" s="43"/>
      <c r="DK3" s="43"/>
      <c r="DL3" s="43"/>
      <c r="DM3" s="43"/>
      <c r="DN3" s="43"/>
      <c r="DO3" s="43"/>
      <c r="DP3" s="43"/>
      <c r="DQ3" s="43"/>
      <c r="DR3" s="43"/>
      <c r="DS3" s="43"/>
      <c r="DT3" s="43"/>
      <c r="DU3" s="43"/>
      <c r="DV3" s="43"/>
      <c r="DW3" s="43"/>
      <c r="DX3" s="43"/>
      <c r="DY3" s="43"/>
      <c r="DZ3" s="43"/>
      <c r="EA3" s="43"/>
      <c r="EB3" s="43"/>
      <c r="EC3" s="43"/>
      <c r="ED3" s="43"/>
      <c r="EE3" s="43"/>
      <c r="EG3" s="151" t="s">
        <v>9</v>
      </c>
      <c r="EH3" s="151"/>
      <c r="EI3" s="22"/>
      <c r="EJ3" s="22"/>
      <c r="EK3" s="22"/>
      <c r="EL3" s="22"/>
      <c r="EM3" s="22"/>
      <c r="EN3" s="22"/>
      <c r="EO3" s="22"/>
      <c r="EP3" s="22"/>
      <c r="EQ3" s="22"/>
      <c r="ER3" s="22"/>
      <c r="ES3" s="22"/>
      <c r="ET3" s="22"/>
      <c r="EU3" s="22"/>
      <c r="EV3" s="22"/>
      <c r="EW3" s="22"/>
      <c r="EX3" s="22"/>
      <c r="EY3" s="22"/>
      <c r="EZ3" s="22"/>
      <c r="FA3" s="22"/>
      <c r="FB3" s="22"/>
      <c r="FC3" s="22"/>
      <c r="FD3" s="22"/>
    </row>
    <row r="4" spans="1:162"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19"/>
      <c r="AT4" s="19"/>
      <c r="AU4" s="19"/>
      <c r="AV4" s="19"/>
      <c r="AW4" s="19"/>
      <c r="AX4" s="19"/>
      <c r="AY4" s="19"/>
      <c r="AZ4" s="19"/>
      <c r="BA4" s="19"/>
      <c r="BB4" s="141" t="s">
        <v>390</v>
      </c>
      <c r="BD4" s="9"/>
      <c r="BJ4" s="9"/>
      <c r="BO4" s="9"/>
      <c r="BS4" s="9"/>
      <c r="BW4" s="9"/>
      <c r="CA4" s="9"/>
      <c r="CI4" s="44" t="s">
        <v>281</v>
      </c>
      <c r="CJ4" s="44"/>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152"/>
      <c r="EH4" s="152"/>
      <c r="EI4" s="44"/>
      <c r="EJ4" s="44"/>
      <c r="EK4" s="44"/>
      <c r="EL4" s="44"/>
      <c r="EM4" s="44"/>
      <c r="EN4" s="44"/>
      <c r="EO4" s="44"/>
      <c r="EP4" s="44"/>
      <c r="EQ4" s="44"/>
      <c r="ER4" s="44"/>
      <c r="ES4" s="44"/>
      <c r="ET4" s="44"/>
      <c r="EU4" s="44"/>
      <c r="EV4" s="44"/>
      <c r="EW4" s="44"/>
      <c r="EX4" s="44"/>
      <c r="EY4" s="44"/>
      <c r="EZ4" s="44"/>
      <c r="FA4" s="44"/>
      <c r="FB4" s="44"/>
      <c r="FC4" s="44"/>
      <c r="FD4" s="44"/>
    </row>
    <row r="5" spans="1:162" ht="16.5" customHeight="1">
      <c r="E5" s="18"/>
      <c r="N5" s="197"/>
      <c r="O5" s="34"/>
      <c r="P5" s="33"/>
      <c r="Q5" s="34"/>
      <c r="R5" s="33"/>
      <c r="T5" s="197"/>
      <c r="U5" s="25"/>
      <c r="V5" s="34"/>
      <c r="W5" s="34"/>
      <c r="X5" s="34"/>
      <c r="Y5" s="34"/>
      <c r="Z5" s="34"/>
      <c r="AB5" s="211"/>
      <c r="BC5">
        <f>+A3</f>
        <v>0</v>
      </c>
      <c r="BD5">
        <f>+datos!G1</f>
        <v>7</v>
      </c>
      <c r="BE5" s="2" t="str">
        <f t="shared" ref="BE5:BH24" si="4">+VLOOKUP(BE$1,ran_dat,$BD5,FALSE)</f>
        <v>Índice</v>
      </c>
      <c r="BF5" s="2">
        <f t="shared" si="4"/>
        <v>7491.4</v>
      </c>
      <c r="BG5" s="2">
        <f t="shared" si="4"/>
        <v>7314</v>
      </c>
      <c r="BH5" s="2">
        <f t="shared" si="4"/>
        <v>2816.0628000000002</v>
      </c>
    </row>
    <row r="6" spans="1:162" ht="18.75" customHeight="1">
      <c r="A6" s="243" t="s">
        <v>28</v>
      </c>
      <c r="B6" s="246"/>
      <c r="C6" s="156">
        <f t="shared" ref="C6:C24" si="5">+D6*$D$3+N6*$N$3+T6*$T$3</f>
        <v>0</v>
      </c>
      <c r="D6" s="198">
        <v>-2</v>
      </c>
      <c r="E6" s="248">
        <f t="shared" ref="E6:E24" si="6">IFERROR(+BF6/BG6-1,"")</f>
        <v>2.5889096958856106E-2</v>
      </c>
      <c r="F6" s="249">
        <f t="shared" ref="F6:F24" si="7">+E6-$E$3</f>
        <v>1.6342432536333718E-3</v>
      </c>
      <c r="G6" s="248">
        <f t="shared" ref="G6:G24" si="8">IFERROR(+BK6/BL6-1,"")</f>
        <v>3.0588052863710136E-2</v>
      </c>
      <c r="H6" s="249">
        <f t="shared" ref="H6:H24" si="9">E6-G6</f>
        <v>-4.6989559048540297E-3</v>
      </c>
      <c r="I6" s="248">
        <f t="shared" ref="I6:I24" si="10">IFERROR(+BF6/BH6-1,"")</f>
        <v>0.61625364565004648</v>
      </c>
      <c r="J6" s="249">
        <f t="shared" ref="J6:J26" si="11">+I6-$I$3</f>
        <v>-1.0439853234524887</v>
      </c>
      <c r="K6" s="248">
        <f t="shared" ref="K6:K24" si="12">IFERROR(+BK6/BM6-1,"")</f>
        <v>1.038771766234595</v>
      </c>
      <c r="L6" s="249">
        <f t="shared" ref="L6:L24" si="13">I6-K6</f>
        <v>-0.42251812058454852</v>
      </c>
      <c r="M6" s="250"/>
      <c r="N6" s="24">
        <v>1</v>
      </c>
      <c r="O6" s="248">
        <f>IFERROR(+BP6/BQ6-1,"")</f>
        <v>6.1538461538461542E-2</v>
      </c>
      <c r="P6" s="251">
        <f>+O6</f>
        <v>6.1538461538461542E-2</v>
      </c>
      <c r="Q6" s="248">
        <f t="shared" ref="Q6:Q24" si="14">IFERROR(+BT6/BU6-1,"")</f>
        <v>0.44444444444444442</v>
      </c>
      <c r="R6" s="251">
        <f>+Q6</f>
        <v>0.44444444444444442</v>
      </c>
      <c r="S6" s="250"/>
      <c r="T6" s="24">
        <v>1</v>
      </c>
      <c r="U6" s="248">
        <f t="shared" ref="U6:U24" si="15">IFERROR(+BX6/BY6-1,"")</f>
        <v>1.168984238519549</v>
      </c>
      <c r="V6" s="252">
        <f t="shared" ref="V6:V24" si="16">+U6</f>
        <v>1.168984238519549</v>
      </c>
      <c r="W6" s="248">
        <f>IFERROR(IF(CB6&lt;0.5,"",+CB6/CC6-1),"")</f>
        <v>-0.41751139128696979</v>
      </c>
      <c r="X6" s="252">
        <f t="shared" ref="X6:X24" si="17">+W6</f>
        <v>-0.41751139128696979</v>
      </c>
      <c r="Y6" s="248" t="str">
        <f t="shared" ref="Y6:Y25" si="18">IFERROR(+CF6/CG6-1,"")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
        <f>VLOOKUP($A6,historia!$A$5:$CM$24,+HLOOKUP(AO$2,historia!$A$3:$EC$4,2,FALSE),FALSE)</f>
        <v>4</v>
      </c>
      <c r="AP6" s="28">
        <f>VLOOKUP($A6,historia!$A$5:$CM$24,+HLOOKUP(AP$2,historia!$A$3:$EC$4,2,FALSE),FALSE)</f>
        <v>4</v>
      </c>
      <c r="AQ6" s="28">
        <f>VLOOKUP($A6,historia!$A$5:$CM$24,+HLOOKUP(AQ$2,historia!$A$3:$EC$4,2,FALSE),FALSE)</f>
        <v>4</v>
      </c>
      <c r="AR6" s="28">
        <f>VLOOKUP($A6,historia!$A$5:$CM$24,+HLOOKUP(AR$2,historia!$A$3:$EC$4,2,FALSE),FALSE)</f>
        <v>4</v>
      </c>
      <c r="AS6" s="58">
        <f>VLOOKUP($A6,historia!$A$5:$CM$24,+HLOOKUP(AS$2,historia!$A$3:$EC$4,2,FALSE),FALSE)</f>
        <v>4</v>
      </c>
      <c r="AT6" s="58">
        <f>VLOOKUP($A6,historia!$A$5:$CM$24,+HLOOKUP(AT$2,historia!$A$3:$EC$4,2,FALSE),FALSE)</f>
        <v>3</v>
      </c>
      <c r="AU6" s="58">
        <f>VLOOKUP($A6,historia!$A$5:$CM$24,+HLOOKUP(AU$2,historia!$A$3:$EC$4,2,FALSE),FALSE)</f>
        <v>3</v>
      </c>
      <c r="AV6" s="58">
        <f>VLOOKUP($A6,historia!$A$5:$CM$24,+HLOOKUP(AV$2,historia!$A$3:$EC$4,2,FALSE),FALSE)</f>
        <v>3</v>
      </c>
      <c r="AW6" s="58">
        <v>3</v>
      </c>
      <c r="AX6" s="58">
        <v>3</v>
      </c>
      <c r="AY6" s="58">
        <v>3</v>
      </c>
      <c r="AZ6" s="58">
        <v>3</v>
      </c>
      <c r="BA6" s="30"/>
      <c r="BB6" s="141">
        <v>3</v>
      </c>
      <c r="BC6" t="str">
        <f t="shared" ref="BC6:BC24" si="20">+A6</f>
        <v>Algodón</v>
      </c>
      <c r="BD6">
        <f>+datos!P1</f>
        <v>16</v>
      </c>
      <c r="BE6" s="2" t="str">
        <f t="shared" si="4"/>
        <v>$/kg</v>
      </c>
      <c r="BF6" s="2">
        <f t="shared" si="4"/>
        <v>1393.4827287499998</v>
      </c>
      <c r="BG6" s="2">
        <f t="shared" si="4"/>
        <v>1358.317125</v>
      </c>
      <c r="BH6" s="2">
        <f t="shared" si="4"/>
        <v>862.16834374999985</v>
      </c>
      <c r="BJ6">
        <f>+datos!BY1</f>
        <v>77</v>
      </c>
      <c r="BK6" s="2">
        <f t="shared" ref="BK6:BM24" si="21">+VLOOKUP(BK$1,ran_dat,$BJ6,FALSE)</f>
        <v>9314.8522914416717</v>
      </c>
      <c r="BL6" s="2">
        <f t="shared" si="21"/>
        <v>9038.3856726830418</v>
      </c>
      <c r="BM6" s="2">
        <f t="shared" si="21"/>
        <v>4568.8548594359145</v>
      </c>
      <c r="BO6" s="1">
        <f>+datos!DK1</f>
        <v>115</v>
      </c>
      <c r="BP6" s="1">
        <f t="shared" ref="BP6:BQ24" si="22">+VLOOKUP(BP$1,ran_dat,$BO6,FALSE)</f>
        <v>690000</v>
      </c>
      <c r="BQ6" s="1">
        <f t="shared" si="22"/>
        <v>650000</v>
      </c>
      <c r="BS6" s="1">
        <f>+datos!FF1</f>
        <v>162</v>
      </c>
      <c r="BT6" s="1">
        <f t="shared" ref="BT6:BU24" si="23">+VLOOKUP(BT$1,ran_dat,$BS6,FALSE)</f>
        <v>1300000</v>
      </c>
      <c r="BU6" s="1">
        <f t="shared" si="23"/>
        <v>900000</v>
      </c>
      <c r="BW6" s="1">
        <f>+datos!JF1</f>
        <v>266</v>
      </c>
      <c r="BX6" s="1">
        <f>+SUM(CI6:CT6)</f>
        <v>195.12727000000001</v>
      </c>
      <c r="BY6" s="1">
        <f>+SUM(CU6:DF6)</f>
        <v>89.962511729999989</v>
      </c>
      <c r="CA6" s="1">
        <f>+datos!KK1</f>
        <v>297</v>
      </c>
      <c r="CB6" s="2">
        <f t="shared" ref="CB6:CB24" si="24">+SUM(DH6:DS6)</f>
        <v>58.824434349999997</v>
      </c>
      <c r="CC6" s="2">
        <f t="shared" ref="CC6:CC24" si="25">+SUM(DT6:EE6)</f>
        <v>100.9881283</v>
      </c>
      <c r="CE6" s="1">
        <f>+datos!HS1</f>
        <v>227</v>
      </c>
      <c r="CF6" s="1">
        <f t="shared" ref="CF6:CF24" si="26">+EG6</f>
        <v>0</v>
      </c>
      <c r="CG6" s="1">
        <f t="shared" ref="CG6:CG24" si="27">+ES6</f>
        <v>0</v>
      </c>
      <c r="CI6" s="1">
        <f t="shared" ref="CI6:CX21" si="28">+VLOOKUP(CI$1,ran_dat,$BW6,FALSE)</f>
        <v>14.805583519999997</v>
      </c>
      <c r="CJ6" s="1">
        <f t="shared" si="28"/>
        <v>17.696202909999993</v>
      </c>
      <c r="CK6" s="1">
        <f t="shared" si="28"/>
        <v>21.922029789999996</v>
      </c>
      <c r="CL6" s="1">
        <f t="shared" si="28"/>
        <v>19.20970509</v>
      </c>
      <c r="CM6" s="1">
        <f t="shared" si="28"/>
        <v>24.496622440000007</v>
      </c>
      <c r="CN6" s="1">
        <f t="shared" si="28"/>
        <v>21.439575039999998</v>
      </c>
      <c r="CO6" s="1">
        <f t="shared" si="28"/>
        <v>14.529816729999997</v>
      </c>
      <c r="CP6" s="1">
        <f t="shared" si="28"/>
        <v>18.258202080000007</v>
      </c>
      <c r="CQ6" s="1">
        <f t="shared" si="28"/>
        <v>18.510441480000001</v>
      </c>
      <c r="CR6" s="1">
        <f t="shared" si="28"/>
        <v>7.7064561400000011</v>
      </c>
      <c r="CS6" s="1">
        <f t="shared" si="28"/>
        <v>8.1062574399999985</v>
      </c>
      <c r="CT6" s="1">
        <f t="shared" si="28"/>
        <v>8.4463773399999997</v>
      </c>
      <c r="CU6" s="1">
        <f t="shared" si="28"/>
        <v>15.019774559999998</v>
      </c>
      <c r="CV6" s="1">
        <f t="shared" si="28"/>
        <v>14.398572559999998</v>
      </c>
      <c r="CW6" s="1">
        <f t="shared" si="28"/>
        <v>16.61514231</v>
      </c>
      <c r="CX6" s="1">
        <f t="shared" si="28"/>
        <v>14.3155891</v>
      </c>
      <c r="CY6" s="1">
        <f t="shared" ref="CY6:DF21" si="29">+VLOOKUP(CY$1,ran_dat,$BW6,FALSE)</f>
        <v>3.12980459</v>
      </c>
      <c r="CZ6" s="1">
        <f t="shared" si="29"/>
        <v>2.3595063199999995</v>
      </c>
      <c r="DA6" s="1">
        <f t="shared" si="29"/>
        <v>5.3927380000000005</v>
      </c>
      <c r="DB6" s="1">
        <f t="shared" si="29"/>
        <v>1.1182586999999999</v>
      </c>
      <c r="DC6" s="1">
        <f t="shared" si="29"/>
        <v>0.81365803999999953</v>
      </c>
      <c r="DD6" s="1">
        <f t="shared" si="29"/>
        <v>2.2053805500000006</v>
      </c>
      <c r="DE6" s="1">
        <f t="shared" si="29"/>
        <v>1.2234686099999996</v>
      </c>
      <c r="DF6" s="1">
        <f t="shared" si="29"/>
        <v>13.370618389999997</v>
      </c>
      <c r="DH6" s="1">
        <f t="shared" ref="DH6:DW21" si="30">+VLOOKUP(DH$1,ran_dat,$CA6,FALSE)</f>
        <v>5.6011509000000004</v>
      </c>
      <c r="DI6" s="1">
        <f t="shared" si="30"/>
        <v>5.8112020999999991</v>
      </c>
      <c r="DJ6" s="1">
        <f t="shared" si="30"/>
        <v>6.3060080799999998</v>
      </c>
      <c r="DK6" s="1">
        <f t="shared" si="30"/>
        <v>3.7690183000000008</v>
      </c>
      <c r="DL6" s="1">
        <f t="shared" si="30"/>
        <v>4.5361736000000006</v>
      </c>
      <c r="DM6" s="1">
        <f t="shared" si="30"/>
        <v>3.2956469100000003</v>
      </c>
      <c r="DN6" s="1">
        <f t="shared" si="30"/>
        <v>4.5516111999999991</v>
      </c>
      <c r="DO6" s="1">
        <f t="shared" si="30"/>
        <v>3.9375346699999998</v>
      </c>
      <c r="DP6" s="1">
        <f t="shared" si="30"/>
        <v>4.8118603300000009</v>
      </c>
      <c r="DQ6" s="1">
        <f t="shared" si="30"/>
        <v>5.2295233099999994</v>
      </c>
      <c r="DR6" s="1">
        <f t="shared" si="30"/>
        <v>7.4159317900000001</v>
      </c>
      <c r="DS6" s="1">
        <f t="shared" si="30"/>
        <v>3.5587731599999999</v>
      </c>
      <c r="DT6" s="1">
        <f t="shared" si="30"/>
        <v>6.9479693099999986</v>
      </c>
      <c r="DU6" s="1">
        <f t="shared" si="30"/>
        <v>7.5746309199999997</v>
      </c>
      <c r="DV6" s="1">
        <f t="shared" si="30"/>
        <v>8.1137987799999998</v>
      </c>
      <c r="DW6" s="1">
        <f t="shared" si="30"/>
        <v>9.2876289100000005</v>
      </c>
      <c r="DX6" s="1">
        <f t="shared" ref="DX6:EE20" si="31">+VLOOKUP(DX$1,ran_dat,$CA6,FALSE)</f>
        <v>7.69051375</v>
      </c>
      <c r="DY6" s="1">
        <f t="shared" si="31"/>
        <v>7.1486482300000009</v>
      </c>
      <c r="DZ6" s="1">
        <f t="shared" si="31"/>
        <v>9.1724036200000008</v>
      </c>
      <c r="EA6" s="1">
        <f t="shared" si="31"/>
        <v>6.8489806600000005</v>
      </c>
      <c r="EB6" s="1">
        <f t="shared" si="31"/>
        <v>8.39418884</v>
      </c>
      <c r="EC6" s="1">
        <f t="shared" si="31"/>
        <v>8.0897496800000006</v>
      </c>
      <c r="ED6" s="1">
        <f t="shared" si="31"/>
        <v>9.8858098699999992</v>
      </c>
      <c r="EE6" s="1">
        <f t="shared" si="31"/>
        <v>11.833805730000002</v>
      </c>
      <c r="EG6" s="14">
        <f t="shared" ref="EG6:EV21" si="32">+VLOOKUP(EG$1,ran_dat,$CE6,FALSE)</f>
        <v>0</v>
      </c>
      <c r="EH6" s="14">
        <f t="shared" si="32"/>
        <v>0</v>
      </c>
      <c r="EI6" s="1">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ref="EW6:FD20" si="33">+VLOOKUP(EW$1,ran_dat,$CE6,FALSE)</f>
        <v>0</v>
      </c>
      <c r="EX6" s="1">
        <f t="shared" si="33"/>
        <v>0</v>
      </c>
      <c r="EY6" s="1">
        <f t="shared" si="33"/>
        <v>0</v>
      </c>
      <c r="EZ6" s="1">
        <f t="shared" si="33"/>
        <v>0</v>
      </c>
      <c r="FA6" s="1">
        <f t="shared" si="33"/>
        <v>0</v>
      </c>
      <c r="FB6" s="1">
        <f t="shared" si="33"/>
        <v>0</v>
      </c>
      <c r="FC6" s="1">
        <f t="shared" si="33"/>
        <v>0</v>
      </c>
      <c r="FD6" s="1">
        <f t="shared" si="33"/>
        <v>0</v>
      </c>
      <c r="FF6" s="162">
        <f t="shared" ref="FF6:FF24" si="34">+I6-K6</f>
        <v>-0.42251812058454852</v>
      </c>
    </row>
    <row r="7" spans="1:162" ht="18.75" customHeight="1">
      <c r="A7" s="244" t="s">
        <v>13</v>
      </c>
      <c r="B7" s="247"/>
      <c r="C7" s="228">
        <f t="shared" si="5"/>
        <v>-0.33</v>
      </c>
      <c r="D7" s="229">
        <v>-1</v>
      </c>
      <c r="E7" s="253">
        <f t="shared" si="6"/>
        <v>-7.8947368421052655E-2</v>
      </c>
      <c r="F7" s="254">
        <f t="shared" si="7"/>
        <v>-0.10320222212627539</v>
      </c>
      <c r="G7" s="253">
        <f t="shared" si="8"/>
        <v>1.7076223079668162E-2</v>
      </c>
      <c r="H7" s="254">
        <f t="shared" si="9"/>
        <v>-9.6023591500720817E-2</v>
      </c>
      <c r="I7" s="253">
        <f t="shared" si="10"/>
        <v>0.25</v>
      </c>
      <c r="J7" s="254">
        <f t="shared" si="11"/>
        <v>-1.4102389691025352</v>
      </c>
      <c r="K7" s="253">
        <f t="shared" si="12"/>
        <v>1.3381541626147762</v>
      </c>
      <c r="L7" s="254">
        <f t="shared" si="13"/>
        <v>-1.0881541626147762</v>
      </c>
      <c r="M7" s="255"/>
      <c r="N7" s="256">
        <v>1</v>
      </c>
      <c r="O7" s="253">
        <f t="shared" ref="O7:O24" si="35">IFERROR(+BP7/BQ7-1,"")</f>
        <v>0.14999999999999991</v>
      </c>
      <c r="P7" s="257">
        <f t="shared" ref="P7:P24" si="36">+O7</f>
        <v>0.14999999999999991</v>
      </c>
      <c r="Q7" s="253">
        <f t="shared" si="14"/>
        <v>8.3333333333333259E-2</v>
      </c>
      <c r="R7" s="257">
        <f t="shared" ref="R7:R24" si="37">+Q7</f>
        <v>8.3333333333333259E-2</v>
      </c>
      <c r="S7" s="255"/>
      <c r="T7" s="256">
        <v>-1</v>
      </c>
      <c r="U7" s="253">
        <f t="shared" si="15"/>
        <v>0.1159661883446339</v>
      </c>
      <c r="V7" s="258">
        <f t="shared" si="16"/>
        <v>0.1159661883446339</v>
      </c>
      <c r="W7" s="253">
        <f t="shared" ref="W7:W24" si="38">IFERROR(IF(CB7&lt;0.5,"",+CB7/CC7-1),"")</f>
        <v>5.4164904995908199</v>
      </c>
      <c r="X7" s="258">
        <f t="shared" si="17"/>
        <v>5.4164904995908199</v>
      </c>
      <c r="Y7" s="253">
        <f t="shared" si="18"/>
        <v>0</v>
      </c>
      <c r="Z7" s="258">
        <f t="shared" si="19"/>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
        <f>VLOOKUP($A7,historia!$A$5:$CM$24,+HLOOKUP(AO$2,historia!$A$3:$EC$4,2,FALSE),FALSE)</f>
        <v>3</v>
      </c>
      <c r="AP7" s="28">
        <f>VLOOKUP($A7,historia!$A$5:$CM$24,+HLOOKUP(AP$2,historia!$A$3:$EC$4,2,FALSE),FALSE)</f>
        <v>2</v>
      </c>
      <c r="AQ7" s="28">
        <f>VLOOKUP($A7,historia!$A$5:$CM$24,+HLOOKUP(AQ$2,historia!$A$3:$EC$4,2,FALSE),FALSE)</f>
        <v>2</v>
      </c>
      <c r="AR7" s="28">
        <f>VLOOKUP($A7,historia!$A$5:$CM$24,+HLOOKUP(AR$2,historia!$A$3:$EC$4,2,FALSE),FALSE)</f>
        <v>2</v>
      </c>
      <c r="AS7" s="58">
        <f>VLOOKUP($A7,historia!$A$5:$CM$24,+HLOOKUP(AS$2,historia!$A$3:$EC$4,2,FALSE),FALSE)</f>
        <v>2</v>
      </c>
      <c r="AT7" s="58">
        <f>VLOOKUP($A7,historia!$A$5:$CM$24,+HLOOKUP(AT$2,historia!$A$3:$EC$4,2,FALSE),FALSE)</f>
        <v>2</v>
      </c>
      <c r="AU7" s="58">
        <f>VLOOKUP($A7,historia!$A$5:$CM$24,+HLOOKUP(AU$2,historia!$A$3:$EC$4,2,FALSE),FALSE)</f>
        <v>2</v>
      </c>
      <c r="AV7" s="58">
        <f>VLOOKUP($A7,historia!$A$5:$CM$24,+HLOOKUP(AV$2,historia!$A$3:$EC$4,2,FALSE),FALSE)</f>
        <v>4</v>
      </c>
      <c r="AW7" s="58">
        <v>4</v>
      </c>
      <c r="AX7" s="58">
        <v>4</v>
      </c>
      <c r="AY7" s="58">
        <v>4</v>
      </c>
      <c r="AZ7" s="58">
        <v>4</v>
      </c>
      <c r="BA7" s="30"/>
      <c r="BB7" s="141">
        <v>4</v>
      </c>
      <c r="BC7" t="str">
        <f t="shared" si="20"/>
        <v>Arroz</v>
      </c>
      <c r="BD7">
        <f>+datos!R1</f>
        <v>18</v>
      </c>
      <c r="BE7" s="2" t="str">
        <f t="shared" si="4"/>
        <v>$/t</v>
      </c>
      <c r="BF7" s="2">
        <f t="shared" si="4"/>
        <v>350000</v>
      </c>
      <c r="BG7" s="2">
        <f t="shared" si="4"/>
        <v>380000</v>
      </c>
      <c r="BH7" s="2">
        <f t="shared" si="4"/>
        <v>280000</v>
      </c>
      <c r="BJ7">
        <f>+datos!BZ1</f>
        <v>78</v>
      </c>
      <c r="BK7" s="2">
        <f t="shared" si="21"/>
        <v>8788.7348669384846</v>
      </c>
      <c r="BL7" s="2">
        <f t="shared" si="21"/>
        <v>8641.1762142335101</v>
      </c>
      <c r="BM7" s="2">
        <f t="shared" si="21"/>
        <v>3758.8346429261846</v>
      </c>
      <c r="BO7" s="1">
        <f>+datos!DM1</f>
        <v>117</v>
      </c>
      <c r="BP7" s="1">
        <f t="shared" si="22"/>
        <v>230000</v>
      </c>
      <c r="BQ7" s="1">
        <f t="shared" si="22"/>
        <v>200000</v>
      </c>
      <c r="BS7" s="1">
        <f>+datos!FH1</f>
        <v>164</v>
      </c>
      <c r="BT7" s="1">
        <f t="shared" si="23"/>
        <v>1300000</v>
      </c>
      <c r="BU7" s="1">
        <f t="shared" si="23"/>
        <v>1200000</v>
      </c>
      <c r="BW7" s="1">
        <f>+datos!JG1</f>
        <v>267</v>
      </c>
      <c r="BX7" s="1">
        <f t="shared" ref="BX7:BX24" si="39">+SUM(CI7:CT7)</f>
        <v>290.93551177000001</v>
      </c>
      <c r="BY7" s="1">
        <f t="shared" ref="BY7:BY24" si="40">+SUM(CU7:DF7)</f>
        <v>260.70280158000003</v>
      </c>
      <c r="CA7" s="1">
        <f>+datos!KL1</f>
        <v>298</v>
      </c>
      <c r="CB7" s="2">
        <f t="shared" si="24"/>
        <v>4.4971177399999993</v>
      </c>
      <c r="CC7" s="2">
        <f t="shared" si="25"/>
        <v>0.70086876000000009</v>
      </c>
      <c r="CE7" s="1">
        <f>+datos!HU1</f>
        <v>229</v>
      </c>
      <c r="CF7" s="1">
        <f t="shared" si="26"/>
        <v>700000</v>
      </c>
      <c r="CG7" s="1">
        <f t="shared" si="27"/>
        <v>700000</v>
      </c>
      <c r="CI7" s="1">
        <f t="shared" si="28"/>
        <v>21.789652239999999</v>
      </c>
      <c r="CJ7" s="1">
        <f t="shared" si="28"/>
        <v>22.506187060000002</v>
      </c>
      <c r="CK7" s="1">
        <f t="shared" si="28"/>
        <v>26.198510359999997</v>
      </c>
      <c r="CL7" s="1">
        <f t="shared" si="28"/>
        <v>16.658344929999998</v>
      </c>
      <c r="CM7" s="1">
        <f t="shared" si="28"/>
        <v>38.799980059999996</v>
      </c>
      <c r="CN7" s="1">
        <f t="shared" si="28"/>
        <v>35.598317799999997</v>
      </c>
      <c r="CO7" s="1">
        <f t="shared" si="28"/>
        <v>32.785113670000001</v>
      </c>
      <c r="CP7" s="1">
        <f t="shared" si="28"/>
        <v>22.35722878</v>
      </c>
      <c r="CQ7" s="1">
        <f t="shared" si="28"/>
        <v>34.376458229999997</v>
      </c>
      <c r="CR7" s="1">
        <f t="shared" si="28"/>
        <v>13.355622539999999</v>
      </c>
      <c r="CS7" s="1">
        <f t="shared" si="28"/>
        <v>10.68224592</v>
      </c>
      <c r="CT7" s="1">
        <f t="shared" si="28"/>
        <v>15.82785018</v>
      </c>
      <c r="CU7" s="1">
        <f t="shared" si="28"/>
        <v>16.180063639999997</v>
      </c>
      <c r="CV7" s="1">
        <f t="shared" si="28"/>
        <v>11.823193960000001</v>
      </c>
      <c r="CW7" s="1">
        <f t="shared" si="28"/>
        <v>12.24327484</v>
      </c>
      <c r="CX7" s="1">
        <f t="shared" si="28"/>
        <v>9.600226039999999</v>
      </c>
      <c r="CY7" s="1">
        <f t="shared" si="29"/>
        <v>26.338491399999999</v>
      </c>
      <c r="CZ7" s="1">
        <f t="shared" si="29"/>
        <v>21.418726320000001</v>
      </c>
      <c r="DA7" s="1">
        <f t="shared" si="29"/>
        <v>22.255101539999998</v>
      </c>
      <c r="DB7" s="1">
        <f t="shared" si="29"/>
        <v>44.848914040000004</v>
      </c>
      <c r="DC7" s="1">
        <f t="shared" si="29"/>
        <v>20.357260950000001</v>
      </c>
      <c r="DD7" s="1">
        <f t="shared" si="29"/>
        <v>17.134564559999998</v>
      </c>
      <c r="DE7" s="1">
        <f t="shared" si="29"/>
        <v>28.8463791</v>
      </c>
      <c r="DF7" s="1">
        <f t="shared" si="29"/>
        <v>29.656605189999997</v>
      </c>
      <c r="DH7" s="1">
        <f t="shared" si="30"/>
        <v>0.7620908099999999</v>
      </c>
      <c r="DI7" s="1">
        <f t="shared" si="30"/>
        <v>0.50490091999999998</v>
      </c>
      <c r="DJ7" s="1">
        <f t="shared" si="30"/>
        <v>0.40961613000000002</v>
      </c>
      <c r="DK7" s="1">
        <f t="shared" si="30"/>
        <v>0.23587240000000001</v>
      </c>
      <c r="DL7" s="1">
        <f t="shared" si="30"/>
        <v>0.18557204999999999</v>
      </c>
      <c r="DM7" s="1">
        <f t="shared" si="30"/>
        <v>0.48301414000000004</v>
      </c>
      <c r="DN7" s="1">
        <f t="shared" si="30"/>
        <v>0.23845672000000001</v>
      </c>
      <c r="DO7" s="1">
        <f t="shared" si="30"/>
        <v>0.50080292000000004</v>
      </c>
      <c r="DP7" s="1">
        <f t="shared" si="30"/>
        <v>8.6091799999999996E-2</v>
      </c>
      <c r="DQ7" s="1">
        <f t="shared" si="30"/>
        <v>0.22536</v>
      </c>
      <c r="DR7" s="1">
        <f t="shared" si="30"/>
        <v>0.8256</v>
      </c>
      <c r="DS7" s="1">
        <f t="shared" si="30"/>
        <v>3.973985E-2</v>
      </c>
      <c r="DT7" s="1">
        <f t="shared" si="30"/>
        <v>3.3462720000000001E-2</v>
      </c>
      <c r="DU7" s="1">
        <f t="shared" si="30"/>
        <v>0.19098301000000001</v>
      </c>
      <c r="DV7" s="1">
        <f t="shared" si="30"/>
        <v>0.10767879</v>
      </c>
      <c r="DW7" s="1">
        <f t="shared" si="30"/>
        <v>5.5773490000000002E-2</v>
      </c>
      <c r="DX7" s="1">
        <f t="shared" si="31"/>
        <v>8.7189080000000002E-2</v>
      </c>
      <c r="DY7" s="1">
        <f t="shared" si="31"/>
        <v>3.9243889999999997E-2</v>
      </c>
      <c r="DZ7" s="1">
        <f t="shared" si="31"/>
        <v>0.10892111</v>
      </c>
      <c r="EA7" s="1">
        <f t="shared" si="31"/>
        <v>1.8036480000000001E-2</v>
      </c>
      <c r="EB7" s="1">
        <f t="shared" si="31"/>
        <v>2.0500000000000002E-3</v>
      </c>
      <c r="EC7" s="1">
        <f t="shared" si="31"/>
        <v>1.0492100000000001E-3</v>
      </c>
      <c r="ED7" s="1">
        <f t="shared" si="31"/>
        <v>2.7127990000000001E-2</v>
      </c>
      <c r="EE7" s="1">
        <f t="shared" si="31"/>
        <v>2.9352990000000002E-2</v>
      </c>
      <c r="EG7" s="14">
        <f t="shared" si="32"/>
        <v>700000</v>
      </c>
      <c r="EH7" s="14">
        <f t="shared" si="32"/>
        <v>700000</v>
      </c>
      <c r="EI7" s="1">
        <f t="shared" si="32"/>
        <v>700000</v>
      </c>
      <c r="EJ7" s="1">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3"/>
        <v>700000</v>
      </c>
      <c r="EX7" s="1">
        <f t="shared" si="33"/>
        <v>700000</v>
      </c>
      <c r="EY7" s="1">
        <f t="shared" si="33"/>
        <v>700000</v>
      </c>
      <c r="EZ7" s="1">
        <f t="shared" si="33"/>
        <v>700000</v>
      </c>
      <c r="FA7" s="1">
        <f t="shared" si="33"/>
        <v>700000</v>
      </c>
      <c r="FB7" s="1">
        <f t="shared" si="33"/>
        <v>650000</v>
      </c>
      <c r="FC7" s="1">
        <f t="shared" si="33"/>
        <v>650000</v>
      </c>
      <c r="FD7" s="1">
        <f t="shared" si="33"/>
        <v>650000</v>
      </c>
      <c r="FF7" s="162">
        <f t="shared" si="34"/>
        <v>-1.0881541626147762</v>
      </c>
    </row>
    <row r="8" spans="1:162" ht="18.75" customHeight="1">
      <c r="A8" s="243" t="s">
        <v>215</v>
      </c>
      <c r="B8" s="246"/>
      <c r="C8" s="156">
        <f t="shared" si="5"/>
        <v>-0.33</v>
      </c>
      <c r="D8" s="198">
        <v>0</v>
      </c>
      <c r="E8" s="248">
        <f t="shared" si="6"/>
        <v>5.4880770723253258E-2</v>
      </c>
      <c r="F8" s="249">
        <f t="shared" si="7"/>
        <v>3.0625917018030524E-2</v>
      </c>
      <c r="G8" s="248">
        <f t="shared" si="8"/>
        <v>1.452551324105511E-2</v>
      </c>
      <c r="H8" s="249">
        <f t="shared" si="9"/>
        <v>4.0355257482198148E-2</v>
      </c>
      <c r="I8" s="248">
        <f t="shared" si="10"/>
        <v>1.026962932457216</v>
      </c>
      <c r="J8" s="249">
        <f t="shared" si="11"/>
        <v>-0.63327603664531917</v>
      </c>
      <c r="K8" s="248">
        <f t="shared" si="12"/>
        <v>1.6308842177545531</v>
      </c>
      <c r="L8" s="249">
        <f t="shared" si="13"/>
        <v>-0.60392128529733702</v>
      </c>
      <c r="M8" s="250"/>
      <c r="N8" s="24">
        <v>0</v>
      </c>
      <c r="O8" s="248">
        <f t="shared" si="35"/>
        <v>-2.7306666666666701E-2</v>
      </c>
      <c r="P8" s="251">
        <f t="shared" si="36"/>
        <v>-2.7306666666666701E-2</v>
      </c>
      <c r="Q8" s="248">
        <f t="shared" si="14"/>
        <v>-1.8745693650077389E-3</v>
      </c>
      <c r="R8" s="251">
        <f t="shared" si="37"/>
        <v>-1.8745693650077389E-3</v>
      </c>
      <c r="S8" s="250"/>
      <c r="T8" s="24">
        <v>-1</v>
      </c>
      <c r="U8" s="248">
        <f t="shared" si="15"/>
        <v>-0.13174968137797582</v>
      </c>
      <c r="V8" s="252">
        <f t="shared" si="16"/>
        <v>-0.13174968137797582</v>
      </c>
      <c r="W8" s="248">
        <f t="shared" si="38"/>
        <v>-0.12018345137506814</v>
      </c>
      <c r="X8" s="252">
        <f t="shared" si="17"/>
        <v>-0.12018345137506814</v>
      </c>
      <c r="Y8" s="248">
        <f t="shared" si="18"/>
        <v>-4.344992396263514E-4</v>
      </c>
      <c r="Z8" s="252">
        <f t="shared" si="19"/>
        <v>-4.344992396263514E-4</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
        <f>VLOOKUP($A8,historia!$A$5:$CM$24,+HLOOKUP(AO$2,historia!$A$3:$EC$4,2,FALSE),FALSE)</f>
        <v>5</v>
      </c>
      <c r="AP8" s="28">
        <f>VLOOKUP($A8,historia!$A$5:$CM$24,+HLOOKUP(AP$2,historia!$A$3:$EC$4,2,FALSE),FALSE)</f>
        <v>2</v>
      </c>
      <c r="AQ8" s="28">
        <f>VLOOKUP($A8,historia!$A$5:$CM$24,+HLOOKUP(AQ$2,historia!$A$3:$EC$4,2,FALSE),FALSE)</f>
        <v>1</v>
      </c>
      <c r="AR8" s="28">
        <f>VLOOKUP($A8,historia!$A$5:$CM$24,+HLOOKUP(AR$2,historia!$A$3:$EC$4,2,FALSE),FALSE)</f>
        <v>1</v>
      </c>
      <c r="AS8" s="58">
        <f>VLOOKUP($A8,historia!$A$5:$CM$24,+HLOOKUP(AS$2,historia!$A$3:$EC$4,2,FALSE),FALSE)</f>
        <v>2</v>
      </c>
      <c r="AT8" s="58">
        <f>VLOOKUP($A8,historia!$A$5:$CM$24,+HLOOKUP(AT$2,historia!$A$3:$EC$4,2,FALSE),FALSE)</f>
        <v>3</v>
      </c>
      <c r="AU8" s="58">
        <f>VLOOKUP($A8,historia!$A$5:$CM$24,+HLOOKUP(AU$2,historia!$A$3:$EC$4,2,FALSE),FALSE)</f>
        <v>3</v>
      </c>
      <c r="AV8" s="58">
        <f>VLOOKUP($A8,historia!$A$5:$CM$24,+HLOOKUP(AV$2,historia!$A$3:$EC$4,2,FALSE),FALSE)</f>
        <v>3</v>
      </c>
      <c r="AW8" s="58">
        <v>3</v>
      </c>
      <c r="AX8" s="58">
        <v>3</v>
      </c>
      <c r="AY8" s="58">
        <v>4</v>
      </c>
      <c r="AZ8" s="58">
        <v>3</v>
      </c>
      <c r="BA8" s="30"/>
      <c r="BB8" s="141">
        <v>3</v>
      </c>
      <c r="BC8" t="str">
        <f t="shared" si="20"/>
        <v>Aves</v>
      </c>
      <c r="BD8">
        <f>+datos!BQ1</f>
        <v>69</v>
      </c>
      <c r="BE8" s="2" t="str">
        <f t="shared" si="4"/>
        <v>prom pond huevo-carne</v>
      </c>
      <c r="BF8" s="2">
        <f t="shared" si="4"/>
        <v>1807.7650000000001</v>
      </c>
      <c r="BG8" s="2">
        <f t="shared" si="4"/>
        <v>1713.7150000000001</v>
      </c>
      <c r="BH8" s="2">
        <f t="shared" si="4"/>
        <v>891.85893390191904</v>
      </c>
      <c r="BJ8">
        <f>+datos!DG1</f>
        <v>111</v>
      </c>
      <c r="BK8" s="2">
        <f t="shared" si="21"/>
        <v>8642.3751933793919</v>
      </c>
      <c r="BL8" s="2">
        <f t="shared" si="21"/>
        <v>8518.6376099798799</v>
      </c>
      <c r="BM8" s="2">
        <f t="shared" si="21"/>
        <v>3284.9697964875159</v>
      </c>
      <c r="BO8" s="1">
        <f>+datos!EP1</f>
        <v>146</v>
      </c>
      <c r="BP8" s="1">
        <f t="shared" si="22"/>
        <v>9119</v>
      </c>
      <c r="BQ8" s="1">
        <f t="shared" si="22"/>
        <v>9375</v>
      </c>
      <c r="BS8" s="1">
        <f>+datos!HM1</f>
        <v>221</v>
      </c>
      <c r="BT8" s="1">
        <f t="shared" si="23"/>
        <v>2356765.5222992869</v>
      </c>
      <c r="BU8" s="1">
        <f t="shared" si="23"/>
        <v>2361191.7400000002</v>
      </c>
      <c r="BW8" s="1">
        <f>+datos!KF1</f>
        <v>292</v>
      </c>
      <c r="BX8" s="1">
        <f t="shared" si="39"/>
        <v>320.25649097000002</v>
      </c>
      <c r="BY8" s="1">
        <f t="shared" si="40"/>
        <v>368.85271920000002</v>
      </c>
      <c r="CA8" s="1">
        <f>+datos!LK1</f>
        <v>323</v>
      </c>
      <c r="CB8" s="2">
        <f t="shared" si="24"/>
        <v>36.651792090000001</v>
      </c>
      <c r="CC8" s="2">
        <f t="shared" si="25"/>
        <v>41.658448169999993</v>
      </c>
      <c r="CE8" s="1">
        <f>+datos!IL1</f>
        <v>246</v>
      </c>
      <c r="CF8" s="1">
        <f t="shared" si="26"/>
        <v>46.01</v>
      </c>
      <c r="CG8" s="1">
        <f t="shared" si="27"/>
        <v>46.03</v>
      </c>
      <c r="CI8" s="1">
        <f t="shared" si="28"/>
        <v>8.1147673099999995</v>
      </c>
      <c r="CJ8" s="1">
        <f t="shared" si="28"/>
        <v>20.968439010000004</v>
      </c>
      <c r="CK8" s="1">
        <f t="shared" si="28"/>
        <v>22.566015059999998</v>
      </c>
      <c r="CL8" s="1">
        <f t="shared" si="28"/>
        <v>20.944876220000001</v>
      </c>
      <c r="CM8" s="1">
        <f t="shared" si="28"/>
        <v>23.157032140000002</v>
      </c>
      <c r="CN8" s="1">
        <f t="shared" si="28"/>
        <v>19.314763240000005</v>
      </c>
      <c r="CO8" s="1">
        <f t="shared" si="28"/>
        <v>22.778743510000002</v>
      </c>
      <c r="CP8" s="1">
        <f t="shared" si="28"/>
        <v>39.062197300000001</v>
      </c>
      <c r="CQ8" s="1">
        <f t="shared" si="28"/>
        <v>40.013868680000002</v>
      </c>
      <c r="CR8" s="1">
        <f t="shared" si="28"/>
        <v>35.607742460000011</v>
      </c>
      <c r="CS8" s="1">
        <f t="shared" si="28"/>
        <v>32.51792974</v>
      </c>
      <c r="CT8" s="1">
        <f t="shared" si="28"/>
        <v>35.210116300000003</v>
      </c>
      <c r="CU8" s="1">
        <f t="shared" si="28"/>
        <v>30.603465830000005</v>
      </c>
      <c r="CV8" s="1">
        <f t="shared" si="28"/>
        <v>35.017556320000004</v>
      </c>
      <c r="CW8" s="1">
        <f t="shared" si="28"/>
        <v>24.343011479999998</v>
      </c>
      <c r="CX8" s="1">
        <f t="shared" si="28"/>
        <v>32.053320659999997</v>
      </c>
      <c r="CY8" s="1">
        <f t="shared" si="29"/>
        <v>25.827296739999998</v>
      </c>
      <c r="CZ8" s="1">
        <f t="shared" si="29"/>
        <v>20.281404040000002</v>
      </c>
      <c r="DA8" s="1">
        <f t="shared" si="29"/>
        <v>20.776878260000004</v>
      </c>
      <c r="DB8" s="1">
        <f t="shared" si="29"/>
        <v>18.00257775</v>
      </c>
      <c r="DC8" s="1">
        <f t="shared" si="29"/>
        <v>18.061317600000002</v>
      </c>
      <c r="DD8" s="1">
        <f t="shared" si="29"/>
        <v>50.712421620000008</v>
      </c>
      <c r="DE8" s="1">
        <f t="shared" si="29"/>
        <v>45.90045215</v>
      </c>
      <c r="DF8" s="1">
        <f t="shared" si="29"/>
        <v>47.273016750000004</v>
      </c>
      <c r="DH8" s="1">
        <f t="shared" si="30"/>
        <v>3.7585351000000005</v>
      </c>
      <c r="DI8" s="1">
        <f t="shared" si="30"/>
        <v>4.0425458900000004</v>
      </c>
      <c r="DJ8" s="1">
        <f t="shared" si="30"/>
        <v>3.59052696</v>
      </c>
      <c r="DK8" s="1">
        <f t="shared" si="30"/>
        <v>2.1766254799999998</v>
      </c>
      <c r="DL8" s="1">
        <f t="shared" si="30"/>
        <v>1.5903026900000001</v>
      </c>
      <c r="DM8" s="1">
        <f t="shared" si="30"/>
        <v>5.6916922899999998</v>
      </c>
      <c r="DN8" s="1">
        <f t="shared" si="30"/>
        <v>1.7294530099999998</v>
      </c>
      <c r="DO8" s="1">
        <f t="shared" si="30"/>
        <v>4.2232492399999995</v>
      </c>
      <c r="DP8" s="1">
        <f t="shared" si="30"/>
        <v>1.27466579</v>
      </c>
      <c r="DQ8" s="1">
        <f t="shared" si="30"/>
        <v>1.8857013599999999</v>
      </c>
      <c r="DR8" s="1">
        <f t="shared" si="30"/>
        <v>4.07849503</v>
      </c>
      <c r="DS8" s="1">
        <f t="shared" si="30"/>
        <v>2.60999925</v>
      </c>
      <c r="DT8" s="1">
        <f t="shared" si="30"/>
        <v>4.3280037599999996</v>
      </c>
      <c r="DU8" s="1">
        <f t="shared" si="30"/>
        <v>3.9253711099999995</v>
      </c>
      <c r="DV8" s="1">
        <f t="shared" si="30"/>
        <v>2.66724104</v>
      </c>
      <c r="DW8" s="1">
        <f t="shared" si="30"/>
        <v>1.3237541899999998</v>
      </c>
      <c r="DX8" s="1">
        <f t="shared" si="31"/>
        <v>4.0034089300000009</v>
      </c>
      <c r="DY8" s="1">
        <f t="shared" si="31"/>
        <v>4.2620939999999994</v>
      </c>
      <c r="DZ8" s="1">
        <f t="shared" si="31"/>
        <v>6.8027163900000005</v>
      </c>
      <c r="EA8" s="1">
        <f t="shared" si="31"/>
        <v>1.73014019</v>
      </c>
      <c r="EB8" s="1">
        <f t="shared" si="31"/>
        <v>6.4691643499999998</v>
      </c>
      <c r="EC8" s="1">
        <f t="shared" si="31"/>
        <v>1.80858622</v>
      </c>
      <c r="ED8" s="1">
        <f t="shared" si="31"/>
        <v>3.7432468400000003</v>
      </c>
      <c r="EE8" s="1">
        <f t="shared" si="31"/>
        <v>0.59472115000000003</v>
      </c>
      <c r="EG8" s="14">
        <f t="shared" si="32"/>
        <v>46.01</v>
      </c>
      <c r="EH8" s="14">
        <f t="shared" si="32"/>
        <v>44.44</v>
      </c>
      <c r="EI8" s="1">
        <f t="shared" si="32"/>
        <v>42.29</v>
      </c>
      <c r="EJ8" s="1">
        <f t="shared" si="32"/>
        <v>45.39</v>
      </c>
      <c r="EK8" s="1">
        <f t="shared" si="32"/>
        <v>45.32</v>
      </c>
      <c r="EL8" s="1">
        <f t="shared" si="32"/>
        <v>44.85</v>
      </c>
      <c r="EM8" s="1">
        <f t="shared" si="32"/>
        <v>45.52</v>
      </c>
      <c r="EN8" s="1">
        <f t="shared" si="32"/>
        <v>46.23</v>
      </c>
      <c r="EO8" s="1">
        <f t="shared" si="32"/>
        <v>46.23</v>
      </c>
      <c r="EP8" s="1">
        <f t="shared" si="32"/>
        <v>46.23</v>
      </c>
      <c r="EQ8" s="1">
        <f t="shared" si="32"/>
        <v>48.52</v>
      </c>
      <c r="ER8" s="1">
        <f t="shared" si="32"/>
        <v>45.85</v>
      </c>
      <c r="ES8" s="1">
        <f t="shared" si="32"/>
        <v>46.03</v>
      </c>
      <c r="ET8" s="1">
        <f t="shared" si="32"/>
        <v>46.13</v>
      </c>
      <c r="EU8" s="1">
        <f t="shared" si="32"/>
        <v>45.88</v>
      </c>
      <c r="EV8" s="1">
        <f t="shared" si="32"/>
        <v>46.09</v>
      </c>
      <c r="EW8" s="1">
        <f t="shared" si="33"/>
        <v>45.9</v>
      </c>
      <c r="EX8" s="1">
        <f t="shared" si="33"/>
        <v>46</v>
      </c>
      <c r="EY8" s="1">
        <f t="shared" si="33"/>
        <v>45.99</v>
      </c>
      <c r="EZ8" s="1">
        <f t="shared" si="33"/>
        <v>45.74</v>
      </c>
      <c r="FA8" s="1">
        <f t="shared" si="33"/>
        <v>45.46</v>
      </c>
      <c r="FB8" s="1">
        <f t="shared" si="33"/>
        <v>45.56</v>
      </c>
      <c r="FC8" s="1">
        <f t="shared" si="33"/>
        <v>45.71</v>
      </c>
      <c r="FD8" s="1">
        <f t="shared" si="33"/>
        <v>45.71</v>
      </c>
      <c r="FF8" s="162">
        <f t="shared" si="34"/>
        <v>-0.60392128529733702</v>
      </c>
    </row>
    <row r="9" spans="1:162" ht="18.75" customHeight="1">
      <c r="A9" s="244" t="s">
        <v>77</v>
      </c>
      <c r="B9" s="247"/>
      <c r="C9" s="228">
        <v>0</v>
      </c>
      <c r="D9" s="229">
        <v>1</v>
      </c>
      <c r="E9" s="253">
        <f t="shared" si="6"/>
        <v>5.596496455798583E-2</v>
      </c>
      <c r="F9" s="254">
        <f t="shared" si="7"/>
        <v>3.1710110852763096E-2</v>
      </c>
      <c r="G9" s="253">
        <f t="shared" si="8"/>
        <v>3.9347552655012441E-2</v>
      </c>
      <c r="H9" s="254">
        <f t="shared" si="9"/>
        <v>1.6617411902973389E-2</v>
      </c>
      <c r="I9" s="253">
        <f t="shared" si="10"/>
        <v>1.2669743578357635</v>
      </c>
      <c r="J9" s="254">
        <f t="shared" si="11"/>
        <v>-0.3932646112667717</v>
      </c>
      <c r="K9" s="253">
        <f t="shared" si="12"/>
        <v>1.2743851820957786</v>
      </c>
      <c r="L9" s="254">
        <f t="shared" si="13"/>
        <v>-7.4108242600150476E-3</v>
      </c>
      <c r="M9" s="255"/>
      <c r="N9" s="256">
        <v>-1</v>
      </c>
      <c r="O9" s="253">
        <f t="shared" si="35"/>
        <v>-2.6892205286269899E-2</v>
      </c>
      <c r="P9" s="257">
        <f t="shared" si="36"/>
        <v>-2.6892205286269899E-2</v>
      </c>
      <c r="Q9" s="253">
        <f t="shared" si="14"/>
        <v>-5.3046797895335951E-2</v>
      </c>
      <c r="R9" s="257">
        <f t="shared" si="37"/>
        <v>-5.3046797895335951E-2</v>
      </c>
      <c r="S9" s="255"/>
      <c r="T9" s="256">
        <v>0</v>
      </c>
      <c r="U9" s="253">
        <f t="shared" si="15"/>
        <v>5.336887966209769E-2</v>
      </c>
      <c r="V9" s="258">
        <f t="shared" si="16"/>
        <v>5.336887966209769E-2</v>
      </c>
      <c r="W9" s="253">
        <f t="shared" si="38"/>
        <v>-0.23699140251117223</v>
      </c>
      <c r="X9" s="258">
        <f t="shared" si="17"/>
        <v>-0.23699140251117223</v>
      </c>
      <c r="Y9" s="253">
        <f t="shared" si="18"/>
        <v>-8.5575048732943526E-2</v>
      </c>
      <c r="Z9" s="258">
        <f t="shared" si="19"/>
        <v>-8.5575048732943526E-2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
        <f>VLOOKUP($A9,historia!$A$5:$CM$24,+HLOOKUP(AO$2,historia!$A$3:$EC$4,2,FALSE),FALSE)</f>
        <v>3</v>
      </c>
      <c r="AP9" s="28">
        <f>VLOOKUP($A9,historia!$A$5:$CM$24,+HLOOKUP(AP$2,historia!$A$3:$EC$4,2,FALSE),FALSE)</f>
        <v>2</v>
      </c>
      <c r="AQ9" s="28">
        <f>VLOOKUP($A9,historia!$A$5:$CM$24,+HLOOKUP(AQ$2,historia!$A$3:$EC$4,2,FALSE),FALSE)</f>
        <v>2</v>
      </c>
      <c r="AR9" s="28">
        <f>VLOOKUP($A9,historia!$A$5:$CM$24,+HLOOKUP(AR$2,historia!$A$3:$EC$4,2,FALSE),FALSE)</f>
        <v>2</v>
      </c>
      <c r="AS9" s="58">
        <f>VLOOKUP($A9,historia!$A$5:$CM$24,+HLOOKUP(AS$2,historia!$A$3:$EC$4,2,FALSE),FALSE)</f>
        <v>4</v>
      </c>
      <c r="AT9" s="58">
        <f>VLOOKUP($A9,historia!$A$5:$CM$24,+HLOOKUP(AT$2,historia!$A$3:$EC$4,2,FALSE),FALSE)</f>
        <v>4</v>
      </c>
      <c r="AU9" s="58">
        <f>VLOOKUP($A9,historia!$A$5:$CM$24,+HLOOKUP(AU$2,historia!$A$3:$EC$4,2,FALSE),FALSE)</f>
        <v>3</v>
      </c>
      <c r="AV9" s="58">
        <f>VLOOKUP($A9,historia!$A$5:$CM$24,+HLOOKUP(AV$2,historia!$A$3:$EC$4,2,FALSE),FALSE)</f>
        <v>3</v>
      </c>
      <c r="AW9" s="58">
        <v>3</v>
      </c>
      <c r="AX9" s="58">
        <v>4</v>
      </c>
      <c r="AY9" s="58">
        <v>3</v>
      </c>
      <c r="AZ9" s="58">
        <v>4</v>
      </c>
      <c r="BA9" s="30"/>
      <c r="BB9" s="141">
        <v>3</v>
      </c>
      <c r="BC9" t="str">
        <f t="shared" si="20"/>
        <v>Bovinos</v>
      </c>
      <c r="BD9">
        <f>+datos!BM1</f>
        <v>65</v>
      </c>
      <c r="BE9" s="2" t="str">
        <f t="shared" si="4"/>
        <v>$/kg</v>
      </c>
      <c r="BF9" s="2">
        <f t="shared" si="4"/>
        <v>2450.4949999999999</v>
      </c>
      <c r="BG9" s="2">
        <f t="shared" si="4"/>
        <v>2320.6214999999997</v>
      </c>
      <c r="BH9" s="2">
        <f t="shared" si="4"/>
        <v>1080.954</v>
      </c>
      <c r="BJ9">
        <f>+datos!DB1</f>
        <v>106</v>
      </c>
      <c r="BK9" s="2">
        <f t="shared" si="21"/>
        <v>8972.485554956811</v>
      </c>
      <c r="BL9" s="2">
        <f t="shared" si="21"/>
        <v>8632.8057751582746</v>
      </c>
      <c r="BM9" s="2">
        <f t="shared" si="21"/>
        <v>3945.015833548885</v>
      </c>
      <c r="BO9" s="1">
        <f>+datos!EH1</f>
        <v>138</v>
      </c>
      <c r="BP9" s="1">
        <f t="shared" si="22"/>
        <v>52783892</v>
      </c>
      <c r="BQ9" s="1">
        <f t="shared" si="22"/>
        <v>54242595</v>
      </c>
      <c r="BS9" s="1">
        <f>+datos!HB1</f>
        <v>210</v>
      </c>
      <c r="BT9" s="1">
        <f t="shared" si="23"/>
        <v>3127919</v>
      </c>
      <c r="BU9" s="1">
        <f t="shared" si="23"/>
        <v>3303140</v>
      </c>
      <c r="BW9" s="1">
        <f>+datos!KG1</f>
        <v>293</v>
      </c>
      <c r="BX9" s="1">
        <f t="shared" si="39"/>
        <v>4088.349515939999</v>
      </c>
      <c r="BY9" s="1">
        <f t="shared" si="40"/>
        <v>3881.2134997299995</v>
      </c>
      <c r="CA9" s="1">
        <f>+datos!LL1</f>
        <v>324</v>
      </c>
      <c r="CB9" s="2">
        <f t="shared" si="24"/>
        <v>34.701386790000001</v>
      </c>
      <c r="CC9" s="2">
        <f t="shared" si="25"/>
        <v>45.479679919999995</v>
      </c>
      <c r="CE9" s="1">
        <f>+datos!IM1</f>
        <v>247</v>
      </c>
      <c r="CF9" s="1">
        <f t="shared" si="26"/>
        <v>46.91</v>
      </c>
      <c r="CG9" s="1">
        <f t="shared" si="27"/>
        <v>51.3</v>
      </c>
      <c r="CI9" s="1">
        <f t="shared" si="28"/>
        <v>363.37275483999991</v>
      </c>
      <c r="CJ9" s="1">
        <f t="shared" si="28"/>
        <v>373.60267999999996</v>
      </c>
      <c r="CK9" s="1">
        <f t="shared" si="28"/>
        <v>392.24577093999977</v>
      </c>
      <c r="CL9" s="1">
        <f t="shared" si="28"/>
        <v>370.00520762000008</v>
      </c>
      <c r="CM9" s="1">
        <f t="shared" si="28"/>
        <v>307.7105307999999</v>
      </c>
      <c r="CN9" s="1">
        <f t="shared" si="28"/>
        <v>311.98041742999999</v>
      </c>
      <c r="CO9" s="1">
        <f t="shared" si="28"/>
        <v>309.32423856999998</v>
      </c>
      <c r="CP9" s="1">
        <f t="shared" si="28"/>
        <v>316.28118749999999</v>
      </c>
      <c r="CQ9" s="1">
        <f t="shared" si="28"/>
        <v>350.14414257999977</v>
      </c>
      <c r="CR9" s="1">
        <f t="shared" si="28"/>
        <v>342.85888695999995</v>
      </c>
      <c r="CS9" s="1">
        <f t="shared" si="28"/>
        <v>324.84866957999998</v>
      </c>
      <c r="CT9" s="1">
        <f t="shared" si="28"/>
        <v>325.97502911999987</v>
      </c>
      <c r="CU9" s="1">
        <f t="shared" si="28"/>
        <v>321.39038838999994</v>
      </c>
      <c r="CV9" s="1">
        <f t="shared" si="28"/>
        <v>273.58963931999995</v>
      </c>
      <c r="CW9" s="1">
        <f t="shared" si="28"/>
        <v>292.91820976000002</v>
      </c>
      <c r="CX9" s="1">
        <f t="shared" si="28"/>
        <v>371.72573624</v>
      </c>
      <c r="CY9" s="1">
        <f t="shared" si="29"/>
        <v>378.12790802000001</v>
      </c>
      <c r="CZ9" s="1">
        <f t="shared" si="29"/>
        <v>308.34921994000001</v>
      </c>
      <c r="DA9" s="1">
        <f t="shared" si="29"/>
        <v>390.63577031</v>
      </c>
      <c r="DB9" s="1">
        <f t="shared" si="29"/>
        <v>337.45013477999998</v>
      </c>
      <c r="DC9" s="1">
        <f t="shared" si="29"/>
        <v>339.25205494000011</v>
      </c>
      <c r="DD9" s="1">
        <f t="shared" si="29"/>
        <v>296.44265344999985</v>
      </c>
      <c r="DE9" s="1">
        <f t="shared" si="29"/>
        <v>285.75014393999987</v>
      </c>
      <c r="DF9" s="1">
        <f t="shared" si="29"/>
        <v>285.58164063999999</v>
      </c>
      <c r="DH9" s="1">
        <f t="shared" si="30"/>
        <v>2.8647302900000002</v>
      </c>
      <c r="DI9" s="1">
        <f t="shared" si="30"/>
        <v>3.9160438699999998</v>
      </c>
      <c r="DJ9" s="1">
        <f t="shared" si="30"/>
        <v>2.7432327000000001</v>
      </c>
      <c r="DK9" s="1">
        <f t="shared" si="30"/>
        <v>3.5031505699999994</v>
      </c>
      <c r="DL9" s="1">
        <f t="shared" si="30"/>
        <v>3.9954732900000005</v>
      </c>
      <c r="DM9" s="1">
        <f t="shared" si="30"/>
        <v>2.3751918999999999</v>
      </c>
      <c r="DN9" s="1">
        <f t="shared" si="30"/>
        <v>3.3189943100000003</v>
      </c>
      <c r="DO9" s="1">
        <f t="shared" si="30"/>
        <v>3.6004889900000006</v>
      </c>
      <c r="DP9" s="1">
        <f t="shared" si="30"/>
        <v>2.2940615100000001</v>
      </c>
      <c r="DQ9" s="1">
        <f t="shared" si="30"/>
        <v>1.2696953500000001</v>
      </c>
      <c r="DR9" s="1">
        <f t="shared" si="30"/>
        <v>1.4792882700000001</v>
      </c>
      <c r="DS9" s="1">
        <f t="shared" si="30"/>
        <v>3.3410357400000001</v>
      </c>
      <c r="DT9" s="1">
        <f t="shared" si="30"/>
        <v>3.5927978000000009</v>
      </c>
      <c r="DU9" s="1">
        <f t="shared" si="30"/>
        <v>2.53051044</v>
      </c>
      <c r="DV9" s="1">
        <f t="shared" si="30"/>
        <v>2.3401237999999998</v>
      </c>
      <c r="DW9" s="1">
        <f t="shared" si="30"/>
        <v>2.4632922899999996</v>
      </c>
      <c r="DX9" s="1">
        <f t="shared" si="31"/>
        <v>3.8179622399999995</v>
      </c>
      <c r="DY9" s="1">
        <f t="shared" si="31"/>
        <v>3.8355995800000002</v>
      </c>
      <c r="DZ9" s="1">
        <f t="shared" si="31"/>
        <v>7.3409295600000002</v>
      </c>
      <c r="EA9" s="1">
        <f t="shared" si="31"/>
        <v>3.8261937100000005</v>
      </c>
      <c r="EB9" s="1">
        <f t="shared" si="31"/>
        <v>5.3486285699999998</v>
      </c>
      <c r="EC9" s="1">
        <f t="shared" si="31"/>
        <v>4.398381099999999</v>
      </c>
      <c r="ED9" s="1">
        <f t="shared" si="31"/>
        <v>4.3987828499999999</v>
      </c>
      <c r="EE9" s="1">
        <f t="shared" si="31"/>
        <v>1.58647798</v>
      </c>
      <c r="EG9" s="14">
        <f t="shared" si="32"/>
        <v>46.91</v>
      </c>
      <c r="EH9" s="14">
        <f t="shared" si="32"/>
        <v>47.74</v>
      </c>
      <c r="EI9" s="1">
        <f t="shared" si="32"/>
        <v>47.38</v>
      </c>
      <c r="EJ9" s="1">
        <f t="shared" si="32"/>
        <v>47.74</v>
      </c>
      <c r="EK9" s="1">
        <f t="shared" si="32"/>
        <v>47.8</v>
      </c>
      <c r="EL9" s="1">
        <f t="shared" si="32"/>
        <v>47.58</v>
      </c>
      <c r="EM9" s="1">
        <f t="shared" si="32"/>
        <v>49.18</v>
      </c>
      <c r="EN9" s="1">
        <f t="shared" si="32"/>
        <v>49.37</v>
      </c>
      <c r="EO9" s="1">
        <f t="shared" si="32"/>
        <v>49.38</v>
      </c>
      <c r="EP9" s="1">
        <f t="shared" si="32"/>
        <v>51.48</v>
      </c>
      <c r="EQ9" s="1">
        <f t="shared" si="32"/>
        <v>52.06</v>
      </c>
      <c r="ER9" s="1">
        <f t="shared" si="32"/>
        <v>42.59</v>
      </c>
      <c r="ES9" s="1">
        <f t="shared" si="32"/>
        <v>51.3</v>
      </c>
      <c r="ET9" s="1">
        <f t="shared" si="32"/>
        <v>51.15</v>
      </c>
      <c r="EU9" s="1">
        <f t="shared" si="32"/>
        <v>51.01</v>
      </c>
      <c r="EV9" s="1">
        <f t="shared" si="32"/>
        <v>51.15</v>
      </c>
      <c r="EW9" s="1">
        <f t="shared" si="33"/>
        <v>51.72</v>
      </c>
      <c r="EX9" s="1">
        <f t="shared" si="33"/>
        <v>51.32</v>
      </c>
      <c r="EY9" s="1">
        <f t="shared" si="33"/>
        <v>50.44</v>
      </c>
      <c r="EZ9" s="1">
        <f t="shared" si="33"/>
        <v>50.29</v>
      </c>
      <c r="FA9" s="1">
        <f t="shared" si="33"/>
        <v>50.29</v>
      </c>
      <c r="FB9" s="1">
        <f t="shared" si="33"/>
        <v>49.14</v>
      </c>
      <c r="FC9" s="1">
        <f t="shared" si="33"/>
        <v>48.66</v>
      </c>
      <c r="FD9" s="1">
        <f t="shared" si="33"/>
        <v>48.66</v>
      </c>
      <c r="FF9" s="162">
        <f t="shared" si="34"/>
        <v>-7.4108242600150476E-3</v>
      </c>
    </row>
    <row r="10" spans="1:162" ht="18.600000000000001" customHeight="1">
      <c r="A10" s="263" t="s">
        <v>221</v>
      </c>
      <c r="B10" s="246"/>
      <c r="C10" s="156">
        <f t="shared" si="5"/>
        <v>0</v>
      </c>
      <c r="D10" s="198">
        <v>-1</v>
      </c>
      <c r="E10" s="248">
        <f t="shared" si="6"/>
        <v>0.14875452930959132</v>
      </c>
      <c r="F10" s="249">
        <f t="shared" si="7"/>
        <v>0.12449967560436859</v>
      </c>
      <c r="G10" s="248">
        <f t="shared" si="8"/>
        <v>3.5574813973355157E-2</v>
      </c>
      <c r="H10" s="249">
        <f t="shared" si="9"/>
        <v>0.11317971533623616</v>
      </c>
      <c r="I10" s="248">
        <f t="shared" si="10"/>
        <v>0.85087693151773602</v>
      </c>
      <c r="J10" s="249">
        <f t="shared" si="11"/>
        <v>-0.80936203758479919</v>
      </c>
      <c r="K10" s="248">
        <f t="shared" si="12"/>
        <v>1.2991348226580133</v>
      </c>
      <c r="L10" s="249">
        <f t="shared" si="13"/>
        <v>-0.44825789114027725</v>
      </c>
      <c r="M10" s="250"/>
      <c r="N10" s="24">
        <v>0</v>
      </c>
      <c r="O10" s="248">
        <f t="shared" si="35"/>
        <v>4.1543620801842707E-3</v>
      </c>
      <c r="P10" s="251">
        <f t="shared" si="36"/>
        <v>4.1543620801842707E-3</v>
      </c>
      <c r="Q10" s="248">
        <f t="shared" si="14"/>
        <v>0.10798722044728426</v>
      </c>
      <c r="R10" s="251">
        <f t="shared" si="37"/>
        <v>0.10798722044728426</v>
      </c>
      <c r="S10" s="250"/>
      <c r="T10" s="24">
        <v>1</v>
      </c>
      <c r="U10" s="248">
        <f t="shared" si="15"/>
        <v>0.91923450377474225</v>
      </c>
      <c r="V10" s="252">
        <f t="shared" si="16"/>
        <v>0.91923450377474225</v>
      </c>
      <c r="W10" s="248">
        <f t="shared" si="38"/>
        <v>-5.6504574862798473E-2</v>
      </c>
      <c r="X10" s="252">
        <f t="shared" si="17"/>
        <v>-5.6504574862798473E-2</v>
      </c>
      <c r="Y10" s="248">
        <f t="shared" si="18"/>
        <v>-0.11904761904761896</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
        <f>VLOOKUP($A10,historia!$A$5:$CM$24,+HLOOKUP(AO$2,historia!$A$3:$EC$4,2,FALSE),FALSE)</f>
        <v>5</v>
      </c>
      <c r="AP10" s="28">
        <f>VLOOKUP($A10,historia!$A$5:$CM$24,+HLOOKUP(AP$2,historia!$A$3:$EC$4,2,FALSE),FALSE)</f>
        <v>3</v>
      </c>
      <c r="AQ10" s="28">
        <f>VLOOKUP($A10,historia!$A$5:$CM$24,+HLOOKUP(AQ$2,historia!$A$3:$EC$4,2,FALSE),FALSE)</f>
        <v>3</v>
      </c>
      <c r="AR10" s="28">
        <f>VLOOKUP($A10,historia!$A$5:$CM$24,+HLOOKUP(AR$2,historia!$A$3:$EC$4,2,FALSE),FALSE)</f>
        <v>4</v>
      </c>
      <c r="AS10" s="58">
        <f>VLOOKUP($A10,historia!$A$5:$CM$24,+HLOOKUP(AS$2,historia!$A$3:$EC$4,2,FALSE),FALSE)</f>
        <v>4</v>
      </c>
      <c r="AT10" s="58">
        <f>VLOOKUP($A10,historia!$A$5:$CM$24,+HLOOKUP(AT$2,historia!$A$3:$EC$4,2,FALSE),FALSE)</f>
        <v>5</v>
      </c>
      <c r="AU10" s="58">
        <f>VLOOKUP($A10,historia!$A$5:$CM$24,+HLOOKUP(AU$2,historia!$A$3:$EC$4,2,FALSE),FALSE)</f>
        <v>4</v>
      </c>
      <c r="AV10" s="58">
        <f>VLOOKUP($A10,historia!$A$5:$CM$24,+HLOOKUP(AV$2,historia!$A$3:$EC$4,2,FALSE),FALSE)</f>
        <v>4</v>
      </c>
      <c r="AW10" s="58">
        <v>4</v>
      </c>
      <c r="AX10" s="58">
        <v>4</v>
      </c>
      <c r="AY10" s="58">
        <v>4</v>
      </c>
      <c r="AZ10" s="58">
        <v>4</v>
      </c>
      <c r="BA10" s="30"/>
      <c r="BB10" s="141">
        <v>4</v>
      </c>
      <c r="BC10" t="str">
        <f t="shared" si="20"/>
        <v>Cítricos Dulces</v>
      </c>
      <c r="BD10">
        <f>+datos!AU1</f>
        <v>47</v>
      </c>
      <c r="BE10" s="2" t="str">
        <f t="shared" si="4"/>
        <v>$/caja 18kg</v>
      </c>
      <c r="BF10" s="2">
        <f t="shared" si="4"/>
        <v>12899.150175438597</v>
      </c>
      <c r="BG10" s="2">
        <f t="shared" si="4"/>
        <v>11228.813333333334</v>
      </c>
      <c r="BH10" s="2">
        <f t="shared" si="4"/>
        <v>6969.2100840336134</v>
      </c>
      <c r="BJ10">
        <f>+datos!CX1</f>
        <v>102</v>
      </c>
      <c r="BK10" s="2">
        <f t="shared" si="21"/>
        <v>8648.2296999898263</v>
      </c>
      <c r="BL10" s="2">
        <f t="shared" si="21"/>
        <v>8351.1394669862457</v>
      </c>
      <c r="BM10" s="2">
        <f t="shared" si="21"/>
        <v>3761.514816252346</v>
      </c>
      <c r="BO10" s="1">
        <f>+datos!ER1</f>
        <v>148</v>
      </c>
      <c r="BP10" s="1">
        <f t="shared" si="22"/>
        <v>80248</v>
      </c>
      <c r="BQ10" s="1">
        <f t="shared" si="22"/>
        <v>79916</v>
      </c>
      <c r="BS10" s="1">
        <f>+datos!GH1</f>
        <v>190</v>
      </c>
      <c r="BT10" s="1">
        <f t="shared" si="23"/>
        <v>1734000</v>
      </c>
      <c r="BU10" s="1">
        <f t="shared" si="23"/>
        <v>1565000</v>
      </c>
      <c r="BW10" s="1">
        <f>+datos!LT1</f>
        <v>332</v>
      </c>
      <c r="BX10" s="1">
        <f t="shared" si="39"/>
        <v>94.829786780000006</v>
      </c>
      <c r="BY10" s="1">
        <f t="shared" si="40"/>
        <v>49.410213599999992</v>
      </c>
      <c r="BZ10" s="1"/>
      <c r="CA10" s="1">
        <f>+datos!LX1</f>
        <v>336</v>
      </c>
      <c r="CB10" s="2">
        <f t="shared" si="24"/>
        <v>4.6565246699999996</v>
      </c>
      <c r="CC10" s="2">
        <f t="shared" si="25"/>
        <v>4.9353971899999998</v>
      </c>
      <c r="CE10" s="1">
        <f>+datos!IV1</f>
        <v>256</v>
      </c>
      <c r="CF10" s="1">
        <f t="shared" si="26"/>
        <v>17.39</v>
      </c>
      <c r="CG10" s="1">
        <f t="shared" si="27"/>
        <v>19.739999999999998</v>
      </c>
      <c r="CI10" s="1">
        <f t="shared" si="28"/>
        <v>12.23030908</v>
      </c>
      <c r="CJ10" s="1">
        <f t="shared" si="28"/>
        <v>17.119922650000003</v>
      </c>
      <c r="CK10" s="1">
        <f t="shared" si="28"/>
        <v>15.255558669999997</v>
      </c>
      <c r="CL10" s="1">
        <f t="shared" si="28"/>
        <v>10.271936310000001</v>
      </c>
      <c r="CM10" s="1">
        <f t="shared" si="28"/>
        <v>14.041262509999999</v>
      </c>
      <c r="CN10" s="1">
        <f t="shared" si="28"/>
        <v>6.1015489199999999</v>
      </c>
      <c r="CO10" s="1">
        <f t="shared" si="28"/>
        <v>2.3063176799999998</v>
      </c>
      <c r="CP10" s="1">
        <f t="shared" si="28"/>
        <v>3.2785219999999997</v>
      </c>
      <c r="CQ10" s="1">
        <f t="shared" si="28"/>
        <v>2.8661316999999999</v>
      </c>
      <c r="CR10" s="1">
        <f t="shared" si="28"/>
        <v>3.3581509099999995</v>
      </c>
      <c r="CS10" s="1">
        <f t="shared" si="28"/>
        <v>4.3519123000000004</v>
      </c>
      <c r="CT10" s="1">
        <f t="shared" si="28"/>
        <v>3.6482140500000004</v>
      </c>
      <c r="CU10" s="1">
        <f t="shared" si="28"/>
        <v>7.8852843799999999</v>
      </c>
      <c r="CV10" s="1">
        <f t="shared" si="28"/>
        <v>4.4927710999999997</v>
      </c>
      <c r="CW10" s="1">
        <f t="shared" si="28"/>
        <v>3.9018705800000002</v>
      </c>
      <c r="CX10" s="1">
        <f t="shared" si="28"/>
        <v>10.723855849999996</v>
      </c>
      <c r="CY10" s="1">
        <f t="shared" si="29"/>
        <v>7.5775361799999992</v>
      </c>
      <c r="CZ10" s="1">
        <f t="shared" si="29"/>
        <v>1.25129154</v>
      </c>
      <c r="DA10" s="1">
        <f t="shared" si="29"/>
        <v>0.77785399999999993</v>
      </c>
      <c r="DB10" s="1">
        <f t="shared" si="29"/>
        <v>1.96707276</v>
      </c>
      <c r="DC10" s="1">
        <f t="shared" si="29"/>
        <v>1.7333935799999998</v>
      </c>
      <c r="DD10" s="1">
        <f t="shared" si="29"/>
        <v>4.5063326699999999</v>
      </c>
      <c r="DE10" s="1">
        <f t="shared" si="29"/>
        <v>2.6066778199999998</v>
      </c>
      <c r="DF10" s="1">
        <f t="shared" si="29"/>
        <v>1.98627314</v>
      </c>
      <c r="DH10" s="1">
        <f t="shared" si="30"/>
        <v>0.35634324000000006</v>
      </c>
      <c r="DI10" s="1">
        <f t="shared" si="30"/>
        <v>0.22489865000000001</v>
      </c>
      <c r="DJ10" s="1">
        <f t="shared" si="30"/>
        <v>0.17467300000000002</v>
      </c>
      <c r="DK10" s="1">
        <f t="shared" si="30"/>
        <v>7.2500000000000004E-3</v>
      </c>
      <c r="DL10" s="1">
        <f t="shared" si="30"/>
        <v>0.23680799999999999</v>
      </c>
      <c r="DM10" s="1">
        <f t="shared" si="30"/>
        <v>0</v>
      </c>
      <c r="DN10" s="1">
        <f t="shared" si="30"/>
        <v>0.3075099</v>
      </c>
      <c r="DO10" s="1">
        <f t="shared" si="30"/>
        <v>0.82950560000000007</v>
      </c>
      <c r="DP10" s="1">
        <f t="shared" si="30"/>
        <v>1.06715808</v>
      </c>
      <c r="DQ10" s="1">
        <f t="shared" si="30"/>
        <v>0.57276656999999997</v>
      </c>
      <c r="DR10" s="1">
        <f t="shared" si="30"/>
        <v>0.50591796999999994</v>
      </c>
      <c r="DS10" s="1">
        <f t="shared" si="30"/>
        <v>0.37369366000000004</v>
      </c>
      <c r="DT10" s="1">
        <f t="shared" si="30"/>
        <v>1.8223369999999999E-2</v>
      </c>
      <c r="DU10" s="1">
        <f t="shared" si="30"/>
        <v>0.26981320000000003</v>
      </c>
      <c r="DV10" s="1">
        <f t="shared" si="30"/>
        <v>0.36129600000000001</v>
      </c>
      <c r="DW10" s="1">
        <f t="shared" si="30"/>
        <v>3.0606999999999997E-4</v>
      </c>
      <c r="DX10" s="1">
        <f t="shared" si="31"/>
        <v>0.33402694999999999</v>
      </c>
      <c r="DY10" s="1">
        <f t="shared" si="31"/>
        <v>0</v>
      </c>
      <c r="DZ10" s="1">
        <f t="shared" si="31"/>
        <v>0.31172668999999997</v>
      </c>
      <c r="EA10" s="1">
        <f t="shared" si="31"/>
        <v>1.32104435</v>
      </c>
      <c r="EB10" s="1">
        <f t="shared" si="31"/>
        <v>1.2081202200000001</v>
      </c>
      <c r="EC10" s="1">
        <f t="shared" si="31"/>
        <v>0.6520337100000001</v>
      </c>
      <c r="ED10" s="1">
        <f t="shared" si="31"/>
        <v>0.45880662999999999</v>
      </c>
      <c r="EE10" s="1">
        <f t="shared" si="31"/>
        <v>0</v>
      </c>
      <c r="EG10" s="14">
        <f t="shared" si="32"/>
        <v>17.39</v>
      </c>
      <c r="EH10" s="14">
        <f t="shared" si="32"/>
        <v>17.39</v>
      </c>
      <c r="EI10" s="1">
        <f t="shared" si="32"/>
        <v>17.39</v>
      </c>
      <c r="EJ10" s="1">
        <f t="shared" si="32"/>
        <v>17.39</v>
      </c>
      <c r="EK10" s="1">
        <f t="shared" si="32"/>
        <v>17.39</v>
      </c>
      <c r="EL10" s="1">
        <f t="shared" si="32"/>
        <v>17.39</v>
      </c>
      <c r="EM10" s="1">
        <f t="shared" si="32"/>
        <v>17.39</v>
      </c>
      <c r="EN10" s="1">
        <f t="shared" si="32"/>
        <v>17.39</v>
      </c>
      <c r="EO10" s="1">
        <f t="shared" si="32"/>
        <v>17.39</v>
      </c>
      <c r="EP10" s="1">
        <f t="shared" si="32"/>
        <v>17.39</v>
      </c>
      <c r="EQ10" s="1">
        <f t="shared" si="32"/>
        <v>17.39</v>
      </c>
      <c r="ER10" s="1">
        <f t="shared" si="32"/>
        <v>19.739999999999998</v>
      </c>
      <c r="ES10" s="1">
        <f t="shared" si="32"/>
        <v>19.739999999999998</v>
      </c>
      <c r="ET10" s="1">
        <f t="shared" si="32"/>
        <v>19.739999999999998</v>
      </c>
      <c r="EU10" s="1">
        <f t="shared" si="32"/>
        <v>19.739999999999998</v>
      </c>
      <c r="EV10" s="1">
        <f t="shared" si="32"/>
        <v>19.739999999999998</v>
      </c>
      <c r="EW10" s="1">
        <f t="shared" si="33"/>
        <v>19.739999999999998</v>
      </c>
      <c r="EX10" s="1">
        <f t="shared" si="33"/>
        <v>19.739999999999998</v>
      </c>
      <c r="EY10" s="1">
        <f t="shared" si="33"/>
        <v>19.739999999999998</v>
      </c>
      <c r="EZ10" s="1">
        <f t="shared" si="33"/>
        <v>19.739999999999998</v>
      </c>
      <c r="FA10" s="1">
        <f t="shared" si="33"/>
        <v>19.739999999999998</v>
      </c>
      <c r="FB10" s="1">
        <f t="shared" si="33"/>
        <v>19.739999999999998</v>
      </c>
      <c r="FC10" s="1">
        <f t="shared" si="33"/>
        <v>19.739999999999998</v>
      </c>
      <c r="FD10" s="1">
        <f t="shared" si="33"/>
        <v>18.77</v>
      </c>
      <c r="FF10" s="162">
        <f t="shared" si="34"/>
        <v>-0.44825789114027725</v>
      </c>
    </row>
    <row r="11" spans="1:162" ht="18.75" customHeight="1">
      <c r="A11" s="244" t="s">
        <v>116</v>
      </c>
      <c r="B11" s="247"/>
      <c r="C11" s="228">
        <f t="shared" si="5"/>
        <v>-0.33</v>
      </c>
      <c r="D11" s="229">
        <v>1</v>
      </c>
      <c r="E11" s="253">
        <f t="shared" si="6"/>
        <v>2.2774876050587256E-2</v>
      </c>
      <c r="F11" s="254">
        <f t="shared" si="7"/>
        <v>-1.4799776546354781E-3</v>
      </c>
      <c r="G11" s="253">
        <f t="shared" si="8"/>
        <v>3.3443696661377809E-2</v>
      </c>
      <c r="H11" s="254">
        <f t="shared" si="9"/>
        <v>-1.0668820610790553E-2</v>
      </c>
      <c r="I11" s="253">
        <f t="shared" si="10"/>
        <v>1.6253364907486203</v>
      </c>
      <c r="J11" s="254">
        <f t="shared" si="11"/>
        <v>-3.4902478353914912E-2</v>
      </c>
      <c r="K11" s="253">
        <f t="shared" si="12"/>
        <v>1.4687677041114706</v>
      </c>
      <c r="L11" s="254">
        <f t="shared" si="13"/>
        <v>0.15656878663714968</v>
      </c>
      <c r="M11" s="255"/>
      <c r="N11" s="256"/>
      <c r="O11" s="253" t="str">
        <f t="shared" si="35"/>
        <v/>
      </c>
      <c r="P11" s="257" t="str">
        <f t="shared" si="36"/>
        <v/>
      </c>
      <c r="Q11" s="253">
        <f t="shared" si="14"/>
        <v>0</v>
      </c>
      <c r="R11" s="257">
        <f t="shared" si="37"/>
        <v>0</v>
      </c>
      <c r="S11" s="255"/>
      <c r="T11" s="24">
        <v>-2</v>
      </c>
      <c r="U11" s="253">
        <f t="shared" si="15"/>
        <v>-0.18128195303861594</v>
      </c>
      <c r="V11" s="258">
        <f t="shared" si="16"/>
        <v>-0.18128195303861594</v>
      </c>
      <c r="W11" s="253">
        <f t="shared" si="38"/>
        <v>-0.38761941260496258</v>
      </c>
      <c r="X11" s="258">
        <f t="shared" si="17"/>
        <v>-0.38761941260496258</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
        <f>VLOOKUP($A11,historia!$A$5:$CM$24,+HLOOKUP(AO$2,historia!$A$3:$EC$4,2,FALSE),FALSE)</f>
        <v>4</v>
      </c>
      <c r="AP11" s="28">
        <f>VLOOKUP($A11,historia!$A$5:$CM$24,+HLOOKUP(AP$2,historia!$A$3:$EC$4,2,FALSE),FALSE)</f>
        <v>3</v>
      </c>
      <c r="AQ11" s="28">
        <f>VLOOKUP($A11,historia!$A$5:$CM$24,+HLOOKUP(AQ$2,historia!$A$3:$EC$4,2,FALSE),FALSE)</f>
        <v>3</v>
      </c>
      <c r="AR11" s="28">
        <f>VLOOKUP($A11,historia!$A$5:$CM$24,+HLOOKUP(AR$2,historia!$A$3:$EC$4,2,FALSE),FALSE)</f>
        <v>4</v>
      </c>
      <c r="AS11" s="5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v>4</v>
      </c>
      <c r="AX11" s="58">
        <v>3</v>
      </c>
      <c r="AY11" s="58">
        <v>3</v>
      </c>
      <c r="AZ11" s="58">
        <v>2</v>
      </c>
      <c r="BA11" s="30"/>
      <c r="BB11" s="141">
        <v>4</v>
      </c>
      <c r="BC11" t="str">
        <f t="shared" si="20"/>
        <v>Forestal</v>
      </c>
      <c r="BD11">
        <f>+datos!BG1</f>
        <v>59</v>
      </c>
      <c r="BE11" s="2" t="str">
        <f t="shared" si="4"/>
        <v>$/t</v>
      </c>
      <c r="BF11" s="2">
        <f t="shared" si="4"/>
        <v>28932</v>
      </c>
      <c r="BG11" s="2">
        <f t="shared" si="4"/>
        <v>28287.75</v>
      </c>
      <c r="BH11" s="2">
        <f t="shared" si="4"/>
        <v>11020.301626840215</v>
      </c>
      <c r="BJ11">
        <f>+datos!CZ1</f>
        <v>104</v>
      </c>
      <c r="BK11" s="2">
        <f t="shared" si="21"/>
        <v>11072.650339292431</v>
      </c>
      <c r="BL11" s="2">
        <f t="shared" si="21"/>
        <v>10714.323745999429</v>
      </c>
      <c r="BM11" s="2">
        <f t="shared" si="21"/>
        <v>4485.0920241917083</v>
      </c>
      <c r="BO11" s="1">
        <f>+datos!ES1</f>
        <v>149</v>
      </c>
      <c r="BP11" s="1">
        <f t="shared" si="22"/>
        <v>0</v>
      </c>
      <c r="BQ11" s="1">
        <f t="shared" si="22"/>
        <v>0</v>
      </c>
      <c r="BS11" s="1">
        <f>+datos!GI1</f>
        <v>191</v>
      </c>
      <c r="BT11" s="1">
        <f t="shared" si="23"/>
        <v>1302556</v>
      </c>
      <c r="BU11" s="1">
        <f t="shared" si="23"/>
        <v>1302556</v>
      </c>
      <c r="BW11" s="1">
        <f>+datos!KB1</f>
        <v>288</v>
      </c>
      <c r="BX11" s="1">
        <f t="shared" si="39"/>
        <v>248.01283302000002</v>
      </c>
      <c r="BY11" s="1">
        <f t="shared" si="40"/>
        <v>302.92825953999994</v>
      </c>
      <c r="CA11" s="1">
        <f>+datos!LG1</f>
        <v>319</v>
      </c>
      <c r="CB11" s="2">
        <f t="shared" si="24"/>
        <v>165.75482010000002</v>
      </c>
      <c r="CC11" s="2">
        <f t="shared" si="25"/>
        <v>270.67288466000002</v>
      </c>
      <c r="CE11" s="1">
        <f>+datos!IW1</f>
        <v>257</v>
      </c>
      <c r="CF11" s="1">
        <f t="shared" si="26"/>
        <v>0</v>
      </c>
      <c r="CG11" s="1">
        <f t="shared" si="27"/>
        <v>0</v>
      </c>
      <c r="CI11" s="1">
        <f t="shared" si="28"/>
        <v>13.50721221</v>
      </c>
      <c r="CJ11" s="1">
        <f t="shared" si="28"/>
        <v>17.7783984</v>
      </c>
      <c r="CK11" s="1">
        <f t="shared" si="28"/>
        <v>18.158715399999995</v>
      </c>
      <c r="CL11" s="1">
        <f t="shared" si="28"/>
        <v>13.62277192</v>
      </c>
      <c r="CM11" s="1">
        <f t="shared" si="28"/>
        <v>18.147427050000005</v>
      </c>
      <c r="CN11" s="1">
        <f t="shared" si="28"/>
        <v>16.38459563</v>
      </c>
      <c r="CO11" s="1">
        <f t="shared" si="28"/>
        <v>19.29025034</v>
      </c>
      <c r="CP11" s="1">
        <f t="shared" si="28"/>
        <v>32.635385889999995</v>
      </c>
      <c r="CQ11" s="1">
        <f t="shared" si="28"/>
        <v>26.653198490000001</v>
      </c>
      <c r="CR11" s="1">
        <f t="shared" si="28"/>
        <v>23.932255000000001</v>
      </c>
      <c r="CS11" s="1">
        <f t="shared" si="28"/>
        <v>23.104867779999999</v>
      </c>
      <c r="CT11" s="1">
        <f t="shared" si="28"/>
        <v>24.797754910000005</v>
      </c>
      <c r="CU11" s="1">
        <f t="shared" si="28"/>
        <v>26.00374025</v>
      </c>
      <c r="CV11" s="1">
        <f t="shared" si="28"/>
        <v>24.373047020000001</v>
      </c>
      <c r="CW11" s="1">
        <f t="shared" si="28"/>
        <v>25.649224320000002</v>
      </c>
      <c r="CX11" s="1">
        <f t="shared" si="28"/>
        <v>23.667757810000001</v>
      </c>
      <c r="CY11" s="1">
        <f t="shared" si="29"/>
        <v>25.088845019999997</v>
      </c>
      <c r="CZ11" s="1">
        <f t="shared" si="29"/>
        <v>26.5668471</v>
      </c>
      <c r="DA11" s="1">
        <f t="shared" si="29"/>
        <v>23.814064600000002</v>
      </c>
      <c r="DB11" s="1">
        <f t="shared" si="29"/>
        <v>20.56411928</v>
      </c>
      <c r="DC11" s="1">
        <f t="shared" si="29"/>
        <v>19.140443850000004</v>
      </c>
      <c r="DD11" s="1">
        <f t="shared" si="29"/>
        <v>31.026984670000001</v>
      </c>
      <c r="DE11" s="1">
        <f t="shared" si="29"/>
        <v>29.568283169999997</v>
      </c>
      <c r="DF11" s="1">
        <f t="shared" si="29"/>
        <v>27.46490245</v>
      </c>
      <c r="DH11" s="1">
        <f t="shared" si="30"/>
        <v>13.365554540000002</v>
      </c>
      <c r="DI11" s="1">
        <f t="shared" si="30"/>
        <v>15.589800310000003</v>
      </c>
      <c r="DJ11" s="1">
        <f t="shared" si="30"/>
        <v>16.942532470000003</v>
      </c>
      <c r="DK11" s="1">
        <f t="shared" si="30"/>
        <v>10.998476289999999</v>
      </c>
      <c r="DL11" s="1">
        <f t="shared" si="30"/>
        <v>11.46589975</v>
      </c>
      <c r="DM11" s="1">
        <f t="shared" si="30"/>
        <v>13.53170609</v>
      </c>
      <c r="DN11" s="1">
        <f t="shared" si="30"/>
        <v>19.941855059999995</v>
      </c>
      <c r="DO11" s="1">
        <f t="shared" si="30"/>
        <v>17.561880160000001</v>
      </c>
      <c r="DP11" s="1">
        <f t="shared" si="30"/>
        <v>14.580088280000002</v>
      </c>
      <c r="DQ11" s="1">
        <f t="shared" si="30"/>
        <v>13.107541810000001</v>
      </c>
      <c r="DR11" s="1">
        <f t="shared" si="30"/>
        <v>9.0834929199999994</v>
      </c>
      <c r="DS11" s="1">
        <f t="shared" si="30"/>
        <v>9.5859924200000002</v>
      </c>
      <c r="DT11" s="1">
        <f t="shared" si="30"/>
        <v>12.114691449999999</v>
      </c>
      <c r="DU11" s="1">
        <f t="shared" si="30"/>
        <v>21.937746180000001</v>
      </c>
      <c r="DV11" s="1">
        <f t="shared" si="30"/>
        <v>16.68359323</v>
      </c>
      <c r="DW11" s="1">
        <f t="shared" si="30"/>
        <v>23.390239519999994</v>
      </c>
      <c r="DX11" s="1">
        <f t="shared" si="31"/>
        <v>24.97777258</v>
      </c>
      <c r="DY11" s="1">
        <f t="shared" si="31"/>
        <v>25.979397770000002</v>
      </c>
      <c r="DZ11" s="1">
        <f t="shared" si="31"/>
        <v>26.663923630000003</v>
      </c>
      <c r="EA11" s="1">
        <f t="shared" si="31"/>
        <v>25.77809422</v>
      </c>
      <c r="EB11" s="1">
        <f t="shared" si="31"/>
        <v>30.845388820000004</v>
      </c>
      <c r="EC11" s="1">
        <f t="shared" si="31"/>
        <v>19.314417040000002</v>
      </c>
      <c r="ED11" s="1">
        <f t="shared" si="31"/>
        <v>23.096508839999995</v>
      </c>
      <c r="EE11" s="1">
        <f t="shared" si="31"/>
        <v>19.891111379999998</v>
      </c>
      <c r="EG11" s="14">
        <f t="shared" si="32"/>
        <v>0</v>
      </c>
      <c r="EH11" s="14">
        <f t="shared" si="32"/>
        <v>0</v>
      </c>
      <c r="EI11" s="1">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3"/>
        <v>0</v>
      </c>
      <c r="EX11" s="1">
        <f t="shared" si="33"/>
        <v>0</v>
      </c>
      <c r="EY11" s="1">
        <f t="shared" si="33"/>
        <v>0</v>
      </c>
      <c r="EZ11" s="1">
        <f t="shared" si="33"/>
        <v>0</v>
      </c>
      <c r="FA11" s="1">
        <f t="shared" si="33"/>
        <v>0</v>
      </c>
      <c r="FB11" s="1">
        <f t="shared" si="33"/>
        <v>0</v>
      </c>
      <c r="FC11" s="1">
        <f t="shared" si="33"/>
        <v>0</v>
      </c>
      <c r="FD11" s="1">
        <f t="shared" si="33"/>
        <v>0</v>
      </c>
      <c r="FF11" s="162">
        <f t="shared" si="34"/>
        <v>0.15656878663714968</v>
      </c>
    </row>
    <row r="12" spans="1:162" ht="18.75" customHeight="1">
      <c r="A12" s="243" t="s">
        <v>216</v>
      </c>
      <c r="B12" s="246"/>
      <c r="C12" s="156">
        <f t="shared" si="5"/>
        <v>-0.33</v>
      </c>
      <c r="D12" s="198">
        <v>-1</v>
      </c>
      <c r="E12" s="248">
        <f t="shared" si="6"/>
        <v>2.912998656658039E-2</v>
      </c>
      <c r="F12" s="249">
        <f t="shared" si="7"/>
        <v>4.8751328613576561E-3</v>
      </c>
      <c r="G12" s="248">
        <f t="shared" si="8"/>
        <v>1.1045571762582584E-2</v>
      </c>
      <c r="H12" s="249">
        <f t="shared" si="9"/>
        <v>1.8084414803997806E-2</v>
      </c>
      <c r="I12" s="248">
        <f t="shared" si="10"/>
        <v>1.4434031814142272</v>
      </c>
      <c r="J12" s="249">
        <f t="shared" si="11"/>
        <v>-0.21683578768830802</v>
      </c>
      <c r="K12" s="248">
        <f t="shared" si="12"/>
        <v>1.3215981128279379</v>
      </c>
      <c r="L12" s="249">
        <f t="shared" si="13"/>
        <v>0.12180506858628926</v>
      </c>
      <c r="M12" s="250"/>
      <c r="N12" s="24">
        <v>1</v>
      </c>
      <c r="O12" s="248">
        <f t="shared" si="35"/>
        <v>4.7895415640755168E-2</v>
      </c>
      <c r="P12" s="251">
        <f t="shared" si="36"/>
        <v>4.7895415640755168E-2</v>
      </c>
      <c r="Q12" s="248">
        <f t="shared" si="14"/>
        <v>0.12956604629209734</v>
      </c>
      <c r="R12" s="251">
        <f t="shared" si="37"/>
        <v>0.12956604629209734</v>
      </c>
      <c r="S12" s="250"/>
      <c r="T12" s="24">
        <v>-1</v>
      </c>
      <c r="U12" s="248">
        <f t="shared" si="15"/>
        <v>0.19089478534390003</v>
      </c>
      <c r="V12" s="252">
        <f t="shared" si="16"/>
        <v>0.19089478534390003</v>
      </c>
      <c r="W12" s="248">
        <f t="shared" si="38"/>
        <v>-0.3475296140347317</v>
      </c>
      <c r="X12" s="252">
        <f t="shared" si="17"/>
        <v>-0.3475296140347317</v>
      </c>
      <c r="Y12" s="248">
        <f t="shared" si="18"/>
        <v>0.11095983662355335</v>
      </c>
      <c r="Z12" s="252">
        <f t="shared" si="19"/>
        <v>0.11095983662355335</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
        <f>VLOOKUP($A12,historia!$A$5:$CM$24,+HLOOKUP(AO$2,historia!$A$3:$EC$4,2,FALSE),FALSE)</f>
        <v>5</v>
      </c>
      <c r="AP12" s="28">
        <f>VLOOKUP($A12,historia!$A$5:$CM$24,+HLOOKUP(AP$2,historia!$A$3:$EC$4,2,FALSE),FALSE)</f>
        <v>5</v>
      </c>
      <c r="AQ12" s="28">
        <f>VLOOKUP($A12,historia!$A$5:$CM$24,+HLOOKUP(AQ$2,historia!$A$3:$EC$4,2,FALSE),FALSE)</f>
        <v>5</v>
      </c>
      <c r="AR12" s="28">
        <f>VLOOKUP($A12,historia!$A$5:$CM$24,+HLOOKUP(AR$2,historia!$A$3:$EC$4,2,FALSE),FALSE)</f>
        <v>5</v>
      </c>
      <c r="AS12" s="58">
        <f>VLOOKUP($A12,historia!$A$5:$CM$24,+HLOOKUP(AS$2,historia!$A$3:$EC$4,2,FALSE),FALSE)</f>
        <v>5</v>
      </c>
      <c r="AT12" s="58">
        <f>VLOOKUP($A12,historia!$A$5:$CM$24,+HLOOKUP(AT$2,historia!$A$3:$EC$4,2,FALSE),FALSE)</f>
        <v>4</v>
      </c>
      <c r="AU12" s="58">
        <f>VLOOKUP($A12,historia!$A$5:$CM$24,+HLOOKUP(AU$2,historia!$A$3:$EC$4,2,FALSE),FALSE)</f>
        <v>4</v>
      </c>
      <c r="AV12" s="58">
        <f>VLOOKUP($A12,historia!$A$5:$CM$24,+HLOOKUP(AV$2,historia!$A$3:$EC$4,2,FALSE),FALSE)</f>
        <v>4</v>
      </c>
      <c r="AW12" s="58">
        <v>4</v>
      </c>
      <c r="AX12" s="58">
        <v>3</v>
      </c>
      <c r="AY12" s="58">
        <v>3</v>
      </c>
      <c r="AZ12" s="58">
        <v>3</v>
      </c>
      <c r="BA12" s="30"/>
      <c r="BB12" s="141">
        <v>4</v>
      </c>
      <c r="BC12" t="str">
        <f t="shared" si="20"/>
        <v>Granos</v>
      </c>
      <c r="BD12">
        <f>+datos!AE1</f>
        <v>31</v>
      </c>
      <c r="BE12" s="2" t="str">
        <f t="shared" si="4"/>
        <v>$/t</v>
      </c>
      <c r="BF12" s="2">
        <f t="shared" si="4"/>
        <v>238487.21611666665</v>
      </c>
      <c r="BG12" s="2">
        <f t="shared" si="4"/>
        <v>231736.72833333336</v>
      </c>
      <c r="BH12" s="2">
        <f t="shared" si="4"/>
        <v>97604.528769841272</v>
      </c>
      <c r="BJ12">
        <f>+datos!CG1</f>
        <v>85</v>
      </c>
      <c r="BK12" s="2">
        <f t="shared" si="21"/>
        <v>9143.6919693594609</v>
      </c>
      <c r="BL12" s="2">
        <f t="shared" si="21"/>
        <v>9043.7980490028949</v>
      </c>
      <c r="BM12" s="2">
        <f t="shared" si="21"/>
        <v>3938.5335122544238</v>
      </c>
      <c r="BO12" s="1">
        <f>+datos!EA1</f>
        <v>131</v>
      </c>
      <c r="BP12" s="1">
        <f t="shared" si="22"/>
        <v>35750000</v>
      </c>
      <c r="BQ12" s="1">
        <f t="shared" si="22"/>
        <v>34116000</v>
      </c>
      <c r="BS12" s="1">
        <f>+datos!FV1</f>
        <v>178</v>
      </c>
      <c r="BT12" s="1">
        <f t="shared" si="23"/>
        <v>122053000</v>
      </c>
      <c r="BU12" s="1">
        <f t="shared" si="23"/>
        <v>108053000</v>
      </c>
      <c r="BW12" s="1">
        <f>+datos!LQ1</f>
        <v>329</v>
      </c>
      <c r="BX12" s="1">
        <f>+SUM(CI12:CT12)</f>
        <v>44516.860641789994</v>
      </c>
      <c r="BY12" s="1">
        <f t="shared" si="40"/>
        <v>37381.019036819998</v>
      </c>
      <c r="CA12" s="1">
        <f>+datos!LU1</f>
        <v>333</v>
      </c>
      <c r="CB12" s="2">
        <f t="shared" si="24"/>
        <v>3338.1557671199998</v>
      </c>
      <c r="CC12" s="2">
        <f t="shared" si="25"/>
        <v>5116.1797361600002</v>
      </c>
      <c r="CE12" s="1">
        <f>+datos!II1</f>
        <v>243</v>
      </c>
      <c r="CF12" s="1">
        <f t="shared" si="26"/>
        <v>81600000</v>
      </c>
      <c r="CG12" s="1">
        <f t="shared" si="27"/>
        <v>73450000</v>
      </c>
      <c r="CI12" s="1">
        <f>+VLOOKUP(CI$1,ran_dat,$BW12,FALSE)</f>
        <v>3339.9998161899998</v>
      </c>
      <c r="CJ12" s="1">
        <f t="shared" si="28"/>
        <v>3485.71732419</v>
      </c>
      <c r="CK12" s="1">
        <f t="shared" si="28"/>
        <v>3410.80431886</v>
      </c>
      <c r="CL12" s="1">
        <f t="shared" si="28"/>
        <v>3348.6268518899992</v>
      </c>
      <c r="CM12" s="1">
        <f t="shared" si="28"/>
        <v>4200.6671527199996</v>
      </c>
      <c r="CN12" s="1">
        <f t="shared" si="28"/>
        <v>4256.6159984299993</v>
      </c>
      <c r="CO12" s="1">
        <f t="shared" si="28"/>
        <v>4805.0657855600002</v>
      </c>
      <c r="CP12" s="1">
        <f t="shared" si="28"/>
        <v>3818.0878160900002</v>
      </c>
      <c r="CQ12" s="1">
        <f t="shared" si="28"/>
        <v>3876.9439553199995</v>
      </c>
      <c r="CR12" s="1">
        <f t="shared" si="28"/>
        <v>3089.4855235099994</v>
      </c>
      <c r="CS12" s="1">
        <f t="shared" si="28"/>
        <v>3929.1762735700004</v>
      </c>
      <c r="CT12" s="1">
        <f t="shared" si="28"/>
        <v>2955.6698254600001</v>
      </c>
      <c r="CU12" s="1">
        <f t="shared" si="28"/>
        <v>2441.9361675499999</v>
      </c>
      <c r="CV12" s="1">
        <f t="shared" si="28"/>
        <v>2439.6070879799995</v>
      </c>
      <c r="CW12" s="1">
        <f t="shared" si="28"/>
        <v>2937.94498135</v>
      </c>
      <c r="CX12" s="1">
        <f t="shared" si="28"/>
        <v>3422.8062754199996</v>
      </c>
      <c r="CY12" s="1">
        <f t="shared" si="29"/>
        <v>3305.4373540500001</v>
      </c>
      <c r="CZ12" s="1">
        <f t="shared" si="29"/>
        <v>3388.1727426199996</v>
      </c>
      <c r="DA12" s="1">
        <f t="shared" si="29"/>
        <v>3792.8302867999996</v>
      </c>
      <c r="DB12" s="1">
        <f t="shared" si="29"/>
        <v>3116.9694759099998</v>
      </c>
      <c r="DC12" s="1">
        <f t="shared" si="29"/>
        <v>2868.8536445099994</v>
      </c>
      <c r="DD12" s="1">
        <f t="shared" si="29"/>
        <v>2796.6599858300006</v>
      </c>
      <c r="DE12" s="1">
        <f t="shared" si="29"/>
        <v>2718.2915703099998</v>
      </c>
      <c r="DF12" s="1">
        <f t="shared" si="29"/>
        <v>4151.50946449</v>
      </c>
      <c r="DH12" s="1">
        <f t="shared" si="30"/>
        <v>201.41567115000001</v>
      </c>
      <c r="DI12" s="1">
        <f t="shared" si="30"/>
        <v>299.18688666000003</v>
      </c>
      <c r="DJ12" s="1">
        <f t="shared" si="30"/>
        <v>265.28366987999999</v>
      </c>
      <c r="DK12" s="1">
        <f t="shared" si="30"/>
        <v>214.60650260000006</v>
      </c>
      <c r="DL12" s="1">
        <f t="shared" si="30"/>
        <v>390.93673457</v>
      </c>
      <c r="DM12" s="1">
        <f t="shared" si="30"/>
        <v>293.37536226000003</v>
      </c>
      <c r="DN12" s="1">
        <f t="shared" si="30"/>
        <v>336.54852982999995</v>
      </c>
      <c r="DO12" s="1">
        <f t="shared" si="30"/>
        <v>300.95428591999996</v>
      </c>
      <c r="DP12" s="1">
        <f t="shared" si="30"/>
        <v>389.85732896999997</v>
      </c>
      <c r="DQ12" s="1">
        <f t="shared" si="30"/>
        <v>280.54397103999997</v>
      </c>
      <c r="DR12" s="1">
        <f t="shared" si="30"/>
        <v>63.525792080000002</v>
      </c>
      <c r="DS12" s="1">
        <f t="shared" si="30"/>
        <v>301.92103216000004</v>
      </c>
      <c r="DT12" s="1">
        <f t="shared" si="30"/>
        <v>260.76831764999997</v>
      </c>
      <c r="DU12" s="1">
        <f t="shared" si="30"/>
        <v>244.67742642000002</v>
      </c>
      <c r="DV12" s="1">
        <f t="shared" si="30"/>
        <v>322.58249758000005</v>
      </c>
      <c r="DW12" s="1">
        <f t="shared" si="30"/>
        <v>495.08938117000014</v>
      </c>
      <c r="DX12" s="1">
        <f t="shared" si="31"/>
        <v>539.06610803000001</v>
      </c>
      <c r="DY12" s="1">
        <f t="shared" si="31"/>
        <v>828.84254484999997</v>
      </c>
      <c r="DZ12" s="1">
        <f t="shared" si="31"/>
        <v>679.74768902999983</v>
      </c>
      <c r="EA12" s="1">
        <f t="shared" si="31"/>
        <v>678.42759025000009</v>
      </c>
      <c r="EB12" s="1">
        <f t="shared" si="31"/>
        <v>816.99926951999987</v>
      </c>
      <c r="EC12" s="1">
        <f t="shared" si="31"/>
        <v>236.29083821</v>
      </c>
      <c r="ED12" s="1">
        <f t="shared" si="31"/>
        <v>13.603287699999997</v>
      </c>
      <c r="EE12" s="1">
        <f t="shared" si="31"/>
        <v>8.4785749999999993E-2</v>
      </c>
      <c r="EG12" s="14">
        <f t="shared" si="32"/>
        <v>81600000</v>
      </c>
      <c r="EH12" s="14">
        <f t="shared" si="32"/>
        <v>81600000</v>
      </c>
      <c r="EI12" s="1">
        <f t="shared" si="32"/>
        <v>81600000</v>
      </c>
      <c r="EJ12" s="1">
        <f t="shared" si="32"/>
        <v>81600000</v>
      </c>
      <c r="EK12" s="1">
        <f t="shared" si="32"/>
        <v>81600000</v>
      </c>
      <c r="EL12" s="1">
        <f t="shared" si="32"/>
        <v>81600000</v>
      </c>
      <c r="EM12" s="1">
        <f t="shared" si="32"/>
        <v>81600000</v>
      </c>
      <c r="EN12" s="1">
        <f t="shared" si="32"/>
        <v>81600000</v>
      </c>
      <c r="EO12" s="1">
        <f t="shared" si="32"/>
        <v>73750000</v>
      </c>
      <c r="EP12" s="1">
        <f t="shared" si="32"/>
        <v>73750000</v>
      </c>
      <c r="EQ12" s="1">
        <f t="shared" si="32"/>
        <v>73450000</v>
      </c>
      <c r="ER12" s="1">
        <f t="shared" si="32"/>
        <v>73450000</v>
      </c>
      <c r="ES12" s="1">
        <f t="shared" si="32"/>
        <v>73450000</v>
      </c>
      <c r="ET12" s="1">
        <f t="shared" si="32"/>
        <v>73450000</v>
      </c>
      <c r="EU12" s="1">
        <f t="shared" si="32"/>
        <v>73450000</v>
      </c>
      <c r="EV12" s="1">
        <f t="shared" si="32"/>
        <v>73450000</v>
      </c>
      <c r="EW12" s="1">
        <f t="shared" si="33"/>
        <v>73450000</v>
      </c>
      <c r="EX12" s="1">
        <f t="shared" si="33"/>
        <v>73450000</v>
      </c>
      <c r="EY12" s="1">
        <f t="shared" si="33"/>
        <v>73450000</v>
      </c>
      <c r="EZ12" s="1">
        <f t="shared" si="33"/>
        <v>73450000</v>
      </c>
      <c r="FA12" s="1">
        <f t="shared" si="33"/>
        <v>74890000</v>
      </c>
      <c r="FB12" s="1">
        <f t="shared" si="33"/>
        <v>75510000</v>
      </c>
      <c r="FC12" s="1">
        <f t="shared" si="33"/>
        <v>75510000</v>
      </c>
      <c r="FD12" s="1">
        <f t="shared" si="33"/>
        <v>75060000</v>
      </c>
      <c r="FF12" s="162">
        <f t="shared" si="34"/>
        <v>0.12180506858628926</v>
      </c>
    </row>
    <row r="13" spans="1:162" ht="18.75" customHeight="1">
      <c r="A13" s="244" t="s">
        <v>217</v>
      </c>
      <c r="B13" s="247"/>
      <c r="C13" s="228">
        <f t="shared" si="5"/>
        <v>0</v>
      </c>
      <c r="D13" s="229">
        <v>0</v>
      </c>
      <c r="E13" s="253">
        <f t="shared" si="6"/>
        <v>-0.17320264554806319</v>
      </c>
      <c r="F13" s="254">
        <f t="shared" si="7"/>
        <v>-0.19745749925328593</v>
      </c>
      <c r="G13" s="253">
        <f t="shared" si="8"/>
        <v>-2.9602034120324139E-2</v>
      </c>
      <c r="H13" s="254">
        <f t="shared" si="9"/>
        <v>-0.14360061142773906</v>
      </c>
      <c r="I13" s="253">
        <f t="shared" si="10"/>
        <v>1.7533287077601742</v>
      </c>
      <c r="J13" s="254">
        <f t="shared" si="11"/>
        <v>9.3089738657639032E-2</v>
      </c>
      <c r="K13" s="253">
        <f t="shared" si="12"/>
        <v>1.443034039256299</v>
      </c>
      <c r="L13" s="254">
        <f t="shared" si="13"/>
        <v>0.31029466850387522</v>
      </c>
      <c r="M13" s="255"/>
      <c r="N13" s="256">
        <v>0</v>
      </c>
      <c r="O13" s="253">
        <f t="shared" si="35"/>
        <v>-3.3006472151727695E-2</v>
      </c>
      <c r="P13" s="257">
        <f t="shared" si="36"/>
        <v>-3.3006472151727695E-2</v>
      </c>
      <c r="Q13" s="253">
        <f t="shared" si="14"/>
        <v>-1.4386787894224651E-2</v>
      </c>
      <c r="R13" s="257">
        <f t="shared" si="37"/>
        <v>-1.4386787894224651E-2</v>
      </c>
      <c r="S13" s="255"/>
      <c r="T13" s="256">
        <v>0</v>
      </c>
      <c r="U13" s="253">
        <f t="shared" si="15"/>
        <v>0.13569013925932705</v>
      </c>
      <c r="V13" s="258">
        <f t="shared" si="16"/>
        <v>0.13569013925932705</v>
      </c>
      <c r="W13" s="253">
        <f t="shared" si="38"/>
        <v>1.1230014291069099</v>
      </c>
      <c r="X13" s="258">
        <f t="shared" si="17"/>
        <v>1.1230014291069099</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
        <f>VLOOKUP($A13,historia!$A$5:$CM$24,+HLOOKUP(AO$2,historia!$A$3:$EC$4,2,FALSE),FALSE)</f>
        <v>3</v>
      </c>
      <c r="AP13" s="28">
        <f>VLOOKUP($A13,historia!$A$5:$CM$24,+HLOOKUP(AP$2,historia!$A$3:$EC$4,2,FALSE),FALSE)</f>
        <v>3</v>
      </c>
      <c r="AQ13" s="28">
        <f>VLOOKUP($A13,historia!$A$5:$CM$24,+HLOOKUP(AQ$2,historia!$A$3:$EC$4,2,FALSE),FALSE)</f>
        <v>3</v>
      </c>
      <c r="AR13" s="28">
        <f>VLOOKUP($A13,historia!$A$5:$CM$24,+HLOOKUP(AR$2,historia!$A$3:$EC$4,2,FALSE),FALSE)</f>
        <v>3</v>
      </c>
      <c r="AS13" s="58">
        <f>VLOOKUP($A13,historia!$A$5:$CM$24,+HLOOKUP(AS$2,historia!$A$3:$EC$4,2,FALSE),FALSE)</f>
        <v>3</v>
      </c>
      <c r="AT13" s="58">
        <f>VLOOKUP($A13,historia!$A$5:$CM$24,+HLOOKUP(AT$2,historia!$A$3:$EC$4,2,FALSE),FALSE)</f>
        <v>2</v>
      </c>
      <c r="AU13" s="58">
        <f>VLOOKUP($A13,historia!$A$5:$CM$24,+HLOOKUP(AU$2,historia!$A$3:$EC$4,2,FALSE),FALSE)</f>
        <v>2</v>
      </c>
      <c r="AV13" s="58">
        <f>VLOOKUP($A13,historia!$A$5:$CM$24,+HLOOKUP(AV$2,historia!$A$3:$EC$4,2,FALSE),FALSE)</f>
        <v>3</v>
      </c>
      <c r="AW13" s="58">
        <v>3</v>
      </c>
      <c r="AX13" s="58">
        <v>2</v>
      </c>
      <c r="AY13" s="58">
        <v>4</v>
      </c>
      <c r="AZ13" s="58">
        <v>3</v>
      </c>
      <c r="BA13" s="30"/>
      <c r="BB13" s="141">
        <v>3</v>
      </c>
      <c r="BC13" t="str">
        <f t="shared" si="20"/>
        <v>Hortalizas</v>
      </c>
      <c r="BD13">
        <f>+datos!BB1</f>
        <v>54</v>
      </c>
      <c r="BE13" s="2" t="str">
        <f t="shared" si="4"/>
        <v>$/kg</v>
      </c>
      <c r="BF13" s="2">
        <f t="shared" si="4"/>
        <v>11145.5</v>
      </c>
      <c r="BG13" s="2">
        <f t="shared" si="4"/>
        <v>13480.328571428572</v>
      </c>
      <c r="BH13" s="2">
        <f t="shared" si="4"/>
        <v>4048.0092219235366</v>
      </c>
      <c r="BJ13">
        <f>+datos!CO1</f>
        <v>93</v>
      </c>
      <c r="BK13" s="2">
        <f t="shared" si="21"/>
        <v>9448.9245421064461</v>
      </c>
      <c r="BL13" s="2">
        <f t="shared" si="21"/>
        <v>9737.164415365296</v>
      </c>
      <c r="BM13" s="2">
        <f t="shared" si="21"/>
        <v>3867.7007320711987</v>
      </c>
      <c r="BO13" s="1">
        <f>+datos!EX1</f>
        <v>154</v>
      </c>
      <c r="BP13" s="1">
        <f t="shared" si="22"/>
        <v>64395</v>
      </c>
      <c r="BQ13" s="1">
        <f t="shared" si="22"/>
        <v>66593</v>
      </c>
      <c r="BS13" s="1">
        <f>+datos!GN1</f>
        <v>196</v>
      </c>
      <c r="BT13" s="1">
        <f t="shared" si="23"/>
        <v>2639386</v>
      </c>
      <c r="BU13" s="1">
        <f t="shared" si="23"/>
        <v>2677912.56</v>
      </c>
      <c r="BW13" s="1">
        <f>+datos!LR1</f>
        <v>330</v>
      </c>
      <c r="BX13" s="1">
        <f t="shared" si="39"/>
        <v>69.324771779999992</v>
      </c>
      <c r="BY13" s="1">
        <f t="shared" si="40"/>
        <v>61.041977369999998</v>
      </c>
      <c r="CA13" s="1">
        <f>+datos!LV1</f>
        <v>334</v>
      </c>
      <c r="CB13" s="2">
        <f t="shared" si="24"/>
        <v>36.948721839999997</v>
      </c>
      <c r="CC13" s="2">
        <f t="shared" si="25"/>
        <v>17.404002339999998</v>
      </c>
      <c r="CE13" s="1">
        <f>+datos!IX1</f>
        <v>258</v>
      </c>
      <c r="CF13" s="1">
        <f t="shared" si="26"/>
        <v>0</v>
      </c>
      <c r="CG13" s="1">
        <f t="shared" si="27"/>
        <v>0</v>
      </c>
      <c r="CI13" s="1">
        <f t="shared" si="28"/>
        <v>1.6220564799999999</v>
      </c>
      <c r="CJ13" s="1">
        <f t="shared" si="28"/>
        <v>1.7022322700000001</v>
      </c>
      <c r="CK13" s="1">
        <f t="shared" si="28"/>
        <v>2.1800094999999997</v>
      </c>
      <c r="CL13" s="1">
        <f t="shared" si="28"/>
        <v>0.89152303000000011</v>
      </c>
      <c r="CM13" s="1">
        <f t="shared" si="28"/>
        <v>2.22092468</v>
      </c>
      <c r="CN13" s="1">
        <f t="shared" si="28"/>
        <v>5.6369490100000004</v>
      </c>
      <c r="CO13" s="1">
        <f t="shared" si="28"/>
        <v>11.964288460000001</v>
      </c>
      <c r="CP13" s="1">
        <f t="shared" si="28"/>
        <v>14.874595200000002</v>
      </c>
      <c r="CQ13" s="1">
        <f t="shared" si="28"/>
        <v>12.356255849999998</v>
      </c>
      <c r="CR13" s="1">
        <f t="shared" si="28"/>
        <v>7.66143427</v>
      </c>
      <c r="CS13" s="1">
        <f t="shared" si="28"/>
        <v>3.9700200400000001</v>
      </c>
      <c r="CT13" s="1">
        <f t="shared" si="28"/>
        <v>4.244482989999999</v>
      </c>
      <c r="CU13" s="1">
        <f t="shared" si="28"/>
        <v>3.7692072699999999</v>
      </c>
      <c r="CV13" s="1">
        <f t="shared" si="28"/>
        <v>4.3561451300000007</v>
      </c>
      <c r="CW13" s="1">
        <f t="shared" si="28"/>
        <v>2.35708815</v>
      </c>
      <c r="CX13" s="1">
        <f t="shared" si="28"/>
        <v>2.9990922500000003</v>
      </c>
      <c r="CY13" s="1">
        <f t="shared" si="29"/>
        <v>4.9654154400000001</v>
      </c>
      <c r="CZ13" s="1">
        <f t="shared" si="29"/>
        <v>7.7556872599999993</v>
      </c>
      <c r="DA13" s="1">
        <f t="shared" si="29"/>
        <v>10.641103850000002</v>
      </c>
      <c r="DB13" s="1">
        <f t="shared" si="29"/>
        <v>9.2379974100000002</v>
      </c>
      <c r="DC13" s="1">
        <f t="shared" si="29"/>
        <v>6.8023944899999993</v>
      </c>
      <c r="DD13" s="1">
        <f t="shared" si="29"/>
        <v>2.5188479500000001</v>
      </c>
      <c r="DE13" s="1">
        <f t="shared" si="29"/>
        <v>1.93600679</v>
      </c>
      <c r="DF13" s="1">
        <f t="shared" si="29"/>
        <v>3.7029913799999998</v>
      </c>
      <c r="DH13" s="1">
        <f t="shared" si="30"/>
        <v>1.8307121500000001</v>
      </c>
      <c r="DI13" s="1">
        <f t="shared" si="30"/>
        <v>4.7138590499999999</v>
      </c>
      <c r="DJ13" s="1">
        <f t="shared" si="30"/>
        <v>10.280953719999999</v>
      </c>
      <c r="DK13" s="1">
        <f t="shared" si="30"/>
        <v>10.078043539999999</v>
      </c>
      <c r="DL13" s="1">
        <f t="shared" si="30"/>
        <v>5.0525632100000006</v>
      </c>
      <c r="DM13" s="1">
        <f t="shared" si="30"/>
        <v>1.5134803299999999</v>
      </c>
      <c r="DN13" s="1">
        <f t="shared" si="30"/>
        <v>1.5645213200000003</v>
      </c>
      <c r="DO13" s="1">
        <f t="shared" si="30"/>
        <v>0.17069466</v>
      </c>
      <c r="DP13" s="1">
        <f t="shared" si="30"/>
        <v>5.8121779999999998E-2</v>
      </c>
      <c r="DQ13" s="1">
        <f t="shared" si="30"/>
        <v>0.22874177000000001</v>
      </c>
      <c r="DR13" s="1">
        <f t="shared" si="30"/>
        <v>6.8422739999999996E-2</v>
      </c>
      <c r="DS13" s="1">
        <f t="shared" si="30"/>
        <v>1.38860757</v>
      </c>
      <c r="DT13" s="1">
        <f t="shared" si="30"/>
        <v>1.9631409899999996</v>
      </c>
      <c r="DU13" s="1">
        <f t="shared" si="30"/>
        <v>1.5225679400000001</v>
      </c>
      <c r="DV13" s="1">
        <f t="shared" si="30"/>
        <v>1.3263511099999998</v>
      </c>
      <c r="DW13" s="1">
        <f t="shared" si="30"/>
        <v>2.5091586699999997</v>
      </c>
      <c r="DX13" s="1">
        <f t="shared" si="31"/>
        <v>1.6528733800000002</v>
      </c>
      <c r="DY13" s="1">
        <f t="shared" si="31"/>
        <v>0.42388491999999994</v>
      </c>
      <c r="DZ13" s="1">
        <f t="shared" si="31"/>
        <v>1.7301791</v>
      </c>
      <c r="EA13" s="1">
        <f t="shared" si="31"/>
        <v>2.0483479400000002</v>
      </c>
      <c r="EB13" s="1">
        <f t="shared" si="31"/>
        <v>0.56045690999999997</v>
      </c>
      <c r="EC13" s="1">
        <f t="shared" si="31"/>
        <v>1.1333685500000001</v>
      </c>
      <c r="ED13" s="1">
        <f t="shared" si="31"/>
        <v>1.93118693</v>
      </c>
      <c r="EE13" s="1">
        <f t="shared" si="31"/>
        <v>0.60248590000000002</v>
      </c>
      <c r="EG13" s="14">
        <f t="shared" si="32"/>
        <v>0</v>
      </c>
      <c r="EH13" s="14">
        <f t="shared" si="32"/>
        <v>0</v>
      </c>
      <c r="EI13" s="1">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3"/>
        <v>0</v>
      </c>
      <c r="EX13" s="1">
        <f t="shared" si="33"/>
        <v>0</v>
      </c>
      <c r="EY13" s="1">
        <f t="shared" si="33"/>
        <v>0</v>
      </c>
      <c r="EZ13" s="1">
        <f t="shared" si="33"/>
        <v>0</v>
      </c>
      <c r="FA13" s="1">
        <f t="shared" si="33"/>
        <v>0</v>
      </c>
      <c r="FB13" s="1">
        <f t="shared" si="33"/>
        <v>0</v>
      </c>
      <c r="FC13" s="1">
        <f t="shared" si="33"/>
        <v>0</v>
      </c>
      <c r="FD13" s="1">
        <f t="shared" si="33"/>
        <v>0</v>
      </c>
      <c r="FF13" s="162">
        <f t="shared" si="34"/>
        <v>0.31029466850387522</v>
      </c>
    </row>
    <row r="14" spans="1:162" ht="18.75" customHeight="1">
      <c r="A14" s="243" t="s">
        <v>65</v>
      </c>
      <c r="B14" s="246"/>
      <c r="C14" s="156">
        <f t="shared" si="5"/>
        <v>-0.33</v>
      </c>
      <c r="D14" s="198">
        <v>1</v>
      </c>
      <c r="E14" s="248">
        <f t="shared" si="6"/>
        <v>1.1199006576829262E-2</v>
      </c>
      <c r="F14" s="249">
        <f t="shared" si="7"/>
        <v>-1.3055847128393472E-2</v>
      </c>
      <c r="G14" s="248">
        <f t="shared" si="8"/>
        <v>1.6086067222062406E-2</v>
      </c>
      <c r="H14" s="249">
        <f t="shared" si="9"/>
        <v>-4.8870606452331433E-3</v>
      </c>
      <c r="I14" s="248">
        <f t="shared" si="10"/>
        <v>1.9313379108059467</v>
      </c>
      <c r="J14" s="249">
        <f t="shared" si="11"/>
        <v>0.27109894170341153</v>
      </c>
      <c r="K14" s="248">
        <f t="shared" si="12"/>
        <v>1.6453558170372182</v>
      </c>
      <c r="L14" s="249">
        <f t="shared" si="13"/>
        <v>0.28598209376872852</v>
      </c>
      <c r="M14" s="250"/>
      <c r="N14" s="24">
        <v>-1</v>
      </c>
      <c r="O14" s="248">
        <f t="shared" si="35"/>
        <v>0</v>
      </c>
      <c r="P14" s="251">
        <f t="shared" si="36"/>
        <v>0</v>
      </c>
      <c r="Q14" s="248">
        <f t="shared" si="14"/>
        <v>-9.0067385662979005E-2</v>
      </c>
      <c r="R14" s="251">
        <f t="shared" si="37"/>
        <v>-9.0067385662979005E-2</v>
      </c>
      <c r="S14" s="250"/>
      <c r="T14" s="24">
        <v>-1</v>
      </c>
      <c r="U14" s="248">
        <f t="shared" si="15"/>
        <v>4.203492164572098E-2</v>
      </c>
      <c r="V14" s="252">
        <f t="shared" si="16"/>
        <v>4.203492164572098E-2</v>
      </c>
      <c r="W14" s="248">
        <f t="shared" si="38"/>
        <v>-0.20380828457255973</v>
      </c>
      <c r="X14" s="252">
        <f t="shared" si="17"/>
        <v>-0.20380828457255973</v>
      </c>
      <c r="Y14" s="248">
        <f t="shared" si="18"/>
        <v>-0.1427845528455286</v>
      </c>
      <c r="Z14" s="252">
        <f t="shared" si="19"/>
        <v>-0.1427845528455286</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
        <f>VLOOKUP($A14,historia!$A$5:$CM$24,+HLOOKUP(AO$2,historia!$A$3:$EC$4,2,FALSE),FALSE)</f>
        <v>5</v>
      </c>
      <c r="AP14" s="28">
        <f>VLOOKUP($A14,historia!$A$5:$CM$24,+HLOOKUP(AP$2,historia!$A$3:$EC$4,2,FALSE),FALSE)</f>
        <v>5</v>
      </c>
      <c r="AQ14" s="28">
        <f>VLOOKUP($A14,historia!$A$5:$CM$24,+HLOOKUP(AQ$2,historia!$A$3:$EC$4,2,FALSE),FALSE)</f>
        <v>4</v>
      </c>
      <c r="AR14" s="28">
        <f>VLOOKUP($A14,historia!$A$5:$CM$24,+HLOOKUP(AR$2,historia!$A$3:$EC$4,2,FALSE),FALSE)</f>
        <v>4</v>
      </c>
      <c r="AS14" s="58">
        <f>VLOOKUP($A14,historia!$A$5:$CM$24,+HLOOKUP(AS$2,historia!$A$3:$EC$4,2,FALSE),FALSE)</f>
        <v>4</v>
      </c>
      <c r="AT14" s="58">
        <f>VLOOKUP($A14,historia!$A$5:$CM$24,+HLOOKUP(AT$2,historia!$A$3:$EC$4,2,FALSE),FALSE)</f>
        <v>4</v>
      </c>
      <c r="AU14" s="58">
        <f>VLOOKUP($A14,historia!$A$5:$CM$24,+HLOOKUP(AU$2,historia!$A$3:$EC$4,2,FALSE),FALSE)</f>
        <v>4</v>
      </c>
      <c r="AV14" s="58">
        <f>VLOOKUP($A14,historia!$A$5:$CM$24,+HLOOKUP(AV$2,historia!$A$3:$EC$4,2,FALSE),FALSE)</f>
        <v>4</v>
      </c>
      <c r="AW14" s="58">
        <v>4</v>
      </c>
      <c r="AX14" s="58">
        <v>3</v>
      </c>
      <c r="AY14" s="58">
        <v>3</v>
      </c>
      <c r="AZ14" s="58">
        <v>2</v>
      </c>
      <c r="BA14" s="30"/>
      <c r="BB14" s="141">
        <v>4</v>
      </c>
      <c r="BC14" t="str">
        <f t="shared" si="20"/>
        <v>Leche</v>
      </c>
      <c r="BD14">
        <f>+datos!BN1</f>
        <v>66</v>
      </c>
      <c r="BE14" s="2" t="str">
        <f t="shared" si="4"/>
        <v>$/l</v>
      </c>
      <c r="BF14" s="2">
        <f t="shared" si="4"/>
        <v>439.73</v>
      </c>
      <c r="BG14" s="2">
        <f t="shared" si="4"/>
        <v>434.86</v>
      </c>
      <c r="BH14" s="2">
        <f t="shared" si="4"/>
        <v>150.01</v>
      </c>
      <c r="BJ14">
        <f>+datos!DC1</f>
        <v>107</v>
      </c>
      <c r="BK14" s="2">
        <f t="shared" si="21"/>
        <v>9332.0973153066225</v>
      </c>
      <c r="BL14" s="2">
        <f t="shared" si="21"/>
        <v>9184.3571291359149</v>
      </c>
      <c r="BM14" s="2">
        <f t="shared" si="21"/>
        <v>3527.7285782139179</v>
      </c>
      <c r="BO14" s="1">
        <f>+datos!EN1</f>
        <v>144</v>
      </c>
      <c r="BP14" s="1">
        <f t="shared" si="22"/>
        <v>3169981</v>
      </c>
      <c r="BQ14" s="1">
        <f t="shared" si="22"/>
        <v>3169981</v>
      </c>
      <c r="BS14" s="1">
        <f>+datos!HP1</f>
        <v>224</v>
      </c>
      <c r="BT14" s="1">
        <f t="shared" si="23"/>
        <v>10372.943656900923</v>
      </c>
      <c r="BU14" s="1">
        <f t="shared" si="23"/>
        <v>11399.683332000001</v>
      </c>
      <c r="BW14" s="1">
        <f>+datos!KH1</f>
        <v>294</v>
      </c>
      <c r="BX14" s="1">
        <f t="shared" si="39"/>
        <v>1612.22625978</v>
      </c>
      <c r="BY14" s="1">
        <f t="shared" si="40"/>
        <v>1547.1902393</v>
      </c>
      <c r="CA14" s="1">
        <f>+datos!LM1</f>
        <v>325</v>
      </c>
      <c r="CB14" s="2">
        <f t="shared" si="24"/>
        <v>19.268982979999997</v>
      </c>
      <c r="CC14" s="2">
        <f t="shared" si="25"/>
        <v>24.201436169999997</v>
      </c>
      <c r="CE14" s="1">
        <f>+datos!IN1</f>
        <v>248</v>
      </c>
      <c r="CF14" s="1">
        <f t="shared" si="26"/>
        <v>168.7</v>
      </c>
      <c r="CG14" s="1">
        <f t="shared" si="27"/>
        <v>196.8</v>
      </c>
      <c r="CI14" s="1">
        <f t="shared" si="28"/>
        <v>173.78517034999999</v>
      </c>
      <c r="CJ14" s="1">
        <f t="shared" si="28"/>
        <v>162.27196751000002</v>
      </c>
      <c r="CK14" s="1">
        <f t="shared" si="28"/>
        <v>136.36151781000004</v>
      </c>
      <c r="CL14" s="1">
        <f t="shared" si="28"/>
        <v>114.33182424</v>
      </c>
      <c r="CM14" s="1">
        <f t="shared" si="28"/>
        <v>131.64359017999999</v>
      </c>
      <c r="CN14" s="1">
        <f t="shared" si="28"/>
        <v>102.41564730000002</v>
      </c>
      <c r="CO14" s="1">
        <f t="shared" si="28"/>
        <v>113.57779348999999</v>
      </c>
      <c r="CP14" s="1">
        <f t="shared" si="28"/>
        <v>118.3786056</v>
      </c>
      <c r="CQ14" s="1">
        <f t="shared" si="28"/>
        <v>126.46519539000002</v>
      </c>
      <c r="CR14" s="1">
        <f t="shared" si="28"/>
        <v>140.50614890000003</v>
      </c>
      <c r="CS14" s="1">
        <f t="shared" si="28"/>
        <v>139.44218023000002</v>
      </c>
      <c r="CT14" s="1">
        <f t="shared" si="28"/>
        <v>153.04661877999999</v>
      </c>
      <c r="CU14" s="1">
        <f t="shared" si="28"/>
        <v>136.81239812999999</v>
      </c>
      <c r="CV14" s="1">
        <f t="shared" si="28"/>
        <v>134.16752365000002</v>
      </c>
      <c r="CW14" s="1">
        <f t="shared" si="28"/>
        <v>114.82793965999997</v>
      </c>
      <c r="CX14" s="1">
        <f t="shared" si="28"/>
        <v>120.47507141999999</v>
      </c>
      <c r="CY14" s="1">
        <f t="shared" si="29"/>
        <v>118.84770241</v>
      </c>
      <c r="CZ14" s="1">
        <f t="shared" si="29"/>
        <v>100.85116919999999</v>
      </c>
      <c r="DA14" s="1">
        <f t="shared" si="29"/>
        <v>116.29617616</v>
      </c>
      <c r="DB14" s="1">
        <f t="shared" si="29"/>
        <v>115.47027065</v>
      </c>
      <c r="DC14" s="1">
        <f t="shared" si="29"/>
        <v>138.26089648999999</v>
      </c>
      <c r="DD14" s="1">
        <f t="shared" si="29"/>
        <v>163.45053632000003</v>
      </c>
      <c r="DE14" s="1">
        <f t="shared" si="29"/>
        <v>135.61809928</v>
      </c>
      <c r="DF14" s="1">
        <f t="shared" si="29"/>
        <v>152.11245593000001</v>
      </c>
      <c r="DH14" s="1">
        <f t="shared" si="30"/>
        <v>2.6289957100000003</v>
      </c>
      <c r="DI14" s="1">
        <f t="shared" si="30"/>
        <v>0.92402921999999987</v>
      </c>
      <c r="DJ14" s="1">
        <f t="shared" si="30"/>
        <v>1.0080099199999999</v>
      </c>
      <c r="DK14" s="1">
        <f t="shared" si="30"/>
        <v>0.81005326000000022</v>
      </c>
      <c r="DL14" s="1">
        <f t="shared" si="30"/>
        <v>2.5429137699999997</v>
      </c>
      <c r="DM14" s="1">
        <f t="shared" si="30"/>
        <v>0.83472519000000012</v>
      </c>
      <c r="DN14" s="1">
        <f t="shared" si="30"/>
        <v>1.6658761100000001</v>
      </c>
      <c r="DO14" s="1">
        <f t="shared" si="30"/>
        <v>1.6724867599999997</v>
      </c>
      <c r="DP14" s="1">
        <f t="shared" si="30"/>
        <v>1.92660527</v>
      </c>
      <c r="DQ14" s="1">
        <f t="shared" si="30"/>
        <v>0.38991597</v>
      </c>
      <c r="DR14" s="1">
        <f t="shared" si="30"/>
        <v>3.0425877200000002</v>
      </c>
      <c r="DS14" s="1">
        <f t="shared" si="30"/>
        <v>1.8227840799999999</v>
      </c>
      <c r="DT14" s="1">
        <f t="shared" si="30"/>
        <v>2.1288867499999999</v>
      </c>
      <c r="DU14" s="1">
        <f t="shared" si="30"/>
        <v>2.0947676</v>
      </c>
      <c r="DV14" s="1">
        <f t="shared" si="30"/>
        <v>1.2699740900000001</v>
      </c>
      <c r="DW14" s="1">
        <f t="shared" si="30"/>
        <v>1.3202370399999999</v>
      </c>
      <c r="DX14" s="1">
        <f t="shared" si="31"/>
        <v>2.29115132</v>
      </c>
      <c r="DY14" s="1">
        <f t="shared" si="31"/>
        <v>1.8108909100000001</v>
      </c>
      <c r="DZ14" s="1">
        <f t="shared" si="31"/>
        <v>3.0093188999999998</v>
      </c>
      <c r="EA14" s="1">
        <f t="shared" si="31"/>
        <v>2.2926081099999998</v>
      </c>
      <c r="EB14" s="1">
        <f t="shared" si="31"/>
        <v>3.2446467999999999</v>
      </c>
      <c r="EC14" s="1">
        <f t="shared" si="31"/>
        <v>2.3068511200000001</v>
      </c>
      <c r="ED14" s="1">
        <f t="shared" si="31"/>
        <v>2.4321035299999991</v>
      </c>
      <c r="EE14" s="1">
        <f t="shared" si="31"/>
        <v>0</v>
      </c>
      <c r="EG14" s="14">
        <f t="shared" si="32"/>
        <v>168.7</v>
      </c>
      <c r="EH14" s="14">
        <f t="shared" si="32"/>
        <v>160.6</v>
      </c>
      <c r="EI14" s="1">
        <f t="shared" si="32"/>
        <v>160.6</v>
      </c>
      <c r="EJ14" s="1">
        <f t="shared" si="32"/>
        <v>160.6</v>
      </c>
      <c r="EK14" s="1">
        <f t="shared" si="32"/>
        <v>160.6</v>
      </c>
      <c r="EL14" s="1">
        <f t="shared" si="32"/>
        <v>156.30000000000001</v>
      </c>
      <c r="EM14" s="1">
        <f t="shared" si="32"/>
        <v>155.80000000000001</v>
      </c>
      <c r="EN14" s="1">
        <f t="shared" si="32"/>
        <v>159.5</v>
      </c>
      <c r="EO14" s="1">
        <f t="shared" si="32"/>
        <v>170.8</v>
      </c>
      <c r="EP14" s="1">
        <f t="shared" si="32"/>
        <v>170.8</v>
      </c>
      <c r="EQ14" s="1">
        <f t="shared" si="32"/>
        <v>187.7</v>
      </c>
      <c r="ER14" s="1">
        <f t="shared" si="32"/>
        <v>196.8</v>
      </c>
      <c r="ES14" s="1">
        <f t="shared" si="32"/>
        <v>196.8</v>
      </c>
      <c r="ET14" s="1">
        <f t="shared" si="32"/>
        <v>188.6</v>
      </c>
      <c r="EU14" s="1">
        <f t="shared" si="32"/>
        <v>188.6</v>
      </c>
      <c r="EV14" s="1">
        <f t="shared" si="32"/>
        <v>188.6</v>
      </c>
      <c r="EW14" s="1">
        <f t="shared" si="33"/>
        <v>188.6</v>
      </c>
      <c r="EX14" s="1">
        <f t="shared" si="33"/>
        <v>188.6</v>
      </c>
      <c r="EY14" s="1">
        <f t="shared" si="33"/>
        <v>188.6</v>
      </c>
      <c r="EZ14" s="1">
        <f t="shared" si="33"/>
        <v>188.6</v>
      </c>
      <c r="FA14" s="1">
        <f t="shared" si="33"/>
        <v>188.6</v>
      </c>
      <c r="FB14" s="1">
        <f t="shared" si="33"/>
        <v>188.6</v>
      </c>
      <c r="FC14" s="1">
        <f t="shared" si="33"/>
        <v>188.6</v>
      </c>
      <c r="FD14" s="1">
        <f t="shared" si="33"/>
        <v>188.6</v>
      </c>
      <c r="FF14" s="162">
        <f t="shared" si="34"/>
        <v>0.28598209376872852</v>
      </c>
    </row>
    <row r="15" spans="1:162" ht="18.75" customHeight="1">
      <c r="A15" s="244" t="s">
        <v>68</v>
      </c>
      <c r="B15" s="247"/>
      <c r="C15" s="228">
        <v>0</v>
      </c>
      <c r="D15" s="229">
        <v>-1</v>
      </c>
      <c r="E15" s="253">
        <f t="shared" si="6"/>
        <v>2.3219814241484116E-3</v>
      </c>
      <c r="F15" s="254">
        <f t="shared" si="7"/>
        <v>-2.1932872281074323E-2</v>
      </c>
      <c r="G15" s="253">
        <f t="shared" si="8"/>
        <v>3.083723217796841E-2</v>
      </c>
      <c r="H15" s="254">
        <f t="shared" si="9"/>
        <v>-2.8515250753819998E-2</v>
      </c>
      <c r="I15" s="253">
        <f t="shared" si="10"/>
        <v>8.377270064440534E-2</v>
      </c>
      <c r="J15" s="254">
        <f t="shared" si="11"/>
        <v>-1.5764662684581299</v>
      </c>
      <c r="K15" s="253">
        <f t="shared" si="12"/>
        <v>1.1987356485355281</v>
      </c>
      <c r="L15" s="254">
        <f t="shared" si="13"/>
        <v>-1.1149629478911227</v>
      </c>
      <c r="M15" s="255"/>
      <c r="N15" s="256">
        <v>0</v>
      </c>
      <c r="O15" s="253">
        <f t="shared" si="35"/>
        <v>-8.022582082899965E-3</v>
      </c>
      <c r="P15" s="257">
        <f t="shared" si="36"/>
        <v>-8.022582082899965E-3</v>
      </c>
      <c r="Q15" s="253">
        <f t="shared" si="14"/>
        <v>-3.262739139568871E-3</v>
      </c>
      <c r="R15" s="257">
        <f t="shared" si="37"/>
        <v>-3.262739139568871E-3</v>
      </c>
      <c r="S15" s="255"/>
      <c r="T15" s="256">
        <v>-1</v>
      </c>
      <c r="U15" s="253" t="str">
        <f t="shared" si="15"/>
        <v/>
      </c>
      <c r="V15" s="258" t="str">
        <f t="shared" si="16"/>
        <v/>
      </c>
      <c r="W15" s="253">
        <f t="shared" si="38"/>
        <v>-0.80701307767560659</v>
      </c>
      <c r="X15" s="258">
        <f t="shared" si="17"/>
        <v>-0.80701307767560659</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
        <f>VLOOKUP($A15,historia!$A$5:$CM$24,+HLOOKUP(AO$2,historia!$A$3:$EC$4,2,FALSE),FALSE)</f>
        <v>4</v>
      </c>
      <c r="AP15" s="28">
        <f>VLOOKUP($A15,historia!$A$5:$CM$24,+HLOOKUP(AP$2,historia!$A$3:$EC$4,2,FALSE),FALSE)</f>
        <v>4</v>
      </c>
      <c r="AQ15" s="28">
        <f>VLOOKUP($A15,historia!$A$5:$CM$24,+HLOOKUP(AQ$2,historia!$A$3:$EC$4,2,FALSE),FALSE)</f>
        <v>3</v>
      </c>
      <c r="AR15" s="28">
        <f>VLOOKUP($A15,historia!$A$5:$CM$24,+HLOOKUP(AR$2,historia!$A$3:$EC$4,2,FALSE),FALSE)</f>
        <v>3</v>
      </c>
      <c r="AS15" s="58">
        <f>VLOOKUP($A15,historia!$A$5:$CM$24,+HLOOKUP(AS$2,historia!$A$3:$EC$4,2,FALSE),FALSE)</f>
        <v>3</v>
      </c>
      <c r="AT15" s="58">
        <f>VLOOKUP($A15,historia!$A$5:$CM$24,+HLOOKUP(AT$2,historia!$A$3:$EC$4,2,FALSE),FALSE)</f>
        <v>4</v>
      </c>
      <c r="AU15" s="58">
        <f>VLOOKUP($A15,historia!$A$5:$CM$24,+HLOOKUP(AU$2,historia!$A$3:$EC$4,2,FALSE),FALSE)</f>
        <v>4</v>
      </c>
      <c r="AV15" s="58">
        <f>VLOOKUP($A15,historia!$A$5:$CM$24,+HLOOKUP(AV$2,historia!$A$3:$EC$4,2,FALSE),FALSE)</f>
        <v>5</v>
      </c>
      <c r="AW15" s="58">
        <v>4</v>
      </c>
      <c r="AX15" s="58">
        <v>3</v>
      </c>
      <c r="AY15" s="58">
        <v>4</v>
      </c>
      <c r="AZ15" s="58">
        <v>4</v>
      </c>
      <c r="BA15" s="30"/>
      <c r="BB15" s="141">
        <v>5</v>
      </c>
      <c r="BC15" t="str">
        <f t="shared" si="20"/>
        <v>Mandioca</v>
      </c>
      <c r="BD15">
        <f>+datos!AW1</f>
        <v>49</v>
      </c>
      <c r="BE15" s="2" t="str">
        <f t="shared" si="4"/>
        <v>$/bolsa40kg</v>
      </c>
      <c r="BF15" s="2">
        <f t="shared" si="4"/>
        <v>9250</v>
      </c>
      <c r="BG15" s="2">
        <f t="shared" si="4"/>
        <v>9228.5714285714294</v>
      </c>
      <c r="BH15" s="2">
        <f t="shared" si="4"/>
        <v>8535</v>
      </c>
      <c r="BJ15">
        <f>+datos!CJ1</f>
        <v>88</v>
      </c>
      <c r="BK15" s="2">
        <f t="shared" si="21"/>
        <v>8245.3727516938416</v>
      </c>
      <c r="BL15" s="2">
        <f t="shared" si="21"/>
        <v>7998.7145344691271</v>
      </c>
      <c r="BM15" s="2">
        <f t="shared" si="21"/>
        <v>3750.0518796726142</v>
      </c>
      <c r="BO15" s="1">
        <f>+datos!EY1</f>
        <v>155</v>
      </c>
      <c r="BP15" s="1">
        <f t="shared" si="22"/>
        <v>20031</v>
      </c>
      <c r="BQ15" s="1">
        <f t="shared" si="22"/>
        <v>20193</v>
      </c>
      <c r="BS15" s="1">
        <f>+datos!GO1</f>
        <v>197</v>
      </c>
      <c r="BT15" s="1">
        <f t="shared" si="23"/>
        <v>201734</v>
      </c>
      <c r="BU15" s="1">
        <f t="shared" si="23"/>
        <v>202394.36</v>
      </c>
      <c r="BW15" s="1">
        <f>+datos!JP1</f>
        <v>276</v>
      </c>
      <c r="BX15" s="1">
        <f t="shared" si="39"/>
        <v>0</v>
      </c>
      <c r="BY15" s="1">
        <f t="shared" si="40"/>
        <v>0</v>
      </c>
      <c r="CA15" s="1">
        <f>+datos!KU1</f>
        <v>307</v>
      </c>
      <c r="CB15" s="2">
        <f t="shared" si="24"/>
        <v>1.7437714400000002</v>
      </c>
      <c r="CC15" s="2">
        <f t="shared" si="25"/>
        <v>9.0356974399999999</v>
      </c>
      <c r="CE15" s="1">
        <f>+datos!IY1</f>
        <v>259</v>
      </c>
      <c r="CF15" s="1">
        <f t="shared" si="26"/>
        <v>1.88</v>
      </c>
      <c r="CG15" s="1">
        <f t="shared" si="27"/>
        <v>1.88</v>
      </c>
      <c r="CI15" s="1">
        <f t="shared" si="28"/>
        <v>0</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9"/>
        <v>0</v>
      </c>
      <c r="CZ15" s="1">
        <f t="shared" si="29"/>
        <v>0</v>
      </c>
      <c r="DA15" s="1">
        <f t="shared" si="29"/>
        <v>0</v>
      </c>
      <c r="DB15" s="1">
        <f t="shared" si="29"/>
        <v>0</v>
      </c>
      <c r="DC15" s="1">
        <f t="shared" si="29"/>
        <v>0</v>
      </c>
      <c r="DD15" s="1">
        <f t="shared" si="29"/>
        <v>0</v>
      </c>
      <c r="DE15" s="1">
        <f t="shared" si="29"/>
        <v>0</v>
      </c>
      <c r="DF15" s="1">
        <f t="shared" si="29"/>
        <v>0</v>
      </c>
      <c r="DH15" s="14">
        <f t="shared" si="30"/>
        <v>0.28059129999999999</v>
      </c>
      <c r="DI15" s="14">
        <f t="shared" si="30"/>
        <v>0.15169276000000001</v>
      </c>
      <c r="DJ15" s="1">
        <f t="shared" si="30"/>
        <v>0.14711371000000001</v>
      </c>
      <c r="DK15" s="1">
        <f t="shared" si="30"/>
        <v>0.18175015000000003</v>
      </c>
      <c r="DL15" s="1">
        <f t="shared" si="30"/>
        <v>0.15569543999999999</v>
      </c>
      <c r="DM15" s="1">
        <f t="shared" si="30"/>
        <v>0.1712014</v>
      </c>
      <c r="DN15" s="1">
        <f t="shared" si="30"/>
        <v>0.12198517</v>
      </c>
      <c r="DO15" s="1">
        <f t="shared" si="30"/>
        <v>1.6812999999999999E-3</v>
      </c>
      <c r="DP15" s="1">
        <f t="shared" si="30"/>
        <v>2.8195380000000003E-2</v>
      </c>
      <c r="DQ15" s="1">
        <f t="shared" si="30"/>
        <v>4.9277770000000005E-2</v>
      </c>
      <c r="DR15" s="1">
        <f t="shared" si="30"/>
        <v>0.21358802999999996</v>
      </c>
      <c r="DS15" s="1">
        <f t="shared" si="30"/>
        <v>0.24099903000000003</v>
      </c>
      <c r="DT15" s="1">
        <f t="shared" si="30"/>
        <v>0.39667624000000001</v>
      </c>
      <c r="DU15" s="1">
        <f t="shared" si="30"/>
        <v>0.47948613000000001</v>
      </c>
      <c r="DV15" s="1">
        <f t="shared" si="30"/>
        <v>0.13955175</v>
      </c>
      <c r="DW15" s="1">
        <f t="shared" si="30"/>
        <v>0.88368341000000006</v>
      </c>
      <c r="DX15" s="1">
        <f t="shared" si="31"/>
        <v>0.91695114999999994</v>
      </c>
      <c r="DY15" s="1">
        <f t="shared" si="31"/>
        <v>1.1944894100000001</v>
      </c>
      <c r="DZ15" s="1">
        <f t="shared" si="31"/>
        <v>1.11559404</v>
      </c>
      <c r="EA15" s="1">
        <f t="shared" si="31"/>
        <v>1.36422954</v>
      </c>
      <c r="EB15" s="1">
        <f t="shared" si="31"/>
        <v>1.7463627799999999</v>
      </c>
      <c r="EC15" s="1">
        <f t="shared" si="31"/>
        <v>0.68698649000000001</v>
      </c>
      <c r="ED15" s="1">
        <f t="shared" si="31"/>
        <v>0.11168649999999999</v>
      </c>
      <c r="EE15" s="1">
        <f t="shared" si="31"/>
        <v>0</v>
      </c>
      <c r="EG15" s="14">
        <f t="shared" si="32"/>
        <v>1.88</v>
      </c>
      <c r="EH15" s="14">
        <f t="shared" si="32"/>
        <v>1.88</v>
      </c>
      <c r="EI15" s="1">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3"/>
        <v>1.88</v>
      </c>
      <c r="EX15" s="1">
        <f t="shared" si="33"/>
        <v>1.88</v>
      </c>
      <c r="EY15" s="1">
        <f t="shared" si="33"/>
        <v>1.88</v>
      </c>
      <c r="EZ15" s="1">
        <f t="shared" si="33"/>
        <v>1.88</v>
      </c>
      <c r="FA15" s="1">
        <f t="shared" si="33"/>
        <v>1.88</v>
      </c>
      <c r="FB15" s="1">
        <f t="shared" si="33"/>
        <v>1.88</v>
      </c>
      <c r="FC15" s="1">
        <f t="shared" si="33"/>
        <v>1.88</v>
      </c>
      <c r="FD15" s="1">
        <f t="shared" si="33"/>
        <v>1.88</v>
      </c>
      <c r="FF15" s="162">
        <f t="shared" si="34"/>
        <v>-1.1149629478911227</v>
      </c>
    </row>
    <row r="16" spans="1:162" ht="18.75" customHeight="1">
      <c r="A16" s="243" t="s">
        <v>25</v>
      </c>
      <c r="B16" s="246"/>
      <c r="C16" s="156">
        <f t="shared" si="5"/>
        <v>-0.66</v>
      </c>
      <c r="D16" s="198">
        <v>-1</v>
      </c>
      <c r="E16" s="248">
        <f t="shared" si="6"/>
        <v>1.1636479184350623E-2</v>
      </c>
      <c r="F16" s="249">
        <f t="shared" si="7"/>
        <v>-1.2618374520872111E-2</v>
      </c>
      <c r="G16" s="248">
        <f t="shared" si="8"/>
        <v>7.949691214622634E-3</v>
      </c>
      <c r="H16" s="249">
        <f t="shared" si="9"/>
        <v>3.6867879697279893E-3</v>
      </c>
      <c r="I16" s="248">
        <f t="shared" si="10"/>
        <v>1.6356000999125766</v>
      </c>
      <c r="J16" s="249">
        <f t="shared" si="11"/>
        <v>-2.4638869189958612E-2</v>
      </c>
      <c r="K16" s="248">
        <f t="shared" si="12"/>
        <v>1.4323785212417182</v>
      </c>
      <c r="L16" s="249">
        <f t="shared" si="13"/>
        <v>0.20322157867085844</v>
      </c>
      <c r="M16" s="250"/>
      <c r="N16" s="24">
        <v>1</v>
      </c>
      <c r="O16" s="248">
        <f t="shared" si="35"/>
        <v>0.25148262863454107</v>
      </c>
      <c r="P16" s="251">
        <f t="shared" si="36"/>
        <v>0.25148262863454107</v>
      </c>
      <c r="Q16" s="248">
        <f t="shared" si="14"/>
        <v>0.70637774795677699</v>
      </c>
      <c r="R16" s="251">
        <f t="shared" si="37"/>
        <v>0.70637774795677699</v>
      </c>
      <c r="S16" s="250"/>
      <c r="T16" s="24">
        <v>-2</v>
      </c>
      <c r="U16" s="248">
        <f t="shared" si="15"/>
        <v>4.4430417854084192E-2</v>
      </c>
      <c r="V16" s="252">
        <f t="shared" si="16"/>
        <v>4.4430417854084192E-2</v>
      </c>
      <c r="W16" s="248"/>
      <c r="X16" s="252"/>
      <c r="Y16" s="248">
        <f t="shared" si="18"/>
        <v>8.4415584415584499E-2</v>
      </c>
      <c r="Z16" s="252">
        <f t="shared" si="19"/>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
        <f>VLOOKUP($A16,historia!$A$5:$CM$24,+HLOOKUP(AO$2,historia!$A$3:$EC$4,2,FALSE),FALSE)</f>
        <v>2</v>
      </c>
      <c r="AP16" s="28">
        <f>VLOOKUP($A16,historia!$A$5:$CM$24,+HLOOKUP(AP$2,historia!$A$3:$EC$4,2,FALSE),FALSE)</f>
        <v>2</v>
      </c>
      <c r="AQ16" s="28">
        <f>VLOOKUP($A16,historia!$A$5:$CM$24,+HLOOKUP(AQ$2,historia!$A$3:$EC$4,2,FALSE),FALSE)</f>
        <v>2</v>
      </c>
      <c r="AR16" s="28">
        <f>VLOOKUP($A16,historia!$A$5:$CM$24,+HLOOKUP(AR$2,historia!$A$3:$EC$4,2,FALSE),FALSE)</f>
        <v>2</v>
      </c>
      <c r="AS16" s="58">
        <f>VLOOKUP($A16,historia!$A$5:$CM$24,+HLOOKUP(AS$2,historia!$A$3:$EC$4,2,FALSE),FALSE)</f>
        <v>2</v>
      </c>
      <c r="AT16" s="58">
        <f>VLOOKUP($A16,historia!$A$5:$CM$24,+HLOOKUP(AT$2,historia!$A$3:$EC$4,2,FALSE),FALSE)</f>
        <v>3</v>
      </c>
      <c r="AU16" s="58">
        <f>VLOOKUP($A16,historia!$A$5:$CM$24,+HLOOKUP(AU$2,historia!$A$3:$EC$4,2,FALSE),FALSE)</f>
        <v>3</v>
      </c>
      <c r="AV16" s="58">
        <f>VLOOKUP($A16,historia!$A$5:$CM$24,+HLOOKUP(AV$2,historia!$A$3:$EC$4,2,FALSE),FALSE)</f>
        <v>4</v>
      </c>
      <c r="AW16" s="58">
        <v>4</v>
      </c>
      <c r="AX16" s="58">
        <v>4</v>
      </c>
      <c r="AY16" s="58">
        <v>3</v>
      </c>
      <c r="AZ16" s="58">
        <v>3</v>
      </c>
      <c r="BA16" s="30"/>
      <c r="BB16" s="141">
        <v>4</v>
      </c>
      <c r="BC16" t="str">
        <f t="shared" si="20"/>
        <v>Maní</v>
      </c>
      <c r="BD16">
        <f>+datos!AF1</f>
        <v>32</v>
      </c>
      <c r="BE16" s="2" t="str">
        <f t="shared" si="4"/>
        <v>$/t</v>
      </c>
      <c r="BF16" s="2">
        <f t="shared" si="4"/>
        <v>886336.5</v>
      </c>
      <c r="BG16" s="2">
        <f t="shared" si="4"/>
        <v>876141.3</v>
      </c>
      <c r="BH16" s="2">
        <f t="shared" si="4"/>
        <v>336294</v>
      </c>
      <c r="BJ16">
        <f>+datos!CH1</f>
        <v>86</v>
      </c>
      <c r="BK16" s="2">
        <f t="shared" si="21"/>
        <v>10678.578185153177</v>
      </c>
      <c r="BL16" s="2">
        <f t="shared" si="21"/>
        <v>10594.356323761589</v>
      </c>
      <c r="BM16" s="2">
        <f t="shared" si="21"/>
        <v>4390.1794444812858</v>
      </c>
      <c r="BO16" s="1">
        <f>+datos!EB1</f>
        <v>132</v>
      </c>
      <c r="BP16" s="1">
        <f t="shared" si="22"/>
        <v>521230</v>
      </c>
      <c r="BQ16" s="1">
        <f t="shared" si="22"/>
        <v>416490</v>
      </c>
      <c r="BS16" s="1">
        <f>+datos!FW1</f>
        <v>179</v>
      </c>
      <c r="BT16" s="1">
        <f t="shared" si="23"/>
        <v>1604722</v>
      </c>
      <c r="BU16" s="1">
        <f t="shared" si="23"/>
        <v>940426</v>
      </c>
      <c r="BW16" s="1">
        <f>+datos!JK1</f>
        <v>271</v>
      </c>
      <c r="BX16" s="1">
        <f t="shared" si="39"/>
        <v>1323.7637503799997</v>
      </c>
      <c r="BY16" s="1">
        <f t="shared" si="40"/>
        <v>1267.4503995200002</v>
      </c>
      <c r="CA16" s="1">
        <f>+datos!KP1</f>
        <v>302</v>
      </c>
      <c r="CB16" s="2">
        <f t="shared" si="24"/>
        <v>2.4122007199999995</v>
      </c>
      <c r="CC16" s="2">
        <f t="shared" si="25"/>
        <v>1.08964412</v>
      </c>
      <c r="CE16" s="1">
        <f>+datos!IJ1</f>
        <v>244</v>
      </c>
      <c r="CF16" s="1">
        <f t="shared" si="26"/>
        <v>2.1563835150032644</v>
      </c>
      <c r="CG16" s="1">
        <f t="shared" si="27"/>
        <v>1.9885213252125911</v>
      </c>
      <c r="CI16" s="1">
        <f t="shared" si="28"/>
        <v>153.43391492999999</v>
      </c>
      <c r="CJ16" s="1">
        <f t="shared" si="28"/>
        <v>142.09253510999997</v>
      </c>
      <c r="CK16" s="1">
        <f t="shared" si="28"/>
        <v>155.33708399000002</v>
      </c>
      <c r="CL16" s="1">
        <f t="shared" si="28"/>
        <v>156.99934678</v>
      </c>
      <c r="CM16" s="1">
        <f t="shared" si="28"/>
        <v>115.53726275000001</v>
      </c>
      <c r="CN16" s="1">
        <f t="shared" si="28"/>
        <v>98.487414479999984</v>
      </c>
      <c r="CO16" s="1">
        <f t="shared" si="28"/>
        <v>63.473924160000003</v>
      </c>
      <c r="CP16" s="1">
        <f t="shared" si="28"/>
        <v>65.127016839999982</v>
      </c>
      <c r="CQ16" s="1">
        <f t="shared" si="28"/>
        <v>70.784594500000011</v>
      </c>
      <c r="CR16" s="1">
        <f t="shared" si="28"/>
        <v>111.62267066999999</v>
      </c>
      <c r="CS16" s="1">
        <f t="shared" si="28"/>
        <v>100.80321882999999</v>
      </c>
      <c r="CT16" s="1">
        <f t="shared" si="28"/>
        <v>90.064767340000003</v>
      </c>
      <c r="CU16" s="1">
        <f t="shared" si="28"/>
        <v>96.183340330000021</v>
      </c>
      <c r="CV16" s="1">
        <f t="shared" si="28"/>
        <v>89.024842150000026</v>
      </c>
      <c r="CW16" s="1">
        <f t="shared" si="28"/>
        <v>102.74257099999998</v>
      </c>
      <c r="CX16" s="1">
        <f t="shared" si="28"/>
        <v>102.43695814</v>
      </c>
      <c r="CY16" s="1">
        <f t="shared" si="29"/>
        <v>100.03941109999997</v>
      </c>
      <c r="CZ16" s="1">
        <f t="shared" si="29"/>
        <v>89.79279253</v>
      </c>
      <c r="DA16" s="1">
        <f t="shared" si="29"/>
        <v>102.39153366000001</v>
      </c>
      <c r="DB16" s="1">
        <f t="shared" si="29"/>
        <v>98.470728969999996</v>
      </c>
      <c r="DC16" s="1">
        <f t="shared" si="29"/>
        <v>134.53858048999999</v>
      </c>
      <c r="DD16" s="1">
        <f t="shared" si="29"/>
        <v>116.52197384999999</v>
      </c>
      <c r="DE16" s="1">
        <f t="shared" si="29"/>
        <v>130.05927615000002</v>
      </c>
      <c r="DF16" s="1">
        <f t="shared" si="29"/>
        <v>105.24839114999997</v>
      </c>
      <c r="DH16" s="1">
        <f t="shared" si="30"/>
        <v>2.6527899999999999E-3</v>
      </c>
      <c r="DI16" s="1">
        <f t="shared" si="30"/>
        <v>1.6271E-3</v>
      </c>
      <c r="DJ16" s="1">
        <f t="shared" si="30"/>
        <v>0.13444175</v>
      </c>
      <c r="DK16" s="1">
        <f t="shared" si="30"/>
        <v>4.2737620000000004E-2</v>
      </c>
      <c r="DL16" s="1">
        <f t="shared" si="30"/>
        <v>8.6628999999999998E-2</v>
      </c>
      <c r="DM16" s="1">
        <f t="shared" si="30"/>
        <v>8.4906640000000005E-2</v>
      </c>
      <c r="DN16" s="1">
        <f t="shared" si="30"/>
        <v>8.714181E-2</v>
      </c>
      <c r="DO16" s="1">
        <f t="shared" si="30"/>
        <v>0.111375</v>
      </c>
      <c r="DP16" s="1">
        <f t="shared" si="30"/>
        <v>0.12514284000000001</v>
      </c>
      <c r="DQ16" s="1">
        <f t="shared" si="30"/>
        <v>0.69674917999999986</v>
      </c>
      <c r="DR16" s="1">
        <f t="shared" si="30"/>
        <v>0.79684906</v>
      </c>
      <c r="DS16" s="1">
        <f t="shared" si="30"/>
        <v>0.24194792999999998</v>
      </c>
      <c r="DT16" s="1">
        <f t="shared" si="30"/>
        <v>0.11713932000000001</v>
      </c>
      <c r="DU16" s="1">
        <f t="shared" si="30"/>
        <v>0.45286999999999999</v>
      </c>
      <c r="DV16" s="1">
        <f t="shared" si="30"/>
        <v>5.563009E-2</v>
      </c>
      <c r="DW16" s="1">
        <f t="shared" si="30"/>
        <v>2.7416000000000002E-4</v>
      </c>
      <c r="DX16" s="1">
        <f t="shared" si="31"/>
        <v>0.12031510000000001</v>
      </c>
      <c r="DY16" s="1">
        <f t="shared" si="31"/>
        <v>0.13456720999999999</v>
      </c>
      <c r="DZ16" s="1">
        <f t="shared" si="31"/>
        <v>6.1200000000000002E-4</v>
      </c>
      <c r="EA16" s="1">
        <f t="shared" si="31"/>
        <v>0</v>
      </c>
      <c r="EB16" s="1">
        <f t="shared" si="31"/>
        <v>5.2170000000000003E-3</v>
      </c>
      <c r="EC16" s="1">
        <f t="shared" si="31"/>
        <v>0.10975939999999999</v>
      </c>
      <c r="ED16" s="1">
        <f t="shared" si="31"/>
        <v>9.1243839999999993E-2</v>
      </c>
      <c r="EE16" s="1">
        <f t="shared" si="31"/>
        <v>2.016E-3</v>
      </c>
      <c r="EG16" s="14">
        <f t="shared" si="32"/>
        <v>2.1563835150032644</v>
      </c>
      <c r="EH16" s="14">
        <f t="shared" si="32"/>
        <v>2.1563835150032644</v>
      </c>
      <c r="EI16" s="1">
        <f t="shared" si="32"/>
        <v>2.1563835150032644</v>
      </c>
      <c r="EJ16" s="1">
        <f t="shared" si="32"/>
        <v>2.1563835150032644</v>
      </c>
      <c r="EK16" s="1">
        <f t="shared" si="32"/>
        <v>2.1563835150032644</v>
      </c>
      <c r="EL16" s="1">
        <f t="shared" si="32"/>
        <v>2.1563835150032644</v>
      </c>
      <c r="EM16" s="1">
        <f t="shared" si="32"/>
        <v>2.1563835150032644</v>
      </c>
      <c r="EN16" s="1">
        <f t="shared" si="32"/>
        <v>2.1563835150032644</v>
      </c>
      <c r="EO16" s="1">
        <f t="shared" si="32"/>
        <v>1.9885213252125911</v>
      </c>
      <c r="EP16" s="1">
        <f t="shared" si="32"/>
        <v>1.9885213252125911</v>
      </c>
      <c r="EQ16" s="1">
        <f t="shared" si="32"/>
        <v>1.9885213252125911</v>
      </c>
      <c r="ER16" s="1">
        <f t="shared" si="32"/>
        <v>1.9885213252125911</v>
      </c>
      <c r="ES16" s="1">
        <f t="shared" si="32"/>
        <v>1.9885213252125911</v>
      </c>
      <c r="ET16" s="1">
        <f t="shared" si="32"/>
        <v>1.9885213252125911</v>
      </c>
      <c r="EU16" s="1">
        <f t="shared" si="32"/>
        <v>1.9885213252125911</v>
      </c>
      <c r="EV16" s="1">
        <f t="shared" si="32"/>
        <v>1.9885213252125911</v>
      </c>
      <c r="EW16" s="1">
        <f t="shared" si="33"/>
        <v>1.9885213252125911</v>
      </c>
      <c r="EX16" s="1">
        <f t="shared" si="33"/>
        <v>1.9885213252125911</v>
      </c>
      <c r="EY16" s="1">
        <f t="shared" si="33"/>
        <v>1.9885213252125911</v>
      </c>
      <c r="EZ16" s="1">
        <f t="shared" si="33"/>
        <v>1.9885213252125911</v>
      </c>
      <c r="FA16" s="1">
        <f t="shared" si="33"/>
        <v>1.9885213252125911</v>
      </c>
      <c r="FB16" s="1">
        <f t="shared" si="33"/>
        <v>1.9040737312717446</v>
      </c>
      <c r="FC16" s="1">
        <f t="shared" si="33"/>
        <v>1.9040737312717446</v>
      </c>
      <c r="FD16" s="1">
        <f t="shared" si="33"/>
        <v>1.9040737312717446</v>
      </c>
      <c r="FF16" s="162">
        <f t="shared" si="34"/>
        <v>0.20322157867085844</v>
      </c>
    </row>
    <row r="17" spans="1:162" ht="18.75" customHeight="1">
      <c r="A17" s="244" t="s">
        <v>76</v>
      </c>
      <c r="B17" s="247"/>
      <c r="C17" s="228">
        <f t="shared" si="5"/>
        <v>-0.99</v>
      </c>
      <c r="D17" s="229">
        <v>-1</v>
      </c>
      <c r="E17" s="253">
        <f t="shared" si="6"/>
        <v>3.4362259755387203E-2</v>
      </c>
      <c r="F17" s="254">
        <f t="shared" si="7"/>
        <v>1.0107406050164469E-2</v>
      </c>
      <c r="G17" s="253">
        <f t="shared" si="8"/>
        <v>3.2231283706852132E-2</v>
      </c>
      <c r="H17" s="254">
        <f t="shared" si="9"/>
        <v>2.1309760485350715E-3</v>
      </c>
      <c r="I17" s="253">
        <f t="shared" si="10"/>
        <v>1.4839160839160841</v>
      </c>
      <c r="J17" s="254">
        <f t="shared" si="11"/>
        <v>-0.17632288518645112</v>
      </c>
      <c r="K17" s="253">
        <f t="shared" si="12"/>
        <v>1.4281341357166446</v>
      </c>
      <c r="L17" s="254">
        <f t="shared" si="13"/>
        <v>5.5781948199439491E-2</v>
      </c>
      <c r="M17" s="255"/>
      <c r="N17" s="256">
        <v>-1</v>
      </c>
      <c r="O17" s="253">
        <f>IFERROR(+BP17/BQ17-1,"")</f>
        <v>0</v>
      </c>
      <c r="P17" s="257">
        <f t="shared" si="36"/>
        <v>0</v>
      </c>
      <c r="Q17" s="253">
        <f t="shared" si="14"/>
        <v>-5.5834866135295314E-2</v>
      </c>
      <c r="R17" s="257">
        <f t="shared" si="37"/>
        <v>-5.5834866135295314E-2</v>
      </c>
      <c r="S17" s="255"/>
      <c r="T17" s="256">
        <v>-1</v>
      </c>
      <c r="U17" s="253">
        <f t="shared" si="15"/>
        <v>1.6800751633643918E-2</v>
      </c>
      <c r="V17" s="258">
        <f t="shared" si="16"/>
        <v>1.6800751633643918E-2</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
        <f>VLOOKUP($A17,historia!$A$5:$CM$24,+HLOOKUP(AO$2,historia!$A$3:$EC$4,2,FALSE),FALSE)</f>
        <v>5</v>
      </c>
      <c r="AP17" s="28">
        <f>VLOOKUP($A17,historia!$A$5:$CM$24,+HLOOKUP(AP$2,historia!$A$3:$EC$4,2,FALSE),FALSE)</f>
        <v>5</v>
      </c>
      <c r="AQ17" s="28">
        <f>VLOOKUP($A17,historia!$A$5:$CM$24,+HLOOKUP(AQ$2,historia!$A$3:$EC$4,2,FALSE),FALSE)</f>
        <v>5</v>
      </c>
      <c r="AR17" s="28">
        <f>VLOOKUP($A17,historia!$A$5:$CM$24,+HLOOKUP(AR$2,historia!$A$3:$EC$4,2,FALSE),FALSE)</f>
        <v>5</v>
      </c>
      <c r="AS17" s="5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v>3</v>
      </c>
      <c r="AX17" s="58">
        <v>3</v>
      </c>
      <c r="AY17" s="58">
        <v>2</v>
      </c>
      <c r="AZ17" s="58">
        <v>3</v>
      </c>
      <c r="BA17" s="30"/>
      <c r="BB17" s="141">
        <v>5</v>
      </c>
      <c r="BC17" t="str">
        <f t="shared" si="20"/>
        <v>Miel</v>
      </c>
      <c r="BD17">
        <f>+datos!BV1</f>
        <v>74</v>
      </c>
      <c r="BE17" s="2" t="str">
        <f t="shared" si="4"/>
        <v>$/kg</v>
      </c>
      <c r="BF17" s="2">
        <f t="shared" si="4"/>
        <v>1776</v>
      </c>
      <c r="BG17" s="2">
        <f t="shared" si="4"/>
        <v>1717</v>
      </c>
      <c r="BH17" s="2">
        <f t="shared" si="4"/>
        <v>715</v>
      </c>
      <c r="BJ17">
        <f>+datos!DH1</f>
        <v>112</v>
      </c>
      <c r="BK17" s="2">
        <f t="shared" si="21"/>
        <v>8964.0515363248014</v>
      </c>
      <c r="BL17" s="2">
        <f t="shared" si="21"/>
        <v>8684.1502266177595</v>
      </c>
      <c r="BM17" s="2">
        <f t="shared" si="21"/>
        <v>3691.7447864465416</v>
      </c>
      <c r="BO17" s="1">
        <f>+datos!EQ1</f>
        <v>147</v>
      </c>
      <c r="BP17" s="1">
        <f t="shared" si="22"/>
        <v>3500000</v>
      </c>
      <c r="BQ17" s="1">
        <f t="shared" si="22"/>
        <v>3500000</v>
      </c>
      <c r="BS17" s="1">
        <f>+datos!GP1</f>
        <v>198</v>
      </c>
      <c r="BT17" s="1">
        <f t="shared" si="23"/>
        <v>69297</v>
      </c>
      <c r="BU17" s="1">
        <f t="shared" si="23"/>
        <v>73395</v>
      </c>
      <c r="BW17" s="1">
        <f>+datos!KE1</f>
        <v>291</v>
      </c>
      <c r="BX17" s="1">
        <f t="shared" si="39"/>
        <v>213.25295590000002</v>
      </c>
      <c r="BY17" s="1">
        <f t="shared" si="40"/>
        <v>209.72934526</v>
      </c>
      <c r="CA17" s="1">
        <f>+datos!LJ1</f>
        <v>322</v>
      </c>
      <c r="CB17" s="2">
        <f t="shared" si="24"/>
        <v>9.3545939999999994E-2</v>
      </c>
      <c r="CC17" s="2">
        <f>+SUM(DT17:EE17)</f>
        <v>7.038E-3</v>
      </c>
      <c r="CE17" s="1">
        <f>+datos!IZ1</f>
        <v>260</v>
      </c>
      <c r="CF17" s="1">
        <f t="shared" si="26"/>
        <v>0.3</v>
      </c>
      <c r="CG17" s="1">
        <f t="shared" si="27"/>
        <v>0.3</v>
      </c>
      <c r="CI17" s="1">
        <f t="shared" si="28"/>
        <v>14.349162859999998</v>
      </c>
      <c r="CJ17" s="1">
        <f t="shared" si="28"/>
        <v>24.378519029999993</v>
      </c>
      <c r="CK17" s="1">
        <f t="shared" si="28"/>
        <v>22.211636389999995</v>
      </c>
      <c r="CL17" s="1">
        <f t="shared" si="28"/>
        <v>18.934177090000006</v>
      </c>
      <c r="CM17" s="1">
        <f t="shared" si="28"/>
        <v>18.049853030000005</v>
      </c>
      <c r="CN17" s="1">
        <f t="shared" si="28"/>
        <v>20.702965450000001</v>
      </c>
      <c r="CO17" s="1">
        <f t="shared" si="28"/>
        <v>19.199801710000003</v>
      </c>
      <c r="CP17" s="1">
        <f t="shared" si="28"/>
        <v>16.174522229999997</v>
      </c>
      <c r="CQ17" s="1">
        <f t="shared" si="28"/>
        <v>22.082734950000003</v>
      </c>
      <c r="CR17" s="1">
        <f t="shared" si="28"/>
        <v>13.392344960000001</v>
      </c>
      <c r="CS17" s="1">
        <f t="shared" si="28"/>
        <v>10.971998660000001</v>
      </c>
      <c r="CT17" s="1">
        <f t="shared" si="28"/>
        <v>12.805239539999999</v>
      </c>
      <c r="CU17" s="1">
        <f t="shared" si="28"/>
        <v>13.943876809999997</v>
      </c>
      <c r="CV17" s="1">
        <f t="shared" si="28"/>
        <v>17.891480939999997</v>
      </c>
      <c r="CW17" s="1">
        <f t="shared" si="28"/>
        <v>16.805607889999997</v>
      </c>
      <c r="CX17" s="1">
        <f t="shared" si="28"/>
        <v>21.325973759999997</v>
      </c>
      <c r="CY17" s="1">
        <f t="shared" si="29"/>
        <v>17.230385739999999</v>
      </c>
      <c r="CZ17" s="1">
        <f t="shared" si="29"/>
        <v>14.837575590000002</v>
      </c>
      <c r="DA17" s="1">
        <f t="shared" si="29"/>
        <v>17.476901599999998</v>
      </c>
      <c r="DB17" s="1">
        <f t="shared" si="29"/>
        <v>23.512884059999998</v>
      </c>
      <c r="DC17" s="1">
        <f t="shared" si="29"/>
        <v>18.814354810000005</v>
      </c>
      <c r="DD17" s="1">
        <f t="shared" si="29"/>
        <v>15.47450873</v>
      </c>
      <c r="DE17" s="1">
        <f t="shared" si="29"/>
        <v>18.752158659999996</v>
      </c>
      <c r="DF17" s="1">
        <f t="shared" si="29"/>
        <v>13.663636670000002</v>
      </c>
      <c r="DH17" s="1">
        <f t="shared" si="30"/>
        <v>0</v>
      </c>
      <c r="DI17" s="1">
        <f t="shared" si="30"/>
        <v>0</v>
      </c>
      <c r="DJ17" s="1">
        <f t="shared" si="30"/>
        <v>4.0664E-4</v>
      </c>
      <c r="DK17" s="1">
        <f t="shared" si="30"/>
        <v>0</v>
      </c>
      <c r="DL17" s="1">
        <f t="shared" si="30"/>
        <v>0</v>
      </c>
      <c r="DM17" s="1">
        <f t="shared" si="30"/>
        <v>0</v>
      </c>
      <c r="DN17" s="1">
        <f t="shared" si="30"/>
        <v>0</v>
      </c>
      <c r="DO17" s="1">
        <f t="shared" si="30"/>
        <v>0</v>
      </c>
      <c r="DP17" s="1">
        <f t="shared" si="30"/>
        <v>5.2539300000000004E-2</v>
      </c>
      <c r="DQ17" s="1">
        <f t="shared" si="30"/>
        <v>0</v>
      </c>
      <c r="DR17" s="1">
        <f t="shared" si="30"/>
        <v>0</v>
      </c>
      <c r="DS17" s="1">
        <f t="shared" si="30"/>
        <v>4.0599999999999997E-2</v>
      </c>
      <c r="DT17" s="1">
        <f t="shared" si="30"/>
        <v>0</v>
      </c>
      <c r="DU17" s="1">
        <f t="shared" si="30"/>
        <v>0</v>
      </c>
      <c r="DV17" s="1">
        <f t="shared" si="30"/>
        <v>0</v>
      </c>
      <c r="DW17" s="1">
        <f t="shared" si="30"/>
        <v>0</v>
      </c>
      <c r="DX17" s="1">
        <f t="shared" si="31"/>
        <v>0</v>
      </c>
      <c r="DY17" s="1">
        <f t="shared" si="31"/>
        <v>0</v>
      </c>
      <c r="DZ17" s="1">
        <f t="shared" si="31"/>
        <v>7.038E-3</v>
      </c>
      <c r="EA17" s="1">
        <f t="shared" si="31"/>
        <v>0</v>
      </c>
      <c r="EB17" s="1">
        <f t="shared" si="31"/>
        <v>0</v>
      </c>
      <c r="EC17" s="1">
        <f t="shared" si="31"/>
        <v>0</v>
      </c>
      <c r="ED17" s="1">
        <f t="shared" si="31"/>
        <v>0</v>
      </c>
      <c r="EE17" s="1">
        <f t="shared" si="31"/>
        <v>0</v>
      </c>
      <c r="EG17" s="14">
        <f t="shared" si="32"/>
        <v>0.3</v>
      </c>
      <c r="EH17" s="14">
        <f t="shared" si="32"/>
        <v>0.3</v>
      </c>
      <c r="EI17" s="1">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3"/>
        <v>0.3</v>
      </c>
      <c r="EX17" s="1">
        <f t="shared" si="33"/>
        <v>0.3</v>
      </c>
      <c r="EY17" s="1">
        <f t="shared" si="33"/>
        <v>0.3</v>
      </c>
      <c r="EZ17" s="1">
        <f t="shared" si="33"/>
        <v>0.3</v>
      </c>
      <c r="FA17" s="1">
        <f t="shared" si="33"/>
        <v>0.3</v>
      </c>
      <c r="FB17" s="1">
        <f t="shared" si="33"/>
        <v>0.3</v>
      </c>
      <c r="FC17" s="1">
        <f t="shared" si="33"/>
        <v>0.3</v>
      </c>
      <c r="FD17" s="1">
        <f t="shared" si="33"/>
        <v>0.3</v>
      </c>
      <c r="FF17" s="162">
        <f t="shared" si="34"/>
        <v>5.5781948199439491E-2</v>
      </c>
    </row>
    <row r="18" spans="1:162" ht="18.75" customHeight="1">
      <c r="A18" s="243" t="s">
        <v>222</v>
      </c>
      <c r="B18" s="246"/>
      <c r="C18" s="156">
        <f t="shared" si="5"/>
        <v>-0.33</v>
      </c>
      <c r="D18" s="198">
        <v>1</v>
      </c>
      <c r="E18" s="248">
        <f t="shared" si="6"/>
        <v>-3.5919072020107468E-4</v>
      </c>
      <c r="F18" s="249">
        <f t="shared" si="7"/>
        <v>-2.4614044425423809E-2</v>
      </c>
      <c r="G18" s="248">
        <f t="shared" si="8"/>
        <v>3.092509557555001E-2</v>
      </c>
      <c r="H18" s="249">
        <f t="shared" si="9"/>
        <v>-3.1284286295751085E-2</v>
      </c>
      <c r="I18" s="253">
        <f t="shared" si="10"/>
        <v>1.3364847810731044</v>
      </c>
      <c r="J18" s="254">
        <f t="shared" si="11"/>
        <v>-0.32375418802943079</v>
      </c>
      <c r="K18" s="248">
        <f t="shared" si="12"/>
        <v>1.4930833069649236</v>
      </c>
      <c r="L18" s="249">
        <f t="shared" si="13"/>
        <v>-0.15659852589181922</v>
      </c>
      <c r="M18" s="250"/>
      <c r="N18" s="24">
        <v>-1</v>
      </c>
      <c r="O18" s="248">
        <f t="shared" si="35"/>
        <v>-1.6802487914109321E-3</v>
      </c>
      <c r="P18" s="251">
        <f t="shared" si="36"/>
        <v>-1.6802487914109321E-3</v>
      </c>
      <c r="Q18" s="248">
        <f t="shared" si="14"/>
        <v>-2.9746441769419207E-2</v>
      </c>
      <c r="R18" s="251">
        <f t="shared" si="37"/>
        <v>-2.9746441769419207E-2</v>
      </c>
      <c r="S18" s="250"/>
      <c r="T18" s="24">
        <v>-1</v>
      </c>
      <c r="U18" s="248">
        <f t="shared" si="15"/>
        <v>1.4466961825007507E-2</v>
      </c>
      <c r="V18" s="252">
        <f t="shared" si="16"/>
        <v>1.4466961825007507E-2</v>
      </c>
      <c r="W18" s="248">
        <f t="shared" si="38"/>
        <v>-0.31864950345318122</v>
      </c>
      <c r="X18" s="252">
        <f t="shared" si="17"/>
        <v>-0.31864950345318122</v>
      </c>
      <c r="Y18" s="248">
        <f t="shared" si="18"/>
        <v>0</v>
      </c>
      <c r="Z18" s="252">
        <f t="shared" si="19"/>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
        <f>VLOOKUP($A18,historia!$A$5:$CM$24,+HLOOKUP(AO$2,historia!$A$3:$EC$4,2,FALSE),FALSE)</f>
        <v>4</v>
      </c>
      <c r="AP18" s="28">
        <f>VLOOKUP($A18,historia!$A$5:$CM$24,+HLOOKUP(AP$2,historia!$A$3:$EC$4,2,FALSE),FALSE)</f>
        <v>4</v>
      </c>
      <c r="AQ18" s="28">
        <f>VLOOKUP($A18,historia!$A$5:$CM$24,+HLOOKUP(AQ$2,historia!$A$3:$EC$4,2,FALSE),FALSE)</f>
        <v>4</v>
      </c>
      <c r="AR18" s="28">
        <f>VLOOKUP($A18,historia!$A$5:$CM$24,+HLOOKUP(AR$2,historia!$A$3:$EC$4,2,FALSE),FALSE)</f>
        <v>4</v>
      </c>
      <c r="AS18" s="58">
        <f>VLOOKUP($A18,historia!$A$5:$CM$24,+HLOOKUP(AS$2,historia!$A$3:$EC$4,2,FALSE),FALSE)</f>
        <v>4</v>
      </c>
      <c r="AT18" s="58">
        <f>VLOOKUP($A18,historia!$A$5:$CM$24,+HLOOKUP(AT$2,historia!$A$3:$EC$4,2,FALSE),FALSE)</f>
        <v>5</v>
      </c>
      <c r="AU18" s="58">
        <f>VLOOKUP($A18,historia!$A$5:$CM$24,+HLOOKUP(AU$2,historia!$A$3:$EC$4,2,FALSE),FALSE)</f>
        <v>5</v>
      </c>
      <c r="AV18" s="58">
        <f>VLOOKUP($A18,historia!$A$5:$CM$24,+HLOOKUP(AV$2,historia!$A$3:$EC$4,2,FALSE),FALSE)</f>
        <v>4</v>
      </c>
      <c r="AW18" s="58">
        <v>4</v>
      </c>
      <c r="AX18" s="58">
        <v>3</v>
      </c>
      <c r="AY18" s="58">
        <v>2</v>
      </c>
      <c r="AZ18" s="58">
        <v>3</v>
      </c>
      <c r="BA18" s="30"/>
      <c r="BB18" s="141">
        <v>4</v>
      </c>
      <c r="BC18" t="str">
        <f t="shared" si="20"/>
        <v>Ovino</v>
      </c>
      <c r="BD18">
        <f>+datos!BU1</f>
        <v>73</v>
      </c>
      <c r="BE18" s="2" t="str">
        <f t="shared" si="4"/>
        <v>$/kg</v>
      </c>
      <c r="BF18" s="2">
        <f t="shared" si="4"/>
        <v>61474.071150000003</v>
      </c>
      <c r="BG18" s="2">
        <f t="shared" si="4"/>
        <v>61496.160000000003</v>
      </c>
      <c r="BH18" s="2">
        <f t="shared" si="4"/>
        <v>26310.494999999999</v>
      </c>
      <c r="BJ18">
        <f>+datos!DI1</f>
        <v>113</v>
      </c>
      <c r="BK18" s="2">
        <f t="shared" si="21"/>
        <v>8875.9049576894122</v>
      </c>
      <c r="BL18" s="2">
        <f t="shared" si="21"/>
        <v>8609.6506873121834</v>
      </c>
      <c r="BM18" s="2">
        <f t="shared" si="21"/>
        <v>3560.2119403281904</v>
      </c>
      <c r="BO18" s="1">
        <f>+datos!EL1</f>
        <v>142</v>
      </c>
      <c r="BP18" s="1">
        <f t="shared" si="22"/>
        <v>12440906</v>
      </c>
      <c r="BQ18" s="1">
        <f t="shared" si="22"/>
        <v>12461845</v>
      </c>
      <c r="BS18" s="1">
        <f>+datos!GS1</f>
        <v>201</v>
      </c>
      <c r="BT18" s="1">
        <f t="shared" si="23"/>
        <v>35799.300000000003</v>
      </c>
      <c r="BU18" s="1">
        <f t="shared" si="23"/>
        <v>36896.85</v>
      </c>
      <c r="BW18" s="1">
        <f>+datos!KI1</f>
        <v>295</v>
      </c>
      <c r="BX18" s="1">
        <f t="shared" si="39"/>
        <v>202.43593051000002</v>
      </c>
      <c r="BY18" s="1">
        <f t="shared" si="40"/>
        <v>199.54906184999999</v>
      </c>
      <c r="CA18" s="1">
        <f>+datos!LN1</f>
        <v>326</v>
      </c>
      <c r="CB18" s="2">
        <f t="shared" si="24"/>
        <v>3.3708376600000003</v>
      </c>
      <c r="CC18" s="2">
        <f t="shared" si="25"/>
        <v>4.9472887700000001</v>
      </c>
      <c r="CE18" s="1">
        <f>+datos!JA1</f>
        <v>261</v>
      </c>
      <c r="CF18" s="1">
        <f t="shared" si="26"/>
        <v>2813</v>
      </c>
      <c r="CG18" s="1">
        <f t="shared" si="27"/>
        <v>2813</v>
      </c>
      <c r="CI18" s="1">
        <f t="shared" si="28"/>
        <v>15.79353798</v>
      </c>
      <c r="CJ18" s="1">
        <f t="shared" si="28"/>
        <v>15.390557059999999</v>
      </c>
      <c r="CK18" s="1">
        <f t="shared" si="28"/>
        <v>12.657815750000001</v>
      </c>
      <c r="CL18" s="1">
        <f t="shared" si="28"/>
        <v>13.430479930000001</v>
      </c>
      <c r="CM18" s="1">
        <f t="shared" si="28"/>
        <v>15.60716012</v>
      </c>
      <c r="CN18" s="1">
        <f t="shared" si="28"/>
        <v>19.03918719</v>
      </c>
      <c r="CO18" s="1">
        <f t="shared" si="28"/>
        <v>17.774232269999999</v>
      </c>
      <c r="CP18" s="1">
        <f t="shared" si="28"/>
        <v>22.502102959999998</v>
      </c>
      <c r="CQ18" s="1">
        <f t="shared" si="28"/>
        <v>22.437193859999997</v>
      </c>
      <c r="CR18" s="1">
        <f t="shared" si="28"/>
        <v>15.322430800000003</v>
      </c>
      <c r="CS18" s="1">
        <f t="shared" si="28"/>
        <v>16.644595240000001</v>
      </c>
      <c r="CT18" s="1">
        <f t="shared" si="28"/>
        <v>15.83663735</v>
      </c>
      <c r="CU18" s="1">
        <f t="shared" si="28"/>
        <v>13.412348609999999</v>
      </c>
      <c r="CV18" s="1">
        <f t="shared" si="28"/>
        <v>9.5091132299999988</v>
      </c>
      <c r="CW18" s="1">
        <f t="shared" si="28"/>
        <v>10.49137048</v>
      </c>
      <c r="CX18" s="1">
        <f t="shared" si="28"/>
        <v>12.745889309999999</v>
      </c>
      <c r="CY18" s="1">
        <f t="shared" si="29"/>
        <v>11.898747670000001</v>
      </c>
      <c r="CZ18" s="1">
        <f t="shared" si="29"/>
        <v>12.26162961</v>
      </c>
      <c r="DA18" s="1">
        <f t="shared" si="29"/>
        <v>21.704121750000002</v>
      </c>
      <c r="DB18" s="1">
        <f t="shared" si="29"/>
        <v>21.006605250000003</v>
      </c>
      <c r="DC18" s="1">
        <f t="shared" si="29"/>
        <v>22.417077500000001</v>
      </c>
      <c r="DD18" s="1">
        <f t="shared" si="29"/>
        <v>28.978678630000001</v>
      </c>
      <c r="DE18" s="1">
        <f t="shared" si="29"/>
        <v>14.681416690000001</v>
      </c>
      <c r="DF18" s="1">
        <f t="shared" si="29"/>
        <v>20.44206312</v>
      </c>
      <c r="DH18" s="1">
        <f t="shared" si="30"/>
        <v>0.25055533999999996</v>
      </c>
      <c r="DI18" s="1">
        <f t="shared" si="30"/>
        <v>0.29342396000000004</v>
      </c>
      <c r="DJ18" s="1">
        <f t="shared" si="30"/>
        <v>0.26088905000000001</v>
      </c>
      <c r="DK18" s="1">
        <f t="shared" si="30"/>
        <v>0.18624962</v>
      </c>
      <c r="DL18" s="1">
        <f t="shared" si="30"/>
        <v>0.1577527</v>
      </c>
      <c r="DM18" s="1">
        <f t="shared" si="30"/>
        <v>0.24821200999999998</v>
      </c>
      <c r="DN18" s="1">
        <f t="shared" si="30"/>
        <v>0.13589592</v>
      </c>
      <c r="DO18" s="1">
        <f t="shared" si="30"/>
        <v>0.23010199000000001</v>
      </c>
      <c r="DP18" s="1">
        <f t="shared" si="30"/>
        <v>4.8750000000000002E-2</v>
      </c>
      <c r="DQ18" s="1">
        <f t="shared" si="30"/>
        <v>0.31075020000000003</v>
      </c>
      <c r="DR18" s="1">
        <f t="shared" si="30"/>
        <v>0.90541722000000002</v>
      </c>
      <c r="DS18" s="1">
        <f t="shared" si="30"/>
        <v>0.34283965</v>
      </c>
      <c r="DT18" s="1">
        <f t="shared" si="30"/>
        <v>0.74167351000000015</v>
      </c>
      <c r="DU18" s="1">
        <f t="shared" si="30"/>
        <v>0.58632921999999998</v>
      </c>
      <c r="DV18" s="1">
        <f t="shared" si="30"/>
        <v>0.29250390000000004</v>
      </c>
      <c r="DW18" s="1">
        <f t="shared" si="30"/>
        <v>0.46645720000000002</v>
      </c>
      <c r="DX18" s="1">
        <f t="shared" si="31"/>
        <v>8.1248630000000002E-2</v>
      </c>
      <c r="DY18" s="1">
        <f t="shared" si="31"/>
        <v>0.16069122999999999</v>
      </c>
      <c r="DZ18" s="1">
        <f t="shared" si="31"/>
        <v>0.12834936</v>
      </c>
      <c r="EA18" s="1">
        <f t="shared" si="31"/>
        <v>0.21283820000000001</v>
      </c>
      <c r="EB18" s="1">
        <f t="shared" si="31"/>
        <v>0.28431688999999999</v>
      </c>
      <c r="EC18" s="1">
        <f t="shared" si="31"/>
        <v>0.27087241000000001</v>
      </c>
      <c r="ED18" s="1">
        <f t="shared" si="31"/>
        <v>0.85465582000000007</v>
      </c>
      <c r="EE18" s="1">
        <f t="shared" si="31"/>
        <v>0.86735239999999991</v>
      </c>
      <c r="EG18" s="14">
        <f t="shared" si="32"/>
        <v>2813</v>
      </c>
      <c r="EH18" s="14">
        <f t="shared" si="32"/>
        <v>2813</v>
      </c>
      <c r="EI18" s="1">
        <f t="shared" si="32"/>
        <v>2813</v>
      </c>
      <c r="EJ18" s="1">
        <f t="shared" si="32"/>
        <v>2813</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3"/>
        <v>2813</v>
      </c>
      <c r="EX18" s="1">
        <f t="shared" si="33"/>
        <v>2813</v>
      </c>
      <c r="EY18" s="1">
        <f t="shared" si="33"/>
        <v>2813</v>
      </c>
      <c r="EZ18" s="1">
        <f t="shared" si="33"/>
        <v>2813</v>
      </c>
      <c r="FA18" s="1">
        <f t="shared" si="33"/>
        <v>2813</v>
      </c>
      <c r="FB18" s="1">
        <f t="shared" si="33"/>
        <v>2813</v>
      </c>
      <c r="FC18" s="1">
        <f t="shared" si="33"/>
        <v>2813</v>
      </c>
      <c r="FD18" s="1">
        <f t="shared" si="33"/>
        <v>2813</v>
      </c>
      <c r="FF18" s="162">
        <f t="shared" si="34"/>
        <v>-0.15659852589181922</v>
      </c>
    </row>
    <row r="19" spans="1:162" ht="18.75" customHeight="1">
      <c r="A19" s="244" t="s">
        <v>66</v>
      </c>
      <c r="B19" s="247"/>
      <c r="C19" s="228">
        <f t="shared" si="5"/>
        <v>0</v>
      </c>
      <c r="D19" s="229">
        <v>-1</v>
      </c>
      <c r="E19" s="253">
        <f t="shared" si="6"/>
        <v>-9.0477128043578103E-2</v>
      </c>
      <c r="F19" s="254">
        <f t="shared" si="7"/>
        <v>-0.11473198174880084</v>
      </c>
      <c r="G19" s="253">
        <f t="shared" si="8"/>
        <v>-4.67759317903782E-3</v>
      </c>
      <c r="H19" s="254">
        <f t="shared" si="9"/>
        <v>-8.5799534864540283E-2</v>
      </c>
      <c r="I19" s="253">
        <f t="shared" si="10"/>
        <v>1.9946449268244768</v>
      </c>
      <c r="J19" s="254">
        <f t="shared" si="11"/>
        <v>0.33440595772194159</v>
      </c>
      <c r="K19" s="253">
        <f t="shared" si="12"/>
        <v>1.3517111143074523</v>
      </c>
      <c r="L19" s="254">
        <f t="shared" si="13"/>
        <v>0.64293381251702453</v>
      </c>
      <c r="M19" s="255"/>
      <c r="N19" s="256">
        <v>0</v>
      </c>
      <c r="O19" s="253">
        <f t="shared" si="35"/>
        <v>6.5265283642371941E-2</v>
      </c>
      <c r="P19" s="257">
        <f t="shared" si="36"/>
        <v>6.5265283642371941E-2</v>
      </c>
      <c r="Q19" s="253">
        <f t="shared" si="14"/>
        <v>-0.10753859789340392</v>
      </c>
      <c r="R19" s="257">
        <v>-0.01</v>
      </c>
      <c r="S19" s="255"/>
      <c r="T19" s="256">
        <v>1</v>
      </c>
      <c r="U19" s="253">
        <f t="shared" si="15"/>
        <v>0.23950127488740103</v>
      </c>
      <c r="V19" s="258">
        <f t="shared" si="16"/>
        <v>0.23950127488740103</v>
      </c>
      <c r="W19" s="253">
        <f t="shared" si="38"/>
        <v>0.14446862976101804</v>
      </c>
      <c r="X19" s="258">
        <f t="shared" si="17"/>
        <v>0.14446862976101804</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
        <f>VLOOKUP($A19,historia!$A$5:$CM$24,+HLOOKUP(AO$2,historia!$A$3:$EC$4,2,FALSE),FALSE)</f>
        <v>3</v>
      </c>
      <c r="AP19" s="28">
        <f>VLOOKUP($A19,historia!$A$5:$CM$24,+HLOOKUP(AP$2,historia!$A$3:$EC$4,2,FALSE),FALSE)</f>
        <v>4</v>
      </c>
      <c r="AQ19" s="28">
        <f>VLOOKUP($A19,historia!$A$5:$CM$24,+HLOOKUP(AQ$2,historia!$A$3:$EC$4,2,FALSE),FALSE)</f>
        <v>3</v>
      </c>
      <c r="AR19" s="28">
        <f>VLOOKUP($A19,historia!$A$5:$CM$24,+HLOOKUP(AR$2,historia!$A$3:$EC$4,2,FALSE),FALSE)</f>
        <v>4</v>
      </c>
      <c r="AS19" s="58">
        <f>VLOOKUP($A19,historia!$A$5:$CM$24,+HLOOKUP(AS$2,historia!$A$3:$EC$4,2,FALSE),FALSE)</f>
        <v>4</v>
      </c>
      <c r="AT19" s="58">
        <f>VLOOKUP($A19,historia!$A$5:$CM$24,+HLOOKUP(AT$2,historia!$A$3:$EC$4,2,FALSE),FALSE)</f>
        <v>4</v>
      </c>
      <c r="AU19" s="58">
        <f>VLOOKUP($A19,historia!$A$5:$CM$24,+HLOOKUP(AU$2,historia!$A$3:$EC$4,2,FALSE),FALSE)</f>
        <v>4</v>
      </c>
      <c r="AV19" s="58">
        <f>VLOOKUP($A19,historia!$A$5:$CM$24,+HLOOKUP(AV$2,historia!$A$3:$EC$4,2,FALSE),FALSE)</f>
        <v>3</v>
      </c>
      <c r="AW19" s="58">
        <v>3</v>
      </c>
      <c r="AX19" s="58">
        <v>3</v>
      </c>
      <c r="AY19" s="58">
        <v>2</v>
      </c>
      <c r="AZ19" s="58">
        <v>3</v>
      </c>
      <c r="BA19" s="30"/>
      <c r="BB19" s="141">
        <v>3</v>
      </c>
      <c r="BC19" t="str">
        <f t="shared" si="20"/>
        <v>Papa</v>
      </c>
      <c r="BD19">
        <f>+datos!AV1</f>
        <v>48</v>
      </c>
      <c r="BE19" s="2" t="str">
        <f t="shared" si="4"/>
        <v>$/bolsa 20kg</v>
      </c>
      <c r="BF19" s="2">
        <f t="shared" si="4"/>
        <v>13858.4</v>
      </c>
      <c r="BG19" s="2">
        <f t="shared" si="4"/>
        <v>15237</v>
      </c>
      <c r="BH19" s="2">
        <f t="shared" si="4"/>
        <v>4627.727272727273</v>
      </c>
      <c r="BJ19">
        <f>+datos!CI1</f>
        <v>87</v>
      </c>
      <c r="BK19" s="2">
        <f t="shared" si="21"/>
        <v>10430.040372757559</v>
      </c>
      <c r="BL19" s="2">
        <f t="shared" si="21"/>
        <v>10479.057138953476</v>
      </c>
      <c r="BM19" s="2">
        <f t="shared" si="21"/>
        <v>4435.0857166523483</v>
      </c>
      <c r="BO19" s="1">
        <f>+datos!EZ1</f>
        <v>156</v>
      </c>
      <c r="BP19" s="1">
        <f t="shared" si="22"/>
        <v>34815</v>
      </c>
      <c r="BQ19" s="1">
        <f t="shared" si="22"/>
        <v>32682</v>
      </c>
      <c r="BS19" s="1">
        <f>+datos!GT1</f>
        <v>202</v>
      </c>
      <c r="BT19" s="1">
        <f t="shared" si="23"/>
        <v>2111561</v>
      </c>
      <c r="BU19" s="1">
        <f t="shared" si="23"/>
        <v>2365997</v>
      </c>
      <c r="BW19" s="1">
        <f>+datos!JO1</f>
        <v>275</v>
      </c>
      <c r="BX19" s="1">
        <f t="shared" si="39"/>
        <v>389.95631666000003</v>
      </c>
      <c r="BY19" s="1">
        <f t="shared" si="40"/>
        <v>314.60743490999999</v>
      </c>
      <c r="CA19" s="1">
        <f>+datos!KT1</f>
        <v>306</v>
      </c>
      <c r="CB19" s="2">
        <f t="shared" si="24"/>
        <v>18.521778130000001</v>
      </c>
      <c r="CC19" s="2">
        <f t="shared" si="25"/>
        <v>16.183735970000001</v>
      </c>
      <c r="CE19" s="1">
        <f>+datos!JB1</f>
        <v>262</v>
      </c>
      <c r="CF19" s="1">
        <f t="shared" si="26"/>
        <v>35.950000000000003</v>
      </c>
      <c r="CG19" s="1">
        <f t="shared" si="27"/>
        <v>35.950000000000003</v>
      </c>
      <c r="CI19" s="1">
        <f t="shared" si="28"/>
        <v>43.313690020000003</v>
      </c>
      <c r="CJ19" s="1">
        <f t="shared" si="28"/>
        <v>38.158354570000007</v>
      </c>
      <c r="CK19" s="1">
        <f t="shared" si="28"/>
        <v>36.879687310000008</v>
      </c>
      <c r="CL19" s="1">
        <f t="shared" si="28"/>
        <v>30.584450140000001</v>
      </c>
      <c r="CM19" s="1">
        <f t="shared" si="28"/>
        <v>34.87822036</v>
      </c>
      <c r="CN19" s="1">
        <f t="shared" si="28"/>
        <v>30.986019150000001</v>
      </c>
      <c r="CO19" s="1">
        <f t="shared" si="28"/>
        <v>34.45773063</v>
      </c>
      <c r="CP19" s="1">
        <f t="shared" si="28"/>
        <v>33.675059580000003</v>
      </c>
      <c r="CQ19" s="1">
        <f t="shared" si="28"/>
        <v>28.924508010000004</v>
      </c>
      <c r="CR19" s="1">
        <f t="shared" si="28"/>
        <v>27.954086790000002</v>
      </c>
      <c r="CS19" s="1">
        <f t="shared" si="28"/>
        <v>24.143815810000007</v>
      </c>
      <c r="CT19" s="1">
        <f t="shared" si="28"/>
        <v>26.000694290000002</v>
      </c>
      <c r="CU19" s="1">
        <f t="shared" si="28"/>
        <v>22.013274209999999</v>
      </c>
      <c r="CV19" s="1">
        <f t="shared" si="28"/>
        <v>23.44114875</v>
      </c>
      <c r="CW19" s="1">
        <f t="shared" si="28"/>
        <v>29.35689408</v>
      </c>
      <c r="CX19" s="1">
        <f t="shared" si="28"/>
        <v>26.11967611</v>
      </c>
      <c r="CY19" s="1">
        <f t="shared" si="29"/>
        <v>30.386509889999999</v>
      </c>
      <c r="CZ19" s="1">
        <f t="shared" si="29"/>
        <v>26.2743097</v>
      </c>
      <c r="DA19" s="1">
        <f t="shared" si="29"/>
        <v>30.80704394</v>
      </c>
      <c r="DB19" s="1">
        <f t="shared" si="29"/>
        <v>27.637267510000001</v>
      </c>
      <c r="DC19" s="1">
        <f t="shared" si="29"/>
        <v>30.470799569999997</v>
      </c>
      <c r="DD19" s="1">
        <f t="shared" si="29"/>
        <v>25.884569989999999</v>
      </c>
      <c r="DE19" s="1">
        <f t="shared" si="29"/>
        <v>21.159077390000004</v>
      </c>
      <c r="DF19" s="1">
        <f t="shared" si="29"/>
        <v>21.056863770000003</v>
      </c>
      <c r="DH19" s="1">
        <f t="shared" si="30"/>
        <v>1.8442369199999997</v>
      </c>
      <c r="DI19" s="1">
        <f t="shared" si="30"/>
        <v>1.0529063700000001</v>
      </c>
      <c r="DJ19" s="1">
        <f t="shared" si="30"/>
        <v>2.0286618900000004</v>
      </c>
      <c r="DK19" s="1">
        <f t="shared" si="30"/>
        <v>0.79104531999999994</v>
      </c>
      <c r="DL19" s="1">
        <f t="shared" si="30"/>
        <v>1.6294275100000002</v>
      </c>
      <c r="DM19" s="1">
        <f t="shared" si="30"/>
        <v>1.8725515799999999</v>
      </c>
      <c r="DN19" s="1">
        <f t="shared" si="30"/>
        <v>1.9938344900000002</v>
      </c>
      <c r="DO19" s="1">
        <f t="shared" si="30"/>
        <v>1.4070700599999999</v>
      </c>
      <c r="DP19" s="1">
        <f t="shared" si="30"/>
        <v>0.5838748800000001</v>
      </c>
      <c r="DQ19" s="1">
        <f t="shared" si="30"/>
        <v>1.6300787399999999</v>
      </c>
      <c r="DR19" s="1">
        <f t="shared" si="30"/>
        <v>1.5496506000000003</v>
      </c>
      <c r="DS19" s="1">
        <f t="shared" si="30"/>
        <v>2.1384397699999997</v>
      </c>
      <c r="DT19" s="1">
        <f t="shared" si="30"/>
        <v>2.7337765599999999</v>
      </c>
      <c r="DU19" s="1">
        <f t="shared" si="30"/>
        <v>1.0171737099999998</v>
      </c>
      <c r="DV19" s="1">
        <f t="shared" si="30"/>
        <v>1.9864389700000002</v>
      </c>
      <c r="DW19" s="1">
        <f t="shared" si="30"/>
        <v>2.8868213899999997</v>
      </c>
      <c r="DX19" s="1">
        <f t="shared" si="31"/>
        <v>1.3747401999999997</v>
      </c>
      <c r="DY19" s="1">
        <f t="shared" si="31"/>
        <v>1.6364950999999999</v>
      </c>
      <c r="DZ19" s="1">
        <f t="shared" si="31"/>
        <v>1.1348675200000002</v>
      </c>
      <c r="EA19" s="1">
        <f t="shared" si="31"/>
        <v>0.73241972</v>
      </c>
      <c r="EB19" s="1">
        <f t="shared" si="31"/>
        <v>1.2023484900000001</v>
      </c>
      <c r="EC19" s="1">
        <f t="shared" si="31"/>
        <v>0.41620179000000002</v>
      </c>
      <c r="ED19" s="1">
        <f t="shared" si="31"/>
        <v>1.03402496</v>
      </c>
      <c r="EE19" s="1">
        <f t="shared" si="31"/>
        <v>2.8427559999999998E-2</v>
      </c>
      <c r="EG19" s="14">
        <f t="shared" si="32"/>
        <v>35.950000000000003</v>
      </c>
      <c r="EH19" s="14">
        <f t="shared" si="32"/>
        <v>35.950000000000003</v>
      </c>
      <c r="EI19" s="1">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3"/>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35.950000000000003</v>
      </c>
      <c r="FD19" s="1">
        <f t="shared" si="33"/>
        <v>40.33</v>
      </c>
      <c r="FF19" s="162">
        <f t="shared" si="34"/>
        <v>0.64293381251702453</v>
      </c>
    </row>
    <row r="20" spans="1:162" ht="18.75" customHeight="1">
      <c r="A20" s="264" t="s">
        <v>218</v>
      </c>
      <c r="B20" s="246"/>
      <c r="C20" s="156">
        <f t="shared" si="5"/>
        <v>0</v>
      </c>
      <c r="D20" s="198">
        <v>-1</v>
      </c>
      <c r="E20" s="248">
        <f t="shared" si="6"/>
        <v>2.80708776015135E-2</v>
      </c>
      <c r="F20" s="249">
        <f t="shared" si="7"/>
        <v>3.8160238962907655E-3</v>
      </c>
      <c r="G20" s="248">
        <f t="shared" si="8"/>
        <v>3.4611978340964633E-2</v>
      </c>
      <c r="H20" s="249">
        <f t="shared" si="9"/>
        <v>-6.5411007394511334E-3</v>
      </c>
      <c r="I20" s="248">
        <f t="shared" si="10"/>
        <v>3.2777199146504961</v>
      </c>
      <c r="J20" s="249">
        <f t="shared" si="11"/>
        <v>1.6174809455479608</v>
      </c>
      <c r="K20" s="248">
        <f t="shared" si="12"/>
        <v>1.4713475852244233</v>
      </c>
      <c r="L20" s="249">
        <f t="shared" si="13"/>
        <v>1.8063723294260727</v>
      </c>
      <c r="M20" s="250"/>
      <c r="N20" s="24">
        <v>-1</v>
      </c>
      <c r="O20" s="248">
        <f t="shared" si="35"/>
        <v>-2.3211675087845274E-2</v>
      </c>
      <c r="P20" s="251">
        <f t="shared" si="36"/>
        <v>-2.3211675087845274E-2</v>
      </c>
      <c r="Q20" s="248">
        <f t="shared" si="14"/>
        <v>-2.8183149994859713E-2</v>
      </c>
      <c r="R20" s="251">
        <f t="shared" si="37"/>
        <v>-2.8183149994859713E-2</v>
      </c>
      <c r="S20" s="250"/>
      <c r="T20" s="24">
        <v>2</v>
      </c>
      <c r="U20" s="248">
        <f t="shared" si="15"/>
        <v>8.252564204252244E-2</v>
      </c>
      <c r="V20" s="252">
        <f t="shared" si="16"/>
        <v>8.252564204252244E-2</v>
      </c>
      <c r="W20" s="248">
        <f t="shared" si="38"/>
        <v>-0.62645181179453546</v>
      </c>
      <c r="X20" s="252">
        <f t="shared" si="17"/>
        <v>-0.62645181179453546</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
        <f>VLOOKUP($A20,historia!$A$5:$CM$24,+HLOOKUP(AO$2,historia!$A$3:$EC$4,2,FALSE),FALSE)</f>
        <v>3</v>
      </c>
      <c r="AP20" s="28">
        <f>VLOOKUP($A20,historia!$A$5:$CM$24,+HLOOKUP(AP$2,historia!$A$3:$EC$4,2,FALSE),FALSE)</f>
        <v>3</v>
      </c>
      <c r="AQ20" s="28">
        <f>VLOOKUP($A20,historia!$A$5:$CM$24,+HLOOKUP(AQ$2,historia!$A$3:$EC$4,2,FALSE),FALSE)</f>
        <v>3</v>
      </c>
      <c r="AR20" s="28">
        <f>VLOOKUP($A20,historia!$A$5:$CM$24,+HLOOKUP(AR$2,historia!$A$3:$EC$4,2,FALSE),FALSE)</f>
        <v>4</v>
      </c>
      <c r="AS20" s="58">
        <f>VLOOKUP($A20,historia!$A$5:$CM$24,+HLOOKUP(AS$2,historia!$A$3:$EC$4,2,FALSE),FALSE)</f>
        <v>4</v>
      </c>
      <c r="AT20" s="58">
        <f>VLOOKUP($A20,historia!$A$5:$CM$24,+HLOOKUP(AT$2,historia!$A$3:$EC$4,2,FALSE),FALSE)</f>
        <v>4</v>
      </c>
      <c r="AU20" s="58">
        <f>VLOOKUP($A20,historia!$A$5:$CM$24,+HLOOKUP(AU$2,historia!$A$3:$EC$4,2,FALSE),FALSE)</f>
        <v>4</v>
      </c>
      <c r="AV20" s="58">
        <f>VLOOKUP($A20,historia!$A$5:$CM$24,+HLOOKUP(AV$2,historia!$A$3:$EC$4,2,FALSE),FALSE)</f>
        <v>3</v>
      </c>
      <c r="AW20" s="58">
        <v>3</v>
      </c>
      <c r="AX20" s="58">
        <v>3</v>
      </c>
      <c r="AY20" s="58">
        <v>3</v>
      </c>
      <c r="AZ20" s="58">
        <v>3</v>
      </c>
      <c r="BA20" s="30"/>
      <c r="BB20" s="141">
        <v>3</v>
      </c>
      <c r="BC20" t="str">
        <f t="shared" si="20"/>
        <v>Peras y Manzanas</v>
      </c>
      <c r="BD20">
        <f>+datos!AP1</f>
        <v>42</v>
      </c>
      <c r="BE20" s="2" t="str">
        <f t="shared" si="4"/>
        <v>$/caja 18kg</v>
      </c>
      <c r="BF20" s="2">
        <f t="shared" si="4"/>
        <v>20343.96</v>
      </c>
      <c r="BG20" s="2">
        <f t="shared" si="4"/>
        <v>19788.48</v>
      </c>
      <c r="BH20" s="2">
        <f t="shared" si="4"/>
        <v>4755.7952380952383</v>
      </c>
      <c r="BJ20">
        <f>+datos!CS1</f>
        <v>97</v>
      </c>
      <c r="BK20" s="2">
        <f t="shared" si="21"/>
        <v>9211.9025712612947</v>
      </c>
      <c r="BL20" s="2">
        <f t="shared" si="21"/>
        <v>8903.7269663481893</v>
      </c>
      <c r="BM20" s="2">
        <f t="shared" si="21"/>
        <v>3727.4815676827429</v>
      </c>
      <c r="BO20" s="1">
        <f>+datos!FC1</f>
        <v>159</v>
      </c>
      <c r="BP20" s="1">
        <f t="shared" si="22"/>
        <v>38084</v>
      </c>
      <c r="BQ20" s="1">
        <f t="shared" si="22"/>
        <v>38989</v>
      </c>
      <c r="BS20" s="1">
        <f>+datos!GW1</f>
        <v>205</v>
      </c>
      <c r="BT20" s="1">
        <f t="shared" si="23"/>
        <v>756229</v>
      </c>
      <c r="BU20" s="1">
        <f t="shared" si="23"/>
        <v>778160</v>
      </c>
      <c r="BW20" s="1">
        <f>+datos!LS1</f>
        <v>331</v>
      </c>
      <c r="BX20" s="1">
        <f t="shared" si="39"/>
        <v>386.60186449999998</v>
      </c>
      <c r="BY20" s="1">
        <f t="shared" si="40"/>
        <v>357.12952144999997</v>
      </c>
      <c r="CA20" s="1">
        <f>+datos!LW1</f>
        <v>335</v>
      </c>
      <c r="CB20" s="2">
        <f t="shared" si="24"/>
        <v>2.8509747400000003</v>
      </c>
      <c r="CC20" s="2">
        <f t="shared" si="25"/>
        <v>7.6321471500000007</v>
      </c>
      <c r="CE20" s="1">
        <f>+datos!JC1</f>
        <v>263</v>
      </c>
      <c r="CF20" s="1">
        <f t="shared" si="26"/>
        <v>0</v>
      </c>
      <c r="CG20" s="1">
        <f t="shared" si="27"/>
        <v>0</v>
      </c>
      <c r="CI20" s="1">
        <f t="shared" si="28"/>
        <v>23.934850630000003</v>
      </c>
      <c r="CJ20" s="1">
        <f t="shared" si="28"/>
        <v>25.188374430000003</v>
      </c>
      <c r="CK20" s="1">
        <f t="shared" si="28"/>
        <v>22.303018159999997</v>
      </c>
      <c r="CL20" s="1">
        <f t="shared" si="28"/>
        <v>14.93334776</v>
      </c>
      <c r="CM20" s="1">
        <f t="shared" si="28"/>
        <v>35.336569390000001</v>
      </c>
      <c r="CN20" s="1">
        <f t="shared" si="28"/>
        <v>46.662709379999995</v>
      </c>
      <c r="CO20" s="1">
        <f t="shared" si="28"/>
        <v>45.302769560000002</v>
      </c>
      <c r="CP20" s="1">
        <f t="shared" si="28"/>
        <v>46.856289650000001</v>
      </c>
      <c r="CQ20" s="1">
        <f t="shared" si="28"/>
        <v>60.076282149999997</v>
      </c>
      <c r="CR20" s="1">
        <f t="shared" si="28"/>
        <v>42.744570039999999</v>
      </c>
      <c r="CS20" s="1">
        <f t="shared" si="28"/>
        <v>11.509203560000001</v>
      </c>
      <c r="CT20" s="1">
        <f t="shared" si="28"/>
        <v>11.753879789999999</v>
      </c>
      <c r="CU20" s="1">
        <f t="shared" si="28"/>
        <v>15.619426270000002</v>
      </c>
      <c r="CV20" s="1">
        <f t="shared" si="28"/>
        <v>16.880359240000001</v>
      </c>
      <c r="CW20" s="1">
        <f t="shared" si="28"/>
        <v>24.204094699999999</v>
      </c>
      <c r="CX20" s="1">
        <f t="shared" si="28"/>
        <v>25.300599699999999</v>
      </c>
      <c r="CY20" s="1">
        <f t="shared" si="29"/>
        <v>48.042350899999995</v>
      </c>
      <c r="CZ20" s="1">
        <f t="shared" si="29"/>
        <v>30.317151650000003</v>
      </c>
      <c r="DA20" s="1">
        <f t="shared" si="29"/>
        <v>39.830023670000003</v>
      </c>
      <c r="DB20" s="1">
        <f t="shared" si="29"/>
        <v>48.212206680000008</v>
      </c>
      <c r="DC20" s="1">
        <f t="shared" si="29"/>
        <v>46.755406350000001</v>
      </c>
      <c r="DD20" s="1">
        <f t="shared" si="29"/>
        <v>37.276974840000001</v>
      </c>
      <c r="DE20" s="1">
        <f t="shared" si="29"/>
        <v>11.80910873</v>
      </c>
      <c r="DF20" s="1">
        <f t="shared" si="29"/>
        <v>12.88181872</v>
      </c>
      <c r="DH20" s="1">
        <f t="shared" si="30"/>
        <v>0.21798748000000001</v>
      </c>
      <c r="DI20" s="1">
        <f t="shared" si="30"/>
        <v>7.9820000000000002E-2</v>
      </c>
      <c r="DJ20" s="1">
        <f t="shared" si="30"/>
        <v>0.14837025000000001</v>
      </c>
      <c r="DK20" s="1">
        <f t="shared" si="30"/>
        <v>0.3865221499999999</v>
      </c>
      <c r="DL20" s="1">
        <f t="shared" si="30"/>
        <v>0.51794252000000007</v>
      </c>
      <c r="DM20" s="1">
        <f t="shared" si="30"/>
        <v>0.37362660000000003</v>
      </c>
      <c r="DN20" s="1">
        <f t="shared" si="30"/>
        <v>0.32288670000000003</v>
      </c>
      <c r="DO20" s="1">
        <f t="shared" si="30"/>
        <v>0.29487440000000004</v>
      </c>
      <c r="DP20" s="1">
        <f t="shared" si="30"/>
        <v>7.78142E-2</v>
      </c>
      <c r="DQ20" s="1">
        <f t="shared" si="30"/>
        <v>0.12479459999999999</v>
      </c>
      <c r="DR20" s="1">
        <f t="shared" si="30"/>
        <v>8.4911199999999992E-2</v>
      </c>
      <c r="DS20" s="1">
        <f t="shared" si="30"/>
        <v>0.22142464000000001</v>
      </c>
      <c r="DT20" s="1">
        <f t="shared" si="30"/>
        <v>1.01853964</v>
      </c>
      <c r="DU20" s="1">
        <f t="shared" si="30"/>
        <v>0.30728509999999998</v>
      </c>
      <c r="DV20" s="1">
        <f t="shared" si="30"/>
        <v>0.37410640000000001</v>
      </c>
      <c r="DW20" s="1">
        <f t="shared" si="30"/>
        <v>0.35746821000000001</v>
      </c>
      <c r="DX20" s="1">
        <f t="shared" si="31"/>
        <v>0.95829101000000005</v>
      </c>
      <c r="DY20" s="1">
        <f t="shared" si="31"/>
        <v>0.34636184000000003</v>
      </c>
      <c r="DZ20" s="1">
        <f t="shared" si="31"/>
        <v>1.2547095300000002</v>
      </c>
      <c r="EA20" s="1">
        <f t="shared" si="31"/>
        <v>1.273682</v>
      </c>
      <c r="EB20" s="1">
        <f t="shared" si="31"/>
        <v>0.92279571000000005</v>
      </c>
      <c r="EC20" s="1">
        <f t="shared" si="31"/>
        <v>0.55930298000000001</v>
      </c>
      <c r="ED20" s="1">
        <f t="shared" si="31"/>
        <v>0.23405334</v>
      </c>
      <c r="EE20" s="1">
        <f t="shared" si="31"/>
        <v>2.5551390000000004E-2</v>
      </c>
      <c r="EG20" s="14">
        <f t="shared" si="32"/>
        <v>0</v>
      </c>
      <c r="EH20" s="14">
        <f t="shared" si="32"/>
        <v>0</v>
      </c>
      <c r="EI20" s="1">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3"/>
        <v>0</v>
      </c>
      <c r="EX20" s="1">
        <f t="shared" si="33"/>
        <v>0</v>
      </c>
      <c r="EY20" s="1">
        <f t="shared" si="33"/>
        <v>0</v>
      </c>
      <c r="EZ20" s="1">
        <f t="shared" si="33"/>
        <v>0</v>
      </c>
      <c r="FA20" s="1">
        <f t="shared" si="33"/>
        <v>0</v>
      </c>
      <c r="FB20" s="1">
        <f t="shared" si="33"/>
        <v>0</v>
      </c>
      <c r="FC20" s="1">
        <f t="shared" si="33"/>
        <v>0</v>
      </c>
      <c r="FD20" s="1">
        <f t="shared" si="33"/>
        <v>0</v>
      </c>
      <c r="FF20" s="162">
        <f t="shared" si="34"/>
        <v>1.8063723294260727</v>
      </c>
    </row>
    <row r="21" spans="1:162" ht="18.75" customHeight="1">
      <c r="A21" s="244" t="s">
        <v>121</v>
      </c>
      <c r="B21" s="247"/>
      <c r="C21" s="228">
        <f t="shared" si="5"/>
        <v>0</v>
      </c>
      <c r="D21" s="229">
        <v>-2</v>
      </c>
      <c r="E21" s="253">
        <f t="shared" si="6"/>
        <v>2.5073167999327906E-2</v>
      </c>
      <c r="F21" s="254">
        <f t="shared" si="7"/>
        <v>8.1831429410517131E-4</v>
      </c>
      <c r="G21" s="253">
        <f t="shared" si="8"/>
        <v>1.6585258403788883E-2</v>
      </c>
      <c r="H21" s="254">
        <f t="shared" si="9"/>
        <v>8.4879095955390227E-3</v>
      </c>
      <c r="I21" s="253">
        <f t="shared" si="10"/>
        <v>1.1687469817408283</v>
      </c>
      <c r="J21" s="254">
        <f t="shared" si="11"/>
        <v>-0.49149198736170696</v>
      </c>
      <c r="K21" s="253">
        <f t="shared" si="12"/>
        <v>1.6034982887462639</v>
      </c>
      <c r="L21" s="254">
        <f t="shared" si="13"/>
        <v>-0.43475130700543563</v>
      </c>
      <c r="M21" s="255"/>
      <c r="N21" s="256">
        <v>1</v>
      </c>
      <c r="O21" s="253">
        <f t="shared" si="35"/>
        <v>3.8695172963417956E-2</v>
      </c>
      <c r="P21" s="257">
        <f t="shared" si="36"/>
        <v>3.8695172963417956E-2</v>
      </c>
      <c r="Q21" s="253">
        <f t="shared" si="14"/>
        <v>2.3979876659157684E-2</v>
      </c>
      <c r="R21" s="257">
        <f t="shared" si="37"/>
        <v>2.3979876659157684E-2</v>
      </c>
      <c r="S21" s="255"/>
      <c r="T21" s="256">
        <v>1</v>
      </c>
      <c r="U21" s="253">
        <f t="shared" si="15"/>
        <v>0.31638636115437735</v>
      </c>
      <c r="V21" s="258">
        <f t="shared" si="16"/>
        <v>0.31638636115437735</v>
      </c>
      <c r="W21" s="253">
        <f t="shared" si="38"/>
        <v>0.17589597157801951</v>
      </c>
      <c r="X21" s="258">
        <f t="shared" si="17"/>
        <v>0.17589597157801951</v>
      </c>
      <c r="Y21" s="253">
        <f t="shared" si="18"/>
        <v>8.3582089552238781E-3</v>
      </c>
      <c r="Z21" s="258">
        <f t="shared" si="19"/>
        <v>8.3582089552238781E-3</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
        <f>VLOOKUP($A21,historia!$A$5:$CM$24,+HLOOKUP(AO$2,historia!$A$3:$EC$4,2,FALSE),FALSE)</f>
        <v>2</v>
      </c>
      <c r="AP21" s="28">
        <f>VLOOKUP($A21,historia!$A$5:$CM$24,+HLOOKUP(AP$2,historia!$A$3:$EC$4,2,FALSE),FALSE)</f>
        <v>1</v>
      </c>
      <c r="AQ21" s="28">
        <f>VLOOKUP($A21,historia!$A$5:$CM$24,+HLOOKUP(AQ$2,historia!$A$3:$EC$4,2,FALSE),FALSE)</f>
        <v>2</v>
      </c>
      <c r="AR21" s="28">
        <f>VLOOKUP($A21,historia!$A$5:$CM$24,+HLOOKUP(AR$2,historia!$A$3:$EC$4,2,FALSE),FALSE)</f>
        <v>4</v>
      </c>
      <c r="AS21" s="58">
        <f>VLOOKUP($A21,historia!$A$5:$CM$24,+HLOOKUP(AS$2,historia!$A$3:$EC$4,2,FALSE),FALSE)</f>
        <v>5</v>
      </c>
      <c r="AT21" s="58">
        <f>VLOOKUP($A21,historia!$A$5:$CM$24,+HLOOKUP(AT$2,historia!$A$3:$EC$4,2,FALSE),FALSE)</f>
        <v>3</v>
      </c>
      <c r="AU21" s="58">
        <f>VLOOKUP($A21,historia!$A$5:$CM$24,+HLOOKUP(AU$2,historia!$A$3:$EC$4,2,FALSE),FALSE)</f>
        <v>4</v>
      </c>
      <c r="AV21" s="58">
        <f>VLOOKUP($A21,historia!$A$5:$CM$24,+HLOOKUP(AV$2,historia!$A$3:$EC$4,2,FALSE),FALSE)</f>
        <v>3</v>
      </c>
      <c r="AW21" s="58">
        <v>2</v>
      </c>
      <c r="AX21" s="58">
        <v>3</v>
      </c>
      <c r="AY21" s="58">
        <v>2</v>
      </c>
      <c r="AZ21" s="58">
        <v>2</v>
      </c>
      <c r="BA21" s="30"/>
      <c r="BB21" s="141">
        <v>3</v>
      </c>
      <c r="BC21" t="str">
        <f t="shared" si="20"/>
        <v>Porcinos</v>
      </c>
      <c r="BD21">
        <f>+datos!BR1</f>
        <v>70</v>
      </c>
      <c r="BE21" s="2" t="str">
        <f t="shared" si="4"/>
        <v>$/kg</v>
      </c>
      <c r="BF21" s="2">
        <f t="shared" si="4"/>
        <v>1464.03</v>
      </c>
      <c r="BG21" s="2">
        <f t="shared" si="4"/>
        <v>1428.22</v>
      </c>
      <c r="BH21" s="2">
        <f t="shared" si="4"/>
        <v>675.05799999999999</v>
      </c>
      <c r="BJ21">
        <f>+datos!DD1</f>
        <v>108</v>
      </c>
      <c r="BK21" s="2">
        <f t="shared" si="21"/>
        <v>9073.0909237398428</v>
      </c>
      <c r="BL21" s="2">
        <f t="shared" si="21"/>
        <v>8925.0663913680328</v>
      </c>
      <c r="BM21" s="2">
        <f t="shared" si="21"/>
        <v>3484.9613548657508</v>
      </c>
      <c r="BO21" s="1">
        <f>+datos!EJ1</f>
        <v>140</v>
      </c>
      <c r="BP21" s="1">
        <f t="shared" si="22"/>
        <v>6115215</v>
      </c>
      <c r="BQ21" s="1">
        <f t="shared" si="22"/>
        <v>5887401</v>
      </c>
      <c r="BS21" s="1">
        <f>+datos!HE1</f>
        <v>213</v>
      </c>
      <c r="BT21" s="1">
        <f t="shared" si="23"/>
        <v>779561</v>
      </c>
      <c r="BU21" s="1">
        <f t="shared" si="23"/>
        <v>761305</v>
      </c>
      <c r="BW21" s="1">
        <f>+datos!KJ1</f>
        <v>296</v>
      </c>
      <c r="BX21" s="1">
        <f t="shared" si="39"/>
        <v>26.429727960000001</v>
      </c>
      <c r="BY21" s="1">
        <f t="shared" si="40"/>
        <v>20.077485409999998</v>
      </c>
      <c r="CA21" s="1">
        <f>+datos!LO1</f>
        <v>327</v>
      </c>
      <c r="CB21" s="2">
        <f t="shared" si="24"/>
        <v>58.664290129999991</v>
      </c>
      <c r="CC21" s="2">
        <f t="shared" si="25"/>
        <v>49.889013609999999</v>
      </c>
      <c r="CE21" s="1">
        <f>+datos!IO1</f>
        <v>249</v>
      </c>
      <c r="CF21" s="1">
        <f t="shared" si="26"/>
        <v>16.89</v>
      </c>
      <c r="CG21" s="1">
        <f t="shared" si="27"/>
        <v>16.75</v>
      </c>
      <c r="CI21" s="1">
        <f t="shared" si="28"/>
        <v>1.6096260199999999</v>
      </c>
      <c r="CJ21" s="1">
        <f t="shared" si="28"/>
        <v>3.1723580499999997</v>
      </c>
      <c r="CK21" s="1">
        <f t="shared" si="28"/>
        <v>2.1279038099999998</v>
      </c>
      <c r="CL21" s="1">
        <f t="shared" si="28"/>
        <v>2.3778769799999995</v>
      </c>
      <c r="CM21" s="1">
        <f t="shared" si="28"/>
        <v>4.3175895799999999</v>
      </c>
      <c r="CN21" s="1">
        <f t="shared" si="28"/>
        <v>2.7596131099999996</v>
      </c>
      <c r="CO21" s="1">
        <f t="shared" si="28"/>
        <v>1.9296841299999996</v>
      </c>
      <c r="CP21" s="1">
        <f t="shared" si="28"/>
        <v>2.2533318799999997</v>
      </c>
      <c r="CQ21" s="1">
        <f t="shared" si="28"/>
        <v>1.55421593</v>
      </c>
      <c r="CR21" s="1">
        <f t="shared" si="28"/>
        <v>1.56892272</v>
      </c>
      <c r="CS21" s="1">
        <f t="shared" si="28"/>
        <v>1.2009935999999999</v>
      </c>
      <c r="CT21" s="1">
        <f t="shared" si="28"/>
        <v>1.5576121499999998</v>
      </c>
      <c r="CU21" s="1">
        <f t="shared" si="28"/>
        <v>1.3743196699999998</v>
      </c>
      <c r="CV21" s="1">
        <f t="shared" si="28"/>
        <v>1.4110336399999999</v>
      </c>
      <c r="CW21" s="1">
        <f t="shared" si="28"/>
        <v>1.8830951399999996</v>
      </c>
      <c r="CX21" s="1">
        <f t="shared" si="28"/>
        <v>1.4694087300000001</v>
      </c>
      <c r="CY21" s="1">
        <f t="shared" si="29"/>
        <v>2.0502103900000002</v>
      </c>
      <c r="CZ21" s="1">
        <f t="shared" si="29"/>
        <v>1.8176867299999997</v>
      </c>
      <c r="DA21" s="1">
        <f t="shared" si="29"/>
        <v>1.2719750699999999</v>
      </c>
      <c r="DB21" s="1">
        <f t="shared" si="29"/>
        <v>1.5228158499999997</v>
      </c>
      <c r="DC21" s="1">
        <f t="shared" si="29"/>
        <v>1.32254655</v>
      </c>
      <c r="DD21" s="1">
        <f t="shared" si="29"/>
        <v>2.1116566699999999</v>
      </c>
      <c r="DE21" s="1">
        <f t="shared" si="29"/>
        <v>1.8299806799999998</v>
      </c>
      <c r="DF21" s="1">
        <f t="shared" si="29"/>
        <v>2.01275629</v>
      </c>
      <c r="DH21" s="1">
        <f t="shared" si="30"/>
        <v>10.919699229999997</v>
      </c>
      <c r="DI21" s="1">
        <f t="shared" si="30"/>
        <v>10.87912704</v>
      </c>
      <c r="DJ21" s="1">
        <f t="shared" si="30"/>
        <v>7.3519509899999989</v>
      </c>
      <c r="DK21" s="1">
        <f t="shared" si="30"/>
        <v>4.9251834299999988</v>
      </c>
      <c r="DL21" s="1">
        <f t="shared" si="30"/>
        <v>2.5935797799999998</v>
      </c>
      <c r="DM21" s="1">
        <f t="shared" si="30"/>
        <v>1.7163214500000001</v>
      </c>
      <c r="DN21" s="1">
        <f t="shared" si="30"/>
        <v>2.7920763000000002</v>
      </c>
      <c r="DO21" s="1">
        <f t="shared" si="30"/>
        <v>3.5088459899999997</v>
      </c>
      <c r="DP21" s="1">
        <f t="shared" si="30"/>
        <v>2.2524288500000003</v>
      </c>
      <c r="DQ21" s="1">
        <f t="shared" si="30"/>
        <v>5.2341166499999998</v>
      </c>
      <c r="DR21" s="1">
        <f t="shared" si="30"/>
        <v>3.1162246899999997</v>
      </c>
      <c r="DS21" s="1">
        <f t="shared" si="30"/>
        <v>3.3747357299999998</v>
      </c>
      <c r="DT21" s="1">
        <f t="shared" si="30"/>
        <v>1.8536983500000002</v>
      </c>
      <c r="DU21" s="1">
        <f t="shared" si="30"/>
        <v>2.01592043</v>
      </c>
      <c r="DV21" s="1">
        <f t="shared" si="30"/>
        <v>3.3244473500000002</v>
      </c>
      <c r="DW21" s="1">
        <f t="shared" ref="DW21:EE24" si="41">+VLOOKUP(DW$1,ran_dat,$CA21,FALSE)</f>
        <v>2.84758625</v>
      </c>
      <c r="DX21" s="1">
        <f t="shared" si="41"/>
        <v>4.1641835499999997</v>
      </c>
      <c r="DY21" s="1">
        <f t="shared" si="41"/>
        <v>4.5685913500000002</v>
      </c>
      <c r="DZ21" s="1">
        <f t="shared" si="41"/>
        <v>6.3615663699999985</v>
      </c>
      <c r="EA21" s="1">
        <f t="shared" si="41"/>
        <v>5.5541627499999997</v>
      </c>
      <c r="EB21" s="1">
        <f t="shared" si="41"/>
        <v>6.8596205599999998</v>
      </c>
      <c r="EC21" s="1">
        <f t="shared" si="41"/>
        <v>4.6739966500000012</v>
      </c>
      <c r="ED21" s="1">
        <f t="shared" si="41"/>
        <v>7.6286560299999993</v>
      </c>
      <c r="EE21" s="1">
        <f t="shared" si="41"/>
        <v>3.658397E-2</v>
      </c>
      <c r="EG21" s="14">
        <f t="shared" si="32"/>
        <v>16.89</v>
      </c>
      <c r="EH21" s="14">
        <f t="shared" si="32"/>
        <v>16.87</v>
      </c>
      <c r="EI21" s="1">
        <f t="shared" si="32"/>
        <v>16.8</v>
      </c>
      <c r="EJ21" s="1">
        <f t="shared" si="32"/>
        <v>16.760000000000002</v>
      </c>
      <c r="EK21" s="1">
        <f t="shared" si="32"/>
        <v>16.84</v>
      </c>
      <c r="EL21" s="1">
        <f t="shared" si="32"/>
        <v>16.64</v>
      </c>
      <c r="EM21" s="1">
        <f t="shared" si="32"/>
        <v>16.68</v>
      </c>
      <c r="EN21" s="1">
        <f t="shared" si="32"/>
        <v>16.62</v>
      </c>
      <c r="EO21" s="1">
        <f t="shared" si="32"/>
        <v>16.5</v>
      </c>
      <c r="EP21" s="1">
        <f t="shared" si="32"/>
        <v>16.64</v>
      </c>
      <c r="EQ21" s="1">
        <f t="shared" si="32"/>
        <v>16.68</v>
      </c>
      <c r="ER21" s="1">
        <f t="shared" si="32"/>
        <v>16.72</v>
      </c>
      <c r="ES21" s="1">
        <f t="shared" si="32"/>
        <v>16.75</v>
      </c>
      <c r="ET21" s="1">
        <f t="shared" si="32"/>
        <v>16.760000000000002</v>
      </c>
      <c r="EU21" s="1">
        <f t="shared" si="32"/>
        <v>16.71</v>
      </c>
      <c r="EV21" s="1">
        <f t="shared" ref="EV21:FD24" si="42">+VLOOKUP(EV$1,ran_dat,$CE21,FALSE)</f>
        <v>16.68</v>
      </c>
      <c r="EW21" s="1">
        <f t="shared" si="42"/>
        <v>16.670000000000002</v>
      </c>
      <c r="EX21" s="1">
        <f t="shared" si="42"/>
        <v>16.670000000000002</v>
      </c>
      <c r="EY21" s="1">
        <f t="shared" si="42"/>
        <v>16.72</v>
      </c>
      <c r="EZ21" s="1">
        <f t="shared" si="42"/>
        <v>16.77</v>
      </c>
      <c r="FA21" s="1">
        <f t="shared" si="42"/>
        <v>16.88</v>
      </c>
      <c r="FB21" s="1">
        <f t="shared" si="42"/>
        <v>16.93</v>
      </c>
      <c r="FC21" s="1">
        <f t="shared" si="42"/>
        <v>16.97</v>
      </c>
      <c r="FD21" s="1">
        <f t="shared" si="42"/>
        <v>16.760000000000002</v>
      </c>
      <c r="FF21" s="162">
        <f t="shared" si="34"/>
        <v>-0.43475130700543563</v>
      </c>
    </row>
    <row r="22" spans="1:162" ht="18.75" customHeight="1">
      <c r="A22" s="243" t="s">
        <v>75</v>
      </c>
      <c r="B22" s="246"/>
      <c r="C22" s="156">
        <f t="shared" si="5"/>
        <v>0.66</v>
      </c>
      <c r="D22" s="198">
        <v>1</v>
      </c>
      <c r="E22" s="248">
        <f t="shared" si="6"/>
        <v>0</v>
      </c>
      <c r="F22" s="249">
        <f t="shared" si="7"/>
        <v>-2.4254853705222734E-2</v>
      </c>
      <c r="G22" s="248">
        <f t="shared" si="8"/>
        <v>3.4223709363228716E-2</v>
      </c>
      <c r="H22" s="249">
        <f t="shared" si="9"/>
        <v>-3.4223709363228716E-2</v>
      </c>
      <c r="I22" s="248">
        <f t="shared" si="10"/>
        <v>3.2420324818487183</v>
      </c>
      <c r="J22" s="249">
        <f t="shared" si="11"/>
        <v>1.5817935127461831</v>
      </c>
      <c r="K22" s="248">
        <f t="shared" si="12"/>
        <v>1.5032185899700332</v>
      </c>
      <c r="L22" s="249">
        <f t="shared" si="13"/>
        <v>1.7388138918786851</v>
      </c>
      <c r="M22" s="250"/>
      <c r="N22" s="24">
        <v>0</v>
      </c>
      <c r="O22" s="248">
        <f t="shared" si="35"/>
        <v>0.10289900078548864</v>
      </c>
      <c r="P22" s="251">
        <f t="shared" si="36"/>
        <v>0.10289900078548864</v>
      </c>
      <c r="Q22" s="248">
        <f t="shared" si="14"/>
        <v>-7.0102125429331252E-2</v>
      </c>
      <c r="R22" s="251">
        <f t="shared" si="37"/>
        <v>-7.0102125429331252E-2</v>
      </c>
      <c r="S22" s="250"/>
      <c r="T22" s="24">
        <v>1</v>
      </c>
      <c r="U22" s="248">
        <f t="shared" si="15"/>
        <v>-6.6168905400974865E-2</v>
      </c>
      <c r="V22" s="252">
        <f t="shared" si="16"/>
        <v>-6.6168905400974865E-2</v>
      </c>
      <c r="W22" s="248">
        <f t="shared" si="38"/>
        <v>-0.24895515262775336</v>
      </c>
      <c r="X22" s="252">
        <f t="shared" si="17"/>
        <v>-0.24895515262775336</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
        <f>VLOOKUP($A22,historia!$A$5:$CM$24,+HLOOKUP(AO$2,historia!$A$3:$EC$4,2,FALSE),FALSE)</f>
        <v>3</v>
      </c>
      <c r="AP22" s="28">
        <f>VLOOKUP($A22,historia!$A$5:$CM$24,+HLOOKUP(AP$2,historia!$A$3:$EC$4,2,FALSE),FALSE)</f>
        <v>3</v>
      </c>
      <c r="AQ22" s="28">
        <f>VLOOKUP($A22,historia!$A$5:$CM$24,+HLOOKUP(AQ$2,historia!$A$3:$EC$4,2,FALSE),FALSE)</f>
        <v>3</v>
      </c>
      <c r="AR22" s="28">
        <f>VLOOKUP($A22,historia!$A$5:$CM$24,+HLOOKUP(AR$2,historia!$A$3:$EC$4,2,FALSE),FALSE)</f>
        <v>4</v>
      </c>
      <c r="AS22" s="58">
        <f>VLOOKUP($A22,historia!$A$5:$CM$24,+HLOOKUP(AS$2,historia!$A$3:$EC$4,2,FALSE),FALSE)</f>
        <v>4</v>
      </c>
      <c r="AT22" s="58">
        <f>VLOOKUP($A22,historia!$A$5:$CM$24,+HLOOKUP(AT$2,historia!$A$3:$EC$4,2,FALSE),FALSE)</f>
        <v>3</v>
      </c>
      <c r="AU22" s="58">
        <f>VLOOKUP($A22,historia!$A$5:$CM$24,+HLOOKUP(AU$2,historia!$A$3:$EC$4,2,FALSE),FALSE)</f>
        <v>2</v>
      </c>
      <c r="AV22" s="58">
        <f>VLOOKUP($A22,historia!$A$5:$CM$24,+HLOOKUP(AV$2,historia!$A$3:$EC$4,2,FALSE),FALSE)</f>
        <v>2</v>
      </c>
      <c r="AW22" s="58">
        <v>2</v>
      </c>
      <c r="AX22" s="58">
        <v>2</v>
      </c>
      <c r="AY22" s="58">
        <v>2</v>
      </c>
      <c r="AZ22" s="58">
        <v>2</v>
      </c>
      <c r="BA22" s="30"/>
      <c r="BB22" s="141">
        <v>2</v>
      </c>
      <c r="BC22" t="str">
        <f t="shared" si="20"/>
        <v>Tabaco</v>
      </c>
      <c r="BD22">
        <f>+datos!BJ1</f>
        <v>62</v>
      </c>
      <c r="BE22" s="2" t="str">
        <f t="shared" si="4"/>
        <v>$/kg</v>
      </c>
      <c r="BF22" s="2">
        <f t="shared" si="4"/>
        <v>3675</v>
      </c>
      <c r="BG22" s="2">
        <f t="shared" si="4"/>
        <v>3675</v>
      </c>
      <c r="BH22" s="2">
        <f t="shared" si="4"/>
        <v>866.33</v>
      </c>
      <c r="BJ22">
        <f>+datos!DA1</f>
        <v>105</v>
      </c>
      <c r="BK22" s="2">
        <f t="shared" si="21"/>
        <v>9052.8110307932111</v>
      </c>
      <c r="BL22" s="2">
        <f t="shared" si="21"/>
        <v>8753.2426000628275</v>
      </c>
      <c r="BM22" s="2">
        <f t="shared" si="21"/>
        <v>3616.4684406972165</v>
      </c>
      <c r="BO22" s="1">
        <f>+datos!FD1</f>
        <v>160</v>
      </c>
      <c r="BP22" s="1">
        <f t="shared" si="22"/>
        <v>60376</v>
      </c>
      <c r="BQ22" s="1">
        <f t="shared" si="22"/>
        <v>54743</v>
      </c>
      <c r="BS22" s="1">
        <f>+datos!GX1</f>
        <v>206</v>
      </c>
      <c r="BT22" s="1">
        <f t="shared" si="23"/>
        <v>30804.553</v>
      </c>
      <c r="BU22" s="1">
        <f t="shared" si="23"/>
        <v>33126.813000000002</v>
      </c>
      <c r="BW22" s="1">
        <f>+datos!KC1</f>
        <v>289</v>
      </c>
      <c r="BX22" s="1">
        <f t="shared" si="39"/>
        <v>504.78023039000004</v>
      </c>
      <c r="BY22" s="1">
        <f t="shared" si="40"/>
        <v>540.54767860000004</v>
      </c>
      <c r="CA22" s="1">
        <f>+datos!LH1</f>
        <v>320</v>
      </c>
      <c r="CB22" s="2">
        <f t="shared" si="24"/>
        <v>52.286272990000001</v>
      </c>
      <c r="CC22" s="2">
        <f t="shared" si="25"/>
        <v>69.61804368</v>
      </c>
      <c r="CE22" s="1">
        <f>+datos!JD1</f>
        <v>264</v>
      </c>
      <c r="CF22" s="1">
        <f t="shared" si="26"/>
        <v>0</v>
      </c>
      <c r="CG22" s="1">
        <f t="shared" si="27"/>
        <v>0</v>
      </c>
      <c r="CI22" s="1">
        <f t="shared" ref="CI22:CX24" si="43">+VLOOKUP(CI$1,ran_dat,$BW22,FALSE)</f>
        <v>34.962073999999994</v>
      </c>
      <c r="CJ22" s="1">
        <f t="shared" si="43"/>
        <v>41.640055749999995</v>
      </c>
      <c r="CK22" s="1">
        <f t="shared" si="43"/>
        <v>54.488227269999996</v>
      </c>
      <c r="CL22" s="1">
        <f t="shared" si="43"/>
        <v>45.888815350000002</v>
      </c>
      <c r="CM22" s="1">
        <f t="shared" si="43"/>
        <v>56.365947810000002</v>
      </c>
      <c r="CN22" s="1">
        <f t="shared" si="43"/>
        <v>58.671597329999997</v>
      </c>
      <c r="CO22" s="1">
        <f t="shared" si="43"/>
        <v>31.625168280000004</v>
      </c>
      <c r="CP22" s="1">
        <f t="shared" si="43"/>
        <v>17.697801470000002</v>
      </c>
      <c r="CQ22" s="1">
        <f t="shared" si="43"/>
        <v>30.191481329999998</v>
      </c>
      <c r="CR22" s="1">
        <f t="shared" si="43"/>
        <v>36.249269399999989</v>
      </c>
      <c r="CS22" s="1">
        <f t="shared" si="43"/>
        <v>40.108989959999995</v>
      </c>
      <c r="CT22" s="1">
        <f t="shared" si="43"/>
        <v>56.890802439999995</v>
      </c>
      <c r="CU22" s="1">
        <f t="shared" si="43"/>
        <v>36.8257318</v>
      </c>
      <c r="CV22" s="1">
        <f t="shared" si="43"/>
        <v>51.381121719999996</v>
      </c>
      <c r="CW22" s="1">
        <f t="shared" si="43"/>
        <v>33.051481680000002</v>
      </c>
      <c r="CX22" s="1">
        <f t="shared" si="43"/>
        <v>60.888504160000004</v>
      </c>
      <c r="CY22" s="1">
        <f t="shared" ref="CY22:DF24" si="44">+VLOOKUP(CY$1,ran_dat,$BW22,FALSE)</f>
        <v>55.773078730000002</v>
      </c>
      <c r="CZ22" s="1">
        <f t="shared" si="44"/>
        <v>34.825160650000001</v>
      </c>
      <c r="DA22" s="1">
        <f t="shared" si="44"/>
        <v>19.014000799999998</v>
      </c>
      <c r="DB22" s="1">
        <f t="shared" si="44"/>
        <v>13.328405800000001</v>
      </c>
      <c r="DC22" s="1">
        <f t="shared" si="44"/>
        <v>41.736807310000003</v>
      </c>
      <c r="DD22" s="1">
        <f t="shared" si="44"/>
        <v>99.771490689999993</v>
      </c>
      <c r="DE22" s="1">
        <f t="shared" si="44"/>
        <v>36.311671529999998</v>
      </c>
      <c r="DF22" s="1">
        <f t="shared" si="44"/>
        <v>57.64022373000001</v>
      </c>
      <c r="DH22" s="1">
        <f t="shared" ref="DH22:DW24" si="45">+VLOOKUP(DH$1,ran_dat,$CA22,FALSE)</f>
        <v>4.9762964800000002</v>
      </c>
      <c r="DI22" s="1">
        <f t="shared" si="45"/>
        <v>5.7062324599999998</v>
      </c>
      <c r="DJ22" s="1">
        <f t="shared" si="45"/>
        <v>5.3893107900000006</v>
      </c>
      <c r="DK22" s="1">
        <f t="shared" si="45"/>
        <v>5.0602291599999996</v>
      </c>
      <c r="DL22" s="1">
        <f t="shared" si="45"/>
        <v>1.1636776099999999</v>
      </c>
      <c r="DM22" s="1">
        <f t="shared" si="45"/>
        <v>4.3331795800000004</v>
      </c>
      <c r="DN22" s="1">
        <f t="shared" si="45"/>
        <v>5.5991701699999998</v>
      </c>
      <c r="DO22" s="1">
        <f t="shared" si="45"/>
        <v>5.1284923700000009</v>
      </c>
      <c r="DP22" s="1">
        <f t="shared" si="45"/>
        <v>4.8853449399999995</v>
      </c>
      <c r="DQ22" s="1">
        <f t="shared" si="45"/>
        <v>4.5019780499999991</v>
      </c>
      <c r="DR22" s="1">
        <f t="shared" si="45"/>
        <v>3.2870284000000001</v>
      </c>
      <c r="DS22" s="1">
        <f t="shared" si="45"/>
        <v>2.2553329799999999</v>
      </c>
      <c r="DT22" s="1">
        <f t="shared" si="45"/>
        <v>4.9563280900000004</v>
      </c>
      <c r="DU22" s="1">
        <f t="shared" si="45"/>
        <v>5.4312745199999997</v>
      </c>
      <c r="DV22" s="1">
        <f t="shared" si="45"/>
        <v>5.9427570699999999</v>
      </c>
      <c r="DW22" s="1">
        <f t="shared" si="45"/>
        <v>7.0989514199999997</v>
      </c>
      <c r="DX22" s="1">
        <f t="shared" si="41"/>
        <v>8.0901624599999984</v>
      </c>
      <c r="DY22" s="1">
        <f t="shared" si="41"/>
        <v>8.5152603000000013</v>
      </c>
      <c r="DZ22" s="1">
        <f t="shared" si="41"/>
        <v>6.4262316399999984</v>
      </c>
      <c r="EA22" s="1">
        <f t="shared" si="41"/>
        <v>5.5724239500000001</v>
      </c>
      <c r="EB22" s="1">
        <f t="shared" si="41"/>
        <v>6.0969073500000004</v>
      </c>
      <c r="EC22" s="1">
        <f t="shared" si="41"/>
        <v>3.8674547000000001</v>
      </c>
      <c r="ED22" s="1">
        <f t="shared" si="41"/>
        <v>3.6075394200000002</v>
      </c>
      <c r="EE22" s="1">
        <f t="shared" si="41"/>
        <v>4.0127527599999997</v>
      </c>
      <c r="EG22" s="14">
        <f t="shared" ref="EG22:EV24" si="46">+VLOOKUP(EG$1,ran_dat,$CE22,FALSE)</f>
        <v>0</v>
      </c>
      <c r="EH22" s="14">
        <f t="shared" si="46"/>
        <v>0</v>
      </c>
      <c r="EI22" s="1">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2"/>
        <v>0</v>
      </c>
      <c r="EX22" s="1">
        <f t="shared" si="42"/>
        <v>0</v>
      </c>
      <c r="EY22" s="1">
        <f t="shared" si="42"/>
        <v>0</v>
      </c>
      <c r="EZ22" s="1">
        <f t="shared" si="42"/>
        <v>0</v>
      </c>
      <c r="FA22" s="1">
        <f t="shared" si="42"/>
        <v>0</v>
      </c>
      <c r="FB22" s="1">
        <f t="shared" si="42"/>
        <v>0</v>
      </c>
      <c r="FC22" s="1">
        <f t="shared" si="42"/>
        <v>0</v>
      </c>
      <c r="FD22" s="1">
        <f t="shared" si="42"/>
        <v>0</v>
      </c>
      <c r="FF22" s="162">
        <f t="shared" si="34"/>
        <v>1.7388138918786851</v>
      </c>
    </row>
    <row r="23" spans="1:162" ht="18.75" customHeight="1">
      <c r="A23" s="244" t="s">
        <v>219</v>
      </c>
      <c r="B23" s="247"/>
      <c r="C23" s="228">
        <f t="shared" si="5"/>
        <v>-0.99</v>
      </c>
      <c r="D23" s="229">
        <v>-1</v>
      </c>
      <c r="E23" s="253">
        <f t="shared" si="6"/>
        <v>0</v>
      </c>
      <c r="F23" s="254">
        <f t="shared" si="7"/>
        <v>-2.4254853705222734E-2</v>
      </c>
      <c r="G23" s="253">
        <f t="shared" si="8"/>
        <v>1.3751244699510723E-2</v>
      </c>
      <c r="H23" s="254">
        <f t="shared" si="9"/>
        <v>-1.3751244699510723E-2</v>
      </c>
      <c r="I23" s="253">
        <f t="shared" si="10"/>
        <v>0.98140998140998104</v>
      </c>
      <c r="J23" s="254">
        <f t="shared" si="11"/>
        <v>-0.67882898769255418</v>
      </c>
      <c r="K23" s="253">
        <f t="shared" si="12"/>
        <v>1.3254191913731495</v>
      </c>
      <c r="L23" s="254">
        <f t="shared" si="13"/>
        <v>-0.34400920996316842</v>
      </c>
      <c r="M23" s="255"/>
      <c r="N23" s="256">
        <v>-2</v>
      </c>
      <c r="O23" s="253">
        <f t="shared" si="35"/>
        <v>-2.3925173422115087E-2</v>
      </c>
      <c r="P23" s="257">
        <f t="shared" si="36"/>
        <v>-2.3925173422115087E-2</v>
      </c>
      <c r="Q23" s="253">
        <f t="shared" si="14"/>
        <v>0.31859999476400835</v>
      </c>
      <c r="R23" s="257">
        <f t="shared" si="37"/>
        <v>0.31859999476400835</v>
      </c>
      <c r="S23" s="255"/>
      <c r="T23" s="256">
        <v>0</v>
      </c>
      <c r="U23" s="253">
        <f t="shared" si="15"/>
        <v>0.11361681795804923</v>
      </c>
      <c r="V23" s="258">
        <f t="shared" si="16"/>
        <v>0.11361681795804923</v>
      </c>
      <c r="W23" s="253">
        <f t="shared" si="38"/>
        <v>0.29005647956156388</v>
      </c>
      <c r="X23" s="258">
        <f t="shared" si="17"/>
        <v>0.29005647956156388</v>
      </c>
      <c r="Y23" s="253">
        <f t="shared" si="18"/>
        <v>-2.39520958083832E-2</v>
      </c>
      <c r="Z23" s="258">
        <f t="shared" si="19"/>
        <v>-2.39520958083832E-2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
        <f>VLOOKUP($A23,historia!$A$5:$CM$24,+HLOOKUP(AO$2,historia!$A$3:$EC$4,2,FALSE),FALSE)</f>
        <v>5</v>
      </c>
      <c r="AP23" s="28">
        <f>VLOOKUP($A23,historia!$A$5:$CM$24,+HLOOKUP(AP$2,historia!$A$3:$EC$4,2,FALSE),FALSE)</f>
        <v>5</v>
      </c>
      <c r="AQ23" s="28">
        <f>VLOOKUP($A23,historia!$A$5:$CM$24,+HLOOKUP(AQ$2,historia!$A$3:$EC$4,2,FALSE),FALSE)</f>
        <v>5</v>
      </c>
      <c r="AR23" s="28">
        <f>VLOOKUP($A23,historia!$A$5:$CM$24,+HLOOKUP(AR$2,historia!$A$3:$EC$4,2,FALSE),FALSE)</f>
        <v>5</v>
      </c>
      <c r="AS23" s="5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4</v>
      </c>
      <c r="AW23" s="58">
        <v>4</v>
      </c>
      <c r="AX23" s="58">
        <v>2</v>
      </c>
      <c r="AY23" s="58">
        <v>4</v>
      </c>
      <c r="AZ23" s="58">
        <v>5</v>
      </c>
      <c r="BA23" s="30"/>
      <c r="BB23" s="141">
        <v>4</v>
      </c>
      <c r="BC23" t="str">
        <f t="shared" si="20"/>
        <v>Vino y Mosto</v>
      </c>
      <c r="BD23">
        <f>+datos!AM1</f>
        <v>39</v>
      </c>
      <c r="BE23" s="2" t="str">
        <f t="shared" si="4"/>
        <v>$/l</v>
      </c>
      <c r="BF23" s="2">
        <f t="shared" si="4"/>
        <v>346.4</v>
      </c>
      <c r="BG23" s="2">
        <f t="shared" si="4"/>
        <v>346.4</v>
      </c>
      <c r="BH23" s="2">
        <f t="shared" si="4"/>
        <v>174.82500000000002</v>
      </c>
      <c r="BJ23">
        <f>+datos!CP1</f>
        <v>94</v>
      </c>
      <c r="BK23" s="2">
        <f t="shared" si="21"/>
        <v>10286.786174413055</v>
      </c>
      <c r="BL23" s="2">
        <f t="shared" si="21"/>
        <v>10147.24887214535</v>
      </c>
      <c r="BM23" s="2">
        <f t="shared" si="21"/>
        <v>4423.6265928203484</v>
      </c>
      <c r="BO23" s="1">
        <f>+datos!EF1</f>
        <v>136</v>
      </c>
      <c r="BP23" s="1">
        <f t="shared" si="22"/>
        <v>199946</v>
      </c>
      <c r="BQ23" s="1">
        <f t="shared" si="22"/>
        <v>204847</v>
      </c>
      <c r="BS23" s="1">
        <f>+datos!GB1</f>
        <v>184</v>
      </c>
      <c r="BT23" s="1">
        <f t="shared" si="23"/>
        <v>19189740</v>
      </c>
      <c r="BU23" s="1">
        <f t="shared" si="23"/>
        <v>14553117</v>
      </c>
      <c r="BW23" s="1">
        <f>+datos!JU1</f>
        <v>281</v>
      </c>
      <c r="BX23" s="1">
        <f t="shared" si="39"/>
        <v>980.27518000999987</v>
      </c>
      <c r="BY23" s="1">
        <f t="shared" si="40"/>
        <v>880.2625501</v>
      </c>
      <c r="CA23" s="1">
        <f>+datos!KZ1</f>
        <v>312</v>
      </c>
      <c r="CB23" s="2">
        <f t="shared" si="24"/>
        <v>19.602085280000001</v>
      </c>
      <c r="CC23" s="2">
        <f t="shared" si="25"/>
        <v>15.194749680000001</v>
      </c>
      <c r="CE23" s="1">
        <f>+datos!IQ1</f>
        <v>251</v>
      </c>
      <c r="CF23" s="1">
        <f t="shared" si="26"/>
        <v>16.3</v>
      </c>
      <c r="CG23" s="1">
        <f t="shared" si="27"/>
        <v>16.7</v>
      </c>
      <c r="CI23" s="1">
        <f t="shared" si="43"/>
        <v>87.09478919</v>
      </c>
      <c r="CJ23" s="1">
        <f t="shared" si="43"/>
        <v>88.790830600000021</v>
      </c>
      <c r="CK23" s="1">
        <f t="shared" si="43"/>
        <v>106.11166329999998</v>
      </c>
      <c r="CL23" s="1">
        <f t="shared" si="43"/>
        <v>99.074693340000039</v>
      </c>
      <c r="CM23" s="1">
        <f t="shared" si="43"/>
        <v>115.95052356999999</v>
      </c>
      <c r="CN23" s="1">
        <f t="shared" si="43"/>
        <v>55.887516779999999</v>
      </c>
      <c r="CO23" s="1">
        <f t="shared" si="43"/>
        <v>84.428757199999993</v>
      </c>
      <c r="CP23" s="1">
        <f t="shared" si="43"/>
        <v>70.799436420000006</v>
      </c>
      <c r="CQ23" s="1">
        <f t="shared" si="43"/>
        <v>83.547570889999989</v>
      </c>
      <c r="CR23" s="1">
        <f t="shared" si="43"/>
        <v>59.429446169999991</v>
      </c>
      <c r="CS23" s="1">
        <f t="shared" si="43"/>
        <v>57.397509530000008</v>
      </c>
      <c r="CT23" s="1">
        <f t="shared" si="43"/>
        <v>71.762443020000006</v>
      </c>
      <c r="CU23" s="1">
        <f t="shared" si="43"/>
        <v>76.246675170000003</v>
      </c>
      <c r="CV23" s="1">
        <f t="shared" si="43"/>
        <v>81.396405279999982</v>
      </c>
      <c r="CW23" s="1">
        <f t="shared" si="43"/>
        <v>86.673250950000011</v>
      </c>
      <c r="CX23" s="1">
        <f t="shared" si="43"/>
        <v>67.769583350000005</v>
      </c>
      <c r="CY23" s="1">
        <f t="shared" si="44"/>
        <v>79.411450110000018</v>
      </c>
      <c r="CZ23" s="1">
        <f t="shared" si="44"/>
        <v>61.526627820000002</v>
      </c>
      <c r="DA23" s="1">
        <f t="shared" si="44"/>
        <v>82.508437450000031</v>
      </c>
      <c r="DB23" s="1">
        <f t="shared" si="44"/>
        <v>73.17738731</v>
      </c>
      <c r="DC23" s="1">
        <f t="shared" si="44"/>
        <v>70.498219510000013</v>
      </c>
      <c r="DD23" s="1">
        <f t="shared" si="44"/>
        <v>58.070113270000007</v>
      </c>
      <c r="DE23" s="1">
        <f t="shared" si="44"/>
        <v>66.649594010000001</v>
      </c>
      <c r="DF23" s="1">
        <f t="shared" si="44"/>
        <v>76.334805869999997</v>
      </c>
      <c r="DH23" s="1">
        <f t="shared" si="45"/>
        <v>4.1008112300000006</v>
      </c>
      <c r="DI23" s="1">
        <f t="shared" si="45"/>
        <v>2.9628047099999995</v>
      </c>
      <c r="DJ23" s="1">
        <f t="shared" si="45"/>
        <v>2.4415022799999999</v>
      </c>
      <c r="DK23" s="1">
        <f t="shared" si="45"/>
        <v>2.4186424700000004</v>
      </c>
      <c r="DL23" s="1">
        <f t="shared" si="45"/>
        <v>2.3161338599999999</v>
      </c>
      <c r="DM23" s="1">
        <f t="shared" si="45"/>
        <v>0.34545517000000003</v>
      </c>
      <c r="DN23" s="1">
        <f t="shared" si="45"/>
        <v>1.3068112300000001</v>
      </c>
      <c r="DO23" s="1">
        <f t="shared" si="45"/>
        <v>1.01985657</v>
      </c>
      <c r="DP23" s="1">
        <f t="shared" si="45"/>
        <v>0.49471243999999998</v>
      </c>
      <c r="DQ23" s="1">
        <f t="shared" si="45"/>
        <v>0.76659119999999992</v>
      </c>
      <c r="DR23" s="1">
        <f t="shared" si="45"/>
        <v>0.41683354000000006</v>
      </c>
      <c r="DS23" s="1">
        <f t="shared" si="45"/>
        <v>1.01193058</v>
      </c>
      <c r="DT23" s="1">
        <f t="shared" si="45"/>
        <v>1.2280305999999999</v>
      </c>
      <c r="DU23" s="1">
        <f t="shared" si="45"/>
        <v>1.7214946800000002</v>
      </c>
      <c r="DV23" s="1">
        <f t="shared" si="45"/>
        <v>1.3147188099999998</v>
      </c>
      <c r="DW23" s="1">
        <f t="shared" si="45"/>
        <v>1.8704580099999999</v>
      </c>
      <c r="DX23" s="1">
        <f t="shared" si="41"/>
        <v>1.2166211999999998</v>
      </c>
      <c r="DY23" s="1">
        <f t="shared" si="41"/>
        <v>1.2618213600000001</v>
      </c>
      <c r="DZ23" s="1">
        <f t="shared" si="41"/>
        <v>2.6711612799999997</v>
      </c>
      <c r="EA23" s="1">
        <f t="shared" si="41"/>
        <v>1.8665371000000002</v>
      </c>
      <c r="EB23" s="1">
        <f t="shared" si="41"/>
        <v>1.1160735099999999</v>
      </c>
      <c r="EC23" s="1">
        <f t="shared" si="41"/>
        <v>0.32453726999999999</v>
      </c>
      <c r="ED23" s="1">
        <f t="shared" si="41"/>
        <v>0.12503209999999998</v>
      </c>
      <c r="EE23" s="1">
        <f t="shared" si="41"/>
        <v>0.47826376000000004</v>
      </c>
      <c r="EG23" s="14">
        <f t="shared" si="46"/>
        <v>16.3</v>
      </c>
      <c r="EH23" s="14">
        <f t="shared" si="46"/>
        <v>16.3</v>
      </c>
      <c r="EI23" s="1">
        <f t="shared" si="46"/>
        <v>16.3</v>
      </c>
      <c r="EJ23" s="1">
        <f t="shared" si="46"/>
        <v>16.3</v>
      </c>
      <c r="EK23" s="1">
        <f t="shared" si="46"/>
        <v>16.3</v>
      </c>
      <c r="EL23" s="1">
        <f t="shared" si="46"/>
        <v>16.3</v>
      </c>
      <c r="EM23" s="1">
        <f t="shared" si="46"/>
        <v>16.3</v>
      </c>
      <c r="EN23" s="1">
        <f t="shared" si="46"/>
        <v>16.3</v>
      </c>
      <c r="EO23" s="1">
        <f t="shared" si="46"/>
        <v>16.3</v>
      </c>
      <c r="EP23" s="1">
        <f t="shared" si="46"/>
        <v>16.3</v>
      </c>
      <c r="EQ23" s="1">
        <f t="shared" si="46"/>
        <v>16.3</v>
      </c>
      <c r="ER23" s="1">
        <f t="shared" si="46"/>
        <v>16.7</v>
      </c>
      <c r="ES23" s="1">
        <f t="shared" si="46"/>
        <v>16.7</v>
      </c>
      <c r="ET23" s="1">
        <f t="shared" si="46"/>
        <v>16.7</v>
      </c>
      <c r="EU23" s="1">
        <f t="shared" si="46"/>
        <v>16.7</v>
      </c>
      <c r="EV23" s="1">
        <f t="shared" si="46"/>
        <v>16.7</v>
      </c>
      <c r="EW23" s="1">
        <f t="shared" si="42"/>
        <v>16.7</v>
      </c>
      <c r="EX23" s="1">
        <f t="shared" si="42"/>
        <v>16.7</v>
      </c>
      <c r="EY23" s="1">
        <f t="shared" si="42"/>
        <v>16.7</v>
      </c>
      <c r="EZ23" s="1">
        <f t="shared" si="42"/>
        <v>16.7</v>
      </c>
      <c r="FA23" s="1">
        <f t="shared" si="42"/>
        <v>16.7</v>
      </c>
      <c r="FB23" s="1">
        <f t="shared" si="42"/>
        <v>16.7</v>
      </c>
      <c r="FC23" s="1">
        <f t="shared" si="42"/>
        <v>16.7</v>
      </c>
      <c r="FD23" s="1">
        <f t="shared" si="42"/>
        <v>18</v>
      </c>
      <c r="FF23" s="162">
        <f t="shared" si="34"/>
        <v>-0.34400920996316842</v>
      </c>
    </row>
    <row r="24" spans="1:162" ht="18.75" customHeight="1">
      <c r="A24" s="243" t="s">
        <v>39</v>
      </c>
      <c r="B24" s="246"/>
      <c r="C24" s="156">
        <f t="shared" si="5"/>
        <v>-0.65999999999999992</v>
      </c>
      <c r="D24" s="198">
        <v>-3</v>
      </c>
      <c r="E24" s="248">
        <f t="shared" si="6"/>
        <v>-0.2142857142857143</v>
      </c>
      <c r="F24" s="249">
        <f t="shared" si="7"/>
        <v>-0.23854056799093704</v>
      </c>
      <c r="G24" s="248">
        <f t="shared" si="8"/>
        <v>2.3687473841067064E-2</v>
      </c>
      <c r="H24" s="249">
        <f t="shared" si="9"/>
        <v>-0.23797318812678137</v>
      </c>
      <c r="I24" s="248">
        <f t="shared" si="10"/>
        <v>-2.5743977326405321E-2</v>
      </c>
      <c r="J24" s="249">
        <f t="shared" si="11"/>
        <v>-1.6859829464289406</v>
      </c>
      <c r="K24" s="248">
        <f t="shared" si="12"/>
        <v>1.4209032720916701</v>
      </c>
      <c r="L24" s="249">
        <f t="shared" si="13"/>
        <v>-1.4466472494180755</v>
      </c>
      <c r="M24" s="250"/>
      <c r="N24" s="24">
        <v>1</v>
      </c>
      <c r="O24" s="248">
        <f t="shared" si="35"/>
        <v>3.6432873308666736E-2</v>
      </c>
      <c r="P24" s="251">
        <f t="shared" si="36"/>
        <v>3.6432873308666736E-2</v>
      </c>
      <c r="Q24" s="248">
        <f t="shared" si="14"/>
        <v>0.33822940953011926</v>
      </c>
      <c r="R24" s="251">
        <f t="shared" si="37"/>
        <v>0.33822940953011926</v>
      </c>
      <c r="S24" s="250"/>
      <c r="T24" s="24">
        <v>0</v>
      </c>
      <c r="U24" s="248">
        <f t="shared" si="15"/>
        <v>4.1120938186359091E-2</v>
      </c>
      <c r="V24" s="252">
        <f t="shared" si="16"/>
        <v>4.1120938186359091E-2</v>
      </c>
      <c r="W24" s="248">
        <f t="shared" si="38"/>
        <v>0.6236115551665522</v>
      </c>
      <c r="X24" s="258">
        <f t="shared" si="17"/>
        <v>0.6236115551665522</v>
      </c>
      <c r="Y24" s="248">
        <f t="shared" si="18"/>
        <v>-9.2922519141609095E-2</v>
      </c>
      <c r="Z24" s="252">
        <f t="shared" si="19"/>
        <v>-9.2922519141609095E-2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
        <f>VLOOKUP($A24,historia!$A$5:$CM$24,+HLOOKUP(AO$2,historia!$A$3:$EC$4,2,FALSE),FALSE)</f>
        <v>3</v>
      </c>
      <c r="AP24" s="28">
        <f>VLOOKUP($A24,historia!$A$5:$CM$24,+HLOOKUP(AP$2,historia!$A$3:$EC$4,2,FALSE),FALSE)</f>
        <v>2</v>
      </c>
      <c r="AQ24" s="28">
        <f>VLOOKUP($A24,historia!$A$5:$CM$24,+HLOOKUP(AQ$2,historia!$A$3:$EC$4,2,FALSE),FALSE)</f>
        <v>2</v>
      </c>
      <c r="AR24" s="28">
        <f>VLOOKUP($A24,historia!$A$5:$CM$24,+HLOOKUP(AR$2,historia!$A$3:$EC$4,2,FALSE),FALSE)</f>
        <v>2</v>
      </c>
      <c r="AS24" s="58">
        <f>VLOOKUP($A24,historia!$A$5:$CM$24,+HLOOKUP(AS$2,historia!$A$3:$EC$4,2,FALSE),FALSE)</f>
        <v>4</v>
      </c>
      <c r="AT24" s="58">
        <f>VLOOKUP($A24,historia!$A$5:$CM$24,+HLOOKUP(AT$2,historia!$A$3:$EC$4,2,FALSE),FALSE)</f>
        <v>4</v>
      </c>
      <c r="AU24" s="58">
        <f>VLOOKUP($A24,historia!$A$5:$CM$24,+HLOOKUP(AU$2,historia!$A$3:$EC$4,2,FALSE),FALSE)</f>
        <v>4</v>
      </c>
      <c r="AV24" s="58">
        <f>VLOOKUP($A24,historia!$A$5:$CM$24,+HLOOKUP(AV$2,historia!$A$3:$EC$4,2,FALSE),FALSE)</f>
        <v>4</v>
      </c>
      <c r="AW24" s="58">
        <v>4</v>
      </c>
      <c r="AX24" s="58">
        <v>4</v>
      </c>
      <c r="AY24" s="58">
        <v>4</v>
      </c>
      <c r="AZ24" s="58">
        <v>5</v>
      </c>
      <c r="BA24" s="30"/>
      <c r="BB24" s="141">
        <v>4</v>
      </c>
      <c r="BC24" t="str">
        <f t="shared" si="20"/>
        <v>Yerba Mate</v>
      </c>
      <c r="BD24">
        <f>+datos!AG1</f>
        <v>33</v>
      </c>
      <c r="BE24" s="2" t="str">
        <f t="shared" si="4"/>
        <v>$/t</v>
      </c>
      <c r="BF24" s="2">
        <f t="shared" si="4"/>
        <v>165000</v>
      </c>
      <c r="BG24" s="2">
        <f t="shared" si="4"/>
        <v>210000</v>
      </c>
      <c r="BH24" s="2">
        <f t="shared" si="4"/>
        <v>169360</v>
      </c>
      <c r="BJ24">
        <f>+datos!CY1</f>
        <v>103</v>
      </c>
      <c r="BK24" s="2">
        <f t="shared" si="21"/>
        <v>8663.6144876793514</v>
      </c>
      <c r="BL24" s="2">
        <f t="shared" si="21"/>
        <v>8463.1439859001566</v>
      </c>
      <c r="BM24" s="2">
        <f t="shared" si="21"/>
        <v>3578.6702374911306</v>
      </c>
      <c r="BO24" s="1">
        <f>+datos!ED1</f>
        <v>134</v>
      </c>
      <c r="BP24" s="1">
        <f t="shared" si="22"/>
        <v>230256</v>
      </c>
      <c r="BQ24" s="1">
        <f t="shared" si="22"/>
        <v>222162</v>
      </c>
      <c r="BS24" s="1">
        <f>+datos!FZ1</f>
        <v>182</v>
      </c>
      <c r="BT24" s="1">
        <f t="shared" si="23"/>
        <v>1006565</v>
      </c>
      <c r="BU24" s="1">
        <f t="shared" si="23"/>
        <v>752161.76899999997</v>
      </c>
      <c r="BW24" s="1">
        <f>+datos!KD1</f>
        <v>290</v>
      </c>
      <c r="BX24" s="1">
        <f t="shared" si="39"/>
        <v>114.52070879999999</v>
      </c>
      <c r="BY24" s="1">
        <f t="shared" si="40"/>
        <v>109.99750806999998</v>
      </c>
      <c r="CA24" s="1">
        <f>+datos!LI1</f>
        <v>321</v>
      </c>
      <c r="CB24" s="2">
        <f t="shared" si="24"/>
        <v>22.804862150000002</v>
      </c>
      <c r="CC24" s="2">
        <f t="shared" si="25"/>
        <v>14.04576241</v>
      </c>
      <c r="CE24" s="1">
        <f>+datos!IP1</f>
        <v>250</v>
      </c>
      <c r="CF24" s="1">
        <f t="shared" si="26"/>
        <v>5.5693606783423002</v>
      </c>
      <c r="CG24" s="1">
        <f t="shared" si="27"/>
        <v>6.139895208369488</v>
      </c>
      <c r="CI24" s="1">
        <f t="shared" si="43"/>
        <v>10.476429469999998</v>
      </c>
      <c r="CJ24" s="1">
        <f t="shared" si="43"/>
        <v>11.361751129999998</v>
      </c>
      <c r="CK24" s="1">
        <f t="shared" si="43"/>
        <v>10.05873476</v>
      </c>
      <c r="CL24" s="1">
        <f t="shared" si="43"/>
        <v>9.4659040999999995</v>
      </c>
      <c r="CM24" s="1">
        <f t="shared" si="43"/>
        <v>8.3006057400000017</v>
      </c>
      <c r="CN24" s="1">
        <f t="shared" si="43"/>
        <v>11.077079630000002</v>
      </c>
      <c r="CO24" s="1">
        <f t="shared" si="43"/>
        <v>7.2906957700000001</v>
      </c>
      <c r="CP24" s="1">
        <f t="shared" si="43"/>
        <v>8.852789640000001</v>
      </c>
      <c r="CQ24" s="1">
        <f t="shared" si="43"/>
        <v>12.408222910000001</v>
      </c>
      <c r="CR24" s="1">
        <f t="shared" si="43"/>
        <v>8.8663402400000013</v>
      </c>
      <c r="CS24" s="1">
        <f t="shared" si="43"/>
        <v>9.2397224899999983</v>
      </c>
      <c r="CT24" s="1">
        <f t="shared" si="43"/>
        <v>7.1224329199999996</v>
      </c>
      <c r="CU24" s="1">
        <f t="shared" si="43"/>
        <v>8.6156523299999996</v>
      </c>
      <c r="CV24" s="1">
        <f t="shared" si="43"/>
        <v>10.17972451</v>
      </c>
      <c r="CW24" s="1">
        <f t="shared" si="43"/>
        <v>11.833514059999999</v>
      </c>
      <c r="CX24" s="1">
        <f t="shared" si="43"/>
        <v>8.6649559600000003</v>
      </c>
      <c r="CY24" s="1">
        <f t="shared" si="44"/>
        <v>8.6995030900000003</v>
      </c>
      <c r="CZ24" s="1">
        <f t="shared" si="44"/>
        <v>9.3876240000000006</v>
      </c>
      <c r="DA24" s="1">
        <f t="shared" si="44"/>
        <v>8.6499339499999994</v>
      </c>
      <c r="DB24" s="1">
        <f t="shared" si="44"/>
        <v>10.5511423</v>
      </c>
      <c r="DC24" s="1">
        <f t="shared" si="44"/>
        <v>12.484662230000001</v>
      </c>
      <c r="DD24" s="1">
        <f t="shared" si="44"/>
        <v>8.9774099899999982</v>
      </c>
      <c r="DE24" s="1">
        <f t="shared" si="44"/>
        <v>3.3752363299999999</v>
      </c>
      <c r="DF24" s="1">
        <f t="shared" si="44"/>
        <v>8.5781493200000014</v>
      </c>
      <c r="DH24" s="1">
        <f t="shared" si="45"/>
        <v>2.1750064099999999</v>
      </c>
      <c r="DI24" s="1">
        <f t="shared" si="45"/>
        <v>2.6101839400000002</v>
      </c>
      <c r="DJ24" s="1">
        <f t="shared" si="45"/>
        <v>1.2494588400000002</v>
      </c>
      <c r="DK24" s="1">
        <f t="shared" si="45"/>
        <v>0.60028256999999996</v>
      </c>
      <c r="DL24" s="1">
        <f t="shared" si="45"/>
        <v>1.7316709800000001</v>
      </c>
      <c r="DM24" s="1">
        <f t="shared" si="45"/>
        <v>1.1554743999999999</v>
      </c>
      <c r="DN24" s="1">
        <f t="shared" si="45"/>
        <v>1.50586095</v>
      </c>
      <c r="DO24" s="1">
        <f t="shared" si="45"/>
        <v>3.2398820599999998</v>
      </c>
      <c r="DP24" s="1">
        <f t="shared" si="45"/>
        <v>3.1775986299999999</v>
      </c>
      <c r="DQ24" s="1">
        <f t="shared" si="45"/>
        <v>2.4176205400000002</v>
      </c>
      <c r="DR24" s="1">
        <f t="shared" si="45"/>
        <v>1.0621514699999999</v>
      </c>
      <c r="DS24" s="1">
        <f t="shared" si="45"/>
        <v>1.8796713600000001</v>
      </c>
      <c r="DT24" s="1">
        <f t="shared" si="45"/>
        <v>2.4189343299999999</v>
      </c>
      <c r="DU24" s="1">
        <f t="shared" si="45"/>
        <v>2.31537419</v>
      </c>
      <c r="DV24" s="1">
        <f t="shared" si="45"/>
        <v>1.6581343500000001</v>
      </c>
      <c r="DW24" s="1">
        <f t="shared" si="45"/>
        <v>1.1317222</v>
      </c>
      <c r="DX24" s="1">
        <f t="shared" si="41"/>
        <v>1.25031731</v>
      </c>
      <c r="DY24" s="1">
        <f t="shared" si="41"/>
        <v>1.1220479999999999</v>
      </c>
      <c r="DZ24" s="1">
        <f t="shared" si="41"/>
        <v>1.06290057</v>
      </c>
      <c r="EA24" s="1">
        <f t="shared" si="41"/>
        <v>0.94532128999999998</v>
      </c>
      <c r="EB24" s="1">
        <f t="shared" si="41"/>
        <v>0.74918092999999997</v>
      </c>
      <c r="EC24" s="1">
        <f t="shared" si="41"/>
        <v>0.38311624</v>
      </c>
      <c r="ED24" s="1">
        <f t="shared" si="41"/>
        <v>0.75479300000000005</v>
      </c>
      <c r="EE24" s="1">
        <f t="shared" si="41"/>
        <v>0.25391999999999998</v>
      </c>
      <c r="EG24" s="14">
        <f t="shared" si="46"/>
        <v>5.5693606783423002</v>
      </c>
      <c r="EH24" s="14">
        <f t="shared" si="46"/>
        <v>5.5693606783423002</v>
      </c>
      <c r="EI24" s="1">
        <f t="shared" si="46"/>
        <v>5.5693606783423002</v>
      </c>
      <c r="EJ24" s="1">
        <f t="shared" si="46"/>
        <v>5.5693606783423002</v>
      </c>
      <c r="EK24" s="1">
        <f t="shared" si="46"/>
        <v>5.5693606783423002</v>
      </c>
      <c r="EL24" s="1">
        <f t="shared" si="46"/>
        <v>5.5693606783423002</v>
      </c>
      <c r="EM24" s="1">
        <f t="shared" si="46"/>
        <v>5.5693606783423002</v>
      </c>
      <c r="EN24" s="1">
        <f t="shared" si="46"/>
        <v>5.5693606783423002</v>
      </c>
      <c r="EO24" s="1">
        <f t="shared" si="46"/>
        <v>5.5693606783423002</v>
      </c>
      <c r="EP24" s="1">
        <f t="shared" si="46"/>
        <v>5.5693606783423002</v>
      </c>
      <c r="EQ24" s="1">
        <f t="shared" si="46"/>
        <v>5.5693606783423002</v>
      </c>
      <c r="ER24" s="1">
        <f t="shared" si="46"/>
        <v>6.139895208369488</v>
      </c>
      <c r="ES24" s="1">
        <f t="shared" si="46"/>
        <v>6.139895208369488</v>
      </c>
      <c r="ET24" s="1">
        <f t="shared" si="46"/>
        <v>6.139895208369488</v>
      </c>
      <c r="EU24" s="1">
        <f t="shared" si="46"/>
        <v>6.139895208369488</v>
      </c>
      <c r="EV24" s="1">
        <f t="shared" si="46"/>
        <v>6.139895208369488</v>
      </c>
      <c r="EW24" s="1">
        <f t="shared" si="42"/>
        <v>6.139895208369488</v>
      </c>
      <c r="EX24" s="1">
        <f t="shared" si="42"/>
        <v>6.139895208369488</v>
      </c>
      <c r="EY24" s="1">
        <f t="shared" si="42"/>
        <v>6.139895208369488</v>
      </c>
      <c r="EZ24" s="1">
        <f t="shared" si="42"/>
        <v>6.139895208369488</v>
      </c>
      <c r="FA24" s="1">
        <f t="shared" si="42"/>
        <v>6.139895208369488</v>
      </c>
      <c r="FB24" s="1">
        <f t="shared" si="42"/>
        <v>6.139895208369488</v>
      </c>
      <c r="FC24" s="1">
        <f t="shared" si="42"/>
        <v>6.139895208369488</v>
      </c>
      <c r="FD24" s="1">
        <f t="shared" si="42"/>
        <v>5.9356067942694777</v>
      </c>
      <c r="FF24" s="162">
        <f t="shared" si="34"/>
        <v>-1.4466472494180755</v>
      </c>
    </row>
    <row r="25" spans="1:162"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S25" s="58"/>
      <c r="AT25" s="58"/>
      <c r="AU25" s="58"/>
      <c r="AV25" s="58"/>
      <c r="AW25" s="58"/>
      <c r="AX25" s="58">
        <v>4</v>
      </c>
      <c r="AY25" s="58"/>
      <c r="AZ25" s="58"/>
      <c r="BA25" s="30"/>
      <c r="BE25" s="2"/>
      <c r="BF25" s="2"/>
      <c r="BG25" s="2"/>
      <c r="BH25" s="2"/>
      <c r="BK25" s="2"/>
      <c r="BL25" s="2"/>
      <c r="BM25" s="2"/>
      <c r="BO25" s="1"/>
      <c r="BP25" s="1"/>
      <c r="BQ25" s="1"/>
      <c r="BS25" s="1"/>
      <c r="BT25" s="1"/>
      <c r="BU25" s="1"/>
      <c r="BW25" s="1"/>
      <c r="BX25" s="1"/>
      <c r="BY25" s="1"/>
      <c r="CA25" s="1"/>
      <c r="CB25" s="2"/>
      <c r="CC25" s="2"/>
      <c r="CE25" s="1"/>
      <c r="CF25" s="1"/>
      <c r="CG25" s="1"/>
      <c r="CI25" s="1"/>
      <c r="CJ25" s="1"/>
      <c r="CK25" s="1"/>
      <c r="CL25" s="1"/>
      <c r="CM25" s="1"/>
      <c r="CN25" s="1"/>
      <c r="CO25" s="1"/>
      <c r="CP25" s="1"/>
      <c r="CQ25" s="1"/>
      <c r="CR25" s="1"/>
      <c r="CS25" s="1"/>
      <c r="CT25" s="1"/>
      <c r="CU25" s="1"/>
      <c r="CV25" s="1"/>
      <c r="CW25" s="1"/>
      <c r="CX25" s="1"/>
      <c r="CY25" s="1"/>
      <c r="CZ25" s="1"/>
      <c r="DA25" s="1"/>
      <c r="DB25" s="1"/>
      <c r="DC25" s="1"/>
      <c r="DD25" s="1"/>
      <c r="DE25" s="1"/>
      <c r="DF25" s="1"/>
      <c r="DH25" s="1"/>
      <c r="DI25" s="1"/>
      <c r="DJ25" s="1"/>
      <c r="DK25" s="1"/>
      <c r="DL25" s="1"/>
      <c r="DM25" s="1"/>
      <c r="DN25" s="1"/>
      <c r="DO25" s="1"/>
      <c r="DP25" s="1"/>
      <c r="DQ25" s="1"/>
      <c r="DR25" s="1"/>
      <c r="DS25" s="1"/>
      <c r="DT25" s="1"/>
      <c r="DU25" s="1"/>
      <c r="DV25" s="1"/>
      <c r="DW25" s="1"/>
      <c r="DX25" s="1"/>
      <c r="DY25" s="1"/>
      <c r="DZ25" s="1"/>
      <c r="EA25" s="1"/>
      <c r="EB25" s="1"/>
      <c r="EC25" s="1"/>
      <c r="ED25" s="1"/>
      <c r="EE25" s="1"/>
      <c r="EI25" s="1"/>
      <c r="EJ25" s="1"/>
      <c r="EK25" s="1"/>
      <c r="EL25" s="1"/>
      <c r="EM25" s="1"/>
      <c r="EN25" s="1"/>
      <c r="EO25" s="1"/>
      <c r="EP25" s="1"/>
      <c r="EQ25" s="1"/>
      <c r="ER25" s="1"/>
      <c r="ES25" s="1"/>
      <c r="ET25" s="1"/>
      <c r="EU25" s="1"/>
      <c r="EV25" s="1"/>
      <c r="EW25" s="1"/>
      <c r="EX25" s="1"/>
      <c r="EY25" s="1"/>
      <c r="EZ25" s="1"/>
      <c r="FA25" s="1"/>
      <c r="FB25" s="1"/>
      <c r="FC25" s="1"/>
      <c r="FD25" s="1"/>
      <c r="FF25" s="162"/>
    </row>
    <row r="26" spans="1:162" ht="18.75" customHeight="1">
      <c r="E26" s="12">
        <f>+AVERAGE(E6:E24)</f>
        <v>-5.6428447531683299E-3</v>
      </c>
      <c r="F26" s="37">
        <f>+E26-$I$3</f>
        <v>-1.6658818138557034</v>
      </c>
      <c r="G26" s="12">
        <f>+AVERAGE(G6:G24)</f>
        <v>2.0432149025421845E-2</v>
      </c>
      <c r="I26" s="12">
        <f>+AVERAGEIF(I6:I24,"&gt;211%")</f>
        <v>3.2598761982496072</v>
      </c>
      <c r="J26" s="37">
        <f t="shared" si="11"/>
        <v>1.599637229147072</v>
      </c>
      <c r="K26" s="12">
        <f>+AVERAGE(K6:K24)</f>
        <v>1.4046587094085501</v>
      </c>
      <c r="O26" s="12">
        <f>+AVERAGE(O6:O24)</f>
        <v>3.4128787505830649E-2</v>
      </c>
      <c r="AB26" s="57"/>
    </row>
    <row r="27" spans="1:162" ht="18.75" customHeight="1">
      <c r="I27" s="12">
        <f>+AVERAGEIF(I6:I24,"&lt;211%")</f>
        <v>1.1425473962579284</v>
      </c>
      <c r="K27" s="177">
        <f>+SUBTOTAL(101,K6:K21)</f>
        <v>1.4024359015829748</v>
      </c>
      <c r="V27" t="s">
        <v>167</v>
      </c>
      <c r="X27" s="162"/>
      <c r="BB27" s="141" t="s">
        <v>273</v>
      </c>
      <c r="BP27" s="1">
        <f>+SUM(BP6:BP24)</f>
        <v>115938494</v>
      </c>
      <c r="BQ27" s="1">
        <f>+SUM(BQ6:BQ24)</f>
        <v>115373812</v>
      </c>
      <c r="BT27" s="1">
        <f>+SUM(BT6:BT24)</f>
        <v>161610012.3189562</v>
      </c>
      <c r="BU27" s="1">
        <f>+SUM(BU6:BU24)</f>
        <v>141871179.77533197</v>
      </c>
      <c r="BX27" s="1">
        <f>+SUM(BX6:BX24)</f>
        <v>55577.939746939999</v>
      </c>
      <c r="BY27" s="1">
        <f>+SUM(BY6:BY24)</f>
        <v>47841.67224403999</v>
      </c>
      <c r="CB27" s="1">
        <f>+SUM(CB6:CB24)</f>
        <v>3881.8101668599993</v>
      </c>
      <c r="CC27" s="1">
        <f>+SUM(CC6:CC24)</f>
        <v>5809.8637025000007</v>
      </c>
      <c r="FF27" s="167">
        <f>+COUNTIF(FF6:FF24,"&gt;0")</f>
        <v>9</v>
      </c>
    </row>
    <row r="28" spans="1:162" ht="18.75" customHeight="1">
      <c r="A28" s="11">
        <f>+COUNTIF($C$6:$C$24,"&lt;0")</f>
        <v>10</v>
      </c>
      <c r="C28" s="156">
        <v>-1</v>
      </c>
      <c r="E28" s="167">
        <f>+COUNTIF($I$6:$I$24,"&lt;1,69")</f>
        <v>14</v>
      </c>
      <c r="F28" s="29">
        <v>-1</v>
      </c>
      <c r="I28" s="167">
        <f>+COUNTIF($I$6:$I$24,"&lt;1,69")</f>
        <v>14</v>
      </c>
      <c r="J28" s="29">
        <v>-1</v>
      </c>
      <c r="K28">
        <f>+COUNTIF($L$6:$L$24,"&lt;0")</f>
        <v>10</v>
      </c>
      <c r="L28" s="29">
        <v>-1</v>
      </c>
      <c r="O28">
        <f>+COUNTIF($P$6:$P$24,"&lt;0")</f>
        <v>7</v>
      </c>
      <c r="P28" s="262">
        <v>-1</v>
      </c>
      <c r="Q28">
        <f>+COUNTIF($R$6:$R$24,"&lt;0")</f>
        <v>10</v>
      </c>
      <c r="R28" s="262">
        <v>-1</v>
      </c>
      <c r="T28" s="57">
        <f>+COUNTIF($U$6:$U$24,"&lt;0")</f>
        <v>3</v>
      </c>
      <c r="U28" s="29">
        <v>-1</v>
      </c>
      <c r="BQ28" t="s">
        <v>491</v>
      </c>
      <c r="BT28" s="167">
        <f>+SUMIFS(BT6:BT24,BB6:BB24,5)+SUMIFS(BT6:BT24,BB6:BB24,4)</f>
        <v>148507786.2436569</v>
      </c>
      <c r="BX28" s="10">
        <f>+BX27/BY27-1</f>
        <v>0.16170562482509743</v>
      </c>
      <c r="CB28" s="10">
        <f>+CB27/CC27-1</f>
        <v>-0.33185865183211694</v>
      </c>
    </row>
    <row r="29" spans="1:162" ht="18.75" customHeight="1">
      <c r="A29" s="11">
        <f>+COUNTIF($C$6:$C$24,C29)</f>
        <v>8</v>
      </c>
      <c r="C29" s="156">
        <v>0</v>
      </c>
      <c r="E29" s="167">
        <f>+COUNTIF($I$6:$I$24,"=1,69")</f>
        <v>0</v>
      </c>
      <c r="F29" s="29">
        <v>0</v>
      </c>
      <c r="I29" s="167">
        <f>+COUNTIF($I$6:$I$24,"=1,69")</f>
        <v>0</v>
      </c>
      <c r="J29" s="29">
        <v>0</v>
      </c>
      <c r="L29" s="29">
        <v>0</v>
      </c>
      <c r="O29">
        <f>+COUNTIF($P$6:$P$24,"=0")</f>
        <v>2</v>
      </c>
      <c r="P29" s="262">
        <v>0</v>
      </c>
      <c r="Q29">
        <f>+COUNTIF($R$6:$R$24,"=0")</f>
        <v>1</v>
      </c>
      <c r="R29" s="262">
        <v>0</v>
      </c>
      <c r="T29" s="57">
        <f>+COUNTIF($U$6:$U$24,"=0")</f>
        <v>0</v>
      </c>
      <c r="U29" s="29">
        <v>0</v>
      </c>
      <c r="BQ29" t="s">
        <v>492</v>
      </c>
      <c r="BT29" s="167">
        <f>+SUMIFS(BT6:BT24,BB6:BB24,3)</f>
        <v>13071421.522299286</v>
      </c>
    </row>
    <row r="30" spans="1:162" ht="18.75" customHeight="1">
      <c r="A30" s="11">
        <f>+COUNTIF($C$6:$C$24,"&gt;0")</f>
        <v>1</v>
      </c>
      <c r="C30" s="156">
        <v>1</v>
      </c>
      <c r="E30" s="167">
        <f>+COUNTIF($I$6:$I$24,"&gt;1,69")</f>
        <v>5</v>
      </c>
      <c r="F30" s="29">
        <v>1</v>
      </c>
      <c r="I30" s="167">
        <f>+COUNTIF($I$6:$I$24,"&gt;1,69")</f>
        <v>5</v>
      </c>
      <c r="J30" s="29">
        <v>1</v>
      </c>
      <c r="K30">
        <f>+COUNTIF($L$6:$L$24,"&gt;0")</f>
        <v>9</v>
      </c>
      <c r="L30" s="29">
        <v>1</v>
      </c>
      <c r="O30">
        <f>+COUNTIF($P$6:$P$24,"&gt;0")</f>
        <v>9</v>
      </c>
      <c r="P30" s="262">
        <v>1</v>
      </c>
      <c r="Q30">
        <f>+COUNTIF($R$6:$R$24,"&gt;0")</f>
        <v>8</v>
      </c>
      <c r="R30" s="262">
        <v>1</v>
      </c>
      <c r="T30" s="57">
        <f>+COUNTIF($U$6:$U$24,"&gt;0")</f>
        <v>15</v>
      </c>
      <c r="U30" s="29">
        <v>1</v>
      </c>
      <c r="X30" s="14"/>
      <c r="BQ30" t="s">
        <v>493</v>
      </c>
      <c r="BT30" s="167">
        <f>+SUMIFS(BT6:BT24,BB6:BB24,1)+SUMIFS(BT6:BT24,BB6:BB24,2)</f>
        <v>30804.553</v>
      </c>
      <c r="BW30" s="1"/>
    </row>
    <row r="31" spans="1:162" ht="18.75" customHeight="1">
      <c r="K31" s="12"/>
    </row>
    <row r="32" spans="1:162" ht="18.75" customHeight="1">
      <c r="C32" s="157"/>
      <c r="I32" s="14">
        <f>+COUNTIF(I6:I24,"&gt;211%")</f>
        <v>2</v>
      </c>
      <c r="J32" s="14"/>
      <c r="K32" s="14"/>
      <c r="Y32" s="163"/>
    </row>
    <row r="33" spans="1:163" ht="18.75" customHeight="1">
      <c r="C33" s="157"/>
      <c r="I33" s="12">
        <f>+I26/2</f>
        <v>1.6299380991248036</v>
      </c>
    </row>
    <row r="34" spans="1:163"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28"/>
      <c r="AP34" s="28"/>
      <c r="AQ34" s="28"/>
      <c r="AR34" s="28"/>
      <c r="AS34"/>
      <c r="AT34"/>
      <c r="AU34"/>
      <c r="AV34"/>
      <c r="AW34"/>
      <c r="AX34"/>
      <c r="AY34"/>
      <c r="AZ34"/>
      <c r="BA34"/>
      <c r="BB34" s="141"/>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s="14"/>
      <c r="EH34" s="14"/>
      <c r="EI34"/>
      <c r="EJ34"/>
      <c r="EK34"/>
      <c r="EL34"/>
      <c r="EM34"/>
      <c r="EN34"/>
      <c r="EO34"/>
      <c r="EP34"/>
      <c r="EQ34"/>
      <c r="ER34"/>
      <c r="ES34"/>
      <c r="ET34"/>
      <c r="EU34"/>
      <c r="EV34"/>
      <c r="EW34"/>
      <c r="EX34"/>
      <c r="EY34"/>
      <c r="EZ34"/>
      <c r="FA34"/>
      <c r="FB34"/>
      <c r="FC34"/>
      <c r="FD34"/>
      <c r="FE34"/>
      <c r="FF34"/>
      <c r="FG34"/>
    </row>
    <row r="35" spans="1:163"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28"/>
      <c r="AP35" s="28"/>
      <c r="AQ35" s="28"/>
      <c r="AR35" s="28"/>
      <c r="AS35"/>
      <c r="AT35"/>
      <c r="AU35"/>
      <c r="AV35"/>
      <c r="AW35"/>
      <c r="AX35"/>
      <c r="AY35"/>
      <c r="AZ35"/>
      <c r="BA35"/>
      <c r="BB35" s="141"/>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s="14"/>
      <c r="EH35" s="14"/>
      <c r="EI35"/>
      <c r="EJ35"/>
      <c r="EK35"/>
      <c r="EL35"/>
      <c r="EM35"/>
      <c r="EN35"/>
      <c r="EO35"/>
      <c r="EP35"/>
      <c r="EQ35"/>
      <c r="ER35"/>
      <c r="ES35"/>
      <c r="ET35"/>
      <c r="EU35"/>
      <c r="EV35"/>
      <c r="EW35"/>
      <c r="EX35"/>
      <c r="EY35"/>
      <c r="EZ35"/>
      <c r="FA35"/>
      <c r="FB35"/>
      <c r="FC35"/>
      <c r="FD35"/>
      <c r="FE35"/>
      <c r="FF35"/>
      <c r="FG35"/>
    </row>
    <row r="36" spans="1:163"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28"/>
      <c r="AP36" s="28"/>
      <c r="AQ36" s="28"/>
      <c r="AR36" s="28"/>
      <c r="AS36"/>
      <c r="AT36"/>
      <c r="AU36"/>
      <c r="AV36"/>
      <c r="AW36"/>
      <c r="AX36"/>
      <c r="AY36"/>
      <c r="AZ36"/>
      <c r="BA36"/>
      <c r="BB36" s="141"/>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s="14"/>
      <c r="EH36" s="14"/>
      <c r="EI36"/>
      <c r="EJ36"/>
      <c r="EK36"/>
      <c r="EL36"/>
      <c r="EM36"/>
      <c r="EN36"/>
      <c r="EO36"/>
      <c r="EP36"/>
      <c r="EQ36"/>
      <c r="ER36"/>
      <c r="ES36"/>
      <c r="ET36"/>
      <c r="EU36"/>
      <c r="EV36"/>
      <c r="EW36"/>
      <c r="EX36"/>
      <c r="EY36"/>
      <c r="EZ36"/>
      <c r="FA36"/>
      <c r="FB36"/>
      <c r="FC36"/>
      <c r="FD36"/>
      <c r="FE36"/>
      <c r="FF36"/>
      <c r="FG36"/>
    </row>
    <row r="37" spans="1:163"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28"/>
      <c r="AP37" s="28"/>
      <c r="AQ37" s="28"/>
      <c r="AR37" s="28"/>
      <c r="AS37"/>
      <c r="AT37"/>
      <c r="AU37"/>
      <c r="AV37"/>
      <c r="AW37"/>
      <c r="AX37"/>
      <c r="AY37"/>
      <c r="AZ37"/>
      <c r="BA37"/>
      <c r="BB37" s="141"/>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s="14"/>
      <c r="EH37" s="14"/>
      <c r="EI37"/>
      <c r="EJ37"/>
      <c r="EK37"/>
      <c r="EL37"/>
      <c r="EM37"/>
      <c r="EN37"/>
      <c r="EO37"/>
      <c r="EP37"/>
      <c r="EQ37"/>
      <c r="ER37"/>
      <c r="ES37"/>
      <c r="ET37"/>
      <c r="EU37"/>
      <c r="EV37"/>
      <c r="EW37"/>
      <c r="EX37"/>
      <c r="EY37"/>
      <c r="EZ37"/>
      <c r="FA37"/>
      <c r="FB37"/>
      <c r="FC37"/>
      <c r="FD37"/>
      <c r="FE37"/>
      <c r="FF37"/>
      <c r="FG37"/>
    </row>
    <row r="38" spans="1:163"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28"/>
      <c r="AP38" s="28"/>
      <c r="AQ38" s="28"/>
      <c r="AR38" s="28"/>
      <c r="AS38"/>
      <c r="AT38"/>
      <c r="AU38"/>
      <c r="AV38"/>
      <c r="AW38"/>
      <c r="AX38"/>
      <c r="AY38"/>
      <c r="AZ38"/>
      <c r="BA38"/>
      <c r="BB38" s="141"/>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s="14"/>
      <c r="EH38" s="14"/>
      <c r="EI38"/>
      <c r="EJ38"/>
      <c r="EK38"/>
      <c r="EL38"/>
      <c r="EM38"/>
      <c r="EN38"/>
      <c r="EO38"/>
      <c r="EP38"/>
      <c r="EQ38"/>
      <c r="ER38"/>
      <c r="ES38"/>
      <c r="ET38"/>
      <c r="EU38"/>
      <c r="EV38"/>
      <c r="EW38"/>
      <c r="EX38"/>
      <c r="EY38"/>
      <c r="EZ38"/>
      <c r="FA38"/>
      <c r="FB38"/>
      <c r="FC38"/>
      <c r="FD38"/>
      <c r="FE38"/>
      <c r="FF38"/>
      <c r="FG38"/>
    </row>
    <row r="39" spans="1:163"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28"/>
      <c r="AP39" s="28"/>
      <c r="AQ39" s="28"/>
      <c r="AR39" s="28"/>
      <c r="AS39"/>
      <c r="AT39"/>
      <c r="AU39"/>
      <c r="AV39"/>
      <c r="AW39"/>
      <c r="AX39"/>
      <c r="AY39"/>
      <c r="AZ39"/>
      <c r="BA39"/>
      <c r="BB39" s="141"/>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s="14"/>
      <c r="EH39" s="14"/>
      <c r="EI39"/>
      <c r="EJ39"/>
      <c r="EK39"/>
      <c r="EL39"/>
      <c r="EM39"/>
      <c r="EN39"/>
      <c r="EO39"/>
      <c r="EP39"/>
      <c r="EQ39"/>
      <c r="ER39"/>
      <c r="ES39"/>
      <c r="ET39"/>
      <c r="EU39"/>
      <c r="EV39"/>
      <c r="EW39"/>
      <c r="EX39"/>
      <c r="EY39"/>
      <c r="EZ39"/>
      <c r="FA39"/>
      <c r="FB39"/>
      <c r="FC39"/>
      <c r="FD39"/>
      <c r="FE39"/>
      <c r="FF39"/>
      <c r="FG39"/>
    </row>
    <row r="40" spans="1:163"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28"/>
      <c r="AP40" s="28"/>
      <c r="AQ40" s="28"/>
      <c r="AR40" s="28"/>
      <c r="AS40"/>
      <c r="AT40"/>
      <c r="AU40"/>
      <c r="AV40"/>
      <c r="AW40"/>
      <c r="AX40"/>
      <c r="AY40"/>
      <c r="AZ40"/>
      <c r="BA40"/>
      <c r="BB40" s="141"/>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s="14"/>
      <c r="EH40" s="14"/>
      <c r="EI40"/>
      <c r="EJ40"/>
      <c r="EK40"/>
      <c r="EL40"/>
      <c r="EM40"/>
      <c r="EN40"/>
      <c r="EO40"/>
      <c r="EP40"/>
      <c r="EQ40"/>
      <c r="ER40"/>
      <c r="ES40"/>
      <c r="ET40"/>
      <c r="EU40"/>
      <c r="EV40"/>
      <c r="EW40"/>
      <c r="EX40"/>
      <c r="EY40"/>
      <c r="EZ40"/>
      <c r="FA40"/>
      <c r="FB40"/>
      <c r="FC40"/>
      <c r="FD40"/>
      <c r="FE40"/>
      <c r="FF40"/>
      <c r="FG40"/>
    </row>
    <row r="45" spans="1:163"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28"/>
      <c r="AP45" s="28"/>
      <c r="AQ45" s="28"/>
      <c r="AR45" s="28"/>
      <c r="AS45"/>
      <c r="AT45"/>
      <c r="AU45"/>
      <c r="AV45"/>
      <c r="AW45"/>
      <c r="AX45"/>
      <c r="AY45"/>
      <c r="AZ45"/>
      <c r="BA45"/>
      <c r="BB45" s="141"/>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s="14"/>
      <c r="EH45" s="14"/>
      <c r="EI45"/>
      <c r="EJ45"/>
      <c r="EK45"/>
      <c r="EL45"/>
      <c r="EM45"/>
      <c r="EN45"/>
      <c r="EO45"/>
      <c r="EP45"/>
      <c r="EQ45"/>
      <c r="ER45"/>
      <c r="ES45"/>
      <c r="ET45"/>
      <c r="EU45"/>
      <c r="EV45"/>
      <c r="EW45"/>
      <c r="EX45"/>
      <c r="EY45"/>
      <c r="EZ45"/>
      <c r="FA45"/>
      <c r="FB45"/>
      <c r="FC45"/>
      <c r="FD45"/>
      <c r="FE45"/>
      <c r="FF45"/>
      <c r="FG45"/>
    </row>
    <row r="46" spans="1:163"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28"/>
      <c r="AP46" s="28"/>
      <c r="AQ46" s="28"/>
      <c r="AR46" s="28"/>
      <c r="AS46"/>
      <c r="AT46"/>
      <c r="AU46"/>
      <c r="AV46"/>
      <c r="AW46"/>
      <c r="AX46"/>
      <c r="AY46"/>
      <c r="AZ46"/>
      <c r="BA46"/>
      <c r="BB46" s="141"/>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s="14"/>
      <c r="EH46" s="14"/>
      <c r="EI46"/>
      <c r="EJ46"/>
      <c r="EK46"/>
      <c r="EL46"/>
      <c r="EM46"/>
      <c r="EN46"/>
      <c r="EO46"/>
      <c r="EP46"/>
      <c r="EQ46"/>
      <c r="ER46"/>
      <c r="ES46"/>
      <c r="ET46"/>
      <c r="EU46"/>
      <c r="EV46"/>
      <c r="EW46"/>
      <c r="EX46"/>
      <c r="EY46"/>
      <c r="EZ46"/>
      <c r="FA46"/>
      <c r="FB46"/>
      <c r="FC46"/>
      <c r="FD46"/>
      <c r="FE46"/>
      <c r="FF46"/>
      <c r="FG46"/>
    </row>
    <row r="47" spans="1:163"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28"/>
      <c r="AP47" s="28"/>
      <c r="AQ47" s="28"/>
      <c r="AR47" s="28"/>
      <c r="AS47"/>
      <c r="AT47"/>
      <c r="AU47"/>
      <c r="AV47"/>
      <c r="AW47"/>
      <c r="AX47"/>
      <c r="AY47"/>
      <c r="AZ47"/>
      <c r="BA47"/>
      <c r="BB47" s="141"/>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s="14"/>
      <c r="EH47" s="14"/>
      <c r="EI47"/>
      <c r="EJ47"/>
      <c r="EK47"/>
      <c r="EL47"/>
      <c r="EM47"/>
      <c r="EN47"/>
      <c r="EO47"/>
      <c r="EP47"/>
      <c r="EQ47"/>
      <c r="ER47"/>
      <c r="ES47"/>
      <c r="ET47"/>
      <c r="EU47"/>
      <c r="EV47"/>
      <c r="EW47"/>
      <c r="EX47"/>
      <c r="EY47"/>
      <c r="EZ47"/>
      <c r="FA47"/>
      <c r="FB47"/>
      <c r="FC47"/>
      <c r="FD47"/>
      <c r="FE47"/>
      <c r="FF47"/>
      <c r="FG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N24 AC25 AE25:AN25">
    <cfRule type="expression" dxfId="77" priority="48">
      <formula>AO6=3</formula>
    </cfRule>
    <cfRule type="expression" dxfId="76" priority="49">
      <formula>AO6=5</formula>
    </cfRule>
    <cfRule type="expression" dxfId="75" priority="50">
      <formula>AO6=4</formula>
    </cfRule>
    <cfRule type="expression" dxfId="74" priority="51">
      <formula>AO6=2</formula>
    </cfRule>
    <cfRule type="expression" dxfId="73" priority="52">
      <formula>AO6=1</formula>
    </cfRule>
    <cfRule type="expression" dxfId="72" priority="53">
      <formula>AO6=0</formula>
    </cfRule>
  </conditionalFormatting>
  <conditionalFormatting sqref="FF6:FF25 FF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25E4C72D-CAB0-4570-AEE8-4E070B00F287}">
      <formula1>lis_dat</formula1>
    </dataValidation>
  </dataValidations>
  <pageMargins left="0.25" right="0.25" top="0.75" bottom="0.75" header="0.3" footer="0.3"/>
  <pageSetup paperSize="9" scale="55" orientation="portrait" r:id="rId1"/>
  <extLst>
    <ext xmlns:x14="http://schemas.microsoft.com/office/spreadsheetml/2009/9/main" uri="{78C0D931-6437-407d-A8EE-F0AAD7539E65}">
      <x14:conditionalFormattings>
        <x14:conditionalFormatting xmlns:xm="http://schemas.microsoft.com/office/excel/2006/main">
          <x14:cfRule type="iconSet" priority="1" id="{5CDC3052-407A-49A3-ADB3-84085E6C949A}">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8E64CCAA-BA2C-4DB3-961C-13D38303BD15}">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7539D-00E6-43BB-A900-2AFD85F131A8}">
  <sheetPr>
    <tabColor theme="5" tint="-0.249977111117893"/>
    <pageSetUpPr fitToPage="1"/>
  </sheetPr>
  <dimension ref="A1:FG47"/>
  <sheetViews>
    <sheetView showGridLines="0" topLeftCell="A3" zoomScale="80" zoomScaleNormal="80" workbookViewId="0">
      <selection activeCell="BB7" sqref="BB7"/>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5.44140625" style="28" customWidth="1"/>
    <col min="42" max="42" width="6" style="28" customWidth="1"/>
    <col min="43" max="43" width="5.33203125" style="28" customWidth="1"/>
    <col min="44" max="44" width="4.88671875" style="28" customWidth="1"/>
    <col min="45" max="46" width="5.5546875" customWidth="1"/>
    <col min="47" max="47" width="5.33203125" customWidth="1"/>
    <col min="48" max="48" width="5.5546875" customWidth="1"/>
    <col min="49" max="50" width="4.88671875" customWidth="1"/>
    <col min="51" max="51" width="7.33203125" customWidth="1"/>
    <col min="52" max="52" width="6.109375" customWidth="1"/>
    <col min="53" max="53" width="2.44140625" customWidth="1"/>
    <col min="54" max="54" width="15.88671875" style="141" customWidth="1"/>
    <col min="55" max="55" width="12" customWidth="1"/>
    <col min="56" max="56" width="0.88671875" customWidth="1"/>
    <col min="57" max="60" width="7.88671875" customWidth="1"/>
    <col min="61" max="61" width="2.44140625" customWidth="1"/>
    <col min="62" max="62" width="0.44140625" customWidth="1"/>
    <col min="63" max="65" width="7.88671875" customWidth="1"/>
    <col min="66" max="66" width="2.44140625" customWidth="1"/>
    <col min="67" max="67" width="0.44140625" customWidth="1"/>
    <col min="68" max="68" width="12.88671875" customWidth="1"/>
    <col min="69" max="69" width="12.44140625" customWidth="1"/>
    <col min="70" max="70" width="2.44140625" customWidth="1"/>
    <col min="71" max="71" width="0.5546875" customWidth="1"/>
    <col min="72" max="72" width="14.44140625" bestFit="1" customWidth="1"/>
    <col min="73" max="73" width="12.5546875" customWidth="1"/>
    <col min="74" max="74" width="2.44140625" customWidth="1"/>
    <col min="75" max="75" width="8.109375" customWidth="1"/>
    <col min="76" max="77" width="7.5546875" customWidth="1"/>
    <col min="78" max="78" width="2.88671875" customWidth="1"/>
    <col min="79" max="79" width="0.88671875" customWidth="1"/>
    <col min="80" max="81" width="7.44140625" customWidth="1"/>
    <col min="82" max="82" width="2.88671875" customWidth="1"/>
    <col min="83" max="83" width="0.5546875" customWidth="1"/>
    <col min="84" max="84" width="11" customWidth="1"/>
    <col min="85" max="85" width="10.88671875" customWidth="1"/>
    <col min="86" max="86" width="7" bestFit="1" customWidth="1"/>
    <col min="87" max="87" width="11" bestFit="1" customWidth="1"/>
    <col min="88" max="88" width="7" bestFit="1" customWidth="1"/>
    <col min="89" max="89" width="6.5546875" bestFit="1" customWidth="1"/>
    <col min="90" max="91" width="7" bestFit="1" customWidth="1"/>
    <col min="92" max="92" width="6.5546875" bestFit="1" customWidth="1"/>
    <col min="93" max="93" width="6.109375" bestFit="1" customWidth="1"/>
    <col min="94" max="95" width="6.44140625" bestFit="1" customWidth="1"/>
    <col min="96" max="96" width="5.5546875" bestFit="1" customWidth="1"/>
    <col min="97" max="97" width="6.109375" bestFit="1" customWidth="1"/>
    <col min="98" max="98" width="7" bestFit="1" customWidth="1"/>
    <col min="99" max="99" width="6.33203125" bestFit="1" customWidth="1"/>
    <col min="100" max="100" width="6.88671875" bestFit="1" customWidth="1"/>
    <col min="101" max="101" width="6.109375" bestFit="1" customWidth="1"/>
    <col min="102" max="102" width="6.5546875" bestFit="1" customWidth="1"/>
    <col min="103" max="103" width="5.88671875" bestFit="1" customWidth="1"/>
    <col min="104" max="104" width="6.5546875" bestFit="1" customWidth="1"/>
    <col min="105" max="105" width="6.109375" bestFit="1" customWidth="1"/>
    <col min="106" max="107" width="6.44140625" bestFit="1" customWidth="1"/>
    <col min="108" max="108" width="5.5546875" bestFit="1" customWidth="1"/>
    <col min="109" max="109" width="6.109375" bestFit="1" customWidth="1"/>
    <col min="110" max="110" width="7" bestFit="1" customWidth="1"/>
    <col min="111" max="111" width="5" customWidth="1"/>
    <col min="112" max="112" width="11" bestFit="1" customWidth="1"/>
    <col min="113" max="113" width="6.88671875" bestFit="1" customWidth="1"/>
    <col min="114" max="114" width="6.109375" bestFit="1" customWidth="1"/>
    <col min="115" max="115" width="6.5546875" bestFit="1" customWidth="1"/>
    <col min="116" max="116" width="5.88671875" bestFit="1" customWidth="1"/>
    <col min="117" max="117" width="6.5546875" bestFit="1" customWidth="1"/>
    <col min="118" max="118" width="6.109375" bestFit="1" customWidth="1"/>
    <col min="119" max="120" width="6.44140625" bestFit="1" customWidth="1"/>
    <col min="121" max="121" width="5.5546875" bestFit="1" customWidth="1"/>
    <col min="122" max="122" width="6.109375" bestFit="1" customWidth="1"/>
    <col min="123" max="123" width="7" bestFit="1" customWidth="1"/>
    <col min="124" max="124" width="6.33203125" bestFit="1" customWidth="1"/>
    <col min="125" max="125" width="6.88671875" bestFit="1" customWidth="1"/>
    <col min="126" max="126" width="6.109375" bestFit="1" customWidth="1"/>
    <col min="127" max="127" width="6.5546875" bestFit="1" customWidth="1"/>
    <col min="128" max="128" width="5.88671875" bestFit="1" customWidth="1"/>
    <col min="129" max="129" width="6.5546875" bestFit="1" customWidth="1"/>
    <col min="130" max="130" width="6.109375" bestFit="1" customWidth="1"/>
    <col min="131" max="132" width="6.44140625" bestFit="1" customWidth="1"/>
    <col min="133" max="133" width="5.5546875" bestFit="1" customWidth="1"/>
    <col min="134" max="134" width="6.109375" bestFit="1" customWidth="1"/>
    <col min="135" max="135" width="7" bestFit="1" customWidth="1"/>
    <col min="136" max="136" width="5" customWidth="1"/>
    <col min="137" max="138" width="13.5546875" style="14" bestFit="1" customWidth="1"/>
    <col min="139" max="160" width="9.88671875" bestFit="1" customWidth="1"/>
    <col min="161" max="162" width="5" customWidth="1"/>
  </cols>
  <sheetData>
    <row r="1" spans="1:162" ht="18.75" customHeight="1">
      <c r="A1" s="219">
        <v>45566</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BE1" t="s">
        <v>101</v>
      </c>
      <c r="BF1" s="3">
        <f>+A1</f>
        <v>45566</v>
      </c>
      <c r="BG1" s="3">
        <f>+VLOOKUP(BG2,datos!$D:$E,2,FALSE)</f>
        <v>45536</v>
      </c>
      <c r="BH1" s="3">
        <f>+VLOOKUP(BH2,datos!$D:$E,2,FALSE)</f>
        <v>45200</v>
      </c>
      <c r="BK1" s="3">
        <f>+A1</f>
        <v>45566</v>
      </c>
      <c r="BL1" s="3">
        <f>+VLOOKUP(BL2,datos!$D:$E,2,FALSE)</f>
        <v>45536</v>
      </c>
      <c r="BM1" s="3">
        <f>+VLOOKUP(BM2,datos!$D:$E,2,FALSE)</f>
        <v>45200</v>
      </c>
      <c r="BP1" s="3">
        <f>+A1</f>
        <v>45566</v>
      </c>
      <c r="BQ1" s="3">
        <f>+VLOOKUP(BQ2,datos!$D:$E,2,FALSE)</f>
        <v>45200</v>
      </c>
      <c r="BT1" s="3">
        <f>+A1</f>
        <v>45566</v>
      </c>
      <c r="BU1" s="3">
        <f>+VLOOKUP(BU2,datos!$D:$E,2,FALSE)</f>
        <v>45200</v>
      </c>
      <c r="BX1" t="s">
        <v>279</v>
      </c>
      <c r="BY1" t="s">
        <v>280</v>
      </c>
      <c r="CB1" t="s">
        <v>279</v>
      </c>
      <c r="CC1" t="s">
        <v>280</v>
      </c>
      <c r="CF1" t="s">
        <v>282</v>
      </c>
      <c r="CG1" t="s">
        <v>283</v>
      </c>
      <c r="CH1" s="3">
        <f>+A1</f>
        <v>45566</v>
      </c>
      <c r="CI1" s="3">
        <f>+VLOOKUP(CI2,datos!$D:$E,2,FALSE)</f>
        <v>45566</v>
      </c>
      <c r="CJ1" s="3">
        <f>+VLOOKUP(CJ2,datos!$D:$E,2,FALSE)</f>
        <v>45536</v>
      </c>
      <c r="CK1" s="3">
        <f>+VLOOKUP(CK2,datos!$D:$E,2,FALSE)</f>
        <v>45505</v>
      </c>
      <c r="CL1" s="3">
        <f>+VLOOKUP(CL2,datos!$D:$E,2,FALSE)</f>
        <v>45474</v>
      </c>
      <c r="CM1" s="3">
        <f>+VLOOKUP(CM2,datos!$D:$E,2,FALSE)</f>
        <v>45444</v>
      </c>
      <c r="CN1" s="3">
        <f>+VLOOKUP(CN2,datos!$D:$E,2,FALSE)</f>
        <v>45413</v>
      </c>
      <c r="CO1" s="3">
        <f>+VLOOKUP(CO2,datos!$D:$E,2,FALSE)</f>
        <v>45383</v>
      </c>
      <c r="CP1" s="3">
        <f>+VLOOKUP(CP2,datos!$D:$E,2,FALSE)</f>
        <v>45352</v>
      </c>
      <c r="CQ1" s="3">
        <f>+VLOOKUP(CQ2,datos!$D:$E,2,FALSE)</f>
        <v>45323</v>
      </c>
      <c r="CR1" s="3">
        <f>+VLOOKUP(CR2,datos!$D:$E,2,FALSE)</f>
        <v>45292</v>
      </c>
      <c r="CS1" s="3">
        <f>+VLOOKUP(CS2,datos!$D:$E,2,FALSE)</f>
        <v>45261</v>
      </c>
      <c r="CT1" s="3">
        <f>+VLOOKUP(CT2,datos!$D:$E,2,FALSE)</f>
        <v>45231</v>
      </c>
      <c r="CU1" s="3">
        <f>+VLOOKUP(CU2,datos!$D:$E,2,FALSE)</f>
        <v>45200</v>
      </c>
      <c r="CV1" s="3">
        <f>+VLOOKUP(CV2,datos!$D:$E,2,FALSE)</f>
        <v>45170</v>
      </c>
      <c r="CW1" s="3">
        <f>+VLOOKUP(CW2,datos!$D:$E,2,FALSE)</f>
        <v>45139</v>
      </c>
      <c r="CX1" s="3">
        <f>+VLOOKUP(CX2,datos!$D:$E,2,FALSE)</f>
        <v>45108</v>
      </c>
      <c r="CY1" s="3">
        <f>+VLOOKUP(CY2,datos!$D:$E,2,FALSE)</f>
        <v>45078</v>
      </c>
      <c r="CZ1" s="3">
        <f>+VLOOKUP(CZ2,datos!$D:$E,2,FALSE)</f>
        <v>45047</v>
      </c>
      <c r="DA1" s="3">
        <f>+VLOOKUP(DA2,datos!$D:$E,2,FALSE)</f>
        <v>45017</v>
      </c>
      <c r="DB1" s="3">
        <f>+VLOOKUP(DB2,datos!$D:$E,2,FALSE)</f>
        <v>44986</v>
      </c>
      <c r="DC1" s="3">
        <f>+VLOOKUP(DC2,datos!$D:$E,2,FALSE)</f>
        <v>44958</v>
      </c>
      <c r="DD1" s="3">
        <f>+VLOOKUP(DD2,datos!$D:$E,2,FALSE)</f>
        <v>44927</v>
      </c>
      <c r="DE1" s="3">
        <f>+VLOOKUP(DE2,datos!$D:$E,2,FALSE)</f>
        <v>44896</v>
      </c>
      <c r="DF1" s="3">
        <f>+VLOOKUP(DF2,datos!$D:$E,2,FALSE)</f>
        <v>44866</v>
      </c>
      <c r="DH1" s="3">
        <f>+CI1</f>
        <v>45566</v>
      </c>
      <c r="DI1" s="3">
        <f>+VLOOKUP(DI2,datos!$D:$E,2,FALSE)</f>
        <v>45536</v>
      </c>
      <c r="DJ1" s="3">
        <f>+VLOOKUP(DJ2,datos!$D:$E,2,FALSE)</f>
        <v>45505</v>
      </c>
      <c r="DK1" s="3">
        <f>+VLOOKUP(DK2,datos!$D:$E,2,FALSE)</f>
        <v>45474</v>
      </c>
      <c r="DL1" s="3">
        <f>+VLOOKUP(DL2,datos!$D:$E,2,FALSE)</f>
        <v>45444</v>
      </c>
      <c r="DM1" s="3">
        <f>+VLOOKUP(DM2,datos!$D:$E,2,FALSE)</f>
        <v>45413</v>
      </c>
      <c r="DN1" s="3">
        <f>+VLOOKUP(DN2,datos!$D:$E,2,FALSE)</f>
        <v>45383</v>
      </c>
      <c r="DO1" s="3">
        <f>+VLOOKUP(DO2,datos!$D:$E,2,FALSE)</f>
        <v>45352</v>
      </c>
      <c r="DP1" s="3">
        <f>+VLOOKUP(DP2,datos!$D:$E,2,FALSE)</f>
        <v>45323</v>
      </c>
      <c r="DQ1" s="3">
        <f>+VLOOKUP(DQ2,datos!$D:$E,2,FALSE)</f>
        <v>45292</v>
      </c>
      <c r="DR1" s="3">
        <f>+VLOOKUP(DR2,datos!$D:$E,2,FALSE)</f>
        <v>45261</v>
      </c>
      <c r="DS1" s="3">
        <f>+VLOOKUP(DS2,datos!$D:$E,2,FALSE)</f>
        <v>45231</v>
      </c>
      <c r="DT1" s="3">
        <f>+VLOOKUP(DT2,datos!$D:$E,2,FALSE)</f>
        <v>45200</v>
      </c>
      <c r="DU1" s="3">
        <f>+VLOOKUP(DU2,datos!$D:$E,2,FALSE)</f>
        <v>45170</v>
      </c>
      <c r="DV1" s="3">
        <f>+VLOOKUP(DV2,datos!$D:$E,2,FALSE)</f>
        <v>45139</v>
      </c>
      <c r="DW1" s="3">
        <f>+VLOOKUP(DW2,datos!$D:$E,2,FALSE)</f>
        <v>45108</v>
      </c>
      <c r="DX1" s="3">
        <f>+VLOOKUP(DX2,datos!$D:$E,2,FALSE)</f>
        <v>45078</v>
      </c>
      <c r="DY1" s="3">
        <f>+VLOOKUP(DY2,datos!$D:$E,2,FALSE)</f>
        <v>45047</v>
      </c>
      <c r="DZ1" s="3">
        <f>+VLOOKUP(DZ2,datos!$D:$E,2,FALSE)</f>
        <v>45017</v>
      </c>
      <c r="EA1" s="3">
        <f>+VLOOKUP(EA2,datos!$D:$E,2,FALSE)</f>
        <v>44986</v>
      </c>
      <c r="EB1" s="3">
        <f>+VLOOKUP(EB2,datos!$D:$E,2,FALSE)</f>
        <v>44958</v>
      </c>
      <c r="EC1" s="3">
        <f>+VLOOKUP(EC2,datos!$D:$E,2,FALSE)</f>
        <v>44927</v>
      </c>
      <c r="ED1" s="3">
        <f>+VLOOKUP(ED2,datos!$D:$E,2,FALSE)</f>
        <v>44896</v>
      </c>
      <c r="EE1" s="3">
        <f>+VLOOKUP(EE2,datos!$D:$E,2,FALSE)</f>
        <v>44866</v>
      </c>
      <c r="EG1" s="14">
        <f>+CI1</f>
        <v>45566</v>
      </c>
      <c r="EH1" s="14">
        <f t="shared" ref="EH1:FD1" si="0">+CJ1</f>
        <v>45536</v>
      </c>
      <c r="EI1" s="3">
        <f t="shared" si="0"/>
        <v>45505</v>
      </c>
      <c r="EJ1" s="3">
        <f t="shared" si="0"/>
        <v>45474</v>
      </c>
      <c r="EK1" s="3">
        <f t="shared" si="0"/>
        <v>45444</v>
      </c>
      <c r="EL1" s="3">
        <f t="shared" si="0"/>
        <v>45413</v>
      </c>
      <c r="EM1" s="3">
        <f t="shared" si="0"/>
        <v>45383</v>
      </c>
      <c r="EN1" s="3">
        <f t="shared" si="0"/>
        <v>45352</v>
      </c>
      <c r="EO1" s="3">
        <f t="shared" si="0"/>
        <v>45323</v>
      </c>
      <c r="EP1" s="3">
        <f t="shared" si="0"/>
        <v>45292</v>
      </c>
      <c r="EQ1" s="3">
        <f t="shared" si="0"/>
        <v>45261</v>
      </c>
      <c r="ER1" s="3">
        <f t="shared" si="0"/>
        <v>45231</v>
      </c>
      <c r="ES1" s="3">
        <f t="shared" si="0"/>
        <v>45200</v>
      </c>
      <c r="ET1" s="3">
        <f t="shared" si="0"/>
        <v>45170</v>
      </c>
      <c r="EU1" s="3">
        <f t="shared" si="0"/>
        <v>45139</v>
      </c>
      <c r="EV1" s="3">
        <f t="shared" si="0"/>
        <v>45108</v>
      </c>
      <c r="EW1" s="3">
        <f t="shared" si="0"/>
        <v>45078</v>
      </c>
      <c r="EX1" s="3">
        <f t="shared" si="0"/>
        <v>45047</v>
      </c>
      <c r="EY1" s="3">
        <f t="shared" si="0"/>
        <v>45017</v>
      </c>
      <c r="EZ1" s="3">
        <f t="shared" si="0"/>
        <v>44986</v>
      </c>
      <c r="FA1" s="3">
        <f t="shared" si="0"/>
        <v>44958</v>
      </c>
      <c r="FB1" s="3">
        <f t="shared" si="0"/>
        <v>44927</v>
      </c>
      <c r="FC1" s="3">
        <f t="shared" si="0"/>
        <v>44896</v>
      </c>
      <c r="FD1" s="3">
        <f t="shared" si="0"/>
        <v>44866</v>
      </c>
    </row>
    <row r="2" spans="1:162"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174">
        <f>VLOOKUP(VLOOKUP(+$A$1,ran_ma,2,FALSE)-11,ran_idma,2,FALSE)</f>
        <v>45231</v>
      </c>
      <c r="AP2" s="174">
        <f>VLOOKUP(VLOOKUP(+$A$1,ran_ma,2,FALSE)-10,ran_idma,2,FALSE)</f>
        <v>45261</v>
      </c>
      <c r="AQ2" s="174">
        <f>VLOOKUP(VLOOKUP(+$A$1,ran_ma,2,FALSE)-9,ran_idma,2,FALSE)</f>
        <v>45292</v>
      </c>
      <c r="AR2" s="174">
        <f>VLOOKUP(VLOOKUP(+$A$1,ran_ma,2,FALSE)-8,ran_idma,2,FALSE)</f>
        <v>45323</v>
      </c>
      <c r="AS2" s="59">
        <f>VLOOKUP(VLOOKUP(+$A$1,ran_ma,2,FALSE)-7,ran_idma,2,FALSE)</f>
        <v>45352</v>
      </c>
      <c r="AT2" s="59">
        <f>VLOOKUP(VLOOKUP(+$A$1,ran_ma,2,FALSE)-6,ran_idma,2,FALSE)</f>
        <v>45383</v>
      </c>
      <c r="AU2" s="59">
        <f>VLOOKUP(VLOOKUP(+$A$1,ran_ma,2,FALSE)-5,ran_idma,2,FALSE)</f>
        <v>45413</v>
      </c>
      <c r="AV2" s="59">
        <f>VLOOKUP(VLOOKUP(+$A$1,ran_ma,2,FALSE)-4,ran_idma,2,FALSE)</f>
        <v>45444</v>
      </c>
      <c r="AW2" s="59">
        <f>VLOOKUP(VLOOKUP(+$A$1,ran_ma,2,FALSE)-3,ran_idma,2,FALSE)</f>
        <v>45474</v>
      </c>
      <c r="AX2" s="59">
        <f>VLOOKUP(VLOOKUP(+$A$1,ran_ma,2,FALSE)-2,ran_idma,2,FALSE)</f>
        <v>45505</v>
      </c>
      <c r="AY2" s="59">
        <f>VLOOKUP(VLOOKUP(+$A$1,ran_ma,2,FALSE)-1,ran_idma,2,FALSE)</f>
        <v>45536</v>
      </c>
      <c r="AZ2" s="59">
        <f>+$A$1</f>
        <v>45566</v>
      </c>
      <c r="BA2" s="5"/>
      <c r="BB2" s="170"/>
      <c r="BD2" s="9" t="s">
        <v>272</v>
      </c>
      <c r="BF2">
        <f>+VLOOKUP(BF1,ran_dat,datos!$D$1,FALSE)</f>
        <v>115</v>
      </c>
      <c r="BG2">
        <f>+BF2-1</f>
        <v>114</v>
      </c>
      <c r="BH2">
        <f>+BF2-12</f>
        <v>103</v>
      </c>
      <c r="BJ2" s="9"/>
      <c r="BK2">
        <f>+VLOOKUP(BK1,ran_dat,datos!$D$1,FALSE)</f>
        <v>115</v>
      </c>
      <c r="BL2">
        <f>+BK2-1</f>
        <v>114</v>
      </c>
      <c r="BM2">
        <f>+BK2-12</f>
        <v>103</v>
      </c>
      <c r="BO2" s="9"/>
      <c r="BP2">
        <f>+VLOOKUP(BP1,ran_dat,datos!$D$1,FALSE)</f>
        <v>115</v>
      </c>
      <c r="BQ2">
        <f>+BP2-12</f>
        <v>103</v>
      </c>
      <c r="BS2" s="9"/>
      <c r="BT2">
        <f>+VLOOKUP(BT1,ran_dat,datos!$D$1,FALSE)</f>
        <v>115</v>
      </c>
      <c r="BU2">
        <f>+BT2-12</f>
        <v>103</v>
      </c>
      <c r="BW2" s="9"/>
      <c r="CA2" s="9"/>
      <c r="CH2">
        <f>+VLOOKUP(CH1,ran_dat,datos!$D$1,FALSE)</f>
        <v>115</v>
      </c>
      <c r="CI2">
        <f>+CH2</f>
        <v>115</v>
      </c>
      <c r="CJ2">
        <f t="shared" ref="CJ2:DF2" si="1">+CI2-1</f>
        <v>114</v>
      </c>
      <c r="CK2">
        <f t="shared" si="1"/>
        <v>113</v>
      </c>
      <c r="CL2">
        <f t="shared" si="1"/>
        <v>112</v>
      </c>
      <c r="CM2">
        <f t="shared" si="1"/>
        <v>111</v>
      </c>
      <c r="CN2">
        <f t="shared" si="1"/>
        <v>110</v>
      </c>
      <c r="CO2">
        <f t="shared" si="1"/>
        <v>109</v>
      </c>
      <c r="CP2">
        <f t="shared" si="1"/>
        <v>108</v>
      </c>
      <c r="CQ2">
        <f t="shared" si="1"/>
        <v>107</v>
      </c>
      <c r="CR2">
        <f t="shared" si="1"/>
        <v>106</v>
      </c>
      <c r="CS2">
        <f t="shared" si="1"/>
        <v>105</v>
      </c>
      <c r="CT2">
        <f t="shared" si="1"/>
        <v>104</v>
      </c>
      <c r="CU2">
        <f t="shared" si="1"/>
        <v>103</v>
      </c>
      <c r="CV2">
        <f t="shared" si="1"/>
        <v>102</v>
      </c>
      <c r="CW2">
        <f t="shared" si="1"/>
        <v>101</v>
      </c>
      <c r="CX2">
        <f t="shared" si="1"/>
        <v>100</v>
      </c>
      <c r="CY2">
        <f t="shared" si="1"/>
        <v>99</v>
      </c>
      <c r="CZ2">
        <f t="shared" si="1"/>
        <v>98</v>
      </c>
      <c r="DA2">
        <f t="shared" si="1"/>
        <v>97</v>
      </c>
      <c r="DB2">
        <f t="shared" si="1"/>
        <v>96</v>
      </c>
      <c r="DC2">
        <f t="shared" si="1"/>
        <v>95</v>
      </c>
      <c r="DD2">
        <f t="shared" si="1"/>
        <v>94</v>
      </c>
      <c r="DE2">
        <f t="shared" si="1"/>
        <v>93</v>
      </c>
      <c r="DF2">
        <f t="shared" si="1"/>
        <v>92</v>
      </c>
      <c r="DH2">
        <f>+VLOOKUP(DH1,ran_dat,datos!$D$1,FALSE)</f>
        <v>115</v>
      </c>
      <c r="DI2">
        <f t="shared" ref="DI2:EE2" si="2">+DH2-1</f>
        <v>114</v>
      </c>
      <c r="DJ2">
        <f t="shared" si="2"/>
        <v>113</v>
      </c>
      <c r="DK2">
        <f t="shared" si="2"/>
        <v>112</v>
      </c>
      <c r="DL2">
        <f t="shared" si="2"/>
        <v>111</v>
      </c>
      <c r="DM2">
        <f t="shared" si="2"/>
        <v>110</v>
      </c>
      <c r="DN2">
        <f t="shared" si="2"/>
        <v>109</v>
      </c>
      <c r="DO2">
        <f t="shared" si="2"/>
        <v>108</v>
      </c>
      <c r="DP2">
        <f t="shared" si="2"/>
        <v>107</v>
      </c>
      <c r="DQ2">
        <f t="shared" si="2"/>
        <v>106</v>
      </c>
      <c r="DR2">
        <f t="shared" si="2"/>
        <v>105</v>
      </c>
      <c r="DS2">
        <f t="shared" si="2"/>
        <v>104</v>
      </c>
      <c r="DT2">
        <f t="shared" si="2"/>
        <v>103</v>
      </c>
      <c r="DU2">
        <f t="shared" si="2"/>
        <v>102</v>
      </c>
      <c r="DV2">
        <f t="shared" si="2"/>
        <v>101</v>
      </c>
      <c r="DW2">
        <f t="shared" si="2"/>
        <v>100</v>
      </c>
      <c r="DX2">
        <f t="shared" si="2"/>
        <v>99</v>
      </c>
      <c r="DY2">
        <f t="shared" si="2"/>
        <v>98</v>
      </c>
      <c r="DZ2">
        <f t="shared" si="2"/>
        <v>97</v>
      </c>
      <c r="EA2">
        <f t="shared" si="2"/>
        <v>96</v>
      </c>
      <c r="EB2">
        <f t="shared" si="2"/>
        <v>95</v>
      </c>
      <c r="EC2">
        <f t="shared" si="2"/>
        <v>94</v>
      </c>
      <c r="ED2">
        <f t="shared" si="2"/>
        <v>93</v>
      </c>
      <c r="EE2">
        <f t="shared" si="2"/>
        <v>92</v>
      </c>
      <c r="EG2" s="14">
        <f>+VLOOKUP(EG1,ran_dat,datos!$D$1,FALSE)</f>
        <v>115</v>
      </c>
      <c r="EH2" s="14">
        <f t="shared" ref="EH2:FD2" si="3">+EG2-1</f>
        <v>114</v>
      </c>
      <c r="EI2">
        <f t="shared" si="3"/>
        <v>113</v>
      </c>
      <c r="EJ2">
        <f t="shared" si="3"/>
        <v>112</v>
      </c>
      <c r="EK2">
        <f t="shared" si="3"/>
        <v>111</v>
      </c>
      <c r="EL2">
        <f t="shared" si="3"/>
        <v>110</v>
      </c>
      <c r="EM2">
        <f t="shared" si="3"/>
        <v>109</v>
      </c>
      <c r="EN2">
        <f t="shared" si="3"/>
        <v>108</v>
      </c>
      <c r="EO2">
        <f t="shared" si="3"/>
        <v>107</v>
      </c>
      <c r="EP2">
        <f t="shared" si="3"/>
        <v>106</v>
      </c>
      <c r="EQ2">
        <f t="shared" si="3"/>
        <v>105</v>
      </c>
      <c r="ER2">
        <f t="shared" si="3"/>
        <v>104</v>
      </c>
      <c r="ES2">
        <f t="shared" si="3"/>
        <v>103</v>
      </c>
      <c r="ET2">
        <f t="shared" si="3"/>
        <v>102</v>
      </c>
      <c r="EU2">
        <f t="shared" si="3"/>
        <v>101</v>
      </c>
      <c r="EV2">
        <f t="shared" si="3"/>
        <v>100</v>
      </c>
      <c r="EW2">
        <f t="shared" si="3"/>
        <v>99</v>
      </c>
      <c r="EX2">
        <f t="shared" si="3"/>
        <v>98</v>
      </c>
      <c r="EY2">
        <f t="shared" si="3"/>
        <v>97</v>
      </c>
      <c r="EZ2">
        <f t="shared" si="3"/>
        <v>96</v>
      </c>
      <c r="FA2">
        <f t="shared" si="3"/>
        <v>95</v>
      </c>
      <c r="FB2">
        <f t="shared" si="3"/>
        <v>94</v>
      </c>
      <c r="FC2">
        <f t="shared" si="3"/>
        <v>93</v>
      </c>
      <c r="FD2">
        <f t="shared" si="3"/>
        <v>92</v>
      </c>
    </row>
    <row r="3" spans="1:162" ht="18.75" customHeight="1">
      <c r="A3" s="220"/>
      <c r="C3" s="155"/>
      <c r="D3" s="196">
        <v>0.33</v>
      </c>
      <c r="E3" s="100">
        <f>IFERROR(+BF5/BG5-1,"")</f>
        <v>2.6929881216477991E-2</v>
      </c>
      <c r="F3" s="56" t="s">
        <v>515</v>
      </c>
      <c r="G3" s="56"/>
      <c r="H3" s="56"/>
      <c r="I3" s="60">
        <f>IFERROR(+BF5/BH5-1,"")</f>
        <v>1.9299363057324839</v>
      </c>
      <c r="J3" s="56" t="s">
        <v>515</v>
      </c>
      <c r="K3" s="56"/>
      <c r="L3" s="56"/>
      <c r="M3" s="32"/>
      <c r="N3" s="196">
        <v>0.33</v>
      </c>
      <c r="O3" s="31"/>
      <c r="S3" s="32"/>
      <c r="T3" s="196">
        <v>0.33</v>
      </c>
      <c r="U3" s="150" t="str">
        <f>TEXT(CT1,"MMM-YY")&amp;"."&amp;TEXT(CI1,"MMM-YY")&amp;" vs "&amp;TEXT(DF1,"MMM-YY")&amp;"."&amp;TEXT(CU1,"MMM-YY")</f>
        <v>nov-23.oct-24 vs nov-22.oct-23</v>
      </c>
      <c r="Y3" s="59" t="str">
        <f>TEXT(CI1,"MMM-YY")&amp;" vs "&amp;TEXT(CU1,"MMM-YY")</f>
        <v>oct-24 vs oct-23</v>
      </c>
      <c r="BD3" s="4" t="s">
        <v>3</v>
      </c>
      <c r="BE3" s="4"/>
      <c r="BF3" s="4"/>
      <c r="BG3" s="4"/>
      <c r="BH3" s="4"/>
      <c r="BJ3" s="27" t="s">
        <v>5</v>
      </c>
      <c r="BK3" s="27"/>
      <c r="BL3" s="27"/>
      <c r="BM3" s="27"/>
      <c r="BO3" s="20" t="s">
        <v>15</v>
      </c>
      <c r="BP3" s="20"/>
      <c r="BQ3" s="20"/>
      <c r="BS3" s="21" t="s">
        <v>2</v>
      </c>
      <c r="BT3" s="21"/>
      <c r="BU3" s="21"/>
      <c r="BW3" s="4" t="s">
        <v>7</v>
      </c>
      <c r="BX3" s="4"/>
      <c r="BY3" s="4"/>
      <c r="CA3" s="43" t="s">
        <v>8</v>
      </c>
      <c r="CB3" s="43"/>
      <c r="CC3" s="43"/>
      <c r="CE3" s="22" t="s">
        <v>9</v>
      </c>
      <c r="CF3" s="22"/>
      <c r="CG3" s="22"/>
      <c r="CI3" s="4" t="s">
        <v>7</v>
      </c>
      <c r="CJ3" s="4"/>
      <c r="CK3" s="4"/>
      <c r="CL3" s="4"/>
      <c r="CM3" s="4"/>
      <c r="CN3" s="4"/>
      <c r="CO3" s="4"/>
      <c r="CP3" s="4"/>
      <c r="CQ3" s="4"/>
      <c r="CR3" s="4"/>
      <c r="CS3" s="4"/>
      <c r="CT3" s="4"/>
      <c r="CU3" s="4"/>
      <c r="CV3" s="4"/>
      <c r="CW3" s="4"/>
      <c r="CX3" s="4"/>
      <c r="CY3" s="4"/>
      <c r="CZ3" s="4"/>
      <c r="DA3" s="4"/>
      <c r="DB3" s="4"/>
      <c r="DC3" s="4"/>
      <c r="DD3" s="4"/>
      <c r="DE3" s="4"/>
      <c r="DF3" s="4"/>
      <c r="DH3" s="43" t="s">
        <v>8</v>
      </c>
      <c r="DI3" s="43"/>
      <c r="DJ3" s="43"/>
      <c r="DK3" s="43"/>
      <c r="DL3" s="43"/>
      <c r="DM3" s="43"/>
      <c r="DN3" s="43"/>
      <c r="DO3" s="43"/>
      <c r="DP3" s="43"/>
      <c r="DQ3" s="43"/>
      <c r="DR3" s="43"/>
      <c r="DS3" s="43"/>
      <c r="DT3" s="43"/>
      <c r="DU3" s="43"/>
      <c r="DV3" s="43"/>
      <c r="DW3" s="43"/>
      <c r="DX3" s="43"/>
      <c r="DY3" s="43"/>
      <c r="DZ3" s="43"/>
      <c r="EA3" s="43"/>
      <c r="EB3" s="43"/>
      <c r="EC3" s="43"/>
      <c r="ED3" s="43"/>
      <c r="EE3" s="43"/>
      <c r="EG3" s="151" t="s">
        <v>9</v>
      </c>
      <c r="EH3" s="151"/>
      <c r="EI3" s="22"/>
      <c r="EJ3" s="22"/>
      <c r="EK3" s="22"/>
      <c r="EL3" s="22"/>
      <c r="EM3" s="22"/>
      <c r="EN3" s="22"/>
      <c r="EO3" s="22"/>
      <c r="EP3" s="22"/>
      <c r="EQ3" s="22"/>
      <c r="ER3" s="22"/>
      <c r="ES3" s="22"/>
      <c r="ET3" s="22"/>
      <c r="EU3" s="22"/>
      <c r="EV3" s="22"/>
      <c r="EW3" s="22"/>
      <c r="EX3" s="22"/>
      <c r="EY3" s="22"/>
      <c r="EZ3" s="22"/>
      <c r="FA3" s="22"/>
      <c r="FB3" s="22"/>
      <c r="FC3" s="22"/>
      <c r="FD3" s="22"/>
    </row>
    <row r="4" spans="1:162"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19"/>
      <c r="AT4" s="19"/>
      <c r="AU4" s="19"/>
      <c r="AV4" s="19"/>
      <c r="AW4" s="19"/>
      <c r="AX4" s="19"/>
      <c r="AY4" s="19"/>
      <c r="AZ4" s="19"/>
      <c r="BA4" s="19"/>
      <c r="BB4" s="141" t="s">
        <v>390</v>
      </c>
      <c r="BD4" s="9"/>
      <c r="BJ4" s="9"/>
      <c r="BO4" s="9"/>
      <c r="BS4" s="9"/>
      <c r="BW4" s="9"/>
      <c r="CA4" s="9"/>
      <c r="CI4" s="44" t="s">
        <v>281</v>
      </c>
      <c r="CJ4" s="44"/>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152"/>
      <c r="EH4" s="152"/>
      <c r="EI4" s="44"/>
      <c r="EJ4" s="44"/>
      <c r="EK4" s="44"/>
      <c r="EL4" s="44"/>
      <c r="EM4" s="44"/>
      <c r="EN4" s="44"/>
      <c r="EO4" s="44"/>
      <c r="EP4" s="44"/>
      <c r="EQ4" s="44"/>
      <c r="ER4" s="44"/>
      <c r="ES4" s="44"/>
      <c r="ET4" s="44"/>
      <c r="EU4" s="44"/>
      <c r="EV4" s="44"/>
      <c r="EW4" s="44"/>
      <c r="EX4" s="44"/>
      <c r="EY4" s="44"/>
      <c r="EZ4" s="44"/>
      <c r="FA4" s="44"/>
      <c r="FB4" s="44"/>
      <c r="FC4" s="44"/>
      <c r="FD4" s="44"/>
    </row>
    <row r="5" spans="1:162" ht="8.4" customHeight="1">
      <c r="E5" s="18"/>
      <c r="N5" s="197"/>
      <c r="O5" s="34"/>
      <c r="P5" s="33"/>
      <c r="Q5" s="34"/>
      <c r="R5" s="33"/>
      <c r="T5" s="197"/>
      <c r="U5" s="25"/>
      <c r="V5" s="34"/>
      <c r="W5" s="34"/>
      <c r="X5" s="34"/>
      <c r="Y5" s="34"/>
      <c r="Z5" s="34"/>
      <c r="AB5" s="211"/>
      <c r="BC5">
        <f>+A3</f>
        <v>0</v>
      </c>
      <c r="BD5">
        <f>+datos!G1</f>
        <v>7</v>
      </c>
      <c r="BE5" s="2" t="str">
        <f t="shared" ref="BE5:BH24" si="4">+VLOOKUP(BE$1,ran_dat,$BD5,FALSE)</f>
        <v>Índice</v>
      </c>
      <c r="BF5" s="2">
        <f t="shared" si="4"/>
        <v>7314</v>
      </c>
      <c r="BG5" s="2">
        <f t="shared" si="4"/>
        <v>7122.2</v>
      </c>
      <c r="BH5" s="2">
        <f t="shared" si="4"/>
        <v>2496.3000000000002</v>
      </c>
    </row>
    <row r="6" spans="1:162" ht="18.75" customHeight="1">
      <c r="A6" s="243" t="s">
        <v>28</v>
      </c>
      <c r="B6" s="246"/>
      <c r="C6" s="156">
        <f t="shared" ref="C6:C24" si="5">+D6*$D$3+N6*$N$3+T6*$T$3</f>
        <v>0</v>
      </c>
      <c r="D6" s="198">
        <v>-2</v>
      </c>
      <c r="E6" s="248">
        <f t="shared" ref="E6:E24" si="6">IFERROR(+BF6/BG6-1,"")</f>
        <v>3.8518800174973888E-2</v>
      </c>
      <c r="F6" s="249">
        <f t="shared" ref="F6:F24" si="7">+E6-$E$3</f>
        <v>1.1588918958495897E-2</v>
      </c>
      <c r="G6" s="248">
        <f t="shared" ref="G6:G24" si="8">IFERROR(+BK6/BL6-1,"")</f>
        <v>7.6102637054504152E-2</v>
      </c>
      <c r="H6" s="249">
        <f t="shared" ref="H6:H24" si="9">E6-G6</f>
        <v>-3.7583836879530264E-2</v>
      </c>
      <c r="I6" s="248">
        <f t="shared" ref="I6:I24" si="10">IFERROR(+BF6/BH6-1,"")</f>
        <v>0.98574722062121967</v>
      </c>
      <c r="J6" s="249">
        <f t="shared" ref="J6:J26" si="11">+I6-$I$3</f>
        <v>-0.9441890851112642</v>
      </c>
      <c r="K6" s="248">
        <f t="shared" ref="K6:K24" si="12">IFERROR(+BK6/BM6-1,"")</f>
        <v>1.3412489389183078</v>
      </c>
      <c r="L6" s="249">
        <f t="shared" ref="L6:L24" si="13">I6-K6</f>
        <v>-0.3555017182970881</v>
      </c>
      <c r="M6" s="250"/>
      <c r="N6" s="24">
        <v>1</v>
      </c>
      <c r="O6" s="248">
        <f>IFERROR(+BP6/BQ6-1,"")</f>
        <v>0.18965517241379315</v>
      </c>
      <c r="P6" s="251">
        <f>+O6</f>
        <v>0.18965517241379315</v>
      </c>
      <c r="Q6" s="248">
        <f t="shared" ref="Q6:Q24" si="14">IFERROR(+BT6/BU6-1,"")</f>
        <v>0.44444444444444442</v>
      </c>
      <c r="R6" s="251">
        <f>+Q6</f>
        <v>0.44444444444444442</v>
      </c>
      <c r="S6" s="250"/>
      <c r="T6" s="24">
        <v>1</v>
      </c>
      <c r="U6" s="248">
        <f t="shared" ref="U6:U24" si="15">IFERROR(+BX6/BY6-1,"")</f>
        <v>1.1758132132981904</v>
      </c>
      <c r="V6" s="252">
        <f t="shared" ref="V6:V24" si="16">+U6</f>
        <v>1.1758132132981904</v>
      </c>
      <c r="W6" s="248">
        <f>IFERROR(IF(CB6&lt;0.5,"",+CB6/CC6-1),"")</f>
        <v>-0.43794836352807842</v>
      </c>
      <c r="X6" s="252">
        <f t="shared" ref="X6:X24" si="17">+W6</f>
        <v>-0.43794836352807842</v>
      </c>
      <c r="Y6" s="248" t="str">
        <f t="shared" ref="Y6:Y25" si="18">IFERROR(+CF6/CG6-1,"")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
        <f>VLOOKUP($A6,historia!$A$5:$CM$24,+HLOOKUP(AO$2,historia!$A$3:$EC$4,2,FALSE),FALSE)</f>
        <v>5</v>
      </c>
      <c r="AP6" s="28">
        <f>VLOOKUP($A6,historia!$A$5:$CM$24,+HLOOKUP(AP$2,historia!$A$3:$EC$4,2,FALSE),FALSE)</f>
        <v>4</v>
      </c>
      <c r="AQ6" s="28">
        <f>VLOOKUP($A6,historia!$A$5:$CM$24,+HLOOKUP(AQ$2,historia!$A$3:$EC$4,2,FALSE),FALSE)</f>
        <v>4</v>
      </c>
      <c r="AR6" s="28">
        <f>VLOOKUP($A6,historia!$A$5:$CM$24,+HLOOKUP(AR$2,historia!$A$3:$EC$4,2,FALSE),FALSE)</f>
        <v>4</v>
      </c>
      <c r="AS6" s="58">
        <f>VLOOKUP($A6,historia!$A$5:$CM$24,+HLOOKUP(AS$2,historia!$A$3:$EC$4,2,FALSE),FALSE)</f>
        <v>4</v>
      </c>
      <c r="AT6" s="58">
        <f>VLOOKUP($A6,historia!$A$5:$CM$24,+HLOOKUP(AT$2,historia!$A$3:$EC$4,2,FALSE),FALSE)</f>
        <v>4</v>
      </c>
      <c r="AU6" s="58">
        <f>VLOOKUP($A6,historia!$A$5:$CM$24,+HLOOKUP(AU$2,historia!$A$3:$EC$4,2,FALSE),FALSE)</f>
        <v>3</v>
      </c>
      <c r="AV6" s="58">
        <f>VLOOKUP($A6,historia!$A$5:$CM$24,+HLOOKUP(AV$2,historia!$A$3:$EC$4,2,FALSE),FALSE)</f>
        <v>3</v>
      </c>
      <c r="AW6" s="58">
        <f>VLOOKUP($A6,historia!$A$5:$CM$24,+HLOOKUP(AW$2,historia!$A$3:$EC$4,2,FALSE),FALSE)</f>
        <v>3</v>
      </c>
      <c r="AX6" s="58">
        <v>3</v>
      </c>
      <c r="AY6" s="58">
        <v>3</v>
      </c>
      <c r="AZ6" s="58">
        <v>3</v>
      </c>
      <c r="BA6" s="30"/>
      <c r="BB6" s="141">
        <v>3</v>
      </c>
      <c r="BC6" t="str">
        <f t="shared" ref="BC6:BC24" si="20">+A6</f>
        <v>Algodón</v>
      </c>
      <c r="BD6">
        <f>+datos!P1</f>
        <v>16</v>
      </c>
      <c r="BE6" s="2" t="str">
        <f t="shared" si="4"/>
        <v>$/kg</v>
      </c>
      <c r="BF6" s="2">
        <f t="shared" si="4"/>
        <v>1358.317125</v>
      </c>
      <c r="BG6" s="2">
        <f t="shared" si="4"/>
        <v>1307.9369625000002</v>
      </c>
      <c r="BH6" s="2">
        <f t="shared" si="4"/>
        <v>684.03325000000007</v>
      </c>
      <c r="BJ6">
        <f>+datos!BY1</f>
        <v>77</v>
      </c>
      <c r="BK6" s="2">
        <f t="shared" ref="BK6:BM24" si="21">+VLOOKUP(BK$1,ran_dat,$BJ6,FALSE)</f>
        <v>9038.3856726830418</v>
      </c>
      <c r="BL6" s="2">
        <f t="shared" si="21"/>
        <v>8399.1855065264099</v>
      </c>
      <c r="BM6" s="2">
        <f t="shared" si="21"/>
        <v>3860.4974987661549</v>
      </c>
      <c r="BO6" s="1">
        <f>+datos!DK1</f>
        <v>115</v>
      </c>
      <c r="BP6" s="1">
        <f t="shared" ref="BP6:BQ24" si="22">+VLOOKUP(BP$1,ran_dat,$BO6,FALSE)</f>
        <v>690000</v>
      </c>
      <c r="BQ6" s="1">
        <f t="shared" si="22"/>
        <v>580000</v>
      </c>
      <c r="BS6" s="1">
        <f>+datos!FF1</f>
        <v>162</v>
      </c>
      <c r="BT6" s="1">
        <f t="shared" ref="BT6:BU24" si="23">+VLOOKUP(BT$1,ran_dat,$BS6,FALSE)</f>
        <v>1300000</v>
      </c>
      <c r="BU6" s="1">
        <f t="shared" si="23"/>
        <v>900000</v>
      </c>
      <c r="BW6" s="1">
        <f>+datos!JF1</f>
        <v>266</v>
      </c>
      <c r="BX6" s="1">
        <f>+SUM(CI6:CT6)</f>
        <v>195.34146104000001</v>
      </c>
      <c r="BY6" s="1">
        <f>+SUM(CU6:DF6)</f>
        <v>89.778598569999986</v>
      </c>
      <c r="CA6" s="1">
        <f>+datos!KK1</f>
        <v>297</v>
      </c>
      <c r="CB6" s="2">
        <f t="shared" ref="CB6:CB24" si="24">+SUM(DH6:DS6)</f>
        <v>60.171252760000002</v>
      </c>
      <c r="CC6" s="2">
        <f t="shared" ref="CC6:CC24" si="25">+SUM(DT6:EE6)</f>
        <v>107.05644972000002</v>
      </c>
      <c r="CE6" s="1">
        <f>+datos!HS1</f>
        <v>227</v>
      </c>
      <c r="CF6" s="1">
        <f t="shared" ref="CF6:CF24" si="26">+EG6</f>
        <v>0</v>
      </c>
      <c r="CG6" s="1">
        <f t="shared" ref="CG6:CG24" si="27">+ES6</f>
        <v>0</v>
      </c>
      <c r="CI6" s="1">
        <f t="shared" ref="CI6:CX21" si="28">+VLOOKUP(CI$1,ran_dat,$BW6,FALSE)</f>
        <v>17.696202909999993</v>
      </c>
      <c r="CJ6" s="1">
        <f t="shared" si="28"/>
        <v>21.922029789999996</v>
      </c>
      <c r="CK6" s="1">
        <f t="shared" si="28"/>
        <v>19.20970509</v>
      </c>
      <c r="CL6" s="1">
        <f t="shared" si="28"/>
        <v>24.496622440000007</v>
      </c>
      <c r="CM6" s="1">
        <f t="shared" si="28"/>
        <v>21.439575039999998</v>
      </c>
      <c r="CN6" s="1">
        <f t="shared" si="28"/>
        <v>14.529816729999997</v>
      </c>
      <c r="CO6" s="1">
        <f t="shared" si="28"/>
        <v>18.258202080000007</v>
      </c>
      <c r="CP6" s="1">
        <f t="shared" si="28"/>
        <v>18.510441480000001</v>
      </c>
      <c r="CQ6" s="1">
        <f t="shared" si="28"/>
        <v>7.7064561400000011</v>
      </c>
      <c r="CR6" s="1">
        <f t="shared" si="28"/>
        <v>8.1062574399999985</v>
      </c>
      <c r="CS6" s="1">
        <f t="shared" si="28"/>
        <v>8.4463773399999997</v>
      </c>
      <c r="CT6" s="1">
        <f t="shared" si="28"/>
        <v>15.019774559999998</v>
      </c>
      <c r="CU6" s="1">
        <f t="shared" si="28"/>
        <v>14.398572559999998</v>
      </c>
      <c r="CV6" s="1">
        <f t="shared" si="28"/>
        <v>16.61514231</v>
      </c>
      <c r="CW6" s="1">
        <f t="shared" si="28"/>
        <v>14.3155891</v>
      </c>
      <c r="CX6" s="1">
        <f t="shared" si="28"/>
        <v>3.12980459</v>
      </c>
      <c r="CY6" s="1">
        <f t="shared" ref="CY6:DF21" si="29">+VLOOKUP(CY$1,ran_dat,$BW6,FALSE)</f>
        <v>2.3595063199999995</v>
      </c>
      <c r="CZ6" s="1">
        <f t="shared" si="29"/>
        <v>5.3927380000000005</v>
      </c>
      <c r="DA6" s="1">
        <f t="shared" si="29"/>
        <v>1.1182586999999999</v>
      </c>
      <c r="DB6" s="1">
        <f t="shared" si="29"/>
        <v>0.81365803999999953</v>
      </c>
      <c r="DC6" s="1">
        <f t="shared" si="29"/>
        <v>2.2053805500000006</v>
      </c>
      <c r="DD6" s="1">
        <f t="shared" si="29"/>
        <v>1.2234686099999996</v>
      </c>
      <c r="DE6" s="1">
        <f t="shared" si="29"/>
        <v>13.370618389999997</v>
      </c>
      <c r="DF6" s="1">
        <f t="shared" si="29"/>
        <v>14.835861399999999</v>
      </c>
      <c r="DH6" s="1">
        <f t="shared" ref="DH6:DW21" si="30">+VLOOKUP(DH$1,ran_dat,$CA6,FALSE)</f>
        <v>5.8112020999999991</v>
      </c>
      <c r="DI6" s="1">
        <f t="shared" si="30"/>
        <v>6.3060080799999998</v>
      </c>
      <c r="DJ6" s="1">
        <f t="shared" si="30"/>
        <v>3.7690183000000008</v>
      </c>
      <c r="DK6" s="1">
        <f t="shared" si="30"/>
        <v>4.5361736000000006</v>
      </c>
      <c r="DL6" s="1">
        <f t="shared" si="30"/>
        <v>3.2956469100000003</v>
      </c>
      <c r="DM6" s="1">
        <f t="shared" si="30"/>
        <v>4.5516111999999991</v>
      </c>
      <c r="DN6" s="1">
        <f t="shared" si="30"/>
        <v>3.9375346699999998</v>
      </c>
      <c r="DO6" s="1">
        <f t="shared" si="30"/>
        <v>4.8118603300000009</v>
      </c>
      <c r="DP6" s="1">
        <f t="shared" si="30"/>
        <v>5.2295233099999994</v>
      </c>
      <c r="DQ6" s="1">
        <f t="shared" si="30"/>
        <v>7.4159317900000001</v>
      </c>
      <c r="DR6" s="1">
        <f t="shared" si="30"/>
        <v>3.5587731599999999</v>
      </c>
      <c r="DS6" s="1">
        <f t="shared" si="30"/>
        <v>6.9479693099999986</v>
      </c>
      <c r="DT6" s="1">
        <f t="shared" si="30"/>
        <v>7.5746309199999997</v>
      </c>
      <c r="DU6" s="1">
        <f t="shared" si="30"/>
        <v>8.1137987799999998</v>
      </c>
      <c r="DV6" s="1">
        <f t="shared" si="30"/>
        <v>9.2876289100000005</v>
      </c>
      <c r="DW6" s="1">
        <f t="shared" si="30"/>
        <v>7.69051375</v>
      </c>
      <c r="DX6" s="1">
        <f t="shared" ref="DX6:EE20" si="31">+VLOOKUP(DX$1,ran_dat,$CA6,FALSE)</f>
        <v>7.1486482300000009</v>
      </c>
      <c r="DY6" s="1">
        <f t="shared" si="31"/>
        <v>9.1724036200000008</v>
      </c>
      <c r="DZ6" s="1">
        <f t="shared" si="31"/>
        <v>6.8489806600000005</v>
      </c>
      <c r="EA6" s="1">
        <f t="shared" si="31"/>
        <v>8.39418884</v>
      </c>
      <c r="EB6" s="1">
        <f t="shared" si="31"/>
        <v>8.0897496800000006</v>
      </c>
      <c r="EC6" s="1">
        <f t="shared" si="31"/>
        <v>9.8858098699999992</v>
      </c>
      <c r="ED6" s="1">
        <f t="shared" si="31"/>
        <v>11.833805730000002</v>
      </c>
      <c r="EE6" s="1">
        <f t="shared" si="31"/>
        <v>13.016290730000001</v>
      </c>
      <c r="EG6" s="14">
        <f t="shared" ref="EG6:EV21" si="32">+VLOOKUP(EG$1,ran_dat,$CE6,FALSE)</f>
        <v>0</v>
      </c>
      <c r="EH6" s="14">
        <f t="shared" si="32"/>
        <v>0</v>
      </c>
      <c r="EI6" s="1">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ref="EW6:FD20" si="33">+VLOOKUP(EW$1,ran_dat,$CE6,FALSE)</f>
        <v>0</v>
      </c>
      <c r="EX6" s="1">
        <f t="shared" si="33"/>
        <v>0</v>
      </c>
      <c r="EY6" s="1">
        <f t="shared" si="33"/>
        <v>0</v>
      </c>
      <c r="EZ6" s="1">
        <f t="shared" si="33"/>
        <v>0</v>
      </c>
      <c r="FA6" s="1">
        <f t="shared" si="33"/>
        <v>0</v>
      </c>
      <c r="FB6" s="1">
        <f t="shared" si="33"/>
        <v>0</v>
      </c>
      <c r="FC6" s="1">
        <f t="shared" si="33"/>
        <v>0</v>
      </c>
      <c r="FD6" s="1">
        <f t="shared" si="33"/>
        <v>0</v>
      </c>
      <c r="FF6" s="162">
        <f t="shared" ref="FF6:FF24" si="34">+I6-K6</f>
        <v>-0.3555017182970881</v>
      </c>
    </row>
    <row r="7" spans="1:162" ht="18.75" customHeight="1">
      <c r="A7" s="244" t="s">
        <v>13</v>
      </c>
      <c r="B7" s="247"/>
      <c r="C7" s="228">
        <f t="shared" si="5"/>
        <v>-0.33</v>
      </c>
      <c r="D7" s="229">
        <v>-1</v>
      </c>
      <c r="E7" s="253">
        <f t="shared" si="6"/>
        <v>-5.0000000000000044E-2</v>
      </c>
      <c r="F7" s="254">
        <f t="shared" si="7"/>
        <v>-7.6929881216478035E-2</v>
      </c>
      <c r="G7" s="253">
        <f t="shared" si="8"/>
        <v>7.7582700283082007E-2</v>
      </c>
      <c r="H7" s="254">
        <f t="shared" si="9"/>
        <v>-0.12758270028308205</v>
      </c>
      <c r="I7" s="253">
        <f t="shared" si="10"/>
        <v>0.80952380952380953</v>
      </c>
      <c r="J7" s="254">
        <f t="shared" si="11"/>
        <v>-1.1204124962086743</v>
      </c>
      <c r="K7" s="253">
        <f t="shared" si="12"/>
        <v>1.8501375671344054</v>
      </c>
      <c r="L7" s="254">
        <f t="shared" si="13"/>
        <v>-1.0406137576105958</v>
      </c>
      <c r="M7" s="255"/>
      <c r="N7" s="256">
        <v>1</v>
      </c>
      <c r="O7" s="253">
        <f t="shared" ref="O7:O24" si="35">IFERROR(+BP7/BQ7-1,"")</f>
        <v>0.15789473684210531</v>
      </c>
      <c r="P7" s="257">
        <f t="shared" ref="P7:P24" si="36">+O7</f>
        <v>0.15789473684210531</v>
      </c>
      <c r="Q7" s="253">
        <f t="shared" si="14"/>
        <v>8.3333333333333259E-2</v>
      </c>
      <c r="R7" s="257">
        <f t="shared" ref="R7:R24" si="37">+Q7</f>
        <v>8.3333333333333259E-2</v>
      </c>
      <c r="S7" s="255"/>
      <c r="T7" s="256">
        <v>-1</v>
      </c>
      <c r="U7" s="253">
        <f t="shared" si="15"/>
        <v>6.8648414607110242E-2</v>
      </c>
      <c r="V7" s="258">
        <f t="shared" si="16"/>
        <v>6.8648414607110242E-2</v>
      </c>
      <c r="W7" s="253">
        <f t="shared" ref="W7:W24" si="38">IFERROR(IF(CB7&lt;0.5,"",+CB7/CC7-1),"")</f>
        <v>4.2987264545940445</v>
      </c>
      <c r="X7" s="258">
        <f t="shared" si="17"/>
        <v>4.2987264545940445</v>
      </c>
      <c r="Y7" s="253">
        <f t="shared" si="18"/>
        <v>0</v>
      </c>
      <c r="Z7" s="258">
        <f t="shared" si="19"/>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
        <f>VLOOKUP($A7,historia!$A$5:$CM$24,+HLOOKUP(AO$2,historia!$A$3:$EC$4,2,FALSE),FALSE)</f>
        <v>4</v>
      </c>
      <c r="AP7" s="28">
        <f>VLOOKUP($A7,historia!$A$5:$CM$24,+HLOOKUP(AP$2,historia!$A$3:$EC$4,2,FALSE),FALSE)</f>
        <v>3</v>
      </c>
      <c r="AQ7" s="28">
        <f>VLOOKUP($A7,historia!$A$5:$CM$24,+HLOOKUP(AQ$2,historia!$A$3:$EC$4,2,FALSE),FALSE)</f>
        <v>2</v>
      </c>
      <c r="AR7" s="28">
        <f>VLOOKUP($A7,historia!$A$5:$CM$24,+HLOOKUP(AR$2,historia!$A$3:$EC$4,2,FALSE),FALSE)</f>
        <v>2</v>
      </c>
      <c r="AS7" s="58">
        <f>VLOOKUP($A7,historia!$A$5:$CM$24,+HLOOKUP(AS$2,historia!$A$3:$EC$4,2,FALSE),FALSE)</f>
        <v>2</v>
      </c>
      <c r="AT7" s="58">
        <f>VLOOKUP($A7,historia!$A$5:$CM$24,+HLOOKUP(AT$2,historia!$A$3:$EC$4,2,FALSE),FALSE)</f>
        <v>2</v>
      </c>
      <c r="AU7" s="58">
        <f>VLOOKUP($A7,historia!$A$5:$CM$24,+HLOOKUP(AU$2,historia!$A$3:$EC$4,2,FALSE),FALSE)</f>
        <v>2</v>
      </c>
      <c r="AV7" s="58">
        <f>VLOOKUP($A7,historia!$A$5:$CM$24,+HLOOKUP(AV$2,historia!$A$3:$EC$4,2,FALSE),FALSE)</f>
        <v>2</v>
      </c>
      <c r="AW7" s="58">
        <f>VLOOKUP($A7,historia!$A$5:$CM$24,+HLOOKUP(AW$2,historia!$A$3:$EC$4,2,FALSE),FALSE)</f>
        <v>4</v>
      </c>
      <c r="AX7" s="58">
        <v>3</v>
      </c>
      <c r="AY7" s="58">
        <v>4</v>
      </c>
      <c r="AZ7" s="58">
        <v>4</v>
      </c>
      <c r="BA7" s="30"/>
      <c r="BB7" s="141">
        <v>4</v>
      </c>
      <c r="BC7" t="str">
        <f t="shared" si="20"/>
        <v>Arroz</v>
      </c>
      <c r="BD7">
        <f>+datos!R1</f>
        <v>18</v>
      </c>
      <c r="BE7" s="2" t="str">
        <f t="shared" si="4"/>
        <v>$/t</v>
      </c>
      <c r="BF7" s="2">
        <f t="shared" si="4"/>
        <v>380000</v>
      </c>
      <c r="BG7" s="2">
        <f t="shared" si="4"/>
        <v>400000</v>
      </c>
      <c r="BH7" s="2">
        <f t="shared" si="4"/>
        <v>210000</v>
      </c>
      <c r="BJ7">
        <f>+datos!BZ1</f>
        <v>78</v>
      </c>
      <c r="BK7" s="2">
        <f t="shared" si="21"/>
        <v>8641.1762142335101</v>
      </c>
      <c r="BL7" s="2">
        <f t="shared" si="21"/>
        <v>8019.0376218581323</v>
      </c>
      <c r="BM7" s="2">
        <f t="shared" si="21"/>
        <v>3031.8453094604656</v>
      </c>
      <c r="BO7" s="1">
        <f>+datos!DM1</f>
        <v>117</v>
      </c>
      <c r="BP7" s="1">
        <f t="shared" si="22"/>
        <v>220000</v>
      </c>
      <c r="BQ7" s="1">
        <f t="shared" si="22"/>
        <v>190000</v>
      </c>
      <c r="BS7" s="1">
        <f>+datos!FH1</f>
        <v>164</v>
      </c>
      <c r="BT7" s="1">
        <f t="shared" si="23"/>
        <v>1300000</v>
      </c>
      <c r="BU7" s="1">
        <f t="shared" si="23"/>
        <v>1200000</v>
      </c>
      <c r="BW7" s="1">
        <f>+datos!JG1</f>
        <v>267</v>
      </c>
      <c r="BX7" s="1">
        <f t="shared" ref="BX7:BX24" si="39">+SUM(CI7:CT7)</f>
        <v>285.32592317000001</v>
      </c>
      <c r="BY7" s="1">
        <f t="shared" ref="BY7:BY24" si="40">+SUM(CU7:DF7)</f>
        <v>266.99700225999999</v>
      </c>
      <c r="CA7" s="1">
        <f>+datos!KL1</f>
        <v>298</v>
      </c>
      <c r="CB7" s="2">
        <f t="shared" si="24"/>
        <v>3.7684896500000007</v>
      </c>
      <c r="CC7" s="2">
        <f t="shared" si="25"/>
        <v>0.71120667999999998</v>
      </c>
      <c r="CE7" s="1">
        <f>+datos!HU1</f>
        <v>229</v>
      </c>
      <c r="CF7" s="1">
        <f t="shared" si="26"/>
        <v>700000</v>
      </c>
      <c r="CG7" s="1">
        <f t="shared" si="27"/>
        <v>700000</v>
      </c>
      <c r="CI7" s="1">
        <f t="shared" si="28"/>
        <v>22.506187060000002</v>
      </c>
      <c r="CJ7" s="1">
        <f t="shared" si="28"/>
        <v>26.198510359999997</v>
      </c>
      <c r="CK7" s="1">
        <f t="shared" si="28"/>
        <v>16.658344929999998</v>
      </c>
      <c r="CL7" s="1">
        <f t="shared" si="28"/>
        <v>38.799980059999996</v>
      </c>
      <c r="CM7" s="1">
        <f t="shared" si="28"/>
        <v>35.598317799999997</v>
      </c>
      <c r="CN7" s="1">
        <f t="shared" si="28"/>
        <v>32.785113670000001</v>
      </c>
      <c r="CO7" s="1">
        <f t="shared" si="28"/>
        <v>22.35722878</v>
      </c>
      <c r="CP7" s="1">
        <f t="shared" si="28"/>
        <v>34.376458229999997</v>
      </c>
      <c r="CQ7" s="1">
        <f t="shared" si="28"/>
        <v>13.355622539999999</v>
      </c>
      <c r="CR7" s="1">
        <f t="shared" si="28"/>
        <v>10.68224592</v>
      </c>
      <c r="CS7" s="1">
        <f t="shared" si="28"/>
        <v>15.82785018</v>
      </c>
      <c r="CT7" s="1">
        <f t="shared" si="28"/>
        <v>16.180063639999997</v>
      </c>
      <c r="CU7" s="1">
        <f t="shared" si="28"/>
        <v>11.823193960000001</v>
      </c>
      <c r="CV7" s="1">
        <f t="shared" si="28"/>
        <v>12.24327484</v>
      </c>
      <c r="CW7" s="1">
        <f t="shared" si="28"/>
        <v>9.600226039999999</v>
      </c>
      <c r="CX7" s="1">
        <f t="shared" si="28"/>
        <v>26.338491399999999</v>
      </c>
      <c r="CY7" s="1">
        <f t="shared" si="29"/>
        <v>21.418726320000001</v>
      </c>
      <c r="CZ7" s="1">
        <f t="shared" si="29"/>
        <v>22.255101539999998</v>
      </c>
      <c r="DA7" s="1">
        <f t="shared" si="29"/>
        <v>44.848914040000004</v>
      </c>
      <c r="DB7" s="1">
        <f t="shared" si="29"/>
        <v>20.357260950000001</v>
      </c>
      <c r="DC7" s="1">
        <f t="shared" si="29"/>
        <v>17.134564559999998</v>
      </c>
      <c r="DD7" s="1">
        <f t="shared" si="29"/>
        <v>28.8463791</v>
      </c>
      <c r="DE7" s="1">
        <f t="shared" si="29"/>
        <v>29.656605189999997</v>
      </c>
      <c r="DF7" s="1">
        <f t="shared" si="29"/>
        <v>22.47426432</v>
      </c>
      <c r="DH7" s="1">
        <f t="shared" si="30"/>
        <v>0.50490091999999998</v>
      </c>
      <c r="DI7" s="1">
        <f t="shared" si="30"/>
        <v>0.40961613000000002</v>
      </c>
      <c r="DJ7" s="1">
        <f t="shared" si="30"/>
        <v>0.23587240000000001</v>
      </c>
      <c r="DK7" s="1">
        <f t="shared" si="30"/>
        <v>0.18557204999999999</v>
      </c>
      <c r="DL7" s="1">
        <f t="shared" si="30"/>
        <v>0.48301414000000004</v>
      </c>
      <c r="DM7" s="1">
        <f t="shared" si="30"/>
        <v>0.23845672000000001</v>
      </c>
      <c r="DN7" s="1">
        <f t="shared" si="30"/>
        <v>0.50080292000000004</v>
      </c>
      <c r="DO7" s="1">
        <f t="shared" si="30"/>
        <v>8.6091799999999996E-2</v>
      </c>
      <c r="DP7" s="1">
        <f t="shared" si="30"/>
        <v>0.22536</v>
      </c>
      <c r="DQ7" s="1">
        <f t="shared" si="30"/>
        <v>0.8256</v>
      </c>
      <c r="DR7" s="1">
        <f t="shared" si="30"/>
        <v>3.973985E-2</v>
      </c>
      <c r="DS7" s="1">
        <f t="shared" si="30"/>
        <v>3.3462720000000001E-2</v>
      </c>
      <c r="DT7" s="1">
        <f t="shared" si="30"/>
        <v>0.19098301000000001</v>
      </c>
      <c r="DU7" s="1">
        <f t="shared" si="30"/>
        <v>0.10767879</v>
      </c>
      <c r="DV7" s="1">
        <f t="shared" si="30"/>
        <v>5.5773490000000002E-2</v>
      </c>
      <c r="DW7" s="1">
        <f t="shared" si="30"/>
        <v>8.7189080000000002E-2</v>
      </c>
      <c r="DX7" s="1">
        <f t="shared" si="31"/>
        <v>3.9243889999999997E-2</v>
      </c>
      <c r="DY7" s="1">
        <f t="shared" si="31"/>
        <v>0.10892111</v>
      </c>
      <c r="DZ7" s="1">
        <f t="shared" si="31"/>
        <v>1.8036480000000001E-2</v>
      </c>
      <c r="EA7" s="1">
        <f t="shared" si="31"/>
        <v>2.0500000000000002E-3</v>
      </c>
      <c r="EB7" s="1">
        <f t="shared" si="31"/>
        <v>1.0492100000000001E-3</v>
      </c>
      <c r="EC7" s="1">
        <f t="shared" si="31"/>
        <v>2.7127990000000001E-2</v>
      </c>
      <c r="ED7" s="1">
        <f t="shared" si="31"/>
        <v>2.9352990000000002E-2</v>
      </c>
      <c r="EE7" s="1">
        <f t="shared" si="31"/>
        <v>4.3800639999999995E-2</v>
      </c>
      <c r="EG7" s="14">
        <f t="shared" si="32"/>
        <v>700000</v>
      </c>
      <c r="EH7" s="14">
        <f t="shared" si="32"/>
        <v>700000</v>
      </c>
      <c r="EI7" s="1">
        <f t="shared" si="32"/>
        <v>700000</v>
      </c>
      <c r="EJ7" s="1">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3"/>
        <v>700000</v>
      </c>
      <c r="EX7" s="1">
        <f t="shared" si="33"/>
        <v>700000</v>
      </c>
      <c r="EY7" s="1">
        <f t="shared" si="33"/>
        <v>700000</v>
      </c>
      <c r="EZ7" s="1">
        <f t="shared" si="33"/>
        <v>700000</v>
      </c>
      <c r="FA7" s="1">
        <f t="shared" si="33"/>
        <v>650000</v>
      </c>
      <c r="FB7" s="1">
        <f t="shared" si="33"/>
        <v>650000</v>
      </c>
      <c r="FC7" s="1">
        <f t="shared" si="33"/>
        <v>650000</v>
      </c>
      <c r="FD7" s="1">
        <f t="shared" si="33"/>
        <v>650000</v>
      </c>
      <c r="FF7" s="162">
        <f t="shared" si="34"/>
        <v>-1.0406137576105958</v>
      </c>
    </row>
    <row r="8" spans="1:162" ht="18.75" customHeight="1">
      <c r="A8" s="243" t="s">
        <v>215</v>
      </c>
      <c r="B8" s="246"/>
      <c r="C8" s="156">
        <f t="shared" si="5"/>
        <v>-0.33</v>
      </c>
      <c r="D8" s="198">
        <v>0</v>
      </c>
      <c r="E8" s="248">
        <f t="shared" si="6"/>
        <v>1.0043172675969103E-2</v>
      </c>
      <c r="F8" s="249">
        <f t="shared" si="7"/>
        <v>-1.6886708540508888E-2</v>
      </c>
      <c r="G8" s="248">
        <f t="shared" si="8"/>
        <v>6.4321023891532159E-2</v>
      </c>
      <c r="H8" s="249">
        <f t="shared" si="9"/>
        <v>-5.4277851215563055E-2</v>
      </c>
      <c r="I8" s="248">
        <f t="shared" si="10"/>
        <v>1.1368283893814137</v>
      </c>
      <c r="J8" s="249">
        <f t="shared" si="11"/>
        <v>-0.79310791635107014</v>
      </c>
      <c r="K8" s="248">
        <f t="shared" si="12"/>
        <v>1.6664390926124097</v>
      </c>
      <c r="L8" s="249">
        <f t="shared" si="13"/>
        <v>-0.52961070323099602</v>
      </c>
      <c r="M8" s="250"/>
      <c r="N8" s="24">
        <v>0</v>
      </c>
      <c r="O8" s="248">
        <f t="shared" si="35"/>
        <v>-3.5676364408579353E-2</v>
      </c>
      <c r="P8" s="251">
        <f t="shared" si="36"/>
        <v>-3.5676364408579353E-2</v>
      </c>
      <c r="Q8" s="248">
        <f t="shared" si="14"/>
        <v>-4.6653014129807158E-3</v>
      </c>
      <c r="R8" s="251">
        <f t="shared" si="37"/>
        <v>-4.6653014129807158E-3</v>
      </c>
      <c r="S8" s="250"/>
      <c r="T8" s="24">
        <v>-1</v>
      </c>
      <c r="U8" s="248">
        <f t="shared" si="15"/>
        <v>-0.12557144463838987</v>
      </c>
      <c r="V8" s="252">
        <f t="shared" si="16"/>
        <v>-0.12557144463838987</v>
      </c>
      <c r="W8" s="248">
        <f t="shared" si="38"/>
        <v>-0.14071996360792971</v>
      </c>
      <c r="X8" s="252">
        <f t="shared" si="17"/>
        <v>-0.14071996360792971</v>
      </c>
      <c r="Y8" s="248">
        <f t="shared" si="18"/>
        <v>-3.6635595057446402E-2</v>
      </c>
      <c r="Z8" s="252">
        <f t="shared" si="19"/>
        <v>-3.6635595057446402E-2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
        <f>VLOOKUP($A8,historia!$A$5:$CM$24,+HLOOKUP(AO$2,historia!$A$3:$EC$4,2,FALSE),FALSE)</f>
        <v>4</v>
      </c>
      <c r="AP8" s="28">
        <f>VLOOKUP($A8,historia!$A$5:$CM$24,+HLOOKUP(AP$2,historia!$A$3:$EC$4,2,FALSE),FALSE)</f>
        <v>5</v>
      </c>
      <c r="AQ8" s="28">
        <f>VLOOKUP($A8,historia!$A$5:$CM$24,+HLOOKUP(AQ$2,historia!$A$3:$EC$4,2,FALSE),FALSE)</f>
        <v>2</v>
      </c>
      <c r="AR8" s="28">
        <f>VLOOKUP($A8,historia!$A$5:$CM$24,+HLOOKUP(AR$2,historia!$A$3:$EC$4,2,FALSE),FALSE)</f>
        <v>1</v>
      </c>
      <c r="AS8" s="58">
        <f>VLOOKUP($A8,historia!$A$5:$CM$24,+HLOOKUP(AS$2,historia!$A$3:$EC$4,2,FALSE),FALSE)</f>
        <v>1</v>
      </c>
      <c r="AT8" s="58">
        <f>VLOOKUP($A8,historia!$A$5:$CM$24,+HLOOKUP(AT$2,historia!$A$3:$EC$4,2,FALSE),FALSE)</f>
        <v>2</v>
      </c>
      <c r="AU8" s="58">
        <f>VLOOKUP($A8,historia!$A$5:$CM$24,+HLOOKUP(AU$2,historia!$A$3:$EC$4,2,FALSE),FALSE)</f>
        <v>3</v>
      </c>
      <c r="AV8" s="58">
        <f>VLOOKUP($A8,historia!$A$5:$CM$24,+HLOOKUP(AV$2,historia!$A$3:$EC$4,2,FALSE),FALSE)</f>
        <v>3</v>
      </c>
      <c r="AW8" s="58">
        <f>VLOOKUP($A8,historia!$A$5:$CM$24,+HLOOKUP(AW$2,historia!$A$3:$EC$4,2,FALSE),FALSE)</f>
        <v>3</v>
      </c>
      <c r="AX8" s="58">
        <v>43</v>
      </c>
      <c r="AY8" s="58">
        <v>3</v>
      </c>
      <c r="AZ8" s="58">
        <v>4</v>
      </c>
      <c r="BA8" s="30"/>
      <c r="BB8" s="141">
        <v>3</v>
      </c>
      <c r="BC8" t="str">
        <f t="shared" si="20"/>
        <v>Aves</v>
      </c>
      <c r="BD8">
        <f>+datos!BQ1</f>
        <v>69</v>
      </c>
      <c r="BE8" s="2" t="str">
        <f t="shared" si="4"/>
        <v>prom pond huevo-carne</v>
      </c>
      <c r="BF8" s="2">
        <f t="shared" si="4"/>
        <v>1713.7150000000001</v>
      </c>
      <c r="BG8" s="2">
        <f t="shared" si="4"/>
        <v>1696.6750000000002</v>
      </c>
      <c r="BH8" s="2">
        <f t="shared" si="4"/>
        <v>801.99</v>
      </c>
      <c r="BJ8">
        <f>+datos!DG1</f>
        <v>111</v>
      </c>
      <c r="BK8" s="2">
        <f t="shared" si="21"/>
        <v>8518.6376099798799</v>
      </c>
      <c r="BL8" s="2">
        <f t="shared" si="21"/>
        <v>8003.8234881734688</v>
      </c>
      <c r="BM8" s="2">
        <f t="shared" si="21"/>
        <v>3194.7617455735144</v>
      </c>
      <c r="BO8" s="1">
        <f>+datos!EP1</f>
        <v>146</v>
      </c>
      <c r="BP8" s="1">
        <f t="shared" si="22"/>
        <v>9082</v>
      </c>
      <c r="BQ8" s="1">
        <f t="shared" si="22"/>
        <v>9418</v>
      </c>
      <c r="BS8" s="1">
        <f>+datos!HM1</f>
        <v>221</v>
      </c>
      <c r="BT8" s="1">
        <f t="shared" si="23"/>
        <v>2362594.3422992867</v>
      </c>
      <c r="BU8" s="1">
        <f t="shared" si="23"/>
        <v>2373668.2200000002</v>
      </c>
      <c r="BW8" s="1">
        <f>+datos!KF1</f>
        <v>292</v>
      </c>
      <c r="BX8" s="1">
        <f t="shared" si="39"/>
        <v>342.74518949000003</v>
      </c>
      <c r="BY8" s="1">
        <f t="shared" si="40"/>
        <v>391.96477218000001</v>
      </c>
      <c r="CA8" s="1">
        <f>+datos!LK1</f>
        <v>323</v>
      </c>
      <c r="CB8" s="2">
        <f t="shared" si="24"/>
        <v>37.221260749999999</v>
      </c>
      <c r="CC8" s="2">
        <f t="shared" si="25"/>
        <v>43.316799150000001</v>
      </c>
      <c r="CE8" s="1">
        <f>+datos!IL1</f>
        <v>246</v>
      </c>
      <c r="CF8" s="1">
        <f t="shared" si="26"/>
        <v>44.44</v>
      </c>
      <c r="CG8" s="1">
        <f t="shared" si="27"/>
        <v>46.13</v>
      </c>
      <c r="CI8" s="1">
        <f t="shared" si="28"/>
        <v>20.968439010000004</v>
      </c>
      <c r="CJ8" s="1">
        <f t="shared" si="28"/>
        <v>22.566015059999998</v>
      </c>
      <c r="CK8" s="1">
        <f t="shared" si="28"/>
        <v>20.944876220000001</v>
      </c>
      <c r="CL8" s="1">
        <f t="shared" si="28"/>
        <v>23.157032140000002</v>
      </c>
      <c r="CM8" s="1">
        <f t="shared" si="28"/>
        <v>19.314763240000005</v>
      </c>
      <c r="CN8" s="1">
        <f t="shared" si="28"/>
        <v>22.778743510000002</v>
      </c>
      <c r="CO8" s="1">
        <f t="shared" si="28"/>
        <v>39.062197300000001</v>
      </c>
      <c r="CP8" s="1">
        <f t="shared" si="28"/>
        <v>40.013868680000002</v>
      </c>
      <c r="CQ8" s="1">
        <f t="shared" si="28"/>
        <v>35.607742460000011</v>
      </c>
      <c r="CR8" s="1">
        <f t="shared" si="28"/>
        <v>32.51792974</v>
      </c>
      <c r="CS8" s="1">
        <f t="shared" si="28"/>
        <v>35.210116300000003</v>
      </c>
      <c r="CT8" s="1">
        <f t="shared" si="28"/>
        <v>30.603465830000005</v>
      </c>
      <c r="CU8" s="1">
        <f t="shared" si="28"/>
        <v>35.017556320000004</v>
      </c>
      <c r="CV8" s="1">
        <f t="shared" si="28"/>
        <v>24.343011479999998</v>
      </c>
      <c r="CW8" s="1">
        <f t="shared" si="28"/>
        <v>32.053320659999997</v>
      </c>
      <c r="CX8" s="1">
        <f t="shared" si="28"/>
        <v>25.827296739999998</v>
      </c>
      <c r="CY8" s="1">
        <f t="shared" si="29"/>
        <v>20.281404040000002</v>
      </c>
      <c r="CZ8" s="1">
        <f t="shared" si="29"/>
        <v>20.776878260000004</v>
      </c>
      <c r="DA8" s="1">
        <f t="shared" si="29"/>
        <v>18.00257775</v>
      </c>
      <c r="DB8" s="1">
        <f t="shared" si="29"/>
        <v>18.061317600000002</v>
      </c>
      <c r="DC8" s="1">
        <f t="shared" si="29"/>
        <v>50.712421620000008</v>
      </c>
      <c r="DD8" s="1">
        <f t="shared" si="29"/>
        <v>45.90045215</v>
      </c>
      <c r="DE8" s="1">
        <f t="shared" si="29"/>
        <v>47.273016750000004</v>
      </c>
      <c r="DF8" s="1">
        <f t="shared" si="29"/>
        <v>53.715518810000006</v>
      </c>
      <c r="DH8" s="1">
        <f t="shared" si="30"/>
        <v>4.0425458900000004</v>
      </c>
      <c r="DI8" s="1">
        <f t="shared" si="30"/>
        <v>3.59052696</v>
      </c>
      <c r="DJ8" s="1">
        <f t="shared" si="30"/>
        <v>2.1766254799999998</v>
      </c>
      <c r="DK8" s="1">
        <f t="shared" si="30"/>
        <v>1.5903026900000001</v>
      </c>
      <c r="DL8" s="1">
        <f t="shared" si="30"/>
        <v>5.6916922899999998</v>
      </c>
      <c r="DM8" s="1">
        <f t="shared" si="30"/>
        <v>1.7294530099999998</v>
      </c>
      <c r="DN8" s="1">
        <f t="shared" si="30"/>
        <v>4.2232492399999995</v>
      </c>
      <c r="DO8" s="1">
        <f t="shared" si="30"/>
        <v>1.27466579</v>
      </c>
      <c r="DP8" s="1">
        <f t="shared" si="30"/>
        <v>1.8857013599999999</v>
      </c>
      <c r="DQ8" s="1">
        <f t="shared" si="30"/>
        <v>4.07849503</v>
      </c>
      <c r="DR8" s="1">
        <f t="shared" si="30"/>
        <v>2.60999925</v>
      </c>
      <c r="DS8" s="1">
        <f t="shared" si="30"/>
        <v>4.3280037599999996</v>
      </c>
      <c r="DT8" s="1">
        <f t="shared" si="30"/>
        <v>3.9253711099999995</v>
      </c>
      <c r="DU8" s="1">
        <f t="shared" si="30"/>
        <v>2.66724104</v>
      </c>
      <c r="DV8" s="1">
        <f t="shared" si="30"/>
        <v>1.3237541899999998</v>
      </c>
      <c r="DW8" s="1">
        <f t="shared" si="30"/>
        <v>4.0034089300000009</v>
      </c>
      <c r="DX8" s="1">
        <f t="shared" si="31"/>
        <v>4.2620939999999994</v>
      </c>
      <c r="DY8" s="1">
        <f t="shared" si="31"/>
        <v>6.8027163900000005</v>
      </c>
      <c r="DZ8" s="1">
        <f t="shared" si="31"/>
        <v>1.73014019</v>
      </c>
      <c r="EA8" s="1">
        <f t="shared" si="31"/>
        <v>6.4691643499999998</v>
      </c>
      <c r="EB8" s="1">
        <f t="shared" si="31"/>
        <v>1.80858622</v>
      </c>
      <c r="EC8" s="1">
        <f t="shared" si="31"/>
        <v>3.7432468400000003</v>
      </c>
      <c r="ED8" s="1">
        <f t="shared" si="31"/>
        <v>0.59472115000000003</v>
      </c>
      <c r="EE8" s="1">
        <f t="shared" si="31"/>
        <v>5.9863547400000003</v>
      </c>
      <c r="EG8" s="14">
        <f t="shared" si="32"/>
        <v>44.44</v>
      </c>
      <c r="EH8" s="14">
        <f t="shared" si="32"/>
        <v>42.29</v>
      </c>
      <c r="EI8" s="1">
        <f t="shared" si="32"/>
        <v>45.39</v>
      </c>
      <c r="EJ8" s="1">
        <f t="shared" si="32"/>
        <v>45.32</v>
      </c>
      <c r="EK8" s="1">
        <f t="shared" si="32"/>
        <v>44.85</v>
      </c>
      <c r="EL8" s="1">
        <f t="shared" si="32"/>
        <v>45.52</v>
      </c>
      <c r="EM8" s="1">
        <f t="shared" si="32"/>
        <v>46.23</v>
      </c>
      <c r="EN8" s="1">
        <f t="shared" si="32"/>
        <v>46.23</v>
      </c>
      <c r="EO8" s="1">
        <f t="shared" si="32"/>
        <v>46.23</v>
      </c>
      <c r="EP8" s="1">
        <f t="shared" si="32"/>
        <v>48.52</v>
      </c>
      <c r="EQ8" s="1">
        <f t="shared" si="32"/>
        <v>45.85</v>
      </c>
      <c r="ER8" s="1">
        <f t="shared" si="32"/>
        <v>46.03</v>
      </c>
      <c r="ES8" s="1">
        <f t="shared" si="32"/>
        <v>46.13</v>
      </c>
      <c r="ET8" s="1">
        <f t="shared" si="32"/>
        <v>45.88</v>
      </c>
      <c r="EU8" s="1">
        <f t="shared" si="32"/>
        <v>46.09</v>
      </c>
      <c r="EV8" s="1">
        <f t="shared" si="32"/>
        <v>45.9</v>
      </c>
      <c r="EW8" s="1">
        <f t="shared" si="33"/>
        <v>46</v>
      </c>
      <c r="EX8" s="1">
        <f t="shared" si="33"/>
        <v>45.99</v>
      </c>
      <c r="EY8" s="1">
        <f t="shared" si="33"/>
        <v>45.74</v>
      </c>
      <c r="EZ8" s="1">
        <f t="shared" si="33"/>
        <v>45.46</v>
      </c>
      <c r="FA8" s="1">
        <f t="shared" si="33"/>
        <v>45.56</v>
      </c>
      <c r="FB8" s="1">
        <f t="shared" si="33"/>
        <v>45.71</v>
      </c>
      <c r="FC8" s="1">
        <f t="shared" si="33"/>
        <v>45.71</v>
      </c>
      <c r="FD8" s="1">
        <f t="shared" si="33"/>
        <v>46.04</v>
      </c>
      <c r="FF8" s="162">
        <f t="shared" si="34"/>
        <v>-0.52961070323099602</v>
      </c>
    </row>
    <row r="9" spans="1:162" ht="18.75" customHeight="1">
      <c r="A9" s="244" t="s">
        <v>77</v>
      </c>
      <c r="B9" s="247"/>
      <c r="C9" s="228">
        <v>0</v>
      </c>
      <c r="D9" s="229">
        <v>1</v>
      </c>
      <c r="E9" s="253">
        <f t="shared" si="6"/>
        <v>1.8502372979697368E-2</v>
      </c>
      <c r="F9" s="254">
        <f t="shared" si="7"/>
        <v>-8.4275082367806231E-3</v>
      </c>
      <c r="G9" s="253">
        <f t="shared" si="8"/>
        <v>1.4789403287928771E-2</v>
      </c>
      <c r="H9" s="254">
        <f t="shared" si="9"/>
        <v>3.7129696917685973E-3</v>
      </c>
      <c r="I9" s="253">
        <f t="shared" si="10"/>
        <v>1.467244931807453</v>
      </c>
      <c r="J9" s="254">
        <f t="shared" si="11"/>
        <v>-0.4626913739250309</v>
      </c>
      <c r="K9" s="253">
        <f t="shared" si="12"/>
        <v>1.5379424634108521</v>
      </c>
      <c r="L9" s="254">
        <f t="shared" si="13"/>
        <v>-7.0697531603399089E-2</v>
      </c>
      <c r="M9" s="255"/>
      <c r="N9" s="256">
        <v>-1</v>
      </c>
      <c r="O9" s="253">
        <f t="shared" si="35"/>
        <v>-2.6892205286269899E-2</v>
      </c>
      <c r="P9" s="257">
        <f t="shared" si="36"/>
        <v>-2.6892205286269899E-2</v>
      </c>
      <c r="Q9" s="253">
        <f t="shared" si="14"/>
        <v>-4.1799597020738544E-2</v>
      </c>
      <c r="R9" s="257">
        <f t="shared" si="37"/>
        <v>-4.1799597020738544E-2</v>
      </c>
      <c r="S9" s="255"/>
      <c r="T9" s="256">
        <v>0</v>
      </c>
      <c r="U9" s="253">
        <f t="shared" si="15"/>
        <v>3.6863936745543002E-2</v>
      </c>
      <c r="V9" s="258">
        <f t="shared" si="16"/>
        <v>3.6863936745543002E-2</v>
      </c>
      <c r="W9" s="253">
        <f t="shared" si="38"/>
        <v>-0.20396909745521041</v>
      </c>
      <c r="X9" s="258">
        <f t="shared" si="17"/>
        <v>-0.20396909745521041</v>
      </c>
      <c r="Y9" s="253">
        <f t="shared" si="18"/>
        <v>-6.6666666666666652E-2</v>
      </c>
      <c r="Z9" s="258">
        <f t="shared" si="19"/>
        <v>-6.6666666666666652E-2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
        <f>VLOOKUP($A9,historia!$A$5:$CM$24,+HLOOKUP(AO$2,historia!$A$3:$EC$4,2,FALSE),FALSE)</f>
        <v>3</v>
      </c>
      <c r="AP9" s="28">
        <f>VLOOKUP($A9,historia!$A$5:$CM$24,+HLOOKUP(AP$2,historia!$A$3:$EC$4,2,FALSE),FALSE)</f>
        <v>3</v>
      </c>
      <c r="AQ9" s="28">
        <f>VLOOKUP($A9,historia!$A$5:$CM$24,+HLOOKUP(AQ$2,historia!$A$3:$EC$4,2,FALSE),FALSE)</f>
        <v>2</v>
      </c>
      <c r="AR9" s="28">
        <f>VLOOKUP($A9,historia!$A$5:$CM$24,+HLOOKUP(AR$2,historia!$A$3:$EC$4,2,FALSE),FALSE)</f>
        <v>2</v>
      </c>
      <c r="AS9" s="58">
        <f>VLOOKUP($A9,historia!$A$5:$CM$24,+HLOOKUP(AS$2,historia!$A$3:$EC$4,2,FALSE),FALSE)</f>
        <v>2</v>
      </c>
      <c r="AT9" s="58">
        <f>VLOOKUP($A9,historia!$A$5:$CM$24,+HLOOKUP(AT$2,historia!$A$3:$EC$4,2,FALSE),FALSE)</f>
        <v>4</v>
      </c>
      <c r="AU9" s="58">
        <f>VLOOKUP($A9,historia!$A$5:$CM$24,+HLOOKUP(AU$2,historia!$A$3:$EC$4,2,FALSE),FALSE)</f>
        <v>4</v>
      </c>
      <c r="AV9" s="58">
        <f>VLOOKUP($A9,historia!$A$5:$CM$24,+HLOOKUP(AV$2,historia!$A$3:$EC$4,2,FALSE),FALSE)</f>
        <v>3</v>
      </c>
      <c r="AW9" s="58">
        <f>VLOOKUP($A9,historia!$A$5:$CM$24,+HLOOKUP(AW$2,historia!$A$3:$EC$4,2,FALSE),FALSE)</f>
        <v>3</v>
      </c>
      <c r="AX9" s="58">
        <v>3</v>
      </c>
      <c r="AY9" s="58">
        <v>4</v>
      </c>
      <c r="AZ9" s="58">
        <v>3</v>
      </c>
      <c r="BA9" s="30"/>
      <c r="BB9" s="141">
        <v>3</v>
      </c>
      <c r="BC9" t="str">
        <f t="shared" si="20"/>
        <v>Bovinos</v>
      </c>
      <c r="BD9">
        <f>+datos!BM1</f>
        <v>65</v>
      </c>
      <c r="BE9" s="2" t="str">
        <f t="shared" si="4"/>
        <v>$/kg</v>
      </c>
      <c r="BF9" s="2">
        <f t="shared" si="4"/>
        <v>2320.6214999999997</v>
      </c>
      <c r="BG9" s="2">
        <f t="shared" si="4"/>
        <v>2278.4645</v>
      </c>
      <c r="BH9" s="2">
        <f t="shared" si="4"/>
        <v>940.572</v>
      </c>
      <c r="BJ9">
        <f>+datos!DB1</f>
        <v>106</v>
      </c>
      <c r="BK9" s="2">
        <f t="shared" si="21"/>
        <v>8632.8057751582746</v>
      </c>
      <c r="BL9" s="2">
        <f t="shared" si="21"/>
        <v>8506.9924332949176</v>
      </c>
      <c r="BM9" s="2">
        <f t="shared" si="21"/>
        <v>3401.4978273212187</v>
      </c>
      <c r="BO9" s="1">
        <f>+datos!EH1</f>
        <v>138</v>
      </c>
      <c r="BP9" s="1">
        <f t="shared" si="22"/>
        <v>52783892</v>
      </c>
      <c r="BQ9" s="1">
        <f t="shared" si="22"/>
        <v>54242595</v>
      </c>
      <c r="BS9" s="1">
        <f>+datos!HB1</f>
        <v>210</v>
      </c>
      <c r="BT9" s="1">
        <f t="shared" si="23"/>
        <v>3151524</v>
      </c>
      <c r="BU9" s="1">
        <f t="shared" si="23"/>
        <v>3289003</v>
      </c>
      <c r="BW9" s="1">
        <f>+datos!KG1</f>
        <v>293</v>
      </c>
      <c r="BX9" s="1">
        <f t="shared" si="39"/>
        <v>4046.3671494899986</v>
      </c>
      <c r="BY9" s="1">
        <f t="shared" si="40"/>
        <v>3902.50543595</v>
      </c>
      <c r="CA9" s="1">
        <f>+datos!LL1</f>
        <v>324</v>
      </c>
      <c r="CB9" s="2">
        <f t="shared" si="24"/>
        <v>35.429454299999996</v>
      </c>
      <c r="CC9" s="2">
        <f t="shared" si="25"/>
        <v>44.507636809999994</v>
      </c>
      <c r="CE9" s="1">
        <f>+datos!IM1</f>
        <v>247</v>
      </c>
      <c r="CF9" s="1">
        <f t="shared" si="26"/>
        <v>47.74</v>
      </c>
      <c r="CG9" s="1">
        <f t="shared" si="27"/>
        <v>51.15</v>
      </c>
      <c r="CI9" s="1">
        <f t="shared" si="28"/>
        <v>373.60267999999996</v>
      </c>
      <c r="CJ9" s="1">
        <f t="shared" si="28"/>
        <v>392.24577093999977</v>
      </c>
      <c r="CK9" s="1">
        <f t="shared" si="28"/>
        <v>370.00520762000008</v>
      </c>
      <c r="CL9" s="1">
        <f t="shared" si="28"/>
        <v>307.7105307999999</v>
      </c>
      <c r="CM9" s="1">
        <f t="shared" si="28"/>
        <v>311.98041742999999</v>
      </c>
      <c r="CN9" s="1">
        <f t="shared" si="28"/>
        <v>309.32423856999998</v>
      </c>
      <c r="CO9" s="1">
        <f t="shared" si="28"/>
        <v>316.28118749999999</v>
      </c>
      <c r="CP9" s="1">
        <f t="shared" si="28"/>
        <v>350.14414257999977</v>
      </c>
      <c r="CQ9" s="1">
        <f t="shared" si="28"/>
        <v>342.85888695999995</v>
      </c>
      <c r="CR9" s="1">
        <f t="shared" si="28"/>
        <v>324.84866957999998</v>
      </c>
      <c r="CS9" s="1">
        <f t="shared" si="28"/>
        <v>325.97502911999987</v>
      </c>
      <c r="CT9" s="1">
        <f t="shared" si="28"/>
        <v>321.39038838999994</v>
      </c>
      <c r="CU9" s="1">
        <f t="shared" si="28"/>
        <v>273.58963931999995</v>
      </c>
      <c r="CV9" s="1">
        <f t="shared" si="28"/>
        <v>292.91820976000002</v>
      </c>
      <c r="CW9" s="1">
        <f t="shared" si="28"/>
        <v>371.72573624</v>
      </c>
      <c r="CX9" s="1">
        <f t="shared" si="28"/>
        <v>378.12790802000001</v>
      </c>
      <c r="CY9" s="1">
        <f t="shared" si="29"/>
        <v>308.34921994000001</v>
      </c>
      <c r="CZ9" s="1">
        <f t="shared" si="29"/>
        <v>390.63577031</v>
      </c>
      <c r="DA9" s="1">
        <f t="shared" si="29"/>
        <v>337.45013477999998</v>
      </c>
      <c r="DB9" s="1">
        <f t="shared" si="29"/>
        <v>339.25205494000011</v>
      </c>
      <c r="DC9" s="1">
        <f t="shared" si="29"/>
        <v>296.44265344999985</v>
      </c>
      <c r="DD9" s="1">
        <f t="shared" si="29"/>
        <v>285.75014393999987</v>
      </c>
      <c r="DE9" s="1">
        <f t="shared" si="29"/>
        <v>285.58164063999999</v>
      </c>
      <c r="DF9" s="1">
        <f t="shared" si="29"/>
        <v>342.68232461000008</v>
      </c>
      <c r="DH9" s="1">
        <f t="shared" si="30"/>
        <v>3.9160438699999998</v>
      </c>
      <c r="DI9" s="1">
        <f t="shared" si="30"/>
        <v>2.7432327000000001</v>
      </c>
      <c r="DJ9" s="1">
        <f t="shared" si="30"/>
        <v>3.5031505699999994</v>
      </c>
      <c r="DK9" s="1">
        <f t="shared" si="30"/>
        <v>3.9954732900000005</v>
      </c>
      <c r="DL9" s="1">
        <f t="shared" si="30"/>
        <v>2.3751918999999999</v>
      </c>
      <c r="DM9" s="1">
        <f t="shared" si="30"/>
        <v>3.3189943100000003</v>
      </c>
      <c r="DN9" s="1">
        <f t="shared" si="30"/>
        <v>3.6004889900000006</v>
      </c>
      <c r="DO9" s="1">
        <f t="shared" si="30"/>
        <v>2.2940615100000001</v>
      </c>
      <c r="DP9" s="1">
        <f t="shared" si="30"/>
        <v>1.2696953500000001</v>
      </c>
      <c r="DQ9" s="1">
        <f t="shared" si="30"/>
        <v>1.4792882700000001</v>
      </c>
      <c r="DR9" s="1">
        <f t="shared" si="30"/>
        <v>3.3410357400000001</v>
      </c>
      <c r="DS9" s="1">
        <f t="shared" si="30"/>
        <v>3.5927978000000009</v>
      </c>
      <c r="DT9" s="1">
        <f t="shared" si="30"/>
        <v>2.53051044</v>
      </c>
      <c r="DU9" s="1">
        <f t="shared" si="30"/>
        <v>2.3401237999999998</v>
      </c>
      <c r="DV9" s="1">
        <f t="shared" si="30"/>
        <v>2.4632922899999996</v>
      </c>
      <c r="DW9" s="1">
        <f t="shared" si="30"/>
        <v>3.8179622399999995</v>
      </c>
      <c r="DX9" s="1">
        <f t="shared" si="31"/>
        <v>3.8355995800000002</v>
      </c>
      <c r="DY9" s="1">
        <f t="shared" si="31"/>
        <v>7.3409295600000002</v>
      </c>
      <c r="DZ9" s="1">
        <f t="shared" si="31"/>
        <v>3.8261937100000005</v>
      </c>
      <c r="EA9" s="1">
        <f t="shared" si="31"/>
        <v>5.3486285699999998</v>
      </c>
      <c r="EB9" s="1">
        <f t="shared" si="31"/>
        <v>4.398381099999999</v>
      </c>
      <c r="EC9" s="1">
        <f t="shared" si="31"/>
        <v>4.3987828499999999</v>
      </c>
      <c r="ED9" s="1">
        <f t="shared" si="31"/>
        <v>1.58647798</v>
      </c>
      <c r="EE9" s="1">
        <f t="shared" si="31"/>
        <v>2.6207546900000001</v>
      </c>
      <c r="EG9" s="14">
        <f t="shared" si="32"/>
        <v>47.74</v>
      </c>
      <c r="EH9" s="14">
        <f t="shared" si="32"/>
        <v>47.38</v>
      </c>
      <c r="EI9" s="1">
        <f t="shared" si="32"/>
        <v>47.74</v>
      </c>
      <c r="EJ9" s="1">
        <f t="shared" si="32"/>
        <v>47.8</v>
      </c>
      <c r="EK9" s="1">
        <f t="shared" si="32"/>
        <v>47.58</v>
      </c>
      <c r="EL9" s="1">
        <f t="shared" si="32"/>
        <v>49.18</v>
      </c>
      <c r="EM9" s="1">
        <f t="shared" si="32"/>
        <v>49.37</v>
      </c>
      <c r="EN9" s="1">
        <f t="shared" si="32"/>
        <v>49.38</v>
      </c>
      <c r="EO9" s="1">
        <f t="shared" si="32"/>
        <v>51.48</v>
      </c>
      <c r="EP9" s="1">
        <f t="shared" si="32"/>
        <v>52.06</v>
      </c>
      <c r="EQ9" s="1">
        <f t="shared" si="32"/>
        <v>42.59</v>
      </c>
      <c r="ER9" s="1">
        <f t="shared" si="32"/>
        <v>51.3</v>
      </c>
      <c r="ES9" s="1">
        <f t="shared" si="32"/>
        <v>51.15</v>
      </c>
      <c r="ET9" s="1">
        <f t="shared" si="32"/>
        <v>51.01</v>
      </c>
      <c r="EU9" s="1">
        <f t="shared" si="32"/>
        <v>51.15</v>
      </c>
      <c r="EV9" s="1">
        <f t="shared" si="32"/>
        <v>51.72</v>
      </c>
      <c r="EW9" s="1">
        <f t="shared" si="33"/>
        <v>51.32</v>
      </c>
      <c r="EX9" s="1">
        <f t="shared" si="33"/>
        <v>50.44</v>
      </c>
      <c r="EY9" s="1">
        <f t="shared" si="33"/>
        <v>50.29</v>
      </c>
      <c r="EZ9" s="1">
        <f t="shared" si="33"/>
        <v>50.29</v>
      </c>
      <c r="FA9" s="1">
        <f t="shared" si="33"/>
        <v>49.14</v>
      </c>
      <c r="FB9" s="1">
        <f t="shared" si="33"/>
        <v>48.66</v>
      </c>
      <c r="FC9" s="1">
        <f t="shared" si="33"/>
        <v>48.66</v>
      </c>
      <c r="FD9" s="1">
        <f t="shared" si="33"/>
        <v>48.3</v>
      </c>
      <c r="FF9" s="162">
        <f t="shared" si="34"/>
        <v>-7.0697531603399089E-2</v>
      </c>
    </row>
    <row r="10" spans="1:162" ht="18.600000000000001" customHeight="1">
      <c r="A10" s="263" t="s">
        <v>221</v>
      </c>
      <c r="B10" s="246"/>
      <c r="C10" s="156">
        <f t="shared" si="5"/>
        <v>0</v>
      </c>
      <c r="D10" s="198">
        <v>-1</v>
      </c>
      <c r="E10" s="248">
        <f t="shared" si="6"/>
        <v>0.30644819127585121</v>
      </c>
      <c r="F10" s="249">
        <f t="shared" si="7"/>
        <v>0.27951831005937322</v>
      </c>
      <c r="G10" s="248">
        <f t="shared" si="8"/>
        <v>3.7905794277819815E-2</v>
      </c>
      <c r="H10" s="249">
        <f t="shared" si="9"/>
        <v>0.2685423969980314</v>
      </c>
      <c r="I10" s="248">
        <f t="shared" si="10"/>
        <v>0.93578080668930785</v>
      </c>
      <c r="J10" s="249">
        <f t="shared" si="11"/>
        <v>-0.99415549904317602</v>
      </c>
      <c r="K10" s="248">
        <f t="shared" si="12"/>
        <v>1.6222319298891188</v>
      </c>
      <c r="L10" s="249">
        <f t="shared" si="13"/>
        <v>-0.68645112319981094</v>
      </c>
      <c r="M10" s="250"/>
      <c r="N10" s="24">
        <v>0</v>
      </c>
      <c r="O10" s="248">
        <f t="shared" si="35"/>
        <v>4.1543620801842707E-3</v>
      </c>
      <c r="P10" s="251">
        <f t="shared" si="36"/>
        <v>4.1543620801842707E-3</v>
      </c>
      <c r="Q10" s="248">
        <f t="shared" si="14"/>
        <v>0.10798722044728426</v>
      </c>
      <c r="R10" s="251">
        <f t="shared" si="37"/>
        <v>0.10798722044728426</v>
      </c>
      <c r="S10" s="250"/>
      <c r="T10" s="24">
        <v>1</v>
      </c>
      <c r="U10" s="248">
        <f t="shared" si="15"/>
        <v>1.042713687376704</v>
      </c>
      <c r="V10" s="252">
        <f t="shared" si="16"/>
        <v>1.042713687376704</v>
      </c>
      <c r="W10" s="248">
        <f t="shared" si="38"/>
        <v>-0.13022389608014318</v>
      </c>
      <c r="X10" s="252">
        <f t="shared" si="17"/>
        <v>-0.13022389608014318</v>
      </c>
      <c r="Y10" s="248">
        <f t="shared" si="18"/>
        <v>-0.11904761904761896</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
        <f>VLOOKUP($A10,historia!$A$5:$CM$24,+HLOOKUP(AO$2,historia!$A$3:$EC$4,2,FALSE),FALSE)</f>
        <v>4</v>
      </c>
      <c r="AP10" s="28">
        <f>VLOOKUP($A10,historia!$A$5:$CM$24,+HLOOKUP(AP$2,historia!$A$3:$EC$4,2,FALSE),FALSE)</f>
        <v>5</v>
      </c>
      <c r="AQ10" s="28">
        <f>VLOOKUP($A10,historia!$A$5:$CM$24,+HLOOKUP(AQ$2,historia!$A$3:$EC$4,2,FALSE),FALSE)</f>
        <v>3</v>
      </c>
      <c r="AR10" s="28">
        <f>VLOOKUP($A10,historia!$A$5:$CM$24,+HLOOKUP(AR$2,historia!$A$3:$EC$4,2,FALSE),FALSE)</f>
        <v>3</v>
      </c>
      <c r="AS10" s="58">
        <f>VLOOKUP($A10,historia!$A$5:$CM$24,+HLOOKUP(AS$2,historia!$A$3:$EC$4,2,FALSE),FALSE)</f>
        <v>4</v>
      </c>
      <c r="AT10" s="58">
        <f>VLOOKUP($A10,historia!$A$5:$CM$24,+HLOOKUP(AT$2,historia!$A$3:$EC$4,2,FALSE),FALSE)</f>
        <v>4</v>
      </c>
      <c r="AU10" s="58">
        <f>VLOOKUP($A10,historia!$A$5:$CM$24,+HLOOKUP(AU$2,historia!$A$3:$EC$4,2,FALSE),FALSE)</f>
        <v>5</v>
      </c>
      <c r="AV10" s="58">
        <f>VLOOKUP($A10,historia!$A$5:$CM$24,+HLOOKUP(AV$2,historia!$A$3:$EC$4,2,FALSE),FALSE)</f>
        <v>4</v>
      </c>
      <c r="AW10" s="58">
        <f>VLOOKUP($A10,historia!$A$5:$CM$24,+HLOOKUP(AW$2,historia!$A$3:$EC$4,2,FALSE),FALSE)</f>
        <v>4</v>
      </c>
      <c r="AX10" s="58">
        <v>4</v>
      </c>
      <c r="AY10" s="58">
        <v>4</v>
      </c>
      <c r="AZ10" s="58">
        <v>4</v>
      </c>
      <c r="BA10" s="30"/>
      <c r="BB10" s="141">
        <v>4</v>
      </c>
      <c r="BC10" t="str">
        <f t="shared" si="20"/>
        <v>Cítricos Dulces</v>
      </c>
      <c r="BD10">
        <f>+datos!AU1</f>
        <v>47</v>
      </c>
      <c r="BE10" s="2" t="str">
        <f t="shared" si="4"/>
        <v>$/caja 18kg</v>
      </c>
      <c r="BF10" s="2">
        <f t="shared" si="4"/>
        <v>11228.813333333334</v>
      </c>
      <c r="BG10" s="2">
        <f t="shared" si="4"/>
        <v>8594.9166666666661</v>
      </c>
      <c r="BH10" s="2">
        <f t="shared" si="4"/>
        <v>5800.6636363636362</v>
      </c>
      <c r="BJ10">
        <f>+datos!CX1</f>
        <v>102</v>
      </c>
      <c r="BK10" s="2">
        <f t="shared" si="21"/>
        <v>8351.1394669862457</v>
      </c>
      <c r="BL10" s="2">
        <f t="shared" si="21"/>
        <v>8046.1439882383647</v>
      </c>
      <c r="BM10" s="2">
        <f t="shared" si="21"/>
        <v>3184.7447862246777</v>
      </c>
      <c r="BO10" s="1">
        <f>+datos!ER1</f>
        <v>148</v>
      </c>
      <c r="BP10" s="1">
        <f t="shared" si="22"/>
        <v>80248</v>
      </c>
      <c r="BQ10" s="1">
        <f t="shared" si="22"/>
        <v>79916</v>
      </c>
      <c r="BS10" s="1">
        <f>+datos!GH1</f>
        <v>190</v>
      </c>
      <c r="BT10" s="1">
        <f t="shared" si="23"/>
        <v>1734000</v>
      </c>
      <c r="BU10" s="1">
        <f t="shared" si="23"/>
        <v>1565000</v>
      </c>
      <c r="BW10" s="1">
        <f>+datos!LT1</f>
        <v>332</v>
      </c>
      <c r="BX10" s="1">
        <f t="shared" si="39"/>
        <v>90.48476208000001</v>
      </c>
      <c r="BY10" s="1">
        <f t="shared" si="40"/>
        <v>44.296350799999999</v>
      </c>
      <c r="BZ10" s="1"/>
      <c r="CA10" s="1">
        <f>+datos!LX1</f>
        <v>336</v>
      </c>
      <c r="CB10" s="2">
        <f t="shared" si="24"/>
        <v>4.3184048000000006</v>
      </c>
      <c r="CC10" s="2">
        <f t="shared" si="25"/>
        <v>4.9649614200000007</v>
      </c>
      <c r="CE10" s="1">
        <f>+datos!IV1</f>
        <v>256</v>
      </c>
      <c r="CF10" s="1">
        <f t="shared" si="26"/>
        <v>17.39</v>
      </c>
      <c r="CG10" s="1">
        <f t="shared" si="27"/>
        <v>19.739999999999998</v>
      </c>
      <c r="CI10" s="1">
        <f t="shared" si="28"/>
        <v>17.119922650000003</v>
      </c>
      <c r="CJ10" s="1">
        <f t="shared" si="28"/>
        <v>15.255558669999997</v>
      </c>
      <c r="CK10" s="1">
        <f t="shared" si="28"/>
        <v>10.271936310000001</v>
      </c>
      <c r="CL10" s="1">
        <f t="shared" si="28"/>
        <v>14.041262509999999</v>
      </c>
      <c r="CM10" s="1">
        <f t="shared" si="28"/>
        <v>6.1015489199999999</v>
      </c>
      <c r="CN10" s="1">
        <f t="shared" si="28"/>
        <v>2.3063176799999998</v>
      </c>
      <c r="CO10" s="1">
        <f t="shared" si="28"/>
        <v>3.2785219999999997</v>
      </c>
      <c r="CP10" s="1">
        <f t="shared" si="28"/>
        <v>2.8661316999999999</v>
      </c>
      <c r="CQ10" s="1">
        <f t="shared" si="28"/>
        <v>3.3581509099999995</v>
      </c>
      <c r="CR10" s="1">
        <f t="shared" si="28"/>
        <v>4.3519123000000004</v>
      </c>
      <c r="CS10" s="1">
        <f t="shared" si="28"/>
        <v>3.6482140500000004</v>
      </c>
      <c r="CT10" s="1">
        <f t="shared" si="28"/>
        <v>7.8852843799999999</v>
      </c>
      <c r="CU10" s="1">
        <f t="shared" si="28"/>
        <v>4.4927710999999997</v>
      </c>
      <c r="CV10" s="1">
        <f t="shared" si="28"/>
        <v>3.9018705800000002</v>
      </c>
      <c r="CW10" s="1">
        <f t="shared" si="28"/>
        <v>10.723855849999996</v>
      </c>
      <c r="CX10" s="1">
        <f t="shared" si="28"/>
        <v>7.5775361799999992</v>
      </c>
      <c r="CY10" s="1">
        <f t="shared" si="29"/>
        <v>1.25129154</v>
      </c>
      <c r="CZ10" s="1">
        <f t="shared" si="29"/>
        <v>0.77785399999999993</v>
      </c>
      <c r="DA10" s="1">
        <f t="shared" si="29"/>
        <v>1.96707276</v>
      </c>
      <c r="DB10" s="1">
        <f t="shared" si="29"/>
        <v>1.7333935799999998</v>
      </c>
      <c r="DC10" s="1">
        <f t="shared" si="29"/>
        <v>4.5063326699999999</v>
      </c>
      <c r="DD10" s="1">
        <f t="shared" si="29"/>
        <v>2.6066778199999998</v>
      </c>
      <c r="DE10" s="1">
        <f t="shared" si="29"/>
        <v>1.98627314</v>
      </c>
      <c r="DF10" s="1">
        <f t="shared" si="29"/>
        <v>2.7714215800000002</v>
      </c>
      <c r="DH10" s="1">
        <f t="shared" si="30"/>
        <v>0.22489865000000001</v>
      </c>
      <c r="DI10" s="1">
        <f t="shared" si="30"/>
        <v>0.17467300000000002</v>
      </c>
      <c r="DJ10" s="1">
        <f t="shared" si="30"/>
        <v>7.2500000000000004E-3</v>
      </c>
      <c r="DK10" s="1">
        <f t="shared" si="30"/>
        <v>0.23680799999999999</v>
      </c>
      <c r="DL10" s="1">
        <f t="shared" si="30"/>
        <v>0</v>
      </c>
      <c r="DM10" s="1">
        <f t="shared" si="30"/>
        <v>0.3075099</v>
      </c>
      <c r="DN10" s="1">
        <f t="shared" si="30"/>
        <v>0.82950560000000007</v>
      </c>
      <c r="DO10" s="1">
        <f t="shared" si="30"/>
        <v>1.06715808</v>
      </c>
      <c r="DP10" s="1">
        <f t="shared" si="30"/>
        <v>0.57276656999999997</v>
      </c>
      <c r="DQ10" s="1">
        <f t="shared" si="30"/>
        <v>0.50591796999999994</v>
      </c>
      <c r="DR10" s="1">
        <f t="shared" si="30"/>
        <v>0.37369366000000004</v>
      </c>
      <c r="DS10" s="1">
        <f t="shared" si="30"/>
        <v>1.8223369999999999E-2</v>
      </c>
      <c r="DT10" s="1">
        <f t="shared" si="30"/>
        <v>0.26981320000000003</v>
      </c>
      <c r="DU10" s="1">
        <f t="shared" si="30"/>
        <v>0.36129600000000001</v>
      </c>
      <c r="DV10" s="1">
        <f t="shared" si="30"/>
        <v>3.0606999999999997E-4</v>
      </c>
      <c r="DW10" s="1">
        <f t="shared" si="30"/>
        <v>0.33402694999999999</v>
      </c>
      <c r="DX10" s="1">
        <f t="shared" si="31"/>
        <v>0</v>
      </c>
      <c r="DY10" s="1">
        <f t="shared" si="31"/>
        <v>0.31172668999999997</v>
      </c>
      <c r="DZ10" s="1">
        <f t="shared" si="31"/>
        <v>1.32104435</v>
      </c>
      <c r="EA10" s="1">
        <f t="shared" si="31"/>
        <v>1.2081202200000001</v>
      </c>
      <c r="EB10" s="1">
        <f t="shared" si="31"/>
        <v>0.6520337100000001</v>
      </c>
      <c r="EC10" s="1">
        <f t="shared" si="31"/>
        <v>0.45880662999999999</v>
      </c>
      <c r="ED10" s="1">
        <f t="shared" si="31"/>
        <v>0</v>
      </c>
      <c r="EE10" s="1">
        <f t="shared" si="31"/>
        <v>4.77876E-2</v>
      </c>
      <c r="EG10" s="14">
        <f t="shared" si="32"/>
        <v>17.39</v>
      </c>
      <c r="EH10" s="14">
        <f t="shared" si="32"/>
        <v>17.39</v>
      </c>
      <c r="EI10" s="1">
        <f t="shared" si="32"/>
        <v>17.39</v>
      </c>
      <c r="EJ10" s="1">
        <f t="shared" si="32"/>
        <v>17.39</v>
      </c>
      <c r="EK10" s="1">
        <f t="shared" si="32"/>
        <v>17.39</v>
      </c>
      <c r="EL10" s="1">
        <f t="shared" si="32"/>
        <v>17.39</v>
      </c>
      <c r="EM10" s="1">
        <f t="shared" si="32"/>
        <v>17.39</v>
      </c>
      <c r="EN10" s="1">
        <f t="shared" si="32"/>
        <v>17.39</v>
      </c>
      <c r="EO10" s="1">
        <f t="shared" si="32"/>
        <v>17.39</v>
      </c>
      <c r="EP10" s="1">
        <f t="shared" si="32"/>
        <v>17.39</v>
      </c>
      <c r="EQ10" s="1">
        <f t="shared" si="32"/>
        <v>19.739999999999998</v>
      </c>
      <c r="ER10" s="1">
        <f t="shared" si="32"/>
        <v>19.739999999999998</v>
      </c>
      <c r="ES10" s="1">
        <f t="shared" si="32"/>
        <v>19.739999999999998</v>
      </c>
      <c r="ET10" s="1">
        <f t="shared" si="32"/>
        <v>19.739999999999998</v>
      </c>
      <c r="EU10" s="1">
        <f t="shared" si="32"/>
        <v>19.739999999999998</v>
      </c>
      <c r="EV10" s="1">
        <f t="shared" si="32"/>
        <v>19.739999999999998</v>
      </c>
      <c r="EW10" s="1">
        <f t="shared" si="33"/>
        <v>19.739999999999998</v>
      </c>
      <c r="EX10" s="1">
        <f t="shared" si="33"/>
        <v>19.739999999999998</v>
      </c>
      <c r="EY10" s="1">
        <f t="shared" si="33"/>
        <v>19.739999999999998</v>
      </c>
      <c r="EZ10" s="1">
        <f t="shared" si="33"/>
        <v>19.739999999999998</v>
      </c>
      <c r="FA10" s="1">
        <f t="shared" si="33"/>
        <v>19.739999999999998</v>
      </c>
      <c r="FB10" s="1">
        <f t="shared" si="33"/>
        <v>19.739999999999998</v>
      </c>
      <c r="FC10" s="1">
        <f t="shared" si="33"/>
        <v>18.77</v>
      </c>
      <c r="FD10" s="1">
        <f t="shared" si="33"/>
        <v>18.77</v>
      </c>
      <c r="FF10" s="162">
        <f t="shared" si="34"/>
        <v>-0.68645112319981094</v>
      </c>
    </row>
    <row r="11" spans="1:162" ht="18.75" customHeight="1">
      <c r="A11" s="244" t="s">
        <v>116</v>
      </c>
      <c r="B11" s="247"/>
      <c r="C11" s="228">
        <f t="shared" si="5"/>
        <v>-0.33</v>
      </c>
      <c r="D11" s="229">
        <v>1</v>
      </c>
      <c r="E11" s="253">
        <f t="shared" si="6"/>
        <v>-6.8811164260323965E-3</v>
      </c>
      <c r="F11" s="254">
        <f t="shared" si="7"/>
        <v>-3.3810997642510388E-2</v>
      </c>
      <c r="G11" s="253">
        <f t="shared" si="8"/>
        <v>1.3791611176388718E-2</v>
      </c>
      <c r="H11" s="254">
        <f t="shared" si="9"/>
        <v>-2.0672727602421115E-2</v>
      </c>
      <c r="I11" s="253">
        <f t="shared" si="10"/>
        <v>1.9446335294945229</v>
      </c>
      <c r="J11" s="254">
        <f t="shared" si="11"/>
        <v>1.469722376203908E-2</v>
      </c>
      <c r="K11" s="253">
        <f t="shared" si="12"/>
        <v>1.894389208317028</v>
      </c>
      <c r="L11" s="254">
        <f t="shared" si="13"/>
        <v>5.0244321177494999E-2</v>
      </c>
      <c r="M11" s="255"/>
      <c r="N11" s="256"/>
      <c r="O11" s="253" t="str">
        <f t="shared" si="35"/>
        <v/>
      </c>
      <c r="P11" s="257" t="str">
        <f t="shared" si="36"/>
        <v/>
      </c>
      <c r="Q11" s="253">
        <f t="shared" si="14"/>
        <v>0</v>
      </c>
      <c r="R11" s="257">
        <f t="shared" si="37"/>
        <v>0</v>
      </c>
      <c r="S11" s="255"/>
      <c r="T11" s="24">
        <v>-2</v>
      </c>
      <c r="U11" s="253">
        <f t="shared" si="15"/>
        <v>-0.14781146836430459</v>
      </c>
      <c r="V11" s="258">
        <f t="shared" si="16"/>
        <v>-0.14781146836430459</v>
      </c>
      <c r="W11" s="253">
        <f t="shared" si="38"/>
        <v>-0.40717007962332252</v>
      </c>
      <c r="X11" s="258">
        <f t="shared" si="17"/>
        <v>-0.40717007962332252</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
        <f>VLOOKUP($A11,historia!$A$5:$CM$24,+HLOOKUP(AO$2,historia!$A$3:$EC$4,2,FALSE),FALSE)</f>
        <v>4</v>
      </c>
      <c r="AP11" s="28">
        <f>VLOOKUP($A11,historia!$A$5:$CM$24,+HLOOKUP(AP$2,historia!$A$3:$EC$4,2,FALSE),FALSE)</f>
        <v>4</v>
      </c>
      <c r="AQ11" s="28">
        <f>VLOOKUP($A11,historia!$A$5:$CM$24,+HLOOKUP(AQ$2,historia!$A$3:$EC$4,2,FALSE),FALSE)</f>
        <v>3</v>
      </c>
      <c r="AR11" s="28">
        <f>VLOOKUP($A11,historia!$A$5:$CM$24,+HLOOKUP(AR$2,historia!$A$3:$EC$4,2,FALSE),FALSE)</f>
        <v>3</v>
      </c>
      <c r="AS11" s="5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v>4</v>
      </c>
      <c r="AY11" s="58">
        <v>3</v>
      </c>
      <c r="AZ11" s="58">
        <v>3</v>
      </c>
      <c r="BA11" s="30"/>
      <c r="BB11" s="141">
        <v>4</v>
      </c>
      <c r="BC11" t="str">
        <f t="shared" si="20"/>
        <v>Forestal</v>
      </c>
      <c r="BD11">
        <f>+datos!BG1</f>
        <v>59</v>
      </c>
      <c r="BE11" s="2" t="str">
        <f t="shared" si="4"/>
        <v>$/t</v>
      </c>
      <c r="BF11" s="2">
        <f t="shared" si="4"/>
        <v>28287.75</v>
      </c>
      <c r="BG11" s="2">
        <f t="shared" si="4"/>
        <v>28483.75</v>
      </c>
      <c r="BH11" s="2">
        <f t="shared" si="4"/>
        <v>9606.5434685367745</v>
      </c>
      <c r="BJ11">
        <f>+datos!CZ1</f>
        <v>104</v>
      </c>
      <c r="BK11" s="2">
        <f t="shared" si="21"/>
        <v>10714.323745999429</v>
      </c>
      <c r="BL11" s="2">
        <f t="shared" si="21"/>
        <v>10568.566190409374</v>
      </c>
      <c r="BM11" s="2">
        <f t="shared" si="21"/>
        <v>3701.7563896423526</v>
      </c>
      <c r="BO11" s="1">
        <f>+datos!ES1</f>
        <v>149</v>
      </c>
      <c r="BP11" s="1">
        <f t="shared" si="22"/>
        <v>0</v>
      </c>
      <c r="BQ11" s="1">
        <f t="shared" si="22"/>
        <v>0</v>
      </c>
      <c r="BS11" s="1">
        <f>+datos!GI1</f>
        <v>191</v>
      </c>
      <c r="BT11" s="1">
        <f t="shared" si="23"/>
        <v>1302556</v>
      </c>
      <c r="BU11" s="1">
        <f t="shared" si="23"/>
        <v>1302556</v>
      </c>
      <c r="BW11" s="1">
        <f>+datos!KB1</f>
        <v>288</v>
      </c>
      <c r="BX11" s="1">
        <f t="shared" si="39"/>
        <v>260.50936106</v>
      </c>
      <c r="BY11" s="1">
        <f t="shared" si="40"/>
        <v>305.6945164</v>
      </c>
      <c r="CA11" s="1">
        <f>+datos!LG1</f>
        <v>319</v>
      </c>
      <c r="CB11" s="2">
        <f t="shared" si="24"/>
        <v>164.50395701000002</v>
      </c>
      <c r="CC11" s="2">
        <f t="shared" si="25"/>
        <v>277.48929558999998</v>
      </c>
      <c r="CE11" s="1">
        <f>+datos!IW1</f>
        <v>257</v>
      </c>
      <c r="CF11" s="1">
        <f t="shared" si="26"/>
        <v>0</v>
      </c>
      <c r="CG11" s="1">
        <f t="shared" si="27"/>
        <v>0</v>
      </c>
      <c r="CI11" s="1">
        <f t="shared" si="28"/>
        <v>17.7783984</v>
      </c>
      <c r="CJ11" s="1">
        <f t="shared" si="28"/>
        <v>18.158715399999995</v>
      </c>
      <c r="CK11" s="1">
        <f t="shared" si="28"/>
        <v>13.62277192</v>
      </c>
      <c r="CL11" s="1">
        <f t="shared" si="28"/>
        <v>18.147427050000005</v>
      </c>
      <c r="CM11" s="1">
        <f t="shared" si="28"/>
        <v>16.38459563</v>
      </c>
      <c r="CN11" s="1">
        <f t="shared" si="28"/>
        <v>19.29025034</v>
      </c>
      <c r="CO11" s="1">
        <f t="shared" si="28"/>
        <v>32.635385889999995</v>
      </c>
      <c r="CP11" s="1">
        <f t="shared" si="28"/>
        <v>26.653198490000001</v>
      </c>
      <c r="CQ11" s="1">
        <f t="shared" si="28"/>
        <v>23.932255000000001</v>
      </c>
      <c r="CR11" s="1">
        <f t="shared" si="28"/>
        <v>23.104867779999999</v>
      </c>
      <c r="CS11" s="1">
        <f t="shared" si="28"/>
        <v>24.797754910000005</v>
      </c>
      <c r="CT11" s="1">
        <f t="shared" si="28"/>
        <v>26.00374025</v>
      </c>
      <c r="CU11" s="1">
        <f t="shared" si="28"/>
        <v>24.373047020000001</v>
      </c>
      <c r="CV11" s="1">
        <f t="shared" si="28"/>
        <v>25.649224320000002</v>
      </c>
      <c r="CW11" s="1">
        <f t="shared" si="28"/>
        <v>23.667757810000001</v>
      </c>
      <c r="CX11" s="1">
        <f t="shared" si="28"/>
        <v>25.088845019999997</v>
      </c>
      <c r="CY11" s="1">
        <f t="shared" si="29"/>
        <v>26.5668471</v>
      </c>
      <c r="CZ11" s="1">
        <f t="shared" si="29"/>
        <v>23.814064600000002</v>
      </c>
      <c r="DA11" s="1">
        <f t="shared" si="29"/>
        <v>20.56411928</v>
      </c>
      <c r="DB11" s="1">
        <f t="shared" si="29"/>
        <v>19.140443850000004</v>
      </c>
      <c r="DC11" s="1">
        <f t="shared" si="29"/>
        <v>31.026984670000001</v>
      </c>
      <c r="DD11" s="1">
        <f t="shared" si="29"/>
        <v>29.568283169999997</v>
      </c>
      <c r="DE11" s="1">
        <f t="shared" si="29"/>
        <v>27.46490245</v>
      </c>
      <c r="DF11" s="1">
        <f t="shared" si="29"/>
        <v>28.769997110000002</v>
      </c>
      <c r="DH11" s="1">
        <f t="shared" si="30"/>
        <v>15.589800310000003</v>
      </c>
      <c r="DI11" s="1">
        <f t="shared" si="30"/>
        <v>16.942532470000003</v>
      </c>
      <c r="DJ11" s="1">
        <f t="shared" si="30"/>
        <v>10.998476289999999</v>
      </c>
      <c r="DK11" s="1">
        <f t="shared" si="30"/>
        <v>11.46589975</v>
      </c>
      <c r="DL11" s="1">
        <f t="shared" si="30"/>
        <v>13.53170609</v>
      </c>
      <c r="DM11" s="1">
        <f t="shared" si="30"/>
        <v>19.941855059999995</v>
      </c>
      <c r="DN11" s="1">
        <f t="shared" si="30"/>
        <v>17.561880160000001</v>
      </c>
      <c r="DO11" s="1">
        <f t="shared" si="30"/>
        <v>14.580088280000002</v>
      </c>
      <c r="DP11" s="1">
        <f t="shared" si="30"/>
        <v>13.107541810000001</v>
      </c>
      <c r="DQ11" s="1">
        <f t="shared" si="30"/>
        <v>9.0834929199999994</v>
      </c>
      <c r="DR11" s="1">
        <f t="shared" si="30"/>
        <v>9.5859924200000002</v>
      </c>
      <c r="DS11" s="1">
        <f t="shared" si="30"/>
        <v>12.114691449999999</v>
      </c>
      <c r="DT11" s="1">
        <f t="shared" si="30"/>
        <v>21.937746180000001</v>
      </c>
      <c r="DU11" s="1">
        <f t="shared" si="30"/>
        <v>16.68359323</v>
      </c>
      <c r="DV11" s="1">
        <f t="shared" si="30"/>
        <v>23.390239519999994</v>
      </c>
      <c r="DW11" s="1">
        <f t="shared" si="30"/>
        <v>24.97777258</v>
      </c>
      <c r="DX11" s="1">
        <f t="shared" si="31"/>
        <v>25.979397770000002</v>
      </c>
      <c r="DY11" s="1">
        <f t="shared" si="31"/>
        <v>26.663923630000003</v>
      </c>
      <c r="DZ11" s="1">
        <f t="shared" si="31"/>
        <v>25.77809422</v>
      </c>
      <c r="EA11" s="1">
        <f t="shared" si="31"/>
        <v>30.845388820000004</v>
      </c>
      <c r="EB11" s="1">
        <f t="shared" si="31"/>
        <v>19.314417040000002</v>
      </c>
      <c r="EC11" s="1">
        <f t="shared" si="31"/>
        <v>23.096508839999995</v>
      </c>
      <c r="ED11" s="1">
        <f t="shared" si="31"/>
        <v>19.891111379999998</v>
      </c>
      <c r="EE11" s="1">
        <f t="shared" si="31"/>
        <v>18.931102379999999</v>
      </c>
      <c r="EG11" s="14">
        <f t="shared" si="32"/>
        <v>0</v>
      </c>
      <c r="EH11" s="14">
        <f t="shared" si="32"/>
        <v>0</v>
      </c>
      <c r="EI11" s="1">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3"/>
        <v>0</v>
      </c>
      <c r="EX11" s="1">
        <f t="shared" si="33"/>
        <v>0</v>
      </c>
      <c r="EY11" s="1">
        <f t="shared" si="33"/>
        <v>0</v>
      </c>
      <c r="EZ11" s="1">
        <f t="shared" si="33"/>
        <v>0</v>
      </c>
      <c r="FA11" s="1">
        <f t="shared" si="33"/>
        <v>0</v>
      </c>
      <c r="FB11" s="1">
        <f t="shared" si="33"/>
        <v>0</v>
      </c>
      <c r="FC11" s="1">
        <f t="shared" si="33"/>
        <v>0</v>
      </c>
      <c r="FD11" s="1">
        <f t="shared" si="33"/>
        <v>0</v>
      </c>
      <c r="FF11" s="162">
        <f t="shared" si="34"/>
        <v>5.0244321177494999E-2</v>
      </c>
    </row>
    <row r="12" spans="1:162" ht="18.75" customHeight="1">
      <c r="A12" s="243" t="s">
        <v>216</v>
      </c>
      <c r="B12" s="246"/>
      <c r="C12" s="156">
        <f t="shared" si="5"/>
        <v>-0.33</v>
      </c>
      <c r="D12" s="198">
        <v>-1</v>
      </c>
      <c r="E12" s="248">
        <f t="shared" si="6"/>
        <v>9.7615872735413278E-2</v>
      </c>
      <c r="F12" s="249">
        <f t="shared" si="7"/>
        <v>7.0685991518935287E-2</v>
      </c>
      <c r="G12" s="248">
        <f t="shared" si="8"/>
        <v>0.13586356733360283</v>
      </c>
      <c r="H12" s="249">
        <f t="shared" si="9"/>
        <v>-3.8247694598189552E-2</v>
      </c>
      <c r="I12" s="248">
        <f t="shared" si="10"/>
        <v>1.2988345105408245</v>
      </c>
      <c r="J12" s="249">
        <f t="shared" si="11"/>
        <v>-0.63110179519165932</v>
      </c>
      <c r="K12" s="248">
        <f t="shared" si="12"/>
        <v>1.5220960488769664</v>
      </c>
      <c r="L12" s="249">
        <f t="shared" si="13"/>
        <v>-0.22326153833614182</v>
      </c>
      <c r="M12" s="250"/>
      <c r="N12" s="24">
        <v>1</v>
      </c>
      <c r="O12" s="248">
        <f t="shared" si="35"/>
        <v>4.3562496330652234E-2</v>
      </c>
      <c r="P12" s="251">
        <f t="shared" si="36"/>
        <v>4.3562496330652234E-2</v>
      </c>
      <c r="Q12" s="248">
        <f t="shared" si="14"/>
        <v>0.17635776589080043</v>
      </c>
      <c r="R12" s="251">
        <f t="shared" si="37"/>
        <v>0.17635776589080043</v>
      </c>
      <c r="S12" s="250"/>
      <c r="T12" s="24">
        <v>-1</v>
      </c>
      <c r="U12" s="248">
        <f t="shared" si="15"/>
        <v>0.10735994767935275</v>
      </c>
      <c r="V12" s="252">
        <f t="shared" si="16"/>
        <v>0.10735994767935275</v>
      </c>
      <c r="W12" s="248">
        <f t="shared" si="38"/>
        <v>-0.31997024406832197</v>
      </c>
      <c r="X12" s="252">
        <f t="shared" si="17"/>
        <v>-0.31997024406832197</v>
      </c>
      <c r="Y12" s="248">
        <f t="shared" si="18"/>
        <v>0.11095983662355335</v>
      </c>
      <c r="Z12" s="252">
        <f t="shared" si="19"/>
        <v>0.11095983662355335</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
        <f>VLOOKUP($A12,historia!$A$5:$CM$24,+HLOOKUP(AO$2,historia!$A$3:$EC$4,2,FALSE),FALSE)</f>
        <v>5</v>
      </c>
      <c r="AP12" s="28">
        <f>VLOOKUP($A12,historia!$A$5:$CM$24,+HLOOKUP(AP$2,historia!$A$3:$EC$4,2,FALSE),FALSE)</f>
        <v>5</v>
      </c>
      <c r="AQ12" s="28">
        <f>VLOOKUP($A12,historia!$A$5:$CM$24,+HLOOKUP(AQ$2,historia!$A$3:$EC$4,2,FALSE),FALSE)</f>
        <v>5</v>
      </c>
      <c r="AR12" s="28">
        <f>VLOOKUP($A12,historia!$A$5:$CM$24,+HLOOKUP(AR$2,historia!$A$3:$EC$4,2,FALSE),FALSE)</f>
        <v>5</v>
      </c>
      <c r="AS12" s="58">
        <f>VLOOKUP($A12,historia!$A$5:$CM$24,+HLOOKUP(AS$2,historia!$A$3:$EC$4,2,FALSE),FALSE)</f>
        <v>5</v>
      </c>
      <c r="AT12" s="58">
        <f>VLOOKUP($A12,historia!$A$5:$CM$24,+HLOOKUP(AT$2,historia!$A$3:$EC$4,2,FALSE),FALSE)</f>
        <v>5</v>
      </c>
      <c r="AU12" s="58">
        <f>VLOOKUP($A12,historia!$A$5:$CM$24,+HLOOKUP(AU$2,historia!$A$3:$EC$4,2,FALSE),FALSE)</f>
        <v>4</v>
      </c>
      <c r="AV12" s="58">
        <f>VLOOKUP($A12,historia!$A$5:$CM$24,+HLOOKUP(AV$2,historia!$A$3:$EC$4,2,FALSE),FALSE)</f>
        <v>4</v>
      </c>
      <c r="AW12" s="58">
        <f>VLOOKUP($A12,historia!$A$5:$CM$24,+HLOOKUP(AW$2,historia!$A$3:$EC$4,2,FALSE),FALSE)</f>
        <v>4</v>
      </c>
      <c r="AX12" s="58">
        <v>4</v>
      </c>
      <c r="AY12" s="58">
        <v>3</v>
      </c>
      <c r="AZ12" s="58">
        <v>3</v>
      </c>
      <c r="BA12" s="30"/>
      <c r="BB12" s="141">
        <v>4</v>
      </c>
      <c r="BC12" t="str">
        <f t="shared" si="20"/>
        <v>Granos</v>
      </c>
      <c r="BD12">
        <f>+datos!AE1</f>
        <v>31</v>
      </c>
      <c r="BE12" s="2" t="str">
        <f t="shared" si="4"/>
        <v>$/t</v>
      </c>
      <c r="BF12" s="2">
        <f t="shared" si="4"/>
        <v>231736.72833333336</v>
      </c>
      <c r="BG12" s="2">
        <f t="shared" si="4"/>
        <v>211127.34800000003</v>
      </c>
      <c r="BH12" s="2">
        <f t="shared" si="4"/>
        <v>100806.18124999999</v>
      </c>
      <c r="BJ12">
        <f>+datos!CG1</f>
        <v>85</v>
      </c>
      <c r="BK12" s="2">
        <f t="shared" si="21"/>
        <v>9043.7980490028949</v>
      </c>
      <c r="BL12" s="2">
        <f t="shared" si="21"/>
        <v>7962.0460670579232</v>
      </c>
      <c r="BM12" s="2">
        <f t="shared" si="21"/>
        <v>3585.8261833564579</v>
      </c>
      <c r="BO12" s="1">
        <f>+datos!EA1</f>
        <v>131</v>
      </c>
      <c r="BP12" s="1">
        <f t="shared" si="22"/>
        <v>35550000</v>
      </c>
      <c r="BQ12" s="1">
        <f t="shared" si="22"/>
        <v>34066000</v>
      </c>
      <c r="BS12" s="1">
        <f>+datos!FV1</f>
        <v>178</v>
      </c>
      <c r="BT12" s="1">
        <f t="shared" si="23"/>
        <v>122053000</v>
      </c>
      <c r="BU12" s="1">
        <f t="shared" si="23"/>
        <v>103755000</v>
      </c>
      <c r="BW12" s="1">
        <f>+datos!LQ1</f>
        <v>329</v>
      </c>
      <c r="BX12" s="1">
        <f>+SUM(CI12:CT12)</f>
        <v>43618.796993149997</v>
      </c>
      <c r="BY12" s="1">
        <f t="shared" si="40"/>
        <v>39389.899449189994</v>
      </c>
      <c r="CA12" s="1">
        <f>+datos!LU1</f>
        <v>333</v>
      </c>
      <c r="CB12" s="2">
        <f t="shared" si="24"/>
        <v>3397.5084136199998</v>
      </c>
      <c r="CC12" s="2">
        <f t="shared" si="25"/>
        <v>4996.1172786700008</v>
      </c>
      <c r="CE12" s="1">
        <f>+datos!II1</f>
        <v>243</v>
      </c>
      <c r="CF12" s="1">
        <f t="shared" si="26"/>
        <v>81600000</v>
      </c>
      <c r="CG12" s="1">
        <f t="shared" si="27"/>
        <v>73450000</v>
      </c>
      <c r="CI12" s="1">
        <f>+VLOOKUP(CI$1,ran_dat,$BW12,FALSE)</f>
        <v>3485.71732419</v>
      </c>
      <c r="CJ12" s="1">
        <f t="shared" si="28"/>
        <v>3410.80431886</v>
      </c>
      <c r="CK12" s="1">
        <f t="shared" si="28"/>
        <v>3348.6268518899992</v>
      </c>
      <c r="CL12" s="1">
        <f t="shared" si="28"/>
        <v>4200.6671527199996</v>
      </c>
      <c r="CM12" s="1">
        <f t="shared" si="28"/>
        <v>4256.6159984299993</v>
      </c>
      <c r="CN12" s="1">
        <f t="shared" si="28"/>
        <v>4805.0657855600002</v>
      </c>
      <c r="CO12" s="1">
        <f t="shared" si="28"/>
        <v>3818.0878160900002</v>
      </c>
      <c r="CP12" s="1">
        <f t="shared" si="28"/>
        <v>3876.9439553199995</v>
      </c>
      <c r="CQ12" s="1">
        <f t="shared" si="28"/>
        <v>3089.4855235099994</v>
      </c>
      <c r="CR12" s="1">
        <f t="shared" si="28"/>
        <v>3929.1762735700004</v>
      </c>
      <c r="CS12" s="1">
        <f t="shared" si="28"/>
        <v>2955.6698254600001</v>
      </c>
      <c r="CT12" s="1">
        <f t="shared" si="28"/>
        <v>2441.9361675499999</v>
      </c>
      <c r="CU12" s="1">
        <f t="shared" si="28"/>
        <v>2439.6070879799995</v>
      </c>
      <c r="CV12" s="1">
        <f t="shared" si="28"/>
        <v>2937.94498135</v>
      </c>
      <c r="CW12" s="1">
        <f t="shared" si="28"/>
        <v>3422.8062754199996</v>
      </c>
      <c r="CX12" s="1">
        <f t="shared" si="28"/>
        <v>3305.4373540500001</v>
      </c>
      <c r="CY12" s="1">
        <f t="shared" si="29"/>
        <v>3388.1727426199996</v>
      </c>
      <c r="CZ12" s="1">
        <f t="shared" si="29"/>
        <v>3792.8302867999996</v>
      </c>
      <c r="DA12" s="1">
        <f t="shared" si="29"/>
        <v>3116.9694759099998</v>
      </c>
      <c r="DB12" s="1">
        <f t="shared" si="29"/>
        <v>2868.8536445099994</v>
      </c>
      <c r="DC12" s="1">
        <f t="shared" si="29"/>
        <v>2796.6599858300006</v>
      </c>
      <c r="DD12" s="1">
        <f t="shared" si="29"/>
        <v>2718.2915703099998</v>
      </c>
      <c r="DE12" s="1">
        <f t="shared" si="29"/>
        <v>4151.50946449</v>
      </c>
      <c r="DF12" s="1">
        <f t="shared" si="29"/>
        <v>4450.8165799199996</v>
      </c>
      <c r="DH12" s="1">
        <f t="shared" si="30"/>
        <v>299.18688666000003</v>
      </c>
      <c r="DI12" s="1">
        <f t="shared" si="30"/>
        <v>265.28366987999999</v>
      </c>
      <c r="DJ12" s="1">
        <f t="shared" si="30"/>
        <v>214.60650260000006</v>
      </c>
      <c r="DK12" s="1">
        <f t="shared" si="30"/>
        <v>390.93673457</v>
      </c>
      <c r="DL12" s="1">
        <f t="shared" si="30"/>
        <v>293.37536226000003</v>
      </c>
      <c r="DM12" s="1">
        <f t="shared" si="30"/>
        <v>336.54852982999995</v>
      </c>
      <c r="DN12" s="1">
        <f t="shared" si="30"/>
        <v>300.95428591999996</v>
      </c>
      <c r="DO12" s="1">
        <f t="shared" si="30"/>
        <v>389.85732896999997</v>
      </c>
      <c r="DP12" s="1">
        <f t="shared" si="30"/>
        <v>280.54397103999997</v>
      </c>
      <c r="DQ12" s="1">
        <f t="shared" si="30"/>
        <v>63.525792080000002</v>
      </c>
      <c r="DR12" s="1">
        <f t="shared" si="30"/>
        <v>301.92103216000004</v>
      </c>
      <c r="DS12" s="1">
        <f t="shared" si="30"/>
        <v>260.76831764999997</v>
      </c>
      <c r="DT12" s="1">
        <f t="shared" si="30"/>
        <v>244.67742642000002</v>
      </c>
      <c r="DU12" s="1">
        <f t="shared" si="30"/>
        <v>322.58249758000005</v>
      </c>
      <c r="DV12" s="1">
        <f t="shared" si="30"/>
        <v>495.08938117000014</v>
      </c>
      <c r="DW12" s="1">
        <f t="shared" si="30"/>
        <v>539.06610803000001</v>
      </c>
      <c r="DX12" s="1">
        <f t="shared" si="31"/>
        <v>828.84254484999997</v>
      </c>
      <c r="DY12" s="1">
        <f t="shared" si="31"/>
        <v>679.74768902999983</v>
      </c>
      <c r="DZ12" s="1">
        <f t="shared" si="31"/>
        <v>678.42759025000009</v>
      </c>
      <c r="EA12" s="1">
        <f t="shared" si="31"/>
        <v>816.99926951999987</v>
      </c>
      <c r="EB12" s="1">
        <f t="shared" si="31"/>
        <v>236.29083821</v>
      </c>
      <c r="EC12" s="1">
        <f t="shared" si="31"/>
        <v>13.603287699999997</v>
      </c>
      <c r="ED12" s="1">
        <f t="shared" si="31"/>
        <v>8.4785749999999993E-2</v>
      </c>
      <c r="EE12" s="1">
        <f t="shared" si="31"/>
        <v>140.70586015999999</v>
      </c>
      <c r="EG12" s="14">
        <f t="shared" si="32"/>
        <v>81600000</v>
      </c>
      <c r="EH12" s="14">
        <f t="shared" si="32"/>
        <v>81600000</v>
      </c>
      <c r="EI12" s="1">
        <f t="shared" si="32"/>
        <v>81600000</v>
      </c>
      <c r="EJ12" s="1">
        <f t="shared" si="32"/>
        <v>81600000</v>
      </c>
      <c r="EK12" s="1">
        <f t="shared" si="32"/>
        <v>81600000</v>
      </c>
      <c r="EL12" s="1">
        <f t="shared" si="32"/>
        <v>81600000</v>
      </c>
      <c r="EM12" s="1">
        <f t="shared" si="32"/>
        <v>81600000</v>
      </c>
      <c r="EN12" s="1">
        <f t="shared" si="32"/>
        <v>73750000</v>
      </c>
      <c r="EO12" s="1">
        <f t="shared" si="32"/>
        <v>73750000</v>
      </c>
      <c r="EP12" s="1">
        <f t="shared" si="32"/>
        <v>73450000</v>
      </c>
      <c r="EQ12" s="1">
        <f t="shared" si="32"/>
        <v>73450000</v>
      </c>
      <c r="ER12" s="1">
        <f t="shared" si="32"/>
        <v>73450000</v>
      </c>
      <c r="ES12" s="1">
        <f t="shared" si="32"/>
        <v>73450000</v>
      </c>
      <c r="ET12" s="1">
        <f t="shared" si="32"/>
        <v>73450000</v>
      </c>
      <c r="EU12" s="1">
        <f t="shared" si="32"/>
        <v>73450000</v>
      </c>
      <c r="EV12" s="1">
        <f t="shared" si="32"/>
        <v>73450000</v>
      </c>
      <c r="EW12" s="1">
        <f t="shared" si="33"/>
        <v>73450000</v>
      </c>
      <c r="EX12" s="1">
        <f t="shared" si="33"/>
        <v>73450000</v>
      </c>
      <c r="EY12" s="1">
        <f t="shared" si="33"/>
        <v>73450000</v>
      </c>
      <c r="EZ12" s="1">
        <f t="shared" si="33"/>
        <v>74890000</v>
      </c>
      <c r="FA12" s="1">
        <f t="shared" si="33"/>
        <v>75510000</v>
      </c>
      <c r="FB12" s="1">
        <f t="shared" si="33"/>
        <v>75510000</v>
      </c>
      <c r="FC12" s="1">
        <f t="shared" si="33"/>
        <v>75060000</v>
      </c>
      <c r="FD12" s="1">
        <f t="shared" si="33"/>
        <v>75060000</v>
      </c>
      <c r="FF12" s="162">
        <f t="shared" si="34"/>
        <v>-0.22326153833614182</v>
      </c>
    </row>
    <row r="13" spans="1:162" ht="18.75" customHeight="1">
      <c r="A13" s="244" t="s">
        <v>217</v>
      </c>
      <c r="B13" s="247"/>
      <c r="C13" s="228">
        <f t="shared" si="5"/>
        <v>0</v>
      </c>
      <c r="D13" s="229">
        <v>0</v>
      </c>
      <c r="E13" s="253">
        <f t="shared" si="6"/>
        <v>-0.10885492550153675</v>
      </c>
      <c r="F13" s="254">
        <f t="shared" si="7"/>
        <v>-0.13578480671801474</v>
      </c>
      <c r="G13" s="253">
        <f t="shared" si="8"/>
        <v>-2.3154941121592332E-2</v>
      </c>
      <c r="H13" s="254">
        <f t="shared" si="9"/>
        <v>-8.5699984379944416E-2</v>
      </c>
      <c r="I13" s="253">
        <f t="shared" si="10"/>
        <v>3.008535677008549</v>
      </c>
      <c r="J13" s="254">
        <f t="shared" si="11"/>
        <v>1.0785993712760651</v>
      </c>
      <c r="K13" s="253">
        <f t="shared" si="12"/>
        <v>2.0056258920262948</v>
      </c>
      <c r="L13" s="254">
        <f t="shared" si="13"/>
        <v>1.0029097849822541</v>
      </c>
      <c r="M13" s="255"/>
      <c r="N13" s="256">
        <v>0</v>
      </c>
      <c r="O13" s="253">
        <f t="shared" si="35"/>
        <v>-3.3006472151727695E-2</v>
      </c>
      <c r="P13" s="257">
        <f t="shared" si="36"/>
        <v>-3.3006472151727695E-2</v>
      </c>
      <c r="Q13" s="253">
        <f t="shared" si="14"/>
        <v>-1.4386787894224651E-2</v>
      </c>
      <c r="R13" s="257">
        <f t="shared" si="37"/>
        <v>-1.4386787894224651E-2</v>
      </c>
      <c r="S13" s="255"/>
      <c r="T13" s="256">
        <v>0</v>
      </c>
      <c r="U13" s="253">
        <f t="shared" si="15"/>
        <v>0.18356128028432428</v>
      </c>
      <c r="V13" s="258">
        <f t="shared" si="16"/>
        <v>0.18356128028432428</v>
      </c>
      <c r="W13" s="253">
        <f t="shared" si="38"/>
        <v>1.2723005136390633</v>
      </c>
      <c r="X13" s="258">
        <f t="shared" si="17"/>
        <v>1.2723005136390633</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
        <f>VLOOKUP($A13,historia!$A$5:$CM$24,+HLOOKUP(AO$2,historia!$A$3:$EC$4,2,FALSE),FALSE)</f>
        <v>3</v>
      </c>
      <c r="AP13" s="28">
        <f>VLOOKUP($A13,historia!$A$5:$CM$24,+HLOOKUP(AP$2,historia!$A$3:$EC$4,2,FALSE),FALSE)</f>
        <v>3</v>
      </c>
      <c r="AQ13" s="28">
        <f>VLOOKUP($A13,historia!$A$5:$CM$24,+HLOOKUP(AQ$2,historia!$A$3:$EC$4,2,FALSE),FALSE)</f>
        <v>3</v>
      </c>
      <c r="AR13" s="28">
        <f>VLOOKUP($A13,historia!$A$5:$CM$24,+HLOOKUP(AR$2,historia!$A$3:$EC$4,2,FALSE),FALSE)</f>
        <v>3</v>
      </c>
      <c r="AS13" s="58">
        <f>VLOOKUP($A13,historia!$A$5:$CM$24,+HLOOKUP(AS$2,historia!$A$3:$EC$4,2,FALSE),FALSE)</f>
        <v>3</v>
      </c>
      <c r="AT13" s="58">
        <f>VLOOKUP($A13,historia!$A$5:$CM$24,+HLOOKUP(AT$2,historia!$A$3:$EC$4,2,FALSE),FALSE)</f>
        <v>3</v>
      </c>
      <c r="AU13" s="58">
        <f>VLOOKUP($A13,historia!$A$5:$CM$24,+HLOOKUP(AU$2,historia!$A$3:$EC$4,2,FALSE),FALSE)</f>
        <v>2</v>
      </c>
      <c r="AV13" s="58">
        <f>VLOOKUP($A13,historia!$A$5:$CM$24,+HLOOKUP(AV$2,historia!$A$3:$EC$4,2,FALSE),FALSE)</f>
        <v>2</v>
      </c>
      <c r="AW13" s="58">
        <f>VLOOKUP($A13,historia!$A$5:$CM$24,+HLOOKUP(AW$2,historia!$A$3:$EC$4,2,FALSE),FALSE)</f>
        <v>3</v>
      </c>
      <c r="AX13" s="58">
        <v>3</v>
      </c>
      <c r="AY13" s="58">
        <v>2</v>
      </c>
      <c r="AZ13" s="58">
        <v>4</v>
      </c>
      <c r="BA13" s="30"/>
      <c r="BB13" s="141">
        <v>3</v>
      </c>
      <c r="BC13" t="str">
        <f t="shared" si="20"/>
        <v>Hortalizas</v>
      </c>
      <c r="BD13">
        <f>+datos!BB1</f>
        <v>54</v>
      </c>
      <c r="BE13" s="2" t="str">
        <f t="shared" si="4"/>
        <v>$/kg</v>
      </c>
      <c r="BF13" s="2">
        <f t="shared" si="4"/>
        <v>13480.328571428572</v>
      </c>
      <c r="BG13" s="2">
        <f t="shared" si="4"/>
        <v>15126.974223602487</v>
      </c>
      <c r="BH13" s="2">
        <f t="shared" si="4"/>
        <v>3362.9059730581071</v>
      </c>
      <c r="BJ13">
        <f>+datos!CO1</f>
        <v>93</v>
      </c>
      <c r="BK13" s="2">
        <f t="shared" si="21"/>
        <v>9737.164415365296</v>
      </c>
      <c r="BL13" s="2">
        <f t="shared" si="21"/>
        <v>9967.9722253448235</v>
      </c>
      <c r="BM13" s="2">
        <f t="shared" si="21"/>
        <v>3239.6461719328672</v>
      </c>
      <c r="BO13" s="1">
        <f>+datos!EX1</f>
        <v>154</v>
      </c>
      <c r="BP13" s="1">
        <f t="shared" si="22"/>
        <v>64395</v>
      </c>
      <c r="BQ13" s="1">
        <f t="shared" si="22"/>
        <v>66593</v>
      </c>
      <c r="BS13" s="1">
        <f>+datos!GN1</f>
        <v>196</v>
      </c>
      <c r="BT13" s="1">
        <f t="shared" si="23"/>
        <v>2639386</v>
      </c>
      <c r="BU13" s="1">
        <f t="shared" si="23"/>
        <v>2677912.56</v>
      </c>
      <c r="BW13" s="1">
        <f>+datos!LR1</f>
        <v>330</v>
      </c>
      <c r="BX13" s="1">
        <f t="shared" si="39"/>
        <v>71.47192256999999</v>
      </c>
      <c r="BY13" s="1">
        <f t="shared" si="40"/>
        <v>60.38717535</v>
      </c>
      <c r="CA13" s="1">
        <f>+datos!LV1</f>
        <v>334</v>
      </c>
      <c r="CB13" s="2">
        <f t="shared" si="24"/>
        <v>37.08115068</v>
      </c>
      <c r="CC13" s="2">
        <f t="shared" si="25"/>
        <v>16.318770539999996</v>
      </c>
      <c r="CE13" s="1">
        <f>+datos!IX1</f>
        <v>258</v>
      </c>
      <c r="CF13" s="1">
        <f t="shared" si="26"/>
        <v>0</v>
      </c>
      <c r="CG13" s="1">
        <f t="shared" si="27"/>
        <v>0</v>
      </c>
      <c r="CI13" s="1">
        <f t="shared" si="28"/>
        <v>1.7022322700000001</v>
      </c>
      <c r="CJ13" s="1">
        <f t="shared" si="28"/>
        <v>2.1800094999999997</v>
      </c>
      <c r="CK13" s="1">
        <f t="shared" si="28"/>
        <v>0.89152303000000011</v>
      </c>
      <c r="CL13" s="1">
        <f t="shared" si="28"/>
        <v>2.22092468</v>
      </c>
      <c r="CM13" s="1">
        <f t="shared" si="28"/>
        <v>5.6369490100000004</v>
      </c>
      <c r="CN13" s="1">
        <f t="shared" si="28"/>
        <v>11.964288460000001</v>
      </c>
      <c r="CO13" s="1">
        <f t="shared" si="28"/>
        <v>14.874595200000002</v>
      </c>
      <c r="CP13" s="1">
        <f t="shared" si="28"/>
        <v>12.356255849999998</v>
      </c>
      <c r="CQ13" s="1">
        <f t="shared" si="28"/>
        <v>7.66143427</v>
      </c>
      <c r="CR13" s="1">
        <f t="shared" si="28"/>
        <v>3.9700200400000001</v>
      </c>
      <c r="CS13" s="1">
        <f t="shared" si="28"/>
        <v>4.244482989999999</v>
      </c>
      <c r="CT13" s="1">
        <f t="shared" si="28"/>
        <v>3.7692072699999999</v>
      </c>
      <c r="CU13" s="1">
        <f t="shared" si="28"/>
        <v>4.3561451300000007</v>
      </c>
      <c r="CV13" s="1">
        <f t="shared" si="28"/>
        <v>2.35708815</v>
      </c>
      <c r="CW13" s="1">
        <f t="shared" si="28"/>
        <v>2.9990922500000003</v>
      </c>
      <c r="CX13" s="1">
        <f t="shared" si="28"/>
        <v>4.9654154400000001</v>
      </c>
      <c r="CY13" s="1">
        <f t="shared" si="29"/>
        <v>7.7556872599999993</v>
      </c>
      <c r="CZ13" s="1">
        <f t="shared" si="29"/>
        <v>10.641103850000002</v>
      </c>
      <c r="DA13" s="1">
        <f t="shared" si="29"/>
        <v>9.2379974100000002</v>
      </c>
      <c r="DB13" s="1">
        <f t="shared" si="29"/>
        <v>6.8023944899999993</v>
      </c>
      <c r="DC13" s="1">
        <f t="shared" si="29"/>
        <v>2.5188479500000001</v>
      </c>
      <c r="DD13" s="1">
        <f t="shared" si="29"/>
        <v>1.93600679</v>
      </c>
      <c r="DE13" s="1">
        <f t="shared" si="29"/>
        <v>3.7029913799999998</v>
      </c>
      <c r="DF13" s="1">
        <f t="shared" si="29"/>
        <v>3.1144052499999999</v>
      </c>
      <c r="DH13" s="1">
        <f t="shared" si="30"/>
        <v>4.7138590499999999</v>
      </c>
      <c r="DI13" s="1">
        <f t="shared" si="30"/>
        <v>10.280953719999999</v>
      </c>
      <c r="DJ13" s="1">
        <f t="shared" si="30"/>
        <v>10.078043539999999</v>
      </c>
      <c r="DK13" s="1">
        <f t="shared" si="30"/>
        <v>5.0525632100000006</v>
      </c>
      <c r="DL13" s="1">
        <f t="shared" si="30"/>
        <v>1.5134803299999999</v>
      </c>
      <c r="DM13" s="1">
        <f t="shared" si="30"/>
        <v>1.5645213200000003</v>
      </c>
      <c r="DN13" s="1">
        <f t="shared" si="30"/>
        <v>0.17069466</v>
      </c>
      <c r="DO13" s="1">
        <f t="shared" si="30"/>
        <v>5.8121779999999998E-2</v>
      </c>
      <c r="DP13" s="1">
        <f t="shared" si="30"/>
        <v>0.22874177000000001</v>
      </c>
      <c r="DQ13" s="1">
        <f t="shared" si="30"/>
        <v>6.8422739999999996E-2</v>
      </c>
      <c r="DR13" s="1">
        <f t="shared" si="30"/>
        <v>1.38860757</v>
      </c>
      <c r="DS13" s="1">
        <f t="shared" si="30"/>
        <v>1.9631409899999996</v>
      </c>
      <c r="DT13" s="1">
        <f t="shared" si="30"/>
        <v>1.5225679400000001</v>
      </c>
      <c r="DU13" s="1">
        <f t="shared" si="30"/>
        <v>1.3263511099999998</v>
      </c>
      <c r="DV13" s="1">
        <f t="shared" si="30"/>
        <v>2.5091586699999997</v>
      </c>
      <c r="DW13" s="1">
        <f t="shared" si="30"/>
        <v>1.6528733800000002</v>
      </c>
      <c r="DX13" s="1">
        <f t="shared" si="31"/>
        <v>0.42388491999999994</v>
      </c>
      <c r="DY13" s="1">
        <f t="shared" si="31"/>
        <v>1.7301791</v>
      </c>
      <c r="DZ13" s="1">
        <f t="shared" si="31"/>
        <v>2.0483479400000002</v>
      </c>
      <c r="EA13" s="1">
        <f t="shared" si="31"/>
        <v>0.56045690999999997</v>
      </c>
      <c r="EB13" s="1">
        <f t="shared" si="31"/>
        <v>1.1333685500000001</v>
      </c>
      <c r="EC13" s="1">
        <f t="shared" si="31"/>
        <v>1.93118693</v>
      </c>
      <c r="ED13" s="1">
        <f t="shared" si="31"/>
        <v>0.60248590000000002</v>
      </c>
      <c r="EE13" s="1">
        <f t="shared" si="31"/>
        <v>0.87790919000000001</v>
      </c>
      <c r="EG13" s="14">
        <f t="shared" si="32"/>
        <v>0</v>
      </c>
      <c r="EH13" s="14">
        <f t="shared" si="32"/>
        <v>0</v>
      </c>
      <c r="EI13" s="1">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3"/>
        <v>0</v>
      </c>
      <c r="EX13" s="1">
        <f t="shared" si="33"/>
        <v>0</v>
      </c>
      <c r="EY13" s="1">
        <f t="shared" si="33"/>
        <v>0</v>
      </c>
      <c r="EZ13" s="1">
        <f t="shared" si="33"/>
        <v>0</v>
      </c>
      <c r="FA13" s="1">
        <f t="shared" si="33"/>
        <v>0</v>
      </c>
      <c r="FB13" s="1">
        <f t="shared" si="33"/>
        <v>0</v>
      </c>
      <c r="FC13" s="1">
        <f t="shared" si="33"/>
        <v>0</v>
      </c>
      <c r="FD13" s="1">
        <f t="shared" si="33"/>
        <v>0</v>
      </c>
      <c r="FF13" s="162">
        <f t="shared" si="34"/>
        <v>1.0029097849822541</v>
      </c>
    </row>
    <row r="14" spans="1:162" ht="18.75" customHeight="1">
      <c r="A14" s="243" t="s">
        <v>65</v>
      </c>
      <c r="B14" s="246"/>
      <c r="C14" s="156">
        <f t="shared" si="5"/>
        <v>-0.33</v>
      </c>
      <c r="D14" s="198">
        <v>1</v>
      </c>
      <c r="E14" s="248">
        <f t="shared" si="6"/>
        <v>2.0366981087803326E-2</v>
      </c>
      <c r="F14" s="249">
        <f t="shared" si="7"/>
        <v>-6.5629001286746647E-3</v>
      </c>
      <c r="G14" s="248">
        <f t="shared" si="8"/>
        <v>5.1316656723340515E-2</v>
      </c>
      <c r="H14" s="249">
        <f t="shared" si="9"/>
        <v>-3.0949675635537188E-2</v>
      </c>
      <c r="I14" s="248">
        <f t="shared" si="10"/>
        <v>2.3407083045248527</v>
      </c>
      <c r="J14" s="249">
        <f t="shared" si="11"/>
        <v>0.41077199879236881</v>
      </c>
      <c r="K14" s="248">
        <f t="shared" si="12"/>
        <v>1.802248588821175</v>
      </c>
      <c r="L14" s="249">
        <f t="shared" si="13"/>
        <v>0.53845971570367768</v>
      </c>
      <c r="M14" s="250"/>
      <c r="N14" s="24">
        <v>-1</v>
      </c>
      <c r="O14" s="248">
        <f t="shared" si="35"/>
        <v>0</v>
      </c>
      <c r="P14" s="251">
        <f t="shared" si="36"/>
        <v>0</v>
      </c>
      <c r="Q14" s="248">
        <f t="shared" si="14"/>
        <v>-9.908751423639095E-2</v>
      </c>
      <c r="R14" s="251">
        <f t="shared" si="37"/>
        <v>-9.908751423639095E-2</v>
      </c>
      <c r="S14" s="250"/>
      <c r="T14" s="24">
        <v>-1</v>
      </c>
      <c r="U14" s="248">
        <f t="shared" si="15"/>
        <v>-1.7403468677265055E-3</v>
      </c>
      <c r="V14" s="252">
        <f t="shared" si="16"/>
        <v>-1.7403468677265055E-3</v>
      </c>
      <c r="W14" s="248">
        <f t="shared" si="38"/>
        <v>-0.23359257497444852</v>
      </c>
      <c r="X14" s="252">
        <f t="shared" si="17"/>
        <v>-0.23359257497444852</v>
      </c>
      <c r="Y14" s="248">
        <f t="shared" si="18"/>
        <v>-0.1484623541887593</v>
      </c>
      <c r="Z14" s="252">
        <f t="shared" si="19"/>
        <v>-0.1484623541887593</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
        <f>VLOOKUP($A14,historia!$A$5:$CM$24,+HLOOKUP(AO$2,historia!$A$3:$EC$4,2,FALSE),FALSE)</f>
        <v>5</v>
      </c>
      <c r="AP14" s="28">
        <f>VLOOKUP($A14,historia!$A$5:$CM$24,+HLOOKUP(AP$2,historia!$A$3:$EC$4,2,FALSE),FALSE)</f>
        <v>5</v>
      </c>
      <c r="AQ14" s="28">
        <f>VLOOKUP($A14,historia!$A$5:$CM$24,+HLOOKUP(AQ$2,historia!$A$3:$EC$4,2,FALSE),FALSE)</f>
        <v>5</v>
      </c>
      <c r="AR14" s="28">
        <f>VLOOKUP($A14,historia!$A$5:$CM$24,+HLOOKUP(AR$2,historia!$A$3:$EC$4,2,FALSE),FALSE)</f>
        <v>4</v>
      </c>
      <c r="AS14" s="58">
        <f>VLOOKUP($A14,historia!$A$5:$CM$24,+HLOOKUP(AS$2,historia!$A$3:$EC$4,2,FALSE),FALSE)</f>
        <v>4</v>
      </c>
      <c r="AT14" s="58">
        <f>VLOOKUP($A14,historia!$A$5:$CM$24,+HLOOKUP(AT$2,historia!$A$3:$EC$4,2,FALSE),FALSE)</f>
        <v>4</v>
      </c>
      <c r="AU14" s="58">
        <f>VLOOKUP($A14,historia!$A$5:$CM$24,+HLOOKUP(AU$2,historia!$A$3:$EC$4,2,FALSE),FALSE)</f>
        <v>4</v>
      </c>
      <c r="AV14" s="58">
        <f>VLOOKUP($A14,historia!$A$5:$CM$24,+HLOOKUP(AV$2,historia!$A$3:$EC$4,2,FALSE),FALSE)</f>
        <v>4</v>
      </c>
      <c r="AW14" s="58">
        <f>VLOOKUP($A14,historia!$A$5:$CM$24,+HLOOKUP(AW$2,historia!$A$3:$EC$4,2,FALSE),FALSE)</f>
        <v>4</v>
      </c>
      <c r="AX14" s="58">
        <v>4</v>
      </c>
      <c r="AY14" s="58">
        <v>3</v>
      </c>
      <c r="AZ14" s="58">
        <v>3</v>
      </c>
      <c r="BA14" s="30"/>
      <c r="BB14" s="141">
        <v>4</v>
      </c>
      <c r="BC14" t="str">
        <f t="shared" si="20"/>
        <v>Leche</v>
      </c>
      <c r="BD14">
        <f>+datos!BN1</f>
        <v>66</v>
      </c>
      <c r="BE14" s="2" t="str">
        <f t="shared" si="4"/>
        <v>$/l</v>
      </c>
      <c r="BF14" s="2">
        <f t="shared" si="4"/>
        <v>434.86</v>
      </c>
      <c r="BG14" s="2">
        <f t="shared" si="4"/>
        <v>426.18</v>
      </c>
      <c r="BH14" s="2">
        <f t="shared" si="4"/>
        <v>130.16999999999999</v>
      </c>
      <c r="BJ14">
        <f>+datos!DC1</f>
        <v>107</v>
      </c>
      <c r="BK14" s="2">
        <f t="shared" si="21"/>
        <v>9184.3571291359149</v>
      </c>
      <c r="BL14" s="2">
        <f t="shared" si="21"/>
        <v>8736.0521403332295</v>
      </c>
      <c r="BM14" s="2">
        <f t="shared" si="21"/>
        <v>3277.495496214884</v>
      </c>
      <c r="BO14" s="1">
        <f>+datos!EN1</f>
        <v>144</v>
      </c>
      <c r="BP14" s="1">
        <f t="shared" si="22"/>
        <v>3169981</v>
      </c>
      <c r="BQ14" s="1">
        <f t="shared" si="22"/>
        <v>3169981</v>
      </c>
      <c r="BS14" s="1">
        <f>+datos!HP1</f>
        <v>224</v>
      </c>
      <c r="BT14" s="1">
        <f t="shared" si="23"/>
        <v>10311.198656900922</v>
      </c>
      <c r="BU14" s="1">
        <f t="shared" si="23"/>
        <v>11445.283332000001</v>
      </c>
      <c r="BW14" s="1">
        <f>+datos!KH1</f>
        <v>294</v>
      </c>
      <c r="BX14" s="1">
        <f t="shared" si="39"/>
        <v>1575.2534875600002</v>
      </c>
      <c r="BY14" s="1">
        <f t="shared" si="40"/>
        <v>1577.99975449</v>
      </c>
      <c r="CA14" s="1">
        <f>+datos!LM1</f>
        <v>325</v>
      </c>
      <c r="CB14" s="2">
        <f t="shared" si="24"/>
        <v>18.768874019999998</v>
      </c>
      <c r="CC14" s="2">
        <f t="shared" si="25"/>
        <v>24.48942091</v>
      </c>
      <c r="CE14" s="1">
        <f>+datos!IN1</f>
        <v>248</v>
      </c>
      <c r="CF14" s="1">
        <f t="shared" si="26"/>
        <v>160.6</v>
      </c>
      <c r="CG14" s="1">
        <f t="shared" si="27"/>
        <v>188.6</v>
      </c>
      <c r="CI14" s="1">
        <f t="shared" si="28"/>
        <v>162.27196751000002</v>
      </c>
      <c r="CJ14" s="1">
        <f t="shared" si="28"/>
        <v>136.36151781000004</v>
      </c>
      <c r="CK14" s="1">
        <f t="shared" si="28"/>
        <v>114.33182424</v>
      </c>
      <c r="CL14" s="1">
        <f t="shared" si="28"/>
        <v>131.64359017999999</v>
      </c>
      <c r="CM14" s="1">
        <f t="shared" si="28"/>
        <v>102.41564730000002</v>
      </c>
      <c r="CN14" s="1">
        <f t="shared" si="28"/>
        <v>113.57779348999999</v>
      </c>
      <c r="CO14" s="1">
        <f t="shared" si="28"/>
        <v>118.3786056</v>
      </c>
      <c r="CP14" s="1">
        <f t="shared" si="28"/>
        <v>126.46519539000002</v>
      </c>
      <c r="CQ14" s="1">
        <f t="shared" si="28"/>
        <v>140.50614890000003</v>
      </c>
      <c r="CR14" s="1">
        <f t="shared" si="28"/>
        <v>139.44218023000002</v>
      </c>
      <c r="CS14" s="1">
        <f t="shared" si="28"/>
        <v>153.04661877999999</v>
      </c>
      <c r="CT14" s="1">
        <f t="shared" si="28"/>
        <v>136.81239812999999</v>
      </c>
      <c r="CU14" s="1">
        <f t="shared" si="28"/>
        <v>134.16752365000002</v>
      </c>
      <c r="CV14" s="1">
        <f t="shared" si="28"/>
        <v>114.82793965999997</v>
      </c>
      <c r="CW14" s="1">
        <f t="shared" si="28"/>
        <v>120.47507141999999</v>
      </c>
      <c r="CX14" s="1">
        <f t="shared" si="28"/>
        <v>118.84770241</v>
      </c>
      <c r="CY14" s="1">
        <f t="shared" si="29"/>
        <v>100.85116919999999</v>
      </c>
      <c r="CZ14" s="1">
        <f t="shared" si="29"/>
        <v>116.29617616</v>
      </c>
      <c r="DA14" s="1">
        <f t="shared" si="29"/>
        <v>115.47027065</v>
      </c>
      <c r="DB14" s="1">
        <f t="shared" si="29"/>
        <v>138.26089648999999</v>
      </c>
      <c r="DC14" s="1">
        <f t="shared" si="29"/>
        <v>163.45053632000003</v>
      </c>
      <c r="DD14" s="1">
        <f t="shared" si="29"/>
        <v>135.61809928</v>
      </c>
      <c r="DE14" s="1">
        <f t="shared" si="29"/>
        <v>152.11245593000001</v>
      </c>
      <c r="DF14" s="1">
        <f t="shared" si="29"/>
        <v>167.62191332</v>
      </c>
      <c r="DH14" s="1">
        <f t="shared" si="30"/>
        <v>0.92402921999999987</v>
      </c>
      <c r="DI14" s="1">
        <f t="shared" si="30"/>
        <v>1.0080099199999999</v>
      </c>
      <c r="DJ14" s="1">
        <f t="shared" si="30"/>
        <v>0.81005326000000022</v>
      </c>
      <c r="DK14" s="1">
        <f t="shared" si="30"/>
        <v>2.5429137699999997</v>
      </c>
      <c r="DL14" s="1">
        <f t="shared" si="30"/>
        <v>0.83472519000000012</v>
      </c>
      <c r="DM14" s="1">
        <f t="shared" si="30"/>
        <v>1.6658761100000001</v>
      </c>
      <c r="DN14" s="1">
        <f t="shared" si="30"/>
        <v>1.6724867599999997</v>
      </c>
      <c r="DO14" s="1">
        <f t="shared" si="30"/>
        <v>1.92660527</v>
      </c>
      <c r="DP14" s="1">
        <f t="shared" si="30"/>
        <v>0.38991597</v>
      </c>
      <c r="DQ14" s="1">
        <f t="shared" si="30"/>
        <v>3.0425877200000002</v>
      </c>
      <c r="DR14" s="1">
        <f t="shared" si="30"/>
        <v>1.8227840799999999</v>
      </c>
      <c r="DS14" s="1">
        <f t="shared" si="30"/>
        <v>2.1288867499999999</v>
      </c>
      <c r="DT14" s="1">
        <f t="shared" si="30"/>
        <v>2.0947676</v>
      </c>
      <c r="DU14" s="1">
        <f t="shared" si="30"/>
        <v>1.2699740900000001</v>
      </c>
      <c r="DV14" s="1">
        <f t="shared" si="30"/>
        <v>1.3202370399999999</v>
      </c>
      <c r="DW14" s="1">
        <f t="shared" si="30"/>
        <v>2.29115132</v>
      </c>
      <c r="DX14" s="1">
        <f t="shared" si="31"/>
        <v>1.8108909100000001</v>
      </c>
      <c r="DY14" s="1">
        <f t="shared" si="31"/>
        <v>3.0093188999999998</v>
      </c>
      <c r="DZ14" s="1">
        <f t="shared" si="31"/>
        <v>2.2926081099999998</v>
      </c>
      <c r="EA14" s="1">
        <f t="shared" si="31"/>
        <v>3.2446467999999999</v>
      </c>
      <c r="EB14" s="1">
        <f t="shared" si="31"/>
        <v>2.3068511200000001</v>
      </c>
      <c r="EC14" s="1">
        <f t="shared" si="31"/>
        <v>2.4321035299999991</v>
      </c>
      <c r="ED14" s="1">
        <f t="shared" si="31"/>
        <v>0</v>
      </c>
      <c r="EE14" s="1">
        <f t="shared" si="31"/>
        <v>2.4168714900000001</v>
      </c>
      <c r="EG14" s="14">
        <f t="shared" si="32"/>
        <v>160.6</v>
      </c>
      <c r="EH14" s="14">
        <f t="shared" si="32"/>
        <v>160.6</v>
      </c>
      <c r="EI14" s="1">
        <f t="shared" si="32"/>
        <v>160.6</v>
      </c>
      <c r="EJ14" s="1">
        <f t="shared" si="32"/>
        <v>160.6</v>
      </c>
      <c r="EK14" s="1">
        <f t="shared" si="32"/>
        <v>156.30000000000001</v>
      </c>
      <c r="EL14" s="1">
        <f t="shared" si="32"/>
        <v>155.80000000000001</v>
      </c>
      <c r="EM14" s="1">
        <f t="shared" si="32"/>
        <v>159.5</v>
      </c>
      <c r="EN14" s="1">
        <f t="shared" si="32"/>
        <v>170.8</v>
      </c>
      <c r="EO14" s="1">
        <f t="shared" si="32"/>
        <v>170.8</v>
      </c>
      <c r="EP14" s="1">
        <f t="shared" si="32"/>
        <v>187.7</v>
      </c>
      <c r="EQ14" s="1">
        <f t="shared" si="32"/>
        <v>196.8</v>
      </c>
      <c r="ER14" s="1">
        <f t="shared" si="32"/>
        <v>196.8</v>
      </c>
      <c r="ES14" s="1">
        <f t="shared" si="32"/>
        <v>188.6</v>
      </c>
      <c r="ET14" s="1">
        <f t="shared" si="32"/>
        <v>188.6</v>
      </c>
      <c r="EU14" s="1">
        <f t="shared" si="32"/>
        <v>188.6</v>
      </c>
      <c r="EV14" s="1">
        <f t="shared" si="32"/>
        <v>188.6</v>
      </c>
      <c r="EW14" s="1">
        <f t="shared" si="33"/>
        <v>188.6</v>
      </c>
      <c r="EX14" s="1">
        <f t="shared" si="33"/>
        <v>188.6</v>
      </c>
      <c r="EY14" s="1">
        <f t="shared" si="33"/>
        <v>188.6</v>
      </c>
      <c r="EZ14" s="1">
        <f t="shared" si="33"/>
        <v>188.6</v>
      </c>
      <c r="FA14" s="1">
        <f t="shared" si="33"/>
        <v>188.6</v>
      </c>
      <c r="FB14" s="1">
        <f t="shared" si="33"/>
        <v>188.6</v>
      </c>
      <c r="FC14" s="1">
        <f t="shared" si="33"/>
        <v>188.6</v>
      </c>
      <c r="FD14" s="1">
        <f t="shared" si="33"/>
        <v>188.6</v>
      </c>
      <c r="FF14" s="162">
        <f t="shared" si="34"/>
        <v>0.53845971570367768</v>
      </c>
    </row>
    <row r="15" spans="1:162" ht="18.75" customHeight="1">
      <c r="A15" s="244" t="s">
        <v>68</v>
      </c>
      <c r="B15" s="247"/>
      <c r="C15" s="228">
        <v>0</v>
      </c>
      <c r="D15" s="229">
        <v>-1</v>
      </c>
      <c r="E15" s="253">
        <f t="shared" si="6"/>
        <v>1.2010443864229892E-2</v>
      </c>
      <c r="F15" s="254">
        <f t="shared" si="7"/>
        <v>-1.4919437352248099E-2</v>
      </c>
      <c r="G15" s="253">
        <f t="shared" si="8"/>
        <v>1.816895894144821E-2</v>
      </c>
      <c r="H15" s="254">
        <f t="shared" si="9"/>
        <v>-6.1585150772183184E-3</v>
      </c>
      <c r="I15" s="253">
        <f t="shared" si="10"/>
        <v>0.31665740226051531</v>
      </c>
      <c r="J15" s="254">
        <f t="shared" si="11"/>
        <v>-1.6132789034719686</v>
      </c>
      <c r="K15" s="253">
        <f t="shared" si="12"/>
        <v>1.536658610927736</v>
      </c>
      <c r="L15" s="254">
        <f t="shared" si="13"/>
        <v>-1.2200012086672207</v>
      </c>
      <c r="M15" s="255"/>
      <c r="N15" s="256">
        <v>0</v>
      </c>
      <c r="O15" s="253">
        <f t="shared" si="35"/>
        <v>-8.022582082899965E-3</v>
      </c>
      <c r="P15" s="257">
        <f t="shared" si="36"/>
        <v>-8.022582082899965E-3</v>
      </c>
      <c r="Q15" s="253">
        <f t="shared" si="14"/>
        <v>-3.262739139568871E-3</v>
      </c>
      <c r="R15" s="257">
        <f t="shared" si="37"/>
        <v>-3.262739139568871E-3</v>
      </c>
      <c r="S15" s="255"/>
      <c r="T15" s="256">
        <v>-1</v>
      </c>
      <c r="U15" s="253" t="str">
        <f t="shared" si="15"/>
        <v/>
      </c>
      <c r="V15" s="258" t="str">
        <f t="shared" si="16"/>
        <v/>
      </c>
      <c r="W15" s="253">
        <f t="shared" si="38"/>
        <v>-0.81637619292063024</v>
      </c>
      <c r="X15" s="258">
        <f t="shared" si="17"/>
        <v>-0.81637619292063024</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
        <f>VLOOKUP($A15,historia!$A$5:$CM$24,+HLOOKUP(AO$2,historia!$A$3:$EC$4,2,FALSE),FALSE)</f>
        <v>4</v>
      </c>
      <c r="AP15" s="28">
        <f>VLOOKUP($A15,historia!$A$5:$CM$24,+HLOOKUP(AP$2,historia!$A$3:$EC$4,2,FALSE),FALSE)</f>
        <v>4</v>
      </c>
      <c r="AQ15" s="28">
        <f>VLOOKUP($A15,historia!$A$5:$CM$24,+HLOOKUP(AQ$2,historia!$A$3:$EC$4,2,FALSE),FALSE)</f>
        <v>4</v>
      </c>
      <c r="AR15" s="28">
        <f>VLOOKUP($A15,historia!$A$5:$CM$24,+HLOOKUP(AR$2,historia!$A$3:$EC$4,2,FALSE),FALSE)</f>
        <v>3</v>
      </c>
      <c r="AS15" s="58">
        <f>VLOOKUP($A15,historia!$A$5:$CM$24,+HLOOKUP(AS$2,historia!$A$3:$EC$4,2,FALSE),FALSE)</f>
        <v>3</v>
      </c>
      <c r="AT15" s="58">
        <f>VLOOKUP($A15,historia!$A$5:$CM$24,+HLOOKUP(AT$2,historia!$A$3:$EC$4,2,FALSE),FALSE)</f>
        <v>3</v>
      </c>
      <c r="AU15" s="58">
        <f>VLOOKUP($A15,historia!$A$5:$CM$24,+HLOOKUP(AU$2,historia!$A$3:$EC$4,2,FALSE),FALSE)</f>
        <v>4</v>
      </c>
      <c r="AV15" s="58">
        <f>VLOOKUP($A15,historia!$A$5:$CM$24,+HLOOKUP(AV$2,historia!$A$3:$EC$4,2,FALSE),FALSE)</f>
        <v>4</v>
      </c>
      <c r="AW15" s="58">
        <f>VLOOKUP($A15,historia!$A$5:$CM$24,+HLOOKUP(AW$2,historia!$A$3:$EC$4,2,FALSE),FALSE)</f>
        <v>5</v>
      </c>
      <c r="AX15" s="58">
        <v>4</v>
      </c>
      <c r="AY15" s="58">
        <v>4</v>
      </c>
      <c r="AZ15" s="58">
        <v>4</v>
      </c>
      <c r="BA15" s="30"/>
      <c r="BB15" s="141">
        <v>5</v>
      </c>
      <c r="BC15" t="str">
        <f t="shared" si="20"/>
        <v>Mandioca</v>
      </c>
      <c r="BD15">
        <f>+datos!AW1</f>
        <v>49</v>
      </c>
      <c r="BE15" s="2" t="str">
        <f t="shared" si="4"/>
        <v>$/bolsa40kg</v>
      </c>
      <c r="BF15" s="2">
        <f t="shared" si="4"/>
        <v>9228.5714285714294</v>
      </c>
      <c r="BG15" s="2">
        <f t="shared" si="4"/>
        <v>9119.0476190476184</v>
      </c>
      <c r="BH15" s="2">
        <f t="shared" si="4"/>
        <v>7009.090909090909</v>
      </c>
      <c r="BJ15">
        <f>+datos!CJ1</f>
        <v>88</v>
      </c>
      <c r="BK15" s="2">
        <f t="shared" si="21"/>
        <v>7998.7145344691271</v>
      </c>
      <c r="BL15" s="2">
        <f t="shared" si="21"/>
        <v>7855.9795643201387</v>
      </c>
      <c r="BM15" s="2">
        <f t="shared" si="21"/>
        <v>3153.2483322790313</v>
      </c>
      <c r="BO15" s="1">
        <f>+datos!EY1</f>
        <v>155</v>
      </c>
      <c r="BP15" s="1">
        <f t="shared" si="22"/>
        <v>20031</v>
      </c>
      <c r="BQ15" s="1">
        <f t="shared" si="22"/>
        <v>20193</v>
      </c>
      <c r="BS15" s="1">
        <f>+datos!GO1</f>
        <v>197</v>
      </c>
      <c r="BT15" s="1">
        <f t="shared" si="23"/>
        <v>201734</v>
      </c>
      <c r="BU15" s="1">
        <f t="shared" si="23"/>
        <v>202394.36</v>
      </c>
      <c r="BW15" s="1">
        <f>+datos!JP1</f>
        <v>276</v>
      </c>
      <c r="BX15" s="1">
        <f t="shared" si="39"/>
        <v>0</v>
      </c>
      <c r="BY15" s="1">
        <f t="shared" si="40"/>
        <v>0</v>
      </c>
      <c r="CA15" s="1">
        <f>+datos!KU1</f>
        <v>307</v>
      </c>
      <c r="CB15" s="2">
        <f t="shared" si="24"/>
        <v>1.8598563800000001</v>
      </c>
      <c r="CC15" s="2">
        <f t="shared" si="25"/>
        <v>10.12862335</v>
      </c>
      <c r="CE15" s="1">
        <f>+datos!IY1</f>
        <v>259</v>
      </c>
      <c r="CF15" s="1">
        <f t="shared" si="26"/>
        <v>1.88</v>
      </c>
      <c r="CG15" s="1">
        <f t="shared" si="27"/>
        <v>1.88</v>
      </c>
      <c r="CI15" s="1">
        <f t="shared" si="28"/>
        <v>0</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9"/>
        <v>0</v>
      </c>
      <c r="CZ15" s="1">
        <f t="shared" si="29"/>
        <v>0</v>
      </c>
      <c r="DA15" s="1">
        <f t="shared" si="29"/>
        <v>0</v>
      </c>
      <c r="DB15" s="1">
        <f t="shared" si="29"/>
        <v>0</v>
      </c>
      <c r="DC15" s="1">
        <f t="shared" si="29"/>
        <v>0</v>
      </c>
      <c r="DD15" s="1">
        <f t="shared" si="29"/>
        <v>0</v>
      </c>
      <c r="DE15" s="1">
        <f t="shared" si="29"/>
        <v>0</v>
      </c>
      <c r="DF15" s="1">
        <f t="shared" si="29"/>
        <v>0</v>
      </c>
      <c r="DH15" s="14">
        <f t="shared" si="30"/>
        <v>0.15169276000000001</v>
      </c>
      <c r="DI15" s="14">
        <f t="shared" si="30"/>
        <v>0.14711371000000001</v>
      </c>
      <c r="DJ15" s="1">
        <f t="shared" si="30"/>
        <v>0.18175015000000003</v>
      </c>
      <c r="DK15" s="1">
        <f t="shared" si="30"/>
        <v>0.15569543999999999</v>
      </c>
      <c r="DL15" s="1">
        <f t="shared" si="30"/>
        <v>0.1712014</v>
      </c>
      <c r="DM15" s="1">
        <f t="shared" si="30"/>
        <v>0.12198517</v>
      </c>
      <c r="DN15" s="1">
        <f t="shared" si="30"/>
        <v>1.6812999999999999E-3</v>
      </c>
      <c r="DO15" s="1">
        <f t="shared" si="30"/>
        <v>2.8195380000000003E-2</v>
      </c>
      <c r="DP15" s="1">
        <f t="shared" si="30"/>
        <v>4.9277770000000005E-2</v>
      </c>
      <c r="DQ15" s="1">
        <f t="shared" si="30"/>
        <v>0.21358802999999996</v>
      </c>
      <c r="DR15" s="1">
        <f t="shared" si="30"/>
        <v>0.24099903000000003</v>
      </c>
      <c r="DS15" s="1">
        <f t="shared" si="30"/>
        <v>0.39667624000000001</v>
      </c>
      <c r="DT15" s="1">
        <f t="shared" si="30"/>
        <v>0.47948613000000001</v>
      </c>
      <c r="DU15" s="1">
        <f t="shared" si="30"/>
        <v>0.13955175</v>
      </c>
      <c r="DV15" s="1">
        <f t="shared" si="30"/>
        <v>0.88368341000000006</v>
      </c>
      <c r="DW15" s="1">
        <f t="shared" si="30"/>
        <v>0.91695114999999994</v>
      </c>
      <c r="DX15" s="1">
        <f t="shared" si="31"/>
        <v>1.1944894100000001</v>
      </c>
      <c r="DY15" s="1">
        <f t="shared" si="31"/>
        <v>1.11559404</v>
      </c>
      <c r="DZ15" s="1">
        <f t="shared" si="31"/>
        <v>1.36422954</v>
      </c>
      <c r="EA15" s="1">
        <f t="shared" si="31"/>
        <v>1.7463627799999999</v>
      </c>
      <c r="EB15" s="1">
        <f t="shared" si="31"/>
        <v>0.68698649000000001</v>
      </c>
      <c r="EC15" s="1">
        <f t="shared" si="31"/>
        <v>0.11168649999999999</v>
      </c>
      <c r="ED15" s="1">
        <f t="shared" si="31"/>
        <v>0</v>
      </c>
      <c r="EE15" s="1">
        <f t="shared" si="31"/>
        <v>1.4896021499999998</v>
      </c>
      <c r="EG15" s="14">
        <f t="shared" si="32"/>
        <v>1.88</v>
      </c>
      <c r="EH15" s="14">
        <f t="shared" si="32"/>
        <v>1.88</v>
      </c>
      <c r="EI15" s="1">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3"/>
        <v>1.88</v>
      </c>
      <c r="EX15" s="1">
        <f t="shared" si="33"/>
        <v>1.88</v>
      </c>
      <c r="EY15" s="1">
        <f t="shared" si="33"/>
        <v>1.88</v>
      </c>
      <c r="EZ15" s="1">
        <f t="shared" si="33"/>
        <v>1.88</v>
      </c>
      <c r="FA15" s="1">
        <f t="shared" si="33"/>
        <v>1.88</v>
      </c>
      <c r="FB15" s="1">
        <f t="shared" si="33"/>
        <v>1.88</v>
      </c>
      <c r="FC15" s="1">
        <f t="shared" si="33"/>
        <v>1.88</v>
      </c>
      <c r="FD15" s="1">
        <f t="shared" si="33"/>
        <v>1.88</v>
      </c>
      <c r="FF15" s="162">
        <f t="shared" si="34"/>
        <v>-1.2200012086672207</v>
      </c>
    </row>
    <row r="16" spans="1:162" ht="18.75" customHeight="1">
      <c r="A16" s="243" t="s">
        <v>25</v>
      </c>
      <c r="B16" s="246"/>
      <c r="C16" s="156">
        <f t="shared" si="5"/>
        <v>-0.66</v>
      </c>
      <c r="D16" s="198">
        <v>-1</v>
      </c>
      <c r="E16" s="248">
        <f t="shared" si="6"/>
        <v>1.7688428715976201E-2</v>
      </c>
      <c r="F16" s="249">
        <f t="shared" si="7"/>
        <v>-9.24145250050179E-3</v>
      </c>
      <c r="G16" s="248">
        <f t="shared" si="8"/>
        <v>9.2627614157698934E-2</v>
      </c>
      <c r="H16" s="249">
        <f t="shared" si="9"/>
        <v>-7.4939185441722733E-2</v>
      </c>
      <c r="I16" s="248">
        <f t="shared" si="10"/>
        <v>1.6243427845357683</v>
      </c>
      <c r="J16" s="249">
        <f t="shared" si="11"/>
        <v>-0.30559352119671557</v>
      </c>
      <c r="K16" s="248">
        <f t="shared" si="12"/>
        <v>1.5899338798176443</v>
      </c>
      <c r="L16" s="249">
        <f t="shared" si="13"/>
        <v>3.4408904718123967E-2</v>
      </c>
      <c r="M16" s="250"/>
      <c r="N16" s="24">
        <v>1</v>
      </c>
      <c r="O16" s="248">
        <f t="shared" si="35"/>
        <v>0.25148262863454107</v>
      </c>
      <c r="P16" s="251">
        <f t="shared" si="36"/>
        <v>0.25148262863454107</v>
      </c>
      <c r="Q16" s="248">
        <f t="shared" si="14"/>
        <v>0.70637774795677699</v>
      </c>
      <c r="R16" s="251">
        <f t="shared" si="37"/>
        <v>0.70637774795677699</v>
      </c>
      <c r="S16" s="250"/>
      <c r="T16" s="24">
        <v>-2</v>
      </c>
      <c r="U16" s="248">
        <f t="shared" si="15"/>
        <v>-8.8738484759598446E-3</v>
      </c>
      <c r="V16" s="252">
        <f t="shared" si="16"/>
        <v>-8.8738484759598446E-3</v>
      </c>
      <c r="W16" s="248"/>
      <c r="X16" s="252"/>
      <c r="Y16" s="248">
        <f t="shared" si="18"/>
        <v>8.4415584415584499E-2</v>
      </c>
      <c r="Z16" s="252">
        <f t="shared" si="19"/>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
        <f>VLOOKUP($A16,historia!$A$5:$CM$24,+HLOOKUP(AO$2,historia!$A$3:$EC$4,2,FALSE),FALSE)</f>
        <v>2</v>
      </c>
      <c r="AP16" s="28">
        <f>VLOOKUP($A16,historia!$A$5:$CM$24,+HLOOKUP(AP$2,historia!$A$3:$EC$4,2,FALSE),FALSE)</f>
        <v>2</v>
      </c>
      <c r="AQ16" s="28">
        <f>VLOOKUP($A16,historia!$A$5:$CM$24,+HLOOKUP(AQ$2,historia!$A$3:$EC$4,2,FALSE),FALSE)</f>
        <v>2</v>
      </c>
      <c r="AR16" s="28">
        <f>VLOOKUP($A16,historia!$A$5:$CM$24,+HLOOKUP(AR$2,historia!$A$3:$EC$4,2,FALSE),FALSE)</f>
        <v>2</v>
      </c>
      <c r="AS16" s="58">
        <f>VLOOKUP($A16,historia!$A$5:$CM$24,+HLOOKUP(AS$2,historia!$A$3:$EC$4,2,FALSE),FALSE)</f>
        <v>2</v>
      </c>
      <c r="AT16" s="58">
        <f>VLOOKUP($A16,historia!$A$5:$CM$24,+HLOOKUP(AT$2,historia!$A$3:$EC$4,2,FALSE),FALSE)</f>
        <v>2</v>
      </c>
      <c r="AU16" s="58">
        <f>VLOOKUP($A16,historia!$A$5:$CM$24,+HLOOKUP(AU$2,historia!$A$3:$EC$4,2,FALSE),FALSE)</f>
        <v>3</v>
      </c>
      <c r="AV16" s="58">
        <f>VLOOKUP($A16,historia!$A$5:$CM$24,+HLOOKUP(AV$2,historia!$A$3:$EC$4,2,FALSE),FALSE)</f>
        <v>3</v>
      </c>
      <c r="AW16" s="58">
        <f>VLOOKUP($A16,historia!$A$5:$CM$24,+HLOOKUP(AW$2,historia!$A$3:$EC$4,2,FALSE),FALSE)</f>
        <v>4</v>
      </c>
      <c r="AX16" s="58">
        <v>4</v>
      </c>
      <c r="AY16" s="58">
        <v>3</v>
      </c>
      <c r="AZ16" s="58">
        <v>3</v>
      </c>
      <c r="BA16" s="30"/>
      <c r="BB16" s="141">
        <v>4</v>
      </c>
      <c r="BC16" t="str">
        <f t="shared" si="20"/>
        <v>Maní</v>
      </c>
      <c r="BD16">
        <f>+datos!AF1</f>
        <v>32</v>
      </c>
      <c r="BE16" s="2" t="str">
        <f t="shared" si="4"/>
        <v>$/t</v>
      </c>
      <c r="BF16" s="2">
        <f t="shared" si="4"/>
        <v>876141.3</v>
      </c>
      <c r="BG16" s="2">
        <f t="shared" si="4"/>
        <v>860913.1</v>
      </c>
      <c r="BH16" s="2">
        <f t="shared" si="4"/>
        <v>333851.7</v>
      </c>
      <c r="BJ16">
        <f>+datos!CH1</f>
        <v>86</v>
      </c>
      <c r="BK16" s="2">
        <f t="shared" si="21"/>
        <v>10594.356323761589</v>
      </c>
      <c r="BL16" s="2">
        <f t="shared" si="21"/>
        <v>9696.2187175991567</v>
      </c>
      <c r="BM16" s="2">
        <f t="shared" si="21"/>
        <v>4090.5894958629337</v>
      </c>
      <c r="BO16" s="1">
        <f>+datos!EB1</f>
        <v>132</v>
      </c>
      <c r="BP16" s="1">
        <f t="shared" si="22"/>
        <v>521230</v>
      </c>
      <c r="BQ16" s="1">
        <f t="shared" si="22"/>
        <v>416490</v>
      </c>
      <c r="BS16" s="1">
        <f>+datos!FW1</f>
        <v>179</v>
      </c>
      <c r="BT16" s="1">
        <f t="shared" si="23"/>
        <v>1604722</v>
      </c>
      <c r="BU16" s="1">
        <f t="shared" si="23"/>
        <v>940426</v>
      </c>
      <c r="BW16" s="1">
        <f>+datos!JK1</f>
        <v>271</v>
      </c>
      <c r="BX16" s="1">
        <f t="shared" si="39"/>
        <v>1266.5131757799998</v>
      </c>
      <c r="BY16" s="1">
        <f t="shared" si="40"/>
        <v>1277.85264654</v>
      </c>
      <c r="CA16" s="1">
        <f>+datos!KP1</f>
        <v>302</v>
      </c>
      <c r="CB16" s="2">
        <f t="shared" si="24"/>
        <v>2.5266872499999997</v>
      </c>
      <c r="CC16" s="2">
        <f t="shared" si="25"/>
        <v>1.1918690199999999</v>
      </c>
      <c r="CE16" s="1">
        <f>+datos!IJ1</f>
        <v>244</v>
      </c>
      <c r="CF16" s="1">
        <f t="shared" si="26"/>
        <v>2.1563835150032644</v>
      </c>
      <c r="CG16" s="1">
        <f t="shared" si="27"/>
        <v>1.9885213252125911</v>
      </c>
      <c r="CI16" s="1">
        <f t="shared" si="28"/>
        <v>142.09253510999997</v>
      </c>
      <c r="CJ16" s="1">
        <f t="shared" si="28"/>
        <v>155.33708399000002</v>
      </c>
      <c r="CK16" s="1">
        <f t="shared" si="28"/>
        <v>156.99934678</v>
      </c>
      <c r="CL16" s="1">
        <f t="shared" si="28"/>
        <v>115.53726275000001</v>
      </c>
      <c r="CM16" s="1">
        <f t="shared" si="28"/>
        <v>98.487414479999984</v>
      </c>
      <c r="CN16" s="1">
        <f t="shared" si="28"/>
        <v>63.473924160000003</v>
      </c>
      <c r="CO16" s="1">
        <f t="shared" si="28"/>
        <v>65.127016839999982</v>
      </c>
      <c r="CP16" s="1">
        <f t="shared" si="28"/>
        <v>70.784594500000011</v>
      </c>
      <c r="CQ16" s="1">
        <f t="shared" si="28"/>
        <v>111.62267066999999</v>
      </c>
      <c r="CR16" s="1">
        <f t="shared" si="28"/>
        <v>100.80321882999999</v>
      </c>
      <c r="CS16" s="1">
        <f t="shared" si="28"/>
        <v>90.064767340000003</v>
      </c>
      <c r="CT16" s="1">
        <f t="shared" si="28"/>
        <v>96.183340330000021</v>
      </c>
      <c r="CU16" s="1">
        <f t="shared" si="28"/>
        <v>89.024842150000026</v>
      </c>
      <c r="CV16" s="1">
        <f t="shared" si="28"/>
        <v>102.74257099999998</v>
      </c>
      <c r="CW16" s="1">
        <f t="shared" si="28"/>
        <v>102.43695814</v>
      </c>
      <c r="CX16" s="1">
        <f t="shared" si="28"/>
        <v>100.03941109999997</v>
      </c>
      <c r="CY16" s="1">
        <f t="shared" si="29"/>
        <v>89.79279253</v>
      </c>
      <c r="CZ16" s="1">
        <f t="shared" si="29"/>
        <v>102.39153366000001</v>
      </c>
      <c r="DA16" s="1">
        <f t="shared" si="29"/>
        <v>98.470728969999996</v>
      </c>
      <c r="DB16" s="1">
        <f t="shared" si="29"/>
        <v>134.53858048999999</v>
      </c>
      <c r="DC16" s="1">
        <f t="shared" si="29"/>
        <v>116.52197384999999</v>
      </c>
      <c r="DD16" s="1">
        <f t="shared" si="29"/>
        <v>130.05927615000002</v>
      </c>
      <c r="DE16" s="1">
        <f t="shared" si="29"/>
        <v>105.24839114999997</v>
      </c>
      <c r="DF16" s="1">
        <f t="shared" si="29"/>
        <v>106.58558735000001</v>
      </c>
      <c r="DH16" s="1">
        <f t="shared" si="30"/>
        <v>1.6271E-3</v>
      </c>
      <c r="DI16" s="1">
        <f t="shared" si="30"/>
        <v>0.13444175</v>
      </c>
      <c r="DJ16" s="1">
        <f t="shared" si="30"/>
        <v>4.2737620000000004E-2</v>
      </c>
      <c r="DK16" s="1">
        <f t="shared" si="30"/>
        <v>8.6628999999999998E-2</v>
      </c>
      <c r="DL16" s="1">
        <f t="shared" si="30"/>
        <v>8.4906640000000005E-2</v>
      </c>
      <c r="DM16" s="1">
        <f t="shared" si="30"/>
        <v>8.714181E-2</v>
      </c>
      <c r="DN16" s="1">
        <f t="shared" si="30"/>
        <v>0.111375</v>
      </c>
      <c r="DO16" s="1">
        <f t="shared" si="30"/>
        <v>0.12514284000000001</v>
      </c>
      <c r="DP16" s="1">
        <f t="shared" si="30"/>
        <v>0.69674917999999986</v>
      </c>
      <c r="DQ16" s="1">
        <f t="shared" si="30"/>
        <v>0.79684906</v>
      </c>
      <c r="DR16" s="1">
        <f t="shared" si="30"/>
        <v>0.24194792999999998</v>
      </c>
      <c r="DS16" s="1">
        <f t="shared" si="30"/>
        <v>0.11713932000000001</v>
      </c>
      <c r="DT16" s="1">
        <f t="shared" si="30"/>
        <v>0.45286999999999999</v>
      </c>
      <c r="DU16" s="1">
        <f t="shared" si="30"/>
        <v>5.563009E-2</v>
      </c>
      <c r="DV16" s="1">
        <f t="shared" si="30"/>
        <v>2.7416000000000002E-4</v>
      </c>
      <c r="DW16" s="1">
        <f t="shared" si="30"/>
        <v>0.12031510000000001</v>
      </c>
      <c r="DX16" s="1">
        <f t="shared" si="31"/>
        <v>0.13456720999999999</v>
      </c>
      <c r="DY16" s="1">
        <f t="shared" si="31"/>
        <v>6.1200000000000002E-4</v>
      </c>
      <c r="DZ16" s="1">
        <f t="shared" si="31"/>
        <v>0</v>
      </c>
      <c r="EA16" s="1">
        <f t="shared" si="31"/>
        <v>5.2170000000000003E-3</v>
      </c>
      <c r="EB16" s="1">
        <f t="shared" si="31"/>
        <v>0.10975939999999999</v>
      </c>
      <c r="EC16" s="1">
        <f t="shared" si="31"/>
        <v>9.1243839999999993E-2</v>
      </c>
      <c r="ED16" s="1">
        <f t="shared" si="31"/>
        <v>2.016E-3</v>
      </c>
      <c r="EE16" s="1">
        <f t="shared" si="31"/>
        <v>0.21936422</v>
      </c>
      <c r="EG16" s="14">
        <f t="shared" si="32"/>
        <v>2.1563835150032644</v>
      </c>
      <c r="EH16" s="14">
        <f t="shared" si="32"/>
        <v>2.1563835150032644</v>
      </c>
      <c r="EI16" s="1">
        <f t="shared" si="32"/>
        <v>2.1563835150032644</v>
      </c>
      <c r="EJ16" s="1">
        <f t="shared" si="32"/>
        <v>2.1563835150032644</v>
      </c>
      <c r="EK16" s="1">
        <f t="shared" si="32"/>
        <v>2.1563835150032644</v>
      </c>
      <c r="EL16" s="1">
        <f t="shared" si="32"/>
        <v>2.1563835150032644</v>
      </c>
      <c r="EM16" s="1">
        <f t="shared" si="32"/>
        <v>2.1563835150032644</v>
      </c>
      <c r="EN16" s="1">
        <f t="shared" si="32"/>
        <v>1.9885213252125911</v>
      </c>
      <c r="EO16" s="1">
        <f t="shared" si="32"/>
        <v>1.9885213252125911</v>
      </c>
      <c r="EP16" s="1">
        <f t="shared" si="32"/>
        <v>1.9885213252125911</v>
      </c>
      <c r="EQ16" s="1">
        <f t="shared" si="32"/>
        <v>1.9885213252125911</v>
      </c>
      <c r="ER16" s="1">
        <f t="shared" si="32"/>
        <v>1.9885213252125911</v>
      </c>
      <c r="ES16" s="1">
        <f t="shared" si="32"/>
        <v>1.9885213252125911</v>
      </c>
      <c r="ET16" s="1">
        <f t="shared" si="32"/>
        <v>1.9885213252125911</v>
      </c>
      <c r="EU16" s="1">
        <f t="shared" si="32"/>
        <v>1.9885213252125911</v>
      </c>
      <c r="EV16" s="1">
        <f t="shared" si="32"/>
        <v>1.9885213252125911</v>
      </c>
      <c r="EW16" s="1">
        <f t="shared" si="33"/>
        <v>1.9885213252125911</v>
      </c>
      <c r="EX16" s="1">
        <f t="shared" si="33"/>
        <v>1.9885213252125911</v>
      </c>
      <c r="EY16" s="1">
        <f t="shared" si="33"/>
        <v>1.9885213252125911</v>
      </c>
      <c r="EZ16" s="1">
        <f t="shared" si="33"/>
        <v>1.9885213252125911</v>
      </c>
      <c r="FA16" s="1">
        <f t="shared" si="33"/>
        <v>1.9040737312717446</v>
      </c>
      <c r="FB16" s="1">
        <f t="shared" si="33"/>
        <v>1.9040737312717446</v>
      </c>
      <c r="FC16" s="1">
        <f t="shared" si="33"/>
        <v>1.9040737312717446</v>
      </c>
      <c r="FD16" s="1">
        <f t="shared" si="33"/>
        <v>1.9040737312717446</v>
      </c>
      <c r="FF16" s="162">
        <f t="shared" si="34"/>
        <v>3.4408904718123967E-2</v>
      </c>
    </row>
    <row r="17" spans="1:162" ht="18.75" customHeight="1">
      <c r="A17" s="244" t="s">
        <v>76</v>
      </c>
      <c r="B17" s="247"/>
      <c r="C17" s="228">
        <f t="shared" si="5"/>
        <v>-0.99</v>
      </c>
      <c r="D17" s="229">
        <v>-1</v>
      </c>
      <c r="E17" s="253">
        <f t="shared" si="6"/>
        <v>8.2207868467409906E-3</v>
      </c>
      <c r="F17" s="254">
        <f t="shared" si="7"/>
        <v>-1.8709094369737E-2</v>
      </c>
      <c r="G17" s="253">
        <f t="shared" si="8"/>
        <v>1.8227754795184792E-2</v>
      </c>
      <c r="H17" s="254">
        <f t="shared" si="9"/>
        <v>-1.0006967948443801E-2</v>
      </c>
      <c r="I17" s="253">
        <f t="shared" si="10"/>
        <v>2.0443262411347516</v>
      </c>
      <c r="J17" s="254">
        <f t="shared" si="11"/>
        <v>0.11438993540226772</v>
      </c>
      <c r="K17" s="253">
        <f t="shared" si="12"/>
        <v>1.7979969075846944</v>
      </c>
      <c r="L17" s="254">
        <f t="shared" si="13"/>
        <v>0.24632933355005715</v>
      </c>
      <c r="M17" s="255"/>
      <c r="N17" s="256">
        <v>-1</v>
      </c>
      <c r="O17" s="253">
        <f>IFERROR(+BP17/BQ17-1,"")</f>
        <v>0</v>
      </c>
      <c r="P17" s="257">
        <f t="shared" si="36"/>
        <v>0</v>
      </c>
      <c r="Q17" s="253">
        <f t="shared" si="14"/>
        <v>-5.5834866135295314E-2</v>
      </c>
      <c r="R17" s="257">
        <f t="shared" si="37"/>
        <v>-5.5834866135295314E-2</v>
      </c>
      <c r="S17" s="255"/>
      <c r="T17" s="256">
        <v>-1</v>
      </c>
      <c r="U17" s="253">
        <f t="shared" si="15"/>
        <v>1.9563406063576094E-2</v>
      </c>
      <c r="V17" s="258">
        <f t="shared" si="16"/>
        <v>1.9563406063576094E-2</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
        <f>VLOOKUP($A17,historia!$A$5:$CM$24,+HLOOKUP(AO$2,historia!$A$3:$EC$4,2,FALSE),FALSE)</f>
        <v>5</v>
      </c>
      <c r="AP17" s="28">
        <f>VLOOKUP($A17,historia!$A$5:$CM$24,+HLOOKUP(AP$2,historia!$A$3:$EC$4,2,FALSE),FALSE)</f>
        <v>5</v>
      </c>
      <c r="AQ17" s="28">
        <f>VLOOKUP($A17,historia!$A$5:$CM$24,+HLOOKUP(AQ$2,historia!$A$3:$EC$4,2,FALSE),FALSE)</f>
        <v>5</v>
      </c>
      <c r="AR17" s="28">
        <f>VLOOKUP($A17,historia!$A$5:$CM$24,+HLOOKUP(AR$2,historia!$A$3:$EC$4,2,FALSE),FALSE)</f>
        <v>5</v>
      </c>
      <c r="AS17" s="5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v>3</v>
      </c>
      <c r="AY17" s="58">
        <v>3</v>
      </c>
      <c r="AZ17" s="58">
        <v>2</v>
      </c>
      <c r="BA17" s="30"/>
      <c r="BB17" s="141">
        <v>5</v>
      </c>
      <c r="BC17" t="str">
        <f t="shared" si="20"/>
        <v>Miel</v>
      </c>
      <c r="BD17">
        <f>+datos!BV1</f>
        <v>74</v>
      </c>
      <c r="BE17" s="2" t="str">
        <f t="shared" si="4"/>
        <v>$/kg</v>
      </c>
      <c r="BF17" s="2">
        <f t="shared" si="4"/>
        <v>1717</v>
      </c>
      <c r="BG17" s="2">
        <f t="shared" si="4"/>
        <v>1703</v>
      </c>
      <c r="BH17" s="2">
        <f t="shared" si="4"/>
        <v>564</v>
      </c>
      <c r="BJ17">
        <f>+datos!DH1</f>
        <v>112</v>
      </c>
      <c r="BK17" s="2">
        <f t="shared" si="21"/>
        <v>8684.1502266177595</v>
      </c>
      <c r="BL17" s="2">
        <f t="shared" si="21"/>
        <v>8528.6913322889777</v>
      </c>
      <c r="BM17" s="2">
        <f t="shared" si="21"/>
        <v>3103.7025820425761</v>
      </c>
      <c r="BO17" s="1">
        <f>+datos!EQ1</f>
        <v>147</v>
      </c>
      <c r="BP17" s="1">
        <f t="shared" si="22"/>
        <v>3500000</v>
      </c>
      <c r="BQ17" s="1">
        <f t="shared" si="22"/>
        <v>3500000</v>
      </c>
      <c r="BS17" s="1">
        <f>+datos!GP1</f>
        <v>198</v>
      </c>
      <c r="BT17" s="1">
        <f t="shared" si="23"/>
        <v>69297</v>
      </c>
      <c r="BU17" s="1">
        <f t="shared" si="23"/>
        <v>73395</v>
      </c>
      <c r="BW17" s="1">
        <f>+datos!KE1</f>
        <v>291</v>
      </c>
      <c r="BX17" s="1">
        <f t="shared" si="39"/>
        <v>212.84766985000002</v>
      </c>
      <c r="BY17" s="1">
        <f t="shared" si="40"/>
        <v>208.76354387000001</v>
      </c>
      <c r="CA17" s="1">
        <f>+datos!LJ1</f>
        <v>322</v>
      </c>
      <c r="CB17" s="2">
        <f t="shared" si="24"/>
        <v>9.3545939999999994E-2</v>
      </c>
      <c r="CC17" s="2">
        <f>+SUM(DT17:EE17)</f>
        <v>6.6391800000000001E-2</v>
      </c>
      <c r="CE17" s="1">
        <f>+datos!IZ1</f>
        <v>260</v>
      </c>
      <c r="CF17" s="1">
        <f t="shared" si="26"/>
        <v>0.3</v>
      </c>
      <c r="CG17" s="1">
        <f t="shared" si="27"/>
        <v>0.3</v>
      </c>
      <c r="CI17" s="1">
        <f t="shared" si="28"/>
        <v>24.378519029999993</v>
      </c>
      <c r="CJ17" s="1">
        <f t="shared" si="28"/>
        <v>22.211636389999995</v>
      </c>
      <c r="CK17" s="1">
        <f t="shared" si="28"/>
        <v>18.934177090000006</v>
      </c>
      <c r="CL17" s="1">
        <f t="shared" si="28"/>
        <v>18.049853030000005</v>
      </c>
      <c r="CM17" s="1">
        <f t="shared" si="28"/>
        <v>20.702965450000001</v>
      </c>
      <c r="CN17" s="1">
        <f t="shared" si="28"/>
        <v>19.199801710000003</v>
      </c>
      <c r="CO17" s="1">
        <f t="shared" si="28"/>
        <v>16.174522229999997</v>
      </c>
      <c r="CP17" s="1">
        <f t="shared" si="28"/>
        <v>22.082734950000003</v>
      </c>
      <c r="CQ17" s="1">
        <f t="shared" si="28"/>
        <v>13.392344960000001</v>
      </c>
      <c r="CR17" s="1">
        <f t="shared" si="28"/>
        <v>10.971998660000001</v>
      </c>
      <c r="CS17" s="1">
        <f t="shared" si="28"/>
        <v>12.805239539999999</v>
      </c>
      <c r="CT17" s="1">
        <f t="shared" si="28"/>
        <v>13.943876809999997</v>
      </c>
      <c r="CU17" s="1">
        <f t="shared" si="28"/>
        <v>17.891480939999997</v>
      </c>
      <c r="CV17" s="1">
        <f t="shared" si="28"/>
        <v>16.805607889999997</v>
      </c>
      <c r="CW17" s="1">
        <f t="shared" si="28"/>
        <v>21.325973759999997</v>
      </c>
      <c r="CX17" s="1">
        <f t="shared" si="28"/>
        <v>17.230385739999999</v>
      </c>
      <c r="CY17" s="1">
        <f t="shared" si="29"/>
        <v>14.837575590000002</v>
      </c>
      <c r="CZ17" s="1">
        <f t="shared" si="29"/>
        <v>17.476901599999998</v>
      </c>
      <c r="DA17" s="1">
        <f t="shared" si="29"/>
        <v>23.512884059999998</v>
      </c>
      <c r="DB17" s="1">
        <f t="shared" si="29"/>
        <v>18.814354810000005</v>
      </c>
      <c r="DC17" s="1">
        <f t="shared" si="29"/>
        <v>15.47450873</v>
      </c>
      <c r="DD17" s="1">
        <f t="shared" si="29"/>
        <v>18.752158659999996</v>
      </c>
      <c r="DE17" s="1">
        <f t="shared" si="29"/>
        <v>13.663636670000002</v>
      </c>
      <c r="DF17" s="1">
        <f t="shared" si="29"/>
        <v>12.97807542</v>
      </c>
      <c r="DH17" s="1">
        <f t="shared" si="30"/>
        <v>0</v>
      </c>
      <c r="DI17" s="1">
        <f t="shared" si="30"/>
        <v>4.0664E-4</v>
      </c>
      <c r="DJ17" s="1">
        <f t="shared" si="30"/>
        <v>0</v>
      </c>
      <c r="DK17" s="1">
        <f t="shared" si="30"/>
        <v>0</v>
      </c>
      <c r="DL17" s="1">
        <f t="shared" si="30"/>
        <v>0</v>
      </c>
      <c r="DM17" s="1">
        <f t="shared" si="30"/>
        <v>0</v>
      </c>
      <c r="DN17" s="1">
        <f t="shared" si="30"/>
        <v>0</v>
      </c>
      <c r="DO17" s="1">
        <f t="shared" si="30"/>
        <v>5.2539300000000004E-2</v>
      </c>
      <c r="DP17" s="1">
        <f t="shared" si="30"/>
        <v>0</v>
      </c>
      <c r="DQ17" s="1">
        <f t="shared" si="30"/>
        <v>0</v>
      </c>
      <c r="DR17" s="1">
        <f t="shared" si="30"/>
        <v>4.0599999999999997E-2</v>
      </c>
      <c r="DS17" s="1">
        <f t="shared" si="30"/>
        <v>0</v>
      </c>
      <c r="DT17" s="1">
        <f t="shared" si="30"/>
        <v>0</v>
      </c>
      <c r="DU17" s="1">
        <f t="shared" si="30"/>
        <v>0</v>
      </c>
      <c r="DV17" s="1">
        <f t="shared" si="30"/>
        <v>0</v>
      </c>
      <c r="DW17" s="1">
        <f t="shared" si="30"/>
        <v>0</v>
      </c>
      <c r="DX17" s="1">
        <f t="shared" si="31"/>
        <v>0</v>
      </c>
      <c r="DY17" s="1">
        <f t="shared" si="31"/>
        <v>7.038E-3</v>
      </c>
      <c r="DZ17" s="1">
        <f t="shared" si="31"/>
        <v>0</v>
      </c>
      <c r="EA17" s="1">
        <f t="shared" si="31"/>
        <v>0</v>
      </c>
      <c r="EB17" s="1">
        <f t="shared" si="31"/>
        <v>0</v>
      </c>
      <c r="EC17" s="1">
        <f t="shared" si="31"/>
        <v>0</v>
      </c>
      <c r="ED17" s="1">
        <f t="shared" si="31"/>
        <v>0</v>
      </c>
      <c r="EE17" s="1">
        <f t="shared" si="31"/>
        <v>5.9353800000000005E-2</v>
      </c>
      <c r="EG17" s="14">
        <f t="shared" si="32"/>
        <v>0.3</v>
      </c>
      <c r="EH17" s="14">
        <f t="shared" si="32"/>
        <v>0.3</v>
      </c>
      <c r="EI17" s="1">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3"/>
        <v>0.3</v>
      </c>
      <c r="EX17" s="1">
        <f t="shared" si="33"/>
        <v>0.3</v>
      </c>
      <c r="EY17" s="1">
        <f t="shared" si="33"/>
        <v>0.3</v>
      </c>
      <c r="EZ17" s="1">
        <f t="shared" si="33"/>
        <v>0.3</v>
      </c>
      <c r="FA17" s="1">
        <f t="shared" si="33"/>
        <v>0.3</v>
      </c>
      <c r="FB17" s="1">
        <f t="shared" si="33"/>
        <v>0.3</v>
      </c>
      <c r="FC17" s="1">
        <f t="shared" si="33"/>
        <v>0.3</v>
      </c>
      <c r="FD17" s="1">
        <f t="shared" si="33"/>
        <v>0.3</v>
      </c>
      <c r="FF17" s="162">
        <f t="shared" si="34"/>
        <v>0.24632933355005715</v>
      </c>
    </row>
    <row r="18" spans="1:162" ht="18.75" customHeight="1">
      <c r="A18" s="243" t="s">
        <v>222</v>
      </c>
      <c r="B18" s="246"/>
      <c r="C18" s="156">
        <f t="shared" si="5"/>
        <v>-0.33</v>
      </c>
      <c r="D18" s="198">
        <v>1</v>
      </c>
      <c r="E18" s="248">
        <f t="shared" si="6"/>
        <v>7.618393268358914E-2</v>
      </c>
      <c r="F18" s="249">
        <f t="shared" si="7"/>
        <v>4.9254051467111148E-2</v>
      </c>
      <c r="G18" s="248">
        <f t="shared" si="8"/>
        <v>2.8926892275564775E-2</v>
      </c>
      <c r="H18" s="249">
        <f t="shared" si="9"/>
        <v>4.7257040408024364E-2</v>
      </c>
      <c r="I18" s="253">
        <f t="shared" si="10"/>
        <v>1.8462340583583838</v>
      </c>
      <c r="J18" s="254">
        <f t="shared" si="11"/>
        <v>-8.3702247374100036E-2</v>
      </c>
      <c r="K18" s="248">
        <f t="shared" si="12"/>
        <v>1.8337849436150795</v>
      </c>
      <c r="L18" s="249">
        <f t="shared" si="13"/>
        <v>1.2449114743304346E-2</v>
      </c>
      <c r="M18" s="250"/>
      <c r="N18" s="24">
        <v>-1</v>
      </c>
      <c r="O18" s="248">
        <f t="shared" si="35"/>
        <v>-1.6802487914109321E-3</v>
      </c>
      <c r="P18" s="251">
        <f t="shared" si="36"/>
        <v>-1.6802487914109321E-3</v>
      </c>
      <c r="Q18" s="248">
        <f t="shared" si="14"/>
        <v>-3.2713870106012011E-2</v>
      </c>
      <c r="R18" s="251">
        <f t="shared" si="37"/>
        <v>-3.2713870106012011E-2</v>
      </c>
      <c r="S18" s="250"/>
      <c r="T18" s="24">
        <v>-1</v>
      </c>
      <c r="U18" s="248">
        <f t="shared" si="15"/>
        <v>-2.5102423095880511E-2</v>
      </c>
      <c r="V18" s="252">
        <f t="shared" si="16"/>
        <v>-2.5102423095880511E-2</v>
      </c>
      <c r="W18" s="248">
        <f t="shared" si="38"/>
        <v>-0.21055843239297878</v>
      </c>
      <c r="X18" s="252">
        <f t="shared" si="17"/>
        <v>-0.21055843239297878</v>
      </c>
      <c r="Y18" s="248">
        <f t="shared" si="18"/>
        <v>0</v>
      </c>
      <c r="Z18" s="252">
        <f t="shared" si="19"/>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
        <f>VLOOKUP($A18,historia!$A$5:$CM$24,+HLOOKUP(AO$2,historia!$A$3:$EC$4,2,FALSE),FALSE)</f>
        <v>4</v>
      </c>
      <c r="AP18" s="28">
        <f>VLOOKUP($A18,historia!$A$5:$CM$24,+HLOOKUP(AP$2,historia!$A$3:$EC$4,2,FALSE),FALSE)</f>
        <v>4</v>
      </c>
      <c r="AQ18" s="28">
        <f>VLOOKUP($A18,historia!$A$5:$CM$24,+HLOOKUP(AQ$2,historia!$A$3:$EC$4,2,FALSE),FALSE)</f>
        <v>4</v>
      </c>
      <c r="AR18" s="28">
        <f>VLOOKUP($A18,historia!$A$5:$CM$24,+HLOOKUP(AR$2,historia!$A$3:$EC$4,2,FALSE),FALSE)</f>
        <v>4</v>
      </c>
      <c r="AS18" s="58">
        <f>VLOOKUP($A18,historia!$A$5:$CM$24,+HLOOKUP(AS$2,historia!$A$3:$EC$4,2,FALSE),FALSE)</f>
        <v>4</v>
      </c>
      <c r="AT18" s="58">
        <f>VLOOKUP($A18,historia!$A$5:$CM$24,+HLOOKUP(AT$2,historia!$A$3:$EC$4,2,FALSE),FALSE)</f>
        <v>4</v>
      </c>
      <c r="AU18" s="58">
        <f>VLOOKUP($A18,historia!$A$5:$CM$24,+HLOOKUP(AU$2,historia!$A$3:$EC$4,2,FALSE),FALSE)</f>
        <v>5</v>
      </c>
      <c r="AV18" s="58">
        <f>VLOOKUP($A18,historia!$A$5:$CM$24,+HLOOKUP(AV$2,historia!$A$3:$EC$4,2,FALSE),FALSE)</f>
        <v>5</v>
      </c>
      <c r="AW18" s="58">
        <f>VLOOKUP($A18,historia!$A$5:$CM$24,+HLOOKUP(AW$2,historia!$A$3:$EC$4,2,FALSE),FALSE)</f>
        <v>4</v>
      </c>
      <c r="AX18" s="58">
        <v>4</v>
      </c>
      <c r="AY18" s="58">
        <v>3</v>
      </c>
      <c r="AZ18" s="58">
        <v>2</v>
      </c>
      <c r="BA18" s="30"/>
      <c r="BB18" s="141">
        <v>4</v>
      </c>
      <c r="BC18" t="str">
        <f t="shared" si="20"/>
        <v>Ovino</v>
      </c>
      <c r="BD18">
        <f>+datos!BU1</f>
        <v>73</v>
      </c>
      <c r="BE18" s="2" t="str">
        <f t="shared" si="4"/>
        <v>$/kg</v>
      </c>
      <c r="BF18" s="2">
        <f t="shared" si="4"/>
        <v>61496.160000000003</v>
      </c>
      <c r="BG18" s="2">
        <f t="shared" si="4"/>
        <v>57142.796999999999</v>
      </c>
      <c r="BH18" s="2">
        <f t="shared" si="4"/>
        <v>21606.15</v>
      </c>
      <c r="BJ18">
        <f>+datos!DI1</f>
        <v>113</v>
      </c>
      <c r="BK18" s="2">
        <f t="shared" si="21"/>
        <v>8609.6506873121834</v>
      </c>
      <c r="BL18" s="2">
        <f t="shared" si="21"/>
        <v>8367.6019666189914</v>
      </c>
      <c r="BM18" s="2">
        <f t="shared" si="21"/>
        <v>3038.215975672731</v>
      </c>
      <c r="BO18" s="1">
        <f>+datos!EL1</f>
        <v>142</v>
      </c>
      <c r="BP18" s="1">
        <f t="shared" si="22"/>
        <v>12440906</v>
      </c>
      <c r="BQ18" s="1">
        <f t="shared" si="22"/>
        <v>12461845</v>
      </c>
      <c r="BS18" s="1">
        <f>+datos!GS1</f>
        <v>201</v>
      </c>
      <c r="BT18" s="1">
        <f t="shared" si="23"/>
        <v>35130.42</v>
      </c>
      <c r="BU18" s="1">
        <f t="shared" si="23"/>
        <v>36318.54</v>
      </c>
      <c r="BW18" s="1">
        <f>+datos!KI1</f>
        <v>295</v>
      </c>
      <c r="BX18" s="1">
        <f t="shared" si="39"/>
        <v>200.05474114</v>
      </c>
      <c r="BY18" s="1">
        <f t="shared" si="40"/>
        <v>205.20590663000002</v>
      </c>
      <c r="CA18" s="1">
        <f>+datos!LN1</f>
        <v>326</v>
      </c>
      <c r="CB18" s="2">
        <f t="shared" si="24"/>
        <v>3.8619558300000003</v>
      </c>
      <c r="CC18" s="2">
        <f t="shared" si="25"/>
        <v>4.8920097299999998</v>
      </c>
      <c r="CE18" s="1">
        <f>+datos!JA1</f>
        <v>261</v>
      </c>
      <c r="CF18" s="1">
        <f t="shared" si="26"/>
        <v>2813</v>
      </c>
      <c r="CG18" s="1">
        <f t="shared" si="27"/>
        <v>2813</v>
      </c>
      <c r="CI18" s="1">
        <f t="shared" si="28"/>
        <v>15.390557059999999</v>
      </c>
      <c r="CJ18" s="1">
        <f t="shared" si="28"/>
        <v>12.657815750000001</v>
      </c>
      <c r="CK18" s="1">
        <f t="shared" si="28"/>
        <v>13.430479930000001</v>
      </c>
      <c r="CL18" s="1">
        <f t="shared" si="28"/>
        <v>15.60716012</v>
      </c>
      <c r="CM18" s="1">
        <f t="shared" si="28"/>
        <v>19.03918719</v>
      </c>
      <c r="CN18" s="1">
        <f t="shared" si="28"/>
        <v>17.774232269999999</v>
      </c>
      <c r="CO18" s="1">
        <f t="shared" si="28"/>
        <v>22.502102959999998</v>
      </c>
      <c r="CP18" s="1">
        <f t="shared" si="28"/>
        <v>22.437193859999997</v>
      </c>
      <c r="CQ18" s="1">
        <f t="shared" si="28"/>
        <v>15.322430800000003</v>
      </c>
      <c r="CR18" s="1">
        <f t="shared" si="28"/>
        <v>16.644595240000001</v>
      </c>
      <c r="CS18" s="1">
        <f t="shared" si="28"/>
        <v>15.83663735</v>
      </c>
      <c r="CT18" s="1">
        <f t="shared" si="28"/>
        <v>13.412348609999999</v>
      </c>
      <c r="CU18" s="1">
        <f t="shared" si="28"/>
        <v>9.5091132299999988</v>
      </c>
      <c r="CV18" s="1">
        <f t="shared" si="28"/>
        <v>10.49137048</v>
      </c>
      <c r="CW18" s="1">
        <f t="shared" si="28"/>
        <v>12.745889309999999</v>
      </c>
      <c r="CX18" s="1">
        <f t="shared" si="28"/>
        <v>11.898747670000001</v>
      </c>
      <c r="CY18" s="1">
        <f t="shared" si="29"/>
        <v>12.26162961</v>
      </c>
      <c r="CZ18" s="1">
        <f t="shared" si="29"/>
        <v>21.704121750000002</v>
      </c>
      <c r="DA18" s="1">
        <f t="shared" si="29"/>
        <v>21.006605250000003</v>
      </c>
      <c r="DB18" s="1">
        <f t="shared" si="29"/>
        <v>22.417077500000001</v>
      </c>
      <c r="DC18" s="1">
        <f t="shared" si="29"/>
        <v>28.978678630000001</v>
      </c>
      <c r="DD18" s="1">
        <f t="shared" si="29"/>
        <v>14.681416690000001</v>
      </c>
      <c r="DE18" s="1">
        <f t="shared" si="29"/>
        <v>20.44206312</v>
      </c>
      <c r="DF18" s="1">
        <f t="shared" si="29"/>
        <v>19.069193389999999</v>
      </c>
      <c r="DH18" s="1">
        <f t="shared" si="30"/>
        <v>0.29342396000000004</v>
      </c>
      <c r="DI18" s="1">
        <f t="shared" si="30"/>
        <v>0.26088905000000001</v>
      </c>
      <c r="DJ18" s="1">
        <f t="shared" si="30"/>
        <v>0.18624962</v>
      </c>
      <c r="DK18" s="1">
        <f t="shared" si="30"/>
        <v>0.1577527</v>
      </c>
      <c r="DL18" s="1">
        <f t="shared" si="30"/>
        <v>0.24821200999999998</v>
      </c>
      <c r="DM18" s="1">
        <f t="shared" si="30"/>
        <v>0.13589592</v>
      </c>
      <c r="DN18" s="1">
        <f t="shared" si="30"/>
        <v>0.23010199000000001</v>
      </c>
      <c r="DO18" s="1">
        <f t="shared" si="30"/>
        <v>4.8750000000000002E-2</v>
      </c>
      <c r="DP18" s="1">
        <f t="shared" si="30"/>
        <v>0.31075020000000003</v>
      </c>
      <c r="DQ18" s="1">
        <f t="shared" si="30"/>
        <v>0.90541722000000002</v>
      </c>
      <c r="DR18" s="1">
        <f t="shared" si="30"/>
        <v>0.34283965</v>
      </c>
      <c r="DS18" s="1">
        <f t="shared" si="30"/>
        <v>0.74167351000000015</v>
      </c>
      <c r="DT18" s="1">
        <f t="shared" si="30"/>
        <v>0.58632921999999998</v>
      </c>
      <c r="DU18" s="1">
        <f t="shared" si="30"/>
        <v>0.29250390000000004</v>
      </c>
      <c r="DV18" s="1">
        <f t="shared" si="30"/>
        <v>0.46645720000000002</v>
      </c>
      <c r="DW18" s="1">
        <f t="shared" si="30"/>
        <v>8.1248630000000002E-2</v>
      </c>
      <c r="DX18" s="1">
        <f t="shared" si="31"/>
        <v>0.16069122999999999</v>
      </c>
      <c r="DY18" s="1">
        <f t="shared" si="31"/>
        <v>0.12834936</v>
      </c>
      <c r="DZ18" s="1">
        <f t="shared" si="31"/>
        <v>0.21283820000000001</v>
      </c>
      <c r="EA18" s="1">
        <f t="shared" si="31"/>
        <v>0.28431688999999999</v>
      </c>
      <c r="EB18" s="1">
        <f t="shared" si="31"/>
        <v>0.27087241000000001</v>
      </c>
      <c r="EC18" s="1">
        <f t="shared" si="31"/>
        <v>0.85465582000000007</v>
      </c>
      <c r="ED18" s="1">
        <f t="shared" si="31"/>
        <v>0.86735239999999991</v>
      </c>
      <c r="EE18" s="1">
        <f t="shared" si="31"/>
        <v>0.68639446999999998</v>
      </c>
      <c r="EG18" s="14">
        <f t="shared" si="32"/>
        <v>2813</v>
      </c>
      <c r="EH18" s="14">
        <f t="shared" si="32"/>
        <v>2813</v>
      </c>
      <c r="EI18" s="1">
        <f t="shared" si="32"/>
        <v>2813</v>
      </c>
      <c r="EJ18" s="1">
        <f t="shared" si="32"/>
        <v>2813</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3"/>
        <v>2813</v>
      </c>
      <c r="EX18" s="1">
        <f t="shared" si="33"/>
        <v>2813</v>
      </c>
      <c r="EY18" s="1">
        <f t="shared" si="33"/>
        <v>2813</v>
      </c>
      <c r="EZ18" s="1">
        <f t="shared" si="33"/>
        <v>2813</v>
      </c>
      <c r="FA18" s="1">
        <f t="shared" si="33"/>
        <v>2813</v>
      </c>
      <c r="FB18" s="1">
        <f t="shared" si="33"/>
        <v>2813</v>
      </c>
      <c r="FC18" s="1">
        <f t="shared" si="33"/>
        <v>2813</v>
      </c>
      <c r="FD18" s="1">
        <f t="shared" si="33"/>
        <v>2813</v>
      </c>
      <c r="FF18" s="162">
        <f t="shared" si="34"/>
        <v>1.2449114743304346E-2</v>
      </c>
    </row>
    <row r="19" spans="1:162" ht="18.75" customHeight="1">
      <c r="A19" s="244" t="s">
        <v>66</v>
      </c>
      <c r="B19" s="247"/>
      <c r="C19" s="228">
        <f t="shared" si="5"/>
        <v>0</v>
      </c>
      <c r="D19" s="229">
        <v>-1</v>
      </c>
      <c r="E19" s="253">
        <f t="shared" si="6"/>
        <v>0.24154119367644</v>
      </c>
      <c r="F19" s="254">
        <f t="shared" si="7"/>
        <v>0.21461131245996201</v>
      </c>
      <c r="G19" s="253">
        <f t="shared" si="8"/>
        <v>8.3785808241856108E-2</v>
      </c>
      <c r="H19" s="254">
        <f t="shared" si="9"/>
        <v>0.15775538543458389</v>
      </c>
      <c r="I19" s="253">
        <f t="shared" si="10"/>
        <v>2.535187953151143</v>
      </c>
      <c r="J19" s="254">
        <f t="shared" si="11"/>
        <v>0.60525164741865911</v>
      </c>
      <c r="K19" s="253">
        <f t="shared" si="12"/>
        <v>1.7348022363989277</v>
      </c>
      <c r="L19" s="254">
        <f t="shared" si="13"/>
        <v>0.80038571675221526</v>
      </c>
      <c r="M19" s="255"/>
      <c r="N19" s="256">
        <v>0</v>
      </c>
      <c r="O19" s="253">
        <f t="shared" si="35"/>
        <v>6.5265283642371941E-2</v>
      </c>
      <c r="P19" s="257">
        <f t="shared" si="36"/>
        <v>6.5265283642371941E-2</v>
      </c>
      <c r="Q19" s="253">
        <f t="shared" si="14"/>
        <v>-0.10753859789340392</v>
      </c>
      <c r="R19" s="257">
        <v>-0.01</v>
      </c>
      <c r="S19" s="255"/>
      <c r="T19" s="256">
        <v>1</v>
      </c>
      <c r="U19" s="253">
        <f t="shared" si="15"/>
        <v>0.19082657179455675</v>
      </c>
      <c r="V19" s="258">
        <f t="shared" si="16"/>
        <v>0.19082657179455675</v>
      </c>
      <c r="W19" s="253">
        <f t="shared" si="38"/>
        <v>0.34300801878895792</v>
      </c>
      <c r="X19" s="258">
        <f t="shared" si="17"/>
        <v>0.34300801878895792</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
        <f>VLOOKUP($A19,historia!$A$5:$CM$24,+HLOOKUP(AO$2,historia!$A$3:$EC$4,2,FALSE),FALSE)</f>
        <v>3</v>
      </c>
      <c r="AP19" s="28">
        <f>VLOOKUP($A19,historia!$A$5:$CM$24,+HLOOKUP(AP$2,historia!$A$3:$EC$4,2,FALSE),FALSE)</f>
        <v>3</v>
      </c>
      <c r="AQ19" s="28">
        <f>VLOOKUP($A19,historia!$A$5:$CM$24,+HLOOKUP(AQ$2,historia!$A$3:$EC$4,2,FALSE),FALSE)</f>
        <v>4</v>
      </c>
      <c r="AR19" s="28">
        <f>VLOOKUP($A19,historia!$A$5:$CM$24,+HLOOKUP(AR$2,historia!$A$3:$EC$4,2,FALSE),FALSE)</f>
        <v>3</v>
      </c>
      <c r="AS19" s="58">
        <f>VLOOKUP($A19,historia!$A$5:$CM$24,+HLOOKUP(AS$2,historia!$A$3:$EC$4,2,FALSE),FALSE)</f>
        <v>4</v>
      </c>
      <c r="AT19" s="58">
        <f>VLOOKUP($A19,historia!$A$5:$CM$24,+HLOOKUP(AT$2,historia!$A$3:$EC$4,2,FALSE),FALSE)</f>
        <v>4</v>
      </c>
      <c r="AU19" s="58">
        <f>VLOOKUP($A19,historia!$A$5:$CM$24,+HLOOKUP(AU$2,historia!$A$3:$EC$4,2,FALSE),FALSE)</f>
        <v>4</v>
      </c>
      <c r="AV19" s="58">
        <f>VLOOKUP($A19,historia!$A$5:$CM$24,+HLOOKUP(AV$2,historia!$A$3:$EC$4,2,FALSE),FALSE)</f>
        <v>4</v>
      </c>
      <c r="AW19" s="58">
        <f>VLOOKUP($A19,historia!$A$5:$CM$24,+HLOOKUP(AW$2,historia!$A$3:$EC$4,2,FALSE),FALSE)</f>
        <v>3</v>
      </c>
      <c r="AX19" s="58">
        <v>3</v>
      </c>
      <c r="AY19" s="58">
        <v>3</v>
      </c>
      <c r="AZ19" s="58">
        <v>2</v>
      </c>
      <c r="BA19" s="30"/>
      <c r="BB19" s="141">
        <v>3</v>
      </c>
      <c r="BC19" t="str">
        <f t="shared" si="20"/>
        <v>Papa</v>
      </c>
      <c r="BD19">
        <f>+datos!AV1</f>
        <v>48</v>
      </c>
      <c r="BE19" s="2" t="str">
        <f t="shared" si="4"/>
        <v>$/bolsa 20kg</v>
      </c>
      <c r="BF19" s="2">
        <f t="shared" si="4"/>
        <v>15237</v>
      </c>
      <c r="BG19" s="2">
        <f t="shared" si="4"/>
        <v>12272.649572649572</v>
      </c>
      <c r="BH19" s="2">
        <f t="shared" si="4"/>
        <v>4310.0961538461543</v>
      </c>
      <c r="BJ19">
        <f>+datos!CI1</f>
        <v>87</v>
      </c>
      <c r="BK19" s="2">
        <f t="shared" si="21"/>
        <v>10479.057138953476</v>
      </c>
      <c r="BL19" s="2">
        <f t="shared" si="21"/>
        <v>9668.9374037411126</v>
      </c>
      <c r="BM19" s="2">
        <f t="shared" si="21"/>
        <v>3831.7422003983211</v>
      </c>
      <c r="BO19" s="1">
        <f>+datos!EZ1</f>
        <v>156</v>
      </c>
      <c r="BP19" s="1">
        <f t="shared" si="22"/>
        <v>34815</v>
      </c>
      <c r="BQ19" s="1">
        <f t="shared" si="22"/>
        <v>32682</v>
      </c>
      <c r="BS19" s="1">
        <f>+datos!GT1</f>
        <v>202</v>
      </c>
      <c r="BT19" s="1">
        <f t="shared" si="23"/>
        <v>2111561</v>
      </c>
      <c r="BU19" s="1">
        <f t="shared" si="23"/>
        <v>2365997</v>
      </c>
      <c r="BW19" s="1">
        <f>+datos!JO1</f>
        <v>275</v>
      </c>
      <c r="BX19" s="1">
        <f t="shared" si="39"/>
        <v>368.65590085000008</v>
      </c>
      <c r="BY19" s="1">
        <f t="shared" si="40"/>
        <v>309.57984107999999</v>
      </c>
      <c r="CA19" s="1">
        <f>+datos!KT1</f>
        <v>306</v>
      </c>
      <c r="CB19" s="2">
        <f t="shared" si="24"/>
        <v>19.41131777</v>
      </c>
      <c r="CC19" s="2">
        <f t="shared" si="25"/>
        <v>14.45361271</v>
      </c>
      <c r="CE19" s="1">
        <f>+datos!JB1</f>
        <v>262</v>
      </c>
      <c r="CF19" s="1">
        <f t="shared" si="26"/>
        <v>35.950000000000003</v>
      </c>
      <c r="CG19" s="1">
        <f t="shared" si="27"/>
        <v>35.950000000000003</v>
      </c>
      <c r="CI19" s="1">
        <f t="shared" si="28"/>
        <v>38.158354570000007</v>
      </c>
      <c r="CJ19" s="1">
        <f t="shared" si="28"/>
        <v>36.879687310000008</v>
      </c>
      <c r="CK19" s="1">
        <f t="shared" si="28"/>
        <v>30.584450140000001</v>
      </c>
      <c r="CL19" s="1">
        <f t="shared" si="28"/>
        <v>34.87822036</v>
      </c>
      <c r="CM19" s="1">
        <f t="shared" si="28"/>
        <v>30.986019150000001</v>
      </c>
      <c r="CN19" s="1">
        <f t="shared" si="28"/>
        <v>34.45773063</v>
      </c>
      <c r="CO19" s="1">
        <f t="shared" si="28"/>
        <v>33.675059580000003</v>
      </c>
      <c r="CP19" s="1">
        <f t="shared" si="28"/>
        <v>28.924508010000004</v>
      </c>
      <c r="CQ19" s="1">
        <f t="shared" si="28"/>
        <v>27.954086790000002</v>
      </c>
      <c r="CR19" s="1">
        <f t="shared" si="28"/>
        <v>24.143815810000007</v>
      </c>
      <c r="CS19" s="1">
        <f t="shared" si="28"/>
        <v>26.000694290000002</v>
      </c>
      <c r="CT19" s="1">
        <f t="shared" si="28"/>
        <v>22.013274209999999</v>
      </c>
      <c r="CU19" s="1">
        <f t="shared" si="28"/>
        <v>23.44114875</v>
      </c>
      <c r="CV19" s="1">
        <f t="shared" si="28"/>
        <v>29.35689408</v>
      </c>
      <c r="CW19" s="1">
        <f t="shared" si="28"/>
        <v>26.11967611</v>
      </c>
      <c r="CX19" s="1">
        <f t="shared" si="28"/>
        <v>30.386509889999999</v>
      </c>
      <c r="CY19" s="1">
        <f t="shared" si="29"/>
        <v>26.2743097</v>
      </c>
      <c r="CZ19" s="1">
        <f t="shared" si="29"/>
        <v>30.80704394</v>
      </c>
      <c r="DA19" s="1">
        <f t="shared" si="29"/>
        <v>27.637267510000001</v>
      </c>
      <c r="DB19" s="1">
        <f t="shared" si="29"/>
        <v>30.470799569999997</v>
      </c>
      <c r="DC19" s="1">
        <f t="shared" si="29"/>
        <v>25.884569989999999</v>
      </c>
      <c r="DD19" s="1">
        <f t="shared" si="29"/>
        <v>21.159077390000004</v>
      </c>
      <c r="DE19" s="1">
        <f t="shared" si="29"/>
        <v>21.056863770000003</v>
      </c>
      <c r="DF19" s="1">
        <f t="shared" si="29"/>
        <v>16.985680380000005</v>
      </c>
      <c r="DH19" s="1">
        <f t="shared" si="30"/>
        <v>1.0529063700000001</v>
      </c>
      <c r="DI19" s="1">
        <f t="shared" si="30"/>
        <v>2.0286618900000004</v>
      </c>
      <c r="DJ19" s="1">
        <f t="shared" si="30"/>
        <v>0.79104531999999994</v>
      </c>
      <c r="DK19" s="1">
        <f t="shared" si="30"/>
        <v>1.6294275100000002</v>
      </c>
      <c r="DL19" s="1">
        <f t="shared" si="30"/>
        <v>1.8725515799999999</v>
      </c>
      <c r="DM19" s="1">
        <f t="shared" si="30"/>
        <v>1.9938344900000002</v>
      </c>
      <c r="DN19" s="1">
        <f t="shared" si="30"/>
        <v>1.4070700599999999</v>
      </c>
      <c r="DO19" s="1">
        <f t="shared" si="30"/>
        <v>0.5838748800000001</v>
      </c>
      <c r="DP19" s="1">
        <f t="shared" si="30"/>
        <v>1.6300787399999999</v>
      </c>
      <c r="DQ19" s="1">
        <f t="shared" si="30"/>
        <v>1.5496506000000003</v>
      </c>
      <c r="DR19" s="1">
        <f t="shared" si="30"/>
        <v>2.1384397699999997</v>
      </c>
      <c r="DS19" s="1">
        <f t="shared" si="30"/>
        <v>2.7337765599999999</v>
      </c>
      <c r="DT19" s="1">
        <f t="shared" si="30"/>
        <v>1.0171737099999998</v>
      </c>
      <c r="DU19" s="1">
        <f t="shared" si="30"/>
        <v>1.9864389700000002</v>
      </c>
      <c r="DV19" s="1">
        <f t="shared" si="30"/>
        <v>2.8868213899999997</v>
      </c>
      <c r="DW19" s="1">
        <f t="shared" si="30"/>
        <v>1.3747401999999997</v>
      </c>
      <c r="DX19" s="1">
        <f t="shared" si="31"/>
        <v>1.6364950999999999</v>
      </c>
      <c r="DY19" s="1">
        <f t="shared" si="31"/>
        <v>1.1348675200000002</v>
      </c>
      <c r="DZ19" s="1">
        <f t="shared" si="31"/>
        <v>0.73241972</v>
      </c>
      <c r="EA19" s="1">
        <f t="shared" si="31"/>
        <v>1.2023484900000001</v>
      </c>
      <c r="EB19" s="1">
        <f t="shared" si="31"/>
        <v>0.41620179000000002</v>
      </c>
      <c r="EC19" s="1">
        <f t="shared" si="31"/>
        <v>1.03402496</v>
      </c>
      <c r="ED19" s="1">
        <f t="shared" si="31"/>
        <v>2.8427559999999998E-2</v>
      </c>
      <c r="EE19" s="1">
        <f t="shared" si="31"/>
        <v>1.0036533000000001</v>
      </c>
      <c r="EG19" s="14">
        <f t="shared" si="32"/>
        <v>35.950000000000003</v>
      </c>
      <c r="EH19" s="14">
        <f t="shared" si="32"/>
        <v>35.950000000000003</v>
      </c>
      <c r="EI19" s="1">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3"/>
        <v>35.950000000000003</v>
      </c>
      <c r="EX19" s="1">
        <f t="shared" si="33"/>
        <v>35.950000000000003</v>
      </c>
      <c r="EY19" s="1">
        <f t="shared" si="33"/>
        <v>35.950000000000003</v>
      </c>
      <c r="EZ19" s="1">
        <f t="shared" si="33"/>
        <v>35.950000000000003</v>
      </c>
      <c r="FA19" s="1">
        <f t="shared" si="33"/>
        <v>35.950000000000003</v>
      </c>
      <c r="FB19" s="1">
        <f t="shared" si="33"/>
        <v>35.950000000000003</v>
      </c>
      <c r="FC19" s="1">
        <f t="shared" si="33"/>
        <v>40.33</v>
      </c>
      <c r="FD19" s="1">
        <f t="shared" si="33"/>
        <v>40.33</v>
      </c>
      <c r="FF19" s="162">
        <f t="shared" si="34"/>
        <v>0.80038571675221526</v>
      </c>
    </row>
    <row r="20" spans="1:162" ht="18.75" customHeight="1">
      <c r="A20" s="264" t="s">
        <v>218</v>
      </c>
      <c r="B20" s="246"/>
      <c r="C20" s="156">
        <f t="shared" si="5"/>
        <v>0</v>
      </c>
      <c r="D20" s="198">
        <v>-1</v>
      </c>
      <c r="E20" s="248">
        <f t="shared" si="6"/>
        <v>4.2596417281348664E-2</v>
      </c>
      <c r="F20" s="249">
        <f t="shared" si="7"/>
        <v>1.5666536064870673E-2</v>
      </c>
      <c r="G20" s="248">
        <f t="shared" si="8"/>
        <v>3.3533096192992717E-2</v>
      </c>
      <c r="H20" s="249">
        <f t="shared" si="9"/>
        <v>9.0633210883559467E-3</v>
      </c>
      <c r="I20" s="248">
        <f t="shared" si="10"/>
        <v>3.4592296078387177</v>
      </c>
      <c r="J20" s="249">
        <f t="shared" si="11"/>
        <v>1.5292933021062338</v>
      </c>
      <c r="K20" s="248">
        <f t="shared" si="12"/>
        <v>1.783314978995389</v>
      </c>
      <c r="L20" s="249">
        <f t="shared" si="13"/>
        <v>1.6759146288433286</v>
      </c>
      <c r="M20" s="250"/>
      <c r="N20" s="24">
        <v>-1</v>
      </c>
      <c r="O20" s="248">
        <f t="shared" si="35"/>
        <v>-2.3211675087845274E-2</v>
      </c>
      <c r="P20" s="251">
        <f t="shared" si="36"/>
        <v>-2.3211675087845274E-2</v>
      </c>
      <c r="Q20" s="248">
        <f t="shared" si="14"/>
        <v>-4.4153837130128104E-2</v>
      </c>
      <c r="R20" s="251">
        <f t="shared" si="37"/>
        <v>-4.4153837130128104E-2</v>
      </c>
      <c r="S20" s="250"/>
      <c r="T20" s="24">
        <v>2</v>
      </c>
      <c r="U20" s="248">
        <f t="shared" si="15"/>
        <v>5.1615181506447616E-2</v>
      </c>
      <c r="V20" s="252">
        <f t="shared" si="16"/>
        <v>5.1615181506447616E-2</v>
      </c>
      <c r="W20" s="248">
        <f t="shared" si="38"/>
        <v>-0.48241085066721279</v>
      </c>
      <c r="X20" s="252">
        <f t="shared" si="17"/>
        <v>-0.48241085066721279</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
        <f>VLOOKUP($A20,historia!$A$5:$CM$24,+HLOOKUP(AO$2,historia!$A$3:$EC$4,2,FALSE),FALSE)</f>
        <v>3</v>
      </c>
      <c r="AP20" s="28">
        <f>VLOOKUP($A20,historia!$A$5:$CM$24,+HLOOKUP(AP$2,historia!$A$3:$EC$4,2,FALSE),FALSE)</f>
        <v>3</v>
      </c>
      <c r="AQ20" s="28">
        <f>VLOOKUP($A20,historia!$A$5:$CM$24,+HLOOKUP(AQ$2,historia!$A$3:$EC$4,2,FALSE),FALSE)</f>
        <v>3</v>
      </c>
      <c r="AR20" s="28">
        <f>VLOOKUP($A20,historia!$A$5:$CM$24,+HLOOKUP(AR$2,historia!$A$3:$EC$4,2,FALSE),FALSE)</f>
        <v>3</v>
      </c>
      <c r="AS20" s="58">
        <f>VLOOKUP($A20,historia!$A$5:$CM$24,+HLOOKUP(AS$2,historia!$A$3:$EC$4,2,FALSE),FALSE)</f>
        <v>4</v>
      </c>
      <c r="AT20" s="58">
        <f>VLOOKUP($A20,historia!$A$5:$CM$24,+HLOOKUP(AT$2,historia!$A$3:$EC$4,2,FALSE),FALSE)</f>
        <v>4</v>
      </c>
      <c r="AU20" s="58">
        <f>VLOOKUP($A20,historia!$A$5:$CM$24,+HLOOKUP(AU$2,historia!$A$3:$EC$4,2,FALSE),FALSE)</f>
        <v>4</v>
      </c>
      <c r="AV20" s="58">
        <f>VLOOKUP($A20,historia!$A$5:$CM$24,+HLOOKUP(AV$2,historia!$A$3:$EC$4,2,FALSE),FALSE)</f>
        <v>4</v>
      </c>
      <c r="AW20" s="58">
        <f>VLOOKUP($A20,historia!$A$5:$CM$24,+HLOOKUP(AW$2,historia!$A$3:$EC$4,2,FALSE),FALSE)</f>
        <v>3</v>
      </c>
      <c r="AX20" s="58">
        <v>3</v>
      </c>
      <c r="AY20" s="58">
        <v>3</v>
      </c>
      <c r="AZ20" s="58">
        <v>3</v>
      </c>
      <c r="BA20" s="30"/>
      <c r="BB20" s="141">
        <v>3</v>
      </c>
      <c r="BC20" t="str">
        <f t="shared" si="20"/>
        <v>Peras y Manzanas</v>
      </c>
      <c r="BD20">
        <f>+datos!AP1</f>
        <v>42</v>
      </c>
      <c r="BE20" s="2" t="str">
        <f t="shared" si="4"/>
        <v>$/caja 18kg</v>
      </c>
      <c r="BF20" s="2">
        <f t="shared" si="4"/>
        <v>19788.48</v>
      </c>
      <c r="BG20" s="2">
        <f t="shared" si="4"/>
        <v>18980</v>
      </c>
      <c r="BH20" s="2">
        <f t="shared" si="4"/>
        <v>4437.6454545454553</v>
      </c>
      <c r="BJ20">
        <f>+datos!CS1</f>
        <v>97</v>
      </c>
      <c r="BK20" s="2">
        <f t="shared" si="21"/>
        <v>8903.7269663481893</v>
      </c>
      <c r="BL20" s="2">
        <f t="shared" si="21"/>
        <v>8614.844555191281</v>
      </c>
      <c r="BM20" s="2">
        <f t="shared" si="21"/>
        <v>3198.96491541245</v>
      </c>
      <c r="BO20" s="1">
        <f>+datos!FC1</f>
        <v>159</v>
      </c>
      <c r="BP20" s="1">
        <f t="shared" si="22"/>
        <v>38084</v>
      </c>
      <c r="BQ20" s="1">
        <f t="shared" si="22"/>
        <v>38989</v>
      </c>
      <c r="BS20" s="1">
        <f>+datos!GW1</f>
        <v>205</v>
      </c>
      <c r="BT20" s="1">
        <f t="shared" si="23"/>
        <v>749630</v>
      </c>
      <c r="BU20" s="1">
        <f t="shared" si="23"/>
        <v>784258</v>
      </c>
      <c r="BW20" s="1">
        <f>+datos!LS1</f>
        <v>331</v>
      </c>
      <c r="BX20" s="1">
        <f t="shared" si="39"/>
        <v>378.28644014000002</v>
      </c>
      <c r="BY20" s="1">
        <f t="shared" si="40"/>
        <v>359.71945517</v>
      </c>
      <c r="CA20" s="1">
        <f>+datos!LW1</f>
        <v>335</v>
      </c>
      <c r="CB20" s="2">
        <f t="shared" si="24"/>
        <v>3.6515269000000004</v>
      </c>
      <c r="CC20" s="2">
        <f t="shared" si="25"/>
        <v>7.05487529</v>
      </c>
      <c r="CE20" s="1">
        <f>+datos!JC1</f>
        <v>263</v>
      </c>
      <c r="CF20" s="1">
        <f t="shared" si="26"/>
        <v>0</v>
      </c>
      <c r="CG20" s="1">
        <f t="shared" si="27"/>
        <v>0</v>
      </c>
      <c r="CI20" s="1">
        <f t="shared" si="28"/>
        <v>25.188374430000003</v>
      </c>
      <c r="CJ20" s="1">
        <f t="shared" si="28"/>
        <v>22.303018159999997</v>
      </c>
      <c r="CK20" s="1">
        <f t="shared" si="28"/>
        <v>14.93334776</v>
      </c>
      <c r="CL20" s="1">
        <f t="shared" si="28"/>
        <v>35.336569390000001</v>
      </c>
      <c r="CM20" s="1">
        <f t="shared" si="28"/>
        <v>46.662709379999995</v>
      </c>
      <c r="CN20" s="1">
        <f t="shared" si="28"/>
        <v>45.302769560000002</v>
      </c>
      <c r="CO20" s="1">
        <f t="shared" si="28"/>
        <v>46.856289650000001</v>
      </c>
      <c r="CP20" s="1">
        <f t="shared" si="28"/>
        <v>60.076282149999997</v>
      </c>
      <c r="CQ20" s="1">
        <f t="shared" si="28"/>
        <v>42.744570039999999</v>
      </c>
      <c r="CR20" s="1">
        <f t="shared" si="28"/>
        <v>11.509203560000001</v>
      </c>
      <c r="CS20" s="1">
        <f t="shared" si="28"/>
        <v>11.753879789999999</v>
      </c>
      <c r="CT20" s="1">
        <f t="shared" si="28"/>
        <v>15.619426270000002</v>
      </c>
      <c r="CU20" s="1">
        <f t="shared" si="28"/>
        <v>16.880359240000001</v>
      </c>
      <c r="CV20" s="1">
        <f t="shared" si="28"/>
        <v>24.204094699999999</v>
      </c>
      <c r="CW20" s="1">
        <f t="shared" si="28"/>
        <v>25.300599699999999</v>
      </c>
      <c r="CX20" s="1">
        <f t="shared" si="28"/>
        <v>48.042350899999995</v>
      </c>
      <c r="CY20" s="1">
        <f t="shared" si="29"/>
        <v>30.317151650000003</v>
      </c>
      <c r="CZ20" s="1">
        <f t="shared" si="29"/>
        <v>39.830023670000003</v>
      </c>
      <c r="DA20" s="1">
        <f t="shared" si="29"/>
        <v>48.212206680000008</v>
      </c>
      <c r="DB20" s="1">
        <f t="shared" si="29"/>
        <v>46.755406350000001</v>
      </c>
      <c r="DC20" s="1">
        <f t="shared" si="29"/>
        <v>37.276974840000001</v>
      </c>
      <c r="DD20" s="1">
        <f t="shared" si="29"/>
        <v>11.80910873</v>
      </c>
      <c r="DE20" s="1">
        <f t="shared" si="29"/>
        <v>12.88181872</v>
      </c>
      <c r="DF20" s="1">
        <f t="shared" si="29"/>
        <v>18.209359989999999</v>
      </c>
      <c r="DH20" s="1">
        <f t="shared" si="30"/>
        <v>7.9820000000000002E-2</v>
      </c>
      <c r="DI20" s="1">
        <f t="shared" si="30"/>
        <v>0.14837025000000001</v>
      </c>
      <c r="DJ20" s="1">
        <f t="shared" si="30"/>
        <v>0.3865221499999999</v>
      </c>
      <c r="DK20" s="1">
        <f t="shared" si="30"/>
        <v>0.51794252000000007</v>
      </c>
      <c r="DL20" s="1">
        <f t="shared" si="30"/>
        <v>0.37362660000000003</v>
      </c>
      <c r="DM20" s="1">
        <f t="shared" si="30"/>
        <v>0.32288670000000003</v>
      </c>
      <c r="DN20" s="1">
        <f t="shared" si="30"/>
        <v>0.29487440000000004</v>
      </c>
      <c r="DO20" s="1">
        <f t="shared" si="30"/>
        <v>7.78142E-2</v>
      </c>
      <c r="DP20" s="1">
        <f t="shared" si="30"/>
        <v>0.12479459999999999</v>
      </c>
      <c r="DQ20" s="1">
        <f t="shared" si="30"/>
        <v>8.4911199999999992E-2</v>
      </c>
      <c r="DR20" s="1">
        <f t="shared" si="30"/>
        <v>0.22142464000000001</v>
      </c>
      <c r="DS20" s="1">
        <f t="shared" si="30"/>
        <v>1.01853964</v>
      </c>
      <c r="DT20" s="1">
        <f t="shared" si="30"/>
        <v>0.30728509999999998</v>
      </c>
      <c r="DU20" s="1">
        <f t="shared" si="30"/>
        <v>0.37410640000000001</v>
      </c>
      <c r="DV20" s="1">
        <f t="shared" si="30"/>
        <v>0.35746821000000001</v>
      </c>
      <c r="DW20" s="1">
        <f t="shared" si="30"/>
        <v>0.95829101000000005</v>
      </c>
      <c r="DX20" s="1">
        <f t="shared" si="31"/>
        <v>0.34636184000000003</v>
      </c>
      <c r="DY20" s="1">
        <f t="shared" si="31"/>
        <v>1.2547095300000002</v>
      </c>
      <c r="DZ20" s="1">
        <f t="shared" si="31"/>
        <v>1.273682</v>
      </c>
      <c r="EA20" s="1">
        <f t="shared" si="31"/>
        <v>0.92279571000000005</v>
      </c>
      <c r="EB20" s="1">
        <f t="shared" si="31"/>
        <v>0.55930298000000001</v>
      </c>
      <c r="EC20" s="1">
        <f t="shared" si="31"/>
        <v>0.23405334</v>
      </c>
      <c r="ED20" s="1">
        <f t="shared" si="31"/>
        <v>2.5551390000000004E-2</v>
      </c>
      <c r="EE20" s="1">
        <f t="shared" si="31"/>
        <v>0.44126778</v>
      </c>
      <c r="EG20" s="14">
        <f t="shared" si="32"/>
        <v>0</v>
      </c>
      <c r="EH20" s="14">
        <f t="shared" si="32"/>
        <v>0</v>
      </c>
      <c r="EI20" s="1">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3"/>
        <v>0</v>
      </c>
      <c r="EX20" s="1">
        <f t="shared" si="33"/>
        <v>0</v>
      </c>
      <c r="EY20" s="1">
        <f t="shared" si="33"/>
        <v>0</v>
      </c>
      <c r="EZ20" s="1">
        <f t="shared" si="33"/>
        <v>0</v>
      </c>
      <c r="FA20" s="1">
        <f t="shared" si="33"/>
        <v>0</v>
      </c>
      <c r="FB20" s="1">
        <f t="shared" si="33"/>
        <v>0</v>
      </c>
      <c r="FC20" s="1">
        <f t="shared" si="33"/>
        <v>0</v>
      </c>
      <c r="FD20" s="1">
        <f t="shared" si="33"/>
        <v>0</v>
      </c>
      <c r="FF20" s="162">
        <f t="shared" si="34"/>
        <v>1.6759146288433286</v>
      </c>
    </row>
    <row r="21" spans="1:162" ht="18.75" customHeight="1">
      <c r="A21" s="244" t="s">
        <v>121</v>
      </c>
      <c r="B21" s="247"/>
      <c r="C21" s="228">
        <f t="shared" si="5"/>
        <v>0</v>
      </c>
      <c r="D21" s="229">
        <v>-2</v>
      </c>
      <c r="E21" s="253">
        <f t="shared" si="6"/>
        <v>5.766653089939644E-2</v>
      </c>
      <c r="F21" s="254">
        <f t="shared" si="7"/>
        <v>3.0736649682918449E-2</v>
      </c>
      <c r="G21" s="253">
        <f t="shared" si="8"/>
        <v>5.6872130359363782E-2</v>
      </c>
      <c r="H21" s="254">
        <f t="shared" si="9"/>
        <v>7.9440054003265814E-4</v>
      </c>
      <c r="I21" s="253">
        <f t="shared" si="10"/>
        <v>1.1003235294117646</v>
      </c>
      <c r="J21" s="254">
        <f t="shared" si="11"/>
        <v>-0.82961277632071928</v>
      </c>
      <c r="K21" s="253">
        <f t="shared" si="12"/>
        <v>1.7035183511556506</v>
      </c>
      <c r="L21" s="254">
        <f t="shared" si="13"/>
        <v>-0.60319482174388606</v>
      </c>
      <c r="M21" s="255"/>
      <c r="N21" s="256">
        <v>1</v>
      </c>
      <c r="O21" s="253">
        <f t="shared" si="35"/>
        <v>3.8695172963417956E-2</v>
      </c>
      <c r="P21" s="257">
        <f t="shared" si="36"/>
        <v>3.8695172963417956E-2</v>
      </c>
      <c r="Q21" s="253">
        <f t="shared" si="14"/>
        <v>3.2508017790917165E-2</v>
      </c>
      <c r="R21" s="257">
        <f t="shared" si="37"/>
        <v>3.2508017790917165E-2</v>
      </c>
      <c r="S21" s="255"/>
      <c r="T21" s="256">
        <v>1</v>
      </c>
      <c r="U21" s="253">
        <f t="shared" si="15"/>
        <v>0.32503733814588509</v>
      </c>
      <c r="V21" s="258">
        <f t="shared" si="16"/>
        <v>0.32503733814588509</v>
      </c>
      <c r="W21" s="253">
        <f t="shared" si="38"/>
        <v>-0.10215537236300753</v>
      </c>
      <c r="X21" s="258">
        <f t="shared" si="17"/>
        <v>-0.10215537236300753</v>
      </c>
      <c r="Y21" s="253">
        <f t="shared" si="18"/>
        <v>6.5632458233890745E-3</v>
      </c>
      <c r="Z21" s="258">
        <f t="shared" si="19"/>
        <v>6.5632458233890745E-3</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
        <f>VLOOKUP($A21,historia!$A$5:$CM$24,+HLOOKUP(AO$2,historia!$A$3:$EC$4,2,FALSE),FALSE)</f>
        <v>3</v>
      </c>
      <c r="AP21" s="28">
        <f>VLOOKUP($A21,historia!$A$5:$CM$24,+HLOOKUP(AP$2,historia!$A$3:$EC$4,2,FALSE),FALSE)</f>
        <v>2</v>
      </c>
      <c r="AQ21" s="28">
        <f>VLOOKUP($A21,historia!$A$5:$CM$24,+HLOOKUP(AQ$2,historia!$A$3:$EC$4,2,FALSE),FALSE)</f>
        <v>1</v>
      </c>
      <c r="AR21" s="28">
        <f>VLOOKUP($A21,historia!$A$5:$CM$24,+HLOOKUP(AR$2,historia!$A$3:$EC$4,2,FALSE),FALSE)</f>
        <v>2</v>
      </c>
      <c r="AS21" s="58">
        <f>VLOOKUP($A21,historia!$A$5:$CM$24,+HLOOKUP(AS$2,historia!$A$3:$EC$4,2,FALSE),FALSE)</f>
        <v>4</v>
      </c>
      <c r="AT21" s="58">
        <f>VLOOKUP($A21,historia!$A$5:$CM$24,+HLOOKUP(AT$2,historia!$A$3:$EC$4,2,FALSE),FALSE)</f>
        <v>5</v>
      </c>
      <c r="AU21" s="58">
        <f>VLOOKUP($A21,historia!$A$5:$CM$24,+HLOOKUP(AU$2,historia!$A$3:$EC$4,2,FALSE),FALSE)</f>
        <v>3</v>
      </c>
      <c r="AV21" s="58">
        <f>VLOOKUP($A21,historia!$A$5:$CM$24,+HLOOKUP(AV$2,historia!$A$3:$EC$4,2,FALSE),FALSE)</f>
        <v>4</v>
      </c>
      <c r="AW21" s="58">
        <f>VLOOKUP($A21,historia!$A$5:$CM$24,+HLOOKUP(AW$2,historia!$A$3:$EC$4,2,FALSE),FALSE)</f>
        <v>3</v>
      </c>
      <c r="AX21" s="58">
        <v>2</v>
      </c>
      <c r="AY21" s="58">
        <v>2</v>
      </c>
      <c r="AZ21" s="58">
        <v>2</v>
      </c>
      <c r="BA21" s="30"/>
      <c r="BB21" s="141">
        <v>3</v>
      </c>
      <c r="BC21" t="str">
        <f t="shared" si="20"/>
        <v>Porcinos</v>
      </c>
      <c r="BD21">
        <f>+datos!BR1</f>
        <v>70</v>
      </c>
      <c r="BE21" s="2" t="str">
        <f t="shared" si="4"/>
        <v>$/kg</v>
      </c>
      <c r="BF21" s="2">
        <f t="shared" si="4"/>
        <v>1428.22</v>
      </c>
      <c r="BG21" s="2">
        <f t="shared" si="4"/>
        <v>1350.35</v>
      </c>
      <c r="BH21" s="2">
        <f t="shared" si="4"/>
        <v>680</v>
      </c>
      <c r="BJ21">
        <f>+datos!DD1</f>
        <v>108</v>
      </c>
      <c r="BK21" s="2">
        <f t="shared" si="21"/>
        <v>8925.0663913680328</v>
      </c>
      <c r="BL21" s="2">
        <f t="shared" si="21"/>
        <v>8444.7930217757566</v>
      </c>
      <c r="BM21" s="2">
        <f t="shared" si="21"/>
        <v>3301.2782722754255</v>
      </c>
      <c r="BO21" s="1">
        <f>+datos!EJ1</f>
        <v>140</v>
      </c>
      <c r="BP21" s="1">
        <f t="shared" si="22"/>
        <v>6115215</v>
      </c>
      <c r="BQ21" s="1">
        <f t="shared" si="22"/>
        <v>5887401</v>
      </c>
      <c r="BS21" s="1">
        <f>+datos!HE1</f>
        <v>213</v>
      </c>
      <c r="BT21" s="1">
        <f t="shared" si="23"/>
        <v>782321</v>
      </c>
      <c r="BU21" s="1">
        <f t="shared" si="23"/>
        <v>757690</v>
      </c>
      <c r="BW21" s="1">
        <f>+datos!KJ1</f>
        <v>296</v>
      </c>
      <c r="BX21" s="1">
        <f t="shared" si="39"/>
        <v>26.194421609999999</v>
      </c>
      <c r="BY21" s="1">
        <f t="shared" si="40"/>
        <v>19.768817719999994</v>
      </c>
      <c r="CA21" s="1">
        <f>+datos!LO1</f>
        <v>327</v>
      </c>
      <c r="CB21" s="2">
        <f t="shared" si="24"/>
        <v>49.598289249999993</v>
      </c>
      <c r="CC21" s="2">
        <f t="shared" si="25"/>
        <v>55.241505850000003</v>
      </c>
      <c r="CE21" s="1">
        <f>+datos!IO1</f>
        <v>249</v>
      </c>
      <c r="CF21" s="1">
        <f t="shared" si="26"/>
        <v>16.87</v>
      </c>
      <c r="CG21" s="1">
        <f t="shared" si="27"/>
        <v>16.760000000000002</v>
      </c>
      <c r="CI21" s="1">
        <f t="shared" si="28"/>
        <v>3.1723580499999997</v>
      </c>
      <c r="CJ21" s="1">
        <f t="shared" si="28"/>
        <v>2.1279038099999998</v>
      </c>
      <c r="CK21" s="1">
        <f t="shared" si="28"/>
        <v>2.3778769799999995</v>
      </c>
      <c r="CL21" s="1">
        <f t="shared" si="28"/>
        <v>4.3175895799999999</v>
      </c>
      <c r="CM21" s="1">
        <f t="shared" si="28"/>
        <v>2.7596131099999996</v>
      </c>
      <c r="CN21" s="1">
        <f t="shared" si="28"/>
        <v>1.9296841299999996</v>
      </c>
      <c r="CO21" s="1">
        <f t="shared" si="28"/>
        <v>2.2533318799999997</v>
      </c>
      <c r="CP21" s="1">
        <f t="shared" si="28"/>
        <v>1.55421593</v>
      </c>
      <c r="CQ21" s="1">
        <f t="shared" si="28"/>
        <v>1.56892272</v>
      </c>
      <c r="CR21" s="1">
        <f t="shared" si="28"/>
        <v>1.2009935999999999</v>
      </c>
      <c r="CS21" s="1">
        <f t="shared" si="28"/>
        <v>1.5576121499999998</v>
      </c>
      <c r="CT21" s="1">
        <f t="shared" si="28"/>
        <v>1.3743196699999998</v>
      </c>
      <c r="CU21" s="1">
        <f t="shared" si="28"/>
        <v>1.4110336399999999</v>
      </c>
      <c r="CV21" s="1">
        <f t="shared" si="28"/>
        <v>1.8830951399999996</v>
      </c>
      <c r="CW21" s="1">
        <f t="shared" si="28"/>
        <v>1.4694087300000001</v>
      </c>
      <c r="CX21" s="1">
        <f t="shared" si="28"/>
        <v>2.0502103900000002</v>
      </c>
      <c r="CY21" s="1">
        <f t="shared" si="29"/>
        <v>1.8176867299999997</v>
      </c>
      <c r="CZ21" s="1">
        <f t="shared" si="29"/>
        <v>1.2719750699999999</v>
      </c>
      <c r="DA21" s="1">
        <f t="shared" si="29"/>
        <v>1.5228158499999997</v>
      </c>
      <c r="DB21" s="1">
        <f t="shared" si="29"/>
        <v>1.32254655</v>
      </c>
      <c r="DC21" s="1">
        <f t="shared" si="29"/>
        <v>2.1116566699999999</v>
      </c>
      <c r="DD21" s="1">
        <f t="shared" si="29"/>
        <v>1.8299806799999998</v>
      </c>
      <c r="DE21" s="1">
        <f t="shared" si="29"/>
        <v>2.01275629</v>
      </c>
      <c r="DF21" s="1">
        <f t="shared" si="29"/>
        <v>1.0656519800000002</v>
      </c>
      <c r="DH21" s="1">
        <f t="shared" si="30"/>
        <v>10.87912704</v>
      </c>
      <c r="DI21" s="1">
        <f t="shared" si="30"/>
        <v>7.3519509899999989</v>
      </c>
      <c r="DJ21" s="1">
        <f t="shared" si="30"/>
        <v>4.9251834299999988</v>
      </c>
      <c r="DK21" s="1">
        <f t="shared" si="30"/>
        <v>2.5935797799999998</v>
      </c>
      <c r="DL21" s="1">
        <f t="shared" si="30"/>
        <v>1.7163214500000001</v>
      </c>
      <c r="DM21" s="1">
        <f t="shared" si="30"/>
        <v>2.7920763000000002</v>
      </c>
      <c r="DN21" s="1">
        <f t="shared" si="30"/>
        <v>3.5088459899999997</v>
      </c>
      <c r="DO21" s="1">
        <f t="shared" si="30"/>
        <v>2.2524288500000003</v>
      </c>
      <c r="DP21" s="1">
        <f t="shared" si="30"/>
        <v>5.2341166499999998</v>
      </c>
      <c r="DQ21" s="1">
        <f t="shared" si="30"/>
        <v>3.1162246899999997</v>
      </c>
      <c r="DR21" s="1">
        <f t="shared" si="30"/>
        <v>3.3747357299999998</v>
      </c>
      <c r="DS21" s="1">
        <f t="shared" si="30"/>
        <v>1.8536983500000002</v>
      </c>
      <c r="DT21" s="1">
        <f t="shared" si="30"/>
        <v>2.01592043</v>
      </c>
      <c r="DU21" s="1">
        <f t="shared" si="30"/>
        <v>3.3244473500000002</v>
      </c>
      <c r="DV21" s="1">
        <f t="shared" si="30"/>
        <v>2.84758625</v>
      </c>
      <c r="DW21" s="1">
        <f t="shared" ref="DW21:EE24" si="41">+VLOOKUP(DW$1,ran_dat,$CA21,FALSE)</f>
        <v>4.1641835499999997</v>
      </c>
      <c r="DX21" s="1">
        <f t="shared" si="41"/>
        <v>4.5685913500000002</v>
      </c>
      <c r="DY21" s="1">
        <f t="shared" si="41"/>
        <v>6.3615663699999985</v>
      </c>
      <c r="DZ21" s="1">
        <f t="shared" si="41"/>
        <v>5.5541627499999997</v>
      </c>
      <c r="EA21" s="1">
        <f t="shared" si="41"/>
        <v>6.8596205599999998</v>
      </c>
      <c r="EB21" s="1">
        <f t="shared" si="41"/>
        <v>4.6739966500000012</v>
      </c>
      <c r="EC21" s="1">
        <f t="shared" si="41"/>
        <v>7.6286560299999993</v>
      </c>
      <c r="ED21" s="1">
        <f t="shared" si="41"/>
        <v>3.658397E-2</v>
      </c>
      <c r="EE21" s="1">
        <f t="shared" si="41"/>
        <v>7.2061905900000003</v>
      </c>
      <c r="EG21" s="14">
        <f t="shared" si="32"/>
        <v>16.87</v>
      </c>
      <c r="EH21" s="14">
        <f t="shared" si="32"/>
        <v>16.8</v>
      </c>
      <c r="EI21" s="1">
        <f t="shared" si="32"/>
        <v>16.760000000000002</v>
      </c>
      <c r="EJ21" s="1">
        <f t="shared" si="32"/>
        <v>16.84</v>
      </c>
      <c r="EK21" s="1">
        <f t="shared" si="32"/>
        <v>16.64</v>
      </c>
      <c r="EL21" s="1">
        <f t="shared" si="32"/>
        <v>16.68</v>
      </c>
      <c r="EM21" s="1">
        <f t="shared" si="32"/>
        <v>16.62</v>
      </c>
      <c r="EN21" s="1">
        <f t="shared" si="32"/>
        <v>16.5</v>
      </c>
      <c r="EO21" s="1">
        <f t="shared" si="32"/>
        <v>16.64</v>
      </c>
      <c r="EP21" s="1">
        <f t="shared" si="32"/>
        <v>16.68</v>
      </c>
      <c r="EQ21" s="1">
        <f t="shared" si="32"/>
        <v>16.72</v>
      </c>
      <c r="ER21" s="1">
        <f t="shared" si="32"/>
        <v>16.75</v>
      </c>
      <c r="ES21" s="1">
        <f t="shared" si="32"/>
        <v>16.760000000000002</v>
      </c>
      <c r="ET21" s="1">
        <f t="shared" si="32"/>
        <v>16.71</v>
      </c>
      <c r="EU21" s="1">
        <f t="shared" si="32"/>
        <v>16.68</v>
      </c>
      <c r="EV21" s="1">
        <f t="shared" ref="EV21:FD24" si="42">+VLOOKUP(EV$1,ran_dat,$CE21,FALSE)</f>
        <v>16.670000000000002</v>
      </c>
      <c r="EW21" s="1">
        <f t="shared" si="42"/>
        <v>16.670000000000002</v>
      </c>
      <c r="EX21" s="1">
        <f t="shared" si="42"/>
        <v>16.72</v>
      </c>
      <c r="EY21" s="1">
        <f t="shared" si="42"/>
        <v>16.77</v>
      </c>
      <c r="EZ21" s="1">
        <f t="shared" si="42"/>
        <v>16.88</v>
      </c>
      <c r="FA21" s="1">
        <f t="shared" si="42"/>
        <v>16.93</v>
      </c>
      <c r="FB21" s="1">
        <f t="shared" si="42"/>
        <v>16.97</v>
      </c>
      <c r="FC21" s="1">
        <f t="shared" si="42"/>
        <v>16.760000000000002</v>
      </c>
      <c r="FD21" s="1">
        <f t="shared" si="42"/>
        <v>16.89</v>
      </c>
      <c r="FF21" s="162">
        <f t="shared" si="34"/>
        <v>-0.60319482174388606</v>
      </c>
    </row>
    <row r="22" spans="1:162" ht="18.75" customHeight="1">
      <c r="A22" s="243" t="s">
        <v>75</v>
      </c>
      <c r="B22" s="246"/>
      <c r="C22" s="156">
        <f t="shared" si="5"/>
        <v>0.66</v>
      </c>
      <c r="D22" s="198">
        <v>1</v>
      </c>
      <c r="E22" s="248">
        <f t="shared" si="6"/>
        <v>0</v>
      </c>
      <c r="F22" s="249">
        <f t="shared" si="7"/>
        <v>-2.6929881216477991E-2</v>
      </c>
      <c r="G22" s="248">
        <f t="shared" si="8"/>
        <v>1.9265591139657978E-2</v>
      </c>
      <c r="H22" s="249">
        <f t="shared" si="9"/>
        <v>-1.9265591139657978E-2</v>
      </c>
      <c r="I22" s="248">
        <f t="shared" si="10"/>
        <v>3.2420324818487183</v>
      </c>
      <c r="J22" s="249">
        <f t="shared" si="11"/>
        <v>1.3120961761162344</v>
      </c>
      <c r="K22" s="248">
        <f t="shared" si="12"/>
        <v>1.8325019753606062</v>
      </c>
      <c r="L22" s="249">
        <f t="shared" si="13"/>
        <v>1.4095305064881121</v>
      </c>
      <c r="M22" s="250"/>
      <c r="N22" s="24">
        <v>0</v>
      </c>
      <c r="O22" s="248">
        <f t="shared" si="35"/>
        <v>0.10289900078548864</v>
      </c>
      <c r="P22" s="251">
        <f t="shared" si="36"/>
        <v>0.10289900078548864</v>
      </c>
      <c r="Q22" s="248">
        <f t="shared" si="14"/>
        <v>-7.0102125429331252E-2</v>
      </c>
      <c r="R22" s="251">
        <f t="shared" si="37"/>
        <v>-7.0102125429331252E-2</v>
      </c>
      <c r="S22" s="250"/>
      <c r="T22" s="24">
        <v>1</v>
      </c>
      <c r="U22" s="248">
        <f t="shared" si="15"/>
        <v>-0.20814845313924613</v>
      </c>
      <c r="V22" s="252">
        <f t="shared" si="16"/>
        <v>-0.20814845313924613</v>
      </c>
      <c r="W22" s="248">
        <f t="shared" si="38"/>
        <v>-0.2413739620642813</v>
      </c>
      <c r="X22" s="252">
        <f t="shared" si="17"/>
        <v>-0.2413739620642813</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
        <f>VLOOKUP($A22,historia!$A$5:$CM$24,+HLOOKUP(AO$2,historia!$A$3:$EC$4,2,FALSE),FALSE)</f>
        <v>4</v>
      </c>
      <c r="AP22" s="28">
        <f>VLOOKUP($A22,historia!$A$5:$CM$24,+HLOOKUP(AP$2,historia!$A$3:$EC$4,2,FALSE),FALSE)</f>
        <v>3</v>
      </c>
      <c r="AQ22" s="28">
        <f>VLOOKUP($A22,historia!$A$5:$CM$24,+HLOOKUP(AQ$2,historia!$A$3:$EC$4,2,FALSE),FALSE)</f>
        <v>3</v>
      </c>
      <c r="AR22" s="28">
        <f>VLOOKUP($A22,historia!$A$5:$CM$24,+HLOOKUP(AR$2,historia!$A$3:$EC$4,2,FALSE),FALSE)</f>
        <v>3</v>
      </c>
      <c r="AS22" s="58">
        <f>VLOOKUP($A22,historia!$A$5:$CM$24,+HLOOKUP(AS$2,historia!$A$3:$EC$4,2,FALSE),FALSE)</f>
        <v>4</v>
      </c>
      <c r="AT22" s="58">
        <f>VLOOKUP($A22,historia!$A$5:$CM$24,+HLOOKUP(AT$2,historia!$A$3:$EC$4,2,FALSE),FALSE)</f>
        <v>4</v>
      </c>
      <c r="AU22" s="58">
        <f>VLOOKUP($A22,historia!$A$5:$CM$24,+HLOOKUP(AU$2,historia!$A$3:$EC$4,2,FALSE),FALSE)</f>
        <v>3</v>
      </c>
      <c r="AV22" s="58">
        <f>VLOOKUP($A22,historia!$A$5:$CM$24,+HLOOKUP(AV$2,historia!$A$3:$EC$4,2,FALSE),FALSE)</f>
        <v>2</v>
      </c>
      <c r="AW22" s="58">
        <f>VLOOKUP($A22,historia!$A$5:$CM$24,+HLOOKUP(AW$2,historia!$A$3:$EC$4,2,FALSE),FALSE)</f>
        <v>2</v>
      </c>
      <c r="AX22" s="58">
        <v>2</v>
      </c>
      <c r="AY22" s="58">
        <v>2</v>
      </c>
      <c r="AZ22" s="58">
        <v>2</v>
      </c>
      <c r="BA22" s="30"/>
      <c r="BB22" s="141">
        <v>2</v>
      </c>
      <c r="BC22" t="str">
        <f t="shared" si="20"/>
        <v>Tabaco</v>
      </c>
      <c r="BD22">
        <f>+datos!BJ1</f>
        <v>62</v>
      </c>
      <c r="BE22" s="2" t="str">
        <f t="shared" si="4"/>
        <v>$/kg</v>
      </c>
      <c r="BF22" s="2">
        <f t="shared" si="4"/>
        <v>3675</v>
      </c>
      <c r="BG22" s="2">
        <f t="shared" si="4"/>
        <v>3675</v>
      </c>
      <c r="BH22" s="2">
        <f t="shared" si="4"/>
        <v>866.33</v>
      </c>
      <c r="BJ22">
        <f>+datos!DA1</f>
        <v>105</v>
      </c>
      <c r="BK22" s="2">
        <f t="shared" si="21"/>
        <v>8753.2426000628275</v>
      </c>
      <c r="BL22" s="2">
        <f t="shared" si="21"/>
        <v>8587.7936782656234</v>
      </c>
      <c r="BM22" s="2">
        <f t="shared" si="21"/>
        <v>3090.2864944863636</v>
      </c>
      <c r="BO22" s="1">
        <f>+datos!FD1</f>
        <v>160</v>
      </c>
      <c r="BP22" s="1">
        <f t="shared" si="22"/>
        <v>60376</v>
      </c>
      <c r="BQ22" s="1">
        <f t="shared" si="22"/>
        <v>54743</v>
      </c>
      <c r="BS22" s="1">
        <f>+datos!GX1</f>
        <v>206</v>
      </c>
      <c r="BT22" s="1">
        <f t="shared" si="23"/>
        <v>30804.553</v>
      </c>
      <c r="BU22" s="1">
        <f t="shared" si="23"/>
        <v>33126.813000000002</v>
      </c>
      <c r="BW22" s="1">
        <f>+datos!KC1</f>
        <v>289</v>
      </c>
      <c r="BX22" s="1">
        <f t="shared" si="39"/>
        <v>506.64388818999998</v>
      </c>
      <c r="BY22" s="1">
        <f t="shared" si="40"/>
        <v>639.82180776000007</v>
      </c>
      <c r="CA22" s="1">
        <f>+datos!LH1</f>
        <v>320</v>
      </c>
      <c r="CB22" s="2">
        <f t="shared" si="24"/>
        <v>52.266304599999998</v>
      </c>
      <c r="CC22" s="2">
        <f t="shared" si="25"/>
        <v>68.896006710000009</v>
      </c>
      <c r="CE22" s="1">
        <f>+datos!JD1</f>
        <v>264</v>
      </c>
      <c r="CF22" s="1">
        <f t="shared" si="26"/>
        <v>0</v>
      </c>
      <c r="CG22" s="1">
        <f t="shared" si="27"/>
        <v>0</v>
      </c>
      <c r="CI22" s="1">
        <f t="shared" ref="CI22:CX24" si="43">+VLOOKUP(CI$1,ran_dat,$BW22,FALSE)</f>
        <v>41.640055749999995</v>
      </c>
      <c r="CJ22" s="1">
        <f t="shared" si="43"/>
        <v>54.488227269999996</v>
      </c>
      <c r="CK22" s="1">
        <f t="shared" si="43"/>
        <v>45.888815350000002</v>
      </c>
      <c r="CL22" s="1">
        <f t="shared" si="43"/>
        <v>56.365947810000002</v>
      </c>
      <c r="CM22" s="1">
        <f t="shared" si="43"/>
        <v>58.671597329999997</v>
      </c>
      <c r="CN22" s="1">
        <f t="shared" si="43"/>
        <v>31.625168280000004</v>
      </c>
      <c r="CO22" s="1">
        <f t="shared" si="43"/>
        <v>17.697801470000002</v>
      </c>
      <c r="CP22" s="1">
        <f t="shared" si="43"/>
        <v>30.191481329999998</v>
      </c>
      <c r="CQ22" s="1">
        <f t="shared" si="43"/>
        <v>36.249269399999989</v>
      </c>
      <c r="CR22" s="1">
        <f t="shared" si="43"/>
        <v>40.108989959999995</v>
      </c>
      <c r="CS22" s="1">
        <f t="shared" si="43"/>
        <v>56.890802439999995</v>
      </c>
      <c r="CT22" s="1">
        <f t="shared" si="43"/>
        <v>36.8257318</v>
      </c>
      <c r="CU22" s="1">
        <f t="shared" si="43"/>
        <v>51.381121719999996</v>
      </c>
      <c r="CV22" s="1">
        <f t="shared" si="43"/>
        <v>33.051481680000002</v>
      </c>
      <c r="CW22" s="1">
        <f t="shared" si="43"/>
        <v>60.888504160000004</v>
      </c>
      <c r="CX22" s="1">
        <f t="shared" si="43"/>
        <v>55.773078730000002</v>
      </c>
      <c r="CY22" s="1">
        <f t="shared" ref="CY22:DF24" si="44">+VLOOKUP(CY$1,ran_dat,$BW22,FALSE)</f>
        <v>34.825160650000001</v>
      </c>
      <c r="CZ22" s="1">
        <f t="shared" si="44"/>
        <v>19.014000799999998</v>
      </c>
      <c r="DA22" s="1">
        <f t="shared" si="44"/>
        <v>13.328405800000001</v>
      </c>
      <c r="DB22" s="1">
        <f t="shared" si="44"/>
        <v>41.736807310000003</v>
      </c>
      <c r="DC22" s="1">
        <f t="shared" si="44"/>
        <v>99.771490689999993</v>
      </c>
      <c r="DD22" s="1">
        <f t="shared" si="44"/>
        <v>36.311671529999998</v>
      </c>
      <c r="DE22" s="1">
        <f t="shared" si="44"/>
        <v>57.64022373000001</v>
      </c>
      <c r="DF22" s="1">
        <f t="shared" si="44"/>
        <v>136.09986096</v>
      </c>
      <c r="DH22" s="1">
        <f t="shared" ref="DH22:DW24" si="45">+VLOOKUP(DH$1,ran_dat,$CA22,FALSE)</f>
        <v>5.7062324599999998</v>
      </c>
      <c r="DI22" s="1">
        <f t="shared" si="45"/>
        <v>5.3893107900000006</v>
      </c>
      <c r="DJ22" s="1">
        <f t="shared" si="45"/>
        <v>5.0602291599999996</v>
      </c>
      <c r="DK22" s="1">
        <f t="shared" si="45"/>
        <v>1.1636776099999999</v>
      </c>
      <c r="DL22" s="1">
        <f t="shared" si="45"/>
        <v>4.3331795800000004</v>
      </c>
      <c r="DM22" s="1">
        <f t="shared" si="45"/>
        <v>5.5991701699999998</v>
      </c>
      <c r="DN22" s="1">
        <f t="shared" si="45"/>
        <v>5.1284923700000009</v>
      </c>
      <c r="DO22" s="1">
        <f t="shared" si="45"/>
        <v>4.8853449399999995</v>
      </c>
      <c r="DP22" s="1">
        <f t="shared" si="45"/>
        <v>4.5019780499999991</v>
      </c>
      <c r="DQ22" s="1">
        <f t="shared" si="45"/>
        <v>3.2870284000000001</v>
      </c>
      <c r="DR22" s="1">
        <f t="shared" si="45"/>
        <v>2.2553329799999999</v>
      </c>
      <c r="DS22" s="1">
        <f t="shared" si="45"/>
        <v>4.9563280900000004</v>
      </c>
      <c r="DT22" s="1">
        <f t="shared" si="45"/>
        <v>5.4312745199999997</v>
      </c>
      <c r="DU22" s="1">
        <f t="shared" si="45"/>
        <v>5.9427570699999999</v>
      </c>
      <c r="DV22" s="1">
        <f t="shared" si="45"/>
        <v>7.0989514199999997</v>
      </c>
      <c r="DW22" s="1">
        <f t="shared" si="45"/>
        <v>8.0901624599999984</v>
      </c>
      <c r="DX22" s="1">
        <f t="shared" si="41"/>
        <v>8.5152603000000013</v>
      </c>
      <c r="DY22" s="1">
        <f t="shared" si="41"/>
        <v>6.4262316399999984</v>
      </c>
      <c r="DZ22" s="1">
        <f t="shared" si="41"/>
        <v>5.5724239500000001</v>
      </c>
      <c r="EA22" s="1">
        <f t="shared" si="41"/>
        <v>6.0969073500000004</v>
      </c>
      <c r="EB22" s="1">
        <f t="shared" si="41"/>
        <v>3.8674547000000001</v>
      </c>
      <c r="EC22" s="1">
        <f t="shared" si="41"/>
        <v>3.6075394200000002</v>
      </c>
      <c r="ED22" s="1">
        <f t="shared" si="41"/>
        <v>4.0127527599999997</v>
      </c>
      <c r="EE22" s="1">
        <f t="shared" si="41"/>
        <v>4.23429112</v>
      </c>
      <c r="EG22" s="14">
        <f t="shared" ref="EG22:EV24" si="46">+VLOOKUP(EG$1,ran_dat,$CE22,FALSE)</f>
        <v>0</v>
      </c>
      <c r="EH22" s="14">
        <f t="shared" si="46"/>
        <v>0</v>
      </c>
      <c r="EI22" s="1">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2"/>
        <v>0</v>
      </c>
      <c r="EX22" s="1">
        <f t="shared" si="42"/>
        <v>0</v>
      </c>
      <c r="EY22" s="1">
        <f t="shared" si="42"/>
        <v>0</v>
      </c>
      <c r="EZ22" s="1">
        <f t="shared" si="42"/>
        <v>0</v>
      </c>
      <c r="FA22" s="1">
        <f t="shared" si="42"/>
        <v>0</v>
      </c>
      <c r="FB22" s="1">
        <f t="shared" si="42"/>
        <v>0</v>
      </c>
      <c r="FC22" s="1">
        <f t="shared" si="42"/>
        <v>0</v>
      </c>
      <c r="FD22" s="1">
        <f t="shared" si="42"/>
        <v>0</v>
      </c>
      <c r="FF22" s="162">
        <f t="shared" si="34"/>
        <v>1.4095305064881121</v>
      </c>
    </row>
    <row r="23" spans="1:162" ht="18.75" customHeight="1">
      <c r="A23" s="244" t="s">
        <v>219</v>
      </c>
      <c r="B23" s="247"/>
      <c r="C23" s="228">
        <f t="shared" si="5"/>
        <v>-0.99</v>
      </c>
      <c r="D23" s="229">
        <v>-1</v>
      </c>
      <c r="E23" s="253">
        <f t="shared" si="6"/>
        <v>-8.4963660060830004E-2</v>
      </c>
      <c r="F23" s="254">
        <f t="shared" si="7"/>
        <v>-0.111893541277308</v>
      </c>
      <c r="G23" s="253">
        <f t="shared" si="8"/>
        <v>2.8230253599488941E-2</v>
      </c>
      <c r="H23" s="254">
        <f t="shared" si="9"/>
        <v>-0.11319391366031895</v>
      </c>
      <c r="I23" s="253">
        <f t="shared" si="10"/>
        <v>1.0915158709284012</v>
      </c>
      <c r="J23" s="254">
        <f t="shared" si="11"/>
        <v>-0.83842043480408268</v>
      </c>
      <c r="K23" s="253">
        <f t="shared" si="12"/>
        <v>1.6857970030359857</v>
      </c>
      <c r="L23" s="254">
        <f t="shared" si="13"/>
        <v>-0.59428113210758449</v>
      </c>
      <c r="M23" s="255"/>
      <c r="N23" s="256">
        <v>-2</v>
      </c>
      <c r="O23" s="253">
        <f t="shared" si="35"/>
        <v>-2.3925173422115087E-2</v>
      </c>
      <c r="P23" s="257">
        <f t="shared" si="36"/>
        <v>-2.3925173422115087E-2</v>
      </c>
      <c r="Q23" s="253">
        <f t="shared" si="14"/>
        <v>0.31859999476400835</v>
      </c>
      <c r="R23" s="257">
        <f t="shared" si="37"/>
        <v>0.31859999476400835</v>
      </c>
      <c r="S23" s="255"/>
      <c r="T23" s="256">
        <v>0</v>
      </c>
      <c r="U23" s="253">
        <f t="shared" si="15"/>
        <v>9.9789927979895499E-2</v>
      </c>
      <c r="V23" s="258">
        <f t="shared" si="16"/>
        <v>9.9789927979895499E-2</v>
      </c>
      <c r="W23" s="253">
        <f t="shared" si="38"/>
        <v>-7.5994825317275971E-3</v>
      </c>
      <c r="X23" s="258">
        <f t="shared" si="17"/>
        <v>-7.5994825317275971E-3</v>
      </c>
      <c r="Y23" s="253">
        <f t="shared" si="18"/>
        <v>-2.39520958083832E-2</v>
      </c>
      <c r="Z23" s="258">
        <f t="shared" si="19"/>
        <v>-2.39520958083832E-2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
        <f>VLOOKUP($A23,historia!$A$5:$CM$24,+HLOOKUP(AO$2,historia!$A$3:$EC$4,2,FALSE),FALSE)</f>
        <v>5</v>
      </c>
      <c r="AP23" s="28">
        <f>VLOOKUP($A23,historia!$A$5:$CM$24,+HLOOKUP(AP$2,historia!$A$3:$EC$4,2,FALSE),FALSE)</f>
        <v>5</v>
      </c>
      <c r="AQ23" s="28">
        <f>VLOOKUP($A23,historia!$A$5:$CM$24,+HLOOKUP(AQ$2,historia!$A$3:$EC$4,2,FALSE),FALSE)</f>
        <v>5</v>
      </c>
      <c r="AR23" s="28">
        <f>VLOOKUP($A23,historia!$A$5:$CM$24,+HLOOKUP(AR$2,historia!$A$3:$EC$4,2,FALSE),FALSE)</f>
        <v>5</v>
      </c>
      <c r="AS23" s="5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4</v>
      </c>
      <c r="AX23" s="58">
        <v>4</v>
      </c>
      <c r="AY23" s="58">
        <v>4</v>
      </c>
      <c r="AZ23" s="58">
        <v>4</v>
      </c>
      <c r="BA23" s="30"/>
      <c r="BB23" s="141">
        <v>4</v>
      </c>
      <c r="BC23" t="str">
        <f t="shared" si="20"/>
        <v>Vino y Mosto</v>
      </c>
      <c r="BD23">
        <f>+datos!AM1</f>
        <v>39</v>
      </c>
      <c r="BE23" s="2" t="str">
        <f t="shared" si="4"/>
        <v>$/l</v>
      </c>
      <c r="BF23" s="2">
        <f t="shared" si="4"/>
        <v>346.4</v>
      </c>
      <c r="BG23" s="2">
        <f t="shared" si="4"/>
        <v>378.56420000000003</v>
      </c>
      <c r="BH23" s="2">
        <f t="shared" si="4"/>
        <v>165.62150200000002</v>
      </c>
      <c r="BJ23">
        <f>+datos!CP1</f>
        <v>94</v>
      </c>
      <c r="BK23" s="2">
        <f t="shared" si="21"/>
        <v>10147.24887214535</v>
      </c>
      <c r="BL23" s="2">
        <f t="shared" si="21"/>
        <v>9868.6542597081134</v>
      </c>
      <c r="BM23" s="2">
        <f t="shared" si="21"/>
        <v>3778.1146008708211</v>
      </c>
      <c r="BO23" s="1">
        <f>+datos!EF1</f>
        <v>136</v>
      </c>
      <c r="BP23" s="1">
        <f t="shared" si="22"/>
        <v>199946</v>
      </c>
      <c r="BQ23" s="1">
        <f t="shared" si="22"/>
        <v>204847</v>
      </c>
      <c r="BS23" s="1">
        <f>+datos!GB1</f>
        <v>184</v>
      </c>
      <c r="BT23" s="1">
        <f t="shared" si="23"/>
        <v>19189740</v>
      </c>
      <c r="BU23" s="1">
        <f t="shared" si="23"/>
        <v>14553117</v>
      </c>
      <c r="BW23" s="1">
        <f>+datos!JU1</f>
        <v>281</v>
      </c>
      <c r="BX23" s="1">
        <f t="shared" si="39"/>
        <v>969.42706598999996</v>
      </c>
      <c r="BY23" s="1">
        <f t="shared" si="40"/>
        <v>881.46567024000001</v>
      </c>
      <c r="CA23" s="1">
        <f>+datos!KZ1</f>
        <v>312</v>
      </c>
      <c r="CB23" s="2">
        <f t="shared" si="24"/>
        <v>16.72930465</v>
      </c>
      <c r="CC23" s="2">
        <f t="shared" si="25"/>
        <v>16.85741226</v>
      </c>
      <c r="CE23" s="1">
        <f>+datos!IQ1</f>
        <v>251</v>
      </c>
      <c r="CF23" s="1">
        <f t="shared" si="26"/>
        <v>16.3</v>
      </c>
      <c r="CG23" s="1">
        <f t="shared" si="27"/>
        <v>16.7</v>
      </c>
      <c r="CI23" s="1">
        <f t="shared" si="43"/>
        <v>88.790830600000021</v>
      </c>
      <c r="CJ23" s="1">
        <f t="shared" si="43"/>
        <v>106.11166329999998</v>
      </c>
      <c r="CK23" s="1">
        <f t="shared" si="43"/>
        <v>99.074693340000039</v>
      </c>
      <c r="CL23" s="1">
        <f t="shared" si="43"/>
        <v>115.95052356999999</v>
      </c>
      <c r="CM23" s="1">
        <f t="shared" si="43"/>
        <v>55.887516779999999</v>
      </c>
      <c r="CN23" s="1">
        <f t="shared" si="43"/>
        <v>84.428757199999993</v>
      </c>
      <c r="CO23" s="1">
        <f t="shared" si="43"/>
        <v>70.799436420000006</v>
      </c>
      <c r="CP23" s="1">
        <f t="shared" si="43"/>
        <v>83.547570889999989</v>
      </c>
      <c r="CQ23" s="1">
        <f t="shared" si="43"/>
        <v>59.429446169999991</v>
      </c>
      <c r="CR23" s="1">
        <f t="shared" si="43"/>
        <v>57.397509530000008</v>
      </c>
      <c r="CS23" s="1">
        <f t="shared" si="43"/>
        <v>71.762443020000006</v>
      </c>
      <c r="CT23" s="1">
        <f t="shared" si="43"/>
        <v>76.246675170000003</v>
      </c>
      <c r="CU23" s="1">
        <f t="shared" si="43"/>
        <v>81.396405279999982</v>
      </c>
      <c r="CV23" s="1">
        <f t="shared" si="43"/>
        <v>86.673250950000011</v>
      </c>
      <c r="CW23" s="1">
        <f t="shared" si="43"/>
        <v>67.769583350000005</v>
      </c>
      <c r="CX23" s="1">
        <f t="shared" si="43"/>
        <v>79.411450110000018</v>
      </c>
      <c r="CY23" s="1">
        <f t="shared" si="44"/>
        <v>61.526627820000002</v>
      </c>
      <c r="CZ23" s="1">
        <f t="shared" si="44"/>
        <v>82.508437450000031</v>
      </c>
      <c r="DA23" s="1">
        <f t="shared" si="44"/>
        <v>73.17738731</v>
      </c>
      <c r="DB23" s="1">
        <f t="shared" si="44"/>
        <v>70.498219510000013</v>
      </c>
      <c r="DC23" s="1">
        <f t="shared" si="44"/>
        <v>58.070113270000007</v>
      </c>
      <c r="DD23" s="1">
        <f t="shared" si="44"/>
        <v>66.649594010000001</v>
      </c>
      <c r="DE23" s="1">
        <f t="shared" si="44"/>
        <v>76.334805869999997</v>
      </c>
      <c r="DF23" s="1">
        <f t="shared" si="44"/>
        <v>77.449795309999999</v>
      </c>
      <c r="DH23" s="1">
        <f t="shared" si="45"/>
        <v>2.9628047099999995</v>
      </c>
      <c r="DI23" s="1">
        <f t="shared" si="45"/>
        <v>2.4415022799999999</v>
      </c>
      <c r="DJ23" s="1">
        <f t="shared" si="45"/>
        <v>2.4186424700000004</v>
      </c>
      <c r="DK23" s="1">
        <f t="shared" si="45"/>
        <v>2.3161338599999999</v>
      </c>
      <c r="DL23" s="1">
        <f t="shared" si="45"/>
        <v>0.34545517000000003</v>
      </c>
      <c r="DM23" s="1">
        <f t="shared" si="45"/>
        <v>1.3068112300000001</v>
      </c>
      <c r="DN23" s="1">
        <f t="shared" si="45"/>
        <v>1.01985657</v>
      </c>
      <c r="DO23" s="1">
        <f t="shared" si="45"/>
        <v>0.49471243999999998</v>
      </c>
      <c r="DP23" s="1">
        <f t="shared" si="45"/>
        <v>0.76659119999999992</v>
      </c>
      <c r="DQ23" s="1">
        <f t="shared" si="45"/>
        <v>0.41683354000000006</v>
      </c>
      <c r="DR23" s="1">
        <f t="shared" si="45"/>
        <v>1.01193058</v>
      </c>
      <c r="DS23" s="1">
        <f t="shared" si="45"/>
        <v>1.2280305999999999</v>
      </c>
      <c r="DT23" s="1">
        <f t="shared" si="45"/>
        <v>1.7214946800000002</v>
      </c>
      <c r="DU23" s="1">
        <f t="shared" si="45"/>
        <v>1.3147188099999998</v>
      </c>
      <c r="DV23" s="1">
        <f t="shared" si="45"/>
        <v>1.8704580099999999</v>
      </c>
      <c r="DW23" s="1">
        <f t="shared" si="45"/>
        <v>1.2166211999999998</v>
      </c>
      <c r="DX23" s="1">
        <f t="shared" si="41"/>
        <v>1.2618213600000001</v>
      </c>
      <c r="DY23" s="1">
        <f t="shared" si="41"/>
        <v>2.6711612799999997</v>
      </c>
      <c r="DZ23" s="1">
        <f t="shared" si="41"/>
        <v>1.8665371000000002</v>
      </c>
      <c r="EA23" s="1">
        <f t="shared" si="41"/>
        <v>1.1160735099999999</v>
      </c>
      <c r="EB23" s="1">
        <f t="shared" si="41"/>
        <v>0.32453726999999999</v>
      </c>
      <c r="EC23" s="1">
        <f t="shared" si="41"/>
        <v>0.12503209999999998</v>
      </c>
      <c r="ED23" s="1">
        <f t="shared" si="41"/>
        <v>0.47826376000000004</v>
      </c>
      <c r="EE23" s="1">
        <f t="shared" si="41"/>
        <v>2.89069318</v>
      </c>
      <c r="EG23" s="14">
        <f t="shared" si="46"/>
        <v>16.3</v>
      </c>
      <c r="EH23" s="14">
        <f t="shared" si="46"/>
        <v>16.3</v>
      </c>
      <c r="EI23" s="1">
        <f t="shared" si="46"/>
        <v>16.3</v>
      </c>
      <c r="EJ23" s="1">
        <f t="shared" si="46"/>
        <v>16.3</v>
      </c>
      <c r="EK23" s="1">
        <f t="shared" si="46"/>
        <v>16.3</v>
      </c>
      <c r="EL23" s="1">
        <f t="shared" si="46"/>
        <v>16.3</v>
      </c>
      <c r="EM23" s="1">
        <f t="shared" si="46"/>
        <v>16.3</v>
      </c>
      <c r="EN23" s="1">
        <f t="shared" si="46"/>
        <v>16.3</v>
      </c>
      <c r="EO23" s="1">
        <f t="shared" si="46"/>
        <v>16.3</v>
      </c>
      <c r="EP23" s="1">
        <f t="shared" si="46"/>
        <v>16.3</v>
      </c>
      <c r="EQ23" s="1">
        <f t="shared" si="46"/>
        <v>16.7</v>
      </c>
      <c r="ER23" s="1">
        <f t="shared" si="46"/>
        <v>16.7</v>
      </c>
      <c r="ES23" s="1">
        <f t="shared" si="46"/>
        <v>16.7</v>
      </c>
      <c r="ET23" s="1">
        <f t="shared" si="46"/>
        <v>16.7</v>
      </c>
      <c r="EU23" s="1">
        <f t="shared" si="46"/>
        <v>16.7</v>
      </c>
      <c r="EV23" s="1">
        <f t="shared" si="46"/>
        <v>16.7</v>
      </c>
      <c r="EW23" s="1">
        <f t="shared" si="42"/>
        <v>16.7</v>
      </c>
      <c r="EX23" s="1">
        <f t="shared" si="42"/>
        <v>16.7</v>
      </c>
      <c r="EY23" s="1">
        <f t="shared" si="42"/>
        <v>16.7</v>
      </c>
      <c r="EZ23" s="1">
        <f t="shared" si="42"/>
        <v>16.7</v>
      </c>
      <c r="FA23" s="1">
        <f t="shared" si="42"/>
        <v>16.7</v>
      </c>
      <c r="FB23" s="1">
        <f t="shared" si="42"/>
        <v>16.7</v>
      </c>
      <c r="FC23" s="1">
        <f t="shared" si="42"/>
        <v>18</v>
      </c>
      <c r="FD23" s="1">
        <f t="shared" si="42"/>
        <v>18</v>
      </c>
      <c r="FF23" s="162">
        <f t="shared" si="34"/>
        <v>-0.59428113210758449</v>
      </c>
    </row>
    <row r="24" spans="1:162" ht="18.75" customHeight="1">
      <c r="A24" s="243" t="s">
        <v>39</v>
      </c>
      <c r="B24" s="246"/>
      <c r="C24" s="156">
        <f t="shared" si="5"/>
        <v>-0.65999999999999992</v>
      </c>
      <c r="D24" s="198">
        <v>-3</v>
      </c>
      <c r="E24" s="248">
        <f t="shared" si="6"/>
        <v>0</v>
      </c>
      <c r="F24" s="249">
        <f t="shared" si="7"/>
        <v>-2.6929881216477991E-2</v>
      </c>
      <c r="G24" s="248">
        <f t="shared" si="8"/>
        <v>2.0127483979643035E-2</v>
      </c>
      <c r="H24" s="249">
        <f t="shared" si="9"/>
        <v>-2.0127483979643035E-2</v>
      </c>
      <c r="I24" s="248">
        <f t="shared" si="10"/>
        <v>0.23996221067548418</v>
      </c>
      <c r="J24" s="249">
        <f t="shared" si="11"/>
        <v>-1.6899740950569997</v>
      </c>
      <c r="K24" s="248">
        <f t="shared" si="12"/>
        <v>1.7416107729493095</v>
      </c>
      <c r="L24" s="249">
        <f t="shared" si="13"/>
        <v>-1.5016485622738254</v>
      </c>
      <c r="M24" s="250"/>
      <c r="N24" s="24">
        <v>1</v>
      </c>
      <c r="O24" s="248">
        <f t="shared" si="35"/>
        <v>3.6432873308666736E-2</v>
      </c>
      <c r="P24" s="251">
        <f t="shared" si="36"/>
        <v>3.6432873308666736E-2</v>
      </c>
      <c r="Q24" s="248">
        <f t="shared" si="14"/>
        <v>0.33824961611749349</v>
      </c>
      <c r="R24" s="251">
        <f t="shared" si="37"/>
        <v>0.33824961611749349</v>
      </c>
      <c r="S24" s="250"/>
      <c r="T24" s="24">
        <v>0</v>
      </c>
      <c r="U24" s="248">
        <f t="shared" si="15"/>
        <v>1.7041043060468386E-3</v>
      </c>
      <c r="V24" s="252">
        <f t="shared" si="16"/>
        <v>1.7041043060468386E-3</v>
      </c>
      <c r="W24" s="248">
        <f t="shared" si="38"/>
        <v>0.85885303560006077</v>
      </c>
      <c r="X24" s="258">
        <f t="shared" si="17"/>
        <v>0.85885303560006077</v>
      </c>
      <c r="Y24" s="248">
        <f t="shared" si="18"/>
        <v>-9.2922519141609095E-2</v>
      </c>
      <c r="Z24" s="252">
        <f t="shared" si="19"/>
        <v>-9.2922519141609095E-2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
        <f>VLOOKUP($A24,historia!$A$5:$CM$24,+HLOOKUP(AO$2,historia!$A$3:$EC$4,2,FALSE),FALSE)</f>
        <v>2</v>
      </c>
      <c r="AP24" s="28">
        <f>VLOOKUP($A24,historia!$A$5:$CM$24,+HLOOKUP(AP$2,historia!$A$3:$EC$4,2,FALSE),FALSE)</f>
        <v>3</v>
      </c>
      <c r="AQ24" s="28">
        <f>VLOOKUP($A24,historia!$A$5:$CM$24,+HLOOKUP(AQ$2,historia!$A$3:$EC$4,2,FALSE),FALSE)</f>
        <v>2</v>
      </c>
      <c r="AR24" s="28">
        <f>VLOOKUP($A24,historia!$A$5:$CM$24,+HLOOKUP(AR$2,historia!$A$3:$EC$4,2,FALSE),FALSE)</f>
        <v>2</v>
      </c>
      <c r="AS24" s="58">
        <f>VLOOKUP($A24,historia!$A$5:$CM$24,+HLOOKUP(AS$2,historia!$A$3:$EC$4,2,FALSE),FALSE)</f>
        <v>2</v>
      </c>
      <c r="AT24" s="58">
        <f>VLOOKUP($A24,historia!$A$5:$CM$24,+HLOOKUP(AT$2,historia!$A$3:$EC$4,2,FALSE),FALSE)</f>
        <v>4</v>
      </c>
      <c r="AU24" s="58">
        <f>VLOOKUP($A24,historia!$A$5:$CM$24,+HLOOKUP(AU$2,historia!$A$3:$EC$4,2,FALSE),FALSE)</f>
        <v>4</v>
      </c>
      <c r="AV24" s="58">
        <f>VLOOKUP($A24,historia!$A$5:$CM$24,+HLOOKUP(AV$2,historia!$A$3:$EC$4,2,FALSE),FALSE)</f>
        <v>4</v>
      </c>
      <c r="AW24" s="58">
        <f>VLOOKUP($A24,historia!$A$5:$CM$24,+HLOOKUP(AW$2,historia!$A$3:$EC$4,2,FALSE),FALSE)</f>
        <v>4</v>
      </c>
      <c r="AX24" s="58">
        <v>4</v>
      </c>
      <c r="AY24" s="58">
        <v>4</v>
      </c>
      <c r="AZ24" s="58">
        <v>4</v>
      </c>
      <c r="BA24" s="30"/>
      <c r="BB24" s="141">
        <v>4</v>
      </c>
      <c r="BC24" t="str">
        <f t="shared" si="20"/>
        <v>Yerba Mate</v>
      </c>
      <c r="BD24">
        <f>+datos!AG1</f>
        <v>33</v>
      </c>
      <c r="BE24" s="2" t="str">
        <f t="shared" si="4"/>
        <v>$/t</v>
      </c>
      <c r="BF24" s="2">
        <f t="shared" si="4"/>
        <v>210000</v>
      </c>
      <c r="BG24" s="2">
        <f t="shared" si="4"/>
        <v>210000</v>
      </c>
      <c r="BH24" s="2">
        <f t="shared" si="4"/>
        <v>169360</v>
      </c>
      <c r="BJ24">
        <f>+datos!CY1</f>
        <v>103</v>
      </c>
      <c r="BK24" s="2">
        <f t="shared" si="21"/>
        <v>8463.1439859001566</v>
      </c>
      <c r="BL24" s="2">
        <f t="shared" si="21"/>
        <v>8296.163096091077</v>
      </c>
      <c r="BM24" s="2">
        <f t="shared" si="21"/>
        <v>3086.9239606889428</v>
      </c>
      <c r="BO24" s="1">
        <f>+datos!ED1</f>
        <v>134</v>
      </c>
      <c r="BP24" s="1">
        <f t="shared" si="22"/>
        <v>230256</v>
      </c>
      <c r="BQ24" s="1">
        <f t="shared" si="22"/>
        <v>222162</v>
      </c>
      <c r="BS24" s="1">
        <f>+datos!FZ1</f>
        <v>182</v>
      </c>
      <c r="BT24" s="1">
        <f t="shared" si="23"/>
        <v>1006571.5</v>
      </c>
      <c r="BU24" s="1">
        <f t="shared" si="23"/>
        <v>752155.26899999997</v>
      </c>
      <c r="BW24" s="1">
        <f>+datos!KD1</f>
        <v>290</v>
      </c>
      <c r="BX24" s="1">
        <f t="shared" si="39"/>
        <v>112.65993166</v>
      </c>
      <c r="BY24" s="1">
        <f t="shared" si="40"/>
        <v>112.46827398999999</v>
      </c>
      <c r="CA24" s="1">
        <f>+datos!LI1</f>
        <v>321</v>
      </c>
      <c r="CB24" s="2">
        <f t="shared" si="24"/>
        <v>23.048790069999999</v>
      </c>
      <c r="CC24" s="2">
        <f t="shared" si="25"/>
        <v>12.39946872</v>
      </c>
      <c r="CE24" s="1">
        <f>+datos!IP1</f>
        <v>250</v>
      </c>
      <c r="CF24" s="1">
        <f t="shared" si="26"/>
        <v>5.5693606783423002</v>
      </c>
      <c r="CG24" s="1">
        <f t="shared" si="27"/>
        <v>6.139895208369488</v>
      </c>
      <c r="CI24" s="1">
        <f t="shared" si="43"/>
        <v>11.361751129999998</v>
      </c>
      <c r="CJ24" s="1">
        <f t="shared" si="43"/>
        <v>10.05873476</v>
      </c>
      <c r="CK24" s="1">
        <f t="shared" si="43"/>
        <v>9.4659040999999995</v>
      </c>
      <c r="CL24" s="1">
        <f t="shared" si="43"/>
        <v>8.3006057400000017</v>
      </c>
      <c r="CM24" s="1">
        <f t="shared" si="43"/>
        <v>11.077079630000002</v>
      </c>
      <c r="CN24" s="1">
        <f t="shared" si="43"/>
        <v>7.2906957700000001</v>
      </c>
      <c r="CO24" s="1">
        <f t="shared" si="43"/>
        <v>8.852789640000001</v>
      </c>
      <c r="CP24" s="1">
        <f t="shared" si="43"/>
        <v>12.408222910000001</v>
      </c>
      <c r="CQ24" s="1">
        <f t="shared" si="43"/>
        <v>8.8663402400000013</v>
      </c>
      <c r="CR24" s="1">
        <f t="shared" si="43"/>
        <v>9.2397224899999983</v>
      </c>
      <c r="CS24" s="1">
        <f t="shared" si="43"/>
        <v>7.1224329199999996</v>
      </c>
      <c r="CT24" s="1">
        <f t="shared" si="43"/>
        <v>8.6156523299999996</v>
      </c>
      <c r="CU24" s="1">
        <f t="shared" si="43"/>
        <v>10.17972451</v>
      </c>
      <c r="CV24" s="1">
        <f t="shared" si="43"/>
        <v>11.833514059999999</v>
      </c>
      <c r="CW24" s="1">
        <f t="shared" si="43"/>
        <v>8.6649559600000003</v>
      </c>
      <c r="CX24" s="1">
        <f t="shared" si="43"/>
        <v>8.6995030900000003</v>
      </c>
      <c r="CY24" s="1">
        <f t="shared" si="44"/>
        <v>9.3876240000000006</v>
      </c>
      <c r="CZ24" s="1">
        <f t="shared" si="44"/>
        <v>8.6499339499999994</v>
      </c>
      <c r="DA24" s="1">
        <f t="shared" si="44"/>
        <v>10.5511423</v>
      </c>
      <c r="DB24" s="1">
        <f t="shared" si="44"/>
        <v>12.484662230000001</v>
      </c>
      <c r="DC24" s="1">
        <f t="shared" si="44"/>
        <v>8.9774099899999982</v>
      </c>
      <c r="DD24" s="1">
        <f t="shared" si="44"/>
        <v>3.3752363299999999</v>
      </c>
      <c r="DE24" s="1">
        <f t="shared" si="44"/>
        <v>8.5781493200000014</v>
      </c>
      <c r="DF24" s="1">
        <f t="shared" si="44"/>
        <v>11.086418249999999</v>
      </c>
      <c r="DH24" s="1">
        <f t="shared" si="45"/>
        <v>2.6101839400000002</v>
      </c>
      <c r="DI24" s="1">
        <f t="shared" si="45"/>
        <v>1.2494588400000002</v>
      </c>
      <c r="DJ24" s="1">
        <f t="shared" si="45"/>
        <v>0.60028256999999996</v>
      </c>
      <c r="DK24" s="1">
        <f t="shared" si="45"/>
        <v>1.7316709800000001</v>
      </c>
      <c r="DL24" s="1">
        <f t="shared" si="45"/>
        <v>1.1554743999999999</v>
      </c>
      <c r="DM24" s="1">
        <f t="shared" si="45"/>
        <v>1.50586095</v>
      </c>
      <c r="DN24" s="1">
        <f t="shared" si="45"/>
        <v>3.2398820599999998</v>
      </c>
      <c r="DO24" s="1">
        <f t="shared" si="45"/>
        <v>3.1775986299999999</v>
      </c>
      <c r="DP24" s="1">
        <f t="shared" si="45"/>
        <v>2.4176205400000002</v>
      </c>
      <c r="DQ24" s="1">
        <f t="shared" si="45"/>
        <v>1.0621514699999999</v>
      </c>
      <c r="DR24" s="1">
        <f t="shared" si="45"/>
        <v>1.8796713600000001</v>
      </c>
      <c r="DS24" s="1">
        <f t="shared" si="45"/>
        <v>2.4189343299999999</v>
      </c>
      <c r="DT24" s="1">
        <f t="shared" si="45"/>
        <v>2.31537419</v>
      </c>
      <c r="DU24" s="1">
        <f t="shared" si="45"/>
        <v>1.6581343500000001</v>
      </c>
      <c r="DV24" s="1">
        <f t="shared" si="45"/>
        <v>1.1317222</v>
      </c>
      <c r="DW24" s="1">
        <f t="shared" si="45"/>
        <v>1.25031731</v>
      </c>
      <c r="DX24" s="1">
        <f t="shared" si="41"/>
        <v>1.1220479999999999</v>
      </c>
      <c r="DY24" s="1">
        <f t="shared" si="41"/>
        <v>1.06290057</v>
      </c>
      <c r="DZ24" s="1">
        <f t="shared" si="41"/>
        <v>0.94532128999999998</v>
      </c>
      <c r="EA24" s="1">
        <f t="shared" si="41"/>
        <v>0.74918092999999997</v>
      </c>
      <c r="EB24" s="1">
        <f t="shared" si="41"/>
        <v>0.38311624</v>
      </c>
      <c r="EC24" s="1">
        <f t="shared" si="41"/>
        <v>0.75479300000000005</v>
      </c>
      <c r="ED24" s="1">
        <f t="shared" si="41"/>
        <v>0.25391999999999998</v>
      </c>
      <c r="EE24" s="1">
        <f t="shared" si="41"/>
        <v>0.77264063999999999</v>
      </c>
      <c r="EG24" s="14">
        <f t="shared" si="46"/>
        <v>5.5693606783423002</v>
      </c>
      <c r="EH24" s="14">
        <f t="shared" si="46"/>
        <v>5.5693606783423002</v>
      </c>
      <c r="EI24" s="1">
        <f t="shared" si="46"/>
        <v>5.5693606783423002</v>
      </c>
      <c r="EJ24" s="1">
        <f t="shared" si="46"/>
        <v>5.5693606783423002</v>
      </c>
      <c r="EK24" s="1">
        <f t="shared" si="46"/>
        <v>5.5693606783423002</v>
      </c>
      <c r="EL24" s="1">
        <f t="shared" si="46"/>
        <v>5.5693606783423002</v>
      </c>
      <c r="EM24" s="1">
        <f t="shared" si="46"/>
        <v>5.5693606783423002</v>
      </c>
      <c r="EN24" s="1">
        <f t="shared" si="46"/>
        <v>5.5693606783423002</v>
      </c>
      <c r="EO24" s="1">
        <f t="shared" si="46"/>
        <v>5.5693606783423002</v>
      </c>
      <c r="EP24" s="1">
        <f t="shared" si="46"/>
        <v>5.5693606783423002</v>
      </c>
      <c r="EQ24" s="1">
        <f t="shared" si="46"/>
        <v>6.139895208369488</v>
      </c>
      <c r="ER24" s="1">
        <f t="shared" si="46"/>
        <v>6.139895208369488</v>
      </c>
      <c r="ES24" s="1">
        <f t="shared" si="46"/>
        <v>6.139895208369488</v>
      </c>
      <c r="ET24" s="1">
        <f t="shared" si="46"/>
        <v>6.139895208369488</v>
      </c>
      <c r="EU24" s="1">
        <f t="shared" si="46"/>
        <v>6.139895208369488</v>
      </c>
      <c r="EV24" s="1">
        <f t="shared" si="46"/>
        <v>6.139895208369488</v>
      </c>
      <c r="EW24" s="1">
        <f t="shared" si="42"/>
        <v>6.139895208369488</v>
      </c>
      <c r="EX24" s="1">
        <f t="shared" si="42"/>
        <v>6.139895208369488</v>
      </c>
      <c r="EY24" s="1">
        <f t="shared" si="42"/>
        <v>6.139895208369488</v>
      </c>
      <c r="EZ24" s="1">
        <f t="shared" si="42"/>
        <v>6.139895208369488</v>
      </c>
      <c r="FA24" s="1">
        <f t="shared" si="42"/>
        <v>6.139895208369488</v>
      </c>
      <c r="FB24" s="1">
        <f t="shared" si="42"/>
        <v>6.139895208369488</v>
      </c>
      <c r="FC24" s="1">
        <f t="shared" si="42"/>
        <v>5.9356067942694777</v>
      </c>
      <c r="FD24" s="1">
        <f t="shared" si="42"/>
        <v>5.9356067942694777</v>
      </c>
      <c r="FF24" s="162">
        <f t="shared" si="34"/>
        <v>-1.5016485622738254</v>
      </c>
    </row>
    <row r="25" spans="1:162"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S25" s="58"/>
      <c r="AT25" s="58"/>
      <c r="AU25" s="58"/>
      <c r="AV25" s="58"/>
      <c r="AW25" s="58"/>
      <c r="AX25" s="58"/>
      <c r="AY25" s="58"/>
      <c r="AZ25" s="58"/>
      <c r="BA25" s="30"/>
      <c r="BE25" s="2"/>
      <c r="BF25" s="2"/>
      <c r="BG25" s="2"/>
      <c r="BH25" s="2"/>
      <c r="BK25" s="2"/>
      <c r="BL25" s="2"/>
      <c r="BM25" s="2"/>
      <c r="BO25" s="1"/>
      <c r="BP25" s="1"/>
      <c r="BQ25" s="1"/>
      <c r="BS25" s="1"/>
      <c r="BT25" s="1"/>
      <c r="BU25" s="1"/>
      <c r="BW25" s="1"/>
      <c r="BX25" s="1"/>
      <c r="BY25" s="1"/>
      <c r="CA25" s="1"/>
      <c r="CB25" s="2"/>
      <c r="CC25" s="2"/>
      <c r="CE25" s="1"/>
      <c r="CF25" s="1"/>
      <c r="CG25" s="1"/>
      <c r="CI25" s="1"/>
      <c r="CJ25" s="1"/>
      <c r="CK25" s="1"/>
      <c r="CL25" s="1"/>
      <c r="CM25" s="1"/>
      <c r="CN25" s="1"/>
      <c r="CO25" s="1"/>
      <c r="CP25" s="1"/>
      <c r="CQ25" s="1"/>
      <c r="CR25" s="1"/>
      <c r="CS25" s="1"/>
      <c r="CT25" s="1"/>
      <c r="CU25" s="1"/>
      <c r="CV25" s="1"/>
      <c r="CW25" s="1"/>
      <c r="CX25" s="1"/>
      <c r="CY25" s="1"/>
      <c r="CZ25" s="1"/>
      <c r="DA25" s="1"/>
      <c r="DB25" s="1"/>
      <c r="DC25" s="1"/>
      <c r="DD25" s="1"/>
      <c r="DE25" s="1"/>
      <c r="DF25" s="1"/>
      <c r="DH25" s="1"/>
      <c r="DI25" s="1"/>
      <c r="DJ25" s="1"/>
      <c r="DK25" s="1"/>
      <c r="DL25" s="1"/>
      <c r="DM25" s="1"/>
      <c r="DN25" s="1"/>
      <c r="DO25" s="1"/>
      <c r="DP25" s="1"/>
      <c r="DQ25" s="1"/>
      <c r="DR25" s="1"/>
      <c r="DS25" s="1"/>
      <c r="DT25" s="1"/>
      <c r="DU25" s="1"/>
      <c r="DV25" s="1"/>
      <c r="DW25" s="1"/>
      <c r="DX25" s="1"/>
      <c r="DY25" s="1"/>
      <c r="DZ25" s="1"/>
      <c r="EA25" s="1"/>
      <c r="EB25" s="1"/>
      <c r="EC25" s="1"/>
      <c r="ED25" s="1"/>
      <c r="EE25" s="1"/>
      <c r="EI25" s="1"/>
      <c r="EJ25" s="1"/>
      <c r="EK25" s="1"/>
      <c r="EL25" s="1"/>
      <c r="EM25" s="1"/>
      <c r="EN25" s="1"/>
      <c r="EO25" s="1"/>
      <c r="EP25" s="1"/>
      <c r="EQ25" s="1"/>
      <c r="ER25" s="1"/>
      <c r="ES25" s="1"/>
      <c r="ET25" s="1"/>
      <c r="EU25" s="1"/>
      <c r="EV25" s="1"/>
      <c r="EW25" s="1"/>
      <c r="EX25" s="1"/>
      <c r="EY25" s="1"/>
      <c r="EZ25" s="1"/>
      <c r="FA25" s="1"/>
      <c r="FB25" s="1"/>
      <c r="FC25" s="1"/>
      <c r="FD25" s="1"/>
      <c r="FF25" s="162"/>
    </row>
    <row r="26" spans="1:162" ht="18.75" customHeight="1">
      <c r="E26" s="12">
        <f>+AVERAGE(E6:E24)</f>
        <v>3.6668601205738435E-2</v>
      </c>
      <c r="F26" s="37">
        <f>+E26-$I$3</f>
        <v>-1.8932677045267454</v>
      </c>
      <c r="G26" s="12">
        <f>+AVERAGE(G6:G24)</f>
        <v>4.4646528241552942E-2</v>
      </c>
      <c r="I26" s="12">
        <f>+AVERAGEIF(I6:I24,"&gt;211%")</f>
        <v>2.9171388048743956</v>
      </c>
      <c r="J26" s="37">
        <f t="shared" si="11"/>
        <v>0.98720249914191172</v>
      </c>
      <c r="K26" s="12">
        <f>+AVERAGE(K6:K24)</f>
        <v>1.7095936520972408</v>
      </c>
      <c r="O26" s="12">
        <f>+AVERAGE(O6:O24)</f>
        <v>4.0979278098354062E-2</v>
      </c>
      <c r="AB26" s="57"/>
    </row>
    <row r="27" spans="1:162" ht="18.75" customHeight="1">
      <c r="I27" s="12">
        <f>+AVERAGEIF(I6:I24,"&lt;211%")</f>
        <v>1.202996806811687</v>
      </c>
      <c r="K27" s="177">
        <f>+SUBTOTAL(101,K6:K21)</f>
        <v>1.7013981024063547</v>
      </c>
      <c r="V27" t="s">
        <v>167</v>
      </c>
      <c r="X27" s="162"/>
      <c r="BB27" s="141" t="s">
        <v>273</v>
      </c>
      <c r="BP27" s="1">
        <f>+SUM(BP6:BP24)</f>
        <v>115728457</v>
      </c>
      <c r="BQ27" s="1">
        <f>+SUM(BQ6:BQ24)</f>
        <v>115243855</v>
      </c>
      <c r="BT27" s="1">
        <f>+SUM(BT6:BT24)</f>
        <v>161634883.01395616</v>
      </c>
      <c r="BU27" s="1">
        <f>+SUM(BU6:BU24)</f>
        <v>137573463.04533201</v>
      </c>
      <c r="BX27" s="1">
        <f>+SUM(BX6:BX24)</f>
        <v>54527.579484819995</v>
      </c>
      <c r="BY27" s="1">
        <f>+SUM(BY6:BY24)</f>
        <v>50044.169018190005</v>
      </c>
      <c r="CB27" s="1">
        <f>+SUM(CB6:CB24)</f>
        <v>3931.8188362300002</v>
      </c>
      <c r="CC27" s="1">
        <f>+SUM(CC6:CC24)</f>
        <v>5706.1535949300014</v>
      </c>
      <c r="FF27" s="167">
        <f>+COUNTIF(FF6:FF24,"&gt;0")</f>
        <v>9</v>
      </c>
    </row>
    <row r="28" spans="1:162" ht="18.75" customHeight="1">
      <c r="A28" s="11">
        <f>+COUNTIF($C$6:$C$24,"&lt;0")</f>
        <v>10</v>
      </c>
      <c r="C28" s="156">
        <v>-1</v>
      </c>
      <c r="E28" s="167">
        <f>+COUNTIF($I$6:$I$24,"&lt;1,69")</f>
        <v>11</v>
      </c>
      <c r="F28" s="29">
        <v>-1</v>
      </c>
      <c r="I28" s="167">
        <f>+COUNTIF($I$6:$I$24,"&lt;1,69")</f>
        <v>11</v>
      </c>
      <c r="J28" s="29">
        <v>-1</v>
      </c>
      <c r="K28">
        <f>+COUNTIF($L$6:$L$24,"&lt;0")</f>
        <v>10</v>
      </c>
      <c r="L28" s="29">
        <v>-1</v>
      </c>
      <c r="O28">
        <f>+COUNTIF($P$6:$P$24,"&lt;0")</f>
        <v>7</v>
      </c>
      <c r="P28" s="262">
        <v>-1</v>
      </c>
      <c r="Q28">
        <f>+COUNTIF($R$6:$R$24,"&lt;0")</f>
        <v>10</v>
      </c>
      <c r="R28" s="262">
        <v>-1</v>
      </c>
      <c r="T28" s="57">
        <f>+COUNTIF($U$6:$U$24,"&lt;0")</f>
        <v>6</v>
      </c>
      <c r="U28" s="29">
        <v>-1</v>
      </c>
      <c r="BQ28" t="s">
        <v>491</v>
      </c>
      <c r="BT28" s="167">
        <f>+SUMIFS(BT6:BT24,BB6:BB24,5)+SUMIFS(BT6:BT24,BB6:BB24,4)</f>
        <v>148507062.1186569</v>
      </c>
      <c r="BX28" s="10">
        <f>+BX27/BY27-1</f>
        <v>8.958906810902123E-2</v>
      </c>
      <c r="CB28" s="10">
        <f>+CB27/CC27-1</f>
        <v>-0.31095110378320745</v>
      </c>
    </row>
    <row r="29" spans="1:162" ht="18.75" customHeight="1">
      <c r="A29" s="11">
        <f>+COUNTIF($C$6:$C$24,C29)</f>
        <v>8</v>
      </c>
      <c r="C29" s="156">
        <v>0</v>
      </c>
      <c r="E29" s="167">
        <f>+COUNTIF($I$6:$I$24,"=1,69")</f>
        <v>0</v>
      </c>
      <c r="F29" s="29">
        <v>0</v>
      </c>
      <c r="I29" s="167">
        <f>+COUNTIF($I$6:$I$24,"=1,69")</f>
        <v>0</v>
      </c>
      <c r="J29" s="29">
        <v>0</v>
      </c>
      <c r="L29" s="29">
        <v>0</v>
      </c>
      <c r="O29">
        <f>+COUNTIF($P$6:$P$24,"=0")</f>
        <v>2</v>
      </c>
      <c r="P29" s="262">
        <v>0</v>
      </c>
      <c r="Q29">
        <f>+COUNTIF($R$6:$R$24,"=0")</f>
        <v>1</v>
      </c>
      <c r="R29" s="262">
        <v>0</v>
      </c>
      <c r="T29" s="57">
        <f>+COUNTIF($U$6:$U$24,"=0")</f>
        <v>0</v>
      </c>
      <c r="U29" s="29">
        <v>0</v>
      </c>
      <c r="BQ29" t="s">
        <v>492</v>
      </c>
      <c r="BT29" s="167">
        <f>+SUMIFS(BT6:BT24,BB6:BB24,3)</f>
        <v>13097016.342299286</v>
      </c>
    </row>
    <row r="30" spans="1:162" ht="18.75" customHeight="1">
      <c r="A30" s="11">
        <f>+COUNTIF($C$6:$C$24,"&gt;0")</f>
        <v>1</v>
      </c>
      <c r="C30" s="156">
        <v>1</v>
      </c>
      <c r="E30" s="167">
        <f>+COUNTIF($I$6:$I$24,"&gt;1,69")</f>
        <v>8</v>
      </c>
      <c r="F30" s="29">
        <v>1</v>
      </c>
      <c r="I30" s="167">
        <f>+COUNTIF($I$6:$I$24,"&gt;1,69")</f>
        <v>8</v>
      </c>
      <c r="J30" s="29">
        <v>1</v>
      </c>
      <c r="K30">
        <f>+COUNTIF($L$6:$L$24,"&gt;0")</f>
        <v>9</v>
      </c>
      <c r="L30" s="29">
        <v>1</v>
      </c>
      <c r="O30">
        <f>+COUNTIF($P$6:$P$24,"&gt;0")</f>
        <v>9</v>
      </c>
      <c r="P30" s="262">
        <v>1</v>
      </c>
      <c r="Q30">
        <f>+COUNTIF($R$6:$R$24,"&gt;0")</f>
        <v>8</v>
      </c>
      <c r="R30" s="262">
        <v>1</v>
      </c>
      <c r="T30" s="57">
        <f>+COUNTIF($U$6:$U$24,"&gt;0")</f>
        <v>12</v>
      </c>
      <c r="U30" s="29">
        <v>1</v>
      </c>
      <c r="X30" s="14"/>
      <c r="BQ30" t="s">
        <v>493</v>
      </c>
      <c r="BT30" s="167">
        <f>+SUMIFS(BT6:BT24,BB6:BB24,1)+SUMIFS(BT6:BT24,BB6:BB24,2)</f>
        <v>30804.553</v>
      </c>
      <c r="BW30" s="1"/>
    </row>
    <row r="31" spans="1:162" ht="18.75" customHeight="1">
      <c r="K31" s="12"/>
    </row>
    <row r="32" spans="1:162" ht="18.75" customHeight="1">
      <c r="C32" s="157"/>
      <c r="I32" s="14">
        <f>+COUNTIF(I6:I24,"&gt;211%")</f>
        <v>5</v>
      </c>
      <c r="J32" s="14"/>
      <c r="K32" s="14"/>
      <c r="Y32" s="163"/>
    </row>
    <row r="33" spans="1:163" ht="18.75" customHeight="1">
      <c r="C33" s="157"/>
      <c r="I33" s="12">
        <f>+I26/2</f>
        <v>1.4585694024371978</v>
      </c>
    </row>
    <row r="34" spans="1:163"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28"/>
      <c r="AP34" s="28"/>
      <c r="AQ34" s="28"/>
      <c r="AR34" s="28"/>
      <c r="AS34"/>
      <c r="AT34"/>
      <c r="AU34"/>
      <c r="AV34"/>
      <c r="AW34"/>
      <c r="AX34"/>
      <c r="AY34"/>
      <c r="AZ34"/>
      <c r="BA34"/>
      <c r="BB34" s="141"/>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s="14"/>
      <c r="EH34" s="14"/>
      <c r="EI34"/>
      <c r="EJ34"/>
      <c r="EK34"/>
      <c r="EL34"/>
      <c r="EM34"/>
      <c r="EN34"/>
      <c r="EO34"/>
      <c r="EP34"/>
      <c r="EQ34"/>
      <c r="ER34"/>
      <c r="ES34"/>
      <c r="ET34"/>
      <c r="EU34"/>
      <c r="EV34"/>
      <c r="EW34"/>
      <c r="EX34"/>
      <c r="EY34"/>
      <c r="EZ34"/>
      <c r="FA34"/>
      <c r="FB34"/>
      <c r="FC34"/>
      <c r="FD34"/>
      <c r="FE34"/>
      <c r="FF34"/>
      <c r="FG34"/>
    </row>
    <row r="35" spans="1:163"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28"/>
      <c r="AP35" s="28"/>
      <c r="AQ35" s="28"/>
      <c r="AR35" s="28"/>
      <c r="AS35"/>
      <c r="AT35"/>
      <c r="AU35"/>
      <c r="AV35"/>
      <c r="AW35"/>
      <c r="AX35"/>
      <c r="AY35"/>
      <c r="AZ35"/>
      <c r="BA35"/>
      <c r="BB35" s="141"/>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s="14"/>
      <c r="EH35" s="14"/>
      <c r="EI35"/>
      <c r="EJ35"/>
      <c r="EK35"/>
      <c r="EL35"/>
      <c r="EM35"/>
      <c r="EN35"/>
      <c r="EO35"/>
      <c r="EP35"/>
      <c r="EQ35"/>
      <c r="ER35"/>
      <c r="ES35"/>
      <c r="ET35"/>
      <c r="EU35"/>
      <c r="EV35"/>
      <c r="EW35"/>
      <c r="EX35"/>
      <c r="EY35"/>
      <c r="EZ35"/>
      <c r="FA35"/>
      <c r="FB35"/>
      <c r="FC35"/>
      <c r="FD35"/>
      <c r="FE35"/>
      <c r="FF35"/>
      <c r="FG35"/>
    </row>
    <row r="36" spans="1:163"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28"/>
      <c r="AP36" s="28"/>
      <c r="AQ36" s="28"/>
      <c r="AR36" s="28"/>
      <c r="AS36"/>
      <c r="AT36"/>
      <c r="AU36"/>
      <c r="AV36"/>
      <c r="AW36"/>
      <c r="AX36"/>
      <c r="AY36"/>
      <c r="AZ36"/>
      <c r="BA36"/>
      <c r="BB36" s="141"/>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s="14"/>
      <c r="EH36" s="14"/>
      <c r="EI36"/>
      <c r="EJ36"/>
      <c r="EK36"/>
      <c r="EL36"/>
      <c r="EM36"/>
      <c r="EN36"/>
      <c r="EO36"/>
      <c r="EP36"/>
      <c r="EQ36"/>
      <c r="ER36"/>
      <c r="ES36"/>
      <c r="ET36"/>
      <c r="EU36"/>
      <c r="EV36"/>
      <c r="EW36"/>
      <c r="EX36"/>
      <c r="EY36"/>
      <c r="EZ36"/>
      <c r="FA36"/>
      <c r="FB36"/>
      <c r="FC36"/>
      <c r="FD36"/>
      <c r="FE36"/>
      <c r="FF36"/>
      <c r="FG36"/>
    </row>
    <row r="37" spans="1:163"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28"/>
      <c r="AP37" s="28"/>
      <c r="AQ37" s="28"/>
      <c r="AR37" s="28"/>
      <c r="AS37"/>
      <c r="AT37"/>
      <c r="AU37"/>
      <c r="AV37"/>
      <c r="AW37"/>
      <c r="AX37"/>
      <c r="AY37"/>
      <c r="AZ37"/>
      <c r="BA37"/>
      <c r="BB37" s="141"/>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s="14"/>
      <c r="EH37" s="14"/>
      <c r="EI37"/>
      <c r="EJ37"/>
      <c r="EK37"/>
      <c r="EL37"/>
      <c r="EM37"/>
      <c r="EN37"/>
      <c r="EO37"/>
      <c r="EP37"/>
      <c r="EQ37"/>
      <c r="ER37"/>
      <c r="ES37"/>
      <c r="ET37"/>
      <c r="EU37"/>
      <c r="EV37"/>
      <c r="EW37"/>
      <c r="EX37"/>
      <c r="EY37"/>
      <c r="EZ37"/>
      <c r="FA37"/>
      <c r="FB37"/>
      <c r="FC37"/>
      <c r="FD37"/>
      <c r="FE37"/>
      <c r="FF37"/>
      <c r="FG37"/>
    </row>
    <row r="38" spans="1:163"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28"/>
      <c r="AP38" s="28"/>
      <c r="AQ38" s="28"/>
      <c r="AR38" s="28"/>
      <c r="AS38"/>
      <c r="AT38"/>
      <c r="AU38"/>
      <c r="AV38"/>
      <c r="AW38"/>
      <c r="AX38"/>
      <c r="AY38"/>
      <c r="AZ38"/>
      <c r="BA38"/>
      <c r="BB38" s="141"/>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s="14"/>
      <c r="EH38" s="14"/>
      <c r="EI38"/>
      <c r="EJ38"/>
      <c r="EK38"/>
      <c r="EL38"/>
      <c r="EM38"/>
      <c r="EN38"/>
      <c r="EO38"/>
      <c r="EP38"/>
      <c r="EQ38"/>
      <c r="ER38"/>
      <c r="ES38"/>
      <c r="ET38"/>
      <c r="EU38"/>
      <c r="EV38"/>
      <c r="EW38"/>
      <c r="EX38"/>
      <c r="EY38"/>
      <c r="EZ38"/>
      <c r="FA38"/>
      <c r="FB38"/>
      <c r="FC38"/>
      <c r="FD38"/>
      <c r="FE38"/>
      <c r="FF38"/>
      <c r="FG38"/>
    </row>
    <row r="39" spans="1:163"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28"/>
      <c r="AP39" s="28"/>
      <c r="AQ39" s="28"/>
      <c r="AR39" s="28"/>
      <c r="AS39"/>
      <c r="AT39"/>
      <c r="AU39"/>
      <c r="AV39"/>
      <c r="AW39"/>
      <c r="AX39"/>
      <c r="AY39"/>
      <c r="AZ39"/>
      <c r="BA39"/>
      <c r="BB39" s="141"/>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s="14"/>
      <c r="EH39" s="14"/>
      <c r="EI39"/>
      <c r="EJ39"/>
      <c r="EK39"/>
      <c r="EL39"/>
      <c r="EM39"/>
      <c r="EN39"/>
      <c r="EO39"/>
      <c r="EP39"/>
      <c r="EQ39"/>
      <c r="ER39"/>
      <c r="ES39"/>
      <c r="ET39"/>
      <c r="EU39"/>
      <c r="EV39"/>
      <c r="EW39"/>
      <c r="EX39"/>
      <c r="EY39"/>
      <c r="EZ39"/>
      <c r="FA39"/>
      <c r="FB39"/>
      <c r="FC39"/>
      <c r="FD39"/>
      <c r="FE39"/>
      <c r="FF39"/>
      <c r="FG39"/>
    </row>
    <row r="40" spans="1:163"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28"/>
      <c r="AP40" s="28"/>
      <c r="AQ40" s="28"/>
      <c r="AR40" s="28"/>
      <c r="AS40"/>
      <c r="AT40"/>
      <c r="AU40"/>
      <c r="AV40"/>
      <c r="AW40"/>
      <c r="AX40"/>
      <c r="AY40"/>
      <c r="AZ40"/>
      <c r="BA40"/>
      <c r="BB40" s="141"/>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s="14"/>
      <c r="EH40" s="14"/>
      <c r="EI40"/>
      <c r="EJ40"/>
      <c r="EK40"/>
      <c r="EL40"/>
      <c r="EM40"/>
      <c r="EN40"/>
      <c r="EO40"/>
      <c r="EP40"/>
      <c r="EQ40"/>
      <c r="ER40"/>
      <c r="ES40"/>
      <c r="ET40"/>
      <c r="EU40"/>
      <c r="EV40"/>
      <c r="EW40"/>
      <c r="EX40"/>
      <c r="EY40"/>
      <c r="EZ40"/>
      <c r="FA40"/>
      <c r="FB40"/>
      <c r="FC40"/>
      <c r="FD40"/>
      <c r="FE40"/>
      <c r="FF40"/>
      <c r="FG40"/>
    </row>
    <row r="45" spans="1:163"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28"/>
      <c r="AP45" s="28"/>
      <c r="AQ45" s="28"/>
      <c r="AR45" s="28"/>
      <c r="AS45"/>
      <c r="AT45"/>
      <c r="AU45"/>
      <c r="AV45"/>
      <c r="AW45"/>
      <c r="AX45"/>
      <c r="AY45"/>
      <c r="AZ45"/>
      <c r="BA45"/>
      <c r="BB45" s="141"/>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s="14"/>
      <c r="EH45" s="14"/>
      <c r="EI45"/>
      <c r="EJ45"/>
      <c r="EK45"/>
      <c r="EL45"/>
      <c r="EM45"/>
      <c r="EN45"/>
      <c r="EO45"/>
      <c r="EP45"/>
      <c r="EQ45"/>
      <c r="ER45"/>
      <c r="ES45"/>
      <c r="ET45"/>
      <c r="EU45"/>
      <c r="EV45"/>
      <c r="EW45"/>
      <c r="EX45"/>
      <c r="EY45"/>
      <c r="EZ45"/>
      <c r="FA45"/>
      <c r="FB45"/>
      <c r="FC45"/>
      <c r="FD45"/>
      <c r="FE45"/>
      <c r="FF45"/>
      <c r="FG45"/>
    </row>
    <row r="46" spans="1:163"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28"/>
      <c r="AP46" s="28"/>
      <c r="AQ46" s="28"/>
      <c r="AR46" s="28"/>
      <c r="AS46"/>
      <c r="AT46"/>
      <c r="AU46"/>
      <c r="AV46"/>
      <c r="AW46"/>
      <c r="AX46"/>
      <c r="AY46"/>
      <c r="AZ46"/>
      <c r="BA46"/>
      <c r="BB46" s="141"/>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s="14"/>
      <c r="EH46" s="14"/>
      <c r="EI46"/>
      <c r="EJ46"/>
      <c r="EK46"/>
      <c r="EL46"/>
      <c r="EM46"/>
      <c r="EN46"/>
      <c r="EO46"/>
      <c r="EP46"/>
      <c r="EQ46"/>
      <c r="ER46"/>
      <c r="ES46"/>
      <c r="ET46"/>
      <c r="EU46"/>
      <c r="EV46"/>
      <c r="EW46"/>
      <c r="EX46"/>
      <c r="EY46"/>
      <c r="EZ46"/>
      <c r="FA46"/>
      <c r="FB46"/>
      <c r="FC46"/>
      <c r="FD46"/>
      <c r="FE46"/>
      <c r="FF46"/>
      <c r="FG46"/>
    </row>
    <row r="47" spans="1:163"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28"/>
      <c r="AP47" s="28"/>
      <c r="AQ47" s="28"/>
      <c r="AR47" s="28"/>
      <c r="AS47"/>
      <c r="AT47"/>
      <c r="AU47"/>
      <c r="AV47"/>
      <c r="AW47"/>
      <c r="AX47"/>
      <c r="AY47"/>
      <c r="AZ47"/>
      <c r="BA47"/>
      <c r="BB47" s="141"/>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s="14"/>
      <c r="EH47" s="14"/>
      <c r="EI47"/>
      <c r="EJ47"/>
      <c r="EK47"/>
      <c r="EL47"/>
      <c r="EM47"/>
      <c r="EN47"/>
      <c r="EO47"/>
      <c r="EP47"/>
      <c r="EQ47"/>
      <c r="ER47"/>
      <c r="ES47"/>
      <c r="ET47"/>
      <c r="EU47"/>
      <c r="EV47"/>
      <c r="EW47"/>
      <c r="EX47"/>
      <c r="EY47"/>
      <c r="EZ47"/>
      <c r="FA47"/>
      <c r="FB47"/>
      <c r="FC47"/>
      <c r="FD47"/>
      <c r="FE47"/>
      <c r="FF47"/>
      <c r="FG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N24 AC25 AE25:AN25">
    <cfRule type="expression" dxfId="71" priority="48">
      <formula>AO6=3</formula>
    </cfRule>
    <cfRule type="expression" dxfId="70" priority="49">
      <formula>AO6=5</formula>
    </cfRule>
    <cfRule type="expression" dxfId="69" priority="50">
      <formula>AO6=4</formula>
    </cfRule>
    <cfRule type="expression" dxfId="68" priority="51">
      <formula>AO6=2</formula>
    </cfRule>
    <cfRule type="expression" dxfId="67" priority="52">
      <formula>AO6=1</formula>
    </cfRule>
    <cfRule type="expression" dxfId="66" priority="53">
      <formula>AO6=0</formula>
    </cfRule>
  </conditionalFormatting>
  <conditionalFormatting sqref="FF6:FF25 FF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FD67F758-BD8F-4673-ACF6-12DF680BDEF2}">
      <formula1>lis_dat</formula1>
    </dataValidation>
  </dataValidations>
  <pageMargins left="0.25" right="0.25" top="0.75" bottom="0.75" header="0.3" footer="0.3"/>
  <pageSetup paperSize="9" scale="55" orientation="portrait" r:id="rId1"/>
  <extLst>
    <ext xmlns:x14="http://schemas.microsoft.com/office/spreadsheetml/2009/9/main" uri="{78C0D931-6437-407d-A8EE-F0AAD7539E65}">
      <x14:conditionalFormattings>
        <x14:conditionalFormatting xmlns:xm="http://schemas.microsoft.com/office/excel/2006/main">
          <x14:cfRule type="iconSet" priority="1" id="{5BDEA634-4B8F-4D0A-BF2B-BD0D136DCDA8}">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552AE7A3-4F5E-4D67-B534-2EBE46E5DED9}">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7ED9-F52E-4EE1-A65E-353C09833B96}">
  <sheetPr>
    <tabColor theme="5" tint="-0.249977111117893"/>
    <pageSetUpPr fitToPage="1"/>
  </sheetPr>
  <dimension ref="A1:FG47"/>
  <sheetViews>
    <sheetView showGridLines="0" zoomScale="80" zoomScaleNormal="80" workbookViewId="0">
      <selection activeCell="BB7" sqref="BB7"/>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7.109375" bestFit="1"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5.44140625" style="28" customWidth="1"/>
    <col min="42" max="42" width="6" style="28" customWidth="1"/>
    <col min="43" max="43" width="5.33203125" style="28" customWidth="1"/>
    <col min="44" max="44" width="4.88671875" style="28" customWidth="1"/>
    <col min="45" max="46" width="5.5546875" customWidth="1"/>
    <col min="47" max="47" width="5.33203125" customWidth="1"/>
    <col min="48" max="48" width="5.5546875" customWidth="1"/>
    <col min="49" max="50" width="4.88671875" customWidth="1"/>
    <col min="51" max="51" width="5.6640625" customWidth="1"/>
    <col min="52" max="52" width="6.109375" customWidth="1"/>
    <col min="53" max="53" width="2.44140625" customWidth="1"/>
    <col min="54" max="54" width="15.88671875" style="141" customWidth="1"/>
    <col min="55" max="55" width="12" customWidth="1"/>
    <col min="56" max="56" width="0.88671875" customWidth="1"/>
    <col min="57" max="60" width="7.88671875" customWidth="1"/>
    <col min="61" max="61" width="2.44140625" customWidth="1"/>
    <col min="62" max="62" width="0.44140625" customWidth="1"/>
    <col min="63" max="65" width="7.88671875" customWidth="1"/>
    <col min="66" max="66" width="2.44140625" customWidth="1"/>
    <col min="67" max="67" width="0.44140625" customWidth="1"/>
    <col min="68" max="68" width="12.88671875" customWidth="1"/>
    <col min="69" max="69" width="12.44140625" customWidth="1"/>
    <col min="70" max="70" width="2.44140625" customWidth="1"/>
    <col min="71" max="71" width="0.5546875" customWidth="1"/>
    <col min="72" max="72" width="14.44140625" bestFit="1" customWidth="1"/>
    <col min="73" max="73" width="12.5546875" customWidth="1"/>
    <col min="74" max="74" width="2.44140625" customWidth="1"/>
    <col min="75" max="75" width="8.109375" customWidth="1"/>
    <col min="76" max="77" width="7.5546875" customWidth="1"/>
    <col min="78" max="78" width="2.88671875" customWidth="1"/>
    <col min="79" max="79" width="0.88671875" customWidth="1"/>
    <col min="80" max="81" width="7.44140625" customWidth="1"/>
    <col min="82" max="82" width="2.88671875" customWidth="1"/>
    <col min="83" max="83" width="0.5546875" customWidth="1"/>
    <col min="84" max="84" width="11" customWidth="1"/>
    <col min="85" max="85" width="10.88671875" customWidth="1"/>
    <col min="86" max="86" width="7" bestFit="1" customWidth="1"/>
    <col min="87" max="87" width="11" bestFit="1" customWidth="1"/>
    <col min="88" max="88" width="7" bestFit="1" customWidth="1"/>
    <col min="89" max="89" width="6.5546875" bestFit="1" customWidth="1"/>
    <col min="90" max="91" width="7" bestFit="1" customWidth="1"/>
    <col min="92" max="92" width="6.5546875" bestFit="1" customWidth="1"/>
    <col min="93" max="93" width="6.109375" bestFit="1" customWidth="1"/>
    <col min="94" max="95" width="6.44140625" bestFit="1" customWidth="1"/>
    <col min="96" max="96" width="5.5546875" bestFit="1" customWidth="1"/>
    <col min="97" max="97" width="6.109375" bestFit="1" customWidth="1"/>
    <col min="98" max="98" width="7" bestFit="1" customWidth="1"/>
    <col min="99" max="99" width="6.33203125" bestFit="1" customWidth="1"/>
    <col min="100" max="100" width="6.88671875" bestFit="1" customWidth="1"/>
    <col min="101" max="101" width="6.109375" bestFit="1" customWidth="1"/>
    <col min="102" max="102" width="6.5546875" bestFit="1" customWidth="1"/>
    <col min="103" max="103" width="5.88671875" bestFit="1" customWidth="1"/>
    <col min="104" max="104" width="6.5546875" bestFit="1" customWidth="1"/>
    <col min="105" max="105" width="6.109375" bestFit="1" customWidth="1"/>
    <col min="106" max="107" width="6.44140625" bestFit="1" customWidth="1"/>
    <col min="108" max="108" width="5.5546875" bestFit="1" customWidth="1"/>
    <col min="109" max="109" width="6.109375" bestFit="1" customWidth="1"/>
    <col min="110" max="110" width="7" bestFit="1" customWidth="1"/>
    <col min="111" max="111" width="5" customWidth="1"/>
    <col min="112" max="112" width="11" bestFit="1" customWidth="1"/>
    <col min="113" max="113" width="6.88671875" bestFit="1" customWidth="1"/>
    <col min="114" max="114" width="6.109375" bestFit="1" customWidth="1"/>
    <col min="115" max="115" width="6.5546875" bestFit="1" customWidth="1"/>
    <col min="116" max="116" width="5.88671875" bestFit="1" customWidth="1"/>
    <col min="117" max="117" width="6.5546875" bestFit="1" customWidth="1"/>
    <col min="118" max="118" width="6.109375" bestFit="1" customWidth="1"/>
    <col min="119" max="120" width="6.44140625" bestFit="1" customWidth="1"/>
    <col min="121" max="121" width="5.5546875" bestFit="1" customWidth="1"/>
    <col min="122" max="122" width="6.109375" bestFit="1" customWidth="1"/>
    <col min="123" max="123" width="7" bestFit="1" customWidth="1"/>
    <col min="124" max="124" width="6.33203125" bestFit="1" customWidth="1"/>
    <col min="125" max="125" width="6.88671875" bestFit="1" customWidth="1"/>
    <col min="126" max="126" width="6.109375" bestFit="1" customWidth="1"/>
    <col min="127" max="127" width="6.5546875" bestFit="1" customWidth="1"/>
    <col min="128" max="128" width="5.88671875" bestFit="1" customWidth="1"/>
    <col min="129" max="129" width="6.5546875" bestFit="1" customWidth="1"/>
    <col min="130" max="130" width="6.109375" bestFit="1" customWidth="1"/>
    <col min="131" max="132" width="6.44140625" bestFit="1" customWidth="1"/>
    <col min="133" max="133" width="5.5546875" bestFit="1" customWidth="1"/>
    <col min="134" max="134" width="6.109375" bestFit="1" customWidth="1"/>
    <col min="135" max="135" width="7" bestFit="1" customWidth="1"/>
    <col min="136" max="136" width="5" customWidth="1"/>
    <col min="137" max="138" width="13.5546875" style="14" bestFit="1" customWidth="1"/>
    <col min="139" max="160" width="9.88671875" bestFit="1" customWidth="1"/>
    <col min="161" max="162" width="5" customWidth="1"/>
  </cols>
  <sheetData>
    <row r="1" spans="1:162" ht="18.75" customHeight="1">
      <c r="A1" s="219">
        <v>45536</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BE1" t="s">
        <v>101</v>
      </c>
      <c r="BF1" s="3">
        <f>+A1</f>
        <v>45536</v>
      </c>
      <c r="BG1" s="3">
        <f>+VLOOKUP(BG2,datos!$D:$E,2,FALSE)</f>
        <v>45505</v>
      </c>
      <c r="BH1" s="3">
        <f>+VLOOKUP(BH2,datos!$D:$E,2,FALSE)</f>
        <v>45170</v>
      </c>
      <c r="BK1" s="3">
        <f>+A1</f>
        <v>45536</v>
      </c>
      <c r="BL1" s="3">
        <f>+VLOOKUP(BL2,datos!$D:$E,2,FALSE)</f>
        <v>45505</v>
      </c>
      <c r="BM1" s="3">
        <f>+VLOOKUP(BM2,datos!$D:$E,2,FALSE)</f>
        <v>45170</v>
      </c>
      <c r="BP1" s="3">
        <f>+A1</f>
        <v>45536</v>
      </c>
      <c r="BQ1" s="3">
        <f>+VLOOKUP(BQ2,datos!$D:$E,2,FALSE)</f>
        <v>45170</v>
      </c>
      <c r="BT1" s="3">
        <f>+A1</f>
        <v>45536</v>
      </c>
      <c r="BU1" s="3">
        <f>+VLOOKUP(BU2,datos!$D:$E,2,FALSE)</f>
        <v>45170</v>
      </c>
      <c r="BX1" t="s">
        <v>279</v>
      </c>
      <c r="BY1" t="s">
        <v>280</v>
      </c>
      <c r="CB1" t="s">
        <v>279</v>
      </c>
      <c r="CC1" t="s">
        <v>280</v>
      </c>
      <c r="CF1" t="s">
        <v>282</v>
      </c>
      <c r="CG1" t="s">
        <v>283</v>
      </c>
      <c r="CH1" s="3">
        <f>+A1</f>
        <v>45536</v>
      </c>
      <c r="CI1" s="3">
        <f>+VLOOKUP(CI2,datos!$D:$E,2,FALSE)</f>
        <v>45536</v>
      </c>
      <c r="CJ1" s="3">
        <f>+VLOOKUP(CJ2,datos!$D:$E,2,FALSE)</f>
        <v>45505</v>
      </c>
      <c r="CK1" s="3">
        <f>+VLOOKUP(CK2,datos!$D:$E,2,FALSE)</f>
        <v>45474</v>
      </c>
      <c r="CL1" s="3">
        <f>+VLOOKUP(CL2,datos!$D:$E,2,FALSE)</f>
        <v>45444</v>
      </c>
      <c r="CM1" s="3">
        <f>+VLOOKUP(CM2,datos!$D:$E,2,FALSE)</f>
        <v>45413</v>
      </c>
      <c r="CN1" s="3">
        <f>+VLOOKUP(CN2,datos!$D:$E,2,FALSE)</f>
        <v>45383</v>
      </c>
      <c r="CO1" s="3">
        <f>+VLOOKUP(CO2,datos!$D:$E,2,FALSE)</f>
        <v>45352</v>
      </c>
      <c r="CP1" s="3">
        <f>+VLOOKUP(CP2,datos!$D:$E,2,FALSE)</f>
        <v>45323</v>
      </c>
      <c r="CQ1" s="3">
        <f>+VLOOKUP(CQ2,datos!$D:$E,2,FALSE)</f>
        <v>45292</v>
      </c>
      <c r="CR1" s="3">
        <f>+VLOOKUP(CR2,datos!$D:$E,2,FALSE)</f>
        <v>45261</v>
      </c>
      <c r="CS1" s="3">
        <f>+VLOOKUP(CS2,datos!$D:$E,2,FALSE)</f>
        <v>45231</v>
      </c>
      <c r="CT1" s="3">
        <f>+VLOOKUP(CT2,datos!$D:$E,2,FALSE)</f>
        <v>45200</v>
      </c>
      <c r="CU1" s="3">
        <f>+VLOOKUP(CU2,datos!$D:$E,2,FALSE)</f>
        <v>45170</v>
      </c>
      <c r="CV1" s="3">
        <f>+VLOOKUP(CV2,datos!$D:$E,2,FALSE)</f>
        <v>45139</v>
      </c>
      <c r="CW1" s="3">
        <f>+VLOOKUP(CW2,datos!$D:$E,2,FALSE)</f>
        <v>45108</v>
      </c>
      <c r="CX1" s="3">
        <f>+VLOOKUP(CX2,datos!$D:$E,2,FALSE)</f>
        <v>45078</v>
      </c>
      <c r="CY1" s="3">
        <f>+VLOOKUP(CY2,datos!$D:$E,2,FALSE)</f>
        <v>45047</v>
      </c>
      <c r="CZ1" s="3">
        <f>+VLOOKUP(CZ2,datos!$D:$E,2,FALSE)</f>
        <v>45017</v>
      </c>
      <c r="DA1" s="3">
        <f>+VLOOKUP(DA2,datos!$D:$E,2,FALSE)</f>
        <v>44986</v>
      </c>
      <c r="DB1" s="3">
        <f>+VLOOKUP(DB2,datos!$D:$E,2,FALSE)</f>
        <v>44958</v>
      </c>
      <c r="DC1" s="3">
        <f>+VLOOKUP(DC2,datos!$D:$E,2,FALSE)</f>
        <v>44927</v>
      </c>
      <c r="DD1" s="3">
        <f>+VLOOKUP(DD2,datos!$D:$E,2,FALSE)</f>
        <v>44896</v>
      </c>
      <c r="DE1" s="3">
        <f>+VLOOKUP(DE2,datos!$D:$E,2,FALSE)</f>
        <v>44866</v>
      </c>
      <c r="DF1" s="3">
        <f>+VLOOKUP(DF2,datos!$D:$E,2,FALSE)</f>
        <v>44835</v>
      </c>
      <c r="DH1" s="3">
        <f>+CI1</f>
        <v>45536</v>
      </c>
      <c r="DI1" s="3">
        <f>+VLOOKUP(DI2,datos!$D:$E,2,FALSE)</f>
        <v>45505</v>
      </c>
      <c r="DJ1" s="3">
        <f>+VLOOKUP(DJ2,datos!$D:$E,2,FALSE)</f>
        <v>45474</v>
      </c>
      <c r="DK1" s="3">
        <f>+VLOOKUP(DK2,datos!$D:$E,2,FALSE)</f>
        <v>45444</v>
      </c>
      <c r="DL1" s="3">
        <f>+VLOOKUP(DL2,datos!$D:$E,2,FALSE)</f>
        <v>45413</v>
      </c>
      <c r="DM1" s="3">
        <f>+VLOOKUP(DM2,datos!$D:$E,2,FALSE)</f>
        <v>45383</v>
      </c>
      <c r="DN1" s="3">
        <f>+VLOOKUP(DN2,datos!$D:$E,2,FALSE)</f>
        <v>45352</v>
      </c>
      <c r="DO1" s="3">
        <f>+VLOOKUP(DO2,datos!$D:$E,2,FALSE)</f>
        <v>45323</v>
      </c>
      <c r="DP1" s="3">
        <f>+VLOOKUP(DP2,datos!$D:$E,2,FALSE)</f>
        <v>45292</v>
      </c>
      <c r="DQ1" s="3">
        <f>+VLOOKUP(DQ2,datos!$D:$E,2,FALSE)</f>
        <v>45261</v>
      </c>
      <c r="DR1" s="3">
        <f>+VLOOKUP(DR2,datos!$D:$E,2,FALSE)</f>
        <v>45231</v>
      </c>
      <c r="DS1" s="3">
        <f>+VLOOKUP(DS2,datos!$D:$E,2,FALSE)</f>
        <v>45200</v>
      </c>
      <c r="DT1" s="3">
        <f>+VLOOKUP(DT2,datos!$D:$E,2,FALSE)</f>
        <v>45170</v>
      </c>
      <c r="DU1" s="3">
        <f>+VLOOKUP(DU2,datos!$D:$E,2,FALSE)</f>
        <v>45139</v>
      </c>
      <c r="DV1" s="3">
        <f>+VLOOKUP(DV2,datos!$D:$E,2,FALSE)</f>
        <v>45108</v>
      </c>
      <c r="DW1" s="3">
        <f>+VLOOKUP(DW2,datos!$D:$E,2,FALSE)</f>
        <v>45078</v>
      </c>
      <c r="DX1" s="3">
        <f>+VLOOKUP(DX2,datos!$D:$E,2,FALSE)</f>
        <v>45047</v>
      </c>
      <c r="DY1" s="3">
        <f>+VLOOKUP(DY2,datos!$D:$E,2,FALSE)</f>
        <v>45017</v>
      </c>
      <c r="DZ1" s="3">
        <f>+VLOOKUP(DZ2,datos!$D:$E,2,FALSE)</f>
        <v>44986</v>
      </c>
      <c r="EA1" s="3">
        <f>+VLOOKUP(EA2,datos!$D:$E,2,FALSE)</f>
        <v>44958</v>
      </c>
      <c r="EB1" s="3">
        <f>+VLOOKUP(EB2,datos!$D:$E,2,FALSE)</f>
        <v>44927</v>
      </c>
      <c r="EC1" s="3">
        <f>+VLOOKUP(EC2,datos!$D:$E,2,FALSE)</f>
        <v>44896</v>
      </c>
      <c r="ED1" s="3">
        <f>+VLOOKUP(ED2,datos!$D:$E,2,FALSE)</f>
        <v>44866</v>
      </c>
      <c r="EE1" s="3">
        <f>+VLOOKUP(EE2,datos!$D:$E,2,FALSE)</f>
        <v>44835</v>
      </c>
      <c r="EG1" s="14">
        <f>+CI1</f>
        <v>45536</v>
      </c>
      <c r="EH1" s="14">
        <f t="shared" ref="EH1:FD1" si="0">+CJ1</f>
        <v>45505</v>
      </c>
      <c r="EI1" s="3">
        <f t="shared" si="0"/>
        <v>45474</v>
      </c>
      <c r="EJ1" s="3">
        <f t="shared" si="0"/>
        <v>45444</v>
      </c>
      <c r="EK1" s="3">
        <f t="shared" si="0"/>
        <v>45413</v>
      </c>
      <c r="EL1" s="3">
        <f t="shared" si="0"/>
        <v>45383</v>
      </c>
      <c r="EM1" s="3">
        <f t="shared" si="0"/>
        <v>45352</v>
      </c>
      <c r="EN1" s="3">
        <f t="shared" si="0"/>
        <v>45323</v>
      </c>
      <c r="EO1" s="3">
        <f t="shared" si="0"/>
        <v>45292</v>
      </c>
      <c r="EP1" s="3">
        <f t="shared" si="0"/>
        <v>45261</v>
      </c>
      <c r="EQ1" s="3">
        <f t="shared" si="0"/>
        <v>45231</v>
      </c>
      <c r="ER1" s="3">
        <f t="shared" si="0"/>
        <v>45200</v>
      </c>
      <c r="ES1" s="3">
        <f t="shared" si="0"/>
        <v>45170</v>
      </c>
      <c r="ET1" s="3">
        <f t="shared" si="0"/>
        <v>45139</v>
      </c>
      <c r="EU1" s="3">
        <f t="shared" si="0"/>
        <v>45108</v>
      </c>
      <c r="EV1" s="3">
        <f t="shared" si="0"/>
        <v>45078</v>
      </c>
      <c r="EW1" s="3">
        <f t="shared" si="0"/>
        <v>45047</v>
      </c>
      <c r="EX1" s="3">
        <f t="shared" si="0"/>
        <v>45017</v>
      </c>
      <c r="EY1" s="3">
        <f t="shared" si="0"/>
        <v>44986</v>
      </c>
      <c r="EZ1" s="3">
        <f t="shared" si="0"/>
        <v>44958</v>
      </c>
      <c r="FA1" s="3">
        <f t="shared" si="0"/>
        <v>44927</v>
      </c>
      <c r="FB1" s="3">
        <f t="shared" si="0"/>
        <v>44896</v>
      </c>
      <c r="FC1" s="3">
        <f t="shared" si="0"/>
        <v>44866</v>
      </c>
      <c r="FD1" s="3">
        <f t="shared" si="0"/>
        <v>44835</v>
      </c>
    </row>
    <row r="2" spans="1:162"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174">
        <f>VLOOKUP(VLOOKUP(+$A$1,ran_ma,2,FALSE)-11,ran_idma,2,FALSE)</f>
        <v>45200</v>
      </c>
      <c r="AP2" s="174">
        <f>VLOOKUP(VLOOKUP(+$A$1,ran_ma,2,FALSE)-10,ran_idma,2,FALSE)</f>
        <v>45231</v>
      </c>
      <c r="AQ2" s="174">
        <f>VLOOKUP(VLOOKUP(+$A$1,ran_ma,2,FALSE)-9,ran_idma,2,FALSE)</f>
        <v>45261</v>
      </c>
      <c r="AR2" s="174">
        <f>VLOOKUP(VLOOKUP(+$A$1,ran_ma,2,FALSE)-8,ran_idma,2,FALSE)</f>
        <v>45292</v>
      </c>
      <c r="AS2" s="59">
        <f>VLOOKUP(VLOOKUP(+$A$1,ran_ma,2,FALSE)-7,ran_idma,2,FALSE)</f>
        <v>45323</v>
      </c>
      <c r="AT2" s="59">
        <f>VLOOKUP(VLOOKUP(+$A$1,ran_ma,2,FALSE)-6,ran_idma,2,FALSE)</f>
        <v>45352</v>
      </c>
      <c r="AU2" s="59">
        <f>VLOOKUP(VLOOKUP(+$A$1,ran_ma,2,FALSE)-5,ran_idma,2,FALSE)</f>
        <v>45383</v>
      </c>
      <c r="AV2" s="59">
        <f>VLOOKUP(VLOOKUP(+$A$1,ran_ma,2,FALSE)-4,ran_idma,2,FALSE)</f>
        <v>45413</v>
      </c>
      <c r="AW2" s="59">
        <f>VLOOKUP(VLOOKUP(+$A$1,ran_ma,2,FALSE)-3,ran_idma,2,FALSE)</f>
        <v>45444</v>
      </c>
      <c r="AX2" s="59">
        <f>VLOOKUP(VLOOKUP(+$A$1,ran_ma,2,FALSE)-2,ran_idma,2,FALSE)</f>
        <v>45474</v>
      </c>
      <c r="AY2" s="59">
        <f>VLOOKUP(VLOOKUP(+$A$1,ran_ma,2,FALSE)-1,ran_idma,2,FALSE)</f>
        <v>45505</v>
      </c>
      <c r="AZ2" s="59">
        <f>+$A$1</f>
        <v>45536</v>
      </c>
      <c r="BA2" s="5"/>
      <c r="BB2" s="170"/>
      <c r="BD2" s="9" t="s">
        <v>272</v>
      </c>
      <c r="BF2">
        <f>+VLOOKUP(BF1,ran_dat,datos!$D$1,FALSE)</f>
        <v>114</v>
      </c>
      <c r="BG2">
        <f>+BF2-1</f>
        <v>113</v>
      </c>
      <c r="BH2">
        <f>+BF2-12</f>
        <v>102</v>
      </c>
      <c r="BJ2" s="9"/>
      <c r="BK2">
        <f>+VLOOKUP(BK1,ran_dat,datos!$D$1,FALSE)</f>
        <v>114</v>
      </c>
      <c r="BL2">
        <f>+BK2-1</f>
        <v>113</v>
      </c>
      <c r="BM2">
        <f>+BK2-12</f>
        <v>102</v>
      </c>
      <c r="BO2" s="9"/>
      <c r="BP2">
        <f>+VLOOKUP(BP1,ran_dat,datos!$D$1,FALSE)</f>
        <v>114</v>
      </c>
      <c r="BQ2">
        <f>+BP2-12</f>
        <v>102</v>
      </c>
      <c r="BS2" s="9"/>
      <c r="BT2">
        <f>+VLOOKUP(BT1,ran_dat,datos!$D$1,FALSE)</f>
        <v>114</v>
      </c>
      <c r="BU2">
        <f>+BT2-12</f>
        <v>102</v>
      </c>
      <c r="BW2" s="9"/>
      <c r="CA2" s="9"/>
      <c r="CH2">
        <f>+VLOOKUP(CH1,ran_dat,datos!$D$1,FALSE)</f>
        <v>114</v>
      </c>
      <c r="CI2">
        <f>+CH2</f>
        <v>114</v>
      </c>
      <c r="CJ2">
        <f t="shared" ref="CJ2:DF2" si="1">+CI2-1</f>
        <v>113</v>
      </c>
      <c r="CK2">
        <f t="shared" si="1"/>
        <v>112</v>
      </c>
      <c r="CL2">
        <f t="shared" si="1"/>
        <v>111</v>
      </c>
      <c r="CM2">
        <f t="shared" si="1"/>
        <v>110</v>
      </c>
      <c r="CN2">
        <f t="shared" si="1"/>
        <v>109</v>
      </c>
      <c r="CO2">
        <f t="shared" si="1"/>
        <v>108</v>
      </c>
      <c r="CP2">
        <f t="shared" si="1"/>
        <v>107</v>
      </c>
      <c r="CQ2">
        <f t="shared" si="1"/>
        <v>106</v>
      </c>
      <c r="CR2">
        <f t="shared" si="1"/>
        <v>105</v>
      </c>
      <c r="CS2">
        <f t="shared" si="1"/>
        <v>104</v>
      </c>
      <c r="CT2">
        <f t="shared" si="1"/>
        <v>103</v>
      </c>
      <c r="CU2">
        <f t="shared" si="1"/>
        <v>102</v>
      </c>
      <c r="CV2">
        <f t="shared" si="1"/>
        <v>101</v>
      </c>
      <c r="CW2">
        <f t="shared" si="1"/>
        <v>100</v>
      </c>
      <c r="CX2">
        <f t="shared" si="1"/>
        <v>99</v>
      </c>
      <c r="CY2">
        <f t="shared" si="1"/>
        <v>98</v>
      </c>
      <c r="CZ2">
        <f t="shared" si="1"/>
        <v>97</v>
      </c>
      <c r="DA2">
        <f t="shared" si="1"/>
        <v>96</v>
      </c>
      <c r="DB2">
        <f t="shared" si="1"/>
        <v>95</v>
      </c>
      <c r="DC2">
        <f t="shared" si="1"/>
        <v>94</v>
      </c>
      <c r="DD2">
        <f t="shared" si="1"/>
        <v>93</v>
      </c>
      <c r="DE2">
        <f t="shared" si="1"/>
        <v>92</v>
      </c>
      <c r="DF2">
        <f t="shared" si="1"/>
        <v>91</v>
      </c>
      <c r="DH2">
        <f>+VLOOKUP(DH1,ran_dat,datos!$D$1,FALSE)</f>
        <v>114</v>
      </c>
      <c r="DI2">
        <f t="shared" ref="DI2:EE2" si="2">+DH2-1</f>
        <v>113</v>
      </c>
      <c r="DJ2">
        <f t="shared" si="2"/>
        <v>112</v>
      </c>
      <c r="DK2">
        <f t="shared" si="2"/>
        <v>111</v>
      </c>
      <c r="DL2">
        <f t="shared" si="2"/>
        <v>110</v>
      </c>
      <c r="DM2">
        <f t="shared" si="2"/>
        <v>109</v>
      </c>
      <c r="DN2">
        <f t="shared" si="2"/>
        <v>108</v>
      </c>
      <c r="DO2">
        <f t="shared" si="2"/>
        <v>107</v>
      </c>
      <c r="DP2">
        <f t="shared" si="2"/>
        <v>106</v>
      </c>
      <c r="DQ2">
        <f t="shared" si="2"/>
        <v>105</v>
      </c>
      <c r="DR2">
        <f t="shared" si="2"/>
        <v>104</v>
      </c>
      <c r="DS2">
        <f t="shared" si="2"/>
        <v>103</v>
      </c>
      <c r="DT2">
        <f t="shared" si="2"/>
        <v>102</v>
      </c>
      <c r="DU2">
        <f t="shared" si="2"/>
        <v>101</v>
      </c>
      <c r="DV2">
        <f t="shared" si="2"/>
        <v>100</v>
      </c>
      <c r="DW2">
        <f t="shared" si="2"/>
        <v>99</v>
      </c>
      <c r="DX2">
        <f t="shared" si="2"/>
        <v>98</v>
      </c>
      <c r="DY2">
        <f t="shared" si="2"/>
        <v>97</v>
      </c>
      <c r="DZ2">
        <f t="shared" si="2"/>
        <v>96</v>
      </c>
      <c r="EA2">
        <f t="shared" si="2"/>
        <v>95</v>
      </c>
      <c r="EB2">
        <f t="shared" si="2"/>
        <v>94</v>
      </c>
      <c r="EC2">
        <f t="shared" si="2"/>
        <v>93</v>
      </c>
      <c r="ED2">
        <f t="shared" si="2"/>
        <v>92</v>
      </c>
      <c r="EE2">
        <f t="shared" si="2"/>
        <v>91</v>
      </c>
      <c r="EG2" s="14">
        <f>+VLOOKUP(EG1,ran_dat,datos!$D$1,FALSE)</f>
        <v>114</v>
      </c>
      <c r="EH2" s="14">
        <f t="shared" ref="EH2:FD2" si="3">+EG2-1</f>
        <v>113</v>
      </c>
      <c r="EI2">
        <f t="shared" si="3"/>
        <v>112</v>
      </c>
      <c r="EJ2">
        <f t="shared" si="3"/>
        <v>111</v>
      </c>
      <c r="EK2">
        <f t="shared" si="3"/>
        <v>110</v>
      </c>
      <c r="EL2">
        <f t="shared" si="3"/>
        <v>109</v>
      </c>
      <c r="EM2">
        <f t="shared" si="3"/>
        <v>108</v>
      </c>
      <c r="EN2">
        <f t="shared" si="3"/>
        <v>107</v>
      </c>
      <c r="EO2">
        <f t="shared" si="3"/>
        <v>106</v>
      </c>
      <c r="EP2">
        <f t="shared" si="3"/>
        <v>105</v>
      </c>
      <c r="EQ2">
        <f t="shared" si="3"/>
        <v>104</v>
      </c>
      <c r="ER2">
        <f t="shared" si="3"/>
        <v>103</v>
      </c>
      <c r="ES2">
        <f t="shared" si="3"/>
        <v>102</v>
      </c>
      <c r="ET2">
        <f t="shared" si="3"/>
        <v>101</v>
      </c>
      <c r="EU2">
        <f t="shared" si="3"/>
        <v>100</v>
      </c>
      <c r="EV2">
        <f t="shared" si="3"/>
        <v>99</v>
      </c>
      <c r="EW2">
        <f t="shared" si="3"/>
        <v>98</v>
      </c>
      <c r="EX2">
        <f t="shared" si="3"/>
        <v>97</v>
      </c>
      <c r="EY2">
        <f t="shared" si="3"/>
        <v>96</v>
      </c>
      <c r="EZ2">
        <f t="shared" si="3"/>
        <v>95</v>
      </c>
      <c r="FA2">
        <f t="shared" si="3"/>
        <v>94</v>
      </c>
      <c r="FB2">
        <f t="shared" si="3"/>
        <v>93</v>
      </c>
      <c r="FC2">
        <f t="shared" si="3"/>
        <v>92</v>
      </c>
      <c r="FD2">
        <f t="shared" si="3"/>
        <v>91</v>
      </c>
    </row>
    <row r="3" spans="1:162" ht="18.75" customHeight="1">
      <c r="A3" s="220"/>
      <c r="C3" s="155"/>
      <c r="D3" s="196">
        <v>0.33</v>
      </c>
      <c r="E3" s="100">
        <f>IFERROR(+BF5/BG5-1,"")</f>
        <v>3.4692157945201529E-2</v>
      </c>
      <c r="F3" s="56" t="s">
        <v>515</v>
      </c>
      <c r="G3" s="56"/>
      <c r="H3" s="56"/>
      <c r="I3" s="60">
        <f>IFERROR(+BF5/BH5-1,"")</f>
        <v>2.0900255976398108</v>
      </c>
      <c r="J3" s="56" t="s">
        <v>515</v>
      </c>
      <c r="K3" s="56"/>
      <c r="L3" s="56"/>
      <c r="M3" s="32"/>
      <c r="N3" s="196">
        <v>0.33</v>
      </c>
      <c r="O3" s="31"/>
      <c r="S3" s="32"/>
      <c r="T3" s="196">
        <v>0.33</v>
      </c>
      <c r="U3" s="150" t="str">
        <f>TEXT(CT1,"MMM-YY")&amp;"."&amp;TEXT(CI1,"MMM-YY")&amp;" vs "&amp;TEXT(DF1,"MMM-YY")&amp;"."&amp;TEXT(CU1,"MMM-YY")</f>
        <v>oct-23.sept-24 vs oct-22.sept-23</v>
      </c>
      <c r="Y3" s="59" t="str">
        <f>TEXT(CI1,"MMM-YY")&amp;" vs "&amp;TEXT(CU1,"MMM-YY")</f>
        <v>sept-24 vs sept-23</v>
      </c>
      <c r="BD3" s="4" t="s">
        <v>3</v>
      </c>
      <c r="BE3" s="4"/>
      <c r="BF3" s="4"/>
      <c r="BG3" s="4"/>
      <c r="BH3" s="4"/>
      <c r="BJ3" s="27" t="s">
        <v>5</v>
      </c>
      <c r="BK3" s="27"/>
      <c r="BL3" s="27"/>
      <c r="BM3" s="27"/>
      <c r="BO3" s="20" t="s">
        <v>15</v>
      </c>
      <c r="BP3" s="20"/>
      <c r="BQ3" s="20"/>
      <c r="BS3" s="21" t="s">
        <v>2</v>
      </c>
      <c r="BT3" s="21"/>
      <c r="BU3" s="21"/>
      <c r="BW3" s="4" t="s">
        <v>7</v>
      </c>
      <c r="BX3" s="4"/>
      <c r="BY3" s="4"/>
      <c r="CA3" s="43" t="s">
        <v>8</v>
      </c>
      <c r="CB3" s="43"/>
      <c r="CC3" s="43"/>
      <c r="CE3" s="22" t="s">
        <v>9</v>
      </c>
      <c r="CF3" s="22"/>
      <c r="CG3" s="22"/>
      <c r="CI3" s="4" t="s">
        <v>7</v>
      </c>
      <c r="CJ3" s="4"/>
      <c r="CK3" s="4"/>
      <c r="CL3" s="4"/>
      <c r="CM3" s="4"/>
      <c r="CN3" s="4"/>
      <c r="CO3" s="4"/>
      <c r="CP3" s="4"/>
      <c r="CQ3" s="4"/>
      <c r="CR3" s="4"/>
      <c r="CS3" s="4"/>
      <c r="CT3" s="4"/>
      <c r="CU3" s="4"/>
      <c r="CV3" s="4"/>
      <c r="CW3" s="4"/>
      <c r="CX3" s="4"/>
      <c r="CY3" s="4"/>
      <c r="CZ3" s="4"/>
      <c r="DA3" s="4"/>
      <c r="DB3" s="4"/>
      <c r="DC3" s="4"/>
      <c r="DD3" s="4"/>
      <c r="DE3" s="4"/>
      <c r="DF3" s="4"/>
      <c r="DH3" s="43" t="s">
        <v>8</v>
      </c>
      <c r="DI3" s="43"/>
      <c r="DJ3" s="43"/>
      <c r="DK3" s="43"/>
      <c r="DL3" s="43"/>
      <c r="DM3" s="43"/>
      <c r="DN3" s="43"/>
      <c r="DO3" s="43"/>
      <c r="DP3" s="43"/>
      <c r="DQ3" s="43"/>
      <c r="DR3" s="43"/>
      <c r="DS3" s="43"/>
      <c r="DT3" s="43"/>
      <c r="DU3" s="43"/>
      <c r="DV3" s="43"/>
      <c r="DW3" s="43"/>
      <c r="DX3" s="43"/>
      <c r="DY3" s="43"/>
      <c r="DZ3" s="43"/>
      <c r="EA3" s="43"/>
      <c r="EB3" s="43"/>
      <c r="EC3" s="43"/>
      <c r="ED3" s="43"/>
      <c r="EE3" s="43"/>
      <c r="EG3" s="151" t="s">
        <v>9</v>
      </c>
      <c r="EH3" s="151"/>
      <c r="EI3" s="22"/>
      <c r="EJ3" s="22"/>
      <c r="EK3" s="22"/>
      <c r="EL3" s="22"/>
      <c r="EM3" s="22"/>
      <c r="EN3" s="22"/>
      <c r="EO3" s="22"/>
      <c r="EP3" s="22"/>
      <c r="EQ3" s="22"/>
      <c r="ER3" s="22"/>
      <c r="ES3" s="22"/>
      <c r="ET3" s="22"/>
      <c r="EU3" s="22"/>
      <c r="EV3" s="22"/>
      <c r="EW3" s="22"/>
      <c r="EX3" s="22"/>
      <c r="EY3" s="22"/>
      <c r="EZ3" s="22"/>
      <c r="FA3" s="22"/>
      <c r="FB3" s="22"/>
      <c r="FC3" s="22"/>
      <c r="FD3" s="22"/>
    </row>
    <row r="4" spans="1:162"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19"/>
      <c r="AT4" s="19"/>
      <c r="AU4" s="19"/>
      <c r="AV4" s="19"/>
      <c r="AW4" s="19"/>
      <c r="AX4" s="19"/>
      <c r="AY4" s="19"/>
      <c r="AZ4" s="19"/>
      <c r="BA4" s="19"/>
      <c r="BB4" s="141" t="s">
        <v>390</v>
      </c>
      <c r="BD4" s="9"/>
      <c r="BJ4" s="9"/>
      <c r="BO4" s="9"/>
      <c r="BS4" s="9"/>
      <c r="BW4" s="9"/>
      <c r="CA4" s="9"/>
      <c r="CI4" s="44" t="s">
        <v>281</v>
      </c>
      <c r="CJ4" s="44"/>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152"/>
      <c r="EH4" s="152"/>
      <c r="EI4" s="44"/>
      <c r="EJ4" s="44"/>
      <c r="EK4" s="44"/>
      <c r="EL4" s="44"/>
      <c r="EM4" s="44"/>
      <c r="EN4" s="44"/>
      <c r="EO4" s="44"/>
      <c r="EP4" s="44"/>
      <c r="EQ4" s="44"/>
      <c r="ER4" s="44"/>
      <c r="ES4" s="44"/>
      <c r="ET4" s="44"/>
      <c r="EU4" s="44"/>
      <c r="EV4" s="44"/>
      <c r="EW4" s="44"/>
      <c r="EX4" s="44"/>
      <c r="EY4" s="44"/>
      <c r="EZ4" s="44"/>
      <c r="FA4" s="44"/>
      <c r="FB4" s="44"/>
      <c r="FC4" s="44"/>
      <c r="FD4" s="44"/>
    </row>
    <row r="5" spans="1:162" ht="8.4" customHeight="1">
      <c r="E5" s="18"/>
      <c r="N5" s="197"/>
      <c r="O5" s="34"/>
      <c r="P5" s="33"/>
      <c r="Q5" s="34"/>
      <c r="R5" s="33"/>
      <c r="T5" s="197"/>
      <c r="U5" s="25"/>
      <c r="V5" s="34"/>
      <c r="W5" s="34"/>
      <c r="X5" s="34"/>
      <c r="Y5" s="34"/>
      <c r="Z5" s="34"/>
      <c r="AB5" s="211"/>
      <c r="BC5">
        <f>+A3</f>
        <v>0</v>
      </c>
      <c r="BD5">
        <f>+datos!G1</f>
        <v>7</v>
      </c>
      <c r="BE5" s="2" t="str">
        <f t="shared" ref="BE5:BH24" si="4">+VLOOKUP(BE$1,ran_dat,$BD5,FALSE)</f>
        <v>Índice</v>
      </c>
      <c r="BF5" s="2">
        <f t="shared" si="4"/>
        <v>7122.2</v>
      </c>
      <c r="BG5" s="2">
        <f t="shared" si="4"/>
        <v>6883.4</v>
      </c>
      <c r="BH5" s="2">
        <f t="shared" si="4"/>
        <v>2304.9</v>
      </c>
    </row>
    <row r="6" spans="1:162" ht="18.75" customHeight="1">
      <c r="A6" s="243" t="s">
        <v>28</v>
      </c>
      <c r="B6" s="246"/>
      <c r="C6" s="156">
        <f t="shared" ref="C6:C24" si="5">+D6*$D$3+N6*$N$3+T6*$T$3</f>
        <v>0</v>
      </c>
      <c r="D6" s="198">
        <v>-2</v>
      </c>
      <c r="E6" s="248">
        <f t="shared" ref="E6:E24" si="6">IFERROR(+BF6/BG6-1,"")</f>
        <v>2.2248072846902556E-2</v>
      </c>
      <c r="F6" s="249">
        <f t="shared" ref="F6:F24" si="7">+E6-$E$3</f>
        <v>-1.2444085098298974E-2</v>
      </c>
      <c r="G6" s="248">
        <f t="shared" ref="G6:G24" si="8">IFERROR(+BK6/BL6-1,"")</f>
        <v>-2.4377165724521532E-2</v>
      </c>
      <c r="H6" s="249">
        <f t="shared" ref="H6:H24" si="9">E6-G6</f>
        <v>4.6625238571424088E-2</v>
      </c>
      <c r="I6" s="248">
        <f t="shared" ref="I6:I24" si="10">IFERROR(+BF6/BH6-1,"")</f>
        <v>1.222317591370774</v>
      </c>
      <c r="J6" s="249">
        <f t="shared" ref="J6:J26" si="11">+I6-$I$3</f>
        <v>-0.86770800626903677</v>
      </c>
      <c r="K6" s="248">
        <f t="shared" ref="K6:K24" si="12">IFERROR(+BK6/BM6-1,"")</f>
        <v>1.3115580468571459</v>
      </c>
      <c r="L6" s="249">
        <f t="shared" ref="L6:L24" si="13">I6-K6</f>
        <v>-8.9240455486371939E-2</v>
      </c>
      <c r="M6" s="250"/>
      <c r="N6" s="24">
        <v>1</v>
      </c>
      <c r="O6" s="248">
        <f>IFERROR(+BP6/BQ6-1,"")</f>
        <v>0.1206896551724137</v>
      </c>
      <c r="P6" s="251">
        <f>+O6</f>
        <v>0.1206896551724137</v>
      </c>
      <c r="Q6" s="248">
        <f t="shared" ref="Q6:Q24" si="14">IFERROR(+BT6/BU6-1,"")</f>
        <v>0.44444444444444442</v>
      </c>
      <c r="R6" s="251">
        <f>+Q6</f>
        <v>0.44444444444444442</v>
      </c>
      <c r="S6" s="250"/>
      <c r="T6" s="24">
        <v>1</v>
      </c>
      <c r="U6" s="248">
        <f t="shared" ref="U6:U24" si="15">IFERROR(+BX6/BY6-1,"")</f>
        <v>1.0844961722081612</v>
      </c>
      <c r="V6" s="252">
        <f t="shared" ref="V6:V24" si="16">+U6</f>
        <v>1.0844961722081612</v>
      </c>
      <c r="W6" s="248">
        <f>IFERROR(IF(CB6&lt;0.5,"",+CB6/CC6-1),"")</f>
        <v>-0.43891469099977853</v>
      </c>
      <c r="X6" s="252">
        <f t="shared" ref="X6:X24" si="17">+W6</f>
        <v>-0.43891469099977853</v>
      </c>
      <c r="Y6" s="248" t="str">
        <f t="shared" ref="Y6:Y25" si="18">IFERROR(+CF6/CG6-1,"")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
        <f>VLOOKUP($A6,historia!$A$5:$CM$24,+HLOOKUP(AO$2,historia!$A$3:$EC$4,2,FALSE),FALSE)</f>
        <v>5</v>
      </c>
      <c r="AP6" s="28">
        <f>VLOOKUP($A6,historia!$A$5:$CM$24,+HLOOKUP(AP$2,historia!$A$3:$EC$4,2,FALSE),FALSE)</f>
        <v>5</v>
      </c>
      <c r="AQ6" s="28">
        <f>VLOOKUP($A6,historia!$A$5:$CM$24,+HLOOKUP(AQ$2,historia!$A$3:$EC$4,2,FALSE),FALSE)</f>
        <v>4</v>
      </c>
      <c r="AR6" s="28">
        <f>VLOOKUP($A6,historia!$A$5:$CM$24,+HLOOKUP(AR$2,historia!$A$3:$EC$4,2,FALSE),FALSE)</f>
        <v>4</v>
      </c>
      <c r="AS6" s="58">
        <f>VLOOKUP($A6,historia!$A$5:$CM$24,+HLOOKUP(AS$2,historia!$A$3:$EC$4,2,FALSE),FALSE)</f>
        <v>4</v>
      </c>
      <c r="AT6" s="58">
        <f>VLOOKUP($A6,historia!$A$5:$CM$24,+HLOOKUP(AT$2,historia!$A$3:$EC$4,2,FALSE),FALSE)</f>
        <v>4</v>
      </c>
      <c r="AU6" s="58">
        <f>VLOOKUP($A6,historia!$A$5:$CM$24,+HLOOKUP(AU$2,historia!$A$3:$EC$4,2,FALSE),FALSE)</f>
        <v>4</v>
      </c>
      <c r="AV6" s="58">
        <f>VLOOKUP($A6,historia!$A$5:$CM$24,+HLOOKUP(AV$2,historia!$A$3:$EC$4,2,FALSE),FALSE)</f>
        <v>3</v>
      </c>
      <c r="AW6" s="58">
        <f>VLOOKUP($A6,historia!$A$5:$CM$24,+HLOOKUP(AW$2,historia!$A$3:$EC$4,2,FALSE),FALSE)</f>
        <v>3</v>
      </c>
      <c r="AX6" s="58">
        <f>VLOOKUP($A6,historia!$A$5:$CM$24,+HLOOKUP(AX$2,historia!$A$3:$EC$4,2,FALSE),FALSE)</f>
        <v>3</v>
      </c>
      <c r="AY6" s="58">
        <v>3</v>
      </c>
      <c r="AZ6" s="58">
        <v>3</v>
      </c>
      <c r="BA6" s="30"/>
      <c r="BB6" s="141">
        <v>3</v>
      </c>
      <c r="BC6" t="str">
        <f t="shared" ref="BC6:BC24" si="20">+A6</f>
        <v>Algodón</v>
      </c>
      <c r="BD6">
        <f>+datos!P1</f>
        <v>16</v>
      </c>
      <c r="BE6" s="2" t="str">
        <f t="shared" si="4"/>
        <v>$/kg</v>
      </c>
      <c r="BF6" s="2">
        <f t="shared" si="4"/>
        <v>1307.9369625000002</v>
      </c>
      <c r="BG6" s="2">
        <f t="shared" si="4"/>
        <v>1279.4711941666667</v>
      </c>
      <c r="BH6" s="2">
        <f t="shared" si="4"/>
        <v>588.5463749999999</v>
      </c>
      <c r="BJ6">
        <f>+datos!BY1</f>
        <v>77</v>
      </c>
      <c r="BK6" s="2">
        <f t="shared" ref="BK6:BM24" si="21">+VLOOKUP(BK$1,ran_dat,$BJ6,FALSE)</f>
        <v>8399.1855065264099</v>
      </c>
      <c r="BL6" s="2">
        <f t="shared" si="21"/>
        <v>8609.049738738282</v>
      </c>
      <c r="BM6" s="2">
        <f t="shared" si="21"/>
        <v>3633.5602811039762</v>
      </c>
      <c r="BO6" s="1">
        <f>+datos!DK1</f>
        <v>115</v>
      </c>
      <c r="BP6" s="1">
        <f t="shared" ref="BP6:BQ24" si="22">+VLOOKUP(BP$1,ran_dat,$BO6,FALSE)</f>
        <v>650000</v>
      </c>
      <c r="BQ6" s="1">
        <f t="shared" si="22"/>
        <v>580000</v>
      </c>
      <c r="BS6" s="1">
        <f>+datos!FF1</f>
        <v>162</v>
      </c>
      <c r="BT6" s="1">
        <f t="shared" ref="BT6:BU24" si="23">+VLOOKUP(BT$1,ran_dat,$BS6,FALSE)</f>
        <v>1300000</v>
      </c>
      <c r="BU6" s="1">
        <f t="shared" si="23"/>
        <v>900000</v>
      </c>
      <c r="BW6" s="1">
        <f>+datos!JF1</f>
        <v>266</v>
      </c>
      <c r="BX6" s="1">
        <f>+SUM(CI6:CT6)</f>
        <v>192.04383068999999</v>
      </c>
      <c r="BY6" s="1">
        <f>+SUM(CU6:DF6)</f>
        <v>92.129615420000007</v>
      </c>
      <c r="CA6" s="1">
        <f>+datos!KK1</f>
        <v>297</v>
      </c>
      <c r="CB6" s="2">
        <f t="shared" ref="CB6:CB24" si="24">+SUM(DH6:DS6)</f>
        <v>61.934681580000003</v>
      </c>
      <c r="CC6" s="2">
        <f t="shared" ref="CC6:CC24" si="25">+SUM(DT6:EE6)</f>
        <v>110.38371632000002</v>
      </c>
      <c r="CE6" s="1">
        <f>+datos!HS1</f>
        <v>227</v>
      </c>
      <c r="CF6" s="1">
        <f t="shared" ref="CF6:CF24" si="26">+EG6</f>
        <v>0</v>
      </c>
      <c r="CG6" s="1">
        <f t="shared" ref="CG6:CG24" si="27">+ES6</f>
        <v>0</v>
      </c>
      <c r="CI6" s="1">
        <f t="shared" ref="CI6:CX21" si="28">+VLOOKUP(CI$1,ran_dat,$BW6,FALSE)</f>
        <v>21.922029789999996</v>
      </c>
      <c r="CJ6" s="1">
        <f t="shared" si="28"/>
        <v>19.20970509</v>
      </c>
      <c r="CK6" s="1">
        <f t="shared" si="28"/>
        <v>24.496622440000007</v>
      </c>
      <c r="CL6" s="1">
        <f t="shared" si="28"/>
        <v>21.439575039999998</v>
      </c>
      <c r="CM6" s="1">
        <f t="shared" si="28"/>
        <v>14.529816729999997</v>
      </c>
      <c r="CN6" s="1">
        <f t="shared" si="28"/>
        <v>18.258202080000007</v>
      </c>
      <c r="CO6" s="1">
        <f t="shared" si="28"/>
        <v>18.510441480000001</v>
      </c>
      <c r="CP6" s="1">
        <f t="shared" si="28"/>
        <v>7.7064561400000011</v>
      </c>
      <c r="CQ6" s="1">
        <f t="shared" si="28"/>
        <v>8.1062574399999985</v>
      </c>
      <c r="CR6" s="1">
        <f t="shared" si="28"/>
        <v>8.4463773399999997</v>
      </c>
      <c r="CS6" s="1">
        <f t="shared" si="28"/>
        <v>15.019774559999998</v>
      </c>
      <c r="CT6" s="1">
        <f t="shared" si="28"/>
        <v>14.398572559999998</v>
      </c>
      <c r="CU6" s="1">
        <f t="shared" si="28"/>
        <v>16.61514231</v>
      </c>
      <c r="CV6" s="1">
        <f t="shared" si="28"/>
        <v>14.3155891</v>
      </c>
      <c r="CW6" s="1">
        <f t="shared" si="28"/>
        <v>3.12980459</v>
      </c>
      <c r="CX6" s="1">
        <f t="shared" si="28"/>
        <v>2.3595063199999995</v>
      </c>
      <c r="CY6" s="1">
        <f t="shared" ref="CY6:DF21" si="29">+VLOOKUP(CY$1,ran_dat,$BW6,FALSE)</f>
        <v>5.3927380000000005</v>
      </c>
      <c r="CZ6" s="1">
        <f t="shared" si="29"/>
        <v>1.1182586999999999</v>
      </c>
      <c r="DA6" s="1">
        <f t="shared" si="29"/>
        <v>0.81365803999999953</v>
      </c>
      <c r="DB6" s="1">
        <f t="shared" si="29"/>
        <v>2.2053805500000006</v>
      </c>
      <c r="DC6" s="1">
        <f t="shared" si="29"/>
        <v>1.2234686099999996</v>
      </c>
      <c r="DD6" s="1">
        <f t="shared" si="29"/>
        <v>13.370618389999997</v>
      </c>
      <c r="DE6" s="1">
        <f t="shared" si="29"/>
        <v>14.835861399999999</v>
      </c>
      <c r="DF6" s="1">
        <f t="shared" si="29"/>
        <v>16.749589410000009</v>
      </c>
      <c r="DH6" s="1">
        <f t="shared" ref="DH6:DW21" si="30">+VLOOKUP(DH$1,ran_dat,$CA6,FALSE)</f>
        <v>6.3060080799999998</v>
      </c>
      <c r="DI6" s="1">
        <f t="shared" si="30"/>
        <v>3.7690183000000008</v>
      </c>
      <c r="DJ6" s="1">
        <f t="shared" si="30"/>
        <v>4.5361736000000006</v>
      </c>
      <c r="DK6" s="1">
        <f t="shared" si="30"/>
        <v>3.2956469100000003</v>
      </c>
      <c r="DL6" s="1">
        <f t="shared" si="30"/>
        <v>4.5516111999999991</v>
      </c>
      <c r="DM6" s="1">
        <f t="shared" si="30"/>
        <v>3.9375346699999998</v>
      </c>
      <c r="DN6" s="1">
        <f t="shared" si="30"/>
        <v>4.8118603300000009</v>
      </c>
      <c r="DO6" s="1">
        <f t="shared" si="30"/>
        <v>5.2295233099999994</v>
      </c>
      <c r="DP6" s="1">
        <f t="shared" si="30"/>
        <v>7.4159317900000001</v>
      </c>
      <c r="DQ6" s="1">
        <f t="shared" si="30"/>
        <v>3.5587731599999999</v>
      </c>
      <c r="DR6" s="1">
        <f t="shared" si="30"/>
        <v>6.9479693099999986</v>
      </c>
      <c r="DS6" s="1">
        <f t="shared" si="30"/>
        <v>7.5746309199999997</v>
      </c>
      <c r="DT6" s="1">
        <f t="shared" si="30"/>
        <v>8.1137987799999998</v>
      </c>
      <c r="DU6" s="1">
        <f t="shared" si="30"/>
        <v>9.2876289100000005</v>
      </c>
      <c r="DV6" s="1">
        <f t="shared" si="30"/>
        <v>7.69051375</v>
      </c>
      <c r="DW6" s="1">
        <f t="shared" si="30"/>
        <v>7.1486482300000009</v>
      </c>
      <c r="DX6" s="1">
        <f t="shared" ref="DX6:EE20" si="31">+VLOOKUP(DX$1,ran_dat,$CA6,FALSE)</f>
        <v>9.1724036200000008</v>
      </c>
      <c r="DY6" s="1">
        <f t="shared" si="31"/>
        <v>6.8489806600000005</v>
      </c>
      <c r="DZ6" s="1">
        <f t="shared" si="31"/>
        <v>8.39418884</v>
      </c>
      <c r="EA6" s="1">
        <f t="shared" si="31"/>
        <v>8.0897496800000006</v>
      </c>
      <c r="EB6" s="1">
        <f t="shared" si="31"/>
        <v>9.8858098699999992</v>
      </c>
      <c r="EC6" s="1">
        <f t="shared" si="31"/>
        <v>11.833805730000002</v>
      </c>
      <c r="ED6" s="1">
        <f t="shared" si="31"/>
        <v>13.016290730000001</v>
      </c>
      <c r="EE6" s="1">
        <f t="shared" si="31"/>
        <v>10.901897520000004</v>
      </c>
      <c r="EG6" s="14">
        <f t="shared" ref="EG6:EV21" si="32">+VLOOKUP(EG$1,ran_dat,$CE6,FALSE)</f>
        <v>0</v>
      </c>
      <c r="EH6" s="14">
        <f t="shared" si="32"/>
        <v>0</v>
      </c>
      <c r="EI6" s="1">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ref="EW6:FD20" si="33">+VLOOKUP(EW$1,ran_dat,$CE6,FALSE)</f>
        <v>0</v>
      </c>
      <c r="EX6" s="1">
        <f t="shared" si="33"/>
        <v>0</v>
      </c>
      <c r="EY6" s="1">
        <f t="shared" si="33"/>
        <v>0</v>
      </c>
      <c r="EZ6" s="1">
        <f t="shared" si="33"/>
        <v>0</v>
      </c>
      <c r="FA6" s="1">
        <f t="shared" si="33"/>
        <v>0</v>
      </c>
      <c r="FB6" s="1">
        <f t="shared" si="33"/>
        <v>0</v>
      </c>
      <c r="FC6" s="1">
        <f t="shared" si="33"/>
        <v>0</v>
      </c>
      <c r="FD6" s="1">
        <f t="shared" si="33"/>
        <v>0</v>
      </c>
      <c r="FF6" s="162">
        <f t="shared" ref="FF6:FF24" si="34">+I6-K6</f>
        <v>-8.9240455486371939E-2</v>
      </c>
    </row>
    <row r="7" spans="1:162" ht="18.75" customHeight="1">
      <c r="A7" s="244" t="s">
        <v>13</v>
      </c>
      <c r="B7" s="247"/>
      <c r="C7" s="228">
        <f t="shared" si="5"/>
        <v>-0.33</v>
      </c>
      <c r="D7" s="229">
        <v>-1</v>
      </c>
      <c r="E7" s="253">
        <f t="shared" si="6"/>
        <v>0</v>
      </c>
      <c r="F7" s="254">
        <f t="shared" si="7"/>
        <v>-3.4692157945201529E-2</v>
      </c>
      <c r="G7" s="253">
        <f t="shared" si="8"/>
        <v>-3.991101311584444E-2</v>
      </c>
      <c r="H7" s="254">
        <f t="shared" si="9"/>
        <v>3.991101311584444E-2</v>
      </c>
      <c r="I7" s="253">
        <f t="shared" si="10"/>
        <v>1.5</v>
      </c>
      <c r="J7" s="254">
        <f t="shared" si="11"/>
        <v>-0.59002559763981077</v>
      </c>
      <c r="K7" s="253">
        <f t="shared" si="12"/>
        <v>1.6417203731673924</v>
      </c>
      <c r="L7" s="254">
        <f t="shared" si="13"/>
        <v>-0.14172037316739239</v>
      </c>
      <c r="M7" s="255"/>
      <c r="N7" s="256">
        <v>1</v>
      </c>
      <c r="O7" s="253">
        <f t="shared" ref="O7:O24" si="35">IFERROR(+BP7/BQ7-1,"")</f>
        <v>7.4999999999999956E-2</v>
      </c>
      <c r="P7" s="257">
        <f t="shared" ref="P7:P24" si="36">+O7</f>
        <v>7.4999999999999956E-2</v>
      </c>
      <c r="Q7" s="253">
        <f t="shared" si="14"/>
        <v>8.3333333333333259E-2</v>
      </c>
      <c r="R7" s="257">
        <f t="shared" ref="R7:R24" si="37">+Q7</f>
        <v>8.3333333333333259E-2</v>
      </c>
      <c r="S7" s="255"/>
      <c r="T7" s="256">
        <v>-1</v>
      </c>
      <c r="U7" s="253">
        <f t="shared" si="15"/>
        <v>1.2802639587641496E-2</v>
      </c>
      <c r="V7" s="258">
        <f t="shared" si="16"/>
        <v>1.2802639587641496E-2</v>
      </c>
      <c r="W7" s="253">
        <f t="shared" ref="W7:W24" si="38">IFERROR(IF(CB7&lt;0.5,"",+CB7/CC7-1),"")</f>
        <v>5.3131734654267788</v>
      </c>
      <c r="X7" s="258">
        <f t="shared" si="17"/>
        <v>5.3131734654267788</v>
      </c>
      <c r="Y7" s="253">
        <f t="shared" si="18"/>
        <v>0</v>
      </c>
      <c r="Z7" s="258">
        <f t="shared" si="19"/>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
        <f>VLOOKUP($A7,historia!$A$5:$CM$24,+HLOOKUP(AO$2,historia!$A$3:$EC$4,2,FALSE),FALSE)</f>
        <v>5</v>
      </c>
      <c r="AP7" s="28">
        <f>VLOOKUP($A7,historia!$A$5:$CM$24,+HLOOKUP(AP$2,historia!$A$3:$EC$4,2,FALSE),FALSE)</f>
        <v>4</v>
      </c>
      <c r="AQ7" s="28">
        <f>VLOOKUP($A7,historia!$A$5:$CM$24,+HLOOKUP(AQ$2,historia!$A$3:$EC$4,2,FALSE),FALSE)</f>
        <v>3</v>
      </c>
      <c r="AR7" s="28">
        <f>VLOOKUP($A7,historia!$A$5:$CM$24,+HLOOKUP(AR$2,historia!$A$3:$EC$4,2,FALSE),FALSE)</f>
        <v>2</v>
      </c>
      <c r="AS7" s="58">
        <f>VLOOKUP($A7,historia!$A$5:$CM$24,+HLOOKUP(AS$2,historia!$A$3:$EC$4,2,FALSE),FALSE)</f>
        <v>2</v>
      </c>
      <c r="AT7" s="58">
        <f>VLOOKUP($A7,historia!$A$5:$CM$24,+HLOOKUP(AT$2,historia!$A$3:$EC$4,2,FALSE),FALSE)</f>
        <v>2</v>
      </c>
      <c r="AU7" s="58">
        <f>VLOOKUP($A7,historia!$A$5:$CM$24,+HLOOKUP(AU$2,historia!$A$3:$EC$4,2,FALSE),FALSE)</f>
        <v>2</v>
      </c>
      <c r="AV7" s="58">
        <f>VLOOKUP($A7,historia!$A$5:$CM$24,+HLOOKUP(AV$2,historia!$A$3:$EC$4,2,FALSE),FALSE)</f>
        <v>2</v>
      </c>
      <c r="AW7" s="58">
        <f>VLOOKUP($A7,historia!$A$5:$CM$24,+HLOOKUP(AW$2,historia!$A$3:$EC$4,2,FALSE),FALSE)</f>
        <v>2</v>
      </c>
      <c r="AX7" s="58">
        <f>VLOOKUP($A7,historia!$A$5:$CM$24,+HLOOKUP(AX$2,historia!$A$3:$EC$4,2,FALSE),FALSE)</f>
        <v>4</v>
      </c>
      <c r="AY7" s="58">
        <v>4</v>
      </c>
      <c r="AZ7" s="58">
        <v>4</v>
      </c>
      <c r="BA7" s="30"/>
      <c r="BB7" s="141">
        <v>4</v>
      </c>
      <c r="BC7" t="str">
        <f t="shared" si="20"/>
        <v>Arroz</v>
      </c>
      <c r="BD7">
        <f>+datos!R1</f>
        <v>18</v>
      </c>
      <c r="BE7" s="2" t="str">
        <f t="shared" si="4"/>
        <v>$/t</v>
      </c>
      <c r="BF7" s="2">
        <f t="shared" si="4"/>
        <v>400000</v>
      </c>
      <c r="BG7" s="2">
        <f t="shared" si="4"/>
        <v>400000</v>
      </c>
      <c r="BH7" s="2">
        <f t="shared" si="4"/>
        <v>160000</v>
      </c>
      <c r="BJ7">
        <f>+datos!BZ1</f>
        <v>78</v>
      </c>
      <c r="BK7" s="2">
        <f t="shared" si="21"/>
        <v>8019.0376218581323</v>
      </c>
      <c r="BL7" s="2">
        <f t="shared" si="21"/>
        <v>8352.389967395502</v>
      </c>
      <c r="BM7" s="2">
        <f t="shared" si="21"/>
        <v>3035.5361238492469</v>
      </c>
      <c r="BO7" s="1">
        <f>+datos!DM1</f>
        <v>117</v>
      </c>
      <c r="BP7" s="1">
        <f t="shared" si="22"/>
        <v>215000</v>
      </c>
      <c r="BQ7" s="1">
        <f t="shared" si="22"/>
        <v>200000</v>
      </c>
      <c r="BS7" s="1">
        <f>+datos!FH1</f>
        <v>164</v>
      </c>
      <c r="BT7" s="1">
        <f t="shared" si="23"/>
        <v>1300000</v>
      </c>
      <c r="BU7" s="1">
        <f t="shared" si="23"/>
        <v>1200000</v>
      </c>
      <c r="BW7" s="1">
        <f>+datos!JG1</f>
        <v>267</v>
      </c>
      <c r="BX7" s="1">
        <f t="shared" ref="BX7:BX24" si="39">+SUM(CI7:CT7)</f>
        <v>274.64293007000003</v>
      </c>
      <c r="BY7" s="1">
        <f t="shared" ref="BY7:BY24" si="40">+SUM(CU7:DF7)</f>
        <v>271.17122264</v>
      </c>
      <c r="CA7" s="1">
        <f>+datos!KL1</f>
        <v>298</v>
      </c>
      <c r="CB7" s="2">
        <f t="shared" si="24"/>
        <v>3.4545717400000009</v>
      </c>
      <c r="CC7" s="2">
        <f t="shared" si="25"/>
        <v>0.54720051000000003</v>
      </c>
      <c r="CE7" s="1">
        <f>+datos!HU1</f>
        <v>229</v>
      </c>
      <c r="CF7" s="1">
        <f t="shared" si="26"/>
        <v>700000</v>
      </c>
      <c r="CG7" s="1">
        <f t="shared" si="27"/>
        <v>700000</v>
      </c>
      <c r="CI7" s="1">
        <f t="shared" si="28"/>
        <v>26.198510359999997</v>
      </c>
      <c r="CJ7" s="1">
        <f t="shared" si="28"/>
        <v>16.658344929999998</v>
      </c>
      <c r="CK7" s="1">
        <f t="shared" si="28"/>
        <v>38.799980059999996</v>
      </c>
      <c r="CL7" s="1">
        <f t="shared" si="28"/>
        <v>35.598317799999997</v>
      </c>
      <c r="CM7" s="1">
        <f t="shared" si="28"/>
        <v>32.785113670000001</v>
      </c>
      <c r="CN7" s="1">
        <f t="shared" si="28"/>
        <v>22.35722878</v>
      </c>
      <c r="CO7" s="1">
        <f t="shared" si="28"/>
        <v>34.376458229999997</v>
      </c>
      <c r="CP7" s="1">
        <f t="shared" si="28"/>
        <v>13.355622539999999</v>
      </c>
      <c r="CQ7" s="1">
        <f t="shared" si="28"/>
        <v>10.68224592</v>
      </c>
      <c r="CR7" s="1">
        <f t="shared" si="28"/>
        <v>15.82785018</v>
      </c>
      <c r="CS7" s="1">
        <f t="shared" si="28"/>
        <v>16.180063639999997</v>
      </c>
      <c r="CT7" s="1">
        <f t="shared" si="28"/>
        <v>11.823193960000001</v>
      </c>
      <c r="CU7" s="1">
        <f t="shared" si="28"/>
        <v>12.24327484</v>
      </c>
      <c r="CV7" s="1">
        <f t="shared" si="28"/>
        <v>9.600226039999999</v>
      </c>
      <c r="CW7" s="1">
        <f t="shared" si="28"/>
        <v>26.338491399999999</v>
      </c>
      <c r="CX7" s="1">
        <f t="shared" si="28"/>
        <v>21.418726320000001</v>
      </c>
      <c r="CY7" s="1">
        <f t="shared" si="29"/>
        <v>22.255101539999998</v>
      </c>
      <c r="CZ7" s="1">
        <f t="shared" si="29"/>
        <v>44.848914040000004</v>
      </c>
      <c r="DA7" s="1">
        <f t="shared" si="29"/>
        <v>20.357260950000001</v>
      </c>
      <c r="DB7" s="1">
        <f t="shared" si="29"/>
        <v>17.134564559999998</v>
      </c>
      <c r="DC7" s="1">
        <f t="shared" si="29"/>
        <v>28.8463791</v>
      </c>
      <c r="DD7" s="1">
        <f t="shared" si="29"/>
        <v>29.656605189999997</v>
      </c>
      <c r="DE7" s="1">
        <f t="shared" si="29"/>
        <v>22.47426432</v>
      </c>
      <c r="DF7" s="1">
        <f t="shared" si="29"/>
        <v>15.997414339999999</v>
      </c>
      <c r="DH7" s="1">
        <f t="shared" si="30"/>
        <v>0.40961613000000002</v>
      </c>
      <c r="DI7" s="1">
        <f t="shared" si="30"/>
        <v>0.23587240000000001</v>
      </c>
      <c r="DJ7" s="1">
        <f t="shared" si="30"/>
        <v>0.18557204999999999</v>
      </c>
      <c r="DK7" s="1">
        <f t="shared" si="30"/>
        <v>0.48301414000000004</v>
      </c>
      <c r="DL7" s="1">
        <f t="shared" si="30"/>
        <v>0.23845672000000001</v>
      </c>
      <c r="DM7" s="1">
        <f t="shared" si="30"/>
        <v>0.50080292000000004</v>
      </c>
      <c r="DN7" s="1">
        <f t="shared" si="30"/>
        <v>8.6091799999999996E-2</v>
      </c>
      <c r="DO7" s="1">
        <f t="shared" si="30"/>
        <v>0.22536</v>
      </c>
      <c r="DP7" s="1">
        <f t="shared" si="30"/>
        <v>0.8256</v>
      </c>
      <c r="DQ7" s="1">
        <f t="shared" si="30"/>
        <v>3.973985E-2</v>
      </c>
      <c r="DR7" s="1">
        <f t="shared" si="30"/>
        <v>3.3462720000000001E-2</v>
      </c>
      <c r="DS7" s="1">
        <f t="shared" si="30"/>
        <v>0.19098301000000001</v>
      </c>
      <c r="DT7" s="1">
        <f t="shared" si="30"/>
        <v>0.10767879</v>
      </c>
      <c r="DU7" s="1">
        <f t="shared" si="30"/>
        <v>5.5773490000000002E-2</v>
      </c>
      <c r="DV7" s="1">
        <f t="shared" si="30"/>
        <v>8.7189080000000002E-2</v>
      </c>
      <c r="DW7" s="1">
        <f t="shared" si="30"/>
        <v>3.9243889999999997E-2</v>
      </c>
      <c r="DX7" s="1">
        <f t="shared" si="31"/>
        <v>0.10892111</v>
      </c>
      <c r="DY7" s="1">
        <f t="shared" si="31"/>
        <v>1.8036480000000001E-2</v>
      </c>
      <c r="DZ7" s="1">
        <f t="shared" si="31"/>
        <v>2.0500000000000002E-3</v>
      </c>
      <c r="EA7" s="1">
        <f t="shared" si="31"/>
        <v>1.0492100000000001E-3</v>
      </c>
      <c r="EB7" s="1">
        <f t="shared" si="31"/>
        <v>2.7127990000000001E-2</v>
      </c>
      <c r="EC7" s="1">
        <f t="shared" si="31"/>
        <v>2.9352990000000002E-2</v>
      </c>
      <c r="ED7" s="1">
        <f t="shared" si="31"/>
        <v>4.3800639999999995E-2</v>
      </c>
      <c r="EE7" s="1">
        <f t="shared" si="31"/>
        <v>2.6976839999999998E-2</v>
      </c>
      <c r="EG7" s="14">
        <f t="shared" si="32"/>
        <v>700000</v>
      </c>
      <c r="EH7" s="14">
        <f t="shared" si="32"/>
        <v>700000</v>
      </c>
      <c r="EI7" s="1">
        <f t="shared" si="32"/>
        <v>700000</v>
      </c>
      <c r="EJ7" s="1">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3"/>
        <v>700000</v>
      </c>
      <c r="EX7" s="1">
        <f t="shared" si="33"/>
        <v>700000</v>
      </c>
      <c r="EY7" s="1">
        <f t="shared" si="33"/>
        <v>700000</v>
      </c>
      <c r="EZ7" s="1">
        <f t="shared" si="33"/>
        <v>650000</v>
      </c>
      <c r="FA7" s="1">
        <f t="shared" si="33"/>
        <v>650000</v>
      </c>
      <c r="FB7" s="1">
        <f t="shared" si="33"/>
        <v>650000</v>
      </c>
      <c r="FC7" s="1">
        <f t="shared" si="33"/>
        <v>650000</v>
      </c>
      <c r="FD7" s="1">
        <f t="shared" si="33"/>
        <v>650000</v>
      </c>
      <c r="FF7" s="162">
        <f t="shared" si="34"/>
        <v>-0.14172037316739239</v>
      </c>
    </row>
    <row r="8" spans="1:162" ht="18.75" customHeight="1">
      <c r="A8" s="243" t="s">
        <v>215</v>
      </c>
      <c r="B8" s="246"/>
      <c r="C8" s="156">
        <f t="shared" si="5"/>
        <v>-0.33</v>
      </c>
      <c r="D8" s="198">
        <v>0</v>
      </c>
      <c r="E8" s="248">
        <f t="shared" si="6"/>
        <v>9.7452835803131244E-3</v>
      </c>
      <c r="F8" s="249">
        <f t="shared" si="7"/>
        <v>-2.4946874364888405E-2</v>
      </c>
      <c r="G8" s="248">
        <f t="shared" si="8"/>
        <v>4.6153932248845786E-2</v>
      </c>
      <c r="H8" s="249">
        <f t="shared" si="9"/>
        <v>-3.6408648668532662E-2</v>
      </c>
      <c r="I8" s="248">
        <f t="shared" si="10"/>
        <v>1.2440713161479757</v>
      </c>
      <c r="J8" s="249">
        <f t="shared" si="11"/>
        <v>-0.84595428149183505</v>
      </c>
      <c r="K8" s="248">
        <f t="shared" si="12"/>
        <v>1.5916051575253594</v>
      </c>
      <c r="L8" s="249">
        <f t="shared" si="13"/>
        <v>-0.34753384137738363</v>
      </c>
      <c r="M8" s="250"/>
      <c r="N8" s="24">
        <v>0</v>
      </c>
      <c r="O8" s="248">
        <f t="shared" si="35"/>
        <v>-2.6355100298762313E-2</v>
      </c>
      <c r="P8" s="251">
        <f t="shared" si="36"/>
        <v>-2.6355100298762313E-2</v>
      </c>
      <c r="Q8" s="248">
        <f t="shared" si="14"/>
        <v>-3.8970737417314272E-3</v>
      </c>
      <c r="R8" s="251">
        <f t="shared" si="37"/>
        <v>-3.8970737417314272E-3</v>
      </c>
      <c r="S8" s="250"/>
      <c r="T8" s="24">
        <v>-1</v>
      </c>
      <c r="U8" s="248">
        <f t="shared" si="15"/>
        <v>-0.12809670365476755</v>
      </c>
      <c r="V8" s="252">
        <f t="shared" si="16"/>
        <v>-0.12809670365476755</v>
      </c>
      <c r="W8" s="248">
        <f t="shared" si="38"/>
        <v>-8.1909406098319981E-2</v>
      </c>
      <c r="X8" s="252">
        <f t="shared" si="17"/>
        <v>-8.1909406098319981E-2</v>
      </c>
      <c r="Y8" s="248">
        <f t="shared" si="18"/>
        <v>-7.8247602441150921E-2</v>
      </c>
      <c r="Z8" s="252">
        <f t="shared" si="19"/>
        <v>-7.8247602441150921E-2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
        <f>VLOOKUP($A8,historia!$A$5:$CM$24,+HLOOKUP(AO$2,historia!$A$3:$EC$4,2,FALSE),FALSE)</f>
        <v>4</v>
      </c>
      <c r="AP8" s="28">
        <f>VLOOKUP($A8,historia!$A$5:$CM$24,+HLOOKUP(AP$2,historia!$A$3:$EC$4,2,FALSE),FALSE)</f>
        <v>4</v>
      </c>
      <c r="AQ8" s="28">
        <f>VLOOKUP($A8,historia!$A$5:$CM$24,+HLOOKUP(AQ$2,historia!$A$3:$EC$4,2,FALSE),FALSE)</f>
        <v>5</v>
      </c>
      <c r="AR8" s="28">
        <f>VLOOKUP($A8,historia!$A$5:$CM$24,+HLOOKUP(AR$2,historia!$A$3:$EC$4,2,FALSE),FALSE)</f>
        <v>2</v>
      </c>
      <c r="AS8" s="58">
        <f>VLOOKUP($A8,historia!$A$5:$CM$24,+HLOOKUP(AS$2,historia!$A$3:$EC$4,2,FALSE),FALSE)</f>
        <v>1</v>
      </c>
      <c r="AT8" s="58">
        <f>VLOOKUP($A8,historia!$A$5:$CM$24,+HLOOKUP(AT$2,historia!$A$3:$EC$4,2,FALSE),FALSE)</f>
        <v>1</v>
      </c>
      <c r="AU8" s="58">
        <f>VLOOKUP($A8,historia!$A$5:$CM$24,+HLOOKUP(AU$2,historia!$A$3:$EC$4,2,FALSE),FALSE)</f>
        <v>2</v>
      </c>
      <c r="AV8" s="58">
        <f>VLOOKUP($A8,historia!$A$5:$CM$24,+HLOOKUP(AV$2,historia!$A$3:$EC$4,2,FALSE),FALSE)</f>
        <v>3</v>
      </c>
      <c r="AW8" s="58">
        <f>VLOOKUP($A8,historia!$A$5:$CM$24,+HLOOKUP(AW$2,historia!$A$3:$EC$4,2,FALSE),FALSE)</f>
        <v>3</v>
      </c>
      <c r="AX8" s="58">
        <f>VLOOKUP($A8,historia!$A$5:$CM$24,+HLOOKUP(AX$2,historia!$A$3:$EC$4,2,FALSE),FALSE)</f>
        <v>3</v>
      </c>
      <c r="AY8" s="58">
        <v>3</v>
      </c>
      <c r="AZ8" s="58">
        <v>3</v>
      </c>
      <c r="BA8" s="30"/>
      <c r="BB8" s="141">
        <v>3</v>
      </c>
      <c r="BC8" t="str">
        <f t="shared" si="20"/>
        <v>Aves</v>
      </c>
      <c r="BD8">
        <f>+datos!BQ1</f>
        <v>69</v>
      </c>
      <c r="BE8" s="2" t="str">
        <f t="shared" si="4"/>
        <v>prom pond huevo-carne</v>
      </c>
      <c r="BF8" s="2">
        <f t="shared" si="4"/>
        <v>1696.6750000000002</v>
      </c>
      <c r="BG8" s="2">
        <f t="shared" si="4"/>
        <v>1680.3000000000002</v>
      </c>
      <c r="BH8" s="2">
        <f t="shared" si="4"/>
        <v>756.07</v>
      </c>
      <c r="BJ8">
        <f>+datos!DG1</f>
        <v>111</v>
      </c>
      <c r="BK8" s="2">
        <f t="shared" si="21"/>
        <v>8003.8234881734688</v>
      </c>
      <c r="BL8" s="2">
        <f t="shared" si="21"/>
        <v>7650.7129987727476</v>
      </c>
      <c r="BM8" s="2">
        <f t="shared" si="21"/>
        <v>3088.3653186645388</v>
      </c>
      <c r="BO8" s="1">
        <f>+datos!EP1</f>
        <v>146</v>
      </c>
      <c r="BP8" s="1">
        <f t="shared" si="22"/>
        <v>9125</v>
      </c>
      <c r="BQ8" s="1">
        <f t="shared" si="22"/>
        <v>9372</v>
      </c>
      <c r="BS8" s="1">
        <f>+datos!HM1</f>
        <v>221</v>
      </c>
      <c r="BT8" s="1">
        <f t="shared" si="23"/>
        <v>2356866.7422992866</v>
      </c>
      <c r="BU8" s="1">
        <f t="shared" si="23"/>
        <v>2366087.56</v>
      </c>
      <c r="BW8" s="1">
        <f>+datos!KF1</f>
        <v>292</v>
      </c>
      <c r="BX8" s="1">
        <f t="shared" si="39"/>
        <v>356.79430679999996</v>
      </c>
      <c r="BY8" s="1">
        <f t="shared" si="40"/>
        <v>409.21316423000002</v>
      </c>
      <c r="CA8" s="1">
        <f>+datos!LK1</f>
        <v>323</v>
      </c>
      <c r="CB8" s="2">
        <f t="shared" si="24"/>
        <v>37.10408597</v>
      </c>
      <c r="CC8" s="2">
        <f t="shared" si="25"/>
        <v>40.414405960000003</v>
      </c>
      <c r="CE8" s="1">
        <f>+datos!IL1</f>
        <v>246</v>
      </c>
      <c r="CF8" s="1">
        <f t="shared" si="26"/>
        <v>42.29</v>
      </c>
      <c r="CG8" s="1">
        <f t="shared" si="27"/>
        <v>45.88</v>
      </c>
      <c r="CI8" s="1">
        <f t="shared" si="28"/>
        <v>22.566015059999998</v>
      </c>
      <c r="CJ8" s="1">
        <f t="shared" si="28"/>
        <v>20.944876220000001</v>
      </c>
      <c r="CK8" s="1">
        <f t="shared" si="28"/>
        <v>23.157032140000002</v>
      </c>
      <c r="CL8" s="1">
        <f t="shared" si="28"/>
        <v>19.314763240000005</v>
      </c>
      <c r="CM8" s="1">
        <f t="shared" si="28"/>
        <v>22.778743510000002</v>
      </c>
      <c r="CN8" s="1">
        <f t="shared" si="28"/>
        <v>39.062197300000001</v>
      </c>
      <c r="CO8" s="1">
        <f t="shared" si="28"/>
        <v>40.013868680000002</v>
      </c>
      <c r="CP8" s="1">
        <f t="shared" si="28"/>
        <v>35.607742460000011</v>
      </c>
      <c r="CQ8" s="1">
        <f t="shared" si="28"/>
        <v>32.51792974</v>
      </c>
      <c r="CR8" s="1">
        <f t="shared" si="28"/>
        <v>35.210116300000003</v>
      </c>
      <c r="CS8" s="1">
        <f t="shared" si="28"/>
        <v>30.603465830000005</v>
      </c>
      <c r="CT8" s="1">
        <f t="shared" si="28"/>
        <v>35.017556320000004</v>
      </c>
      <c r="CU8" s="1">
        <f t="shared" si="28"/>
        <v>24.343011479999998</v>
      </c>
      <c r="CV8" s="1">
        <f t="shared" si="28"/>
        <v>32.053320659999997</v>
      </c>
      <c r="CW8" s="1">
        <f t="shared" si="28"/>
        <v>25.827296739999998</v>
      </c>
      <c r="CX8" s="1">
        <f t="shared" si="28"/>
        <v>20.281404040000002</v>
      </c>
      <c r="CY8" s="1">
        <f t="shared" si="29"/>
        <v>20.776878260000004</v>
      </c>
      <c r="CZ8" s="1">
        <f t="shared" si="29"/>
        <v>18.00257775</v>
      </c>
      <c r="DA8" s="1">
        <f t="shared" si="29"/>
        <v>18.061317600000002</v>
      </c>
      <c r="DB8" s="1">
        <f t="shared" si="29"/>
        <v>50.712421620000008</v>
      </c>
      <c r="DC8" s="1">
        <f t="shared" si="29"/>
        <v>45.90045215</v>
      </c>
      <c r="DD8" s="1">
        <f t="shared" si="29"/>
        <v>47.273016750000004</v>
      </c>
      <c r="DE8" s="1">
        <f t="shared" si="29"/>
        <v>53.715518810000006</v>
      </c>
      <c r="DF8" s="1">
        <f t="shared" si="29"/>
        <v>52.265948369999997</v>
      </c>
      <c r="DH8" s="1">
        <f t="shared" si="30"/>
        <v>3.59052696</v>
      </c>
      <c r="DI8" s="1">
        <f t="shared" si="30"/>
        <v>2.1766254799999998</v>
      </c>
      <c r="DJ8" s="1">
        <f t="shared" si="30"/>
        <v>1.5903026900000001</v>
      </c>
      <c r="DK8" s="1">
        <f t="shared" si="30"/>
        <v>5.6916922899999998</v>
      </c>
      <c r="DL8" s="1">
        <f t="shared" si="30"/>
        <v>1.7294530099999998</v>
      </c>
      <c r="DM8" s="1">
        <f t="shared" si="30"/>
        <v>4.2232492399999995</v>
      </c>
      <c r="DN8" s="1">
        <f t="shared" si="30"/>
        <v>1.27466579</v>
      </c>
      <c r="DO8" s="1">
        <f t="shared" si="30"/>
        <v>1.8857013599999999</v>
      </c>
      <c r="DP8" s="1">
        <f t="shared" si="30"/>
        <v>4.07849503</v>
      </c>
      <c r="DQ8" s="1">
        <f t="shared" si="30"/>
        <v>2.60999925</v>
      </c>
      <c r="DR8" s="1">
        <f t="shared" si="30"/>
        <v>4.3280037599999996</v>
      </c>
      <c r="DS8" s="1">
        <f t="shared" si="30"/>
        <v>3.9253711099999995</v>
      </c>
      <c r="DT8" s="1">
        <f t="shared" si="30"/>
        <v>2.66724104</v>
      </c>
      <c r="DU8" s="1">
        <f t="shared" si="30"/>
        <v>1.3237541899999998</v>
      </c>
      <c r="DV8" s="1">
        <f t="shared" si="30"/>
        <v>4.0034089300000009</v>
      </c>
      <c r="DW8" s="1">
        <f t="shared" si="30"/>
        <v>4.2620939999999994</v>
      </c>
      <c r="DX8" s="1">
        <f t="shared" si="31"/>
        <v>6.8027163900000005</v>
      </c>
      <c r="DY8" s="1">
        <f t="shared" si="31"/>
        <v>1.73014019</v>
      </c>
      <c r="DZ8" s="1">
        <f t="shared" si="31"/>
        <v>6.4691643499999998</v>
      </c>
      <c r="EA8" s="1">
        <f t="shared" si="31"/>
        <v>1.80858622</v>
      </c>
      <c r="EB8" s="1">
        <f t="shared" si="31"/>
        <v>3.7432468400000003</v>
      </c>
      <c r="EC8" s="1">
        <f t="shared" si="31"/>
        <v>0.59472115000000003</v>
      </c>
      <c r="ED8" s="1">
        <f t="shared" si="31"/>
        <v>5.9863547400000003</v>
      </c>
      <c r="EE8" s="1">
        <f t="shared" si="31"/>
        <v>1.02297792</v>
      </c>
      <c r="EG8" s="14">
        <f t="shared" si="32"/>
        <v>42.29</v>
      </c>
      <c r="EH8" s="14">
        <f t="shared" si="32"/>
        <v>45.39</v>
      </c>
      <c r="EI8" s="1">
        <f t="shared" si="32"/>
        <v>45.32</v>
      </c>
      <c r="EJ8" s="1">
        <f t="shared" si="32"/>
        <v>44.85</v>
      </c>
      <c r="EK8" s="1">
        <f t="shared" si="32"/>
        <v>45.52</v>
      </c>
      <c r="EL8" s="1">
        <f t="shared" si="32"/>
        <v>46.23</v>
      </c>
      <c r="EM8" s="1">
        <f t="shared" si="32"/>
        <v>46.23</v>
      </c>
      <c r="EN8" s="1">
        <f t="shared" si="32"/>
        <v>46.23</v>
      </c>
      <c r="EO8" s="1">
        <f t="shared" si="32"/>
        <v>48.52</v>
      </c>
      <c r="EP8" s="1">
        <f t="shared" si="32"/>
        <v>45.85</v>
      </c>
      <c r="EQ8" s="1">
        <f t="shared" si="32"/>
        <v>46.03</v>
      </c>
      <c r="ER8" s="1">
        <f t="shared" si="32"/>
        <v>46.13</v>
      </c>
      <c r="ES8" s="1">
        <f t="shared" si="32"/>
        <v>45.88</v>
      </c>
      <c r="ET8" s="1">
        <f t="shared" si="32"/>
        <v>46.09</v>
      </c>
      <c r="EU8" s="1">
        <f t="shared" si="32"/>
        <v>45.9</v>
      </c>
      <c r="EV8" s="1">
        <f t="shared" si="32"/>
        <v>46</v>
      </c>
      <c r="EW8" s="1">
        <f t="shared" si="33"/>
        <v>45.99</v>
      </c>
      <c r="EX8" s="1">
        <f t="shared" si="33"/>
        <v>45.74</v>
      </c>
      <c r="EY8" s="1">
        <f t="shared" si="33"/>
        <v>45.46</v>
      </c>
      <c r="EZ8" s="1">
        <f t="shared" si="33"/>
        <v>45.56</v>
      </c>
      <c r="FA8" s="1">
        <f t="shared" si="33"/>
        <v>45.71</v>
      </c>
      <c r="FB8" s="1">
        <f t="shared" si="33"/>
        <v>45.71</v>
      </c>
      <c r="FC8" s="1">
        <f t="shared" si="33"/>
        <v>46.04</v>
      </c>
      <c r="FD8" s="1">
        <f t="shared" si="33"/>
        <v>45.9</v>
      </c>
      <c r="FF8" s="162">
        <f t="shared" si="34"/>
        <v>-0.34753384137738363</v>
      </c>
    </row>
    <row r="9" spans="1:162" ht="18.75" customHeight="1">
      <c r="A9" s="244" t="s">
        <v>77</v>
      </c>
      <c r="B9" s="247"/>
      <c r="C9" s="228">
        <v>0</v>
      </c>
      <c r="D9" s="229">
        <v>1</v>
      </c>
      <c r="E9" s="253">
        <f t="shared" si="6"/>
        <v>9.6426026629989892E-3</v>
      </c>
      <c r="F9" s="254">
        <f t="shared" si="7"/>
        <v>-2.504955528220254E-2</v>
      </c>
      <c r="G9" s="253">
        <f t="shared" si="8"/>
        <v>1.3747062816329425E-2</v>
      </c>
      <c r="H9" s="254">
        <f t="shared" si="9"/>
        <v>-4.1044601533304359E-3</v>
      </c>
      <c r="I9" s="253">
        <f t="shared" si="10"/>
        <v>1.8195869367621831</v>
      </c>
      <c r="J9" s="254">
        <f t="shared" si="11"/>
        <v>-0.27043866087762769</v>
      </c>
      <c r="K9" s="253">
        <f t="shared" si="12"/>
        <v>1.6408101654505485</v>
      </c>
      <c r="L9" s="254">
        <f t="shared" si="13"/>
        <v>0.17877677131163461</v>
      </c>
      <c r="M9" s="255"/>
      <c r="N9" s="256">
        <v>-1</v>
      </c>
      <c r="O9" s="253">
        <f t="shared" si="35"/>
        <v>-2.6892205286269899E-2</v>
      </c>
      <c r="P9" s="257">
        <f t="shared" si="36"/>
        <v>-2.6892205286269899E-2</v>
      </c>
      <c r="Q9" s="253">
        <f t="shared" si="14"/>
        <v>-5.0767631531992929E-2</v>
      </c>
      <c r="R9" s="257">
        <f t="shared" si="37"/>
        <v>-5.0767631531992929E-2</v>
      </c>
      <c r="S9" s="255"/>
      <c r="T9" s="256">
        <v>0</v>
      </c>
      <c r="U9" s="253">
        <f t="shared" si="15"/>
        <v>-1.8465555968622649E-2</v>
      </c>
      <c r="V9" s="258">
        <f t="shared" si="16"/>
        <v>-1.8465555968622649E-2</v>
      </c>
      <c r="W9" s="253">
        <f t="shared" si="38"/>
        <v>-0.30316109812274716</v>
      </c>
      <c r="X9" s="258">
        <f t="shared" si="17"/>
        <v>-0.30316109812274716</v>
      </c>
      <c r="Y9" s="253">
        <f t="shared" si="18"/>
        <v>-7.1162517153499194E-2</v>
      </c>
      <c r="Z9" s="258">
        <f t="shared" si="19"/>
        <v>-7.1162517153499194E-2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
        <f>VLOOKUP($A9,historia!$A$5:$CM$24,+HLOOKUP(AO$2,historia!$A$3:$EC$4,2,FALSE),FALSE)</f>
        <v>3</v>
      </c>
      <c r="AP9" s="28">
        <f>VLOOKUP($A9,historia!$A$5:$CM$24,+HLOOKUP(AP$2,historia!$A$3:$EC$4,2,FALSE),FALSE)</f>
        <v>3</v>
      </c>
      <c r="AQ9" s="28">
        <f>VLOOKUP($A9,historia!$A$5:$CM$24,+HLOOKUP(AQ$2,historia!$A$3:$EC$4,2,FALSE),FALSE)</f>
        <v>3</v>
      </c>
      <c r="AR9" s="28">
        <f>VLOOKUP($A9,historia!$A$5:$CM$24,+HLOOKUP(AR$2,historia!$A$3:$EC$4,2,FALSE),FALSE)</f>
        <v>2</v>
      </c>
      <c r="AS9" s="58">
        <f>VLOOKUP($A9,historia!$A$5:$CM$24,+HLOOKUP(AS$2,historia!$A$3:$EC$4,2,FALSE),FALSE)</f>
        <v>2</v>
      </c>
      <c r="AT9" s="58">
        <f>VLOOKUP($A9,historia!$A$5:$CM$24,+HLOOKUP(AT$2,historia!$A$3:$EC$4,2,FALSE),FALSE)</f>
        <v>2</v>
      </c>
      <c r="AU9" s="58">
        <f>VLOOKUP($A9,historia!$A$5:$CM$24,+HLOOKUP(AU$2,historia!$A$3:$EC$4,2,FALSE),FALSE)</f>
        <v>4</v>
      </c>
      <c r="AV9" s="58">
        <f>VLOOKUP($A9,historia!$A$5:$CM$24,+HLOOKUP(AV$2,historia!$A$3:$EC$4,2,FALSE),FALSE)</f>
        <v>4</v>
      </c>
      <c r="AW9" s="58">
        <f>VLOOKUP($A9,historia!$A$5:$CM$24,+HLOOKUP(AW$2,historia!$A$3:$EC$4,2,FALSE),FALSE)</f>
        <v>3</v>
      </c>
      <c r="AX9" s="58">
        <f>VLOOKUP($A9,historia!$A$5:$CM$24,+HLOOKUP(AX$2,historia!$A$3:$EC$4,2,FALSE),FALSE)</f>
        <v>3</v>
      </c>
      <c r="AY9" s="58">
        <v>3</v>
      </c>
      <c r="AZ9" s="58">
        <v>4</v>
      </c>
      <c r="BA9" s="30"/>
      <c r="BB9" s="141">
        <v>3</v>
      </c>
      <c r="BC9" t="str">
        <f t="shared" si="20"/>
        <v>Bovinos</v>
      </c>
      <c r="BD9">
        <f>+datos!BM1</f>
        <v>65</v>
      </c>
      <c r="BE9" s="2" t="str">
        <f t="shared" si="4"/>
        <v>$/kg</v>
      </c>
      <c r="BF9" s="2">
        <f t="shared" si="4"/>
        <v>2278.4645</v>
      </c>
      <c r="BG9" s="2">
        <f t="shared" si="4"/>
        <v>2256.7039999999997</v>
      </c>
      <c r="BH9" s="2">
        <f t="shared" si="4"/>
        <v>808.08449999999993</v>
      </c>
      <c r="BJ9">
        <f>+datos!DB1</f>
        <v>106</v>
      </c>
      <c r="BK9" s="2">
        <f t="shared" si="21"/>
        <v>8506.9924332949176</v>
      </c>
      <c r="BL9" s="2">
        <f t="shared" si="21"/>
        <v>8391.6321391465408</v>
      </c>
      <c r="BM9" s="2">
        <f t="shared" si="21"/>
        <v>3221.357045875935</v>
      </c>
      <c r="BO9" s="1">
        <f>+datos!EH1</f>
        <v>138</v>
      </c>
      <c r="BP9" s="1">
        <f t="shared" si="22"/>
        <v>52783892</v>
      </c>
      <c r="BQ9" s="1">
        <f t="shared" si="22"/>
        <v>54242595</v>
      </c>
      <c r="BS9" s="1">
        <f>+datos!HB1</f>
        <v>210</v>
      </c>
      <c r="BT9" s="1">
        <f t="shared" si="23"/>
        <v>3117524</v>
      </c>
      <c r="BU9" s="1">
        <f t="shared" si="23"/>
        <v>3284258</v>
      </c>
      <c r="BW9" s="1">
        <f>+datos!KG1</f>
        <v>293</v>
      </c>
      <c r="BX9" s="1">
        <f t="shared" si="39"/>
        <v>3946.3541088099987</v>
      </c>
      <c r="BY9" s="1">
        <f t="shared" si="40"/>
        <v>4020.5966614899999</v>
      </c>
      <c r="CA9" s="1">
        <f>+datos!LL1</f>
        <v>324</v>
      </c>
      <c r="CB9" s="2">
        <f t="shared" si="24"/>
        <v>34.043920870000001</v>
      </c>
      <c r="CC9" s="2">
        <f t="shared" si="25"/>
        <v>48.85479380999999</v>
      </c>
      <c r="CE9" s="1">
        <f>+datos!IM1</f>
        <v>247</v>
      </c>
      <c r="CF9" s="1">
        <f t="shared" si="26"/>
        <v>47.38</v>
      </c>
      <c r="CG9" s="1">
        <f t="shared" si="27"/>
        <v>51.01</v>
      </c>
      <c r="CI9" s="1">
        <f t="shared" si="28"/>
        <v>392.24577093999977</v>
      </c>
      <c r="CJ9" s="1">
        <f t="shared" si="28"/>
        <v>370.00520762000008</v>
      </c>
      <c r="CK9" s="1">
        <f t="shared" si="28"/>
        <v>307.7105307999999</v>
      </c>
      <c r="CL9" s="1">
        <f t="shared" si="28"/>
        <v>311.98041742999999</v>
      </c>
      <c r="CM9" s="1">
        <f t="shared" si="28"/>
        <v>309.32423856999998</v>
      </c>
      <c r="CN9" s="1">
        <f t="shared" si="28"/>
        <v>316.28118749999999</v>
      </c>
      <c r="CO9" s="1">
        <f t="shared" si="28"/>
        <v>350.14414257999977</v>
      </c>
      <c r="CP9" s="1">
        <f t="shared" si="28"/>
        <v>342.85888695999995</v>
      </c>
      <c r="CQ9" s="1">
        <f t="shared" si="28"/>
        <v>324.84866957999998</v>
      </c>
      <c r="CR9" s="1">
        <f t="shared" si="28"/>
        <v>325.97502911999987</v>
      </c>
      <c r="CS9" s="1">
        <f t="shared" si="28"/>
        <v>321.39038838999994</v>
      </c>
      <c r="CT9" s="1">
        <f t="shared" si="28"/>
        <v>273.58963931999995</v>
      </c>
      <c r="CU9" s="1">
        <f t="shared" si="28"/>
        <v>292.91820976000002</v>
      </c>
      <c r="CV9" s="1">
        <f t="shared" si="28"/>
        <v>371.72573624</v>
      </c>
      <c r="CW9" s="1">
        <f t="shared" si="28"/>
        <v>378.12790802000001</v>
      </c>
      <c r="CX9" s="1">
        <f t="shared" si="28"/>
        <v>308.34921994000001</v>
      </c>
      <c r="CY9" s="1">
        <f t="shared" si="29"/>
        <v>390.63577031</v>
      </c>
      <c r="CZ9" s="1">
        <f t="shared" si="29"/>
        <v>337.45013477999998</v>
      </c>
      <c r="DA9" s="1">
        <f t="shared" si="29"/>
        <v>339.25205494000011</v>
      </c>
      <c r="DB9" s="1">
        <f t="shared" si="29"/>
        <v>296.44265344999985</v>
      </c>
      <c r="DC9" s="1">
        <f t="shared" si="29"/>
        <v>285.75014393999987</v>
      </c>
      <c r="DD9" s="1">
        <f t="shared" si="29"/>
        <v>285.58164063999999</v>
      </c>
      <c r="DE9" s="1">
        <f t="shared" si="29"/>
        <v>342.68232461000008</v>
      </c>
      <c r="DF9" s="1">
        <f t="shared" si="29"/>
        <v>391.68086485999982</v>
      </c>
      <c r="DH9" s="1">
        <f t="shared" si="30"/>
        <v>2.7432327000000001</v>
      </c>
      <c r="DI9" s="1">
        <f t="shared" si="30"/>
        <v>3.5031505699999994</v>
      </c>
      <c r="DJ9" s="1">
        <f t="shared" si="30"/>
        <v>3.9954732900000005</v>
      </c>
      <c r="DK9" s="1">
        <f t="shared" si="30"/>
        <v>2.3751918999999999</v>
      </c>
      <c r="DL9" s="1">
        <f t="shared" si="30"/>
        <v>3.3189943100000003</v>
      </c>
      <c r="DM9" s="1">
        <f t="shared" si="30"/>
        <v>3.6004889900000006</v>
      </c>
      <c r="DN9" s="1">
        <f t="shared" si="30"/>
        <v>2.2940615100000001</v>
      </c>
      <c r="DO9" s="1">
        <f t="shared" si="30"/>
        <v>1.2696953500000001</v>
      </c>
      <c r="DP9" s="1">
        <f t="shared" si="30"/>
        <v>1.4792882700000001</v>
      </c>
      <c r="DQ9" s="1">
        <f t="shared" si="30"/>
        <v>3.3410357400000001</v>
      </c>
      <c r="DR9" s="1">
        <f t="shared" si="30"/>
        <v>3.5927978000000009</v>
      </c>
      <c r="DS9" s="1">
        <f t="shared" si="30"/>
        <v>2.53051044</v>
      </c>
      <c r="DT9" s="1">
        <f t="shared" si="30"/>
        <v>2.3401237999999998</v>
      </c>
      <c r="DU9" s="1">
        <f t="shared" si="30"/>
        <v>2.4632922899999996</v>
      </c>
      <c r="DV9" s="1">
        <f t="shared" si="30"/>
        <v>3.8179622399999995</v>
      </c>
      <c r="DW9" s="1">
        <f t="shared" si="30"/>
        <v>3.8355995800000002</v>
      </c>
      <c r="DX9" s="1">
        <f t="shared" si="31"/>
        <v>7.3409295600000002</v>
      </c>
      <c r="DY9" s="1">
        <f t="shared" si="31"/>
        <v>3.8261937100000005</v>
      </c>
      <c r="DZ9" s="1">
        <f t="shared" si="31"/>
        <v>5.3486285699999998</v>
      </c>
      <c r="EA9" s="1">
        <f t="shared" si="31"/>
        <v>4.398381099999999</v>
      </c>
      <c r="EB9" s="1">
        <f t="shared" si="31"/>
        <v>4.3987828499999999</v>
      </c>
      <c r="EC9" s="1">
        <f t="shared" si="31"/>
        <v>1.58647798</v>
      </c>
      <c r="ED9" s="1">
        <f t="shared" si="31"/>
        <v>2.6207546900000001</v>
      </c>
      <c r="EE9" s="1">
        <f t="shared" si="31"/>
        <v>6.877667439999998</v>
      </c>
      <c r="EG9" s="14">
        <f t="shared" si="32"/>
        <v>47.38</v>
      </c>
      <c r="EH9" s="14">
        <f t="shared" si="32"/>
        <v>47.74</v>
      </c>
      <c r="EI9" s="1">
        <f t="shared" si="32"/>
        <v>47.8</v>
      </c>
      <c r="EJ9" s="1">
        <f t="shared" si="32"/>
        <v>47.58</v>
      </c>
      <c r="EK9" s="1">
        <f t="shared" si="32"/>
        <v>49.18</v>
      </c>
      <c r="EL9" s="1">
        <f t="shared" si="32"/>
        <v>49.37</v>
      </c>
      <c r="EM9" s="1">
        <f t="shared" si="32"/>
        <v>49.38</v>
      </c>
      <c r="EN9" s="1">
        <f t="shared" si="32"/>
        <v>51.48</v>
      </c>
      <c r="EO9" s="1">
        <f t="shared" si="32"/>
        <v>52.06</v>
      </c>
      <c r="EP9" s="1">
        <f t="shared" si="32"/>
        <v>42.59</v>
      </c>
      <c r="EQ9" s="1">
        <f t="shared" si="32"/>
        <v>51.3</v>
      </c>
      <c r="ER9" s="1">
        <f t="shared" si="32"/>
        <v>51.15</v>
      </c>
      <c r="ES9" s="1">
        <f t="shared" si="32"/>
        <v>51.01</v>
      </c>
      <c r="ET9" s="1">
        <f t="shared" si="32"/>
        <v>51.15</v>
      </c>
      <c r="EU9" s="1">
        <f t="shared" si="32"/>
        <v>51.72</v>
      </c>
      <c r="EV9" s="1">
        <f t="shared" si="32"/>
        <v>51.32</v>
      </c>
      <c r="EW9" s="1">
        <f t="shared" si="33"/>
        <v>50.44</v>
      </c>
      <c r="EX9" s="1">
        <f t="shared" si="33"/>
        <v>50.29</v>
      </c>
      <c r="EY9" s="1">
        <f t="shared" si="33"/>
        <v>50.29</v>
      </c>
      <c r="EZ9" s="1">
        <f t="shared" si="33"/>
        <v>49.14</v>
      </c>
      <c r="FA9" s="1">
        <f t="shared" si="33"/>
        <v>48.66</v>
      </c>
      <c r="FB9" s="1">
        <f t="shared" si="33"/>
        <v>48.66</v>
      </c>
      <c r="FC9" s="1">
        <f t="shared" si="33"/>
        <v>48.3</v>
      </c>
      <c r="FD9" s="1">
        <f t="shared" si="33"/>
        <v>48.39</v>
      </c>
      <c r="FF9" s="162">
        <f t="shared" si="34"/>
        <v>0.17877677131163461</v>
      </c>
    </row>
    <row r="10" spans="1:162" ht="18.600000000000001" customHeight="1">
      <c r="A10" s="263" t="s">
        <v>221</v>
      </c>
      <c r="B10" s="246"/>
      <c r="C10" s="156">
        <f t="shared" si="5"/>
        <v>0</v>
      </c>
      <c r="D10" s="198">
        <v>-1</v>
      </c>
      <c r="E10" s="248">
        <f t="shared" si="6"/>
        <v>0.13996384603379686</v>
      </c>
      <c r="F10" s="249">
        <f t="shared" si="7"/>
        <v>0.10527168808859533</v>
      </c>
      <c r="G10" s="248">
        <f t="shared" si="8"/>
        <v>3.4249577833873834E-2</v>
      </c>
      <c r="H10" s="249">
        <f t="shared" si="9"/>
        <v>0.10571426819992302</v>
      </c>
      <c r="I10" s="248">
        <f t="shared" si="10"/>
        <v>0.58028517132524993</v>
      </c>
      <c r="J10" s="249">
        <f t="shared" si="11"/>
        <v>-1.5097404263145608</v>
      </c>
      <c r="K10" s="248">
        <f t="shared" si="12"/>
        <v>1.6017503442051342</v>
      </c>
      <c r="L10" s="249">
        <f t="shared" si="13"/>
        <v>-1.0214651728798843</v>
      </c>
      <c r="M10" s="250"/>
      <c r="N10" s="24">
        <v>0</v>
      </c>
      <c r="O10" s="248">
        <f t="shared" si="35"/>
        <v>4.1543620801842707E-3</v>
      </c>
      <c r="P10" s="251">
        <f t="shared" si="36"/>
        <v>4.1543620801842707E-3</v>
      </c>
      <c r="Q10" s="248">
        <f t="shared" si="14"/>
        <v>0.10798722044728426</v>
      </c>
      <c r="R10" s="251">
        <f t="shared" si="37"/>
        <v>0.10798722044728426</v>
      </c>
      <c r="S10" s="250"/>
      <c r="T10" s="24">
        <v>1</v>
      </c>
      <c r="U10" s="248">
        <f t="shared" si="15"/>
        <v>0.74589435336809329</v>
      </c>
      <c r="V10" s="252">
        <f t="shared" si="16"/>
        <v>0.74589435336809329</v>
      </c>
      <c r="W10" s="248">
        <f t="shared" si="38"/>
        <v>-7.3482370619753934E-2</v>
      </c>
      <c r="X10" s="252">
        <f t="shared" si="17"/>
        <v>-7.3482370619753934E-2</v>
      </c>
      <c r="Y10" s="248">
        <f t="shared" si="18"/>
        <v>-0.11904761904761896</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
        <f>VLOOKUP($A10,historia!$A$5:$CM$24,+HLOOKUP(AO$2,historia!$A$3:$EC$4,2,FALSE),FALSE)</f>
        <v>4</v>
      </c>
      <c r="AP10" s="28">
        <f>VLOOKUP($A10,historia!$A$5:$CM$24,+HLOOKUP(AP$2,historia!$A$3:$EC$4,2,FALSE),FALSE)</f>
        <v>4</v>
      </c>
      <c r="AQ10" s="28">
        <f>VLOOKUP($A10,historia!$A$5:$CM$24,+HLOOKUP(AQ$2,historia!$A$3:$EC$4,2,FALSE),FALSE)</f>
        <v>5</v>
      </c>
      <c r="AR10" s="28">
        <f>VLOOKUP($A10,historia!$A$5:$CM$24,+HLOOKUP(AR$2,historia!$A$3:$EC$4,2,FALSE),FALSE)</f>
        <v>3</v>
      </c>
      <c r="AS10" s="58">
        <f>VLOOKUP($A10,historia!$A$5:$CM$24,+HLOOKUP(AS$2,historia!$A$3:$EC$4,2,FALSE),FALSE)</f>
        <v>3</v>
      </c>
      <c r="AT10" s="58">
        <f>VLOOKUP($A10,historia!$A$5:$CM$24,+HLOOKUP(AT$2,historia!$A$3:$EC$4,2,FALSE),FALSE)</f>
        <v>4</v>
      </c>
      <c r="AU10" s="58">
        <f>VLOOKUP($A10,historia!$A$5:$CM$24,+HLOOKUP(AU$2,historia!$A$3:$EC$4,2,FALSE),FALSE)</f>
        <v>4</v>
      </c>
      <c r="AV10" s="58">
        <f>VLOOKUP($A10,historia!$A$5:$CM$24,+HLOOKUP(AV$2,historia!$A$3:$EC$4,2,FALSE),FALSE)</f>
        <v>5</v>
      </c>
      <c r="AW10" s="58">
        <f>VLOOKUP($A10,historia!$A$5:$CM$24,+HLOOKUP(AW$2,historia!$A$3:$EC$4,2,FALSE),FALSE)</f>
        <v>4</v>
      </c>
      <c r="AX10" s="58">
        <f>VLOOKUP($A10,historia!$A$5:$CM$24,+HLOOKUP(AX$2,historia!$A$3:$EC$4,2,FALSE),FALSE)</f>
        <v>4</v>
      </c>
      <c r="AY10" s="58">
        <v>4</v>
      </c>
      <c r="AZ10" s="58">
        <v>4</v>
      </c>
      <c r="BA10" s="30"/>
      <c r="BB10" s="141">
        <v>4</v>
      </c>
      <c r="BC10" t="str">
        <f t="shared" si="20"/>
        <v>Cítricos Dulces</v>
      </c>
      <c r="BD10">
        <f>+datos!AU1</f>
        <v>47</v>
      </c>
      <c r="BE10" s="2" t="str">
        <f t="shared" si="4"/>
        <v>$/caja 18kg</v>
      </c>
      <c r="BF10" s="2">
        <f t="shared" si="4"/>
        <v>8594.9166666666661</v>
      </c>
      <c r="BG10" s="2">
        <f t="shared" si="4"/>
        <v>7539.6396969696971</v>
      </c>
      <c r="BH10" s="2">
        <f t="shared" si="4"/>
        <v>5438.8390289449117</v>
      </c>
      <c r="BJ10">
        <f>+datos!CX1</f>
        <v>102</v>
      </c>
      <c r="BK10" s="2">
        <f t="shared" si="21"/>
        <v>8046.1439882383647</v>
      </c>
      <c r="BL10" s="2">
        <f t="shared" si="21"/>
        <v>7779.6927943544933</v>
      </c>
      <c r="BM10" s="2">
        <f t="shared" si="21"/>
        <v>3092.5888051324764</v>
      </c>
      <c r="BO10" s="1">
        <f>+datos!ER1</f>
        <v>148</v>
      </c>
      <c r="BP10" s="1">
        <f t="shared" si="22"/>
        <v>80248</v>
      </c>
      <c r="BQ10" s="1">
        <f t="shared" si="22"/>
        <v>79916</v>
      </c>
      <c r="BS10" s="1">
        <f>+datos!GH1</f>
        <v>190</v>
      </c>
      <c r="BT10" s="1">
        <f t="shared" si="23"/>
        <v>1734000</v>
      </c>
      <c r="BU10" s="1">
        <f t="shared" si="23"/>
        <v>1565000</v>
      </c>
      <c r="BW10" s="1">
        <f>+datos!LT1</f>
        <v>332</v>
      </c>
      <c r="BX10" s="1">
        <f t="shared" si="39"/>
        <v>77.857610530000002</v>
      </c>
      <c r="BY10" s="1">
        <f t="shared" si="40"/>
        <v>44.594686030000005</v>
      </c>
      <c r="BZ10" s="1"/>
      <c r="CA10" s="1">
        <f>+datos!LX1</f>
        <v>336</v>
      </c>
      <c r="CB10" s="2">
        <f t="shared" si="24"/>
        <v>4.3633193500000003</v>
      </c>
      <c r="CC10" s="2">
        <f t="shared" si="25"/>
        <v>4.7093754199999998</v>
      </c>
      <c r="CE10" s="1">
        <f>+datos!IV1</f>
        <v>256</v>
      </c>
      <c r="CF10" s="1">
        <f t="shared" si="26"/>
        <v>17.39</v>
      </c>
      <c r="CG10" s="1">
        <f t="shared" si="27"/>
        <v>19.739999999999998</v>
      </c>
      <c r="CI10" s="1">
        <f t="shared" si="28"/>
        <v>15.255558669999997</v>
      </c>
      <c r="CJ10" s="1">
        <f t="shared" si="28"/>
        <v>10.271936310000001</v>
      </c>
      <c r="CK10" s="1">
        <f t="shared" si="28"/>
        <v>14.041262509999999</v>
      </c>
      <c r="CL10" s="1">
        <f t="shared" si="28"/>
        <v>6.1015489199999999</v>
      </c>
      <c r="CM10" s="1">
        <f t="shared" si="28"/>
        <v>2.3063176799999998</v>
      </c>
      <c r="CN10" s="1">
        <f t="shared" si="28"/>
        <v>3.2785219999999997</v>
      </c>
      <c r="CO10" s="1">
        <f t="shared" si="28"/>
        <v>2.8661316999999999</v>
      </c>
      <c r="CP10" s="1">
        <f t="shared" si="28"/>
        <v>3.3581509099999995</v>
      </c>
      <c r="CQ10" s="1">
        <f t="shared" si="28"/>
        <v>4.3519123000000004</v>
      </c>
      <c r="CR10" s="1">
        <f t="shared" si="28"/>
        <v>3.6482140500000004</v>
      </c>
      <c r="CS10" s="1">
        <f t="shared" si="28"/>
        <v>7.8852843799999999</v>
      </c>
      <c r="CT10" s="1">
        <f t="shared" si="28"/>
        <v>4.4927710999999997</v>
      </c>
      <c r="CU10" s="1">
        <f t="shared" si="28"/>
        <v>3.9018705800000002</v>
      </c>
      <c r="CV10" s="1">
        <f t="shared" si="28"/>
        <v>10.723855849999996</v>
      </c>
      <c r="CW10" s="1">
        <f t="shared" si="28"/>
        <v>7.5775361799999992</v>
      </c>
      <c r="CX10" s="1">
        <f t="shared" si="28"/>
        <v>1.25129154</v>
      </c>
      <c r="CY10" s="1">
        <f t="shared" si="29"/>
        <v>0.77785399999999993</v>
      </c>
      <c r="CZ10" s="1">
        <f t="shared" si="29"/>
        <v>1.96707276</v>
      </c>
      <c r="DA10" s="1">
        <f t="shared" si="29"/>
        <v>1.7333935799999998</v>
      </c>
      <c r="DB10" s="1">
        <f t="shared" si="29"/>
        <v>4.5063326699999999</v>
      </c>
      <c r="DC10" s="1">
        <f t="shared" si="29"/>
        <v>2.6066778199999998</v>
      </c>
      <c r="DD10" s="1">
        <f t="shared" si="29"/>
        <v>1.98627314</v>
      </c>
      <c r="DE10" s="1">
        <f t="shared" si="29"/>
        <v>2.7714215800000002</v>
      </c>
      <c r="DF10" s="1">
        <f t="shared" si="29"/>
        <v>4.7911063299999999</v>
      </c>
      <c r="DH10" s="1">
        <f t="shared" si="30"/>
        <v>0.17467300000000002</v>
      </c>
      <c r="DI10" s="1">
        <f t="shared" si="30"/>
        <v>7.2500000000000004E-3</v>
      </c>
      <c r="DJ10" s="1">
        <f t="shared" si="30"/>
        <v>0.23680799999999999</v>
      </c>
      <c r="DK10" s="1">
        <f t="shared" si="30"/>
        <v>0</v>
      </c>
      <c r="DL10" s="1">
        <f t="shared" si="30"/>
        <v>0.3075099</v>
      </c>
      <c r="DM10" s="1">
        <f t="shared" si="30"/>
        <v>0.82950560000000007</v>
      </c>
      <c r="DN10" s="1">
        <f t="shared" si="30"/>
        <v>1.06715808</v>
      </c>
      <c r="DO10" s="1">
        <f t="shared" si="30"/>
        <v>0.57276656999999997</v>
      </c>
      <c r="DP10" s="1">
        <f t="shared" si="30"/>
        <v>0.50591796999999994</v>
      </c>
      <c r="DQ10" s="1">
        <f t="shared" si="30"/>
        <v>0.37369366000000004</v>
      </c>
      <c r="DR10" s="1">
        <f t="shared" si="30"/>
        <v>1.8223369999999999E-2</v>
      </c>
      <c r="DS10" s="1">
        <f t="shared" si="30"/>
        <v>0.26981320000000003</v>
      </c>
      <c r="DT10" s="1">
        <f t="shared" si="30"/>
        <v>0.36129600000000001</v>
      </c>
      <c r="DU10" s="1">
        <f t="shared" si="30"/>
        <v>3.0606999999999997E-4</v>
      </c>
      <c r="DV10" s="1">
        <f t="shared" si="30"/>
        <v>0.33402694999999999</v>
      </c>
      <c r="DW10" s="1">
        <f t="shared" si="30"/>
        <v>0</v>
      </c>
      <c r="DX10" s="1">
        <f t="shared" si="31"/>
        <v>0.31172668999999997</v>
      </c>
      <c r="DY10" s="1">
        <f t="shared" si="31"/>
        <v>1.32104435</v>
      </c>
      <c r="DZ10" s="1">
        <f t="shared" si="31"/>
        <v>1.2081202200000001</v>
      </c>
      <c r="EA10" s="1">
        <f t="shared" si="31"/>
        <v>0.6520337100000001</v>
      </c>
      <c r="EB10" s="1">
        <f t="shared" si="31"/>
        <v>0.45880662999999999</v>
      </c>
      <c r="EC10" s="1">
        <f t="shared" si="31"/>
        <v>0</v>
      </c>
      <c r="ED10" s="1">
        <f t="shared" si="31"/>
        <v>4.77876E-2</v>
      </c>
      <c r="EE10" s="1">
        <f t="shared" si="31"/>
        <v>1.4227200000000001E-2</v>
      </c>
      <c r="EG10" s="14">
        <f t="shared" si="32"/>
        <v>17.39</v>
      </c>
      <c r="EH10" s="14">
        <f t="shared" si="32"/>
        <v>17.39</v>
      </c>
      <c r="EI10" s="1">
        <f t="shared" si="32"/>
        <v>17.39</v>
      </c>
      <c r="EJ10" s="1">
        <f t="shared" si="32"/>
        <v>17.39</v>
      </c>
      <c r="EK10" s="1">
        <f t="shared" si="32"/>
        <v>17.39</v>
      </c>
      <c r="EL10" s="1">
        <f t="shared" si="32"/>
        <v>17.39</v>
      </c>
      <c r="EM10" s="1">
        <f t="shared" si="32"/>
        <v>17.39</v>
      </c>
      <c r="EN10" s="1">
        <f t="shared" si="32"/>
        <v>17.39</v>
      </c>
      <c r="EO10" s="1">
        <f t="shared" si="32"/>
        <v>17.39</v>
      </c>
      <c r="EP10" s="1">
        <f t="shared" si="32"/>
        <v>19.739999999999998</v>
      </c>
      <c r="EQ10" s="1">
        <f t="shared" si="32"/>
        <v>19.739999999999998</v>
      </c>
      <c r="ER10" s="1">
        <f t="shared" si="32"/>
        <v>19.739999999999998</v>
      </c>
      <c r="ES10" s="1">
        <f t="shared" si="32"/>
        <v>19.739999999999998</v>
      </c>
      <c r="ET10" s="1">
        <f t="shared" si="32"/>
        <v>19.739999999999998</v>
      </c>
      <c r="EU10" s="1">
        <f t="shared" si="32"/>
        <v>19.739999999999998</v>
      </c>
      <c r="EV10" s="1">
        <f t="shared" si="32"/>
        <v>19.739999999999998</v>
      </c>
      <c r="EW10" s="1">
        <f t="shared" si="33"/>
        <v>19.739999999999998</v>
      </c>
      <c r="EX10" s="1">
        <f t="shared" si="33"/>
        <v>19.739999999999998</v>
      </c>
      <c r="EY10" s="1">
        <f t="shared" si="33"/>
        <v>19.739999999999998</v>
      </c>
      <c r="EZ10" s="1">
        <f t="shared" si="33"/>
        <v>19.739999999999998</v>
      </c>
      <c r="FA10" s="1">
        <f t="shared" si="33"/>
        <v>19.739999999999998</v>
      </c>
      <c r="FB10" s="1">
        <f t="shared" si="33"/>
        <v>18.77</v>
      </c>
      <c r="FC10" s="1">
        <f t="shared" si="33"/>
        <v>18.77</v>
      </c>
      <c r="FD10" s="1">
        <f t="shared" si="33"/>
        <v>18.77</v>
      </c>
      <c r="FF10" s="162">
        <f t="shared" si="34"/>
        <v>-1.0214651728798843</v>
      </c>
    </row>
    <row r="11" spans="1:162" ht="18.75" customHeight="1">
      <c r="A11" s="244" t="s">
        <v>116</v>
      </c>
      <c r="B11" s="247"/>
      <c r="C11" s="228">
        <f t="shared" si="5"/>
        <v>-0.33</v>
      </c>
      <c r="D11" s="229">
        <v>1</v>
      </c>
      <c r="E11" s="253">
        <f t="shared" si="6"/>
        <v>1.8122190747674516E-2</v>
      </c>
      <c r="F11" s="254">
        <f t="shared" si="7"/>
        <v>-1.6569967197527014E-2</v>
      </c>
      <c r="G11" s="253">
        <f t="shared" si="8"/>
        <v>2.7308425488362875E-2</v>
      </c>
      <c r="H11" s="254">
        <f t="shared" si="9"/>
        <v>-9.1862347406883593E-3</v>
      </c>
      <c r="I11" s="253">
        <f t="shared" si="10"/>
        <v>2.1452592678250295</v>
      </c>
      <c r="J11" s="254">
        <f t="shared" si="11"/>
        <v>5.5233670185218742E-2</v>
      </c>
      <c r="K11" s="253">
        <f t="shared" si="12"/>
        <v>1.9607047509964408</v>
      </c>
      <c r="L11" s="254">
        <f t="shared" si="13"/>
        <v>0.1845545168285887</v>
      </c>
      <c r="M11" s="255"/>
      <c r="N11" s="256"/>
      <c r="O11" s="253" t="str">
        <f t="shared" si="35"/>
        <v/>
      </c>
      <c r="P11" s="257" t="str">
        <f t="shared" si="36"/>
        <v/>
      </c>
      <c r="Q11" s="253">
        <f t="shared" si="14"/>
        <v>0</v>
      </c>
      <c r="R11" s="257">
        <f t="shared" si="37"/>
        <v>0</v>
      </c>
      <c r="S11" s="255"/>
      <c r="T11" s="24">
        <v>-2</v>
      </c>
      <c r="U11" s="253">
        <f t="shared" si="15"/>
        <v>-0.14201376558552292</v>
      </c>
      <c r="V11" s="258">
        <f t="shared" si="16"/>
        <v>-0.14201376558552292</v>
      </c>
      <c r="W11" s="253">
        <f t="shared" si="38"/>
        <v>-0.39425915814972534</v>
      </c>
      <c r="X11" s="258">
        <f t="shared" si="17"/>
        <v>-0.39425915814972534</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
        <f>VLOOKUP($A11,historia!$A$5:$CM$24,+HLOOKUP(AO$2,historia!$A$3:$EC$4,2,FALSE),FALSE)</f>
        <v>4</v>
      </c>
      <c r="AP11" s="28">
        <f>VLOOKUP($A11,historia!$A$5:$CM$24,+HLOOKUP(AP$2,historia!$A$3:$EC$4,2,FALSE),FALSE)</f>
        <v>4</v>
      </c>
      <c r="AQ11" s="28">
        <f>VLOOKUP($A11,historia!$A$5:$CM$24,+HLOOKUP(AQ$2,historia!$A$3:$EC$4,2,FALSE),FALSE)</f>
        <v>4</v>
      </c>
      <c r="AR11" s="28">
        <f>VLOOKUP($A11,historia!$A$5:$CM$24,+HLOOKUP(AR$2,historia!$A$3:$EC$4,2,FALSE),FALSE)</f>
        <v>3</v>
      </c>
      <c r="AS11" s="58">
        <f>VLOOKUP($A11,historia!$A$5:$CM$24,+HLOOKUP(AS$2,historia!$A$3:$EC$4,2,FALSE),FALSE)</f>
        <v>3</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4</v>
      </c>
      <c r="AY11" s="58">
        <v>4</v>
      </c>
      <c r="AZ11" s="58">
        <v>3</v>
      </c>
      <c r="BA11" s="30"/>
      <c r="BB11" s="141">
        <v>4</v>
      </c>
      <c r="BC11" t="str">
        <f t="shared" si="20"/>
        <v>Forestal</v>
      </c>
      <c r="BD11">
        <f>+datos!BG1</f>
        <v>59</v>
      </c>
      <c r="BE11" s="2" t="str">
        <f t="shared" si="4"/>
        <v>$/t</v>
      </c>
      <c r="BF11" s="2">
        <f t="shared" si="4"/>
        <v>28483.75</v>
      </c>
      <c r="BG11" s="2">
        <f t="shared" si="4"/>
        <v>27976.75</v>
      </c>
      <c r="BH11" s="2">
        <f t="shared" si="4"/>
        <v>9056.0896811844468</v>
      </c>
      <c r="BJ11">
        <f>+datos!CZ1</f>
        <v>104</v>
      </c>
      <c r="BK11" s="2">
        <f t="shared" si="21"/>
        <v>10568.566190409374</v>
      </c>
      <c r="BL11" s="2">
        <f t="shared" si="21"/>
        <v>10287.627287185227</v>
      </c>
      <c r="BM11" s="2">
        <f t="shared" si="21"/>
        <v>3569.6116564316208</v>
      </c>
      <c r="BO11" s="1">
        <f>+datos!ES1</f>
        <v>149</v>
      </c>
      <c r="BP11" s="1">
        <f t="shared" si="22"/>
        <v>0</v>
      </c>
      <c r="BQ11" s="1">
        <f t="shared" si="22"/>
        <v>0</v>
      </c>
      <c r="BS11" s="1">
        <f>+datos!GI1</f>
        <v>191</v>
      </c>
      <c r="BT11" s="1">
        <f t="shared" si="23"/>
        <v>1302556</v>
      </c>
      <c r="BU11" s="1">
        <f t="shared" si="23"/>
        <v>1302556</v>
      </c>
      <c r="BW11" s="1">
        <f>+datos!KB1</f>
        <v>288</v>
      </c>
      <c r="BX11" s="1">
        <f t="shared" si="39"/>
        <v>267.10400967999999</v>
      </c>
      <c r="BY11" s="1">
        <f t="shared" si="40"/>
        <v>311.31502926999997</v>
      </c>
      <c r="CA11" s="1">
        <f>+datos!LG1</f>
        <v>319</v>
      </c>
      <c r="CB11" s="2">
        <f t="shared" si="24"/>
        <v>170.85190288000001</v>
      </c>
      <c r="CC11" s="2">
        <f t="shared" si="25"/>
        <v>282.05445477000001</v>
      </c>
      <c r="CE11" s="1">
        <f>+datos!IW1</f>
        <v>257</v>
      </c>
      <c r="CF11" s="1">
        <f t="shared" si="26"/>
        <v>0</v>
      </c>
      <c r="CG11" s="1">
        <f t="shared" si="27"/>
        <v>0</v>
      </c>
      <c r="CI11" s="1">
        <f t="shared" si="28"/>
        <v>18.158715399999995</v>
      </c>
      <c r="CJ11" s="1">
        <f t="shared" si="28"/>
        <v>13.62277192</v>
      </c>
      <c r="CK11" s="1">
        <f t="shared" si="28"/>
        <v>18.147427050000005</v>
      </c>
      <c r="CL11" s="1">
        <f t="shared" si="28"/>
        <v>16.38459563</v>
      </c>
      <c r="CM11" s="1">
        <f t="shared" si="28"/>
        <v>19.29025034</v>
      </c>
      <c r="CN11" s="1">
        <f t="shared" si="28"/>
        <v>32.635385889999995</v>
      </c>
      <c r="CO11" s="1">
        <f t="shared" si="28"/>
        <v>26.653198490000001</v>
      </c>
      <c r="CP11" s="1">
        <f t="shared" si="28"/>
        <v>23.932255000000001</v>
      </c>
      <c r="CQ11" s="1">
        <f t="shared" si="28"/>
        <v>23.104867779999999</v>
      </c>
      <c r="CR11" s="1">
        <f t="shared" si="28"/>
        <v>24.797754910000005</v>
      </c>
      <c r="CS11" s="1">
        <f t="shared" si="28"/>
        <v>26.00374025</v>
      </c>
      <c r="CT11" s="1">
        <f t="shared" si="28"/>
        <v>24.373047020000001</v>
      </c>
      <c r="CU11" s="1">
        <f t="shared" si="28"/>
        <v>25.649224320000002</v>
      </c>
      <c r="CV11" s="1">
        <f t="shared" si="28"/>
        <v>23.667757810000001</v>
      </c>
      <c r="CW11" s="1">
        <f t="shared" si="28"/>
        <v>25.088845019999997</v>
      </c>
      <c r="CX11" s="1">
        <f t="shared" si="28"/>
        <v>26.5668471</v>
      </c>
      <c r="CY11" s="1">
        <f t="shared" si="29"/>
        <v>23.814064600000002</v>
      </c>
      <c r="CZ11" s="1">
        <f t="shared" si="29"/>
        <v>20.56411928</v>
      </c>
      <c r="DA11" s="1">
        <f t="shared" si="29"/>
        <v>19.140443850000004</v>
      </c>
      <c r="DB11" s="1">
        <f t="shared" si="29"/>
        <v>31.026984670000001</v>
      </c>
      <c r="DC11" s="1">
        <f t="shared" si="29"/>
        <v>29.568283169999997</v>
      </c>
      <c r="DD11" s="1">
        <f t="shared" si="29"/>
        <v>27.46490245</v>
      </c>
      <c r="DE11" s="1">
        <f t="shared" si="29"/>
        <v>28.769997110000002</v>
      </c>
      <c r="DF11" s="1">
        <f t="shared" si="29"/>
        <v>29.99355989</v>
      </c>
      <c r="DH11" s="1">
        <f t="shared" si="30"/>
        <v>16.942532470000003</v>
      </c>
      <c r="DI11" s="1">
        <f t="shared" si="30"/>
        <v>10.998476289999999</v>
      </c>
      <c r="DJ11" s="1">
        <f t="shared" si="30"/>
        <v>11.46589975</v>
      </c>
      <c r="DK11" s="1">
        <f t="shared" si="30"/>
        <v>13.53170609</v>
      </c>
      <c r="DL11" s="1">
        <f t="shared" si="30"/>
        <v>19.941855059999995</v>
      </c>
      <c r="DM11" s="1">
        <f t="shared" si="30"/>
        <v>17.561880160000001</v>
      </c>
      <c r="DN11" s="1">
        <f t="shared" si="30"/>
        <v>14.580088280000002</v>
      </c>
      <c r="DO11" s="1">
        <f t="shared" si="30"/>
        <v>13.107541810000001</v>
      </c>
      <c r="DP11" s="1">
        <f t="shared" si="30"/>
        <v>9.0834929199999994</v>
      </c>
      <c r="DQ11" s="1">
        <f t="shared" si="30"/>
        <v>9.5859924200000002</v>
      </c>
      <c r="DR11" s="1">
        <f t="shared" si="30"/>
        <v>12.114691449999999</v>
      </c>
      <c r="DS11" s="1">
        <f t="shared" si="30"/>
        <v>21.937746180000001</v>
      </c>
      <c r="DT11" s="1">
        <f t="shared" si="30"/>
        <v>16.68359323</v>
      </c>
      <c r="DU11" s="1">
        <f t="shared" si="30"/>
        <v>23.390239519999994</v>
      </c>
      <c r="DV11" s="1">
        <f t="shared" si="30"/>
        <v>24.97777258</v>
      </c>
      <c r="DW11" s="1">
        <f t="shared" si="30"/>
        <v>25.979397770000002</v>
      </c>
      <c r="DX11" s="1">
        <f t="shared" si="31"/>
        <v>26.663923630000003</v>
      </c>
      <c r="DY11" s="1">
        <f t="shared" si="31"/>
        <v>25.77809422</v>
      </c>
      <c r="DZ11" s="1">
        <f t="shared" si="31"/>
        <v>30.845388820000004</v>
      </c>
      <c r="EA11" s="1">
        <f t="shared" si="31"/>
        <v>19.314417040000002</v>
      </c>
      <c r="EB11" s="1">
        <f t="shared" si="31"/>
        <v>23.096508839999995</v>
      </c>
      <c r="EC11" s="1">
        <f t="shared" si="31"/>
        <v>19.891111379999998</v>
      </c>
      <c r="ED11" s="1">
        <f t="shared" si="31"/>
        <v>18.931102379999999</v>
      </c>
      <c r="EE11" s="1">
        <f t="shared" si="31"/>
        <v>26.50290536</v>
      </c>
      <c r="EG11" s="14">
        <f t="shared" si="32"/>
        <v>0</v>
      </c>
      <c r="EH11" s="14">
        <f t="shared" si="32"/>
        <v>0</v>
      </c>
      <c r="EI11" s="1">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3"/>
        <v>0</v>
      </c>
      <c r="EX11" s="1">
        <f t="shared" si="33"/>
        <v>0</v>
      </c>
      <c r="EY11" s="1">
        <f t="shared" si="33"/>
        <v>0</v>
      </c>
      <c r="EZ11" s="1">
        <f t="shared" si="33"/>
        <v>0</v>
      </c>
      <c r="FA11" s="1">
        <f t="shared" si="33"/>
        <v>0</v>
      </c>
      <c r="FB11" s="1">
        <f t="shared" si="33"/>
        <v>0</v>
      </c>
      <c r="FC11" s="1">
        <f t="shared" si="33"/>
        <v>0</v>
      </c>
      <c r="FD11" s="1">
        <f t="shared" si="33"/>
        <v>0</v>
      </c>
      <c r="FF11" s="162">
        <f t="shared" si="34"/>
        <v>0.1845545168285887</v>
      </c>
    </row>
    <row r="12" spans="1:162" ht="18.75" customHeight="1">
      <c r="A12" s="243" t="s">
        <v>216</v>
      </c>
      <c r="B12" s="246"/>
      <c r="C12" s="156">
        <f t="shared" si="5"/>
        <v>-0.33</v>
      </c>
      <c r="D12" s="198">
        <v>-1</v>
      </c>
      <c r="E12" s="248">
        <f t="shared" si="6"/>
        <v>-6.8942470161834746E-2</v>
      </c>
      <c r="F12" s="249">
        <f t="shared" si="7"/>
        <v>-0.10363462810703628</v>
      </c>
      <c r="G12" s="248">
        <f t="shared" si="8"/>
        <v>-6.9166641586019595E-2</v>
      </c>
      <c r="H12" s="249">
        <f t="shared" si="9"/>
        <v>2.2417142418484914E-4</v>
      </c>
      <c r="I12" s="248">
        <f t="shared" si="10"/>
        <v>1.2400001188287617</v>
      </c>
      <c r="J12" s="249">
        <f t="shared" si="11"/>
        <v>-0.85002547881104906</v>
      </c>
      <c r="K12" s="248">
        <f t="shared" si="12"/>
        <v>1.2631029281504373</v>
      </c>
      <c r="L12" s="249">
        <f t="shared" si="13"/>
        <v>-2.3102809321675633E-2</v>
      </c>
      <c r="M12" s="250"/>
      <c r="N12" s="24">
        <v>1</v>
      </c>
      <c r="O12" s="248">
        <f t="shared" si="35"/>
        <v>4.3690749573102483E-2</v>
      </c>
      <c r="P12" s="251">
        <f t="shared" si="36"/>
        <v>4.3690749573102483E-2</v>
      </c>
      <c r="Q12" s="248">
        <f t="shared" si="14"/>
        <v>0.18780594618266755</v>
      </c>
      <c r="R12" s="251">
        <f t="shared" si="37"/>
        <v>0.18780594618266755</v>
      </c>
      <c r="S12" s="250"/>
      <c r="T12" s="24">
        <v>-1</v>
      </c>
      <c r="U12" s="248">
        <f t="shared" si="15"/>
        <v>1.9363181331988777E-2</v>
      </c>
      <c r="V12" s="252">
        <f t="shared" si="16"/>
        <v>1.9363181331988777E-2</v>
      </c>
      <c r="W12" s="248">
        <f t="shared" si="38"/>
        <v>-0.29753754292454804</v>
      </c>
      <c r="X12" s="252">
        <f t="shared" si="17"/>
        <v>-0.29753754292454804</v>
      </c>
      <c r="Y12" s="248">
        <f t="shared" si="18"/>
        <v>0.11095983662355335</v>
      </c>
      <c r="Z12" s="252">
        <f t="shared" si="19"/>
        <v>0.11095983662355335</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
        <f>VLOOKUP($A12,historia!$A$5:$CM$24,+HLOOKUP(AO$2,historia!$A$3:$EC$4,2,FALSE),FALSE)</f>
        <v>5</v>
      </c>
      <c r="AP12" s="28">
        <f>VLOOKUP($A12,historia!$A$5:$CM$24,+HLOOKUP(AP$2,historia!$A$3:$EC$4,2,FALSE),FALSE)</f>
        <v>5</v>
      </c>
      <c r="AQ12" s="28">
        <f>VLOOKUP($A12,historia!$A$5:$CM$24,+HLOOKUP(AQ$2,historia!$A$3:$EC$4,2,FALSE),FALSE)</f>
        <v>5</v>
      </c>
      <c r="AR12" s="28">
        <f>VLOOKUP($A12,historia!$A$5:$CM$24,+HLOOKUP(AR$2,historia!$A$3:$EC$4,2,FALSE),FALSE)</f>
        <v>5</v>
      </c>
      <c r="AS12" s="58">
        <f>VLOOKUP($A12,historia!$A$5:$CM$24,+HLOOKUP(AS$2,historia!$A$3:$EC$4,2,FALSE),FALSE)</f>
        <v>5</v>
      </c>
      <c r="AT12" s="58">
        <f>VLOOKUP($A12,historia!$A$5:$CM$24,+HLOOKUP(AT$2,historia!$A$3:$EC$4,2,FALSE),FALSE)</f>
        <v>5</v>
      </c>
      <c r="AU12" s="58">
        <f>VLOOKUP($A12,historia!$A$5:$CM$24,+HLOOKUP(AU$2,historia!$A$3:$EC$4,2,FALSE),FALSE)</f>
        <v>5</v>
      </c>
      <c r="AV12" s="58">
        <f>VLOOKUP($A12,historia!$A$5:$CM$24,+HLOOKUP(AV$2,historia!$A$3:$EC$4,2,FALSE),FALSE)</f>
        <v>4</v>
      </c>
      <c r="AW12" s="58">
        <f>VLOOKUP($A12,historia!$A$5:$CM$24,+HLOOKUP(AW$2,historia!$A$3:$EC$4,2,FALSE),FALSE)</f>
        <v>4</v>
      </c>
      <c r="AX12" s="58">
        <f>VLOOKUP($A12,historia!$A$5:$CM$24,+HLOOKUP(AX$2,historia!$A$3:$EC$4,2,FALSE),FALSE)</f>
        <v>4</v>
      </c>
      <c r="AY12" s="58">
        <v>4</v>
      </c>
      <c r="AZ12" s="58">
        <v>3</v>
      </c>
      <c r="BA12" s="30"/>
      <c r="BB12" s="141">
        <v>4</v>
      </c>
      <c r="BC12" t="str">
        <f t="shared" si="20"/>
        <v>Granos</v>
      </c>
      <c r="BD12">
        <f>+datos!AE1</f>
        <v>31</v>
      </c>
      <c r="BE12" s="2" t="str">
        <f t="shared" si="4"/>
        <v>$/t</v>
      </c>
      <c r="BF12" s="2">
        <f t="shared" si="4"/>
        <v>211127.34800000003</v>
      </c>
      <c r="BG12" s="2">
        <f t="shared" si="4"/>
        <v>226760.79751666667</v>
      </c>
      <c r="BH12" s="2">
        <f t="shared" si="4"/>
        <v>94253.275357142862</v>
      </c>
      <c r="BJ12">
        <f>+datos!CG1</f>
        <v>85</v>
      </c>
      <c r="BK12" s="2">
        <f t="shared" si="21"/>
        <v>7962.0460670579232</v>
      </c>
      <c r="BL12" s="2">
        <f t="shared" si="21"/>
        <v>8553.675043000414</v>
      </c>
      <c r="BM12" s="2">
        <f t="shared" si="21"/>
        <v>3518.1988269376029</v>
      </c>
      <c r="BO12" s="1">
        <f>+datos!EA1</f>
        <v>131</v>
      </c>
      <c r="BP12" s="1">
        <f t="shared" si="22"/>
        <v>35450000</v>
      </c>
      <c r="BQ12" s="1">
        <f t="shared" si="22"/>
        <v>33966000</v>
      </c>
      <c r="BS12" s="1">
        <f>+datos!FV1</f>
        <v>178</v>
      </c>
      <c r="BT12" s="1">
        <f t="shared" si="23"/>
        <v>122053000</v>
      </c>
      <c r="BU12" s="1">
        <f t="shared" si="23"/>
        <v>102755000</v>
      </c>
      <c r="BW12" s="1">
        <f>+datos!LQ1</f>
        <v>329</v>
      </c>
      <c r="BX12" s="1">
        <f>+SUM(CI12:CT12)</f>
        <v>42572.686756939998</v>
      </c>
      <c r="BY12" s="1">
        <f t="shared" si="40"/>
        <v>41764.00279762</v>
      </c>
      <c r="CA12" s="1">
        <f>+datos!LU1</f>
        <v>333</v>
      </c>
      <c r="CB12" s="2">
        <f t="shared" si="24"/>
        <v>3342.9989533799994</v>
      </c>
      <c r="CC12" s="2">
        <f t="shared" si="25"/>
        <v>4758.9716997800006</v>
      </c>
      <c r="CE12" s="1">
        <f>+datos!II1</f>
        <v>243</v>
      </c>
      <c r="CF12" s="1">
        <f t="shared" si="26"/>
        <v>81600000</v>
      </c>
      <c r="CG12" s="1">
        <f t="shared" si="27"/>
        <v>73450000</v>
      </c>
      <c r="CI12" s="1">
        <f>+VLOOKUP(CI$1,ran_dat,$BW12,FALSE)</f>
        <v>3410.80431886</v>
      </c>
      <c r="CJ12" s="1">
        <f t="shared" si="28"/>
        <v>3348.6268518899992</v>
      </c>
      <c r="CK12" s="1">
        <f t="shared" si="28"/>
        <v>4200.6671527199996</v>
      </c>
      <c r="CL12" s="1">
        <f t="shared" si="28"/>
        <v>4256.6159984299993</v>
      </c>
      <c r="CM12" s="1">
        <f t="shared" si="28"/>
        <v>4805.0657855600002</v>
      </c>
      <c r="CN12" s="1">
        <f t="shared" si="28"/>
        <v>3818.0878160900002</v>
      </c>
      <c r="CO12" s="1">
        <f t="shared" si="28"/>
        <v>3876.9439553199995</v>
      </c>
      <c r="CP12" s="1">
        <f t="shared" si="28"/>
        <v>3089.4855235099994</v>
      </c>
      <c r="CQ12" s="1">
        <f t="shared" si="28"/>
        <v>3929.1762735700004</v>
      </c>
      <c r="CR12" s="1">
        <f t="shared" si="28"/>
        <v>2955.6698254600001</v>
      </c>
      <c r="CS12" s="1">
        <f t="shared" si="28"/>
        <v>2441.9361675499999</v>
      </c>
      <c r="CT12" s="1">
        <f t="shared" si="28"/>
        <v>2439.6070879799995</v>
      </c>
      <c r="CU12" s="1">
        <f t="shared" si="28"/>
        <v>2937.94498135</v>
      </c>
      <c r="CV12" s="1">
        <f t="shared" si="28"/>
        <v>3422.8062754199996</v>
      </c>
      <c r="CW12" s="1">
        <f t="shared" si="28"/>
        <v>3305.4373540500001</v>
      </c>
      <c r="CX12" s="1">
        <f t="shared" si="28"/>
        <v>3388.1727426199996</v>
      </c>
      <c r="CY12" s="1">
        <f t="shared" si="29"/>
        <v>3792.8302867999996</v>
      </c>
      <c r="CZ12" s="1">
        <f t="shared" si="29"/>
        <v>3116.9694759099998</v>
      </c>
      <c r="DA12" s="1">
        <f t="shared" si="29"/>
        <v>2868.8536445099994</v>
      </c>
      <c r="DB12" s="1">
        <f t="shared" si="29"/>
        <v>2796.6599858300006</v>
      </c>
      <c r="DC12" s="1">
        <f t="shared" si="29"/>
        <v>2718.2915703099998</v>
      </c>
      <c r="DD12" s="1">
        <f t="shared" si="29"/>
        <v>4151.50946449</v>
      </c>
      <c r="DE12" s="1">
        <f t="shared" si="29"/>
        <v>4450.8165799199996</v>
      </c>
      <c r="DF12" s="1">
        <f t="shared" si="29"/>
        <v>4813.7104364100005</v>
      </c>
      <c r="DH12" s="1">
        <f t="shared" si="30"/>
        <v>265.28366987999999</v>
      </c>
      <c r="DI12" s="1">
        <f t="shared" si="30"/>
        <v>214.60650260000006</v>
      </c>
      <c r="DJ12" s="1">
        <f t="shared" si="30"/>
        <v>390.93673457</v>
      </c>
      <c r="DK12" s="1">
        <f t="shared" si="30"/>
        <v>293.37536226000003</v>
      </c>
      <c r="DL12" s="1">
        <f t="shared" si="30"/>
        <v>336.54852982999995</v>
      </c>
      <c r="DM12" s="1">
        <f t="shared" si="30"/>
        <v>300.95428591999996</v>
      </c>
      <c r="DN12" s="1">
        <f t="shared" si="30"/>
        <v>389.85732896999997</v>
      </c>
      <c r="DO12" s="1">
        <f t="shared" si="30"/>
        <v>280.54397103999997</v>
      </c>
      <c r="DP12" s="1">
        <f t="shared" si="30"/>
        <v>63.525792080000002</v>
      </c>
      <c r="DQ12" s="1">
        <f t="shared" si="30"/>
        <v>301.92103216000004</v>
      </c>
      <c r="DR12" s="1">
        <f t="shared" si="30"/>
        <v>260.76831764999997</v>
      </c>
      <c r="DS12" s="1">
        <f t="shared" si="30"/>
        <v>244.67742642000002</v>
      </c>
      <c r="DT12" s="1">
        <f t="shared" si="30"/>
        <v>322.58249758000005</v>
      </c>
      <c r="DU12" s="1">
        <f t="shared" si="30"/>
        <v>495.08938117000014</v>
      </c>
      <c r="DV12" s="1">
        <f t="shared" si="30"/>
        <v>539.06610803000001</v>
      </c>
      <c r="DW12" s="1">
        <f t="shared" si="30"/>
        <v>828.84254484999997</v>
      </c>
      <c r="DX12" s="1">
        <f t="shared" si="31"/>
        <v>679.74768902999983</v>
      </c>
      <c r="DY12" s="1">
        <f t="shared" si="31"/>
        <v>678.42759025000009</v>
      </c>
      <c r="DZ12" s="1">
        <f t="shared" si="31"/>
        <v>816.99926951999987</v>
      </c>
      <c r="EA12" s="1">
        <f t="shared" si="31"/>
        <v>236.29083821</v>
      </c>
      <c r="EB12" s="1">
        <f t="shared" si="31"/>
        <v>13.603287699999997</v>
      </c>
      <c r="EC12" s="1">
        <f t="shared" si="31"/>
        <v>8.4785749999999993E-2</v>
      </c>
      <c r="ED12" s="1">
        <f t="shared" si="31"/>
        <v>140.70586015999999</v>
      </c>
      <c r="EE12" s="1">
        <f t="shared" si="31"/>
        <v>7.5318475299999985</v>
      </c>
      <c r="EG12" s="14">
        <f t="shared" si="32"/>
        <v>81600000</v>
      </c>
      <c r="EH12" s="14">
        <f t="shared" si="32"/>
        <v>81600000</v>
      </c>
      <c r="EI12" s="1">
        <f t="shared" si="32"/>
        <v>81600000</v>
      </c>
      <c r="EJ12" s="1">
        <f t="shared" si="32"/>
        <v>81600000</v>
      </c>
      <c r="EK12" s="1">
        <f t="shared" si="32"/>
        <v>81600000</v>
      </c>
      <c r="EL12" s="1">
        <f t="shared" si="32"/>
        <v>81600000</v>
      </c>
      <c r="EM12" s="1">
        <f t="shared" si="32"/>
        <v>73750000</v>
      </c>
      <c r="EN12" s="1">
        <f t="shared" si="32"/>
        <v>73750000</v>
      </c>
      <c r="EO12" s="1">
        <f t="shared" si="32"/>
        <v>73450000</v>
      </c>
      <c r="EP12" s="1">
        <f t="shared" si="32"/>
        <v>73450000</v>
      </c>
      <c r="EQ12" s="1">
        <f t="shared" si="32"/>
        <v>73450000</v>
      </c>
      <c r="ER12" s="1">
        <f t="shared" si="32"/>
        <v>73450000</v>
      </c>
      <c r="ES12" s="1">
        <f t="shared" si="32"/>
        <v>73450000</v>
      </c>
      <c r="ET12" s="1">
        <f t="shared" si="32"/>
        <v>73450000</v>
      </c>
      <c r="EU12" s="1">
        <f t="shared" si="32"/>
        <v>73450000</v>
      </c>
      <c r="EV12" s="1">
        <f t="shared" si="32"/>
        <v>73450000</v>
      </c>
      <c r="EW12" s="1">
        <f t="shared" si="33"/>
        <v>73450000</v>
      </c>
      <c r="EX12" s="1">
        <f t="shared" si="33"/>
        <v>73450000</v>
      </c>
      <c r="EY12" s="1">
        <f t="shared" si="33"/>
        <v>74890000</v>
      </c>
      <c r="EZ12" s="1">
        <f t="shared" si="33"/>
        <v>75510000</v>
      </c>
      <c r="FA12" s="1">
        <f t="shared" si="33"/>
        <v>75510000</v>
      </c>
      <c r="FB12" s="1">
        <f t="shared" si="33"/>
        <v>75060000</v>
      </c>
      <c r="FC12" s="1">
        <f t="shared" si="33"/>
        <v>75060000</v>
      </c>
      <c r="FD12" s="1">
        <f t="shared" si="33"/>
        <v>75060000</v>
      </c>
      <c r="FF12" s="162">
        <f t="shared" si="34"/>
        <v>-2.3102809321675633E-2</v>
      </c>
    </row>
    <row r="13" spans="1:162" ht="18.75" customHeight="1">
      <c r="A13" s="244" t="s">
        <v>217</v>
      </c>
      <c r="B13" s="247"/>
      <c r="C13" s="228">
        <f t="shared" si="5"/>
        <v>0</v>
      </c>
      <c r="D13" s="229">
        <v>0</v>
      </c>
      <c r="E13" s="253">
        <f t="shared" si="6"/>
        <v>-1.5398943049872327E-2</v>
      </c>
      <c r="F13" s="254">
        <f t="shared" si="7"/>
        <v>-5.0091100995073856E-2</v>
      </c>
      <c r="G13" s="253">
        <f t="shared" si="8"/>
        <v>1.1208102498901695E-2</v>
      </c>
      <c r="H13" s="254">
        <f t="shared" si="9"/>
        <v>-2.6607045548774022E-2</v>
      </c>
      <c r="I13" s="253">
        <f t="shared" si="10"/>
        <v>4.6995656311357639</v>
      </c>
      <c r="J13" s="254">
        <f t="shared" si="11"/>
        <v>2.6095400334959531</v>
      </c>
      <c r="K13" s="253">
        <f t="shared" si="12"/>
        <v>2.2956460143048822</v>
      </c>
      <c r="L13" s="254">
        <f t="shared" si="13"/>
        <v>2.4039196168308816</v>
      </c>
      <c r="M13" s="255"/>
      <c r="N13" s="256">
        <v>0</v>
      </c>
      <c r="O13" s="253">
        <f t="shared" si="35"/>
        <v>-3.3006472151727695E-2</v>
      </c>
      <c r="P13" s="257">
        <f t="shared" si="36"/>
        <v>-3.3006472151727695E-2</v>
      </c>
      <c r="Q13" s="253">
        <f t="shared" si="14"/>
        <v>-1.4386787894224651E-2</v>
      </c>
      <c r="R13" s="257">
        <f t="shared" si="37"/>
        <v>-1.4386787894224651E-2</v>
      </c>
      <c r="S13" s="255"/>
      <c r="T13" s="256">
        <v>0</v>
      </c>
      <c r="U13" s="253">
        <f t="shared" si="15"/>
        <v>0.27580504087810898</v>
      </c>
      <c r="V13" s="258">
        <f t="shared" si="16"/>
        <v>0.27580504087810898</v>
      </c>
      <c r="W13" s="253">
        <f t="shared" si="38"/>
        <v>1.0874799370264627</v>
      </c>
      <c r="X13" s="258">
        <f t="shared" si="17"/>
        <v>1.0874799370264627</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
        <f>VLOOKUP($A13,historia!$A$5:$CM$24,+HLOOKUP(AO$2,historia!$A$3:$EC$4,2,FALSE),FALSE)</f>
        <v>3</v>
      </c>
      <c r="AP13" s="28">
        <f>VLOOKUP($A13,historia!$A$5:$CM$24,+HLOOKUP(AP$2,historia!$A$3:$EC$4,2,FALSE),FALSE)</f>
        <v>3</v>
      </c>
      <c r="AQ13" s="28">
        <f>VLOOKUP($A13,historia!$A$5:$CM$24,+HLOOKUP(AQ$2,historia!$A$3:$EC$4,2,FALSE),FALSE)</f>
        <v>3</v>
      </c>
      <c r="AR13" s="28">
        <f>VLOOKUP($A13,historia!$A$5:$CM$24,+HLOOKUP(AR$2,historia!$A$3:$EC$4,2,FALSE),FALSE)</f>
        <v>3</v>
      </c>
      <c r="AS13" s="5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2</v>
      </c>
      <c r="AW13" s="58">
        <f>VLOOKUP($A13,historia!$A$5:$CM$24,+HLOOKUP(AW$2,historia!$A$3:$EC$4,2,FALSE),FALSE)</f>
        <v>2</v>
      </c>
      <c r="AX13" s="58">
        <f>VLOOKUP($A13,historia!$A$5:$CM$24,+HLOOKUP(AX$2,historia!$A$3:$EC$4,2,FALSE),FALSE)</f>
        <v>3</v>
      </c>
      <c r="AY13" s="58">
        <v>3</v>
      </c>
      <c r="AZ13" s="58">
        <v>2</v>
      </c>
      <c r="BA13" s="30"/>
      <c r="BB13" s="141">
        <v>3</v>
      </c>
      <c r="BC13" t="str">
        <f t="shared" si="20"/>
        <v>Hortalizas</v>
      </c>
      <c r="BD13">
        <f>+datos!BB1</f>
        <v>54</v>
      </c>
      <c r="BE13" s="2" t="str">
        <f t="shared" si="4"/>
        <v>$/kg</v>
      </c>
      <c r="BF13" s="2">
        <f t="shared" si="4"/>
        <v>15126.974223602487</v>
      </c>
      <c r="BG13" s="2">
        <f t="shared" si="4"/>
        <v>15363.55675918059</v>
      </c>
      <c r="BH13" s="2">
        <f t="shared" si="4"/>
        <v>2654.0573795600112</v>
      </c>
      <c r="BJ13">
        <f>+datos!CO1</f>
        <v>93</v>
      </c>
      <c r="BK13" s="2">
        <f t="shared" si="21"/>
        <v>9967.9722253448235</v>
      </c>
      <c r="BL13" s="2">
        <f t="shared" si="21"/>
        <v>9857.4884840340274</v>
      </c>
      <c r="BM13" s="2">
        <f t="shared" si="21"/>
        <v>3024.5882543448065</v>
      </c>
      <c r="BO13" s="1">
        <f>+datos!EX1</f>
        <v>154</v>
      </c>
      <c r="BP13" s="1">
        <f t="shared" si="22"/>
        <v>64395</v>
      </c>
      <c r="BQ13" s="1">
        <f t="shared" si="22"/>
        <v>66593</v>
      </c>
      <c r="BS13" s="1">
        <f>+datos!GN1</f>
        <v>196</v>
      </c>
      <c r="BT13" s="1">
        <f t="shared" si="23"/>
        <v>2639386</v>
      </c>
      <c r="BU13" s="1">
        <f t="shared" si="23"/>
        <v>2677912.56</v>
      </c>
      <c r="BW13" s="1">
        <f>+datos!LR1</f>
        <v>330</v>
      </c>
      <c r="BX13" s="1">
        <f t="shared" si="39"/>
        <v>74.125835429999995</v>
      </c>
      <c r="BY13" s="1">
        <f t="shared" si="40"/>
        <v>58.101224760000001</v>
      </c>
      <c r="CA13" s="1">
        <f>+datos!LV1</f>
        <v>334</v>
      </c>
      <c r="CB13" s="2">
        <f t="shared" si="24"/>
        <v>33.889859569999999</v>
      </c>
      <c r="CC13" s="2">
        <f t="shared" si="25"/>
        <v>16.234819299999998</v>
      </c>
      <c r="CE13" s="1">
        <f>+datos!IX1</f>
        <v>258</v>
      </c>
      <c r="CF13" s="1">
        <f t="shared" si="26"/>
        <v>0</v>
      </c>
      <c r="CG13" s="1">
        <f t="shared" si="27"/>
        <v>0</v>
      </c>
      <c r="CI13" s="1">
        <f t="shared" si="28"/>
        <v>2.1800094999999997</v>
      </c>
      <c r="CJ13" s="1">
        <f t="shared" si="28"/>
        <v>0.89152303000000011</v>
      </c>
      <c r="CK13" s="1">
        <f t="shared" si="28"/>
        <v>2.22092468</v>
      </c>
      <c r="CL13" s="1">
        <f t="shared" si="28"/>
        <v>5.6369490100000004</v>
      </c>
      <c r="CM13" s="1">
        <f t="shared" si="28"/>
        <v>11.964288460000001</v>
      </c>
      <c r="CN13" s="1">
        <f t="shared" si="28"/>
        <v>14.874595200000002</v>
      </c>
      <c r="CO13" s="1">
        <f t="shared" si="28"/>
        <v>12.356255849999998</v>
      </c>
      <c r="CP13" s="1">
        <f t="shared" si="28"/>
        <v>7.66143427</v>
      </c>
      <c r="CQ13" s="1">
        <f t="shared" si="28"/>
        <v>3.9700200400000001</v>
      </c>
      <c r="CR13" s="1">
        <f t="shared" si="28"/>
        <v>4.244482989999999</v>
      </c>
      <c r="CS13" s="1">
        <f t="shared" si="28"/>
        <v>3.7692072699999999</v>
      </c>
      <c r="CT13" s="1">
        <f t="shared" si="28"/>
        <v>4.3561451300000007</v>
      </c>
      <c r="CU13" s="1">
        <f t="shared" si="28"/>
        <v>2.35708815</v>
      </c>
      <c r="CV13" s="1">
        <f t="shared" si="28"/>
        <v>2.9990922500000003</v>
      </c>
      <c r="CW13" s="1">
        <f t="shared" si="28"/>
        <v>4.9654154400000001</v>
      </c>
      <c r="CX13" s="1">
        <f t="shared" si="28"/>
        <v>7.7556872599999993</v>
      </c>
      <c r="CY13" s="1">
        <f t="shared" si="29"/>
        <v>10.641103850000002</v>
      </c>
      <c r="CZ13" s="1">
        <f t="shared" si="29"/>
        <v>9.2379974100000002</v>
      </c>
      <c r="DA13" s="1">
        <f t="shared" si="29"/>
        <v>6.8023944899999993</v>
      </c>
      <c r="DB13" s="1">
        <f t="shared" si="29"/>
        <v>2.5188479500000001</v>
      </c>
      <c r="DC13" s="1">
        <f t="shared" si="29"/>
        <v>1.93600679</v>
      </c>
      <c r="DD13" s="1">
        <f t="shared" si="29"/>
        <v>3.7029913799999998</v>
      </c>
      <c r="DE13" s="1">
        <f t="shared" si="29"/>
        <v>3.1144052499999999</v>
      </c>
      <c r="DF13" s="1">
        <f t="shared" si="29"/>
        <v>2.0701945399999997</v>
      </c>
      <c r="DH13" s="1">
        <f t="shared" si="30"/>
        <v>10.280953719999999</v>
      </c>
      <c r="DI13" s="1">
        <f t="shared" si="30"/>
        <v>10.078043539999999</v>
      </c>
      <c r="DJ13" s="1">
        <f t="shared" si="30"/>
        <v>5.0525632100000006</v>
      </c>
      <c r="DK13" s="1">
        <f t="shared" si="30"/>
        <v>1.5134803299999999</v>
      </c>
      <c r="DL13" s="1">
        <f t="shared" si="30"/>
        <v>1.5645213200000003</v>
      </c>
      <c r="DM13" s="1">
        <f t="shared" si="30"/>
        <v>0.17069466</v>
      </c>
      <c r="DN13" s="1">
        <f t="shared" si="30"/>
        <v>5.8121779999999998E-2</v>
      </c>
      <c r="DO13" s="1">
        <f t="shared" si="30"/>
        <v>0.22874177000000001</v>
      </c>
      <c r="DP13" s="1">
        <f t="shared" si="30"/>
        <v>6.8422739999999996E-2</v>
      </c>
      <c r="DQ13" s="1">
        <f t="shared" si="30"/>
        <v>1.38860757</v>
      </c>
      <c r="DR13" s="1">
        <f t="shared" si="30"/>
        <v>1.9631409899999996</v>
      </c>
      <c r="DS13" s="1">
        <f t="shared" si="30"/>
        <v>1.5225679400000001</v>
      </c>
      <c r="DT13" s="1">
        <f t="shared" si="30"/>
        <v>1.3263511099999998</v>
      </c>
      <c r="DU13" s="1">
        <f t="shared" si="30"/>
        <v>2.5091586699999997</v>
      </c>
      <c r="DV13" s="1">
        <f t="shared" si="30"/>
        <v>1.6528733800000002</v>
      </c>
      <c r="DW13" s="1">
        <f t="shared" si="30"/>
        <v>0.42388491999999994</v>
      </c>
      <c r="DX13" s="1">
        <f t="shared" si="31"/>
        <v>1.7301791</v>
      </c>
      <c r="DY13" s="1">
        <f t="shared" si="31"/>
        <v>2.0483479400000002</v>
      </c>
      <c r="DZ13" s="1">
        <f t="shared" si="31"/>
        <v>0.56045690999999997</v>
      </c>
      <c r="EA13" s="1">
        <f t="shared" si="31"/>
        <v>1.1333685500000001</v>
      </c>
      <c r="EB13" s="1">
        <f t="shared" si="31"/>
        <v>1.93118693</v>
      </c>
      <c r="EC13" s="1">
        <f t="shared" si="31"/>
        <v>0.60248590000000002</v>
      </c>
      <c r="ED13" s="1">
        <f t="shared" si="31"/>
        <v>0.87790919000000001</v>
      </c>
      <c r="EE13" s="1">
        <f t="shared" si="31"/>
        <v>1.4386166999999999</v>
      </c>
      <c r="EG13" s="14">
        <f t="shared" si="32"/>
        <v>0</v>
      </c>
      <c r="EH13" s="14">
        <f t="shared" si="32"/>
        <v>0</v>
      </c>
      <c r="EI13" s="1">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3"/>
        <v>0</v>
      </c>
      <c r="EX13" s="1">
        <f t="shared" si="33"/>
        <v>0</v>
      </c>
      <c r="EY13" s="1">
        <f t="shared" si="33"/>
        <v>0</v>
      </c>
      <c r="EZ13" s="1">
        <f t="shared" si="33"/>
        <v>0</v>
      </c>
      <c r="FA13" s="1">
        <f t="shared" si="33"/>
        <v>0</v>
      </c>
      <c r="FB13" s="1">
        <f t="shared" si="33"/>
        <v>0</v>
      </c>
      <c r="FC13" s="1">
        <f t="shared" si="33"/>
        <v>0</v>
      </c>
      <c r="FD13" s="1">
        <f t="shared" si="33"/>
        <v>0</v>
      </c>
      <c r="FF13" s="162">
        <f t="shared" si="34"/>
        <v>2.4039196168308816</v>
      </c>
    </row>
    <row r="14" spans="1:162" ht="18.75" customHeight="1">
      <c r="A14" s="243" t="s">
        <v>65</v>
      </c>
      <c r="B14" s="246"/>
      <c r="C14" s="156">
        <f t="shared" si="5"/>
        <v>-0.33</v>
      </c>
      <c r="D14" s="198">
        <v>1</v>
      </c>
      <c r="E14" s="248">
        <f t="shared" si="6"/>
        <v>1.7767588479724816E-2</v>
      </c>
      <c r="F14" s="249">
        <f t="shared" si="7"/>
        <v>-1.6924569465476713E-2</v>
      </c>
      <c r="G14" s="248">
        <f t="shared" si="8"/>
        <v>3.92926465650838E-2</v>
      </c>
      <c r="H14" s="249">
        <f t="shared" si="9"/>
        <v>-2.1525058085358983E-2</v>
      </c>
      <c r="I14" s="248">
        <f t="shared" si="10"/>
        <v>2.6007096992227106</v>
      </c>
      <c r="J14" s="249">
        <f t="shared" si="11"/>
        <v>0.51068410158289979</v>
      </c>
      <c r="K14" s="248">
        <f t="shared" si="12"/>
        <v>1.7579912741938193</v>
      </c>
      <c r="L14" s="249">
        <f t="shared" si="13"/>
        <v>0.84271842502889127</v>
      </c>
      <c r="M14" s="250"/>
      <c r="N14" s="24">
        <v>-1</v>
      </c>
      <c r="O14" s="248">
        <f t="shared" si="35"/>
        <v>0</v>
      </c>
      <c r="P14" s="251">
        <f t="shared" si="36"/>
        <v>0</v>
      </c>
      <c r="Q14" s="248">
        <f t="shared" si="14"/>
        <v>-9.8408491501293271E-2</v>
      </c>
      <c r="R14" s="251">
        <f t="shared" si="37"/>
        <v>-9.8408491501293271E-2</v>
      </c>
      <c r="S14" s="250"/>
      <c r="T14" s="24">
        <v>-1</v>
      </c>
      <c r="U14" s="248">
        <f t="shared" si="15"/>
        <v>-5.5442222484146764E-2</v>
      </c>
      <c r="V14" s="252">
        <f t="shared" si="16"/>
        <v>-5.5442222484146764E-2</v>
      </c>
      <c r="W14" s="248">
        <f t="shared" si="38"/>
        <v>-0.16304855822892739</v>
      </c>
      <c r="X14" s="252">
        <f t="shared" si="17"/>
        <v>-0.16304855822892739</v>
      </c>
      <c r="Y14" s="248">
        <f t="shared" si="18"/>
        <v>-0.1484623541887593</v>
      </c>
      <c r="Z14" s="252">
        <f t="shared" si="19"/>
        <v>-0.1484623541887593</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
        <f>VLOOKUP($A14,historia!$A$5:$CM$24,+HLOOKUP(AO$2,historia!$A$3:$EC$4,2,FALSE),FALSE)</f>
        <v>5</v>
      </c>
      <c r="AP14" s="28">
        <f>VLOOKUP($A14,historia!$A$5:$CM$24,+HLOOKUP(AP$2,historia!$A$3:$EC$4,2,FALSE),FALSE)</f>
        <v>5</v>
      </c>
      <c r="AQ14" s="28">
        <f>VLOOKUP($A14,historia!$A$5:$CM$24,+HLOOKUP(AQ$2,historia!$A$3:$EC$4,2,FALSE),FALSE)</f>
        <v>5</v>
      </c>
      <c r="AR14" s="28">
        <f>VLOOKUP($A14,historia!$A$5:$CM$24,+HLOOKUP(AR$2,historia!$A$3:$EC$4,2,FALSE),FALSE)</f>
        <v>5</v>
      </c>
      <c r="AS14" s="58">
        <f>VLOOKUP($A14,historia!$A$5:$CM$24,+HLOOKUP(AS$2,historia!$A$3:$EC$4,2,FALSE),FALSE)</f>
        <v>4</v>
      </c>
      <c r="AT14" s="58">
        <f>VLOOKUP($A14,historia!$A$5:$CM$24,+HLOOKUP(AT$2,historia!$A$3:$EC$4,2,FALSE),FALSE)</f>
        <v>4</v>
      </c>
      <c r="AU14" s="58">
        <f>VLOOKUP($A14,historia!$A$5:$CM$24,+HLOOKUP(AU$2,historia!$A$3:$EC$4,2,FALSE),FALSE)</f>
        <v>4</v>
      </c>
      <c r="AV14" s="58">
        <f>VLOOKUP($A14,historia!$A$5:$CM$24,+HLOOKUP(AV$2,historia!$A$3:$EC$4,2,FALSE),FALSE)</f>
        <v>4</v>
      </c>
      <c r="AW14" s="58">
        <f>VLOOKUP($A14,historia!$A$5:$CM$24,+HLOOKUP(AW$2,historia!$A$3:$EC$4,2,FALSE),FALSE)</f>
        <v>4</v>
      </c>
      <c r="AX14" s="58">
        <f>VLOOKUP($A14,historia!$A$5:$CM$24,+HLOOKUP(AX$2,historia!$A$3:$EC$4,2,FALSE),FALSE)</f>
        <v>4</v>
      </c>
      <c r="AY14" s="58">
        <v>4</v>
      </c>
      <c r="AZ14" s="58">
        <v>3</v>
      </c>
      <c r="BA14" s="30"/>
      <c r="BB14" s="141">
        <v>4</v>
      </c>
      <c r="BC14" t="str">
        <f t="shared" si="20"/>
        <v>Leche</v>
      </c>
      <c r="BD14">
        <f>+datos!BN1</f>
        <v>66</v>
      </c>
      <c r="BE14" s="2" t="str">
        <f t="shared" si="4"/>
        <v>$/l</v>
      </c>
      <c r="BF14" s="2">
        <f t="shared" si="4"/>
        <v>426.18</v>
      </c>
      <c r="BG14" s="2">
        <f t="shared" si="4"/>
        <v>418.74</v>
      </c>
      <c r="BH14" s="2">
        <f t="shared" si="4"/>
        <v>118.36</v>
      </c>
      <c r="BJ14">
        <f>+datos!DC1</f>
        <v>107</v>
      </c>
      <c r="BK14" s="2">
        <f t="shared" si="21"/>
        <v>8736.0521403332295</v>
      </c>
      <c r="BL14" s="2">
        <f t="shared" si="21"/>
        <v>8405.7672968305269</v>
      </c>
      <c r="BM14" s="2">
        <f t="shared" si="21"/>
        <v>3167.5416170005251</v>
      </c>
      <c r="BO14" s="1">
        <f>+datos!EN1</f>
        <v>144</v>
      </c>
      <c r="BP14" s="1">
        <f t="shared" si="22"/>
        <v>3169981</v>
      </c>
      <c r="BQ14" s="1">
        <f t="shared" si="22"/>
        <v>3169981</v>
      </c>
      <c r="BS14" s="1">
        <f>+datos!HP1</f>
        <v>224</v>
      </c>
      <c r="BT14" s="1">
        <f t="shared" si="23"/>
        <v>10362.246656900923</v>
      </c>
      <c r="BU14" s="1">
        <f t="shared" si="23"/>
        <v>11493.283332000001</v>
      </c>
      <c r="BW14" s="1">
        <f>+datos!KH1</f>
        <v>294</v>
      </c>
      <c r="BX14" s="1">
        <f t="shared" si="39"/>
        <v>1547.1490437000002</v>
      </c>
      <c r="BY14" s="1">
        <f t="shared" si="40"/>
        <v>1637.9612560800001</v>
      </c>
      <c r="CA14" s="1">
        <f>+datos!LM1</f>
        <v>325</v>
      </c>
      <c r="CB14" s="2">
        <f t="shared" si="24"/>
        <v>19.939612400000001</v>
      </c>
      <c r="CC14" s="2">
        <f t="shared" si="25"/>
        <v>23.824097080000001</v>
      </c>
      <c r="CE14" s="1">
        <f>+datos!IN1</f>
        <v>248</v>
      </c>
      <c r="CF14" s="1">
        <f t="shared" si="26"/>
        <v>160.6</v>
      </c>
      <c r="CG14" s="1">
        <f t="shared" si="27"/>
        <v>188.6</v>
      </c>
      <c r="CI14" s="1">
        <f t="shared" si="28"/>
        <v>136.36151781000004</v>
      </c>
      <c r="CJ14" s="1">
        <f t="shared" si="28"/>
        <v>114.33182424</v>
      </c>
      <c r="CK14" s="1">
        <f t="shared" si="28"/>
        <v>131.64359017999999</v>
      </c>
      <c r="CL14" s="1">
        <f t="shared" si="28"/>
        <v>102.41564730000002</v>
      </c>
      <c r="CM14" s="1">
        <f t="shared" si="28"/>
        <v>113.57779348999999</v>
      </c>
      <c r="CN14" s="1">
        <f t="shared" si="28"/>
        <v>118.3786056</v>
      </c>
      <c r="CO14" s="1">
        <f t="shared" si="28"/>
        <v>126.46519539000002</v>
      </c>
      <c r="CP14" s="1">
        <f t="shared" si="28"/>
        <v>140.50614890000003</v>
      </c>
      <c r="CQ14" s="1">
        <f t="shared" si="28"/>
        <v>139.44218023000002</v>
      </c>
      <c r="CR14" s="1">
        <f t="shared" si="28"/>
        <v>153.04661877999999</v>
      </c>
      <c r="CS14" s="1">
        <f t="shared" si="28"/>
        <v>136.81239812999999</v>
      </c>
      <c r="CT14" s="1">
        <f t="shared" si="28"/>
        <v>134.16752365000002</v>
      </c>
      <c r="CU14" s="1">
        <f t="shared" si="28"/>
        <v>114.82793965999997</v>
      </c>
      <c r="CV14" s="1">
        <f t="shared" si="28"/>
        <v>120.47507141999999</v>
      </c>
      <c r="CW14" s="1">
        <f t="shared" si="28"/>
        <v>118.84770241</v>
      </c>
      <c r="CX14" s="1">
        <f t="shared" si="28"/>
        <v>100.85116919999999</v>
      </c>
      <c r="CY14" s="1">
        <f t="shared" si="29"/>
        <v>116.29617616</v>
      </c>
      <c r="CZ14" s="1">
        <f t="shared" si="29"/>
        <v>115.47027065</v>
      </c>
      <c r="DA14" s="1">
        <f t="shared" si="29"/>
        <v>138.26089648999999</v>
      </c>
      <c r="DB14" s="1">
        <f t="shared" si="29"/>
        <v>163.45053632000003</v>
      </c>
      <c r="DC14" s="1">
        <f t="shared" si="29"/>
        <v>135.61809928</v>
      </c>
      <c r="DD14" s="1">
        <f t="shared" si="29"/>
        <v>152.11245593000001</v>
      </c>
      <c r="DE14" s="1">
        <f t="shared" si="29"/>
        <v>167.62191332</v>
      </c>
      <c r="DF14" s="1">
        <f t="shared" si="29"/>
        <v>194.12902524000003</v>
      </c>
      <c r="DH14" s="1">
        <f t="shared" si="30"/>
        <v>1.0080099199999999</v>
      </c>
      <c r="DI14" s="1">
        <f t="shared" si="30"/>
        <v>0.81005326000000022</v>
      </c>
      <c r="DJ14" s="1">
        <f t="shared" si="30"/>
        <v>2.5429137699999997</v>
      </c>
      <c r="DK14" s="1">
        <f t="shared" si="30"/>
        <v>0.83472519000000012</v>
      </c>
      <c r="DL14" s="1">
        <f t="shared" si="30"/>
        <v>1.6658761100000001</v>
      </c>
      <c r="DM14" s="1">
        <f t="shared" si="30"/>
        <v>1.6724867599999997</v>
      </c>
      <c r="DN14" s="1">
        <f t="shared" si="30"/>
        <v>1.92660527</v>
      </c>
      <c r="DO14" s="1">
        <f t="shared" si="30"/>
        <v>0.38991597</v>
      </c>
      <c r="DP14" s="1">
        <f t="shared" si="30"/>
        <v>3.0425877200000002</v>
      </c>
      <c r="DQ14" s="1">
        <f t="shared" si="30"/>
        <v>1.8227840799999999</v>
      </c>
      <c r="DR14" s="1">
        <f t="shared" si="30"/>
        <v>2.1288867499999999</v>
      </c>
      <c r="DS14" s="1">
        <f t="shared" si="30"/>
        <v>2.0947676</v>
      </c>
      <c r="DT14" s="1">
        <f t="shared" si="30"/>
        <v>1.2699740900000001</v>
      </c>
      <c r="DU14" s="1">
        <f t="shared" si="30"/>
        <v>1.3202370399999999</v>
      </c>
      <c r="DV14" s="1">
        <f t="shared" si="30"/>
        <v>2.29115132</v>
      </c>
      <c r="DW14" s="1">
        <f t="shared" si="30"/>
        <v>1.8108909100000001</v>
      </c>
      <c r="DX14" s="1">
        <f t="shared" si="31"/>
        <v>3.0093188999999998</v>
      </c>
      <c r="DY14" s="1">
        <f t="shared" si="31"/>
        <v>2.2926081099999998</v>
      </c>
      <c r="DZ14" s="1">
        <f t="shared" si="31"/>
        <v>3.2446467999999999</v>
      </c>
      <c r="EA14" s="1">
        <f t="shared" si="31"/>
        <v>2.3068511200000001</v>
      </c>
      <c r="EB14" s="1">
        <f t="shared" si="31"/>
        <v>2.4321035299999991</v>
      </c>
      <c r="EC14" s="1">
        <f t="shared" si="31"/>
        <v>0</v>
      </c>
      <c r="ED14" s="1">
        <f t="shared" si="31"/>
        <v>2.4168714900000001</v>
      </c>
      <c r="EE14" s="1">
        <f t="shared" si="31"/>
        <v>1.42944377</v>
      </c>
      <c r="EG14" s="14">
        <f t="shared" si="32"/>
        <v>160.6</v>
      </c>
      <c r="EH14" s="14">
        <f t="shared" si="32"/>
        <v>160.6</v>
      </c>
      <c r="EI14" s="1">
        <f t="shared" si="32"/>
        <v>160.6</v>
      </c>
      <c r="EJ14" s="1">
        <f t="shared" si="32"/>
        <v>156.30000000000001</v>
      </c>
      <c r="EK14" s="1">
        <f t="shared" si="32"/>
        <v>155.80000000000001</v>
      </c>
      <c r="EL14" s="1">
        <f t="shared" si="32"/>
        <v>159.5</v>
      </c>
      <c r="EM14" s="1">
        <f t="shared" si="32"/>
        <v>170.8</v>
      </c>
      <c r="EN14" s="1">
        <f t="shared" si="32"/>
        <v>170.8</v>
      </c>
      <c r="EO14" s="1">
        <f t="shared" si="32"/>
        <v>187.7</v>
      </c>
      <c r="EP14" s="1">
        <f t="shared" si="32"/>
        <v>196.8</v>
      </c>
      <c r="EQ14" s="1">
        <f t="shared" si="32"/>
        <v>196.8</v>
      </c>
      <c r="ER14" s="1">
        <f t="shared" si="32"/>
        <v>188.6</v>
      </c>
      <c r="ES14" s="1">
        <f t="shared" si="32"/>
        <v>188.6</v>
      </c>
      <c r="ET14" s="1">
        <f t="shared" si="32"/>
        <v>188.6</v>
      </c>
      <c r="EU14" s="1">
        <f t="shared" si="32"/>
        <v>188.6</v>
      </c>
      <c r="EV14" s="1">
        <f t="shared" si="32"/>
        <v>188.6</v>
      </c>
      <c r="EW14" s="1">
        <f t="shared" si="33"/>
        <v>188.6</v>
      </c>
      <c r="EX14" s="1">
        <f t="shared" si="33"/>
        <v>188.6</v>
      </c>
      <c r="EY14" s="1">
        <f t="shared" si="33"/>
        <v>188.6</v>
      </c>
      <c r="EZ14" s="1">
        <f t="shared" si="33"/>
        <v>188.6</v>
      </c>
      <c r="FA14" s="1">
        <f t="shared" si="33"/>
        <v>188.6</v>
      </c>
      <c r="FB14" s="1">
        <f t="shared" si="33"/>
        <v>188.6</v>
      </c>
      <c r="FC14" s="1">
        <f t="shared" si="33"/>
        <v>188.6</v>
      </c>
      <c r="FD14" s="1">
        <f t="shared" si="33"/>
        <v>185.6</v>
      </c>
      <c r="FF14" s="162">
        <f t="shared" si="34"/>
        <v>0.84271842502889127</v>
      </c>
    </row>
    <row r="15" spans="1:162" ht="18.75" customHeight="1">
      <c r="A15" s="244" t="s">
        <v>68</v>
      </c>
      <c r="B15" s="247"/>
      <c r="C15" s="228">
        <v>0</v>
      </c>
      <c r="D15" s="229">
        <v>-1</v>
      </c>
      <c r="E15" s="253">
        <f t="shared" si="6"/>
        <v>-4.4216066607681626E-2</v>
      </c>
      <c r="F15" s="254">
        <f t="shared" si="7"/>
        <v>-7.8908224552883155E-2</v>
      </c>
      <c r="G15" s="253">
        <f t="shared" si="8"/>
        <v>2.0177365323206464E-2</v>
      </c>
      <c r="H15" s="254">
        <f t="shared" si="9"/>
        <v>-6.439343193088809E-2</v>
      </c>
      <c r="I15" s="253">
        <f t="shared" si="10"/>
        <v>0.50255001961553525</v>
      </c>
      <c r="J15" s="254">
        <f t="shared" si="11"/>
        <v>-1.5874755780242755</v>
      </c>
      <c r="K15" s="253">
        <f t="shared" si="12"/>
        <v>1.6455161459571608</v>
      </c>
      <c r="L15" s="254">
        <f t="shared" si="13"/>
        <v>-1.1429661263416255</v>
      </c>
      <c r="M15" s="255"/>
      <c r="N15" s="256">
        <v>0</v>
      </c>
      <c r="O15" s="253">
        <f t="shared" si="35"/>
        <v>-8.022582082899965E-3</v>
      </c>
      <c r="P15" s="257">
        <f t="shared" si="36"/>
        <v>-8.022582082899965E-3</v>
      </c>
      <c r="Q15" s="253">
        <f t="shared" si="14"/>
        <v>-3.262739139568871E-3</v>
      </c>
      <c r="R15" s="257">
        <f t="shared" si="37"/>
        <v>-3.262739139568871E-3</v>
      </c>
      <c r="S15" s="255"/>
      <c r="T15" s="256">
        <v>-1</v>
      </c>
      <c r="U15" s="253" t="str">
        <f t="shared" si="15"/>
        <v/>
      </c>
      <c r="V15" s="258" t="str">
        <f t="shared" si="16"/>
        <v/>
      </c>
      <c r="W15" s="253">
        <f t="shared" si="38"/>
        <v>-0.77328027365331631</v>
      </c>
      <c r="X15" s="258">
        <f t="shared" si="17"/>
        <v>-0.77328027365331631</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
        <f>VLOOKUP($A15,historia!$A$5:$CM$24,+HLOOKUP(AO$2,historia!$A$3:$EC$4,2,FALSE),FALSE)</f>
        <v>4</v>
      </c>
      <c r="AP15" s="28">
        <f>VLOOKUP($A15,historia!$A$5:$CM$24,+HLOOKUP(AP$2,historia!$A$3:$EC$4,2,FALSE),FALSE)</f>
        <v>4</v>
      </c>
      <c r="AQ15" s="28">
        <f>VLOOKUP($A15,historia!$A$5:$CM$24,+HLOOKUP(AQ$2,historia!$A$3:$EC$4,2,FALSE),FALSE)</f>
        <v>4</v>
      </c>
      <c r="AR15" s="28">
        <f>VLOOKUP($A15,historia!$A$5:$CM$24,+HLOOKUP(AR$2,historia!$A$3:$EC$4,2,FALSE),FALSE)</f>
        <v>4</v>
      </c>
      <c r="AS15" s="58">
        <f>VLOOKUP($A15,historia!$A$5:$CM$24,+HLOOKUP(AS$2,historia!$A$3:$EC$4,2,FALSE),FALSE)</f>
        <v>3</v>
      </c>
      <c r="AT15" s="58">
        <f>VLOOKUP($A15,historia!$A$5:$CM$24,+HLOOKUP(AT$2,historia!$A$3:$EC$4,2,FALSE),FALSE)</f>
        <v>3</v>
      </c>
      <c r="AU15" s="58">
        <f>VLOOKUP($A15,historia!$A$5:$CM$24,+HLOOKUP(AU$2,historia!$A$3:$EC$4,2,FALSE),FALSE)</f>
        <v>3</v>
      </c>
      <c r="AV15" s="58">
        <f>VLOOKUP($A15,historia!$A$5:$CM$24,+HLOOKUP(AV$2,historia!$A$3:$EC$4,2,FALSE),FALSE)</f>
        <v>4</v>
      </c>
      <c r="AW15" s="58">
        <f>VLOOKUP($A15,historia!$A$5:$CM$24,+HLOOKUP(AW$2,historia!$A$3:$EC$4,2,FALSE),FALSE)</f>
        <v>4</v>
      </c>
      <c r="AX15" s="58">
        <f>VLOOKUP($A15,historia!$A$5:$CM$24,+HLOOKUP(AX$2,historia!$A$3:$EC$4,2,FALSE),FALSE)</f>
        <v>5</v>
      </c>
      <c r="AY15" s="58">
        <v>4</v>
      </c>
      <c r="AZ15" s="58">
        <v>4</v>
      </c>
      <c r="BA15" s="30"/>
      <c r="BB15" s="141">
        <v>5</v>
      </c>
      <c r="BC15" t="str">
        <f t="shared" si="20"/>
        <v>Mandioca</v>
      </c>
      <c r="BD15">
        <f>+datos!AW1</f>
        <v>49</v>
      </c>
      <c r="BE15" s="2" t="str">
        <f t="shared" si="4"/>
        <v>$/bolsa40kg</v>
      </c>
      <c r="BF15" s="2">
        <f t="shared" si="4"/>
        <v>9119.0476190476184</v>
      </c>
      <c r="BG15" s="2">
        <f t="shared" si="4"/>
        <v>9540.9090909090901</v>
      </c>
      <c r="BH15" s="2">
        <f t="shared" si="4"/>
        <v>6069.0476190476193</v>
      </c>
      <c r="BJ15">
        <f>+datos!CJ1</f>
        <v>88</v>
      </c>
      <c r="BK15" s="2">
        <f t="shared" si="21"/>
        <v>7855.9795643201387</v>
      </c>
      <c r="BL15" s="2">
        <f t="shared" si="21"/>
        <v>7700.6017104008715</v>
      </c>
      <c r="BM15" s="2">
        <f t="shared" si="21"/>
        <v>2969.5451212140711</v>
      </c>
      <c r="BO15" s="1">
        <f>+datos!EY1</f>
        <v>155</v>
      </c>
      <c r="BP15" s="1">
        <f t="shared" si="22"/>
        <v>20031</v>
      </c>
      <c r="BQ15" s="1">
        <f t="shared" si="22"/>
        <v>20193</v>
      </c>
      <c r="BS15" s="1">
        <f>+datos!GO1</f>
        <v>197</v>
      </c>
      <c r="BT15" s="1">
        <f t="shared" si="23"/>
        <v>201734</v>
      </c>
      <c r="BU15" s="1">
        <f t="shared" si="23"/>
        <v>202394.36</v>
      </c>
      <c r="BW15" s="1">
        <f>+datos!JP1</f>
        <v>276</v>
      </c>
      <c r="BX15" s="1">
        <f t="shared" si="39"/>
        <v>0</v>
      </c>
      <c r="BY15" s="1">
        <f t="shared" si="40"/>
        <v>0</v>
      </c>
      <c r="CA15" s="1">
        <f>+datos!KU1</f>
        <v>307</v>
      </c>
      <c r="CB15" s="2">
        <f t="shared" si="24"/>
        <v>2.1876497500000003</v>
      </c>
      <c r="CC15" s="2">
        <f t="shared" si="25"/>
        <v>9.6491372200000001</v>
      </c>
      <c r="CE15" s="1">
        <f>+datos!IY1</f>
        <v>259</v>
      </c>
      <c r="CF15" s="1">
        <f t="shared" si="26"/>
        <v>1.88</v>
      </c>
      <c r="CG15" s="1">
        <f t="shared" si="27"/>
        <v>1.88</v>
      </c>
      <c r="CI15" s="1">
        <f t="shared" si="28"/>
        <v>0</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9"/>
        <v>0</v>
      </c>
      <c r="CZ15" s="1">
        <f t="shared" si="29"/>
        <v>0</v>
      </c>
      <c r="DA15" s="1">
        <f t="shared" si="29"/>
        <v>0</v>
      </c>
      <c r="DB15" s="1">
        <f t="shared" si="29"/>
        <v>0</v>
      </c>
      <c r="DC15" s="1">
        <f t="shared" si="29"/>
        <v>0</v>
      </c>
      <c r="DD15" s="1">
        <f t="shared" si="29"/>
        <v>0</v>
      </c>
      <c r="DE15" s="1">
        <f t="shared" si="29"/>
        <v>0</v>
      </c>
      <c r="DF15" s="1">
        <f t="shared" si="29"/>
        <v>0</v>
      </c>
      <c r="DH15" s="14">
        <f t="shared" si="30"/>
        <v>0.14711371000000001</v>
      </c>
      <c r="DI15" s="14">
        <f t="shared" si="30"/>
        <v>0.18175015000000003</v>
      </c>
      <c r="DJ15" s="1">
        <f t="shared" si="30"/>
        <v>0.15569543999999999</v>
      </c>
      <c r="DK15" s="1">
        <f t="shared" si="30"/>
        <v>0.1712014</v>
      </c>
      <c r="DL15" s="1">
        <f t="shared" si="30"/>
        <v>0.12198517</v>
      </c>
      <c r="DM15" s="1">
        <f t="shared" si="30"/>
        <v>1.6812999999999999E-3</v>
      </c>
      <c r="DN15" s="1">
        <f t="shared" si="30"/>
        <v>2.8195380000000003E-2</v>
      </c>
      <c r="DO15" s="1">
        <f t="shared" si="30"/>
        <v>4.9277770000000005E-2</v>
      </c>
      <c r="DP15" s="1">
        <f t="shared" si="30"/>
        <v>0.21358802999999996</v>
      </c>
      <c r="DQ15" s="1">
        <f t="shared" si="30"/>
        <v>0.24099903000000003</v>
      </c>
      <c r="DR15" s="1">
        <f t="shared" si="30"/>
        <v>0.39667624000000001</v>
      </c>
      <c r="DS15" s="1">
        <f t="shared" si="30"/>
        <v>0.47948613000000001</v>
      </c>
      <c r="DT15" s="1">
        <f t="shared" si="30"/>
        <v>0.13955175</v>
      </c>
      <c r="DU15" s="1">
        <f t="shared" si="30"/>
        <v>0.88368341000000006</v>
      </c>
      <c r="DV15" s="1">
        <f t="shared" si="30"/>
        <v>0.91695114999999994</v>
      </c>
      <c r="DW15" s="1">
        <f t="shared" si="30"/>
        <v>1.1944894100000001</v>
      </c>
      <c r="DX15" s="1">
        <f t="shared" si="31"/>
        <v>1.11559404</v>
      </c>
      <c r="DY15" s="1">
        <f t="shared" si="31"/>
        <v>1.36422954</v>
      </c>
      <c r="DZ15" s="1">
        <f t="shared" si="31"/>
        <v>1.7463627799999999</v>
      </c>
      <c r="EA15" s="1">
        <f t="shared" si="31"/>
        <v>0.68698649000000001</v>
      </c>
      <c r="EB15" s="1">
        <f t="shared" si="31"/>
        <v>0.11168649999999999</v>
      </c>
      <c r="EC15" s="1">
        <f t="shared" si="31"/>
        <v>0</v>
      </c>
      <c r="ED15" s="1">
        <f t="shared" si="31"/>
        <v>1.4896021499999998</v>
      </c>
      <c r="EE15" s="1">
        <f t="shared" si="31"/>
        <v>0</v>
      </c>
      <c r="EG15" s="14">
        <f t="shared" si="32"/>
        <v>1.88</v>
      </c>
      <c r="EH15" s="14">
        <f t="shared" si="32"/>
        <v>1.88</v>
      </c>
      <c r="EI15" s="1">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3"/>
        <v>1.88</v>
      </c>
      <c r="EX15" s="1">
        <f t="shared" si="33"/>
        <v>1.88</v>
      </c>
      <c r="EY15" s="1">
        <f t="shared" si="33"/>
        <v>1.88</v>
      </c>
      <c r="EZ15" s="1">
        <f t="shared" si="33"/>
        <v>1.88</v>
      </c>
      <c r="FA15" s="1">
        <f t="shared" si="33"/>
        <v>1.88</v>
      </c>
      <c r="FB15" s="1">
        <f t="shared" si="33"/>
        <v>1.88</v>
      </c>
      <c r="FC15" s="1">
        <f t="shared" si="33"/>
        <v>1.88</v>
      </c>
      <c r="FD15" s="1">
        <f t="shared" si="33"/>
        <v>1.88</v>
      </c>
      <c r="FF15" s="162">
        <f t="shared" si="34"/>
        <v>-1.1429661263416255</v>
      </c>
    </row>
    <row r="16" spans="1:162" ht="18.75" customHeight="1">
      <c r="A16" s="243" t="s">
        <v>25</v>
      </c>
      <c r="B16" s="246"/>
      <c r="C16" s="156">
        <f t="shared" si="5"/>
        <v>-0.66</v>
      </c>
      <c r="D16" s="198">
        <v>-1</v>
      </c>
      <c r="E16" s="248">
        <f t="shared" si="6"/>
        <v>1.9103791815735072E-2</v>
      </c>
      <c r="F16" s="249">
        <f t="shared" si="7"/>
        <v>-1.5588366129466458E-2</v>
      </c>
      <c r="G16" s="248">
        <f t="shared" si="8"/>
        <v>-4.1817519015437621E-2</v>
      </c>
      <c r="H16" s="249">
        <f t="shared" si="9"/>
        <v>6.0921310831172693E-2</v>
      </c>
      <c r="I16" s="248">
        <f t="shared" si="10"/>
        <v>1.5840938820129513</v>
      </c>
      <c r="J16" s="249">
        <f t="shared" si="11"/>
        <v>-0.50593171562685946</v>
      </c>
      <c r="K16" s="248">
        <f t="shared" si="12"/>
        <v>1.3753424269581904</v>
      </c>
      <c r="L16" s="249">
        <f t="shared" si="13"/>
        <v>0.20875145505476089</v>
      </c>
      <c r="M16" s="250"/>
      <c r="N16" s="24">
        <v>1</v>
      </c>
      <c r="O16" s="248">
        <f t="shared" si="35"/>
        <v>0.25148262863454107</v>
      </c>
      <c r="P16" s="251">
        <f t="shared" si="36"/>
        <v>0.25148262863454107</v>
      </c>
      <c r="Q16" s="248">
        <f t="shared" si="14"/>
        <v>0.70637774795677699</v>
      </c>
      <c r="R16" s="251">
        <f t="shared" si="37"/>
        <v>0.70637774795677699</v>
      </c>
      <c r="S16" s="250"/>
      <c r="T16" s="24">
        <v>-2</v>
      </c>
      <c r="U16" s="248">
        <f t="shared" si="15"/>
        <v>-8.4529560765429945E-2</v>
      </c>
      <c r="V16" s="252">
        <f t="shared" si="16"/>
        <v>-8.4529560765429945E-2</v>
      </c>
      <c r="W16" s="248"/>
      <c r="X16" s="252"/>
      <c r="Y16" s="248">
        <f t="shared" si="18"/>
        <v>8.4415584415584499E-2</v>
      </c>
      <c r="Z16" s="252">
        <f t="shared" si="19"/>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
        <f>VLOOKUP($A16,historia!$A$5:$CM$24,+HLOOKUP(AO$2,historia!$A$3:$EC$4,2,FALSE),FALSE)</f>
        <v>2</v>
      </c>
      <c r="AP16" s="28">
        <f>VLOOKUP($A16,historia!$A$5:$CM$24,+HLOOKUP(AP$2,historia!$A$3:$EC$4,2,FALSE),FALSE)</f>
        <v>2</v>
      </c>
      <c r="AQ16" s="28">
        <f>VLOOKUP($A16,historia!$A$5:$CM$24,+HLOOKUP(AQ$2,historia!$A$3:$EC$4,2,FALSE),FALSE)</f>
        <v>2</v>
      </c>
      <c r="AR16" s="28">
        <f>VLOOKUP($A16,historia!$A$5:$CM$24,+HLOOKUP(AR$2,historia!$A$3:$EC$4,2,FALSE),FALSE)</f>
        <v>2</v>
      </c>
      <c r="AS16" s="58">
        <f>VLOOKUP($A16,historia!$A$5:$CM$24,+HLOOKUP(AS$2,historia!$A$3:$EC$4,2,FALSE),FALSE)</f>
        <v>2</v>
      </c>
      <c r="AT16" s="58">
        <f>VLOOKUP($A16,historia!$A$5:$CM$24,+HLOOKUP(AT$2,historia!$A$3:$EC$4,2,FALSE),FALSE)</f>
        <v>2</v>
      </c>
      <c r="AU16" s="58">
        <f>VLOOKUP($A16,historia!$A$5:$CM$24,+HLOOKUP(AU$2,historia!$A$3:$EC$4,2,FALSE),FALSE)</f>
        <v>2</v>
      </c>
      <c r="AV16" s="58">
        <f>VLOOKUP($A16,historia!$A$5:$CM$24,+HLOOKUP(AV$2,historia!$A$3:$EC$4,2,FALSE),FALSE)</f>
        <v>3</v>
      </c>
      <c r="AW16" s="58">
        <f>VLOOKUP($A16,historia!$A$5:$CM$24,+HLOOKUP(AW$2,historia!$A$3:$EC$4,2,FALSE),FALSE)</f>
        <v>3</v>
      </c>
      <c r="AX16" s="58">
        <f>VLOOKUP($A16,historia!$A$5:$CM$24,+HLOOKUP(AX$2,historia!$A$3:$EC$4,2,FALSE),FALSE)</f>
        <v>4</v>
      </c>
      <c r="AY16" s="58">
        <v>4</v>
      </c>
      <c r="AZ16" s="58">
        <v>3</v>
      </c>
      <c r="BA16" s="30"/>
      <c r="BB16" s="141">
        <v>4</v>
      </c>
      <c r="BC16" t="str">
        <f t="shared" si="20"/>
        <v>Maní</v>
      </c>
      <c r="BD16">
        <f>+datos!AF1</f>
        <v>32</v>
      </c>
      <c r="BE16" s="2" t="str">
        <f t="shared" si="4"/>
        <v>$/t</v>
      </c>
      <c r="BF16" s="2">
        <f t="shared" si="4"/>
        <v>860913.1</v>
      </c>
      <c r="BG16" s="2">
        <f t="shared" si="4"/>
        <v>844774.7</v>
      </c>
      <c r="BH16" s="2">
        <f t="shared" si="4"/>
        <v>333158.59999999998</v>
      </c>
      <c r="BJ16">
        <f>+datos!CH1</f>
        <v>86</v>
      </c>
      <c r="BK16" s="2">
        <f t="shared" si="21"/>
        <v>9696.2187175991567</v>
      </c>
      <c r="BL16" s="2">
        <f t="shared" si="21"/>
        <v>10119.386348658754</v>
      </c>
      <c r="BM16" s="2">
        <f t="shared" si="21"/>
        <v>4082.0298612760075</v>
      </c>
      <c r="BO16" s="1">
        <f>+datos!EB1</f>
        <v>132</v>
      </c>
      <c r="BP16" s="1">
        <f t="shared" si="22"/>
        <v>521230</v>
      </c>
      <c r="BQ16" s="1">
        <f t="shared" si="22"/>
        <v>416490</v>
      </c>
      <c r="BS16" s="1">
        <f>+datos!FW1</f>
        <v>179</v>
      </c>
      <c r="BT16" s="1">
        <f t="shared" si="23"/>
        <v>1604722</v>
      </c>
      <c r="BU16" s="1">
        <f t="shared" si="23"/>
        <v>940426</v>
      </c>
      <c r="BW16" s="1">
        <f>+datos!JK1</f>
        <v>271</v>
      </c>
      <c r="BX16" s="1">
        <f t="shared" si="39"/>
        <v>1213.4454828200001</v>
      </c>
      <c r="BY16" s="1">
        <f t="shared" si="40"/>
        <v>1325.48843831</v>
      </c>
      <c r="CA16" s="1">
        <f>+datos!KP1</f>
        <v>302</v>
      </c>
      <c r="CB16" s="2">
        <f t="shared" si="24"/>
        <v>2.9779301499999997</v>
      </c>
      <c r="CC16" s="2">
        <f t="shared" si="25"/>
        <v>0.73899902000000006</v>
      </c>
      <c r="CE16" s="1">
        <f>+datos!IJ1</f>
        <v>244</v>
      </c>
      <c r="CF16" s="1">
        <f t="shared" si="26"/>
        <v>2.1563835150032644</v>
      </c>
      <c r="CG16" s="1">
        <f t="shared" si="27"/>
        <v>1.9885213252125911</v>
      </c>
      <c r="CI16" s="1">
        <f t="shared" si="28"/>
        <v>155.33708399000002</v>
      </c>
      <c r="CJ16" s="1">
        <f t="shared" si="28"/>
        <v>156.99934678</v>
      </c>
      <c r="CK16" s="1">
        <f t="shared" si="28"/>
        <v>115.53726275000001</v>
      </c>
      <c r="CL16" s="1">
        <f t="shared" si="28"/>
        <v>98.487414479999984</v>
      </c>
      <c r="CM16" s="1">
        <f t="shared" si="28"/>
        <v>63.473924160000003</v>
      </c>
      <c r="CN16" s="1">
        <f t="shared" si="28"/>
        <v>65.127016839999982</v>
      </c>
      <c r="CO16" s="1">
        <f t="shared" si="28"/>
        <v>70.784594500000011</v>
      </c>
      <c r="CP16" s="1">
        <f t="shared" si="28"/>
        <v>111.62267066999999</v>
      </c>
      <c r="CQ16" s="1">
        <f t="shared" si="28"/>
        <v>100.80321882999999</v>
      </c>
      <c r="CR16" s="1">
        <f t="shared" si="28"/>
        <v>90.064767340000003</v>
      </c>
      <c r="CS16" s="1">
        <f t="shared" si="28"/>
        <v>96.183340330000021</v>
      </c>
      <c r="CT16" s="1">
        <f t="shared" si="28"/>
        <v>89.024842150000026</v>
      </c>
      <c r="CU16" s="1">
        <f t="shared" si="28"/>
        <v>102.74257099999998</v>
      </c>
      <c r="CV16" s="1">
        <f t="shared" si="28"/>
        <v>102.43695814</v>
      </c>
      <c r="CW16" s="1">
        <f t="shared" si="28"/>
        <v>100.03941109999997</v>
      </c>
      <c r="CX16" s="1">
        <f t="shared" si="28"/>
        <v>89.79279253</v>
      </c>
      <c r="CY16" s="1">
        <f t="shared" si="29"/>
        <v>102.39153366000001</v>
      </c>
      <c r="CZ16" s="1">
        <f t="shared" si="29"/>
        <v>98.470728969999996</v>
      </c>
      <c r="DA16" s="1">
        <f t="shared" si="29"/>
        <v>134.53858048999999</v>
      </c>
      <c r="DB16" s="1">
        <f t="shared" si="29"/>
        <v>116.52197384999999</v>
      </c>
      <c r="DC16" s="1">
        <f t="shared" si="29"/>
        <v>130.05927615000002</v>
      </c>
      <c r="DD16" s="1">
        <f t="shared" si="29"/>
        <v>105.24839114999997</v>
      </c>
      <c r="DE16" s="1">
        <f t="shared" si="29"/>
        <v>106.58558735000001</v>
      </c>
      <c r="DF16" s="1">
        <f t="shared" si="29"/>
        <v>136.66063392000001</v>
      </c>
      <c r="DH16" s="1">
        <f t="shared" si="30"/>
        <v>0.13444175</v>
      </c>
      <c r="DI16" s="1">
        <f t="shared" si="30"/>
        <v>4.2737620000000004E-2</v>
      </c>
      <c r="DJ16" s="1">
        <f t="shared" si="30"/>
        <v>8.6628999999999998E-2</v>
      </c>
      <c r="DK16" s="1">
        <f t="shared" si="30"/>
        <v>8.4906640000000005E-2</v>
      </c>
      <c r="DL16" s="1">
        <f t="shared" si="30"/>
        <v>8.714181E-2</v>
      </c>
      <c r="DM16" s="1">
        <f t="shared" si="30"/>
        <v>0.111375</v>
      </c>
      <c r="DN16" s="1">
        <f t="shared" si="30"/>
        <v>0.12514284000000001</v>
      </c>
      <c r="DO16" s="1">
        <f t="shared" si="30"/>
        <v>0.69674917999999986</v>
      </c>
      <c r="DP16" s="1">
        <f t="shared" si="30"/>
        <v>0.79684906</v>
      </c>
      <c r="DQ16" s="1">
        <f t="shared" si="30"/>
        <v>0.24194792999999998</v>
      </c>
      <c r="DR16" s="1">
        <f t="shared" si="30"/>
        <v>0.11713932000000001</v>
      </c>
      <c r="DS16" s="1">
        <f t="shared" si="30"/>
        <v>0.45286999999999999</v>
      </c>
      <c r="DT16" s="1">
        <f t="shared" si="30"/>
        <v>5.563009E-2</v>
      </c>
      <c r="DU16" s="1">
        <f t="shared" si="30"/>
        <v>2.7416000000000002E-4</v>
      </c>
      <c r="DV16" s="1">
        <f t="shared" si="30"/>
        <v>0.12031510000000001</v>
      </c>
      <c r="DW16" s="1">
        <f t="shared" si="30"/>
        <v>0.13456720999999999</v>
      </c>
      <c r="DX16" s="1">
        <f t="shared" si="31"/>
        <v>6.1200000000000002E-4</v>
      </c>
      <c r="DY16" s="1">
        <f t="shared" si="31"/>
        <v>0</v>
      </c>
      <c r="DZ16" s="1">
        <f t="shared" si="31"/>
        <v>5.2170000000000003E-3</v>
      </c>
      <c r="EA16" s="1">
        <f t="shared" si="31"/>
        <v>0.10975939999999999</v>
      </c>
      <c r="EB16" s="1">
        <f t="shared" si="31"/>
        <v>9.1243839999999993E-2</v>
      </c>
      <c r="EC16" s="1">
        <f t="shared" si="31"/>
        <v>2.016E-3</v>
      </c>
      <c r="ED16" s="1">
        <f t="shared" si="31"/>
        <v>0.21936422</v>
      </c>
      <c r="EE16" s="1">
        <f t="shared" si="31"/>
        <v>0</v>
      </c>
      <c r="EG16" s="14">
        <f t="shared" si="32"/>
        <v>2.1563835150032644</v>
      </c>
      <c r="EH16" s="14">
        <f t="shared" si="32"/>
        <v>2.1563835150032644</v>
      </c>
      <c r="EI16" s="1">
        <f t="shared" si="32"/>
        <v>2.1563835150032644</v>
      </c>
      <c r="EJ16" s="1">
        <f t="shared" si="32"/>
        <v>2.1563835150032644</v>
      </c>
      <c r="EK16" s="1">
        <f t="shared" si="32"/>
        <v>2.1563835150032644</v>
      </c>
      <c r="EL16" s="1">
        <f t="shared" si="32"/>
        <v>2.1563835150032644</v>
      </c>
      <c r="EM16" s="1">
        <f t="shared" si="32"/>
        <v>1.9885213252125911</v>
      </c>
      <c r="EN16" s="1">
        <f t="shared" si="32"/>
        <v>1.9885213252125911</v>
      </c>
      <c r="EO16" s="1">
        <f t="shared" si="32"/>
        <v>1.9885213252125911</v>
      </c>
      <c r="EP16" s="1">
        <f t="shared" si="32"/>
        <v>1.9885213252125911</v>
      </c>
      <c r="EQ16" s="1">
        <f t="shared" si="32"/>
        <v>1.9885213252125911</v>
      </c>
      <c r="ER16" s="1">
        <f t="shared" si="32"/>
        <v>1.9885213252125911</v>
      </c>
      <c r="ES16" s="1">
        <f t="shared" si="32"/>
        <v>1.9885213252125911</v>
      </c>
      <c r="ET16" s="1">
        <f t="shared" si="32"/>
        <v>1.9885213252125911</v>
      </c>
      <c r="EU16" s="1">
        <f t="shared" si="32"/>
        <v>1.9885213252125911</v>
      </c>
      <c r="EV16" s="1">
        <f t="shared" si="32"/>
        <v>1.9885213252125911</v>
      </c>
      <c r="EW16" s="1">
        <f t="shared" si="33"/>
        <v>1.9885213252125911</v>
      </c>
      <c r="EX16" s="1">
        <f t="shared" si="33"/>
        <v>1.9885213252125911</v>
      </c>
      <c r="EY16" s="1">
        <f t="shared" si="33"/>
        <v>1.9885213252125911</v>
      </c>
      <c r="EZ16" s="1">
        <f t="shared" si="33"/>
        <v>1.9040737312717446</v>
      </c>
      <c r="FA16" s="1">
        <f t="shared" si="33"/>
        <v>1.9040737312717446</v>
      </c>
      <c r="FB16" s="1">
        <f t="shared" si="33"/>
        <v>1.9040737312717446</v>
      </c>
      <c r="FC16" s="1">
        <f t="shared" si="33"/>
        <v>1.9040737312717446</v>
      </c>
      <c r="FD16" s="1">
        <f t="shared" si="33"/>
        <v>1.9040737312717446</v>
      </c>
      <c r="FF16" s="162">
        <f t="shared" si="34"/>
        <v>0.20875145505476089</v>
      </c>
    </row>
    <row r="17" spans="1:162" ht="18.75" customHeight="1">
      <c r="A17" s="244" t="s">
        <v>76</v>
      </c>
      <c r="B17" s="247"/>
      <c r="C17" s="228">
        <f t="shared" si="5"/>
        <v>-0.99</v>
      </c>
      <c r="D17" s="229">
        <v>-1</v>
      </c>
      <c r="E17" s="253">
        <f t="shared" si="6"/>
        <v>6.0398505603985075E-2</v>
      </c>
      <c r="F17" s="254">
        <f t="shared" si="7"/>
        <v>2.5706347658783546E-2</v>
      </c>
      <c r="G17" s="253">
        <f t="shared" si="8"/>
        <v>3.4189399152364297E-2</v>
      </c>
      <c r="H17" s="254">
        <f t="shared" si="9"/>
        <v>2.6209106451620778E-2</v>
      </c>
      <c r="I17" s="253">
        <f t="shared" si="10"/>
        <v>2.3992015968063871</v>
      </c>
      <c r="J17" s="254">
        <f t="shared" si="11"/>
        <v>0.30917599916657634</v>
      </c>
      <c r="K17" s="253">
        <f t="shared" si="12"/>
        <v>1.8750581308234966</v>
      </c>
      <c r="L17" s="254">
        <f t="shared" si="13"/>
        <v>0.52414346598289052</v>
      </c>
      <c r="M17" s="255"/>
      <c r="N17" s="256">
        <v>-1</v>
      </c>
      <c r="O17" s="253">
        <f>IFERROR(+BP17/BQ17-1,"")</f>
        <v>0</v>
      </c>
      <c r="P17" s="257">
        <f t="shared" si="36"/>
        <v>0</v>
      </c>
      <c r="Q17" s="253">
        <f t="shared" si="14"/>
        <v>-5.5834866135295314E-2</v>
      </c>
      <c r="R17" s="257">
        <f t="shared" si="37"/>
        <v>-5.5834866135295314E-2</v>
      </c>
      <c r="S17" s="255"/>
      <c r="T17" s="256">
        <v>-1</v>
      </c>
      <c r="U17" s="253">
        <f t="shared" si="15"/>
        <v>-2.9910790818192146E-2</v>
      </c>
      <c r="V17" s="258">
        <f t="shared" si="16"/>
        <v>-2.9910790818192146E-2</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
        <f>VLOOKUP($A17,historia!$A$5:$CM$24,+HLOOKUP(AO$2,historia!$A$3:$EC$4,2,FALSE),FALSE)</f>
        <v>5</v>
      </c>
      <c r="AP17" s="28">
        <f>VLOOKUP($A17,historia!$A$5:$CM$24,+HLOOKUP(AP$2,historia!$A$3:$EC$4,2,FALSE),FALSE)</f>
        <v>5</v>
      </c>
      <c r="AQ17" s="28">
        <f>VLOOKUP($A17,historia!$A$5:$CM$24,+HLOOKUP(AQ$2,historia!$A$3:$EC$4,2,FALSE),FALSE)</f>
        <v>5</v>
      </c>
      <c r="AR17" s="28">
        <f>VLOOKUP($A17,historia!$A$5:$CM$24,+HLOOKUP(AR$2,historia!$A$3:$EC$4,2,FALSE),FALSE)</f>
        <v>5</v>
      </c>
      <c r="AS17" s="5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v>33</v>
      </c>
      <c r="AZ17" s="58">
        <v>3</v>
      </c>
      <c r="BA17" s="30"/>
      <c r="BB17" s="141">
        <v>5</v>
      </c>
      <c r="BC17" t="str">
        <f t="shared" si="20"/>
        <v>Miel</v>
      </c>
      <c r="BD17">
        <f>+datos!BV1</f>
        <v>74</v>
      </c>
      <c r="BE17" s="2" t="str">
        <f t="shared" si="4"/>
        <v>$/kg</v>
      </c>
      <c r="BF17" s="2">
        <f t="shared" si="4"/>
        <v>1703</v>
      </c>
      <c r="BG17" s="2">
        <f t="shared" si="4"/>
        <v>1606</v>
      </c>
      <c r="BH17" s="2">
        <f t="shared" si="4"/>
        <v>501</v>
      </c>
      <c r="BJ17">
        <f>+datos!DH1</f>
        <v>112</v>
      </c>
      <c r="BK17" s="2">
        <f t="shared" si="21"/>
        <v>8528.6913322889777</v>
      </c>
      <c r="BL17" s="2">
        <f t="shared" si="21"/>
        <v>8246.7402385667556</v>
      </c>
      <c r="BM17" s="2">
        <f t="shared" si="21"/>
        <v>2966.4413532557423</v>
      </c>
      <c r="BO17" s="1">
        <f>+datos!EQ1</f>
        <v>147</v>
      </c>
      <c r="BP17" s="1">
        <f t="shared" si="22"/>
        <v>3500000</v>
      </c>
      <c r="BQ17" s="1">
        <f t="shared" si="22"/>
        <v>3500000</v>
      </c>
      <c r="BS17" s="1">
        <f>+datos!GP1</f>
        <v>198</v>
      </c>
      <c r="BT17" s="1">
        <f t="shared" si="23"/>
        <v>69297</v>
      </c>
      <c r="BU17" s="1">
        <f t="shared" si="23"/>
        <v>73395</v>
      </c>
      <c r="BW17" s="1">
        <f>+datos!KE1</f>
        <v>291</v>
      </c>
      <c r="BX17" s="1">
        <f t="shared" si="39"/>
        <v>206.36063176000005</v>
      </c>
      <c r="BY17" s="1">
        <f t="shared" si="40"/>
        <v>212.72335555000001</v>
      </c>
      <c r="CA17" s="1">
        <f>+datos!LJ1</f>
        <v>322</v>
      </c>
      <c r="CB17" s="2">
        <f t="shared" si="24"/>
        <v>9.3545939999999994E-2</v>
      </c>
      <c r="CC17" s="2">
        <f>+SUM(DT17:EE17)</f>
        <v>6.6391800000000001E-2</v>
      </c>
      <c r="CE17" s="1">
        <f>+datos!IZ1</f>
        <v>260</v>
      </c>
      <c r="CF17" s="1">
        <f t="shared" si="26"/>
        <v>0.3</v>
      </c>
      <c r="CG17" s="1">
        <f t="shared" si="27"/>
        <v>0.3</v>
      </c>
      <c r="CI17" s="1">
        <f t="shared" si="28"/>
        <v>22.211636389999995</v>
      </c>
      <c r="CJ17" s="1">
        <f t="shared" si="28"/>
        <v>18.934177090000006</v>
      </c>
      <c r="CK17" s="1">
        <f t="shared" si="28"/>
        <v>18.049853030000005</v>
      </c>
      <c r="CL17" s="1">
        <f t="shared" si="28"/>
        <v>20.702965450000001</v>
      </c>
      <c r="CM17" s="1">
        <f t="shared" si="28"/>
        <v>19.199801710000003</v>
      </c>
      <c r="CN17" s="1">
        <f t="shared" si="28"/>
        <v>16.174522229999997</v>
      </c>
      <c r="CO17" s="1">
        <f t="shared" si="28"/>
        <v>22.082734950000003</v>
      </c>
      <c r="CP17" s="1">
        <f t="shared" si="28"/>
        <v>13.392344960000001</v>
      </c>
      <c r="CQ17" s="1">
        <f t="shared" si="28"/>
        <v>10.971998660000001</v>
      </c>
      <c r="CR17" s="1">
        <f t="shared" si="28"/>
        <v>12.805239539999999</v>
      </c>
      <c r="CS17" s="1">
        <f t="shared" si="28"/>
        <v>13.943876809999997</v>
      </c>
      <c r="CT17" s="1">
        <f t="shared" si="28"/>
        <v>17.891480939999997</v>
      </c>
      <c r="CU17" s="1">
        <f t="shared" si="28"/>
        <v>16.805607889999997</v>
      </c>
      <c r="CV17" s="1">
        <f t="shared" si="28"/>
        <v>21.325973759999997</v>
      </c>
      <c r="CW17" s="1">
        <f t="shared" si="28"/>
        <v>17.230385739999999</v>
      </c>
      <c r="CX17" s="1">
        <f t="shared" si="28"/>
        <v>14.837575590000002</v>
      </c>
      <c r="CY17" s="1">
        <f t="shared" si="29"/>
        <v>17.476901599999998</v>
      </c>
      <c r="CZ17" s="1">
        <f t="shared" si="29"/>
        <v>23.512884059999998</v>
      </c>
      <c r="DA17" s="1">
        <f t="shared" si="29"/>
        <v>18.814354810000005</v>
      </c>
      <c r="DB17" s="1">
        <f t="shared" si="29"/>
        <v>15.47450873</v>
      </c>
      <c r="DC17" s="1">
        <f t="shared" si="29"/>
        <v>18.752158659999996</v>
      </c>
      <c r="DD17" s="1">
        <f t="shared" si="29"/>
        <v>13.663636670000002</v>
      </c>
      <c r="DE17" s="1">
        <f t="shared" si="29"/>
        <v>12.97807542</v>
      </c>
      <c r="DF17" s="1">
        <f t="shared" si="29"/>
        <v>21.851292619999999</v>
      </c>
      <c r="DH17" s="1">
        <f t="shared" si="30"/>
        <v>4.0664E-4</v>
      </c>
      <c r="DI17" s="1">
        <f t="shared" si="30"/>
        <v>0</v>
      </c>
      <c r="DJ17" s="1">
        <f t="shared" si="30"/>
        <v>0</v>
      </c>
      <c r="DK17" s="1">
        <f t="shared" si="30"/>
        <v>0</v>
      </c>
      <c r="DL17" s="1">
        <f t="shared" si="30"/>
        <v>0</v>
      </c>
      <c r="DM17" s="1">
        <f t="shared" si="30"/>
        <v>0</v>
      </c>
      <c r="DN17" s="1">
        <f t="shared" si="30"/>
        <v>5.2539300000000004E-2</v>
      </c>
      <c r="DO17" s="1">
        <f t="shared" si="30"/>
        <v>0</v>
      </c>
      <c r="DP17" s="1">
        <f t="shared" si="30"/>
        <v>0</v>
      </c>
      <c r="DQ17" s="1">
        <f t="shared" si="30"/>
        <v>4.0599999999999997E-2</v>
      </c>
      <c r="DR17" s="1">
        <f t="shared" si="30"/>
        <v>0</v>
      </c>
      <c r="DS17" s="1">
        <f t="shared" si="30"/>
        <v>0</v>
      </c>
      <c r="DT17" s="1">
        <f t="shared" si="30"/>
        <v>0</v>
      </c>
      <c r="DU17" s="1">
        <f t="shared" si="30"/>
        <v>0</v>
      </c>
      <c r="DV17" s="1">
        <f t="shared" si="30"/>
        <v>0</v>
      </c>
      <c r="DW17" s="1">
        <f t="shared" si="30"/>
        <v>0</v>
      </c>
      <c r="DX17" s="1">
        <f t="shared" si="31"/>
        <v>7.038E-3</v>
      </c>
      <c r="DY17" s="1">
        <f t="shared" si="31"/>
        <v>0</v>
      </c>
      <c r="DZ17" s="1">
        <f t="shared" si="31"/>
        <v>0</v>
      </c>
      <c r="EA17" s="1">
        <f t="shared" si="31"/>
        <v>0</v>
      </c>
      <c r="EB17" s="1">
        <f t="shared" si="31"/>
        <v>0</v>
      </c>
      <c r="EC17" s="1">
        <f t="shared" si="31"/>
        <v>0</v>
      </c>
      <c r="ED17" s="1">
        <f t="shared" si="31"/>
        <v>5.9353800000000005E-2</v>
      </c>
      <c r="EE17" s="1">
        <f t="shared" si="31"/>
        <v>0</v>
      </c>
      <c r="EG17" s="14">
        <f t="shared" si="32"/>
        <v>0.3</v>
      </c>
      <c r="EH17" s="14">
        <f t="shared" si="32"/>
        <v>0.3</v>
      </c>
      <c r="EI17" s="1">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3"/>
        <v>0.3</v>
      </c>
      <c r="EX17" s="1">
        <f t="shared" si="33"/>
        <v>0.3</v>
      </c>
      <c r="EY17" s="1">
        <f t="shared" si="33"/>
        <v>0.3</v>
      </c>
      <c r="EZ17" s="1">
        <f t="shared" si="33"/>
        <v>0.3</v>
      </c>
      <c r="FA17" s="1">
        <f t="shared" si="33"/>
        <v>0.3</v>
      </c>
      <c r="FB17" s="1">
        <f t="shared" si="33"/>
        <v>0.3</v>
      </c>
      <c r="FC17" s="1">
        <f t="shared" si="33"/>
        <v>0.3</v>
      </c>
      <c r="FD17" s="1">
        <f t="shared" si="33"/>
        <v>0.3</v>
      </c>
      <c r="FF17" s="162">
        <f t="shared" si="34"/>
        <v>0.52414346598289052</v>
      </c>
    </row>
    <row r="18" spans="1:162" ht="18.75" customHeight="1">
      <c r="A18" s="243" t="s">
        <v>222</v>
      </c>
      <c r="B18" s="246"/>
      <c r="C18" s="156">
        <f t="shared" si="5"/>
        <v>-0.33</v>
      </c>
      <c r="D18" s="198">
        <v>1</v>
      </c>
      <c r="E18" s="248">
        <f t="shared" si="6"/>
        <v>-2.1344364616211253E-2</v>
      </c>
      <c r="F18" s="249">
        <f t="shared" si="7"/>
        <v>-5.6036522561412783E-2</v>
      </c>
      <c r="G18" s="248">
        <f t="shared" si="8"/>
        <v>2.0263935340800066E-2</v>
      </c>
      <c r="H18" s="249">
        <f t="shared" si="9"/>
        <v>-4.1608299957011319E-2</v>
      </c>
      <c r="I18" s="253">
        <f t="shared" si="10"/>
        <v>2.1735155488541413</v>
      </c>
      <c r="J18" s="254">
        <f t="shared" si="11"/>
        <v>8.348995121433056E-2</v>
      </c>
      <c r="K18" s="248">
        <f t="shared" si="12"/>
        <v>1.9457841349929583</v>
      </c>
      <c r="L18" s="249">
        <f t="shared" si="13"/>
        <v>0.22773141386118301</v>
      </c>
      <c r="M18" s="250"/>
      <c r="N18" s="24">
        <v>-1</v>
      </c>
      <c r="O18" s="248">
        <f t="shared" si="35"/>
        <v>-1.6802487914109321E-3</v>
      </c>
      <c r="P18" s="251">
        <f t="shared" si="36"/>
        <v>-1.6802487914109321E-3</v>
      </c>
      <c r="Q18" s="248">
        <f t="shared" si="14"/>
        <v>-3.9215784029015377E-2</v>
      </c>
      <c r="R18" s="251">
        <f t="shared" si="37"/>
        <v>-3.9215784029015377E-2</v>
      </c>
      <c r="S18" s="250"/>
      <c r="T18" s="24">
        <v>-1</v>
      </c>
      <c r="U18" s="248">
        <f t="shared" si="15"/>
        <v>-6.1281187537975068E-2</v>
      </c>
      <c r="V18" s="252">
        <f t="shared" si="16"/>
        <v>-6.1281187537975068E-2</v>
      </c>
      <c r="W18" s="248">
        <f t="shared" si="38"/>
        <v>-0.13757862048400393</v>
      </c>
      <c r="X18" s="252">
        <f t="shared" si="17"/>
        <v>-0.13757862048400393</v>
      </c>
      <c r="Y18" s="248">
        <f t="shared" si="18"/>
        <v>0</v>
      </c>
      <c r="Z18" s="252">
        <f t="shared" si="19"/>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
        <f>VLOOKUP($A18,historia!$A$5:$CM$24,+HLOOKUP(AO$2,historia!$A$3:$EC$4,2,FALSE),FALSE)</f>
        <v>4</v>
      </c>
      <c r="AP18" s="28">
        <f>VLOOKUP($A18,historia!$A$5:$CM$24,+HLOOKUP(AP$2,historia!$A$3:$EC$4,2,FALSE),FALSE)</f>
        <v>4</v>
      </c>
      <c r="AQ18" s="28">
        <f>VLOOKUP($A18,historia!$A$5:$CM$24,+HLOOKUP(AQ$2,historia!$A$3:$EC$4,2,FALSE),FALSE)</f>
        <v>4</v>
      </c>
      <c r="AR18" s="28">
        <f>VLOOKUP($A18,historia!$A$5:$CM$24,+HLOOKUP(AR$2,historia!$A$3:$EC$4,2,FALSE),FALSE)</f>
        <v>4</v>
      </c>
      <c r="AS18" s="58">
        <f>VLOOKUP($A18,historia!$A$5:$CM$24,+HLOOKUP(AS$2,historia!$A$3:$EC$4,2,FALSE),FALSE)</f>
        <v>4</v>
      </c>
      <c r="AT18" s="58">
        <f>VLOOKUP($A18,historia!$A$5:$CM$24,+HLOOKUP(AT$2,historia!$A$3:$EC$4,2,FALSE),FALSE)</f>
        <v>4</v>
      </c>
      <c r="AU18" s="58">
        <f>VLOOKUP($A18,historia!$A$5:$CM$24,+HLOOKUP(AU$2,historia!$A$3:$EC$4,2,FALSE),FALSE)</f>
        <v>4</v>
      </c>
      <c r="AV18" s="58">
        <f>VLOOKUP($A18,historia!$A$5:$CM$24,+HLOOKUP(AV$2,historia!$A$3:$EC$4,2,FALSE),FALSE)</f>
        <v>5</v>
      </c>
      <c r="AW18" s="58">
        <f>VLOOKUP($A18,historia!$A$5:$CM$24,+HLOOKUP(AW$2,historia!$A$3:$EC$4,2,FALSE),FALSE)</f>
        <v>5</v>
      </c>
      <c r="AX18" s="58">
        <f>VLOOKUP($A18,historia!$A$5:$CM$24,+HLOOKUP(AX$2,historia!$A$3:$EC$4,2,FALSE),FALSE)</f>
        <v>4</v>
      </c>
      <c r="AY18" s="58">
        <v>4</v>
      </c>
      <c r="AZ18" s="58">
        <v>3</v>
      </c>
      <c r="BA18" s="30"/>
      <c r="BB18" s="141">
        <v>4</v>
      </c>
      <c r="BC18" t="str">
        <f t="shared" si="20"/>
        <v>Ovino</v>
      </c>
      <c r="BD18">
        <f>+datos!BU1</f>
        <v>73</v>
      </c>
      <c r="BE18" s="2" t="str">
        <f t="shared" si="4"/>
        <v>$/kg</v>
      </c>
      <c r="BF18" s="2">
        <f t="shared" si="4"/>
        <v>57142.796999999999</v>
      </c>
      <c r="BG18" s="2">
        <f t="shared" si="4"/>
        <v>58389.074699999997</v>
      </c>
      <c r="BH18" s="2">
        <f t="shared" si="4"/>
        <v>18006.150000000001</v>
      </c>
      <c r="BJ18">
        <f>+datos!DI1</f>
        <v>113</v>
      </c>
      <c r="BK18" s="2">
        <f t="shared" si="21"/>
        <v>8367.6019666189914</v>
      </c>
      <c r="BL18" s="2">
        <f t="shared" si="21"/>
        <v>8201.4091420608238</v>
      </c>
      <c r="BM18" s="2">
        <f t="shared" si="21"/>
        <v>2840.5346702836368</v>
      </c>
      <c r="BO18" s="1">
        <f>+datos!EL1</f>
        <v>142</v>
      </c>
      <c r="BP18" s="1">
        <f t="shared" si="22"/>
        <v>12440906</v>
      </c>
      <c r="BQ18" s="1">
        <f t="shared" si="22"/>
        <v>12461845</v>
      </c>
      <c r="BS18" s="1">
        <f>+datos!GS1</f>
        <v>201</v>
      </c>
      <c r="BT18" s="1">
        <f t="shared" si="23"/>
        <v>34688.97</v>
      </c>
      <c r="BU18" s="1">
        <f t="shared" si="23"/>
        <v>36104.85</v>
      </c>
      <c r="BW18" s="1">
        <f>+datos!KI1</f>
        <v>295</v>
      </c>
      <c r="BX18" s="1">
        <f t="shared" si="39"/>
        <v>194.17329730999998</v>
      </c>
      <c r="BY18" s="1">
        <f t="shared" si="40"/>
        <v>206.84926597000003</v>
      </c>
      <c r="CA18" s="1">
        <f>+datos!LN1</f>
        <v>326</v>
      </c>
      <c r="CB18" s="2">
        <f t="shared" si="24"/>
        <v>4.1548610900000007</v>
      </c>
      <c r="CC18" s="2">
        <f t="shared" si="25"/>
        <v>4.8176693999999998</v>
      </c>
      <c r="CE18" s="1">
        <f>+datos!JA1</f>
        <v>261</v>
      </c>
      <c r="CF18" s="1">
        <f t="shared" si="26"/>
        <v>2813</v>
      </c>
      <c r="CG18" s="1">
        <f t="shared" si="27"/>
        <v>2813</v>
      </c>
      <c r="CI18" s="1">
        <f t="shared" si="28"/>
        <v>12.657815750000001</v>
      </c>
      <c r="CJ18" s="1">
        <f t="shared" si="28"/>
        <v>13.430479930000001</v>
      </c>
      <c r="CK18" s="1">
        <f t="shared" si="28"/>
        <v>15.60716012</v>
      </c>
      <c r="CL18" s="1">
        <f t="shared" si="28"/>
        <v>19.03918719</v>
      </c>
      <c r="CM18" s="1">
        <f t="shared" si="28"/>
        <v>17.774232269999999</v>
      </c>
      <c r="CN18" s="1">
        <f t="shared" si="28"/>
        <v>22.502102959999998</v>
      </c>
      <c r="CO18" s="1">
        <f t="shared" si="28"/>
        <v>22.437193859999997</v>
      </c>
      <c r="CP18" s="1">
        <f t="shared" si="28"/>
        <v>15.322430800000003</v>
      </c>
      <c r="CQ18" s="1">
        <f t="shared" si="28"/>
        <v>16.644595240000001</v>
      </c>
      <c r="CR18" s="1">
        <f t="shared" si="28"/>
        <v>15.83663735</v>
      </c>
      <c r="CS18" s="1">
        <f t="shared" si="28"/>
        <v>13.412348609999999</v>
      </c>
      <c r="CT18" s="1">
        <f t="shared" si="28"/>
        <v>9.5091132299999988</v>
      </c>
      <c r="CU18" s="1">
        <f t="shared" si="28"/>
        <v>10.49137048</v>
      </c>
      <c r="CV18" s="1">
        <f t="shared" si="28"/>
        <v>12.745889309999999</v>
      </c>
      <c r="CW18" s="1">
        <f t="shared" si="28"/>
        <v>11.898747670000001</v>
      </c>
      <c r="CX18" s="1">
        <f t="shared" si="28"/>
        <v>12.26162961</v>
      </c>
      <c r="CY18" s="1">
        <f t="shared" si="29"/>
        <v>21.704121750000002</v>
      </c>
      <c r="CZ18" s="1">
        <f t="shared" si="29"/>
        <v>21.006605250000003</v>
      </c>
      <c r="DA18" s="1">
        <f t="shared" si="29"/>
        <v>22.417077500000001</v>
      </c>
      <c r="DB18" s="1">
        <f t="shared" si="29"/>
        <v>28.978678630000001</v>
      </c>
      <c r="DC18" s="1">
        <f t="shared" si="29"/>
        <v>14.681416690000001</v>
      </c>
      <c r="DD18" s="1">
        <f t="shared" si="29"/>
        <v>20.44206312</v>
      </c>
      <c r="DE18" s="1">
        <f t="shared" si="29"/>
        <v>19.069193389999999</v>
      </c>
      <c r="DF18" s="1">
        <f t="shared" si="29"/>
        <v>11.15247257</v>
      </c>
      <c r="DH18" s="1">
        <f t="shared" si="30"/>
        <v>0.26088905000000001</v>
      </c>
      <c r="DI18" s="1">
        <f t="shared" si="30"/>
        <v>0.18624962</v>
      </c>
      <c r="DJ18" s="1">
        <f t="shared" si="30"/>
        <v>0.1577527</v>
      </c>
      <c r="DK18" s="1">
        <f t="shared" si="30"/>
        <v>0.24821200999999998</v>
      </c>
      <c r="DL18" s="1">
        <f t="shared" si="30"/>
        <v>0.13589592</v>
      </c>
      <c r="DM18" s="1">
        <f t="shared" si="30"/>
        <v>0.23010199000000001</v>
      </c>
      <c r="DN18" s="1">
        <f t="shared" si="30"/>
        <v>4.8750000000000002E-2</v>
      </c>
      <c r="DO18" s="1">
        <f t="shared" si="30"/>
        <v>0.31075020000000003</v>
      </c>
      <c r="DP18" s="1">
        <f t="shared" si="30"/>
        <v>0.90541722000000002</v>
      </c>
      <c r="DQ18" s="1">
        <f t="shared" si="30"/>
        <v>0.34283965</v>
      </c>
      <c r="DR18" s="1">
        <f t="shared" si="30"/>
        <v>0.74167351000000015</v>
      </c>
      <c r="DS18" s="1">
        <f t="shared" si="30"/>
        <v>0.58632921999999998</v>
      </c>
      <c r="DT18" s="1">
        <f t="shared" si="30"/>
        <v>0.29250390000000004</v>
      </c>
      <c r="DU18" s="1">
        <f t="shared" si="30"/>
        <v>0.46645720000000002</v>
      </c>
      <c r="DV18" s="1">
        <f t="shared" si="30"/>
        <v>8.1248630000000002E-2</v>
      </c>
      <c r="DW18" s="1">
        <f t="shared" si="30"/>
        <v>0.16069122999999999</v>
      </c>
      <c r="DX18" s="1">
        <f t="shared" si="31"/>
        <v>0.12834936</v>
      </c>
      <c r="DY18" s="1">
        <f t="shared" si="31"/>
        <v>0.21283820000000001</v>
      </c>
      <c r="DZ18" s="1">
        <f t="shared" si="31"/>
        <v>0.28431688999999999</v>
      </c>
      <c r="EA18" s="1">
        <f t="shared" si="31"/>
        <v>0.27087241000000001</v>
      </c>
      <c r="EB18" s="1">
        <f t="shared" si="31"/>
        <v>0.85465582000000007</v>
      </c>
      <c r="EC18" s="1">
        <f t="shared" si="31"/>
        <v>0.86735239999999991</v>
      </c>
      <c r="ED18" s="1">
        <f t="shared" si="31"/>
        <v>0.68639446999999998</v>
      </c>
      <c r="EE18" s="1">
        <f t="shared" si="31"/>
        <v>0.51198889000000003</v>
      </c>
      <c r="EG18" s="14">
        <f t="shared" si="32"/>
        <v>2813</v>
      </c>
      <c r="EH18" s="14">
        <f t="shared" si="32"/>
        <v>2813</v>
      </c>
      <c r="EI18" s="1">
        <f t="shared" si="32"/>
        <v>2813</v>
      </c>
      <c r="EJ18" s="1">
        <f t="shared" si="32"/>
        <v>2813</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3"/>
        <v>2813</v>
      </c>
      <c r="EX18" s="1">
        <f t="shared" si="33"/>
        <v>2813</v>
      </c>
      <c r="EY18" s="1">
        <f t="shared" si="33"/>
        <v>2813</v>
      </c>
      <c r="EZ18" s="1">
        <f t="shared" si="33"/>
        <v>2813</v>
      </c>
      <c r="FA18" s="1">
        <f t="shared" si="33"/>
        <v>2813</v>
      </c>
      <c r="FB18" s="1">
        <f t="shared" si="33"/>
        <v>2813</v>
      </c>
      <c r="FC18" s="1">
        <f t="shared" si="33"/>
        <v>2813</v>
      </c>
      <c r="FD18" s="1">
        <f t="shared" si="33"/>
        <v>2813</v>
      </c>
      <c r="FF18" s="162">
        <f t="shared" si="34"/>
        <v>0.22773141386118301</v>
      </c>
    </row>
    <row r="19" spans="1:162" ht="18.75" customHeight="1">
      <c r="A19" s="244" t="s">
        <v>66</v>
      </c>
      <c r="B19" s="247"/>
      <c r="C19" s="228">
        <f t="shared" si="5"/>
        <v>0</v>
      </c>
      <c r="D19" s="229">
        <v>-1</v>
      </c>
      <c r="E19" s="253">
        <f t="shared" si="6"/>
        <v>-9.2881499046993943E-2</v>
      </c>
      <c r="F19" s="254">
        <f t="shared" si="7"/>
        <v>-0.12757365699219547</v>
      </c>
      <c r="G19" s="253">
        <f t="shared" si="8"/>
        <v>-2.2255510538487178E-2</v>
      </c>
      <c r="H19" s="254">
        <f t="shared" si="9"/>
        <v>-7.0625988508506765E-2</v>
      </c>
      <c r="I19" s="253">
        <f t="shared" si="10"/>
        <v>1.4643874643874644</v>
      </c>
      <c r="J19" s="254">
        <f t="shared" si="11"/>
        <v>-0.62563813325234641</v>
      </c>
      <c r="K19" s="253">
        <f t="shared" si="12"/>
        <v>1.4813979329668778</v>
      </c>
      <c r="L19" s="254">
        <f t="shared" si="13"/>
        <v>-1.7010468579413462E-2</v>
      </c>
      <c r="M19" s="255"/>
      <c r="N19" s="256">
        <v>0</v>
      </c>
      <c r="O19" s="253">
        <f t="shared" si="35"/>
        <v>6.5265283642371941E-2</v>
      </c>
      <c r="P19" s="257">
        <f t="shared" si="36"/>
        <v>6.5265283642371941E-2</v>
      </c>
      <c r="Q19" s="253">
        <f t="shared" si="14"/>
        <v>-0.10753859789340392</v>
      </c>
      <c r="R19" s="257">
        <v>-0.01</v>
      </c>
      <c r="S19" s="255"/>
      <c r="T19" s="256">
        <v>1</v>
      </c>
      <c r="U19" s="253">
        <f t="shared" si="15"/>
        <v>0.1350694306305491</v>
      </c>
      <c r="V19" s="258">
        <f t="shared" si="16"/>
        <v>0.1350694306305491</v>
      </c>
      <c r="W19" s="253">
        <f t="shared" si="38"/>
        <v>0.42157122131842084</v>
      </c>
      <c r="X19" s="258">
        <f t="shared" si="17"/>
        <v>0.42157122131842084</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
        <f>VLOOKUP($A19,historia!$A$5:$CM$24,+HLOOKUP(AO$2,historia!$A$3:$EC$4,2,FALSE),FALSE)</f>
        <v>3</v>
      </c>
      <c r="AP19" s="28">
        <f>VLOOKUP($A19,historia!$A$5:$CM$24,+HLOOKUP(AP$2,historia!$A$3:$EC$4,2,FALSE),FALSE)</f>
        <v>3</v>
      </c>
      <c r="AQ19" s="28">
        <f>VLOOKUP($A19,historia!$A$5:$CM$24,+HLOOKUP(AQ$2,historia!$A$3:$EC$4,2,FALSE),FALSE)</f>
        <v>3</v>
      </c>
      <c r="AR19" s="28">
        <f>VLOOKUP($A19,historia!$A$5:$CM$24,+HLOOKUP(AR$2,historia!$A$3:$EC$4,2,FALSE),FALSE)</f>
        <v>4</v>
      </c>
      <c r="AS19" s="58">
        <f>VLOOKUP($A19,historia!$A$5:$CM$24,+HLOOKUP(AS$2,historia!$A$3:$EC$4,2,FALSE),FALSE)</f>
        <v>3</v>
      </c>
      <c r="AT19" s="58">
        <f>VLOOKUP($A19,historia!$A$5:$CM$24,+HLOOKUP(AT$2,historia!$A$3:$EC$4,2,FALSE),FALSE)</f>
        <v>4</v>
      </c>
      <c r="AU19" s="58">
        <f>VLOOKUP($A19,historia!$A$5:$CM$24,+HLOOKUP(AU$2,historia!$A$3:$EC$4,2,FALSE),FALSE)</f>
        <v>4</v>
      </c>
      <c r="AV19" s="58">
        <f>VLOOKUP($A19,historia!$A$5:$CM$24,+HLOOKUP(AV$2,historia!$A$3:$EC$4,2,FALSE),FALSE)</f>
        <v>4</v>
      </c>
      <c r="AW19" s="58">
        <f>VLOOKUP($A19,historia!$A$5:$CM$24,+HLOOKUP(AW$2,historia!$A$3:$EC$4,2,FALSE),FALSE)</f>
        <v>4</v>
      </c>
      <c r="AX19" s="58">
        <f>VLOOKUP($A19,historia!$A$5:$CM$24,+HLOOKUP(AX$2,historia!$A$3:$EC$4,2,FALSE),FALSE)</f>
        <v>3</v>
      </c>
      <c r="AY19" s="58">
        <v>3</v>
      </c>
      <c r="AZ19" s="58">
        <v>3</v>
      </c>
      <c r="BA19" s="30"/>
      <c r="BB19" s="141">
        <v>3</v>
      </c>
      <c r="BC19" t="str">
        <f t="shared" si="20"/>
        <v>Papa</v>
      </c>
      <c r="BD19">
        <f>+datos!AV1</f>
        <v>48</v>
      </c>
      <c r="BE19" s="2" t="str">
        <f t="shared" si="4"/>
        <v>$/bolsa 20kg</v>
      </c>
      <c r="BF19" s="2">
        <f t="shared" si="4"/>
        <v>12272.649572649572</v>
      </c>
      <c r="BG19" s="2">
        <f t="shared" si="4"/>
        <v>13529.268292682927</v>
      </c>
      <c r="BH19" s="2">
        <f t="shared" si="4"/>
        <v>4980</v>
      </c>
      <c r="BJ19">
        <f>+datos!CI1</f>
        <v>87</v>
      </c>
      <c r="BK19" s="2">
        <f t="shared" si="21"/>
        <v>9668.9374037411126</v>
      </c>
      <c r="BL19" s="2">
        <f t="shared" si="21"/>
        <v>9889.0226515786599</v>
      </c>
      <c r="BM19" s="2">
        <f t="shared" si="21"/>
        <v>3896.5686540169195</v>
      </c>
      <c r="BO19" s="1">
        <f>+datos!EZ1</f>
        <v>156</v>
      </c>
      <c r="BP19" s="1">
        <f t="shared" si="22"/>
        <v>34815</v>
      </c>
      <c r="BQ19" s="1">
        <f t="shared" si="22"/>
        <v>32682</v>
      </c>
      <c r="BS19" s="1">
        <f>+datos!GT1</f>
        <v>202</v>
      </c>
      <c r="BT19" s="1">
        <f t="shared" si="23"/>
        <v>2111561</v>
      </c>
      <c r="BU19" s="1">
        <f t="shared" si="23"/>
        <v>2365997</v>
      </c>
      <c r="BW19" s="1">
        <f>+datos!JO1</f>
        <v>275</v>
      </c>
      <c r="BX19" s="1">
        <f t="shared" si="39"/>
        <v>353.93869503000008</v>
      </c>
      <c r="BY19" s="1">
        <f t="shared" si="40"/>
        <v>311.82118510000004</v>
      </c>
      <c r="CA19" s="1">
        <f>+datos!KT1</f>
        <v>306</v>
      </c>
      <c r="CB19" s="2">
        <f t="shared" si="24"/>
        <v>19.375585110000003</v>
      </c>
      <c r="CC19" s="2">
        <f t="shared" si="25"/>
        <v>13.629697070000001</v>
      </c>
      <c r="CE19" s="1">
        <f>+datos!JB1</f>
        <v>262</v>
      </c>
      <c r="CF19" s="1">
        <f t="shared" si="26"/>
        <v>35.950000000000003</v>
      </c>
      <c r="CG19" s="1">
        <f t="shared" si="27"/>
        <v>35.950000000000003</v>
      </c>
      <c r="CI19" s="1">
        <f t="shared" si="28"/>
        <v>36.879687310000008</v>
      </c>
      <c r="CJ19" s="1">
        <f t="shared" si="28"/>
        <v>30.584450140000001</v>
      </c>
      <c r="CK19" s="1">
        <f t="shared" si="28"/>
        <v>34.87822036</v>
      </c>
      <c r="CL19" s="1">
        <f t="shared" si="28"/>
        <v>30.986019150000001</v>
      </c>
      <c r="CM19" s="1">
        <f t="shared" si="28"/>
        <v>34.45773063</v>
      </c>
      <c r="CN19" s="1">
        <f t="shared" si="28"/>
        <v>33.675059580000003</v>
      </c>
      <c r="CO19" s="1">
        <f t="shared" si="28"/>
        <v>28.924508010000004</v>
      </c>
      <c r="CP19" s="1">
        <f t="shared" si="28"/>
        <v>27.954086790000002</v>
      </c>
      <c r="CQ19" s="1">
        <f t="shared" si="28"/>
        <v>24.143815810000007</v>
      </c>
      <c r="CR19" s="1">
        <f t="shared" si="28"/>
        <v>26.000694290000002</v>
      </c>
      <c r="CS19" s="1">
        <f t="shared" si="28"/>
        <v>22.013274209999999</v>
      </c>
      <c r="CT19" s="1">
        <f t="shared" si="28"/>
        <v>23.44114875</v>
      </c>
      <c r="CU19" s="1">
        <f t="shared" si="28"/>
        <v>29.35689408</v>
      </c>
      <c r="CV19" s="1">
        <f t="shared" si="28"/>
        <v>26.11967611</v>
      </c>
      <c r="CW19" s="1">
        <f t="shared" si="28"/>
        <v>30.386509889999999</v>
      </c>
      <c r="CX19" s="1">
        <f t="shared" si="28"/>
        <v>26.2743097</v>
      </c>
      <c r="CY19" s="1">
        <f t="shared" si="29"/>
        <v>30.80704394</v>
      </c>
      <c r="CZ19" s="1">
        <f t="shared" si="29"/>
        <v>27.637267510000001</v>
      </c>
      <c r="DA19" s="1">
        <f t="shared" si="29"/>
        <v>30.470799569999997</v>
      </c>
      <c r="DB19" s="1">
        <f t="shared" si="29"/>
        <v>25.884569989999999</v>
      </c>
      <c r="DC19" s="1">
        <f t="shared" si="29"/>
        <v>21.159077390000004</v>
      </c>
      <c r="DD19" s="1">
        <f t="shared" si="29"/>
        <v>21.056863770000003</v>
      </c>
      <c r="DE19" s="1">
        <f t="shared" si="29"/>
        <v>16.985680380000005</v>
      </c>
      <c r="DF19" s="1">
        <f t="shared" si="29"/>
        <v>25.68249277</v>
      </c>
      <c r="DH19" s="1">
        <f t="shared" si="30"/>
        <v>2.0286618900000004</v>
      </c>
      <c r="DI19" s="1">
        <f t="shared" si="30"/>
        <v>0.79104531999999994</v>
      </c>
      <c r="DJ19" s="1">
        <f t="shared" si="30"/>
        <v>1.6294275100000002</v>
      </c>
      <c r="DK19" s="1">
        <f t="shared" si="30"/>
        <v>1.8725515799999999</v>
      </c>
      <c r="DL19" s="1">
        <f t="shared" si="30"/>
        <v>1.9938344900000002</v>
      </c>
      <c r="DM19" s="1">
        <f t="shared" si="30"/>
        <v>1.4070700599999999</v>
      </c>
      <c r="DN19" s="1">
        <f t="shared" si="30"/>
        <v>0.5838748800000001</v>
      </c>
      <c r="DO19" s="1">
        <f t="shared" si="30"/>
        <v>1.6300787399999999</v>
      </c>
      <c r="DP19" s="1">
        <f t="shared" si="30"/>
        <v>1.5496506000000003</v>
      </c>
      <c r="DQ19" s="1">
        <f t="shared" si="30"/>
        <v>2.1384397699999997</v>
      </c>
      <c r="DR19" s="1">
        <f t="shared" si="30"/>
        <v>2.7337765599999999</v>
      </c>
      <c r="DS19" s="1">
        <f t="shared" si="30"/>
        <v>1.0171737099999998</v>
      </c>
      <c r="DT19" s="1">
        <f t="shared" si="30"/>
        <v>1.9864389700000002</v>
      </c>
      <c r="DU19" s="1">
        <f t="shared" si="30"/>
        <v>2.8868213899999997</v>
      </c>
      <c r="DV19" s="1">
        <f t="shared" si="30"/>
        <v>1.3747401999999997</v>
      </c>
      <c r="DW19" s="1">
        <f t="shared" si="30"/>
        <v>1.6364950999999999</v>
      </c>
      <c r="DX19" s="1">
        <f t="shared" si="31"/>
        <v>1.1348675200000002</v>
      </c>
      <c r="DY19" s="1">
        <f t="shared" si="31"/>
        <v>0.73241972</v>
      </c>
      <c r="DZ19" s="1">
        <f t="shared" si="31"/>
        <v>1.2023484900000001</v>
      </c>
      <c r="EA19" s="1">
        <f t="shared" si="31"/>
        <v>0.41620179000000002</v>
      </c>
      <c r="EB19" s="1">
        <f t="shared" si="31"/>
        <v>1.03402496</v>
      </c>
      <c r="EC19" s="1">
        <f t="shared" si="31"/>
        <v>2.8427559999999998E-2</v>
      </c>
      <c r="ED19" s="1">
        <f t="shared" si="31"/>
        <v>1.0036533000000001</v>
      </c>
      <c r="EE19" s="1">
        <f t="shared" si="31"/>
        <v>0.19325807</v>
      </c>
      <c r="EG19" s="14">
        <f t="shared" si="32"/>
        <v>35.950000000000003</v>
      </c>
      <c r="EH19" s="14">
        <f t="shared" si="32"/>
        <v>35.950000000000003</v>
      </c>
      <c r="EI19" s="1">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3"/>
        <v>35.950000000000003</v>
      </c>
      <c r="EX19" s="1">
        <f t="shared" si="33"/>
        <v>35.950000000000003</v>
      </c>
      <c r="EY19" s="1">
        <f t="shared" si="33"/>
        <v>35.950000000000003</v>
      </c>
      <c r="EZ19" s="1">
        <f t="shared" si="33"/>
        <v>35.950000000000003</v>
      </c>
      <c r="FA19" s="1">
        <f t="shared" si="33"/>
        <v>35.950000000000003</v>
      </c>
      <c r="FB19" s="1">
        <f t="shared" si="33"/>
        <v>40.33</v>
      </c>
      <c r="FC19" s="1">
        <f t="shared" si="33"/>
        <v>40.33</v>
      </c>
      <c r="FD19" s="1">
        <f t="shared" si="33"/>
        <v>40.33</v>
      </c>
      <c r="FF19" s="162">
        <f t="shared" si="34"/>
        <v>-1.7010468579413462E-2</v>
      </c>
    </row>
    <row r="20" spans="1:162" ht="18.75" customHeight="1">
      <c r="A20" s="264" t="s">
        <v>218</v>
      </c>
      <c r="B20" s="246"/>
      <c r="C20" s="156">
        <f t="shared" si="5"/>
        <v>0</v>
      </c>
      <c r="D20" s="198">
        <v>-1</v>
      </c>
      <c r="E20" s="248">
        <f t="shared" si="6"/>
        <v>0.11529863004917296</v>
      </c>
      <c r="F20" s="249">
        <f t="shared" si="7"/>
        <v>8.0606472103971427E-2</v>
      </c>
      <c r="G20" s="248">
        <f t="shared" si="8"/>
        <v>3.838332741655659E-2</v>
      </c>
      <c r="H20" s="249">
        <f t="shared" si="9"/>
        <v>7.6915302632616367E-2</v>
      </c>
      <c r="I20" s="248">
        <f t="shared" si="10"/>
        <v>3.3837816138097141</v>
      </c>
      <c r="J20" s="249">
        <f t="shared" si="11"/>
        <v>1.2937560161699033</v>
      </c>
      <c r="K20" s="248">
        <f t="shared" si="12"/>
        <v>1.8275949995520353</v>
      </c>
      <c r="L20" s="249">
        <f t="shared" si="13"/>
        <v>1.5561866142576788</v>
      </c>
      <c r="M20" s="250"/>
      <c r="N20" s="24">
        <v>-1</v>
      </c>
      <c r="O20" s="248">
        <f t="shared" si="35"/>
        <v>-2.3211675087845274E-2</v>
      </c>
      <c r="P20" s="251">
        <f t="shared" si="36"/>
        <v>-2.3211675087845274E-2</v>
      </c>
      <c r="Q20" s="248">
        <f t="shared" si="14"/>
        <v>-5.5314372304168025E-2</v>
      </c>
      <c r="R20" s="251">
        <f t="shared" si="37"/>
        <v>-5.5314372304168025E-2</v>
      </c>
      <c r="S20" s="250"/>
      <c r="T20" s="24">
        <v>2</v>
      </c>
      <c r="U20" s="248">
        <f t="shared" si="15"/>
        <v>2.6497798562639341E-2</v>
      </c>
      <c r="V20" s="252">
        <f t="shared" si="16"/>
        <v>2.6497798562639341E-2</v>
      </c>
      <c r="W20" s="248">
        <f t="shared" si="38"/>
        <v>-0.47032227689639139</v>
      </c>
      <c r="X20" s="252">
        <f t="shared" si="17"/>
        <v>-0.47032227689639139</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
        <f>VLOOKUP($A20,historia!$A$5:$CM$24,+HLOOKUP(AO$2,historia!$A$3:$EC$4,2,FALSE),FALSE)</f>
        <v>3</v>
      </c>
      <c r="AP20" s="28">
        <f>VLOOKUP($A20,historia!$A$5:$CM$24,+HLOOKUP(AP$2,historia!$A$3:$EC$4,2,FALSE),FALSE)</f>
        <v>3</v>
      </c>
      <c r="AQ20" s="28">
        <f>VLOOKUP($A20,historia!$A$5:$CM$24,+HLOOKUP(AQ$2,historia!$A$3:$EC$4,2,FALSE),FALSE)</f>
        <v>3</v>
      </c>
      <c r="AR20" s="28">
        <f>VLOOKUP($A20,historia!$A$5:$CM$24,+HLOOKUP(AR$2,historia!$A$3:$EC$4,2,FALSE),FALSE)</f>
        <v>3</v>
      </c>
      <c r="AS20" s="58">
        <f>VLOOKUP($A20,historia!$A$5:$CM$24,+HLOOKUP(AS$2,historia!$A$3:$EC$4,2,FALSE),FALSE)</f>
        <v>3</v>
      </c>
      <c r="AT20" s="58">
        <f>VLOOKUP($A20,historia!$A$5:$CM$24,+HLOOKUP(AT$2,historia!$A$3:$EC$4,2,FALSE),FALSE)</f>
        <v>4</v>
      </c>
      <c r="AU20" s="58">
        <f>VLOOKUP($A20,historia!$A$5:$CM$24,+HLOOKUP(AU$2,historia!$A$3:$EC$4,2,FALSE),FALSE)</f>
        <v>4</v>
      </c>
      <c r="AV20" s="58">
        <f>VLOOKUP($A20,historia!$A$5:$CM$24,+HLOOKUP(AV$2,historia!$A$3:$EC$4,2,FALSE),FALSE)</f>
        <v>4</v>
      </c>
      <c r="AW20" s="58">
        <f>VLOOKUP($A20,historia!$A$5:$CM$24,+HLOOKUP(AW$2,historia!$A$3:$EC$4,2,FALSE),FALSE)</f>
        <v>4</v>
      </c>
      <c r="AX20" s="58">
        <f>VLOOKUP($A20,historia!$A$5:$CM$24,+HLOOKUP(AX$2,historia!$A$3:$EC$4,2,FALSE),FALSE)</f>
        <v>3</v>
      </c>
      <c r="AY20" s="58">
        <v>3</v>
      </c>
      <c r="AZ20" s="58">
        <v>3</v>
      </c>
      <c r="BA20" s="30"/>
      <c r="BB20" s="141">
        <v>3</v>
      </c>
      <c r="BC20" t="str">
        <f t="shared" si="20"/>
        <v>Peras y Manzanas</v>
      </c>
      <c r="BD20">
        <f>+datos!AP1</f>
        <v>42</v>
      </c>
      <c r="BE20" s="2" t="str">
        <f t="shared" si="4"/>
        <v>$/caja 18kg</v>
      </c>
      <c r="BF20" s="2">
        <f t="shared" si="4"/>
        <v>18980</v>
      </c>
      <c r="BG20" s="2">
        <f t="shared" si="4"/>
        <v>17017.863636363636</v>
      </c>
      <c r="BH20" s="2">
        <f t="shared" si="4"/>
        <v>4329.5952380952385</v>
      </c>
      <c r="BJ20">
        <f>+datos!CS1</f>
        <v>97</v>
      </c>
      <c r="BK20" s="2">
        <f t="shared" si="21"/>
        <v>8614.844555191281</v>
      </c>
      <c r="BL20" s="2">
        <f t="shared" si="21"/>
        <v>8296.4010763005645</v>
      </c>
      <c r="BM20" s="2">
        <f t="shared" si="21"/>
        <v>3046.7038442761768</v>
      </c>
      <c r="BO20" s="1">
        <f>+datos!FC1</f>
        <v>159</v>
      </c>
      <c r="BP20" s="1">
        <f t="shared" si="22"/>
        <v>38084</v>
      </c>
      <c r="BQ20" s="1">
        <f t="shared" si="22"/>
        <v>38989</v>
      </c>
      <c r="BS20" s="1">
        <f>+datos!GW1</f>
        <v>205</v>
      </c>
      <c r="BT20" s="1">
        <f t="shared" si="23"/>
        <v>743119</v>
      </c>
      <c r="BU20" s="1">
        <f t="shared" si="23"/>
        <v>786631</v>
      </c>
      <c r="BW20" s="1">
        <f>+datos!LS1</f>
        <v>331</v>
      </c>
      <c r="BX20" s="1">
        <f t="shared" si="39"/>
        <v>369.97842494999998</v>
      </c>
      <c r="BY20" s="1">
        <f t="shared" si="40"/>
        <v>360.42787959999998</v>
      </c>
      <c r="CA20" s="1">
        <f>+datos!LW1</f>
        <v>335</v>
      </c>
      <c r="CB20" s="2">
        <f t="shared" si="24"/>
        <v>3.8789920000000007</v>
      </c>
      <c r="CC20" s="2">
        <f t="shared" si="25"/>
        <v>7.3233059100000002</v>
      </c>
      <c r="CE20" s="1">
        <f>+datos!JC1</f>
        <v>263</v>
      </c>
      <c r="CF20" s="1">
        <f t="shared" si="26"/>
        <v>0</v>
      </c>
      <c r="CG20" s="1">
        <f t="shared" si="27"/>
        <v>0</v>
      </c>
      <c r="CI20" s="1">
        <f t="shared" si="28"/>
        <v>22.303018159999997</v>
      </c>
      <c r="CJ20" s="1">
        <f t="shared" si="28"/>
        <v>14.93334776</v>
      </c>
      <c r="CK20" s="1">
        <f t="shared" si="28"/>
        <v>35.336569390000001</v>
      </c>
      <c r="CL20" s="1">
        <f t="shared" si="28"/>
        <v>46.662709379999995</v>
      </c>
      <c r="CM20" s="1">
        <f t="shared" si="28"/>
        <v>45.302769560000002</v>
      </c>
      <c r="CN20" s="1">
        <f t="shared" si="28"/>
        <v>46.856289650000001</v>
      </c>
      <c r="CO20" s="1">
        <f t="shared" si="28"/>
        <v>60.076282149999997</v>
      </c>
      <c r="CP20" s="1">
        <f t="shared" si="28"/>
        <v>42.744570039999999</v>
      </c>
      <c r="CQ20" s="1">
        <f t="shared" si="28"/>
        <v>11.509203560000001</v>
      </c>
      <c r="CR20" s="1">
        <f t="shared" si="28"/>
        <v>11.753879789999999</v>
      </c>
      <c r="CS20" s="1">
        <f t="shared" si="28"/>
        <v>15.619426270000002</v>
      </c>
      <c r="CT20" s="1">
        <f t="shared" si="28"/>
        <v>16.880359240000001</v>
      </c>
      <c r="CU20" s="1">
        <f t="shared" si="28"/>
        <v>24.204094699999999</v>
      </c>
      <c r="CV20" s="1">
        <f t="shared" si="28"/>
        <v>25.300599699999999</v>
      </c>
      <c r="CW20" s="1">
        <f t="shared" si="28"/>
        <v>48.042350899999995</v>
      </c>
      <c r="CX20" s="1">
        <f t="shared" si="28"/>
        <v>30.317151650000003</v>
      </c>
      <c r="CY20" s="1">
        <f t="shared" si="29"/>
        <v>39.830023670000003</v>
      </c>
      <c r="CZ20" s="1">
        <f t="shared" si="29"/>
        <v>48.212206680000008</v>
      </c>
      <c r="DA20" s="1">
        <f t="shared" si="29"/>
        <v>46.755406350000001</v>
      </c>
      <c r="DB20" s="1">
        <f t="shared" si="29"/>
        <v>37.276974840000001</v>
      </c>
      <c r="DC20" s="1">
        <f t="shared" si="29"/>
        <v>11.80910873</v>
      </c>
      <c r="DD20" s="1">
        <f t="shared" si="29"/>
        <v>12.88181872</v>
      </c>
      <c r="DE20" s="1">
        <f t="shared" si="29"/>
        <v>18.209359989999999</v>
      </c>
      <c r="DF20" s="1">
        <f t="shared" si="29"/>
        <v>17.588783669999998</v>
      </c>
      <c r="DH20" s="1">
        <f t="shared" si="30"/>
        <v>0.14837025000000001</v>
      </c>
      <c r="DI20" s="1">
        <f t="shared" si="30"/>
        <v>0.3865221499999999</v>
      </c>
      <c r="DJ20" s="1">
        <f t="shared" si="30"/>
        <v>0.51794252000000007</v>
      </c>
      <c r="DK20" s="1">
        <f t="shared" si="30"/>
        <v>0.37362660000000003</v>
      </c>
      <c r="DL20" s="1">
        <f t="shared" si="30"/>
        <v>0.32288670000000003</v>
      </c>
      <c r="DM20" s="1">
        <f t="shared" si="30"/>
        <v>0.29487440000000004</v>
      </c>
      <c r="DN20" s="1">
        <f t="shared" si="30"/>
        <v>7.78142E-2</v>
      </c>
      <c r="DO20" s="1">
        <f t="shared" si="30"/>
        <v>0.12479459999999999</v>
      </c>
      <c r="DP20" s="1">
        <f t="shared" si="30"/>
        <v>8.4911199999999992E-2</v>
      </c>
      <c r="DQ20" s="1">
        <f t="shared" si="30"/>
        <v>0.22142464000000001</v>
      </c>
      <c r="DR20" s="1">
        <f t="shared" si="30"/>
        <v>1.01853964</v>
      </c>
      <c r="DS20" s="1">
        <f t="shared" si="30"/>
        <v>0.30728509999999998</v>
      </c>
      <c r="DT20" s="1">
        <f t="shared" si="30"/>
        <v>0.37410640000000001</v>
      </c>
      <c r="DU20" s="1">
        <f t="shared" si="30"/>
        <v>0.35746821000000001</v>
      </c>
      <c r="DV20" s="1">
        <f t="shared" si="30"/>
        <v>0.95829101000000005</v>
      </c>
      <c r="DW20" s="1">
        <f t="shared" si="30"/>
        <v>0.34636184000000003</v>
      </c>
      <c r="DX20" s="1">
        <f t="shared" si="31"/>
        <v>1.2547095300000002</v>
      </c>
      <c r="DY20" s="1">
        <f t="shared" si="31"/>
        <v>1.273682</v>
      </c>
      <c r="DZ20" s="1">
        <f t="shared" si="31"/>
        <v>0.92279571000000005</v>
      </c>
      <c r="EA20" s="1">
        <f t="shared" si="31"/>
        <v>0.55930298000000001</v>
      </c>
      <c r="EB20" s="1">
        <f t="shared" si="31"/>
        <v>0.23405334</v>
      </c>
      <c r="EC20" s="1">
        <f t="shared" si="31"/>
        <v>2.5551390000000004E-2</v>
      </c>
      <c r="ED20" s="1">
        <f t="shared" si="31"/>
        <v>0.44126778</v>
      </c>
      <c r="EE20" s="1">
        <f t="shared" si="31"/>
        <v>0.57571571999999993</v>
      </c>
      <c r="EG20" s="14">
        <f t="shared" si="32"/>
        <v>0</v>
      </c>
      <c r="EH20" s="14">
        <f t="shared" si="32"/>
        <v>0</v>
      </c>
      <c r="EI20" s="1">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3"/>
        <v>0</v>
      </c>
      <c r="EX20" s="1">
        <f t="shared" si="33"/>
        <v>0</v>
      </c>
      <c r="EY20" s="1">
        <f t="shared" si="33"/>
        <v>0</v>
      </c>
      <c r="EZ20" s="1">
        <f t="shared" si="33"/>
        <v>0</v>
      </c>
      <c r="FA20" s="1">
        <f t="shared" si="33"/>
        <v>0</v>
      </c>
      <c r="FB20" s="1">
        <f t="shared" si="33"/>
        <v>0</v>
      </c>
      <c r="FC20" s="1">
        <f t="shared" si="33"/>
        <v>0</v>
      </c>
      <c r="FD20" s="1">
        <f t="shared" si="33"/>
        <v>0</v>
      </c>
      <c r="FF20" s="162">
        <f t="shared" si="34"/>
        <v>1.5561866142576788</v>
      </c>
    </row>
    <row r="21" spans="1:162" ht="18.75" customHeight="1">
      <c r="A21" s="244" t="s">
        <v>121</v>
      </c>
      <c r="B21" s="247"/>
      <c r="C21" s="228">
        <f t="shared" si="5"/>
        <v>0</v>
      </c>
      <c r="D21" s="229">
        <v>-2</v>
      </c>
      <c r="E21" s="253">
        <f t="shared" si="6"/>
        <v>9.7230009181840993E-2</v>
      </c>
      <c r="F21" s="254">
        <f t="shared" si="7"/>
        <v>6.2537851236639463E-2</v>
      </c>
      <c r="G21" s="253">
        <f t="shared" si="8"/>
        <v>4.7440748068727556E-2</v>
      </c>
      <c r="H21" s="254">
        <f t="shared" si="9"/>
        <v>4.9789261113113437E-2</v>
      </c>
      <c r="I21" s="253">
        <f t="shared" si="10"/>
        <v>1.8249999999999997</v>
      </c>
      <c r="J21" s="254">
        <f t="shared" si="11"/>
        <v>-0.26502559763981104</v>
      </c>
      <c r="K21" s="253">
        <f t="shared" si="12"/>
        <v>1.6927695276710999</v>
      </c>
      <c r="L21" s="254">
        <f t="shared" si="13"/>
        <v>0.13223047232889984</v>
      </c>
      <c r="M21" s="255"/>
      <c r="N21" s="256">
        <v>1</v>
      </c>
      <c r="O21" s="253">
        <f t="shared" si="35"/>
        <v>3.8695172963417956E-2</v>
      </c>
      <c r="P21" s="257">
        <f t="shared" si="36"/>
        <v>3.8695172963417956E-2</v>
      </c>
      <c r="Q21" s="253">
        <f t="shared" si="14"/>
        <v>3.989690803952306E-2</v>
      </c>
      <c r="R21" s="257">
        <f t="shared" si="37"/>
        <v>3.989690803952306E-2</v>
      </c>
      <c r="S21" s="255"/>
      <c r="T21" s="256">
        <v>1</v>
      </c>
      <c r="U21" s="253">
        <f t="shared" si="15"/>
        <v>0.20528797139377053</v>
      </c>
      <c r="V21" s="258">
        <f t="shared" si="16"/>
        <v>0.20528797139377053</v>
      </c>
      <c r="W21" s="253">
        <f t="shared" si="38"/>
        <v>-0.32740127714919698</v>
      </c>
      <c r="X21" s="258">
        <f t="shared" si="17"/>
        <v>-0.32740127714919698</v>
      </c>
      <c r="Y21" s="253">
        <f t="shared" si="18"/>
        <v>5.3859964093356805E-3</v>
      </c>
      <c r="Z21" s="258">
        <f t="shared" si="19"/>
        <v>5.3859964093356805E-3</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
        <f>VLOOKUP($A21,historia!$A$5:$CM$24,+HLOOKUP(AO$2,historia!$A$3:$EC$4,2,FALSE),FALSE)</f>
        <v>3</v>
      </c>
      <c r="AP21" s="28">
        <f>VLOOKUP($A21,historia!$A$5:$CM$24,+HLOOKUP(AP$2,historia!$A$3:$EC$4,2,FALSE),FALSE)</f>
        <v>3</v>
      </c>
      <c r="AQ21" s="28">
        <f>VLOOKUP($A21,historia!$A$5:$CM$24,+HLOOKUP(AQ$2,historia!$A$3:$EC$4,2,FALSE),FALSE)</f>
        <v>2</v>
      </c>
      <c r="AR21" s="28">
        <f>VLOOKUP($A21,historia!$A$5:$CM$24,+HLOOKUP(AR$2,historia!$A$3:$EC$4,2,FALSE),FALSE)</f>
        <v>1</v>
      </c>
      <c r="AS21" s="58">
        <f>VLOOKUP($A21,historia!$A$5:$CM$24,+HLOOKUP(AS$2,historia!$A$3:$EC$4,2,FALSE),FALSE)</f>
        <v>2</v>
      </c>
      <c r="AT21" s="58">
        <f>VLOOKUP($A21,historia!$A$5:$CM$24,+HLOOKUP(AT$2,historia!$A$3:$EC$4,2,FALSE),FALSE)</f>
        <v>4</v>
      </c>
      <c r="AU21" s="58">
        <f>VLOOKUP($A21,historia!$A$5:$CM$24,+HLOOKUP(AU$2,historia!$A$3:$EC$4,2,FALSE),FALSE)</f>
        <v>5</v>
      </c>
      <c r="AV21" s="58">
        <f>VLOOKUP($A21,historia!$A$5:$CM$24,+HLOOKUP(AV$2,historia!$A$3:$EC$4,2,FALSE),FALSE)</f>
        <v>3</v>
      </c>
      <c r="AW21" s="58">
        <f>VLOOKUP($A21,historia!$A$5:$CM$24,+HLOOKUP(AW$2,historia!$A$3:$EC$4,2,FALSE),FALSE)</f>
        <v>4</v>
      </c>
      <c r="AX21" s="58">
        <f>VLOOKUP($A21,historia!$A$5:$CM$24,+HLOOKUP(AX$2,historia!$A$3:$EC$4,2,FALSE),FALSE)</f>
        <v>3</v>
      </c>
      <c r="AY21" s="58">
        <v>2</v>
      </c>
      <c r="AZ21" s="58">
        <v>2</v>
      </c>
      <c r="BA21" s="30"/>
      <c r="BB21" s="141">
        <v>3</v>
      </c>
      <c r="BC21" t="str">
        <f t="shared" si="20"/>
        <v>Porcinos</v>
      </c>
      <c r="BD21">
        <f>+datos!BR1</f>
        <v>70</v>
      </c>
      <c r="BE21" s="2" t="str">
        <f t="shared" si="4"/>
        <v>$/kg</v>
      </c>
      <c r="BF21" s="2">
        <f t="shared" si="4"/>
        <v>1350.35</v>
      </c>
      <c r="BG21" s="2">
        <f t="shared" si="4"/>
        <v>1230.69</v>
      </c>
      <c r="BH21" s="2">
        <f t="shared" si="4"/>
        <v>478</v>
      </c>
      <c r="BJ21">
        <f>+datos!DD1</f>
        <v>108</v>
      </c>
      <c r="BK21" s="2">
        <f t="shared" si="21"/>
        <v>8444.7930217757566</v>
      </c>
      <c r="BL21" s="2">
        <f t="shared" si="21"/>
        <v>8062.3109587308645</v>
      </c>
      <c r="BM21" s="2">
        <f t="shared" si="21"/>
        <v>3136.099445198126</v>
      </c>
      <c r="BO21" s="1">
        <f>+datos!EJ1</f>
        <v>140</v>
      </c>
      <c r="BP21" s="1">
        <f t="shared" si="22"/>
        <v>6115215</v>
      </c>
      <c r="BQ21" s="1">
        <f t="shared" si="22"/>
        <v>5887401</v>
      </c>
      <c r="BS21" s="1">
        <f>+datos!HE1</f>
        <v>213</v>
      </c>
      <c r="BT21" s="1">
        <f t="shared" si="23"/>
        <v>781547</v>
      </c>
      <c r="BU21" s="1">
        <f t="shared" si="23"/>
        <v>751562</v>
      </c>
      <c r="BW21" s="1">
        <f>+datos!KJ1</f>
        <v>296</v>
      </c>
      <c r="BX21" s="1">
        <f t="shared" si="39"/>
        <v>24.433097199999999</v>
      </c>
      <c r="BY21" s="1">
        <f t="shared" si="40"/>
        <v>20.271584700000002</v>
      </c>
      <c r="CA21" s="1">
        <f>+datos!LO1</f>
        <v>327</v>
      </c>
      <c r="CB21" s="2">
        <f t="shared" si="24"/>
        <v>40.735082640000002</v>
      </c>
      <c r="CC21" s="2">
        <f t="shared" si="25"/>
        <v>60.563722850000005</v>
      </c>
      <c r="CE21" s="1">
        <f>+datos!IO1</f>
        <v>249</v>
      </c>
      <c r="CF21" s="1">
        <f t="shared" si="26"/>
        <v>16.8</v>
      </c>
      <c r="CG21" s="1">
        <f t="shared" si="27"/>
        <v>16.71</v>
      </c>
      <c r="CI21" s="1">
        <f t="shared" si="28"/>
        <v>2.1279038099999998</v>
      </c>
      <c r="CJ21" s="1">
        <f t="shared" si="28"/>
        <v>2.3778769799999995</v>
      </c>
      <c r="CK21" s="1">
        <f t="shared" si="28"/>
        <v>4.3175895799999999</v>
      </c>
      <c r="CL21" s="1">
        <f t="shared" si="28"/>
        <v>2.7596131099999996</v>
      </c>
      <c r="CM21" s="1">
        <f t="shared" si="28"/>
        <v>1.9296841299999996</v>
      </c>
      <c r="CN21" s="1">
        <f t="shared" si="28"/>
        <v>2.2533318799999997</v>
      </c>
      <c r="CO21" s="1">
        <f t="shared" si="28"/>
        <v>1.55421593</v>
      </c>
      <c r="CP21" s="1">
        <f t="shared" si="28"/>
        <v>1.56892272</v>
      </c>
      <c r="CQ21" s="1">
        <f t="shared" si="28"/>
        <v>1.2009935999999999</v>
      </c>
      <c r="CR21" s="1">
        <f t="shared" si="28"/>
        <v>1.5576121499999998</v>
      </c>
      <c r="CS21" s="1">
        <f t="shared" si="28"/>
        <v>1.3743196699999998</v>
      </c>
      <c r="CT21" s="1">
        <f t="shared" si="28"/>
        <v>1.4110336399999999</v>
      </c>
      <c r="CU21" s="1">
        <f t="shared" si="28"/>
        <v>1.8830951399999996</v>
      </c>
      <c r="CV21" s="1">
        <f t="shared" si="28"/>
        <v>1.4694087300000001</v>
      </c>
      <c r="CW21" s="1">
        <f t="shared" si="28"/>
        <v>2.0502103900000002</v>
      </c>
      <c r="CX21" s="1">
        <f t="shared" si="28"/>
        <v>1.8176867299999997</v>
      </c>
      <c r="CY21" s="1">
        <f t="shared" si="29"/>
        <v>1.2719750699999999</v>
      </c>
      <c r="CZ21" s="1">
        <f t="shared" si="29"/>
        <v>1.5228158499999997</v>
      </c>
      <c r="DA21" s="1">
        <f t="shared" si="29"/>
        <v>1.32254655</v>
      </c>
      <c r="DB21" s="1">
        <f t="shared" si="29"/>
        <v>2.1116566699999999</v>
      </c>
      <c r="DC21" s="1">
        <f t="shared" si="29"/>
        <v>1.8299806799999998</v>
      </c>
      <c r="DD21" s="1">
        <f t="shared" si="29"/>
        <v>2.01275629</v>
      </c>
      <c r="DE21" s="1">
        <f t="shared" si="29"/>
        <v>1.0656519800000002</v>
      </c>
      <c r="DF21" s="1">
        <f t="shared" si="29"/>
        <v>1.9138006200000002</v>
      </c>
      <c r="DH21" s="1">
        <f t="shared" si="30"/>
        <v>7.3519509899999989</v>
      </c>
      <c r="DI21" s="1">
        <f t="shared" si="30"/>
        <v>4.9251834299999988</v>
      </c>
      <c r="DJ21" s="1">
        <f t="shared" si="30"/>
        <v>2.5935797799999998</v>
      </c>
      <c r="DK21" s="1">
        <f t="shared" si="30"/>
        <v>1.7163214500000001</v>
      </c>
      <c r="DL21" s="1">
        <f t="shared" si="30"/>
        <v>2.7920763000000002</v>
      </c>
      <c r="DM21" s="1">
        <f t="shared" si="30"/>
        <v>3.5088459899999997</v>
      </c>
      <c r="DN21" s="1">
        <f t="shared" si="30"/>
        <v>2.2524288500000003</v>
      </c>
      <c r="DO21" s="1">
        <f t="shared" si="30"/>
        <v>5.2341166499999998</v>
      </c>
      <c r="DP21" s="1">
        <f t="shared" si="30"/>
        <v>3.1162246899999997</v>
      </c>
      <c r="DQ21" s="1">
        <f t="shared" si="30"/>
        <v>3.3747357299999998</v>
      </c>
      <c r="DR21" s="1">
        <f t="shared" si="30"/>
        <v>1.8536983500000002</v>
      </c>
      <c r="DS21" s="1">
        <f t="shared" si="30"/>
        <v>2.01592043</v>
      </c>
      <c r="DT21" s="1">
        <f t="shared" si="30"/>
        <v>3.3244473500000002</v>
      </c>
      <c r="DU21" s="1">
        <f t="shared" si="30"/>
        <v>2.84758625</v>
      </c>
      <c r="DV21" s="1">
        <f t="shared" si="30"/>
        <v>4.1641835499999997</v>
      </c>
      <c r="DW21" s="1">
        <f t="shared" ref="DW21:EE24" si="41">+VLOOKUP(DW$1,ran_dat,$CA21,FALSE)</f>
        <v>4.5685913500000002</v>
      </c>
      <c r="DX21" s="1">
        <f t="shared" si="41"/>
        <v>6.3615663699999985</v>
      </c>
      <c r="DY21" s="1">
        <f t="shared" si="41"/>
        <v>5.5541627499999997</v>
      </c>
      <c r="DZ21" s="1">
        <f t="shared" si="41"/>
        <v>6.8596205599999998</v>
      </c>
      <c r="EA21" s="1">
        <f t="shared" si="41"/>
        <v>4.6739966500000012</v>
      </c>
      <c r="EB21" s="1">
        <f t="shared" si="41"/>
        <v>7.6286560299999993</v>
      </c>
      <c r="EC21" s="1">
        <f t="shared" si="41"/>
        <v>3.658397E-2</v>
      </c>
      <c r="ED21" s="1">
        <f t="shared" si="41"/>
        <v>7.2061905900000003</v>
      </c>
      <c r="EE21" s="1">
        <f t="shared" si="41"/>
        <v>7.3381374299999997</v>
      </c>
      <c r="EG21" s="14">
        <f t="shared" si="32"/>
        <v>16.8</v>
      </c>
      <c r="EH21" s="14">
        <f t="shared" si="32"/>
        <v>16.760000000000002</v>
      </c>
      <c r="EI21" s="1">
        <f t="shared" si="32"/>
        <v>16.84</v>
      </c>
      <c r="EJ21" s="1">
        <f t="shared" si="32"/>
        <v>16.64</v>
      </c>
      <c r="EK21" s="1">
        <f t="shared" si="32"/>
        <v>16.68</v>
      </c>
      <c r="EL21" s="1">
        <f t="shared" si="32"/>
        <v>16.62</v>
      </c>
      <c r="EM21" s="1">
        <f t="shared" si="32"/>
        <v>16.5</v>
      </c>
      <c r="EN21" s="1">
        <f t="shared" si="32"/>
        <v>16.64</v>
      </c>
      <c r="EO21" s="1">
        <f t="shared" si="32"/>
        <v>16.68</v>
      </c>
      <c r="EP21" s="1">
        <f t="shared" si="32"/>
        <v>16.72</v>
      </c>
      <c r="EQ21" s="1">
        <f t="shared" si="32"/>
        <v>16.75</v>
      </c>
      <c r="ER21" s="1">
        <f t="shared" si="32"/>
        <v>16.760000000000002</v>
      </c>
      <c r="ES21" s="1">
        <f t="shared" si="32"/>
        <v>16.71</v>
      </c>
      <c r="ET21" s="1">
        <f t="shared" si="32"/>
        <v>16.68</v>
      </c>
      <c r="EU21" s="1">
        <f t="shared" si="32"/>
        <v>16.670000000000002</v>
      </c>
      <c r="EV21" s="1">
        <f t="shared" ref="EV21:FD24" si="42">+VLOOKUP(EV$1,ran_dat,$CE21,FALSE)</f>
        <v>16.670000000000002</v>
      </c>
      <c r="EW21" s="1">
        <f t="shared" si="42"/>
        <v>16.72</v>
      </c>
      <c r="EX21" s="1">
        <f t="shared" si="42"/>
        <v>16.77</v>
      </c>
      <c r="EY21" s="1">
        <f t="shared" si="42"/>
        <v>16.88</v>
      </c>
      <c r="EZ21" s="1">
        <f t="shared" si="42"/>
        <v>16.93</v>
      </c>
      <c r="FA21" s="1">
        <f t="shared" si="42"/>
        <v>16.97</v>
      </c>
      <c r="FB21" s="1">
        <f t="shared" si="42"/>
        <v>16.760000000000002</v>
      </c>
      <c r="FC21" s="1">
        <f t="shared" si="42"/>
        <v>16.89</v>
      </c>
      <c r="FD21" s="1">
        <f t="shared" si="42"/>
        <v>16.920000000000002</v>
      </c>
      <c r="FF21" s="162">
        <f t="shared" si="34"/>
        <v>0.13223047232889984</v>
      </c>
    </row>
    <row r="22" spans="1:162" ht="18.75" customHeight="1">
      <c r="A22" s="243" t="s">
        <v>75</v>
      </c>
      <c r="B22" s="246"/>
      <c r="C22" s="156">
        <f t="shared" si="5"/>
        <v>0.66</v>
      </c>
      <c r="D22" s="198">
        <v>1</v>
      </c>
      <c r="E22" s="248">
        <f t="shared" si="6"/>
        <v>0</v>
      </c>
      <c r="F22" s="249">
        <f t="shared" si="7"/>
        <v>-3.4692157945201529E-2</v>
      </c>
      <c r="G22" s="248">
        <f t="shared" si="8"/>
        <v>2.2321625185060867E-2</v>
      </c>
      <c r="H22" s="249">
        <f t="shared" si="9"/>
        <v>-2.2321625185060867E-2</v>
      </c>
      <c r="I22" s="248">
        <f t="shared" si="10"/>
        <v>3.2420324818487183</v>
      </c>
      <c r="J22" s="249">
        <f t="shared" si="11"/>
        <v>1.1520068842089075</v>
      </c>
      <c r="K22" s="248">
        <f t="shared" si="12"/>
        <v>1.9047953204364068</v>
      </c>
      <c r="L22" s="249">
        <f t="shared" si="13"/>
        <v>1.3372371614123115</v>
      </c>
      <c r="M22" s="250"/>
      <c r="N22" s="24">
        <v>0</v>
      </c>
      <c r="O22" s="248">
        <f t="shared" si="35"/>
        <v>0.10289900078548864</v>
      </c>
      <c r="P22" s="251">
        <f t="shared" si="36"/>
        <v>0.10289900078548864</v>
      </c>
      <c r="Q22" s="248">
        <f t="shared" si="14"/>
        <v>-7.0102125429331252E-2</v>
      </c>
      <c r="R22" s="251">
        <f t="shared" si="37"/>
        <v>-7.0102125429331252E-2</v>
      </c>
      <c r="S22" s="250"/>
      <c r="T22" s="24">
        <v>1</v>
      </c>
      <c r="U22" s="248">
        <f t="shared" si="15"/>
        <v>-0.21322175332477178</v>
      </c>
      <c r="V22" s="252">
        <f t="shared" si="16"/>
        <v>-0.21322175332477178</v>
      </c>
      <c r="W22" s="248">
        <f t="shared" si="38"/>
        <v>-0.18078364367238031</v>
      </c>
      <c r="X22" s="252">
        <f t="shared" si="17"/>
        <v>-0.18078364367238031</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
        <f>VLOOKUP($A22,historia!$A$5:$CM$24,+HLOOKUP(AO$2,historia!$A$3:$EC$4,2,FALSE),FALSE)</f>
        <v>4</v>
      </c>
      <c r="AP22" s="28">
        <f>VLOOKUP($A22,historia!$A$5:$CM$24,+HLOOKUP(AP$2,historia!$A$3:$EC$4,2,FALSE),FALSE)</f>
        <v>4</v>
      </c>
      <c r="AQ22" s="28">
        <f>VLOOKUP($A22,historia!$A$5:$CM$24,+HLOOKUP(AQ$2,historia!$A$3:$EC$4,2,FALSE),FALSE)</f>
        <v>3</v>
      </c>
      <c r="AR22" s="28">
        <f>VLOOKUP($A22,historia!$A$5:$CM$24,+HLOOKUP(AR$2,historia!$A$3:$EC$4,2,FALSE),FALSE)</f>
        <v>3</v>
      </c>
      <c r="AS22" s="58">
        <f>VLOOKUP($A22,historia!$A$5:$CM$24,+HLOOKUP(AS$2,historia!$A$3:$EC$4,2,FALSE),FALSE)</f>
        <v>3</v>
      </c>
      <c r="AT22" s="58">
        <f>VLOOKUP($A22,historia!$A$5:$CM$24,+HLOOKUP(AT$2,historia!$A$3:$EC$4,2,FALSE),FALSE)</f>
        <v>4</v>
      </c>
      <c r="AU22" s="58">
        <f>VLOOKUP($A22,historia!$A$5:$CM$24,+HLOOKUP(AU$2,historia!$A$3:$EC$4,2,FALSE),FALSE)</f>
        <v>4</v>
      </c>
      <c r="AV22" s="58">
        <f>VLOOKUP($A22,historia!$A$5:$CM$24,+HLOOKUP(AV$2,historia!$A$3:$EC$4,2,FALSE),FALSE)</f>
        <v>3</v>
      </c>
      <c r="AW22" s="58">
        <f>VLOOKUP($A22,historia!$A$5:$CM$24,+HLOOKUP(AW$2,historia!$A$3:$EC$4,2,FALSE),FALSE)</f>
        <v>2</v>
      </c>
      <c r="AX22" s="58">
        <f>VLOOKUP($A22,historia!$A$5:$CM$24,+HLOOKUP(AX$2,historia!$A$3:$EC$4,2,FALSE),FALSE)</f>
        <v>2</v>
      </c>
      <c r="AY22" s="58">
        <v>2</v>
      </c>
      <c r="AZ22" s="58">
        <v>2</v>
      </c>
      <c r="BA22" s="30"/>
      <c r="BB22" s="141">
        <v>2</v>
      </c>
      <c r="BC22" t="str">
        <f t="shared" si="20"/>
        <v>Tabaco</v>
      </c>
      <c r="BD22">
        <f>+datos!BJ1</f>
        <v>62</v>
      </c>
      <c r="BE22" s="2" t="str">
        <f t="shared" si="4"/>
        <v>$/kg</v>
      </c>
      <c r="BF22" s="2">
        <f t="shared" si="4"/>
        <v>3675</v>
      </c>
      <c r="BG22" s="2">
        <f t="shared" si="4"/>
        <v>3675</v>
      </c>
      <c r="BH22" s="2">
        <f t="shared" si="4"/>
        <v>866.33</v>
      </c>
      <c r="BJ22">
        <f>+datos!DA1</f>
        <v>105</v>
      </c>
      <c r="BK22" s="2">
        <f t="shared" si="21"/>
        <v>8587.7936782656234</v>
      </c>
      <c r="BL22" s="2">
        <f t="shared" si="21"/>
        <v>8400.285650527112</v>
      </c>
      <c r="BM22" s="2">
        <f t="shared" si="21"/>
        <v>2956.4195514386265</v>
      </c>
      <c r="BO22" s="1">
        <f>+datos!FD1</f>
        <v>160</v>
      </c>
      <c r="BP22" s="1">
        <f t="shared" si="22"/>
        <v>60376</v>
      </c>
      <c r="BQ22" s="1">
        <f t="shared" si="22"/>
        <v>54743</v>
      </c>
      <c r="BS22" s="1">
        <f>+datos!GX1</f>
        <v>206</v>
      </c>
      <c r="BT22" s="1">
        <f t="shared" si="23"/>
        <v>30804.553</v>
      </c>
      <c r="BU22" s="1">
        <f t="shared" si="23"/>
        <v>33126.813000000002</v>
      </c>
      <c r="BW22" s="1">
        <f>+datos!KC1</f>
        <v>289</v>
      </c>
      <c r="BX22" s="1">
        <f t="shared" si="39"/>
        <v>516.38495416000001</v>
      </c>
      <c r="BY22" s="1">
        <f t="shared" si="40"/>
        <v>656.32845893000012</v>
      </c>
      <c r="CA22" s="1">
        <f>+datos!LH1</f>
        <v>320</v>
      </c>
      <c r="CB22" s="2">
        <f t="shared" si="24"/>
        <v>51.991346659999998</v>
      </c>
      <c r="CC22" s="2">
        <f t="shared" si="25"/>
        <v>63.464732190000007</v>
      </c>
      <c r="CE22" s="1">
        <f>+datos!JD1</f>
        <v>264</v>
      </c>
      <c r="CF22" s="1">
        <f t="shared" si="26"/>
        <v>0</v>
      </c>
      <c r="CG22" s="1">
        <f t="shared" si="27"/>
        <v>0</v>
      </c>
      <c r="CI22" s="1">
        <f t="shared" ref="CI22:CX24" si="43">+VLOOKUP(CI$1,ran_dat,$BW22,FALSE)</f>
        <v>54.488227269999996</v>
      </c>
      <c r="CJ22" s="1">
        <f t="shared" si="43"/>
        <v>45.888815350000002</v>
      </c>
      <c r="CK22" s="1">
        <f t="shared" si="43"/>
        <v>56.365947810000002</v>
      </c>
      <c r="CL22" s="1">
        <f t="shared" si="43"/>
        <v>58.671597329999997</v>
      </c>
      <c r="CM22" s="1">
        <f t="shared" si="43"/>
        <v>31.625168280000004</v>
      </c>
      <c r="CN22" s="1">
        <f t="shared" si="43"/>
        <v>17.697801470000002</v>
      </c>
      <c r="CO22" s="1">
        <f t="shared" si="43"/>
        <v>30.191481329999998</v>
      </c>
      <c r="CP22" s="1">
        <f t="shared" si="43"/>
        <v>36.249269399999989</v>
      </c>
      <c r="CQ22" s="1">
        <f t="shared" si="43"/>
        <v>40.108989959999995</v>
      </c>
      <c r="CR22" s="1">
        <f t="shared" si="43"/>
        <v>56.890802439999995</v>
      </c>
      <c r="CS22" s="1">
        <f t="shared" si="43"/>
        <v>36.8257318</v>
      </c>
      <c r="CT22" s="1">
        <f t="shared" si="43"/>
        <v>51.381121719999996</v>
      </c>
      <c r="CU22" s="1">
        <f t="shared" si="43"/>
        <v>33.051481680000002</v>
      </c>
      <c r="CV22" s="1">
        <f t="shared" si="43"/>
        <v>60.888504160000004</v>
      </c>
      <c r="CW22" s="1">
        <f t="shared" si="43"/>
        <v>55.773078730000002</v>
      </c>
      <c r="CX22" s="1">
        <f t="shared" si="43"/>
        <v>34.825160650000001</v>
      </c>
      <c r="CY22" s="1">
        <f t="shared" ref="CY22:DF24" si="44">+VLOOKUP(CY$1,ran_dat,$BW22,FALSE)</f>
        <v>19.014000799999998</v>
      </c>
      <c r="CZ22" s="1">
        <f t="shared" si="44"/>
        <v>13.328405800000001</v>
      </c>
      <c r="DA22" s="1">
        <f t="shared" si="44"/>
        <v>41.736807310000003</v>
      </c>
      <c r="DB22" s="1">
        <f t="shared" si="44"/>
        <v>99.771490689999993</v>
      </c>
      <c r="DC22" s="1">
        <f t="shared" si="44"/>
        <v>36.311671529999998</v>
      </c>
      <c r="DD22" s="1">
        <f t="shared" si="44"/>
        <v>57.64022373000001</v>
      </c>
      <c r="DE22" s="1">
        <f t="shared" si="44"/>
        <v>136.09986096</v>
      </c>
      <c r="DF22" s="1">
        <f t="shared" si="44"/>
        <v>67.887772890000008</v>
      </c>
      <c r="DH22" s="1">
        <f t="shared" ref="DH22:DW24" si="45">+VLOOKUP(DH$1,ran_dat,$CA22,FALSE)</f>
        <v>5.3893107900000006</v>
      </c>
      <c r="DI22" s="1">
        <f t="shared" si="45"/>
        <v>5.0602291599999996</v>
      </c>
      <c r="DJ22" s="1">
        <f t="shared" si="45"/>
        <v>1.1636776099999999</v>
      </c>
      <c r="DK22" s="1">
        <f t="shared" si="45"/>
        <v>4.3331795800000004</v>
      </c>
      <c r="DL22" s="1">
        <f t="shared" si="45"/>
        <v>5.5991701699999998</v>
      </c>
      <c r="DM22" s="1">
        <f t="shared" si="45"/>
        <v>5.1284923700000009</v>
      </c>
      <c r="DN22" s="1">
        <f t="shared" si="45"/>
        <v>4.8853449399999995</v>
      </c>
      <c r="DO22" s="1">
        <f t="shared" si="45"/>
        <v>4.5019780499999991</v>
      </c>
      <c r="DP22" s="1">
        <f t="shared" si="45"/>
        <v>3.2870284000000001</v>
      </c>
      <c r="DQ22" s="1">
        <f t="shared" si="45"/>
        <v>2.2553329799999999</v>
      </c>
      <c r="DR22" s="1">
        <f t="shared" si="45"/>
        <v>4.9563280900000004</v>
      </c>
      <c r="DS22" s="1">
        <f t="shared" si="45"/>
        <v>5.4312745199999997</v>
      </c>
      <c r="DT22" s="1">
        <f t="shared" si="45"/>
        <v>5.9427570699999999</v>
      </c>
      <c r="DU22" s="1">
        <f t="shared" si="45"/>
        <v>7.0989514199999997</v>
      </c>
      <c r="DV22" s="1">
        <f t="shared" si="45"/>
        <v>8.0901624599999984</v>
      </c>
      <c r="DW22" s="1">
        <f t="shared" si="45"/>
        <v>8.5152603000000013</v>
      </c>
      <c r="DX22" s="1">
        <f t="shared" si="41"/>
        <v>6.4262316399999984</v>
      </c>
      <c r="DY22" s="1">
        <f t="shared" si="41"/>
        <v>5.5724239500000001</v>
      </c>
      <c r="DZ22" s="1">
        <f t="shared" si="41"/>
        <v>6.0969073500000004</v>
      </c>
      <c r="EA22" s="1">
        <f t="shared" si="41"/>
        <v>3.8674547000000001</v>
      </c>
      <c r="EB22" s="1">
        <f t="shared" si="41"/>
        <v>3.6075394200000002</v>
      </c>
      <c r="EC22" s="1">
        <f t="shared" si="41"/>
        <v>4.0127527599999997</v>
      </c>
      <c r="ED22" s="1">
        <f t="shared" si="41"/>
        <v>4.23429112</v>
      </c>
      <c r="EE22" s="1">
        <f t="shared" si="41"/>
        <v>0</v>
      </c>
      <c r="EG22" s="14">
        <f t="shared" ref="EG22:EV24" si="46">+VLOOKUP(EG$1,ran_dat,$CE22,FALSE)</f>
        <v>0</v>
      </c>
      <c r="EH22" s="14">
        <f t="shared" si="46"/>
        <v>0</v>
      </c>
      <c r="EI22" s="1">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2"/>
        <v>0</v>
      </c>
      <c r="EX22" s="1">
        <f t="shared" si="42"/>
        <v>0</v>
      </c>
      <c r="EY22" s="1">
        <f t="shared" si="42"/>
        <v>0</v>
      </c>
      <c r="EZ22" s="1">
        <f t="shared" si="42"/>
        <v>0</v>
      </c>
      <c r="FA22" s="1">
        <f t="shared" si="42"/>
        <v>0</v>
      </c>
      <c r="FB22" s="1">
        <f t="shared" si="42"/>
        <v>0</v>
      </c>
      <c r="FC22" s="1">
        <f t="shared" si="42"/>
        <v>0</v>
      </c>
      <c r="FD22" s="1">
        <f t="shared" si="42"/>
        <v>0</v>
      </c>
      <c r="FF22" s="162">
        <f t="shared" si="34"/>
        <v>1.3372371614123115</v>
      </c>
    </row>
    <row r="23" spans="1:162" ht="18.75" customHeight="1">
      <c r="A23" s="244" t="s">
        <v>219</v>
      </c>
      <c r="B23" s="247"/>
      <c r="C23" s="228">
        <f t="shared" si="5"/>
        <v>-0.99</v>
      </c>
      <c r="D23" s="229">
        <v>-1</v>
      </c>
      <c r="E23" s="253">
        <f t="shared" si="6"/>
        <v>5.7469665404622283E-2</v>
      </c>
      <c r="F23" s="254">
        <f t="shared" si="7"/>
        <v>2.2777507459420754E-2</v>
      </c>
      <c r="G23" s="253">
        <f t="shared" si="8"/>
        <v>1.2812930882877938E-2</v>
      </c>
      <c r="H23" s="254">
        <f t="shared" si="9"/>
        <v>4.4656734521744346E-2</v>
      </c>
      <c r="I23" s="253">
        <f t="shared" si="10"/>
        <v>1.3135959153262138</v>
      </c>
      <c r="J23" s="254">
        <f t="shared" si="11"/>
        <v>-0.77642968231359699</v>
      </c>
      <c r="K23" s="253">
        <f t="shared" si="12"/>
        <v>1.6853011920846397</v>
      </c>
      <c r="L23" s="254">
        <f t="shared" si="13"/>
        <v>-0.37170527675842591</v>
      </c>
      <c r="M23" s="255"/>
      <c r="N23" s="256">
        <v>-2</v>
      </c>
      <c r="O23" s="253">
        <f t="shared" si="35"/>
        <v>-2.3925173422115087E-2</v>
      </c>
      <c r="P23" s="257">
        <f t="shared" si="36"/>
        <v>-2.3925173422115087E-2</v>
      </c>
      <c r="Q23" s="253">
        <f t="shared" si="14"/>
        <v>0.31859999476400835</v>
      </c>
      <c r="R23" s="257">
        <f t="shared" si="37"/>
        <v>0.31859999476400835</v>
      </c>
      <c r="S23" s="255"/>
      <c r="T23" s="256">
        <v>0</v>
      </c>
      <c r="U23" s="253">
        <f t="shared" si="15"/>
        <v>6.3805118998532917E-2</v>
      </c>
      <c r="V23" s="258">
        <f t="shared" si="16"/>
        <v>6.3805118998532917E-2</v>
      </c>
      <c r="W23" s="253">
        <f t="shared" si="38"/>
        <v>-6.0800318632334704E-2</v>
      </c>
      <c r="X23" s="258">
        <f t="shared" si="17"/>
        <v>-6.0800318632334704E-2</v>
      </c>
      <c r="Y23" s="253">
        <f t="shared" si="18"/>
        <v>-2.39520958083832E-2</v>
      </c>
      <c r="Z23" s="258">
        <f t="shared" si="19"/>
        <v>-2.39520958083832E-2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
        <f>VLOOKUP($A23,historia!$A$5:$CM$24,+HLOOKUP(AO$2,historia!$A$3:$EC$4,2,FALSE),FALSE)</f>
        <v>5</v>
      </c>
      <c r="AP23" s="28">
        <f>VLOOKUP($A23,historia!$A$5:$CM$24,+HLOOKUP(AP$2,historia!$A$3:$EC$4,2,FALSE),FALSE)</f>
        <v>5</v>
      </c>
      <c r="AQ23" s="28">
        <f>VLOOKUP($A23,historia!$A$5:$CM$24,+HLOOKUP(AQ$2,historia!$A$3:$EC$4,2,FALSE),FALSE)</f>
        <v>5</v>
      </c>
      <c r="AR23" s="28">
        <f>VLOOKUP($A23,historia!$A$5:$CM$24,+HLOOKUP(AR$2,historia!$A$3:$EC$4,2,FALSE),FALSE)</f>
        <v>5</v>
      </c>
      <c r="AS23" s="5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5</v>
      </c>
      <c r="AX23" s="58">
        <f>VLOOKUP($A23,historia!$A$5:$CM$24,+HLOOKUP(AX$2,historia!$A$3:$EC$4,2,FALSE),FALSE)</f>
        <v>4</v>
      </c>
      <c r="AY23" s="58">
        <v>4</v>
      </c>
      <c r="AZ23" s="58">
        <v>4</v>
      </c>
      <c r="BA23" s="30"/>
      <c r="BB23" s="141">
        <v>4</v>
      </c>
      <c r="BC23" t="str">
        <f t="shared" si="20"/>
        <v>Vino y Mosto</v>
      </c>
      <c r="BD23">
        <f>+datos!AM1</f>
        <v>39</v>
      </c>
      <c r="BE23" s="2" t="str">
        <f t="shared" si="4"/>
        <v>$/l</v>
      </c>
      <c r="BF23" s="2">
        <f t="shared" si="4"/>
        <v>378.56420000000003</v>
      </c>
      <c r="BG23" s="2">
        <f t="shared" si="4"/>
        <v>357.99060000000003</v>
      </c>
      <c r="BH23" s="2">
        <f t="shared" si="4"/>
        <v>163.62589399999999</v>
      </c>
      <c r="BJ23">
        <f>+datos!CP1</f>
        <v>94</v>
      </c>
      <c r="BK23" s="2">
        <f t="shared" si="21"/>
        <v>9868.6542597081134</v>
      </c>
      <c r="BL23" s="2">
        <f t="shared" si="21"/>
        <v>9743.8075273244394</v>
      </c>
      <c r="BM23" s="2">
        <f t="shared" si="21"/>
        <v>3675.0641934683417</v>
      </c>
      <c r="BO23" s="1">
        <f>+datos!EF1</f>
        <v>136</v>
      </c>
      <c r="BP23" s="1">
        <f t="shared" si="22"/>
        <v>199946</v>
      </c>
      <c r="BQ23" s="1">
        <f t="shared" si="22"/>
        <v>204847</v>
      </c>
      <c r="BS23" s="1">
        <f>+datos!GB1</f>
        <v>184</v>
      </c>
      <c r="BT23" s="1">
        <f t="shared" si="23"/>
        <v>19189740</v>
      </c>
      <c r="BU23" s="1">
        <f t="shared" si="23"/>
        <v>14553117</v>
      </c>
      <c r="BW23" s="1">
        <f>+datos!JU1</f>
        <v>281</v>
      </c>
      <c r="BX23" s="1">
        <f t="shared" si="39"/>
        <v>962.03264066999986</v>
      </c>
      <c r="BY23" s="1">
        <f t="shared" si="40"/>
        <v>904.33165200000008</v>
      </c>
      <c r="CA23" s="1">
        <f>+datos!KZ1</f>
        <v>312</v>
      </c>
      <c r="CB23" s="2">
        <f t="shared" si="24"/>
        <v>15.487994620000002</v>
      </c>
      <c r="CC23" s="2">
        <f t="shared" si="25"/>
        <v>16.490630190000001</v>
      </c>
      <c r="CE23" s="1">
        <f>+datos!IQ1</f>
        <v>251</v>
      </c>
      <c r="CF23" s="1">
        <f t="shared" si="26"/>
        <v>16.3</v>
      </c>
      <c r="CG23" s="1">
        <f t="shared" si="27"/>
        <v>16.7</v>
      </c>
      <c r="CI23" s="1">
        <f t="shared" si="43"/>
        <v>106.11166329999998</v>
      </c>
      <c r="CJ23" s="1">
        <f t="shared" si="43"/>
        <v>99.074693340000039</v>
      </c>
      <c r="CK23" s="1">
        <f t="shared" si="43"/>
        <v>115.95052356999999</v>
      </c>
      <c r="CL23" s="1">
        <f t="shared" si="43"/>
        <v>55.887516779999999</v>
      </c>
      <c r="CM23" s="1">
        <f t="shared" si="43"/>
        <v>84.428757199999993</v>
      </c>
      <c r="CN23" s="1">
        <f t="shared" si="43"/>
        <v>70.799436420000006</v>
      </c>
      <c r="CO23" s="1">
        <f t="shared" si="43"/>
        <v>83.547570889999989</v>
      </c>
      <c r="CP23" s="1">
        <f t="shared" si="43"/>
        <v>59.429446169999991</v>
      </c>
      <c r="CQ23" s="1">
        <f t="shared" si="43"/>
        <v>57.397509530000008</v>
      </c>
      <c r="CR23" s="1">
        <f t="shared" si="43"/>
        <v>71.762443020000006</v>
      </c>
      <c r="CS23" s="1">
        <f t="shared" si="43"/>
        <v>76.246675170000003</v>
      </c>
      <c r="CT23" s="1">
        <f t="shared" si="43"/>
        <v>81.396405279999982</v>
      </c>
      <c r="CU23" s="1">
        <f t="shared" si="43"/>
        <v>86.673250950000011</v>
      </c>
      <c r="CV23" s="1">
        <f t="shared" si="43"/>
        <v>67.769583350000005</v>
      </c>
      <c r="CW23" s="1">
        <f t="shared" si="43"/>
        <v>79.411450110000018</v>
      </c>
      <c r="CX23" s="1">
        <f t="shared" si="43"/>
        <v>61.526627820000002</v>
      </c>
      <c r="CY23" s="1">
        <f t="shared" si="44"/>
        <v>82.508437450000031</v>
      </c>
      <c r="CZ23" s="1">
        <f t="shared" si="44"/>
        <v>73.17738731</v>
      </c>
      <c r="DA23" s="1">
        <f t="shared" si="44"/>
        <v>70.498219510000013</v>
      </c>
      <c r="DB23" s="1">
        <f t="shared" si="44"/>
        <v>58.070113270000007</v>
      </c>
      <c r="DC23" s="1">
        <f t="shared" si="44"/>
        <v>66.649594010000001</v>
      </c>
      <c r="DD23" s="1">
        <f t="shared" si="44"/>
        <v>76.334805869999997</v>
      </c>
      <c r="DE23" s="1">
        <f t="shared" si="44"/>
        <v>77.449795309999999</v>
      </c>
      <c r="DF23" s="1">
        <f t="shared" si="44"/>
        <v>104.26238703999999</v>
      </c>
      <c r="DH23" s="1">
        <f t="shared" si="45"/>
        <v>2.4415022799999999</v>
      </c>
      <c r="DI23" s="1">
        <f t="shared" si="45"/>
        <v>2.4186424700000004</v>
      </c>
      <c r="DJ23" s="1">
        <f t="shared" si="45"/>
        <v>2.3161338599999999</v>
      </c>
      <c r="DK23" s="1">
        <f t="shared" si="45"/>
        <v>0.34545517000000003</v>
      </c>
      <c r="DL23" s="1">
        <f t="shared" si="45"/>
        <v>1.3068112300000001</v>
      </c>
      <c r="DM23" s="1">
        <f t="shared" si="45"/>
        <v>1.01985657</v>
      </c>
      <c r="DN23" s="1">
        <f t="shared" si="45"/>
        <v>0.49471243999999998</v>
      </c>
      <c r="DO23" s="1">
        <f t="shared" si="45"/>
        <v>0.76659119999999992</v>
      </c>
      <c r="DP23" s="1">
        <f t="shared" si="45"/>
        <v>0.41683354000000006</v>
      </c>
      <c r="DQ23" s="1">
        <f t="shared" si="45"/>
        <v>1.01193058</v>
      </c>
      <c r="DR23" s="1">
        <f t="shared" si="45"/>
        <v>1.2280305999999999</v>
      </c>
      <c r="DS23" s="1">
        <f t="shared" si="45"/>
        <v>1.7214946800000002</v>
      </c>
      <c r="DT23" s="1">
        <f t="shared" si="45"/>
        <v>1.3147188099999998</v>
      </c>
      <c r="DU23" s="1">
        <f t="shared" si="45"/>
        <v>1.8704580099999999</v>
      </c>
      <c r="DV23" s="1">
        <f t="shared" si="45"/>
        <v>1.2166211999999998</v>
      </c>
      <c r="DW23" s="1">
        <f t="shared" si="45"/>
        <v>1.2618213600000001</v>
      </c>
      <c r="DX23" s="1">
        <f t="shared" si="41"/>
        <v>2.6711612799999997</v>
      </c>
      <c r="DY23" s="1">
        <f t="shared" si="41"/>
        <v>1.8665371000000002</v>
      </c>
      <c r="DZ23" s="1">
        <f t="shared" si="41"/>
        <v>1.1160735099999999</v>
      </c>
      <c r="EA23" s="1">
        <f t="shared" si="41"/>
        <v>0.32453726999999999</v>
      </c>
      <c r="EB23" s="1">
        <f t="shared" si="41"/>
        <v>0.12503209999999998</v>
      </c>
      <c r="EC23" s="1">
        <f t="shared" si="41"/>
        <v>0.47826376000000004</v>
      </c>
      <c r="ED23" s="1">
        <f t="shared" si="41"/>
        <v>2.89069318</v>
      </c>
      <c r="EE23" s="1">
        <f t="shared" si="41"/>
        <v>1.35471261</v>
      </c>
      <c r="EG23" s="14">
        <f t="shared" si="46"/>
        <v>16.3</v>
      </c>
      <c r="EH23" s="14">
        <f t="shared" si="46"/>
        <v>16.3</v>
      </c>
      <c r="EI23" s="1">
        <f t="shared" si="46"/>
        <v>16.3</v>
      </c>
      <c r="EJ23" s="1">
        <f t="shared" si="46"/>
        <v>16.3</v>
      </c>
      <c r="EK23" s="1">
        <f t="shared" si="46"/>
        <v>16.3</v>
      </c>
      <c r="EL23" s="1">
        <f t="shared" si="46"/>
        <v>16.3</v>
      </c>
      <c r="EM23" s="1">
        <f t="shared" si="46"/>
        <v>16.3</v>
      </c>
      <c r="EN23" s="1">
        <f t="shared" si="46"/>
        <v>16.3</v>
      </c>
      <c r="EO23" s="1">
        <f t="shared" si="46"/>
        <v>16.3</v>
      </c>
      <c r="EP23" s="1">
        <f t="shared" si="46"/>
        <v>16.7</v>
      </c>
      <c r="EQ23" s="1">
        <f t="shared" si="46"/>
        <v>16.7</v>
      </c>
      <c r="ER23" s="1">
        <f t="shared" si="46"/>
        <v>16.7</v>
      </c>
      <c r="ES23" s="1">
        <f t="shared" si="46"/>
        <v>16.7</v>
      </c>
      <c r="ET23" s="1">
        <f t="shared" si="46"/>
        <v>16.7</v>
      </c>
      <c r="EU23" s="1">
        <f t="shared" si="46"/>
        <v>16.7</v>
      </c>
      <c r="EV23" s="1">
        <f t="shared" si="46"/>
        <v>16.7</v>
      </c>
      <c r="EW23" s="1">
        <f t="shared" si="42"/>
        <v>16.7</v>
      </c>
      <c r="EX23" s="1">
        <f t="shared" si="42"/>
        <v>16.7</v>
      </c>
      <c r="EY23" s="1">
        <f t="shared" si="42"/>
        <v>16.7</v>
      </c>
      <c r="EZ23" s="1">
        <f t="shared" si="42"/>
        <v>16.7</v>
      </c>
      <c r="FA23" s="1">
        <f t="shared" si="42"/>
        <v>16.7</v>
      </c>
      <c r="FB23" s="1">
        <f t="shared" si="42"/>
        <v>18</v>
      </c>
      <c r="FC23" s="1">
        <f t="shared" si="42"/>
        <v>18</v>
      </c>
      <c r="FD23" s="1">
        <f t="shared" si="42"/>
        <v>18</v>
      </c>
      <c r="FF23" s="162">
        <f t="shared" si="34"/>
        <v>-0.37170527675842591</v>
      </c>
    </row>
    <row r="24" spans="1:162" ht="18.75" customHeight="1">
      <c r="A24" s="243" t="s">
        <v>39</v>
      </c>
      <c r="B24" s="246"/>
      <c r="C24" s="156">
        <f t="shared" si="5"/>
        <v>-0.65999999999999992</v>
      </c>
      <c r="D24" s="198">
        <v>-3</v>
      </c>
      <c r="E24" s="248">
        <f t="shared" si="6"/>
        <v>0</v>
      </c>
      <c r="F24" s="249">
        <f t="shared" si="7"/>
        <v>-3.4692157945201529E-2</v>
      </c>
      <c r="G24" s="248">
        <f t="shared" si="8"/>
        <v>3.3808742593295582E-2</v>
      </c>
      <c r="H24" s="249">
        <f t="shared" si="9"/>
        <v>-3.3808742593295582E-2</v>
      </c>
      <c r="I24" s="248">
        <f t="shared" si="10"/>
        <v>0.75</v>
      </c>
      <c r="J24" s="249">
        <f t="shared" si="11"/>
        <v>-1.3400255976398108</v>
      </c>
      <c r="K24" s="248">
        <f t="shared" si="12"/>
        <v>1.8936538123730848</v>
      </c>
      <c r="L24" s="249">
        <f t="shared" si="13"/>
        <v>-1.1436538123730848</v>
      </c>
      <c r="M24" s="250"/>
      <c r="N24" s="24">
        <v>1</v>
      </c>
      <c r="O24" s="248">
        <f t="shared" si="35"/>
        <v>3.6432873308666736E-2</v>
      </c>
      <c r="P24" s="251">
        <f t="shared" si="36"/>
        <v>3.6432873308666736E-2</v>
      </c>
      <c r="Q24" s="248">
        <f t="shared" si="14"/>
        <v>0.33824961611749349</v>
      </c>
      <c r="R24" s="251">
        <f t="shared" si="37"/>
        <v>0.33824961611749349</v>
      </c>
      <c r="S24" s="250"/>
      <c r="T24" s="24">
        <v>0</v>
      </c>
      <c r="U24" s="248">
        <f t="shared" si="15"/>
        <v>-6.6947824820401514E-2</v>
      </c>
      <c r="V24" s="252">
        <f t="shared" si="16"/>
        <v>-6.6947824820401514E-2</v>
      </c>
      <c r="W24" s="248">
        <f t="shared" si="38"/>
        <v>1.1030019080576658</v>
      </c>
      <c r="X24" s="258">
        <f t="shared" si="17"/>
        <v>1.1030019080576658</v>
      </c>
      <c r="Y24" s="248">
        <f t="shared" si="18"/>
        <v>-9.2922519141609095E-2</v>
      </c>
      <c r="Z24" s="252">
        <f t="shared" si="19"/>
        <v>-9.2922519141609095E-2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
        <f>VLOOKUP($A24,historia!$A$5:$CM$24,+HLOOKUP(AO$2,historia!$A$3:$EC$4,2,FALSE),FALSE)</f>
        <v>2</v>
      </c>
      <c r="AP24" s="28">
        <f>VLOOKUP($A24,historia!$A$5:$CM$24,+HLOOKUP(AP$2,historia!$A$3:$EC$4,2,FALSE),FALSE)</f>
        <v>2</v>
      </c>
      <c r="AQ24" s="28">
        <f>VLOOKUP($A24,historia!$A$5:$CM$24,+HLOOKUP(AQ$2,historia!$A$3:$EC$4,2,FALSE),FALSE)</f>
        <v>3</v>
      </c>
      <c r="AR24" s="28">
        <f>VLOOKUP($A24,historia!$A$5:$CM$24,+HLOOKUP(AR$2,historia!$A$3:$EC$4,2,FALSE),FALSE)</f>
        <v>2</v>
      </c>
      <c r="AS24" s="58">
        <f>VLOOKUP($A24,historia!$A$5:$CM$24,+HLOOKUP(AS$2,historia!$A$3:$EC$4,2,FALSE),FALSE)</f>
        <v>2</v>
      </c>
      <c r="AT24" s="58">
        <f>VLOOKUP($A24,historia!$A$5:$CM$24,+HLOOKUP(AT$2,historia!$A$3:$EC$4,2,FALSE),FALSE)</f>
        <v>2</v>
      </c>
      <c r="AU24" s="58">
        <f>VLOOKUP($A24,historia!$A$5:$CM$24,+HLOOKUP(AU$2,historia!$A$3:$EC$4,2,FALSE),FALSE)</f>
        <v>4</v>
      </c>
      <c r="AV24" s="58">
        <f>VLOOKUP($A24,historia!$A$5:$CM$24,+HLOOKUP(AV$2,historia!$A$3:$EC$4,2,FALSE),FALSE)</f>
        <v>4</v>
      </c>
      <c r="AW24" s="58">
        <f>VLOOKUP($A24,historia!$A$5:$CM$24,+HLOOKUP(AW$2,historia!$A$3:$EC$4,2,FALSE),FALSE)</f>
        <v>4</v>
      </c>
      <c r="AX24" s="58">
        <f>VLOOKUP($A24,historia!$A$5:$CM$24,+HLOOKUP(AX$2,historia!$A$3:$EC$4,2,FALSE),FALSE)</f>
        <v>4</v>
      </c>
      <c r="AY24" s="58">
        <v>4</v>
      </c>
      <c r="AZ24" s="58">
        <v>4</v>
      </c>
      <c r="BA24" s="30"/>
      <c r="BB24" s="141">
        <v>4</v>
      </c>
      <c r="BC24" t="str">
        <f t="shared" si="20"/>
        <v>Yerba Mate</v>
      </c>
      <c r="BD24">
        <f>+datos!AG1</f>
        <v>33</v>
      </c>
      <c r="BE24" s="2" t="str">
        <f t="shared" si="4"/>
        <v>$/t</v>
      </c>
      <c r="BF24" s="2">
        <f t="shared" si="4"/>
        <v>210000</v>
      </c>
      <c r="BG24" s="2">
        <f t="shared" si="4"/>
        <v>210000</v>
      </c>
      <c r="BH24" s="2">
        <f t="shared" si="4"/>
        <v>120000</v>
      </c>
      <c r="BJ24">
        <f>+datos!CY1</f>
        <v>103</v>
      </c>
      <c r="BK24" s="2">
        <f t="shared" si="21"/>
        <v>8296.163096091077</v>
      </c>
      <c r="BL24" s="2">
        <f t="shared" si="21"/>
        <v>8024.8529097173832</v>
      </c>
      <c r="BM24" s="2">
        <f t="shared" si="21"/>
        <v>2867.0199111646307</v>
      </c>
      <c r="BO24" s="1">
        <f>+datos!ED1</f>
        <v>134</v>
      </c>
      <c r="BP24" s="1">
        <f t="shared" si="22"/>
        <v>230256</v>
      </c>
      <c r="BQ24" s="1">
        <f t="shared" si="22"/>
        <v>222162</v>
      </c>
      <c r="BS24" s="1">
        <f>+datos!FZ1</f>
        <v>182</v>
      </c>
      <c r="BT24" s="1">
        <f t="shared" si="23"/>
        <v>1006571.5</v>
      </c>
      <c r="BU24" s="1">
        <f t="shared" si="23"/>
        <v>752155.26899999997</v>
      </c>
      <c r="BW24" s="1">
        <f>+datos!KD1</f>
        <v>290</v>
      </c>
      <c r="BX24" s="1">
        <f t="shared" si="39"/>
        <v>111.47790504000001</v>
      </c>
      <c r="BY24" s="1">
        <f t="shared" si="40"/>
        <v>119.47660377999998</v>
      </c>
      <c r="CA24" s="1">
        <f>+datos!LI1</f>
        <v>321</v>
      </c>
      <c r="CB24" s="2">
        <f t="shared" si="24"/>
        <v>22.75398032</v>
      </c>
      <c r="CC24" s="2">
        <f t="shared" si="25"/>
        <v>10.819762090000001</v>
      </c>
      <c r="CE24" s="1">
        <f>+datos!IP1</f>
        <v>250</v>
      </c>
      <c r="CF24" s="1">
        <f t="shared" si="26"/>
        <v>5.5693606783423002</v>
      </c>
      <c r="CG24" s="1">
        <f t="shared" si="27"/>
        <v>6.139895208369488</v>
      </c>
      <c r="CI24" s="1">
        <f t="shared" si="43"/>
        <v>10.05873476</v>
      </c>
      <c r="CJ24" s="1">
        <f t="shared" si="43"/>
        <v>9.4659040999999995</v>
      </c>
      <c r="CK24" s="1">
        <f t="shared" si="43"/>
        <v>8.3006057400000017</v>
      </c>
      <c r="CL24" s="1">
        <f t="shared" si="43"/>
        <v>11.077079630000002</v>
      </c>
      <c r="CM24" s="1">
        <f t="shared" si="43"/>
        <v>7.2906957700000001</v>
      </c>
      <c r="CN24" s="1">
        <f t="shared" si="43"/>
        <v>8.852789640000001</v>
      </c>
      <c r="CO24" s="1">
        <f t="shared" si="43"/>
        <v>12.408222910000001</v>
      </c>
      <c r="CP24" s="1">
        <f t="shared" si="43"/>
        <v>8.8663402400000013</v>
      </c>
      <c r="CQ24" s="1">
        <f t="shared" si="43"/>
        <v>9.2397224899999983</v>
      </c>
      <c r="CR24" s="1">
        <f t="shared" si="43"/>
        <v>7.1224329199999996</v>
      </c>
      <c r="CS24" s="1">
        <f t="shared" si="43"/>
        <v>8.6156523299999996</v>
      </c>
      <c r="CT24" s="1">
        <f t="shared" si="43"/>
        <v>10.17972451</v>
      </c>
      <c r="CU24" s="1">
        <f t="shared" si="43"/>
        <v>11.833514059999999</v>
      </c>
      <c r="CV24" s="1">
        <f t="shared" si="43"/>
        <v>8.6649559600000003</v>
      </c>
      <c r="CW24" s="1">
        <f t="shared" si="43"/>
        <v>8.6995030900000003</v>
      </c>
      <c r="CX24" s="1">
        <f t="shared" si="43"/>
        <v>9.3876240000000006</v>
      </c>
      <c r="CY24" s="1">
        <f t="shared" si="44"/>
        <v>8.6499339499999994</v>
      </c>
      <c r="CZ24" s="1">
        <f t="shared" si="44"/>
        <v>10.5511423</v>
      </c>
      <c r="DA24" s="1">
        <f t="shared" si="44"/>
        <v>12.484662230000001</v>
      </c>
      <c r="DB24" s="1">
        <f t="shared" si="44"/>
        <v>8.9774099899999982</v>
      </c>
      <c r="DC24" s="1">
        <f t="shared" si="44"/>
        <v>3.3752363299999999</v>
      </c>
      <c r="DD24" s="1">
        <f t="shared" si="44"/>
        <v>8.5781493200000014</v>
      </c>
      <c r="DE24" s="1">
        <f t="shared" si="44"/>
        <v>11.086418249999999</v>
      </c>
      <c r="DF24" s="1">
        <f t="shared" si="44"/>
        <v>17.188054299999997</v>
      </c>
      <c r="DH24" s="1">
        <f t="shared" si="45"/>
        <v>1.2494588400000002</v>
      </c>
      <c r="DI24" s="1">
        <f t="shared" si="45"/>
        <v>0.60028256999999996</v>
      </c>
      <c r="DJ24" s="1">
        <f t="shared" si="45"/>
        <v>1.7316709800000001</v>
      </c>
      <c r="DK24" s="1">
        <f t="shared" si="45"/>
        <v>1.1554743999999999</v>
      </c>
      <c r="DL24" s="1">
        <f t="shared" si="45"/>
        <v>1.50586095</v>
      </c>
      <c r="DM24" s="1">
        <f t="shared" si="45"/>
        <v>3.2398820599999998</v>
      </c>
      <c r="DN24" s="1">
        <f t="shared" si="45"/>
        <v>3.1775986299999999</v>
      </c>
      <c r="DO24" s="1">
        <f t="shared" si="45"/>
        <v>2.4176205400000002</v>
      </c>
      <c r="DP24" s="1">
        <f t="shared" si="45"/>
        <v>1.0621514699999999</v>
      </c>
      <c r="DQ24" s="1">
        <f t="shared" si="45"/>
        <v>1.8796713600000001</v>
      </c>
      <c r="DR24" s="1">
        <f t="shared" si="45"/>
        <v>2.4189343299999999</v>
      </c>
      <c r="DS24" s="1">
        <f t="shared" si="45"/>
        <v>2.31537419</v>
      </c>
      <c r="DT24" s="1">
        <f t="shared" si="45"/>
        <v>1.6581343500000001</v>
      </c>
      <c r="DU24" s="1">
        <f t="shared" si="45"/>
        <v>1.1317222</v>
      </c>
      <c r="DV24" s="1">
        <f t="shared" si="45"/>
        <v>1.25031731</v>
      </c>
      <c r="DW24" s="1">
        <f t="shared" si="45"/>
        <v>1.1220479999999999</v>
      </c>
      <c r="DX24" s="1">
        <f t="shared" si="41"/>
        <v>1.06290057</v>
      </c>
      <c r="DY24" s="1">
        <f t="shared" si="41"/>
        <v>0.94532128999999998</v>
      </c>
      <c r="DZ24" s="1">
        <f t="shared" si="41"/>
        <v>0.74918092999999997</v>
      </c>
      <c r="EA24" s="1">
        <f t="shared" si="41"/>
        <v>0.38311624</v>
      </c>
      <c r="EB24" s="1">
        <f t="shared" si="41"/>
        <v>0.75479300000000005</v>
      </c>
      <c r="EC24" s="1">
        <f t="shared" si="41"/>
        <v>0.25391999999999998</v>
      </c>
      <c r="ED24" s="1">
        <f t="shared" si="41"/>
        <v>0.77264063999999999</v>
      </c>
      <c r="EE24" s="1">
        <f t="shared" si="41"/>
        <v>0.73566756000000011</v>
      </c>
      <c r="EG24" s="14">
        <f t="shared" si="46"/>
        <v>5.5693606783423002</v>
      </c>
      <c r="EH24" s="14">
        <f t="shared" si="46"/>
        <v>5.5693606783423002</v>
      </c>
      <c r="EI24" s="1">
        <f t="shared" si="46"/>
        <v>5.5693606783423002</v>
      </c>
      <c r="EJ24" s="1">
        <f t="shared" si="46"/>
        <v>5.5693606783423002</v>
      </c>
      <c r="EK24" s="1">
        <f t="shared" si="46"/>
        <v>5.5693606783423002</v>
      </c>
      <c r="EL24" s="1">
        <f t="shared" si="46"/>
        <v>5.5693606783423002</v>
      </c>
      <c r="EM24" s="1">
        <f t="shared" si="46"/>
        <v>5.5693606783423002</v>
      </c>
      <c r="EN24" s="1">
        <f t="shared" si="46"/>
        <v>5.5693606783423002</v>
      </c>
      <c r="EO24" s="1">
        <f t="shared" si="46"/>
        <v>5.5693606783423002</v>
      </c>
      <c r="EP24" s="1">
        <f t="shared" si="46"/>
        <v>6.139895208369488</v>
      </c>
      <c r="EQ24" s="1">
        <f t="shared" si="46"/>
        <v>6.139895208369488</v>
      </c>
      <c r="ER24" s="1">
        <f t="shared" si="46"/>
        <v>6.139895208369488</v>
      </c>
      <c r="ES24" s="1">
        <f t="shared" si="46"/>
        <v>6.139895208369488</v>
      </c>
      <c r="ET24" s="1">
        <f t="shared" si="46"/>
        <v>6.139895208369488</v>
      </c>
      <c r="EU24" s="1">
        <f t="shared" si="46"/>
        <v>6.139895208369488</v>
      </c>
      <c r="EV24" s="1">
        <f t="shared" si="46"/>
        <v>6.139895208369488</v>
      </c>
      <c r="EW24" s="1">
        <f t="shared" si="42"/>
        <v>6.139895208369488</v>
      </c>
      <c r="EX24" s="1">
        <f t="shared" si="42"/>
        <v>6.139895208369488</v>
      </c>
      <c r="EY24" s="1">
        <f t="shared" si="42"/>
        <v>6.139895208369488</v>
      </c>
      <c r="EZ24" s="1">
        <f t="shared" si="42"/>
        <v>6.139895208369488</v>
      </c>
      <c r="FA24" s="1">
        <f t="shared" si="42"/>
        <v>6.139895208369488</v>
      </c>
      <c r="FB24" s="1">
        <f t="shared" si="42"/>
        <v>5.9356067942694777</v>
      </c>
      <c r="FC24" s="1">
        <f t="shared" si="42"/>
        <v>5.9356067942694777</v>
      </c>
      <c r="FD24" s="1">
        <f t="shared" si="42"/>
        <v>5.9356067942694777</v>
      </c>
      <c r="FF24" s="162">
        <f t="shared" si="34"/>
        <v>-1.1436538123730848</v>
      </c>
    </row>
    <row r="25" spans="1:162"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S25" s="58"/>
      <c r="AT25" s="58"/>
      <c r="AU25" s="58"/>
      <c r="AV25" s="58"/>
      <c r="AW25" s="58"/>
      <c r="AX25" s="58"/>
      <c r="AY25" s="58"/>
      <c r="AZ25" s="58"/>
      <c r="BA25" s="30"/>
      <c r="BE25" s="2"/>
      <c r="BF25" s="2"/>
      <c r="BG25" s="2"/>
      <c r="BH25" s="2"/>
      <c r="BK25" s="2"/>
      <c r="BL25" s="2"/>
      <c r="BM25" s="2"/>
      <c r="BO25" s="1"/>
      <c r="BP25" s="1"/>
      <c r="BQ25" s="1"/>
      <c r="BS25" s="1"/>
      <c r="BT25" s="1"/>
      <c r="BU25" s="1"/>
      <c r="BW25" s="1"/>
      <c r="BX25" s="1"/>
      <c r="BY25" s="1"/>
      <c r="CA25" s="1"/>
      <c r="CB25" s="2"/>
      <c r="CC25" s="2"/>
      <c r="CE25" s="1"/>
      <c r="CF25" s="1"/>
      <c r="CG25" s="1"/>
      <c r="CI25" s="1"/>
      <c r="CJ25" s="1"/>
      <c r="CK25" s="1"/>
      <c r="CL25" s="1"/>
      <c r="CM25" s="1"/>
      <c r="CN25" s="1"/>
      <c r="CO25" s="1"/>
      <c r="CP25" s="1"/>
      <c r="CQ25" s="1"/>
      <c r="CR25" s="1"/>
      <c r="CS25" s="1"/>
      <c r="CT25" s="1"/>
      <c r="CU25" s="1"/>
      <c r="CV25" s="1"/>
      <c r="CW25" s="1"/>
      <c r="CX25" s="1"/>
      <c r="CY25" s="1"/>
      <c r="CZ25" s="1"/>
      <c r="DA25" s="1"/>
      <c r="DB25" s="1"/>
      <c r="DC25" s="1"/>
      <c r="DD25" s="1"/>
      <c r="DE25" s="1"/>
      <c r="DF25" s="1"/>
      <c r="DH25" s="1"/>
      <c r="DI25" s="1"/>
      <c r="DJ25" s="1"/>
      <c r="DK25" s="1"/>
      <c r="DL25" s="1"/>
      <c r="DM25" s="1"/>
      <c r="DN25" s="1"/>
      <c r="DO25" s="1"/>
      <c r="DP25" s="1"/>
      <c r="DQ25" s="1"/>
      <c r="DR25" s="1"/>
      <c r="DS25" s="1"/>
      <c r="DT25" s="1"/>
      <c r="DU25" s="1"/>
      <c r="DV25" s="1"/>
      <c r="DW25" s="1"/>
      <c r="DX25" s="1"/>
      <c r="DY25" s="1"/>
      <c r="DZ25" s="1"/>
      <c r="EA25" s="1"/>
      <c r="EB25" s="1"/>
      <c r="EC25" s="1"/>
      <c r="ED25" s="1"/>
      <c r="EE25" s="1"/>
      <c r="EI25" s="1"/>
      <c r="EJ25" s="1"/>
      <c r="EK25" s="1"/>
      <c r="EL25" s="1"/>
      <c r="EM25" s="1"/>
      <c r="EN25" s="1"/>
      <c r="EO25" s="1"/>
      <c r="EP25" s="1"/>
      <c r="EQ25" s="1"/>
      <c r="ER25" s="1"/>
      <c r="ES25" s="1"/>
      <c r="ET25" s="1"/>
      <c r="EU25" s="1"/>
      <c r="EV25" s="1"/>
      <c r="EW25" s="1"/>
      <c r="EX25" s="1"/>
      <c r="EY25" s="1"/>
      <c r="EZ25" s="1"/>
      <c r="FA25" s="1"/>
      <c r="FB25" s="1"/>
      <c r="FC25" s="1"/>
      <c r="FD25" s="1"/>
      <c r="FF25" s="162"/>
    </row>
    <row r="26" spans="1:162" ht="18.75" customHeight="1">
      <c r="E26" s="12">
        <f>+AVERAGE(E6:E24)</f>
        <v>1.7063518048640702E-2</v>
      </c>
      <c r="F26" s="37">
        <f>+E26-$I$3</f>
        <v>-2.0729620795911701</v>
      </c>
      <c r="G26" s="12">
        <f>+AVERAGE(G6:G24)</f>
        <v>1.072789323336718E-2</v>
      </c>
      <c r="I26" s="12">
        <f>+AVERAGEIF(I6:I24,"&gt;211%")</f>
        <v>2.949152262786066</v>
      </c>
      <c r="J26" s="37">
        <f t="shared" si="11"/>
        <v>0.85912666514625524</v>
      </c>
      <c r="K26" s="12">
        <f>+AVERAGE(K6:K24)</f>
        <v>1.7048475094035325</v>
      </c>
      <c r="O26" s="12">
        <f>+AVERAGE(O6:O24)</f>
        <v>3.3067570502175313E-2</v>
      </c>
      <c r="AB26" s="57"/>
    </row>
    <row r="27" spans="1:162" ht="18.75" customHeight="1">
      <c r="I27" s="12">
        <f>+AVERAGEIF(I6:I24,"&lt;211%")</f>
        <v>1.2538240346480924</v>
      </c>
      <c r="K27" s="177">
        <f>+SUBTOTAL(101,K6:K21)</f>
        <v>1.6817720221108112</v>
      </c>
      <c r="V27" t="s">
        <v>167</v>
      </c>
      <c r="X27" s="162"/>
      <c r="BB27" s="141" t="s">
        <v>273</v>
      </c>
      <c r="BP27" s="1">
        <f>+SUM(BP6:BP24)</f>
        <v>115583500</v>
      </c>
      <c r="BQ27" s="1">
        <f>+SUM(BQ6:BQ24)</f>
        <v>115153809</v>
      </c>
      <c r="BT27" s="1">
        <f>+SUM(BT6:BT24)</f>
        <v>161587480.01195619</v>
      </c>
      <c r="BU27" s="1">
        <f>+SUM(BU6:BU24)</f>
        <v>136557216.69533199</v>
      </c>
      <c r="BX27" s="1">
        <f>+SUM(BX6:BX24)</f>
        <v>53260.983561590008</v>
      </c>
      <c r="BY27" s="1">
        <f>+SUM(BY6:BY24)</f>
        <v>52726.804081480004</v>
      </c>
      <c r="CB27" s="1">
        <f>+SUM(CB6:CB24)</f>
        <v>3872.2178760199995</v>
      </c>
      <c r="CC27" s="1">
        <f>+SUM(CC6:CC24)</f>
        <v>5473.55861069</v>
      </c>
      <c r="FF27" s="167">
        <f>+COUNTIF(FF6:FF24,"&gt;0")</f>
        <v>10</v>
      </c>
    </row>
    <row r="28" spans="1:162" ht="18.75" customHeight="1">
      <c r="A28" s="11">
        <f>+COUNTIF($C$6:$C$24,"&lt;0")</f>
        <v>10</v>
      </c>
      <c r="C28" s="156">
        <v>-1</v>
      </c>
      <c r="E28" s="167">
        <f>+COUNTIF($I$6:$I$24,"&lt;1,69")</f>
        <v>10</v>
      </c>
      <c r="F28" s="29">
        <v>-1</v>
      </c>
      <c r="I28" s="167">
        <f>+COUNTIF($I$6:$I$24,"&lt;1,69")</f>
        <v>10</v>
      </c>
      <c r="J28" s="29">
        <v>-1</v>
      </c>
      <c r="K28">
        <f>+COUNTIF($L$6:$L$24,"&lt;0")</f>
        <v>9</v>
      </c>
      <c r="L28" s="29">
        <v>-1</v>
      </c>
      <c r="O28">
        <f>+COUNTIF($P$6:$P$24,"&lt;0")</f>
        <v>7</v>
      </c>
      <c r="P28" s="262">
        <v>-1</v>
      </c>
      <c r="Q28">
        <f>+COUNTIF($R$6:$R$24,"&lt;0")</f>
        <v>10</v>
      </c>
      <c r="R28" s="262">
        <v>-1</v>
      </c>
      <c r="T28" s="57">
        <f>+COUNTIF($U$6:$U$24,"&lt;0")</f>
        <v>9</v>
      </c>
      <c r="U28" s="29">
        <v>-1</v>
      </c>
      <c r="BQ28" t="s">
        <v>491</v>
      </c>
      <c r="BT28" s="167">
        <f>+SUMIFS(BT6:BT24,BB6:BB24,5)+SUMIFS(BT6:BT24,BB6:BB24,4)</f>
        <v>148506671.71665689</v>
      </c>
      <c r="BX28" s="10">
        <f>+BX27/BY27-1</f>
        <v>1.0131080186170927E-2</v>
      </c>
      <c r="CB28" s="10">
        <f>+CB27/CC27-1</f>
        <v>-0.29255934732160194</v>
      </c>
    </row>
    <row r="29" spans="1:162" ht="18.75" customHeight="1">
      <c r="A29" s="11">
        <f>+COUNTIF($C$6:$C$24,C29)</f>
        <v>8</v>
      </c>
      <c r="C29" s="156">
        <v>0</v>
      </c>
      <c r="E29" s="167">
        <f>+COUNTIF($I$6:$I$24,"=1,69")</f>
        <v>0</v>
      </c>
      <c r="F29" s="29">
        <v>0</v>
      </c>
      <c r="I29" s="167">
        <f>+COUNTIF($I$6:$I$24,"=1,69")</f>
        <v>0</v>
      </c>
      <c r="J29" s="29">
        <v>0</v>
      </c>
      <c r="L29" s="29">
        <v>0</v>
      </c>
      <c r="O29">
        <f>+COUNTIF($P$6:$P$24,"=0")</f>
        <v>2</v>
      </c>
      <c r="P29" s="262">
        <v>0</v>
      </c>
      <c r="Q29">
        <f>+COUNTIF($R$6:$R$24,"=0")</f>
        <v>1</v>
      </c>
      <c r="R29" s="262">
        <v>0</v>
      </c>
      <c r="T29" s="57">
        <f>+COUNTIF($U$6:$U$24,"=0")</f>
        <v>0</v>
      </c>
      <c r="U29" s="29">
        <v>0</v>
      </c>
      <c r="BQ29" t="s">
        <v>492</v>
      </c>
      <c r="BT29" s="167">
        <f>+SUMIFS(BT6:BT24,BB6:BB24,3)</f>
        <v>13050003.742299287</v>
      </c>
    </row>
    <row r="30" spans="1:162" ht="18.75" customHeight="1">
      <c r="A30" s="11">
        <f>+COUNTIF($C$6:$C$24,"&gt;0")</f>
        <v>1</v>
      </c>
      <c r="C30" s="156">
        <v>1</v>
      </c>
      <c r="E30" s="167">
        <f>+COUNTIF($I$6:$I$24,"&gt;1,69")</f>
        <v>9</v>
      </c>
      <c r="F30" s="29">
        <v>1</v>
      </c>
      <c r="I30" s="167">
        <f>+COUNTIF($I$6:$I$24,"&gt;1,69")</f>
        <v>9</v>
      </c>
      <c r="J30" s="29">
        <v>1</v>
      </c>
      <c r="K30">
        <f>+COUNTIF($L$6:$L$24,"&gt;0")</f>
        <v>10</v>
      </c>
      <c r="L30" s="29">
        <v>1</v>
      </c>
      <c r="O30">
        <f>+COUNTIF($P$6:$P$24,"&gt;0")</f>
        <v>9</v>
      </c>
      <c r="P30" s="262">
        <v>1</v>
      </c>
      <c r="Q30">
        <f>+COUNTIF($R$6:$R$24,"&gt;0")</f>
        <v>8</v>
      </c>
      <c r="R30" s="262">
        <v>1</v>
      </c>
      <c r="T30" s="57">
        <f>+COUNTIF($U$6:$U$24,"&gt;0")</f>
        <v>9</v>
      </c>
      <c r="U30" s="29">
        <v>1</v>
      </c>
      <c r="X30" s="14"/>
      <c r="BQ30" t="s">
        <v>493</v>
      </c>
      <c r="BT30" s="167">
        <f>+SUMIFS(BT6:BT24,BB6:BB24,1)+SUMIFS(BT6:BT24,BB6:BB24,2)</f>
        <v>30804.553</v>
      </c>
      <c r="BW30" s="1"/>
    </row>
    <row r="31" spans="1:162" ht="18.75" customHeight="1">
      <c r="K31" s="12"/>
    </row>
    <row r="32" spans="1:162" ht="18.75" customHeight="1">
      <c r="C32" s="157"/>
      <c r="I32" s="14">
        <f>+COUNTIF(I6:I24,"&gt;211%")</f>
        <v>7</v>
      </c>
      <c r="J32" s="14"/>
      <c r="K32" s="14"/>
      <c r="Y32" s="163"/>
    </row>
    <row r="33" spans="1:163" ht="18.75" customHeight="1">
      <c r="C33" s="157"/>
      <c r="I33" s="12">
        <f>+I26/2</f>
        <v>1.474576131393033</v>
      </c>
    </row>
    <row r="34" spans="1:163"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28"/>
      <c r="AP34" s="28"/>
      <c r="AQ34" s="28"/>
      <c r="AR34" s="28"/>
      <c r="AS34"/>
      <c r="AT34"/>
      <c r="AU34"/>
      <c r="AV34"/>
      <c r="AW34"/>
      <c r="AX34"/>
      <c r="AY34"/>
      <c r="AZ34"/>
      <c r="BA34"/>
      <c r="BB34" s="141"/>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s="14"/>
      <c r="EH34" s="14"/>
      <c r="EI34"/>
      <c r="EJ34"/>
      <c r="EK34"/>
      <c r="EL34"/>
      <c r="EM34"/>
      <c r="EN34"/>
      <c r="EO34"/>
      <c r="EP34"/>
      <c r="EQ34"/>
      <c r="ER34"/>
      <c r="ES34"/>
      <c r="ET34"/>
      <c r="EU34"/>
      <c r="EV34"/>
      <c r="EW34"/>
      <c r="EX34"/>
      <c r="EY34"/>
      <c r="EZ34"/>
      <c r="FA34"/>
      <c r="FB34"/>
      <c r="FC34"/>
      <c r="FD34"/>
      <c r="FE34"/>
      <c r="FF34"/>
      <c r="FG34"/>
    </row>
    <row r="35" spans="1:163"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28"/>
      <c r="AP35" s="28"/>
      <c r="AQ35" s="28"/>
      <c r="AR35" s="28"/>
      <c r="AS35"/>
      <c r="AT35"/>
      <c r="AU35"/>
      <c r="AV35"/>
      <c r="AW35"/>
      <c r="AX35"/>
      <c r="AY35"/>
      <c r="AZ35"/>
      <c r="BA35"/>
      <c r="BB35" s="141"/>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s="14"/>
      <c r="EH35" s="14"/>
      <c r="EI35"/>
      <c r="EJ35"/>
      <c r="EK35"/>
      <c r="EL35"/>
      <c r="EM35"/>
      <c r="EN35"/>
      <c r="EO35"/>
      <c r="EP35"/>
      <c r="EQ35"/>
      <c r="ER35"/>
      <c r="ES35"/>
      <c r="ET35"/>
      <c r="EU35"/>
      <c r="EV35"/>
      <c r="EW35"/>
      <c r="EX35"/>
      <c r="EY35"/>
      <c r="EZ35"/>
      <c r="FA35"/>
      <c r="FB35"/>
      <c r="FC35"/>
      <c r="FD35"/>
      <c r="FE35"/>
      <c r="FF35"/>
      <c r="FG35"/>
    </row>
    <row r="36" spans="1:163"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28"/>
      <c r="AP36" s="28"/>
      <c r="AQ36" s="28"/>
      <c r="AR36" s="28"/>
      <c r="AS36"/>
      <c r="AT36"/>
      <c r="AU36"/>
      <c r="AV36"/>
      <c r="AW36"/>
      <c r="AX36"/>
      <c r="AY36"/>
      <c r="AZ36"/>
      <c r="BA36"/>
      <c r="BB36" s="141"/>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s="14"/>
      <c r="EH36" s="14"/>
      <c r="EI36"/>
      <c r="EJ36"/>
      <c r="EK36"/>
      <c r="EL36"/>
      <c r="EM36"/>
      <c r="EN36"/>
      <c r="EO36"/>
      <c r="EP36"/>
      <c r="EQ36"/>
      <c r="ER36"/>
      <c r="ES36"/>
      <c r="ET36"/>
      <c r="EU36"/>
      <c r="EV36"/>
      <c r="EW36"/>
      <c r="EX36"/>
      <c r="EY36"/>
      <c r="EZ36"/>
      <c r="FA36"/>
      <c r="FB36"/>
      <c r="FC36"/>
      <c r="FD36"/>
      <c r="FE36"/>
      <c r="FF36"/>
      <c r="FG36"/>
    </row>
    <row r="37" spans="1:163"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28"/>
      <c r="AP37" s="28"/>
      <c r="AQ37" s="28"/>
      <c r="AR37" s="28"/>
      <c r="AS37"/>
      <c r="AT37"/>
      <c r="AU37"/>
      <c r="AV37"/>
      <c r="AW37"/>
      <c r="AX37"/>
      <c r="AY37"/>
      <c r="AZ37"/>
      <c r="BA37"/>
      <c r="BB37" s="141"/>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s="14"/>
      <c r="EH37" s="14"/>
      <c r="EI37"/>
      <c r="EJ37"/>
      <c r="EK37"/>
      <c r="EL37"/>
      <c r="EM37"/>
      <c r="EN37"/>
      <c r="EO37"/>
      <c r="EP37"/>
      <c r="EQ37"/>
      <c r="ER37"/>
      <c r="ES37"/>
      <c r="ET37"/>
      <c r="EU37"/>
      <c r="EV37"/>
      <c r="EW37"/>
      <c r="EX37"/>
      <c r="EY37"/>
      <c r="EZ37"/>
      <c r="FA37"/>
      <c r="FB37"/>
      <c r="FC37"/>
      <c r="FD37"/>
      <c r="FE37"/>
      <c r="FF37"/>
      <c r="FG37"/>
    </row>
    <row r="38" spans="1:163"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28"/>
      <c r="AP38" s="28"/>
      <c r="AQ38" s="28"/>
      <c r="AR38" s="28"/>
      <c r="AS38"/>
      <c r="AT38"/>
      <c r="AU38"/>
      <c r="AV38"/>
      <c r="AW38"/>
      <c r="AX38"/>
      <c r="AY38"/>
      <c r="AZ38"/>
      <c r="BA38"/>
      <c r="BB38" s="141"/>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s="14"/>
      <c r="EH38" s="14"/>
      <c r="EI38"/>
      <c r="EJ38"/>
      <c r="EK38"/>
      <c r="EL38"/>
      <c r="EM38"/>
      <c r="EN38"/>
      <c r="EO38"/>
      <c r="EP38"/>
      <c r="EQ38"/>
      <c r="ER38"/>
      <c r="ES38"/>
      <c r="ET38"/>
      <c r="EU38"/>
      <c r="EV38"/>
      <c r="EW38"/>
      <c r="EX38"/>
      <c r="EY38"/>
      <c r="EZ38"/>
      <c r="FA38"/>
      <c r="FB38"/>
      <c r="FC38"/>
      <c r="FD38"/>
      <c r="FE38"/>
      <c r="FF38"/>
      <c r="FG38"/>
    </row>
    <row r="39" spans="1:163"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28"/>
      <c r="AP39" s="28"/>
      <c r="AQ39" s="28"/>
      <c r="AR39" s="28"/>
      <c r="AS39"/>
      <c r="AT39"/>
      <c r="AU39"/>
      <c r="AV39"/>
      <c r="AW39"/>
      <c r="AX39"/>
      <c r="AY39"/>
      <c r="AZ39"/>
      <c r="BA39"/>
      <c r="BB39" s="141"/>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s="14"/>
      <c r="EH39" s="14"/>
      <c r="EI39"/>
      <c r="EJ39"/>
      <c r="EK39"/>
      <c r="EL39"/>
      <c r="EM39"/>
      <c r="EN39"/>
      <c r="EO39"/>
      <c r="EP39"/>
      <c r="EQ39"/>
      <c r="ER39"/>
      <c r="ES39"/>
      <c r="ET39"/>
      <c r="EU39"/>
      <c r="EV39"/>
      <c r="EW39"/>
      <c r="EX39"/>
      <c r="EY39"/>
      <c r="EZ39"/>
      <c r="FA39"/>
      <c r="FB39"/>
      <c r="FC39"/>
      <c r="FD39"/>
      <c r="FE39"/>
      <c r="FF39"/>
      <c r="FG39"/>
    </row>
    <row r="40" spans="1:163"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28"/>
      <c r="AP40" s="28"/>
      <c r="AQ40" s="28"/>
      <c r="AR40" s="28"/>
      <c r="AS40"/>
      <c r="AT40"/>
      <c r="AU40"/>
      <c r="AV40"/>
      <c r="AW40"/>
      <c r="AX40"/>
      <c r="AY40"/>
      <c r="AZ40"/>
      <c r="BA40"/>
      <c r="BB40" s="141"/>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s="14"/>
      <c r="EH40" s="14"/>
      <c r="EI40"/>
      <c r="EJ40"/>
      <c r="EK40"/>
      <c r="EL40"/>
      <c r="EM40"/>
      <c r="EN40"/>
      <c r="EO40"/>
      <c r="EP40"/>
      <c r="EQ40"/>
      <c r="ER40"/>
      <c r="ES40"/>
      <c r="ET40"/>
      <c r="EU40"/>
      <c r="EV40"/>
      <c r="EW40"/>
      <c r="EX40"/>
      <c r="EY40"/>
      <c r="EZ40"/>
      <c r="FA40"/>
      <c r="FB40"/>
      <c r="FC40"/>
      <c r="FD40"/>
      <c r="FE40"/>
      <c r="FF40"/>
      <c r="FG40"/>
    </row>
    <row r="45" spans="1:163"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28"/>
      <c r="AP45" s="28"/>
      <c r="AQ45" s="28"/>
      <c r="AR45" s="28"/>
      <c r="AS45"/>
      <c r="AT45"/>
      <c r="AU45"/>
      <c r="AV45"/>
      <c r="AW45"/>
      <c r="AX45"/>
      <c r="AY45"/>
      <c r="AZ45"/>
      <c r="BA45"/>
      <c r="BB45" s="141"/>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s="14"/>
      <c r="EH45" s="14"/>
      <c r="EI45"/>
      <c r="EJ45"/>
      <c r="EK45"/>
      <c r="EL45"/>
      <c r="EM45"/>
      <c r="EN45"/>
      <c r="EO45"/>
      <c r="EP45"/>
      <c r="EQ45"/>
      <c r="ER45"/>
      <c r="ES45"/>
      <c r="ET45"/>
      <c r="EU45"/>
      <c r="EV45"/>
      <c r="EW45"/>
      <c r="EX45"/>
      <c r="EY45"/>
      <c r="EZ45"/>
      <c r="FA45"/>
      <c r="FB45"/>
      <c r="FC45"/>
      <c r="FD45"/>
      <c r="FE45"/>
      <c r="FF45"/>
      <c r="FG45"/>
    </row>
    <row r="46" spans="1:163"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28"/>
      <c r="AP46" s="28"/>
      <c r="AQ46" s="28"/>
      <c r="AR46" s="28"/>
      <c r="AS46"/>
      <c r="AT46"/>
      <c r="AU46"/>
      <c r="AV46"/>
      <c r="AW46"/>
      <c r="AX46"/>
      <c r="AY46"/>
      <c r="AZ46"/>
      <c r="BA46"/>
      <c r="BB46" s="141"/>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s="14"/>
      <c r="EH46" s="14"/>
      <c r="EI46"/>
      <c r="EJ46"/>
      <c r="EK46"/>
      <c r="EL46"/>
      <c r="EM46"/>
      <c r="EN46"/>
      <c r="EO46"/>
      <c r="EP46"/>
      <c r="EQ46"/>
      <c r="ER46"/>
      <c r="ES46"/>
      <c r="ET46"/>
      <c r="EU46"/>
      <c r="EV46"/>
      <c r="EW46"/>
      <c r="EX46"/>
      <c r="EY46"/>
      <c r="EZ46"/>
      <c r="FA46"/>
      <c r="FB46"/>
      <c r="FC46"/>
      <c r="FD46"/>
      <c r="FE46"/>
      <c r="FF46"/>
      <c r="FG46"/>
    </row>
    <row r="47" spans="1:163"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28"/>
      <c r="AP47" s="28"/>
      <c r="AQ47" s="28"/>
      <c r="AR47" s="28"/>
      <c r="AS47"/>
      <c r="AT47"/>
      <c r="AU47"/>
      <c r="AV47"/>
      <c r="AW47"/>
      <c r="AX47"/>
      <c r="AY47"/>
      <c r="AZ47"/>
      <c r="BA47"/>
      <c r="BB47" s="141"/>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s="14"/>
      <c r="EH47" s="14"/>
      <c r="EI47"/>
      <c r="EJ47"/>
      <c r="EK47"/>
      <c r="EL47"/>
      <c r="EM47"/>
      <c r="EN47"/>
      <c r="EO47"/>
      <c r="EP47"/>
      <c r="EQ47"/>
      <c r="ER47"/>
      <c r="ES47"/>
      <c r="ET47"/>
      <c r="EU47"/>
      <c r="EV47"/>
      <c r="EW47"/>
      <c r="EX47"/>
      <c r="EY47"/>
      <c r="EZ47"/>
      <c r="FA47"/>
      <c r="FB47"/>
      <c r="FC47"/>
      <c r="FD47"/>
      <c r="FE47"/>
      <c r="FF47"/>
      <c r="FG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N24 AC25 AE25:AN25">
    <cfRule type="expression" dxfId="65" priority="48">
      <formula>AO6=3</formula>
    </cfRule>
    <cfRule type="expression" dxfId="64" priority="49">
      <formula>AO6=5</formula>
    </cfRule>
    <cfRule type="expression" dxfId="63" priority="50">
      <formula>AO6=4</formula>
    </cfRule>
    <cfRule type="expression" dxfId="62" priority="51">
      <formula>AO6=2</formula>
    </cfRule>
    <cfRule type="expression" dxfId="61" priority="52">
      <formula>AO6=1</formula>
    </cfRule>
    <cfRule type="expression" dxfId="60" priority="53">
      <formula>AO6=0</formula>
    </cfRule>
  </conditionalFormatting>
  <conditionalFormatting sqref="FF6:FF25 FF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B0CAF948-3884-481E-9ADB-5A4A1E3941E1}">
      <formula1>lis_dat</formula1>
    </dataValidation>
  </dataValidations>
  <pageMargins left="0.25" right="0.25" top="0.75" bottom="0.75" header="0.3" footer="0.3"/>
  <pageSetup paperSize="9" scale="55" orientation="portrait" r:id="rId1"/>
  <extLst>
    <ext xmlns:x14="http://schemas.microsoft.com/office/spreadsheetml/2009/9/main" uri="{78C0D931-6437-407d-A8EE-F0AAD7539E65}">
      <x14:conditionalFormattings>
        <x14:conditionalFormatting xmlns:xm="http://schemas.microsoft.com/office/excel/2006/main">
          <x14:cfRule type="iconSet" priority="1" id="{5DECCEB7-261D-48CD-BE19-0DA4D0698ECF}">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DC783D08-F64F-4000-A0AD-FA5592C458CC}">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4BF0-7556-487E-AE87-B2634DD31CE0}">
  <sheetPr>
    <tabColor theme="5" tint="-0.249977111117893"/>
    <pageSetUpPr fitToPage="1"/>
  </sheetPr>
  <dimension ref="A1:FG47"/>
  <sheetViews>
    <sheetView showGridLines="0" zoomScale="60" zoomScaleNormal="60" workbookViewId="0">
      <selection activeCell="BB7" sqref="BB7"/>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6.44140625" customWidth="1"/>
    <col min="24" max="24" width="5" customWidth="1"/>
    <col min="25" max="25" width="6.109375" customWidth="1"/>
    <col min="26" max="26" width="4.5546875" customWidth="1"/>
    <col min="27" max="27" width="1.44140625" customWidth="1"/>
    <col min="28" max="28" width="53" style="11" hidden="1" customWidth="1"/>
    <col min="29" max="38" width="1.88671875" style="57" customWidth="1"/>
    <col min="39" max="39" width="2" style="57" customWidth="1"/>
    <col min="40" max="40" width="1.88671875" style="57" customWidth="1"/>
    <col min="41" max="41" width="5.44140625" style="28" customWidth="1"/>
    <col min="42" max="42" width="6" style="28" customWidth="1"/>
    <col min="43" max="43" width="5.33203125" style="28" customWidth="1"/>
    <col min="44" max="44" width="4.88671875" style="28" customWidth="1"/>
    <col min="45" max="46" width="5.5546875" customWidth="1"/>
    <col min="47" max="47" width="5.33203125" customWidth="1"/>
    <col min="48" max="48" width="5.5546875" customWidth="1"/>
    <col min="49" max="50" width="4.88671875" customWidth="1"/>
    <col min="51" max="51" width="5.6640625" customWidth="1"/>
    <col min="52" max="52" width="6.109375" customWidth="1"/>
    <col min="53" max="53" width="2.44140625" customWidth="1"/>
    <col min="54" max="54" width="15.88671875" style="141" customWidth="1"/>
    <col min="55" max="55" width="12" customWidth="1"/>
    <col min="56" max="56" width="0.88671875" customWidth="1"/>
    <col min="57" max="60" width="7.88671875" customWidth="1"/>
    <col min="61" max="61" width="2.44140625" customWidth="1"/>
    <col min="62" max="62" width="0.44140625" customWidth="1"/>
    <col min="63" max="65" width="7.88671875" customWidth="1"/>
    <col min="66" max="66" width="2.44140625" customWidth="1"/>
    <col min="67" max="67" width="0.44140625" customWidth="1"/>
    <col min="68" max="68" width="12.88671875" customWidth="1"/>
    <col min="69" max="69" width="12.44140625" customWidth="1"/>
    <col min="70" max="70" width="2.44140625" customWidth="1"/>
    <col min="71" max="71" width="0.5546875" customWidth="1"/>
    <col min="72" max="72" width="14.44140625" bestFit="1" customWidth="1"/>
    <col min="73" max="73" width="12.5546875" customWidth="1"/>
    <col min="74" max="74" width="2.44140625" customWidth="1"/>
    <col min="75" max="75" width="8.109375" customWidth="1"/>
    <col min="76" max="77" width="7.5546875" customWidth="1"/>
    <col min="78" max="78" width="2.88671875" customWidth="1"/>
    <col min="79" max="79" width="0.88671875" customWidth="1"/>
    <col min="80" max="81" width="7.44140625" customWidth="1"/>
    <col min="82" max="82" width="2.88671875" customWidth="1"/>
    <col min="83" max="83" width="0.5546875" customWidth="1"/>
    <col min="84" max="84" width="11" customWidth="1"/>
    <col min="85" max="85" width="10.88671875" customWidth="1"/>
    <col min="86" max="86" width="7" bestFit="1" customWidth="1"/>
    <col min="87" max="87" width="11" bestFit="1" customWidth="1"/>
    <col min="88" max="88" width="7" bestFit="1" customWidth="1"/>
    <col min="89" max="89" width="6.5546875" bestFit="1" customWidth="1"/>
    <col min="90" max="91" width="7" bestFit="1" customWidth="1"/>
    <col min="92" max="92" width="6.5546875" bestFit="1" customWidth="1"/>
    <col min="93" max="93" width="6.109375" bestFit="1" customWidth="1"/>
    <col min="94" max="95" width="6.44140625" bestFit="1" customWidth="1"/>
    <col min="96" max="96" width="5.5546875" bestFit="1" customWidth="1"/>
    <col min="97" max="97" width="6.109375" bestFit="1" customWidth="1"/>
    <col min="98" max="98" width="7" bestFit="1" customWidth="1"/>
    <col min="99" max="99" width="6.33203125" bestFit="1" customWidth="1"/>
    <col min="100" max="100" width="6.88671875" bestFit="1" customWidth="1"/>
    <col min="101" max="101" width="6.109375" bestFit="1" customWidth="1"/>
    <col min="102" max="102" width="6.5546875" bestFit="1" customWidth="1"/>
    <col min="103" max="103" width="5.88671875" bestFit="1" customWidth="1"/>
    <col min="104" max="104" width="6.5546875" bestFit="1" customWidth="1"/>
    <col min="105" max="105" width="6.109375" bestFit="1" customWidth="1"/>
    <col min="106" max="107" width="6.44140625" bestFit="1" customWidth="1"/>
    <col min="108" max="108" width="5.5546875" bestFit="1" customWidth="1"/>
    <col min="109" max="109" width="6.109375" bestFit="1" customWidth="1"/>
    <col min="110" max="110" width="7" bestFit="1" customWidth="1"/>
    <col min="111" max="111" width="5" customWidth="1"/>
    <col min="112" max="112" width="11" bestFit="1" customWidth="1"/>
    <col min="113" max="113" width="6.88671875" bestFit="1" customWidth="1"/>
    <col min="114" max="114" width="6.109375" bestFit="1" customWidth="1"/>
    <col min="115" max="115" width="6.5546875" bestFit="1" customWidth="1"/>
    <col min="116" max="116" width="5.88671875" bestFit="1" customWidth="1"/>
    <col min="117" max="117" width="6.5546875" bestFit="1" customWidth="1"/>
    <col min="118" max="118" width="6.109375" bestFit="1" customWidth="1"/>
    <col min="119" max="120" width="6.44140625" bestFit="1" customWidth="1"/>
    <col min="121" max="121" width="5.5546875" bestFit="1" customWidth="1"/>
    <col min="122" max="122" width="6.109375" bestFit="1" customWidth="1"/>
    <col min="123" max="123" width="7" bestFit="1" customWidth="1"/>
    <col min="124" max="124" width="6.33203125" bestFit="1" customWidth="1"/>
    <col min="125" max="125" width="6.88671875" bestFit="1" customWidth="1"/>
    <col min="126" max="126" width="6.109375" bestFit="1" customWidth="1"/>
    <col min="127" max="127" width="6.5546875" bestFit="1" customWidth="1"/>
    <col min="128" max="128" width="5.88671875" bestFit="1" customWidth="1"/>
    <col min="129" max="129" width="6.5546875" bestFit="1" customWidth="1"/>
    <col min="130" max="130" width="6.109375" bestFit="1" customWidth="1"/>
    <col min="131" max="132" width="6.44140625" bestFit="1" customWidth="1"/>
    <col min="133" max="133" width="5.5546875" bestFit="1" customWidth="1"/>
    <col min="134" max="134" width="6.109375" bestFit="1" customWidth="1"/>
    <col min="135" max="135" width="7" bestFit="1" customWidth="1"/>
    <col min="136" max="136" width="5" customWidth="1"/>
    <col min="137" max="138" width="13.5546875" style="14" bestFit="1" customWidth="1"/>
    <col min="139" max="160" width="9.88671875" bestFit="1" customWidth="1"/>
    <col min="161" max="162" width="5" customWidth="1"/>
  </cols>
  <sheetData>
    <row r="1" spans="1:162" ht="18.75" customHeight="1">
      <c r="A1" s="219">
        <v>45505</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BE1" t="s">
        <v>101</v>
      </c>
      <c r="BF1" s="3">
        <f>+A1</f>
        <v>45505</v>
      </c>
      <c r="BG1" s="3">
        <f>+VLOOKUP(BG2,datos!$D:$E,2,FALSE)</f>
        <v>45474</v>
      </c>
      <c r="BH1" s="3">
        <f>+VLOOKUP(BH2,datos!$D:$E,2,FALSE)</f>
        <v>45139</v>
      </c>
      <c r="BK1" s="3">
        <f>+A1</f>
        <v>45505</v>
      </c>
      <c r="BL1" s="3">
        <f>+VLOOKUP(BL2,datos!$D:$E,2,FALSE)</f>
        <v>45474</v>
      </c>
      <c r="BM1" s="3">
        <f>+VLOOKUP(BM2,datos!$D:$E,2,FALSE)</f>
        <v>45139</v>
      </c>
      <c r="BP1" s="3">
        <f>+A1</f>
        <v>45505</v>
      </c>
      <c r="BQ1" s="3">
        <f>+VLOOKUP(BQ2,datos!$D:$E,2,FALSE)</f>
        <v>45139</v>
      </c>
      <c r="BT1" s="3">
        <f>+A1</f>
        <v>45505</v>
      </c>
      <c r="BU1" s="3">
        <f>+VLOOKUP(BU2,datos!$D:$E,2,FALSE)</f>
        <v>45139</v>
      </c>
      <c r="BX1" t="s">
        <v>279</v>
      </c>
      <c r="BY1" t="s">
        <v>280</v>
      </c>
      <c r="CB1" t="s">
        <v>279</v>
      </c>
      <c r="CC1" t="s">
        <v>280</v>
      </c>
      <c r="CF1" t="s">
        <v>282</v>
      </c>
      <c r="CG1" t="s">
        <v>283</v>
      </c>
      <c r="CH1" s="3">
        <f>+A1</f>
        <v>45505</v>
      </c>
      <c r="CI1" s="3">
        <f>+VLOOKUP(CI2,datos!$D:$E,2,FALSE)</f>
        <v>45505</v>
      </c>
      <c r="CJ1" s="3">
        <f>+VLOOKUP(CJ2,datos!$D:$E,2,FALSE)</f>
        <v>45474</v>
      </c>
      <c r="CK1" s="3">
        <f>+VLOOKUP(CK2,datos!$D:$E,2,FALSE)</f>
        <v>45444</v>
      </c>
      <c r="CL1" s="3">
        <f>+VLOOKUP(CL2,datos!$D:$E,2,FALSE)</f>
        <v>45413</v>
      </c>
      <c r="CM1" s="3">
        <f>+VLOOKUP(CM2,datos!$D:$E,2,FALSE)</f>
        <v>45383</v>
      </c>
      <c r="CN1" s="3">
        <f>+VLOOKUP(CN2,datos!$D:$E,2,FALSE)</f>
        <v>45352</v>
      </c>
      <c r="CO1" s="3">
        <f>+VLOOKUP(CO2,datos!$D:$E,2,FALSE)</f>
        <v>45323</v>
      </c>
      <c r="CP1" s="3">
        <f>+VLOOKUP(CP2,datos!$D:$E,2,FALSE)</f>
        <v>45292</v>
      </c>
      <c r="CQ1" s="3">
        <f>+VLOOKUP(CQ2,datos!$D:$E,2,FALSE)</f>
        <v>45261</v>
      </c>
      <c r="CR1" s="3">
        <f>+VLOOKUP(CR2,datos!$D:$E,2,FALSE)</f>
        <v>45231</v>
      </c>
      <c r="CS1" s="3">
        <f>+VLOOKUP(CS2,datos!$D:$E,2,FALSE)</f>
        <v>45200</v>
      </c>
      <c r="CT1" s="3">
        <f>+VLOOKUP(CT2,datos!$D:$E,2,FALSE)</f>
        <v>45170</v>
      </c>
      <c r="CU1" s="3">
        <f>+VLOOKUP(CU2,datos!$D:$E,2,FALSE)</f>
        <v>45139</v>
      </c>
      <c r="CV1" s="3">
        <f>+VLOOKUP(CV2,datos!$D:$E,2,FALSE)</f>
        <v>45108</v>
      </c>
      <c r="CW1" s="3">
        <f>+VLOOKUP(CW2,datos!$D:$E,2,FALSE)</f>
        <v>45078</v>
      </c>
      <c r="CX1" s="3">
        <f>+VLOOKUP(CX2,datos!$D:$E,2,FALSE)</f>
        <v>45047</v>
      </c>
      <c r="CY1" s="3">
        <f>+VLOOKUP(CY2,datos!$D:$E,2,FALSE)</f>
        <v>45017</v>
      </c>
      <c r="CZ1" s="3">
        <f>+VLOOKUP(CZ2,datos!$D:$E,2,FALSE)</f>
        <v>44986</v>
      </c>
      <c r="DA1" s="3">
        <f>+VLOOKUP(DA2,datos!$D:$E,2,FALSE)</f>
        <v>44958</v>
      </c>
      <c r="DB1" s="3">
        <f>+VLOOKUP(DB2,datos!$D:$E,2,FALSE)</f>
        <v>44927</v>
      </c>
      <c r="DC1" s="3">
        <f>+VLOOKUP(DC2,datos!$D:$E,2,FALSE)</f>
        <v>44896</v>
      </c>
      <c r="DD1" s="3">
        <f>+VLOOKUP(DD2,datos!$D:$E,2,FALSE)</f>
        <v>44866</v>
      </c>
      <c r="DE1" s="3">
        <f>+VLOOKUP(DE2,datos!$D:$E,2,FALSE)</f>
        <v>44835</v>
      </c>
      <c r="DF1" s="3">
        <f>+VLOOKUP(DF2,datos!$D:$E,2,FALSE)</f>
        <v>44805</v>
      </c>
      <c r="DH1" s="3">
        <f>+CI1</f>
        <v>45505</v>
      </c>
      <c r="DI1" s="3">
        <f>+VLOOKUP(DI2,datos!$D:$E,2,FALSE)</f>
        <v>45474</v>
      </c>
      <c r="DJ1" s="3">
        <f>+VLOOKUP(DJ2,datos!$D:$E,2,FALSE)</f>
        <v>45444</v>
      </c>
      <c r="DK1" s="3">
        <f>+VLOOKUP(DK2,datos!$D:$E,2,FALSE)</f>
        <v>45413</v>
      </c>
      <c r="DL1" s="3">
        <f>+VLOOKUP(DL2,datos!$D:$E,2,FALSE)</f>
        <v>45383</v>
      </c>
      <c r="DM1" s="3">
        <f>+VLOOKUP(DM2,datos!$D:$E,2,FALSE)</f>
        <v>45352</v>
      </c>
      <c r="DN1" s="3">
        <f>+VLOOKUP(DN2,datos!$D:$E,2,FALSE)</f>
        <v>45323</v>
      </c>
      <c r="DO1" s="3">
        <f>+VLOOKUP(DO2,datos!$D:$E,2,FALSE)</f>
        <v>45292</v>
      </c>
      <c r="DP1" s="3">
        <f>+VLOOKUP(DP2,datos!$D:$E,2,FALSE)</f>
        <v>45261</v>
      </c>
      <c r="DQ1" s="3">
        <f>+VLOOKUP(DQ2,datos!$D:$E,2,FALSE)</f>
        <v>45231</v>
      </c>
      <c r="DR1" s="3">
        <f>+VLOOKUP(DR2,datos!$D:$E,2,FALSE)</f>
        <v>45200</v>
      </c>
      <c r="DS1" s="3">
        <f>+VLOOKUP(DS2,datos!$D:$E,2,FALSE)</f>
        <v>45170</v>
      </c>
      <c r="DT1" s="3">
        <f>+VLOOKUP(DT2,datos!$D:$E,2,FALSE)</f>
        <v>45139</v>
      </c>
      <c r="DU1" s="3">
        <f>+VLOOKUP(DU2,datos!$D:$E,2,FALSE)</f>
        <v>45108</v>
      </c>
      <c r="DV1" s="3">
        <f>+VLOOKUP(DV2,datos!$D:$E,2,FALSE)</f>
        <v>45078</v>
      </c>
      <c r="DW1" s="3">
        <f>+VLOOKUP(DW2,datos!$D:$E,2,FALSE)</f>
        <v>45047</v>
      </c>
      <c r="DX1" s="3">
        <f>+VLOOKUP(DX2,datos!$D:$E,2,FALSE)</f>
        <v>45017</v>
      </c>
      <c r="DY1" s="3">
        <f>+VLOOKUP(DY2,datos!$D:$E,2,FALSE)</f>
        <v>44986</v>
      </c>
      <c r="DZ1" s="3">
        <f>+VLOOKUP(DZ2,datos!$D:$E,2,FALSE)</f>
        <v>44958</v>
      </c>
      <c r="EA1" s="3">
        <f>+VLOOKUP(EA2,datos!$D:$E,2,FALSE)</f>
        <v>44927</v>
      </c>
      <c r="EB1" s="3">
        <f>+VLOOKUP(EB2,datos!$D:$E,2,FALSE)</f>
        <v>44896</v>
      </c>
      <c r="EC1" s="3">
        <f>+VLOOKUP(EC2,datos!$D:$E,2,FALSE)</f>
        <v>44866</v>
      </c>
      <c r="ED1" s="3">
        <f>+VLOOKUP(ED2,datos!$D:$E,2,FALSE)</f>
        <v>44835</v>
      </c>
      <c r="EE1" s="3">
        <f>+VLOOKUP(EE2,datos!$D:$E,2,FALSE)</f>
        <v>44805</v>
      </c>
      <c r="EG1" s="14">
        <f>+CI1</f>
        <v>45505</v>
      </c>
      <c r="EH1" s="14">
        <f t="shared" ref="EH1:FD1" si="0">+CJ1</f>
        <v>45474</v>
      </c>
      <c r="EI1" s="3">
        <f t="shared" si="0"/>
        <v>45444</v>
      </c>
      <c r="EJ1" s="3">
        <f t="shared" si="0"/>
        <v>45413</v>
      </c>
      <c r="EK1" s="3">
        <f t="shared" si="0"/>
        <v>45383</v>
      </c>
      <c r="EL1" s="3">
        <f t="shared" si="0"/>
        <v>45352</v>
      </c>
      <c r="EM1" s="3">
        <f t="shared" si="0"/>
        <v>45323</v>
      </c>
      <c r="EN1" s="3">
        <f t="shared" si="0"/>
        <v>45292</v>
      </c>
      <c r="EO1" s="3">
        <f t="shared" si="0"/>
        <v>45261</v>
      </c>
      <c r="EP1" s="3">
        <f t="shared" si="0"/>
        <v>45231</v>
      </c>
      <c r="EQ1" s="3">
        <f t="shared" si="0"/>
        <v>45200</v>
      </c>
      <c r="ER1" s="3">
        <f t="shared" si="0"/>
        <v>45170</v>
      </c>
      <c r="ES1" s="3">
        <f t="shared" si="0"/>
        <v>45139</v>
      </c>
      <c r="ET1" s="3">
        <f t="shared" si="0"/>
        <v>45108</v>
      </c>
      <c r="EU1" s="3">
        <f t="shared" si="0"/>
        <v>45078</v>
      </c>
      <c r="EV1" s="3">
        <f t="shared" si="0"/>
        <v>45047</v>
      </c>
      <c r="EW1" s="3">
        <f t="shared" si="0"/>
        <v>45017</v>
      </c>
      <c r="EX1" s="3">
        <f t="shared" si="0"/>
        <v>44986</v>
      </c>
      <c r="EY1" s="3">
        <f t="shared" si="0"/>
        <v>44958</v>
      </c>
      <c r="EZ1" s="3">
        <f t="shared" si="0"/>
        <v>44927</v>
      </c>
      <c r="FA1" s="3">
        <f t="shared" si="0"/>
        <v>44896</v>
      </c>
      <c r="FB1" s="3">
        <f t="shared" si="0"/>
        <v>44866</v>
      </c>
      <c r="FC1" s="3">
        <f t="shared" si="0"/>
        <v>44835</v>
      </c>
      <c r="FD1" s="3">
        <f t="shared" si="0"/>
        <v>44805</v>
      </c>
    </row>
    <row r="2" spans="1:162"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174">
        <f>VLOOKUP(VLOOKUP(+$A$1,ran_ma,2,FALSE)-11,ran_idma,2,FALSE)</f>
        <v>45170</v>
      </c>
      <c r="AP2" s="174">
        <f>VLOOKUP(VLOOKUP(+$A$1,ran_ma,2,FALSE)-10,ran_idma,2,FALSE)</f>
        <v>45200</v>
      </c>
      <c r="AQ2" s="174">
        <f>VLOOKUP(VLOOKUP(+$A$1,ran_ma,2,FALSE)-9,ran_idma,2,FALSE)</f>
        <v>45231</v>
      </c>
      <c r="AR2" s="174">
        <f>VLOOKUP(VLOOKUP(+$A$1,ran_ma,2,FALSE)-8,ran_idma,2,FALSE)</f>
        <v>45261</v>
      </c>
      <c r="AS2" s="59">
        <f>VLOOKUP(VLOOKUP(+$A$1,ran_ma,2,FALSE)-7,ran_idma,2,FALSE)</f>
        <v>45292</v>
      </c>
      <c r="AT2" s="59">
        <f>VLOOKUP(VLOOKUP(+$A$1,ran_ma,2,FALSE)-6,ran_idma,2,FALSE)</f>
        <v>45323</v>
      </c>
      <c r="AU2" s="59">
        <f>VLOOKUP(VLOOKUP(+$A$1,ran_ma,2,FALSE)-5,ran_idma,2,FALSE)</f>
        <v>45352</v>
      </c>
      <c r="AV2" s="59">
        <f>VLOOKUP(VLOOKUP(+$A$1,ran_ma,2,FALSE)-4,ran_idma,2,FALSE)</f>
        <v>45383</v>
      </c>
      <c r="AW2" s="59">
        <f>VLOOKUP(VLOOKUP(+$A$1,ran_ma,2,FALSE)-3,ran_idma,2,FALSE)</f>
        <v>45413</v>
      </c>
      <c r="AX2" s="59">
        <f>VLOOKUP(VLOOKUP(+$A$1,ran_ma,2,FALSE)-2,ran_idma,2,FALSE)</f>
        <v>45444</v>
      </c>
      <c r="AY2" s="59">
        <f>VLOOKUP(VLOOKUP(+$A$1,ran_ma,2,FALSE)-1,ran_idma,2,FALSE)</f>
        <v>45474</v>
      </c>
      <c r="AZ2" s="59">
        <f>+$A$1</f>
        <v>45505</v>
      </c>
      <c r="BA2" s="5"/>
      <c r="BB2" s="170"/>
      <c r="BD2" s="9" t="s">
        <v>272</v>
      </c>
      <c r="BF2">
        <f>+VLOOKUP(BF1,ran_dat,datos!$D$1,FALSE)</f>
        <v>113</v>
      </c>
      <c r="BG2">
        <f>+BF2-1</f>
        <v>112</v>
      </c>
      <c r="BH2">
        <f>+BF2-12</f>
        <v>101</v>
      </c>
      <c r="BJ2" s="9"/>
      <c r="BK2">
        <f>+VLOOKUP(BK1,ran_dat,datos!$D$1,FALSE)</f>
        <v>113</v>
      </c>
      <c r="BL2">
        <f>+BK2-1</f>
        <v>112</v>
      </c>
      <c r="BM2">
        <f>+BK2-12</f>
        <v>101</v>
      </c>
      <c r="BO2" s="9"/>
      <c r="BP2">
        <f>+VLOOKUP(BP1,ran_dat,datos!$D$1,FALSE)</f>
        <v>113</v>
      </c>
      <c r="BQ2">
        <f>+BP2-12</f>
        <v>101</v>
      </c>
      <c r="BS2" s="9"/>
      <c r="BT2">
        <f>+VLOOKUP(BT1,ran_dat,datos!$D$1,FALSE)</f>
        <v>113</v>
      </c>
      <c r="BU2">
        <f>+BT2-12</f>
        <v>101</v>
      </c>
      <c r="BW2" s="9"/>
      <c r="CA2" s="9"/>
      <c r="CH2">
        <f>+VLOOKUP(CH1,ran_dat,datos!$D$1,FALSE)</f>
        <v>113</v>
      </c>
      <c r="CI2">
        <f>+CH2</f>
        <v>113</v>
      </c>
      <c r="CJ2">
        <f t="shared" ref="CJ2:DF2" si="1">+CI2-1</f>
        <v>112</v>
      </c>
      <c r="CK2">
        <f t="shared" si="1"/>
        <v>111</v>
      </c>
      <c r="CL2">
        <f t="shared" si="1"/>
        <v>110</v>
      </c>
      <c r="CM2">
        <f t="shared" si="1"/>
        <v>109</v>
      </c>
      <c r="CN2">
        <f t="shared" si="1"/>
        <v>108</v>
      </c>
      <c r="CO2">
        <f t="shared" si="1"/>
        <v>107</v>
      </c>
      <c r="CP2">
        <f t="shared" si="1"/>
        <v>106</v>
      </c>
      <c r="CQ2">
        <f t="shared" si="1"/>
        <v>105</v>
      </c>
      <c r="CR2">
        <f t="shared" si="1"/>
        <v>104</v>
      </c>
      <c r="CS2">
        <f t="shared" si="1"/>
        <v>103</v>
      </c>
      <c r="CT2">
        <f t="shared" si="1"/>
        <v>102</v>
      </c>
      <c r="CU2">
        <f t="shared" si="1"/>
        <v>101</v>
      </c>
      <c r="CV2">
        <f t="shared" si="1"/>
        <v>100</v>
      </c>
      <c r="CW2">
        <f t="shared" si="1"/>
        <v>99</v>
      </c>
      <c r="CX2">
        <f t="shared" si="1"/>
        <v>98</v>
      </c>
      <c r="CY2">
        <f t="shared" si="1"/>
        <v>97</v>
      </c>
      <c r="CZ2">
        <f t="shared" si="1"/>
        <v>96</v>
      </c>
      <c r="DA2">
        <f t="shared" si="1"/>
        <v>95</v>
      </c>
      <c r="DB2">
        <f t="shared" si="1"/>
        <v>94</v>
      </c>
      <c r="DC2">
        <f t="shared" si="1"/>
        <v>93</v>
      </c>
      <c r="DD2">
        <f t="shared" si="1"/>
        <v>92</v>
      </c>
      <c r="DE2">
        <f t="shared" si="1"/>
        <v>91</v>
      </c>
      <c r="DF2">
        <f t="shared" si="1"/>
        <v>90</v>
      </c>
      <c r="DH2">
        <f>+VLOOKUP(DH1,ran_dat,datos!$D$1,FALSE)</f>
        <v>113</v>
      </c>
      <c r="DI2">
        <f t="shared" ref="DI2:EE2" si="2">+DH2-1</f>
        <v>112</v>
      </c>
      <c r="DJ2">
        <f t="shared" si="2"/>
        <v>111</v>
      </c>
      <c r="DK2">
        <f t="shared" si="2"/>
        <v>110</v>
      </c>
      <c r="DL2">
        <f t="shared" si="2"/>
        <v>109</v>
      </c>
      <c r="DM2">
        <f t="shared" si="2"/>
        <v>108</v>
      </c>
      <c r="DN2">
        <f t="shared" si="2"/>
        <v>107</v>
      </c>
      <c r="DO2">
        <f t="shared" si="2"/>
        <v>106</v>
      </c>
      <c r="DP2">
        <f t="shared" si="2"/>
        <v>105</v>
      </c>
      <c r="DQ2">
        <f t="shared" si="2"/>
        <v>104</v>
      </c>
      <c r="DR2">
        <f t="shared" si="2"/>
        <v>103</v>
      </c>
      <c r="DS2">
        <f t="shared" si="2"/>
        <v>102</v>
      </c>
      <c r="DT2">
        <f t="shared" si="2"/>
        <v>101</v>
      </c>
      <c r="DU2">
        <f t="shared" si="2"/>
        <v>100</v>
      </c>
      <c r="DV2">
        <f t="shared" si="2"/>
        <v>99</v>
      </c>
      <c r="DW2">
        <f t="shared" si="2"/>
        <v>98</v>
      </c>
      <c r="DX2">
        <f t="shared" si="2"/>
        <v>97</v>
      </c>
      <c r="DY2">
        <f t="shared" si="2"/>
        <v>96</v>
      </c>
      <c r="DZ2">
        <f t="shared" si="2"/>
        <v>95</v>
      </c>
      <c r="EA2">
        <f t="shared" si="2"/>
        <v>94</v>
      </c>
      <c r="EB2">
        <f t="shared" si="2"/>
        <v>93</v>
      </c>
      <c r="EC2">
        <f t="shared" si="2"/>
        <v>92</v>
      </c>
      <c r="ED2">
        <f t="shared" si="2"/>
        <v>91</v>
      </c>
      <c r="EE2">
        <f t="shared" si="2"/>
        <v>90</v>
      </c>
      <c r="EG2" s="14">
        <f>+VLOOKUP(EG1,ran_dat,datos!$D$1,FALSE)</f>
        <v>113</v>
      </c>
      <c r="EH2" s="14">
        <f t="shared" ref="EH2:FD2" si="3">+EG2-1</f>
        <v>112</v>
      </c>
      <c r="EI2">
        <f t="shared" si="3"/>
        <v>111</v>
      </c>
      <c r="EJ2">
        <f t="shared" si="3"/>
        <v>110</v>
      </c>
      <c r="EK2">
        <f t="shared" si="3"/>
        <v>109</v>
      </c>
      <c r="EL2">
        <f t="shared" si="3"/>
        <v>108</v>
      </c>
      <c r="EM2">
        <f t="shared" si="3"/>
        <v>107</v>
      </c>
      <c r="EN2">
        <f t="shared" si="3"/>
        <v>106</v>
      </c>
      <c r="EO2">
        <f t="shared" si="3"/>
        <v>105</v>
      </c>
      <c r="EP2">
        <f t="shared" si="3"/>
        <v>104</v>
      </c>
      <c r="EQ2">
        <f t="shared" si="3"/>
        <v>103</v>
      </c>
      <c r="ER2">
        <f t="shared" si="3"/>
        <v>102</v>
      </c>
      <c r="ES2">
        <f t="shared" si="3"/>
        <v>101</v>
      </c>
      <c r="ET2">
        <f t="shared" si="3"/>
        <v>100</v>
      </c>
      <c r="EU2">
        <f t="shared" si="3"/>
        <v>99</v>
      </c>
      <c r="EV2">
        <f t="shared" si="3"/>
        <v>98</v>
      </c>
      <c r="EW2">
        <f t="shared" si="3"/>
        <v>97</v>
      </c>
      <c r="EX2">
        <f t="shared" si="3"/>
        <v>96</v>
      </c>
      <c r="EY2">
        <f t="shared" si="3"/>
        <v>95</v>
      </c>
      <c r="EZ2">
        <f t="shared" si="3"/>
        <v>94</v>
      </c>
      <c r="FA2">
        <f t="shared" si="3"/>
        <v>93</v>
      </c>
      <c r="FB2">
        <f t="shared" si="3"/>
        <v>92</v>
      </c>
      <c r="FC2">
        <f t="shared" si="3"/>
        <v>91</v>
      </c>
      <c r="FD2">
        <f t="shared" si="3"/>
        <v>90</v>
      </c>
    </row>
    <row r="3" spans="1:162" ht="18.75" customHeight="1">
      <c r="A3" s="220"/>
      <c r="C3" s="155"/>
      <c r="D3" s="196">
        <v>0.33</v>
      </c>
      <c r="E3" s="100">
        <f>IFERROR(+BF5/BG5-1,"")</f>
        <v>4.1716497689023413E-2</v>
      </c>
      <c r="F3" s="56" t="s">
        <v>515</v>
      </c>
      <c r="G3" s="56"/>
      <c r="H3" s="56"/>
      <c r="I3" s="60">
        <f>IFERROR(+BF5/BH5-1,"")</f>
        <v>2.3671183290123756</v>
      </c>
      <c r="J3" s="56" t="s">
        <v>515</v>
      </c>
      <c r="K3" s="56"/>
      <c r="L3" s="56"/>
      <c r="M3" s="32"/>
      <c r="N3" s="196">
        <v>0.33</v>
      </c>
      <c r="O3" s="31"/>
      <c r="S3" s="32"/>
      <c r="T3" s="196">
        <v>0.33</v>
      </c>
      <c r="U3" s="150" t="str">
        <f>TEXT(CT1,"MMM-YY")&amp;"."&amp;TEXT(CI1,"MMM-YY")&amp;" vs "&amp;TEXT(DF1,"MMM-YY")&amp;"."&amp;TEXT(CU1,"MMM-YY")</f>
        <v>sept-23.ago-24 vs sept-22.ago-23</v>
      </c>
      <c r="Y3" s="59" t="str">
        <f>TEXT(CI1,"MMM-YY")&amp;" vs "&amp;TEXT(CU1,"MMM-YY")</f>
        <v>ago-24 vs ago-23</v>
      </c>
      <c r="BD3" s="4" t="s">
        <v>3</v>
      </c>
      <c r="BE3" s="4"/>
      <c r="BF3" s="4"/>
      <c r="BG3" s="4"/>
      <c r="BH3" s="4"/>
      <c r="BJ3" s="27" t="s">
        <v>5</v>
      </c>
      <c r="BK3" s="27"/>
      <c r="BL3" s="27"/>
      <c r="BM3" s="27"/>
      <c r="BO3" s="20" t="s">
        <v>15</v>
      </c>
      <c r="BP3" s="20"/>
      <c r="BQ3" s="20"/>
      <c r="BS3" s="21" t="s">
        <v>2</v>
      </c>
      <c r="BT3" s="21"/>
      <c r="BU3" s="21"/>
      <c r="BW3" s="4" t="s">
        <v>7</v>
      </c>
      <c r="BX3" s="4"/>
      <c r="BY3" s="4"/>
      <c r="CA3" s="43" t="s">
        <v>8</v>
      </c>
      <c r="CB3" s="43"/>
      <c r="CC3" s="43"/>
      <c r="CE3" s="22" t="s">
        <v>9</v>
      </c>
      <c r="CF3" s="22"/>
      <c r="CG3" s="22"/>
      <c r="CI3" s="4" t="s">
        <v>7</v>
      </c>
      <c r="CJ3" s="4"/>
      <c r="CK3" s="4"/>
      <c r="CL3" s="4"/>
      <c r="CM3" s="4"/>
      <c r="CN3" s="4"/>
      <c r="CO3" s="4"/>
      <c r="CP3" s="4"/>
      <c r="CQ3" s="4"/>
      <c r="CR3" s="4"/>
      <c r="CS3" s="4"/>
      <c r="CT3" s="4"/>
      <c r="CU3" s="4"/>
      <c r="CV3" s="4"/>
      <c r="CW3" s="4"/>
      <c r="CX3" s="4"/>
      <c r="CY3" s="4"/>
      <c r="CZ3" s="4"/>
      <c r="DA3" s="4"/>
      <c r="DB3" s="4"/>
      <c r="DC3" s="4"/>
      <c r="DD3" s="4"/>
      <c r="DE3" s="4"/>
      <c r="DF3" s="4"/>
      <c r="DH3" s="43" t="s">
        <v>8</v>
      </c>
      <c r="DI3" s="43"/>
      <c r="DJ3" s="43"/>
      <c r="DK3" s="43"/>
      <c r="DL3" s="43"/>
      <c r="DM3" s="43"/>
      <c r="DN3" s="43"/>
      <c r="DO3" s="43"/>
      <c r="DP3" s="43"/>
      <c r="DQ3" s="43"/>
      <c r="DR3" s="43"/>
      <c r="DS3" s="43"/>
      <c r="DT3" s="43"/>
      <c r="DU3" s="43"/>
      <c r="DV3" s="43"/>
      <c r="DW3" s="43"/>
      <c r="DX3" s="43"/>
      <c r="DY3" s="43"/>
      <c r="DZ3" s="43"/>
      <c r="EA3" s="43"/>
      <c r="EB3" s="43"/>
      <c r="EC3" s="43"/>
      <c r="ED3" s="43"/>
      <c r="EE3" s="43"/>
      <c r="EG3" s="151" t="s">
        <v>9</v>
      </c>
      <c r="EH3" s="151"/>
      <c r="EI3" s="22"/>
      <c r="EJ3" s="22"/>
      <c r="EK3" s="22"/>
      <c r="EL3" s="22"/>
      <c r="EM3" s="22"/>
      <c r="EN3" s="22"/>
      <c r="EO3" s="22"/>
      <c r="EP3" s="22"/>
      <c r="EQ3" s="22"/>
      <c r="ER3" s="22"/>
      <c r="ES3" s="22"/>
      <c r="ET3" s="22"/>
      <c r="EU3" s="22"/>
      <c r="EV3" s="22"/>
      <c r="EW3" s="22"/>
      <c r="EX3" s="22"/>
      <c r="EY3" s="22"/>
      <c r="EZ3" s="22"/>
      <c r="FA3" s="22"/>
      <c r="FB3" s="22"/>
      <c r="FC3" s="22"/>
      <c r="FD3" s="22"/>
    </row>
    <row r="4" spans="1:162"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19"/>
      <c r="AT4" s="19"/>
      <c r="AU4" s="19"/>
      <c r="AV4" s="19"/>
      <c r="AW4" s="19"/>
      <c r="AX4" s="19"/>
      <c r="AY4" s="19"/>
      <c r="AZ4" s="19"/>
      <c r="BA4" s="19"/>
      <c r="BB4" s="141" t="s">
        <v>390</v>
      </c>
      <c r="BD4" s="9"/>
      <c r="BJ4" s="9"/>
      <c r="BO4" s="9"/>
      <c r="BS4" s="9"/>
      <c r="BW4" s="9"/>
      <c r="CA4" s="9"/>
      <c r="CI4" s="44" t="s">
        <v>281</v>
      </c>
      <c r="CJ4" s="44"/>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152"/>
      <c r="EH4" s="152"/>
      <c r="EI4" s="44"/>
      <c r="EJ4" s="44"/>
      <c r="EK4" s="44"/>
      <c r="EL4" s="44"/>
      <c r="EM4" s="44"/>
      <c r="EN4" s="44"/>
      <c r="EO4" s="44"/>
      <c r="EP4" s="44"/>
      <c r="EQ4" s="44"/>
      <c r="ER4" s="44"/>
      <c r="ES4" s="44"/>
      <c r="ET4" s="44"/>
      <c r="EU4" s="44"/>
      <c r="EV4" s="44"/>
      <c r="EW4" s="44"/>
      <c r="EX4" s="44"/>
      <c r="EY4" s="44"/>
      <c r="EZ4" s="44"/>
      <c r="FA4" s="44"/>
      <c r="FB4" s="44"/>
      <c r="FC4" s="44"/>
      <c r="FD4" s="44"/>
    </row>
    <row r="5" spans="1:162" ht="8.4" customHeight="1">
      <c r="E5" s="18"/>
      <c r="N5" s="197"/>
      <c r="O5" s="34"/>
      <c r="P5" s="33"/>
      <c r="Q5" s="34"/>
      <c r="R5" s="33"/>
      <c r="T5" s="197"/>
      <c r="U5" s="25"/>
      <c r="V5" s="34"/>
      <c r="W5" s="34"/>
      <c r="X5" s="34"/>
      <c r="Y5" s="34"/>
      <c r="Z5" s="34"/>
      <c r="AB5" s="211"/>
      <c r="BC5">
        <f>+A3</f>
        <v>0</v>
      </c>
      <c r="BD5">
        <f>+datos!G1</f>
        <v>7</v>
      </c>
      <c r="BE5" s="2" t="str">
        <f t="shared" ref="BE5:BH24" si="4">+VLOOKUP(BE$1,ran_dat,$BD5,FALSE)</f>
        <v>Índice</v>
      </c>
      <c r="BF5" s="2">
        <f t="shared" si="4"/>
        <v>6883.4</v>
      </c>
      <c r="BG5" s="2">
        <f t="shared" si="4"/>
        <v>6607.7479000000003</v>
      </c>
      <c r="BH5" s="2">
        <f t="shared" si="4"/>
        <v>2044.3</v>
      </c>
    </row>
    <row r="6" spans="1:162" ht="18.75" customHeight="1">
      <c r="A6" s="243" t="s">
        <v>28</v>
      </c>
      <c r="B6" s="246"/>
      <c r="C6" s="156">
        <f t="shared" ref="C6:C24" si="5">+D6*$D$3+N6*$N$3+T6*$T$3</f>
        <v>0</v>
      </c>
      <c r="D6" s="198">
        <v>-2</v>
      </c>
      <c r="E6" s="248">
        <f t="shared" ref="E6:E24" si="6">IFERROR(+BF6/BG6-1,"")</f>
        <v>4.7394117304496497E-2</v>
      </c>
      <c r="F6" s="249">
        <f t="shared" ref="F6:F24" si="7">+E6-$E$3</f>
        <v>5.677619615473084E-3</v>
      </c>
      <c r="G6" s="248">
        <f t="shared" ref="G6:G24" si="8">IFERROR(+BK6/BL6-1,"")</f>
        <v>3.3802408969591413E-2</v>
      </c>
      <c r="H6" s="249">
        <f t="shared" ref="H6:H24" si="9">E6-G6</f>
        <v>1.3591708334905084E-2</v>
      </c>
      <c r="I6" s="248">
        <f t="shared" ref="I6:I24" si="10">IFERROR(+BF6/BH6-1,"")</f>
        <v>1.3685725172604313</v>
      </c>
      <c r="J6" s="249">
        <f t="shared" ref="J6:J26" si="11">+I6-$I$3</f>
        <v>-0.99854581175194435</v>
      </c>
      <c r="K6" s="248">
        <f t="shared" ref="K6:K24" si="12">IFERROR(+BK6/BM6-1,"")</f>
        <v>1.4792308227535762</v>
      </c>
      <c r="L6" s="249">
        <f t="shared" ref="L6:L24" si="13">I6-K6</f>
        <v>-0.11065830549314493</v>
      </c>
      <c r="M6" s="250"/>
      <c r="N6" s="24">
        <v>1</v>
      </c>
      <c r="O6" s="248">
        <f>IFERROR(+BP6/BQ6-1,"")</f>
        <v>0.1206896551724137</v>
      </c>
      <c r="P6" s="251">
        <f>+O6</f>
        <v>0.1206896551724137</v>
      </c>
      <c r="Q6" s="248">
        <f t="shared" ref="Q6:Q24" si="14">IFERROR(+BT6/BU6-1,"")</f>
        <v>0.44444444444444442</v>
      </c>
      <c r="R6" s="251">
        <f>+Q6</f>
        <v>0.44444444444444442</v>
      </c>
      <c r="S6" s="250"/>
      <c r="T6" s="24">
        <v>1</v>
      </c>
      <c r="U6" s="248">
        <f t="shared" ref="U6:U24" si="15">IFERROR(+BX6/BY6-1,"")</f>
        <v>0.87689096169840819</v>
      </c>
      <c r="V6" s="252">
        <f t="shared" ref="V6:V24" si="16">+U6</f>
        <v>0.87689096169840819</v>
      </c>
      <c r="W6" s="248">
        <f>IFERROR(IF(CB6&lt;0.5,"",+CB6/CC6-1),"")</f>
        <v>-0.43657598062657421</v>
      </c>
      <c r="X6" s="252">
        <f t="shared" ref="X6:X24" si="17">+W6</f>
        <v>-0.43657598062657421</v>
      </c>
      <c r="Y6" s="248" t="str">
        <f t="shared" ref="Y6:Y25" si="18">IFERROR(+CF6/CG6-1,"")</f>
        <v/>
      </c>
      <c r="Z6" s="252" t="str">
        <f t="shared" ref="Z6:Z24" si="19">+Y6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O6" s="28">
        <f>VLOOKUP($A6,historia!$A$5:$CM$24,+HLOOKUP(AO$2,historia!$A$3:$EC$4,2,FALSE),FALSE)</f>
        <v>5</v>
      </c>
      <c r="AP6" s="28">
        <f>VLOOKUP($A6,historia!$A$5:$CM$24,+HLOOKUP(AP$2,historia!$A$3:$EC$4,2,FALSE),FALSE)</f>
        <v>5</v>
      </c>
      <c r="AQ6" s="28">
        <f>VLOOKUP($A6,historia!$A$5:$CM$24,+HLOOKUP(AQ$2,historia!$A$3:$EC$4,2,FALSE),FALSE)</f>
        <v>5</v>
      </c>
      <c r="AR6" s="28">
        <f>VLOOKUP($A6,historia!$A$5:$CM$24,+HLOOKUP(AR$2,historia!$A$3:$EC$4,2,FALSE),FALSE)</f>
        <v>4</v>
      </c>
      <c r="AS6" s="58">
        <f>VLOOKUP($A6,historia!$A$5:$CM$24,+HLOOKUP(AS$2,historia!$A$3:$EC$4,2,FALSE),FALSE)</f>
        <v>4</v>
      </c>
      <c r="AT6" s="58">
        <f>VLOOKUP($A6,historia!$A$5:$CM$24,+HLOOKUP(AT$2,historia!$A$3:$EC$4,2,FALSE),FALSE)</f>
        <v>4</v>
      </c>
      <c r="AU6" s="58">
        <f>VLOOKUP($A6,historia!$A$5:$CM$24,+HLOOKUP(AU$2,historia!$A$3:$EC$4,2,FALSE),FALSE)</f>
        <v>4</v>
      </c>
      <c r="AV6" s="58">
        <f>VLOOKUP($A6,historia!$A$5:$CM$24,+HLOOKUP(AV$2,historia!$A$3:$EC$4,2,FALSE),FALSE)</f>
        <v>4</v>
      </c>
      <c r="AW6" s="58">
        <f>VLOOKUP($A6,historia!$A$5:$CM$24,+HLOOKUP(AW$2,historia!$A$3:$EC$4,2,FALSE),FALSE)</f>
        <v>3</v>
      </c>
      <c r="AX6" s="58">
        <f>VLOOKUP($A6,historia!$A$5:$CM$24,+HLOOKUP(AX$2,historia!$A$3:$EC$4,2,FALSE),FALSE)</f>
        <v>3</v>
      </c>
      <c r="AY6" s="58">
        <f>VLOOKUP($A6,historia!$A$5:$CM$24,+HLOOKUP(AY$2,historia!$A$3:$EC$4,2,FALSE),FALSE)</f>
        <v>3</v>
      </c>
      <c r="AZ6" s="58">
        <v>3</v>
      </c>
      <c r="BA6" s="30"/>
      <c r="BB6" s="141">
        <v>3</v>
      </c>
      <c r="BC6" t="str">
        <f t="shared" ref="BC6:BC24" si="20">+A6</f>
        <v>Algodón</v>
      </c>
      <c r="BD6">
        <f>+datos!P1</f>
        <v>16</v>
      </c>
      <c r="BE6" s="2" t="str">
        <f t="shared" si="4"/>
        <v>$/kg</v>
      </c>
      <c r="BF6" s="2">
        <f t="shared" si="4"/>
        <v>1279.4711941666667</v>
      </c>
      <c r="BG6" s="2">
        <f t="shared" si="4"/>
        <v>1221.5756925000001</v>
      </c>
      <c r="BH6" s="2">
        <f t="shared" si="4"/>
        <v>540.18662500000005</v>
      </c>
      <c r="BJ6">
        <f>+datos!BY1</f>
        <v>77</v>
      </c>
      <c r="BK6" s="2">
        <f t="shared" ref="BK6:BM24" si="21">+VLOOKUP(BK$1,ran_dat,$BJ6,FALSE)</f>
        <v>8609.049738738282</v>
      </c>
      <c r="BL6" s="2">
        <f t="shared" si="21"/>
        <v>8327.5582103925153</v>
      </c>
      <c r="BM6" s="2">
        <f t="shared" si="21"/>
        <v>3472.4680169862431</v>
      </c>
      <c r="BO6" s="1">
        <f>+datos!DK1</f>
        <v>115</v>
      </c>
      <c r="BP6" s="1">
        <f t="shared" ref="BP6:BQ24" si="22">+VLOOKUP(BP$1,ran_dat,$BO6,FALSE)</f>
        <v>650000</v>
      </c>
      <c r="BQ6" s="1">
        <f t="shared" si="22"/>
        <v>580000</v>
      </c>
      <c r="BS6" s="1">
        <f>+datos!FF1</f>
        <v>162</v>
      </c>
      <c r="BT6" s="1">
        <f t="shared" ref="BT6:BU24" si="23">+VLOOKUP(BT$1,ran_dat,$BS6,FALSE)</f>
        <v>1300000</v>
      </c>
      <c r="BU6" s="1">
        <f t="shared" si="23"/>
        <v>900000</v>
      </c>
      <c r="BW6" s="1">
        <f>+datos!JF1</f>
        <v>266</v>
      </c>
      <c r="BX6" s="1">
        <f>+SUM(CI6:CT6)</f>
        <v>186.73694320999999</v>
      </c>
      <c r="BY6" s="1">
        <f>+SUM(CU6:DF6)</f>
        <v>99.492696710000018</v>
      </c>
      <c r="CA6" s="1">
        <f>+datos!KK1</f>
        <v>297</v>
      </c>
      <c r="CB6" s="2">
        <f t="shared" ref="CB6:CB24" si="24">+SUM(DH6:DS6)</f>
        <v>63.742472280000001</v>
      </c>
      <c r="CC6" s="2">
        <f t="shared" ref="CC6:CC24" si="25">+SUM(DT6:EE6)</f>
        <v>113.13410520000002</v>
      </c>
      <c r="CE6" s="1">
        <f>+datos!HS1</f>
        <v>227</v>
      </c>
      <c r="CF6" s="1">
        <f t="shared" ref="CF6:CF24" si="26">+EG6</f>
        <v>0</v>
      </c>
      <c r="CG6" s="1">
        <f t="shared" ref="CG6:CG24" si="27">+ES6</f>
        <v>0</v>
      </c>
      <c r="CI6" s="1">
        <f t="shared" ref="CI6:CX21" si="28">+VLOOKUP(CI$1,ran_dat,$BW6,FALSE)</f>
        <v>19.20970509</v>
      </c>
      <c r="CJ6" s="1">
        <f t="shared" si="28"/>
        <v>24.496622440000007</v>
      </c>
      <c r="CK6" s="1">
        <f t="shared" si="28"/>
        <v>21.439575039999998</v>
      </c>
      <c r="CL6" s="1">
        <f t="shared" si="28"/>
        <v>14.529816729999997</v>
      </c>
      <c r="CM6" s="1">
        <f t="shared" si="28"/>
        <v>18.258202080000007</v>
      </c>
      <c r="CN6" s="1">
        <f t="shared" si="28"/>
        <v>18.510441480000001</v>
      </c>
      <c r="CO6" s="1">
        <f t="shared" si="28"/>
        <v>7.7064561400000011</v>
      </c>
      <c r="CP6" s="1">
        <f t="shared" si="28"/>
        <v>8.1062574399999985</v>
      </c>
      <c r="CQ6" s="1">
        <f t="shared" si="28"/>
        <v>8.4463773399999997</v>
      </c>
      <c r="CR6" s="1">
        <f t="shared" si="28"/>
        <v>15.019774559999998</v>
      </c>
      <c r="CS6" s="1">
        <f t="shared" si="28"/>
        <v>14.398572559999998</v>
      </c>
      <c r="CT6" s="1">
        <f t="shared" si="28"/>
        <v>16.61514231</v>
      </c>
      <c r="CU6" s="1">
        <f t="shared" si="28"/>
        <v>14.3155891</v>
      </c>
      <c r="CV6" s="1">
        <f t="shared" si="28"/>
        <v>3.12980459</v>
      </c>
      <c r="CW6" s="1">
        <f t="shared" si="28"/>
        <v>2.3595063199999995</v>
      </c>
      <c r="CX6" s="1">
        <f t="shared" si="28"/>
        <v>5.3927380000000005</v>
      </c>
      <c r="CY6" s="1">
        <f t="shared" ref="CY6:DF21" si="29">+VLOOKUP(CY$1,ran_dat,$BW6,FALSE)</f>
        <v>1.1182586999999999</v>
      </c>
      <c r="CZ6" s="1">
        <f t="shared" si="29"/>
        <v>0.81365803999999953</v>
      </c>
      <c r="DA6" s="1">
        <f t="shared" si="29"/>
        <v>2.2053805500000006</v>
      </c>
      <c r="DB6" s="1">
        <f t="shared" si="29"/>
        <v>1.2234686099999996</v>
      </c>
      <c r="DC6" s="1">
        <f t="shared" si="29"/>
        <v>13.370618389999997</v>
      </c>
      <c r="DD6" s="1">
        <f t="shared" si="29"/>
        <v>14.835861399999999</v>
      </c>
      <c r="DE6" s="1">
        <f t="shared" si="29"/>
        <v>16.749589410000009</v>
      </c>
      <c r="DF6" s="1">
        <f t="shared" si="29"/>
        <v>23.97822360000001</v>
      </c>
      <c r="DH6" s="1">
        <f t="shared" ref="DH6:DW21" si="30">+VLOOKUP(DH$1,ran_dat,$CA6,FALSE)</f>
        <v>3.7690183000000008</v>
      </c>
      <c r="DI6" s="1">
        <f t="shared" si="30"/>
        <v>4.5361736000000006</v>
      </c>
      <c r="DJ6" s="1">
        <f t="shared" si="30"/>
        <v>3.2956469100000003</v>
      </c>
      <c r="DK6" s="1">
        <f t="shared" si="30"/>
        <v>4.5516111999999991</v>
      </c>
      <c r="DL6" s="1">
        <f t="shared" si="30"/>
        <v>3.9375346699999998</v>
      </c>
      <c r="DM6" s="1">
        <f t="shared" si="30"/>
        <v>4.8118603300000009</v>
      </c>
      <c r="DN6" s="1">
        <f t="shared" si="30"/>
        <v>5.2295233099999994</v>
      </c>
      <c r="DO6" s="1">
        <f t="shared" si="30"/>
        <v>7.4159317900000001</v>
      </c>
      <c r="DP6" s="1">
        <f t="shared" si="30"/>
        <v>3.5587731599999999</v>
      </c>
      <c r="DQ6" s="1">
        <f t="shared" si="30"/>
        <v>6.9479693099999986</v>
      </c>
      <c r="DR6" s="1">
        <f t="shared" si="30"/>
        <v>7.5746309199999997</v>
      </c>
      <c r="DS6" s="1">
        <f t="shared" si="30"/>
        <v>8.1137987799999998</v>
      </c>
      <c r="DT6" s="1">
        <f t="shared" si="30"/>
        <v>9.2876289100000005</v>
      </c>
      <c r="DU6" s="1">
        <f t="shared" si="30"/>
        <v>7.69051375</v>
      </c>
      <c r="DV6" s="1">
        <f t="shared" si="30"/>
        <v>7.1486482300000009</v>
      </c>
      <c r="DW6" s="1">
        <f t="shared" si="30"/>
        <v>9.1724036200000008</v>
      </c>
      <c r="DX6" s="1">
        <f t="shared" ref="DX6:EE20" si="31">+VLOOKUP(DX$1,ran_dat,$CA6,FALSE)</f>
        <v>6.8489806600000005</v>
      </c>
      <c r="DY6" s="1">
        <f t="shared" si="31"/>
        <v>8.39418884</v>
      </c>
      <c r="DZ6" s="1">
        <f t="shared" si="31"/>
        <v>8.0897496800000006</v>
      </c>
      <c r="EA6" s="1">
        <f t="shared" si="31"/>
        <v>9.8858098699999992</v>
      </c>
      <c r="EB6" s="1">
        <f t="shared" si="31"/>
        <v>11.833805730000002</v>
      </c>
      <c r="EC6" s="1">
        <f t="shared" si="31"/>
        <v>13.016290730000001</v>
      </c>
      <c r="ED6" s="1">
        <f t="shared" si="31"/>
        <v>10.901897520000004</v>
      </c>
      <c r="EE6" s="1">
        <f t="shared" si="31"/>
        <v>10.864187659999995</v>
      </c>
      <c r="EG6" s="14">
        <f t="shared" ref="EG6:EV21" si="32">+VLOOKUP(EG$1,ran_dat,$CE6,FALSE)</f>
        <v>0</v>
      </c>
      <c r="EH6" s="14">
        <f t="shared" si="32"/>
        <v>0</v>
      </c>
      <c r="EI6" s="1">
        <f t="shared" si="32"/>
        <v>0</v>
      </c>
      <c r="EJ6" s="1">
        <f t="shared" si="32"/>
        <v>0</v>
      </c>
      <c r="EK6" s="1">
        <f t="shared" si="32"/>
        <v>0</v>
      </c>
      <c r="EL6" s="1">
        <f t="shared" si="32"/>
        <v>0</v>
      </c>
      <c r="EM6" s="1">
        <f t="shared" si="32"/>
        <v>0</v>
      </c>
      <c r="EN6" s="1">
        <f t="shared" si="32"/>
        <v>0</v>
      </c>
      <c r="EO6" s="1">
        <f t="shared" si="32"/>
        <v>0</v>
      </c>
      <c r="EP6" s="1">
        <f t="shared" si="32"/>
        <v>0</v>
      </c>
      <c r="EQ6" s="1">
        <f t="shared" si="32"/>
        <v>0</v>
      </c>
      <c r="ER6" s="1">
        <f t="shared" si="32"/>
        <v>0</v>
      </c>
      <c r="ES6" s="1">
        <f t="shared" si="32"/>
        <v>0</v>
      </c>
      <c r="ET6" s="1">
        <f t="shared" si="32"/>
        <v>0</v>
      </c>
      <c r="EU6" s="1">
        <f t="shared" si="32"/>
        <v>0</v>
      </c>
      <c r="EV6" s="1">
        <f t="shared" si="32"/>
        <v>0</v>
      </c>
      <c r="EW6" s="1">
        <f t="shared" ref="EW6:FD20" si="33">+VLOOKUP(EW$1,ran_dat,$CE6,FALSE)</f>
        <v>0</v>
      </c>
      <c r="EX6" s="1">
        <f t="shared" si="33"/>
        <v>0</v>
      </c>
      <c r="EY6" s="1">
        <f t="shared" si="33"/>
        <v>0</v>
      </c>
      <c r="EZ6" s="1">
        <f t="shared" si="33"/>
        <v>0</v>
      </c>
      <c r="FA6" s="1">
        <f t="shared" si="33"/>
        <v>0</v>
      </c>
      <c r="FB6" s="1">
        <f t="shared" si="33"/>
        <v>0</v>
      </c>
      <c r="FC6" s="1">
        <f t="shared" si="33"/>
        <v>0</v>
      </c>
      <c r="FD6" s="1">
        <f t="shared" si="33"/>
        <v>0</v>
      </c>
      <c r="FF6" s="162">
        <f t="shared" ref="FF6:FF24" si="34">+I6-K6</f>
        <v>-0.11065830549314493</v>
      </c>
    </row>
    <row r="7" spans="1:162" ht="18.75" customHeight="1">
      <c r="A7" s="244" t="s">
        <v>13</v>
      </c>
      <c r="B7" s="247"/>
      <c r="C7" s="228">
        <f t="shared" si="5"/>
        <v>-0.33</v>
      </c>
      <c r="D7" s="229">
        <v>-1</v>
      </c>
      <c r="E7" s="253">
        <f t="shared" si="6"/>
        <v>3.3484911120297722E-2</v>
      </c>
      <c r="F7" s="254">
        <f t="shared" si="7"/>
        <v>-8.2315865687256906E-3</v>
      </c>
      <c r="G7" s="253">
        <f t="shared" si="8"/>
        <v>3.5323685325035603E-2</v>
      </c>
      <c r="H7" s="254">
        <f t="shared" si="9"/>
        <v>-1.8387742047378808E-3</v>
      </c>
      <c r="I7" s="253">
        <f t="shared" si="10"/>
        <v>2.8921864357302716</v>
      </c>
      <c r="J7" s="254">
        <f t="shared" si="11"/>
        <v>0.52506810671789594</v>
      </c>
      <c r="K7" s="253">
        <f t="shared" si="12"/>
        <v>1.7060938961229732</v>
      </c>
      <c r="L7" s="254">
        <f t="shared" si="13"/>
        <v>1.1860925396072983</v>
      </c>
      <c r="M7" s="255"/>
      <c r="N7" s="256">
        <v>1</v>
      </c>
      <c r="O7" s="253">
        <f t="shared" ref="O7:O24" si="35">IFERROR(+BP7/BQ7-1,"")</f>
        <v>5.2631578947368363E-2</v>
      </c>
      <c r="P7" s="257">
        <f t="shared" ref="P7:P24" si="36">+O7</f>
        <v>5.2631578947368363E-2</v>
      </c>
      <c r="Q7" s="253">
        <f t="shared" si="14"/>
        <v>0.18181818181818188</v>
      </c>
      <c r="R7" s="257">
        <f t="shared" ref="R7:R24" si="37">+Q7</f>
        <v>0.18181818181818188</v>
      </c>
      <c r="S7" s="255"/>
      <c r="T7" s="256">
        <v>-1</v>
      </c>
      <c r="U7" s="253">
        <f t="shared" si="15"/>
        <v>-8.021557990982775E-2</v>
      </c>
      <c r="V7" s="258">
        <f t="shared" si="16"/>
        <v>-8.021557990982775E-2</v>
      </c>
      <c r="W7" s="253">
        <f t="shared" ref="W7:W24" si="38">IFERROR(IF(CB7&lt;0.5,"",+CB7/CC7-1),"")</f>
        <v>2.810439070171638</v>
      </c>
      <c r="X7" s="258">
        <f t="shared" si="17"/>
        <v>2.810439070171638</v>
      </c>
      <c r="Y7" s="253">
        <f t="shared" si="18"/>
        <v>0</v>
      </c>
      <c r="Z7" s="258">
        <f t="shared" si="19"/>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O7" s="28">
        <f>VLOOKUP($A7,historia!$A$5:$CM$24,+HLOOKUP(AO$2,historia!$A$3:$EC$4,2,FALSE),FALSE)</f>
        <v>4</v>
      </c>
      <c r="AP7" s="28">
        <f>VLOOKUP($A7,historia!$A$5:$CM$24,+HLOOKUP(AP$2,historia!$A$3:$EC$4,2,FALSE),FALSE)</f>
        <v>5</v>
      </c>
      <c r="AQ7" s="28">
        <f>VLOOKUP($A7,historia!$A$5:$CM$24,+HLOOKUP(AQ$2,historia!$A$3:$EC$4,2,FALSE),FALSE)</f>
        <v>4</v>
      </c>
      <c r="AR7" s="28">
        <f>VLOOKUP($A7,historia!$A$5:$CM$24,+HLOOKUP(AR$2,historia!$A$3:$EC$4,2,FALSE),FALSE)</f>
        <v>3</v>
      </c>
      <c r="AS7" s="58">
        <f>VLOOKUP($A7,historia!$A$5:$CM$24,+HLOOKUP(AS$2,historia!$A$3:$EC$4,2,FALSE),FALSE)</f>
        <v>2</v>
      </c>
      <c r="AT7" s="58">
        <f>VLOOKUP($A7,historia!$A$5:$CM$24,+HLOOKUP(AT$2,historia!$A$3:$EC$4,2,FALSE),FALSE)</f>
        <v>2</v>
      </c>
      <c r="AU7" s="58">
        <f>VLOOKUP($A7,historia!$A$5:$CM$24,+HLOOKUP(AU$2,historia!$A$3:$EC$4,2,FALSE),FALSE)</f>
        <v>2</v>
      </c>
      <c r="AV7" s="58">
        <f>VLOOKUP($A7,historia!$A$5:$CM$24,+HLOOKUP(AV$2,historia!$A$3:$EC$4,2,FALSE),FALSE)</f>
        <v>2</v>
      </c>
      <c r="AW7" s="58">
        <f>VLOOKUP($A7,historia!$A$5:$CM$24,+HLOOKUP(AW$2,historia!$A$3:$EC$4,2,FALSE),FALSE)</f>
        <v>2</v>
      </c>
      <c r="AX7" s="58">
        <f>VLOOKUP($A7,historia!$A$5:$CM$24,+HLOOKUP(AX$2,historia!$A$3:$EC$4,2,FALSE),FALSE)</f>
        <v>2</v>
      </c>
      <c r="AY7" s="58">
        <f>VLOOKUP($A7,historia!$A$5:$CM$24,+HLOOKUP(AY$2,historia!$A$3:$EC$4,2,FALSE),FALSE)</f>
        <v>4</v>
      </c>
      <c r="AZ7" s="58">
        <v>4</v>
      </c>
      <c r="BA7" s="30"/>
      <c r="BB7" s="141">
        <v>4</v>
      </c>
      <c r="BC7" t="str">
        <f t="shared" si="20"/>
        <v>Arroz</v>
      </c>
      <c r="BD7">
        <f>+datos!R1</f>
        <v>18</v>
      </c>
      <c r="BE7" s="2" t="str">
        <f t="shared" si="4"/>
        <v>$/t</v>
      </c>
      <c r="BF7" s="2">
        <f t="shared" si="4"/>
        <v>400000</v>
      </c>
      <c r="BG7" s="2">
        <f t="shared" si="4"/>
        <v>387040</v>
      </c>
      <c r="BH7" s="2">
        <f t="shared" si="4"/>
        <v>102770</v>
      </c>
      <c r="BJ7">
        <f>+datos!BZ1</f>
        <v>78</v>
      </c>
      <c r="BK7" s="2">
        <f t="shared" si="21"/>
        <v>8352.389967395502</v>
      </c>
      <c r="BL7" s="2">
        <f t="shared" si="21"/>
        <v>8067.4189973479688</v>
      </c>
      <c r="BM7" s="2">
        <f t="shared" si="21"/>
        <v>3086.5115136477671</v>
      </c>
      <c r="BO7" s="1">
        <f>+datos!DM1</f>
        <v>117</v>
      </c>
      <c r="BP7" s="1">
        <f t="shared" si="22"/>
        <v>200000</v>
      </c>
      <c r="BQ7" s="1">
        <f t="shared" si="22"/>
        <v>190000</v>
      </c>
      <c r="BS7" s="1">
        <f>+datos!FH1</f>
        <v>164</v>
      </c>
      <c r="BT7" s="1">
        <f t="shared" si="23"/>
        <v>1300000</v>
      </c>
      <c r="BU7" s="1">
        <f t="shared" si="23"/>
        <v>1100000</v>
      </c>
      <c r="BW7" s="1">
        <f>+datos!JG1</f>
        <v>267</v>
      </c>
      <c r="BX7" s="1">
        <f t="shared" ref="BX7:BX24" si="39">+SUM(CI7:CT7)</f>
        <v>260.68769455</v>
      </c>
      <c r="BY7" s="1">
        <f t="shared" ref="BY7:BY24" si="40">+SUM(CU7:DF7)</f>
        <v>283.42260301000005</v>
      </c>
      <c r="CA7" s="1">
        <f>+datos!KL1</f>
        <v>298</v>
      </c>
      <c r="CB7" s="2">
        <f t="shared" si="24"/>
        <v>3.1526344000000006</v>
      </c>
      <c r="CC7" s="2">
        <f t="shared" si="25"/>
        <v>0.82736775000000007</v>
      </c>
      <c r="CE7" s="1">
        <f>+datos!HU1</f>
        <v>229</v>
      </c>
      <c r="CF7" s="1">
        <f t="shared" si="26"/>
        <v>700000</v>
      </c>
      <c r="CG7" s="1">
        <f t="shared" si="27"/>
        <v>700000</v>
      </c>
      <c r="CI7" s="1">
        <f t="shared" si="28"/>
        <v>16.658344929999998</v>
      </c>
      <c r="CJ7" s="1">
        <f t="shared" si="28"/>
        <v>38.799980059999996</v>
      </c>
      <c r="CK7" s="1">
        <f t="shared" si="28"/>
        <v>35.598317799999997</v>
      </c>
      <c r="CL7" s="1">
        <f t="shared" si="28"/>
        <v>32.785113670000001</v>
      </c>
      <c r="CM7" s="1">
        <f t="shared" si="28"/>
        <v>22.35722878</v>
      </c>
      <c r="CN7" s="1">
        <f t="shared" si="28"/>
        <v>34.376458229999997</v>
      </c>
      <c r="CO7" s="1">
        <f t="shared" si="28"/>
        <v>13.355622539999999</v>
      </c>
      <c r="CP7" s="1">
        <f t="shared" si="28"/>
        <v>10.68224592</v>
      </c>
      <c r="CQ7" s="1">
        <f t="shared" si="28"/>
        <v>15.82785018</v>
      </c>
      <c r="CR7" s="1">
        <f t="shared" si="28"/>
        <v>16.180063639999997</v>
      </c>
      <c r="CS7" s="1">
        <f t="shared" si="28"/>
        <v>11.823193960000001</v>
      </c>
      <c r="CT7" s="1">
        <f t="shared" si="28"/>
        <v>12.24327484</v>
      </c>
      <c r="CU7" s="1">
        <f t="shared" si="28"/>
        <v>9.600226039999999</v>
      </c>
      <c r="CV7" s="1">
        <f t="shared" si="28"/>
        <v>26.338491399999999</v>
      </c>
      <c r="CW7" s="1">
        <f t="shared" si="28"/>
        <v>21.418726320000001</v>
      </c>
      <c r="CX7" s="1">
        <f t="shared" si="28"/>
        <v>22.255101539999998</v>
      </c>
      <c r="CY7" s="1">
        <f t="shared" si="29"/>
        <v>44.848914040000004</v>
      </c>
      <c r="CZ7" s="1">
        <f t="shared" si="29"/>
        <v>20.357260950000001</v>
      </c>
      <c r="DA7" s="1">
        <f t="shared" si="29"/>
        <v>17.134564559999998</v>
      </c>
      <c r="DB7" s="1">
        <f t="shared" si="29"/>
        <v>28.8463791</v>
      </c>
      <c r="DC7" s="1">
        <f t="shared" si="29"/>
        <v>29.656605189999997</v>
      </c>
      <c r="DD7" s="1">
        <f t="shared" si="29"/>
        <v>22.47426432</v>
      </c>
      <c r="DE7" s="1">
        <f t="shared" si="29"/>
        <v>15.997414339999999</v>
      </c>
      <c r="DF7" s="1">
        <f t="shared" si="29"/>
        <v>24.494655209999998</v>
      </c>
      <c r="DH7" s="1">
        <f t="shared" si="30"/>
        <v>0.23587240000000001</v>
      </c>
      <c r="DI7" s="1">
        <f t="shared" si="30"/>
        <v>0.18557204999999999</v>
      </c>
      <c r="DJ7" s="1">
        <f t="shared" si="30"/>
        <v>0.48301414000000004</v>
      </c>
      <c r="DK7" s="1">
        <f t="shared" si="30"/>
        <v>0.23845672000000001</v>
      </c>
      <c r="DL7" s="1">
        <f t="shared" si="30"/>
        <v>0.50080292000000004</v>
      </c>
      <c r="DM7" s="1">
        <f t="shared" si="30"/>
        <v>8.6091799999999996E-2</v>
      </c>
      <c r="DN7" s="1">
        <f t="shared" si="30"/>
        <v>0.22536</v>
      </c>
      <c r="DO7" s="1">
        <f t="shared" si="30"/>
        <v>0.8256</v>
      </c>
      <c r="DP7" s="1">
        <f t="shared" si="30"/>
        <v>3.973985E-2</v>
      </c>
      <c r="DQ7" s="1">
        <f t="shared" si="30"/>
        <v>3.3462720000000001E-2</v>
      </c>
      <c r="DR7" s="1">
        <f t="shared" si="30"/>
        <v>0.19098301000000001</v>
      </c>
      <c r="DS7" s="1">
        <f t="shared" si="30"/>
        <v>0.10767879</v>
      </c>
      <c r="DT7" s="1">
        <f t="shared" si="30"/>
        <v>5.5773490000000002E-2</v>
      </c>
      <c r="DU7" s="1">
        <f t="shared" si="30"/>
        <v>8.7189080000000002E-2</v>
      </c>
      <c r="DV7" s="1">
        <f t="shared" si="30"/>
        <v>3.9243889999999997E-2</v>
      </c>
      <c r="DW7" s="1">
        <f t="shared" si="30"/>
        <v>0.10892111</v>
      </c>
      <c r="DX7" s="1">
        <f t="shared" si="31"/>
        <v>1.8036480000000001E-2</v>
      </c>
      <c r="DY7" s="1">
        <f t="shared" si="31"/>
        <v>2.0500000000000002E-3</v>
      </c>
      <c r="DZ7" s="1">
        <f t="shared" si="31"/>
        <v>1.0492100000000001E-3</v>
      </c>
      <c r="EA7" s="1">
        <f t="shared" si="31"/>
        <v>2.7127990000000001E-2</v>
      </c>
      <c r="EB7" s="1">
        <f t="shared" si="31"/>
        <v>2.9352990000000002E-2</v>
      </c>
      <c r="EC7" s="1">
        <f t="shared" si="31"/>
        <v>4.3800639999999995E-2</v>
      </c>
      <c r="ED7" s="1">
        <f t="shared" si="31"/>
        <v>2.6976839999999998E-2</v>
      </c>
      <c r="EE7" s="1">
        <f t="shared" si="31"/>
        <v>0.38784603000000006</v>
      </c>
      <c r="EG7" s="14">
        <f t="shared" si="32"/>
        <v>700000</v>
      </c>
      <c r="EH7" s="14">
        <f t="shared" si="32"/>
        <v>700000</v>
      </c>
      <c r="EI7" s="1">
        <f t="shared" si="32"/>
        <v>700000</v>
      </c>
      <c r="EJ7" s="1">
        <f t="shared" si="32"/>
        <v>700000</v>
      </c>
      <c r="EK7" s="1">
        <f t="shared" si="32"/>
        <v>700000</v>
      </c>
      <c r="EL7" s="1">
        <f t="shared" si="32"/>
        <v>700000</v>
      </c>
      <c r="EM7" s="1">
        <f t="shared" si="32"/>
        <v>700000</v>
      </c>
      <c r="EN7" s="1">
        <f t="shared" si="32"/>
        <v>700000</v>
      </c>
      <c r="EO7" s="1">
        <f t="shared" si="32"/>
        <v>700000</v>
      </c>
      <c r="EP7" s="1">
        <f t="shared" si="32"/>
        <v>700000</v>
      </c>
      <c r="EQ7" s="1">
        <f t="shared" si="32"/>
        <v>700000</v>
      </c>
      <c r="ER7" s="1">
        <f t="shared" si="32"/>
        <v>700000</v>
      </c>
      <c r="ES7" s="1">
        <f t="shared" si="32"/>
        <v>700000</v>
      </c>
      <c r="ET7" s="1">
        <f t="shared" si="32"/>
        <v>700000</v>
      </c>
      <c r="EU7" s="1">
        <f t="shared" si="32"/>
        <v>700000</v>
      </c>
      <c r="EV7" s="1">
        <f t="shared" si="32"/>
        <v>700000</v>
      </c>
      <c r="EW7" s="1">
        <f t="shared" si="33"/>
        <v>700000</v>
      </c>
      <c r="EX7" s="1">
        <f t="shared" si="33"/>
        <v>700000</v>
      </c>
      <c r="EY7" s="1">
        <f t="shared" si="33"/>
        <v>650000</v>
      </c>
      <c r="EZ7" s="1">
        <f t="shared" si="33"/>
        <v>650000</v>
      </c>
      <c r="FA7" s="1">
        <f t="shared" si="33"/>
        <v>650000</v>
      </c>
      <c r="FB7" s="1">
        <f t="shared" si="33"/>
        <v>650000</v>
      </c>
      <c r="FC7" s="1">
        <f t="shared" si="33"/>
        <v>650000</v>
      </c>
      <c r="FD7" s="1">
        <f t="shared" si="33"/>
        <v>650000</v>
      </c>
      <c r="FF7" s="162">
        <f t="shared" si="34"/>
        <v>1.1860925396072983</v>
      </c>
    </row>
    <row r="8" spans="1:162" ht="18.75" customHeight="1">
      <c r="A8" s="243" t="s">
        <v>215</v>
      </c>
      <c r="B8" s="246"/>
      <c r="C8" s="156">
        <f t="shared" si="5"/>
        <v>-0.33</v>
      </c>
      <c r="D8" s="198">
        <v>0</v>
      </c>
      <c r="E8" s="248">
        <f t="shared" si="6"/>
        <v>0.1092223956906484</v>
      </c>
      <c r="F8" s="249">
        <f t="shared" si="7"/>
        <v>6.7505898001624987E-2</v>
      </c>
      <c r="G8" s="248">
        <f t="shared" si="8"/>
        <v>8.800570150228948E-3</v>
      </c>
      <c r="H8" s="249">
        <f t="shared" si="9"/>
        <v>0.10042182554041945</v>
      </c>
      <c r="I8" s="248">
        <f t="shared" si="10"/>
        <v>1.2442901028449311</v>
      </c>
      <c r="J8" s="249">
        <f t="shared" si="11"/>
        <v>-1.1228282261674445</v>
      </c>
      <c r="K8" s="248">
        <f t="shared" si="12"/>
        <v>1.5667120673863488</v>
      </c>
      <c r="L8" s="249">
        <f t="shared" si="13"/>
        <v>-0.32242196454141769</v>
      </c>
      <c r="M8" s="250"/>
      <c r="N8" s="24">
        <v>0</v>
      </c>
      <c r="O8" s="248">
        <f t="shared" si="35"/>
        <v>-1.9365250134480871E-2</v>
      </c>
      <c r="P8" s="251">
        <f t="shared" si="36"/>
        <v>-1.9365250134480871E-2</v>
      </c>
      <c r="Q8" s="248">
        <f t="shared" si="14"/>
        <v>-1.1174703324336011E-2</v>
      </c>
      <c r="R8" s="251">
        <f t="shared" si="37"/>
        <v>-1.1174703324336011E-2</v>
      </c>
      <c r="S8" s="250"/>
      <c r="T8" s="24">
        <v>-1</v>
      </c>
      <c r="U8" s="248">
        <f t="shared" si="15"/>
        <v>-0.19003277717056122</v>
      </c>
      <c r="V8" s="252">
        <f t="shared" si="16"/>
        <v>-0.19003277717056122</v>
      </c>
      <c r="W8" s="248">
        <f t="shared" si="38"/>
        <v>-0.133315042804517</v>
      </c>
      <c r="X8" s="252">
        <f t="shared" si="17"/>
        <v>-0.133315042804517</v>
      </c>
      <c r="Y8" s="248">
        <f t="shared" si="18"/>
        <v>-1.5187676285528418E-2</v>
      </c>
      <c r="Z8" s="252">
        <f t="shared" si="19"/>
        <v>-1.5187676285528418E-2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O8" s="28">
        <f>VLOOKUP($A8,historia!$A$5:$CM$24,+HLOOKUP(AO$2,historia!$A$3:$EC$4,2,FALSE),FALSE)</f>
        <v>4</v>
      </c>
      <c r="AP8" s="28">
        <f>VLOOKUP($A8,historia!$A$5:$CM$24,+HLOOKUP(AP$2,historia!$A$3:$EC$4,2,FALSE),FALSE)</f>
        <v>4</v>
      </c>
      <c r="AQ8" s="28">
        <f>VLOOKUP($A8,historia!$A$5:$CM$24,+HLOOKUP(AQ$2,historia!$A$3:$EC$4,2,FALSE),FALSE)</f>
        <v>4</v>
      </c>
      <c r="AR8" s="28">
        <f>VLOOKUP($A8,historia!$A$5:$CM$24,+HLOOKUP(AR$2,historia!$A$3:$EC$4,2,FALSE),FALSE)</f>
        <v>5</v>
      </c>
      <c r="AS8" s="58">
        <f>VLOOKUP($A8,historia!$A$5:$CM$24,+HLOOKUP(AS$2,historia!$A$3:$EC$4,2,FALSE),FALSE)</f>
        <v>2</v>
      </c>
      <c r="AT8" s="58">
        <f>VLOOKUP($A8,historia!$A$5:$CM$24,+HLOOKUP(AT$2,historia!$A$3:$EC$4,2,FALSE),FALSE)</f>
        <v>1</v>
      </c>
      <c r="AU8" s="58">
        <f>VLOOKUP($A8,historia!$A$5:$CM$24,+HLOOKUP(AU$2,historia!$A$3:$EC$4,2,FALSE),FALSE)</f>
        <v>1</v>
      </c>
      <c r="AV8" s="58">
        <f>VLOOKUP($A8,historia!$A$5:$CM$24,+HLOOKUP(AV$2,historia!$A$3:$EC$4,2,FALSE),FALSE)</f>
        <v>2</v>
      </c>
      <c r="AW8" s="58">
        <f>VLOOKUP($A8,historia!$A$5:$CM$24,+HLOOKUP(AW$2,historia!$A$3:$EC$4,2,FALSE),FALSE)</f>
        <v>3</v>
      </c>
      <c r="AX8" s="58">
        <f>VLOOKUP($A8,historia!$A$5:$CM$24,+HLOOKUP(AX$2,historia!$A$3:$EC$4,2,FALSE),FALSE)</f>
        <v>3</v>
      </c>
      <c r="AY8" s="58">
        <f>VLOOKUP($A8,historia!$A$5:$CM$24,+HLOOKUP(AY$2,historia!$A$3:$EC$4,2,FALSE),FALSE)</f>
        <v>3</v>
      </c>
      <c r="AZ8" s="58">
        <v>3</v>
      </c>
      <c r="BA8" s="30"/>
      <c r="BB8" s="141">
        <v>3</v>
      </c>
      <c r="BC8" t="str">
        <f t="shared" si="20"/>
        <v>Aves</v>
      </c>
      <c r="BD8">
        <f>+datos!BQ1</f>
        <v>69</v>
      </c>
      <c r="BE8" s="2" t="str">
        <f t="shared" si="4"/>
        <v>prom pond huevo-carne</v>
      </c>
      <c r="BF8" s="2">
        <f t="shared" si="4"/>
        <v>1680.3000000000002</v>
      </c>
      <c r="BG8" s="2">
        <f t="shared" si="4"/>
        <v>1514.845</v>
      </c>
      <c r="BH8" s="2">
        <f t="shared" si="4"/>
        <v>748.7</v>
      </c>
      <c r="BJ8">
        <f>+datos!DG1</f>
        <v>111</v>
      </c>
      <c r="BK8" s="2">
        <f t="shared" si="21"/>
        <v>7650.7129987727476</v>
      </c>
      <c r="BL8" s="2">
        <f t="shared" si="21"/>
        <v>7583.9697410494282</v>
      </c>
      <c r="BM8" s="2">
        <f t="shared" si="21"/>
        <v>2980.7445470747225</v>
      </c>
      <c r="BO8" s="1">
        <f>+datos!EP1</f>
        <v>146</v>
      </c>
      <c r="BP8" s="1">
        <f t="shared" si="22"/>
        <v>9115</v>
      </c>
      <c r="BQ8" s="1">
        <f t="shared" si="22"/>
        <v>9295</v>
      </c>
      <c r="BS8" s="1">
        <f>+datos!HM1</f>
        <v>221</v>
      </c>
      <c r="BT8" s="1">
        <f t="shared" si="23"/>
        <v>2353324.9022992868</v>
      </c>
      <c r="BU8" s="1">
        <f t="shared" si="23"/>
        <v>2379919.7999999998</v>
      </c>
      <c r="BW8" s="1">
        <f>+datos!KF1</f>
        <v>292</v>
      </c>
      <c r="BX8" s="1">
        <f t="shared" si="39"/>
        <v>358.57130321999995</v>
      </c>
      <c r="BY8" s="1">
        <f t="shared" si="40"/>
        <v>442.69853533999998</v>
      </c>
      <c r="CA8" s="1">
        <f>+datos!LK1</f>
        <v>323</v>
      </c>
      <c r="CB8" s="2">
        <f t="shared" si="24"/>
        <v>36.180800049999995</v>
      </c>
      <c r="CC8" s="2">
        <f t="shared" si="25"/>
        <v>41.746195950000001</v>
      </c>
      <c r="CE8" s="1">
        <f>+datos!IL1</f>
        <v>246</v>
      </c>
      <c r="CF8" s="1">
        <f t="shared" si="26"/>
        <v>45.39</v>
      </c>
      <c r="CG8" s="1">
        <f t="shared" si="27"/>
        <v>46.09</v>
      </c>
      <c r="CI8" s="1">
        <f t="shared" si="28"/>
        <v>20.944876220000001</v>
      </c>
      <c r="CJ8" s="1">
        <f t="shared" si="28"/>
        <v>23.157032140000002</v>
      </c>
      <c r="CK8" s="1">
        <f t="shared" si="28"/>
        <v>19.314763240000005</v>
      </c>
      <c r="CL8" s="1">
        <f t="shared" si="28"/>
        <v>22.778743510000002</v>
      </c>
      <c r="CM8" s="1">
        <f t="shared" si="28"/>
        <v>39.062197300000001</v>
      </c>
      <c r="CN8" s="1">
        <f t="shared" si="28"/>
        <v>40.013868680000002</v>
      </c>
      <c r="CO8" s="1">
        <f t="shared" si="28"/>
        <v>35.607742460000011</v>
      </c>
      <c r="CP8" s="1">
        <f t="shared" si="28"/>
        <v>32.51792974</v>
      </c>
      <c r="CQ8" s="1">
        <f t="shared" si="28"/>
        <v>35.210116300000003</v>
      </c>
      <c r="CR8" s="1">
        <f t="shared" si="28"/>
        <v>30.603465830000005</v>
      </c>
      <c r="CS8" s="1">
        <f t="shared" si="28"/>
        <v>35.017556320000004</v>
      </c>
      <c r="CT8" s="1">
        <f t="shared" si="28"/>
        <v>24.343011479999998</v>
      </c>
      <c r="CU8" s="1">
        <f t="shared" si="28"/>
        <v>32.053320659999997</v>
      </c>
      <c r="CV8" s="1">
        <f t="shared" si="28"/>
        <v>25.827296739999998</v>
      </c>
      <c r="CW8" s="1">
        <f t="shared" si="28"/>
        <v>20.281404040000002</v>
      </c>
      <c r="CX8" s="1">
        <f t="shared" si="28"/>
        <v>20.776878260000004</v>
      </c>
      <c r="CY8" s="1">
        <f t="shared" si="29"/>
        <v>18.00257775</v>
      </c>
      <c r="CZ8" s="1">
        <f t="shared" si="29"/>
        <v>18.061317600000002</v>
      </c>
      <c r="DA8" s="1">
        <f t="shared" si="29"/>
        <v>50.712421620000008</v>
      </c>
      <c r="DB8" s="1">
        <f t="shared" si="29"/>
        <v>45.90045215</v>
      </c>
      <c r="DC8" s="1">
        <f t="shared" si="29"/>
        <v>47.273016750000004</v>
      </c>
      <c r="DD8" s="1">
        <f t="shared" si="29"/>
        <v>53.715518810000006</v>
      </c>
      <c r="DE8" s="1">
        <f t="shared" si="29"/>
        <v>52.265948369999997</v>
      </c>
      <c r="DF8" s="1">
        <f t="shared" si="29"/>
        <v>57.828382590000011</v>
      </c>
      <c r="DH8" s="1">
        <f t="shared" si="30"/>
        <v>2.1766254799999998</v>
      </c>
      <c r="DI8" s="1">
        <f t="shared" si="30"/>
        <v>1.5903026900000001</v>
      </c>
      <c r="DJ8" s="1">
        <f t="shared" si="30"/>
        <v>5.6916922899999998</v>
      </c>
      <c r="DK8" s="1">
        <f t="shared" si="30"/>
        <v>1.7294530099999998</v>
      </c>
      <c r="DL8" s="1">
        <f t="shared" si="30"/>
        <v>4.2232492399999995</v>
      </c>
      <c r="DM8" s="1">
        <f t="shared" si="30"/>
        <v>1.27466579</v>
      </c>
      <c r="DN8" s="1">
        <f t="shared" si="30"/>
        <v>1.8857013599999999</v>
      </c>
      <c r="DO8" s="1">
        <f t="shared" si="30"/>
        <v>4.07849503</v>
      </c>
      <c r="DP8" s="1">
        <f t="shared" si="30"/>
        <v>2.60999925</v>
      </c>
      <c r="DQ8" s="1">
        <f t="shared" si="30"/>
        <v>4.3280037599999996</v>
      </c>
      <c r="DR8" s="1">
        <f t="shared" si="30"/>
        <v>3.9253711099999995</v>
      </c>
      <c r="DS8" s="1">
        <f t="shared" si="30"/>
        <v>2.66724104</v>
      </c>
      <c r="DT8" s="1">
        <f t="shared" si="30"/>
        <v>1.3237541899999998</v>
      </c>
      <c r="DU8" s="1">
        <f t="shared" si="30"/>
        <v>4.0034089300000009</v>
      </c>
      <c r="DV8" s="1">
        <f t="shared" si="30"/>
        <v>4.2620939999999994</v>
      </c>
      <c r="DW8" s="1">
        <f t="shared" si="30"/>
        <v>6.8027163900000005</v>
      </c>
      <c r="DX8" s="1">
        <f t="shared" si="31"/>
        <v>1.73014019</v>
      </c>
      <c r="DY8" s="1">
        <f t="shared" si="31"/>
        <v>6.4691643499999998</v>
      </c>
      <c r="DZ8" s="1">
        <f t="shared" si="31"/>
        <v>1.80858622</v>
      </c>
      <c r="EA8" s="1">
        <f t="shared" si="31"/>
        <v>3.7432468400000003</v>
      </c>
      <c r="EB8" s="1">
        <f t="shared" si="31"/>
        <v>0.59472115000000003</v>
      </c>
      <c r="EC8" s="1">
        <f t="shared" si="31"/>
        <v>5.9863547400000003</v>
      </c>
      <c r="ED8" s="1">
        <f t="shared" si="31"/>
        <v>1.02297792</v>
      </c>
      <c r="EE8" s="1">
        <f t="shared" si="31"/>
        <v>3.9990310300000003</v>
      </c>
      <c r="EG8" s="14">
        <f t="shared" si="32"/>
        <v>45.39</v>
      </c>
      <c r="EH8" s="14">
        <f t="shared" si="32"/>
        <v>45.32</v>
      </c>
      <c r="EI8" s="1">
        <f t="shared" si="32"/>
        <v>44.85</v>
      </c>
      <c r="EJ8" s="1">
        <f t="shared" si="32"/>
        <v>45.52</v>
      </c>
      <c r="EK8" s="1">
        <f t="shared" si="32"/>
        <v>46.23</v>
      </c>
      <c r="EL8" s="1">
        <f t="shared" si="32"/>
        <v>46.23</v>
      </c>
      <c r="EM8" s="1">
        <f t="shared" si="32"/>
        <v>46.23</v>
      </c>
      <c r="EN8" s="1">
        <f t="shared" si="32"/>
        <v>48.52</v>
      </c>
      <c r="EO8" s="1">
        <f t="shared" si="32"/>
        <v>45.85</v>
      </c>
      <c r="EP8" s="1">
        <f t="shared" si="32"/>
        <v>46.03</v>
      </c>
      <c r="EQ8" s="1">
        <f t="shared" si="32"/>
        <v>46.13</v>
      </c>
      <c r="ER8" s="1">
        <f t="shared" si="32"/>
        <v>45.88</v>
      </c>
      <c r="ES8" s="1">
        <f t="shared" si="32"/>
        <v>46.09</v>
      </c>
      <c r="ET8" s="1">
        <f t="shared" si="32"/>
        <v>45.9</v>
      </c>
      <c r="EU8" s="1">
        <f t="shared" si="32"/>
        <v>46</v>
      </c>
      <c r="EV8" s="1">
        <f t="shared" si="32"/>
        <v>45.99</v>
      </c>
      <c r="EW8" s="1">
        <f t="shared" si="33"/>
        <v>45.74</v>
      </c>
      <c r="EX8" s="1">
        <f t="shared" si="33"/>
        <v>45.46</v>
      </c>
      <c r="EY8" s="1">
        <f t="shared" si="33"/>
        <v>45.56</v>
      </c>
      <c r="EZ8" s="1">
        <f t="shared" si="33"/>
        <v>45.71</v>
      </c>
      <c r="FA8" s="1">
        <f t="shared" si="33"/>
        <v>45.71</v>
      </c>
      <c r="FB8" s="1">
        <f t="shared" si="33"/>
        <v>46.04</v>
      </c>
      <c r="FC8" s="1">
        <f t="shared" si="33"/>
        <v>45.9</v>
      </c>
      <c r="FD8" s="1">
        <f t="shared" si="33"/>
        <v>48.39</v>
      </c>
      <c r="FF8" s="162">
        <f t="shared" si="34"/>
        <v>-0.32242196454141769</v>
      </c>
    </row>
    <row r="9" spans="1:162" ht="18.75" customHeight="1">
      <c r="A9" s="244" t="s">
        <v>77</v>
      </c>
      <c r="B9" s="247"/>
      <c r="C9" s="228">
        <v>0</v>
      </c>
      <c r="D9" s="229">
        <v>1</v>
      </c>
      <c r="E9" s="253">
        <f t="shared" si="6"/>
        <v>3.2572864388287215E-2</v>
      </c>
      <c r="F9" s="254">
        <f t="shared" si="7"/>
        <v>-9.1436333007361981E-3</v>
      </c>
      <c r="G9" s="253">
        <f t="shared" si="8"/>
        <v>2.1120149972474245E-2</v>
      </c>
      <c r="H9" s="254">
        <f t="shared" si="9"/>
        <v>1.145271441581297E-2</v>
      </c>
      <c r="I9" s="253">
        <f t="shared" si="10"/>
        <v>2.0962168925792861</v>
      </c>
      <c r="J9" s="254">
        <f t="shared" si="11"/>
        <v>-0.2709014364330895</v>
      </c>
      <c r="K9" s="253">
        <f t="shared" si="12"/>
        <v>1.6822564167438627</v>
      </c>
      <c r="L9" s="254">
        <f t="shared" si="13"/>
        <v>0.41396047583542339</v>
      </c>
      <c r="M9" s="255"/>
      <c r="N9" s="256">
        <v>-1</v>
      </c>
      <c r="O9" s="253">
        <f t="shared" si="35"/>
        <v>-2.6892205286269899E-2</v>
      </c>
      <c r="P9" s="257">
        <f t="shared" si="36"/>
        <v>-2.6892205286269899E-2</v>
      </c>
      <c r="Q9" s="253">
        <f t="shared" si="14"/>
        <v>-5.8210402224821656E-2</v>
      </c>
      <c r="R9" s="257">
        <f t="shared" si="37"/>
        <v>-5.8210402224821656E-2</v>
      </c>
      <c r="S9" s="255"/>
      <c r="T9" s="256">
        <v>0</v>
      </c>
      <c r="U9" s="253">
        <f t="shared" si="15"/>
        <v>-7.2925770224589903E-2</v>
      </c>
      <c r="V9" s="258">
        <f t="shared" si="16"/>
        <v>-7.2925770224589903E-2</v>
      </c>
      <c r="W9" s="253">
        <f t="shared" si="38"/>
        <v>-0.36574901440006735</v>
      </c>
      <c r="X9" s="258">
        <f t="shared" si="17"/>
        <v>-0.36574901440006735</v>
      </c>
      <c r="Y9" s="253">
        <f t="shared" si="18"/>
        <v>-6.6666666666666652E-2</v>
      </c>
      <c r="Z9" s="258">
        <f t="shared" si="19"/>
        <v>-6.6666666666666652E-2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O9" s="28">
        <f>VLOOKUP($A9,historia!$A$5:$CM$24,+HLOOKUP(AO$2,historia!$A$3:$EC$4,2,FALSE),FALSE)</f>
        <v>4</v>
      </c>
      <c r="AP9" s="28">
        <f>VLOOKUP($A9,historia!$A$5:$CM$24,+HLOOKUP(AP$2,historia!$A$3:$EC$4,2,FALSE),FALSE)</f>
        <v>3</v>
      </c>
      <c r="AQ9" s="28">
        <f>VLOOKUP($A9,historia!$A$5:$CM$24,+HLOOKUP(AQ$2,historia!$A$3:$EC$4,2,FALSE),FALSE)</f>
        <v>3</v>
      </c>
      <c r="AR9" s="28">
        <f>VLOOKUP($A9,historia!$A$5:$CM$24,+HLOOKUP(AR$2,historia!$A$3:$EC$4,2,FALSE),FALSE)</f>
        <v>3</v>
      </c>
      <c r="AS9" s="58">
        <f>VLOOKUP($A9,historia!$A$5:$CM$24,+HLOOKUP(AS$2,historia!$A$3:$EC$4,2,FALSE),FALSE)</f>
        <v>2</v>
      </c>
      <c r="AT9" s="58">
        <f>VLOOKUP($A9,historia!$A$5:$CM$24,+HLOOKUP(AT$2,historia!$A$3:$EC$4,2,FALSE),FALSE)</f>
        <v>2</v>
      </c>
      <c r="AU9" s="58">
        <f>VLOOKUP($A9,historia!$A$5:$CM$24,+HLOOKUP(AU$2,historia!$A$3:$EC$4,2,FALSE),FALSE)</f>
        <v>2</v>
      </c>
      <c r="AV9" s="58">
        <f>VLOOKUP($A9,historia!$A$5:$CM$24,+HLOOKUP(AV$2,historia!$A$3:$EC$4,2,FALSE),FALSE)</f>
        <v>4</v>
      </c>
      <c r="AW9" s="58">
        <f>VLOOKUP($A9,historia!$A$5:$CM$24,+HLOOKUP(AW$2,historia!$A$3:$EC$4,2,FALSE),FALSE)</f>
        <v>4</v>
      </c>
      <c r="AX9" s="58">
        <f>VLOOKUP($A9,historia!$A$5:$CM$24,+HLOOKUP(AX$2,historia!$A$3:$EC$4,2,FALSE),FALSE)</f>
        <v>3</v>
      </c>
      <c r="AY9" s="58">
        <f>VLOOKUP($A9,historia!$A$5:$CM$24,+HLOOKUP(AY$2,historia!$A$3:$EC$4,2,FALSE),FALSE)</f>
        <v>3</v>
      </c>
      <c r="AZ9" s="58">
        <v>3</v>
      </c>
      <c r="BA9" s="30"/>
      <c r="BB9" s="141">
        <v>3</v>
      </c>
      <c r="BC9" t="str">
        <f t="shared" si="20"/>
        <v>Bovinos</v>
      </c>
      <c r="BD9">
        <f>+datos!BM1</f>
        <v>65</v>
      </c>
      <c r="BE9" s="2" t="str">
        <f t="shared" si="4"/>
        <v>$/kg</v>
      </c>
      <c r="BF9" s="2">
        <f t="shared" si="4"/>
        <v>2256.7039999999997</v>
      </c>
      <c r="BG9" s="2">
        <f t="shared" si="4"/>
        <v>2185.5155</v>
      </c>
      <c r="BH9" s="2">
        <f t="shared" si="4"/>
        <v>728.85850000000005</v>
      </c>
      <c r="BJ9">
        <f>+datos!DB1</f>
        <v>106</v>
      </c>
      <c r="BK9" s="2">
        <f t="shared" si="21"/>
        <v>8391.6321391465408</v>
      </c>
      <c r="BL9" s="2">
        <f t="shared" si="21"/>
        <v>8218.0653661302731</v>
      </c>
      <c r="BM9" s="2">
        <f t="shared" si="21"/>
        <v>3128.5719317370858</v>
      </c>
      <c r="BO9" s="1">
        <f>+datos!EH1</f>
        <v>138</v>
      </c>
      <c r="BP9" s="1">
        <f t="shared" si="22"/>
        <v>52783892</v>
      </c>
      <c r="BQ9" s="1">
        <f t="shared" si="22"/>
        <v>54242595</v>
      </c>
      <c r="BS9" s="1">
        <f>+datos!HB1</f>
        <v>210</v>
      </c>
      <c r="BT9" s="1">
        <f t="shared" si="23"/>
        <v>3103710</v>
      </c>
      <c r="BU9" s="1">
        <f t="shared" si="23"/>
        <v>3295545</v>
      </c>
      <c r="BW9" s="1">
        <f>+datos!KG1</f>
        <v>293</v>
      </c>
      <c r="BX9" s="1">
        <f t="shared" si="39"/>
        <v>3847.0265476299992</v>
      </c>
      <c r="BY9" s="1">
        <f t="shared" si="40"/>
        <v>4149.6424170499995</v>
      </c>
      <c r="CA9" s="1">
        <f>+datos!LL1</f>
        <v>324</v>
      </c>
      <c r="CB9" s="2">
        <f t="shared" si="24"/>
        <v>33.640811970000001</v>
      </c>
      <c r="CC9" s="2">
        <f t="shared" si="25"/>
        <v>53.04022024999999</v>
      </c>
      <c r="CE9" s="1">
        <f>+datos!IM1</f>
        <v>247</v>
      </c>
      <c r="CF9" s="1">
        <f t="shared" si="26"/>
        <v>47.74</v>
      </c>
      <c r="CG9" s="1">
        <f t="shared" si="27"/>
        <v>51.15</v>
      </c>
      <c r="CI9" s="1">
        <f t="shared" si="28"/>
        <v>370.00520762000008</v>
      </c>
      <c r="CJ9" s="1">
        <f t="shared" si="28"/>
        <v>307.7105307999999</v>
      </c>
      <c r="CK9" s="1">
        <f t="shared" si="28"/>
        <v>311.98041742999999</v>
      </c>
      <c r="CL9" s="1">
        <f t="shared" si="28"/>
        <v>309.32423856999998</v>
      </c>
      <c r="CM9" s="1">
        <f t="shared" si="28"/>
        <v>316.28118749999999</v>
      </c>
      <c r="CN9" s="1">
        <f t="shared" si="28"/>
        <v>350.14414257999977</v>
      </c>
      <c r="CO9" s="1">
        <f t="shared" si="28"/>
        <v>342.85888695999995</v>
      </c>
      <c r="CP9" s="1">
        <f t="shared" si="28"/>
        <v>324.84866957999998</v>
      </c>
      <c r="CQ9" s="1">
        <f t="shared" si="28"/>
        <v>325.97502911999987</v>
      </c>
      <c r="CR9" s="1">
        <f t="shared" si="28"/>
        <v>321.39038838999994</v>
      </c>
      <c r="CS9" s="1">
        <f t="shared" si="28"/>
        <v>273.58963931999995</v>
      </c>
      <c r="CT9" s="1">
        <f t="shared" si="28"/>
        <v>292.91820976000002</v>
      </c>
      <c r="CU9" s="1">
        <f t="shared" si="28"/>
        <v>371.72573624</v>
      </c>
      <c r="CV9" s="1">
        <f t="shared" si="28"/>
        <v>378.12790802000001</v>
      </c>
      <c r="CW9" s="1">
        <f t="shared" si="28"/>
        <v>308.34921994000001</v>
      </c>
      <c r="CX9" s="1">
        <f t="shared" si="28"/>
        <v>390.63577031</v>
      </c>
      <c r="CY9" s="1">
        <f t="shared" si="29"/>
        <v>337.45013477999998</v>
      </c>
      <c r="CZ9" s="1">
        <f t="shared" si="29"/>
        <v>339.25205494000011</v>
      </c>
      <c r="DA9" s="1">
        <f t="shared" si="29"/>
        <v>296.44265344999985</v>
      </c>
      <c r="DB9" s="1">
        <f t="shared" si="29"/>
        <v>285.75014393999987</v>
      </c>
      <c r="DC9" s="1">
        <f t="shared" si="29"/>
        <v>285.58164063999999</v>
      </c>
      <c r="DD9" s="1">
        <f t="shared" si="29"/>
        <v>342.68232461000008</v>
      </c>
      <c r="DE9" s="1">
        <f t="shared" si="29"/>
        <v>391.68086485999982</v>
      </c>
      <c r="DF9" s="1">
        <f t="shared" si="29"/>
        <v>421.96396532</v>
      </c>
      <c r="DH9" s="1">
        <f t="shared" si="30"/>
        <v>3.5031505699999994</v>
      </c>
      <c r="DI9" s="1">
        <f t="shared" si="30"/>
        <v>3.9954732900000005</v>
      </c>
      <c r="DJ9" s="1">
        <f t="shared" si="30"/>
        <v>2.3751918999999999</v>
      </c>
      <c r="DK9" s="1">
        <f t="shared" si="30"/>
        <v>3.3189943100000003</v>
      </c>
      <c r="DL9" s="1">
        <f t="shared" si="30"/>
        <v>3.6004889900000006</v>
      </c>
      <c r="DM9" s="1">
        <f t="shared" si="30"/>
        <v>2.2940615100000001</v>
      </c>
      <c r="DN9" s="1">
        <f t="shared" si="30"/>
        <v>1.2696953500000001</v>
      </c>
      <c r="DO9" s="1">
        <f t="shared" si="30"/>
        <v>1.4792882700000001</v>
      </c>
      <c r="DP9" s="1">
        <f t="shared" si="30"/>
        <v>3.3410357400000001</v>
      </c>
      <c r="DQ9" s="1">
        <f t="shared" si="30"/>
        <v>3.5927978000000009</v>
      </c>
      <c r="DR9" s="1">
        <f t="shared" si="30"/>
        <v>2.53051044</v>
      </c>
      <c r="DS9" s="1">
        <f t="shared" si="30"/>
        <v>2.3401237999999998</v>
      </c>
      <c r="DT9" s="1">
        <f t="shared" si="30"/>
        <v>2.4632922899999996</v>
      </c>
      <c r="DU9" s="1">
        <f t="shared" si="30"/>
        <v>3.8179622399999995</v>
      </c>
      <c r="DV9" s="1">
        <f t="shared" si="30"/>
        <v>3.8355995800000002</v>
      </c>
      <c r="DW9" s="1">
        <f t="shared" si="30"/>
        <v>7.3409295600000002</v>
      </c>
      <c r="DX9" s="1">
        <f t="shared" si="31"/>
        <v>3.8261937100000005</v>
      </c>
      <c r="DY9" s="1">
        <f t="shared" si="31"/>
        <v>5.3486285699999998</v>
      </c>
      <c r="DZ9" s="1">
        <f t="shared" si="31"/>
        <v>4.398381099999999</v>
      </c>
      <c r="EA9" s="1">
        <f t="shared" si="31"/>
        <v>4.3987828499999999</v>
      </c>
      <c r="EB9" s="1">
        <f t="shared" si="31"/>
        <v>1.58647798</v>
      </c>
      <c r="EC9" s="1">
        <f t="shared" si="31"/>
        <v>2.6207546900000001</v>
      </c>
      <c r="ED9" s="1">
        <f t="shared" si="31"/>
        <v>6.877667439999998</v>
      </c>
      <c r="EE9" s="1">
        <f t="shared" si="31"/>
        <v>6.5255502400000012</v>
      </c>
      <c r="EG9" s="14">
        <f t="shared" si="32"/>
        <v>47.74</v>
      </c>
      <c r="EH9" s="14">
        <f t="shared" si="32"/>
        <v>47.8</v>
      </c>
      <c r="EI9" s="1">
        <f t="shared" si="32"/>
        <v>47.58</v>
      </c>
      <c r="EJ9" s="1">
        <f t="shared" si="32"/>
        <v>49.18</v>
      </c>
      <c r="EK9" s="1">
        <f t="shared" si="32"/>
        <v>49.37</v>
      </c>
      <c r="EL9" s="1">
        <f t="shared" si="32"/>
        <v>49.38</v>
      </c>
      <c r="EM9" s="1">
        <f t="shared" si="32"/>
        <v>51.48</v>
      </c>
      <c r="EN9" s="1">
        <f t="shared" si="32"/>
        <v>52.06</v>
      </c>
      <c r="EO9" s="1">
        <f t="shared" si="32"/>
        <v>42.59</v>
      </c>
      <c r="EP9" s="1">
        <f t="shared" si="32"/>
        <v>51.3</v>
      </c>
      <c r="EQ9" s="1">
        <f t="shared" si="32"/>
        <v>51.15</v>
      </c>
      <c r="ER9" s="1">
        <f t="shared" si="32"/>
        <v>51.01</v>
      </c>
      <c r="ES9" s="1">
        <f t="shared" si="32"/>
        <v>51.15</v>
      </c>
      <c r="ET9" s="1">
        <f t="shared" si="32"/>
        <v>51.72</v>
      </c>
      <c r="EU9" s="1">
        <f t="shared" si="32"/>
        <v>51.32</v>
      </c>
      <c r="EV9" s="1">
        <f t="shared" si="32"/>
        <v>50.44</v>
      </c>
      <c r="EW9" s="1">
        <f t="shared" si="33"/>
        <v>50.29</v>
      </c>
      <c r="EX9" s="1">
        <f t="shared" si="33"/>
        <v>50.29</v>
      </c>
      <c r="EY9" s="1">
        <f t="shared" si="33"/>
        <v>49.14</v>
      </c>
      <c r="EZ9" s="1">
        <f t="shared" si="33"/>
        <v>48.66</v>
      </c>
      <c r="FA9" s="1">
        <f t="shared" si="33"/>
        <v>48.66</v>
      </c>
      <c r="FB9" s="1">
        <f t="shared" si="33"/>
        <v>48.3</v>
      </c>
      <c r="FC9" s="1">
        <f t="shared" si="33"/>
        <v>48.39</v>
      </c>
      <c r="FD9" s="1">
        <f t="shared" si="33"/>
        <v>48.62</v>
      </c>
      <c r="FF9" s="162">
        <f t="shared" si="34"/>
        <v>0.41396047583542339</v>
      </c>
    </row>
    <row r="10" spans="1:162" ht="18.600000000000001" customHeight="1">
      <c r="A10" s="263" t="s">
        <v>221</v>
      </c>
      <c r="B10" s="246"/>
      <c r="C10" s="156">
        <f t="shared" si="5"/>
        <v>0</v>
      </c>
      <c r="D10" s="198">
        <v>-1</v>
      </c>
      <c r="E10" s="248">
        <f t="shared" si="6"/>
        <v>-0.19055325666210199</v>
      </c>
      <c r="F10" s="249">
        <f t="shared" si="7"/>
        <v>-0.2322697543511254</v>
      </c>
      <c r="G10" s="248">
        <f t="shared" si="8"/>
        <v>-7.3624646945380512E-4</v>
      </c>
      <c r="H10" s="249">
        <f t="shared" si="9"/>
        <v>-0.18981701019264818</v>
      </c>
      <c r="I10" s="248">
        <f t="shared" si="10"/>
        <v>0.78536177418692588</v>
      </c>
      <c r="J10" s="249">
        <f t="shared" si="11"/>
        <v>-1.5817565548254497</v>
      </c>
      <c r="K10" s="248">
        <f t="shared" si="12"/>
        <v>1.560292504746847</v>
      </c>
      <c r="L10" s="249">
        <f t="shared" si="13"/>
        <v>-0.77493073055992112</v>
      </c>
      <c r="M10" s="250"/>
      <c r="N10" s="24">
        <v>0</v>
      </c>
      <c r="O10" s="248">
        <f t="shared" si="35"/>
        <v>4.1543620801842707E-3</v>
      </c>
      <c r="P10" s="251">
        <f t="shared" si="36"/>
        <v>4.1543620801842707E-3</v>
      </c>
      <c r="Q10" s="248">
        <f t="shared" si="14"/>
        <v>0.10798722044728426</v>
      </c>
      <c r="R10" s="251">
        <f t="shared" si="37"/>
        <v>0.10798722044728426</v>
      </c>
      <c r="S10" s="250"/>
      <c r="T10" s="24">
        <v>1</v>
      </c>
      <c r="U10" s="248">
        <f t="shared" si="15"/>
        <v>0.47846027832539839</v>
      </c>
      <c r="V10" s="252">
        <f t="shared" si="16"/>
        <v>0.47846027832539839</v>
      </c>
      <c r="W10" s="248">
        <f t="shared" si="38"/>
        <v>3.9889786284514006E-2</v>
      </c>
      <c r="X10" s="252">
        <f t="shared" si="17"/>
        <v>3.9889786284514006E-2</v>
      </c>
      <c r="Y10" s="248">
        <f t="shared" si="18"/>
        <v>-0.11904761904761896</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O10" s="28">
        <f>VLOOKUP($A10,historia!$A$5:$CM$24,+HLOOKUP(AO$2,historia!$A$3:$EC$4,2,FALSE),FALSE)</f>
        <v>4</v>
      </c>
      <c r="AP10" s="28">
        <f>VLOOKUP($A10,historia!$A$5:$CM$24,+HLOOKUP(AP$2,historia!$A$3:$EC$4,2,FALSE),FALSE)</f>
        <v>4</v>
      </c>
      <c r="AQ10" s="28">
        <f>VLOOKUP($A10,historia!$A$5:$CM$24,+HLOOKUP(AQ$2,historia!$A$3:$EC$4,2,FALSE),FALSE)</f>
        <v>4</v>
      </c>
      <c r="AR10" s="28">
        <f>VLOOKUP($A10,historia!$A$5:$CM$24,+HLOOKUP(AR$2,historia!$A$3:$EC$4,2,FALSE),FALSE)</f>
        <v>5</v>
      </c>
      <c r="AS10" s="58">
        <f>VLOOKUP($A10,historia!$A$5:$CM$24,+HLOOKUP(AS$2,historia!$A$3:$EC$4,2,FALSE),FALSE)</f>
        <v>3</v>
      </c>
      <c r="AT10" s="58">
        <f>VLOOKUP($A10,historia!$A$5:$CM$24,+HLOOKUP(AT$2,historia!$A$3:$EC$4,2,FALSE),FALSE)</f>
        <v>3</v>
      </c>
      <c r="AU10" s="58">
        <f>VLOOKUP($A10,historia!$A$5:$CM$24,+HLOOKUP(AU$2,historia!$A$3:$EC$4,2,FALSE),FALSE)</f>
        <v>4</v>
      </c>
      <c r="AV10" s="58">
        <f>VLOOKUP($A10,historia!$A$5:$CM$24,+HLOOKUP(AV$2,historia!$A$3:$EC$4,2,FALSE),FALSE)</f>
        <v>4</v>
      </c>
      <c r="AW10" s="58">
        <f>VLOOKUP($A10,historia!$A$5:$CM$24,+HLOOKUP(AW$2,historia!$A$3:$EC$4,2,FALSE),FALSE)</f>
        <v>5</v>
      </c>
      <c r="AX10" s="58">
        <f>VLOOKUP($A10,historia!$A$5:$CM$24,+HLOOKUP(AX$2,historia!$A$3:$EC$4,2,FALSE),FALSE)</f>
        <v>4</v>
      </c>
      <c r="AY10" s="58">
        <f>VLOOKUP($A10,historia!$A$5:$CM$24,+HLOOKUP(AY$2,historia!$A$3:$EC$4,2,FALSE),FALSE)</f>
        <v>4</v>
      </c>
      <c r="AZ10" s="58">
        <v>4</v>
      </c>
      <c r="BA10" s="30"/>
      <c r="BB10" s="141">
        <v>4</v>
      </c>
      <c r="BC10" t="str">
        <f t="shared" si="20"/>
        <v>Cítricos Dulces</v>
      </c>
      <c r="BD10">
        <f>+datos!AU1</f>
        <v>47</v>
      </c>
      <c r="BE10" s="2" t="str">
        <f t="shared" si="4"/>
        <v>$/caja 18kg</v>
      </c>
      <c r="BF10" s="2">
        <f t="shared" si="4"/>
        <v>7539.6396969696971</v>
      </c>
      <c r="BG10" s="2">
        <f t="shared" si="4"/>
        <v>9314.5593073593063</v>
      </c>
      <c r="BH10" s="2">
        <f t="shared" si="4"/>
        <v>4223.0318840579721</v>
      </c>
      <c r="BJ10">
        <f>+datos!CX1</f>
        <v>102</v>
      </c>
      <c r="BK10" s="2">
        <f t="shared" si="21"/>
        <v>7779.6927943544933</v>
      </c>
      <c r="BL10" s="2">
        <f t="shared" si="21"/>
        <v>7785.4247858662857</v>
      </c>
      <c r="BM10" s="2">
        <f t="shared" si="21"/>
        <v>3038.5953089073791</v>
      </c>
      <c r="BO10" s="1">
        <f>+datos!ER1</f>
        <v>148</v>
      </c>
      <c r="BP10" s="1">
        <f t="shared" si="22"/>
        <v>80248</v>
      </c>
      <c r="BQ10" s="1">
        <f t="shared" si="22"/>
        <v>79916</v>
      </c>
      <c r="BS10" s="1">
        <f>+datos!GH1</f>
        <v>190</v>
      </c>
      <c r="BT10" s="1">
        <f t="shared" si="23"/>
        <v>1734000</v>
      </c>
      <c r="BU10" s="1">
        <f t="shared" si="23"/>
        <v>1565000</v>
      </c>
      <c r="BW10" s="1">
        <f>+datos!LT1</f>
        <v>332</v>
      </c>
      <c r="BX10" s="1">
        <f t="shared" si="39"/>
        <v>66.503922439999997</v>
      </c>
      <c r="BY10" s="1">
        <f t="shared" si="40"/>
        <v>44.981879739999997</v>
      </c>
      <c r="BZ10" s="1"/>
      <c r="CA10" s="1">
        <f>+datos!LX1</f>
        <v>336</v>
      </c>
      <c r="CB10" s="2">
        <f t="shared" si="24"/>
        <v>4.5499423500000002</v>
      </c>
      <c r="CC10" s="2">
        <f t="shared" si="25"/>
        <v>4.3754082500000004</v>
      </c>
      <c r="CE10" s="1">
        <f>+datos!IV1</f>
        <v>256</v>
      </c>
      <c r="CF10" s="1">
        <f t="shared" si="26"/>
        <v>17.39</v>
      </c>
      <c r="CG10" s="1">
        <f t="shared" si="27"/>
        <v>19.739999999999998</v>
      </c>
      <c r="CI10" s="1">
        <f t="shared" si="28"/>
        <v>10.271936310000001</v>
      </c>
      <c r="CJ10" s="1">
        <f t="shared" si="28"/>
        <v>14.041262509999999</v>
      </c>
      <c r="CK10" s="1">
        <f t="shared" si="28"/>
        <v>6.1015489199999999</v>
      </c>
      <c r="CL10" s="1">
        <f t="shared" si="28"/>
        <v>2.3063176799999998</v>
      </c>
      <c r="CM10" s="1">
        <f t="shared" si="28"/>
        <v>3.2785219999999997</v>
      </c>
      <c r="CN10" s="1">
        <f t="shared" si="28"/>
        <v>2.8661316999999999</v>
      </c>
      <c r="CO10" s="1">
        <f t="shared" si="28"/>
        <v>3.3581509099999995</v>
      </c>
      <c r="CP10" s="1">
        <f t="shared" si="28"/>
        <v>4.3519123000000004</v>
      </c>
      <c r="CQ10" s="1">
        <f t="shared" si="28"/>
        <v>3.6482140500000004</v>
      </c>
      <c r="CR10" s="1">
        <f t="shared" si="28"/>
        <v>7.8852843799999999</v>
      </c>
      <c r="CS10" s="1">
        <f t="shared" si="28"/>
        <v>4.4927710999999997</v>
      </c>
      <c r="CT10" s="1">
        <f t="shared" si="28"/>
        <v>3.9018705800000002</v>
      </c>
      <c r="CU10" s="1">
        <f t="shared" si="28"/>
        <v>10.723855849999996</v>
      </c>
      <c r="CV10" s="1">
        <f t="shared" si="28"/>
        <v>7.5775361799999992</v>
      </c>
      <c r="CW10" s="1">
        <f t="shared" si="28"/>
        <v>1.25129154</v>
      </c>
      <c r="CX10" s="1">
        <f t="shared" si="28"/>
        <v>0.77785399999999993</v>
      </c>
      <c r="CY10" s="1">
        <f t="shared" si="29"/>
        <v>1.96707276</v>
      </c>
      <c r="CZ10" s="1">
        <f t="shared" si="29"/>
        <v>1.7333935799999998</v>
      </c>
      <c r="DA10" s="1">
        <f t="shared" si="29"/>
        <v>4.5063326699999999</v>
      </c>
      <c r="DB10" s="1">
        <f t="shared" si="29"/>
        <v>2.6066778199999998</v>
      </c>
      <c r="DC10" s="1">
        <f t="shared" si="29"/>
        <v>1.98627314</v>
      </c>
      <c r="DD10" s="1">
        <f t="shared" si="29"/>
        <v>2.7714215800000002</v>
      </c>
      <c r="DE10" s="1">
        <f t="shared" si="29"/>
        <v>4.7911063299999999</v>
      </c>
      <c r="DF10" s="1">
        <f t="shared" si="29"/>
        <v>4.2890642899999998</v>
      </c>
      <c r="DH10" s="1">
        <f t="shared" si="30"/>
        <v>7.2500000000000004E-3</v>
      </c>
      <c r="DI10" s="1">
        <f t="shared" si="30"/>
        <v>0.23680799999999999</v>
      </c>
      <c r="DJ10" s="1">
        <f t="shared" si="30"/>
        <v>0</v>
      </c>
      <c r="DK10" s="1">
        <f t="shared" si="30"/>
        <v>0.3075099</v>
      </c>
      <c r="DL10" s="1">
        <f t="shared" si="30"/>
        <v>0.82950560000000007</v>
      </c>
      <c r="DM10" s="1">
        <f t="shared" si="30"/>
        <v>1.06715808</v>
      </c>
      <c r="DN10" s="1">
        <f t="shared" si="30"/>
        <v>0.57276656999999997</v>
      </c>
      <c r="DO10" s="1">
        <f t="shared" si="30"/>
        <v>0.50591796999999994</v>
      </c>
      <c r="DP10" s="1">
        <f t="shared" si="30"/>
        <v>0.37369366000000004</v>
      </c>
      <c r="DQ10" s="1">
        <f t="shared" si="30"/>
        <v>1.8223369999999999E-2</v>
      </c>
      <c r="DR10" s="1">
        <f t="shared" si="30"/>
        <v>0.26981320000000003</v>
      </c>
      <c r="DS10" s="1">
        <f t="shared" si="30"/>
        <v>0.36129600000000001</v>
      </c>
      <c r="DT10" s="1">
        <f t="shared" si="30"/>
        <v>3.0606999999999997E-4</v>
      </c>
      <c r="DU10" s="1">
        <f t="shared" si="30"/>
        <v>0.33402694999999999</v>
      </c>
      <c r="DV10" s="1">
        <f t="shared" si="30"/>
        <v>0</v>
      </c>
      <c r="DW10" s="1">
        <f t="shared" si="30"/>
        <v>0.31172668999999997</v>
      </c>
      <c r="DX10" s="1">
        <f t="shared" si="31"/>
        <v>1.32104435</v>
      </c>
      <c r="DY10" s="1">
        <f t="shared" si="31"/>
        <v>1.2081202200000001</v>
      </c>
      <c r="DZ10" s="1">
        <f t="shared" si="31"/>
        <v>0.6520337100000001</v>
      </c>
      <c r="EA10" s="1">
        <f t="shared" si="31"/>
        <v>0.45880662999999999</v>
      </c>
      <c r="EB10" s="1">
        <f t="shared" si="31"/>
        <v>0</v>
      </c>
      <c r="EC10" s="1">
        <f t="shared" si="31"/>
        <v>4.77876E-2</v>
      </c>
      <c r="ED10" s="1">
        <f t="shared" si="31"/>
        <v>1.4227200000000001E-2</v>
      </c>
      <c r="EE10" s="1">
        <f t="shared" si="31"/>
        <v>2.7328829999999998E-2</v>
      </c>
      <c r="EG10" s="14">
        <f t="shared" si="32"/>
        <v>17.39</v>
      </c>
      <c r="EH10" s="14">
        <f t="shared" si="32"/>
        <v>17.39</v>
      </c>
      <c r="EI10" s="1">
        <f t="shared" si="32"/>
        <v>17.39</v>
      </c>
      <c r="EJ10" s="1">
        <f t="shared" si="32"/>
        <v>17.39</v>
      </c>
      <c r="EK10" s="1">
        <f t="shared" si="32"/>
        <v>17.39</v>
      </c>
      <c r="EL10" s="1">
        <f t="shared" si="32"/>
        <v>17.39</v>
      </c>
      <c r="EM10" s="1">
        <f t="shared" si="32"/>
        <v>17.39</v>
      </c>
      <c r="EN10" s="1">
        <f t="shared" si="32"/>
        <v>17.39</v>
      </c>
      <c r="EO10" s="1">
        <f t="shared" si="32"/>
        <v>19.739999999999998</v>
      </c>
      <c r="EP10" s="1">
        <f t="shared" si="32"/>
        <v>19.739999999999998</v>
      </c>
      <c r="EQ10" s="1">
        <f t="shared" si="32"/>
        <v>19.739999999999998</v>
      </c>
      <c r="ER10" s="1">
        <f t="shared" si="32"/>
        <v>19.739999999999998</v>
      </c>
      <c r="ES10" s="1">
        <f t="shared" si="32"/>
        <v>19.739999999999998</v>
      </c>
      <c r="ET10" s="1">
        <f t="shared" si="32"/>
        <v>19.739999999999998</v>
      </c>
      <c r="EU10" s="1">
        <f t="shared" si="32"/>
        <v>19.739999999999998</v>
      </c>
      <c r="EV10" s="1">
        <f t="shared" si="32"/>
        <v>19.739999999999998</v>
      </c>
      <c r="EW10" s="1">
        <f t="shared" si="33"/>
        <v>19.739999999999998</v>
      </c>
      <c r="EX10" s="1">
        <f t="shared" si="33"/>
        <v>19.739999999999998</v>
      </c>
      <c r="EY10" s="1">
        <f t="shared" si="33"/>
        <v>19.739999999999998</v>
      </c>
      <c r="EZ10" s="1">
        <f t="shared" si="33"/>
        <v>19.739999999999998</v>
      </c>
      <c r="FA10" s="1">
        <f t="shared" si="33"/>
        <v>18.77</v>
      </c>
      <c r="FB10" s="1">
        <f t="shared" si="33"/>
        <v>18.77</v>
      </c>
      <c r="FC10" s="1">
        <f t="shared" si="33"/>
        <v>18.77</v>
      </c>
      <c r="FD10" s="1">
        <f t="shared" si="33"/>
        <v>18.77</v>
      </c>
      <c r="FF10" s="162">
        <f t="shared" si="34"/>
        <v>-0.77493073055992112</v>
      </c>
    </row>
    <row r="11" spans="1:162" ht="18.75" customHeight="1">
      <c r="A11" s="244" t="s">
        <v>116</v>
      </c>
      <c r="B11" s="247"/>
      <c r="C11" s="228">
        <f t="shared" si="5"/>
        <v>-0.33</v>
      </c>
      <c r="D11" s="229">
        <v>1</v>
      </c>
      <c r="E11" s="253">
        <f t="shared" si="6"/>
        <v>1.5600609866773141E-2</v>
      </c>
      <c r="F11" s="254">
        <f t="shared" si="7"/>
        <v>-2.6115887822250272E-2</v>
      </c>
      <c r="G11" s="253">
        <f t="shared" si="8"/>
        <v>2.9789475524222508E-2</v>
      </c>
      <c r="H11" s="254">
        <f t="shared" si="9"/>
        <v>-1.4188865657449368E-2</v>
      </c>
      <c r="I11" s="253">
        <f t="shared" si="10"/>
        <v>2.8354405814468371</v>
      </c>
      <c r="J11" s="254">
        <f t="shared" si="11"/>
        <v>0.46832225243446146</v>
      </c>
      <c r="K11" s="253">
        <f t="shared" si="12"/>
        <v>1.9646539144348325</v>
      </c>
      <c r="L11" s="254">
        <f t="shared" si="13"/>
        <v>0.87078666701200458</v>
      </c>
      <c r="M11" s="255"/>
      <c r="N11" s="256"/>
      <c r="O11" s="253" t="str">
        <f t="shared" si="35"/>
        <v/>
      </c>
      <c r="P11" s="257" t="str">
        <f t="shared" si="36"/>
        <v/>
      </c>
      <c r="Q11" s="253">
        <f t="shared" si="14"/>
        <v>0</v>
      </c>
      <c r="R11" s="257">
        <f t="shared" si="37"/>
        <v>0</v>
      </c>
      <c r="S11" s="255"/>
      <c r="T11" s="24">
        <v>-2</v>
      </c>
      <c r="U11" s="253">
        <f t="shared" si="15"/>
        <v>-0.12546166726073416</v>
      </c>
      <c r="V11" s="258">
        <f t="shared" si="16"/>
        <v>-0.12546166726073416</v>
      </c>
      <c r="W11" s="253">
        <f t="shared" si="38"/>
        <v>-0.40623692235415909</v>
      </c>
      <c r="X11" s="258">
        <f t="shared" si="17"/>
        <v>-0.40623692235415909</v>
      </c>
      <c r="Y11" s="253" t="str">
        <f t="shared" si="18"/>
        <v/>
      </c>
      <c r="Z11" s="258" t="str">
        <f t="shared" si="19"/>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O11" s="28">
        <f>VLOOKUP($A11,historia!$A$5:$CM$24,+HLOOKUP(AO$2,historia!$A$3:$EC$4,2,FALSE),FALSE)</f>
        <v>4</v>
      </c>
      <c r="AP11" s="28">
        <f>VLOOKUP($A11,historia!$A$5:$CM$24,+HLOOKUP(AP$2,historia!$A$3:$EC$4,2,FALSE),FALSE)</f>
        <v>4</v>
      </c>
      <c r="AQ11" s="28">
        <f>VLOOKUP($A11,historia!$A$5:$CM$24,+HLOOKUP(AQ$2,historia!$A$3:$EC$4,2,FALSE),FALSE)</f>
        <v>4</v>
      </c>
      <c r="AR11" s="28">
        <f>VLOOKUP($A11,historia!$A$5:$CM$24,+HLOOKUP(AR$2,historia!$A$3:$EC$4,2,FALSE),FALSE)</f>
        <v>4</v>
      </c>
      <c r="AS11" s="58">
        <f>VLOOKUP($A11,historia!$A$5:$CM$24,+HLOOKUP(AS$2,historia!$A$3:$EC$4,2,FALSE),FALSE)</f>
        <v>3</v>
      </c>
      <c r="AT11" s="58">
        <f>VLOOKUP($A11,historia!$A$5:$CM$24,+HLOOKUP(AT$2,historia!$A$3:$EC$4,2,FALSE),FALSE)</f>
        <v>3</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4</v>
      </c>
      <c r="AY11" s="58">
        <f>VLOOKUP($A11,historia!$A$5:$CM$24,+HLOOKUP(AY$2,historia!$A$3:$EC$4,2,FALSE),FALSE)</f>
        <v>4</v>
      </c>
      <c r="AZ11" s="58">
        <v>4</v>
      </c>
      <c r="BA11" s="30"/>
      <c r="BB11" s="141">
        <v>4</v>
      </c>
      <c r="BC11" t="str">
        <f t="shared" si="20"/>
        <v>Forestal</v>
      </c>
      <c r="BD11">
        <f>+datos!BG1</f>
        <v>59</v>
      </c>
      <c r="BE11" s="2" t="str">
        <f t="shared" si="4"/>
        <v>$/t</v>
      </c>
      <c r="BF11" s="2">
        <f t="shared" si="4"/>
        <v>27976.75</v>
      </c>
      <c r="BG11" s="2">
        <f t="shared" si="4"/>
        <v>27547</v>
      </c>
      <c r="BH11" s="2">
        <f t="shared" si="4"/>
        <v>7294.2728236572957</v>
      </c>
      <c r="BJ11">
        <f>+datos!CZ1</f>
        <v>104</v>
      </c>
      <c r="BK11" s="2">
        <f t="shared" si="21"/>
        <v>10287.627287185227</v>
      </c>
      <c r="BL11" s="2">
        <f t="shared" si="21"/>
        <v>9990.0295465228246</v>
      </c>
      <c r="BM11" s="2">
        <f t="shared" si="21"/>
        <v>3470.0938403282094</v>
      </c>
      <c r="BO11" s="1">
        <f>+datos!ES1</f>
        <v>149</v>
      </c>
      <c r="BP11" s="1">
        <f t="shared" si="22"/>
        <v>0</v>
      </c>
      <c r="BQ11" s="1">
        <f t="shared" si="22"/>
        <v>0</v>
      </c>
      <c r="BS11" s="1">
        <f>+datos!GI1</f>
        <v>191</v>
      </c>
      <c r="BT11" s="1">
        <f t="shared" si="23"/>
        <v>1302556</v>
      </c>
      <c r="BU11" s="1">
        <f t="shared" si="23"/>
        <v>1302556</v>
      </c>
      <c r="BW11" s="1">
        <f>+datos!KB1</f>
        <v>288</v>
      </c>
      <c r="BX11" s="1">
        <f t="shared" si="39"/>
        <v>274.59451860000001</v>
      </c>
      <c r="BY11" s="1">
        <f t="shared" si="40"/>
        <v>313.98797321999996</v>
      </c>
      <c r="CA11" s="1">
        <f>+datos!LG1</f>
        <v>319</v>
      </c>
      <c r="CB11" s="2">
        <f t="shared" si="24"/>
        <v>170.59296363999999</v>
      </c>
      <c r="CC11" s="2">
        <f t="shared" si="25"/>
        <v>287.30813696999996</v>
      </c>
      <c r="CE11" s="1">
        <f>+datos!IW1</f>
        <v>257</v>
      </c>
      <c r="CF11" s="1">
        <f t="shared" si="26"/>
        <v>0</v>
      </c>
      <c r="CG11" s="1">
        <f t="shared" si="27"/>
        <v>0</v>
      </c>
      <c r="CI11" s="1">
        <f t="shared" si="28"/>
        <v>13.62277192</v>
      </c>
      <c r="CJ11" s="1">
        <f t="shared" si="28"/>
        <v>18.147427050000005</v>
      </c>
      <c r="CK11" s="1">
        <f t="shared" si="28"/>
        <v>16.38459563</v>
      </c>
      <c r="CL11" s="1">
        <f t="shared" si="28"/>
        <v>19.29025034</v>
      </c>
      <c r="CM11" s="1">
        <f t="shared" si="28"/>
        <v>32.635385889999995</v>
      </c>
      <c r="CN11" s="1">
        <f t="shared" si="28"/>
        <v>26.653198490000001</v>
      </c>
      <c r="CO11" s="1">
        <f t="shared" si="28"/>
        <v>23.932255000000001</v>
      </c>
      <c r="CP11" s="1">
        <f t="shared" si="28"/>
        <v>23.104867779999999</v>
      </c>
      <c r="CQ11" s="1">
        <f t="shared" si="28"/>
        <v>24.797754910000005</v>
      </c>
      <c r="CR11" s="1">
        <f t="shared" si="28"/>
        <v>26.00374025</v>
      </c>
      <c r="CS11" s="1">
        <f t="shared" si="28"/>
        <v>24.373047020000001</v>
      </c>
      <c r="CT11" s="1">
        <f t="shared" si="28"/>
        <v>25.649224320000002</v>
      </c>
      <c r="CU11" s="1">
        <f t="shared" si="28"/>
        <v>23.667757810000001</v>
      </c>
      <c r="CV11" s="1">
        <f t="shared" si="28"/>
        <v>25.088845019999997</v>
      </c>
      <c r="CW11" s="1">
        <f t="shared" si="28"/>
        <v>26.5668471</v>
      </c>
      <c r="CX11" s="1">
        <f t="shared" si="28"/>
        <v>23.814064600000002</v>
      </c>
      <c r="CY11" s="1">
        <f t="shared" si="29"/>
        <v>20.56411928</v>
      </c>
      <c r="CZ11" s="1">
        <f t="shared" si="29"/>
        <v>19.140443850000004</v>
      </c>
      <c r="DA11" s="1">
        <f t="shared" si="29"/>
        <v>31.026984670000001</v>
      </c>
      <c r="DB11" s="1">
        <f t="shared" si="29"/>
        <v>29.568283169999997</v>
      </c>
      <c r="DC11" s="1">
        <f t="shared" si="29"/>
        <v>27.46490245</v>
      </c>
      <c r="DD11" s="1">
        <f t="shared" si="29"/>
        <v>28.769997110000002</v>
      </c>
      <c r="DE11" s="1">
        <f t="shared" si="29"/>
        <v>29.99355989</v>
      </c>
      <c r="DF11" s="1">
        <f t="shared" si="29"/>
        <v>28.322168269999992</v>
      </c>
      <c r="DH11" s="1">
        <f t="shared" si="30"/>
        <v>10.998476289999999</v>
      </c>
      <c r="DI11" s="1">
        <f t="shared" si="30"/>
        <v>11.46589975</v>
      </c>
      <c r="DJ11" s="1">
        <f t="shared" si="30"/>
        <v>13.53170609</v>
      </c>
      <c r="DK11" s="1">
        <f t="shared" si="30"/>
        <v>19.941855059999995</v>
      </c>
      <c r="DL11" s="1">
        <f t="shared" si="30"/>
        <v>17.561880160000001</v>
      </c>
      <c r="DM11" s="1">
        <f t="shared" si="30"/>
        <v>14.580088280000002</v>
      </c>
      <c r="DN11" s="1">
        <f t="shared" si="30"/>
        <v>13.107541810000001</v>
      </c>
      <c r="DO11" s="1">
        <f t="shared" si="30"/>
        <v>9.0834929199999994</v>
      </c>
      <c r="DP11" s="1">
        <f t="shared" si="30"/>
        <v>9.5859924200000002</v>
      </c>
      <c r="DQ11" s="1">
        <f t="shared" si="30"/>
        <v>12.114691449999999</v>
      </c>
      <c r="DR11" s="1">
        <f t="shared" si="30"/>
        <v>21.937746180000001</v>
      </c>
      <c r="DS11" s="1">
        <f t="shared" si="30"/>
        <v>16.68359323</v>
      </c>
      <c r="DT11" s="1">
        <f t="shared" si="30"/>
        <v>23.390239519999994</v>
      </c>
      <c r="DU11" s="1">
        <f t="shared" si="30"/>
        <v>24.97777258</v>
      </c>
      <c r="DV11" s="1">
        <f t="shared" si="30"/>
        <v>25.979397770000002</v>
      </c>
      <c r="DW11" s="1">
        <f t="shared" si="30"/>
        <v>26.663923630000003</v>
      </c>
      <c r="DX11" s="1">
        <f t="shared" si="31"/>
        <v>25.77809422</v>
      </c>
      <c r="DY11" s="1">
        <f t="shared" si="31"/>
        <v>30.845388820000004</v>
      </c>
      <c r="DZ11" s="1">
        <f t="shared" si="31"/>
        <v>19.314417040000002</v>
      </c>
      <c r="EA11" s="1">
        <f t="shared" si="31"/>
        <v>23.096508839999995</v>
      </c>
      <c r="EB11" s="1">
        <f t="shared" si="31"/>
        <v>19.891111379999998</v>
      </c>
      <c r="EC11" s="1">
        <f t="shared" si="31"/>
        <v>18.931102379999999</v>
      </c>
      <c r="ED11" s="1">
        <f t="shared" si="31"/>
        <v>26.50290536</v>
      </c>
      <c r="EE11" s="1">
        <f t="shared" si="31"/>
        <v>21.937275429999996</v>
      </c>
      <c r="EG11" s="14">
        <f t="shared" si="32"/>
        <v>0</v>
      </c>
      <c r="EH11" s="14">
        <f t="shared" si="32"/>
        <v>0</v>
      </c>
      <c r="EI11" s="1">
        <f t="shared" si="32"/>
        <v>0</v>
      </c>
      <c r="EJ11" s="1">
        <f t="shared" si="32"/>
        <v>0</v>
      </c>
      <c r="EK11" s="1">
        <f t="shared" si="32"/>
        <v>0</v>
      </c>
      <c r="EL11" s="1">
        <f t="shared" si="32"/>
        <v>0</v>
      </c>
      <c r="EM11" s="1">
        <f t="shared" si="32"/>
        <v>0</v>
      </c>
      <c r="EN11" s="1">
        <f t="shared" si="32"/>
        <v>0</v>
      </c>
      <c r="EO11" s="1">
        <f t="shared" si="32"/>
        <v>0</v>
      </c>
      <c r="EP11" s="1">
        <f t="shared" si="32"/>
        <v>0</v>
      </c>
      <c r="EQ11" s="1">
        <f t="shared" si="32"/>
        <v>0</v>
      </c>
      <c r="ER11" s="1">
        <f t="shared" si="32"/>
        <v>0</v>
      </c>
      <c r="ES11" s="1">
        <f t="shared" si="32"/>
        <v>0</v>
      </c>
      <c r="ET11" s="1">
        <f t="shared" si="32"/>
        <v>0</v>
      </c>
      <c r="EU11" s="1">
        <f t="shared" si="32"/>
        <v>0</v>
      </c>
      <c r="EV11" s="1">
        <f t="shared" si="32"/>
        <v>0</v>
      </c>
      <c r="EW11" s="1">
        <f t="shared" si="33"/>
        <v>0</v>
      </c>
      <c r="EX11" s="1">
        <f t="shared" si="33"/>
        <v>0</v>
      </c>
      <c r="EY11" s="1">
        <f t="shared" si="33"/>
        <v>0</v>
      </c>
      <c r="EZ11" s="1">
        <f t="shared" si="33"/>
        <v>0</v>
      </c>
      <c r="FA11" s="1">
        <f t="shared" si="33"/>
        <v>0</v>
      </c>
      <c r="FB11" s="1">
        <f t="shared" si="33"/>
        <v>0</v>
      </c>
      <c r="FC11" s="1">
        <f t="shared" si="33"/>
        <v>0</v>
      </c>
      <c r="FD11" s="1">
        <f t="shared" si="33"/>
        <v>0</v>
      </c>
      <c r="FF11" s="162">
        <f t="shared" si="34"/>
        <v>0.87078666701200458</v>
      </c>
    </row>
    <row r="12" spans="1:162" ht="18.75" customHeight="1">
      <c r="A12" s="243" t="s">
        <v>216</v>
      </c>
      <c r="B12" s="246"/>
      <c r="C12" s="156">
        <f t="shared" si="5"/>
        <v>-0.33</v>
      </c>
      <c r="D12" s="198">
        <v>-1</v>
      </c>
      <c r="E12" s="248">
        <f t="shared" si="6"/>
        <v>5.2954615348463019E-2</v>
      </c>
      <c r="F12" s="249">
        <f t="shared" si="7"/>
        <v>1.1238117659439606E-2</v>
      </c>
      <c r="G12" s="248">
        <f t="shared" si="8"/>
        <v>4.1408705548431346E-2</v>
      </c>
      <c r="H12" s="249">
        <f t="shared" si="9"/>
        <v>1.1545909800031673E-2</v>
      </c>
      <c r="I12" s="248">
        <f t="shared" si="10"/>
        <v>1.4654552794392042</v>
      </c>
      <c r="J12" s="249">
        <f t="shared" si="11"/>
        <v>-0.90166304957317145</v>
      </c>
      <c r="K12" s="248">
        <f t="shared" si="12"/>
        <v>1.4287731636535841</v>
      </c>
      <c r="L12" s="249">
        <f t="shared" si="13"/>
        <v>3.6682115785620084E-2</v>
      </c>
      <c r="M12" s="250"/>
      <c r="N12" s="24">
        <v>1</v>
      </c>
      <c r="O12" s="248">
        <f t="shared" si="35"/>
        <v>2.7759807092865962E-2</v>
      </c>
      <c r="P12" s="251">
        <f t="shared" si="36"/>
        <v>2.7759807092865962E-2</v>
      </c>
      <c r="Q12" s="248">
        <f t="shared" si="14"/>
        <v>0.18780594618266755</v>
      </c>
      <c r="R12" s="251">
        <f t="shared" si="37"/>
        <v>0.18780594618266755</v>
      </c>
      <c r="S12" s="250"/>
      <c r="T12" s="24">
        <v>-1</v>
      </c>
      <c r="U12" s="248">
        <f t="shared" si="15"/>
        <v>-2.7827885004669928E-2</v>
      </c>
      <c r="V12" s="252">
        <f t="shared" si="16"/>
        <v>-2.7827885004669928E-2</v>
      </c>
      <c r="W12" s="248">
        <f t="shared" si="38"/>
        <v>-0.25982366929502909</v>
      </c>
      <c r="X12" s="252">
        <f t="shared" si="17"/>
        <v>-0.25982366929502909</v>
      </c>
      <c r="Y12" s="248">
        <f t="shared" si="18"/>
        <v>0.11095983662355335</v>
      </c>
      <c r="Z12" s="252">
        <f t="shared" si="19"/>
        <v>0.11095983662355335</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O12" s="28">
        <f>VLOOKUP($A12,historia!$A$5:$CM$24,+HLOOKUP(AO$2,historia!$A$3:$EC$4,2,FALSE),FALSE)</f>
        <v>5</v>
      </c>
      <c r="AP12" s="28">
        <f>VLOOKUP($A12,historia!$A$5:$CM$24,+HLOOKUP(AP$2,historia!$A$3:$EC$4,2,FALSE),FALSE)</f>
        <v>5</v>
      </c>
      <c r="AQ12" s="28">
        <f>VLOOKUP($A12,historia!$A$5:$CM$24,+HLOOKUP(AQ$2,historia!$A$3:$EC$4,2,FALSE),FALSE)</f>
        <v>5</v>
      </c>
      <c r="AR12" s="28">
        <f>VLOOKUP($A12,historia!$A$5:$CM$24,+HLOOKUP(AR$2,historia!$A$3:$EC$4,2,FALSE),FALSE)</f>
        <v>5</v>
      </c>
      <c r="AS12" s="58">
        <f>VLOOKUP($A12,historia!$A$5:$CM$24,+HLOOKUP(AS$2,historia!$A$3:$EC$4,2,FALSE),FALSE)</f>
        <v>5</v>
      </c>
      <c r="AT12" s="58">
        <f>VLOOKUP($A12,historia!$A$5:$CM$24,+HLOOKUP(AT$2,historia!$A$3:$EC$4,2,FALSE),FALSE)</f>
        <v>5</v>
      </c>
      <c r="AU12" s="58">
        <f>VLOOKUP($A12,historia!$A$5:$CM$24,+HLOOKUP(AU$2,historia!$A$3:$EC$4,2,FALSE),FALSE)</f>
        <v>5</v>
      </c>
      <c r="AV12" s="58">
        <f>VLOOKUP($A12,historia!$A$5:$CM$24,+HLOOKUP(AV$2,historia!$A$3:$EC$4,2,FALSE),FALSE)</f>
        <v>5</v>
      </c>
      <c r="AW12" s="58">
        <f>VLOOKUP($A12,historia!$A$5:$CM$24,+HLOOKUP(AW$2,historia!$A$3:$EC$4,2,FALSE),FALSE)</f>
        <v>4</v>
      </c>
      <c r="AX12" s="58">
        <f>VLOOKUP($A12,historia!$A$5:$CM$24,+HLOOKUP(AX$2,historia!$A$3:$EC$4,2,FALSE),FALSE)</f>
        <v>4</v>
      </c>
      <c r="AY12" s="58">
        <f>VLOOKUP($A12,historia!$A$5:$CM$24,+HLOOKUP(AY$2,historia!$A$3:$EC$4,2,FALSE),FALSE)</f>
        <v>4</v>
      </c>
      <c r="AZ12" s="58">
        <v>4</v>
      </c>
      <c r="BA12" s="30"/>
      <c r="BB12" s="141">
        <v>4</v>
      </c>
      <c r="BC12" t="str">
        <f t="shared" si="20"/>
        <v>Granos</v>
      </c>
      <c r="BD12">
        <f>+datos!AE1</f>
        <v>31</v>
      </c>
      <c r="BE12" s="2" t="str">
        <f t="shared" si="4"/>
        <v>$/t</v>
      </c>
      <c r="BF12" s="2">
        <f t="shared" si="4"/>
        <v>226760.79751666667</v>
      </c>
      <c r="BG12" s="2">
        <f t="shared" si="4"/>
        <v>215356.66800000001</v>
      </c>
      <c r="BH12" s="2">
        <f t="shared" si="4"/>
        <v>91975.222348484851</v>
      </c>
      <c r="BJ12">
        <f>+datos!CG1</f>
        <v>85</v>
      </c>
      <c r="BK12" s="2">
        <f t="shared" si="21"/>
        <v>8553.675043000414</v>
      </c>
      <c r="BL12" s="2">
        <f t="shared" si="21"/>
        <v>8213.5620697503564</v>
      </c>
      <c r="BM12" s="2">
        <f t="shared" si="21"/>
        <v>3521.8089408288706</v>
      </c>
      <c r="BO12" s="1">
        <f>+datos!EA1</f>
        <v>131</v>
      </c>
      <c r="BP12" s="1">
        <f t="shared" si="22"/>
        <v>34950000</v>
      </c>
      <c r="BQ12" s="1">
        <f t="shared" si="22"/>
        <v>34006000</v>
      </c>
      <c r="BS12" s="1">
        <f>+datos!FV1</f>
        <v>178</v>
      </c>
      <c r="BT12" s="1">
        <f t="shared" si="23"/>
        <v>122053000</v>
      </c>
      <c r="BU12" s="1">
        <f t="shared" si="23"/>
        <v>102755000</v>
      </c>
      <c r="BW12" s="1">
        <f>+datos!LQ1</f>
        <v>329</v>
      </c>
      <c r="BX12" s="1">
        <f>+SUM(CI12:CT12)</f>
        <v>42099.827419430003</v>
      </c>
      <c r="BY12" s="1">
        <f t="shared" si="40"/>
        <v>43304.911517269997</v>
      </c>
      <c r="CA12" s="1">
        <f>+datos!LU1</f>
        <v>333</v>
      </c>
      <c r="CB12" s="2">
        <f t="shared" si="24"/>
        <v>3400.2977810799998</v>
      </c>
      <c r="CC12" s="2">
        <f t="shared" si="25"/>
        <v>4593.9023446500005</v>
      </c>
      <c r="CE12" s="1">
        <f>+datos!II1</f>
        <v>243</v>
      </c>
      <c r="CF12" s="1">
        <f t="shared" si="26"/>
        <v>81600000</v>
      </c>
      <c r="CG12" s="1">
        <f t="shared" si="27"/>
        <v>73450000</v>
      </c>
      <c r="CI12" s="1">
        <f>+VLOOKUP(CI$1,ran_dat,$BW12,FALSE)</f>
        <v>3348.6268518899992</v>
      </c>
      <c r="CJ12" s="1">
        <f t="shared" si="28"/>
        <v>4200.6671527199996</v>
      </c>
      <c r="CK12" s="1">
        <f t="shared" si="28"/>
        <v>4256.6159984299993</v>
      </c>
      <c r="CL12" s="1">
        <f t="shared" si="28"/>
        <v>4805.0657855600002</v>
      </c>
      <c r="CM12" s="1">
        <f t="shared" si="28"/>
        <v>3818.0878160900002</v>
      </c>
      <c r="CN12" s="1">
        <f t="shared" si="28"/>
        <v>3876.9439553199995</v>
      </c>
      <c r="CO12" s="1">
        <f t="shared" si="28"/>
        <v>3089.4855235099994</v>
      </c>
      <c r="CP12" s="1">
        <f t="shared" si="28"/>
        <v>3929.1762735700004</v>
      </c>
      <c r="CQ12" s="1">
        <f t="shared" si="28"/>
        <v>2955.6698254600001</v>
      </c>
      <c r="CR12" s="1">
        <f t="shared" si="28"/>
        <v>2441.9361675499999</v>
      </c>
      <c r="CS12" s="1">
        <f t="shared" si="28"/>
        <v>2439.6070879799995</v>
      </c>
      <c r="CT12" s="1">
        <f t="shared" si="28"/>
        <v>2937.94498135</v>
      </c>
      <c r="CU12" s="1">
        <f t="shared" si="28"/>
        <v>3422.8062754199996</v>
      </c>
      <c r="CV12" s="1">
        <f t="shared" si="28"/>
        <v>3305.4373540500001</v>
      </c>
      <c r="CW12" s="1">
        <f t="shared" si="28"/>
        <v>3388.1727426199996</v>
      </c>
      <c r="CX12" s="1">
        <f t="shared" si="28"/>
        <v>3792.8302867999996</v>
      </c>
      <c r="CY12" s="1">
        <f t="shared" si="29"/>
        <v>3116.9694759099998</v>
      </c>
      <c r="CZ12" s="1">
        <f t="shared" si="29"/>
        <v>2868.8536445099994</v>
      </c>
      <c r="DA12" s="1">
        <f t="shared" si="29"/>
        <v>2796.6599858300006</v>
      </c>
      <c r="DB12" s="1">
        <f t="shared" si="29"/>
        <v>2718.2915703099998</v>
      </c>
      <c r="DC12" s="1">
        <f t="shared" si="29"/>
        <v>4151.50946449</v>
      </c>
      <c r="DD12" s="1">
        <f t="shared" si="29"/>
        <v>4450.8165799199996</v>
      </c>
      <c r="DE12" s="1">
        <f t="shared" si="29"/>
        <v>4813.7104364100005</v>
      </c>
      <c r="DF12" s="1">
        <f t="shared" si="29"/>
        <v>4478.853701</v>
      </c>
      <c r="DH12" s="1">
        <f t="shared" si="30"/>
        <v>214.60650260000006</v>
      </c>
      <c r="DI12" s="1">
        <f t="shared" si="30"/>
        <v>390.93673457</v>
      </c>
      <c r="DJ12" s="1">
        <f t="shared" si="30"/>
        <v>293.37536226000003</v>
      </c>
      <c r="DK12" s="1">
        <f t="shared" si="30"/>
        <v>336.54852982999995</v>
      </c>
      <c r="DL12" s="1">
        <f t="shared" si="30"/>
        <v>300.95428591999996</v>
      </c>
      <c r="DM12" s="1">
        <f t="shared" si="30"/>
        <v>389.85732896999997</v>
      </c>
      <c r="DN12" s="1">
        <f t="shared" si="30"/>
        <v>280.54397103999997</v>
      </c>
      <c r="DO12" s="1">
        <f t="shared" si="30"/>
        <v>63.525792080000002</v>
      </c>
      <c r="DP12" s="1">
        <f t="shared" si="30"/>
        <v>301.92103216000004</v>
      </c>
      <c r="DQ12" s="1">
        <f t="shared" si="30"/>
        <v>260.76831764999997</v>
      </c>
      <c r="DR12" s="1">
        <f t="shared" si="30"/>
        <v>244.67742642000002</v>
      </c>
      <c r="DS12" s="1">
        <f t="shared" si="30"/>
        <v>322.58249758000005</v>
      </c>
      <c r="DT12" s="1">
        <f t="shared" si="30"/>
        <v>495.08938117000014</v>
      </c>
      <c r="DU12" s="1">
        <f t="shared" si="30"/>
        <v>539.06610803000001</v>
      </c>
      <c r="DV12" s="1">
        <f t="shared" si="30"/>
        <v>828.84254484999997</v>
      </c>
      <c r="DW12" s="1">
        <f t="shared" si="30"/>
        <v>679.74768902999983</v>
      </c>
      <c r="DX12" s="1">
        <f t="shared" si="31"/>
        <v>678.42759025000009</v>
      </c>
      <c r="DY12" s="1">
        <f t="shared" si="31"/>
        <v>816.99926951999987</v>
      </c>
      <c r="DZ12" s="1">
        <f t="shared" si="31"/>
        <v>236.29083821</v>
      </c>
      <c r="EA12" s="1">
        <f t="shared" si="31"/>
        <v>13.603287699999997</v>
      </c>
      <c r="EB12" s="1">
        <f t="shared" si="31"/>
        <v>8.4785749999999993E-2</v>
      </c>
      <c r="EC12" s="1">
        <f t="shared" si="31"/>
        <v>140.70586015999999</v>
      </c>
      <c r="ED12" s="1">
        <f t="shared" si="31"/>
        <v>7.5318475299999985</v>
      </c>
      <c r="EE12" s="1">
        <f t="shared" si="31"/>
        <v>157.51314244999998</v>
      </c>
      <c r="EG12" s="14">
        <f t="shared" si="32"/>
        <v>81600000</v>
      </c>
      <c r="EH12" s="14">
        <f t="shared" si="32"/>
        <v>81600000</v>
      </c>
      <c r="EI12" s="1">
        <f t="shared" si="32"/>
        <v>81600000</v>
      </c>
      <c r="EJ12" s="1">
        <f t="shared" si="32"/>
        <v>81600000</v>
      </c>
      <c r="EK12" s="1">
        <f t="shared" si="32"/>
        <v>81600000</v>
      </c>
      <c r="EL12" s="1">
        <f t="shared" si="32"/>
        <v>73750000</v>
      </c>
      <c r="EM12" s="1">
        <f t="shared" si="32"/>
        <v>73750000</v>
      </c>
      <c r="EN12" s="1">
        <f t="shared" si="32"/>
        <v>73450000</v>
      </c>
      <c r="EO12" s="1">
        <f t="shared" si="32"/>
        <v>73450000</v>
      </c>
      <c r="EP12" s="1">
        <f t="shared" si="32"/>
        <v>73450000</v>
      </c>
      <c r="EQ12" s="1">
        <f t="shared" si="32"/>
        <v>73450000</v>
      </c>
      <c r="ER12" s="1">
        <f t="shared" si="32"/>
        <v>73450000</v>
      </c>
      <c r="ES12" s="1">
        <f t="shared" si="32"/>
        <v>73450000</v>
      </c>
      <c r="ET12" s="1">
        <f t="shared" si="32"/>
        <v>73450000</v>
      </c>
      <c r="EU12" s="1">
        <f t="shared" si="32"/>
        <v>73450000</v>
      </c>
      <c r="EV12" s="1">
        <f t="shared" si="32"/>
        <v>73450000</v>
      </c>
      <c r="EW12" s="1">
        <f t="shared" si="33"/>
        <v>73450000</v>
      </c>
      <c r="EX12" s="1">
        <f t="shared" si="33"/>
        <v>74890000</v>
      </c>
      <c r="EY12" s="1">
        <f t="shared" si="33"/>
        <v>75510000</v>
      </c>
      <c r="EZ12" s="1">
        <f t="shared" si="33"/>
        <v>75510000</v>
      </c>
      <c r="FA12" s="1">
        <f t="shared" si="33"/>
        <v>75060000</v>
      </c>
      <c r="FB12" s="1">
        <f t="shared" si="33"/>
        <v>75060000</v>
      </c>
      <c r="FC12" s="1">
        <f t="shared" si="33"/>
        <v>75060000</v>
      </c>
      <c r="FD12" s="1">
        <f t="shared" si="33"/>
        <v>75060000</v>
      </c>
      <c r="FF12" s="162">
        <f t="shared" si="34"/>
        <v>3.6682115785620084E-2</v>
      </c>
    </row>
    <row r="13" spans="1:162" ht="18.75" customHeight="1">
      <c r="A13" s="244" t="s">
        <v>217</v>
      </c>
      <c r="B13" s="247"/>
      <c r="C13" s="228">
        <f t="shared" si="5"/>
        <v>0</v>
      </c>
      <c r="D13" s="229">
        <v>0</v>
      </c>
      <c r="E13" s="253">
        <f t="shared" si="6"/>
        <v>-0.19754756436347332</v>
      </c>
      <c r="F13" s="254">
        <f t="shared" si="7"/>
        <v>-0.23926406205249673</v>
      </c>
      <c r="G13" s="253">
        <f t="shared" si="8"/>
        <v>-5.8388276064132771E-2</v>
      </c>
      <c r="H13" s="254">
        <f t="shared" si="9"/>
        <v>-0.13915928829934054</v>
      </c>
      <c r="I13" s="253">
        <f t="shared" si="10"/>
        <v>4.989087382317738</v>
      </c>
      <c r="J13" s="254">
        <f t="shared" si="11"/>
        <v>2.6219690533053623</v>
      </c>
      <c r="K13" s="253">
        <f t="shared" si="12"/>
        <v>2.3037556676787698</v>
      </c>
      <c r="L13" s="254">
        <f t="shared" si="13"/>
        <v>2.6853317146389681</v>
      </c>
      <c r="M13" s="255"/>
      <c r="N13" s="256">
        <v>0</v>
      </c>
      <c r="O13" s="253">
        <f t="shared" si="35"/>
        <v>-3.3006472151727695E-2</v>
      </c>
      <c r="P13" s="257">
        <f t="shared" si="36"/>
        <v>-3.3006472151727695E-2</v>
      </c>
      <c r="Q13" s="253">
        <f t="shared" si="14"/>
        <v>-1.4386787894224651E-2</v>
      </c>
      <c r="R13" s="257">
        <f t="shared" si="37"/>
        <v>-1.4386787894224651E-2</v>
      </c>
      <c r="S13" s="255"/>
      <c r="T13" s="256">
        <v>0</v>
      </c>
      <c r="U13" s="253">
        <f t="shared" si="15"/>
        <v>0.28535985789016749</v>
      </c>
      <c r="V13" s="258">
        <f t="shared" si="16"/>
        <v>0.28535985789016749</v>
      </c>
      <c r="W13" s="253">
        <f t="shared" si="38"/>
        <v>0.20097474141684879</v>
      </c>
      <c r="X13" s="258">
        <f t="shared" si="17"/>
        <v>0.20097474141684879</v>
      </c>
      <c r="Y13" s="253" t="str">
        <f t="shared" si="18"/>
        <v/>
      </c>
      <c r="Z13" s="258" t="str">
        <f t="shared" si="19"/>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O13" s="28">
        <f>VLOOKUP($A13,historia!$A$5:$CM$24,+HLOOKUP(AO$2,historia!$A$3:$EC$4,2,FALSE),FALSE)</f>
        <v>3</v>
      </c>
      <c r="AP13" s="28">
        <f>VLOOKUP($A13,historia!$A$5:$CM$24,+HLOOKUP(AP$2,historia!$A$3:$EC$4,2,FALSE),FALSE)</f>
        <v>3</v>
      </c>
      <c r="AQ13" s="28">
        <f>VLOOKUP($A13,historia!$A$5:$CM$24,+HLOOKUP(AQ$2,historia!$A$3:$EC$4,2,FALSE),FALSE)</f>
        <v>3</v>
      </c>
      <c r="AR13" s="28">
        <f>VLOOKUP($A13,historia!$A$5:$CM$24,+HLOOKUP(AR$2,historia!$A$3:$EC$4,2,FALSE),FALSE)</f>
        <v>3</v>
      </c>
      <c r="AS13" s="5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2</v>
      </c>
      <c r="AX13" s="58">
        <f>VLOOKUP($A13,historia!$A$5:$CM$24,+HLOOKUP(AX$2,historia!$A$3:$EC$4,2,FALSE),FALSE)</f>
        <v>2</v>
      </c>
      <c r="AY13" s="58">
        <f>VLOOKUP($A13,historia!$A$5:$CM$24,+HLOOKUP(AY$2,historia!$A$3:$EC$4,2,FALSE),FALSE)</f>
        <v>3</v>
      </c>
      <c r="AZ13" s="58">
        <v>3</v>
      </c>
      <c r="BA13" s="30"/>
      <c r="BB13" s="141">
        <v>3</v>
      </c>
      <c r="BC13" t="str">
        <f t="shared" si="20"/>
        <v>Hortalizas</v>
      </c>
      <c r="BD13">
        <f>+datos!BB1</f>
        <v>54</v>
      </c>
      <c r="BE13" s="2" t="str">
        <f t="shared" si="4"/>
        <v>$/kg</v>
      </c>
      <c r="BF13" s="2">
        <f t="shared" si="4"/>
        <v>15363.55675918059</v>
      </c>
      <c r="BG13" s="2">
        <f t="shared" si="4"/>
        <v>19145.753787878788</v>
      </c>
      <c r="BH13" s="2">
        <f t="shared" si="4"/>
        <v>2565.2584072391664</v>
      </c>
      <c r="BJ13">
        <f>+datos!CO1</f>
        <v>93</v>
      </c>
      <c r="BK13" s="2">
        <f t="shared" si="21"/>
        <v>9857.4884840340274</v>
      </c>
      <c r="BL13" s="2">
        <f t="shared" si="21"/>
        <v>10468.740175441377</v>
      </c>
      <c r="BM13" s="2">
        <f t="shared" si="21"/>
        <v>2983.7220047691762</v>
      </c>
      <c r="BO13" s="1">
        <f>+datos!EX1</f>
        <v>154</v>
      </c>
      <c r="BP13" s="1">
        <f t="shared" si="22"/>
        <v>64395</v>
      </c>
      <c r="BQ13" s="1">
        <f t="shared" si="22"/>
        <v>66593</v>
      </c>
      <c r="BS13" s="1">
        <f>+datos!GN1</f>
        <v>196</v>
      </c>
      <c r="BT13" s="1">
        <f t="shared" si="23"/>
        <v>2639386</v>
      </c>
      <c r="BU13" s="1">
        <f t="shared" si="23"/>
        <v>2677912.56</v>
      </c>
      <c r="BW13" s="1">
        <f>+datos!LR1</f>
        <v>330</v>
      </c>
      <c r="BX13" s="1">
        <f t="shared" si="39"/>
        <v>74.302914079999994</v>
      </c>
      <c r="BY13" s="1">
        <f t="shared" si="40"/>
        <v>57.807090849999994</v>
      </c>
      <c r="CA13" s="1">
        <f>+datos!LV1</f>
        <v>334</v>
      </c>
      <c r="CB13" s="2">
        <f t="shared" si="24"/>
        <v>24.93525696</v>
      </c>
      <c r="CC13" s="2">
        <f t="shared" si="25"/>
        <v>20.762515729999997</v>
      </c>
      <c r="CE13" s="1">
        <f>+datos!IX1</f>
        <v>258</v>
      </c>
      <c r="CF13" s="1">
        <f t="shared" si="26"/>
        <v>0</v>
      </c>
      <c r="CG13" s="1">
        <f t="shared" si="27"/>
        <v>0</v>
      </c>
      <c r="CI13" s="1">
        <f t="shared" si="28"/>
        <v>0.89152303000000011</v>
      </c>
      <c r="CJ13" s="1">
        <f t="shared" si="28"/>
        <v>2.22092468</v>
      </c>
      <c r="CK13" s="1">
        <f t="shared" si="28"/>
        <v>5.6369490100000004</v>
      </c>
      <c r="CL13" s="1">
        <f t="shared" si="28"/>
        <v>11.964288460000001</v>
      </c>
      <c r="CM13" s="1">
        <f t="shared" si="28"/>
        <v>14.874595200000002</v>
      </c>
      <c r="CN13" s="1">
        <f t="shared" si="28"/>
        <v>12.356255849999998</v>
      </c>
      <c r="CO13" s="1">
        <f t="shared" si="28"/>
        <v>7.66143427</v>
      </c>
      <c r="CP13" s="1">
        <f t="shared" si="28"/>
        <v>3.9700200400000001</v>
      </c>
      <c r="CQ13" s="1">
        <f t="shared" si="28"/>
        <v>4.244482989999999</v>
      </c>
      <c r="CR13" s="1">
        <f t="shared" si="28"/>
        <v>3.7692072699999999</v>
      </c>
      <c r="CS13" s="1">
        <f t="shared" si="28"/>
        <v>4.3561451300000007</v>
      </c>
      <c r="CT13" s="1">
        <f t="shared" si="28"/>
        <v>2.35708815</v>
      </c>
      <c r="CU13" s="1">
        <f t="shared" si="28"/>
        <v>2.9990922500000003</v>
      </c>
      <c r="CV13" s="1">
        <f t="shared" si="28"/>
        <v>4.9654154400000001</v>
      </c>
      <c r="CW13" s="1">
        <f t="shared" si="28"/>
        <v>7.7556872599999993</v>
      </c>
      <c r="CX13" s="1">
        <f t="shared" si="28"/>
        <v>10.641103850000002</v>
      </c>
      <c r="CY13" s="1">
        <f t="shared" si="29"/>
        <v>9.2379974100000002</v>
      </c>
      <c r="CZ13" s="1">
        <f t="shared" si="29"/>
        <v>6.8023944899999993</v>
      </c>
      <c r="DA13" s="1">
        <f t="shared" si="29"/>
        <v>2.5188479500000001</v>
      </c>
      <c r="DB13" s="1">
        <f t="shared" si="29"/>
        <v>1.93600679</v>
      </c>
      <c r="DC13" s="1">
        <f t="shared" si="29"/>
        <v>3.7029913799999998</v>
      </c>
      <c r="DD13" s="1">
        <f t="shared" si="29"/>
        <v>3.1144052499999999</v>
      </c>
      <c r="DE13" s="1">
        <f t="shared" si="29"/>
        <v>2.0701945399999997</v>
      </c>
      <c r="DF13" s="1">
        <f t="shared" si="29"/>
        <v>2.0629542399999998</v>
      </c>
      <c r="DH13" s="1">
        <f t="shared" si="30"/>
        <v>10.078043539999999</v>
      </c>
      <c r="DI13" s="1">
        <f t="shared" si="30"/>
        <v>5.0525632100000006</v>
      </c>
      <c r="DJ13" s="1">
        <f t="shared" si="30"/>
        <v>1.5134803299999999</v>
      </c>
      <c r="DK13" s="1">
        <f t="shared" si="30"/>
        <v>1.5645213200000003</v>
      </c>
      <c r="DL13" s="1">
        <f t="shared" si="30"/>
        <v>0.17069466</v>
      </c>
      <c r="DM13" s="1">
        <f t="shared" si="30"/>
        <v>5.8121779999999998E-2</v>
      </c>
      <c r="DN13" s="1">
        <f t="shared" si="30"/>
        <v>0.22874177000000001</v>
      </c>
      <c r="DO13" s="1">
        <f t="shared" si="30"/>
        <v>6.8422739999999996E-2</v>
      </c>
      <c r="DP13" s="1">
        <f t="shared" si="30"/>
        <v>1.38860757</v>
      </c>
      <c r="DQ13" s="1">
        <f t="shared" si="30"/>
        <v>1.9631409899999996</v>
      </c>
      <c r="DR13" s="1">
        <f t="shared" si="30"/>
        <v>1.5225679400000001</v>
      </c>
      <c r="DS13" s="1">
        <f t="shared" si="30"/>
        <v>1.3263511099999998</v>
      </c>
      <c r="DT13" s="1">
        <f t="shared" si="30"/>
        <v>2.5091586699999997</v>
      </c>
      <c r="DU13" s="1">
        <f t="shared" si="30"/>
        <v>1.6528733800000002</v>
      </c>
      <c r="DV13" s="1">
        <f t="shared" si="30"/>
        <v>0.42388491999999994</v>
      </c>
      <c r="DW13" s="1">
        <f t="shared" si="30"/>
        <v>1.7301791</v>
      </c>
      <c r="DX13" s="1">
        <f t="shared" si="31"/>
        <v>2.0483479400000002</v>
      </c>
      <c r="DY13" s="1">
        <f t="shared" si="31"/>
        <v>0.56045690999999997</v>
      </c>
      <c r="DZ13" s="1">
        <f t="shared" si="31"/>
        <v>1.1333685500000001</v>
      </c>
      <c r="EA13" s="1">
        <f t="shared" si="31"/>
        <v>1.93118693</v>
      </c>
      <c r="EB13" s="1">
        <f t="shared" si="31"/>
        <v>0.60248590000000002</v>
      </c>
      <c r="EC13" s="1">
        <f t="shared" si="31"/>
        <v>0.87790919000000001</v>
      </c>
      <c r="ED13" s="1">
        <f t="shared" si="31"/>
        <v>1.4386166999999999</v>
      </c>
      <c r="EE13" s="1">
        <f t="shared" si="31"/>
        <v>5.8540475399999998</v>
      </c>
      <c r="EG13" s="14">
        <f t="shared" si="32"/>
        <v>0</v>
      </c>
      <c r="EH13" s="14">
        <f t="shared" si="32"/>
        <v>0</v>
      </c>
      <c r="EI13" s="1">
        <f t="shared" si="32"/>
        <v>0</v>
      </c>
      <c r="EJ13" s="1">
        <f t="shared" si="32"/>
        <v>0</v>
      </c>
      <c r="EK13" s="1">
        <f t="shared" si="32"/>
        <v>0</v>
      </c>
      <c r="EL13" s="1">
        <f t="shared" si="32"/>
        <v>0</v>
      </c>
      <c r="EM13" s="1">
        <f t="shared" si="32"/>
        <v>0</v>
      </c>
      <c r="EN13" s="1">
        <f t="shared" si="32"/>
        <v>0</v>
      </c>
      <c r="EO13" s="1">
        <f t="shared" si="32"/>
        <v>0</v>
      </c>
      <c r="EP13" s="1">
        <f t="shared" si="32"/>
        <v>0</v>
      </c>
      <c r="EQ13" s="1">
        <f t="shared" si="32"/>
        <v>0</v>
      </c>
      <c r="ER13" s="1">
        <f t="shared" si="32"/>
        <v>0</v>
      </c>
      <c r="ES13" s="1">
        <f t="shared" si="32"/>
        <v>0</v>
      </c>
      <c r="ET13" s="1">
        <f t="shared" si="32"/>
        <v>0</v>
      </c>
      <c r="EU13" s="1">
        <f t="shared" si="32"/>
        <v>0</v>
      </c>
      <c r="EV13" s="1">
        <f t="shared" si="32"/>
        <v>0</v>
      </c>
      <c r="EW13" s="1">
        <f t="shared" si="33"/>
        <v>0</v>
      </c>
      <c r="EX13" s="1">
        <f t="shared" si="33"/>
        <v>0</v>
      </c>
      <c r="EY13" s="1">
        <f t="shared" si="33"/>
        <v>0</v>
      </c>
      <c r="EZ13" s="1">
        <f t="shared" si="33"/>
        <v>0</v>
      </c>
      <c r="FA13" s="1">
        <f t="shared" si="33"/>
        <v>0</v>
      </c>
      <c r="FB13" s="1">
        <f t="shared" si="33"/>
        <v>0</v>
      </c>
      <c r="FC13" s="1">
        <f t="shared" si="33"/>
        <v>0</v>
      </c>
      <c r="FD13" s="1">
        <f t="shared" si="33"/>
        <v>0</v>
      </c>
      <c r="FF13" s="162">
        <f t="shared" si="34"/>
        <v>2.6853317146389681</v>
      </c>
    </row>
    <row r="14" spans="1:162" ht="18.75" customHeight="1">
      <c r="A14" s="243" t="s">
        <v>65</v>
      </c>
      <c r="B14" s="246"/>
      <c r="C14" s="156">
        <f t="shared" si="5"/>
        <v>-0.33</v>
      </c>
      <c r="D14" s="198">
        <v>1</v>
      </c>
      <c r="E14" s="248">
        <f t="shared" si="6"/>
        <v>1.7099829973281633E-2</v>
      </c>
      <c r="F14" s="249">
        <f t="shared" si="7"/>
        <v>-2.461666771574178E-2</v>
      </c>
      <c r="G14" s="248">
        <f t="shared" si="8"/>
        <v>1.2247272240537566E-2</v>
      </c>
      <c r="H14" s="249">
        <f t="shared" si="9"/>
        <v>4.8525577327440672E-3</v>
      </c>
      <c r="I14" s="248">
        <f t="shared" si="10"/>
        <v>2.7690369036903695</v>
      </c>
      <c r="J14" s="249">
        <f t="shared" si="11"/>
        <v>0.40191857467799386</v>
      </c>
      <c r="K14" s="248">
        <f t="shared" si="12"/>
        <v>1.7162738152014145</v>
      </c>
      <c r="L14" s="249">
        <f t="shared" si="13"/>
        <v>1.0527630884889549</v>
      </c>
      <c r="M14" s="250"/>
      <c r="N14" s="24">
        <v>-1</v>
      </c>
      <c r="O14" s="248">
        <f t="shared" si="35"/>
        <v>0</v>
      </c>
      <c r="P14" s="251">
        <f t="shared" si="36"/>
        <v>0</v>
      </c>
      <c r="Q14" s="248">
        <f t="shared" si="14"/>
        <v>-9.7884837078773823E-2</v>
      </c>
      <c r="R14" s="251">
        <f t="shared" si="37"/>
        <v>-9.7884837078773823E-2</v>
      </c>
      <c r="S14" s="250"/>
      <c r="T14" s="24">
        <v>-1</v>
      </c>
      <c r="U14" s="248">
        <f t="shared" si="15"/>
        <v>-8.9934869959827801E-2</v>
      </c>
      <c r="V14" s="252">
        <f t="shared" si="16"/>
        <v>-8.9934869959827801E-2</v>
      </c>
      <c r="W14" s="248">
        <f t="shared" si="38"/>
        <v>-0.19128373059947479</v>
      </c>
      <c r="X14" s="252">
        <f t="shared" si="17"/>
        <v>-0.19128373059947479</v>
      </c>
      <c r="Y14" s="248">
        <f t="shared" si="18"/>
        <v>-0.1484623541887593</v>
      </c>
      <c r="Z14" s="252">
        <f t="shared" si="19"/>
        <v>-0.1484623541887593</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O14" s="28">
        <f>VLOOKUP($A14,historia!$A$5:$CM$24,+HLOOKUP(AO$2,historia!$A$3:$EC$4,2,FALSE),FALSE)</f>
        <v>5</v>
      </c>
      <c r="AP14" s="28">
        <f>VLOOKUP($A14,historia!$A$5:$CM$24,+HLOOKUP(AP$2,historia!$A$3:$EC$4,2,FALSE),FALSE)</f>
        <v>5</v>
      </c>
      <c r="AQ14" s="28">
        <f>VLOOKUP($A14,historia!$A$5:$CM$24,+HLOOKUP(AQ$2,historia!$A$3:$EC$4,2,FALSE),FALSE)</f>
        <v>5</v>
      </c>
      <c r="AR14" s="28">
        <f>VLOOKUP($A14,historia!$A$5:$CM$24,+HLOOKUP(AR$2,historia!$A$3:$EC$4,2,FALSE),FALSE)</f>
        <v>5</v>
      </c>
      <c r="AS14" s="58">
        <f>VLOOKUP($A14,historia!$A$5:$CM$24,+HLOOKUP(AS$2,historia!$A$3:$EC$4,2,FALSE),FALSE)</f>
        <v>5</v>
      </c>
      <c r="AT14" s="58">
        <f>VLOOKUP($A14,historia!$A$5:$CM$24,+HLOOKUP(AT$2,historia!$A$3:$EC$4,2,FALSE),FALSE)</f>
        <v>4</v>
      </c>
      <c r="AU14" s="58">
        <f>VLOOKUP($A14,historia!$A$5:$CM$24,+HLOOKUP(AU$2,historia!$A$3:$EC$4,2,FALSE),FALSE)</f>
        <v>4</v>
      </c>
      <c r="AV14" s="58">
        <f>VLOOKUP($A14,historia!$A$5:$CM$24,+HLOOKUP(AV$2,historia!$A$3:$EC$4,2,FALSE),FALSE)</f>
        <v>4</v>
      </c>
      <c r="AW14" s="58">
        <f>VLOOKUP($A14,historia!$A$5:$CM$24,+HLOOKUP(AW$2,historia!$A$3:$EC$4,2,FALSE),FALSE)</f>
        <v>4</v>
      </c>
      <c r="AX14" s="58">
        <f>VLOOKUP($A14,historia!$A$5:$CM$24,+HLOOKUP(AX$2,historia!$A$3:$EC$4,2,FALSE),FALSE)</f>
        <v>4</v>
      </c>
      <c r="AY14" s="58">
        <f>VLOOKUP($A14,historia!$A$5:$CM$24,+HLOOKUP(AY$2,historia!$A$3:$EC$4,2,FALSE),FALSE)</f>
        <v>4</v>
      </c>
      <c r="AZ14" s="58">
        <v>4</v>
      </c>
      <c r="BA14" s="30"/>
      <c r="BB14" s="141">
        <v>4</v>
      </c>
      <c r="BC14" t="str">
        <f t="shared" si="20"/>
        <v>Leche</v>
      </c>
      <c r="BD14">
        <f>+datos!BN1</f>
        <v>66</v>
      </c>
      <c r="BE14" s="2" t="str">
        <f t="shared" si="4"/>
        <v>$/l</v>
      </c>
      <c r="BF14" s="2">
        <f t="shared" si="4"/>
        <v>418.74</v>
      </c>
      <c r="BG14" s="2">
        <f t="shared" si="4"/>
        <v>411.7</v>
      </c>
      <c r="BH14" s="2">
        <f t="shared" si="4"/>
        <v>111.1</v>
      </c>
      <c r="BJ14">
        <f>+datos!DC1</f>
        <v>107</v>
      </c>
      <c r="BK14" s="2">
        <f t="shared" si="21"/>
        <v>8405.7672968305269</v>
      </c>
      <c r="BL14" s="2">
        <f t="shared" si="21"/>
        <v>8304.065150232469</v>
      </c>
      <c r="BM14" s="2">
        <f t="shared" si="21"/>
        <v>3094.5949741106019</v>
      </c>
      <c r="BO14" s="1">
        <f>+datos!EN1</f>
        <v>144</v>
      </c>
      <c r="BP14" s="1">
        <f t="shared" si="22"/>
        <v>3169981</v>
      </c>
      <c r="BQ14" s="1">
        <f t="shared" si="22"/>
        <v>3169981</v>
      </c>
      <c r="BS14" s="1">
        <f>+datos!HP1</f>
        <v>224</v>
      </c>
      <c r="BT14" s="1">
        <f t="shared" si="23"/>
        <v>10403.447656900922</v>
      </c>
      <c r="BU14" s="1">
        <f t="shared" si="23"/>
        <v>11532.283332000001</v>
      </c>
      <c r="BW14" s="1">
        <f>+datos!KH1</f>
        <v>294</v>
      </c>
      <c r="BX14" s="1">
        <f t="shared" si="39"/>
        <v>1525.61546555</v>
      </c>
      <c r="BY14" s="1">
        <f t="shared" si="40"/>
        <v>1676.38053057</v>
      </c>
      <c r="CA14" s="1">
        <f>+datos!LM1</f>
        <v>325</v>
      </c>
      <c r="CB14" s="2">
        <f t="shared" si="24"/>
        <v>20.201576570000004</v>
      </c>
      <c r="CC14" s="2">
        <f t="shared" si="25"/>
        <v>24.979807299999997</v>
      </c>
      <c r="CE14" s="1">
        <f>+datos!IN1</f>
        <v>248</v>
      </c>
      <c r="CF14" s="1">
        <f t="shared" si="26"/>
        <v>160.6</v>
      </c>
      <c r="CG14" s="1">
        <f t="shared" si="27"/>
        <v>188.6</v>
      </c>
      <c r="CI14" s="1">
        <f t="shared" si="28"/>
        <v>114.33182424</v>
      </c>
      <c r="CJ14" s="1">
        <f t="shared" si="28"/>
        <v>131.64359017999999</v>
      </c>
      <c r="CK14" s="1">
        <f t="shared" si="28"/>
        <v>102.41564730000002</v>
      </c>
      <c r="CL14" s="1">
        <f t="shared" si="28"/>
        <v>113.57779348999999</v>
      </c>
      <c r="CM14" s="1">
        <f t="shared" si="28"/>
        <v>118.3786056</v>
      </c>
      <c r="CN14" s="1">
        <f t="shared" si="28"/>
        <v>126.46519539000002</v>
      </c>
      <c r="CO14" s="1">
        <f t="shared" si="28"/>
        <v>140.50614890000003</v>
      </c>
      <c r="CP14" s="1">
        <f t="shared" si="28"/>
        <v>139.44218023000002</v>
      </c>
      <c r="CQ14" s="1">
        <f t="shared" si="28"/>
        <v>153.04661877999999</v>
      </c>
      <c r="CR14" s="1">
        <f t="shared" si="28"/>
        <v>136.81239812999999</v>
      </c>
      <c r="CS14" s="1">
        <f t="shared" si="28"/>
        <v>134.16752365000002</v>
      </c>
      <c r="CT14" s="1">
        <f t="shared" si="28"/>
        <v>114.82793965999997</v>
      </c>
      <c r="CU14" s="1">
        <f t="shared" si="28"/>
        <v>120.47507141999999</v>
      </c>
      <c r="CV14" s="1">
        <f t="shared" si="28"/>
        <v>118.84770241</v>
      </c>
      <c r="CW14" s="1">
        <f t="shared" si="28"/>
        <v>100.85116919999999</v>
      </c>
      <c r="CX14" s="1">
        <f t="shared" si="28"/>
        <v>116.29617616</v>
      </c>
      <c r="CY14" s="1">
        <f t="shared" si="29"/>
        <v>115.47027065</v>
      </c>
      <c r="CZ14" s="1">
        <f t="shared" si="29"/>
        <v>138.26089648999999</v>
      </c>
      <c r="DA14" s="1">
        <f t="shared" si="29"/>
        <v>163.45053632000003</v>
      </c>
      <c r="DB14" s="1">
        <f t="shared" si="29"/>
        <v>135.61809928</v>
      </c>
      <c r="DC14" s="1">
        <f t="shared" si="29"/>
        <v>152.11245593000001</v>
      </c>
      <c r="DD14" s="1">
        <f t="shared" si="29"/>
        <v>167.62191332</v>
      </c>
      <c r="DE14" s="1">
        <f t="shared" si="29"/>
        <v>194.12902524000003</v>
      </c>
      <c r="DF14" s="1">
        <f t="shared" si="29"/>
        <v>153.24721415000002</v>
      </c>
      <c r="DH14" s="1">
        <f t="shared" si="30"/>
        <v>0.81005326000000022</v>
      </c>
      <c r="DI14" s="1">
        <f t="shared" si="30"/>
        <v>2.5429137699999997</v>
      </c>
      <c r="DJ14" s="1">
        <f t="shared" si="30"/>
        <v>0.83472519000000012</v>
      </c>
      <c r="DK14" s="1">
        <f t="shared" si="30"/>
        <v>1.6658761100000001</v>
      </c>
      <c r="DL14" s="1">
        <f t="shared" si="30"/>
        <v>1.6724867599999997</v>
      </c>
      <c r="DM14" s="1">
        <f t="shared" si="30"/>
        <v>1.92660527</v>
      </c>
      <c r="DN14" s="1">
        <f t="shared" si="30"/>
        <v>0.38991597</v>
      </c>
      <c r="DO14" s="1">
        <f t="shared" si="30"/>
        <v>3.0425877200000002</v>
      </c>
      <c r="DP14" s="1">
        <f t="shared" si="30"/>
        <v>1.8227840799999999</v>
      </c>
      <c r="DQ14" s="1">
        <f t="shared" si="30"/>
        <v>2.1288867499999999</v>
      </c>
      <c r="DR14" s="1">
        <f t="shared" si="30"/>
        <v>2.0947676</v>
      </c>
      <c r="DS14" s="1">
        <f t="shared" si="30"/>
        <v>1.2699740900000001</v>
      </c>
      <c r="DT14" s="1">
        <f t="shared" si="30"/>
        <v>1.3202370399999999</v>
      </c>
      <c r="DU14" s="1">
        <f t="shared" si="30"/>
        <v>2.29115132</v>
      </c>
      <c r="DV14" s="1">
        <f t="shared" si="30"/>
        <v>1.8108909100000001</v>
      </c>
      <c r="DW14" s="1">
        <f t="shared" si="30"/>
        <v>3.0093188999999998</v>
      </c>
      <c r="DX14" s="1">
        <f t="shared" si="31"/>
        <v>2.2926081099999998</v>
      </c>
      <c r="DY14" s="1">
        <f t="shared" si="31"/>
        <v>3.2446467999999999</v>
      </c>
      <c r="DZ14" s="1">
        <f t="shared" si="31"/>
        <v>2.3068511200000001</v>
      </c>
      <c r="EA14" s="1">
        <f t="shared" si="31"/>
        <v>2.4321035299999991</v>
      </c>
      <c r="EB14" s="1">
        <f t="shared" si="31"/>
        <v>0</v>
      </c>
      <c r="EC14" s="1">
        <f t="shared" si="31"/>
        <v>2.4168714900000001</v>
      </c>
      <c r="ED14" s="1">
        <f t="shared" si="31"/>
        <v>1.42944377</v>
      </c>
      <c r="EE14" s="1">
        <f t="shared" si="31"/>
        <v>2.4256843100000003</v>
      </c>
      <c r="EG14" s="14">
        <f t="shared" si="32"/>
        <v>160.6</v>
      </c>
      <c r="EH14" s="14">
        <f t="shared" si="32"/>
        <v>160.6</v>
      </c>
      <c r="EI14" s="1">
        <f t="shared" si="32"/>
        <v>156.30000000000001</v>
      </c>
      <c r="EJ14" s="1">
        <f t="shared" si="32"/>
        <v>155.80000000000001</v>
      </c>
      <c r="EK14" s="1">
        <f t="shared" si="32"/>
        <v>159.5</v>
      </c>
      <c r="EL14" s="1">
        <f t="shared" si="32"/>
        <v>170.8</v>
      </c>
      <c r="EM14" s="1">
        <f t="shared" si="32"/>
        <v>170.8</v>
      </c>
      <c r="EN14" s="1">
        <f t="shared" si="32"/>
        <v>187.7</v>
      </c>
      <c r="EO14" s="1">
        <f t="shared" si="32"/>
        <v>196.8</v>
      </c>
      <c r="EP14" s="1">
        <f t="shared" si="32"/>
        <v>196.8</v>
      </c>
      <c r="EQ14" s="1">
        <f t="shared" si="32"/>
        <v>188.6</v>
      </c>
      <c r="ER14" s="1">
        <f t="shared" si="32"/>
        <v>188.6</v>
      </c>
      <c r="ES14" s="1">
        <f t="shared" si="32"/>
        <v>188.6</v>
      </c>
      <c r="ET14" s="1">
        <f t="shared" si="32"/>
        <v>188.6</v>
      </c>
      <c r="EU14" s="1">
        <f t="shared" si="32"/>
        <v>188.6</v>
      </c>
      <c r="EV14" s="1">
        <f t="shared" si="32"/>
        <v>188.6</v>
      </c>
      <c r="EW14" s="1">
        <f t="shared" si="33"/>
        <v>188.6</v>
      </c>
      <c r="EX14" s="1">
        <f t="shared" si="33"/>
        <v>188.6</v>
      </c>
      <c r="EY14" s="1">
        <f t="shared" si="33"/>
        <v>188.6</v>
      </c>
      <c r="EZ14" s="1">
        <f t="shared" si="33"/>
        <v>188.6</v>
      </c>
      <c r="FA14" s="1">
        <f t="shared" si="33"/>
        <v>188.6</v>
      </c>
      <c r="FB14" s="1">
        <f t="shared" si="33"/>
        <v>188.6</v>
      </c>
      <c r="FC14" s="1">
        <f t="shared" si="33"/>
        <v>185.6</v>
      </c>
      <c r="FD14" s="1">
        <f t="shared" si="33"/>
        <v>185.6</v>
      </c>
      <c r="FF14" s="162">
        <f t="shared" si="34"/>
        <v>1.0527630884889549</v>
      </c>
    </row>
    <row r="15" spans="1:162" ht="18.75" customHeight="1">
      <c r="A15" s="244" t="s">
        <v>68</v>
      </c>
      <c r="B15" s="247"/>
      <c r="C15" s="228">
        <v>0</v>
      </c>
      <c r="D15" s="229">
        <v>-1</v>
      </c>
      <c r="E15" s="253">
        <f t="shared" si="6"/>
        <v>2.7410670582476593E-2</v>
      </c>
      <c r="F15" s="254">
        <f t="shared" si="7"/>
        <v>-1.430582710654682E-2</v>
      </c>
      <c r="G15" s="253">
        <f t="shared" si="8"/>
        <v>2.9515763956051044E-2</v>
      </c>
      <c r="H15" s="254">
        <f t="shared" si="9"/>
        <v>-2.1050933735744515E-3</v>
      </c>
      <c r="I15" s="253">
        <f t="shared" si="10"/>
        <v>0.73767268587985702</v>
      </c>
      <c r="J15" s="254">
        <f t="shared" si="11"/>
        <v>-1.6294456431325186</v>
      </c>
      <c r="K15" s="253">
        <f t="shared" si="12"/>
        <v>1.7234365060259624</v>
      </c>
      <c r="L15" s="254">
        <f t="shared" si="13"/>
        <v>-0.98576382014610542</v>
      </c>
      <c r="M15" s="255"/>
      <c r="N15" s="256">
        <v>0</v>
      </c>
      <c r="O15" s="253">
        <f t="shared" si="35"/>
        <v>-8.022582082899965E-3</v>
      </c>
      <c r="P15" s="257">
        <f t="shared" si="36"/>
        <v>-8.022582082899965E-3</v>
      </c>
      <c r="Q15" s="253">
        <f t="shared" si="14"/>
        <v>-3.262739139568871E-3</v>
      </c>
      <c r="R15" s="257">
        <f t="shared" si="37"/>
        <v>-3.262739139568871E-3</v>
      </c>
      <c r="S15" s="255"/>
      <c r="T15" s="256">
        <v>-1</v>
      </c>
      <c r="U15" s="253" t="str">
        <f t="shared" si="15"/>
        <v/>
      </c>
      <c r="V15" s="258" t="str">
        <f t="shared" si="16"/>
        <v/>
      </c>
      <c r="W15" s="253">
        <f t="shared" si="38"/>
        <v>-0.80629643482233426</v>
      </c>
      <c r="X15" s="258">
        <f t="shared" si="17"/>
        <v>-0.80629643482233426</v>
      </c>
      <c r="Y15" s="253">
        <f t="shared" si="18"/>
        <v>0</v>
      </c>
      <c r="Z15" s="258">
        <f t="shared" si="19"/>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O15" s="28">
        <f>VLOOKUP($A15,historia!$A$5:$CM$24,+HLOOKUP(AO$2,historia!$A$3:$EC$4,2,FALSE),FALSE)</f>
        <v>4</v>
      </c>
      <c r="AP15" s="28">
        <f>VLOOKUP($A15,historia!$A$5:$CM$24,+HLOOKUP(AP$2,historia!$A$3:$EC$4,2,FALSE),FALSE)</f>
        <v>4</v>
      </c>
      <c r="AQ15" s="28">
        <f>VLOOKUP($A15,historia!$A$5:$CM$24,+HLOOKUP(AQ$2,historia!$A$3:$EC$4,2,FALSE),FALSE)</f>
        <v>4</v>
      </c>
      <c r="AR15" s="28">
        <f>VLOOKUP($A15,historia!$A$5:$CM$24,+HLOOKUP(AR$2,historia!$A$3:$EC$4,2,FALSE),FALSE)</f>
        <v>4</v>
      </c>
      <c r="AS15" s="58">
        <f>VLOOKUP($A15,historia!$A$5:$CM$24,+HLOOKUP(AS$2,historia!$A$3:$EC$4,2,FALSE),FALSE)</f>
        <v>4</v>
      </c>
      <c r="AT15" s="58">
        <f>VLOOKUP($A15,historia!$A$5:$CM$24,+HLOOKUP(AT$2,historia!$A$3:$EC$4,2,FALSE),FALSE)</f>
        <v>3</v>
      </c>
      <c r="AU15" s="58">
        <f>VLOOKUP($A15,historia!$A$5:$CM$24,+HLOOKUP(AU$2,historia!$A$3:$EC$4,2,FALSE),FALSE)</f>
        <v>3</v>
      </c>
      <c r="AV15" s="58">
        <f>VLOOKUP($A15,historia!$A$5:$CM$24,+HLOOKUP(AV$2,historia!$A$3:$EC$4,2,FALSE),FALSE)</f>
        <v>3</v>
      </c>
      <c r="AW15" s="58">
        <f>VLOOKUP($A15,historia!$A$5:$CM$24,+HLOOKUP(AW$2,historia!$A$3:$EC$4,2,FALSE),FALSE)</f>
        <v>4</v>
      </c>
      <c r="AX15" s="58">
        <f>VLOOKUP($A15,historia!$A$5:$CM$24,+HLOOKUP(AX$2,historia!$A$3:$EC$4,2,FALSE),FALSE)</f>
        <v>4</v>
      </c>
      <c r="AY15" s="58">
        <f>VLOOKUP($A15,historia!$A$5:$CM$24,+HLOOKUP(AY$2,historia!$A$3:$EC$4,2,FALSE),FALSE)</f>
        <v>5</v>
      </c>
      <c r="AZ15" s="58">
        <v>4</v>
      </c>
      <c r="BA15" s="30"/>
      <c r="BB15" s="141">
        <v>5</v>
      </c>
      <c r="BC15" t="str">
        <f t="shared" si="20"/>
        <v>Mandioca</v>
      </c>
      <c r="BD15">
        <f>+datos!AW1</f>
        <v>49</v>
      </c>
      <c r="BE15" s="2" t="str">
        <f t="shared" si="4"/>
        <v>$/bolsa40kg</v>
      </c>
      <c r="BF15" s="2">
        <f t="shared" si="4"/>
        <v>9540.9090909090901</v>
      </c>
      <c r="BG15" s="2">
        <f t="shared" si="4"/>
        <v>9286.363636363636</v>
      </c>
      <c r="BH15" s="2">
        <f t="shared" si="4"/>
        <v>5490.625</v>
      </c>
      <c r="BJ15">
        <f>+datos!CJ1</f>
        <v>88</v>
      </c>
      <c r="BK15" s="2">
        <f t="shared" si="21"/>
        <v>7700.6017104008715</v>
      </c>
      <c r="BL15" s="2">
        <f t="shared" si="21"/>
        <v>7479.8288477004835</v>
      </c>
      <c r="BM15" s="2">
        <f t="shared" si="21"/>
        <v>2827.5312067537739</v>
      </c>
      <c r="BO15" s="1">
        <f>+datos!EY1</f>
        <v>155</v>
      </c>
      <c r="BP15" s="1">
        <f t="shared" si="22"/>
        <v>20031</v>
      </c>
      <c r="BQ15" s="1">
        <f t="shared" si="22"/>
        <v>20193</v>
      </c>
      <c r="BS15" s="1">
        <f>+datos!GO1</f>
        <v>197</v>
      </c>
      <c r="BT15" s="1">
        <f t="shared" si="23"/>
        <v>201734</v>
      </c>
      <c r="BU15" s="1">
        <f t="shared" si="23"/>
        <v>202394.36</v>
      </c>
      <c r="BW15" s="1">
        <f>+datos!JP1</f>
        <v>276</v>
      </c>
      <c r="BX15" s="1">
        <f t="shared" si="39"/>
        <v>0</v>
      </c>
      <c r="BY15" s="1">
        <f t="shared" si="40"/>
        <v>0</v>
      </c>
      <c r="CA15" s="1">
        <f>+datos!KU1</f>
        <v>307</v>
      </c>
      <c r="CB15" s="2">
        <f t="shared" si="24"/>
        <v>2.18008779</v>
      </c>
      <c r="CC15" s="2">
        <f t="shared" si="25"/>
        <v>11.254763369999999</v>
      </c>
      <c r="CE15" s="1">
        <f>+datos!IY1</f>
        <v>259</v>
      </c>
      <c r="CF15" s="1">
        <f t="shared" si="26"/>
        <v>1.88</v>
      </c>
      <c r="CG15" s="1">
        <f t="shared" si="27"/>
        <v>1.88</v>
      </c>
      <c r="CI15" s="1">
        <f t="shared" si="28"/>
        <v>0</v>
      </c>
      <c r="CJ15" s="1">
        <f t="shared" si="28"/>
        <v>0</v>
      </c>
      <c r="CK15" s="1">
        <f t="shared" si="28"/>
        <v>0</v>
      </c>
      <c r="CL15" s="1">
        <f t="shared" si="28"/>
        <v>0</v>
      </c>
      <c r="CM15" s="1">
        <f t="shared" si="28"/>
        <v>0</v>
      </c>
      <c r="CN15" s="1">
        <f t="shared" si="28"/>
        <v>0</v>
      </c>
      <c r="CO15" s="1">
        <f t="shared" si="28"/>
        <v>0</v>
      </c>
      <c r="CP15" s="1">
        <f t="shared" si="28"/>
        <v>0</v>
      </c>
      <c r="CQ15" s="1">
        <f t="shared" si="28"/>
        <v>0</v>
      </c>
      <c r="CR15" s="1">
        <f t="shared" si="28"/>
        <v>0</v>
      </c>
      <c r="CS15" s="1">
        <f t="shared" si="28"/>
        <v>0</v>
      </c>
      <c r="CT15" s="1">
        <f t="shared" si="28"/>
        <v>0</v>
      </c>
      <c r="CU15" s="1">
        <f t="shared" si="28"/>
        <v>0</v>
      </c>
      <c r="CV15" s="1">
        <f t="shared" si="28"/>
        <v>0</v>
      </c>
      <c r="CW15" s="1">
        <f t="shared" si="28"/>
        <v>0</v>
      </c>
      <c r="CX15" s="1">
        <f t="shared" si="28"/>
        <v>0</v>
      </c>
      <c r="CY15" s="1">
        <f t="shared" si="29"/>
        <v>0</v>
      </c>
      <c r="CZ15" s="1">
        <f t="shared" si="29"/>
        <v>0</v>
      </c>
      <c r="DA15" s="1">
        <f t="shared" si="29"/>
        <v>0</v>
      </c>
      <c r="DB15" s="1">
        <f t="shared" si="29"/>
        <v>0</v>
      </c>
      <c r="DC15" s="1">
        <f t="shared" si="29"/>
        <v>0</v>
      </c>
      <c r="DD15" s="1">
        <f t="shared" si="29"/>
        <v>0</v>
      </c>
      <c r="DE15" s="1">
        <f t="shared" si="29"/>
        <v>0</v>
      </c>
      <c r="DF15" s="1">
        <f t="shared" si="29"/>
        <v>0</v>
      </c>
      <c r="DH15" s="14">
        <f t="shared" si="30"/>
        <v>0.18175015000000003</v>
      </c>
      <c r="DI15" s="14">
        <f t="shared" si="30"/>
        <v>0.15569543999999999</v>
      </c>
      <c r="DJ15" s="1">
        <f t="shared" si="30"/>
        <v>0.1712014</v>
      </c>
      <c r="DK15" s="1">
        <f t="shared" si="30"/>
        <v>0.12198517</v>
      </c>
      <c r="DL15" s="1">
        <f t="shared" si="30"/>
        <v>1.6812999999999999E-3</v>
      </c>
      <c r="DM15" s="1">
        <f t="shared" si="30"/>
        <v>2.8195380000000003E-2</v>
      </c>
      <c r="DN15" s="1">
        <f t="shared" si="30"/>
        <v>4.9277770000000005E-2</v>
      </c>
      <c r="DO15" s="1">
        <f t="shared" si="30"/>
        <v>0.21358802999999996</v>
      </c>
      <c r="DP15" s="1">
        <f t="shared" si="30"/>
        <v>0.24099903000000003</v>
      </c>
      <c r="DQ15" s="1">
        <f t="shared" si="30"/>
        <v>0.39667624000000001</v>
      </c>
      <c r="DR15" s="1">
        <f t="shared" si="30"/>
        <v>0.47948613000000001</v>
      </c>
      <c r="DS15" s="1">
        <f t="shared" si="30"/>
        <v>0.13955175</v>
      </c>
      <c r="DT15" s="1">
        <f t="shared" si="30"/>
        <v>0.88368341000000006</v>
      </c>
      <c r="DU15" s="1">
        <f t="shared" si="30"/>
        <v>0.91695114999999994</v>
      </c>
      <c r="DV15" s="1">
        <f t="shared" si="30"/>
        <v>1.1944894100000001</v>
      </c>
      <c r="DW15" s="1">
        <f t="shared" si="30"/>
        <v>1.11559404</v>
      </c>
      <c r="DX15" s="1">
        <f t="shared" si="31"/>
        <v>1.36422954</v>
      </c>
      <c r="DY15" s="1">
        <f t="shared" si="31"/>
        <v>1.7463627799999999</v>
      </c>
      <c r="DZ15" s="1">
        <f t="shared" si="31"/>
        <v>0.68698649000000001</v>
      </c>
      <c r="EA15" s="1">
        <f t="shared" si="31"/>
        <v>0.11168649999999999</v>
      </c>
      <c r="EB15" s="1">
        <f t="shared" si="31"/>
        <v>0</v>
      </c>
      <c r="EC15" s="1">
        <f t="shared" si="31"/>
        <v>1.4896021499999998</v>
      </c>
      <c r="ED15" s="1">
        <f t="shared" si="31"/>
        <v>0</v>
      </c>
      <c r="EE15" s="1">
        <f t="shared" si="31"/>
        <v>1.7451778999999998</v>
      </c>
      <c r="EG15" s="14">
        <f t="shared" si="32"/>
        <v>1.88</v>
      </c>
      <c r="EH15" s="14">
        <f t="shared" si="32"/>
        <v>1.88</v>
      </c>
      <c r="EI15" s="1">
        <f t="shared" si="32"/>
        <v>1.88</v>
      </c>
      <c r="EJ15" s="1">
        <f t="shared" si="32"/>
        <v>1.88</v>
      </c>
      <c r="EK15" s="1">
        <f t="shared" si="32"/>
        <v>1.88</v>
      </c>
      <c r="EL15" s="1">
        <f t="shared" si="32"/>
        <v>1.88</v>
      </c>
      <c r="EM15" s="1">
        <f t="shared" si="32"/>
        <v>1.88</v>
      </c>
      <c r="EN15" s="1">
        <f t="shared" si="32"/>
        <v>1.88</v>
      </c>
      <c r="EO15" s="1">
        <f t="shared" si="32"/>
        <v>1.88</v>
      </c>
      <c r="EP15" s="1">
        <f t="shared" si="32"/>
        <v>1.88</v>
      </c>
      <c r="EQ15" s="1">
        <f t="shared" si="32"/>
        <v>1.88</v>
      </c>
      <c r="ER15" s="1">
        <f t="shared" si="32"/>
        <v>1.88</v>
      </c>
      <c r="ES15" s="1">
        <f t="shared" si="32"/>
        <v>1.88</v>
      </c>
      <c r="ET15" s="1">
        <f t="shared" si="32"/>
        <v>1.88</v>
      </c>
      <c r="EU15" s="1">
        <f t="shared" si="32"/>
        <v>1.88</v>
      </c>
      <c r="EV15" s="1">
        <f t="shared" si="32"/>
        <v>1.88</v>
      </c>
      <c r="EW15" s="1">
        <f t="shared" si="33"/>
        <v>1.88</v>
      </c>
      <c r="EX15" s="1">
        <f t="shared" si="33"/>
        <v>1.88</v>
      </c>
      <c r="EY15" s="1">
        <f t="shared" si="33"/>
        <v>1.88</v>
      </c>
      <c r="EZ15" s="1">
        <f t="shared" si="33"/>
        <v>1.88</v>
      </c>
      <c r="FA15" s="1">
        <f t="shared" si="33"/>
        <v>1.88</v>
      </c>
      <c r="FB15" s="1">
        <f t="shared" si="33"/>
        <v>1.88</v>
      </c>
      <c r="FC15" s="1">
        <f t="shared" si="33"/>
        <v>1.88</v>
      </c>
      <c r="FD15" s="1">
        <f t="shared" si="33"/>
        <v>1.88</v>
      </c>
      <c r="FF15" s="162">
        <f t="shared" si="34"/>
        <v>-0.98576382014610542</v>
      </c>
    </row>
    <row r="16" spans="1:162" ht="18.75" customHeight="1">
      <c r="A16" s="243" t="s">
        <v>25</v>
      </c>
      <c r="B16" s="246"/>
      <c r="C16" s="156">
        <f t="shared" si="5"/>
        <v>-0.66</v>
      </c>
      <c r="D16" s="198">
        <v>-1</v>
      </c>
      <c r="E16" s="248">
        <f t="shared" si="6"/>
        <v>2.0543400064872985E-2</v>
      </c>
      <c r="F16" s="249">
        <f t="shared" si="7"/>
        <v>-2.1173097624150428E-2</v>
      </c>
      <c r="G16" s="248">
        <f t="shared" si="8"/>
        <v>3.0472892528350615E-2</v>
      </c>
      <c r="H16" s="249">
        <f t="shared" si="9"/>
        <v>-9.9294924634776294E-3</v>
      </c>
      <c r="I16" s="248">
        <f t="shared" si="10"/>
        <v>1.8145281043112407</v>
      </c>
      <c r="J16" s="249">
        <f t="shared" si="11"/>
        <v>-0.55259022470113495</v>
      </c>
      <c r="K16" s="248">
        <f t="shared" si="12"/>
        <v>1.6132985674056277</v>
      </c>
      <c r="L16" s="249">
        <f t="shared" si="13"/>
        <v>0.20122953690561296</v>
      </c>
      <c r="M16" s="250"/>
      <c r="N16" s="24">
        <v>1</v>
      </c>
      <c r="O16" s="248">
        <f t="shared" si="35"/>
        <v>0.11422036142805547</v>
      </c>
      <c r="P16" s="251">
        <f t="shared" si="36"/>
        <v>0.11422036142805547</v>
      </c>
      <c r="Q16" s="248">
        <f t="shared" si="14"/>
        <v>0.70637774795677699</v>
      </c>
      <c r="R16" s="251">
        <f t="shared" si="37"/>
        <v>0.70637774795677699</v>
      </c>
      <c r="S16" s="250"/>
      <c r="T16" s="24">
        <v>-2</v>
      </c>
      <c r="U16" s="248">
        <f t="shared" si="15"/>
        <v>-0.12453419423778622</v>
      </c>
      <c r="V16" s="252">
        <f t="shared" si="16"/>
        <v>-0.12453419423778622</v>
      </c>
      <c r="W16" s="248"/>
      <c r="X16" s="252"/>
      <c r="Y16" s="248">
        <f t="shared" si="18"/>
        <v>8.4415584415584499E-2</v>
      </c>
      <c r="Z16" s="252">
        <f t="shared" si="19"/>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O16" s="28">
        <f>VLOOKUP($A16,historia!$A$5:$CM$24,+HLOOKUP(AO$2,historia!$A$3:$EC$4,2,FALSE),FALSE)</f>
        <v>3</v>
      </c>
      <c r="AP16" s="28">
        <f>VLOOKUP($A16,historia!$A$5:$CM$24,+HLOOKUP(AP$2,historia!$A$3:$EC$4,2,FALSE),FALSE)</f>
        <v>2</v>
      </c>
      <c r="AQ16" s="28">
        <f>VLOOKUP($A16,historia!$A$5:$CM$24,+HLOOKUP(AQ$2,historia!$A$3:$EC$4,2,FALSE),FALSE)</f>
        <v>2</v>
      </c>
      <c r="AR16" s="28">
        <f>VLOOKUP($A16,historia!$A$5:$CM$24,+HLOOKUP(AR$2,historia!$A$3:$EC$4,2,FALSE),FALSE)</f>
        <v>2</v>
      </c>
      <c r="AS16" s="58">
        <f>VLOOKUP($A16,historia!$A$5:$CM$24,+HLOOKUP(AS$2,historia!$A$3:$EC$4,2,FALSE),FALSE)</f>
        <v>2</v>
      </c>
      <c r="AT16" s="58">
        <f>VLOOKUP($A16,historia!$A$5:$CM$24,+HLOOKUP(AT$2,historia!$A$3:$EC$4,2,FALSE),FALSE)</f>
        <v>2</v>
      </c>
      <c r="AU16" s="58">
        <f>VLOOKUP($A16,historia!$A$5:$CM$24,+HLOOKUP(AU$2,historia!$A$3:$EC$4,2,FALSE),FALSE)</f>
        <v>2</v>
      </c>
      <c r="AV16" s="58">
        <f>VLOOKUP($A16,historia!$A$5:$CM$24,+HLOOKUP(AV$2,historia!$A$3:$EC$4,2,FALSE),FALSE)</f>
        <v>2</v>
      </c>
      <c r="AW16" s="58">
        <f>VLOOKUP($A16,historia!$A$5:$CM$24,+HLOOKUP(AW$2,historia!$A$3:$EC$4,2,FALSE),FALSE)</f>
        <v>3</v>
      </c>
      <c r="AX16" s="58">
        <f>VLOOKUP($A16,historia!$A$5:$CM$24,+HLOOKUP(AX$2,historia!$A$3:$EC$4,2,FALSE),FALSE)</f>
        <v>3</v>
      </c>
      <c r="AY16" s="58">
        <f>VLOOKUP($A16,historia!$A$5:$CM$24,+HLOOKUP(AY$2,historia!$A$3:$EC$4,2,FALSE),FALSE)</f>
        <v>4</v>
      </c>
      <c r="AZ16" s="58">
        <v>4</v>
      </c>
      <c r="BA16" s="30"/>
      <c r="BB16" s="141">
        <v>4</v>
      </c>
      <c r="BC16" t="str">
        <f t="shared" si="20"/>
        <v>Maní</v>
      </c>
      <c r="BD16">
        <f>+datos!AF1</f>
        <v>32</v>
      </c>
      <c r="BE16" s="2" t="str">
        <f t="shared" si="4"/>
        <v>$/t</v>
      </c>
      <c r="BF16" s="2">
        <f t="shared" si="4"/>
        <v>844774.7</v>
      </c>
      <c r="BG16" s="2">
        <f t="shared" si="4"/>
        <v>827769.5</v>
      </c>
      <c r="BH16" s="2">
        <f t="shared" si="4"/>
        <v>300147.90000000002</v>
      </c>
      <c r="BJ16">
        <f>+datos!CH1</f>
        <v>86</v>
      </c>
      <c r="BK16" s="2">
        <f t="shared" si="21"/>
        <v>10119.386348658754</v>
      </c>
      <c r="BL16" s="2">
        <f t="shared" si="21"/>
        <v>9820.1383287531244</v>
      </c>
      <c r="BM16" s="2">
        <f t="shared" si="21"/>
        <v>3872.2656778956766</v>
      </c>
      <c r="BO16" s="1">
        <f>+datos!EB1</f>
        <v>132</v>
      </c>
      <c r="BP16" s="1">
        <f t="shared" si="22"/>
        <v>416490</v>
      </c>
      <c r="BQ16" s="1">
        <f t="shared" si="22"/>
        <v>373795</v>
      </c>
      <c r="BS16" s="1">
        <f>+datos!FW1</f>
        <v>179</v>
      </c>
      <c r="BT16" s="1">
        <f t="shared" si="23"/>
        <v>1604722</v>
      </c>
      <c r="BU16" s="1">
        <f t="shared" si="23"/>
        <v>940426</v>
      </c>
      <c r="BW16" s="1">
        <f>+datos!JK1</f>
        <v>271</v>
      </c>
      <c r="BX16" s="1">
        <f t="shared" si="39"/>
        <v>1160.8509698299999</v>
      </c>
      <c r="BY16" s="1">
        <f t="shared" si="40"/>
        <v>1325.9809374500001</v>
      </c>
      <c r="CA16" s="1">
        <f>+datos!KP1</f>
        <v>302</v>
      </c>
      <c r="CB16" s="2">
        <f t="shared" si="24"/>
        <v>2.8991184899999998</v>
      </c>
      <c r="CC16" s="2">
        <f t="shared" si="25"/>
        <v>0.74372273</v>
      </c>
      <c r="CE16" s="1">
        <f>+datos!IJ1</f>
        <v>244</v>
      </c>
      <c r="CF16" s="1">
        <f t="shared" si="26"/>
        <v>2.1563835150032644</v>
      </c>
      <c r="CG16" s="1">
        <f t="shared" si="27"/>
        <v>1.9885213252125911</v>
      </c>
      <c r="CI16" s="1">
        <f t="shared" si="28"/>
        <v>156.99934678</v>
      </c>
      <c r="CJ16" s="1">
        <f t="shared" si="28"/>
        <v>115.53726275000001</v>
      </c>
      <c r="CK16" s="1">
        <f t="shared" si="28"/>
        <v>98.487414479999984</v>
      </c>
      <c r="CL16" s="1">
        <f t="shared" si="28"/>
        <v>63.473924160000003</v>
      </c>
      <c r="CM16" s="1">
        <f t="shared" si="28"/>
        <v>65.127016839999982</v>
      </c>
      <c r="CN16" s="1">
        <f t="shared" si="28"/>
        <v>70.784594500000011</v>
      </c>
      <c r="CO16" s="1">
        <f t="shared" si="28"/>
        <v>111.62267066999999</v>
      </c>
      <c r="CP16" s="1">
        <f t="shared" si="28"/>
        <v>100.80321882999999</v>
      </c>
      <c r="CQ16" s="1">
        <f t="shared" si="28"/>
        <v>90.064767340000003</v>
      </c>
      <c r="CR16" s="1">
        <f t="shared" si="28"/>
        <v>96.183340330000021</v>
      </c>
      <c r="CS16" s="1">
        <f t="shared" si="28"/>
        <v>89.024842150000026</v>
      </c>
      <c r="CT16" s="1">
        <f t="shared" si="28"/>
        <v>102.74257099999998</v>
      </c>
      <c r="CU16" s="1">
        <f t="shared" si="28"/>
        <v>102.43695814</v>
      </c>
      <c r="CV16" s="1">
        <f t="shared" si="28"/>
        <v>100.03941109999997</v>
      </c>
      <c r="CW16" s="1">
        <f t="shared" si="28"/>
        <v>89.79279253</v>
      </c>
      <c r="CX16" s="1">
        <f t="shared" si="28"/>
        <v>102.39153366000001</v>
      </c>
      <c r="CY16" s="1">
        <f t="shared" si="29"/>
        <v>98.470728969999996</v>
      </c>
      <c r="CZ16" s="1">
        <f t="shared" si="29"/>
        <v>134.53858048999999</v>
      </c>
      <c r="DA16" s="1">
        <f t="shared" si="29"/>
        <v>116.52197384999999</v>
      </c>
      <c r="DB16" s="1">
        <f t="shared" si="29"/>
        <v>130.05927615000002</v>
      </c>
      <c r="DC16" s="1">
        <f t="shared" si="29"/>
        <v>105.24839114999997</v>
      </c>
      <c r="DD16" s="1">
        <f t="shared" si="29"/>
        <v>106.58558735000001</v>
      </c>
      <c r="DE16" s="1">
        <f t="shared" si="29"/>
        <v>136.66063392000001</v>
      </c>
      <c r="DF16" s="1">
        <f t="shared" si="29"/>
        <v>103.23507013999998</v>
      </c>
      <c r="DH16" s="1">
        <f t="shared" si="30"/>
        <v>4.2737620000000004E-2</v>
      </c>
      <c r="DI16" s="1">
        <f t="shared" si="30"/>
        <v>8.6628999999999998E-2</v>
      </c>
      <c r="DJ16" s="1">
        <f t="shared" si="30"/>
        <v>8.4906640000000005E-2</v>
      </c>
      <c r="DK16" s="1">
        <f t="shared" si="30"/>
        <v>8.714181E-2</v>
      </c>
      <c r="DL16" s="1">
        <f t="shared" si="30"/>
        <v>0.111375</v>
      </c>
      <c r="DM16" s="1">
        <f t="shared" si="30"/>
        <v>0.12514284000000001</v>
      </c>
      <c r="DN16" s="1">
        <f t="shared" si="30"/>
        <v>0.69674917999999986</v>
      </c>
      <c r="DO16" s="1">
        <f t="shared" si="30"/>
        <v>0.79684906</v>
      </c>
      <c r="DP16" s="1">
        <f t="shared" si="30"/>
        <v>0.24194792999999998</v>
      </c>
      <c r="DQ16" s="1">
        <f t="shared" si="30"/>
        <v>0.11713932000000001</v>
      </c>
      <c r="DR16" s="1">
        <f t="shared" si="30"/>
        <v>0.45286999999999999</v>
      </c>
      <c r="DS16" s="1">
        <f t="shared" si="30"/>
        <v>5.563009E-2</v>
      </c>
      <c r="DT16" s="1">
        <f t="shared" si="30"/>
        <v>2.7416000000000002E-4</v>
      </c>
      <c r="DU16" s="1">
        <f t="shared" si="30"/>
        <v>0.12031510000000001</v>
      </c>
      <c r="DV16" s="1">
        <f t="shared" si="30"/>
        <v>0.13456720999999999</v>
      </c>
      <c r="DW16" s="1">
        <f t="shared" si="30"/>
        <v>6.1200000000000002E-4</v>
      </c>
      <c r="DX16" s="1">
        <f t="shared" si="31"/>
        <v>0</v>
      </c>
      <c r="DY16" s="1">
        <f t="shared" si="31"/>
        <v>5.2170000000000003E-3</v>
      </c>
      <c r="DZ16" s="1">
        <f t="shared" si="31"/>
        <v>0.10975939999999999</v>
      </c>
      <c r="EA16" s="1">
        <f t="shared" si="31"/>
        <v>9.1243839999999993E-2</v>
      </c>
      <c r="EB16" s="1">
        <f t="shared" si="31"/>
        <v>2.016E-3</v>
      </c>
      <c r="EC16" s="1">
        <f t="shared" si="31"/>
        <v>0.21936422</v>
      </c>
      <c r="ED16" s="1">
        <f t="shared" si="31"/>
        <v>0</v>
      </c>
      <c r="EE16" s="1">
        <f t="shared" si="31"/>
        <v>6.0353800000000006E-2</v>
      </c>
      <c r="EG16" s="14">
        <f t="shared" si="32"/>
        <v>2.1563835150032644</v>
      </c>
      <c r="EH16" s="14">
        <f t="shared" si="32"/>
        <v>2.1563835150032644</v>
      </c>
      <c r="EI16" s="1">
        <f t="shared" si="32"/>
        <v>2.1563835150032644</v>
      </c>
      <c r="EJ16" s="1">
        <f t="shared" si="32"/>
        <v>2.1563835150032644</v>
      </c>
      <c r="EK16" s="1">
        <f t="shared" si="32"/>
        <v>2.1563835150032644</v>
      </c>
      <c r="EL16" s="1">
        <f t="shared" si="32"/>
        <v>1.9885213252125911</v>
      </c>
      <c r="EM16" s="1">
        <f t="shared" si="32"/>
        <v>1.9885213252125911</v>
      </c>
      <c r="EN16" s="1">
        <f t="shared" si="32"/>
        <v>1.9885213252125911</v>
      </c>
      <c r="EO16" s="1">
        <f t="shared" si="32"/>
        <v>1.9885213252125911</v>
      </c>
      <c r="EP16" s="1">
        <f t="shared" si="32"/>
        <v>1.9885213252125911</v>
      </c>
      <c r="EQ16" s="1">
        <f t="shared" si="32"/>
        <v>1.9885213252125911</v>
      </c>
      <c r="ER16" s="1">
        <f t="shared" si="32"/>
        <v>1.9885213252125911</v>
      </c>
      <c r="ES16" s="1">
        <f t="shared" si="32"/>
        <v>1.9885213252125911</v>
      </c>
      <c r="ET16" s="1">
        <f t="shared" si="32"/>
        <v>1.9885213252125911</v>
      </c>
      <c r="EU16" s="1">
        <f t="shared" si="32"/>
        <v>1.9885213252125911</v>
      </c>
      <c r="EV16" s="1">
        <f t="shared" si="32"/>
        <v>1.9885213252125911</v>
      </c>
      <c r="EW16" s="1">
        <f t="shared" si="33"/>
        <v>1.9885213252125911</v>
      </c>
      <c r="EX16" s="1">
        <f t="shared" si="33"/>
        <v>1.9885213252125911</v>
      </c>
      <c r="EY16" s="1">
        <f t="shared" si="33"/>
        <v>1.9040737312717446</v>
      </c>
      <c r="EZ16" s="1">
        <f t="shared" si="33"/>
        <v>1.9040737312717446</v>
      </c>
      <c r="FA16" s="1">
        <f t="shared" si="33"/>
        <v>1.9040737312717446</v>
      </c>
      <c r="FB16" s="1">
        <f t="shared" si="33"/>
        <v>1.9040737312717446</v>
      </c>
      <c r="FC16" s="1">
        <f t="shared" si="33"/>
        <v>1.9040737312717446</v>
      </c>
      <c r="FD16" s="1">
        <f t="shared" si="33"/>
        <v>1.9040737312717446</v>
      </c>
      <c r="FF16" s="162">
        <f t="shared" si="34"/>
        <v>0.20122953690561296</v>
      </c>
    </row>
    <row r="17" spans="1:162" ht="18.75" customHeight="1">
      <c r="A17" s="244" t="s">
        <v>76</v>
      </c>
      <c r="B17" s="247"/>
      <c r="C17" s="228">
        <f t="shared" si="5"/>
        <v>-0.99</v>
      </c>
      <c r="D17" s="229">
        <v>-1</v>
      </c>
      <c r="E17" s="253">
        <f t="shared" si="6"/>
        <v>2.0979020979021046E-2</v>
      </c>
      <c r="F17" s="254">
        <f t="shared" si="7"/>
        <v>-2.0737476710002367E-2</v>
      </c>
      <c r="G17" s="253">
        <f t="shared" si="8"/>
        <v>2.7177501223637046E-2</v>
      </c>
      <c r="H17" s="254">
        <f t="shared" si="9"/>
        <v>-6.1984802446160003E-3</v>
      </c>
      <c r="I17" s="253">
        <f t="shared" si="10"/>
        <v>2.7004608294930876</v>
      </c>
      <c r="J17" s="254">
        <f t="shared" si="11"/>
        <v>0.33334250048071201</v>
      </c>
      <c r="K17" s="253">
        <f t="shared" si="12"/>
        <v>1.889343948151653</v>
      </c>
      <c r="L17" s="254">
        <f t="shared" si="13"/>
        <v>0.81111688134143467</v>
      </c>
      <c r="M17" s="255"/>
      <c r="N17" s="256">
        <v>-1</v>
      </c>
      <c r="O17" s="253">
        <f>IFERROR(+BP17/BQ17-1,"")</f>
        <v>0</v>
      </c>
      <c r="P17" s="257">
        <f t="shared" si="36"/>
        <v>0</v>
      </c>
      <c r="Q17" s="253">
        <f t="shared" si="14"/>
        <v>-5.5834866135295314E-2</v>
      </c>
      <c r="R17" s="257">
        <f t="shared" si="37"/>
        <v>-5.5834866135295314E-2</v>
      </c>
      <c r="S17" s="255"/>
      <c r="T17" s="256">
        <v>-1</v>
      </c>
      <c r="U17" s="253">
        <f t="shared" si="15"/>
        <v>-6.037555342004286E-2</v>
      </c>
      <c r="V17" s="258">
        <f t="shared" si="16"/>
        <v>-6.037555342004286E-2</v>
      </c>
      <c r="W17" s="253"/>
      <c r="X17" s="258"/>
      <c r="Y17" s="253">
        <f t="shared" si="18"/>
        <v>0</v>
      </c>
      <c r="Z17" s="258">
        <f t="shared" si="19"/>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O17" s="28">
        <f>VLOOKUP($A17,historia!$A$5:$CM$24,+HLOOKUP(AO$2,historia!$A$3:$EC$4,2,FALSE),FALSE)</f>
        <v>5</v>
      </c>
      <c r="AP17" s="28">
        <f>VLOOKUP($A17,historia!$A$5:$CM$24,+HLOOKUP(AP$2,historia!$A$3:$EC$4,2,FALSE),FALSE)</f>
        <v>5</v>
      </c>
      <c r="AQ17" s="28">
        <f>VLOOKUP($A17,historia!$A$5:$CM$24,+HLOOKUP(AQ$2,historia!$A$3:$EC$4,2,FALSE),FALSE)</f>
        <v>5</v>
      </c>
      <c r="AR17" s="28">
        <f>VLOOKUP($A17,historia!$A$5:$CM$24,+HLOOKUP(AR$2,historia!$A$3:$EC$4,2,FALSE),FALSE)</f>
        <v>5</v>
      </c>
      <c r="AS17" s="5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v>3</v>
      </c>
      <c r="BA17" s="30"/>
      <c r="BB17" s="141">
        <v>5</v>
      </c>
      <c r="BC17" t="str">
        <f t="shared" si="20"/>
        <v>Miel</v>
      </c>
      <c r="BD17">
        <f>+datos!BV1</f>
        <v>74</v>
      </c>
      <c r="BE17" s="2" t="str">
        <f t="shared" si="4"/>
        <v>$/kg</v>
      </c>
      <c r="BF17" s="2">
        <f t="shared" si="4"/>
        <v>1606</v>
      </c>
      <c r="BG17" s="2">
        <f t="shared" si="4"/>
        <v>1573</v>
      </c>
      <c r="BH17" s="2">
        <f t="shared" si="4"/>
        <v>434</v>
      </c>
      <c r="BJ17">
        <f>+datos!DH1</f>
        <v>112</v>
      </c>
      <c r="BK17" s="2">
        <f t="shared" si="21"/>
        <v>8246.7402385667556</v>
      </c>
      <c r="BL17" s="2">
        <f t="shared" si="21"/>
        <v>8028.5444616366021</v>
      </c>
      <c r="BM17" s="2">
        <f t="shared" si="21"/>
        <v>2854.1912581374368</v>
      </c>
      <c r="BO17" s="1">
        <f>+datos!EQ1</f>
        <v>147</v>
      </c>
      <c r="BP17" s="1">
        <f t="shared" si="22"/>
        <v>3500000</v>
      </c>
      <c r="BQ17" s="1">
        <f t="shared" si="22"/>
        <v>3500000</v>
      </c>
      <c r="BS17" s="1">
        <f>+datos!GP1</f>
        <v>198</v>
      </c>
      <c r="BT17" s="1">
        <f t="shared" si="23"/>
        <v>69297</v>
      </c>
      <c r="BU17" s="1">
        <f t="shared" si="23"/>
        <v>73395</v>
      </c>
      <c r="BW17" s="1">
        <f>+datos!KE1</f>
        <v>291</v>
      </c>
      <c r="BX17" s="1">
        <f t="shared" si="39"/>
        <v>200.95460326000003</v>
      </c>
      <c r="BY17" s="1">
        <f t="shared" si="40"/>
        <v>213.86693800000003</v>
      </c>
      <c r="CA17" s="1">
        <f>+datos!LJ1</f>
        <v>322</v>
      </c>
      <c r="CB17" s="2">
        <f t="shared" si="24"/>
        <v>9.3139300000000008E-2</v>
      </c>
      <c r="CC17" s="2">
        <f>+SUM(DT17:EE17)</f>
        <v>8.0053139999999995E-2</v>
      </c>
      <c r="CE17" s="1">
        <f>+datos!IZ1</f>
        <v>260</v>
      </c>
      <c r="CF17" s="1">
        <f t="shared" si="26"/>
        <v>0.3</v>
      </c>
      <c r="CG17" s="1">
        <f t="shared" si="27"/>
        <v>0.3</v>
      </c>
      <c r="CI17" s="1">
        <f t="shared" si="28"/>
        <v>18.934177090000006</v>
      </c>
      <c r="CJ17" s="1">
        <f t="shared" si="28"/>
        <v>18.049853030000005</v>
      </c>
      <c r="CK17" s="1">
        <f t="shared" si="28"/>
        <v>20.702965450000001</v>
      </c>
      <c r="CL17" s="1">
        <f t="shared" si="28"/>
        <v>19.199801710000003</v>
      </c>
      <c r="CM17" s="1">
        <f t="shared" si="28"/>
        <v>16.174522229999997</v>
      </c>
      <c r="CN17" s="1">
        <f t="shared" si="28"/>
        <v>22.082734950000003</v>
      </c>
      <c r="CO17" s="1">
        <f t="shared" si="28"/>
        <v>13.392344960000001</v>
      </c>
      <c r="CP17" s="1">
        <f t="shared" si="28"/>
        <v>10.971998660000001</v>
      </c>
      <c r="CQ17" s="1">
        <f t="shared" si="28"/>
        <v>12.805239539999999</v>
      </c>
      <c r="CR17" s="1">
        <f t="shared" si="28"/>
        <v>13.943876809999997</v>
      </c>
      <c r="CS17" s="1">
        <f t="shared" si="28"/>
        <v>17.891480939999997</v>
      </c>
      <c r="CT17" s="1">
        <f t="shared" si="28"/>
        <v>16.805607889999997</v>
      </c>
      <c r="CU17" s="1">
        <f t="shared" si="28"/>
        <v>21.325973759999997</v>
      </c>
      <c r="CV17" s="1">
        <f t="shared" si="28"/>
        <v>17.230385739999999</v>
      </c>
      <c r="CW17" s="1">
        <f t="shared" si="28"/>
        <v>14.837575590000002</v>
      </c>
      <c r="CX17" s="1">
        <f t="shared" si="28"/>
        <v>17.476901599999998</v>
      </c>
      <c r="CY17" s="1">
        <f t="shared" si="29"/>
        <v>23.512884059999998</v>
      </c>
      <c r="CZ17" s="1">
        <f t="shared" si="29"/>
        <v>18.814354810000005</v>
      </c>
      <c r="DA17" s="1">
        <f t="shared" si="29"/>
        <v>15.47450873</v>
      </c>
      <c r="DB17" s="1">
        <f t="shared" si="29"/>
        <v>18.752158659999996</v>
      </c>
      <c r="DC17" s="1">
        <f t="shared" si="29"/>
        <v>13.663636670000002</v>
      </c>
      <c r="DD17" s="1">
        <f t="shared" si="29"/>
        <v>12.97807542</v>
      </c>
      <c r="DE17" s="1">
        <f t="shared" si="29"/>
        <v>21.851292619999999</v>
      </c>
      <c r="DF17" s="1">
        <f t="shared" si="29"/>
        <v>17.949190340000005</v>
      </c>
      <c r="DH17" s="1">
        <f t="shared" si="30"/>
        <v>0</v>
      </c>
      <c r="DI17" s="1">
        <f t="shared" si="30"/>
        <v>0</v>
      </c>
      <c r="DJ17" s="1">
        <f t="shared" si="30"/>
        <v>0</v>
      </c>
      <c r="DK17" s="1">
        <f t="shared" si="30"/>
        <v>0</v>
      </c>
      <c r="DL17" s="1">
        <f t="shared" si="30"/>
        <v>0</v>
      </c>
      <c r="DM17" s="1">
        <f t="shared" si="30"/>
        <v>5.2539300000000004E-2</v>
      </c>
      <c r="DN17" s="1">
        <f t="shared" si="30"/>
        <v>0</v>
      </c>
      <c r="DO17" s="1">
        <f t="shared" si="30"/>
        <v>0</v>
      </c>
      <c r="DP17" s="1">
        <f t="shared" si="30"/>
        <v>4.0599999999999997E-2</v>
      </c>
      <c r="DQ17" s="1">
        <f t="shared" si="30"/>
        <v>0</v>
      </c>
      <c r="DR17" s="1">
        <f t="shared" si="30"/>
        <v>0</v>
      </c>
      <c r="DS17" s="1">
        <f t="shared" si="30"/>
        <v>0</v>
      </c>
      <c r="DT17" s="1">
        <f t="shared" si="30"/>
        <v>0</v>
      </c>
      <c r="DU17" s="1">
        <f t="shared" si="30"/>
        <v>0</v>
      </c>
      <c r="DV17" s="1">
        <f t="shared" si="30"/>
        <v>0</v>
      </c>
      <c r="DW17" s="1">
        <f t="shared" si="30"/>
        <v>7.038E-3</v>
      </c>
      <c r="DX17" s="1">
        <f t="shared" si="31"/>
        <v>0</v>
      </c>
      <c r="DY17" s="1">
        <f t="shared" si="31"/>
        <v>0</v>
      </c>
      <c r="DZ17" s="1">
        <f t="shared" si="31"/>
        <v>0</v>
      </c>
      <c r="EA17" s="1">
        <f t="shared" si="31"/>
        <v>0</v>
      </c>
      <c r="EB17" s="1">
        <f t="shared" si="31"/>
        <v>0</v>
      </c>
      <c r="EC17" s="1">
        <f t="shared" si="31"/>
        <v>5.9353800000000005E-2</v>
      </c>
      <c r="ED17" s="1">
        <f t="shared" si="31"/>
        <v>0</v>
      </c>
      <c r="EE17" s="1">
        <f t="shared" si="31"/>
        <v>1.3661339999999999E-2</v>
      </c>
      <c r="EG17" s="14">
        <f t="shared" si="32"/>
        <v>0.3</v>
      </c>
      <c r="EH17" s="14">
        <f t="shared" si="32"/>
        <v>0.3</v>
      </c>
      <c r="EI17" s="1">
        <f t="shared" si="32"/>
        <v>0.3</v>
      </c>
      <c r="EJ17" s="1">
        <f t="shared" si="32"/>
        <v>0.3</v>
      </c>
      <c r="EK17" s="1">
        <f t="shared" si="32"/>
        <v>0.3</v>
      </c>
      <c r="EL17" s="1">
        <f t="shared" si="32"/>
        <v>0.3</v>
      </c>
      <c r="EM17" s="1">
        <f t="shared" si="32"/>
        <v>0.3</v>
      </c>
      <c r="EN17" s="1">
        <f t="shared" si="32"/>
        <v>0.3</v>
      </c>
      <c r="EO17" s="1">
        <f t="shared" si="32"/>
        <v>0.3</v>
      </c>
      <c r="EP17" s="1">
        <f t="shared" si="32"/>
        <v>0.3</v>
      </c>
      <c r="EQ17" s="1">
        <f t="shared" si="32"/>
        <v>0.3</v>
      </c>
      <c r="ER17" s="1">
        <f t="shared" si="32"/>
        <v>0.3</v>
      </c>
      <c r="ES17" s="1">
        <f t="shared" si="32"/>
        <v>0.3</v>
      </c>
      <c r="ET17" s="1">
        <f t="shared" si="32"/>
        <v>0.3</v>
      </c>
      <c r="EU17" s="1">
        <f t="shared" si="32"/>
        <v>0.3</v>
      </c>
      <c r="EV17" s="1">
        <f t="shared" si="32"/>
        <v>0.3</v>
      </c>
      <c r="EW17" s="1">
        <f t="shared" si="33"/>
        <v>0.3</v>
      </c>
      <c r="EX17" s="1">
        <f t="shared" si="33"/>
        <v>0.3</v>
      </c>
      <c r="EY17" s="1">
        <f t="shared" si="33"/>
        <v>0.3</v>
      </c>
      <c r="EZ17" s="1">
        <f t="shared" si="33"/>
        <v>0.3</v>
      </c>
      <c r="FA17" s="1">
        <f t="shared" si="33"/>
        <v>0.3</v>
      </c>
      <c r="FB17" s="1">
        <f t="shared" si="33"/>
        <v>0.3</v>
      </c>
      <c r="FC17" s="1">
        <f t="shared" si="33"/>
        <v>0.3</v>
      </c>
      <c r="FD17" s="1">
        <f t="shared" si="33"/>
        <v>0.3</v>
      </c>
      <c r="FF17" s="162">
        <f t="shared" si="34"/>
        <v>0.81111688134143467</v>
      </c>
    </row>
    <row r="18" spans="1:162" ht="18.75" customHeight="1">
      <c r="A18" s="243" t="s">
        <v>222</v>
      </c>
      <c r="B18" s="246"/>
      <c r="C18" s="156">
        <f t="shared" si="5"/>
        <v>-0.33</v>
      </c>
      <c r="D18" s="198">
        <v>1</v>
      </c>
      <c r="E18" s="248">
        <f t="shared" si="6"/>
        <v>2.213179553119593E-2</v>
      </c>
      <c r="F18" s="249">
        <f t="shared" si="7"/>
        <v>-1.9584702157827483E-2</v>
      </c>
      <c r="G18" s="248">
        <f t="shared" si="8"/>
        <v>3.0212465183168113E-2</v>
      </c>
      <c r="H18" s="249">
        <f t="shared" si="9"/>
        <v>-8.0806696519721832E-3</v>
      </c>
      <c r="I18" s="253">
        <f t="shared" si="10"/>
        <v>2.2714430099321437</v>
      </c>
      <c r="J18" s="254">
        <f t="shared" si="11"/>
        <v>-9.5675319080231969E-2</v>
      </c>
      <c r="K18" s="248">
        <f t="shared" si="12"/>
        <v>2.0341165655333091</v>
      </c>
      <c r="L18" s="249">
        <f t="shared" si="13"/>
        <v>0.23732644439883455</v>
      </c>
      <c r="M18" s="250"/>
      <c r="N18" s="24">
        <v>-1</v>
      </c>
      <c r="O18" s="248">
        <f t="shared" si="35"/>
        <v>-1.6802487914109321E-3</v>
      </c>
      <c r="P18" s="251">
        <f t="shared" si="36"/>
        <v>-1.6802487914109321E-3</v>
      </c>
      <c r="Q18" s="248">
        <f t="shared" si="14"/>
        <v>-3.5817010683158457E-2</v>
      </c>
      <c r="R18" s="251">
        <f t="shared" si="37"/>
        <v>-3.5817010683158457E-2</v>
      </c>
      <c r="S18" s="250"/>
      <c r="T18" s="24">
        <v>-1</v>
      </c>
      <c r="U18" s="248">
        <f t="shared" si="15"/>
        <v>-9.0611847787970157E-2</v>
      </c>
      <c r="V18" s="252">
        <f t="shared" si="16"/>
        <v>-9.0611847787970157E-2</v>
      </c>
      <c r="W18" s="248">
        <f t="shared" si="38"/>
        <v>-0.12349840480608276</v>
      </c>
      <c r="X18" s="252">
        <f t="shared" si="17"/>
        <v>-0.12349840480608276</v>
      </c>
      <c r="Y18" s="248">
        <f t="shared" si="18"/>
        <v>0</v>
      </c>
      <c r="Z18" s="252">
        <f t="shared" si="19"/>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O18" s="28">
        <f>VLOOKUP($A18,historia!$A$5:$CM$24,+HLOOKUP(AO$2,historia!$A$3:$EC$4,2,FALSE),FALSE)</f>
        <v>4</v>
      </c>
      <c r="AP18" s="28">
        <f>VLOOKUP($A18,historia!$A$5:$CM$24,+HLOOKUP(AP$2,historia!$A$3:$EC$4,2,FALSE),FALSE)</f>
        <v>4</v>
      </c>
      <c r="AQ18" s="28">
        <f>VLOOKUP($A18,historia!$A$5:$CM$24,+HLOOKUP(AQ$2,historia!$A$3:$EC$4,2,FALSE),FALSE)</f>
        <v>4</v>
      </c>
      <c r="AR18" s="28">
        <f>VLOOKUP($A18,historia!$A$5:$CM$24,+HLOOKUP(AR$2,historia!$A$3:$EC$4,2,FALSE),FALSE)</f>
        <v>4</v>
      </c>
      <c r="AS18" s="58">
        <f>VLOOKUP($A18,historia!$A$5:$CM$24,+HLOOKUP(AS$2,historia!$A$3:$EC$4,2,FALSE),FALSE)</f>
        <v>4</v>
      </c>
      <c r="AT18" s="58">
        <f>VLOOKUP($A18,historia!$A$5:$CM$24,+HLOOKUP(AT$2,historia!$A$3:$EC$4,2,FALSE),FALSE)</f>
        <v>4</v>
      </c>
      <c r="AU18" s="58">
        <f>VLOOKUP($A18,historia!$A$5:$CM$24,+HLOOKUP(AU$2,historia!$A$3:$EC$4,2,FALSE),FALSE)</f>
        <v>4</v>
      </c>
      <c r="AV18" s="58">
        <f>VLOOKUP($A18,historia!$A$5:$CM$24,+HLOOKUP(AV$2,historia!$A$3:$EC$4,2,FALSE),FALSE)</f>
        <v>4</v>
      </c>
      <c r="AW18" s="58">
        <f>VLOOKUP($A18,historia!$A$5:$CM$24,+HLOOKUP(AW$2,historia!$A$3:$EC$4,2,FALSE),FALSE)</f>
        <v>5</v>
      </c>
      <c r="AX18" s="58">
        <f>VLOOKUP($A18,historia!$A$5:$CM$24,+HLOOKUP(AX$2,historia!$A$3:$EC$4,2,FALSE),FALSE)</f>
        <v>5</v>
      </c>
      <c r="AY18" s="58">
        <f>VLOOKUP($A18,historia!$A$5:$CM$24,+HLOOKUP(AY$2,historia!$A$3:$EC$4,2,FALSE),FALSE)</f>
        <v>4</v>
      </c>
      <c r="AZ18" s="58">
        <v>4</v>
      </c>
      <c r="BA18" s="30"/>
      <c r="BB18" s="141">
        <v>4</v>
      </c>
      <c r="BC18" t="str">
        <f t="shared" si="20"/>
        <v>Ovino</v>
      </c>
      <c r="BD18">
        <f>+datos!BU1</f>
        <v>73</v>
      </c>
      <c r="BE18" s="2" t="str">
        <f t="shared" si="4"/>
        <v>$/kg</v>
      </c>
      <c r="BF18" s="2">
        <f t="shared" si="4"/>
        <v>58389.074699999997</v>
      </c>
      <c r="BG18" s="2">
        <f t="shared" si="4"/>
        <v>57124.800300000003</v>
      </c>
      <c r="BH18" s="2">
        <f t="shared" si="4"/>
        <v>17848.11</v>
      </c>
      <c r="BJ18">
        <f>+datos!DI1</f>
        <v>113</v>
      </c>
      <c r="BK18" s="2">
        <f t="shared" si="21"/>
        <v>8201.4091420608238</v>
      </c>
      <c r="BL18" s="2">
        <f t="shared" si="21"/>
        <v>7960.8909998993677</v>
      </c>
      <c r="BM18" s="2">
        <f t="shared" si="21"/>
        <v>2703.0633019266534</v>
      </c>
      <c r="BO18" s="1">
        <f>+datos!EL1</f>
        <v>142</v>
      </c>
      <c r="BP18" s="1">
        <f t="shared" si="22"/>
        <v>12440906</v>
      </c>
      <c r="BQ18" s="1">
        <f t="shared" si="22"/>
        <v>12461845</v>
      </c>
      <c r="BS18" s="1">
        <f>+datos!GS1</f>
        <v>201</v>
      </c>
      <c r="BT18" s="1">
        <f t="shared" si="23"/>
        <v>34694.910000000003</v>
      </c>
      <c r="BU18" s="1">
        <f t="shared" si="23"/>
        <v>35983.74</v>
      </c>
      <c r="BW18" s="1">
        <f>+datos!KI1</f>
        <v>295</v>
      </c>
      <c r="BX18" s="1">
        <f t="shared" si="39"/>
        <v>192.00685204000001</v>
      </c>
      <c r="BY18" s="1">
        <f t="shared" si="40"/>
        <v>211.13850183000002</v>
      </c>
      <c r="CA18" s="1">
        <f>+datos!LN1</f>
        <v>326</v>
      </c>
      <c r="CB18" s="2">
        <f t="shared" si="24"/>
        <v>4.1864759400000002</v>
      </c>
      <c r="CC18" s="2">
        <f t="shared" si="25"/>
        <v>4.7763472</v>
      </c>
      <c r="CE18" s="1">
        <f>+datos!JA1</f>
        <v>261</v>
      </c>
      <c r="CF18" s="1">
        <f t="shared" si="26"/>
        <v>2813</v>
      </c>
      <c r="CG18" s="1">
        <f t="shared" si="27"/>
        <v>2813</v>
      </c>
      <c r="CI18" s="1">
        <f t="shared" si="28"/>
        <v>13.430479930000001</v>
      </c>
      <c r="CJ18" s="1">
        <f t="shared" si="28"/>
        <v>15.60716012</v>
      </c>
      <c r="CK18" s="1">
        <f t="shared" si="28"/>
        <v>19.03918719</v>
      </c>
      <c r="CL18" s="1">
        <f t="shared" si="28"/>
        <v>17.774232269999999</v>
      </c>
      <c r="CM18" s="1">
        <f t="shared" si="28"/>
        <v>22.502102959999998</v>
      </c>
      <c r="CN18" s="1">
        <f t="shared" si="28"/>
        <v>22.437193859999997</v>
      </c>
      <c r="CO18" s="1">
        <f t="shared" si="28"/>
        <v>15.322430800000003</v>
      </c>
      <c r="CP18" s="1">
        <f t="shared" si="28"/>
        <v>16.644595240000001</v>
      </c>
      <c r="CQ18" s="1">
        <f t="shared" si="28"/>
        <v>15.83663735</v>
      </c>
      <c r="CR18" s="1">
        <f t="shared" si="28"/>
        <v>13.412348609999999</v>
      </c>
      <c r="CS18" s="1">
        <f t="shared" si="28"/>
        <v>9.5091132299999988</v>
      </c>
      <c r="CT18" s="1">
        <f t="shared" si="28"/>
        <v>10.49137048</v>
      </c>
      <c r="CU18" s="1">
        <f t="shared" si="28"/>
        <v>12.745889309999999</v>
      </c>
      <c r="CV18" s="1">
        <f t="shared" si="28"/>
        <v>11.898747670000001</v>
      </c>
      <c r="CW18" s="1">
        <f t="shared" si="28"/>
        <v>12.26162961</v>
      </c>
      <c r="CX18" s="1">
        <f t="shared" si="28"/>
        <v>21.704121750000002</v>
      </c>
      <c r="CY18" s="1">
        <f t="shared" si="29"/>
        <v>21.006605250000003</v>
      </c>
      <c r="CZ18" s="1">
        <f t="shared" si="29"/>
        <v>22.417077500000001</v>
      </c>
      <c r="DA18" s="1">
        <f t="shared" si="29"/>
        <v>28.978678630000001</v>
      </c>
      <c r="DB18" s="1">
        <f t="shared" si="29"/>
        <v>14.681416690000001</v>
      </c>
      <c r="DC18" s="1">
        <f t="shared" si="29"/>
        <v>20.44206312</v>
      </c>
      <c r="DD18" s="1">
        <f t="shared" si="29"/>
        <v>19.069193389999999</v>
      </c>
      <c r="DE18" s="1">
        <f t="shared" si="29"/>
        <v>11.15247257</v>
      </c>
      <c r="DF18" s="1">
        <f t="shared" si="29"/>
        <v>14.78060634</v>
      </c>
      <c r="DH18" s="1">
        <f t="shared" si="30"/>
        <v>0.18624962</v>
      </c>
      <c r="DI18" s="1">
        <f t="shared" si="30"/>
        <v>0.1577527</v>
      </c>
      <c r="DJ18" s="1">
        <f t="shared" si="30"/>
        <v>0.24821200999999998</v>
      </c>
      <c r="DK18" s="1">
        <f t="shared" si="30"/>
        <v>0.13589592</v>
      </c>
      <c r="DL18" s="1">
        <f t="shared" si="30"/>
        <v>0.23010199000000001</v>
      </c>
      <c r="DM18" s="1">
        <f t="shared" si="30"/>
        <v>4.8750000000000002E-2</v>
      </c>
      <c r="DN18" s="1">
        <f t="shared" si="30"/>
        <v>0.31075020000000003</v>
      </c>
      <c r="DO18" s="1">
        <f t="shared" si="30"/>
        <v>0.90541722000000002</v>
      </c>
      <c r="DP18" s="1">
        <f t="shared" si="30"/>
        <v>0.34283965</v>
      </c>
      <c r="DQ18" s="1">
        <f t="shared" si="30"/>
        <v>0.74167351000000015</v>
      </c>
      <c r="DR18" s="1">
        <f t="shared" si="30"/>
        <v>0.58632921999999998</v>
      </c>
      <c r="DS18" s="1">
        <f t="shared" si="30"/>
        <v>0.29250390000000004</v>
      </c>
      <c r="DT18" s="1">
        <f t="shared" si="30"/>
        <v>0.46645720000000002</v>
      </c>
      <c r="DU18" s="1">
        <f t="shared" si="30"/>
        <v>8.1248630000000002E-2</v>
      </c>
      <c r="DV18" s="1">
        <f t="shared" si="30"/>
        <v>0.16069122999999999</v>
      </c>
      <c r="DW18" s="1">
        <f t="shared" si="30"/>
        <v>0.12834936</v>
      </c>
      <c r="DX18" s="1">
        <f t="shared" si="31"/>
        <v>0.21283820000000001</v>
      </c>
      <c r="DY18" s="1">
        <f t="shared" si="31"/>
        <v>0.28431688999999999</v>
      </c>
      <c r="DZ18" s="1">
        <f t="shared" si="31"/>
        <v>0.27087241000000001</v>
      </c>
      <c r="EA18" s="1">
        <f t="shared" si="31"/>
        <v>0.85465582000000007</v>
      </c>
      <c r="EB18" s="1">
        <f t="shared" si="31"/>
        <v>0.86735239999999991</v>
      </c>
      <c r="EC18" s="1">
        <f t="shared" si="31"/>
        <v>0.68639446999999998</v>
      </c>
      <c r="ED18" s="1">
        <f t="shared" si="31"/>
        <v>0.51198889000000003</v>
      </c>
      <c r="EE18" s="1">
        <f t="shared" si="31"/>
        <v>0.25118170000000001</v>
      </c>
      <c r="EG18" s="14">
        <f t="shared" si="32"/>
        <v>2813</v>
      </c>
      <c r="EH18" s="14">
        <f t="shared" si="32"/>
        <v>2813</v>
      </c>
      <c r="EI18" s="1">
        <f t="shared" si="32"/>
        <v>2813</v>
      </c>
      <c r="EJ18" s="1">
        <f t="shared" si="32"/>
        <v>2813</v>
      </c>
      <c r="EK18" s="1">
        <f t="shared" si="32"/>
        <v>2813</v>
      </c>
      <c r="EL18" s="1">
        <f t="shared" si="32"/>
        <v>2813</v>
      </c>
      <c r="EM18" s="1">
        <f t="shared" si="32"/>
        <v>2813</v>
      </c>
      <c r="EN18" s="1">
        <f t="shared" si="32"/>
        <v>2813</v>
      </c>
      <c r="EO18" s="1">
        <f t="shared" si="32"/>
        <v>2813</v>
      </c>
      <c r="EP18" s="1">
        <f t="shared" si="32"/>
        <v>2813</v>
      </c>
      <c r="EQ18" s="1">
        <f t="shared" si="32"/>
        <v>2813</v>
      </c>
      <c r="ER18" s="1">
        <f t="shared" si="32"/>
        <v>2813</v>
      </c>
      <c r="ES18" s="1">
        <f t="shared" si="32"/>
        <v>2813</v>
      </c>
      <c r="ET18" s="1">
        <f t="shared" si="32"/>
        <v>2813</v>
      </c>
      <c r="EU18" s="1">
        <f t="shared" si="32"/>
        <v>2813</v>
      </c>
      <c r="EV18" s="1">
        <f t="shared" si="32"/>
        <v>2813</v>
      </c>
      <c r="EW18" s="1">
        <f t="shared" si="33"/>
        <v>2813</v>
      </c>
      <c r="EX18" s="1">
        <f t="shared" si="33"/>
        <v>2813</v>
      </c>
      <c r="EY18" s="1">
        <f t="shared" si="33"/>
        <v>2813</v>
      </c>
      <c r="EZ18" s="1">
        <f t="shared" si="33"/>
        <v>2813</v>
      </c>
      <c r="FA18" s="1">
        <f t="shared" si="33"/>
        <v>2813</v>
      </c>
      <c r="FB18" s="1">
        <f t="shared" si="33"/>
        <v>2813</v>
      </c>
      <c r="FC18" s="1">
        <f t="shared" si="33"/>
        <v>2813</v>
      </c>
      <c r="FD18" s="1">
        <f t="shared" si="33"/>
        <v>2813</v>
      </c>
      <c r="FF18" s="162">
        <f t="shared" si="34"/>
        <v>0.23732644439883455</v>
      </c>
    </row>
    <row r="19" spans="1:162" ht="18.75" customHeight="1">
      <c r="A19" s="244" t="s">
        <v>66</v>
      </c>
      <c r="B19" s="247"/>
      <c r="C19" s="228">
        <f t="shared" si="5"/>
        <v>0</v>
      </c>
      <c r="D19" s="229">
        <v>-1</v>
      </c>
      <c r="E19" s="253">
        <f t="shared" si="6"/>
        <v>0.39076022174107972</v>
      </c>
      <c r="F19" s="254">
        <f t="shared" si="7"/>
        <v>0.3490437240520563</v>
      </c>
      <c r="G19" s="253">
        <f t="shared" si="8"/>
        <v>9.5616992862363803E-2</v>
      </c>
      <c r="H19" s="254">
        <f t="shared" si="9"/>
        <v>0.29514322887871591</v>
      </c>
      <c r="I19" s="253">
        <f t="shared" si="10"/>
        <v>1.4785757711571454</v>
      </c>
      <c r="J19" s="254">
        <f t="shared" si="11"/>
        <v>-0.88854255785523018</v>
      </c>
      <c r="K19" s="253">
        <f t="shared" si="12"/>
        <v>1.5192978225636216</v>
      </c>
      <c r="L19" s="254">
        <f t="shared" si="13"/>
        <v>-4.0722051406476112E-2</v>
      </c>
      <c r="M19" s="255"/>
      <c r="N19" s="256">
        <v>0</v>
      </c>
      <c r="O19" s="253">
        <f t="shared" si="35"/>
        <v>6.5265283642371941E-2</v>
      </c>
      <c r="P19" s="257">
        <f t="shared" si="36"/>
        <v>6.5265283642371941E-2</v>
      </c>
      <c r="Q19" s="253">
        <f t="shared" si="14"/>
        <v>-0.10753859789340392</v>
      </c>
      <c r="R19" s="257">
        <v>-0.01</v>
      </c>
      <c r="S19" s="255"/>
      <c r="T19" s="256">
        <v>1</v>
      </c>
      <c r="U19" s="253">
        <f t="shared" si="15"/>
        <v>0.12463229217202465</v>
      </c>
      <c r="V19" s="258">
        <f t="shared" si="16"/>
        <v>0.12463229217202465</v>
      </c>
      <c r="W19" s="253">
        <f t="shared" si="38"/>
        <v>0.58846307024747713</v>
      </c>
      <c r="X19" s="258">
        <f t="shared" si="17"/>
        <v>0.58846307024747713</v>
      </c>
      <c r="Y19" s="253">
        <f t="shared" si="18"/>
        <v>0</v>
      </c>
      <c r="Z19" s="258">
        <f t="shared" si="19"/>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O19" s="28">
        <f>VLOOKUP($A19,historia!$A$5:$CM$24,+HLOOKUP(AO$2,historia!$A$3:$EC$4,2,FALSE),FALSE)</f>
        <v>4</v>
      </c>
      <c r="AP19" s="28">
        <f>VLOOKUP($A19,historia!$A$5:$CM$24,+HLOOKUP(AP$2,historia!$A$3:$EC$4,2,FALSE),FALSE)</f>
        <v>3</v>
      </c>
      <c r="AQ19" s="28">
        <f>VLOOKUP($A19,historia!$A$5:$CM$24,+HLOOKUP(AQ$2,historia!$A$3:$EC$4,2,FALSE),FALSE)</f>
        <v>3</v>
      </c>
      <c r="AR19" s="28">
        <f>VLOOKUP($A19,historia!$A$5:$CM$24,+HLOOKUP(AR$2,historia!$A$3:$EC$4,2,FALSE),FALSE)</f>
        <v>3</v>
      </c>
      <c r="AS19" s="58">
        <f>VLOOKUP($A19,historia!$A$5:$CM$24,+HLOOKUP(AS$2,historia!$A$3:$EC$4,2,FALSE),FALSE)</f>
        <v>4</v>
      </c>
      <c r="AT19" s="58">
        <f>VLOOKUP($A19,historia!$A$5:$CM$24,+HLOOKUP(AT$2,historia!$A$3:$EC$4,2,FALSE),FALSE)</f>
        <v>3</v>
      </c>
      <c r="AU19" s="58">
        <f>VLOOKUP($A19,historia!$A$5:$CM$24,+HLOOKUP(AU$2,historia!$A$3:$EC$4,2,FALSE),FALSE)</f>
        <v>4</v>
      </c>
      <c r="AV19" s="58">
        <f>VLOOKUP($A19,historia!$A$5:$CM$24,+HLOOKUP(AV$2,historia!$A$3:$EC$4,2,FALSE),FALSE)</f>
        <v>4</v>
      </c>
      <c r="AW19" s="58">
        <f>VLOOKUP($A19,historia!$A$5:$CM$24,+HLOOKUP(AW$2,historia!$A$3:$EC$4,2,FALSE),FALSE)</f>
        <v>4</v>
      </c>
      <c r="AX19" s="58">
        <f>VLOOKUP($A19,historia!$A$5:$CM$24,+HLOOKUP(AX$2,historia!$A$3:$EC$4,2,FALSE),FALSE)</f>
        <v>4</v>
      </c>
      <c r="AY19" s="58">
        <f>VLOOKUP($A19,historia!$A$5:$CM$24,+HLOOKUP(AY$2,historia!$A$3:$EC$4,2,FALSE),FALSE)</f>
        <v>3</v>
      </c>
      <c r="AZ19" s="58">
        <v>3</v>
      </c>
      <c r="BA19" s="30"/>
      <c r="BB19" s="141">
        <v>3</v>
      </c>
      <c r="BC19" t="str">
        <f t="shared" si="20"/>
        <v>Papa</v>
      </c>
      <c r="BD19">
        <f>+datos!AV1</f>
        <v>48</v>
      </c>
      <c r="BE19" s="2" t="str">
        <f t="shared" si="4"/>
        <v>$/bolsa 20kg</v>
      </c>
      <c r="BF19" s="2">
        <f t="shared" si="4"/>
        <v>13529.268292682927</v>
      </c>
      <c r="BG19" s="2">
        <f t="shared" si="4"/>
        <v>9727.9661016949158</v>
      </c>
      <c r="BH19" s="2">
        <f t="shared" si="4"/>
        <v>5458.484848484848</v>
      </c>
      <c r="BJ19">
        <f>+datos!CI1</f>
        <v>87</v>
      </c>
      <c r="BK19" s="2">
        <f t="shared" si="21"/>
        <v>9889.0226515786599</v>
      </c>
      <c r="BL19" s="2">
        <f t="shared" si="21"/>
        <v>9025.9850988099479</v>
      </c>
      <c r="BM19" s="2">
        <f t="shared" si="21"/>
        <v>3925.3090932757018</v>
      </c>
      <c r="BO19" s="1">
        <f>+datos!EZ1</f>
        <v>156</v>
      </c>
      <c r="BP19" s="1">
        <f t="shared" si="22"/>
        <v>34815</v>
      </c>
      <c r="BQ19" s="1">
        <f t="shared" si="22"/>
        <v>32682</v>
      </c>
      <c r="BS19" s="1">
        <f>+datos!GT1</f>
        <v>202</v>
      </c>
      <c r="BT19" s="1">
        <f t="shared" si="23"/>
        <v>2111561</v>
      </c>
      <c r="BU19" s="1">
        <f t="shared" si="23"/>
        <v>2365997</v>
      </c>
      <c r="BW19" s="1">
        <f>+datos!JO1</f>
        <v>275</v>
      </c>
      <c r="BX19" s="1">
        <f t="shared" si="39"/>
        <v>346.41590180000009</v>
      </c>
      <c r="BY19" s="1">
        <f t="shared" si="40"/>
        <v>308.02592475</v>
      </c>
      <c r="CA19" s="1">
        <f>+datos!KT1</f>
        <v>306</v>
      </c>
      <c r="CB19" s="2">
        <f t="shared" si="24"/>
        <v>19.333362190000003</v>
      </c>
      <c r="CC19" s="2">
        <f t="shared" si="25"/>
        <v>12.17111216</v>
      </c>
      <c r="CE19" s="1">
        <f>+datos!JB1</f>
        <v>262</v>
      </c>
      <c r="CF19" s="1">
        <f t="shared" si="26"/>
        <v>35.950000000000003</v>
      </c>
      <c r="CG19" s="1">
        <f t="shared" si="27"/>
        <v>35.950000000000003</v>
      </c>
      <c r="CI19" s="1">
        <f t="shared" si="28"/>
        <v>30.584450140000001</v>
      </c>
      <c r="CJ19" s="1">
        <f t="shared" si="28"/>
        <v>34.87822036</v>
      </c>
      <c r="CK19" s="1">
        <f t="shared" si="28"/>
        <v>30.986019150000001</v>
      </c>
      <c r="CL19" s="1">
        <f t="shared" si="28"/>
        <v>34.45773063</v>
      </c>
      <c r="CM19" s="1">
        <f t="shared" si="28"/>
        <v>33.675059580000003</v>
      </c>
      <c r="CN19" s="1">
        <f t="shared" si="28"/>
        <v>28.924508010000004</v>
      </c>
      <c r="CO19" s="1">
        <f t="shared" si="28"/>
        <v>27.954086790000002</v>
      </c>
      <c r="CP19" s="1">
        <f t="shared" si="28"/>
        <v>24.143815810000007</v>
      </c>
      <c r="CQ19" s="1">
        <f t="shared" si="28"/>
        <v>26.000694290000002</v>
      </c>
      <c r="CR19" s="1">
        <f t="shared" si="28"/>
        <v>22.013274209999999</v>
      </c>
      <c r="CS19" s="1">
        <f t="shared" si="28"/>
        <v>23.44114875</v>
      </c>
      <c r="CT19" s="1">
        <f t="shared" si="28"/>
        <v>29.35689408</v>
      </c>
      <c r="CU19" s="1">
        <f t="shared" si="28"/>
        <v>26.11967611</v>
      </c>
      <c r="CV19" s="1">
        <f t="shared" si="28"/>
        <v>30.386509889999999</v>
      </c>
      <c r="CW19" s="1">
        <f t="shared" si="28"/>
        <v>26.2743097</v>
      </c>
      <c r="CX19" s="1">
        <f t="shared" si="28"/>
        <v>30.80704394</v>
      </c>
      <c r="CY19" s="1">
        <f t="shared" si="29"/>
        <v>27.637267510000001</v>
      </c>
      <c r="CZ19" s="1">
        <f t="shared" si="29"/>
        <v>30.470799569999997</v>
      </c>
      <c r="DA19" s="1">
        <f t="shared" si="29"/>
        <v>25.884569989999999</v>
      </c>
      <c r="DB19" s="1">
        <f t="shared" si="29"/>
        <v>21.159077390000004</v>
      </c>
      <c r="DC19" s="1">
        <f t="shared" si="29"/>
        <v>21.056863770000003</v>
      </c>
      <c r="DD19" s="1">
        <f t="shared" si="29"/>
        <v>16.985680380000005</v>
      </c>
      <c r="DE19" s="1">
        <f t="shared" si="29"/>
        <v>25.68249277</v>
      </c>
      <c r="DF19" s="1">
        <f t="shared" si="29"/>
        <v>25.561633730000004</v>
      </c>
      <c r="DH19" s="1">
        <f t="shared" si="30"/>
        <v>0.79104531999999994</v>
      </c>
      <c r="DI19" s="1">
        <f t="shared" si="30"/>
        <v>1.6294275100000002</v>
      </c>
      <c r="DJ19" s="1">
        <f t="shared" si="30"/>
        <v>1.8725515799999999</v>
      </c>
      <c r="DK19" s="1">
        <f t="shared" si="30"/>
        <v>1.9938344900000002</v>
      </c>
      <c r="DL19" s="1">
        <f t="shared" si="30"/>
        <v>1.4070700599999999</v>
      </c>
      <c r="DM19" s="1">
        <f t="shared" si="30"/>
        <v>0.5838748800000001</v>
      </c>
      <c r="DN19" s="1">
        <f t="shared" si="30"/>
        <v>1.6300787399999999</v>
      </c>
      <c r="DO19" s="1">
        <f t="shared" si="30"/>
        <v>1.5496506000000003</v>
      </c>
      <c r="DP19" s="1">
        <f t="shared" si="30"/>
        <v>2.1384397699999997</v>
      </c>
      <c r="DQ19" s="1">
        <f t="shared" si="30"/>
        <v>2.7337765599999999</v>
      </c>
      <c r="DR19" s="1">
        <f t="shared" si="30"/>
        <v>1.0171737099999998</v>
      </c>
      <c r="DS19" s="1">
        <f t="shared" si="30"/>
        <v>1.9864389700000002</v>
      </c>
      <c r="DT19" s="1">
        <f t="shared" si="30"/>
        <v>2.8868213899999997</v>
      </c>
      <c r="DU19" s="1">
        <f t="shared" si="30"/>
        <v>1.3747401999999997</v>
      </c>
      <c r="DV19" s="1">
        <f t="shared" si="30"/>
        <v>1.6364950999999999</v>
      </c>
      <c r="DW19" s="1">
        <f t="shared" si="30"/>
        <v>1.1348675200000002</v>
      </c>
      <c r="DX19" s="1">
        <f t="shared" si="31"/>
        <v>0.73241972</v>
      </c>
      <c r="DY19" s="1">
        <f t="shared" si="31"/>
        <v>1.2023484900000001</v>
      </c>
      <c r="DZ19" s="1">
        <f t="shared" si="31"/>
        <v>0.41620179000000002</v>
      </c>
      <c r="EA19" s="1">
        <f t="shared" si="31"/>
        <v>1.03402496</v>
      </c>
      <c r="EB19" s="1">
        <f t="shared" si="31"/>
        <v>2.8427559999999998E-2</v>
      </c>
      <c r="EC19" s="1">
        <f t="shared" si="31"/>
        <v>1.0036533000000001</v>
      </c>
      <c r="ED19" s="1">
        <f t="shared" si="31"/>
        <v>0.19325807</v>
      </c>
      <c r="EE19" s="1">
        <f t="shared" si="31"/>
        <v>0.52785406000000001</v>
      </c>
      <c r="EG19" s="14">
        <f t="shared" si="32"/>
        <v>35.950000000000003</v>
      </c>
      <c r="EH19" s="14">
        <f t="shared" si="32"/>
        <v>35.950000000000003</v>
      </c>
      <c r="EI19" s="1">
        <f t="shared" si="32"/>
        <v>35.950000000000003</v>
      </c>
      <c r="EJ19" s="1">
        <f t="shared" si="32"/>
        <v>35.950000000000003</v>
      </c>
      <c r="EK19" s="1">
        <f t="shared" si="32"/>
        <v>35.950000000000003</v>
      </c>
      <c r="EL19" s="1">
        <f t="shared" si="32"/>
        <v>35.950000000000003</v>
      </c>
      <c r="EM19" s="1">
        <f t="shared" si="32"/>
        <v>35.950000000000003</v>
      </c>
      <c r="EN19" s="1">
        <f t="shared" si="32"/>
        <v>35.950000000000003</v>
      </c>
      <c r="EO19" s="1">
        <f t="shared" si="32"/>
        <v>35.950000000000003</v>
      </c>
      <c r="EP19" s="1">
        <f t="shared" si="32"/>
        <v>35.950000000000003</v>
      </c>
      <c r="EQ19" s="1">
        <f t="shared" si="32"/>
        <v>35.950000000000003</v>
      </c>
      <c r="ER19" s="1">
        <f t="shared" si="32"/>
        <v>35.950000000000003</v>
      </c>
      <c r="ES19" s="1">
        <f t="shared" si="32"/>
        <v>35.950000000000003</v>
      </c>
      <c r="ET19" s="1">
        <f t="shared" si="32"/>
        <v>35.950000000000003</v>
      </c>
      <c r="EU19" s="1">
        <f t="shared" si="32"/>
        <v>35.950000000000003</v>
      </c>
      <c r="EV19" s="1">
        <f t="shared" si="32"/>
        <v>35.950000000000003</v>
      </c>
      <c r="EW19" s="1">
        <f t="shared" si="33"/>
        <v>35.950000000000003</v>
      </c>
      <c r="EX19" s="1">
        <f t="shared" si="33"/>
        <v>35.950000000000003</v>
      </c>
      <c r="EY19" s="1">
        <f t="shared" si="33"/>
        <v>35.950000000000003</v>
      </c>
      <c r="EZ19" s="1">
        <f t="shared" si="33"/>
        <v>35.950000000000003</v>
      </c>
      <c r="FA19" s="1">
        <f t="shared" si="33"/>
        <v>40.33</v>
      </c>
      <c r="FB19" s="1">
        <f t="shared" si="33"/>
        <v>40.33</v>
      </c>
      <c r="FC19" s="1">
        <f t="shared" si="33"/>
        <v>40.33</v>
      </c>
      <c r="FD19" s="1">
        <f t="shared" si="33"/>
        <v>40.33</v>
      </c>
      <c r="FF19" s="162">
        <f t="shared" si="34"/>
        <v>-4.0722051406476112E-2</v>
      </c>
    </row>
    <row r="20" spans="1:162" ht="18.75" customHeight="1">
      <c r="A20" s="264" t="s">
        <v>218</v>
      </c>
      <c r="B20" s="246"/>
      <c r="C20" s="156">
        <f t="shared" si="5"/>
        <v>0</v>
      </c>
      <c r="D20" s="198">
        <v>-1</v>
      </c>
      <c r="E20" s="248">
        <f t="shared" si="6"/>
        <v>5.1709278942833059E-3</v>
      </c>
      <c r="F20" s="249">
        <f t="shared" si="7"/>
        <v>-3.6545569794740107E-2</v>
      </c>
      <c r="G20" s="248">
        <f t="shared" si="8"/>
        <v>2.8282820331688718E-2</v>
      </c>
      <c r="H20" s="249">
        <f t="shared" si="9"/>
        <v>-2.3111892437405412E-2</v>
      </c>
      <c r="I20" s="248">
        <f t="shared" si="10"/>
        <v>3.068297096313934</v>
      </c>
      <c r="J20" s="249">
        <f t="shared" si="11"/>
        <v>0.70117876730155837</v>
      </c>
      <c r="K20" s="248">
        <f t="shared" si="12"/>
        <v>1.8575800109415965</v>
      </c>
      <c r="L20" s="249">
        <f t="shared" si="13"/>
        <v>1.2107170853723375</v>
      </c>
      <c r="M20" s="250"/>
      <c r="N20" s="24">
        <v>-1</v>
      </c>
      <c r="O20" s="248">
        <f t="shared" si="35"/>
        <v>-2.3211675087845274E-2</v>
      </c>
      <c r="P20" s="251">
        <f t="shared" si="36"/>
        <v>-2.3211675087845274E-2</v>
      </c>
      <c r="Q20" s="248">
        <f t="shared" si="14"/>
        <v>-5.0976896975407304E-2</v>
      </c>
      <c r="R20" s="251">
        <f t="shared" si="37"/>
        <v>-5.0976896975407304E-2</v>
      </c>
      <c r="S20" s="250"/>
      <c r="T20" s="24">
        <v>2</v>
      </c>
      <c r="U20" s="248">
        <f t="shared" si="15"/>
        <v>4.6285814886232624E-2</v>
      </c>
      <c r="V20" s="252">
        <f t="shared" si="16"/>
        <v>4.6285814886232624E-2</v>
      </c>
      <c r="W20" s="248">
        <f t="shared" si="38"/>
        <v>-0.45280670276917878</v>
      </c>
      <c r="X20" s="252">
        <f t="shared" si="17"/>
        <v>-0.45280670276917878</v>
      </c>
      <c r="Y20" s="248" t="str">
        <f t="shared" si="18"/>
        <v/>
      </c>
      <c r="Z20" s="252" t="str">
        <f t="shared" si="19"/>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O20" s="28">
        <f>VLOOKUP($A20,historia!$A$5:$CM$24,+HLOOKUP(AO$2,historia!$A$3:$EC$4,2,FALSE),FALSE)</f>
        <v>3</v>
      </c>
      <c r="AP20" s="28">
        <f>VLOOKUP($A20,historia!$A$5:$CM$24,+HLOOKUP(AP$2,historia!$A$3:$EC$4,2,FALSE),FALSE)</f>
        <v>3</v>
      </c>
      <c r="AQ20" s="28">
        <f>VLOOKUP($A20,historia!$A$5:$CM$24,+HLOOKUP(AQ$2,historia!$A$3:$EC$4,2,FALSE),FALSE)</f>
        <v>3</v>
      </c>
      <c r="AR20" s="28">
        <f>VLOOKUP($A20,historia!$A$5:$CM$24,+HLOOKUP(AR$2,historia!$A$3:$EC$4,2,FALSE),FALSE)</f>
        <v>3</v>
      </c>
      <c r="AS20" s="58">
        <f>VLOOKUP($A20,historia!$A$5:$CM$24,+HLOOKUP(AS$2,historia!$A$3:$EC$4,2,FALSE),FALSE)</f>
        <v>3</v>
      </c>
      <c r="AT20" s="58">
        <f>VLOOKUP($A20,historia!$A$5:$CM$24,+HLOOKUP(AT$2,historia!$A$3:$EC$4,2,FALSE),FALSE)</f>
        <v>3</v>
      </c>
      <c r="AU20" s="58">
        <f>VLOOKUP($A20,historia!$A$5:$CM$24,+HLOOKUP(AU$2,historia!$A$3:$EC$4,2,FALSE),FALSE)</f>
        <v>4</v>
      </c>
      <c r="AV20" s="58">
        <f>VLOOKUP($A20,historia!$A$5:$CM$24,+HLOOKUP(AV$2,historia!$A$3:$EC$4,2,FALSE),FALSE)</f>
        <v>4</v>
      </c>
      <c r="AW20" s="58">
        <f>VLOOKUP($A20,historia!$A$5:$CM$24,+HLOOKUP(AW$2,historia!$A$3:$EC$4,2,FALSE),FALSE)</f>
        <v>4</v>
      </c>
      <c r="AX20" s="58">
        <f>VLOOKUP($A20,historia!$A$5:$CM$24,+HLOOKUP(AX$2,historia!$A$3:$EC$4,2,FALSE),FALSE)</f>
        <v>4</v>
      </c>
      <c r="AY20" s="58">
        <f>VLOOKUP($A20,historia!$A$5:$CM$24,+HLOOKUP(AY$2,historia!$A$3:$EC$4,2,FALSE),FALSE)</f>
        <v>3</v>
      </c>
      <c r="AZ20" s="58">
        <v>3</v>
      </c>
      <c r="BA20" s="30"/>
      <c r="BB20" s="141">
        <v>3</v>
      </c>
      <c r="BC20" t="str">
        <f t="shared" si="20"/>
        <v>Peras y Manzanas</v>
      </c>
      <c r="BD20">
        <f>+datos!AP1</f>
        <v>42</v>
      </c>
      <c r="BE20" s="2" t="str">
        <f t="shared" si="4"/>
        <v>$/caja 18kg</v>
      </c>
      <c r="BF20" s="2">
        <f t="shared" si="4"/>
        <v>17017.863636363636</v>
      </c>
      <c r="BG20" s="2">
        <f t="shared" si="4"/>
        <v>16930.31818181818</v>
      </c>
      <c r="BH20" s="2">
        <f t="shared" si="4"/>
        <v>4183.04347826087</v>
      </c>
      <c r="BJ20">
        <f>+datos!CS1</f>
        <v>97</v>
      </c>
      <c r="BK20" s="2">
        <f t="shared" si="21"/>
        <v>8296.4010763005645</v>
      </c>
      <c r="BL20" s="2">
        <f t="shared" si="21"/>
        <v>8068.2093605574692</v>
      </c>
      <c r="BM20" s="2">
        <f t="shared" si="21"/>
        <v>2903.2961612741792</v>
      </c>
      <c r="BO20" s="1">
        <f>+datos!FC1</f>
        <v>159</v>
      </c>
      <c r="BP20" s="1">
        <f t="shared" si="22"/>
        <v>38084</v>
      </c>
      <c r="BQ20" s="1">
        <f t="shared" si="22"/>
        <v>38989</v>
      </c>
      <c r="BS20" s="1">
        <f>+datos!GW1</f>
        <v>205</v>
      </c>
      <c r="BT20" s="1">
        <f t="shared" si="23"/>
        <v>745358</v>
      </c>
      <c r="BU20" s="1">
        <f t="shared" si="23"/>
        <v>785395</v>
      </c>
      <c r="BW20" s="1">
        <f>+datos!LS1</f>
        <v>331</v>
      </c>
      <c r="BX20" s="1">
        <f t="shared" si="39"/>
        <v>371.87950149</v>
      </c>
      <c r="BY20" s="1">
        <f t="shared" si="40"/>
        <v>355.42821684</v>
      </c>
      <c r="CA20" s="1">
        <f>+datos!LW1</f>
        <v>335</v>
      </c>
      <c r="CB20" s="2">
        <f t="shared" si="24"/>
        <v>4.1047281500000006</v>
      </c>
      <c r="CC20" s="2">
        <f t="shared" si="25"/>
        <v>7.5014225699999999</v>
      </c>
      <c r="CE20" s="1">
        <f>+datos!JC1</f>
        <v>263</v>
      </c>
      <c r="CF20" s="1">
        <f t="shared" si="26"/>
        <v>0</v>
      </c>
      <c r="CG20" s="1">
        <f t="shared" si="27"/>
        <v>0</v>
      </c>
      <c r="CI20" s="1">
        <f t="shared" si="28"/>
        <v>14.93334776</v>
      </c>
      <c r="CJ20" s="1">
        <f t="shared" si="28"/>
        <v>35.336569390000001</v>
      </c>
      <c r="CK20" s="1">
        <f t="shared" si="28"/>
        <v>46.662709379999995</v>
      </c>
      <c r="CL20" s="1">
        <f t="shared" si="28"/>
        <v>45.302769560000002</v>
      </c>
      <c r="CM20" s="1">
        <f t="shared" si="28"/>
        <v>46.856289650000001</v>
      </c>
      <c r="CN20" s="1">
        <f t="shared" si="28"/>
        <v>60.076282149999997</v>
      </c>
      <c r="CO20" s="1">
        <f t="shared" si="28"/>
        <v>42.744570039999999</v>
      </c>
      <c r="CP20" s="1">
        <f t="shared" si="28"/>
        <v>11.509203560000001</v>
      </c>
      <c r="CQ20" s="1">
        <f t="shared" si="28"/>
        <v>11.753879789999999</v>
      </c>
      <c r="CR20" s="1">
        <f t="shared" si="28"/>
        <v>15.619426270000002</v>
      </c>
      <c r="CS20" s="1">
        <f t="shared" si="28"/>
        <v>16.880359240000001</v>
      </c>
      <c r="CT20" s="1">
        <f t="shared" si="28"/>
        <v>24.204094699999999</v>
      </c>
      <c r="CU20" s="1">
        <f t="shared" si="28"/>
        <v>25.300599699999999</v>
      </c>
      <c r="CV20" s="1">
        <f t="shared" si="28"/>
        <v>48.042350899999995</v>
      </c>
      <c r="CW20" s="1">
        <f t="shared" si="28"/>
        <v>30.317151650000003</v>
      </c>
      <c r="CX20" s="1">
        <f t="shared" si="28"/>
        <v>39.830023670000003</v>
      </c>
      <c r="CY20" s="1">
        <f t="shared" si="29"/>
        <v>48.212206680000008</v>
      </c>
      <c r="CZ20" s="1">
        <f t="shared" si="29"/>
        <v>46.755406350000001</v>
      </c>
      <c r="DA20" s="1">
        <f t="shared" si="29"/>
        <v>37.276974840000001</v>
      </c>
      <c r="DB20" s="1">
        <f t="shared" si="29"/>
        <v>11.80910873</v>
      </c>
      <c r="DC20" s="1">
        <f t="shared" si="29"/>
        <v>12.88181872</v>
      </c>
      <c r="DD20" s="1">
        <f t="shared" si="29"/>
        <v>18.209359989999999</v>
      </c>
      <c r="DE20" s="1">
        <f t="shared" si="29"/>
        <v>17.588783669999998</v>
      </c>
      <c r="DF20" s="1">
        <f t="shared" si="29"/>
        <v>19.204431939999999</v>
      </c>
      <c r="DH20" s="1">
        <f t="shared" si="30"/>
        <v>0.3865221499999999</v>
      </c>
      <c r="DI20" s="1">
        <f t="shared" si="30"/>
        <v>0.51794252000000007</v>
      </c>
      <c r="DJ20" s="1">
        <f t="shared" si="30"/>
        <v>0.37362660000000003</v>
      </c>
      <c r="DK20" s="1">
        <f t="shared" si="30"/>
        <v>0.32288670000000003</v>
      </c>
      <c r="DL20" s="1">
        <f t="shared" si="30"/>
        <v>0.29487440000000004</v>
      </c>
      <c r="DM20" s="1">
        <f t="shared" si="30"/>
        <v>7.78142E-2</v>
      </c>
      <c r="DN20" s="1">
        <f t="shared" si="30"/>
        <v>0.12479459999999999</v>
      </c>
      <c r="DO20" s="1">
        <f t="shared" si="30"/>
        <v>8.4911199999999992E-2</v>
      </c>
      <c r="DP20" s="1">
        <f t="shared" si="30"/>
        <v>0.22142464000000001</v>
      </c>
      <c r="DQ20" s="1">
        <f t="shared" si="30"/>
        <v>1.01853964</v>
      </c>
      <c r="DR20" s="1">
        <f t="shared" si="30"/>
        <v>0.30728509999999998</v>
      </c>
      <c r="DS20" s="1">
        <f t="shared" si="30"/>
        <v>0.37410640000000001</v>
      </c>
      <c r="DT20" s="1">
        <f t="shared" si="30"/>
        <v>0.35746821000000001</v>
      </c>
      <c r="DU20" s="1">
        <f t="shared" si="30"/>
        <v>0.95829101000000005</v>
      </c>
      <c r="DV20" s="1">
        <f t="shared" si="30"/>
        <v>0.34636184000000003</v>
      </c>
      <c r="DW20" s="1">
        <f t="shared" si="30"/>
        <v>1.2547095300000002</v>
      </c>
      <c r="DX20" s="1">
        <f t="shared" si="31"/>
        <v>1.273682</v>
      </c>
      <c r="DY20" s="1">
        <f t="shared" si="31"/>
        <v>0.92279571000000005</v>
      </c>
      <c r="DZ20" s="1">
        <f t="shared" si="31"/>
        <v>0.55930298000000001</v>
      </c>
      <c r="EA20" s="1">
        <f t="shared" si="31"/>
        <v>0.23405334</v>
      </c>
      <c r="EB20" s="1">
        <f t="shared" si="31"/>
        <v>2.5551390000000004E-2</v>
      </c>
      <c r="EC20" s="1">
        <f t="shared" si="31"/>
        <v>0.44126778</v>
      </c>
      <c r="ED20" s="1">
        <f t="shared" si="31"/>
        <v>0.57571571999999993</v>
      </c>
      <c r="EE20" s="1">
        <f t="shared" si="31"/>
        <v>0.55222305999999999</v>
      </c>
      <c r="EG20" s="14">
        <f t="shared" si="32"/>
        <v>0</v>
      </c>
      <c r="EH20" s="14">
        <f t="shared" si="32"/>
        <v>0</v>
      </c>
      <c r="EI20" s="1">
        <f t="shared" si="32"/>
        <v>0</v>
      </c>
      <c r="EJ20" s="1">
        <f t="shared" si="32"/>
        <v>0</v>
      </c>
      <c r="EK20" s="1">
        <f t="shared" si="32"/>
        <v>0</v>
      </c>
      <c r="EL20" s="1">
        <f t="shared" si="32"/>
        <v>0</v>
      </c>
      <c r="EM20" s="1">
        <f t="shared" si="32"/>
        <v>0</v>
      </c>
      <c r="EN20" s="1">
        <f t="shared" si="32"/>
        <v>0</v>
      </c>
      <c r="EO20" s="1">
        <f t="shared" si="32"/>
        <v>0</v>
      </c>
      <c r="EP20" s="1">
        <f t="shared" si="32"/>
        <v>0</v>
      </c>
      <c r="EQ20" s="1">
        <f t="shared" si="32"/>
        <v>0</v>
      </c>
      <c r="ER20" s="1">
        <f t="shared" si="32"/>
        <v>0</v>
      </c>
      <c r="ES20" s="1">
        <f t="shared" si="32"/>
        <v>0</v>
      </c>
      <c r="ET20" s="1">
        <f t="shared" si="32"/>
        <v>0</v>
      </c>
      <c r="EU20" s="1">
        <f t="shared" si="32"/>
        <v>0</v>
      </c>
      <c r="EV20" s="1">
        <f t="shared" si="32"/>
        <v>0</v>
      </c>
      <c r="EW20" s="1">
        <f t="shared" si="33"/>
        <v>0</v>
      </c>
      <c r="EX20" s="1">
        <f t="shared" si="33"/>
        <v>0</v>
      </c>
      <c r="EY20" s="1">
        <f t="shared" si="33"/>
        <v>0</v>
      </c>
      <c r="EZ20" s="1">
        <f t="shared" si="33"/>
        <v>0</v>
      </c>
      <c r="FA20" s="1">
        <f t="shared" si="33"/>
        <v>0</v>
      </c>
      <c r="FB20" s="1">
        <f t="shared" si="33"/>
        <v>0</v>
      </c>
      <c r="FC20" s="1">
        <f t="shared" si="33"/>
        <v>0</v>
      </c>
      <c r="FD20" s="1">
        <f t="shared" si="33"/>
        <v>0</v>
      </c>
      <c r="FF20" s="162">
        <f t="shared" si="34"/>
        <v>1.2107170853723375</v>
      </c>
    </row>
    <row r="21" spans="1:162" ht="18.75" customHeight="1">
      <c r="A21" s="244" t="s">
        <v>121</v>
      </c>
      <c r="B21" s="247"/>
      <c r="C21" s="228">
        <f t="shared" si="5"/>
        <v>0</v>
      </c>
      <c r="D21" s="229">
        <v>-2</v>
      </c>
      <c r="E21" s="253">
        <f t="shared" si="6"/>
        <v>0.21848685415563129</v>
      </c>
      <c r="F21" s="254">
        <f t="shared" si="7"/>
        <v>0.17677035646660788</v>
      </c>
      <c r="G21" s="253">
        <f t="shared" si="8"/>
        <v>2.0106523764322537E-2</v>
      </c>
      <c r="H21" s="254">
        <f t="shared" si="9"/>
        <v>0.19838033039130876</v>
      </c>
      <c r="I21" s="253">
        <f t="shared" si="10"/>
        <v>2.0158242000600377</v>
      </c>
      <c r="J21" s="254">
        <f t="shared" si="11"/>
        <v>-0.35129412895233791</v>
      </c>
      <c r="K21" s="253">
        <f t="shared" si="12"/>
        <v>1.6450156314531532</v>
      </c>
      <c r="L21" s="254">
        <f t="shared" si="13"/>
        <v>0.37080856860688449</v>
      </c>
      <c r="M21" s="255"/>
      <c r="N21" s="256">
        <v>1</v>
      </c>
      <c r="O21" s="253">
        <f t="shared" si="35"/>
        <v>3.8695172963417956E-2</v>
      </c>
      <c r="P21" s="257">
        <f t="shared" si="36"/>
        <v>3.8695172963417956E-2</v>
      </c>
      <c r="Q21" s="253">
        <f t="shared" si="14"/>
        <v>5.7467582926219452E-2</v>
      </c>
      <c r="R21" s="257">
        <f t="shared" si="37"/>
        <v>5.7467582926219452E-2</v>
      </c>
      <c r="S21" s="255"/>
      <c r="T21" s="256">
        <v>1</v>
      </c>
      <c r="U21" s="253">
        <f t="shared" si="15"/>
        <v>0.19580586044409864</v>
      </c>
      <c r="V21" s="258">
        <f t="shared" si="16"/>
        <v>0.19580586044409864</v>
      </c>
      <c r="W21" s="253">
        <f t="shared" si="38"/>
        <v>-0.43102533570286228</v>
      </c>
      <c r="X21" s="258">
        <f t="shared" si="17"/>
        <v>-0.43102533570286228</v>
      </c>
      <c r="Y21" s="253">
        <f t="shared" si="18"/>
        <v>4.7961630695445567E-3</v>
      </c>
      <c r="Z21" s="258">
        <f t="shared" si="19"/>
        <v>4.7961630695445567E-3</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O21" s="28">
        <f>VLOOKUP($A21,historia!$A$5:$CM$24,+HLOOKUP(AO$2,historia!$A$3:$EC$4,2,FALSE),FALSE)</f>
        <v>3</v>
      </c>
      <c r="AP21" s="28">
        <f>VLOOKUP($A21,historia!$A$5:$CM$24,+HLOOKUP(AP$2,historia!$A$3:$EC$4,2,FALSE),FALSE)</f>
        <v>3</v>
      </c>
      <c r="AQ21" s="28">
        <f>VLOOKUP($A21,historia!$A$5:$CM$24,+HLOOKUP(AQ$2,historia!$A$3:$EC$4,2,FALSE),FALSE)</f>
        <v>3</v>
      </c>
      <c r="AR21" s="28">
        <f>VLOOKUP($A21,historia!$A$5:$CM$24,+HLOOKUP(AR$2,historia!$A$3:$EC$4,2,FALSE),FALSE)</f>
        <v>2</v>
      </c>
      <c r="AS21" s="58">
        <f>VLOOKUP($A21,historia!$A$5:$CM$24,+HLOOKUP(AS$2,historia!$A$3:$EC$4,2,FALSE),FALSE)</f>
        <v>1</v>
      </c>
      <c r="AT21" s="58">
        <f>VLOOKUP($A21,historia!$A$5:$CM$24,+HLOOKUP(AT$2,historia!$A$3:$EC$4,2,FALSE),FALSE)</f>
        <v>2</v>
      </c>
      <c r="AU21" s="58">
        <f>VLOOKUP($A21,historia!$A$5:$CM$24,+HLOOKUP(AU$2,historia!$A$3:$EC$4,2,FALSE),FALSE)</f>
        <v>4</v>
      </c>
      <c r="AV21" s="58">
        <f>VLOOKUP($A21,historia!$A$5:$CM$24,+HLOOKUP(AV$2,historia!$A$3:$EC$4,2,FALSE),FALSE)</f>
        <v>5</v>
      </c>
      <c r="AW21" s="58">
        <f>VLOOKUP($A21,historia!$A$5:$CM$24,+HLOOKUP(AW$2,historia!$A$3:$EC$4,2,FALSE),FALSE)</f>
        <v>3</v>
      </c>
      <c r="AX21" s="58">
        <f>VLOOKUP($A21,historia!$A$5:$CM$24,+HLOOKUP(AX$2,historia!$A$3:$EC$4,2,FALSE),FALSE)</f>
        <v>4</v>
      </c>
      <c r="AY21" s="58">
        <f>VLOOKUP($A21,historia!$A$5:$CM$24,+HLOOKUP(AY$2,historia!$A$3:$EC$4,2,FALSE),FALSE)</f>
        <v>3</v>
      </c>
      <c r="AZ21" s="58">
        <v>2</v>
      </c>
      <c r="BA21" s="30"/>
      <c r="BB21" s="141">
        <v>3</v>
      </c>
      <c r="BC21" t="str">
        <f t="shared" si="20"/>
        <v>Porcinos</v>
      </c>
      <c r="BD21">
        <f>+datos!BR1</f>
        <v>70</v>
      </c>
      <c r="BE21" s="2" t="str">
        <f t="shared" si="4"/>
        <v>$/kg</v>
      </c>
      <c r="BF21" s="2">
        <f t="shared" si="4"/>
        <v>1230.69</v>
      </c>
      <c r="BG21" s="2">
        <f t="shared" si="4"/>
        <v>1010.0150000000001</v>
      </c>
      <c r="BH21" s="2">
        <f t="shared" si="4"/>
        <v>408.07749999999999</v>
      </c>
      <c r="BJ21">
        <f>+datos!DD1</f>
        <v>108</v>
      </c>
      <c r="BK21" s="2">
        <f t="shared" si="21"/>
        <v>8062.3109587308645</v>
      </c>
      <c r="BL21" s="2">
        <f t="shared" si="21"/>
        <v>7903.4010379425026</v>
      </c>
      <c r="BM21" s="2">
        <f t="shared" si="21"/>
        <v>3048.1146738257598</v>
      </c>
      <c r="BO21" s="1">
        <f>+datos!EJ1</f>
        <v>140</v>
      </c>
      <c r="BP21" s="1">
        <f t="shared" si="22"/>
        <v>6115215</v>
      </c>
      <c r="BQ21" s="1">
        <f t="shared" si="22"/>
        <v>5887401</v>
      </c>
      <c r="BS21" s="1">
        <f>+datos!HE1</f>
        <v>213</v>
      </c>
      <c r="BT21" s="1">
        <f t="shared" si="23"/>
        <v>782489</v>
      </c>
      <c r="BU21" s="1">
        <f t="shared" si="23"/>
        <v>739965</v>
      </c>
      <c r="BW21" s="1">
        <f>+datos!KJ1</f>
        <v>296</v>
      </c>
      <c r="BX21" s="1">
        <f t="shared" si="39"/>
        <v>24.188288529999998</v>
      </c>
      <c r="BY21" s="1">
        <f t="shared" si="40"/>
        <v>20.227604939999999</v>
      </c>
      <c r="CA21" s="1">
        <f>+datos!LO1</f>
        <v>327</v>
      </c>
      <c r="CB21" s="2">
        <f t="shared" si="24"/>
        <v>36.707579000000003</v>
      </c>
      <c r="CC21" s="2">
        <f t="shared" si="25"/>
        <v>64.51531378</v>
      </c>
      <c r="CE21" s="1">
        <f>+datos!IO1</f>
        <v>249</v>
      </c>
      <c r="CF21" s="1">
        <f t="shared" si="26"/>
        <v>16.760000000000002</v>
      </c>
      <c r="CG21" s="1">
        <f t="shared" si="27"/>
        <v>16.68</v>
      </c>
      <c r="CI21" s="1">
        <f t="shared" si="28"/>
        <v>2.3778769799999995</v>
      </c>
      <c r="CJ21" s="1">
        <f t="shared" si="28"/>
        <v>4.3175895799999999</v>
      </c>
      <c r="CK21" s="1">
        <f t="shared" si="28"/>
        <v>2.7596131099999996</v>
      </c>
      <c r="CL21" s="1">
        <f t="shared" si="28"/>
        <v>1.9296841299999996</v>
      </c>
      <c r="CM21" s="1">
        <f t="shared" si="28"/>
        <v>2.2533318799999997</v>
      </c>
      <c r="CN21" s="1">
        <f t="shared" si="28"/>
        <v>1.55421593</v>
      </c>
      <c r="CO21" s="1">
        <f t="shared" si="28"/>
        <v>1.56892272</v>
      </c>
      <c r="CP21" s="1">
        <f t="shared" si="28"/>
        <v>1.2009935999999999</v>
      </c>
      <c r="CQ21" s="1">
        <f t="shared" si="28"/>
        <v>1.5576121499999998</v>
      </c>
      <c r="CR21" s="1">
        <f t="shared" si="28"/>
        <v>1.3743196699999998</v>
      </c>
      <c r="CS21" s="1">
        <f t="shared" si="28"/>
        <v>1.4110336399999999</v>
      </c>
      <c r="CT21" s="1">
        <f t="shared" si="28"/>
        <v>1.8830951399999996</v>
      </c>
      <c r="CU21" s="1">
        <f t="shared" si="28"/>
        <v>1.4694087300000001</v>
      </c>
      <c r="CV21" s="1">
        <f t="shared" si="28"/>
        <v>2.0502103900000002</v>
      </c>
      <c r="CW21" s="1">
        <f t="shared" si="28"/>
        <v>1.8176867299999997</v>
      </c>
      <c r="CX21" s="1">
        <f t="shared" si="28"/>
        <v>1.2719750699999999</v>
      </c>
      <c r="CY21" s="1">
        <f t="shared" si="29"/>
        <v>1.5228158499999997</v>
      </c>
      <c r="CZ21" s="1">
        <f t="shared" si="29"/>
        <v>1.32254655</v>
      </c>
      <c r="DA21" s="1">
        <f t="shared" si="29"/>
        <v>2.1116566699999999</v>
      </c>
      <c r="DB21" s="1">
        <f t="shared" si="29"/>
        <v>1.8299806799999998</v>
      </c>
      <c r="DC21" s="1">
        <f t="shared" si="29"/>
        <v>2.01275629</v>
      </c>
      <c r="DD21" s="1">
        <f t="shared" si="29"/>
        <v>1.0656519800000002</v>
      </c>
      <c r="DE21" s="1">
        <f t="shared" si="29"/>
        <v>1.9138006200000002</v>
      </c>
      <c r="DF21" s="1">
        <f t="shared" si="29"/>
        <v>1.83911538</v>
      </c>
      <c r="DH21" s="1">
        <f t="shared" si="30"/>
        <v>4.9251834299999988</v>
      </c>
      <c r="DI21" s="1">
        <f t="shared" si="30"/>
        <v>2.5935797799999998</v>
      </c>
      <c r="DJ21" s="1">
        <f t="shared" si="30"/>
        <v>1.7163214500000001</v>
      </c>
      <c r="DK21" s="1">
        <f t="shared" si="30"/>
        <v>2.7920763000000002</v>
      </c>
      <c r="DL21" s="1">
        <f t="shared" si="30"/>
        <v>3.5088459899999997</v>
      </c>
      <c r="DM21" s="1">
        <f t="shared" si="30"/>
        <v>2.2524288500000003</v>
      </c>
      <c r="DN21" s="1">
        <f t="shared" si="30"/>
        <v>5.2341166499999998</v>
      </c>
      <c r="DO21" s="1">
        <f t="shared" si="30"/>
        <v>3.1162246899999997</v>
      </c>
      <c r="DP21" s="1">
        <f t="shared" si="30"/>
        <v>3.3747357299999998</v>
      </c>
      <c r="DQ21" s="1">
        <f t="shared" si="30"/>
        <v>1.8536983500000002</v>
      </c>
      <c r="DR21" s="1">
        <f t="shared" si="30"/>
        <v>2.01592043</v>
      </c>
      <c r="DS21" s="1">
        <f t="shared" si="30"/>
        <v>3.3244473500000002</v>
      </c>
      <c r="DT21" s="1">
        <f t="shared" si="30"/>
        <v>2.84758625</v>
      </c>
      <c r="DU21" s="1">
        <f t="shared" si="30"/>
        <v>4.1641835499999997</v>
      </c>
      <c r="DV21" s="1">
        <f t="shared" si="30"/>
        <v>4.5685913500000002</v>
      </c>
      <c r="DW21" s="1">
        <f t="shared" ref="DW21:EE24" si="41">+VLOOKUP(DW$1,ran_dat,$CA21,FALSE)</f>
        <v>6.3615663699999985</v>
      </c>
      <c r="DX21" s="1">
        <f t="shared" si="41"/>
        <v>5.5541627499999997</v>
      </c>
      <c r="DY21" s="1">
        <f t="shared" si="41"/>
        <v>6.8596205599999998</v>
      </c>
      <c r="DZ21" s="1">
        <f t="shared" si="41"/>
        <v>4.6739966500000012</v>
      </c>
      <c r="EA21" s="1">
        <f t="shared" si="41"/>
        <v>7.6286560299999993</v>
      </c>
      <c r="EB21" s="1">
        <f t="shared" si="41"/>
        <v>3.658397E-2</v>
      </c>
      <c r="EC21" s="1">
        <f t="shared" si="41"/>
        <v>7.2061905900000003</v>
      </c>
      <c r="ED21" s="1">
        <f t="shared" si="41"/>
        <v>7.3381374299999997</v>
      </c>
      <c r="EE21" s="1">
        <f t="shared" si="41"/>
        <v>7.276038279999999</v>
      </c>
      <c r="EG21" s="14">
        <f t="shared" si="32"/>
        <v>16.760000000000002</v>
      </c>
      <c r="EH21" s="14">
        <f t="shared" si="32"/>
        <v>16.84</v>
      </c>
      <c r="EI21" s="1">
        <f t="shared" si="32"/>
        <v>16.64</v>
      </c>
      <c r="EJ21" s="1">
        <f t="shared" si="32"/>
        <v>16.68</v>
      </c>
      <c r="EK21" s="1">
        <f t="shared" si="32"/>
        <v>16.62</v>
      </c>
      <c r="EL21" s="1">
        <f t="shared" si="32"/>
        <v>16.5</v>
      </c>
      <c r="EM21" s="1">
        <f t="shared" si="32"/>
        <v>16.64</v>
      </c>
      <c r="EN21" s="1">
        <f t="shared" si="32"/>
        <v>16.68</v>
      </c>
      <c r="EO21" s="1">
        <f t="shared" si="32"/>
        <v>16.72</v>
      </c>
      <c r="EP21" s="1">
        <f t="shared" si="32"/>
        <v>16.75</v>
      </c>
      <c r="EQ21" s="1">
        <f t="shared" si="32"/>
        <v>16.760000000000002</v>
      </c>
      <c r="ER21" s="1">
        <f t="shared" si="32"/>
        <v>16.71</v>
      </c>
      <c r="ES21" s="1">
        <f t="shared" si="32"/>
        <v>16.68</v>
      </c>
      <c r="ET21" s="1">
        <f t="shared" si="32"/>
        <v>16.670000000000002</v>
      </c>
      <c r="EU21" s="1">
        <f t="shared" si="32"/>
        <v>16.670000000000002</v>
      </c>
      <c r="EV21" s="1">
        <f t="shared" ref="EV21:FD24" si="42">+VLOOKUP(EV$1,ran_dat,$CE21,FALSE)</f>
        <v>16.72</v>
      </c>
      <c r="EW21" s="1">
        <f t="shared" si="42"/>
        <v>16.77</v>
      </c>
      <c r="EX21" s="1">
        <f t="shared" si="42"/>
        <v>16.88</v>
      </c>
      <c r="EY21" s="1">
        <f t="shared" si="42"/>
        <v>16.93</v>
      </c>
      <c r="EZ21" s="1">
        <f t="shared" si="42"/>
        <v>16.97</v>
      </c>
      <c r="FA21" s="1">
        <f t="shared" si="42"/>
        <v>16.760000000000002</v>
      </c>
      <c r="FB21" s="1">
        <f t="shared" si="42"/>
        <v>16.89</v>
      </c>
      <c r="FC21" s="1">
        <f t="shared" si="42"/>
        <v>16.920000000000002</v>
      </c>
      <c r="FD21" s="1">
        <f t="shared" si="42"/>
        <v>16.899999999999999</v>
      </c>
      <c r="FF21" s="162">
        <f t="shared" si="34"/>
        <v>0.37080856860688449</v>
      </c>
    </row>
    <row r="22" spans="1:162" ht="18.75" customHeight="1">
      <c r="A22" s="243" t="s">
        <v>75</v>
      </c>
      <c r="B22" s="246"/>
      <c r="C22" s="156">
        <f t="shared" si="5"/>
        <v>0.66</v>
      </c>
      <c r="D22" s="198">
        <v>1</v>
      </c>
      <c r="E22" s="248">
        <f t="shared" si="6"/>
        <v>7.4561403508771829E-2</v>
      </c>
      <c r="F22" s="249">
        <f t="shared" si="7"/>
        <v>3.2844905819748416E-2</v>
      </c>
      <c r="G22" s="248">
        <f t="shared" si="8"/>
        <v>3.2459228732991452E-2</v>
      </c>
      <c r="H22" s="249">
        <f t="shared" si="9"/>
        <v>4.2102174775780377E-2</v>
      </c>
      <c r="I22" s="248">
        <f t="shared" si="10"/>
        <v>3.2420324818487183</v>
      </c>
      <c r="J22" s="249">
        <f t="shared" si="11"/>
        <v>0.87491415283634266</v>
      </c>
      <c r="K22" s="248">
        <f t="shared" si="12"/>
        <v>1.9855590623361672</v>
      </c>
      <c r="L22" s="249">
        <f t="shared" si="13"/>
        <v>1.2564734195125511</v>
      </c>
      <c r="M22" s="250"/>
      <c r="N22" s="24">
        <v>0</v>
      </c>
      <c r="O22" s="248">
        <f t="shared" si="35"/>
        <v>0.10289900078548864</v>
      </c>
      <c r="P22" s="251">
        <f t="shared" si="36"/>
        <v>0.10289900078548864</v>
      </c>
      <c r="Q22" s="248">
        <f t="shared" si="14"/>
        <v>-7.0102125429331252E-2</v>
      </c>
      <c r="R22" s="251">
        <f t="shared" si="37"/>
        <v>-7.0102125429331252E-2</v>
      </c>
      <c r="S22" s="250"/>
      <c r="T22" s="24">
        <v>1</v>
      </c>
      <c r="U22" s="248">
        <f t="shared" si="15"/>
        <v>-0.27252423173702844</v>
      </c>
      <c r="V22" s="252">
        <f t="shared" si="16"/>
        <v>-0.27252423173702844</v>
      </c>
      <c r="W22" s="248">
        <f t="shared" si="38"/>
        <v>-0.15395923500911879</v>
      </c>
      <c r="X22" s="252">
        <f t="shared" si="17"/>
        <v>-0.15395923500911879</v>
      </c>
      <c r="Y22" s="248" t="str">
        <f t="shared" si="18"/>
        <v/>
      </c>
      <c r="Z22" s="252" t="str">
        <f t="shared" si="19"/>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O22" s="28">
        <f>VLOOKUP($A22,historia!$A$5:$CM$24,+HLOOKUP(AO$2,historia!$A$3:$EC$4,2,FALSE),FALSE)</f>
        <v>4</v>
      </c>
      <c r="AP22" s="28">
        <f>VLOOKUP($A22,historia!$A$5:$CM$24,+HLOOKUP(AP$2,historia!$A$3:$EC$4,2,FALSE),FALSE)</f>
        <v>4</v>
      </c>
      <c r="AQ22" s="28">
        <f>VLOOKUP($A22,historia!$A$5:$CM$24,+HLOOKUP(AQ$2,historia!$A$3:$EC$4,2,FALSE),FALSE)</f>
        <v>4</v>
      </c>
      <c r="AR22" s="28">
        <f>VLOOKUP($A22,historia!$A$5:$CM$24,+HLOOKUP(AR$2,historia!$A$3:$EC$4,2,FALSE),FALSE)</f>
        <v>3</v>
      </c>
      <c r="AS22" s="58">
        <f>VLOOKUP($A22,historia!$A$5:$CM$24,+HLOOKUP(AS$2,historia!$A$3:$EC$4,2,FALSE),FALSE)</f>
        <v>3</v>
      </c>
      <c r="AT22" s="58">
        <f>VLOOKUP($A22,historia!$A$5:$CM$24,+HLOOKUP(AT$2,historia!$A$3:$EC$4,2,FALSE),FALSE)</f>
        <v>3</v>
      </c>
      <c r="AU22" s="58">
        <f>VLOOKUP($A22,historia!$A$5:$CM$24,+HLOOKUP(AU$2,historia!$A$3:$EC$4,2,FALSE),FALSE)</f>
        <v>4</v>
      </c>
      <c r="AV22" s="58">
        <f>VLOOKUP($A22,historia!$A$5:$CM$24,+HLOOKUP(AV$2,historia!$A$3:$EC$4,2,FALSE),FALSE)</f>
        <v>4</v>
      </c>
      <c r="AW22" s="58">
        <f>VLOOKUP($A22,historia!$A$5:$CM$24,+HLOOKUP(AW$2,historia!$A$3:$EC$4,2,FALSE),FALSE)</f>
        <v>3</v>
      </c>
      <c r="AX22" s="58">
        <f>VLOOKUP($A22,historia!$A$5:$CM$24,+HLOOKUP(AX$2,historia!$A$3:$EC$4,2,FALSE),FALSE)</f>
        <v>2</v>
      </c>
      <c r="AY22" s="58">
        <f>VLOOKUP($A22,historia!$A$5:$CM$24,+HLOOKUP(AY$2,historia!$A$3:$EC$4,2,FALSE),FALSE)</f>
        <v>2</v>
      </c>
      <c r="AZ22" s="58">
        <v>2</v>
      </c>
      <c r="BA22" s="30"/>
      <c r="BB22" s="141">
        <v>2</v>
      </c>
      <c r="BC22" t="str">
        <f t="shared" si="20"/>
        <v>Tabaco</v>
      </c>
      <c r="BD22">
        <f>+datos!BJ1</f>
        <v>62</v>
      </c>
      <c r="BE22" s="2" t="str">
        <f t="shared" si="4"/>
        <v>$/kg</v>
      </c>
      <c r="BF22" s="2">
        <f t="shared" si="4"/>
        <v>3675</v>
      </c>
      <c r="BG22" s="2">
        <f t="shared" si="4"/>
        <v>3420</v>
      </c>
      <c r="BH22" s="2">
        <f t="shared" si="4"/>
        <v>866.33</v>
      </c>
      <c r="BJ22">
        <f>+datos!DA1</f>
        <v>105</v>
      </c>
      <c r="BK22" s="2">
        <f t="shared" si="21"/>
        <v>8400.285650527112</v>
      </c>
      <c r="BL22" s="2">
        <f t="shared" si="21"/>
        <v>8136.1911606289141</v>
      </c>
      <c r="BM22" s="2">
        <f t="shared" si="21"/>
        <v>2813.6390790252799</v>
      </c>
      <c r="BO22" s="1">
        <f>+datos!FD1</f>
        <v>160</v>
      </c>
      <c r="BP22" s="1">
        <f t="shared" si="22"/>
        <v>60376</v>
      </c>
      <c r="BQ22" s="1">
        <f t="shared" si="22"/>
        <v>54743</v>
      </c>
      <c r="BS22" s="1">
        <f>+datos!GX1</f>
        <v>206</v>
      </c>
      <c r="BT22" s="1">
        <f t="shared" si="23"/>
        <v>30804.553</v>
      </c>
      <c r="BU22" s="1">
        <f t="shared" si="23"/>
        <v>33126.813000000002</v>
      </c>
      <c r="BW22" s="1">
        <f>+datos!KC1</f>
        <v>289</v>
      </c>
      <c r="BX22" s="1">
        <f t="shared" si="39"/>
        <v>494.94820856999996</v>
      </c>
      <c r="BY22" s="1">
        <f t="shared" si="40"/>
        <v>680.36384188000011</v>
      </c>
      <c r="CA22" s="1">
        <f>+datos!LH1</f>
        <v>320</v>
      </c>
      <c r="CB22" s="2">
        <f t="shared" si="24"/>
        <v>52.544792939999994</v>
      </c>
      <c r="CC22" s="2">
        <f t="shared" si="25"/>
        <v>62.106691679999997</v>
      </c>
      <c r="CE22" s="1">
        <f>+datos!JD1</f>
        <v>264</v>
      </c>
      <c r="CF22" s="1">
        <f t="shared" si="26"/>
        <v>0</v>
      </c>
      <c r="CG22" s="1">
        <f t="shared" si="27"/>
        <v>0</v>
      </c>
      <c r="CI22" s="1">
        <f t="shared" ref="CI22:CX24" si="43">+VLOOKUP(CI$1,ran_dat,$BW22,FALSE)</f>
        <v>45.888815350000002</v>
      </c>
      <c r="CJ22" s="1">
        <f t="shared" si="43"/>
        <v>56.365947810000002</v>
      </c>
      <c r="CK22" s="1">
        <f t="shared" si="43"/>
        <v>58.671597329999997</v>
      </c>
      <c r="CL22" s="1">
        <f t="shared" si="43"/>
        <v>31.625168280000004</v>
      </c>
      <c r="CM22" s="1">
        <f t="shared" si="43"/>
        <v>17.697801470000002</v>
      </c>
      <c r="CN22" s="1">
        <f t="shared" si="43"/>
        <v>30.191481329999998</v>
      </c>
      <c r="CO22" s="1">
        <f t="shared" si="43"/>
        <v>36.249269399999989</v>
      </c>
      <c r="CP22" s="1">
        <f t="shared" si="43"/>
        <v>40.108989959999995</v>
      </c>
      <c r="CQ22" s="1">
        <f t="shared" si="43"/>
        <v>56.890802439999995</v>
      </c>
      <c r="CR22" s="1">
        <f t="shared" si="43"/>
        <v>36.8257318</v>
      </c>
      <c r="CS22" s="1">
        <f t="shared" si="43"/>
        <v>51.381121719999996</v>
      </c>
      <c r="CT22" s="1">
        <f t="shared" si="43"/>
        <v>33.051481680000002</v>
      </c>
      <c r="CU22" s="1">
        <f t="shared" si="43"/>
        <v>60.888504160000004</v>
      </c>
      <c r="CV22" s="1">
        <f t="shared" si="43"/>
        <v>55.773078730000002</v>
      </c>
      <c r="CW22" s="1">
        <f t="shared" si="43"/>
        <v>34.825160650000001</v>
      </c>
      <c r="CX22" s="1">
        <f t="shared" si="43"/>
        <v>19.014000799999998</v>
      </c>
      <c r="CY22" s="1">
        <f t="shared" ref="CY22:DF24" si="44">+VLOOKUP(CY$1,ran_dat,$BW22,FALSE)</f>
        <v>13.328405800000001</v>
      </c>
      <c r="CZ22" s="1">
        <f t="shared" si="44"/>
        <v>41.736807310000003</v>
      </c>
      <c r="DA22" s="1">
        <f t="shared" si="44"/>
        <v>99.771490689999993</v>
      </c>
      <c r="DB22" s="1">
        <f t="shared" si="44"/>
        <v>36.311671529999998</v>
      </c>
      <c r="DC22" s="1">
        <f t="shared" si="44"/>
        <v>57.64022373000001</v>
      </c>
      <c r="DD22" s="1">
        <f t="shared" si="44"/>
        <v>136.09986096</v>
      </c>
      <c r="DE22" s="1">
        <f t="shared" si="44"/>
        <v>67.887772890000008</v>
      </c>
      <c r="DF22" s="1">
        <f t="shared" si="44"/>
        <v>57.086864629999994</v>
      </c>
      <c r="DH22" s="1">
        <f t="shared" ref="DH22:DW24" si="45">+VLOOKUP(DH$1,ran_dat,$CA22,FALSE)</f>
        <v>5.0602291599999996</v>
      </c>
      <c r="DI22" s="1">
        <f t="shared" si="45"/>
        <v>1.1636776099999999</v>
      </c>
      <c r="DJ22" s="1">
        <f t="shared" si="45"/>
        <v>4.3331795800000004</v>
      </c>
      <c r="DK22" s="1">
        <f t="shared" si="45"/>
        <v>5.5991701699999998</v>
      </c>
      <c r="DL22" s="1">
        <f t="shared" si="45"/>
        <v>5.1284923700000009</v>
      </c>
      <c r="DM22" s="1">
        <f t="shared" si="45"/>
        <v>4.8853449399999995</v>
      </c>
      <c r="DN22" s="1">
        <f t="shared" si="45"/>
        <v>4.5019780499999991</v>
      </c>
      <c r="DO22" s="1">
        <f t="shared" si="45"/>
        <v>3.2870284000000001</v>
      </c>
      <c r="DP22" s="1">
        <f t="shared" si="45"/>
        <v>2.2553329799999999</v>
      </c>
      <c r="DQ22" s="1">
        <f t="shared" si="45"/>
        <v>4.9563280900000004</v>
      </c>
      <c r="DR22" s="1">
        <f t="shared" si="45"/>
        <v>5.4312745199999997</v>
      </c>
      <c r="DS22" s="1">
        <f t="shared" si="45"/>
        <v>5.9427570699999999</v>
      </c>
      <c r="DT22" s="1">
        <f t="shared" si="45"/>
        <v>7.0989514199999997</v>
      </c>
      <c r="DU22" s="1">
        <f t="shared" si="45"/>
        <v>8.0901624599999984</v>
      </c>
      <c r="DV22" s="1">
        <f t="shared" si="45"/>
        <v>8.5152603000000013</v>
      </c>
      <c r="DW22" s="1">
        <f t="shared" si="45"/>
        <v>6.4262316399999984</v>
      </c>
      <c r="DX22" s="1">
        <f t="shared" si="41"/>
        <v>5.5724239500000001</v>
      </c>
      <c r="DY22" s="1">
        <f t="shared" si="41"/>
        <v>6.0969073500000004</v>
      </c>
      <c r="DZ22" s="1">
        <f t="shared" si="41"/>
        <v>3.8674547000000001</v>
      </c>
      <c r="EA22" s="1">
        <f t="shared" si="41"/>
        <v>3.6075394200000002</v>
      </c>
      <c r="EB22" s="1">
        <f t="shared" si="41"/>
        <v>4.0127527599999997</v>
      </c>
      <c r="EC22" s="1">
        <f t="shared" si="41"/>
        <v>4.23429112</v>
      </c>
      <c r="ED22" s="1">
        <f t="shared" si="41"/>
        <v>0</v>
      </c>
      <c r="EE22" s="1">
        <f t="shared" si="41"/>
        <v>4.5847165599999995</v>
      </c>
      <c r="EG22" s="14">
        <f t="shared" ref="EG22:EV24" si="46">+VLOOKUP(EG$1,ran_dat,$CE22,FALSE)</f>
        <v>0</v>
      </c>
      <c r="EH22" s="14">
        <f t="shared" si="46"/>
        <v>0</v>
      </c>
      <c r="EI22" s="1">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2"/>
        <v>0</v>
      </c>
      <c r="EX22" s="1">
        <f t="shared" si="42"/>
        <v>0</v>
      </c>
      <c r="EY22" s="1">
        <f t="shared" si="42"/>
        <v>0</v>
      </c>
      <c r="EZ22" s="1">
        <f t="shared" si="42"/>
        <v>0</v>
      </c>
      <c r="FA22" s="1">
        <f t="shared" si="42"/>
        <v>0</v>
      </c>
      <c r="FB22" s="1">
        <f t="shared" si="42"/>
        <v>0</v>
      </c>
      <c r="FC22" s="1">
        <f t="shared" si="42"/>
        <v>0</v>
      </c>
      <c r="FD22" s="1">
        <f t="shared" si="42"/>
        <v>0</v>
      </c>
      <c r="FF22" s="162">
        <f t="shared" si="34"/>
        <v>1.2564734195125511</v>
      </c>
    </row>
    <row r="23" spans="1:162" ht="18.75" customHeight="1">
      <c r="A23" s="244" t="s">
        <v>219</v>
      </c>
      <c r="B23" s="247"/>
      <c r="C23" s="228">
        <f t="shared" si="5"/>
        <v>-0.99</v>
      </c>
      <c r="D23" s="229">
        <v>-1</v>
      </c>
      <c r="E23" s="253">
        <f t="shared" si="6"/>
        <v>-1.5325025538958648E-2</v>
      </c>
      <c r="F23" s="254">
        <f t="shared" si="7"/>
        <v>-5.7041523227982061E-2</v>
      </c>
      <c r="G23" s="253">
        <f t="shared" si="8"/>
        <v>2.1045982897041737E-2</v>
      </c>
      <c r="H23" s="254">
        <f t="shared" si="9"/>
        <v>-3.6371008436000385E-2</v>
      </c>
      <c r="I23" s="253">
        <f t="shared" si="10"/>
        <v>1.5240822453324867</v>
      </c>
      <c r="J23" s="254">
        <f t="shared" si="11"/>
        <v>-0.84303608367988891</v>
      </c>
      <c r="K23" s="253">
        <f t="shared" si="12"/>
        <v>1.797590450276469</v>
      </c>
      <c r="L23" s="254">
        <f t="shared" si="13"/>
        <v>-0.27350820494398231</v>
      </c>
      <c r="M23" s="255"/>
      <c r="N23" s="256">
        <v>-2</v>
      </c>
      <c r="O23" s="253">
        <f t="shared" si="35"/>
        <v>-2.3925173422115087E-2</v>
      </c>
      <c r="P23" s="257">
        <f t="shared" si="36"/>
        <v>-2.3925173422115087E-2</v>
      </c>
      <c r="Q23" s="253">
        <f t="shared" si="14"/>
        <v>0.31859999476400835</v>
      </c>
      <c r="R23" s="257">
        <f t="shared" si="37"/>
        <v>0.31859999476400835</v>
      </c>
      <c r="S23" s="255"/>
      <c r="T23" s="256">
        <v>0</v>
      </c>
      <c r="U23" s="253">
        <f t="shared" si="15"/>
        <v>2.5606247944735649E-2</v>
      </c>
      <c r="V23" s="258">
        <f t="shared" si="16"/>
        <v>2.5606247944735649E-2</v>
      </c>
      <c r="W23" s="253">
        <f t="shared" si="38"/>
        <v>-0.19872566357338806</v>
      </c>
      <c r="X23" s="258">
        <f t="shared" si="17"/>
        <v>-0.19872566357338806</v>
      </c>
      <c r="Y23" s="253">
        <f t="shared" si="18"/>
        <v>-2.39520958083832E-2</v>
      </c>
      <c r="Z23" s="258">
        <f t="shared" si="19"/>
        <v>-2.39520958083832E-2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O23" s="28">
        <f>VLOOKUP($A23,historia!$A$5:$CM$24,+HLOOKUP(AO$2,historia!$A$3:$EC$4,2,FALSE),FALSE)</f>
        <v>5</v>
      </c>
      <c r="AP23" s="28">
        <f>VLOOKUP($A23,historia!$A$5:$CM$24,+HLOOKUP(AP$2,historia!$A$3:$EC$4,2,FALSE),FALSE)</f>
        <v>5</v>
      </c>
      <c r="AQ23" s="28">
        <f>VLOOKUP($A23,historia!$A$5:$CM$24,+HLOOKUP(AQ$2,historia!$A$3:$EC$4,2,FALSE),FALSE)</f>
        <v>5</v>
      </c>
      <c r="AR23" s="28">
        <f>VLOOKUP($A23,historia!$A$5:$CM$24,+HLOOKUP(AR$2,historia!$A$3:$EC$4,2,FALSE),FALSE)</f>
        <v>5</v>
      </c>
      <c r="AS23" s="5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5</v>
      </c>
      <c r="AX23" s="58">
        <f>VLOOKUP($A23,historia!$A$5:$CM$24,+HLOOKUP(AX$2,historia!$A$3:$EC$4,2,FALSE),FALSE)</f>
        <v>5</v>
      </c>
      <c r="AY23" s="58">
        <f>VLOOKUP($A23,historia!$A$5:$CM$24,+HLOOKUP(AY$2,historia!$A$3:$EC$4,2,FALSE),FALSE)</f>
        <v>4</v>
      </c>
      <c r="AZ23" s="58">
        <v>4</v>
      </c>
      <c r="BA23" s="30"/>
      <c r="BB23" s="141">
        <v>4</v>
      </c>
      <c r="BC23" t="str">
        <f t="shared" si="20"/>
        <v>Vino y Mosto</v>
      </c>
      <c r="BD23">
        <f>+datos!AM1</f>
        <v>39</v>
      </c>
      <c r="BE23" s="2" t="str">
        <f t="shared" si="4"/>
        <v>$/l</v>
      </c>
      <c r="BF23" s="2">
        <f t="shared" si="4"/>
        <v>357.99060000000003</v>
      </c>
      <c r="BG23" s="2">
        <f t="shared" si="4"/>
        <v>363.56220000000002</v>
      </c>
      <c r="BH23" s="2">
        <f t="shared" si="4"/>
        <v>141.830006</v>
      </c>
      <c r="BJ23">
        <f>+datos!CP1</f>
        <v>94</v>
      </c>
      <c r="BK23" s="2">
        <f t="shared" si="21"/>
        <v>9743.8075273244394</v>
      </c>
      <c r="BL23" s="2">
        <f t="shared" si="21"/>
        <v>9542.9664192772871</v>
      </c>
      <c r="BM23" s="2">
        <f t="shared" si="21"/>
        <v>3482.9285059796789</v>
      </c>
      <c r="BO23" s="1">
        <f>+datos!EF1</f>
        <v>136</v>
      </c>
      <c r="BP23" s="1">
        <f t="shared" si="22"/>
        <v>199946</v>
      </c>
      <c r="BQ23" s="1">
        <f t="shared" si="22"/>
        <v>204847</v>
      </c>
      <c r="BS23" s="1">
        <f>+datos!GB1</f>
        <v>184</v>
      </c>
      <c r="BT23" s="1">
        <f t="shared" si="23"/>
        <v>19189740</v>
      </c>
      <c r="BU23" s="1">
        <f t="shared" si="23"/>
        <v>14553117</v>
      </c>
      <c r="BW23" s="1">
        <f>+datos!JU1</f>
        <v>281</v>
      </c>
      <c r="BX23" s="1">
        <f t="shared" si="39"/>
        <v>942.59422831999996</v>
      </c>
      <c r="BY23" s="1">
        <f t="shared" si="40"/>
        <v>919.06053635000012</v>
      </c>
      <c r="CA23" s="1">
        <f>+datos!KZ1</f>
        <v>312</v>
      </c>
      <c r="CB23" s="2">
        <f t="shared" si="24"/>
        <v>14.361211150000001</v>
      </c>
      <c r="CC23" s="2">
        <f t="shared" si="25"/>
        <v>17.92296408</v>
      </c>
      <c r="CE23" s="1">
        <f>+datos!IQ1</f>
        <v>251</v>
      </c>
      <c r="CF23" s="1">
        <f t="shared" si="26"/>
        <v>16.3</v>
      </c>
      <c r="CG23" s="1">
        <f t="shared" si="27"/>
        <v>16.7</v>
      </c>
      <c r="CI23" s="1">
        <f t="shared" si="43"/>
        <v>99.074693340000039</v>
      </c>
      <c r="CJ23" s="1">
        <f t="shared" si="43"/>
        <v>115.95052356999999</v>
      </c>
      <c r="CK23" s="1">
        <f t="shared" si="43"/>
        <v>55.887516779999999</v>
      </c>
      <c r="CL23" s="1">
        <f t="shared" si="43"/>
        <v>84.428757199999993</v>
      </c>
      <c r="CM23" s="1">
        <f t="shared" si="43"/>
        <v>70.799436420000006</v>
      </c>
      <c r="CN23" s="1">
        <f t="shared" si="43"/>
        <v>83.547570889999989</v>
      </c>
      <c r="CO23" s="1">
        <f t="shared" si="43"/>
        <v>59.429446169999991</v>
      </c>
      <c r="CP23" s="1">
        <f t="shared" si="43"/>
        <v>57.397509530000008</v>
      </c>
      <c r="CQ23" s="1">
        <f t="shared" si="43"/>
        <v>71.762443020000006</v>
      </c>
      <c r="CR23" s="1">
        <f t="shared" si="43"/>
        <v>76.246675170000003</v>
      </c>
      <c r="CS23" s="1">
        <f t="shared" si="43"/>
        <v>81.396405279999982</v>
      </c>
      <c r="CT23" s="1">
        <f t="shared" si="43"/>
        <v>86.673250950000011</v>
      </c>
      <c r="CU23" s="1">
        <f t="shared" si="43"/>
        <v>67.769583350000005</v>
      </c>
      <c r="CV23" s="1">
        <f t="shared" si="43"/>
        <v>79.411450110000018</v>
      </c>
      <c r="CW23" s="1">
        <f t="shared" si="43"/>
        <v>61.526627820000002</v>
      </c>
      <c r="CX23" s="1">
        <f t="shared" si="43"/>
        <v>82.508437450000031</v>
      </c>
      <c r="CY23" s="1">
        <f t="shared" si="44"/>
        <v>73.17738731</v>
      </c>
      <c r="CZ23" s="1">
        <f t="shared" si="44"/>
        <v>70.498219510000013</v>
      </c>
      <c r="DA23" s="1">
        <f t="shared" si="44"/>
        <v>58.070113270000007</v>
      </c>
      <c r="DB23" s="1">
        <f t="shared" si="44"/>
        <v>66.649594010000001</v>
      </c>
      <c r="DC23" s="1">
        <f t="shared" si="44"/>
        <v>76.334805869999997</v>
      </c>
      <c r="DD23" s="1">
        <f t="shared" si="44"/>
        <v>77.449795309999999</v>
      </c>
      <c r="DE23" s="1">
        <f t="shared" si="44"/>
        <v>104.26238703999999</v>
      </c>
      <c r="DF23" s="1">
        <f t="shared" si="44"/>
        <v>101.4021353</v>
      </c>
      <c r="DH23" s="1">
        <f t="shared" si="45"/>
        <v>2.4186424700000004</v>
      </c>
      <c r="DI23" s="1">
        <f t="shared" si="45"/>
        <v>2.3161338599999999</v>
      </c>
      <c r="DJ23" s="1">
        <f t="shared" si="45"/>
        <v>0.34545517000000003</v>
      </c>
      <c r="DK23" s="1">
        <f t="shared" si="45"/>
        <v>1.3068112300000001</v>
      </c>
      <c r="DL23" s="1">
        <f t="shared" si="45"/>
        <v>1.01985657</v>
      </c>
      <c r="DM23" s="1">
        <f t="shared" si="45"/>
        <v>0.49471243999999998</v>
      </c>
      <c r="DN23" s="1">
        <f t="shared" si="45"/>
        <v>0.76659119999999992</v>
      </c>
      <c r="DO23" s="1">
        <f t="shared" si="45"/>
        <v>0.41683354000000006</v>
      </c>
      <c r="DP23" s="1">
        <f t="shared" si="45"/>
        <v>1.01193058</v>
      </c>
      <c r="DQ23" s="1">
        <f t="shared" si="45"/>
        <v>1.2280305999999999</v>
      </c>
      <c r="DR23" s="1">
        <f t="shared" si="45"/>
        <v>1.7214946800000002</v>
      </c>
      <c r="DS23" s="1">
        <f t="shared" si="45"/>
        <v>1.3147188099999998</v>
      </c>
      <c r="DT23" s="1">
        <f t="shared" si="45"/>
        <v>1.8704580099999999</v>
      </c>
      <c r="DU23" s="1">
        <f t="shared" si="45"/>
        <v>1.2166211999999998</v>
      </c>
      <c r="DV23" s="1">
        <f t="shared" si="45"/>
        <v>1.2618213600000001</v>
      </c>
      <c r="DW23" s="1">
        <f t="shared" si="45"/>
        <v>2.6711612799999997</v>
      </c>
      <c r="DX23" s="1">
        <f t="shared" si="41"/>
        <v>1.8665371000000002</v>
      </c>
      <c r="DY23" s="1">
        <f t="shared" si="41"/>
        <v>1.1160735099999999</v>
      </c>
      <c r="DZ23" s="1">
        <f t="shared" si="41"/>
        <v>0.32453726999999999</v>
      </c>
      <c r="EA23" s="1">
        <f t="shared" si="41"/>
        <v>0.12503209999999998</v>
      </c>
      <c r="EB23" s="1">
        <f t="shared" si="41"/>
        <v>0.47826376000000004</v>
      </c>
      <c r="EC23" s="1">
        <f t="shared" si="41"/>
        <v>2.89069318</v>
      </c>
      <c r="ED23" s="1">
        <f t="shared" si="41"/>
        <v>1.35471261</v>
      </c>
      <c r="EE23" s="1">
        <f t="shared" si="41"/>
        <v>2.7470526999999998</v>
      </c>
      <c r="EG23" s="14">
        <f t="shared" si="46"/>
        <v>16.3</v>
      </c>
      <c r="EH23" s="14">
        <f t="shared" si="46"/>
        <v>16.3</v>
      </c>
      <c r="EI23" s="1">
        <f t="shared" si="46"/>
        <v>16.3</v>
      </c>
      <c r="EJ23" s="1">
        <f t="shared" si="46"/>
        <v>16.3</v>
      </c>
      <c r="EK23" s="1">
        <f t="shared" si="46"/>
        <v>16.3</v>
      </c>
      <c r="EL23" s="1">
        <f t="shared" si="46"/>
        <v>16.3</v>
      </c>
      <c r="EM23" s="1">
        <f t="shared" si="46"/>
        <v>16.3</v>
      </c>
      <c r="EN23" s="1">
        <f t="shared" si="46"/>
        <v>16.3</v>
      </c>
      <c r="EO23" s="1">
        <f t="shared" si="46"/>
        <v>16.7</v>
      </c>
      <c r="EP23" s="1">
        <f t="shared" si="46"/>
        <v>16.7</v>
      </c>
      <c r="EQ23" s="1">
        <f t="shared" si="46"/>
        <v>16.7</v>
      </c>
      <c r="ER23" s="1">
        <f t="shared" si="46"/>
        <v>16.7</v>
      </c>
      <c r="ES23" s="1">
        <f t="shared" si="46"/>
        <v>16.7</v>
      </c>
      <c r="ET23" s="1">
        <f t="shared" si="46"/>
        <v>16.7</v>
      </c>
      <c r="EU23" s="1">
        <f t="shared" si="46"/>
        <v>16.7</v>
      </c>
      <c r="EV23" s="1">
        <f t="shared" si="46"/>
        <v>16.7</v>
      </c>
      <c r="EW23" s="1">
        <f t="shared" si="42"/>
        <v>16.7</v>
      </c>
      <c r="EX23" s="1">
        <f t="shared" si="42"/>
        <v>16.7</v>
      </c>
      <c r="EY23" s="1">
        <f t="shared" si="42"/>
        <v>16.7</v>
      </c>
      <c r="EZ23" s="1">
        <f t="shared" si="42"/>
        <v>16.7</v>
      </c>
      <c r="FA23" s="1">
        <f t="shared" si="42"/>
        <v>18</v>
      </c>
      <c r="FB23" s="1">
        <f t="shared" si="42"/>
        <v>18</v>
      </c>
      <c r="FC23" s="1">
        <f t="shared" si="42"/>
        <v>18</v>
      </c>
      <c r="FD23" s="1">
        <f t="shared" si="42"/>
        <v>18</v>
      </c>
      <c r="FF23" s="162">
        <f t="shared" si="34"/>
        <v>-0.27350820494398231</v>
      </c>
    </row>
    <row r="24" spans="1:162" ht="18.75" customHeight="1">
      <c r="A24" s="243" t="s">
        <v>39</v>
      </c>
      <c r="B24" s="246"/>
      <c r="C24" s="156">
        <f t="shared" si="5"/>
        <v>-0.65999999999999992</v>
      </c>
      <c r="D24" s="198">
        <v>-3</v>
      </c>
      <c r="E24" s="248">
        <f t="shared" si="6"/>
        <v>-0.25</v>
      </c>
      <c r="F24" s="249">
        <f t="shared" si="7"/>
        <v>-0.29171649768902341</v>
      </c>
      <c r="G24" s="248">
        <f t="shared" si="8"/>
        <v>1.3393817646132122E-2</v>
      </c>
      <c r="H24" s="249">
        <f t="shared" si="9"/>
        <v>-0.26339381764613212</v>
      </c>
      <c r="I24" s="248">
        <f t="shared" si="10"/>
        <v>0.75</v>
      </c>
      <c r="J24" s="249">
        <f t="shared" si="11"/>
        <v>-1.6171183290123756</v>
      </c>
      <c r="K24" s="248">
        <f t="shared" si="12"/>
        <v>1.9060625294811704</v>
      </c>
      <c r="L24" s="249">
        <f t="shared" si="13"/>
        <v>-1.1560625294811704</v>
      </c>
      <c r="M24" s="250"/>
      <c r="N24" s="24">
        <v>1</v>
      </c>
      <c r="O24" s="248">
        <f t="shared" si="35"/>
        <v>3.6432873308666736E-2</v>
      </c>
      <c r="P24" s="251">
        <f t="shared" si="36"/>
        <v>3.6432873308666736E-2</v>
      </c>
      <c r="Q24" s="248">
        <f t="shared" si="14"/>
        <v>0.28041552916704404</v>
      </c>
      <c r="R24" s="251">
        <f t="shared" si="37"/>
        <v>0.28041552916704404</v>
      </c>
      <c r="S24" s="250"/>
      <c r="T24" s="24">
        <v>0</v>
      </c>
      <c r="U24" s="248">
        <f t="shared" si="15"/>
        <v>-4.1214063359844455E-2</v>
      </c>
      <c r="V24" s="252">
        <f t="shared" si="16"/>
        <v>-4.1214063359844455E-2</v>
      </c>
      <c r="W24" s="248">
        <f t="shared" si="38"/>
        <v>0.9830482521917272</v>
      </c>
      <c r="X24" s="258">
        <f t="shared" si="17"/>
        <v>0.9830482521917272</v>
      </c>
      <c r="Y24" s="248">
        <f t="shared" si="18"/>
        <v>-9.2922519141609095E-2</v>
      </c>
      <c r="Z24" s="252">
        <f t="shared" si="19"/>
        <v>-9.2922519141609095E-2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O24" s="28">
        <f>VLOOKUP($A24,historia!$A$5:$CM$24,+HLOOKUP(AO$2,historia!$A$3:$EC$4,2,FALSE),FALSE)</f>
        <v>2</v>
      </c>
      <c r="AP24" s="28">
        <f>VLOOKUP($A24,historia!$A$5:$CM$24,+HLOOKUP(AP$2,historia!$A$3:$EC$4,2,FALSE),FALSE)</f>
        <v>2</v>
      </c>
      <c r="AQ24" s="28">
        <f>VLOOKUP($A24,historia!$A$5:$CM$24,+HLOOKUP(AQ$2,historia!$A$3:$EC$4,2,FALSE),FALSE)</f>
        <v>2</v>
      </c>
      <c r="AR24" s="28">
        <f>VLOOKUP($A24,historia!$A$5:$CM$24,+HLOOKUP(AR$2,historia!$A$3:$EC$4,2,FALSE),FALSE)</f>
        <v>3</v>
      </c>
      <c r="AS24" s="58">
        <f>VLOOKUP($A24,historia!$A$5:$CM$24,+HLOOKUP(AS$2,historia!$A$3:$EC$4,2,FALSE),FALSE)</f>
        <v>2</v>
      </c>
      <c r="AT24" s="58">
        <f>VLOOKUP($A24,historia!$A$5:$CM$24,+HLOOKUP(AT$2,historia!$A$3:$EC$4,2,FALSE),FALSE)</f>
        <v>2</v>
      </c>
      <c r="AU24" s="58">
        <f>VLOOKUP($A24,historia!$A$5:$CM$24,+HLOOKUP(AU$2,historia!$A$3:$EC$4,2,FALSE),FALSE)</f>
        <v>2</v>
      </c>
      <c r="AV24" s="58">
        <f>VLOOKUP($A24,historia!$A$5:$CM$24,+HLOOKUP(AV$2,historia!$A$3:$EC$4,2,FALSE),FALSE)</f>
        <v>4</v>
      </c>
      <c r="AW24" s="58">
        <f>VLOOKUP($A24,historia!$A$5:$CM$24,+HLOOKUP(AW$2,historia!$A$3:$EC$4,2,FALSE),FALSE)</f>
        <v>4</v>
      </c>
      <c r="AX24" s="58">
        <f>VLOOKUP($A24,historia!$A$5:$CM$24,+HLOOKUP(AX$2,historia!$A$3:$EC$4,2,FALSE),FALSE)</f>
        <v>4</v>
      </c>
      <c r="AY24" s="58">
        <f>VLOOKUP($A24,historia!$A$5:$CM$24,+HLOOKUP(AY$2,historia!$A$3:$EC$4,2,FALSE),FALSE)</f>
        <v>4</v>
      </c>
      <c r="AZ24" s="58">
        <v>4</v>
      </c>
      <c r="BA24" s="30"/>
      <c r="BB24" s="141">
        <v>4</v>
      </c>
      <c r="BC24" t="str">
        <f t="shared" si="20"/>
        <v>Yerba Mate</v>
      </c>
      <c r="BD24">
        <f>+datos!AG1</f>
        <v>33</v>
      </c>
      <c r="BE24" s="2" t="str">
        <f t="shared" si="4"/>
        <v>$/t</v>
      </c>
      <c r="BF24" s="2">
        <f t="shared" si="4"/>
        <v>210000</v>
      </c>
      <c r="BG24" s="2">
        <f t="shared" si="4"/>
        <v>280000</v>
      </c>
      <c r="BH24" s="2">
        <f t="shared" si="4"/>
        <v>120000</v>
      </c>
      <c r="BJ24">
        <f>+datos!CY1</f>
        <v>103</v>
      </c>
      <c r="BK24" s="2">
        <f t="shared" si="21"/>
        <v>8024.8529097173832</v>
      </c>
      <c r="BL24" s="2">
        <f t="shared" si="21"/>
        <v>7918.7900794156885</v>
      </c>
      <c r="BM24" s="2">
        <f t="shared" si="21"/>
        <v>2761.4178388481159</v>
      </c>
      <c r="BO24" s="1">
        <f>+datos!ED1</f>
        <v>134</v>
      </c>
      <c r="BP24" s="1">
        <f t="shared" si="22"/>
        <v>230256</v>
      </c>
      <c r="BQ24" s="1">
        <f t="shared" si="22"/>
        <v>222162</v>
      </c>
      <c r="BS24" s="1">
        <f>+datos!FZ1</f>
        <v>182</v>
      </c>
      <c r="BT24" s="1">
        <f t="shared" si="23"/>
        <v>996021.5</v>
      </c>
      <c r="BU24" s="1">
        <f t="shared" si="23"/>
        <v>777889.26899999997</v>
      </c>
      <c r="BW24" s="1">
        <f>+datos!KD1</f>
        <v>290</v>
      </c>
      <c r="BX24" s="1">
        <f t="shared" si="39"/>
        <v>113.25268434000002</v>
      </c>
      <c r="BY24" s="1">
        <f t="shared" si="40"/>
        <v>118.12092773999998</v>
      </c>
      <c r="CA24" s="1">
        <f>+datos!LI1</f>
        <v>321</v>
      </c>
      <c r="CB24" s="2">
        <f t="shared" si="24"/>
        <v>23.162655829999999</v>
      </c>
      <c r="CC24" s="2">
        <f t="shared" si="25"/>
        <v>11.680328909999998</v>
      </c>
      <c r="CE24" s="1">
        <f>+datos!IP1</f>
        <v>250</v>
      </c>
      <c r="CF24" s="1">
        <f t="shared" si="26"/>
        <v>5.5693606783423002</v>
      </c>
      <c r="CG24" s="1">
        <f t="shared" si="27"/>
        <v>6.139895208369488</v>
      </c>
      <c r="CI24" s="1">
        <f t="shared" si="43"/>
        <v>9.4659040999999995</v>
      </c>
      <c r="CJ24" s="1">
        <f t="shared" si="43"/>
        <v>8.3006057400000017</v>
      </c>
      <c r="CK24" s="1">
        <f t="shared" si="43"/>
        <v>11.077079630000002</v>
      </c>
      <c r="CL24" s="1">
        <f t="shared" si="43"/>
        <v>7.2906957700000001</v>
      </c>
      <c r="CM24" s="1">
        <f t="shared" si="43"/>
        <v>8.852789640000001</v>
      </c>
      <c r="CN24" s="1">
        <f t="shared" si="43"/>
        <v>12.408222910000001</v>
      </c>
      <c r="CO24" s="1">
        <f t="shared" si="43"/>
        <v>8.8663402400000013</v>
      </c>
      <c r="CP24" s="1">
        <f t="shared" si="43"/>
        <v>9.2397224899999983</v>
      </c>
      <c r="CQ24" s="1">
        <f t="shared" si="43"/>
        <v>7.1224329199999996</v>
      </c>
      <c r="CR24" s="1">
        <f t="shared" si="43"/>
        <v>8.6156523299999996</v>
      </c>
      <c r="CS24" s="1">
        <f t="shared" si="43"/>
        <v>10.17972451</v>
      </c>
      <c r="CT24" s="1">
        <f t="shared" si="43"/>
        <v>11.833514059999999</v>
      </c>
      <c r="CU24" s="1">
        <f t="shared" si="43"/>
        <v>8.6649559600000003</v>
      </c>
      <c r="CV24" s="1">
        <f t="shared" si="43"/>
        <v>8.6995030900000003</v>
      </c>
      <c r="CW24" s="1">
        <f t="shared" si="43"/>
        <v>9.3876240000000006</v>
      </c>
      <c r="CX24" s="1">
        <f t="shared" si="43"/>
        <v>8.6499339499999994</v>
      </c>
      <c r="CY24" s="1">
        <f t="shared" si="44"/>
        <v>10.5511423</v>
      </c>
      <c r="CZ24" s="1">
        <f t="shared" si="44"/>
        <v>12.484662230000001</v>
      </c>
      <c r="DA24" s="1">
        <f t="shared" si="44"/>
        <v>8.9774099899999982</v>
      </c>
      <c r="DB24" s="1">
        <f t="shared" si="44"/>
        <v>3.3752363299999999</v>
      </c>
      <c r="DC24" s="1">
        <f t="shared" si="44"/>
        <v>8.5781493200000014</v>
      </c>
      <c r="DD24" s="1">
        <f t="shared" si="44"/>
        <v>11.086418249999999</v>
      </c>
      <c r="DE24" s="1">
        <f t="shared" si="44"/>
        <v>17.188054299999997</v>
      </c>
      <c r="DF24" s="1">
        <f t="shared" si="44"/>
        <v>10.47783802</v>
      </c>
      <c r="DH24" s="1">
        <f t="shared" si="45"/>
        <v>0.60028256999999996</v>
      </c>
      <c r="DI24" s="1">
        <f t="shared" si="45"/>
        <v>1.7316709800000001</v>
      </c>
      <c r="DJ24" s="1">
        <f t="shared" si="45"/>
        <v>1.1554743999999999</v>
      </c>
      <c r="DK24" s="1">
        <f t="shared" si="45"/>
        <v>1.50586095</v>
      </c>
      <c r="DL24" s="1">
        <f t="shared" si="45"/>
        <v>3.2398820599999998</v>
      </c>
      <c r="DM24" s="1">
        <f t="shared" si="45"/>
        <v>3.1775986299999999</v>
      </c>
      <c r="DN24" s="1">
        <f t="shared" si="45"/>
        <v>2.4176205400000002</v>
      </c>
      <c r="DO24" s="1">
        <f t="shared" si="45"/>
        <v>1.0621514699999999</v>
      </c>
      <c r="DP24" s="1">
        <f t="shared" si="45"/>
        <v>1.8796713600000001</v>
      </c>
      <c r="DQ24" s="1">
        <f t="shared" si="45"/>
        <v>2.4189343299999999</v>
      </c>
      <c r="DR24" s="1">
        <f t="shared" si="45"/>
        <v>2.31537419</v>
      </c>
      <c r="DS24" s="1">
        <f t="shared" si="45"/>
        <v>1.6581343500000001</v>
      </c>
      <c r="DT24" s="1">
        <f t="shared" si="45"/>
        <v>1.1317222</v>
      </c>
      <c r="DU24" s="1">
        <f t="shared" si="45"/>
        <v>1.25031731</v>
      </c>
      <c r="DV24" s="1">
        <f t="shared" si="45"/>
        <v>1.1220479999999999</v>
      </c>
      <c r="DW24" s="1">
        <f t="shared" si="45"/>
        <v>1.06290057</v>
      </c>
      <c r="DX24" s="1">
        <f t="shared" si="41"/>
        <v>0.94532128999999998</v>
      </c>
      <c r="DY24" s="1">
        <f t="shared" si="41"/>
        <v>0.74918092999999997</v>
      </c>
      <c r="DZ24" s="1">
        <f t="shared" si="41"/>
        <v>0.38311624</v>
      </c>
      <c r="EA24" s="1">
        <f t="shared" si="41"/>
        <v>0.75479300000000005</v>
      </c>
      <c r="EB24" s="1">
        <f t="shared" si="41"/>
        <v>0.25391999999999998</v>
      </c>
      <c r="EC24" s="1">
        <f t="shared" si="41"/>
        <v>0.77264063999999999</v>
      </c>
      <c r="ED24" s="1">
        <f t="shared" si="41"/>
        <v>0.73566756000000011</v>
      </c>
      <c r="EE24" s="1">
        <f t="shared" si="41"/>
        <v>2.5187011699999999</v>
      </c>
      <c r="EG24" s="14">
        <f t="shared" si="46"/>
        <v>5.5693606783423002</v>
      </c>
      <c r="EH24" s="14">
        <f t="shared" si="46"/>
        <v>5.5693606783423002</v>
      </c>
      <c r="EI24" s="1">
        <f t="shared" si="46"/>
        <v>5.5693606783423002</v>
      </c>
      <c r="EJ24" s="1">
        <f t="shared" si="46"/>
        <v>5.5693606783423002</v>
      </c>
      <c r="EK24" s="1">
        <f t="shared" si="46"/>
        <v>5.5693606783423002</v>
      </c>
      <c r="EL24" s="1">
        <f t="shared" si="46"/>
        <v>5.5693606783423002</v>
      </c>
      <c r="EM24" s="1">
        <f t="shared" si="46"/>
        <v>5.5693606783423002</v>
      </c>
      <c r="EN24" s="1">
        <f t="shared" si="46"/>
        <v>5.5693606783423002</v>
      </c>
      <c r="EO24" s="1">
        <f t="shared" si="46"/>
        <v>6.139895208369488</v>
      </c>
      <c r="EP24" s="1">
        <f t="shared" si="46"/>
        <v>6.139895208369488</v>
      </c>
      <c r="EQ24" s="1">
        <f t="shared" si="46"/>
        <v>6.139895208369488</v>
      </c>
      <c r="ER24" s="1">
        <f t="shared" si="46"/>
        <v>6.139895208369488</v>
      </c>
      <c r="ES24" s="1">
        <f t="shared" si="46"/>
        <v>6.139895208369488</v>
      </c>
      <c r="ET24" s="1">
        <f t="shared" si="46"/>
        <v>6.139895208369488</v>
      </c>
      <c r="EU24" s="1">
        <f t="shared" si="46"/>
        <v>6.139895208369488</v>
      </c>
      <c r="EV24" s="1">
        <f t="shared" si="46"/>
        <v>6.139895208369488</v>
      </c>
      <c r="EW24" s="1">
        <f t="shared" si="42"/>
        <v>6.139895208369488</v>
      </c>
      <c r="EX24" s="1">
        <f t="shared" si="42"/>
        <v>6.139895208369488</v>
      </c>
      <c r="EY24" s="1">
        <f t="shared" si="42"/>
        <v>6.139895208369488</v>
      </c>
      <c r="EZ24" s="1">
        <f t="shared" si="42"/>
        <v>6.139895208369488</v>
      </c>
      <c r="FA24" s="1">
        <f t="shared" si="42"/>
        <v>5.9356067942694777</v>
      </c>
      <c r="FB24" s="1">
        <f t="shared" si="42"/>
        <v>5.9356067942694777</v>
      </c>
      <c r="FC24" s="1">
        <f t="shared" si="42"/>
        <v>5.9356067942694777</v>
      </c>
      <c r="FD24" s="1">
        <f t="shared" si="42"/>
        <v>5.9356067942694777</v>
      </c>
      <c r="FF24" s="162">
        <f t="shared" si="34"/>
        <v>-1.1560625294811704</v>
      </c>
    </row>
    <row r="25" spans="1:162"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8"/>
        <v/>
      </c>
      <c r="Z25" s="194"/>
      <c r="AA25" s="30"/>
      <c r="AB25" s="57"/>
      <c r="AS25" s="58"/>
      <c r="AT25" s="58"/>
      <c r="AU25" s="58"/>
      <c r="AV25" s="58"/>
      <c r="AW25" s="58"/>
      <c r="AX25" s="58"/>
      <c r="AY25" s="58"/>
      <c r="AZ25" s="58"/>
      <c r="BA25" s="30"/>
      <c r="BE25" s="2"/>
      <c r="BF25" s="2"/>
      <c r="BG25" s="2"/>
      <c r="BH25" s="2"/>
      <c r="BK25" s="2"/>
      <c r="BL25" s="2"/>
      <c r="BM25" s="2"/>
      <c r="BO25" s="1"/>
      <c r="BP25" s="1"/>
      <c r="BQ25" s="1"/>
      <c r="BS25" s="1"/>
      <c r="BT25" s="1"/>
      <c r="BU25" s="1"/>
      <c r="BW25" s="1"/>
      <c r="BX25" s="1"/>
      <c r="BY25" s="1"/>
      <c r="CA25" s="1"/>
      <c r="CB25" s="2"/>
      <c r="CC25" s="2"/>
      <c r="CE25" s="1"/>
      <c r="CF25" s="1"/>
      <c r="CG25" s="1"/>
      <c r="CI25" s="1"/>
      <c r="CJ25" s="1"/>
      <c r="CK25" s="1"/>
      <c r="CL25" s="1"/>
      <c r="CM25" s="1"/>
      <c r="CN25" s="1"/>
      <c r="CO25" s="1"/>
      <c r="CP25" s="1"/>
      <c r="CQ25" s="1"/>
      <c r="CR25" s="1"/>
      <c r="CS25" s="1"/>
      <c r="CT25" s="1"/>
      <c r="CU25" s="1"/>
      <c r="CV25" s="1"/>
      <c r="CW25" s="1"/>
      <c r="CX25" s="1"/>
      <c r="CY25" s="1"/>
      <c r="CZ25" s="1"/>
      <c r="DA25" s="1"/>
      <c r="DB25" s="1"/>
      <c r="DC25" s="1"/>
      <c r="DD25" s="1"/>
      <c r="DE25" s="1"/>
      <c r="DF25" s="1"/>
      <c r="DH25" s="1"/>
      <c r="DI25" s="1"/>
      <c r="DJ25" s="1"/>
      <c r="DK25" s="1"/>
      <c r="DL25" s="1"/>
      <c r="DM25" s="1"/>
      <c r="DN25" s="1"/>
      <c r="DO25" s="1"/>
      <c r="DP25" s="1"/>
      <c r="DQ25" s="1"/>
      <c r="DR25" s="1"/>
      <c r="DS25" s="1"/>
      <c r="DT25" s="1"/>
      <c r="DU25" s="1"/>
      <c r="DV25" s="1"/>
      <c r="DW25" s="1"/>
      <c r="DX25" s="1"/>
      <c r="DY25" s="1"/>
      <c r="DZ25" s="1"/>
      <c r="EA25" s="1"/>
      <c r="EB25" s="1"/>
      <c r="EC25" s="1"/>
      <c r="ED25" s="1"/>
      <c r="EE25" s="1"/>
      <c r="EI25" s="1"/>
      <c r="EJ25" s="1"/>
      <c r="EK25" s="1"/>
      <c r="EL25" s="1"/>
      <c r="EM25" s="1"/>
      <c r="EN25" s="1"/>
      <c r="EO25" s="1"/>
      <c r="EP25" s="1"/>
      <c r="EQ25" s="1"/>
      <c r="ER25" s="1"/>
      <c r="ES25" s="1"/>
      <c r="ET25" s="1"/>
      <c r="EU25" s="1"/>
      <c r="EV25" s="1"/>
      <c r="EW25" s="1"/>
      <c r="EX25" s="1"/>
      <c r="EY25" s="1"/>
      <c r="EZ25" s="1"/>
      <c r="FA25" s="1"/>
      <c r="FB25" s="1"/>
      <c r="FC25" s="1"/>
      <c r="FD25" s="1"/>
      <c r="FF25" s="162"/>
    </row>
    <row r="26" spans="1:162" ht="18.75" customHeight="1">
      <c r="E26" s="12">
        <f>+AVERAGE(E6:E24)</f>
        <v>2.2891989030791916E-2</v>
      </c>
      <c r="F26" s="37">
        <f>+E26-$I$3</f>
        <v>-2.3442263399815837</v>
      </c>
      <c r="G26" s="12">
        <f>+AVERAGE(G6:G24)</f>
        <v>2.3771143911720118E-2</v>
      </c>
      <c r="I26" s="12">
        <f>+AVERAGEIF(I6:I24,"&gt;211%")</f>
        <v>3.0959980900966375</v>
      </c>
      <c r="J26" s="37">
        <f t="shared" si="11"/>
        <v>0.72887976108426189</v>
      </c>
      <c r="K26" s="12">
        <f>+AVERAGE(K6:K24)</f>
        <v>1.7568075454153127</v>
      </c>
      <c r="O26" s="12">
        <f>+AVERAGE(O6:O24)</f>
        <v>2.3702471581337963E-2</v>
      </c>
      <c r="AB26" s="57"/>
    </row>
    <row r="27" spans="1:162" ht="18.75" customHeight="1">
      <c r="I27" s="12">
        <f>+AVERAGEIF(I6:I24,"&lt;211%")</f>
        <v>1.3891435975501407</v>
      </c>
      <c r="K27" s="177">
        <f>+SUBTOTAL(101,K6:K21)</f>
        <v>1.730633207549821</v>
      </c>
      <c r="V27" t="s">
        <v>167</v>
      </c>
      <c r="X27" s="162"/>
      <c r="BB27" s="141" t="s">
        <v>273</v>
      </c>
      <c r="BP27" s="1">
        <f>+SUM(BP6:BP24)</f>
        <v>114963750</v>
      </c>
      <c r="BQ27" s="1">
        <f>+SUM(BQ6:BQ24)</f>
        <v>115141037</v>
      </c>
      <c r="BT27" s="1">
        <f>+SUM(BT6:BT24)</f>
        <v>161562802.31295618</v>
      </c>
      <c r="BU27" s="1">
        <f>+SUM(BU6:BU24)</f>
        <v>136495154.82533199</v>
      </c>
      <c r="BX27" s="1">
        <f>+SUM(BX6:BX24)</f>
        <v>52540.957966889997</v>
      </c>
      <c r="BY27" s="1">
        <f>+SUM(BY6:BY24)</f>
        <v>54525.53867354001</v>
      </c>
      <c r="CB27" s="1">
        <f>+SUM(CB6:CB24)</f>
        <v>3916.8673900800004</v>
      </c>
      <c r="CC27" s="1">
        <f>+SUM(CC6:CC24)</f>
        <v>5332.8288216699993</v>
      </c>
      <c r="FF27" s="167">
        <f>+COUNTIF(FF6:FF24,"&gt;0")</f>
        <v>12</v>
      </c>
    </row>
    <row r="28" spans="1:162" ht="18.75" customHeight="1">
      <c r="A28" s="11">
        <f>+COUNTIF($C$6:$C$24,"&lt;0")</f>
        <v>10</v>
      </c>
      <c r="C28" s="156">
        <v>-1</v>
      </c>
      <c r="E28" s="167">
        <f>+COUNTIF($I$6:$I$24,"&lt;1,69")</f>
        <v>8</v>
      </c>
      <c r="F28" s="29">
        <v>-1</v>
      </c>
      <c r="I28" s="167">
        <f>+COUNTIF($I$6:$I$24,"&lt;1,69")</f>
        <v>8</v>
      </c>
      <c r="J28" s="29">
        <v>-1</v>
      </c>
      <c r="K28">
        <f>+COUNTIF($L$6:$L$24,"&lt;0")</f>
        <v>7</v>
      </c>
      <c r="L28" s="29">
        <v>-1</v>
      </c>
      <c r="O28">
        <f>+COUNTIF($P$6:$P$24,"&lt;0")</f>
        <v>7</v>
      </c>
      <c r="P28" s="262">
        <v>-1</v>
      </c>
      <c r="Q28">
        <f>+COUNTIF($R$6:$R$24,"&lt;0")</f>
        <v>10</v>
      </c>
      <c r="R28" s="262">
        <v>-1</v>
      </c>
      <c r="T28" s="57">
        <f>+COUNTIF($U$6:$U$24,"&lt;0")</f>
        <v>11</v>
      </c>
      <c r="U28" s="29">
        <v>-1</v>
      </c>
      <c r="BQ28" t="s">
        <v>491</v>
      </c>
      <c r="BT28" s="167">
        <f>+SUMIFS(BT6:BT24,BB6:BB24,5)+SUMIFS(BT6:BT24,BB6:BB24,4)</f>
        <v>148496168.8576569</v>
      </c>
      <c r="BX28" s="10">
        <f>+BX27/BY27-1</f>
        <v>-3.6397269150008182E-2</v>
      </c>
      <c r="CB28" s="10">
        <f>+CB27/CC27-1</f>
        <v>-0.26551788533624532</v>
      </c>
    </row>
    <row r="29" spans="1:162" ht="18.75" customHeight="1">
      <c r="A29" s="11">
        <f>+COUNTIF($C$6:$C$24,C29)</f>
        <v>8</v>
      </c>
      <c r="C29" s="156">
        <v>0</v>
      </c>
      <c r="E29" s="167">
        <f>+COUNTIF($I$6:$I$24,"=1,69")</f>
        <v>0</v>
      </c>
      <c r="F29" s="29">
        <v>0</v>
      </c>
      <c r="I29" s="167">
        <f>+COUNTIF($I$6:$I$24,"=1,69")</f>
        <v>0</v>
      </c>
      <c r="J29" s="29">
        <v>0</v>
      </c>
      <c r="L29" s="29">
        <v>0</v>
      </c>
      <c r="O29">
        <f>+COUNTIF($P$6:$P$24,"=0")</f>
        <v>2</v>
      </c>
      <c r="P29" s="262">
        <v>0</v>
      </c>
      <c r="Q29">
        <f>+COUNTIF($R$6:$R$24,"=0")</f>
        <v>1</v>
      </c>
      <c r="R29" s="262">
        <v>0</v>
      </c>
      <c r="T29" s="57">
        <f>+COUNTIF($U$6:$U$24,"=0")</f>
        <v>0</v>
      </c>
      <c r="U29" s="29">
        <v>0</v>
      </c>
      <c r="BQ29" t="s">
        <v>492</v>
      </c>
      <c r="BT29" s="167">
        <f>+SUMIFS(BT6:BT24,BB6:BB24,3)</f>
        <v>13035828.902299287</v>
      </c>
    </row>
    <row r="30" spans="1:162" ht="18.75" customHeight="1">
      <c r="A30" s="11">
        <f>+COUNTIF($C$6:$C$24,"&gt;0")</f>
        <v>1</v>
      </c>
      <c r="C30" s="156">
        <v>1</v>
      </c>
      <c r="E30" s="167">
        <f>+COUNTIF($I$6:$I$24,"&gt;1,69")</f>
        <v>11</v>
      </c>
      <c r="F30" s="29">
        <v>1</v>
      </c>
      <c r="I30" s="167">
        <f>+COUNTIF($I$6:$I$24,"&gt;1,69")</f>
        <v>11</v>
      </c>
      <c r="J30" s="29">
        <v>1</v>
      </c>
      <c r="K30">
        <f>+COUNTIF($L$6:$L$24,"&gt;0")</f>
        <v>12</v>
      </c>
      <c r="L30" s="29">
        <v>1</v>
      </c>
      <c r="O30">
        <f>+COUNTIF($P$6:$P$24,"&gt;0")</f>
        <v>9</v>
      </c>
      <c r="P30" s="262">
        <v>1</v>
      </c>
      <c r="Q30">
        <f>+COUNTIF($R$6:$R$24,"&gt;0")</f>
        <v>8</v>
      </c>
      <c r="R30" s="262">
        <v>1</v>
      </c>
      <c r="T30" s="57">
        <f>+COUNTIF($U$6:$U$24,"&gt;0")</f>
        <v>7</v>
      </c>
      <c r="U30" s="29">
        <v>1</v>
      </c>
      <c r="X30" s="14"/>
      <c r="BQ30" t="s">
        <v>493</v>
      </c>
      <c r="BT30" s="167">
        <f>+SUMIFS(BT6:BT24,BB6:BB24,1)+SUMIFS(BT6:BT24,BB6:BB24,2)</f>
        <v>30804.553</v>
      </c>
      <c r="BW30" s="1"/>
    </row>
    <row r="31" spans="1:162" ht="18.75" customHeight="1">
      <c r="K31" s="12"/>
    </row>
    <row r="32" spans="1:162" ht="18.75" customHeight="1">
      <c r="C32" s="157"/>
      <c r="I32" s="14">
        <f>+COUNTIF(I6:I24,"&gt;211%")</f>
        <v>8</v>
      </c>
      <c r="J32" s="14"/>
      <c r="K32" s="14"/>
      <c r="Y32" s="163"/>
    </row>
    <row r="33" spans="1:163" ht="18.75" customHeight="1">
      <c r="C33" s="157"/>
      <c r="I33" s="12">
        <f>+I26/2</f>
        <v>1.5479990450483188</v>
      </c>
    </row>
    <row r="34" spans="1:163"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28"/>
      <c r="AP34" s="28"/>
      <c r="AQ34" s="28"/>
      <c r="AR34" s="28"/>
      <c r="AS34"/>
      <c r="AT34"/>
      <c r="AU34"/>
      <c r="AV34"/>
      <c r="AW34"/>
      <c r="AX34"/>
      <c r="AY34"/>
      <c r="AZ34"/>
      <c r="BA34"/>
      <c r="BB34" s="141"/>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s="14"/>
      <c r="EH34" s="14"/>
      <c r="EI34"/>
      <c r="EJ34"/>
      <c r="EK34"/>
      <c r="EL34"/>
      <c r="EM34"/>
      <c r="EN34"/>
      <c r="EO34"/>
      <c r="EP34"/>
      <c r="EQ34"/>
      <c r="ER34"/>
      <c r="ES34"/>
      <c r="ET34"/>
      <c r="EU34"/>
      <c r="EV34"/>
      <c r="EW34"/>
      <c r="EX34"/>
      <c r="EY34"/>
      <c r="EZ34"/>
      <c r="FA34"/>
      <c r="FB34"/>
      <c r="FC34"/>
      <c r="FD34"/>
      <c r="FE34"/>
      <c r="FF34"/>
      <c r="FG34"/>
    </row>
    <row r="35" spans="1:163"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28"/>
      <c r="AP35" s="28"/>
      <c r="AQ35" s="28"/>
      <c r="AR35" s="28"/>
      <c r="AS35"/>
      <c r="AT35"/>
      <c r="AU35"/>
      <c r="AV35"/>
      <c r="AW35"/>
      <c r="AX35"/>
      <c r="AY35"/>
      <c r="AZ35"/>
      <c r="BA35"/>
      <c r="BB35" s="141"/>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s="14"/>
      <c r="EH35" s="14"/>
      <c r="EI35"/>
      <c r="EJ35"/>
      <c r="EK35"/>
      <c r="EL35"/>
      <c r="EM35"/>
      <c r="EN35"/>
      <c r="EO35"/>
      <c r="EP35"/>
      <c r="EQ35"/>
      <c r="ER35"/>
      <c r="ES35"/>
      <c r="ET35"/>
      <c r="EU35"/>
      <c r="EV35"/>
      <c r="EW35"/>
      <c r="EX35"/>
      <c r="EY35"/>
      <c r="EZ35"/>
      <c r="FA35"/>
      <c r="FB35"/>
      <c r="FC35"/>
      <c r="FD35"/>
      <c r="FE35"/>
      <c r="FF35"/>
      <c r="FG35"/>
    </row>
    <row r="36" spans="1:163"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28"/>
      <c r="AP36" s="28"/>
      <c r="AQ36" s="28"/>
      <c r="AR36" s="28"/>
      <c r="AS36"/>
      <c r="AT36"/>
      <c r="AU36"/>
      <c r="AV36"/>
      <c r="AW36"/>
      <c r="AX36"/>
      <c r="AY36"/>
      <c r="AZ36"/>
      <c r="BA36"/>
      <c r="BB36" s="141"/>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s="14"/>
      <c r="EH36" s="14"/>
      <c r="EI36"/>
      <c r="EJ36"/>
      <c r="EK36"/>
      <c r="EL36"/>
      <c r="EM36"/>
      <c r="EN36"/>
      <c r="EO36"/>
      <c r="EP36"/>
      <c r="EQ36"/>
      <c r="ER36"/>
      <c r="ES36"/>
      <c r="ET36"/>
      <c r="EU36"/>
      <c r="EV36"/>
      <c r="EW36"/>
      <c r="EX36"/>
      <c r="EY36"/>
      <c r="EZ36"/>
      <c r="FA36"/>
      <c r="FB36"/>
      <c r="FC36"/>
      <c r="FD36"/>
      <c r="FE36"/>
      <c r="FF36"/>
      <c r="FG36"/>
    </row>
    <row r="37" spans="1:163"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28"/>
      <c r="AP37" s="28"/>
      <c r="AQ37" s="28"/>
      <c r="AR37" s="28"/>
      <c r="AS37"/>
      <c r="AT37"/>
      <c r="AU37"/>
      <c r="AV37"/>
      <c r="AW37"/>
      <c r="AX37"/>
      <c r="AY37"/>
      <c r="AZ37"/>
      <c r="BA37"/>
      <c r="BB37" s="141"/>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s="14"/>
      <c r="EH37" s="14"/>
      <c r="EI37"/>
      <c r="EJ37"/>
      <c r="EK37"/>
      <c r="EL37"/>
      <c r="EM37"/>
      <c r="EN37"/>
      <c r="EO37"/>
      <c r="EP37"/>
      <c r="EQ37"/>
      <c r="ER37"/>
      <c r="ES37"/>
      <c r="ET37"/>
      <c r="EU37"/>
      <c r="EV37"/>
      <c r="EW37"/>
      <c r="EX37"/>
      <c r="EY37"/>
      <c r="EZ37"/>
      <c r="FA37"/>
      <c r="FB37"/>
      <c r="FC37"/>
      <c r="FD37"/>
      <c r="FE37"/>
      <c r="FF37"/>
      <c r="FG37"/>
    </row>
    <row r="38" spans="1:163"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28"/>
      <c r="AP38" s="28"/>
      <c r="AQ38" s="28"/>
      <c r="AR38" s="28"/>
      <c r="AS38"/>
      <c r="AT38"/>
      <c r="AU38"/>
      <c r="AV38"/>
      <c r="AW38"/>
      <c r="AX38"/>
      <c r="AY38"/>
      <c r="AZ38"/>
      <c r="BA38"/>
      <c r="BB38" s="141"/>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s="14"/>
      <c r="EH38" s="14"/>
      <c r="EI38"/>
      <c r="EJ38"/>
      <c r="EK38"/>
      <c r="EL38"/>
      <c r="EM38"/>
      <c r="EN38"/>
      <c r="EO38"/>
      <c r="EP38"/>
      <c r="EQ38"/>
      <c r="ER38"/>
      <c r="ES38"/>
      <c r="ET38"/>
      <c r="EU38"/>
      <c r="EV38"/>
      <c r="EW38"/>
      <c r="EX38"/>
      <c r="EY38"/>
      <c r="EZ38"/>
      <c r="FA38"/>
      <c r="FB38"/>
      <c r="FC38"/>
      <c r="FD38"/>
      <c r="FE38"/>
      <c r="FF38"/>
      <c r="FG38"/>
    </row>
    <row r="39" spans="1:163"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28"/>
      <c r="AP39" s="28"/>
      <c r="AQ39" s="28"/>
      <c r="AR39" s="28"/>
      <c r="AS39"/>
      <c r="AT39"/>
      <c r="AU39"/>
      <c r="AV39"/>
      <c r="AW39"/>
      <c r="AX39"/>
      <c r="AY39"/>
      <c r="AZ39"/>
      <c r="BA39"/>
      <c r="BB39" s="141"/>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s="14"/>
      <c r="EH39" s="14"/>
      <c r="EI39"/>
      <c r="EJ39"/>
      <c r="EK39"/>
      <c r="EL39"/>
      <c r="EM39"/>
      <c r="EN39"/>
      <c r="EO39"/>
      <c r="EP39"/>
      <c r="EQ39"/>
      <c r="ER39"/>
      <c r="ES39"/>
      <c r="ET39"/>
      <c r="EU39"/>
      <c r="EV39"/>
      <c r="EW39"/>
      <c r="EX39"/>
      <c r="EY39"/>
      <c r="EZ39"/>
      <c r="FA39"/>
      <c r="FB39"/>
      <c r="FC39"/>
      <c r="FD39"/>
      <c r="FE39"/>
      <c r="FF39"/>
      <c r="FG39"/>
    </row>
    <row r="40" spans="1:163"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28"/>
      <c r="AP40" s="28"/>
      <c r="AQ40" s="28"/>
      <c r="AR40" s="28"/>
      <c r="AS40"/>
      <c r="AT40"/>
      <c r="AU40"/>
      <c r="AV40"/>
      <c r="AW40"/>
      <c r="AX40"/>
      <c r="AY40"/>
      <c r="AZ40"/>
      <c r="BA40"/>
      <c r="BB40" s="141"/>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s="14"/>
      <c r="EH40" s="14"/>
      <c r="EI40"/>
      <c r="EJ40"/>
      <c r="EK40"/>
      <c r="EL40"/>
      <c r="EM40"/>
      <c r="EN40"/>
      <c r="EO40"/>
      <c r="EP40"/>
      <c r="EQ40"/>
      <c r="ER40"/>
      <c r="ES40"/>
      <c r="ET40"/>
      <c r="EU40"/>
      <c r="EV40"/>
      <c r="EW40"/>
      <c r="EX40"/>
      <c r="EY40"/>
      <c r="EZ40"/>
      <c r="FA40"/>
      <c r="FB40"/>
      <c r="FC40"/>
      <c r="FD40"/>
      <c r="FE40"/>
      <c r="FF40"/>
      <c r="FG40"/>
    </row>
    <row r="45" spans="1:163"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28"/>
      <c r="AP45" s="28"/>
      <c r="AQ45" s="28"/>
      <c r="AR45" s="28"/>
      <c r="AS45"/>
      <c r="AT45"/>
      <c r="AU45"/>
      <c r="AV45"/>
      <c r="AW45"/>
      <c r="AX45"/>
      <c r="AY45"/>
      <c r="AZ45"/>
      <c r="BA45"/>
      <c r="BB45" s="141"/>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s="14"/>
      <c r="EH45" s="14"/>
      <c r="EI45"/>
      <c r="EJ45"/>
      <c r="EK45"/>
      <c r="EL45"/>
      <c r="EM45"/>
      <c r="EN45"/>
      <c r="EO45"/>
      <c r="EP45"/>
      <c r="EQ45"/>
      <c r="ER45"/>
      <c r="ES45"/>
      <c r="ET45"/>
      <c r="EU45"/>
      <c r="EV45"/>
      <c r="EW45"/>
      <c r="EX45"/>
      <c r="EY45"/>
      <c r="EZ45"/>
      <c r="FA45"/>
      <c r="FB45"/>
      <c r="FC45"/>
      <c r="FD45"/>
      <c r="FE45"/>
      <c r="FF45"/>
      <c r="FG45"/>
    </row>
    <row r="46" spans="1:163"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28"/>
      <c r="AP46" s="28"/>
      <c r="AQ46" s="28"/>
      <c r="AR46" s="28"/>
      <c r="AS46"/>
      <c r="AT46"/>
      <c r="AU46"/>
      <c r="AV46"/>
      <c r="AW46"/>
      <c r="AX46"/>
      <c r="AY46"/>
      <c r="AZ46"/>
      <c r="BA46"/>
      <c r="BB46" s="141"/>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s="14"/>
      <c r="EH46" s="14"/>
      <c r="EI46"/>
      <c r="EJ46"/>
      <c r="EK46"/>
      <c r="EL46"/>
      <c r="EM46"/>
      <c r="EN46"/>
      <c r="EO46"/>
      <c r="EP46"/>
      <c r="EQ46"/>
      <c r="ER46"/>
      <c r="ES46"/>
      <c r="ET46"/>
      <c r="EU46"/>
      <c r="EV46"/>
      <c r="EW46"/>
      <c r="EX46"/>
      <c r="EY46"/>
      <c r="EZ46"/>
      <c r="FA46"/>
      <c r="FB46"/>
      <c r="FC46"/>
      <c r="FD46"/>
      <c r="FE46"/>
      <c r="FF46"/>
      <c r="FG46"/>
    </row>
    <row r="47" spans="1:163"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28"/>
      <c r="AP47" s="28"/>
      <c r="AQ47" s="28"/>
      <c r="AR47" s="28"/>
      <c r="AS47"/>
      <c r="AT47"/>
      <c r="AU47"/>
      <c r="AV47"/>
      <c r="AW47"/>
      <c r="AX47"/>
      <c r="AY47"/>
      <c r="AZ47"/>
      <c r="BA47"/>
      <c r="BB47" s="141"/>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s="14"/>
      <c r="EH47" s="14"/>
      <c r="EI47"/>
      <c r="EJ47"/>
      <c r="EK47"/>
      <c r="EL47"/>
      <c r="EM47"/>
      <c r="EN47"/>
      <c r="EO47"/>
      <c r="EP47"/>
      <c r="EQ47"/>
      <c r="ER47"/>
      <c r="ES47"/>
      <c r="ET47"/>
      <c r="EU47"/>
      <c r="EV47"/>
      <c r="EW47"/>
      <c r="EX47"/>
      <c r="EY47"/>
      <c r="EZ47"/>
      <c r="FA47"/>
      <c r="FB47"/>
      <c r="FC47"/>
      <c r="FD47"/>
      <c r="FE47"/>
      <c r="FF47"/>
      <c r="FG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N24 AC25 AE25:AN25">
    <cfRule type="expression" dxfId="59" priority="48">
      <formula>AO6=3</formula>
    </cfRule>
    <cfRule type="expression" dxfId="58" priority="49">
      <formula>AO6=5</formula>
    </cfRule>
    <cfRule type="expression" dxfId="57" priority="50">
      <formula>AO6=4</formula>
    </cfRule>
    <cfRule type="expression" dxfId="56" priority="51">
      <formula>AO6=2</formula>
    </cfRule>
    <cfRule type="expression" dxfId="55" priority="52">
      <formula>AO6=1</formula>
    </cfRule>
    <cfRule type="expression" dxfId="54" priority="53">
      <formula>AO6=0</formula>
    </cfRule>
  </conditionalFormatting>
  <conditionalFormatting sqref="FF6:FF25 FF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8826BBCF-42C4-4AF0-BC30-7A3700DEBD33}">
      <formula1>lis_dat</formula1>
    </dataValidation>
  </dataValidations>
  <pageMargins left="0.25" right="0.25" top="0.75" bottom="0.75" header="0.3" footer="0.3"/>
  <pageSetup paperSize="9" scale="55" orientation="portrait" r:id="rId1"/>
  <extLst>
    <ext xmlns:x14="http://schemas.microsoft.com/office/spreadsheetml/2009/9/main" uri="{78C0D931-6437-407d-A8EE-F0AAD7539E65}">
      <x14:conditionalFormattings>
        <x14:conditionalFormatting xmlns:xm="http://schemas.microsoft.com/office/excel/2006/main">
          <x14:cfRule type="iconSet" priority="1" id="{8EA20DC7-AAC5-4670-8E3F-78CC893ECF89}">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E6FE0236-ADB1-45A0-A5BC-5DF80B71664B}">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249977111117893"/>
    <pageSetUpPr fitToPage="1"/>
  </sheetPr>
  <dimension ref="A1:FH47"/>
  <sheetViews>
    <sheetView showGridLines="0" topLeftCell="J1" zoomScaleNormal="100" workbookViewId="0">
      <selection activeCell="P20" sqref="P20"/>
    </sheetView>
  </sheetViews>
  <sheetFormatPr baseColWidth="10" defaultRowHeight="18.75" customHeight="1"/>
  <cols>
    <col min="1" max="1" width="14.44140625" style="11" customWidth="1"/>
    <col min="2" max="2" width="2.109375" style="11" hidden="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customWidth="1"/>
    <col min="20" max="20" width="2.5546875" style="57" hidden="1" customWidth="1"/>
    <col min="21" max="21" width="6.5546875" style="23" customWidth="1"/>
    <col min="22" max="22" width="4.6640625" customWidth="1"/>
    <col min="23" max="23" width="6.44140625" customWidth="1"/>
    <col min="24" max="24" width="5" customWidth="1"/>
    <col min="25" max="25" width="5.33203125" customWidth="1"/>
    <col min="26" max="26" width="4.5546875" customWidth="1"/>
    <col min="27" max="27" width="1.44140625" customWidth="1"/>
    <col min="28" max="28" width="53" style="11" hidden="1" customWidth="1"/>
    <col min="29" max="40" width="1.88671875" style="57" customWidth="1"/>
    <col min="41" max="41" width="2.44140625" style="28" customWidth="1"/>
    <col min="42" max="42" width="5.44140625" style="28" customWidth="1"/>
    <col min="43" max="43" width="6" style="28" customWidth="1"/>
    <col min="44" max="44" width="5.33203125" style="28" customWidth="1"/>
    <col min="45" max="45" width="4.88671875" style="28" customWidth="1"/>
    <col min="46" max="47" width="5.5546875" customWidth="1"/>
    <col min="48" max="48" width="5.33203125" customWidth="1"/>
    <col min="49" max="49" width="5.5546875" customWidth="1"/>
    <col min="50" max="51" width="4.88671875" customWidth="1"/>
    <col min="52" max="52" width="5.6640625" customWidth="1"/>
    <col min="53" max="53" width="5.109375" customWidth="1"/>
    <col min="54" max="54" width="2.44140625" customWidth="1"/>
    <col min="55" max="55" width="15.8867187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45474</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BF1" t="s">
        <v>101</v>
      </c>
      <c r="BG1" s="3">
        <f>+A1</f>
        <v>45474</v>
      </c>
      <c r="BH1" s="3">
        <f>+VLOOKUP(BH2,datos!$D:$E,2,FALSE)</f>
        <v>45444</v>
      </c>
      <c r="BI1" s="3">
        <f>+VLOOKUP(BI2,datos!$D:$E,2,FALSE)</f>
        <v>45108</v>
      </c>
      <c r="BL1" s="3">
        <f>+A1</f>
        <v>45474</v>
      </c>
      <c r="BM1" s="3">
        <f>+VLOOKUP(BM2,datos!$D:$E,2,FALSE)</f>
        <v>45444</v>
      </c>
      <c r="BN1" s="3">
        <f>+VLOOKUP(BN2,datos!$D:$E,2,FALSE)</f>
        <v>45108</v>
      </c>
      <c r="BQ1" s="3">
        <f>+A1</f>
        <v>45474</v>
      </c>
      <c r="BR1" s="3">
        <f>+VLOOKUP(BR2,datos!$D:$E,2,FALSE)</f>
        <v>45108</v>
      </c>
      <c r="BU1" s="3">
        <f>+A1</f>
        <v>45474</v>
      </c>
      <c r="BV1" s="3">
        <f>+VLOOKUP(BV2,datos!$D:$E,2,FALSE)</f>
        <v>45108</v>
      </c>
      <c r="BY1" t="s">
        <v>279</v>
      </c>
      <c r="BZ1" t="s">
        <v>280</v>
      </c>
      <c r="CC1" t="s">
        <v>279</v>
      </c>
      <c r="CD1" t="s">
        <v>280</v>
      </c>
      <c r="CG1" t="s">
        <v>282</v>
      </c>
      <c r="CH1" t="s">
        <v>283</v>
      </c>
      <c r="CI1" s="3">
        <f>+A1</f>
        <v>45474</v>
      </c>
      <c r="CJ1" s="3">
        <f>+VLOOKUP(CJ2,datos!$D:$E,2,FALSE)</f>
        <v>45474</v>
      </c>
      <c r="CK1" s="3">
        <f>+VLOOKUP(CK2,datos!$D:$E,2,FALSE)</f>
        <v>45444</v>
      </c>
      <c r="CL1" s="3">
        <f>+VLOOKUP(CL2,datos!$D:$E,2,FALSE)</f>
        <v>45413</v>
      </c>
      <c r="CM1" s="3">
        <f>+VLOOKUP(CM2,datos!$D:$E,2,FALSE)</f>
        <v>45383</v>
      </c>
      <c r="CN1" s="3">
        <f>+VLOOKUP(CN2,datos!$D:$E,2,FALSE)</f>
        <v>45352</v>
      </c>
      <c r="CO1" s="3">
        <f>+VLOOKUP(CO2,datos!$D:$E,2,FALSE)</f>
        <v>45323</v>
      </c>
      <c r="CP1" s="3">
        <f>+VLOOKUP(CP2,datos!$D:$E,2,FALSE)</f>
        <v>45292</v>
      </c>
      <c r="CQ1" s="3">
        <f>+VLOOKUP(CQ2,datos!$D:$E,2,FALSE)</f>
        <v>45261</v>
      </c>
      <c r="CR1" s="3">
        <f>+VLOOKUP(CR2,datos!$D:$E,2,FALSE)</f>
        <v>45231</v>
      </c>
      <c r="CS1" s="3">
        <f>+VLOOKUP(CS2,datos!$D:$E,2,FALSE)</f>
        <v>45200</v>
      </c>
      <c r="CT1" s="3">
        <f>+VLOOKUP(CT2,datos!$D:$E,2,FALSE)</f>
        <v>45170</v>
      </c>
      <c r="CU1" s="3">
        <f>+VLOOKUP(CU2,datos!$D:$E,2,FALSE)</f>
        <v>45139</v>
      </c>
      <c r="CV1" s="3">
        <f>+VLOOKUP(CV2,datos!$D:$E,2,FALSE)</f>
        <v>45108</v>
      </c>
      <c r="CW1" s="3">
        <f>+VLOOKUP(CW2,datos!$D:$E,2,FALSE)</f>
        <v>45078</v>
      </c>
      <c r="CX1" s="3">
        <f>+VLOOKUP(CX2,datos!$D:$E,2,FALSE)</f>
        <v>45047</v>
      </c>
      <c r="CY1" s="3">
        <f>+VLOOKUP(CY2,datos!$D:$E,2,FALSE)</f>
        <v>45017</v>
      </c>
      <c r="CZ1" s="3">
        <f>+VLOOKUP(CZ2,datos!$D:$E,2,FALSE)</f>
        <v>44986</v>
      </c>
      <c r="DA1" s="3">
        <f>+VLOOKUP(DA2,datos!$D:$E,2,FALSE)</f>
        <v>44958</v>
      </c>
      <c r="DB1" s="3">
        <f>+VLOOKUP(DB2,datos!$D:$E,2,FALSE)</f>
        <v>44927</v>
      </c>
      <c r="DC1" s="3">
        <f>+VLOOKUP(DC2,datos!$D:$E,2,FALSE)</f>
        <v>44896</v>
      </c>
      <c r="DD1" s="3">
        <f>+VLOOKUP(DD2,datos!$D:$E,2,FALSE)</f>
        <v>44866</v>
      </c>
      <c r="DE1" s="3">
        <f>+VLOOKUP(DE2,datos!$D:$E,2,FALSE)</f>
        <v>44835</v>
      </c>
      <c r="DF1" s="3">
        <f>+VLOOKUP(DF2,datos!$D:$E,2,FALSE)</f>
        <v>44805</v>
      </c>
      <c r="DG1" s="3">
        <f>+VLOOKUP(DG2,datos!$D:$E,2,FALSE)</f>
        <v>44774</v>
      </c>
      <c r="DI1" s="3">
        <f>+CJ1</f>
        <v>45474</v>
      </c>
      <c r="DJ1" s="3">
        <f>+VLOOKUP(DJ2,datos!$D:$E,2,FALSE)</f>
        <v>45444</v>
      </c>
      <c r="DK1" s="3">
        <f>+VLOOKUP(DK2,datos!$D:$E,2,FALSE)</f>
        <v>45413</v>
      </c>
      <c r="DL1" s="3">
        <f>+VLOOKUP(DL2,datos!$D:$E,2,FALSE)</f>
        <v>45383</v>
      </c>
      <c r="DM1" s="3">
        <f>+VLOOKUP(DM2,datos!$D:$E,2,FALSE)</f>
        <v>45352</v>
      </c>
      <c r="DN1" s="3">
        <f>+VLOOKUP(DN2,datos!$D:$E,2,FALSE)</f>
        <v>45323</v>
      </c>
      <c r="DO1" s="3">
        <f>+VLOOKUP(DO2,datos!$D:$E,2,FALSE)</f>
        <v>45292</v>
      </c>
      <c r="DP1" s="3">
        <f>+VLOOKUP(DP2,datos!$D:$E,2,FALSE)</f>
        <v>45261</v>
      </c>
      <c r="DQ1" s="3">
        <f>+VLOOKUP(DQ2,datos!$D:$E,2,FALSE)</f>
        <v>45231</v>
      </c>
      <c r="DR1" s="3">
        <f>+VLOOKUP(DR2,datos!$D:$E,2,FALSE)</f>
        <v>45200</v>
      </c>
      <c r="DS1" s="3">
        <f>+VLOOKUP(DS2,datos!$D:$E,2,FALSE)</f>
        <v>45170</v>
      </c>
      <c r="DT1" s="3">
        <f>+VLOOKUP(DT2,datos!$D:$E,2,FALSE)</f>
        <v>45139</v>
      </c>
      <c r="DU1" s="3">
        <f>+VLOOKUP(DU2,datos!$D:$E,2,FALSE)</f>
        <v>45108</v>
      </c>
      <c r="DV1" s="3">
        <f>+VLOOKUP(DV2,datos!$D:$E,2,FALSE)</f>
        <v>45078</v>
      </c>
      <c r="DW1" s="3">
        <f>+VLOOKUP(DW2,datos!$D:$E,2,FALSE)</f>
        <v>45047</v>
      </c>
      <c r="DX1" s="3">
        <f>+VLOOKUP(DX2,datos!$D:$E,2,FALSE)</f>
        <v>45017</v>
      </c>
      <c r="DY1" s="3">
        <f>+VLOOKUP(DY2,datos!$D:$E,2,FALSE)</f>
        <v>44986</v>
      </c>
      <c r="DZ1" s="3">
        <f>+VLOOKUP(DZ2,datos!$D:$E,2,FALSE)</f>
        <v>44958</v>
      </c>
      <c r="EA1" s="3">
        <f>+VLOOKUP(EA2,datos!$D:$E,2,FALSE)</f>
        <v>44927</v>
      </c>
      <c r="EB1" s="3">
        <f>+VLOOKUP(EB2,datos!$D:$E,2,FALSE)</f>
        <v>44896</v>
      </c>
      <c r="EC1" s="3">
        <f>+VLOOKUP(EC2,datos!$D:$E,2,FALSE)</f>
        <v>44866</v>
      </c>
      <c r="ED1" s="3">
        <f>+VLOOKUP(ED2,datos!$D:$E,2,FALSE)</f>
        <v>44835</v>
      </c>
      <c r="EE1" s="3">
        <f>+VLOOKUP(EE2,datos!$D:$E,2,FALSE)</f>
        <v>44805</v>
      </c>
      <c r="EF1" s="3">
        <f>+VLOOKUP(EF2,datos!$D:$E,2,FALSE)</f>
        <v>44774</v>
      </c>
      <c r="EH1" s="14">
        <f>+CJ1</f>
        <v>45474</v>
      </c>
      <c r="EI1" s="14">
        <f t="shared" ref="EI1:FE1" si="0">+CK1</f>
        <v>45444</v>
      </c>
      <c r="EJ1" s="3">
        <f t="shared" si="0"/>
        <v>45413</v>
      </c>
      <c r="EK1" s="3">
        <f t="shared" si="0"/>
        <v>45383</v>
      </c>
      <c r="EL1" s="3">
        <f t="shared" si="0"/>
        <v>45352</v>
      </c>
      <c r="EM1" s="3">
        <f t="shared" si="0"/>
        <v>45323</v>
      </c>
      <c r="EN1" s="3">
        <f t="shared" si="0"/>
        <v>45292</v>
      </c>
      <c r="EO1" s="3">
        <f t="shared" si="0"/>
        <v>45261</v>
      </c>
      <c r="EP1" s="3">
        <f t="shared" si="0"/>
        <v>45231</v>
      </c>
      <c r="EQ1" s="3">
        <f t="shared" si="0"/>
        <v>45200</v>
      </c>
      <c r="ER1" s="3">
        <f t="shared" si="0"/>
        <v>45170</v>
      </c>
      <c r="ES1" s="3">
        <f t="shared" si="0"/>
        <v>45139</v>
      </c>
      <c r="ET1" s="3">
        <f t="shared" si="0"/>
        <v>45108</v>
      </c>
      <c r="EU1" s="3">
        <f t="shared" si="0"/>
        <v>45078</v>
      </c>
      <c r="EV1" s="3">
        <f t="shared" si="0"/>
        <v>45047</v>
      </c>
      <c r="EW1" s="3">
        <f t="shared" si="0"/>
        <v>45017</v>
      </c>
      <c r="EX1" s="3">
        <f t="shared" si="0"/>
        <v>44986</v>
      </c>
      <c r="EY1" s="3">
        <f t="shared" si="0"/>
        <v>44958</v>
      </c>
      <c r="EZ1" s="3">
        <f t="shared" si="0"/>
        <v>44927</v>
      </c>
      <c r="FA1" s="3">
        <f t="shared" si="0"/>
        <v>44896</v>
      </c>
      <c r="FB1" s="3">
        <f t="shared" si="0"/>
        <v>44866</v>
      </c>
      <c r="FC1" s="3">
        <f t="shared" si="0"/>
        <v>44835</v>
      </c>
      <c r="FD1" s="3">
        <f t="shared" si="0"/>
        <v>44805</v>
      </c>
      <c r="FE1" s="3">
        <f t="shared" si="0"/>
        <v>44774</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80"/>
      <c r="AP2" s="174">
        <f>VLOOKUP(VLOOKUP(+$A$1,ran_ma,2,FALSE)-11,ran_idma,2,FALSE)</f>
        <v>45139</v>
      </c>
      <c r="AQ2" s="174">
        <f>VLOOKUP(VLOOKUP(+$A$1,ran_ma,2,FALSE)-10,ran_idma,2,FALSE)</f>
        <v>45170</v>
      </c>
      <c r="AR2" s="174">
        <f>VLOOKUP(VLOOKUP(+$A$1,ran_ma,2,FALSE)-9,ran_idma,2,FALSE)</f>
        <v>45200</v>
      </c>
      <c r="AS2" s="174">
        <f>VLOOKUP(VLOOKUP(+$A$1,ran_ma,2,FALSE)-8,ran_idma,2,FALSE)</f>
        <v>45231</v>
      </c>
      <c r="AT2" s="59">
        <f>VLOOKUP(VLOOKUP(+$A$1,ran_ma,2,FALSE)-7,ran_idma,2,FALSE)</f>
        <v>45261</v>
      </c>
      <c r="AU2" s="59">
        <f>VLOOKUP(VLOOKUP(+$A$1,ran_ma,2,FALSE)-6,ran_idma,2,FALSE)</f>
        <v>45292</v>
      </c>
      <c r="AV2" s="59">
        <f>VLOOKUP(VLOOKUP(+$A$1,ran_ma,2,FALSE)-5,ran_idma,2,FALSE)</f>
        <v>45323</v>
      </c>
      <c r="AW2" s="59">
        <f>VLOOKUP(VLOOKUP(+$A$1,ran_ma,2,FALSE)-4,ran_idma,2,FALSE)</f>
        <v>45352</v>
      </c>
      <c r="AX2" s="59">
        <f>VLOOKUP(VLOOKUP(+$A$1,ran_ma,2,FALSE)-3,ran_idma,2,FALSE)</f>
        <v>45383</v>
      </c>
      <c r="AY2" s="59">
        <f>VLOOKUP(VLOOKUP(+$A$1,ran_ma,2,FALSE)-2,ran_idma,2,FALSE)</f>
        <v>45413</v>
      </c>
      <c r="AZ2" s="59">
        <f>VLOOKUP(VLOOKUP(+$A$1,ran_ma,2,FALSE)-1,ran_idma,2,FALSE)</f>
        <v>45444</v>
      </c>
      <c r="BA2" s="59">
        <f>+$A$1</f>
        <v>45474</v>
      </c>
      <c r="BB2" s="5"/>
      <c r="BC2" s="170"/>
      <c r="BE2" s="9" t="s">
        <v>272</v>
      </c>
      <c r="BG2">
        <f>+VLOOKUP(BG1,ran_dat,datos!$D$1,FALSE)</f>
        <v>112</v>
      </c>
      <c r="BH2">
        <f>+BG2-1</f>
        <v>111</v>
      </c>
      <c r="BI2">
        <f>+BG2-12</f>
        <v>100</v>
      </c>
      <c r="BK2" s="9"/>
      <c r="BL2">
        <f>+VLOOKUP(BL1,ran_dat,datos!$D$1,FALSE)</f>
        <v>112</v>
      </c>
      <c r="BM2">
        <f>+BL2-1</f>
        <v>111</v>
      </c>
      <c r="BN2">
        <f>+BL2-12</f>
        <v>100</v>
      </c>
      <c r="BP2" s="9"/>
      <c r="BQ2">
        <f>+VLOOKUP(BQ1,ran_dat,datos!$D$1,FALSE)</f>
        <v>112</v>
      </c>
      <c r="BR2">
        <f>+BQ2-12</f>
        <v>100</v>
      </c>
      <c r="BT2" s="9"/>
      <c r="BU2">
        <f>+VLOOKUP(BU1,ran_dat,datos!$D$1,FALSE)</f>
        <v>112</v>
      </c>
      <c r="BV2">
        <f>+BU2-12</f>
        <v>100</v>
      </c>
      <c r="BX2" s="9"/>
      <c r="CB2" s="9"/>
      <c r="CI2">
        <f>+VLOOKUP(CI1,ran_dat,datos!$D$1,FALSE)</f>
        <v>112</v>
      </c>
      <c r="CJ2">
        <f>+CI2</f>
        <v>112</v>
      </c>
      <c r="CK2">
        <f t="shared" ref="CK2:DG2" si="1">+CJ2-1</f>
        <v>111</v>
      </c>
      <c r="CL2">
        <f t="shared" si="1"/>
        <v>110</v>
      </c>
      <c r="CM2">
        <f t="shared" si="1"/>
        <v>109</v>
      </c>
      <c r="CN2">
        <f t="shared" si="1"/>
        <v>108</v>
      </c>
      <c r="CO2">
        <f t="shared" si="1"/>
        <v>107</v>
      </c>
      <c r="CP2">
        <f t="shared" si="1"/>
        <v>106</v>
      </c>
      <c r="CQ2">
        <f t="shared" si="1"/>
        <v>105</v>
      </c>
      <c r="CR2">
        <f t="shared" si="1"/>
        <v>104</v>
      </c>
      <c r="CS2">
        <f t="shared" si="1"/>
        <v>103</v>
      </c>
      <c r="CT2">
        <f t="shared" si="1"/>
        <v>102</v>
      </c>
      <c r="CU2">
        <f t="shared" si="1"/>
        <v>101</v>
      </c>
      <c r="CV2">
        <f t="shared" si="1"/>
        <v>100</v>
      </c>
      <c r="CW2">
        <f t="shared" si="1"/>
        <v>99</v>
      </c>
      <c r="CX2">
        <f t="shared" si="1"/>
        <v>98</v>
      </c>
      <c r="CY2">
        <f t="shared" si="1"/>
        <v>97</v>
      </c>
      <c r="CZ2">
        <f t="shared" si="1"/>
        <v>96</v>
      </c>
      <c r="DA2">
        <f t="shared" si="1"/>
        <v>95</v>
      </c>
      <c r="DB2">
        <f t="shared" si="1"/>
        <v>94</v>
      </c>
      <c r="DC2">
        <f t="shared" si="1"/>
        <v>93</v>
      </c>
      <c r="DD2">
        <f t="shared" si="1"/>
        <v>92</v>
      </c>
      <c r="DE2">
        <f t="shared" si="1"/>
        <v>91</v>
      </c>
      <c r="DF2">
        <f t="shared" si="1"/>
        <v>90</v>
      </c>
      <c r="DG2">
        <f t="shared" si="1"/>
        <v>89</v>
      </c>
      <c r="DI2">
        <f>+VLOOKUP(DI1,ran_dat,datos!$D$1,FALSE)</f>
        <v>112</v>
      </c>
      <c r="DJ2">
        <f t="shared" ref="DJ2:EF2" si="2">+DI2-1</f>
        <v>111</v>
      </c>
      <c r="DK2">
        <f t="shared" si="2"/>
        <v>110</v>
      </c>
      <c r="DL2">
        <f t="shared" si="2"/>
        <v>109</v>
      </c>
      <c r="DM2">
        <f t="shared" si="2"/>
        <v>108</v>
      </c>
      <c r="DN2">
        <f t="shared" si="2"/>
        <v>107</v>
      </c>
      <c r="DO2">
        <f t="shared" si="2"/>
        <v>106</v>
      </c>
      <c r="DP2">
        <f t="shared" si="2"/>
        <v>105</v>
      </c>
      <c r="DQ2">
        <f t="shared" si="2"/>
        <v>104</v>
      </c>
      <c r="DR2">
        <f t="shared" si="2"/>
        <v>103</v>
      </c>
      <c r="DS2">
        <f t="shared" si="2"/>
        <v>102</v>
      </c>
      <c r="DT2">
        <f t="shared" si="2"/>
        <v>101</v>
      </c>
      <c r="DU2">
        <f t="shared" si="2"/>
        <v>100</v>
      </c>
      <c r="DV2">
        <f t="shared" si="2"/>
        <v>99</v>
      </c>
      <c r="DW2">
        <f t="shared" si="2"/>
        <v>98</v>
      </c>
      <c r="DX2">
        <f t="shared" si="2"/>
        <v>97</v>
      </c>
      <c r="DY2">
        <f t="shared" si="2"/>
        <v>96</v>
      </c>
      <c r="DZ2">
        <f t="shared" si="2"/>
        <v>95</v>
      </c>
      <c r="EA2">
        <f t="shared" si="2"/>
        <v>94</v>
      </c>
      <c r="EB2">
        <f t="shared" si="2"/>
        <v>93</v>
      </c>
      <c r="EC2">
        <f t="shared" si="2"/>
        <v>92</v>
      </c>
      <c r="ED2">
        <f t="shared" si="2"/>
        <v>91</v>
      </c>
      <c r="EE2">
        <f t="shared" si="2"/>
        <v>90</v>
      </c>
      <c r="EF2">
        <f t="shared" si="2"/>
        <v>89</v>
      </c>
      <c r="EH2" s="14">
        <f>+VLOOKUP(EH1,ran_dat,datos!$D$1,FALSE)</f>
        <v>112</v>
      </c>
      <c r="EI2" s="14">
        <f t="shared" ref="EI2:FE2" si="3">+EH2-1</f>
        <v>111</v>
      </c>
      <c r="EJ2">
        <f t="shared" si="3"/>
        <v>110</v>
      </c>
      <c r="EK2">
        <f t="shared" si="3"/>
        <v>109</v>
      </c>
      <c r="EL2">
        <f t="shared" si="3"/>
        <v>108</v>
      </c>
      <c r="EM2">
        <f t="shared" si="3"/>
        <v>107</v>
      </c>
      <c r="EN2">
        <f t="shared" si="3"/>
        <v>106</v>
      </c>
      <c r="EO2">
        <f t="shared" si="3"/>
        <v>105</v>
      </c>
      <c r="EP2">
        <f t="shared" si="3"/>
        <v>104</v>
      </c>
      <c r="EQ2">
        <f t="shared" si="3"/>
        <v>103</v>
      </c>
      <c r="ER2">
        <f t="shared" si="3"/>
        <v>102</v>
      </c>
      <c r="ES2">
        <f t="shared" si="3"/>
        <v>101</v>
      </c>
      <c r="ET2">
        <f t="shared" si="3"/>
        <v>100</v>
      </c>
      <c r="EU2">
        <f t="shared" si="3"/>
        <v>99</v>
      </c>
      <c r="EV2">
        <f t="shared" si="3"/>
        <v>98</v>
      </c>
      <c r="EW2">
        <f t="shared" si="3"/>
        <v>97</v>
      </c>
      <c r="EX2">
        <f t="shared" si="3"/>
        <v>96</v>
      </c>
      <c r="EY2">
        <f t="shared" si="3"/>
        <v>95</v>
      </c>
      <c r="EZ2">
        <f t="shared" si="3"/>
        <v>94</v>
      </c>
      <c r="FA2">
        <f t="shared" si="3"/>
        <v>93</v>
      </c>
      <c r="FB2">
        <f t="shared" si="3"/>
        <v>92</v>
      </c>
      <c r="FC2">
        <f t="shared" si="3"/>
        <v>91</v>
      </c>
      <c r="FD2">
        <f t="shared" si="3"/>
        <v>90</v>
      </c>
      <c r="FE2">
        <f t="shared" si="3"/>
        <v>89</v>
      </c>
    </row>
    <row r="3" spans="1:163" ht="18.75" customHeight="1">
      <c r="A3" s="220"/>
      <c r="C3" s="155"/>
      <c r="D3" s="196">
        <v>0.33</v>
      </c>
      <c r="E3" s="100">
        <f>IFERROR(+BG5/BH5-1,"")</f>
        <v>4.0311711825180785E-2</v>
      </c>
      <c r="F3" s="56" t="s">
        <v>515</v>
      </c>
      <c r="G3" s="56"/>
      <c r="H3" s="56"/>
      <c r="I3" s="60">
        <f>IFERROR(+BG5/BI5-1,"")</f>
        <v>2.6344248941202357</v>
      </c>
      <c r="J3" s="56" t="s">
        <v>515</v>
      </c>
      <c r="K3" s="56"/>
      <c r="L3" s="56"/>
      <c r="M3" s="32"/>
      <c r="N3" s="196">
        <v>0.33</v>
      </c>
      <c r="O3" s="31"/>
      <c r="S3" s="32"/>
      <c r="T3" s="196">
        <v>0.33</v>
      </c>
      <c r="U3" s="150" t="str">
        <f>TEXT(CU1,"MMM-YY")&amp;"."&amp;TEXT(CJ1,"MMM-YY")&amp;" vs "&amp;TEXT(DG1,"MMM-YY")&amp;"."&amp;TEXT(CV1,"MMM-YY")</f>
        <v>ago-23.jul-24 vs ago-22.jul-23</v>
      </c>
      <c r="Y3" s="59" t="str">
        <f>TEXT(CJ1,"MMM-YY")&amp;" vs "&amp;TEXT(CV1,"MMM-YY")</f>
        <v>jul-24 vs jul-23</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8.4"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6607.7479000000003</v>
      </c>
      <c r="BH5" s="2">
        <f t="shared" si="4"/>
        <v>6351.7</v>
      </c>
      <c r="BI5" s="2">
        <f t="shared" si="4"/>
        <v>1818.1</v>
      </c>
    </row>
    <row r="6" spans="1:163" ht="18.75" customHeight="1">
      <c r="A6" s="243" t="s">
        <v>28</v>
      </c>
      <c r="B6" s="246"/>
      <c r="C6" s="156">
        <f t="shared" ref="C6:C24" si="5">+D6*$D$3+N6*$N$3+T6*$T$3</f>
        <v>0</v>
      </c>
      <c r="D6" s="198">
        <v>-2</v>
      </c>
      <c r="E6" s="248">
        <f t="shared" ref="E6:E24" si="6">IFERROR(+BG6/BH6-1,"")</f>
        <v>4.8600376649754029E-2</v>
      </c>
      <c r="F6" s="249">
        <f t="shared" ref="F6:F24" si="7">+E6-$E$3</f>
        <v>8.2886648245732442E-3</v>
      </c>
      <c r="G6" s="248">
        <f t="shared" ref="G6:G24" si="8">IFERROR(+BL6/BM6-1,"")</f>
        <v>3.1792500839284976E-2</v>
      </c>
      <c r="H6" s="249">
        <f t="shared" ref="H6:H24" si="9">E6-G6</f>
        <v>1.6807875810469053E-2</v>
      </c>
      <c r="I6" s="248">
        <f t="shared" ref="I6:I24" si="10">IFERROR(+BG6/BI6-1,"")</f>
        <v>1.8103953903076961</v>
      </c>
      <c r="J6" s="249">
        <f t="shared" ref="J6:J26" si="11">+I6-$I$3</f>
        <v>-0.82402950381253959</v>
      </c>
      <c r="K6" s="248">
        <f>IFERROR(+BL6/BN6-1,"")</f>
        <v>2.1342111390814194</v>
      </c>
      <c r="L6" s="249">
        <f t="shared" ref="L6:L24" si="12">I6-K6</f>
        <v>-0.32381574877372321</v>
      </c>
      <c r="M6" s="250"/>
      <c r="N6" s="24">
        <v>1</v>
      </c>
      <c r="O6" s="248">
        <f>IFERROR(+BQ6/BR6-1,"")</f>
        <v>0.1206896551724137</v>
      </c>
      <c r="P6" s="251">
        <f>+O6</f>
        <v>0.1206896551724137</v>
      </c>
      <c r="Q6" s="248">
        <f t="shared" ref="Q6:Q24" si="13">IFERROR(+BU6/BV6-1,"")</f>
        <v>0.44444444444444442</v>
      </c>
      <c r="R6" s="251">
        <f>+Q6</f>
        <v>0.44444444444444442</v>
      </c>
      <c r="S6" s="250"/>
      <c r="T6" s="24">
        <v>1</v>
      </c>
      <c r="U6" s="248">
        <f t="shared" ref="U6:U24" si="14">IFERROR(+BY6/BZ6-1,"")</f>
        <v>0.67587641629451078</v>
      </c>
      <c r="V6" s="252">
        <f t="shared" ref="V6:V24" si="15">+U6</f>
        <v>0.67587641629451078</v>
      </c>
      <c r="W6" s="248">
        <f>IFERROR(IF(CC6&lt;0.5,"",+CC6/CD6-1),"")</f>
        <v>-0.40101355929200588</v>
      </c>
      <c r="X6" s="252">
        <f t="shared" ref="X6:X24" si="16">+W6</f>
        <v>-0.40101355929200588</v>
      </c>
      <c r="Y6" s="248" t="str">
        <f t="shared" ref="Y6:Y25" si="17">IFERROR(+CG6/CH6-1,"")</f>
        <v/>
      </c>
      <c r="Z6" s="252" t="str">
        <f t="shared" ref="Z6:Z24" si="18">+Y6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P6" s="28">
        <f>VLOOKUP($A6,historia!$A$5:$CM$24,+HLOOKUP(AP$2,historia!$A$3:$EC$4,2,FALSE),FALSE)</f>
        <v>5</v>
      </c>
      <c r="AQ6" s="28">
        <f>VLOOKUP($A6,historia!$A$5:$CM$24,+HLOOKUP(AQ$2,historia!$A$3:$EC$4,2,FALSE),FALSE)</f>
        <v>5</v>
      </c>
      <c r="AR6" s="28">
        <f>VLOOKUP($A6,historia!$A$5:$CM$24,+HLOOKUP(AR$2,historia!$A$3:$EC$4,2,FALSE),FALSE)</f>
        <v>5</v>
      </c>
      <c r="AS6" s="28">
        <f>VLOOKUP($A6,historia!$A$5:$CM$24,+HLOOKUP(AS$2,historia!$A$3:$EC$4,2,FALSE),FALSE)</f>
        <v>5</v>
      </c>
      <c r="AT6" s="58">
        <f>VLOOKUP($A6,historia!$A$5:$CM$24,+HLOOKUP(AT$2,historia!$A$3:$EC$4,2,FALSE),FALSE)</f>
        <v>4</v>
      </c>
      <c r="AU6" s="58">
        <f>VLOOKUP($A6,historia!$A$5:$CM$24,+HLOOKUP(AU$2,historia!$A$3:$EC$4,2,FALSE),FALSE)</f>
        <v>4</v>
      </c>
      <c r="AV6" s="58">
        <f>VLOOKUP($A6,historia!$A$5:$CM$24,+HLOOKUP(AV$2,historia!$A$3:$EC$4,2,FALSE),FALSE)</f>
        <v>4</v>
      </c>
      <c r="AW6" s="58">
        <f>VLOOKUP($A6,historia!$A$5:$CM$24,+HLOOKUP(AW$2,historia!$A$3:$EC$4,2,FALSE),FALSE)</f>
        <v>4</v>
      </c>
      <c r="AX6" s="58">
        <f>VLOOKUP($A6,historia!$A$5:$CM$24,+HLOOKUP(AX$2,historia!$A$3:$EC$4,2,FALSE),FALSE)</f>
        <v>4</v>
      </c>
      <c r="AY6" s="58">
        <f>VLOOKUP($A6,historia!$A$5:$CM$24,+HLOOKUP(AY$2,historia!$A$3:$EC$4,2,FALSE),FALSE)</f>
        <v>3</v>
      </c>
      <c r="AZ6" s="58">
        <f>VLOOKUP($A6,historia!$A$5:$CM$24,+HLOOKUP(AZ$2,historia!$A$3:$EC$4,2,FALSE),FALSE)</f>
        <v>3</v>
      </c>
      <c r="BA6" s="58">
        <f>VLOOKUP($A6,historia!$A$5:$CM$24,+HLOOKUP(BA$2,historia!$A$3:$EC$4,2,FALSE),FALSE)</f>
        <v>3</v>
      </c>
      <c r="BB6" s="30"/>
      <c r="BC6" s="141">
        <v>3</v>
      </c>
      <c r="BD6" t="str">
        <f t="shared" ref="BD6:BD24" si="19">+A6</f>
        <v>Algodón</v>
      </c>
      <c r="BE6">
        <f>+datos!P1</f>
        <v>16</v>
      </c>
      <c r="BF6" s="2" t="str">
        <f t="shared" si="4"/>
        <v>$/kg</v>
      </c>
      <c r="BG6" s="2">
        <f t="shared" si="4"/>
        <v>1221.5756925000001</v>
      </c>
      <c r="BH6" s="2">
        <f t="shared" si="4"/>
        <v>1164.95828125</v>
      </c>
      <c r="BI6" s="2">
        <f t="shared" si="4"/>
        <v>434.66328499999992</v>
      </c>
      <c r="BK6">
        <f>+datos!BY1</f>
        <v>77</v>
      </c>
      <c r="BL6" s="2">
        <f t="shared" ref="BL6:BN24" si="20">+VLOOKUP(BL$1,ran_dat,$BK6,FALSE)</f>
        <v>8327.5582103925153</v>
      </c>
      <c r="BM6" s="2">
        <f t="shared" si="20"/>
        <v>8070.9621397894225</v>
      </c>
      <c r="BN6" s="2">
        <f t="shared" si="20"/>
        <v>2656.9869867902939</v>
      </c>
      <c r="BP6" s="1">
        <f>+datos!DK1</f>
        <v>115</v>
      </c>
      <c r="BQ6" s="1">
        <f t="shared" ref="BQ6:BR24" si="21">+VLOOKUP(BQ$1,ran_dat,$BP6,FALSE)</f>
        <v>650000</v>
      </c>
      <c r="BR6" s="1">
        <f t="shared" si="21"/>
        <v>580000</v>
      </c>
      <c r="BT6" s="1">
        <f>+datos!FF1</f>
        <v>162</v>
      </c>
      <c r="BU6" s="1">
        <f t="shared" ref="BU6:BV24" si="22">+VLOOKUP(BU$1,ran_dat,$BT6,FALSE)</f>
        <v>1300000</v>
      </c>
      <c r="BV6" s="1">
        <f t="shared" si="22"/>
        <v>900000</v>
      </c>
      <c r="BX6" s="1">
        <f>+datos!JF1</f>
        <v>266</v>
      </c>
      <c r="BY6" s="1">
        <f>+SUM(CJ6:CU6)</f>
        <v>181.84282722</v>
      </c>
      <c r="BZ6" s="1">
        <f>+SUM(CV6:DG6)</f>
        <v>108.50610788000002</v>
      </c>
      <c r="CB6" s="1">
        <f>+datos!KK1</f>
        <v>297</v>
      </c>
      <c r="CC6" s="2">
        <f t="shared" ref="CC6:CC24" si="23">+SUM(DI6:DT6)</f>
        <v>69.261082889999997</v>
      </c>
      <c r="CD6" s="2">
        <f t="shared" ref="CD6:CD24" si="24">+SUM(DU6:EF6)</f>
        <v>115.63046871000003</v>
      </c>
      <c r="CF6" s="1">
        <f>+datos!HS1</f>
        <v>227</v>
      </c>
      <c r="CG6" s="1">
        <f t="shared" ref="CG6:CG24" si="25">+EH6</f>
        <v>0</v>
      </c>
      <c r="CH6" s="1">
        <f t="shared" ref="CH6:CH24" si="26">+ET6</f>
        <v>0</v>
      </c>
      <c r="CJ6" s="1">
        <f t="shared" ref="CJ6:CY21" si="27">+VLOOKUP(CJ$1,ran_dat,$BX6,FALSE)</f>
        <v>24.496622440000007</v>
      </c>
      <c r="CK6" s="1">
        <f t="shared" si="27"/>
        <v>21.439575039999998</v>
      </c>
      <c r="CL6" s="1">
        <f t="shared" si="27"/>
        <v>14.529816729999997</v>
      </c>
      <c r="CM6" s="1">
        <f t="shared" si="27"/>
        <v>18.258202080000007</v>
      </c>
      <c r="CN6" s="1">
        <f t="shared" si="27"/>
        <v>18.510441480000001</v>
      </c>
      <c r="CO6" s="1">
        <f t="shared" si="27"/>
        <v>7.7064561400000011</v>
      </c>
      <c r="CP6" s="1">
        <f t="shared" si="27"/>
        <v>8.1062574399999985</v>
      </c>
      <c r="CQ6" s="1">
        <f t="shared" si="27"/>
        <v>8.4463773399999997</v>
      </c>
      <c r="CR6" s="1">
        <f t="shared" si="27"/>
        <v>15.019774559999998</v>
      </c>
      <c r="CS6" s="1">
        <f t="shared" si="27"/>
        <v>14.398572559999998</v>
      </c>
      <c r="CT6" s="1">
        <f t="shared" si="27"/>
        <v>16.61514231</v>
      </c>
      <c r="CU6" s="1">
        <f t="shared" si="27"/>
        <v>14.3155891</v>
      </c>
      <c r="CV6" s="1">
        <f t="shared" si="27"/>
        <v>3.12980459</v>
      </c>
      <c r="CW6" s="1">
        <f t="shared" si="27"/>
        <v>2.3595063199999995</v>
      </c>
      <c r="CX6" s="1">
        <f t="shared" si="27"/>
        <v>5.3927380000000005</v>
      </c>
      <c r="CY6" s="1">
        <f t="shared" si="27"/>
        <v>1.1182586999999999</v>
      </c>
      <c r="CZ6" s="1">
        <f t="shared" ref="CZ6:DG21" si="28">+VLOOKUP(CZ$1,ran_dat,$BX6,FALSE)</f>
        <v>0.81365803999999953</v>
      </c>
      <c r="DA6" s="1">
        <f t="shared" si="28"/>
        <v>2.2053805500000006</v>
      </c>
      <c r="DB6" s="1">
        <f t="shared" si="28"/>
        <v>1.2234686099999996</v>
      </c>
      <c r="DC6" s="1">
        <f t="shared" si="28"/>
        <v>13.370618389999997</v>
      </c>
      <c r="DD6" s="1">
        <f t="shared" si="28"/>
        <v>14.835861399999999</v>
      </c>
      <c r="DE6" s="1">
        <f t="shared" si="28"/>
        <v>16.749589410000009</v>
      </c>
      <c r="DF6" s="1">
        <f t="shared" si="28"/>
        <v>23.97822360000001</v>
      </c>
      <c r="DG6" s="1">
        <f t="shared" si="28"/>
        <v>23.329000269999998</v>
      </c>
      <c r="DI6" s="1">
        <f t="shared" ref="DI6:DX21" si="29">+VLOOKUP(DI$1,ran_dat,$CB6,FALSE)</f>
        <v>4.5361736000000006</v>
      </c>
      <c r="DJ6" s="1">
        <f t="shared" si="29"/>
        <v>3.2956469100000003</v>
      </c>
      <c r="DK6" s="1">
        <f t="shared" si="29"/>
        <v>4.5516111999999991</v>
      </c>
      <c r="DL6" s="1">
        <f t="shared" si="29"/>
        <v>3.9375346699999998</v>
      </c>
      <c r="DM6" s="1">
        <f t="shared" si="29"/>
        <v>4.8118603300000009</v>
      </c>
      <c r="DN6" s="1">
        <f t="shared" si="29"/>
        <v>5.2295233099999994</v>
      </c>
      <c r="DO6" s="1">
        <f t="shared" si="29"/>
        <v>7.4159317900000001</v>
      </c>
      <c r="DP6" s="1">
        <f t="shared" si="29"/>
        <v>3.5587731599999999</v>
      </c>
      <c r="DQ6" s="1">
        <f t="shared" si="29"/>
        <v>6.9479693099999986</v>
      </c>
      <c r="DR6" s="1">
        <f t="shared" si="29"/>
        <v>7.5746309199999997</v>
      </c>
      <c r="DS6" s="1">
        <f t="shared" si="29"/>
        <v>8.1137987799999998</v>
      </c>
      <c r="DT6" s="1">
        <f t="shared" si="29"/>
        <v>9.2876289100000005</v>
      </c>
      <c r="DU6" s="1">
        <f t="shared" si="29"/>
        <v>7.69051375</v>
      </c>
      <c r="DV6" s="1">
        <f t="shared" si="29"/>
        <v>7.1486482300000009</v>
      </c>
      <c r="DW6" s="1">
        <f t="shared" si="29"/>
        <v>9.1724036200000008</v>
      </c>
      <c r="DX6" s="1">
        <f t="shared" si="29"/>
        <v>6.8489806600000005</v>
      </c>
      <c r="DY6" s="1">
        <f t="shared" ref="DY6:EF20" si="30">+VLOOKUP(DY$1,ran_dat,$CB6,FALSE)</f>
        <v>8.39418884</v>
      </c>
      <c r="DZ6" s="1">
        <f t="shared" si="30"/>
        <v>8.0897496800000006</v>
      </c>
      <c r="EA6" s="1">
        <f t="shared" si="30"/>
        <v>9.8858098699999992</v>
      </c>
      <c r="EB6" s="1">
        <f t="shared" si="30"/>
        <v>11.833805730000002</v>
      </c>
      <c r="EC6" s="1">
        <f t="shared" si="30"/>
        <v>13.016290730000001</v>
      </c>
      <c r="ED6" s="1">
        <f t="shared" si="30"/>
        <v>10.901897520000004</v>
      </c>
      <c r="EE6" s="1">
        <f t="shared" si="30"/>
        <v>10.864187659999995</v>
      </c>
      <c r="EF6" s="1">
        <f t="shared" si="30"/>
        <v>11.783992419999999</v>
      </c>
      <c r="EH6" s="14">
        <f t="shared" ref="EH6:EW21" si="31">+VLOOKUP(EH$1,ran_dat,$CF6,FALSE)</f>
        <v>0</v>
      </c>
      <c r="EI6" s="14">
        <f t="shared" si="31"/>
        <v>0</v>
      </c>
      <c r="EJ6" s="1">
        <f t="shared" si="31"/>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ref="EX6:FE20" si="32">+VLOOKUP(EX$1,ran_dat,$CF6,FALSE)</f>
        <v>0</v>
      </c>
      <c r="EY6" s="1">
        <f t="shared" si="32"/>
        <v>0</v>
      </c>
      <c r="EZ6" s="1">
        <f t="shared" si="32"/>
        <v>0</v>
      </c>
      <c r="FA6" s="1">
        <f t="shared" si="32"/>
        <v>0</v>
      </c>
      <c r="FB6" s="1">
        <f t="shared" si="32"/>
        <v>0</v>
      </c>
      <c r="FC6" s="1">
        <f t="shared" si="32"/>
        <v>0</v>
      </c>
      <c r="FD6" s="1">
        <f t="shared" si="32"/>
        <v>0</v>
      </c>
      <c r="FE6" s="1">
        <f t="shared" si="32"/>
        <v>0</v>
      </c>
      <c r="FG6" s="162">
        <f t="shared" ref="FG6:FG24" si="33">+I6-K6</f>
        <v>-0.32381574877372321</v>
      </c>
    </row>
    <row r="7" spans="1:163" ht="18.75" customHeight="1">
      <c r="A7" s="244" t="s">
        <v>13</v>
      </c>
      <c r="B7" s="247"/>
      <c r="C7" s="228">
        <f t="shared" si="5"/>
        <v>-0.33</v>
      </c>
      <c r="D7" s="229">
        <v>-1</v>
      </c>
      <c r="E7" s="253">
        <f t="shared" si="6"/>
        <v>1.3606113646602802E-2</v>
      </c>
      <c r="F7" s="254">
        <f t="shared" si="7"/>
        <v>-2.6705598178577983E-2</v>
      </c>
      <c r="G7" s="253">
        <f t="shared" si="8"/>
        <v>2.5523659958457179E-2</v>
      </c>
      <c r="H7" s="254">
        <f t="shared" si="9"/>
        <v>-1.1917546311854377E-2</v>
      </c>
      <c r="I7" s="253">
        <f t="shared" si="10"/>
        <v>2.3655652173913042</v>
      </c>
      <c r="J7" s="254">
        <f t="shared" si="11"/>
        <v>-0.26885967672893152</v>
      </c>
      <c r="K7" s="253">
        <f t="shared" ref="K7:K24" si="34">IFERROR(+BL7/BN7-1,"")</f>
        <v>2.4342456056152391</v>
      </c>
      <c r="L7" s="254">
        <f t="shared" si="12"/>
        <v>-6.8680388223934852E-2</v>
      </c>
      <c r="M7" s="255"/>
      <c r="N7" s="256">
        <v>1</v>
      </c>
      <c r="O7" s="253">
        <f t="shared" ref="O7:O24" si="35">IFERROR(+BQ7/BR7-1,"")</f>
        <v>5.2631578947368363E-2</v>
      </c>
      <c r="P7" s="257">
        <f t="shared" ref="P7:P24" si="36">+O7</f>
        <v>5.2631578947368363E-2</v>
      </c>
      <c r="Q7" s="253">
        <f t="shared" si="13"/>
        <v>0.18181818181818188</v>
      </c>
      <c r="R7" s="257">
        <f t="shared" ref="R7:R24" si="37">+Q7</f>
        <v>0.18181818181818188</v>
      </c>
      <c r="S7" s="255"/>
      <c r="T7" s="256">
        <v>-1</v>
      </c>
      <c r="U7" s="253">
        <f t="shared" si="14"/>
        <v>-0.13416673459516049</v>
      </c>
      <c r="V7" s="258">
        <f t="shared" si="15"/>
        <v>-0.13416673459516049</v>
      </c>
      <c r="W7" s="253">
        <f t="shared" ref="W7:W24" si="38">IFERROR(IF(CC7&lt;0.5,"",+CC7/CD7-1),"")</f>
        <v>2.292658955796385</v>
      </c>
      <c r="X7" s="258">
        <f t="shared" si="16"/>
        <v>2.292658955796385</v>
      </c>
      <c r="Y7" s="253">
        <f t="shared" si="17"/>
        <v>0</v>
      </c>
      <c r="Z7" s="258">
        <f t="shared" si="18"/>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P7" s="28">
        <f>VLOOKUP($A7,historia!$A$5:$CM$24,+HLOOKUP(AP$2,historia!$A$3:$EC$4,2,FALSE),FALSE)</f>
        <v>3</v>
      </c>
      <c r="AQ7" s="28">
        <f>VLOOKUP($A7,historia!$A$5:$CM$24,+HLOOKUP(AQ$2,historia!$A$3:$EC$4,2,FALSE),FALSE)</f>
        <v>4</v>
      </c>
      <c r="AR7" s="28">
        <f>VLOOKUP($A7,historia!$A$5:$CM$24,+HLOOKUP(AR$2,historia!$A$3:$EC$4,2,FALSE),FALSE)</f>
        <v>5</v>
      </c>
      <c r="AS7" s="28">
        <f>VLOOKUP($A7,historia!$A$5:$CM$24,+HLOOKUP(AS$2,historia!$A$3:$EC$4,2,FALSE),FALSE)</f>
        <v>4</v>
      </c>
      <c r="AT7" s="58">
        <f>VLOOKUP($A7,historia!$A$5:$CM$24,+HLOOKUP(AT$2,historia!$A$3:$EC$4,2,FALSE),FALSE)</f>
        <v>3</v>
      </c>
      <c r="AU7" s="58">
        <f>VLOOKUP($A7,historia!$A$5:$CM$24,+HLOOKUP(AU$2,historia!$A$3:$EC$4,2,FALSE),FALSE)</f>
        <v>2</v>
      </c>
      <c r="AV7" s="58">
        <f>VLOOKUP($A7,historia!$A$5:$CM$24,+HLOOKUP(AV$2,historia!$A$3:$EC$4,2,FALSE),FALSE)</f>
        <v>2</v>
      </c>
      <c r="AW7" s="58">
        <f>VLOOKUP($A7,historia!$A$5:$CM$24,+HLOOKUP(AW$2,historia!$A$3:$EC$4,2,FALSE),FALSE)</f>
        <v>2</v>
      </c>
      <c r="AX7" s="58">
        <f>VLOOKUP($A7,historia!$A$5:$CM$24,+HLOOKUP(AX$2,historia!$A$3:$EC$4,2,FALSE),FALSE)</f>
        <v>2</v>
      </c>
      <c r="AY7" s="58">
        <f>VLOOKUP($A7,historia!$A$5:$CM$24,+HLOOKUP(AY$2,historia!$A$3:$EC$4,2,FALSE),FALSE)</f>
        <v>2</v>
      </c>
      <c r="AZ7" s="58">
        <f>VLOOKUP($A7,historia!$A$5:$CM$24,+HLOOKUP(AZ$2,historia!$A$3:$EC$4,2,FALSE),FALSE)</f>
        <v>2</v>
      </c>
      <c r="BA7" s="58">
        <f>VLOOKUP($A7,historia!$A$5:$CM$24,+HLOOKUP(BA$2,historia!$A$3:$EC$4,2,FALSE),FALSE)</f>
        <v>4</v>
      </c>
      <c r="BB7" s="30"/>
      <c r="BC7" s="141">
        <v>4</v>
      </c>
      <c r="BD7" t="str">
        <f t="shared" si="19"/>
        <v>Arroz</v>
      </c>
      <c r="BE7">
        <f>+datos!R1</f>
        <v>18</v>
      </c>
      <c r="BF7" s="2" t="str">
        <f t="shared" si="4"/>
        <v>$/t</v>
      </c>
      <c r="BG7" s="2">
        <f t="shared" si="4"/>
        <v>387040</v>
      </c>
      <c r="BH7" s="2">
        <f t="shared" si="4"/>
        <v>381844.57925925928</v>
      </c>
      <c r="BI7" s="2">
        <f t="shared" si="4"/>
        <v>115000</v>
      </c>
      <c r="BK7">
        <f>+datos!BZ1</f>
        <v>78</v>
      </c>
      <c r="BL7" s="2">
        <f t="shared" si="20"/>
        <v>8067.4189973479688</v>
      </c>
      <c r="BM7" s="2">
        <f t="shared" si="20"/>
        <v>7866.6337134286805</v>
      </c>
      <c r="BN7" s="2">
        <f t="shared" si="20"/>
        <v>2349.1095057840816</v>
      </c>
      <c r="BP7" s="1">
        <f>+datos!DM1</f>
        <v>117</v>
      </c>
      <c r="BQ7" s="1">
        <f t="shared" si="21"/>
        <v>200000</v>
      </c>
      <c r="BR7" s="1">
        <f t="shared" si="21"/>
        <v>190000</v>
      </c>
      <c r="BT7" s="1">
        <f>+datos!FH1</f>
        <v>164</v>
      </c>
      <c r="BU7" s="1">
        <f t="shared" si="22"/>
        <v>1300000</v>
      </c>
      <c r="BV7" s="1">
        <f t="shared" si="22"/>
        <v>1100000</v>
      </c>
      <c r="BX7" s="1">
        <f>+datos!JG1</f>
        <v>267</v>
      </c>
      <c r="BY7" s="1">
        <f t="shared" ref="BY7:BY24" si="39">+SUM(CJ7:CU7)</f>
        <v>253.62957566</v>
      </c>
      <c r="BZ7" s="1">
        <f t="shared" ref="BZ7:BZ24" si="40">+SUM(CV7:DG7)</f>
        <v>292.93119795000007</v>
      </c>
      <c r="CB7" s="1">
        <f>+datos!KL1</f>
        <v>298</v>
      </c>
      <c r="CC7" s="2">
        <f t="shared" si="23"/>
        <v>2.9725354900000007</v>
      </c>
      <c r="CD7" s="2">
        <f t="shared" si="24"/>
        <v>0.90277661000000009</v>
      </c>
      <c r="CF7" s="1">
        <f>+datos!HU1</f>
        <v>229</v>
      </c>
      <c r="CG7" s="1">
        <f t="shared" si="25"/>
        <v>700000</v>
      </c>
      <c r="CH7" s="1">
        <f t="shared" si="26"/>
        <v>700000</v>
      </c>
      <c r="CJ7" s="1">
        <f t="shared" si="27"/>
        <v>38.799980059999996</v>
      </c>
      <c r="CK7" s="1">
        <f t="shared" si="27"/>
        <v>35.598317799999997</v>
      </c>
      <c r="CL7" s="1">
        <f t="shared" si="27"/>
        <v>32.785113670000001</v>
      </c>
      <c r="CM7" s="1">
        <f t="shared" si="27"/>
        <v>22.35722878</v>
      </c>
      <c r="CN7" s="1">
        <f t="shared" si="27"/>
        <v>34.376458229999997</v>
      </c>
      <c r="CO7" s="1">
        <f t="shared" si="27"/>
        <v>13.355622539999999</v>
      </c>
      <c r="CP7" s="1">
        <f t="shared" si="27"/>
        <v>10.68224592</v>
      </c>
      <c r="CQ7" s="1">
        <f t="shared" si="27"/>
        <v>15.82785018</v>
      </c>
      <c r="CR7" s="1">
        <f t="shared" si="27"/>
        <v>16.180063639999997</v>
      </c>
      <c r="CS7" s="1">
        <f t="shared" si="27"/>
        <v>11.823193960000001</v>
      </c>
      <c r="CT7" s="1">
        <f t="shared" si="27"/>
        <v>12.24327484</v>
      </c>
      <c r="CU7" s="1">
        <f t="shared" si="27"/>
        <v>9.600226039999999</v>
      </c>
      <c r="CV7" s="1">
        <f t="shared" si="27"/>
        <v>26.338491399999999</v>
      </c>
      <c r="CW7" s="1">
        <f t="shared" si="27"/>
        <v>21.418726320000001</v>
      </c>
      <c r="CX7" s="1">
        <f t="shared" si="27"/>
        <v>22.255101539999998</v>
      </c>
      <c r="CY7" s="1">
        <f t="shared" si="27"/>
        <v>44.848914040000004</v>
      </c>
      <c r="CZ7" s="1">
        <f t="shared" si="28"/>
        <v>20.357260950000001</v>
      </c>
      <c r="DA7" s="1">
        <f t="shared" si="28"/>
        <v>17.134564559999998</v>
      </c>
      <c r="DB7" s="1">
        <f t="shared" si="28"/>
        <v>28.8463791</v>
      </c>
      <c r="DC7" s="1">
        <f t="shared" si="28"/>
        <v>29.656605189999997</v>
      </c>
      <c r="DD7" s="1">
        <f t="shared" si="28"/>
        <v>22.47426432</v>
      </c>
      <c r="DE7" s="1">
        <f t="shared" si="28"/>
        <v>15.997414339999999</v>
      </c>
      <c r="DF7" s="1">
        <f t="shared" si="28"/>
        <v>24.494655209999998</v>
      </c>
      <c r="DG7" s="1">
        <f t="shared" si="28"/>
        <v>19.108820979999997</v>
      </c>
      <c r="DI7" s="1">
        <f t="shared" si="29"/>
        <v>0.18557204999999999</v>
      </c>
      <c r="DJ7" s="1">
        <f t="shared" si="29"/>
        <v>0.48301414000000004</v>
      </c>
      <c r="DK7" s="1">
        <f t="shared" si="29"/>
        <v>0.23845672000000001</v>
      </c>
      <c r="DL7" s="1">
        <f t="shared" si="29"/>
        <v>0.50080292000000004</v>
      </c>
      <c r="DM7" s="1">
        <f t="shared" si="29"/>
        <v>8.6091799999999996E-2</v>
      </c>
      <c r="DN7" s="1">
        <f t="shared" si="29"/>
        <v>0.22536</v>
      </c>
      <c r="DO7" s="1">
        <f t="shared" si="29"/>
        <v>0.8256</v>
      </c>
      <c r="DP7" s="1">
        <f t="shared" si="29"/>
        <v>3.973985E-2</v>
      </c>
      <c r="DQ7" s="1">
        <f t="shared" si="29"/>
        <v>3.3462720000000001E-2</v>
      </c>
      <c r="DR7" s="1">
        <f t="shared" si="29"/>
        <v>0.19098301000000001</v>
      </c>
      <c r="DS7" s="1">
        <f t="shared" si="29"/>
        <v>0.10767879</v>
      </c>
      <c r="DT7" s="1">
        <f t="shared" si="29"/>
        <v>5.5773490000000002E-2</v>
      </c>
      <c r="DU7" s="1">
        <f t="shared" si="29"/>
        <v>8.7189080000000002E-2</v>
      </c>
      <c r="DV7" s="1">
        <f t="shared" si="29"/>
        <v>3.9243889999999997E-2</v>
      </c>
      <c r="DW7" s="1">
        <f t="shared" si="29"/>
        <v>0.10892111</v>
      </c>
      <c r="DX7" s="1">
        <f t="shared" si="29"/>
        <v>1.8036480000000001E-2</v>
      </c>
      <c r="DY7" s="1">
        <f t="shared" si="30"/>
        <v>2.0500000000000002E-3</v>
      </c>
      <c r="DZ7" s="1">
        <f t="shared" si="30"/>
        <v>1.0492100000000001E-3</v>
      </c>
      <c r="EA7" s="1">
        <f t="shared" si="30"/>
        <v>2.7127990000000001E-2</v>
      </c>
      <c r="EB7" s="1">
        <f t="shared" si="30"/>
        <v>2.9352990000000002E-2</v>
      </c>
      <c r="EC7" s="1">
        <f t="shared" si="30"/>
        <v>4.3800639999999995E-2</v>
      </c>
      <c r="ED7" s="1">
        <f t="shared" si="30"/>
        <v>2.6976839999999998E-2</v>
      </c>
      <c r="EE7" s="1">
        <f t="shared" si="30"/>
        <v>0.38784603000000006</v>
      </c>
      <c r="EF7" s="1">
        <f t="shared" si="30"/>
        <v>0.13118235</v>
      </c>
      <c r="EH7" s="14">
        <f t="shared" si="31"/>
        <v>700000</v>
      </c>
      <c r="EI7" s="14">
        <f t="shared" si="31"/>
        <v>700000</v>
      </c>
      <c r="EJ7" s="1">
        <f t="shared" si="31"/>
        <v>700000</v>
      </c>
      <c r="EK7" s="1">
        <f t="shared" si="31"/>
        <v>700000</v>
      </c>
      <c r="EL7" s="1">
        <f t="shared" si="31"/>
        <v>700000</v>
      </c>
      <c r="EM7" s="1">
        <f t="shared" si="31"/>
        <v>700000</v>
      </c>
      <c r="EN7" s="1">
        <f t="shared" si="31"/>
        <v>700000</v>
      </c>
      <c r="EO7" s="1">
        <f t="shared" si="31"/>
        <v>700000</v>
      </c>
      <c r="EP7" s="1">
        <f t="shared" si="31"/>
        <v>700000</v>
      </c>
      <c r="EQ7" s="1">
        <f t="shared" si="31"/>
        <v>700000</v>
      </c>
      <c r="ER7" s="1">
        <f t="shared" si="31"/>
        <v>700000</v>
      </c>
      <c r="ES7" s="1">
        <f t="shared" si="31"/>
        <v>700000</v>
      </c>
      <c r="ET7" s="1">
        <f t="shared" si="31"/>
        <v>700000</v>
      </c>
      <c r="EU7" s="1">
        <f t="shared" si="31"/>
        <v>700000</v>
      </c>
      <c r="EV7" s="1">
        <f t="shared" si="31"/>
        <v>700000</v>
      </c>
      <c r="EW7" s="1">
        <f t="shared" si="31"/>
        <v>700000</v>
      </c>
      <c r="EX7" s="1">
        <f t="shared" si="32"/>
        <v>700000</v>
      </c>
      <c r="EY7" s="1">
        <f t="shared" si="32"/>
        <v>650000</v>
      </c>
      <c r="EZ7" s="1">
        <f t="shared" si="32"/>
        <v>650000</v>
      </c>
      <c r="FA7" s="1">
        <f t="shared" si="32"/>
        <v>650000</v>
      </c>
      <c r="FB7" s="1">
        <f t="shared" si="32"/>
        <v>650000</v>
      </c>
      <c r="FC7" s="1">
        <f t="shared" si="32"/>
        <v>650000</v>
      </c>
      <c r="FD7" s="1">
        <f t="shared" si="32"/>
        <v>650000</v>
      </c>
      <c r="FE7" s="1">
        <f t="shared" si="32"/>
        <v>650000</v>
      </c>
      <c r="FG7" s="162">
        <f t="shared" si="33"/>
        <v>-6.8680388223934852E-2</v>
      </c>
    </row>
    <row r="8" spans="1:163" ht="18.75" customHeight="1">
      <c r="A8" s="243" t="s">
        <v>215</v>
      </c>
      <c r="B8" s="246"/>
      <c r="C8" s="156">
        <f t="shared" si="5"/>
        <v>-0.33</v>
      </c>
      <c r="D8" s="198">
        <v>0</v>
      </c>
      <c r="E8" s="248">
        <f t="shared" si="6"/>
        <v>4.1968455734164412E-2</v>
      </c>
      <c r="F8" s="249">
        <f t="shared" si="7"/>
        <v>1.6567439089836267E-3</v>
      </c>
      <c r="G8" s="248">
        <f t="shared" si="8"/>
        <v>9.7605972030989641E-4</v>
      </c>
      <c r="H8" s="249">
        <f t="shared" si="9"/>
        <v>4.0992396013854515E-2</v>
      </c>
      <c r="I8" s="248">
        <f t="shared" si="10"/>
        <v>2.4391559016505098</v>
      </c>
      <c r="J8" s="249">
        <f t="shared" si="11"/>
        <v>-0.19526899246972595</v>
      </c>
      <c r="K8" s="248">
        <f t="shared" si="34"/>
        <v>2.2682052557724788</v>
      </c>
      <c r="L8" s="249">
        <f t="shared" si="12"/>
        <v>0.17095064587803099</v>
      </c>
      <c r="M8" s="250"/>
      <c r="N8" s="24">
        <v>0</v>
      </c>
      <c r="O8" s="248">
        <f t="shared" si="35"/>
        <v>-2.9229784510347745E-2</v>
      </c>
      <c r="P8" s="251">
        <f t="shared" si="36"/>
        <v>-2.9229784510347745E-2</v>
      </c>
      <c r="Q8" s="248">
        <f t="shared" si="13"/>
        <v>-6.0535662062335405E-3</v>
      </c>
      <c r="R8" s="251">
        <f t="shared" si="37"/>
        <v>-6.0535662062335405E-3</v>
      </c>
      <c r="S8" s="250"/>
      <c r="T8" s="24">
        <v>-1</v>
      </c>
      <c r="U8" s="248">
        <f>IFERROR(+BY8/BZ8-1,"")</f>
        <v>-0.21977855308342931</v>
      </c>
      <c r="V8" s="252">
        <f t="shared" si="15"/>
        <v>-0.21977855308342931</v>
      </c>
      <c r="W8" s="248">
        <f t="shared" si="38"/>
        <v>-0.20045591848089384</v>
      </c>
      <c r="X8" s="252">
        <f t="shared" si="16"/>
        <v>-0.20045591848089384</v>
      </c>
      <c r="Y8" s="248">
        <f t="shared" si="17"/>
        <v>-1.263616557734204E-2</v>
      </c>
      <c r="Z8" s="252">
        <f t="shared" si="18"/>
        <v>-1.263616557734204E-2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P8" s="28">
        <f>VLOOKUP($A8,historia!$A$5:$CM$24,+HLOOKUP(AP$2,historia!$A$3:$EC$4,2,FALSE),FALSE)</f>
        <v>3</v>
      </c>
      <c r="AQ8" s="28">
        <f>VLOOKUP($A8,historia!$A$5:$CM$24,+HLOOKUP(AQ$2,historia!$A$3:$EC$4,2,FALSE),FALSE)</f>
        <v>4</v>
      </c>
      <c r="AR8" s="28">
        <f>VLOOKUP($A8,historia!$A$5:$CM$24,+HLOOKUP(AR$2,historia!$A$3:$EC$4,2,FALSE),FALSE)</f>
        <v>4</v>
      </c>
      <c r="AS8" s="28">
        <f>VLOOKUP($A8,historia!$A$5:$CM$24,+HLOOKUP(AS$2,historia!$A$3:$EC$4,2,FALSE),FALSE)</f>
        <v>4</v>
      </c>
      <c r="AT8" s="58">
        <f>VLOOKUP($A8,historia!$A$5:$CM$24,+HLOOKUP(AT$2,historia!$A$3:$EC$4,2,FALSE),FALSE)</f>
        <v>5</v>
      </c>
      <c r="AU8" s="58">
        <f>VLOOKUP($A8,historia!$A$5:$CM$24,+HLOOKUP(AU$2,historia!$A$3:$EC$4,2,FALSE),FALSE)</f>
        <v>2</v>
      </c>
      <c r="AV8" s="58">
        <f>VLOOKUP($A8,historia!$A$5:$CM$24,+HLOOKUP(AV$2,historia!$A$3:$EC$4,2,FALSE),FALSE)</f>
        <v>1</v>
      </c>
      <c r="AW8" s="58">
        <f>VLOOKUP($A8,historia!$A$5:$CM$24,+HLOOKUP(AW$2,historia!$A$3:$EC$4,2,FALSE),FALSE)</f>
        <v>1</v>
      </c>
      <c r="AX8" s="58">
        <f>VLOOKUP($A8,historia!$A$5:$CM$24,+HLOOKUP(AX$2,historia!$A$3:$EC$4,2,FALSE),FALSE)</f>
        <v>2</v>
      </c>
      <c r="AY8" s="58">
        <f>VLOOKUP($A8,historia!$A$5:$CM$24,+HLOOKUP(AY$2,historia!$A$3:$EC$4,2,FALSE),FALSE)</f>
        <v>3</v>
      </c>
      <c r="AZ8" s="58">
        <f>VLOOKUP($A8,historia!$A$5:$CM$24,+HLOOKUP(AZ$2,historia!$A$3:$EC$4,2,FALSE),FALSE)</f>
        <v>3</v>
      </c>
      <c r="BA8" s="58">
        <f>VLOOKUP($A8,historia!$A$5:$CM$24,+HLOOKUP(BA$2,historia!$A$3:$EC$4,2,FALSE),FALSE)</f>
        <v>3</v>
      </c>
      <c r="BB8" s="30"/>
      <c r="BC8" s="141">
        <v>3</v>
      </c>
      <c r="BD8" t="str">
        <f t="shared" si="19"/>
        <v>Aves</v>
      </c>
      <c r="BE8">
        <f>+datos!BQ1</f>
        <v>69</v>
      </c>
      <c r="BF8" s="2" t="str">
        <f t="shared" si="4"/>
        <v>prom pond huevo-carne</v>
      </c>
      <c r="BG8" s="2">
        <f t="shared" si="4"/>
        <v>1514.845</v>
      </c>
      <c r="BH8" s="2">
        <f t="shared" si="4"/>
        <v>1453.83</v>
      </c>
      <c r="BI8" s="2">
        <f t="shared" si="4"/>
        <v>440.46999999999997</v>
      </c>
      <c r="BK8">
        <f>+datos!DG1</f>
        <v>111</v>
      </c>
      <c r="BL8" s="2">
        <f t="shared" si="20"/>
        <v>7583.9697410494282</v>
      </c>
      <c r="BM8" s="2">
        <f t="shared" si="20"/>
        <v>7576.57455181148</v>
      </c>
      <c r="BN8" s="2">
        <f t="shared" si="20"/>
        <v>2320.5304280244382</v>
      </c>
      <c r="BP8" s="1">
        <f>+datos!EP1</f>
        <v>146</v>
      </c>
      <c r="BQ8" s="1">
        <f t="shared" si="21"/>
        <v>9100</v>
      </c>
      <c r="BR8" s="1">
        <f t="shared" si="21"/>
        <v>9374</v>
      </c>
      <c r="BT8" s="1">
        <f>+datos!HM1</f>
        <v>221</v>
      </c>
      <c r="BU8" s="1">
        <f t="shared" si="22"/>
        <v>2363032.7822992867</v>
      </c>
      <c r="BV8" s="1">
        <f t="shared" si="22"/>
        <v>2377424.6800000002</v>
      </c>
      <c r="BX8" s="1">
        <f>+datos!KF1</f>
        <v>292</v>
      </c>
      <c r="BY8" s="1">
        <f t="shared" si="39"/>
        <v>369.67974765999998</v>
      </c>
      <c r="BZ8" s="1">
        <f t="shared" si="40"/>
        <v>473.81387569000003</v>
      </c>
      <c r="CB8" s="1">
        <f>+datos!LK1</f>
        <v>323</v>
      </c>
      <c r="CC8" s="2">
        <f t="shared" si="23"/>
        <v>35.327928760000006</v>
      </c>
      <c r="CD8" s="2">
        <f t="shared" si="24"/>
        <v>44.185091950000007</v>
      </c>
      <c r="CF8" s="1">
        <f>+datos!IL1</f>
        <v>246</v>
      </c>
      <c r="CG8" s="1">
        <f t="shared" si="25"/>
        <v>45.32</v>
      </c>
      <c r="CH8" s="1">
        <f t="shared" si="26"/>
        <v>45.9</v>
      </c>
      <c r="CJ8" s="1">
        <f t="shared" si="27"/>
        <v>23.157032140000002</v>
      </c>
      <c r="CK8" s="1">
        <f t="shared" si="27"/>
        <v>19.314763240000005</v>
      </c>
      <c r="CL8" s="1">
        <f t="shared" si="27"/>
        <v>22.778743510000002</v>
      </c>
      <c r="CM8" s="1">
        <f t="shared" si="27"/>
        <v>39.062197300000001</v>
      </c>
      <c r="CN8" s="1">
        <f t="shared" si="27"/>
        <v>40.013868680000002</v>
      </c>
      <c r="CO8" s="1">
        <f t="shared" si="27"/>
        <v>35.607742460000011</v>
      </c>
      <c r="CP8" s="1">
        <f t="shared" si="27"/>
        <v>32.51792974</v>
      </c>
      <c r="CQ8" s="1">
        <f t="shared" si="27"/>
        <v>35.210116300000003</v>
      </c>
      <c r="CR8" s="1">
        <f t="shared" si="27"/>
        <v>30.603465830000005</v>
      </c>
      <c r="CS8" s="1">
        <f t="shared" si="27"/>
        <v>35.017556320000004</v>
      </c>
      <c r="CT8" s="1">
        <f t="shared" si="27"/>
        <v>24.343011479999998</v>
      </c>
      <c r="CU8" s="1">
        <f t="shared" si="27"/>
        <v>32.053320659999997</v>
      </c>
      <c r="CV8" s="1">
        <f t="shared" si="27"/>
        <v>25.827296739999998</v>
      </c>
      <c r="CW8" s="1">
        <f t="shared" si="27"/>
        <v>20.281404040000002</v>
      </c>
      <c r="CX8" s="1">
        <f t="shared" si="27"/>
        <v>20.776878260000004</v>
      </c>
      <c r="CY8" s="1">
        <f t="shared" si="27"/>
        <v>18.00257775</v>
      </c>
      <c r="CZ8" s="1">
        <f t="shared" si="28"/>
        <v>18.061317600000002</v>
      </c>
      <c r="DA8" s="1">
        <f t="shared" si="28"/>
        <v>50.712421620000008</v>
      </c>
      <c r="DB8" s="1">
        <f t="shared" si="28"/>
        <v>45.90045215</v>
      </c>
      <c r="DC8" s="1">
        <f t="shared" si="28"/>
        <v>47.273016750000004</v>
      </c>
      <c r="DD8" s="1">
        <f t="shared" si="28"/>
        <v>53.715518810000006</v>
      </c>
      <c r="DE8" s="1">
        <f t="shared" si="28"/>
        <v>52.265948369999997</v>
      </c>
      <c r="DF8" s="1">
        <f t="shared" si="28"/>
        <v>57.828382590000011</v>
      </c>
      <c r="DG8" s="1">
        <f t="shared" si="28"/>
        <v>63.168661010000001</v>
      </c>
      <c r="DI8" s="1">
        <f t="shared" si="29"/>
        <v>1.5903026900000001</v>
      </c>
      <c r="DJ8" s="1">
        <f t="shared" si="29"/>
        <v>5.6916922899999998</v>
      </c>
      <c r="DK8" s="1">
        <f t="shared" si="29"/>
        <v>1.7294530099999998</v>
      </c>
      <c r="DL8" s="1">
        <f t="shared" si="29"/>
        <v>4.2232492399999995</v>
      </c>
      <c r="DM8" s="1">
        <f t="shared" si="29"/>
        <v>1.27466579</v>
      </c>
      <c r="DN8" s="1">
        <f t="shared" si="29"/>
        <v>1.8857013599999999</v>
      </c>
      <c r="DO8" s="1">
        <f t="shared" si="29"/>
        <v>4.07849503</v>
      </c>
      <c r="DP8" s="1">
        <f t="shared" si="29"/>
        <v>2.60999925</v>
      </c>
      <c r="DQ8" s="1">
        <f t="shared" si="29"/>
        <v>4.3280037599999996</v>
      </c>
      <c r="DR8" s="1">
        <f t="shared" si="29"/>
        <v>3.9253711099999995</v>
      </c>
      <c r="DS8" s="1">
        <f t="shared" si="29"/>
        <v>2.66724104</v>
      </c>
      <c r="DT8" s="1">
        <f t="shared" si="29"/>
        <v>1.3237541899999998</v>
      </c>
      <c r="DU8" s="1">
        <f t="shared" si="29"/>
        <v>4.0034089300000009</v>
      </c>
      <c r="DV8" s="1">
        <f t="shared" si="29"/>
        <v>4.2620939999999994</v>
      </c>
      <c r="DW8" s="1">
        <f t="shared" si="29"/>
        <v>6.8027163900000005</v>
      </c>
      <c r="DX8" s="1">
        <f t="shared" si="29"/>
        <v>1.73014019</v>
      </c>
      <c r="DY8" s="1">
        <f t="shared" si="30"/>
        <v>6.4691643499999998</v>
      </c>
      <c r="DZ8" s="1">
        <f t="shared" si="30"/>
        <v>1.80858622</v>
      </c>
      <c r="EA8" s="1">
        <f t="shared" si="30"/>
        <v>3.7432468400000003</v>
      </c>
      <c r="EB8" s="1">
        <f t="shared" si="30"/>
        <v>0.59472115000000003</v>
      </c>
      <c r="EC8" s="1">
        <f t="shared" si="30"/>
        <v>5.9863547400000003</v>
      </c>
      <c r="ED8" s="1">
        <f t="shared" si="30"/>
        <v>1.02297792</v>
      </c>
      <c r="EE8" s="1">
        <f t="shared" si="30"/>
        <v>3.9990310300000003</v>
      </c>
      <c r="EF8" s="1">
        <f t="shared" si="30"/>
        <v>3.76265019</v>
      </c>
      <c r="EH8" s="14">
        <f t="shared" si="31"/>
        <v>45.32</v>
      </c>
      <c r="EI8" s="14">
        <f t="shared" si="31"/>
        <v>44.85</v>
      </c>
      <c r="EJ8" s="1">
        <f t="shared" si="31"/>
        <v>45.52</v>
      </c>
      <c r="EK8" s="1">
        <f t="shared" si="31"/>
        <v>46.23</v>
      </c>
      <c r="EL8" s="1">
        <f t="shared" si="31"/>
        <v>46.23</v>
      </c>
      <c r="EM8" s="1">
        <f t="shared" si="31"/>
        <v>46.23</v>
      </c>
      <c r="EN8" s="1">
        <f t="shared" si="31"/>
        <v>48.52</v>
      </c>
      <c r="EO8" s="1">
        <f t="shared" si="31"/>
        <v>45.85</v>
      </c>
      <c r="EP8" s="1">
        <f t="shared" si="31"/>
        <v>46.03</v>
      </c>
      <c r="EQ8" s="1">
        <f t="shared" si="31"/>
        <v>46.13</v>
      </c>
      <c r="ER8" s="1">
        <f t="shared" si="31"/>
        <v>45.88</v>
      </c>
      <c r="ES8" s="1">
        <f t="shared" si="31"/>
        <v>46.09</v>
      </c>
      <c r="ET8" s="1">
        <f t="shared" si="31"/>
        <v>45.9</v>
      </c>
      <c r="EU8" s="1">
        <f t="shared" si="31"/>
        <v>46</v>
      </c>
      <c r="EV8" s="1">
        <f t="shared" si="31"/>
        <v>45.99</v>
      </c>
      <c r="EW8" s="1">
        <f t="shared" si="31"/>
        <v>45.74</v>
      </c>
      <c r="EX8" s="1">
        <f t="shared" si="32"/>
        <v>45.46</v>
      </c>
      <c r="EY8" s="1">
        <f t="shared" si="32"/>
        <v>45.56</v>
      </c>
      <c r="EZ8" s="1">
        <f t="shared" si="32"/>
        <v>45.71</v>
      </c>
      <c r="FA8" s="1">
        <f t="shared" si="32"/>
        <v>45.71</v>
      </c>
      <c r="FB8" s="1">
        <f t="shared" si="32"/>
        <v>46.04</v>
      </c>
      <c r="FC8" s="1">
        <f t="shared" si="32"/>
        <v>45.9</v>
      </c>
      <c r="FD8" s="1">
        <f t="shared" si="32"/>
        <v>48.39</v>
      </c>
      <c r="FE8" s="1">
        <f t="shared" si="32"/>
        <v>47.03</v>
      </c>
      <c r="FG8" s="162">
        <f t="shared" si="33"/>
        <v>0.17095064587803099</v>
      </c>
    </row>
    <row r="9" spans="1:163" ht="18.75" customHeight="1">
      <c r="A9" s="244" t="s">
        <v>77</v>
      </c>
      <c r="B9" s="247"/>
      <c r="C9" s="228">
        <v>0</v>
      </c>
      <c r="D9" s="229">
        <v>1</v>
      </c>
      <c r="E9" s="253">
        <f t="shared" si="6"/>
        <v>7.6673061959127153E-2</v>
      </c>
      <c r="F9" s="254">
        <f t="shared" si="7"/>
        <v>3.6361350133946369E-2</v>
      </c>
      <c r="G9" s="253">
        <f t="shared" si="8"/>
        <v>4.0591506051676829E-2</v>
      </c>
      <c r="H9" s="254">
        <f t="shared" si="9"/>
        <v>3.6081555907450324E-2</v>
      </c>
      <c r="I9" s="253">
        <f t="shared" si="10"/>
        <v>3.1477572283954718</v>
      </c>
      <c r="J9" s="254">
        <f t="shared" si="11"/>
        <v>0.51333233427523606</v>
      </c>
      <c r="K9" s="253">
        <f t="shared" si="34"/>
        <v>2.6899549398092444</v>
      </c>
      <c r="L9" s="254">
        <f t="shared" si="12"/>
        <v>0.4578022885862274</v>
      </c>
      <c r="M9" s="255"/>
      <c r="N9" s="256">
        <v>-1</v>
      </c>
      <c r="O9" s="253">
        <f t="shared" si="35"/>
        <v>-2.6892205286269899E-2</v>
      </c>
      <c r="P9" s="257">
        <f t="shared" si="36"/>
        <v>-2.6892205286269899E-2</v>
      </c>
      <c r="Q9" s="253">
        <f t="shared" si="13"/>
        <v>-6.1797751110065469E-2</v>
      </c>
      <c r="R9" s="257">
        <f t="shared" si="37"/>
        <v>-6.1797751110065469E-2</v>
      </c>
      <c r="S9" s="255"/>
      <c r="T9" s="256">
        <v>0</v>
      </c>
      <c r="U9" s="253">
        <f t="shared" si="14"/>
        <v>-8.8531175509570459E-2</v>
      </c>
      <c r="V9" s="258">
        <f t="shared" si="15"/>
        <v>-8.8531175509570459E-2</v>
      </c>
      <c r="W9" s="253">
        <f t="shared" si="38"/>
        <v>-0.490537593575741</v>
      </c>
      <c r="X9" s="258">
        <f t="shared" si="16"/>
        <v>-0.490537593575741</v>
      </c>
      <c r="Y9" s="253">
        <f t="shared" si="17"/>
        <v>-7.5792730085073479E-2</v>
      </c>
      <c r="Z9" s="258">
        <f t="shared" si="18"/>
        <v>-7.5792730085073479E-2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P9" s="28">
        <f>VLOOKUP($A9,historia!$A$5:$CM$24,+HLOOKUP(AP$2,historia!$A$3:$EC$4,2,FALSE),FALSE)</f>
        <v>4</v>
      </c>
      <c r="AQ9" s="28">
        <f>VLOOKUP($A9,historia!$A$5:$CM$24,+HLOOKUP(AQ$2,historia!$A$3:$EC$4,2,FALSE),FALSE)</f>
        <v>4</v>
      </c>
      <c r="AR9" s="28">
        <f>VLOOKUP($A9,historia!$A$5:$CM$24,+HLOOKUP(AR$2,historia!$A$3:$EC$4,2,FALSE),FALSE)</f>
        <v>3</v>
      </c>
      <c r="AS9" s="28">
        <f>VLOOKUP($A9,historia!$A$5:$CM$24,+HLOOKUP(AS$2,historia!$A$3:$EC$4,2,FALSE),FALSE)</f>
        <v>3</v>
      </c>
      <c r="AT9" s="58">
        <f>VLOOKUP($A9,historia!$A$5:$CM$24,+HLOOKUP(AT$2,historia!$A$3:$EC$4,2,FALSE),FALSE)</f>
        <v>3</v>
      </c>
      <c r="AU9" s="58">
        <f>VLOOKUP($A9,historia!$A$5:$CM$24,+HLOOKUP(AU$2,historia!$A$3:$EC$4,2,FALSE),FALSE)</f>
        <v>2</v>
      </c>
      <c r="AV9" s="58">
        <f>VLOOKUP($A9,historia!$A$5:$CM$24,+HLOOKUP(AV$2,historia!$A$3:$EC$4,2,FALSE),FALSE)</f>
        <v>2</v>
      </c>
      <c r="AW9" s="58">
        <f>VLOOKUP($A9,historia!$A$5:$CM$24,+HLOOKUP(AW$2,historia!$A$3:$EC$4,2,FALSE),FALSE)</f>
        <v>2</v>
      </c>
      <c r="AX9" s="58">
        <f>VLOOKUP($A9,historia!$A$5:$CM$24,+HLOOKUP(AX$2,historia!$A$3:$EC$4,2,FALSE),FALSE)</f>
        <v>4</v>
      </c>
      <c r="AY9" s="58">
        <f>VLOOKUP($A9,historia!$A$5:$CM$24,+HLOOKUP(AY$2,historia!$A$3:$EC$4,2,FALSE),FALSE)</f>
        <v>4</v>
      </c>
      <c r="AZ9" s="58">
        <f>VLOOKUP($A9,historia!$A$5:$CM$24,+HLOOKUP(AZ$2,historia!$A$3:$EC$4,2,FALSE),FALSE)</f>
        <v>3</v>
      </c>
      <c r="BA9" s="58">
        <f>VLOOKUP($A9,historia!$A$5:$CM$24,+HLOOKUP(BA$2,historia!$A$3:$EC$4,2,FALSE),FALSE)</f>
        <v>3</v>
      </c>
      <c r="BB9" s="30"/>
      <c r="BC9" s="141">
        <v>3</v>
      </c>
      <c r="BD9" t="str">
        <f t="shared" si="19"/>
        <v>Bovinos</v>
      </c>
      <c r="BE9">
        <f>+datos!BM1</f>
        <v>65</v>
      </c>
      <c r="BF9" s="2" t="str">
        <f t="shared" si="4"/>
        <v>$/kg</v>
      </c>
      <c r="BG9" s="2">
        <f t="shared" si="4"/>
        <v>2185.5155</v>
      </c>
      <c r="BH9" s="2">
        <f t="shared" si="4"/>
        <v>2029.8784999999998</v>
      </c>
      <c r="BI9" s="2">
        <f t="shared" si="4"/>
        <v>526.91499999999996</v>
      </c>
      <c r="BK9">
        <f>+datos!DB1</f>
        <v>106</v>
      </c>
      <c r="BL9" s="2">
        <f t="shared" si="20"/>
        <v>8218.0653661302731</v>
      </c>
      <c r="BM9" s="2">
        <f t="shared" si="20"/>
        <v>7897.4941831998349</v>
      </c>
      <c r="BN9" s="2">
        <f t="shared" si="20"/>
        <v>2227.1451820371317</v>
      </c>
      <c r="BP9" s="1">
        <f>+datos!EH1</f>
        <v>138</v>
      </c>
      <c r="BQ9" s="1">
        <f t="shared" si="21"/>
        <v>52783892</v>
      </c>
      <c r="BR9" s="1">
        <f t="shared" si="21"/>
        <v>54242595</v>
      </c>
      <c r="BT9" s="1">
        <f>+datos!HB1</f>
        <v>210</v>
      </c>
      <c r="BU9" s="1">
        <f t="shared" si="22"/>
        <v>3102435</v>
      </c>
      <c r="BV9" s="1">
        <f t="shared" si="22"/>
        <v>3306787</v>
      </c>
      <c r="BX9" s="1">
        <f>+datos!KG1</f>
        <v>293</v>
      </c>
      <c r="BY9" s="1">
        <f t="shared" si="39"/>
        <v>3848.7470762499993</v>
      </c>
      <c r="BZ9" s="1">
        <f t="shared" si="40"/>
        <v>4222.5767605399997</v>
      </c>
      <c r="CB9" s="1">
        <f>+datos!LL1</f>
        <v>324</v>
      </c>
      <c r="CC9" s="2">
        <f t="shared" si="23"/>
        <v>32.600953690000004</v>
      </c>
      <c r="CD9" s="2">
        <f t="shared" si="24"/>
        <v>63.990891729999987</v>
      </c>
      <c r="CF9" s="1">
        <f>+datos!IM1</f>
        <v>247</v>
      </c>
      <c r="CG9" s="1">
        <f t="shared" si="25"/>
        <v>47.8</v>
      </c>
      <c r="CH9" s="1">
        <f t="shared" si="26"/>
        <v>51.72</v>
      </c>
      <c r="CJ9" s="1">
        <f t="shared" si="27"/>
        <v>307.7105307999999</v>
      </c>
      <c r="CK9" s="1">
        <f t="shared" si="27"/>
        <v>311.98041742999999</v>
      </c>
      <c r="CL9" s="1">
        <f t="shared" si="27"/>
        <v>309.32423856999998</v>
      </c>
      <c r="CM9" s="1">
        <f t="shared" si="27"/>
        <v>316.28118749999999</v>
      </c>
      <c r="CN9" s="1">
        <f t="shared" si="27"/>
        <v>350.14414257999977</v>
      </c>
      <c r="CO9" s="1">
        <f t="shared" si="27"/>
        <v>342.85888695999995</v>
      </c>
      <c r="CP9" s="1">
        <f t="shared" si="27"/>
        <v>324.84866957999998</v>
      </c>
      <c r="CQ9" s="1">
        <f t="shared" si="27"/>
        <v>325.97502911999987</v>
      </c>
      <c r="CR9" s="1">
        <f t="shared" si="27"/>
        <v>321.39038838999994</v>
      </c>
      <c r="CS9" s="1">
        <f t="shared" si="27"/>
        <v>273.58963931999995</v>
      </c>
      <c r="CT9" s="1">
        <f t="shared" si="27"/>
        <v>292.91820976000002</v>
      </c>
      <c r="CU9" s="1">
        <f t="shared" si="27"/>
        <v>371.72573624</v>
      </c>
      <c r="CV9" s="1">
        <f t="shared" si="27"/>
        <v>378.12790802000001</v>
      </c>
      <c r="CW9" s="1">
        <f t="shared" si="27"/>
        <v>308.34921994000001</v>
      </c>
      <c r="CX9" s="1">
        <f t="shared" si="27"/>
        <v>390.63577031</v>
      </c>
      <c r="CY9" s="1">
        <f t="shared" si="27"/>
        <v>337.45013477999998</v>
      </c>
      <c r="CZ9" s="1">
        <f t="shared" si="28"/>
        <v>339.25205494000011</v>
      </c>
      <c r="DA9" s="1">
        <f t="shared" si="28"/>
        <v>296.44265344999985</v>
      </c>
      <c r="DB9" s="1">
        <f t="shared" si="28"/>
        <v>285.75014393999987</v>
      </c>
      <c r="DC9" s="1">
        <f t="shared" si="28"/>
        <v>285.58164063999999</v>
      </c>
      <c r="DD9" s="1">
        <f t="shared" si="28"/>
        <v>342.68232461000008</v>
      </c>
      <c r="DE9" s="1">
        <f t="shared" si="28"/>
        <v>391.68086485999982</v>
      </c>
      <c r="DF9" s="1">
        <f t="shared" si="28"/>
        <v>421.96396532</v>
      </c>
      <c r="DG9" s="1">
        <f t="shared" si="28"/>
        <v>444.66007973000006</v>
      </c>
      <c r="DI9" s="1">
        <f t="shared" si="29"/>
        <v>3.9954732900000005</v>
      </c>
      <c r="DJ9" s="1">
        <f t="shared" si="29"/>
        <v>2.3751918999999999</v>
      </c>
      <c r="DK9" s="1">
        <f t="shared" si="29"/>
        <v>3.3189943100000003</v>
      </c>
      <c r="DL9" s="1">
        <f t="shared" si="29"/>
        <v>3.6004889900000006</v>
      </c>
      <c r="DM9" s="1">
        <f t="shared" si="29"/>
        <v>2.2940615100000001</v>
      </c>
      <c r="DN9" s="1">
        <f t="shared" si="29"/>
        <v>1.2696953500000001</v>
      </c>
      <c r="DO9" s="1">
        <f t="shared" si="29"/>
        <v>1.4792882700000001</v>
      </c>
      <c r="DP9" s="1">
        <f t="shared" si="29"/>
        <v>3.3410357400000001</v>
      </c>
      <c r="DQ9" s="1">
        <f t="shared" si="29"/>
        <v>3.5927978000000009</v>
      </c>
      <c r="DR9" s="1">
        <f t="shared" si="29"/>
        <v>2.53051044</v>
      </c>
      <c r="DS9" s="1">
        <f t="shared" si="29"/>
        <v>2.3401237999999998</v>
      </c>
      <c r="DT9" s="1">
        <f t="shared" si="29"/>
        <v>2.4632922899999996</v>
      </c>
      <c r="DU9" s="1">
        <f t="shared" si="29"/>
        <v>3.8179622399999995</v>
      </c>
      <c r="DV9" s="1">
        <f t="shared" si="29"/>
        <v>3.8355995800000002</v>
      </c>
      <c r="DW9" s="1">
        <f t="shared" si="29"/>
        <v>7.3409295600000002</v>
      </c>
      <c r="DX9" s="1">
        <f t="shared" si="29"/>
        <v>3.8261937100000005</v>
      </c>
      <c r="DY9" s="1">
        <f t="shared" si="30"/>
        <v>5.3486285699999998</v>
      </c>
      <c r="DZ9" s="1">
        <f t="shared" si="30"/>
        <v>4.398381099999999</v>
      </c>
      <c r="EA9" s="1">
        <f t="shared" si="30"/>
        <v>4.3987828499999999</v>
      </c>
      <c r="EB9" s="1">
        <f t="shared" si="30"/>
        <v>1.58647798</v>
      </c>
      <c r="EC9" s="1">
        <f t="shared" si="30"/>
        <v>2.6207546900000001</v>
      </c>
      <c r="ED9" s="1">
        <f t="shared" si="30"/>
        <v>6.877667439999998</v>
      </c>
      <c r="EE9" s="1">
        <f t="shared" si="30"/>
        <v>6.5255502400000012</v>
      </c>
      <c r="EF9" s="1">
        <f t="shared" si="30"/>
        <v>13.413963769999999</v>
      </c>
      <c r="EH9" s="14">
        <f t="shared" si="31"/>
        <v>47.8</v>
      </c>
      <c r="EI9" s="14">
        <f t="shared" si="31"/>
        <v>47.58</v>
      </c>
      <c r="EJ9" s="1">
        <f t="shared" si="31"/>
        <v>49.18</v>
      </c>
      <c r="EK9" s="1">
        <f t="shared" si="31"/>
        <v>49.37</v>
      </c>
      <c r="EL9" s="1">
        <f t="shared" si="31"/>
        <v>49.38</v>
      </c>
      <c r="EM9" s="1">
        <f t="shared" si="31"/>
        <v>51.48</v>
      </c>
      <c r="EN9" s="1">
        <f t="shared" si="31"/>
        <v>52.06</v>
      </c>
      <c r="EO9" s="1">
        <f t="shared" si="31"/>
        <v>42.59</v>
      </c>
      <c r="EP9" s="1">
        <f t="shared" si="31"/>
        <v>51.3</v>
      </c>
      <c r="EQ9" s="1">
        <f t="shared" si="31"/>
        <v>51.15</v>
      </c>
      <c r="ER9" s="1">
        <f t="shared" si="31"/>
        <v>51.01</v>
      </c>
      <c r="ES9" s="1">
        <f t="shared" si="31"/>
        <v>51.15</v>
      </c>
      <c r="ET9" s="1">
        <f t="shared" si="31"/>
        <v>51.72</v>
      </c>
      <c r="EU9" s="1">
        <f t="shared" si="31"/>
        <v>51.32</v>
      </c>
      <c r="EV9" s="1">
        <f t="shared" si="31"/>
        <v>50.44</v>
      </c>
      <c r="EW9" s="1">
        <f t="shared" si="31"/>
        <v>50.29</v>
      </c>
      <c r="EX9" s="1">
        <f t="shared" si="32"/>
        <v>50.29</v>
      </c>
      <c r="EY9" s="1">
        <f t="shared" si="32"/>
        <v>49.14</v>
      </c>
      <c r="EZ9" s="1">
        <f t="shared" si="32"/>
        <v>48.66</v>
      </c>
      <c r="FA9" s="1">
        <f t="shared" si="32"/>
        <v>48.66</v>
      </c>
      <c r="FB9" s="1">
        <f t="shared" si="32"/>
        <v>48.3</v>
      </c>
      <c r="FC9" s="1">
        <f t="shared" si="32"/>
        <v>48.39</v>
      </c>
      <c r="FD9" s="1">
        <f t="shared" si="32"/>
        <v>48.62</v>
      </c>
      <c r="FE9" s="1">
        <f t="shared" si="32"/>
        <v>48.17</v>
      </c>
      <c r="FG9" s="162">
        <f t="shared" si="33"/>
        <v>0.4578022885862274</v>
      </c>
    </row>
    <row r="10" spans="1:163" ht="18.600000000000001" customHeight="1">
      <c r="A10" s="263" t="s">
        <v>221</v>
      </c>
      <c r="B10" s="246"/>
      <c r="C10" s="156">
        <f t="shared" si="5"/>
        <v>0</v>
      </c>
      <c r="D10" s="198">
        <v>-1</v>
      </c>
      <c r="E10" s="248">
        <f t="shared" si="6"/>
        <v>8.0847000293109872E-2</v>
      </c>
      <c r="F10" s="249">
        <f t="shared" si="7"/>
        <v>4.0535288467929087E-2</v>
      </c>
      <c r="G10" s="248">
        <f t="shared" si="8"/>
        <v>4.7925705908596905E-2</v>
      </c>
      <c r="H10" s="249">
        <f t="shared" si="9"/>
        <v>3.2921294384512967E-2</v>
      </c>
      <c r="I10" s="248">
        <f t="shared" si="10"/>
        <v>1.3515383985709901</v>
      </c>
      <c r="J10" s="249">
        <f t="shared" si="11"/>
        <v>-1.2828864955492456</v>
      </c>
      <c r="K10" s="248">
        <f t="shared" si="34"/>
        <v>2.5017356927255872</v>
      </c>
      <c r="L10" s="249">
        <f t="shared" si="12"/>
        <v>-1.150197294154597</v>
      </c>
      <c r="M10" s="250"/>
      <c r="N10" s="24">
        <v>0</v>
      </c>
      <c r="O10" s="248">
        <f t="shared" si="35"/>
        <v>4.1543620801842707E-3</v>
      </c>
      <c r="P10" s="251">
        <f t="shared" si="36"/>
        <v>4.1543620801842707E-3</v>
      </c>
      <c r="Q10" s="248">
        <f t="shared" si="13"/>
        <v>0.10798722044728426</v>
      </c>
      <c r="R10" s="251">
        <f t="shared" si="37"/>
        <v>0.10798722044728426</v>
      </c>
      <c r="S10" s="250"/>
      <c r="T10" s="24">
        <v>1</v>
      </c>
      <c r="U10" s="248">
        <f t="shared" si="14"/>
        <v>0.48223652112311566</v>
      </c>
      <c r="V10" s="252">
        <f t="shared" si="15"/>
        <v>0.48223652112311566</v>
      </c>
      <c r="W10" s="248">
        <f t="shared" si="38"/>
        <v>2.5038025697466271E-2</v>
      </c>
      <c r="X10" s="252">
        <f t="shared" si="16"/>
        <v>2.5038025697466271E-2</v>
      </c>
      <c r="Y10" s="248">
        <f t="shared" si="17"/>
        <v>-0.11904761904761896</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P10" s="28">
        <f>VLOOKUP($A10,historia!$A$5:$CM$24,+HLOOKUP(AP$2,historia!$A$3:$EC$4,2,FALSE),FALSE)</f>
        <v>5</v>
      </c>
      <c r="AQ10" s="28">
        <f>VLOOKUP($A10,historia!$A$5:$CM$24,+HLOOKUP(AQ$2,historia!$A$3:$EC$4,2,FALSE),FALSE)</f>
        <v>4</v>
      </c>
      <c r="AR10" s="28">
        <f>VLOOKUP($A10,historia!$A$5:$CM$24,+HLOOKUP(AR$2,historia!$A$3:$EC$4,2,FALSE),FALSE)</f>
        <v>4</v>
      </c>
      <c r="AS10" s="28">
        <f>VLOOKUP($A10,historia!$A$5:$CM$24,+HLOOKUP(AS$2,historia!$A$3:$EC$4,2,FALSE),FALSE)</f>
        <v>4</v>
      </c>
      <c r="AT10" s="58">
        <f>VLOOKUP($A10,historia!$A$5:$CM$24,+HLOOKUP(AT$2,historia!$A$3:$EC$4,2,FALSE),FALSE)</f>
        <v>5</v>
      </c>
      <c r="AU10" s="58">
        <f>VLOOKUP($A10,historia!$A$5:$CM$24,+HLOOKUP(AU$2,historia!$A$3:$EC$4,2,FALSE),FALSE)</f>
        <v>3</v>
      </c>
      <c r="AV10" s="58">
        <f>VLOOKUP($A10,historia!$A$5:$CM$24,+HLOOKUP(AV$2,historia!$A$3:$EC$4,2,FALSE),FALSE)</f>
        <v>3</v>
      </c>
      <c r="AW10" s="58">
        <f>VLOOKUP($A10,historia!$A$5:$CM$24,+HLOOKUP(AW$2,historia!$A$3:$EC$4,2,FALSE),FALSE)</f>
        <v>4</v>
      </c>
      <c r="AX10" s="58">
        <f>VLOOKUP($A10,historia!$A$5:$CM$24,+HLOOKUP(AX$2,historia!$A$3:$EC$4,2,FALSE),FALSE)</f>
        <v>4</v>
      </c>
      <c r="AY10" s="58">
        <f>VLOOKUP($A10,historia!$A$5:$CM$24,+HLOOKUP(AY$2,historia!$A$3:$EC$4,2,FALSE),FALSE)</f>
        <v>5</v>
      </c>
      <c r="AZ10" s="58">
        <f>VLOOKUP($A10,historia!$A$5:$CM$24,+HLOOKUP(AZ$2,historia!$A$3:$EC$4,2,FALSE),FALSE)</f>
        <v>4</v>
      </c>
      <c r="BA10" s="58">
        <f>VLOOKUP($A10,historia!$A$5:$CM$24,+HLOOKUP(BA$2,historia!$A$3:$EC$4,2,FALSE),FALSE)</f>
        <v>4</v>
      </c>
      <c r="BB10" s="30"/>
      <c r="BC10" s="141">
        <v>4</v>
      </c>
      <c r="BD10" t="str">
        <f t="shared" si="19"/>
        <v>Cítricos Dulces</v>
      </c>
      <c r="BE10">
        <f>+datos!AU1</f>
        <v>47</v>
      </c>
      <c r="BF10" s="2" t="str">
        <f t="shared" si="4"/>
        <v>$/caja 18kg</v>
      </c>
      <c r="BG10" s="2">
        <f t="shared" si="4"/>
        <v>9314.5593073593063</v>
      </c>
      <c r="BH10" s="2">
        <f t="shared" si="4"/>
        <v>8617.8333333333339</v>
      </c>
      <c r="BI10" s="2">
        <f t="shared" si="4"/>
        <v>3961.049206349207</v>
      </c>
      <c r="BK10">
        <f>+datos!CX1</f>
        <v>102</v>
      </c>
      <c r="BL10" s="2">
        <f t="shared" si="20"/>
        <v>7785.4247858662857</v>
      </c>
      <c r="BM10" s="2">
        <f t="shared" si="20"/>
        <v>7429.3671220861843</v>
      </c>
      <c r="BN10" s="2">
        <f t="shared" si="20"/>
        <v>2223.3045178251232</v>
      </c>
      <c r="BP10" s="1">
        <f>+datos!ER1</f>
        <v>148</v>
      </c>
      <c r="BQ10" s="1">
        <f t="shared" si="21"/>
        <v>80248</v>
      </c>
      <c r="BR10" s="1">
        <f t="shared" si="21"/>
        <v>79916</v>
      </c>
      <c r="BT10" s="1">
        <f>+datos!GH1</f>
        <v>190</v>
      </c>
      <c r="BU10" s="1">
        <f t="shared" si="22"/>
        <v>1734000</v>
      </c>
      <c r="BV10" s="1">
        <f t="shared" si="22"/>
        <v>1565000</v>
      </c>
      <c r="BX10" s="1">
        <f>+datos!LT1</f>
        <v>332</v>
      </c>
      <c r="BY10" s="1">
        <f t="shared" si="39"/>
        <v>66.955841979999988</v>
      </c>
      <c r="BZ10" s="1">
        <f t="shared" si="40"/>
        <v>45.172171259999999</v>
      </c>
      <c r="CA10" s="1"/>
      <c r="CB10" s="1">
        <f>+datos!LX1</f>
        <v>336</v>
      </c>
      <c r="CC10" s="2">
        <f t="shared" si="23"/>
        <v>4.54299842</v>
      </c>
      <c r="CD10" s="2">
        <f t="shared" si="24"/>
        <v>4.4320291599999999</v>
      </c>
      <c r="CF10" s="1">
        <f>+datos!IV1</f>
        <v>256</v>
      </c>
      <c r="CG10" s="1">
        <f t="shared" si="25"/>
        <v>17.39</v>
      </c>
      <c r="CH10" s="1">
        <f t="shared" si="26"/>
        <v>19.739999999999998</v>
      </c>
      <c r="CJ10" s="1">
        <f t="shared" si="27"/>
        <v>14.041262509999999</v>
      </c>
      <c r="CK10" s="1">
        <f t="shared" si="27"/>
        <v>6.1015489199999999</v>
      </c>
      <c r="CL10" s="1">
        <f t="shared" si="27"/>
        <v>2.3063176799999998</v>
      </c>
      <c r="CM10" s="1">
        <f t="shared" si="27"/>
        <v>3.2785219999999997</v>
      </c>
      <c r="CN10" s="1">
        <f t="shared" si="27"/>
        <v>2.8661316999999999</v>
      </c>
      <c r="CO10" s="1">
        <f t="shared" si="27"/>
        <v>3.3581509099999995</v>
      </c>
      <c r="CP10" s="1">
        <f t="shared" si="27"/>
        <v>4.3519123000000004</v>
      </c>
      <c r="CQ10" s="1">
        <f t="shared" si="27"/>
        <v>3.6482140500000004</v>
      </c>
      <c r="CR10" s="1">
        <f t="shared" si="27"/>
        <v>7.8852843799999999</v>
      </c>
      <c r="CS10" s="1">
        <f t="shared" si="27"/>
        <v>4.4927710999999997</v>
      </c>
      <c r="CT10" s="1">
        <f t="shared" si="27"/>
        <v>3.9018705800000002</v>
      </c>
      <c r="CU10" s="1">
        <f t="shared" si="27"/>
        <v>10.723855849999996</v>
      </c>
      <c r="CV10" s="1">
        <f t="shared" si="27"/>
        <v>7.5775361799999992</v>
      </c>
      <c r="CW10" s="1">
        <f t="shared" si="27"/>
        <v>1.25129154</v>
      </c>
      <c r="CX10" s="1">
        <f t="shared" si="27"/>
        <v>0.77785399999999993</v>
      </c>
      <c r="CY10" s="1">
        <f t="shared" si="27"/>
        <v>1.96707276</v>
      </c>
      <c r="CZ10" s="1">
        <f t="shared" si="28"/>
        <v>1.7333935799999998</v>
      </c>
      <c r="DA10" s="1">
        <f t="shared" si="28"/>
        <v>4.5063326699999999</v>
      </c>
      <c r="DB10" s="1">
        <f t="shared" si="28"/>
        <v>2.6066778199999998</v>
      </c>
      <c r="DC10" s="1">
        <f t="shared" si="28"/>
        <v>1.98627314</v>
      </c>
      <c r="DD10" s="1">
        <f t="shared" si="28"/>
        <v>2.7714215800000002</v>
      </c>
      <c r="DE10" s="1">
        <f t="shared" si="28"/>
        <v>4.7911063299999999</v>
      </c>
      <c r="DF10" s="1">
        <f t="shared" si="28"/>
        <v>4.2890642899999998</v>
      </c>
      <c r="DG10" s="1">
        <f t="shared" si="28"/>
        <v>10.91414737</v>
      </c>
      <c r="DI10" s="1">
        <f t="shared" si="29"/>
        <v>0.23680799999999999</v>
      </c>
      <c r="DJ10" s="1">
        <f t="shared" si="29"/>
        <v>0</v>
      </c>
      <c r="DK10" s="1">
        <f t="shared" si="29"/>
        <v>0.3075099</v>
      </c>
      <c r="DL10" s="1">
        <f t="shared" si="29"/>
        <v>0.82950560000000007</v>
      </c>
      <c r="DM10" s="1">
        <f t="shared" si="29"/>
        <v>1.06715808</v>
      </c>
      <c r="DN10" s="1">
        <f t="shared" si="29"/>
        <v>0.57276656999999997</v>
      </c>
      <c r="DO10" s="1">
        <f t="shared" si="29"/>
        <v>0.50591796999999994</v>
      </c>
      <c r="DP10" s="1">
        <f t="shared" si="29"/>
        <v>0.37369366000000004</v>
      </c>
      <c r="DQ10" s="1">
        <f t="shared" si="29"/>
        <v>1.8223369999999999E-2</v>
      </c>
      <c r="DR10" s="1">
        <f t="shared" si="29"/>
        <v>0.26981320000000003</v>
      </c>
      <c r="DS10" s="1">
        <f t="shared" si="29"/>
        <v>0.36129600000000001</v>
      </c>
      <c r="DT10" s="1">
        <f t="shared" si="29"/>
        <v>3.0606999999999997E-4</v>
      </c>
      <c r="DU10" s="1">
        <f t="shared" si="29"/>
        <v>0.33402694999999999</v>
      </c>
      <c r="DV10" s="1">
        <f t="shared" si="29"/>
        <v>0</v>
      </c>
      <c r="DW10" s="1">
        <f t="shared" si="29"/>
        <v>0.31172668999999997</v>
      </c>
      <c r="DX10" s="1">
        <f t="shared" si="29"/>
        <v>1.32104435</v>
      </c>
      <c r="DY10" s="1">
        <f t="shared" si="30"/>
        <v>1.2081202200000001</v>
      </c>
      <c r="DZ10" s="1">
        <f t="shared" si="30"/>
        <v>0.6520337100000001</v>
      </c>
      <c r="EA10" s="1">
        <f t="shared" si="30"/>
        <v>0.45880662999999999</v>
      </c>
      <c r="EB10" s="1">
        <f t="shared" si="30"/>
        <v>0</v>
      </c>
      <c r="EC10" s="1">
        <f t="shared" si="30"/>
        <v>4.77876E-2</v>
      </c>
      <c r="ED10" s="1">
        <f t="shared" si="30"/>
        <v>1.4227200000000001E-2</v>
      </c>
      <c r="EE10" s="1">
        <f t="shared" si="30"/>
        <v>2.7328829999999998E-2</v>
      </c>
      <c r="EF10" s="1">
        <f t="shared" si="30"/>
        <v>5.6926980000000002E-2</v>
      </c>
      <c r="EH10" s="14">
        <f t="shared" si="31"/>
        <v>17.39</v>
      </c>
      <c r="EI10" s="14">
        <f t="shared" si="31"/>
        <v>17.39</v>
      </c>
      <c r="EJ10" s="1">
        <f t="shared" si="31"/>
        <v>17.39</v>
      </c>
      <c r="EK10" s="1">
        <f t="shared" si="31"/>
        <v>17.39</v>
      </c>
      <c r="EL10" s="1">
        <f t="shared" si="31"/>
        <v>17.39</v>
      </c>
      <c r="EM10" s="1">
        <f t="shared" si="31"/>
        <v>17.39</v>
      </c>
      <c r="EN10" s="1">
        <f t="shared" si="31"/>
        <v>17.39</v>
      </c>
      <c r="EO10" s="1">
        <f t="shared" si="31"/>
        <v>19.739999999999998</v>
      </c>
      <c r="EP10" s="1">
        <f t="shared" si="31"/>
        <v>19.739999999999998</v>
      </c>
      <c r="EQ10" s="1">
        <f t="shared" si="31"/>
        <v>19.739999999999998</v>
      </c>
      <c r="ER10" s="1">
        <f t="shared" si="31"/>
        <v>19.739999999999998</v>
      </c>
      <c r="ES10" s="1">
        <f t="shared" si="31"/>
        <v>19.739999999999998</v>
      </c>
      <c r="ET10" s="1">
        <f t="shared" si="31"/>
        <v>19.739999999999998</v>
      </c>
      <c r="EU10" s="1">
        <f t="shared" si="31"/>
        <v>19.739999999999998</v>
      </c>
      <c r="EV10" s="1">
        <f t="shared" si="31"/>
        <v>19.739999999999998</v>
      </c>
      <c r="EW10" s="1">
        <f t="shared" si="31"/>
        <v>19.739999999999998</v>
      </c>
      <c r="EX10" s="1">
        <f t="shared" si="32"/>
        <v>19.739999999999998</v>
      </c>
      <c r="EY10" s="1">
        <f t="shared" si="32"/>
        <v>19.739999999999998</v>
      </c>
      <c r="EZ10" s="1">
        <f t="shared" si="32"/>
        <v>19.739999999999998</v>
      </c>
      <c r="FA10" s="1">
        <f t="shared" si="32"/>
        <v>18.77</v>
      </c>
      <c r="FB10" s="1">
        <f t="shared" si="32"/>
        <v>18.77</v>
      </c>
      <c r="FC10" s="1">
        <f t="shared" si="32"/>
        <v>18.77</v>
      </c>
      <c r="FD10" s="1">
        <f t="shared" si="32"/>
        <v>18.77</v>
      </c>
      <c r="FE10" s="1">
        <f t="shared" si="32"/>
        <v>18.77</v>
      </c>
      <c r="FG10" s="162">
        <f t="shared" si="33"/>
        <v>-1.150197294154597</v>
      </c>
    </row>
    <row r="11" spans="1:163" ht="18.75" customHeight="1">
      <c r="A11" s="244" t="s">
        <v>116</v>
      </c>
      <c r="B11" s="247"/>
      <c r="C11" s="228">
        <f t="shared" si="5"/>
        <v>-0.33</v>
      </c>
      <c r="D11" s="229">
        <v>1</v>
      </c>
      <c r="E11" s="253">
        <f t="shared" si="6"/>
        <v>5.824975301277302E-2</v>
      </c>
      <c r="F11" s="254">
        <f t="shared" si="7"/>
        <v>1.7938041187592235E-2</v>
      </c>
      <c r="G11" s="253">
        <f t="shared" si="8"/>
        <v>5.1063232026294036E-2</v>
      </c>
      <c r="H11" s="254">
        <f t="shared" si="9"/>
        <v>7.1865209864789836E-3</v>
      </c>
      <c r="I11" s="253">
        <f t="shared" si="10"/>
        <v>2.8705367375238939</v>
      </c>
      <c r="J11" s="254">
        <f t="shared" si="11"/>
        <v>0.23611184340365821</v>
      </c>
      <c r="K11" s="253">
        <f t="shared" si="34"/>
        <v>2.9237889335615481</v>
      </c>
      <c r="L11" s="254">
        <f t="shared" si="12"/>
        <v>-5.3252196037654187E-2</v>
      </c>
      <c r="M11" s="255"/>
      <c r="N11" s="256"/>
      <c r="O11" s="253" t="str">
        <f t="shared" si="35"/>
        <v/>
      </c>
      <c r="P11" s="257" t="str">
        <f t="shared" si="36"/>
        <v/>
      </c>
      <c r="Q11" s="253">
        <f t="shared" si="13"/>
        <v>0</v>
      </c>
      <c r="R11" s="257">
        <f t="shared" si="37"/>
        <v>0</v>
      </c>
      <c r="S11" s="255"/>
      <c r="T11" s="24">
        <v>-2</v>
      </c>
      <c r="U11" s="253">
        <f t="shared" si="14"/>
        <v>-9.9649066242601947E-2</v>
      </c>
      <c r="V11" s="258">
        <f t="shared" si="15"/>
        <v>-9.9649066242601947E-2</v>
      </c>
      <c r="W11" s="253">
        <f t="shared" si="38"/>
        <v>-0.36636669151157575</v>
      </c>
      <c r="X11" s="258">
        <f t="shared" si="16"/>
        <v>-0.36636669151157575</v>
      </c>
      <c r="Y11" s="253" t="str">
        <f t="shared" si="17"/>
        <v/>
      </c>
      <c r="Z11" s="258" t="str">
        <f t="shared" si="18"/>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3</v>
      </c>
      <c r="AV11" s="58">
        <f>VLOOKUP($A11,historia!$A$5:$CM$24,+HLOOKUP(AV$2,historia!$A$3:$EC$4,2,FALSE),FALSE)</f>
        <v>3</v>
      </c>
      <c r="AW11" s="58">
        <f>VLOOKUP($A11,historia!$A$5:$CM$24,+HLOOKUP(AW$2,historia!$A$3:$EC$4,2,FALSE),FALSE)</f>
        <v>4</v>
      </c>
      <c r="AX11" s="58">
        <f>VLOOKUP($A11,historia!$A$5:$CM$24,+HLOOKUP(AX$2,historia!$A$3:$EC$4,2,FALSE),FALSE)</f>
        <v>4</v>
      </c>
      <c r="AY11" s="58">
        <f>VLOOKUP($A11,historia!$A$5:$CM$24,+HLOOKUP(AY$2,historia!$A$3:$EC$4,2,FALSE),FALSE)</f>
        <v>4</v>
      </c>
      <c r="AZ11" s="58">
        <f>VLOOKUP($A11,historia!$A$5:$CM$24,+HLOOKUP(AZ$2,historia!$A$3:$EC$4,2,FALSE),FALSE)</f>
        <v>4</v>
      </c>
      <c r="BA11" s="58">
        <f>VLOOKUP($A11,historia!$A$5:$CM$24,+HLOOKUP(BA$2,historia!$A$3:$EC$4,2,FALSE),FALSE)</f>
        <v>4</v>
      </c>
      <c r="BB11" s="30"/>
      <c r="BC11" s="141">
        <v>4</v>
      </c>
      <c r="BD11" t="str">
        <f t="shared" si="19"/>
        <v>Forestal</v>
      </c>
      <c r="BE11">
        <f>+datos!BG1</f>
        <v>59</v>
      </c>
      <c r="BF11" s="2" t="str">
        <f t="shared" si="4"/>
        <v>$/t</v>
      </c>
      <c r="BG11" s="2">
        <f t="shared" si="4"/>
        <v>27547</v>
      </c>
      <c r="BH11" s="2">
        <f t="shared" si="4"/>
        <v>26030.717154977221</v>
      </c>
      <c r="BI11" s="2">
        <f t="shared" si="4"/>
        <v>7117.1007713061254</v>
      </c>
      <c r="BK11">
        <f>+datos!CZ1</f>
        <v>104</v>
      </c>
      <c r="BL11" s="2">
        <f t="shared" si="20"/>
        <v>9990.0295465228246</v>
      </c>
      <c r="BM11" s="2">
        <f t="shared" si="20"/>
        <v>9504.6893870157837</v>
      </c>
      <c r="BN11" s="2">
        <f t="shared" si="20"/>
        <v>2546.0160359479546</v>
      </c>
      <c r="BP11" s="1">
        <f>+datos!ES1</f>
        <v>149</v>
      </c>
      <c r="BQ11" s="1">
        <f t="shared" si="21"/>
        <v>0</v>
      </c>
      <c r="BR11" s="1">
        <f t="shared" si="21"/>
        <v>0</v>
      </c>
      <c r="BT11" s="1">
        <f>+datos!GI1</f>
        <v>191</v>
      </c>
      <c r="BU11" s="1">
        <f t="shared" si="22"/>
        <v>1302556</v>
      </c>
      <c r="BV11" s="1">
        <f t="shared" si="22"/>
        <v>1302556</v>
      </c>
      <c r="BX11" s="1">
        <f>+datos!KB1</f>
        <v>288</v>
      </c>
      <c r="BY11" s="1">
        <f t="shared" si="39"/>
        <v>284.63950449000004</v>
      </c>
      <c r="BZ11" s="1">
        <f t="shared" si="40"/>
        <v>316.14284365999993</v>
      </c>
      <c r="CB11" s="1">
        <f>+datos!LG1</f>
        <v>319</v>
      </c>
      <c r="CC11" s="2">
        <f t="shared" si="23"/>
        <v>182.98472687</v>
      </c>
      <c r="CD11" s="2">
        <f t="shared" si="24"/>
        <v>288.78647068999993</v>
      </c>
      <c r="CF11" s="1">
        <f>+datos!IW1</f>
        <v>257</v>
      </c>
      <c r="CG11" s="1">
        <f t="shared" si="25"/>
        <v>0</v>
      </c>
      <c r="CH11" s="1">
        <f t="shared" si="26"/>
        <v>0</v>
      </c>
      <c r="CJ11" s="1">
        <f t="shared" si="27"/>
        <v>18.147427050000005</v>
      </c>
      <c r="CK11" s="1">
        <f t="shared" si="27"/>
        <v>16.38459563</v>
      </c>
      <c r="CL11" s="1">
        <f t="shared" si="27"/>
        <v>19.29025034</v>
      </c>
      <c r="CM11" s="1">
        <f t="shared" si="27"/>
        <v>32.635385889999995</v>
      </c>
      <c r="CN11" s="1">
        <f t="shared" si="27"/>
        <v>26.653198490000001</v>
      </c>
      <c r="CO11" s="1">
        <f t="shared" si="27"/>
        <v>23.932255000000001</v>
      </c>
      <c r="CP11" s="1">
        <f t="shared" si="27"/>
        <v>23.104867779999999</v>
      </c>
      <c r="CQ11" s="1">
        <f t="shared" si="27"/>
        <v>24.797754910000005</v>
      </c>
      <c r="CR11" s="1">
        <f t="shared" si="27"/>
        <v>26.00374025</v>
      </c>
      <c r="CS11" s="1">
        <f t="shared" si="27"/>
        <v>24.373047020000001</v>
      </c>
      <c r="CT11" s="1">
        <f t="shared" si="27"/>
        <v>25.649224320000002</v>
      </c>
      <c r="CU11" s="1">
        <f t="shared" si="27"/>
        <v>23.667757810000001</v>
      </c>
      <c r="CV11" s="1">
        <f t="shared" si="27"/>
        <v>25.088845019999997</v>
      </c>
      <c r="CW11" s="1">
        <f t="shared" si="27"/>
        <v>26.5668471</v>
      </c>
      <c r="CX11" s="1">
        <f t="shared" si="27"/>
        <v>23.814064600000002</v>
      </c>
      <c r="CY11" s="1">
        <f t="shared" si="27"/>
        <v>20.56411928</v>
      </c>
      <c r="CZ11" s="1">
        <f t="shared" si="28"/>
        <v>19.140443850000004</v>
      </c>
      <c r="DA11" s="1">
        <f t="shared" si="28"/>
        <v>31.026984670000001</v>
      </c>
      <c r="DB11" s="1">
        <f t="shared" si="28"/>
        <v>29.568283169999997</v>
      </c>
      <c r="DC11" s="1">
        <f t="shared" si="28"/>
        <v>27.46490245</v>
      </c>
      <c r="DD11" s="1">
        <f t="shared" si="28"/>
        <v>28.769997110000002</v>
      </c>
      <c r="DE11" s="1">
        <f t="shared" si="28"/>
        <v>29.99355989</v>
      </c>
      <c r="DF11" s="1">
        <f t="shared" si="28"/>
        <v>28.322168269999992</v>
      </c>
      <c r="DG11" s="1">
        <f t="shared" si="28"/>
        <v>25.822628249999998</v>
      </c>
      <c r="DI11" s="1">
        <f t="shared" si="29"/>
        <v>11.46589975</v>
      </c>
      <c r="DJ11" s="1">
        <f t="shared" si="29"/>
        <v>13.53170609</v>
      </c>
      <c r="DK11" s="1">
        <f t="shared" si="29"/>
        <v>19.941855059999995</v>
      </c>
      <c r="DL11" s="1">
        <f t="shared" si="29"/>
        <v>17.561880160000001</v>
      </c>
      <c r="DM11" s="1">
        <f t="shared" si="29"/>
        <v>14.580088280000002</v>
      </c>
      <c r="DN11" s="1">
        <f t="shared" si="29"/>
        <v>13.107541810000001</v>
      </c>
      <c r="DO11" s="1">
        <f t="shared" si="29"/>
        <v>9.0834929199999994</v>
      </c>
      <c r="DP11" s="1">
        <f t="shared" si="29"/>
        <v>9.5859924200000002</v>
      </c>
      <c r="DQ11" s="1">
        <f t="shared" si="29"/>
        <v>12.114691449999999</v>
      </c>
      <c r="DR11" s="1">
        <f t="shared" si="29"/>
        <v>21.937746180000001</v>
      </c>
      <c r="DS11" s="1">
        <f t="shared" si="29"/>
        <v>16.68359323</v>
      </c>
      <c r="DT11" s="1">
        <f t="shared" si="29"/>
        <v>23.390239519999994</v>
      </c>
      <c r="DU11" s="1">
        <f t="shared" si="29"/>
        <v>24.97777258</v>
      </c>
      <c r="DV11" s="1">
        <f t="shared" si="29"/>
        <v>25.979397770000002</v>
      </c>
      <c r="DW11" s="1">
        <f t="shared" si="29"/>
        <v>26.663923630000003</v>
      </c>
      <c r="DX11" s="1">
        <f t="shared" si="29"/>
        <v>25.77809422</v>
      </c>
      <c r="DY11" s="1">
        <f t="shared" si="30"/>
        <v>30.845388820000004</v>
      </c>
      <c r="DZ11" s="1">
        <f t="shared" si="30"/>
        <v>19.314417040000002</v>
      </c>
      <c r="EA11" s="1">
        <f t="shared" si="30"/>
        <v>23.096508839999995</v>
      </c>
      <c r="EB11" s="1">
        <f t="shared" si="30"/>
        <v>19.891111379999998</v>
      </c>
      <c r="EC11" s="1">
        <f t="shared" si="30"/>
        <v>18.931102379999999</v>
      </c>
      <c r="ED11" s="1">
        <f t="shared" si="30"/>
        <v>26.50290536</v>
      </c>
      <c r="EE11" s="1">
        <f t="shared" si="30"/>
        <v>21.937275429999996</v>
      </c>
      <c r="EF11" s="1">
        <f t="shared" si="30"/>
        <v>24.868573239999996</v>
      </c>
      <c r="EH11" s="14">
        <f t="shared" si="31"/>
        <v>0</v>
      </c>
      <c r="EI11" s="14">
        <f t="shared" si="31"/>
        <v>0</v>
      </c>
      <c r="EJ11" s="1">
        <f t="shared" si="31"/>
        <v>0</v>
      </c>
      <c r="EK11" s="1">
        <f t="shared" si="31"/>
        <v>0</v>
      </c>
      <c r="EL11" s="1">
        <f t="shared" si="31"/>
        <v>0</v>
      </c>
      <c r="EM11" s="1">
        <f t="shared" si="31"/>
        <v>0</v>
      </c>
      <c r="EN11" s="1">
        <f t="shared" si="31"/>
        <v>0</v>
      </c>
      <c r="EO11" s="1">
        <f t="shared" si="31"/>
        <v>0</v>
      </c>
      <c r="EP11" s="1">
        <f t="shared" si="31"/>
        <v>0</v>
      </c>
      <c r="EQ11" s="1">
        <f t="shared" si="31"/>
        <v>0</v>
      </c>
      <c r="ER11" s="1">
        <f t="shared" si="31"/>
        <v>0</v>
      </c>
      <c r="ES11" s="1">
        <f t="shared" si="31"/>
        <v>0</v>
      </c>
      <c r="ET11" s="1">
        <f t="shared" si="31"/>
        <v>0</v>
      </c>
      <c r="EU11" s="1">
        <f t="shared" si="31"/>
        <v>0</v>
      </c>
      <c r="EV11" s="1">
        <f t="shared" si="31"/>
        <v>0</v>
      </c>
      <c r="EW11" s="1">
        <f t="shared" si="31"/>
        <v>0</v>
      </c>
      <c r="EX11" s="1">
        <f t="shared" si="32"/>
        <v>0</v>
      </c>
      <c r="EY11" s="1">
        <f t="shared" si="32"/>
        <v>0</v>
      </c>
      <c r="EZ11" s="1">
        <f t="shared" si="32"/>
        <v>0</v>
      </c>
      <c r="FA11" s="1">
        <f t="shared" si="32"/>
        <v>0</v>
      </c>
      <c r="FB11" s="1">
        <f t="shared" si="32"/>
        <v>0</v>
      </c>
      <c r="FC11" s="1">
        <f t="shared" si="32"/>
        <v>0</v>
      </c>
      <c r="FD11" s="1">
        <f t="shared" si="32"/>
        <v>0</v>
      </c>
      <c r="FE11" s="1">
        <f t="shared" si="32"/>
        <v>0</v>
      </c>
      <c r="FG11" s="162">
        <f t="shared" si="33"/>
        <v>-5.3252196037654187E-2</v>
      </c>
    </row>
    <row r="12" spans="1:163" ht="18.75" customHeight="1">
      <c r="A12" s="243" t="s">
        <v>216</v>
      </c>
      <c r="B12" s="246"/>
      <c r="C12" s="156">
        <f t="shared" si="5"/>
        <v>-0.33</v>
      </c>
      <c r="D12" s="198">
        <v>-1</v>
      </c>
      <c r="E12" s="248">
        <f t="shared" si="6"/>
        <v>1.226871333787849E-2</v>
      </c>
      <c r="F12" s="249">
        <f t="shared" si="7"/>
        <v>-2.8042998487302295E-2</v>
      </c>
      <c r="G12" s="248">
        <f t="shared" si="8"/>
        <v>5.9737702390589842E-3</v>
      </c>
      <c r="H12" s="249">
        <f t="shared" si="9"/>
        <v>6.2949430988195054E-3</v>
      </c>
      <c r="I12" s="248">
        <f t="shared" si="10"/>
        <v>2.0555303416161586</v>
      </c>
      <c r="J12" s="249">
        <f t="shared" si="11"/>
        <v>-0.57889455250407718</v>
      </c>
      <c r="K12" s="248">
        <f t="shared" si="34"/>
        <v>2.1464011514689365</v>
      </c>
      <c r="L12" s="249">
        <f t="shared" si="12"/>
        <v>-9.0870809852777956E-2</v>
      </c>
      <c r="M12" s="250"/>
      <c r="N12" s="24">
        <v>1</v>
      </c>
      <c r="O12" s="248">
        <f t="shared" si="35"/>
        <v>3.6798201502691752E-2</v>
      </c>
      <c r="P12" s="251">
        <f t="shared" si="36"/>
        <v>3.6798201502691752E-2</v>
      </c>
      <c r="Q12" s="248">
        <f t="shared" si="13"/>
        <v>0.48633476498699424</v>
      </c>
      <c r="R12" s="251">
        <f t="shared" si="37"/>
        <v>0.48633476498699424</v>
      </c>
      <c r="S12" s="250"/>
      <c r="T12" s="24">
        <v>-1</v>
      </c>
      <c r="U12" s="248">
        <f t="shared" si="14"/>
        <v>-5.215513804373384E-2</v>
      </c>
      <c r="V12" s="252">
        <f t="shared" si="15"/>
        <v>-5.215513804373384E-2</v>
      </c>
      <c r="W12" s="248">
        <f t="shared" si="38"/>
        <v>-0.14919607542686952</v>
      </c>
      <c r="X12" s="252">
        <f t="shared" si="16"/>
        <v>-0.14919607542686952</v>
      </c>
      <c r="Y12" s="248">
        <f t="shared" si="17"/>
        <v>0.11095983662355335</v>
      </c>
      <c r="Z12" s="252">
        <f t="shared" si="18"/>
        <v>0.11095983662355335</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P12" s="28">
        <f>VLOOKUP($A12,historia!$A$5:$CM$24,+HLOOKUP(AP$2,historia!$A$3:$EC$4,2,FALSE),FALSE)</f>
        <v>5</v>
      </c>
      <c r="AQ12" s="28">
        <f>VLOOKUP($A12,historia!$A$5:$CM$24,+HLOOKUP(AQ$2,historia!$A$3:$EC$4,2,FALSE),FALSE)</f>
        <v>5</v>
      </c>
      <c r="AR12" s="28">
        <f>VLOOKUP($A12,historia!$A$5:$CM$24,+HLOOKUP(AR$2,historia!$A$3:$EC$4,2,FALSE),FALSE)</f>
        <v>5</v>
      </c>
      <c r="AS12" s="28">
        <f>VLOOKUP($A12,historia!$A$5:$CM$24,+HLOOKUP(AS$2,historia!$A$3:$EC$4,2,FALSE),FALSE)</f>
        <v>5</v>
      </c>
      <c r="AT12" s="58">
        <f>VLOOKUP($A12,historia!$A$5:$CM$24,+HLOOKUP(AT$2,historia!$A$3:$EC$4,2,FALSE),FALSE)</f>
        <v>5</v>
      </c>
      <c r="AU12" s="58">
        <f>VLOOKUP($A12,historia!$A$5:$CM$24,+HLOOKUP(AU$2,historia!$A$3:$EC$4,2,FALSE),FALSE)</f>
        <v>5</v>
      </c>
      <c r="AV12" s="58">
        <f>VLOOKUP($A12,historia!$A$5:$CM$24,+HLOOKUP(AV$2,historia!$A$3:$EC$4,2,FALSE),FALSE)</f>
        <v>5</v>
      </c>
      <c r="AW12" s="58">
        <f>VLOOKUP($A12,historia!$A$5:$CM$24,+HLOOKUP(AW$2,historia!$A$3:$EC$4,2,FALSE),FALSE)</f>
        <v>5</v>
      </c>
      <c r="AX12" s="58">
        <f>VLOOKUP($A12,historia!$A$5:$CM$24,+HLOOKUP(AX$2,historia!$A$3:$EC$4,2,FALSE),FALSE)</f>
        <v>5</v>
      </c>
      <c r="AY12" s="58">
        <f>VLOOKUP($A12,historia!$A$5:$CM$24,+HLOOKUP(AY$2,historia!$A$3:$EC$4,2,FALSE),FALSE)</f>
        <v>4</v>
      </c>
      <c r="AZ12" s="58">
        <f>VLOOKUP($A12,historia!$A$5:$CM$24,+HLOOKUP(AZ$2,historia!$A$3:$EC$4,2,FALSE),FALSE)</f>
        <v>4</v>
      </c>
      <c r="BA12" s="58">
        <f>VLOOKUP($A12,historia!$A$5:$CM$24,+HLOOKUP(BA$2,historia!$A$3:$EC$4,2,FALSE),FALSE)</f>
        <v>4</v>
      </c>
      <c r="BB12" s="30"/>
      <c r="BC12" s="141">
        <v>4</v>
      </c>
      <c r="BD12" t="str">
        <f t="shared" si="19"/>
        <v>Granos</v>
      </c>
      <c r="BE12">
        <f>+datos!AE1</f>
        <v>31</v>
      </c>
      <c r="BF12" s="2" t="str">
        <f t="shared" si="4"/>
        <v>$/t</v>
      </c>
      <c r="BG12" s="2">
        <f t="shared" si="4"/>
        <v>215356.66800000001</v>
      </c>
      <c r="BH12" s="2">
        <f t="shared" si="4"/>
        <v>212746.54166666666</v>
      </c>
      <c r="BI12" s="2">
        <f t="shared" si="4"/>
        <v>70480.945669841269</v>
      </c>
      <c r="BK12">
        <f>+datos!CG1</f>
        <v>85</v>
      </c>
      <c r="BL12" s="2">
        <f t="shared" si="20"/>
        <v>8213.5620697503564</v>
      </c>
      <c r="BM12" s="2">
        <f t="shared" si="20"/>
        <v>8164.7875051438868</v>
      </c>
      <c r="BN12" s="2">
        <f t="shared" si="20"/>
        <v>2610.4624535608732</v>
      </c>
      <c r="BP12" s="1">
        <f>+datos!EA1</f>
        <v>131</v>
      </c>
      <c r="BQ12" s="1">
        <f t="shared" si="21"/>
        <v>35050000</v>
      </c>
      <c r="BR12" s="1">
        <f t="shared" si="21"/>
        <v>33806000</v>
      </c>
      <c r="BT12" s="1">
        <f>+datos!FV1</f>
        <v>178</v>
      </c>
      <c r="BU12" s="1">
        <f t="shared" si="22"/>
        <v>122853000</v>
      </c>
      <c r="BV12" s="1">
        <f t="shared" si="22"/>
        <v>82655000</v>
      </c>
      <c r="BX12" s="1">
        <f>+datos!LQ1</f>
        <v>329</v>
      </c>
      <c r="BY12" s="1">
        <f>+SUM(CJ12:CU12)</f>
        <v>42174.006842960007</v>
      </c>
      <c r="BZ12" s="1">
        <f t="shared" si="40"/>
        <v>44494.630435529994</v>
      </c>
      <c r="CB12" s="1">
        <f>+datos!LU1</f>
        <v>333</v>
      </c>
      <c r="CC12" s="2">
        <f t="shared" si="23"/>
        <v>3680.78065965</v>
      </c>
      <c r="CD12" s="2">
        <f t="shared" si="24"/>
        <v>4326.238459109999</v>
      </c>
      <c r="CF12" s="1">
        <f>+datos!II1</f>
        <v>243</v>
      </c>
      <c r="CG12" s="1">
        <f t="shared" si="25"/>
        <v>81600000</v>
      </c>
      <c r="CH12" s="1">
        <f t="shared" si="26"/>
        <v>73450000</v>
      </c>
      <c r="CJ12" s="1">
        <f>+VLOOKUP(CJ$1,ran_dat,$BX12,FALSE)</f>
        <v>4200.6671527199996</v>
      </c>
      <c r="CK12" s="1">
        <f t="shared" si="27"/>
        <v>4256.6159984299993</v>
      </c>
      <c r="CL12" s="1">
        <f t="shared" si="27"/>
        <v>4805.0657855600002</v>
      </c>
      <c r="CM12" s="1">
        <f t="shared" si="27"/>
        <v>3818.0878160900002</v>
      </c>
      <c r="CN12" s="1">
        <f t="shared" si="27"/>
        <v>3876.9439553199995</v>
      </c>
      <c r="CO12" s="1">
        <f t="shared" si="27"/>
        <v>3089.4855235099994</v>
      </c>
      <c r="CP12" s="1">
        <f t="shared" si="27"/>
        <v>3929.1762735700004</v>
      </c>
      <c r="CQ12" s="1">
        <f t="shared" si="27"/>
        <v>2955.6698254600001</v>
      </c>
      <c r="CR12" s="1">
        <f t="shared" si="27"/>
        <v>2441.9361675499999</v>
      </c>
      <c r="CS12" s="1">
        <f t="shared" si="27"/>
        <v>2439.6070879799995</v>
      </c>
      <c r="CT12" s="1">
        <f t="shared" si="27"/>
        <v>2937.94498135</v>
      </c>
      <c r="CU12" s="1">
        <f t="shared" si="27"/>
        <v>3422.8062754199996</v>
      </c>
      <c r="CV12" s="1">
        <f t="shared" si="27"/>
        <v>3305.4373540500001</v>
      </c>
      <c r="CW12" s="1">
        <f t="shared" si="27"/>
        <v>3388.1727426199996</v>
      </c>
      <c r="CX12" s="1">
        <f t="shared" si="27"/>
        <v>3792.8302867999996</v>
      </c>
      <c r="CY12" s="1">
        <f t="shared" si="27"/>
        <v>3116.9694759099998</v>
      </c>
      <c r="CZ12" s="1">
        <f t="shared" si="28"/>
        <v>2868.8536445099994</v>
      </c>
      <c r="DA12" s="1">
        <f t="shared" si="28"/>
        <v>2796.6599858300006</v>
      </c>
      <c r="DB12" s="1">
        <f t="shared" si="28"/>
        <v>2718.2915703099998</v>
      </c>
      <c r="DC12" s="1">
        <f t="shared" si="28"/>
        <v>4151.50946449</v>
      </c>
      <c r="DD12" s="1">
        <f t="shared" si="28"/>
        <v>4450.8165799199996</v>
      </c>
      <c r="DE12" s="1">
        <f t="shared" si="28"/>
        <v>4813.7104364100005</v>
      </c>
      <c r="DF12" s="1">
        <f t="shared" si="28"/>
        <v>4478.853701</v>
      </c>
      <c r="DG12" s="1">
        <f t="shared" si="28"/>
        <v>4612.5251936800005</v>
      </c>
      <c r="DI12" s="1">
        <f t="shared" si="29"/>
        <v>390.93673457</v>
      </c>
      <c r="DJ12" s="1">
        <f t="shared" si="29"/>
        <v>293.37536226000003</v>
      </c>
      <c r="DK12" s="1">
        <f t="shared" si="29"/>
        <v>336.54852982999995</v>
      </c>
      <c r="DL12" s="1">
        <f t="shared" si="29"/>
        <v>300.95428591999996</v>
      </c>
      <c r="DM12" s="1">
        <f t="shared" si="29"/>
        <v>389.85732896999997</v>
      </c>
      <c r="DN12" s="1">
        <f t="shared" si="29"/>
        <v>280.54397103999997</v>
      </c>
      <c r="DO12" s="1">
        <f t="shared" si="29"/>
        <v>63.525792080000002</v>
      </c>
      <c r="DP12" s="1">
        <f t="shared" si="29"/>
        <v>301.92103216000004</v>
      </c>
      <c r="DQ12" s="1">
        <f t="shared" si="29"/>
        <v>260.76831764999997</v>
      </c>
      <c r="DR12" s="1">
        <f t="shared" si="29"/>
        <v>244.67742642000002</v>
      </c>
      <c r="DS12" s="1">
        <f t="shared" si="29"/>
        <v>322.58249758000005</v>
      </c>
      <c r="DT12" s="1">
        <f t="shared" si="29"/>
        <v>495.08938117000014</v>
      </c>
      <c r="DU12" s="1">
        <f t="shared" si="29"/>
        <v>539.06610803000001</v>
      </c>
      <c r="DV12" s="1">
        <f t="shared" si="29"/>
        <v>828.84254484999997</v>
      </c>
      <c r="DW12" s="1">
        <f t="shared" si="29"/>
        <v>679.74768902999983</v>
      </c>
      <c r="DX12" s="1">
        <f t="shared" si="29"/>
        <v>678.42759025000009</v>
      </c>
      <c r="DY12" s="1">
        <f t="shared" si="30"/>
        <v>816.99926951999987</v>
      </c>
      <c r="DZ12" s="1">
        <f t="shared" si="30"/>
        <v>236.29083821</v>
      </c>
      <c r="EA12" s="1">
        <f t="shared" si="30"/>
        <v>13.603287699999997</v>
      </c>
      <c r="EB12" s="1">
        <f t="shared" si="30"/>
        <v>8.4785749999999993E-2</v>
      </c>
      <c r="EC12" s="1">
        <f t="shared" si="30"/>
        <v>140.70586015999999</v>
      </c>
      <c r="ED12" s="1">
        <f t="shared" si="30"/>
        <v>7.5318475299999985</v>
      </c>
      <c r="EE12" s="1">
        <f t="shared" si="30"/>
        <v>157.51314244999998</v>
      </c>
      <c r="EF12" s="1">
        <f t="shared" si="30"/>
        <v>227.42549563</v>
      </c>
      <c r="EH12" s="14">
        <f t="shared" si="31"/>
        <v>81600000</v>
      </c>
      <c r="EI12" s="14">
        <f t="shared" si="31"/>
        <v>81600000</v>
      </c>
      <c r="EJ12" s="1">
        <f t="shared" si="31"/>
        <v>81600000</v>
      </c>
      <c r="EK12" s="1">
        <f t="shared" si="31"/>
        <v>81600000</v>
      </c>
      <c r="EL12" s="1">
        <f t="shared" si="31"/>
        <v>73750000</v>
      </c>
      <c r="EM12" s="1">
        <f t="shared" si="31"/>
        <v>73750000</v>
      </c>
      <c r="EN12" s="1">
        <f t="shared" si="31"/>
        <v>73450000</v>
      </c>
      <c r="EO12" s="1">
        <f t="shared" si="31"/>
        <v>73450000</v>
      </c>
      <c r="EP12" s="1">
        <f t="shared" si="31"/>
        <v>73450000</v>
      </c>
      <c r="EQ12" s="1">
        <f t="shared" si="31"/>
        <v>73450000</v>
      </c>
      <c r="ER12" s="1">
        <f t="shared" si="31"/>
        <v>73450000</v>
      </c>
      <c r="ES12" s="1">
        <f t="shared" si="31"/>
        <v>73450000</v>
      </c>
      <c r="ET12" s="1">
        <f t="shared" si="31"/>
        <v>73450000</v>
      </c>
      <c r="EU12" s="1">
        <f t="shared" si="31"/>
        <v>73450000</v>
      </c>
      <c r="EV12" s="1">
        <f t="shared" si="31"/>
        <v>73450000</v>
      </c>
      <c r="EW12" s="1">
        <f t="shared" si="31"/>
        <v>73450000</v>
      </c>
      <c r="EX12" s="1">
        <f t="shared" si="32"/>
        <v>74890000</v>
      </c>
      <c r="EY12" s="1">
        <f t="shared" si="32"/>
        <v>75510000</v>
      </c>
      <c r="EZ12" s="1">
        <f t="shared" si="32"/>
        <v>75510000</v>
      </c>
      <c r="FA12" s="1">
        <f t="shared" si="32"/>
        <v>75060000</v>
      </c>
      <c r="FB12" s="1">
        <f t="shared" si="32"/>
        <v>75060000</v>
      </c>
      <c r="FC12" s="1">
        <f t="shared" si="32"/>
        <v>75060000</v>
      </c>
      <c r="FD12" s="1">
        <f t="shared" si="32"/>
        <v>75060000</v>
      </c>
      <c r="FE12" s="1">
        <f t="shared" si="32"/>
        <v>75060000</v>
      </c>
      <c r="FG12" s="162">
        <f t="shared" si="33"/>
        <v>-9.0870809852777956E-2</v>
      </c>
    </row>
    <row r="13" spans="1:163" ht="18.75" customHeight="1">
      <c r="A13" s="244" t="s">
        <v>217</v>
      </c>
      <c r="B13" s="247"/>
      <c r="C13" s="228">
        <f t="shared" si="5"/>
        <v>0</v>
      </c>
      <c r="D13" s="229">
        <v>0</v>
      </c>
      <c r="E13" s="253">
        <f t="shared" si="6"/>
        <v>0.40256573573995102</v>
      </c>
      <c r="F13" s="254">
        <f t="shared" si="7"/>
        <v>0.36225402391477024</v>
      </c>
      <c r="G13" s="253">
        <f t="shared" si="8"/>
        <v>0.15546629269609569</v>
      </c>
      <c r="H13" s="254">
        <f t="shared" si="9"/>
        <v>0.24709944304385534</v>
      </c>
      <c r="I13" s="253">
        <f t="shared" si="10"/>
        <v>8.0687170957209648</v>
      </c>
      <c r="J13" s="254">
        <f t="shared" si="11"/>
        <v>5.4342922016007291</v>
      </c>
      <c r="K13" s="253">
        <f t="shared" si="34"/>
        <v>3.7888192923747521</v>
      </c>
      <c r="L13" s="254">
        <f t="shared" si="12"/>
        <v>4.2798978033462127</v>
      </c>
      <c r="M13" s="255"/>
      <c r="N13" s="256">
        <v>0</v>
      </c>
      <c r="O13" s="253">
        <f t="shared" si="35"/>
        <v>-3.3006472151727695E-2</v>
      </c>
      <c r="P13" s="257">
        <f t="shared" si="36"/>
        <v>-3.3006472151727695E-2</v>
      </c>
      <c r="Q13" s="253">
        <f t="shared" si="13"/>
        <v>-1.4386787894224651E-2</v>
      </c>
      <c r="R13" s="257">
        <f t="shared" si="37"/>
        <v>-1.4386787894224651E-2</v>
      </c>
      <c r="S13" s="255"/>
      <c r="T13" s="256">
        <v>0</v>
      </c>
      <c r="U13" s="253">
        <f t="shared" si="14"/>
        <v>0.3330848658674106</v>
      </c>
      <c r="V13" s="258">
        <f t="shared" si="15"/>
        <v>0.3330848658674106</v>
      </c>
      <c r="W13" s="253">
        <f t="shared" si="38"/>
        <v>-0.26927753933097642</v>
      </c>
      <c r="X13" s="258">
        <f t="shared" si="16"/>
        <v>-0.26927753933097642</v>
      </c>
      <c r="Y13" s="253" t="str">
        <f t="shared" si="17"/>
        <v/>
      </c>
      <c r="Z13" s="258" t="str">
        <f t="shared" si="18"/>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2</v>
      </c>
      <c r="AZ13" s="58">
        <f>VLOOKUP($A13,historia!$A$5:$CM$24,+HLOOKUP(AZ$2,historia!$A$3:$EC$4,2,FALSE),FALSE)</f>
        <v>2</v>
      </c>
      <c r="BA13" s="58">
        <f>VLOOKUP($A13,historia!$A$5:$CM$24,+HLOOKUP(BA$2,historia!$A$3:$EC$4,2,FALSE),FALSE)</f>
        <v>3</v>
      </c>
      <c r="BB13" s="30"/>
      <c r="BC13" s="141">
        <v>3</v>
      </c>
      <c r="BD13" t="str">
        <f t="shared" si="19"/>
        <v>Hortalizas</v>
      </c>
      <c r="BE13">
        <f>+datos!BB1</f>
        <v>54</v>
      </c>
      <c r="BF13" s="2" t="str">
        <f t="shared" si="4"/>
        <v>$/kg</v>
      </c>
      <c r="BG13" s="2">
        <f t="shared" si="4"/>
        <v>19145.753787878788</v>
      </c>
      <c r="BH13" s="2">
        <f t="shared" si="4"/>
        <v>13650.521540637859</v>
      </c>
      <c r="BI13" s="2">
        <f t="shared" si="4"/>
        <v>2111.1865753219527</v>
      </c>
      <c r="BK13">
        <f>+datos!CO1</f>
        <v>93</v>
      </c>
      <c r="BL13" s="2">
        <f t="shared" si="20"/>
        <v>10468.740175441377</v>
      </c>
      <c r="BM13" s="2">
        <f t="shared" si="20"/>
        <v>9060.186559846974</v>
      </c>
      <c r="BN13" s="2">
        <f t="shared" si="20"/>
        <v>2186.0796025673335</v>
      </c>
      <c r="BP13" s="1">
        <f>+datos!EX1</f>
        <v>154</v>
      </c>
      <c r="BQ13" s="1">
        <f t="shared" si="21"/>
        <v>64395</v>
      </c>
      <c r="BR13" s="1">
        <f t="shared" si="21"/>
        <v>66593</v>
      </c>
      <c r="BT13" s="1">
        <f>+datos!GN1</f>
        <v>196</v>
      </c>
      <c r="BU13" s="1">
        <f t="shared" si="22"/>
        <v>2639386</v>
      </c>
      <c r="BV13" s="1">
        <f t="shared" si="22"/>
        <v>2677912.56</v>
      </c>
      <c r="BX13" s="1">
        <f>+datos!LR1</f>
        <v>330</v>
      </c>
      <c r="BY13" s="1">
        <f t="shared" si="39"/>
        <v>76.410483299999996</v>
      </c>
      <c r="BZ13" s="1">
        <f t="shared" si="40"/>
        <v>57.318543820000002</v>
      </c>
      <c r="CB13" s="1">
        <f>+datos!LV1</f>
        <v>334</v>
      </c>
      <c r="CC13" s="2">
        <f t="shared" si="23"/>
        <v>17.366372089999999</v>
      </c>
      <c r="CD13" s="2">
        <f t="shared" si="24"/>
        <v>23.766030229999998</v>
      </c>
      <c r="CF13" s="1">
        <f>+datos!IX1</f>
        <v>258</v>
      </c>
      <c r="CG13" s="1">
        <f t="shared" si="25"/>
        <v>0</v>
      </c>
      <c r="CH13" s="1">
        <f t="shared" si="26"/>
        <v>0</v>
      </c>
      <c r="CJ13" s="1">
        <f t="shared" si="27"/>
        <v>2.22092468</v>
      </c>
      <c r="CK13" s="1">
        <f t="shared" si="27"/>
        <v>5.6369490100000004</v>
      </c>
      <c r="CL13" s="1">
        <f t="shared" si="27"/>
        <v>11.964288460000001</v>
      </c>
      <c r="CM13" s="1">
        <f t="shared" si="27"/>
        <v>14.874595200000002</v>
      </c>
      <c r="CN13" s="1">
        <f t="shared" si="27"/>
        <v>12.356255849999998</v>
      </c>
      <c r="CO13" s="1">
        <f t="shared" si="27"/>
        <v>7.66143427</v>
      </c>
      <c r="CP13" s="1">
        <f t="shared" si="27"/>
        <v>3.9700200400000001</v>
      </c>
      <c r="CQ13" s="1">
        <f t="shared" si="27"/>
        <v>4.244482989999999</v>
      </c>
      <c r="CR13" s="1">
        <f t="shared" si="27"/>
        <v>3.7692072699999999</v>
      </c>
      <c r="CS13" s="1">
        <f t="shared" si="27"/>
        <v>4.3561451300000007</v>
      </c>
      <c r="CT13" s="1">
        <f t="shared" si="27"/>
        <v>2.35708815</v>
      </c>
      <c r="CU13" s="1">
        <f t="shared" si="27"/>
        <v>2.9990922500000003</v>
      </c>
      <c r="CV13" s="1">
        <f t="shared" si="27"/>
        <v>4.9654154400000001</v>
      </c>
      <c r="CW13" s="1">
        <f t="shared" si="27"/>
        <v>7.7556872599999993</v>
      </c>
      <c r="CX13" s="1">
        <f t="shared" si="27"/>
        <v>10.641103850000002</v>
      </c>
      <c r="CY13" s="1">
        <f t="shared" si="27"/>
        <v>9.2379974100000002</v>
      </c>
      <c r="CZ13" s="1">
        <f t="shared" si="28"/>
        <v>6.8023944899999993</v>
      </c>
      <c r="DA13" s="1">
        <f t="shared" si="28"/>
        <v>2.5188479500000001</v>
      </c>
      <c r="DB13" s="1">
        <f t="shared" si="28"/>
        <v>1.93600679</v>
      </c>
      <c r="DC13" s="1">
        <f t="shared" si="28"/>
        <v>3.7029913799999998</v>
      </c>
      <c r="DD13" s="1">
        <f t="shared" si="28"/>
        <v>3.1144052499999999</v>
      </c>
      <c r="DE13" s="1">
        <f t="shared" si="28"/>
        <v>2.0701945399999997</v>
      </c>
      <c r="DF13" s="1">
        <f t="shared" si="28"/>
        <v>2.0629542399999998</v>
      </c>
      <c r="DG13" s="1">
        <f t="shared" si="28"/>
        <v>2.51054522</v>
      </c>
      <c r="DI13" s="1">
        <f t="shared" si="29"/>
        <v>5.0525632100000006</v>
      </c>
      <c r="DJ13" s="1">
        <f t="shared" si="29"/>
        <v>1.5134803299999999</v>
      </c>
      <c r="DK13" s="1">
        <f t="shared" si="29"/>
        <v>1.5645213200000003</v>
      </c>
      <c r="DL13" s="1">
        <f t="shared" si="29"/>
        <v>0.17069466</v>
      </c>
      <c r="DM13" s="1">
        <f t="shared" si="29"/>
        <v>5.8121779999999998E-2</v>
      </c>
      <c r="DN13" s="1">
        <f t="shared" si="29"/>
        <v>0.22874177000000001</v>
      </c>
      <c r="DO13" s="1">
        <f t="shared" si="29"/>
        <v>6.8422739999999996E-2</v>
      </c>
      <c r="DP13" s="1">
        <f t="shared" si="29"/>
        <v>1.38860757</v>
      </c>
      <c r="DQ13" s="1">
        <f t="shared" si="29"/>
        <v>1.9631409899999996</v>
      </c>
      <c r="DR13" s="1">
        <f t="shared" si="29"/>
        <v>1.5225679400000001</v>
      </c>
      <c r="DS13" s="1">
        <f t="shared" si="29"/>
        <v>1.3263511099999998</v>
      </c>
      <c r="DT13" s="1">
        <f t="shared" si="29"/>
        <v>2.5091586699999997</v>
      </c>
      <c r="DU13" s="1">
        <f t="shared" si="29"/>
        <v>1.6528733800000002</v>
      </c>
      <c r="DV13" s="1">
        <f t="shared" si="29"/>
        <v>0.42388491999999994</v>
      </c>
      <c r="DW13" s="1">
        <f t="shared" si="29"/>
        <v>1.7301791</v>
      </c>
      <c r="DX13" s="1">
        <f t="shared" si="29"/>
        <v>2.0483479400000002</v>
      </c>
      <c r="DY13" s="1">
        <f t="shared" si="30"/>
        <v>0.56045690999999997</v>
      </c>
      <c r="DZ13" s="1">
        <f t="shared" si="30"/>
        <v>1.1333685500000001</v>
      </c>
      <c r="EA13" s="1">
        <f t="shared" si="30"/>
        <v>1.93118693</v>
      </c>
      <c r="EB13" s="1">
        <f t="shared" si="30"/>
        <v>0.60248590000000002</v>
      </c>
      <c r="EC13" s="1">
        <f t="shared" si="30"/>
        <v>0.87790919000000001</v>
      </c>
      <c r="ED13" s="1">
        <f t="shared" si="30"/>
        <v>1.4386166999999999</v>
      </c>
      <c r="EE13" s="1">
        <f t="shared" si="30"/>
        <v>5.8540475399999998</v>
      </c>
      <c r="EF13" s="1">
        <f t="shared" si="30"/>
        <v>5.5126731700000002</v>
      </c>
      <c r="EH13" s="14">
        <f t="shared" si="31"/>
        <v>0</v>
      </c>
      <c r="EI13" s="14">
        <f t="shared" si="31"/>
        <v>0</v>
      </c>
      <c r="EJ13" s="1">
        <f t="shared" si="31"/>
        <v>0</v>
      </c>
      <c r="EK13" s="1">
        <f t="shared" si="31"/>
        <v>0</v>
      </c>
      <c r="EL13" s="1">
        <f t="shared" si="31"/>
        <v>0</v>
      </c>
      <c r="EM13" s="1">
        <f t="shared" si="31"/>
        <v>0</v>
      </c>
      <c r="EN13" s="1">
        <f t="shared" si="31"/>
        <v>0</v>
      </c>
      <c r="EO13" s="1">
        <f t="shared" si="31"/>
        <v>0</v>
      </c>
      <c r="EP13" s="1">
        <f t="shared" si="31"/>
        <v>0</v>
      </c>
      <c r="EQ13" s="1">
        <f t="shared" si="31"/>
        <v>0</v>
      </c>
      <c r="ER13" s="1">
        <f t="shared" si="31"/>
        <v>0</v>
      </c>
      <c r="ES13" s="1">
        <f t="shared" si="31"/>
        <v>0</v>
      </c>
      <c r="ET13" s="1">
        <f t="shared" si="31"/>
        <v>0</v>
      </c>
      <c r="EU13" s="1">
        <f t="shared" si="31"/>
        <v>0</v>
      </c>
      <c r="EV13" s="1">
        <f t="shared" si="31"/>
        <v>0</v>
      </c>
      <c r="EW13" s="1">
        <f t="shared" si="31"/>
        <v>0</v>
      </c>
      <c r="EX13" s="1">
        <f t="shared" si="32"/>
        <v>0</v>
      </c>
      <c r="EY13" s="1">
        <f t="shared" si="32"/>
        <v>0</v>
      </c>
      <c r="EZ13" s="1">
        <f t="shared" si="32"/>
        <v>0</v>
      </c>
      <c r="FA13" s="1">
        <f t="shared" si="32"/>
        <v>0</v>
      </c>
      <c r="FB13" s="1">
        <f t="shared" si="32"/>
        <v>0</v>
      </c>
      <c r="FC13" s="1">
        <f t="shared" si="32"/>
        <v>0</v>
      </c>
      <c r="FD13" s="1">
        <f t="shared" si="32"/>
        <v>0</v>
      </c>
      <c r="FE13" s="1">
        <f t="shared" si="32"/>
        <v>0</v>
      </c>
      <c r="FG13" s="162">
        <f t="shared" si="33"/>
        <v>4.2798978033462127</v>
      </c>
    </row>
    <row r="14" spans="1:163" ht="18.75" customHeight="1">
      <c r="A14" s="243" t="s">
        <v>65</v>
      </c>
      <c r="B14" s="246"/>
      <c r="C14" s="156">
        <f t="shared" si="5"/>
        <v>-0.33</v>
      </c>
      <c r="D14" s="198">
        <v>1</v>
      </c>
      <c r="E14" s="248">
        <f t="shared" si="6"/>
        <v>2.0625712727452949E-2</v>
      </c>
      <c r="F14" s="249">
        <f t="shared" si="7"/>
        <v>-1.9685999097727835E-2</v>
      </c>
      <c r="G14" s="248">
        <f t="shared" si="8"/>
        <v>5.7446450374116775E-3</v>
      </c>
      <c r="H14" s="249">
        <f t="shared" si="9"/>
        <v>1.4881067690041272E-2</v>
      </c>
      <c r="I14" s="248">
        <f t="shared" si="10"/>
        <v>2.8570357878958217</v>
      </c>
      <c r="J14" s="249">
        <f t="shared" si="11"/>
        <v>0.22261089377558596</v>
      </c>
      <c r="K14" s="248">
        <f t="shared" si="34"/>
        <v>2.3860306925505248</v>
      </c>
      <c r="L14" s="249">
        <f t="shared" si="12"/>
        <v>0.47100509534529689</v>
      </c>
      <c r="M14" s="250"/>
      <c r="N14" s="24">
        <v>-1</v>
      </c>
      <c r="O14" s="248">
        <f t="shared" si="35"/>
        <v>0</v>
      </c>
      <c r="P14" s="251">
        <f t="shared" si="36"/>
        <v>0</v>
      </c>
      <c r="Q14" s="248">
        <f t="shared" si="13"/>
        <v>-8.8207150068553619E-2</v>
      </c>
      <c r="R14" s="251">
        <f t="shared" si="37"/>
        <v>-8.8207150068553619E-2</v>
      </c>
      <c r="S14" s="250"/>
      <c r="T14" s="24">
        <v>-1</v>
      </c>
      <c r="U14" s="248">
        <f t="shared" si="14"/>
        <v>-0.10010347774729</v>
      </c>
      <c r="V14" s="252">
        <f t="shared" si="15"/>
        <v>-0.10010347774729</v>
      </c>
      <c r="W14" s="248">
        <f t="shared" si="38"/>
        <v>-0.25406926061171475</v>
      </c>
      <c r="X14" s="252">
        <f t="shared" si="16"/>
        <v>-0.25406926061171475</v>
      </c>
      <c r="Y14" s="248">
        <f t="shared" si="17"/>
        <v>-0.1484623541887593</v>
      </c>
      <c r="Z14" s="252">
        <f t="shared" si="18"/>
        <v>-0.1484623541887593</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P14" s="28">
        <f>VLOOKUP($A14,historia!$A$5:$CM$24,+HLOOKUP(AP$2,historia!$A$3:$EC$4,2,FALSE),FALSE)</f>
        <v>5</v>
      </c>
      <c r="AQ14" s="28">
        <f>VLOOKUP($A14,historia!$A$5:$CM$24,+HLOOKUP(AQ$2,historia!$A$3:$EC$4,2,FALSE),FALSE)</f>
        <v>5</v>
      </c>
      <c r="AR14" s="28">
        <f>VLOOKUP($A14,historia!$A$5:$CM$24,+HLOOKUP(AR$2,historia!$A$3:$EC$4,2,FALSE),FALSE)</f>
        <v>5</v>
      </c>
      <c r="AS14" s="28">
        <f>VLOOKUP($A14,historia!$A$5:$CM$24,+HLOOKUP(AS$2,historia!$A$3:$EC$4,2,FALSE),FALSE)</f>
        <v>5</v>
      </c>
      <c r="AT14" s="58">
        <f>VLOOKUP($A14,historia!$A$5:$CM$24,+HLOOKUP(AT$2,historia!$A$3:$EC$4,2,FALSE),FALSE)</f>
        <v>5</v>
      </c>
      <c r="AU14" s="58">
        <f>VLOOKUP($A14,historia!$A$5:$CM$24,+HLOOKUP(AU$2,historia!$A$3:$EC$4,2,FALSE),FALSE)</f>
        <v>5</v>
      </c>
      <c r="AV14" s="58">
        <f>VLOOKUP($A14,historia!$A$5:$CM$24,+HLOOKUP(AV$2,historia!$A$3:$EC$4,2,FALSE),FALSE)</f>
        <v>4</v>
      </c>
      <c r="AW14" s="58">
        <f>VLOOKUP($A14,historia!$A$5:$CM$24,+HLOOKUP(AW$2,historia!$A$3:$EC$4,2,FALSE),FALSE)</f>
        <v>4</v>
      </c>
      <c r="AX14" s="58">
        <f>VLOOKUP($A14,historia!$A$5:$CM$24,+HLOOKUP(AX$2,historia!$A$3:$EC$4,2,FALSE),FALSE)</f>
        <v>4</v>
      </c>
      <c r="AY14" s="58">
        <f>VLOOKUP($A14,historia!$A$5:$CM$24,+HLOOKUP(AY$2,historia!$A$3:$EC$4,2,FALSE),FALSE)</f>
        <v>4</v>
      </c>
      <c r="AZ14" s="58">
        <f>VLOOKUP($A14,historia!$A$5:$CM$24,+HLOOKUP(AZ$2,historia!$A$3:$EC$4,2,FALSE),FALSE)</f>
        <v>4</v>
      </c>
      <c r="BA14" s="58">
        <f>VLOOKUP($A14,historia!$A$5:$CM$24,+HLOOKUP(BA$2,historia!$A$3:$EC$4,2,FALSE),FALSE)</f>
        <v>4</v>
      </c>
      <c r="BB14" s="30"/>
      <c r="BC14" s="141">
        <v>4</v>
      </c>
      <c r="BD14" t="str">
        <f t="shared" si="19"/>
        <v>Leche</v>
      </c>
      <c r="BE14">
        <f>+datos!BN1</f>
        <v>66</v>
      </c>
      <c r="BF14" s="2" t="str">
        <f t="shared" si="4"/>
        <v>$/l</v>
      </c>
      <c r="BG14" s="2">
        <f t="shared" si="4"/>
        <v>411.7</v>
      </c>
      <c r="BH14" s="2">
        <f t="shared" si="4"/>
        <v>403.38</v>
      </c>
      <c r="BI14" s="2">
        <f t="shared" si="4"/>
        <v>106.74</v>
      </c>
      <c r="BK14">
        <f>+datos!DC1</f>
        <v>107</v>
      </c>
      <c r="BL14" s="2">
        <f t="shared" si="20"/>
        <v>8304.065150232469</v>
      </c>
      <c r="BM14" s="2">
        <f t="shared" si="20"/>
        <v>8256.6337203053899</v>
      </c>
      <c r="BN14" s="2">
        <f t="shared" si="20"/>
        <v>2452.4482806673673</v>
      </c>
      <c r="BP14" s="1">
        <f>+datos!EN1</f>
        <v>144</v>
      </c>
      <c r="BQ14" s="1">
        <f t="shared" si="21"/>
        <v>3169981</v>
      </c>
      <c r="BR14" s="1">
        <f t="shared" si="21"/>
        <v>3169981</v>
      </c>
      <c r="BT14" s="1">
        <f>+datos!HP1</f>
        <v>224</v>
      </c>
      <c r="BU14" s="1">
        <f t="shared" si="22"/>
        <v>10518.700656900923</v>
      </c>
      <c r="BV14" s="1">
        <f t="shared" si="22"/>
        <v>11536.283332000001</v>
      </c>
      <c r="BX14" s="1">
        <f>+datos!KH1</f>
        <v>294</v>
      </c>
      <c r="BY14" s="1">
        <f t="shared" si="39"/>
        <v>1531.7587127300003</v>
      </c>
      <c r="BZ14" s="1">
        <f t="shared" si="40"/>
        <v>1702.1498304000002</v>
      </c>
      <c r="CB14" s="1">
        <f>+datos!LM1</f>
        <v>325</v>
      </c>
      <c r="CC14" s="2">
        <f t="shared" si="23"/>
        <v>20.711760350000002</v>
      </c>
      <c r="CD14" s="2">
        <f t="shared" si="24"/>
        <v>27.766331720000004</v>
      </c>
      <c r="CF14" s="1">
        <f>+datos!IN1</f>
        <v>248</v>
      </c>
      <c r="CG14" s="1">
        <f t="shared" si="25"/>
        <v>160.6</v>
      </c>
      <c r="CH14" s="1">
        <f t="shared" si="26"/>
        <v>188.6</v>
      </c>
      <c r="CJ14" s="1">
        <f t="shared" si="27"/>
        <v>131.64359017999999</v>
      </c>
      <c r="CK14" s="1">
        <f t="shared" si="27"/>
        <v>102.41564730000002</v>
      </c>
      <c r="CL14" s="1">
        <f t="shared" si="27"/>
        <v>113.57779348999999</v>
      </c>
      <c r="CM14" s="1">
        <f t="shared" si="27"/>
        <v>118.3786056</v>
      </c>
      <c r="CN14" s="1">
        <f t="shared" si="27"/>
        <v>126.46519539000002</v>
      </c>
      <c r="CO14" s="1">
        <f t="shared" si="27"/>
        <v>140.50614890000003</v>
      </c>
      <c r="CP14" s="1">
        <f t="shared" si="27"/>
        <v>139.44218023000002</v>
      </c>
      <c r="CQ14" s="1">
        <f t="shared" si="27"/>
        <v>153.04661877999999</v>
      </c>
      <c r="CR14" s="1">
        <f t="shared" si="27"/>
        <v>136.81239812999999</v>
      </c>
      <c r="CS14" s="1">
        <f t="shared" si="27"/>
        <v>134.16752365000002</v>
      </c>
      <c r="CT14" s="1">
        <f t="shared" si="27"/>
        <v>114.82793965999997</v>
      </c>
      <c r="CU14" s="1">
        <f t="shared" si="27"/>
        <v>120.47507141999999</v>
      </c>
      <c r="CV14" s="1">
        <f t="shared" si="27"/>
        <v>118.84770241</v>
      </c>
      <c r="CW14" s="1">
        <f t="shared" si="27"/>
        <v>100.85116919999999</v>
      </c>
      <c r="CX14" s="1">
        <f t="shared" si="27"/>
        <v>116.29617616</v>
      </c>
      <c r="CY14" s="1">
        <f t="shared" si="27"/>
        <v>115.47027065</v>
      </c>
      <c r="CZ14" s="1">
        <f t="shared" si="28"/>
        <v>138.26089648999999</v>
      </c>
      <c r="DA14" s="1">
        <f t="shared" si="28"/>
        <v>163.45053632000003</v>
      </c>
      <c r="DB14" s="1">
        <f t="shared" si="28"/>
        <v>135.61809928</v>
      </c>
      <c r="DC14" s="1">
        <f t="shared" si="28"/>
        <v>152.11245593000001</v>
      </c>
      <c r="DD14" s="1">
        <f t="shared" si="28"/>
        <v>167.62191332</v>
      </c>
      <c r="DE14" s="1">
        <f t="shared" si="28"/>
        <v>194.12902524000003</v>
      </c>
      <c r="DF14" s="1">
        <f t="shared" si="28"/>
        <v>153.24721415000002</v>
      </c>
      <c r="DG14" s="1">
        <f t="shared" si="28"/>
        <v>146.24437125</v>
      </c>
      <c r="DI14" s="1">
        <f t="shared" si="29"/>
        <v>2.5429137699999997</v>
      </c>
      <c r="DJ14" s="1">
        <f t="shared" si="29"/>
        <v>0.83472519000000012</v>
      </c>
      <c r="DK14" s="1">
        <f t="shared" si="29"/>
        <v>1.6658761100000001</v>
      </c>
      <c r="DL14" s="1">
        <f t="shared" si="29"/>
        <v>1.6724867599999997</v>
      </c>
      <c r="DM14" s="1">
        <f t="shared" si="29"/>
        <v>1.92660527</v>
      </c>
      <c r="DN14" s="1">
        <f t="shared" si="29"/>
        <v>0.38991597</v>
      </c>
      <c r="DO14" s="1">
        <f t="shared" si="29"/>
        <v>3.0425877200000002</v>
      </c>
      <c r="DP14" s="1">
        <f t="shared" si="29"/>
        <v>1.8227840799999999</v>
      </c>
      <c r="DQ14" s="1">
        <f t="shared" si="29"/>
        <v>2.1288867499999999</v>
      </c>
      <c r="DR14" s="1">
        <f t="shared" si="29"/>
        <v>2.0947676</v>
      </c>
      <c r="DS14" s="1">
        <f t="shared" si="29"/>
        <v>1.2699740900000001</v>
      </c>
      <c r="DT14" s="1">
        <f t="shared" si="29"/>
        <v>1.3202370399999999</v>
      </c>
      <c r="DU14" s="1">
        <f t="shared" si="29"/>
        <v>2.29115132</v>
      </c>
      <c r="DV14" s="1">
        <f t="shared" si="29"/>
        <v>1.8108909100000001</v>
      </c>
      <c r="DW14" s="1">
        <f t="shared" si="29"/>
        <v>3.0093188999999998</v>
      </c>
      <c r="DX14" s="1">
        <f t="shared" si="29"/>
        <v>2.2926081099999998</v>
      </c>
      <c r="DY14" s="1">
        <f t="shared" si="30"/>
        <v>3.2446467999999999</v>
      </c>
      <c r="DZ14" s="1">
        <f t="shared" si="30"/>
        <v>2.3068511200000001</v>
      </c>
      <c r="EA14" s="1">
        <f t="shared" si="30"/>
        <v>2.4321035299999991</v>
      </c>
      <c r="EB14" s="1">
        <f t="shared" si="30"/>
        <v>0</v>
      </c>
      <c r="EC14" s="1">
        <f t="shared" si="30"/>
        <v>2.4168714900000001</v>
      </c>
      <c r="ED14" s="1">
        <f t="shared" si="30"/>
        <v>1.42944377</v>
      </c>
      <c r="EE14" s="1">
        <f t="shared" si="30"/>
        <v>2.4256843100000003</v>
      </c>
      <c r="EF14" s="1">
        <f t="shared" si="30"/>
        <v>4.1067614599999995</v>
      </c>
      <c r="EH14" s="14">
        <f t="shared" si="31"/>
        <v>160.6</v>
      </c>
      <c r="EI14" s="14">
        <f t="shared" si="31"/>
        <v>156.30000000000001</v>
      </c>
      <c r="EJ14" s="1">
        <f t="shared" si="31"/>
        <v>155.80000000000001</v>
      </c>
      <c r="EK14" s="1">
        <f t="shared" si="31"/>
        <v>159.5</v>
      </c>
      <c r="EL14" s="1">
        <f t="shared" si="31"/>
        <v>170.8</v>
      </c>
      <c r="EM14" s="1">
        <f t="shared" si="31"/>
        <v>170.8</v>
      </c>
      <c r="EN14" s="1">
        <f t="shared" si="31"/>
        <v>187.7</v>
      </c>
      <c r="EO14" s="1">
        <f t="shared" si="31"/>
        <v>196.8</v>
      </c>
      <c r="EP14" s="1">
        <f t="shared" si="31"/>
        <v>196.8</v>
      </c>
      <c r="EQ14" s="1">
        <f t="shared" si="31"/>
        <v>188.6</v>
      </c>
      <c r="ER14" s="1">
        <f t="shared" si="31"/>
        <v>188.6</v>
      </c>
      <c r="ES14" s="1">
        <f t="shared" si="31"/>
        <v>188.6</v>
      </c>
      <c r="ET14" s="1">
        <f t="shared" si="31"/>
        <v>188.6</v>
      </c>
      <c r="EU14" s="1">
        <f t="shared" si="31"/>
        <v>188.6</v>
      </c>
      <c r="EV14" s="1">
        <f t="shared" si="31"/>
        <v>188.6</v>
      </c>
      <c r="EW14" s="1">
        <f t="shared" si="31"/>
        <v>188.6</v>
      </c>
      <c r="EX14" s="1">
        <f t="shared" si="32"/>
        <v>188.6</v>
      </c>
      <c r="EY14" s="1">
        <f t="shared" si="32"/>
        <v>188.6</v>
      </c>
      <c r="EZ14" s="1">
        <f t="shared" si="32"/>
        <v>188.6</v>
      </c>
      <c r="FA14" s="1">
        <f t="shared" si="32"/>
        <v>188.6</v>
      </c>
      <c r="FB14" s="1">
        <f t="shared" si="32"/>
        <v>188.6</v>
      </c>
      <c r="FC14" s="1">
        <f t="shared" si="32"/>
        <v>185.6</v>
      </c>
      <c r="FD14" s="1">
        <f t="shared" si="32"/>
        <v>185.6</v>
      </c>
      <c r="FE14" s="1">
        <f t="shared" si="32"/>
        <v>189</v>
      </c>
      <c r="FG14" s="162">
        <f t="shared" si="33"/>
        <v>0.47100509534529689</v>
      </c>
    </row>
    <row r="15" spans="1:163" ht="18.75" customHeight="1">
      <c r="A15" s="244" t="s">
        <v>68</v>
      </c>
      <c r="B15" s="247"/>
      <c r="C15" s="228">
        <v>0</v>
      </c>
      <c r="D15" s="229">
        <v>-1</v>
      </c>
      <c r="E15" s="253">
        <f t="shared" si="6"/>
        <v>0.11265186426476759</v>
      </c>
      <c r="F15" s="254">
        <f t="shared" si="7"/>
        <v>7.2340152439586802E-2</v>
      </c>
      <c r="G15" s="253">
        <f t="shared" si="8"/>
        <v>5.7963449423019009E-2</v>
      </c>
      <c r="H15" s="254">
        <f t="shared" si="9"/>
        <v>5.4688414841748578E-2</v>
      </c>
      <c r="I15" s="253">
        <f t="shared" si="10"/>
        <v>0.96190781049935992</v>
      </c>
      <c r="J15" s="254">
        <f t="shared" si="11"/>
        <v>-1.6725170836208758</v>
      </c>
      <c r="K15" s="253">
        <f t="shared" si="34"/>
        <v>2.5457361866841439</v>
      </c>
      <c r="L15" s="254">
        <f t="shared" si="12"/>
        <v>-1.583828376184784</v>
      </c>
      <c r="M15" s="255"/>
      <c r="N15" s="256">
        <v>0</v>
      </c>
      <c r="O15" s="253">
        <f t="shared" si="35"/>
        <v>-8.022582082899965E-3</v>
      </c>
      <c r="P15" s="257">
        <f t="shared" si="36"/>
        <v>-8.022582082899965E-3</v>
      </c>
      <c r="Q15" s="253">
        <f t="shared" si="13"/>
        <v>-3.262739139568871E-3</v>
      </c>
      <c r="R15" s="257">
        <f t="shared" si="37"/>
        <v>-3.262739139568871E-3</v>
      </c>
      <c r="S15" s="255"/>
      <c r="T15" s="256">
        <v>-1</v>
      </c>
      <c r="U15" s="253" t="str">
        <f t="shared" si="14"/>
        <v/>
      </c>
      <c r="V15" s="258" t="str">
        <f t="shared" si="15"/>
        <v/>
      </c>
      <c r="W15" s="253">
        <f t="shared" si="38"/>
        <v>-0.74442315669833714</v>
      </c>
      <c r="X15" s="258">
        <f t="shared" si="16"/>
        <v>-0.74442315669833714</v>
      </c>
      <c r="Y15" s="253">
        <f t="shared" si="17"/>
        <v>0</v>
      </c>
      <c r="Z15" s="258">
        <f t="shared" si="18"/>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P15" s="28">
        <f>VLOOKUP($A15,historia!$A$5:$CM$24,+HLOOKUP(AP$2,historia!$A$3:$EC$4,2,FALSE),FALSE)</f>
        <v>4</v>
      </c>
      <c r="AQ15" s="28">
        <f>VLOOKUP($A15,historia!$A$5:$CM$24,+HLOOKUP(AQ$2,historia!$A$3:$EC$4,2,FALSE),FALSE)</f>
        <v>4</v>
      </c>
      <c r="AR15" s="28">
        <f>VLOOKUP($A15,historia!$A$5:$CM$24,+HLOOKUP(AR$2,historia!$A$3:$EC$4,2,FALSE),FALSE)</f>
        <v>4</v>
      </c>
      <c r="AS15" s="28">
        <f>VLOOKUP($A15,historia!$A$5:$CM$24,+HLOOKUP(AS$2,historia!$A$3:$EC$4,2,FALSE),FALSE)</f>
        <v>4</v>
      </c>
      <c r="AT15" s="58">
        <f>VLOOKUP($A15,historia!$A$5:$CM$24,+HLOOKUP(AT$2,historia!$A$3:$EC$4,2,FALSE),FALSE)</f>
        <v>4</v>
      </c>
      <c r="AU15" s="58">
        <f>VLOOKUP($A15,historia!$A$5:$CM$24,+HLOOKUP(AU$2,historia!$A$3:$EC$4,2,FALSE),FALSE)</f>
        <v>4</v>
      </c>
      <c r="AV15" s="58">
        <f>VLOOKUP($A15,historia!$A$5:$CM$24,+HLOOKUP(AV$2,historia!$A$3:$EC$4,2,FALSE),FALSE)</f>
        <v>3</v>
      </c>
      <c r="AW15" s="58">
        <f>VLOOKUP($A15,historia!$A$5:$CM$24,+HLOOKUP(AW$2,historia!$A$3:$EC$4,2,FALSE),FALSE)</f>
        <v>3</v>
      </c>
      <c r="AX15" s="58">
        <f>VLOOKUP($A15,historia!$A$5:$CM$24,+HLOOKUP(AX$2,historia!$A$3:$EC$4,2,FALSE),FALSE)</f>
        <v>3</v>
      </c>
      <c r="AY15" s="58">
        <f>VLOOKUP($A15,historia!$A$5:$CM$24,+HLOOKUP(AY$2,historia!$A$3:$EC$4,2,FALSE),FALSE)</f>
        <v>4</v>
      </c>
      <c r="AZ15" s="58">
        <f>VLOOKUP($A15,historia!$A$5:$CM$24,+HLOOKUP(AZ$2,historia!$A$3:$EC$4,2,FALSE),FALSE)</f>
        <v>4</v>
      </c>
      <c r="BA15" s="58">
        <f>VLOOKUP($A15,historia!$A$5:$CM$24,+HLOOKUP(BA$2,historia!$A$3:$EC$4,2,FALSE),FALSE)</f>
        <v>5</v>
      </c>
      <c r="BB15" s="30"/>
      <c r="BC15" s="141">
        <v>5</v>
      </c>
      <c r="BD15" t="str">
        <f t="shared" si="19"/>
        <v>Mandioca</v>
      </c>
      <c r="BE15">
        <f>+datos!AW1</f>
        <v>49</v>
      </c>
      <c r="BF15" s="2" t="str">
        <f t="shared" si="4"/>
        <v>$/bolsa40kg</v>
      </c>
      <c r="BG15" s="2">
        <f t="shared" si="4"/>
        <v>9286.363636363636</v>
      </c>
      <c r="BH15" s="2">
        <f t="shared" si="4"/>
        <v>8346.1538461538457</v>
      </c>
      <c r="BI15" s="2">
        <f t="shared" si="4"/>
        <v>4733.333333333333</v>
      </c>
      <c r="BK15">
        <f>+datos!CJ1</f>
        <v>88</v>
      </c>
      <c r="BL15" s="2">
        <f t="shared" si="20"/>
        <v>7479.8288477004835</v>
      </c>
      <c r="BM15" s="2">
        <f t="shared" si="20"/>
        <v>7070.0257667500264</v>
      </c>
      <c r="BN15" s="2">
        <f t="shared" si="20"/>
        <v>2109.5277408935981</v>
      </c>
      <c r="BP15" s="1">
        <f>+datos!EY1</f>
        <v>155</v>
      </c>
      <c r="BQ15" s="1">
        <f t="shared" si="21"/>
        <v>20031</v>
      </c>
      <c r="BR15" s="1">
        <f t="shared" si="21"/>
        <v>20193</v>
      </c>
      <c r="BT15" s="1">
        <f>+datos!GO1</f>
        <v>197</v>
      </c>
      <c r="BU15" s="1">
        <f t="shared" si="22"/>
        <v>201734</v>
      </c>
      <c r="BV15" s="1">
        <f t="shared" si="22"/>
        <v>202394.36</v>
      </c>
      <c r="BX15" s="1">
        <f>+datos!JP1</f>
        <v>276</v>
      </c>
      <c r="BY15" s="1">
        <f t="shared" si="39"/>
        <v>0</v>
      </c>
      <c r="BZ15" s="1">
        <f t="shared" si="40"/>
        <v>0</v>
      </c>
      <c r="CB15" s="1">
        <f>+datos!KU1</f>
        <v>307</v>
      </c>
      <c r="CC15" s="2">
        <f t="shared" si="23"/>
        <v>2.8820210500000001</v>
      </c>
      <c r="CD15" s="2">
        <f t="shared" si="24"/>
        <v>11.27653434</v>
      </c>
      <c r="CF15" s="1">
        <f>+datos!IY1</f>
        <v>259</v>
      </c>
      <c r="CG15" s="1">
        <f t="shared" si="25"/>
        <v>1.88</v>
      </c>
      <c r="CH15" s="1">
        <f t="shared" si="26"/>
        <v>1.88</v>
      </c>
      <c r="CJ15" s="1">
        <f t="shared" si="27"/>
        <v>0</v>
      </c>
      <c r="CK15" s="1">
        <f t="shared" si="27"/>
        <v>0</v>
      </c>
      <c r="CL15" s="1">
        <f t="shared" si="27"/>
        <v>0</v>
      </c>
      <c r="CM15" s="1">
        <f t="shared" si="27"/>
        <v>0</v>
      </c>
      <c r="CN15" s="1">
        <f t="shared" si="27"/>
        <v>0</v>
      </c>
      <c r="CO15" s="1">
        <f t="shared" si="27"/>
        <v>0</v>
      </c>
      <c r="CP15" s="1">
        <f t="shared" si="27"/>
        <v>0</v>
      </c>
      <c r="CQ15" s="1">
        <f t="shared" si="27"/>
        <v>0</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8"/>
        <v>0</v>
      </c>
      <c r="DA15" s="1">
        <f t="shared" si="28"/>
        <v>0</v>
      </c>
      <c r="DB15" s="1">
        <f t="shared" si="28"/>
        <v>0</v>
      </c>
      <c r="DC15" s="1">
        <f t="shared" si="28"/>
        <v>0</v>
      </c>
      <c r="DD15" s="1">
        <f t="shared" si="28"/>
        <v>0</v>
      </c>
      <c r="DE15" s="1">
        <f t="shared" si="28"/>
        <v>0</v>
      </c>
      <c r="DF15" s="1">
        <f t="shared" si="28"/>
        <v>0</v>
      </c>
      <c r="DG15" s="1">
        <f t="shared" si="28"/>
        <v>0</v>
      </c>
      <c r="DI15" s="14">
        <f t="shared" si="29"/>
        <v>0.15569543999999999</v>
      </c>
      <c r="DJ15" s="14">
        <f t="shared" si="29"/>
        <v>0.1712014</v>
      </c>
      <c r="DK15" s="1">
        <f t="shared" si="29"/>
        <v>0.12198517</v>
      </c>
      <c r="DL15" s="1">
        <f t="shared" si="29"/>
        <v>1.6812999999999999E-3</v>
      </c>
      <c r="DM15" s="1">
        <f t="shared" si="29"/>
        <v>2.8195380000000003E-2</v>
      </c>
      <c r="DN15" s="1">
        <f t="shared" si="29"/>
        <v>4.9277770000000005E-2</v>
      </c>
      <c r="DO15" s="1">
        <f t="shared" si="29"/>
        <v>0.21358802999999996</v>
      </c>
      <c r="DP15" s="1">
        <f t="shared" si="29"/>
        <v>0.24099903000000003</v>
      </c>
      <c r="DQ15" s="1">
        <f t="shared" si="29"/>
        <v>0.39667624000000001</v>
      </c>
      <c r="DR15" s="1">
        <f t="shared" si="29"/>
        <v>0.47948613000000001</v>
      </c>
      <c r="DS15" s="1">
        <f t="shared" si="29"/>
        <v>0.13955175</v>
      </c>
      <c r="DT15" s="1">
        <f t="shared" si="29"/>
        <v>0.88368341000000006</v>
      </c>
      <c r="DU15" s="1">
        <f t="shared" si="29"/>
        <v>0.91695114999999994</v>
      </c>
      <c r="DV15" s="1">
        <f t="shared" si="29"/>
        <v>1.1944894100000001</v>
      </c>
      <c r="DW15" s="1">
        <f t="shared" si="29"/>
        <v>1.11559404</v>
      </c>
      <c r="DX15" s="1">
        <f t="shared" si="29"/>
        <v>1.36422954</v>
      </c>
      <c r="DY15" s="1">
        <f t="shared" si="30"/>
        <v>1.7463627799999999</v>
      </c>
      <c r="DZ15" s="1">
        <f t="shared" si="30"/>
        <v>0.68698649000000001</v>
      </c>
      <c r="EA15" s="1">
        <f t="shared" si="30"/>
        <v>0.11168649999999999</v>
      </c>
      <c r="EB15" s="1">
        <f t="shared" si="30"/>
        <v>0</v>
      </c>
      <c r="EC15" s="1">
        <f t="shared" si="30"/>
        <v>1.4896021499999998</v>
      </c>
      <c r="ED15" s="1">
        <f t="shared" si="30"/>
        <v>0</v>
      </c>
      <c r="EE15" s="1">
        <f t="shared" si="30"/>
        <v>1.7451778999999998</v>
      </c>
      <c r="EF15" s="1">
        <f t="shared" si="30"/>
        <v>0.90545438</v>
      </c>
      <c r="EH15" s="14">
        <f t="shared" si="31"/>
        <v>1.88</v>
      </c>
      <c r="EI15" s="14">
        <f t="shared" si="31"/>
        <v>1.88</v>
      </c>
      <c r="EJ15" s="1">
        <f t="shared" si="31"/>
        <v>1.88</v>
      </c>
      <c r="EK15" s="1">
        <f t="shared" si="31"/>
        <v>1.88</v>
      </c>
      <c r="EL15" s="1">
        <f t="shared" si="31"/>
        <v>1.88</v>
      </c>
      <c r="EM15" s="1">
        <f t="shared" si="31"/>
        <v>1.88</v>
      </c>
      <c r="EN15" s="1">
        <f t="shared" si="31"/>
        <v>1.88</v>
      </c>
      <c r="EO15" s="1">
        <f t="shared" si="31"/>
        <v>1.88</v>
      </c>
      <c r="EP15" s="1">
        <f t="shared" si="31"/>
        <v>1.88</v>
      </c>
      <c r="EQ15" s="1">
        <f t="shared" si="31"/>
        <v>1.88</v>
      </c>
      <c r="ER15" s="1">
        <f t="shared" si="31"/>
        <v>1.88</v>
      </c>
      <c r="ES15" s="1">
        <f t="shared" si="31"/>
        <v>1.88</v>
      </c>
      <c r="ET15" s="1">
        <f t="shared" si="31"/>
        <v>1.88</v>
      </c>
      <c r="EU15" s="1">
        <f t="shared" si="31"/>
        <v>1.88</v>
      </c>
      <c r="EV15" s="1">
        <f t="shared" si="31"/>
        <v>1.88</v>
      </c>
      <c r="EW15" s="1">
        <f t="shared" si="31"/>
        <v>1.88</v>
      </c>
      <c r="EX15" s="1">
        <f t="shared" si="32"/>
        <v>1.88</v>
      </c>
      <c r="EY15" s="1">
        <f t="shared" si="32"/>
        <v>1.88</v>
      </c>
      <c r="EZ15" s="1">
        <f t="shared" si="32"/>
        <v>1.88</v>
      </c>
      <c r="FA15" s="1">
        <f t="shared" si="32"/>
        <v>1.88</v>
      </c>
      <c r="FB15" s="1">
        <f t="shared" si="32"/>
        <v>1.88</v>
      </c>
      <c r="FC15" s="1">
        <f t="shared" si="32"/>
        <v>1.88</v>
      </c>
      <c r="FD15" s="1">
        <f t="shared" si="32"/>
        <v>1.88</v>
      </c>
      <c r="FE15" s="1">
        <f t="shared" si="32"/>
        <v>1.88</v>
      </c>
      <c r="FG15" s="162">
        <f t="shared" si="33"/>
        <v>-1.583828376184784</v>
      </c>
    </row>
    <row r="16" spans="1:163" ht="18.75" customHeight="1">
      <c r="A16" s="243" t="s">
        <v>25</v>
      </c>
      <c r="B16" s="246"/>
      <c r="C16" s="156">
        <f t="shared" si="5"/>
        <v>-0.66</v>
      </c>
      <c r="D16" s="198">
        <v>-1</v>
      </c>
      <c r="E16" s="248">
        <f t="shared" si="6"/>
        <v>2.2348672639922684E-2</v>
      </c>
      <c r="F16" s="249">
        <f t="shared" si="7"/>
        <v>-1.7963039185258101E-2</v>
      </c>
      <c r="G16" s="248">
        <f t="shared" si="8"/>
        <v>1.575031723466247E-2</v>
      </c>
      <c r="H16" s="249">
        <f t="shared" si="9"/>
        <v>6.5983554052602145E-3</v>
      </c>
      <c r="I16" s="248">
        <f t="shared" si="10"/>
        <v>2.3054455208325013</v>
      </c>
      <c r="J16" s="249">
        <f t="shared" si="11"/>
        <v>-0.32897937328773441</v>
      </c>
      <c r="K16" s="248">
        <f t="shared" si="34"/>
        <v>2.2363154085206793</v>
      </c>
      <c r="L16" s="249">
        <f t="shared" si="12"/>
        <v>6.9130112311821978E-2</v>
      </c>
      <c r="M16" s="250"/>
      <c r="N16" s="24">
        <v>1</v>
      </c>
      <c r="O16" s="248">
        <f t="shared" si="35"/>
        <v>0.11422036142805547</v>
      </c>
      <c r="P16" s="251">
        <f t="shared" si="36"/>
        <v>0.11422036142805547</v>
      </c>
      <c r="Q16" s="248">
        <f t="shared" si="13"/>
        <v>0.70637774795677699</v>
      </c>
      <c r="R16" s="251">
        <f t="shared" si="37"/>
        <v>0.70637774795677699</v>
      </c>
      <c r="S16" s="250"/>
      <c r="T16" s="24">
        <v>-2</v>
      </c>
      <c r="U16" s="248">
        <f t="shared" si="14"/>
        <v>-0.18087525185916831</v>
      </c>
      <c r="V16" s="252">
        <f t="shared" si="15"/>
        <v>-0.18087525185916831</v>
      </c>
      <c r="W16" s="248"/>
      <c r="X16" s="252"/>
      <c r="Y16" s="248">
        <f t="shared" si="17"/>
        <v>8.4415584415584499E-2</v>
      </c>
      <c r="Z16" s="252">
        <f t="shared" si="18"/>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P16" s="28">
        <f>VLOOKUP($A16,historia!$A$5:$CM$24,+HLOOKUP(AP$2,historia!$A$3:$EC$4,2,FALSE),FALSE)</f>
        <v>3</v>
      </c>
      <c r="AQ16" s="28">
        <f>VLOOKUP($A16,historia!$A$5:$CM$24,+HLOOKUP(AQ$2,historia!$A$3:$EC$4,2,FALSE),FALSE)</f>
        <v>3</v>
      </c>
      <c r="AR16" s="28">
        <f>VLOOKUP($A16,historia!$A$5:$CM$24,+HLOOKUP(AR$2,historia!$A$3:$EC$4,2,FALSE),FALSE)</f>
        <v>2</v>
      </c>
      <c r="AS16" s="28">
        <f>VLOOKUP($A16,historia!$A$5:$CM$24,+HLOOKUP(AS$2,historia!$A$3:$EC$4,2,FALSE),FALSE)</f>
        <v>2</v>
      </c>
      <c r="AT16" s="58">
        <f>VLOOKUP($A16,historia!$A$5:$CM$24,+HLOOKUP(AT$2,historia!$A$3:$EC$4,2,FALSE),FALSE)</f>
        <v>2</v>
      </c>
      <c r="AU16" s="58">
        <f>VLOOKUP($A16,historia!$A$5:$CM$24,+HLOOKUP(AU$2,historia!$A$3:$EC$4,2,FALSE),FALSE)</f>
        <v>2</v>
      </c>
      <c r="AV16" s="58">
        <f>VLOOKUP($A16,historia!$A$5:$CM$24,+HLOOKUP(AV$2,historia!$A$3:$EC$4,2,FALSE),FALSE)</f>
        <v>2</v>
      </c>
      <c r="AW16" s="58">
        <f>VLOOKUP($A16,historia!$A$5:$CM$24,+HLOOKUP(AW$2,historia!$A$3:$EC$4,2,FALSE),FALSE)</f>
        <v>2</v>
      </c>
      <c r="AX16" s="58">
        <f>VLOOKUP($A16,historia!$A$5:$CM$24,+HLOOKUP(AX$2,historia!$A$3:$EC$4,2,FALSE),FALSE)</f>
        <v>2</v>
      </c>
      <c r="AY16" s="58">
        <f>VLOOKUP($A16,historia!$A$5:$CM$24,+HLOOKUP(AY$2,historia!$A$3:$EC$4,2,FALSE),FALSE)</f>
        <v>3</v>
      </c>
      <c r="AZ16" s="58">
        <f>VLOOKUP($A16,historia!$A$5:$CM$24,+HLOOKUP(AZ$2,historia!$A$3:$EC$4,2,FALSE),FALSE)</f>
        <v>3</v>
      </c>
      <c r="BA16" s="58">
        <f>VLOOKUP($A16,historia!$A$5:$CM$24,+HLOOKUP(BA$2,historia!$A$3:$EC$4,2,FALSE),FALSE)</f>
        <v>4</v>
      </c>
      <c r="BB16" s="30"/>
      <c r="BC16" s="141">
        <v>4</v>
      </c>
      <c r="BD16" t="str">
        <f t="shared" si="19"/>
        <v>Maní</v>
      </c>
      <c r="BE16">
        <f>+datos!AF1</f>
        <v>32</v>
      </c>
      <c r="BF16" s="2" t="str">
        <f t="shared" si="4"/>
        <v>$/t</v>
      </c>
      <c r="BG16" s="2">
        <f t="shared" si="4"/>
        <v>827769.5</v>
      </c>
      <c r="BH16" s="2">
        <f t="shared" si="4"/>
        <v>809674.3529411765</v>
      </c>
      <c r="BI16" s="2">
        <f t="shared" si="4"/>
        <v>250426</v>
      </c>
      <c r="BK16">
        <f>+datos!CH1</f>
        <v>86</v>
      </c>
      <c r="BL16" s="2">
        <f t="shared" si="20"/>
        <v>9820.1383287531244</v>
      </c>
      <c r="BM16" s="2">
        <f t="shared" si="20"/>
        <v>9667.8663664984506</v>
      </c>
      <c r="BN16" s="2">
        <f t="shared" si="20"/>
        <v>3034.3576225291072</v>
      </c>
      <c r="BP16" s="1">
        <f>+datos!EB1</f>
        <v>132</v>
      </c>
      <c r="BQ16" s="1">
        <f t="shared" si="21"/>
        <v>416490</v>
      </c>
      <c r="BR16" s="1">
        <f t="shared" si="21"/>
        <v>373795</v>
      </c>
      <c r="BT16" s="1">
        <f>+datos!FW1</f>
        <v>179</v>
      </c>
      <c r="BU16" s="1">
        <f t="shared" si="22"/>
        <v>1604722</v>
      </c>
      <c r="BV16" s="1">
        <f t="shared" si="22"/>
        <v>940426</v>
      </c>
      <c r="BX16" s="1">
        <f>+datos!JK1</f>
        <v>271</v>
      </c>
      <c r="BY16" s="1">
        <f t="shared" si="39"/>
        <v>1106.2885811900001</v>
      </c>
      <c r="BZ16" s="1">
        <f t="shared" si="40"/>
        <v>1350.57399218</v>
      </c>
      <c r="CB16" s="1">
        <f>+datos!KP1</f>
        <v>302</v>
      </c>
      <c r="CC16" s="2">
        <f t="shared" si="23"/>
        <v>2.8566550299999998</v>
      </c>
      <c r="CD16" s="2">
        <f t="shared" si="24"/>
        <v>0.76317317000000007</v>
      </c>
      <c r="CF16" s="1">
        <f>+datos!IJ1</f>
        <v>244</v>
      </c>
      <c r="CG16" s="1">
        <f t="shared" si="25"/>
        <v>2.1563835150032644</v>
      </c>
      <c r="CH16" s="1">
        <f t="shared" si="26"/>
        <v>1.9885213252125911</v>
      </c>
      <c r="CJ16" s="1">
        <f t="shared" si="27"/>
        <v>115.53726275000001</v>
      </c>
      <c r="CK16" s="1">
        <f t="shared" si="27"/>
        <v>98.487414479999984</v>
      </c>
      <c r="CL16" s="1">
        <f t="shared" si="27"/>
        <v>63.473924160000003</v>
      </c>
      <c r="CM16" s="1">
        <f t="shared" si="27"/>
        <v>65.127016839999982</v>
      </c>
      <c r="CN16" s="1">
        <f t="shared" si="27"/>
        <v>70.784594500000011</v>
      </c>
      <c r="CO16" s="1">
        <f t="shared" si="27"/>
        <v>111.62267066999999</v>
      </c>
      <c r="CP16" s="1">
        <f t="shared" si="27"/>
        <v>100.80321882999999</v>
      </c>
      <c r="CQ16" s="1">
        <f t="shared" si="27"/>
        <v>90.064767340000003</v>
      </c>
      <c r="CR16" s="1">
        <f t="shared" si="27"/>
        <v>96.183340330000021</v>
      </c>
      <c r="CS16" s="1">
        <f t="shared" si="27"/>
        <v>89.024842150000026</v>
      </c>
      <c r="CT16" s="1">
        <f t="shared" si="27"/>
        <v>102.74257099999998</v>
      </c>
      <c r="CU16" s="1">
        <f t="shared" si="27"/>
        <v>102.43695814</v>
      </c>
      <c r="CV16" s="1">
        <f t="shared" si="27"/>
        <v>100.03941109999997</v>
      </c>
      <c r="CW16" s="1">
        <f t="shared" si="27"/>
        <v>89.79279253</v>
      </c>
      <c r="CX16" s="1">
        <f t="shared" si="27"/>
        <v>102.39153366000001</v>
      </c>
      <c r="CY16" s="1">
        <f t="shared" si="27"/>
        <v>98.470728969999996</v>
      </c>
      <c r="CZ16" s="1">
        <f t="shared" si="28"/>
        <v>134.53858048999999</v>
      </c>
      <c r="DA16" s="1">
        <f t="shared" si="28"/>
        <v>116.52197384999999</v>
      </c>
      <c r="DB16" s="1">
        <f t="shared" si="28"/>
        <v>130.05927615000002</v>
      </c>
      <c r="DC16" s="1">
        <f t="shared" si="28"/>
        <v>105.24839114999997</v>
      </c>
      <c r="DD16" s="1">
        <f t="shared" si="28"/>
        <v>106.58558735000001</v>
      </c>
      <c r="DE16" s="1">
        <f t="shared" si="28"/>
        <v>136.66063392000001</v>
      </c>
      <c r="DF16" s="1">
        <f t="shared" si="28"/>
        <v>103.23507013999998</v>
      </c>
      <c r="DG16" s="1">
        <f t="shared" si="28"/>
        <v>127.03001287000001</v>
      </c>
      <c r="DI16" s="1">
        <f t="shared" si="29"/>
        <v>8.6628999999999998E-2</v>
      </c>
      <c r="DJ16" s="1">
        <f t="shared" si="29"/>
        <v>8.4906640000000005E-2</v>
      </c>
      <c r="DK16" s="1">
        <f t="shared" si="29"/>
        <v>8.714181E-2</v>
      </c>
      <c r="DL16" s="1">
        <f t="shared" si="29"/>
        <v>0.111375</v>
      </c>
      <c r="DM16" s="1">
        <f t="shared" si="29"/>
        <v>0.12514284000000001</v>
      </c>
      <c r="DN16" s="1">
        <f t="shared" si="29"/>
        <v>0.69674917999999986</v>
      </c>
      <c r="DO16" s="1">
        <f t="shared" si="29"/>
        <v>0.79684906</v>
      </c>
      <c r="DP16" s="1">
        <f t="shared" si="29"/>
        <v>0.24194792999999998</v>
      </c>
      <c r="DQ16" s="1">
        <f t="shared" si="29"/>
        <v>0.11713932000000001</v>
      </c>
      <c r="DR16" s="1">
        <f t="shared" si="29"/>
        <v>0.45286999999999999</v>
      </c>
      <c r="DS16" s="1">
        <f t="shared" si="29"/>
        <v>5.563009E-2</v>
      </c>
      <c r="DT16" s="1">
        <f t="shared" si="29"/>
        <v>2.7416000000000002E-4</v>
      </c>
      <c r="DU16" s="1">
        <f t="shared" si="29"/>
        <v>0.12031510000000001</v>
      </c>
      <c r="DV16" s="1">
        <f t="shared" si="29"/>
        <v>0.13456720999999999</v>
      </c>
      <c r="DW16" s="1">
        <f t="shared" si="29"/>
        <v>6.1200000000000002E-4</v>
      </c>
      <c r="DX16" s="1">
        <f t="shared" si="29"/>
        <v>0</v>
      </c>
      <c r="DY16" s="1">
        <f t="shared" si="30"/>
        <v>5.2170000000000003E-3</v>
      </c>
      <c r="DZ16" s="1">
        <f t="shared" si="30"/>
        <v>0.10975939999999999</v>
      </c>
      <c r="EA16" s="1">
        <f t="shared" si="30"/>
        <v>9.1243839999999993E-2</v>
      </c>
      <c r="EB16" s="1">
        <f t="shared" si="30"/>
        <v>2.016E-3</v>
      </c>
      <c r="EC16" s="1">
        <f t="shared" si="30"/>
        <v>0.21936422</v>
      </c>
      <c r="ED16" s="1">
        <f t="shared" si="30"/>
        <v>0</v>
      </c>
      <c r="EE16" s="1">
        <f t="shared" si="30"/>
        <v>6.0353800000000006E-2</v>
      </c>
      <c r="EF16" s="1">
        <f t="shared" si="30"/>
        <v>1.9724599999999998E-2</v>
      </c>
      <c r="EH16" s="14">
        <f t="shared" si="31"/>
        <v>2.1563835150032644</v>
      </c>
      <c r="EI16" s="14">
        <f t="shared" si="31"/>
        <v>2.1563835150032644</v>
      </c>
      <c r="EJ16" s="1">
        <f t="shared" si="31"/>
        <v>2.1563835150032644</v>
      </c>
      <c r="EK16" s="1">
        <f t="shared" si="31"/>
        <v>2.1563835150032644</v>
      </c>
      <c r="EL16" s="1">
        <f t="shared" si="31"/>
        <v>1.9885213252125911</v>
      </c>
      <c r="EM16" s="1">
        <f t="shared" si="31"/>
        <v>1.9885213252125911</v>
      </c>
      <c r="EN16" s="1">
        <f t="shared" si="31"/>
        <v>1.9885213252125911</v>
      </c>
      <c r="EO16" s="1">
        <f t="shared" si="31"/>
        <v>1.9885213252125911</v>
      </c>
      <c r="EP16" s="1">
        <f t="shared" si="31"/>
        <v>1.9885213252125911</v>
      </c>
      <c r="EQ16" s="1">
        <f t="shared" si="31"/>
        <v>1.9885213252125911</v>
      </c>
      <c r="ER16" s="1">
        <f t="shared" si="31"/>
        <v>1.9885213252125911</v>
      </c>
      <c r="ES16" s="1">
        <f t="shared" si="31"/>
        <v>1.9885213252125911</v>
      </c>
      <c r="ET16" s="1">
        <f t="shared" si="31"/>
        <v>1.9885213252125911</v>
      </c>
      <c r="EU16" s="1">
        <f t="shared" si="31"/>
        <v>1.9885213252125911</v>
      </c>
      <c r="EV16" s="1">
        <f t="shared" si="31"/>
        <v>1.9885213252125911</v>
      </c>
      <c r="EW16" s="1">
        <f t="shared" si="31"/>
        <v>1.9885213252125911</v>
      </c>
      <c r="EX16" s="1">
        <f t="shared" si="32"/>
        <v>1.9885213252125911</v>
      </c>
      <c r="EY16" s="1">
        <f t="shared" si="32"/>
        <v>1.9040737312717446</v>
      </c>
      <c r="EZ16" s="1">
        <f t="shared" si="32"/>
        <v>1.9040737312717446</v>
      </c>
      <c r="FA16" s="1">
        <f t="shared" si="32"/>
        <v>1.9040737312717446</v>
      </c>
      <c r="FB16" s="1">
        <f t="shared" si="32"/>
        <v>1.9040737312717446</v>
      </c>
      <c r="FC16" s="1">
        <f t="shared" si="32"/>
        <v>1.9040737312717446</v>
      </c>
      <c r="FD16" s="1">
        <f t="shared" si="32"/>
        <v>1.9040737312717446</v>
      </c>
      <c r="FE16" s="1">
        <f t="shared" si="32"/>
        <v>1.9040737312717446</v>
      </c>
      <c r="FG16" s="162">
        <f t="shared" si="33"/>
        <v>6.9130112311821978E-2</v>
      </c>
    </row>
    <row r="17" spans="1:163" ht="18.75" customHeight="1">
      <c r="A17" s="244" t="s">
        <v>76</v>
      </c>
      <c r="B17" s="247"/>
      <c r="C17" s="228">
        <f t="shared" si="5"/>
        <v>-0.99</v>
      </c>
      <c r="D17" s="229">
        <v>-1</v>
      </c>
      <c r="E17" s="253">
        <f t="shared" si="6"/>
        <v>7.6659822039698788E-2</v>
      </c>
      <c r="F17" s="254">
        <f t="shared" si="7"/>
        <v>3.6348110214518004E-2</v>
      </c>
      <c r="G17" s="253">
        <f t="shared" si="8"/>
        <v>4.9023232448447196E-2</v>
      </c>
      <c r="H17" s="254">
        <f t="shared" si="9"/>
        <v>2.7636589591251592E-2</v>
      </c>
      <c r="I17" s="253">
        <f t="shared" si="10"/>
        <v>2.6786716557530399</v>
      </c>
      <c r="J17" s="254">
        <f t="shared" si="11"/>
        <v>4.4246761632804166E-2</v>
      </c>
      <c r="K17" s="253">
        <f t="shared" si="34"/>
        <v>2.8183858820734442</v>
      </c>
      <c r="L17" s="254">
        <f t="shared" si="12"/>
        <v>-0.13971422632040431</v>
      </c>
      <c r="M17" s="255"/>
      <c r="N17" s="256">
        <v>-1</v>
      </c>
      <c r="O17" s="253">
        <f>IFERROR(+BQ17/BR17-1,"")</f>
        <v>0</v>
      </c>
      <c r="P17" s="257">
        <f t="shared" si="36"/>
        <v>0</v>
      </c>
      <c r="Q17" s="253">
        <f t="shared" si="13"/>
        <v>-5.5834866135295314E-2</v>
      </c>
      <c r="R17" s="257">
        <f t="shared" si="37"/>
        <v>-5.5834866135295314E-2</v>
      </c>
      <c r="S17" s="255"/>
      <c r="T17" s="256">
        <v>-1</v>
      </c>
      <c r="U17" s="253">
        <f t="shared" si="14"/>
        <v>-7.9410367269247439E-2</v>
      </c>
      <c r="V17" s="258">
        <f t="shared" si="15"/>
        <v>-7.9410367269247439E-2</v>
      </c>
      <c r="W17" s="253"/>
      <c r="X17" s="258"/>
      <c r="Y17" s="253">
        <f t="shared" si="17"/>
        <v>0</v>
      </c>
      <c r="Z17" s="258">
        <f t="shared" si="18"/>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f>VLOOKUP($A17,historia!$A$5:$CM$24,+HLOOKUP(AZ$2,historia!$A$3:$EC$4,2,FALSE),FALSE)</f>
        <v>5</v>
      </c>
      <c r="BA17" s="58">
        <f>VLOOKUP($A17,historia!$A$5:$CM$24,+HLOOKUP(BA$2,historia!$A$3:$EC$4,2,FALSE),FALSE)</f>
        <v>5</v>
      </c>
      <c r="BB17" s="30"/>
      <c r="BC17" s="141">
        <v>5</v>
      </c>
      <c r="BD17" t="str">
        <f t="shared" si="19"/>
        <v>Miel</v>
      </c>
      <c r="BE17">
        <f>+datos!BV1</f>
        <v>74</v>
      </c>
      <c r="BF17" s="2" t="str">
        <f t="shared" si="4"/>
        <v>$/kg</v>
      </c>
      <c r="BG17" s="2">
        <f t="shared" si="4"/>
        <v>1573</v>
      </c>
      <c r="BH17" s="2">
        <f t="shared" si="4"/>
        <v>1461</v>
      </c>
      <c r="BI17" s="2">
        <f t="shared" si="4"/>
        <v>427.6</v>
      </c>
      <c r="BK17">
        <f>+datos!DH1</f>
        <v>112</v>
      </c>
      <c r="BL17" s="2">
        <f t="shared" si="20"/>
        <v>8028.5444616366021</v>
      </c>
      <c r="BM17" s="2">
        <f t="shared" si="20"/>
        <v>7653.3523884859751</v>
      </c>
      <c r="BN17" s="2">
        <f t="shared" si="20"/>
        <v>2102.6016514802782</v>
      </c>
      <c r="BP17" s="1">
        <f>+datos!EQ1</f>
        <v>147</v>
      </c>
      <c r="BQ17" s="1">
        <f t="shared" si="21"/>
        <v>3500000</v>
      </c>
      <c r="BR17" s="1">
        <f t="shared" si="21"/>
        <v>3500000</v>
      </c>
      <c r="BT17" s="1">
        <f>+datos!GP1</f>
        <v>198</v>
      </c>
      <c r="BU17" s="1">
        <f t="shared" si="22"/>
        <v>69297</v>
      </c>
      <c r="BV17" s="1">
        <f t="shared" si="22"/>
        <v>73395</v>
      </c>
      <c r="BX17" s="1">
        <f>+datos!KE1</f>
        <v>291</v>
      </c>
      <c r="BY17" s="1">
        <f t="shared" si="39"/>
        <v>203.34639993000002</v>
      </c>
      <c r="BZ17" s="1">
        <f t="shared" si="40"/>
        <v>220.88712788000004</v>
      </c>
      <c r="CB17" s="1">
        <f>+datos!LJ1</f>
        <v>322</v>
      </c>
      <c r="CC17" s="2">
        <f t="shared" si="23"/>
        <v>9.3139300000000008E-2</v>
      </c>
      <c r="CD17" s="2">
        <f>+SUM(DU17:EF17)</f>
        <v>8.0053139999999995E-2</v>
      </c>
      <c r="CF17" s="1">
        <f>+datos!IZ1</f>
        <v>260</v>
      </c>
      <c r="CG17" s="1">
        <f t="shared" si="25"/>
        <v>0.3</v>
      </c>
      <c r="CH17" s="1">
        <f t="shared" si="26"/>
        <v>0.3</v>
      </c>
      <c r="CJ17" s="1">
        <f t="shared" si="27"/>
        <v>18.049853030000005</v>
      </c>
      <c r="CK17" s="1">
        <f t="shared" si="27"/>
        <v>20.702965450000001</v>
      </c>
      <c r="CL17" s="1">
        <f t="shared" si="27"/>
        <v>19.199801710000003</v>
      </c>
      <c r="CM17" s="1">
        <f t="shared" si="27"/>
        <v>16.174522229999997</v>
      </c>
      <c r="CN17" s="1">
        <f t="shared" si="27"/>
        <v>22.082734950000003</v>
      </c>
      <c r="CO17" s="1">
        <f t="shared" si="27"/>
        <v>13.392344960000001</v>
      </c>
      <c r="CP17" s="1">
        <f t="shared" si="27"/>
        <v>10.971998660000001</v>
      </c>
      <c r="CQ17" s="1">
        <f t="shared" si="27"/>
        <v>12.805239539999999</v>
      </c>
      <c r="CR17" s="1">
        <f t="shared" si="27"/>
        <v>13.943876809999997</v>
      </c>
      <c r="CS17" s="1">
        <f t="shared" si="27"/>
        <v>17.891480939999997</v>
      </c>
      <c r="CT17" s="1">
        <f t="shared" si="27"/>
        <v>16.805607889999997</v>
      </c>
      <c r="CU17" s="1">
        <f t="shared" si="27"/>
        <v>21.325973759999997</v>
      </c>
      <c r="CV17" s="1">
        <f t="shared" si="27"/>
        <v>17.230385739999999</v>
      </c>
      <c r="CW17" s="1">
        <f t="shared" si="27"/>
        <v>14.837575590000002</v>
      </c>
      <c r="CX17" s="1">
        <f t="shared" si="27"/>
        <v>17.476901599999998</v>
      </c>
      <c r="CY17" s="1">
        <f t="shared" si="27"/>
        <v>23.512884059999998</v>
      </c>
      <c r="CZ17" s="1">
        <f t="shared" si="28"/>
        <v>18.814354810000005</v>
      </c>
      <c r="DA17" s="1">
        <f t="shared" si="28"/>
        <v>15.47450873</v>
      </c>
      <c r="DB17" s="1">
        <f t="shared" si="28"/>
        <v>18.752158659999996</v>
      </c>
      <c r="DC17" s="1">
        <f t="shared" si="28"/>
        <v>13.663636670000002</v>
      </c>
      <c r="DD17" s="1">
        <f t="shared" si="28"/>
        <v>12.97807542</v>
      </c>
      <c r="DE17" s="1">
        <f t="shared" si="28"/>
        <v>21.851292619999999</v>
      </c>
      <c r="DF17" s="1">
        <f t="shared" si="28"/>
        <v>17.949190340000005</v>
      </c>
      <c r="DG17" s="1">
        <f t="shared" si="28"/>
        <v>28.34616364</v>
      </c>
      <c r="DI17" s="1">
        <f t="shared" si="29"/>
        <v>0</v>
      </c>
      <c r="DJ17" s="1">
        <f t="shared" si="29"/>
        <v>0</v>
      </c>
      <c r="DK17" s="1">
        <f t="shared" si="29"/>
        <v>0</v>
      </c>
      <c r="DL17" s="1">
        <f t="shared" si="29"/>
        <v>0</v>
      </c>
      <c r="DM17" s="1">
        <f t="shared" si="29"/>
        <v>5.2539300000000004E-2</v>
      </c>
      <c r="DN17" s="1">
        <f t="shared" si="29"/>
        <v>0</v>
      </c>
      <c r="DO17" s="1">
        <f t="shared" si="29"/>
        <v>0</v>
      </c>
      <c r="DP17" s="1">
        <f t="shared" si="29"/>
        <v>4.0599999999999997E-2</v>
      </c>
      <c r="DQ17" s="1">
        <f t="shared" si="29"/>
        <v>0</v>
      </c>
      <c r="DR17" s="1">
        <f t="shared" si="29"/>
        <v>0</v>
      </c>
      <c r="DS17" s="1">
        <f t="shared" si="29"/>
        <v>0</v>
      </c>
      <c r="DT17" s="1">
        <f t="shared" si="29"/>
        <v>0</v>
      </c>
      <c r="DU17" s="1">
        <f t="shared" si="29"/>
        <v>0</v>
      </c>
      <c r="DV17" s="1">
        <f t="shared" si="29"/>
        <v>0</v>
      </c>
      <c r="DW17" s="1">
        <f t="shared" si="29"/>
        <v>7.038E-3</v>
      </c>
      <c r="DX17" s="1">
        <f t="shared" si="29"/>
        <v>0</v>
      </c>
      <c r="DY17" s="1">
        <f t="shared" si="30"/>
        <v>0</v>
      </c>
      <c r="DZ17" s="1">
        <f t="shared" si="30"/>
        <v>0</v>
      </c>
      <c r="EA17" s="1">
        <f t="shared" si="30"/>
        <v>0</v>
      </c>
      <c r="EB17" s="1">
        <f t="shared" si="30"/>
        <v>0</v>
      </c>
      <c r="EC17" s="1">
        <f t="shared" si="30"/>
        <v>5.9353800000000005E-2</v>
      </c>
      <c r="ED17" s="1">
        <f t="shared" si="30"/>
        <v>0</v>
      </c>
      <c r="EE17" s="1">
        <f t="shared" si="30"/>
        <v>1.3661339999999999E-2</v>
      </c>
      <c r="EF17" s="1">
        <f t="shared" si="30"/>
        <v>0</v>
      </c>
      <c r="EH17" s="14">
        <f t="shared" si="31"/>
        <v>0.3</v>
      </c>
      <c r="EI17" s="14">
        <f t="shared" si="31"/>
        <v>0.3</v>
      </c>
      <c r="EJ17" s="1">
        <f t="shared" si="31"/>
        <v>0.3</v>
      </c>
      <c r="EK17" s="1">
        <f t="shared" si="31"/>
        <v>0.3</v>
      </c>
      <c r="EL17" s="1">
        <f t="shared" si="31"/>
        <v>0.3</v>
      </c>
      <c r="EM17" s="1">
        <f t="shared" si="31"/>
        <v>0.3</v>
      </c>
      <c r="EN17" s="1">
        <f t="shared" si="31"/>
        <v>0.3</v>
      </c>
      <c r="EO17" s="1">
        <f t="shared" si="31"/>
        <v>0.3</v>
      </c>
      <c r="EP17" s="1">
        <f t="shared" si="31"/>
        <v>0.3</v>
      </c>
      <c r="EQ17" s="1">
        <f t="shared" si="31"/>
        <v>0.3</v>
      </c>
      <c r="ER17" s="1">
        <f t="shared" si="31"/>
        <v>0.3</v>
      </c>
      <c r="ES17" s="1">
        <f t="shared" si="31"/>
        <v>0.3</v>
      </c>
      <c r="ET17" s="1">
        <f t="shared" si="31"/>
        <v>0.3</v>
      </c>
      <c r="EU17" s="1">
        <f t="shared" si="31"/>
        <v>0.3</v>
      </c>
      <c r="EV17" s="1">
        <f t="shared" si="31"/>
        <v>0.3</v>
      </c>
      <c r="EW17" s="1">
        <f t="shared" si="31"/>
        <v>0.3</v>
      </c>
      <c r="EX17" s="1">
        <f t="shared" si="32"/>
        <v>0.3</v>
      </c>
      <c r="EY17" s="1">
        <f t="shared" si="32"/>
        <v>0.3</v>
      </c>
      <c r="EZ17" s="1">
        <f t="shared" si="32"/>
        <v>0.3</v>
      </c>
      <c r="FA17" s="1">
        <f t="shared" si="32"/>
        <v>0.3</v>
      </c>
      <c r="FB17" s="1">
        <f t="shared" si="32"/>
        <v>0.3</v>
      </c>
      <c r="FC17" s="1">
        <f t="shared" si="32"/>
        <v>0.3</v>
      </c>
      <c r="FD17" s="1">
        <f t="shared" si="32"/>
        <v>0.3</v>
      </c>
      <c r="FE17" s="1">
        <f t="shared" si="32"/>
        <v>0.3</v>
      </c>
      <c r="FG17" s="162">
        <f t="shared" si="33"/>
        <v>-0.13971422632040431</v>
      </c>
    </row>
    <row r="18" spans="1:163" ht="18.75" customHeight="1">
      <c r="A18" s="243" t="s">
        <v>222</v>
      </c>
      <c r="B18" s="246"/>
      <c r="C18" s="156">
        <f t="shared" si="5"/>
        <v>-0.33</v>
      </c>
      <c r="D18" s="198">
        <v>1</v>
      </c>
      <c r="E18" s="248">
        <f t="shared" si="6"/>
        <v>0.14633853276181763</v>
      </c>
      <c r="F18" s="249">
        <f t="shared" si="7"/>
        <v>0.10602682093663685</v>
      </c>
      <c r="G18" s="248">
        <f t="shared" si="8"/>
        <v>6.9324993162509951E-2</v>
      </c>
      <c r="H18" s="249">
        <f t="shared" si="9"/>
        <v>7.7013539599307679E-2</v>
      </c>
      <c r="I18" s="253">
        <f t="shared" si="10"/>
        <v>2.7517743278277913</v>
      </c>
      <c r="J18" s="254">
        <f t="shared" si="11"/>
        <v>0.11734943370755557</v>
      </c>
      <c r="K18" s="248">
        <f t="shared" si="34"/>
        <v>2.9907758281897889</v>
      </c>
      <c r="L18" s="249">
        <f t="shared" si="12"/>
        <v>-0.23900150036199763</v>
      </c>
      <c r="M18" s="250"/>
      <c r="N18" s="24">
        <v>-1</v>
      </c>
      <c r="O18" s="248">
        <f t="shared" si="35"/>
        <v>1.1845356766995607E-2</v>
      </c>
      <c r="P18" s="251">
        <f t="shared" si="36"/>
        <v>1.1845356766995607E-2</v>
      </c>
      <c r="Q18" s="248">
        <f t="shared" si="13"/>
        <v>-4.0837841715811396E-2</v>
      </c>
      <c r="R18" s="251">
        <f t="shared" si="37"/>
        <v>-4.0837841715811396E-2</v>
      </c>
      <c r="S18" s="250"/>
      <c r="T18" s="24">
        <v>-1</v>
      </c>
      <c r="U18" s="248">
        <f t="shared" si="14"/>
        <v>-0.11336141958288026</v>
      </c>
      <c r="V18" s="252">
        <f t="shared" si="15"/>
        <v>-0.11336141958288026</v>
      </c>
      <c r="W18" s="248">
        <f t="shared" si="38"/>
        <v>-3.589833669001008E-3</v>
      </c>
      <c r="X18" s="252">
        <f t="shared" si="16"/>
        <v>-3.589833669001008E-3</v>
      </c>
      <c r="Y18" s="248">
        <f t="shared" si="17"/>
        <v>0</v>
      </c>
      <c r="Z18" s="252">
        <f t="shared" si="18"/>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P18" s="28">
        <f>VLOOKUP($A18,historia!$A$5:$CM$24,+HLOOKUP(AP$2,historia!$A$3:$EC$4,2,FALSE),FALSE)</f>
        <v>3</v>
      </c>
      <c r="AQ18" s="28">
        <f>VLOOKUP($A18,historia!$A$5:$CM$24,+HLOOKUP(AQ$2,historia!$A$3:$EC$4,2,FALSE),FALSE)</f>
        <v>4</v>
      </c>
      <c r="AR18" s="28">
        <f>VLOOKUP($A18,historia!$A$5:$CM$24,+HLOOKUP(AR$2,historia!$A$3:$EC$4,2,FALSE),FALSE)</f>
        <v>4</v>
      </c>
      <c r="AS18" s="28">
        <f>VLOOKUP($A18,historia!$A$5:$CM$24,+HLOOKUP(AS$2,historia!$A$3:$EC$4,2,FALSE),FALSE)</f>
        <v>4</v>
      </c>
      <c r="AT18" s="58">
        <f>VLOOKUP($A18,historia!$A$5:$CM$24,+HLOOKUP(AT$2,historia!$A$3:$EC$4,2,FALSE),FALSE)</f>
        <v>4</v>
      </c>
      <c r="AU18" s="58">
        <f>VLOOKUP($A18,historia!$A$5:$CM$24,+HLOOKUP(AU$2,historia!$A$3:$EC$4,2,FALSE),FALSE)</f>
        <v>4</v>
      </c>
      <c r="AV18" s="58">
        <f>VLOOKUP($A18,historia!$A$5:$CM$24,+HLOOKUP(AV$2,historia!$A$3:$EC$4,2,FALSE),FALSE)</f>
        <v>4</v>
      </c>
      <c r="AW18" s="58">
        <f>VLOOKUP($A18,historia!$A$5:$CM$24,+HLOOKUP(AW$2,historia!$A$3:$EC$4,2,FALSE),FALSE)</f>
        <v>4</v>
      </c>
      <c r="AX18" s="58">
        <f>VLOOKUP($A18,historia!$A$5:$CM$24,+HLOOKUP(AX$2,historia!$A$3:$EC$4,2,FALSE),FALSE)</f>
        <v>4</v>
      </c>
      <c r="AY18" s="58">
        <f>VLOOKUP($A18,historia!$A$5:$CM$24,+HLOOKUP(AY$2,historia!$A$3:$EC$4,2,FALSE),FALSE)</f>
        <v>5</v>
      </c>
      <c r="AZ18" s="58">
        <f>VLOOKUP($A18,historia!$A$5:$CM$24,+HLOOKUP(AZ$2,historia!$A$3:$EC$4,2,FALSE),FALSE)</f>
        <v>5</v>
      </c>
      <c r="BA18" s="58">
        <f>VLOOKUP($A18,historia!$A$5:$CM$24,+HLOOKUP(BA$2,historia!$A$3:$EC$4,2,FALSE),FALSE)</f>
        <v>4</v>
      </c>
      <c r="BB18" s="30"/>
      <c r="BC18" s="141">
        <v>4</v>
      </c>
      <c r="BD18" t="str">
        <f t="shared" si="19"/>
        <v>Ovino</v>
      </c>
      <c r="BE18">
        <f>+datos!BU1</f>
        <v>73</v>
      </c>
      <c r="BF18" s="2" t="str">
        <f t="shared" si="4"/>
        <v>$/kg</v>
      </c>
      <c r="BG18" s="2">
        <f t="shared" si="4"/>
        <v>57124.800300000003</v>
      </c>
      <c r="BH18" s="2">
        <f t="shared" si="4"/>
        <v>49832.4</v>
      </c>
      <c r="BI18" s="2">
        <f t="shared" si="4"/>
        <v>15226.075800000001</v>
      </c>
      <c r="BK18">
        <f>+datos!DI1</f>
        <v>113</v>
      </c>
      <c r="BL18" s="2">
        <f t="shared" si="20"/>
        <v>7960.8909998993677</v>
      </c>
      <c r="BM18" s="2">
        <f t="shared" si="20"/>
        <v>7444.7815685623991</v>
      </c>
      <c r="BN18" s="2">
        <f t="shared" si="20"/>
        <v>1994.8228972586562</v>
      </c>
      <c r="BP18" s="1">
        <f>+datos!EL1</f>
        <v>142</v>
      </c>
      <c r="BQ18" s="1">
        <f t="shared" si="21"/>
        <v>12609460</v>
      </c>
      <c r="BR18" s="1">
        <f t="shared" si="21"/>
        <v>12461845</v>
      </c>
      <c r="BT18" s="1">
        <f>+datos!GS1</f>
        <v>201</v>
      </c>
      <c r="BU18" s="1">
        <f t="shared" si="22"/>
        <v>34401.473026587613</v>
      </c>
      <c r="BV18" s="1">
        <f t="shared" si="22"/>
        <v>35866.17</v>
      </c>
      <c r="BX18" s="1">
        <f>+datos!KI1</f>
        <v>295</v>
      </c>
      <c r="BY18" s="1">
        <f t="shared" si="39"/>
        <v>191.32226141999999</v>
      </c>
      <c r="BZ18" s="1">
        <f t="shared" si="40"/>
        <v>215.78382178000004</v>
      </c>
      <c r="CB18" s="1">
        <f>+datos!LN1</f>
        <v>326</v>
      </c>
      <c r="CC18" s="2">
        <f t="shared" si="23"/>
        <v>4.4666835200000001</v>
      </c>
      <c r="CD18" s="2">
        <f t="shared" si="24"/>
        <v>4.4827759399999998</v>
      </c>
      <c r="CF18" s="1">
        <f>+datos!JA1</f>
        <v>261</v>
      </c>
      <c r="CG18" s="1">
        <f t="shared" si="25"/>
        <v>2813</v>
      </c>
      <c r="CH18" s="1">
        <f t="shared" si="26"/>
        <v>2813</v>
      </c>
      <c r="CJ18" s="1">
        <f t="shared" si="27"/>
        <v>15.60716012</v>
      </c>
      <c r="CK18" s="1">
        <f t="shared" si="27"/>
        <v>19.03918719</v>
      </c>
      <c r="CL18" s="1">
        <f t="shared" si="27"/>
        <v>17.774232269999999</v>
      </c>
      <c r="CM18" s="1">
        <f t="shared" si="27"/>
        <v>22.502102959999998</v>
      </c>
      <c r="CN18" s="1">
        <f t="shared" si="27"/>
        <v>22.437193859999997</v>
      </c>
      <c r="CO18" s="1">
        <f t="shared" si="27"/>
        <v>15.322430800000003</v>
      </c>
      <c r="CP18" s="1">
        <f t="shared" si="27"/>
        <v>16.644595240000001</v>
      </c>
      <c r="CQ18" s="1">
        <f t="shared" si="27"/>
        <v>15.83663735</v>
      </c>
      <c r="CR18" s="1">
        <f t="shared" si="27"/>
        <v>13.412348609999999</v>
      </c>
      <c r="CS18" s="1">
        <f t="shared" si="27"/>
        <v>9.5091132299999988</v>
      </c>
      <c r="CT18" s="1">
        <f t="shared" si="27"/>
        <v>10.49137048</v>
      </c>
      <c r="CU18" s="1">
        <f t="shared" si="27"/>
        <v>12.745889309999999</v>
      </c>
      <c r="CV18" s="1">
        <f t="shared" si="27"/>
        <v>11.898747670000001</v>
      </c>
      <c r="CW18" s="1">
        <f t="shared" si="27"/>
        <v>12.26162961</v>
      </c>
      <c r="CX18" s="1">
        <f t="shared" si="27"/>
        <v>21.704121750000002</v>
      </c>
      <c r="CY18" s="1">
        <f t="shared" si="27"/>
        <v>21.006605250000003</v>
      </c>
      <c r="CZ18" s="1">
        <f t="shared" si="28"/>
        <v>22.417077500000001</v>
      </c>
      <c r="DA18" s="1">
        <f t="shared" si="28"/>
        <v>28.978678630000001</v>
      </c>
      <c r="DB18" s="1">
        <f t="shared" si="28"/>
        <v>14.681416690000001</v>
      </c>
      <c r="DC18" s="1">
        <f t="shared" si="28"/>
        <v>20.44206312</v>
      </c>
      <c r="DD18" s="1">
        <f t="shared" si="28"/>
        <v>19.069193389999999</v>
      </c>
      <c r="DE18" s="1">
        <f t="shared" si="28"/>
        <v>11.15247257</v>
      </c>
      <c r="DF18" s="1">
        <f t="shared" si="28"/>
        <v>14.78060634</v>
      </c>
      <c r="DG18" s="1">
        <f t="shared" si="28"/>
        <v>17.39120926</v>
      </c>
      <c r="DI18" s="1">
        <f t="shared" si="29"/>
        <v>0.1577527</v>
      </c>
      <c r="DJ18" s="1">
        <f t="shared" si="29"/>
        <v>0.24821200999999998</v>
      </c>
      <c r="DK18" s="1">
        <f t="shared" si="29"/>
        <v>0.13589592</v>
      </c>
      <c r="DL18" s="1">
        <f t="shared" si="29"/>
        <v>0.23010199000000001</v>
      </c>
      <c r="DM18" s="1">
        <f t="shared" si="29"/>
        <v>4.8750000000000002E-2</v>
      </c>
      <c r="DN18" s="1">
        <f t="shared" si="29"/>
        <v>0.31075020000000003</v>
      </c>
      <c r="DO18" s="1">
        <f t="shared" si="29"/>
        <v>0.90541722000000002</v>
      </c>
      <c r="DP18" s="1">
        <f t="shared" si="29"/>
        <v>0.34283965</v>
      </c>
      <c r="DQ18" s="1">
        <f t="shared" si="29"/>
        <v>0.74167351000000015</v>
      </c>
      <c r="DR18" s="1">
        <f t="shared" si="29"/>
        <v>0.58632921999999998</v>
      </c>
      <c r="DS18" s="1">
        <f t="shared" si="29"/>
        <v>0.29250390000000004</v>
      </c>
      <c r="DT18" s="1">
        <f t="shared" si="29"/>
        <v>0.46645720000000002</v>
      </c>
      <c r="DU18" s="1">
        <f t="shared" si="29"/>
        <v>8.1248630000000002E-2</v>
      </c>
      <c r="DV18" s="1">
        <f t="shared" si="29"/>
        <v>0.16069122999999999</v>
      </c>
      <c r="DW18" s="1">
        <f t="shared" si="29"/>
        <v>0.12834936</v>
      </c>
      <c r="DX18" s="1">
        <f t="shared" si="29"/>
        <v>0.21283820000000001</v>
      </c>
      <c r="DY18" s="1">
        <f t="shared" si="30"/>
        <v>0.28431688999999999</v>
      </c>
      <c r="DZ18" s="1">
        <f t="shared" si="30"/>
        <v>0.27087241000000001</v>
      </c>
      <c r="EA18" s="1">
        <f t="shared" si="30"/>
        <v>0.85465582000000007</v>
      </c>
      <c r="EB18" s="1">
        <f t="shared" si="30"/>
        <v>0.86735239999999991</v>
      </c>
      <c r="EC18" s="1">
        <f t="shared" si="30"/>
        <v>0.68639446999999998</v>
      </c>
      <c r="ED18" s="1">
        <f t="shared" si="30"/>
        <v>0.51198889000000003</v>
      </c>
      <c r="EE18" s="1">
        <f t="shared" si="30"/>
        <v>0.25118170000000001</v>
      </c>
      <c r="EF18" s="1">
        <f t="shared" si="30"/>
        <v>0.17288594000000002</v>
      </c>
      <c r="EH18" s="14">
        <f t="shared" si="31"/>
        <v>2813</v>
      </c>
      <c r="EI18" s="14">
        <f t="shared" si="31"/>
        <v>2813</v>
      </c>
      <c r="EJ18" s="1">
        <f t="shared" si="31"/>
        <v>2813</v>
      </c>
      <c r="EK18" s="1">
        <f t="shared" si="31"/>
        <v>2813</v>
      </c>
      <c r="EL18" s="1">
        <f t="shared" si="31"/>
        <v>2813</v>
      </c>
      <c r="EM18" s="1">
        <f t="shared" si="31"/>
        <v>2813</v>
      </c>
      <c r="EN18" s="1">
        <f t="shared" si="31"/>
        <v>2813</v>
      </c>
      <c r="EO18" s="1">
        <f t="shared" si="31"/>
        <v>2813</v>
      </c>
      <c r="EP18" s="1">
        <f t="shared" si="31"/>
        <v>2813</v>
      </c>
      <c r="EQ18" s="1">
        <f t="shared" si="31"/>
        <v>2813</v>
      </c>
      <c r="ER18" s="1">
        <f t="shared" si="31"/>
        <v>2813</v>
      </c>
      <c r="ES18" s="1">
        <f t="shared" si="31"/>
        <v>2813</v>
      </c>
      <c r="ET18" s="1">
        <f t="shared" si="31"/>
        <v>2813</v>
      </c>
      <c r="EU18" s="1">
        <f t="shared" si="31"/>
        <v>2813</v>
      </c>
      <c r="EV18" s="1">
        <f t="shared" si="31"/>
        <v>2813</v>
      </c>
      <c r="EW18" s="1">
        <f t="shared" si="31"/>
        <v>2813</v>
      </c>
      <c r="EX18" s="1">
        <f t="shared" si="32"/>
        <v>2813</v>
      </c>
      <c r="EY18" s="1">
        <f t="shared" si="32"/>
        <v>2813</v>
      </c>
      <c r="EZ18" s="1">
        <f t="shared" si="32"/>
        <v>2813</v>
      </c>
      <c r="FA18" s="1">
        <f t="shared" si="32"/>
        <v>2813</v>
      </c>
      <c r="FB18" s="1">
        <f t="shared" si="32"/>
        <v>2813</v>
      </c>
      <c r="FC18" s="1">
        <f t="shared" si="32"/>
        <v>2813</v>
      </c>
      <c r="FD18" s="1">
        <f t="shared" si="32"/>
        <v>2813</v>
      </c>
      <c r="FE18" s="1">
        <f t="shared" si="32"/>
        <v>2813</v>
      </c>
      <c r="FG18" s="162">
        <f t="shared" si="33"/>
        <v>-0.23900150036199763</v>
      </c>
    </row>
    <row r="19" spans="1:163" ht="18.75" customHeight="1">
      <c r="A19" s="244" t="s">
        <v>66</v>
      </c>
      <c r="B19" s="247"/>
      <c r="C19" s="228">
        <f t="shared" si="5"/>
        <v>0</v>
      </c>
      <c r="D19" s="229">
        <v>-1</v>
      </c>
      <c r="E19" s="253">
        <f t="shared" si="6"/>
        <v>0.36642204976986248</v>
      </c>
      <c r="F19" s="254">
        <f t="shared" si="7"/>
        <v>0.32611033794468169</v>
      </c>
      <c r="G19" s="253">
        <f t="shared" si="8"/>
        <v>8.0957217273904591E-2</v>
      </c>
      <c r="H19" s="254">
        <f t="shared" si="9"/>
        <v>0.28546483249595789</v>
      </c>
      <c r="I19" s="253">
        <f t="shared" si="10"/>
        <v>1.0190356418098152</v>
      </c>
      <c r="J19" s="254">
        <f t="shared" si="11"/>
        <v>-1.6153892523104205</v>
      </c>
      <c r="K19" s="253">
        <f t="shared" si="34"/>
        <v>2.0129908101909382</v>
      </c>
      <c r="L19" s="254">
        <f t="shared" si="12"/>
        <v>-0.99395516838112297</v>
      </c>
      <c r="M19" s="255"/>
      <c r="N19" s="256">
        <v>0</v>
      </c>
      <c r="O19" s="253">
        <f t="shared" si="35"/>
        <v>6.5265283642371941E-2</v>
      </c>
      <c r="P19" s="257">
        <f t="shared" si="36"/>
        <v>6.5265283642371941E-2</v>
      </c>
      <c r="Q19" s="253">
        <f t="shared" si="13"/>
        <v>-0.10753859789340392</v>
      </c>
      <c r="R19" s="257">
        <v>-0.01</v>
      </c>
      <c r="S19" s="255"/>
      <c r="T19" s="256">
        <v>1</v>
      </c>
      <c r="U19" s="253">
        <f t="shared" si="14"/>
        <v>9.9230979903026206E-2</v>
      </c>
      <c r="V19" s="258">
        <f t="shared" si="15"/>
        <v>9.9230979903026206E-2</v>
      </c>
      <c r="W19" s="253">
        <f t="shared" si="38"/>
        <v>1.1537213288514563</v>
      </c>
      <c r="X19" s="258">
        <f t="shared" si="16"/>
        <v>1.1537213288514563</v>
      </c>
      <c r="Y19" s="253">
        <f t="shared" si="17"/>
        <v>0</v>
      </c>
      <c r="Z19" s="258">
        <f t="shared" si="18"/>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P19" s="28">
        <f>VLOOKUP($A19,historia!$A$5:$CM$24,+HLOOKUP(AP$2,historia!$A$3:$EC$4,2,FALSE),FALSE)</f>
        <v>4</v>
      </c>
      <c r="AQ19" s="28">
        <f>VLOOKUP($A19,historia!$A$5:$CM$24,+HLOOKUP(AQ$2,historia!$A$3:$EC$4,2,FALSE),FALSE)</f>
        <v>4</v>
      </c>
      <c r="AR19" s="28">
        <f>VLOOKUP($A19,historia!$A$5:$CM$24,+HLOOKUP(AR$2,historia!$A$3:$EC$4,2,FALSE),FALSE)</f>
        <v>3</v>
      </c>
      <c r="AS19" s="28">
        <f>VLOOKUP($A19,historia!$A$5:$CM$24,+HLOOKUP(AS$2,historia!$A$3:$EC$4,2,FALSE),FALSE)</f>
        <v>3</v>
      </c>
      <c r="AT19" s="58">
        <f>VLOOKUP($A19,historia!$A$5:$CM$24,+HLOOKUP(AT$2,historia!$A$3:$EC$4,2,FALSE),FALSE)</f>
        <v>3</v>
      </c>
      <c r="AU19" s="58">
        <f>VLOOKUP($A19,historia!$A$5:$CM$24,+HLOOKUP(AU$2,historia!$A$3:$EC$4,2,FALSE),FALSE)</f>
        <v>4</v>
      </c>
      <c r="AV19" s="58">
        <f>VLOOKUP($A19,historia!$A$5:$CM$24,+HLOOKUP(AV$2,historia!$A$3:$EC$4,2,FALSE),FALSE)</f>
        <v>3</v>
      </c>
      <c r="AW19" s="58">
        <f>VLOOKUP($A19,historia!$A$5:$CM$24,+HLOOKUP(AW$2,historia!$A$3:$EC$4,2,FALSE),FALSE)</f>
        <v>4</v>
      </c>
      <c r="AX19" s="58">
        <f>VLOOKUP($A19,historia!$A$5:$CM$24,+HLOOKUP(AX$2,historia!$A$3:$EC$4,2,FALSE),FALSE)</f>
        <v>4</v>
      </c>
      <c r="AY19" s="58">
        <f>VLOOKUP($A19,historia!$A$5:$CM$24,+HLOOKUP(AY$2,historia!$A$3:$EC$4,2,FALSE),FALSE)</f>
        <v>4</v>
      </c>
      <c r="AZ19" s="58">
        <f>VLOOKUP($A19,historia!$A$5:$CM$24,+HLOOKUP(AZ$2,historia!$A$3:$EC$4,2,FALSE),FALSE)</f>
        <v>4</v>
      </c>
      <c r="BA19" s="58">
        <f>VLOOKUP($A19,historia!$A$5:$CM$24,+HLOOKUP(BA$2,historia!$A$3:$EC$4,2,FALSE),FALSE)</f>
        <v>3</v>
      </c>
      <c r="BB19" s="30"/>
      <c r="BC19" s="141">
        <v>3</v>
      </c>
      <c r="BD19" t="str">
        <f t="shared" si="19"/>
        <v>Papa</v>
      </c>
      <c r="BE19">
        <f>+datos!AV1</f>
        <v>48</v>
      </c>
      <c r="BF19" s="2" t="str">
        <f t="shared" si="4"/>
        <v>$/bolsa 20kg</v>
      </c>
      <c r="BG19" s="2">
        <f t="shared" si="4"/>
        <v>9727.9661016949158</v>
      </c>
      <c r="BH19" s="2">
        <f t="shared" si="4"/>
        <v>7119.2982456140353</v>
      </c>
      <c r="BI19" s="2">
        <f t="shared" si="4"/>
        <v>4818.125</v>
      </c>
      <c r="BK19">
        <f>+datos!CI1</f>
        <v>87</v>
      </c>
      <c r="BL19" s="2">
        <f t="shared" si="20"/>
        <v>9025.9850988099479</v>
      </c>
      <c r="BM19" s="2">
        <f t="shared" si="20"/>
        <v>8349.9929086673983</v>
      </c>
      <c r="BN19" s="2">
        <f t="shared" si="20"/>
        <v>2995.6895548041703</v>
      </c>
      <c r="BP19" s="1">
        <f>+datos!EZ1</f>
        <v>156</v>
      </c>
      <c r="BQ19" s="1">
        <f t="shared" si="21"/>
        <v>34815</v>
      </c>
      <c r="BR19" s="1">
        <f t="shared" si="21"/>
        <v>32682</v>
      </c>
      <c r="BT19" s="1">
        <f>+datos!GT1</f>
        <v>202</v>
      </c>
      <c r="BU19" s="1">
        <f t="shared" si="22"/>
        <v>2111561</v>
      </c>
      <c r="BV19" s="1">
        <f t="shared" si="22"/>
        <v>2365997</v>
      </c>
      <c r="BX19" s="1">
        <f>+datos!JO1</f>
        <v>275</v>
      </c>
      <c r="BY19" s="1">
        <f t="shared" si="39"/>
        <v>341.95112777000008</v>
      </c>
      <c r="BZ19" s="1">
        <f t="shared" si="40"/>
        <v>311.08214199000003</v>
      </c>
      <c r="CB19" s="1">
        <f>+datos!KT1</f>
        <v>306</v>
      </c>
      <c r="CC19" s="2">
        <f t="shared" si="23"/>
        <v>21.429138260000002</v>
      </c>
      <c r="CD19" s="2">
        <f t="shared" si="24"/>
        <v>9.9498194000000009</v>
      </c>
      <c r="CF19" s="1">
        <f>+datos!JB1</f>
        <v>262</v>
      </c>
      <c r="CG19" s="1">
        <f t="shared" si="25"/>
        <v>35.950000000000003</v>
      </c>
      <c r="CH19" s="1">
        <f t="shared" si="26"/>
        <v>35.950000000000003</v>
      </c>
      <c r="CJ19" s="1">
        <f t="shared" si="27"/>
        <v>34.87822036</v>
      </c>
      <c r="CK19" s="1">
        <f t="shared" si="27"/>
        <v>30.986019150000001</v>
      </c>
      <c r="CL19" s="1">
        <f t="shared" si="27"/>
        <v>34.45773063</v>
      </c>
      <c r="CM19" s="1">
        <f t="shared" si="27"/>
        <v>33.675059580000003</v>
      </c>
      <c r="CN19" s="1">
        <f t="shared" si="27"/>
        <v>28.924508010000004</v>
      </c>
      <c r="CO19" s="1">
        <f t="shared" si="27"/>
        <v>27.954086790000002</v>
      </c>
      <c r="CP19" s="1">
        <f t="shared" si="27"/>
        <v>24.143815810000007</v>
      </c>
      <c r="CQ19" s="1">
        <f t="shared" si="27"/>
        <v>26.000694290000002</v>
      </c>
      <c r="CR19" s="1">
        <f t="shared" si="27"/>
        <v>22.013274209999999</v>
      </c>
      <c r="CS19" s="1">
        <f t="shared" si="27"/>
        <v>23.44114875</v>
      </c>
      <c r="CT19" s="1">
        <f t="shared" si="27"/>
        <v>29.35689408</v>
      </c>
      <c r="CU19" s="1">
        <f t="shared" si="27"/>
        <v>26.11967611</v>
      </c>
      <c r="CV19" s="1">
        <f t="shared" si="27"/>
        <v>30.386509889999999</v>
      </c>
      <c r="CW19" s="1">
        <f t="shared" si="27"/>
        <v>26.2743097</v>
      </c>
      <c r="CX19" s="1">
        <f t="shared" si="27"/>
        <v>30.80704394</v>
      </c>
      <c r="CY19" s="1">
        <f t="shared" si="27"/>
        <v>27.637267510000001</v>
      </c>
      <c r="CZ19" s="1">
        <f t="shared" si="28"/>
        <v>30.470799569999997</v>
      </c>
      <c r="DA19" s="1">
        <f t="shared" si="28"/>
        <v>25.884569989999999</v>
      </c>
      <c r="DB19" s="1">
        <f t="shared" si="28"/>
        <v>21.159077390000004</v>
      </c>
      <c r="DC19" s="1">
        <f t="shared" si="28"/>
        <v>21.056863770000003</v>
      </c>
      <c r="DD19" s="1">
        <f t="shared" si="28"/>
        <v>16.985680380000005</v>
      </c>
      <c r="DE19" s="1">
        <f t="shared" si="28"/>
        <v>25.68249277</v>
      </c>
      <c r="DF19" s="1">
        <f t="shared" si="28"/>
        <v>25.561633730000004</v>
      </c>
      <c r="DG19" s="1">
        <f t="shared" si="28"/>
        <v>29.175893349999999</v>
      </c>
      <c r="DI19" s="1">
        <f t="shared" si="29"/>
        <v>1.6294275100000002</v>
      </c>
      <c r="DJ19" s="1">
        <f t="shared" si="29"/>
        <v>1.8725515799999999</v>
      </c>
      <c r="DK19" s="1">
        <f t="shared" si="29"/>
        <v>1.9938344900000002</v>
      </c>
      <c r="DL19" s="1">
        <f t="shared" si="29"/>
        <v>1.4070700599999999</v>
      </c>
      <c r="DM19" s="1">
        <f t="shared" si="29"/>
        <v>0.5838748800000001</v>
      </c>
      <c r="DN19" s="1">
        <f t="shared" si="29"/>
        <v>1.6300787399999999</v>
      </c>
      <c r="DO19" s="1">
        <f t="shared" si="29"/>
        <v>1.5496506000000003</v>
      </c>
      <c r="DP19" s="1">
        <f t="shared" si="29"/>
        <v>2.1384397699999997</v>
      </c>
      <c r="DQ19" s="1">
        <f t="shared" si="29"/>
        <v>2.7337765599999999</v>
      </c>
      <c r="DR19" s="1">
        <f t="shared" si="29"/>
        <v>1.0171737099999998</v>
      </c>
      <c r="DS19" s="1">
        <f t="shared" si="29"/>
        <v>1.9864389700000002</v>
      </c>
      <c r="DT19" s="1">
        <f t="shared" si="29"/>
        <v>2.8868213899999997</v>
      </c>
      <c r="DU19" s="1">
        <f t="shared" si="29"/>
        <v>1.3747401999999997</v>
      </c>
      <c r="DV19" s="1">
        <f t="shared" si="29"/>
        <v>1.6364950999999999</v>
      </c>
      <c r="DW19" s="1">
        <f t="shared" si="29"/>
        <v>1.1348675200000002</v>
      </c>
      <c r="DX19" s="1">
        <f t="shared" si="29"/>
        <v>0.73241972</v>
      </c>
      <c r="DY19" s="1">
        <f t="shared" si="30"/>
        <v>1.2023484900000001</v>
      </c>
      <c r="DZ19" s="1">
        <f t="shared" si="30"/>
        <v>0.41620179000000002</v>
      </c>
      <c r="EA19" s="1">
        <f t="shared" si="30"/>
        <v>1.03402496</v>
      </c>
      <c r="EB19" s="1">
        <f t="shared" si="30"/>
        <v>2.8427559999999998E-2</v>
      </c>
      <c r="EC19" s="1">
        <f t="shared" si="30"/>
        <v>1.0036533000000001</v>
      </c>
      <c r="ED19" s="1">
        <f t="shared" si="30"/>
        <v>0.19325807</v>
      </c>
      <c r="EE19" s="1">
        <f t="shared" si="30"/>
        <v>0.52785406000000001</v>
      </c>
      <c r="EF19" s="1">
        <f t="shared" si="30"/>
        <v>0.66552862999999995</v>
      </c>
      <c r="EH19" s="14">
        <f t="shared" si="31"/>
        <v>35.950000000000003</v>
      </c>
      <c r="EI19" s="14">
        <f t="shared" si="31"/>
        <v>35.950000000000003</v>
      </c>
      <c r="EJ19" s="1">
        <f t="shared" si="31"/>
        <v>35.950000000000003</v>
      </c>
      <c r="EK19" s="1">
        <f t="shared" si="31"/>
        <v>35.950000000000003</v>
      </c>
      <c r="EL19" s="1">
        <f t="shared" si="31"/>
        <v>35.950000000000003</v>
      </c>
      <c r="EM19" s="1">
        <f t="shared" si="31"/>
        <v>35.950000000000003</v>
      </c>
      <c r="EN19" s="1">
        <f t="shared" si="31"/>
        <v>35.950000000000003</v>
      </c>
      <c r="EO19" s="1">
        <f t="shared" si="31"/>
        <v>35.950000000000003</v>
      </c>
      <c r="EP19" s="1">
        <f t="shared" si="31"/>
        <v>35.950000000000003</v>
      </c>
      <c r="EQ19" s="1">
        <f t="shared" si="31"/>
        <v>35.950000000000003</v>
      </c>
      <c r="ER19" s="1">
        <f t="shared" si="31"/>
        <v>35.950000000000003</v>
      </c>
      <c r="ES19" s="1">
        <f t="shared" si="31"/>
        <v>35.950000000000003</v>
      </c>
      <c r="ET19" s="1">
        <f t="shared" si="31"/>
        <v>35.950000000000003</v>
      </c>
      <c r="EU19" s="1">
        <f t="shared" si="31"/>
        <v>35.950000000000003</v>
      </c>
      <c r="EV19" s="1">
        <f t="shared" si="31"/>
        <v>35.950000000000003</v>
      </c>
      <c r="EW19" s="1">
        <f t="shared" si="31"/>
        <v>35.950000000000003</v>
      </c>
      <c r="EX19" s="1">
        <f t="shared" si="32"/>
        <v>35.950000000000003</v>
      </c>
      <c r="EY19" s="1">
        <f t="shared" si="32"/>
        <v>35.950000000000003</v>
      </c>
      <c r="EZ19" s="1">
        <f t="shared" si="32"/>
        <v>35.950000000000003</v>
      </c>
      <c r="FA19" s="1">
        <f t="shared" si="32"/>
        <v>40.33</v>
      </c>
      <c r="FB19" s="1">
        <f t="shared" si="32"/>
        <v>40.33</v>
      </c>
      <c r="FC19" s="1">
        <f t="shared" si="32"/>
        <v>40.33</v>
      </c>
      <c r="FD19" s="1">
        <f t="shared" si="32"/>
        <v>40.33</v>
      </c>
      <c r="FE19" s="1">
        <f t="shared" si="32"/>
        <v>40.33</v>
      </c>
      <c r="FG19" s="162">
        <f t="shared" si="33"/>
        <v>-0.99395516838112297</v>
      </c>
    </row>
    <row r="20" spans="1:163" ht="18.75" customHeight="1">
      <c r="A20" s="264" t="s">
        <v>218</v>
      </c>
      <c r="B20" s="246"/>
      <c r="C20" s="156">
        <f t="shared" si="5"/>
        <v>0</v>
      </c>
      <c r="D20" s="198">
        <v>-1</v>
      </c>
      <c r="E20" s="248">
        <f t="shared" si="6"/>
        <v>0.27639315878324089</v>
      </c>
      <c r="F20" s="249">
        <f t="shared" si="7"/>
        <v>0.2360814469580601</v>
      </c>
      <c r="G20" s="248">
        <f t="shared" si="8"/>
        <v>5.421548066580173E-2</v>
      </c>
      <c r="H20" s="249">
        <f t="shared" si="9"/>
        <v>0.22217767811743916</v>
      </c>
      <c r="I20" s="248">
        <f t="shared" si="10"/>
        <v>3.1190458912635632</v>
      </c>
      <c r="J20" s="249">
        <f t="shared" si="11"/>
        <v>0.48462099714332751</v>
      </c>
      <c r="K20" s="248">
        <f t="shared" si="34"/>
        <v>2.6925284267439049</v>
      </c>
      <c r="L20" s="249">
        <f t="shared" si="12"/>
        <v>0.42651746451965833</v>
      </c>
      <c r="M20" s="250"/>
      <c r="N20" s="24">
        <v>-1</v>
      </c>
      <c r="O20" s="248">
        <f t="shared" si="35"/>
        <v>-2.3211675087845274E-2</v>
      </c>
      <c r="P20" s="251">
        <f t="shared" si="36"/>
        <v>-2.3211675087845274E-2</v>
      </c>
      <c r="Q20" s="248">
        <f t="shared" si="13"/>
        <v>-5.2532352963640894E-2</v>
      </c>
      <c r="R20" s="251">
        <f t="shared" si="37"/>
        <v>-5.2532352963640894E-2</v>
      </c>
      <c r="S20" s="250"/>
      <c r="T20" s="24">
        <v>2</v>
      </c>
      <c r="U20" s="248">
        <f t="shared" si="14"/>
        <v>9.6160514604288094E-2</v>
      </c>
      <c r="V20" s="252">
        <f t="shared" si="15"/>
        <v>9.6160514604288094E-2</v>
      </c>
      <c r="W20" s="248">
        <f t="shared" si="38"/>
        <v>-0.48194512554213409</v>
      </c>
      <c r="X20" s="252">
        <f t="shared" si="16"/>
        <v>-0.48194512554213409</v>
      </c>
      <c r="Y20" s="248" t="str">
        <f t="shared" si="17"/>
        <v/>
      </c>
      <c r="Z20" s="252" t="str">
        <f t="shared" si="18"/>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P20" s="28">
        <f>VLOOKUP($A20,historia!$A$5:$CM$24,+HLOOKUP(AP$2,historia!$A$3:$EC$4,2,FALSE),FALSE)</f>
        <v>3</v>
      </c>
      <c r="AQ20" s="28">
        <f>VLOOKUP($A20,historia!$A$5:$CM$24,+HLOOKUP(AQ$2,historia!$A$3:$EC$4,2,FALSE),FALSE)</f>
        <v>3</v>
      </c>
      <c r="AR20" s="28">
        <f>VLOOKUP($A20,historia!$A$5:$CM$24,+HLOOKUP(AR$2,historia!$A$3:$EC$4,2,FALSE),FALSE)</f>
        <v>3</v>
      </c>
      <c r="AS20" s="28">
        <f>VLOOKUP($A20,historia!$A$5:$CM$24,+HLOOKUP(AS$2,historia!$A$3:$EC$4,2,FALSE),FALSE)</f>
        <v>3</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4</v>
      </c>
      <c r="AX20" s="58">
        <f>VLOOKUP($A20,historia!$A$5:$CM$24,+HLOOKUP(AX$2,historia!$A$3:$EC$4,2,FALSE),FALSE)</f>
        <v>4</v>
      </c>
      <c r="AY20" s="58">
        <f>VLOOKUP($A20,historia!$A$5:$CM$24,+HLOOKUP(AY$2,historia!$A$3:$EC$4,2,FALSE),FALSE)</f>
        <v>4</v>
      </c>
      <c r="AZ20" s="58">
        <f>VLOOKUP($A20,historia!$A$5:$CM$24,+HLOOKUP(AZ$2,historia!$A$3:$EC$4,2,FALSE),FALSE)</f>
        <v>4</v>
      </c>
      <c r="BA20" s="58">
        <f>VLOOKUP($A20,historia!$A$5:$CM$24,+HLOOKUP(BA$2,historia!$A$3:$EC$4,2,FALSE),FALSE)</f>
        <v>3</v>
      </c>
      <c r="BB20" s="30"/>
      <c r="BC20" s="141">
        <v>3</v>
      </c>
      <c r="BD20" t="str">
        <f t="shared" si="19"/>
        <v>Peras y Manzanas</v>
      </c>
      <c r="BE20">
        <f>+datos!AP1</f>
        <v>42</v>
      </c>
      <c r="BF20" s="2" t="str">
        <f t="shared" si="4"/>
        <v>$/caja 18kg</v>
      </c>
      <c r="BG20" s="2">
        <f t="shared" si="4"/>
        <v>16930.31818181818</v>
      </c>
      <c r="BH20" s="2">
        <f t="shared" si="4"/>
        <v>13264.1875</v>
      </c>
      <c r="BI20" s="2">
        <f t="shared" si="4"/>
        <v>4110.25238095238</v>
      </c>
      <c r="BK20">
        <f>+datos!CS1</f>
        <v>97</v>
      </c>
      <c r="BL20" s="2">
        <f t="shared" si="20"/>
        <v>8068.2093605574692</v>
      </c>
      <c r="BM20" s="2">
        <f t="shared" si="20"/>
        <v>7653.2829469188782</v>
      </c>
      <c r="BN20" s="2">
        <f t="shared" si="20"/>
        <v>2185.0094103871443</v>
      </c>
      <c r="BP20" s="1">
        <f>+datos!FC1</f>
        <v>159</v>
      </c>
      <c r="BQ20" s="1">
        <f t="shared" si="21"/>
        <v>38084</v>
      </c>
      <c r="BR20" s="1">
        <f t="shared" si="21"/>
        <v>38989</v>
      </c>
      <c r="BT20" s="1">
        <f>+datos!GW1</f>
        <v>205</v>
      </c>
      <c r="BU20" s="1">
        <f t="shared" si="22"/>
        <v>744287</v>
      </c>
      <c r="BV20" s="1">
        <f t="shared" si="22"/>
        <v>785554</v>
      </c>
      <c r="BX20" s="1">
        <f>+datos!LS1</f>
        <v>331</v>
      </c>
      <c r="BY20" s="1">
        <f t="shared" si="39"/>
        <v>382.24675343000001</v>
      </c>
      <c r="BZ20" s="1">
        <f t="shared" si="40"/>
        <v>348.71421506000002</v>
      </c>
      <c r="CB20" s="1">
        <f>+datos!LW1</f>
        <v>335</v>
      </c>
      <c r="CC20" s="2">
        <f t="shared" si="23"/>
        <v>4.0756742100000007</v>
      </c>
      <c r="CD20" s="2">
        <f t="shared" si="24"/>
        <v>7.8672635100000017</v>
      </c>
      <c r="CF20" s="1">
        <f>+datos!JC1</f>
        <v>263</v>
      </c>
      <c r="CG20" s="1">
        <f t="shared" si="25"/>
        <v>0</v>
      </c>
      <c r="CH20" s="1">
        <f t="shared" si="26"/>
        <v>0</v>
      </c>
      <c r="CJ20" s="1">
        <f t="shared" si="27"/>
        <v>35.336569390000001</v>
      </c>
      <c r="CK20" s="1">
        <f t="shared" si="27"/>
        <v>46.662709379999995</v>
      </c>
      <c r="CL20" s="1">
        <f t="shared" si="27"/>
        <v>45.302769560000002</v>
      </c>
      <c r="CM20" s="1">
        <f t="shared" si="27"/>
        <v>46.856289650000001</v>
      </c>
      <c r="CN20" s="1">
        <f t="shared" si="27"/>
        <v>60.076282149999997</v>
      </c>
      <c r="CO20" s="1">
        <f t="shared" si="27"/>
        <v>42.744570039999999</v>
      </c>
      <c r="CP20" s="1">
        <f t="shared" si="27"/>
        <v>11.509203560000001</v>
      </c>
      <c r="CQ20" s="1">
        <f t="shared" si="27"/>
        <v>11.753879789999999</v>
      </c>
      <c r="CR20" s="1">
        <f t="shared" si="27"/>
        <v>15.619426270000002</v>
      </c>
      <c r="CS20" s="1">
        <f t="shared" si="27"/>
        <v>16.880359240000001</v>
      </c>
      <c r="CT20" s="1">
        <f t="shared" si="27"/>
        <v>24.204094699999999</v>
      </c>
      <c r="CU20" s="1">
        <f t="shared" si="27"/>
        <v>25.300599699999999</v>
      </c>
      <c r="CV20" s="1">
        <f t="shared" si="27"/>
        <v>48.042350899999995</v>
      </c>
      <c r="CW20" s="1">
        <f t="shared" si="27"/>
        <v>30.317151650000003</v>
      </c>
      <c r="CX20" s="1">
        <f t="shared" si="27"/>
        <v>39.830023670000003</v>
      </c>
      <c r="CY20" s="1">
        <f t="shared" si="27"/>
        <v>48.212206680000008</v>
      </c>
      <c r="CZ20" s="1">
        <f t="shared" si="28"/>
        <v>46.755406350000001</v>
      </c>
      <c r="DA20" s="1">
        <f t="shared" si="28"/>
        <v>37.276974840000001</v>
      </c>
      <c r="DB20" s="1">
        <f t="shared" si="28"/>
        <v>11.80910873</v>
      </c>
      <c r="DC20" s="1">
        <f t="shared" si="28"/>
        <v>12.88181872</v>
      </c>
      <c r="DD20" s="1">
        <f t="shared" si="28"/>
        <v>18.209359989999999</v>
      </c>
      <c r="DE20" s="1">
        <f t="shared" si="28"/>
        <v>17.588783669999998</v>
      </c>
      <c r="DF20" s="1">
        <f t="shared" si="28"/>
        <v>19.204431939999999</v>
      </c>
      <c r="DG20" s="1">
        <f t="shared" si="28"/>
        <v>18.586597920000003</v>
      </c>
      <c r="DI20" s="1">
        <f t="shared" si="29"/>
        <v>0.51794252000000007</v>
      </c>
      <c r="DJ20" s="1">
        <f t="shared" si="29"/>
        <v>0.37362660000000003</v>
      </c>
      <c r="DK20" s="1">
        <f t="shared" si="29"/>
        <v>0.32288670000000003</v>
      </c>
      <c r="DL20" s="1">
        <f t="shared" si="29"/>
        <v>0.29487440000000004</v>
      </c>
      <c r="DM20" s="1">
        <f t="shared" si="29"/>
        <v>7.78142E-2</v>
      </c>
      <c r="DN20" s="1">
        <f t="shared" si="29"/>
        <v>0.12479459999999999</v>
      </c>
      <c r="DO20" s="1">
        <f t="shared" si="29"/>
        <v>8.4911199999999992E-2</v>
      </c>
      <c r="DP20" s="1">
        <f t="shared" si="29"/>
        <v>0.22142464000000001</v>
      </c>
      <c r="DQ20" s="1">
        <f t="shared" si="29"/>
        <v>1.01853964</v>
      </c>
      <c r="DR20" s="1">
        <f t="shared" si="29"/>
        <v>0.30728509999999998</v>
      </c>
      <c r="DS20" s="1">
        <f t="shared" si="29"/>
        <v>0.37410640000000001</v>
      </c>
      <c r="DT20" s="1">
        <f t="shared" si="29"/>
        <v>0.35746821000000001</v>
      </c>
      <c r="DU20" s="1">
        <f t="shared" si="29"/>
        <v>0.95829101000000005</v>
      </c>
      <c r="DV20" s="1">
        <f t="shared" si="29"/>
        <v>0.34636184000000003</v>
      </c>
      <c r="DW20" s="1">
        <f t="shared" si="29"/>
        <v>1.2547095300000002</v>
      </c>
      <c r="DX20" s="1">
        <f t="shared" si="29"/>
        <v>1.273682</v>
      </c>
      <c r="DY20" s="1">
        <f t="shared" si="30"/>
        <v>0.92279571000000005</v>
      </c>
      <c r="DZ20" s="1">
        <f t="shared" si="30"/>
        <v>0.55930298000000001</v>
      </c>
      <c r="EA20" s="1">
        <f t="shared" si="30"/>
        <v>0.23405334</v>
      </c>
      <c r="EB20" s="1">
        <f t="shared" si="30"/>
        <v>2.5551390000000004E-2</v>
      </c>
      <c r="EC20" s="1">
        <f t="shared" si="30"/>
        <v>0.44126778</v>
      </c>
      <c r="ED20" s="1">
        <f t="shared" si="30"/>
        <v>0.57571571999999993</v>
      </c>
      <c r="EE20" s="1">
        <f t="shared" si="30"/>
        <v>0.55222305999999999</v>
      </c>
      <c r="EF20" s="1">
        <f t="shared" si="30"/>
        <v>0.72330915000000007</v>
      </c>
      <c r="EH20" s="14">
        <f t="shared" si="31"/>
        <v>0</v>
      </c>
      <c r="EI20" s="14">
        <f t="shared" si="31"/>
        <v>0</v>
      </c>
      <c r="EJ20" s="1">
        <f t="shared" si="31"/>
        <v>0</v>
      </c>
      <c r="EK20" s="1">
        <f t="shared" si="31"/>
        <v>0</v>
      </c>
      <c r="EL20" s="1">
        <f t="shared" si="31"/>
        <v>0</v>
      </c>
      <c r="EM20" s="1">
        <f t="shared" si="31"/>
        <v>0</v>
      </c>
      <c r="EN20" s="1">
        <f t="shared" si="31"/>
        <v>0</v>
      </c>
      <c r="EO20" s="1">
        <f t="shared" si="31"/>
        <v>0</v>
      </c>
      <c r="EP20" s="1">
        <f t="shared" si="31"/>
        <v>0</v>
      </c>
      <c r="EQ20" s="1">
        <f t="shared" si="31"/>
        <v>0</v>
      </c>
      <c r="ER20" s="1">
        <f t="shared" si="31"/>
        <v>0</v>
      </c>
      <c r="ES20" s="1">
        <f t="shared" si="31"/>
        <v>0</v>
      </c>
      <c r="ET20" s="1">
        <f t="shared" si="31"/>
        <v>0</v>
      </c>
      <c r="EU20" s="1">
        <f t="shared" si="31"/>
        <v>0</v>
      </c>
      <c r="EV20" s="1">
        <f t="shared" si="31"/>
        <v>0</v>
      </c>
      <c r="EW20" s="1">
        <f t="shared" si="31"/>
        <v>0</v>
      </c>
      <c r="EX20" s="1">
        <f t="shared" si="32"/>
        <v>0</v>
      </c>
      <c r="EY20" s="1">
        <f t="shared" si="32"/>
        <v>0</v>
      </c>
      <c r="EZ20" s="1">
        <f t="shared" si="32"/>
        <v>0</v>
      </c>
      <c r="FA20" s="1">
        <f t="shared" si="32"/>
        <v>0</v>
      </c>
      <c r="FB20" s="1">
        <f t="shared" si="32"/>
        <v>0</v>
      </c>
      <c r="FC20" s="1">
        <f t="shared" si="32"/>
        <v>0</v>
      </c>
      <c r="FD20" s="1">
        <f t="shared" si="32"/>
        <v>0</v>
      </c>
      <c r="FE20" s="1">
        <f t="shared" si="32"/>
        <v>0</v>
      </c>
      <c r="FG20" s="162">
        <f t="shared" si="33"/>
        <v>0.42651746451965833</v>
      </c>
    </row>
    <row r="21" spans="1:163" ht="18.75" customHeight="1">
      <c r="A21" s="244" t="s">
        <v>121</v>
      </c>
      <c r="B21" s="247"/>
      <c r="C21" s="228">
        <f t="shared" si="5"/>
        <v>0</v>
      </c>
      <c r="D21" s="229">
        <v>-2</v>
      </c>
      <c r="E21" s="253">
        <f t="shared" si="6"/>
        <v>9.3054338062617203E-2</v>
      </c>
      <c r="F21" s="254">
        <f t="shared" si="7"/>
        <v>5.2742626237436419E-2</v>
      </c>
      <c r="G21" s="253">
        <f t="shared" si="8"/>
        <v>6.6094342902327519E-3</v>
      </c>
      <c r="H21" s="254">
        <f t="shared" si="9"/>
        <v>8.6444903772384452E-2</v>
      </c>
      <c r="I21" s="253">
        <f t="shared" si="10"/>
        <v>1.8305017059824991</v>
      </c>
      <c r="J21" s="254">
        <f t="shared" si="11"/>
        <v>-0.80392318813773667</v>
      </c>
      <c r="K21" s="253">
        <f t="shared" si="34"/>
        <v>2.3249332023459486</v>
      </c>
      <c r="L21" s="254">
        <f t="shared" si="12"/>
        <v>-0.49443149636344952</v>
      </c>
      <c r="M21" s="255"/>
      <c r="N21" s="256">
        <v>1</v>
      </c>
      <c r="O21" s="253">
        <f t="shared" si="35"/>
        <v>3.8695172963417956E-2</v>
      </c>
      <c r="P21" s="257">
        <f t="shared" si="36"/>
        <v>3.8695172963417956E-2</v>
      </c>
      <c r="Q21" s="253">
        <f t="shared" si="13"/>
        <v>7.550880734926424E-2</v>
      </c>
      <c r="R21" s="257">
        <f t="shared" si="37"/>
        <v>7.550880734926424E-2</v>
      </c>
      <c r="S21" s="255"/>
      <c r="T21" s="256">
        <v>1</v>
      </c>
      <c r="U21" s="253">
        <f t="shared" si="14"/>
        <v>0.16836346823443349</v>
      </c>
      <c r="V21" s="258">
        <f t="shared" si="15"/>
        <v>0.16836346823443349</v>
      </c>
      <c r="W21" s="253">
        <f t="shared" si="38"/>
        <v>-0.48013805859679637</v>
      </c>
      <c r="X21" s="258">
        <f t="shared" si="16"/>
        <v>-0.48013805859679637</v>
      </c>
      <c r="Y21" s="253">
        <f t="shared" si="17"/>
        <v>1.0197960407918316E-2</v>
      </c>
      <c r="Z21" s="258">
        <f t="shared" si="18"/>
        <v>1.0197960407918316E-2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P21" s="28">
        <f>VLOOKUP($A21,historia!$A$5:$CM$24,+HLOOKUP(AP$2,historia!$A$3:$EC$4,2,FALSE),FALSE)</f>
        <v>4</v>
      </c>
      <c r="AQ21" s="28">
        <f>VLOOKUP($A21,historia!$A$5:$CM$24,+HLOOKUP(AQ$2,historia!$A$3:$EC$4,2,FALSE),FALSE)</f>
        <v>3</v>
      </c>
      <c r="AR21" s="28">
        <f>VLOOKUP($A21,historia!$A$5:$CM$24,+HLOOKUP(AR$2,historia!$A$3:$EC$4,2,FALSE),FALSE)</f>
        <v>3</v>
      </c>
      <c r="AS21" s="28">
        <f>VLOOKUP($A21,historia!$A$5:$CM$24,+HLOOKUP(AS$2,historia!$A$3:$EC$4,2,FALSE),FALSE)</f>
        <v>3</v>
      </c>
      <c r="AT21" s="58">
        <f>VLOOKUP($A21,historia!$A$5:$CM$24,+HLOOKUP(AT$2,historia!$A$3:$EC$4,2,FALSE),FALSE)</f>
        <v>2</v>
      </c>
      <c r="AU21" s="58">
        <f>VLOOKUP($A21,historia!$A$5:$CM$24,+HLOOKUP(AU$2,historia!$A$3:$EC$4,2,FALSE),FALSE)</f>
        <v>1</v>
      </c>
      <c r="AV21" s="58">
        <f>VLOOKUP($A21,historia!$A$5:$CM$24,+HLOOKUP(AV$2,historia!$A$3:$EC$4,2,FALSE),FALSE)</f>
        <v>2</v>
      </c>
      <c r="AW21" s="58">
        <f>VLOOKUP($A21,historia!$A$5:$CM$24,+HLOOKUP(AW$2,historia!$A$3:$EC$4,2,FALSE),FALSE)</f>
        <v>4</v>
      </c>
      <c r="AX21" s="58">
        <f>VLOOKUP($A21,historia!$A$5:$CM$24,+HLOOKUP(AX$2,historia!$A$3:$EC$4,2,FALSE),FALSE)</f>
        <v>5</v>
      </c>
      <c r="AY21" s="58">
        <f>VLOOKUP($A21,historia!$A$5:$CM$24,+HLOOKUP(AY$2,historia!$A$3:$EC$4,2,FALSE),FALSE)</f>
        <v>3</v>
      </c>
      <c r="AZ21" s="58">
        <f>VLOOKUP($A21,historia!$A$5:$CM$24,+HLOOKUP(AZ$2,historia!$A$3:$EC$4,2,FALSE),FALSE)</f>
        <v>4</v>
      </c>
      <c r="BA21" s="58">
        <f>VLOOKUP($A21,historia!$A$5:$CM$24,+HLOOKUP(BA$2,historia!$A$3:$EC$4,2,FALSE),FALSE)</f>
        <v>3</v>
      </c>
      <c r="BB21" s="30"/>
      <c r="BC21" s="141">
        <v>3</v>
      </c>
      <c r="BD21" t="str">
        <f t="shared" si="19"/>
        <v>Porcinos</v>
      </c>
      <c r="BE21">
        <f>+datos!BR1</f>
        <v>70</v>
      </c>
      <c r="BF21" s="2" t="str">
        <f t="shared" si="4"/>
        <v>$/kg</v>
      </c>
      <c r="BG21" s="2">
        <f t="shared" si="4"/>
        <v>1010.0150000000001</v>
      </c>
      <c r="BH21" s="2">
        <f t="shared" si="4"/>
        <v>924.03</v>
      </c>
      <c r="BI21" s="2">
        <f t="shared" si="4"/>
        <v>356.83249999999998</v>
      </c>
      <c r="BK21">
        <f>+datos!DD1</f>
        <v>108</v>
      </c>
      <c r="BL21" s="2">
        <f t="shared" si="20"/>
        <v>7903.4010379425026</v>
      </c>
      <c r="BM21" s="2">
        <f t="shared" si="20"/>
        <v>7851.5070182262352</v>
      </c>
      <c r="BN21" s="2">
        <f t="shared" si="20"/>
        <v>2377.0104711776339</v>
      </c>
      <c r="BP21" s="1">
        <f>+datos!EJ1</f>
        <v>140</v>
      </c>
      <c r="BQ21" s="1">
        <f t="shared" si="21"/>
        <v>6115215</v>
      </c>
      <c r="BR21" s="1">
        <f t="shared" si="21"/>
        <v>5887401</v>
      </c>
      <c r="BT21" s="1">
        <f>+datos!HE1</f>
        <v>213</v>
      </c>
      <c r="BU21" s="1">
        <f t="shared" si="22"/>
        <v>784161</v>
      </c>
      <c r="BV21" s="1">
        <f t="shared" si="22"/>
        <v>729107</v>
      </c>
      <c r="BX21" s="1">
        <f>+datos!KJ1</f>
        <v>296</v>
      </c>
      <c r="BY21" s="1">
        <f t="shared" si="39"/>
        <v>23.279820279999996</v>
      </c>
      <c r="BZ21" s="1">
        <f t="shared" si="40"/>
        <v>19.925152500000003</v>
      </c>
      <c r="CB21" s="1">
        <f>+datos!LO1</f>
        <v>327</v>
      </c>
      <c r="CC21" s="2">
        <f t="shared" si="23"/>
        <v>34.629981819999998</v>
      </c>
      <c r="CD21" s="2">
        <f t="shared" si="24"/>
        <v>66.613804670000007</v>
      </c>
      <c r="CF21" s="1">
        <f>+datos!IO1</f>
        <v>249</v>
      </c>
      <c r="CG21" s="1">
        <f t="shared" si="25"/>
        <v>16.84</v>
      </c>
      <c r="CH21" s="1">
        <f t="shared" si="26"/>
        <v>16.670000000000002</v>
      </c>
      <c r="CJ21" s="1">
        <f t="shared" si="27"/>
        <v>4.3175895799999999</v>
      </c>
      <c r="CK21" s="1">
        <f t="shared" si="27"/>
        <v>2.7596131099999996</v>
      </c>
      <c r="CL21" s="1">
        <f t="shared" si="27"/>
        <v>1.9296841299999996</v>
      </c>
      <c r="CM21" s="1">
        <f t="shared" si="27"/>
        <v>2.2533318799999997</v>
      </c>
      <c r="CN21" s="1">
        <f t="shared" si="27"/>
        <v>1.55421593</v>
      </c>
      <c r="CO21" s="1">
        <f t="shared" si="27"/>
        <v>1.56892272</v>
      </c>
      <c r="CP21" s="1">
        <f t="shared" si="27"/>
        <v>1.2009935999999999</v>
      </c>
      <c r="CQ21" s="1">
        <f t="shared" si="27"/>
        <v>1.5576121499999998</v>
      </c>
      <c r="CR21" s="1">
        <f t="shared" si="27"/>
        <v>1.3743196699999998</v>
      </c>
      <c r="CS21" s="1">
        <f t="shared" si="27"/>
        <v>1.4110336399999999</v>
      </c>
      <c r="CT21" s="1">
        <f t="shared" si="27"/>
        <v>1.8830951399999996</v>
      </c>
      <c r="CU21" s="1">
        <f t="shared" si="27"/>
        <v>1.4694087300000001</v>
      </c>
      <c r="CV21" s="1">
        <f t="shared" si="27"/>
        <v>2.0502103900000002</v>
      </c>
      <c r="CW21" s="1">
        <f t="shared" si="27"/>
        <v>1.8176867299999997</v>
      </c>
      <c r="CX21" s="1">
        <f t="shared" si="27"/>
        <v>1.2719750699999999</v>
      </c>
      <c r="CY21" s="1">
        <f t="shared" si="27"/>
        <v>1.5228158499999997</v>
      </c>
      <c r="CZ21" s="1">
        <f t="shared" si="28"/>
        <v>1.32254655</v>
      </c>
      <c r="DA21" s="1">
        <f t="shared" si="28"/>
        <v>2.1116566699999999</v>
      </c>
      <c r="DB21" s="1">
        <f t="shared" si="28"/>
        <v>1.8299806799999998</v>
      </c>
      <c r="DC21" s="1">
        <f t="shared" si="28"/>
        <v>2.01275629</v>
      </c>
      <c r="DD21" s="1">
        <f t="shared" si="28"/>
        <v>1.0656519800000002</v>
      </c>
      <c r="DE21" s="1">
        <f t="shared" si="28"/>
        <v>1.9138006200000002</v>
      </c>
      <c r="DF21" s="1">
        <f t="shared" si="28"/>
        <v>1.83911538</v>
      </c>
      <c r="DG21" s="1">
        <f t="shared" si="28"/>
        <v>1.1669562900000001</v>
      </c>
      <c r="DI21" s="1">
        <f t="shared" si="29"/>
        <v>2.5935797799999998</v>
      </c>
      <c r="DJ21" s="1">
        <f t="shared" si="29"/>
        <v>1.7163214500000001</v>
      </c>
      <c r="DK21" s="1">
        <f t="shared" si="29"/>
        <v>2.7920763000000002</v>
      </c>
      <c r="DL21" s="1">
        <f t="shared" si="29"/>
        <v>3.5088459899999997</v>
      </c>
      <c r="DM21" s="1">
        <f t="shared" si="29"/>
        <v>2.2524288500000003</v>
      </c>
      <c r="DN21" s="1">
        <f t="shared" si="29"/>
        <v>5.2341166499999998</v>
      </c>
      <c r="DO21" s="1">
        <f t="shared" si="29"/>
        <v>3.1162246899999997</v>
      </c>
      <c r="DP21" s="1">
        <f t="shared" si="29"/>
        <v>3.3747357299999998</v>
      </c>
      <c r="DQ21" s="1">
        <f t="shared" si="29"/>
        <v>1.8536983500000002</v>
      </c>
      <c r="DR21" s="1">
        <f t="shared" si="29"/>
        <v>2.01592043</v>
      </c>
      <c r="DS21" s="1">
        <f t="shared" si="29"/>
        <v>3.3244473500000002</v>
      </c>
      <c r="DT21" s="1">
        <f t="shared" si="29"/>
        <v>2.84758625</v>
      </c>
      <c r="DU21" s="1">
        <f t="shared" si="29"/>
        <v>4.1641835499999997</v>
      </c>
      <c r="DV21" s="1">
        <f t="shared" si="29"/>
        <v>4.5685913500000002</v>
      </c>
      <c r="DW21" s="1">
        <f t="shared" si="29"/>
        <v>6.3615663699999985</v>
      </c>
      <c r="DX21" s="1">
        <f t="shared" ref="DX21:EF24" si="41">+VLOOKUP(DX$1,ran_dat,$CB21,FALSE)</f>
        <v>5.5541627499999997</v>
      </c>
      <c r="DY21" s="1">
        <f t="shared" si="41"/>
        <v>6.8596205599999998</v>
      </c>
      <c r="DZ21" s="1">
        <f t="shared" si="41"/>
        <v>4.6739966500000012</v>
      </c>
      <c r="EA21" s="1">
        <f t="shared" si="41"/>
        <v>7.6286560299999993</v>
      </c>
      <c r="EB21" s="1">
        <f t="shared" si="41"/>
        <v>3.658397E-2</v>
      </c>
      <c r="EC21" s="1">
        <f t="shared" si="41"/>
        <v>7.2061905900000003</v>
      </c>
      <c r="ED21" s="1">
        <f t="shared" si="41"/>
        <v>7.3381374299999997</v>
      </c>
      <c r="EE21" s="1">
        <f t="shared" si="41"/>
        <v>7.276038279999999</v>
      </c>
      <c r="EF21" s="1">
        <f t="shared" si="41"/>
        <v>4.9460771399999999</v>
      </c>
      <c r="EH21" s="14">
        <f t="shared" si="31"/>
        <v>16.84</v>
      </c>
      <c r="EI21" s="14">
        <f t="shared" si="31"/>
        <v>16.64</v>
      </c>
      <c r="EJ21" s="1">
        <f t="shared" si="31"/>
        <v>16.68</v>
      </c>
      <c r="EK21" s="1">
        <f t="shared" si="31"/>
        <v>16.62</v>
      </c>
      <c r="EL21" s="1">
        <f t="shared" si="31"/>
        <v>16.5</v>
      </c>
      <c r="EM21" s="1">
        <f t="shared" si="31"/>
        <v>16.64</v>
      </c>
      <c r="EN21" s="1">
        <f t="shared" si="31"/>
        <v>16.68</v>
      </c>
      <c r="EO21" s="1">
        <f t="shared" si="31"/>
        <v>16.72</v>
      </c>
      <c r="EP21" s="1">
        <f t="shared" si="31"/>
        <v>16.75</v>
      </c>
      <c r="EQ21" s="1">
        <f t="shared" si="31"/>
        <v>16.760000000000002</v>
      </c>
      <c r="ER21" s="1">
        <f t="shared" si="31"/>
        <v>16.71</v>
      </c>
      <c r="ES21" s="1">
        <f t="shared" si="31"/>
        <v>16.68</v>
      </c>
      <c r="ET21" s="1">
        <f t="shared" si="31"/>
        <v>16.670000000000002</v>
      </c>
      <c r="EU21" s="1">
        <f t="shared" si="31"/>
        <v>16.670000000000002</v>
      </c>
      <c r="EV21" s="1">
        <f t="shared" si="31"/>
        <v>16.72</v>
      </c>
      <c r="EW21" s="1">
        <f t="shared" ref="EW21:FE24" si="42">+VLOOKUP(EW$1,ran_dat,$CF21,FALSE)</f>
        <v>16.77</v>
      </c>
      <c r="EX21" s="1">
        <f t="shared" si="42"/>
        <v>16.88</v>
      </c>
      <c r="EY21" s="1">
        <f t="shared" si="42"/>
        <v>16.93</v>
      </c>
      <c r="EZ21" s="1">
        <f t="shared" si="42"/>
        <v>16.97</v>
      </c>
      <c r="FA21" s="1">
        <f t="shared" si="42"/>
        <v>16.760000000000002</v>
      </c>
      <c r="FB21" s="1">
        <f t="shared" si="42"/>
        <v>16.89</v>
      </c>
      <c r="FC21" s="1">
        <f t="shared" si="42"/>
        <v>16.920000000000002</v>
      </c>
      <c r="FD21" s="1">
        <f t="shared" si="42"/>
        <v>16.899999999999999</v>
      </c>
      <c r="FE21" s="1">
        <f t="shared" si="42"/>
        <v>16.84</v>
      </c>
      <c r="FG21" s="162">
        <f t="shared" si="33"/>
        <v>-0.49443149636344952</v>
      </c>
    </row>
    <row r="22" spans="1:163" ht="18.75" customHeight="1">
      <c r="A22" s="243" t="s">
        <v>75</v>
      </c>
      <c r="B22" s="246"/>
      <c r="C22" s="156">
        <f t="shared" si="5"/>
        <v>0.66</v>
      </c>
      <c r="D22" s="198">
        <v>1</v>
      </c>
      <c r="E22" s="248">
        <f t="shared" si="6"/>
        <v>0</v>
      </c>
      <c r="F22" s="249">
        <f t="shared" si="7"/>
        <v>-4.0311711825180785E-2</v>
      </c>
      <c r="G22" s="248">
        <f t="shared" si="8"/>
        <v>5.4552644537791073E-2</v>
      </c>
      <c r="H22" s="249">
        <f t="shared" si="9"/>
        <v>-5.4552644537791073E-2</v>
      </c>
      <c r="I22" s="248">
        <f t="shared" si="10"/>
        <v>3.7743358507950244</v>
      </c>
      <c r="J22" s="249">
        <f t="shared" si="11"/>
        <v>1.1399109566747887</v>
      </c>
      <c r="K22" s="248">
        <f t="shared" si="34"/>
        <v>2.9669914689542924</v>
      </c>
      <c r="L22" s="249">
        <f t="shared" si="12"/>
        <v>0.80734438184073198</v>
      </c>
      <c r="M22" s="250"/>
      <c r="N22" s="24">
        <v>0</v>
      </c>
      <c r="O22" s="248">
        <f t="shared" si="35"/>
        <v>0.10289900078548864</v>
      </c>
      <c r="P22" s="251">
        <f t="shared" si="36"/>
        <v>0.10289900078548864</v>
      </c>
      <c r="Q22" s="248">
        <f t="shared" si="13"/>
        <v>-7.0102125429331252E-2</v>
      </c>
      <c r="R22" s="251">
        <f t="shared" si="37"/>
        <v>-7.0102125429331252E-2</v>
      </c>
      <c r="S22" s="250"/>
      <c r="T22" s="24">
        <v>1</v>
      </c>
      <c r="U22" s="248">
        <f t="shared" si="14"/>
        <v>-0.23871163907724924</v>
      </c>
      <c r="V22" s="252">
        <f t="shared" si="15"/>
        <v>-0.23871163907724924</v>
      </c>
      <c r="W22" s="248">
        <f t="shared" si="38"/>
        <v>-9.4161732039527934E-2</v>
      </c>
      <c r="X22" s="252">
        <f t="shared" si="16"/>
        <v>-9.4161732039527934E-2</v>
      </c>
      <c r="Y22" s="248" t="str">
        <f t="shared" si="17"/>
        <v/>
      </c>
      <c r="Z22" s="252" t="str">
        <f t="shared" si="18"/>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P22" s="28">
        <f>VLOOKUP($A22,historia!$A$5:$CM$24,+HLOOKUP(AP$2,historia!$A$3:$EC$4,2,FALSE),FALSE)</f>
        <v>4</v>
      </c>
      <c r="AQ22" s="28">
        <f>VLOOKUP($A22,historia!$A$5:$CM$24,+HLOOKUP(AQ$2,historia!$A$3:$EC$4,2,FALSE),FALSE)</f>
        <v>4</v>
      </c>
      <c r="AR22" s="28">
        <f>VLOOKUP($A22,historia!$A$5:$CM$24,+HLOOKUP(AR$2,historia!$A$3:$EC$4,2,FALSE),FALSE)</f>
        <v>4</v>
      </c>
      <c r="AS22" s="28">
        <f>VLOOKUP($A22,historia!$A$5:$CM$24,+HLOOKUP(AS$2,historia!$A$3:$EC$4,2,FALSE),FALSE)</f>
        <v>4</v>
      </c>
      <c r="AT22" s="58">
        <f>VLOOKUP($A22,historia!$A$5:$CM$24,+HLOOKUP(AT$2,historia!$A$3:$EC$4,2,FALSE),FALSE)</f>
        <v>3</v>
      </c>
      <c r="AU22" s="58">
        <f>VLOOKUP($A22,historia!$A$5:$CM$24,+HLOOKUP(AU$2,historia!$A$3:$EC$4,2,FALSE),FALSE)</f>
        <v>3</v>
      </c>
      <c r="AV22" s="58">
        <f>VLOOKUP($A22,historia!$A$5:$CM$24,+HLOOKUP(AV$2,historia!$A$3:$EC$4,2,FALSE),FALSE)</f>
        <v>3</v>
      </c>
      <c r="AW22" s="58">
        <f>VLOOKUP($A22,historia!$A$5:$CM$24,+HLOOKUP(AW$2,historia!$A$3:$EC$4,2,FALSE),FALSE)</f>
        <v>4</v>
      </c>
      <c r="AX22" s="58">
        <f>VLOOKUP($A22,historia!$A$5:$CM$24,+HLOOKUP(AX$2,historia!$A$3:$EC$4,2,FALSE),FALSE)</f>
        <v>4</v>
      </c>
      <c r="AY22" s="58">
        <f>VLOOKUP($A22,historia!$A$5:$CM$24,+HLOOKUP(AY$2,historia!$A$3:$EC$4,2,FALSE),FALSE)</f>
        <v>3</v>
      </c>
      <c r="AZ22" s="58">
        <f>VLOOKUP($A22,historia!$A$5:$CM$24,+HLOOKUP(AZ$2,historia!$A$3:$EC$4,2,FALSE),FALSE)</f>
        <v>2</v>
      </c>
      <c r="BA22" s="58">
        <f>VLOOKUP($A22,historia!$A$5:$CM$24,+HLOOKUP(BA$2,historia!$A$3:$EC$4,2,FALSE),FALSE)</f>
        <v>2</v>
      </c>
      <c r="BB22" s="30"/>
      <c r="BC22" s="141">
        <v>2</v>
      </c>
      <c r="BD22" t="str">
        <f t="shared" si="19"/>
        <v>Tabaco</v>
      </c>
      <c r="BE22">
        <f>+datos!BJ1</f>
        <v>62</v>
      </c>
      <c r="BF22" s="2" t="str">
        <f t="shared" si="4"/>
        <v>$/kg</v>
      </c>
      <c r="BG22" s="2">
        <f t="shared" si="4"/>
        <v>3420</v>
      </c>
      <c r="BH22" s="2">
        <f t="shared" si="4"/>
        <v>3420</v>
      </c>
      <c r="BI22" s="2">
        <f t="shared" si="4"/>
        <v>716.33</v>
      </c>
      <c r="BK22">
        <f>+datos!DA1</f>
        <v>105</v>
      </c>
      <c r="BL22" s="2">
        <f t="shared" si="20"/>
        <v>8136.1911606289141</v>
      </c>
      <c r="BM22" s="2">
        <f t="shared" si="20"/>
        <v>7715.3010831384281</v>
      </c>
      <c r="BN22" s="2">
        <f t="shared" si="20"/>
        <v>2050.9726890775573</v>
      </c>
      <c r="BP22" s="1">
        <f>+datos!FD1</f>
        <v>160</v>
      </c>
      <c r="BQ22" s="1">
        <f t="shared" si="21"/>
        <v>60376</v>
      </c>
      <c r="BR22" s="1">
        <f t="shared" si="21"/>
        <v>54743</v>
      </c>
      <c r="BT22" s="1">
        <f>+datos!GX1</f>
        <v>206</v>
      </c>
      <c r="BU22" s="1">
        <f t="shared" si="22"/>
        <v>30804.553</v>
      </c>
      <c r="BV22" s="1">
        <f t="shared" si="22"/>
        <v>33126.813000000002</v>
      </c>
      <c r="BX22" s="1">
        <f>+datos!KC1</f>
        <v>289</v>
      </c>
      <c r="BY22" s="1">
        <f t="shared" si="39"/>
        <v>509.94789738000003</v>
      </c>
      <c r="BZ22" s="1">
        <f t="shared" si="40"/>
        <v>669.84854038999993</v>
      </c>
      <c r="CB22" s="1">
        <f>+datos!LH1</f>
        <v>320</v>
      </c>
      <c r="CC22" s="2">
        <f t="shared" si="23"/>
        <v>54.583515200000001</v>
      </c>
      <c r="CD22" s="2">
        <f t="shared" si="24"/>
        <v>60.25746221</v>
      </c>
      <c r="CF22" s="1">
        <f>+datos!JD1</f>
        <v>264</v>
      </c>
      <c r="CG22" s="1">
        <f t="shared" si="25"/>
        <v>0</v>
      </c>
      <c r="CH22" s="1">
        <f t="shared" si="26"/>
        <v>0</v>
      </c>
      <c r="CJ22" s="1">
        <f t="shared" ref="CJ22:CY24" si="43">+VLOOKUP(CJ$1,ran_dat,$BX22,FALSE)</f>
        <v>56.365947810000002</v>
      </c>
      <c r="CK22" s="1">
        <f t="shared" si="43"/>
        <v>58.671597329999997</v>
      </c>
      <c r="CL22" s="1">
        <f t="shared" si="43"/>
        <v>31.625168280000004</v>
      </c>
      <c r="CM22" s="1">
        <f t="shared" si="43"/>
        <v>17.697801470000002</v>
      </c>
      <c r="CN22" s="1">
        <f t="shared" si="43"/>
        <v>30.191481329999998</v>
      </c>
      <c r="CO22" s="1">
        <f t="shared" si="43"/>
        <v>36.249269399999989</v>
      </c>
      <c r="CP22" s="1">
        <f t="shared" si="43"/>
        <v>40.108989959999995</v>
      </c>
      <c r="CQ22" s="1">
        <f t="shared" si="43"/>
        <v>56.890802439999995</v>
      </c>
      <c r="CR22" s="1">
        <f t="shared" si="43"/>
        <v>36.8257318</v>
      </c>
      <c r="CS22" s="1">
        <f t="shared" si="43"/>
        <v>51.381121719999996</v>
      </c>
      <c r="CT22" s="1">
        <f t="shared" si="43"/>
        <v>33.051481680000002</v>
      </c>
      <c r="CU22" s="1">
        <f t="shared" si="43"/>
        <v>60.888504160000004</v>
      </c>
      <c r="CV22" s="1">
        <f t="shared" si="43"/>
        <v>55.773078730000002</v>
      </c>
      <c r="CW22" s="1">
        <f t="shared" si="43"/>
        <v>34.825160650000001</v>
      </c>
      <c r="CX22" s="1">
        <f t="shared" si="43"/>
        <v>19.014000799999998</v>
      </c>
      <c r="CY22" s="1">
        <f t="shared" si="43"/>
        <v>13.328405800000001</v>
      </c>
      <c r="CZ22" s="1">
        <f t="shared" ref="CZ22:DG24" si="44">+VLOOKUP(CZ$1,ran_dat,$BX22,FALSE)</f>
        <v>41.736807310000003</v>
      </c>
      <c r="DA22" s="1">
        <f t="shared" si="44"/>
        <v>99.771490689999993</v>
      </c>
      <c r="DB22" s="1">
        <f t="shared" si="44"/>
        <v>36.311671529999998</v>
      </c>
      <c r="DC22" s="1">
        <f t="shared" si="44"/>
        <v>57.64022373000001</v>
      </c>
      <c r="DD22" s="1">
        <f t="shared" si="44"/>
        <v>136.09986096</v>
      </c>
      <c r="DE22" s="1">
        <f t="shared" si="44"/>
        <v>67.887772890000008</v>
      </c>
      <c r="DF22" s="1">
        <f t="shared" si="44"/>
        <v>57.086864629999994</v>
      </c>
      <c r="DG22" s="1">
        <f t="shared" si="44"/>
        <v>50.373202669999998</v>
      </c>
      <c r="DI22" s="1">
        <f t="shared" ref="DI22:DX24" si="45">+VLOOKUP(DI$1,ran_dat,$CB22,FALSE)</f>
        <v>1.1636776099999999</v>
      </c>
      <c r="DJ22" s="1">
        <f t="shared" si="45"/>
        <v>4.3331795800000004</v>
      </c>
      <c r="DK22" s="1">
        <f t="shared" si="45"/>
        <v>5.5991701699999998</v>
      </c>
      <c r="DL22" s="1">
        <f t="shared" si="45"/>
        <v>5.1284923700000009</v>
      </c>
      <c r="DM22" s="1">
        <f t="shared" si="45"/>
        <v>4.8853449399999995</v>
      </c>
      <c r="DN22" s="1">
        <f t="shared" si="45"/>
        <v>4.5019780499999991</v>
      </c>
      <c r="DO22" s="1">
        <f t="shared" si="45"/>
        <v>3.2870284000000001</v>
      </c>
      <c r="DP22" s="1">
        <f t="shared" si="45"/>
        <v>2.2553329799999999</v>
      </c>
      <c r="DQ22" s="1">
        <f t="shared" si="45"/>
        <v>4.9563280900000004</v>
      </c>
      <c r="DR22" s="1">
        <f t="shared" si="45"/>
        <v>5.4312745199999997</v>
      </c>
      <c r="DS22" s="1">
        <f t="shared" si="45"/>
        <v>5.9427570699999999</v>
      </c>
      <c r="DT22" s="1">
        <f t="shared" si="45"/>
        <v>7.0989514199999997</v>
      </c>
      <c r="DU22" s="1">
        <f t="shared" si="45"/>
        <v>8.0901624599999984</v>
      </c>
      <c r="DV22" s="1">
        <f t="shared" si="45"/>
        <v>8.5152603000000013</v>
      </c>
      <c r="DW22" s="1">
        <f t="shared" si="45"/>
        <v>6.4262316399999984</v>
      </c>
      <c r="DX22" s="1">
        <f t="shared" si="45"/>
        <v>5.5724239500000001</v>
      </c>
      <c r="DY22" s="1">
        <f t="shared" si="41"/>
        <v>6.0969073500000004</v>
      </c>
      <c r="DZ22" s="1">
        <f t="shared" si="41"/>
        <v>3.8674547000000001</v>
      </c>
      <c r="EA22" s="1">
        <f t="shared" si="41"/>
        <v>3.6075394200000002</v>
      </c>
      <c r="EB22" s="1">
        <f t="shared" si="41"/>
        <v>4.0127527599999997</v>
      </c>
      <c r="EC22" s="1">
        <f t="shared" si="41"/>
        <v>4.23429112</v>
      </c>
      <c r="ED22" s="1">
        <f t="shared" si="41"/>
        <v>0</v>
      </c>
      <c r="EE22" s="1">
        <f t="shared" si="41"/>
        <v>4.5847165599999995</v>
      </c>
      <c r="EF22" s="1">
        <f t="shared" si="41"/>
        <v>5.2497219499999996</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3"/>
        <v>0.80734438184073198</v>
      </c>
    </row>
    <row r="23" spans="1:163" ht="18.75" customHeight="1">
      <c r="A23" s="244" t="s">
        <v>219</v>
      </c>
      <c r="B23" s="247"/>
      <c r="C23" s="228">
        <f t="shared" si="5"/>
        <v>-0.99</v>
      </c>
      <c r="D23" s="229">
        <v>-1</v>
      </c>
      <c r="E23" s="253">
        <f t="shared" si="6"/>
        <v>3.1751552084102741E-4</v>
      </c>
      <c r="F23" s="254">
        <f t="shared" si="7"/>
        <v>-3.9994196304339757E-2</v>
      </c>
      <c r="G23" s="253">
        <f t="shared" si="8"/>
        <v>4.4605655524519117E-2</v>
      </c>
      <c r="H23" s="254">
        <f t="shared" si="9"/>
        <v>-4.4288140003678089E-2</v>
      </c>
      <c r="I23" s="253">
        <f t="shared" si="10"/>
        <v>1.3501835266577498</v>
      </c>
      <c r="J23" s="254">
        <f t="shared" si="11"/>
        <v>-1.284241367462486</v>
      </c>
      <c r="K23" s="253">
        <f t="shared" si="34"/>
        <v>2.3463851533720286</v>
      </c>
      <c r="L23" s="254">
        <f t="shared" si="12"/>
        <v>-0.99620162671427881</v>
      </c>
      <c r="M23" s="255"/>
      <c r="N23" s="256">
        <v>-2</v>
      </c>
      <c r="O23" s="253">
        <f t="shared" si="35"/>
        <v>-2.3925173422115087E-2</v>
      </c>
      <c r="P23" s="257">
        <f t="shared" si="36"/>
        <v>-2.3925173422115087E-2</v>
      </c>
      <c r="Q23" s="253">
        <f t="shared" si="13"/>
        <v>0.31859999476400835</v>
      </c>
      <c r="R23" s="257">
        <f t="shared" si="37"/>
        <v>0.31859999476400835</v>
      </c>
      <c r="S23" s="255"/>
      <c r="T23" s="256">
        <v>0</v>
      </c>
      <c r="U23" s="253">
        <f t="shared" si="14"/>
        <v>-5.2290336358872924E-2</v>
      </c>
      <c r="V23" s="258">
        <f t="shared" si="15"/>
        <v>-5.2290336358872924E-2</v>
      </c>
      <c r="W23" s="253">
        <f t="shared" si="38"/>
        <v>-0.22845780375234725</v>
      </c>
      <c r="X23" s="258">
        <f t="shared" si="16"/>
        <v>-0.22845780375234725</v>
      </c>
      <c r="Y23" s="253">
        <f t="shared" si="17"/>
        <v>-2.39520958083832E-2</v>
      </c>
      <c r="Z23" s="258">
        <f t="shared" si="18"/>
        <v>-2.39520958083832E-2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5</v>
      </c>
      <c r="AX23" s="58">
        <f>VLOOKUP($A23,historia!$A$5:$CM$24,+HLOOKUP(AX$2,historia!$A$3:$EC$4,2,FALSE),FALSE)</f>
        <v>5</v>
      </c>
      <c r="AY23" s="58">
        <f>VLOOKUP($A23,historia!$A$5:$CM$24,+HLOOKUP(AY$2,historia!$A$3:$EC$4,2,FALSE),FALSE)</f>
        <v>5</v>
      </c>
      <c r="AZ23" s="58">
        <f>VLOOKUP($A23,historia!$A$5:$CM$24,+HLOOKUP(AZ$2,historia!$A$3:$EC$4,2,FALSE),FALSE)</f>
        <v>5</v>
      </c>
      <c r="BA23" s="58">
        <f>VLOOKUP($A23,historia!$A$5:$CM$24,+HLOOKUP(BA$2,historia!$A$3:$EC$4,2,FALSE),FALSE)</f>
        <v>4</v>
      </c>
      <c r="BB23" s="30"/>
      <c r="BC23" s="141">
        <v>4</v>
      </c>
      <c r="BD23" t="str">
        <f t="shared" si="19"/>
        <v>Vino y Mosto</v>
      </c>
      <c r="BE23">
        <f>+datos!AM1</f>
        <v>39</v>
      </c>
      <c r="BF23" s="2" t="str">
        <f t="shared" si="4"/>
        <v>$/l</v>
      </c>
      <c r="BG23" s="2">
        <f t="shared" si="4"/>
        <v>363.56220000000002</v>
      </c>
      <c r="BH23" s="2">
        <f t="shared" si="4"/>
        <v>363.4468</v>
      </c>
      <c r="BI23" s="2">
        <f t="shared" si="4"/>
        <v>154.69523800000002</v>
      </c>
      <c r="BK23">
        <f>+datos!CP1</f>
        <v>94</v>
      </c>
      <c r="BL23" s="2">
        <f t="shared" si="20"/>
        <v>9542.9664192772871</v>
      </c>
      <c r="BM23" s="2">
        <f t="shared" si="20"/>
        <v>9135.4726722071573</v>
      </c>
      <c r="BN23" s="2">
        <f t="shared" si="20"/>
        <v>2851.7238697587431</v>
      </c>
      <c r="BP23" s="1">
        <f>+datos!EF1</f>
        <v>136</v>
      </c>
      <c r="BQ23" s="1">
        <f t="shared" si="21"/>
        <v>199946</v>
      </c>
      <c r="BR23" s="1">
        <f t="shared" si="21"/>
        <v>204847</v>
      </c>
      <c r="BT23" s="1">
        <f>+datos!GB1</f>
        <v>184</v>
      </c>
      <c r="BU23" s="1">
        <f t="shared" si="22"/>
        <v>19189740</v>
      </c>
      <c r="BV23" s="1">
        <f t="shared" si="22"/>
        <v>14553117</v>
      </c>
      <c r="BX23" s="1">
        <f>+datos!JU1</f>
        <v>281</v>
      </c>
      <c r="BY23" s="1">
        <f t="shared" si="39"/>
        <v>911.28911832999984</v>
      </c>
      <c r="BZ23" s="1">
        <f t="shared" si="40"/>
        <v>961.56993359000001</v>
      </c>
      <c r="CB23" s="1">
        <f>+datos!KZ1</f>
        <v>312</v>
      </c>
      <c r="CC23" s="2">
        <f t="shared" si="23"/>
        <v>13.813026689999999</v>
      </c>
      <c r="CD23" s="2">
        <f t="shared" si="24"/>
        <v>17.90313836</v>
      </c>
      <c r="CF23" s="1">
        <f>+datos!IQ1</f>
        <v>251</v>
      </c>
      <c r="CG23" s="1">
        <f t="shared" si="25"/>
        <v>16.3</v>
      </c>
      <c r="CH23" s="1">
        <f t="shared" si="26"/>
        <v>16.7</v>
      </c>
      <c r="CJ23" s="1">
        <f t="shared" si="43"/>
        <v>115.95052356999999</v>
      </c>
      <c r="CK23" s="1">
        <f t="shared" si="43"/>
        <v>55.887516779999999</v>
      </c>
      <c r="CL23" s="1">
        <f t="shared" si="43"/>
        <v>84.428757199999993</v>
      </c>
      <c r="CM23" s="1">
        <f t="shared" si="43"/>
        <v>70.799436420000006</v>
      </c>
      <c r="CN23" s="1">
        <f t="shared" si="43"/>
        <v>83.547570889999989</v>
      </c>
      <c r="CO23" s="1">
        <f t="shared" si="43"/>
        <v>59.429446169999991</v>
      </c>
      <c r="CP23" s="1">
        <f t="shared" si="43"/>
        <v>57.397509530000008</v>
      </c>
      <c r="CQ23" s="1">
        <f t="shared" si="43"/>
        <v>71.762443020000006</v>
      </c>
      <c r="CR23" s="1">
        <f t="shared" si="43"/>
        <v>76.246675170000003</v>
      </c>
      <c r="CS23" s="1">
        <f t="shared" si="43"/>
        <v>81.396405279999982</v>
      </c>
      <c r="CT23" s="1">
        <f t="shared" si="43"/>
        <v>86.673250950000011</v>
      </c>
      <c r="CU23" s="1">
        <f t="shared" si="43"/>
        <v>67.769583350000005</v>
      </c>
      <c r="CV23" s="1">
        <f t="shared" si="43"/>
        <v>79.411450110000018</v>
      </c>
      <c r="CW23" s="1">
        <f t="shared" si="43"/>
        <v>61.526627820000002</v>
      </c>
      <c r="CX23" s="1">
        <f t="shared" si="43"/>
        <v>82.508437450000031</v>
      </c>
      <c r="CY23" s="1">
        <f t="shared" si="43"/>
        <v>73.17738731</v>
      </c>
      <c r="CZ23" s="1">
        <f t="shared" si="44"/>
        <v>70.498219510000013</v>
      </c>
      <c r="DA23" s="1">
        <f t="shared" si="44"/>
        <v>58.070113270000007</v>
      </c>
      <c r="DB23" s="1">
        <f t="shared" si="44"/>
        <v>66.649594010000001</v>
      </c>
      <c r="DC23" s="1">
        <f t="shared" si="44"/>
        <v>76.334805869999997</v>
      </c>
      <c r="DD23" s="1">
        <f t="shared" si="44"/>
        <v>77.449795309999999</v>
      </c>
      <c r="DE23" s="1">
        <f t="shared" si="44"/>
        <v>104.26238703999999</v>
      </c>
      <c r="DF23" s="1">
        <f t="shared" si="44"/>
        <v>101.4021353</v>
      </c>
      <c r="DG23" s="1">
        <f t="shared" si="44"/>
        <v>110.27898059000003</v>
      </c>
      <c r="DI23" s="1">
        <f t="shared" si="45"/>
        <v>2.3161338599999999</v>
      </c>
      <c r="DJ23" s="1">
        <f t="shared" si="45"/>
        <v>0.34545517000000003</v>
      </c>
      <c r="DK23" s="1">
        <f t="shared" si="45"/>
        <v>1.3068112300000001</v>
      </c>
      <c r="DL23" s="1">
        <f t="shared" si="45"/>
        <v>1.01985657</v>
      </c>
      <c r="DM23" s="1">
        <f t="shared" si="45"/>
        <v>0.49471243999999998</v>
      </c>
      <c r="DN23" s="1">
        <f t="shared" si="45"/>
        <v>0.76659119999999992</v>
      </c>
      <c r="DO23" s="1">
        <f t="shared" si="45"/>
        <v>0.41683354000000006</v>
      </c>
      <c r="DP23" s="1">
        <f t="shared" si="45"/>
        <v>1.01193058</v>
      </c>
      <c r="DQ23" s="1">
        <f t="shared" si="45"/>
        <v>1.2280305999999999</v>
      </c>
      <c r="DR23" s="1">
        <f t="shared" si="45"/>
        <v>1.7214946800000002</v>
      </c>
      <c r="DS23" s="1">
        <f t="shared" si="45"/>
        <v>1.3147188099999998</v>
      </c>
      <c r="DT23" s="1">
        <f t="shared" si="45"/>
        <v>1.8704580099999999</v>
      </c>
      <c r="DU23" s="1">
        <f t="shared" si="45"/>
        <v>1.2166211999999998</v>
      </c>
      <c r="DV23" s="1">
        <f t="shared" si="45"/>
        <v>1.2618213600000001</v>
      </c>
      <c r="DW23" s="1">
        <f t="shared" si="45"/>
        <v>2.6711612799999997</v>
      </c>
      <c r="DX23" s="1">
        <f t="shared" si="45"/>
        <v>1.8665371000000002</v>
      </c>
      <c r="DY23" s="1">
        <f t="shared" si="41"/>
        <v>1.1160735099999999</v>
      </c>
      <c r="DZ23" s="1">
        <f t="shared" si="41"/>
        <v>0.32453726999999999</v>
      </c>
      <c r="EA23" s="1">
        <f t="shared" si="41"/>
        <v>0.12503209999999998</v>
      </c>
      <c r="EB23" s="1">
        <f t="shared" si="41"/>
        <v>0.47826376000000004</v>
      </c>
      <c r="EC23" s="1">
        <f t="shared" si="41"/>
        <v>2.89069318</v>
      </c>
      <c r="ED23" s="1">
        <f t="shared" si="41"/>
        <v>1.35471261</v>
      </c>
      <c r="EE23" s="1">
        <f t="shared" si="41"/>
        <v>2.7470526999999998</v>
      </c>
      <c r="EF23" s="1">
        <f t="shared" si="41"/>
        <v>1.8506322900000001</v>
      </c>
      <c r="EH23" s="14">
        <f t="shared" si="46"/>
        <v>16.3</v>
      </c>
      <c r="EI23" s="14">
        <f t="shared" si="46"/>
        <v>16.3</v>
      </c>
      <c r="EJ23" s="1">
        <f t="shared" si="46"/>
        <v>16.3</v>
      </c>
      <c r="EK23" s="1">
        <f t="shared" si="46"/>
        <v>16.3</v>
      </c>
      <c r="EL23" s="1">
        <f t="shared" si="46"/>
        <v>16.3</v>
      </c>
      <c r="EM23" s="1">
        <f t="shared" si="46"/>
        <v>16.3</v>
      </c>
      <c r="EN23" s="1">
        <f t="shared" si="46"/>
        <v>16.3</v>
      </c>
      <c r="EO23" s="1">
        <f t="shared" si="46"/>
        <v>16.7</v>
      </c>
      <c r="EP23" s="1">
        <f t="shared" si="46"/>
        <v>16.7</v>
      </c>
      <c r="EQ23" s="1">
        <f t="shared" si="46"/>
        <v>16.7</v>
      </c>
      <c r="ER23" s="1">
        <f t="shared" si="46"/>
        <v>16.7</v>
      </c>
      <c r="ES23" s="1">
        <f t="shared" si="46"/>
        <v>16.7</v>
      </c>
      <c r="ET23" s="1">
        <f t="shared" si="46"/>
        <v>16.7</v>
      </c>
      <c r="EU23" s="1">
        <f t="shared" si="46"/>
        <v>16.7</v>
      </c>
      <c r="EV23" s="1">
        <f t="shared" si="46"/>
        <v>16.7</v>
      </c>
      <c r="EW23" s="1">
        <f t="shared" si="46"/>
        <v>16.7</v>
      </c>
      <c r="EX23" s="1">
        <f t="shared" si="42"/>
        <v>16.7</v>
      </c>
      <c r="EY23" s="1">
        <f t="shared" si="42"/>
        <v>16.7</v>
      </c>
      <c r="EZ23" s="1">
        <f t="shared" si="42"/>
        <v>16.7</v>
      </c>
      <c r="FA23" s="1">
        <f t="shared" si="42"/>
        <v>18</v>
      </c>
      <c r="FB23" s="1">
        <f t="shared" si="42"/>
        <v>18</v>
      </c>
      <c r="FC23" s="1">
        <f t="shared" si="42"/>
        <v>18</v>
      </c>
      <c r="FD23" s="1">
        <f t="shared" si="42"/>
        <v>18</v>
      </c>
      <c r="FE23" s="1">
        <f t="shared" si="42"/>
        <v>18</v>
      </c>
      <c r="FG23" s="162">
        <f t="shared" si="33"/>
        <v>-0.99620162671427881</v>
      </c>
    </row>
    <row r="24" spans="1:163" ht="18.75" customHeight="1">
      <c r="A24" s="243" t="s">
        <v>39</v>
      </c>
      <c r="B24" s="246"/>
      <c r="C24" s="156">
        <f t="shared" si="5"/>
        <v>-0.65999999999999992</v>
      </c>
      <c r="D24" s="198">
        <v>-3</v>
      </c>
      <c r="E24" s="248">
        <f t="shared" si="6"/>
        <v>-6.6666666666666652E-2</v>
      </c>
      <c r="F24" s="249">
        <f t="shared" si="7"/>
        <v>-0.10697837849184744</v>
      </c>
      <c r="G24" s="248">
        <f t="shared" si="8"/>
        <v>4.5905535024404864E-2</v>
      </c>
      <c r="H24" s="249">
        <f t="shared" si="9"/>
        <v>-0.11257220169107152</v>
      </c>
      <c r="I24" s="248">
        <f t="shared" si="10"/>
        <v>1.3333333333333335</v>
      </c>
      <c r="J24" s="249">
        <f t="shared" si="11"/>
        <v>-1.3010915607869022</v>
      </c>
      <c r="K24" s="248">
        <f t="shared" si="34"/>
        <v>2.8874378116949329</v>
      </c>
      <c r="L24" s="249">
        <f t="shared" si="12"/>
        <v>-1.5541044783615994</v>
      </c>
      <c r="M24" s="250"/>
      <c r="N24" s="24">
        <v>1</v>
      </c>
      <c r="O24" s="248">
        <f t="shared" si="35"/>
        <v>3.6432873308666736E-2</v>
      </c>
      <c r="P24" s="251">
        <f t="shared" si="36"/>
        <v>3.6432873308666736E-2</v>
      </c>
      <c r="Q24" s="248">
        <f t="shared" si="13"/>
        <v>0.23612900457723573</v>
      </c>
      <c r="R24" s="251">
        <f t="shared" si="37"/>
        <v>0.23612900457723573</v>
      </c>
      <c r="S24" s="250"/>
      <c r="T24" s="24">
        <v>0</v>
      </c>
      <c r="U24" s="248">
        <f t="shared" si="14"/>
        <v>-5.5134586618102555E-2</v>
      </c>
      <c r="V24" s="252">
        <f t="shared" si="15"/>
        <v>-5.5134586618102555E-2</v>
      </c>
      <c r="W24" s="248">
        <f t="shared" si="38"/>
        <v>0.47835295128829669</v>
      </c>
      <c r="X24" s="258">
        <f t="shared" si="16"/>
        <v>0.47835295128829669</v>
      </c>
      <c r="Y24" s="248">
        <f t="shared" si="17"/>
        <v>-9.2922519141609095E-2</v>
      </c>
      <c r="Z24" s="252">
        <f t="shared" si="18"/>
        <v>-9.2922519141609095E-2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P24" s="28">
        <f>VLOOKUP($A24,historia!$A$5:$CM$24,+HLOOKUP(AP$2,historia!$A$3:$EC$4,2,FALSE),FALSE)</f>
        <v>2</v>
      </c>
      <c r="AQ24" s="28">
        <f>VLOOKUP($A24,historia!$A$5:$CM$24,+HLOOKUP(AQ$2,historia!$A$3:$EC$4,2,FALSE),FALSE)</f>
        <v>2</v>
      </c>
      <c r="AR24" s="28">
        <f>VLOOKUP($A24,historia!$A$5:$CM$24,+HLOOKUP(AR$2,historia!$A$3:$EC$4,2,FALSE),FALSE)</f>
        <v>2</v>
      </c>
      <c r="AS24" s="28">
        <f>VLOOKUP($A24,historia!$A$5:$CM$24,+HLOOKUP(AS$2,historia!$A$3:$EC$4,2,FALSE),FALSE)</f>
        <v>2</v>
      </c>
      <c r="AT24" s="58">
        <f>VLOOKUP($A24,historia!$A$5:$CM$24,+HLOOKUP(AT$2,historia!$A$3:$EC$4,2,FALSE),FALSE)</f>
        <v>3</v>
      </c>
      <c r="AU24" s="58">
        <f>VLOOKUP($A24,historia!$A$5:$CM$24,+HLOOKUP(AU$2,historia!$A$3:$EC$4,2,FALSE),FALSE)</f>
        <v>2</v>
      </c>
      <c r="AV24" s="58">
        <f>VLOOKUP($A24,historia!$A$5:$CM$24,+HLOOKUP(AV$2,historia!$A$3:$EC$4,2,FALSE),FALSE)</f>
        <v>2</v>
      </c>
      <c r="AW24" s="58">
        <f>VLOOKUP($A24,historia!$A$5:$CM$24,+HLOOKUP(AW$2,historia!$A$3:$EC$4,2,FALSE),FALSE)</f>
        <v>2</v>
      </c>
      <c r="AX24" s="58">
        <f>VLOOKUP($A24,historia!$A$5:$CM$24,+HLOOKUP(AX$2,historia!$A$3:$EC$4,2,FALSE),FALSE)</f>
        <v>4</v>
      </c>
      <c r="AY24" s="58">
        <f>VLOOKUP($A24,historia!$A$5:$CM$24,+HLOOKUP(AY$2,historia!$A$3:$EC$4,2,FALSE),FALSE)</f>
        <v>4</v>
      </c>
      <c r="AZ24" s="58">
        <f>VLOOKUP($A24,historia!$A$5:$CM$24,+HLOOKUP(AZ$2,historia!$A$3:$EC$4,2,FALSE),FALSE)</f>
        <v>4</v>
      </c>
      <c r="BA24" s="58">
        <f>VLOOKUP($A24,historia!$A$5:$CM$24,+HLOOKUP(BA$2,historia!$A$3:$EC$4,2,FALSE),FALSE)</f>
        <v>4</v>
      </c>
      <c r="BB24" s="30"/>
      <c r="BC24" s="141">
        <v>4</v>
      </c>
      <c r="BD24" t="str">
        <f t="shared" si="19"/>
        <v>Yerba Mate</v>
      </c>
      <c r="BE24">
        <f>+datos!AG1</f>
        <v>33</v>
      </c>
      <c r="BF24" s="2" t="str">
        <f t="shared" si="4"/>
        <v>$/t</v>
      </c>
      <c r="BG24" s="2">
        <f t="shared" si="4"/>
        <v>280000</v>
      </c>
      <c r="BH24" s="2">
        <f t="shared" si="4"/>
        <v>300000</v>
      </c>
      <c r="BI24" s="2">
        <f t="shared" si="4"/>
        <v>120000</v>
      </c>
      <c r="BK24">
        <f>+datos!CY1</f>
        <v>103</v>
      </c>
      <c r="BL24" s="2">
        <f t="shared" si="20"/>
        <v>7918.7900794156885</v>
      </c>
      <c r="BM24" s="2">
        <f t="shared" si="20"/>
        <v>7571.2287718516691</v>
      </c>
      <c r="BN24" s="2">
        <f t="shared" si="20"/>
        <v>2037.0203879771072</v>
      </c>
      <c r="BP24" s="1">
        <f>+datos!ED1</f>
        <v>134</v>
      </c>
      <c r="BQ24" s="1">
        <f t="shared" si="21"/>
        <v>230256</v>
      </c>
      <c r="BR24" s="1">
        <f t="shared" si="21"/>
        <v>222162</v>
      </c>
      <c r="BT24" s="1">
        <f>+datos!FZ1</f>
        <v>182</v>
      </c>
      <c r="BU24" s="1">
        <f t="shared" si="22"/>
        <v>991201.5</v>
      </c>
      <c r="BV24" s="1">
        <f t="shared" si="22"/>
        <v>801859.26900000009</v>
      </c>
      <c r="BX24" s="1">
        <f>+datos!KD1</f>
        <v>290</v>
      </c>
      <c r="BY24" s="1">
        <f t="shared" si="39"/>
        <v>112.4517362</v>
      </c>
      <c r="BZ24" s="1">
        <f t="shared" si="40"/>
        <v>119.01349611000001</v>
      </c>
      <c r="CB24" s="1">
        <f>+datos!LI1</f>
        <v>321</v>
      </c>
      <c r="CC24" s="2">
        <f t="shared" si="23"/>
        <v>23.69409546</v>
      </c>
      <c r="CD24" s="2">
        <f t="shared" si="24"/>
        <v>16.027360340000001</v>
      </c>
      <c r="CF24" s="1">
        <f>+datos!IP1</f>
        <v>250</v>
      </c>
      <c r="CG24" s="1">
        <f t="shared" si="25"/>
        <v>5.5693606783423002</v>
      </c>
      <c r="CH24" s="1">
        <f t="shared" si="26"/>
        <v>6.139895208369488</v>
      </c>
      <c r="CJ24" s="1">
        <f t="shared" si="43"/>
        <v>8.3006057400000017</v>
      </c>
      <c r="CK24" s="1">
        <f t="shared" si="43"/>
        <v>11.077079630000002</v>
      </c>
      <c r="CL24" s="1">
        <f t="shared" si="43"/>
        <v>7.2906957700000001</v>
      </c>
      <c r="CM24" s="1">
        <f t="shared" si="43"/>
        <v>8.852789640000001</v>
      </c>
      <c r="CN24" s="1">
        <f t="shared" si="43"/>
        <v>12.408222910000001</v>
      </c>
      <c r="CO24" s="1">
        <f t="shared" si="43"/>
        <v>8.8663402400000013</v>
      </c>
      <c r="CP24" s="1">
        <f t="shared" si="43"/>
        <v>9.2397224899999983</v>
      </c>
      <c r="CQ24" s="1">
        <f t="shared" si="43"/>
        <v>7.1224329199999996</v>
      </c>
      <c r="CR24" s="1">
        <f t="shared" si="43"/>
        <v>8.6156523299999996</v>
      </c>
      <c r="CS24" s="1">
        <f t="shared" si="43"/>
        <v>10.17972451</v>
      </c>
      <c r="CT24" s="1">
        <f t="shared" si="43"/>
        <v>11.833514059999999</v>
      </c>
      <c r="CU24" s="1">
        <f t="shared" si="43"/>
        <v>8.6649559600000003</v>
      </c>
      <c r="CV24" s="1">
        <f t="shared" si="43"/>
        <v>8.6995030900000003</v>
      </c>
      <c r="CW24" s="1">
        <f t="shared" si="43"/>
        <v>9.3876240000000006</v>
      </c>
      <c r="CX24" s="1">
        <f t="shared" si="43"/>
        <v>8.6499339499999994</v>
      </c>
      <c r="CY24" s="1">
        <f t="shared" si="43"/>
        <v>10.5511423</v>
      </c>
      <c r="CZ24" s="1">
        <f t="shared" si="44"/>
        <v>12.484662230000001</v>
      </c>
      <c r="DA24" s="1">
        <f t="shared" si="44"/>
        <v>8.9774099899999982</v>
      </c>
      <c r="DB24" s="1">
        <f t="shared" si="44"/>
        <v>3.3752363299999999</v>
      </c>
      <c r="DC24" s="1">
        <f t="shared" si="44"/>
        <v>8.5781493200000014</v>
      </c>
      <c r="DD24" s="1">
        <f t="shared" si="44"/>
        <v>11.086418249999999</v>
      </c>
      <c r="DE24" s="1">
        <f t="shared" si="44"/>
        <v>17.188054299999997</v>
      </c>
      <c r="DF24" s="1">
        <f t="shared" si="44"/>
        <v>10.47783802</v>
      </c>
      <c r="DG24" s="1">
        <f t="shared" si="44"/>
        <v>9.5575243299999997</v>
      </c>
      <c r="DI24" s="1">
        <f t="shared" si="45"/>
        <v>1.7316709800000001</v>
      </c>
      <c r="DJ24" s="1">
        <f t="shared" si="45"/>
        <v>1.1554743999999999</v>
      </c>
      <c r="DK24" s="1">
        <f t="shared" si="45"/>
        <v>1.50586095</v>
      </c>
      <c r="DL24" s="1">
        <f t="shared" si="45"/>
        <v>3.2398820599999998</v>
      </c>
      <c r="DM24" s="1">
        <f t="shared" si="45"/>
        <v>3.1775986299999999</v>
      </c>
      <c r="DN24" s="1">
        <f t="shared" si="45"/>
        <v>2.4176205400000002</v>
      </c>
      <c r="DO24" s="1">
        <f t="shared" si="45"/>
        <v>1.0621514699999999</v>
      </c>
      <c r="DP24" s="1">
        <f t="shared" si="45"/>
        <v>1.8796713600000001</v>
      </c>
      <c r="DQ24" s="1">
        <f t="shared" si="45"/>
        <v>2.4189343299999999</v>
      </c>
      <c r="DR24" s="1">
        <f t="shared" si="45"/>
        <v>2.31537419</v>
      </c>
      <c r="DS24" s="1">
        <f t="shared" si="45"/>
        <v>1.6581343500000001</v>
      </c>
      <c r="DT24" s="1">
        <f t="shared" si="45"/>
        <v>1.1317222</v>
      </c>
      <c r="DU24" s="1">
        <f t="shared" si="45"/>
        <v>1.25031731</v>
      </c>
      <c r="DV24" s="1">
        <f t="shared" si="45"/>
        <v>1.1220479999999999</v>
      </c>
      <c r="DW24" s="1">
        <f t="shared" si="45"/>
        <v>1.06290057</v>
      </c>
      <c r="DX24" s="1">
        <f t="shared" si="45"/>
        <v>0.94532128999999998</v>
      </c>
      <c r="DY24" s="1">
        <f t="shared" si="41"/>
        <v>0.74918092999999997</v>
      </c>
      <c r="DZ24" s="1">
        <f t="shared" si="41"/>
        <v>0.38311624</v>
      </c>
      <c r="EA24" s="1">
        <f t="shared" si="41"/>
        <v>0.75479300000000005</v>
      </c>
      <c r="EB24" s="1">
        <f t="shared" si="41"/>
        <v>0.25391999999999998</v>
      </c>
      <c r="EC24" s="1">
        <f t="shared" si="41"/>
        <v>0.77264063999999999</v>
      </c>
      <c r="ED24" s="1">
        <f t="shared" si="41"/>
        <v>0.73566756000000011</v>
      </c>
      <c r="EE24" s="1">
        <f t="shared" si="41"/>
        <v>2.5187011699999999</v>
      </c>
      <c r="EF24" s="1">
        <f t="shared" si="41"/>
        <v>5.4787536300000008</v>
      </c>
      <c r="EH24" s="14">
        <f t="shared" si="46"/>
        <v>5.5693606783423002</v>
      </c>
      <c r="EI24" s="14">
        <f t="shared" si="46"/>
        <v>5.5693606783423002</v>
      </c>
      <c r="EJ24" s="1">
        <f t="shared" si="46"/>
        <v>5.5693606783423002</v>
      </c>
      <c r="EK24" s="1">
        <f t="shared" si="46"/>
        <v>5.5693606783423002</v>
      </c>
      <c r="EL24" s="1">
        <f t="shared" si="46"/>
        <v>5.5693606783423002</v>
      </c>
      <c r="EM24" s="1">
        <f t="shared" si="46"/>
        <v>5.5693606783423002</v>
      </c>
      <c r="EN24" s="1">
        <f t="shared" si="46"/>
        <v>5.5693606783423002</v>
      </c>
      <c r="EO24" s="1">
        <f t="shared" si="46"/>
        <v>6.139895208369488</v>
      </c>
      <c r="EP24" s="1">
        <f t="shared" si="46"/>
        <v>6.139895208369488</v>
      </c>
      <c r="EQ24" s="1">
        <f t="shared" si="46"/>
        <v>6.139895208369488</v>
      </c>
      <c r="ER24" s="1">
        <f t="shared" si="46"/>
        <v>6.139895208369488</v>
      </c>
      <c r="ES24" s="1">
        <f t="shared" si="46"/>
        <v>6.139895208369488</v>
      </c>
      <c r="ET24" s="1">
        <f t="shared" si="46"/>
        <v>6.139895208369488</v>
      </c>
      <c r="EU24" s="1">
        <f t="shared" si="46"/>
        <v>6.139895208369488</v>
      </c>
      <c r="EV24" s="1">
        <f t="shared" si="46"/>
        <v>6.139895208369488</v>
      </c>
      <c r="EW24" s="1">
        <f t="shared" si="46"/>
        <v>6.139895208369488</v>
      </c>
      <c r="EX24" s="1">
        <f t="shared" si="42"/>
        <v>6.139895208369488</v>
      </c>
      <c r="EY24" s="1">
        <f t="shared" si="42"/>
        <v>6.139895208369488</v>
      </c>
      <c r="EZ24" s="1">
        <f t="shared" si="42"/>
        <v>6.139895208369488</v>
      </c>
      <c r="FA24" s="1">
        <f t="shared" si="42"/>
        <v>5.9356067942694777</v>
      </c>
      <c r="FB24" s="1">
        <f t="shared" si="42"/>
        <v>5.9356067942694777</v>
      </c>
      <c r="FC24" s="1">
        <f t="shared" si="42"/>
        <v>5.9356067942694777</v>
      </c>
      <c r="FD24" s="1">
        <f t="shared" si="42"/>
        <v>5.9356067942694777</v>
      </c>
      <c r="FE24" s="1">
        <f t="shared" si="42"/>
        <v>5.9356067942694777</v>
      </c>
      <c r="FG24" s="162">
        <f t="shared" si="33"/>
        <v>-1.5541044783615994</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7"/>
        <v/>
      </c>
      <c r="Z25" s="194"/>
      <c r="AA25" s="30"/>
      <c r="AB25" s="57"/>
      <c r="AO25" s="57"/>
      <c r="AT25" s="58"/>
      <c r="AU25" s="58"/>
      <c r="AV25" s="58"/>
      <c r="AW25" s="58"/>
      <c r="AX25" s="58"/>
      <c r="AY25" s="58"/>
      <c r="AZ25" s="58"/>
      <c r="BA25" s="58"/>
      <c r="BB25" s="30"/>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E26" s="12">
        <f>+AVERAGE(E6:E24)</f>
        <v>9.3838116330363971E-2</v>
      </c>
      <c r="F26" s="37">
        <f>+E26-$I$3</f>
        <v>-2.5405867777898719</v>
      </c>
      <c r="G26" s="12">
        <f>+AVERAGE(G6:G24)</f>
        <v>4.4419228003288368E-2</v>
      </c>
      <c r="I26" s="12">
        <f>+AVERAGEIF(I6:I24,"&gt;211%")</f>
        <v>3.3070946559136258</v>
      </c>
      <c r="J26" s="37">
        <f t="shared" si="11"/>
        <v>0.67266976179339011</v>
      </c>
      <c r="K26" s="12">
        <f>+AVERAGE(K6:K24)</f>
        <v>2.5839933095647272</v>
      </c>
      <c r="O26" s="12">
        <f>+AVERAGE(O6:O24)</f>
        <v>2.4407997447580487E-2</v>
      </c>
      <c r="AB26" s="57"/>
      <c r="AO26" s="57"/>
    </row>
    <row r="27" spans="1:163" ht="18.75" customHeight="1">
      <c r="I27" s="12">
        <f>+AVERAGEIF(I6:I24,"&lt;211%")</f>
        <v>1.4640532685972003</v>
      </c>
      <c r="K27" s="177">
        <f>+SUBTOTAL(101,K6:K21)</f>
        <v>2.5559411529817857</v>
      </c>
      <c r="V27" t="s">
        <v>167</v>
      </c>
      <c r="X27" s="162"/>
      <c r="BC27" s="141" t="s">
        <v>273</v>
      </c>
      <c r="BQ27" s="1">
        <f>+SUM(BQ6:BQ24)</f>
        <v>115232289</v>
      </c>
      <c r="BR27" s="1">
        <f>+SUM(BR6:BR24)</f>
        <v>114941116</v>
      </c>
      <c r="BU27" s="1">
        <f>+SUM(BU6:BU24)</f>
        <v>162366838.00898275</v>
      </c>
      <c r="BV27" s="1">
        <f>+SUM(BV6:BV24)</f>
        <v>116417059.135332</v>
      </c>
      <c r="BY27" s="1">
        <f>+SUM(BY6:BY24)</f>
        <v>52569.794308180004</v>
      </c>
      <c r="BZ27" s="1">
        <f>+SUM(BZ6:BZ24)</f>
        <v>55930.640188209989</v>
      </c>
      <c r="CC27" s="1">
        <f>+SUM(CC6:CC24)</f>
        <v>4209.0729487500003</v>
      </c>
      <c r="CD27" s="1">
        <f>+SUM(CD6:CD24)</f>
        <v>5090.9199349899991</v>
      </c>
      <c r="FG27" s="167">
        <f>+COUNTIF(FG6:FG24,"&gt;0")</f>
        <v>7</v>
      </c>
    </row>
    <row r="28" spans="1:163" ht="18.75" customHeight="1">
      <c r="A28" s="11">
        <f>+COUNTIF($C$6:$C$24,"&lt;0")</f>
        <v>10</v>
      </c>
      <c r="C28" s="156">
        <v>-1</v>
      </c>
      <c r="E28" s="167">
        <f>+COUNTIF($I$6:$I$24,"&lt;1,69")</f>
        <v>5</v>
      </c>
      <c r="F28" s="29">
        <v>-1</v>
      </c>
      <c r="I28" s="167">
        <f>+COUNTIF($I$6:$I$24,"&lt;1,69")</f>
        <v>5</v>
      </c>
      <c r="J28" s="29">
        <v>-1</v>
      </c>
      <c r="K28">
        <f>+COUNTIF($L$6:$L$24,"&lt;0")</f>
        <v>12</v>
      </c>
      <c r="L28" s="29">
        <v>-1</v>
      </c>
      <c r="O28">
        <f>+COUNTIF($P$6:$P$24,"&lt;0")</f>
        <v>6</v>
      </c>
      <c r="P28" s="262">
        <v>-1</v>
      </c>
      <c r="Q28">
        <f>+COUNTIF($R$6:$R$24,"&lt;0")</f>
        <v>10</v>
      </c>
      <c r="R28" s="262">
        <v>-1</v>
      </c>
      <c r="T28" s="57">
        <f>+COUNTIF($U$6:$U$24,"&lt;0")</f>
        <v>12</v>
      </c>
      <c r="U28" s="29">
        <v>-1</v>
      </c>
      <c r="BR28" t="s">
        <v>491</v>
      </c>
      <c r="BU28" s="167">
        <f>+SUMIFS(BU6:BU24,BC6:BC24,5)+SUMIFS(BU6:BU24,BC6:BC24,4)</f>
        <v>149291170.67368349</v>
      </c>
      <c r="BY28" s="10">
        <f>+BY27/BZ27-1</f>
        <v>-6.0089529973562539E-2</v>
      </c>
      <c r="CC28" s="10">
        <f>+CC27/CD27-1</f>
        <v>-0.17321957475289407</v>
      </c>
    </row>
    <row r="29" spans="1:163" ht="18.75" customHeight="1">
      <c r="A29" s="11">
        <f>+COUNTIF($C$6:$C$24,C29)</f>
        <v>8</v>
      </c>
      <c r="C29" s="156">
        <v>0</v>
      </c>
      <c r="E29" s="167">
        <f>+COUNTIF($I$6:$I$24,"=1,69")</f>
        <v>0</v>
      </c>
      <c r="F29" s="29">
        <v>0</v>
      </c>
      <c r="I29" s="167">
        <f>+COUNTIF($I$6:$I$24,"=1,69")</f>
        <v>0</v>
      </c>
      <c r="J29" s="29">
        <v>0</v>
      </c>
      <c r="L29" s="29">
        <v>0</v>
      </c>
      <c r="O29">
        <f>+COUNTIF($P$6:$P$24,"=0")</f>
        <v>2</v>
      </c>
      <c r="P29" s="262">
        <v>0</v>
      </c>
      <c r="Q29">
        <f>+COUNTIF($R$6:$R$24,"=0")</f>
        <v>1</v>
      </c>
      <c r="R29" s="262">
        <v>0</v>
      </c>
      <c r="T29" s="57">
        <f>+COUNTIF($U$6:$U$24,"=0")</f>
        <v>0</v>
      </c>
      <c r="U29" s="29">
        <v>0</v>
      </c>
      <c r="BR29" t="s">
        <v>492</v>
      </c>
      <c r="BU29" s="167">
        <f>+SUMIFS(BU6:BU24,BC6:BC24,3)</f>
        <v>13044862.782299288</v>
      </c>
    </row>
    <row r="30" spans="1:163" ht="18.75" customHeight="1">
      <c r="A30" s="11">
        <f>+COUNTIF($C$6:$C$24,"&gt;0")</f>
        <v>1</v>
      </c>
      <c r="C30" s="156">
        <v>1</v>
      </c>
      <c r="E30" s="167">
        <f>+COUNTIF($I$6:$I$24,"&gt;1,69")</f>
        <v>14</v>
      </c>
      <c r="F30" s="29">
        <v>1</v>
      </c>
      <c r="I30" s="167">
        <f>+COUNTIF($I$6:$I$24,"&gt;1,69")</f>
        <v>14</v>
      </c>
      <c r="J30" s="29">
        <v>1</v>
      </c>
      <c r="K30">
        <f>+COUNTIF($L$6:$L$24,"&gt;0")</f>
        <v>7</v>
      </c>
      <c r="L30" s="29">
        <v>1</v>
      </c>
      <c r="O30">
        <f>+COUNTIF($P$6:$P$24,"&gt;0")</f>
        <v>10</v>
      </c>
      <c r="P30" s="262">
        <v>1</v>
      </c>
      <c r="Q30">
        <f>+COUNTIF($R$6:$R$24,"&gt;0")</f>
        <v>8</v>
      </c>
      <c r="R30" s="262">
        <v>1</v>
      </c>
      <c r="T30" s="57">
        <f>+COUNTIF($U$6:$U$24,"&gt;0")</f>
        <v>6</v>
      </c>
      <c r="U30" s="29">
        <v>1</v>
      </c>
      <c r="X30" s="14"/>
      <c r="BR30" t="s">
        <v>493</v>
      </c>
      <c r="BU30" s="167">
        <f>+SUMIFS(BU6:BU24,BC6:BC24,1)+SUMIFS(BU6:BU24,BC6:BC24,2)</f>
        <v>30804.553</v>
      </c>
      <c r="BX30" s="1"/>
    </row>
    <row r="31" spans="1:163" ht="18.75" customHeight="1">
      <c r="K31" s="12"/>
    </row>
    <row r="32" spans="1:163" ht="18.75" customHeight="1">
      <c r="C32" s="157"/>
      <c r="I32" s="14">
        <f>+COUNTIF(I6:I24,"&gt;211%")</f>
        <v>11</v>
      </c>
      <c r="J32" s="14"/>
      <c r="K32" s="14"/>
      <c r="Y32" s="163"/>
    </row>
    <row r="33" spans="1:164" ht="18.75" customHeight="1">
      <c r="C33" s="157"/>
      <c r="I33" s="12">
        <f>+I26/2</f>
        <v>1.6535473279568129</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28"/>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28"/>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28"/>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28"/>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28"/>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28"/>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28"/>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28"/>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28"/>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28"/>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N24 AC25 AE25:AN25">
    <cfRule type="expression" dxfId="53" priority="48">
      <formula>AP6=3</formula>
    </cfRule>
    <cfRule type="expression" dxfId="52" priority="49">
      <formula>AP6=5</formula>
    </cfRule>
    <cfRule type="expression" dxfId="51" priority="50">
      <formula>AP6=4</formula>
    </cfRule>
    <cfRule type="expression" dxfId="50" priority="51">
      <formula>AP6=2</formula>
    </cfRule>
    <cfRule type="expression" dxfId="49" priority="52">
      <formula>AP6=1</formula>
    </cfRule>
    <cfRule type="expression" dxfId="48" priority="53">
      <formula>AP6=0</formula>
    </cfRule>
  </conditionalFormatting>
  <conditionalFormatting sqref="FG6:FG25 FG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00000000-0002-0000-0700-000000000000}">
      <formula1>lis_dat</formula1>
    </dataValidation>
  </dataValidations>
  <pageMargins left="0.25" right="0.25" top="0.75" bottom="0.75" header="0.3" footer="0.3"/>
  <pageSetup paperSize="9" scale="55" orientation="portrait" r:id="rId1"/>
  <extLst>
    <ext xmlns:x14="http://schemas.microsoft.com/office/spreadsheetml/2009/9/main" uri="{78C0D931-6437-407d-A8EE-F0AAD7539E65}">
      <x14:conditionalFormattings>
        <x14:conditionalFormatting xmlns:xm="http://schemas.microsoft.com/office/excel/2006/main">
          <x14:cfRule type="iconSet" priority="1" id="{CC2AF77B-354B-4FBD-B75D-524243390F9B}">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1" id="{A7EEFD4E-DC19-4865-AD46-D3A80E876A3C}">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249977111117893"/>
    <pageSetUpPr fitToPage="1"/>
  </sheetPr>
  <dimension ref="A1:FH47"/>
  <sheetViews>
    <sheetView showGridLines="0" topLeftCell="A13" zoomScaleNormal="100" workbookViewId="0">
      <selection activeCell="P20" sqref="P20"/>
    </sheetView>
  </sheetViews>
  <sheetFormatPr baseColWidth="10" defaultRowHeight="18.75" customHeight="1"/>
  <cols>
    <col min="1" max="1" width="14.44140625" style="11" customWidth="1"/>
    <col min="2" max="2" width="1.44140625" style="11" hidden="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6.88671875" style="23" customWidth="1"/>
    <col min="19" max="19" width="0.6640625" hidden="1" customWidth="1"/>
    <col min="20" max="20" width="2.5546875" style="57" hidden="1" customWidth="1"/>
    <col min="21" max="21" width="6.5546875" style="23" customWidth="1"/>
    <col min="22" max="22" width="4.6640625" customWidth="1"/>
    <col min="23" max="23" width="6.44140625" customWidth="1"/>
    <col min="24" max="24" width="5" customWidth="1"/>
    <col min="25" max="25" width="5.33203125" customWidth="1"/>
    <col min="26" max="26" width="4.5546875" customWidth="1"/>
    <col min="27" max="27" width="1.44140625" customWidth="1"/>
    <col min="28" max="28" width="53" style="11" hidden="1" customWidth="1"/>
    <col min="29" max="40" width="1.88671875" style="57" customWidth="1"/>
    <col min="41" max="41" width="2.44140625" style="28" customWidth="1"/>
    <col min="42" max="42" width="5.44140625" style="28" hidden="1" customWidth="1"/>
    <col min="43" max="43" width="6" style="28" hidden="1" customWidth="1"/>
    <col min="44" max="44" width="5.33203125" style="28" hidden="1" customWidth="1"/>
    <col min="45" max="45" width="4.88671875" style="28" hidden="1" customWidth="1"/>
    <col min="46" max="47" width="5.5546875" hidden="1" customWidth="1"/>
    <col min="48" max="48" width="5.33203125" hidden="1" customWidth="1"/>
    <col min="49" max="49" width="5.5546875" hidden="1" customWidth="1"/>
    <col min="50" max="51" width="4.88671875" hidden="1" customWidth="1"/>
    <col min="52" max="52" width="5.6640625" hidden="1" customWidth="1"/>
    <col min="53" max="53" width="5.109375" hidden="1" customWidth="1"/>
    <col min="54" max="54" width="2.44140625" hidden="1" customWidth="1"/>
    <col min="55" max="55" width="15.8867187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45444</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BF1" t="s">
        <v>101</v>
      </c>
      <c r="BG1" s="3">
        <f>+A1</f>
        <v>45444</v>
      </c>
      <c r="BH1" s="3">
        <f>+VLOOKUP(BH2,datos!$D:$E,2,FALSE)</f>
        <v>45413</v>
      </c>
      <c r="BI1" s="3">
        <f>+VLOOKUP(BI2,datos!$D:$E,2,FALSE)</f>
        <v>45078</v>
      </c>
      <c r="BL1" s="3">
        <f>+A1</f>
        <v>45444</v>
      </c>
      <c r="BM1" s="3">
        <f>+VLOOKUP(BM2,datos!$D:$E,2,FALSE)</f>
        <v>45413</v>
      </c>
      <c r="BN1" s="3">
        <f>+VLOOKUP(BN2,datos!$D:$E,2,FALSE)</f>
        <v>45078</v>
      </c>
      <c r="BQ1" s="3">
        <f>+A1</f>
        <v>45444</v>
      </c>
      <c r="BR1" s="3">
        <f>+VLOOKUP(BR2,datos!$D:$E,2,FALSE)</f>
        <v>45078</v>
      </c>
      <c r="BU1" s="3">
        <f>+A1</f>
        <v>45444</v>
      </c>
      <c r="BV1" s="3">
        <f>+VLOOKUP(BV2,datos!$D:$E,2,FALSE)</f>
        <v>45078</v>
      </c>
      <c r="BY1" t="s">
        <v>279</v>
      </c>
      <c r="BZ1" t="s">
        <v>280</v>
      </c>
      <c r="CC1" t="s">
        <v>279</v>
      </c>
      <c r="CD1" t="s">
        <v>280</v>
      </c>
      <c r="CG1" t="s">
        <v>282</v>
      </c>
      <c r="CH1" t="s">
        <v>283</v>
      </c>
      <c r="CI1" s="3">
        <f>+A1</f>
        <v>45444</v>
      </c>
      <c r="CJ1" s="3">
        <f>+VLOOKUP(CJ2,datos!$D:$E,2,FALSE)</f>
        <v>45444</v>
      </c>
      <c r="CK1" s="3">
        <f>+VLOOKUP(CK2,datos!$D:$E,2,FALSE)</f>
        <v>45413</v>
      </c>
      <c r="CL1" s="3">
        <f>+VLOOKUP(CL2,datos!$D:$E,2,FALSE)</f>
        <v>45383</v>
      </c>
      <c r="CM1" s="3">
        <f>+VLOOKUP(CM2,datos!$D:$E,2,FALSE)</f>
        <v>45352</v>
      </c>
      <c r="CN1" s="3">
        <f>+VLOOKUP(CN2,datos!$D:$E,2,FALSE)</f>
        <v>45323</v>
      </c>
      <c r="CO1" s="3">
        <f>+VLOOKUP(CO2,datos!$D:$E,2,FALSE)</f>
        <v>45292</v>
      </c>
      <c r="CP1" s="3">
        <f>+VLOOKUP(CP2,datos!$D:$E,2,FALSE)</f>
        <v>45261</v>
      </c>
      <c r="CQ1" s="3">
        <f>+VLOOKUP(CQ2,datos!$D:$E,2,FALSE)</f>
        <v>45231</v>
      </c>
      <c r="CR1" s="3">
        <f>+VLOOKUP(CR2,datos!$D:$E,2,FALSE)</f>
        <v>45200</v>
      </c>
      <c r="CS1" s="3">
        <f>+VLOOKUP(CS2,datos!$D:$E,2,FALSE)</f>
        <v>45170</v>
      </c>
      <c r="CT1" s="3">
        <f>+VLOOKUP(CT2,datos!$D:$E,2,FALSE)</f>
        <v>45139</v>
      </c>
      <c r="CU1" s="3">
        <f>+VLOOKUP(CU2,datos!$D:$E,2,FALSE)</f>
        <v>45108</v>
      </c>
      <c r="CV1" s="3">
        <f>+VLOOKUP(CV2,datos!$D:$E,2,FALSE)</f>
        <v>45078</v>
      </c>
      <c r="CW1" s="3">
        <f>+VLOOKUP(CW2,datos!$D:$E,2,FALSE)</f>
        <v>45047</v>
      </c>
      <c r="CX1" s="3">
        <f>+VLOOKUP(CX2,datos!$D:$E,2,FALSE)</f>
        <v>45017</v>
      </c>
      <c r="CY1" s="3">
        <f>+VLOOKUP(CY2,datos!$D:$E,2,FALSE)</f>
        <v>44986</v>
      </c>
      <c r="CZ1" s="3">
        <f>+VLOOKUP(CZ2,datos!$D:$E,2,FALSE)</f>
        <v>44958</v>
      </c>
      <c r="DA1" s="3">
        <f>+VLOOKUP(DA2,datos!$D:$E,2,FALSE)</f>
        <v>44927</v>
      </c>
      <c r="DB1" s="3">
        <f>+VLOOKUP(DB2,datos!$D:$E,2,FALSE)</f>
        <v>44896</v>
      </c>
      <c r="DC1" s="3">
        <f>+VLOOKUP(DC2,datos!$D:$E,2,FALSE)</f>
        <v>44866</v>
      </c>
      <c r="DD1" s="3">
        <f>+VLOOKUP(DD2,datos!$D:$E,2,FALSE)</f>
        <v>44835</v>
      </c>
      <c r="DE1" s="3">
        <f>+VLOOKUP(DE2,datos!$D:$E,2,FALSE)</f>
        <v>44805</v>
      </c>
      <c r="DF1" s="3">
        <f>+VLOOKUP(DF2,datos!$D:$E,2,FALSE)</f>
        <v>44774</v>
      </c>
      <c r="DG1" s="3">
        <f>+VLOOKUP(DG2,datos!$D:$E,2,FALSE)</f>
        <v>44743</v>
      </c>
      <c r="DI1" s="3">
        <f>+CJ1</f>
        <v>45444</v>
      </c>
      <c r="DJ1" s="3">
        <f>+VLOOKUP(DJ2,datos!$D:$E,2,FALSE)</f>
        <v>45413</v>
      </c>
      <c r="DK1" s="3">
        <f>+VLOOKUP(DK2,datos!$D:$E,2,FALSE)</f>
        <v>45383</v>
      </c>
      <c r="DL1" s="3">
        <f>+VLOOKUP(DL2,datos!$D:$E,2,FALSE)</f>
        <v>45352</v>
      </c>
      <c r="DM1" s="3">
        <f>+VLOOKUP(DM2,datos!$D:$E,2,FALSE)</f>
        <v>45323</v>
      </c>
      <c r="DN1" s="3">
        <f>+VLOOKUP(DN2,datos!$D:$E,2,FALSE)</f>
        <v>45292</v>
      </c>
      <c r="DO1" s="3">
        <f>+VLOOKUP(DO2,datos!$D:$E,2,FALSE)</f>
        <v>45261</v>
      </c>
      <c r="DP1" s="3">
        <f>+VLOOKUP(DP2,datos!$D:$E,2,FALSE)</f>
        <v>45231</v>
      </c>
      <c r="DQ1" s="3">
        <f>+VLOOKUP(DQ2,datos!$D:$E,2,FALSE)</f>
        <v>45200</v>
      </c>
      <c r="DR1" s="3">
        <f>+VLOOKUP(DR2,datos!$D:$E,2,FALSE)</f>
        <v>45170</v>
      </c>
      <c r="DS1" s="3">
        <f>+VLOOKUP(DS2,datos!$D:$E,2,FALSE)</f>
        <v>45139</v>
      </c>
      <c r="DT1" s="3">
        <f>+VLOOKUP(DT2,datos!$D:$E,2,FALSE)</f>
        <v>45108</v>
      </c>
      <c r="DU1" s="3">
        <f>+VLOOKUP(DU2,datos!$D:$E,2,FALSE)</f>
        <v>45078</v>
      </c>
      <c r="DV1" s="3">
        <f>+VLOOKUP(DV2,datos!$D:$E,2,FALSE)</f>
        <v>45047</v>
      </c>
      <c r="DW1" s="3">
        <f>+VLOOKUP(DW2,datos!$D:$E,2,FALSE)</f>
        <v>45017</v>
      </c>
      <c r="DX1" s="3">
        <f>+VLOOKUP(DX2,datos!$D:$E,2,FALSE)</f>
        <v>44986</v>
      </c>
      <c r="DY1" s="3">
        <f>+VLOOKUP(DY2,datos!$D:$E,2,FALSE)</f>
        <v>44958</v>
      </c>
      <c r="DZ1" s="3">
        <f>+VLOOKUP(DZ2,datos!$D:$E,2,FALSE)</f>
        <v>44927</v>
      </c>
      <c r="EA1" s="3">
        <f>+VLOOKUP(EA2,datos!$D:$E,2,FALSE)</f>
        <v>44896</v>
      </c>
      <c r="EB1" s="3">
        <f>+VLOOKUP(EB2,datos!$D:$E,2,FALSE)</f>
        <v>44866</v>
      </c>
      <c r="EC1" s="3">
        <f>+VLOOKUP(EC2,datos!$D:$E,2,FALSE)</f>
        <v>44835</v>
      </c>
      <c r="ED1" s="3">
        <f>+VLOOKUP(ED2,datos!$D:$E,2,FALSE)</f>
        <v>44805</v>
      </c>
      <c r="EE1" s="3">
        <f>+VLOOKUP(EE2,datos!$D:$E,2,FALSE)</f>
        <v>44774</v>
      </c>
      <c r="EF1" s="3">
        <f>+VLOOKUP(EF2,datos!$D:$E,2,FALSE)</f>
        <v>44743</v>
      </c>
      <c r="EH1" s="14">
        <f>+CJ1</f>
        <v>45444</v>
      </c>
      <c r="EI1" s="14">
        <f t="shared" ref="EI1:FE1" si="0">+CK1</f>
        <v>45413</v>
      </c>
      <c r="EJ1" s="3">
        <f t="shared" si="0"/>
        <v>45383</v>
      </c>
      <c r="EK1" s="3">
        <f t="shared" si="0"/>
        <v>45352</v>
      </c>
      <c r="EL1" s="3">
        <f t="shared" si="0"/>
        <v>45323</v>
      </c>
      <c r="EM1" s="3">
        <f t="shared" si="0"/>
        <v>45292</v>
      </c>
      <c r="EN1" s="3">
        <f t="shared" si="0"/>
        <v>45261</v>
      </c>
      <c r="EO1" s="3">
        <f t="shared" si="0"/>
        <v>45231</v>
      </c>
      <c r="EP1" s="3">
        <f t="shared" si="0"/>
        <v>45200</v>
      </c>
      <c r="EQ1" s="3">
        <f t="shared" si="0"/>
        <v>45170</v>
      </c>
      <c r="ER1" s="3">
        <f t="shared" si="0"/>
        <v>45139</v>
      </c>
      <c r="ES1" s="3">
        <f t="shared" si="0"/>
        <v>45108</v>
      </c>
      <c r="ET1" s="3">
        <f t="shared" si="0"/>
        <v>45078</v>
      </c>
      <c r="EU1" s="3">
        <f t="shared" si="0"/>
        <v>45047</v>
      </c>
      <c r="EV1" s="3">
        <f t="shared" si="0"/>
        <v>45017</v>
      </c>
      <c r="EW1" s="3">
        <f t="shared" si="0"/>
        <v>44986</v>
      </c>
      <c r="EX1" s="3">
        <f t="shared" si="0"/>
        <v>44958</v>
      </c>
      <c r="EY1" s="3">
        <f t="shared" si="0"/>
        <v>44927</v>
      </c>
      <c r="EZ1" s="3">
        <f t="shared" si="0"/>
        <v>44896</v>
      </c>
      <c r="FA1" s="3">
        <f t="shared" si="0"/>
        <v>44866</v>
      </c>
      <c r="FB1" s="3">
        <f t="shared" si="0"/>
        <v>44835</v>
      </c>
      <c r="FC1" s="3">
        <f t="shared" si="0"/>
        <v>44805</v>
      </c>
      <c r="FD1" s="3">
        <f t="shared" si="0"/>
        <v>44774</v>
      </c>
      <c r="FE1" s="3">
        <f t="shared" si="0"/>
        <v>44743</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80"/>
      <c r="AP2" s="174">
        <f>VLOOKUP(VLOOKUP(+$A$1,ran_ma,2,FALSE)-11,ran_idma,2,FALSE)</f>
        <v>45108</v>
      </c>
      <c r="AQ2" s="174">
        <f>VLOOKUP(VLOOKUP(+$A$1,ran_ma,2,FALSE)-10,ran_idma,2,FALSE)</f>
        <v>45139</v>
      </c>
      <c r="AR2" s="174">
        <f>VLOOKUP(VLOOKUP(+$A$1,ran_ma,2,FALSE)-9,ran_idma,2,FALSE)</f>
        <v>45170</v>
      </c>
      <c r="AS2" s="174">
        <f>VLOOKUP(VLOOKUP(+$A$1,ran_ma,2,FALSE)-8,ran_idma,2,FALSE)</f>
        <v>45200</v>
      </c>
      <c r="AT2" s="59">
        <f>VLOOKUP(VLOOKUP(+$A$1,ran_ma,2,FALSE)-7,ran_idma,2,FALSE)</f>
        <v>45231</v>
      </c>
      <c r="AU2" s="59">
        <f>VLOOKUP(VLOOKUP(+$A$1,ran_ma,2,FALSE)-6,ran_idma,2,FALSE)</f>
        <v>45261</v>
      </c>
      <c r="AV2" s="59">
        <f>VLOOKUP(VLOOKUP(+$A$1,ran_ma,2,FALSE)-5,ran_idma,2,FALSE)</f>
        <v>45292</v>
      </c>
      <c r="AW2" s="59">
        <f>VLOOKUP(VLOOKUP(+$A$1,ran_ma,2,FALSE)-4,ran_idma,2,FALSE)</f>
        <v>45323</v>
      </c>
      <c r="AX2" s="59">
        <f>VLOOKUP(VLOOKUP(+$A$1,ran_ma,2,FALSE)-3,ran_idma,2,FALSE)</f>
        <v>45352</v>
      </c>
      <c r="AY2" s="59">
        <f>VLOOKUP(VLOOKUP(+$A$1,ran_ma,2,FALSE)-2,ran_idma,2,FALSE)</f>
        <v>45383</v>
      </c>
      <c r="AZ2" s="59">
        <f>VLOOKUP(VLOOKUP(+$A$1,ran_ma,2,FALSE)-1,ran_idma,2,FALSE)</f>
        <v>45413</v>
      </c>
      <c r="BA2" s="59">
        <f>+$A$1</f>
        <v>45444</v>
      </c>
      <c r="BB2" s="5"/>
      <c r="BC2" s="170"/>
      <c r="BE2" s="9" t="s">
        <v>272</v>
      </c>
      <c r="BG2">
        <f>+VLOOKUP(BG1,ran_dat,datos!$D$1,FALSE)</f>
        <v>111</v>
      </c>
      <c r="BH2">
        <f>+BG2-1</f>
        <v>110</v>
      </c>
      <c r="BI2">
        <f>+BG2-12</f>
        <v>99</v>
      </c>
      <c r="BK2" s="9"/>
      <c r="BL2">
        <f>+VLOOKUP(BL1,ran_dat,datos!$D$1,FALSE)</f>
        <v>111</v>
      </c>
      <c r="BM2">
        <f>+BL2-1</f>
        <v>110</v>
      </c>
      <c r="BN2">
        <f>+BL2-12</f>
        <v>99</v>
      </c>
      <c r="BP2" s="9"/>
      <c r="BQ2">
        <f>+VLOOKUP(BQ1,ran_dat,datos!$D$1,FALSE)</f>
        <v>111</v>
      </c>
      <c r="BR2">
        <f>+BQ2-12</f>
        <v>99</v>
      </c>
      <c r="BT2" s="9"/>
      <c r="BU2">
        <f>+VLOOKUP(BU1,ran_dat,datos!$D$1,FALSE)</f>
        <v>111</v>
      </c>
      <c r="BV2">
        <f>+BU2-12</f>
        <v>99</v>
      </c>
      <c r="BX2" s="9"/>
      <c r="CB2" s="9"/>
      <c r="CI2">
        <f>+VLOOKUP(CI1,ran_dat,datos!$D$1,FALSE)</f>
        <v>111</v>
      </c>
      <c r="CJ2">
        <f>+CI2</f>
        <v>111</v>
      </c>
      <c r="CK2">
        <f t="shared" ref="CK2:DG2" si="1">+CJ2-1</f>
        <v>110</v>
      </c>
      <c r="CL2">
        <f t="shared" si="1"/>
        <v>109</v>
      </c>
      <c r="CM2">
        <f t="shared" si="1"/>
        <v>108</v>
      </c>
      <c r="CN2">
        <f t="shared" si="1"/>
        <v>107</v>
      </c>
      <c r="CO2">
        <f t="shared" si="1"/>
        <v>106</v>
      </c>
      <c r="CP2">
        <f t="shared" si="1"/>
        <v>105</v>
      </c>
      <c r="CQ2">
        <f t="shared" si="1"/>
        <v>104</v>
      </c>
      <c r="CR2">
        <f t="shared" si="1"/>
        <v>103</v>
      </c>
      <c r="CS2">
        <f t="shared" si="1"/>
        <v>102</v>
      </c>
      <c r="CT2">
        <f t="shared" si="1"/>
        <v>101</v>
      </c>
      <c r="CU2">
        <f t="shared" si="1"/>
        <v>100</v>
      </c>
      <c r="CV2">
        <f t="shared" si="1"/>
        <v>99</v>
      </c>
      <c r="CW2">
        <f t="shared" si="1"/>
        <v>98</v>
      </c>
      <c r="CX2">
        <f t="shared" si="1"/>
        <v>97</v>
      </c>
      <c r="CY2">
        <f t="shared" si="1"/>
        <v>96</v>
      </c>
      <c r="CZ2">
        <f t="shared" si="1"/>
        <v>95</v>
      </c>
      <c r="DA2">
        <f t="shared" si="1"/>
        <v>94</v>
      </c>
      <c r="DB2">
        <f t="shared" si="1"/>
        <v>93</v>
      </c>
      <c r="DC2">
        <f t="shared" si="1"/>
        <v>92</v>
      </c>
      <c r="DD2">
        <f t="shared" si="1"/>
        <v>91</v>
      </c>
      <c r="DE2">
        <f t="shared" si="1"/>
        <v>90</v>
      </c>
      <c r="DF2">
        <f t="shared" si="1"/>
        <v>89</v>
      </c>
      <c r="DG2">
        <f t="shared" si="1"/>
        <v>88</v>
      </c>
      <c r="DI2">
        <f>+VLOOKUP(DI1,ran_dat,datos!$D$1,FALSE)</f>
        <v>111</v>
      </c>
      <c r="DJ2">
        <f t="shared" ref="DJ2:EF2" si="2">+DI2-1</f>
        <v>110</v>
      </c>
      <c r="DK2">
        <f t="shared" si="2"/>
        <v>109</v>
      </c>
      <c r="DL2">
        <f t="shared" si="2"/>
        <v>108</v>
      </c>
      <c r="DM2">
        <f t="shared" si="2"/>
        <v>107</v>
      </c>
      <c r="DN2">
        <f t="shared" si="2"/>
        <v>106</v>
      </c>
      <c r="DO2">
        <f t="shared" si="2"/>
        <v>105</v>
      </c>
      <c r="DP2">
        <f t="shared" si="2"/>
        <v>104</v>
      </c>
      <c r="DQ2">
        <f t="shared" si="2"/>
        <v>103</v>
      </c>
      <c r="DR2">
        <f t="shared" si="2"/>
        <v>102</v>
      </c>
      <c r="DS2">
        <f t="shared" si="2"/>
        <v>101</v>
      </c>
      <c r="DT2">
        <f t="shared" si="2"/>
        <v>100</v>
      </c>
      <c r="DU2">
        <f t="shared" si="2"/>
        <v>99</v>
      </c>
      <c r="DV2">
        <f t="shared" si="2"/>
        <v>98</v>
      </c>
      <c r="DW2">
        <f t="shared" si="2"/>
        <v>97</v>
      </c>
      <c r="DX2">
        <f t="shared" si="2"/>
        <v>96</v>
      </c>
      <c r="DY2">
        <f t="shared" si="2"/>
        <v>95</v>
      </c>
      <c r="DZ2">
        <f t="shared" si="2"/>
        <v>94</v>
      </c>
      <c r="EA2">
        <f t="shared" si="2"/>
        <v>93</v>
      </c>
      <c r="EB2">
        <f t="shared" si="2"/>
        <v>92</v>
      </c>
      <c r="EC2">
        <f t="shared" si="2"/>
        <v>91</v>
      </c>
      <c r="ED2">
        <f t="shared" si="2"/>
        <v>90</v>
      </c>
      <c r="EE2">
        <f t="shared" si="2"/>
        <v>89</v>
      </c>
      <c r="EF2">
        <f t="shared" si="2"/>
        <v>88</v>
      </c>
      <c r="EH2" s="14">
        <f>+VLOOKUP(EH1,ran_dat,datos!$D$1,FALSE)</f>
        <v>111</v>
      </c>
      <c r="EI2" s="14">
        <f t="shared" ref="EI2:FE2" si="3">+EH2-1</f>
        <v>110</v>
      </c>
      <c r="EJ2">
        <f t="shared" si="3"/>
        <v>109</v>
      </c>
      <c r="EK2">
        <f t="shared" si="3"/>
        <v>108</v>
      </c>
      <c r="EL2">
        <f t="shared" si="3"/>
        <v>107</v>
      </c>
      <c r="EM2">
        <f t="shared" si="3"/>
        <v>106</v>
      </c>
      <c r="EN2">
        <f t="shared" si="3"/>
        <v>105</v>
      </c>
      <c r="EO2">
        <f t="shared" si="3"/>
        <v>104</v>
      </c>
      <c r="EP2">
        <f t="shared" si="3"/>
        <v>103</v>
      </c>
      <c r="EQ2">
        <f t="shared" si="3"/>
        <v>102</v>
      </c>
      <c r="ER2">
        <f t="shared" si="3"/>
        <v>101</v>
      </c>
      <c r="ES2">
        <f t="shared" si="3"/>
        <v>100</v>
      </c>
      <c r="ET2">
        <f t="shared" si="3"/>
        <v>99</v>
      </c>
      <c r="EU2">
        <f t="shared" si="3"/>
        <v>98</v>
      </c>
      <c r="EV2">
        <f t="shared" si="3"/>
        <v>97</v>
      </c>
      <c r="EW2">
        <f t="shared" si="3"/>
        <v>96</v>
      </c>
      <c r="EX2">
        <f t="shared" si="3"/>
        <v>95</v>
      </c>
      <c r="EY2">
        <f t="shared" si="3"/>
        <v>94</v>
      </c>
      <c r="EZ2">
        <f t="shared" si="3"/>
        <v>93</v>
      </c>
      <c r="FA2">
        <f t="shared" si="3"/>
        <v>92</v>
      </c>
      <c r="FB2">
        <f t="shared" si="3"/>
        <v>91</v>
      </c>
      <c r="FC2">
        <f t="shared" si="3"/>
        <v>90</v>
      </c>
      <c r="FD2">
        <f t="shared" si="3"/>
        <v>89</v>
      </c>
      <c r="FE2">
        <f t="shared" si="3"/>
        <v>88</v>
      </c>
    </row>
    <row r="3" spans="1:163" ht="18.75" customHeight="1">
      <c r="A3" s="220"/>
      <c r="C3" s="155"/>
      <c r="D3" s="196">
        <v>0.33</v>
      </c>
      <c r="E3" s="100">
        <f>IFERROR(+BG5/BH5-1,"")</f>
        <v>4.5768270547365653E-2</v>
      </c>
      <c r="F3" s="56" t="s">
        <v>515</v>
      </c>
      <c r="G3" s="56"/>
      <c r="H3" s="56"/>
      <c r="I3" s="60">
        <f>IFERROR(+BG5/BI5-1,"")</f>
        <v>2.7153135236312589</v>
      </c>
      <c r="J3" s="56" t="s">
        <v>515</v>
      </c>
      <c r="K3" s="56"/>
      <c r="L3" s="56"/>
      <c r="M3" s="32"/>
      <c r="N3" s="196">
        <v>0.33</v>
      </c>
      <c r="O3" s="31"/>
      <c r="S3" s="32"/>
      <c r="T3" s="196">
        <v>0.33</v>
      </c>
      <c r="U3" s="150" t="str">
        <f>TEXT(CU1,"MMM-YY")&amp;"."&amp;TEXT(CJ1,"MMM-YY")&amp;" vs "&amp;TEXT(DG1,"MMM-YY")&amp;"."&amp;TEXT(CV1,"MMM-YY")</f>
        <v>jul-23.jun-24 vs jul-22.jun-23</v>
      </c>
      <c r="Y3" s="59" t="str">
        <f>TEXT(CJ1,"MMM-YY")&amp;" vs "&amp;TEXT(CV1,"MMM-YY")</f>
        <v>jun-24 vs jun-23</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8.4"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6351.7</v>
      </c>
      <c r="BH5" s="2">
        <f t="shared" si="4"/>
        <v>6073.7165000000005</v>
      </c>
      <c r="BI5" s="2">
        <f t="shared" si="4"/>
        <v>1709.6</v>
      </c>
    </row>
    <row r="6" spans="1:163" ht="18.75" customHeight="1">
      <c r="A6" s="243" t="s">
        <v>28</v>
      </c>
      <c r="B6" s="246"/>
      <c r="C6" s="156">
        <f t="shared" ref="C6:C24" si="5">+D6*$D$3+N6*$N$3+T6*$T$3</f>
        <v>0</v>
      </c>
      <c r="D6" s="198">
        <v>-2</v>
      </c>
      <c r="E6" s="248">
        <f t="shared" ref="E6:E24" si="6">IFERROR(+BG6/BH6-1,"")</f>
        <v>5.2128418895194484E-2</v>
      </c>
      <c r="F6" s="249">
        <f t="shared" ref="F6:F24" si="7">+E6-$E$3</f>
        <v>6.3601483478288312E-3</v>
      </c>
      <c r="G6" s="248">
        <f t="shared" ref="G6:G24" si="8">IFERROR(+BL6/BM6-1,"")</f>
        <v>1.6621707329667945E-2</v>
      </c>
      <c r="H6" s="249">
        <f t="shared" ref="H6:H24" si="9">E6-G6</f>
        <v>3.5506711565526539E-2</v>
      </c>
      <c r="I6" s="248">
        <f t="shared" ref="I6:I24" si="10">IFERROR(+BG6/BI6-1,"")</f>
        <v>1.3410316343855859</v>
      </c>
      <c r="J6" s="249">
        <f t="shared" ref="J6:J26" si="11">+I6-$I$3</f>
        <v>-1.374281889245673</v>
      </c>
      <c r="K6" s="248">
        <f>IFERROR(+BL6/BN6-1,"")</f>
        <v>1.9773486501897097</v>
      </c>
      <c r="L6" s="249">
        <f t="shared" ref="L6:L24" si="12">I6-K6</f>
        <v>-0.63631701580412381</v>
      </c>
      <c r="M6" s="250"/>
      <c r="N6" s="24">
        <v>1</v>
      </c>
      <c r="O6" s="248">
        <f>IFERROR(+BQ6/BR6-1,"")</f>
        <v>0.1206896551724137</v>
      </c>
      <c r="P6" s="251">
        <f>+O6</f>
        <v>0.1206896551724137</v>
      </c>
      <c r="Q6" s="248">
        <f t="shared" ref="Q6:Q24" si="13">IFERROR(+BU6/BV6-1,"")</f>
        <v>0.44444444444444442</v>
      </c>
      <c r="R6" s="251">
        <f>+Q6</f>
        <v>0.44444444444444442</v>
      </c>
      <c r="S6" s="250"/>
      <c r="T6" s="24">
        <v>1</v>
      </c>
      <c r="U6" s="248">
        <f t="shared" ref="U6:U24" si="14">IFERROR(+BY6/BZ6-1,"")</f>
        <v>0.22644346709244956</v>
      </c>
      <c r="V6" s="252">
        <f t="shared" ref="V6:V24" si="15">+U6</f>
        <v>0.22644346709244956</v>
      </c>
      <c r="W6" s="248">
        <f>IFERROR(IF(CC6&lt;0.5,"",+CC6/CD6-1),"")</f>
        <v>-0.33584636436211612</v>
      </c>
      <c r="X6" s="252">
        <f t="shared" ref="X6:X24" si="16">+W6</f>
        <v>-0.33584636436211612</v>
      </c>
      <c r="Y6" s="248" t="str">
        <f t="shared" ref="Y6:Y25" si="17">IFERROR(+CG6/CH6-1,"")</f>
        <v/>
      </c>
      <c r="Z6" s="252" t="str">
        <f t="shared" ref="Z6:Z24" si="18">+Y6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P6" s="28">
        <f>VLOOKUP($A6,historia!$A$5:$CM$24,+HLOOKUP(AP$2,historia!$A$3:$EC$4,2,FALSE),FALSE)</f>
        <v>5</v>
      </c>
      <c r="AQ6" s="28">
        <f>VLOOKUP($A6,historia!$A$5:$CM$24,+HLOOKUP(AQ$2,historia!$A$3:$EC$4,2,FALSE),FALSE)</f>
        <v>5</v>
      </c>
      <c r="AR6" s="28">
        <f>VLOOKUP($A6,historia!$A$5:$CM$24,+HLOOKUP(AR$2,historia!$A$3:$EC$4,2,FALSE),FALSE)</f>
        <v>5</v>
      </c>
      <c r="AS6" s="28">
        <f>VLOOKUP($A6,historia!$A$5:$CM$24,+HLOOKUP(AS$2,historia!$A$3:$EC$4,2,FALSE),FALSE)</f>
        <v>5</v>
      </c>
      <c r="AT6" s="58">
        <f>VLOOKUP($A6,historia!$A$5:$CM$24,+HLOOKUP(AT$2,historia!$A$3:$EC$4,2,FALSE),FALSE)</f>
        <v>5</v>
      </c>
      <c r="AU6" s="58">
        <f>VLOOKUP($A6,historia!$A$5:$CM$24,+HLOOKUP(AU$2,historia!$A$3:$EC$4,2,FALSE),FALSE)</f>
        <v>4</v>
      </c>
      <c r="AV6" s="58">
        <f>VLOOKUP($A6,historia!$A$5:$CM$24,+HLOOKUP(AV$2,historia!$A$3:$EC$4,2,FALSE),FALSE)</f>
        <v>4</v>
      </c>
      <c r="AW6" s="58">
        <f>VLOOKUP($A6,historia!$A$5:$CM$24,+HLOOKUP(AW$2,historia!$A$3:$EC$4,2,FALSE),FALSE)</f>
        <v>4</v>
      </c>
      <c r="AX6" s="58">
        <f>VLOOKUP($A6,historia!$A$5:$CM$24,+HLOOKUP(AX$2,historia!$A$3:$EC$4,2,FALSE),FALSE)</f>
        <v>4</v>
      </c>
      <c r="AY6" s="58">
        <f>VLOOKUP($A6,historia!$A$5:$CM$24,+HLOOKUP(AY$2,historia!$A$3:$EC$4,2,FALSE),FALSE)</f>
        <v>4</v>
      </c>
      <c r="AZ6" s="58">
        <f>VLOOKUP($A6,historia!$A$5:$CM$24,+HLOOKUP(AZ$2,historia!$A$3:$EC$4,2,FALSE),FALSE)</f>
        <v>3</v>
      </c>
      <c r="BA6" s="58">
        <f>VLOOKUP($A6,historia!$A$5:$CM$24,+HLOOKUP(BA$2,historia!$A$3:$EC$4,2,FALSE),FALSE)</f>
        <v>3</v>
      </c>
      <c r="BB6" s="30"/>
      <c r="BC6" s="141">
        <v>3</v>
      </c>
      <c r="BD6" t="str">
        <f t="shared" ref="BD6:BD24" si="19">+A6</f>
        <v>Algodón</v>
      </c>
      <c r="BE6">
        <f>+datos!P1</f>
        <v>16</v>
      </c>
      <c r="BF6" s="2" t="str">
        <f t="shared" si="4"/>
        <v>$/kg</v>
      </c>
      <c r="BG6" s="2">
        <f t="shared" si="4"/>
        <v>1164.95828125</v>
      </c>
      <c r="BH6" s="2">
        <f t="shared" si="4"/>
        <v>1107.2396299999998</v>
      </c>
      <c r="BI6" s="2">
        <f t="shared" si="4"/>
        <v>497.62603124999998</v>
      </c>
      <c r="BK6">
        <f>+datos!BY1</f>
        <v>77</v>
      </c>
      <c r="BL6" s="2">
        <f t="shared" ref="BL6:BN24" si="20">+VLOOKUP(BL$1,ran_dat,$BK6,FALSE)</f>
        <v>8070.9621397894225</v>
      </c>
      <c r="BM6" s="2">
        <f t="shared" si="20"/>
        <v>7939.0023659726839</v>
      </c>
      <c r="BN6" s="2">
        <f t="shared" si="20"/>
        <v>2710.7883852551699</v>
      </c>
      <c r="BP6" s="1">
        <f>+datos!DK1</f>
        <v>115</v>
      </c>
      <c r="BQ6" s="1">
        <f t="shared" ref="BQ6:BR24" si="21">+VLOOKUP(BQ$1,ran_dat,$BP6,FALSE)</f>
        <v>650000</v>
      </c>
      <c r="BR6" s="1">
        <f t="shared" si="21"/>
        <v>580000</v>
      </c>
      <c r="BT6" s="1">
        <f>+datos!FF1</f>
        <v>162</v>
      </c>
      <c r="BU6" s="1">
        <f t="shared" ref="BU6:BV24" si="22">+VLOOKUP(BU$1,ran_dat,$BT6,FALSE)</f>
        <v>1300000</v>
      </c>
      <c r="BV6" s="1">
        <f t="shared" si="22"/>
        <v>900000</v>
      </c>
      <c r="BX6" s="1">
        <f>+datos!JF1</f>
        <v>266</v>
      </c>
      <c r="BY6" s="1">
        <f>+SUM(CJ6:CU6)</f>
        <v>160.47600937000001</v>
      </c>
      <c r="BZ6" s="1">
        <f>+SUM(CV6:DG6)</f>
        <v>130.84664208000001</v>
      </c>
      <c r="CB6" s="1">
        <f>+datos!KK1</f>
        <v>297</v>
      </c>
      <c r="CC6" s="2">
        <f t="shared" ref="CC6:CC24" si="23">+SUM(DI6:DT6)</f>
        <v>72.415423039999993</v>
      </c>
      <c r="CD6" s="2">
        <f t="shared" ref="CD6:CD24" si="24">+SUM(DU6:EF6)</f>
        <v>109.03414384000003</v>
      </c>
      <c r="CF6" s="1">
        <f>+datos!HS1</f>
        <v>227</v>
      </c>
      <c r="CG6" s="1">
        <f t="shared" ref="CG6:CG24" si="25">+EH6</f>
        <v>0</v>
      </c>
      <c r="CH6" s="1">
        <f t="shared" ref="CH6:CH24" si="26">+ET6</f>
        <v>0</v>
      </c>
      <c r="CJ6" s="1">
        <f t="shared" ref="CJ6:CY21" si="27">+VLOOKUP(CJ$1,ran_dat,$BX6,FALSE)</f>
        <v>21.439575039999998</v>
      </c>
      <c r="CK6" s="1">
        <f t="shared" si="27"/>
        <v>14.529816729999997</v>
      </c>
      <c r="CL6" s="1">
        <f t="shared" si="27"/>
        <v>18.258202080000007</v>
      </c>
      <c r="CM6" s="1">
        <f t="shared" si="27"/>
        <v>18.510441480000001</v>
      </c>
      <c r="CN6" s="1">
        <f t="shared" si="27"/>
        <v>7.7064561400000011</v>
      </c>
      <c r="CO6" s="1">
        <f t="shared" si="27"/>
        <v>8.1062574399999985</v>
      </c>
      <c r="CP6" s="1">
        <f t="shared" si="27"/>
        <v>8.4463773399999997</v>
      </c>
      <c r="CQ6" s="1">
        <f t="shared" si="27"/>
        <v>15.019774559999998</v>
      </c>
      <c r="CR6" s="1">
        <f t="shared" si="27"/>
        <v>14.398572559999998</v>
      </c>
      <c r="CS6" s="1">
        <f t="shared" si="27"/>
        <v>16.61514231</v>
      </c>
      <c r="CT6" s="1">
        <f t="shared" si="27"/>
        <v>14.3155891</v>
      </c>
      <c r="CU6" s="1">
        <f t="shared" si="27"/>
        <v>3.12980459</v>
      </c>
      <c r="CV6" s="1">
        <f t="shared" si="27"/>
        <v>2.3595063199999995</v>
      </c>
      <c r="CW6" s="1">
        <f t="shared" si="27"/>
        <v>5.3927380000000005</v>
      </c>
      <c r="CX6" s="1">
        <f t="shared" si="27"/>
        <v>1.1182586999999999</v>
      </c>
      <c r="CY6" s="1">
        <f t="shared" si="27"/>
        <v>0.81365803999999953</v>
      </c>
      <c r="CZ6" s="1">
        <f t="shared" ref="CZ6:DG21" si="28">+VLOOKUP(CZ$1,ran_dat,$BX6,FALSE)</f>
        <v>2.2053805500000006</v>
      </c>
      <c r="DA6" s="1">
        <f t="shared" si="28"/>
        <v>1.2234686099999996</v>
      </c>
      <c r="DB6" s="1">
        <f t="shared" si="28"/>
        <v>13.370618389999997</v>
      </c>
      <c r="DC6" s="1">
        <f t="shared" si="28"/>
        <v>14.835861399999999</v>
      </c>
      <c r="DD6" s="1">
        <f t="shared" si="28"/>
        <v>16.749589410000009</v>
      </c>
      <c r="DE6" s="1">
        <f t="shared" si="28"/>
        <v>23.97822360000001</v>
      </c>
      <c r="DF6" s="1">
        <f t="shared" si="28"/>
        <v>23.329000269999998</v>
      </c>
      <c r="DG6" s="1">
        <f t="shared" si="28"/>
        <v>25.470338789999996</v>
      </c>
      <c r="DI6" s="1">
        <f t="shared" ref="DI6:DX21" si="29">+VLOOKUP(DI$1,ran_dat,$CB6,FALSE)</f>
        <v>3.2956469100000003</v>
      </c>
      <c r="DJ6" s="1">
        <f t="shared" si="29"/>
        <v>4.5516111999999991</v>
      </c>
      <c r="DK6" s="1">
        <f t="shared" si="29"/>
        <v>3.9375346699999998</v>
      </c>
      <c r="DL6" s="1">
        <f t="shared" si="29"/>
        <v>4.8118603300000009</v>
      </c>
      <c r="DM6" s="1">
        <f t="shared" si="29"/>
        <v>5.2295233099999994</v>
      </c>
      <c r="DN6" s="1">
        <f t="shared" si="29"/>
        <v>7.4159317900000001</v>
      </c>
      <c r="DO6" s="1">
        <f t="shared" si="29"/>
        <v>3.5587731599999999</v>
      </c>
      <c r="DP6" s="1">
        <f t="shared" si="29"/>
        <v>6.9479693099999986</v>
      </c>
      <c r="DQ6" s="1">
        <f t="shared" si="29"/>
        <v>7.5746309199999997</v>
      </c>
      <c r="DR6" s="1">
        <f t="shared" si="29"/>
        <v>8.1137987799999998</v>
      </c>
      <c r="DS6" s="1">
        <f t="shared" si="29"/>
        <v>9.2876289100000005</v>
      </c>
      <c r="DT6" s="1">
        <f t="shared" si="29"/>
        <v>7.69051375</v>
      </c>
      <c r="DU6" s="1">
        <f t="shared" si="29"/>
        <v>7.1486482300000009</v>
      </c>
      <c r="DV6" s="1">
        <f t="shared" si="29"/>
        <v>9.1724036200000008</v>
      </c>
      <c r="DW6" s="1">
        <f t="shared" si="29"/>
        <v>6.8489806600000005</v>
      </c>
      <c r="DX6" s="1">
        <f t="shared" si="29"/>
        <v>8.39418884</v>
      </c>
      <c r="DY6" s="1">
        <f t="shared" ref="DY6:EF20" si="30">+VLOOKUP(DY$1,ran_dat,$CB6,FALSE)</f>
        <v>8.0897496800000006</v>
      </c>
      <c r="DZ6" s="1">
        <f t="shared" si="30"/>
        <v>9.8858098699999992</v>
      </c>
      <c r="EA6" s="1">
        <f t="shared" si="30"/>
        <v>11.833805730000002</v>
      </c>
      <c r="EB6" s="1">
        <f t="shared" si="30"/>
        <v>13.016290730000001</v>
      </c>
      <c r="EC6" s="1">
        <f t="shared" si="30"/>
        <v>10.901897520000004</v>
      </c>
      <c r="ED6" s="1">
        <f t="shared" si="30"/>
        <v>10.864187659999995</v>
      </c>
      <c r="EE6" s="1">
        <f t="shared" si="30"/>
        <v>11.783992419999999</v>
      </c>
      <c r="EF6" s="1">
        <f t="shared" si="30"/>
        <v>1.0941888799999999</v>
      </c>
      <c r="EH6" s="14">
        <f t="shared" ref="EH6:EW21" si="31">+VLOOKUP(EH$1,ran_dat,$CF6,FALSE)</f>
        <v>0</v>
      </c>
      <c r="EI6" s="14">
        <f t="shared" si="31"/>
        <v>0</v>
      </c>
      <c r="EJ6" s="1">
        <f t="shared" si="31"/>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ref="EX6:FE20" si="32">+VLOOKUP(EX$1,ran_dat,$CF6,FALSE)</f>
        <v>0</v>
      </c>
      <c r="EY6" s="1">
        <f t="shared" si="32"/>
        <v>0</v>
      </c>
      <c r="EZ6" s="1">
        <f t="shared" si="32"/>
        <v>0</v>
      </c>
      <c r="FA6" s="1">
        <f t="shared" si="32"/>
        <v>0</v>
      </c>
      <c r="FB6" s="1">
        <f t="shared" si="32"/>
        <v>0</v>
      </c>
      <c r="FC6" s="1">
        <f t="shared" si="32"/>
        <v>0</v>
      </c>
      <c r="FD6" s="1">
        <f t="shared" si="32"/>
        <v>0</v>
      </c>
      <c r="FE6" s="1">
        <f t="shared" si="32"/>
        <v>0</v>
      </c>
      <c r="FG6" s="162">
        <f t="shared" ref="FG6:FG24" si="33">+I6-K6</f>
        <v>-0.63631701580412381</v>
      </c>
    </row>
    <row r="7" spans="1:163" ht="18.75" customHeight="1">
      <c r="A7" s="244" t="s">
        <v>13</v>
      </c>
      <c r="B7" s="247"/>
      <c r="C7" s="228">
        <f t="shared" si="5"/>
        <v>0.33</v>
      </c>
      <c r="D7" s="229">
        <v>1</v>
      </c>
      <c r="E7" s="253">
        <f t="shared" si="6"/>
        <v>0.19186344105925879</v>
      </c>
      <c r="F7" s="254">
        <f t="shared" si="7"/>
        <v>0.14609517051189314</v>
      </c>
      <c r="G7" s="253">
        <f t="shared" si="8"/>
        <v>1.2713672835783507E-2</v>
      </c>
      <c r="H7" s="254">
        <f t="shared" si="9"/>
        <v>0.17914976822347528</v>
      </c>
      <c r="I7" s="253">
        <f t="shared" si="10"/>
        <v>3.0194166237816766</v>
      </c>
      <c r="J7" s="254">
        <f t="shared" si="11"/>
        <v>0.30410310015041775</v>
      </c>
      <c r="K7" s="253">
        <f t="shared" ref="K7:K24" si="34">IFERROR(+BL7/BN7-1,"")</f>
        <v>2.4963806251767546</v>
      </c>
      <c r="L7" s="254">
        <f t="shared" si="12"/>
        <v>0.523035998604922</v>
      </c>
      <c r="M7" s="255"/>
      <c r="N7" s="256">
        <v>1</v>
      </c>
      <c r="O7" s="253">
        <f t="shared" ref="O7:O24" si="35">IFERROR(+BQ7/BR7-1,"")</f>
        <v>5.2631578947368363E-2</v>
      </c>
      <c r="P7" s="257">
        <f t="shared" ref="P7:P24" si="36">+O7</f>
        <v>5.2631578947368363E-2</v>
      </c>
      <c r="Q7" s="253">
        <f t="shared" si="13"/>
        <v>0.18181818181818188</v>
      </c>
      <c r="R7" s="257">
        <f t="shared" ref="R7:R24" si="37">+Q7</f>
        <v>0.18181818181818188</v>
      </c>
      <c r="S7" s="255"/>
      <c r="T7" s="256">
        <v>-1</v>
      </c>
      <c r="U7" s="253">
        <f t="shared" si="14"/>
        <v>-0.17989244355711664</v>
      </c>
      <c r="V7" s="258">
        <f t="shared" si="15"/>
        <v>-0.17989244355711664</v>
      </c>
      <c r="W7" s="253">
        <f t="shared" ref="W7:W24" si="38">IFERROR(IF(CC7&lt;0.5,"",+CC7/CD7-1),"")</f>
        <v>2.4473063644981123</v>
      </c>
      <c r="X7" s="258">
        <f t="shared" si="16"/>
        <v>2.4473063644981123</v>
      </c>
      <c r="Y7" s="253">
        <f t="shared" si="17"/>
        <v>0</v>
      </c>
      <c r="Z7" s="258">
        <f t="shared" si="18"/>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P7" s="28">
        <f>VLOOKUP($A7,historia!$A$5:$CM$24,+HLOOKUP(AP$2,historia!$A$3:$EC$4,2,FALSE),FALSE)</f>
        <v>3</v>
      </c>
      <c r="AQ7" s="28">
        <f>VLOOKUP($A7,historia!$A$5:$CM$24,+HLOOKUP(AQ$2,historia!$A$3:$EC$4,2,FALSE),FALSE)</f>
        <v>3</v>
      </c>
      <c r="AR7" s="28">
        <f>VLOOKUP($A7,historia!$A$5:$CM$24,+HLOOKUP(AR$2,historia!$A$3:$EC$4,2,FALSE),FALSE)</f>
        <v>4</v>
      </c>
      <c r="AS7" s="28">
        <f>VLOOKUP($A7,historia!$A$5:$CM$24,+HLOOKUP(AS$2,historia!$A$3:$EC$4,2,FALSE),FALSE)</f>
        <v>5</v>
      </c>
      <c r="AT7" s="58">
        <f>VLOOKUP($A7,historia!$A$5:$CM$24,+HLOOKUP(AT$2,historia!$A$3:$EC$4,2,FALSE),FALSE)</f>
        <v>4</v>
      </c>
      <c r="AU7" s="58">
        <f>VLOOKUP($A7,historia!$A$5:$CM$24,+HLOOKUP(AU$2,historia!$A$3:$EC$4,2,FALSE),FALSE)</f>
        <v>3</v>
      </c>
      <c r="AV7" s="58">
        <f>VLOOKUP($A7,historia!$A$5:$CM$24,+HLOOKUP(AV$2,historia!$A$3:$EC$4,2,FALSE),FALSE)</f>
        <v>2</v>
      </c>
      <c r="AW7" s="58">
        <f>VLOOKUP($A7,historia!$A$5:$CM$24,+HLOOKUP(AW$2,historia!$A$3:$EC$4,2,FALSE),FALSE)</f>
        <v>2</v>
      </c>
      <c r="AX7" s="58">
        <f>VLOOKUP($A7,historia!$A$5:$CM$24,+HLOOKUP(AX$2,historia!$A$3:$EC$4,2,FALSE),FALSE)</f>
        <v>2</v>
      </c>
      <c r="AY7" s="58">
        <f>VLOOKUP($A7,historia!$A$5:$CM$24,+HLOOKUP(AY$2,historia!$A$3:$EC$4,2,FALSE),FALSE)</f>
        <v>2</v>
      </c>
      <c r="AZ7" s="58">
        <f>VLOOKUP($A7,historia!$A$5:$CM$24,+HLOOKUP(AZ$2,historia!$A$3:$EC$4,2,FALSE),FALSE)</f>
        <v>2</v>
      </c>
      <c r="BA7" s="58">
        <f>VLOOKUP($A7,historia!$A$5:$CM$24,+HLOOKUP(BA$2,historia!$A$3:$EC$4,2,FALSE),FALSE)</f>
        <v>2</v>
      </c>
      <c r="BB7" s="30"/>
      <c r="BC7" s="141">
        <v>2</v>
      </c>
      <c r="BD7" t="str">
        <f t="shared" si="19"/>
        <v>Arroz</v>
      </c>
      <c r="BE7">
        <f>+datos!R1</f>
        <v>18</v>
      </c>
      <c r="BF7" s="2" t="str">
        <f t="shared" si="4"/>
        <v>$/t</v>
      </c>
      <c r="BG7" s="2">
        <f t="shared" si="4"/>
        <v>381844.57925925928</v>
      </c>
      <c r="BH7" s="2">
        <f t="shared" si="4"/>
        <v>320376.11533742328</v>
      </c>
      <c r="BI7" s="2">
        <f t="shared" si="4"/>
        <v>95000</v>
      </c>
      <c r="BK7">
        <f>+datos!BZ1</f>
        <v>78</v>
      </c>
      <c r="BL7" s="2">
        <f t="shared" si="20"/>
        <v>7866.6337134286805</v>
      </c>
      <c r="BM7" s="2">
        <f t="shared" si="20"/>
        <v>7767.8754858721986</v>
      </c>
      <c r="BN7" s="2">
        <f t="shared" si="20"/>
        <v>2249.9363075011302</v>
      </c>
      <c r="BP7" s="1">
        <f>+datos!DM1</f>
        <v>117</v>
      </c>
      <c r="BQ7" s="1">
        <f t="shared" si="21"/>
        <v>200000</v>
      </c>
      <c r="BR7" s="1">
        <f t="shared" si="21"/>
        <v>190000</v>
      </c>
      <c r="BT7" s="1">
        <f>+datos!FH1</f>
        <v>164</v>
      </c>
      <c r="BU7" s="1">
        <f t="shared" si="22"/>
        <v>1300000</v>
      </c>
      <c r="BV7" s="1">
        <f t="shared" si="22"/>
        <v>1100000</v>
      </c>
      <c r="BX7" s="1">
        <f>+datos!JG1</f>
        <v>267</v>
      </c>
      <c r="BY7" s="1">
        <f t="shared" ref="BY7:BY24" si="39">+SUM(CJ7:CU7)</f>
        <v>241.16808700000001</v>
      </c>
      <c r="BZ7" s="1">
        <f t="shared" ref="BZ7:BZ24" si="40">+SUM(CV7:DG7)</f>
        <v>294.06885122</v>
      </c>
      <c r="CB7" s="1">
        <f>+datos!KL1</f>
        <v>298</v>
      </c>
      <c r="CC7" s="2">
        <f t="shared" si="23"/>
        <v>2.8741525200000004</v>
      </c>
      <c r="CD7" s="2">
        <f t="shared" si="24"/>
        <v>0.83373863999999998</v>
      </c>
      <c r="CF7" s="1">
        <f>+datos!HU1</f>
        <v>229</v>
      </c>
      <c r="CG7" s="1">
        <f t="shared" si="25"/>
        <v>700000</v>
      </c>
      <c r="CH7" s="1">
        <f t="shared" si="26"/>
        <v>700000</v>
      </c>
      <c r="CJ7" s="1">
        <f t="shared" si="27"/>
        <v>35.598317799999997</v>
      </c>
      <c r="CK7" s="1">
        <f t="shared" si="27"/>
        <v>32.785113670000001</v>
      </c>
      <c r="CL7" s="1">
        <f t="shared" si="27"/>
        <v>22.35722878</v>
      </c>
      <c r="CM7" s="1">
        <f t="shared" si="27"/>
        <v>34.376458229999997</v>
      </c>
      <c r="CN7" s="1">
        <f t="shared" si="27"/>
        <v>13.355622539999999</v>
      </c>
      <c r="CO7" s="1">
        <f t="shared" si="27"/>
        <v>10.68224592</v>
      </c>
      <c r="CP7" s="1">
        <f t="shared" si="27"/>
        <v>15.82785018</v>
      </c>
      <c r="CQ7" s="1">
        <f t="shared" si="27"/>
        <v>16.180063639999997</v>
      </c>
      <c r="CR7" s="1">
        <f t="shared" si="27"/>
        <v>11.823193960000001</v>
      </c>
      <c r="CS7" s="1">
        <f t="shared" si="27"/>
        <v>12.24327484</v>
      </c>
      <c r="CT7" s="1">
        <f t="shared" si="27"/>
        <v>9.600226039999999</v>
      </c>
      <c r="CU7" s="1">
        <f t="shared" si="27"/>
        <v>26.338491399999999</v>
      </c>
      <c r="CV7" s="1">
        <f t="shared" si="27"/>
        <v>21.418726320000001</v>
      </c>
      <c r="CW7" s="1">
        <f t="shared" si="27"/>
        <v>22.255101539999998</v>
      </c>
      <c r="CX7" s="1">
        <f t="shared" si="27"/>
        <v>44.848914040000004</v>
      </c>
      <c r="CY7" s="1">
        <f t="shared" si="27"/>
        <v>20.357260950000001</v>
      </c>
      <c r="CZ7" s="1">
        <f t="shared" si="28"/>
        <v>17.134564559999998</v>
      </c>
      <c r="DA7" s="1">
        <f t="shared" si="28"/>
        <v>28.8463791</v>
      </c>
      <c r="DB7" s="1">
        <f t="shared" si="28"/>
        <v>29.656605189999997</v>
      </c>
      <c r="DC7" s="1">
        <f t="shared" si="28"/>
        <v>22.47426432</v>
      </c>
      <c r="DD7" s="1">
        <f t="shared" si="28"/>
        <v>15.997414339999999</v>
      </c>
      <c r="DE7" s="1">
        <f t="shared" si="28"/>
        <v>24.494655209999998</v>
      </c>
      <c r="DF7" s="1">
        <f t="shared" si="28"/>
        <v>19.108820979999997</v>
      </c>
      <c r="DG7" s="1">
        <f t="shared" si="28"/>
        <v>27.47614467</v>
      </c>
      <c r="DI7" s="1">
        <f t="shared" si="29"/>
        <v>0.48301414000000004</v>
      </c>
      <c r="DJ7" s="1">
        <f t="shared" si="29"/>
        <v>0.23845672000000001</v>
      </c>
      <c r="DK7" s="1">
        <f t="shared" si="29"/>
        <v>0.50080292000000004</v>
      </c>
      <c r="DL7" s="1">
        <f t="shared" si="29"/>
        <v>8.6091799999999996E-2</v>
      </c>
      <c r="DM7" s="1">
        <f t="shared" si="29"/>
        <v>0.22536</v>
      </c>
      <c r="DN7" s="1">
        <f t="shared" si="29"/>
        <v>0.8256</v>
      </c>
      <c r="DO7" s="1">
        <f t="shared" si="29"/>
        <v>3.973985E-2</v>
      </c>
      <c r="DP7" s="1">
        <f t="shared" si="29"/>
        <v>3.3462720000000001E-2</v>
      </c>
      <c r="DQ7" s="1">
        <f t="shared" si="29"/>
        <v>0.19098301000000001</v>
      </c>
      <c r="DR7" s="1">
        <f t="shared" si="29"/>
        <v>0.10767879</v>
      </c>
      <c r="DS7" s="1">
        <f t="shared" si="29"/>
        <v>5.5773490000000002E-2</v>
      </c>
      <c r="DT7" s="1">
        <f t="shared" si="29"/>
        <v>8.7189080000000002E-2</v>
      </c>
      <c r="DU7" s="1">
        <f t="shared" si="29"/>
        <v>3.9243889999999997E-2</v>
      </c>
      <c r="DV7" s="1">
        <f t="shared" si="29"/>
        <v>0.10892111</v>
      </c>
      <c r="DW7" s="1">
        <f t="shared" si="29"/>
        <v>1.8036480000000001E-2</v>
      </c>
      <c r="DX7" s="1">
        <f t="shared" si="29"/>
        <v>2.0500000000000002E-3</v>
      </c>
      <c r="DY7" s="1">
        <f t="shared" si="30"/>
        <v>1.0492100000000001E-3</v>
      </c>
      <c r="DZ7" s="1">
        <f t="shared" si="30"/>
        <v>2.7127990000000001E-2</v>
      </c>
      <c r="EA7" s="1">
        <f t="shared" si="30"/>
        <v>2.9352990000000002E-2</v>
      </c>
      <c r="EB7" s="1">
        <f t="shared" si="30"/>
        <v>4.3800639999999995E-2</v>
      </c>
      <c r="EC7" s="1">
        <f t="shared" si="30"/>
        <v>2.6976839999999998E-2</v>
      </c>
      <c r="ED7" s="1">
        <f t="shared" si="30"/>
        <v>0.38784603000000006</v>
      </c>
      <c r="EE7" s="1">
        <f t="shared" si="30"/>
        <v>0.13118235</v>
      </c>
      <c r="EF7" s="1">
        <f t="shared" si="30"/>
        <v>1.8151110000000002E-2</v>
      </c>
      <c r="EH7" s="14">
        <f t="shared" si="31"/>
        <v>700000</v>
      </c>
      <c r="EI7" s="14">
        <f t="shared" si="31"/>
        <v>700000</v>
      </c>
      <c r="EJ7" s="1">
        <f t="shared" si="31"/>
        <v>700000</v>
      </c>
      <c r="EK7" s="1">
        <f t="shared" si="31"/>
        <v>700000</v>
      </c>
      <c r="EL7" s="1">
        <f t="shared" si="31"/>
        <v>700000</v>
      </c>
      <c r="EM7" s="1">
        <f t="shared" si="31"/>
        <v>700000</v>
      </c>
      <c r="EN7" s="1">
        <f t="shared" si="31"/>
        <v>700000</v>
      </c>
      <c r="EO7" s="1">
        <f t="shared" si="31"/>
        <v>700000</v>
      </c>
      <c r="EP7" s="1">
        <f t="shared" si="31"/>
        <v>700000</v>
      </c>
      <c r="EQ7" s="1">
        <f t="shared" si="31"/>
        <v>700000</v>
      </c>
      <c r="ER7" s="1">
        <f t="shared" si="31"/>
        <v>700000</v>
      </c>
      <c r="ES7" s="1">
        <f t="shared" si="31"/>
        <v>700000</v>
      </c>
      <c r="ET7" s="1">
        <f t="shared" si="31"/>
        <v>700000</v>
      </c>
      <c r="EU7" s="1">
        <f t="shared" si="31"/>
        <v>700000</v>
      </c>
      <c r="EV7" s="1">
        <f t="shared" si="31"/>
        <v>700000</v>
      </c>
      <c r="EW7" s="1">
        <f t="shared" si="31"/>
        <v>700000</v>
      </c>
      <c r="EX7" s="1">
        <f t="shared" si="32"/>
        <v>650000</v>
      </c>
      <c r="EY7" s="1">
        <f t="shared" si="32"/>
        <v>650000</v>
      </c>
      <c r="EZ7" s="1">
        <f t="shared" si="32"/>
        <v>650000</v>
      </c>
      <c r="FA7" s="1">
        <f t="shared" si="32"/>
        <v>650000</v>
      </c>
      <c r="FB7" s="1">
        <f t="shared" si="32"/>
        <v>650000</v>
      </c>
      <c r="FC7" s="1">
        <f t="shared" si="32"/>
        <v>650000</v>
      </c>
      <c r="FD7" s="1">
        <f t="shared" si="32"/>
        <v>650000</v>
      </c>
      <c r="FE7" s="1">
        <f t="shared" si="32"/>
        <v>650000</v>
      </c>
      <c r="FG7" s="162">
        <f t="shared" si="33"/>
        <v>0.523035998604922</v>
      </c>
    </row>
    <row r="8" spans="1:163" ht="18.75" customHeight="1">
      <c r="A8" s="243" t="s">
        <v>215</v>
      </c>
      <c r="B8" s="246"/>
      <c r="C8" s="156">
        <f t="shared" si="5"/>
        <v>0</v>
      </c>
      <c r="D8" s="198">
        <v>1</v>
      </c>
      <c r="E8" s="248">
        <f t="shared" si="6"/>
        <v>9.9794020695187502E-3</v>
      </c>
      <c r="F8" s="249">
        <f t="shared" si="7"/>
        <v>-3.5788868477846902E-2</v>
      </c>
      <c r="G8" s="248">
        <f t="shared" si="8"/>
        <v>1.8434410391308109E-2</v>
      </c>
      <c r="H8" s="249">
        <f t="shared" si="9"/>
        <v>-8.455008321789359E-3</v>
      </c>
      <c r="I8" s="248">
        <f t="shared" si="10"/>
        <v>2.8189340408206149</v>
      </c>
      <c r="J8" s="249">
        <f t="shared" si="11"/>
        <v>0.10362051718935605</v>
      </c>
      <c r="K8" s="248">
        <f t="shared" si="34"/>
        <v>2.3927311942412826</v>
      </c>
      <c r="L8" s="249">
        <f t="shared" si="12"/>
        <v>0.42620284657933238</v>
      </c>
      <c r="M8" s="250"/>
      <c r="N8" s="24">
        <v>0</v>
      </c>
      <c r="O8" s="248">
        <f t="shared" si="35"/>
        <v>-1.9622560583315463E-2</v>
      </c>
      <c r="P8" s="251">
        <f t="shared" si="36"/>
        <v>-1.9622560583315463E-2</v>
      </c>
      <c r="Q8" s="248">
        <f t="shared" si="13"/>
        <v>-1.8211458374037703E-2</v>
      </c>
      <c r="R8" s="251">
        <f t="shared" si="37"/>
        <v>-1.8211458374037703E-2</v>
      </c>
      <c r="S8" s="250"/>
      <c r="T8" s="24">
        <v>-1</v>
      </c>
      <c r="U8" s="248">
        <f>IFERROR(+BY8/BZ8-1,"")</f>
        <v>-0.25608496783387258</v>
      </c>
      <c r="V8" s="252">
        <f t="shared" si="15"/>
        <v>-0.25608496783387258</v>
      </c>
      <c r="W8" s="248">
        <f t="shared" si="38"/>
        <v>-0.11573144210129838</v>
      </c>
      <c r="X8" s="252">
        <f t="shared" si="16"/>
        <v>-0.11573144210129838</v>
      </c>
      <c r="Y8" s="248">
        <f t="shared" si="17"/>
        <v>-2.5000000000000022E-2</v>
      </c>
      <c r="Z8" s="252">
        <f t="shared" si="18"/>
        <v>-2.5000000000000022E-2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P8" s="28">
        <f>VLOOKUP($A8,historia!$A$5:$CM$24,+HLOOKUP(AP$2,historia!$A$3:$EC$4,2,FALSE),FALSE)</f>
        <v>3</v>
      </c>
      <c r="AQ8" s="28">
        <f>VLOOKUP($A8,historia!$A$5:$CM$24,+HLOOKUP(AQ$2,historia!$A$3:$EC$4,2,FALSE),FALSE)</f>
        <v>3</v>
      </c>
      <c r="AR8" s="28">
        <f>VLOOKUP($A8,historia!$A$5:$CM$24,+HLOOKUP(AR$2,historia!$A$3:$EC$4,2,FALSE),FALSE)</f>
        <v>4</v>
      </c>
      <c r="AS8" s="28">
        <f>VLOOKUP($A8,historia!$A$5:$CM$24,+HLOOKUP(AS$2,historia!$A$3:$EC$4,2,FALSE),FALSE)</f>
        <v>4</v>
      </c>
      <c r="AT8" s="58">
        <f>VLOOKUP($A8,historia!$A$5:$CM$24,+HLOOKUP(AT$2,historia!$A$3:$EC$4,2,FALSE),FALSE)</f>
        <v>4</v>
      </c>
      <c r="AU8" s="58">
        <f>VLOOKUP($A8,historia!$A$5:$CM$24,+HLOOKUP(AU$2,historia!$A$3:$EC$4,2,FALSE),FALSE)</f>
        <v>5</v>
      </c>
      <c r="AV8" s="58">
        <f>VLOOKUP($A8,historia!$A$5:$CM$24,+HLOOKUP(AV$2,historia!$A$3:$EC$4,2,FALSE),FALSE)</f>
        <v>2</v>
      </c>
      <c r="AW8" s="58">
        <f>VLOOKUP($A8,historia!$A$5:$CM$24,+HLOOKUP(AW$2,historia!$A$3:$EC$4,2,FALSE),FALSE)</f>
        <v>1</v>
      </c>
      <c r="AX8" s="58">
        <f>VLOOKUP($A8,historia!$A$5:$CM$24,+HLOOKUP(AX$2,historia!$A$3:$EC$4,2,FALSE),FALSE)</f>
        <v>1</v>
      </c>
      <c r="AY8" s="58">
        <f>VLOOKUP($A8,historia!$A$5:$CM$24,+HLOOKUP(AY$2,historia!$A$3:$EC$4,2,FALSE),FALSE)</f>
        <v>2</v>
      </c>
      <c r="AZ8" s="58">
        <f>VLOOKUP($A8,historia!$A$5:$CM$24,+HLOOKUP(AZ$2,historia!$A$3:$EC$4,2,FALSE),FALSE)</f>
        <v>3</v>
      </c>
      <c r="BA8" s="58">
        <f>VLOOKUP($A8,historia!$A$5:$CM$24,+HLOOKUP(BA$2,historia!$A$3:$EC$4,2,FALSE),FALSE)</f>
        <v>3</v>
      </c>
      <c r="BB8" s="30"/>
      <c r="BC8" s="141">
        <v>3</v>
      </c>
      <c r="BD8" t="str">
        <f t="shared" si="19"/>
        <v>Aves</v>
      </c>
      <c r="BE8">
        <f>+datos!BQ1</f>
        <v>69</v>
      </c>
      <c r="BF8" s="2" t="str">
        <f t="shared" si="4"/>
        <v>prom pond huevo-carne</v>
      </c>
      <c r="BG8" s="2">
        <f t="shared" si="4"/>
        <v>1453.83</v>
      </c>
      <c r="BH8" s="2">
        <f t="shared" si="4"/>
        <v>1439.4650000000001</v>
      </c>
      <c r="BI8" s="2">
        <f t="shared" si="4"/>
        <v>380.69</v>
      </c>
      <c r="BK8">
        <f>+datos!DG1</f>
        <v>111</v>
      </c>
      <c r="BL8" s="2">
        <f t="shared" si="20"/>
        <v>7576.57455181148</v>
      </c>
      <c r="BM8" s="2">
        <f t="shared" si="20"/>
        <v>7439.4329909771695</v>
      </c>
      <c r="BN8" s="2">
        <f t="shared" si="20"/>
        <v>2233.1785567544298</v>
      </c>
      <c r="BP8" s="1">
        <f>+datos!EP1</f>
        <v>146</v>
      </c>
      <c r="BQ8" s="1">
        <f t="shared" si="21"/>
        <v>9143</v>
      </c>
      <c r="BR8" s="1">
        <f t="shared" si="21"/>
        <v>9326</v>
      </c>
      <c r="BT8" s="1">
        <f>+datos!HM1</f>
        <v>221</v>
      </c>
      <c r="BU8" s="1">
        <f t="shared" si="22"/>
        <v>2339125.2400000002</v>
      </c>
      <c r="BV8" s="1">
        <f t="shared" si="22"/>
        <v>2382514.2999999998</v>
      </c>
      <c r="BX8" s="1">
        <f>+datos!KF1</f>
        <v>292</v>
      </c>
      <c r="BY8" s="1">
        <f t="shared" si="39"/>
        <v>372.35001226000003</v>
      </c>
      <c r="BZ8" s="1">
        <f t="shared" si="40"/>
        <v>500.52760888</v>
      </c>
      <c r="CB8" s="1">
        <f>+datos!LK1</f>
        <v>323</v>
      </c>
      <c r="CC8" s="2">
        <f t="shared" si="23"/>
        <v>37.741035000000004</v>
      </c>
      <c r="CD8" s="2">
        <f t="shared" si="24"/>
        <v>42.680512230000005</v>
      </c>
      <c r="CF8" s="1">
        <f>+datos!IL1</f>
        <v>246</v>
      </c>
      <c r="CG8" s="1">
        <f t="shared" si="25"/>
        <v>44.85</v>
      </c>
      <c r="CH8" s="1">
        <f t="shared" si="26"/>
        <v>46</v>
      </c>
      <c r="CJ8" s="1">
        <f t="shared" si="27"/>
        <v>19.314763240000005</v>
      </c>
      <c r="CK8" s="1">
        <f t="shared" si="27"/>
        <v>22.778743510000002</v>
      </c>
      <c r="CL8" s="1">
        <f t="shared" si="27"/>
        <v>39.062197300000001</v>
      </c>
      <c r="CM8" s="1">
        <f t="shared" si="27"/>
        <v>40.013868680000002</v>
      </c>
      <c r="CN8" s="1">
        <f t="shared" si="27"/>
        <v>35.607742460000011</v>
      </c>
      <c r="CO8" s="1">
        <f t="shared" si="27"/>
        <v>32.51792974</v>
      </c>
      <c r="CP8" s="1">
        <f t="shared" si="27"/>
        <v>35.210116300000003</v>
      </c>
      <c r="CQ8" s="1">
        <f t="shared" si="27"/>
        <v>30.603465830000005</v>
      </c>
      <c r="CR8" s="1">
        <f t="shared" si="27"/>
        <v>35.017556320000004</v>
      </c>
      <c r="CS8" s="1">
        <f t="shared" si="27"/>
        <v>24.343011479999998</v>
      </c>
      <c r="CT8" s="1">
        <f t="shared" si="27"/>
        <v>32.053320659999997</v>
      </c>
      <c r="CU8" s="1">
        <f t="shared" si="27"/>
        <v>25.827296739999998</v>
      </c>
      <c r="CV8" s="1">
        <f t="shared" si="27"/>
        <v>20.281404040000002</v>
      </c>
      <c r="CW8" s="1">
        <f t="shared" si="27"/>
        <v>20.776878260000004</v>
      </c>
      <c r="CX8" s="1">
        <f t="shared" si="27"/>
        <v>18.00257775</v>
      </c>
      <c r="CY8" s="1">
        <f t="shared" si="27"/>
        <v>18.061317600000002</v>
      </c>
      <c r="CZ8" s="1">
        <f t="shared" si="28"/>
        <v>50.712421620000008</v>
      </c>
      <c r="DA8" s="1">
        <f t="shared" si="28"/>
        <v>45.90045215</v>
      </c>
      <c r="DB8" s="1">
        <f t="shared" si="28"/>
        <v>47.273016750000004</v>
      </c>
      <c r="DC8" s="1">
        <f t="shared" si="28"/>
        <v>53.715518810000006</v>
      </c>
      <c r="DD8" s="1">
        <f t="shared" si="28"/>
        <v>52.265948369999997</v>
      </c>
      <c r="DE8" s="1">
        <f t="shared" si="28"/>
        <v>57.828382590000011</v>
      </c>
      <c r="DF8" s="1">
        <f t="shared" si="28"/>
        <v>63.168661010000001</v>
      </c>
      <c r="DG8" s="1">
        <f t="shared" si="28"/>
        <v>52.541029930000001</v>
      </c>
      <c r="DI8" s="1">
        <f t="shared" si="29"/>
        <v>5.6916922899999998</v>
      </c>
      <c r="DJ8" s="1">
        <f t="shared" si="29"/>
        <v>1.7294530099999998</v>
      </c>
      <c r="DK8" s="1">
        <f t="shared" si="29"/>
        <v>4.2232492399999995</v>
      </c>
      <c r="DL8" s="1">
        <f t="shared" si="29"/>
        <v>1.27466579</v>
      </c>
      <c r="DM8" s="1">
        <f t="shared" si="29"/>
        <v>1.8857013599999999</v>
      </c>
      <c r="DN8" s="1">
        <f t="shared" si="29"/>
        <v>4.07849503</v>
      </c>
      <c r="DO8" s="1">
        <f t="shared" si="29"/>
        <v>2.60999925</v>
      </c>
      <c r="DP8" s="1">
        <f t="shared" si="29"/>
        <v>4.3280037599999996</v>
      </c>
      <c r="DQ8" s="1">
        <f t="shared" si="29"/>
        <v>3.9253711099999995</v>
      </c>
      <c r="DR8" s="1">
        <f t="shared" si="29"/>
        <v>2.66724104</v>
      </c>
      <c r="DS8" s="1">
        <f t="shared" si="29"/>
        <v>1.3237541899999998</v>
      </c>
      <c r="DT8" s="1">
        <f t="shared" si="29"/>
        <v>4.0034089300000009</v>
      </c>
      <c r="DU8" s="1">
        <f t="shared" si="29"/>
        <v>4.2620939999999994</v>
      </c>
      <c r="DV8" s="1">
        <f t="shared" si="29"/>
        <v>6.8027163900000005</v>
      </c>
      <c r="DW8" s="1">
        <f t="shared" si="29"/>
        <v>1.73014019</v>
      </c>
      <c r="DX8" s="1">
        <f t="shared" si="29"/>
        <v>6.4691643499999998</v>
      </c>
      <c r="DY8" s="1">
        <f t="shared" si="30"/>
        <v>1.80858622</v>
      </c>
      <c r="DZ8" s="1">
        <f t="shared" si="30"/>
        <v>3.7432468400000003</v>
      </c>
      <c r="EA8" s="1">
        <f t="shared" si="30"/>
        <v>0.59472115000000003</v>
      </c>
      <c r="EB8" s="1">
        <f t="shared" si="30"/>
        <v>5.9863547400000003</v>
      </c>
      <c r="EC8" s="1">
        <f t="shared" si="30"/>
        <v>1.02297792</v>
      </c>
      <c r="ED8" s="1">
        <f t="shared" si="30"/>
        <v>3.9990310300000003</v>
      </c>
      <c r="EE8" s="1">
        <f t="shared" si="30"/>
        <v>3.76265019</v>
      </c>
      <c r="EF8" s="1">
        <f t="shared" si="30"/>
        <v>2.4988292100000002</v>
      </c>
      <c r="EH8" s="14">
        <f t="shared" si="31"/>
        <v>44.85</v>
      </c>
      <c r="EI8" s="14">
        <f t="shared" si="31"/>
        <v>45.52</v>
      </c>
      <c r="EJ8" s="1">
        <f t="shared" si="31"/>
        <v>46.23</v>
      </c>
      <c r="EK8" s="1">
        <f t="shared" si="31"/>
        <v>46.23</v>
      </c>
      <c r="EL8" s="1">
        <f t="shared" si="31"/>
        <v>46.23</v>
      </c>
      <c r="EM8" s="1">
        <f t="shared" si="31"/>
        <v>48.52</v>
      </c>
      <c r="EN8" s="1">
        <f t="shared" si="31"/>
        <v>45.85</v>
      </c>
      <c r="EO8" s="1">
        <f t="shared" si="31"/>
        <v>46.03</v>
      </c>
      <c r="EP8" s="1">
        <f t="shared" si="31"/>
        <v>46.13</v>
      </c>
      <c r="EQ8" s="1">
        <f t="shared" si="31"/>
        <v>45.88</v>
      </c>
      <c r="ER8" s="1">
        <f t="shared" si="31"/>
        <v>46.09</v>
      </c>
      <c r="ES8" s="1">
        <f t="shared" si="31"/>
        <v>45.9</v>
      </c>
      <c r="ET8" s="1">
        <f t="shared" si="31"/>
        <v>46</v>
      </c>
      <c r="EU8" s="1">
        <f t="shared" si="31"/>
        <v>45.99</v>
      </c>
      <c r="EV8" s="1">
        <f t="shared" si="31"/>
        <v>45.74</v>
      </c>
      <c r="EW8" s="1">
        <f t="shared" si="31"/>
        <v>45.46</v>
      </c>
      <c r="EX8" s="1">
        <f t="shared" si="32"/>
        <v>45.56</v>
      </c>
      <c r="EY8" s="1">
        <f t="shared" si="32"/>
        <v>45.71</v>
      </c>
      <c r="EZ8" s="1">
        <f t="shared" si="32"/>
        <v>45.71</v>
      </c>
      <c r="FA8" s="1">
        <f t="shared" si="32"/>
        <v>46.04</v>
      </c>
      <c r="FB8" s="1">
        <f t="shared" si="32"/>
        <v>45.9</v>
      </c>
      <c r="FC8" s="1">
        <f t="shared" si="32"/>
        <v>48.39</v>
      </c>
      <c r="FD8" s="1">
        <f t="shared" si="32"/>
        <v>47.03</v>
      </c>
      <c r="FE8" s="1">
        <f t="shared" si="32"/>
        <v>45.75</v>
      </c>
      <c r="FG8" s="162">
        <f t="shared" si="33"/>
        <v>0.42620284657933238</v>
      </c>
    </row>
    <row r="9" spans="1:163" ht="18.75" customHeight="1">
      <c r="A9" s="244" t="s">
        <v>77</v>
      </c>
      <c r="B9" s="247"/>
      <c r="C9" s="228">
        <v>0</v>
      </c>
      <c r="D9" s="229">
        <v>1</v>
      </c>
      <c r="E9" s="253">
        <f t="shared" si="6"/>
        <v>1.6172399007006177E-3</v>
      </c>
      <c r="F9" s="254">
        <f t="shared" si="7"/>
        <v>-4.4151030646665035E-2</v>
      </c>
      <c r="G9" s="253">
        <f t="shared" si="8"/>
        <v>1.2214073985908458E-2</v>
      </c>
      <c r="H9" s="254">
        <f t="shared" si="9"/>
        <v>-1.059683408520784E-2</v>
      </c>
      <c r="I9" s="253">
        <f t="shared" si="10"/>
        <v>3.1418526616056859</v>
      </c>
      <c r="J9" s="254">
        <f t="shared" si="11"/>
        <v>0.426539137974427</v>
      </c>
      <c r="K9" s="253">
        <f t="shared" si="34"/>
        <v>2.6780767878604026</v>
      </c>
      <c r="L9" s="254">
        <f t="shared" si="12"/>
        <v>0.46377587374528328</v>
      </c>
      <c r="M9" s="255"/>
      <c r="N9" s="256">
        <v>-1</v>
      </c>
      <c r="O9" s="253">
        <f t="shared" si="35"/>
        <v>-2.6892205286269899E-2</v>
      </c>
      <c r="P9" s="257">
        <f t="shared" si="36"/>
        <v>-2.6892205286269899E-2</v>
      </c>
      <c r="Q9" s="253">
        <f t="shared" si="13"/>
        <v>-5.2661286976218524E-2</v>
      </c>
      <c r="R9" s="257">
        <f t="shared" si="37"/>
        <v>-5.2661286976218524E-2</v>
      </c>
      <c r="S9" s="255"/>
      <c r="T9" s="256">
        <v>-2</v>
      </c>
      <c r="U9" s="253">
        <f t="shared" si="14"/>
        <v>-9.0092529700608437E-2</v>
      </c>
      <c r="V9" s="258">
        <f t="shared" si="15"/>
        <v>-9.0092529700608437E-2</v>
      </c>
      <c r="W9" s="253">
        <f t="shared" si="38"/>
        <v>-0.50486076550372039</v>
      </c>
      <c r="X9" s="258">
        <f t="shared" si="16"/>
        <v>-0.50486076550372039</v>
      </c>
      <c r="Y9" s="253">
        <f t="shared" si="17"/>
        <v>-7.2876071706936885E-2</v>
      </c>
      <c r="Z9" s="258">
        <f t="shared" si="18"/>
        <v>-7.2876071706936885E-2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P9" s="28">
        <f>VLOOKUP($A9,historia!$A$5:$CM$24,+HLOOKUP(AP$2,historia!$A$3:$EC$4,2,FALSE),FALSE)</f>
        <v>4</v>
      </c>
      <c r="AQ9" s="28">
        <f>VLOOKUP($A9,historia!$A$5:$CM$24,+HLOOKUP(AQ$2,historia!$A$3:$EC$4,2,FALSE),FALSE)</f>
        <v>4</v>
      </c>
      <c r="AR9" s="28">
        <f>VLOOKUP($A9,historia!$A$5:$CM$24,+HLOOKUP(AR$2,historia!$A$3:$EC$4,2,FALSE),FALSE)</f>
        <v>4</v>
      </c>
      <c r="AS9" s="28">
        <f>VLOOKUP($A9,historia!$A$5:$CM$24,+HLOOKUP(AS$2,historia!$A$3:$EC$4,2,FALSE),FALSE)</f>
        <v>3</v>
      </c>
      <c r="AT9" s="58">
        <f>VLOOKUP($A9,historia!$A$5:$CM$24,+HLOOKUP(AT$2,historia!$A$3:$EC$4,2,FALSE),FALSE)</f>
        <v>3</v>
      </c>
      <c r="AU9" s="58">
        <f>VLOOKUP($A9,historia!$A$5:$CM$24,+HLOOKUP(AU$2,historia!$A$3:$EC$4,2,FALSE),FALSE)</f>
        <v>3</v>
      </c>
      <c r="AV9" s="58">
        <f>VLOOKUP($A9,historia!$A$5:$CM$24,+HLOOKUP(AV$2,historia!$A$3:$EC$4,2,FALSE),FALSE)</f>
        <v>2</v>
      </c>
      <c r="AW9" s="58">
        <f>VLOOKUP($A9,historia!$A$5:$CM$24,+HLOOKUP(AW$2,historia!$A$3:$EC$4,2,FALSE),FALSE)</f>
        <v>2</v>
      </c>
      <c r="AX9" s="58">
        <f>VLOOKUP($A9,historia!$A$5:$CM$24,+HLOOKUP(AX$2,historia!$A$3:$EC$4,2,FALSE),FALSE)</f>
        <v>2</v>
      </c>
      <c r="AY9" s="58">
        <f>VLOOKUP($A9,historia!$A$5:$CM$24,+HLOOKUP(AY$2,historia!$A$3:$EC$4,2,FALSE),FALSE)</f>
        <v>4</v>
      </c>
      <c r="AZ9" s="58">
        <f>VLOOKUP($A9,historia!$A$5:$CM$24,+HLOOKUP(AZ$2,historia!$A$3:$EC$4,2,FALSE),FALSE)</f>
        <v>4</v>
      </c>
      <c r="BA9" s="58">
        <f>VLOOKUP($A9,historia!$A$5:$CM$24,+HLOOKUP(BA$2,historia!$A$3:$EC$4,2,FALSE),FALSE)</f>
        <v>3</v>
      </c>
      <c r="BB9" s="30"/>
      <c r="BC9" s="141">
        <v>3</v>
      </c>
      <c r="BD9" t="str">
        <f t="shared" si="19"/>
        <v>Bovinos</v>
      </c>
      <c r="BE9">
        <f>+datos!BM1</f>
        <v>65</v>
      </c>
      <c r="BF9" s="2" t="str">
        <f t="shared" si="4"/>
        <v>$/kg</v>
      </c>
      <c r="BG9" s="2">
        <f t="shared" si="4"/>
        <v>2029.8784999999998</v>
      </c>
      <c r="BH9" s="2">
        <f t="shared" si="4"/>
        <v>2026.6010000000001</v>
      </c>
      <c r="BI9" s="2">
        <f t="shared" si="4"/>
        <v>490.08950000000004</v>
      </c>
      <c r="BK9">
        <f>+datos!DB1</f>
        <v>106</v>
      </c>
      <c r="BL9" s="2">
        <f t="shared" si="20"/>
        <v>7897.4941831998349</v>
      </c>
      <c r="BM9" s="2">
        <f t="shared" si="20"/>
        <v>7802.1975648895977</v>
      </c>
      <c r="BN9" s="2">
        <f t="shared" si="20"/>
        <v>2147.1803441585939</v>
      </c>
      <c r="BP9" s="1">
        <f>+datos!EH1</f>
        <v>138</v>
      </c>
      <c r="BQ9" s="1">
        <f t="shared" si="21"/>
        <v>52783892</v>
      </c>
      <c r="BR9" s="1">
        <f t="shared" si="21"/>
        <v>54242595</v>
      </c>
      <c r="BT9" s="1">
        <f>+datos!HB1</f>
        <v>210</v>
      </c>
      <c r="BU9" s="1">
        <f t="shared" si="22"/>
        <v>3104914</v>
      </c>
      <c r="BV9" s="1">
        <f t="shared" si="22"/>
        <v>3277512</v>
      </c>
      <c r="BX9" s="1">
        <f>+datos!KG1</f>
        <v>293</v>
      </c>
      <c r="BY9" s="1">
        <f t="shared" si="39"/>
        <v>3919.1644534699999</v>
      </c>
      <c r="BZ9" s="1">
        <f t="shared" si="40"/>
        <v>4307.2120862800002</v>
      </c>
      <c r="CB9" s="1">
        <f>+datos!LL1</f>
        <v>324</v>
      </c>
      <c r="CC9" s="2">
        <f t="shared" si="23"/>
        <v>32.423442639999998</v>
      </c>
      <c r="CD9" s="2">
        <f t="shared" si="24"/>
        <v>65.483485009999995</v>
      </c>
      <c r="CF9" s="1">
        <f>+datos!IM1</f>
        <v>247</v>
      </c>
      <c r="CG9" s="1">
        <f t="shared" si="25"/>
        <v>47.58</v>
      </c>
      <c r="CH9" s="1">
        <f t="shared" si="26"/>
        <v>51.32</v>
      </c>
      <c r="CJ9" s="1">
        <f t="shared" si="27"/>
        <v>311.98041742999999</v>
      </c>
      <c r="CK9" s="1">
        <f t="shared" si="27"/>
        <v>309.32423856999998</v>
      </c>
      <c r="CL9" s="1">
        <f t="shared" si="27"/>
        <v>316.28118749999999</v>
      </c>
      <c r="CM9" s="1">
        <f t="shared" si="27"/>
        <v>350.14414257999977</v>
      </c>
      <c r="CN9" s="1">
        <f t="shared" si="27"/>
        <v>342.85888695999995</v>
      </c>
      <c r="CO9" s="1">
        <f t="shared" si="27"/>
        <v>324.84866957999998</v>
      </c>
      <c r="CP9" s="1">
        <f t="shared" si="27"/>
        <v>325.97502911999987</v>
      </c>
      <c r="CQ9" s="1">
        <f t="shared" si="27"/>
        <v>321.39038838999994</v>
      </c>
      <c r="CR9" s="1">
        <f t="shared" si="27"/>
        <v>273.58963931999995</v>
      </c>
      <c r="CS9" s="1">
        <f t="shared" si="27"/>
        <v>292.91820976000002</v>
      </c>
      <c r="CT9" s="1">
        <f t="shared" si="27"/>
        <v>371.72573624</v>
      </c>
      <c r="CU9" s="1">
        <f t="shared" si="27"/>
        <v>378.12790802000001</v>
      </c>
      <c r="CV9" s="1">
        <f t="shared" si="27"/>
        <v>308.34921994000001</v>
      </c>
      <c r="CW9" s="1">
        <f t="shared" si="27"/>
        <v>390.63577031</v>
      </c>
      <c r="CX9" s="1">
        <f t="shared" si="27"/>
        <v>337.45013477999998</v>
      </c>
      <c r="CY9" s="1">
        <f t="shared" si="27"/>
        <v>339.25205494000011</v>
      </c>
      <c r="CZ9" s="1">
        <f t="shared" si="28"/>
        <v>296.44265344999985</v>
      </c>
      <c r="DA9" s="1">
        <f t="shared" si="28"/>
        <v>285.75014393999987</v>
      </c>
      <c r="DB9" s="1">
        <f t="shared" si="28"/>
        <v>285.58164063999999</v>
      </c>
      <c r="DC9" s="1">
        <f t="shared" si="28"/>
        <v>342.68232461000008</v>
      </c>
      <c r="DD9" s="1">
        <f t="shared" si="28"/>
        <v>391.68086485999982</v>
      </c>
      <c r="DE9" s="1">
        <f t="shared" si="28"/>
        <v>421.96396532</v>
      </c>
      <c r="DF9" s="1">
        <f t="shared" si="28"/>
        <v>444.66007973000006</v>
      </c>
      <c r="DG9" s="1">
        <f t="shared" si="28"/>
        <v>462.76323376000011</v>
      </c>
      <c r="DI9" s="1">
        <f t="shared" si="29"/>
        <v>2.3751918999999999</v>
      </c>
      <c r="DJ9" s="1">
        <f t="shared" si="29"/>
        <v>3.3189943100000003</v>
      </c>
      <c r="DK9" s="1">
        <f t="shared" si="29"/>
        <v>3.6004889900000006</v>
      </c>
      <c r="DL9" s="1">
        <f t="shared" si="29"/>
        <v>2.2940615100000001</v>
      </c>
      <c r="DM9" s="1">
        <f t="shared" si="29"/>
        <v>1.2696953500000001</v>
      </c>
      <c r="DN9" s="1">
        <f t="shared" si="29"/>
        <v>1.4792882700000001</v>
      </c>
      <c r="DO9" s="1">
        <f t="shared" si="29"/>
        <v>3.3410357400000001</v>
      </c>
      <c r="DP9" s="1">
        <f t="shared" si="29"/>
        <v>3.5927978000000009</v>
      </c>
      <c r="DQ9" s="1">
        <f t="shared" si="29"/>
        <v>2.53051044</v>
      </c>
      <c r="DR9" s="1">
        <f t="shared" si="29"/>
        <v>2.3401237999999998</v>
      </c>
      <c r="DS9" s="1">
        <f t="shared" si="29"/>
        <v>2.4632922899999996</v>
      </c>
      <c r="DT9" s="1">
        <f t="shared" si="29"/>
        <v>3.8179622399999995</v>
      </c>
      <c r="DU9" s="1">
        <f t="shared" si="29"/>
        <v>3.8355995800000002</v>
      </c>
      <c r="DV9" s="1">
        <f t="shared" si="29"/>
        <v>7.3409295600000002</v>
      </c>
      <c r="DW9" s="1">
        <f t="shared" si="29"/>
        <v>3.8261937100000005</v>
      </c>
      <c r="DX9" s="1">
        <f t="shared" si="29"/>
        <v>5.3486285699999998</v>
      </c>
      <c r="DY9" s="1">
        <f t="shared" si="30"/>
        <v>4.398381099999999</v>
      </c>
      <c r="DZ9" s="1">
        <f t="shared" si="30"/>
        <v>4.3987828499999999</v>
      </c>
      <c r="EA9" s="1">
        <f t="shared" si="30"/>
        <v>1.58647798</v>
      </c>
      <c r="EB9" s="1">
        <f t="shared" si="30"/>
        <v>2.6207546900000001</v>
      </c>
      <c r="EC9" s="1">
        <f t="shared" si="30"/>
        <v>6.877667439999998</v>
      </c>
      <c r="ED9" s="1">
        <f t="shared" si="30"/>
        <v>6.5255502400000012</v>
      </c>
      <c r="EE9" s="1">
        <f t="shared" si="30"/>
        <v>13.413963769999999</v>
      </c>
      <c r="EF9" s="1">
        <f t="shared" si="30"/>
        <v>5.3105555200000003</v>
      </c>
      <c r="EH9" s="14">
        <f t="shared" si="31"/>
        <v>47.58</v>
      </c>
      <c r="EI9" s="14">
        <f t="shared" si="31"/>
        <v>49.18</v>
      </c>
      <c r="EJ9" s="1">
        <f t="shared" si="31"/>
        <v>49.37</v>
      </c>
      <c r="EK9" s="1">
        <f t="shared" si="31"/>
        <v>49.38</v>
      </c>
      <c r="EL9" s="1">
        <f t="shared" si="31"/>
        <v>51.48</v>
      </c>
      <c r="EM9" s="1">
        <f t="shared" si="31"/>
        <v>52.06</v>
      </c>
      <c r="EN9" s="1">
        <f t="shared" si="31"/>
        <v>42.59</v>
      </c>
      <c r="EO9" s="1">
        <f t="shared" si="31"/>
        <v>51.3</v>
      </c>
      <c r="EP9" s="1">
        <f t="shared" si="31"/>
        <v>51.15</v>
      </c>
      <c r="EQ9" s="1">
        <f t="shared" si="31"/>
        <v>51.01</v>
      </c>
      <c r="ER9" s="1">
        <f t="shared" si="31"/>
        <v>51.15</v>
      </c>
      <c r="ES9" s="1">
        <f t="shared" si="31"/>
        <v>51.72</v>
      </c>
      <c r="ET9" s="1">
        <f t="shared" si="31"/>
        <v>51.32</v>
      </c>
      <c r="EU9" s="1">
        <f t="shared" si="31"/>
        <v>50.44</v>
      </c>
      <c r="EV9" s="1">
        <f t="shared" si="31"/>
        <v>50.29</v>
      </c>
      <c r="EW9" s="1">
        <f t="shared" si="31"/>
        <v>50.29</v>
      </c>
      <c r="EX9" s="1">
        <f t="shared" si="32"/>
        <v>49.14</v>
      </c>
      <c r="EY9" s="1">
        <f t="shared" si="32"/>
        <v>48.66</v>
      </c>
      <c r="EZ9" s="1">
        <f t="shared" si="32"/>
        <v>48.66</v>
      </c>
      <c r="FA9" s="1">
        <f t="shared" si="32"/>
        <v>48.3</v>
      </c>
      <c r="FB9" s="1">
        <f t="shared" si="32"/>
        <v>48.39</v>
      </c>
      <c r="FC9" s="1">
        <f t="shared" si="32"/>
        <v>48.62</v>
      </c>
      <c r="FD9" s="1">
        <f t="shared" si="32"/>
        <v>48.17</v>
      </c>
      <c r="FE9" s="1">
        <f t="shared" si="32"/>
        <v>48.03</v>
      </c>
      <c r="FG9" s="162">
        <f t="shared" si="33"/>
        <v>0.46377587374528328</v>
      </c>
    </row>
    <row r="10" spans="1:163" ht="18.600000000000001" customHeight="1">
      <c r="A10" s="263" t="s">
        <v>221</v>
      </c>
      <c r="B10" s="246"/>
      <c r="C10" s="156">
        <f t="shared" si="5"/>
        <v>0</v>
      </c>
      <c r="D10" s="198">
        <v>-1</v>
      </c>
      <c r="E10" s="248">
        <f t="shared" si="6"/>
        <v>-0.20186139959206839</v>
      </c>
      <c r="F10" s="249">
        <f t="shared" si="7"/>
        <v>-0.24762967013943404</v>
      </c>
      <c r="G10" s="248">
        <f t="shared" si="8"/>
        <v>-2.0566389274071173E-2</v>
      </c>
      <c r="H10" s="249">
        <f t="shared" si="9"/>
        <v>-0.18129501031799722</v>
      </c>
      <c r="I10" s="248">
        <f t="shared" si="10"/>
        <v>0.78270902910099704</v>
      </c>
      <c r="J10" s="249">
        <f t="shared" si="11"/>
        <v>-1.9326044945302618</v>
      </c>
      <c r="K10" s="248">
        <f t="shared" si="34"/>
        <v>2.3017573591180822</v>
      </c>
      <c r="L10" s="249">
        <f t="shared" si="12"/>
        <v>-1.5190483300170852</v>
      </c>
      <c r="M10" s="250"/>
      <c r="N10" s="24">
        <v>0</v>
      </c>
      <c r="O10" s="248">
        <f t="shared" si="35"/>
        <v>4.1543620801842707E-3</v>
      </c>
      <c r="P10" s="251">
        <f t="shared" si="36"/>
        <v>4.1543620801842707E-3</v>
      </c>
      <c r="Q10" s="248">
        <f t="shared" si="13"/>
        <v>0.10798722044728426</v>
      </c>
      <c r="R10" s="251">
        <f t="shared" si="37"/>
        <v>0.10798722044728426</v>
      </c>
      <c r="S10" s="250"/>
      <c r="T10" s="24">
        <v>1</v>
      </c>
      <c r="U10" s="248">
        <f t="shared" si="14"/>
        <v>0.33163049402580391</v>
      </c>
      <c r="V10" s="252">
        <f t="shared" si="15"/>
        <v>0.33163049402580391</v>
      </c>
      <c r="W10" s="248">
        <f t="shared" si="38"/>
        <v>-1.1535753376533231E-2</v>
      </c>
      <c r="X10" s="252">
        <f t="shared" si="16"/>
        <v>-1.1535753376533231E-2</v>
      </c>
      <c r="Y10" s="248">
        <f t="shared" si="17"/>
        <v>-0.11904761904761896</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P10" s="28">
        <f>VLOOKUP($A10,historia!$A$5:$CM$24,+HLOOKUP(AP$2,historia!$A$3:$EC$4,2,FALSE),FALSE)</f>
        <v>5</v>
      </c>
      <c r="AQ10" s="28">
        <f>VLOOKUP($A10,historia!$A$5:$CM$24,+HLOOKUP(AQ$2,historia!$A$3:$EC$4,2,FALSE),FALSE)</f>
        <v>5</v>
      </c>
      <c r="AR10" s="28">
        <f>VLOOKUP($A10,historia!$A$5:$CM$24,+HLOOKUP(AR$2,historia!$A$3:$EC$4,2,FALSE),FALSE)</f>
        <v>4</v>
      </c>
      <c r="AS10" s="28">
        <f>VLOOKUP($A10,historia!$A$5:$CM$24,+HLOOKUP(AS$2,historia!$A$3:$EC$4,2,FALSE),FALSE)</f>
        <v>4</v>
      </c>
      <c r="AT10" s="58">
        <f>VLOOKUP($A10,historia!$A$5:$CM$24,+HLOOKUP(AT$2,historia!$A$3:$EC$4,2,FALSE),FALSE)</f>
        <v>4</v>
      </c>
      <c r="AU10" s="58">
        <f>VLOOKUP($A10,historia!$A$5:$CM$24,+HLOOKUP(AU$2,historia!$A$3:$EC$4,2,FALSE),FALSE)</f>
        <v>5</v>
      </c>
      <c r="AV10" s="58">
        <f>VLOOKUP($A10,historia!$A$5:$CM$24,+HLOOKUP(AV$2,historia!$A$3:$EC$4,2,FALSE),FALSE)</f>
        <v>3</v>
      </c>
      <c r="AW10" s="58">
        <f>VLOOKUP($A10,historia!$A$5:$CM$24,+HLOOKUP(AW$2,historia!$A$3:$EC$4,2,FALSE),FALSE)</f>
        <v>3</v>
      </c>
      <c r="AX10" s="58">
        <f>VLOOKUP($A10,historia!$A$5:$CM$24,+HLOOKUP(AX$2,historia!$A$3:$EC$4,2,FALSE),FALSE)</f>
        <v>4</v>
      </c>
      <c r="AY10" s="58">
        <f>VLOOKUP($A10,historia!$A$5:$CM$24,+HLOOKUP(AY$2,historia!$A$3:$EC$4,2,FALSE),FALSE)</f>
        <v>4</v>
      </c>
      <c r="AZ10" s="58">
        <f>VLOOKUP($A10,historia!$A$5:$CM$24,+HLOOKUP(AZ$2,historia!$A$3:$EC$4,2,FALSE),FALSE)</f>
        <v>5</v>
      </c>
      <c r="BA10" s="58">
        <f>VLOOKUP($A10,historia!$A$5:$CM$24,+HLOOKUP(BA$2,historia!$A$3:$EC$4,2,FALSE),FALSE)</f>
        <v>4</v>
      </c>
      <c r="BB10" s="30"/>
      <c r="BC10" s="141">
        <v>4</v>
      </c>
      <c r="BD10" t="str">
        <f t="shared" si="19"/>
        <v>Cítricos Dulces</v>
      </c>
      <c r="BE10">
        <f>+datos!AU1</f>
        <v>47</v>
      </c>
      <c r="BF10" s="2" t="str">
        <f t="shared" si="4"/>
        <v>$/caja 18kg</v>
      </c>
      <c r="BG10" s="2">
        <f t="shared" si="4"/>
        <v>8617.8333333333339</v>
      </c>
      <c r="BH10" s="2">
        <f t="shared" si="4"/>
        <v>10797.414545454545</v>
      </c>
      <c r="BI10" s="2">
        <f t="shared" si="4"/>
        <v>4834.1222222222232</v>
      </c>
      <c r="BK10">
        <f>+datos!CX1</f>
        <v>102</v>
      </c>
      <c r="BL10" s="2">
        <f t="shared" si="20"/>
        <v>7429.3671220861843</v>
      </c>
      <c r="BM10" s="2">
        <f t="shared" si="20"/>
        <v>7585.3708109728286</v>
      </c>
      <c r="BN10" s="2">
        <f t="shared" si="20"/>
        <v>2250.1251043082734</v>
      </c>
      <c r="BP10" s="1">
        <f>+datos!ER1</f>
        <v>148</v>
      </c>
      <c r="BQ10" s="1">
        <f t="shared" si="21"/>
        <v>80248</v>
      </c>
      <c r="BR10" s="1">
        <f t="shared" si="21"/>
        <v>79916</v>
      </c>
      <c r="BT10" s="1">
        <f>+datos!GH1</f>
        <v>190</v>
      </c>
      <c r="BU10" s="1">
        <f t="shared" si="22"/>
        <v>1734000</v>
      </c>
      <c r="BV10" s="1">
        <f t="shared" si="22"/>
        <v>1565000</v>
      </c>
      <c r="BX10" s="1">
        <f>+datos!LT1</f>
        <v>332</v>
      </c>
      <c r="BY10" s="1">
        <f t="shared" si="39"/>
        <v>60.492115649999988</v>
      </c>
      <c r="BZ10" s="1">
        <f t="shared" si="40"/>
        <v>45.427103029999998</v>
      </c>
      <c r="CA10" s="1"/>
      <c r="CB10" s="1">
        <f>+datos!LX1</f>
        <v>336</v>
      </c>
      <c r="CC10" s="2">
        <f t="shared" si="23"/>
        <v>4.6402173700000002</v>
      </c>
      <c r="CD10" s="2">
        <f t="shared" si="24"/>
        <v>4.6943704700000009</v>
      </c>
      <c r="CF10" s="1">
        <f>+datos!IV1</f>
        <v>256</v>
      </c>
      <c r="CG10" s="1">
        <f t="shared" si="25"/>
        <v>17.39</v>
      </c>
      <c r="CH10" s="1">
        <f t="shared" si="26"/>
        <v>19.739999999999998</v>
      </c>
      <c r="CJ10" s="1">
        <f t="shared" si="27"/>
        <v>6.1015489199999999</v>
      </c>
      <c r="CK10" s="1">
        <f t="shared" si="27"/>
        <v>2.3063176799999998</v>
      </c>
      <c r="CL10" s="1">
        <f t="shared" si="27"/>
        <v>3.2785219999999997</v>
      </c>
      <c r="CM10" s="1">
        <f t="shared" si="27"/>
        <v>2.8661316999999999</v>
      </c>
      <c r="CN10" s="1">
        <f t="shared" si="27"/>
        <v>3.3581509099999995</v>
      </c>
      <c r="CO10" s="1">
        <f t="shared" si="27"/>
        <v>4.3519123000000004</v>
      </c>
      <c r="CP10" s="1">
        <f t="shared" si="27"/>
        <v>3.6482140500000004</v>
      </c>
      <c r="CQ10" s="1">
        <f t="shared" si="27"/>
        <v>7.8852843799999999</v>
      </c>
      <c r="CR10" s="1">
        <f t="shared" si="27"/>
        <v>4.4927710999999997</v>
      </c>
      <c r="CS10" s="1">
        <f t="shared" si="27"/>
        <v>3.9018705800000002</v>
      </c>
      <c r="CT10" s="1">
        <f t="shared" si="27"/>
        <v>10.723855849999996</v>
      </c>
      <c r="CU10" s="1">
        <f t="shared" si="27"/>
        <v>7.5775361799999992</v>
      </c>
      <c r="CV10" s="1">
        <f t="shared" si="27"/>
        <v>1.25129154</v>
      </c>
      <c r="CW10" s="1">
        <f t="shared" si="27"/>
        <v>0.77785399999999993</v>
      </c>
      <c r="CX10" s="1">
        <f t="shared" si="27"/>
        <v>1.96707276</v>
      </c>
      <c r="CY10" s="1">
        <f t="shared" si="27"/>
        <v>1.7333935799999998</v>
      </c>
      <c r="CZ10" s="1">
        <f t="shared" si="28"/>
        <v>4.5063326699999999</v>
      </c>
      <c r="DA10" s="1">
        <f t="shared" si="28"/>
        <v>2.6066778199999998</v>
      </c>
      <c r="DB10" s="1">
        <f t="shared" si="28"/>
        <v>1.98627314</v>
      </c>
      <c r="DC10" s="1">
        <f t="shared" si="28"/>
        <v>2.7714215800000002</v>
      </c>
      <c r="DD10" s="1">
        <f t="shared" si="28"/>
        <v>4.7911063299999999</v>
      </c>
      <c r="DE10" s="1">
        <f t="shared" si="28"/>
        <v>4.2890642899999998</v>
      </c>
      <c r="DF10" s="1">
        <f t="shared" si="28"/>
        <v>10.91414737</v>
      </c>
      <c r="DG10" s="1">
        <f t="shared" si="28"/>
        <v>7.8324679500000007</v>
      </c>
      <c r="DI10" s="1">
        <f t="shared" si="29"/>
        <v>0</v>
      </c>
      <c r="DJ10" s="1">
        <f t="shared" si="29"/>
        <v>0.3075099</v>
      </c>
      <c r="DK10" s="1">
        <f t="shared" si="29"/>
        <v>0.82950560000000007</v>
      </c>
      <c r="DL10" s="1">
        <f t="shared" si="29"/>
        <v>1.06715808</v>
      </c>
      <c r="DM10" s="1">
        <f t="shared" si="29"/>
        <v>0.57276656999999997</v>
      </c>
      <c r="DN10" s="1">
        <f t="shared" si="29"/>
        <v>0.50591796999999994</v>
      </c>
      <c r="DO10" s="1">
        <f t="shared" si="29"/>
        <v>0.37369366000000004</v>
      </c>
      <c r="DP10" s="1">
        <f t="shared" si="29"/>
        <v>1.8223369999999999E-2</v>
      </c>
      <c r="DQ10" s="1">
        <f t="shared" si="29"/>
        <v>0.26981320000000003</v>
      </c>
      <c r="DR10" s="1">
        <f t="shared" si="29"/>
        <v>0.36129600000000001</v>
      </c>
      <c r="DS10" s="1">
        <f t="shared" si="29"/>
        <v>3.0606999999999997E-4</v>
      </c>
      <c r="DT10" s="1">
        <f t="shared" si="29"/>
        <v>0.33402694999999999</v>
      </c>
      <c r="DU10" s="1">
        <f t="shared" si="29"/>
        <v>0</v>
      </c>
      <c r="DV10" s="1">
        <f t="shared" si="29"/>
        <v>0.31172668999999997</v>
      </c>
      <c r="DW10" s="1">
        <f t="shared" si="29"/>
        <v>1.32104435</v>
      </c>
      <c r="DX10" s="1">
        <f t="shared" si="29"/>
        <v>1.2081202200000001</v>
      </c>
      <c r="DY10" s="1">
        <f t="shared" si="30"/>
        <v>0.6520337100000001</v>
      </c>
      <c r="DZ10" s="1">
        <f t="shared" si="30"/>
        <v>0.45880662999999999</v>
      </c>
      <c r="EA10" s="1">
        <f t="shared" si="30"/>
        <v>0</v>
      </c>
      <c r="EB10" s="1">
        <f t="shared" si="30"/>
        <v>4.77876E-2</v>
      </c>
      <c r="EC10" s="1">
        <f t="shared" si="30"/>
        <v>1.4227200000000001E-2</v>
      </c>
      <c r="ED10" s="1">
        <f t="shared" si="30"/>
        <v>2.7328829999999998E-2</v>
      </c>
      <c r="EE10" s="1">
        <f t="shared" si="30"/>
        <v>5.6926980000000002E-2</v>
      </c>
      <c r="EF10" s="1">
        <f t="shared" si="30"/>
        <v>0.59636825999999998</v>
      </c>
      <c r="EH10" s="14">
        <f t="shared" si="31"/>
        <v>17.39</v>
      </c>
      <c r="EI10" s="14">
        <f t="shared" si="31"/>
        <v>17.39</v>
      </c>
      <c r="EJ10" s="1">
        <f t="shared" si="31"/>
        <v>17.39</v>
      </c>
      <c r="EK10" s="1">
        <f t="shared" si="31"/>
        <v>17.39</v>
      </c>
      <c r="EL10" s="1">
        <f t="shared" si="31"/>
        <v>17.39</v>
      </c>
      <c r="EM10" s="1">
        <f t="shared" si="31"/>
        <v>17.39</v>
      </c>
      <c r="EN10" s="1">
        <f t="shared" si="31"/>
        <v>19.739999999999998</v>
      </c>
      <c r="EO10" s="1">
        <f t="shared" si="31"/>
        <v>19.739999999999998</v>
      </c>
      <c r="EP10" s="1">
        <f t="shared" si="31"/>
        <v>19.739999999999998</v>
      </c>
      <c r="EQ10" s="1">
        <f t="shared" si="31"/>
        <v>19.739999999999998</v>
      </c>
      <c r="ER10" s="1">
        <f t="shared" si="31"/>
        <v>19.739999999999998</v>
      </c>
      <c r="ES10" s="1">
        <f t="shared" si="31"/>
        <v>19.739999999999998</v>
      </c>
      <c r="ET10" s="1">
        <f t="shared" si="31"/>
        <v>19.739999999999998</v>
      </c>
      <c r="EU10" s="1">
        <f t="shared" si="31"/>
        <v>19.739999999999998</v>
      </c>
      <c r="EV10" s="1">
        <f t="shared" si="31"/>
        <v>19.739999999999998</v>
      </c>
      <c r="EW10" s="1">
        <f t="shared" si="31"/>
        <v>19.739999999999998</v>
      </c>
      <c r="EX10" s="1">
        <f t="shared" si="32"/>
        <v>19.739999999999998</v>
      </c>
      <c r="EY10" s="1">
        <f t="shared" si="32"/>
        <v>19.739999999999998</v>
      </c>
      <c r="EZ10" s="1">
        <f t="shared" si="32"/>
        <v>18.77</v>
      </c>
      <c r="FA10" s="1">
        <f t="shared" si="32"/>
        <v>18.77</v>
      </c>
      <c r="FB10" s="1">
        <f t="shared" si="32"/>
        <v>18.77</v>
      </c>
      <c r="FC10" s="1">
        <f t="shared" si="32"/>
        <v>18.77</v>
      </c>
      <c r="FD10" s="1">
        <f t="shared" si="32"/>
        <v>18.77</v>
      </c>
      <c r="FE10" s="1">
        <f t="shared" si="32"/>
        <v>18.77</v>
      </c>
      <c r="FG10" s="162">
        <f t="shared" si="33"/>
        <v>-1.5190483300170852</v>
      </c>
    </row>
    <row r="11" spans="1:163" ht="18.75" customHeight="1">
      <c r="A11" s="244" t="s">
        <v>116</v>
      </c>
      <c r="B11" s="247"/>
      <c r="C11" s="228">
        <f t="shared" si="5"/>
        <v>-0.33</v>
      </c>
      <c r="D11" s="229">
        <v>1</v>
      </c>
      <c r="E11" s="253">
        <f t="shared" si="6"/>
        <v>-6.5181682842903488E-2</v>
      </c>
      <c r="F11" s="254">
        <f t="shared" si="7"/>
        <v>-0.11094995339026914</v>
      </c>
      <c r="G11" s="253">
        <f t="shared" si="8"/>
        <v>2.7057852380014014E-2</v>
      </c>
      <c r="H11" s="254">
        <f t="shared" si="9"/>
        <v>-9.2239535222917501E-2</v>
      </c>
      <c r="I11" s="253">
        <f t="shared" si="10"/>
        <v>2.9753367621562989</v>
      </c>
      <c r="J11" s="254">
        <f t="shared" si="11"/>
        <v>0.26002323852504006</v>
      </c>
      <c r="K11" s="253">
        <f t="shared" si="34"/>
        <v>2.8669042674773384</v>
      </c>
      <c r="L11" s="254">
        <f t="shared" si="12"/>
        <v>0.10843249467896054</v>
      </c>
      <c r="M11" s="255"/>
      <c r="N11" s="256"/>
      <c r="O11" s="253" t="str">
        <f t="shared" si="35"/>
        <v/>
      </c>
      <c r="P11" s="257" t="str">
        <f t="shared" si="36"/>
        <v/>
      </c>
      <c r="Q11" s="253">
        <f t="shared" si="13"/>
        <v>0</v>
      </c>
      <c r="R11" s="257">
        <f t="shared" si="37"/>
        <v>0</v>
      </c>
      <c r="S11" s="255"/>
      <c r="T11" s="24">
        <v>-2</v>
      </c>
      <c r="U11" s="253">
        <f t="shared" si="14"/>
        <v>-0.10921377601437399</v>
      </c>
      <c r="V11" s="258">
        <f t="shared" si="15"/>
        <v>-0.10921377601437399</v>
      </c>
      <c r="W11" s="253">
        <f t="shared" si="38"/>
        <v>-0.25515496225955747</v>
      </c>
      <c r="X11" s="258">
        <f t="shared" si="16"/>
        <v>-0.25515496225955747</v>
      </c>
      <c r="Y11" s="253" t="str">
        <f t="shared" si="17"/>
        <v/>
      </c>
      <c r="Z11" s="258" t="str">
        <f t="shared" si="18"/>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3</v>
      </c>
      <c r="AW11" s="58">
        <f>VLOOKUP($A11,historia!$A$5:$CM$24,+HLOOKUP(AW$2,historia!$A$3:$EC$4,2,FALSE),FALSE)</f>
        <v>3</v>
      </c>
      <c r="AX11" s="58">
        <f>VLOOKUP($A11,historia!$A$5:$CM$24,+HLOOKUP(AX$2,historia!$A$3:$EC$4,2,FALSE),FALSE)</f>
        <v>4</v>
      </c>
      <c r="AY11" s="58">
        <f>VLOOKUP($A11,historia!$A$5:$CM$24,+HLOOKUP(AY$2,historia!$A$3:$EC$4,2,FALSE),FALSE)</f>
        <v>4</v>
      </c>
      <c r="AZ11" s="58">
        <f>VLOOKUP($A11,historia!$A$5:$CM$24,+HLOOKUP(AZ$2,historia!$A$3:$EC$4,2,FALSE),FALSE)</f>
        <v>4</v>
      </c>
      <c r="BA11" s="58">
        <f>VLOOKUP($A11,historia!$A$5:$CM$24,+HLOOKUP(BA$2,historia!$A$3:$EC$4,2,FALSE),FALSE)</f>
        <v>4</v>
      </c>
      <c r="BB11" s="30"/>
      <c r="BC11" s="141">
        <v>4</v>
      </c>
      <c r="BD11" t="str">
        <f t="shared" si="19"/>
        <v>Forestal</v>
      </c>
      <c r="BE11">
        <f>+datos!BG1</f>
        <v>59</v>
      </c>
      <c r="BF11" s="2" t="str">
        <f t="shared" si="4"/>
        <v>$/t</v>
      </c>
      <c r="BG11" s="2">
        <f t="shared" si="4"/>
        <v>26030.717154977221</v>
      </c>
      <c r="BH11" s="2">
        <f t="shared" si="4"/>
        <v>27845.75</v>
      </c>
      <c r="BI11" s="2">
        <f t="shared" si="4"/>
        <v>6548.0533379661802</v>
      </c>
      <c r="BK11">
        <f>+datos!CZ1</f>
        <v>104</v>
      </c>
      <c r="BL11" s="2">
        <f t="shared" si="20"/>
        <v>9504.6893870157837</v>
      </c>
      <c r="BM11" s="2">
        <f t="shared" si="20"/>
        <v>9254.2882224116656</v>
      </c>
      <c r="BN11" s="2">
        <f t="shared" si="20"/>
        <v>2457.9582864140521</v>
      </c>
      <c r="BP11" s="1">
        <f>+datos!ES1</f>
        <v>149</v>
      </c>
      <c r="BQ11" s="1">
        <f t="shared" si="21"/>
        <v>0</v>
      </c>
      <c r="BR11" s="1">
        <f t="shared" si="21"/>
        <v>0</v>
      </c>
      <c r="BT11" s="1">
        <f>+datos!GI1</f>
        <v>191</v>
      </c>
      <c r="BU11" s="1">
        <f t="shared" si="22"/>
        <v>1302556</v>
      </c>
      <c r="BV11" s="1">
        <f t="shared" si="22"/>
        <v>1302556</v>
      </c>
      <c r="BX11" s="1">
        <f>+datos!KB1</f>
        <v>288</v>
      </c>
      <c r="BY11" s="1">
        <f t="shared" si="39"/>
        <v>291.58092246000001</v>
      </c>
      <c r="BZ11" s="1">
        <f t="shared" si="40"/>
        <v>327.32985155</v>
      </c>
      <c r="CB11" s="1">
        <f>+datos!LG1</f>
        <v>319</v>
      </c>
      <c r="CC11" s="2">
        <f t="shared" si="23"/>
        <v>196.49659969999999</v>
      </c>
      <c r="CD11" s="2">
        <f t="shared" si="24"/>
        <v>263.80869811000002</v>
      </c>
      <c r="CF11" s="1">
        <f>+datos!IW1</f>
        <v>257</v>
      </c>
      <c r="CG11" s="1">
        <f t="shared" si="25"/>
        <v>0</v>
      </c>
      <c r="CH11" s="1">
        <f t="shared" si="26"/>
        <v>0</v>
      </c>
      <c r="CJ11" s="1">
        <f t="shared" si="27"/>
        <v>16.38459563</v>
      </c>
      <c r="CK11" s="1">
        <f t="shared" si="27"/>
        <v>19.29025034</v>
      </c>
      <c r="CL11" s="1">
        <f t="shared" si="27"/>
        <v>32.635385889999995</v>
      </c>
      <c r="CM11" s="1">
        <f t="shared" si="27"/>
        <v>26.653198490000001</v>
      </c>
      <c r="CN11" s="1">
        <f t="shared" si="27"/>
        <v>23.932255000000001</v>
      </c>
      <c r="CO11" s="1">
        <f t="shared" si="27"/>
        <v>23.104867779999999</v>
      </c>
      <c r="CP11" s="1">
        <f t="shared" si="27"/>
        <v>24.797754910000005</v>
      </c>
      <c r="CQ11" s="1">
        <f t="shared" si="27"/>
        <v>26.00374025</v>
      </c>
      <c r="CR11" s="1">
        <f t="shared" si="27"/>
        <v>24.373047020000001</v>
      </c>
      <c r="CS11" s="1">
        <f t="shared" si="27"/>
        <v>25.649224320000002</v>
      </c>
      <c r="CT11" s="1">
        <f t="shared" si="27"/>
        <v>23.667757810000001</v>
      </c>
      <c r="CU11" s="1">
        <f t="shared" si="27"/>
        <v>25.088845019999997</v>
      </c>
      <c r="CV11" s="1">
        <f t="shared" si="27"/>
        <v>26.5668471</v>
      </c>
      <c r="CW11" s="1">
        <f t="shared" si="27"/>
        <v>23.814064600000002</v>
      </c>
      <c r="CX11" s="1">
        <f t="shared" si="27"/>
        <v>20.56411928</v>
      </c>
      <c r="CY11" s="1">
        <f t="shared" si="27"/>
        <v>19.140443850000004</v>
      </c>
      <c r="CZ11" s="1">
        <f t="shared" si="28"/>
        <v>31.026984670000001</v>
      </c>
      <c r="DA11" s="1">
        <f t="shared" si="28"/>
        <v>29.568283169999997</v>
      </c>
      <c r="DB11" s="1">
        <f t="shared" si="28"/>
        <v>27.46490245</v>
      </c>
      <c r="DC11" s="1">
        <f t="shared" si="28"/>
        <v>28.769997110000002</v>
      </c>
      <c r="DD11" s="1">
        <f t="shared" si="28"/>
        <v>29.99355989</v>
      </c>
      <c r="DE11" s="1">
        <f t="shared" si="28"/>
        <v>28.322168269999992</v>
      </c>
      <c r="DF11" s="1">
        <f t="shared" si="28"/>
        <v>25.822628249999998</v>
      </c>
      <c r="DG11" s="1">
        <f t="shared" si="28"/>
        <v>36.275852910000005</v>
      </c>
      <c r="DI11" s="1">
        <f t="shared" si="29"/>
        <v>13.53170609</v>
      </c>
      <c r="DJ11" s="1">
        <f t="shared" si="29"/>
        <v>19.941855059999995</v>
      </c>
      <c r="DK11" s="1">
        <f t="shared" si="29"/>
        <v>17.561880160000001</v>
      </c>
      <c r="DL11" s="1">
        <f t="shared" si="29"/>
        <v>14.580088280000002</v>
      </c>
      <c r="DM11" s="1">
        <f t="shared" si="29"/>
        <v>13.107541810000001</v>
      </c>
      <c r="DN11" s="1">
        <f t="shared" si="29"/>
        <v>9.0834929199999994</v>
      </c>
      <c r="DO11" s="1">
        <f t="shared" si="29"/>
        <v>9.5859924200000002</v>
      </c>
      <c r="DP11" s="1">
        <f t="shared" si="29"/>
        <v>12.114691449999999</v>
      </c>
      <c r="DQ11" s="1">
        <f t="shared" si="29"/>
        <v>21.937746180000001</v>
      </c>
      <c r="DR11" s="1">
        <f t="shared" si="29"/>
        <v>16.68359323</v>
      </c>
      <c r="DS11" s="1">
        <f t="shared" si="29"/>
        <v>23.390239519999994</v>
      </c>
      <c r="DT11" s="1">
        <f t="shared" si="29"/>
        <v>24.97777258</v>
      </c>
      <c r="DU11" s="1">
        <f t="shared" si="29"/>
        <v>25.979397770000002</v>
      </c>
      <c r="DV11" s="1">
        <f t="shared" si="29"/>
        <v>26.663923630000003</v>
      </c>
      <c r="DW11" s="1">
        <f t="shared" si="29"/>
        <v>25.77809422</v>
      </c>
      <c r="DX11" s="1">
        <f t="shared" si="29"/>
        <v>30.845388820000004</v>
      </c>
      <c r="DY11" s="1">
        <f t="shared" si="30"/>
        <v>19.314417040000002</v>
      </c>
      <c r="DZ11" s="1">
        <f t="shared" si="30"/>
        <v>23.096508839999995</v>
      </c>
      <c r="EA11" s="1">
        <f t="shared" si="30"/>
        <v>19.891111379999998</v>
      </c>
      <c r="EB11" s="1">
        <f t="shared" si="30"/>
        <v>18.931102379999999</v>
      </c>
      <c r="EC11" s="1">
        <f t="shared" si="30"/>
        <v>26.50290536</v>
      </c>
      <c r="ED11" s="1">
        <f t="shared" si="30"/>
        <v>21.937275429999996</v>
      </c>
      <c r="EE11" s="1">
        <f t="shared" si="30"/>
        <v>24.868573239999996</v>
      </c>
      <c r="EF11" s="1">
        <f t="shared" si="30"/>
        <v>0</v>
      </c>
      <c r="EH11" s="14">
        <f t="shared" si="31"/>
        <v>0</v>
      </c>
      <c r="EI11" s="14">
        <f t="shared" si="31"/>
        <v>0</v>
      </c>
      <c r="EJ11" s="1">
        <f t="shared" si="31"/>
        <v>0</v>
      </c>
      <c r="EK11" s="1">
        <f t="shared" si="31"/>
        <v>0</v>
      </c>
      <c r="EL11" s="1">
        <f t="shared" si="31"/>
        <v>0</v>
      </c>
      <c r="EM11" s="1">
        <f t="shared" si="31"/>
        <v>0</v>
      </c>
      <c r="EN11" s="1">
        <f t="shared" si="31"/>
        <v>0</v>
      </c>
      <c r="EO11" s="1">
        <f t="shared" si="31"/>
        <v>0</v>
      </c>
      <c r="EP11" s="1">
        <f t="shared" si="31"/>
        <v>0</v>
      </c>
      <c r="EQ11" s="1">
        <f t="shared" si="31"/>
        <v>0</v>
      </c>
      <c r="ER11" s="1">
        <f t="shared" si="31"/>
        <v>0</v>
      </c>
      <c r="ES11" s="1">
        <f t="shared" si="31"/>
        <v>0</v>
      </c>
      <c r="ET11" s="1">
        <f t="shared" si="31"/>
        <v>0</v>
      </c>
      <c r="EU11" s="1">
        <f t="shared" si="31"/>
        <v>0</v>
      </c>
      <c r="EV11" s="1">
        <f t="shared" si="31"/>
        <v>0</v>
      </c>
      <c r="EW11" s="1">
        <f t="shared" si="31"/>
        <v>0</v>
      </c>
      <c r="EX11" s="1">
        <f t="shared" si="32"/>
        <v>0</v>
      </c>
      <c r="EY11" s="1">
        <f t="shared" si="32"/>
        <v>0</v>
      </c>
      <c r="EZ11" s="1">
        <f t="shared" si="32"/>
        <v>0</v>
      </c>
      <c r="FA11" s="1">
        <f t="shared" si="32"/>
        <v>0</v>
      </c>
      <c r="FB11" s="1">
        <f t="shared" si="32"/>
        <v>0</v>
      </c>
      <c r="FC11" s="1">
        <f t="shared" si="32"/>
        <v>0</v>
      </c>
      <c r="FD11" s="1">
        <f t="shared" si="32"/>
        <v>0</v>
      </c>
      <c r="FE11" s="1">
        <f t="shared" si="32"/>
        <v>0</v>
      </c>
      <c r="FG11" s="162">
        <f t="shared" si="33"/>
        <v>0.10843249467896054</v>
      </c>
    </row>
    <row r="12" spans="1:163" ht="18.75" customHeight="1">
      <c r="A12" s="243" t="s">
        <v>216</v>
      </c>
      <c r="B12" s="246"/>
      <c r="C12" s="156">
        <f t="shared" si="5"/>
        <v>-0.33</v>
      </c>
      <c r="D12" s="198">
        <v>-1</v>
      </c>
      <c r="E12" s="248">
        <f t="shared" si="6"/>
        <v>4.1522942000610241E-2</v>
      </c>
      <c r="F12" s="249">
        <f t="shared" si="7"/>
        <v>-4.2453285467554114E-3</v>
      </c>
      <c r="G12" s="248">
        <f t="shared" si="8"/>
        <v>1.1313252635444915E-2</v>
      </c>
      <c r="H12" s="249">
        <f t="shared" si="9"/>
        <v>3.0209689365165326E-2</v>
      </c>
      <c r="I12" s="248">
        <f t="shared" si="10"/>
        <v>2.3662710353972947</v>
      </c>
      <c r="J12" s="249">
        <f t="shared" si="11"/>
        <v>-0.34904248823396422</v>
      </c>
      <c r="K12" s="248">
        <f t="shared" si="34"/>
        <v>2.3186746321572653</v>
      </c>
      <c r="L12" s="249">
        <f t="shared" si="12"/>
        <v>4.7596403240029339E-2</v>
      </c>
      <c r="M12" s="250"/>
      <c r="N12" s="24">
        <v>1</v>
      </c>
      <c r="O12" s="248">
        <f t="shared" si="35"/>
        <v>3.9565784790603908E-2</v>
      </c>
      <c r="P12" s="251">
        <f t="shared" si="36"/>
        <v>3.9565784790603908E-2</v>
      </c>
      <c r="Q12" s="248">
        <f t="shared" si="13"/>
        <v>0.45540676066308783</v>
      </c>
      <c r="R12" s="251">
        <f t="shared" si="37"/>
        <v>0.45540676066308783</v>
      </c>
      <c r="S12" s="250"/>
      <c r="T12" s="24">
        <v>-1</v>
      </c>
      <c r="U12" s="248">
        <f t="shared" si="14"/>
        <v>-0.11008595560360068</v>
      </c>
      <c r="V12" s="252">
        <f t="shared" si="15"/>
        <v>-0.11008595560360068</v>
      </c>
      <c r="W12" s="248">
        <f t="shared" si="38"/>
        <v>-5.5117318042533947E-2</v>
      </c>
      <c r="X12" s="252">
        <f t="shared" si="16"/>
        <v>-5.5117318042533947E-2</v>
      </c>
      <c r="Y12" s="248">
        <f t="shared" si="17"/>
        <v>0.11095983662355335</v>
      </c>
      <c r="Z12" s="252">
        <f t="shared" si="18"/>
        <v>0.11095983662355335</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P12" s="28">
        <f>VLOOKUP($A12,historia!$A$5:$CM$24,+HLOOKUP(AP$2,historia!$A$3:$EC$4,2,FALSE),FALSE)</f>
        <v>5</v>
      </c>
      <c r="AQ12" s="28">
        <f>VLOOKUP($A12,historia!$A$5:$CM$24,+HLOOKUP(AQ$2,historia!$A$3:$EC$4,2,FALSE),FALSE)</f>
        <v>5</v>
      </c>
      <c r="AR12" s="28">
        <f>VLOOKUP($A12,historia!$A$5:$CM$24,+HLOOKUP(AR$2,historia!$A$3:$EC$4,2,FALSE),FALSE)</f>
        <v>5</v>
      </c>
      <c r="AS12" s="28">
        <f>VLOOKUP($A12,historia!$A$5:$CM$24,+HLOOKUP(AS$2,historia!$A$3:$EC$4,2,FALSE),FALSE)</f>
        <v>5</v>
      </c>
      <c r="AT12" s="58">
        <f>VLOOKUP($A12,historia!$A$5:$CM$24,+HLOOKUP(AT$2,historia!$A$3:$EC$4,2,FALSE),FALSE)</f>
        <v>5</v>
      </c>
      <c r="AU12" s="58">
        <f>VLOOKUP($A12,historia!$A$5:$CM$24,+HLOOKUP(AU$2,historia!$A$3:$EC$4,2,FALSE),FALSE)</f>
        <v>5</v>
      </c>
      <c r="AV12" s="58">
        <f>VLOOKUP($A12,historia!$A$5:$CM$24,+HLOOKUP(AV$2,historia!$A$3:$EC$4,2,FALSE),FALSE)</f>
        <v>5</v>
      </c>
      <c r="AW12" s="58">
        <f>VLOOKUP($A12,historia!$A$5:$CM$24,+HLOOKUP(AW$2,historia!$A$3:$EC$4,2,FALSE),FALSE)</f>
        <v>5</v>
      </c>
      <c r="AX12" s="58">
        <f>VLOOKUP($A12,historia!$A$5:$CM$24,+HLOOKUP(AX$2,historia!$A$3:$EC$4,2,FALSE),FALSE)</f>
        <v>5</v>
      </c>
      <c r="AY12" s="58">
        <f>VLOOKUP($A12,historia!$A$5:$CM$24,+HLOOKUP(AY$2,historia!$A$3:$EC$4,2,FALSE),FALSE)</f>
        <v>5</v>
      </c>
      <c r="AZ12" s="58">
        <f>VLOOKUP($A12,historia!$A$5:$CM$24,+HLOOKUP(AZ$2,historia!$A$3:$EC$4,2,FALSE),FALSE)</f>
        <v>4</v>
      </c>
      <c r="BA12" s="58">
        <f>VLOOKUP($A12,historia!$A$5:$CM$24,+HLOOKUP(BA$2,historia!$A$3:$EC$4,2,FALSE),FALSE)</f>
        <v>4</v>
      </c>
      <c r="BB12" s="30"/>
      <c r="BC12" s="141">
        <v>4</v>
      </c>
      <c r="BD12" t="str">
        <f t="shared" si="19"/>
        <v>Granos</v>
      </c>
      <c r="BE12">
        <f>+datos!AE1</f>
        <v>31</v>
      </c>
      <c r="BF12" s="2" t="str">
        <f t="shared" si="4"/>
        <v>$/t</v>
      </c>
      <c r="BG12" s="2">
        <f t="shared" si="4"/>
        <v>212746.54166666666</v>
      </c>
      <c r="BH12" s="2">
        <f t="shared" si="4"/>
        <v>204264.86358333332</v>
      </c>
      <c r="BI12" s="2">
        <f t="shared" si="4"/>
        <v>63199.468916666672</v>
      </c>
      <c r="BK12">
        <f>+datos!CG1</f>
        <v>85</v>
      </c>
      <c r="BL12" s="2">
        <f t="shared" si="20"/>
        <v>8164.7875051438868</v>
      </c>
      <c r="BM12" s="2">
        <f t="shared" si="20"/>
        <v>8073.45051977392</v>
      </c>
      <c r="BN12" s="2">
        <f t="shared" si="20"/>
        <v>2460.2554965855338</v>
      </c>
      <c r="BP12" s="1">
        <f>+datos!EA1</f>
        <v>131</v>
      </c>
      <c r="BQ12" s="1">
        <f t="shared" si="21"/>
        <v>35050000</v>
      </c>
      <c r="BR12" s="1">
        <f t="shared" si="21"/>
        <v>33716000</v>
      </c>
      <c r="BT12" s="1">
        <f>+datos!FV1</f>
        <v>178</v>
      </c>
      <c r="BU12" s="1">
        <f t="shared" si="22"/>
        <v>123353000</v>
      </c>
      <c r="BV12" s="1">
        <f t="shared" si="22"/>
        <v>84755000</v>
      </c>
      <c r="BX12" s="1">
        <f>+datos!LQ1</f>
        <v>329</v>
      </c>
      <c r="BY12" s="1">
        <f>+SUM(CJ12:CU12)</f>
        <v>41278.77704429</v>
      </c>
      <c r="BZ12" s="1">
        <f t="shared" si="40"/>
        <v>46385.128208969996</v>
      </c>
      <c r="CB12" s="1">
        <f>+datos!LU1</f>
        <v>333</v>
      </c>
      <c r="CC12" s="2">
        <f t="shared" si="23"/>
        <v>3828.9100331099999</v>
      </c>
      <c r="CD12" s="2">
        <f t="shared" si="24"/>
        <v>4052.2597209399996</v>
      </c>
      <c r="CF12" s="1">
        <f>+datos!II1</f>
        <v>243</v>
      </c>
      <c r="CG12" s="1">
        <f t="shared" si="25"/>
        <v>81600000</v>
      </c>
      <c r="CH12" s="1">
        <f t="shared" si="26"/>
        <v>73450000</v>
      </c>
      <c r="CJ12" s="1">
        <f>+VLOOKUP(CJ$1,ran_dat,$BX12,FALSE)</f>
        <v>4256.6159984299993</v>
      </c>
      <c r="CK12" s="1">
        <f t="shared" si="27"/>
        <v>4805.0657855600002</v>
      </c>
      <c r="CL12" s="1">
        <f t="shared" si="27"/>
        <v>3818.0878160900002</v>
      </c>
      <c r="CM12" s="1">
        <f t="shared" si="27"/>
        <v>3876.9439553199995</v>
      </c>
      <c r="CN12" s="1">
        <f t="shared" si="27"/>
        <v>3089.4855235099994</v>
      </c>
      <c r="CO12" s="1">
        <f t="shared" si="27"/>
        <v>3929.1762735700004</v>
      </c>
      <c r="CP12" s="1">
        <f t="shared" si="27"/>
        <v>2955.6698254600001</v>
      </c>
      <c r="CQ12" s="1">
        <f t="shared" si="27"/>
        <v>2441.9361675499999</v>
      </c>
      <c r="CR12" s="1">
        <f t="shared" si="27"/>
        <v>2439.6070879799995</v>
      </c>
      <c r="CS12" s="1">
        <f t="shared" si="27"/>
        <v>2937.94498135</v>
      </c>
      <c r="CT12" s="1">
        <f t="shared" si="27"/>
        <v>3422.8062754199996</v>
      </c>
      <c r="CU12" s="1">
        <f t="shared" si="27"/>
        <v>3305.4373540500001</v>
      </c>
      <c r="CV12" s="1">
        <f t="shared" si="27"/>
        <v>3388.1727426199996</v>
      </c>
      <c r="CW12" s="1">
        <f t="shared" si="27"/>
        <v>3792.8302867999996</v>
      </c>
      <c r="CX12" s="1">
        <f t="shared" si="27"/>
        <v>3116.9694759099998</v>
      </c>
      <c r="CY12" s="1">
        <f t="shared" si="27"/>
        <v>2868.8536445099994</v>
      </c>
      <c r="CZ12" s="1">
        <f t="shared" si="28"/>
        <v>2796.6599858300006</v>
      </c>
      <c r="DA12" s="1">
        <f t="shared" si="28"/>
        <v>2718.2915703099998</v>
      </c>
      <c r="DB12" s="1">
        <f t="shared" si="28"/>
        <v>4151.50946449</v>
      </c>
      <c r="DC12" s="1">
        <f t="shared" si="28"/>
        <v>4450.8165799199996</v>
      </c>
      <c r="DD12" s="1">
        <f t="shared" si="28"/>
        <v>4813.7104364100005</v>
      </c>
      <c r="DE12" s="1">
        <f t="shared" si="28"/>
        <v>4478.853701</v>
      </c>
      <c r="DF12" s="1">
        <f t="shared" si="28"/>
        <v>4612.5251936800005</v>
      </c>
      <c r="DG12" s="1">
        <f t="shared" si="28"/>
        <v>5195.93512749</v>
      </c>
      <c r="DI12" s="1">
        <f t="shared" si="29"/>
        <v>293.37536226000003</v>
      </c>
      <c r="DJ12" s="1">
        <f t="shared" si="29"/>
        <v>336.54852982999995</v>
      </c>
      <c r="DK12" s="1">
        <f t="shared" si="29"/>
        <v>300.95428591999996</v>
      </c>
      <c r="DL12" s="1">
        <f t="shared" si="29"/>
        <v>389.85732896999997</v>
      </c>
      <c r="DM12" s="1">
        <f t="shared" si="29"/>
        <v>280.54397103999997</v>
      </c>
      <c r="DN12" s="1">
        <f t="shared" si="29"/>
        <v>63.525792080000002</v>
      </c>
      <c r="DO12" s="1">
        <f t="shared" si="29"/>
        <v>301.92103216000004</v>
      </c>
      <c r="DP12" s="1">
        <f t="shared" si="29"/>
        <v>260.76831764999997</v>
      </c>
      <c r="DQ12" s="1">
        <f t="shared" si="29"/>
        <v>244.67742642000002</v>
      </c>
      <c r="DR12" s="1">
        <f t="shared" si="29"/>
        <v>322.58249758000005</v>
      </c>
      <c r="DS12" s="1">
        <f t="shared" si="29"/>
        <v>495.08938117000014</v>
      </c>
      <c r="DT12" s="1">
        <f t="shared" si="29"/>
        <v>539.06610803000001</v>
      </c>
      <c r="DU12" s="1">
        <f t="shared" si="29"/>
        <v>828.84254484999997</v>
      </c>
      <c r="DV12" s="1">
        <f t="shared" si="29"/>
        <v>679.74768902999983</v>
      </c>
      <c r="DW12" s="1">
        <f t="shared" si="29"/>
        <v>678.42759025000009</v>
      </c>
      <c r="DX12" s="1">
        <f t="shared" si="29"/>
        <v>816.99926951999987</v>
      </c>
      <c r="DY12" s="1">
        <f t="shared" si="30"/>
        <v>236.29083821</v>
      </c>
      <c r="DZ12" s="1">
        <f t="shared" si="30"/>
        <v>13.603287699999997</v>
      </c>
      <c r="EA12" s="1">
        <f t="shared" si="30"/>
        <v>8.4785749999999993E-2</v>
      </c>
      <c r="EB12" s="1">
        <f t="shared" si="30"/>
        <v>140.70586015999999</v>
      </c>
      <c r="EC12" s="1">
        <f t="shared" si="30"/>
        <v>7.5318475299999985</v>
      </c>
      <c r="ED12" s="1">
        <f t="shared" si="30"/>
        <v>157.51314244999998</v>
      </c>
      <c r="EE12" s="1">
        <f t="shared" si="30"/>
        <v>227.42549563</v>
      </c>
      <c r="EF12" s="1">
        <f t="shared" si="30"/>
        <v>265.08736985999997</v>
      </c>
      <c r="EH12" s="14">
        <f t="shared" si="31"/>
        <v>81600000</v>
      </c>
      <c r="EI12" s="14">
        <f t="shared" si="31"/>
        <v>81600000</v>
      </c>
      <c r="EJ12" s="1">
        <f t="shared" si="31"/>
        <v>81600000</v>
      </c>
      <c r="EK12" s="1">
        <f t="shared" si="31"/>
        <v>73750000</v>
      </c>
      <c r="EL12" s="1">
        <f t="shared" si="31"/>
        <v>73750000</v>
      </c>
      <c r="EM12" s="1">
        <f t="shared" si="31"/>
        <v>73450000</v>
      </c>
      <c r="EN12" s="1">
        <f t="shared" si="31"/>
        <v>73450000</v>
      </c>
      <c r="EO12" s="1">
        <f t="shared" si="31"/>
        <v>73450000</v>
      </c>
      <c r="EP12" s="1">
        <f t="shared" si="31"/>
        <v>73450000</v>
      </c>
      <c r="EQ12" s="1">
        <f t="shared" si="31"/>
        <v>73450000</v>
      </c>
      <c r="ER12" s="1">
        <f t="shared" si="31"/>
        <v>73450000</v>
      </c>
      <c r="ES12" s="1">
        <f t="shared" si="31"/>
        <v>73450000</v>
      </c>
      <c r="ET12" s="1">
        <f t="shared" si="31"/>
        <v>73450000</v>
      </c>
      <c r="EU12" s="1">
        <f t="shared" si="31"/>
        <v>73450000</v>
      </c>
      <c r="EV12" s="1">
        <f t="shared" si="31"/>
        <v>73450000</v>
      </c>
      <c r="EW12" s="1">
        <f t="shared" si="31"/>
        <v>74890000</v>
      </c>
      <c r="EX12" s="1">
        <f t="shared" si="32"/>
        <v>75510000</v>
      </c>
      <c r="EY12" s="1">
        <f t="shared" si="32"/>
        <v>75510000</v>
      </c>
      <c r="EZ12" s="1">
        <f t="shared" si="32"/>
        <v>75060000</v>
      </c>
      <c r="FA12" s="1">
        <f t="shared" si="32"/>
        <v>75060000</v>
      </c>
      <c r="FB12" s="1">
        <f t="shared" si="32"/>
        <v>75060000</v>
      </c>
      <c r="FC12" s="1">
        <f t="shared" si="32"/>
        <v>75060000</v>
      </c>
      <c r="FD12" s="1">
        <f t="shared" si="32"/>
        <v>75060000</v>
      </c>
      <c r="FE12" s="1">
        <f t="shared" si="32"/>
        <v>75060000</v>
      </c>
      <c r="FG12" s="162">
        <f t="shared" si="33"/>
        <v>4.7596403240029339E-2</v>
      </c>
    </row>
    <row r="13" spans="1:163" ht="18.75" customHeight="1">
      <c r="A13" s="244" t="s">
        <v>217</v>
      </c>
      <c r="B13" s="247"/>
      <c r="C13" s="228">
        <f t="shared" si="5"/>
        <v>0.66</v>
      </c>
      <c r="D13" s="229">
        <v>1</v>
      </c>
      <c r="E13" s="253">
        <f t="shared" si="6"/>
        <v>-0.12024308646183501</v>
      </c>
      <c r="F13" s="254">
        <f t="shared" si="7"/>
        <v>-0.16601135700920067</v>
      </c>
      <c r="G13" s="253">
        <f t="shared" si="8"/>
        <v>-3.0159924579568953E-2</v>
      </c>
      <c r="H13" s="254">
        <f t="shared" si="9"/>
        <v>-9.0083161882266061E-2</v>
      </c>
      <c r="I13" s="253">
        <f t="shared" si="10"/>
        <v>4.0659929926655174</v>
      </c>
      <c r="J13" s="254">
        <f t="shared" si="11"/>
        <v>1.3506794690342585</v>
      </c>
      <c r="K13" s="253">
        <f t="shared" si="34"/>
        <v>3.0319813416262562</v>
      </c>
      <c r="L13" s="254">
        <f t="shared" si="12"/>
        <v>1.0340116510392612</v>
      </c>
      <c r="M13" s="255"/>
      <c r="N13" s="256">
        <v>0</v>
      </c>
      <c r="O13" s="253">
        <f t="shared" si="35"/>
        <v>-3.3006472151727695E-2</v>
      </c>
      <c r="P13" s="257">
        <f t="shared" si="36"/>
        <v>-3.3006472151727695E-2</v>
      </c>
      <c r="Q13" s="253">
        <f t="shared" si="13"/>
        <v>-1.4386787894224651E-2</v>
      </c>
      <c r="R13" s="257">
        <f t="shared" si="37"/>
        <v>-1.4386787894224651E-2</v>
      </c>
      <c r="S13" s="255"/>
      <c r="T13" s="256">
        <v>1</v>
      </c>
      <c r="U13" s="253">
        <f t="shared" si="14"/>
        <v>0.44835705107998436</v>
      </c>
      <c r="V13" s="258">
        <f t="shared" si="15"/>
        <v>0.44835705107998436</v>
      </c>
      <c r="W13" s="253">
        <f t="shared" si="38"/>
        <v>-0.42090240567634474</v>
      </c>
      <c r="X13" s="258">
        <f t="shared" si="16"/>
        <v>-0.42090240567634474</v>
      </c>
      <c r="Y13" s="253" t="str">
        <f t="shared" si="17"/>
        <v/>
      </c>
      <c r="Z13" s="258" t="str">
        <f t="shared" si="18"/>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2</v>
      </c>
      <c r="BA13" s="58">
        <f>VLOOKUP($A13,historia!$A$5:$CM$24,+HLOOKUP(BA$2,historia!$A$3:$EC$4,2,FALSE),FALSE)</f>
        <v>2</v>
      </c>
      <c r="BB13" s="30"/>
      <c r="BC13" s="141">
        <v>2</v>
      </c>
      <c r="BD13" t="str">
        <f t="shared" si="19"/>
        <v>Hortalizas</v>
      </c>
      <c r="BE13">
        <f>+datos!BB1</f>
        <v>54</v>
      </c>
      <c r="BF13" s="2" t="str">
        <f t="shared" si="4"/>
        <v>$/kg</v>
      </c>
      <c r="BG13" s="2">
        <f t="shared" si="4"/>
        <v>13650.521540637859</v>
      </c>
      <c r="BH13" s="2">
        <f t="shared" si="4"/>
        <v>15516.242419441563</v>
      </c>
      <c r="BI13" s="2">
        <f t="shared" si="4"/>
        <v>2694.5401543983417</v>
      </c>
      <c r="BK13">
        <f>+datos!CO1</f>
        <v>93</v>
      </c>
      <c r="BL13" s="2">
        <f t="shared" si="20"/>
        <v>9060.186559846974</v>
      </c>
      <c r="BM13" s="2">
        <f t="shared" si="20"/>
        <v>9341.9387272889635</v>
      </c>
      <c r="BN13" s="2">
        <f t="shared" si="20"/>
        <v>2247.0804778557444</v>
      </c>
      <c r="BP13" s="1">
        <f>+datos!EX1</f>
        <v>154</v>
      </c>
      <c r="BQ13" s="1">
        <f t="shared" si="21"/>
        <v>64395</v>
      </c>
      <c r="BR13" s="1">
        <f t="shared" si="21"/>
        <v>66593</v>
      </c>
      <c r="BT13" s="1">
        <f>+datos!GN1</f>
        <v>196</v>
      </c>
      <c r="BU13" s="1">
        <f t="shared" si="22"/>
        <v>2639386</v>
      </c>
      <c r="BV13" s="1">
        <f t="shared" si="22"/>
        <v>2677912.56</v>
      </c>
      <c r="BX13" s="1">
        <f>+datos!LR1</f>
        <v>330</v>
      </c>
      <c r="BY13" s="1">
        <f t="shared" si="39"/>
        <v>79.154974060000001</v>
      </c>
      <c r="BZ13" s="1">
        <f t="shared" si="40"/>
        <v>54.651561229999999</v>
      </c>
      <c r="CB13" s="1">
        <f>+datos!LV1</f>
        <v>334</v>
      </c>
      <c r="CC13" s="2">
        <f t="shared" si="23"/>
        <v>13.966682259999999</v>
      </c>
      <c r="CD13" s="2">
        <f t="shared" si="24"/>
        <v>24.118011190000001</v>
      </c>
      <c r="CF13" s="1">
        <f>+datos!IX1</f>
        <v>258</v>
      </c>
      <c r="CG13" s="1">
        <f t="shared" si="25"/>
        <v>0</v>
      </c>
      <c r="CH13" s="1">
        <f t="shared" si="26"/>
        <v>0</v>
      </c>
      <c r="CJ13" s="1">
        <f t="shared" si="27"/>
        <v>5.6369490100000004</v>
      </c>
      <c r="CK13" s="1">
        <f t="shared" si="27"/>
        <v>11.964288460000001</v>
      </c>
      <c r="CL13" s="1">
        <f t="shared" si="27"/>
        <v>14.874595200000002</v>
      </c>
      <c r="CM13" s="1">
        <f t="shared" si="27"/>
        <v>12.356255849999998</v>
      </c>
      <c r="CN13" s="1">
        <f t="shared" si="27"/>
        <v>7.66143427</v>
      </c>
      <c r="CO13" s="1">
        <f t="shared" si="27"/>
        <v>3.9700200400000001</v>
      </c>
      <c r="CP13" s="1">
        <f t="shared" si="27"/>
        <v>4.244482989999999</v>
      </c>
      <c r="CQ13" s="1">
        <f t="shared" si="27"/>
        <v>3.7692072699999999</v>
      </c>
      <c r="CR13" s="1">
        <f t="shared" si="27"/>
        <v>4.3561451300000007</v>
      </c>
      <c r="CS13" s="1">
        <f t="shared" si="27"/>
        <v>2.35708815</v>
      </c>
      <c r="CT13" s="1">
        <f t="shared" si="27"/>
        <v>2.9990922500000003</v>
      </c>
      <c r="CU13" s="1">
        <f t="shared" si="27"/>
        <v>4.9654154400000001</v>
      </c>
      <c r="CV13" s="1">
        <f t="shared" si="27"/>
        <v>7.7556872599999993</v>
      </c>
      <c r="CW13" s="1">
        <f t="shared" si="27"/>
        <v>10.641103850000002</v>
      </c>
      <c r="CX13" s="1">
        <f t="shared" si="27"/>
        <v>9.2379974100000002</v>
      </c>
      <c r="CY13" s="1">
        <f t="shared" si="27"/>
        <v>6.8023944899999993</v>
      </c>
      <c r="CZ13" s="1">
        <f t="shared" si="28"/>
        <v>2.5188479500000001</v>
      </c>
      <c r="DA13" s="1">
        <f t="shared" si="28"/>
        <v>1.93600679</v>
      </c>
      <c r="DB13" s="1">
        <f t="shared" si="28"/>
        <v>3.7029913799999998</v>
      </c>
      <c r="DC13" s="1">
        <f t="shared" si="28"/>
        <v>3.1144052499999999</v>
      </c>
      <c r="DD13" s="1">
        <f t="shared" si="28"/>
        <v>2.0701945399999997</v>
      </c>
      <c r="DE13" s="1">
        <f t="shared" si="28"/>
        <v>2.0629542399999998</v>
      </c>
      <c r="DF13" s="1">
        <f t="shared" si="28"/>
        <v>2.51054522</v>
      </c>
      <c r="DG13" s="1">
        <f t="shared" si="28"/>
        <v>2.2984328500000002</v>
      </c>
      <c r="DI13" s="1">
        <f t="shared" si="29"/>
        <v>1.5134803299999999</v>
      </c>
      <c r="DJ13" s="1">
        <f t="shared" si="29"/>
        <v>1.5645213200000003</v>
      </c>
      <c r="DK13" s="1">
        <f t="shared" si="29"/>
        <v>0.17069466</v>
      </c>
      <c r="DL13" s="1">
        <f t="shared" si="29"/>
        <v>5.8121779999999998E-2</v>
      </c>
      <c r="DM13" s="1">
        <f t="shared" si="29"/>
        <v>0.22874177000000001</v>
      </c>
      <c r="DN13" s="1">
        <f t="shared" si="29"/>
        <v>6.8422739999999996E-2</v>
      </c>
      <c r="DO13" s="1">
        <f t="shared" si="29"/>
        <v>1.38860757</v>
      </c>
      <c r="DP13" s="1">
        <f t="shared" si="29"/>
        <v>1.9631409899999996</v>
      </c>
      <c r="DQ13" s="1">
        <f t="shared" si="29"/>
        <v>1.5225679400000001</v>
      </c>
      <c r="DR13" s="1">
        <f t="shared" si="29"/>
        <v>1.3263511099999998</v>
      </c>
      <c r="DS13" s="1">
        <f t="shared" si="29"/>
        <v>2.5091586699999997</v>
      </c>
      <c r="DT13" s="1">
        <f t="shared" si="29"/>
        <v>1.6528733800000002</v>
      </c>
      <c r="DU13" s="1">
        <f t="shared" si="29"/>
        <v>0.42388491999999994</v>
      </c>
      <c r="DV13" s="1">
        <f t="shared" si="29"/>
        <v>1.7301791</v>
      </c>
      <c r="DW13" s="1">
        <f t="shared" si="29"/>
        <v>2.0483479400000002</v>
      </c>
      <c r="DX13" s="1">
        <f t="shared" si="29"/>
        <v>0.56045690999999997</v>
      </c>
      <c r="DY13" s="1">
        <f t="shared" si="30"/>
        <v>1.1333685500000001</v>
      </c>
      <c r="DZ13" s="1">
        <f t="shared" si="30"/>
        <v>1.93118693</v>
      </c>
      <c r="EA13" s="1">
        <f t="shared" si="30"/>
        <v>0.60248590000000002</v>
      </c>
      <c r="EB13" s="1">
        <f t="shared" si="30"/>
        <v>0.87790919000000001</v>
      </c>
      <c r="EC13" s="1">
        <f t="shared" si="30"/>
        <v>1.4386166999999999</v>
      </c>
      <c r="ED13" s="1">
        <f t="shared" si="30"/>
        <v>5.8540475399999998</v>
      </c>
      <c r="EE13" s="1">
        <f t="shared" si="30"/>
        <v>5.5126731700000002</v>
      </c>
      <c r="EF13" s="1">
        <f t="shared" si="30"/>
        <v>2.0048543400000001</v>
      </c>
      <c r="EH13" s="14">
        <f t="shared" si="31"/>
        <v>0</v>
      </c>
      <c r="EI13" s="14">
        <f t="shared" si="31"/>
        <v>0</v>
      </c>
      <c r="EJ13" s="1">
        <f t="shared" si="31"/>
        <v>0</v>
      </c>
      <c r="EK13" s="1">
        <f t="shared" si="31"/>
        <v>0</v>
      </c>
      <c r="EL13" s="1">
        <f t="shared" si="31"/>
        <v>0</v>
      </c>
      <c r="EM13" s="1">
        <f t="shared" si="31"/>
        <v>0</v>
      </c>
      <c r="EN13" s="1">
        <f t="shared" si="31"/>
        <v>0</v>
      </c>
      <c r="EO13" s="1">
        <f t="shared" si="31"/>
        <v>0</v>
      </c>
      <c r="EP13" s="1">
        <f t="shared" si="31"/>
        <v>0</v>
      </c>
      <c r="EQ13" s="1">
        <f t="shared" si="31"/>
        <v>0</v>
      </c>
      <c r="ER13" s="1">
        <f t="shared" si="31"/>
        <v>0</v>
      </c>
      <c r="ES13" s="1">
        <f t="shared" si="31"/>
        <v>0</v>
      </c>
      <c r="ET13" s="1">
        <f t="shared" si="31"/>
        <v>0</v>
      </c>
      <c r="EU13" s="1">
        <f t="shared" si="31"/>
        <v>0</v>
      </c>
      <c r="EV13" s="1">
        <f t="shared" si="31"/>
        <v>0</v>
      </c>
      <c r="EW13" s="1">
        <f t="shared" si="31"/>
        <v>0</v>
      </c>
      <c r="EX13" s="1">
        <f t="shared" si="32"/>
        <v>0</v>
      </c>
      <c r="EY13" s="1">
        <f t="shared" si="32"/>
        <v>0</v>
      </c>
      <c r="EZ13" s="1">
        <f t="shared" si="32"/>
        <v>0</v>
      </c>
      <c r="FA13" s="1">
        <f t="shared" si="32"/>
        <v>0</v>
      </c>
      <c r="FB13" s="1">
        <f t="shared" si="32"/>
        <v>0</v>
      </c>
      <c r="FC13" s="1">
        <f t="shared" si="32"/>
        <v>0</v>
      </c>
      <c r="FD13" s="1">
        <f t="shared" si="32"/>
        <v>0</v>
      </c>
      <c r="FE13" s="1">
        <f t="shared" si="32"/>
        <v>0</v>
      </c>
      <c r="FG13" s="162">
        <f t="shared" si="33"/>
        <v>1.0340116510392612</v>
      </c>
    </row>
    <row r="14" spans="1:163" ht="18.75" customHeight="1">
      <c r="A14" s="243" t="s">
        <v>65</v>
      </c>
      <c r="B14" s="246"/>
      <c r="C14" s="156">
        <f t="shared" si="5"/>
        <v>-0.33</v>
      </c>
      <c r="D14" s="198">
        <v>1</v>
      </c>
      <c r="E14" s="248">
        <f t="shared" si="6"/>
        <v>3.6087637736624378E-2</v>
      </c>
      <c r="F14" s="249">
        <f t="shared" si="7"/>
        <v>-9.6806328107412742E-3</v>
      </c>
      <c r="G14" s="248">
        <f t="shared" si="8"/>
        <v>2.0890072505763246E-2</v>
      </c>
      <c r="H14" s="249">
        <f t="shared" si="9"/>
        <v>1.5197565230861132E-2</v>
      </c>
      <c r="I14" s="248">
        <f t="shared" si="10"/>
        <v>2.9469667318982387</v>
      </c>
      <c r="J14" s="249">
        <f t="shared" si="11"/>
        <v>0.23165320826697977</v>
      </c>
      <c r="K14" s="248">
        <f t="shared" si="34"/>
        <v>2.4959039381568733</v>
      </c>
      <c r="L14" s="249">
        <f t="shared" si="12"/>
        <v>0.45106279374136538</v>
      </c>
      <c r="M14" s="250"/>
      <c r="N14" s="24">
        <v>-1</v>
      </c>
      <c r="O14" s="248">
        <f t="shared" si="35"/>
        <v>0</v>
      </c>
      <c r="P14" s="251">
        <f t="shared" si="36"/>
        <v>0</v>
      </c>
      <c r="Q14" s="248">
        <f t="shared" si="13"/>
        <v>-7.5663601606905107E-2</v>
      </c>
      <c r="R14" s="251">
        <f t="shared" si="37"/>
        <v>-7.5663601606905107E-2</v>
      </c>
      <c r="S14" s="250"/>
      <c r="T14" s="24">
        <v>-1</v>
      </c>
      <c r="U14" s="248">
        <f t="shared" si="14"/>
        <v>-0.14444440611522913</v>
      </c>
      <c r="V14" s="252">
        <f t="shared" si="15"/>
        <v>-0.14444440611522913</v>
      </c>
      <c r="W14" s="248">
        <f t="shared" si="38"/>
        <v>-0.25353049438188979</v>
      </c>
      <c r="X14" s="252">
        <f t="shared" si="16"/>
        <v>-0.25353049438188979</v>
      </c>
      <c r="Y14" s="248">
        <f t="shared" si="17"/>
        <v>-0.17126193001060441</v>
      </c>
      <c r="Z14" s="252">
        <f t="shared" si="18"/>
        <v>-0.17126193001060441</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P14" s="28">
        <f>VLOOKUP($A14,historia!$A$5:$CM$24,+HLOOKUP(AP$2,historia!$A$3:$EC$4,2,FALSE),FALSE)</f>
        <v>5</v>
      </c>
      <c r="AQ14" s="28">
        <f>VLOOKUP($A14,historia!$A$5:$CM$24,+HLOOKUP(AQ$2,historia!$A$3:$EC$4,2,FALSE),FALSE)</f>
        <v>5</v>
      </c>
      <c r="AR14" s="28">
        <f>VLOOKUP($A14,historia!$A$5:$CM$24,+HLOOKUP(AR$2,historia!$A$3:$EC$4,2,FALSE),FALSE)</f>
        <v>5</v>
      </c>
      <c r="AS14" s="28">
        <f>VLOOKUP($A14,historia!$A$5:$CM$24,+HLOOKUP(AS$2,historia!$A$3:$EC$4,2,FALSE),FALSE)</f>
        <v>5</v>
      </c>
      <c r="AT14" s="58">
        <f>VLOOKUP($A14,historia!$A$5:$CM$24,+HLOOKUP(AT$2,historia!$A$3:$EC$4,2,FALSE),FALSE)</f>
        <v>5</v>
      </c>
      <c r="AU14" s="58">
        <f>VLOOKUP($A14,historia!$A$5:$CM$24,+HLOOKUP(AU$2,historia!$A$3:$EC$4,2,FALSE),FALSE)</f>
        <v>5</v>
      </c>
      <c r="AV14" s="58">
        <f>VLOOKUP($A14,historia!$A$5:$CM$24,+HLOOKUP(AV$2,historia!$A$3:$EC$4,2,FALSE),FALSE)</f>
        <v>5</v>
      </c>
      <c r="AW14" s="58">
        <f>VLOOKUP($A14,historia!$A$5:$CM$24,+HLOOKUP(AW$2,historia!$A$3:$EC$4,2,FALSE),FALSE)</f>
        <v>4</v>
      </c>
      <c r="AX14" s="58">
        <f>VLOOKUP($A14,historia!$A$5:$CM$24,+HLOOKUP(AX$2,historia!$A$3:$EC$4,2,FALSE),FALSE)</f>
        <v>4</v>
      </c>
      <c r="AY14" s="58">
        <f>VLOOKUP($A14,historia!$A$5:$CM$24,+HLOOKUP(AY$2,historia!$A$3:$EC$4,2,FALSE),FALSE)</f>
        <v>4</v>
      </c>
      <c r="AZ14" s="58">
        <f>VLOOKUP($A14,historia!$A$5:$CM$24,+HLOOKUP(AZ$2,historia!$A$3:$EC$4,2,FALSE),FALSE)</f>
        <v>4</v>
      </c>
      <c r="BA14" s="58">
        <f>VLOOKUP($A14,historia!$A$5:$CM$24,+HLOOKUP(BA$2,historia!$A$3:$EC$4,2,FALSE),FALSE)</f>
        <v>4</v>
      </c>
      <c r="BB14" s="30"/>
      <c r="BC14" s="141">
        <v>4</v>
      </c>
      <c r="BD14" t="str">
        <f t="shared" si="19"/>
        <v>Leche</v>
      </c>
      <c r="BE14">
        <f>+datos!BN1</f>
        <v>66</v>
      </c>
      <c r="BF14" s="2" t="str">
        <f t="shared" si="4"/>
        <v>$/l</v>
      </c>
      <c r="BG14" s="2">
        <f t="shared" si="4"/>
        <v>403.38</v>
      </c>
      <c r="BH14" s="2">
        <f t="shared" si="4"/>
        <v>389.33</v>
      </c>
      <c r="BI14" s="2">
        <f t="shared" si="4"/>
        <v>102.2</v>
      </c>
      <c r="BK14">
        <f>+datos!DC1</f>
        <v>107</v>
      </c>
      <c r="BL14" s="2">
        <f t="shared" si="20"/>
        <v>8256.6337203053899</v>
      </c>
      <c r="BM14" s="2">
        <f t="shared" si="20"/>
        <v>8087.6814680346288</v>
      </c>
      <c r="BN14" s="2">
        <f t="shared" si="20"/>
        <v>2361.8022309441635</v>
      </c>
      <c r="BP14" s="1">
        <f>+datos!EN1</f>
        <v>144</v>
      </c>
      <c r="BQ14" s="1">
        <f t="shared" si="21"/>
        <v>3169981</v>
      </c>
      <c r="BR14" s="1">
        <f t="shared" si="21"/>
        <v>3169981</v>
      </c>
      <c r="BT14" s="1">
        <f>+datos!HP1</f>
        <v>224</v>
      </c>
      <c r="BU14" s="1">
        <f t="shared" si="22"/>
        <v>10664.700656900923</v>
      </c>
      <c r="BV14" s="1">
        <f t="shared" si="22"/>
        <v>11537.683332000001</v>
      </c>
      <c r="BX14" s="1">
        <f>+datos!KH1</f>
        <v>294</v>
      </c>
      <c r="BY14" s="1">
        <f t="shared" si="39"/>
        <v>1518.9628249600003</v>
      </c>
      <c r="BZ14" s="1">
        <f t="shared" si="40"/>
        <v>1775.4110145700004</v>
      </c>
      <c r="CB14" s="1">
        <f>+datos!LM1</f>
        <v>325</v>
      </c>
      <c r="CC14" s="2">
        <f t="shared" si="23"/>
        <v>20.459997900000001</v>
      </c>
      <c r="CD14" s="2">
        <f t="shared" si="24"/>
        <v>27.409020389999998</v>
      </c>
      <c r="CF14" s="1">
        <f>+datos!IN1</f>
        <v>248</v>
      </c>
      <c r="CG14" s="1">
        <f t="shared" si="25"/>
        <v>156.30000000000001</v>
      </c>
      <c r="CH14" s="1">
        <f t="shared" si="26"/>
        <v>188.6</v>
      </c>
      <c r="CJ14" s="1">
        <f t="shared" si="27"/>
        <v>102.41564730000002</v>
      </c>
      <c r="CK14" s="1">
        <f t="shared" si="27"/>
        <v>113.57779348999999</v>
      </c>
      <c r="CL14" s="1">
        <f t="shared" si="27"/>
        <v>118.3786056</v>
      </c>
      <c r="CM14" s="1">
        <f t="shared" si="27"/>
        <v>126.46519539000002</v>
      </c>
      <c r="CN14" s="1">
        <f t="shared" si="27"/>
        <v>140.50614890000003</v>
      </c>
      <c r="CO14" s="1">
        <f t="shared" si="27"/>
        <v>139.44218023000002</v>
      </c>
      <c r="CP14" s="1">
        <f t="shared" si="27"/>
        <v>153.04661877999999</v>
      </c>
      <c r="CQ14" s="1">
        <f t="shared" si="27"/>
        <v>136.81239812999999</v>
      </c>
      <c r="CR14" s="1">
        <f t="shared" si="27"/>
        <v>134.16752365000002</v>
      </c>
      <c r="CS14" s="1">
        <f t="shared" si="27"/>
        <v>114.82793965999997</v>
      </c>
      <c r="CT14" s="1">
        <f t="shared" si="27"/>
        <v>120.47507141999999</v>
      </c>
      <c r="CU14" s="1">
        <f t="shared" si="27"/>
        <v>118.84770241</v>
      </c>
      <c r="CV14" s="1">
        <f t="shared" si="27"/>
        <v>100.85116919999999</v>
      </c>
      <c r="CW14" s="1">
        <f t="shared" si="27"/>
        <v>116.29617616</v>
      </c>
      <c r="CX14" s="1">
        <f t="shared" si="27"/>
        <v>115.47027065</v>
      </c>
      <c r="CY14" s="1">
        <f t="shared" si="27"/>
        <v>138.26089648999999</v>
      </c>
      <c r="CZ14" s="1">
        <f t="shared" si="28"/>
        <v>163.45053632000003</v>
      </c>
      <c r="DA14" s="1">
        <f t="shared" si="28"/>
        <v>135.61809928</v>
      </c>
      <c r="DB14" s="1">
        <f t="shared" si="28"/>
        <v>152.11245593000001</v>
      </c>
      <c r="DC14" s="1">
        <f t="shared" si="28"/>
        <v>167.62191332</v>
      </c>
      <c r="DD14" s="1">
        <f t="shared" si="28"/>
        <v>194.12902524000003</v>
      </c>
      <c r="DE14" s="1">
        <f t="shared" si="28"/>
        <v>153.24721415000002</v>
      </c>
      <c r="DF14" s="1">
        <f t="shared" si="28"/>
        <v>146.24437125</v>
      </c>
      <c r="DG14" s="1">
        <f t="shared" si="28"/>
        <v>192.10888658000002</v>
      </c>
      <c r="DI14" s="1">
        <f t="shared" si="29"/>
        <v>0.83472519000000012</v>
      </c>
      <c r="DJ14" s="1">
        <f t="shared" si="29"/>
        <v>1.6658761100000001</v>
      </c>
      <c r="DK14" s="1">
        <f t="shared" si="29"/>
        <v>1.6724867599999997</v>
      </c>
      <c r="DL14" s="1">
        <f t="shared" si="29"/>
        <v>1.92660527</v>
      </c>
      <c r="DM14" s="1">
        <f t="shared" si="29"/>
        <v>0.38991597</v>
      </c>
      <c r="DN14" s="1">
        <f t="shared" si="29"/>
        <v>3.0425877200000002</v>
      </c>
      <c r="DO14" s="1">
        <f t="shared" si="29"/>
        <v>1.8227840799999999</v>
      </c>
      <c r="DP14" s="1">
        <f t="shared" si="29"/>
        <v>2.1288867499999999</v>
      </c>
      <c r="DQ14" s="1">
        <f t="shared" si="29"/>
        <v>2.0947676</v>
      </c>
      <c r="DR14" s="1">
        <f t="shared" si="29"/>
        <v>1.2699740900000001</v>
      </c>
      <c r="DS14" s="1">
        <f t="shared" si="29"/>
        <v>1.3202370399999999</v>
      </c>
      <c r="DT14" s="1">
        <f t="shared" si="29"/>
        <v>2.29115132</v>
      </c>
      <c r="DU14" s="1">
        <f t="shared" si="29"/>
        <v>1.8108909100000001</v>
      </c>
      <c r="DV14" s="1">
        <f t="shared" si="29"/>
        <v>3.0093188999999998</v>
      </c>
      <c r="DW14" s="1">
        <f t="shared" si="29"/>
        <v>2.2926081099999998</v>
      </c>
      <c r="DX14" s="1">
        <f t="shared" si="29"/>
        <v>3.2446467999999999</v>
      </c>
      <c r="DY14" s="1">
        <f t="shared" si="30"/>
        <v>2.3068511200000001</v>
      </c>
      <c r="DZ14" s="1">
        <f t="shared" si="30"/>
        <v>2.4321035299999991</v>
      </c>
      <c r="EA14" s="1">
        <f t="shared" si="30"/>
        <v>0</v>
      </c>
      <c r="EB14" s="1">
        <f t="shared" si="30"/>
        <v>2.4168714900000001</v>
      </c>
      <c r="EC14" s="1">
        <f t="shared" si="30"/>
        <v>1.42944377</v>
      </c>
      <c r="ED14" s="1">
        <f t="shared" si="30"/>
        <v>2.4256843100000003</v>
      </c>
      <c r="EE14" s="1">
        <f t="shared" si="30"/>
        <v>4.1067614599999995</v>
      </c>
      <c r="EF14" s="1">
        <f t="shared" si="30"/>
        <v>1.9338399900000003</v>
      </c>
      <c r="EH14" s="14">
        <f t="shared" si="31"/>
        <v>156.30000000000001</v>
      </c>
      <c r="EI14" s="14">
        <f t="shared" si="31"/>
        <v>155.80000000000001</v>
      </c>
      <c r="EJ14" s="1">
        <f t="shared" si="31"/>
        <v>159.5</v>
      </c>
      <c r="EK14" s="1">
        <f t="shared" si="31"/>
        <v>170.8</v>
      </c>
      <c r="EL14" s="1">
        <f t="shared" si="31"/>
        <v>170.8</v>
      </c>
      <c r="EM14" s="1">
        <f t="shared" si="31"/>
        <v>187.7</v>
      </c>
      <c r="EN14" s="1">
        <f t="shared" si="31"/>
        <v>196.8</v>
      </c>
      <c r="EO14" s="1">
        <f t="shared" si="31"/>
        <v>196.8</v>
      </c>
      <c r="EP14" s="1">
        <f t="shared" si="31"/>
        <v>188.6</v>
      </c>
      <c r="EQ14" s="1">
        <f t="shared" si="31"/>
        <v>188.6</v>
      </c>
      <c r="ER14" s="1">
        <f t="shared" si="31"/>
        <v>188.6</v>
      </c>
      <c r="ES14" s="1">
        <f t="shared" si="31"/>
        <v>188.6</v>
      </c>
      <c r="ET14" s="1">
        <f t="shared" si="31"/>
        <v>188.6</v>
      </c>
      <c r="EU14" s="1">
        <f t="shared" si="31"/>
        <v>188.6</v>
      </c>
      <c r="EV14" s="1">
        <f t="shared" si="31"/>
        <v>188.6</v>
      </c>
      <c r="EW14" s="1">
        <f t="shared" si="31"/>
        <v>188.6</v>
      </c>
      <c r="EX14" s="1">
        <f t="shared" si="32"/>
        <v>188.6</v>
      </c>
      <c r="EY14" s="1">
        <f t="shared" si="32"/>
        <v>188.6</v>
      </c>
      <c r="EZ14" s="1">
        <f t="shared" si="32"/>
        <v>188.6</v>
      </c>
      <c r="FA14" s="1">
        <f t="shared" si="32"/>
        <v>188.6</v>
      </c>
      <c r="FB14" s="1">
        <f t="shared" si="32"/>
        <v>185.6</v>
      </c>
      <c r="FC14" s="1">
        <f t="shared" si="32"/>
        <v>185.6</v>
      </c>
      <c r="FD14" s="1">
        <f t="shared" si="32"/>
        <v>189</v>
      </c>
      <c r="FE14" s="1">
        <f t="shared" si="32"/>
        <v>189</v>
      </c>
      <c r="FG14" s="162">
        <f t="shared" si="33"/>
        <v>0.45106279374136538</v>
      </c>
    </row>
    <row r="15" spans="1:163" ht="18.75" customHeight="1">
      <c r="A15" s="244" t="s">
        <v>68</v>
      </c>
      <c r="B15" s="247"/>
      <c r="C15" s="228">
        <v>0</v>
      </c>
      <c r="D15" s="229">
        <v>-1</v>
      </c>
      <c r="E15" s="253">
        <f t="shared" si="6"/>
        <v>-0.19502242606144404</v>
      </c>
      <c r="F15" s="254">
        <f t="shared" si="7"/>
        <v>-0.2407906966088097</v>
      </c>
      <c r="G15" s="253">
        <f t="shared" si="8"/>
        <v>8.3077628202254949E-4</v>
      </c>
      <c r="H15" s="254">
        <f t="shared" si="9"/>
        <v>-0.19585320234346659</v>
      </c>
      <c r="I15" s="253">
        <f t="shared" si="10"/>
        <v>0.69600987248046065</v>
      </c>
      <c r="J15" s="254">
        <f t="shared" si="11"/>
        <v>-2.019303651150798</v>
      </c>
      <c r="K15" s="253">
        <f t="shared" si="34"/>
        <v>2.4195294623013663</v>
      </c>
      <c r="L15" s="254">
        <f t="shared" si="12"/>
        <v>-1.7235195898209057</v>
      </c>
      <c r="M15" s="255"/>
      <c r="N15" s="256">
        <v>0</v>
      </c>
      <c r="O15" s="253">
        <f t="shared" si="35"/>
        <v>-8.022582082899965E-3</v>
      </c>
      <c r="P15" s="257">
        <f t="shared" si="36"/>
        <v>-8.022582082899965E-3</v>
      </c>
      <c r="Q15" s="253">
        <f t="shared" si="13"/>
        <v>-3.262739139568871E-3</v>
      </c>
      <c r="R15" s="257">
        <f t="shared" si="37"/>
        <v>-3.262739139568871E-3</v>
      </c>
      <c r="S15" s="255"/>
      <c r="T15" s="256">
        <v>-1</v>
      </c>
      <c r="U15" s="253" t="str">
        <f t="shared" si="14"/>
        <v/>
      </c>
      <c r="V15" s="258" t="str">
        <f t="shared" si="15"/>
        <v/>
      </c>
      <c r="W15" s="253">
        <f t="shared" si="38"/>
        <v>-0.67822411220160883</v>
      </c>
      <c r="X15" s="258">
        <f t="shared" si="16"/>
        <v>-0.67822411220160883</v>
      </c>
      <c r="Y15" s="253">
        <f t="shared" si="17"/>
        <v>0</v>
      </c>
      <c r="Z15" s="258">
        <f t="shared" si="18"/>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P15" s="28">
        <f>VLOOKUP($A15,historia!$A$5:$CM$24,+HLOOKUP(AP$2,historia!$A$3:$EC$4,2,FALSE),FALSE)</f>
        <v>4</v>
      </c>
      <c r="AQ15" s="28">
        <f>VLOOKUP($A15,historia!$A$5:$CM$24,+HLOOKUP(AQ$2,historia!$A$3:$EC$4,2,FALSE),FALSE)</f>
        <v>4</v>
      </c>
      <c r="AR15" s="28">
        <f>VLOOKUP($A15,historia!$A$5:$CM$24,+HLOOKUP(AR$2,historia!$A$3:$EC$4,2,FALSE),FALSE)</f>
        <v>4</v>
      </c>
      <c r="AS15" s="28">
        <f>VLOOKUP($A15,historia!$A$5:$CM$24,+HLOOKUP(AS$2,historia!$A$3:$EC$4,2,FALSE),FALSE)</f>
        <v>4</v>
      </c>
      <c r="AT15" s="58">
        <f>VLOOKUP($A15,historia!$A$5:$CM$24,+HLOOKUP(AT$2,historia!$A$3:$EC$4,2,FALSE),FALSE)</f>
        <v>4</v>
      </c>
      <c r="AU15" s="58">
        <f>VLOOKUP($A15,historia!$A$5:$CM$24,+HLOOKUP(AU$2,historia!$A$3:$EC$4,2,FALSE),FALSE)</f>
        <v>4</v>
      </c>
      <c r="AV15" s="58">
        <f>VLOOKUP($A15,historia!$A$5:$CM$24,+HLOOKUP(AV$2,historia!$A$3:$EC$4,2,FALSE),FALSE)</f>
        <v>4</v>
      </c>
      <c r="AW15" s="58">
        <f>VLOOKUP($A15,historia!$A$5:$CM$24,+HLOOKUP(AW$2,historia!$A$3:$EC$4,2,FALSE),FALSE)</f>
        <v>3</v>
      </c>
      <c r="AX15" s="58">
        <f>VLOOKUP($A15,historia!$A$5:$CM$24,+HLOOKUP(AX$2,historia!$A$3:$EC$4,2,FALSE),FALSE)</f>
        <v>3</v>
      </c>
      <c r="AY15" s="58">
        <f>VLOOKUP($A15,historia!$A$5:$CM$24,+HLOOKUP(AY$2,historia!$A$3:$EC$4,2,FALSE),FALSE)</f>
        <v>3</v>
      </c>
      <c r="AZ15" s="58">
        <f>VLOOKUP($A15,historia!$A$5:$CM$24,+HLOOKUP(AZ$2,historia!$A$3:$EC$4,2,FALSE),FALSE)</f>
        <v>4</v>
      </c>
      <c r="BA15" s="58">
        <f>VLOOKUP($A15,historia!$A$5:$CM$24,+HLOOKUP(BA$2,historia!$A$3:$EC$4,2,FALSE),FALSE)</f>
        <v>4</v>
      </c>
      <c r="BB15" s="30"/>
      <c r="BC15" s="141">
        <v>4</v>
      </c>
      <c r="BD15" t="str">
        <f t="shared" si="19"/>
        <v>Mandioca</v>
      </c>
      <c r="BE15">
        <f>+datos!AW1</f>
        <v>49</v>
      </c>
      <c r="BF15" s="2" t="str">
        <f t="shared" si="4"/>
        <v>$/bolsa40kg</v>
      </c>
      <c r="BG15" s="2">
        <f t="shared" si="4"/>
        <v>8346.1538461538457</v>
      </c>
      <c r="BH15" s="2">
        <f t="shared" si="4"/>
        <v>10368.181818181818</v>
      </c>
      <c r="BI15" s="2">
        <f t="shared" si="4"/>
        <v>4921.0526315789475</v>
      </c>
      <c r="BK15">
        <f>+datos!CJ1</f>
        <v>88</v>
      </c>
      <c r="BL15" s="2">
        <f t="shared" si="20"/>
        <v>7070.0257667500264</v>
      </c>
      <c r="BM15" s="2">
        <f t="shared" si="20"/>
        <v>7064.1570326348301</v>
      </c>
      <c r="BN15" s="2">
        <f t="shared" si="20"/>
        <v>2067.5434572778477</v>
      </c>
      <c r="BP15" s="1">
        <f>+datos!EY1</f>
        <v>155</v>
      </c>
      <c r="BQ15" s="1">
        <f t="shared" si="21"/>
        <v>20031</v>
      </c>
      <c r="BR15" s="1">
        <f t="shared" si="21"/>
        <v>20193</v>
      </c>
      <c r="BT15" s="1">
        <f>+datos!GO1</f>
        <v>197</v>
      </c>
      <c r="BU15" s="1">
        <f t="shared" si="22"/>
        <v>201734</v>
      </c>
      <c r="BV15" s="1">
        <f t="shared" si="22"/>
        <v>202394.36</v>
      </c>
      <c r="BX15" s="1">
        <f>+datos!JP1</f>
        <v>276</v>
      </c>
      <c r="BY15" s="1">
        <f t="shared" si="39"/>
        <v>0</v>
      </c>
      <c r="BZ15" s="1">
        <f t="shared" si="40"/>
        <v>0</v>
      </c>
      <c r="CB15" s="1">
        <f>+datos!KU1</f>
        <v>307</v>
      </c>
      <c r="CC15" s="2">
        <f t="shared" si="23"/>
        <v>3.64327676</v>
      </c>
      <c r="CD15" s="2">
        <f t="shared" si="24"/>
        <v>11.322404500000001</v>
      </c>
      <c r="CF15" s="1">
        <f>+datos!IY1</f>
        <v>259</v>
      </c>
      <c r="CG15" s="1">
        <f t="shared" si="25"/>
        <v>1.88</v>
      </c>
      <c r="CH15" s="1">
        <f t="shared" si="26"/>
        <v>1.88</v>
      </c>
      <c r="CJ15" s="1">
        <f t="shared" si="27"/>
        <v>0</v>
      </c>
      <c r="CK15" s="1">
        <f t="shared" si="27"/>
        <v>0</v>
      </c>
      <c r="CL15" s="1">
        <f t="shared" si="27"/>
        <v>0</v>
      </c>
      <c r="CM15" s="1">
        <f t="shared" si="27"/>
        <v>0</v>
      </c>
      <c r="CN15" s="1">
        <f t="shared" si="27"/>
        <v>0</v>
      </c>
      <c r="CO15" s="1">
        <f t="shared" si="27"/>
        <v>0</v>
      </c>
      <c r="CP15" s="1">
        <f t="shared" si="27"/>
        <v>0</v>
      </c>
      <c r="CQ15" s="1">
        <f t="shared" si="27"/>
        <v>0</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8"/>
        <v>0</v>
      </c>
      <c r="DA15" s="1">
        <f t="shared" si="28"/>
        <v>0</v>
      </c>
      <c r="DB15" s="1">
        <f t="shared" si="28"/>
        <v>0</v>
      </c>
      <c r="DC15" s="1">
        <f t="shared" si="28"/>
        <v>0</v>
      </c>
      <c r="DD15" s="1">
        <f t="shared" si="28"/>
        <v>0</v>
      </c>
      <c r="DE15" s="1">
        <f t="shared" si="28"/>
        <v>0</v>
      </c>
      <c r="DF15" s="1">
        <f t="shared" si="28"/>
        <v>0</v>
      </c>
      <c r="DG15" s="1">
        <f t="shared" si="28"/>
        <v>0</v>
      </c>
      <c r="DI15" s="14">
        <f t="shared" si="29"/>
        <v>0.1712014</v>
      </c>
      <c r="DJ15" s="14">
        <f t="shared" si="29"/>
        <v>0.12198517</v>
      </c>
      <c r="DK15" s="1">
        <f t="shared" si="29"/>
        <v>1.6812999999999999E-3</v>
      </c>
      <c r="DL15" s="1">
        <f t="shared" si="29"/>
        <v>2.8195380000000003E-2</v>
      </c>
      <c r="DM15" s="1">
        <f t="shared" si="29"/>
        <v>4.9277770000000005E-2</v>
      </c>
      <c r="DN15" s="1">
        <f t="shared" si="29"/>
        <v>0.21358802999999996</v>
      </c>
      <c r="DO15" s="1">
        <f t="shared" si="29"/>
        <v>0.24099903000000003</v>
      </c>
      <c r="DP15" s="1">
        <f t="shared" si="29"/>
        <v>0.39667624000000001</v>
      </c>
      <c r="DQ15" s="1">
        <f t="shared" si="29"/>
        <v>0.47948613000000001</v>
      </c>
      <c r="DR15" s="1">
        <f t="shared" si="29"/>
        <v>0.13955175</v>
      </c>
      <c r="DS15" s="1">
        <f t="shared" si="29"/>
        <v>0.88368341000000006</v>
      </c>
      <c r="DT15" s="1">
        <f t="shared" si="29"/>
        <v>0.91695114999999994</v>
      </c>
      <c r="DU15" s="1">
        <f t="shared" si="29"/>
        <v>1.1944894100000001</v>
      </c>
      <c r="DV15" s="1">
        <f t="shared" si="29"/>
        <v>1.11559404</v>
      </c>
      <c r="DW15" s="1">
        <f t="shared" si="29"/>
        <v>1.36422954</v>
      </c>
      <c r="DX15" s="1">
        <f t="shared" si="29"/>
        <v>1.7463627799999999</v>
      </c>
      <c r="DY15" s="1">
        <f t="shared" si="30"/>
        <v>0.68698649000000001</v>
      </c>
      <c r="DZ15" s="1">
        <f t="shared" si="30"/>
        <v>0.11168649999999999</v>
      </c>
      <c r="EA15" s="1">
        <f t="shared" si="30"/>
        <v>0</v>
      </c>
      <c r="EB15" s="1">
        <f t="shared" si="30"/>
        <v>1.4896021499999998</v>
      </c>
      <c r="EC15" s="1">
        <f t="shared" si="30"/>
        <v>0</v>
      </c>
      <c r="ED15" s="1">
        <f t="shared" si="30"/>
        <v>1.7451778999999998</v>
      </c>
      <c r="EE15" s="1">
        <f t="shared" si="30"/>
        <v>0.90545438</v>
      </c>
      <c r="EF15" s="1">
        <f t="shared" si="30"/>
        <v>0.96282131000000004</v>
      </c>
      <c r="EH15" s="14">
        <f t="shared" si="31"/>
        <v>1.88</v>
      </c>
      <c r="EI15" s="14">
        <f t="shared" si="31"/>
        <v>1.88</v>
      </c>
      <c r="EJ15" s="1">
        <f t="shared" si="31"/>
        <v>1.88</v>
      </c>
      <c r="EK15" s="1">
        <f t="shared" si="31"/>
        <v>1.88</v>
      </c>
      <c r="EL15" s="1">
        <f t="shared" si="31"/>
        <v>1.88</v>
      </c>
      <c r="EM15" s="1">
        <f t="shared" si="31"/>
        <v>1.88</v>
      </c>
      <c r="EN15" s="1">
        <f t="shared" si="31"/>
        <v>1.88</v>
      </c>
      <c r="EO15" s="1">
        <f t="shared" si="31"/>
        <v>1.88</v>
      </c>
      <c r="EP15" s="1">
        <f t="shared" si="31"/>
        <v>1.88</v>
      </c>
      <c r="EQ15" s="1">
        <f t="shared" si="31"/>
        <v>1.88</v>
      </c>
      <c r="ER15" s="1">
        <f t="shared" si="31"/>
        <v>1.88</v>
      </c>
      <c r="ES15" s="1">
        <f t="shared" si="31"/>
        <v>1.88</v>
      </c>
      <c r="ET15" s="1">
        <f t="shared" si="31"/>
        <v>1.88</v>
      </c>
      <c r="EU15" s="1">
        <f t="shared" si="31"/>
        <v>1.88</v>
      </c>
      <c r="EV15" s="1">
        <f t="shared" si="31"/>
        <v>1.88</v>
      </c>
      <c r="EW15" s="1">
        <f t="shared" si="31"/>
        <v>1.88</v>
      </c>
      <c r="EX15" s="1">
        <f t="shared" si="32"/>
        <v>1.88</v>
      </c>
      <c r="EY15" s="1">
        <f t="shared" si="32"/>
        <v>1.88</v>
      </c>
      <c r="EZ15" s="1">
        <f t="shared" si="32"/>
        <v>1.88</v>
      </c>
      <c r="FA15" s="1">
        <f t="shared" si="32"/>
        <v>1.88</v>
      </c>
      <c r="FB15" s="1">
        <f t="shared" si="32"/>
        <v>1.88</v>
      </c>
      <c r="FC15" s="1">
        <f t="shared" si="32"/>
        <v>1.88</v>
      </c>
      <c r="FD15" s="1">
        <f t="shared" si="32"/>
        <v>1.88</v>
      </c>
      <c r="FE15" s="1">
        <f t="shared" si="32"/>
        <v>1.88</v>
      </c>
      <c r="FG15" s="162">
        <f t="shared" si="33"/>
        <v>-1.7235195898209057</v>
      </c>
    </row>
    <row r="16" spans="1:163" ht="18.75" customHeight="1">
      <c r="A16" s="243" t="s">
        <v>25</v>
      </c>
      <c r="B16" s="246"/>
      <c r="C16" s="156">
        <f t="shared" si="5"/>
        <v>0</v>
      </c>
      <c r="D16" s="198">
        <v>1</v>
      </c>
      <c r="E16" s="248">
        <f t="shared" si="6"/>
        <v>2.6805722554129829E-2</v>
      </c>
      <c r="F16" s="249">
        <f t="shared" si="7"/>
        <v>-1.8962547993235823E-2</v>
      </c>
      <c r="G16" s="248">
        <f t="shared" si="8"/>
        <v>1.2692380270088455E-2</v>
      </c>
      <c r="H16" s="249">
        <f t="shared" si="9"/>
        <v>1.4113342284041375E-2</v>
      </c>
      <c r="I16" s="248">
        <f t="shared" si="10"/>
        <v>2.4474707227833066</v>
      </c>
      <c r="J16" s="249">
        <f t="shared" si="11"/>
        <v>-0.26784280084795231</v>
      </c>
      <c r="K16" s="248">
        <f t="shared" si="34"/>
        <v>2.371827738218367</v>
      </c>
      <c r="L16" s="249">
        <f t="shared" si="12"/>
        <v>7.5642984564939564E-2</v>
      </c>
      <c r="M16" s="250"/>
      <c r="N16" s="24">
        <v>1</v>
      </c>
      <c r="O16" s="248">
        <f t="shared" si="35"/>
        <v>0.11422036142805547</v>
      </c>
      <c r="P16" s="251">
        <f t="shared" si="36"/>
        <v>0.11422036142805547</v>
      </c>
      <c r="Q16" s="248">
        <f t="shared" si="13"/>
        <v>0.70637774795677699</v>
      </c>
      <c r="R16" s="251">
        <f t="shared" si="37"/>
        <v>0.70637774795677699</v>
      </c>
      <c r="S16" s="250"/>
      <c r="T16" s="24">
        <v>-2</v>
      </c>
      <c r="U16" s="248">
        <f t="shared" si="14"/>
        <v>-0.1892299846294403</v>
      </c>
      <c r="V16" s="252">
        <f t="shared" si="15"/>
        <v>-0.1892299846294403</v>
      </c>
      <c r="W16" s="248"/>
      <c r="X16" s="252"/>
      <c r="Y16" s="248">
        <f t="shared" si="17"/>
        <v>8.4415584415584499E-2</v>
      </c>
      <c r="Z16" s="252">
        <f t="shared" si="18"/>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P16" s="28">
        <f>VLOOKUP($A16,historia!$A$5:$CM$24,+HLOOKUP(AP$2,historia!$A$3:$EC$4,2,FALSE),FALSE)</f>
        <v>3</v>
      </c>
      <c r="AQ16" s="28">
        <f>VLOOKUP($A16,historia!$A$5:$CM$24,+HLOOKUP(AQ$2,historia!$A$3:$EC$4,2,FALSE),FALSE)</f>
        <v>3</v>
      </c>
      <c r="AR16" s="28">
        <f>VLOOKUP($A16,historia!$A$5:$CM$24,+HLOOKUP(AR$2,historia!$A$3:$EC$4,2,FALSE),FALSE)</f>
        <v>3</v>
      </c>
      <c r="AS16" s="28">
        <f>VLOOKUP($A16,historia!$A$5:$CM$24,+HLOOKUP(AS$2,historia!$A$3:$EC$4,2,FALSE),FALSE)</f>
        <v>2</v>
      </c>
      <c r="AT16" s="58">
        <f>VLOOKUP($A16,historia!$A$5:$CM$24,+HLOOKUP(AT$2,historia!$A$3:$EC$4,2,FALSE),FALSE)</f>
        <v>2</v>
      </c>
      <c r="AU16" s="58">
        <f>VLOOKUP($A16,historia!$A$5:$CM$24,+HLOOKUP(AU$2,historia!$A$3:$EC$4,2,FALSE),FALSE)</f>
        <v>2</v>
      </c>
      <c r="AV16" s="58">
        <f>VLOOKUP($A16,historia!$A$5:$CM$24,+HLOOKUP(AV$2,historia!$A$3:$EC$4,2,FALSE),FALSE)</f>
        <v>2</v>
      </c>
      <c r="AW16" s="58">
        <f>VLOOKUP($A16,historia!$A$5:$CM$24,+HLOOKUP(AW$2,historia!$A$3:$EC$4,2,FALSE),FALSE)</f>
        <v>2</v>
      </c>
      <c r="AX16" s="58">
        <f>VLOOKUP($A16,historia!$A$5:$CM$24,+HLOOKUP(AX$2,historia!$A$3:$EC$4,2,FALSE),FALSE)</f>
        <v>2</v>
      </c>
      <c r="AY16" s="58">
        <f>VLOOKUP($A16,historia!$A$5:$CM$24,+HLOOKUP(AY$2,historia!$A$3:$EC$4,2,FALSE),FALSE)</f>
        <v>2</v>
      </c>
      <c r="AZ16" s="58">
        <f>VLOOKUP($A16,historia!$A$5:$CM$24,+HLOOKUP(AZ$2,historia!$A$3:$EC$4,2,FALSE),FALSE)</f>
        <v>3</v>
      </c>
      <c r="BA16" s="58">
        <f>VLOOKUP($A16,historia!$A$5:$CM$24,+HLOOKUP(BA$2,historia!$A$3:$EC$4,2,FALSE),FALSE)</f>
        <v>3</v>
      </c>
      <c r="BB16" s="30"/>
      <c r="BC16" s="141">
        <v>3</v>
      </c>
      <c r="BD16" t="str">
        <f t="shared" si="19"/>
        <v>Maní</v>
      </c>
      <c r="BE16">
        <f>+datos!AF1</f>
        <v>32</v>
      </c>
      <c r="BF16" s="2" t="str">
        <f t="shared" si="4"/>
        <v>$/t</v>
      </c>
      <c r="BG16" s="2">
        <f t="shared" si="4"/>
        <v>809674.3529411765</v>
      </c>
      <c r="BH16" s="2">
        <f t="shared" si="4"/>
        <v>788537.04761904757</v>
      </c>
      <c r="BI16" s="2">
        <f t="shared" si="4"/>
        <v>234860.4</v>
      </c>
      <c r="BK16">
        <f>+datos!CH1</f>
        <v>86</v>
      </c>
      <c r="BL16" s="2">
        <f t="shared" si="20"/>
        <v>9667.8663664984506</v>
      </c>
      <c r="BM16" s="2">
        <f t="shared" si="20"/>
        <v>9546.6960696593742</v>
      </c>
      <c r="BN16" s="2">
        <f t="shared" si="20"/>
        <v>2867.2480082291613</v>
      </c>
      <c r="BP16" s="1">
        <f>+datos!EB1</f>
        <v>132</v>
      </c>
      <c r="BQ16" s="1">
        <f t="shared" si="21"/>
        <v>416490</v>
      </c>
      <c r="BR16" s="1">
        <f t="shared" si="21"/>
        <v>373795</v>
      </c>
      <c r="BT16" s="1">
        <f>+datos!FW1</f>
        <v>179</v>
      </c>
      <c r="BU16" s="1">
        <f t="shared" si="22"/>
        <v>1604722</v>
      </c>
      <c r="BV16" s="1">
        <f t="shared" si="22"/>
        <v>940426</v>
      </c>
      <c r="BX16" s="1">
        <f>+datos!JK1</f>
        <v>271</v>
      </c>
      <c r="BY16" s="1">
        <f t="shared" si="39"/>
        <v>1090.79072954</v>
      </c>
      <c r="BZ16" s="1">
        <f t="shared" si="40"/>
        <v>1345.3762581999999</v>
      </c>
      <c r="CB16" s="1">
        <f>+datos!KP1</f>
        <v>302</v>
      </c>
      <c r="CC16" s="2">
        <f t="shared" si="23"/>
        <v>2.8903411299999999</v>
      </c>
      <c r="CD16" s="2">
        <f t="shared" si="24"/>
        <v>0.70396006999999994</v>
      </c>
      <c r="CF16" s="1">
        <f>+datos!IJ1</f>
        <v>244</v>
      </c>
      <c r="CG16" s="1">
        <f t="shared" si="25"/>
        <v>2.1563835150032644</v>
      </c>
      <c r="CH16" s="1">
        <f t="shared" si="26"/>
        <v>1.9885213252125911</v>
      </c>
      <c r="CJ16" s="1">
        <f t="shared" si="27"/>
        <v>98.487414479999984</v>
      </c>
      <c r="CK16" s="1">
        <f t="shared" si="27"/>
        <v>63.473924160000003</v>
      </c>
      <c r="CL16" s="1">
        <f t="shared" si="27"/>
        <v>65.127016839999982</v>
      </c>
      <c r="CM16" s="1">
        <f t="shared" si="27"/>
        <v>70.784594500000011</v>
      </c>
      <c r="CN16" s="1">
        <f t="shared" si="27"/>
        <v>111.62267066999999</v>
      </c>
      <c r="CO16" s="1">
        <f t="shared" si="27"/>
        <v>100.80321882999999</v>
      </c>
      <c r="CP16" s="1">
        <f t="shared" si="27"/>
        <v>90.064767340000003</v>
      </c>
      <c r="CQ16" s="1">
        <f t="shared" si="27"/>
        <v>96.183340330000021</v>
      </c>
      <c r="CR16" s="1">
        <f t="shared" si="27"/>
        <v>89.024842150000026</v>
      </c>
      <c r="CS16" s="1">
        <f t="shared" si="27"/>
        <v>102.74257099999998</v>
      </c>
      <c r="CT16" s="1">
        <f t="shared" si="27"/>
        <v>102.43695814</v>
      </c>
      <c r="CU16" s="1">
        <f t="shared" si="27"/>
        <v>100.03941109999997</v>
      </c>
      <c r="CV16" s="1">
        <f t="shared" si="27"/>
        <v>89.79279253</v>
      </c>
      <c r="CW16" s="1">
        <f t="shared" si="27"/>
        <v>102.39153366000001</v>
      </c>
      <c r="CX16" s="1">
        <f t="shared" si="27"/>
        <v>98.470728969999996</v>
      </c>
      <c r="CY16" s="1">
        <f t="shared" si="27"/>
        <v>134.53858048999999</v>
      </c>
      <c r="CZ16" s="1">
        <f t="shared" si="28"/>
        <v>116.52197384999999</v>
      </c>
      <c r="DA16" s="1">
        <f t="shared" si="28"/>
        <v>130.05927615000002</v>
      </c>
      <c r="DB16" s="1">
        <f t="shared" si="28"/>
        <v>105.24839114999997</v>
      </c>
      <c r="DC16" s="1">
        <f t="shared" si="28"/>
        <v>106.58558735000001</v>
      </c>
      <c r="DD16" s="1">
        <f t="shared" si="28"/>
        <v>136.66063392000001</v>
      </c>
      <c r="DE16" s="1">
        <f t="shared" si="28"/>
        <v>103.23507013999998</v>
      </c>
      <c r="DF16" s="1">
        <f t="shared" si="28"/>
        <v>127.03001287000001</v>
      </c>
      <c r="DG16" s="1">
        <f t="shared" si="28"/>
        <v>94.841677119999986</v>
      </c>
      <c r="DI16" s="1">
        <f t="shared" si="29"/>
        <v>8.4906640000000005E-2</v>
      </c>
      <c r="DJ16" s="1">
        <f t="shared" si="29"/>
        <v>8.714181E-2</v>
      </c>
      <c r="DK16" s="1">
        <f t="shared" si="29"/>
        <v>0.111375</v>
      </c>
      <c r="DL16" s="1">
        <f t="shared" si="29"/>
        <v>0.12514284000000001</v>
      </c>
      <c r="DM16" s="1">
        <f t="shared" si="29"/>
        <v>0.69674917999999986</v>
      </c>
      <c r="DN16" s="1">
        <f t="shared" si="29"/>
        <v>0.79684906</v>
      </c>
      <c r="DO16" s="1">
        <f t="shared" si="29"/>
        <v>0.24194792999999998</v>
      </c>
      <c r="DP16" s="1">
        <f t="shared" si="29"/>
        <v>0.11713932000000001</v>
      </c>
      <c r="DQ16" s="1">
        <f t="shared" si="29"/>
        <v>0.45286999999999999</v>
      </c>
      <c r="DR16" s="1">
        <f t="shared" si="29"/>
        <v>5.563009E-2</v>
      </c>
      <c r="DS16" s="1">
        <f t="shared" si="29"/>
        <v>2.7416000000000002E-4</v>
      </c>
      <c r="DT16" s="1">
        <f t="shared" si="29"/>
        <v>0.12031510000000001</v>
      </c>
      <c r="DU16" s="1">
        <f t="shared" si="29"/>
        <v>0.13456720999999999</v>
      </c>
      <c r="DV16" s="1">
        <f t="shared" si="29"/>
        <v>6.1200000000000002E-4</v>
      </c>
      <c r="DW16" s="1">
        <f t="shared" si="29"/>
        <v>0</v>
      </c>
      <c r="DX16" s="1">
        <f t="shared" si="29"/>
        <v>5.2170000000000003E-3</v>
      </c>
      <c r="DY16" s="1">
        <f t="shared" si="30"/>
        <v>0.10975939999999999</v>
      </c>
      <c r="DZ16" s="1">
        <f t="shared" si="30"/>
        <v>9.1243839999999993E-2</v>
      </c>
      <c r="EA16" s="1">
        <f t="shared" si="30"/>
        <v>2.016E-3</v>
      </c>
      <c r="EB16" s="1">
        <f t="shared" si="30"/>
        <v>0.21936422</v>
      </c>
      <c r="EC16" s="1">
        <f t="shared" si="30"/>
        <v>0</v>
      </c>
      <c r="ED16" s="1">
        <f t="shared" si="30"/>
        <v>6.0353800000000006E-2</v>
      </c>
      <c r="EE16" s="1">
        <f t="shared" si="30"/>
        <v>1.9724599999999998E-2</v>
      </c>
      <c r="EF16" s="1">
        <f t="shared" si="30"/>
        <v>6.1101999999999997E-2</v>
      </c>
      <c r="EH16" s="14">
        <f t="shared" si="31"/>
        <v>2.1563835150032644</v>
      </c>
      <c r="EI16" s="14">
        <f t="shared" si="31"/>
        <v>2.1563835150032644</v>
      </c>
      <c r="EJ16" s="1">
        <f t="shared" si="31"/>
        <v>2.1563835150032644</v>
      </c>
      <c r="EK16" s="1">
        <f t="shared" si="31"/>
        <v>1.9885213252125911</v>
      </c>
      <c r="EL16" s="1">
        <f t="shared" si="31"/>
        <v>1.9885213252125911</v>
      </c>
      <c r="EM16" s="1">
        <f t="shared" si="31"/>
        <v>1.9885213252125911</v>
      </c>
      <c r="EN16" s="1">
        <f t="shared" si="31"/>
        <v>1.9885213252125911</v>
      </c>
      <c r="EO16" s="1">
        <f t="shared" si="31"/>
        <v>1.9885213252125911</v>
      </c>
      <c r="EP16" s="1">
        <f t="shared" si="31"/>
        <v>1.9885213252125911</v>
      </c>
      <c r="EQ16" s="1">
        <f t="shared" si="31"/>
        <v>1.9885213252125911</v>
      </c>
      <c r="ER16" s="1">
        <f t="shared" si="31"/>
        <v>1.9885213252125911</v>
      </c>
      <c r="ES16" s="1">
        <f t="shared" si="31"/>
        <v>1.9885213252125911</v>
      </c>
      <c r="ET16" s="1">
        <f t="shared" si="31"/>
        <v>1.9885213252125911</v>
      </c>
      <c r="EU16" s="1">
        <f t="shared" si="31"/>
        <v>1.9885213252125911</v>
      </c>
      <c r="EV16" s="1">
        <f t="shared" si="31"/>
        <v>1.9885213252125911</v>
      </c>
      <c r="EW16" s="1">
        <f t="shared" si="31"/>
        <v>1.9885213252125911</v>
      </c>
      <c r="EX16" s="1">
        <f t="shared" si="32"/>
        <v>1.9040737312717446</v>
      </c>
      <c r="EY16" s="1">
        <f t="shared" si="32"/>
        <v>1.9040737312717446</v>
      </c>
      <c r="EZ16" s="1">
        <f t="shared" si="32"/>
        <v>1.9040737312717446</v>
      </c>
      <c r="FA16" s="1">
        <f t="shared" si="32"/>
        <v>1.9040737312717446</v>
      </c>
      <c r="FB16" s="1">
        <f t="shared" si="32"/>
        <v>1.9040737312717446</v>
      </c>
      <c r="FC16" s="1">
        <f t="shared" si="32"/>
        <v>1.9040737312717446</v>
      </c>
      <c r="FD16" s="1">
        <f t="shared" si="32"/>
        <v>1.9040737312717446</v>
      </c>
      <c r="FE16" s="1">
        <f t="shared" si="32"/>
        <v>1.9040737312717446</v>
      </c>
      <c r="FG16" s="162">
        <f t="shared" si="33"/>
        <v>7.5642984564939564E-2</v>
      </c>
    </row>
    <row r="17" spans="1:163" ht="18.75" customHeight="1">
      <c r="A17" s="244" t="s">
        <v>76</v>
      </c>
      <c r="B17" s="247"/>
      <c r="C17" s="228">
        <f t="shared" si="5"/>
        <v>-0.99</v>
      </c>
      <c r="D17" s="229">
        <v>-1</v>
      </c>
      <c r="E17" s="253">
        <f t="shared" si="6"/>
        <v>-1.3504388926401045E-2</v>
      </c>
      <c r="F17" s="254">
        <f t="shared" si="7"/>
        <v>-5.9272659473766698E-2</v>
      </c>
      <c r="G17" s="253">
        <f t="shared" si="8"/>
        <v>1.9474860769092661E-2</v>
      </c>
      <c r="H17" s="254">
        <f t="shared" si="9"/>
        <v>-3.2979249695493706E-2</v>
      </c>
      <c r="I17" s="253">
        <f t="shared" si="10"/>
        <v>2.4868735083532219</v>
      </c>
      <c r="J17" s="254">
        <f t="shared" si="11"/>
        <v>-0.22844001527803703</v>
      </c>
      <c r="K17" s="253">
        <f t="shared" si="34"/>
        <v>2.7561966691895812</v>
      </c>
      <c r="L17" s="254">
        <f t="shared" si="12"/>
        <v>-0.26932316083635932</v>
      </c>
      <c r="M17" s="255"/>
      <c r="N17" s="256">
        <v>-1</v>
      </c>
      <c r="O17" s="253">
        <f>IFERROR(+BQ17/BR17-1,"")</f>
        <v>0</v>
      </c>
      <c r="P17" s="257">
        <f t="shared" si="36"/>
        <v>0</v>
      </c>
      <c r="Q17" s="253">
        <f t="shared" si="13"/>
        <v>-5.5834866135295314E-2</v>
      </c>
      <c r="R17" s="257">
        <f t="shared" si="37"/>
        <v>-5.5834866135295314E-2</v>
      </c>
      <c r="S17" s="255"/>
      <c r="T17" s="256">
        <v>-1</v>
      </c>
      <c r="U17" s="253">
        <f t="shared" si="14"/>
        <v>-0.11701376656670348</v>
      </c>
      <c r="V17" s="258">
        <f t="shared" si="15"/>
        <v>-0.11701376656670348</v>
      </c>
      <c r="W17" s="253"/>
      <c r="X17" s="258"/>
      <c r="Y17" s="253">
        <f t="shared" si="17"/>
        <v>0</v>
      </c>
      <c r="Z17" s="258">
        <f t="shared" si="18"/>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f>VLOOKUP($A17,historia!$A$5:$CM$24,+HLOOKUP(AZ$2,historia!$A$3:$EC$4,2,FALSE),FALSE)</f>
        <v>5</v>
      </c>
      <c r="BA17" s="58">
        <f>VLOOKUP($A17,historia!$A$5:$CM$24,+HLOOKUP(BA$2,historia!$A$3:$EC$4,2,FALSE),FALSE)</f>
        <v>5</v>
      </c>
      <c r="BB17" s="30"/>
      <c r="BC17" s="141">
        <v>5</v>
      </c>
      <c r="BD17" t="str">
        <f t="shared" si="19"/>
        <v>Miel</v>
      </c>
      <c r="BE17">
        <f>+datos!BV1</f>
        <v>74</v>
      </c>
      <c r="BF17" s="2" t="str">
        <f t="shared" si="4"/>
        <v>$/kg</v>
      </c>
      <c r="BG17" s="2">
        <f t="shared" si="4"/>
        <v>1461</v>
      </c>
      <c r="BH17" s="2">
        <f t="shared" si="4"/>
        <v>1481</v>
      </c>
      <c r="BI17" s="2">
        <f t="shared" si="4"/>
        <v>419</v>
      </c>
      <c r="BK17">
        <f>+datos!DH1</f>
        <v>112</v>
      </c>
      <c r="BL17" s="2">
        <f t="shared" si="20"/>
        <v>7653.3523884859751</v>
      </c>
      <c r="BM17" s="2">
        <f t="shared" si="20"/>
        <v>7507.1516552279472</v>
      </c>
      <c r="BN17" s="2">
        <f t="shared" si="20"/>
        <v>2037.5270686071999</v>
      </c>
      <c r="BP17" s="1">
        <f>+datos!EQ1</f>
        <v>147</v>
      </c>
      <c r="BQ17" s="1">
        <f t="shared" si="21"/>
        <v>3500000</v>
      </c>
      <c r="BR17" s="1">
        <f t="shared" si="21"/>
        <v>3500000</v>
      </c>
      <c r="BT17" s="1">
        <f>+datos!GP1</f>
        <v>198</v>
      </c>
      <c r="BU17" s="1">
        <f t="shared" si="22"/>
        <v>69297</v>
      </c>
      <c r="BV17" s="1">
        <f t="shared" si="22"/>
        <v>73395</v>
      </c>
      <c r="BX17" s="1">
        <f>+datos!KE1</f>
        <v>291</v>
      </c>
      <c r="BY17" s="1">
        <f t="shared" si="39"/>
        <v>202.52693264000001</v>
      </c>
      <c r="BZ17" s="1">
        <f t="shared" si="40"/>
        <v>229.36590059</v>
      </c>
      <c r="CB17" s="1">
        <f>+datos!LJ1</f>
        <v>322</v>
      </c>
      <c r="CC17" s="2">
        <f t="shared" si="23"/>
        <v>9.3139300000000008E-2</v>
      </c>
      <c r="CD17" s="2">
        <f>+SUM(DU17:EF17)</f>
        <v>0.12708494000000001</v>
      </c>
      <c r="CF17" s="1">
        <f>+datos!IZ1</f>
        <v>260</v>
      </c>
      <c r="CG17" s="1">
        <f t="shared" si="25"/>
        <v>0.3</v>
      </c>
      <c r="CH17" s="1">
        <f t="shared" si="26"/>
        <v>0.3</v>
      </c>
      <c r="CJ17" s="1">
        <f t="shared" si="27"/>
        <v>20.702965450000001</v>
      </c>
      <c r="CK17" s="1">
        <f t="shared" si="27"/>
        <v>19.199801710000003</v>
      </c>
      <c r="CL17" s="1">
        <f t="shared" si="27"/>
        <v>16.174522229999997</v>
      </c>
      <c r="CM17" s="1">
        <f t="shared" si="27"/>
        <v>22.082734950000003</v>
      </c>
      <c r="CN17" s="1">
        <f t="shared" si="27"/>
        <v>13.392344960000001</v>
      </c>
      <c r="CO17" s="1">
        <f t="shared" si="27"/>
        <v>10.971998660000001</v>
      </c>
      <c r="CP17" s="1">
        <f t="shared" si="27"/>
        <v>12.805239539999999</v>
      </c>
      <c r="CQ17" s="1">
        <f t="shared" si="27"/>
        <v>13.943876809999997</v>
      </c>
      <c r="CR17" s="1">
        <f t="shared" si="27"/>
        <v>17.891480939999997</v>
      </c>
      <c r="CS17" s="1">
        <f t="shared" si="27"/>
        <v>16.805607889999997</v>
      </c>
      <c r="CT17" s="1">
        <f t="shared" si="27"/>
        <v>21.325973759999997</v>
      </c>
      <c r="CU17" s="1">
        <f t="shared" si="27"/>
        <v>17.230385739999999</v>
      </c>
      <c r="CV17" s="1">
        <f t="shared" si="27"/>
        <v>14.837575590000002</v>
      </c>
      <c r="CW17" s="1">
        <f t="shared" si="27"/>
        <v>17.476901599999998</v>
      </c>
      <c r="CX17" s="1">
        <f t="shared" si="27"/>
        <v>23.512884059999998</v>
      </c>
      <c r="CY17" s="1">
        <f t="shared" si="27"/>
        <v>18.814354810000005</v>
      </c>
      <c r="CZ17" s="1">
        <f t="shared" si="28"/>
        <v>15.47450873</v>
      </c>
      <c r="DA17" s="1">
        <f t="shared" si="28"/>
        <v>18.752158659999996</v>
      </c>
      <c r="DB17" s="1">
        <f t="shared" si="28"/>
        <v>13.663636670000002</v>
      </c>
      <c r="DC17" s="1">
        <f t="shared" si="28"/>
        <v>12.97807542</v>
      </c>
      <c r="DD17" s="1">
        <f t="shared" si="28"/>
        <v>21.851292619999999</v>
      </c>
      <c r="DE17" s="1">
        <f t="shared" si="28"/>
        <v>17.949190340000005</v>
      </c>
      <c r="DF17" s="1">
        <f t="shared" si="28"/>
        <v>28.34616364</v>
      </c>
      <c r="DG17" s="1">
        <f t="shared" si="28"/>
        <v>25.709158449999997</v>
      </c>
      <c r="DI17" s="1">
        <f t="shared" si="29"/>
        <v>0</v>
      </c>
      <c r="DJ17" s="1">
        <f t="shared" si="29"/>
        <v>0</v>
      </c>
      <c r="DK17" s="1">
        <f t="shared" si="29"/>
        <v>0</v>
      </c>
      <c r="DL17" s="1">
        <f t="shared" si="29"/>
        <v>5.2539300000000004E-2</v>
      </c>
      <c r="DM17" s="1">
        <f t="shared" si="29"/>
        <v>0</v>
      </c>
      <c r="DN17" s="1">
        <f t="shared" si="29"/>
        <v>0</v>
      </c>
      <c r="DO17" s="1">
        <f t="shared" si="29"/>
        <v>4.0599999999999997E-2</v>
      </c>
      <c r="DP17" s="1">
        <f t="shared" si="29"/>
        <v>0</v>
      </c>
      <c r="DQ17" s="1">
        <f t="shared" si="29"/>
        <v>0</v>
      </c>
      <c r="DR17" s="1">
        <f t="shared" si="29"/>
        <v>0</v>
      </c>
      <c r="DS17" s="1">
        <f t="shared" si="29"/>
        <v>0</v>
      </c>
      <c r="DT17" s="1">
        <f t="shared" si="29"/>
        <v>0</v>
      </c>
      <c r="DU17" s="1">
        <f t="shared" si="29"/>
        <v>0</v>
      </c>
      <c r="DV17" s="1">
        <f t="shared" si="29"/>
        <v>7.038E-3</v>
      </c>
      <c r="DW17" s="1">
        <f t="shared" si="29"/>
        <v>0</v>
      </c>
      <c r="DX17" s="1">
        <f t="shared" si="29"/>
        <v>0</v>
      </c>
      <c r="DY17" s="1">
        <f t="shared" si="30"/>
        <v>0</v>
      </c>
      <c r="DZ17" s="1">
        <f t="shared" si="30"/>
        <v>0</v>
      </c>
      <c r="EA17" s="1">
        <f t="shared" si="30"/>
        <v>0</v>
      </c>
      <c r="EB17" s="1">
        <f t="shared" si="30"/>
        <v>5.9353800000000005E-2</v>
      </c>
      <c r="EC17" s="1">
        <f t="shared" si="30"/>
        <v>0</v>
      </c>
      <c r="ED17" s="1">
        <f t="shared" si="30"/>
        <v>1.3661339999999999E-2</v>
      </c>
      <c r="EE17" s="1">
        <f t="shared" si="30"/>
        <v>0</v>
      </c>
      <c r="EF17" s="1">
        <f t="shared" si="30"/>
        <v>4.7031800000000006E-2</v>
      </c>
      <c r="EH17" s="14">
        <f t="shared" si="31"/>
        <v>0.3</v>
      </c>
      <c r="EI17" s="14">
        <f t="shared" si="31"/>
        <v>0.3</v>
      </c>
      <c r="EJ17" s="1">
        <f t="shared" si="31"/>
        <v>0.3</v>
      </c>
      <c r="EK17" s="1">
        <f t="shared" si="31"/>
        <v>0.3</v>
      </c>
      <c r="EL17" s="1">
        <f t="shared" si="31"/>
        <v>0.3</v>
      </c>
      <c r="EM17" s="1">
        <f t="shared" si="31"/>
        <v>0.3</v>
      </c>
      <c r="EN17" s="1">
        <f t="shared" si="31"/>
        <v>0.3</v>
      </c>
      <c r="EO17" s="1">
        <f t="shared" si="31"/>
        <v>0.3</v>
      </c>
      <c r="EP17" s="1">
        <f t="shared" si="31"/>
        <v>0.3</v>
      </c>
      <c r="EQ17" s="1">
        <f t="shared" si="31"/>
        <v>0.3</v>
      </c>
      <c r="ER17" s="1">
        <f t="shared" si="31"/>
        <v>0.3</v>
      </c>
      <c r="ES17" s="1">
        <f t="shared" si="31"/>
        <v>0.3</v>
      </c>
      <c r="ET17" s="1">
        <f t="shared" si="31"/>
        <v>0.3</v>
      </c>
      <c r="EU17" s="1">
        <f t="shared" si="31"/>
        <v>0.3</v>
      </c>
      <c r="EV17" s="1">
        <f t="shared" si="31"/>
        <v>0.3</v>
      </c>
      <c r="EW17" s="1">
        <f t="shared" si="31"/>
        <v>0.3</v>
      </c>
      <c r="EX17" s="1">
        <f t="shared" si="32"/>
        <v>0.3</v>
      </c>
      <c r="EY17" s="1">
        <f t="shared" si="32"/>
        <v>0.3</v>
      </c>
      <c r="EZ17" s="1">
        <f t="shared" si="32"/>
        <v>0.3</v>
      </c>
      <c r="FA17" s="1">
        <f t="shared" si="32"/>
        <v>0.3</v>
      </c>
      <c r="FB17" s="1">
        <f t="shared" si="32"/>
        <v>0.3</v>
      </c>
      <c r="FC17" s="1">
        <f t="shared" si="32"/>
        <v>0.3</v>
      </c>
      <c r="FD17" s="1">
        <f t="shared" si="32"/>
        <v>0.3</v>
      </c>
      <c r="FE17" s="1">
        <f t="shared" si="32"/>
        <v>0.3</v>
      </c>
      <c r="FG17" s="162">
        <f t="shared" si="33"/>
        <v>-0.26932316083635932</v>
      </c>
    </row>
    <row r="18" spans="1:163" ht="18.75" customHeight="1">
      <c r="A18" s="243" t="s">
        <v>222</v>
      </c>
      <c r="B18" s="246"/>
      <c r="C18" s="156">
        <f t="shared" si="5"/>
        <v>-0.99</v>
      </c>
      <c r="D18" s="198">
        <v>-1</v>
      </c>
      <c r="E18" s="248">
        <f t="shared" si="6"/>
        <v>0.11258373070340411</v>
      </c>
      <c r="F18" s="249">
        <f t="shared" si="7"/>
        <v>6.6815460156038453E-2</v>
      </c>
      <c r="G18" s="248">
        <f t="shared" si="8"/>
        <v>4.3423245388774623E-2</v>
      </c>
      <c r="H18" s="249">
        <f t="shared" si="9"/>
        <v>6.9160485314629483E-2</v>
      </c>
      <c r="I18" s="253">
        <f t="shared" si="10"/>
        <v>2.290356728009749</v>
      </c>
      <c r="J18" s="254">
        <f t="shared" si="11"/>
        <v>-0.4249567956215099</v>
      </c>
      <c r="K18" s="248">
        <f t="shared" si="34"/>
        <v>2.8481421489520602</v>
      </c>
      <c r="L18" s="249">
        <f t="shared" si="12"/>
        <v>-0.55778542094231121</v>
      </c>
      <c r="M18" s="250"/>
      <c r="N18" s="24">
        <v>-1</v>
      </c>
      <c r="O18" s="248">
        <f t="shared" si="35"/>
        <v>1.1845356766995607E-2</v>
      </c>
      <c r="P18" s="251">
        <f t="shared" si="36"/>
        <v>1.1845356766995607E-2</v>
      </c>
      <c r="Q18" s="248">
        <f t="shared" si="13"/>
        <v>-8.2328944289893569E-2</v>
      </c>
      <c r="R18" s="251">
        <f t="shared" si="37"/>
        <v>-8.2328944289893569E-2</v>
      </c>
      <c r="S18" s="250"/>
      <c r="T18" s="24">
        <v>-1</v>
      </c>
      <c r="U18" s="248">
        <f t="shared" si="14"/>
        <v>-0.16147711415020449</v>
      </c>
      <c r="V18" s="252">
        <f t="shared" si="15"/>
        <v>-0.16147711415020449</v>
      </c>
      <c r="W18" s="248">
        <f t="shared" si="38"/>
        <v>-2.578164169109276E-3</v>
      </c>
      <c r="X18" s="252">
        <f t="shared" si="16"/>
        <v>-2.578164169109276E-3</v>
      </c>
      <c r="Y18" s="248">
        <f t="shared" si="17"/>
        <v>0</v>
      </c>
      <c r="Z18" s="252">
        <f t="shared" si="18"/>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P18" s="28">
        <f>VLOOKUP($A18,historia!$A$5:$CM$24,+HLOOKUP(AP$2,historia!$A$3:$EC$4,2,FALSE),FALSE)</f>
        <v>3</v>
      </c>
      <c r="AQ18" s="28">
        <f>VLOOKUP($A18,historia!$A$5:$CM$24,+HLOOKUP(AQ$2,historia!$A$3:$EC$4,2,FALSE),FALSE)</f>
        <v>3</v>
      </c>
      <c r="AR18" s="28">
        <f>VLOOKUP($A18,historia!$A$5:$CM$24,+HLOOKUP(AR$2,historia!$A$3:$EC$4,2,FALSE),FALSE)</f>
        <v>4</v>
      </c>
      <c r="AS18" s="28">
        <f>VLOOKUP($A18,historia!$A$5:$CM$24,+HLOOKUP(AS$2,historia!$A$3:$EC$4,2,FALSE),FALSE)</f>
        <v>4</v>
      </c>
      <c r="AT18" s="58">
        <f>VLOOKUP($A18,historia!$A$5:$CM$24,+HLOOKUP(AT$2,historia!$A$3:$EC$4,2,FALSE),FALSE)</f>
        <v>4</v>
      </c>
      <c r="AU18" s="58">
        <f>VLOOKUP($A18,historia!$A$5:$CM$24,+HLOOKUP(AU$2,historia!$A$3:$EC$4,2,FALSE),FALSE)</f>
        <v>4</v>
      </c>
      <c r="AV18" s="58">
        <f>VLOOKUP($A18,historia!$A$5:$CM$24,+HLOOKUP(AV$2,historia!$A$3:$EC$4,2,FALSE),FALSE)</f>
        <v>4</v>
      </c>
      <c r="AW18" s="58">
        <f>VLOOKUP($A18,historia!$A$5:$CM$24,+HLOOKUP(AW$2,historia!$A$3:$EC$4,2,FALSE),FALSE)</f>
        <v>4</v>
      </c>
      <c r="AX18" s="58">
        <f>VLOOKUP($A18,historia!$A$5:$CM$24,+HLOOKUP(AX$2,historia!$A$3:$EC$4,2,FALSE),FALSE)</f>
        <v>4</v>
      </c>
      <c r="AY18" s="58">
        <f>VLOOKUP($A18,historia!$A$5:$CM$24,+HLOOKUP(AY$2,historia!$A$3:$EC$4,2,FALSE),FALSE)</f>
        <v>4</v>
      </c>
      <c r="AZ18" s="58">
        <f>VLOOKUP($A18,historia!$A$5:$CM$24,+HLOOKUP(AZ$2,historia!$A$3:$EC$4,2,FALSE),FALSE)</f>
        <v>5</v>
      </c>
      <c r="BA18" s="58">
        <f>VLOOKUP($A18,historia!$A$5:$CM$24,+HLOOKUP(BA$2,historia!$A$3:$EC$4,2,FALSE),FALSE)</f>
        <v>5</v>
      </c>
      <c r="BB18" s="30"/>
      <c r="BC18" s="141">
        <v>5</v>
      </c>
      <c r="BD18" t="str">
        <f t="shared" si="19"/>
        <v>Ovino</v>
      </c>
      <c r="BE18">
        <f>+datos!BU1</f>
        <v>73</v>
      </c>
      <c r="BF18" s="2" t="str">
        <f t="shared" si="4"/>
        <v>$/kg</v>
      </c>
      <c r="BG18" s="2">
        <f t="shared" si="4"/>
        <v>49832.4</v>
      </c>
      <c r="BH18" s="2">
        <f t="shared" si="4"/>
        <v>44789.797500000001</v>
      </c>
      <c r="BI18" s="2">
        <f t="shared" si="4"/>
        <v>15144.984</v>
      </c>
      <c r="BK18">
        <f>+datos!DI1</f>
        <v>113</v>
      </c>
      <c r="BL18" s="2">
        <f t="shared" si="20"/>
        <v>7444.7815685623991</v>
      </c>
      <c r="BM18" s="2">
        <f t="shared" si="20"/>
        <v>7134.9585141631651</v>
      </c>
      <c r="BN18" s="2">
        <f t="shared" si="20"/>
        <v>1934.6430772027973</v>
      </c>
      <c r="BP18" s="1">
        <f>+datos!EL1</f>
        <v>142</v>
      </c>
      <c r="BQ18" s="1">
        <f t="shared" si="21"/>
        <v>12609460</v>
      </c>
      <c r="BR18" s="1">
        <f t="shared" si="21"/>
        <v>12461845</v>
      </c>
      <c r="BT18" s="1">
        <f>+datos!GS1</f>
        <v>201</v>
      </c>
      <c r="BU18" s="1">
        <f t="shared" si="22"/>
        <v>34633.08</v>
      </c>
      <c r="BV18" s="1">
        <f t="shared" si="22"/>
        <v>37740.19</v>
      </c>
      <c r="BX18" s="1">
        <f>+datos!KI1</f>
        <v>295</v>
      </c>
      <c r="BY18" s="1">
        <f t="shared" si="39"/>
        <v>187.61384896999999</v>
      </c>
      <c r="BZ18" s="1">
        <f t="shared" si="40"/>
        <v>223.74326585</v>
      </c>
      <c r="CB18" s="1">
        <f>+datos!LN1</f>
        <v>326</v>
      </c>
      <c r="CC18" s="2">
        <f t="shared" si="23"/>
        <v>4.3901794500000006</v>
      </c>
      <c r="CD18" s="2">
        <f t="shared" si="24"/>
        <v>4.4015273099999987</v>
      </c>
      <c r="CF18" s="1">
        <f>+datos!JA1</f>
        <v>261</v>
      </c>
      <c r="CG18" s="1">
        <f t="shared" si="25"/>
        <v>2813</v>
      </c>
      <c r="CH18" s="1">
        <f t="shared" si="26"/>
        <v>2813</v>
      </c>
      <c r="CJ18" s="1">
        <f t="shared" si="27"/>
        <v>19.03918719</v>
      </c>
      <c r="CK18" s="1">
        <f t="shared" si="27"/>
        <v>17.774232269999999</v>
      </c>
      <c r="CL18" s="1">
        <f t="shared" si="27"/>
        <v>22.502102959999998</v>
      </c>
      <c r="CM18" s="1">
        <f t="shared" si="27"/>
        <v>22.437193859999997</v>
      </c>
      <c r="CN18" s="1">
        <f t="shared" si="27"/>
        <v>15.322430800000003</v>
      </c>
      <c r="CO18" s="1">
        <f t="shared" si="27"/>
        <v>16.644595240000001</v>
      </c>
      <c r="CP18" s="1">
        <f t="shared" si="27"/>
        <v>15.83663735</v>
      </c>
      <c r="CQ18" s="1">
        <f t="shared" si="27"/>
        <v>13.412348609999999</v>
      </c>
      <c r="CR18" s="1">
        <f t="shared" si="27"/>
        <v>9.5091132299999988</v>
      </c>
      <c r="CS18" s="1">
        <f t="shared" si="27"/>
        <v>10.49137048</v>
      </c>
      <c r="CT18" s="1">
        <f t="shared" si="27"/>
        <v>12.745889309999999</v>
      </c>
      <c r="CU18" s="1">
        <f t="shared" si="27"/>
        <v>11.898747670000001</v>
      </c>
      <c r="CV18" s="1">
        <f t="shared" si="27"/>
        <v>12.26162961</v>
      </c>
      <c r="CW18" s="1">
        <f t="shared" si="27"/>
        <v>21.704121750000002</v>
      </c>
      <c r="CX18" s="1">
        <f t="shared" si="27"/>
        <v>21.006605250000003</v>
      </c>
      <c r="CY18" s="1">
        <f t="shared" si="27"/>
        <v>22.417077500000001</v>
      </c>
      <c r="CZ18" s="1">
        <f t="shared" si="28"/>
        <v>28.978678630000001</v>
      </c>
      <c r="DA18" s="1">
        <f t="shared" si="28"/>
        <v>14.681416690000001</v>
      </c>
      <c r="DB18" s="1">
        <f t="shared" si="28"/>
        <v>20.44206312</v>
      </c>
      <c r="DC18" s="1">
        <f t="shared" si="28"/>
        <v>19.069193389999999</v>
      </c>
      <c r="DD18" s="1">
        <f t="shared" si="28"/>
        <v>11.15247257</v>
      </c>
      <c r="DE18" s="1">
        <f t="shared" si="28"/>
        <v>14.78060634</v>
      </c>
      <c r="DF18" s="1">
        <f t="shared" si="28"/>
        <v>17.39120926</v>
      </c>
      <c r="DG18" s="1">
        <f t="shared" si="28"/>
        <v>19.858191740000002</v>
      </c>
      <c r="DI18" s="1">
        <f t="shared" si="29"/>
        <v>0.24821200999999998</v>
      </c>
      <c r="DJ18" s="1">
        <f t="shared" si="29"/>
        <v>0.13589592</v>
      </c>
      <c r="DK18" s="1">
        <f t="shared" si="29"/>
        <v>0.23010199000000001</v>
      </c>
      <c r="DL18" s="1">
        <f t="shared" si="29"/>
        <v>4.8750000000000002E-2</v>
      </c>
      <c r="DM18" s="1">
        <f t="shared" si="29"/>
        <v>0.31075020000000003</v>
      </c>
      <c r="DN18" s="1">
        <f t="shared" si="29"/>
        <v>0.90541722000000002</v>
      </c>
      <c r="DO18" s="1">
        <f t="shared" si="29"/>
        <v>0.34283965</v>
      </c>
      <c r="DP18" s="1">
        <f t="shared" si="29"/>
        <v>0.74167351000000015</v>
      </c>
      <c r="DQ18" s="1">
        <f t="shared" si="29"/>
        <v>0.58632921999999998</v>
      </c>
      <c r="DR18" s="1">
        <f t="shared" si="29"/>
        <v>0.29250390000000004</v>
      </c>
      <c r="DS18" s="1">
        <f t="shared" si="29"/>
        <v>0.46645720000000002</v>
      </c>
      <c r="DT18" s="1">
        <f t="shared" si="29"/>
        <v>8.1248630000000002E-2</v>
      </c>
      <c r="DU18" s="1">
        <f t="shared" si="29"/>
        <v>0.16069122999999999</v>
      </c>
      <c r="DV18" s="1">
        <f t="shared" si="29"/>
        <v>0.12834936</v>
      </c>
      <c r="DW18" s="1">
        <f t="shared" si="29"/>
        <v>0.21283820000000001</v>
      </c>
      <c r="DX18" s="1">
        <f t="shared" si="29"/>
        <v>0.28431688999999999</v>
      </c>
      <c r="DY18" s="1">
        <f t="shared" si="30"/>
        <v>0.27087241000000001</v>
      </c>
      <c r="DZ18" s="1">
        <f t="shared" si="30"/>
        <v>0.85465582000000007</v>
      </c>
      <c r="EA18" s="1">
        <f t="shared" si="30"/>
        <v>0.86735239999999991</v>
      </c>
      <c r="EB18" s="1">
        <f t="shared" si="30"/>
        <v>0.68639446999999998</v>
      </c>
      <c r="EC18" s="1">
        <f t="shared" si="30"/>
        <v>0.51198889000000003</v>
      </c>
      <c r="ED18" s="1">
        <f t="shared" si="30"/>
        <v>0.25118170000000001</v>
      </c>
      <c r="EE18" s="1">
        <f t="shared" si="30"/>
        <v>0.17288594000000002</v>
      </c>
      <c r="EF18" s="1">
        <f t="shared" si="30"/>
        <v>0</v>
      </c>
      <c r="EH18" s="14">
        <f t="shared" si="31"/>
        <v>2813</v>
      </c>
      <c r="EI18" s="14">
        <f t="shared" si="31"/>
        <v>2813</v>
      </c>
      <c r="EJ18" s="1">
        <f t="shared" si="31"/>
        <v>2813</v>
      </c>
      <c r="EK18" s="1">
        <f t="shared" si="31"/>
        <v>2813</v>
      </c>
      <c r="EL18" s="1">
        <f t="shared" si="31"/>
        <v>2813</v>
      </c>
      <c r="EM18" s="1">
        <f t="shared" si="31"/>
        <v>2813</v>
      </c>
      <c r="EN18" s="1">
        <f t="shared" si="31"/>
        <v>2813</v>
      </c>
      <c r="EO18" s="1">
        <f t="shared" si="31"/>
        <v>2813</v>
      </c>
      <c r="EP18" s="1">
        <f t="shared" si="31"/>
        <v>2813</v>
      </c>
      <c r="EQ18" s="1">
        <f t="shared" si="31"/>
        <v>2813</v>
      </c>
      <c r="ER18" s="1">
        <f t="shared" si="31"/>
        <v>2813</v>
      </c>
      <c r="ES18" s="1">
        <f t="shared" si="31"/>
        <v>2813</v>
      </c>
      <c r="ET18" s="1">
        <f t="shared" si="31"/>
        <v>2813</v>
      </c>
      <c r="EU18" s="1">
        <f t="shared" si="31"/>
        <v>2813</v>
      </c>
      <c r="EV18" s="1">
        <f t="shared" si="31"/>
        <v>2813</v>
      </c>
      <c r="EW18" s="1">
        <f t="shared" si="31"/>
        <v>2813</v>
      </c>
      <c r="EX18" s="1">
        <f t="shared" si="32"/>
        <v>2813</v>
      </c>
      <c r="EY18" s="1">
        <f t="shared" si="32"/>
        <v>2813</v>
      </c>
      <c r="EZ18" s="1">
        <f t="shared" si="32"/>
        <v>2813</v>
      </c>
      <c r="FA18" s="1">
        <f t="shared" si="32"/>
        <v>2813</v>
      </c>
      <c r="FB18" s="1">
        <f t="shared" si="32"/>
        <v>2813</v>
      </c>
      <c r="FC18" s="1">
        <f t="shared" si="32"/>
        <v>2813</v>
      </c>
      <c r="FD18" s="1">
        <f t="shared" si="32"/>
        <v>2813</v>
      </c>
      <c r="FE18" s="1">
        <f t="shared" si="32"/>
        <v>2813</v>
      </c>
      <c r="FG18" s="162">
        <f t="shared" si="33"/>
        <v>-0.55778542094231121</v>
      </c>
    </row>
    <row r="19" spans="1:163" ht="18.75" customHeight="1">
      <c r="A19" s="244" t="s">
        <v>66</v>
      </c>
      <c r="B19" s="247"/>
      <c r="C19" s="228">
        <f t="shared" si="5"/>
        <v>-0.33</v>
      </c>
      <c r="D19" s="229">
        <v>-1</v>
      </c>
      <c r="E19" s="253">
        <f t="shared" si="6"/>
        <v>0.10337838255377796</v>
      </c>
      <c r="F19" s="254">
        <f t="shared" si="7"/>
        <v>5.7610112006412306E-2</v>
      </c>
      <c r="G19" s="253">
        <f t="shared" si="8"/>
        <v>1.6089788918860481E-2</v>
      </c>
      <c r="H19" s="254">
        <f t="shared" si="9"/>
        <v>8.7288593634917477E-2</v>
      </c>
      <c r="I19" s="253">
        <f t="shared" si="10"/>
        <v>1.2717266661249109</v>
      </c>
      <c r="J19" s="254">
        <f t="shared" si="11"/>
        <v>-1.443586857506348</v>
      </c>
      <c r="K19" s="253">
        <f t="shared" si="34"/>
        <v>2.1875563971478131</v>
      </c>
      <c r="L19" s="254">
        <f t="shared" si="12"/>
        <v>-0.91582973102290222</v>
      </c>
      <c r="M19" s="255"/>
      <c r="N19" s="256">
        <v>0</v>
      </c>
      <c r="O19" s="253">
        <f t="shared" si="35"/>
        <v>6.5265283642371941E-2</v>
      </c>
      <c r="P19" s="257">
        <f t="shared" si="36"/>
        <v>6.5265283642371941E-2</v>
      </c>
      <c r="Q19" s="253">
        <f t="shared" si="13"/>
        <v>-0.10753859789340392</v>
      </c>
      <c r="R19" s="257">
        <v>-0.01</v>
      </c>
      <c r="S19" s="255"/>
      <c r="T19" s="256">
        <v>0</v>
      </c>
      <c r="U19" s="253">
        <f t="shared" si="14"/>
        <v>9.7990405271681347E-2</v>
      </c>
      <c r="V19" s="258">
        <f t="shared" si="15"/>
        <v>9.7990405271681347E-2</v>
      </c>
      <c r="W19" s="253">
        <f t="shared" si="38"/>
        <v>1.3385927916865383</v>
      </c>
      <c r="X19" s="258">
        <f t="shared" si="16"/>
        <v>1.3385927916865383</v>
      </c>
      <c r="Y19" s="253">
        <f t="shared" si="17"/>
        <v>0</v>
      </c>
      <c r="Z19" s="258">
        <f t="shared" si="18"/>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P19" s="28">
        <f>VLOOKUP($A19,historia!$A$5:$CM$24,+HLOOKUP(AP$2,historia!$A$3:$EC$4,2,FALSE),FALSE)</f>
        <v>4</v>
      </c>
      <c r="AQ19" s="28">
        <f>VLOOKUP($A19,historia!$A$5:$CM$24,+HLOOKUP(AQ$2,historia!$A$3:$EC$4,2,FALSE),FALSE)</f>
        <v>4</v>
      </c>
      <c r="AR19" s="28">
        <f>VLOOKUP($A19,historia!$A$5:$CM$24,+HLOOKUP(AR$2,historia!$A$3:$EC$4,2,FALSE),FALSE)</f>
        <v>4</v>
      </c>
      <c r="AS19" s="28">
        <f>VLOOKUP($A19,historia!$A$5:$CM$24,+HLOOKUP(AS$2,historia!$A$3:$EC$4,2,FALSE),FALSE)</f>
        <v>3</v>
      </c>
      <c r="AT19" s="58">
        <f>VLOOKUP($A19,historia!$A$5:$CM$24,+HLOOKUP(AT$2,historia!$A$3:$EC$4,2,FALSE),FALSE)</f>
        <v>3</v>
      </c>
      <c r="AU19" s="58">
        <f>VLOOKUP($A19,historia!$A$5:$CM$24,+HLOOKUP(AU$2,historia!$A$3:$EC$4,2,FALSE),FALSE)</f>
        <v>3</v>
      </c>
      <c r="AV19" s="58">
        <f>VLOOKUP($A19,historia!$A$5:$CM$24,+HLOOKUP(AV$2,historia!$A$3:$EC$4,2,FALSE),FALSE)</f>
        <v>4</v>
      </c>
      <c r="AW19" s="58">
        <f>VLOOKUP($A19,historia!$A$5:$CM$24,+HLOOKUP(AW$2,historia!$A$3:$EC$4,2,FALSE),FALSE)</f>
        <v>3</v>
      </c>
      <c r="AX19" s="58">
        <f>VLOOKUP($A19,historia!$A$5:$CM$24,+HLOOKUP(AX$2,historia!$A$3:$EC$4,2,FALSE),FALSE)</f>
        <v>4</v>
      </c>
      <c r="AY19" s="58">
        <f>VLOOKUP($A19,historia!$A$5:$CM$24,+HLOOKUP(AY$2,historia!$A$3:$EC$4,2,FALSE),FALSE)</f>
        <v>4</v>
      </c>
      <c r="AZ19" s="58">
        <f>VLOOKUP($A19,historia!$A$5:$CM$24,+HLOOKUP(AZ$2,historia!$A$3:$EC$4,2,FALSE),FALSE)</f>
        <v>4</v>
      </c>
      <c r="BA19" s="58">
        <f>VLOOKUP($A19,historia!$A$5:$CM$24,+HLOOKUP(BA$2,historia!$A$3:$EC$4,2,FALSE),FALSE)</f>
        <v>4</v>
      </c>
      <c r="BB19" s="30"/>
      <c r="BC19" s="141">
        <v>4</v>
      </c>
      <c r="BD19" t="str">
        <f t="shared" si="19"/>
        <v>Papa</v>
      </c>
      <c r="BE19">
        <f>+datos!AV1</f>
        <v>48</v>
      </c>
      <c r="BF19" s="2" t="str">
        <f t="shared" si="4"/>
        <v>$/bolsa 20kg</v>
      </c>
      <c r="BG19" s="2">
        <f t="shared" si="4"/>
        <v>7119.2982456140353</v>
      </c>
      <c r="BH19" s="2">
        <f t="shared" si="4"/>
        <v>6452.272727272727</v>
      </c>
      <c r="BI19" s="2">
        <f t="shared" si="4"/>
        <v>3133.8709677419356</v>
      </c>
      <c r="BK19">
        <f>+datos!CI1</f>
        <v>87</v>
      </c>
      <c r="BL19" s="2">
        <f t="shared" si="20"/>
        <v>8349.9929086673983</v>
      </c>
      <c r="BM19" s="2">
        <f t="shared" si="20"/>
        <v>8217.7707125193683</v>
      </c>
      <c r="BN19" s="2">
        <f t="shared" si="20"/>
        <v>2619.5592699595436</v>
      </c>
      <c r="BP19" s="1">
        <f>+datos!EZ1</f>
        <v>156</v>
      </c>
      <c r="BQ19" s="1">
        <f t="shared" si="21"/>
        <v>34815</v>
      </c>
      <c r="BR19" s="1">
        <f t="shared" si="21"/>
        <v>32682</v>
      </c>
      <c r="BT19" s="1">
        <f>+datos!GT1</f>
        <v>202</v>
      </c>
      <c r="BU19" s="1">
        <f t="shared" si="22"/>
        <v>2111561</v>
      </c>
      <c r="BV19" s="1">
        <f t="shared" si="22"/>
        <v>2365997</v>
      </c>
      <c r="BX19" s="1">
        <f>+datos!JO1</f>
        <v>275</v>
      </c>
      <c r="BY19" s="1">
        <f t="shared" si="39"/>
        <v>337.45941730000004</v>
      </c>
      <c r="BZ19" s="1">
        <f t="shared" si="40"/>
        <v>307.34277429000002</v>
      </c>
      <c r="CB19" s="1">
        <f>+datos!KT1</f>
        <v>306</v>
      </c>
      <c r="CC19" s="2">
        <f t="shared" si="23"/>
        <v>21.174450949999994</v>
      </c>
      <c r="CD19" s="2">
        <f t="shared" si="24"/>
        <v>9.0543556899999995</v>
      </c>
      <c r="CF19" s="1">
        <f>+datos!JB1</f>
        <v>262</v>
      </c>
      <c r="CG19" s="1">
        <f t="shared" si="25"/>
        <v>35.950000000000003</v>
      </c>
      <c r="CH19" s="1">
        <f t="shared" si="26"/>
        <v>35.950000000000003</v>
      </c>
      <c r="CJ19" s="1">
        <f t="shared" si="27"/>
        <v>30.986019150000001</v>
      </c>
      <c r="CK19" s="1">
        <f t="shared" si="27"/>
        <v>34.45773063</v>
      </c>
      <c r="CL19" s="1">
        <f t="shared" si="27"/>
        <v>33.675059580000003</v>
      </c>
      <c r="CM19" s="1">
        <f t="shared" si="27"/>
        <v>28.924508010000004</v>
      </c>
      <c r="CN19" s="1">
        <f t="shared" si="27"/>
        <v>27.954086790000002</v>
      </c>
      <c r="CO19" s="1">
        <f t="shared" si="27"/>
        <v>24.143815810000007</v>
      </c>
      <c r="CP19" s="1">
        <f t="shared" si="27"/>
        <v>26.000694290000002</v>
      </c>
      <c r="CQ19" s="1">
        <f t="shared" si="27"/>
        <v>22.013274209999999</v>
      </c>
      <c r="CR19" s="1">
        <f t="shared" si="27"/>
        <v>23.44114875</v>
      </c>
      <c r="CS19" s="1">
        <f t="shared" si="27"/>
        <v>29.35689408</v>
      </c>
      <c r="CT19" s="1">
        <f t="shared" si="27"/>
        <v>26.11967611</v>
      </c>
      <c r="CU19" s="1">
        <f t="shared" si="27"/>
        <v>30.386509889999999</v>
      </c>
      <c r="CV19" s="1">
        <f t="shared" si="27"/>
        <v>26.2743097</v>
      </c>
      <c r="CW19" s="1">
        <f t="shared" si="27"/>
        <v>30.80704394</v>
      </c>
      <c r="CX19" s="1">
        <f t="shared" si="27"/>
        <v>27.637267510000001</v>
      </c>
      <c r="CY19" s="1">
        <f t="shared" si="27"/>
        <v>30.470799569999997</v>
      </c>
      <c r="CZ19" s="1">
        <f t="shared" si="28"/>
        <v>25.884569989999999</v>
      </c>
      <c r="DA19" s="1">
        <f t="shared" si="28"/>
        <v>21.159077390000004</v>
      </c>
      <c r="DB19" s="1">
        <f t="shared" si="28"/>
        <v>21.056863770000003</v>
      </c>
      <c r="DC19" s="1">
        <f t="shared" si="28"/>
        <v>16.985680380000005</v>
      </c>
      <c r="DD19" s="1">
        <f t="shared" si="28"/>
        <v>25.68249277</v>
      </c>
      <c r="DE19" s="1">
        <f t="shared" si="28"/>
        <v>25.561633730000004</v>
      </c>
      <c r="DF19" s="1">
        <f t="shared" si="28"/>
        <v>29.175893349999999</v>
      </c>
      <c r="DG19" s="1">
        <f t="shared" si="28"/>
        <v>26.64714219</v>
      </c>
      <c r="DI19" s="1">
        <f t="shared" si="29"/>
        <v>1.8725515799999999</v>
      </c>
      <c r="DJ19" s="1">
        <f t="shared" si="29"/>
        <v>1.9938344900000002</v>
      </c>
      <c r="DK19" s="1">
        <f t="shared" si="29"/>
        <v>1.4070700599999999</v>
      </c>
      <c r="DL19" s="1">
        <f t="shared" si="29"/>
        <v>0.5838748800000001</v>
      </c>
      <c r="DM19" s="1">
        <f t="shared" si="29"/>
        <v>1.6300787399999999</v>
      </c>
      <c r="DN19" s="1">
        <f t="shared" si="29"/>
        <v>1.5496506000000003</v>
      </c>
      <c r="DO19" s="1">
        <f t="shared" si="29"/>
        <v>2.1384397699999997</v>
      </c>
      <c r="DP19" s="1">
        <f t="shared" si="29"/>
        <v>2.7337765599999999</v>
      </c>
      <c r="DQ19" s="1">
        <f t="shared" si="29"/>
        <v>1.0171737099999998</v>
      </c>
      <c r="DR19" s="1">
        <f t="shared" si="29"/>
        <v>1.9864389700000002</v>
      </c>
      <c r="DS19" s="1">
        <f t="shared" si="29"/>
        <v>2.8868213899999997</v>
      </c>
      <c r="DT19" s="1">
        <f t="shared" si="29"/>
        <v>1.3747401999999997</v>
      </c>
      <c r="DU19" s="1">
        <f t="shared" si="29"/>
        <v>1.6364950999999999</v>
      </c>
      <c r="DV19" s="1">
        <f t="shared" si="29"/>
        <v>1.1348675200000002</v>
      </c>
      <c r="DW19" s="1">
        <f t="shared" si="29"/>
        <v>0.73241972</v>
      </c>
      <c r="DX19" s="1">
        <f t="shared" si="29"/>
        <v>1.2023484900000001</v>
      </c>
      <c r="DY19" s="1">
        <f t="shared" si="30"/>
        <v>0.41620179000000002</v>
      </c>
      <c r="DZ19" s="1">
        <f t="shared" si="30"/>
        <v>1.03402496</v>
      </c>
      <c r="EA19" s="1">
        <f t="shared" si="30"/>
        <v>2.8427559999999998E-2</v>
      </c>
      <c r="EB19" s="1">
        <f t="shared" si="30"/>
        <v>1.0036533000000001</v>
      </c>
      <c r="EC19" s="1">
        <f t="shared" si="30"/>
        <v>0.19325807</v>
      </c>
      <c r="ED19" s="1">
        <f t="shared" si="30"/>
        <v>0.52785406000000001</v>
      </c>
      <c r="EE19" s="1">
        <f t="shared" si="30"/>
        <v>0.66552862999999995</v>
      </c>
      <c r="EF19" s="1">
        <f t="shared" si="30"/>
        <v>0.47927648999999994</v>
      </c>
      <c r="EH19" s="14">
        <f t="shared" si="31"/>
        <v>35.950000000000003</v>
      </c>
      <c r="EI19" s="14">
        <f t="shared" si="31"/>
        <v>35.950000000000003</v>
      </c>
      <c r="EJ19" s="1">
        <f t="shared" si="31"/>
        <v>35.950000000000003</v>
      </c>
      <c r="EK19" s="1">
        <f t="shared" si="31"/>
        <v>35.950000000000003</v>
      </c>
      <c r="EL19" s="1">
        <f t="shared" si="31"/>
        <v>35.950000000000003</v>
      </c>
      <c r="EM19" s="1">
        <f t="shared" si="31"/>
        <v>35.950000000000003</v>
      </c>
      <c r="EN19" s="1">
        <f t="shared" si="31"/>
        <v>35.950000000000003</v>
      </c>
      <c r="EO19" s="1">
        <f t="shared" si="31"/>
        <v>35.950000000000003</v>
      </c>
      <c r="EP19" s="1">
        <f t="shared" si="31"/>
        <v>35.950000000000003</v>
      </c>
      <c r="EQ19" s="1">
        <f t="shared" si="31"/>
        <v>35.950000000000003</v>
      </c>
      <c r="ER19" s="1">
        <f t="shared" si="31"/>
        <v>35.950000000000003</v>
      </c>
      <c r="ES19" s="1">
        <f t="shared" si="31"/>
        <v>35.950000000000003</v>
      </c>
      <c r="ET19" s="1">
        <f t="shared" si="31"/>
        <v>35.950000000000003</v>
      </c>
      <c r="EU19" s="1">
        <f t="shared" si="31"/>
        <v>35.950000000000003</v>
      </c>
      <c r="EV19" s="1">
        <f t="shared" si="31"/>
        <v>35.950000000000003</v>
      </c>
      <c r="EW19" s="1">
        <f t="shared" si="31"/>
        <v>35.950000000000003</v>
      </c>
      <c r="EX19" s="1">
        <f t="shared" si="32"/>
        <v>35.950000000000003</v>
      </c>
      <c r="EY19" s="1">
        <f t="shared" si="32"/>
        <v>35.950000000000003</v>
      </c>
      <c r="EZ19" s="1">
        <f t="shared" si="32"/>
        <v>40.33</v>
      </c>
      <c r="FA19" s="1">
        <f t="shared" si="32"/>
        <v>40.33</v>
      </c>
      <c r="FB19" s="1">
        <f t="shared" si="32"/>
        <v>40.33</v>
      </c>
      <c r="FC19" s="1">
        <f t="shared" si="32"/>
        <v>40.33</v>
      </c>
      <c r="FD19" s="1">
        <f t="shared" si="32"/>
        <v>40.33</v>
      </c>
      <c r="FE19" s="1">
        <f t="shared" si="32"/>
        <v>40.33</v>
      </c>
      <c r="FG19" s="162">
        <f t="shared" si="33"/>
        <v>-0.91582973102290222</v>
      </c>
    </row>
    <row r="20" spans="1:163" ht="18.75" customHeight="1">
      <c r="A20" s="264" t="s">
        <v>218</v>
      </c>
      <c r="B20" s="246"/>
      <c r="C20" s="156">
        <f t="shared" si="5"/>
        <v>-0.33</v>
      </c>
      <c r="D20" s="198">
        <v>-1</v>
      </c>
      <c r="E20" s="248">
        <f t="shared" si="6"/>
        <v>-1.4507797830521363E-2</v>
      </c>
      <c r="F20" s="249">
        <f t="shared" si="7"/>
        <v>-6.0276068377887015E-2</v>
      </c>
      <c r="G20" s="248">
        <f t="shared" si="8"/>
        <v>1.4966576745496729E-2</v>
      </c>
      <c r="H20" s="249">
        <f t="shared" si="9"/>
        <v>-2.9474374576018092E-2</v>
      </c>
      <c r="I20" s="248">
        <f t="shared" si="10"/>
        <v>3.060672738405021</v>
      </c>
      <c r="J20" s="249">
        <f t="shared" si="11"/>
        <v>0.34535921477376208</v>
      </c>
      <c r="K20" s="248">
        <f t="shared" si="34"/>
        <v>2.7073769578754003</v>
      </c>
      <c r="L20" s="249">
        <f t="shared" si="12"/>
        <v>0.35329578052962063</v>
      </c>
      <c r="M20" s="250"/>
      <c r="N20" s="24">
        <v>-1</v>
      </c>
      <c r="O20" s="248">
        <f t="shared" si="35"/>
        <v>-2.3211675087845274E-2</v>
      </c>
      <c r="P20" s="251">
        <f t="shared" si="36"/>
        <v>-2.3211675087845274E-2</v>
      </c>
      <c r="Q20" s="248">
        <f t="shared" si="13"/>
        <v>-5.8545708127298091E-2</v>
      </c>
      <c r="R20" s="251">
        <f t="shared" si="37"/>
        <v>-5.8545708127298091E-2</v>
      </c>
      <c r="S20" s="250"/>
      <c r="T20" s="24">
        <v>1</v>
      </c>
      <c r="U20" s="248">
        <f t="shared" si="14"/>
        <v>0.24399133161322162</v>
      </c>
      <c r="V20" s="252">
        <f t="shared" si="15"/>
        <v>0.24399133161322162</v>
      </c>
      <c r="W20" s="248">
        <f t="shared" si="38"/>
        <v>-0.39617981899230614</v>
      </c>
      <c r="X20" s="252">
        <f t="shared" si="16"/>
        <v>-0.39617981899230614</v>
      </c>
      <c r="Y20" s="248" t="str">
        <f t="shared" si="17"/>
        <v/>
      </c>
      <c r="Z20" s="252" t="str">
        <f t="shared" si="18"/>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P20" s="28">
        <f>VLOOKUP($A20,historia!$A$5:$CM$24,+HLOOKUP(AP$2,historia!$A$3:$EC$4,2,FALSE),FALSE)</f>
        <v>3</v>
      </c>
      <c r="AQ20" s="28">
        <f>VLOOKUP($A20,historia!$A$5:$CM$24,+HLOOKUP(AQ$2,historia!$A$3:$EC$4,2,FALSE),FALSE)</f>
        <v>3</v>
      </c>
      <c r="AR20" s="28">
        <f>VLOOKUP($A20,historia!$A$5:$CM$24,+HLOOKUP(AR$2,historia!$A$3:$EC$4,2,FALSE),FALSE)</f>
        <v>3</v>
      </c>
      <c r="AS20" s="28">
        <f>VLOOKUP($A20,historia!$A$5:$CM$24,+HLOOKUP(AS$2,historia!$A$3:$EC$4,2,FALSE),FALSE)</f>
        <v>3</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4</v>
      </c>
      <c r="AY20" s="58">
        <f>VLOOKUP($A20,historia!$A$5:$CM$24,+HLOOKUP(AY$2,historia!$A$3:$EC$4,2,FALSE),FALSE)</f>
        <v>4</v>
      </c>
      <c r="AZ20" s="58">
        <f>VLOOKUP($A20,historia!$A$5:$CM$24,+HLOOKUP(AZ$2,historia!$A$3:$EC$4,2,FALSE),FALSE)</f>
        <v>4</v>
      </c>
      <c r="BA20" s="58">
        <f>VLOOKUP($A20,historia!$A$5:$CM$24,+HLOOKUP(BA$2,historia!$A$3:$EC$4,2,FALSE),FALSE)</f>
        <v>4</v>
      </c>
      <c r="BB20" s="30"/>
      <c r="BC20" s="141">
        <v>4</v>
      </c>
      <c r="BD20" t="str">
        <f t="shared" si="19"/>
        <v>Peras y Manzanas</v>
      </c>
      <c r="BE20">
        <f>+datos!AP1</f>
        <v>42</v>
      </c>
      <c r="BF20" s="2" t="str">
        <f t="shared" si="4"/>
        <v>$/caja 18kg</v>
      </c>
      <c r="BG20" s="2">
        <f t="shared" si="4"/>
        <v>13264.1875</v>
      </c>
      <c r="BH20" s="2">
        <f t="shared" si="4"/>
        <v>13459.454545454546</v>
      </c>
      <c r="BI20" s="2">
        <f t="shared" si="4"/>
        <v>3266.5</v>
      </c>
      <c r="BK20">
        <f>+datos!CS1</f>
        <v>97</v>
      </c>
      <c r="BL20" s="2">
        <f t="shared" si="20"/>
        <v>7653.2829469188782</v>
      </c>
      <c r="BM20" s="2">
        <f t="shared" si="20"/>
        <v>7540.4285444149573</v>
      </c>
      <c r="BN20" s="2">
        <f t="shared" si="20"/>
        <v>2064.3390283422304</v>
      </c>
      <c r="BP20" s="1">
        <f>+datos!FC1</f>
        <v>159</v>
      </c>
      <c r="BQ20" s="1">
        <f t="shared" si="21"/>
        <v>38084</v>
      </c>
      <c r="BR20" s="1">
        <f t="shared" si="21"/>
        <v>38989</v>
      </c>
      <c r="BT20" s="1">
        <f>+datos!GW1</f>
        <v>205</v>
      </c>
      <c r="BU20" s="1">
        <f t="shared" si="22"/>
        <v>742525</v>
      </c>
      <c r="BV20" s="1">
        <f t="shared" si="22"/>
        <v>788700</v>
      </c>
      <c r="BX20" s="1">
        <f>+datos!LS1</f>
        <v>331</v>
      </c>
      <c r="BY20" s="1">
        <f t="shared" si="39"/>
        <v>394.95253494000002</v>
      </c>
      <c r="BZ20" s="1">
        <f t="shared" si="40"/>
        <v>317.48817287000003</v>
      </c>
      <c r="CB20" s="1">
        <f>+datos!LW1</f>
        <v>335</v>
      </c>
      <c r="CC20" s="2">
        <f t="shared" si="23"/>
        <v>4.5160227000000006</v>
      </c>
      <c r="CD20" s="2">
        <f t="shared" si="24"/>
        <v>7.4790853999999998</v>
      </c>
      <c r="CF20" s="1">
        <f>+datos!JC1</f>
        <v>263</v>
      </c>
      <c r="CG20" s="1">
        <f t="shared" si="25"/>
        <v>0</v>
      </c>
      <c r="CH20" s="1">
        <f t="shared" si="26"/>
        <v>0</v>
      </c>
      <c r="CJ20" s="1">
        <f t="shared" si="27"/>
        <v>46.662709379999995</v>
      </c>
      <c r="CK20" s="1">
        <f t="shared" si="27"/>
        <v>45.302769560000002</v>
      </c>
      <c r="CL20" s="1">
        <f t="shared" si="27"/>
        <v>46.856289650000001</v>
      </c>
      <c r="CM20" s="1">
        <f t="shared" si="27"/>
        <v>60.076282149999997</v>
      </c>
      <c r="CN20" s="1">
        <f t="shared" si="27"/>
        <v>42.744570039999999</v>
      </c>
      <c r="CO20" s="1">
        <f t="shared" si="27"/>
        <v>11.509203560000001</v>
      </c>
      <c r="CP20" s="1">
        <f t="shared" si="27"/>
        <v>11.753879789999999</v>
      </c>
      <c r="CQ20" s="1">
        <f t="shared" si="27"/>
        <v>15.619426270000002</v>
      </c>
      <c r="CR20" s="1">
        <f t="shared" si="27"/>
        <v>16.880359240000001</v>
      </c>
      <c r="CS20" s="1">
        <f t="shared" si="27"/>
        <v>24.204094699999999</v>
      </c>
      <c r="CT20" s="1">
        <f t="shared" si="27"/>
        <v>25.300599699999999</v>
      </c>
      <c r="CU20" s="1">
        <f t="shared" si="27"/>
        <v>48.042350899999995</v>
      </c>
      <c r="CV20" s="1">
        <f t="shared" si="27"/>
        <v>30.317151650000003</v>
      </c>
      <c r="CW20" s="1">
        <f t="shared" si="27"/>
        <v>39.830023670000003</v>
      </c>
      <c r="CX20" s="1">
        <f t="shared" si="27"/>
        <v>48.212206680000008</v>
      </c>
      <c r="CY20" s="1">
        <f t="shared" si="27"/>
        <v>46.755406350000001</v>
      </c>
      <c r="CZ20" s="1">
        <f t="shared" si="28"/>
        <v>37.276974840000001</v>
      </c>
      <c r="DA20" s="1">
        <f t="shared" si="28"/>
        <v>11.80910873</v>
      </c>
      <c r="DB20" s="1">
        <f t="shared" si="28"/>
        <v>12.88181872</v>
      </c>
      <c r="DC20" s="1">
        <f t="shared" si="28"/>
        <v>18.209359989999999</v>
      </c>
      <c r="DD20" s="1">
        <f t="shared" si="28"/>
        <v>17.588783669999998</v>
      </c>
      <c r="DE20" s="1">
        <f t="shared" si="28"/>
        <v>19.204431939999999</v>
      </c>
      <c r="DF20" s="1">
        <f t="shared" si="28"/>
        <v>18.586597920000003</v>
      </c>
      <c r="DG20" s="1">
        <f t="shared" si="28"/>
        <v>16.816308710000001</v>
      </c>
      <c r="DI20" s="1">
        <f t="shared" si="29"/>
        <v>0.37362660000000003</v>
      </c>
      <c r="DJ20" s="1">
        <f t="shared" si="29"/>
        <v>0.32288670000000003</v>
      </c>
      <c r="DK20" s="1">
        <f t="shared" si="29"/>
        <v>0.29487440000000004</v>
      </c>
      <c r="DL20" s="1">
        <f t="shared" si="29"/>
        <v>7.78142E-2</v>
      </c>
      <c r="DM20" s="1">
        <f t="shared" si="29"/>
        <v>0.12479459999999999</v>
      </c>
      <c r="DN20" s="1">
        <f t="shared" si="29"/>
        <v>8.4911199999999992E-2</v>
      </c>
      <c r="DO20" s="1">
        <f t="shared" si="29"/>
        <v>0.22142464000000001</v>
      </c>
      <c r="DP20" s="1">
        <f t="shared" si="29"/>
        <v>1.01853964</v>
      </c>
      <c r="DQ20" s="1">
        <f t="shared" si="29"/>
        <v>0.30728509999999998</v>
      </c>
      <c r="DR20" s="1">
        <f t="shared" si="29"/>
        <v>0.37410640000000001</v>
      </c>
      <c r="DS20" s="1">
        <f t="shared" si="29"/>
        <v>0.35746821000000001</v>
      </c>
      <c r="DT20" s="1">
        <f t="shared" si="29"/>
        <v>0.95829101000000005</v>
      </c>
      <c r="DU20" s="1">
        <f t="shared" si="29"/>
        <v>0.34636184000000003</v>
      </c>
      <c r="DV20" s="1">
        <f t="shared" si="29"/>
        <v>1.2547095300000002</v>
      </c>
      <c r="DW20" s="1">
        <f t="shared" si="29"/>
        <v>1.273682</v>
      </c>
      <c r="DX20" s="1">
        <f t="shared" si="29"/>
        <v>0.92279571000000005</v>
      </c>
      <c r="DY20" s="1">
        <f t="shared" si="30"/>
        <v>0.55930298000000001</v>
      </c>
      <c r="DZ20" s="1">
        <f t="shared" si="30"/>
        <v>0.23405334</v>
      </c>
      <c r="EA20" s="1">
        <f t="shared" si="30"/>
        <v>2.5551390000000004E-2</v>
      </c>
      <c r="EB20" s="1">
        <f t="shared" si="30"/>
        <v>0.44126778</v>
      </c>
      <c r="EC20" s="1">
        <f t="shared" si="30"/>
        <v>0.57571571999999993</v>
      </c>
      <c r="ED20" s="1">
        <f t="shared" si="30"/>
        <v>0.55222305999999999</v>
      </c>
      <c r="EE20" s="1">
        <f t="shared" si="30"/>
        <v>0.72330915000000007</v>
      </c>
      <c r="EF20" s="1">
        <f t="shared" si="30"/>
        <v>0.57011290000000003</v>
      </c>
      <c r="EH20" s="14">
        <f t="shared" si="31"/>
        <v>0</v>
      </c>
      <c r="EI20" s="14">
        <f t="shared" si="31"/>
        <v>0</v>
      </c>
      <c r="EJ20" s="1">
        <f t="shared" si="31"/>
        <v>0</v>
      </c>
      <c r="EK20" s="1">
        <f t="shared" si="31"/>
        <v>0</v>
      </c>
      <c r="EL20" s="1">
        <f t="shared" si="31"/>
        <v>0</v>
      </c>
      <c r="EM20" s="1">
        <f t="shared" si="31"/>
        <v>0</v>
      </c>
      <c r="EN20" s="1">
        <f t="shared" si="31"/>
        <v>0</v>
      </c>
      <c r="EO20" s="1">
        <f t="shared" si="31"/>
        <v>0</v>
      </c>
      <c r="EP20" s="1">
        <f t="shared" si="31"/>
        <v>0</v>
      </c>
      <c r="EQ20" s="1">
        <f t="shared" si="31"/>
        <v>0</v>
      </c>
      <c r="ER20" s="1">
        <f t="shared" si="31"/>
        <v>0</v>
      </c>
      <c r="ES20" s="1">
        <f t="shared" si="31"/>
        <v>0</v>
      </c>
      <c r="ET20" s="1">
        <f t="shared" si="31"/>
        <v>0</v>
      </c>
      <c r="EU20" s="1">
        <f t="shared" si="31"/>
        <v>0</v>
      </c>
      <c r="EV20" s="1">
        <f t="shared" si="31"/>
        <v>0</v>
      </c>
      <c r="EW20" s="1">
        <f t="shared" si="31"/>
        <v>0</v>
      </c>
      <c r="EX20" s="1">
        <f t="shared" si="32"/>
        <v>0</v>
      </c>
      <c r="EY20" s="1">
        <f t="shared" si="32"/>
        <v>0</v>
      </c>
      <c r="EZ20" s="1">
        <f t="shared" si="32"/>
        <v>0</v>
      </c>
      <c r="FA20" s="1">
        <f t="shared" si="32"/>
        <v>0</v>
      </c>
      <c r="FB20" s="1">
        <f t="shared" si="32"/>
        <v>0</v>
      </c>
      <c r="FC20" s="1">
        <f t="shared" si="32"/>
        <v>0</v>
      </c>
      <c r="FD20" s="1">
        <f t="shared" si="32"/>
        <v>0</v>
      </c>
      <c r="FE20" s="1">
        <f t="shared" si="32"/>
        <v>0</v>
      </c>
      <c r="FG20" s="162">
        <f t="shared" si="33"/>
        <v>0.35329578052962063</v>
      </c>
    </row>
    <row r="21" spans="1:163" ht="18.75" customHeight="1">
      <c r="A21" s="244" t="s">
        <v>121</v>
      </c>
      <c r="B21" s="247"/>
      <c r="C21" s="228">
        <f t="shared" si="5"/>
        <v>0</v>
      </c>
      <c r="D21" s="229">
        <v>-1</v>
      </c>
      <c r="E21" s="253">
        <f t="shared" si="6"/>
        <v>-3.5800938157114492E-3</v>
      </c>
      <c r="F21" s="254">
        <f t="shared" si="7"/>
        <v>-4.9348364363077102E-2</v>
      </c>
      <c r="G21" s="253">
        <f t="shared" si="8"/>
        <v>1.8284349107132725E-2</v>
      </c>
      <c r="H21" s="254">
        <f t="shared" si="9"/>
        <v>-2.1864442922844174E-2</v>
      </c>
      <c r="I21" s="253">
        <f t="shared" si="10"/>
        <v>1.7578457268209697</v>
      </c>
      <c r="J21" s="254">
        <f t="shared" si="11"/>
        <v>-0.95746779681028915</v>
      </c>
      <c r="K21" s="253">
        <f t="shared" si="34"/>
        <v>2.4302148538679331</v>
      </c>
      <c r="L21" s="254">
        <f t="shared" si="12"/>
        <v>-0.67236912704696339</v>
      </c>
      <c r="M21" s="255"/>
      <c r="N21" s="256">
        <v>0</v>
      </c>
      <c r="O21" s="253">
        <f t="shared" si="35"/>
        <v>3.8695172963417956E-2</v>
      </c>
      <c r="P21" s="257">
        <f t="shared" si="36"/>
        <v>3.8695172963417956E-2</v>
      </c>
      <c r="Q21" s="253">
        <f t="shared" si="13"/>
        <v>7.0023331868448668E-2</v>
      </c>
      <c r="R21" s="257">
        <f t="shared" si="37"/>
        <v>7.0023331868448668E-2</v>
      </c>
      <c r="S21" s="255"/>
      <c r="T21" s="256">
        <v>1</v>
      </c>
      <c r="U21" s="253">
        <f t="shared" si="14"/>
        <v>5.9503190605298739E-2</v>
      </c>
      <c r="V21" s="258">
        <f t="shared" si="15"/>
        <v>5.9503190605298739E-2</v>
      </c>
      <c r="W21" s="253">
        <f t="shared" si="38"/>
        <v>-0.47602443092217361</v>
      </c>
      <c r="X21" s="258">
        <f t="shared" si="16"/>
        <v>-0.47602443092217361</v>
      </c>
      <c r="Y21" s="253">
        <f t="shared" si="17"/>
        <v>-1.7996400719856309E-3</v>
      </c>
      <c r="Z21" s="258">
        <f t="shared" si="18"/>
        <v>-1.7996400719856309E-3</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P21" s="28">
        <f>VLOOKUP($A21,historia!$A$5:$CM$24,+HLOOKUP(AP$2,historia!$A$3:$EC$4,2,FALSE),FALSE)</f>
        <v>4</v>
      </c>
      <c r="AQ21" s="28">
        <f>VLOOKUP($A21,historia!$A$5:$CM$24,+HLOOKUP(AQ$2,historia!$A$3:$EC$4,2,FALSE),FALSE)</f>
        <v>4</v>
      </c>
      <c r="AR21" s="28">
        <f>VLOOKUP($A21,historia!$A$5:$CM$24,+HLOOKUP(AR$2,historia!$A$3:$EC$4,2,FALSE),FALSE)</f>
        <v>3</v>
      </c>
      <c r="AS21" s="28">
        <f>VLOOKUP($A21,historia!$A$5:$CM$24,+HLOOKUP(AS$2,historia!$A$3:$EC$4,2,FALSE),FALSE)</f>
        <v>3</v>
      </c>
      <c r="AT21" s="58">
        <f>VLOOKUP($A21,historia!$A$5:$CM$24,+HLOOKUP(AT$2,historia!$A$3:$EC$4,2,FALSE),FALSE)</f>
        <v>3</v>
      </c>
      <c r="AU21" s="58">
        <f>VLOOKUP($A21,historia!$A$5:$CM$24,+HLOOKUP(AU$2,historia!$A$3:$EC$4,2,FALSE),FALSE)</f>
        <v>2</v>
      </c>
      <c r="AV21" s="58">
        <f>VLOOKUP($A21,historia!$A$5:$CM$24,+HLOOKUP(AV$2,historia!$A$3:$EC$4,2,FALSE),FALSE)</f>
        <v>1</v>
      </c>
      <c r="AW21" s="58">
        <f>VLOOKUP($A21,historia!$A$5:$CM$24,+HLOOKUP(AW$2,historia!$A$3:$EC$4,2,FALSE),FALSE)</f>
        <v>2</v>
      </c>
      <c r="AX21" s="58">
        <f>VLOOKUP($A21,historia!$A$5:$CM$24,+HLOOKUP(AX$2,historia!$A$3:$EC$4,2,FALSE),FALSE)</f>
        <v>4</v>
      </c>
      <c r="AY21" s="58">
        <f>VLOOKUP($A21,historia!$A$5:$CM$24,+HLOOKUP(AY$2,historia!$A$3:$EC$4,2,FALSE),FALSE)</f>
        <v>5</v>
      </c>
      <c r="AZ21" s="58">
        <f>VLOOKUP($A21,historia!$A$5:$CM$24,+HLOOKUP(AZ$2,historia!$A$3:$EC$4,2,FALSE),FALSE)</f>
        <v>3</v>
      </c>
      <c r="BA21" s="58">
        <f>VLOOKUP($A21,historia!$A$5:$CM$24,+HLOOKUP(BA$2,historia!$A$3:$EC$4,2,FALSE),FALSE)</f>
        <v>4</v>
      </c>
      <c r="BB21" s="30"/>
      <c r="BC21" s="141">
        <v>4</v>
      </c>
      <c r="BD21" t="str">
        <f t="shared" si="19"/>
        <v>Porcinos</v>
      </c>
      <c r="BE21">
        <f>+datos!BR1</f>
        <v>70</v>
      </c>
      <c r="BF21" s="2" t="str">
        <f t="shared" si="4"/>
        <v>$/kg</v>
      </c>
      <c r="BG21" s="2">
        <f t="shared" si="4"/>
        <v>924.03</v>
      </c>
      <c r="BH21" s="2">
        <f t="shared" si="4"/>
        <v>927.35</v>
      </c>
      <c r="BI21" s="2">
        <f t="shared" si="4"/>
        <v>335.05500000000001</v>
      </c>
      <c r="BK21">
        <f>+datos!DD1</f>
        <v>108</v>
      </c>
      <c r="BL21" s="2">
        <f t="shared" si="20"/>
        <v>7851.5070182262352</v>
      </c>
      <c r="BM21" s="2">
        <f t="shared" si="20"/>
        <v>7710.5250857589144</v>
      </c>
      <c r="BN21" s="2">
        <f t="shared" si="20"/>
        <v>2288.9257241052478</v>
      </c>
      <c r="BP21" s="1">
        <f>+datos!EJ1</f>
        <v>140</v>
      </c>
      <c r="BQ21" s="1">
        <f t="shared" si="21"/>
        <v>6115215</v>
      </c>
      <c r="BR21" s="1">
        <f t="shared" si="21"/>
        <v>5887401</v>
      </c>
      <c r="BT21" s="1">
        <f>+datos!HE1</f>
        <v>213</v>
      </c>
      <c r="BU21" s="1">
        <f t="shared" si="22"/>
        <v>771841</v>
      </c>
      <c r="BV21" s="1">
        <f t="shared" si="22"/>
        <v>721331</v>
      </c>
      <c r="BX21" s="1">
        <f>+datos!KJ1</f>
        <v>296</v>
      </c>
      <c r="BY21" s="1">
        <f t="shared" si="39"/>
        <v>21.012441089999999</v>
      </c>
      <c r="BZ21" s="1">
        <f t="shared" si="40"/>
        <v>19.832352820000004</v>
      </c>
      <c r="CB21" s="1">
        <f>+datos!LO1</f>
        <v>327</v>
      </c>
      <c r="CC21" s="2">
        <f t="shared" si="23"/>
        <v>36.200585589999996</v>
      </c>
      <c r="CD21" s="2">
        <f t="shared" si="24"/>
        <v>69.088308170000005</v>
      </c>
      <c r="CF21" s="1">
        <f>+datos!IO1</f>
        <v>249</v>
      </c>
      <c r="CG21" s="1">
        <f t="shared" si="25"/>
        <v>16.64</v>
      </c>
      <c r="CH21" s="1">
        <f t="shared" si="26"/>
        <v>16.670000000000002</v>
      </c>
      <c r="CJ21" s="1">
        <f t="shared" si="27"/>
        <v>2.7596131099999996</v>
      </c>
      <c r="CK21" s="1">
        <f t="shared" si="27"/>
        <v>1.9296841299999996</v>
      </c>
      <c r="CL21" s="1">
        <f t="shared" si="27"/>
        <v>2.2533318799999997</v>
      </c>
      <c r="CM21" s="1">
        <f t="shared" si="27"/>
        <v>1.55421593</v>
      </c>
      <c r="CN21" s="1">
        <f t="shared" si="27"/>
        <v>1.56892272</v>
      </c>
      <c r="CO21" s="1">
        <f t="shared" si="27"/>
        <v>1.2009935999999999</v>
      </c>
      <c r="CP21" s="1">
        <f t="shared" si="27"/>
        <v>1.5576121499999998</v>
      </c>
      <c r="CQ21" s="1">
        <f t="shared" si="27"/>
        <v>1.3743196699999998</v>
      </c>
      <c r="CR21" s="1">
        <f t="shared" si="27"/>
        <v>1.4110336399999999</v>
      </c>
      <c r="CS21" s="1">
        <f t="shared" si="27"/>
        <v>1.8830951399999996</v>
      </c>
      <c r="CT21" s="1">
        <f t="shared" si="27"/>
        <v>1.4694087300000001</v>
      </c>
      <c r="CU21" s="1">
        <f t="shared" si="27"/>
        <v>2.0502103900000002</v>
      </c>
      <c r="CV21" s="1">
        <f t="shared" si="27"/>
        <v>1.8176867299999997</v>
      </c>
      <c r="CW21" s="1">
        <f t="shared" si="27"/>
        <v>1.2719750699999999</v>
      </c>
      <c r="CX21" s="1">
        <f t="shared" si="27"/>
        <v>1.5228158499999997</v>
      </c>
      <c r="CY21" s="1">
        <f t="shared" si="27"/>
        <v>1.32254655</v>
      </c>
      <c r="CZ21" s="1">
        <f t="shared" si="28"/>
        <v>2.1116566699999999</v>
      </c>
      <c r="DA21" s="1">
        <f t="shared" si="28"/>
        <v>1.8299806799999998</v>
      </c>
      <c r="DB21" s="1">
        <f t="shared" si="28"/>
        <v>2.01275629</v>
      </c>
      <c r="DC21" s="1">
        <f t="shared" si="28"/>
        <v>1.0656519800000002</v>
      </c>
      <c r="DD21" s="1">
        <f t="shared" si="28"/>
        <v>1.9138006200000002</v>
      </c>
      <c r="DE21" s="1">
        <f t="shared" si="28"/>
        <v>1.83911538</v>
      </c>
      <c r="DF21" s="1">
        <f t="shared" si="28"/>
        <v>1.1669562900000001</v>
      </c>
      <c r="DG21" s="1">
        <f t="shared" si="28"/>
        <v>1.9574107099999998</v>
      </c>
      <c r="DI21" s="1">
        <f t="shared" si="29"/>
        <v>1.7163214500000001</v>
      </c>
      <c r="DJ21" s="1">
        <f t="shared" si="29"/>
        <v>2.7920763000000002</v>
      </c>
      <c r="DK21" s="1">
        <f t="shared" si="29"/>
        <v>3.5088459899999997</v>
      </c>
      <c r="DL21" s="1">
        <f t="shared" si="29"/>
        <v>2.2524288500000003</v>
      </c>
      <c r="DM21" s="1">
        <f t="shared" si="29"/>
        <v>5.2341166499999998</v>
      </c>
      <c r="DN21" s="1">
        <f t="shared" si="29"/>
        <v>3.1162246899999997</v>
      </c>
      <c r="DO21" s="1">
        <f t="shared" si="29"/>
        <v>3.3747357299999998</v>
      </c>
      <c r="DP21" s="1">
        <f t="shared" si="29"/>
        <v>1.8536983500000002</v>
      </c>
      <c r="DQ21" s="1">
        <f t="shared" si="29"/>
        <v>2.01592043</v>
      </c>
      <c r="DR21" s="1">
        <f t="shared" si="29"/>
        <v>3.3244473500000002</v>
      </c>
      <c r="DS21" s="1">
        <f t="shared" si="29"/>
        <v>2.84758625</v>
      </c>
      <c r="DT21" s="1">
        <f t="shared" si="29"/>
        <v>4.1641835499999997</v>
      </c>
      <c r="DU21" s="1">
        <f t="shared" si="29"/>
        <v>4.5685913500000002</v>
      </c>
      <c r="DV21" s="1">
        <f t="shared" si="29"/>
        <v>6.3615663699999985</v>
      </c>
      <c r="DW21" s="1">
        <f t="shared" si="29"/>
        <v>5.5541627499999997</v>
      </c>
      <c r="DX21" s="1">
        <f t="shared" ref="DX21:EF24" si="41">+VLOOKUP(DX$1,ran_dat,$CB21,FALSE)</f>
        <v>6.8596205599999998</v>
      </c>
      <c r="DY21" s="1">
        <f t="shared" si="41"/>
        <v>4.6739966500000012</v>
      </c>
      <c r="DZ21" s="1">
        <f t="shared" si="41"/>
        <v>7.6286560299999993</v>
      </c>
      <c r="EA21" s="1">
        <f t="shared" si="41"/>
        <v>3.658397E-2</v>
      </c>
      <c r="EB21" s="1">
        <f t="shared" si="41"/>
        <v>7.2061905900000003</v>
      </c>
      <c r="EC21" s="1">
        <f t="shared" si="41"/>
        <v>7.3381374299999997</v>
      </c>
      <c r="ED21" s="1">
        <f t="shared" si="41"/>
        <v>7.276038279999999</v>
      </c>
      <c r="EE21" s="1">
        <f t="shared" si="41"/>
        <v>4.9460771399999999</v>
      </c>
      <c r="EF21" s="1">
        <f t="shared" si="41"/>
        <v>6.6386870500000015</v>
      </c>
      <c r="EH21" s="14">
        <f t="shared" si="31"/>
        <v>16.64</v>
      </c>
      <c r="EI21" s="14">
        <f t="shared" si="31"/>
        <v>16.68</v>
      </c>
      <c r="EJ21" s="1">
        <f t="shared" si="31"/>
        <v>16.62</v>
      </c>
      <c r="EK21" s="1">
        <f t="shared" si="31"/>
        <v>16.5</v>
      </c>
      <c r="EL21" s="1">
        <f t="shared" si="31"/>
        <v>16.64</v>
      </c>
      <c r="EM21" s="1">
        <f t="shared" si="31"/>
        <v>16.68</v>
      </c>
      <c r="EN21" s="1">
        <f t="shared" si="31"/>
        <v>16.72</v>
      </c>
      <c r="EO21" s="1">
        <f t="shared" si="31"/>
        <v>16.75</v>
      </c>
      <c r="EP21" s="1">
        <f t="shared" si="31"/>
        <v>16.760000000000002</v>
      </c>
      <c r="EQ21" s="1">
        <f t="shared" si="31"/>
        <v>16.71</v>
      </c>
      <c r="ER21" s="1">
        <f t="shared" si="31"/>
        <v>16.68</v>
      </c>
      <c r="ES21" s="1">
        <f t="shared" si="31"/>
        <v>16.670000000000002</v>
      </c>
      <c r="ET21" s="1">
        <f t="shared" si="31"/>
        <v>16.670000000000002</v>
      </c>
      <c r="EU21" s="1">
        <f t="shared" si="31"/>
        <v>16.72</v>
      </c>
      <c r="EV21" s="1">
        <f t="shared" si="31"/>
        <v>16.77</v>
      </c>
      <c r="EW21" s="1">
        <f t="shared" ref="EW21:FE24" si="42">+VLOOKUP(EW$1,ran_dat,$CF21,FALSE)</f>
        <v>16.88</v>
      </c>
      <c r="EX21" s="1">
        <f t="shared" si="42"/>
        <v>16.93</v>
      </c>
      <c r="EY21" s="1">
        <f t="shared" si="42"/>
        <v>16.97</v>
      </c>
      <c r="EZ21" s="1">
        <f t="shared" si="42"/>
        <v>16.760000000000002</v>
      </c>
      <c r="FA21" s="1">
        <f t="shared" si="42"/>
        <v>16.89</v>
      </c>
      <c r="FB21" s="1">
        <f t="shared" si="42"/>
        <v>16.920000000000002</v>
      </c>
      <c r="FC21" s="1">
        <f t="shared" si="42"/>
        <v>16.899999999999999</v>
      </c>
      <c r="FD21" s="1">
        <f t="shared" si="42"/>
        <v>16.84</v>
      </c>
      <c r="FE21" s="1">
        <f t="shared" si="42"/>
        <v>16.75</v>
      </c>
      <c r="FG21" s="162">
        <f t="shared" si="33"/>
        <v>-0.67236912704696339</v>
      </c>
    </row>
    <row r="22" spans="1:163" ht="18.75" customHeight="1">
      <c r="A22" s="243" t="s">
        <v>75</v>
      </c>
      <c r="B22" s="246"/>
      <c r="C22" s="156">
        <f t="shared" si="5"/>
        <v>0.66</v>
      </c>
      <c r="D22" s="198">
        <v>1</v>
      </c>
      <c r="E22" s="248">
        <f t="shared" si="6"/>
        <v>0</v>
      </c>
      <c r="F22" s="249">
        <f t="shared" si="7"/>
        <v>-4.5768270547365653E-2</v>
      </c>
      <c r="G22" s="248">
        <f t="shared" si="8"/>
        <v>2.9636354615837357E-2</v>
      </c>
      <c r="H22" s="249">
        <f t="shared" si="9"/>
        <v>-2.9636354615837357E-2</v>
      </c>
      <c r="I22" s="248">
        <f t="shared" si="10"/>
        <v>3.7743358507950244</v>
      </c>
      <c r="J22" s="249">
        <f t="shared" si="11"/>
        <v>1.0590223271637655</v>
      </c>
      <c r="K22" s="248">
        <f t="shared" si="34"/>
        <v>2.8950367102703072</v>
      </c>
      <c r="L22" s="249">
        <f t="shared" si="12"/>
        <v>0.87929914052471725</v>
      </c>
      <c r="M22" s="250"/>
      <c r="N22" s="24">
        <v>0</v>
      </c>
      <c r="O22" s="248">
        <f t="shared" si="35"/>
        <v>0</v>
      </c>
      <c r="P22" s="251">
        <f t="shared" si="36"/>
        <v>0</v>
      </c>
      <c r="Q22" s="248">
        <f t="shared" si="13"/>
        <v>-7.0102125429331252E-2</v>
      </c>
      <c r="R22" s="251">
        <f t="shared" si="37"/>
        <v>-7.0102125429331252E-2</v>
      </c>
      <c r="S22" s="250"/>
      <c r="T22" s="24">
        <v>1</v>
      </c>
      <c r="U22" s="248">
        <f t="shared" si="14"/>
        <v>-0.20556206116486864</v>
      </c>
      <c r="V22" s="252">
        <f t="shared" si="15"/>
        <v>-0.20556206116486864</v>
      </c>
      <c r="W22" s="248">
        <f t="shared" si="38"/>
        <v>0.10074220357057229</v>
      </c>
      <c r="X22" s="252">
        <f t="shared" si="16"/>
        <v>0.10074220357057229</v>
      </c>
      <c r="Y22" s="248" t="str">
        <f t="shared" si="17"/>
        <v/>
      </c>
      <c r="Z22" s="252" t="str">
        <f t="shared" si="18"/>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P22" s="28">
        <f>VLOOKUP($A22,historia!$A$5:$CM$24,+HLOOKUP(AP$2,historia!$A$3:$EC$4,2,FALSE),FALSE)</f>
        <v>4</v>
      </c>
      <c r="AQ22" s="28">
        <f>VLOOKUP($A22,historia!$A$5:$CM$24,+HLOOKUP(AQ$2,historia!$A$3:$EC$4,2,FALSE),FALSE)</f>
        <v>4</v>
      </c>
      <c r="AR22" s="28">
        <f>VLOOKUP($A22,historia!$A$5:$CM$24,+HLOOKUP(AR$2,historia!$A$3:$EC$4,2,FALSE),FALSE)</f>
        <v>4</v>
      </c>
      <c r="AS22" s="28">
        <f>VLOOKUP($A22,historia!$A$5:$CM$24,+HLOOKUP(AS$2,historia!$A$3:$EC$4,2,FALSE),FALSE)</f>
        <v>4</v>
      </c>
      <c r="AT22" s="58">
        <f>VLOOKUP($A22,historia!$A$5:$CM$24,+HLOOKUP(AT$2,historia!$A$3:$EC$4,2,FALSE),FALSE)</f>
        <v>4</v>
      </c>
      <c r="AU22" s="58">
        <f>VLOOKUP($A22,historia!$A$5:$CM$24,+HLOOKUP(AU$2,historia!$A$3:$EC$4,2,FALSE),FALSE)</f>
        <v>3</v>
      </c>
      <c r="AV22" s="58">
        <f>VLOOKUP($A22,historia!$A$5:$CM$24,+HLOOKUP(AV$2,historia!$A$3:$EC$4,2,FALSE),FALSE)</f>
        <v>3</v>
      </c>
      <c r="AW22" s="58">
        <f>VLOOKUP($A22,historia!$A$5:$CM$24,+HLOOKUP(AW$2,historia!$A$3:$EC$4,2,FALSE),FALSE)</f>
        <v>3</v>
      </c>
      <c r="AX22" s="58">
        <f>VLOOKUP($A22,historia!$A$5:$CM$24,+HLOOKUP(AX$2,historia!$A$3:$EC$4,2,FALSE),FALSE)</f>
        <v>4</v>
      </c>
      <c r="AY22" s="58">
        <f>VLOOKUP($A22,historia!$A$5:$CM$24,+HLOOKUP(AY$2,historia!$A$3:$EC$4,2,FALSE),FALSE)</f>
        <v>4</v>
      </c>
      <c r="AZ22" s="58">
        <f>VLOOKUP($A22,historia!$A$5:$CM$24,+HLOOKUP(AZ$2,historia!$A$3:$EC$4,2,FALSE),FALSE)</f>
        <v>3</v>
      </c>
      <c r="BA22" s="58">
        <f>VLOOKUP($A22,historia!$A$5:$CM$24,+HLOOKUP(BA$2,historia!$A$3:$EC$4,2,FALSE),FALSE)</f>
        <v>2</v>
      </c>
      <c r="BB22" s="30"/>
      <c r="BC22" s="141">
        <v>2</v>
      </c>
      <c r="BD22" t="str">
        <f t="shared" si="19"/>
        <v>Tabaco</v>
      </c>
      <c r="BE22">
        <f>+datos!BJ1</f>
        <v>62</v>
      </c>
      <c r="BF22" s="2" t="str">
        <f t="shared" si="4"/>
        <v>$/kg</v>
      </c>
      <c r="BG22" s="2">
        <f t="shared" si="4"/>
        <v>3420</v>
      </c>
      <c r="BH22" s="2">
        <f t="shared" si="4"/>
        <v>3420</v>
      </c>
      <c r="BI22" s="2">
        <f t="shared" si="4"/>
        <v>716.33</v>
      </c>
      <c r="BK22">
        <f>+datos!DA1</f>
        <v>105</v>
      </c>
      <c r="BL22" s="2">
        <f t="shared" si="20"/>
        <v>7715.3010831384281</v>
      </c>
      <c r="BM22" s="2">
        <f t="shared" si="20"/>
        <v>7493.229088649503</v>
      </c>
      <c r="BN22" s="2">
        <f t="shared" si="20"/>
        <v>1980.8031751780338</v>
      </c>
      <c r="BP22" s="1">
        <f>+datos!FD1</f>
        <v>160</v>
      </c>
      <c r="BQ22" s="1">
        <f t="shared" si="21"/>
        <v>54743</v>
      </c>
      <c r="BR22" s="1">
        <f t="shared" si="21"/>
        <v>54743</v>
      </c>
      <c r="BT22" s="1">
        <f>+datos!GX1</f>
        <v>206</v>
      </c>
      <c r="BU22" s="1">
        <f t="shared" si="22"/>
        <v>30804.553</v>
      </c>
      <c r="BV22" s="1">
        <f t="shared" si="22"/>
        <v>33126.813000000002</v>
      </c>
      <c r="BX22" s="1">
        <f>+datos!KC1</f>
        <v>289</v>
      </c>
      <c r="BY22" s="1">
        <f t="shared" si="39"/>
        <v>509.35502829999996</v>
      </c>
      <c r="BZ22" s="1">
        <f t="shared" si="40"/>
        <v>641.15143977999992</v>
      </c>
      <c r="CB22" s="1">
        <f>+datos!LH1</f>
        <v>320</v>
      </c>
      <c r="CC22" s="2">
        <f t="shared" si="23"/>
        <v>61.510000050000002</v>
      </c>
      <c r="CD22" s="2">
        <f t="shared" si="24"/>
        <v>55.880477599999999</v>
      </c>
      <c r="CF22" s="1">
        <f>+datos!JD1</f>
        <v>264</v>
      </c>
      <c r="CG22" s="1">
        <f t="shared" si="25"/>
        <v>0</v>
      </c>
      <c r="CH22" s="1">
        <f t="shared" si="26"/>
        <v>0</v>
      </c>
      <c r="CJ22" s="1">
        <f t="shared" ref="CJ22:CY24" si="43">+VLOOKUP(CJ$1,ran_dat,$BX22,FALSE)</f>
        <v>58.671597329999997</v>
      </c>
      <c r="CK22" s="1">
        <f t="shared" si="43"/>
        <v>31.625168280000004</v>
      </c>
      <c r="CL22" s="1">
        <f t="shared" si="43"/>
        <v>17.697801470000002</v>
      </c>
      <c r="CM22" s="1">
        <f t="shared" si="43"/>
        <v>30.191481329999998</v>
      </c>
      <c r="CN22" s="1">
        <f t="shared" si="43"/>
        <v>36.249269399999989</v>
      </c>
      <c r="CO22" s="1">
        <f t="shared" si="43"/>
        <v>40.108989959999995</v>
      </c>
      <c r="CP22" s="1">
        <f t="shared" si="43"/>
        <v>56.890802439999995</v>
      </c>
      <c r="CQ22" s="1">
        <f t="shared" si="43"/>
        <v>36.8257318</v>
      </c>
      <c r="CR22" s="1">
        <f t="shared" si="43"/>
        <v>51.381121719999996</v>
      </c>
      <c r="CS22" s="1">
        <f t="shared" si="43"/>
        <v>33.051481680000002</v>
      </c>
      <c r="CT22" s="1">
        <f t="shared" si="43"/>
        <v>60.888504160000004</v>
      </c>
      <c r="CU22" s="1">
        <f t="shared" si="43"/>
        <v>55.773078730000002</v>
      </c>
      <c r="CV22" s="1">
        <f t="shared" si="43"/>
        <v>34.825160650000001</v>
      </c>
      <c r="CW22" s="1">
        <f t="shared" si="43"/>
        <v>19.014000799999998</v>
      </c>
      <c r="CX22" s="1">
        <f t="shared" si="43"/>
        <v>13.328405800000001</v>
      </c>
      <c r="CY22" s="1">
        <f t="shared" si="43"/>
        <v>41.736807310000003</v>
      </c>
      <c r="CZ22" s="1">
        <f t="shared" ref="CZ22:DG24" si="44">+VLOOKUP(CZ$1,ran_dat,$BX22,FALSE)</f>
        <v>99.771490689999993</v>
      </c>
      <c r="DA22" s="1">
        <f t="shared" si="44"/>
        <v>36.311671529999998</v>
      </c>
      <c r="DB22" s="1">
        <f t="shared" si="44"/>
        <v>57.64022373000001</v>
      </c>
      <c r="DC22" s="1">
        <f t="shared" si="44"/>
        <v>136.09986096</v>
      </c>
      <c r="DD22" s="1">
        <f t="shared" si="44"/>
        <v>67.887772890000008</v>
      </c>
      <c r="DE22" s="1">
        <f t="shared" si="44"/>
        <v>57.086864629999994</v>
      </c>
      <c r="DF22" s="1">
        <f t="shared" si="44"/>
        <v>50.373202669999998</v>
      </c>
      <c r="DG22" s="1">
        <f t="shared" si="44"/>
        <v>27.075978119999998</v>
      </c>
      <c r="DI22" s="1">
        <f t="shared" ref="DI22:DX24" si="45">+VLOOKUP(DI$1,ran_dat,$CB22,FALSE)</f>
        <v>4.3331795800000004</v>
      </c>
      <c r="DJ22" s="1">
        <f t="shared" si="45"/>
        <v>5.5991701699999998</v>
      </c>
      <c r="DK22" s="1">
        <f t="shared" si="45"/>
        <v>5.1284923700000009</v>
      </c>
      <c r="DL22" s="1">
        <f t="shared" si="45"/>
        <v>4.8853449399999995</v>
      </c>
      <c r="DM22" s="1">
        <f t="shared" si="45"/>
        <v>4.5019780499999991</v>
      </c>
      <c r="DN22" s="1">
        <f t="shared" si="45"/>
        <v>3.2870284000000001</v>
      </c>
      <c r="DO22" s="1">
        <f t="shared" si="45"/>
        <v>2.2553329799999999</v>
      </c>
      <c r="DP22" s="1">
        <f t="shared" si="45"/>
        <v>4.9563280900000004</v>
      </c>
      <c r="DQ22" s="1">
        <f t="shared" si="45"/>
        <v>5.4312745199999997</v>
      </c>
      <c r="DR22" s="1">
        <f t="shared" si="45"/>
        <v>5.9427570699999999</v>
      </c>
      <c r="DS22" s="1">
        <f t="shared" si="45"/>
        <v>7.0989514199999997</v>
      </c>
      <c r="DT22" s="1">
        <f t="shared" si="45"/>
        <v>8.0901624599999984</v>
      </c>
      <c r="DU22" s="1">
        <f t="shared" si="45"/>
        <v>8.5152603000000013</v>
      </c>
      <c r="DV22" s="1">
        <f t="shared" si="45"/>
        <v>6.4262316399999984</v>
      </c>
      <c r="DW22" s="1">
        <f t="shared" si="45"/>
        <v>5.5724239500000001</v>
      </c>
      <c r="DX22" s="1">
        <f t="shared" si="45"/>
        <v>6.0969073500000004</v>
      </c>
      <c r="DY22" s="1">
        <f t="shared" si="41"/>
        <v>3.8674547000000001</v>
      </c>
      <c r="DZ22" s="1">
        <f t="shared" si="41"/>
        <v>3.6075394200000002</v>
      </c>
      <c r="EA22" s="1">
        <f t="shared" si="41"/>
        <v>4.0127527599999997</v>
      </c>
      <c r="EB22" s="1">
        <f t="shared" si="41"/>
        <v>4.23429112</v>
      </c>
      <c r="EC22" s="1">
        <f t="shared" si="41"/>
        <v>0</v>
      </c>
      <c r="ED22" s="1">
        <f t="shared" si="41"/>
        <v>4.5847165599999995</v>
      </c>
      <c r="EE22" s="1">
        <f t="shared" si="41"/>
        <v>5.2497219499999996</v>
      </c>
      <c r="EF22" s="1">
        <f t="shared" si="41"/>
        <v>3.7131778499999992</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3"/>
        <v>0.87929914052471725</v>
      </c>
    </row>
    <row r="23" spans="1:163" ht="18.75" customHeight="1">
      <c r="A23" s="244" t="s">
        <v>219</v>
      </c>
      <c r="B23" s="247"/>
      <c r="C23" s="228">
        <f t="shared" si="5"/>
        <v>-1.32</v>
      </c>
      <c r="D23" s="229">
        <v>-1</v>
      </c>
      <c r="E23" s="253">
        <f t="shared" si="6"/>
        <v>9.3865929892042121E-2</v>
      </c>
      <c r="F23" s="254">
        <f t="shared" si="7"/>
        <v>4.8097659344676469E-2</v>
      </c>
      <c r="G23" s="253">
        <f t="shared" si="8"/>
        <v>3.1125681966493346E-2</v>
      </c>
      <c r="H23" s="254">
        <f t="shared" si="9"/>
        <v>6.2740247925548775E-2</v>
      </c>
      <c r="I23" s="253">
        <f t="shared" si="10"/>
        <v>1.6381952480564146</v>
      </c>
      <c r="J23" s="254">
        <f t="shared" si="11"/>
        <v>-1.0771182755748443</v>
      </c>
      <c r="K23" s="253">
        <f t="shared" si="34"/>
        <v>2.3834152858208597</v>
      </c>
      <c r="L23" s="254">
        <f t="shared" si="12"/>
        <v>-0.74522003776444512</v>
      </c>
      <c r="M23" s="255"/>
      <c r="N23" s="256">
        <v>-2</v>
      </c>
      <c r="O23" s="253">
        <f t="shared" si="35"/>
        <v>-2.3925173422115087E-2</v>
      </c>
      <c r="P23" s="257">
        <f t="shared" si="36"/>
        <v>-2.3925173422115087E-2</v>
      </c>
      <c r="Q23" s="253">
        <f t="shared" si="13"/>
        <v>0.31859999476400835</v>
      </c>
      <c r="R23" s="257">
        <f t="shared" si="37"/>
        <v>0.31859999476400835</v>
      </c>
      <c r="S23" s="255"/>
      <c r="T23" s="256">
        <v>-1</v>
      </c>
      <c r="U23" s="253">
        <f t="shared" si="14"/>
        <v>-8.9668686332596947E-2</v>
      </c>
      <c r="V23" s="258">
        <f t="shared" si="15"/>
        <v>-8.9668686332596947E-2</v>
      </c>
      <c r="W23" s="253">
        <f t="shared" si="38"/>
        <v>-0.28481542970020868</v>
      </c>
      <c r="X23" s="258">
        <f t="shared" si="16"/>
        <v>-0.28481542970020868</v>
      </c>
      <c r="Y23" s="253">
        <f t="shared" si="17"/>
        <v>-2.39520958083832E-2</v>
      </c>
      <c r="Z23" s="258">
        <f t="shared" si="18"/>
        <v>-2.39520958083832E-2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5</v>
      </c>
      <c r="AX23" s="58">
        <f>VLOOKUP($A23,historia!$A$5:$CM$24,+HLOOKUP(AX$2,historia!$A$3:$EC$4,2,FALSE),FALSE)</f>
        <v>5</v>
      </c>
      <c r="AY23" s="58">
        <f>VLOOKUP($A23,historia!$A$5:$CM$24,+HLOOKUP(AY$2,historia!$A$3:$EC$4,2,FALSE),FALSE)</f>
        <v>5</v>
      </c>
      <c r="AZ23" s="58">
        <f>VLOOKUP($A23,historia!$A$5:$CM$24,+HLOOKUP(AZ$2,historia!$A$3:$EC$4,2,FALSE),FALSE)</f>
        <v>5</v>
      </c>
      <c r="BA23" s="58">
        <f>VLOOKUP($A23,historia!$A$5:$CM$24,+HLOOKUP(BA$2,historia!$A$3:$EC$4,2,FALSE),FALSE)</f>
        <v>5</v>
      </c>
      <c r="BB23" s="30"/>
      <c r="BC23" s="141">
        <v>5</v>
      </c>
      <c r="BD23" t="str">
        <f t="shared" si="19"/>
        <v>Vino y Mosto</v>
      </c>
      <c r="BE23">
        <f>+datos!AM1</f>
        <v>39</v>
      </c>
      <c r="BF23" s="2" t="str">
        <f t="shared" si="4"/>
        <v>$/l</v>
      </c>
      <c r="BG23" s="2">
        <f t="shared" si="4"/>
        <v>363.4468</v>
      </c>
      <c r="BH23" s="2">
        <f t="shared" si="4"/>
        <v>332.25899999999996</v>
      </c>
      <c r="BI23" s="2">
        <f t="shared" si="4"/>
        <v>137.76342</v>
      </c>
      <c r="BK23">
        <f>+datos!CP1</f>
        <v>94</v>
      </c>
      <c r="BL23" s="2">
        <f t="shared" si="20"/>
        <v>9135.4726722071573</v>
      </c>
      <c r="BM23" s="2">
        <f t="shared" si="20"/>
        <v>8859.708212081965</v>
      </c>
      <c r="BN23" s="2">
        <f t="shared" si="20"/>
        <v>2700.0743037639777</v>
      </c>
      <c r="BP23" s="1">
        <f>+datos!EF1</f>
        <v>136</v>
      </c>
      <c r="BQ23" s="1">
        <f t="shared" si="21"/>
        <v>199946</v>
      </c>
      <c r="BR23" s="1">
        <f t="shared" si="21"/>
        <v>204847</v>
      </c>
      <c r="BT23" s="1">
        <f>+datos!GB1</f>
        <v>184</v>
      </c>
      <c r="BU23" s="1">
        <f t="shared" si="22"/>
        <v>19189740</v>
      </c>
      <c r="BV23" s="1">
        <f t="shared" si="22"/>
        <v>14553117</v>
      </c>
      <c r="BX23" s="1">
        <f>+datos!JU1</f>
        <v>281</v>
      </c>
      <c r="BY23" s="1">
        <f t="shared" si="39"/>
        <v>874.75004487000001</v>
      </c>
      <c r="BZ23" s="1">
        <f t="shared" si="40"/>
        <v>960.91393511000001</v>
      </c>
      <c r="CB23" s="1">
        <f>+datos!KZ1</f>
        <v>312</v>
      </c>
      <c r="CC23" s="2">
        <f t="shared" si="23"/>
        <v>12.713514030000002</v>
      </c>
      <c r="CD23" s="2">
        <f t="shared" si="24"/>
        <v>17.776549660000001</v>
      </c>
      <c r="CF23" s="1">
        <f>+datos!IQ1</f>
        <v>251</v>
      </c>
      <c r="CG23" s="1">
        <f t="shared" si="25"/>
        <v>16.3</v>
      </c>
      <c r="CH23" s="1">
        <f t="shared" si="26"/>
        <v>16.7</v>
      </c>
      <c r="CJ23" s="1">
        <f t="shared" si="43"/>
        <v>55.887516779999999</v>
      </c>
      <c r="CK23" s="1">
        <f t="shared" si="43"/>
        <v>84.428757199999993</v>
      </c>
      <c r="CL23" s="1">
        <f t="shared" si="43"/>
        <v>70.799436420000006</v>
      </c>
      <c r="CM23" s="1">
        <f t="shared" si="43"/>
        <v>83.547570889999989</v>
      </c>
      <c r="CN23" s="1">
        <f t="shared" si="43"/>
        <v>59.429446169999991</v>
      </c>
      <c r="CO23" s="1">
        <f t="shared" si="43"/>
        <v>57.397509530000008</v>
      </c>
      <c r="CP23" s="1">
        <f t="shared" si="43"/>
        <v>71.762443020000006</v>
      </c>
      <c r="CQ23" s="1">
        <f t="shared" si="43"/>
        <v>76.246675170000003</v>
      </c>
      <c r="CR23" s="1">
        <f t="shared" si="43"/>
        <v>81.396405279999982</v>
      </c>
      <c r="CS23" s="1">
        <f t="shared" si="43"/>
        <v>86.673250950000011</v>
      </c>
      <c r="CT23" s="1">
        <f t="shared" si="43"/>
        <v>67.769583350000005</v>
      </c>
      <c r="CU23" s="1">
        <f t="shared" si="43"/>
        <v>79.411450110000018</v>
      </c>
      <c r="CV23" s="1">
        <f t="shared" si="43"/>
        <v>61.526627820000002</v>
      </c>
      <c r="CW23" s="1">
        <f t="shared" si="43"/>
        <v>82.508437450000031</v>
      </c>
      <c r="CX23" s="1">
        <f t="shared" si="43"/>
        <v>73.17738731</v>
      </c>
      <c r="CY23" s="1">
        <f t="shared" si="43"/>
        <v>70.498219510000013</v>
      </c>
      <c r="CZ23" s="1">
        <f t="shared" si="44"/>
        <v>58.070113270000007</v>
      </c>
      <c r="DA23" s="1">
        <f t="shared" si="44"/>
        <v>66.649594010000001</v>
      </c>
      <c r="DB23" s="1">
        <f t="shared" si="44"/>
        <v>76.334805869999997</v>
      </c>
      <c r="DC23" s="1">
        <f t="shared" si="44"/>
        <v>77.449795309999999</v>
      </c>
      <c r="DD23" s="1">
        <f t="shared" si="44"/>
        <v>104.26238703999999</v>
      </c>
      <c r="DE23" s="1">
        <f t="shared" si="44"/>
        <v>101.4021353</v>
      </c>
      <c r="DF23" s="1">
        <f t="shared" si="44"/>
        <v>110.27898059000003</v>
      </c>
      <c r="DG23" s="1">
        <f t="shared" si="44"/>
        <v>78.75545163000001</v>
      </c>
      <c r="DI23" s="1">
        <f t="shared" si="45"/>
        <v>0.34545517000000003</v>
      </c>
      <c r="DJ23" s="1">
        <f t="shared" si="45"/>
        <v>1.3068112300000001</v>
      </c>
      <c r="DK23" s="1">
        <f t="shared" si="45"/>
        <v>1.01985657</v>
      </c>
      <c r="DL23" s="1">
        <f t="shared" si="45"/>
        <v>0.49471243999999998</v>
      </c>
      <c r="DM23" s="1">
        <f t="shared" si="45"/>
        <v>0.76659119999999992</v>
      </c>
      <c r="DN23" s="1">
        <f t="shared" si="45"/>
        <v>0.41683354000000006</v>
      </c>
      <c r="DO23" s="1">
        <f t="shared" si="45"/>
        <v>1.01193058</v>
      </c>
      <c r="DP23" s="1">
        <f t="shared" si="45"/>
        <v>1.2280305999999999</v>
      </c>
      <c r="DQ23" s="1">
        <f t="shared" si="45"/>
        <v>1.7214946800000002</v>
      </c>
      <c r="DR23" s="1">
        <f t="shared" si="45"/>
        <v>1.3147188099999998</v>
      </c>
      <c r="DS23" s="1">
        <f t="shared" si="45"/>
        <v>1.8704580099999999</v>
      </c>
      <c r="DT23" s="1">
        <f t="shared" si="45"/>
        <v>1.2166211999999998</v>
      </c>
      <c r="DU23" s="1">
        <f t="shared" si="45"/>
        <v>1.2618213600000001</v>
      </c>
      <c r="DV23" s="1">
        <f t="shared" si="45"/>
        <v>2.6711612799999997</v>
      </c>
      <c r="DW23" s="1">
        <f t="shared" si="45"/>
        <v>1.8665371000000002</v>
      </c>
      <c r="DX23" s="1">
        <f t="shared" si="45"/>
        <v>1.1160735099999999</v>
      </c>
      <c r="DY23" s="1">
        <f t="shared" si="41"/>
        <v>0.32453726999999999</v>
      </c>
      <c r="DZ23" s="1">
        <f t="shared" si="41"/>
        <v>0.12503209999999998</v>
      </c>
      <c r="EA23" s="1">
        <f t="shared" si="41"/>
        <v>0.47826376000000004</v>
      </c>
      <c r="EB23" s="1">
        <f t="shared" si="41"/>
        <v>2.89069318</v>
      </c>
      <c r="EC23" s="1">
        <f t="shared" si="41"/>
        <v>1.35471261</v>
      </c>
      <c r="ED23" s="1">
        <f t="shared" si="41"/>
        <v>2.7470526999999998</v>
      </c>
      <c r="EE23" s="1">
        <f t="shared" si="41"/>
        <v>1.8506322900000001</v>
      </c>
      <c r="EF23" s="1">
        <f t="shared" si="41"/>
        <v>1.0900325</v>
      </c>
      <c r="EH23" s="14">
        <f t="shared" si="46"/>
        <v>16.3</v>
      </c>
      <c r="EI23" s="14">
        <f t="shared" si="46"/>
        <v>16.3</v>
      </c>
      <c r="EJ23" s="1">
        <f t="shared" si="46"/>
        <v>16.3</v>
      </c>
      <c r="EK23" s="1">
        <f t="shared" si="46"/>
        <v>16.3</v>
      </c>
      <c r="EL23" s="1">
        <f t="shared" si="46"/>
        <v>16.3</v>
      </c>
      <c r="EM23" s="1">
        <f t="shared" si="46"/>
        <v>16.3</v>
      </c>
      <c r="EN23" s="1">
        <f t="shared" si="46"/>
        <v>16.7</v>
      </c>
      <c r="EO23" s="1">
        <f t="shared" si="46"/>
        <v>16.7</v>
      </c>
      <c r="EP23" s="1">
        <f t="shared" si="46"/>
        <v>16.7</v>
      </c>
      <c r="EQ23" s="1">
        <f t="shared" si="46"/>
        <v>16.7</v>
      </c>
      <c r="ER23" s="1">
        <f t="shared" si="46"/>
        <v>16.7</v>
      </c>
      <c r="ES23" s="1">
        <f t="shared" si="46"/>
        <v>16.7</v>
      </c>
      <c r="ET23" s="1">
        <f t="shared" si="46"/>
        <v>16.7</v>
      </c>
      <c r="EU23" s="1">
        <f t="shared" si="46"/>
        <v>16.7</v>
      </c>
      <c r="EV23" s="1">
        <f t="shared" si="46"/>
        <v>16.7</v>
      </c>
      <c r="EW23" s="1">
        <f t="shared" si="46"/>
        <v>16.7</v>
      </c>
      <c r="EX23" s="1">
        <f t="shared" si="42"/>
        <v>16.7</v>
      </c>
      <c r="EY23" s="1">
        <f t="shared" si="42"/>
        <v>16.7</v>
      </c>
      <c r="EZ23" s="1">
        <f t="shared" si="42"/>
        <v>18</v>
      </c>
      <c r="FA23" s="1">
        <f t="shared" si="42"/>
        <v>18</v>
      </c>
      <c r="FB23" s="1">
        <f t="shared" si="42"/>
        <v>18</v>
      </c>
      <c r="FC23" s="1">
        <f t="shared" si="42"/>
        <v>18</v>
      </c>
      <c r="FD23" s="1">
        <f t="shared" si="42"/>
        <v>18</v>
      </c>
      <c r="FE23" s="1">
        <f t="shared" si="42"/>
        <v>18</v>
      </c>
      <c r="FG23" s="162">
        <f t="shared" si="33"/>
        <v>-0.74522003776444512</v>
      </c>
    </row>
    <row r="24" spans="1:163" ht="18.75" customHeight="1">
      <c r="A24" s="243" t="s">
        <v>39</v>
      </c>
      <c r="B24" s="246"/>
      <c r="C24" s="156">
        <f t="shared" si="5"/>
        <v>-0.33</v>
      </c>
      <c r="D24" s="198">
        <v>-1</v>
      </c>
      <c r="E24" s="248">
        <f t="shared" si="6"/>
        <v>-9.0909090909090939E-2</v>
      </c>
      <c r="F24" s="249">
        <f t="shared" si="7"/>
        <v>-0.13667736145645659</v>
      </c>
      <c r="G24" s="248">
        <f t="shared" si="8"/>
        <v>2.4729352253767489E-2</v>
      </c>
      <c r="H24" s="249">
        <f t="shared" si="9"/>
        <v>-0.11563844316285843</v>
      </c>
      <c r="I24" s="248">
        <f t="shared" si="10"/>
        <v>1.6785714285714284</v>
      </c>
      <c r="J24" s="249">
        <f t="shared" si="11"/>
        <v>-1.0367420950598305</v>
      </c>
      <c r="K24" s="248">
        <f t="shared" si="34"/>
        <v>2.8518915810725014</v>
      </c>
      <c r="L24" s="249">
        <f t="shared" si="12"/>
        <v>-1.173320152501073</v>
      </c>
      <c r="M24" s="250"/>
      <c r="N24" s="24">
        <v>1</v>
      </c>
      <c r="O24" s="248">
        <f t="shared" si="35"/>
        <v>3.6432873308666736E-2</v>
      </c>
      <c r="P24" s="251">
        <f t="shared" si="36"/>
        <v>3.6432873308666736E-2</v>
      </c>
      <c r="Q24" s="248">
        <f t="shared" si="13"/>
        <v>0.13956862552960558</v>
      </c>
      <c r="R24" s="251">
        <f t="shared" si="37"/>
        <v>0.13956862552960558</v>
      </c>
      <c r="S24" s="250"/>
      <c r="T24" s="24">
        <v>-1</v>
      </c>
      <c r="U24" s="248">
        <f t="shared" si="14"/>
        <v>-4.3335155864999364E-2</v>
      </c>
      <c r="V24" s="252">
        <f t="shared" si="15"/>
        <v>-4.3335155864999364E-2</v>
      </c>
      <c r="W24" s="248">
        <f t="shared" si="38"/>
        <v>0.27981383996708731</v>
      </c>
      <c r="X24" s="258">
        <f t="shared" si="16"/>
        <v>0.27981383996708731</v>
      </c>
      <c r="Y24" s="248">
        <f t="shared" si="17"/>
        <v>-9.2922519141609095E-2</v>
      </c>
      <c r="Z24" s="252">
        <f t="shared" si="18"/>
        <v>-9.2922519141609095E-2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P24" s="28">
        <f>VLOOKUP($A24,historia!$A$5:$CM$24,+HLOOKUP(AP$2,historia!$A$3:$EC$4,2,FALSE),FALSE)</f>
        <v>2</v>
      </c>
      <c r="AQ24" s="28">
        <f>VLOOKUP($A24,historia!$A$5:$CM$24,+HLOOKUP(AQ$2,historia!$A$3:$EC$4,2,FALSE),FALSE)</f>
        <v>2</v>
      </c>
      <c r="AR24" s="28">
        <f>VLOOKUP($A24,historia!$A$5:$CM$24,+HLOOKUP(AR$2,historia!$A$3:$EC$4,2,FALSE),FALSE)</f>
        <v>2</v>
      </c>
      <c r="AS24" s="28">
        <f>VLOOKUP($A24,historia!$A$5:$CM$24,+HLOOKUP(AS$2,historia!$A$3:$EC$4,2,FALSE),FALSE)</f>
        <v>2</v>
      </c>
      <c r="AT24" s="58">
        <f>VLOOKUP($A24,historia!$A$5:$CM$24,+HLOOKUP(AT$2,historia!$A$3:$EC$4,2,FALSE),FALSE)</f>
        <v>2</v>
      </c>
      <c r="AU24" s="58">
        <f>VLOOKUP($A24,historia!$A$5:$CM$24,+HLOOKUP(AU$2,historia!$A$3:$EC$4,2,FALSE),FALSE)</f>
        <v>3</v>
      </c>
      <c r="AV24" s="58">
        <f>VLOOKUP($A24,historia!$A$5:$CM$24,+HLOOKUP(AV$2,historia!$A$3:$EC$4,2,FALSE),FALSE)</f>
        <v>2</v>
      </c>
      <c r="AW24" s="58">
        <f>VLOOKUP($A24,historia!$A$5:$CM$24,+HLOOKUP(AW$2,historia!$A$3:$EC$4,2,FALSE),FALSE)</f>
        <v>2</v>
      </c>
      <c r="AX24" s="58">
        <f>VLOOKUP($A24,historia!$A$5:$CM$24,+HLOOKUP(AX$2,historia!$A$3:$EC$4,2,FALSE),FALSE)</f>
        <v>2</v>
      </c>
      <c r="AY24" s="58">
        <f>VLOOKUP($A24,historia!$A$5:$CM$24,+HLOOKUP(AY$2,historia!$A$3:$EC$4,2,FALSE),FALSE)</f>
        <v>4</v>
      </c>
      <c r="AZ24" s="58">
        <f>VLOOKUP($A24,historia!$A$5:$CM$24,+HLOOKUP(AZ$2,historia!$A$3:$EC$4,2,FALSE),FALSE)</f>
        <v>4</v>
      </c>
      <c r="BA24" s="58">
        <f>VLOOKUP($A24,historia!$A$5:$CM$24,+HLOOKUP(BA$2,historia!$A$3:$EC$4,2,FALSE),FALSE)</f>
        <v>4</v>
      </c>
      <c r="BB24" s="30"/>
      <c r="BC24" s="141">
        <v>4</v>
      </c>
      <c r="BD24" t="str">
        <f t="shared" si="19"/>
        <v>Yerba Mate</v>
      </c>
      <c r="BE24">
        <f>+datos!AG1</f>
        <v>33</v>
      </c>
      <c r="BF24" s="2" t="str">
        <f t="shared" si="4"/>
        <v>$/t</v>
      </c>
      <c r="BG24" s="2">
        <f t="shared" si="4"/>
        <v>300000</v>
      </c>
      <c r="BH24" s="2">
        <f t="shared" si="4"/>
        <v>330000</v>
      </c>
      <c r="BI24" s="2">
        <f t="shared" si="4"/>
        <v>112000</v>
      </c>
      <c r="BK24">
        <f>+datos!CY1</f>
        <v>103</v>
      </c>
      <c r="BL24" s="2">
        <f t="shared" si="20"/>
        <v>7571.2287718516691</v>
      </c>
      <c r="BM24" s="2">
        <f t="shared" si="20"/>
        <v>7388.5155677444718</v>
      </c>
      <c r="BN24" s="2">
        <f t="shared" si="20"/>
        <v>1965.5871959261049</v>
      </c>
      <c r="BP24" s="1">
        <f>+datos!ED1</f>
        <v>134</v>
      </c>
      <c r="BQ24" s="1">
        <f t="shared" si="21"/>
        <v>230256</v>
      </c>
      <c r="BR24" s="1">
        <f t="shared" si="21"/>
        <v>222162</v>
      </c>
      <c r="BT24" s="1">
        <f>+datos!FZ1</f>
        <v>182</v>
      </c>
      <c r="BU24" s="1">
        <f t="shared" si="22"/>
        <v>950612.5</v>
      </c>
      <c r="BV24" s="1">
        <f t="shared" si="22"/>
        <v>834186.26900000009</v>
      </c>
      <c r="BX24" s="1">
        <f>+datos!KD1</f>
        <v>290</v>
      </c>
      <c r="BY24" s="1">
        <f t="shared" si="39"/>
        <v>112.85063355</v>
      </c>
      <c r="BZ24" s="1">
        <f t="shared" si="40"/>
        <v>117.96255945</v>
      </c>
      <c r="CB24" s="1">
        <f>+datos!LI1</f>
        <v>321</v>
      </c>
      <c r="CC24" s="2">
        <f t="shared" si="23"/>
        <v>23.212741789999999</v>
      </c>
      <c r="CD24" s="2">
        <f t="shared" si="24"/>
        <v>18.13759241</v>
      </c>
      <c r="CF24" s="1">
        <f>+datos!IP1</f>
        <v>250</v>
      </c>
      <c r="CG24" s="1">
        <f t="shared" si="25"/>
        <v>5.5693606783423002</v>
      </c>
      <c r="CH24" s="1">
        <f t="shared" si="26"/>
        <v>6.139895208369488</v>
      </c>
      <c r="CJ24" s="1">
        <f t="shared" si="43"/>
        <v>11.077079630000002</v>
      </c>
      <c r="CK24" s="1">
        <f t="shared" si="43"/>
        <v>7.2906957700000001</v>
      </c>
      <c r="CL24" s="1">
        <f t="shared" si="43"/>
        <v>8.852789640000001</v>
      </c>
      <c r="CM24" s="1">
        <f t="shared" si="43"/>
        <v>12.408222910000001</v>
      </c>
      <c r="CN24" s="1">
        <f t="shared" si="43"/>
        <v>8.8663402400000013</v>
      </c>
      <c r="CO24" s="1">
        <f t="shared" si="43"/>
        <v>9.2397224899999983</v>
      </c>
      <c r="CP24" s="1">
        <f t="shared" si="43"/>
        <v>7.1224329199999996</v>
      </c>
      <c r="CQ24" s="1">
        <f t="shared" si="43"/>
        <v>8.6156523299999996</v>
      </c>
      <c r="CR24" s="1">
        <f t="shared" si="43"/>
        <v>10.17972451</v>
      </c>
      <c r="CS24" s="1">
        <f t="shared" si="43"/>
        <v>11.833514059999999</v>
      </c>
      <c r="CT24" s="1">
        <f t="shared" si="43"/>
        <v>8.6649559600000003</v>
      </c>
      <c r="CU24" s="1">
        <f t="shared" si="43"/>
        <v>8.6995030900000003</v>
      </c>
      <c r="CV24" s="1">
        <f t="shared" si="43"/>
        <v>9.3876240000000006</v>
      </c>
      <c r="CW24" s="1">
        <f t="shared" si="43"/>
        <v>8.6499339499999994</v>
      </c>
      <c r="CX24" s="1">
        <f t="shared" si="43"/>
        <v>10.5511423</v>
      </c>
      <c r="CY24" s="1">
        <f t="shared" si="43"/>
        <v>12.484662230000001</v>
      </c>
      <c r="CZ24" s="1">
        <f t="shared" si="44"/>
        <v>8.9774099899999982</v>
      </c>
      <c r="DA24" s="1">
        <f t="shared" si="44"/>
        <v>3.3752363299999999</v>
      </c>
      <c r="DB24" s="1">
        <f t="shared" si="44"/>
        <v>8.5781493200000014</v>
      </c>
      <c r="DC24" s="1">
        <f t="shared" si="44"/>
        <v>11.086418249999999</v>
      </c>
      <c r="DD24" s="1">
        <f t="shared" si="44"/>
        <v>17.188054299999997</v>
      </c>
      <c r="DE24" s="1">
        <f t="shared" si="44"/>
        <v>10.47783802</v>
      </c>
      <c r="DF24" s="1">
        <f t="shared" si="44"/>
        <v>9.5575243299999997</v>
      </c>
      <c r="DG24" s="1">
        <f t="shared" si="44"/>
        <v>7.6485664300000016</v>
      </c>
      <c r="DI24" s="1">
        <f t="shared" si="45"/>
        <v>1.1554743999999999</v>
      </c>
      <c r="DJ24" s="1">
        <f t="shared" si="45"/>
        <v>1.50586095</v>
      </c>
      <c r="DK24" s="1">
        <f t="shared" si="45"/>
        <v>3.2398820599999998</v>
      </c>
      <c r="DL24" s="1">
        <f t="shared" si="45"/>
        <v>3.1775986299999999</v>
      </c>
      <c r="DM24" s="1">
        <f t="shared" si="45"/>
        <v>2.4176205400000002</v>
      </c>
      <c r="DN24" s="1">
        <f t="shared" si="45"/>
        <v>1.0621514699999999</v>
      </c>
      <c r="DO24" s="1">
        <f t="shared" si="45"/>
        <v>1.8796713600000001</v>
      </c>
      <c r="DP24" s="1">
        <f t="shared" si="45"/>
        <v>2.4189343299999999</v>
      </c>
      <c r="DQ24" s="1">
        <f t="shared" si="45"/>
        <v>2.31537419</v>
      </c>
      <c r="DR24" s="1">
        <f t="shared" si="45"/>
        <v>1.6581343500000001</v>
      </c>
      <c r="DS24" s="1">
        <f t="shared" si="45"/>
        <v>1.1317222</v>
      </c>
      <c r="DT24" s="1">
        <f t="shared" si="45"/>
        <v>1.25031731</v>
      </c>
      <c r="DU24" s="1">
        <f t="shared" si="45"/>
        <v>1.1220479999999999</v>
      </c>
      <c r="DV24" s="1">
        <f t="shared" si="45"/>
        <v>1.06290057</v>
      </c>
      <c r="DW24" s="1">
        <f t="shared" si="45"/>
        <v>0.94532128999999998</v>
      </c>
      <c r="DX24" s="1">
        <f t="shared" si="45"/>
        <v>0.74918092999999997</v>
      </c>
      <c r="DY24" s="1">
        <f t="shared" si="41"/>
        <v>0.38311624</v>
      </c>
      <c r="DZ24" s="1">
        <f t="shared" si="41"/>
        <v>0.75479300000000005</v>
      </c>
      <c r="EA24" s="1">
        <f t="shared" si="41"/>
        <v>0.25391999999999998</v>
      </c>
      <c r="EB24" s="1">
        <f t="shared" si="41"/>
        <v>0.77264063999999999</v>
      </c>
      <c r="EC24" s="1">
        <f t="shared" si="41"/>
        <v>0.73566756000000011</v>
      </c>
      <c r="ED24" s="1">
        <f t="shared" si="41"/>
        <v>2.5187011699999999</v>
      </c>
      <c r="EE24" s="1">
        <f t="shared" si="41"/>
        <v>5.4787536300000008</v>
      </c>
      <c r="EF24" s="1">
        <f t="shared" si="41"/>
        <v>3.3605493799999997</v>
      </c>
      <c r="EH24" s="14">
        <f t="shared" si="46"/>
        <v>5.5693606783423002</v>
      </c>
      <c r="EI24" s="14">
        <f t="shared" si="46"/>
        <v>5.5693606783423002</v>
      </c>
      <c r="EJ24" s="1">
        <f t="shared" si="46"/>
        <v>5.5693606783423002</v>
      </c>
      <c r="EK24" s="1">
        <f t="shared" si="46"/>
        <v>5.5693606783423002</v>
      </c>
      <c r="EL24" s="1">
        <f t="shared" si="46"/>
        <v>5.5693606783423002</v>
      </c>
      <c r="EM24" s="1">
        <f t="shared" si="46"/>
        <v>5.5693606783423002</v>
      </c>
      <c r="EN24" s="1">
        <f t="shared" si="46"/>
        <v>6.139895208369488</v>
      </c>
      <c r="EO24" s="1">
        <f t="shared" si="46"/>
        <v>6.139895208369488</v>
      </c>
      <c r="EP24" s="1">
        <f t="shared" si="46"/>
        <v>6.139895208369488</v>
      </c>
      <c r="EQ24" s="1">
        <f t="shared" si="46"/>
        <v>6.139895208369488</v>
      </c>
      <c r="ER24" s="1">
        <f t="shared" si="46"/>
        <v>6.139895208369488</v>
      </c>
      <c r="ES24" s="1">
        <f t="shared" si="46"/>
        <v>6.139895208369488</v>
      </c>
      <c r="ET24" s="1">
        <f t="shared" si="46"/>
        <v>6.139895208369488</v>
      </c>
      <c r="EU24" s="1">
        <f t="shared" si="46"/>
        <v>6.139895208369488</v>
      </c>
      <c r="EV24" s="1">
        <f t="shared" si="46"/>
        <v>6.139895208369488</v>
      </c>
      <c r="EW24" s="1">
        <f t="shared" si="46"/>
        <v>6.139895208369488</v>
      </c>
      <c r="EX24" s="1">
        <f t="shared" si="42"/>
        <v>6.139895208369488</v>
      </c>
      <c r="EY24" s="1">
        <f t="shared" si="42"/>
        <v>6.139895208369488</v>
      </c>
      <c r="EZ24" s="1">
        <f t="shared" si="42"/>
        <v>5.9356067942694777</v>
      </c>
      <c r="FA24" s="1">
        <f t="shared" si="42"/>
        <v>5.9356067942694777</v>
      </c>
      <c r="FB24" s="1">
        <f t="shared" si="42"/>
        <v>5.9356067942694777</v>
      </c>
      <c r="FC24" s="1">
        <f t="shared" si="42"/>
        <v>5.9356067942694777</v>
      </c>
      <c r="FD24" s="1">
        <f t="shared" si="42"/>
        <v>5.9356067942694777</v>
      </c>
      <c r="FE24" s="1">
        <f t="shared" si="42"/>
        <v>5.9356067942694777</v>
      </c>
      <c r="FG24" s="162">
        <f t="shared" si="33"/>
        <v>-1.173320152501073</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7"/>
        <v/>
      </c>
      <c r="Z25" s="194"/>
      <c r="AA25" s="30"/>
      <c r="AB25" s="57"/>
      <c r="AO25" s="57"/>
      <c r="AT25" s="58"/>
      <c r="AU25" s="58"/>
      <c r="AV25" s="58"/>
      <c r="AW25" s="58"/>
      <c r="AX25" s="58"/>
      <c r="AY25" s="58"/>
      <c r="AZ25" s="58"/>
      <c r="BA25" s="58"/>
      <c r="BB25" s="30"/>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E26" s="12">
        <f>+AVERAGE(E6:E24)</f>
        <v>-1.84090100393234E-3</v>
      </c>
      <c r="F26" s="37">
        <f>+E26-$I$3</f>
        <v>-2.7171544246351913</v>
      </c>
      <c r="G26" s="12">
        <f>+AVERAGE(G6:G24)</f>
        <v>1.4724847080411394E-2</v>
      </c>
      <c r="I26" s="12">
        <f>+AVERAGEIF(I6:I24,"&gt;211%")</f>
        <v>2.9495400330559711</v>
      </c>
      <c r="J26" s="37">
        <f t="shared" si="11"/>
        <v>0.23422650942471224</v>
      </c>
      <c r="K26" s="12">
        <f>+AVERAGE(K6:K24)</f>
        <v>2.5479445579326394</v>
      </c>
      <c r="O26" s="12">
        <f>+AVERAGE(O6:O24)</f>
        <v>1.9378875582550255E-2</v>
      </c>
      <c r="AB26" s="57"/>
      <c r="AO26" s="57"/>
    </row>
    <row r="27" spans="1:163" ht="18.75" customHeight="1">
      <c r="I27" s="12">
        <f>+AVERAGEIF(I6:I24,"&lt;211%")</f>
        <v>1.3094413722201097</v>
      </c>
      <c r="K27" s="177">
        <f>+SUBTOTAL(101,K6:K21)</f>
        <v>2.5175376889722805</v>
      </c>
      <c r="V27" t="s">
        <v>167</v>
      </c>
      <c r="X27" s="162"/>
      <c r="BC27" s="141" t="s">
        <v>273</v>
      </c>
      <c r="BQ27" s="1">
        <f>+SUM(BQ6:BQ24)</f>
        <v>115226699</v>
      </c>
      <c r="BR27" s="1">
        <f>+SUM(BR6:BR24)</f>
        <v>114851068</v>
      </c>
      <c r="BU27" s="1">
        <f>+SUM(BU6:BU24)</f>
        <v>162791116.07365692</v>
      </c>
      <c r="BV27" s="1">
        <f>+SUM(BV6:BV24)</f>
        <v>118522446.17533198</v>
      </c>
      <c r="BY27" s="1">
        <f>+SUM(BY6:BY24)</f>
        <v>51653.438054720005</v>
      </c>
      <c r="BZ27" s="1">
        <f>+SUM(BZ6:BZ24)</f>
        <v>57983.77958676999</v>
      </c>
      <c r="CC27" s="1">
        <f>+SUM(CC6:CC24)</f>
        <v>4380.2718352899992</v>
      </c>
      <c r="CD27" s="1">
        <f>+SUM(CD6:CD24)</f>
        <v>4784.2930465700001</v>
      </c>
      <c r="FG27" s="167">
        <f>+COUNTIF(FG6:FG24,"&gt;0")</f>
        <v>10</v>
      </c>
    </row>
    <row r="28" spans="1:163" ht="18.75" customHeight="1">
      <c r="A28" s="11">
        <f>+COUNTIF($C$6:$C$24,"&lt;0")</f>
        <v>9</v>
      </c>
      <c r="C28" s="156">
        <v>-1</v>
      </c>
      <c r="E28" s="167">
        <f>+COUNTIF($I$6:$I$24,"&lt;1,69")</f>
        <v>6</v>
      </c>
      <c r="F28" s="29">
        <v>-1</v>
      </c>
      <c r="I28" s="167">
        <f>+COUNTIF($I$6:$I$24,"&lt;1,69")</f>
        <v>6</v>
      </c>
      <c r="J28" s="29">
        <v>-1</v>
      </c>
      <c r="K28">
        <f>+COUNTIF($L$6:$L$24,"&lt;0")</f>
        <v>9</v>
      </c>
      <c r="L28" s="29">
        <v>-1</v>
      </c>
      <c r="O28">
        <f>+COUNTIF($P$6:$P$24,"&lt;0")</f>
        <v>6</v>
      </c>
      <c r="P28" s="262">
        <v>-1</v>
      </c>
      <c r="Q28">
        <f>+COUNTIF($R$6:$R$24,"&lt;0")</f>
        <v>10</v>
      </c>
      <c r="R28" s="262">
        <v>-1</v>
      </c>
      <c r="T28" s="57">
        <f>+COUNTIF($U$6:$U$24,"&lt;0")</f>
        <v>12</v>
      </c>
      <c r="U28" s="29">
        <v>-1</v>
      </c>
      <c r="BR28" t="s">
        <v>491</v>
      </c>
      <c r="BU28" s="167">
        <f>+SUMIFS(BU6:BU24,BC6:BC24,5)+SUMIFS(BU6:BU24,BC6:BC24,4)</f>
        <v>150472164.2806569</v>
      </c>
      <c r="BY28" s="10">
        <f>+BY27/BZ27-1</f>
        <v>-0.1091743514680158</v>
      </c>
      <c r="CC28" s="10">
        <f>+CC27/CD27-1</f>
        <v>-8.4447421457524596E-2</v>
      </c>
    </row>
    <row r="29" spans="1:163" ht="18.75" customHeight="1">
      <c r="A29" s="11">
        <f>+COUNTIF($C$6:$C$24,C29)</f>
        <v>7</v>
      </c>
      <c r="C29" s="156">
        <v>0</v>
      </c>
      <c r="E29" s="167">
        <f>+COUNTIF($I$6:$I$24,"=1,69")</f>
        <v>0</v>
      </c>
      <c r="F29" s="29">
        <v>0</v>
      </c>
      <c r="I29" s="167">
        <f>+COUNTIF($I$6:$I$24,"=1,69")</f>
        <v>0</v>
      </c>
      <c r="J29" s="29">
        <v>0</v>
      </c>
      <c r="L29" s="29">
        <v>0</v>
      </c>
      <c r="O29">
        <f>+COUNTIF($P$6:$P$24,"=0")</f>
        <v>3</v>
      </c>
      <c r="P29" s="262">
        <v>0</v>
      </c>
      <c r="Q29">
        <f>+COUNTIF($R$6:$R$24,"=0")</f>
        <v>1</v>
      </c>
      <c r="R29" s="262">
        <v>0</v>
      </c>
      <c r="T29" s="57">
        <f>+COUNTIF($U$6:$U$24,"=0")</f>
        <v>0</v>
      </c>
      <c r="U29" s="29">
        <v>0</v>
      </c>
      <c r="BR29" t="s">
        <v>492</v>
      </c>
      <c r="BU29" s="167">
        <f>+SUMIFS(BU6:BU24,BC6:BC24,3)</f>
        <v>8348761.2400000002</v>
      </c>
    </row>
    <row r="30" spans="1:163" ht="18.75" customHeight="1">
      <c r="A30" s="11">
        <f>+COUNTIF($C$6:$C$24,"&gt;0")</f>
        <v>3</v>
      </c>
      <c r="C30" s="156">
        <v>1</v>
      </c>
      <c r="E30" s="167">
        <f>+COUNTIF($I$6:$I$24,"&gt;1,69")</f>
        <v>13</v>
      </c>
      <c r="F30" s="29">
        <v>1</v>
      </c>
      <c r="I30" s="167">
        <f>+COUNTIF($I$6:$I$24,"&gt;1,69")</f>
        <v>13</v>
      </c>
      <c r="J30" s="29">
        <v>1</v>
      </c>
      <c r="K30">
        <f>+COUNTIF($L$6:$L$24,"&gt;0")</f>
        <v>10</v>
      </c>
      <c r="L30" s="29">
        <v>1</v>
      </c>
      <c r="O30">
        <f>+COUNTIF($P$6:$P$24,"&gt;0")</f>
        <v>9</v>
      </c>
      <c r="P30" s="262">
        <v>1</v>
      </c>
      <c r="Q30">
        <f>+COUNTIF($R$6:$R$24,"&gt;0")</f>
        <v>8</v>
      </c>
      <c r="R30" s="262">
        <v>1</v>
      </c>
      <c r="T30" s="57">
        <f>+COUNTIF($U$6:$U$24,"&gt;0")</f>
        <v>6</v>
      </c>
      <c r="U30" s="29">
        <v>1</v>
      </c>
      <c r="X30" s="14"/>
      <c r="BR30" t="s">
        <v>493</v>
      </c>
      <c r="BU30" s="167">
        <f>+SUMIFS(BU6:BU24,BC6:BC24,1)+SUMIFS(BU6:BU24,BC6:BC24,2)</f>
        <v>3970190.5529999998</v>
      </c>
      <c r="BX30" s="1"/>
    </row>
    <row r="31" spans="1:163" ht="18.75" customHeight="1">
      <c r="K31" s="12"/>
    </row>
    <row r="32" spans="1:163" ht="18.75" customHeight="1">
      <c r="C32" s="157"/>
      <c r="I32" s="14">
        <f>+COUNTIF(I6:I24,"&gt;211%")</f>
        <v>12</v>
      </c>
      <c r="J32" s="14"/>
      <c r="K32" s="14"/>
      <c r="Y32" s="163"/>
    </row>
    <row r="33" spans="1:164" ht="18.75" customHeight="1">
      <c r="C33" s="157"/>
      <c r="I33" s="12">
        <f>+I26/2</f>
        <v>1.4747700165279856</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28"/>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28"/>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28"/>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28"/>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28"/>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28"/>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28"/>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28"/>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28"/>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28"/>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6">
      <iconSet>
        <cfvo type="percent" val="0"/>
        <cfvo type="num" val="0"/>
        <cfvo type="num" val="0" gte="0"/>
      </iconSet>
    </cfRule>
  </conditionalFormatting>
  <conditionalFormatting sqref="C28:C30">
    <cfRule type="iconSet" priority="40">
      <iconSet>
        <cfvo type="percent" val="0"/>
        <cfvo type="num" val="0"/>
        <cfvo type="num" val="0" gte="0"/>
      </iconSet>
    </cfRule>
  </conditionalFormatting>
  <conditionalFormatting sqref="D6:D25">
    <cfRule type="iconSet" priority="45">
      <iconSet>
        <cfvo type="percent" val="0"/>
        <cfvo type="num" val="0"/>
        <cfvo type="num" val="0" gte="0"/>
      </iconSet>
    </cfRule>
  </conditionalFormatting>
  <conditionalFormatting sqref="F6:F16 F19:F25">
    <cfRule type="iconSet" priority="41">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F28:F30">
    <cfRule type="iconSet" priority="5">
      <iconSet>
        <cfvo type="percent" val="0"/>
        <cfvo type="num" val="0"/>
        <cfvo type="num" val="0" gte="0"/>
      </iconSet>
    </cfRule>
  </conditionalFormatting>
  <conditionalFormatting sqref="H6:H7 H9 H11:H25">
    <cfRule type="iconSet" priority="38">
      <iconSet>
        <cfvo type="percent" val="0"/>
        <cfvo type="num" val="0"/>
        <cfvo type="num" val="0" gte="0"/>
      </iconSet>
    </cfRule>
  </conditionalFormatting>
  <conditionalFormatting sqref="H8">
    <cfRule type="iconSet" priority="9">
      <iconSet>
        <cfvo type="percent" val="0"/>
        <cfvo type="num" val="0"/>
        <cfvo type="num" val="0" gte="0"/>
      </iconSet>
    </cfRule>
  </conditionalFormatting>
  <conditionalFormatting sqref="H10">
    <cfRule type="iconSet" priority="36">
      <iconSet>
        <cfvo type="percent" val="0"/>
        <cfvo type="num" val="0"/>
        <cfvo type="num" val="0" gte="0"/>
      </iconSet>
    </cfRule>
  </conditionalFormatting>
  <conditionalFormatting sqref="J6:J9 J11:J16 J19:J25">
    <cfRule type="iconSet" priority="39">
      <iconSet>
        <cfvo type="percent" val="0"/>
        <cfvo type="num" val="0"/>
        <cfvo type="num" val="0" gte="0"/>
      </iconSet>
    </cfRule>
  </conditionalFormatting>
  <conditionalFormatting sqref="J10">
    <cfRule type="iconSet" priority="37">
      <iconSet>
        <cfvo type="percent" val="0"/>
        <cfvo type="num" val="0"/>
        <cfvo type="num" val="0" gte="0"/>
      </iconSet>
    </cfRule>
  </conditionalFormatting>
  <conditionalFormatting sqref="J17">
    <cfRule type="iconSet" priority="10">
      <iconSet>
        <cfvo type="percent" val="0"/>
        <cfvo type="num" val="0"/>
        <cfvo type="num" val="0" gte="0"/>
      </iconSet>
    </cfRule>
  </conditionalFormatting>
  <conditionalFormatting sqref="J18">
    <cfRule type="iconSet" priority="2">
      <iconSet>
        <cfvo type="percent" val="0"/>
        <cfvo type="num" val="0"/>
        <cfvo type="num" val="0" gte="0"/>
      </iconSet>
    </cfRule>
  </conditionalFormatting>
  <conditionalFormatting sqref="J28:J30">
    <cfRule type="iconSet" priority="7">
      <iconSet>
        <cfvo type="percent" val="0"/>
        <cfvo type="num" val="0"/>
        <cfvo type="num" val="0" gte="0"/>
      </iconSet>
    </cfRule>
  </conditionalFormatting>
  <conditionalFormatting sqref="L6:L9 L11:L25">
    <cfRule type="iconSet" priority="47">
      <iconSet>
        <cfvo type="percent" val="0"/>
        <cfvo type="num" val="0"/>
        <cfvo type="num" val="0" gte="0"/>
      </iconSet>
    </cfRule>
  </conditionalFormatting>
  <conditionalFormatting sqref="L10">
    <cfRule type="iconSet" priority="48">
      <iconSet>
        <cfvo type="percent" val="0"/>
        <cfvo type="num" val="0"/>
        <cfvo type="num" val="0" gte="0"/>
      </iconSet>
    </cfRule>
  </conditionalFormatting>
  <conditionalFormatting sqref="L28:L30">
    <cfRule type="iconSet" priority="6">
      <iconSet>
        <cfvo type="percent" val="0"/>
        <cfvo type="num" val="0"/>
        <cfvo type="num" val="0" gte="0"/>
      </iconSet>
    </cfRule>
  </conditionalFormatting>
  <conditionalFormatting sqref="M6:M25">
    <cfRule type="iconSet" priority="42">
      <iconSet>
        <cfvo type="percent" val="0"/>
        <cfvo type="num" val="0"/>
        <cfvo type="num" val="0" gte="0"/>
      </iconSet>
    </cfRule>
  </conditionalFormatting>
  <conditionalFormatting sqref="N6:N25">
    <cfRule type="iconSet" priority="35">
      <iconSet>
        <cfvo type="percent" val="0"/>
        <cfvo type="num" val="0"/>
        <cfvo type="num" val="0" gte="0"/>
      </iconSet>
    </cfRule>
  </conditionalFormatting>
  <conditionalFormatting sqref="P6:P9 P11:P25">
    <cfRule type="iconSet" priority="43">
      <iconSet>
        <cfvo type="percent" val="0"/>
        <cfvo type="num" val="0"/>
        <cfvo type="num" val="0" gte="0"/>
      </iconSet>
    </cfRule>
  </conditionalFormatting>
  <conditionalFormatting sqref="P10">
    <cfRule type="iconSet" priority="14">
      <iconSet>
        <cfvo type="percent" val="0"/>
        <cfvo type="num" val="0"/>
        <cfvo type="num" val="0" gte="0"/>
      </iconSet>
    </cfRule>
  </conditionalFormatting>
  <conditionalFormatting sqref="P28:P30">
    <cfRule type="iconSet" priority="27">
      <iconSet>
        <cfvo type="percent" val="0"/>
        <cfvo type="num" val="0"/>
        <cfvo type="num" val="0" gte="0"/>
      </iconSet>
    </cfRule>
  </conditionalFormatting>
  <conditionalFormatting sqref="R6:R15 R17:R25">
    <cfRule type="iconSet" priority="44">
      <iconSet>
        <cfvo type="percent" val="0"/>
        <cfvo type="num" val="0"/>
        <cfvo type="num" val="0" gte="0"/>
      </iconSet>
    </cfRule>
  </conditionalFormatting>
  <conditionalFormatting sqref="R16">
    <cfRule type="iconSet" priority="3">
      <iconSet>
        <cfvo type="percent" val="0"/>
        <cfvo type="num" val="0"/>
        <cfvo type="num" val="0" gte="0"/>
      </iconSet>
    </cfRule>
  </conditionalFormatting>
  <conditionalFormatting sqref="R28:R30">
    <cfRule type="iconSet" priority="26">
      <iconSet>
        <cfvo type="percent" val="0"/>
        <cfvo type="num" val="0"/>
        <cfvo type="num" val="0" gte="0"/>
      </iconSet>
    </cfRule>
  </conditionalFormatting>
  <conditionalFormatting sqref="S6:S25">
    <cfRule type="iconSet" priority="30">
      <iconSet>
        <cfvo type="percent" val="0"/>
        <cfvo type="num" val="0"/>
        <cfvo type="num" val="0" gte="0"/>
      </iconSet>
    </cfRule>
  </conditionalFormatting>
  <conditionalFormatting sqref="T6:T25">
    <cfRule type="iconSet" priority="34">
      <iconSet>
        <cfvo type="percent" val="0"/>
        <cfvo type="num" val="0"/>
        <cfvo type="num" val="0" gte="0"/>
      </iconSet>
    </cfRule>
  </conditionalFormatting>
  <conditionalFormatting sqref="U28:U30">
    <cfRule type="iconSet" priority="8">
      <iconSet>
        <cfvo type="percent" val="0"/>
        <cfvo type="num" val="0"/>
        <cfvo type="num" val="0" gte="0"/>
      </iconSet>
    </cfRule>
  </conditionalFormatting>
  <conditionalFormatting sqref="V6:V10 V16:V25 V12:V14">
    <cfRule type="iconSet" priority="33">
      <iconSet>
        <cfvo type="percent" val="0"/>
        <cfvo type="num" val="0"/>
        <cfvo type="num" val="0" gte="0"/>
      </iconSet>
    </cfRule>
  </conditionalFormatting>
  <conditionalFormatting sqref="V11">
    <cfRule type="iconSet" priority="13">
      <iconSet>
        <cfvo type="percent" val="0"/>
        <cfvo type="num" val="0"/>
        <cfvo type="num" val="0" gte="0"/>
      </iconSet>
    </cfRule>
  </conditionalFormatting>
  <conditionalFormatting sqref="V15">
    <cfRule type="iconSet" priority="29">
      <iconSet>
        <cfvo type="percent" val="0"/>
        <cfvo type="num" val="0"/>
        <cfvo type="num" val="0" gte="0"/>
      </iconSet>
    </cfRule>
  </conditionalFormatting>
  <conditionalFormatting sqref="X25">
    <cfRule type="iconSet" priority="28">
      <iconSet reverse="1">
        <cfvo type="percent" val="0"/>
        <cfvo type="num" val="0"/>
        <cfvo type="num" val="0" gte="0"/>
      </iconSet>
    </cfRule>
  </conditionalFormatting>
  <conditionalFormatting sqref="Z6">
    <cfRule type="iconSet" priority="23">
      <iconSet>
        <cfvo type="percent" val="0"/>
        <cfvo type="num" val="0"/>
        <cfvo type="num" val="0" gte="0"/>
      </iconSet>
    </cfRule>
  </conditionalFormatting>
  <conditionalFormatting sqref="Z7">
    <cfRule type="iconSet" priority="22">
      <iconSet>
        <cfvo type="percent" val="0"/>
        <cfvo type="num" val="0"/>
        <cfvo type="num" val="0" gte="0"/>
      </iconSet>
    </cfRule>
  </conditionalFormatting>
  <conditionalFormatting sqref="Z8 Z12 Z14:Z17 Z21 Z23 Z25">
    <cfRule type="iconSet" priority="31">
      <iconSet>
        <cfvo type="percent" val="0"/>
        <cfvo type="num" val="0"/>
        <cfvo type="num" val="0" gte="0"/>
      </iconSet>
    </cfRule>
  </conditionalFormatting>
  <conditionalFormatting sqref="Z9">
    <cfRule type="iconSet" priority="25">
      <iconSet>
        <cfvo type="percent" val="0"/>
        <cfvo type="num" val="0"/>
        <cfvo type="num" val="0" gte="0"/>
      </iconSet>
    </cfRule>
  </conditionalFormatting>
  <conditionalFormatting sqref="Z10">
    <cfRule type="iconSet" priority="21">
      <iconSet>
        <cfvo type="percent" val="0"/>
        <cfvo type="num" val="0"/>
        <cfvo type="num" val="0" gte="0"/>
      </iconSet>
    </cfRule>
  </conditionalFormatting>
  <conditionalFormatting sqref="Z11">
    <cfRule type="iconSet" priority="20">
      <iconSet>
        <cfvo type="percent" val="0"/>
        <cfvo type="num" val="0"/>
        <cfvo type="num" val="0" gte="0"/>
      </iconSet>
    </cfRule>
  </conditionalFormatting>
  <conditionalFormatting sqref="Z13">
    <cfRule type="iconSet" priority="19">
      <iconSet>
        <cfvo type="percent" val="0"/>
        <cfvo type="num" val="0"/>
        <cfvo type="num" val="0" gte="0"/>
      </iconSet>
    </cfRule>
  </conditionalFormatting>
  <conditionalFormatting sqref="Z18">
    <cfRule type="iconSet" priority="18">
      <iconSet>
        <cfvo type="percent" val="0"/>
        <cfvo type="num" val="0"/>
        <cfvo type="num" val="0" gte="0"/>
      </iconSet>
    </cfRule>
  </conditionalFormatting>
  <conditionalFormatting sqref="Z19">
    <cfRule type="iconSet" priority="17">
      <iconSet>
        <cfvo type="percent" val="0"/>
        <cfvo type="num" val="0"/>
        <cfvo type="num" val="0" gte="0"/>
      </iconSet>
    </cfRule>
  </conditionalFormatting>
  <conditionalFormatting sqref="Z20">
    <cfRule type="iconSet" priority="16">
      <iconSet>
        <cfvo type="percent" val="0"/>
        <cfvo type="num" val="0"/>
        <cfvo type="num" val="0" gte="0"/>
      </iconSet>
    </cfRule>
  </conditionalFormatting>
  <conditionalFormatting sqref="Z22">
    <cfRule type="iconSet" priority="15">
      <iconSet>
        <cfvo type="percent" val="0"/>
        <cfvo type="num" val="0"/>
        <cfvo type="num" val="0" gte="0"/>
      </iconSet>
    </cfRule>
  </conditionalFormatting>
  <conditionalFormatting sqref="Z24">
    <cfRule type="iconSet" priority="4">
      <iconSet>
        <cfvo type="percent" val="0"/>
        <cfvo type="num" val="0"/>
        <cfvo type="num" val="0" gte="0"/>
      </iconSet>
    </cfRule>
  </conditionalFormatting>
  <conditionalFormatting sqref="AC6:AN24 AC25 AE25:AN25">
    <cfRule type="expression" dxfId="47" priority="49">
      <formula>AP6=3</formula>
    </cfRule>
    <cfRule type="expression" dxfId="46" priority="50">
      <formula>AP6=5</formula>
    </cfRule>
    <cfRule type="expression" dxfId="45" priority="51">
      <formula>AP6=4</formula>
    </cfRule>
    <cfRule type="expression" dxfId="44" priority="52">
      <formula>AP6=2</formula>
    </cfRule>
    <cfRule type="expression" dxfId="43" priority="53">
      <formula>AP6=1</formula>
    </cfRule>
    <cfRule type="expression" dxfId="42" priority="54">
      <formula>AP6=0</formula>
    </cfRule>
  </conditionalFormatting>
  <conditionalFormatting sqref="FG6:FG25 FG27">
    <cfRule type="colorScale" priority="24">
      <colorScale>
        <cfvo type="min"/>
        <cfvo type="percentile" val="50"/>
        <cfvo type="max"/>
        <color rgb="FFF8696B"/>
        <color rgb="FFFFEB84"/>
        <color rgb="FF63BE7B"/>
      </colorScale>
    </cfRule>
  </conditionalFormatting>
  <dataValidations count="1">
    <dataValidation type="list" allowBlank="1" showInputMessage="1" showErrorMessage="1" sqref="A1:B1" xr:uid="{00000000-0002-0000-0800-000000000000}">
      <formula1>lis_dat</formula1>
    </dataValidation>
  </dataValidations>
  <pageMargins left="0.25" right="0.25" top="0.75" bottom="0.75" header="0.3" footer="0.3"/>
  <pageSetup paperSize="9" scale="55" orientation="portrait" r:id="rId1"/>
  <extLst>
    <ext xmlns:x14="http://schemas.microsoft.com/office/spreadsheetml/2009/9/main" uri="{78C0D931-6437-407d-A8EE-F0AAD7539E65}">
      <x14:conditionalFormattings>
        <x14:conditionalFormatting xmlns:xm="http://schemas.microsoft.com/office/excel/2006/main">
          <x14:cfRule type="iconSet" priority="1" id="{BDD7F24D-CBED-4CEC-B90F-CE9FCE742A3C}">
            <x14:iconSet custom="1">
              <x14:cfvo type="percent">
                <xm:f>0</xm:f>
              </x14:cfvo>
              <x14:cfvo type="num">
                <xm:f>0</xm:f>
              </x14:cfvo>
              <x14:cfvo type="num">
                <xm:f>0</xm:f>
              </x14:cfvo>
              <x14:cfIcon iconSet="3TrafficLights1" iconId="0"/>
              <x14:cfIcon iconSet="3TrafficLights1" iconId="1"/>
              <x14:cfIcon iconSet="3TrafficLights1" iconId="2"/>
            </x14:iconSet>
          </x14:cfRule>
          <xm:sqref>X6</xm:sqref>
        </x14:conditionalFormatting>
        <x14:conditionalFormatting xmlns:xm="http://schemas.microsoft.com/office/excel/2006/main">
          <x14:cfRule type="iconSet" priority="32" id="{51A86C52-3B9A-4288-B6FF-52FA3DC82ABC}">
            <x14:iconSet custom="1">
              <x14:cfvo type="percent">
                <xm:f>0</xm:f>
              </x14:cfvo>
              <x14:cfvo type="num">
                <xm:f>0</xm:f>
              </x14:cfvo>
              <x14:cfvo type="num" gte="0">
                <xm:f>0</xm:f>
              </x14:cfvo>
              <x14:cfIcon iconSet="3TrafficLights1" iconId="2"/>
              <x14:cfIcon iconSet="3TrafficLights1" iconId="1"/>
              <x14:cfIcon iconSet="3TrafficLights1" iconId="0"/>
            </x14:iconSet>
          </x14:cfRule>
          <xm:sqref>X7:X24</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249977111117893"/>
    <pageSetUpPr fitToPage="1"/>
  </sheetPr>
  <dimension ref="A1:FH47"/>
  <sheetViews>
    <sheetView showGridLines="0" zoomScale="117" zoomScaleNormal="117" workbookViewId="0">
      <selection activeCell="P20" sqref="P20"/>
    </sheetView>
  </sheetViews>
  <sheetFormatPr baseColWidth="10" defaultRowHeight="18.75" customHeight="1"/>
  <cols>
    <col min="1" max="1" width="14.44140625" style="11" customWidth="1"/>
    <col min="2" max="2" width="1.44140625" style="1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4.554687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7.33203125" style="23" customWidth="1"/>
    <col min="19" max="19" width="0.6640625" customWidth="1"/>
    <col min="20" max="20" width="2.5546875" style="57" hidden="1" customWidth="1"/>
    <col min="21" max="21" width="6.5546875" style="23" customWidth="1"/>
    <col min="22" max="22" width="4.6640625" customWidth="1"/>
    <col min="23" max="23" width="6.5546875" customWidth="1"/>
    <col min="24" max="24" width="4.44140625" customWidth="1"/>
    <col min="25" max="25" width="5.33203125" customWidth="1"/>
    <col min="26" max="26" width="4.5546875" customWidth="1"/>
    <col min="27" max="27" width="1.44140625" customWidth="1"/>
    <col min="28" max="28" width="53" style="11" hidden="1" customWidth="1"/>
    <col min="29" max="40" width="1.88671875" style="57" customWidth="1"/>
    <col min="41" max="41" width="2.44140625" style="28" customWidth="1"/>
    <col min="42" max="42" width="5.44140625" style="28" hidden="1" customWidth="1"/>
    <col min="43" max="43" width="6" style="28" hidden="1" customWidth="1"/>
    <col min="44" max="44" width="5.33203125" style="28" hidden="1" customWidth="1"/>
    <col min="45" max="45" width="4.88671875" style="28" hidden="1" customWidth="1"/>
    <col min="46" max="47" width="5.5546875" hidden="1" customWidth="1"/>
    <col min="48" max="48" width="5.33203125" hidden="1" customWidth="1"/>
    <col min="49" max="49" width="5.5546875" hidden="1" customWidth="1"/>
    <col min="50" max="51" width="4.88671875" hidden="1" customWidth="1"/>
    <col min="52" max="52" width="5.6640625" hidden="1" customWidth="1"/>
    <col min="53" max="53" width="5.109375" hidden="1" customWidth="1"/>
    <col min="54" max="54" width="2.44140625" hidden="1" customWidth="1"/>
    <col min="55" max="55" width="15.8867187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45413</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BF1" t="s">
        <v>101</v>
      </c>
      <c r="BG1" s="3">
        <f>+A1</f>
        <v>45413</v>
      </c>
      <c r="BH1" s="3">
        <f>+VLOOKUP(BH2,datos!$D:$E,2,FALSE)</f>
        <v>45383</v>
      </c>
      <c r="BI1" s="3">
        <f>+VLOOKUP(BI2,datos!$D:$E,2,FALSE)</f>
        <v>45047</v>
      </c>
      <c r="BL1" s="3">
        <f>+A1</f>
        <v>45413</v>
      </c>
      <c r="BM1" s="3">
        <f>+VLOOKUP(BM2,datos!$D:$E,2,FALSE)</f>
        <v>45383</v>
      </c>
      <c r="BN1" s="3">
        <f>+VLOOKUP(BN2,datos!$D:$E,2,FALSE)</f>
        <v>45047</v>
      </c>
      <c r="BQ1" s="3">
        <f>+A1</f>
        <v>45413</v>
      </c>
      <c r="BR1" s="3">
        <f>+VLOOKUP(BR2,datos!$D:$E,2,FALSE)</f>
        <v>45047</v>
      </c>
      <c r="BU1" s="3">
        <f>+A1</f>
        <v>45413</v>
      </c>
      <c r="BV1" s="3">
        <f>+VLOOKUP(BV2,datos!$D:$E,2,FALSE)</f>
        <v>45047</v>
      </c>
      <c r="BY1" t="s">
        <v>279</v>
      </c>
      <c r="BZ1" t="s">
        <v>280</v>
      </c>
      <c r="CC1" t="s">
        <v>279</v>
      </c>
      <c r="CD1" t="s">
        <v>280</v>
      </c>
      <c r="CG1" t="s">
        <v>282</v>
      </c>
      <c r="CH1" t="s">
        <v>283</v>
      </c>
      <c r="CI1" s="3">
        <f>+A1</f>
        <v>45413</v>
      </c>
      <c r="CJ1" s="3">
        <f>+VLOOKUP(CJ2,datos!$D:$E,2,FALSE)</f>
        <v>45413</v>
      </c>
      <c r="CK1" s="3">
        <f>+VLOOKUP(CK2,datos!$D:$E,2,FALSE)</f>
        <v>45383</v>
      </c>
      <c r="CL1" s="3">
        <f>+VLOOKUP(CL2,datos!$D:$E,2,FALSE)</f>
        <v>45352</v>
      </c>
      <c r="CM1" s="3">
        <f>+VLOOKUP(CM2,datos!$D:$E,2,FALSE)</f>
        <v>45323</v>
      </c>
      <c r="CN1" s="3">
        <f>+VLOOKUP(CN2,datos!$D:$E,2,FALSE)</f>
        <v>45292</v>
      </c>
      <c r="CO1" s="3">
        <f>+VLOOKUP(CO2,datos!$D:$E,2,FALSE)</f>
        <v>45261</v>
      </c>
      <c r="CP1" s="3">
        <f>+VLOOKUP(CP2,datos!$D:$E,2,FALSE)</f>
        <v>45231</v>
      </c>
      <c r="CQ1" s="3">
        <f>+VLOOKUP(CQ2,datos!$D:$E,2,FALSE)</f>
        <v>45200</v>
      </c>
      <c r="CR1" s="3">
        <f>+VLOOKUP(CR2,datos!$D:$E,2,FALSE)</f>
        <v>45170</v>
      </c>
      <c r="CS1" s="3">
        <f>+VLOOKUP(CS2,datos!$D:$E,2,FALSE)</f>
        <v>45139</v>
      </c>
      <c r="CT1" s="3">
        <f>+VLOOKUP(CT2,datos!$D:$E,2,FALSE)</f>
        <v>45108</v>
      </c>
      <c r="CU1" s="3">
        <f>+VLOOKUP(CU2,datos!$D:$E,2,FALSE)</f>
        <v>45078</v>
      </c>
      <c r="CV1" s="3">
        <f>+VLOOKUP(CV2,datos!$D:$E,2,FALSE)</f>
        <v>45047</v>
      </c>
      <c r="CW1" s="3">
        <f>+VLOOKUP(CW2,datos!$D:$E,2,FALSE)</f>
        <v>45017</v>
      </c>
      <c r="CX1" s="3">
        <f>+VLOOKUP(CX2,datos!$D:$E,2,FALSE)</f>
        <v>44986</v>
      </c>
      <c r="CY1" s="3">
        <f>+VLOOKUP(CY2,datos!$D:$E,2,FALSE)</f>
        <v>44958</v>
      </c>
      <c r="CZ1" s="3">
        <f>+VLOOKUP(CZ2,datos!$D:$E,2,FALSE)</f>
        <v>44927</v>
      </c>
      <c r="DA1" s="3">
        <f>+VLOOKUP(DA2,datos!$D:$E,2,FALSE)</f>
        <v>44896</v>
      </c>
      <c r="DB1" s="3">
        <f>+VLOOKUP(DB2,datos!$D:$E,2,FALSE)</f>
        <v>44866</v>
      </c>
      <c r="DC1" s="3">
        <f>+VLOOKUP(DC2,datos!$D:$E,2,FALSE)</f>
        <v>44835</v>
      </c>
      <c r="DD1" s="3">
        <f>+VLOOKUP(DD2,datos!$D:$E,2,FALSE)</f>
        <v>44805</v>
      </c>
      <c r="DE1" s="3">
        <f>+VLOOKUP(DE2,datos!$D:$E,2,FALSE)</f>
        <v>44774</v>
      </c>
      <c r="DF1" s="3">
        <f>+VLOOKUP(DF2,datos!$D:$E,2,FALSE)</f>
        <v>44743</v>
      </c>
      <c r="DG1" s="3">
        <f>+VLOOKUP(DG2,datos!$D:$E,2,FALSE)</f>
        <v>44713</v>
      </c>
      <c r="DI1" s="3">
        <f>+CJ1</f>
        <v>45413</v>
      </c>
      <c r="DJ1" s="3">
        <f>+VLOOKUP(DJ2,datos!$D:$E,2,FALSE)</f>
        <v>45383</v>
      </c>
      <c r="DK1" s="3">
        <f>+VLOOKUP(DK2,datos!$D:$E,2,FALSE)</f>
        <v>45352</v>
      </c>
      <c r="DL1" s="3">
        <f>+VLOOKUP(DL2,datos!$D:$E,2,FALSE)</f>
        <v>45323</v>
      </c>
      <c r="DM1" s="3">
        <f>+VLOOKUP(DM2,datos!$D:$E,2,FALSE)</f>
        <v>45292</v>
      </c>
      <c r="DN1" s="3">
        <f>+VLOOKUP(DN2,datos!$D:$E,2,FALSE)</f>
        <v>45261</v>
      </c>
      <c r="DO1" s="3">
        <f>+VLOOKUP(DO2,datos!$D:$E,2,FALSE)</f>
        <v>45231</v>
      </c>
      <c r="DP1" s="3">
        <f>+VLOOKUP(DP2,datos!$D:$E,2,FALSE)</f>
        <v>45200</v>
      </c>
      <c r="DQ1" s="3">
        <f>+VLOOKUP(DQ2,datos!$D:$E,2,FALSE)</f>
        <v>45170</v>
      </c>
      <c r="DR1" s="3">
        <f>+VLOOKUP(DR2,datos!$D:$E,2,FALSE)</f>
        <v>45139</v>
      </c>
      <c r="DS1" s="3">
        <f>+VLOOKUP(DS2,datos!$D:$E,2,FALSE)</f>
        <v>45108</v>
      </c>
      <c r="DT1" s="3">
        <f>+VLOOKUP(DT2,datos!$D:$E,2,FALSE)</f>
        <v>45078</v>
      </c>
      <c r="DU1" s="3">
        <f>+VLOOKUP(DU2,datos!$D:$E,2,FALSE)</f>
        <v>45047</v>
      </c>
      <c r="DV1" s="3">
        <f>+VLOOKUP(DV2,datos!$D:$E,2,FALSE)</f>
        <v>45017</v>
      </c>
      <c r="DW1" s="3">
        <f>+VLOOKUP(DW2,datos!$D:$E,2,FALSE)</f>
        <v>44986</v>
      </c>
      <c r="DX1" s="3">
        <f>+VLOOKUP(DX2,datos!$D:$E,2,FALSE)</f>
        <v>44958</v>
      </c>
      <c r="DY1" s="3">
        <f>+VLOOKUP(DY2,datos!$D:$E,2,FALSE)</f>
        <v>44927</v>
      </c>
      <c r="DZ1" s="3">
        <f>+VLOOKUP(DZ2,datos!$D:$E,2,FALSE)</f>
        <v>44896</v>
      </c>
      <c r="EA1" s="3">
        <f>+VLOOKUP(EA2,datos!$D:$E,2,FALSE)</f>
        <v>44866</v>
      </c>
      <c r="EB1" s="3">
        <f>+VLOOKUP(EB2,datos!$D:$E,2,FALSE)</f>
        <v>44835</v>
      </c>
      <c r="EC1" s="3">
        <f>+VLOOKUP(EC2,datos!$D:$E,2,FALSE)</f>
        <v>44805</v>
      </c>
      <c r="ED1" s="3">
        <f>+VLOOKUP(ED2,datos!$D:$E,2,FALSE)</f>
        <v>44774</v>
      </c>
      <c r="EE1" s="3">
        <f>+VLOOKUP(EE2,datos!$D:$E,2,FALSE)</f>
        <v>44743</v>
      </c>
      <c r="EF1" s="3">
        <f>+VLOOKUP(EF2,datos!$D:$E,2,FALSE)</f>
        <v>44713</v>
      </c>
      <c r="EH1" s="14">
        <f>+CJ1</f>
        <v>45413</v>
      </c>
      <c r="EI1" s="14">
        <f t="shared" ref="EI1:FE1" si="0">+CK1</f>
        <v>45383</v>
      </c>
      <c r="EJ1" s="3">
        <f t="shared" si="0"/>
        <v>45352</v>
      </c>
      <c r="EK1" s="3">
        <f t="shared" si="0"/>
        <v>45323</v>
      </c>
      <c r="EL1" s="3">
        <f t="shared" si="0"/>
        <v>45292</v>
      </c>
      <c r="EM1" s="3">
        <f t="shared" si="0"/>
        <v>45261</v>
      </c>
      <c r="EN1" s="3">
        <f t="shared" si="0"/>
        <v>45231</v>
      </c>
      <c r="EO1" s="3">
        <f t="shared" si="0"/>
        <v>45200</v>
      </c>
      <c r="EP1" s="3">
        <f t="shared" si="0"/>
        <v>45170</v>
      </c>
      <c r="EQ1" s="3">
        <f t="shared" si="0"/>
        <v>45139</v>
      </c>
      <c r="ER1" s="3">
        <f t="shared" si="0"/>
        <v>45108</v>
      </c>
      <c r="ES1" s="3">
        <f t="shared" si="0"/>
        <v>45078</v>
      </c>
      <c r="ET1" s="3">
        <f t="shared" si="0"/>
        <v>45047</v>
      </c>
      <c r="EU1" s="3">
        <f t="shared" si="0"/>
        <v>45017</v>
      </c>
      <c r="EV1" s="3">
        <f t="shared" si="0"/>
        <v>44986</v>
      </c>
      <c r="EW1" s="3">
        <f t="shared" si="0"/>
        <v>44958</v>
      </c>
      <c r="EX1" s="3">
        <f t="shared" si="0"/>
        <v>44927</v>
      </c>
      <c r="EY1" s="3">
        <f t="shared" si="0"/>
        <v>44896</v>
      </c>
      <c r="EZ1" s="3">
        <f t="shared" si="0"/>
        <v>44866</v>
      </c>
      <c r="FA1" s="3">
        <f t="shared" si="0"/>
        <v>44835</v>
      </c>
      <c r="FB1" s="3">
        <f t="shared" si="0"/>
        <v>44805</v>
      </c>
      <c r="FC1" s="3">
        <f t="shared" si="0"/>
        <v>44774</v>
      </c>
      <c r="FD1" s="3">
        <f t="shared" si="0"/>
        <v>44743</v>
      </c>
      <c r="FE1" s="3">
        <f t="shared" si="0"/>
        <v>44713</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80"/>
      <c r="AP2" s="174">
        <f>VLOOKUP(VLOOKUP(+$A$1,ran_ma,2,FALSE)-11,ran_idma,2,FALSE)</f>
        <v>45078</v>
      </c>
      <c r="AQ2" s="174">
        <f>VLOOKUP(VLOOKUP(+$A$1,ran_ma,2,FALSE)-10,ran_idma,2,FALSE)</f>
        <v>45108</v>
      </c>
      <c r="AR2" s="174">
        <f>VLOOKUP(VLOOKUP(+$A$1,ran_ma,2,FALSE)-9,ran_idma,2,FALSE)</f>
        <v>45139</v>
      </c>
      <c r="AS2" s="174">
        <f>VLOOKUP(VLOOKUP(+$A$1,ran_ma,2,FALSE)-8,ran_idma,2,FALSE)</f>
        <v>45170</v>
      </c>
      <c r="AT2" s="59">
        <f>VLOOKUP(VLOOKUP(+$A$1,ran_ma,2,FALSE)-7,ran_idma,2,FALSE)</f>
        <v>45200</v>
      </c>
      <c r="AU2" s="59">
        <f>VLOOKUP(VLOOKUP(+$A$1,ran_ma,2,FALSE)-6,ran_idma,2,FALSE)</f>
        <v>45231</v>
      </c>
      <c r="AV2" s="59">
        <f>VLOOKUP(VLOOKUP(+$A$1,ran_ma,2,FALSE)-5,ran_idma,2,FALSE)</f>
        <v>45261</v>
      </c>
      <c r="AW2" s="59">
        <f>VLOOKUP(VLOOKUP(+$A$1,ran_ma,2,FALSE)-4,ran_idma,2,FALSE)</f>
        <v>45292</v>
      </c>
      <c r="AX2" s="59">
        <f>VLOOKUP(VLOOKUP(+$A$1,ran_ma,2,FALSE)-3,ran_idma,2,FALSE)</f>
        <v>45323</v>
      </c>
      <c r="AY2" s="59">
        <f>VLOOKUP(VLOOKUP(+$A$1,ran_ma,2,FALSE)-2,ran_idma,2,FALSE)</f>
        <v>45352</v>
      </c>
      <c r="AZ2" s="59">
        <f>VLOOKUP(VLOOKUP(+$A$1,ran_ma,2,FALSE)-1,ran_idma,2,FALSE)</f>
        <v>45383</v>
      </c>
      <c r="BA2" s="59">
        <f>+$A$1</f>
        <v>45413</v>
      </c>
      <c r="BB2" s="5"/>
      <c r="BC2" s="170"/>
      <c r="BE2" s="9" t="s">
        <v>272</v>
      </c>
      <c r="BG2">
        <f>+VLOOKUP(BG1,ran_dat,datos!$D$1,FALSE)</f>
        <v>110</v>
      </c>
      <c r="BH2">
        <f>+BG2-1</f>
        <v>109</v>
      </c>
      <c r="BI2">
        <f>+BG2-12</f>
        <v>98</v>
      </c>
      <c r="BK2" s="9"/>
      <c r="BL2">
        <f>+VLOOKUP(BL1,ran_dat,datos!$D$1,FALSE)</f>
        <v>110</v>
      </c>
      <c r="BM2">
        <f>+BL2-1</f>
        <v>109</v>
      </c>
      <c r="BN2">
        <f>+BL2-12</f>
        <v>98</v>
      </c>
      <c r="BP2" s="9"/>
      <c r="BQ2">
        <f>+VLOOKUP(BQ1,ran_dat,datos!$D$1,FALSE)</f>
        <v>110</v>
      </c>
      <c r="BR2">
        <f>+BQ2-12</f>
        <v>98</v>
      </c>
      <c r="BT2" s="9"/>
      <c r="BU2">
        <f>+VLOOKUP(BU1,ran_dat,datos!$D$1,FALSE)</f>
        <v>110</v>
      </c>
      <c r="BV2">
        <f>+BU2-12</f>
        <v>98</v>
      </c>
      <c r="BX2" s="9"/>
      <c r="CB2" s="9"/>
      <c r="CI2">
        <f>+VLOOKUP(CI1,ran_dat,datos!$D$1,FALSE)</f>
        <v>110</v>
      </c>
      <c r="CJ2">
        <f>+CI2</f>
        <v>110</v>
      </c>
      <c r="CK2">
        <f t="shared" ref="CK2:DG2" si="1">+CJ2-1</f>
        <v>109</v>
      </c>
      <c r="CL2">
        <f t="shared" si="1"/>
        <v>108</v>
      </c>
      <c r="CM2">
        <f t="shared" si="1"/>
        <v>107</v>
      </c>
      <c r="CN2">
        <f t="shared" si="1"/>
        <v>106</v>
      </c>
      <c r="CO2">
        <f t="shared" si="1"/>
        <v>105</v>
      </c>
      <c r="CP2">
        <f t="shared" si="1"/>
        <v>104</v>
      </c>
      <c r="CQ2">
        <f t="shared" si="1"/>
        <v>103</v>
      </c>
      <c r="CR2">
        <f t="shared" si="1"/>
        <v>102</v>
      </c>
      <c r="CS2">
        <f t="shared" si="1"/>
        <v>101</v>
      </c>
      <c r="CT2">
        <f t="shared" si="1"/>
        <v>100</v>
      </c>
      <c r="CU2">
        <f t="shared" si="1"/>
        <v>99</v>
      </c>
      <c r="CV2">
        <f t="shared" si="1"/>
        <v>98</v>
      </c>
      <c r="CW2">
        <f t="shared" si="1"/>
        <v>97</v>
      </c>
      <c r="CX2">
        <f t="shared" si="1"/>
        <v>96</v>
      </c>
      <c r="CY2">
        <f t="shared" si="1"/>
        <v>95</v>
      </c>
      <c r="CZ2">
        <f t="shared" si="1"/>
        <v>94</v>
      </c>
      <c r="DA2">
        <f t="shared" si="1"/>
        <v>93</v>
      </c>
      <c r="DB2">
        <f t="shared" si="1"/>
        <v>92</v>
      </c>
      <c r="DC2">
        <f t="shared" si="1"/>
        <v>91</v>
      </c>
      <c r="DD2">
        <f t="shared" si="1"/>
        <v>90</v>
      </c>
      <c r="DE2">
        <f t="shared" si="1"/>
        <v>89</v>
      </c>
      <c r="DF2">
        <f t="shared" si="1"/>
        <v>88</v>
      </c>
      <c r="DG2">
        <f t="shared" si="1"/>
        <v>87</v>
      </c>
      <c r="DI2">
        <f>+VLOOKUP(DI1,ran_dat,datos!$D$1,FALSE)</f>
        <v>110</v>
      </c>
      <c r="DJ2">
        <f t="shared" ref="DJ2:EF2" si="2">+DI2-1</f>
        <v>109</v>
      </c>
      <c r="DK2">
        <f t="shared" si="2"/>
        <v>108</v>
      </c>
      <c r="DL2">
        <f t="shared" si="2"/>
        <v>107</v>
      </c>
      <c r="DM2">
        <f t="shared" si="2"/>
        <v>106</v>
      </c>
      <c r="DN2">
        <f t="shared" si="2"/>
        <v>105</v>
      </c>
      <c r="DO2">
        <f t="shared" si="2"/>
        <v>104</v>
      </c>
      <c r="DP2">
        <f t="shared" si="2"/>
        <v>103</v>
      </c>
      <c r="DQ2">
        <f t="shared" si="2"/>
        <v>102</v>
      </c>
      <c r="DR2">
        <f t="shared" si="2"/>
        <v>101</v>
      </c>
      <c r="DS2">
        <f t="shared" si="2"/>
        <v>100</v>
      </c>
      <c r="DT2">
        <f t="shared" si="2"/>
        <v>99</v>
      </c>
      <c r="DU2">
        <f t="shared" si="2"/>
        <v>98</v>
      </c>
      <c r="DV2">
        <f t="shared" si="2"/>
        <v>97</v>
      </c>
      <c r="DW2">
        <f t="shared" si="2"/>
        <v>96</v>
      </c>
      <c r="DX2">
        <f t="shared" si="2"/>
        <v>95</v>
      </c>
      <c r="DY2">
        <f t="shared" si="2"/>
        <v>94</v>
      </c>
      <c r="DZ2">
        <f t="shared" si="2"/>
        <v>93</v>
      </c>
      <c r="EA2">
        <f t="shared" si="2"/>
        <v>92</v>
      </c>
      <c r="EB2">
        <f t="shared" si="2"/>
        <v>91</v>
      </c>
      <c r="EC2">
        <f t="shared" si="2"/>
        <v>90</v>
      </c>
      <c r="ED2">
        <f t="shared" si="2"/>
        <v>89</v>
      </c>
      <c r="EE2">
        <f t="shared" si="2"/>
        <v>88</v>
      </c>
      <c r="EF2">
        <f t="shared" si="2"/>
        <v>87</v>
      </c>
      <c r="EH2" s="14">
        <f>+VLOOKUP(EH1,ran_dat,datos!$D$1,FALSE)</f>
        <v>110</v>
      </c>
      <c r="EI2" s="14">
        <f t="shared" ref="EI2:FE2" si="3">+EH2-1</f>
        <v>109</v>
      </c>
      <c r="EJ2">
        <f t="shared" si="3"/>
        <v>108</v>
      </c>
      <c r="EK2">
        <f t="shared" si="3"/>
        <v>107</v>
      </c>
      <c r="EL2">
        <f t="shared" si="3"/>
        <v>106</v>
      </c>
      <c r="EM2">
        <f t="shared" si="3"/>
        <v>105</v>
      </c>
      <c r="EN2">
        <f t="shared" si="3"/>
        <v>104</v>
      </c>
      <c r="EO2">
        <f t="shared" si="3"/>
        <v>103</v>
      </c>
      <c r="EP2">
        <f t="shared" si="3"/>
        <v>102</v>
      </c>
      <c r="EQ2">
        <f t="shared" si="3"/>
        <v>101</v>
      </c>
      <c r="ER2">
        <f t="shared" si="3"/>
        <v>100</v>
      </c>
      <c r="ES2">
        <f t="shared" si="3"/>
        <v>99</v>
      </c>
      <c r="ET2">
        <f t="shared" si="3"/>
        <v>98</v>
      </c>
      <c r="EU2">
        <f t="shared" si="3"/>
        <v>97</v>
      </c>
      <c r="EV2">
        <f t="shared" si="3"/>
        <v>96</v>
      </c>
      <c r="EW2">
        <f t="shared" si="3"/>
        <v>95</v>
      </c>
      <c r="EX2">
        <f t="shared" si="3"/>
        <v>94</v>
      </c>
      <c r="EY2">
        <f t="shared" si="3"/>
        <v>93</v>
      </c>
      <c r="EZ2">
        <f t="shared" si="3"/>
        <v>92</v>
      </c>
      <c r="FA2">
        <f t="shared" si="3"/>
        <v>91</v>
      </c>
      <c r="FB2">
        <f t="shared" si="3"/>
        <v>90</v>
      </c>
      <c r="FC2">
        <f t="shared" si="3"/>
        <v>89</v>
      </c>
      <c r="FD2">
        <f t="shared" si="3"/>
        <v>88</v>
      </c>
      <c r="FE2">
        <f t="shared" si="3"/>
        <v>87</v>
      </c>
    </row>
    <row r="3" spans="1:163" ht="18.75" customHeight="1">
      <c r="A3" s="220"/>
      <c r="C3" s="155"/>
      <c r="D3" s="196">
        <v>0.33</v>
      </c>
      <c r="E3" s="100">
        <f>IFERROR(+BG5/BH5-1,"")</f>
        <v>4.176327882665154E-2</v>
      </c>
      <c r="F3" s="56" t="s">
        <v>515</v>
      </c>
      <c r="G3" s="56"/>
      <c r="H3" s="56"/>
      <c r="I3" s="60">
        <f>IFERROR(+BG5/BI5-1,"")</f>
        <v>2.7640781482399608</v>
      </c>
      <c r="J3" s="56" t="s">
        <v>515</v>
      </c>
      <c r="K3" s="56"/>
      <c r="L3" s="56"/>
      <c r="M3" s="32"/>
      <c r="N3" s="196">
        <v>0.33</v>
      </c>
      <c r="O3" s="31"/>
      <c r="S3" s="32"/>
      <c r="T3" s="196">
        <v>0.33</v>
      </c>
      <c r="U3" s="150" t="str">
        <f>TEXT(CU1,"MMM-YY")&amp;"."&amp;TEXT(CJ1,"MMM-YY")&amp;" vs "&amp;TEXT(DG1,"MMM-YY")&amp;"."&amp;TEXT(CV1,"MMM-YY")</f>
        <v>jun-23.may-24 vs jun-22.may-23</v>
      </c>
      <c r="Y3" s="59" t="str">
        <f>TEXT(CJ1,"MMM-YY")&amp;" vs "&amp;TEXT(CV1,"MMM-YY")</f>
        <v>may-24 vs may-23</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8.4"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6073.7165000000005</v>
      </c>
      <c r="BH5" s="2">
        <f t="shared" si="4"/>
        <v>5830.2271000000001</v>
      </c>
      <c r="BI5" s="2">
        <f t="shared" si="4"/>
        <v>1613.6</v>
      </c>
    </row>
    <row r="6" spans="1:163" ht="18.75" customHeight="1">
      <c r="A6" s="243" t="s">
        <v>28</v>
      </c>
      <c r="B6" s="246"/>
      <c r="C6" s="156">
        <f t="shared" ref="C6:C24" si="5">+D6*$D$3+N6*$N$3+T6*$T$3</f>
        <v>0</v>
      </c>
      <c r="D6" s="198">
        <v>-2</v>
      </c>
      <c r="E6" s="248">
        <f t="shared" ref="E6:E24" si="6">IFERROR(+BG6/BH6-1,"")</f>
        <v>1.6361758352807509E-2</v>
      </c>
      <c r="F6" s="249">
        <f t="shared" ref="F6:F24" si="7">+E6-$E$3</f>
        <v>-2.540152047384403E-2</v>
      </c>
      <c r="G6" s="248">
        <f t="shared" ref="G6:G24" si="8">IFERROR(+BL6/BM6-1,"")</f>
        <v>1.5316561879842538E-2</v>
      </c>
      <c r="H6" s="249">
        <f t="shared" ref="H6:H24" si="9">E6-G6</f>
        <v>1.045196472964971E-3</v>
      </c>
      <c r="I6" s="248">
        <f t="shared" ref="I6:I24" si="10">IFERROR(+BG6/BI6-1,"")</f>
        <v>1.1976561472513869</v>
      </c>
      <c r="J6" s="249">
        <f t="shared" ref="J6:J26" si="11">+I6-$I$3</f>
        <v>-1.5664220009885739</v>
      </c>
      <c r="K6" s="248">
        <f>IFERROR(+BL6/BN6-1,"")</f>
        <v>1.9798945609412151</v>
      </c>
      <c r="L6" s="249">
        <f t="shared" ref="L6:L24" si="12">I6-K6</f>
        <v>-0.78223841368982816</v>
      </c>
      <c r="M6" s="250"/>
      <c r="N6" s="24">
        <v>1</v>
      </c>
      <c r="O6" s="248">
        <f>IFERROR(+BQ6/BR6-1,"")</f>
        <v>0.1206896551724137</v>
      </c>
      <c r="P6" s="251">
        <f>+O6</f>
        <v>0.1206896551724137</v>
      </c>
      <c r="Q6" s="248">
        <f t="shared" ref="Q6:Q24" si="13">IFERROR(+BU6/BV6-1,"")</f>
        <v>0.44444444444444442</v>
      </c>
      <c r="R6" s="251">
        <f>+Q6</f>
        <v>0.44444444444444442</v>
      </c>
      <c r="S6" s="250"/>
      <c r="T6" s="24">
        <v>1</v>
      </c>
      <c r="U6" s="248">
        <f t="shared" ref="U6:U24" si="14">IFERROR(+BY6/BZ6-1,"")</f>
        <v>-2.5488583007890364E-2</v>
      </c>
      <c r="V6" s="252">
        <f t="shared" ref="V6:V24" si="15">+U6</f>
        <v>-2.5488583007890364E-2</v>
      </c>
      <c r="W6" s="248">
        <f>IFERROR(IF(CC6&lt;0.5,"",+CC6/CD6-1),"")</f>
        <v>-0.32166703416435216</v>
      </c>
      <c r="X6" s="252">
        <f t="shared" ref="X6:X23" si="16">+W6</f>
        <v>-0.32166703416435216</v>
      </c>
      <c r="Y6" s="248" t="str">
        <f t="shared" ref="Y6:Y25" si="17">IFERROR(+CG6/CH6-1,"")</f>
        <v/>
      </c>
      <c r="Z6" s="252" t="str">
        <f t="shared" ref="Z6:Z24" si="18">+Y6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P6" s="28">
        <f>VLOOKUP($A6,historia!$A$5:$CM$24,+HLOOKUP(AP$2,historia!$A$3:$EC$4,2,FALSE),FALSE)</f>
        <v>5</v>
      </c>
      <c r="AQ6" s="28">
        <f>VLOOKUP($A6,historia!$A$5:$CM$24,+HLOOKUP(AQ$2,historia!$A$3:$EC$4,2,FALSE),FALSE)</f>
        <v>5</v>
      </c>
      <c r="AR6" s="28">
        <f>VLOOKUP($A6,historia!$A$5:$CM$24,+HLOOKUP(AR$2,historia!$A$3:$EC$4,2,FALSE),FALSE)</f>
        <v>5</v>
      </c>
      <c r="AS6" s="28">
        <f>VLOOKUP($A6,historia!$A$5:$CM$24,+HLOOKUP(AS$2,historia!$A$3:$EC$4,2,FALSE),FALSE)</f>
        <v>5</v>
      </c>
      <c r="AT6" s="58">
        <f>VLOOKUP($A6,historia!$A$5:$CM$24,+HLOOKUP(AT$2,historia!$A$3:$EC$4,2,FALSE),FALSE)</f>
        <v>5</v>
      </c>
      <c r="AU6" s="58">
        <f>VLOOKUP($A6,historia!$A$5:$CM$24,+HLOOKUP(AU$2,historia!$A$3:$EC$4,2,FALSE),FALSE)</f>
        <v>5</v>
      </c>
      <c r="AV6" s="58">
        <f>VLOOKUP($A6,historia!$A$5:$CM$24,+HLOOKUP(AV$2,historia!$A$3:$EC$4,2,FALSE),FALSE)</f>
        <v>4</v>
      </c>
      <c r="AW6" s="58">
        <f>VLOOKUP($A6,historia!$A$5:$CM$24,+HLOOKUP(AW$2,historia!$A$3:$EC$4,2,FALSE),FALSE)</f>
        <v>4</v>
      </c>
      <c r="AX6" s="58">
        <f>VLOOKUP($A6,historia!$A$5:$CM$24,+HLOOKUP(AX$2,historia!$A$3:$EC$4,2,FALSE),FALSE)</f>
        <v>4</v>
      </c>
      <c r="AY6" s="58">
        <f>VLOOKUP($A6,historia!$A$5:$CM$24,+HLOOKUP(AY$2,historia!$A$3:$EC$4,2,FALSE),FALSE)</f>
        <v>4</v>
      </c>
      <c r="AZ6" s="58">
        <f>VLOOKUP($A6,historia!$A$5:$CM$24,+HLOOKUP(AZ$2,historia!$A$3:$EC$4,2,FALSE),FALSE)</f>
        <v>4</v>
      </c>
      <c r="BA6" s="58">
        <f>VLOOKUP($A6,historia!$A$5:$CM$24,+HLOOKUP(BA$2,historia!$A$3:$EC$4,2,FALSE),FALSE)</f>
        <v>3</v>
      </c>
      <c r="BB6" s="30"/>
      <c r="BC6" s="141">
        <v>3</v>
      </c>
      <c r="BD6" t="str">
        <f t="shared" ref="BD6:BD24" si="19">+A6</f>
        <v>Algodón</v>
      </c>
      <c r="BE6">
        <f>+datos!P1</f>
        <v>16</v>
      </c>
      <c r="BF6" s="2" t="str">
        <f t="shared" si="4"/>
        <v>$/kg</v>
      </c>
      <c r="BG6" s="2">
        <f t="shared" si="4"/>
        <v>1107.2396299999998</v>
      </c>
      <c r="BH6" s="2">
        <f t="shared" si="4"/>
        <v>1089.4148868749999</v>
      </c>
      <c r="BI6" s="2">
        <f t="shared" si="4"/>
        <v>503.82751249999995</v>
      </c>
      <c r="BK6">
        <f>+datos!BY1</f>
        <v>77</v>
      </c>
      <c r="BL6" s="2">
        <f t="shared" ref="BL6:BN24" si="20">+VLOOKUP(BL$1,ran_dat,$BK6,FALSE)</f>
        <v>7939.0023659726839</v>
      </c>
      <c r="BM6" s="2">
        <f t="shared" si="20"/>
        <v>7819.2385153983378</v>
      </c>
      <c r="BN6" s="2">
        <f t="shared" si="20"/>
        <v>2664.1890186426963</v>
      </c>
      <c r="BP6" s="1">
        <f>+datos!DK1</f>
        <v>115</v>
      </c>
      <c r="BQ6" s="1">
        <f t="shared" ref="BQ6:BR24" si="21">+VLOOKUP(BQ$1,ran_dat,$BP6,FALSE)</f>
        <v>650000</v>
      </c>
      <c r="BR6" s="1">
        <f t="shared" si="21"/>
        <v>580000</v>
      </c>
      <c r="BT6" s="1">
        <f>+datos!FF1</f>
        <v>162</v>
      </c>
      <c r="BU6" s="1">
        <f t="shared" ref="BU6:BV24" si="22">+VLOOKUP(BU$1,ran_dat,$BT6,FALSE)</f>
        <v>1300000</v>
      </c>
      <c r="BV6" s="1">
        <f t="shared" si="22"/>
        <v>900000</v>
      </c>
      <c r="BX6" s="1">
        <f>+datos!JF1</f>
        <v>266</v>
      </c>
      <c r="BY6" s="1">
        <f>+SUM(CJ6:CU6)</f>
        <v>141.39594065</v>
      </c>
      <c r="BZ6" s="1">
        <f>+SUM(CV6:DG6)</f>
        <v>145.09418585</v>
      </c>
      <c r="CB6" s="1">
        <f>+datos!KK1</f>
        <v>297</v>
      </c>
      <c r="CC6" s="2">
        <f t="shared" ref="CC6:CC24" si="23">+SUM(DI6:DT6)</f>
        <v>76.268424360000012</v>
      </c>
      <c r="CD6" s="2">
        <f t="shared" ref="CD6:CD24" si="24">+SUM(DU6:EF6)</f>
        <v>112.43508454000002</v>
      </c>
      <c r="CF6" s="1">
        <f>+datos!HS1</f>
        <v>227</v>
      </c>
      <c r="CG6" s="1">
        <f t="shared" ref="CG6:CG24" si="25">+EH6</f>
        <v>0</v>
      </c>
      <c r="CH6" s="1">
        <f t="shared" ref="CH6:CH24" si="26">+ET6</f>
        <v>0</v>
      </c>
      <c r="CJ6" s="1">
        <f t="shared" ref="CJ6:CY21" si="27">+VLOOKUP(CJ$1,ran_dat,$BX6,FALSE)</f>
        <v>14.529816729999997</v>
      </c>
      <c r="CK6" s="1">
        <f t="shared" si="27"/>
        <v>18.258202080000007</v>
      </c>
      <c r="CL6" s="1">
        <f t="shared" si="27"/>
        <v>18.510441480000001</v>
      </c>
      <c r="CM6" s="1">
        <f t="shared" si="27"/>
        <v>7.7064561400000011</v>
      </c>
      <c r="CN6" s="1">
        <f t="shared" si="27"/>
        <v>8.1062574399999985</v>
      </c>
      <c r="CO6" s="1">
        <f t="shared" si="27"/>
        <v>8.4463773399999997</v>
      </c>
      <c r="CP6" s="1">
        <f t="shared" si="27"/>
        <v>15.019774559999998</v>
      </c>
      <c r="CQ6" s="1">
        <f t="shared" si="27"/>
        <v>14.398572559999998</v>
      </c>
      <c r="CR6" s="1">
        <f t="shared" si="27"/>
        <v>16.61514231</v>
      </c>
      <c r="CS6" s="1">
        <f t="shared" si="27"/>
        <v>14.3155891</v>
      </c>
      <c r="CT6" s="1">
        <f t="shared" si="27"/>
        <v>3.12980459</v>
      </c>
      <c r="CU6" s="1">
        <f t="shared" si="27"/>
        <v>2.3595063199999995</v>
      </c>
      <c r="CV6" s="1">
        <f t="shared" si="27"/>
        <v>5.3927380000000005</v>
      </c>
      <c r="CW6" s="1">
        <f t="shared" si="27"/>
        <v>1.1182586999999999</v>
      </c>
      <c r="CX6" s="1">
        <f t="shared" si="27"/>
        <v>0.81365803999999953</v>
      </c>
      <c r="CY6" s="1">
        <f t="shared" si="27"/>
        <v>2.2053805500000006</v>
      </c>
      <c r="CZ6" s="1">
        <f t="shared" ref="CZ6:DG21" si="28">+VLOOKUP(CZ$1,ran_dat,$BX6,FALSE)</f>
        <v>1.2234686099999996</v>
      </c>
      <c r="DA6" s="1">
        <f t="shared" si="28"/>
        <v>13.370618389999997</v>
      </c>
      <c r="DB6" s="1">
        <f t="shared" si="28"/>
        <v>14.835861399999999</v>
      </c>
      <c r="DC6" s="1">
        <f t="shared" si="28"/>
        <v>16.749589410000009</v>
      </c>
      <c r="DD6" s="1">
        <f t="shared" si="28"/>
        <v>23.97822360000001</v>
      </c>
      <c r="DE6" s="1">
        <f t="shared" si="28"/>
        <v>23.329000269999998</v>
      </c>
      <c r="DF6" s="1">
        <f t="shared" si="28"/>
        <v>25.470338789999996</v>
      </c>
      <c r="DG6" s="1">
        <f t="shared" si="28"/>
        <v>16.607050090000005</v>
      </c>
      <c r="DI6" s="1">
        <f t="shared" ref="DI6:DX21" si="29">+VLOOKUP(DI$1,ran_dat,$CB6,FALSE)</f>
        <v>4.5516111999999991</v>
      </c>
      <c r="DJ6" s="1">
        <f t="shared" si="29"/>
        <v>3.9375346699999998</v>
      </c>
      <c r="DK6" s="1">
        <f t="shared" si="29"/>
        <v>4.8118603300000009</v>
      </c>
      <c r="DL6" s="1">
        <f t="shared" si="29"/>
        <v>5.2295233099999994</v>
      </c>
      <c r="DM6" s="1">
        <f t="shared" si="29"/>
        <v>7.4159317900000001</v>
      </c>
      <c r="DN6" s="1">
        <f t="shared" si="29"/>
        <v>3.5587731599999999</v>
      </c>
      <c r="DO6" s="1">
        <f t="shared" si="29"/>
        <v>6.9479693099999986</v>
      </c>
      <c r="DP6" s="1">
        <f t="shared" si="29"/>
        <v>7.5746309199999997</v>
      </c>
      <c r="DQ6" s="1">
        <f t="shared" si="29"/>
        <v>8.1137987799999998</v>
      </c>
      <c r="DR6" s="1">
        <f t="shared" si="29"/>
        <v>9.2876289100000005</v>
      </c>
      <c r="DS6" s="1">
        <f t="shared" si="29"/>
        <v>7.69051375</v>
      </c>
      <c r="DT6" s="1">
        <f t="shared" si="29"/>
        <v>7.1486482300000009</v>
      </c>
      <c r="DU6" s="1">
        <f t="shared" si="29"/>
        <v>9.1724036200000008</v>
      </c>
      <c r="DV6" s="1">
        <f t="shared" si="29"/>
        <v>6.8489806600000005</v>
      </c>
      <c r="DW6" s="1">
        <f t="shared" si="29"/>
        <v>8.39418884</v>
      </c>
      <c r="DX6" s="1">
        <f t="shared" si="29"/>
        <v>8.0897496800000006</v>
      </c>
      <c r="DY6" s="1">
        <f t="shared" ref="DY6:EF20" si="30">+VLOOKUP(DY$1,ran_dat,$CB6,FALSE)</f>
        <v>9.8858098699999992</v>
      </c>
      <c r="DZ6" s="1">
        <f t="shared" si="30"/>
        <v>11.833805730000002</v>
      </c>
      <c r="EA6" s="1">
        <f t="shared" si="30"/>
        <v>13.016290730000001</v>
      </c>
      <c r="EB6" s="1">
        <f t="shared" si="30"/>
        <v>10.901897520000004</v>
      </c>
      <c r="EC6" s="1">
        <f t="shared" si="30"/>
        <v>10.864187659999995</v>
      </c>
      <c r="ED6" s="1">
        <f t="shared" si="30"/>
        <v>11.783992419999999</v>
      </c>
      <c r="EE6" s="1">
        <f t="shared" si="30"/>
        <v>1.0941888799999999</v>
      </c>
      <c r="EF6" s="1">
        <f t="shared" si="30"/>
        <v>10.549588929999999</v>
      </c>
      <c r="EH6" s="14">
        <f t="shared" ref="EH6:EW21" si="31">+VLOOKUP(EH$1,ran_dat,$CF6,FALSE)</f>
        <v>0</v>
      </c>
      <c r="EI6" s="14">
        <f t="shared" si="31"/>
        <v>0</v>
      </c>
      <c r="EJ6" s="1">
        <f t="shared" si="31"/>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ref="EX6:FE20" si="32">+VLOOKUP(EX$1,ran_dat,$CF6,FALSE)</f>
        <v>0</v>
      </c>
      <c r="EY6" s="1">
        <f t="shared" si="32"/>
        <v>0</v>
      </c>
      <c r="EZ6" s="1">
        <f t="shared" si="32"/>
        <v>0</v>
      </c>
      <c r="FA6" s="1">
        <f t="shared" si="32"/>
        <v>0</v>
      </c>
      <c r="FB6" s="1">
        <f t="shared" si="32"/>
        <v>0</v>
      </c>
      <c r="FC6" s="1">
        <f t="shared" si="32"/>
        <v>0</v>
      </c>
      <c r="FD6" s="1">
        <f t="shared" si="32"/>
        <v>0</v>
      </c>
      <c r="FE6" s="1">
        <f t="shared" si="32"/>
        <v>0</v>
      </c>
      <c r="FG6" s="162">
        <f t="shared" ref="FG6:FG24" si="33">+I6-K6</f>
        <v>-0.78223841368982816</v>
      </c>
    </row>
    <row r="7" spans="1:163" ht="18.75" customHeight="1">
      <c r="A7" s="244" t="s">
        <v>13</v>
      </c>
      <c r="B7" s="247"/>
      <c r="C7" s="228">
        <f t="shared" si="5"/>
        <v>0.33</v>
      </c>
      <c r="D7" s="229">
        <v>1</v>
      </c>
      <c r="E7" s="253">
        <f t="shared" si="6"/>
        <v>4.5004421943499295E-2</v>
      </c>
      <c r="F7" s="254">
        <f t="shared" si="7"/>
        <v>3.2411431168477556E-3</v>
      </c>
      <c r="G7" s="253">
        <f t="shared" si="8"/>
        <v>3.2722354088485783E-2</v>
      </c>
      <c r="H7" s="254">
        <f t="shared" si="9"/>
        <v>1.2282067855013512E-2</v>
      </c>
      <c r="I7" s="253">
        <f t="shared" si="10"/>
        <v>2.7691307686755682</v>
      </c>
      <c r="J7" s="254">
        <f t="shared" si="11"/>
        <v>5.0526204356073912E-3</v>
      </c>
      <c r="K7" s="253">
        <f t="shared" ref="K7:K24" si="34">IFERROR(+BL7/BN7-1,"")</f>
        <v>2.531966455128396</v>
      </c>
      <c r="L7" s="254">
        <f t="shared" si="12"/>
        <v>0.23716431354717216</v>
      </c>
      <c r="M7" s="255"/>
      <c r="N7" s="256">
        <v>1</v>
      </c>
      <c r="O7" s="253">
        <f t="shared" ref="O7:O24" si="35">IFERROR(+BQ7/BR7-1,"")</f>
        <v>5.2631578947368363E-2</v>
      </c>
      <c r="P7" s="257">
        <f t="shared" ref="P7:P24" si="36">+O7</f>
        <v>5.2631578947368363E-2</v>
      </c>
      <c r="Q7" s="253">
        <f t="shared" si="13"/>
        <v>0.18181818181818188</v>
      </c>
      <c r="R7" s="257">
        <f t="shared" ref="R7:R24" si="37">+Q7</f>
        <v>0.18181818181818188</v>
      </c>
      <c r="S7" s="255"/>
      <c r="T7" s="256">
        <v>-1</v>
      </c>
      <c r="U7" s="253">
        <f t="shared" si="14"/>
        <v>-0.23432635565148785</v>
      </c>
      <c r="V7" s="258">
        <f t="shared" si="15"/>
        <v>-0.23432635565148785</v>
      </c>
      <c r="W7" s="253">
        <f t="shared" ref="W7:W24" si="38">IFERROR(IF(CC7&lt;0.5,"",+CC7/CD7-1),"")</f>
        <v>2.0057857964751054</v>
      </c>
      <c r="X7" s="258">
        <f t="shared" si="16"/>
        <v>2.0057857964751054</v>
      </c>
      <c r="Y7" s="253">
        <f t="shared" si="17"/>
        <v>0</v>
      </c>
      <c r="Z7" s="258">
        <f t="shared" si="18"/>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P7" s="28">
        <f>VLOOKUP($A7,historia!$A$5:$CM$24,+HLOOKUP(AP$2,historia!$A$3:$EC$4,2,FALSE),FALSE)</f>
        <v>3</v>
      </c>
      <c r="AQ7" s="28">
        <f>VLOOKUP($A7,historia!$A$5:$CM$24,+HLOOKUP(AQ$2,historia!$A$3:$EC$4,2,FALSE),FALSE)</f>
        <v>3</v>
      </c>
      <c r="AR7" s="28">
        <f>VLOOKUP($A7,historia!$A$5:$CM$24,+HLOOKUP(AR$2,historia!$A$3:$EC$4,2,FALSE),FALSE)</f>
        <v>3</v>
      </c>
      <c r="AS7" s="28">
        <f>VLOOKUP($A7,historia!$A$5:$CM$24,+HLOOKUP(AS$2,historia!$A$3:$EC$4,2,FALSE),FALSE)</f>
        <v>4</v>
      </c>
      <c r="AT7" s="58">
        <f>VLOOKUP($A7,historia!$A$5:$CM$24,+HLOOKUP(AT$2,historia!$A$3:$EC$4,2,FALSE),FALSE)</f>
        <v>5</v>
      </c>
      <c r="AU7" s="58">
        <f>VLOOKUP($A7,historia!$A$5:$CM$24,+HLOOKUP(AU$2,historia!$A$3:$EC$4,2,FALSE),FALSE)</f>
        <v>4</v>
      </c>
      <c r="AV7" s="58">
        <f>VLOOKUP($A7,historia!$A$5:$CM$24,+HLOOKUP(AV$2,historia!$A$3:$EC$4,2,FALSE),FALSE)</f>
        <v>3</v>
      </c>
      <c r="AW7" s="58">
        <f>VLOOKUP($A7,historia!$A$5:$CM$24,+HLOOKUP(AW$2,historia!$A$3:$EC$4,2,FALSE),FALSE)</f>
        <v>2</v>
      </c>
      <c r="AX7" s="58">
        <f>VLOOKUP($A7,historia!$A$5:$CM$24,+HLOOKUP(AX$2,historia!$A$3:$EC$4,2,FALSE),FALSE)</f>
        <v>2</v>
      </c>
      <c r="AY7" s="58">
        <f>VLOOKUP($A7,historia!$A$5:$CM$24,+HLOOKUP(AY$2,historia!$A$3:$EC$4,2,FALSE),FALSE)</f>
        <v>2</v>
      </c>
      <c r="AZ7" s="58">
        <f>VLOOKUP($A7,historia!$A$5:$CM$24,+HLOOKUP(AZ$2,historia!$A$3:$EC$4,2,FALSE),FALSE)</f>
        <v>2</v>
      </c>
      <c r="BA7" s="58">
        <f>VLOOKUP($A7,historia!$A$5:$CM$24,+HLOOKUP(BA$2,historia!$A$3:$EC$4,2,FALSE),FALSE)</f>
        <v>2</v>
      </c>
      <c r="BB7" s="30"/>
      <c r="BC7" s="141">
        <v>2</v>
      </c>
      <c r="BD7" t="str">
        <f t="shared" si="19"/>
        <v>Arroz</v>
      </c>
      <c r="BE7">
        <f>+datos!R1</f>
        <v>18</v>
      </c>
      <c r="BF7" s="2" t="str">
        <f t="shared" si="4"/>
        <v>$/t</v>
      </c>
      <c r="BG7" s="2">
        <f t="shared" si="4"/>
        <v>320376.11533742328</v>
      </c>
      <c r="BH7" s="2">
        <f t="shared" si="4"/>
        <v>306578.71738148987</v>
      </c>
      <c r="BI7" s="2">
        <f t="shared" si="4"/>
        <v>85000</v>
      </c>
      <c r="BK7">
        <f>+datos!BZ1</f>
        <v>78</v>
      </c>
      <c r="BL7" s="2">
        <f t="shared" si="20"/>
        <v>7767.8754858721986</v>
      </c>
      <c r="BM7" s="2">
        <f t="shared" si="20"/>
        <v>7521.7462419784424</v>
      </c>
      <c r="BN7" s="2">
        <f t="shared" si="20"/>
        <v>2199.3061328748709</v>
      </c>
      <c r="BP7" s="1">
        <f>+datos!DM1</f>
        <v>117</v>
      </c>
      <c r="BQ7" s="1">
        <f t="shared" si="21"/>
        <v>200000</v>
      </c>
      <c r="BR7" s="1">
        <f t="shared" si="21"/>
        <v>190000</v>
      </c>
      <c r="BT7" s="1">
        <f>+datos!FH1</f>
        <v>164</v>
      </c>
      <c r="BU7" s="1">
        <f t="shared" si="22"/>
        <v>1300000</v>
      </c>
      <c r="BV7" s="1">
        <f t="shared" si="22"/>
        <v>1100000</v>
      </c>
      <c r="BX7" s="1">
        <f>+datos!JG1</f>
        <v>267</v>
      </c>
      <c r="BY7" s="1">
        <f t="shared" ref="BY7:BY24" si="39">+SUM(CJ7:CU7)</f>
        <v>226.98849551999999</v>
      </c>
      <c r="BZ7" s="1">
        <f t="shared" ref="BZ7:BZ24" si="40">+SUM(CV7:DG7)</f>
        <v>296.45593418999999</v>
      </c>
      <c r="CB7" s="1">
        <f>+datos!KL1</f>
        <v>298</v>
      </c>
      <c r="CC7" s="2">
        <f t="shared" si="23"/>
        <v>2.4303822699999995</v>
      </c>
      <c r="CD7" s="2">
        <f t="shared" si="24"/>
        <v>0.80856802000000016</v>
      </c>
      <c r="CF7" s="1">
        <f>+datos!HU1</f>
        <v>229</v>
      </c>
      <c r="CG7" s="1">
        <f t="shared" si="25"/>
        <v>700000</v>
      </c>
      <c r="CH7" s="1">
        <f t="shared" si="26"/>
        <v>700000</v>
      </c>
      <c r="CJ7" s="1">
        <f t="shared" si="27"/>
        <v>32.785113670000001</v>
      </c>
      <c r="CK7" s="1">
        <f t="shared" si="27"/>
        <v>22.35722878</v>
      </c>
      <c r="CL7" s="1">
        <f t="shared" si="27"/>
        <v>34.376458229999997</v>
      </c>
      <c r="CM7" s="1">
        <f t="shared" si="27"/>
        <v>13.355622539999999</v>
      </c>
      <c r="CN7" s="1">
        <f t="shared" si="27"/>
        <v>10.68224592</v>
      </c>
      <c r="CO7" s="1">
        <f t="shared" si="27"/>
        <v>15.82785018</v>
      </c>
      <c r="CP7" s="1">
        <f t="shared" si="27"/>
        <v>16.180063639999997</v>
      </c>
      <c r="CQ7" s="1">
        <f t="shared" si="27"/>
        <v>11.823193960000001</v>
      </c>
      <c r="CR7" s="1">
        <f t="shared" si="27"/>
        <v>12.24327484</v>
      </c>
      <c r="CS7" s="1">
        <f t="shared" si="27"/>
        <v>9.600226039999999</v>
      </c>
      <c r="CT7" s="1">
        <f t="shared" si="27"/>
        <v>26.338491399999999</v>
      </c>
      <c r="CU7" s="1">
        <f t="shared" si="27"/>
        <v>21.418726320000001</v>
      </c>
      <c r="CV7" s="1">
        <f t="shared" si="27"/>
        <v>22.255101539999998</v>
      </c>
      <c r="CW7" s="1">
        <f t="shared" si="27"/>
        <v>44.848914040000004</v>
      </c>
      <c r="CX7" s="1">
        <f t="shared" si="27"/>
        <v>20.357260950000001</v>
      </c>
      <c r="CY7" s="1">
        <f t="shared" si="27"/>
        <v>17.134564559999998</v>
      </c>
      <c r="CZ7" s="1">
        <f t="shared" si="28"/>
        <v>28.8463791</v>
      </c>
      <c r="DA7" s="1">
        <f t="shared" si="28"/>
        <v>29.656605189999997</v>
      </c>
      <c r="DB7" s="1">
        <f t="shared" si="28"/>
        <v>22.47426432</v>
      </c>
      <c r="DC7" s="1">
        <f t="shared" si="28"/>
        <v>15.997414339999999</v>
      </c>
      <c r="DD7" s="1">
        <f t="shared" si="28"/>
        <v>24.494655209999998</v>
      </c>
      <c r="DE7" s="1">
        <f t="shared" si="28"/>
        <v>19.108820979999997</v>
      </c>
      <c r="DF7" s="1">
        <f t="shared" si="28"/>
        <v>27.47614467</v>
      </c>
      <c r="DG7" s="1">
        <f t="shared" si="28"/>
        <v>23.805809289999999</v>
      </c>
      <c r="DI7" s="1">
        <f t="shared" si="29"/>
        <v>0.23845672000000001</v>
      </c>
      <c r="DJ7" s="1">
        <f t="shared" si="29"/>
        <v>0.50080292000000004</v>
      </c>
      <c r="DK7" s="1">
        <f t="shared" si="29"/>
        <v>8.6091799999999996E-2</v>
      </c>
      <c r="DL7" s="1">
        <f t="shared" si="29"/>
        <v>0.22536</v>
      </c>
      <c r="DM7" s="1">
        <f t="shared" si="29"/>
        <v>0.8256</v>
      </c>
      <c r="DN7" s="1">
        <f t="shared" si="29"/>
        <v>3.973985E-2</v>
      </c>
      <c r="DO7" s="1">
        <f t="shared" si="29"/>
        <v>3.3462720000000001E-2</v>
      </c>
      <c r="DP7" s="1">
        <f t="shared" si="29"/>
        <v>0.19098301000000001</v>
      </c>
      <c r="DQ7" s="1">
        <f t="shared" si="29"/>
        <v>0.10767879</v>
      </c>
      <c r="DR7" s="1">
        <f t="shared" si="29"/>
        <v>5.5773490000000002E-2</v>
      </c>
      <c r="DS7" s="1">
        <f t="shared" si="29"/>
        <v>8.7189080000000002E-2</v>
      </c>
      <c r="DT7" s="1">
        <f t="shared" si="29"/>
        <v>3.9243889999999997E-2</v>
      </c>
      <c r="DU7" s="1">
        <f t="shared" si="29"/>
        <v>0.10892111</v>
      </c>
      <c r="DV7" s="1">
        <f t="shared" si="29"/>
        <v>1.8036480000000001E-2</v>
      </c>
      <c r="DW7" s="1">
        <f t="shared" si="29"/>
        <v>2.0500000000000002E-3</v>
      </c>
      <c r="DX7" s="1">
        <f t="shared" si="29"/>
        <v>1.0492100000000001E-3</v>
      </c>
      <c r="DY7" s="1">
        <f t="shared" si="30"/>
        <v>2.7127990000000001E-2</v>
      </c>
      <c r="DZ7" s="1">
        <f t="shared" si="30"/>
        <v>2.9352990000000002E-2</v>
      </c>
      <c r="EA7" s="1">
        <f t="shared" si="30"/>
        <v>4.3800639999999995E-2</v>
      </c>
      <c r="EB7" s="1">
        <f t="shared" si="30"/>
        <v>2.6976839999999998E-2</v>
      </c>
      <c r="EC7" s="1">
        <f t="shared" si="30"/>
        <v>0.38784603000000006</v>
      </c>
      <c r="ED7" s="1">
        <f t="shared" si="30"/>
        <v>0.13118235</v>
      </c>
      <c r="EE7" s="1">
        <f t="shared" si="30"/>
        <v>1.8151110000000002E-2</v>
      </c>
      <c r="EF7" s="1">
        <f t="shared" si="30"/>
        <v>1.4073269999999999E-2</v>
      </c>
      <c r="EH7" s="14">
        <f t="shared" si="31"/>
        <v>700000</v>
      </c>
      <c r="EI7" s="14">
        <f t="shared" si="31"/>
        <v>700000</v>
      </c>
      <c r="EJ7" s="1">
        <f t="shared" si="31"/>
        <v>700000</v>
      </c>
      <c r="EK7" s="1">
        <f t="shared" si="31"/>
        <v>700000</v>
      </c>
      <c r="EL7" s="1">
        <f t="shared" si="31"/>
        <v>700000</v>
      </c>
      <c r="EM7" s="1">
        <f t="shared" si="31"/>
        <v>700000</v>
      </c>
      <c r="EN7" s="1">
        <f t="shared" si="31"/>
        <v>700000</v>
      </c>
      <c r="EO7" s="1">
        <f t="shared" si="31"/>
        <v>700000</v>
      </c>
      <c r="EP7" s="1">
        <f t="shared" si="31"/>
        <v>700000</v>
      </c>
      <c r="EQ7" s="1">
        <f t="shared" si="31"/>
        <v>700000</v>
      </c>
      <c r="ER7" s="1">
        <f t="shared" si="31"/>
        <v>700000</v>
      </c>
      <c r="ES7" s="1">
        <f t="shared" si="31"/>
        <v>700000</v>
      </c>
      <c r="ET7" s="1">
        <f t="shared" si="31"/>
        <v>700000</v>
      </c>
      <c r="EU7" s="1">
        <f t="shared" si="31"/>
        <v>700000</v>
      </c>
      <c r="EV7" s="1">
        <f t="shared" si="31"/>
        <v>700000</v>
      </c>
      <c r="EW7" s="1">
        <f t="shared" si="31"/>
        <v>650000</v>
      </c>
      <c r="EX7" s="1">
        <f t="shared" si="32"/>
        <v>650000</v>
      </c>
      <c r="EY7" s="1">
        <f t="shared" si="32"/>
        <v>650000</v>
      </c>
      <c r="EZ7" s="1">
        <f t="shared" si="32"/>
        <v>650000</v>
      </c>
      <c r="FA7" s="1">
        <f t="shared" si="32"/>
        <v>650000</v>
      </c>
      <c r="FB7" s="1">
        <f t="shared" si="32"/>
        <v>650000</v>
      </c>
      <c r="FC7" s="1">
        <f t="shared" si="32"/>
        <v>650000</v>
      </c>
      <c r="FD7" s="1">
        <f t="shared" si="32"/>
        <v>650000</v>
      </c>
      <c r="FE7" s="1">
        <f t="shared" si="32"/>
        <v>650000</v>
      </c>
      <c r="FG7" s="162">
        <f t="shared" si="33"/>
        <v>0.23716431354717216</v>
      </c>
    </row>
    <row r="8" spans="1:163" ht="18.75" customHeight="1">
      <c r="A8" s="243" t="s">
        <v>215</v>
      </c>
      <c r="B8" s="246"/>
      <c r="C8" s="156">
        <f t="shared" si="5"/>
        <v>0</v>
      </c>
      <c r="D8" s="198">
        <v>-1</v>
      </c>
      <c r="E8" s="248">
        <f t="shared" si="6"/>
        <v>-0.16783059521070365</v>
      </c>
      <c r="F8" s="249">
        <f t="shared" si="7"/>
        <v>-0.20959387403735519</v>
      </c>
      <c r="G8" s="248">
        <f t="shared" si="8"/>
        <v>5.7177932981716806E-2</v>
      </c>
      <c r="H8" s="249">
        <f t="shared" si="9"/>
        <v>-0.22500852819242045</v>
      </c>
      <c r="I8" s="248">
        <f t="shared" si="10"/>
        <v>2.6391480217418786</v>
      </c>
      <c r="J8" s="249">
        <f t="shared" si="11"/>
        <v>-0.12493012649808222</v>
      </c>
      <c r="K8" s="248">
        <f t="shared" si="34"/>
        <v>2.574321409809083</v>
      </c>
      <c r="L8" s="249">
        <f t="shared" si="12"/>
        <v>6.4826611932795597E-2</v>
      </c>
      <c r="M8" s="250"/>
      <c r="N8" s="24">
        <v>1</v>
      </c>
      <c r="O8" s="248">
        <f t="shared" si="35"/>
        <v>-8.7776332899870413E-3</v>
      </c>
      <c r="P8" s="251">
        <f t="shared" si="36"/>
        <v>-8.7776332899870413E-3</v>
      </c>
      <c r="Q8" s="248">
        <f t="shared" si="13"/>
        <v>-8.9046863136742482E-3</v>
      </c>
      <c r="R8" s="251">
        <f t="shared" si="37"/>
        <v>-8.9046863136742482E-3</v>
      </c>
      <c r="S8" s="250"/>
      <c r="T8" s="24">
        <v>0</v>
      </c>
      <c r="U8" s="248">
        <f>IFERROR(+BY8/BZ8-1,"")</f>
        <v>-0.29982694586557046</v>
      </c>
      <c r="V8" s="252">
        <f t="shared" si="15"/>
        <v>-0.29982694586557046</v>
      </c>
      <c r="W8" s="248">
        <f t="shared" si="38"/>
        <v>-0.19836926302800861</v>
      </c>
      <c r="X8" s="252">
        <f t="shared" si="16"/>
        <v>-0.19836926302800861</v>
      </c>
      <c r="Y8" s="248">
        <f t="shared" si="17"/>
        <v>-1.0219612959338931E-2</v>
      </c>
      <c r="Z8" s="252">
        <f t="shared" si="18"/>
        <v>-1.0219612959338931E-2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P8" s="28">
        <f>VLOOKUP($A8,historia!$A$5:$CM$24,+HLOOKUP(AP$2,historia!$A$3:$EC$4,2,FALSE),FALSE)</f>
        <v>3</v>
      </c>
      <c r="AQ8" s="28">
        <f>VLOOKUP($A8,historia!$A$5:$CM$24,+HLOOKUP(AQ$2,historia!$A$3:$EC$4,2,FALSE),FALSE)</f>
        <v>3</v>
      </c>
      <c r="AR8" s="28">
        <f>VLOOKUP($A8,historia!$A$5:$CM$24,+HLOOKUP(AR$2,historia!$A$3:$EC$4,2,FALSE),FALSE)</f>
        <v>3</v>
      </c>
      <c r="AS8" s="28">
        <f>VLOOKUP($A8,historia!$A$5:$CM$24,+HLOOKUP(AS$2,historia!$A$3:$EC$4,2,FALSE),FALSE)</f>
        <v>4</v>
      </c>
      <c r="AT8" s="58">
        <f>VLOOKUP($A8,historia!$A$5:$CM$24,+HLOOKUP(AT$2,historia!$A$3:$EC$4,2,FALSE),FALSE)</f>
        <v>4</v>
      </c>
      <c r="AU8" s="58">
        <f>VLOOKUP($A8,historia!$A$5:$CM$24,+HLOOKUP(AU$2,historia!$A$3:$EC$4,2,FALSE),FALSE)</f>
        <v>4</v>
      </c>
      <c r="AV8" s="58">
        <f>VLOOKUP($A8,historia!$A$5:$CM$24,+HLOOKUP(AV$2,historia!$A$3:$EC$4,2,FALSE),FALSE)</f>
        <v>5</v>
      </c>
      <c r="AW8" s="58">
        <f>VLOOKUP($A8,historia!$A$5:$CM$24,+HLOOKUP(AW$2,historia!$A$3:$EC$4,2,FALSE),FALSE)</f>
        <v>2</v>
      </c>
      <c r="AX8" s="58">
        <f>VLOOKUP($A8,historia!$A$5:$CM$24,+HLOOKUP(AX$2,historia!$A$3:$EC$4,2,FALSE),FALSE)</f>
        <v>1</v>
      </c>
      <c r="AY8" s="58">
        <f>VLOOKUP($A8,historia!$A$5:$CM$24,+HLOOKUP(AY$2,historia!$A$3:$EC$4,2,FALSE),FALSE)</f>
        <v>1</v>
      </c>
      <c r="AZ8" s="58">
        <f>VLOOKUP($A8,historia!$A$5:$CM$24,+HLOOKUP(AZ$2,historia!$A$3:$EC$4,2,FALSE),FALSE)</f>
        <v>2</v>
      </c>
      <c r="BA8" s="58">
        <f>VLOOKUP($A8,historia!$A$5:$CM$24,+HLOOKUP(BA$2,historia!$A$3:$EC$4,2,FALSE),FALSE)</f>
        <v>3</v>
      </c>
      <c r="BB8" s="30"/>
      <c r="BC8" s="141">
        <v>3</v>
      </c>
      <c r="BD8" t="str">
        <f t="shared" si="19"/>
        <v>Aves</v>
      </c>
      <c r="BE8">
        <f>+datos!BQ1</f>
        <v>69</v>
      </c>
      <c r="BF8" s="2" t="str">
        <f t="shared" si="4"/>
        <v>prom pond huevo-carne</v>
      </c>
      <c r="BG8" s="2">
        <f t="shared" si="4"/>
        <v>1439.4650000000001</v>
      </c>
      <c r="BH8" s="2">
        <f t="shared" si="4"/>
        <v>1729.7739999999999</v>
      </c>
      <c r="BI8" s="2">
        <f t="shared" si="4"/>
        <v>395.55</v>
      </c>
      <c r="BK8">
        <f>+datos!DG1</f>
        <v>111</v>
      </c>
      <c r="BL8" s="2">
        <f t="shared" si="20"/>
        <v>7439.4329909771695</v>
      </c>
      <c r="BM8" s="2">
        <f t="shared" si="20"/>
        <v>7037.0679891081591</v>
      </c>
      <c r="BN8" s="2">
        <f t="shared" si="20"/>
        <v>2081.3553505739528</v>
      </c>
      <c r="BP8" s="1">
        <f>+datos!EP1</f>
        <v>146</v>
      </c>
      <c r="BQ8" s="1">
        <f t="shared" si="21"/>
        <v>9147</v>
      </c>
      <c r="BR8" s="1">
        <f t="shared" si="21"/>
        <v>9228</v>
      </c>
      <c r="BT8" s="1">
        <f>+datos!HM1</f>
        <v>221</v>
      </c>
      <c r="BU8" s="1">
        <f t="shared" si="22"/>
        <v>2365136.12</v>
      </c>
      <c r="BV8" s="1">
        <f t="shared" si="22"/>
        <v>2386386.14</v>
      </c>
      <c r="BX8" s="1">
        <f>+datos!KF1</f>
        <v>292</v>
      </c>
      <c r="BY8" s="1">
        <f t="shared" si="39"/>
        <v>373.31665306000002</v>
      </c>
      <c r="BZ8" s="1">
        <f t="shared" si="40"/>
        <v>533.17769207999993</v>
      </c>
      <c r="CB8" s="1">
        <f>+datos!LK1</f>
        <v>323</v>
      </c>
      <c r="CC8" s="2">
        <f t="shared" si="23"/>
        <v>36.311436709999995</v>
      </c>
      <c r="CD8" s="2">
        <f t="shared" si="24"/>
        <v>45.296961600000003</v>
      </c>
      <c r="CF8" s="1">
        <f>+datos!IL1</f>
        <v>246</v>
      </c>
      <c r="CG8" s="1">
        <f t="shared" si="25"/>
        <v>45.52</v>
      </c>
      <c r="CH8" s="1">
        <f t="shared" si="26"/>
        <v>45.99</v>
      </c>
      <c r="CJ8" s="1">
        <f t="shared" si="27"/>
        <v>22.778743510000002</v>
      </c>
      <c r="CK8" s="1">
        <f t="shared" si="27"/>
        <v>39.062197300000001</v>
      </c>
      <c r="CL8" s="1">
        <f t="shared" si="27"/>
        <v>40.013868680000002</v>
      </c>
      <c r="CM8" s="1">
        <f t="shared" si="27"/>
        <v>35.607742460000011</v>
      </c>
      <c r="CN8" s="1">
        <f t="shared" si="27"/>
        <v>32.51792974</v>
      </c>
      <c r="CO8" s="1">
        <f t="shared" si="27"/>
        <v>35.210116300000003</v>
      </c>
      <c r="CP8" s="1">
        <f t="shared" si="27"/>
        <v>30.603465830000005</v>
      </c>
      <c r="CQ8" s="1">
        <f t="shared" si="27"/>
        <v>35.017556320000004</v>
      </c>
      <c r="CR8" s="1">
        <f t="shared" si="27"/>
        <v>24.343011479999998</v>
      </c>
      <c r="CS8" s="1">
        <f t="shared" si="27"/>
        <v>32.053320659999997</v>
      </c>
      <c r="CT8" s="1">
        <f t="shared" si="27"/>
        <v>25.827296739999998</v>
      </c>
      <c r="CU8" s="1">
        <f t="shared" si="27"/>
        <v>20.281404040000002</v>
      </c>
      <c r="CV8" s="1">
        <f t="shared" si="27"/>
        <v>20.776878260000004</v>
      </c>
      <c r="CW8" s="1">
        <f t="shared" si="27"/>
        <v>18.00257775</v>
      </c>
      <c r="CX8" s="1">
        <f t="shared" si="27"/>
        <v>18.061317600000002</v>
      </c>
      <c r="CY8" s="1">
        <f t="shared" si="27"/>
        <v>50.712421620000008</v>
      </c>
      <c r="CZ8" s="1">
        <f t="shared" si="28"/>
        <v>45.90045215</v>
      </c>
      <c r="DA8" s="1">
        <f t="shared" si="28"/>
        <v>47.273016750000004</v>
      </c>
      <c r="DB8" s="1">
        <f t="shared" si="28"/>
        <v>53.715518810000006</v>
      </c>
      <c r="DC8" s="1">
        <f t="shared" si="28"/>
        <v>52.265948369999997</v>
      </c>
      <c r="DD8" s="1">
        <f t="shared" si="28"/>
        <v>57.828382590000011</v>
      </c>
      <c r="DE8" s="1">
        <f t="shared" si="28"/>
        <v>63.168661010000001</v>
      </c>
      <c r="DF8" s="1">
        <f t="shared" si="28"/>
        <v>52.541029930000001</v>
      </c>
      <c r="DG8" s="1">
        <f t="shared" si="28"/>
        <v>52.931487239999996</v>
      </c>
      <c r="DI8" s="1">
        <f t="shared" si="29"/>
        <v>1.7294530099999998</v>
      </c>
      <c r="DJ8" s="1">
        <f t="shared" si="29"/>
        <v>4.2232492399999995</v>
      </c>
      <c r="DK8" s="1">
        <f t="shared" si="29"/>
        <v>1.27466579</v>
      </c>
      <c r="DL8" s="1">
        <f t="shared" si="29"/>
        <v>1.8857013599999999</v>
      </c>
      <c r="DM8" s="1">
        <f t="shared" si="29"/>
        <v>4.07849503</v>
      </c>
      <c r="DN8" s="1">
        <f t="shared" si="29"/>
        <v>2.60999925</v>
      </c>
      <c r="DO8" s="1">
        <f t="shared" si="29"/>
        <v>4.3280037599999996</v>
      </c>
      <c r="DP8" s="1">
        <f t="shared" si="29"/>
        <v>3.9253711099999995</v>
      </c>
      <c r="DQ8" s="1">
        <f t="shared" si="29"/>
        <v>2.66724104</v>
      </c>
      <c r="DR8" s="1">
        <f t="shared" si="29"/>
        <v>1.3237541899999998</v>
      </c>
      <c r="DS8" s="1">
        <f t="shared" si="29"/>
        <v>4.0034089300000009</v>
      </c>
      <c r="DT8" s="1">
        <f t="shared" si="29"/>
        <v>4.2620939999999994</v>
      </c>
      <c r="DU8" s="1">
        <f t="shared" si="29"/>
        <v>6.8027163900000005</v>
      </c>
      <c r="DV8" s="1">
        <f t="shared" si="29"/>
        <v>1.73014019</v>
      </c>
      <c r="DW8" s="1">
        <f t="shared" si="29"/>
        <v>6.4691643499999998</v>
      </c>
      <c r="DX8" s="1">
        <f t="shared" si="29"/>
        <v>1.80858622</v>
      </c>
      <c r="DY8" s="1">
        <f t="shared" si="30"/>
        <v>3.7432468400000003</v>
      </c>
      <c r="DZ8" s="1">
        <f t="shared" si="30"/>
        <v>0.59472115000000003</v>
      </c>
      <c r="EA8" s="1">
        <f t="shared" si="30"/>
        <v>5.9863547400000003</v>
      </c>
      <c r="EB8" s="1">
        <f t="shared" si="30"/>
        <v>1.02297792</v>
      </c>
      <c r="EC8" s="1">
        <f t="shared" si="30"/>
        <v>3.9990310300000003</v>
      </c>
      <c r="ED8" s="1">
        <f t="shared" si="30"/>
        <v>3.76265019</v>
      </c>
      <c r="EE8" s="1">
        <f t="shared" si="30"/>
        <v>2.4988292100000002</v>
      </c>
      <c r="EF8" s="1">
        <f t="shared" si="30"/>
        <v>6.8785433699999992</v>
      </c>
      <c r="EH8" s="14">
        <f t="shared" si="31"/>
        <v>45.52</v>
      </c>
      <c r="EI8" s="14">
        <f t="shared" si="31"/>
        <v>46.23</v>
      </c>
      <c r="EJ8" s="1">
        <f t="shared" si="31"/>
        <v>46.23</v>
      </c>
      <c r="EK8" s="1">
        <f t="shared" si="31"/>
        <v>46.23</v>
      </c>
      <c r="EL8" s="1">
        <f t="shared" si="31"/>
        <v>48.52</v>
      </c>
      <c r="EM8" s="1">
        <f t="shared" si="31"/>
        <v>45.85</v>
      </c>
      <c r="EN8" s="1">
        <f t="shared" si="31"/>
        <v>46.03</v>
      </c>
      <c r="EO8" s="1">
        <f t="shared" si="31"/>
        <v>46.13</v>
      </c>
      <c r="EP8" s="1">
        <f t="shared" si="31"/>
        <v>45.88</v>
      </c>
      <c r="EQ8" s="1">
        <f t="shared" si="31"/>
        <v>46.09</v>
      </c>
      <c r="ER8" s="1">
        <f t="shared" si="31"/>
        <v>45.9</v>
      </c>
      <c r="ES8" s="1">
        <f t="shared" si="31"/>
        <v>46</v>
      </c>
      <c r="ET8" s="1">
        <f t="shared" si="31"/>
        <v>45.99</v>
      </c>
      <c r="EU8" s="1">
        <f t="shared" si="31"/>
        <v>45.74</v>
      </c>
      <c r="EV8" s="1">
        <f t="shared" si="31"/>
        <v>45.46</v>
      </c>
      <c r="EW8" s="1">
        <f t="shared" si="31"/>
        <v>45.56</v>
      </c>
      <c r="EX8" s="1">
        <f t="shared" si="32"/>
        <v>45.71</v>
      </c>
      <c r="EY8" s="1">
        <f t="shared" si="32"/>
        <v>45.71</v>
      </c>
      <c r="EZ8" s="1">
        <f t="shared" si="32"/>
        <v>46.04</v>
      </c>
      <c r="FA8" s="1">
        <f t="shared" si="32"/>
        <v>45.9</v>
      </c>
      <c r="FB8" s="1">
        <f t="shared" si="32"/>
        <v>48.39</v>
      </c>
      <c r="FC8" s="1">
        <f t="shared" si="32"/>
        <v>47.03</v>
      </c>
      <c r="FD8" s="1">
        <f t="shared" si="32"/>
        <v>45.75</v>
      </c>
      <c r="FE8" s="1">
        <f t="shared" si="32"/>
        <v>45.91</v>
      </c>
      <c r="FG8" s="162">
        <f t="shared" si="33"/>
        <v>6.4826611932795597E-2</v>
      </c>
    </row>
    <row r="9" spans="1:163" ht="18.75" customHeight="1">
      <c r="A9" s="244" t="s">
        <v>77</v>
      </c>
      <c r="B9" s="247"/>
      <c r="C9" s="228">
        <v>0</v>
      </c>
      <c r="D9" s="229">
        <v>1</v>
      </c>
      <c r="E9" s="253">
        <f t="shared" si="6"/>
        <v>2.8339223524078694E-3</v>
      </c>
      <c r="F9" s="254">
        <f t="shared" si="7"/>
        <v>-3.892935647424367E-2</v>
      </c>
      <c r="G9" s="253">
        <f t="shared" si="8"/>
        <v>2.0824200267475668E-2</v>
      </c>
      <c r="H9" s="254">
        <f t="shared" si="9"/>
        <v>-1.7990277915067798E-2</v>
      </c>
      <c r="I9" s="253">
        <f t="shared" si="10"/>
        <v>3.166981427888496</v>
      </c>
      <c r="J9" s="254">
        <f t="shared" si="11"/>
        <v>0.40290327964853523</v>
      </c>
      <c r="K9" s="253">
        <f t="shared" si="34"/>
        <v>2.7884475083554912</v>
      </c>
      <c r="L9" s="254">
        <f t="shared" si="12"/>
        <v>0.37853391953300486</v>
      </c>
      <c r="M9" s="255"/>
      <c r="N9" s="256">
        <v>-1</v>
      </c>
      <c r="O9" s="253">
        <f t="shared" si="35"/>
        <v>-2.6892205286269899E-2</v>
      </c>
      <c r="P9" s="257">
        <f t="shared" si="36"/>
        <v>-2.6892205286269899E-2</v>
      </c>
      <c r="Q9" s="253">
        <f t="shared" si="13"/>
        <v>-2.318038650001808E-2</v>
      </c>
      <c r="R9" s="257">
        <f t="shared" si="37"/>
        <v>-2.318038650001808E-2</v>
      </c>
      <c r="S9" s="255"/>
      <c r="T9" s="256">
        <v>-2</v>
      </c>
      <c r="U9" s="253">
        <f t="shared" si="14"/>
        <v>-0.12099366414493506</v>
      </c>
      <c r="V9" s="258">
        <f t="shared" si="15"/>
        <v>-0.12099366414493506</v>
      </c>
      <c r="W9" s="253">
        <f t="shared" si="38"/>
        <v>-0.52634225834265735</v>
      </c>
      <c r="X9" s="258">
        <f t="shared" si="16"/>
        <v>-0.52634225834265735</v>
      </c>
      <c r="Y9" s="253">
        <f t="shared" si="17"/>
        <v>-2.4980174464710458E-2</v>
      </c>
      <c r="Z9" s="258">
        <f t="shared" si="18"/>
        <v>-2.4980174464710458E-2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P9" s="28">
        <f>VLOOKUP($A9,historia!$A$5:$CM$24,+HLOOKUP(AP$2,historia!$A$3:$EC$4,2,FALSE),FALSE)</f>
        <v>4</v>
      </c>
      <c r="AQ9" s="28">
        <f>VLOOKUP($A9,historia!$A$5:$CM$24,+HLOOKUP(AQ$2,historia!$A$3:$EC$4,2,FALSE),FALSE)</f>
        <v>4</v>
      </c>
      <c r="AR9" s="28">
        <f>VLOOKUP($A9,historia!$A$5:$CM$24,+HLOOKUP(AR$2,historia!$A$3:$EC$4,2,FALSE),FALSE)</f>
        <v>4</v>
      </c>
      <c r="AS9" s="28">
        <f>VLOOKUP($A9,historia!$A$5:$CM$24,+HLOOKUP(AS$2,historia!$A$3:$EC$4,2,FALSE),FALSE)</f>
        <v>4</v>
      </c>
      <c r="AT9" s="58">
        <f>VLOOKUP($A9,historia!$A$5:$CM$24,+HLOOKUP(AT$2,historia!$A$3:$EC$4,2,FALSE),FALSE)</f>
        <v>3</v>
      </c>
      <c r="AU9" s="58">
        <f>VLOOKUP($A9,historia!$A$5:$CM$24,+HLOOKUP(AU$2,historia!$A$3:$EC$4,2,FALSE),FALSE)</f>
        <v>3</v>
      </c>
      <c r="AV9" s="58">
        <f>VLOOKUP($A9,historia!$A$5:$CM$24,+HLOOKUP(AV$2,historia!$A$3:$EC$4,2,FALSE),FALSE)</f>
        <v>3</v>
      </c>
      <c r="AW9" s="58">
        <f>VLOOKUP($A9,historia!$A$5:$CM$24,+HLOOKUP(AW$2,historia!$A$3:$EC$4,2,FALSE),FALSE)</f>
        <v>2</v>
      </c>
      <c r="AX9" s="58">
        <f>VLOOKUP($A9,historia!$A$5:$CM$24,+HLOOKUP(AX$2,historia!$A$3:$EC$4,2,FALSE),FALSE)</f>
        <v>2</v>
      </c>
      <c r="AY9" s="58">
        <f>VLOOKUP($A9,historia!$A$5:$CM$24,+HLOOKUP(AY$2,historia!$A$3:$EC$4,2,FALSE),FALSE)</f>
        <v>2</v>
      </c>
      <c r="AZ9" s="58">
        <f>VLOOKUP($A9,historia!$A$5:$CM$24,+HLOOKUP(AZ$2,historia!$A$3:$EC$4,2,FALSE),FALSE)</f>
        <v>4</v>
      </c>
      <c r="BA9" s="58">
        <f>VLOOKUP($A9,historia!$A$5:$CM$24,+HLOOKUP(BA$2,historia!$A$3:$EC$4,2,FALSE),FALSE)</f>
        <v>4</v>
      </c>
      <c r="BB9" s="30"/>
      <c r="BC9" s="141">
        <v>4</v>
      </c>
      <c r="BD9" t="str">
        <f t="shared" si="19"/>
        <v>Bovinos</v>
      </c>
      <c r="BE9">
        <f>+datos!BM1</f>
        <v>65</v>
      </c>
      <c r="BF9" s="2" t="str">
        <f t="shared" si="4"/>
        <v>$/kg</v>
      </c>
      <c r="BG9" s="2">
        <f t="shared" si="4"/>
        <v>2026.6010000000001</v>
      </c>
      <c r="BH9" s="2">
        <f t="shared" si="4"/>
        <v>2020.874</v>
      </c>
      <c r="BI9" s="2">
        <f t="shared" si="4"/>
        <v>486.34749999999997</v>
      </c>
      <c r="BK9">
        <f>+datos!DB1</f>
        <v>106</v>
      </c>
      <c r="BL9" s="2">
        <f t="shared" si="20"/>
        <v>7802.1975648895977</v>
      </c>
      <c r="BM9" s="2">
        <f t="shared" si="20"/>
        <v>7643.0374229424333</v>
      </c>
      <c r="BN9" s="2">
        <f t="shared" si="20"/>
        <v>2059.4709436204953</v>
      </c>
      <c r="BP9" s="1">
        <f>+datos!EH1</f>
        <v>138</v>
      </c>
      <c r="BQ9" s="1">
        <f t="shared" si="21"/>
        <v>52783892</v>
      </c>
      <c r="BR9" s="1">
        <f t="shared" si="21"/>
        <v>54242595</v>
      </c>
      <c r="BT9" s="1">
        <f>+datos!HB1</f>
        <v>210</v>
      </c>
      <c r="BU9" s="1">
        <f t="shared" si="22"/>
        <v>3169849</v>
      </c>
      <c r="BV9" s="1">
        <f t="shared" si="22"/>
        <v>3245071</v>
      </c>
      <c r="BX9" s="1">
        <f>+datos!KG1</f>
        <v>293</v>
      </c>
      <c r="BY9" s="1">
        <f t="shared" si="39"/>
        <v>3915.5332559799999</v>
      </c>
      <c r="BZ9" s="1">
        <f t="shared" si="40"/>
        <v>4454.4994686199998</v>
      </c>
      <c r="CB9" s="1">
        <f>+datos!LL1</f>
        <v>324</v>
      </c>
      <c r="CC9" s="2">
        <f t="shared" si="23"/>
        <v>33.883850320000001</v>
      </c>
      <c r="CD9" s="2">
        <f t="shared" si="24"/>
        <v>71.536570269999999</v>
      </c>
      <c r="CF9" s="1">
        <f>+datos!IM1</f>
        <v>247</v>
      </c>
      <c r="CG9" s="1">
        <f t="shared" si="25"/>
        <v>49.18</v>
      </c>
      <c r="CH9" s="1">
        <f t="shared" si="26"/>
        <v>50.44</v>
      </c>
      <c r="CJ9" s="1">
        <f t="shared" si="27"/>
        <v>309.32423856999998</v>
      </c>
      <c r="CK9" s="1">
        <f t="shared" si="27"/>
        <v>316.28118749999999</v>
      </c>
      <c r="CL9" s="1">
        <f t="shared" si="27"/>
        <v>350.14414257999977</v>
      </c>
      <c r="CM9" s="1">
        <f t="shared" si="27"/>
        <v>342.85888695999995</v>
      </c>
      <c r="CN9" s="1">
        <f t="shared" si="27"/>
        <v>324.84866957999998</v>
      </c>
      <c r="CO9" s="1">
        <f t="shared" si="27"/>
        <v>325.97502911999987</v>
      </c>
      <c r="CP9" s="1">
        <f t="shared" si="27"/>
        <v>321.39038838999994</v>
      </c>
      <c r="CQ9" s="1">
        <f t="shared" si="27"/>
        <v>273.58963931999995</v>
      </c>
      <c r="CR9" s="1">
        <f t="shared" si="27"/>
        <v>292.91820976000002</v>
      </c>
      <c r="CS9" s="1">
        <f t="shared" si="27"/>
        <v>371.72573624</v>
      </c>
      <c r="CT9" s="1">
        <f t="shared" si="27"/>
        <v>378.12790802000001</v>
      </c>
      <c r="CU9" s="1">
        <f t="shared" si="27"/>
        <v>308.34921994000001</v>
      </c>
      <c r="CV9" s="1">
        <f t="shared" si="27"/>
        <v>390.63577031</v>
      </c>
      <c r="CW9" s="1">
        <f t="shared" si="27"/>
        <v>337.45013477999998</v>
      </c>
      <c r="CX9" s="1">
        <f t="shared" si="27"/>
        <v>339.25205494000011</v>
      </c>
      <c r="CY9" s="1">
        <f t="shared" si="27"/>
        <v>296.44265344999985</v>
      </c>
      <c r="CZ9" s="1">
        <f t="shared" si="28"/>
        <v>285.75014393999987</v>
      </c>
      <c r="DA9" s="1">
        <f t="shared" si="28"/>
        <v>285.58164063999999</v>
      </c>
      <c r="DB9" s="1">
        <f t="shared" si="28"/>
        <v>342.68232461000008</v>
      </c>
      <c r="DC9" s="1">
        <f t="shared" si="28"/>
        <v>391.68086485999982</v>
      </c>
      <c r="DD9" s="1">
        <f t="shared" si="28"/>
        <v>421.96396532</v>
      </c>
      <c r="DE9" s="1">
        <f t="shared" si="28"/>
        <v>444.66007973000006</v>
      </c>
      <c r="DF9" s="1">
        <f t="shared" si="28"/>
        <v>462.76323376000011</v>
      </c>
      <c r="DG9" s="1">
        <f t="shared" si="28"/>
        <v>455.63660227999975</v>
      </c>
      <c r="DI9" s="1">
        <f t="shared" si="29"/>
        <v>3.3189943100000003</v>
      </c>
      <c r="DJ9" s="1">
        <f t="shared" si="29"/>
        <v>3.6004889900000006</v>
      </c>
      <c r="DK9" s="1">
        <f t="shared" si="29"/>
        <v>2.2940615100000001</v>
      </c>
      <c r="DL9" s="1">
        <f t="shared" si="29"/>
        <v>1.2696953500000001</v>
      </c>
      <c r="DM9" s="1">
        <f t="shared" si="29"/>
        <v>1.4792882700000001</v>
      </c>
      <c r="DN9" s="1">
        <f t="shared" si="29"/>
        <v>3.3410357400000001</v>
      </c>
      <c r="DO9" s="1">
        <f t="shared" si="29"/>
        <v>3.5927978000000009</v>
      </c>
      <c r="DP9" s="1">
        <f t="shared" si="29"/>
        <v>2.53051044</v>
      </c>
      <c r="DQ9" s="1">
        <f t="shared" si="29"/>
        <v>2.3401237999999998</v>
      </c>
      <c r="DR9" s="1">
        <f t="shared" si="29"/>
        <v>2.4632922899999996</v>
      </c>
      <c r="DS9" s="1">
        <f t="shared" si="29"/>
        <v>3.8179622399999995</v>
      </c>
      <c r="DT9" s="1">
        <f t="shared" si="29"/>
        <v>3.8355995800000002</v>
      </c>
      <c r="DU9" s="1">
        <f t="shared" si="29"/>
        <v>7.3409295600000002</v>
      </c>
      <c r="DV9" s="1">
        <f t="shared" si="29"/>
        <v>3.8261937100000005</v>
      </c>
      <c r="DW9" s="1">
        <f t="shared" si="29"/>
        <v>5.3486285699999998</v>
      </c>
      <c r="DX9" s="1">
        <f t="shared" si="29"/>
        <v>4.398381099999999</v>
      </c>
      <c r="DY9" s="1">
        <f t="shared" si="30"/>
        <v>4.3987828499999999</v>
      </c>
      <c r="DZ9" s="1">
        <f t="shared" si="30"/>
        <v>1.58647798</v>
      </c>
      <c r="EA9" s="1">
        <f t="shared" si="30"/>
        <v>2.6207546900000001</v>
      </c>
      <c r="EB9" s="1">
        <f t="shared" si="30"/>
        <v>6.877667439999998</v>
      </c>
      <c r="EC9" s="1">
        <f t="shared" si="30"/>
        <v>6.5255502400000012</v>
      </c>
      <c r="ED9" s="1">
        <f t="shared" si="30"/>
        <v>13.413963769999999</v>
      </c>
      <c r="EE9" s="1">
        <f t="shared" si="30"/>
        <v>5.3105555200000003</v>
      </c>
      <c r="EF9" s="1">
        <f t="shared" si="30"/>
        <v>9.8886848400000016</v>
      </c>
      <c r="EH9" s="14">
        <f t="shared" si="31"/>
        <v>49.18</v>
      </c>
      <c r="EI9" s="14">
        <f t="shared" si="31"/>
        <v>49.37</v>
      </c>
      <c r="EJ9" s="1">
        <f t="shared" si="31"/>
        <v>49.38</v>
      </c>
      <c r="EK9" s="1">
        <f t="shared" si="31"/>
        <v>51.48</v>
      </c>
      <c r="EL9" s="1">
        <f t="shared" si="31"/>
        <v>52.06</v>
      </c>
      <c r="EM9" s="1">
        <f t="shared" si="31"/>
        <v>42.59</v>
      </c>
      <c r="EN9" s="1">
        <f t="shared" si="31"/>
        <v>51.3</v>
      </c>
      <c r="EO9" s="1">
        <f t="shared" si="31"/>
        <v>51.15</v>
      </c>
      <c r="EP9" s="1">
        <f t="shared" si="31"/>
        <v>51.01</v>
      </c>
      <c r="EQ9" s="1">
        <f t="shared" si="31"/>
        <v>51.15</v>
      </c>
      <c r="ER9" s="1">
        <f t="shared" si="31"/>
        <v>51.72</v>
      </c>
      <c r="ES9" s="1">
        <f t="shared" si="31"/>
        <v>51.32</v>
      </c>
      <c r="ET9" s="1">
        <f t="shared" si="31"/>
        <v>50.44</v>
      </c>
      <c r="EU9" s="1">
        <f t="shared" si="31"/>
        <v>50.29</v>
      </c>
      <c r="EV9" s="1">
        <f t="shared" si="31"/>
        <v>50.29</v>
      </c>
      <c r="EW9" s="1">
        <f t="shared" si="31"/>
        <v>49.14</v>
      </c>
      <c r="EX9" s="1">
        <f t="shared" si="32"/>
        <v>48.66</v>
      </c>
      <c r="EY9" s="1">
        <f t="shared" si="32"/>
        <v>48.66</v>
      </c>
      <c r="EZ9" s="1">
        <f t="shared" si="32"/>
        <v>48.3</v>
      </c>
      <c r="FA9" s="1">
        <f t="shared" si="32"/>
        <v>48.39</v>
      </c>
      <c r="FB9" s="1">
        <f t="shared" si="32"/>
        <v>48.62</v>
      </c>
      <c r="FC9" s="1">
        <f t="shared" si="32"/>
        <v>48.17</v>
      </c>
      <c r="FD9" s="1">
        <f t="shared" si="32"/>
        <v>48.03</v>
      </c>
      <c r="FE9" s="1">
        <f t="shared" si="32"/>
        <v>48.58</v>
      </c>
      <c r="FG9" s="162">
        <f t="shared" si="33"/>
        <v>0.37853391953300486</v>
      </c>
    </row>
    <row r="10" spans="1:163" ht="18.600000000000001" customHeight="1">
      <c r="A10" s="263" t="s">
        <v>221</v>
      </c>
      <c r="B10" s="246"/>
      <c r="C10" s="156">
        <f t="shared" si="5"/>
        <v>-0.66</v>
      </c>
      <c r="D10" s="198">
        <v>-1</v>
      </c>
      <c r="E10" s="248">
        <f t="shared" si="6"/>
        <v>-3.3874612231996948E-2</v>
      </c>
      <c r="F10" s="249">
        <f t="shared" si="7"/>
        <v>-7.5637891058648488E-2</v>
      </c>
      <c r="G10" s="248">
        <f t="shared" si="8"/>
        <v>2.4643800374378966E-2</v>
      </c>
      <c r="H10" s="249">
        <f t="shared" si="9"/>
        <v>-5.8518412606375914E-2</v>
      </c>
      <c r="I10" s="248">
        <f t="shared" si="10"/>
        <v>0.85409148707049143</v>
      </c>
      <c r="J10" s="249">
        <f t="shared" si="11"/>
        <v>-1.9099866611694694</v>
      </c>
      <c r="K10" s="248">
        <f t="shared" si="34"/>
        <v>2.3573279071585951</v>
      </c>
      <c r="L10" s="249">
        <f t="shared" si="12"/>
        <v>-1.5032364200881037</v>
      </c>
      <c r="M10" s="250"/>
      <c r="N10" s="24">
        <v>0</v>
      </c>
      <c r="O10" s="248">
        <f t="shared" si="35"/>
        <v>4.1543620801842707E-3</v>
      </c>
      <c r="P10" s="251">
        <f t="shared" si="36"/>
        <v>4.1543620801842707E-3</v>
      </c>
      <c r="Q10" s="248">
        <f t="shared" si="13"/>
        <v>0.10798722044728426</v>
      </c>
      <c r="R10" s="251">
        <f t="shared" si="37"/>
        <v>0.10798722044728426</v>
      </c>
      <c r="S10" s="250"/>
      <c r="T10" s="24">
        <v>-1</v>
      </c>
      <c r="U10" s="248">
        <f t="shared" si="14"/>
        <v>0.14770574019972105</v>
      </c>
      <c r="V10" s="252">
        <f t="shared" si="15"/>
        <v>0.14770574019972105</v>
      </c>
      <c r="W10" s="248">
        <f t="shared" si="38"/>
        <v>-0.12640594681534811</v>
      </c>
      <c r="X10" s="252">
        <f t="shared" si="16"/>
        <v>-0.12640594681534811</v>
      </c>
      <c r="Y10" s="248">
        <f t="shared" si="17"/>
        <v>-0.11904761904761896</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P10" s="28">
        <f>VLOOKUP($A10,historia!$A$5:$CM$24,+HLOOKUP(AP$2,historia!$A$3:$EC$4,2,FALSE),FALSE)</f>
        <v>5</v>
      </c>
      <c r="AQ10" s="28">
        <f>VLOOKUP($A10,historia!$A$5:$CM$24,+HLOOKUP(AQ$2,historia!$A$3:$EC$4,2,FALSE),FALSE)</f>
        <v>5</v>
      </c>
      <c r="AR10" s="28">
        <f>VLOOKUP($A10,historia!$A$5:$CM$24,+HLOOKUP(AR$2,historia!$A$3:$EC$4,2,FALSE),FALSE)</f>
        <v>5</v>
      </c>
      <c r="AS10" s="28">
        <f>VLOOKUP($A10,historia!$A$5:$CM$24,+HLOOKUP(AS$2,historia!$A$3:$EC$4,2,FALSE),FALSE)</f>
        <v>4</v>
      </c>
      <c r="AT10" s="58">
        <f>VLOOKUP($A10,historia!$A$5:$CM$24,+HLOOKUP(AT$2,historia!$A$3:$EC$4,2,FALSE),FALSE)</f>
        <v>4</v>
      </c>
      <c r="AU10" s="58">
        <f>VLOOKUP($A10,historia!$A$5:$CM$24,+HLOOKUP(AU$2,historia!$A$3:$EC$4,2,FALSE),FALSE)</f>
        <v>4</v>
      </c>
      <c r="AV10" s="58">
        <f>VLOOKUP($A10,historia!$A$5:$CM$24,+HLOOKUP(AV$2,historia!$A$3:$EC$4,2,FALSE),FALSE)</f>
        <v>5</v>
      </c>
      <c r="AW10" s="58">
        <f>VLOOKUP($A10,historia!$A$5:$CM$24,+HLOOKUP(AW$2,historia!$A$3:$EC$4,2,FALSE),FALSE)</f>
        <v>3</v>
      </c>
      <c r="AX10" s="58">
        <f>VLOOKUP($A10,historia!$A$5:$CM$24,+HLOOKUP(AX$2,historia!$A$3:$EC$4,2,FALSE),FALSE)</f>
        <v>3</v>
      </c>
      <c r="AY10" s="58">
        <f>VLOOKUP($A10,historia!$A$5:$CM$24,+HLOOKUP(AY$2,historia!$A$3:$EC$4,2,FALSE),FALSE)</f>
        <v>4</v>
      </c>
      <c r="AZ10" s="58">
        <f>VLOOKUP($A10,historia!$A$5:$CM$24,+HLOOKUP(AZ$2,historia!$A$3:$EC$4,2,FALSE),FALSE)</f>
        <v>4</v>
      </c>
      <c r="BA10" s="58">
        <f>VLOOKUP($A10,historia!$A$5:$CM$24,+HLOOKUP(BA$2,historia!$A$3:$EC$4,2,FALSE),FALSE)</f>
        <v>5</v>
      </c>
      <c r="BB10" s="30"/>
      <c r="BC10" s="141">
        <v>5</v>
      </c>
      <c r="BD10" t="str">
        <f t="shared" si="19"/>
        <v>Cítricos Dulces</v>
      </c>
      <c r="BE10">
        <f>+datos!AU1</f>
        <v>47</v>
      </c>
      <c r="BF10" s="2" t="str">
        <f t="shared" si="4"/>
        <v>$/caja 18kg</v>
      </c>
      <c r="BG10" s="2">
        <f t="shared" si="4"/>
        <v>10797.414545454545</v>
      </c>
      <c r="BH10" s="2">
        <f t="shared" si="4"/>
        <v>11175.997113997115</v>
      </c>
      <c r="BI10" s="2">
        <f t="shared" si="4"/>
        <v>5823.5608225108226</v>
      </c>
      <c r="BK10">
        <f>+datos!CX1</f>
        <v>102</v>
      </c>
      <c r="BL10" s="2">
        <f t="shared" si="20"/>
        <v>7585.3708109728286</v>
      </c>
      <c r="BM10" s="2">
        <f t="shared" si="20"/>
        <v>7402.9343740735321</v>
      </c>
      <c r="BN10" s="2">
        <f t="shared" si="20"/>
        <v>2259.3476183244043</v>
      </c>
      <c r="BP10" s="1">
        <f>+datos!ER1</f>
        <v>148</v>
      </c>
      <c r="BQ10" s="1">
        <f t="shared" si="21"/>
        <v>80248</v>
      </c>
      <c r="BR10" s="1">
        <f t="shared" si="21"/>
        <v>79916</v>
      </c>
      <c r="BT10" s="1">
        <f>+datos!GH1</f>
        <v>190</v>
      </c>
      <c r="BU10" s="1">
        <f t="shared" si="22"/>
        <v>1734000</v>
      </c>
      <c r="BV10" s="1">
        <f t="shared" si="22"/>
        <v>1565000</v>
      </c>
      <c r="BX10" s="1">
        <f>+datos!LT1</f>
        <v>332</v>
      </c>
      <c r="BY10" s="1">
        <f t="shared" si="39"/>
        <v>55.641858269999986</v>
      </c>
      <c r="BZ10" s="1">
        <f t="shared" si="40"/>
        <v>48.480944480000005</v>
      </c>
      <c r="CA10" s="1"/>
      <c r="CB10" s="1">
        <f>+datos!LX1</f>
        <v>336</v>
      </c>
      <c r="CC10" s="2">
        <f t="shared" si="23"/>
        <v>4.6402173700000002</v>
      </c>
      <c r="CD10" s="2">
        <f t="shared" si="24"/>
        <v>5.3116402900000006</v>
      </c>
      <c r="CF10" s="1">
        <f>+datos!IV1</f>
        <v>256</v>
      </c>
      <c r="CG10" s="1">
        <f t="shared" si="25"/>
        <v>17.39</v>
      </c>
      <c r="CH10" s="1">
        <f t="shared" si="26"/>
        <v>19.739999999999998</v>
      </c>
      <c r="CJ10" s="1">
        <f t="shared" si="27"/>
        <v>2.3063176799999998</v>
      </c>
      <c r="CK10" s="1">
        <f t="shared" si="27"/>
        <v>3.2785219999999997</v>
      </c>
      <c r="CL10" s="1">
        <f t="shared" si="27"/>
        <v>2.8661316999999999</v>
      </c>
      <c r="CM10" s="1">
        <f t="shared" si="27"/>
        <v>3.3581509099999995</v>
      </c>
      <c r="CN10" s="1">
        <f t="shared" si="27"/>
        <v>4.3519123000000004</v>
      </c>
      <c r="CO10" s="1">
        <f t="shared" si="27"/>
        <v>3.6482140500000004</v>
      </c>
      <c r="CP10" s="1">
        <f t="shared" si="27"/>
        <v>7.8852843799999999</v>
      </c>
      <c r="CQ10" s="1">
        <f t="shared" si="27"/>
        <v>4.4927710999999997</v>
      </c>
      <c r="CR10" s="1">
        <f t="shared" si="27"/>
        <v>3.9018705800000002</v>
      </c>
      <c r="CS10" s="1">
        <f t="shared" si="27"/>
        <v>10.723855849999996</v>
      </c>
      <c r="CT10" s="1">
        <f t="shared" si="27"/>
        <v>7.5775361799999992</v>
      </c>
      <c r="CU10" s="1">
        <f t="shared" si="27"/>
        <v>1.25129154</v>
      </c>
      <c r="CV10" s="1">
        <f t="shared" si="27"/>
        <v>0.77785399999999993</v>
      </c>
      <c r="CW10" s="1">
        <f t="shared" si="27"/>
        <v>1.96707276</v>
      </c>
      <c r="CX10" s="1">
        <f t="shared" si="27"/>
        <v>1.7333935799999998</v>
      </c>
      <c r="CY10" s="1">
        <f t="shared" si="27"/>
        <v>4.5063326699999999</v>
      </c>
      <c r="CZ10" s="1">
        <f t="shared" si="28"/>
        <v>2.6066778199999998</v>
      </c>
      <c r="DA10" s="1">
        <f t="shared" si="28"/>
        <v>1.98627314</v>
      </c>
      <c r="DB10" s="1">
        <f t="shared" si="28"/>
        <v>2.7714215800000002</v>
      </c>
      <c r="DC10" s="1">
        <f t="shared" si="28"/>
        <v>4.7911063299999999</v>
      </c>
      <c r="DD10" s="1">
        <f t="shared" si="28"/>
        <v>4.2890642899999998</v>
      </c>
      <c r="DE10" s="1">
        <f t="shared" si="28"/>
        <v>10.91414737</v>
      </c>
      <c r="DF10" s="1">
        <f t="shared" si="28"/>
        <v>7.8324679500000007</v>
      </c>
      <c r="DG10" s="1">
        <f t="shared" si="28"/>
        <v>4.3051329900000006</v>
      </c>
      <c r="DI10" s="1">
        <f t="shared" si="29"/>
        <v>0.3075099</v>
      </c>
      <c r="DJ10" s="1">
        <f t="shared" si="29"/>
        <v>0.82950560000000007</v>
      </c>
      <c r="DK10" s="1">
        <f t="shared" si="29"/>
        <v>1.06715808</v>
      </c>
      <c r="DL10" s="1">
        <f t="shared" si="29"/>
        <v>0.57276656999999997</v>
      </c>
      <c r="DM10" s="1">
        <f t="shared" si="29"/>
        <v>0.50591796999999994</v>
      </c>
      <c r="DN10" s="1">
        <f t="shared" si="29"/>
        <v>0.37369366000000004</v>
      </c>
      <c r="DO10" s="1">
        <f t="shared" si="29"/>
        <v>1.8223369999999999E-2</v>
      </c>
      <c r="DP10" s="1">
        <f t="shared" si="29"/>
        <v>0.26981320000000003</v>
      </c>
      <c r="DQ10" s="1">
        <f t="shared" si="29"/>
        <v>0.36129600000000001</v>
      </c>
      <c r="DR10" s="1">
        <f t="shared" si="29"/>
        <v>3.0606999999999997E-4</v>
      </c>
      <c r="DS10" s="1">
        <f t="shared" si="29"/>
        <v>0.33402694999999999</v>
      </c>
      <c r="DT10" s="1">
        <f t="shared" si="29"/>
        <v>0</v>
      </c>
      <c r="DU10" s="1">
        <f t="shared" si="29"/>
        <v>0.31172668999999997</v>
      </c>
      <c r="DV10" s="1">
        <f t="shared" si="29"/>
        <v>1.32104435</v>
      </c>
      <c r="DW10" s="1">
        <f t="shared" si="29"/>
        <v>1.2081202200000001</v>
      </c>
      <c r="DX10" s="1">
        <f t="shared" si="29"/>
        <v>0.6520337100000001</v>
      </c>
      <c r="DY10" s="1">
        <f t="shared" si="30"/>
        <v>0.45880662999999999</v>
      </c>
      <c r="DZ10" s="1">
        <f t="shared" si="30"/>
        <v>0</v>
      </c>
      <c r="EA10" s="1">
        <f t="shared" si="30"/>
        <v>4.77876E-2</v>
      </c>
      <c r="EB10" s="1">
        <f t="shared" si="30"/>
        <v>1.4227200000000001E-2</v>
      </c>
      <c r="EC10" s="1">
        <f t="shared" si="30"/>
        <v>2.7328829999999998E-2</v>
      </c>
      <c r="ED10" s="1">
        <f t="shared" si="30"/>
        <v>5.6926980000000002E-2</v>
      </c>
      <c r="EE10" s="1">
        <f t="shared" si="30"/>
        <v>0.59636825999999998</v>
      </c>
      <c r="EF10" s="1">
        <f t="shared" si="30"/>
        <v>0.61726981999999997</v>
      </c>
      <c r="EH10" s="14">
        <f t="shared" si="31"/>
        <v>17.39</v>
      </c>
      <c r="EI10" s="14">
        <f t="shared" si="31"/>
        <v>17.39</v>
      </c>
      <c r="EJ10" s="1">
        <f t="shared" si="31"/>
        <v>17.39</v>
      </c>
      <c r="EK10" s="1">
        <f t="shared" si="31"/>
        <v>17.39</v>
      </c>
      <c r="EL10" s="1">
        <f t="shared" si="31"/>
        <v>17.39</v>
      </c>
      <c r="EM10" s="1">
        <f t="shared" si="31"/>
        <v>19.739999999999998</v>
      </c>
      <c r="EN10" s="1">
        <f t="shared" si="31"/>
        <v>19.739999999999998</v>
      </c>
      <c r="EO10" s="1">
        <f t="shared" si="31"/>
        <v>19.739999999999998</v>
      </c>
      <c r="EP10" s="1">
        <f t="shared" si="31"/>
        <v>19.739999999999998</v>
      </c>
      <c r="EQ10" s="1">
        <f t="shared" si="31"/>
        <v>19.739999999999998</v>
      </c>
      <c r="ER10" s="1">
        <f t="shared" si="31"/>
        <v>19.739999999999998</v>
      </c>
      <c r="ES10" s="1">
        <f t="shared" si="31"/>
        <v>19.739999999999998</v>
      </c>
      <c r="ET10" s="1">
        <f t="shared" si="31"/>
        <v>19.739999999999998</v>
      </c>
      <c r="EU10" s="1">
        <f t="shared" si="31"/>
        <v>19.739999999999998</v>
      </c>
      <c r="EV10" s="1">
        <f t="shared" si="31"/>
        <v>19.739999999999998</v>
      </c>
      <c r="EW10" s="1">
        <f t="shared" si="31"/>
        <v>19.739999999999998</v>
      </c>
      <c r="EX10" s="1">
        <f t="shared" si="32"/>
        <v>19.739999999999998</v>
      </c>
      <c r="EY10" s="1">
        <f t="shared" si="32"/>
        <v>18.77</v>
      </c>
      <c r="EZ10" s="1">
        <f t="shared" si="32"/>
        <v>18.77</v>
      </c>
      <c r="FA10" s="1">
        <f t="shared" si="32"/>
        <v>18.77</v>
      </c>
      <c r="FB10" s="1">
        <f t="shared" si="32"/>
        <v>18.77</v>
      </c>
      <c r="FC10" s="1">
        <f t="shared" si="32"/>
        <v>18.77</v>
      </c>
      <c r="FD10" s="1">
        <f t="shared" si="32"/>
        <v>18.77</v>
      </c>
      <c r="FE10" s="1">
        <f t="shared" si="32"/>
        <v>18.77</v>
      </c>
      <c r="FG10" s="162">
        <f t="shared" si="33"/>
        <v>-1.5032364200881037</v>
      </c>
    </row>
    <row r="11" spans="1:163" ht="18.75" customHeight="1">
      <c r="A11" s="244" t="s">
        <v>116</v>
      </c>
      <c r="B11" s="247"/>
      <c r="C11" s="228">
        <f t="shared" si="5"/>
        <v>0</v>
      </c>
      <c r="D11" s="229">
        <v>1</v>
      </c>
      <c r="E11" s="253">
        <f t="shared" si="6"/>
        <v>0</v>
      </c>
      <c r="F11" s="254">
        <f t="shared" si="7"/>
        <v>-4.176327882665154E-2</v>
      </c>
      <c r="G11" s="253">
        <f t="shared" si="8"/>
        <v>4.1238255507668686E-2</v>
      </c>
      <c r="H11" s="254">
        <f t="shared" si="9"/>
        <v>-4.1238255507668686E-2</v>
      </c>
      <c r="I11" s="253">
        <f t="shared" si="10"/>
        <v>3.5028484661296924</v>
      </c>
      <c r="J11" s="254">
        <f t="shared" si="11"/>
        <v>0.73877031788973158</v>
      </c>
      <c r="K11" s="253">
        <f t="shared" si="34"/>
        <v>2.9964329591243017</v>
      </c>
      <c r="L11" s="254">
        <f t="shared" si="12"/>
        <v>0.50641550700539062</v>
      </c>
      <c r="M11" s="255"/>
      <c r="N11" s="256"/>
      <c r="O11" s="253" t="str">
        <f t="shared" si="35"/>
        <v/>
      </c>
      <c r="P11" s="257" t="str">
        <f t="shared" si="36"/>
        <v/>
      </c>
      <c r="Q11" s="253">
        <f t="shared" si="13"/>
        <v>0</v>
      </c>
      <c r="R11" s="257">
        <f t="shared" si="37"/>
        <v>0</v>
      </c>
      <c r="S11" s="255"/>
      <c r="T11" s="24">
        <v>-1</v>
      </c>
      <c r="U11" s="253">
        <f t="shared" si="14"/>
        <v>-9.3541250702420586E-2</v>
      </c>
      <c r="V11" s="258">
        <f t="shared" si="15"/>
        <v>-9.3541250702420586E-2</v>
      </c>
      <c r="W11" s="253">
        <f t="shared" si="38"/>
        <v>-0.21515015051105657</v>
      </c>
      <c r="X11" s="258">
        <f t="shared" si="16"/>
        <v>-0.21515015051105657</v>
      </c>
      <c r="Y11" s="253" t="str">
        <f t="shared" si="17"/>
        <v/>
      </c>
      <c r="Z11" s="258" t="str">
        <f t="shared" si="18"/>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3</v>
      </c>
      <c r="AX11" s="58">
        <f>VLOOKUP($A11,historia!$A$5:$CM$24,+HLOOKUP(AX$2,historia!$A$3:$EC$4,2,FALSE),FALSE)</f>
        <v>3</v>
      </c>
      <c r="AY11" s="58">
        <f>VLOOKUP($A11,historia!$A$5:$CM$24,+HLOOKUP(AY$2,historia!$A$3:$EC$4,2,FALSE),FALSE)</f>
        <v>4</v>
      </c>
      <c r="AZ11" s="58">
        <f>VLOOKUP($A11,historia!$A$5:$CM$24,+HLOOKUP(AZ$2,historia!$A$3:$EC$4,2,FALSE),FALSE)</f>
        <v>4</v>
      </c>
      <c r="BA11" s="58">
        <f>VLOOKUP($A11,historia!$A$5:$CM$24,+HLOOKUP(BA$2,historia!$A$3:$EC$4,2,FALSE),FALSE)</f>
        <v>4</v>
      </c>
      <c r="BB11" s="30"/>
      <c r="BC11" s="141">
        <v>4</v>
      </c>
      <c r="BD11" t="str">
        <f t="shared" si="19"/>
        <v>Forestal</v>
      </c>
      <c r="BE11">
        <f>+datos!BG1</f>
        <v>59</v>
      </c>
      <c r="BF11" s="2" t="str">
        <f t="shared" si="4"/>
        <v>$/t</v>
      </c>
      <c r="BG11" s="2">
        <f t="shared" si="4"/>
        <v>27845.75</v>
      </c>
      <c r="BH11" s="2">
        <f t="shared" si="4"/>
        <v>27845.75</v>
      </c>
      <c r="BI11" s="2">
        <f t="shared" si="4"/>
        <v>6184.03</v>
      </c>
      <c r="BK11">
        <f>+datos!CZ1</f>
        <v>104</v>
      </c>
      <c r="BL11" s="2">
        <f t="shared" si="20"/>
        <v>9254.2882224116656</v>
      </c>
      <c r="BM11" s="2">
        <f t="shared" si="20"/>
        <v>8887.7720093943553</v>
      </c>
      <c r="BN11" s="2">
        <f t="shared" si="20"/>
        <v>2315.6370486043297</v>
      </c>
      <c r="BP11" s="1">
        <f>+datos!ES1</f>
        <v>149</v>
      </c>
      <c r="BQ11" s="1">
        <f t="shared" si="21"/>
        <v>0</v>
      </c>
      <c r="BR11" s="1">
        <f t="shared" si="21"/>
        <v>0</v>
      </c>
      <c r="BT11" s="1">
        <f>+datos!GI1</f>
        <v>191</v>
      </c>
      <c r="BU11" s="1">
        <f t="shared" si="22"/>
        <v>1302556</v>
      </c>
      <c r="BV11" s="1">
        <f t="shared" si="22"/>
        <v>1302556</v>
      </c>
      <c r="BX11" s="1">
        <f>+datos!KB1</f>
        <v>288</v>
      </c>
      <c r="BY11" s="1">
        <f t="shared" si="39"/>
        <v>301.76317393000005</v>
      </c>
      <c r="BZ11" s="1">
        <f t="shared" si="40"/>
        <v>332.90337168000002</v>
      </c>
      <c r="CB11" s="1">
        <f>+datos!LG1</f>
        <v>319</v>
      </c>
      <c r="CC11" s="2">
        <f t="shared" si="23"/>
        <v>208.94429137999998</v>
      </c>
      <c r="CD11" s="2">
        <f t="shared" si="24"/>
        <v>266.22199330999996</v>
      </c>
      <c r="CF11" s="1">
        <f>+datos!IW1</f>
        <v>257</v>
      </c>
      <c r="CG11" s="1">
        <f t="shared" si="25"/>
        <v>0</v>
      </c>
      <c r="CH11" s="1">
        <f t="shared" si="26"/>
        <v>0</v>
      </c>
      <c r="CJ11" s="1">
        <f t="shared" si="27"/>
        <v>19.29025034</v>
      </c>
      <c r="CK11" s="1">
        <f t="shared" si="27"/>
        <v>32.635385889999995</v>
      </c>
      <c r="CL11" s="1">
        <f t="shared" si="27"/>
        <v>26.653198490000001</v>
      </c>
      <c r="CM11" s="1">
        <f t="shared" si="27"/>
        <v>23.932255000000001</v>
      </c>
      <c r="CN11" s="1">
        <f t="shared" si="27"/>
        <v>23.104867779999999</v>
      </c>
      <c r="CO11" s="1">
        <f t="shared" si="27"/>
        <v>24.797754910000005</v>
      </c>
      <c r="CP11" s="1">
        <f t="shared" si="27"/>
        <v>26.00374025</v>
      </c>
      <c r="CQ11" s="1">
        <f t="shared" si="27"/>
        <v>24.373047020000001</v>
      </c>
      <c r="CR11" s="1">
        <f t="shared" si="27"/>
        <v>25.649224320000002</v>
      </c>
      <c r="CS11" s="1">
        <f t="shared" si="27"/>
        <v>23.667757810000001</v>
      </c>
      <c r="CT11" s="1">
        <f t="shared" si="27"/>
        <v>25.088845019999997</v>
      </c>
      <c r="CU11" s="1">
        <f t="shared" si="27"/>
        <v>26.5668471</v>
      </c>
      <c r="CV11" s="1">
        <f t="shared" si="27"/>
        <v>23.814064600000002</v>
      </c>
      <c r="CW11" s="1">
        <f t="shared" si="27"/>
        <v>20.56411928</v>
      </c>
      <c r="CX11" s="1">
        <f t="shared" si="27"/>
        <v>19.140443850000004</v>
      </c>
      <c r="CY11" s="1">
        <f t="shared" si="27"/>
        <v>31.026984670000001</v>
      </c>
      <c r="CZ11" s="1">
        <f t="shared" si="28"/>
        <v>29.568283169999997</v>
      </c>
      <c r="DA11" s="1">
        <f t="shared" si="28"/>
        <v>27.46490245</v>
      </c>
      <c r="DB11" s="1">
        <f t="shared" si="28"/>
        <v>28.769997110000002</v>
      </c>
      <c r="DC11" s="1">
        <f t="shared" si="28"/>
        <v>29.99355989</v>
      </c>
      <c r="DD11" s="1">
        <f t="shared" si="28"/>
        <v>28.322168269999992</v>
      </c>
      <c r="DE11" s="1">
        <f t="shared" si="28"/>
        <v>25.822628249999998</v>
      </c>
      <c r="DF11" s="1">
        <f t="shared" si="28"/>
        <v>36.275852910000005</v>
      </c>
      <c r="DG11" s="1">
        <f t="shared" si="28"/>
        <v>32.140367229999995</v>
      </c>
      <c r="DI11" s="1">
        <f t="shared" si="29"/>
        <v>19.941855059999995</v>
      </c>
      <c r="DJ11" s="1">
        <f t="shared" si="29"/>
        <v>17.561880160000001</v>
      </c>
      <c r="DK11" s="1">
        <f t="shared" si="29"/>
        <v>14.580088280000002</v>
      </c>
      <c r="DL11" s="1">
        <f t="shared" si="29"/>
        <v>13.107541810000001</v>
      </c>
      <c r="DM11" s="1">
        <f t="shared" si="29"/>
        <v>9.0834929199999994</v>
      </c>
      <c r="DN11" s="1">
        <f t="shared" si="29"/>
        <v>9.5859924200000002</v>
      </c>
      <c r="DO11" s="1">
        <f t="shared" si="29"/>
        <v>12.114691449999999</v>
      </c>
      <c r="DP11" s="1">
        <f t="shared" si="29"/>
        <v>21.937746180000001</v>
      </c>
      <c r="DQ11" s="1">
        <f t="shared" si="29"/>
        <v>16.68359323</v>
      </c>
      <c r="DR11" s="1">
        <f t="shared" si="29"/>
        <v>23.390239519999994</v>
      </c>
      <c r="DS11" s="1">
        <f t="shared" si="29"/>
        <v>24.97777258</v>
      </c>
      <c r="DT11" s="1">
        <f t="shared" si="29"/>
        <v>25.979397770000002</v>
      </c>
      <c r="DU11" s="1">
        <f t="shared" si="29"/>
        <v>26.663923630000003</v>
      </c>
      <c r="DV11" s="1">
        <f t="shared" si="29"/>
        <v>25.77809422</v>
      </c>
      <c r="DW11" s="1">
        <f t="shared" si="29"/>
        <v>30.845388820000004</v>
      </c>
      <c r="DX11" s="1">
        <f t="shared" si="29"/>
        <v>19.314417040000002</v>
      </c>
      <c r="DY11" s="1">
        <f t="shared" si="30"/>
        <v>23.096508839999995</v>
      </c>
      <c r="DZ11" s="1">
        <f t="shared" si="30"/>
        <v>19.891111379999998</v>
      </c>
      <c r="EA11" s="1">
        <f t="shared" si="30"/>
        <v>18.931102379999999</v>
      </c>
      <c r="EB11" s="1">
        <f t="shared" si="30"/>
        <v>26.50290536</v>
      </c>
      <c r="EC11" s="1">
        <f t="shared" si="30"/>
        <v>21.937275429999996</v>
      </c>
      <c r="ED11" s="1">
        <f t="shared" si="30"/>
        <v>24.868573239999996</v>
      </c>
      <c r="EE11" s="1">
        <f t="shared" si="30"/>
        <v>0</v>
      </c>
      <c r="EF11" s="1">
        <f t="shared" si="30"/>
        <v>28.392692970000002</v>
      </c>
      <c r="EH11" s="14">
        <f t="shared" si="31"/>
        <v>0</v>
      </c>
      <c r="EI11" s="14">
        <f t="shared" si="31"/>
        <v>0</v>
      </c>
      <c r="EJ11" s="1">
        <f t="shared" si="31"/>
        <v>0</v>
      </c>
      <c r="EK11" s="1">
        <f t="shared" si="31"/>
        <v>0</v>
      </c>
      <c r="EL11" s="1">
        <f t="shared" si="31"/>
        <v>0</v>
      </c>
      <c r="EM11" s="1">
        <f t="shared" si="31"/>
        <v>0</v>
      </c>
      <c r="EN11" s="1">
        <f t="shared" si="31"/>
        <v>0</v>
      </c>
      <c r="EO11" s="1">
        <f t="shared" si="31"/>
        <v>0</v>
      </c>
      <c r="EP11" s="1">
        <f t="shared" si="31"/>
        <v>0</v>
      </c>
      <c r="EQ11" s="1">
        <f t="shared" si="31"/>
        <v>0</v>
      </c>
      <c r="ER11" s="1">
        <f t="shared" si="31"/>
        <v>0</v>
      </c>
      <c r="ES11" s="1">
        <f t="shared" si="31"/>
        <v>0</v>
      </c>
      <c r="ET11" s="1">
        <f t="shared" si="31"/>
        <v>0</v>
      </c>
      <c r="EU11" s="1">
        <f t="shared" si="31"/>
        <v>0</v>
      </c>
      <c r="EV11" s="1">
        <f t="shared" si="31"/>
        <v>0</v>
      </c>
      <c r="EW11" s="1">
        <f t="shared" si="31"/>
        <v>0</v>
      </c>
      <c r="EX11" s="1">
        <f t="shared" si="32"/>
        <v>0</v>
      </c>
      <c r="EY11" s="1">
        <f t="shared" si="32"/>
        <v>0</v>
      </c>
      <c r="EZ11" s="1">
        <f t="shared" si="32"/>
        <v>0</v>
      </c>
      <c r="FA11" s="1">
        <f t="shared" si="32"/>
        <v>0</v>
      </c>
      <c r="FB11" s="1">
        <f t="shared" si="32"/>
        <v>0</v>
      </c>
      <c r="FC11" s="1">
        <f t="shared" si="32"/>
        <v>0</v>
      </c>
      <c r="FD11" s="1">
        <f t="shared" si="32"/>
        <v>0</v>
      </c>
      <c r="FE11" s="1">
        <f t="shared" si="32"/>
        <v>0</v>
      </c>
      <c r="FG11" s="162">
        <f t="shared" si="33"/>
        <v>0.50641550700539062</v>
      </c>
    </row>
    <row r="12" spans="1:163" ht="18.75" customHeight="1">
      <c r="A12" s="243" t="s">
        <v>216</v>
      </c>
      <c r="B12" s="246"/>
      <c r="C12" s="156">
        <f t="shared" si="5"/>
        <v>-0.33</v>
      </c>
      <c r="D12" s="198">
        <v>-1</v>
      </c>
      <c r="E12" s="248">
        <f t="shared" si="6"/>
        <v>7.4062048917727274E-2</v>
      </c>
      <c r="F12" s="249">
        <f t="shared" si="7"/>
        <v>3.2298770091075735E-2</v>
      </c>
      <c r="G12" s="248">
        <f t="shared" si="8"/>
        <v>4.1816897522209739E-2</v>
      </c>
      <c r="H12" s="249">
        <f t="shared" si="9"/>
        <v>3.2245151395517535E-2</v>
      </c>
      <c r="I12" s="248">
        <f t="shared" si="10"/>
        <v>2.00742343853398</v>
      </c>
      <c r="J12" s="249">
        <f t="shared" si="11"/>
        <v>-0.75665470970598081</v>
      </c>
      <c r="K12" s="248">
        <f t="shared" si="34"/>
        <v>2.2584636466940311</v>
      </c>
      <c r="L12" s="249">
        <f t="shared" si="12"/>
        <v>-0.25104020816005113</v>
      </c>
      <c r="M12" s="250"/>
      <c r="N12" s="24">
        <v>1</v>
      </c>
      <c r="O12" s="248">
        <f t="shared" si="35"/>
        <v>2.9512656730541709E-2</v>
      </c>
      <c r="P12" s="251">
        <f t="shared" si="36"/>
        <v>2.9512656730541709E-2</v>
      </c>
      <c r="Q12" s="248">
        <f t="shared" si="13"/>
        <v>0.44881070656302957</v>
      </c>
      <c r="R12" s="251">
        <f t="shared" si="37"/>
        <v>0.44881070656302957</v>
      </c>
      <c r="S12" s="250"/>
      <c r="T12" s="24">
        <v>-1</v>
      </c>
      <c r="U12" s="248">
        <f t="shared" si="14"/>
        <v>-0.17095800336568745</v>
      </c>
      <c r="V12" s="252">
        <f t="shared" si="15"/>
        <v>-0.17095800336568745</v>
      </c>
      <c r="W12" s="248">
        <f t="shared" si="38"/>
        <v>0.19001296974329396</v>
      </c>
      <c r="X12" s="252">
        <f t="shared" si="16"/>
        <v>0.19001296974329396</v>
      </c>
      <c r="Y12" s="248">
        <f t="shared" si="17"/>
        <v>0.11095983662355335</v>
      </c>
      <c r="Z12" s="252">
        <f t="shared" si="18"/>
        <v>0.11095983662355335</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P12" s="28">
        <f>VLOOKUP($A12,historia!$A$5:$CM$24,+HLOOKUP(AP$2,historia!$A$3:$EC$4,2,FALSE),FALSE)</f>
        <v>5</v>
      </c>
      <c r="AQ12" s="28">
        <f>VLOOKUP($A12,historia!$A$5:$CM$24,+HLOOKUP(AQ$2,historia!$A$3:$EC$4,2,FALSE),FALSE)</f>
        <v>5</v>
      </c>
      <c r="AR12" s="28">
        <f>VLOOKUP($A12,historia!$A$5:$CM$24,+HLOOKUP(AR$2,historia!$A$3:$EC$4,2,FALSE),FALSE)</f>
        <v>5</v>
      </c>
      <c r="AS12" s="28">
        <f>VLOOKUP($A12,historia!$A$5:$CM$24,+HLOOKUP(AS$2,historia!$A$3:$EC$4,2,FALSE),FALSE)</f>
        <v>5</v>
      </c>
      <c r="AT12" s="58">
        <f>VLOOKUP($A12,historia!$A$5:$CM$24,+HLOOKUP(AT$2,historia!$A$3:$EC$4,2,FALSE),FALSE)</f>
        <v>5</v>
      </c>
      <c r="AU12" s="58">
        <f>VLOOKUP($A12,historia!$A$5:$CM$24,+HLOOKUP(AU$2,historia!$A$3:$EC$4,2,FALSE),FALSE)</f>
        <v>5</v>
      </c>
      <c r="AV12" s="58">
        <f>VLOOKUP($A12,historia!$A$5:$CM$24,+HLOOKUP(AV$2,historia!$A$3:$EC$4,2,FALSE),FALSE)</f>
        <v>5</v>
      </c>
      <c r="AW12" s="58">
        <f>VLOOKUP($A12,historia!$A$5:$CM$24,+HLOOKUP(AW$2,historia!$A$3:$EC$4,2,FALSE),FALSE)</f>
        <v>5</v>
      </c>
      <c r="AX12" s="58">
        <f>VLOOKUP($A12,historia!$A$5:$CM$24,+HLOOKUP(AX$2,historia!$A$3:$EC$4,2,FALSE),FALSE)</f>
        <v>5</v>
      </c>
      <c r="AY12" s="58">
        <f>VLOOKUP($A12,historia!$A$5:$CM$24,+HLOOKUP(AY$2,historia!$A$3:$EC$4,2,FALSE),FALSE)</f>
        <v>5</v>
      </c>
      <c r="AZ12" s="58">
        <f>VLOOKUP($A12,historia!$A$5:$CM$24,+HLOOKUP(AZ$2,historia!$A$3:$EC$4,2,FALSE),FALSE)</f>
        <v>5</v>
      </c>
      <c r="BA12" s="58">
        <f>VLOOKUP($A12,historia!$A$5:$CM$24,+HLOOKUP(BA$2,historia!$A$3:$EC$4,2,FALSE),FALSE)</f>
        <v>4</v>
      </c>
      <c r="BB12" s="30"/>
      <c r="BC12" s="141">
        <v>4</v>
      </c>
      <c r="BD12" t="str">
        <f t="shared" si="19"/>
        <v>Granos</v>
      </c>
      <c r="BE12">
        <f>+datos!AE1</f>
        <v>31</v>
      </c>
      <c r="BF12" s="2" t="str">
        <f t="shared" si="4"/>
        <v>$/t</v>
      </c>
      <c r="BG12" s="2">
        <f t="shared" si="4"/>
        <v>204264.86358333332</v>
      </c>
      <c r="BH12" s="2">
        <f t="shared" si="4"/>
        <v>190179.76083333333</v>
      </c>
      <c r="BI12" s="2">
        <f t="shared" si="4"/>
        <v>67920.220666666661</v>
      </c>
      <c r="BK12">
        <f>+datos!CG1</f>
        <v>85</v>
      </c>
      <c r="BL12" s="2">
        <f t="shared" si="20"/>
        <v>8073.45051977392</v>
      </c>
      <c r="BM12" s="2">
        <f t="shared" si="20"/>
        <v>7749.3948686907415</v>
      </c>
      <c r="BN12" s="2">
        <f t="shared" si="20"/>
        <v>2477.6862334999728</v>
      </c>
      <c r="BP12" s="1">
        <f>+datos!EA1</f>
        <v>131</v>
      </c>
      <c r="BQ12" s="1">
        <f t="shared" si="21"/>
        <v>34814000</v>
      </c>
      <c r="BR12" s="1">
        <f t="shared" si="21"/>
        <v>33816000</v>
      </c>
      <c r="BT12" s="1">
        <f>+datos!FV1</f>
        <v>178</v>
      </c>
      <c r="BU12" s="1">
        <f t="shared" si="22"/>
        <v>123953000</v>
      </c>
      <c r="BV12" s="1">
        <f t="shared" si="22"/>
        <v>85555000</v>
      </c>
      <c r="BX12" s="1">
        <f>+datos!LQ1</f>
        <v>329</v>
      </c>
      <c r="BY12" s="1">
        <f>+SUM(CJ12:CU12)</f>
        <v>40410.333788479998</v>
      </c>
      <c r="BZ12" s="1">
        <f t="shared" si="40"/>
        <v>48743.409806180003</v>
      </c>
      <c r="CB12" s="1">
        <f>+datos!LU1</f>
        <v>333</v>
      </c>
      <c r="CC12" s="2">
        <f t="shared" si="23"/>
        <v>4364.3772157000003</v>
      </c>
      <c r="CD12" s="2">
        <f t="shared" si="24"/>
        <v>3667.5039068199994</v>
      </c>
      <c r="CF12" s="1">
        <f>+datos!II1</f>
        <v>243</v>
      </c>
      <c r="CG12" s="1">
        <f t="shared" si="25"/>
        <v>81600000</v>
      </c>
      <c r="CH12" s="1">
        <f t="shared" si="26"/>
        <v>73450000</v>
      </c>
      <c r="CJ12" s="1">
        <f>+VLOOKUP(CJ$1,ran_dat,$BX12,FALSE)</f>
        <v>4805.0657855600002</v>
      </c>
      <c r="CK12" s="1">
        <f t="shared" si="27"/>
        <v>3818.0878160900002</v>
      </c>
      <c r="CL12" s="1">
        <f t="shared" si="27"/>
        <v>3876.9439553199995</v>
      </c>
      <c r="CM12" s="1">
        <f t="shared" si="27"/>
        <v>3089.4855235099994</v>
      </c>
      <c r="CN12" s="1">
        <f t="shared" si="27"/>
        <v>3929.1762735700004</v>
      </c>
      <c r="CO12" s="1">
        <f t="shared" si="27"/>
        <v>2955.6698254600001</v>
      </c>
      <c r="CP12" s="1">
        <f t="shared" si="27"/>
        <v>2441.9361675499999</v>
      </c>
      <c r="CQ12" s="1">
        <f t="shared" si="27"/>
        <v>2439.6070879799995</v>
      </c>
      <c r="CR12" s="1">
        <f t="shared" si="27"/>
        <v>2937.94498135</v>
      </c>
      <c r="CS12" s="1">
        <f t="shared" si="27"/>
        <v>3422.8062754199996</v>
      </c>
      <c r="CT12" s="1">
        <f t="shared" si="27"/>
        <v>3305.4373540500001</v>
      </c>
      <c r="CU12" s="1">
        <f t="shared" si="27"/>
        <v>3388.1727426199996</v>
      </c>
      <c r="CV12" s="1">
        <f t="shared" si="27"/>
        <v>3792.8302867999996</v>
      </c>
      <c r="CW12" s="1">
        <f t="shared" si="27"/>
        <v>3116.9694759099998</v>
      </c>
      <c r="CX12" s="1">
        <f t="shared" si="27"/>
        <v>2868.8536445099994</v>
      </c>
      <c r="CY12" s="1">
        <f t="shared" si="27"/>
        <v>2796.6599858300006</v>
      </c>
      <c r="CZ12" s="1">
        <f t="shared" si="28"/>
        <v>2718.2915703099998</v>
      </c>
      <c r="DA12" s="1">
        <f t="shared" si="28"/>
        <v>4151.50946449</v>
      </c>
      <c r="DB12" s="1">
        <f t="shared" si="28"/>
        <v>4450.8165799199996</v>
      </c>
      <c r="DC12" s="1">
        <f t="shared" si="28"/>
        <v>4813.7104364100005</v>
      </c>
      <c r="DD12" s="1">
        <f t="shared" si="28"/>
        <v>4478.853701</v>
      </c>
      <c r="DE12" s="1">
        <f t="shared" si="28"/>
        <v>4612.5251936800005</v>
      </c>
      <c r="DF12" s="1">
        <f t="shared" si="28"/>
        <v>5195.93512749</v>
      </c>
      <c r="DG12" s="1">
        <f t="shared" si="28"/>
        <v>5746.4543398300002</v>
      </c>
      <c r="DI12" s="1">
        <f t="shared" si="29"/>
        <v>336.54852982999995</v>
      </c>
      <c r="DJ12" s="1">
        <f t="shared" si="29"/>
        <v>300.95428591999996</v>
      </c>
      <c r="DK12" s="1">
        <f t="shared" si="29"/>
        <v>389.85732896999997</v>
      </c>
      <c r="DL12" s="1">
        <f t="shared" si="29"/>
        <v>280.54397103999997</v>
      </c>
      <c r="DM12" s="1">
        <f t="shared" si="29"/>
        <v>63.525792080000002</v>
      </c>
      <c r="DN12" s="1">
        <f t="shared" si="29"/>
        <v>301.92103216000004</v>
      </c>
      <c r="DO12" s="1">
        <f t="shared" si="29"/>
        <v>260.76831764999997</v>
      </c>
      <c r="DP12" s="1">
        <f t="shared" si="29"/>
        <v>244.67742642000002</v>
      </c>
      <c r="DQ12" s="1">
        <f t="shared" si="29"/>
        <v>322.58249758000005</v>
      </c>
      <c r="DR12" s="1">
        <f t="shared" si="29"/>
        <v>495.08938117000014</v>
      </c>
      <c r="DS12" s="1">
        <f t="shared" si="29"/>
        <v>539.06610803000001</v>
      </c>
      <c r="DT12" s="1">
        <f t="shared" si="29"/>
        <v>828.84254484999997</v>
      </c>
      <c r="DU12" s="1">
        <f t="shared" si="29"/>
        <v>679.74768902999983</v>
      </c>
      <c r="DV12" s="1">
        <f t="shared" si="29"/>
        <v>678.42759025000009</v>
      </c>
      <c r="DW12" s="1">
        <f t="shared" si="29"/>
        <v>816.99926951999987</v>
      </c>
      <c r="DX12" s="1">
        <f t="shared" si="29"/>
        <v>236.29083821</v>
      </c>
      <c r="DY12" s="1">
        <f t="shared" si="30"/>
        <v>13.603287699999997</v>
      </c>
      <c r="DZ12" s="1">
        <f t="shared" si="30"/>
        <v>8.4785749999999993E-2</v>
      </c>
      <c r="EA12" s="1">
        <f t="shared" si="30"/>
        <v>140.70586015999999</v>
      </c>
      <c r="EB12" s="1">
        <f t="shared" si="30"/>
        <v>7.5318475299999985</v>
      </c>
      <c r="EC12" s="1">
        <f t="shared" si="30"/>
        <v>157.51314244999998</v>
      </c>
      <c r="ED12" s="1">
        <f t="shared" si="30"/>
        <v>227.42549563</v>
      </c>
      <c r="EE12" s="1">
        <f t="shared" si="30"/>
        <v>265.08736985999997</v>
      </c>
      <c r="EF12" s="1">
        <f t="shared" si="30"/>
        <v>444.08673073</v>
      </c>
      <c r="EH12" s="14">
        <f t="shared" si="31"/>
        <v>81600000</v>
      </c>
      <c r="EI12" s="14">
        <f t="shared" si="31"/>
        <v>81600000</v>
      </c>
      <c r="EJ12" s="1">
        <f t="shared" si="31"/>
        <v>73750000</v>
      </c>
      <c r="EK12" s="1">
        <f t="shared" si="31"/>
        <v>73750000</v>
      </c>
      <c r="EL12" s="1">
        <f t="shared" si="31"/>
        <v>73450000</v>
      </c>
      <c r="EM12" s="1">
        <f t="shared" si="31"/>
        <v>73450000</v>
      </c>
      <c r="EN12" s="1">
        <f t="shared" si="31"/>
        <v>73450000</v>
      </c>
      <c r="EO12" s="1">
        <f t="shared" si="31"/>
        <v>73450000</v>
      </c>
      <c r="EP12" s="1">
        <f t="shared" si="31"/>
        <v>73450000</v>
      </c>
      <c r="EQ12" s="1">
        <f t="shared" si="31"/>
        <v>73450000</v>
      </c>
      <c r="ER12" s="1">
        <f t="shared" si="31"/>
        <v>73450000</v>
      </c>
      <c r="ES12" s="1">
        <f t="shared" si="31"/>
        <v>73450000</v>
      </c>
      <c r="ET12" s="1">
        <f t="shared" si="31"/>
        <v>73450000</v>
      </c>
      <c r="EU12" s="1">
        <f t="shared" si="31"/>
        <v>73450000</v>
      </c>
      <c r="EV12" s="1">
        <f t="shared" si="31"/>
        <v>74890000</v>
      </c>
      <c r="EW12" s="1">
        <f t="shared" si="31"/>
        <v>75510000</v>
      </c>
      <c r="EX12" s="1">
        <f t="shared" si="32"/>
        <v>75510000</v>
      </c>
      <c r="EY12" s="1">
        <f t="shared" si="32"/>
        <v>75060000</v>
      </c>
      <c r="EZ12" s="1">
        <f t="shared" si="32"/>
        <v>75060000</v>
      </c>
      <c r="FA12" s="1">
        <f t="shared" si="32"/>
        <v>75060000</v>
      </c>
      <c r="FB12" s="1">
        <f t="shared" si="32"/>
        <v>75060000</v>
      </c>
      <c r="FC12" s="1">
        <f t="shared" si="32"/>
        <v>75060000</v>
      </c>
      <c r="FD12" s="1">
        <f t="shared" si="32"/>
        <v>75060000</v>
      </c>
      <c r="FE12" s="1">
        <f t="shared" si="32"/>
        <v>75060000</v>
      </c>
      <c r="FG12" s="162">
        <f t="shared" si="33"/>
        <v>-0.25104020816005113</v>
      </c>
    </row>
    <row r="13" spans="1:163" ht="18.75" customHeight="1">
      <c r="A13" s="244" t="s">
        <v>217</v>
      </c>
      <c r="B13" s="247"/>
      <c r="C13" s="228">
        <f t="shared" si="5"/>
        <v>0.66</v>
      </c>
      <c r="D13" s="229">
        <v>1</v>
      </c>
      <c r="E13" s="253">
        <f t="shared" si="6"/>
        <v>0.5081285717354822</v>
      </c>
      <c r="F13" s="254">
        <f t="shared" si="7"/>
        <v>0.46636529290883066</v>
      </c>
      <c r="G13" s="253">
        <f t="shared" si="8"/>
        <v>0.15010751305969294</v>
      </c>
      <c r="H13" s="254">
        <f t="shared" si="9"/>
        <v>0.35802105867578926</v>
      </c>
      <c r="I13" s="253">
        <f t="shared" si="10"/>
        <v>3.4836201849493555</v>
      </c>
      <c r="J13" s="254">
        <f t="shared" si="11"/>
        <v>0.71954203670939476</v>
      </c>
      <c r="K13" s="253">
        <f t="shared" si="34"/>
        <v>3.0116617351233526</v>
      </c>
      <c r="L13" s="254">
        <f t="shared" si="12"/>
        <v>0.47195844982600299</v>
      </c>
      <c r="M13" s="255"/>
      <c r="N13" s="256">
        <v>0</v>
      </c>
      <c r="O13" s="253">
        <f t="shared" si="35"/>
        <v>-3.3006472151727695E-2</v>
      </c>
      <c r="P13" s="257">
        <f t="shared" si="36"/>
        <v>-3.3006472151727695E-2</v>
      </c>
      <c r="Q13" s="253">
        <f t="shared" si="13"/>
        <v>-1.4386787894224651E-2</v>
      </c>
      <c r="R13" s="257">
        <f t="shared" si="37"/>
        <v>-1.4386787894224651E-2</v>
      </c>
      <c r="S13" s="255"/>
      <c r="T13" s="256">
        <v>1</v>
      </c>
      <c r="U13" s="253">
        <f t="shared" si="14"/>
        <v>0.60228297419621901</v>
      </c>
      <c r="V13" s="258">
        <f t="shared" si="15"/>
        <v>0.60228297419621901</v>
      </c>
      <c r="W13" s="253">
        <f t="shared" si="38"/>
        <v>-0.49820451053531012</v>
      </c>
      <c r="X13" s="258">
        <f t="shared" si="16"/>
        <v>-0.49820451053531012</v>
      </c>
      <c r="Y13" s="253" t="str">
        <f t="shared" si="17"/>
        <v/>
      </c>
      <c r="Z13" s="258" t="str">
        <f t="shared" si="18"/>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3</v>
      </c>
      <c r="BA13" s="58">
        <f>VLOOKUP($A13,historia!$A$5:$CM$24,+HLOOKUP(BA$2,historia!$A$3:$EC$4,2,FALSE),FALSE)</f>
        <v>2</v>
      </c>
      <c r="BB13" s="30"/>
      <c r="BC13" s="141">
        <v>2</v>
      </c>
      <c r="BD13" t="str">
        <f t="shared" si="19"/>
        <v>Hortalizas</v>
      </c>
      <c r="BE13">
        <f>+datos!BB1</f>
        <v>54</v>
      </c>
      <c r="BF13" s="2" t="str">
        <f t="shared" si="4"/>
        <v>$/kg</v>
      </c>
      <c r="BG13" s="2">
        <f t="shared" si="4"/>
        <v>15516.242419441563</v>
      </c>
      <c r="BH13" s="2">
        <f t="shared" si="4"/>
        <v>10288.408236697096</v>
      </c>
      <c r="BI13" s="2">
        <f t="shared" si="4"/>
        <v>3460.6504965622607</v>
      </c>
      <c r="BK13">
        <f>+datos!CO1</f>
        <v>93</v>
      </c>
      <c r="BL13" s="2">
        <f t="shared" si="20"/>
        <v>9341.9387272889635</v>
      </c>
      <c r="BM13" s="2">
        <f t="shared" si="20"/>
        <v>8122.6655953547343</v>
      </c>
      <c r="BN13" s="2">
        <f t="shared" si="20"/>
        <v>2328.6955242256267</v>
      </c>
      <c r="BP13" s="1">
        <f>+datos!EX1</f>
        <v>154</v>
      </c>
      <c r="BQ13" s="1">
        <f t="shared" si="21"/>
        <v>64395</v>
      </c>
      <c r="BR13" s="1">
        <f t="shared" si="21"/>
        <v>66593</v>
      </c>
      <c r="BT13" s="1">
        <f>+datos!GN1</f>
        <v>196</v>
      </c>
      <c r="BU13" s="1">
        <f t="shared" si="22"/>
        <v>2639386</v>
      </c>
      <c r="BV13" s="1">
        <f t="shared" si="22"/>
        <v>2677912.56</v>
      </c>
      <c r="BX13" s="1">
        <f>+datos!LR1</f>
        <v>330</v>
      </c>
      <c r="BY13" s="1">
        <f t="shared" si="39"/>
        <v>81.273712310000008</v>
      </c>
      <c r="BZ13" s="1">
        <f t="shared" si="40"/>
        <v>50.723694639999998</v>
      </c>
      <c r="CB13" s="1">
        <f>+datos!LV1</f>
        <v>334</v>
      </c>
      <c r="CC13" s="2">
        <f t="shared" si="23"/>
        <v>12.877086850000001</v>
      </c>
      <c r="CD13" s="2">
        <f t="shared" si="24"/>
        <v>25.662021920000001</v>
      </c>
      <c r="CF13" s="1">
        <f>+datos!IX1</f>
        <v>258</v>
      </c>
      <c r="CG13" s="1">
        <f t="shared" si="25"/>
        <v>0</v>
      </c>
      <c r="CH13" s="1">
        <f t="shared" si="26"/>
        <v>0</v>
      </c>
      <c r="CJ13" s="1">
        <f t="shared" si="27"/>
        <v>11.964288460000001</v>
      </c>
      <c r="CK13" s="1">
        <f t="shared" si="27"/>
        <v>14.874595200000002</v>
      </c>
      <c r="CL13" s="1">
        <f t="shared" si="27"/>
        <v>12.356255849999998</v>
      </c>
      <c r="CM13" s="1">
        <f t="shared" si="27"/>
        <v>7.66143427</v>
      </c>
      <c r="CN13" s="1">
        <f t="shared" si="27"/>
        <v>3.9700200400000001</v>
      </c>
      <c r="CO13" s="1">
        <f t="shared" si="27"/>
        <v>4.244482989999999</v>
      </c>
      <c r="CP13" s="1">
        <f t="shared" si="27"/>
        <v>3.7692072699999999</v>
      </c>
      <c r="CQ13" s="1">
        <f t="shared" si="27"/>
        <v>4.3561451300000007</v>
      </c>
      <c r="CR13" s="1">
        <f t="shared" si="27"/>
        <v>2.35708815</v>
      </c>
      <c r="CS13" s="1">
        <f t="shared" si="27"/>
        <v>2.9990922500000003</v>
      </c>
      <c r="CT13" s="1">
        <f t="shared" si="27"/>
        <v>4.9654154400000001</v>
      </c>
      <c r="CU13" s="1">
        <f t="shared" si="27"/>
        <v>7.7556872599999993</v>
      </c>
      <c r="CV13" s="1">
        <f t="shared" si="27"/>
        <v>10.641103850000002</v>
      </c>
      <c r="CW13" s="1">
        <f t="shared" si="27"/>
        <v>9.2379974100000002</v>
      </c>
      <c r="CX13" s="1">
        <f t="shared" si="27"/>
        <v>6.8023944899999993</v>
      </c>
      <c r="CY13" s="1">
        <f t="shared" si="27"/>
        <v>2.5188479500000001</v>
      </c>
      <c r="CZ13" s="1">
        <f t="shared" si="28"/>
        <v>1.93600679</v>
      </c>
      <c r="DA13" s="1">
        <f t="shared" si="28"/>
        <v>3.7029913799999998</v>
      </c>
      <c r="DB13" s="1">
        <f t="shared" si="28"/>
        <v>3.1144052499999999</v>
      </c>
      <c r="DC13" s="1">
        <f t="shared" si="28"/>
        <v>2.0701945399999997</v>
      </c>
      <c r="DD13" s="1">
        <f t="shared" si="28"/>
        <v>2.0629542399999998</v>
      </c>
      <c r="DE13" s="1">
        <f t="shared" si="28"/>
        <v>2.51054522</v>
      </c>
      <c r="DF13" s="1">
        <f t="shared" si="28"/>
        <v>2.2984328500000002</v>
      </c>
      <c r="DG13" s="1">
        <f t="shared" si="28"/>
        <v>3.8278206699999999</v>
      </c>
      <c r="DI13" s="1">
        <f t="shared" si="29"/>
        <v>1.5645213200000003</v>
      </c>
      <c r="DJ13" s="1">
        <f t="shared" si="29"/>
        <v>0.17069466</v>
      </c>
      <c r="DK13" s="1">
        <f t="shared" si="29"/>
        <v>5.8121779999999998E-2</v>
      </c>
      <c r="DL13" s="1">
        <f t="shared" si="29"/>
        <v>0.22874177000000001</v>
      </c>
      <c r="DM13" s="1">
        <f t="shared" si="29"/>
        <v>6.8422739999999996E-2</v>
      </c>
      <c r="DN13" s="1">
        <f t="shared" si="29"/>
        <v>1.38860757</v>
      </c>
      <c r="DO13" s="1">
        <f t="shared" si="29"/>
        <v>1.9631409899999996</v>
      </c>
      <c r="DP13" s="1">
        <f t="shared" si="29"/>
        <v>1.5225679400000001</v>
      </c>
      <c r="DQ13" s="1">
        <f t="shared" si="29"/>
        <v>1.3263511099999998</v>
      </c>
      <c r="DR13" s="1">
        <f t="shared" si="29"/>
        <v>2.5091586699999997</v>
      </c>
      <c r="DS13" s="1">
        <f t="shared" si="29"/>
        <v>1.6528733800000002</v>
      </c>
      <c r="DT13" s="1">
        <f t="shared" si="29"/>
        <v>0.42388491999999994</v>
      </c>
      <c r="DU13" s="1">
        <f t="shared" si="29"/>
        <v>1.7301791</v>
      </c>
      <c r="DV13" s="1">
        <f t="shared" si="29"/>
        <v>2.0483479400000002</v>
      </c>
      <c r="DW13" s="1">
        <f t="shared" si="29"/>
        <v>0.56045690999999997</v>
      </c>
      <c r="DX13" s="1">
        <f t="shared" si="29"/>
        <v>1.1333685500000001</v>
      </c>
      <c r="DY13" s="1">
        <f t="shared" si="30"/>
        <v>1.93118693</v>
      </c>
      <c r="DZ13" s="1">
        <f t="shared" si="30"/>
        <v>0.60248590000000002</v>
      </c>
      <c r="EA13" s="1">
        <f t="shared" si="30"/>
        <v>0.87790919000000001</v>
      </c>
      <c r="EB13" s="1">
        <f t="shared" si="30"/>
        <v>1.4386166999999999</v>
      </c>
      <c r="EC13" s="1">
        <f t="shared" si="30"/>
        <v>5.8540475399999998</v>
      </c>
      <c r="ED13" s="1">
        <f t="shared" si="30"/>
        <v>5.5126731700000002</v>
      </c>
      <c r="EE13" s="1">
        <f t="shared" si="30"/>
        <v>2.0048543400000001</v>
      </c>
      <c r="EF13" s="1">
        <f t="shared" si="30"/>
        <v>1.96789565</v>
      </c>
      <c r="EH13" s="14">
        <f t="shared" si="31"/>
        <v>0</v>
      </c>
      <c r="EI13" s="14">
        <f t="shared" si="31"/>
        <v>0</v>
      </c>
      <c r="EJ13" s="1">
        <f t="shared" si="31"/>
        <v>0</v>
      </c>
      <c r="EK13" s="1">
        <f t="shared" si="31"/>
        <v>0</v>
      </c>
      <c r="EL13" s="1">
        <f t="shared" si="31"/>
        <v>0</v>
      </c>
      <c r="EM13" s="1">
        <f t="shared" si="31"/>
        <v>0</v>
      </c>
      <c r="EN13" s="1">
        <f t="shared" si="31"/>
        <v>0</v>
      </c>
      <c r="EO13" s="1">
        <f t="shared" si="31"/>
        <v>0</v>
      </c>
      <c r="EP13" s="1">
        <f t="shared" si="31"/>
        <v>0</v>
      </c>
      <c r="EQ13" s="1">
        <f t="shared" si="31"/>
        <v>0</v>
      </c>
      <c r="ER13" s="1">
        <f t="shared" si="31"/>
        <v>0</v>
      </c>
      <c r="ES13" s="1">
        <f t="shared" si="31"/>
        <v>0</v>
      </c>
      <c r="ET13" s="1">
        <f t="shared" si="31"/>
        <v>0</v>
      </c>
      <c r="EU13" s="1">
        <f t="shared" si="31"/>
        <v>0</v>
      </c>
      <c r="EV13" s="1">
        <f t="shared" si="31"/>
        <v>0</v>
      </c>
      <c r="EW13" s="1">
        <f t="shared" si="31"/>
        <v>0</v>
      </c>
      <c r="EX13" s="1">
        <f t="shared" si="32"/>
        <v>0</v>
      </c>
      <c r="EY13" s="1">
        <f t="shared" si="32"/>
        <v>0</v>
      </c>
      <c r="EZ13" s="1">
        <f t="shared" si="32"/>
        <v>0</v>
      </c>
      <c r="FA13" s="1">
        <f t="shared" si="32"/>
        <v>0</v>
      </c>
      <c r="FB13" s="1">
        <f t="shared" si="32"/>
        <v>0</v>
      </c>
      <c r="FC13" s="1">
        <f t="shared" si="32"/>
        <v>0</v>
      </c>
      <c r="FD13" s="1">
        <f t="shared" si="32"/>
        <v>0</v>
      </c>
      <c r="FE13" s="1">
        <f t="shared" si="32"/>
        <v>0</v>
      </c>
      <c r="FG13" s="162">
        <f t="shared" si="33"/>
        <v>0.47195844982600299</v>
      </c>
    </row>
    <row r="14" spans="1:163" ht="18.75" customHeight="1">
      <c r="A14" s="243" t="s">
        <v>65</v>
      </c>
      <c r="B14" s="246"/>
      <c r="C14" s="156">
        <f t="shared" si="5"/>
        <v>-0.33</v>
      </c>
      <c r="D14" s="198">
        <v>1</v>
      </c>
      <c r="E14" s="248">
        <f t="shared" si="6"/>
        <v>9.7105982472454722E-2</v>
      </c>
      <c r="F14" s="249">
        <f t="shared" si="7"/>
        <v>5.5342703645803182E-2</v>
      </c>
      <c r="G14" s="248">
        <f t="shared" si="8"/>
        <v>5.9805993096676557E-2</v>
      </c>
      <c r="H14" s="249">
        <f t="shared" si="9"/>
        <v>3.7299989375778164E-2</v>
      </c>
      <c r="I14" s="248">
        <f t="shared" si="10"/>
        <v>3.0311658728515223</v>
      </c>
      <c r="J14" s="249">
        <f t="shared" si="11"/>
        <v>0.26708772461156149</v>
      </c>
      <c r="K14" s="248">
        <f t="shared" si="34"/>
        <v>2.6646582819421836</v>
      </c>
      <c r="L14" s="249">
        <f t="shared" si="12"/>
        <v>0.36650759090933871</v>
      </c>
      <c r="M14" s="250"/>
      <c r="N14" s="24">
        <v>-1</v>
      </c>
      <c r="O14" s="248">
        <f t="shared" si="35"/>
        <v>0</v>
      </c>
      <c r="P14" s="251">
        <f t="shared" si="36"/>
        <v>0</v>
      </c>
      <c r="Q14" s="248">
        <f t="shared" si="13"/>
        <v>-7.0689743633858493E-2</v>
      </c>
      <c r="R14" s="251">
        <f t="shared" si="37"/>
        <v>-7.0689743633858493E-2</v>
      </c>
      <c r="S14" s="250"/>
      <c r="T14" s="24">
        <v>-1</v>
      </c>
      <c r="U14" s="248">
        <f t="shared" si="14"/>
        <v>-0.16946023435426449</v>
      </c>
      <c r="V14" s="252">
        <f t="shared" si="15"/>
        <v>-0.16946023435426449</v>
      </c>
      <c r="W14" s="248">
        <f t="shared" si="38"/>
        <v>-0.26896688844659444</v>
      </c>
      <c r="X14" s="252">
        <f t="shared" si="16"/>
        <v>-0.26896688844659444</v>
      </c>
      <c r="Y14" s="248">
        <f t="shared" si="17"/>
        <v>-0.17391304347826075</v>
      </c>
      <c r="Z14" s="252">
        <f t="shared" si="18"/>
        <v>-0.17391304347826075</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P14" s="28">
        <f>VLOOKUP($A14,historia!$A$5:$CM$24,+HLOOKUP(AP$2,historia!$A$3:$EC$4,2,FALSE),FALSE)</f>
        <v>5</v>
      </c>
      <c r="AQ14" s="28">
        <f>VLOOKUP($A14,historia!$A$5:$CM$24,+HLOOKUP(AQ$2,historia!$A$3:$EC$4,2,FALSE),FALSE)</f>
        <v>5</v>
      </c>
      <c r="AR14" s="28">
        <f>VLOOKUP($A14,historia!$A$5:$CM$24,+HLOOKUP(AR$2,historia!$A$3:$EC$4,2,FALSE),FALSE)</f>
        <v>5</v>
      </c>
      <c r="AS14" s="28">
        <f>VLOOKUP($A14,historia!$A$5:$CM$24,+HLOOKUP(AS$2,historia!$A$3:$EC$4,2,FALSE),FALSE)</f>
        <v>5</v>
      </c>
      <c r="AT14" s="58">
        <f>VLOOKUP($A14,historia!$A$5:$CM$24,+HLOOKUP(AT$2,historia!$A$3:$EC$4,2,FALSE),FALSE)</f>
        <v>5</v>
      </c>
      <c r="AU14" s="58">
        <f>VLOOKUP($A14,historia!$A$5:$CM$24,+HLOOKUP(AU$2,historia!$A$3:$EC$4,2,FALSE),FALSE)</f>
        <v>5</v>
      </c>
      <c r="AV14" s="58">
        <f>VLOOKUP($A14,historia!$A$5:$CM$24,+HLOOKUP(AV$2,historia!$A$3:$EC$4,2,FALSE),FALSE)</f>
        <v>5</v>
      </c>
      <c r="AW14" s="58">
        <f>VLOOKUP($A14,historia!$A$5:$CM$24,+HLOOKUP(AW$2,historia!$A$3:$EC$4,2,FALSE),FALSE)</f>
        <v>5</v>
      </c>
      <c r="AX14" s="58">
        <f>VLOOKUP($A14,historia!$A$5:$CM$24,+HLOOKUP(AX$2,historia!$A$3:$EC$4,2,FALSE),FALSE)</f>
        <v>4</v>
      </c>
      <c r="AY14" s="58">
        <f>VLOOKUP($A14,historia!$A$5:$CM$24,+HLOOKUP(AY$2,historia!$A$3:$EC$4,2,FALSE),FALSE)</f>
        <v>4</v>
      </c>
      <c r="AZ14" s="58">
        <f>VLOOKUP($A14,historia!$A$5:$CM$24,+HLOOKUP(AZ$2,historia!$A$3:$EC$4,2,FALSE),FALSE)</f>
        <v>4</v>
      </c>
      <c r="BA14" s="58">
        <f>VLOOKUP($A14,historia!$A$5:$CM$24,+HLOOKUP(BA$2,historia!$A$3:$EC$4,2,FALSE),FALSE)</f>
        <v>4</v>
      </c>
      <c r="BB14" s="30"/>
      <c r="BC14" s="141">
        <v>4</v>
      </c>
      <c r="BD14" t="str">
        <f t="shared" si="19"/>
        <v>Leche</v>
      </c>
      <c r="BE14">
        <f>+datos!BN1</f>
        <v>66</v>
      </c>
      <c r="BF14" s="2" t="str">
        <f t="shared" si="4"/>
        <v>$/l</v>
      </c>
      <c r="BG14" s="2">
        <f t="shared" si="4"/>
        <v>389.33</v>
      </c>
      <c r="BH14" s="2">
        <f t="shared" si="4"/>
        <v>354.87</v>
      </c>
      <c r="BI14" s="2">
        <f t="shared" si="4"/>
        <v>96.58</v>
      </c>
      <c r="BK14">
        <f>+datos!DC1</f>
        <v>107</v>
      </c>
      <c r="BL14" s="2">
        <f t="shared" si="20"/>
        <v>8087.6814680346288</v>
      </c>
      <c r="BM14" s="2">
        <f t="shared" si="20"/>
        <v>7631.2848962129447</v>
      </c>
      <c r="BN14" s="2">
        <f t="shared" si="20"/>
        <v>2206.9401417008371</v>
      </c>
      <c r="BP14" s="1">
        <f>+datos!EN1</f>
        <v>144</v>
      </c>
      <c r="BQ14" s="1">
        <f t="shared" si="21"/>
        <v>3169981</v>
      </c>
      <c r="BR14" s="1">
        <f t="shared" si="21"/>
        <v>3169981</v>
      </c>
      <c r="BT14" s="1">
        <f>+datos!HP1</f>
        <v>224</v>
      </c>
      <c r="BU14" s="1">
        <f t="shared" si="22"/>
        <v>10729.444495900923</v>
      </c>
      <c r="BV14" s="1">
        <f t="shared" si="22"/>
        <v>11545.6</v>
      </c>
      <c r="BX14" s="1">
        <f>+datos!KH1</f>
        <v>294</v>
      </c>
      <c r="BY14" s="1">
        <f t="shared" si="39"/>
        <v>1517.3983468599999</v>
      </c>
      <c r="BZ14" s="1">
        <f t="shared" si="40"/>
        <v>1827.0026428900001</v>
      </c>
      <c r="CB14" s="1">
        <f>+datos!LM1</f>
        <v>325</v>
      </c>
      <c r="CC14" s="2">
        <f t="shared" si="23"/>
        <v>21.436163620000002</v>
      </c>
      <c r="CD14" s="2">
        <f t="shared" si="24"/>
        <v>29.32310901</v>
      </c>
      <c r="CF14" s="1">
        <f>+datos!IN1</f>
        <v>248</v>
      </c>
      <c r="CG14" s="1">
        <f t="shared" si="25"/>
        <v>155.80000000000001</v>
      </c>
      <c r="CH14" s="1">
        <f t="shared" si="26"/>
        <v>188.6</v>
      </c>
      <c r="CJ14" s="1">
        <f t="shared" si="27"/>
        <v>113.57779348999999</v>
      </c>
      <c r="CK14" s="1">
        <f t="shared" si="27"/>
        <v>118.3786056</v>
      </c>
      <c r="CL14" s="1">
        <f t="shared" si="27"/>
        <v>126.46519539000002</v>
      </c>
      <c r="CM14" s="1">
        <f t="shared" si="27"/>
        <v>140.50614890000003</v>
      </c>
      <c r="CN14" s="1">
        <f t="shared" si="27"/>
        <v>139.44218023000002</v>
      </c>
      <c r="CO14" s="1">
        <f t="shared" si="27"/>
        <v>153.04661877999999</v>
      </c>
      <c r="CP14" s="1">
        <f t="shared" si="27"/>
        <v>136.81239812999999</v>
      </c>
      <c r="CQ14" s="1">
        <f t="shared" si="27"/>
        <v>134.16752365000002</v>
      </c>
      <c r="CR14" s="1">
        <f t="shared" si="27"/>
        <v>114.82793965999997</v>
      </c>
      <c r="CS14" s="1">
        <f t="shared" si="27"/>
        <v>120.47507141999999</v>
      </c>
      <c r="CT14" s="1">
        <f t="shared" si="27"/>
        <v>118.84770241</v>
      </c>
      <c r="CU14" s="1">
        <f t="shared" si="27"/>
        <v>100.85116919999999</v>
      </c>
      <c r="CV14" s="1">
        <f t="shared" si="27"/>
        <v>116.29617616</v>
      </c>
      <c r="CW14" s="1">
        <f t="shared" si="27"/>
        <v>115.47027065</v>
      </c>
      <c r="CX14" s="1">
        <f t="shared" si="27"/>
        <v>138.26089648999999</v>
      </c>
      <c r="CY14" s="1">
        <f t="shared" si="27"/>
        <v>163.45053632000003</v>
      </c>
      <c r="CZ14" s="1">
        <f t="shared" si="28"/>
        <v>135.61809928</v>
      </c>
      <c r="DA14" s="1">
        <f t="shared" si="28"/>
        <v>152.11245593000001</v>
      </c>
      <c r="DB14" s="1">
        <f t="shared" si="28"/>
        <v>167.62191332</v>
      </c>
      <c r="DC14" s="1">
        <f t="shared" si="28"/>
        <v>194.12902524000003</v>
      </c>
      <c r="DD14" s="1">
        <f t="shared" si="28"/>
        <v>153.24721415000002</v>
      </c>
      <c r="DE14" s="1">
        <f t="shared" si="28"/>
        <v>146.24437125</v>
      </c>
      <c r="DF14" s="1">
        <f t="shared" si="28"/>
        <v>192.10888658000002</v>
      </c>
      <c r="DG14" s="1">
        <f t="shared" si="28"/>
        <v>152.44279752</v>
      </c>
      <c r="DI14" s="1">
        <f t="shared" si="29"/>
        <v>1.6658761100000001</v>
      </c>
      <c r="DJ14" s="1">
        <f t="shared" si="29"/>
        <v>1.6724867599999997</v>
      </c>
      <c r="DK14" s="1">
        <f t="shared" si="29"/>
        <v>1.92660527</v>
      </c>
      <c r="DL14" s="1">
        <f t="shared" si="29"/>
        <v>0.38991597</v>
      </c>
      <c r="DM14" s="1">
        <f t="shared" si="29"/>
        <v>3.0425877200000002</v>
      </c>
      <c r="DN14" s="1">
        <f t="shared" si="29"/>
        <v>1.8227840799999999</v>
      </c>
      <c r="DO14" s="1">
        <f t="shared" si="29"/>
        <v>2.1288867499999999</v>
      </c>
      <c r="DP14" s="1">
        <f t="shared" si="29"/>
        <v>2.0947676</v>
      </c>
      <c r="DQ14" s="1">
        <f t="shared" si="29"/>
        <v>1.2699740900000001</v>
      </c>
      <c r="DR14" s="1">
        <f t="shared" si="29"/>
        <v>1.3202370399999999</v>
      </c>
      <c r="DS14" s="1">
        <f t="shared" si="29"/>
        <v>2.29115132</v>
      </c>
      <c r="DT14" s="1">
        <f t="shared" si="29"/>
        <v>1.8108909100000001</v>
      </c>
      <c r="DU14" s="1">
        <f t="shared" si="29"/>
        <v>3.0093188999999998</v>
      </c>
      <c r="DV14" s="1">
        <f t="shared" si="29"/>
        <v>2.2926081099999998</v>
      </c>
      <c r="DW14" s="1">
        <f t="shared" si="29"/>
        <v>3.2446467999999999</v>
      </c>
      <c r="DX14" s="1">
        <f t="shared" si="29"/>
        <v>2.3068511200000001</v>
      </c>
      <c r="DY14" s="1">
        <f t="shared" si="30"/>
        <v>2.4321035299999991</v>
      </c>
      <c r="DZ14" s="1">
        <f t="shared" si="30"/>
        <v>0</v>
      </c>
      <c r="EA14" s="1">
        <f t="shared" si="30"/>
        <v>2.4168714900000001</v>
      </c>
      <c r="EB14" s="1">
        <f t="shared" si="30"/>
        <v>1.42944377</v>
      </c>
      <c r="EC14" s="1">
        <f t="shared" si="30"/>
        <v>2.4256843100000003</v>
      </c>
      <c r="ED14" s="1">
        <f t="shared" si="30"/>
        <v>4.1067614599999995</v>
      </c>
      <c r="EE14" s="1">
        <f t="shared" si="30"/>
        <v>1.9338399900000003</v>
      </c>
      <c r="EF14" s="1">
        <f t="shared" si="30"/>
        <v>3.7249795299999997</v>
      </c>
      <c r="EH14" s="14">
        <f t="shared" si="31"/>
        <v>155.80000000000001</v>
      </c>
      <c r="EI14" s="14">
        <f t="shared" si="31"/>
        <v>159.5</v>
      </c>
      <c r="EJ14" s="1">
        <f t="shared" si="31"/>
        <v>170.8</v>
      </c>
      <c r="EK14" s="1">
        <f t="shared" si="31"/>
        <v>170.8</v>
      </c>
      <c r="EL14" s="1">
        <f t="shared" si="31"/>
        <v>187.7</v>
      </c>
      <c r="EM14" s="1">
        <f t="shared" si="31"/>
        <v>196.8</v>
      </c>
      <c r="EN14" s="1">
        <f t="shared" si="31"/>
        <v>196.8</v>
      </c>
      <c r="EO14" s="1">
        <f t="shared" si="31"/>
        <v>188.6</v>
      </c>
      <c r="EP14" s="1">
        <f t="shared" si="31"/>
        <v>188.6</v>
      </c>
      <c r="EQ14" s="1">
        <f t="shared" si="31"/>
        <v>188.6</v>
      </c>
      <c r="ER14" s="1">
        <f t="shared" si="31"/>
        <v>188.6</v>
      </c>
      <c r="ES14" s="1">
        <f t="shared" si="31"/>
        <v>188.6</v>
      </c>
      <c r="ET14" s="1">
        <f t="shared" si="31"/>
        <v>188.6</v>
      </c>
      <c r="EU14" s="1">
        <f t="shared" si="31"/>
        <v>188.6</v>
      </c>
      <c r="EV14" s="1">
        <f t="shared" si="31"/>
        <v>188.6</v>
      </c>
      <c r="EW14" s="1">
        <f t="shared" si="31"/>
        <v>188.6</v>
      </c>
      <c r="EX14" s="1">
        <f t="shared" si="32"/>
        <v>188.6</v>
      </c>
      <c r="EY14" s="1">
        <f t="shared" si="32"/>
        <v>188.6</v>
      </c>
      <c r="EZ14" s="1">
        <f t="shared" si="32"/>
        <v>188.6</v>
      </c>
      <c r="FA14" s="1">
        <f t="shared" si="32"/>
        <v>185.6</v>
      </c>
      <c r="FB14" s="1">
        <f t="shared" si="32"/>
        <v>185.6</v>
      </c>
      <c r="FC14" s="1">
        <f t="shared" si="32"/>
        <v>189</v>
      </c>
      <c r="FD14" s="1">
        <f t="shared" si="32"/>
        <v>189</v>
      </c>
      <c r="FE14" s="1">
        <f t="shared" si="32"/>
        <v>189</v>
      </c>
      <c r="FG14" s="162">
        <f t="shared" si="33"/>
        <v>0.36650759090933871</v>
      </c>
    </row>
    <row r="15" spans="1:163" ht="18.75" customHeight="1">
      <c r="A15" s="244" t="s">
        <v>68</v>
      </c>
      <c r="B15" s="247"/>
      <c r="C15" s="228">
        <v>0</v>
      </c>
      <c r="D15" s="229">
        <v>-1</v>
      </c>
      <c r="E15" s="253">
        <f t="shared" si="6"/>
        <v>2.0936940521185665E-2</v>
      </c>
      <c r="F15" s="254">
        <f t="shared" si="7"/>
        <v>-2.0826338305465875E-2</v>
      </c>
      <c r="G15" s="253">
        <f t="shared" si="8"/>
        <v>3.9361470379896346E-2</v>
      </c>
      <c r="H15" s="254">
        <f t="shared" si="9"/>
        <v>-1.8424529858710681E-2</v>
      </c>
      <c r="I15" s="253">
        <f t="shared" si="10"/>
        <v>0.99845633943844114</v>
      </c>
      <c r="J15" s="254">
        <f t="shared" si="11"/>
        <v>-1.7656218088015196</v>
      </c>
      <c r="K15" s="253">
        <f t="shared" si="34"/>
        <v>2.5506361407678506</v>
      </c>
      <c r="L15" s="254">
        <f t="shared" si="12"/>
        <v>-1.5521798013294095</v>
      </c>
      <c r="M15" s="255"/>
      <c r="N15" s="256">
        <v>0</v>
      </c>
      <c r="O15" s="253">
        <f t="shared" si="35"/>
        <v>-8.022582082899965E-3</v>
      </c>
      <c r="P15" s="257">
        <f t="shared" si="36"/>
        <v>-8.022582082899965E-3</v>
      </c>
      <c r="Q15" s="253">
        <f t="shared" si="13"/>
        <v>-3.262739139568871E-3</v>
      </c>
      <c r="R15" s="257">
        <f t="shared" si="37"/>
        <v>-3.262739139568871E-3</v>
      </c>
      <c r="S15" s="255"/>
      <c r="T15" s="256">
        <v>-1</v>
      </c>
      <c r="U15" s="253" t="str">
        <f t="shared" si="14"/>
        <v/>
      </c>
      <c r="V15" s="258" t="str">
        <f t="shared" si="15"/>
        <v/>
      </c>
      <c r="W15" s="253">
        <f t="shared" si="38"/>
        <v>-0.55479195440117024</v>
      </c>
      <c r="X15" s="258">
        <f t="shared" si="16"/>
        <v>-0.55479195440117024</v>
      </c>
      <c r="Y15" s="253">
        <f t="shared" si="17"/>
        <v>0</v>
      </c>
      <c r="Z15" s="258">
        <f t="shared" si="18"/>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P15" s="28">
        <f>VLOOKUP($A15,historia!$A$5:$CM$24,+HLOOKUP(AP$2,historia!$A$3:$EC$4,2,FALSE),FALSE)</f>
        <v>4</v>
      </c>
      <c r="AQ15" s="28">
        <f>VLOOKUP($A15,historia!$A$5:$CM$24,+HLOOKUP(AQ$2,historia!$A$3:$EC$4,2,FALSE),FALSE)</f>
        <v>4</v>
      </c>
      <c r="AR15" s="28">
        <f>VLOOKUP($A15,historia!$A$5:$CM$24,+HLOOKUP(AR$2,historia!$A$3:$EC$4,2,FALSE),FALSE)</f>
        <v>4</v>
      </c>
      <c r="AS15" s="28">
        <f>VLOOKUP($A15,historia!$A$5:$CM$24,+HLOOKUP(AS$2,historia!$A$3:$EC$4,2,FALSE),FALSE)</f>
        <v>4</v>
      </c>
      <c r="AT15" s="58">
        <f>VLOOKUP($A15,historia!$A$5:$CM$24,+HLOOKUP(AT$2,historia!$A$3:$EC$4,2,FALSE),FALSE)</f>
        <v>4</v>
      </c>
      <c r="AU15" s="58">
        <f>VLOOKUP($A15,historia!$A$5:$CM$24,+HLOOKUP(AU$2,historia!$A$3:$EC$4,2,FALSE),FALSE)</f>
        <v>4</v>
      </c>
      <c r="AV15" s="58">
        <f>VLOOKUP($A15,historia!$A$5:$CM$24,+HLOOKUP(AV$2,historia!$A$3:$EC$4,2,FALSE),FALSE)</f>
        <v>4</v>
      </c>
      <c r="AW15" s="58">
        <f>VLOOKUP($A15,historia!$A$5:$CM$24,+HLOOKUP(AW$2,historia!$A$3:$EC$4,2,FALSE),FALSE)</f>
        <v>4</v>
      </c>
      <c r="AX15" s="58">
        <f>VLOOKUP($A15,historia!$A$5:$CM$24,+HLOOKUP(AX$2,historia!$A$3:$EC$4,2,FALSE),FALSE)</f>
        <v>3</v>
      </c>
      <c r="AY15" s="58">
        <f>VLOOKUP($A15,historia!$A$5:$CM$24,+HLOOKUP(AY$2,historia!$A$3:$EC$4,2,FALSE),FALSE)</f>
        <v>3</v>
      </c>
      <c r="AZ15" s="58">
        <f>VLOOKUP($A15,historia!$A$5:$CM$24,+HLOOKUP(AZ$2,historia!$A$3:$EC$4,2,FALSE),FALSE)</f>
        <v>3</v>
      </c>
      <c r="BA15" s="58">
        <f>VLOOKUP($A15,historia!$A$5:$CM$24,+HLOOKUP(BA$2,historia!$A$3:$EC$4,2,FALSE),FALSE)</f>
        <v>4</v>
      </c>
      <c r="BB15" s="30"/>
      <c r="BC15" s="141">
        <v>4</v>
      </c>
      <c r="BD15" t="str">
        <f t="shared" si="19"/>
        <v>Mandioca</v>
      </c>
      <c r="BE15">
        <f>+datos!AW1</f>
        <v>49</v>
      </c>
      <c r="BF15" s="2" t="str">
        <f t="shared" si="4"/>
        <v>$/bolsa40kg</v>
      </c>
      <c r="BG15" s="2">
        <f t="shared" si="4"/>
        <v>10368.181818181818</v>
      </c>
      <c r="BH15" s="2">
        <f t="shared" si="4"/>
        <v>10155.555555555555</v>
      </c>
      <c r="BI15" s="2">
        <f t="shared" si="4"/>
        <v>5188.0952380952385</v>
      </c>
      <c r="BK15">
        <f>+datos!CJ1</f>
        <v>88</v>
      </c>
      <c r="BL15" s="2">
        <f t="shared" si="20"/>
        <v>7064.1570326348301</v>
      </c>
      <c r="BM15" s="2">
        <f t="shared" si="20"/>
        <v>6796.6316185001688</v>
      </c>
      <c r="BN15" s="2">
        <f t="shared" si="20"/>
        <v>1989.546873453261</v>
      </c>
      <c r="BP15" s="1">
        <f>+datos!EY1</f>
        <v>155</v>
      </c>
      <c r="BQ15" s="1">
        <f t="shared" si="21"/>
        <v>20031</v>
      </c>
      <c r="BR15" s="1">
        <f t="shared" si="21"/>
        <v>20193</v>
      </c>
      <c r="BT15" s="1">
        <f>+datos!GO1</f>
        <v>197</v>
      </c>
      <c r="BU15" s="1">
        <f t="shared" si="22"/>
        <v>201734</v>
      </c>
      <c r="BV15" s="1">
        <f t="shared" si="22"/>
        <v>202394.36</v>
      </c>
      <c r="BX15" s="1">
        <f>+datos!JP1</f>
        <v>276</v>
      </c>
      <c r="BY15" s="1">
        <f t="shared" si="39"/>
        <v>0</v>
      </c>
      <c r="BZ15" s="1">
        <f t="shared" si="40"/>
        <v>0</v>
      </c>
      <c r="CB15" s="1">
        <f>+datos!KU1</f>
        <v>307</v>
      </c>
      <c r="CC15" s="2">
        <f t="shared" si="23"/>
        <v>4.6665647700000008</v>
      </c>
      <c r="CD15" s="2">
        <f t="shared" si="24"/>
        <v>10.481761990000001</v>
      </c>
      <c r="CF15" s="1">
        <f>+datos!IY1</f>
        <v>259</v>
      </c>
      <c r="CG15" s="1">
        <f t="shared" si="25"/>
        <v>1.88</v>
      </c>
      <c r="CH15" s="1">
        <f t="shared" si="26"/>
        <v>1.88</v>
      </c>
      <c r="CJ15" s="1">
        <f t="shared" si="27"/>
        <v>0</v>
      </c>
      <c r="CK15" s="1">
        <f t="shared" si="27"/>
        <v>0</v>
      </c>
      <c r="CL15" s="1">
        <f t="shared" si="27"/>
        <v>0</v>
      </c>
      <c r="CM15" s="1">
        <f t="shared" si="27"/>
        <v>0</v>
      </c>
      <c r="CN15" s="1">
        <f t="shared" si="27"/>
        <v>0</v>
      </c>
      <c r="CO15" s="1">
        <f t="shared" si="27"/>
        <v>0</v>
      </c>
      <c r="CP15" s="1">
        <f t="shared" si="27"/>
        <v>0</v>
      </c>
      <c r="CQ15" s="1">
        <f t="shared" si="27"/>
        <v>0</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8"/>
        <v>0</v>
      </c>
      <c r="DA15" s="1">
        <f t="shared" si="28"/>
        <v>0</v>
      </c>
      <c r="DB15" s="1">
        <f t="shared" si="28"/>
        <v>0</v>
      </c>
      <c r="DC15" s="1">
        <f t="shared" si="28"/>
        <v>0</v>
      </c>
      <c r="DD15" s="1">
        <f t="shared" si="28"/>
        <v>0</v>
      </c>
      <c r="DE15" s="1">
        <f t="shared" si="28"/>
        <v>0</v>
      </c>
      <c r="DF15" s="1">
        <f t="shared" si="28"/>
        <v>0</v>
      </c>
      <c r="DG15" s="1">
        <f t="shared" si="28"/>
        <v>0</v>
      </c>
      <c r="DI15" s="14">
        <f t="shared" si="29"/>
        <v>0.12198517</v>
      </c>
      <c r="DJ15" s="14">
        <f t="shared" si="29"/>
        <v>1.6812999999999999E-3</v>
      </c>
      <c r="DK15" s="1">
        <f t="shared" si="29"/>
        <v>2.8195380000000003E-2</v>
      </c>
      <c r="DL15" s="1">
        <f t="shared" si="29"/>
        <v>4.9277770000000005E-2</v>
      </c>
      <c r="DM15" s="1">
        <f t="shared" si="29"/>
        <v>0.21358802999999996</v>
      </c>
      <c r="DN15" s="1">
        <f t="shared" si="29"/>
        <v>0.24099903000000003</v>
      </c>
      <c r="DO15" s="1">
        <f t="shared" si="29"/>
        <v>0.39667624000000001</v>
      </c>
      <c r="DP15" s="1">
        <f t="shared" si="29"/>
        <v>0.47948613000000001</v>
      </c>
      <c r="DQ15" s="1">
        <f t="shared" si="29"/>
        <v>0.13955175</v>
      </c>
      <c r="DR15" s="1">
        <f t="shared" si="29"/>
        <v>0.88368341000000006</v>
      </c>
      <c r="DS15" s="1">
        <f t="shared" si="29"/>
        <v>0.91695114999999994</v>
      </c>
      <c r="DT15" s="1">
        <f t="shared" si="29"/>
        <v>1.1944894100000001</v>
      </c>
      <c r="DU15" s="1">
        <f t="shared" si="29"/>
        <v>1.11559404</v>
      </c>
      <c r="DV15" s="1">
        <f t="shared" si="29"/>
        <v>1.36422954</v>
      </c>
      <c r="DW15" s="1">
        <f t="shared" si="29"/>
        <v>1.7463627799999999</v>
      </c>
      <c r="DX15" s="1">
        <f t="shared" si="29"/>
        <v>0.68698649000000001</v>
      </c>
      <c r="DY15" s="1">
        <f t="shared" si="30"/>
        <v>0.11168649999999999</v>
      </c>
      <c r="DZ15" s="1">
        <f t="shared" si="30"/>
        <v>0</v>
      </c>
      <c r="EA15" s="1">
        <f t="shared" si="30"/>
        <v>1.4896021499999998</v>
      </c>
      <c r="EB15" s="1">
        <f t="shared" si="30"/>
        <v>0</v>
      </c>
      <c r="EC15" s="1">
        <f t="shared" si="30"/>
        <v>1.7451778999999998</v>
      </c>
      <c r="ED15" s="1">
        <f t="shared" si="30"/>
        <v>0.90545438</v>
      </c>
      <c r="EE15" s="1">
        <f t="shared" si="30"/>
        <v>0.96282131000000004</v>
      </c>
      <c r="EF15" s="1">
        <f t="shared" si="30"/>
        <v>0.35384690000000002</v>
      </c>
      <c r="EH15" s="14">
        <f t="shared" si="31"/>
        <v>1.88</v>
      </c>
      <c r="EI15" s="14">
        <f t="shared" si="31"/>
        <v>1.88</v>
      </c>
      <c r="EJ15" s="1">
        <f t="shared" si="31"/>
        <v>1.88</v>
      </c>
      <c r="EK15" s="1">
        <f t="shared" si="31"/>
        <v>1.88</v>
      </c>
      <c r="EL15" s="1">
        <f t="shared" si="31"/>
        <v>1.88</v>
      </c>
      <c r="EM15" s="1">
        <f t="shared" si="31"/>
        <v>1.88</v>
      </c>
      <c r="EN15" s="1">
        <f t="shared" si="31"/>
        <v>1.88</v>
      </c>
      <c r="EO15" s="1">
        <f t="shared" si="31"/>
        <v>1.88</v>
      </c>
      <c r="EP15" s="1">
        <f t="shared" si="31"/>
        <v>1.88</v>
      </c>
      <c r="EQ15" s="1">
        <f t="shared" si="31"/>
        <v>1.88</v>
      </c>
      <c r="ER15" s="1">
        <f t="shared" si="31"/>
        <v>1.88</v>
      </c>
      <c r="ES15" s="1">
        <f t="shared" si="31"/>
        <v>1.88</v>
      </c>
      <c r="ET15" s="1">
        <f t="shared" si="31"/>
        <v>1.88</v>
      </c>
      <c r="EU15" s="1">
        <f t="shared" si="31"/>
        <v>1.88</v>
      </c>
      <c r="EV15" s="1">
        <f t="shared" si="31"/>
        <v>1.88</v>
      </c>
      <c r="EW15" s="1">
        <f t="shared" si="31"/>
        <v>1.88</v>
      </c>
      <c r="EX15" s="1">
        <f t="shared" si="32"/>
        <v>1.88</v>
      </c>
      <c r="EY15" s="1">
        <f t="shared" si="32"/>
        <v>1.88</v>
      </c>
      <c r="EZ15" s="1">
        <f t="shared" si="32"/>
        <v>1.88</v>
      </c>
      <c r="FA15" s="1">
        <f t="shared" si="32"/>
        <v>1.88</v>
      </c>
      <c r="FB15" s="1">
        <f t="shared" si="32"/>
        <v>1.88</v>
      </c>
      <c r="FC15" s="1">
        <f t="shared" si="32"/>
        <v>1.88</v>
      </c>
      <c r="FD15" s="1">
        <f t="shared" si="32"/>
        <v>1.88</v>
      </c>
      <c r="FE15" s="1">
        <f t="shared" si="32"/>
        <v>1.88</v>
      </c>
      <c r="FG15" s="162">
        <f t="shared" si="33"/>
        <v>-1.5521798013294095</v>
      </c>
    </row>
    <row r="16" spans="1:163" ht="18.75" customHeight="1">
      <c r="A16" s="243" t="s">
        <v>25</v>
      </c>
      <c r="B16" s="246"/>
      <c r="C16" s="156">
        <f t="shared" si="5"/>
        <v>0</v>
      </c>
      <c r="D16" s="198">
        <v>1</v>
      </c>
      <c r="E16" s="248">
        <f t="shared" si="6"/>
        <v>8.83233446657683E-3</v>
      </c>
      <c r="F16" s="249">
        <f t="shared" si="7"/>
        <v>-3.293094436007471E-2</v>
      </c>
      <c r="G16" s="248">
        <f t="shared" si="8"/>
        <v>1.9315129155606181E-2</v>
      </c>
      <c r="H16" s="249">
        <f t="shared" si="9"/>
        <v>-1.0482794689029351E-2</v>
      </c>
      <c r="I16" s="248">
        <f t="shared" si="10"/>
        <v>2.8949064210284816</v>
      </c>
      <c r="J16" s="249">
        <f t="shared" si="11"/>
        <v>0.13082827278852083</v>
      </c>
      <c r="K16" s="248">
        <f t="shared" si="34"/>
        <v>2.5817530318186144</v>
      </c>
      <c r="L16" s="249">
        <f t="shared" si="12"/>
        <v>0.31315338920986724</v>
      </c>
      <c r="M16" s="250"/>
      <c r="N16" s="24">
        <v>1</v>
      </c>
      <c r="O16" s="248">
        <f t="shared" si="35"/>
        <v>0.11422036142805547</v>
      </c>
      <c r="P16" s="251">
        <f t="shared" si="36"/>
        <v>0.11422036142805547</v>
      </c>
      <c r="Q16" s="248">
        <f t="shared" si="13"/>
        <v>0.70637774795677699</v>
      </c>
      <c r="R16" s="251">
        <f t="shared" si="37"/>
        <v>0.70637774795677699</v>
      </c>
      <c r="S16" s="250"/>
      <c r="T16" s="24">
        <v>-2</v>
      </c>
      <c r="U16" s="248">
        <f t="shared" si="14"/>
        <v>-0.19111492563547927</v>
      </c>
      <c r="V16" s="252">
        <f t="shared" si="15"/>
        <v>-0.19111492563547927</v>
      </c>
      <c r="W16" s="248"/>
      <c r="X16" s="252"/>
      <c r="Y16" s="248">
        <f t="shared" si="17"/>
        <v>8.4415584415584499E-2</v>
      </c>
      <c r="Z16" s="252">
        <f t="shared" si="18"/>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P16" s="28">
        <f>VLOOKUP($A16,historia!$A$5:$CM$24,+HLOOKUP(AP$2,historia!$A$3:$EC$4,2,FALSE),FALSE)</f>
        <v>3</v>
      </c>
      <c r="AQ16" s="28">
        <f>VLOOKUP($A16,historia!$A$5:$CM$24,+HLOOKUP(AQ$2,historia!$A$3:$EC$4,2,FALSE),FALSE)</f>
        <v>3</v>
      </c>
      <c r="AR16" s="28">
        <f>VLOOKUP($A16,historia!$A$5:$CM$24,+HLOOKUP(AR$2,historia!$A$3:$EC$4,2,FALSE),FALSE)</f>
        <v>3</v>
      </c>
      <c r="AS16" s="28">
        <f>VLOOKUP($A16,historia!$A$5:$CM$24,+HLOOKUP(AS$2,historia!$A$3:$EC$4,2,FALSE),FALSE)</f>
        <v>3</v>
      </c>
      <c r="AT16" s="58">
        <f>VLOOKUP($A16,historia!$A$5:$CM$24,+HLOOKUP(AT$2,historia!$A$3:$EC$4,2,FALSE),FALSE)</f>
        <v>2</v>
      </c>
      <c r="AU16" s="58">
        <f>VLOOKUP($A16,historia!$A$5:$CM$24,+HLOOKUP(AU$2,historia!$A$3:$EC$4,2,FALSE),FALSE)</f>
        <v>2</v>
      </c>
      <c r="AV16" s="58">
        <f>VLOOKUP($A16,historia!$A$5:$CM$24,+HLOOKUP(AV$2,historia!$A$3:$EC$4,2,FALSE),FALSE)</f>
        <v>2</v>
      </c>
      <c r="AW16" s="58">
        <f>VLOOKUP($A16,historia!$A$5:$CM$24,+HLOOKUP(AW$2,historia!$A$3:$EC$4,2,FALSE),FALSE)</f>
        <v>2</v>
      </c>
      <c r="AX16" s="58">
        <f>VLOOKUP($A16,historia!$A$5:$CM$24,+HLOOKUP(AX$2,historia!$A$3:$EC$4,2,FALSE),FALSE)</f>
        <v>2</v>
      </c>
      <c r="AY16" s="58">
        <f>VLOOKUP($A16,historia!$A$5:$CM$24,+HLOOKUP(AY$2,historia!$A$3:$EC$4,2,FALSE),FALSE)</f>
        <v>2</v>
      </c>
      <c r="AZ16" s="58">
        <f>VLOOKUP($A16,historia!$A$5:$CM$24,+HLOOKUP(AZ$2,historia!$A$3:$EC$4,2,FALSE),FALSE)</f>
        <v>2</v>
      </c>
      <c r="BA16" s="58">
        <f>VLOOKUP($A16,historia!$A$5:$CM$24,+HLOOKUP(BA$2,historia!$A$3:$EC$4,2,FALSE),FALSE)</f>
        <v>3</v>
      </c>
      <c r="BB16" s="30"/>
      <c r="BC16" s="141">
        <v>3</v>
      </c>
      <c r="BD16" t="str">
        <f t="shared" si="19"/>
        <v>Maní</v>
      </c>
      <c r="BE16">
        <f>+datos!AF1</f>
        <v>32</v>
      </c>
      <c r="BF16" s="2" t="str">
        <f t="shared" si="4"/>
        <v>$/t</v>
      </c>
      <c r="BG16" s="2">
        <f t="shared" si="4"/>
        <v>788537.04761904757</v>
      </c>
      <c r="BH16" s="2">
        <f t="shared" si="4"/>
        <v>781633.4</v>
      </c>
      <c r="BI16" s="2">
        <f t="shared" si="4"/>
        <v>202453.4</v>
      </c>
      <c r="BK16">
        <f>+datos!CH1</f>
        <v>86</v>
      </c>
      <c r="BL16" s="2">
        <f t="shared" si="20"/>
        <v>9546.6960696593742</v>
      </c>
      <c r="BM16" s="2">
        <f t="shared" si="20"/>
        <v>9365.7945385033108</v>
      </c>
      <c r="BN16" s="2">
        <f t="shared" si="20"/>
        <v>2665.3697183616523</v>
      </c>
      <c r="BP16" s="1">
        <f>+datos!EB1</f>
        <v>132</v>
      </c>
      <c r="BQ16" s="1">
        <f t="shared" si="21"/>
        <v>416490</v>
      </c>
      <c r="BR16" s="1">
        <f t="shared" si="21"/>
        <v>373795</v>
      </c>
      <c r="BT16" s="1">
        <f>+datos!FW1</f>
        <v>179</v>
      </c>
      <c r="BU16" s="1">
        <f t="shared" si="22"/>
        <v>1604722</v>
      </c>
      <c r="BV16" s="1">
        <f t="shared" si="22"/>
        <v>940426</v>
      </c>
      <c r="BX16" s="1">
        <f>+datos!JK1</f>
        <v>271</v>
      </c>
      <c r="BY16" s="1">
        <f t="shared" si="39"/>
        <v>1082.09610759</v>
      </c>
      <c r="BZ16" s="1">
        <f t="shared" si="40"/>
        <v>1337.7624855299998</v>
      </c>
      <c r="CB16" s="1">
        <f>+datos!KP1</f>
        <v>302</v>
      </c>
      <c r="CC16" s="2">
        <f t="shared" si="23"/>
        <v>2.9400017000000003</v>
      </c>
      <c r="CD16" s="2">
        <f t="shared" si="24"/>
        <v>0.57770286000000004</v>
      </c>
      <c r="CF16" s="1">
        <f>+datos!IJ1</f>
        <v>244</v>
      </c>
      <c r="CG16" s="1">
        <f t="shared" si="25"/>
        <v>2.1563835150032644</v>
      </c>
      <c r="CH16" s="1">
        <f t="shared" si="26"/>
        <v>1.9885213252125911</v>
      </c>
      <c r="CJ16" s="1">
        <f t="shared" si="27"/>
        <v>63.473924160000003</v>
      </c>
      <c r="CK16" s="1">
        <f t="shared" si="27"/>
        <v>65.127016839999982</v>
      </c>
      <c r="CL16" s="1">
        <f t="shared" si="27"/>
        <v>70.784594500000011</v>
      </c>
      <c r="CM16" s="1">
        <f t="shared" si="27"/>
        <v>111.62267066999999</v>
      </c>
      <c r="CN16" s="1">
        <f t="shared" si="27"/>
        <v>100.80321882999999</v>
      </c>
      <c r="CO16" s="1">
        <f t="shared" si="27"/>
        <v>90.064767340000003</v>
      </c>
      <c r="CP16" s="1">
        <f t="shared" si="27"/>
        <v>96.183340330000021</v>
      </c>
      <c r="CQ16" s="1">
        <f t="shared" si="27"/>
        <v>89.024842150000026</v>
      </c>
      <c r="CR16" s="1">
        <f t="shared" si="27"/>
        <v>102.74257099999998</v>
      </c>
      <c r="CS16" s="1">
        <f t="shared" si="27"/>
        <v>102.43695814</v>
      </c>
      <c r="CT16" s="1">
        <f t="shared" si="27"/>
        <v>100.03941109999997</v>
      </c>
      <c r="CU16" s="1">
        <f t="shared" si="27"/>
        <v>89.79279253</v>
      </c>
      <c r="CV16" s="1">
        <f t="shared" si="27"/>
        <v>102.39153366000001</v>
      </c>
      <c r="CW16" s="1">
        <f t="shared" si="27"/>
        <v>98.470728969999996</v>
      </c>
      <c r="CX16" s="1">
        <f t="shared" si="27"/>
        <v>134.53858048999999</v>
      </c>
      <c r="CY16" s="1">
        <f t="shared" si="27"/>
        <v>116.52197384999999</v>
      </c>
      <c r="CZ16" s="1">
        <f t="shared" si="28"/>
        <v>130.05927615000002</v>
      </c>
      <c r="DA16" s="1">
        <f t="shared" si="28"/>
        <v>105.24839114999997</v>
      </c>
      <c r="DB16" s="1">
        <f t="shared" si="28"/>
        <v>106.58558735000001</v>
      </c>
      <c r="DC16" s="1">
        <f t="shared" si="28"/>
        <v>136.66063392000001</v>
      </c>
      <c r="DD16" s="1">
        <f t="shared" si="28"/>
        <v>103.23507013999998</v>
      </c>
      <c r="DE16" s="1">
        <f t="shared" si="28"/>
        <v>127.03001287000001</v>
      </c>
      <c r="DF16" s="1">
        <f t="shared" si="28"/>
        <v>94.841677119999986</v>
      </c>
      <c r="DG16" s="1">
        <f t="shared" si="28"/>
        <v>82.179019859999997</v>
      </c>
      <c r="DI16" s="1">
        <f t="shared" si="29"/>
        <v>8.714181E-2</v>
      </c>
      <c r="DJ16" s="1">
        <f t="shared" si="29"/>
        <v>0.111375</v>
      </c>
      <c r="DK16" s="1">
        <f t="shared" si="29"/>
        <v>0.12514284000000001</v>
      </c>
      <c r="DL16" s="1">
        <f t="shared" si="29"/>
        <v>0.69674917999999986</v>
      </c>
      <c r="DM16" s="1">
        <f t="shared" si="29"/>
        <v>0.79684906</v>
      </c>
      <c r="DN16" s="1">
        <f t="shared" si="29"/>
        <v>0.24194792999999998</v>
      </c>
      <c r="DO16" s="1">
        <f t="shared" si="29"/>
        <v>0.11713932000000001</v>
      </c>
      <c r="DP16" s="1">
        <f t="shared" si="29"/>
        <v>0.45286999999999999</v>
      </c>
      <c r="DQ16" s="1">
        <f t="shared" si="29"/>
        <v>5.563009E-2</v>
      </c>
      <c r="DR16" s="1">
        <f t="shared" si="29"/>
        <v>2.7416000000000002E-4</v>
      </c>
      <c r="DS16" s="1">
        <f t="shared" si="29"/>
        <v>0.12031510000000001</v>
      </c>
      <c r="DT16" s="1">
        <f t="shared" si="29"/>
        <v>0.13456720999999999</v>
      </c>
      <c r="DU16" s="1">
        <f t="shared" si="29"/>
        <v>6.1200000000000002E-4</v>
      </c>
      <c r="DV16" s="1">
        <f t="shared" si="29"/>
        <v>0</v>
      </c>
      <c r="DW16" s="1">
        <f t="shared" si="29"/>
        <v>5.2170000000000003E-3</v>
      </c>
      <c r="DX16" s="1">
        <f t="shared" si="29"/>
        <v>0.10975939999999999</v>
      </c>
      <c r="DY16" s="1">
        <f t="shared" si="30"/>
        <v>9.1243839999999993E-2</v>
      </c>
      <c r="DZ16" s="1">
        <f t="shared" si="30"/>
        <v>2.016E-3</v>
      </c>
      <c r="EA16" s="1">
        <f t="shared" si="30"/>
        <v>0.21936422</v>
      </c>
      <c r="EB16" s="1">
        <f t="shared" si="30"/>
        <v>0</v>
      </c>
      <c r="EC16" s="1">
        <f t="shared" si="30"/>
        <v>6.0353800000000006E-2</v>
      </c>
      <c r="ED16" s="1">
        <f t="shared" si="30"/>
        <v>1.9724599999999998E-2</v>
      </c>
      <c r="EE16" s="1">
        <f t="shared" si="30"/>
        <v>6.1101999999999997E-2</v>
      </c>
      <c r="EF16" s="1">
        <f t="shared" si="30"/>
        <v>8.3099999999999997E-3</v>
      </c>
      <c r="EH16" s="14">
        <f t="shared" si="31"/>
        <v>2.1563835150032644</v>
      </c>
      <c r="EI16" s="14">
        <f t="shared" si="31"/>
        <v>2.1563835150032644</v>
      </c>
      <c r="EJ16" s="1">
        <f t="shared" si="31"/>
        <v>1.9885213252125911</v>
      </c>
      <c r="EK16" s="1">
        <f t="shared" si="31"/>
        <v>1.9885213252125911</v>
      </c>
      <c r="EL16" s="1">
        <f t="shared" si="31"/>
        <v>1.9885213252125911</v>
      </c>
      <c r="EM16" s="1">
        <f t="shared" si="31"/>
        <v>1.9885213252125911</v>
      </c>
      <c r="EN16" s="1">
        <f t="shared" si="31"/>
        <v>1.9885213252125911</v>
      </c>
      <c r="EO16" s="1">
        <f t="shared" si="31"/>
        <v>1.9885213252125911</v>
      </c>
      <c r="EP16" s="1">
        <f t="shared" si="31"/>
        <v>1.9885213252125911</v>
      </c>
      <c r="EQ16" s="1">
        <f t="shared" si="31"/>
        <v>1.9885213252125911</v>
      </c>
      <c r="ER16" s="1">
        <f t="shared" si="31"/>
        <v>1.9885213252125911</v>
      </c>
      <c r="ES16" s="1">
        <f t="shared" si="31"/>
        <v>1.9885213252125911</v>
      </c>
      <c r="ET16" s="1">
        <f t="shared" si="31"/>
        <v>1.9885213252125911</v>
      </c>
      <c r="EU16" s="1">
        <f t="shared" si="31"/>
        <v>1.9885213252125911</v>
      </c>
      <c r="EV16" s="1">
        <f t="shared" si="31"/>
        <v>1.9885213252125911</v>
      </c>
      <c r="EW16" s="1">
        <f t="shared" si="31"/>
        <v>1.9040737312717446</v>
      </c>
      <c r="EX16" s="1">
        <f t="shared" si="32"/>
        <v>1.9040737312717446</v>
      </c>
      <c r="EY16" s="1">
        <f t="shared" si="32"/>
        <v>1.9040737312717446</v>
      </c>
      <c r="EZ16" s="1">
        <f t="shared" si="32"/>
        <v>1.9040737312717446</v>
      </c>
      <c r="FA16" s="1">
        <f t="shared" si="32"/>
        <v>1.9040737312717446</v>
      </c>
      <c r="FB16" s="1">
        <f t="shared" si="32"/>
        <v>1.9040737312717446</v>
      </c>
      <c r="FC16" s="1">
        <f t="shared" si="32"/>
        <v>1.9040737312717446</v>
      </c>
      <c r="FD16" s="1">
        <f t="shared" si="32"/>
        <v>1.9040737312717446</v>
      </c>
      <c r="FE16" s="1">
        <f t="shared" si="32"/>
        <v>1.9040737312717446</v>
      </c>
      <c r="FG16" s="162">
        <f t="shared" si="33"/>
        <v>0.31315338920986724</v>
      </c>
    </row>
    <row r="17" spans="1:163" ht="18.75" customHeight="1">
      <c r="A17" s="244" t="s">
        <v>76</v>
      </c>
      <c r="B17" s="247"/>
      <c r="C17" s="228">
        <f t="shared" si="5"/>
        <v>-0.99</v>
      </c>
      <c r="D17" s="229">
        <v>-1</v>
      </c>
      <c r="E17" s="253">
        <f t="shared" si="6"/>
        <v>6.1141304347827052E-3</v>
      </c>
      <c r="F17" s="254">
        <f t="shared" si="7"/>
        <v>-3.5649148391868835E-2</v>
      </c>
      <c r="G17" s="253">
        <f t="shared" si="8"/>
        <v>3.4021235848506581E-2</v>
      </c>
      <c r="H17" s="254">
        <f t="shared" si="9"/>
        <v>-2.7907105413723876E-2</v>
      </c>
      <c r="I17" s="253">
        <f t="shared" si="10"/>
        <v>2.4683840749414521</v>
      </c>
      <c r="J17" s="254">
        <f t="shared" si="11"/>
        <v>-0.29569407329850872</v>
      </c>
      <c r="K17" s="253">
        <f t="shared" si="34"/>
        <v>2.8700604081760877</v>
      </c>
      <c r="L17" s="254">
        <f t="shared" si="12"/>
        <v>-0.40167633323463559</v>
      </c>
      <c r="M17" s="255"/>
      <c r="N17" s="256">
        <v>-1</v>
      </c>
      <c r="O17" s="253">
        <f>IFERROR(+BQ17/BR17-1,"")</f>
        <v>0</v>
      </c>
      <c r="P17" s="257">
        <f t="shared" si="36"/>
        <v>0</v>
      </c>
      <c r="Q17" s="253">
        <f t="shared" si="13"/>
        <v>-5.5834866135295314E-2</v>
      </c>
      <c r="R17" s="257">
        <f t="shared" si="37"/>
        <v>-5.5834866135295314E-2</v>
      </c>
      <c r="S17" s="255"/>
      <c r="T17" s="256">
        <v>-1</v>
      </c>
      <c r="U17" s="253">
        <f t="shared" si="14"/>
        <v>-0.21026158296281972</v>
      </c>
      <c r="V17" s="258">
        <f t="shared" si="15"/>
        <v>-0.21026158296281972</v>
      </c>
      <c r="W17" s="253"/>
      <c r="X17" s="258"/>
      <c r="Y17" s="253">
        <f t="shared" si="17"/>
        <v>0</v>
      </c>
      <c r="Z17" s="258">
        <f t="shared" si="18"/>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P17" s="28">
        <f>VLOOKUP($A17,historia!$A$5:$CM$24,+HLOOKUP(AP$2,historia!$A$3:$EC$4,2,FALSE),FALSE)</f>
        <v>5</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f>VLOOKUP($A17,historia!$A$5:$CM$24,+HLOOKUP(AZ$2,historia!$A$3:$EC$4,2,FALSE),FALSE)</f>
        <v>5</v>
      </c>
      <c r="BA17" s="58">
        <f>VLOOKUP($A17,historia!$A$5:$CM$24,+HLOOKUP(BA$2,historia!$A$3:$EC$4,2,FALSE),FALSE)</f>
        <v>5</v>
      </c>
      <c r="BB17" s="30"/>
      <c r="BC17" s="141">
        <v>5</v>
      </c>
      <c r="BD17" t="str">
        <f t="shared" si="19"/>
        <v>Miel</v>
      </c>
      <c r="BE17">
        <f>+datos!BV1</f>
        <v>74</v>
      </c>
      <c r="BF17" s="2" t="str">
        <f t="shared" si="4"/>
        <v>$/kg</v>
      </c>
      <c r="BG17" s="2">
        <f t="shared" si="4"/>
        <v>1481</v>
      </c>
      <c r="BH17" s="2">
        <f t="shared" si="4"/>
        <v>1472</v>
      </c>
      <c r="BI17" s="2">
        <f t="shared" si="4"/>
        <v>427</v>
      </c>
      <c r="BK17">
        <f>+datos!DH1</f>
        <v>112</v>
      </c>
      <c r="BL17" s="2">
        <f t="shared" si="20"/>
        <v>7507.1516552279472</v>
      </c>
      <c r="BM17" s="2">
        <f t="shared" si="20"/>
        <v>7260.1523014831128</v>
      </c>
      <c r="BN17" s="2">
        <f t="shared" si="20"/>
        <v>1939.8021900040512</v>
      </c>
      <c r="BP17" s="1">
        <f>+datos!EQ1</f>
        <v>147</v>
      </c>
      <c r="BQ17" s="1">
        <f t="shared" si="21"/>
        <v>3500000</v>
      </c>
      <c r="BR17" s="1">
        <f t="shared" si="21"/>
        <v>3500000</v>
      </c>
      <c r="BT17" s="1">
        <f>+datos!GP1</f>
        <v>198</v>
      </c>
      <c r="BU17" s="1">
        <f t="shared" si="22"/>
        <v>69297</v>
      </c>
      <c r="BV17" s="1">
        <f t="shared" si="22"/>
        <v>73395</v>
      </c>
      <c r="BX17" s="1">
        <f>+datos!KE1</f>
        <v>291</v>
      </c>
      <c r="BY17" s="1">
        <f t="shared" si="39"/>
        <v>196.66154277999999</v>
      </c>
      <c r="BZ17" s="1">
        <f t="shared" si="40"/>
        <v>249.02111703999998</v>
      </c>
      <c r="CB17" s="1">
        <f>+datos!LJ1</f>
        <v>322</v>
      </c>
      <c r="CC17" s="2">
        <f t="shared" si="23"/>
        <v>9.3139300000000008E-2</v>
      </c>
      <c r="CD17" s="2">
        <f>+SUM(DU17:EF17)</f>
        <v>0.13640354000000002</v>
      </c>
      <c r="CF17" s="1">
        <f>+datos!IZ1</f>
        <v>260</v>
      </c>
      <c r="CG17" s="1">
        <f t="shared" si="25"/>
        <v>0.3</v>
      </c>
      <c r="CH17" s="1">
        <f t="shared" si="26"/>
        <v>0.3</v>
      </c>
      <c r="CJ17" s="1">
        <f t="shared" si="27"/>
        <v>19.199801710000003</v>
      </c>
      <c r="CK17" s="1">
        <f t="shared" si="27"/>
        <v>16.174522229999997</v>
      </c>
      <c r="CL17" s="1">
        <f t="shared" si="27"/>
        <v>22.082734950000003</v>
      </c>
      <c r="CM17" s="1">
        <f t="shared" si="27"/>
        <v>13.392344960000001</v>
      </c>
      <c r="CN17" s="1">
        <f t="shared" si="27"/>
        <v>10.971998660000001</v>
      </c>
      <c r="CO17" s="1">
        <f t="shared" si="27"/>
        <v>12.805239539999999</v>
      </c>
      <c r="CP17" s="1">
        <f t="shared" si="27"/>
        <v>13.943876809999997</v>
      </c>
      <c r="CQ17" s="1">
        <f t="shared" si="27"/>
        <v>17.891480939999997</v>
      </c>
      <c r="CR17" s="1">
        <f t="shared" si="27"/>
        <v>16.805607889999997</v>
      </c>
      <c r="CS17" s="1">
        <f t="shared" si="27"/>
        <v>21.325973759999997</v>
      </c>
      <c r="CT17" s="1">
        <f t="shared" si="27"/>
        <v>17.230385739999999</v>
      </c>
      <c r="CU17" s="1">
        <f t="shared" si="27"/>
        <v>14.837575590000002</v>
      </c>
      <c r="CV17" s="1">
        <f t="shared" si="27"/>
        <v>17.476901599999998</v>
      </c>
      <c r="CW17" s="1">
        <f t="shared" si="27"/>
        <v>23.512884059999998</v>
      </c>
      <c r="CX17" s="1">
        <f t="shared" si="27"/>
        <v>18.814354810000005</v>
      </c>
      <c r="CY17" s="1">
        <f t="shared" si="27"/>
        <v>15.47450873</v>
      </c>
      <c r="CZ17" s="1">
        <f t="shared" si="28"/>
        <v>18.752158659999996</v>
      </c>
      <c r="DA17" s="1">
        <f t="shared" si="28"/>
        <v>13.663636670000002</v>
      </c>
      <c r="DB17" s="1">
        <f t="shared" si="28"/>
        <v>12.97807542</v>
      </c>
      <c r="DC17" s="1">
        <f t="shared" si="28"/>
        <v>21.851292619999999</v>
      </c>
      <c r="DD17" s="1">
        <f t="shared" si="28"/>
        <v>17.949190340000005</v>
      </c>
      <c r="DE17" s="1">
        <f t="shared" si="28"/>
        <v>28.34616364</v>
      </c>
      <c r="DF17" s="1">
        <f t="shared" si="28"/>
        <v>25.709158449999997</v>
      </c>
      <c r="DG17" s="1">
        <f t="shared" si="28"/>
        <v>34.492792039999998</v>
      </c>
      <c r="DI17" s="1">
        <f t="shared" si="29"/>
        <v>0</v>
      </c>
      <c r="DJ17" s="1">
        <f t="shared" si="29"/>
        <v>0</v>
      </c>
      <c r="DK17" s="1">
        <f t="shared" si="29"/>
        <v>5.2539300000000004E-2</v>
      </c>
      <c r="DL17" s="1">
        <f t="shared" si="29"/>
        <v>0</v>
      </c>
      <c r="DM17" s="1">
        <f t="shared" si="29"/>
        <v>0</v>
      </c>
      <c r="DN17" s="1">
        <f t="shared" si="29"/>
        <v>4.0599999999999997E-2</v>
      </c>
      <c r="DO17" s="1">
        <f t="shared" si="29"/>
        <v>0</v>
      </c>
      <c r="DP17" s="1">
        <f t="shared" si="29"/>
        <v>0</v>
      </c>
      <c r="DQ17" s="1">
        <f t="shared" si="29"/>
        <v>0</v>
      </c>
      <c r="DR17" s="1">
        <f t="shared" si="29"/>
        <v>0</v>
      </c>
      <c r="DS17" s="1">
        <f t="shared" si="29"/>
        <v>0</v>
      </c>
      <c r="DT17" s="1">
        <f t="shared" si="29"/>
        <v>0</v>
      </c>
      <c r="DU17" s="1">
        <f t="shared" si="29"/>
        <v>7.038E-3</v>
      </c>
      <c r="DV17" s="1">
        <f t="shared" si="29"/>
        <v>0</v>
      </c>
      <c r="DW17" s="1">
        <f t="shared" si="29"/>
        <v>0</v>
      </c>
      <c r="DX17" s="1">
        <f t="shared" si="29"/>
        <v>0</v>
      </c>
      <c r="DY17" s="1">
        <f t="shared" si="30"/>
        <v>0</v>
      </c>
      <c r="DZ17" s="1">
        <f t="shared" si="30"/>
        <v>0</v>
      </c>
      <c r="EA17" s="1">
        <f t="shared" si="30"/>
        <v>5.9353800000000005E-2</v>
      </c>
      <c r="EB17" s="1">
        <f t="shared" si="30"/>
        <v>0</v>
      </c>
      <c r="EC17" s="1">
        <f t="shared" si="30"/>
        <v>1.3661339999999999E-2</v>
      </c>
      <c r="ED17" s="1">
        <f t="shared" si="30"/>
        <v>0</v>
      </c>
      <c r="EE17" s="1">
        <f t="shared" si="30"/>
        <v>4.7031800000000006E-2</v>
      </c>
      <c r="EF17" s="1">
        <f t="shared" si="30"/>
        <v>9.3185999999999998E-3</v>
      </c>
      <c r="EH17" s="14">
        <f t="shared" si="31"/>
        <v>0.3</v>
      </c>
      <c r="EI17" s="14">
        <f t="shared" si="31"/>
        <v>0.3</v>
      </c>
      <c r="EJ17" s="1">
        <f t="shared" si="31"/>
        <v>0.3</v>
      </c>
      <c r="EK17" s="1">
        <f t="shared" si="31"/>
        <v>0.3</v>
      </c>
      <c r="EL17" s="1">
        <f t="shared" si="31"/>
        <v>0.3</v>
      </c>
      <c r="EM17" s="1">
        <f t="shared" si="31"/>
        <v>0.3</v>
      </c>
      <c r="EN17" s="1">
        <f t="shared" si="31"/>
        <v>0.3</v>
      </c>
      <c r="EO17" s="1">
        <f t="shared" si="31"/>
        <v>0.3</v>
      </c>
      <c r="EP17" s="1">
        <f t="shared" si="31"/>
        <v>0.3</v>
      </c>
      <c r="EQ17" s="1">
        <f t="shared" si="31"/>
        <v>0.3</v>
      </c>
      <c r="ER17" s="1">
        <f t="shared" si="31"/>
        <v>0.3</v>
      </c>
      <c r="ES17" s="1">
        <f t="shared" si="31"/>
        <v>0.3</v>
      </c>
      <c r="ET17" s="1">
        <f t="shared" si="31"/>
        <v>0.3</v>
      </c>
      <c r="EU17" s="1">
        <f t="shared" si="31"/>
        <v>0.3</v>
      </c>
      <c r="EV17" s="1">
        <f t="shared" si="31"/>
        <v>0.3</v>
      </c>
      <c r="EW17" s="1">
        <f t="shared" si="31"/>
        <v>0.3</v>
      </c>
      <c r="EX17" s="1">
        <f t="shared" si="32"/>
        <v>0.3</v>
      </c>
      <c r="EY17" s="1">
        <f t="shared" si="32"/>
        <v>0.3</v>
      </c>
      <c r="EZ17" s="1">
        <f t="shared" si="32"/>
        <v>0.3</v>
      </c>
      <c r="FA17" s="1">
        <f t="shared" si="32"/>
        <v>0.3</v>
      </c>
      <c r="FB17" s="1">
        <f t="shared" si="32"/>
        <v>0.3</v>
      </c>
      <c r="FC17" s="1">
        <f t="shared" si="32"/>
        <v>0.3</v>
      </c>
      <c r="FD17" s="1">
        <f t="shared" si="32"/>
        <v>0.3</v>
      </c>
      <c r="FE17" s="1">
        <f t="shared" si="32"/>
        <v>0.3</v>
      </c>
      <c r="FG17" s="162">
        <f t="shared" si="33"/>
        <v>-0.40167633323463559</v>
      </c>
    </row>
    <row r="18" spans="1:163" ht="18.75" customHeight="1">
      <c r="A18" s="243" t="s">
        <v>222</v>
      </c>
      <c r="B18" s="246"/>
      <c r="C18" s="156">
        <f t="shared" si="5"/>
        <v>-0.99</v>
      </c>
      <c r="D18" s="198">
        <v>-1</v>
      </c>
      <c r="E18" s="248">
        <f t="shared" si="6"/>
        <v>4.1702173739046611E-3</v>
      </c>
      <c r="F18" s="249">
        <f t="shared" si="7"/>
        <v>-3.7593061452746879E-2</v>
      </c>
      <c r="G18" s="248">
        <f t="shared" si="8"/>
        <v>4.3804812597735943E-2</v>
      </c>
      <c r="H18" s="249">
        <f t="shared" si="9"/>
        <v>-3.9634595223831282E-2</v>
      </c>
      <c r="I18" s="253">
        <f>IFERROR(+BG18/BI18-1,"")</f>
        <v>1.9965457278357475</v>
      </c>
      <c r="J18" s="254">
        <f>+I18-$I$3</f>
        <v>-0.76753242040421332</v>
      </c>
      <c r="K18" s="248">
        <f t="shared" si="34"/>
        <v>2.9256578027769278</v>
      </c>
      <c r="L18" s="249">
        <f t="shared" si="12"/>
        <v>-0.92911207494118031</v>
      </c>
      <c r="M18" s="250"/>
      <c r="N18" s="24">
        <v>-1</v>
      </c>
      <c r="O18" s="248">
        <f t="shared" si="35"/>
        <v>1.1845356766995607E-2</v>
      </c>
      <c r="P18" s="251">
        <f t="shared" si="36"/>
        <v>1.1845356766995607E-2</v>
      </c>
      <c r="Q18" s="248">
        <f t="shared" si="13"/>
        <v>-0.11809686216139337</v>
      </c>
      <c r="R18" s="251">
        <f t="shared" si="37"/>
        <v>-0.11809686216139337</v>
      </c>
      <c r="S18" s="250"/>
      <c r="T18" s="24">
        <v>-1</v>
      </c>
      <c r="U18" s="248">
        <f t="shared" si="14"/>
        <v>-0.23786142767406415</v>
      </c>
      <c r="V18" s="252">
        <f t="shared" si="15"/>
        <v>-0.23786142767406415</v>
      </c>
      <c r="W18" s="248">
        <f t="shared" si="38"/>
        <v>-9.4657885451855606E-2</v>
      </c>
      <c r="X18" s="252">
        <f t="shared" si="16"/>
        <v>-9.4657885451855606E-2</v>
      </c>
      <c r="Y18" s="248">
        <f t="shared" si="17"/>
        <v>0</v>
      </c>
      <c r="Z18" s="252">
        <f t="shared" si="18"/>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P18" s="28">
        <f>VLOOKUP($A18,historia!$A$5:$CM$24,+HLOOKUP(AP$2,historia!$A$3:$EC$4,2,FALSE),FALSE)</f>
        <v>3</v>
      </c>
      <c r="AQ18" s="28">
        <f>VLOOKUP($A18,historia!$A$5:$CM$24,+HLOOKUP(AQ$2,historia!$A$3:$EC$4,2,FALSE),FALSE)</f>
        <v>3</v>
      </c>
      <c r="AR18" s="28">
        <f>VLOOKUP($A18,historia!$A$5:$CM$24,+HLOOKUP(AR$2,historia!$A$3:$EC$4,2,FALSE),FALSE)</f>
        <v>3</v>
      </c>
      <c r="AS18" s="28">
        <f>VLOOKUP($A18,historia!$A$5:$CM$24,+HLOOKUP(AS$2,historia!$A$3:$EC$4,2,FALSE),FALSE)</f>
        <v>4</v>
      </c>
      <c r="AT18" s="58">
        <f>VLOOKUP($A18,historia!$A$5:$CM$24,+HLOOKUP(AT$2,historia!$A$3:$EC$4,2,FALSE),FALSE)</f>
        <v>4</v>
      </c>
      <c r="AU18" s="58">
        <f>VLOOKUP($A18,historia!$A$5:$CM$24,+HLOOKUP(AU$2,historia!$A$3:$EC$4,2,FALSE),FALSE)</f>
        <v>4</v>
      </c>
      <c r="AV18" s="58">
        <f>VLOOKUP($A18,historia!$A$5:$CM$24,+HLOOKUP(AV$2,historia!$A$3:$EC$4,2,FALSE),FALSE)</f>
        <v>4</v>
      </c>
      <c r="AW18" s="58">
        <f>VLOOKUP($A18,historia!$A$5:$CM$24,+HLOOKUP(AW$2,historia!$A$3:$EC$4,2,FALSE),FALSE)</f>
        <v>4</v>
      </c>
      <c r="AX18" s="58">
        <f>VLOOKUP($A18,historia!$A$5:$CM$24,+HLOOKUP(AX$2,historia!$A$3:$EC$4,2,FALSE),FALSE)</f>
        <v>4</v>
      </c>
      <c r="AY18" s="58">
        <f>VLOOKUP($A18,historia!$A$5:$CM$24,+HLOOKUP(AY$2,historia!$A$3:$EC$4,2,FALSE),FALSE)</f>
        <v>4</v>
      </c>
      <c r="AZ18" s="58">
        <f>VLOOKUP($A18,historia!$A$5:$CM$24,+HLOOKUP(AZ$2,historia!$A$3:$EC$4,2,FALSE),FALSE)</f>
        <v>4</v>
      </c>
      <c r="BA18" s="58">
        <f>VLOOKUP($A18,historia!$A$5:$CM$24,+HLOOKUP(BA$2,historia!$A$3:$EC$4,2,FALSE),FALSE)</f>
        <v>5</v>
      </c>
      <c r="BB18" s="30"/>
      <c r="BC18" s="141">
        <v>5</v>
      </c>
      <c r="BD18" t="str">
        <f t="shared" si="19"/>
        <v>Ovino</v>
      </c>
      <c r="BE18">
        <f>+datos!BU1</f>
        <v>73</v>
      </c>
      <c r="BF18" s="2" t="str">
        <f t="shared" si="4"/>
        <v>$/kg</v>
      </c>
      <c r="BG18" s="2">
        <f t="shared" si="4"/>
        <v>44789.797500000001</v>
      </c>
      <c r="BH18" s="2">
        <f t="shared" si="4"/>
        <v>44603.79</v>
      </c>
      <c r="BI18" s="2">
        <f t="shared" si="4"/>
        <v>14947.143</v>
      </c>
      <c r="BK18">
        <f>+datos!DI1</f>
        <v>113</v>
      </c>
      <c r="BL18" s="2">
        <f t="shared" si="20"/>
        <v>7134.9585141631651</v>
      </c>
      <c r="BM18" s="2">
        <f t="shared" si="20"/>
        <v>6835.5294285396749</v>
      </c>
      <c r="BN18" s="2">
        <f t="shared" si="20"/>
        <v>1817.5192216489286</v>
      </c>
      <c r="BP18" s="1">
        <f>+datos!EL1</f>
        <v>142</v>
      </c>
      <c r="BQ18" s="1">
        <f t="shared" si="21"/>
        <v>12609460</v>
      </c>
      <c r="BR18" s="1">
        <f t="shared" si="21"/>
        <v>12461845</v>
      </c>
      <c r="BT18" s="1">
        <f>+datos!GS1</f>
        <v>201</v>
      </c>
      <c r="BU18" s="1">
        <f t="shared" si="22"/>
        <v>35203.32</v>
      </c>
      <c r="BV18" s="1">
        <f t="shared" si="22"/>
        <v>39917.445</v>
      </c>
      <c r="BX18" s="1">
        <f>+datos!KI1</f>
        <v>295</v>
      </c>
      <c r="BY18" s="1">
        <f t="shared" si="39"/>
        <v>180.83629139000001</v>
      </c>
      <c r="BZ18" s="1">
        <f t="shared" si="40"/>
        <v>237.27481846000001</v>
      </c>
      <c r="CB18" s="1">
        <f>+datos!LN1</f>
        <v>326</v>
      </c>
      <c r="CC18" s="2">
        <f t="shared" si="23"/>
        <v>4.3026586700000005</v>
      </c>
      <c r="CD18" s="2">
        <f t="shared" si="24"/>
        <v>4.7525223899999993</v>
      </c>
      <c r="CF18" s="1">
        <f>+datos!JA1</f>
        <v>261</v>
      </c>
      <c r="CG18" s="1">
        <f t="shared" si="25"/>
        <v>2813</v>
      </c>
      <c r="CH18" s="1">
        <f t="shared" si="26"/>
        <v>2813</v>
      </c>
      <c r="CJ18" s="1">
        <f t="shared" si="27"/>
        <v>17.774232269999999</v>
      </c>
      <c r="CK18" s="1">
        <f t="shared" si="27"/>
        <v>22.502102959999998</v>
      </c>
      <c r="CL18" s="1">
        <f t="shared" si="27"/>
        <v>22.437193859999997</v>
      </c>
      <c r="CM18" s="1">
        <f t="shared" si="27"/>
        <v>15.322430800000003</v>
      </c>
      <c r="CN18" s="1">
        <f t="shared" si="27"/>
        <v>16.644595240000001</v>
      </c>
      <c r="CO18" s="1">
        <f t="shared" si="27"/>
        <v>15.83663735</v>
      </c>
      <c r="CP18" s="1">
        <f t="shared" si="27"/>
        <v>13.412348609999999</v>
      </c>
      <c r="CQ18" s="1">
        <f t="shared" si="27"/>
        <v>9.5091132299999988</v>
      </c>
      <c r="CR18" s="1">
        <f t="shared" si="27"/>
        <v>10.49137048</v>
      </c>
      <c r="CS18" s="1">
        <f t="shared" si="27"/>
        <v>12.745889309999999</v>
      </c>
      <c r="CT18" s="1">
        <f t="shared" si="27"/>
        <v>11.898747670000001</v>
      </c>
      <c r="CU18" s="1">
        <f t="shared" si="27"/>
        <v>12.26162961</v>
      </c>
      <c r="CV18" s="1">
        <f t="shared" si="27"/>
        <v>21.704121750000002</v>
      </c>
      <c r="CW18" s="1">
        <f t="shared" si="27"/>
        <v>21.006605250000003</v>
      </c>
      <c r="CX18" s="1">
        <f t="shared" si="27"/>
        <v>22.417077500000001</v>
      </c>
      <c r="CY18" s="1">
        <f t="shared" si="27"/>
        <v>28.978678630000001</v>
      </c>
      <c r="CZ18" s="1">
        <f t="shared" si="28"/>
        <v>14.681416690000001</v>
      </c>
      <c r="DA18" s="1">
        <f t="shared" si="28"/>
        <v>20.44206312</v>
      </c>
      <c r="DB18" s="1">
        <f t="shared" si="28"/>
        <v>19.069193389999999</v>
      </c>
      <c r="DC18" s="1">
        <f t="shared" si="28"/>
        <v>11.15247257</v>
      </c>
      <c r="DD18" s="1">
        <f t="shared" si="28"/>
        <v>14.78060634</v>
      </c>
      <c r="DE18" s="1">
        <f t="shared" si="28"/>
        <v>17.39120926</v>
      </c>
      <c r="DF18" s="1">
        <f t="shared" si="28"/>
        <v>19.858191740000002</v>
      </c>
      <c r="DG18" s="1">
        <f t="shared" si="28"/>
        <v>25.793182220000006</v>
      </c>
      <c r="DI18" s="1">
        <f t="shared" si="29"/>
        <v>0.13589592</v>
      </c>
      <c r="DJ18" s="1">
        <f t="shared" si="29"/>
        <v>0.23010199000000001</v>
      </c>
      <c r="DK18" s="1">
        <f t="shared" si="29"/>
        <v>4.8750000000000002E-2</v>
      </c>
      <c r="DL18" s="1">
        <f t="shared" si="29"/>
        <v>0.31075020000000003</v>
      </c>
      <c r="DM18" s="1">
        <f t="shared" si="29"/>
        <v>0.90541722000000002</v>
      </c>
      <c r="DN18" s="1">
        <f t="shared" si="29"/>
        <v>0.34283965</v>
      </c>
      <c r="DO18" s="1">
        <f t="shared" si="29"/>
        <v>0.74167351000000015</v>
      </c>
      <c r="DP18" s="1">
        <f t="shared" si="29"/>
        <v>0.58632921999999998</v>
      </c>
      <c r="DQ18" s="1">
        <f t="shared" si="29"/>
        <v>0.29250390000000004</v>
      </c>
      <c r="DR18" s="1">
        <f t="shared" si="29"/>
        <v>0.46645720000000002</v>
      </c>
      <c r="DS18" s="1">
        <f t="shared" si="29"/>
        <v>8.1248630000000002E-2</v>
      </c>
      <c r="DT18" s="1">
        <f t="shared" si="29"/>
        <v>0.16069122999999999</v>
      </c>
      <c r="DU18" s="1">
        <f t="shared" si="29"/>
        <v>0.12834936</v>
      </c>
      <c r="DV18" s="1">
        <f t="shared" si="29"/>
        <v>0.21283820000000001</v>
      </c>
      <c r="DW18" s="1">
        <f t="shared" si="29"/>
        <v>0.28431688999999999</v>
      </c>
      <c r="DX18" s="1">
        <f t="shared" si="29"/>
        <v>0.27087241000000001</v>
      </c>
      <c r="DY18" s="1">
        <f t="shared" si="30"/>
        <v>0.85465582000000007</v>
      </c>
      <c r="DZ18" s="1">
        <f t="shared" si="30"/>
        <v>0.86735239999999991</v>
      </c>
      <c r="EA18" s="1">
        <f t="shared" si="30"/>
        <v>0.68639446999999998</v>
      </c>
      <c r="EB18" s="1">
        <f t="shared" si="30"/>
        <v>0.51198889000000003</v>
      </c>
      <c r="EC18" s="1">
        <f t="shared" si="30"/>
        <v>0.25118170000000001</v>
      </c>
      <c r="ED18" s="1">
        <f t="shared" si="30"/>
        <v>0.17288594000000002</v>
      </c>
      <c r="EE18" s="1">
        <f t="shared" si="30"/>
        <v>0</v>
      </c>
      <c r="EF18" s="1">
        <f t="shared" si="30"/>
        <v>0.51168631000000009</v>
      </c>
      <c r="EH18" s="14">
        <f t="shared" si="31"/>
        <v>2813</v>
      </c>
      <c r="EI18" s="14">
        <f t="shared" si="31"/>
        <v>2813</v>
      </c>
      <c r="EJ18" s="1">
        <f t="shared" si="31"/>
        <v>2813</v>
      </c>
      <c r="EK18" s="1">
        <f t="shared" si="31"/>
        <v>2813</v>
      </c>
      <c r="EL18" s="1">
        <f t="shared" si="31"/>
        <v>2813</v>
      </c>
      <c r="EM18" s="1">
        <f t="shared" si="31"/>
        <v>2813</v>
      </c>
      <c r="EN18" s="1">
        <f t="shared" si="31"/>
        <v>2813</v>
      </c>
      <c r="EO18" s="1">
        <f t="shared" si="31"/>
        <v>2813</v>
      </c>
      <c r="EP18" s="1">
        <f t="shared" si="31"/>
        <v>2813</v>
      </c>
      <c r="EQ18" s="1">
        <f t="shared" si="31"/>
        <v>2813</v>
      </c>
      <c r="ER18" s="1">
        <f t="shared" si="31"/>
        <v>2813</v>
      </c>
      <c r="ES18" s="1">
        <f t="shared" si="31"/>
        <v>2813</v>
      </c>
      <c r="ET18" s="1">
        <f t="shared" si="31"/>
        <v>2813</v>
      </c>
      <c r="EU18" s="1">
        <f t="shared" si="31"/>
        <v>2813</v>
      </c>
      <c r="EV18" s="1">
        <f t="shared" si="31"/>
        <v>2813</v>
      </c>
      <c r="EW18" s="1">
        <f t="shared" si="31"/>
        <v>2813</v>
      </c>
      <c r="EX18" s="1">
        <f t="shared" si="32"/>
        <v>2813</v>
      </c>
      <c r="EY18" s="1">
        <f t="shared" si="32"/>
        <v>2813</v>
      </c>
      <c r="EZ18" s="1">
        <f t="shared" si="32"/>
        <v>2813</v>
      </c>
      <c r="FA18" s="1">
        <f t="shared" si="32"/>
        <v>2813</v>
      </c>
      <c r="FB18" s="1">
        <f t="shared" si="32"/>
        <v>2813</v>
      </c>
      <c r="FC18" s="1">
        <f t="shared" si="32"/>
        <v>2813</v>
      </c>
      <c r="FD18" s="1">
        <f t="shared" si="32"/>
        <v>2813</v>
      </c>
      <c r="FE18" s="1">
        <f t="shared" si="32"/>
        <v>2813</v>
      </c>
      <c r="FG18" s="162">
        <f t="shared" si="33"/>
        <v>-0.92911207494118031</v>
      </c>
    </row>
    <row r="19" spans="1:163" ht="18.75" customHeight="1">
      <c r="A19" s="244" t="s">
        <v>66</v>
      </c>
      <c r="B19" s="247"/>
      <c r="C19" s="228">
        <f t="shared" si="5"/>
        <v>-0.33</v>
      </c>
      <c r="D19" s="229">
        <v>-1</v>
      </c>
      <c r="E19" s="253">
        <f t="shared" si="6"/>
        <v>3.5859662725334251E-2</v>
      </c>
      <c r="F19" s="254">
        <f t="shared" si="7"/>
        <v>-5.9036161013172883E-3</v>
      </c>
      <c r="G19" s="253">
        <f t="shared" si="8"/>
        <v>1.612068061067462E-2</v>
      </c>
      <c r="H19" s="254">
        <f t="shared" si="9"/>
        <v>1.9738982114659631E-2</v>
      </c>
      <c r="I19" s="253">
        <f t="shared" si="10"/>
        <v>2.1226530925461708</v>
      </c>
      <c r="J19" s="254">
        <f t="shared" si="11"/>
        <v>-0.64142505569378994</v>
      </c>
      <c r="K19" s="253">
        <f t="shared" si="34"/>
        <v>2.4819092111984471</v>
      </c>
      <c r="L19" s="254">
        <f t="shared" si="12"/>
        <v>-0.35925611865227625</v>
      </c>
      <c r="M19" s="255"/>
      <c r="N19" s="256">
        <v>0</v>
      </c>
      <c r="O19" s="253">
        <f t="shared" si="35"/>
        <v>6.5265283642371941E-2</v>
      </c>
      <c r="P19" s="257">
        <f t="shared" si="36"/>
        <v>6.5265283642371941E-2</v>
      </c>
      <c r="Q19" s="253">
        <f t="shared" si="13"/>
        <v>-0.10753859789340392</v>
      </c>
      <c r="R19" s="257">
        <v>-0.01</v>
      </c>
      <c r="S19" s="255"/>
      <c r="T19" s="256">
        <v>0</v>
      </c>
      <c r="U19" s="253">
        <f t="shared" si="14"/>
        <v>7.3476159457447787E-2</v>
      </c>
      <c r="V19" s="258">
        <f t="shared" si="15"/>
        <v>7.3476159457447787E-2</v>
      </c>
      <c r="W19" s="253">
        <f t="shared" si="38"/>
        <v>1.5378397338488714</v>
      </c>
      <c r="X19" s="258">
        <f t="shared" si="16"/>
        <v>1.5378397338488714</v>
      </c>
      <c r="Y19" s="253">
        <f t="shared" si="17"/>
        <v>0</v>
      </c>
      <c r="Z19" s="258">
        <f t="shared" si="18"/>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P19" s="28">
        <f>VLOOKUP($A19,historia!$A$5:$CM$24,+HLOOKUP(AP$2,historia!$A$3:$EC$4,2,FALSE),FALSE)</f>
        <v>4</v>
      </c>
      <c r="AQ19" s="28">
        <f>VLOOKUP($A19,historia!$A$5:$CM$24,+HLOOKUP(AQ$2,historia!$A$3:$EC$4,2,FALSE),FALSE)</f>
        <v>4</v>
      </c>
      <c r="AR19" s="28">
        <f>VLOOKUP($A19,historia!$A$5:$CM$24,+HLOOKUP(AR$2,historia!$A$3:$EC$4,2,FALSE),FALSE)</f>
        <v>4</v>
      </c>
      <c r="AS19" s="28">
        <f>VLOOKUP($A19,historia!$A$5:$CM$24,+HLOOKUP(AS$2,historia!$A$3:$EC$4,2,FALSE),FALSE)</f>
        <v>4</v>
      </c>
      <c r="AT19" s="58">
        <f>VLOOKUP($A19,historia!$A$5:$CM$24,+HLOOKUP(AT$2,historia!$A$3:$EC$4,2,FALSE),FALSE)</f>
        <v>3</v>
      </c>
      <c r="AU19" s="58">
        <f>VLOOKUP($A19,historia!$A$5:$CM$24,+HLOOKUP(AU$2,historia!$A$3:$EC$4,2,FALSE),FALSE)</f>
        <v>3</v>
      </c>
      <c r="AV19" s="58">
        <f>VLOOKUP($A19,historia!$A$5:$CM$24,+HLOOKUP(AV$2,historia!$A$3:$EC$4,2,FALSE),FALSE)</f>
        <v>3</v>
      </c>
      <c r="AW19" s="58">
        <f>VLOOKUP($A19,historia!$A$5:$CM$24,+HLOOKUP(AW$2,historia!$A$3:$EC$4,2,FALSE),FALSE)</f>
        <v>4</v>
      </c>
      <c r="AX19" s="58">
        <f>VLOOKUP($A19,historia!$A$5:$CM$24,+HLOOKUP(AX$2,historia!$A$3:$EC$4,2,FALSE),FALSE)</f>
        <v>3</v>
      </c>
      <c r="AY19" s="58">
        <f>VLOOKUP($A19,historia!$A$5:$CM$24,+HLOOKUP(AY$2,historia!$A$3:$EC$4,2,FALSE),FALSE)</f>
        <v>4</v>
      </c>
      <c r="AZ19" s="58">
        <f>VLOOKUP($A19,historia!$A$5:$CM$24,+HLOOKUP(AZ$2,historia!$A$3:$EC$4,2,FALSE),FALSE)</f>
        <v>4</v>
      </c>
      <c r="BA19" s="58">
        <f>VLOOKUP($A19,historia!$A$5:$CM$24,+HLOOKUP(BA$2,historia!$A$3:$EC$4,2,FALSE),FALSE)</f>
        <v>4</v>
      </c>
      <c r="BB19" s="30"/>
      <c r="BC19" s="141">
        <v>4</v>
      </c>
      <c r="BD19" t="str">
        <f t="shared" si="19"/>
        <v>Papa</v>
      </c>
      <c r="BE19">
        <f>+datos!AV1</f>
        <v>48</v>
      </c>
      <c r="BF19" s="2" t="str">
        <f t="shared" si="4"/>
        <v>$/bolsa 20kg</v>
      </c>
      <c r="BG19" s="2">
        <f t="shared" si="4"/>
        <v>6452.272727272727</v>
      </c>
      <c r="BH19" s="2">
        <f t="shared" si="4"/>
        <v>6228.90625</v>
      </c>
      <c r="BI19" s="2">
        <f t="shared" si="4"/>
        <v>2066.2790697674418</v>
      </c>
      <c r="BK19">
        <f>+datos!CI1</f>
        <v>87</v>
      </c>
      <c r="BL19" s="2">
        <f t="shared" si="20"/>
        <v>8217.7707125193683</v>
      </c>
      <c r="BM19" s="2">
        <f t="shared" si="20"/>
        <v>8087.3963785291735</v>
      </c>
      <c r="BN19" s="2">
        <f t="shared" si="20"/>
        <v>2360.1335399813233</v>
      </c>
      <c r="BP19" s="1">
        <f>+datos!EZ1</f>
        <v>156</v>
      </c>
      <c r="BQ19" s="1">
        <f t="shared" si="21"/>
        <v>34815</v>
      </c>
      <c r="BR19" s="1">
        <f t="shared" si="21"/>
        <v>32682</v>
      </c>
      <c r="BT19" s="1">
        <f>+datos!GT1</f>
        <v>202</v>
      </c>
      <c r="BU19" s="1">
        <f t="shared" si="22"/>
        <v>2111561</v>
      </c>
      <c r="BV19" s="1">
        <f t="shared" si="22"/>
        <v>2365997</v>
      </c>
      <c r="BX19" s="1">
        <f>+datos!JO1</f>
        <v>275</v>
      </c>
      <c r="BY19" s="1">
        <f t="shared" si="39"/>
        <v>332.74770785000004</v>
      </c>
      <c r="BZ19" s="1">
        <f t="shared" si="40"/>
        <v>309.97214509000003</v>
      </c>
      <c r="CB19" s="1">
        <f>+datos!KT1</f>
        <v>306</v>
      </c>
      <c r="CC19" s="2">
        <f t="shared" si="23"/>
        <v>20.938394469999995</v>
      </c>
      <c r="CD19" s="2">
        <f t="shared" si="24"/>
        <v>8.2504794100000005</v>
      </c>
      <c r="CF19" s="1">
        <f>+datos!JB1</f>
        <v>262</v>
      </c>
      <c r="CG19" s="1">
        <f t="shared" si="25"/>
        <v>35.950000000000003</v>
      </c>
      <c r="CH19" s="1">
        <f t="shared" si="26"/>
        <v>35.950000000000003</v>
      </c>
      <c r="CJ19" s="1">
        <f t="shared" si="27"/>
        <v>34.45773063</v>
      </c>
      <c r="CK19" s="1">
        <f t="shared" si="27"/>
        <v>33.675059580000003</v>
      </c>
      <c r="CL19" s="1">
        <f t="shared" si="27"/>
        <v>28.924508010000004</v>
      </c>
      <c r="CM19" s="1">
        <f t="shared" si="27"/>
        <v>27.954086790000002</v>
      </c>
      <c r="CN19" s="1">
        <f t="shared" si="27"/>
        <v>24.143815810000007</v>
      </c>
      <c r="CO19" s="1">
        <f t="shared" si="27"/>
        <v>26.000694290000002</v>
      </c>
      <c r="CP19" s="1">
        <f t="shared" si="27"/>
        <v>22.013274209999999</v>
      </c>
      <c r="CQ19" s="1">
        <f t="shared" si="27"/>
        <v>23.44114875</v>
      </c>
      <c r="CR19" s="1">
        <f t="shared" si="27"/>
        <v>29.35689408</v>
      </c>
      <c r="CS19" s="1">
        <f t="shared" si="27"/>
        <v>26.11967611</v>
      </c>
      <c r="CT19" s="1">
        <f t="shared" si="27"/>
        <v>30.386509889999999</v>
      </c>
      <c r="CU19" s="1">
        <f t="shared" si="27"/>
        <v>26.2743097</v>
      </c>
      <c r="CV19" s="1">
        <f t="shared" si="27"/>
        <v>30.80704394</v>
      </c>
      <c r="CW19" s="1">
        <f t="shared" si="27"/>
        <v>27.637267510000001</v>
      </c>
      <c r="CX19" s="1">
        <f t="shared" si="27"/>
        <v>30.470799569999997</v>
      </c>
      <c r="CY19" s="1">
        <f t="shared" si="27"/>
        <v>25.884569989999999</v>
      </c>
      <c r="CZ19" s="1">
        <f t="shared" si="28"/>
        <v>21.159077390000004</v>
      </c>
      <c r="DA19" s="1">
        <f t="shared" si="28"/>
        <v>21.056863770000003</v>
      </c>
      <c r="DB19" s="1">
        <f t="shared" si="28"/>
        <v>16.985680380000005</v>
      </c>
      <c r="DC19" s="1">
        <f t="shared" si="28"/>
        <v>25.68249277</v>
      </c>
      <c r="DD19" s="1">
        <f t="shared" si="28"/>
        <v>25.561633730000004</v>
      </c>
      <c r="DE19" s="1">
        <f t="shared" si="28"/>
        <v>29.175893349999999</v>
      </c>
      <c r="DF19" s="1">
        <f t="shared" si="28"/>
        <v>26.64714219</v>
      </c>
      <c r="DG19" s="1">
        <f t="shared" si="28"/>
        <v>28.903680499999997</v>
      </c>
      <c r="DI19" s="1">
        <f t="shared" si="29"/>
        <v>1.9938344900000002</v>
      </c>
      <c r="DJ19" s="1">
        <f t="shared" si="29"/>
        <v>1.4070700599999999</v>
      </c>
      <c r="DK19" s="1">
        <f t="shared" si="29"/>
        <v>0.5838748800000001</v>
      </c>
      <c r="DL19" s="1">
        <f t="shared" si="29"/>
        <v>1.6300787399999999</v>
      </c>
      <c r="DM19" s="1">
        <f t="shared" si="29"/>
        <v>1.5496506000000003</v>
      </c>
      <c r="DN19" s="1">
        <f t="shared" si="29"/>
        <v>2.1384397699999997</v>
      </c>
      <c r="DO19" s="1">
        <f t="shared" si="29"/>
        <v>2.7337765599999999</v>
      </c>
      <c r="DP19" s="1">
        <f t="shared" si="29"/>
        <v>1.0171737099999998</v>
      </c>
      <c r="DQ19" s="1">
        <f t="shared" si="29"/>
        <v>1.9864389700000002</v>
      </c>
      <c r="DR19" s="1">
        <f t="shared" si="29"/>
        <v>2.8868213899999997</v>
      </c>
      <c r="DS19" s="1">
        <f t="shared" si="29"/>
        <v>1.3747401999999997</v>
      </c>
      <c r="DT19" s="1">
        <f t="shared" si="29"/>
        <v>1.6364950999999999</v>
      </c>
      <c r="DU19" s="1">
        <f t="shared" si="29"/>
        <v>1.1348675200000002</v>
      </c>
      <c r="DV19" s="1">
        <f t="shared" si="29"/>
        <v>0.73241972</v>
      </c>
      <c r="DW19" s="1">
        <f t="shared" si="29"/>
        <v>1.2023484900000001</v>
      </c>
      <c r="DX19" s="1">
        <f t="shared" si="29"/>
        <v>0.41620179000000002</v>
      </c>
      <c r="DY19" s="1">
        <f t="shared" si="30"/>
        <v>1.03402496</v>
      </c>
      <c r="DZ19" s="1">
        <f t="shared" si="30"/>
        <v>2.8427559999999998E-2</v>
      </c>
      <c r="EA19" s="1">
        <f t="shared" si="30"/>
        <v>1.0036533000000001</v>
      </c>
      <c r="EB19" s="1">
        <f t="shared" si="30"/>
        <v>0.19325807</v>
      </c>
      <c r="EC19" s="1">
        <f t="shared" si="30"/>
        <v>0.52785406000000001</v>
      </c>
      <c r="ED19" s="1">
        <f t="shared" si="30"/>
        <v>0.66552862999999995</v>
      </c>
      <c r="EE19" s="1">
        <f t="shared" si="30"/>
        <v>0.47927648999999994</v>
      </c>
      <c r="EF19" s="1">
        <f t="shared" si="30"/>
        <v>0.83261881999999998</v>
      </c>
      <c r="EH19" s="14">
        <f t="shared" si="31"/>
        <v>35.950000000000003</v>
      </c>
      <c r="EI19" s="14">
        <f t="shared" si="31"/>
        <v>35.950000000000003</v>
      </c>
      <c r="EJ19" s="1">
        <f t="shared" si="31"/>
        <v>35.950000000000003</v>
      </c>
      <c r="EK19" s="1">
        <f t="shared" si="31"/>
        <v>35.950000000000003</v>
      </c>
      <c r="EL19" s="1">
        <f t="shared" si="31"/>
        <v>35.950000000000003</v>
      </c>
      <c r="EM19" s="1">
        <f t="shared" si="31"/>
        <v>35.950000000000003</v>
      </c>
      <c r="EN19" s="1">
        <f t="shared" si="31"/>
        <v>35.950000000000003</v>
      </c>
      <c r="EO19" s="1">
        <f t="shared" si="31"/>
        <v>35.950000000000003</v>
      </c>
      <c r="EP19" s="1">
        <f t="shared" si="31"/>
        <v>35.950000000000003</v>
      </c>
      <c r="EQ19" s="1">
        <f t="shared" si="31"/>
        <v>35.950000000000003</v>
      </c>
      <c r="ER19" s="1">
        <f t="shared" si="31"/>
        <v>35.950000000000003</v>
      </c>
      <c r="ES19" s="1">
        <f t="shared" si="31"/>
        <v>35.950000000000003</v>
      </c>
      <c r="ET19" s="1">
        <f t="shared" si="31"/>
        <v>35.950000000000003</v>
      </c>
      <c r="EU19" s="1">
        <f t="shared" si="31"/>
        <v>35.950000000000003</v>
      </c>
      <c r="EV19" s="1">
        <f t="shared" si="31"/>
        <v>35.950000000000003</v>
      </c>
      <c r="EW19" s="1">
        <f t="shared" si="31"/>
        <v>35.950000000000003</v>
      </c>
      <c r="EX19" s="1">
        <f t="shared" si="32"/>
        <v>35.950000000000003</v>
      </c>
      <c r="EY19" s="1">
        <f t="shared" si="32"/>
        <v>40.33</v>
      </c>
      <c r="EZ19" s="1">
        <f t="shared" si="32"/>
        <v>40.33</v>
      </c>
      <c r="FA19" s="1">
        <f t="shared" si="32"/>
        <v>40.33</v>
      </c>
      <c r="FB19" s="1">
        <f t="shared" si="32"/>
        <v>40.33</v>
      </c>
      <c r="FC19" s="1">
        <f t="shared" si="32"/>
        <v>40.33</v>
      </c>
      <c r="FD19" s="1">
        <f t="shared" si="32"/>
        <v>40.33</v>
      </c>
      <c r="FE19" s="1">
        <f t="shared" si="32"/>
        <v>40.33</v>
      </c>
      <c r="FG19" s="162">
        <f t="shared" si="33"/>
        <v>-0.35925611865227625</v>
      </c>
    </row>
    <row r="20" spans="1:163" ht="18.75" customHeight="1">
      <c r="A20" s="264" t="s">
        <v>218</v>
      </c>
      <c r="B20" s="246"/>
      <c r="C20" s="156">
        <f t="shared" si="5"/>
        <v>-0.33</v>
      </c>
      <c r="D20" s="198">
        <v>-1</v>
      </c>
      <c r="E20" s="248">
        <f t="shared" si="6"/>
        <v>3.1526387557189395E-2</v>
      </c>
      <c r="F20" s="249">
        <f t="shared" si="7"/>
        <v>-1.0236891269462145E-2</v>
      </c>
      <c r="G20" s="248">
        <f t="shared" si="8"/>
        <v>3.1989339551406371E-2</v>
      </c>
      <c r="H20" s="249">
        <f t="shared" si="9"/>
        <v>-4.6295199421697575E-4</v>
      </c>
      <c r="I20" s="248">
        <f t="shared" si="10"/>
        <v>3.2659359593846622</v>
      </c>
      <c r="J20" s="249">
        <f t="shared" si="11"/>
        <v>0.5018578111447014</v>
      </c>
      <c r="K20" s="248">
        <f t="shared" si="34"/>
        <v>2.8714452569223545</v>
      </c>
      <c r="L20" s="249">
        <f t="shared" si="12"/>
        <v>0.39449070246230766</v>
      </c>
      <c r="M20" s="250"/>
      <c r="N20" s="24">
        <v>-1</v>
      </c>
      <c r="O20" s="248">
        <f t="shared" si="35"/>
        <v>-2.3211675087845274E-2</v>
      </c>
      <c r="P20" s="251">
        <f t="shared" si="36"/>
        <v>-2.3211675087845274E-2</v>
      </c>
      <c r="Q20" s="248">
        <f t="shared" si="13"/>
        <v>-5.162161685887412E-2</v>
      </c>
      <c r="R20" s="251">
        <f t="shared" si="37"/>
        <v>-5.162161685887412E-2</v>
      </c>
      <c r="S20" s="250"/>
      <c r="T20" s="24">
        <v>1</v>
      </c>
      <c r="U20" s="248">
        <f t="shared" si="14"/>
        <v>0.19907051481314797</v>
      </c>
      <c r="V20" s="252">
        <f t="shared" si="15"/>
        <v>0.19907051481314797</v>
      </c>
      <c r="W20" s="248">
        <f t="shared" si="38"/>
        <v>-0.42882674622255246</v>
      </c>
      <c r="X20" s="252">
        <f t="shared" si="16"/>
        <v>-0.42882674622255246</v>
      </c>
      <c r="Y20" s="248" t="str">
        <f t="shared" si="17"/>
        <v/>
      </c>
      <c r="Z20" s="252" t="str">
        <f t="shared" si="18"/>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P20" s="28">
        <f>VLOOKUP($A20,historia!$A$5:$CM$24,+HLOOKUP(AP$2,historia!$A$3:$EC$4,2,FALSE),FALSE)</f>
        <v>4</v>
      </c>
      <c r="AQ20" s="28">
        <f>VLOOKUP($A20,historia!$A$5:$CM$24,+HLOOKUP(AQ$2,historia!$A$3:$EC$4,2,FALSE),FALSE)</f>
        <v>3</v>
      </c>
      <c r="AR20" s="28">
        <f>VLOOKUP($A20,historia!$A$5:$CM$24,+HLOOKUP(AR$2,historia!$A$3:$EC$4,2,FALSE),FALSE)</f>
        <v>3</v>
      </c>
      <c r="AS20" s="28">
        <f>VLOOKUP($A20,historia!$A$5:$CM$24,+HLOOKUP(AS$2,historia!$A$3:$EC$4,2,FALSE),FALSE)</f>
        <v>3</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3</v>
      </c>
      <c r="AY20" s="58">
        <f>VLOOKUP($A20,historia!$A$5:$CM$24,+HLOOKUP(AY$2,historia!$A$3:$EC$4,2,FALSE),FALSE)</f>
        <v>4</v>
      </c>
      <c r="AZ20" s="58">
        <f>VLOOKUP($A20,historia!$A$5:$CM$24,+HLOOKUP(AZ$2,historia!$A$3:$EC$4,2,FALSE),FALSE)</f>
        <v>4</v>
      </c>
      <c r="BA20" s="58">
        <f>VLOOKUP($A20,historia!$A$5:$CM$24,+HLOOKUP(BA$2,historia!$A$3:$EC$4,2,FALSE),FALSE)</f>
        <v>4</v>
      </c>
      <c r="BB20" s="30"/>
      <c r="BC20" s="141">
        <v>4</v>
      </c>
      <c r="BD20" t="str">
        <f t="shared" si="19"/>
        <v>Peras y Manzanas</v>
      </c>
      <c r="BE20">
        <f>+datos!AP1</f>
        <v>42</v>
      </c>
      <c r="BF20" s="2" t="str">
        <f t="shared" si="4"/>
        <v>$/caja 18kg</v>
      </c>
      <c r="BG20" s="2">
        <f t="shared" si="4"/>
        <v>13459.454545454546</v>
      </c>
      <c r="BH20" s="2">
        <f t="shared" si="4"/>
        <v>13048.095238095239</v>
      </c>
      <c r="BI20" s="2">
        <f t="shared" si="4"/>
        <v>3155.1</v>
      </c>
      <c r="BK20">
        <f>+datos!CS1</f>
        <v>97</v>
      </c>
      <c r="BL20" s="2">
        <f t="shared" si="20"/>
        <v>7540.4285444149573</v>
      </c>
      <c r="BM20" s="2">
        <f t="shared" si="20"/>
        <v>7306.6922839461622</v>
      </c>
      <c r="BN20" s="2">
        <f t="shared" si="20"/>
        <v>1947.7037757236167</v>
      </c>
      <c r="BP20" s="1">
        <f>+datos!FC1</f>
        <v>159</v>
      </c>
      <c r="BQ20" s="1">
        <f t="shared" si="21"/>
        <v>38084</v>
      </c>
      <c r="BR20" s="1">
        <f t="shared" si="21"/>
        <v>38989</v>
      </c>
      <c r="BT20" s="1">
        <f>+datos!GW1</f>
        <v>205</v>
      </c>
      <c r="BU20" s="1">
        <f t="shared" si="22"/>
        <v>753443</v>
      </c>
      <c r="BV20" s="1">
        <f t="shared" si="22"/>
        <v>794454</v>
      </c>
      <c r="BX20" s="1">
        <f>+datos!LS1</f>
        <v>331</v>
      </c>
      <c r="BY20" s="1">
        <f t="shared" si="39"/>
        <v>378.60697720999997</v>
      </c>
      <c r="BZ20" s="1">
        <f t="shared" si="40"/>
        <v>315.75038542999999</v>
      </c>
      <c r="CB20" s="1">
        <f>+datos!LW1</f>
        <v>335</v>
      </c>
      <c r="CC20" s="2">
        <f t="shared" si="23"/>
        <v>4.4887579400000002</v>
      </c>
      <c r="CD20" s="2">
        <f t="shared" si="24"/>
        <v>7.8588377700000009</v>
      </c>
      <c r="CF20" s="1">
        <f>+datos!JC1</f>
        <v>263</v>
      </c>
      <c r="CG20" s="1">
        <f t="shared" si="25"/>
        <v>0</v>
      </c>
      <c r="CH20" s="1">
        <f t="shared" si="26"/>
        <v>0</v>
      </c>
      <c r="CJ20" s="1">
        <f t="shared" si="27"/>
        <v>45.302769560000002</v>
      </c>
      <c r="CK20" s="1">
        <f t="shared" si="27"/>
        <v>46.856289650000001</v>
      </c>
      <c r="CL20" s="1">
        <f t="shared" si="27"/>
        <v>60.076282149999997</v>
      </c>
      <c r="CM20" s="1">
        <f t="shared" si="27"/>
        <v>42.744570039999999</v>
      </c>
      <c r="CN20" s="1">
        <f t="shared" si="27"/>
        <v>11.509203560000001</v>
      </c>
      <c r="CO20" s="1">
        <f t="shared" si="27"/>
        <v>11.753879789999999</v>
      </c>
      <c r="CP20" s="1">
        <f t="shared" si="27"/>
        <v>15.619426270000002</v>
      </c>
      <c r="CQ20" s="1">
        <f t="shared" si="27"/>
        <v>16.880359240000001</v>
      </c>
      <c r="CR20" s="1">
        <f t="shared" si="27"/>
        <v>24.204094699999999</v>
      </c>
      <c r="CS20" s="1">
        <f t="shared" si="27"/>
        <v>25.300599699999999</v>
      </c>
      <c r="CT20" s="1">
        <f t="shared" si="27"/>
        <v>48.042350899999995</v>
      </c>
      <c r="CU20" s="1">
        <f t="shared" si="27"/>
        <v>30.317151650000003</v>
      </c>
      <c r="CV20" s="1">
        <f t="shared" si="27"/>
        <v>39.830023670000003</v>
      </c>
      <c r="CW20" s="1">
        <f t="shared" si="27"/>
        <v>48.212206680000008</v>
      </c>
      <c r="CX20" s="1">
        <f t="shared" si="27"/>
        <v>46.755406350000001</v>
      </c>
      <c r="CY20" s="1">
        <f t="shared" si="27"/>
        <v>37.276974840000001</v>
      </c>
      <c r="CZ20" s="1">
        <f t="shared" si="28"/>
        <v>11.80910873</v>
      </c>
      <c r="DA20" s="1">
        <f t="shared" si="28"/>
        <v>12.88181872</v>
      </c>
      <c r="DB20" s="1">
        <f t="shared" si="28"/>
        <v>18.209359989999999</v>
      </c>
      <c r="DC20" s="1">
        <f t="shared" si="28"/>
        <v>17.588783669999998</v>
      </c>
      <c r="DD20" s="1">
        <f t="shared" si="28"/>
        <v>19.204431939999999</v>
      </c>
      <c r="DE20" s="1">
        <f t="shared" si="28"/>
        <v>18.586597920000003</v>
      </c>
      <c r="DF20" s="1">
        <f t="shared" si="28"/>
        <v>16.816308710000001</v>
      </c>
      <c r="DG20" s="1">
        <f t="shared" si="28"/>
        <v>28.579364210000001</v>
      </c>
      <c r="DI20" s="1">
        <f t="shared" si="29"/>
        <v>0.32288670000000003</v>
      </c>
      <c r="DJ20" s="1">
        <f t="shared" si="29"/>
        <v>0.29487440000000004</v>
      </c>
      <c r="DK20" s="1">
        <f t="shared" si="29"/>
        <v>7.78142E-2</v>
      </c>
      <c r="DL20" s="1">
        <f t="shared" si="29"/>
        <v>0.12479459999999999</v>
      </c>
      <c r="DM20" s="1">
        <f t="shared" si="29"/>
        <v>8.4911199999999992E-2</v>
      </c>
      <c r="DN20" s="1">
        <f t="shared" si="29"/>
        <v>0.22142464000000001</v>
      </c>
      <c r="DO20" s="1">
        <f t="shared" si="29"/>
        <v>1.01853964</v>
      </c>
      <c r="DP20" s="1">
        <f t="shared" si="29"/>
        <v>0.30728509999999998</v>
      </c>
      <c r="DQ20" s="1">
        <f t="shared" si="29"/>
        <v>0.37410640000000001</v>
      </c>
      <c r="DR20" s="1">
        <f t="shared" si="29"/>
        <v>0.35746821000000001</v>
      </c>
      <c r="DS20" s="1">
        <f t="shared" si="29"/>
        <v>0.95829101000000005</v>
      </c>
      <c r="DT20" s="1">
        <f t="shared" si="29"/>
        <v>0.34636184000000003</v>
      </c>
      <c r="DU20" s="1">
        <f t="shared" si="29"/>
        <v>1.2547095300000002</v>
      </c>
      <c r="DV20" s="1">
        <f t="shared" si="29"/>
        <v>1.273682</v>
      </c>
      <c r="DW20" s="1">
        <f t="shared" si="29"/>
        <v>0.92279571000000005</v>
      </c>
      <c r="DX20" s="1">
        <f t="shared" si="29"/>
        <v>0.55930298000000001</v>
      </c>
      <c r="DY20" s="1">
        <f t="shared" si="30"/>
        <v>0.23405334</v>
      </c>
      <c r="DZ20" s="1">
        <f t="shared" si="30"/>
        <v>2.5551390000000004E-2</v>
      </c>
      <c r="EA20" s="1">
        <f t="shared" si="30"/>
        <v>0.44126778</v>
      </c>
      <c r="EB20" s="1">
        <f t="shared" si="30"/>
        <v>0.57571571999999993</v>
      </c>
      <c r="EC20" s="1">
        <f t="shared" si="30"/>
        <v>0.55222305999999999</v>
      </c>
      <c r="ED20" s="1">
        <f t="shared" si="30"/>
        <v>0.72330915000000007</v>
      </c>
      <c r="EE20" s="1">
        <f t="shared" si="30"/>
        <v>0.57011290000000003</v>
      </c>
      <c r="EF20" s="1">
        <f t="shared" si="30"/>
        <v>0.72611420999999998</v>
      </c>
      <c r="EH20" s="14">
        <f t="shared" si="31"/>
        <v>0</v>
      </c>
      <c r="EI20" s="14">
        <f t="shared" si="31"/>
        <v>0</v>
      </c>
      <c r="EJ20" s="1">
        <f t="shared" si="31"/>
        <v>0</v>
      </c>
      <c r="EK20" s="1">
        <f t="shared" si="31"/>
        <v>0</v>
      </c>
      <c r="EL20" s="1">
        <f t="shared" si="31"/>
        <v>0</v>
      </c>
      <c r="EM20" s="1">
        <f t="shared" si="31"/>
        <v>0</v>
      </c>
      <c r="EN20" s="1">
        <f t="shared" si="31"/>
        <v>0</v>
      </c>
      <c r="EO20" s="1">
        <f t="shared" si="31"/>
        <v>0</v>
      </c>
      <c r="EP20" s="1">
        <f t="shared" si="31"/>
        <v>0</v>
      </c>
      <c r="EQ20" s="1">
        <f t="shared" si="31"/>
        <v>0</v>
      </c>
      <c r="ER20" s="1">
        <f t="shared" si="31"/>
        <v>0</v>
      </c>
      <c r="ES20" s="1">
        <f t="shared" si="31"/>
        <v>0</v>
      </c>
      <c r="ET20" s="1">
        <f t="shared" si="31"/>
        <v>0</v>
      </c>
      <c r="EU20" s="1">
        <f t="shared" si="31"/>
        <v>0</v>
      </c>
      <c r="EV20" s="1">
        <f t="shared" si="31"/>
        <v>0</v>
      </c>
      <c r="EW20" s="1">
        <f t="shared" si="31"/>
        <v>0</v>
      </c>
      <c r="EX20" s="1">
        <f t="shared" si="32"/>
        <v>0</v>
      </c>
      <c r="EY20" s="1">
        <f t="shared" si="32"/>
        <v>0</v>
      </c>
      <c r="EZ20" s="1">
        <f t="shared" si="32"/>
        <v>0</v>
      </c>
      <c r="FA20" s="1">
        <f t="shared" si="32"/>
        <v>0</v>
      </c>
      <c r="FB20" s="1">
        <f t="shared" si="32"/>
        <v>0</v>
      </c>
      <c r="FC20" s="1">
        <f t="shared" si="32"/>
        <v>0</v>
      </c>
      <c r="FD20" s="1">
        <f t="shared" si="32"/>
        <v>0</v>
      </c>
      <c r="FE20" s="1">
        <f t="shared" si="32"/>
        <v>0</v>
      </c>
      <c r="FG20" s="162">
        <f t="shared" si="33"/>
        <v>0.39449070246230766</v>
      </c>
    </row>
    <row r="21" spans="1:163" ht="18.75" customHeight="1">
      <c r="A21" s="244" t="s">
        <v>121</v>
      </c>
      <c r="B21" s="247"/>
      <c r="C21" s="228">
        <f t="shared" si="5"/>
        <v>0.33</v>
      </c>
      <c r="D21" s="229">
        <v>-1</v>
      </c>
      <c r="E21" s="253">
        <f t="shared" si="6"/>
        <v>-3.6449404112506856E-2</v>
      </c>
      <c r="F21" s="254">
        <f t="shared" si="7"/>
        <v>-7.8212682939158396E-2</v>
      </c>
      <c r="G21" s="253">
        <f t="shared" si="8"/>
        <v>5.3205552825842162E-2</v>
      </c>
      <c r="H21" s="254">
        <f t="shared" si="9"/>
        <v>-8.9654956938349017E-2</v>
      </c>
      <c r="I21" s="253">
        <f t="shared" si="10"/>
        <v>1.8345241279180833</v>
      </c>
      <c r="J21" s="254">
        <f t="shared" si="11"/>
        <v>-0.92955402032187751</v>
      </c>
      <c r="K21" s="253">
        <f t="shared" si="34"/>
        <v>2.6029730383392407</v>
      </c>
      <c r="L21" s="254">
        <f t="shared" si="12"/>
        <v>-0.76844891042115737</v>
      </c>
      <c r="M21" s="255"/>
      <c r="N21" s="256">
        <v>1</v>
      </c>
      <c r="O21" s="253">
        <f t="shared" si="35"/>
        <v>3.8695172963417956E-2</v>
      </c>
      <c r="P21" s="257">
        <f t="shared" si="36"/>
        <v>3.8695172963417956E-2</v>
      </c>
      <c r="Q21" s="253">
        <f t="shared" si="13"/>
        <v>7.7211036331648497E-2</v>
      </c>
      <c r="R21" s="257">
        <f t="shared" si="37"/>
        <v>7.7211036331648497E-2</v>
      </c>
      <c r="S21" s="255"/>
      <c r="T21" s="256">
        <v>1</v>
      </c>
      <c r="U21" s="253">
        <f t="shared" si="14"/>
        <v>4.8058137655844657E-2</v>
      </c>
      <c r="V21" s="258">
        <f t="shared" si="15"/>
        <v>4.8058137655844657E-2</v>
      </c>
      <c r="W21" s="253">
        <f t="shared" si="38"/>
        <v>-0.46803171512306252</v>
      </c>
      <c r="X21" s="258">
        <f t="shared" si="16"/>
        <v>-0.46803171512306252</v>
      </c>
      <c r="Y21" s="253">
        <f t="shared" si="17"/>
        <v>-2.3923444976076125E-3</v>
      </c>
      <c r="Z21" s="258">
        <f t="shared" si="18"/>
        <v>-2.3923444976076125E-3</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P21" s="28">
        <f>VLOOKUP($A21,historia!$A$5:$CM$24,+HLOOKUP(AP$2,historia!$A$3:$EC$4,2,FALSE),FALSE)</f>
        <v>4</v>
      </c>
      <c r="AQ21" s="28">
        <f>VLOOKUP($A21,historia!$A$5:$CM$24,+HLOOKUP(AQ$2,historia!$A$3:$EC$4,2,FALSE),FALSE)</f>
        <v>4</v>
      </c>
      <c r="AR21" s="28">
        <f>VLOOKUP($A21,historia!$A$5:$CM$24,+HLOOKUP(AR$2,historia!$A$3:$EC$4,2,FALSE),FALSE)</f>
        <v>4</v>
      </c>
      <c r="AS21" s="28">
        <f>VLOOKUP($A21,historia!$A$5:$CM$24,+HLOOKUP(AS$2,historia!$A$3:$EC$4,2,FALSE),FALSE)</f>
        <v>3</v>
      </c>
      <c r="AT21" s="58">
        <f>VLOOKUP($A21,historia!$A$5:$CM$24,+HLOOKUP(AT$2,historia!$A$3:$EC$4,2,FALSE),FALSE)</f>
        <v>3</v>
      </c>
      <c r="AU21" s="58">
        <f>VLOOKUP($A21,historia!$A$5:$CM$24,+HLOOKUP(AU$2,historia!$A$3:$EC$4,2,FALSE),FALSE)</f>
        <v>3</v>
      </c>
      <c r="AV21" s="58">
        <f>VLOOKUP($A21,historia!$A$5:$CM$24,+HLOOKUP(AV$2,historia!$A$3:$EC$4,2,FALSE),FALSE)</f>
        <v>2</v>
      </c>
      <c r="AW21" s="58">
        <f>VLOOKUP($A21,historia!$A$5:$CM$24,+HLOOKUP(AW$2,historia!$A$3:$EC$4,2,FALSE),FALSE)</f>
        <v>1</v>
      </c>
      <c r="AX21" s="58">
        <f>VLOOKUP($A21,historia!$A$5:$CM$24,+HLOOKUP(AX$2,historia!$A$3:$EC$4,2,FALSE),FALSE)</f>
        <v>2</v>
      </c>
      <c r="AY21" s="58">
        <f>VLOOKUP($A21,historia!$A$5:$CM$24,+HLOOKUP(AY$2,historia!$A$3:$EC$4,2,FALSE),FALSE)</f>
        <v>4</v>
      </c>
      <c r="AZ21" s="58">
        <f>VLOOKUP($A21,historia!$A$5:$CM$24,+HLOOKUP(AZ$2,historia!$A$3:$EC$4,2,FALSE),FALSE)</f>
        <v>5</v>
      </c>
      <c r="BA21" s="58">
        <f>VLOOKUP($A21,historia!$A$5:$CM$24,+HLOOKUP(BA$2,historia!$A$3:$EC$4,2,FALSE),FALSE)</f>
        <v>3</v>
      </c>
      <c r="BB21" s="30"/>
      <c r="BC21" s="141">
        <v>3</v>
      </c>
      <c r="BD21" t="str">
        <f t="shared" si="19"/>
        <v>Porcinos</v>
      </c>
      <c r="BE21">
        <f>+datos!BR1</f>
        <v>70</v>
      </c>
      <c r="BF21" s="2" t="str">
        <f t="shared" si="4"/>
        <v>$/kg</v>
      </c>
      <c r="BG21" s="2">
        <f t="shared" si="4"/>
        <v>927.35</v>
      </c>
      <c r="BH21" s="2">
        <f t="shared" si="4"/>
        <v>962.43</v>
      </c>
      <c r="BI21" s="2">
        <f t="shared" si="4"/>
        <v>327.16250000000002</v>
      </c>
      <c r="BK21">
        <f>+datos!DD1</f>
        <v>108</v>
      </c>
      <c r="BL21" s="2">
        <f t="shared" si="20"/>
        <v>7710.5250857589144</v>
      </c>
      <c r="BM21" s="2">
        <f t="shared" si="20"/>
        <v>7321.0068680998729</v>
      </c>
      <c r="BN21" s="2">
        <f t="shared" si="20"/>
        <v>2140.0451803860888</v>
      </c>
      <c r="BP21" s="1">
        <f>+datos!EJ1</f>
        <v>140</v>
      </c>
      <c r="BQ21" s="1">
        <f t="shared" si="21"/>
        <v>6115215</v>
      </c>
      <c r="BR21" s="1">
        <f t="shared" si="21"/>
        <v>5887401</v>
      </c>
      <c r="BT21" s="1">
        <f>+datos!HE1</f>
        <v>213</v>
      </c>
      <c r="BU21" s="1">
        <f t="shared" si="22"/>
        <v>771477</v>
      </c>
      <c r="BV21" s="1">
        <f t="shared" si="22"/>
        <v>716180</v>
      </c>
      <c r="BX21" s="1">
        <f>+datos!KJ1</f>
        <v>296</v>
      </c>
      <c r="BY21" s="1">
        <f t="shared" si="39"/>
        <v>20.070514709999998</v>
      </c>
      <c r="BZ21" s="1">
        <f t="shared" si="40"/>
        <v>19.150192140000001</v>
      </c>
      <c r="CB21" s="1">
        <f>+datos!LO1</f>
        <v>327</v>
      </c>
      <c r="CC21" s="2">
        <f t="shared" si="23"/>
        <v>39.052855489999999</v>
      </c>
      <c r="CD21" s="2">
        <f t="shared" si="24"/>
        <v>73.41199954999999</v>
      </c>
      <c r="CF21" s="1">
        <f>+datos!IO1</f>
        <v>249</v>
      </c>
      <c r="CG21" s="1">
        <f t="shared" si="25"/>
        <v>16.68</v>
      </c>
      <c r="CH21" s="1">
        <f t="shared" si="26"/>
        <v>16.72</v>
      </c>
      <c r="CJ21" s="1">
        <f t="shared" si="27"/>
        <v>1.9296841299999996</v>
      </c>
      <c r="CK21" s="1">
        <f t="shared" si="27"/>
        <v>2.2533318799999997</v>
      </c>
      <c r="CL21" s="1">
        <f t="shared" si="27"/>
        <v>1.55421593</v>
      </c>
      <c r="CM21" s="1">
        <f t="shared" si="27"/>
        <v>1.56892272</v>
      </c>
      <c r="CN21" s="1">
        <f t="shared" si="27"/>
        <v>1.2009935999999999</v>
      </c>
      <c r="CO21" s="1">
        <f t="shared" si="27"/>
        <v>1.5576121499999998</v>
      </c>
      <c r="CP21" s="1">
        <f t="shared" si="27"/>
        <v>1.3743196699999998</v>
      </c>
      <c r="CQ21" s="1">
        <f t="shared" si="27"/>
        <v>1.4110336399999999</v>
      </c>
      <c r="CR21" s="1">
        <f t="shared" si="27"/>
        <v>1.8830951399999996</v>
      </c>
      <c r="CS21" s="1">
        <f t="shared" si="27"/>
        <v>1.4694087300000001</v>
      </c>
      <c r="CT21" s="1">
        <f t="shared" si="27"/>
        <v>2.0502103900000002</v>
      </c>
      <c r="CU21" s="1">
        <f t="shared" si="27"/>
        <v>1.8176867299999997</v>
      </c>
      <c r="CV21" s="1">
        <f t="shared" si="27"/>
        <v>1.2719750699999999</v>
      </c>
      <c r="CW21" s="1">
        <f t="shared" si="27"/>
        <v>1.5228158499999997</v>
      </c>
      <c r="CX21" s="1">
        <f t="shared" si="27"/>
        <v>1.32254655</v>
      </c>
      <c r="CY21" s="1">
        <f t="shared" si="27"/>
        <v>2.1116566699999999</v>
      </c>
      <c r="CZ21" s="1">
        <f t="shared" si="28"/>
        <v>1.8299806799999998</v>
      </c>
      <c r="DA21" s="1">
        <f t="shared" si="28"/>
        <v>2.01275629</v>
      </c>
      <c r="DB21" s="1">
        <f t="shared" si="28"/>
        <v>1.0656519800000002</v>
      </c>
      <c r="DC21" s="1">
        <f t="shared" si="28"/>
        <v>1.9138006200000002</v>
      </c>
      <c r="DD21" s="1">
        <f t="shared" si="28"/>
        <v>1.83911538</v>
      </c>
      <c r="DE21" s="1">
        <f t="shared" si="28"/>
        <v>1.1669562900000001</v>
      </c>
      <c r="DF21" s="1">
        <f t="shared" si="28"/>
        <v>1.9574107099999998</v>
      </c>
      <c r="DG21" s="1">
        <f t="shared" si="28"/>
        <v>1.1355260499999997</v>
      </c>
      <c r="DI21" s="1">
        <f t="shared" si="29"/>
        <v>2.7920763000000002</v>
      </c>
      <c r="DJ21" s="1">
        <f t="shared" si="29"/>
        <v>3.5088459899999997</v>
      </c>
      <c r="DK21" s="1">
        <f t="shared" si="29"/>
        <v>2.2524288500000003</v>
      </c>
      <c r="DL21" s="1">
        <f t="shared" si="29"/>
        <v>5.2341166499999998</v>
      </c>
      <c r="DM21" s="1">
        <f t="shared" si="29"/>
        <v>3.1162246899999997</v>
      </c>
      <c r="DN21" s="1">
        <f t="shared" si="29"/>
        <v>3.3747357299999998</v>
      </c>
      <c r="DO21" s="1">
        <f t="shared" si="29"/>
        <v>1.8536983500000002</v>
      </c>
      <c r="DP21" s="1">
        <f t="shared" si="29"/>
        <v>2.01592043</v>
      </c>
      <c r="DQ21" s="1">
        <f t="shared" si="29"/>
        <v>3.3244473500000002</v>
      </c>
      <c r="DR21" s="1">
        <f t="shared" si="29"/>
        <v>2.84758625</v>
      </c>
      <c r="DS21" s="1">
        <f t="shared" si="29"/>
        <v>4.1641835499999997</v>
      </c>
      <c r="DT21" s="1">
        <f t="shared" si="29"/>
        <v>4.5685913500000002</v>
      </c>
      <c r="DU21" s="1">
        <f t="shared" si="29"/>
        <v>6.3615663699999985</v>
      </c>
      <c r="DV21" s="1">
        <f t="shared" si="29"/>
        <v>5.5541627499999997</v>
      </c>
      <c r="DW21" s="1">
        <f t="shared" si="29"/>
        <v>6.8596205599999998</v>
      </c>
      <c r="DX21" s="1">
        <f t="shared" ref="DX21:EF24" si="41">+VLOOKUP(DX$1,ran_dat,$CB21,FALSE)</f>
        <v>4.6739966500000012</v>
      </c>
      <c r="DY21" s="1">
        <f t="shared" si="41"/>
        <v>7.6286560299999993</v>
      </c>
      <c r="DZ21" s="1">
        <f t="shared" si="41"/>
        <v>3.658397E-2</v>
      </c>
      <c r="EA21" s="1">
        <f t="shared" si="41"/>
        <v>7.2061905900000003</v>
      </c>
      <c r="EB21" s="1">
        <f t="shared" si="41"/>
        <v>7.3381374299999997</v>
      </c>
      <c r="EC21" s="1">
        <f t="shared" si="41"/>
        <v>7.276038279999999</v>
      </c>
      <c r="ED21" s="1">
        <f t="shared" si="41"/>
        <v>4.9460771399999999</v>
      </c>
      <c r="EE21" s="1">
        <f t="shared" si="41"/>
        <v>6.6386870500000015</v>
      </c>
      <c r="EF21" s="1">
        <f t="shared" si="41"/>
        <v>8.8922827299999998</v>
      </c>
      <c r="EH21" s="14">
        <f t="shared" si="31"/>
        <v>16.68</v>
      </c>
      <c r="EI21" s="14">
        <f t="shared" si="31"/>
        <v>16.62</v>
      </c>
      <c r="EJ21" s="1">
        <f t="shared" si="31"/>
        <v>16.5</v>
      </c>
      <c r="EK21" s="1">
        <f t="shared" si="31"/>
        <v>16.64</v>
      </c>
      <c r="EL21" s="1">
        <f t="shared" si="31"/>
        <v>16.68</v>
      </c>
      <c r="EM21" s="1">
        <f t="shared" si="31"/>
        <v>16.72</v>
      </c>
      <c r="EN21" s="1">
        <f t="shared" si="31"/>
        <v>16.75</v>
      </c>
      <c r="EO21" s="1">
        <f t="shared" si="31"/>
        <v>16.760000000000002</v>
      </c>
      <c r="EP21" s="1">
        <f t="shared" si="31"/>
        <v>16.71</v>
      </c>
      <c r="EQ21" s="1">
        <f t="shared" si="31"/>
        <v>16.68</v>
      </c>
      <c r="ER21" s="1">
        <f t="shared" si="31"/>
        <v>16.670000000000002</v>
      </c>
      <c r="ES21" s="1">
        <f t="shared" si="31"/>
        <v>16.670000000000002</v>
      </c>
      <c r="ET21" s="1">
        <f t="shared" si="31"/>
        <v>16.72</v>
      </c>
      <c r="EU21" s="1">
        <f t="shared" si="31"/>
        <v>16.77</v>
      </c>
      <c r="EV21" s="1">
        <f t="shared" si="31"/>
        <v>16.88</v>
      </c>
      <c r="EW21" s="1">
        <f t="shared" ref="EW21:FE24" si="42">+VLOOKUP(EW$1,ran_dat,$CF21,FALSE)</f>
        <v>16.93</v>
      </c>
      <c r="EX21" s="1">
        <f t="shared" si="42"/>
        <v>16.97</v>
      </c>
      <c r="EY21" s="1">
        <f t="shared" si="42"/>
        <v>16.760000000000002</v>
      </c>
      <c r="EZ21" s="1">
        <f t="shared" si="42"/>
        <v>16.89</v>
      </c>
      <c r="FA21" s="1">
        <f t="shared" si="42"/>
        <v>16.920000000000002</v>
      </c>
      <c r="FB21" s="1">
        <f t="shared" si="42"/>
        <v>16.899999999999999</v>
      </c>
      <c r="FC21" s="1">
        <f t="shared" si="42"/>
        <v>16.84</v>
      </c>
      <c r="FD21" s="1">
        <f t="shared" si="42"/>
        <v>16.75</v>
      </c>
      <c r="FE21" s="1">
        <f t="shared" si="42"/>
        <v>16.71</v>
      </c>
      <c r="FG21" s="162">
        <f t="shared" si="33"/>
        <v>-0.76844891042115737</v>
      </c>
    </row>
    <row r="22" spans="1:163" ht="18.75" customHeight="1">
      <c r="A22" s="243" t="s">
        <v>75</v>
      </c>
      <c r="B22" s="246"/>
      <c r="C22" s="156">
        <f t="shared" si="5"/>
        <v>0.66</v>
      </c>
      <c r="D22" s="198">
        <v>1</v>
      </c>
      <c r="E22" s="248">
        <f t="shared" si="6"/>
        <v>0.2127659574468086</v>
      </c>
      <c r="F22" s="249">
        <f t="shared" si="7"/>
        <v>0.17100267862015706</v>
      </c>
      <c r="G22" s="248">
        <f t="shared" si="8"/>
        <v>4.9006297044888791E-2</v>
      </c>
      <c r="H22" s="249">
        <f t="shared" si="9"/>
        <v>0.1637596604019198</v>
      </c>
      <c r="I22" s="248">
        <f t="shared" si="10"/>
        <v>3.7743358507950244</v>
      </c>
      <c r="J22" s="249">
        <f t="shared" si="11"/>
        <v>1.0102577025550636</v>
      </c>
      <c r="K22" s="248">
        <f t="shared" si="34"/>
        <v>3.0367295106067802</v>
      </c>
      <c r="L22" s="249">
        <f t="shared" si="12"/>
        <v>0.73760634018824422</v>
      </c>
      <c r="M22" s="250"/>
      <c r="N22" s="24">
        <v>0</v>
      </c>
      <c r="O22" s="248">
        <f t="shared" si="35"/>
        <v>0</v>
      </c>
      <c r="P22" s="251">
        <f t="shared" si="36"/>
        <v>0</v>
      </c>
      <c r="Q22" s="248">
        <f t="shared" si="13"/>
        <v>-7.0102125429331252E-2</v>
      </c>
      <c r="R22" s="251">
        <f t="shared" si="37"/>
        <v>-7.0102125429331252E-2</v>
      </c>
      <c r="S22" s="250"/>
      <c r="T22" s="24">
        <v>1</v>
      </c>
      <c r="U22" s="248">
        <f t="shared" si="14"/>
        <v>-0.21867360471493935</v>
      </c>
      <c r="V22" s="252">
        <f t="shared" si="15"/>
        <v>-0.21867360471493935</v>
      </c>
      <c r="W22" s="248">
        <f t="shared" si="38"/>
        <v>0.23816171329758618</v>
      </c>
      <c r="X22" s="252">
        <f t="shared" si="16"/>
        <v>0.23816171329758618</v>
      </c>
      <c r="Y22" s="248" t="str">
        <f t="shared" si="17"/>
        <v/>
      </c>
      <c r="Z22" s="252" t="str">
        <f t="shared" si="18"/>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P22" s="28">
        <f>VLOOKUP($A22,historia!$A$5:$CM$24,+HLOOKUP(AP$2,historia!$A$3:$EC$4,2,FALSE),FALSE)</f>
        <v>4</v>
      </c>
      <c r="AQ22" s="28">
        <f>VLOOKUP($A22,historia!$A$5:$CM$24,+HLOOKUP(AQ$2,historia!$A$3:$EC$4,2,FALSE),FALSE)</f>
        <v>4</v>
      </c>
      <c r="AR22" s="28">
        <f>VLOOKUP($A22,historia!$A$5:$CM$24,+HLOOKUP(AR$2,historia!$A$3:$EC$4,2,FALSE),FALSE)</f>
        <v>4</v>
      </c>
      <c r="AS22" s="28">
        <f>VLOOKUP($A22,historia!$A$5:$CM$24,+HLOOKUP(AS$2,historia!$A$3:$EC$4,2,FALSE),FALSE)</f>
        <v>4</v>
      </c>
      <c r="AT22" s="58">
        <f>VLOOKUP($A22,historia!$A$5:$CM$24,+HLOOKUP(AT$2,historia!$A$3:$EC$4,2,FALSE),FALSE)</f>
        <v>4</v>
      </c>
      <c r="AU22" s="58">
        <f>VLOOKUP($A22,historia!$A$5:$CM$24,+HLOOKUP(AU$2,historia!$A$3:$EC$4,2,FALSE),FALSE)</f>
        <v>4</v>
      </c>
      <c r="AV22" s="58">
        <f>VLOOKUP($A22,historia!$A$5:$CM$24,+HLOOKUP(AV$2,historia!$A$3:$EC$4,2,FALSE),FALSE)</f>
        <v>3</v>
      </c>
      <c r="AW22" s="58">
        <f>VLOOKUP($A22,historia!$A$5:$CM$24,+HLOOKUP(AW$2,historia!$A$3:$EC$4,2,FALSE),FALSE)</f>
        <v>3</v>
      </c>
      <c r="AX22" s="58">
        <f>VLOOKUP($A22,historia!$A$5:$CM$24,+HLOOKUP(AX$2,historia!$A$3:$EC$4,2,FALSE),FALSE)</f>
        <v>3</v>
      </c>
      <c r="AY22" s="58">
        <f>VLOOKUP($A22,historia!$A$5:$CM$24,+HLOOKUP(AY$2,historia!$A$3:$EC$4,2,FALSE),FALSE)</f>
        <v>4</v>
      </c>
      <c r="AZ22" s="58">
        <f>VLOOKUP($A22,historia!$A$5:$CM$24,+HLOOKUP(AZ$2,historia!$A$3:$EC$4,2,FALSE),FALSE)</f>
        <v>4</v>
      </c>
      <c r="BA22" s="58">
        <f>VLOOKUP($A22,historia!$A$5:$CM$24,+HLOOKUP(BA$2,historia!$A$3:$EC$4,2,FALSE),FALSE)</f>
        <v>3</v>
      </c>
      <c r="BB22" s="30"/>
      <c r="BC22" s="141">
        <v>3</v>
      </c>
      <c r="BD22" t="str">
        <f t="shared" si="19"/>
        <v>Tabaco</v>
      </c>
      <c r="BE22">
        <f>+datos!BJ1</f>
        <v>62</v>
      </c>
      <c r="BF22" s="2" t="str">
        <f t="shared" si="4"/>
        <v>$/kg</v>
      </c>
      <c r="BG22" s="2">
        <f t="shared" si="4"/>
        <v>3420</v>
      </c>
      <c r="BH22" s="2">
        <f t="shared" si="4"/>
        <v>2820</v>
      </c>
      <c r="BI22" s="2">
        <f t="shared" si="4"/>
        <v>716.33</v>
      </c>
      <c r="BK22">
        <f>+datos!DA1</f>
        <v>105</v>
      </c>
      <c r="BL22" s="2">
        <f t="shared" si="20"/>
        <v>7493.229088649503</v>
      </c>
      <c r="BM22" s="2">
        <f t="shared" si="20"/>
        <v>7143.1688348853213</v>
      </c>
      <c r="BN22" s="2">
        <f t="shared" si="20"/>
        <v>1856.2623700598558</v>
      </c>
      <c r="BP22" s="1">
        <f>+datos!FD1</f>
        <v>160</v>
      </c>
      <c r="BQ22" s="1">
        <f t="shared" si="21"/>
        <v>54743</v>
      </c>
      <c r="BR22" s="1">
        <f t="shared" si="21"/>
        <v>54743</v>
      </c>
      <c r="BT22" s="1">
        <f>+datos!GX1</f>
        <v>206</v>
      </c>
      <c r="BU22" s="1">
        <f t="shared" si="22"/>
        <v>30804.553</v>
      </c>
      <c r="BV22" s="1">
        <f t="shared" si="22"/>
        <v>33126.813000000002</v>
      </c>
      <c r="BX22" s="1">
        <f>+datos!KC1</f>
        <v>289</v>
      </c>
      <c r="BY22" s="1">
        <f t="shared" si="39"/>
        <v>485.50859162</v>
      </c>
      <c r="BZ22" s="1">
        <f t="shared" si="40"/>
        <v>621.39023402999987</v>
      </c>
      <c r="CB22" s="1">
        <f>+datos!LH1</f>
        <v>320</v>
      </c>
      <c r="CC22" s="2">
        <f t="shared" si="23"/>
        <v>65.69208076999999</v>
      </c>
      <c r="CD22" s="2">
        <f t="shared" si="24"/>
        <v>53.056139649999999</v>
      </c>
      <c r="CF22" s="1">
        <f>+datos!JD1</f>
        <v>264</v>
      </c>
      <c r="CG22" s="1">
        <f t="shared" si="25"/>
        <v>0</v>
      </c>
      <c r="CH22" s="1">
        <f t="shared" si="26"/>
        <v>0</v>
      </c>
      <c r="CJ22" s="1">
        <f t="shared" ref="CJ22:CY24" si="43">+VLOOKUP(CJ$1,ran_dat,$BX22,FALSE)</f>
        <v>31.625168280000004</v>
      </c>
      <c r="CK22" s="1">
        <f t="shared" si="43"/>
        <v>17.697801470000002</v>
      </c>
      <c r="CL22" s="1">
        <f t="shared" si="43"/>
        <v>30.191481329999998</v>
      </c>
      <c r="CM22" s="1">
        <f t="shared" si="43"/>
        <v>36.249269399999989</v>
      </c>
      <c r="CN22" s="1">
        <f t="shared" si="43"/>
        <v>40.108989959999995</v>
      </c>
      <c r="CO22" s="1">
        <f t="shared" si="43"/>
        <v>56.890802439999995</v>
      </c>
      <c r="CP22" s="1">
        <f t="shared" si="43"/>
        <v>36.8257318</v>
      </c>
      <c r="CQ22" s="1">
        <f t="shared" si="43"/>
        <v>51.381121719999996</v>
      </c>
      <c r="CR22" s="1">
        <f t="shared" si="43"/>
        <v>33.051481680000002</v>
      </c>
      <c r="CS22" s="1">
        <f t="shared" si="43"/>
        <v>60.888504160000004</v>
      </c>
      <c r="CT22" s="1">
        <f t="shared" si="43"/>
        <v>55.773078730000002</v>
      </c>
      <c r="CU22" s="1">
        <f t="shared" si="43"/>
        <v>34.825160650000001</v>
      </c>
      <c r="CV22" s="1">
        <f t="shared" si="43"/>
        <v>19.014000799999998</v>
      </c>
      <c r="CW22" s="1">
        <f t="shared" si="43"/>
        <v>13.328405800000001</v>
      </c>
      <c r="CX22" s="1">
        <f t="shared" si="43"/>
        <v>41.736807310000003</v>
      </c>
      <c r="CY22" s="1">
        <f t="shared" si="43"/>
        <v>99.771490689999993</v>
      </c>
      <c r="CZ22" s="1">
        <f t="shared" ref="CZ22:DG24" si="44">+VLOOKUP(CZ$1,ran_dat,$BX22,FALSE)</f>
        <v>36.311671529999998</v>
      </c>
      <c r="DA22" s="1">
        <f t="shared" si="44"/>
        <v>57.64022373000001</v>
      </c>
      <c r="DB22" s="1">
        <f t="shared" si="44"/>
        <v>136.09986096</v>
      </c>
      <c r="DC22" s="1">
        <f t="shared" si="44"/>
        <v>67.887772890000008</v>
      </c>
      <c r="DD22" s="1">
        <f t="shared" si="44"/>
        <v>57.086864629999994</v>
      </c>
      <c r="DE22" s="1">
        <f t="shared" si="44"/>
        <v>50.373202669999998</v>
      </c>
      <c r="DF22" s="1">
        <f t="shared" si="44"/>
        <v>27.075978119999998</v>
      </c>
      <c r="DG22" s="1">
        <f t="shared" si="44"/>
        <v>15.063954900000001</v>
      </c>
      <c r="DI22" s="1">
        <f t="shared" ref="DI22:DX24" si="45">+VLOOKUP(DI$1,ran_dat,$CB22,FALSE)</f>
        <v>5.5991701699999998</v>
      </c>
      <c r="DJ22" s="1">
        <f t="shared" si="45"/>
        <v>5.1284923700000009</v>
      </c>
      <c r="DK22" s="1">
        <f t="shared" si="45"/>
        <v>4.8853449399999995</v>
      </c>
      <c r="DL22" s="1">
        <f t="shared" si="45"/>
        <v>4.5019780499999991</v>
      </c>
      <c r="DM22" s="1">
        <f t="shared" si="45"/>
        <v>3.2870284000000001</v>
      </c>
      <c r="DN22" s="1">
        <f t="shared" si="45"/>
        <v>2.2553329799999999</v>
      </c>
      <c r="DO22" s="1">
        <f t="shared" si="45"/>
        <v>4.9563280900000004</v>
      </c>
      <c r="DP22" s="1">
        <f t="shared" si="45"/>
        <v>5.4312745199999997</v>
      </c>
      <c r="DQ22" s="1">
        <f t="shared" si="45"/>
        <v>5.9427570699999999</v>
      </c>
      <c r="DR22" s="1">
        <f t="shared" si="45"/>
        <v>7.0989514199999997</v>
      </c>
      <c r="DS22" s="1">
        <f t="shared" si="45"/>
        <v>8.0901624599999984</v>
      </c>
      <c r="DT22" s="1">
        <f t="shared" si="45"/>
        <v>8.5152603000000013</v>
      </c>
      <c r="DU22" s="1">
        <f t="shared" si="45"/>
        <v>6.4262316399999984</v>
      </c>
      <c r="DV22" s="1">
        <f t="shared" si="45"/>
        <v>5.5724239500000001</v>
      </c>
      <c r="DW22" s="1">
        <f t="shared" si="45"/>
        <v>6.0969073500000004</v>
      </c>
      <c r="DX22" s="1">
        <f t="shared" si="45"/>
        <v>3.8674547000000001</v>
      </c>
      <c r="DY22" s="1">
        <f t="shared" si="41"/>
        <v>3.6075394200000002</v>
      </c>
      <c r="DZ22" s="1">
        <f t="shared" si="41"/>
        <v>4.0127527599999997</v>
      </c>
      <c r="EA22" s="1">
        <f t="shared" si="41"/>
        <v>4.23429112</v>
      </c>
      <c r="EB22" s="1">
        <f t="shared" si="41"/>
        <v>0</v>
      </c>
      <c r="EC22" s="1">
        <f t="shared" si="41"/>
        <v>4.5847165599999995</v>
      </c>
      <c r="ED22" s="1">
        <f t="shared" si="41"/>
        <v>5.2497219499999996</v>
      </c>
      <c r="EE22" s="1">
        <f t="shared" si="41"/>
        <v>3.7131778499999992</v>
      </c>
      <c r="EF22" s="1">
        <f t="shared" si="41"/>
        <v>5.6909223499999992</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3"/>
        <v>0.73760634018824422</v>
      </c>
    </row>
    <row r="23" spans="1:163" ht="18.75" customHeight="1">
      <c r="A23" s="244" t="s">
        <v>219</v>
      </c>
      <c r="B23" s="247"/>
      <c r="C23" s="228">
        <f t="shared" si="5"/>
        <v>-1.32</v>
      </c>
      <c r="D23" s="229">
        <v>-1</v>
      </c>
      <c r="E23" s="253">
        <f t="shared" si="6"/>
        <v>2.7749251441439027E-2</v>
      </c>
      <c r="F23" s="254">
        <f t="shared" si="7"/>
        <v>-1.4014027385212513E-2</v>
      </c>
      <c r="G23" s="253">
        <f t="shared" si="8"/>
        <v>2.3822290795721734E-2</v>
      </c>
      <c r="H23" s="254">
        <f t="shared" si="9"/>
        <v>3.9269606457172923E-3</v>
      </c>
      <c r="I23" s="253">
        <f t="shared" si="10"/>
        <v>1.255417508660738</v>
      </c>
      <c r="J23" s="254">
        <f t="shared" si="11"/>
        <v>-1.5086606395792228</v>
      </c>
      <c r="K23" s="253">
        <f t="shared" si="34"/>
        <v>2.2957208976242818</v>
      </c>
      <c r="L23" s="254">
        <f t="shared" si="12"/>
        <v>-1.0403033889635438</v>
      </c>
      <c r="M23" s="255"/>
      <c r="N23" s="256">
        <v>-2</v>
      </c>
      <c r="O23" s="253">
        <f t="shared" si="35"/>
        <v>-2.3925173422115087E-2</v>
      </c>
      <c r="P23" s="257">
        <f t="shared" si="36"/>
        <v>-2.3925173422115087E-2</v>
      </c>
      <c r="Q23" s="253">
        <f t="shared" si="13"/>
        <v>0.31859999476400835</v>
      </c>
      <c r="R23" s="257">
        <f t="shared" si="37"/>
        <v>0.31859999476400835</v>
      </c>
      <c r="S23" s="255"/>
      <c r="T23" s="256">
        <v>-1</v>
      </c>
      <c r="U23" s="253">
        <f t="shared" si="14"/>
        <v>-0.10537252233538374</v>
      </c>
      <c r="V23" s="258">
        <f t="shared" si="15"/>
        <v>-0.10537252233538374</v>
      </c>
      <c r="W23" s="253">
        <f t="shared" si="38"/>
        <v>-0.25640918476389229</v>
      </c>
      <c r="X23" s="258">
        <f t="shared" si="16"/>
        <v>-0.25640918476389229</v>
      </c>
      <c r="Y23" s="253">
        <f t="shared" si="17"/>
        <v>-2.39520958083832E-2</v>
      </c>
      <c r="Z23" s="258">
        <f t="shared" si="18"/>
        <v>-2.39520958083832E-2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5</v>
      </c>
      <c r="AX23" s="58">
        <f>VLOOKUP($A23,historia!$A$5:$CM$24,+HLOOKUP(AX$2,historia!$A$3:$EC$4,2,FALSE),FALSE)</f>
        <v>5</v>
      </c>
      <c r="AY23" s="58">
        <f>VLOOKUP($A23,historia!$A$5:$CM$24,+HLOOKUP(AY$2,historia!$A$3:$EC$4,2,FALSE),FALSE)</f>
        <v>5</v>
      </c>
      <c r="AZ23" s="58">
        <f>VLOOKUP($A23,historia!$A$5:$CM$24,+HLOOKUP(AZ$2,historia!$A$3:$EC$4,2,FALSE),FALSE)</f>
        <v>5</v>
      </c>
      <c r="BA23" s="58">
        <f>VLOOKUP($A23,historia!$A$5:$CM$24,+HLOOKUP(BA$2,historia!$A$3:$EC$4,2,FALSE),FALSE)</f>
        <v>5</v>
      </c>
      <c r="BB23" s="30"/>
      <c r="BC23" s="141">
        <v>5</v>
      </c>
      <c r="BD23" t="str">
        <f t="shared" si="19"/>
        <v>Vino y Mosto</v>
      </c>
      <c r="BE23">
        <f>+datos!AM1</f>
        <v>39</v>
      </c>
      <c r="BF23" s="2" t="str">
        <f t="shared" si="4"/>
        <v>$/l</v>
      </c>
      <c r="BG23" s="2">
        <f t="shared" si="4"/>
        <v>332.25899999999996</v>
      </c>
      <c r="BH23" s="2">
        <f t="shared" si="4"/>
        <v>323.28800000000001</v>
      </c>
      <c r="BI23" s="2">
        <f t="shared" si="4"/>
        <v>147.31596200000001</v>
      </c>
      <c r="BK23">
        <f>+datos!CP1</f>
        <v>94</v>
      </c>
      <c r="BL23" s="2">
        <f t="shared" si="20"/>
        <v>8859.708212081965</v>
      </c>
      <c r="BM23" s="2">
        <f t="shared" si="20"/>
        <v>8653.5605756308923</v>
      </c>
      <c r="BN23" s="2">
        <f t="shared" si="20"/>
        <v>2688.2459065233588</v>
      </c>
      <c r="BP23" s="1">
        <f>+datos!EF1</f>
        <v>136</v>
      </c>
      <c r="BQ23" s="1">
        <f t="shared" si="21"/>
        <v>199946</v>
      </c>
      <c r="BR23" s="1">
        <f t="shared" si="21"/>
        <v>204847</v>
      </c>
      <c r="BT23" s="1">
        <f>+datos!GB1</f>
        <v>184</v>
      </c>
      <c r="BU23" s="1">
        <f t="shared" si="22"/>
        <v>19189740</v>
      </c>
      <c r="BV23" s="1">
        <f t="shared" si="22"/>
        <v>14553117</v>
      </c>
      <c r="BX23" s="1">
        <f>+datos!JU1</f>
        <v>281</v>
      </c>
      <c r="BY23" s="1">
        <f t="shared" si="39"/>
        <v>880.38915591000011</v>
      </c>
      <c r="BZ23" s="1">
        <f t="shared" si="40"/>
        <v>984.08463622000011</v>
      </c>
      <c r="CB23" s="1">
        <f>+datos!KZ1</f>
        <v>312</v>
      </c>
      <c r="CC23" s="2">
        <f t="shared" si="23"/>
        <v>13.62988022</v>
      </c>
      <c r="CD23" s="2">
        <f t="shared" si="24"/>
        <v>18.329812500000003</v>
      </c>
      <c r="CF23" s="1">
        <f>+datos!IQ1</f>
        <v>251</v>
      </c>
      <c r="CG23" s="1">
        <f t="shared" si="25"/>
        <v>16.3</v>
      </c>
      <c r="CH23" s="1">
        <f t="shared" si="26"/>
        <v>16.7</v>
      </c>
      <c r="CJ23" s="1">
        <f t="shared" si="43"/>
        <v>84.428757199999993</v>
      </c>
      <c r="CK23" s="1">
        <f t="shared" si="43"/>
        <v>70.799436420000006</v>
      </c>
      <c r="CL23" s="1">
        <f t="shared" si="43"/>
        <v>83.547570889999989</v>
      </c>
      <c r="CM23" s="1">
        <f t="shared" si="43"/>
        <v>59.429446169999991</v>
      </c>
      <c r="CN23" s="1">
        <f t="shared" si="43"/>
        <v>57.397509530000008</v>
      </c>
      <c r="CO23" s="1">
        <f t="shared" si="43"/>
        <v>71.762443020000006</v>
      </c>
      <c r="CP23" s="1">
        <f t="shared" si="43"/>
        <v>76.246675170000003</v>
      </c>
      <c r="CQ23" s="1">
        <f t="shared" si="43"/>
        <v>81.396405279999982</v>
      </c>
      <c r="CR23" s="1">
        <f t="shared" si="43"/>
        <v>86.673250950000011</v>
      </c>
      <c r="CS23" s="1">
        <f t="shared" si="43"/>
        <v>67.769583350000005</v>
      </c>
      <c r="CT23" s="1">
        <f t="shared" si="43"/>
        <v>79.411450110000018</v>
      </c>
      <c r="CU23" s="1">
        <f t="shared" si="43"/>
        <v>61.526627820000002</v>
      </c>
      <c r="CV23" s="1">
        <f t="shared" si="43"/>
        <v>82.508437450000031</v>
      </c>
      <c r="CW23" s="1">
        <f t="shared" si="43"/>
        <v>73.17738731</v>
      </c>
      <c r="CX23" s="1">
        <f t="shared" si="43"/>
        <v>70.498219510000013</v>
      </c>
      <c r="CY23" s="1">
        <f t="shared" si="43"/>
        <v>58.070113270000007</v>
      </c>
      <c r="CZ23" s="1">
        <f t="shared" si="44"/>
        <v>66.649594010000001</v>
      </c>
      <c r="DA23" s="1">
        <f t="shared" si="44"/>
        <v>76.334805869999997</v>
      </c>
      <c r="DB23" s="1">
        <f t="shared" si="44"/>
        <v>77.449795309999999</v>
      </c>
      <c r="DC23" s="1">
        <f t="shared" si="44"/>
        <v>104.26238703999999</v>
      </c>
      <c r="DD23" s="1">
        <f t="shared" si="44"/>
        <v>101.4021353</v>
      </c>
      <c r="DE23" s="1">
        <f t="shared" si="44"/>
        <v>110.27898059000003</v>
      </c>
      <c r="DF23" s="1">
        <f t="shared" si="44"/>
        <v>78.75545163000001</v>
      </c>
      <c r="DG23" s="1">
        <f t="shared" si="44"/>
        <v>84.697328929999998</v>
      </c>
      <c r="DI23" s="1">
        <f t="shared" si="45"/>
        <v>1.3068112300000001</v>
      </c>
      <c r="DJ23" s="1">
        <f t="shared" si="45"/>
        <v>1.01985657</v>
      </c>
      <c r="DK23" s="1">
        <f t="shared" si="45"/>
        <v>0.49471243999999998</v>
      </c>
      <c r="DL23" s="1">
        <f t="shared" si="45"/>
        <v>0.76659119999999992</v>
      </c>
      <c r="DM23" s="1">
        <f t="shared" si="45"/>
        <v>0.41683354000000006</v>
      </c>
      <c r="DN23" s="1">
        <f t="shared" si="45"/>
        <v>1.01193058</v>
      </c>
      <c r="DO23" s="1">
        <f t="shared" si="45"/>
        <v>1.2280305999999999</v>
      </c>
      <c r="DP23" s="1">
        <f t="shared" si="45"/>
        <v>1.7214946800000002</v>
      </c>
      <c r="DQ23" s="1">
        <f t="shared" si="45"/>
        <v>1.3147188099999998</v>
      </c>
      <c r="DR23" s="1">
        <f t="shared" si="45"/>
        <v>1.8704580099999999</v>
      </c>
      <c r="DS23" s="1">
        <f t="shared" si="45"/>
        <v>1.2166211999999998</v>
      </c>
      <c r="DT23" s="1">
        <f t="shared" si="45"/>
        <v>1.2618213600000001</v>
      </c>
      <c r="DU23" s="1">
        <f t="shared" si="45"/>
        <v>2.6711612799999997</v>
      </c>
      <c r="DV23" s="1">
        <f t="shared" si="45"/>
        <v>1.8665371000000002</v>
      </c>
      <c r="DW23" s="1">
        <f t="shared" si="45"/>
        <v>1.1160735099999999</v>
      </c>
      <c r="DX23" s="1">
        <f t="shared" si="45"/>
        <v>0.32453726999999999</v>
      </c>
      <c r="DY23" s="1">
        <f t="shared" si="41"/>
        <v>0.12503209999999998</v>
      </c>
      <c r="DZ23" s="1">
        <f t="shared" si="41"/>
        <v>0.47826376000000004</v>
      </c>
      <c r="EA23" s="1">
        <f t="shared" si="41"/>
        <v>2.89069318</v>
      </c>
      <c r="EB23" s="1">
        <f t="shared" si="41"/>
        <v>1.35471261</v>
      </c>
      <c r="EC23" s="1">
        <f t="shared" si="41"/>
        <v>2.7470526999999998</v>
      </c>
      <c r="ED23" s="1">
        <f t="shared" si="41"/>
        <v>1.8506322900000001</v>
      </c>
      <c r="EE23" s="1">
        <f t="shared" si="41"/>
        <v>1.0900325</v>
      </c>
      <c r="EF23" s="1">
        <f t="shared" si="41"/>
        <v>1.8150842000000003</v>
      </c>
      <c r="EH23" s="14">
        <f t="shared" si="46"/>
        <v>16.3</v>
      </c>
      <c r="EI23" s="14">
        <f t="shared" si="46"/>
        <v>16.3</v>
      </c>
      <c r="EJ23" s="1">
        <f t="shared" si="46"/>
        <v>16.3</v>
      </c>
      <c r="EK23" s="1">
        <f t="shared" si="46"/>
        <v>16.3</v>
      </c>
      <c r="EL23" s="1">
        <f t="shared" si="46"/>
        <v>16.3</v>
      </c>
      <c r="EM23" s="1">
        <f t="shared" si="46"/>
        <v>16.7</v>
      </c>
      <c r="EN23" s="1">
        <f t="shared" si="46"/>
        <v>16.7</v>
      </c>
      <c r="EO23" s="1">
        <f t="shared" si="46"/>
        <v>16.7</v>
      </c>
      <c r="EP23" s="1">
        <f t="shared" si="46"/>
        <v>16.7</v>
      </c>
      <c r="EQ23" s="1">
        <f t="shared" si="46"/>
        <v>16.7</v>
      </c>
      <c r="ER23" s="1">
        <f t="shared" si="46"/>
        <v>16.7</v>
      </c>
      <c r="ES23" s="1">
        <f t="shared" si="46"/>
        <v>16.7</v>
      </c>
      <c r="ET23" s="1">
        <f t="shared" si="46"/>
        <v>16.7</v>
      </c>
      <c r="EU23" s="1">
        <f t="shared" si="46"/>
        <v>16.7</v>
      </c>
      <c r="EV23" s="1">
        <f t="shared" si="46"/>
        <v>16.7</v>
      </c>
      <c r="EW23" s="1">
        <f t="shared" si="46"/>
        <v>16.7</v>
      </c>
      <c r="EX23" s="1">
        <f t="shared" si="42"/>
        <v>16.7</v>
      </c>
      <c r="EY23" s="1">
        <f t="shared" si="42"/>
        <v>18</v>
      </c>
      <c r="EZ23" s="1">
        <f t="shared" si="42"/>
        <v>18</v>
      </c>
      <c r="FA23" s="1">
        <f t="shared" si="42"/>
        <v>18</v>
      </c>
      <c r="FB23" s="1">
        <f t="shared" si="42"/>
        <v>18</v>
      </c>
      <c r="FC23" s="1">
        <f t="shared" si="42"/>
        <v>18</v>
      </c>
      <c r="FD23" s="1">
        <f t="shared" si="42"/>
        <v>18</v>
      </c>
      <c r="FE23" s="1">
        <f t="shared" si="42"/>
        <v>18</v>
      </c>
      <c r="FG23" s="162">
        <f t="shared" si="33"/>
        <v>-1.0403033889635438</v>
      </c>
    </row>
    <row r="24" spans="1:163" ht="18.75" customHeight="1">
      <c r="A24" s="243" t="s">
        <v>39</v>
      </c>
      <c r="B24" s="246"/>
      <c r="C24" s="156">
        <f t="shared" si="5"/>
        <v>-0.66</v>
      </c>
      <c r="D24" s="198">
        <v>-1</v>
      </c>
      <c r="E24" s="248">
        <f t="shared" si="6"/>
        <v>-0.12</v>
      </c>
      <c r="F24" s="249">
        <f t="shared" si="7"/>
        <v>-0.16176327882665154</v>
      </c>
      <c r="G24" s="248">
        <f t="shared" si="8"/>
        <v>3.6409003183623501E-2</v>
      </c>
      <c r="H24" s="249">
        <f t="shared" si="9"/>
        <v>-0.1564090031836235</v>
      </c>
      <c r="I24" s="248">
        <f t="shared" si="10"/>
        <v>1.9464285714285716</v>
      </c>
      <c r="J24" s="249">
        <f t="shared" si="11"/>
        <v>-0.81764957681138917</v>
      </c>
      <c r="K24" s="248">
        <f t="shared" si="34"/>
        <v>2.9973803595640702</v>
      </c>
      <c r="L24" s="249">
        <f t="shared" si="12"/>
        <v>-1.0509517881354986</v>
      </c>
      <c r="M24" s="250"/>
      <c r="N24" s="24">
        <v>0</v>
      </c>
      <c r="O24" s="248">
        <f t="shared" si="35"/>
        <v>3.6432873308666736E-2</v>
      </c>
      <c r="P24" s="251">
        <f t="shared" si="36"/>
        <v>3.6432873308666736E-2</v>
      </c>
      <c r="Q24" s="248">
        <f t="shared" si="13"/>
        <v>0.13765514510051036</v>
      </c>
      <c r="R24" s="251">
        <f t="shared" si="37"/>
        <v>0.13765514510051036</v>
      </c>
      <c r="S24" s="250"/>
      <c r="T24" s="24">
        <v>-1</v>
      </c>
      <c r="U24" s="248">
        <f t="shared" si="14"/>
        <v>-7.0278647934479022E-2</v>
      </c>
      <c r="V24" s="252">
        <f t="shared" si="15"/>
        <v>-7.0278647934479022E-2</v>
      </c>
      <c r="W24" s="248">
        <f t="shared" si="38"/>
        <v>0.10167796974278032</v>
      </c>
      <c r="X24" s="252"/>
      <c r="Y24" s="248">
        <f t="shared" si="17"/>
        <v>-9.2922519141609095E-2</v>
      </c>
      <c r="Z24" s="252">
        <f t="shared" si="18"/>
        <v>-9.2922519141609095E-2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P24" s="28">
        <f>VLOOKUP($A24,historia!$A$5:$CM$24,+HLOOKUP(AP$2,historia!$A$3:$EC$4,2,FALSE),FALSE)</f>
        <v>2</v>
      </c>
      <c r="AQ24" s="28">
        <f>VLOOKUP($A24,historia!$A$5:$CM$24,+HLOOKUP(AQ$2,historia!$A$3:$EC$4,2,FALSE),FALSE)</f>
        <v>2</v>
      </c>
      <c r="AR24" s="28">
        <f>VLOOKUP($A24,historia!$A$5:$CM$24,+HLOOKUP(AR$2,historia!$A$3:$EC$4,2,FALSE),FALSE)</f>
        <v>2</v>
      </c>
      <c r="AS24" s="28">
        <f>VLOOKUP($A24,historia!$A$5:$CM$24,+HLOOKUP(AS$2,historia!$A$3:$EC$4,2,FALSE),FALSE)</f>
        <v>2</v>
      </c>
      <c r="AT24" s="58">
        <f>VLOOKUP($A24,historia!$A$5:$CM$24,+HLOOKUP(AT$2,historia!$A$3:$EC$4,2,FALSE),FALSE)</f>
        <v>2</v>
      </c>
      <c r="AU24" s="58">
        <f>VLOOKUP($A24,historia!$A$5:$CM$24,+HLOOKUP(AU$2,historia!$A$3:$EC$4,2,FALSE),FALSE)</f>
        <v>2</v>
      </c>
      <c r="AV24" s="58">
        <f>VLOOKUP($A24,historia!$A$5:$CM$24,+HLOOKUP(AV$2,historia!$A$3:$EC$4,2,FALSE),FALSE)</f>
        <v>3</v>
      </c>
      <c r="AW24" s="58">
        <f>VLOOKUP($A24,historia!$A$5:$CM$24,+HLOOKUP(AW$2,historia!$A$3:$EC$4,2,FALSE),FALSE)</f>
        <v>2</v>
      </c>
      <c r="AX24" s="58">
        <f>VLOOKUP($A24,historia!$A$5:$CM$24,+HLOOKUP(AX$2,historia!$A$3:$EC$4,2,FALSE),FALSE)</f>
        <v>2</v>
      </c>
      <c r="AY24" s="58">
        <f>VLOOKUP($A24,historia!$A$5:$CM$24,+HLOOKUP(AY$2,historia!$A$3:$EC$4,2,FALSE),FALSE)</f>
        <v>2</v>
      </c>
      <c r="AZ24" s="58">
        <f>VLOOKUP($A24,historia!$A$5:$CM$24,+HLOOKUP(AZ$2,historia!$A$3:$EC$4,2,FALSE),FALSE)</f>
        <v>4</v>
      </c>
      <c r="BA24" s="58">
        <f>VLOOKUP($A24,historia!$A$5:$CM$24,+HLOOKUP(BA$2,historia!$A$3:$EC$4,2,FALSE),FALSE)</f>
        <v>4</v>
      </c>
      <c r="BB24" s="30"/>
      <c r="BC24" s="141">
        <v>4</v>
      </c>
      <c r="BD24" t="str">
        <f t="shared" si="19"/>
        <v>Yerba Mate</v>
      </c>
      <c r="BE24">
        <f>+datos!AG1</f>
        <v>33</v>
      </c>
      <c r="BF24" s="2" t="str">
        <f t="shared" si="4"/>
        <v>$/t</v>
      </c>
      <c r="BG24" s="2">
        <f t="shared" si="4"/>
        <v>330000</v>
      </c>
      <c r="BH24" s="2">
        <f t="shared" si="4"/>
        <v>375000</v>
      </c>
      <c r="BI24" s="2">
        <f t="shared" si="4"/>
        <v>112000</v>
      </c>
      <c r="BK24">
        <f>+datos!CY1</f>
        <v>103</v>
      </c>
      <c r="BL24" s="2">
        <f t="shared" si="20"/>
        <v>7388.5155677444718</v>
      </c>
      <c r="BM24" s="2">
        <f t="shared" si="20"/>
        <v>7128.9573373528756</v>
      </c>
      <c r="BN24" s="2">
        <f t="shared" si="20"/>
        <v>1848.3393880862061</v>
      </c>
      <c r="BP24" s="1">
        <f>+datos!ED1</f>
        <v>134</v>
      </c>
      <c r="BQ24" s="1">
        <f t="shared" si="21"/>
        <v>230256</v>
      </c>
      <c r="BR24" s="1">
        <f t="shared" si="21"/>
        <v>222162</v>
      </c>
      <c r="BT24" s="1">
        <f>+datos!FZ1</f>
        <v>182</v>
      </c>
      <c r="BU24" s="1">
        <f t="shared" si="22"/>
        <v>952034.5</v>
      </c>
      <c r="BV24" s="1">
        <f t="shared" si="22"/>
        <v>836839.26899999997</v>
      </c>
      <c r="BX24" s="1">
        <f>+datos!KD1</f>
        <v>290</v>
      </c>
      <c r="BY24" s="1">
        <f t="shared" si="39"/>
        <v>111.16117792000001</v>
      </c>
      <c r="BZ24" s="1">
        <f t="shared" si="40"/>
        <v>119.56397223000002</v>
      </c>
      <c r="CB24" s="1">
        <f>+datos!LI1</f>
        <v>321</v>
      </c>
      <c r="CC24" s="2">
        <f t="shared" si="23"/>
        <v>23.179315389999999</v>
      </c>
      <c r="CD24" s="2">
        <f t="shared" si="24"/>
        <v>21.040009900000001</v>
      </c>
      <c r="CF24" s="1">
        <f>+datos!IP1</f>
        <v>250</v>
      </c>
      <c r="CG24" s="1">
        <f t="shared" si="25"/>
        <v>5.5693606783423002</v>
      </c>
      <c r="CH24" s="1">
        <f t="shared" si="26"/>
        <v>6.139895208369488</v>
      </c>
      <c r="CJ24" s="1">
        <f t="shared" si="43"/>
        <v>7.2906957700000001</v>
      </c>
      <c r="CK24" s="1">
        <f t="shared" si="43"/>
        <v>8.852789640000001</v>
      </c>
      <c r="CL24" s="1">
        <f t="shared" si="43"/>
        <v>12.408222910000001</v>
      </c>
      <c r="CM24" s="1">
        <f t="shared" si="43"/>
        <v>8.8663402400000013</v>
      </c>
      <c r="CN24" s="1">
        <f t="shared" si="43"/>
        <v>9.2397224899999983</v>
      </c>
      <c r="CO24" s="1">
        <f t="shared" si="43"/>
        <v>7.1224329199999996</v>
      </c>
      <c r="CP24" s="1">
        <f t="shared" si="43"/>
        <v>8.6156523299999996</v>
      </c>
      <c r="CQ24" s="1">
        <f t="shared" si="43"/>
        <v>10.17972451</v>
      </c>
      <c r="CR24" s="1">
        <f t="shared" si="43"/>
        <v>11.833514059999999</v>
      </c>
      <c r="CS24" s="1">
        <f t="shared" si="43"/>
        <v>8.6649559600000003</v>
      </c>
      <c r="CT24" s="1">
        <f t="shared" si="43"/>
        <v>8.6995030900000003</v>
      </c>
      <c r="CU24" s="1">
        <f t="shared" si="43"/>
        <v>9.3876240000000006</v>
      </c>
      <c r="CV24" s="1">
        <f t="shared" si="43"/>
        <v>8.6499339499999994</v>
      </c>
      <c r="CW24" s="1">
        <f t="shared" si="43"/>
        <v>10.5511423</v>
      </c>
      <c r="CX24" s="1">
        <f t="shared" si="43"/>
        <v>12.484662230000001</v>
      </c>
      <c r="CY24" s="1">
        <f t="shared" si="43"/>
        <v>8.9774099899999982</v>
      </c>
      <c r="CZ24" s="1">
        <f t="shared" si="44"/>
        <v>3.3752363299999999</v>
      </c>
      <c r="DA24" s="1">
        <f t="shared" si="44"/>
        <v>8.5781493200000014</v>
      </c>
      <c r="DB24" s="1">
        <f t="shared" si="44"/>
        <v>11.086418249999999</v>
      </c>
      <c r="DC24" s="1">
        <f t="shared" si="44"/>
        <v>17.188054299999997</v>
      </c>
      <c r="DD24" s="1">
        <f t="shared" si="44"/>
        <v>10.47783802</v>
      </c>
      <c r="DE24" s="1">
        <f t="shared" si="44"/>
        <v>9.5575243299999997</v>
      </c>
      <c r="DF24" s="1">
        <f t="shared" si="44"/>
        <v>7.6485664300000016</v>
      </c>
      <c r="DG24" s="1">
        <f t="shared" si="44"/>
        <v>10.989036779999999</v>
      </c>
      <c r="DI24" s="1">
        <f t="shared" si="45"/>
        <v>1.50586095</v>
      </c>
      <c r="DJ24" s="1">
        <f t="shared" si="45"/>
        <v>3.2398820599999998</v>
      </c>
      <c r="DK24" s="1">
        <f t="shared" si="45"/>
        <v>3.1775986299999999</v>
      </c>
      <c r="DL24" s="1">
        <f t="shared" si="45"/>
        <v>2.4176205400000002</v>
      </c>
      <c r="DM24" s="1">
        <f t="shared" si="45"/>
        <v>1.0621514699999999</v>
      </c>
      <c r="DN24" s="1">
        <f t="shared" si="45"/>
        <v>1.8796713600000001</v>
      </c>
      <c r="DO24" s="1">
        <f t="shared" si="45"/>
        <v>2.4189343299999999</v>
      </c>
      <c r="DP24" s="1">
        <f t="shared" si="45"/>
        <v>2.31537419</v>
      </c>
      <c r="DQ24" s="1">
        <f t="shared" si="45"/>
        <v>1.6581343500000001</v>
      </c>
      <c r="DR24" s="1">
        <f t="shared" si="45"/>
        <v>1.1317222</v>
      </c>
      <c r="DS24" s="1">
        <f t="shared" si="45"/>
        <v>1.25031731</v>
      </c>
      <c r="DT24" s="1">
        <f t="shared" si="45"/>
        <v>1.1220479999999999</v>
      </c>
      <c r="DU24" s="1">
        <f t="shared" si="45"/>
        <v>1.06290057</v>
      </c>
      <c r="DV24" s="1">
        <f t="shared" si="45"/>
        <v>0.94532128999999998</v>
      </c>
      <c r="DW24" s="1">
        <f t="shared" si="45"/>
        <v>0.74918092999999997</v>
      </c>
      <c r="DX24" s="1">
        <f t="shared" si="45"/>
        <v>0.38311624</v>
      </c>
      <c r="DY24" s="1">
        <f t="shared" si="41"/>
        <v>0.75479300000000005</v>
      </c>
      <c r="DZ24" s="1">
        <f t="shared" si="41"/>
        <v>0.25391999999999998</v>
      </c>
      <c r="EA24" s="1">
        <f t="shared" si="41"/>
        <v>0.77264063999999999</v>
      </c>
      <c r="EB24" s="1">
        <f t="shared" si="41"/>
        <v>0.73566756000000011</v>
      </c>
      <c r="EC24" s="1">
        <f t="shared" si="41"/>
        <v>2.5187011699999999</v>
      </c>
      <c r="ED24" s="1">
        <f t="shared" si="41"/>
        <v>5.4787536300000008</v>
      </c>
      <c r="EE24" s="1">
        <f t="shared" si="41"/>
        <v>3.3605493799999997</v>
      </c>
      <c r="EF24" s="1">
        <f t="shared" si="41"/>
        <v>4.0244654899999999</v>
      </c>
      <c r="EH24" s="14">
        <f t="shared" si="46"/>
        <v>5.5693606783423002</v>
      </c>
      <c r="EI24" s="14">
        <f t="shared" si="46"/>
        <v>5.5693606783423002</v>
      </c>
      <c r="EJ24" s="1">
        <f t="shared" si="46"/>
        <v>5.5693606783423002</v>
      </c>
      <c r="EK24" s="1">
        <f t="shared" si="46"/>
        <v>5.5693606783423002</v>
      </c>
      <c r="EL24" s="1">
        <f t="shared" si="46"/>
        <v>5.5693606783423002</v>
      </c>
      <c r="EM24" s="1">
        <f t="shared" si="46"/>
        <v>6.139895208369488</v>
      </c>
      <c r="EN24" s="1">
        <f t="shared" si="46"/>
        <v>6.139895208369488</v>
      </c>
      <c r="EO24" s="1">
        <f t="shared" si="46"/>
        <v>6.139895208369488</v>
      </c>
      <c r="EP24" s="1">
        <f t="shared" si="46"/>
        <v>6.139895208369488</v>
      </c>
      <c r="EQ24" s="1">
        <f t="shared" si="46"/>
        <v>6.139895208369488</v>
      </c>
      <c r="ER24" s="1">
        <f t="shared" si="46"/>
        <v>6.139895208369488</v>
      </c>
      <c r="ES24" s="1">
        <f t="shared" si="46"/>
        <v>6.139895208369488</v>
      </c>
      <c r="ET24" s="1">
        <f t="shared" si="46"/>
        <v>6.139895208369488</v>
      </c>
      <c r="EU24" s="1">
        <f t="shared" si="46"/>
        <v>6.139895208369488</v>
      </c>
      <c r="EV24" s="1">
        <f t="shared" si="46"/>
        <v>6.139895208369488</v>
      </c>
      <c r="EW24" s="1">
        <f t="shared" si="46"/>
        <v>6.139895208369488</v>
      </c>
      <c r="EX24" s="1">
        <f t="shared" si="42"/>
        <v>6.139895208369488</v>
      </c>
      <c r="EY24" s="1">
        <f t="shared" si="42"/>
        <v>5.9356067942694777</v>
      </c>
      <c r="EZ24" s="1">
        <f t="shared" si="42"/>
        <v>5.9356067942694777</v>
      </c>
      <c r="FA24" s="1">
        <f t="shared" si="42"/>
        <v>5.9356067942694777</v>
      </c>
      <c r="FB24" s="1">
        <f t="shared" si="42"/>
        <v>5.9356067942694777</v>
      </c>
      <c r="FC24" s="1">
        <f t="shared" si="42"/>
        <v>5.9356067942694777</v>
      </c>
      <c r="FD24" s="1">
        <f t="shared" si="42"/>
        <v>5.9356067942694777</v>
      </c>
      <c r="FE24" s="1">
        <f t="shared" si="42"/>
        <v>5.9356067942694777</v>
      </c>
      <c r="FG24" s="162">
        <f t="shared" si="33"/>
        <v>-1.0509517881354986</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7"/>
        <v/>
      </c>
      <c r="Z25" s="194"/>
      <c r="AA25" s="30"/>
      <c r="AB25" s="57"/>
      <c r="AO25" s="57"/>
      <c r="AT25" s="58"/>
      <c r="AU25" s="58"/>
      <c r="AV25" s="58"/>
      <c r="AW25" s="58"/>
      <c r="AX25" s="58"/>
      <c r="AY25" s="58"/>
      <c r="AZ25" s="58"/>
      <c r="BA25" s="58"/>
      <c r="BB25" s="30"/>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E26" s="12">
        <f>+AVERAGE(E6:E24)</f>
        <v>3.8594577694020658E-2</v>
      </c>
      <c r="F26" s="37">
        <f>+E26-$I$3</f>
        <v>-2.7254835705459399</v>
      </c>
      <c r="G26" s="12">
        <f>+AVERAGE(G6:G24)</f>
        <v>4.1616280040634203E-2</v>
      </c>
      <c r="I26" s="12">
        <f>+AVERAGEIF(I6:I24,"&gt;211%")</f>
        <v>3.0108281946302089</v>
      </c>
      <c r="J26" s="37">
        <f t="shared" si="11"/>
        <v>0.24675004639024811</v>
      </c>
      <c r="K26" s="12">
        <f>+AVERAGE(K6:K24)</f>
        <v>2.6514442169511216</v>
      </c>
      <c r="O26" s="12">
        <f>+AVERAGE(O6:O24)</f>
        <v>1.942286442884282E-2</v>
      </c>
      <c r="AB26" s="57"/>
      <c r="AO26" s="57"/>
    </row>
    <row r="27" spans="1:163" ht="18.75" customHeight="1">
      <c r="I27" s="12">
        <f>+AVERAGEIF(I6:I24,"&lt;211%")</f>
        <v>1.5113179185171799</v>
      </c>
      <c r="K27" s="177">
        <f>+SUBTOTAL(101,K6:K21)</f>
        <v>2.6279755846422614</v>
      </c>
      <c r="V27" t="s">
        <v>167</v>
      </c>
      <c r="X27" s="162"/>
      <c r="BC27" s="141" t="s">
        <v>273</v>
      </c>
      <c r="BQ27" s="1">
        <f>+SUM(BQ6:BQ24)</f>
        <v>114990703</v>
      </c>
      <c r="BR27" s="1">
        <f>+SUM(BR6:BR24)</f>
        <v>114950970</v>
      </c>
      <c r="BU27" s="1">
        <f>+SUM(BU6:BU24)</f>
        <v>163494672.93749589</v>
      </c>
      <c r="BV27" s="1">
        <f>+SUM(BV6:BV24)</f>
        <v>119299318.18699998</v>
      </c>
      <c r="BY27" s="1">
        <f>+SUM(BY6:BY24)</f>
        <v>50691.723292039998</v>
      </c>
      <c r="BZ27" s="1">
        <f>+SUM(BZ6:BZ24)</f>
        <v>60625.717726780007</v>
      </c>
      <c r="CC27" s="1">
        <f>+SUM(CC6:CC24)</f>
        <v>4940.1527173000004</v>
      </c>
      <c r="CD27" s="1">
        <f>+SUM(CD6:CD24)</f>
        <v>4421.9955253399985</v>
      </c>
      <c r="FG27" s="167">
        <f>+COUNTIF(FG6:FG24,"&gt;0")</f>
        <v>9</v>
      </c>
    </row>
    <row r="28" spans="1:163" ht="18.75" customHeight="1">
      <c r="A28" s="11">
        <f>+COUNTIF($C$6:$C$24,"&lt;0")</f>
        <v>9</v>
      </c>
      <c r="C28" s="156">
        <v>-1</v>
      </c>
      <c r="E28" s="167">
        <f>+COUNTIF($I$6:$I$24,"&lt;1,69")</f>
        <v>4</v>
      </c>
      <c r="F28" s="29">
        <v>-1</v>
      </c>
      <c r="I28" s="167">
        <f>+COUNTIF($I$6:$I$24,"&lt;1,69")</f>
        <v>4</v>
      </c>
      <c r="J28" s="29">
        <v>-1</v>
      </c>
      <c r="K28">
        <f>+COUNTIF($L$6:$L$24,"&lt;0")</f>
        <v>10</v>
      </c>
      <c r="L28" s="29">
        <v>-1</v>
      </c>
      <c r="O28">
        <f>+COUNTIF($P$6:$P$24,"&lt;0")</f>
        <v>6</v>
      </c>
      <c r="P28" s="262">
        <v>-1</v>
      </c>
      <c r="Q28">
        <f>+COUNTIF($R$6:$R$24,"&lt;0")</f>
        <v>10</v>
      </c>
      <c r="R28" s="262">
        <v>-1</v>
      </c>
      <c r="T28" s="57">
        <f>+COUNTIF($U$6:$U$24,"&lt;0")</f>
        <v>13</v>
      </c>
      <c r="U28" s="29">
        <v>-1</v>
      </c>
      <c r="BR28" t="s">
        <v>491</v>
      </c>
      <c r="BU28" s="167">
        <f>+SUMIFS(BU6:BU24,BC6:BC24,5)+SUMIFS(BU6:BU24,BC6:BC24,4)</f>
        <v>153483147.26449591</v>
      </c>
      <c r="BY28" s="10">
        <f>+BY27/BZ27-1</f>
        <v>-0.16385776213832592</v>
      </c>
      <c r="CC28" s="10">
        <f>+CC27/CD27-1</f>
        <v>0.11717723118233181</v>
      </c>
    </row>
    <row r="29" spans="1:163" ht="18.75" customHeight="1">
      <c r="A29" s="11">
        <f>+COUNTIF($C$6:$C$24,C29)</f>
        <v>6</v>
      </c>
      <c r="C29" s="156">
        <v>0</v>
      </c>
      <c r="E29" s="167">
        <f>+COUNTIF($I$6:$I$24,"=1,69")</f>
        <v>0</v>
      </c>
      <c r="F29" s="29">
        <v>0</v>
      </c>
      <c r="I29" s="167">
        <f>+COUNTIF($I$6:$I$24,"=1,69")</f>
        <v>0</v>
      </c>
      <c r="J29" s="29">
        <v>0</v>
      </c>
      <c r="L29" s="29">
        <v>0</v>
      </c>
      <c r="O29">
        <f>+COUNTIF($P$6:$P$24,"=0")</f>
        <v>3</v>
      </c>
      <c r="P29" s="262">
        <v>0</v>
      </c>
      <c r="Q29">
        <f>+COUNTIF($R$6:$R$24,"=0")</f>
        <v>1</v>
      </c>
      <c r="R29" s="262">
        <v>0</v>
      </c>
      <c r="T29" s="57">
        <f>+COUNTIF($U$6:$U$24,"=0")</f>
        <v>0</v>
      </c>
      <c r="U29" s="29">
        <v>0</v>
      </c>
      <c r="BR29" t="s">
        <v>492</v>
      </c>
      <c r="BU29" s="167">
        <f>+SUMIFS(BU6:BU24,BC6:BC24,3)</f>
        <v>6072139.6730000004</v>
      </c>
    </row>
    <row r="30" spans="1:163" ht="18.75" customHeight="1">
      <c r="A30" s="11">
        <f>+COUNTIF($C$6:$C$24,"&gt;0")</f>
        <v>4</v>
      </c>
      <c r="C30" s="156">
        <v>1</v>
      </c>
      <c r="E30" s="167">
        <f>+COUNTIF($I$6:$I$24,"&gt;1,69")</f>
        <v>15</v>
      </c>
      <c r="F30" s="29">
        <v>1</v>
      </c>
      <c r="I30" s="167">
        <f>+COUNTIF($I$6:$I$24,"&gt;1,69")</f>
        <v>15</v>
      </c>
      <c r="J30" s="29">
        <v>1</v>
      </c>
      <c r="K30">
        <f>+COUNTIF($L$6:$L$24,"&gt;0")</f>
        <v>9</v>
      </c>
      <c r="L30" s="29">
        <v>1</v>
      </c>
      <c r="O30">
        <f>+COUNTIF($P$6:$P$24,"&gt;0")</f>
        <v>9</v>
      </c>
      <c r="P30" s="262">
        <v>1</v>
      </c>
      <c r="Q30">
        <f>+COUNTIF($R$6:$R$24,"&gt;0")</f>
        <v>8</v>
      </c>
      <c r="R30" s="262">
        <v>1</v>
      </c>
      <c r="T30" s="57">
        <f>+COUNTIF($U$6:$U$24,"&gt;0")</f>
        <v>5</v>
      </c>
      <c r="U30" s="29">
        <v>1</v>
      </c>
      <c r="X30" s="14"/>
      <c r="BR30" t="s">
        <v>493</v>
      </c>
      <c r="BU30" s="167">
        <f>+SUMIFS(BU6:BU24,BC6:BC24,1)+SUMIFS(BU6:BU24,BC6:BC24,2)</f>
        <v>3939386</v>
      </c>
      <c r="BX30" s="1"/>
    </row>
    <row r="31" spans="1:163" ht="18.75" customHeight="1">
      <c r="K31" s="12"/>
    </row>
    <row r="32" spans="1:163" ht="18.75" customHeight="1">
      <c r="C32" s="157"/>
      <c r="I32" s="14">
        <f>+COUNTIF(I6:I24,"&gt;211%")</f>
        <v>11</v>
      </c>
      <c r="J32" s="14"/>
      <c r="K32" s="14"/>
      <c r="Y32" s="163"/>
    </row>
    <row r="33" spans="1:164" ht="18.75" customHeight="1">
      <c r="C33" s="157"/>
      <c r="I33" s="12">
        <f>+I26/2</f>
        <v>1.5054140973151044</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28"/>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28"/>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28"/>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28"/>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28"/>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28"/>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28"/>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28"/>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28"/>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28"/>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5">
      <iconSet>
        <cfvo type="percent" val="0"/>
        <cfvo type="num" val="0"/>
        <cfvo type="num" val="0" gte="0"/>
      </iconSet>
    </cfRule>
  </conditionalFormatting>
  <conditionalFormatting sqref="C28:C30">
    <cfRule type="iconSet" priority="39">
      <iconSet>
        <cfvo type="percent" val="0"/>
        <cfvo type="num" val="0"/>
        <cfvo type="num" val="0" gte="0"/>
      </iconSet>
    </cfRule>
  </conditionalFormatting>
  <conditionalFormatting sqref="D6:D25">
    <cfRule type="iconSet" priority="44">
      <iconSet>
        <cfvo type="percent" val="0"/>
        <cfvo type="num" val="0"/>
        <cfvo type="num" val="0" gte="0"/>
      </iconSet>
    </cfRule>
  </conditionalFormatting>
  <conditionalFormatting sqref="F6:F16 F19:F25">
    <cfRule type="iconSet" priority="40">
      <iconSet>
        <cfvo type="percent" val="0"/>
        <cfvo type="num" val="0"/>
        <cfvo type="num" val="0" gte="0"/>
      </iconSet>
    </cfRule>
  </conditionalFormatting>
  <conditionalFormatting sqref="F17:F18">
    <cfRule type="iconSet" priority="10">
      <iconSet>
        <cfvo type="percent" val="0"/>
        <cfvo type="num" val="0"/>
        <cfvo type="num" val="0" gte="0"/>
      </iconSet>
    </cfRule>
  </conditionalFormatting>
  <conditionalFormatting sqref="F28:F30">
    <cfRule type="iconSet" priority="4">
      <iconSet>
        <cfvo type="percent" val="0"/>
        <cfvo type="num" val="0"/>
        <cfvo type="num" val="0" gte="0"/>
      </iconSet>
    </cfRule>
  </conditionalFormatting>
  <conditionalFormatting sqref="H6:H7 H9 H11:H25">
    <cfRule type="iconSet" priority="37">
      <iconSet>
        <cfvo type="percent" val="0"/>
        <cfvo type="num" val="0"/>
        <cfvo type="num" val="0" gte="0"/>
      </iconSet>
    </cfRule>
  </conditionalFormatting>
  <conditionalFormatting sqref="H8">
    <cfRule type="iconSet" priority="8">
      <iconSet>
        <cfvo type="percent" val="0"/>
        <cfvo type="num" val="0"/>
        <cfvo type="num" val="0" gte="0"/>
      </iconSet>
    </cfRule>
  </conditionalFormatting>
  <conditionalFormatting sqref="H10">
    <cfRule type="iconSet" priority="35">
      <iconSet>
        <cfvo type="percent" val="0"/>
        <cfvo type="num" val="0"/>
        <cfvo type="num" val="0" gte="0"/>
      </iconSet>
    </cfRule>
  </conditionalFormatting>
  <conditionalFormatting sqref="J6:J9 J11:J16 J19:J25">
    <cfRule type="iconSet" priority="38">
      <iconSet>
        <cfvo type="percent" val="0"/>
        <cfvo type="num" val="0"/>
        <cfvo type="num" val="0" gte="0"/>
      </iconSet>
    </cfRule>
  </conditionalFormatting>
  <conditionalFormatting sqref="J10">
    <cfRule type="iconSet" priority="36">
      <iconSet>
        <cfvo type="percent" val="0"/>
        <cfvo type="num" val="0"/>
        <cfvo type="num" val="0" gte="0"/>
      </iconSet>
    </cfRule>
  </conditionalFormatting>
  <conditionalFormatting sqref="J17">
    <cfRule type="iconSet" priority="9">
      <iconSet>
        <cfvo type="percent" val="0"/>
        <cfvo type="num" val="0"/>
        <cfvo type="num" val="0" gte="0"/>
      </iconSet>
    </cfRule>
  </conditionalFormatting>
  <conditionalFormatting sqref="J18">
    <cfRule type="iconSet" priority="1">
      <iconSet>
        <cfvo type="percent" val="0"/>
        <cfvo type="num" val="0"/>
        <cfvo type="num" val="0" gte="0"/>
      </iconSet>
    </cfRule>
  </conditionalFormatting>
  <conditionalFormatting sqref="J28:J30">
    <cfRule type="iconSet" priority="6">
      <iconSet>
        <cfvo type="percent" val="0"/>
        <cfvo type="num" val="0"/>
        <cfvo type="num" val="0" gte="0"/>
      </iconSet>
    </cfRule>
  </conditionalFormatting>
  <conditionalFormatting sqref="L6:L9 L11:L25">
    <cfRule type="iconSet" priority="46">
      <iconSet>
        <cfvo type="percent" val="0"/>
        <cfvo type="num" val="0"/>
        <cfvo type="num" val="0" gte="0"/>
      </iconSet>
    </cfRule>
  </conditionalFormatting>
  <conditionalFormatting sqref="L10">
    <cfRule type="iconSet" priority="47">
      <iconSet>
        <cfvo type="percent" val="0"/>
        <cfvo type="num" val="0"/>
        <cfvo type="num" val="0" gte="0"/>
      </iconSet>
    </cfRule>
  </conditionalFormatting>
  <conditionalFormatting sqref="L28:L30">
    <cfRule type="iconSet" priority="5">
      <iconSet>
        <cfvo type="percent" val="0"/>
        <cfvo type="num" val="0"/>
        <cfvo type="num" val="0" gte="0"/>
      </iconSet>
    </cfRule>
  </conditionalFormatting>
  <conditionalFormatting sqref="M6:M25">
    <cfRule type="iconSet" priority="41">
      <iconSet>
        <cfvo type="percent" val="0"/>
        <cfvo type="num" val="0"/>
        <cfvo type="num" val="0" gte="0"/>
      </iconSet>
    </cfRule>
  </conditionalFormatting>
  <conditionalFormatting sqref="N6:N25">
    <cfRule type="iconSet" priority="34">
      <iconSet>
        <cfvo type="percent" val="0"/>
        <cfvo type="num" val="0"/>
        <cfvo type="num" val="0" gte="0"/>
      </iconSet>
    </cfRule>
  </conditionalFormatting>
  <conditionalFormatting sqref="P6:P9 P11:P25">
    <cfRule type="iconSet" priority="42">
      <iconSet>
        <cfvo type="percent" val="0"/>
        <cfvo type="num" val="0"/>
        <cfvo type="num" val="0" gte="0"/>
      </iconSet>
    </cfRule>
  </conditionalFormatting>
  <conditionalFormatting sqref="P10">
    <cfRule type="iconSet" priority="13">
      <iconSet>
        <cfvo type="percent" val="0"/>
        <cfvo type="num" val="0"/>
        <cfvo type="num" val="0" gte="0"/>
      </iconSet>
    </cfRule>
  </conditionalFormatting>
  <conditionalFormatting sqref="P28:P30">
    <cfRule type="iconSet" priority="26">
      <iconSet>
        <cfvo type="percent" val="0"/>
        <cfvo type="num" val="0"/>
        <cfvo type="num" val="0" gte="0"/>
      </iconSet>
    </cfRule>
  </conditionalFormatting>
  <conditionalFormatting sqref="R6:R15 R17:R25">
    <cfRule type="iconSet" priority="43">
      <iconSet>
        <cfvo type="percent" val="0"/>
        <cfvo type="num" val="0"/>
        <cfvo type="num" val="0" gte="0"/>
      </iconSet>
    </cfRule>
  </conditionalFormatting>
  <conditionalFormatting sqref="R16">
    <cfRule type="iconSet" priority="2">
      <iconSet>
        <cfvo type="percent" val="0"/>
        <cfvo type="num" val="0"/>
        <cfvo type="num" val="0" gte="0"/>
      </iconSet>
    </cfRule>
  </conditionalFormatting>
  <conditionalFormatting sqref="R28:R30">
    <cfRule type="iconSet" priority="25">
      <iconSet>
        <cfvo type="percent" val="0"/>
        <cfvo type="num" val="0"/>
        <cfvo type="num" val="0" gte="0"/>
      </iconSet>
    </cfRule>
  </conditionalFormatting>
  <conditionalFormatting sqref="S6:S25">
    <cfRule type="iconSet" priority="29">
      <iconSet>
        <cfvo type="percent" val="0"/>
        <cfvo type="num" val="0"/>
        <cfvo type="num" val="0" gte="0"/>
      </iconSet>
    </cfRule>
  </conditionalFormatting>
  <conditionalFormatting sqref="T6:T25">
    <cfRule type="iconSet" priority="33">
      <iconSet>
        <cfvo type="percent" val="0"/>
        <cfvo type="num" val="0"/>
        <cfvo type="num" val="0" gte="0"/>
      </iconSet>
    </cfRule>
  </conditionalFormatting>
  <conditionalFormatting sqref="U28:U30">
    <cfRule type="iconSet" priority="7">
      <iconSet>
        <cfvo type="percent" val="0"/>
        <cfvo type="num" val="0"/>
        <cfvo type="num" val="0" gte="0"/>
      </iconSet>
    </cfRule>
  </conditionalFormatting>
  <conditionalFormatting sqref="V6:V10 V16:V25 V12:V14">
    <cfRule type="iconSet" priority="32">
      <iconSet>
        <cfvo type="percent" val="0"/>
        <cfvo type="num" val="0"/>
        <cfvo type="num" val="0" gte="0"/>
      </iconSet>
    </cfRule>
  </conditionalFormatting>
  <conditionalFormatting sqref="V11">
    <cfRule type="iconSet" priority="12">
      <iconSet>
        <cfvo type="percent" val="0"/>
        <cfvo type="num" val="0"/>
        <cfvo type="num" val="0" gte="0"/>
      </iconSet>
    </cfRule>
  </conditionalFormatting>
  <conditionalFormatting sqref="V15">
    <cfRule type="iconSet" priority="28">
      <iconSet>
        <cfvo type="percent" val="0"/>
        <cfvo type="num" val="0"/>
        <cfvo type="num" val="0" gte="0"/>
      </iconSet>
    </cfRule>
  </conditionalFormatting>
  <conditionalFormatting sqref="X6:X10 X12:X23">
    <cfRule type="iconSet" priority="31">
      <iconSet reverse="1">
        <cfvo type="percent" val="0"/>
        <cfvo type="num" val="0"/>
        <cfvo type="num" val="0" gte="0"/>
      </iconSet>
    </cfRule>
  </conditionalFormatting>
  <conditionalFormatting sqref="X11">
    <cfRule type="iconSet" priority="11">
      <iconSet reverse="1">
        <cfvo type="percent" val="0"/>
        <cfvo type="num" val="0"/>
        <cfvo type="num" val="0" gte="0"/>
      </iconSet>
    </cfRule>
  </conditionalFormatting>
  <conditionalFormatting sqref="X24:X25">
    <cfRule type="iconSet" priority="27">
      <iconSet reverse="1">
        <cfvo type="percent" val="0"/>
        <cfvo type="num" val="0"/>
        <cfvo type="num" val="0" gte="0"/>
      </iconSet>
    </cfRule>
  </conditionalFormatting>
  <conditionalFormatting sqref="Z6">
    <cfRule type="iconSet" priority="22">
      <iconSet>
        <cfvo type="percent" val="0"/>
        <cfvo type="num" val="0"/>
        <cfvo type="num" val="0" gte="0"/>
      </iconSet>
    </cfRule>
  </conditionalFormatting>
  <conditionalFormatting sqref="Z7">
    <cfRule type="iconSet" priority="21">
      <iconSet>
        <cfvo type="percent" val="0"/>
        <cfvo type="num" val="0"/>
        <cfvo type="num" val="0" gte="0"/>
      </iconSet>
    </cfRule>
  </conditionalFormatting>
  <conditionalFormatting sqref="Z8 Z12 Z14:Z17 Z21 Z23 Z25">
    <cfRule type="iconSet" priority="30">
      <iconSet>
        <cfvo type="percent" val="0"/>
        <cfvo type="num" val="0"/>
        <cfvo type="num" val="0" gte="0"/>
      </iconSet>
    </cfRule>
  </conditionalFormatting>
  <conditionalFormatting sqref="Z9">
    <cfRule type="iconSet" priority="24">
      <iconSet>
        <cfvo type="percent" val="0"/>
        <cfvo type="num" val="0"/>
        <cfvo type="num" val="0" gte="0"/>
      </iconSet>
    </cfRule>
  </conditionalFormatting>
  <conditionalFormatting sqref="Z10">
    <cfRule type="iconSet" priority="20">
      <iconSet>
        <cfvo type="percent" val="0"/>
        <cfvo type="num" val="0"/>
        <cfvo type="num" val="0" gte="0"/>
      </iconSet>
    </cfRule>
  </conditionalFormatting>
  <conditionalFormatting sqref="Z11">
    <cfRule type="iconSet" priority="19">
      <iconSet>
        <cfvo type="percent" val="0"/>
        <cfvo type="num" val="0"/>
        <cfvo type="num" val="0" gte="0"/>
      </iconSet>
    </cfRule>
  </conditionalFormatting>
  <conditionalFormatting sqref="Z13">
    <cfRule type="iconSet" priority="18">
      <iconSet>
        <cfvo type="percent" val="0"/>
        <cfvo type="num" val="0"/>
        <cfvo type="num" val="0" gte="0"/>
      </iconSet>
    </cfRule>
  </conditionalFormatting>
  <conditionalFormatting sqref="Z18">
    <cfRule type="iconSet" priority="17">
      <iconSet>
        <cfvo type="percent" val="0"/>
        <cfvo type="num" val="0"/>
        <cfvo type="num" val="0" gte="0"/>
      </iconSet>
    </cfRule>
  </conditionalFormatting>
  <conditionalFormatting sqref="Z19">
    <cfRule type="iconSet" priority="16">
      <iconSet>
        <cfvo type="percent" val="0"/>
        <cfvo type="num" val="0"/>
        <cfvo type="num" val="0" gte="0"/>
      </iconSet>
    </cfRule>
  </conditionalFormatting>
  <conditionalFormatting sqref="Z20">
    <cfRule type="iconSet" priority="15">
      <iconSet>
        <cfvo type="percent" val="0"/>
        <cfvo type="num" val="0"/>
        <cfvo type="num" val="0" gte="0"/>
      </iconSet>
    </cfRule>
  </conditionalFormatting>
  <conditionalFormatting sqref="Z22">
    <cfRule type="iconSet" priority="14">
      <iconSet>
        <cfvo type="percent" val="0"/>
        <cfvo type="num" val="0"/>
        <cfvo type="num" val="0" gte="0"/>
      </iconSet>
    </cfRule>
  </conditionalFormatting>
  <conditionalFormatting sqref="Z24">
    <cfRule type="iconSet" priority="3">
      <iconSet>
        <cfvo type="percent" val="0"/>
        <cfvo type="num" val="0"/>
        <cfvo type="num" val="0" gte="0"/>
      </iconSet>
    </cfRule>
  </conditionalFormatting>
  <conditionalFormatting sqref="AC6:AN24 AC25 AE25:AN25">
    <cfRule type="expression" dxfId="41" priority="48">
      <formula>AP6=3</formula>
    </cfRule>
    <cfRule type="expression" dxfId="40" priority="49">
      <formula>AP6=5</formula>
    </cfRule>
    <cfRule type="expression" dxfId="39" priority="50">
      <formula>AP6=4</formula>
    </cfRule>
    <cfRule type="expression" dxfId="38" priority="51">
      <formula>AP6=2</formula>
    </cfRule>
    <cfRule type="expression" dxfId="37" priority="52">
      <formula>AP6=1</formula>
    </cfRule>
    <cfRule type="expression" dxfId="36" priority="53">
      <formula>AP6=0</formula>
    </cfRule>
  </conditionalFormatting>
  <conditionalFormatting sqref="FG6:FG25 FG27">
    <cfRule type="colorScale" priority="23">
      <colorScale>
        <cfvo type="min"/>
        <cfvo type="percentile" val="50"/>
        <cfvo type="max"/>
        <color rgb="FFF8696B"/>
        <color rgb="FFFFEB84"/>
        <color rgb="FF63BE7B"/>
      </colorScale>
    </cfRule>
  </conditionalFormatting>
  <dataValidations count="1">
    <dataValidation type="list" allowBlank="1" showInputMessage="1" showErrorMessage="1" sqref="A1:B1" xr:uid="{00000000-0002-0000-0900-000000000000}">
      <formula1>lis_dat</formula1>
    </dataValidation>
  </dataValidations>
  <pageMargins left="0.25" right="0.25" top="0.75" bottom="0.75" header="0.3" footer="0.3"/>
  <pageSetup paperSize="9" scale="55"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249977111117893"/>
    <pageSetUpPr fitToPage="1"/>
  </sheetPr>
  <dimension ref="A1:FH47"/>
  <sheetViews>
    <sheetView showGridLines="0" topLeftCell="A3" zoomScale="106" zoomScaleNormal="106" workbookViewId="0">
      <selection activeCell="P20" sqref="P20"/>
    </sheetView>
  </sheetViews>
  <sheetFormatPr baseColWidth="10" defaultRowHeight="18.75" customHeight="1"/>
  <cols>
    <col min="1" max="1" width="14.44140625" style="11" customWidth="1"/>
    <col min="2" max="2" width="1.44140625" style="1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7.44140625" style="12" customWidth="1"/>
    <col min="10" max="10" width="4.554687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6.5546875" style="23" customWidth="1"/>
    <col min="17" max="17" width="5.44140625" customWidth="1"/>
    <col min="18" max="18" width="7.33203125" style="23" customWidth="1"/>
    <col min="19" max="19" width="0.6640625" customWidth="1"/>
    <col min="20" max="20" width="2.5546875" style="57" hidden="1" customWidth="1"/>
    <col min="21" max="21" width="6.5546875" style="23" customWidth="1"/>
    <col min="22" max="22" width="4.6640625" customWidth="1"/>
    <col min="23" max="23" width="6.5546875" customWidth="1"/>
    <col min="24" max="24" width="4.44140625" customWidth="1"/>
    <col min="25" max="25" width="5.33203125" customWidth="1"/>
    <col min="26" max="26" width="4.5546875" customWidth="1"/>
    <col min="27" max="27" width="1.44140625" customWidth="1"/>
    <col min="28" max="28" width="53" style="11" hidden="1" customWidth="1"/>
    <col min="29" max="40" width="1.88671875" style="57" customWidth="1"/>
    <col min="41" max="41" width="2.44140625" style="28" customWidth="1"/>
    <col min="42" max="42" width="5.44140625" style="28" hidden="1" customWidth="1"/>
    <col min="43" max="43" width="6" style="28" hidden="1" customWidth="1"/>
    <col min="44" max="44" width="5.33203125" style="28" hidden="1" customWidth="1"/>
    <col min="45" max="45" width="4.88671875" style="28" hidden="1" customWidth="1"/>
    <col min="46" max="47" width="5.5546875" hidden="1" customWidth="1"/>
    <col min="48" max="48" width="5.33203125" hidden="1" customWidth="1"/>
    <col min="49" max="49" width="5.5546875" hidden="1" customWidth="1"/>
    <col min="50" max="51" width="4.88671875" hidden="1" customWidth="1"/>
    <col min="52" max="52" width="5.6640625" hidden="1" customWidth="1"/>
    <col min="53" max="53" width="5.109375" hidden="1" customWidth="1"/>
    <col min="54" max="54" width="2.44140625" hidden="1" customWidth="1"/>
    <col min="55" max="55" width="15.8867187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45383</v>
      </c>
      <c r="B1" s="219"/>
      <c r="D1" s="195"/>
      <c r="E1" s="195" t="s">
        <v>220</v>
      </c>
      <c r="F1" s="46"/>
      <c r="G1" s="46"/>
      <c r="H1" s="46"/>
      <c r="I1" s="46"/>
      <c r="J1" s="46"/>
      <c r="K1" s="46"/>
      <c r="L1" s="46"/>
      <c r="M1" s="19"/>
      <c r="N1" s="199" t="s">
        <v>248</v>
      </c>
      <c r="O1" s="199" t="s">
        <v>248</v>
      </c>
      <c r="P1" s="259"/>
      <c r="Q1" s="21"/>
      <c r="R1" s="259"/>
      <c r="S1" s="19"/>
      <c r="T1" s="200"/>
      <c r="U1" s="200" t="s">
        <v>453</v>
      </c>
      <c r="V1" s="22"/>
      <c r="W1" s="22"/>
      <c r="X1" s="22"/>
      <c r="Y1" s="22"/>
      <c r="Z1" s="22"/>
      <c r="AB1" s="208" t="s">
        <v>167</v>
      </c>
      <c r="AC1" s="50" t="s">
        <v>288</v>
      </c>
      <c r="AD1" s="50"/>
      <c r="AE1" s="50"/>
      <c r="AF1" s="50"/>
      <c r="AG1" s="50"/>
      <c r="AH1" s="50"/>
      <c r="AI1" s="50"/>
      <c r="AJ1" s="50"/>
      <c r="AK1" s="50"/>
      <c r="AL1" s="50"/>
      <c r="AM1" s="50"/>
      <c r="AN1" s="50"/>
      <c r="BF1" t="s">
        <v>101</v>
      </c>
      <c r="BG1" s="3">
        <f>+A1</f>
        <v>45383</v>
      </c>
      <c r="BH1" s="3">
        <f>+VLOOKUP(BH2,datos!$D:$E,2,FALSE)</f>
        <v>45352</v>
      </c>
      <c r="BI1" s="3">
        <f>+VLOOKUP(BI2,datos!$D:$E,2,FALSE)</f>
        <v>45017</v>
      </c>
      <c r="BL1" s="3">
        <f>+A1</f>
        <v>45383</v>
      </c>
      <c r="BM1" s="3">
        <f>+VLOOKUP(BM2,datos!$D:$E,2,FALSE)</f>
        <v>45352</v>
      </c>
      <c r="BN1" s="3">
        <f>+VLOOKUP(BN2,datos!$D:$E,2,FALSE)</f>
        <v>45017</v>
      </c>
      <c r="BQ1" s="3">
        <f>+A1</f>
        <v>45383</v>
      </c>
      <c r="BR1" s="3">
        <f>+VLOOKUP(BR2,datos!$D:$E,2,FALSE)</f>
        <v>45017</v>
      </c>
      <c r="BU1" s="3">
        <f>+A1</f>
        <v>45383</v>
      </c>
      <c r="BV1" s="3">
        <f>+VLOOKUP(BV2,datos!$D:$E,2,FALSE)</f>
        <v>45017</v>
      </c>
      <c r="BY1" t="s">
        <v>279</v>
      </c>
      <c r="BZ1" t="s">
        <v>280</v>
      </c>
      <c r="CC1" t="s">
        <v>279</v>
      </c>
      <c r="CD1" t="s">
        <v>280</v>
      </c>
      <c r="CG1" t="s">
        <v>282</v>
      </c>
      <c r="CH1" t="s">
        <v>283</v>
      </c>
      <c r="CI1" s="3">
        <f>+A1</f>
        <v>45383</v>
      </c>
      <c r="CJ1" s="3">
        <f>+VLOOKUP(CJ2,datos!$D:$E,2,FALSE)</f>
        <v>45383</v>
      </c>
      <c r="CK1" s="3">
        <f>+VLOOKUP(CK2,datos!$D:$E,2,FALSE)</f>
        <v>45352</v>
      </c>
      <c r="CL1" s="3">
        <f>+VLOOKUP(CL2,datos!$D:$E,2,FALSE)</f>
        <v>45323</v>
      </c>
      <c r="CM1" s="3">
        <f>+VLOOKUP(CM2,datos!$D:$E,2,FALSE)</f>
        <v>45292</v>
      </c>
      <c r="CN1" s="3">
        <f>+VLOOKUP(CN2,datos!$D:$E,2,FALSE)</f>
        <v>45261</v>
      </c>
      <c r="CO1" s="3">
        <f>+VLOOKUP(CO2,datos!$D:$E,2,FALSE)</f>
        <v>45231</v>
      </c>
      <c r="CP1" s="3">
        <f>+VLOOKUP(CP2,datos!$D:$E,2,FALSE)</f>
        <v>45200</v>
      </c>
      <c r="CQ1" s="3">
        <f>+VLOOKUP(CQ2,datos!$D:$E,2,FALSE)</f>
        <v>45170</v>
      </c>
      <c r="CR1" s="3">
        <f>+VLOOKUP(CR2,datos!$D:$E,2,FALSE)</f>
        <v>45139</v>
      </c>
      <c r="CS1" s="3">
        <f>+VLOOKUP(CS2,datos!$D:$E,2,FALSE)</f>
        <v>45108</v>
      </c>
      <c r="CT1" s="3">
        <f>+VLOOKUP(CT2,datos!$D:$E,2,FALSE)</f>
        <v>45078</v>
      </c>
      <c r="CU1" s="3">
        <f>+VLOOKUP(CU2,datos!$D:$E,2,FALSE)</f>
        <v>45047</v>
      </c>
      <c r="CV1" s="3">
        <f>+VLOOKUP(CV2,datos!$D:$E,2,FALSE)</f>
        <v>45017</v>
      </c>
      <c r="CW1" s="3">
        <f>+VLOOKUP(CW2,datos!$D:$E,2,FALSE)</f>
        <v>44986</v>
      </c>
      <c r="CX1" s="3">
        <f>+VLOOKUP(CX2,datos!$D:$E,2,FALSE)</f>
        <v>44958</v>
      </c>
      <c r="CY1" s="3">
        <f>+VLOOKUP(CY2,datos!$D:$E,2,FALSE)</f>
        <v>44927</v>
      </c>
      <c r="CZ1" s="3">
        <f>+VLOOKUP(CZ2,datos!$D:$E,2,FALSE)</f>
        <v>44896</v>
      </c>
      <c r="DA1" s="3">
        <f>+VLOOKUP(DA2,datos!$D:$E,2,FALSE)</f>
        <v>44866</v>
      </c>
      <c r="DB1" s="3">
        <f>+VLOOKUP(DB2,datos!$D:$E,2,FALSE)</f>
        <v>44835</v>
      </c>
      <c r="DC1" s="3">
        <f>+VLOOKUP(DC2,datos!$D:$E,2,FALSE)</f>
        <v>44805</v>
      </c>
      <c r="DD1" s="3">
        <f>+VLOOKUP(DD2,datos!$D:$E,2,FALSE)</f>
        <v>44774</v>
      </c>
      <c r="DE1" s="3">
        <f>+VLOOKUP(DE2,datos!$D:$E,2,FALSE)</f>
        <v>44743</v>
      </c>
      <c r="DF1" s="3">
        <f>+VLOOKUP(DF2,datos!$D:$E,2,FALSE)</f>
        <v>44713</v>
      </c>
      <c r="DG1" s="3">
        <f>+VLOOKUP(DG2,datos!$D:$E,2,FALSE)</f>
        <v>44682</v>
      </c>
      <c r="DI1" s="3">
        <f>+CJ1</f>
        <v>45383</v>
      </c>
      <c r="DJ1" s="3">
        <f>+VLOOKUP(DJ2,datos!$D:$E,2,FALSE)</f>
        <v>45352</v>
      </c>
      <c r="DK1" s="3">
        <f>+VLOOKUP(DK2,datos!$D:$E,2,FALSE)</f>
        <v>45323</v>
      </c>
      <c r="DL1" s="3">
        <f>+VLOOKUP(DL2,datos!$D:$E,2,FALSE)</f>
        <v>45292</v>
      </c>
      <c r="DM1" s="3">
        <f>+VLOOKUP(DM2,datos!$D:$E,2,FALSE)</f>
        <v>45261</v>
      </c>
      <c r="DN1" s="3">
        <f>+VLOOKUP(DN2,datos!$D:$E,2,FALSE)</f>
        <v>45231</v>
      </c>
      <c r="DO1" s="3">
        <f>+VLOOKUP(DO2,datos!$D:$E,2,FALSE)</f>
        <v>45200</v>
      </c>
      <c r="DP1" s="3">
        <f>+VLOOKUP(DP2,datos!$D:$E,2,FALSE)</f>
        <v>45170</v>
      </c>
      <c r="DQ1" s="3">
        <f>+VLOOKUP(DQ2,datos!$D:$E,2,FALSE)</f>
        <v>45139</v>
      </c>
      <c r="DR1" s="3">
        <f>+VLOOKUP(DR2,datos!$D:$E,2,FALSE)</f>
        <v>45108</v>
      </c>
      <c r="DS1" s="3">
        <f>+VLOOKUP(DS2,datos!$D:$E,2,FALSE)</f>
        <v>45078</v>
      </c>
      <c r="DT1" s="3">
        <f>+VLOOKUP(DT2,datos!$D:$E,2,FALSE)</f>
        <v>45047</v>
      </c>
      <c r="DU1" s="3">
        <f>+VLOOKUP(DU2,datos!$D:$E,2,FALSE)</f>
        <v>45017</v>
      </c>
      <c r="DV1" s="3">
        <f>+VLOOKUP(DV2,datos!$D:$E,2,FALSE)</f>
        <v>44986</v>
      </c>
      <c r="DW1" s="3">
        <f>+VLOOKUP(DW2,datos!$D:$E,2,FALSE)</f>
        <v>44958</v>
      </c>
      <c r="DX1" s="3">
        <f>+VLOOKUP(DX2,datos!$D:$E,2,FALSE)</f>
        <v>44927</v>
      </c>
      <c r="DY1" s="3">
        <f>+VLOOKUP(DY2,datos!$D:$E,2,FALSE)</f>
        <v>44896</v>
      </c>
      <c r="DZ1" s="3">
        <f>+VLOOKUP(DZ2,datos!$D:$E,2,FALSE)</f>
        <v>44866</v>
      </c>
      <c r="EA1" s="3">
        <f>+VLOOKUP(EA2,datos!$D:$E,2,FALSE)</f>
        <v>44835</v>
      </c>
      <c r="EB1" s="3">
        <f>+VLOOKUP(EB2,datos!$D:$E,2,FALSE)</f>
        <v>44805</v>
      </c>
      <c r="EC1" s="3">
        <f>+VLOOKUP(EC2,datos!$D:$E,2,FALSE)</f>
        <v>44774</v>
      </c>
      <c r="ED1" s="3">
        <f>+VLOOKUP(ED2,datos!$D:$E,2,FALSE)</f>
        <v>44743</v>
      </c>
      <c r="EE1" s="3">
        <f>+VLOOKUP(EE2,datos!$D:$E,2,FALSE)</f>
        <v>44713</v>
      </c>
      <c r="EF1" s="3">
        <f>+VLOOKUP(EF2,datos!$D:$E,2,FALSE)</f>
        <v>44682</v>
      </c>
      <c r="EH1" s="14">
        <f>+CJ1</f>
        <v>45383</v>
      </c>
      <c r="EI1" s="14">
        <f t="shared" ref="EI1:FE1" si="0">+CK1</f>
        <v>45352</v>
      </c>
      <c r="EJ1" s="3">
        <f t="shared" si="0"/>
        <v>45323</v>
      </c>
      <c r="EK1" s="3">
        <f t="shared" si="0"/>
        <v>45292</v>
      </c>
      <c r="EL1" s="3">
        <f t="shared" si="0"/>
        <v>45261</v>
      </c>
      <c r="EM1" s="3">
        <f t="shared" si="0"/>
        <v>45231</v>
      </c>
      <c r="EN1" s="3">
        <f t="shared" si="0"/>
        <v>45200</v>
      </c>
      <c r="EO1" s="3">
        <f t="shared" si="0"/>
        <v>45170</v>
      </c>
      <c r="EP1" s="3">
        <f t="shared" si="0"/>
        <v>45139</v>
      </c>
      <c r="EQ1" s="3">
        <f t="shared" si="0"/>
        <v>45108</v>
      </c>
      <c r="ER1" s="3">
        <f t="shared" si="0"/>
        <v>45078</v>
      </c>
      <c r="ES1" s="3">
        <f t="shared" si="0"/>
        <v>45047</v>
      </c>
      <c r="ET1" s="3">
        <f t="shared" si="0"/>
        <v>45017</v>
      </c>
      <c r="EU1" s="3">
        <f t="shared" si="0"/>
        <v>44986</v>
      </c>
      <c r="EV1" s="3">
        <f t="shared" si="0"/>
        <v>44958</v>
      </c>
      <c r="EW1" s="3">
        <f t="shared" si="0"/>
        <v>44927</v>
      </c>
      <c r="EX1" s="3">
        <f t="shared" si="0"/>
        <v>44896</v>
      </c>
      <c r="EY1" s="3">
        <f t="shared" si="0"/>
        <v>44866</v>
      </c>
      <c r="EZ1" s="3">
        <f t="shared" si="0"/>
        <v>44835</v>
      </c>
      <c r="FA1" s="3">
        <f t="shared" si="0"/>
        <v>44805</v>
      </c>
      <c r="FB1" s="3">
        <f t="shared" si="0"/>
        <v>44774</v>
      </c>
      <c r="FC1" s="3">
        <f t="shared" si="0"/>
        <v>44743</v>
      </c>
      <c r="FD1" s="3">
        <f t="shared" si="0"/>
        <v>44713</v>
      </c>
      <c r="FE1" s="3">
        <f t="shared" si="0"/>
        <v>44682</v>
      </c>
    </row>
    <row r="2" spans="1:163" ht="14.4" customHeight="1">
      <c r="E2" s="51" t="s">
        <v>278</v>
      </c>
      <c r="F2" s="52"/>
      <c r="G2" s="9"/>
      <c r="H2" s="52"/>
      <c r="I2" s="51" t="s">
        <v>165</v>
      </c>
      <c r="J2" s="52"/>
      <c r="K2" s="9"/>
      <c r="L2" s="52"/>
      <c r="M2" s="9"/>
      <c r="N2" s="102"/>
      <c r="O2" s="9" t="s">
        <v>277</v>
      </c>
      <c r="P2" s="53"/>
      <c r="Q2" s="9"/>
      <c r="R2" s="53"/>
      <c r="S2" s="9"/>
      <c r="T2" s="102"/>
      <c r="U2" s="9" t="s">
        <v>336</v>
      </c>
      <c r="V2" s="9"/>
      <c r="W2" s="9"/>
      <c r="X2" s="9"/>
      <c r="Y2" s="51" t="s">
        <v>165</v>
      </c>
      <c r="Z2" s="9"/>
      <c r="AB2" s="209"/>
      <c r="AC2" s="59"/>
      <c r="AD2" s="59"/>
      <c r="AE2" s="59"/>
      <c r="AF2" s="59"/>
      <c r="AG2" s="59"/>
      <c r="AH2" s="59"/>
      <c r="AI2" s="59"/>
      <c r="AJ2" s="59"/>
      <c r="AK2" s="59"/>
      <c r="AL2" s="59"/>
      <c r="AM2" s="59"/>
      <c r="AN2" s="59"/>
      <c r="AO2" s="80"/>
      <c r="AP2" s="174">
        <f>VLOOKUP(VLOOKUP(+$A$1,ran_ma,2,FALSE)-11,ran_idma,2,FALSE)</f>
        <v>45047</v>
      </c>
      <c r="AQ2" s="174">
        <f>VLOOKUP(VLOOKUP(+$A$1,ran_ma,2,FALSE)-10,ran_idma,2,FALSE)</f>
        <v>45078</v>
      </c>
      <c r="AR2" s="174">
        <f>VLOOKUP(VLOOKUP(+$A$1,ran_ma,2,FALSE)-9,ran_idma,2,FALSE)</f>
        <v>45108</v>
      </c>
      <c r="AS2" s="174">
        <f>VLOOKUP(VLOOKUP(+$A$1,ran_ma,2,FALSE)-8,ran_idma,2,FALSE)</f>
        <v>45139</v>
      </c>
      <c r="AT2" s="59">
        <f>VLOOKUP(VLOOKUP(+$A$1,ran_ma,2,FALSE)-7,ran_idma,2,FALSE)</f>
        <v>45170</v>
      </c>
      <c r="AU2" s="59">
        <f>VLOOKUP(VLOOKUP(+$A$1,ran_ma,2,FALSE)-6,ran_idma,2,FALSE)</f>
        <v>45200</v>
      </c>
      <c r="AV2" s="59">
        <f>VLOOKUP(VLOOKUP(+$A$1,ran_ma,2,FALSE)-5,ran_idma,2,FALSE)</f>
        <v>45231</v>
      </c>
      <c r="AW2" s="59">
        <f>VLOOKUP(VLOOKUP(+$A$1,ran_ma,2,FALSE)-4,ran_idma,2,FALSE)</f>
        <v>45261</v>
      </c>
      <c r="AX2" s="59">
        <f>VLOOKUP(VLOOKUP(+$A$1,ran_ma,2,FALSE)-3,ran_idma,2,FALSE)</f>
        <v>45292</v>
      </c>
      <c r="AY2" s="59">
        <f>VLOOKUP(VLOOKUP(+$A$1,ran_ma,2,FALSE)-2,ran_idma,2,FALSE)</f>
        <v>45323</v>
      </c>
      <c r="AZ2" s="59">
        <f>VLOOKUP(VLOOKUP(+$A$1,ran_ma,2,FALSE)-1,ran_idma,2,FALSE)</f>
        <v>45352</v>
      </c>
      <c r="BA2" s="59">
        <f>+$A$1</f>
        <v>45383</v>
      </c>
      <c r="BB2" s="5"/>
      <c r="BC2" s="170"/>
      <c r="BE2" s="9" t="s">
        <v>272</v>
      </c>
      <c r="BG2">
        <f>+VLOOKUP(BG1,ran_dat,datos!$D$1,FALSE)</f>
        <v>109</v>
      </c>
      <c r="BH2">
        <f>+BG2-1</f>
        <v>108</v>
      </c>
      <c r="BI2">
        <f>+BG2-12</f>
        <v>97</v>
      </c>
      <c r="BK2" s="9"/>
      <c r="BL2">
        <f>+VLOOKUP(BL1,ran_dat,datos!$D$1,FALSE)</f>
        <v>109</v>
      </c>
      <c r="BM2">
        <f>+BL2-1</f>
        <v>108</v>
      </c>
      <c r="BN2">
        <f>+BL2-12</f>
        <v>97</v>
      </c>
      <c r="BP2" s="9"/>
      <c r="BQ2">
        <f>+VLOOKUP(BQ1,ran_dat,datos!$D$1,FALSE)</f>
        <v>109</v>
      </c>
      <c r="BR2">
        <f>+BQ2-12</f>
        <v>97</v>
      </c>
      <c r="BT2" s="9"/>
      <c r="BU2">
        <f>+VLOOKUP(BU1,ran_dat,datos!$D$1,FALSE)</f>
        <v>109</v>
      </c>
      <c r="BV2">
        <f>+BU2-12</f>
        <v>97</v>
      </c>
      <c r="BX2" s="9"/>
      <c r="CB2" s="9"/>
      <c r="CI2">
        <f>+VLOOKUP(CI1,ran_dat,datos!$D$1,FALSE)</f>
        <v>109</v>
      </c>
      <c r="CJ2">
        <f>+CI2</f>
        <v>109</v>
      </c>
      <c r="CK2">
        <f t="shared" ref="CK2:DG2" si="1">+CJ2-1</f>
        <v>108</v>
      </c>
      <c r="CL2">
        <f t="shared" si="1"/>
        <v>107</v>
      </c>
      <c r="CM2">
        <f t="shared" si="1"/>
        <v>106</v>
      </c>
      <c r="CN2">
        <f t="shared" si="1"/>
        <v>105</v>
      </c>
      <c r="CO2">
        <f t="shared" si="1"/>
        <v>104</v>
      </c>
      <c r="CP2">
        <f t="shared" si="1"/>
        <v>103</v>
      </c>
      <c r="CQ2">
        <f t="shared" si="1"/>
        <v>102</v>
      </c>
      <c r="CR2">
        <f t="shared" si="1"/>
        <v>101</v>
      </c>
      <c r="CS2">
        <f t="shared" si="1"/>
        <v>100</v>
      </c>
      <c r="CT2">
        <f t="shared" si="1"/>
        <v>99</v>
      </c>
      <c r="CU2">
        <f t="shared" si="1"/>
        <v>98</v>
      </c>
      <c r="CV2">
        <f t="shared" si="1"/>
        <v>97</v>
      </c>
      <c r="CW2">
        <f t="shared" si="1"/>
        <v>96</v>
      </c>
      <c r="CX2">
        <f t="shared" si="1"/>
        <v>95</v>
      </c>
      <c r="CY2">
        <f t="shared" si="1"/>
        <v>94</v>
      </c>
      <c r="CZ2">
        <f t="shared" si="1"/>
        <v>93</v>
      </c>
      <c r="DA2">
        <f t="shared" si="1"/>
        <v>92</v>
      </c>
      <c r="DB2">
        <f t="shared" si="1"/>
        <v>91</v>
      </c>
      <c r="DC2">
        <f t="shared" si="1"/>
        <v>90</v>
      </c>
      <c r="DD2">
        <f t="shared" si="1"/>
        <v>89</v>
      </c>
      <c r="DE2">
        <f t="shared" si="1"/>
        <v>88</v>
      </c>
      <c r="DF2">
        <f t="shared" si="1"/>
        <v>87</v>
      </c>
      <c r="DG2">
        <f t="shared" si="1"/>
        <v>86</v>
      </c>
      <c r="DI2">
        <f>+VLOOKUP(DI1,ran_dat,datos!$D$1,FALSE)</f>
        <v>109</v>
      </c>
      <c r="DJ2">
        <f t="shared" ref="DJ2:EF2" si="2">+DI2-1</f>
        <v>108</v>
      </c>
      <c r="DK2">
        <f t="shared" si="2"/>
        <v>107</v>
      </c>
      <c r="DL2">
        <f t="shared" si="2"/>
        <v>106</v>
      </c>
      <c r="DM2">
        <f t="shared" si="2"/>
        <v>105</v>
      </c>
      <c r="DN2">
        <f t="shared" si="2"/>
        <v>104</v>
      </c>
      <c r="DO2">
        <f t="shared" si="2"/>
        <v>103</v>
      </c>
      <c r="DP2">
        <f t="shared" si="2"/>
        <v>102</v>
      </c>
      <c r="DQ2">
        <f t="shared" si="2"/>
        <v>101</v>
      </c>
      <c r="DR2">
        <f t="shared" si="2"/>
        <v>100</v>
      </c>
      <c r="DS2">
        <f t="shared" si="2"/>
        <v>99</v>
      </c>
      <c r="DT2">
        <f t="shared" si="2"/>
        <v>98</v>
      </c>
      <c r="DU2">
        <f t="shared" si="2"/>
        <v>97</v>
      </c>
      <c r="DV2">
        <f t="shared" si="2"/>
        <v>96</v>
      </c>
      <c r="DW2">
        <f t="shared" si="2"/>
        <v>95</v>
      </c>
      <c r="DX2">
        <f t="shared" si="2"/>
        <v>94</v>
      </c>
      <c r="DY2">
        <f t="shared" si="2"/>
        <v>93</v>
      </c>
      <c r="DZ2">
        <f t="shared" si="2"/>
        <v>92</v>
      </c>
      <c r="EA2">
        <f t="shared" si="2"/>
        <v>91</v>
      </c>
      <c r="EB2">
        <f t="shared" si="2"/>
        <v>90</v>
      </c>
      <c r="EC2">
        <f t="shared" si="2"/>
        <v>89</v>
      </c>
      <c r="ED2">
        <f t="shared" si="2"/>
        <v>88</v>
      </c>
      <c r="EE2">
        <f t="shared" si="2"/>
        <v>87</v>
      </c>
      <c r="EF2">
        <f t="shared" si="2"/>
        <v>86</v>
      </c>
      <c r="EH2" s="14">
        <f>+VLOOKUP(EH1,ran_dat,datos!$D$1,FALSE)</f>
        <v>109</v>
      </c>
      <c r="EI2" s="14">
        <f t="shared" ref="EI2:FE2" si="3">+EH2-1</f>
        <v>108</v>
      </c>
      <c r="EJ2">
        <f t="shared" si="3"/>
        <v>107</v>
      </c>
      <c r="EK2">
        <f t="shared" si="3"/>
        <v>106</v>
      </c>
      <c r="EL2">
        <f t="shared" si="3"/>
        <v>105</v>
      </c>
      <c r="EM2">
        <f t="shared" si="3"/>
        <v>104</v>
      </c>
      <c r="EN2">
        <f t="shared" si="3"/>
        <v>103</v>
      </c>
      <c r="EO2">
        <f t="shared" si="3"/>
        <v>102</v>
      </c>
      <c r="EP2">
        <f t="shared" si="3"/>
        <v>101</v>
      </c>
      <c r="EQ2">
        <f t="shared" si="3"/>
        <v>100</v>
      </c>
      <c r="ER2">
        <f t="shared" si="3"/>
        <v>99</v>
      </c>
      <c r="ES2">
        <f t="shared" si="3"/>
        <v>98</v>
      </c>
      <c r="ET2">
        <f t="shared" si="3"/>
        <v>97</v>
      </c>
      <c r="EU2">
        <f t="shared" si="3"/>
        <v>96</v>
      </c>
      <c r="EV2">
        <f t="shared" si="3"/>
        <v>95</v>
      </c>
      <c r="EW2">
        <f t="shared" si="3"/>
        <v>94</v>
      </c>
      <c r="EX2">
        <f t="shared" si="3"/>
        <v>93</v>
      </c>
      <c r="EY2">
        <f t="shared" si="3"/>
        <v>92</v>
      </c>
      <c r="EZ2">
        <f t="shared" si="3"/>
        <v>91</v>
      </c>
      <c r="FA2">
        <f t="shared" si="3"/>
        <v>90</v>
      </c>
      <c r="FB2">
        <f t="shared" si="3"/>
        <v>89</v>
      </c>
      <c r="FC2">
        <f t="shared" si="3"/>
        <v>88</v>
      </c>
      <c r="FD2">
        <f t="shared" si="3"/>
        <v>87</v>
      </c>
      <c r="FE2">
        <f t="shared" si="3"/>
        <v>86</v>
      </c>
    </row>
    <row r="3" spans="1:163" ht="18.75" customHeight="1">
      <c r="A3" s="220"/>
      <c r="C3" s="155"/>
      <c r="D3" s="196">
        <v>0.33</v>
      </c>
      <c r="E3" s="100">
        <f>IFERROR(+BG5/BH5-1,"")</f>
        <v>8.8319796755327973E-2</v>
      </c>
      <c r="F3" s="56" t="s">
        <v>515</v>
      </c>
      <c r="G3" s="56"/>
      <c r="H3" s="56"/>
      <c r="I3" s="60">
        <f>IFERROR(+BG5/BI5-1,"")</f>
        <v>2.8940870291210259</v>
      </c>
      <c r="J3" s="56" t="s">
        <v>515</v>
      </c>
      <c r="K3" s="56"/>
      <c r="L3" s="56"/>
      <c r="M3" s="32"/>
      <c r="N3" s="196">
        <v>0.33</v>
      </c>
      <c r="O3" s="31"/>
      <c r="S3" s="32"/>
      <c r="T3" s="196">
        <v>0.33</v>
      </c>
      <c r="U3" s="150" t="str">
        <f>TEXT(CU1,"MMM-YY")&amp;"."&amp;TEXT(CJ1,"MMM-YY")&amp;" vs "&amp;TEXT(DG1,"MMM-YY")&amp;"."&amp;TEXT(CV1,"MMM-YY")</f>
        <v>may-23.abr-24 vs may-22.abr-23</v>
      </c>
      <c r="Y3" s="59" t="str">
        <f>TEXT(CJ1,"MMM-YY")&amp;" vs "&amp;TEXT(CV1,"MMM-YY")</f>
        <v>abr-24 vs abr-23</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60"/>
      <c r="Q4" s="204" t="s">
        <v>2</v>
      </c>
      <c r="R4" s="260"/>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8.4" customHeight="1">
      <c r="E5" s="18"/>
      <c r="N5" s="197"/>
      <c r="O5" s="34"/>
      <c r="P5" s="33"/>
      <c r="Q5" s="34"/>
      <c r="R5" s="33"/>
      <c r="T5" s="197"/>
      <c r="U5" s="25"/>
      <c r="V5" s="34"/>
      <c r="W5" s="34"/>
      <c r="X5" s="34"/>
      <c r="Y5" s="34"/>
      <c r="Z5" s="34"/>
      <c r="AB5" s="211"/>
      <c r="BD5">
        <f>+A3</f>
        <v>0</v>
      </c>
      <c r="BE5">
        <f>+datos!G1</f>
        <v>7</v>
      </c>
      <c r="BF5" s="2" t="str">
        <f t="shared" ref="BF5:BI24" si="4">+VLOOKUP(BF$1,ran_dat,$BE5,FALSE)</f>
        <v>Índice</v>
      </c>
      <c r="BG5" s="2">
        <f t="shared" si="4"/>
        <v>5830.2271000000001</v>
      </c>
      <c r="BH5" s="2">
        <f t="shared" si="4"/>
        <v>5357.09</v>
      </c>
      <c r="BI5" s="2">
        <f t="shared" si="4"/>
        <v>1497.2</v>
      </c>
    </row>
    <row r="6" spans="1:163" ht="18.75" customHeight="1">
      <c r="A6" s="243" t="s">
        <v>28</v>
      </c>
      <c r="B6" s="246"/>
      <c r="C6" s="156">
        <f t="shared" ref="C6:C24" si="5">+D6*$D$3+N6*$N$3+T6*$T$3</f>
        <v>-0.33</v>
      </c>
      <c r="D6" s="198">
        <v>-2</v>
      </c>
      <c r="E6" s="248">
        <f t="shared" ref="E6:E24" si="6">IFERROR(+BG6/BH6-1,"")</f>
        <v>-4.0404880472930782E-2</v>
      </c>
      <c r="F6" s="249">
        <f t="shared" ref="F6:F24" si="7">+E6-$E$3</f>
        <v>-0.12872467722825875</v>
      </c>
      <c r="G6" s="248">
        <f t="shared" ref="G6:G24" si="8">IFERROR(+BL6/BM6-1,"")</f>
        <v>-1.4011479479971611E-2</v>
      </c>
      <c r="H6" s="249">
        <f t="shared" ref="H6:H24" si="9">E6-G6</f>
        <v>-2.6393400992959171E-2</v>
      </c>
      <c r="I6" s="248">
        <f t="shared" ref="I6:I24" si="10">IFERROR(+BG6/BI6-1,"")</f>
        <v>1.2415362620252508</v>
      </c>
      <c r="J6" s="249">
        <f t="shared" ref="J6:J26" si="11">+I6-$I$3</f>
        <v>-1.6525507670957751</v>
      </c>
      <c r="K6" s="248">
        <f>IFERROR(+BL6/BN6-1,"")</f>
        <v>2.0496376398020719</v>
      </c>
      <c r="L6" s="249">
        <f t="shared" ref="L6:L24" si="12">I6-K6</f>
        <v>-0.80810137777682112</v>
      </c>
      <c r="M6" s="250"/>
      <c r="N6" s="24">
        <v>0</v>
      </c>
      <c r="O6" s="248">
        <f>IFERROR(+BQ6/BR6-1,"")</f>
        <v>0.1206896551724137</v>
      </c>
      <c r="P6" s="251">
        <f>+O6</f>
        <v>0.1206896551724137</v>
      </c>
      <c r="Q6" s="248">
        <f t="shared" ref="Q6:Q24" si="13">IFERROR(+BU6/BV6-1,"")</f>
        <v>0.44444444444444442</v>
      </c>
      <c r="R6" s="251">
        <f>+Q6</f>
        <v>0.44444444444444442</v>
      </c>
      <c r="S6" s="250"/>
      <c r="T6" s="24">
        <v>1</v>
      </c>
      <c r="U6" s="248">
        <f t="shared" ref="U6:U24" si="14">IFERROR(+BY6/BZ6-1,"")</f>
        <v>-0.15029101083679153</v>
      </c>
      <c r="V6" s="252">
        <f t="shared" ref="V6:V24" si="15">+U6</f>
        <v>-0.15029101083679153</v>
      </c>
      <c r="W6" s="248">
        <f>IFERROR(IF(CC6&lt;0.5,"",+CC6/CD6-1),"")</f>
        <v>-0.28694273729242026</v>
      </c>
      <c r="X6" s="252">
        <f t="shared" ref="X6:X23" si="16">+W6</f>
        <v>-0.28694273729242026</v>
      </c>
      <c r="Y6" s="248" t="str">
        <f t="shared" ref="Y6:Y25" si="17">IFERROR(+CG6/CH6-1,"")</f>
        <v/>
      </c>
      <c r="Z6" s="252" t="str">
        <f t="shared" ref="Z6:Z24" si="18">+Y6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P6" s="28">
        <f>VLOOKUP($A6,historia!$A$5:$CM$24,+HLOOKUP(AP$2,historia!$A$3:$EC$4,2,FALSE),FALSE)</f>
        <v>5</v>
      </c>
      <c r="AQ6" s="28">
        <f>VLOOKUP($A6,historia!$A$5:$CM$24,+HLOOKUP(AQ$2,historia!$A$3:$EC$4,2,FALSE),FALSE)</f>
        <v>5</v>
      </c>
      <c r="AR6" s="28">
        <f>VLOOKUP($A6,historia!$A$5:$CM$24,+HLOOKUP(AR$2,historia!$A$3:$EC$4,2,FALSE),FALSE)</f>
        <v>5</v>
      </c>
      <c r="AS6" s="28">
        <f>VLOOKUP($A6,historia!$A$5:$CM$24,+HLOOKUP(AS$2,historia!$A$3:$EC$4,2,FALSE),FALSE)</f>
        <v>5</v>
      </c>
      <c r="AT6" s="58">
        <f>VLOOKUP($A6,historia!$A$5:$CM$24,+HLOOKUP(AT$2,historia!$A$3:$EC$4,2,FALSE),FALSE)</f>
        <v>5</v>
      </c>
      <c r="AU6" s="58">
        <f>VLOOKUP($A6,historia!$A$5:$CM$24,+HLOOKUP(AU$2,historia!$A$3:$EC$4,2,FALSE),FALSE)</f>
        <v>5</v>
      </c>
      <c r="AV6" s="58">
        <f>VLOOKUP($A6,historia!$A$5:$CM$24,+HLOOKUP(AV$2,historia!$A$3:$EC$4,2,FALSE),FALSE)</f>
        <v>5</v>
      </c>
      <c r="AW6" s="58">
        <f>VLOOKUP($A6,historia!$A$5:$CM$24,+HLOOKUP(AW$2,historia!$A$3:$EC$4,2,FALSE),FALSE)</f>
        <v>4</v>
      </c>
      <c r="AX6" s="58">
        <f>VLOOKUP($A6,historia!$A$5:$CM$24,+HLOOKUP(AX$2,historia!$A$3:$EC$4,2,FALSE),FALSE)</f>
        <v>4</v>
      </c>
      <c r="AY6" s="58">
        <f>VLOOKUP($A6,historia!$A$5:$CM$24,+HLOOKUP(AY$2,historia!$A$3:$EC$4,2,FALSE),FALSE)</f>
        <v>4</v>
      </c>
      <c r="AZ6" s="58">
        <f>VLOOKUP($A6,historia!$A$5:$CM$24,+HLOOKUP(AZ$2,historia!$A$3:$EC$4,2,FALSE),FALSE)</f>
        <v>4</v>
      </c>
      <c r="BA6" s="58">
        <f>VLOOKUP($A6,historia!$A$5:$CM$24,+HLOOKUP(BA$2,historia!$A$3:$EC$4,2,FALSE),FALSE)</f>
        <v>4</v>
      </c>
      <c r="BB6" s="30"/>
      <c r="BC6" s="141">
        <v>4</v>
      </c>
      <c r="BD6" t="str">
        <f t="shared" ref="BD6:BD24" si="19">+A6</f>
        <v>Algodón</v>
      </c>
      <c r="BE6">
        <f>+datos!P1</f>
        <v>16</v>
      </c>
      <c r="BF6" s="2" t="str">
        <f t="shared" si="4"/>
        <v>$/kg</v>
      </c>
      <c r="BG6" s="2">
        <f t="shared" si="4"/>
        <v>1089.4148868749999</v>
      </c>
      <c r="BH6" s="2">
        <f t="shared" si="4"/>
        <v>1135.2859812500001</v>
      </c>
      <c r="BI6" s="2">
        <f t="shared" si="4"/>
        <v>486.012609</v>
      </c>
      <c r="BK6">
        <f>+datos!BY1</f>
        <v>77</v>
      </c>
      <c r="BL6" s="2">
        <f t="shared" ref="BL6:BN24" si="20">+VLOOKUP(BL$1,ran_dat,$BK6,FALSE)</f>
        <v>7819.2385153983378</v>
      </c>
      <c r="BM6" s="2">
        <f t="shared" si="20"/>
        <v>7930.3545149535094</v>
      </c>
      <c r="BN6" s="2">
        <f t="shared" si="20"/>
        <v>2563.9893780645439</v>
      </c>
      <c r="BP6" s="1">
        <f>+datos!DK1</f>
        <v>115</v>
      </c>
      <c r="BQ6" s="1">
        <f t="shared" ref="BQ6:BR24" si="21">+VLOOKUP(BQ$1,ran_dat,$BP6,FALSE)</f>
        <v>650000</v>
      </c>
      <c r="BR6" s="1">
        <f t="shared" si="21"/>
        <v>580000</v>
      </c>
      <c r="BT6" s="1">
        <f>+datos!FF1</f>
        <v>162</v>
      </c>
      <c r="BU6" s="1">
        <f t="shared" ref="BU6:BV24" si="22">+VLOOKUP(BU$1,ran_dat,$BT6,FALSE)</f>
        <v>1300000</v>
      </c>
      <c r="BV6" s="1">
        <f t="shared" si="22"/>
        <v>900000</v>
      </c>
      <c r="BX6" s="1">
        <f>+datos!JF1</f>
        <v>266</v>
      </c>
      <c r="BY6" s="1">
        <f>+SUM(CJ6:CU6)</f>
        <v>132.25886192000002</v>
      </c>
      <c r="BZ6" s="1">
        <f>+SUM(CV6:DG6)</f>
        <v>155.65195097000003</v>
      </c>
      <c r="CB6" s="1">
        <f>+datos!KK1</f>
        <v>297</v>
      </c>
      <c r="CC6" s="2">
        <f t="shared" ref="CC6:CC24" si="23">+SUM(DI6:DT6)</f>
        <v>80.889216779999998</v>
      </c>
      <c r="CD6" s="2">
        <f t="shared" ref="CD6:CD24" si="24">+SUM(DU6:EF6)</f>
        <v>113.44000126</v>
      </c>
      <c r="CF6" s="1">
        <f>+datos!HS1</f>
        <v>227</v>
      </c>
      <c r="CG6" s="1">
        <f t="shared" ref="CG6:CG24" si="25">+EH6</f>
        <v>0</v>
      </c>
      <c r="CH6" s="1">
        <f t="shared" ref="CH6:CH24" si="26">+ET6</f>
        <v>0</v>
      </c>
      <c r="CJ6" s="1">
        <f t="shared" ref="CJ6:CY21" si="27">+VLOOKUP(CJ$1,ran_dat,$BX6,FALSE)</f>
        <v>18.258202080000007</v>
      </c>
      <c r="CK6" s="1">
        <f t="shared" si="27"/>
        <v>18.510441480000001</v>
      </c>
      <c r="CL6" s="1">
        <f t="shared" si="27"/>
        <v>7.7064561400000011</v>
      </c>
      <c r="CM6" s="1">
        <f t="shared" si="27"/>
        <v>8.1062574399999985</v>
      </c>
      <c r="CN6" s="1">
        <f t="shared" si="27"/>
        <v>8.4463773399999997</v>
      </c>
      <c r="CO6" s="1">
        <f t="shared" si="27"/>
        <v>15.019774559999998</v>
      </c>
      <c r="CP6" s="1">
        <f t="shared" si="27"/>
        <v>14.398572559999998</v>
      </c>
      <c r="CQ6" s="1">
        <f t="shared" si="27"/>
        <v>16.61514231</v>
      </c>
      <c r="CR6" s="1">
        <f t="shared" si="27"/>
        <v>14.3155891</v>
      </c>
      <c r="CS6" s="1">
        <f t="shared" si="27"/>
        <v>3.12980459</v>
      </c>
      <c r="CT6" s="1">
        <f t="shared" si="27"/>
        <v>2.3595063199999995</v>
      </c>
      <c r="CU6" s="1">
        <f t="shared" si="27"/>
        <v>5.3927380000000005</v>
      </c>
      <c r="CV6" s="1">
        <f t="shared" si="27"/>
        <v>1.1182586999999999</v>
      </c>
      <c r="CW6" s="1">
        <f t="shared" si="27"/>
        <v>0.81365803999999953</v>
      </c>
      <c r="CX6" s="1">
        <f t="shared" si="27"/>
        <v>2.2053805500000006</v>
      </c>
      <c r="CY6" s="1">
        <f t="shared" si="27"/>
        <v>1.2234686099999996</v>
      </c>
      <c r="CZ6" s="1">
        <f t="shared" ref="CZ6:DG21" si="28">+VLOOKUP(CZ$1,ran_dat,$BX6,FALSE)</f>
        <v>13.370618389999997</v>
      </c>
      <c r="DA6" s="1">
        <f t="shared" si="28"/>
        <v>14.835861399999999</v>
      </c>
      <c r="DB6" s="1">
        <f t="shared" si="28"/>
        <v>16.749589410000009</v>
      </c>
      <c r="DC6" s="1">
        <f t="shared" si="28"/>
        <v>23.97822360000001</v>
      </c>
      <c r="DD6" s="1">
        <f t="shared" si="28"/>
        <v>23.329000269999998</v>
      </c>
      <c r="DE6" s="1">
        <f t="shared" si="28"/>
        <v>25.470338789999996</v>
      </c>
      <c r="DF6" s="1">
        <f t="shared" si="28"/>
        <v>16.607050090000005</v>
      </c>
      <c r="DG6" s="1">
        <f t="shared" si="28"/>
        <v>15.95050312</v>
      </c>
      <c r="DI6" s="1">
        <f t="shared" ref="DI6:DX21" si="29">+VLOOKUP(DI$1,ran_dat,$CB6,FALSE)</f>
        <v>3.9375346699999998</v>
      </c>
      <c r="DJ6" s="1">
        <f t="shared" si="29"/>
        <v>4.8118603300000009</v>
      </c>
      <c r="DK6" s="1">
        <f t="shared" si="29"/>
        <v>5.2295233099999994</v>
      </c>
      <c r="DL6" s="1">
        <f t="shared" si="29"/>
        <v>7.4159317900000001</v>
      </c>
      <c r="DM6" s="1">
        <f t="shared" si="29"/>
        <v>3.5587731599999999</v>
      </c>
      <c r="DN6" s="1">
        <f t="shared" si="29"/>
        <v>6.9479693099999986</v>
      </c>
      <c r="DO6" s="1">
        <f t="shared" si="29"/>
        <v>7.5746309199999997</v>
      </c>
      <c r="DP6" s="1">
        <f t="shared" si="29"/>
        <v>8.1137987799999998</v>
      </c>
      <c r="DQ6" s="1">
        <f t="shared" si="29"/>
        <v>9.2876289100000005</v>
      </c>
      <c r="DR6" s="1">
        <f t="shared" si="29"/>
        <v>7.69051375</v>
      </c>
      <c r="DS6" s="1">
        <f t="shared" si="29"/>
        <v>7.1486482300000009</v>
      </c>
      <c r="DT6" s="1">
        <f t="shared" si="29"/>
        <v>9.1724036200000008</v>
      </c>
      <c r="DU6" s="1">
        <f t="shared" si="29"/>
        <v>6.8489806600000005</v>
      </c>
      <c r="DV6" s="1">
        <f t="shared" si="29"/>
        <v>8.39418884</v>
      </c>
      <c r="DW6" s="1">
        <f t="shared" si="29"/>
        <v>8.0897496800000006</v>
      </c>
      <c r="DX6" s="1">
        <f t="shared" si="29"/>
        <v>9.8858098699999992</v>
      </c>
      <c r="DY6" s="1">
        <f t="shared" ref="DY6:EF20" si="30">+VLOOKUP(DY$1,ran_dat,$CB6,FALSE)</f>
        <v>11.833805730000002</v>
      </c>
      <c r="DZ6" s="1">
        <f t="shared" si="30"/>
        <v>13.016290730000001</v>
      </c>
      <c r="EA6" s="1">
        <f t="shared" si="30"/>
        <v>10.901897520000004</v>
      </c>
      <c r="EB6" s="1">
        <f t="shared" si="30"/>
        <v>10.864187659999995</v>
      </c>
      <c r="EC6" s="1">
        <f t="shared" si="30"/>
        <v>11.783992419999999</v>
      </c>
      <c r="ED6" s="1">
        <f t="shared" si="30"/>
        <v>1.0941888799999999</v>
      </c>
      <c r="EE6" s="1">
        <f t="shared" si="30"/>
        <v>10.549588929999999</v>
      </c>
      <c r="EF6" s="1">
        <f t="shared" si="30"/>
        <v>10.17732034</v>
      </c>
      <c r="EH6" s="14">
        <f t="shared" ref="EH6:EW21" si="31">+VLOOKUP(EH$1,ran_dat,$CF6,FALSE)</f>
        <v>0</v>
      </c>
      <c r="EI6" s="14">
        <f t="shared" si="31"/>
        <v>0</v>
      </c>
      <c r="EJ6" s="1">
        <f t="shared" si="31"/>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ref="EX6:FE20" si="32">+VLOOKUP(EX$1,ran_dat,$CF6,FALSE)</f>
        <v>0</v>
      </c>
      <c r="EY6" s="1">
        <f t="shared" si="32"/>
        <v>0</v>
      </c>
      <c r="EZ6" s="1">
        <f t="shared" si="32"/>
        <v>0</v>
      </c>
      <c r="FA6" s="1">
        <f t="shared" si="32"/>
        <v>0</v>
      </c>
      <c r="FB6" s="1">
        <f t="shared" si="32"/>
        <v>0</v>
      </c>
      <c r="FC6" s="1">
        <f t="shared" si="32"/>
        <v>0</v>
      </c>
      <c r="FD6" s="1">
        <f t="shared" si="32"/>
        <v>0</v>
      </c>
      <c r="FE6" s="1">
        <f t="shared" si="32"/>
        <v>0</v>
      </c>
      <c r="FG6" s="162">
        <f t="shared" ref="FG6:FG24" si="33">+I6-K6</f>
        <v>-0.80810137777682112</v>
      </c>
    </row>
    <row r="7" spans="1:163" ht="18.75" customHeight="1">
      <c r="A7" s="244" t="s">
        <v>13</v>
      </c>
      <c r="B7" s="247"/>
      <c r="C7" s="228">
        <f t="shared" si="5"/>
        <v>0.33</v>
      </c>
      <c r="D7" s="229">
        <v>1</v>
      </c>
      <c r="E7" s="253">
        <f t="shared" si="6"/>
        <v>-0.12406080748145754</v>
      </c>
      <c r="F7" s="254">
        <f t="shared" si="7"/>
        <v>-0.21238060423678551</v>
      </c>
      <c r="G7" s="253">
        <f t="shared" si="8"/>
        <v>1.8371093034348585E-2</v>
      </c>
      <c r="H7" s="254">
        <f t="shared" si="9"/>
        <v>-0.14243190051580612</v>
      </c>
      <c r="I7" s="253">
        <f t="shared" si="10"/>
        <v>3.7902924590857792</v>
      </c>
      <c r="J7" s="254">
        <f t="shared" si="11"/>
        <v>0.89620542996475328</v>
      </c>
      <c r="K7" s="253">
        <f t="shared" ref="K7:K24" si="34">IFERROR(+BL7/BN7-1,"")</f>
        <v>2.5795301288569941</v>
      </c>
      <c r="L7" s="254">
        <f t="shared" si="12"/>
        <v>1.2107623302287851</v>
      </c>
      <c r="M7" s="255"/>
      <c r="N7" s="256">
        <v>1</v>
      </c>
      <c r="O7" s="253">
        <f t="shared" ref="O7:O24" si="35">IFERROR(+BQ7/BR7-1,"")</f>
        <v>5.2631578947368363E-2</v>
      </c>
      <c r="P7" s="257">
        <f t="shared" ref="P7:P24" si="36">+O7</f>
        <v>5.2631578947368363E-2</v>
      </c>
      <c r="Q7" s="253">
        <f t="shared" si="13"/>
        <v>0.11111111111111116</v>
      </c>
      <c r="R7" s="257">
        <f t="shared" ref="R7:R24" si="37">+Q7</f>
        <v>0.11111111111111116</v>
      </c>
      <c r="S7" s="255"/>
      <c r="T7" s="256">
        <v>-1</v>
      </c>
      <c r="U7" s="253">
        <f t="shared" si="14"/>
        <v>-0.26615395018912757</v>
      </c>
      <c r="V7" s="258">
        <f t="shared" si="15"/>
        <v>-0.26615395018912757</v>
      </c>
      <c r="W7" s="253">
        <f t="shared" ref="W7:W24" si="38">IFERROR(IF(CC7&lt;0.5,"",+CC7/CD7-1),"")</f>
        <v>2.2119113987750998</v>
      </c>
      <c r="X7" s="258">
        <f t="shared" si="16"/>
        <v>2.2119113987750998</v>
      </c>
      <c r="Y7" s="253">
        <f t="shared" si="17"/>
        <v>0</v>
      </c>
      <c r="Z7" s="258">
        <f t="shared" si="18"/>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P7" s="28">
        <f>VLOOKUP($A7,historia!$A$5:$CM$24,+HLOOKUP(AP$2,historia!$A$3:$EC$4,2,FALSE),FALSE)</f>
        <v>3</v>
      </c>
      <c r="AQ7" s="28">
        <f>VLOOKUP($A7,historia!$A$5:$CM$24,+HLOOKUP(AQ$2,historia!$A$3:$EC$4,2,FALSE),FALSE)</f>
        <v>3</v>
      </c>
      <c r="AR7" s="28">
        <f>VLOOKUP($A7,historia!$A$5:$CM$24,+HLOOKUP(AR$2,historia!$A$3:$EC$4,2,FALSE),FALSE)</f>
        <v>3</v>
      </c>
      <c r="AS7" s="28">
        <f>VLOOKUP($A7,historia!$A$5:$CM$24,+HLOOKUP(AS$2,historia!$A$3:$EC$4,2,FALSE),FALSE)</f>
        <v>3</v>
      </c>
      <c r="AT7" s="58">
        <f>VLOOKUP($A7,historia!$A$5:$CM$24,+HLOOKUP(AT$2,historia!$A$3:$EC$4,2,FALSE),FALSE)</f>
        <v>4</v>
      </c>
      <c r="AU7" s="58">
        <f>VLOOKUP($A7,historia!$A$5:$CM$24,+HLOOKUP(AU$2,historia!$A$3:$EC$4,2,FALSE),FALSE)</f>
        <v>5</v>
      </c>
      <c r="AV7" s="58">
        <f>VLOOKUP($A7,historia!$A$5:$CM$24,+HLOOKUP(AV$2,historia!$A$3:$EC$4,2,FALSE),FALSE)</f>
        <v>4</v>
      </c>
      <c r="AW7" s="58">
        <f>VLOOKUP($A7,historia!$A$5:$CM$24,+HLOOKUP(AW$2,historia!$A$3:$EC$4,2,FALSE),FALSE)</f>
        <v>3</v>
      </c>
      <c r="AX7" s="58">
        <f>VLOOKUP($A7,historia!$A$5:$CM$24,+HLOOKUP(AX$2,historia!$A$3:$EC$4,2,FALSE),FALSE)</f>
        <v>2</v>
      </c>
      <c r="AY7" s="58">
        <f>VLOOKUP($A7,historia!$A$5:$CM$24,+HLOOKUP(AY$2,historia!$A$3:$EC$4,2,FALSE),FALSE)</f>
        <v>2</v>
      </c>
      <c r="AZ7" s="58">
        <f>VLOOKUP($A7,historia!$A$5:$CM$24,+HLOOKUP(AZ$2,historia!$A$3:$EC$4,2,FALSE),FALSE)</f>
        <v>2</v>
      </c>
      <c r="BA7" s="58">
        <f>VLOOKUP($A7,historia!$A$5:$CM$24,+HLOOKUP(BA$2,historia!$A$3:$EC$4,2,FALSE),FALSE)</f>
        <v>2</v>
      </c>
      <c r="BB7" s="30"/>
      <c r="BC7" s="141">
        <v>2</v>
      </c>
      <c r="BD7" t="str">
        <f t="shared" si="19"/>
        <v>Arroz</v>
      </c>
      <c r="BE7">
        <f>+datos!R1</f>
        <v>18</v>
      </c>
      <c r="BF7" s="2" t="str">
        <f t="shared" si="4"/>
        <v>$/t</v>
      </c>
      <c r="BG7" s="2">
        <f t="shared" si="4"/>
        <v>306578.71738148987</v>
      </c>
      <c r="BH7" s="2">
        <f t="shared" si="4"/>
        <v>350000</v>
      </c>
      <c r="BI7" s="2">
        <f t="shared" si="4"/>
        <v>64000</v>
      </c>
      <c r="BK7">
        <f>+datos!BZ1</f>
        <v>78</v>
      </c>
      <c r="BL7" s="2">
        <f t="shared" si="20"/>
        <v>7521.7462419784424</v>
      </c>
      <c r="BM7" s="2">
        <f t="shared" si="20"/>
        <v>7386.0563142720139</v>
      </c>
      <c r="BN7" s="2">
        <f t="shared" si="20"/>
        <v>2101.3222325859474</v>
      </c>
      <c r="BP7" s="1">
        <f>+datos!DM1</f>
        <v>117</v>
      </c>
      <c r="BQ7" s="1">
        <f t="shared" si="21"/>
        <v>200000</v>
      </c>
      <c r="BR7" s="1">
        <f t="shared" si="21"/>
        <v>190000</v>
      </c>
      <c r="BT7" s="1">
        <f>+datos!FH1</f>
        <v>164</v>
      </c>
      <c r="BU7" s="1">
        <f t="shared" si="22"/>
        <v>1300000</v>
      </c>
      <c r="BV7" s="1">
        <f t="shared" si="22"/>
        <v>1170000</v>
      </c>
      <c r="BX7" s="1">
        <f>+datos!JG1</f>
        <v>267</v>
      </c>
      <c r="BY7" s="1">
        <f t="shared" ref="BY7:BY24" si="39">+SUM(CJ7:CU7)</f>
        <v>216.45848339</v>
      </c>
      <c r="BZ7" s="1">
        <f t="shared" ref="BZ7:BZ24" si="40">+SUM(CV7:DG7)</f>
        <v>294.96443218000002</v>
      </c>
      <c r="CB7" s="1">
        <f>+datos!KL1</f>
        <v>298</v>
      </c>
      <c r="CC7" s="2">
        <f t="shared" si="23"/>
        <v>2.3008466599999995</v>
      </c>
      <c r="CD7" s="2">
        <f t="shared" si="24"/>
        <v>0.71634811000000009</v>
      </c>
      <c r="CF7" s="1">
        <f>+datos!HU1</f>
        <v>229</v>
      </c>
      <c r="CG7" s="1">
        <f t="shared" si="25"/>
        <v>700000</v>
      </c>
      <c r="CH7" s="1">
        <f t="shared" si="26"/>
        <v>700000</v>
      </c>
      <c r="CJ7" s="1">
        <f t="shared" si="27"/>
        <v>22.35722878</v>
      </c>
      <c r="CK7" s="1">
        <f t="shared" si="27"/>
        <v>34.376458229999997</v>
      </c>
      <c r="CL7" s="1">
        <f t="shared" si="27"/>
        <v>13.355622539999999</v>
      </c>
      <c r="CM7" s="1">
        <f t="shared" si="27"/>
        <v>10.68224592</v>
      </c>
      <c r="CN7" s="1">
        <f t="shared" si="27"/>
        <v>15.82785018</v>
      </c>
      <c r="CO7" s="1">
        <f t="shared" si="27"/>
        <v>16.180063639999997</v>
      </c>
      <c r="CP7" s="1">
        <f t="shared" si="27"/>
        <v>11.823193960000001</v>
      </c>
      <c r="CQ7" s="1">
        <f t="shared" si="27"/>
        <v>12.24327484</v>
      </c>
      <c r="CR7" s="1">
        <f t="shared" si="27"/>
        <v>9.600226039999999</v>
      </c>
      <c r="CS7" s="1">
        <f t="shared" si="27"/>
        <v>26.338491399999999</v>
      </c>
      <c r="CT7" s="1">
        <f t="shared" si="27"/>
        <v>21.418726320000001</v>
      </c>
      <c r="CU7" s="1">
        <f t="shared" si="27"/>
        <v>22.255101539999998</v>
      </c>
      <c r="CV7" s="1">
        <f t="shared" si="27"/>
        <v>44.848914040000004</v>
      </c>
      <c r="CW7" s="1">
        <f t="shared" si="27"/>
        <v>20.357260950000001</v>
      </c>
      <c r="CX7" s="1">
        <f t="shared" si="27"/>
        <v>17.134564559999998</v>
      </c>
      <c r="CY7" s="1">
        <f t="shared" si="27"/>
        <v>28.8463791</v>
      </c>
      <c r="CZ7" s="1">
        <f t="shared" si="28"/>
        <v>29.656605189999997</v>
      </c>
      <c r="DA7" s="1">
        <f t="shared" si="28"/>
        <v>22.47426432</v>
      </c>
      <c r="DB7" s="1">
        <f t="shared" si="28"/>
        <v>15.997414339999999</v>
      </c>
      <c r="DC7" s="1">
        <f t="shared" si="28"/>
        <v>24.494655209999998</v>
      </c>
      <c r="DD7" s="1">
        <f t="shared" si="28"/>
        <v>19.108820979999997</v>
      </c>
      <c r="DE7" s="1">
        <f t="shared" si="28"/>
        <v>27.47614467</v>
      </c>
      <c r="DF7" s="1">
        <f t="shared" si="28"/>
        <v>23.805809289999999</v>
      </c>
      <c r="DG7" s="1">
        <f t="shared" si="28"/>
        <v>20.76359953</v>
      </c>
      <c r="DI7" s="1">
        <f t="shared" si="29"/>
        <v>0.50080292000000004</v>
      </c>
      <c r="DJ7" s="1">
        <f t="shared" si="29"/>
        <v>8.6091799999999996E-2</v>
      </c>
      <c r="DK7" s="1">
        <f t="shared" si="29"/>
        <v>0.22536</v>
      </c>
      <c r="DL7" s="1">
        <f t="shared" si="29"/>
        <v>0.8256</v>
      </c>
      <c r="DM7" s="1">
        <f t="shared" si="29"/>
        <v>3.973985E-2</v>
      </c>
      <c r="DN7" s="1">
        <f t="shared" si="29"/>
        <v>3.3462720000000001E-2</v>
      </c>
      <c r="DO7" s="1">
        <f t="shared" si="29"/>
        <v>0.19098301000000001</v>
      </c>
      <c r="DP7" s="1">
        <f t="shared" si="29"/>
        <v>0.10767879</v>
      </c>
      <c r="DQ7" s="1">
        <f t="shared" si="29"/>
        <v>5.5773490000000002E-2</v>
      </c>
      <c r="DR7" s="1">
        <f t="shared" si="29"/>
        <v>8.7189080000000002E-2</v>
      </c>
      <c r="DS7" s="1">
        <f t="shared" si="29"/>
        <v>3.9243889999999997E-2</v>
      </c>
      <c r="DT7" s="1">
        <f t="shared" si="29"/>
        <v>0.10892111</v>
      </c>
      <c r="DU7" s="1">
        <f t="shared" si="29"/>
        <v>1.8036480000000001E-2</v>
      </c>
      <c r="DV7" s="1">
        <f t="shared" si="29"/>
        <v>2.0500000000000002E-3</v>
      </c>
      <c r="DW7" s="1">
        <f t="shared" si="29"/>
        <v>1.0492100000000001E-3</v>
      </c>
      <c r="DX7" s="1">
        <f t="shared" si="29"/>
        <v>2.7127990000000001E-2</v>
      </c>
      <c r="DY7" s="1">
        <f t="shared" si="30"/>
        <v>2.9352990000000002E-2</v>
      </c>
      <c r="DZ7" s="1">
        <f t="shared" si="30"/>
        <v>4.3800639999999995E-2</v>
      </c>
      <c r="EA7" s="1">
        <f t="shared" si="30"/>
        <v>2.6976839999999998E-2</v>
      </c>
      <c r="EB7" s="1">
        <f t="shared" si="30"/>
        <v>0.38784603000000006</v>
      </c>
      <c r="EC7" s="1">
        <f t="shared" si="30"/>
        <v>0.13118235</v>
      </c>
      <c r="ED7" s="1">
        <f t="shared" si="30"/>
        <v>1.8151110000000002E-2</v>
      </c>
      <c r="EE7" s="1">
        <f t="shared" si="30"/>
        <v>1.4073269999999999E-2</v>
      </c>
      <c r="EF7" s="1">
        <f t="shared" si="30"/>
        <v>1.6701199999999999E-2</v>
      </c>
      <c r="EH7" s="14">
        <f t="shared" si="31"/>
        <v>700000</v>
      </c>
      <c r="EI7" s="14">
        <f t="shared" si="31"/>
        <v>700000</v>
      </c>
      <c r="EJ7" s="1">
        <f t="shared" si="31"/>
        <v>700000</v>
      </c>
      <c r="EK7" s="1">
        <f t="shared" si="31"/>
        <v>700000</v>
      </c>
      <c r="EL7" s="1">
        <f t="shared" si="31"/>
        <v>700000</v>
      </c>
      <c r="EM7" s="1">
        <f t="shared" si="31"/>
        <v>700000</v>
      </c>
      <c r="EN7" s="1">
        <f t="shared" si="31"/>
        <v>700000</v>
      </c>
      <c r="EO7" s="1">
        <f t="shared" si="31"/>
        <v>700000</v>
      </c>
      <c r="EP7" s="1">
        <f t="shared" si="31"/>
        <v>700000</v>
      </c>
      <c r="EQ7" s="1">
        <f t="shared" si="31"/>
        <v>700000</v>
      </c>
      <c r="ER7" s="1">
        <f t="shared" si="31"/>
        <v>700000</v>
      </c>
      <c r="ES7" s="1">
        <f t="shared" si="31"/>
        <v>700000</v>
      </c>
      <c r="ET7" s="1">
        <f t="shared" si="31"/>
        <v>700000</v>
      </c>
      <c r="EU7" s="1">
        <f t="shared" si="31"/>
        <v>700000</v>
      </c>
      <c r="EV7" s="1">
        <f t="shared" si="31"/>
        <v>650000</v>
      </c>
      <c r="EW7" s="1">
        <f t="shared" si="31"/>
        <v>650000</v>
      </c>
      <c r="EX7" s="1">
        <f t="shared" si="32"/>
        <v>650000</v>
      </c>
      <c r="EY7" s="1">
        <f t="shared" si="32"/>
        <v>650000</v>
      </c>
      <c r="EZ7" s="1">
        <f t="shared" si="32"/>
        <v>650000</v>
      </c>
      <c r="FA7" s="1">
        <f t="shared" si="32"/>
        <v>650000</v>
      </c>
      <c r="FB7" s="1">
        <f t="shared" si="32"/>
        <v>650000</v>
      </c>
      <c r="FC7" s="1">
        <f t="shared" si="32"/>
        <v>650000</v>
      </c>
      <c r="FD7" s="1">
        <f t="shared" si="32"/>
        <v>650000</v>
      </c>
      <c r="FE7" s="1">
        <f t="shared" si="32"/>
        <v>650000</v>
      </c>
      <c r="FG7" s="162">
        <f t="shared" si="33"/>
        <v>1.2107623302287851</v>
      </c>
    </row>
    <row r="8" spans="1:163" ht="18.75" customHeight="1">
      <c r="A8" s="243" t="s">
        <v>215</v>
      </c>
      <c r="B8" s="246"/>
      <c r="C8" s="156">
        <f t="shared" si="5"/>
        <v>0.33</v>
      </c>
      <c r="D8" s="198">
        <v>0</v>
      </c>
      <c r="E8" s="248">
        <f t="shared" si="6"/>
        <v>0.10258433641247389</v>
      </c>
      <c r="F8" s="249">
        <f t="shared" si="7"/>
        <v>1.4264539657145914E-2</v>
      </c>
      <c r="G8" s="248">
        <f t="shared" si="8"/>
        <v>7.035499823049518E-2</v>
      </c>
      <c r="H8" s="249">
        <f t="shared" si="9"/>
        <v>3.2229338181978706E-2</v>
      </c>
      <c r="I8" s="248">
        <f t="shared" si="10"/>
        <v>2.7125190479256536</v>
      </c>
      <c r="J8" s="249">
        <f t="shared" si="11"/>
        <v>-0.18156798119537232</v>
      </c>
      <c r="K8" s="248">
        <f t="shared" si="34"/>
        <v>1.9889133927056597</v>
      </c>
      <c r="L8" s="249">
        <f t="shared" si="12"/>
        <v>0.72360565521999387</v>
      </c>
      <c r="M8" s="250"/>
      <c r="N8" s="24">
        <v>0</v>
      </c>
      <c r="O8" s="248">
        <f t="shared" si="35"/>
        <v>-9.6722192369693705E-3</v>
      </c>
      <c r="P8" s="251">
        <f t="shared" si="36"/>
        <v>-9.6722192369693705E-3</v>
      </c>
      <c r="Q8" s="248">
        <f t="shared" si="13"/>
        <v>-5.7983571349472518E-3</v>
      </c>
      <c r="R8" s="251">
        <f t="shared" si="37"/>
        <v>-5.7983571349472518E-3</v>
      </c>
      <c r="S8" s="250"/>
      <c r="T8" s="24">
        <v>1</v>
      </c>
      <c r="U8" s="248">
        <f>IFERROR(+BY8/BZ8-1,"")</f>
        <v>-0.33698927058907513</v>
      </c>
      <c r="V8" s="252">
        <f t="shared" si="15"/>
        <v>-0.33698927058907513</v>
      </c>
      <c r="W8" s="248">
        <f t="shared" si="38"/>
        <v>-1.9363232818218723E-2</v>
      </c>
      <c r="X8" s="252">
        <f t="shared" si="16"/>
        <v>-1.9363232818218723E-2</v>
      </c>
      <c r="Y8" s="248">
        <f t="shared" si="17"/>
        <v>1.0712724092697634E-2</v>
      </c>
      <c r="Z8" s="252">
        <f t="shared" si="18"/>
        <v>1.0712724092697634E-2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P8" s="28">
        <f>VLOOKUP($A8,historia!$A$5:$CM$24,+HLOOKUP(AP$2,historia!$A$3:$EC$4,2,FALSE),FALSE)</f>
        <v>2</v>
      </c>
      <c r="AQ8" s="28">
        <f>VLOOKUP($A8,historia!$A$5:$CM$24,+HLOOKUP(AQ$2,historia!$A$3:$EC$4,2,FALSE),FALSE)</f>
        <v>3</v>
      </c>
      <c r="AR8" s="28">
        <f>VLOOKUP($A8,historia!$A$5:$CM$24,+HLOOKUP(AR$2,historia!$A$3:$EC$4,2,FALSE),FALSE)</f>
        <v>3</v>
      </c>
      <c r="AS8" s="28">
        <f>VLOOKUP($A8,historia!$A$5:$CM$24,+HLOOKUP(AS$2,historia!$A$3:$EC$4,2,FALSE),FALSE)</f>
        <v>3</v>
      </c>
      <c r="AT8" s="58">
        <f>VLOOKUP($A8,historia!$A$5:$CM$24,+HLOOKUP(AT$2,historia!$A$3:$EC$4,2,FALSE),FALSE)</f>
        <v>4</v>
      </c>
      <c r="AU8" s="58">
        <f>VLOOKUP($A8,historia!$A$5:$CM$24,+HLOOKUP(AU$2,historia!$A$3:$EC$4,2,FALSE),FALSE)</f>
        <v>4</v>
      </c>
      <c r="AV8" s="58">
        <f>VLOOKUP($A8,historia!$A$5:$CM$24,+HLOOKUP(AV$2,historia!$A$3:$EC$4,2,FALSE),FALSE)</f>
        <v>4</v>
      </c>
      <c r="AW8" s="58">
        <f>VLOOKUP($A8,historia!$A$5:$CM$24,+HLOOKUP(AW$2,historia!$A$3:$EC$4,2,FALSE),FALSE)</f>
        <v>5</v>
      </c>
      <c r="AX8" s="58">
        <f>VLOOKUP($A8,historia!$A$5:$CM$24,+HLOOKUP(AX$2,historia!$A$3:$EC$4,2,FALSE),FALSE)</f>
        <v>2</v>
      </c>
      <c r="AY8" s="58">
        <f>VLOOKUP($A8,historia!$A$5:$CM$24,+HLOOKUP(AY$2,historia!$A$3:$EC$4,2,FALSE),FALSE)</f>
        <v>1</v>
      </c>
      <c r="AZ8" s="58">
        <f>VLOOKUP($A8,historia!$A$5:$CM$24,+HLOOKUP(AZ$2,historia!$A$3:$EC$4,2,FALSE),FALSE)</f>
        <v>1</v>
      </c>
      <c r="BA8" s="58">
        <f>VLOOKUP($A8,historia!$A$5:$CM$24,+HLOOKUP(BA$2,historia!$A$3:$EC$4,2,FALSE),FALSE)</f>
        <v>2</v>
      </c>
      <c r="BB8" s="30"/>
      <c r="BC8" s="141">
        <v>2</v>
      </c>
      <c r="BD8" t="str">
        <f t="shared" si="19"/>
        <v>Aves</v>
      </c>
      <c r="BE8">
        <f>+datos!BQ1</f>
        <v>69</v>
      </c>
      <c r="BF8" s="2" t="str">
        <f t="shared" si="4"/>
        <v>prom pond huevo-carne</v>
      </c>
      <c r="BG8" s="2">
        <f t="shared" si="4"/>
        <v>1729.7739999999999</v>
      </c>
      <c r="BH8" s="2">
        <f t="shared" si="4"/>
        <v>1568.836</v>
      </c>
      <c r="BI8" s="2">
        <f t="shared" si="4"/>
        <v>465.93</v>
      </c>
      <c r="BK8">
        <f>+datos!DG1</f>
        <v>111</v>
      </c>
      <c r="BL8" s="2">
        <f t="shared" si="20"/>
        <v>7037.0679891081591</v>
      </c>
      <c r="BM8" s="2">
        <f t="shared" si="20"/>
        <v>6574.5178008621442</v>
      </c>
      <c r="BN8" s="2">
        <f t="shared" si="20"/>
        <v>2354.390062382497</v>
      </c>
      <c r="BP8" s="1">
        <f>+datos!EP1</f>
        <v>146</v>
      </c>
      <c r="BQ8" s="1">
        <f t="shared" si="21"/>
        <v>9215</v>
      </c>
      <c r="BR8" s="1">
        <f t="shared" si="21"/>
        <v>9305</v>
      </c>
      <c r="BT8" s="1">
        <f>+datos!HM1</f>
        <v>221</v>
      </c>
      <c r="BU8" s="1">
        <f t="shared" si="22"/>
        <v>2365457.48</v>
      </c>
      <c r="BV8" s="1">
        <f t="shared" si="22"/>
        <v>2379253.2400000002</v>
      </c>
      <c r="BX8" s="1">
        <f>+datos!KF1</f>
        <v>292</v>
      </c>
      <c r="BY8" s="1">
        <f t="shared" si="39"/>
        <v>371.31478780999998</v>
      </c>
      <c r="BZ8" s="1">
        <f t="shared" si="40"/>
        <v>560.04340704999993</v>
      </c>
      <c r="CB8" s="1">
        <f>+datos!LK1</f>
        <v>323</v>
      </c>
      <c r="CC8" s="2">
        <f t="shared" si="23"/>
        <v>41.384700089999995</v>
      </c>
      <c r="CD8" s="2">
        <f t="shared" si="24"/>
        <v>42.201864620000002</v>
      </c>
      <c r="CF8" s="1">
        <f>+datos!IL1</f>
        <v>246</v>
      </c>
      <c r="CG8" s="1">
        <f t="shared" si="25"/>
        <v>46.23</v>
      </c>
      <c r="CH8" s="1">
        <f t="shared" si="26"/>
        <v>45.74</v>
      </c>
      <c r="CJ8" s="1">
        <f t="shared" si="27"/>
        <v>39.062197300000001</v>
      </c>
      <c r="CK8" s="1">
        <f t="shared" si="27"/>
        <v>40.013868680000002</v>
      </c>
      <c r="CL8" s="1">
        <f t="shared" si="27"/>
        <v>35.607742460000011</v>
      </c>
      <c r="CM8" s="1">
        <f t="shared" si="27"/>
        <v>32.51792974</v>
      </c>
      <c r="CN8" s="1">
        <f t="shared" si="27"/>
        <v>35.210116300000003</v>
      </c>
      <c r="CO8" s="1">
        <f t="shared" si="27"/>
        <v>30.603465830000005</v>
      </c>
      <c r="CP8" s="1">
        <f t="shared" si="27"/>
        <v>35.017556320000004</v>
      </c>
      <c r="CQ8" s="1">
        <f t="shared" si="27"/>
        <v>24.343011479999998</v>
      </c>
      <c r="CR8" s="1">
        <f t="shared" si="27"/>
        <v>32.053320659999997</v>
      </c>
      <c r="CS8" s="1">
        <f t="shared" si="27"/>
        <v>25.827296739999998</v>
      </c>
      <c r="CT8" s="1">
        <f t="shared" si="27"/>
        <v>20.281404040000002</v>
      </c>
      <c r="CU8" s="1">
        <f t="shared" si="27"/>
        <v>20.776878260000004</v>
      </c>
      <c r="CV8" s="1">
        <f t="shared" si="27"/>
        <v>18.00257775</v>
      </c>
      <c r="CW8" s="1">
        <f t="shared" si="27"/>
        <v>18.061317600000002</v>
      </c>
      <c r="CX8" s="1">
        <f t="shared" si="27"/>
        <v>50.712421620000008</v>
      </c>
      <c r="CY8" s="1">
        <f t="shared" si="27"/>
        <v>45.90045215</v>
      </c>
      <c r="CZ8" s="1">
        <f t="shared" si="28"/>
        <v>47.273016750000004</v>
      </c>
      <c r="DA8" s="1">
        <f t="shared" si="28"/>
        <v>53.715518810000006</v>
      </c>
      <c r="DB8" s="1">
        <f t="shared" si="28"/>
        <v>52.265948369999997</v>
      </c>
      <c r="DC8" s="1">
        <f t="shared" si="28"/>
        <v>57.828382590000011</v>
      </c>
      <c r="DD8" s="1">
        <f t="shared" si="28"/>
        <v>63.168661010000001</v>
      </c>
      <c r="DE8" s="1">
        <f t="shared" si="28"/>
        <v>52.541029930000001</v>
      </c>
      <c r="DF8" s="1">
        <f t="shared" si="28"/>
        <v>52.931487239999996</v>
      </c>
      <c r="DG8" s="1">
        <f t="shared" si="28"/>
        <v>47.642593229999996</v>
      </c>
      <c r="DI8" s="1">
        <f t="shared" si="29"/>
        <v>4.2232492399999995</v>
      </c>
      <c r="DJ8" s="1">
        <f t="shared" si="29"/>
        <v>1.27466579</v>
      </c>
      <c r="DK8" s="1">
        <f t="shared" si="29"/>
        <v>1.8857013599999999</v>
      </c>
      <c r="DL8" s="1">
        <f t="shared" si="29"/>
        <v>4.07849503</v>
      </c>
      <c r="DM8" s="1">
        <f t="shared" si="29"/>
        <v>2.60999925</v>
      </c>
      <c r="DN8" s="1">
        <f t="shared" si="29"/>
        <v>4.3280037599999996</v>
      </c>
      <c r="DO8" s="1">
        <f t="shared" si="29"/>
        <v>3.9253711099999995</v>
      </c>
      <c r="DP8" s="1">
        <f t="shared" si="29"/>
        <v>2.66724104</v>
      </c>
      <c r="DQ8" s="1">
        <f t="shared" si="29"/>
        <v>1.3237541899999998</v>
      </c>
      <c r="DR8" s="1">
        <f t="shared" si="29"/>
        <v>4.0034089300000009</v>
      </c>
      <c r="DS8" s="1">
        <f t="shared" si="29"/>
        <v>4.2620939999999994</v>
      </c>
      <c r="DT8" s="1">
        <f t="shared" si="29"/>
        <v>6.8027163900000005</v>
      </c>
      <c r="DU8" s="1">
        <f t="shared" si="29"/>
        <v>1.73014019</v>
      </c>
      <c r="DV8" s="1">
        <f t="shared" si="29"/>
        <v>6.4691643499999998</v>
      </c>
      <c r="DW8" s="1">
        <f t="shared" si="29"/>
        <v>1.80858622</v>
      </c>
      <c r="DX8" s="1">
        <f t="shared" si="29"/>
        <v>3.7432468400000003</v>
      </c>
      <c r="DY8" s="1">
        <f t="shared" si="30"/>
        <v>0.59472115000000003</v>
      </c>
      <c r="DZ8" s="1">
        <f t="shared" si="30"/>
        <v>5.9863547400000003</v>
      </c>
      <c r="EA8" s="1">
        <f t="shared" si="30"/>
        <v>1.02297792</v>
      </c>
      <c r="EB8" s="1">
        <f t="shared" si="30"/>
        <v>3.9990310300000003</v>
      </c>
      <c r="EC8" s="1">
        <f t="shared" si="30"/>
        <v>3.76265019</v>
      </c>
      <c r="ED8" s="1">
        <f t="shared" si="30"/>
        <v>2.4988292100000002</v>
      </c>
      <c r="EE8" s="1">
        <f t="shared" si="30"/>
        <v>6.8785433699999992</v>
      </c>
      <c r="EF8" s="1">
        <f t="shared" si="30"/>
        <v>3.7076194099999999</v>
      </c>
      <c r="EH8" s="14">
        <f t="shared" si="31"/>
        <v>46.23</v>
      </c>
      <c r="EI8" s="14">
        <f t="shared" si="31"/>
        <v>46.23</v>
      </c>
      <c r="EJ8" s="1">
        <f t="shared" si="31"/>
        <v>46.23</v>
      </c>
      <c r="EK8" s="1">
        <f t="shared" si="31"/>
        <v>48.52</v>
      </c>
      <c r="EL8" s="1">
        <f t="shared" si="31"/>
        <v>45.85</v>
      </c>
      <c r="EM8" s="1">
        <f t="shared" si="31"/>
        <v>46.03</v>
      </c>
      <c r="EN8" s="1">
        <f t="shared" si="31"/>
        <v>46.13</v>
      </c>
      <c r="EO8" s="1">
        <f t="shared" si="31"/>
        <v>45.88</v>
      </c>
      <c r="EP8" s="1">
        <f t="shared" si="31"/>
        <v>46.09</v>
      </c>
      <c r="EQ8" s="1">
        <f t="shared" si="31"/>
        <v>45.9</v>
      </c>
      <c r="ER8" s="1">
        <f t="shared" si="31"/>
        <v>46</v>
      </c>
      <c r="ES8" s="1">
        <f t="shared" si="31"/>
        <v>45.99</v>
      </c>
      <c r="ET8" s="1">
        <f t="shared" si="31"/>
        <v>45.74</v>
      </c>
      <c r="EU8" s="1">
        <f t="shared" si="31"/>
        <v>45.46</v>
      </c>
      <c r="EV8" s="1">
        <f t="shared" si="31"/>
        <v>45.56</v>
      </c>
      <c r="EW8" s="1">
        <f t="shared" si="31"/>
        <v>45.71</v>
      </c>
      <c r="EX8" s="1">
        <f t="shared" si="32"/>
        <v>45.71</v>
      </c>
      <c r="EY8" s="1">
        <f t="shared" si="32"/>
        <v>46.04</v>
      </c>
      <c r="EZ8" s="1">
        <f t="shared" si="32"/>
        <v>45.9</v>
      </c>
      <c r="FA8" s="1">
        <f t="shared" si="32"/>
        <v>48.39</v>
      </c>
      <c r="FB8" s="1">
        <f t="shared" si="32"/>
        <v>47.03</v>
      </c>
      <c r="FC8" s="1">
        <f t="shared" si="32"/>
        <v>45.75</v>
      </c>
      <c r="FD8" s="1">
        <f t="shared" si="32"/>
        <v>45.91</v>
      </c>
      <c r="FE8" s="1">
        <f t="shared" si="32"/>
        <v>44.361936471267661</v>
      </c>
      <c r="FG8" s="162">
        <f t="shared" si="33"/>
        <v>0.72360565521999387</v>
      </c>
    </row>
    <row r="9" spans="1:163" ht="18.75" customHeight="1">
      <c r="A9" s="244" t="s">
        <v>77</v>
      </c>
      <c r="B9" s="247"/>
      <c r="C9" s="228">
        <v>1</v>
      </c>
      <c r="D9" s="229">
        <v>1</v>
      </c>
      <c r="E9" s="253">
        <f t="shared" si="6"/>
        <v>5.9487288374403535E-2</v>
      </c>
      <c r="F9" s="254">
        <f t="shared" si="7"/>
        <v>-2.8832508380924438E-2</v>
      </c>
      <c r="G9" s="253">
        <f t="shared" si="8"/>
        <v>1.0652381015909596E-2</v>
      </c>
      <c r="H9" s="254">
        <f t="shared" si="9"/>
        <v>4.883490735849394E-2</v>
      </c>
      <c r="I9" s="253">
        <f t="shared" si="10"/>
        <v>3.1666474231565402</v>
      </c>
      <c r="J9" s="254">
        <f t="shared" si="11"/>
        <v>0.27256039403551435</v>
      </c>
      <c r="K9" s="253">
        <f t="shared" si="34"/>
        <v>2.7517396394803106</v>
      </c>
      <c r="L9" s="254">
        <f t="shared" si="12"/>
        <v>0.4149077836762296</v>
      </c>
      <c r="M9" s="255"/>
      <c r="N9" s="256">
        <v>1</v>
      </c>
      <c r="O9" s="253">
        <f t="shared" si="35"/>
        <v>-2.6892205286269899E-2</v>
      </c>
      <c r="P9" s="257">
        <f t="shared" si="36"/>
        <v>-2.6892205286269899E-2</v>
      </c>
      <c r="Q9" s="253">
        <f t="shared" si="13"/>
        <v>-9.8491227906933876E-3</v>
      </c>
      <c r="R9" s="257">
        <f t="shared" si="37"/>
        <v>-9.8491227906933876E-3</v>
      </c>
      <c r="S9" s="255"/>
      <c r="T9" s="256">
        <v>-2</v>
      </c>
      <c r="U9" s="253">
        <f t="shared" si="14"/>
        <v>-0.11709657376334426</v>
      </c>
      <c r="V9" s="258">
        <f t="shared" si="15"/>
        <v>-0.11709657376334426</v>
      </c>
      <c r="W9" s="253">
        <f t="shared" si="38"/>
        <v>-0.49963919110077781</v>
      </c>
      <c r="X9" s="258">
        <f t="shared" si="16"/>
        <v>-0.49963919110077781</v>
      </c>
      <c r="Y9" s="253">
        <f t="shared" si="17"/>
        <v>-1.8293895406641503E-2</v>
      </c>
      <c r="Z9" s="258">
        <f t="shared" si="18"/>
        <v>-1.8293895406641503E-2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P9" s="28">
        <f>VLOOKUP($A9,historia!$A$5:$CM$24,+HLOOKUP(AP$2,historia!$A$3:$EC$4,2,FALSE),FALSE)</f>
        <v>3</v>
      </c>
      <c r="AQ9" s="28">
        <f>VLOOKUP($A9,historia!$A$5:$CM$24,+HLOOKUP(AQ$2,historia!$A$3:$EC$4,2,FALSE),FALSE)</f>
        <v>4</v>
      </c>
      <c r="AR9" s="28">
        <f>VLOOKUP($A9,historia!$A$5:$CM$24,+HLOOKUP(AR$2,historia!$A$3:$EC$4,2,FALSE),FALSE)</f>
        <v>4</v>
      </c>
      <c r="AS9" s="28">
        <f>VLOOKUP($A9,historia!$A$5:$CM$24,+HLOOKUP(AS$2,historia!$A$3:$EC$4,2,FALSE),FALSE)</f>
        <v>4</v>
      </c>
      <c r="AT9" s="58">
        <f>VLOOKUP($A9,historia!$A$5:$CM$24,+HLOOKUP(AT$2,historia!$A$3:$EC$4,2,FALSE),FALSE)</f>
        <v>4</v>
      </c>
      <c r="AU9" s="58">
        <f>VLOOKUP($A9,historia!$A$5:$CM$24,+HLOOKUP(AU$2,historia!$A$3:$EC$4,2,FALSE),FALSE)</f>
        <v>3</v>
      </c>
      <c r="AV9" s="58">
        <f>VLOOKUP($A9,historia!$A$5:$CM$24,+HLOOKUP(AV$2,historia!$A$3:$EC$4,2,FALSE),FALSE)</f>
        <v>3</v>
      </c>
      <c r="AW9" s="58">
        <f>VLOOKUP($A9,historia!$A$5:$CM$24,+HLOOKUP(AW$2,historia!$A$3:$EC$4,2,FALSE),FALSE)</f>
        <v>3</v>
      </c>
      <c r="AX9" s="58">
        <f>VLOOKUP($A9,historia!$A$5:$CM$24,+HLOOKUP(AX$2,historia!$A$3:$EC$4,2,FALSE),FALSE)</f>
        <v>2</v>
      </c>
      <c r="AY9" s="58">
        <f>VLOOKUP($A9,historia!$A$5:$CM$24,+HLOOKUP(AY$2,historia!$A$3:$EC$4,2,FALSE),FALSE)</f>
        <v>2</v>
      </c>
      <c r="AZ9" s="58">
        <f>VLOOKUP($A9,historia!$A$5:$CM$24,+HLOOKUP(AZ$2,historia!$A$3:$EC$4,2,FALSE),FALSE)</f>
        <v>2</v>
      </c>
      <c r="BA9" s="58">
        <f>VLOOKUP($A9,historia!$A$5:$CM$24,+HLOOKUP(BA$2,historia!$A$3:$EC$4,2,FALSE),FALSE)</f>
        <v>4</v>
      </c>
      <c r="BB9" s="30"/>
      <c r="BC9" s="141">
        <v>4</v>
      </c>
      <c r="BD9" t="str">
        <f t="shared" si="19"/>
        <v>Bovinos</v>
      </c>
      <c r="BE9">
        <f>+datos!BM1</f>
        <v>65</v>
      </c>
      <c r="BF9" s="2" t="str">
        <f t="shared" si="4"/>
        <v>$/kg</v>
      </c>
      <c r="BG9" s="2">
        <f t="shared" si="4"/>
        <v>2020.874</v>
      </c>
      <c r="BH9" s="2">
        <f t="shared" si="4"/>
        <v>1907.4074999999998</v>
      </c>
      <c r="BI9" s="2">
        <f t="shared" si="4"/>
        <v>485.012</v>
      </c>
      <c r="BK9">
        <f>+datos!DB1</f>
        <v>106</v>
      </c>
      <c r="BL9" s="2">
        <f t="shared" si="20"/>
        <v>7643.0374229424333</v>
      </c>
      <c r="BM9" s="2">
        <f t="shared" si="20"/>
        <v>7562.4790150493081</v>
      </c>
      <c r="BN9" s="2">
        <f t="shared" si="20"/>
        <v>2037.1982486506297</v>
      </c>
      <c r="BP9" s="1">
        <f>+datos!EH1</f>
        <v>138</v>
      </c>
      <c r="BQ9" s="1">
        <f t="shared" si="21"/>
        <v>52783892</v>
      </c>
      <c r="BR9" s="1">
        <f t="shared" si="21"/>
        <v>54242595</v>
      </c>
      <c r="BT9" s="1">
        <f>+datos!HB1</f>
        <v>210</v>
      </c>
      <c r="BU9" s="1">
        <f t="shared" si="22"/>
        <v>3192390</v>
      </c>
      <c r="BV9" s="1">
        <f t="shared" si="22"/>
        <v>3224145</v>
      </c>
      <c r="BX9" s="1">
        <f>+datos!KG1</f>
        <v>293</v>
      </c>
      <c r="BY9" s="1">
        <f t="shared" si="39"/>
        <v>3996.8447877199997</v>
      </c>
      <c r="BZ9" s="1">
        <f t="shared" si="40"/>
        <v>4526.9331491399998</v>
      </c>
      <c r="CB9" s="1">
        <f>+datos!LL1</f>
        <v>324</v>
      </c>
      <c r="CC9" s="2">
        <f t="shared" si="23"/>
        <v>37.905785570000006</v>
      </c>
      <c r="CD9" s="2">
        <f t="shared" si="24"/>
        <v>75.756903610000009</v>
      </c>
      <c r="CF9" s="1">
        <f>+datos!IM1</f>
        <v>247</v>
      </c>
      <c r="CG9" s="1">
        <f t="shared" si="25"/>
        <v>49.37</v>
      </c>
      <c r="CH9" s="1">
        <f t="shared" si="26"/>
        <v>50.29</v>
      </c>
      <c r="CJ9" s="1">
        <f t="shared" si="27"/>
        <v>316.28118749999999</v>
      </c>
      <c r="CK9" s="1">
        <f t="shared" si="27"/>
        <v>350.14414257999977</v>
      </c>
      <c r="CL9" s="1">
        <f t="shared" si="27"/>
        <v>342.85888695999995</v>
      </c>
      <c r="CM9" s="1">
        <f t="shared" si="27"/>
        <v>324.84866957999998</v>
      </c>
      <c r="CN9" s="1">
        <f t="shared" si="27"/>
        <v>325.97502911999987</v>
      </c>
      <c r="CO9" s="1">
        <f t="shared" si="27"/>
        <v>321.39038838999994</v>
      </c>
      <c r="CP9" s="1">
        <f t="shared" si="27"/>
        <v>273.58963931999995</v>
      </c>
      <c r="CQ9" s="1">
        <f t="shared" si="27"/>
        <v>292.91820976000002</v>
      </c>
      <c r="CR9" s="1">
        <f t="shared" si="27"/>
        <v>371.72573624</v>
      </c>
      <c r="CS9" s="1">
        <f t="shared" si="27"/>
        <v>378.12790802000001</v>
      </c>
      <c r="CT9" s="1">
        <f t="shared" si="27"/>
        <v>308.34921994000001</v>
      </c>
      <c r="CU9" s="1">
        <f t="shared" si="27"/>
        <v>390.63577031</v>
      </c>
      <c r="CV9" s="1">
        <f t="shared" si="27"/>
        <v>337.45013477999998</v>
      </c>
      <c r="CW9" s="1">
        <f t="shared" si="27"/>
        <v>339.25205494000011</v>
      </c>
      <c r="CX9" s="1">
        <f t="shared" si="27"/>
        <v>296.44265344999985</v>
      </c>
      <c r="CY9" s="1">
        <f t="shared" si="27"/>
        <v>285.75014393999987</v>
      </c>
      <c r="CZ9" s="1">
        <f t="shared" si="28"/>
        <v>285.58164063999999</v>
      </c>
      <c r="DA9" s="1">
        <f t="shared" si="28"/>
        <v>342.68232461000008</v>
      </c>
      <c r="DB9" s="1">
        <f t="shared" si="28"/>
        <v>391.68086485999982</v>
      </c>
      <c r="DC9" s="1">
        <f t="shared" si="28"/>
        <v>421.96396532</v>
      </c>
      <c r="DD9" s="1">
        <f t="shared" si="28"/>
        <v>444.66007973000006</v>
      </c>
      <c r="DE9" s="1">
        <f t="shared" si="28"/>
        <v>462.76323376000011</v>
      </c>
      <c r="DF9" s="1">
        <f t="shared" si="28"/>
        <v>455.63660227999975</v>
      </c>
      <c r="DG9" s="1">
        <f t="shared" si="28"/>
        <v>463.06945083000005</v>
      </c>
      <c r="DI9" s="1">
        <f t="shared" si="29"/>
        <v>3.6004889900000006</v>
      </c>
      <c r="DJ9" s="1">
        <f t="shared" si="29"/>
        <v>2.2940615100000001</v>
      </c>
      <c r="DK9" s="1">
        <f t="shared" si="29"/>
        <v>1.2696953500000001</v>
      </c>
      <c r="DL9" s="1">
        <f t="shared" si="29"/>
        <v>1.4792882700000001</v>
      </c>
      <c r="DM9" s="1">
        <f t="shared" si="29"/>
        <v>3.3410357400000001</v>
      </c>
      <c r="DN9" s="1">
        <f t="shared" si="29"/>
        <v>3.5927978000000009</v>
      </c>
      <c r="DO9" s="1">
        <f t="shared" si="29"/>
        <v>2.53051044</v>
      </c>
      <c r="DP9" s="1">
        <f t="shared" si="29"/>
        <v>2.3401237999999998</v>
      </c>
      <c r="DQ9" s="1">
        <f t="shared" si="29"/>
        <v>2.4632922899999996</v>
      </c>
      <c r="DR9" s="1">
        <f t="shared" si="29"/>
        <v>3.8179622399999995</v>
      </c>
      <c r="DS9" s="1">
        <f t="shared" si="29"/>
        <v>3.8355995800000002</v>
      </c>
      <c r="DT9" s="1">
        <f t="shared" si="29"/>
        <v>7.3409295600000002</v>
      </c>
      <c r="DU9" s="1">
        <f t="shared" si="29"/>
        <v>3.8261937100000005</v>
      </c>
      <c r="DV9" s="1">
        <f t="shared" si="29"/>
        <v>5.3486285699999998</v>
      </c>
      <c r="DW9" s="1">
        <f t="shared" si="29"/>
        <v>4.398381099999999</v>
      </c>
      <c r="DX9" s="1">
        <f t="shared" si="29"/>
        <v>4.3987828499999999</v>
      </c>
      <c r="DY9" s="1">
        <f t="shared" si="30"/>
        <v>1.58647798</v>
      </c>
      <c r="DZ9" s="1">
        <f t="shared" si="30"/>
        <v>2.6207546900000001</v>
      </c>
      <c r="EA9" s="1">
        <f t="shared" si="30"/>
        <v>6.877667439999998</v>
      </c>
      <c r="EB9" s="1">
        <f t="shared" si="30"/>
        <v>6.5255502400000012</v>
      </c>
      <c r="EC9" s="1">
        <f t="shared" si="30"/>
        <v>13.413963769999999</v>
      </c>
      <c r="ED9" s="1">
        <f t="shared" si="30"/>
        <v>5.3105555200000003</v>
      </c>
      <c r="EE9" s="1">
        <f t="shared" si="30"/>
        <v>9.8886848400000016</v>
      </c>
      <c r="EF9" s="1">
        <f t="shared" si="30"/>
        <v>11.561262900000001</v>
      </c>
      <c r="EH9" s="14">
        <f t="shared" si="31"/>
        <v>49.37</v>
      </c>
      <c r="EI9" s="14">
        <f t="shared" si="31"/>
        <v>49.38</v>
      </c>
      <c r="EJ9" s="1">
        <f t="shared" si="31"/>
        <v>51.48</v>
      </c>
      <c r="EK9" s="1">
        <f t="shared" si="31"/>
        <v>52.06</v>
      </c>
      <c r="EL9" s="1">
        <f t="shared" si="31"/>
        <v>42.59</v>
      </c>
      <c r="EM9" s="1">
        <f t="shared" si="31"/>
        <v>51.3</v>
      </c>
      <c r="EN9" s="1">
        <f t="shared" si="31"/>
        <v>51.15</v>
      </c>
      <c r="EO9" s="1">
        <f t="shared" si="31"/>
        <v>51.01</v>
      </c>
      <c r="EP9" s="1">
        <f t="shared" si="31"/>
        <v>51.15</v>
      </c>
      <c r="EQ9" s="1">
        <f t="shared" si="31"/>
        <v>51.72</v>
      </c>
      <c r="ER9" s="1">
        <f t="shared" si="31"/>
        <v>51.32</v>
      </c>
      <c r="ES9" s="1">
        <f t="shared" si="31"/>
        <v>50.44</v>
      </c>
      <c r="ET9" s="1">
        <f t="shared" si="31"/>
        <v>50.29</v>
      </c>
      <c r="EU9" s="1">
        <f t="shared" si="31"/>
        <v>50.29</v>
      </c>
      <c r="EV9" s="1">
        <f t="shared" si="31"/>
        <v>49.14</v>
      </c>
      <c r="EW9" s="1">
        <f t="shared" si="31"/>
        <v>48.66</v>
      </c>
      <c r="EX9" s="1">
        <f t="shared" si="32"/>
        <v>48.66</v>
      </c>
      <c r="EY9" s="1">
        <f t="shared" si="32"/>
        <v>48.3</v>
      </c>
      <c r="EZ9" s="1">
        <f t="shared" si="32"/>
        <v>48.39</v>
      </c>
      <c r="FA9" s="1">
        <f t="shared" si="32"/>
        <v>48.62</v>
      </c>
      <c r="FB9" s="1">
        <f t="shared" si="32"/>
        <v>48.17</v>
      </c>
      <c r="FC9" s="1">
        <f t="shared" si="32"/>
        <v>48.03</v>
      </c>
      <c r="FD9" s="1">
        <f t="shared" si="32"/>
        <v>48.58</v>
      </c>
      <c r="FE9" s="1">
        <f t="shared" si="32"/>
        <v>49.05</v>
      </c>
      <c r="FG9" s="162">
        <f t="shared" si="33"/>
        <v>0.4149077836762296</v>
      </c>
    </row>
    <row r="10" spans="1:163" ht="18.600000000000001" customHeight="1">
      <c r="A10" s="263" t="s">
        <v>221</v>
      </c>
      <c r="B10" s="246"/>
      <c r="C10" s="156">
        <f t="shared" si="5"/>
        <v>-0.66</v>
      </c>
      <c r="D10" s="198">
        <v>-1</v>
      </c>
      <c r="E10" s="248">
        <f t="shared" si="6"/>
        <v>-0.24581330470968699</v>
      </c>
      <c r="F10" s="249">
        <f t="shared" si="7"/>
        <v>-0.33413310146501496</v>
      </c>
      <c r="G10" s="248">
        <f t="shared" si="8"/>
        <v>3.8617066915702658E-3</v>
      </c>
      <c r="H10" s="249">
        <f t="shared" si="9"/>
        <v>-0.24967501140125725</v>
      </c>
      <c r="I10" s="248">
        <f t="shared" si="10"/>
        <v>1.0268014461088995</v>
      </c>
      <c r="J10" s="249">
        <f t="shared" si="11"/>
        <v>-1.8672855830121264</v>
      </c>
      <c r="K10" s="248">
        <f t="shared" si="34"/>
        <v>2.4374901498567563</v>
      </c>
      <c r="L10" s="249">
        <f t="shared" si="12"/>
        <v>-1.4106887037478568</v>
      </c>
      <c r="M10" s="250"/>
      <c r="N10" s="24">
        <v>0</v>
      </c>
      <c r="O10" s="248">
        <f t="shared" si="35"/>
        <v>4.1543620801842707E-3</v>
      </c>
      <c r="P10" s="251">
        <f t="shared" si="36"/>
        <v>4.1543620801842707E-3</v>
      </c>
      <c r="Q10" s="248">
        <f t="shared" si="13"/>
        <v>0.10798722044728426</v>
      </c>
      <c r="R10" s="251">
        <f t="shared" si="37"/>
        <v>0.10798722044728426</v>
      </c>
      <c r="S10" s="250"/>
      <c r="T10" s="24">
        <v>-1</v>
      </c>
      <c r="U10" s="248">
        <f t="shared" si="14"/>
        <v>8.2092635427510441E-2</v>
      </c>
      <c r="V10" s="252">
        <f t="shared" si="15"/>
        <v>8.2092635427510441E-2</v>
      </c>
      <c r="W10" s="248">
        <f t="shared" si="38"/>
        <v>-9.8040049461625145E-2</v>
      </c>
      <c r="X10" s="252">
        <f t="shared" si="16"/>
        <v>-9.8040049461625145E-2</v>
      </c>
      <c r="Y10" s="248">
        <f t="shared" si="17"/>
        <v>-0.11904761904761896</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P10" s="28">
        <f>VLOOKUP($A10,historia!$A$5:$CM$24,+HLOOKUP(AP$2,historia!$A$3:$EC$4,2,FALSE),FALSE)</f>
        <v>4</v>
      </c>
      <c r="AQ10" s="28">
        <f>VLOOKUP($A10,historia!$A$5:$CM$24,+HLOOKUP(AQ$2,historia!$A$3:$EC$4,2,FALSE),FALSE)</f>
        <v>5</v>
      </c>
      <c r="AR10" s="28">
        <f>VLOOKUP($A10,historia!$A$5:$CM$24,+HLOOKUP(AR$2,historia!$A$3:$EC$4,2,FALSE),FALSE)</f>
        <v>5</v>
      </c>
      <c r="AS10" s="28">
        <f>VLOOKUP($A10,historia!$A$5:$CM$24,+HLOOKUP(AS$2,historia!$A$3:$EC$4,2,FALSE),FALSE)</f>
        <v>5</v>
      </c>
      <c r="AT10" s="58">
        <f>VLOOKUP($A10,historia!$A$5:$CM$24,+HLOOKUP(AT$2,historia!$A$3:$EC$4,2,FALSE),FALSE)</f>
        <v>4</v>
      </c>
      <c r="AU10" s="58">
        <f>VLOOKUP($A10,historia!$A$5:$CM$24,+HLOOKUP(AU$2,historia!$A$3:$EC$4,2,FALSE),FALSE)</f>
        <v>4</v>
      </c>
      <c r="AV10" s="58">
        <f>VLOOKUP($A10,historia!$A$5:$CM$24,+HLOOKUP(AV$2,historia!$A$3:$EC$4,2,FALSE),FALSE)</f>
        <v>4</v>
      </c>
      <c r="AW10" s="58">
        <f>VLOOKUP($A10,historia!$A$5:$CM$24,+HLOOKUP(AW$2,historia!$A$3:$EC$4,2,FALSE),FALSE)</f>
        <v>5</v>
      </c>
      <c r="AX10" s="58">
        <f>VLOOKUP($A10,historia!$A$5:$CM$24,+HLOOKUP(AX$2,historia!$A$3:$EC$4,2,FALSE),FALSE)</f>
        <v>3</v>
      </c>
      <c r="AY10" s="58">
        <f>VLOOKUP($A10,historia!$A$5:$CM$24,+HLOOKUP(AY$2,historia!$A$3:$EC$4,2,FALSE),FALSE)</f>
        <v>3</v>
      </c>
      <c r="AZ10" s="58">
        <f>VLOOKUP($A10,historia!$A$5:$CM$24,+HLOOKUP(AZ$2,historia!$A$3:$EC$4,2,FALSE),FALSE)</f>
        <v>4</v>
      </c>
      <c r="BA10" s="58">
        <f>VLOOKUP($A10,historia!$A$5:$CM$24,+HLOOKUP(BA$2,historia!$A$3:$EC$4,2,FALSE),FALSE)</f>
        <v>4</v>
      </c>
      <c r="BB10" s="30"/>
      <c r="BC10" s="141">
        <v>4</v>
      </c>
      <c r="BD10" t="str">
        <f t="shared" si="19"/>
        <v>Cítricos Dulces</v>
      </c>
      <c r="BE10">
        <f>+datos!AU1</f>
        <v>47</v>
      </c>
      <c r="BF10" s="2" t="str">
        <f t="shared" si="4"/>
        <v>$/caja 18kg</v>
      </c>
      <c r="BG10" s="2">
        <f t="shared" si="4"/>
        <v>11175.997113997115</v>
      </c>
      <c r="BH10" s="2">
        <f t="shared" si="4"/>
        <v>14818.608156028369</v>
      </c>
      <c r="BI10" s="2">
        <f t="shared" si="4"/>
        <v>5514.1055555555549</v>
      </c>
      <c r="BK10">
        <f>+datos!CX1</f>
        <v>102</v>
      </c>
      <c r="BL10" s="2">
        <f t="shared" si="20"/>
        <v>7402.9343740735321</v>
      </c>
      <c r="BM10" s="2">
        <f t="shared" si="20"/>
        <v>7374.4563864990951</v>
      </c>
      <c r="BN10" s="2">
        <f t="shared" si="20"/>
        <v>2153.5870799170202</v>
      </c>
      <c r="BP10" s="1">
        <f>+datos!ER1</f>
        <v>148</v>
      </c>
      <c r="BQ10" s="1">
        <f t="shared" si="21"/>
        <v>80248</v>
      </c>
      <c r="BR10" s="1">
        <f t="shared" si="21"/>
        <v>79916</v>
      </c>
      <c r="BT10" s="1">
        <f>+datos!GH1</f>
        <v>190</v>
      </c>
      <c r="BU10" s="1">
        <f t="shared" si="22"/>
        <v>1734000</v>
      </c>
      <c r="BV10" s="1">
        <f t="shared" si="22"/>
        <v>1565000</v>
      </c>
      <c r="BX10" s="1">
        <f>+datos!LT1</f>
        <v>332</v>
      </c>
      <c r="BY10" s="1">
        <f t="shared" si="39"/>
        <v>54.113394589999992</v>
      </c>
      <c r="BZ10" s="1">
        <f t="shared" si="40"/>
        <v>50.008098029999999</v>
      </c>
      <c r="CA10" s="1"/>
      <c r="CB10" s="1">
        <f>+datos!LX1</f>
        <v>336</v>
      </c>
      <c r="CC10" s="2">
        <f t="shared" si="23"/>
        <v>4.6444341600000012</v>
      </c>
      <c r="CD10" s="2">
        <f t="shared" si="24"/>
        <v>5.1492687200000002</v>
      </c>
      <c r="CF10" s="1">
        <f>+datos!IV1</f>
        <v>256</v>
      </c>
      <c r="CG10" s="1">
        <f t="shared" si="25"/>
        <v>17.39</v>
      </c>
      <c r="CH10" s="1">
        <f t="shared" si="26"/>
        <v>19.739999999999998</v>
      </c>
      <c r="CJ10" s="1">
        <f t="shared" si="27"/>
        <v>3.2785219999999997</v>
      </c>
      <c r="CK10" s="1">
        <f t="shared" si="27"/>
        <v>2.8661316999999999</v>
      </c>
      <c r="CL10" s="1">
        <f t="shared" si="27"/>
        <v>3.3581509099999995</v>
      </c>
      <c r="CM10" s="1">
        <f t="shared" si="27"/>
        <v>4.3519123000000004</v>
      </c>
      <c r="CN10" s="1">
        <f t="shared" si="27"/>
        <v>3.6482140500000004</v>
      </c>
      <c r="CO10" s="1">
        <f t="shared" si="27"/>
        <v>7.8852843799999999</v>
      </c>
      <c r="CP10" s="1">
        <f t="shared" si="27"/>
        <v>4.4927710999999997</v>
      </c>
      <c r="CQ10" s="1">
        <f t="shared" si="27"/>
        <v>3.9018705800000002</v>
      </c>
      <c r="CR10" s="1">
        <f t="shared" si="27"/>
        <v>10.723855849999996</v>
      </c>
      <c r="CS10" s="1">
        <f t="shared" si="27"/>
        <v>7.5775361799999992</v>
      </c>
      <c r="CT10" s="1">
        <f t="shared" si="27"/>
        <v>1.25129154</v>
      </c>
      <c r="CU10" s="1">
        <f t="shared" si="27"/>
        <v>0.77785399999999993</v>
      </c>
      <c r="CV10" s="1">
        <f t="shared" si="27"/>
        <v>1.96707276</v>
      </c>
      <c r="CW10" s="1">
        <f t="shared" si="27"/>
        <v>1.7333935799999998</v>
      </c>
      <c r="CX10" s="1">
        <f t="shared" si="27"/>
        <v>4.5063326699999999</v>
      </c>
      <c r="CY10" s="1">
        <f t="shared" si="27"/>
        <v>2.6066778199999998</v>
      </c>
      <c r="CZ10" s="1">
        <f t="shared" si="28"/>
        <v>1.98627314</v>
      </c>
      <c r="DA10" s="1">
        <f t="shared" si="28"/>
        <v>2.7714215800000002</v>
      </c>
      <c r="DB10" s="1">
        <f t="shared" si="28"/>
        <v>4.7911063299999999</v>
      </c>
      <c r="DC10" s="1">
        <f t="shared" si="28"/>
        <v>4.2890642899999998</v>
      </c>
      <c r="DD10" s="1">
        <f t="shared" si="28"/>
        <v>10.91414737</v>
      </c>
      <c r="DE10" s="1">
        <f t="shared" si="28"/>
        <v>7.8324679500000007</v>
      </c>
      <c r="DF10" s="1">
        <f t="shared" si="28"/>
        <v>4.3051329900000006</v>
      </c>
      <c r="DG10" s="1">
        <f t="shared" si="28"/>
        <v>2.30500755</v>
      </c>
      <c r="DI10" s="1">
        <f t="shared" si="29"/>
        <v>0.82950560000000007</v>
      </c>
      <c r="DJ10" s="1">
        <f t="shared" si="29"/>
        <v>1.06715808</v>
      </c>
      <c r="DK10" s="1">
        <f t="shared" si="29"/>
        <v>0.57276656999999997</v>
      </c>
      <c r="DL10" s="1">
        <f t="shared" si="29"/>
        <v>0.50591796999999994</v>
      </c>
      <c r="DM10" s="1">
        <f t="shared" si="29"/>
        <v>0.37369366000000004</v>
      </c>
      <c r="DN10" s="1">
        <f t="shared" si="29"/>
        <v>1.8223369999999999E-2</v>
      </c>
      <c r="DO10" s="1">
        <f t="shared" si="29"/>
        <v>0.26981320000000003</v>
      </c>
      <c r="DP10" s="1">
        <f t="shared" si="29"/>
        <v>0.36129600000000001</v>
      </c>
      <c r="DQ10" s="1">
        <f t="shared" si="29"/>
        <v>3.0606999999999997E-4</v>
      </c>
      <c r="DR10" s="1">
        <f t="shared" si="29"/>
        <v>0.33402694999999999</v>
      </c>
      <c r="DS10" s="1">
        <f t="shared" si="29"/>
        <v>0</v>
      </c>
      <c r="DT10" s="1">
        <f t="shared" si="29"/>
        <v>0.31172668999999997</v>
      </c>
      <c r="DU10" s="1">
        <f t="shared" si="29"/>
        <v>1.32104435</v>
      </c>
      <c r="DV10" s="1">
        <f t="shared" si="29"/>
        <v>1.2081202200000001</v>
      </c>
      <c r="DW10" s="1">
        <f t="shared" si="29"/>
        <v>0.6520337100000001</v>
      </c>
      <c r="DX10" s="1">
        <f t="shared" si="29"/>
        <v>0.45880662999999999</v>
      </c>
      <c r="DY10" s="1">
        <f t="shared" si="30"/>
        <v>0</v>
      </c>
      <c r="DZ10" s="1">
        <f t="shared" si="30"/>
        <v>4.77876E-2</v>
      </c>
      <c r="EA10" s="1">
        <f t="shared" si="30"/>
        <v>1.4227200000000001E-2</v>
      </c>
      <c r="EB10" s="1">
        <f t="shared" si="30"/>
        <v>2.7328829999999998E-2</v>
      </c>
      <c r="EC10" s="1">
        <f t="shared" si="30"/>
        <v>5.6926980000000002E-2</v>
      </c>
      <c r="ED10" s="1">
        <f t="shared" si="30"/>
        <v>0.59636825999999998</v>
      </c>
      <c r="EE10" s="1">
        <f t="shared" si="30"/>
        <v>0.61726981999999997</v>
      </c>
      <c r="EF10" s="1">
        <f t="shared" si="30"/>
        <v>0.14935512000000001</v>
      </c>
      <c r="EH10" s="14">
        <f t="shared" si="31"/>
        <v>17.39</v>
      </c>
      <c r="EI10" s="14">
        <f t="shared" si="31"/>
        <v>17.39</v>
      </c>
      <c r="EJ10" s="1">
        <f t="shared" si="31"/>
        <v>17.39</v>
      </c>
      <c r="EK10" s="1">
        <f t="shared" si="31"/>
        <v>17.39</v>
      </c>
      <c r="EL10" s="1">
        <f t="shared" si="31"/>
        <v>19.739999999999998</v>
      </c>
      <c r="EM10" s="1">
        <f t="shared" si="31"/>
        <v>19.739999999999998</v>
      </c>
      <c r="EN10" s="1">
        <f t="shared" si="31"/>
        <v>19.739999999999998</v>
      </c>
      <c r="EO10" s="1">
        <f t="shared" si="31"/>
        <v>19.739999999999998</v>
      </c>
      <c r="EP10" s="1">
        <f t="shared" si="31"/>
        <v>19.739999999999998</v>
      </c>
      <c r="EQ10" s="1">
        <f t="shared" si="31"/>
        <v>19.739999999999998</v>
      </c>
      <c r="ER10" s="1">
        <f t="shared" si="31"/>
        <v>19.739999999999998</v>
      </c>
      <c r="ES10" s="1">
        <f t="shared" si="31"/>
        <v>19.739999999999998</v>
      </c>
      <c r="ET10" s="1">
        <f t="shared" si="31"/>
        <v>19.739999999999998</v>
      </c>
      <c r="EU10" s="1">
        <f t="shared" si="31"/>
        <v>19.739999999999998</v>
      </c>
      <c r="EV10" s="1">
        <f t="shared" si="31"/>
        <v>19.739999999999998</v>
      </c>
      <c r="EW10" s="1">
        <f t="shared" si="31"/>
        <v>19.739999999999998</v>
      </c>
      <c r="EX10" s="1">
        <f t="shared" si="32"/>
        <v>18.77</v>
      </c>
      <c r="EY10" s="1">
        <f t="shared" si="32"/>
        <v>18.77</v>
      </c>
      <c r="EZ10" s="1">
        <f t="shared" si="32"/>
        <v>18.77</v>
      </c>
      <c r="FA10" s="1">
        <f t="shared" si="32"/>
        <v>18.77</v>
      </c>
      <c r="FB10" s="1">
        <f t="shared" si="32"/>
        <v>18.77</v>
      </c>
      <c r="FC10" s="1">
        <f t="shared" si="32"/>
        <v>18.77</v>
      </c>
      <c r="FD10" s="1">
        <f t="shared" si="32"/>
        <v>18.77</v>
      </c>
      <c r="FE10" s="1">
        <f t="shared" si="32"/>
        <v>18.77</v>
      </c>
      <c r="FG10" s="162">
        <f t="shared" si="33"/>
        <v>-1.4106887037478568</v>
      </c>
    </row>
    <row r="11" spans="1:163" ht="18.75" customHeight="1">
      <c r="A11" s="244" t="s">
        <v>116</v>
      </c>
      <c r="B11" s="247"/>
      <c r="C11" s="228">
        <f t="shared" si="5"/>
        <v>0</v>
      </c>
      <c r="D11" s="229">
        <v>1</v>
      </c>
      <c r="E11" s="253">
        <f t="shared" si="6"/>
        <v>9.4136663809437859E-2</v>
      </c>
      <c r="F11" s="254">
        <f t="shared" si="7"/>
        <v>5.8168670541098866E-3</v>
      </c>
      <c r="G11" s="253">
        <f t="shared" si="8"/>
        <v>4.0397958743243922E-2</v>
      </c>
      <c r="H11" s="254">
        <f t="shared" si="9"/>
        <v>5.3738705066193937E-2</v>
      </c>
      <c r="I11" s="253">
        <f t="shared" si="10"/>
        <v>3.5035985767426814</v>
      </c>
      <c r="J11" s="254">
        <f t="shared" si="11"/>
        <v>0.60951154762165549</v>
      </c>
      <c r="K11" s="253">
        <f t="shared" si="34"/>
        <v>2.9009480552082243</v>
      </c>
      <c r="L11" s="254">
        <f t="shared" si="12"/>
        <v>0.60265052153445708</v>
      </c>
      <c r="M11" s="255"/>
      <c r="N11" s="256"/>
      <c r="O11" s="253" t="str">
        <f t="shared" si="35"/>
        <v/>
      </c>
      <c r="P11" s="257" t="str">
        <f t="shared" si="36"/>
        <v/>
      </c>
      <c r="Q11" s="253">
        <f t="shared" si="13"/>
        <v>0</v>
      </c>
      <c r="R11" s="257">
        <f t="shared" si="37"/>
        <v>0</v>
      </c>
      <c r="S11" s="255"/>
      <c r="T11" s="24">
        <v>-1</v>
      </c>
      <c r="U11" s="253">
        <f t="shared" si="14"/>
        <v>-0.10277287296912774</v>
      </c>
      <c r="V11" s="258">
        <f t="shared" si="15"/>
        <v>-0.10277287296912774</v>
      </c>
      <c r="W11" s="253">
        <f t="shared" si="38"/>
        <v>-0.18996481385625896</v>
      </c>
      <c r="X11" s="258">
        <f t="shared" si="16"/>
        <v>-0.18996481385625896</v>
      </c>
      <c r="Y11" s="253" t="str">
        <f t="shared" si="17"/>
        <v/>
      </c>
      <c r="Z11" s="258" t="str">
        <f t="shared" si="18"/>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3</v>
      </c>
      <c r="AY11" s="58">
        <f>VLOOKUP($A11,historia!$A$5:$CM$24,+HLOOKUP(AY$2,historia!$A$3:$EC$4,2,FALSE),FALSE)</f>
        <v>3</v>
      </c>
      <c r="AZ11" s="58">
        <f>VLOOKUP($A11,historia!$A$5:$CM$24,+HLOOKUP(AZ$2,historia!$A$3:$EC$4,2,FALSE),FALSE)</f>
        <v>4</v>
      </c>
      <c r="BA11" s="58">
        <f>VLOOKUP($A11,historia!$A$5:$CM$24,+HLOOKUP(BA$2,historia!$A$3:$EC$4,2,FALSE),FALSE)</f>
        <v>4</v>
      </c>
      <c r="BB11" s="30"/>
      <c r="BC11" s="141">
        <v>4</v>
      </c>
      <c r="BD11" t="str">
        <f t="shared" si="19"/>
        <v>Forestal</v>
      </c>
      <c r="BE11">
        <f>+datos!BG1</f>
        <v>59</v>
      </c>
      <c r="BF11" s="2" t="str">
        <f t="shared" si="4"/>
        <v>$/t</v>
      </c>
      <c r="BG11" s="2">
        <f t="shared" si="4"/>
        <v>27845.75</v>
      </c>
      <c r="BH11" s="2">
        <f t="shared" si="4"/>
        <v>25449.97432317998</v>
      </c>
      <c r="BI11" s="2">
        <f t="shared" si="4"/>
        <v>6183</v>
      </c>
      <c r="BK11">
        <f>+datos!CZ1</f>
        <v>104</v>
      </c>
      <c r="BL11" s="2">
        <f t="shared" si="20"/>
        <v>8887.7720093943553</v>
      </c>
      <c r="BM11" s="2">
        <f t="shared" si="20"/>
        <v>8542.6657508348071</v>
      </c>
      <c r="BN11" s="2">
        <f t="shared" si="20"/>
        <v>2278.3620503554603</v>
      </c>
      <c r="BP11" s="1">
        <f>+datos!ES1</f>
        <v>149</v>
      </c>
      <c r="BQ11" s="1">
        <f t="shared" si="21"/>
        <v>0</v>
      </c>
      <c r="BR11" s="1">
        <f t="shared" si="21"/>
        <v>0</v>
      </c>
      <c r="BT11" s="1">
        <f>+datos!GI1</f>
        <v>191</v>
      </c>
      <c r="BU11" s="1">
        <f t="shared" si="22"/>
        <v>1302556</v>
      </c>
      <c r="BV11" s="1">
        <f t="shared" si="22"/>
        <v>1302556</v>
      </c>
      <c r="BX11" s="1">
        <f>+datos!KB1</f>
        <v>288</v>
      </c>
      <c r="BY11" s="1">
        <f t="shared" si="39"/>
        <v>306.28698819000005</v>
      </c>
      <c r="BZ11" s="1">
        <f t="shared" si="40"/>
        <v>341.37062842</v>
      </c>
      <c r="CB11" s="1">
        <f>+datos!LG1</f>
        <v>319</v>
      </c>
      <c r="CC11" s="2">
        <f t="shared" si="23"/>
        <v>215.66635994999999</v>
      </c>
      <c r="CD11" s="2">
        <f t="shared" si="24"/>
        <v>266.24319985</v>
      </c>
      <c r="CF11" s="1">
        <f>+datos!IW1</f>
        <v>257</v>
      </c>
      <c r="CG11" s="1">
        <f t="shared" si="25"/>
        <v>0</v>
      </c>
      <c r="CH11" s="1">
        <f t="shared" si="26"/>
        <v>0</v>
      </c>
      <c r="CJ11" s="1">
        <f t="shared" si="27"/>
        <v>32.635385889999995</v>
      </c>
      <c r="CK11" s="1">
        <f t="shared" si="27"/>
        <v>26.653198490000001</v>
      </c>
      <c r="CL11" s="1">
        <f t="shared" si="27"/>
        <v>23.932255000000001</v>
      </c>
      <c r="CM11" s="1">
        <f t="shared" si="27"/>
        <v>23.104867779999999</v>
      </c>
      <c r="CN11" s="1">
        <f t="shared" si="27"/>
        <v>24.797754910000005</v>
      </c>
      <c r="CO11" s="1">
        <f t="shared" si="27"/>
        <v>26.00374025</v>
      </c>
      <c r="CP11" s="1">
        <f t="shared" si="27"/>
        <v>24.373047020000001</v>
      </c>
      <c r="CQ11" s="1">
        <f t="shared" si="27"/>
        <v>25.649224320000002</v>
      </c>
      <c r="CR11" s="1">
        <f t="shared" si="27"/>
        <v>23.667757810000001</v>
      </c>
      <c r="CS11" s="1">
        <f t="shared" si="27"/>
        <v>25.088845019999997</v>
      </c>
      <c r="CT11" s="1">
        <f t="shared" si="27"/>
        <v>26.5668471</v>
      </c>
      <c r="CU11" s="1">
        <f t="shared" si="27"/>
        <v>23.814064600000002</v>
      </c>
      <c r="CV11" s="1">
        <f t="shared" si="27"/>
        <v>20.56411928</v>
      </c>
      <c r="CW11" s="1">
        <f t="shared" si="27"/>
        <v>19.140443850000004</v>
      </c>
      <c r="CX11" s="1">
        <f t="shared" si="27"/>
        <v>31.026984670000001</v>
      </c>
      <c r="CY11" s="1">
        <f t="shared" si="27"/>
        <v>29.568283169999997</v>
      </c>
      <c r="CZ11" s="1">
        <f t="shared" si="28"/>
        <v>27.46490245</v>
      </c>
      <c r="DA11" s="1">
        <f t="shared" si="28"/>
        <v>28.769997110000002</v>
      </c>
      <c r="DB11" s="1">
        <f t="shared" si="28"/>
        <v>29.99355989</v>
      </c>
      <c r="DC11" s="1">
        <f t="shared" si="28"/>
        <v>28.322168269999992</v>
      </c>
      <c r="DD11" s="1">
        <f t="shared" si="28"/>
        <v>25.822628249999998</v>
      </c>
      <c r="DE11" s="1">
        <f t="shared" si="28"/>
        <v>36.275852910000005</v>
      </c>
      <c r="DF11" s="1">
        <f t="shared" si="28"/>
        <v>32.140367229999995</v>
      </c>
      <c r="DG11" s="1">
        <f t="shared" si="28"/>
        <v>32.281321340000005</v>
      </c>
      <c r="DI11" s="1">
        <f t="shared" si="29"/>
        <v>17.561880160000001</v>
      </c>
      <c r="DJ11" s="1">
        <f t="shared" si="29"/>
        <v>14.580088280000002</v>
      </c>
      <c r="DK11" s="1">
        <f t="shared" si="29"/>
        <v>13.107541810000001</v>
      </c>
      <c r="DL11" s="1">
        <f t="shared" si="29"/>
        <v>9.0834929199999994</v>
      </c>
      <c r="DM11" s="1">
        <f t="shared" si="29"/>
        <v>9.5859924200000002</v>
      </c>
      <c r="DN11" s="1">
        <f t="shared" si="29"/>
        <v>12.114691449999999</v>
      </c>
      <c r="DO11" s="1">
        <f t="shared" si="29"/>
        <v>21.937746180000001</v>
      </c>
      <c r="DP11" s="1">
        <f t="shared" si="29"/>
        <v>16.68359323</v>
      </c>
      <c r="DQ11" s="1">
        <f t="shared" si="29"/>
        <v>23.390239519999994</v>
      </c>
      <c r="DR11" s="1">
        <f t="shared" si="29"/>
        <v>24.97777258</v>
      </c>
      <c r="DS11" s="1">
        <f t="shared" si="29"/>
        <v>25.979397770000002</v>
      </c>
      <c r="DT11" s="1">
        <f t="shared" si="29"/>
        <v>26.663923630000003</v>
      </c>
      <c r="DU11" s="1">
        <f t="shared" si="29"/>
        <v>25.77809422</v>
      </c>
      <c r="DV11" s="1">
        <f t="shared" si="29"/>
        <v>30.845388820000004</v>
      </c>
      <c r="DW11" s="1">
        <f t="shared" si="29"/>
        <v>19.314417040000002</v>
      </c>
      <c r="DX11" s="1">
        <f t="shared" si="29"/>
        <v>23.096508839999995</v>
      </c>
      <c r="DY11" s="1">
        <f t="shared" si="30"/>
        <v>19.891111379999998</v>
      </c>
      <c r="DZ11" s="1">
        <f t="shared" si="30"/>
        <v>18.931102379999999</v>
      </c>
      <c r="EA11" s="1">
        <f t="shared" si="30"/>
        <v>26.50290536</v>
      </c>
      <c r="EB11" s="1">
        <f t="shared" si="30"/>
        <v>21.937275429999996</v>
      </c>
      <c r="EC11" s="1">
        <f t="shared" si="30"/>
        <v>24.868573239999996</v>
      </c>
      <c r="ED11" s="1">
        <f t="shared" si="30"/>
        <v>0</v>
      </c>
      <c r="EE11" s="1">
        <f t="shared" si="30"/>
        <v>28.392692970000002</v>
      </c>
      <c r="EF11" s="1">
        <f t="shared" si="30"/>
        <v>26.685130170000001</v>
      </c>
      <c r="EH11" s="14">
        <f t="shared" si="31"/>
        <v>0</v>
      </c>
      <c r="EI11" s="14">
        <f t="shared" si="31"/>
        <v>0</v>
      </c>
      <c r="EJ11" s="1">
        <f t="shared" si="31"/>
        <v>0</v>
      </c>
      <c r="EK11" s="1">
        <f t="shared" si="31"/>
        <v>0</v>
      </c>
      <c r="EL11" s="1">
        <f t="shared" si="31"/>
        <v>0</v>
      </c>
      <c r="EM11" s="1">
        <f t="shared" si="31"/>
        <v>0</v>
      </c>
      <c r="EN11" s="1">
        <f t="shared" si="31"/>
        <v>0</v>
      </c>
      <c r="EO11" s="1">
        <f t="shared" si="31"/>
        <v>0</v>
      </c>
      <c r="EP11" s="1">
        <f t="shared" si="31"/>
        <v>0</v>
      </c>
      <c r="EQ11" s="1">
        <f t="shared" si="31"/>
        <v>0</v>
      </c>
      <c r="ER11" s="1">
        <f t="shared" si="31"/>
        <v>0</v>
      </c>
      <c r="ES11" s="1">
        <f t="shared" si="31"/>
        <v>0</v>
      </c>
      <c r="ET11" s="1">
        <f t="shared" si="31"/>
        <v>0</v>
      </c>
      <c r="EU11" s="1">
        <f t="shared" si="31"/>
        <v>0</v>
      </c>
      <c r="EV11" s="1">
        <f t="shared" si="31"/>
        <v>0</v>
      </c>
      <c r="EW11" s="1">
        <f t="shared" si="31"/>
        <v>0</v>
      </c>
      <c r="EX11" s="1">
        <f t="shared" si="32"/>
        <v>0</v>
      </c>
      <c r="EY11" s="1">
        <f t="shared" si="32"/>
        <v>0</v>
      </c>
      <c r="EZ11" s="1">
        <f t="shared" si="32"/>
        <v>0</v>
      </c>
      <c r="FA11" s="1">
        <f t="shared" si="32"/>
        <v>0</v>
      </c>
      <c r="FB11" s="1">
        <f t="shared" si="32"/>
        <v>0</v>
      </c>
      <c r="FC11" s="1">
        <f t="shared" si="32"/>
        <v>0</v>
      </c>
      <c r="FD11" s="1">
        <f t="shared" si="32"/>
        <v>0</v>
      </c>
      <c r="FE11" s="1">
        <f t="shared" si="32"/>
        <v>0</v>
      </c>
      <c r="FG11" s="162">
        <f t="shared" si="33"/>
        <v>0.60265052153445708</v>
      </c>
    </row>
    <row r="12" spans="1:163" ht="18.75" customHeight="1">
      <c r="A12" s="243" t="s">
        <v>216</v>
      </c>
      <c r="B12" s="246"/>
      <c r="C12" s="156">
        <f t="shared" si="5"/>
        <v>-0.33</v>
      </c>
      <c r="D12" s="198">
        <v>-1</v>
      </c>
      <c r="E12" s="248">
        <f t="shared" si="6"/>
        <v>3.2304214237785844E-2</v>
      </c>
      <c r="F12" s="249">
        <f t="shared" si="7"/>
        <v>-5.6015582517542128E-2</v>
      </c>
      <c r="G12" s="248">
        <f t="shared" si="8"/>
        <v>3.0109311718990561E-2</v>
      </c>
      <c r="H12" s="249">
        <f t="shared" si="9"/>
        <v>2.1949025187952831E-3</v>
      </c>
      <c r="I12" s="248">
        <f t="shared" si="10"/>
        <v>1.9564866554375988</v>
      </c>
      <c r="J12" s="249">
        <f t="shared" si="11"/>
        <v>-0.93760037368342708</v>
      </c>
      <c r="K12" s="248">
        <f t="shared" si="34"/>
        <v>2.2491265747645977</v>
      </c>
      <c r="L12" s="249">
        <f t="shared" si="12"/>
        <v>-0.29263991932699884</v>
      </c>
      <c r="M12" s="250"/>
      <c r="N12" s="24">
        <v>1</v>
      </c>
      <c r="O12" s="248">
        <f t="shared" si="35"/>
        <v>-3.0581939012556125E-3</v>
      </c>
      <c r="P12" s="251">
        <f t="shared" si="36"/>
        <v>-3.0581939012556125E-3</v>
      </c>
      <c r="Q12" s="248">
        <f t="shared" si="13"/>
        <v>0.43641957723206648</v>
      </c>
      <c r="R12" s="251">
        <f t="shared" si="37"/>
        <v>0.43641957723206648</v>
      </c>
      <c r="S12" s="250"/>
      <c r="T12" s="24">
        <v>-1</v>
      </c>
      <c r="U12" s="248">
        <f t="shared" si="14"/>
        <v>-0.23495018574518522</v>
      </c>
      <c r="V12" s="252">
        <f t="shared" si="15"/>
        <v>-0.23495018574518522</v>
      </c>
      <c r="W12" s="248">
        <f t="shared" si="38"/>
        <v>0.40097748906244912</v>
      </c>
      <c r="X12" s="252">
        <f t="shared" si="16"/>
        <v>0.40097748906244912</v>
      </c>
      <c r="Y12" s="248">
        <f t="shared" si="17"/>
        <v>0.11095983662355335</v>
      </c>
      <c r="Z12" s="252">
        <f t="shared" si="18"/>
        <v>0.11095983662355335</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P12" s="28">
        <f>VLOOKUP($A12,historia!$A$5:$CM$24,+HLOOKUP(AP$2,historia!$A$3:$EC$4,2,FALSE),FALSE)</f>
        <v>5</v>
      </c>
      <c r="AQ12" s="28">
        <f>VLOOKUP($A12,historia!$A$5:$CM$24,+HLOOKUP(AQ$2,historia!$A$3:$EC$4,2,FALSE),FALSE)</f>
        <v>5</v>
      </c>
      <c r="AR12" s="28">
        <f>VLOOKUP($A12,historia!$A$5:$CM$24,+HLOOKUP(AR$2,historia!$A$3:$EC$4,2,FALSE),FALSE)</f>
        <v>5</v>
      </c>
      <c r="AS12" s="28">
        <f>VLOOKUP($A12,historia!$A$5:$CM$24,+HLOOKUP(AS$2,historia!$A$3:$EC$4,2,FALSE),FALSE)</f>
        <v>5</v>
      </c>
      <c r="AT12" s="58">
        <f>VLOOKUP($A12,historia!$A$5:$CM$24,+HLOOKUP(AT$2,historia!$A$3:$EC$4,2,FALSE),FALSE)</f>
        <v>5</v>
      </c>
      <c r="AU12" s="58">
        <f>VLOOKUP($A12,historia!$A$5:$CM$24,+HLOOKUP(AU$2,historia!$A$3:$EC$4,2,FALSE),FALSE)</f>
        <v>5</v>
      </c>
      <c r="AV12" s="58">
        <f>VLOOKUP($A12,historia!$A$5:$CM$24,+HLOOKUP(AV$2,historia!$A$3:$EC$4,2,FALSE),FALSE)</f>
        <v>5</v>
      </c>
      <c r="AW12" s="58">
        <f>VLOOKUP($A12,historia!$A$5:$CM$24,+HLOOKUP(AW$2,historia!$A$3:$EC$4,2,FALSE),FALSE)</f>
        <v>5</v>
      </c>
      <c r="AX12" s="58">
        <f>VLOOKUP($A12,historia!$A$5:$CM$24,+HLOOKUP(AX$2,historia!$A$3:$EC$4,2,FALSE),FALSE)</f>
        <v>5</v>
      </c>
      <c r="AY12" s="58">
        <f>VLOOKUP($A12,historia!$A$5:$CM$24,+HLOOKUP(AY$2,historia!$A$3:$EC$4,2,FALSE),FALSE)</f>
        <v>5</v>
      </c>
      <c r="AZ12" s="58">
        <f>VLOOKUP($A12,historia!$A$5:$CM$24,+HLOOKUP(AZ$2,historia!$A$3:$EC$4,2,FALSE),FALSE)</f>
        <v>5</v>
      </c>
      <c r="BA12" s="58">
        <f>VLOOKUP($A12,historia!$A$5:$CM$24,+HLOOKUP(BA$2,historia!$A$3:$EC$4,2,FALSE),FALSE)</f>
        <v>5</v>
      </c>
      <c r="BB12" s="30"/>
      <c r="BC12" s="141">
        <v>5</v>
      </c>
      <c r="BD12" t="str">
        <f t="shared" si="19"/>
        <v>Granos</v>
      </c>
      <c r="BE12">
        <f>+datos!AE1</f>
        <v>31</v>
      </c>
      <c r="BF12" s="2" t="str">
        <f t="shared" si="4"/>
        <v>$/t</v>
      </c>
      <c r="BG12" s="2">
        <f t="shared" si="4"/>
        <v>190179.76083333333</v>
      </c>
      <c r="BH12" s="2">
        <f t="shared" si="4"/>
        <v>184228.40690789474</v>
      </c>
      <c r="BI12" s="2">
        <f t="shared" si="4"/>
        <v>64326.270671153841</v>
      </c>
      <c r="BK12">
        <f>+datos!CG1</f>
        <v>85</v>
      </c>
      <c r="BL12" s="2">
        <f t="shared" si="20"/>
        <v>7749.3948686907415</v>
      </c>
      <c r="BM12" s="2">
        <f t="shared" si="20"/>
        <v>7522.885950578363</v>
      </c>
      <c r="BN12" s="2">
        <f t="shared" si="20"/>
        <v>2385.0701689737011</v>
      </c>
      <c r="BP12" s="1">
        <f>+datos!EA1</f>
        <v>131</v>
      </c>
      <c r="BQ12" s="1">
        <f t="shared" si="21"/>
        <v>33903000</v>
      </c>
      <c r="BR12" s="1">
        <f t="shared" si="21"/>
        <v>34007000</v>
      </c>
      <c r="BT12" s="1">
        <f>+datos!FV1</f>
        <v>178</v>
      </c>
      <c r="BU12" s="1">
        <f t="shared" si="22"/>
        <v>126053000</v>
      </c>
      <c r="BV12" s="1">
        <f t="shared" si="22"/>
        <v>87755000</v>
      </c>
      <c r="BX12" s="1">
        <f>+datos!LQ1</f>
        <v>329</v>
      </c>
      <c r="BY12" s="1">
        <f>+SUM(CJ12:CU12)</f>
        <v>39398.098289720001</v>
      </c>
      <c r="BZ12" s="1">
        <f t="shared" si="40"/>
        <v>51497.428736839996</v>
      </c>
      <c r="CB12" s="1">
        <f>+datos!LU1</f>
        <v>333</v>
      </c>
      <c r="CC12" s="2">
        <f t="shared" si="23"/>
        <v>4707.5763748999998</v>
      </c>
      <c r="CD12" s="2">
        <f t="shared" si="24"/>
        <v>3360.2084342200001</v>
      </c>
      <c r="CF12" s="1">
        <f>+datos!II1</f>
        <v>243</v>
      </c>
      <c r="CG12" s="1">
        <f t="shared" si="25"/>
        <v>81600000</v>
      </c>
      <c r="CH12" s="1">
        <f t="shared" si="26"/>
        <v>73450000</v>
      </c>
      <c r="CJ12" s="1">
        <f>+VLOOKUP(CJ$1,ran_dat,$BX12,FALSE)</f>
        <v>3818.0878160900002</v>
      </c>
      <c r="CK12" s="1">
        <f t="shared" si="27"/>
        <v>3876.9439553199995</v>
      </c>
      <c r="CL12" s="1">
        <f t="shared" si="27"/>
        <v>3089.4855235099994</v>
      </c>
      <c r="CM12" s="1">
        <f t="shared" si="27"/>
        <v>3929.1762735700004</v>
      </c>
      <c r="CN12" s="1">
        <f t="shared" si="27"/>
        <v>2955.6698254600001</v>
      </c>
      <c r="CO12" s="1">
        <f t="shared" si="27"/>
        <v>2441.9361675499999</v>
      </c>
      <c r="CP12" s="1">
        <f t="shared" si="27"/>
        <v>2439.6070879799995</v>
      </c>
      <c r="CQ12" s="1">
        <f t="shared" si="27"/>
        <v>2937.94498135</v>
      </c>
      <c r="CR12" s="1">
        <f t="shared" si="27"/>
        <v>3422.8062754199996</v>
      </c>
      <c r="CS12" s="1">
        <f t="shared" si="27"/>
        <v>3305.4373540500001</v>
      </c>
      <c r="CT12" s="1">
        <f t="shared" si="27"/>
        <v>3388.1727426199996</v>
      </c>
      <c r="CU12" s="1">
        <f t="shared" si="27"/>
        <v>3792.8302867999996</v>
      </c>
      <c r="CV12" s="1">
        <f t="shared" si="27"/>
        <v>3116.9694759099998</v>
      </c>
      <c r="CW12" s="1">
        <f t="shared" si="27"/>
        <v>2868.8536445099994</v>
      </c>
      <c r="CX12" s="1">
        <f t="shared" si="27"/>
        <v>2796.6599858300006</v>
      </c>
      <c r="CY12" s="1">
        <f t="shared" si="27"/>
        <v>2718.2915703099998</v>
      </c>
      <c r="CZ12" s="1">
        <f t="shared" si="28"/>
        <v>4151.50946449</v>
      </c>
      <c r="DA12" s="1">
        <f t="shared" si="28"/>
        <v>4450.8165799199996</v>
      </c>
      <c r="DB12" s="1">
        <f t="shared" si="28"/>
        <v>4813.7104364100005</v>
      </c>
      <c r="DC12" s="1">
        <f t="shared" si="28"/>
        <v>4478.853701</v>
      </c>
      <c r="DD12" s="1">
        <f t="shared" si="28"/>
        <v>4612.5251936800005</v>
      </c>
      <c r="DE12" s="1">
        <f t="shared" si="28"/>
        <v>5195.93512749</v>
      </c>
      <c r="DF12" s="1">
        <f t="shared" si="28"/>
        <v>5746.4543398300002</v>
      </c>
      <c r="DG12" s="1">
        <f t="shared" si="28"/>
        <v>6546.8492174599996</v>
      </c>
      <c r="DI12" s="1">
        <f t="shared" si="29"/>
        <v>300.95428591999996</v>
      </c>
      <c r="DJ12" s="1">
        <f t="shared" si="29"/>
        <v>389.85732896999997</v>
      </c>
      <c r="DK12" s="1">
        <f t="shared" si="29"/>
        <v>280.54397103999997</v>
      </c>
      <c r="DL12" s="1">
        <f t="shared" si="29"/>
        <v>63.525792080000002</v>
      </c>
      <c r="DM12" s="1">
        <f t="shared" si="29"/>
        <v>301.92103216000004</v>
      </c>
      <c r="DN12" s="1">
        <f t="shared" si="29"/>
        <v>260.76831764999997</v>
      </c>
      <c r="DO12" s="1">
        <f t="shared" si="29"/>
        <v>244.67742642000002</v>
      </c>
      <c r="DP12" s="1">
        <f t="shared" si="29"/>
        <v>322.58249758000005</v>
      </c>
      <c r="DQ12" s="1">
        <f t="shared" si="29"/>
        <v>495.08938117000014</v>
      </c>
      <c r="DR12" s="1">
        <f t="shared" si="29"/>
        <v>539.06610803000001</v>
      </c>
      <c r="DS12" s="1">
        <f t="shared" si="29"/>
        <v>828.84254484999997</v>
      </c>
      <c r="DT12" s="1">
        <f t="shared" si="29"/>
        <v>679.74768902999983</v>
      </c>
      <c r="DU12" s="1">
        <f t="shared" si="29"/>
        <v>678.42759025000009</v>
      </c>
      <c r="DV12" s="1">
        <f t="shared" si="29"/>
        <v>816.99926951999987</v>
      </c>
      <c r="DW12" s="1">
        <f t="shared" si="29"/>
        <v>236.29083821</v>
      </c>
      <c r="DX12" s="1">
        <f t="shared" si="29"/>
        <v>13.603287699999997</v>
      </c>
      <c r="DY12" s="1">
        <f t="shared" si="30"/>
        <v>8.4785749999999993E-2</v>
      </c>
      <c r="DZ12" s="1">
        <f t="shared" si="30"/>
        <v>140.70586015999999</v>
      </c>
      <c r="EA12" s="1">
        <f t="shared" si="30"/>
        <v>7.5318475299999985</v>
      </c>
      <c r="EB12" s="1">
        <f t="shared" si="30"/>
        <v>157.51314244999998</v>
      </c>
      <c r="EC12" s="1">
        <f t="shared" si="30"/>
        <v>227.42549563</v>
      </c>
      <c r="ED12" s="1">
        <f t="shared" si="30"/>
        <v>265.08736985999997</v>
      </c>
      <c r="EE12" s="1">
        <f t="shared" si="30"/>
        <v>444.08673073</v>
      </c>
      <c r="EF12" s="1">
        <f t="shared" si="30"/>
        <v>372.45221643000002</v>
      </c>
      <c r="EH12" s="14">
        <f t="shared" si="31"/>
        <v>81600000</v>
      </c>
      <c r="EI12" s="14">
        <f t="shared" si="31"/>
        <v>73750000</v>
      </c>
      <c r="EJ12" s="1">
        <f t="shared" si="31"/>
        <v>73750000</v>
      </c>
      <c r="EK12" s="1">
        <f t="shared" si="31"/>
        <v>73450000</v>
      </c>
      <c r="EL12" s="1">
        <f t="shared" si="31"/>
        <v>73450000</v>
      </c>
      <c r="EM12" s="1">
        <f t="shared" si="31"/>
        <v>73450000</v>
      </c>
      <c r="EN12" s="1">
        <f t="shared" si="31"/>
        <v>73450000</v>
      </c>
      <c r="EO12" s="1">
        <f t="shared" si="31"/>
        <v>73450000</v>
      </c>
      <c r="EP12" s="1">
        <f t="shared" si="31"/>
        <v>73450000</v>
      </c>
      <c r="EQ12" s="1">
        <f t="shared" si="31"/>
        <v>73450000</v>
      </c>
      <c r="ER12" s="1">
        <f t="shared" si="31"/>
        <v>73450000</v>
      </c>
      <c r="ES12" s="1">
        <f t="shared" si="31"/>
        <v>73450000</v>
      </c>
      <c r="ET12" s="1">
        <f t="shared" si="31"/>
        <v>73450000</v>
      </c>
      <c r="EU12" s="1">
        <f t="shared" si="31"/>
        <v>74890000</v>
      </c>
      <c r="EV12" s="1">
        <f t="shared" si="31"/>
        <v>75510000</v>
      </c>
      <c r="EW12" s="1">
        <f t="shared" si="31"/>
        <v>75510000</v>
      </c>
      <c r="EX12" s="1">
        <f t="shared" si="32"/>
        <v>75060000</v>
      </c>
      <c r="EY12" s="1">
        <f t="shared" si="32"/>
        <v>75060000</v>
      </c>
      <c r="EZ12" s="1">
        <f t="shared" si="32"/>
        <v>75060000</v>
      </c>
      <c r="FA12" s="1">
        <f t="shared" si="32"/>
        <v>75060000</v>
      </c>
      <c r="FB12" s="1">
        <f t="shared" si="32"/>
        <v>75060000</v>
      </c>
      <c r="FC12" s="1">
        <f t="shared" si="32"/>
        <v>75060000</v>
      </c>
      <c r="FD12" s="1">
        <f t="shared" si="32"/>
        <v>75060000</v>
      </c>
      <c r="FE12" s="1">
        <f t="shared" si="32"/>
        <v>75060000</v>
      </c>
      <c r="FG12" s="162">
        <f t="shared" si="33"/>
        <v>-0.29263991932699884</v>
      </c>
    </row>
    <row r="13" spans="1:163" ht="18.75" customHeight="1">
      <c r="A13" s="244" t="s">
        <v>217</v>
      </c>
      <c r="B13" s="247"/>
      <c r="C13" s="228">
        <f t="shared" si="5"/>
        <v>0</v>
      </c>
      <c r="D13" s="229">
        <v>-1</v>
      </c>
      <c r="E13" s="253">
        <f t="shared" si="6"/>
        <v>0.2041998704945216</v>
      </c>
      <c r="F13" s="254">
        <f t="shared" si="7"/>
        <v>0.11588007373919362</v>
      </c>
      <c r="G13" s="253">
        <f t="shared" si="8"/>
        <v>7.1878352107743959E-2</v>
      </c>
      <c r="H13" s="254">
        <f t="shared" si="9"/>
        <v>0.13232151838677764</v>
      </c>
      <c r="I13" s="253">
        <f t="shared" si="10"/>
        <v>2.6928394294035725</v>
      </c>
      <c r="J13" s="254">
        <f t="shared" si="11"/>
        <v>-0.20124759971745343</v>
      </c>
      <c r="K13" s="253">
        <f t="shared" si="34"/>
        <v>2.7439949503304155</v>
      </c>
      <c r="L13" s="254">
        <f t="shared" si="12"/>
        <v>-5.1155520926843057E-2</v>
      </c>
      <c r="M13" s="255"/>
      <c r="N13" s="256">
        <v>0</v>
      </c>
      <c r="O13" s="253">
        <f t="shared" si="35"/>
        <v>-3.3006472151727695E-2</v>
      </c>
      <c r="P13" s="257">
        <f t="shared" si="36"/>
        <v>-3.3006472151727695E-2</v>
      </c>
      <c r="Q13" s="253">
        <f t="shared" si="13"/>
        <v>-1.4386787894224651E-2</v>
      </c>
      <c r="R13" s="257">
        <f t="shared" si="37"/>
        <v>-1.4386787894224651E-2</v>
      </c>
      <c r="S13" s="255"/>
      <c r="T13" s="256">
        <v>1</v>
      </c>
      <c r="U13" s="253">
        <f t="shared" si="14"/>
        <v>0.55807758782997019</v>
      </c>
      <c r="V13" s="258">
        <f t="shared" si="15"/>
        <v>0.55807758782997019</v>
      </c>
      <c r="W13" s="253">
        <f t="shared" si="38"/>
        <v>-0.48425545728870567</v>
      </c>
      <c r="X13" s="258">
        <f t="shared" si="16"/>
        <v>-0.48425545728870567</v>
      </c>
      <c r="Y13" s="253" t="str">
        <f t="shared" si="17"/>
        <v/>
      </c>
      <c r="Z13" s="258" t="str">
        <f t="shared" si="18"/>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3</v>
      </c>
      <c r="BA13" s="58">
        <f>VLOOKUP($A13,historia!$A$5:$CM$24,+HLOOKUP(BA$2,historia!$A$3:$EC$4,2,FALSE),FALSE)</f>
        <v>3</v>
      </c>
      <c r="BB13" s="30"/>
      <c r="BC13" s="141">
        <v>3</v>
      </c>
      <c r="BD13" t="str">
        <f t="shared" si="19"/>
        <v>Hortalizas</v>
      </c>
      <c r="BE13">
        <f>+datos!BB1</f>
        <v>54</v>
      </c>
      <c r="BF13" s="2" t="str">
        <f t="shared" si="4"/>
        <v>$/kg</v>
      </c>
      <c r="BG13" s="2">
        <f t="shared" si="4"/>
        <v>10288.408236697096</v>
      </c>
      <c r="BH13" s="2">
        <f t="shared" si="4"/>
        <v>8543.7712532488622</v>
      </c>
      <c r="BI13" s="2">
        <f t="shared" si="4"/>
        <v>2786.0426734987414</v>
      </c>
      <c r="BK13">
        <f>+datos!CO1</f>
        <v>93</v>
      </c>
      <c r="BL13" s="2">
        <f t="shared" si="20"/>
        <v>8122.6655953547343</v>
      </c>
      <c r="BM13" s="2">
        <f t="shared" si="20"/>
        <v>7577.9733580609272</v>
      </c>
      <c r="BN13" s="2">
        <f t="shared" si="20"/>
        <v>2169.5183094832678</v>
      </c>
      <c r="BP13" s="1">
        <f>+datos!EX1</f>
        <v>154</v>
      </c>
      <c r="BQ13" s="1">
        <f t="shared" si="21"/>
        <v>64395</v>
      </c>
      <c r="BR13" s="1">
        <f t="shared" si="21"/>
        <v>66593</v>
      </c>
      <c r="BT13" s="1">
        <f>+datos!GN1</f>
        <v>196</v>
      </c>
      <c r="BU13" s="1">
        <f t="shared" si="22"/>
        <v>2639386</v>
      </c>
      <c r="BV13" s="1">
        <f t="shared" si="22"/>
        <v>2677912.56</v>
      </c>
      <c r="BX13" s="1">
        <f>+datos!LR1</f>
        <v>330</v>
      </c>
      <c r="BY13" s="1">
        <f t="shared" si="39"/>
        <v>79.950527700000023</v>
      </c>
      <c r="BZ13" s="1">
        <f t="shared" si="40"/>
        <v>51.313572780000001</v>
      </c>
      <c r="CB13" s="1">
        <f>+datos!LV1</f>
        <v>334</v>
      </c>
      <c r="CC13" s="2">
        <f t="shared" si="23"/>
        <v>13.042744630000001</v>
      </c>
      <c r="CD13" s="2">
        <f t="shared" si="24"/>
        <v>25.28915684</v>
      </c>
      <c r="CF13" s="1">
        <f>+datos!IX1</f>
        <v>258</v>
      </c>
      <c r="CG13" s="1">
        <f t="shared" si="25"/>
        <v>0</v>
      </c>
      <c r="CH13" s="1">
        <f t="shared" si="26"/>
        <v>0</v>
      </c>
      <c r="CJ13" s="1">
        <f t="shared" si="27"/>
        <v>14.874595200000002</v>
      </c>
      <c r="CK13" s="1">
        <f t="shared" si="27"/>
        <v>12.356255849999998</v>
      </c>
      <c r="CL13" s="1">
        <f t="shared" si="27"/>
        <v>7.66143427</v>
      </c>
      <c r="CM13" s="1">
        <f t="shared" si="27"/>
        <v>3.9700200400000001</v>
      </c>
      <c r="CN13" s="1">
        <f t="shared" si="27"/>
        <v>4.244482989999999</v>
      </c>
      <c r="CO13" s="1">
        <f t="shared" si="27"/>
        <v>3.7692072699999999</v>
      </c>
      <c r="CP13" s="1">
        <f t="shared" si="27"/>
        <v>4.3561451300000007</v>
      </c>
      <c r="CQ13" s="1">
        <f t="shared" si="27"/>
        <v>2.35708815</v>
      </c>
      <c r="CR13" s="1">
        <f t="shared" si="27"/>
        <v>2.9990922500000003</v>
      </c>
      <c r="CS13" s="1">
        <f t="shared" si="27"/>
        <v>4.9654154400000001</v>
      </c>
      <c r="CT13" s="1">
        <f t="shared" si="27"/>
        <v>7.7556872599999993</v>
      </c>
      <c r="CU13" s="1">
        <f t="shared" si="27"/>
        <v>10.641103850000002</v>
      </c>
      <c r="CV13" s="1">
        <f t="shared" si="27"/>
        <v>9.2379974100000002</v>
      </c>
      <c r="CW13" s="1">
        <f t="shared" si="27"/>
        <v>6.8023944899999993</v>
      </c>
      <c r="CX13" s="1">
        <f t="shared" si="27"/>
        <v>2.5188479500000001</v>
      </c>
      <c r="CY13" s="1">
        <f t="shared" si="27"/>
        <v>1.93600679</v>
      </c>
      <c r="CZ13" s="1">
        <f t="shared" si="28"/>
        <v>3.7029913799999998</v>
      </c>
      <c r="DA13" s="1">
        <f t="shared" si="28"/>
        <v>3.1144052499999999</v>
      </c>
      <c r="DB13" s="1">
        <f t="shared" si="28"/>
        <v>2.0701945399999997</v>
      </c>
      <c r="DC13" s="1">
        <f t="shared" si="28"/>
        <v>2.0629542399999998</v>
      </c>
      <c r="DD13" s="1">
        <f t="shared" si="28"/>
        <v>2.51054522</v>
      </c>
      <c r="DE13" s="1">
        <f t="shared" si="28"/>
        <v>2.2984328500000002</v>
      </c>
      <c r="DF13" s="1">
        <f t="shared" si="28"/>
        <v>3.8278206699999999</v>
      </c>
      <c r="DG13" s="1">
        <f t="shared" si="28"/>
        <v>11.23098199</v>
      </c>
      <c r="DI13" s="1">
        <f t="shared" si="29"/>
        <v>0.17069466</v>
      </c>
      <c r="DJ13" s="1">
        <f t="shared" si="29"/>
        <v>5.8121779999999998E-2</v>
      </c>
      <c r="DK13" s="1">
        <f t="shared" si="29"/>
        <v>0.22874177000000001</v>
      </c>
      <c r="DL13" s="1">
        <f t="shared" si="29"/>
        <v>6.8422739999999996E-2</v>
      </c>
      <c r="DM13" s="1">
        <f t="shared" si="29"/>
        <v>1.38860757</v>
      </c>
      <c r="DN13" s="1">
        <f t="shared" si="29"/>
        <v>1.9631409899999996</v>
      </c>
      <c r="DO13" s="1">
        <f t="shared" si="29"/>
        <v>1.5225679400000001</v>
      </c>
      <c r="DP13" s="1">
        <f t="shared" si="29"/>
        <v>1.3263511099999998</v>
      </c>
      <c r="DQ13" s="1">
        <f t="shared" si="29"/>
        <v>2.5091586699999997</v>
      </c>
      <c r="DR13" s="1">
        <f t="shared" si="29"/>
        <v>1.6528733800000002</v>
      </c>
      <c r="DS13" s="1">
        <f t="shared" si="29"/>
        <v>0.42388491999999994</v>
      </c>
      <c r="DT13" s="1">
        <f t="shared" si="29"/>
        <v>1.7301791</v>
      </c>
      <c r="DU13" s="1">
        <f t="shared" si="29"/>
        <v>2.0483479400000002</v>
      </c>
      <c r="DV13" s="1">
        <f t="shared" si="29"/>
        <v>0.56045690999999997</v>
      </c>
      <c r="DW13" s="1">
        <f t="shared" si="29"/>
        <v>1.1333685500000001</v>
      </c>
      <c r="DX13" s="1">
        <f t="shared" si="29"/>
        <v>1.93118693</v>
      </c>
      <c r="DY13" s="1">
        <f t="shared" si="30"/>
        <v>0.60248590000000002</v>
      </c>
      <c r="DZ13" s="1">
        <f t="shared" si="30"/>
        <v>0.87790919000000001</v>
      </c>
      <c r="EA13" s="1">
        <f t="shared" si="30"/>
        <v>1.4386166999999999</v>
      </c>
      <c r="EB13" s="1">
        <f t="shared" si="30"/>
        <v>5.8540475399999998</v>
      </c>
      <c r="EC13" s="1">
        <f t="shared" si="30"/>
        <v>5.5126731700000002</v>
      </c>
      <c r="ED13" s="1">
        <f t="shared" si="30"/>
        <v>2.0048543400000001</v>
      </c>
      <c r="EE13" s="1">
        <f t="shared" si="30"/>
        <v>1.96789565</v>
      </c>
      <c r="EF13" s="1">
        <f t="shared" si="30"/>
        <v>1.35731402</v>
      </c>
      <c r="EH13" s="14">
        <f t="shared" si="31"/>
        <v>0</v>
      </c>
      <c r="EI13" s="14">
        <f t="shared" si="31"/>
        <v>0</v>
      </c>
      <c r="EJ13" s="1">
        <f t="shared" si="31"/>
        <v>0</v>
      </c>
      <c r="EK13" s="1">
        <f t="shared" si="31"/>
        <v>0</v>
      </c>
      <c r="EL13" s="1">
        <f t="shared" si="31"/>
        <v>0</v>
      </c>
      <c r="EM13" s="1">
        <f t="shared" si="31"/>
        <v>0</v>
      </c>
      <c r="EN13" s="1">
        <f t="shared" si="31"/>
        <v>0</v>
      </c>
      <c r="EO13" s="1">
        <f t="shared" si="31"/>
        <v>0</v>
      </c>
      <c r="EP13" s="1">
        <f t="shared" si="31"/>
        <v>0</v>
      </c>
      <c r="EQ13" s="1">
        <f t="shared" si="31"/>
        <v>0</v>
      </c>
      <c r="ER13" s="1">
        <f t="shared" si="31"/>
        <v>0</v>
      </c>
      <c r="ES13" s="1">
        <f t="shared" si="31"/>
        <v>0</v>
      </c>
      <c r="ET13" s="1">
        <f t="shared" si="31"/>
        <v>0</v>
      </c>
      <c r="EU13" s="1">
        <f t="shared" si="31"/>
        <v>0</v>
      </c>
      <c r="EV13" s="1">
        <f t="shared" si="31"/>
        <v>0</v>
      </c>
      <c r="EW13" s="1">
        <f t="shared" si="31"/>
        <v>0</v>
      </c>
      <c r="EX13" s="1">
        <f t="shared" si="32"/>
        <v>0</v>
      </c>
      <c r="EY13" s="1">
        <f t="shared" si="32"/>
        <v>0</v>
      </c>
      <c r="EZ13" s="1">
        <f t="shared" si="32"/>
        <v>0</v>
      </c>
      <c r="FA13" s="1">
        <f t="shared" si="32"/>
        <v>0</v>
      </c>
      <c r="FB13" s="1">
        <f t="shared" si="32"/>
        <v>0</v>
      </c>
      <c r="FC13" s="1">
        <f t="shared" si="32"/>
        <v>0</v>
      </c>
      <c r="FD13" s="1">
        <f t="shared" si="32"/>
        <v>0</v>
      </c>
      <c r="FE13" s="1">
        <f t="shared" si="32"/>
        <v>0</v>
      </c>
      <c r="FG13" s="162">
        <f t="shared" si="33"/>
        <v>-5.1155520926843057E-2</v>
      </c>
    </row>
    <row r="14" spans="1:163" ht="18.75" customHeight="1">
      <c r="A14" s="243" t="s">
        <v>65</v>
      </c>
      <c r="B14" s="246"/>
      <c r="C14" s="156">
        <f t="shared" si="5"/>
        <v>-0.33</v>
      </c>
      <c r="D14" s="198">
        <v>1</v>
      </c>
      <c r="E14" s="248">
        <f t="shared" si="6"/>
        <v>6.9916787264833635E-2</v>
      </c>
      <c r="F14" s="249">
        <f t="shared" si="7"/>
        <v>-1.8403009490494338E-2</v>
      </c>
      <c r="G14" s="248">
        <f t="shared" si="8"/>
        <v>6.6002727121439397E-2</v>
      </c>
      <c r="H14" s="249">
        <f t="shared" si="9"/>
        <v>3.9140601433942379E-3</v>
      </c>
      <c r="I14" s="248">
        <f t="shared" si="10"/>
        <v>2.9712399283795881</v>
      </c>
      <c r="J14" s="249">
        <f t="shared" si="11"/>
        <v>7.7152899258562169E-2</v>
      </c>
      <c r="K14" s="248">
        <f t="shared" si="34"/>
        <v>2.1440195072935673</v>
      </c>
      <c r="L14" s="249">
        <f t="shared" si="12"/>
        <v>0.82722042108602079</v>
      </c>
      <c r="M14" s="250"/>
      <c r="N14" s="24">
        <v>-1</v>
      </c>
      <c r="O14" s="248">
        <f t="shared" si="35"/>
        <v>0</v>
      </c>
      <c r="P14" s="251">
        <f t="shared" si="36"/>
        <v>0</v>
      </c>
      <c r="Q14" s="248">
        <f t="shared" si="13"/>
        <v>-6.4249762091417972E-2</v>
      </c>
      <c r="R14" s="251">
        <f t="shared" si="37"/>
        <v>-6.4249762091417972E-2</v>
      </c>
      <c r="S14" s="250"/>
      <c r="T14" s="24">
        <v>-1</v>
      </c>
      <c r="U14" s="248">
        <f t="shared" si="14"/>
        <v>-0.18370137350313442</v>
      </c>
      <c r="V14" s="252">
        <f t="shared" si="15"/>
        <v>-0.18370137350313442</v>
      </c>
      <c r="W14" s="248">
        <f t="shared" si="38"/>
        <v>-0.26120000495646689</v>
      </c>
      <c r="X14" s="252">
        <f t="shared" si="16"/>
        <v>-0.26120000495646689</v>
      </c>
      <c r="Y14" s="248">
        <f t="shared" si="17"/>
        <v>-0.15429480381760341</v>
      </c>
      <c r="Z14" s="252">
        <f t="shared" si="18"/>
        <v>-0.15429480381760341</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P14" s="28">
        <f>VLOOKUP($A14,historia!$A$5:$CM$24,+HLOOKUP(AP$2,historia!$A$3:$EC$4,2,FALSE),FALSE)</f>
        <v>5</v>
      </c>
      <c r="AQ14" s="28">
        <f>VLOOKUP($A14,historia!$A$5:$CM$24,+HLOOKUP(AQ$2,historia!$A$3:$EC$4,2,FALSE),FALSE)</f>
        <v>5</v>
      </c>
      <c r="AR14" s="28">
        <f>VLOOKUP($A14,historia!$A$5:$CM$24,+HLOOKUP(AR$2,historia!$A$3:$EC$4,2,FALSE),FALSE)</f>
        <v>5</v>
      </c>
      <c r="AS14" s="28">
        <f>VLOOKUP($A14,historia!$A$5:$CM$24,+HLOOKUP(AS$2,historia!$A$3:$EC$4,2,FALSE),FALSE)</f>
        <v>5</v>
      </c>
      <c r="AT14" s="58">
        <f>VLOOKUP($A14,historia!$A$5:$CM$24,+HLOOKUP(AT$2,historia!$A$3:$EC$4,2,FALSE),FALSE)</f>
        <v>5</v>
      </c>
      <c r="AU14" s="58">
        <f>VLOOKUP($A14,historia!$A$5:$CM$24,+HLOOKUP(AU$2,historia!$A$3:$EC$4,2,FALSE),FALSE)</f>
        <v>5</v>
      </c>
      <c r="AV14" s="58">
        <f>VLOOKUP($A14,historia!$A$5:$CM$24,+HLOOKUP(AV$2,historia!$A$3:$EC$4,2,FALSE),FALSE)</f>
        <v>5</v>
      </c>
      <c r="AW14" s="58">
        <f>VLOOKUP($A14,historia!$A$5:$CM$24,+HLOOKUP(AW$2,historia!$A$3:$EC$4,2,FALSE),FALSE)</f>
        <v>5</v>
      </c>
      <c r="AX14" s="58">
        <f>VLOOKUP($A14,historia!$A$5:$CM$24,+HLOOKUP(AX$2,historia!$A$3:$EC$4,2,FALSE),FALSE)</f>
        <v>5</v>
      </c>
      <c r="AY14" s="58">
        <f>VLOOKUP($A14,historia!$A$5:$CM$24,+HLOOKUP(AY$2,historia!$A$3:$EC$4,2,FALSE),FALSE)</f>
        <v>4</v>
      </c>
      <c r="AZ14" s="58">
        <f>VLOOKUP($A14,historia!$A$5:$CM$24,+HLOOKUP(AZ$2,historia!$A$3:$EC$4,2,FALSE),FALSE)</f>
        <v>4</v>
      </c>
      <c r="BA14" s="58">
        <f>VLOOKUP($A14,historia!$A$5:$CM$24,+HLOOKUP(BA$2,historia!$A$3:$EC$4,2,FALSE),FALSE)</f>
        <v>4</v>
      </c>
      <c r="BB14" s="30"/>
      <c r="BC14" s="141">
        <v>4</v>
      </c>
      <c r="BD14" t="str">
        <f t="shared" si="19"/>
        <v>Leche</v>
      </c>
      <c r="BE14">
        <f>+datos!BN1</f>
        <v>66</v>
      </c>
      <c r="BF14" s="2" t="str">
        <f t="shared" si="4"/>
        <v>$/l</v>
      </c>
      <c r="BG14" s="2">
        <f t="shared" si="4"/>
        <v>354.87</v>
      </c>
      <c r="BH14" s="2">
        <f t="shared" si="4"/>
        <v>331.68</v>
      </c>
      <c r="BI14" s="2">
        <f t="shared" si="4"/>
        <v>89.36</v>
      </c>
      <c r="BK14">
        <f>+datos!DC1</f>
        <v>107</v>
      </c>
      <c r="BL14" s="2">
        <f t="shared" si="20"/>
        <v>7631.2848962129447</v>
      </c>
      <c r="BM14" s="2">
        <f t="shared" si="20"/>
        <v>7158.7855284572697</v>
      </c>
      <c r="BN14" s="2">
        <f t="shared" si="20"/>
        <v>2427.2384056491119</v>
      </c>
      <c r="BP14" s="1">
        <f>+datos!EN1</f>
        <v>144</v>
      </c>
      <c r="BQ14" s="1">
        <f t="shared" si="21"/>
        <v>3169981</v>
      </c>
      <c r="BR14" s="1">
        <f t="shared" si="21"/>
        <v>3169981</v>
      </c>
      <c r="BT14" s="1">
        <f>+datos!HP1</f>
        <v>224</v>
      </c>
      <c r="BU14" s="1">
        <f t="shared" si="22"/>
        <v>10824.307084</v>
      </c>
      <c r="BV14" s="1">
        <f t="shared" si="22"/>
        <v>11567.517319784512</v>
      </c>
      <c r="BX14" s="1">
        <f>+datos!KH1</f>
        <v>294</v>
      </c>
      <c r="BY14" s="1">
        <f t="shared" si="39"/>
        <v>1520.1167295300002</v>
      </c>
      <c r="BZ14" s="1">
        <f t="shared" si="40"/>
        <v>1862.20664863</v>
      </c>
      <c r="CB14" s="1">
        <f>+datos!LM1</f>
        <v>325</v>
      </c>
      <c r="CC14" s="2">
        <f t="shared" si="23"/>
        <v>22.779606410000003</v>
      </c>
      <c r="CD14" s="2">
        <f t="shared" si="24"/>
        <v>30.833251979999996</v>
      </c>
      <c r="CF14" s="1">
        <f>+datos!IN1</f>
        <v>248</v>
      </c>
      <c r="CG14" s="1">
        <f t="shared" si="25"/>
        <v>159.5</v>
      </c>
      <c r="CH14" s="1">
        <f t="shared" si="26"/>
        <v>188.6</v>
      </c>
      <c r="CJ14" s="1">
        <f t="shared" si="27"/>
        <v>118.3786056</v>
      </c>
      <c r="CK14" s="1">
        <f t="shared" si="27"/>
        <v>126.46519539000002</v>
      </c>
      <c r="CL14" s="1">
        <f t="shared" si="27"/>
        <v>140.50614890000003</v>
      </c>
      <c r="CM14" s="1">
        <f t="shared" si="27"/>
        <v>139.44218023000002</v>
      </c>
      <c r="CN14" s="1">
        <f t="shared" si="27"/>
        <v>153.04661877999999</v>
      </c>
      <c r="CO14" s="1">
        <f t="shared" si="27"/>
        <v>136.81239812999999</v>
      </c>
      <c r="CP14" s="1">
        <f t="shared" si="27"/>
        <v>134.16752365000002</v>
      </c>
      <c r="CQ14" s="1">
        <f t="shared" si="27"/>
        <v>114.82793965999997</v>
      </c>
      <c r="CR14" s="1">
        <f t="shared" si="27"/>
        <v>120.47507141999999</v>
      </c>
      <c r="CS14" s="1">
        <f t="shared" si="27"/>
        <v>118.84770241</v>
      </c>
      <c r="CT14" s="1">
        <f t="shared" si="27"/>
        <v>100.85116919999999</v>
      </c>
      <c r="CU14" s="1">
        <f t="shared" si="27"/>
        <v>116.29617616</v>
      </c>
      <c r="CV14" s="1">
        <f t="shared" si="27"/>
        <v>115.47027065</v>
      </c>
      <c r="CW14" s="1">
        <f t="shared" si="27"/>
        <v>138.26089648999999</v>
      </c>
      <c r="CX14" s="1">
        <f t="shared" si="27"/>
        <v>163.45053632000003</v>
      </c>
      <c r="CY14" s="1">
        <f t="shared" si="27"/>
        <v>135.61809928</v>
      </c>
      <c r="CZ14" s="1">
        <f t="shared" si="28"/>
        <v>152.11245593000001</v>
      </c>
      <c r="DA14" s="1">
        <f t="shared" si="28"/>
        <v>167.62191332</v>
      </c>
      <c r="DB14" s="1">
        <f t="shared" si="28"/>
        <v>194.12902524000003</v>
      </c>
      <c r="DC14" s="1">
        <f t="shared" si="28"/>
        <v>153.24721415000002</v>
      </c>
      <c r="DD14" s="1">
        <f t="shared" si="28"/>
        <v>146.24437125</v>
      </c>
      <c r="DE14" s="1">
        <f t="shared" si="28"/>
        <v>192.10888658000002</v>
      </c>
      <c r="DF14" s="1">
        <f t="shared" si="28"/>
        <v>152.44279752</v>
      </c>
      <c r="DG14" s="1">
        <f t="shared" si="28"/>
        <v>151.50018190000003</v>
      </c>
      <c r="DI14" s="1">
        <f t="shared" si="29"/>
        <v>1.6724867599999997</v>
      </c>
      <c r="DJ14" s="1">
        <f t="shared" si="29"/>
        <v>1.92660527</v>
      </c>
      <c r="DK14" s="1">
        <f t="shared" si="29"/>
        <v>0.38991597</v>
      </c>
      <c r="DL14" s="1">
        <f t="shared" si="29"/>
        <v>3.0425877200000002</v>
      </c>
      <c r="DM14" s="1">
        <f t="shared" si="29"/>
        <v>1.8227840799999999</v>
      </c>
      <c r="DN14" s="1">
        <f t="shared" si="29"/>
        <v>2.1288867499999999</v>
      </c>
      <c r="DO14" s="1">
        <f t="shared" si="29"/>
        <v>2.0947676</v>
      </c>
      <c r="DP14" s="1">
        <f t="shared" si="29"/>
        <v>1.2699740900000001</v>
      </c>
      <c r="DQ14" s="1">
        <f t="shared" si="29"/>
        <v>1.3202370399999999</v>
      </c>
      <c r="DR14" s="1">
        <f t="shared" si="29"/>
        <v>2.29115132</v>
      </c>
      <c r="DS14" s="1">
        <f t="shared" si="29"/>
        <v>1.8108909100000001</v>
      </c>
      <c r="DT14" s="1">
        <f t="shared" si="29"/>
        <v>3.0093188999999998</v>
      </c>
      <c r="DU14" s="1">
        <f t="shared" si="29"/>
        <v>2.2926081099999998</v>
      </c>
      <c r="DV14" s="1">
        <f t="shared" si="29"/>
        <v>3.2446467999999999</v>
      </c>
      <c r="DW14" s="1">
        <f t="shared" si="29"/>
        <v>2.3068511200000001</v>
      </c>
      <c r="DX14" s="1">
        <f t="shared" si="29"/>
        <v>2.4321035299999991</v>
      </c>
      <c r="DY14" s="1">
        <f t="shared" si="30"/>
        <v>0</v>
      </c>
      <c r="DZ14" s="1">
        <f t="shared" si="30"/>
        <v>2.4168714900000001</v>
      </c>
      <c r="EA14" s="1">
        <f t="shared" si="30"/>
        <v>1.42944377</v>
      </c>
      <c r="EB14" s="1">
        <f t="shared" si="30"/>
        <v>2.4256843100000003</v>
      </c>
      <c r="EC14" s="1">
        <f t="shared" si="30"/>
        <v>4.1067614599999995</v>
      </c>
      <c r="ED14" s="1">
        <f t="shared" si="30"/>
        <v>1.9338399900000003</v>
      </c>
      <c r="EE14" s="1">
        <f t="shared" si="30"/>
        <v>3.7249795299999997</v>
      </c>
      <c r="EF14" s="1">
        <f t="shared" si="30"/>
        <v>4.5194618700000007</v>
      </c>
      <c r="EH14" s="14">
        <f t="shared" si="31"/>
        <v>159.5</v>
      </c>
      <c r="EI14" s="14">
        <f t="shared" si="31"/>
        <v>170.8</v>
      </c>
      <c r="EJ14" s="1">
        <f t="shared" si="31"/>
        <v>170.8</v>
      </c>
      <c r="EK14" s="1">
        <f t="shared" si="31"/>
        <v>187.7</v>
      </c>
      <c r="EL14" s="1">
        <f t="shared" si="31"/>
        <v>196.8</v>
      </c>
      <c r="EM14" s="1">
        <f t="shared" si="31"/>
        <v>196.8</v>
      </c>
      <c r="EN14" s="1">
        <f t="shared" si="31"/>
        <v>188.6</v>
      </c>
      <c r="EO14" s="1">
        <f t="shared" si="31"/>
        <v>188.6</v>
      </c>
      <c r="EP14" s="1">
        <f t="shared" si="31"/>
        <v>188.6</v>
      </c>
      <c r="EQ14" s="1">
        <f t="shared" si="31"/>
        <v>188.6</v>
      </c>
      <c r="ER14" s="1">
        <f t="shared" si="31"/>
        <v>188.6</v>
      </c>
      <c r="ES14" s="1">
        <f t="shared" si="31"/>
        <v>188.6</v>
      </c>
      <c r="ET14" s="1">
        <f t="shared" si="31"/>
        <v>188.6</v>
      </c>
      <c r="EU14" s="1">
        <f t="shared" si="31"/>
        <v>188.6</v>
      </c>
      <c r="EV14" s="1">
        <f t="shared" si="31"/>
        <v>188.6</v>
      </c>
      <c r="EW14" s="1">
        <f t="shared" si="31"/>
        <v>188.6</v>
      </c>
      <c r="EX14" s="1">
        <f t="shared" si="32"/>
        <v>188.6</v>
      </c>
      <c r="EY14" s="1">
        <f t="shared" si="32"/>
        <v>188.6</v>
      </c>
      <c r="EZ14" s="1">
        <f t="shared" si="32"/>
        <v>185.6</v>
      </c>
      <c r="FA14" s="1">
        <f t="shared" si="32"/>
        <v>185.6</v>
      </c>
      <c r="FB14" s="1">
        <f t="shared" si="32"/>
        <v>189</v>
      </c>
      <c r="FC14" s="1">
        <f t="shared" si="32"/>
        <v>189</v>
      </c>
      <c r="FD14" s="1">
        <f t="shared" si="32"/>
        <v>189</v>
      </c>
      <c r="FE14" s="1">
        <f t="shared" si="32"/>
        <v>189</v>
      </c>
      <c r="FG14" s="162">
        <f t="shared" si="33"/>
        <v>0.82722042108602079</v>
      </c>
    </row>
    <row r="15" spans="1:163" ht="18.75" customHeight="1">
      <c r="A15" s="244" t="s">
        <v>68</v>
      </c>
      <c r="B15" s="247"/>
      <c r="C15" s="228">
        <v>0</v>
      </c>
      <c r="D15" s="229">
        <v>0</v>
      </c>
      <c r="E15" s="253">
        <f t="shared" si="6"/>
        <v>6.063243400058016E-2</v>
      </c>
      <c r="F15" s="254">
        <f t="shared" si="7"/>
        <v>-2.7687362754747813E-2</v>
      </c>
      <c r="G15" s="253">
        <f t="shared" si="8"/>
        <v>4.2332905562426859E-2</v>
      </c>
      <c r="H15" s="254">
        <f t="shared" si="9"/>
        <v>1.8299528438153301E-2</v>
      </c>
      <c r="I15" s="253">
        <f t="shared" si="10"/>
        <v>0.95696392249223838</v>
      </c>
      <c r="J15" s="254">
        <f t="shared" si="11"/>
        <v>-1.9371231066287875</v>
      </c>
      <c r="K15" s="253">
        <f t="shared" si="34"/>
        <v>2.4460115527738084</v>
      </c>
      <c r="L15" s="254">
        <f t="shared" si="12"/>
        <v>-1.4890476302815701</v>
      </c>
      <c r="M15" s="255"/>
      <c r="N15" s="256">
        <v>0</v>
      </c>
      <c r="O15" s="253">
        <f t="shared" si="35"/>
        <v>-8.022582082899965E-3</v>
      </c>
      <c r="P15" s="257">
        <f t="shared" si="36"/>
        <v>-8.022582082899965E-3</v>
      </c>
      <c r="Q15" s="253">
        <f t="shared" si="13"/>
        <v>-3.262739139568871E-3</v>
      </c>
      <c r="R15" s="257">
        <f t="shared" si="37"/>
        <v>-3.262739139568871E-3</v>
      </c>
      <c r="S15" s="255"/>
      <c r="T15" s="256">
        <v>-1</v>
      </c>
      <c r="U15" s="253" t="str">
        <f t="shared" si="14"/>
        <v/>
      </c>
      <c r="V15" s="258" t="str">
        <f t="shared" si="15"/>
        <v/>
      </c>
      <c r="W15" s="253">
        <f t="shared" si="38"/>
        <v>-0.43873645126196115</v>
      </c>
      <c r="X15" s="258">
        <f t="shared" si="16"/>
        <v>-0.43873645126196115</v>
      </c>
      <c r="Y15" s="253">
        <f t="shared" si="17"/>
        <v>0</v>
      </c>
      <c r="Z15" s="258">
        <f t="shared" si="18"/>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P15" s="28">
        <f>VLOOKUP($A15,historia!$A$5:$CM$24,+HLOOKUP(AP$2,historia!$A$3:$EC$4,2,FALSE),FALSE)</f>
        <v>4</v>
      </c>
      <c r="AQ15" s="28">
        <f>VLOOKUP($A15,historia!$A$5:$CM$24,+HLOOKUP(AQ$2,historia!$A$3:$EC$4,2,FALSE),FALSE)</f>
        <v>4</v>
      </c>
      <c r="AR15" s="28">
        <f>VLOOKUP($A15,historia!$A$5:$CM$24,+HLOOKUP(AR$2,historia!$A$3:$EC$4,2,FALSE),FALSE)</f>
        <v>4</v>
      </c>
      <c r="AS15" s="28">
        <f>VLOOKUP($A15,historia!$A$5:$CM$24,+HLOOKUP(AS$2,historia!$A$3:$EC$4,2,FALSE),FALSE)</f>
        <v>4</v>
      </c>
      <c r="AT15" s="58">
        <f>VLOOKUP($A15,historia!$A$5:$CM$24,+HLOOKUP(AT$2,historia!$A$3:$EC$4,2,FALSE),FALSE)</f>
        <v>4</v>
      </c>
      <c r="AU15" s="58">
        <f>VLOOKUP($A15,historia!$A$5:$CM$24,+HLOOKUP(AU$2,historia!$A$3:$EC$4,2,FALSE),FALSE)</f>
        <v>4</v>
      </c>
      <c r="AV15" s="58">
        <f>VLOOKUP($A15,historia!$A$5:$CM$24,+HLOOKUP(AV$2,historia!$A$3:$EC$4,2,FALSE),FALSE)</f>
        <v>4</v>
      </c>
      <c r="AW15" s="58">
        <f>VLOOKUP($A15,historia!$A$5:$CM$24,+HLOOKUP(AW$2,historia!$A$3:$EC$4,2,FALSE),FALSE)</f>
        <v>4</v>
      </c>
      <c r="AX15" s="58">
        <f>VLOOKUP($A15,historia!$A$5:$CM$24,+HLOOKUP(AX$2,historia!$A$3:$EC$4,2,FALSE),FALSE)</f>
        <v>4</v>
      </c>
      <c r="AY15" s="58">
        <f>VLOOKUP($A15,historia!$A$5:$CM$24,+HLOOKUP(AY$2,historia!$A$3:$EC$4,2,FALSE),FALSE)</f>
        <v>3</v>
      </c>
      <c r="AZ15" s="58">
        <f>VLOOKUP($A15,historia!$A$5:$CM$24,+HLOOKUP(AZ$2,historia!$A$3:$EC$4,2,FALSE),FALSE)</f>
        <v>3</v>
      </c>
      <c r="BA15" s="58">
        <f>VLOOKUP($A15,historia!$A$5:$CM$24,+HLOOKUP(BA$2,historia!$A$3:$EC$4,2,FALSE),FALSE)</f>
        <v>3</v>
      </c>
      <c r="BB15" s="30"/>
      <c r="BC15" s="141">
        <v>3</v>
      </c>
      <c r="BD15" t="str">
        <f t="shared" si="19"/>
        <v>Mandioca</v>
      </c>
      <c r="BE15">
        <f>+datos!AW1</f>
        <v>49</v>
      </c>
      <c r="BF15" s="2" t="str">
        <f t="shared" si="4"/>
        <v>$/bolsa40kg</v>
      </c>
      <c r="BG15" s="2">
        <f t="shared" si="4"/>
        <v>10155.555555555555</v>
      </c>
      <c r="BH15" s="2">
        <f t="shared" si="4"/>
        <v>9575</v>
      </c>
      <c r="BI15" s="2">
        <f t="shared" si="4"/>
        <v>5189.4444444444443</v>
      </c>
      <c r="BK15">
        <f>+datos!CJ1</f>
        <v>88</v>
      </c>
      <c r="BL15" s="2">
        <f t="shared" si="20"/>
        <v>6796.6316185001688</v>
      </c>
      <c r="BM15" s="2">
        <f t="shared" si="20"/>
        <v>6520.5958501644063</v>
      </c>
      <c r="BN15" s="2">
        <f t="shared" si="20"/>
        <v>1972.3182915708264</v>
      </c>
      <c r="BP15" s="1">
        <f>+datos!EY1</f>
        <v>155</v>
      </c>
      <c r="BQ15" s="1">
        <f t="shared" si="21"/>
        <v>20031</v>
      </c>
      <c r="BR15" s="1">
        <f t="shared" si="21"/>
        <v>20193</v>
      </c>
      <c r="BT15" s="1">
        <f>+datos!GO1</f>
        <v>197</v>
      </c>
      <c r="BU15" s="1">
        <f t="shared" si="22"/>
        <v>201734</v>
      </c>
      <c r="BV15" s="1">
        <f t="shared" si="22"/>
        <v>202394.36</v>
      </c>
      <c r="BX15" s="1">
        <f>+datos!JP1</f>
        <v>276</v>
      </c>
      <c r="BY15" s="1">
        <f t="shared" si="39"/>
        <v>0</v>
      </c>
      <c r="BZ15" s="1">
        <f t="shared" si="40"/>
        <v>0</v>
      </c>
      <c r="CB15" s="1">
        <f>+datos!KU1</f>
        <v>307</v>
      </c>
      <c r="CC15" s="2">
        <f t="shared" si="23"/>
        <v>5.66017364</v>
      </c>
      <c r="CD15" s="2">
        <f t="shared" si="24"/>
        <v>10.084698450000001</v>
      </c>
      <c r="CF15" s="1">
        <f>+datos!IY1</f>
        <v>259</v>
      </c>
      <c r="CG15" s="1">
        <f t="shared" si="25"/>
        <v>1.88</v>
      </c>
      <c r="CH15" s="1">
        <f t="shared" si="26"/>
        <v>1.88</v>
      </c>
      <c r="CJ15" s="1">
        <f t="shared" si="27"/>
        <v>0</v>
      </c>
      <c r="CK15" s="1">
        <f t="shared" si="27"/>
        <v>0</v>
      </c>
      <c r="CL15" s="1">
        <f t="shared" si="27"/>
        <v>0</v>
      </c>
      <c r="CM15" s="1">
        <f t="shared" si="27"/>
        <v>0</v>
      </c>
      <c r="CN15" s="1">
        <f t="shared" si="27"/>
        <v>0</v>
      </c>
      <c r="CO15" s="1">
        <f t="shared" si="27"/>
        <v>0</v>
      </c>
      <c r="CP15" s="1">
        <f t="shared" si="27"/>
        <v>0</v>
      </c>
      <c r="CQ15" s="1">
        <f t="shared" si="27"/>
        <v>0</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8"/>
        <v>0</v>
      </c>
      <c r="DA15" s="1">
        <f t="shared" si="28"/>
        <v>0</v>
      </c>
      <c r="DB15" s="1">
        <f t="shared" si="28"/>
        <v>0</v>
      </c>
      <c r="DC15" s="1">
        <f t="shared" si="28"/>
        <v>0</v>
      </c>
      <c r="DD15" s="1">
        <f t="shared" si="28"/>
        <v>0</v>
      </c>
      <c r="DE15" s="1">
        <f t="shared" si="28"/>
        <v>0</v>
      </c>
      <c r="DF15" s="1">
        <f t="shared" si="28"/>
        <v>0</v>
      </c>
      <c r="DG15" s="1">
        <f t="shared" si="28"/>
        <v>0</v>
      </c>
      <c r="DI15" s="14">
        <f t="shared" si="29"/>
        <v>1.6812999999999999E-3</v>
      </c>
      <c r="DJ15" s="14">
        <f t="shared" si="29"/>
        <v>2.8195380000000003E-2</v>
      </c>
      <c r="DK15" s="1">
        <f t="shared" si="29"/>
        <v>4.9277770000000005E-2</v>
      </c>
      <c r="DL15" s="1">
        <f t="shared" si="29"/>
        <v>0.21358802999999996</v>
      </c>
      <c r="DM15" s="1">
        <f t="shared" si="29"/>
        <v>0.24099903000000003</v>
      </c>
      <c r="DN15" s="1">
        <f t="shared" si="29"/>
        <v>0.39667624000000001</v>
      </c>
      <c r="DO15" s="1">
        <f t="shared" si="29"/>
        <v>0.47948613000000001</v>
      </c>
      <c r="DP15" s="1">
        <f t="shared" si="29"/>
        <v>0.13955175</v>
      </c>
      <c r="DQ15" s="1">
        <f t="shared" si="29"/>
        <v>0.88368341000000006</v>
      </c>
      <c r="DR15" s="1">
        <f t="shared" si="29"/>
        <v>0.91695114999999994</v>
      </c>
      <c r="DS15" s="1">
        <f t="shared" si="29"/>
        <v>1.1944894100000001</v>
      </c>
      <c r="DT15" s="1">
        <f t="shared" si="29"/>
        <v>1.11559404</v>
      </c>
      <c r="DU15" s="1">
        <f t="shared" si="29"/>
        <v>1.36422954</v>
      </c>
      <c r="DV15" s="1">
        <f t="shared" si="29"/>
        <v>1.7463627799999999</v>
      </c>
      <c r="DW15" s="1">
        <f t="shared" si="29"/>
        <v>0.68698649000000001</v>
      </c>
      <c r="DX15" s="1">
        <f t="shared" si="29"/>
        <v>0.11168649999999999</v>
      </c>
      <c r="DY15" s="1">
        <f t="shared" si="30"/>
        <v>0</v>
      </c>
      <c r="DZ15" s="1">
        <f t="shared" si="30"/>
        <v>1.4896021499999998</v>
      </c>
      <c r="EA15" s="1">
        <f t="shared" si="30"/>
        <v>0</v>
      </c>
      <c r="EB15" s="1">
        <f t="shared" si="30"/>
        <v>1.7451778999999998</v>
      </c>
      <c r="EC15" s="1">
        <f t="shared" si="30"/>
        <v>0.90545438</v>
      </c>
      <c r="ED15" s="1">
        <f t="shared" si="30"/>
        <v>0.96282131000000004</v>
      </c>
      <c r="EE15" s="1">
        <f t="shared" si="30"/>
        <v>0.35384690000000002</v>
      </c>
      <c r="EF15" s="1">
        <f t="shared" si="30"/>
        <v>0.71853049999999996</v>
      </c>
      <c r="EH15" s="14">
        <f t="shared" si="31"/>
        <v>1.88</v>
      </c>
      <c r="EI15" s="14">
        <f t="shared" si="31"/>
        <v>1.88</v>
      </c>
      <c r="EJ15" s="1">
        <f t="shared" si="31"/>
        <v>1.88</v>
      </c>
      <c r="EK15" s="1">
        <f t="shared" si="31"/>
        <v>1.88</v>
      </c>
      <c r="EL15" s="1">
        <f t="shared" si="31"/>
        <v>1.88</v>
      </c>
      <c r="EM15" s="1">
        <f t="shared" si="31"/>
        <v>1.88</v>
      </c>
      <c r="EN15" s="1">
        <f t="shared" si="31"/>
        <v>1.88</v>
      </c>
      <c r="EO15" s="1">
        <f t="shared" si="31"/>
        <v>1.88</v>
      </c>
      <c r="EP15" s="1">
        <f t="shared" si="31"/>
        <v>1.88</v>
      </c>
      <c r="EQ15" s="1">
        <f t="shared" si="31"/>
        <v>1.88</v>
      </c>
      <c r="ER15" s="1">
        <f t="shared" si="31"/>
        <v>1.88</v>
      </c>
      <c r="ES15" s="1">
        <f t="shared" si="31"/>
        <v>1.88</v>
      </c>
      <c r="ET15" s="1">
        <f t="shared" si="31"/>
        <v>1.88</v>
      </c>
      <c r="EU15" s="1">
        <f t="shared" si="31"/>
        <v>1.88</v>
      </c>
      <c r="EV15" s="1">
        <f t="shared" si="31"/>
        <v>1.88</v>
      </c>
      <c r="EW15" s="1">
        <f t="shared" si="31"/>
        <v>1.88</v>
      </c>
      <c r="EX15" s="1">
        <f t="shared" si="32"/>
        <v>1.88</v>
      </c>
      <c r="EY15" s="1">
        <f t="shared" si="32"/>
        <v>1.88</v>
      </c>
      <c r="EZ15" s="1">
        <f t="shared" si="32"/>
        <v>1.88</v>
      </c>
      <c r="FA15" s="1">
        <f t="shared" si="32"/>
        <v>1.88</v>
      </c>
      <c r="FB15" s="1">
        <f t="shared" si="32"/>
        <v>1.88</v>
      </c>
      <c r="FC15" s="1">
        <f t="shared" si="32"/>
        <v>1.88</v>
      </c>
      <c r="FD15" s="1">
        <f t="shared" si="32"/>
        <v>1.88</v>
      </c>
      <c r="FE15" s="1">
        <f t="shared" si="32"/>
        <v>1.88</v>
      </c>
      <c r="FG15" s="162">
        <f t="shared" si="33"/>
        <v>-1.4890476302815701</v>
      </c>
    </row>
    <row r="16" spans="1:163" ht="18.75" customHeight="1">
      <c r="A16" s="243" t="s">
        <v>25</v>
      </c>
      <c r="B16" s="246"/>
      <c r="C16" s="156">
        <f t="shared" si="5"/>
        <v>0</v>
      </c>
      <c r="D16" s="198">
        <v>1</v>
      </c>
      <c r="E16" s="248">
        <f t="shared" si="6"/>
        <v>1.1553323240929947E-2</v>
      </c>
      <c r="F16" s="249">
        <f t="shared" si="7"/>
        <v>-7.6766473514398026E-2</v>
      </c>
      <c r="G16" s="248">
        <f t="shared" si="8"/>
        <v>1.0746769128456624E-2</v>
      </c>
      <c r="H16" s="249">
        <f t="shared" si="9"/>
        <v>8.0655411247332331E-4</v>
      </c>
      <c r="I16" s="248">
        <f t="shared" si="10"/>
        <v>3.8900070694368853</v>
      </c>
      <c r="J16" s="249">
        <f t="shared" si="11"/>
        <v>0.99592004031585946</v>
      </c>
      <c r="K16" s="248">
        <f t="shared" si="34"/>
        <v>2.9858151011020881</v>
      </c>
      <c r="L16" s="249">
        <f t="shared" si="12"/>
        <v>0.9041919683347972</v>
      </c>
      <c r="M16" s="250"/>
      <c r="N16" s="24">
        <v>1</v>
      </c>
      <c r="O16" s="248">
        <f t="shared" si="35"/>
        <v>0.11422036142805547</v>
      </c>
      <c r="P16" s="251">
        <f t="shared" si="36"/>
        <v>0.11422036142805547</v>
      </c>
      <c r="Q16" s="248">
        <f>IFERROR(+BU16/BV16-1,"")</f>
        <v>0.70637774795677699</v>
      </c>
      <c r="R16" s="251">
        <f>+Q16</f>
        <v>0.70637774795677699</v>
      </c>
      <c r="S16" s="250"/>
      <c r="T16" s="24">
        <v>-2</v>
      </c>
      <c r="U16" s="248">
        <f t="shared" si="14"/>
        <v>-0.15556411153458083</v>
      </c>
      <c r="V16" s="252">
        <f t="shared" si="15"/>
        <v>-0.15556411153458083</v>
      </c>
      <c r="W16" s="248"/>
      <c r="X16" s="252"/>
      <c r="Y16" s="248">
        <f t="shared" si="17"/>
        <v>8.4415584415584499E-2</v>
      </c>
      <c r="Z16" s="252">
        <f t="shared" si="18"/>
        <v>8.4415584415584499E-2</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P16" s="28">
        <f>VLOOKUP($A16,historia!$A$5:$CM$24,+HLOOKUP(AP$2,historia!$A$3:$EC$4,2,FALSE),FALSE)</f>
        <v>3</v>
      </c>
      <c r="AQ16" s="28">
        <f>VLOOKUP($A16,historia!$A$5:$CM$24,+HLOOKUP(AQ$2,historia!$A$3:$EC$4,2,FALSE),FALSE)</f>
        <v>3</v>
      </c>
      <c r="AR16" s="28">
        <f>VLOOKUP($A16,historia!$A$5:$CM$24,+HLOOKUP(AR$2,historia!$A$3:$EC$4,2,FALSE),FALSE)</f>
        <v>3</v>
      </c>
      <c r="AS16" s="28">
        <f>VLOOKUP($A16,historia!$A$5:$CM$24,+HLOOKUP(AS$2,historia!$A$3:$EC$4,2,FALSE),FALSE)</f>
        <v>3</v>
      </c>
      <c r="AT16" s="58">
        <f>VLOOKUP($A16,historia!$A$5:$CM$24,+HLOOKUP(AT$2,historia!$A$3:$EC$4,2,FALSE),FALSE)</f>
        <v>3</v>
      </c>
      <c r="AU16" s="58">
        <f>VLOOKUP($A16,historia!$A$5:$CM$24,+HLOOKUP(AU$2,historia!$A$3:$EC$4,2,FALSE),FALSE)</f>
        <v>2</v>
      </c>
      <c r="AV16" s="58">
        <f>VLOOKUP($A16,historia!$A$5:$CM$24,+HLOOKUP(AV$2,historia!$A$3:$EC$4,2,FALSE),FALSE)</f>
        <v>2</v>
      </c>
      <c r="AW16" s="58">
        <f>VLOOKUP($A16,historia!$A$5:$CM$24,+HLOOKUP(AW$2,historia!$A$3:$EC$4,2,FALSE),FALSE)</f>
        <v>2</v>
      </c>
      <c r="AX16" s="58">
        <f>VLOOKUP($A16,historia!$A$5:$CM$24,+HLOOKUP(AX$2,historia!$A$3:$EC$4,2,FALSE),FALSE)</f>
        <v>2</v>
      </c>
      <c r="AY16" s="58">
        <f>VLOOKUP($A16,historia!$A$5:$CM$24,+HLOOKUP(AY$2,historia!$A$3:$EC$4,2,FALSE),FALSE)</f>
        <v>2</v>
      </c>
      <c r="AZ16" s="58">
        <f>VLOOKUP($A16,historia!$A$5:$CM$24,+HLOOKUP(AZ$2,historia!$A$3:$EC$4,2,FALSE),FALSE)</f>
        <v>2</v>
      </c>
      <c r="BA16" s="58">
        <f>VLOOKUP($A16,historia!$A$5:$CM$24,+HLOOKUP(BA$2,historia!$A$3:$EC$4,2,FALSE),FALSE)</f>
        <v>2</v>
      </c>
      <c r="BB16" s="30"/>
      <c r="BC16" s="141">
        <v>2</v>
      </c>
      <c r="BD16" t="str">
        <f t="shared" si="19"/>
        <v>Maní</v>
      </c>
      <c r="BE16">
        <f>+datos!AF1</f>
        <v>32</v>
      </c>
      <c r="BF16" s="2" t="str">
        <f t="shared" si="4"/>
        <v>$/t</v>
      </c>
      <c r="BG16" s="2">
        <f t="shared" si="4"/>
        <v>781633.4</v>
      </c>
      <c r="BH16" s="2">
        <f t="shared" si="4"/>
        <v>772706.07692307688</v>
      </c>
      <c r="BI16" s="2">
        <f t="shared" si="4"/>
        <v>159843</v>
      </c>
      <c r="BK16">
        <f>+datos!CH1</f>
        <v>86</v>
      </c>
      <c r="BL16" s="2">
        <f t="shared" si="20"/>
        <v>9365.7945385033108</v>
      </c>
      <c r="BM16" s="2">
        <f t="shared" si="20"/>
        <v>9266.2126900284002</v>
      </c>
      <c r="BN16" s="2">
        <f t="shared" si="20"/>
        <v>2349.7814878351091</v>
      </c>
      <c r="BP16" s="1">
        <f>+datos!EB1</f>
        <v>132</v>
      </c>
      <c r="BQ16" s="1">
        <f t="shared" si="21"/>
        <v>416490</v>
      </c>
      <c r="BR16" s="1">
        <f t="shared" si="21"/>
        <v>373795</v>
      </c>
      <c r="BT16" s="1">
        <f>+datos!FW1</f>
        <v>179</v>
      </c>
      <c r="BU16" s="1">
        <f t="shared" si="22"/>
        <v>1604722</v>
      </c>
      <c r="BV16" s="1">
        <f t="shared" si="22"/>
        <v>940426</v>
      </c>
      <c r="BX16" s="1">
        <f>+datos!JK1</f>
        <v>271</v>
      </c>
      <c r="BY16" s="1">
        <f t="shared" si="39"/>
        <v>1121.01371709</v>
      </c>
      <c r="BZ16" s="1">
        <f t="shared" si="40"/>
        <v>1327.5296945599998</v>
      </c>
      <c r="CB16" s="1">
        <f>+datos!KP1</f>
        <v>302</v>
      </c>
      <c r="CC16" s="2">
        <f t="shared" si="23"/>
        <v>2.8534718899999998</v>
      </c>
      <c r="CD16" s="2">
        <f t="shared" si="24"/>
        <v>1.0909540899999999</v>
      </c>
      <c r="CF16" s="1">
        <f>+datos!IJ1</f>
        <v>244</v>
      </c>
      <c r="CG16" s="1">
        <f t="shared" si="25"/>
        <v>2.1563835150032644</v>
      </c>
      <c r="CH16" s="1">
        <f t="shared" si="26"/>
        <v>1.9885213252125911</v>
      </c>
      <c r="CJ16" s="1">
        <f t="shared" si="27"/>
        <v>65.127016839999982</v>
      </c>
      <c r="CK16" s="1">
        <f t="shared" si="27"/>
        <v>70.784594500000011</v>
      </c>
      <c r="CL16" s="1">
        <f t="shared" si="27"/>
        <v>111.62267066999999</v>
      </c>
      <c r="CM16" s="1">
        <f t="shared" si="27"/>
        <v>100.80321882999999</v>
      </c>
      <c r="CN16" s="1">
        <f t="shared" si="27"/>
        <v>90.064767340000003</v>
      </c>
      <c r="CO16" s="1">
        <f t="shared" si="27"/>
        <v>96.183340330000021</v>
      </c>
      <c r="CP16" s="1">
        <f t="shared" si="27"/>
        <v>89.024842150000026</v>
      </c>
      <c r="CQ16" s="1">
        <f t="shared" si="27"/>
        <v>102.74257099999998</v>
      </c>
      <c r="CR16" s="1">
        <f t="shared" si="27"/>
        <v>102.43695814</v>
      </c>
      <c r="CS16" s="1">
        <f t="shared" si="27"/>
        <v>100.03941109999997</v>
      </c>
      <c r="CT16" s="1">
        <f t="shared" si="27"/>
        <v>89.79279253</v>
      </c>
      <c r="CU16" s="1">
        <f t="shared" si="27"/>
        <v>102.39153366000001</v>
      </c>
      <c r="CV16" s="1">
        <f t="shared" si="27"/>
        <v>98.470728969999996</v>
      </c>
      <c r="CW16" s="1">
        <f t="shared" si="27"/>
        <v>134.53858048999999</v>
      </c>
      <c r="CX16" s="1">
        <f t="shared" si="27"/>
        <v>116.52197384999999</v>
      </c>
      <c r="CY16" s="1">
        <f t="shared" si="27"/>
        <v>130.05927615000002</v>
      </c>
      <c r="CZ16" s="1">
        <f t="shared" si="28"/>
        <v>105.24839114999997</v>
      </c>
      <c r="DA16" s="1">
        <f t="shared" si="28"/>
        <v>106.58558735000001</v>
      </c>
      <c r="DB16" s="1">
        <f t="shared" si="28"/>
        <v>136.66063392000001</v>
      </c>
      <c r="DC16" s="1">
        <f t="shared" si="28"/>
        <v>103.23507013999998</v>
      </c>
      <c r="DD16" s="1">
        <f t="shared" si="28"/>
        <v>127.03001287000001</v>
      </c>
      <c r="DE16" s="1">
        <f t="shared" si="28"/>
        <v>94.841677119999986</v>
      </c>
      <c r="DF16" s="1">
        <f t="shared" si="28"/>
        <v>82.179019859999997</v>
      </c>
      <c r="DG16" s="1">
        <f t="shared" si="28"/>
        <v>92.158742689999997</v>
      </c>
      <c r="DI16" s="1">
        <f t="shared" si="29"/>
        <v>0.111375</v>
      </c>
      <c r="DJ16" s="1">
        <f t="shared" si="29"/>
        <v>0.12514284000000001</v>
      </c>
      <c r="DK16" s="1">
        <f t="shared" si="29"/>
        <v>0.69674917999999986</v>
      </c>
      <c r="DL16" s="1">
        <f t="shared" si="29"/>
        <v>0.79684906</v>
      </c>
      <c r="DM16" s="1">
        <f t="shared" si="29"/>
        <v>0.24194792999999998</v>
      </c>
      <c r="DN16" s="1">
        <f t="shared" si="29"/>
        <v>0.11713932000000001</v>
      </c>
      <c r="DO16" s="1">
        <f t="shared" si="29"/>
        <v>0.45286999999999999</v>
      </c>
      <c r="DP16" s="1">
        <f t="shared" si="29"/>
        <v>5.563009E-2</v>
      </c>
      <c r="DQ16" s="1">
        <f t="shared" si="29"/>
        <v>2.7416000000000002E-4</v>
      </c>
      <c r="DR16" s="1">
        <f t="shared" si="29"/>
        <v>0.12031510000000001</v>
      </c>
      <c r="DS16" s="1">
        <f t="shared" si="29"/>
        <v>0.13456720999999999</v>
      </c>
      <c r="DT16" s="1">
        <f t="shared" si="29"/>
        <v>6.1200000000000002E-4</v>
      </c>
      <c r="DU16" s="1">
        <f t="shared" si="29"/>
        <v>0</v>
      </c>
      <c r="DV16" s="1">
        <f t="shared" si="29"/>
        <v>5.2170000000000003E-3</v>
      </c>
      <c r="DW16" s="1">
        <f t="shared" si="29"/>
        <v>0.10975939999999999</v>
      </c>
      <c r="DX16" s="1">
        <f t="shared" si="29"/>
        <v>9.1243839999999993E-2</v>
      </c>
      <c r="DY16" s="1">
        <f t="shared" si="30"/>
        <v>2.016E-3</v>
      </c>
      <c r="DZ16" s="1">
        <f t="shared" si="30"/>
        <v>0.21936422</v>
      </c>
      <c r="EA16" s="1">
        <f t="shared" si="30"/>
        <v>0</v>
      </c>
      <c r="EB16" s="1">
        <f t="shared" si="30"/>
        <v>6.0353800000000006E-2</v>
      </c>
      <c r="EC16" s="1">
        <f t="shared" si="30"/>
        <v>1.9724599999999998E-2</v>
      </c>
      <c r="ED16" s="1">
        <f t="shared" si="30"/>
        <v>6.1101999999999997E-2</v>
      </c>
      <c r="EE16" s="1">
        <f t="shared" si="30"/>
        <v>8.3099999999999997E-3</v>
      </c>
      <c r="EF16" s="1">
        <f t="shared" si="30"/>
        <v>0.51386323</v>
      </c>
      <c r="EH16" s="14">
        <f t="shared" si="31"/>
        <v>2.1563835150032644</v>
      </c>
      <c r="EI16" s="14">
        <f t="shared" si="31"/>
        <v>1.9885213252125911</v>
      </c>
      <c r="EJ16" s="1">
        <f t="shared" si="31"/>
        <v>1.9885213252125911</v>
      </c>
      <c r="EK16" s="1">
        <f t="shared" si="31"/>
        <v>1.9885213252125911</v>
      </c>
      <c r="EL16" s="1">
        <f t="shared" si="31"/>
        <v>1.9885213252125911</v>
      </c>
      <c r="EM16" s="1">
        <f t="shared" si="31"/>
        <v>1.9885213252125911</v>
      </c>
      <c r="EN16" s="1">
        <f t="shared" si="31"/>
        <v>1.9885213252125911</v>
      </c>
      <c r="EO16" s="1">
        <f t="shared" si="31"/>
        <v>1.9885213252125911</v>
      </c>
      <c r="EP16" s="1">
        <f t="shared" si="31"/>
        <v>1.9885213252125911</v>
      </c>
      <c r="EQ16" s="1">
        <f t="shared" si="31"/>
        <v>1.9885213252125911</v>
      </c>
      <c r="ER16" s="1">
        <f t="shared" si="31"/>
        <v>1.9885213252125911</v>
      </c>
      <c r="ES16" s="1">
        <f t="shared" si="31"/>
        <v>1.9885213252125911</v>
      </c>
      <c r="ET16" s="1">
        <f t="shared" si="31"/>
        <v>1.9885213252125911</v>
      </c>
      <c r="EU16" s="1">
        <f t="shared" si="31"/>
        <v>1.9885213252125911</v>
      </c>
      <c r="EV16" s="1">
        <f t="shared" si="31"/>
        <v>1.9040737312717446</v>
      </c>
      <c r="EW16" s="1">
        <f t="shared" si="31"/>
        <v>1.9040737312717446</v>
      </c>
      <c r="EX16" s="1">
        <f t="shared" si="32"/>
        <v>1.9040737312717446</v>
      </c>
      <c r="EY16" s="1">
        <f t="shared" si="32"/>
        <v>1.9040737312717446</v>
      </c>
      <c r="EZ16" s="1">
        <f t="shared" si="32"/>
        <v>1.9040737312717446</v>
      </c>
      <c r="FA16" s="1">
        <f t="shared" si="32"/>
        <v>1.9040737312717446</v>
      </c>
      <c r="FB16" s="1">
        <f t="shared" si="32"/>
        <v>1.9040737312717446</v>
      </c>
      <c r="FC16" s="1">
        <f t="shared" si="32"/>
        <v>1.9040737312717446</v>
      </c>
      <c r="FD16" s="1">
        <f t="shared" si="32"/>
        <v>1.9040737312717446</v>
      </c>
      <c r="FE16" s="1">
        <f t="shared" si="32"/>
        <v>1.9040737312717446</v>
      </c>
      <c r="FG16" s="162">
        <f t="shared" si="33"/>
        <v>0.9041919683347972</v>
      </c>
    </row>
    <row r="17" spans="1:163" ht="18.75" customHeight="1">
      <c r="A17" s="244" t="s">
        <v>76</v>
      </c>
      <c r="B17" s="247"/>
      <c r="C17" s="228">
        <f t="shared" si="5"/>
        <v>-0.99</v>
      </c>
      <c r="D17" s="229">
        <v>-1</v>
      </c>
      <c r="E17" s="253">
        <f t="shared" si="6"/>
        <v>4.778156996587013E-3</v>
      </c>
      <c r="F17" s="254">
        <f t="shared" si="7"/>
        <v>-8.354163975874096E-2</v>
      </c>
      <c r="G17" s="253">
        <f t="shared" si="8"/>
        <v>3.3913450875311169E-2</v>
      </c>
      <c r="H17" s="254">
        <f t="shared" si="9"/>
        <v>-2.9135293878724156E-2</v>
      </c>
      <c r="I17" s="253">
        <f t="shared" si="10"/>
        <v>2.4716981132075473</v>
      </c>
      <c r="J17" s="254">
        <f t="shared" si="11"/>
        <v>-0.4223889159134786</v>
      </c>
      <c r="K17" s="253">
        <f t="shared" si="34"/>
        <v>2.7825646205280568</v>
      </c>
      <c r="L17" s="254">
        <f t="shared" si="12"/>
        <v>-0.31086650732050947</v>
      </c>
      <c r="M17" s="255"/>
      <c r="N17" s="256">
        <v>-1</v>
      </c>
      <c r="O17" s="253">
        <f>IFERROR(+BQ17/BR17-1,"")</f>
        <v>0</v>
      </c>
      <c r="P17" s="257">
        <f t="shared" si="36"/>
        <v>0</v>
      </c>
      <c r="Q17" s="253">
        <f t="shared" si="13"/>
        <v>-5.5834866135295314E-2</v>
      </c>
      <c r="R17" s="257">
        <f t="shared" si="37"/>
        <v>-5.5834866135295314E-2</v>
      </c>
      <c r="S17" s="255"/>
      <c r="T17" s="256">
        <v>-1</v>
      </c>
      <c r="U17" s="253">
        <f t="shared" si="14"/>
        <v>-0.26741208498590741</v>
      </c>
      <c r="V17" s="258">
        <f t="shared" si="15"/>
        <v>-0.26741208498590741</v>
      </c>
      <c r="W17" s="253"/>
      <c r="X17" s="258"/>
      <c r="Y17" s="253">
        <f t="shared" si="17"/>
        <v>0</v>
      </c>
      <c r="Z17" s="258">
        <f t="shared" si="18"/>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P17" s="28">
        <f>VLOOKUP($A17,historia!$A$5:$CM$24,+HLOOKUP(AP$2,historia!$A$3:$EC$4,2,FALSE),FALSE)</f>
        <v>3</v>
      </c>
      <c r="AQ17" s="28">
        <f>VLOOKUP($A17,historia!$A$5:$CM$24,+HLOOKUP(AQ$2,historia!$A$3:$EC$4,2,FALSE),FALSE)</f>
        <v>5</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f>VLOOKUP($A17,historia!$A$5:$CM$24,+HLOOKUP(AZ$2,historia!$A$3:$EC$4,2,FALSE),FALSE)</f>
        <v>5</v>
      </c>
      <c r="BA17" s="58">
        <f>VLOOKUP($A17,historia!$A$5:$CM$24,+HLOOKUP(BA$2,historia!$A$3:$EC$4,2,FALSE),FALSE)</f>
        <v>5</v>
      </c>
      <c r="BB17" s="30"/>
      <c r="BC17" s="141">
        <v>5</v>
      </c>
      <c r="BD17" t="str">
        <f t="shared" si="19"/>
        <v>Miel</v>
      </c>
      <c r="BE17">
        <f>+datos!BV1</f>
        <v>74</v>
      </c>
      <c r="BF17" s="2" t="str">
        <f t="shared" si="4"/>
        <v>$/kg</v>
      </c>
      <c r="BG17" s="2">
        <f t="shared" si="4"/>
        <v>1472</v>
      </c>
      <c r="BH17" s="2">
        <f t="shared" si="4"/>
        <v>1465</v>
      </c>
      <c r="BI17" s="2">
        <f t="shared" si="4"/>
        <v>424</v>
      </c>
      <c r="BK17">
        <f>+datos!DH1</f>
        <v>112</v>
      </c>
      <c r="BL17" s="2">
        <f t="shared" si="20"/>
        <v>7260.1523014831128</v>
      </c>
      <c r="BM17" s="2">
        <f t="shared" si="20"/>
        <v>7022.0116542024552</v>
      </c>
      <c r="BN17" s="2">
        <f t="shared" si="20"/>
        <v>1919.3729730569878</v>
      </c>
      <c r="BP17" s="1">
        <f>+datos!EQ1</f>
        <v>147</v>
      </c>
      <c r="BQ17" s="1">
        <f t="shared" si="21"/>
        <v>3500000</v>
      </c>
      <c r="BR17" s="1">
        <f t="shared" si="21"/>
        <v>3500000</v>
      </c>
      <c r="BT17" s="1">
        <f>+datos!GP1</f>
        <v>198</v>
      </c>
      <c r="BU17" s="1">
        <f t="shared" si="22"/>
        <v>69297</v>
      </c>
      <c r="BV17" s="1">
        <f t="shared" si="22"/>
        <v>73395</v>
      </c>
      <c r="BX17" s="1">
        <f>+datos!KE1</f>
        <v>291</v>
      </c>
      <c r="BY17" s="1">
        <f t="shared" si="39"/>
        <v>194.93864266999995</v>
      </c>
      <c r="BZ17" s="1">
        <f t="shared" si="40"/>
        <v>266.09590286000002</v>
      </c>
      <c r="CB17" s="1">
        <f>+datos!LJ1</f>
        <v>322</v>
      </c>
      <c r="CC17" s="2">
        <f t="shared" si="23"/>
        <v>0.10017730000000001</v>
      </c>
      <c r="CD17" s="2">
        <f>+SUM(DU17:EF17)</f>
        <v>0.12936554000000003</v>
      </c>
      <c r="CF17" s="1">
        <f>+datos!IZ1</f>
        <v>260</v>
      </c>
      <c r="CG17" s="1">
        <f t="shared" si="25"/>
        <v>0.3</v>
      </c>
      <c r="CH17" s="1">
        <f t="shared" si="26"/>
        <v>0.3</v>
      </c>
      <c r="CJ17" s="1">
        <f t="shared" si="27"/>
        <v>16.174522229999997</v>
      </c>
      <c r="CK17" s="1">
        <f t="shared" si="27"/>
        <v>22.082734950000003</v>
      </c>
      <c r="CL17" s="1">
        <f t="shared" si="27"/>
        <v>13.392344960000001</v>
      </c>
      <c r="CM17" s="1">
        <f t="shared" si="27"/>
        <v>10.971998660000001</v>
      </c>
      <c r="CN17" s="1">
        <f t="shared" si="27"/>
        <v>12.805239539999999</v>
      </c>
      <c r="CO17" s="1">
        <f t="shared" si="27"/>
        <v>13.943876809999997</v>
      </c>
      <c r="CP17" s="1">
        <f t="shared" si="27"/>
        <v>17.891480939999997</v>
      </c>
      <c r="CQ17" s="1">
        <f t="shared" si="27"/>
        <v>16.805607889999997</v>
      </c>
      <c r="CR17" s="1">
        <f t="shared" si="27"/>
        <v>21.325973759999997</v>
      </c>
      <c r="CS17" s="1">
        <f t="shared" si="27"/>
        <v>17.230385739999999</v>
      </c>
      <c r="CT17" s="1">
        <f t="shared" si="27"/>
        <v>14.837575590000002</v>
      </c>
      <c r="CU17" s="1">
        <f t="shared" si="27"/>
        <v>17.476901599999998</v>
      </c>
      <c r="CV17" s="1">
        <f t="shared" si="27"/>
        <v>23.512884059999998</v>
      </c>
      <c r="CW17" s="1">
        <f t="shared" si="27"/>
        <v>18.814354810000005</v>
      </c>
      <c r="CX17" s="1">
        <f t="shared" si="27"/>
        <v>15.47450873</v>
      </c>
      <c r="CY17" s="1">
        <f t="shared" si="27"/>
        <v>18.752158659999996</v>
      </c>
      <c r="CZ17" s="1">
        <f t="shared" si="28"/>
        <v>13.663636670000002</v>
      </c>
      <c r="DA17" s="1">
        <f t="shared" si="28"/>
        <v>12.97807542</v>
      </c>
      <c r="DB17" s="1">
        <f t="shared" si="28"/>
        <v>21.851292619999999</v>
      </c>
      <c r="DC17" s="1">
        <f t="shared" si="28"/>
        <v>17.949190340000005</v>
      </c>
      <c r="DD17" s="1">
        <f t="shared" si="28"/>
        <v>28.34616364</v>
      </c>
      <c r="DE17" s="1">
        <f t="shared" si="28"/>
        <v>25.709158449999997</v>
      </c>
      <c r="DF17" s="1">
        <f t="shared" si="28"/>
        <v>34.492792039999998</v>
      </c>
      <c r="DG17" s="1">
        <f t="shared" si="28"/>
        <v>34.55168742</v>
      </c>
      <c r="DI17" s="1">
        <f t="shared" si="29"/>
        <v>0</v>
      </c>
      <c r="DJ17" s="1">
        <f t="shared" si="29"/>
        <v>5.2539300000000004E-2</v>
      </c>
      <c r="DK17" s="1">
        <f t="shared" si="29"/>
        <v>0</v>
      </c>
      <c r="DL17" s="1">
        <f t="shared" si="29"/>
        <v>0</v>
      </c>
      <c r="DM17" s="1">
        <f t="shared" si="29"/>
        <v>4.0599999999999997E-2</v>
      </c>
      <c r="DN17" s="1">
        <f t="shared" si="29"/>
        <v>0</v>
      </c>
      <c r="DO17" s="1">
        <f t="shared" si="29"/>
        <v>0</v>
      </c>
      <c r="DP17" s="1">
        <f t="shared" si="29"/>
        <v>0</v>
      </c>
      <c r="DQ17" s="1">
        <f t="shared" si="29"/>
        <v>0</v>
      </c>
      <c r="DR17" s="1">
        <f t="shared" si="29"/>
        <v>0</v>
      </c>
      <c r="DS17" s="1">
        <f t="shared" si="29"/>
        <v>0</v>
      </c>
      <c r="DT17" s="1">
        <f t="shared" si="29"/>
        <v>7.038E-3</v>
      </c>
      <c r="DU17" s="1">
        <f t="shared" si="29"/>
        <v>0</v>
      </c>
      <c r="DV17" s="1">
        <f t="shared" si="29"/>
        <v>0</v>
      </c>
      <c r="DW17" s="1">
        <f t="shared" si="29"/>
        <v>0</v>
      </c>
      <c r="DX17" s="1">
        <f t="shared" si="29"/>
        <v>0</v>
      </c>
      <c r="DY17" s="1">
        <f t="shared" si="30"/>
        <v>0</v>
      </c>
      <c r="DZ17" s="1">
        <f t="shared" si="30"/>
        <v>5.9353800000000005E-2</v>
      </c>
      <c r="EA17" s="1">
        <f t="shared" si="30"/>
        <v>0</v>
      </c>
      <c r="EB17" s="1">
        <f t="shared" si="30"/>
        <v>1.3661339999999999E-2</v>
      </c>
      <c r="EC17" s="1">
        <f t="shared" si="30"/>
        <v>0</v>
      </c>
      <c r="ED17" s="1">
        <f t="shared" si="30"/>
        <v>4.7031800000000006E-2</v>
      </c>
      <c r="EE17" s="1">
        <f t="shared" si="30"/>
        <v>9.3185999999999998E-3</v>
      </c>
      <c r="EF17" s="1">
        <f t="shared" si="30"/>
        <v>0</v>
      </c>
      <c r="EH17" s="14">
        <f t="shared" si="31"/>
        <v>0.3</v>
      </c>
      <c r="EI17" s="14">
        <f t="shared" si="31"/>
        <v>0.3</v>
      </c>
      <c r="EJ17" s="1">
        <f t="shared" si="31"/>
        <v>0.3</v>
      </c>
      <c r="EK17" s="1">
        <f t="shared" si="31"/>
        <v>0.3</v>
      </c>
      <c r="EL17" s="1">
        <f t="shared" si="31"/>
        <v>0.3</v>
      </c>
      <c r="EM17" s="1">
        <f t="shared" si="31"/>
        <v>0.3</v>
      </c>
      <c r="EN17" s="1">
        <f t="shared" si="31"/>
        <v>0.3</v>
      </c>
      <c r="EO17" s="1">
        <f t="shared" si="31"/>
        <v>0.3</v>
      </c>
      <c r="EP17" s="1">
        <f t="shared" si="31"/>
        <v>0.3</v>
      </c>
      <c r="EQ17" s="1">
        <f t="shared" si="31"/>
        <v>0.3</v>
      </c>
      <c r="ER17" s="1">
        <f t="shared" si="31"/>
        <v>0.3</v>
      </c>
      <c r="ES17" s="1">
        <f t="shared" si="31"/>
        <v>0.3</v>
      </c>
      <c r="ET17" s="1">
        <f t="shared" si="31"/>
        <v>0.3</v>
      </c>
      <c r="EU17" s="1">
        <f t="shared" si="31"/>
        <v>0.3</v>
      </c>
      <c r="EV17" s="1">
        <f t="shared" si="31"/>
        <v>0.3</v>
      </c>
      <c r="EW17" s="1">
        <f t="shared" si="31"/>
        <v>0.3</v>
      </c>
      <c r="EX17" s="1">
        <f t="shared" si="32"/>
        <v>0.3</v>
      </c>
      <c r="EY17" s="1">
        <f t="shared" si="32"/>
        <v>0.3</v>
      </c>
      <c r="EZ17" s="1">
        <f t="shared" si="32"/>
        <v>0.3</v>
      </c>
      <c r="FA17" s="1">
        <f t="shared" si="32"/>
        <v>0.3</v>
      </c>
      <c r="FB17" s="1">
        <f t="shared" si="32"/>
        <v>0.3</v>
      </c>
      <c r="FC17" s="1">
        <f t="shared" si="32"/>
        <v>0.3</v>
      </c>
      <c r="FD17" s="1">
        <f t="shared" si="32"/>
        <v>0.3</v>
      </c>
      <c r="FE17" s="1">
        <f t="shared" si="32"/>
        <v>0.3</v>
      </c>
      <c r="FG17" s="162">
        <f t="shared" si="33"/>
        <v>-0.31086650732050947</v>
      </c>
    </row>
    <row r="18" spans="1:163" ht="18.75" customHeight="1">
      <c r="A18" s="243" t="s">
        <v>222</v>
      </c>
      <c r="B18" s="246"/>
      <c r="C18" s="156">
        <f t="shared" si="5"/>
        <v>-0.99</v>
      </c>
      <c r="D18" s="198">
        <v>-1</v>
      </c>
      <c r="E18" s="248">
        <f t="shared" si="6"/>
        <v>8.8624265840544281E-2</v>
      </c>
      <c r="F18" s="249">
        <f t="shared" si="7"/>
        <v>3.0446908521630789E-4</v>
      </c>
      <c r="G18" s="248">
        <f t="shared" si="8"/>
        <v>5.4714527596035234E-2</v>
      </c>
      <c r="H18" s="249">
        <f t="shared" si="9"/>
        <v>3.3909738244509047E-2</v>
      </c>
      <c r="I18" s="248"/>
      <c r="J18" s="249"/>
      <c r="K18" s="248">
        <f t="shared" si="34"/>
        <v>2.8324964504546033</v>
      </c>
      <c r="L18" s="249">
        <f t="shared" si="12"/>
        <v>-2.8324964504546033</v>
      </c>
      <c r="M18" s="250"/>
      <c r="N18" s="24">
        <v>-1</v>
      </c>
      <c r="O18" s="248">
        <f t="shared" si="35"/>
        <v>1.1845356766995607E-2</v>
      </c>
      <c r="P18" s="251">
        <f t="shared" si="36"/>
        <v>1.1845356766995607E-2</v>
      </c>
      <c r="Q18" s="248">
        <f t="shared" si="13"/>
        <v>-0.11992752339098378</v>
      </c>
      <c r="R18" s="251">
        <f t="shared" si="37"/>
        <v>-0.11992752339098378</v>
      </c>
      <c r="S18" s="250"/>
      <c r="T18" s="24">
        <v>-1</v>
      </c>
      <c r="U18" s="248">
        <f t="shared" si="14"/>
        <v>-0.2278525352478552</v>
      </c>
      <c r="V18" s="252">
        <f t="shared" si="15"/>
        <v>-0.2278525352478552</v>
      </c>
      <c r="W18" s="248">
        <f t="shared" si="38"/>
        <v>-0.12536900421076891</v>
      </c>
      <c r="X18" s="252">
        <f t="shared" si="16"/>
        <v>-0.12536900421076891</v>
      </c>
      <c r="Y18" s="248">
        <f t="shared" si="17"/>
        <v>0</v>
      </c>
      <c r="Z18" s="252">
        <f t="shared" si="18"/>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P18" s="28">
        <f>VLOOKUP($A18,historia!$A$5:$CM$24,+HLOOKUP(AP$2,historia!$A$3:$EC$4,2,FALSE),FALSE)</f>
        <v>3</v>
      </c>
      <c r="AQ18" s="28">
        <f>VLOOKUP($A18,historia!$A$5:$CM$24,+HLOOKUP(AQ$2,historia!$A$3:$EC$4,2,FALSE),FALSE)</f>
        <v>3</v>
      </c>
      <c r="AR18" s="28">
        <f>VLOOKUP($A18,historia!$A$5:$CM$24,+HLOOKUP(AR$2,historia!$A$3:$EC$4,2,FALSE),FALSE)</f>
        <v>3</v>
      </c>
      <c r="AS18" s="28">
        <f>VLOOKUP($A18,historia!$A$5:$CM$24,+HLOOKUP(AS$2,historia!$A$3:$EC$4,2,FALSE),FALSE)</f>
        <v>3</v>
      </c>
      <c r="AT18" s="58">
        <f>VLOOKUP($A18,historia!$A$5:$CM$24,+HLOOKUP(AT$2,historia!$A$3:$EC$4,2,FALSE),FALSE)</f>
        <v>4</v>
      </c>
      <c r="AU18" s="58">
        <f>VLOOKUP($A18,historia!$A$5:$CM$24,+HLOOKUP(AU$2,historia!$A$3:$EC$4,2,FALSE),FALSE)</f>
        <v>4</v>
      </c>
      <c r="AV18" s="58">
        <f>VLOOKUP($A18,historia!$A$5:$CM$24,+HLOOKUP(AV$2,historia!$A$3:$EC$4,2,FALSE),FALSE)</f>
        <v>4</v>
      </c>
      <c r="AW18" s="58">
        <f>VLOOKUP($A18,historia!$A$5:$CM$24,+HLOOKUP(AW$2,historia!$A$3:$EC$4,2,FALSE),FALSE)</f>
        <v>4</v>
      </c>
      <c r="AX18" s="58">
        <f>VLOOKUP($A18,historia!$A$5:$CM$24,+HLOOKUP(AX$2,historia!$A$3:$EC$4,2,FALSE),FALSE)</f>
        <v>4</v>
      </c>
      <c r="AY18" s="58">
        <f>VLOOKUP($A18,historia!$A$5:$CM$24,+HLOOKUP(AY$2,historia!$A$3:$EC$4,2,FALSE),FALSE)</f>
        <v>4</v>
      </c>
      <c r="AZ18" s="58">
        <f>VLOOKUP($A18,historia!$A$5:$CM$24,+HLOOKUP(AZ$2,historia!$A$3:$EC$4,2,FALSE),FALSE)</f>
        <v>4</v>
      </c>
      <c r="BA18" s="58">
        <f>VLOOKUP($A18,historia!$A$5:$CM$24,+HLOOKUP(BA$2,historia!$A$3:$EC$4,2,FALSE),FALSE)</f>
        <v>4</v>
      </c>
      <c r="BB18" s="30"/>
      <c r="BC18" s="141">
        <v>4</v>
      </c>
      <c r="BD18" t="str">
        <f t="shared" si="19"/>
        <v>Ovino</v>
      </c>
      <c r="BE18">
        <f>+datos!BU1</f>
        <v>73</v>
      </c>
      <c r="BF18" s="2" t="str">
        <f t="shared" si="4"/>
        <v>$/kg</v>
      </c>
      <c r="BG18" s="2">
        <f t="shared" si="4"/>
        <v>44603.79</v>
      </c>
      <c r="BH18" s="2">
        <f t="shared" si="4"/>
        <v>40972.621500000001</v>
      </c>
      <c r="BI18" s="2">
        <f t="shared" si="4"/>
        <v>13701.561</v>
      </c>
      <c r="BK18">
        <f>+datos!DI1</f>
        <v>113</v>
      </c>
      <c r="BL18" s="2">
        <f t="shared" si="20"/>
        <v>6835.5294285396749</v>
      </c>
      <c r="BM18" s="2">
        <f t="shared" si="20"/>
        <v>6480.9284879384368</v>
      </c>
      <c r="BN18" s="2">
        <f t="shared" si="20"/>
        <v>1783.570974404649</v>
      </c>
      <c r="BP18" s="1">
        <f>+datos!EL1</f>
        <v>142</v>
      </c>
      <c r="BQ18" s="1">
        <f t="shared" si="21"/>
        <v>12609460</v>
      </c>
      <c r="BR18" s="1">
        <f t="shared" si="21"/>
        <v>12461845</v>
      </c>
      <c r="BT18" s="1">
        <f>+datos!GS1</f>
        <v>201</v>
      </c>
      <c r="BU18" s="1">
        <f t="shared" si="22"/>
        <v>35758.26</v>
      </c>
      <c r="BV18" s="1">
        <f t="shared" si="22"/>
        <v>40631.040000000001</v>
      </c>
      <c r="BX18" s="1">
        <f>+datos!KI1</f>
        <v>295</v>
      </c>
      <c r="BY18" s="1">
        <f t="shared" si="39"/>
        <v>184.76618087000003</v>
      </c>
      <c r="BZ18" s="1">
        <f t="shared" si="40"/>
        <v>239.28872307999998</v>
      </c>
      <c r="CB18" s="1">
        <f>+datos!LN1</f>
        <v>326</v>
      </c>
      <c r="CC18" s="2">
        <f t="shared" si="23"/>
        <v>4.2951121099999998</v>
      </c>
      <c r="CD18" s="2">
        <f t="shared" si="24"/>
        <v>4.9107705199999998</v>
      </c>
      <c r="CF18" s="1">
        <f>+datos!JA1</f>
        <v>261</v>
      </c>
      <c r="CG18" s="1">
        <f t="shared" si="25"/>
        <v>2813</v>
      </c>
      <c r="CH18" s="1">
        <f t="shared" si="26"/>
        <v>2813</v>
      </c>
      <c r="CJ18" s="1">
        <f t="shared" si="27"/>
        <v>22.502102959999998</v>
      </c>
      <c r="CK18" s="1">
        <f t="shared" si="27"/>
        <v>22.437193859999997</v>
      </c>
      <c r="CL18" s="1">
        <f t="shared" si="27"/>
        <v>15.322430800000003</v>
      </c>
      <c r="CM18" s="1">
        <f t="shared" si="27"/>
        <v>16.644595240000001</v>
      </c>
      <c r="CN18" s="1">
        <f t="shared" si="27"/>
        <v>15.83663735</v>
      </c>
      <c r="CO18" s="1">
        <f t="shared" si="27"/>
        <v>13.412348609999999</v>
      </c>
      <c r="CP18" s="1">
        <f t="shared" si="27"/>
        <v>9.5091132299999988</v>
      </c>
      <c r="CQ18" s="1">
        <f t="shared" si="27"/>
        <v>10.49137048</v>
      </c>
      <c r="CR18" s="1">
        <f t="shared" si="27"/>
        <v>12.745889309999999</v>
      </c>
      <c r="CS18" s="1">
        <f t="shared" si="27"/>
        <v>11.898747670000001</v>
      </c>
      <c r="CT18" s="1">
        <f t="shared" si="27"/>
        <v>12.26162961</v>
      </c>
      <c r="CU18" s="1">
        <f t="shared" si="27"/>
        <v>21.704121750000002</v>
      </c>
      <c r="CV18" s="1">
        <f t="shared" si="27"/>
        <v>21.006605250000003</v>
      </c>
      <c r="CW18" s="1">
        <f t="shared" si="27"/>
        <v>22.417077500000001</v>
      </c>
      <c r="CX18" s="1">
        <f t="shared" si="27"/>
        <v>28.978678630000001</v>
      </c>
      <c r="CY18" s="1">
        <f t="shared" si="27"/>
        <v>14.681416690000001</v>
      </c>
      <c r="CZ18" s="1">
        <f t="shared" si="28"/>
        <v>20.44206312</v>
      </c>
      <c r="DA18" s="1">
        <f t="shared" si="28"/>
        <v>19.069193389999999</v>
      </c>
      <c r="DB18" s="1">
        <f t="shared" si="28"/>
        <v>11.15247257</v>
      </c>
      <c r="DC18" s="1">
        <f t="shared" si="28"/>
        <v>14.78060634</v>
      </c>
      <c r="DD18" s="1">
        <f t="shared" si="28"/>
        <v>17.39120926</v>
      </c>
      <c r="DE18" s="1">
        <f t="shared" si="28"/>
        <v>19.858191740000002</v>
      </c>
      <c r="DF18" s="1">
        <f t="shared" si="28"/>
        <v>25.793182220000006</v>
      </c>
      <c r="DG18" s="1">
        <f t="shared" si="28"/>
        <v>23.71802637</v>
      </c>
      <c r="DI18" s="1">
        <f t="shared" si="29"/>
        <v>0.23010199000000001</v>
      </c>
      <c r="DJ18" s="1">
        <f t="shared" si="29"/>
        <v>4.8750000000000002E-2</v>
      </c>
      <c r="DK18" s="1">
        <f t="shared" si="29"/>
        <v>0.31075020000000003</v>
      </c>
      <c r="DL18" s="1">
        <f t="shared" si="29"/>
        <v>0.90541722000000002</v>
      </c>
      <c r="DM18" s="1">
        <f t="shared" si="29"/>
        <v>0.34283965</v>
      </c>
      <c r="DN18" s="1">
        <f t="shared" si="29"/>
        <v>0.74167351000000015</v>
      </c>
      <c r="DO18" s="1">
        <f t="shared" si="29"/>
        <v>0.58632921999999998</v>
      </c>
      <c r="DP18" s="1">
        <f t="shared" si="29"/>
        <v>0.29250390000000004</v>
      </c>
      <c r="DQ18" s="1">
        <f t="shared" si="29"/>
        <v>0.46645720000000002</v>
      </c>
      <c r="DR18" s="1">
        <f t="shared" si="29"/>
        <v>8.1248630000000002E-2</v>
      </c>
      <c r="DS18" s="1">
        <f t="shared" si="29"/>
        <v>0.16069122999999999</v>
      </c>
      <c r="DT18" s="1">
        <f t="shared" si="29"/>
        <v>0.12834936</v>
      </c>
      <c r="DU18" s="1">
        <f t="shared" si="29"/>
        <v>0.21283820000000001</v>
      </c>
      <c r="DV18" s="1">
        <f t="shared" si="29"/>
        <v>0.28431688999999999</v>
      </c>
      <c r="DW18" s="1">
        <f t="shared" si="29"/>
        <v>0.27087241000000001</v>
      </c>
      <c r="DX18" s="1">
        <f t="shared" si="29"/>
        <v>0.85465582000000007</v>
      </c>
      <c r="DY18" s="1">
        <f t="shared" si="30"/>
        <v>0.86735239999999991</v>
      </c>
      <c r="DZ18" s="1">
        <f t="shared" si="30"/>
        <v>0.68639446999999998</v>
      </c>
      <c r="EA18" s="1">
        <f t="shared" si="30"/>
        <v>0.51198889000000003</v>
      </c>
      <c r="EB18" s="1">
        <f t="shared" si="30"/>
        <v>0.25118170000000001</v>
      </c>
      <c r="EC18" s="1">
        <f t="shared" si="30"/>
        <v>0.17288594000000002</v>
      </c>
      <c r="ED18" s="1">
        <f t="shared" si="30"/>
        <v>0</v>
      </c>
      <c r="EE18" s="1">
        <f t="shared" si="30"/>
        <v>0.51168631000000009</v>
      </c>
      <c r="EF18" s="1">
        <f t="shared" si="30"/>
        <v>0.28659749000000001</v>
      </c>
      <c r="EH18" s="14">
        <f t="shared" si="31"/>
        <v>2813</v>
      </c>
      <c r="EI18" s="14">
        <f t="shared" si="31"/>
        <v>2813</v>
      </c>
      <c r="EJ18" s="1">
        <f t="shared" si="31"/>
        <v>2813</v>
      </c>
      <c r="EK18" s="1">
        <f t="shared" si="31"/>
        <v>2813</v>
      </c>
      <c r="EL18" s="1">
        <f t="shared" si="31"/>
        <v>2813</v>
      </c>
      <c r="EM18" s="1">
        <f t="shared" si="31"/>
        <v>2813</v>
      </c>
      <c r="EN18" s="1">
        <f t="shared" si="31"/>
        <v>2813</v>
      </c>
      <c r="EO18" s="1">
        <f t="shared" si="31"/>
        <v>2813</v>
      </c>
      <c r="EP18" s="1">
        <f t="shared" si="31"/>
        <v>2813</v>
      </c>
      <c r="EQ18" s="1">
        <f t="shared" si="31"/>
        <v>2813</v>
      </c>
      <c r="ER18" s="1">
        <f t="shared" si="31"/>
        <v>2813</v>
      </c>
      <c r="ES18" s="1">
        <f t="shared" si="31"/>
        <v>2813</v>
      </c>
      <c r="ET18" s="1">
        <f t="shared" si="31"/>
        <v>2813</v>
      </c>
      <c r="EU18" s="1">
        <f t="shared" si="31"/>
        <v>2813</v>
      </c>
      <c r="EV18" s="1">
        <f t="shared" si="31"/>
        <v>2813</v>
      </c>
      <c r="EW18" s="1">
        <f t="shared" si="31"/>
        <v>2813</v>
      </c>
      <c r="EX18" s="1">
        <f t="shared" si="32"/>
        <v>2813</v>
      </c>
      <c r="EY18" s="1">
        <f t="shared" si="32"/>
        <v>2813</v>
      </c>
      <c r="EZ18" s="1">
        <f t="shared" si="32"/>
        <v>2813</v>
      </c>
      <c r="FA18" s="1">
        <f t="shared" si="32"/>
        <v>2813</v>
      </c>
      <c r="FB18" s="1">
        <f t="shared" si="32"/>
        <v>2813</v>
      </c>
      <c r="FC18" s="1">
        <f t="shared" si="32"/>
        <v>2813</v>
      </c>
      <c r="FD18" s="1">
        <f t="shared" si="32"/>
        <v>2813</v>
      </c>
      <c r="FE18" s="1">
        <f t="shared" si="32"/>
        <v>2813</v>
      </c>
      <c r="FG18" s="162">
        <f t="shared" si="33"/>
        <v>-2.8324964504546033</v>
      </c>
    </row>
    <row r="19" spans="1:163" ht="18.75" customHeight="1">
      <c r="A19" s="244" t="s">
        <v>66</v>
      </c>
      <c r="B19" s="247"/>
      <c r="C19" s="228">
        <f t="shared" si="5"/>
        <v>-0.33</v>
      </c>
      <c r="D19" s="229">
        <v>-1</v>
      </c>
      <c r="E19" s="253">
        <f t="shared" si="6"/>
        <v>-8.811912894961571E-2</v>
      </c>
      <c r="F19" s="254">
        <f t="shared" si="7"/>
        <v>-0.17643892570494368</v>
      </c>
      <c r="G19" s="253">
        <f t="shared" si="8"/>
        <v>-2.5264989863755694E-2</v>
      </c>
      <c r="H19" s="254">
        <f t="shared" si="9"/>
        <v>-6.2854139085860017E-2</v>
      </c>
      <c r="I19" s="253">
        <f t="shared" si="10"/>
        <v>2.6112509058700377</v>
      </c>
      <c r="J19" s="254">
        <f t="shared" si="11"/>
        <v>-0.28283612325098817</v>
      </c>
      <c r="K19" s="253">
        <f t="shared" si="34"/>
        <v>2.585061351387584</v>
      </c>
      <c r="L19" s="254">
        <f t="shared" si="12"/>
        <v>2.6189554482453747E-2</v>
      </c>
      <c r="M19" s="255"/>
      <c r="N19" s="256">
        <v>0</v>
      </c>
      <c r="O19" s="253">
        <f t="shared" si="35"/>
        <v>6.5265283642371941E-2</v>
      </c>
      <c r="P19" s="257">
        <f t="shared" si="36"/>
        <v>6.5265283642371941E-2</v>
      </c>
      <c r="Q19" s="253">
        <f t="shared" si="13"/>
        <v>-0.10753859789340392</v>
      </c>
      <c r="R19" s="257">
        <v>-0.01</v>
      </c>
      <c r="S19" s="255"/>
      <c r="T19" s="256">
        <v>0</v>
      </c>
      <c r="U19" s="253">
        <f t="shared" si="14"/>
        <v>7.448357142641826E-2</v>
      </c>
      <c r="V19" s="258">
        <f t="shared" si="15"/>
        <v>7.448357142641826E-2</v>
      </c>
      <c r="W19" s="253">
        <f t="shared" si="38"/>
        <v>1.5632251977572178</v>
      </c>
      <c r="X19" s="258">
        <f t="shared" si="16"/>
        <v>1.5632251977572178</v>
      </c>
      <c r="Y19" s="253">
        <f t="shared" si="17"/>
        <v>0</v>
      </c>
      <c r="Z19" s="258">
        <f t="shared" si="18"/>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P19" s="28">
        <f>VLOOKUP($A19,historia!$A$5:$CM$24,+HLOOKUP(AP$2,historia!$A$3:$EC$4,2,FALSE),FALSE)</f>
        <v>3</v>
      </c>
      <c r="AQ19" s="28">
        <f>VLOOKUP($A19,historia!$A$5:$CM$24,+HLOOKUP(AQ$2,historia!$A$3:$EC$4,2,FALSE),FALSE)</f>
        <v>4</v>
      </c>
      <c r="AR19" s="28">
        <f>VLOOKUP($A19,historia!$A$5:$CM$24,+HLOOKUP(AR$2,historia!$A$3:$EC$4,2,FALSE),FALSE)</f>
        <v>4</v>
      </c>
      <c r="AS19" s="28">
        <f>VLOOKUP($A19,historia!$A$5:$CM$24,+HLOOKUP(AS$2,historia!$A$3:$EC$4,2,FALSE),FALSE)</f>
        <v>4</v>
      </c>
      <c r="AT19" s="58">
        <f>VLOOKUP($A19,historia!$A$5:$CM$24,+HLOOKUP(AT$2,historia!$A$3:$EC$4,2,FALSE),FALSE)</f>
        <v>4</v>
      </c>
      <c r="AU19" s="58">
        <f>VLOOKUP($A19,historia!$A$5:$CM$24,+HLOOKUP(AU$2,historia!$A$3:$EC$4,2,FALSE),FALSE)</f>
        <v>3</v>
      </c>
      <c r="AV19" s="58">
        <f>VLOOKUP($A19,historia!$A$5:$CM$24,+HLOOKUP(AV$2,historia!$A$3:$EC$4,2,FALSE),FALSE)</f>
        <v>3</v>
      </c>
      <c r="AW19" s="58">
        <f>VLOOKUP($A19,historia!$A$5:$CM$24,+HLOOKUP(AW$2,historia!$A$3:$EC$4,2,FALSE),FALSE)</f>
        <v>3</v>
      </c>
      <c r="AX19" s="58">
        <f>VLOOKUP($A19,historia!$A$5:$CM$24,+HLOOKUP(AX$2,historia!$A$3:$EC$4,2,FALSE),FALSE)</f>
        <v>4</v>
      </c>
      <c r="AY19" s="58">
        <f>VLOOKUP($A19,historia!$A$5:$CM$24,+HLOOKUP(AY$2,historia!$A$3:$EC$4,2,FALSE),FALSE)</f>
        <v>3</v>
      </c>
      <c r="AZ19" s="58">
        <f>VLOOKUP($A19,historia!$A$5:$CM$24,+HLOOKUP(AZ$2,historia!$A$3:$EC$4,2,FALSE),FALSE)</f>
        <v>4</v>
      </c>
      <c r="BA19" s="58">
        <f>VLOOKUP($A19,historia!$A$5:$CM$24,+HLOOKUP(BA$2,historia!$A$3:$EC$4,2,FALSE),FALSE)</f>
        <v>4</v>
      </c>
      <c r="BB19" s="30"/>
      <c r="BC19" s="141">
        <v>4</v>
      </c>
      <c r="BD19" t="str">
        <f t="shared" si="19"/>
        <v>Papa</v>
      </c>
      <c r="BE19">
        <f>+datos!AV1</f>
        <v>48</v>
      </c>
      <c r="BF19" s="2" t="str">
        <f t="shared" si="4"/>
        <v>$/bolsa 20kg</v>
      </c>
      <c r="BG19" s="2">
        <f t="shared" si="4"/>
        <v>6228.90625</v>
      </c>
      <c r="BH19" s="2">
        <f t="shared" si="4"/>
        <v>6830.833333333333</v>
      </c>
      <c r="BI19" s="2">
        <f t="shared" si="4"/>
        <v>1724.8611111111111</v>
      </c>
      <c r="BK19">
        <f>+datos!CI1</f>
        <v>87</v>
      </c>
      <c r="BL19" s="2">
        <f t="shared" si="20"/>
        <v>8087.3963785291735</v>
      </c>
      <c r="BM19" s="2">
        <f t="shared" si="20"/>
        <v>8297.0205178110427</v>
      </c>
      <c r="BN19" s="2">
        <f t="shared" si="20"/>
        <v>2255.8599660781197</v>
      </c>
      <c r="BP19" s="1">
        <f>+datos!EZ1</f>
        <v>156</v>
      </c>
      <c r="BQ19" s="1">
        <f t="shared" si="21"/>
        <v>34815</v>
      </c>
      <c r="BR19" s="1">
        <f t="shared" si="21"/>
        <v>32682</v>
      </c>
      <c r="BT19" s="1">
        <f>+datos!GT1</f>
        <v>202</v>
      </c>
      <c r="BU19" s="1">
        <f t="shared" si="22"/>
        <v>2111561</v>
      </c>
      <c r="BV19" s="1">
        <f t="shared" si="22"/>
        <v>2365997</v>
      </c>
      <c r="BX19" s="1">
        <f>+datos!JO1</f>
        <v>275</v>
      </c>
      <c r="BY19" s="1">
        <f t="shared" si="39"/>
        <v>329.09702116000005</v>
      </c>
      <c r="BZ19" s="1">
        <f t="shared" si="40"/>
        <v>306.28390225000004</v>
      </c>
      <c r="CB19" s="1">
        <f>+datos!KT1</f>
        <v>306</v>
      </c>
      <c r="CC19" s="2">
        <f t="shared" si="23"/>
        <v>20.079427500000001</v>
      </c>
      <c r="CD19" s="2">
        <f t="shared" si="24"/>
        <v>7.8336571900000003</v>
      </c>
      <c r="CF19" s="1">
        <f>+datos!JB1</f>
        <v>262</v>
      </c>
      <c r="CG19" s="1">
        <f t="shared" si="25"/>
        <v>35.950000000000003</v>
      </c>
      <c r="CH19" s="1">
        <f t="shared" si="26"/>
        <v>35.950000000000003</v>
      </c>
      <c r="CJ19" s="1">
        <f t="shared" si="27"/>
        <v>33.675059580000003</v>
      </c>
      <c r="CK19" s="1">
        <f t="shared" si="27"/>
        <v>28.924508010000004</v>
      </c>
      <c r="CL19" s="1">
        <f t="shared" si="27"/>
        <v>27.954086790000002</v>
      </c>
      <c r="CM19" s="1">
        <f t="shared" si="27"/>
        <v>24.143815810000007</v>
      </c>
      <c r="CN19" s="1">
        <f t="shared" si="27"/>
        <v>26.000694290000002</v>
      </c>
      <c r="CO19" s="1">
        <f t="shared" si="27"/>
        <v>22.013274209999999</v>
      </c>
      <c r="CP19" s="1">
        <f t="shared" si="27"/>
        <v>23.44114875</v>
      </c>
      <c r="CQ19" s="1">
        <f t="shared" si="27"/>
        <v>29.35689408</v>
      </c>
      <c r="CR19" s="1">
        <f t="shared" si="27"/>
        <v>26.11967611</v>
      </c>
      <c r="CS19" s="1">
        <f t="shared" si="27"/>
        <v>30.386509889999999</v>
      </c>
      <c r="CT19" s="1">
        <f t="shared" si="27"/>
        <v>26.2743097</v>
      </c>
      <c r="CU19" s="1">
        <f t="shared" si="27"/>
        <v>30.80704394</v>
      </c>
      <c r="CV19" s="1">
        <f t="shared" si="27"/>
        <v>27.637267510000001</v>
      </c>
      <c r="CW19" s="1">
        <f t="shared" si="27"/>
        <v>30.470799569999997</v>
      </c>
      <c r="CX19" s="1">
        <f t="shared" si="27"/>
        <v>25.884569989999999</v>
      </c>
      <c r="CY19" s="1">
        <f t="shared" si="27"/>
        <v>21.159077390000004</v>
      </c>
      <c r="CZ19" s="1">
        <f t="shared" si="28"/>
        <v>21.056863770000003</v>
      </c>
      <c r="DA19" s="1">
        <f t="shared" si="28"/>
        <v>16.985680380000005</v>
      </c>
      <c r="DB19" s="1">
        <f t="shared" si="28"/>
        <v>25.68249277</v>
      </c>
      <c r="DC19" s="1">
        <f t="shared" si="28"/>
        <v>25.561633730000004</v>
      </c>
      <c r="DD19" s="1">
        <f t="shared" si="28"/>
        <v>29.175893349999999</v>
      </c>
      <c r="DE19" s="1">
        <f t="shared" si="28"/>
        <v>26.64714219</v>
      </c>
      <c r="DF19" s="1">
        <f t="shared" si="28"/>
        <v>28.903680499999997</v>
      </c>
      <c r="DG19" s="1">
        <f t="shared" si="28"/>
        <v>27.118801100000006</v>
      </c>
      <c r="DI19" s="1">
        <f t="shared" si="29"/>
        <v>1.4070700599999999</v>
      </c>
      <c r="DJ19" s="1">
        <f t="shared" si="29"/>
        <v>0.5838748800000001</v>
      </c>
      <c r="DK19" s="1">
        <f t="shared" si="29"/>
        <v>1.6300787399999999</v>
      </c>
      <c r="DL19" s="1">
        <f t="shared" si="29"/>
        <v>1.5496506000000003</v>
      </c>
      <c r="DM19" s="1">
        <f t="shared" si="29"/>
        <v>2.1384397699999997</v>
      </c>
      <c r="DN19" s="1">
        <f t="shared" si="29"/>
        <v>2.7337765599999999</v>
      </c>
      <c r="DO19" s="1">
        <f t="shared" si="29"/>
        <v>1.0171737099999998</v>
      </c>
      <c r="DP19" s="1">
        <f t="shared" si="29"/>
        <v>1.9864389700000002</v>
      </c>
      <c r="DQ19" s="1">
        <f t="shared" si="29"/>
        <v>2.8868213899999997</v>
      </c>
      <c r="DR19" s="1">
        <f t="shared" si="29"/>
        <v>1.3747401999999997</v>
      </c>
      <c r="DS19" s="1">
        <f t="shared" si="29"/>
        <v>1.6364950999999999</v>
      </c>
      <c r="DT19" s="1">
        <f t="shared" si="29"/>
        <v>1.1348675200000002</v>
      </c>
      <c r="DU19" s="1">
        <f t="shared" si="29"/>
        <v>0.73241972</v>
      </c>
      <c r="DV19" s="1">
        <f t="shared" si="29"/>
        <v>1.2023484900000001</v>
      </c>
      <c r="DW19" s="1">
        <f t="shared" si="29"/>
        <v>0.41620179000000002</v>
      </c>
      <c r="DX19" s="1">
        <f t="shared" si="29"/>
        <v>1.03402496</v>
      </c>
      <c r="DY19" s="1">
        <f t="shared" si="30"/>
        <v>2.8427559999999998E-2</v>
      </c>
      <c r="DZ19" s="1">
        <f t="shared" si="30"/>
        <v>1.0036533000000001</v>
      </c>
      <c r="EA19" s="1">
        <f t="shared" si="30"/>
        <v>0.19325807</v>
      </c>
      <c r="EB19" s="1">
        <f t="shared" si="30"/>
        <v>0.52785406000000001</v>
      </c>
      <c r="EC19" s="1">
        <f t="shared" si="30"/>
        <v>0.66552862999999995</v>
      </c>
      <c r="ED19" s="1">
        <f t="shared" si="30"/>
        <v>0.47927648999999994</v>
      </c>
      <c r="EE19" s="1">
        <f t="shared" si="30"/>
        <v>0.83261881999999998</v>
      </c>
      <c r="EF19" s="1">
        <f t="shared" si="30"/>
        <v>0.7180453</v>
      </c>
      <c r="EH19" s="14">
        <f t="shared" si="31"/>
        <v>35.950000000000003</v>
      </c>
      <c r="EI19" s="14">
        <f t="shared" si="31"/>
        <v>35.950000000000003</v>
      </c>
      <c r="EJ19" s="1">
        <f t="shared" si="31"/>
        <v>35.950000000000003</v>
      </c>
      <c r="EK19" s="1">
        <f t="shared" si="31"/>
        <v>35.950000000000003</v>
      </c>
      <c r="EL19" s="1">
        <f t="shared" si="31"/>
        <v>35.950000000000003</v>
      </c>
      <c r="EM19" s="1">
        <f t="shared" si="31"/>
        <v>35.950000000000003</v>
      </c>
      <c r="EN19" s="1">
        <f t="shared" si="31"/>
        <v>35.950000000000003</v>
      </c>
      <c r="EO19" s="1">
        <f t="shared" si="31"/>
        <v>35.950000000000003</v>
      </c>
      <c r="EP19" s="1">
        <f t="shared" si="31"/>
        <v>35.950000000000003</v>
      </c>
      <c r="EQ19" s="1">
        <f t="shared" si="31"/>
        <v>35.950000000000003</v>
      </c>
      <c r="ER19" s="1">
        <f t="shared" si="31"/>
        <v>35.950000000000003</v>
      </c>
      <c r="ES19" s="1">
        <f t="shared" si="31"/>
        <v>35.950000000000003</v>
      </c>
      <c r="ET19" s="1">
        <f t="shared" si="31"/>
        <v>35.950000000000003</v>
      </c>
      <c r="EU19" s="1">
        <f t="shared" si="31"/>
        <v>35.950000000000003</v>
      </c>
      <c r="EV19" s="1">
        <f t="shared" si="31"/>
        <v>35.950000000000003</v>
      </c>
      <c r="EW19" s="1">
        <f t="shared" si="31"/>
        <v>35.950000000000003</v>
      </c>
      <c r="EX19" s="1">
        <f t="shared" si="32"/>
        <v>40.33</v>
      </c>
      <c r="EY19" s="1">
        <f t="shared" si="32"/>
        <v>40.33</v>
      </c>
      <c r="EZ19" s="1">
        <f t="shared" si="32"/>
        <v>40.33</v>
      </c>
      <c r="FA19" s="1">
        <f t="shared" si="32"/>
        <v>40.33</v>
      </c>
      <c r="FB19" s="1">
        <f t="shared" si="32"/>
        <v>40.33</v>
      </c>
      <c r="FC19" s="1">
        <f t="shared" si="32"/>
        <v>40.33</v>
      </c>
      <c r="FD19" s="1">
        <f t="shared" si="32"/>
        <v>40.33</v>
      </c>
      <c r="FE19" s="1">
        <f t="shared" si="32"/>
        <v>40.33</v>
      </c>
      <c r="FG19" s="162">
        <f t="shared" si="33"/>
        <v>2.6189554482453747E-2</v>
      </c>
    </row>
    <row r="20" spans="1:163" ht="18.75" customHeight="1">
      <c r="A20" s="264" t="s">
        <v>218</v>
      </c>
      <c r="B20" s="246"/>
      <c r="C20" s="156">
        <f t="shared" si="5"/>
        <v>-0.33</v>
      </c>
      <c r="D20" s="198">
        <v>-1</v>
      </c>
      <c r="E20" s="248">
        <f t="shared" si="6"/>
        <v>0.11215625631019099</v>
      </c>
      <c r="F20" s="249">
        <f t="shared" si="7"/>
        <v>2.3836459554863021E-2</v>
      </c>
      <c r="G20" s="248">
        <f t="shared" si="8"/>
        <v>3.4118034266333641E-2</v>
      </c>
      <c r="H20" s="249">
        <f t="shared" si="9"/>
        <v>7.8038222043857353E-2</v>
      </c>
      <c r="I20" s="248">
        <f t="shared" si="10"/>
        <v>3.5218310657159817</v>
      </c>
      <c r="J20" s="249">
        <f t="shared" si="11"/>
        <v>0.62774403659495581</v>
      </c>
      <c r="K20" s="248">
        <f t="shared" si="34"/>
        <v>2.846076384786298</v>
      </c>
      <c r="L20" s="249">
        <f t="shared" si="12"/>
        <v>0.67575468092968372</v>
      </c>
      <c r="M20" s="250"/>
      <c r="N20" s="24">
        <v>-1</v>
      </c>
      <c r="O20" s="248">
        <f t="shared" si="35"/>
        <v>-2.3211675087845274E-2</v>
      </c>
      <c r="P20" s="251">
        <f t="shared" si="36"/>
        <v>-2.3211675087845274E-2</v>
      </c>
      <c r="Q20" s="248">
        <f t="shared" si="13"/>
        <v>-8.7115148945915544E-2</v>
      </c>
      <c r="R20" s="251">
        <f t="shared" si="37"/>
        <v>-8.7115148945915544E-2</v>
      </c>
      <c r="S20" s="250"/>
      <c r="T20" s="24">
        <v>1</v>
      </c>
      <c r="U20" s="248">
        <f t="shared" si="14"/>
        <v>0.18546743498516371</v>
      </c>
      <c r="V20" s="252">
        <f t="shared" si="15"/>
        <v>0.18546743498516371</v>
      </c>
      <c r="W20" s="248">
        <f t="shared" si="38"/>
        <v>-0.30139036569638888</v>
      </c>
      <c r="X20" s="252">
        <f t="shared" si="16"/>
        <v>-0.30139036569638888</v>
      </c>
      <c r="Y20" s="248" t="str">
        <f t="shared" si="17"/>
        <v/>
      </c>
      <c r="Z20" s="252" t="str">
        <f t="shared" si="18"/>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P20" s="28">
        <f>VLOOKUP($A20,historia!$A$5:$CM$24,+HLOOKUP(AP$2,historia!$A$3:$EC$4,2,FALSE),FALSE)</f>
        <v>4</v>
      </c>
      <c r="AQ20" s="28">
        <f>VLOOKUP($A20,historia!$A$5:$CM$24,+HLOOKUP(AQ$2,historia!$A$3:$EC$4,2,FALSE),FALSE)</f>
        <v>4</v>
      </c>
      <c r="AR20" s="28">
        <f>VLOOKUP($A20,historia!$A$5:$CM$24,+HLOOKUP(AR$2,historia!$A$3:$EC$4,2,FALSE),FALSE)</f>
        <v>3</v>
      </c>
      <c r="AS20" s="28">
        <f>VLOOKUP($A20,historia!$A$5:$CM$24,+HLOOKUP(AS$2,historia!$A$3:$EC$4,2,FALSE),FALSE)</f>
        <v>3</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3</v>
      </c>
      <c r="AY20" s="58">
        <f>VLOOKUP($A20,historia!$A$5:$CM$24,+HLOOKUP(AY$2,historia!$A$3:$EC$4,2,FALSE),FALSE)</f>
        <v>3</v>
      </c>
      <c r="AZ20" s="58">
        <f>VLOOKUP($A20,historia!$A$5:$CM$24,+HLOOKUP(AZ$2,historia!$A$3:$EC$4,2,FALSE),FALSE)</f>
        <v>4</v>
      </c>
      <c r="BA20" s="58">
        <f>VLOOKUP($A20,historia!$A$5:$CM$24,+HLOOKUP(BA$2,historia!$A$3:$EC$4,2,FALSE),FALSE)</f>
        <v>4</v>
      </c>
      <c r="BB20" s="30"/>
      <c r="BC20" s="141">
        <v>4</v>
      </c>
      <c r="BD20" t="str">
        <f t="shared" si="19"/>
        <v>Peras y Manzanas</v>
      </c>
      <c r="BE20">
        <f>+datos!AP1</f>
        <v>42</v>
      </c>
      <c r="BF20" s="2" t="str">
        <f t="shared" si="4"/>
        <v>$/caja 18kg</v>
      </c>
      <c r="BG20" s="2">
        <f t="shared" si="4"/>
        <v>13048.095238095239</v>
      </c>
      <c r="BH20" s="2">
        <f t="shared" si="4"/>
        <v>11732.25</v>
      </c>
      <c r="BI20" s="2">
        <f t="shared" si="4"/>
        <v>2885.5777777777766</v>
      </c>
      <c r="BK20">
        <f>+datos!CS1</f>
        <v>97</v>
      </c>
      <c r="BL20" s="2">
        <f t="shared" si="20"/>
        <v>7306.6922839461622</v>
      </c>
      <c r="BM20" s="2">
        <f t="shared" si="20"/>
        <v>7065.6269805119246</v>
      </c>
      <c r="BN20" s="2">
        <f t="shared" si="20"/>
        <v>1899.7782552756421</v>
      </c>
      <c r="BP20" s="1">
        <f>+datos!FC1</f>
        <v>159</v>
      </c>
      <c r="BQ20" s="1">
        <f t="shared" si="21"/>
        <v>38084</v>
      </c>
      <c r="BR20" s="1">
        <f t="shared" si="21"/>
        <v>38989</v>
      </c>
      <c r="BT20" s="1">
        <f>+datos!GW1</f>
        <v>205</v>
      </c>
      <c r="BU20" s="1">
        <f t="shared" si="22"/>
        <v>749389</v>
      </c>
      <c r="BV20" s="1">
        <f t="shared" si="22"/>
        <v>820902</v>
      </c>
      <c r="BX20" s="1">
        <f>+datos!LS1</f>
        <v>331</v>
      </c>
      <c r="BY20" s="1">
        <f t="shared" si="39"/>
        <v>373.13423131999997</v>
      </c>
      <c r="BZ20" s="1">
        <f t="shared" si="40"/>
        <v>314.75704882999997</v>
      </c>
      <c r="CB20" s="1">
        <f>+datos!LW1</f>
        <v>335</v>
      </c>
      <c r="CC20" s="2">
        <f t="shared" si="23"/>
        <v>5.4205807699999999</v>
      </c>
      <c r="CD20" s="2">
        <f t="shared" si="24"/>
        <v>7.7590982199999994</v>
      </c>
      <c r="CF20" s="1">
        <f>+datos!JC1</f>
        <v>263</v>
      </c>
      <c r="CG20" s="1">
        <f t="shared" si="25"/>
        <v>0</v>
      </c>
      <c r="CH20" s="1">
        <f t="shared" si="26"/>
        <v>0</v>
      </c>
      <c r="CJ20" s="1">
        <f t="shared" si="27"/>
        <v>46.856289650000001</v>
      </c>
      <c r="CK20" s="1">
        <f t="shared" si="27"/>
        <v>60.076282149999997</v>
      </c>
      <c r="CL20" s="1">
        <f t="shared" si="27"/>
        <v>42.744570039999999</v>
      </c>
      <c r="CM20" s="1">
        <f t="shared" si="27"/>
        <v>11.509203560000001</v>
      </c>
      <c r="CN20" s="1">
        <f t="shared" si="27"/>
        <v>11.753879789999999</v>
      </c>
      <c r="CO20" s="1">
        <f t="shared" si="27"/>
        <v>15.619426270000002</v>
      </c>
      <c r="CP20" s="1">
        <f t="shared" si="27"/>
        <v>16.880359240000001</v>
      </c>
      <c r="CQ20" s="1">
        <f t="shared" si="27"/>
        <v>24.204094699999999</v>
      </c>
      <c r="CR20" s="1">
        <f t="shared" si="27"/>
        <v>25.300599699999999</v>
      </c>
      <c r="CS20" s="1">
        <f t="shared" si="27"/>
        <v>48.042350899999995</v>
      </c>
      <c r="CT20" s="1">
        <f t="shared" si="27"/>
        <v>30.317151650000003</v>
      </c>
      <c r="CU20" s="1">
        <f t="shared" si="27"/>
        <v>39.830023670000003</v>
      </c>
      <c r="CV20" s="1">
        <f t="shared" si="27"/>
        <v>48.212206680000008</v>
      </c>
      <c r="CW20" s="1">
        <f t="shared" si="27"/>
        <v>46.755406350000001</v>
      </c>
      <c r="CX20" s="1">
        <f t="shared" si="27"/>
        <v>37.276974840000001</v>
      </c>
      <c r="CY20" s="1">
        <f t="shared" si="27"/>
        <v>11.80910873</v>
      </c>
      <c r="CZ20" s="1">
        <f t="shared" si="28"/>
        <v>12.88181872</v>
      </c>
      <c r="DA20" s="1">
        <f t="shared" si="28"/>
        <v>18.209359989999999</v>
      </c>
      <c r="DB20" s="1">
        <f t="shared" si="28"/>
        <v>17.588783669999998</v>
      </c>
      <c r="DC20" s="1">
        <f t="shared" si="28"/>
        <v>19.204431939999999</v>
      </c>
      <c r="DD20" s="1">
        <f t="shared" si="28"/>
        <v>18.586597920000003</v>
      </c>
      <c r="DE20" s="1">
        <f t="shared" si="28"/>
        <v>16.816308710000001</v>
      </c>
      <c r="DF20" s="1">
        <f t="shared" si="28"/>
        <v>28.579364210000001</v>
      </c>
      <c r="DG20" s="1">
        <f t="shared" si="28"/>
        <v>38.836687069999996</v>
      </c>
      <c r="DI20" s="1">
        <f t="shared" si="29"/>
        <v>0.29487440000000004</v>
      </c>
      <c r="DJ20" s="1">
        <f t="shared" si="29"/>
        <v>7.78142E-2</v>
      </c>
      <c r="DK20" s="1">
        <f t="shared" si="29"/>
        <v>0.12479459999999999</v>
      </c>
      <c r="DL20" s="1">
        <f t="shared" si="29"/>
        <v>8.4911199999999992E-2</v>
      </c>
      <c r="DM20" s="1">
        <f t="shared" si="29"/>
        <v>0.22142464000000001</v>
      </c>
      <c r="DN20" s="1">
        <f t="shared" si="29"/>
        <v>1.01853964</v>
      </c>
      <c r="DO20" s="1">
        <f t="shared" si="29"/>
        <v>0.30728509999999998</v>
      </c>
      <c r="DP20" s="1">
        <f t="shared" si="29"/>
        <v>0.37410640000000001</v>
      </c>
      <c r="DQ20" s="1">
        <f t="shared" si="29"/>
        <v>0.35746821000000001</v>
      </c>
      <c r="DR20" s="1">
        <f t="shared" si="29"/>
        <v>0.95829101000000005</v>
      </c>
      <c r="DS20" s="1">
        <f t="shared" si="29"/>
        <v>0.34636184000000003</v>
      </c>
      <c r="DT20" s="1">
        <f t="shared" si="29"/>
        <v>1.2547095300000002</v>
      </c>
      <c r="DU20" s="1">
        <f t="shared" si="29"/>
        <v>1.273682</v>
      </c>
      <c r="DV20" s="1">
        <f t="shared" si="29"/>
        <v>0.92279571000000005</v>
      </c>
      <c r="DW20" s="1">
        <f t="shared" si="29"/>
        <v>0.55930298000000001</v>
      </c>
      <c r="DX20" s="1">
        <f t="shared" si="29"/>
        <v>0.23405334</v>
      </c>
      <c r="DY20" s="1">
        <f t="shared" si="30"/>
        <v>2.5551390000000004E-2</v>
      </c>
      <c r="DZ20" s="1">
        <f t="shared" si="30"/>
        <v>0.44126778</v>
      </c>
      <c r="EA20" s="1">
        <f t="shared" si="30"/>
        <v>0.57571571999999993</v>
      </c>
      <c r="EB20" s="1">
        <f t="shared" si="30"/>
        <v>0.55222305999999999</v>
      </c>
      <c r="EC20" s="1">
        <f t="shared" si="30"/>
        <v>0.72330915000000007</v>
      </c>
      <c r="ED20" s="1">
        <f t="shared" si="30"/>
        <v>0.57011290000000003</v>
      </c>
      <c r="EE20" s="1">
        <f t="shared" si="30"/>
        <v>0.72611420999999998</v>
      </c>
      <c r="EF20" s="1">
        <f t="shared" si="30"/>
        <v>1.15496998</v>
      </c>
      <c r="EH20" s="14">
        <f t="shared" si="31"/>
        <v>0</v>
      </c>
      <c r="EI20" s="14">
        <f t="shared" si="31"/>
        <v>0</v>
      </c>
      <c r="EJ20" s="1">
        <f t="shared" si="31"/>
        <v>0</v>
      </c>
      <c r="EK20" s="1">
        <f t="shared" si="31"/>
        <v>0</v>
      </c>
      <c r="EL20" s="1">
        <f t="shared" si="31"/>
        <v>0</v>
      </c>
      <c r="EM20" s="1">
        <f t="shared" si="31"/>
        <v>0</v>
      </c>
      <c r="EN20" s="1">
        <f t="shared" si="31"/>
        <v>0</v>
      </c>
      <c r="EO20" s="1">
        <f t="shared" si="31"/>
        <v>0</v>
      </c>
      <c r="EP20" s="1">
        <f t="shared" si="31"/>
        <v>0</v>
      </c>
      <c r="EQ20" s="1">
        <f t="shared" si="31"/>
        <v>0</v>
      </c>
      <c r="ER20" s="1">
        <f t="shared" si="31"/>
        <v>0</v>
      </c>
      <c r="ES20" s="1">
        <f t="shared" si="31"/>
        <v>0</v>
      </c>
      <c r="ET20" s="1">
        <f t="shared" si="31"/>
        <v>0</v>
      </c>
      <c r="EU20" s="1">
        <f t="shared" si="31"/>
        <v>0</v>
      </c>
      <c r="EV20" s="1">
        <f t="shared" si="31"/>
        <v>0</v>
      </c>
      <c r="EW20" s="1">
        <f t="shared" si="31"/>
        <v>0</v>
      </c>
      <c r="EX20" s="1">
        <f t="shared" si="32"/>
        <v>0</v>
      </c>
      <c r="EY20" s="1">
        <f t="shared" si="32"/>
        <v>0</v>
      </c>
      <c r="EZ20" s="1">
        <f t="shared" si="32"/>
        <v>0</v>
      </c>
      <c r="FA20" s="1">
        <f t="shared" si="32"/>
        <v>0</v>
      </c>
      <c r="FB20" s="1">
        <f t="shared" si="32"/>
        <v>0</v>
      </c>
      <c r="FC20" s="1">
        <f t="shared" si="32"/>
        <v>0</v>
      </c>
      <c r="FD20" s="1">
        <f t="shared" si="32"/>
        <v>0</v>
      </c>
      <c r="FE20" s="1">
        <f t="shared" si="32"/>
        <v>0</v>
      </c>
      <c r="FG20" s="162">
        <f t="shared" si="33"/>
        <v>0.67575468092968372</v>
      </c>
    </row>
    <row r="21" spans="1:163" ht="18.75" customHeight="1">
      <c r="A21" s="244" t="s">
        <v>121</v>
      </c>
      <c r="B21" s="247"/>
      <c r="C21" s="228">
        <f t="shared" si="5"/>
        <v>-0.33</v>
      </c>
      <c r="D21" s="229">
        <v>-1</v>
      </c>
      <c r="E21" s="253">
        <f t="shared" si="6"/>
        <v>-0.12506363636363638</v>
      </c>
      <c r="F21" s="254">
        <f t="shared" si="7"/>
        <v>-0.21338343311896435</v>
      </c>
      <c r="G21" s="253">
        <f t="shared" si="8"/>
        <v>6.0903387561908051E-2</v>
      </c>
      <c r="H21" s="254">
        <f t="shared" si="9"/>
        <v>-0.18596702392554443</v>
      </c>
      <c r="I21" s="253">
        <f t="shared" si="10"/>
        <v>2.0944809735864829</v>
      </c>
      <c r="J21" s="254">
        <f t="shared" si="11"/>
        <v>-0.799606055534543</v>
      </c>
      <c r="K21" s="253">
        <f t="shared" si="34"/>
        <v>2.0808565256155358</v>
      </c>
      <c r="L21" s="254">
        <f t="shared" si="12"/>
        <v>1.3624447970947084E-2</v>
      </c>
      <c r="M21" s="255"/>
      <c r="N21" s="256">
        <v>1</v>
      </c>
      <c r="O21" s="253">
        <f t="shared" si="35"/>
        <v>3.8695172963417956E-2</v>
      </c>
      <c r="P21" s="257">
        <f t="shared" si="36"/>
        <v>3.8695172963417956E-2</v>
      </c>
      <c r="Q21" s="253">
        <f t="shared" si="13"/>
        <v>7.298615141752407E-2</v>
      </c>
      <c r="R21" s="257">
        <f t="shared" si="37"/>
        <v>7.298615141752407E-2</v>
      </c>
      <c r="S21" s="255"/>
      <c r="T21" s="256">
        <v>-1</v>
      </c>
      <c r="U21" s="253">
        <f t="shared" si="14"/>
        <v>3.3458085034486329E-2</v>
      </c>
      <c r="V21" s="258">
        <f t="shared" si="15"/>
        <v>3.3458085034486329E-2</v>
      </c>
      <c r="W21" s="253">
        <f t="shared" si="38"/>
        <v>-0.46116325706651329</v>
      </c>
      <c r="X21" s="258">
        <f t="shared" si="16"/>
        <v>-0.46116325706651329</v>
      </c>
      <c r="Y21" s="253">
        <f t="shared" si="17"/>
        <v>-8.9445438282647061E-3</v>
      </c>
      <c r="Z21" s="258">
        <f t="shared" si="18"/>
        <v>-8.9445438282647061E-3</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P21" s="28">
        <f>VLOOKUP($A21,historia!$A$5:$CM$24,+HLOOKUP(AP$2,historia!$A$3:$EC$4,2,FALSE),FALSE)</f>
        <v>3</v>
      </c>
      <c r="AQ21" s="28">
        <f>VLOOKUP($A21,historia!$A$5:$CM$24,+HLOOKUP(AQ$2,historia!$A$3:$EC$4,2,FALSE),FALSE)</f>
        <v>4</v>
      </c>
      <c r="AR21" s="28">
        <f>VLOOKUP($A21,historia!$A$5:$CM$24,+HLOOKUP(AR$2,historia!$A$3:$EC$4,2,FALSE),FALSE)</f>
        <v>4</v>
      </c>
      <c r="AS21" s="28">
        <f>VLOOKUP($A21,historia!$A$5:$CM$24,+HLOOKUP(AS$2,historia!$A$3:$EC$4,2,FALSE),FALSE)</f>
        <v>4</v>
      </c>
      <c r="AT21" s="58">
        <f>VLOOKUP($A21,historia!$A$5:$CM$24,+HLOOKUP(AT$2,historia!$A$3:$EC$4,2,FALSE),FALSE)</f>
        <v>3</v>
      </c>
      <c r="AU21" s="58">
        <f>VLOOKUP($A21,historia!$A$5:$CM$24,+HLOOKUP(AU$2,historia!$A$3:$EC$4,2,FALSE),FALSE)</f>
        <v>3</v>
      </c>
      <c r="AV21" s="58">
        <f>VLOOKUP($A21,historia!$A$5:$CM$24,+HLOOKUP(AV$2,historia!$A$3:$EC$4,2,FALSE),FALSE)</f>
        <v>3</v>
      </c>
      <c r="AW21" s="58">
        <f>VLOOKUP($A21,historia!$A$5:$CM$24,+HLOOKUP(AW$2,historia!$A$3:$EC$4,2,FALSE),FALSE)</f>
        <v>2</v>
      </c>
      <c r="AX21" s="58">
        <f>VLOOKUP($A21,historia!$A$5:$CM$24,+HLOOKUP(AX$2,historia!$A$3:$EC$4,2,FALSE),FALSE)</f>
        <v>1</v>
      </c>
      <c r="AY21" s="58">
        <f>VLOOKUP($A21,historia!$A$5:$CM$24,+HLOOKUP(AY$2,historia!$A$3:$EC$4,2,FALSE),FALSE)</f>
        <v>2</v>
      </c>
      <c r="AZ21" s="58">
        <f>VLOOKUP($A21,historia!$A$5:$CM$24,+HLOOKUP(AZ$2,historia!$A$3:$EC$4,2,FALSE),FALSE)</f>
        <v>4</v>
      </c>
      <c r="BA21" s="58">
        <f>VLOOKUP($A21,historia!$A$5:$CM$24,+HLOOKUP(BA$2,historia!$A$3:$EC$4,2,FALSE),FALSE)</f>
        <v>5</v>
      </c>
      <c r="BB21" s="30"/>
      <c r="BC21" s="141">
        <v>5</v>
      </c>
      <c r="BD21" t="str">
        <f t="shared" si="19"/>
        <v>Porcinos</v>
      </c>
      <c r="BE21">
        <f>+datos!BR1</f>
        <v>70</v>
      </c>
      <c r="BF21" s="2" t="str">
        <f t="shared" si="4"/>
        <v>$/kg</v>
      </c>
      <c r="BG21" s="2">
        <f t="shared" si="4"/>
        <v>962.43</v>
      </c>
      <c r="BH21" s="2">
        <f t="shared" si="4"/>
        <v>1100</v>
      </c>
      <c r="BI21" s="2">
        <f t="shared" si="4"/>
        <v>311.01499999999999</v>
      </c>
      <c r="BK21">
        <f>+datos!DD1</f>
        <v>108</v>
      </c>
      <c r="BL21" s="2">
        <f t="shared" si="20"/>
        <v>7321.0068680998729</v>
      </c>
      <c r="BM21" s="2">
        <f t="shared" si="20"/>
        <v>6900.7290898792253</v>
      </c>
      <c r="BN21" s="2">
        <f t="shared" si="20"/>
        <v>2376.2894530238409</v>
      </c>
      <c r="BP21" s="1">
        <f>+datos!EJ1</f>
        <v>140</v>
      </c>
      <c r="BQ21" s="1">
        <f t="shared" si="21"/>
        <v>6115215</v>
      </c>
      <c r="BR21" s="1">
        <f t="shared" si="21"/>
        <v>5887401</v>
      </c>
      <c r="BT21" s="1">
        <f>+datos!HE1</f>
        <v>213</v>
      </c>
      <c r="BU21" s="1">
        <f t="shared" si="22"/>
        <v>765346</v>
      </c>
      <c r="BV21" s="1">
        <f t="shared" si="22"/>
        <v>713286</v>
      </c>
      <c r="BX21" s="1">
        <f>+datos!KJ1</f>
        <v>296</v>
      </c>
      <c r="BY21" s="1">
        <f t="shared" si="39"/>
        <v>19.412805649999999</v>
      </c>
      <c r="BZ21" s="1">
        <f t="shared" si="40"/>
        <v>18.784318329999998</v>
      </c>
      <c r="CB21" s="1">
        <f>+datos!LO1</f>
        <v>327</v>
      </c>
      <c r="CC21" s="2">
        <f t="shared" si="23"/>
        <v>42.622345559999999</v>
      </c>
      <c r="CD21" s="2">
        <f t="shared" si="24"/>
        <v>79.10066660999999</v>
      </c>
      <c r="CF21" s="1">
        <f>+datos!IO1</f>
        <v>249</v>
      </c>
      <c r="CG21" s="1">
        <f t="shared" si="25"/>
        <v>16.62</v>
      </c>
      <c r="CH21" s="1">
        <f t="shared" si="26"/>
        <v>16.77</v>
      </c>
      <c r="CJ21" s="1">
        <f t="shared" si="27"/>
        <v>2.2533318799999997</v>
      </c>
      <c r="CK21" s="1">
        <f t="shared" si="27"/>
        <v>1.55421593</v>
      </c>
      <c r="CL21" s="1">
        <f t="shared" si="27"/>
        <v>1.56892272</v>
      </c>
      <c r="CM21" s="1">
        <f t="shared" si="27"/>
        <v>1.2009935999999999</v>
      </c>
      <c r="CN21" s="1">
        <f t="shared" si="27"/>
        <v>1.5576121499999998</v>
      </c>
      <c r="CO21" s="1">
        <f t="shared" si="27"/>
        <v>1.3743196699999998</v>
      </c>
      <c r="CP21" s="1">
        <f t="shared" si="27"/>
        <v>1.4110336399999999</v>
      </c>
      <c r="CQ21" s="1">
        <f t="shared" si="27"/>
        <v>1.8830951399999996</v>
      </c>
      <c r="CR21" s="1">
        <f t="shared" si="27"/>
        <v>1.4694087300000001</v>
      </c>
      <c r="CS21" s="1">
        <f t="shared" si="27"/>
        <v>2.0502103900000002</v>
      </c>
      <c r="CT21" s="1">
        <f t="shared" si="27"/>
        <v>1.8176867299999997</v>
      </c>
      <c r="CU21" s="1">
        <f t="shared" si="27"/>
        <v>1.2719750699999999</v>
      </c>
      <c r="CV21" s="1">
        <f t="shared" si="27"/>
        <v>1.5228158499999997</v>
      </c>
      <c r="CW21" s="1">
        <f t="shared" si="27"/>
        <v>1.32254655</v>
      </c>
      <c r="CX21" s="1">
        <f t="shared" si="27"/>
        <v>2.1116566699999999</v>
      </c>
      <c r="CY21" s="1">
        <f t="shared" si="27"/>
        <v>1.8299806799999998</v>
      </c>
      <c r="CZ21" s="1">
        <f t="shared" si="28"/>
        <v>2.01275629</v>
      </c>
      <c r="DA21" s="1">
        <f t="shared" si="28"/>
        <v>1.0656519800000002</v>
      </c>
      <c r="DB21" s="1">
        <f t="shared" si="28"/>
        <v>1.9138006200000002</v>
      </c>
      <c r="DC21" s="1">
        <f t="shared" si="28"/>
        <v>1.83911538</v>
      </c>
      <c r="DD21" s="1">
        <f t="shared" si="28"/>
        <v>1.1669562900000001</v>
      </c>
      <c r="DE21" s="1">
        <f t="shared" si="28"/>
        <v>1.9574107099999998</v>
      </c>
      <c r="DF21" s="1">
        <f t="shared" si="28"/>
        <v>1.1355260499999997</v>
      </c>
      <c r="DG21" s="1">
        <f t="shared" si="28"/>
        <v>0.90610126000000002</v>
      </c>
      <c r="DI21" s="1">
        <f t="shared" si="29"/>
        <v>3.5088459899999997</v>
      </c>
      <c r="DJ21" s="1">
        <f t="shared" si="29"/>
        <v>2.2524288500000003</v>
      </c>
      <c r="DK21" s="1">
        <f t="shared" si="29"/>
        <v>5.2341166499999998</v>
      </c>
      <c r="DL21" s="1">
        <f t="shared" si="29"/>
        <v>3.1162246899999997</v>
      </c>
      <c r="DM21" s="1">
        <f t="shared" si="29"/>
        <v>3.3747357299999998</v>
      </c>
      <c r="DN21" s="1">
        <f t="shared" si="29"/>
        <v>1.8536983500000002</v>
      </c>
      <c r="DO21" s="1">
        <f t="shared" si="29"/>
        <v>2.01592043</v>
      </c>
      <c r="DP21" s="1">
        <f t="shared" si="29"/>
        <v>3.3244473500000002</v>
      </c>
      <c r="DQ21" s="1">
        <f t="shared" si="29"/>
        <v>2.84758625</v>
      </c>
      <c r="DR21" s="1">
        <f t="shared" si="29"/>
        <v>4.1641835499999997</v>
      </c>
      <c r="DS21" s="1">
        <f t="shared" si="29"/>
        <v>4.5685913500000002</v>
      </c>
      <c r="DT21" s="1">
        <f t="shared" si="29"/>
        <v>6.3615663699999985</v>
      </c>
      <c r="DU21" s="1">
        <f t="shared" si="29"/>
        <v>5.5541627499999997</v>
      </c>
      <c r="DV21" s="1">
        <f t="shared" si="29"/>
        <v>6.8596205599999998</v>
      </c>
      <c r="DW21" s="1">
        <f t="shared" si="29"/>
        <v>4.6739966500000012</v>
      </c>
      <c r="DX21" s="1">
        <f t="shared" ref="DX21:EF24" si="41">+VLOOKUP(DX$1,ran_dat,$CB21,FALSE)</f>
        <v>7.6286560299999993</v>
      </c>
      <c r="DY21" s="1">
        <f t="shared" si="41"/>
        <v>3.658397E-2</v>
      </c>
      <c r="DZ21" s="1">
        <f t="shared" si="41"/>
        <v>7.2061905900000003</v>
      </c>
      <c r="EA21" s="1">
        <f t="shared" si="41"/>
        <v>7.3381374299999997</v>
      </c>
      <c r="EB21" s="1">
        <f t="shared" si="41"/>
        <v>7.276038279999999</v>
      </c>
      <c r="EC21" s="1">
        <f t="shared" si="41"/>
        <v>4.9460771399999999</v>
      </c>
      <c r="ED21" s="1">
        <f t="shared" si="41"/>
        <v>6.6386870500000015</v>
      </c>
      <c r="EE21" s="1">
        <f t="shared" si="41"/>
        <v>8.8922827299999998</v>
      </c>
      <c r="EF21" s="1">
        <f t="shared" si="41"/>
        <v>12.050233429999999</v>
      </c>
      <c r="EH21" s="14">
        <f t="shared" si="31"/>
        <v>16.62</v>
      </c>
      <c r="EI21" s="14">
        <f t="shared" si="31"/>
        <v>16.5</v>
      </c>
      <c r="EJ21" s="1">
        <f t="shared" si="31"/>
        <v>16.64</v>
      </c>
      <c r="EK21" s="1">
        <f t="shared" si="31"/>
        <v>16.68</v>
      </c>
      <c r="EL21" s="1">
        <f t="shared" si="31"/>
        <v>16.72</v>
      </c>
      <c r="EM21" s="1">
        <f t="shared" si="31"/>
        <v>16.75</v>
      </c>
      <c r="EN21" s="1">
        <f t="shared" si="31"/>
        <v>16.760000000000002</v>
      </c>
      <c r="EO21" s="1">
        <f t="shared" si="31"/>
        <v>16.71</v>
      </c>
      <c r="EP21" s="1">
        <f t="shared" si="31"/>
        <v>16.68</v>
      </c>
      <c r="EQ21" s="1">
        <f t="shared" si="31"/>
        <v>16.670000000000002</v>
      </c>
      <c r="ER21" s="1">
        <f t="shared" si="31"/>
        <v>16.670000000000002</v>
      </c>
      <c r="ES21" s="1">
        <f t="shared" si="31"/>
        <v>16.72</v>
      </c>
      <c r="ET21" s="1">
        <f t="shared" si="31"/>
        <v>16.77</v>
      </c>
      <c r="EU21" s="1">
        <f t="shared" si="31"/>
        <v>16.88</v>
      </c>
      <c r="EV21" s="1">
        <f t="shared" si="31"/>
        <v>16.93</v>
      </c>
      <c r="EW21" s="1">
        <f t="shared" ref="EW21:FE24" si="42">+VLOOKUP(EW$1,ran_dat,$CF21,FALSE)</f>
        <v>16.97</v>
      </c>
      <c r="EX21" s="1">
        <f t="shared" si="42"/>
        <v>16.760000000000002</v>
      </c>
      <c r="EY21" s="1">
        <f t="shared" si="42"/>
        <v>16.89</v>
      </c>
      <c r="EZ21" s="1">
        <f t="shared" si="42"/>
        <v>16.920000000000002</v>
      </c>
      <c r="FA21" s="1">
        <f t="shared" si="42"/>
        <v>16.899999999999999</v>
      </c>
      <c r="FB21" s="1">
        <f t="shared" si="42"/>
        <v>16.84</v>
      </c>
      <c r="FC21" s="1">
        <f t="shared" si="42"/>
        <v>16.75</v>
      </c>
      <c r="FD21" s="1">
        <f t="shared" si="42"/>
        <v>16.71</v>
      </c>
      <c r="FE21" s="1">
        <f t="shared" si="42"/>
        <v>16.57</v>
      </c>
      <c r="FG21" s="162">
        <f t="shared" si="33"/>
        <v>1.3624447970947084E-2</v>
      </c>
    </row>
    <row r="22" spans="1:163" ht="18.75" customHeight="1">
      <c r="A22" s="243" t="s">
        <v>75</v>
      </c>
      <c r="B22" s="246"/>
      <c r="C22" s="156">
        <f t="shared" si="5"/>
        <v>-0.33</v>
      </c>
      <c r="D22" s="198">
        <v>-1</v>
      </c>
      <c r="E22" s="248">
        <f t="shared" si="6"/>
        <v>0</v>
      </c>
      <c r="F22" s="249">
        <f t="shared" si="7"/>
        <v>-8.8319796755327973E-2</v>
      </c>
      <c r="G22" s="248">
        <f t="shared" si="8"/>
        <v>3.543145640035128E-2</v>
      </c>
      <c r="H22" s="249">
        <f t="shared" si="9"/>
        <v>-3.543145640035128E-2</v>
      </c>
      <c r="I22" s="248">
        <f t="shared" si="10"/>
        <v>2.9367330699537919</v>
      </c>
      <c r="J22" s="249">
        <f t="shared" si="11"/>
        <v>4.2646040832766019E-2</v>
      </c>
      <c r="K22" s="248">
        <f t="shared" si="34"/>
        <v>2.8862165202992234</v>
      </c>
      <c r="L22" s="249">
        <f t="shared" si="12"/>
        <v>5.0516549654568532E-2</v>
      </c>
      <c r="M22" s="250"/>
      <c r="N22" s="24">
        <v>0</v>
      </c>
      <c r="O22" s="248">
        <f t="shared" si="35"/>
        <v>0</v>
      </c>
      <c r="P22" s="251">
        <f t="shared" si="36"/>
        <v>0</v>
      </c>
      <c r="Q22" s="248">
        <f t="shared" si="13"/>
        <v>-7.0102125429331252E-2</v>
      </c>
      <c r="R22" s="251">
        <f t="shared" si="37"/>
        <v>-7.0102125429331252E-2</v>
      </c>
      <c r="S22" s="250"/>
      <c r="T22" s="24">
        <v>0</v>
      </c>
      <c r="U22" s="248">
        <f t="shared" si="14"/>
        <v>-0.23467566179522092</v>
      </c>
      <c r="V22" s="252">
        <f t="shared" si="15"/>
        <v>-0.23467566179522092</v>
      </c>
      <c r="W22" s="248">
        <f t="shared" si="38"/>
        <v>0.28159249916855078</v>
      </c>
      <c r="X22" s="252">
        <f t="shared" si="16"/>
        <v>0.28159249916855078</v>
      </c>
      <c r="Y22" s="248" t="str">
        <f t="shared" si="17"/>
        <v/>
      </c>
      <c r="Z22" s="252" t="str">
        <f t="shared" si="18"/>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P22" s="28">
        <f>VLOOKUP($A22,historia!$A$5:$CM$24,+HLOOKUP(AP$2,historia!$A$3:$EC$4,2,FALSE),FALSE)</f>
        <v>4</v>
      </c>
      <c r="AQ22" s="28">
        <f>VLOOKUP($A22,historia!$A$5:$CM$24,+HLOOKUP(AQ$2,historia!$A$3:$EC$4,2,FALSE),FALSE)</f>
        <v>4</v>
      </c>
      <c r="AR22" s="28">
        <f>VLOOKUP($A22,historia!$A$5:$CM$24,+HLOOKUP(AR$2,historia!$A$3:$EC$4,2,FALSE),FALSE)</f>
        <v>4</v>
      </c>
      <c r="AS22" s="28">
        <f>VLOOKUP($A22,historia!$A$5:$CM$24,+HLOOKUP(AS$2,historia!$A$3:$EC$4,2,FALSE),FALSE)</f>
        <v>4</v>
      </c>
      <c r="AT22" s="58">
        <f>VLOOKUP($A22,historia!$A$5:$CM$24,+HLOOKUP(AT$2,historia!$A$3:$EC$4,2,FALSE),FALSE)</f>
        <v>4</v>
      </c>
      <c r="AU22" s="58">
        <f>VLOOKUP($A22,historia!$A$5:$CM$24,+HLOOKUP(AU$2,historia!$A$3:$EC$4,2,FALSE),FALSE)</f>
        <v>4</v>
      </c>
      <c r="AV22" s="58">
        <f>VLOOKUP($A22,historia!$A$5:$CM$24,+HLOOKUP(AV$2,historia!$A$3:$EC$4,2,FALSE),FALSE)</f>
        <v>4</v>
      </c>
      <c r="AW22" s="58">
        <f>VLOOKUP($A22,historia!$A$5:$CM$24,+HLOOKUP(AW$2,historia!$A$3:$EC$4,2,FALSE),FALSE)</f>
        <v>3</v>
      </c>
      <c r="AX22" s="58">
        <f>VLOOKUP($A22,historia!$A$5:$CM$24,+HLOOKUP(AX$2,historia!$A$3:$EC$4,2,FALSE),FALSE)</f>
        <v>3</v>
      </c>
      <c r="AY22" s="58">
        <f>VLOOKUP($A22,historia!$A$5:$CM$24,+HLOOKUP(AY$2,historia!$A$3:$EC$4,2,FALSE),FALSE)</f>
        <v>3</v>
      </c>
      <c r="AZ22" s="58">
        <f>VLOOKUP($A22,historia!$A$5:$CM$24,+HLOOKUP(AZ$2,historia!$A$3:$EC$4,2,FALSE),FALSE)</f>
        <v>4</v>
      </c>
      <c r="BA22" s="58">
        <f>VLOOKUP($A22,historia!$A$5:$CM$24,+HLOOKUP(BA$2,historia!$A$3:$EC$4,2,FALSE),FALSE)</f>
        <v>4</v>
      </c>
      <c r="BB22" s="30"/>
      <c r="BC22" s="141">
        <v>4</v>
      </c>
      <c r="BD22" t="str">
        <f t="shared" si="19"/>
        <v>Tabaco</v>
      </c>
      <c r="BE22">
        <f>+datos!BJ1</f>
        <v>62</v>
      </c>
      <c r="BF22" s="2" t="str">
        <f t="shared" si="4"/>
        <v>$/kg</v>
      </c>
      <c r="BG22" s="2">
        <f t="shared" si="4"/>
        <v>2820</v>
      </c>
      <c r="BH22" s="2">
        <f t="shared" si="4"/>
        <v>2820</v>
      </c>
      <c r="BI22" s="2">
        <f t="shared" si="4"/>
        <v>716.33</v>
      </c>
      <c r="BK22">
        <f>+datos!DA1</f>
        <v>105</v>
      </c>
      <c r="BL22" s="2">
        <f t="shared" si="20"/>
        <v>7143.1688348853213</v>
      </c>
      <c r="BM22" s="2">
        <f t="shared" si="20"/>
        <v>6898.736551541856</v>
      </c>
      <c r="BN22" s="2">
        <f t="shared" si="20"/>
        <v>1838.0779345601993</v>
      </c>
      <c r="BP22" s="1">
        <f>+datos!FD1</f>
        <v>160</v>
      </c>
      <c r="BQ22" s="1">
        <f t="shared" si="21"/>
        <v>54743</v>
      </c>
      <c r="BR22" s="1">
        <f t="shared" si="21"/>
        <v>54743</v>
      </c>
      <c r="BT22" s="1">
        <f>+datos!GX1</f>
        <v>206</v>
      </c>
      <c r="BU22" s="1">
        <f t="shared" si="22"/>
        <v>30804.553</v>
      </c>
      <c r="BV22" s="1">
        <f t="shared" si="22"/>
        <v>33126.813000000002</v>
      </c>
      <c r="BX22" s="1">
        <f>+datos!KC1</f>
        <v>289</v>
      </c>
      <c r="BY22" s="1">
        <f t="shared" si="39"/>
        <v>472.89742414</v>
      </c>
      <c r="BZ22" s="1">
        <f t="shared" si="40"/>
        <v>617.90459355999997</v>
      </c>
      <c r="CB22" s="1">
        <f>+datos!LH1</f>
        <v>320</v>
      </c>
      <c r="CC22" s="2">
        <f t="shared" si="23"/>
        <v>66.519142239999994</v>
      </c>
      <c r="CD22" s="2">
        <f t="shared" si="24"/>
        <v>51.903504650000002</v>
      </c>
      <c r="CF22" s="1">
        <f>+datos!JD1</f>
        <v>264</v>
      </c>
      <c r="CG22" s="1">
        <f t="shared" si="25"/>
        <v>0</v>
      </c>
      <c r="CH22" s="1">
        <f t="shared" si="26"/>
        <v>0</v>
      </c>
      <c r="CJ22" s="1">
        <f t="shared" ref="CJ22:CY24" si="43">+VLOOKUP(CJ$1,ran_dat,$BX22,FALSE)</f>
        <v>17.697801470000002</v>
      </c>
      <c r="CK22" s="1">
        <f t="shared" si="43"/>
        <v>30.191481329999998</v>
      </c>
      <c r="CL22" s="1">
        <f t="shared" si="43"/>
        <v>36.249269399999989</v>
      </c>
      <c r="CM22" s="1">
        <f t="shared" si="43"/>
        <v>40.108989959999995</v>
      </c>
      <c r="CN22" s="1">
        <f t="shared" si="43"/>
        <v>56.890802439999995</v>
      </c>
      <c r="CO22" s="1">
        <f t="shared" si="43"/>
        <v>36.8257318</v>
      </c>
      <c r="CP22" s="1">
        <f t="shared" si="43"/>
        <v>51.381121719999996</v>
      </c>
      <c r="CQ22" s="1">
        <f t="shared" si="43"/>
        <v>33.051481680000002</v>
      </c>
      <c r="CR22" s="1">
        <f t="shared" si="43"/>
        <v>60.888504160000004</v>
      </c>
      <c r="CS22" s="1">
        <f t="shared" si="43"/>
        <v>55.773078730000002</v>
      </c>
      <c r="CT22" s="1">
        <f t="shared" si="43"/>
        <v>34.825160650000001</v>
      </c>
      <c r="CU22" s="1">
        <f t="shared" si="43"/>
        <v>19.014000799999998</v>
      </c>
      <c r="CV22" s="1">
        <f t="shared" si="43"/>
        <v>13.328405800000001</v>
      </c>
      <c r="CW22" s="1">
        <f t="shared" si="43"/>
        <v>41.736807310000003</v>
      </c>
      <c r="CX22" s="1">
        <f t="shared" si="43"/>
        <v>99.771490689999993</v>
      </c>
      <c r="CY22" s="1">
        <f t="shared" si="43"/>
        <v>36.311671529999998</v>
      </c>
      <c r="CZ22" s="1">
        <f t="shared" ref="CZ22:DG24" si="44">+VLOOKUP(CZ$1,ran_dat,$BX22,FALSE)</f>
        <v>57.64022373000001</v>
      </c>
      <c r="DA22" s="1">
        <f t="shared" si="44"/>
        <v>136.09986096</v>
      </c>
      <c r="DB22" s="1">
        <f t="shared" si="44"/>
        <v>67.887772890000008</v>
      </c>
      <c r="DC22" s="1">
        <f t="shared" si="44"/>
        <v>57.086864629999994</v>
      </c>
      <c r="DD22" s="1">
        <f t="shared" si="44"/>
        <v>50.373202669999998</v>
      </c>
      <c r="DE22" s="1">
        <f t="shared" si="44"/>
        <v>27.075978119999998</v>
      </c>
      <c r="DF22" s="1">
        <f t="shared" si="44"/>
        <v>15.063954900000001</v>
      </c>
      <c r="DG22" s="1">
        <f t="shared" si="44"/>
        <v>15.52836033</v>
      </c>
      <c r="DI22" s="1">
        <f t="shared" ref="DI22:DX24" si="45">+VLOOKUP(DI$1,ran_dat,$CB22,FALSE)</f>
        <v>5.1284923700000009</v>
      </c>
      <c r="DJ22" s="1">
        <f t="shared" si="45"/>
        <v>4.8853449399999995</v>
      </c>
      <c r="DK22" s="1">
        <f t="shared" si="45"/>
        <v>4.5019780499999991</v>
      </c>
      <c r="DL22" s="1">
        <f t="shared" si="45"/>
        <v>3.2870284000000001</v>
      </c>
      <c r="DM22" s="1">
        <f t="shared" si="45"/>
        <v>2.2553329799999999</v>
      </c>
      <c r="DN22" s="1">
        <f t="shared" si="45"/>
        <v>4.9563280900000004</v>
      </c>
      <c r="DO22" s="1">
        <f t="shared" si="45"/>
        <v>5.4312745199999997</v>
      </c>
      <c r="DP22" s="1">
        <f t="shared" si="45"/>
        <v>5.9427570699999999</v>
      </c>
      <c r="DQ22" s="1">
        <f t="shared" si="45"/>
        <v>7.0989514199999997</v>
      </c>
      <c r="DR22" s="1">
        <f t="shared" si="45"/>
        <v>8.0901624599999984</v>
      </c>
      <c r="DS22" s="1">
        <f t="shared" si="45"/>
        <v>8.5152603000000013</v>
      </c>
      <c r="DT22" s="1">
        <f t="shared" si="45"/>
        <v>6.4262316399999984</v>
      </c>
      <c r="DU22" s="1">
        <f t="shared" si="45"/>
        <v>5.5724239500000001</v>
      </c>
      <c r="DV22" s="1">
        <f t="shared" si="45"/>
        <v>6.0969073500000004</v>
      </c>
      <c r="DW22" s="1">
        <f t="shared" si="45"/>
        <v>3.8674547000000001</v>
      </c>
      <c r="DX22" s="1">
        <f t="shared" si="45"/>
        <v>3.6075394200000002</v>
      </c>
      <c r="DY22" s="1">
        <f t="shared" si="41"/>
        <v>4.0127527599999997</v>
      </c>
      <c r="DZ22" s="1">
        <f t="shared" si="41"/>
        <v>4.23429112</v>
      </c>
      <c r="EA22" s="1">
        <f t="shared" si="41"/>
        <v>0</v>
      </c>
      <c r="EB22" s="1">
        <f t="shared" si="41"/>
        <v>4.5847165599999995</v>
      </c>
      <c r="EC22" s="1">
        <f t="shared" si="41"/>
        <v>5.2497219499999996</v>
      </c>
      <c r="ED22" s="1">
        <f t="shared" si="41"/>
        <v>3.7131778499999992</v>
      </c>
      <c r="EE22" s="1">
        <f t="shared" si="41"/>
        <v>5.6909223499999992</v>
      </c>
      <c r="EF22" s="1">
        <f t="shared" si="41"/>
        <v>5.2735966400000001</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3"/>
        <v>5.0516549654568532E-2</v>
      </c>
    </row>
    <row r="23" spans="1:163" ht="18.75" customHeight="1">
      <c r="A23" s="244" t="s">
        <v>219</v>
      </c>
      <c r="B23" s="247"/>
      <c r="C23" s="228">
        <f t="shared" si="5"/>
        <v>-1.32</v>
      </c>
      <c r="D23" s="229">
        <v>-1</v>
      </c>
      <c r="E23" s="253">
        <f t="shared" si="6"/>
        <v>-4.1547969915918248E-3</v>
      </c>
      <c r="F23" s="254">
        <f t="shared" si="7"/>
        <v>-9.2474593746919798E-2</v>
      </c>
      <c r="G23" s="253">
        <f t="shared" si="8"/>
        <v>2.6325617545174707E-2</v>
      </c>
      <c r="H23" s="254">
        <f t="shared" si="9"/>
        <v>-3.0480414536766531E-2</v>
      </c>
      <c r="I23" s="253">
        <f t="shared" si="10"/>
        <v>1.1274230095662703</v>
      </c>
      <c r="J23" s="254">
        <f t="shared" si="11"/>
        <v>-1.7666640195547556</v>
      </c>
      <c r="K23" s="253">
        <f t="shared" si="34"/>
        <v>2.2859225290040057</v>
      </c>
      <c r="L23" s="254">
        <f t="shared" si="12"/>
        <v>-1.1584995194377354</v>
      </c>
      <c r="M23" s="255"/>
      <c r="N23" s="256">
        <v>-2</v>
      </c>
      <c r="O23" s="253">
        <f t="shared" si="35"/>
        <v>-2.3925173422115087E-2</v>
      </c>
      <c r="P23" s="257">
        <f t="shared" si="36"/>
        <v>-2.3925173422115087E-2</v>
      </c>
      <c r="Q23" s="253">
        <f t="shared" si="13"/>
        <v>0.31859999476400835</v>
      </c>
      <c r="R23" s="257">
        <f t="shared" si="37"/>
        <v>0.31859999476400835</v>
      </c>
      <c r="S23" s="255"/>
      <c r="T23" s="256">
        <v>-1</v>
      </c>
      <c r="U23" s="253">
        <f t="shared" si="14"/>
        <v>-0.14516003129939448</v>
      </c>
      <c r="V23" s="258">
        <f t="shared" si="15"/>
        <v>-0.14516003129939448</v>
      </c>
      <c r="W23" s="253">
        <f t="shared" si="38"/>
        <v>-0.13222393762490436</v>
      </c>
      <c r="X23" s="258">
        <f t="shared" si="16"/>
        <v>-0.13222393762490436</v>
      </c>
      <c r="Y23" s="253">
        <f t="shared" si="17"/>
        <v>-2.39520958083832E-2</v>
      </c>
      <c r="Z23" s="258">
        <f t="shared" si="18"/>
        <v>-2.39520958083832E-2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5</v>
      </c>
      <c r="AX23" s="58">
        <f>VLOOKUP($A23,historia!$A$5:$CM$24,+HLOOKUP(AX$2,historia!$A$3:$EC$4,2,FALSE),FALSE)</f>
        <v>5</v>
      </c>
      <c r="AY23" s="58">
        <f>VLOOKUP($A23,historia!$A$5:$CM$24,+HLOOKUP(AY$2,historia!$A$3:$EC$4,2,FALSE),FALSE)</f>
        <v>5</v>
      </c>
      <c r="AZ23" s="58">
        <f>VLOOKUP($A23,historia!$A$5:$CM$24,+HLOOKUP(AZ$2,historia!$A$3:$EC$4,2,FALSE),FALSE)</f>
        <v>5</v>
      </c>
      <c r="BA23" s="58">
        <f>VLOOKUP($A23,historia!$A$5:$CM$24,+HLOOKUP(BA$2,historia!$A$3:$EC$4,2,FALSE),FALSE)</f>
        <v>5</v>
      </c>
      <c r="BB23" s="30"/>
      <c r="BC23" s="141">
        <v>5</v>
      </c>
      <c r="BD23" t="str">
        <f t="shared" si="19"/>
        <v>Vino y Mosto</v>
      </c>
      <c r="BE23">
        <f>+datos!AM1</f>
        <v>39</v>
      </c>
      <c r="BF23" s="2" t="str">
        <f t="shared" si="4"/>
        <v>$/l</v>
      </c>
      <c r="BG23" s="2">
        <f t="shared" si="4"/>
        <v>323.28800000000001</v>
      </c>
      <c r="BH23" s="2">
        <f t="shared" si="4"/>
        <v>324.63679999999999</v>
      </c>
      <c r="BI23" s="2">
        <f t="shared" si="4"/>
        <v>151.962256</v>
      </c>
      <c r="BK23">
        <f>+datos!CP1</f>
        <v>94</v>
      </c>
      <c r="BL23" s="2">
        <f t="shared" si="20"/>
        <v>8653.5605756308923</v>
      </c>
      <c r="BM23" s="2">
        <f t="shared" si="20"/>
        <v>8431.5936654967081</v>
      </c>
      <c r="BN23" s="2">
        <f t="shared" si="20"/>
        <v>2633.525440495966</v>
      </c>
      <c r="BP23" s="1">
        <f>+datos!EF1</f>
        <v>136</v>
      </c>
      <c r="BQ23" s="1">
        <f t="shared" si="21"/>
        <v>199946</v>
      </c>
      <c r="BR23" s="1">
        <f t="shared" si="21"/>
        <v>204847</v>
      </c>
      <c r="BT23" s="1">
        <f>+datos!GB1</f>
        <v>184</v>
      </c>
      <c r="BU23" s="1">
        <f t="shared" si="22"/>
        <v>19189740</v>
      </c>
      <c r="BV23" s="1">
        <f t="shared" si="22"/>
        <v>14553117</v>
      </c>
      <c r="BX23" s="1">
        <f>+datos!JU1</f>
        <v>281</v>
      </c>
      <c r="BY23" s="1">
        <f t="shared" si="39"/>
        <v>878.46883616000014</v>
      </c>
      <c r="BZ23" s="1">
        <f t="shared" si="40"/>
        <v>1027.6412759400002</v>
      </c>
      <c r="CB23" s="1">
        <f>+datos!KZ1</f>
        <v>312</v>
      </c>
      <c r="CC23" s="2">
        <f t="shared" si="23"/>
        <v>14.994230270000001</v>
      </c>
      <c r="CD23" s="2">
        <f t="shared" si="24"/>
        <v>17.278916670000001</v>
      </c>
      <c r="CF23" s="1">
        <f>+datos!IQ1</f>
        <v>251</v>
      </c>
      <c r="CG23" s="1">
        <f t="shared" si="25"/>
        <v>16.3</v>
      </c>
      <c r="CH23" s="1">
        <f t="shared" si="26"/>
        <v>16.7</v>
      </c>
      <c r="CJ23" s="1">
        <f t="shared" si="43"/>
        <v>70.799436420000006</v>
      </c>
      <c r="CK23" s="1">
        <f t="shared" si="43"/>
        <v>83.547570889999989</v>
      </c>
      <c r="CL23" s="1">
        <f t="shared" si="43"/>
        <v>59.429446169999991</v>
      </c>
      <c r="CM23" s="1">
        <f t="shared" si="43"/>
        <v>57.397509530000008</v>
      </c>
      <c r="CN23" s="1">
        <f t="shared" si="43"/>
        <v>71.762443020000006</v>
      </c>
      <c r="CO23" s="1">
        <f t="shared" si="43"/>
        <v>76.246675170000003</v>
      </c>
      <c r="CP23" s="1">
        <f t="shared" si="43"/>
        <v>81.396405279999982</v>
      </c>
      <c r="CQ23" s="1">
        <f t="shared" si="43"/>
        <v>86.673250950000011</v>
      </c>
      <c r="CR23" s="1">
        <f t="shared" si="43"/>
        <v>67.769583350000005</v>
      </c>
      <c r="CS23" s="1">
        <f t="shared" si="43"/>
        <v>79.411450110000018</v>
      </c>
      <c r="CT23" s="1">
        <f t="shared" si="43"/>
        <v>61.526627820000002</v>
      </c>
      <c r="CU23" s="1">
        <f t="shared" si="43"/>
        <v>82.508437450000031</v>
      </c>
      <c r="CV23" s="1">
        <f t="shared" si="43"/>
        <v>73.17738731</v>
      </c>
      <c r="CW23" s="1">
        <f t="shared" si="43"/>
        <v>70.498219510000013</v>
      </c>
      <c r="CX23" s="1">
        <f t="shared" si="43"/>
        <v>58.070113270000007</v>
      </c>
      <c r="CY23" s="1">
        <f t="shared" si="43"/>
        <v>66.649594010000001</v>
      </c>
      <c r="CZ23" s="1">
        <f t="shared" si="44"/>
        <v>76.334805869999997</v>
      </c>
      <c r="DA23" s="1">
        <f t="shared" si="44"/>
        <v>77.449795309999999</v>
      </c>
      <c r="DB23" s="1">
        <f t="shared" si="44"/>
        <v>104.26238703999999</v>
      </c>
      <c r="DC23" s="1">
        <f t="shared" si="44"/>
        <v>101.4021353</v>
      </c>
      <c r="DD23" s="1">
        <f t="shared" si="44"/>
        <v>110.27898059000003</v>
      </c>
      <c r="DE23" s="1">
        <f t="shared" si="44"/>
        <v>78.75545163000001</v>
      </c>
      <c r="DF23" s="1">
        <f t="shared" si="44"/>
        <v>84.697328929999998</v>
      </c>
      <c r="DG23" s="1">
        <f t="shared" si="44"/>
        <v>126.06507717000002</v>
      </c>
      <c r="DI23" s="1">
        <f t="shared" si="45"/>
        <v>1.01985657</v>
      </c>
      <c r="DJ23" s="1">
        <f t="shared" si="45"/>
        <v>0.49471243999999998</v>
      </c>
      <c r="DK23" s="1">
        <f t="shared" si="45"/>
        <v>0.76659119999999992</v>
      </c>
      <c r="DL23" s="1">
        <f t="shared" si="45"/>
        <v>0.41683354000000006</v>
      </c>
      <c r="DM23" s="1">
        <f t="shared" si="45"/>
        <v>1.01193058</v>
      </c>
      <c r="DN23" s="1">
        <f t="shared" si="45"/>
        <v>1.2280305999999999</v>
      </c>
      <c r="DO23" s="1">
        <f t="shared" si="45"/>
        <v>1.7214946800000002</v>
      </c>
      <c r="DP23" s="1">
        <f t="shared" si="45"/>
        <v>1.3147188099999998</v>
      </c>
      <c r="DQ23" s="1">
        <f t="shared" si="45"/>
        <v>1.8704580099999999</v>
      </c>
      <c r="DR23" s="1">
        <f t="shared" si="45"/>
        <v>1.2166211999999998</v>
      </c>
      <c r="DS23" s="1">
        <f t="shared" si="45"/>
        <v>1.2618213600000001</v>
      </c>
      <c r="DT23" s="1">
        <f t="shared" si="45"/>
        <v>2.6711612799999997</v>
      </c>
      <c r="DU23" s="1">
        <f t="shared" si="45"/>
        <v>1.8665371000000002</v>
      </c>
      <c r="DV23" s="1">
        <f t="shared" si="45"/>
        <v>1.1160735099999999</v>
      </c>
      <c r="DW23" s="1">
        <f t="shared" si="45"/>
        <v>0.32453726999999999</v>
      </c>
      <c r="DX23" s="1">
        <f t="shared" si="45"/>
        <v>0.12503209999999998</v>
      </c>
      <c r="DY23" s="1">
        <f t="shared" si="41"/>
        <v>0.47826376000000004</v>
      </c>
      <c r="DZ23" s="1">
        <f t="shared" si="41"/>
        <v>2.89069318</v>
      </c>
      <c r="EA23" s="1">
        <f t="shared" si="41"/>
        <v>1.35471261</v>
      </c>
      <c r="EB23" s="1">
        <f t="shared" si="41"/>
        <v>2.7470526999999998</v>
      </c>
      <c r="EC23" s="1">
        <f t="shared" si="41"/>
        <v>1.8506322900000001</v>
      </c>
      <c r="ED23" s="1">
        <f t="shared" si="41"/>
        <v>1.0900325</v>
      </c>
      <c r="EE23" s="1">
        <f t="shared" si="41"/>
        <v>1.8150842000000003</v>
      </c>
      <c r="EF23" s="1">
        <f t="shared" si="41"/>
        <v>1.62026545</v>
      </c>
      <c r="EH23" s="14">
        <f t="shared" si="46"/>
        <v>16.3</v>
      </c>
      <c r="EI23" s="14">
        <f t="shared" si="46"/>
        <v>16.3</v>
      </c>
      <c r="EJ23" s="1">
        <f t="shared" si="46"/>
        <v>16.3</v>
      </c>
      <c r="EK23" s="1">
        <f t="shared" si="46"/>
        <v>16.3</v>
      </c>
      <c r="EL23" s="1">
        <f t="shared" si="46"/>
        <v>16.7</v>
      </c>
      <c r="EM23" s="1">
        <f t="shared" si="46"/>
        <v>16.7</v>
      </c>
      <c r="EN23" s="1">
        <f t="shared" si="46"/>
        <v>16.7</v>
      </c>
      <c r="EO23" s="1">
        <f t="shared" si="46"/>
        <v>16.7</v>
      </c>
      <c r="EP23" s="1">
        <f t="shared" si="46"/>
        <v>16.7</v>
      </c>
      <c r="EQ23" s="1">
        <f t="shared" si="46"/>
        <v>16.7</v>
      </c>
      <c r="ER23" s="1">
        <f t="shared" si="46"/>
        <v>16.7</v>
      </c>
      <c r="ES23" s="1">
        <f t="shared" si="46"/>
        <v>16.7</v>
      </c>
      <c r="ET23" s="1">
        <f t="shared" si="46"/>
        <v>16.7</v>
      </c>
      <c r="EU23" s="1">
        <f t="shared" si="46"/>
        <v>16.7</v>
      </c>
      <c r="EV23" s="1">
        <f t="shared" si="46"/>
        <v>16.7</v>
      </c>
      <c r="EW23" s="1">
        <f t="shared" si="46"/>
        <v>16.7</v>
      </c>
      <c r="EX23" s="1">
        <f t="shared" si="42"/>
        <v>18</v>
      </c>
      <c r="EY23" s="1">
        <f t="shared" si="42"/>
        <v>18</v>
      </c>
      <c r="EZ23" s="1">
        <f t="shared" si="42"/>
        <v>18</v>
      </c>
      <c r="FA23" s="1">
        <f t="shared" si="42"/>
        <v>18</v>
      </c>
      <c r="FB23" s="1">
        <f t="shared" si="42"/>
        <v>18</v>
      </c>
      <c r="FC23" s="1">
        <f t="shared" si="42"/>
        <v>18</v>
      </c>
      <c r="FD23" s="1">
        <f t="shared" si="42"/>
        <v>18</v>
      </c>
      <c r="FE23" s="1">
        <f t="shared" si="42"/>
        <v>18</v>
      </c>
      <c r="FG23" s="162">
        <f t="shared" si="33"/>
        <v>-1.1584995194377354</v>
      </c>
    </row>
    <row r="24" spans="1:163" ht="18.75" customHeight="1">
      <c r="A24" s="243" t="s">
        <v>39</v>
      </c>
      <c r="B24" s="246"/>
      <c r="C24" s="156">
        <f t="shared" si="5"/>
        <v>-0.66</v>
      </c>
      <c r="D24" s="198">
        <v>-1</v>
      </c>
      <c r="E24" s="248">
        <f t="shared" si="6"/>
        <v>1.3513513513513598E-2</v>
      </c>
      <c r="F24" s="249">
        <f t="shared" si="7"/>
        <v>-7.4806283241814375E-2</v>
      </c>
      <c r="G24" s="248">
        <f t="shared" si="8"/>
        <v>6.1954511545110558E-2</v>
      </c>
      <c r="H24" s="249">
        <f t="shared" si="9"/>
        <v>-4.844099803159696E-2</v>
      </c>
      <c r="I24" s="248">
        <f t="shared" si="10"/>
        <v>2.5046728971962615</v>
      </c>
      <c r="J24" s="249">
        <f t="shared" si="11"/>
        <v>-0.38941413192476437</v>
      </c>
      <c r="K24" s="248">
        <f t="shared" si="34"/>
        <v>2.899249373656497</v>
      </c>
      <c r="L24" s="249">
        <f t="shared" si="12"/>
        <v>-0.39457647646023553</v>
      </c>
      <c r="M24" s="250"/>
      <c r="N24" s="24">
        <v>0</v>
      </c>
      <c r="O24" s="248">
        <f t="shared" si="35"/>
        <v>3.6432873308666736E-2</v>
      </c>
      <c r="P24" s="251">
        <f t="shared" si="36"/>
        <v>3.6432873308666736E-2</v>
      </c>
      <c r="Q24" s="248">
        <f t="shared" si="13"/>
        <v>0.1108116372150767</v>
      </c>
      <c r="R24" s="251">
        <f t="shared" si="37"/>
        <v>0.1108116372150767</v>
      </c>
      <c r="S24" s="250"/>
      <c r="T24" s="24">
        <v>-1</v>
      </c>
      <c r="U24" s="248">
        <f t="shared" si="14"/>
        <v>-7.7677296784090966E-2</v>
      </c>
      <c r="V24" s="252">
        <f t="shared" si="15"/>
        <v>-7.7677296784090966E-2</v>
      </c>
      <c r="W24" s="248">
        <f t="shared" si="38"/>
        <v>-5.2867440769898577E-2</v>
      </c>
      <c r="X24" s="252"/>
      <c r="Y24" s="248">
        <f t="shared" si="17"/>
        <v>-9.2922519141609095E-2</v>
      </c>
      <c r="Z24" s="252">
        <f t="shared" si="18"/>
        <v>-9.2922519141609095E-2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P24" s="28">
        <f>VLOOKUP($A24,historia!$A$5:$CM$24,+HLOOKUP(AP$2,historia!$A$3:$EC$4,2,FALSE),FALSE)</f>
        <v>2</v>
      </c>
      <c r="AQ24" s="28">
        <f>VLOOKUP($A24,historia!$A$5:$CM$24,+HLOOKUP(AQ$2,historia!$A$3:$EC$4,2,FALSE),FALSE)</f>
        <v>2</v>
      </c>
      <c r="AR24" s="28">
        <f>VLOOKUP($A24,historia!$A$5:$CM$24,+HLOOKUP(AR$2,historia!$A$3:$EC$4,2,FALSE),FALSE)</f>
        <v>2</v>
      </c>
      <c r="AS24" s="28">
        <f>VLOOKUP($A24,historia!$A$5:$CM$24,+HLOOKUP(AS$2,historia!$A$3:$EC$4,2,FALSE),FALSE)</f>
        <v>2</v>
      </c>
      <c r="AT24" s="58">
        <f>VLOOKUP($A24,historia!$A$5:$CM$24,+HLOOKUP(AT$2,historia!$A$3:$EC$4,2,FALSE),FALSE)</f>
        <v>2</v>
      </c>
      <c r="AU24" s="58">
        <f>VLOOKUP($A24,historia!$A$5:$CM$24,+HLOOKUP(AU$2,historia!$A$3:$EC$4,2,FALSE),FALSE)</f>
        <v>2</v>
      </c>
      <c r="AV24" s="58">
        <f>VLOOKUP($A24,historia!$A$5:$CM$24,+HLOOKUP(AV$2,historia!$A$3:$EC$4,2,FALSE),FALSE)</f>
        <v>2</v>
      </c>
      <c r="AW24" s="58">
        <f>VLOOKUP($A24,historia!$A$5:$CM$24,+HLOOKUP(AW$2,historia!$A$3:$EC$4,2,FALSE),FALSE)</f>
        <v>3</v>
      </c>
      <c r="AX24" s="58">
        <f>VLOOKUP($A24,historia!$A$5:$CM$24,+HLOOKUP(AX$2,historia!$A$3:$EC$4,2,FALSE),FALSE)</f>
        <v>2</v>
      </c>
      <c r="AY24" s="58">
        <f>VLOOKUP($A24,historia!$A$5:$CM$24,+HLOOKUP(AY$2,historia!$A$3:$EC$4,2,FALSE),FALSE)</f>
        <v>2</v>
      </c>
      <c r="AZ24" s="58">
        <f>VLOOKUP($A24,historia!$A$5:$CM$24,+HLOOKUP(AZ$2,historia!$A$3:$EC$4,2,FALSE),FALSE)</f>
        <v>2</v>
      </c>
      <c r="BA24" s="58">
        <f>VLOOKUP($A24,historia!$A$5:$CM$24,+HLOOKUP(BA$2,historia!$A$3:$EC$4,2,FALSE),FALSE)</f>
        <v>4</v>
      </c>
      <c r="BB24" s="30"/>
      <c r="BC24" s="141">
        <v>4</v>
      </c>
      <c r="BD24" t="str">
        <f t="shared" si="19"/>
        <v>Yerba Mate</v>
      </c>
      <c r="BE24">
        <f>+datos!AG1</f>
        <v>33</v>
      </c>
      <c r="BF24" s="2" t="str">
        <f t="shared" si="4"/>
        <v>$/t</v>
      </c>
      <c r="BG24" s="2">
        <f t="shared" si="4"/>
        <v>375000</v>
      </c>
      <c r="BH24" s="2">
        <f t="shared" si="4"/>
        <v>370000</v>
      </c>
      <c r="BI24" s="2">
        <f t="shared" si="4"/>
        <v>107000</v>
      </c>
      <c r="BK24">
        <f>+datos!CY1</f>
        <v>103</v>
      </c>
      <c r="BL24" s="2">
        <f t="shared" si="20"/>
        <v>7128.9573373528756</v>
      </c>
      <c r="BM24" s="2">
        <f t="shared" si="20"/>
        <v>6713.0533933892011</v>
      </c>
      <c r="BN24" s="2">
        <f t="shared" si="20"/>
        <v>1828.2896666000461</v>
      </c>
      <c r="BP24" s="1">
        <f>+datos!ED1</f>
        <v>134</v>
      </c>
      <c r="BQ24" s="1">
        <f t="shared" si="21"/>
        <v>230256</v>
      </c>
      <c r="BR24" s="1">
        <f t="shared" si="21"/>
        <v>222162</v>
      </c>
      <c r="BT24" s="1">
        <f>+datos!FZ1</f>
        <v>182</v>
      </c>
      <c r="BU24" s="1">
        <f t="shared" si="22"/>
        <v>917077.5</v>
      </c>
      <c r="BV24" s="1">
        <f t="shared" si="22"/>
        <v>825592.26899999997</v>
      </c>
      <c r="BX24" s="1">
        <f>+datos!KD1</f>
        <v>290</v>
      </c>
      <c r="BY24" s="1">
        <f t="shared" si="39"/>
        <v>112.52041610000001</v>
      </c>
      <c r="BZ24" s="1">
        <f t="shared" si="40"/>
        <v>121.99679755000003</v>
      </c>
      <c r="CB24" s="1">
        <f>+datos!LI1</f>
        <v>321</v>
      </c>
      <c r="CC24" s="2">
        <f t="shared" si="23"/>
        <v>22.736355009999997</v>
      </c>
      <c r="CD24" s="2">
        <f t="shared" si="24"/>
        <v>24.00546237</v>
      </c>
      <c r="CF24" s="1">
        <f>+datos!IP1</f>
        <v>250</v>
      </c>
      <c r="CG24" s="1">
        <f t="shared" si="25"/>
        <v>5.5693606783423002</v>
      </c>
      <c r="CH24" s="1">
        <f t="shared" si="26"/>
        <v>6.139895208369488</v>
      </c>
      <c r="CJ24" s="1">
        <f t="shared" si="43"/>
        <v>8.852789640000001</v>
      </c>
      <c r="CK24" s="1">
        <f t="shared" si="43"/>
        <v>12.408222910000001</v>
      </c>
      <c r="CL24" s="1">
        <f t="shared" si="43"/>
        <v>8.8663402400000013</v>
      </c>
      <c r="CM24" s="1">
        <f t="shared" si="43"/>
        <v>9.2397224899999983</v>
      </c>
      <c r="CN24" s="1">
        <f t="shared" si="43"/>
        <v>7.1224329199999996</v>
      </c>
      <c r="CO24" s="1">
        <f t="shared" si="43"/>
        <v>8.6156523299999996</v>
      </c>
      <c r="CP24" s="1">
        <f t="shared" si="43"/>
        <v>10.17972451</v>
      </c>
      <c r="CQ24" s="1">
        <f t="shared" si="43"/>
        <v>11.833514059999999</v>
      </c>
      <c r="CR24" s="1">
        <f t="shared" si="43"/>
        <v>8.6649559600000003</v>
      </c>
      <c r="CS24" s="1">
        <f t="shared" si="43"/>
        <v>8.6995030900000003</v>
      </c>
      <c r="CT24" s="1">
        <f t="shared" si="43"/>
        <v>9.3876240000000006</v>
      </c>
      <c r="CU24" s="1">
        <f t="shared" si="43"/>
        <v>8.6499339499999994</v>
      </c>
      <c r="CV24" s="1">
        <f t="shared" si="43"/>
        <v>10.5511423</v>
      </c>
      <c r="CW24" s="1">
        <f t="shared" si="43"/>
        <v>12.484662230000001</v>
      </c>
      <c r="CX24" s="1">
        <f t="shared" si="43"/>
        <v>8.9774099899999982</v>
      </c>
      <c r="CY24" s="1">
        <f t="shared" si="43"/>
        <v>3.3752363299999999</v>
      </c>
      <c r="CZ24" s="1">
        <f t="shared" si="44"/>
        <v>8.5781493200000014</v>
      </c>
      <c r="DA24" s="1">
        <f t="shared" si="44"/>
        <v>11.086418249999999</v>
      </c>
      <c r="DB24" s="1">
        <f t="shared" si="44"/>
        <v>17.188054299999997</v>
      </c>
      <c r="DC24" s="1">
        <f t="shared" si="44"/>
        <v>10.47783802</v>
      </c>
      <c r="DD24" s="1">
        <f t="shared" si="44"/>
        <v>9.5575243299999997</v>
      </c>
      <c r="DE24" s="1">
        <f t="shared" si="44"/>
        <v>7.6485664300000016</v>
      </c>
      <c r="DF24" s="1">
        <f t="shared" si="44"/>
        <v>10.989036779999999</v>
      </c>
      <c r="DG24" s="1">
        <f t="shared" si="44"/>
        <v>11.08275927</v>
      </c>
      <c r="DI24" s="1">
        <f t="shared" si="45"/>
        <v>3.2398820599999998</v>
      </c>
      <c r="DJ24" s="1">
        <f t="shared" si="45"/>
        <v>3.1775986299999999</v>
      </c>
      <c r="DK24" s="1">
        <f t="shared" si="45"/>
        <v>2.4176205400000002</v>
      </c>
      <c r="DL24" s="1">
        <f t="shared" si="45"/>
        <v>1.0621514699999999</v>
      </c>
      <c r="DM24" s="1">
        <f t="shared" si="45"/>
        <v>1.8796713600000001</v>
      </c>
      <c r="DN24" s="1">
        <f t="shared" si="45"/>
        <v>2.4189343299999999</v>
      </c>
      <c r="DO24" s="1">
        <f t="shared" si="45"/>
        <v>2.31537419</v>
      </c>
      <c r="DP24" s="1">
        <f t="shared" si="45"/>
        <v>1.6581343500000001</v>
      </c>
      <c r="DQ24" s="1">
        <f t="shared" si="45"/>
        <v>1.1317222</v>
      </c>
      <c r="DR24" s="1">
        <f t="shared" si="45"/>
        <v>1.25031731</v>
      </c>
      <c r="DS24" s="1">
        <f t="shared" si="45"/>
        <v>1.1220479999999999</v>
      </c>
      <c r="DT24" s="1">
        <f t="shared" si="45"/>
        <v>1.06290057</v>
      </c>
      <c r="DU24" s="1">
        <f t="shared" si="45"/>
        <v>0.94532128999999998</v>
      </c>
      <c r="DV24" s="1">
        <f t="shared" si="45"/>
        <v>0.74918092999999997</v>
      </c>
      <c r="DW24" s="1">
        <f t="shared" si="45"/>
        <v>0.38311624</v>
      </c>
      <c r="DX24" s="1">
        <f t="shared" si="45"/>
        <v>0.75479300000000005</v>
      </c>
      <c r="DY24" s="1">
        <f t="shared" si="41"/>
        <v>0.25391999999999998</v>
      </c>
      <c r="DZ24" s="1">
        <f t="shared" si="41"/>
        <v>0.77264063999999999</v>
      </c>
      <c r="EA24" s="1">
        <f t="shared" si="41"/>
        <v>0.73566756000000011</v>
      </c>
      <c r="EB24" s="1">
        <f t="shared" si="41"/>
        <v>2.5187011699999999</v>
      </c>
      <c r="EC24" s="1">
        <f t="shared" si="41"/>
        <v>5.4787536300000008</v>
      </c>
      <c r="ED24" s="1">
        <f t="shared" si="41"/>
        <v>3.3605493799999997</v>
      </c>
      <c r="EE24" s="1">
        <f t="shared" si="41"/>
        <v>4.0244654899999999</v>
      </c>
      <c r="EF24" s="1">
        <f t="shared" si="41"/>
        <v>4.0283530399999998</v>
      </c>
      <c r="EH24" s="14">
        <f t="shared" si="46"/>
        <v>5.5693606783423002</v>
      </c>
      <c r="EI24" s="14">
        <f t="shared" si="46"/>
        <v>5.5693606783423002</v>
      </c>
      <c r="EJ24" s="1">
        <f t="shared" si="46"/>
        <v>5.5693606783423002</v>
      </c>
      <c r="EK24" s="1">
        <f t="shared" si="46"/>
        <v>5.5693606783423002</v>
      </c>
      <c r="EL24" s="1">
        <f t="shared" si="46"/>
        <v>6.139895208369488</v>
      </c>
      <c r="EM24" s="1">
        <f t="shared" si="46"/>
        <v>6.139895208369488</v>
      </c>
      <c r="EN24" s="1">
        <f t="shared" si="46"/>
        <v>6.139895208369488</v>
      </c>
      <c r="EO24" s="1">
        <f t="shared" si="46"/>
        <v>6.139895208369488</v>
      </c>
      <c r="EP24" s="1">
        <f t="shared" si="46"/>
        <v>6.139895208369488</v>
      </c>
      <c r="EQ24" s="1">
        <f t="shared" si="46"/>
        <v>6.139895208369488</v>
      </c>
      <c r="ER24" s="1">
        <f t="shared" si="46"/>
        <v>6.139895208369488</v>
      </c>
      <c r="ES24" s="1">
        <f t="shared" si="46"/>
        <v>6.139895208369488</v>
      </c>
      <c r="ET24" s="1">
        <f t="shared" si="46"/>
        <v>6.139895208369488</v>
      </c>
      <c r="EU24" s="1">
        <f t="shared" si="46"/>
        <v>6.139895208369488</v>
      </c>
      <c r="EV24" s="1">
        <f t="shared" si="46"/>
        <v>6.139895208369488</v>
      </c>
      <c r="EW24" s="1">
        <f t="shared" si="46"/>
        <v>6.139895208369488</v>
      </c>
      <c r="EX24" s="1">
        <f t="shared" si="42"/>
        <v>5.9356067942694777</v>
      </c>
      <c r="EY24" s="1">
        <f t="shared" si="42"/>
        <v>5.9356067942694777</v>
      </c>
      <c r="EZ24" s="1">
        <f t="shared" si="42"/>
        <v>5.9356067942694777</v>
      </c>
      <c r="FA24" s="1">
        <f t="shared" si="42"/>
        <v>5.9356067942694777</v>
      </c>
      <c r="FB24" s="1">
        <f t="shared" si="42"/>
        <v>5.9356067942694777</v>
      </c>
      <c r="FC24" s="1">
        <f t="shared" si="42"/>
        <v>5.9356067942694777</v>
      </c>
      <c r="FD24" s="1">
        <f t="shared" si="42"/>
        <v>5.9356067942694777</v>
      </c>
      <c r="FE24" s="1">
        <f t="shared" si="42"/>
        <v>5.9356067942694777</v>
      </c>
      <c r="FG24" s="162">
        <f t="shared" si="33"/>
        <v>-0.39457647646023553</v>
      </c>
    </row>
    <row r="25" spans="1:163" ht="18.75" customHeight="1">
      <c r="A25" s="223"/>
      <c r="B25" s="223"/>
      <c r="C25" s="156"/>
      <c r="D25" s="198"/>
      <c r="E25" s="190"/>
      <c r="F25" s="191"/>
      <c r="G25" s="190"/>
      <c r="H25" s="191"/>
      <c r="I25" s="190"/>
      <c r="J25" s="191"/>
      <c r="K25" s="190"/>
      <c r="L25" s="191"/>
      <c r="M25" s="17"/>
      <c r="N25" s="198"/>
      <c r="O25" s="190"/>
      <c r="P25" s="261"/>
      <c r="Q25" s="190"/>
      <c r="R25" s="261"/>
      <c r="S25" s="17"/>
      <c r="T25" s="198"/>
      <c r="U25" s="190"/>
      <c r="V25" s="194"/>
      <c r="W25" s="190"/>
      <c r="X25" s="194"/>
      <c r="Y25" s="40" t="str">
        <f t="shared" si="17"/>
        <v/>
      </c>
      <c r="Z25" s="194"/>
      <c r="AA25" s="30"/>
      <c r="AB25" s="57"/>
      <c r="AO25" s="57"/>
      <c r="AT25" s="58"/>
      <c r="AU25" s="58"/>
      <c r="AV25" s="58"/>
      <c r="AW25" s="58"/>
      <c r="AX25" s="58"/>
      <c r="AY25" s="58"/>
      <c r="AZ25" s="58"/>
      <c r="BA25" s="58"/>
      <c r="BB25" s="30"/>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E26" s="12">
        <f>+AVERAGE(E6:E24)</f>
        <v>1.190897660667806E-2</v>
      </c>
      <c r="F26" s="37">
        <f>+E26-$I$3</f>
        <v>-2.8821780525143477</v>
      </c>
      <c r="G26" s="12">
        <f>+AVERAGE(G6:G24)</f>
        <v>3.330487998953275E-2</v>
      </c>
      <c r="I26" s="12">
        <f>+AVERAGEIF(I6:I24,"&gt;211%")</f>
        <v>3.0644441655061931</v>
      </c>
      <c r="J26" s="37">
        <f t="shared" si="11"/>
        <v>0.17035713638516725</v>
      </c>
      <c r="K26" s="12">
        <f>+AVERAGE(K6:K24)</f>
        <v>2.5513510762055951</v>
      </c>
      <c r="O26" s="12">
        <f>+AVERAGE(O6:O24)</f>
        <v>1.7563673507799509E-2</v>
      </c>
      <c r="AB26" s="57"/>
      <c r="AO26" s="57"/>
    </row>
    <row r="27" spans="1:163" ht="18.75" customHeight="1">
      <c r="I27" s="12">
        <f>+AVERAGEIF(I6:I24,"&lt;211%")</f>
        <v>1.4006153782027899</v>
      </c>
      <c r="K27" s="177">
        <f>+SUBTOTAL(101,K6:K21)</f>
        <v>2.5252676265591614</v>
      </c>
      <c r="V27" t="s">
        <v>167</v>
      </c>
      <c r="X27" s="162"/>
      <c r="BC27" s="141" t="s">
        <v>273</v>
      </c>
      <c r="BQ27" s="1">
        <f>+SUM(BQ6:BQ24)</f>
        <v>114079771</v>
      </c>
      <c r="BR27" s="1">
        <f>+SUM(BR6:BR24)</f>
        <v>115142047</v>
      </c>
      <c r="BU27" s="1">
        <f>+SUM(BU6:BU24)</f>
        <v>165573043.10008398</v>
      </c>
      <c r="BV27" s="1">
        <f>+SUM(BV6:BV24)</f>
        <v>121554301.79931977</v>
      </c>
      <c r="BY27" s="1">
        <f>+SUM(BY6:BY24)</f>
        <v>49761.692125729998</v>
      </c>
      <c r="BZ27" s="1">
        <f>+SUM(BZ6:BZ24)</f>
        <v>63580.202880999983</v>
      </c>
      <c r="CC27" s="1">
        <f>+SUM(CC6:CC24)</f>
        <v>5311.4710854400009</v>
      </c>
      <c r="CD27" s="1">
        <f>+SUM(CD6:CD24)</f>
        <v>4123.9355235200001</v>
      </c>
      <c r="FG27" s="167">
        <f>+COUNTIF(FG6:FG24,"&gt;0")</f>
        <v>10</v>
      </c>
    </row>
    <row r="28" spans="1:163" ht="18.75" customHeight="1">
      <c r="A28" s="11">
        <f>+COUNTIF($C$6:$C$24,"&lt;0")</f>
        <v>12</v>
      </c>
      <c r="C28" s="156">
        <v>-1</v>
      </c>
      <c r="E28" s="167">
        <f>+COUNTIF($I$6:$I$24,"&lt;1,69")</f>
        <v>4</v>
      </c>
      <c r="F28" s="29">
        <v>-1</v>
      </c>
      <c r="I28" s="167">
        <f>+COUNTIF($I$6:$I$24,"&lt;1,69")</f>
        <v>4</v>
      </c>
      <c r="J28" s="29">
        <v>-1</v>
      </c>
      <c r="K28">
        <f>+COUNTIF($L$6:$L$24,"&lt;0")</f>
        <v>9</v>
      </c>
      <c r="L28" s="29">
        <v>-1</v>
      </c>
      <c r="O28">
        <f>+COUNTIF($P$6:$P$24,"&lt;0")</f>
        <v>7</v>
      </c>
      <c r="P28" s="262">
        <v>-1</v>
      </c>
      <c r="Q28">
        <f>+COUNTIF($R$6:$R$24,"&lt;0")</f>
        <v>10</v>
      </c>
      <c r="R28" s="262">
        <v>-1</v>
      </c>
      <c r="T28" s="57">
        <f>+COUNTIF($U$6:$U$24,"&lt;0")</f>
        <v>13</v>
      </c>
      <c r="U28" s="29">
        <v>-1</v>
      </c>
      <c r="BR28" t="s">
        <v>491</v>
      </c>
      <c r="BU28" s="167">
        <f>+SUMIFS(BU6:BU24,BC6:BC24,5)+SUMIFS(BU6:BU24,BC6:BC24,4)</f>
        <v>157461743.62008399</v>
      </c>
      <c r="BY28" s="10">
        <f>+BY27/BZ27-1</f>
        <v>-0.21733983424264036</v>
      </c>
      <c r="CC28" s="10">
        <f>+CC27/CD27-1</f>
        <v>0.28796171888409527</v>
      </c>
    </row>
    <row r="29" spans="1:163" ht="18.75" customHeight="1">
      <c r="A29" s="11">
        <f>+COUNTIF($C$6:$C$24,C29)</f>
        <v>4</v>
      </c>
      <c r="C29" s="156">
        <v>0</v>
      </c>
      <c r="E29" s="167">
        <f>+COUNTIF($I$6:$I$24,"=1,69")</f>
        <v>0</v>
      </c>
      <c r="F29" s="29">
        <v>0</v>
      </c>
      <c r="I29" s="167">
        <f>+COUNTIF($I$6:$I$24,"=1,69")</f>
        <v>0</v>
      </c>
      <c r="J29" s="29">
        <v>0</v>
      </c>
      <c r="L29" s="29">
        <v>0</v>
      </c>
      <c r="O29">
        <f>+COUNTIF($P$6:$P$24,"=0")</f>
        <v>3</v>
      </c>
      <c r="P29" s="262">
        <v>0</v>
      </c>
      <c r="Q29">
        <f>+COUNTIF($R$6:$R$24,"=0")</f>
        <v>1</v>
      </c>
      <c r="R29" s="262">
        <v>0</v>
      </c>
      <c r="T29" s="57">
        <f>+COUNTIF($U$6:$U$24,"=0")</f>
        <v>0</v>
      </c>
      <c r="U29" s="29">
        <v>0</v>
      </c>
      <c r="BR29" t="s">
        <v>492</v>
      </c>
      <c r="BU29" s="167">
        <f>+SUMIFS(BU6:BU24,BC6:BC24,3)</f>
        <v>2841120</v>
      </c>
    </row>
    <row r="30" spans="1:163" ht="18.75" customHeight="1">
      <c r="A30" s="11">
        <f>+COUNTIF($C$6:$C$24,"&gt;0")</f>
        <v>3</v>
      </c>
      <c r="C30" s="156">
        <v>1</v>
      </c>
      <c r="E30" s="167">
        <f>+COUNTIF($I$6:$I$24,"&gt;1,69")</f>
        <v>14</v>
      </c>
      <c r="F30" s="29">
        <v>1</v>
      </c>
      <c r="I30" s="167">
        <f>+COUNTIF($I$6:$I$24,"&gt;1,69")</f>
        <v>14</v>
      </c>
      <c r="J30" s="29">
        <v>1</v>
      </c>
      <c r="K30">
        <f>+COUNTIF($L$6:$L$24,"&gt;0")</f>
        <v>10</v>
      </c>
      <c r="L30" s="29">
        <v>1</v>
      </c>
      <c r="O30">
        <f>+COUNTIF($P$6:$P$24,"&gt;0")</f>
        <v>8</v>
      </c>
      <c r="P30" s="262">
        <v>1</v>
      </c>
      <c r="Q30">
        <f>+COUNTIF($R$6:$R$24,"&gt;0")</f>
        <v>8</v>
      </c>
      <c r="R30" s="262">
        <v>1</v>
      </c>
      <c r="T30" s="57">
        <f>+COUNTIF($U$6:$U$24,"&gt;0")</f>
        <v>5</v>
      </c>
      <c r="U30" s="29">
        <v>1</v>
      </c>
      <c r="X30" s="14"/>
      <c r="BR30" t="s">
        <v>493</v>
      </c>
      <c r="BU30" s="167">
        <f>+SUMIFS(BU6:BU24,BC6:BC24,1)+SUMIFS(BU6:BU24,BC6:BC24,2)</f>
        <v>5270179.4800000004</v>
      </c>
      <c r="BX30" s="1"/>
    </row>
    <row r="31" spans="1:163" ht="18.75" customHeight="1">
      <c r="K31" s="12"/>
    </row>
    <row r="32" spans="1:163" ht="18.75" customHeight="1">
      <c r="C32" s="157"/>
      <c r="I32" s="14">
        <f>+COUNTIF(I6:I24,"&gt;211%")</f>
        <v>12</v>
      </c>
      <c r="J32" s="14"/>
      <c r="K32" s="14"/>
      <c r="Y32" s="163"/>
    </row>
    <row r="33" spans="1:164" ht="18.75" customHeight="1">
      <c r="C33" s="157"/>
      <c r="I33" s="12">
        <f>+I26/2</f>
        <v>1.5322220827530966</v>
      </c>
    </row>
    <row r="34" spans="1:164" s="23" customFormat="1" ht="18.75" customHeight="1">
      <c r="A34" s="11"/>
      <c r="B34" s="11"/>
      <c r="C34" s="157"/>
      <c r="D34" s="57"/>
      <c r="E34" s="12"/>
      <c r="F34" s="37"/>
      <c r="G34"/>
      <c r="H34" s="37"/>
      <c r="I34" s="12">
        <v>0.03</v>
      </c>
      <c r="J34" s="37"/>
      <c r="K34"/>
      <c r="L34" s="37"/>
      <c r="M34"/>
      <c r="N34" s="57"/>
      <c r="Q34"/>
      <c r="S34"/>
      <c r="T34" s="57"/>
      <c r="V34"/>
      <c r="W34"/>
      <c r="X34"/>
      <c r="Y34"/>
      <c r="Z34"/>
      <c r="AA34"/>
      <c r="AB34" s="11"/>
      <c r="AC34" s="57"/>
      <c r="AD34" s="57"/>
      <c r="AE34" s="57"/>
      <c r="AF34" s="57"/>
      <c r="AG34" s="57"/>
      <c r="AH34" s="57"/>
      <c r="AI34" s="57"/>
      <c r="AJ34" s="57"/>
      <c r="AK34" s="57"/>
      <c r="AL34" s="57"/>
      <c r="AM34" s="57"/>
      <c r="AN34" s="57"/>
      <c r="AO34" s="28"/>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Q35"/>
      <c r="S35"/>
      <c r="T35" s="57"/>
      <c r="V35"/>
      <c r="W35"/>
      <c r="X35"/>
      <c r="Y35"/>
      <c r="Z35"/>
      <c r="AA35"/>
      <c r="AB35" s="11"/>
      <c r="AC35" s="57"/>
      <c r="AD35" s="57"/>
      <c r="AE35" s="57"/>
      <c r="AF35" s="57"/>
      <c r="AG35" s="57"/>
      <c r="AH35" s="57"/>
      <c r="AI35" s="57"/>
      <c r="AJ35" s="57"/>
      <c r="AK35" s="57"/>
      <c r="AL35" s="57"/>
      <c r="AM35" s="57"/>
      <c r="AN35" s="57"/>
      <c r="AO35" s="28"/>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Q36"/>
      <c r="S36"/>
      <c r="T36" s="57"/>
      <c r="V36"/>
      <c r="W36"/>
      <c r="X36"/>
      <c r="Y36"/>
      <c r="Z36"/>
      <c r="AA36"/>
      <c r="AB36" s="11"/>
      <c r="AC36" s="57"/>
      <c r="AD36" s="57"/>
      <c r="AE36" s="57"/>
      <c r="AF36" s="57"/>
      <c r="AG36" s="57"/>
      <c r="AH36" s="57"/>
      <c r="AI36" s="57"/>
      <c r="AJ36" s="57"/>
      <c r="AK36" s="57"/>
      <c r="AL36" s="57"/>
      <c r="AM36" s="57"/>
      <c r="AN36" s="57"/>
      <c r="AO36" s="28"/>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Q37"/>
      <c r="S37"/>
      <c r="T37" s="57"/>
      <c r="V37"/>
      <c r="W37"/>
      <c r="X37"/>
      <c r="Y37"/>
      <c r="Z37"/>
      <c r="AA37"/>
      <c r="AB37" s="11"/>
      <c r="AC37" s="57"/>
      <c r="AD37" s="57"/>
      <c r="AE37" s="57"/>
      <c r="AF37" s="57"/>
      <c r="AG37" s="57"/>
      <c r="AH37" s="57"/>
      <c r="AI37" s="57"/>
      <c r="AJ37" s="57"/>
      <c r="AK37" s="57"/>
      <c r="AL37" s="57"/>
      <c r="AM37" s="57"/>
      <c r="AN37" s="57"/>
      <c r="AO37" s="28"/>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Q38"/>
      <c r="S38"/>
      <c r="T38" s="57"/>
      <c r="V38"/>
      <c r="W38"/>
      <c r="X38"/>
      <c r="Y38"/>
      <c r="Z38"/>
      <c r="AA38"/>
      <c r="AB38" s="11"/>
      <c r="AC38" s="57"/>
      <c r="AD38" s="57"/>
      <c r="AE38" s="57"/>
      <c r="AF38" s="57"/>
      <c r="AG38" s="57"/>
      <c r="AH38" s="57"/>
      <c r="AI38" s="57"/>
      <c r="AJ38" s="57"/>
      <c r="AK38" s="57"/>
      <c r="AL38" s="57"/>
      <c r="AM38" s="57"/>
      <c r="AN38" s="57"/>
      <c r="AO38" s="28"/>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Q39"/>
      <c r="S39"/>
      <c r="T39" s="57"/>
      <c r="V39"/>
      <c r="W39"/>
      <c r="X39"/>
      <c r="Y39"/>
      <c r="Z39"/>
      <c r="AA39"/>
      <c r="AB39" s="11"/>
      <c r="AC39" s="57"/>
      <c r="AD39" s="57"/>
      <c r="AE39" s="57"/>
      <c r="AF39" s="57"/>
      <c r="AG39" s="57"/>
      <c r="AH39" s="57"/>
      <c r="AI39" s="57"/>
      <c r="AJ39" s="57"/>
      <c r="AK39" s="57"/>
      <c r="AL39" s="57"/>
      <c r="AM39" s="57"/>
      <c r="AN39" s="57"/>
      <c r="AO39" s="28"/>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Q40"/>
      <c r="S40"/>
      <c r="T40" s="57"/>
      <c r="V40"/>
      <c r="W40"/>
      <c r="X40"/>
      <c r="Y40"/>
      <c r="Z40"/>
      <c r="AA40"/>
      <c r="AB40" s="11"/>
      <c r="AC40" s="57"/>
      <c r="AD40" s="57"/>
      <c r="AE40" s="57"/>
      <c r="AF40" s="57"/>
      <c r="AG40" s="57"/>
      <c r="AH40" s="57"/>
      <c r="AI40" s="57"/>
      <c r="AJ40" s="57"/>
      <c r="AK40" s="57"/>
      <c r="AL40" s="57"/>
      <c r="AM40" s="57"/>
      <c r="AN40" s="57"/>
      <c r="AO40" s="28"/>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Q45"/>
      <c r="S45"/>
      <c r="T45" s="57"/>
      <c r="V45"/>
      <c r="W45"/>
      <c r="X45"/>
      <c r="Y45"/>
      <c r="Z45"/>
      <c r="AA45"/>
      <c r="AB45" s="11"/>
      <c r="AC45" s="57"/>
      <c r="AD45" s="57"/>
      <c r="AE45" s="57"/>
      <c r="AF45" s="57"/>
      <c r="AG45" s="57"/>
      <c r="AH45" s="57"/>
      <c r="AI45" s="57"/>
      <c r="AJ45" s="57"/>
      <c r="AK45" s="57"/>
      <c r="AL45" s="57"/>
      <c r="AM45" s="57"/>
      <c r="AN45" s="57"/>
      <c r="AO45" s="28"/>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Q46"/>
      <c r="S46"/>
      <c r="T46" s="57"/>
      <c r="V46"/>
      <c r="W46"/>
      <c r="X46"/>
      <c r="Y46"/>
      <c r="Z46"/>
      <c r="AA46"/>
      <c r="AB46" s="11"/>
      <c r="AC46" s="57"/>
      <c r="AD46" s="57"/>
      <c r="AE46" s="57"/>
      <c r="AF46" s="57"/>
      <c r="AG46" s="57"/>
      <c r="AH46" s="57"/>
      <c r="AI46" s="57"/>
      <c r="AJ46" s="57"/>
      <c r="AK46" s="57"/>
      <c r="AL46" s="57"/>
      <c r="AM46" s="57"/>
      <c r="AN46" s="57"/>
      <c r="AO46" s="28"/>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Q47"/>
      <c r="S47"/>
      <c r="T47" s="57"/>
      <c r="V47"/>
      <c r="W47"/>
      <c r="X47"/>
      <c r="Y47"/>
      <c r="Z47"/>
      <c r="AA47"/>
      <c r="AB47" s="11"/>
      <c r="AC47" s="57"/>
      <c r="AD47" s="57"/>
      <c r="AE47" s="57"/>
      <c r="AF47" s="57"/>
      <c r="AG47" s="57"/>
      <c r="AH47" s="57"/>
      <c r="AI47" s="57"/>
      <c r="AJ47" s="57"/>
      <c r="AK47" s="57"/>
      <c r="AL47" s="57"/>
      <c r="AM47" s="57"/>
      <c r="AN47" s="57"/>
      <c r="AO47" s="28"/>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4">
      <iconSet>
        <cfvo type="percent" val="0"/>
        <cfvo type="num" val="0"/>
        <cfvo type="num" val="0" gte="0"/>
      </iconSet>
    </cfRule>
  </conditionalFormatting>
  <conditionalFormatting sqref="C28:C30">
    <cfRule type="iconSet" priority="38">
      <iconSet>
        <cfvo type="percent" val="0"/>
        <cfvo type="num" val="0"/>
        <cfvo type="num" val="0" gte="0"/>
      </iconSet>
    </cfRule>
  </conditionalFormatting>
  <conditionalFormatting sqref="D6:D25">
    <cfRule type="iconSet" priority="43">
      <iconSet>
        <cfvo type="percent" val="0"/>
        <cfvo type="num" val="0"/>
        <cfvo type="num" val="0" gte="0"/>
      </iconSet>
    </cfRule>
  </conditionalFormatting>
  <conditionalFormatting sqref="F6:F16 F19:F25">
    <cfRule type="iconSet" priority="39">
      <iconSet>
        <cfvo type="percent" val="0"/>
        <cfvo type="num" val="0"/>
        <cfvo type="num" val="0" gte="0"/>
      </iconSet>
    </cfRule>
  </conditionalFormatting>
  <conditionalFormatting sqref="F17:F18">
    <cfRule type="iconSet" priority="9">
      <iconSet>
        <cfvo type="percent" val="0"/>
        <cfvo type="num" val="0"/>
        <cfvo type="num" val="0" gte="0"/>
      </iconSet>
    </cfRule>
  </conditionalFormatting>
  <conditionalFormatting sqref="F28:F30">
    <cfRule type="iconSet" priority="3">
      <iconSet>
        <cfvo type="percent" val="0"/>
        <cfvo type="num" val="0"/>
        <cfvo type="num" val="0" gte="0"/>
      </iconSet>
    </cfRule>
  </conditionalFormatting>
  <conditionalFormatting sqref="H6:H7 H9 H11:H25">
    <cfRule type="iconSet" priority="36">
      <iconSet>
        <cfvo type="percent" val="0"/>
        <cfvo type="num" val="0"/>
        <cfvo type="num" val="0" gte="0"/>
      </iconSet>
    </cfRule>
  </conditionalFormatting>
  <conditionalFormatting sqref="H8">
    <cfRule type="iconSet" priority="7">
      <iconSet>
        <cfvo type="percent" val="0"/>
        <cfvo type="num" val="0"/>
        <cfvo type="num" val="0" gte="0"/>
      </iconSet>
    </cfRule>
  </conditionalFormatting>
  <conditionalFormatting sqref="H10">
    <cfRule type="iconSet" priority="34">
      <iconSet>
        <cfvo type="percent" val="0"/>
        <cfvo type="num" val="0"/>
        <cfvo type="num" val="0" gte="0"/>
      </iconSet>
    </cfRule>
  </conditionalFormatting>
  <conditionalFormatting sqref="J6:J9 J11:J16 J19:J25">
    <cfRule type="iconSet" priority="37">
      <iconSet>
        <cfvo type="percent" val="0"/>
        <cfvo type="num" val="0"/>
        <cfvo type="num" val="0" gte="0"/>
      </iconSet>
    </cfRule>
  </conditionalFormatting>
  <conditionalFormatting sqref="J10">
    <cfRule type="iconSet" priority="35">
      <iconSet>
        <cfvo type="percent" val="0"/>
        <cfvo type="num" val="0"/>
        <cfvo type="num" val="0" gte="0"/>
      </iconSet>
    </cfRule>
  </conditionalFormatting>
  <conditionalFormatting sqref="J17:J18">
    <cfRule type="iconSet" priority="8">
      <iconSet>
        <cfvo type="percent" val="0"/>
        <cfvo type="num" val="0"/>
        <cfvo type="num" val="0" gte="0"/>
      </iconSet>
    </cfRule>
  </conditionalFormatting>
  <conditionalFormatting sqref="J28:J30">
    <cfRule type="iconSet" priority="5">
      <iconSet>
        <cfvo type="percent" val="0"/>
        <cfvo type="num" val="0"/>
        <cfvo type="num" val="0" gte="0"/>
      </iconSet>
    </cfRule>
  </conditionalFormatting>
  <conditionalFormatting sqref="L6:L9 L11:L25">
    <cfRule type="iconSet" priority="45">
      <iconSet>
        <cfvo type="percent" val="0"/>
        <cfvo type="num" val="0"/>
        <cfvo type="num" val="0" gte="0"/>
      </iconSet>
    </cfRule>
  </conditionalFormatting>
  <conditionalFormatting sqref="L10">
    <cfRule type="iconSet" priority="46">
      <iconSet>
        <cfvo type="percent" val="0"/>
        <cfvo type="num" val="0"/>
        <cfvo type="num" val="0" gte="0"/>
      </iconSet>
    </cfRule>
  </conditionalFormatting>
  <conditionalFormatting sqref="L28:L30">
    <cfRule type="iconSet" priority="4">
      <iconSet>
        <cfvo type="percent" val="0"/>
        <cfvo type="num" val="0"/>
        <cfvo type="num" val="0" gte="0"/>
      </iconSet>
    </cfRule>
  </conditionalFormatting>
  <conditionalFormatting sqref="M6:M25">
    <cfRule type="iconSet" priority="40">
      <iconSet>
        <cfvo type="percent" val="0"/>
        <cfvo type="num" val="0"/>
        <cfvo type="num" val="0" gte="0"/>
      </iconSet>
    </cfRule>
  </conditionalFormatting>
  <conditionalFormatting sqref="N6:N25">
    <cfRule type="iconSet" priority="33">
      <iconSet>
        <cfvo type="percent" val="0"/>
        <cfvo type="num" val="0"/>
        <cfvo type="num" val="0" gte="0"/>
      </iconSet>
    </cfRule>
  </conditionalFormatting>
  <conditionalFormatting sqref="P6:P9 P11:P25">
    <cfRule type="iconSet" priority="41">
      <iconSet>
        <cfvo type="percent" val="0"/>
        <cfvo type="num" val="0"/>
        <cfvo type="num" val="0" gte="0"/>
      </iconSet>
    </cfRule>
  </conditionalFormatting>
  <conditionalFormatting sqref="P10">
    <cfRule type="iconSet" priority="12">
      <iconSet>
        <cfvo type="percent" val="0"/>
        <cfvo type="num" val="0"/>
        <cfvo type="num" val="0" gte="0"/>
      </iconSet>
    </cfRule>
  </conditionalFormatting>
  <conditionalFormatting sqref="P28:P30">
    <cfRule type="iconSet" priority="25">
      <iconSet>
        <cfvo type="percent" val="0"/>
        <cfvo type="num" val="0"/>
        <cfvo type="num" val="0" gte="0"/>
      </iconSet>
    </cfRule>
  </conditionalFormatting>
  <conditionalFormatting sqref="R6:R15 R17:R25">
    <cfRule type="iconSet" priority="42">
      <iconSet>
        <cfvo type="percent" val="0"/>
        <cfvo type="num" val="0"/>
        <cfvo type="num" val="0" gte="0"/>
      </iconSet>
    </cfRule>
  </conditionalFormatting>
  <conditionalFormatting sqref="R16">
    <cfRule type="iconSet" priority="1">
      <iconSet>
        <cfvo type="percent" val="0"/>
        <cfvo type="num" val="0"/>
        <cfvo type="num" val="0" gte="0"/>
      </iconSet>
    </cfRule>
  </conditionalFormatting>
  <conditionalFormatting sqref="R28:R30">
    <cfRule type="iconSet" priority="24">
      <iconSet>
        <cfvo type="percent" val="0"/>
        <cfvo type="num" val="0"/>
        <cfvo type="num" val="0" gte="0"/>
      </iconSet>
    </cfRule>
  </conditionalFormatting>
  <conditionalFormatting sqref="S6:S25">
    <cfRule type="iconSet" priority="28">
      <iconSet>
        <cfvo type="percent" val="0"/>
        <cfvo type="num" val="0"/>
        <cfvo type="num" val="0" gte="0"/>
      </iconSet>
    </cfRule>
  </conditionalFormatting>
  <conditionalFormatting sqref="T6:T25">
    <cfRule type="iconSet" priority="32">
      <iconSet>
        <cfvo type="percent" val="0"/>
        <cfvo type="num" val="0"/>
        <cfvo type="num" val="0" gte="0"/>
      </iconSet>
    </cfRule>
  </conditionalFormatting>
  <conditionalFormatting sqref="U28:U30">
    <cfRule type="iconSet" priority="6">
      <iconSet>
        <cfvo type="percent" val="0"/>
        <cfvo type="num" val="0"/>
        <cfvo type="num" val="0" gte="0"/>
      </iconSet>
    </cfRule>
  </conditionalFormatting>
  <conditionalFormatting sqref="V6:V10 V16:V25 V12:V14">
    <cfRule type="iconSet" priority="31">
      <iconSet>
        <cfvo type="percent" val="0"/>
        <cfvo type="num" val="0"/>
        <cfvo type="num" val="0" gte="0"/>
      </iconSet>
    </cfRule>
  </conditionalFormatting>
  <conditionalFormatting sqref="V11">
    <cfRule type="iconSet" priority="11">
      <iconSet>
        <cfvo type="percent" val="0"/>
        <cfvo type="num" val="0"/>
        <cfvo type="num" val="0" gte="0"/>
      </iconSet>
    </cfRule>
  </conditionalFormatting>
  <conditionalFormatting sqref="V15">
    <cfRule type="iconSet" priority="27">
      <iconSet>
        <cfvo type="percent" val="0"/>
        <cfvo type="num" val="0"/>
        <cfvo type="num" val="0" gte="0"/>
      </iconSet>
    </cfRule>
  </conditionalFormatting>
  <conditionalFormatting sqref="X6:X10 X12:X23">
    <cfRule type="iconSet" priority="30">
      <iconSet reverse="1">
        <cfvo type="percent" val="0"/>
        <cfvo type="num" val="0"/>
        <cfvo type="num" val="0" gte="0"/>
      </iconSet>
    </cfRule>
  </conditionalFormatting>
  <conditionalFormatting sqref="X11">
    <cfRule type="iconSet" priority="10">
      <iconSet reverse="1">
        <cfvo type="percent" val="0"/>
        <cfvo type="num" val="0"/>
        <cfvo type="num" val="0" gte="0"/>
      </iconSet>
    </cfRule>
  </conditionalFormatting>
  <conditionalFormatting sqref="X24:X25">
    <cfRule type="iconSet" priority="26">
      <iconSet reverse="1">
        <cfvo type="percent" val="0"/>
        <cfvo type="num" val="0"/>
        <cfvo type="num" val="0" gte="0"/>
      </iconSet>
    </cfRule>
  </conditionalFormatting>
  <conditionalFormatting sqref="Z6">
    <cfRule type="iconSet" priority="21">
      <iconSet>
        <cfvo type="percent" val="0"/>
        <cfvo type="num" val="0"/>
        <cfvo type="num" val="0" gte="0"/>
      </iconSet>
    </cfRule>
  </conditionalFormatting>
  <conditionalFormatting sqref="Z7">
    <cfRule type="iconSet" priority="20">
      <iconSet>
        <cfvo type="percent" val="0"/>
        <cfvo type="num" val="0"/>
        <cfvo type="num" val="0" gte="0"/>
      </iconSet>
    </cfRule>
  </conditionalFormatting>
  <conditionalFormatting sqref="Z8 Z12 Z14:Z17 Z21 Z23 Z25">
    <cfRule type="iconSet" priority="29">
      <iconSet>
        <cfvo type="percent" val="0"/>
        <cfvo type="num" val="0"/>
        <cfvo type="num" val="0" gte="0"/>
      </iconSet>
    </cfRule>
  </conditionalFormatting>
  <conditionalFormatting sqref="Z9">
    <cfRule type="iconSet" priority="23">
      <iconSet>
        <cfvo type="percent" val="0"/>
        <cfvo type="num" val="0"/>
        <cfvo type="num" val="0" gte="0"/>
      </iconSet>
    </cfRule>
  </conditionalFormatting>
  <conditionalFormatting sqref="Z10">
    <cfRule type="iconSet" priority="19">
      <iconSet>
        <cfvo type="percent" val="0"/>
        <cfvo type="num" val="0"/>
        <cfvo type="num" val="0" gte="0"/>
      </iconSet>
    </cfRule>
  </conditionalFormatting>
  <conditionalFormatting sqref="Z11">
    <cfRule type="iconSet" priority="18">
      <iconSet>
        <cfvo type="percent" val="0"/>
        <cfvo type="num" val="0"/>
        <cfvo type="num" val="0" gte="0"/>
      </iconSet>
    </cfRule>
  </conditionalFormatting>
  <conditionalFormatting sqref="Z13">
    <cfRule type="iconSet" priority="17">
      <iconSet>
        <cfvo type="percent" val="0"/>
        <cfvo type="num" val="0"/>
        <cfvo type="num" val="0" gte="0"/>
      </iconSet>
    </cfRule>
  </conditionalFormatting>
  <conditionalFormatting sqref="Z18">
    <cfRule type="iconSet" priority="16">
      <iconSet>
        <cfvo type="percent" val="0"/>
        <cfvo type="num" val="0"/>
        <cfvo type="num" val="0" gte="0"/>
      </iconSet>
    </cfRule>
  </conditionalFormatting>
  <conditionalFormatting sqref="Z19">
    <cfRule type="iconSet" priority="15">
      <iconSet>
        <cfvo type="percent" val="0"/>
        <cfvo type="num" val="0"/>
        <cfvo type="num" val="0" gte="0"/>
      </iconSet>
    </cfRule>
  </conditionalFormatting>
  <conditionalFormatting sqref="Z20">
    <cfRule type="iconSet" priority="14">
      <iconSet>
        <cfvo type="percent" val="0"/>
        <cfvo type="num" val="0"/>
        <cfvo type="num" val="0" gte="0"/>
      </iconSet>
    </cfRule>
  </conditionalFormatting>
  <conditionalFormatting sqref="Z22">
    <cfRule type="iconSet" priority="13">
      <iconSet>
        <cfvo type="percent" val="0"/>
        <cfvo type="num" val="0"/>
        <cfvo type="num" val="0" gte="0"/>
      </iconSet>
    </cfRule>
  </conditionalFormatting>
  <conditionalFormatting sqref="Z24">
    <cfRule type="iconSet" priority="2">
      <iconSet>
        <cfvo type="percent" val="0"/>
        <cfvo type="num" val="0"/>
        <cfvo type="num" val="0" gte="0"/>
      </iconSet>
    </cfRule>
  </conditionalFormatting>
  <conditionalFormatting sqref="AC6:AN24 AC25 AE25:AN25">
    <cfRule type="expression" dxfId="35" priority="47">
      <formula>AP6=3</formula>
    </cfRule>
    <cfRule type="expression" dxfId="34" priority="48">
      <formula>AP6=5</formula>
    </cfRule>
    <cfRule type="expression" dxfId="33" priority="49">
      <formula>AP6=4</formula>
    </cfRule>
    <cfRule type="expression" dxfId="32" priority="50">
      <formula>AP6=2</formula>
    </cfRule>
    <cfRule type="expression" dxfId="31" priority="51">
      <formula>AP6=1</formula>
    </cfRule>
    <cfRule type="expression" dxfId="30" priority="52">
      <formula>AP6=0</formula>
    </cfRule>
  </conditionalFormatting>
  <conditionalFormatting sqref="FG6:FG25 FG27">
    <cfRule type="colorScale" priority="22">
      <colorScale>
        <cfvo type="min"/>
        <cfvo type="percentile" val="50"/>
        <cfvo type="max"/>
        <color rgb="FFF8696B"/>
        <color rgb="FFFFEB84"/>
        <color rgb="FF63BE7B"/>
      </colorScale>
    </cfRule>
  </conditionalFormatting>
  <dataValidations count="1">
    <dataValidation type="list" allowBlank="1" showInputMessage="1" showErrorMessage="1" sqref="A1:B1" xr:uid="{00000000-0002-0000-0A00-000000000000}">
      <formula1>lis_dat</formula1>
    </dataValidation>
  </dataValidations>
  <pageMargins left="0.25" right="0.25" top="0.75" bottom="0.75" header="0.3" footer="0.3"/>
  <pageSetup paperSize="9" scale="55"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249977111117893"/>
    <pageSetUpPr fitToPage="1"/>
  </sheetPr>
  <dimension ref="A1:FH47"/>
  <sheetViews>
    <sheetView showGridLines="0" zoomScale="106" zoomScaleNormal="106" workbookViewId="0">
      <selection activeCell="P20" sqref="P20"/>
    </sheetView>
  </sheetViews>
  <sheetFormatPr baseColWidth="10" defaultRowHeight="18.75" customHeight="1"/>
  <cols>
    <col min="1" max="1" width="14.44140625" style="11" customWidth="1"/>
    <col min="2" max="2" width="1.44140625" style="11" customWidth="1"/>
    <col min="3" max="3" width="5.44140625" style="154" hidden="1" customWidth="1"/>
    <col min="4" max="4" width="2.88671875" style="57" hidden="1" customWidth="1"/>
    <col min="5" max="5" width="8.6640625" style="12" customWidth="1"/>
    <col min="6" max="6" width="3.44140625" style="37" customWidth="1"/>
    <col min="7" max="7" width="6.109375" customWidth="1"/>
    <col min="8" max="8" width="4.5546875" style="37" customWidth="1"/>
    <col min="9" max="9" width="10.5546875" style="12" customWidth="1"/>
    <col min="10" max="10" width="4.5546875" style="37" customWidth="1"/>
    <col min="11" max="11" width="6" customWidth="1"/>
    <col min="12" max="12" width="4.88671875" style="37" customWidth="1"/>
    <col min="13" max="13" width="1.33203125" customWidth="1"/>
    <col min="14" max="14" width="3.5546875" style="57" hidden="1" customWidth="1"/>
    <col min="15" max="15" width="5.88671875" style="23" customWidth="1"/>
    <col min="16" max="16" width="5" style="57" customWidth="1"/>
    <col min="17" max="17" width="7" customWidth="1"/>
    <col min="18" max="18" width="7.33203125" customWidth="1"/>
    <col min="19" max="19" width="0.6640625" hidden="1" customWidth="1"/>
    <col min="20" max="20" width="2.5546875" style="57" customWidth="1"/>
    <col min="21" max="21" width="6.5546875" style="23" customWidth="1"/>
    <col min="22" max="22" width="4" customWidth="1"/>
    <col min="23" max="23" width="6.5546875" customWidth="1"/>
    <col min="24" max="24" width="4.44140625" customWidth="1"/>
    <col min="25" max="25" width="7.33203125" customWidth="1"/>
    <col min="26" max="26" width="4.5546875" customWidth="1"/>
    <col min="27" max="27" width="1.44140625" customWidth="1"/>
    <col min="28" max="28" width="53" style="11" hidden="1" customWidth="1"/>
    <col min="29" max="40" width="1.88671875" style="57" customWidth="1"/>
    <col min="41" max="41" width="2.44140625" style="28" customWidth="1"/>
    <col min="42" max="42" width="5.44140625" style="28" hidden="1" customWidth="1"/>
    <col min="43" max="43" width="6" style="28" hidden="1" customWidth="1"/>
    <col min="44" max="44" width="5.33203125" style="28" hidden="1" customWidth="1"/>
    <col min="45" max="45" width="4.88671875" style="28" hidden="1" customWidth="1"/>
    <col min="46" max="47" width="5.5546875" hidden="1" customWidth="1"/>
    <col min="48" max="48" width="5.33203125" hidden="1" customWidth="1"/>
    <col min="49" max="49" width="5.5546875" hidden="1" customWidth="1"/>
    <col min="50" max="51" width="4.88671875" hidden="1" customWidth="1"/>
    <col min="52" max="52" width="5.6640625" hidden="1" customWidth="1"/>
    <col min="53" max="53" width="5.109375" hidden="1" customWidth="1"/>
    <col min="54" max="54" width="2.44140625" hidden="1" customWidth="1"/>
    <col min="55" max="55" width="15.8867187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8.75" customHeight="1">
      <c r="A1" s="219">
        <v>45352</v>
      </c>
      <c r="B1" s="219"/>
      <c r="D1" s="195" t="s">
        <v>220</v>
      </c>
      <c r="E1" s="46"/>
      <c r="F1" s="46"/>
      <c r="G1" s="46"/>
      <c r="H1" s="46"/>
      <c r="I1" s="46"/>
      <c r="J1" s="46"/>
      <c r="K1" s="46"/>
      <c r="L1" s="46"/>
      <c r="M1" s="19"/>
      <c r="N1" s="199" t="s">
        <v>248</v>
      </c>
      <c r="O1" s="21"/>
      <c r="P1" s="101"/>
      <c r="Q1" s="21"/>
      <c r="R1" s="21"/>
      <c r="S1" s="19"/>
      <c r="T1" s="200" t="s">
        <v>453</v>
      </c>
      <c r="U1" s="22"/>
      <c r="V1" s="22"/>
      <c r="W1" s="22"/>
      <c r="X1" s="22"/>
      <c r="Y1" s="22"/>
      <c r="Z1" s="22"/>
      <c r="AB1" s="208" t="s">
        <v>167</v>
      </c>
      <c r="AC1" s="50" t="s">
        <v>288</v>
      </c>
      <c r="AD1" s="50"/>
      <c r="AE1" s="50"/>
      <c r="AF1" s="50"/>
      <c r="AG1" s="50"/>
      <c r="AH1" s="50"/>
      <c r="AI1" s="50"/>
      <c r="AJ1" s="50"/>
      <c r="AK1" s="50"/>
      <c r="AL1" s="50"/>
      <c r="AM1" s="50"/>
      <c r="AN1" s="50"/>
      <c r="BF1" t="s">
        <v>101</v>
      </c>
      <c r="BG1" s="3">
        <f>+A1</f>
        <v>45352</v>
      </c>
      <c r="BH1" s="3">
        <f>+VLOOKUP(BH2,datos!$D:$E,2,FALSE)</f>
        <v>45323</v>
      </c>
      <c r="BI1" s="3">
        <f>+VLOOKUP(BI2,datos!$D:$E,2,FALSE)</f>
        <v>44986</v>
      </c>
      <c r="BL1" s="3">
        <f>+A1</f>
        <v>45352</v>
      </c>
      <c r="BM1" s="3">
        <f>+VLOOKUP(BM2,datos!$D:$E,2,FALSE)</f>
        <v>45323</v>
      </c>
      <c r="BN1" s="3">
        <f>+VLOOKUP(BN2,datos!$D:$E,2,FALSE)</f>
        <v>44986</v>
      </c>
      <c r="BQ1" s="3">
        <f>+A1</f>
        <v>45352</v>
      </c>
      <c r="BR1" s="3">
        <f>+VLOOKUP(BR2,datos!$D:$E,2,FALSE)</f>
        <v>44986</v>
      </c>
      <c r="BU1" s="3">
        <f>+A1</f>
        <v>45352</v>
      </c>
      <c r="BV1" s="3">
        <f>+VLOOKUP(BV2,datos!$D:$E,2,FALSE)</f>
        <v>44986</v>
      </c>
      <c r="BY1" t="s">
        <v>279</v>
      </c>
      <c r="BZ1" t="s">
        <v>280</v>
      </c>
      <c r="CC1" t="s">
        <v>279</v>
      </c>
      <c r="CD1" t="s">
        <v>280</v>
      </c>
      <c r="CG1" t="s">
        <v>282</v>
      </c>
      <c r="CH1" t="s">
        <v>283</v>
      </c>
      <c r="CI1" s="3">
        <f>+A1</f>
        <v>45352</v>
      </c>
      <c r="CJ1" s="3">
        <f>+VLOOKUP(CJ2,datos!$D:$E,2,FALSE)</f>
        <v>45352</v>
      </c>
      <c r="CK1" s="3">
        <f>+VLOOKUP(CK2,datos!$D:$E,2,FALSE)</f>
        <v>45323</v>
      </c>
      <c r="CL1" s="3">
        <f>+VLOOKUP(CL2,datos!$D:$E,2,FALSE)</f>
        <v>45292</v>
      </c>
      <c r="CM1" s="3">
        <f>+VLOOKUP(CM2,datos!$D:$E,2,FALSE)</f>
        <v>45261</v>
      </c>
      <c r="CN1" s="3">
        <f>+VLOOKUP(CN2,datos!$D:$E,2,FALSE)</f>
        <v>45231</v>
      </c>
      <c r="CO1" s="3">
        <f>+VLOOKUP(CO2,datos!$D:$E,2,FALSE)</f>
        <v>45200</v>
      </c>
      <c r="CP1" s="3">
        <f>+VLOOKUP(CP2,datos!$D:$E,2,FALSE)</f>
        <v>45170</v>
      </c>
      <c r="CQ1" s="3">
        <f>+VLOOKUP(CQ2,datos!$D:$E,2,FALSE)</f>
        <v>45139</v>
      </c>
      <c r="CR1" s="3">
        <f>+VLOOKUP(CR2,datos!$D:$E,2,FALSE)</f>
        <v>45108</v>
      </c>
      <c r="CS1" s="3">
        <f>+VLOOKUP(CS2,datos!$D:$E,2,FALSE)</f>
        <v>45078</v>
      </c>
      <c r="CT1" s="3">
        <f>+VLOOKUP(CT2,datos!$D:$E,2,FALSE)</f>
        <v>45047</v>
      </c>
      <c r="CU1" s="3">
        <f>+VLOOKUP(CU2,datos!$D:$E,2,FALSE)</f>
        <v>45017</v>
      </c>
      <c r="CV1" s="3">
        <f>+VLOOKUP(CV2,datos!$D:$E,2,FALSE)</f>
        <v>44986</v>
      </c>
      <c r="CW1" s="3">
        <f>+VLOOKUP(CW2,datos!$D:$E,2,FALSE)</f>
        <v>44958</v>
      </c>
      <c r="CX1" s="3">
        <f>+VLOOKUP(CX2,datos!$D:$E,2,FALSE)</f>
        <v>44927</v>
      </c>
      <c r="CY1" s="3">
        <f>+VLOOKUP(CY2,datos!$D:$E,2,FALSE)</f>
        <v>44896</v>
      </c>
      <c r="CZ1" s="3">
        <f>+VLOOKUP(CZ2,datos!$D:$E,2,FALSE)</f>
        <v>44866</v>
      </c>
      <c r="DA1" s="3">
        <f>+VLOOKUP(DA2,datos!$D:$E,2,FALSE)</f>
        <v>44835</v>
      </c>
      <c r="DB1" s="3">
        <f>+VLOOKUP(DB2,datos!$D:$E,2,FALSE)</f>
        <v>44805</v>
      </c>
      <c r="DC1" s="3">
        <f>+VLOOKUP(DC2,datos!$D:$E,2,FALSE)</f>
        <v>44774</v>
      </c>
      <c r="DD1" s="3">
        <f>+VLOOKUP(DD2,datos!$D:$E,2,FALSE)</f>
        <v>44743</v>
      </c>
      <c r="DE1" s="3">
        <f>+VLOOKUP(DE2,datos!$D:$E,2,FALSE)</f>
        <v>44713</v>
      </c>
      <c r="DF1" s="3">
        <f>+VLOOKUP(DF2,datos!$D:$E,2,FALSE)</f>
        <v>44682</v>
      </c>
      <c r="DG1" s="3">
        <f>+VLOOKUP(DG2,datos!$D:$E,2,FALSE)</f>
        <v>44652</v>
      </c>
      <c r="DI1" s="3">
        <f>+CJ1</f>
        <v>45352</v>
      </c>
      <c r="DJ1" s="3">
        <f>+VLOOKUP(DJ2,datos!$D:$E,2,FALSE)</f>
        <v>45323</v>
      </c>
      <c r="DK1" s="3">
        <f>+VLOOKUP(DK2,datos!$D:$E,2,FALSE)</f>
        <v>45292</v>
      </c>
      <c r="DL1" s="3">
        <f>+VLOOKUP(DL2,datos!$D:$E,2,FALSE)</f>
        <v>45261</v>
      </c>
      <c r="DM1" s="3">
        <f>+VLOOKUP(DM2,datos!$D:$E,2,FALSE)</f>
        <v>45231</v>
      </c>
      <c r="DN1" s="3">
        <f>+VLOOKUP(DN2,datos!$D:$E,2,FALSE)</f>
        <v>45200</v>
      </c>
      <c r="DO1" s="3">
        <f>+VLOOKUP(DO2,datos!$D:$E,2,FALSE)</f>
        <v>45170</v>
      </c>
      <c r="DP1" s="3">
        <f>+VLOOKUP(DP2,datos!$D:$E,2,FALSE)</f>
        <v>45139</v>
      </c>
      <c r="DQ1" s="3">
        <f>+VLOOKUP(DQ2,datos!$D:$E,2,FALSE)</f>
        <v>45108</v>
      </c>
      <c r="DR1" s="3">
        <f>+VLOOKUP(DR2,datos!$D:$E,2,FALSE)</f>
        <v>45078</v>
      </c>
      <c r="DS1" s="3">
        <f>+VLOOKUP(DS2,datos!$D:$E,2,FALSE)</f>
        <v>45047</v>
      </c>
      <c r="DT1" s="3">
        <f>+VLOOKUP(DT2,datos!$D:$E,2,FALSE)</f>
        <v>45017</v>
      </c>
      <c r="DU1" s="3">
        <f>+VLOOKUP(DU2,datos!$D:$E,2,FALSE)</f>
        <v>44986</v>
      </c>
      <c r="DV1" s="3">
        <f>+VLOOKUP(DV2,datos!$D:$E,2,FALSE)</f>
        <v>44958</v>
      </c>
      <c r="DW1" s="3">
        <f>+VLOOKUP(DW2,datos!$D:$E,2,FALSE)</f>
        <v>44927</v>
      </c>
      <c r="DX1" s="3">
        <f>+VLOOKUP(DX2,datos!$D:$E,2,FALSE)</f>
        <v>44896</v>
      </c>
      <c r="DY1" s="3">
        <f>+VLOOKUP(DY2,datos!$D:$E,2,FALSE)</f>
        <v>44866</v>
      </c>
      <c r="DZ1" s="3">
        <f>+VLOOKUP(DZ2,datos!$D:$E,2,FALSE)</f>
        <v>44835</v>
      </c>
      <c r="EA1" s="3">
        <f>+VLOOKUP(EA2,datos!$D:$E,2,FALSE)</f>
        <v>44805</v>
      </c>
      <c r="EB1" s="3">
        <f>+VLOOKUP(EB2,datos!$D:$E,2,FALSE)</f>
        <v>44774</v>
      </c>
      <c r="EC1" s="3">
        <f>+VLOOKUP(EC2,datos!$D:$E,2,FALSE)</f>
        <v>44743</v>
      </c>
      <c r="ED1" s="3">
        <f>+VLOOKUP(ED2,datos!$D:$E,2,FALSE)</f>
        <v>44713</v>
      </c>
      <c r="EE1" s="3">
        <f>+VLOOKUP(EE2,datos!$D:$E,2,FALSE)</f>
        <v>44682</v>
      </c>
      <c r="EF1" s="3">
        <f>+VLOOKUP(EF2,datos!$D:$E,2,FALSE)</f>
        <v>44652</v>
      </c>
      <c r="EH1" s="14">
        <f>+CJ1</f>
        <v>45352</v>
      </c>
      <c r="EI1" s="14">
        <f t="shared" ref="EI1:FE1" si="0">+CK1</f>
        <v>45323</v>
      </c>
      <c r="EJ1" s="3">
        <f t="shared" si="0"/>
        <v>45292</v>
      </c>
      <c r="EK1" s="3">
        <f t="shared" si="0"/>
        <v>45261</v>
      </c>
      <c r="EL1" s="3">
        <f t="shared" si="0"/>
        <v>45231</v>
      </c>
      <c r="EM1" s="3">
        <f t="shared" si="0"/>
        <v>45200</v>
      </c>
      <c r="EN1" s="3">
        <f t="shared" si="0"/>
        <v>45170</v>
      </c>
      <c r="EO1" s="3">
        <f t="shared" si="0"/>
        <v>45139</v>
      </c>
      <c r="EP1" s="3">
        <f t="shared" si="0"/>
        <v>45108</v>
      </c>
      <c r="EQ1" s="3">
        <f t="shared" si="0"/>
        <v>45078</v>
      </c>
      <c r="ER1" s="3">
        <f t="shared" si="0"/>
        <v>45047</v>
      </c>
      <c r="ES1" s="3">
        <f t="shared" si="0"/>
        <v>45017</v>
      </c>
      <c r="ET1" s="3">
        <f t="shared" si="0"/>
        <v>44986</v>
      </c>
      <c r="EU1" s="3">
        <f t="shared" si="0"/>
        <v>44958</v>
      </c>
      <c r="EV1" s="3">
        <f t="shared" si="0"/>
        <v>44927</v>
      </c>
      <c r="EW1" s="3">
        <f t="shared" si="0"/>
        <v>44896</v>
      </c>
      <c r="EX1" s="3">
        <f t="shared" si="0"/>
        <v>44866</v>
      </c>
      <c r="EY1" s="3">
        <f t="shared" si="0"/>
        <v>44835</v>
      </c>
      <c r="EZ1" s="3">
        <f t="shared" si="0"/>
        <v>44805</v>
      </c>
      <c r="FA1" s="3">
        <f t="shared" si="0"/>
        <v>44774</v>
      </c>
      <c r="FB1" s="3">
        <f t="shared" si="0"/>
        <v>44743</v>
      </c>
      <c r="FC1" s="3">
        <f t="shared" si="0"/>
        <v>44713</v>
      </c>
      <c r="FD1" s="3">
        <f t="shared" si="0"/>
        <v>44682</v>
      </c>
      <c r="FE1" s="3">
        <f t="shared" si="0"/>
        <v>44652</v>
      </c>
    </row>
    <row r="2" spans="1:163" ht="18.75" customHeight="1">
      <c r="E2" s="51" t="s">
        <v>278</v>
      </c>
      <c r="F2" s="52"/>
      <c r="G2" s="9"/>
      <c r="H2" s="52"/>
      <c r="I2" s="51" t="s">
        <v>165</v>
      </c>
      <c r="J2" s="52"/>
      <c r="K2" s="9"/>
      <c r="L2" s="52"/>
      <c r="M2" s="9"/>
      <c r="N2" s="102"/>
      <c r="O2" s="9" t="s">
        <v>277</v>
      </c>
      <c r="P2" s="102"/>
      <c r="Q2" s="9"/>
      <c r="R2" s="9"/>
      <c r="S2" s="9"/>
      <c r="T2" s="102"/>
      <c r="U2" s="9" t="s">
        <v>336</v>
      </c>
      <c r="V2" s="9"/>
      <c r="W2" s="9"/>
      <c r="X2" s="9"/>
      <c r="Y2" s="51" t="s">
        <v>165</v>
      </c>
      <c r="Z2" s="9"/>
      <c r="AB2" s="209"/>
      <c r="AC2" s="59"/>
      <c r="AD2" s="59"/>
      <c r="AE2" s="59"/>
      <c r="AF2" s="59"/>
      <c r="AG2" s="59"/>
      <c r="AH2" s="59"/>
      <c r="AI2" s="59"/>
      <c r="AJ2" s="59"/>
      <c r="AK2" s="59"/>
      <c r="AL2" s="59"/>
      <c r="AM2" s="59"/>
      <c r="AN2" s="59"/>
      <c r="AO2" s="80"/>
      <c r="AP2" s="174">
        <f>VLOOKUP(VLOOKUP(+$A$1,ran_ma,2,FALSE)-11,ran_idma,2,FALSE)</f>
        <v>45017</v>
      </c>
      <c r="AQ2" s="174">
        <f>VLOOKUP(VLOOKUP(+$A$1,ran_ma,2,FALSE)-10,ran_idma,2,FALSE)</f>
        <v>45047</v>
      </c>
      <c r="AR2" s="174">
        <f>VLOOKUP(VLOOKUP(+$A$1,ran_ma,2,FALSE)-9,ran_idma,2,FALSE)</f>
        <v>45078</v>
      </c>
      <c r="AS2" s="174">
        <f>VLOOKUP(VLOOKUP(+$A$1,ran_ma,2,FALSE)-8,ran_idma,2,FALSE)</f>
        <v>45108</v>
      </c>
      <c r="AT2" s="59">
        <f>VLOOKUP(VLOOKUP(+$A$1,ran_ma,2,FALSE)-7,ran_idma,2,FALSE)</f>
        <v>45139</v>
      </c>
      <c r="AU2" s="59">
        <f>VLOOKUP(VLOOKUP(+$A$1,ran_ma,2,FALSE)-6,ran_idma,2,FALSE)</f>
        <v>45170</v>
      </c>
      <c r="AV2" s="59">
        <f>VLOOKUP(VLOOKUP(+$A$1,ran_ma,2,FALSE)-5,ran_idma,2,FALSE)</f>
        <v>45200</v>
      </c>
      <c r="AW2" s="59">
        <f>VLOOKUP(VLOOKUP(+$A$1,ran_ma,2,FALSE)-4,ran_idma,2,FALSE)</f>
        <v>45231</v>
      </c>
      <c r="AX2" s="59">
        <f>VLOOKUP(VLOOKUP(+$A$1,ran_ma,2,FALSE)-3,ran_idma,2,FALSE)</f>
        <v>45261</v>
      </c>
      <c r="AY2" s="59">
        <f>VLOOKUP(VLOOKUP(+$A$1,ran_ma,2,FALSE)-2,ran_idma,2,FALSE)</f>
        <v>45292</v>
      </c>
      <c r="AZ2" s="59">
        <f>VLOOKUP(VLOOKUP(+$A$1,ran_ma,2,FALSE)-1,ran_idma,2,FALSE)</f>
        <v>45323</v>
      </c>
      <c r="BA2" s="59">
        <f>+$A$1</f>
        <v>45352</v>
      </c>
      <c r="BB2" s="5"/>
      <c r="BC2" s="170"/>
      <c r="BE2" s="9" t="s">
        <v>272</v>
      </c>
      <c r="BG2">
        <f>+VLOOKUP(BG1,ran_dat,datos!$D$1,FALSE)</f>
        <v>108</v>
      </c>
      <c r="BH2">
        <f>+BG2-1</f>
        <v>107</v>
      </c>
      <c r="BI2">
        <f>+BG2-12</f>
        <v>96</v>
      </c>
      <c r="BK2" s="9"/>
      <c r="BL2">
        <f>+VLOOKUP(BL1,ran_dat,datos!$D$1,FALSE)</f>
        <v>108</v>
      </c>
      <c r="BM2">
        <f>+BL2-1</f>
        <v>107</v>
      </c>
      <c r="BN2">
        <f>+BL2-12</f>
        <v>96</v>
      </c>
      <c r="BP2" s="9"/>
      <c r="BQ2">
        <f>+VLOOKUP(BQ1,ran_dat,datos!$D$1,FALSE)</f>
        <v>108</v>
      </c>
      <c r="BR2">
        <f>+BQ2-12</f>
        <v>96</v>
      </c>
      <c r="BT2" s="9"/>
      <c r="BU2">
        <f>+VLOOKUP(BU1,ran_dat,datos!$D$1,FALSE)</f>
        <v>108</v>
      </c>
      <c r="BV2">
        <f>+BU2-12</f>
        <v>96</v>
      </c>
      <c r="BX2" s="9"/>
      <c r="CB2" s="9"/>
      <c r="CI2">
        <f>+VLOOKUP(CI1,ran_dat,datos!$D$1,FALSE)</f>
        <v>108</v>
      </c>
      <c r="CJ2">
        <f>+CI2</f>
        <v>108</v>
      </c>
      <c r="CK2">
        <f t="shared" ref="CK2:DG2" si="1">+CJ2-1</f>
        <v>107</v>
      </c>
      <c r="CL2">
        <f t="shared" si="1"/>
        <v>106</v>
      </c>
      <c r="CM2">
        <f t="shared" si="1"/>
        <v>105</v>
      </c>
      <c r="CN2">
        <f t="shared" si="1"/>
        <v>104</v>
      </c>
      <c r="CO2">
        <f t="shared" si="1"/>
        <v>103</v>
      </c>
      <c r="CP2">
        <f t="shared" si="1"/>
        <v>102</v>
      </c>
      <c r="CQ2">
        <f t="shared" si="1"/>
        <v>101</v>
      </c>
      <c r="CR2">
        <f t="shared" si="1"/>
        <v>100</v>
      </c>
      <c r="CS2">
        <f t="shared" si="1"/>
        <v>99</v>
      </c>
      <c r="CT2">
        <f t="shared" si="1"/>
        <v>98</v>
      </c>
      <c r="CU2">
        <f t="shared" si="1"/>
        <v>97</v>
      </c>
      <c r="CV2">
        <f t="shared" si="1"/>
        <v>96</v>
      </c>
      <c r="CW2">
        <f t="shared" si="1"/>
        <v>95</v>
      </c>
      <c r="CX2">
        <f t="shared" si="1"/>
        <v>94</v>
      </c>
      <c r="CY2">
        <f t="shared" si="1"/>
        <v>93</v>
      </c>
      <c r="CZ2">
        <f t="shared" si="1"/>
        <v>92</v>
      </c>
      <c r="DA2">
        <f t="shared" si="1"/>
        <v>91</v>
      </c>
      <c r="DB2">
        <f t="shared" si="1"/>
        <v>90</v>
      </c>
      <c r="DC2">
        <f t="shared" si="1"/>
        <v>89</v>
      </c>
      <c r="DD2">
        <f t="shared" si="1"/>
        <v>88</v>
      </c>
      <c r="DE2">
        <f t="shared" si="1"/>
        <v>87</v>
      </c>
      <c r="DF2">
        <f t="shared" si="1"/>
        <v>86</v>
      </c>
      <c r="DG2">
        <f t="shared" si="1"/>
        <v>85</v>
      </c>
      <c r="DI2">
        <f>+VLOOKUP(DI1,ran_dat,datos!$D$1,FALSE)</f>
        <v>108</v>
      </c>
      <c r="DJ2">
        <f t="shared" ref="DJ2:EF2" si="2">+DI2-1</f>
        <v>107</v>
      </c>
      <c r="DK2">
        <f t="shared" si="2"/>
        <v>106</v>
      </c>
      <c r="DL2">
        <f t="shared" si="2"/>
        <v>105</v>
      </c>
      <c r="DM2">
        <f t="shared" si="2"/>
        <v>104</v>
      </c>
      <c r="DN2">
        <f t="shared" si="2"/>
        <v>103</v>
      </c>
      <c r="DO2">
        <f t="shared" si="2"/>
        <v>102</v>
      </c>
      <c r="DP2">
        <f t="shared" si="2"/>
        <v>101</v>
      </c>
      <c r="DQ2">
        <f t="shared" si="2"/>
        <v>100</v>
      </c>
      <c r="DR2">
        <f t="shared" si="2"/>
        <v>99</v>
      </c>
      <c r="DS2">
        <f t="shared" si="2"/>
        <v>98</v>
      </c>
      <c r="DT2">
        <f t="shared" si="2"/>
        <v>97</v>
      </c>
      <c r="DU2">
        <f t="shared" si="2"/>
        <v>96</v>
      </c>
      <c r="DV2">
        <f t="shared" si="2"/>
        <v>95</v>
      </c>
      <c r="DW2">
        <f t="shared" si="2"/>
        <v>94</v>
      </c>
      <c r="DX2">
        <f t="shared" si="2"/>
        <v>93</v>
      </c>
      <c r="DY2">
        <f t="shared" si="2"/>
        <v>92</v>
      </c>
      <c r="DZ2">
        <f t="shared" si="2"/>
        <v>91</v>
      </c>
      <c r="EA2">
        <f t="shared" si="2"/>
        <v>90</v>
      </c>
      <c r="EB2">
        <f t="shared" si="2"/>
        <v>89</v>
      </c>
      <c r="EC2">
        <f t="shared" si="2"/>
        <v>88</v>
      </c>
      <c r="ED2">
        <f t="shared" si="2"/>
        <v>87</v>
      </c>
      <c r="EE2">
        <f t="shared" si="2"/>
        <v>86</v>
      </c>
      <c r="EF2">
        <f t="shared" si="2"/>
        <v>85</v>
      </c>
      <c r="EH2" s="14">
        <f>+VLOOKUP(EH1,ran_dat,datos!$D$1,FALSE)</f>
        <v>108</v>
      </c>
      <c r="EI2" s="14">
        <f t="shared" ref="EI2:FE2" si="3">+EH2-1</f>
        <v>107</v>
      </c>
      <c r="EJ2">
        <f t="shared" si="3"/>
        <v>106</v>
      </c>
      <c r="EK2">
        <f t="shared" si="3"/>
        <v>105</v>
      </c>
      <c r="EL2">
        <f t="shared" si="3"/>
        <v>104</v>
      </c>
      <c r="EM2">
        <f t="shared" si="3"/>
        <v>103</v>
      </c>
      <c r="EN2">
        <f t="shared" si="3"/>
        <v>102</v>
      </c>
      <c r="EO2">
        <f t="shared" si="3"/>
        <v>101</v>
      </c>
      <c r="EP2">
        <f t="shared" si="3"/>
        <v>100</v>
      </c>
      <c r="EQ2">
        <f t="shared" si="3"/>
        <v>99</v>
      </c>
      <c r="ER2">
        <f t="shared" si="3"/>
        <v>98</v>
      </c>
      <c r="ES2">
        <f t="shared" si="3"/>
        <v>97</v>
      </c>
      <c r="ET2">
        <f t="shared" si="3"/>
        <v>96</v>
      </c>
      <c r="EU2">
        <f t="shared" si="3"/>
        <v>95</v>
      </c>
      <c r="EV2">
        <f t="shared" si="3"/>
        <v>94</v>
      </c>
      <c r="EW2">
        <f t="shared" si="3"/>
        <v>93</v>
      </c>
      <c r="EX2">
        <f t="shared" si="3"/>
        <v>92</v>
      </c>
      <c r="EY2">
        <f t="shared" si="3"/>
        <v>91</v>
      </c>
      <c r="EZ2">
        <f t="shared" si="3"/>
        <v>90</v>
      </c>
      <c r="FA2">
        <f t="shared" si="3"/>
        <v>89</v>
      </c>
      <c r="FB2">
        <f t="shared" si="3"/>
        <v>88</v>
      </c>
      <c r="FC2">
        <f t="shared" si="3"/>
        <v>87</v>
      </c>
      <c r="FD2">
        <f t="shared" si="3"/>
        <v>86</v>
      </c>
      <c r="FE2">
        <f t="shared" si="3"/>
        <v>85</v>
      </c>
    </row>
    <row r="3" spans="1:163" ht="18.75" customHeight="1">
      <c r="A3" s="220"/>
      <c r="C3" s="155"/>
      <c r="D3" s="196">
        <v>0.33</v>
      </c>
      <c r="E3" s="100">
        <f>IFERROR(+BG5/BH5-1,"")</f>
        <v>0.1100964006272882</v>
      </c>
      <c r="F3" s="56"/>
      <c r="G3" s="56"/>
      <c r="H3" s="56"/>
      <c r="I3" s="60">
        <f>IFERROR(+BG5/BI5-1,"")</f>
        <v>2.8785766000579205</v>
      </c>
      <c r="J3" s="56"/>
      <c r="K3" s="56"/>
      <c r="L3" s="56"/>
      <c r="M3" s="32"/>
      <c r="N3" s="196">
        <v>0.33</v>
      </c>
      <c r="O3" s="31"/>
      <c r="S3" s="32"/>
      <c r="T3" s="196">
        <v>0.33</v>
      </c>
      <c r="U3" s="150" t="str">
        <f>TEXT(CU1,"MMM-YY")&amp;"."&amp;TEXT(CJ1,"MMM-YY")&amp;" vs "&amp;TEXT(DG1,"MMM-YY")&amp;"."&amp;TEXT(CV1,"MMM-YY")</f>
        <v>abr-23.mar-24 vs abr-22.mar-23</v>
      </c>
      <c r="Y3" s="59" t="str">
        <f>TEXT(CJ1,"MMM-YY")&amp;" vs "&amp;TEXT(CV1,"MMM-YY")</f>
        <v>mar-24 vs mar-23</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8.75" customHeight="1">
      <c r="A4" s="221" t="s">
        <v>1</v>
      </c>
      <c r="B4" s="245"/>
      <c r="C4" s="201"/>
      <c r="D4" s="197" t="s">
        <v>244</v>
      </c>
      <c r="E4" s="202" t="s">
        <v>3</v>
      </c>
      <c r="F4" s="203"/>
      <c r="G4" s="202" t="s">
        <v>5</v>
      </c>
      <c r="H4" s="203"/>
      <c r="I4" s="202" t="s">
        <v>3</v>
      </c>
      <c r="J4" s="203"/>
      <c r="K4" s="202" t="s">
        <v>5</v>
      </c>
      <c r="L4" s="203"/>
      <c r="M4" s="19"/>
      <c r="N4" s="197" t="s">
        <v>245</v>
      </c>
      <c r="O4" s="204" t="s">
        <v>225</v>
      </c>
      <c r="P4" s="205"/>
      <c r="Q4" s="204" t="s">
        <v>2</v>
      </c>
      <c r="R4" s="54"/>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18.75" customHeight="1">
      <c r="E5" s="18"/>
      <c r="N5" s="197"/>
      <c r="O5" s="34"/>
      <c r="P5" s="103"/>
      <c r="Q5" s="34"/>
      <c r="R5" s="34"/>
      <c r="T5" s="197"/>
      <c r="U5" s="25"/>
      <c r="V5" s="34"/>
      <c r="W5" s="34"/>
      <c r="X5" s="34"/>
      <c r="Y5" s="34"/>
      <c r="Z5" s="34"/>
      <c r="AB5" s="211"/>
      <c r="BD5">
        <f>+A3</f>
        <v>0</v>
      </c>
      <c r="BE5">
        <f>+datos!G1</f>
        <v>7</v>
      </c>
      <c r="BF5" s="2" t="str">
        <f t="shared" ref="BF5:BI24" si="4">+VLOOKUP(BF$1,ran_dat,$BE5,FALSE)</f>
        <v>Índice</v>
      </c>
      <c r="BG5" s="2">
        <f t="shared" si="4"/>
        <v>5357.09</v>
      </c>
      <c r="BH5" s="2">
        <f t="shared" si="4"/>
        <v>4825.7880999999998</v>
      </c>
      <c r="BI5" s="2">
        <f t="shared" si="4"/>
        <v>1381.2</v>
      </c>
    </row>
    <row r="6" spans="1:163" ht="18.75" customHeight="1">
      <c r="A6" s="243" t="s">
        <v>28</v>
      </c>
      <c r="B6" s="246"/>
      <c r="C6" s="156">
        <f t="shared" ref="C6:C24" si="5">+D6*$D$3+N6*$N$3+T6*$T$3</f>
        <v>-0.66</v>
      </c>
      <c r="D6" s="198">
        <v>-1</v>
      </c>
      <c r="E6" s="248">
        <f t="shared" ref="E6:E24" si="6">IFERROR(+BG6/BH6-1,"")</f>
        <v>1.3749012394809634E-2</v>
      </c>
      <c r="F6" s="249">
        <f t="shared" ref="F6:F24" si="7">+E6-$E$3</f>
        <v>-9.634738823247857E-2</v>
      </c>
      <c r="G6" s="248">
        <f t="shared" ref="G6:G24" si="8">IFERROR(+BL6/BM6-1,"")</f>
        <v>2.842061170304544E-2</v>
      </c>
      <c r="H6" s="249">
        <f t="shared" ref="H6:H24" si="9">E6-G6</f>
        <v>-1.4671599308235805E-2</v>
      </c>
      <c r="I6" s="248">
        <f t="shared" ref="I6:I24" si="10">IFERROR(+BG6/BI6-1,"")</f>
        <v>1.3838657796440272</v>
      </c>
      <c r="J6" s="249">
        <f t="shared" ref="J6:J26" si="11">+I6-$I$3</f>
        <v>-1.4947108204138932</v>
      </c>
      <c r="K6" s="248">
        <f>IFERROR(+BL6/BN6-1,"")</f>
        <v>2.0665609440585428</v>
      </c>
      <c r="L6" s="249">
        <f t="shared" ref="L6:L24" si="12">I6-K6</f>
        <v>-0.68269516441451561</v>
      </c>
      <c r="M6" s="250"/>
      <c r="N6" s="24">
        <v>0</v>
      </c>
      <c r="O6" s="248">
        <f>IFERROR(+BQ6/BR6-1,"")</f>
        <v>0.1206896551724137</v>
      </c>
      <c r="P6" s="251">
        <f>+O6</f>
        <v>0.1206896551724137</v>
      </c>
      <c r="Q6" s="248">
        <f t="shared" ref="Q6:Q24" si="13">IFERROR(+BU6/BV6-1,"")</f>
        <v>-0.18181818181818177</v>
      </c>
      <c r="R6" s="251">
        <f>+Q6</f>
        <v>-0.18181818181818177</v>
      </c>
      <c r="S6" s="250"/>
      <c r="T6" s="24">
        <v>-1</v>
      </c>
      <c r="U6" s="248">
        <f t="shared" ref="U6:U24" si="14">IFERROR(+BY6/BZ6-1,"")</f>
        <v>-0.30694757656413374</v>
      </c>
      <c r="V6" s="252">
        <f t="shared" ref="V6:V24" si="15">+U6</f>
        <v>-0.30694757656413374</v>
      </c>
      <c r="W6" s="248">
        <f>IFERROR(IF(CC6&lt;0.5,"",+CC6/CD6-1),"")</f>
        <v>-0.2927888517594861</v>
      </c>
      <c r="X6" s="252">
        <f t="shared" ref="X6:X24" si="16">+W6</f>
        <v>-0.2927888517594861</v>
      </c>
      <c r="Y6" s="248" t="str">
        <f t="shared" ref="Y6:Y25" si="17">IFERROR(+CG6/CH6-1,"")</f>
        <v/>
      </c>
      <c r="Z6" s="252" t="str">
        <f t="shared" ref="Z6:Z23" si="18">+Y6</f>
        <v/>
      </c>
      <c r="AA6" s="30"/>
      <c r="AB6" s="242" t="s">
        <v>495</v>
      </c>
      <c r="AC6" s="61" t="s">
        <v>289</v>
      </c>
      <c r="AD6" s="61" t="s">
        <v>289</v>
      </c>
      <c r="AE6" s="61" t="s">
        <v>289</v>
      </c>
      <c r="AF6" s="61" t="s">
        <v>289</v>
      </c>
      <c r="AG6" s="61" t="s">
        <v>289</v>
      </c>
      <c r="AH6" s="61" t="s">
        <v>289</v>
      </c>
      <c r="AI6" s="61" t="s">
        <v>289</v>
      </c>
      <c r="AJ6" s="61" t="s">
        <v>289</v>
      </c>
      <c r="AK6" s="61" t="s">
        <v>289</v>
      </c>
      <c r="AL6" s="61" t="s">
        <v>289</v>
      </c>
      <c r="AM6" s="61" t="s">
        <v>289</v>
      </c>
      <c r="AN6" s="61" t="s">
        <v>289</v>
      </c>
      <c r="AP6" s="28">
        <f>VLOOKUP($A6,historia!$A$5:$CM$24,+HLOOKUP(AP$2,historia!$A$3:$EC$4,2,FALSE),FALSE)</f>
        <v>4</v>
      </c>
      <c r="AQ6" s="28">
        <f>VLOOKUP($A6,historia!$A$5:$CM$24,+HLOOKUP(AQ$2,historia!$A$3:$EC$4,2,FALSE),FALSE)</f>
        <v>5</v>
      </c>
      <c r="AR6" s="28">
        <f>VLOOKUP($A6,historia!$A$5:$CM$24,+HLOOKUP(AR$2,historia!$A$3:$EC$4,2,FALSE),FALSE)</f>
        <v>5</v>
      </c>
      <c r="AS6" s="28">
        <f>VLOOKUP($A6,historia!$A$5:$CM$24,+HLOOKUP(AS$2,historia!$A$3:$EC$4,2,FALSE),FALSE)</f>
        <v>5</v>
      </c>
      <c r="AT6" s="58">
        <f>VLOOKUP($A6,historia!$A$5:$CM$24,+HLOOKUP(AT$2,historia!$A$3:$EC$4,2,FALSE),FALSE)</f>
        <v>5</v>
      </c>
      <c r="AU6" s="58">
        <f>VLOOKUP($A6,historia!$A$5:$CM$24,+HLOOKUP(AU$2,historia!$A$3:$EC$4,2,FALSE),FALSE)</f>
        <v>5</v>
      </c>
      <c r="AV6" s="58">
        <f>VLOOKUP($A6,historia!$A$5:$CM$24,+HLOOKUP(AV$2,historia!$A$3:$EC$4,2,FALSE),FALSE)</f>
        <v>5</v>
      </c>
      <c r="AW6" s="58">
        <f>VLOOKUP($A6,historia!$A$5:$CM$24,+HLOOKUP(AW$2,historia!$A$3:$EC$4,2,FALSE),FALSE)</f>
        <v>5</v>
      </c>
      <c r="AX6" s="58">
        <f>VLOOKUP($A6,historia!$A$5:$CM$24,+HLOOKUP(AX$2,historia!$A$3:$EC$4,2,FALSE),FALSE)</f>
        <v>4</v>
      </c>
      <c r="AY6" s="58">
        <f>VLOOKUP($A6,historia!$A$5:$CM$24,+HLOOKUP(AY$2,historia!$A$3:$EC$4,2,FALSE),FALSE)</f>
        <v>4</v>
      </c>
      <c r="AZ6" s="58">
        <f>VLOOKUP($A6,historia!$A$5:$CM$24,+HLOOKUP(AZ$2,historia!$A$3:$EC$4,2,FALSE),FALSE)</f>
        <v>4</v>
      </c>
      <c r="BA6" s="58">
        <f>VLOOKUP($A6,historia!$A$5:$CM$24,+HLOOKUP(BA$2,historia!$A$3:$EC$4,2,FALSE),FALSE)</f>
        <v>4</v>
      </c>
      <c r="BB6" s="30"/>
      <c r="BC6" s="141">
        <v>4</v>
      </c>
      <c r="BD6" t="str">
        <f t="shared" ref="BD6:BD24" si="19">+A6</f>
        <v>Algodón</v>
      </c>
      <c r="BE6">
        <f>+datos!P1</f>
        <v>16</v>
      </c>
      <c r="BF6" s="2" t="str">
        <f t="shared" si="4"/>
        <v>$/kg</v>
      </c>
      <c r="BG6" s="2">
        <f t="shared" si="4"/>
        <v>1135.2859812500001</v>
      </c>
      <c r="BH6" s="2">
        <f t="shared" si="4"/>
        <v>1119.88861875</v>
      </c>
      <c r="BI6" s="2">
        <f t="shared" si="4"/>
        <v>476.23737500000004</v>
      </c>
      <c r="BK6">
        <f>+datos!BY1</f>
        <v>77</v>
      </c>
      <c r="BL6" s="2">
        <f t="shared" ref="BL6:BN24" si="20">+VLOOKUP(BL$1,ran_dat,$BK6,FALSE)</f>
        <v>7930.3545149535094</v>
      </c>
      <c r="BM6" s="2">
        <f t="shared" si="20"/>
        <v>7711.1975632431067</v>
      </c>
      <c r="BN6" s="2">
        <f t="shared" si="20"/>
        <v>2586.0743222203228</v>
      </c>
      <c r="BP6" s="1">
        <f>+datos!DK1</f>
        <v>115</v>
      </c>
      <c r="BQ6" s="1">
        <f t="shared" ref="BQ6:BR24" si="21">+VLOOKUP(BQ$1,ran_dat,$BP6,FALSE)</f>
        <v>650000</v>
      </c>
      <c r="BR6" s="1">
        <f t="shared" si="21"/>
        <v>580000</v>
      </c>
      <c r="BT6" s="1">
        <f>+datos!FF1</f>
        <v>162</v>
      </c>
      <c r="BU6" s="1">
        <f t="shared" ref="BU6:BV24" si="22">+VLOOKUP(BU$1,ran_dat,$BT6,FALSE)</f>
        <v>900000</v>
      </c>
      <c r="BV6" s="1">
        <f t="shared" si="22"/>
        <v>1100000</v>
      </c>
      <c r="BX6" s="1">
        <f>+datos!JF1</f>
        <v>266</v>
      </c>
      <c r="BY6" s="1">
        <f>+SUM(CJ6:CU6)</f>
        <v>115.11891853999998</v>
      </c>
      <c r="BZ6" s="1">
        <f>+SUM(CV6:DG6)</f>
        <v>166.10420027000001</v>
      </c>
      <c r="CB6" s="1">
        <f>+datos!KK1</f>
        <v>297</v>
      </c>
      <c r="CC6" s="2">
        <f t="shared" ref="CC6:CC24" si="23">+SUM(DI6:DT6)</f>
        <v>83.800662770000002</v>
      </c>
      <c r="CD6" s="2">
        <f t="shared" ref="CD6:CD24" si="24">+SUM(DU6:EF6)</f>
        <v>118.49454435000001</v>
      </c>
      <c r="CF6" s="1">
        <f>+datos!HS1</f>
        <v>227</v>
      </c>
      <c r="CG6" s="1">
        <f t="shared" ref="CG6:CG24" si="25">+EH6</f>
        <v>0</v>
      </c>
      <c r="CH6" s="1">
        <f t="shared" ref="CH6:CH24" si="26">+ET6</f>
        <v>0</v>
      </c>
      <c r="CJ6" s="1">
        <f t="shared" ref="CJ6:CY21" si="27">+VLOOKUP(CJ$1,ran_dat,$BX6,FALSE)</f>
        <v>18.510441480000001</v>
      </c>
      <c r="CK6" s="1">
        <f t="shared" si="27"/>
        <v>7.7064561400000011</v>
      </c>
      <c r="CL6" s="1">
        <f t="shared" si="27"/>
        <v>8.1062574399999985</v>
      </c>
      <c r="CM6" s="1">
        <f t="shared" si="27"/>
        <v>8.4463773399999997</v>
      </c>
      <c r="CN6" s="1">
        <f t="shared" si="27"/>
        <v>15.019774559999998</v>
      </c>
      <c r="CO6" s="1">
        <f t="shared" si="27"/>
        <v>14.398572559999998</v>
      </c>
      <c r="CP6" s="1">
        <f t="shared" si="27"/>
        <v>16.61514231</v>
      </c>
      <c r="CQ6" s="1">
        <f t="shared" si="27"/>
        <v>14.3155891</v>
      </c>
      <c r="CR6" s="1">
        <f t="shared" si="27"/>
        <v>3.12980459</v>
      </c>
      <c r="CS6" s="1">
        <f t="shared" si="27"/>
        <v>2.3595063199999995</v>
      </c>
      <c r="CT6" s="1">
        <f t="shared" si="27"/>
        <v>5.3927380000000005</v>
      </c>
      <c r="CU6" s="1">
        <f t="shared" si="27"/>
        <v>1.1182586999999999</v>
      </c>
      <c r="CV6" s="1">
        <f t="shared" si="27"/>
        <v>0.81365803999999953</v>
      </c>
      <c r="CW6" s="1">
        <f t="shared" si="27"/>
        <v>2.2053805500000006</v>
      </c>
      <c r="CX6" s="1">
        <f t="shared" si="27"/>
        <v>1.2234686099999996</v>
      </c>
      <c r="CY6" s="1">
        <f t="shared" si="27"/>
        <v>13.370618389999997</v>
      </c>
      <c r="CZ6" s="1">
        <f t="shared" ref="CZ6:DG21" si="28">+VLOOKUP(CZ$1,ran_dat,$BX6,FALSE)</f>
        <v>14.835861399999999</v>
      </c>
      <c r="DA6" s="1">
        <f t="shared" si="28"/>
        <v>16.749589410000009</v>
      </c>
      <c r="DB6" s="1">
        <f t="shared" si="28"/>
        <v>23.97822360000001</v>
      </c>
      <c r="DC6" s="1">
        <f t="shared" si="28"/>
        <v>23.329000269999998</v>
      </c>
      <c r="DD6" s="1">
        <f t="shared" si="28"/>
        <v>25.470338789999996</v>
      </c>
      <c r="DE6" s="1">
        <f t="shared" si="28"/>
        <v>16.607050090000005</v>
      </c>
      <c r="DF6" s="1">
        <f t="shared" si="28"/>
        <v>15.95050312</v>
      </c>
      <c r="DG6" s="1">
        <f t="shared" si="28"/>
        <v>11.570507999999998</v>
      </c>
      <c r="DI6" s="1">
        <f t="shared" ref="DI6:DX21" si="29">+VLOOKUP(DI$1,ran_dat,$CB6,FALSE)</f>
        <v>4.8118603300000009</v>
      </c>
      <c r="DJ6" s="1">
        <f t="shared" si="29"/>
        <v>5.2295233099999994</v>
      </c>
      <c r="DK6" s="1">
        <f t="shared" si="29"/>
        <v>7.4159317900000001</v>
      </c>
      <c r="DL6" s="1">
        <f t="shared" si="29"/>
        <v>3.5587731599999999</v>
      </c>
      <c r="DM6" s="1">
        <f t="shared" si="29"/>
        <v>6.9479693099999986</v>
      </c>
      <c r="DN6" s="1">
        <f t="shared" si="29"/>
        <v>7.5746309199999997</v>
      </c>
      <c r="DO6" s="1">
        <f t="shared" si="29"/>
        <v>8.1137987799999998</v>
      </c>
      <c r="DP6" s="1">
        <f t="shared" si="29"/>
        <v>9.2876289100000005</v>
      </c>
      <c r="DQ6" s="1">
        <f t="shared" si="29"/>
        <v>7.69051375</v>
      </c>
      <c r="DR6" s="1">
        <f t="shared" si="29"/>
        <v>7.1486482300000009</v>
      </c>
      <c r="DS6" s="1">
        <f t="shared" si="29"/>
        <v>9.1724036200000008</v>
      </c>
      <c r="DT6" s="1">
        <f t="shared" si="29"/>
        <v>6.8489806600000005</v>
      </c>
      <c r="DU6" s="1">
        <f t="shared" si="29"/>
        <v>8.39418884</v>
      </c>
      <c r="DV6" s="1">
        <f t="shared" si="29"/>
        <v>8.0897496800000006</v>
      </c>
      <c r="DW6" s="1">
        <f t="shared" si="29"/>
        <v>9.8858098699999992</v>
      </c>
      <c r="DX6" s="1">
        <f t="shared" si="29"/>
        <v>11.833805730000002</v>
      </c>
      <c r="DY6" s="1">
        <f t="shared" ref="DY6:EF20" si="30">+VLOOKUP(DY$1,ran_dat,$CB6,FALSE)</f>
        <v>13.016290730000001</v>
      </c>
      <c r="DZ6" s="1">
        <f t="shared" si="30"/>
        <v>10.901897520000004</v>
      </c>
      <c r="EA6" s="1">
        <f t="shared" si="30"/>
        <v>10.864187659999995</v>
      </c>
      <c r="EB6" s="1">
        <f t="shared" si="30"/>
        <v>11.783992419999999</v>
      </c>
      <c r="EC6" s="1">
        <f t="shared" si="30"/>
        <v>1.0941888799999999</v>
      </c>
      <c r="ED6" s="1">
        <f t="shared" si="30"/>
        <v>10.549588929999999</v>
      </c>
      <c r="EE6" s="1">
        <f t="shared" si="30"/>
        <v>10.17732034</v>
      </c>
      <c r="EF6" s="1">
        <f t="shared" si="30"/>
        <v>11.903523750000003</v>
      </c>
      <c r="EH6" s="14">
        <f t="shared" ref="EH6:EW21" si="31">+VLOOKUP(EH$1,ran_dat,$CF6,FALSE)</f>
        <v>0</v>
      </c>
      <c r="EI6" s="14">
        <f t="shared" si="31"/>
        <v>0</v>
      </c>
      <c r="EJ6" s="1">
        <f t="shared" si="31"/>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ref="EX6:FE20" si="32">+VLOOKUP(EX$1,ran_dat,$CF6,FALSE)</f>
        <v>0</v>
      </c>
      <c r="EY6" s="1">
        <f t="shared" si="32"/>
        <v>0</v>
      </c>
      <c r="EZ6" s="1">
        <f t="shared" si="32"/>
        <v>0</v>
      </c>
      <c r="FA6" s="1">
        <f t="shared" si="32"/>
        <v>0</v>
      </c>
      <c r="FB6" s="1">
        <f t="shared" si="32"/>
        <v>0</v>
      </c>
      <c r="FC6" s="1">
        <f t="shared" si="32"/>
        <v>0</v>
      </c>
      <c r="FD6" s="1">
        <f t="shared" si="32"/>
        <v>0</v>
      </c>
      <c r="FE6" s="1">
        <f t="shared" si="32"/>
        <v>0</v>
      </c>
      <c r="FG6" s="162">
        <f t="shared" ref="FG6:FG24" si="33">+I6-K6</f>
        <v>-0.68269516441451561</v>
      </c>
    </row>
    <row r="7" spans="1:163" ht="18.75" customHeight="1">
      <c r="A7" s="244" t="s">
        <v>13</v>
      </c>
      <c r="B7" s="247"/>
      <c r="C7" s="228">
        <f t="shared" si="5"/>
        <v>0.33</v>
      </c>
      <c r="D7" s="229">
        <v>1</v>
      </c>
      <c r="E7" s="253">
        <f t="shared" si="6"/>
        <v>-0.18604651162790697</v>
      </c>
      <c r="F7" s="254">
        <f t="shared" si="7"/>
        <v>-0.29614291225519518</v>
      </c>
      <c r="G7" s="253">
        <f t="shared" si="8"/>
        <v>3.3168961034178546E-2</v>
      </c>
      <c r="H7" s="254">
        <f t="shared" si="9"/>
        <v>-0.21921547266208552</v>
      </c>
      <c r="I7" s="253">
        <f t="shared" si="10"/>
        <v>4.46875</v>
      </c>
      <c r="J7" s="254">
        <f t="shared" si="11"/>
        <v>1.5901733999420795</v>
      </c>
      <c r="K7" s="253">
        <f t="shared" ref="K7:K24" si="34">IFERROR(+BL7/BN7-1,"")</f>
        <v>2.4929683418672091</v>
      </c>
      <c r="L7" s="254">
        <f t="shared" si="12"/>
        <v>1.9757816581327909</v>
      </c>
      <c r="M7" s="255"/>
      <c r="N7" s="256">
        <v>1</v>
      </c>
      <c r="O7" s="253">
        <f t="shared" ref="O7:O24" si="35">IFERROR(+BQ7/BR7-1,"")</f>
        <v>5.2631578947368363E-2</v>
      </c>
      <c r="P7" s="257">
        <f t="shared" ref="P7:P24" si="36">+O7</f>
        <v>5.2631578947368363E-2</v>
      </c>
      <c r="Q7" s="253">
        <f t="shared" si="13"/>
        <v>0</v>
      </c>
      <c r="R7" s="257">
        <f t="shared" ref="R7:R24" si="37">+Q7</f>
        <v>0</v>
      </c>
      <c r="S7" s="255"/>
      <c r="T7" s="256">
        <v>-1</v>
      </c>
      <c r="U7" s="253">
        <f t="shared" si="14"/>
        <v>-0.15968556672454115</v>
      </c>
      <c r="V7" s="258">
        <f t="shared" si="15"/>
        <v>-0.15968556672454115</v>
      </c>
      <c r="W7" s="253">
        <f t="shared" ref="W7:W24" si="38">IFERROR(IF(CC7&lt;0.5,"",+CC7/CD7-1),"")</f>
        <v>1.440522762146085</v>
      </c>
      <c r="X7" s="258">
        <f t="shared" si="16"/>
        <v>1.440522762146085</v>
      </c>
      <c r="Y7" s="253">
        <f t="shared" si="17"/>
        <v>0</v>
      </c>
      <c r="Z7" s="258">
        <f t="shared" si="18"/>
        <v>0</v>
      </c>
      <c r="AA7" s="236"/>
      <c r="AB7" s="242" t="s">
        <v>496</v>
      </c>
      <c r="AC7" s="61" t="s">
        <v>289</v>
      </c>
      <c r="AD7" s="61" t="s">
        <v>289</v>
      </c>
      <c r="AE7" s="61" t="s">
        <v>289</v>
      </c>
      <c r="AF7" s="61" t="s">
        <v>289</v>
      </c>
      <c r="AG7" s="61" t="s">
        <v>289</v>
      </c>
      <c r="AH7" s="61" t="s">
        <v>289</v>
      </c>
      <c r="AI7" s="61" t="s">
        <v>289</v>
      </c>
      <c r="AJ7" s="61" t="s">
        <v>289</v>
      </c>
      <c r="AK7" s="61" t="s">
        <v>289</v>
      </c>
      <c r="AL7" s="61" t="s">
        <v>289</v>
      </c>
      <c r="AM7" s="61" t="s">
        <v>289</v>
      </c>
      <c r="AN7" s="61" t="s">
        <v>289</v>
      </c>
      <c r="AP7" s="28">
        <f>VLOOKUP($A7,historia!$A$5:$CM$24,+HLOOKUP(AP$2,historia!$A$3:$EC$4,2,FALSE),FALSE)</f>
        <v>3</v>
      </c>
      <c r="AQ7" s="28">
        <f>VLOOKUP($A7,historia!$A$5:$CM$24,+HLOOKUP(AQ$2,historia!$A$3:$EC$4,2,FALSE),FALSE)</f>
        <v>3</v>
      </c>
      <c r="AR7" s="28">
        <f>VLOOKUP($A7,historia!$A$5:$CM$24,+HLOOKUP(AR$2,historia!$A$3:$EC$4,2,FALSE),FALSE)</f>
        <v>3</v>
      </c>
      <c r="AS7" s="28">
        <f>VLOOKUP($A7,historia!$A$5:$CM$24,+HLOOKUP(AS$2,historia!$A$3:$EC$4,2,FALSE),FALSE)</f>
        <v>3</v>
      </c>
      <c r="AT7" s="58">
        <f>VLOOKUP($A7,historia!$A$5:$CM$24,+HLOOKUP(AT$2,historia!$A$3:$EC$4,2,FALSE),FALSE)</f>
        <v>3</v>
      </c>
      <c r="AU7" s="58">
        <f>VLOOKUP($A7,historia!$A$5:$CM$24,+HLOOKUP(AU$2,historia!$A$3:$EC$4,2,FALSE),FALSE)</f>
        <v>4</v>
      </c>
      <c r="AV7" s="58">
        <f>VLOOKUP($A7,historia!$A$5:$CM$24,+HLOOKUP(AV$2,historia!$A$3:$EC$4,2,FALSE),FALSE)</f>
        <v>5</v>
      </c>
      <c r="AW7" s="58">
        <f>VLOOKUP($A7,historia!$A$5:$CM$24,+HLOOKUP(AW$2,historia!$A$3:$EC$4,2,FALSE),FALSE)</f>
        <v>4</v>
      </c>
      <c r="AX7" s="58">
        <f>VLOOKUP($A7,historia!$A$5:$CM$24,+HLOOKUP(AX$2,historia!$A$3:$EC$4,2,FALSE),FALSE)</f>
        <v>3</v>
      </c>
      <c r="AY7" s="58">
        <f>VLOOKUP($A7,historia!$A$5:$CM$24,+HLOOKUP(AY$2,historia!$A$3:$EC$4,2,FALSE),FALSE)</f>
        <v>2</v>
      </c>
      <c r="AZ7" s="58">
        <f>VLOOKUP($A7,historia!$A$5:$CM$24,+HLOOKUP(AZ$2,historia!$A$3:$EC$4,2,FALSE),FALSE)</f>
        <v>2</v>
      </c>
      <c r="BA7" s="58">
        <f>VLOOKUP($A7,historia!$A$5:$CM$24,+HLOOKUP(BA$2,historia!$A$3:$EC$4,2,FALSE),FALSE)</f>
        <v>2</v>
      </c>
      <c r="BB7" s="30"/>
      <c r="BC7" s="141">
        <v>2</v>
      </c>
      <c r="BD7" t="str">
        <f t="shared" si="19"/>
        <v>Arroz</v>
      </c>
      <c r="BE7">
        <f>+datos!R1</f>
        <v>18</v>
      </c>
      <c r="BF7" s="2" t="str">
        <f t="shared" si="4"/>
        <v>$/t</v>
      </c>
      <c r="BG7" s="2">
        <f t="shared" si="4"/>
        <v>350000</v>
      </c>
      <c r="BH7" s="2">
        <f t="shared" si="4"/>
        <v>430000</v>
      </c>
      <c r="BI7" s="2">
        <f t="shared" si="4"/>
        <v>64000</v>
      </c>
      <c r="BK7">
        <f>+datos!BZ1</f>
        <v>78</v>
      </c>
      <c r="BL7" s="2">
        <f t="shared" si="20"/>
        <v>7386.0563142720139</v>
      </c>
      <c r="BM7" s="2">
        <f t="shared" si="20"/>
        <v>7148.9336137999544</v>
      </c>
      <c r="BN7" s="2">
        <f t="shared" si="20"/>
        <v>2114.5500306263029</v>
      </c>
      <c r="BP7" s="1">
        <f>+datos!DM1</f>
        <v>117</v>
      </c>
      <c r="BQ7" s="1">
        <f t="shared" si="21"/>
        <v>200000</v>
      </c>
      <c r="BR7" s="1">
        <f t="shared" si="21"/>
        <v>190000</v>
      </c>
      <c r="BT7" s="1">
        <f>+datos!FH1</f>
        <v>164</v>
      </c>
      <c r="BU7" s="1">
        <f t="shared" si="22"/>
        <v>1200000</v>
      </c>
      <c r="BV7" s="1">
        <f t="shared" si="22"/>
        <v>1200000</v>
      </c>
      <c r="BX7" s="1">
        <f>+datos!JG1</f>
        <v>267</v>
      </c>
      <c r="BY7" s="1">
        <f t="shared" ref="BY7:BY24" si="39">+SUM(CJ7:CU7)</f>
        <v>238.95016864999999</v>
      </c>
      <c r="BZ7" s="1">
        <f t="shared" ref="BZ7:BZ24" si="40">+SUM(CV7:DG7)</f>
        <v>284.35804407000001</v>
      </c>
      <c r="CB7" s="1">
        <f>+datos!KL1</f>
        <v>298</v>
      </c>
      <c r="CC7" s="2">
        <f t="shared" si="23"/>
        <v>1.8180802199999999</v>
      </c>
      <c r="CD7" s="2">
        <f t="shared" si="24"/>
        <v>0.74495524000000013</v>
      </c>
      <c r="CF7" s="1">
        <f>+datos!HU1</f>
        <v>229</v>
      </c>
      <c r="CG7" s="1">
        <f t="shared" si="25"/>
        <v>700000</v>
      </c>
      <c r="CH7" s="1">
        <f t="shared" si="26"/>
        <v>700000</v>
      </c>
      <c r="CJ7" s="1">
        <f t="shared" si="27"/>
        <v>34.376458229999997</v>
      </c>
      <c r="CK7" s="1">
        <f t="shared" si="27"/>
        <v>13.355622539999999</v>
      </c>
      <c r="CL7" s="1">
        <f t="shared" si="27"/>
        <v>10.68224592</v>
      </c>
      <c r="CM7" s="1">
        <f t="shared" si="27"/>
        <v>15.82785018</v>
      </c>
      <c r="CN7" s="1">
        <f t="shared" si="27"/>
        <v>16.180063639999997</v>
      </c>
      <c r="CO7" s="1">
        <f t="shared" si="27"/>
        <v>11.823193960000001</v>
      </c>
      <c r="CP7" s="1">
        <f t="shared" si="27"/>
        <v>12.24327484</v>
      </c>
      <c r="CQ7" s="1">
        <f t="shared" si="27"/>
        <v>9.600226039999999</v>
      </c>
      <c r="CR7" s="1">
        <f t="shared" si="27"/>
        <v>26.338491399999999</v>
      </c>
      <c r="CS7" s="1">
        <f t="shared" si="27"/>
        <v>21.418726320000001</v>
      </c>
      <c r="CT7" s="1">
        <f t="shared" si="27"/>
        <v>22.255101539999998</v>
      </c>
      <c r="CU7" s="1">
        <f t="shared" si="27"/>
        <v>44.848914040000004</v>
      </c>
      <c r="CV7" s="1">
        <f t="shared" si="27"/>
        <v>20.357260950000001</v>
      </c>
      <c r="CW7" s="1">
        <f t="shared" si="27"/>
        <v>17.134564559999998</v>
      </c>
      <c r="CX7" s="1">
        <f t="shared" si="27"/>
        <v>28.8463791</v>
      </c>
      <c r="CY7" s="1">
        <f t="shared" si="27"/>
        <v>29.656605189999997</v>
      </c>
      <c r="CZ7" s="1">
        <f t="shared" si="28"/>
        <v>22.47426432</v>
      </c>
      <c r="DA7" s="1">
        <f t="shared" si="28"/>
        <v>15.997414339999999</v>
      </c>
      <c r="DB7" s="1">
        <f t="shared" si="28"/>
        <v>24.494655209999998</v>
      </c>
      <c r="DC7" s="1">
        <f t="shared" si="28"/>
        <v>19.108820979999997</v>
      </c>
      <c r="DD7" s="1">
        <f t="shared" si="28"/>
        <v>27.47614467</v>
      </c>
      <c r="DE7" s="1">
        <f t="shared" si="28"/>
        <v>23.805809289999999</v>
      </c>
      <c r="DF7" s="1">
        <f t="shared" si="28"/>
        <v>20.76359953</v>
      </c>
      <c r="DG7" s="1">
        <f t="shared" si="28"/>
        <v>34.242525930000006</v>
      </c>
      <c r="DI7" s="1">
        <f t="shared" si="29"/>
        <v>8.6091799999999996E-2</v>
      </c>
      <c r="DJ7" s="1">
        <f t="shared" si="29"/>
        <v>0.22536</v>
      </c>
      <c r="DK7" s="1">
        <f t="shared" si="29"/>
        <v>0.8256</v>
      </c>
      <c r="DL7" s="1">
        <f t="shared" si="29"/>
        <v>3.973985E-2</v>
      </c>
      <c r="DM7" s="1">
        <f t="shared" si="29"/>
        <v>3.3462720000000001E-2</v>
      </c>
      <c r="DN7" s="1">
        <f t="shared" si="29"/>
        <v>0.19098301000000001</v>
      </c>
      <c r="DO7" s="1">
        <f t="shared" si="29"/>
        <v>0.10767879</v>
      </c>
      <c r="DP7" s="1">
        <f t="shared" si="29"/>
        <v>5.5773490000000002E-2</v>
      </c>
      <c r="DQ7" s="1">
        <f t="shared" si="29"/>
        <v>8.7189080000000002E-2</v>
      </c>
      <c r="DR7" s="1">
        <f t="shared" si="29"/>
        <v>3.9243889999999997E-2</v>
      </c>
      <c r="DS7" s="1">
        <f t="shared" si="29"/>
        <v>0.10892111</v>
      </c>
      <c r="DT7" s="1">
        <f t="shared" si="29"/>
        <v>1.8036480000000001E-2</v>
      </c>
      <c r="DU7" s="1">
        <f t="shared" si="29"/>
        <v>2.0500000000000002E-3</v>
      </c>
      <c r="DV7" s="1">
        <f t="shared" si="29"/>
        <v>1.0492100000000001E-3</v>
      </c>
      <c r="DW7" s="1">
        <f t="shared" si="29"/>
        <v>2.7127990000000001E-2</v>
      </c>
      <c r="DX7" s="1">
        <f t="shared" si="29"/>
        <v>2.9352990000000002E-2</v>
      </c>
      <c r="DY7" s="1">
        <f t="shared" si="30"/>
        <v>4.3800639999999995E-2</v>
      </c>
      <c r="DZ7" s="1">
        <f t="shared" si="30"/>
        <v>2.6976839999999998E-2</v>
      </c>
      <c r="EA7" s="1">
        <f t="shared" si="30"/>
        <v>0.38784603000000006</v>
      </c>
      <c r="EB7" s="1">
        <f t="shared" si="30"/>
        <v>0.13118235</v>
      </c>
      <c r="EC7" s="1">
        <f t="shared" si="30"/>
        <v>1.8151110000000002E-2</v>
      </c>
      <c r="ED7" s="1">
        <f t="shared" si="30"/>
        <v>1.4073269999999999E-2</v>
      </c>
      <c r="EE7" s="1">
        <f t="shared" si="30"/>
        <v>1.6701199999999999E-2</v>
      </c>
      <c r="EF7" s="1">
        <f t="shared" si="30"/>
        <v>4.6643610000000002E-2</v>
      </c>
      <c r="EH7" s="14">
        <f t="shared" si="31"/>
        <v>700000</v>
      </c>
      <c r="EI7" s="14">
        <f t="shared" si="31"/>
        <v>700000</v>
      </c>
      <c r="EJ7" s="1">
        <f t="shared" si="31"/>
        <v>700000</v>
      </c>
      <c r="EK7" s="1">
        <f t="shared" si="31"/>
        <v>700000</v>
      </c>
      <c r="EL7" s="1">
        <f t="shared" si="31"/>
        <v>700000</v>
      </c>
      <c r="EM7" s="1">
        <f t="shared" si="31"/>
        <v>700000</v>
      </c>
      <c r="EN7" s="1">
        <f t="shared" si="31"/>
        <v>700000</v>
      </c>
      <c r="EO7" s="1">
        <f t="shared" si="31"/>
        <v>700000</v>
      </c>
      <c r="EP7" s="1">
        <f t="shared" si="31"/>
        <v>700000</v>
      </c>
      <c r="EQ7" s="1">
        <f t="shared" si="31"/>
        <v>700000</v>
      </c>
      <c r="ER7" s="1">
        <f t="shared" si="31"/>
        <v>700000</v>
      </c>
      <c r="ES7" s="1">
        <f t="shared" si="31"/>
        <v>700000</v>
      </c>
      <c r="ET7" s="1">
        <f t="shared" si="31"/>
        <v>700000</v>
      </c>
      <c r="EU7" s="1">
        <f t="shared" si="31"/>
        <v>650000</v>
      </c>
      <c r="EV7" s="1">
        <f t="shared" si="31"/>
        <v>650000</v>
      </c>
      <c r="EW7" s="1">
        <f t="shared" si="31"/>
        <v>650000</v>
      </c>
      <c r="EX7" s="1">
        <f t="shared" si="32"/>
        <v>650000</v>
      </c>
      <c r="EY7" s="1">
        <f t="shared" si="32"/>
        <v>650000</v>
      </c>
      <c r="EZ7" s="1">
        <f t="shared" si="32"/>
        <v>650000</v>
      </c>
      <c r="FA7" s="1">
        <f t="shared" si="32"/>
        <v>650000</v>
      </c>
      <c r="FB7" s="1">
        <f t="shared" si="32"/>
        <v>650000</v>
      </c>
      <c r="FC7" s="1">
        <f t="shared" si="32"/>
        <v>650000</v>
      </c>
      <c r="FD7" s="1">
        <f t="shared" si="32"/>
        <v>650000</v>
      </c>
      <c r="FE7" s="1">
        <f t="shared" si="32"/>
        <v>650000</v>
      </c>
      <c r="FG7" s="162">
        <f t="shared" si="33"/>
        <v>1.9757816581327909</v>
      </c>
    </row>
    <row r="8" spans="1:163" ht="18.75" customHeight="1">
      <c r="A8" s="243" t="s">
        <v>215</v>
      </c>
      <c r="B8" s="246"/>
      <c r="C8" s="156">
        <f t="shared" si="5"/>
        <v>0.33</v>
      </c>
      <c r="D8" s="198">
        <v>0</v>
      </c>
      <c r="E8" s="248">
        <f t="shared" si="6"/>
        <v>0.12129314553104753</v>
      </c>
      <c r="F8" s="249">
        <f t="shared" si="7"/>
        <v>1.1196744903759326E-2</v>
      </c>
      <c r="G8" s="248">
        <f t="shared" si="8"/>
        <v>1.3946134902614205E-2</v>
      </c>
      <c r="H8" s="249">
        <f t="shared" si="9"/>
        <v>0.10734701062843333</v>
      </c>
      <c r="I8" s="248">
        <f t="shared" si="10"/>
        <v>2.7865321490635253</v>
      </c>
      <c r="J8" s="249">
        <f t="shared" si="11"/>
        <v>-9.2044450994395177E-2</v>
      </c>
      <c r="K8" s="248">
        <f t="shared" si="34"/>
        <v>1.908065783263293</v>
      </c>
      <c r="L8" s="249">
        <f t="shared" si="12"/>
        <v>0.8784663658002323</v>
      </c>
      <c r="M8" s="250"/>
      <c r="N8" s="24">
        <v>0</v>
      </c>
      <c r="O8" s="248">
        <f t="shared" si="35"/>
        <v>-9.0303160610620825E-3</v>
      </c>
      <c r="P8" s="251">
        <f t="shared" si="36"/>
        <v>-9.0303160610620825E-3</v>
      </c>
      <c r="Q8" s="248">
        <f t="shared" si="13"/>
        <v>-7.8006317753932519E-3</v>
      </c>
      <c r="R8" s="251">
        <f t="shared" si="37"/>
        <v>-7.8006317753932519E-3</v>
      </c>
      <c r="S8" s="250"/>
      <c r="T8" s="24">
        <v>1</v>
      </c>
      <c r="U8" s="248">
        <f>IFERROR(+BY8/BZ8-1,"")</f>
        <v>-0.40490650067329503</v>
      </c>
      <c r="V8" s="252">
        <f t="shared" si="15"/>
        <v>-0.40490650067329503</v>
      </c>
      <c r="W8" s="248">
        <f t="shared" si="38"/>
        <v>-0.17709790084690258</v>
      </c>
      <c r="X8" s="252">
        <f t="shared" si="16"/>
        <v>-0.17709790084690258</v>
      </c>
      <c r="Y8" s="248">
        <f t="shared" si="17"/>
        <v>1.6937967443906743E-2</v>
      </c>
      <c r="Z8" s="252">
        <f t="shared" si="18"/>
        <v>1.6937967443906743E-2</v>
      </c>
      <c r="AA8" s="30"/>
      <c r="AB8" s="242" t="s">
        <v>497</v>
      </c>
      <c r="AC8" s="61" t="s">
        <v>289</v>
      </c>
      <c r="AD8" s="61" t="s">
        <v>289</v>
      </c>
      <c r="AE8" s="61" t="s">
        <v>289</v>
      </c>
      <c r="AF8" s="61" t="s">
        <v>289</v>
      </c>
      <c r="AG8" s="61" t="s">
        <v>289</v>
      </c>
      <c r="AH8" s="61" t="s">
        <v>289</v>
      </c>
      <c r="AI8" s="61" t="s">
        <v>289</v>
      </c>
      <c r="AJ8" s="61" t="s">
        <v>289</v>
      </c>
      <c r="AK8" s="61" t="s">
        <v>289</v>
      </c>
      <c r="AL8" s="61" t="s">
        <v>289</v>
      </c>
      <c r="AM8" s="61" t="s">
        <v>289</v>
      </c>
      <c r="AN8" s="61" t="s">
        <v>289</v>
      </c>
      <c r="AP8" s="28">
        <f>VLOOKUP($A8,historia!$A$5:$CM$24,+HLOOKUP(AP$2,historia!$A$3:$EC$4,2,FALSE),FALSE)</f>
        <v>2</v>
      </c>
      <c r="AQ8" s="28">
        <f>VLOOKUP($A8,historia!$A$5:$CM$24,+HLOOKUP(AQ$2,historia!$A$3:$EC$4,2,FALSE),FALSE)</f>
        <v>2</v>
      </c>
      <c r="AR8" s="28">
        <f>VLOOKUP($A8,historia!$A$5:$CM$24,+HLOOKUP(AR$2,historia!$A$3:$EC$4,2,FALSE),FALSE)</f>
        <v>3</v>
      </c>
      <c r="AS8" s="28">
        <f>VLOOKUP($A8,historia!$A$5:$CM$24,+HLOOKUP(AS$2,historia!$A$3:$EC$4,2,FALSE),FALSE)</f>
        <v>3</v>
      </c>
      <c r="AT8" s="58">
        <f>VLOOKUP($A8,historia!$A$5:$CM$24,+HLOOKUP(AT$2,historia!$A$3:$EC$4,2,FALSE),FALSE)</f>
        <v>3</v>
      </c>
      <c r="AU8" s="58">
        <f>VLOOKUP($A8,historia!$A$5:$CM$24,+HLOOKUP(AU$2,historia!$A$3:$EC$4,2,FALSE),FALSE)</f>
        <v>4</v>
      </c>
      <c r="AV8" s="58">
        <f>VLOOKUP($A8,historia!$A$5:$CM$24,+HLOOKUP(AV$2,historia!$A$3:$EC$4,2,FALSE),FALSE)</f>
        <v>4</v>
      </c>
      <c r="AW8" s="58">
        <f>VLOOKUP($A8,historia!$A$5:$CM$24,+HLOOKUP(AW$2,historia!$A$3:$EC$4,2,FALSE),FALSE)</f>
        <v>4</v>
      </c>
      <c r="AX8" s="58">
        <f>VLOOKUP($A8,historia!$A$5:$CM$24,+HLOOKUP(AX$2,historia!$A$3:$EC$4,2,FALSE),FALSE)</f>
        <v>5</v>
      </c>
      <c r="AY8" s="58">
        <f>VLOOKUP($A8,historia!$A$5:$CM$24,+HLOOKUP(AY$2,historia!$A$3:$EC$4,2,FALSE),FALSE)</f>
        <v>2</v>
      </c>
      <c r="AZ8" s="58">
        <f>VLOOKUP($A8,historia!$A$5:$CM$24,+HLOOKUP(AZ$2,historia!$A$3:$EC$4,2,FALSE),FALSE)</f>
        <v>1</v>
      </c>
      <c r="BA8" s="58">
        <f>VLOOKUP($A8,historia!$A$5:$CM$24,+HLOOKUP(BA$2,historia!$A$3:$EC$4,2,FALSE),FALSE)</f>
        <v>1</v>
      </c>
      <c r="BB8" s="30"/>
      <c r="BC8" s="141">
        <v>1</v>
      </c>
      <c r="BD8" t="str">
        <f t="shared" si="19"/>
        <v>Aves</v>
      </c>
      <c r="BE8">
        <f>+datos!BQ1</f>
        <v>69</v>
      </c>
      <c r="BF8" s="2" t="str">
        <f t="shared" si="4"/>
        <v>prom pond huevo-carne</v>
      </c>
      <c r="BG8" s="2">
        <f t="shared" si="4"/>
        <v>1568.836</v>
      </c>
      <c r="BH8" s="2">
        <f t="shared" si="4"/>
        <v>1399.1310000000001</v>
      </c>
      <c r="BI8" s="2">
        <f t="shared" si="4"/>
        <v>414.32000000000005</v>
      </c>
      <c r="BK8">
        <f>+datos!DG1</f>
        <v>111</v>
      </c>
      <c r="BL8" s="2">
        <f t="shared" si="20"/>
        <v>6574.5178008621442</v>
      </c>
      <c r="BM8" s="2">
        <f t="shared" si="20"/>
        <v>6484.0898096560159</v>
      </c>
      <c r="BN8" s="2">
        <f t="shared" si="20"/>
        <v>2260.7871660607807</v>
      </c>
      <c r="BP8" s="1">
        <f>+datos!EP1</f>
        <v>146</v>
      </c>
      <c r="BQ8" s="1">
        <f t="shared" si="21"/>
        <v>9218</v>
      </c>
      <c r="BR8" s="1">
        <f t="shared" si="21"/>
        <v>9302</v>
      </c>
      <c r="BT8" s="1">
        <f>+datos!HM1</f>
        <v>221</v>
      </c>
      <c r="BU8" s="1">
        <f t="shared" si="22"/>
        <v>2360157</v>
      </c>
      <c r="BV8" s="1">
        <f t="shared" si="22"/>
        <v>2378712.46</v>
      </c>
      <c r="BX8" s="1">
        <f>+datos!KF1</f>
        <v>292</v>
      </c>
      <c r="BY8" s="1">
        <f t="shared" si="39"/>
        <v>350.25516826</v>
      </c>
      <c r="BZ8" s="1">
        <f t="shared" si="40"/>
        <v>588.57165916999998</v>
      </c>
      <c r="CB8" s="1">
        <f>+datos!LK1</f>
        <v>323</v>
      </c>
      <c r="CC8" s="2">
        <f t="shared" si="23"/>
        <v>38.891591039999994</v>
      </c>
      <c r="CD8" s="2">
        <f t="shared" si="24"/>
        <v>47.26150423</v>
      </c>
      <c r="CF8" s="1">
        <f>+datos!IL1</f>
        <v>246</v>
      </c>
      <c r="CG8" s="1">
        <f t="shared" si="25"/>
        <v>46.23</v>
      </c>
      <c r="CH8" s="1">
        <f t="shared" si="26"/>
        <v>45.46</v>
      </c>
      <c r="CJ8" s="1">
        <f t="shared" si="27"/>
        <v>40.013868680000002</v>
      </c>
      <c r="CK8" s="1">
        <f t="shared" si="27"/>
        <v>35.607742460000011</v>
      </c>
      <c r="CL8" s="1">
        <f t="shared" si="27"/>
        <v>32.51792974</v>
      </c>
      <c r="CM8" s="1">
        <f t="shared" si="27"/>
        <v>35.210116300000003</v>
      </c>
      <c r="CN8" s="1">
        <f t="shared" si="27"/>
        <v>30.603465830000005</v>
      </c>
      <c r="CO8" s="1">
        <f t="shared" si="27"/>
        <v>35.017556320000004</v>
      </c>
      <c r="CP8" s="1">
        <f t="shared" si="27"/>
        <v>24.343011479999998</v>
      </c>
      <c r="CQ8" s="1">
        <f t="shared" si="27"/>
        <v>32.053320659999997</v>
      </c>
      <c r="CR8" s="1">
        <f t="shared" si="27"/>
        <v>25.827296739999998</v>
      </c>
      <c r="CS8" s="1">
        <f t="shared" si="27"/>
        <v>20.281404040000002</v>
      </c>
      <c r="CT8" s="1">
        <f t="shared" si="27"/>
        <v>20.776878260000004</v>
      </c>
      <c r="CU8" s="1">
        <f t="shared" si="27"/>
        <v>18.00257775</v>
      </c>
      <c r="CV8" s="1">
        <f t="shared" si="27"/>
        <v>18.061317600000002</v>
      </c>
      <c r="CW8" s="1">
        <f t="shared" si="27"/>
        <v>50.712421620000008</v>
      </c>
      <c r="CX8" s="1">
        <f t="shared" si="27"/>
        <v>45.90045215</v>
      </c>
      <c r="CY8" s="1">
        <f t="shared" si="27"/>
        <v>47.273016750000004</v>
      </c>
      <c r="CZ8" s="1">
        <f t="shared" si="28"/>
        <v>53.715518810000006</v>
      </c>
      <c r="DA8" s="1">
        <f t="shared" si="28"/>
        <v>52.265948369999997</v>
      </c>
      <c r="DB8" s="1">
        <f t="shared" si="28"/>
        <v>57.828382590000011</v>
      </c>
      <c r="DC8" s="1">
        <f t="shared" si="28"/>
        <v>63.168661010000001</v>
      </c>
      <c r="DD8" s="1">
        <f t="shared" si="28"/>
        <v>52.541029930000001</v>
      </c>
      <c r="DE8" s="1">
        <f t="shared" si="28"/>
        <v>52.931487239999996</v>
      </c>
      <c r="DF8" s="1">
        <f t="shared" si="28"/>
        <v>47.642593229999996</v>
      </c>
      <c r="DG8" s="1">
        <f t="shared" si="28"/>
        <v>46.530829869999998</v>
      </c>
      <c r="DI8" s="1">
        <f t="shared" si="29"/>
        <v>1.27466579</v>
      </c>
      <c r="DJ8" s="1">
        <f t="shared" si="29"/>
        <v>1.8857013599999999</v>
      </c>
      <c r="DK8" s="1">
        <f t="shared" si="29"/>
        <v>4.07849503</v>
      </c>
      <c r="DL8" s="1">
        <f t="shared" si="29"/>
        <v>2.60999925</v>
      </c>
      <c r="DM8" s="1">
        <f t="shared" si="29"/>
        <v>4.3280037599999996</v>
      </c>
      <c r="DN8" s="1">
        <f t="shared" si="29"/>
        <v>3.9253711099999995</v>
      </c>
      <c r="DO8" s="1">
        <f t="shared" si="29"/>
        <v>2.66724104</v>
      </c>
      <c r="DP8" s="1">
        <f t="shared" si="29"/>
        <v>1.3237541899999998</v>
      </c>
      <c r="DQ8" s="1">
        <f t="shared" si="29"/>
        <v>4.0034089300000009</v>
      </c>
      <c r="DR8" s="1">
        <f t="shared" si="29"/>
        <v>4.2620939999999994</v>
      </c>
      <c r="DS8" s="1">
        <f t="shared" si="29"/>
        <v>6.8027163900000005</v>
      </c>
      <c r="DT8" s="1">
        <f t="shared" si="29"/>
        <v>1.73014019</v>
      </c>
      <c r="DU8" s="1">
        <f t="shared" si="29"/>
        <v>6.4691643499999998</v>
      </c>
      <c r="DV8" s="1">
        <f t="shared" si="29"/>
        <v>1.80858622</v>
      </c>
      <c r="DW8" s="1">
        <f t="shared" si="29"/>
        <v>3.7432468400000003</v>
      </c>
      <c r="DX8" s="1">
        <f t="shared" si="29"/>
        <v>0.59472115000000003</v>
      </c>
      <c r="DY8" s="1">
        <f t="shared" si="30"/>
        <v>5.9863547400000003</v>
      </c>
      <c r="DZ8" s="1">
        <f t="shared" si="30"/>
        <v>1.02297792</v>
      </c>
      <c r="EA8" s="1">
        <f t="shared" si="30"/>
        <v>3.9990310300000003</v>
      </c>
      <c r="EB8" s="1">
        <f t="shared" si="30"/>
        <v>3.76265019</v>
      </c>
      <c r="EC8" s="1">
        <f t="shared" si="30"/>
        <v>2.4988292100000002</v>
      </c>
      <c r="ED8" s="1">
        <f t="shared" si="30"/>
        <v>6.8785433699999992</v>
      </c>
      <c r="EE8" s="1">
        <f t="shared" si="30"/>
        <v>3.7076194099999999</v>
      </c>
      <c r="EF8" s="1">
        <f t="shared" si="30"/>
        <v>6.7897798000000007</v>
      </c>
      <c r="EH8" s="14">
        <f t="shared" si="31"/>
        <v>46.23</v>
      </c>
      <c r="EI8" s="14">
        <f t="shared" si="31"/>
        <v>46.23</v>
      </c>
      <c r="EJ8" s="1">
        <f t="shared" si="31"/>
        <v>48.52</v>
      </c>
      <c r="EK8" s="1">
        <f t="shared" si="31"/>
        <v>45.85</v>
      </c>
      <c r="EL8" s="1">
        <f t="shared" si="31"/>
        <v>46.03</v>
      </c>
      <c r="EM8" s="1">
        <f t="shared" si="31"/>
        <v>46.13</v>
      </c>
      <c r="EN8" s="1">
        <f t="shared" si="31"/>
        <v>45.88</v>
      </c>
      <c r="EO8" s="1">
        <f t="shared" si="31"/>
        <v>46.09</v>
      </c>
      <c r="EP8" s="1">
        <f t="shared" si="31"/>
        <v>45.9</v>
      </c>
      <c r="EQ8" s="1">
        <f t="shared" si="31"/>
        <v>46</v>
      </c>
      <c r="ER8" s="1">
        <f t="shared" si="31"/>
        <v>45.99</v>
      </c>
      <c r="ES8" s="1">
        <f t="shared" si="31"/>
        <v>45.74</v>
      </c>
      <c r="ET8" s="1">
        <f t="shared" si="31"/>
        <v>45.46</v>
      </c>
      <c r="EU8" s="1">
        <f t="shared" si="31"/>
        <v>45.56</v>
      </c>
      <c r="EV8" s="1">
        <f t="shared" si="31"/>
        <v>45.71</v>
      </c>
      <c r="EW8" s="1">
        <f t="shared" si="31"/>
        <v>45.71</v>
      </c>
      <c r="EX8" s="1">
        <f t="shared" si="32"/>
        <v>46.04</v>
      </c>
      <c r="EY8" s="1">
        <f t="shared" si="32"/>
        <v>45.9</v>
      </c>
      <c r="EZ8" s="1">
        <f t="shared" si="32"/>
        <v>48.39</v>
      </c>
      <c r="FA8" s="1">
        <f t="shared" si="32"/>
        <v>47.03</v>
      </c>
      <c r="FB8" s="1">
        <f t="shared" si="32"/>
        <v>45.75</v>
      </c>
      <c r="FC8" s="1">
        <f t="shared" si="32"/>
        <v>45.91</v>
      </c>
      <c r="FD8" s="1">
        <f t="shared" si="32"/>
        <v>44.361936471267661</v>
      </c>
      <c r="FE8" s="1">
        <f t="shared" si="32"/>
        <v>44.13</v>
      </c>
      <c r="FG8" s="162">
        <f t="shared" si="33"/>
        <v>0.8784663658002323</v>
      </c>
    </row>
    <row r="9" spans="1:163" ht="18.75" customHeight="1">
      <c r="A9" s="244" t="s">
        <v>77</v>
      </c>
      <c r="B9" s="247"/>
      <c r="C9" s="228">
        <v>1</v>
      </c>
      <c r="D9" s="229">
        <v>1</v>
      </c>
      <c r="E9" s="253">
        <f t="shared" si="6"/>
        <v>-2.7323582902840649E-3</v>
      </c>
      <c r="F9" s="254">
        <f t="shared" si="7"/>
        <v>-0.11282875891757227</v>
      </c>
      <c r="G9" s="253">
        <f t="shared" si="8"/>
        <v>5.6597670065312577E-2</v>
      </c>
      <c r="H9" s="254">
        <f t="shared" si="9"/>
        <v>-5.9330028355596642E-2</v>
      </c>
      <c r="I9" s="253">
        <f t="shared" si="10"/>
        <v>2.969965210387139</v>
      </c>
      <c r="J9" s="254">
        <f t="shared" si="11"/>
        <v>9.1388610329218523E-2</v>
      </c>
      <c r="K9" s="253">
        <f t="shared" si="34"/>
        <v>2.6159726559141556</v>
      </c>
      <c r="L9" s="254">
        <f t="shared" si="12"/>
        <v>0.35399255447298339</v>
      </c>
      <c r="M9" s="255"/>
      <c r="N9" s="256">
        <v>1</v>
      </c>
      <c r="O9" s="253">
        <f t="shared" si="35"/>
        <v>-2.6892205286269899E-2</v>
      </c>
      <c r="P9" s="257">
        <f t="shared" si="36"/>
        <v>-2.6892205286269899E-2</v>
      </c>
      <c r="Q9" s="253">
        <f t="shared" si="13"/>
        <v>3.2628342937375265E-3</v>
      </c>
      <c r="R9" s="257">
        <f t="shared" si="37"/>
        <v>3.2628342937375265E-3</v>
      </c>
      <c r="S9" s="255"/>
      <c r="T9" s="256">
        <v>-2</v>
      </c>
      <c r="U9" s="253">
        <f t="shared" si="14"/>
        <v>-0.12550042191977306</v>
      </c>
      <c r="V9" s="258">
        <f t="shared" si="15"/>
        <v>-0.12550042191977306</v>
      </c>
      <c r="W9" s="253">
        <f t="shared" si="38"/>
        <v>-0.51424739783233542</v>
      </c>
      <c r="X9" s="258">
        <f t="shared" si="16"/>
        <v>-0.51424739783233542</v>
      </c>
      <c r="Y9" s="253">
        <f t="shared" si="17"/>
        <v>-1.8095048717438833E-2</v>
      </c>
      <c r="Z9" s="258">
        <f t="shared" si="18"/>
        <v>-1.8095048717438833E-2</v>
      </c>
      <c r="AA9" s="238"/>
      <c r="AB9" s="242" t="s">
        <v>498</v>
      </c>
      <c r="AC9" s="61" t="s">
        <v>289</v>
      </c>
      <c r="AD9" s="61" t="s">
        <v>289</v>
      </c>
      <c r="AE9" s="61" t="s">
        <v>289</v>
      </c>
      <c r="AF9" s="61" t="s">
        <v>289</v>
      </c>
      <c r="AG9" s="61" t="s">
        <v>289</v>
      </c>
      <c r="AH9" s="61" t="s">
        <v>289</v>
      </c>
      <c r="AI9" s="61" t="s">
        <v>289</v>
      </c>
      <c r="AJ9" s="61" t="s">
        <v>289</v>
      </c>
      <c r="AK9" s="61" t="s">
        <v>289</v>
      </c>
      <c r="AL9" s="61" t="s">
        <v>289</v>
      </c>
      <c r="AM9" s="61" t="s">
        <v>289</v>
      </c>
      <c r="AN9" s="61" t="s">
        <v>289</v>
      </c>
      <c r="AP9" s="28">
        <f>VLOOKUP($A9,historia!$A$5:$CM$24,+HLOOKUP(AP$2,historia!$A$3:$EC$4,2,FALSE),FALSE)</f>
        <v>4</v>
      </c>
      <c r="AQ9" s="28">
        <f>VLOOKUP($A9,historia!$A$5:$CM$24,+HLOOKUP(AQ$2,historia!$A$3:$EC$4,2,FALSE),FALSE)</f>
        <v>3</v>
      </c>
      <c r="AR9" s="28">
        <f>VLOOKUP($A9,historia!$A$5:$CM$24,+HLOOKUP(AR$2,historia!$A$3:$EC$4,2,FALSE),FALSE)</f>
        <v>4</v>
      </c>
      <c r="AS9" s="28">
        <f>VLOOKUP($A9,historia!$A$5:$CM$24,+HLOOKUP(AS$2,historia!$A$3:$EC$4,2,FALSE),FALSE)</f>
        <v>4</v>
      </c>
      <c r="AT9" s="58">
        <f>VLOOKUP($A9,historia!$A$5:$CM$24,+HLOOKUP(AT$2,historia!$A$3:$EC$4,2,FALSE),FALSE)</f>
        <v>4</v>
      </c>
      <c r="AU9" s="58">
        <f>VLOOKUP($A9,historia!$A$5:$CM$24,+HLOOKUP(AU$2,historia!$A$3:$EC$4,2,FALSE),FALSE)</f>
        <v>4</v>
      </c>
      <c r="AV9" s="58">
        <f>VLOOKUP($A9,historia!$A$5:$CM$24,+HLOOKUP(AV$2,historia!$A$3:$EC$4,2,FALSE),FALSE)</f>
        <v>3</v>
      </c>
      <c r="AW9" s="58">
        <f>VLOOKUP($A9,historia!$A$5:$CM$24,+HLOOKUP(AW$2,historia!$A$3:$EC$4,2,FALSE),FALSE)</f>
        <v>3</v>
      </c>
      <c r="AX9" s="58">
        <f>VLOOKUP($A9,historia!$A$5:$CM$24,+HLOOKUP(AX$2,historia!$A$3:$EC$4,2,FALSE),FALSE)</f>
        <v>3</v>
      </c>
      <c r="AY9" s="58">
        <f>VLOOKUP($A9,historia!$A$5:$CM$24,+HLOOKUP(AY$2,historia!$A$3:$EC$4,2,FALSE),FALSE)</f>
        <v>2</v>
      </c>
      <c r="AZ9" s="58">
        <f>VLOOKUP($A9,historia!$A$5:$CM$24,+HLOOKUP(AZ$2,historia!$A$3:$EC$4,2,FALSE),FALSE)</f>
        <v>2</v>
      </c>
      <c r="BA9" s="58">
        <f>VLOOKUP($A9,historia!$A$5:$CM$24,+HLOOKUP(BA$2,historia!$A$3:$EC$4,2,FALSE),FALSE)</f>
        <v>2</v>
      </c>
      <c r="BB9" s="30"/>
      <c r="BC9" s="141">
        <v>2</v>
      </c>
      <c r="BD9" t="str">
        <f t="shared" si="19"/>
        <v>Bovinos</v>
      </c>
      <c r="BE9">
        <f>+datos!BM1</f>
        <v>65</v>
      </c>
      <c r="BF9" s="2" t="str">
        <f t="shared" si="4"/>
        <v>$/kg</v>
      </c>
      <c r="BG9" s="2">
        <f t="shared" si="4"/>
        <v>1907.4074999999998</v>
      </c>
      <c r="BH9" s="2">
        <f t="shared" si="4"/>
        <v>1912.6334999999999</v>
      </c>
      <c r="BI9" s="2">
        <f t="shared" si="4"/>
        <v>480.45950000000005</v>
      </c>
      <c r="BK9">
        <f>+datos!DB1</f>
        <v>106</v>
      </c>
      <c r="BL9" s="2">
        <f t="shared" si="20"/>
        <v>7562.4790150493081</v>
      </c>
      <c r="BM9" s="2">
        <f t="shared" si="20"/>
        <v>7157.3875556453204</v>
      </c>
      <c r="BN9" s="2">
        <f t="shared" si="20"/>
        <v>2091.4093480990205</v>
      </c>
      <c r="BP9" s="1">
        <f>+datos!EH1</f>
        <v>138</v>
      </c>
      <c r="BQ9" s="1">
        <f t="shared" si="21"/>
        <v>52783892</v>
      </c>
      <c r="BR9" s="1">
        <f t="shared" si="21"/>
        <v>54242595</v>
      </c>
      <c r="BT9" s="1">
        <f>+datos!HB1</f>
        <v>210</v>
      </c>
      <c r="BU9" s="1">
        <f t="shared" si="22"/>
        <v>3212572</v>
      </c>
      <c r="BV9" s="1">
        <f t="shared" si="22"/>
        <v>3202124</v>
      </c>
      <c r="BX9" s="1">
        <f>+datos!KG1</f>
        <v>293</v>
      </c>
      <c r="BY9" s="1">
        <f t="shared" si="39"/>
        <v>4018.013735</v>
      </c>
      <c r="BZ9" s="1">
        <f t="shared" si="40"/>
        <v>4594.6434231800004</v>
      </c>
      <c r="CB9" s="1">
        <f>+datos!LL1</f>
        <v>324</v>
      </c>
      <c r="CC9" s="2">
        <f t="shared" si="23"/>
        <v>38.131490290000002</v>
      </c>
      <c r="CD9" s="2">
        <f t="shared" si="24"/>
        <v>78.499816819999992</v>
      </c>
      <c r="CF9" s="1">
        <f>+datos!IM1</f>
        <v>247</v>
      </c>
      <c r="CG9" s="1">
        <f t="shared" si="25"/>
        <v>49.38</v>
      </c>
      <c r="CH9" s="1">
        <f t="shared" si="26"/>
        <v>50.29</v>
      </c>
      <c r="CJ9" s="1">
        <f t="shared" si="27"/>
        <v>350.14414257999977</v>
      </c>
      <c r="CK9" s="1">
        <f t="shared" si="27"/>
        <v>342.85888695999995</v>
      </c>
      <c r="CL9" s="1">
        <f t="shared" si="27"/>
        <v>324.84866957999998</v>
      </c>
      <c r="CM9" s="1">
        <f t="shared" si="27"/>
        <v>325.97502911999987</v>
      </c>
      <c r="CN9" s="1">
        <f t="shared" si="27"/>
        <v>321.39038838999994</v>
      </c>
      <c r="CO9" s="1">
        <f t="shared" si="27"/>
        <v>273.58963931999995</v>
      </c>
      <c r="CP9" s="1">
        <f t="shared" si="27"/>
        <v>292.91820976000002</v>
      </c>
      <c r="CQ9" s="1">
        <f t="shared" si="27"/>
        <v>371.72573624</v>
      </c>
      <c r="CR9" s="1">
        <f t="shared" si="27"/>
        <v>378.12790802000001</v>
      </c>
      <c r="CS9" s="1">
        <f t="shared" si="27"/>
        <v>308.34921994000001</v>
      </c>
      <c r="CT9" s="1">
        <f t="shared" si="27"/>
        <v>390.63577031</v>
      </c>
      <c r="CU9" s="1">
        <f t="shared" si="27"/>
        <v>337.45013477999998</v>
      </c>
      <c r="CV9" s="1">
        <f t="shared" si="27"/>
        <v>339.25205494000011</v>
      </c>
      <c r="CW9" s="1">
        <f t="shared" si="27"/>
        <v>296.44265344999985</v>
      </c>
      <c r="CX9" s="1">
        <f t="shared" si="27"/>
        <v>285.75014393999987</v>
      </c>
      <c r="CY9" s="1">
        <f t="shared" si="27"/>
        <v>285.58164063999999</v>
      </c>
      <c r="CZ9" s="1">
        <f t="shared" si="28"/>
        <v>342.68232461000008</v>
      </c>
      <c r="DA9" s="1">
        <f t="shared" si="28"/>
        <v>391.68086485999982</v>
      </c>
      <c r="DB9" s="1">
        <f t="shared" si="28"/>
        <v>421.96396532</v>
      </c>
      <c r="DC9" s="1">
        <f t="shared" si="28"/>
        <v>444.66007973000006</v>
      </c>
      <c r="DD9" s="1">
        <f t="shared" si="28"/>
        <v>462.76323376000011</v>
      </c>
      <c r="DE9" s="1">
        <f t="shared" si="28"/>
        <v>455.63660227999975</v>
      </c>
      <c r="DF9" s="1">
        <f t="shared" si="28"/>
        <v>463.06945083000005</v>
      </c>
      <c r="DG9" s="1">
        <f t="shared" si="28"/>
        <v>405.16040881999982</v>
      </c>
      <c r="DI9" s="1">
        <f t="shared" si="29"/>
        <v>2.2940615100000001</v>
      </c>
      <c r="DJ9" s="1">
        <f t="shared" si="29"/>
        <v>1.2696953500000001</v>
      </c>
      <c r="DK9" s="1">
        <f t="shared" si="29"/>
        <v>1.4792882700000001</v>
      </c>
      <c r="DL9" s="1">
        <f t="shared" si="29"/>
        <v>3.3410357400000001</v>
      </c>
      <c r="DM9" s="1">
        <f t="shared" si="29"/>
        <v>3.5927978000000009</v>
      </c>
      <c r="DN9" s="1">
        <f t="shared" si="29"/>
        <v>2.53051044</v>
      </c>
      <c r="DO9" s="1">
        <f t="shared" si="29"/>
        <v>2.3401237999999998</v>
      </c>
      <c r="DP9" s="1">
        <f t="shared" si="29"/>
        <v>2.4632922899999996</v>
      </c>
      <c r="DQ9" s="1">
        <f t="shared" si="29"/>
        <v>3.8179622399999995</v>
      </c>
      <c r="DR9" s="1">
        <f t="shared" si="29"/>
        <v>3.8355995800000002</v>
      </c>
      <c r="DS9" s="1">
        <f t="shared" si="29"/>
        <v>7.3409295600000002</v>
      </c>
      <c r="DT9" s="1">
        <f t="shared" si="29"/>
        <v>3.8261937100000005</v>
      </c>
      <c r="DU9" s="1">
        <f t="shared" si="29"/>
        <v>5.3486285699999998</v>
      </c>
      <c r="DV9" s="1">
        <f t="shared" si="29"/>
        <v>4.398381099999999</v>
      </c>
      <c r="DW9" s="1">
        <f t="shared" si="29"/>
        <v>4.3987828499999999</v>
      </c>
      <c r="DX9" s="1">
        <f t="shared" si="29"/>
        <v>1.58647798</v>
      </c>
      <c r="DY9" s="1">
        <f t="shared" si="30"/>
        <v>2.6207546900000001</v>
      </c>
      <c r="DZ9" s="1">
        <f t="shared" si="30"/>
        <v>6.877667439999998</v>
      </c>
      <c r="EA9" s="1">
        <f t="shared" si="30"/>
        <v>6.5255502400000012</v>
      </c>
      <c r="EB9" s="1">
        <f t="shared" si="30"/>
        <v>13.413963769999999</v>
      </c>
      <c r="EC9" s="1">
        <f t="shared" si="30"/>
        <v>5.3105555200000003</v>
      </c>
      <c r="ED9" s="1">
        <f t="shared" si="30"/>
        <v>9.8886848400000016</v>
      </c>
      <c r="EE9" s="1">
        <f t="shared" si="30"/>
        <v>11.561262900000001</v>
      </c>
      <c r="EF9" s="1">
        <f t="shared" si="30"/>
        <v>6.5691069199999994</v>
      </c>
      <c r="EH9" s="14">
        <f t="shared" si="31"/>
        <v>49.38</v>
      </c>
      <c r="EI9" s="14">
        <f t="shared" si="31"/>
        <v>51.48</v>
      </c>
      <c r="EJ9" s="1">
        <f t="shared" si="31"/>
        <v>52.06</v>
      </c>
      <c r="EK9" s="1">
        <f t="shared" si="31"/>
        <v>42.59</v>
      </c>
      <c r="EL9" s="1">
        <f t="shared" si="31"/>
        <v>51.3</v>
      </c>
      <c r="EM9" s="1">
        <f t="shared" si="31"/>
        <v>51.15</v>
      </c>
      <c r="EN9" s="1">
        <f t="shared" si="31"/>
        <v>51.01</v>
      </c>
      <c r="EO9" s="1">
        <f t="shared" si="31"/>
        <v>51.15</v>
      </c>
      <c r="EP9" s="1">
        <f t="shared" si="31"/>
        <v>51.72</v>
      </c>
      <c r="EQ9" s="1">
        <f t="shared" si="31"/>
        <v>51.32</v>
      </c>
      <c r="ER9" s="1">
        <f t="shared" si="31"/>
        <v>50.44</v>
      </c>
      <c r="ES9" s="1">
        <f t="shared" si="31"/>
        <v>50.29</v>
      </c>
      <c r="ET9" s="1">
        <f t="shared" si="31"/>
        <v>50.29</v>
      </c>
      <c r="EU9" s="1">
        <f t="shared" si="31"/>
        <v>49.14</v>
      </c>
      <c r="EV9" s="1">
        <f t="shared" si="31"/>
        <v>48.66</v>
      </c>
      <c r="EW9" s="1">
        <f t="shared" si="31"/>
        <v>48.66</v>
      </c>
      <c r="EX9" s="1">
        <f t="shared" si="32"/>
        <v>48.3</v>
      </c>
      <c r="EY9" s="1">
        <f t="shared" si="32"/>
        <v>48.39</v>
      </c>
      <c r="EZ9" s="1">
        <f t="shared" si="32"/>
        <v>48.62</v>
      </c>
      <c r="FA9" s="1">
        <f t="shared" si="32"/>
        <v>48.17</v>
      </c>
      <c r="FB9" s="1">
        <f t="shared" si="32"/>
        <v>48.03</v>
      </c>
      <c r="FC9" s="1">
        <f t="shared" si="32"/>
        <v>48.58</v>
      </c>
      <c r="FD9" s="1">
        <f t="shared" si="32"/>
        <v>49.05</v>
      </c>
      <c r="FE9" s="1">
        <f t="shared" si="32"/>
        <v>47.84</v>
      </c>
      <c r="FG9" s="162">
        <f t="shared" si="33"/>
        <v>0.35399255447298339</v>
      </c>
    </row>
    <row r="10" spans="1:163" ht="18.75" customHeight="1">
      <c r="A10" s="243" t="s">
        <v>221</v>
      </c>
      <c r="B10" s="246"/>
      <c r="C10" s="156">
        <f t="shared" si="5"/>
        <v>-0.66</v>
      </c>
      <c r="D10" s="198">
        <v>-1</v>
      </c>
      <c r="E10" s="248">
        <f t="shared" si="6"/>
        <v>-0.10485090932291086</v>
      </c>
      <c r="F10" s="249">
        <f t="shared" si="7"/>
        <v>-0.21494730995019906</v>
      </c>
      <c r="G10" s="248">
        <f t="shared" si="8"/>
        <v>3.6219664058633416E-2</v>
      </c>
      <c r="H10" s="249">
        <f t="shared" si="9"/>
        <v>-0.14107057338154427</v>
      </c>
      <c r="I10" s="248">
        <f t="shared" si="10"/>
        <v>2.0331095174918965</v>
      </c>
      <c r="J10" s="249">
        <f t="shared" si="11"/>
        <v>-0.84546708256602399</v>
      </c>
      <c r="K10" s="248">
        <f t="shared" si="34"/>
        <v>2.4834630770699864</v>
      </c>
      <c r="L10" s="249">
        <f t="shared" si="12"/>
        <v>-0.45035355957808987</v>
      </c>
      <c r="M10" s="250"/>
      <c r="N10" s="24">
        <v>0</v>
      </c>
      <c r="O10" s="248">
        <f t="shared" si="35"/>
        <v>4.1543620801842707E-3</v>
      </c>
      <c r="P10" s="251">
        <f t="shared" si="36"/>
        <v>4.1543620801842707E-3</v>
      </c>
      <c r="Q10" s="248">
        <f t="shared" si="13"/>
        <v>0.10798722044728426</v>
      </c>
      <c r="R10" s="251">
        <f t="shared" si="37"/>
        <v>0.10798722044728426</v>
      </c>
      <c r="S10" s="250"/>
      <c r="T10" s="24">
        <v>-1</v>
      </c>
      <c r="U10" s="248">
        <f t="shared" si="14"/>
        <v>6.7549770513944507E-2</v>
      </c>
      <c r="V10" s="252">
        <f t="shared" si="15"/>
        <v>6.7549770513944507E-2</v>
      </c>
      <c r="W10" s="248">
        <f t="shared" si="38"/>
        <v>0.16822734983273135</v>
      </c>
      <c r="X10" s="252">
        <f t="shared" si="16"/>
        <v>0.16822734983273135</v>
      </c>
      <c r="Y10" s="248">
        <f t="shared" si="17"/>
        <v>-0.11904761904761896</v>
      </c>
      <c r="Z10" s="252"/>
      <c r="AA10" s="30"/>
      <c r="AB10" s="242" t="s">
        <v>499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P10" s="28">
        <f>VLOOKUP($A10,historia!$A$5:$CM$24,+HLOOKUP(AP$2,historia!$A$3:$EC$4,2,FALSE),FALSE)</f>
        <v>4</v>
      </c>
      <c r="AQ10" s="28">
        <f>VLOOKUP($A10,historia!$A$5:$CM$24,+HLOOKUP(AQ$2,historia!$A$3:$EC$4,2,FALSE),FALSE)</f>
        <v>4</v>
      </c>
      <c r="AR10" s="28">
        <f>VLOOKUP($A10,historia!$A$5:$CM$24,+HLOOKUP(AR$2,historia!$A$3:$EC$4,2,FALSE),FALSE)</f>
        <v>5</v>
      </c>
      <c r="AS10" s="28">
        <f>VLOOKUP($A10,historia!$A$5:$CM$24,+HLOOKUP(AS$2,historia!$A$3:$EC$4,2,FALSE),FALSE)</f>
        <v>5</v>
      </c>
      <c r="AT10" s="58">
        <f>VLOOKUP($A10,historia!$A$5:$CM$24,+HLOOKUP(AT$2,historia!$A$3:$EC$4,2,FALSE),FALSE)</f>
        <v>5</v>
      </c>
      <c r="AU10" s="58">
        <f>VLOOKUP($A10,historia!$A$5:$CM$24,+HLOOKUP(AU$2,historia!$A$3:$EC$4,2,FALSE),FALSE)</f>
        <v>4</v>
      </c>
      <c r="AV10" s="58">
        <f>VLOOKUP($A10,historia!$A$5:$CM$24,+HLOOKUP(AV$2,historia!$A$3:$EC$4,2,FALSE),FALSE)</f>
        <v>4</v>
      </c>
      <c r="AW10" s="58">
        <f>VLOOKUP($A10,historia!$A$5:$CM$24,+HLOOKUP(AW$2,historia!$A$3:$EC$4,2,FALSE),FALSE)</f>
        <v>4</v>
      </c>
      <c r="AX10" s="58">
        <f>VLOOKUP($A10,historia!$A$5:$CM$24,+HLOOKUP(AX$2,historia!$A$3:$EC$4,2,FALSE),FALSE)</f>
        <v>5</v>
      </c>
      <c r="AY10" s="58">
        <f>VLOOKUP($A10,historia!$A$5:$CM$24,+HLOOKUP(AY$2,historia!$A$3:$EC$4,2,FALSE),FALSE)</f>
        <v>3</v>
      </c>
      <c r="AZ10" s="58">
        <f>VLOOKUP($A10,historia!$A$5:$CM$24,+HLOOKUP(AZ$2,historia!$A$3:$EC$4,2,FALSE),FALSE)</f>
        <v>3</v>
      </c>
      <c r="BA10" s="58">
        <f>VLOOKUP($A10,historia!$A$5:$CM$24,+HLOOKUP(BA$2,historia!$A$3:$EC$4,2,FALSE),FALSE)</f>
        <v>4</v>
      </c>
      <c r="BB10" s="30"/>
      <c r="BC10" s="141">
        <v>4</v>
      </c>
      <c r="BD10" t="str">
        <f t="shared" si="19"/>
        <v>Cítricos Dulces</v>
      </c>
      <c r="BE10">
        <f>+datos!AU1</f>
        <v>47</v>
      </c>
      <c r="BF10" s="2" t="str">
        <f t="shared" si="4"/>
        <v>$/caja 18kg</v>
      </c>
      <c r="BG10" s="2">
        <f t="shared" si="4"/>
        <v>14818.608156028369</v>
      </c>
      <c r="BH10" s="2">
        <f t="shared" si="4"/>
        <v>16554.346432748538</v>
      </c>
      <c r="BI10" s="2">
        <f t="shared" si="4"/>
        <v>4885.6159233847911</v>
      </c>
      <c r="BK10">
        <f>+datos!CX1</f>
        <v>102</v>
      </c>
      <c r="BL10" s="2">
        <f t="shared" si="20"/>
        <v>7374.4563864990951</v>
      </c>
      <c r="BM10" s="2">
        <f t="shared" si="20"/>
        <v>7116.6921863025173</v>
      </c>
      <c r="BN10" s="2">
        <f t="shared" si="20"/>
        <v>2116.989967553181</v>
      </c>
      <c r="BP10" s="1">
        <f>+datos!ER1</f>
        <v>148</v>
      </c>
      <c r="BQ10" s="1">
        <f t="shared" si="21"/>
        <v>80248</v>
      </c>
      <c r="BR10" s="1">
        <f t="shared" si="21"/>
        <v>79916</v>
      </c>
      <c r="BT10" s="1">
        <f>+datos!GH1</f>
        <v>190</v>
      </c>
      <c r="BU10" s="1">
        <f t="shared" si="22"/>
        <v>1734000</v>
      </c>
      <c r="BV10" s="1">
        <f t="shared" si="22"/>
        <v>1565000</v>
      </c>
      <c r="BX10" s="1">
        <f>+datos!LT1</f>
        <v>332</v>
      </c>
      <c r="BY10" s="1">
        <f t="shared" si="39"/>
        <v>52.801945349999983</v>
      </c>
      <c r="BZ10" s="1">
        <f t="shared" si="40"/>
        <v>49.460874620000006</v>
      </c>
      <c r="CA10" s="1"/>
      <c r="CB10" s="1">
        <f>+datos!LX1</f>
        <v>336</v>
      </c>
      <c r="CC10" s="2">
        <f t="shared" si="23"/>
        <v>5.1359729099999996</v>
      </c>
      <c r="CD10" s="2">
        <f t="shared" si="24"/>
        <v>4.3963813300000005</v>
      </c>
      <c r="CF10" s="1">
        <f>+datos!IV1</f>
        <v>256</v>
      </c>
      <c r="CG10" s="1">
        <f t="shared" si="25"/>
        <v>17.39</v>
      </c>
      <c r="CH10" s="1">
        <f t="shared" si="26"/>
        <v>19.739999999999998</v>
      </c>
      <c r="CJ10" s="1">
        <f t="shared" si="27"/>
        <v>2.8661316999999999</v>
      </c>
      <c r="CK10" s="1">
        <f t="shared" si="27"/>
        <v>3.3581509099999995</v>
      </c>
      <c r="CL10" s="1">
        <f t="shared" si="27"/>
        <v>4.3519123000000004</v>
      </c>
      <c r="CM10" s="1">
        <f t="shared" si="27"/>
        <v>3.6482140500000004</v>
      </c>
      <c r="CN10" s="1">
        <f t="shared" si="27"/>
        <v>7.8852843799999999</v>
      </c>
      <c r="CO10" s="1">
        <f t="shared" si="27"/>
        <v>4.4927710999999997</v>
      </c>
      <c r="CP10" s="1">
        <f t="shared" si="27"/>
        <v>3.9018705800000002</v>
      </c>
      <c r="CQ10" s="1">
        <f t="shared" si="27"/>
        <v>10.723855849999996</v>
      </c>
      <c r="CR10" s="1">
        <f t="shared" si="27"/>
        <v>7.5775361799999992</v>
      </c>
      <c r="CS10" s="1">
        <f t="shared" si="27"/>
        <v>1.25129154</v>
      </c>
      <c r="CT10" s="1">
        <f t="shared" si="27"/>
        <v>0.77785399999999993</v>
      </c>
      <c r="CU10" s="1">
        <f t="shared" si="27"/>
        <v>1.96707276</v>
      </c>
      <c r="CV10" s="1">
        <f t="shared" si="27"/>
        <v>1.7333935799999998</v>
      </c>
      <c r="CW10" s="1">
        <f t="shared" si="27"/>
        <v>4.5063326699999999</v>
      </c>
      <c r="CX10" s="1">
        <f t="shared" si="27"/>
        <v>2.6066778199999998</v>
      </c>
      <c r="CY10" s="1">
        <f t="shared" si="27"/>
        <v>1.98627314</v>
      </c>
      <c r="CZ10" s="1">
        <f t="shared" si="28"/>
        <v>2.7714215800000002</v>
      </c>
      <c r="DA10" s="1">
        <f t="shared" si="28"/>
        <v>4.7911063299999999</v>
      </c>
      <c r="DB10" s="1">
        <f t="shared" si="28"/>
        <v>4.2890642899999998</v>
      </c>
      <c r="DC10" s="1">
        <f t="shared" si="28"/>
        <v>10.91414737</v>
      </c>
      <c r="DD10" s="1">
        <f t="shared" si="28"/>
        <v>7.8324679500000007</v>
      </c>
      <c r="DE10" s="1">
        <f t="shared" si="28"/>
        <v>4.3051329900000006</v>
      </c>
      <c r="DF10" s="1">
        <f t="shared" si="28"/>
        <v>2.30500755</v>
      </c>
      <c r="DG10" s="1">
        <f t="shared" si="28"/>
        <v>1.4198493500000002</v>
      </c>
      <c r="DI10" s="1">
        <f t="shared" si="29"/>
        <v>1.06715808</v>
      </c>
      <c r="DJ10" s="1">
        <f t="shared" si="29"/>
        <v>0.57276656999999997</v>
      </c>
      <c r="DK10" s="1">
        <f t="shared" si="29"/>
        <v>0.50591796999999994</v>
      </c>
      <c r="DL10" s="1">
        <f t="shared" si="29"/>
        <v>0.37369366000000004</v>
      </c>
      <c r="DM10" s="1">
        <f t="shared" si="29"/>
        <v>1.8223369999999999E-2</v>
      </c>
      <c r="DN10" s="1">
        <f t="shared" si="29"/>
        <v>0.26981320000000003</v>
      </c>
      <c r="DO10" s="1">
        <f t="shared" si="29"/>
        <v>0.36129600000000001</v>
      </c>
      <c r="DP10" s="1">
        <f t="shared" si="29"/>
        <v>3.0606999999999997E-4</v>
      </c>
      <c r="DQ10" s="1">
        <f t="shared" si="29"/>
        <v>0.33402694999999999</v>
      </c>
      <c r="DR10" s="1">
        <f t="shared" si="29"/>
        <v>0</v>
      </c>
      <c r="DS10" s="1">
        <f t="shared" si="29"/>
        <v>0.31172668999999997</v>
      </c>
      <c r="DT10" s="1">
        <f t="shared" si="29"/>
        <v>1.32104435</v>
      </c>
      <c r="DU10" s="1">
        <f t="shared" si="29"/>
        <v>1.2081202200000001</v>
      </c>
      <c r="DV10" s="1">
        <f t="shared" si="29"/>
        <v>0.6520337100000001</v>
      </c>
      <c r="DW10" s="1">
        <f t="shared" si="29"/>
        <v>0.45880662999999999</v>
      </c>
      <c r="DX10" s="1">
        <f t="shared" si="29"/>
        <v>0</v>
      </c>
      <c r="DY10" s="1">
        <f t="shared" si="30"/>
        <v>4.77876E-2</v>
      </c>
      <c r="DZ10" s="1">
        <f t="shared" si="30"/>
        <v>1.4227200000000001E-2</v>
      </c>
      <c r="EA10" s="1">
        <f t="shared" si="30"/>
        <v>2.7328829999999998E-2</v>
      </c>
      <c r="EB10" s="1">
        <f t="shared" si="30"/>
        <v>5.6926980000000002E-2</v>
      </c>
      <c r="EC10" s="1">
        <f t="shared" si="30"/>
        <v>0.59636825999999998</v>
      </c>
      <c r="ED10" s="1">
        <f t="shared" si="30"/>
        <v>0.61726981999999997</v>
      </c>
      <c r="EE10" s="1">
        <f t="shared" si="30"/>
        <v>0.14935512000000001</v>
      </c>
      <c r="EF10" s="1">
        <f t="shared" si="30"/>
        <v>0.56815696000000004</v>
      </c>
      <c r="EH10" s="14">
        <f t="shared" si="31"/>
        <v>17.39</v>
      </c>
      <c r="EI10" s="14">
        <f t="shared" si="31"/>
        <v>17.39</v>
      </c>
      <c r="EJ10" s="1">
        <f t="shared" si="31"/>
        <v>17.39</v>
      </c>
      <c r="EK10" s="1">
        <f t="shared" si="31"/>
        <v>19.739999999999998</v>
      </c>
      <c r="EL10" s="1">
        <f t="shared" si="31"/>
        <v>19.739999999999998</v>
      </c>
      <c r="EM10" s="1">
        <f t="shared" si="31"/>
        <v>19.739999999999998</v>
      </c>
      <c r="EN10" s="1">
        <f t="shared" si="31"/>
        <v>19.739999999999998</v>
      </c>
      <c r="EO10" s="1">
        <f t="shared" si="31"/>
        <v>19.739999999999998</v>
      </c>
      <c r="EP10" s="1">
        <f t="shared" si="31"/>
        <v>19.739999999999998</v>
      </c>
      <c r="EQ10" s="1">
        <f t="shared" si="31"/>
        <v>19.739999999999998</v>
      </c>
      <c r="ER10" s="1">
        <f t="shared" si="31"/>
        <v>19.739999999999998</v>
      </c>
      <c r="ES10" s="1">
        <f t="shared" si="31"/>
        <v>19.739999999999998</v>
      </c>
      <c r="ET10" s="1">
        <f t="shared" si="31"/>
        <v>19.739999999999998</v>
      </c>
      <c r="EU10" s="1">
        <f t="shared" si="31"/>
        <v>19.739999999999998</v>
      </c>
      <c r="EV10" s="1">
        <f t="shared" si="31"/>
        <v>19.739999999999998</v>
      </c>
      <c r="EW10" s="1">
        <f t="shared" si="31"/>
        <v>18.77</v>
      </c>
      <c r="EX10" s="1">
        <f t="shared" si="32"/>
        <v>18.77</v>
      </c>
      <c r="EY10" s="1">
        <f t="shared" si="32"/>
        <v>18.77</v>
      </c>
      <c r="EZ10" s="1">
        <f t="shared" si="32"/>
        <v>18.77</v>
      </c>
      <c r="FA10" s="1">
        <f t="shared" si="32"/>
        <v>18.77</v>
      </c>
      <c r="FB10" s="1">
        <f t="shared" si="32"/>
        <v>18.77</v>
      </c>
      <c r="FC10" s="1">
        <f t="shared" si="32"/>
        <v>18.77</v>
      </c>
      <c r="FD10" s="1">
        <f t="shared" si="32"/>
        <v>18.77</v>
      </c>
      <c r="FE10" s="1">
        <f t="shared" si="32"/>
        <v>18.77</v>
      </c>
      <c r="FG10" s="162">
        <f t="shared" si="33"/>
        <v>-0.45035355957808987</v>
      </c>
    </row>
    <row r="11" spans="1:163" ht="18.75" customHeight="1">
      <c r="A11" s="244" t="s">
        <v>116</v>
      </c>
      <c r="B11" s="247"/>
      <c r="C11" s="228">
        <f t="shared" si="5"/>
        <v>0</v>
      </c>
      <c r="D11" s="229">
        <v>1</v>
      </c>
      <c r="E11" s="253">
        <f t="shared" si="6"/>
        <v>5.7860643832988279E-2</v>
      </c>
      <c r="F11" s="254">
        <f t="shared" si="7"/>
        <v>-5.2235756794299926E-2</v>
      </c>
      <c r="G11" s="253">
        <f t="shared" si="8"/>
        <v>0.10787245863339279</v>
      </c>
      <c r="H11" s="254">
        <f t="shared" si="9"/>
        <v>-5.0011814800404508E-2</v>
      </c>
      <c r="I11" s="253">
        <f t="shared" si="10"/>
        <v>3.1729820575003043</v>
      </c>
      <c r="J11" s="254">
        <f t="shared" si="11"/>
        <v>0.29440545744238378</v>
      </c>
      <c r="K11" s="253">
        <f t="shared" si="34"/>
        <v>2.7883342068320052</v>
      </c>
      <c r="L11" s="254">
        <f t="shared" si="12"/>
        <v>0.3846478506682991</v>
      </c>
      <c r="M11" s="255"/>
      <c r="N11" s="256"/>
      <c r="O11" s="253" t="str">
        <f t="shared" si="35"/>
        <v/>
      </c>
      <c r="P11" s="257" t="str">
        <f t="shared" si="36"/>
        <v/>
      </c>
      <c r="Q11" s="253">
        <f t="shared" si="13"/>
        <v>0</v>
      </c>
      <c r="R11" s="257">
        <f t="shared" si="37"/>
        <v>0</v>
      </c>
      <c r="S11" s="255"/>
      <c r="T11" s="24">
        <v>-1</v>
      </c>
      <c r="U11" s="253">
        <f t="shared" si="14"/>
        <v>-0.15991970707141334</v>
      </c>
      <c r="V11" s="258">
        <f t="shared" si="15"/>
        <v>-0.15991970707141334</v>
      </c>
      <c r="W11" s="253">
        <f t="shared" si="38"/>
        <v>-0.15290230541477945</v>
      </c>
      <c r="X11" s="258">
        <f t="shared" si="16"/>
        <v>-0.15290230541477945</v>
      </c>
      <c r="Y11" s="253" t="str">
        <f t="shared" si="17"/>
        <v/>
      </c>
      <c r="Z11" s="258" t="str">
        <f t="shared" si="18"/>
        <v/>
      </c>
      <c r="AA11" s="238"/>
      <c r="AB11" s="242" t="s">
        <v>500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4</v>
      </c>
      <c r="AY11" s="58">
        <f>VLOOKUP($A11,historia!$A$5:$CM$24,+HLOOKUP(AY$2,historia!$A$3:$EC$4,2,FALSE),FALSE)</f>
        <v>3</v>
      </c>
      <c r="AZ11" s="58">
        <f>VLOOKUP($A11,historia!$A$5:$CM$24,+HLOOKUP(AZ$2,historia!$A$3:$EC$4,2,FALSE),FALSE)</f>
        <v>3</v>
      </c>
      <c r="BA11" s="58">
        <f>VLOOKUP($A11,historia!$A$5:$CM$24,+HLOOKUP(BA$2,historia!$A$3:$EC$4,2,FALSE),FALSE)</f>
        <v>4</v>
      </c>
      <c r="BB11" s="30"/>
      <c r="BC11" s="141">
        <v>4</v>
      </c>
      <c r="BD11" t="str">
        <f t="shared" si="19"/>
        <v>Forestal</v>
      </c>
      <c r="BE11">
        <f>+datos!BG1</f>
        <v>59</v>
      </c>
      <c r="BF11" s="2" t="str">
        <f t="shared" si="4"/>
        <v>$/t</v>
      </c>
      <c r="BG11" s="2">
        <f t="shared" si="4"/>
        <v>25449.97432317998</v>
      </c>
      <c r="BH11" s="2">
        <f t="shared" si="4"/>
        <v>24057.964980118821</v>
      </c>
      <c r="BI11" s="2">
        <f t="shared" si="4"/>
        <v>6098.75</v>
      </c>
      <c r="BK11">
        <f>+datos!CZ1</f>
        <v>104</v>
      </c>
      <c r="BL11" s="2">
        <f t="shared" si="20"/>
        <v>8542.6657508348071</v>
      </c>
      <c r="BM11" s="2">
        <f t="shared" si="20"/>
        <v>7710.8747349605064</v>
      </c>
      <c r="BN11" s="2">
        <f t="shared" si="20"/>
        <v>2254.992639094166</v>
      </c>
      <c r="BP11" s="1">
        <f>+datos!ES1</f>
        <v>149</v>
      </c>
      <c r="BQ11" s="1">
        <f t="shared" si="21"/>
        <v>0</v>
      </c>
      <c r="BR11" s="1">
        <f t="shared" si="21"/>
        <v>0</v>
      </c>
      <c r="BT11" s="1">
        <f>+datos!GI1</f>
        <v>191</v>
      </c>
      <c r="BU11" s="1">
        <f t="shared" si="22"/>
        <v>1302556</v>
      </c>
      <c r="BV11" s="1">
        <f t="shared" si="22"/>
        <v>1302556</v>
      </c>
      <c r="BX11" s="1">
        <f>+datos!KB1</f>
        <v>288</v>
      </c>
      <c r="BY11" s="1">
        <f t="shared" si="39"/>
        <v>294.21572158000004</v>
      </c>
      <c r="BZ11" s="1">
        <f t="shared" si="40"/>
        <v>350.22333466999999</v>
      </c>
      <c r="CB11" s="1">
        <f>+datos!LG1</f>
        <v>319</v>
      </c>
      <c r="CC11" s="2">
        <f t="shared" si="23"/>
        <v>223.88257400999998</v>
      </c>
      <c r="CD11" s="2">
        <f t="shared" si="24"/>
        <v>264.29368825</v>
      </c>
      <c r="CF11" s="1">
        <f>+datos!IW1</f>
        <v>257</v>
      </c>
      <c r="CG11" s="1">
        <f t="shared" si="25"/>
        <v>0</v>
      </c>
      <c r="CH11" s="1">
        <f t="shared" si="26"/>
        <v>0</v>
      </c>
      <c r="CJ11" s="1">
        <f t="shared" si="27"/>
        <v>26.653198490000001</v>
      </c>
      <c r="CK11" s="1">
        <f t="shared" si="27"/>
        <v>23.932255000000001</v>
      </c>
      <c r="CL11" s="1">
        <f t="shared" si="27"/>
        <v>23.104867779999999</v>
      </c>
      <c r="CM11" s="1">
        <f t="shared" si="27"/>
        <v>24.797754910000005</v>
      </c>
      <c r="CN11" s="1">
        <f t="shared" si="27"/>
        <v>26.00374025</v>
      </c>
      <c r="CO11" s="1">
        <f t="shared" si="27"/>
        <v>24.373047020000001</v>
      </c>
      <c r="CP11" s="1">
        <f t="shared" si="27"/>
        <v>25.649224320000002</v>
      </c>
      <c r="CQ11" s="1">
        <f t="shared" si="27"/>
        <v>23.667757810000001</v>
      </c>
      <c r="CR11" s="1">
        <f t="shared" si="27"/>
        <v>25.088845019999997</v>
      </c>
      <c r="CS11" s="1">
        <f t="shared" si="27"/>
        <v>26.5668471</v>
      </c>
      <c r="CT11" s="1">
        <f t="shared" si="27"/>
        <v>23.814064600000002</v>
      </c>
      <c r="CU11" s="1">
        <f t="shared" si="27"/>
        <v>20.56411928</v>
      </c>
      <c r="CV11" s="1">
        <f t="shared" si="27"/>
        <v>19.140443850000004</v>
      </c>
      <c r="CW11" s="1">
        <f t="shared" si="27"/>
        <v>31.026984670000001</v>
      </c>
      <c r="CX11" s="1">
        <f t="shared" si="27"/>
        <v>29.568283169999997</v>
      </c>
      <c r="CY11" s="1">
        <f t="shared" si="27"/>
        <v>27.46490245</v>
      </c>
      <c r="CZ11" s="1">
        <f t="shared" si="28"/>
        <v>28.769997110000002</v>
      </c>
      <c r="DA11" s="1">
        <f t="shared" si="28"/>
        <v>29.99355989</v>
      </c>
      <c r="DB11" s="1">
        <f t="shared" si="28"/>
        <v>28.322168269999992</v>
      </c>
      <c r="DC11" s="1">
        <f t="shared" si="28"/>
        <v>25.822628249999998</v>
      </c>
      <c r="DD11" s="1">
        <f t="shared" si="28"/>
        <v>36.275852910000005</v>
      </c>
      <c r="DE11" s="1">
        <f t="shared" si="28"/>
        <v>32.140367229999995</v>
      </c>
      <c r="DF11" s="1">
        <f t="shared" si="28"/>
        <v>32.281321340000005</v>
      </c>
      <c r="DG11" s="1">
        <f t="shared" si="28"/>
        <v>29.416825530000004</v>
      </c>
      <c r="DI11" s="1">
        <f t="shared" si="29"/>
        <v>14.580088280000002</v>
      </c>
      <c r="DJ11" s="1">
        <f t="shared" si="29"/>
        <v>13.107541810000001</v>
      </c>
      <c r="DK11" s="1">
        <f t="shared" si="29"/>
        <v>9.0834929199999994</v>
      </c>
      <c r="DL11" s="1">
        <f t="shared" si="29"/>
        <v>9.5859924200000002</v>
      </c>
      <c r="DM11" s="1">
        <f t="shared" si="29"/>
        <v>12.114691449999999</v>
      </c>
      <c r="DN11" s="1">
        <f t="shared" si="29"/>
        <v>21.937746180000001</v>
      </c>
      <c r="DO11" s="1">
        <f t="shared" si="29"/>
        <v>16.68359323</v>
      </c>
      <c r="DP11" s="1">
        <f t="shared" si="29"/>
        <v>23.390239519999994</v>
      </c>
      <c r="DQ11" s="1">
        <f t="shared" si="29"/>
        <v>24.97777258</v>
      </c>
      <c r="DR11" s="1">
        <f t="shared" si="29"/>
        <v>25.979397770000002</v>
      </c>
      <c r="DS11" s="1">
        <f t="shared" si="29"/>
        <v>26.663923630000003</v>
      </c>
      <c r="DT11" s="1">
        <f t="shared" si="29"/>
        <v>25.77809422</v>
      </c>
      <c r="DU11" s="1">
        <f t="shared" si="29"/>
        <v>30.845388820000004</v>
      </c>
      <c r="DV11" s="1">
        <f t="shared" si="29"/>
        <v>19.314417040000002</v>
      </c>
      <c r="DW11" s="1">
        <f t="shared" si="29"/>
        <v>23.096508839999995</v>
      </c>
      <c r="DX11" s="1">
        <f t="shared" si="29"/>
        <v>19.891111379999998</v>
      </c>
      <c r="DY11" s="1">
        <f t="shared" si="30"/>
        <v>18.931102379999999</v>
      </c>
      <c r="DZ11" s="1">
        <f t="shared" si="30"/>
        <v>26.50290536</v>
      </c>
      <c r="EA11" s="1">
        <f t="shared" si="30"/>
        <v>21.937275429999996</v>
      </c>
      <c r="EB11" s="1">
        <f t="shared" si="30"/>
        <v>24.868573239999996</v>
      </c>
      <c r="EC11" s="1">
        <f t="shared" si="30"/>
        <v>0</v>
      </c>
      <c r="ED11" s="1">
        <f t="shared" si="30"/>
        <v>28.392692970000002</v>
      </c>
      <c r="EE11" s="1">
        <f t="shared" si="30"/>
        <v>26.685130170000001</v>
      </c>
      <c r="EF11" s="1">
        <f t="shared" si="30"/>
        <v>23.828582620000002</v>
      </c>
      <c r="EH11" s="14">
        <f t="shared" si="31"/>
        <v>0</v>
      </c>
      <c r="EI11" s="14">
        <f t="shared" si="31"/>
        <v>0</v>
      </c>
      <c r="EJ11" s="1">
        <f t="shared" si="31"/>
        <v>0</v>
      </c>
      <c r="EK11" s="1">
        <f t="shared" si="31"/>
        <v>0</v>
      </c>
      <c r="EL11" s="1">
        <f t="shared" si="31"/>
        <v>0</v>
      </c>
      <c r="EM11" s="1">
        <f t="shared" si="31"/>
        <v>0</v>
      </c>
      <c r="EN11" s="1">
        <f t="shared" si="31"/>
        <v>0</v>
      </c>
      <c r="EO11" s="1">
        <f t="shared" si="31"/>
        <v>0</v>
      </c>
      <c r="EP11" s="1">
        <f t="shared" si="31"/>
        <v>0</v>
      </c>
      <c r="EQ11" s="1">
        <f t="shared" si="31"/>
        <v>0</v>
      </c>
      <c r="ER11" s="1">
        <f t="shared" si="31"/>
        <v>0</v>
      </c>
      <c r="ES11" s="1">
        <f t="shared" si="31"/>
        <v>0</v>
      </c>
      <c r="ET11" s="1">
        <f t="shared" si="31"/>
        <v>0</v>
      </c>
      <c r="EU11" s="1">
        <f t="shared" si="31"/>
        <v>0</v>
      </c>
      <c r="EV11" s="1">
        <f t="shared" si="31"/>
        <v>0</v>
      </c>
      <c r="EW11" s="1">
        <f t="shared" si="31"/>
        <v>0</v>
      </c>
      <c r="EX11" s="1">
        <f t="shared" si="32"/>
        <v>0</v>
      </c>
      <c r="EY11" s="1">
        <f t="shared" si="32"/>
        <v>0</v>
      </c>
      <c r="EZ11" s="1">
        <f t="shared" si="32"/>
        <v>0</v>
      </c>
      <c r="FA11" s="1">
        <f t="shared" si="32"/>
        <v>0</v>
      </c>
      <c r="FB11" s="1">
        <f t="shared" si="32"/>
        <v>0</v>
      </c>
      <c r="FC11" s="1">
        <f t="shared" si="32"/>
        <v>0</v>
      </c>
      <c r="FD11" s="1">
        <f t="shared" si="32"/>
        <v>0</v>
      </c>
      <c r="FE11" s="1">
        <f t="shared" si="32"/>
        <v>0</v>
      </c>
      <c r="FG11" s="162">
        <f t="shared" si="33"/>
        <v>0.3846478506682991</v>
      </c>
    </row>
    <row r="12" spans="1:163" ht="18.75" customHeight="1">
      <c r="A12" s="243" t="s">
        <v>216</v>
      </c>
      <c r="B12" s="246"/>
      <c r="C12" s="156">
        <f t="shared" si="5"/>
        <v>-0.33</v>
      </c>
      <c r="D12" s="198">
        <v>-1</v>
      </c>
      <c r="E12" s="248">
        <f t="shared" si="6"/>
        <v>-4.6055077077490014E-2</v>
      </c>
      <c r="F12" s="249">
        <f t="shared" si="7"/>
        <v>-0.15615147770477822</v>
      </c>
      <c r="G12" s="248">
        <f t="shared" si="8"/>
        <v>-3.674130426536637E-3</v>
      </c>
      <c r="H12" s="249">
        <f t="shared" si="9"/>
        <v>-4.2380946650953377E-2</v>
      </c>
      <c r="I12" s="248">
        <f t="shared" si="10"/>
        <v>1.8515917612442934</v>
      </c>
      <c r="J12" s="249">
        <f t="shared" si="11"/>
        <v>-1.0269848388136271</v>
      </c>
      <c r="K12" s="248">
        <f t="shared" si="34"/>
        <v>2.0885752982743648</v>
      </c>
      <c r="L12" s="249">
        <f t="shared" si="12"/>
        <v>-0.23698353703007147</v>
      </c>
      <c r="M12" s="250"/>
      <c r="N12" s="24">
        <v>1</v>
      </c>
      <c r="O12" s="248">
        <f t="shared" si="35"/>
        <v>2.3230511365306405E-3</v>
      </c>
      <c r="P12" s="251">
        <f t="shared" si="36"/>
        <v>2.3230511365306405E-3</v>
      </c>
      <c r="Q12" s="248">
        <f t="shared" si="13"/>
        <v>9.5088371206708544E-3</v>
      </c>
      <c r="R12" s="251">
        <f t="shared" si="37"/>
        <v>9.5088371206708544E-3</v>
      </c>
      <c r="S12" s="250"/>
      <c r="T12" s="24">
        <v>-1</v>
      </c>
      <c r="U12" s="248">
        <f t="shared" si="14"/>
        <v>-0.28820477262855471</v>
      </c>
      <c r="V12" s="252">
        <f t="shared" si="15"/>
        <v>-0.28820477262855471</v>
      </c>
      <c r="W12" s="248">
        <f t="shared" si="38"/>
        <v>0.72367479809923152</v>
      </c>
      <c r="X12" s="252">
        <f t="shared" si="16"/>
        <v>0.72367479809923152</v>
      </c>
      <c r="Y12" s="248">
        <f t="shared" si="17"/>
        <v>-1.5222326078248138E-2</v>
      </c>
      <c r="Z12" s="252">
        <f t="shared" si="18"/>
        <v>-1.5222326078248138E-2</v>
      </c>
      <c r="AA12" s="30"/>
      <c r="AB12" s="242" t="s">
        <v>501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P12" s="28">
        <f>VLOOKUP($A12,historia!$A$5:$CM$24,+HLOOKUP(AP$2,historia!$A$3:$EC$4,2,FALSE),FALSE)</f>
        <v>5</v>
      </c>
      <c r="AQ12" s="28">
        <f>VLOOKUP($A12,historia!$A$5:$CM$24,+HLOOKUP(AQ$2,historia!$A$3:$EC$4,2,FALSE),FALSE)</f>
        <v>5</v>
      </c>
      <c r="AR12" s="28">
        <f>VLOOKUP($A12,historia!$A$5:$CM$24,+HLOOKUP(AR$2,historia!$A$3:$EC$4,2,FALSE),FALSE)</f>
        <v>5</v>
      </c>
      <c r="AS12" s="28">
        <f>VLOOKUP($A12,historia!$A$5:$CM$24,+HLOOKUP(AS$2,historia!$A$3:$EC$4,2,FALSE),FALSE)</f>
        <v>5</v>
      </c>
      <c r="AT12" s="58">
        <f>VLOOKUP($A12,historia!$A$5:$CM$24,+HLOOKUP(AT$2,historia!$A$3:$EC$4,2,FALSE),FALSE)</f>
        <v>5</v>
      </c>
      <c r="AU12" s="58">
        <f>VLOOKUP($A12,historia!$A$5:$CM$24,+HLOOKUP(AU$2,historia!$A$3:$EC$4,2,FALSE),FALSE)</f>
        <v>5</v>
      </c>
      <c r="AV12" s="58">
        <f>VLOOKUP($A12,historia!$A$5:$CM$24,+HLOOKUP(AV$2,historia!$A$3:$EC$4,2,FALSE),FALSE)</f>
        <v>5</v>
      </c>
      <c r="AW12" s="58">
        <f>VLOOKUP($A12,historia!$A$5:$CM$24,+HLOOKUP(AW$2,historia!$A$3:$EC$4,2,FALSE),FALSE)</f>
        <v>5</v>
      </c>
      <c r="AX12" s="58">
        <f>VLOOKUP($A12,historia!$A$5:$CM$24,+HLOOKUP(AX$2,historia!$A$3:$EC$4,2,FALSE),FALSE)</f>
        <v>5</v>
      </c>
      <c r="AY12" s="58">
        <f>VLOOKUP($A12,historia!$A$5:$CM$24,+HLOOKUP(AY$2,historia!$A$3:$EC$4,2,FALSE),FALSE)</f>
        <v>5</v>
      </c>
      <c r="AZ12" s="58">
        <f>VLOOKUP($A12,historia!$A$5:$CM$24,+HLOOKUP(AZ$2,historia!$A$3:$EC$4,2,FALSE),FALSE)</f>
        <v>5</v>
      </c>
      <c r="BA12" s="58">
        <f>VLOOKUP($A12,historia!$A$5:$CM$24,+HLOOKUP(BA$2,historia!$A$3:$EC$4,2,FALSE),FALSE)</f>
        <v>5</v>
      </c>
      <c r="BB12" s="30"/>
      <c r="BC12" s="141">
        <v>5</v>
      </c>
      <c r="BD12" t="str">
        <f t="shared" si="19"/>
        <v>Granos</v>
      </c>
      <c r="BE12">
        <f>+datos!AE1</f>
        <v>31</v>
      </c>
      <c r="BF12" s="2" t="str">
        <f t="shared" si="4"/>
        <v>$/t</v>
      </c>
      <c r="BG12" s="2">
        <f t="shared" si="4"/>
        <v>184228.40690789474</v>
      </c>
      <c r="BH12" s="2">
        <f t="shared" si="4"/>
        <v>193122.68714999998</v>
      </c>
      <c r="BI12" s="2">
        <f t="shared" si="4"/>
        <v>64605.463310606072</v>
      </c>
      <c r="BK12">
        <f>+datos!CG1</f>
        <v>85</v>
      </c>
      <c r="BL12" s="2">
        <f t="shared" si="20"/>
        <v>7522.885950578363</v>
      </c>
      <c r="BM12" s="2">
        <f t="shared" si="20"/>
        <v>7550.6279424411441</v>
      </c>
      <c r="BN12" s="2">
        <f t="shared" si="20"/>
        <v>2435.7139535440551</v>
      </c>
      <c r="BP12" s="1">
        <f>+datos!EA1</f>
        <v>131</v>
      </c>
      <c r="BQ12" s="1">
        <f t="shared" si="21"/>
        <v>34086000</v>
      </c>
      <c r="BR12" s="1">
        <f t="shared" si="21"/>
        <v>34007000</v>
      </c>
      <c r="BT12" s="1">
        <f>+datos!FV1</f>
        <v>178</v>
      </c>
      <c r="BU12" s="1">
        <f t="shared" si="22"/>
        <v>105953000</v>
      </c>
      <c r="BV12" s="1">
        <f t="shared" si="22"/>
        <v>104955000</v>
      </c>
      <c r="BX12" s="1">
        <f>+datos!LQ1</f>
        <v>329</v>
      </c>
      <c r="BY12" s="1">
        <f>+SUM(CJ12:CU12)</f>
        <v>38696.979949540008</v>
      </c>
      <c r="BZ12" s="1">
        <f t="shared" si="40"/>
        <v>54365.326517349997</v>
      </c>
      <c r="CB12" s="1">
        <f>+datos!LU1</f>
        <v>333</v>
      </c>
      <c r="CC12" s="2">
        <f t="shared" si="23"/>
        <v>5085.04967923</v>
      </c>
      <c r="CD12" s="2">
        <f t="shared" si="24"/>
        <v>2950.1212669799997</v>
      </c>
      <c r="CF12" s="1">
        <f>+datos!II1</f>
        <v>243</v>
      </c>
      <c r="CG12" s="1">
        <f t="shared" si="25"/>
        <v>73750000</v>
      </c>
      <c r="CH12" s="1">
        <f t="shared" si="26"/>
        <v>74890000</v>
      </c>
      <c r="CJ12" s="1">
        <f>+VLOOKUP(CJ$1,ran_dat,$BX12,FALSE)</f>
        <v>3876.9439553199995</v>
      </c>
      <c r="CK12" s="1">
        <f t="shared" si="27"/>
        <v>3089.4855235099994</v>
      </c>
      <c r="CL12" s="1">
        <f t="shared" si="27"/>
        <v>3929.1762735700004</v>
      </c>
      <c r="CM12" s="1">
        <f t="shared" si="27"/>
        <v>2955.6698254600001</v>
      </c>
      <c r="CN12" s="1">
        <f t="shared" si="27"/>
        <v>2441.9361675499999</v>
      </c>
      <c r="CO12" s="1">
        <f t="shared" si="27"/>
        <v>2439.6070879799995</v>
      </c>
      <c r="CP12" s="1">
        <f t="shared" si="27"/>
        <v>2937.94498135</v>
      </c>
      <c r="CQ12" s="1">
        <f t="shared" si="27"/>
        <v>3422.8062754199996</v>
      </c>
      <c r="CR12" s="1">
        <f t="shared" si="27"/>
        <v>3305.4373540500001</v>
      </c>
      <c r="CS12" s="1">
        <f t="shared" si="27"/>
        <v>3388.1727426199996</v>
      </c>
      <c r="CT12" s="1">
        <f t="shared" si="27"/>
        <v>3792.8302867999996</v>
      </c>
      <c r="CU12" s="1">
        <f t="shared" si="27"/>
        <v>3116.9694759099998</v>
      </c>
      <c r="CV12" s="1">
        <f t="shared" si="27"/>
        <v>2868.8536445099994</v>
      </c>
      <c r="CW12" s="1">
        <f t="shared" si="27"/>
        <v>2796.6599858300006</v>
      </c>
      <c r="CX12" s="1">
        <f t="shared" si="27"/>
        <v>2718.2915703099998</v>
      </c>
      <c r="CY12" s="1">
        <f t="shared" si="27"/>
        <v>4151.50946449</v>
      </c>
      <c r="CZ12" s="1">
        <f t="shared" si="28"/>
        <v>4450.8165799199996</v>
      </c>
      <c r="DA12" s="1">
        <f t="shared" si="28"/>
        <v>4813.7104364100005</v>
      </c>
      <c r="DB12" s="1">
        <f t="shared" si="28"/>
        <v>4478.853701</v>
      </c>
      <c r="DC12" s="1">
        <f t="shared" si="28"/>
        <v>4612.5251936800005</v>
      </c>
      <c r="DD12" s="1">
        <f t="shared" si="28"/>
        <v>5195.93512749</v>
      </c>
      <c r="DE12" s="1">
        <f t="shared" si="28"/>
        <v>5746.4543398300002</v>
      </c>
      <c r="DF12" s="1">
        <f t="shared" si="28"/>
        <v>6546.8492174599996</v>
      </c>
      <c r="DG12" s="1">
        <f t="shared" si="28"/>
        <v>5984.8672564199987</v>
      </c>
      <c r="DI12" s="1">
        <f t="shared" si="29"/>
        <v>389.85732896999997</v>
      </c>
      <c r="DJ12" s="1">
        <f t="shared" si="29"/>
        <v>280.54397103999997</v>
      </c>
      <c r="DK12" s="1">
        <f t="shared" si="29"/>
        <v>63.525792080000002</v>
      </c>
      <c r="DL12" s="1">
        <f t="shared" si="29"/>
        <v>301.92103216000004</v>
      </c>
      <c r="DM12" s="1">
        <f t="shared" si="29"/>
        <v>260.76831764999997</v>
      </c>
      <c r="DN12" s="1">
        <f t="shared" si="29"/>
        <v>244.67742642000002</v>
      </c>
      <c r="DO12" s="1">
        <f t="shared" si="29"/>
        <v>322.58249758000005</v>
      </c>
      <c r="DP12" s="1">
        <f t="shared" si="29"/>
        <v>495.08938117000014</v>
      </c>
      <c r="DQ12" s="1">
        <f t="shared" si="29"/>
        <v>539.06610803000001</v>
      </c>
      <c r="DR12" s="1">
        <f t="shared" si="29"/>
        <v>828.84254484999997</v>
      </c>
      <c r="DS12" s="1">
        <f t="shared" si="29"/>
        <v>679.74768902999983</v>
      </c>
      <c r="DT12" s="1">
        <f t="shared" si="29"/>
        <v>678.42759025000009</v>
      </c>
      <c r="DU12" s="1">
        <f t="shared" si="29"/>
        <v>816.99926951999987</v>
      </c>
      <c r="DV12" s="1">
        <f t="shared" si="29"/>
        <v>236.29083821</v>
      </c>
      <c r="DW12" s="1">
        <f t="shared" si="29"/>
        <v>13.603287699999997</v>
      </c>
      <c r="DX12" s="1">
        <f t="shared" si="29"/>
        <v>8.4785749999999993E-2</v>
      </c>
      <c r="DY12" s="1">
        <f t="shared" si="30"/>
        <v>140.70586015999999</v>
      </c>
      <c r="DZ12" s="1">
        <f t="shared" si="30"/>
        <v>7.5318475299999985</v>
      </c>
      <c r="EA12" s="1">
        <f t="shared" si="30"/>
        <v>157.51314244999998</v>
      </c>
      <c r="EB12" s="1">
        <f t="shared" si="30"/>
        <v>227.42549563</v>
      </c>
      <c r="EC12" s="1">
        <f t="shared" si="30"/>
        <v>265.08736985999997</v>
      </c>
      <c r="ED12" s="1">
        <f t="shared" si="30"/>
        <v>444.08673073</v>
      </c>
      <c r="EE12" s="1">
        <f t="shared" si="30"/>
        <v>372.45221643000002</v>
      </c>
      <c r="EF12" s="1">
        <f t="shared" si="30"/>
        <v>268.34042300999999</v>
      </c>
      <c r="EH12" s="14">
        <f t="shared" si="31"/>
        <v>73750000</v>
      </c>
      <c r="EI12" s="14">
        <f t="shared" si="31"/>
        <v>73750000</v>
      </c>
      <c r="EJ12" s="1">
        <f t="shared" si="31"/>
        <v>73450000</v>
      </c>
      <c r="EK12" s="1">
        <f t="shared" si="31"/>
        <v>73450000</v>
      </c>
      <c r="EL12" s="1">
        <f t="shared" si="31"/>
        <v>73450000</v>
      </c>
      <c r="EM12" s="1">
        <f t="shared" si="31"/>
        <v>73450000</v>
      </c>
      <c r="EN12" s="1">
        <f t="shared" si="31"/>
        <v>73450000</v>
      </c>
      <c r="EO12" s="1">
        <f t="shared" si="31"/>
        <v>73450000</v>
      </c>
      <c r="EP12" s="1">
        <f t="shared" si="31"/>
        <v>73450000</v>
      </c>
      <c r="EQ12" s="1">
        <f t="shared" si="31"/>
        <v>73450000</v>
      </c>
      <c r="ER12" s="1">
        <f t="shared" si="31"/>
        <v>73450000</v>
      </c>
      <c r="ES12" s="1">
        <f t="shared" si="31"/>
        <v>73450000</v>
      </c>
      <c r="ET12" s="1">
        <f t="shared" si="31"/>
        <v>74890000</v>
      </c>
      <c r="EU12" s="1">
        <f t="shared" si="31"/>
        <v>75510000</v>
      </c>
      <c r="EV12" s="1">
        <f t="shared" si="31"/>
        <v>75510000</v>
      </c>
      <c r="EW12" s="1">
        <f t="shared" si="31"/>
        <v>75060000</v>
      </c>
      <c r="EX12" s="1">
        <f t="shared" si="32"/>
        <v>75060000</v>
      </c>
      <c r="EY12" s="1">
        <f t="shared" si="32"/>
        <v>75060000</v>
      </c>
      <c r="EZ12" s="1">
        <f t="shared" si="32"/>
        <v>75060000</v>
      </c>
      <c r="FA12" s="1">
        <f t="shared" si="32"/>
        <v>75060000</v>
      </c>
      <c r="FB12" s="1">
        <f t="shared" si="32"/>
        <v>75060000</v>
      </c>
      <c r="FC12" s="1">
        <f t="shared" si="32"/>
        <v>75060000</v>
      </c>
      <c r="FD12" s="1">
        <f t="shared" si="32"/>
        <v>75060000</v>
      </c>
      <c r="FE12" s="1">
        <f t="shared" si="32"/>
        <v>75060000</v>
      </c>
      <c r="FG12" s="162">
        <f t="shared" si="33"/>
        <v>-0.23698353703007147</v>
      </c>
    </row>
    <row r="13" spans="1:163" ht="18.75" customHeight="1">
      <c r="A13" s="244" t="s">
        <v>217</v>
      </c>
      <c r="B13" s="247"/>
      <c r="C13" s="228">
        <f t="shared" si="5"/>
        <v>0</v>
      </c>
      <c r="D13" s="229">
        <v>-1</v>
      </c>
      <c r="E13" s="253">
        <f t="shared" si="6"/>
        <v>0.23987163722408078</v>
      </c>
      <c r="F13" s="254">
        <f t="shared" si="7"/>
        <v>0.12977523659679258</v>
      </c>
      <c r="G13" s="253">
        <f t="shared" si="8"/>
        <v>9.6787228810799153E-2</v>
      </c>
      <c r="H13" s="254">
        <f t="shared" si="9"/>
        <v>0.14308440841328163</v>
      </c>
      <c r="I13" s="253">
        <f t="shared" si="10"/>
        <v>2.6610164123364179</v>
      </c>
      <c r="J13" s="254">
        <f t="shared" si="11"/>
        <v>-0.21756018772150254</v>
      </c>
      <c r="K13" s="253">
        <f t="shared" si="34"/>
        <v>2.5786302769085347</v>
      </c>
      <c r="L13" s="254">
        <f t="shared" si="12"/>
        <v>8.23861354278832E-2</v>
      </c>
      <c r="M13" s="255"/>
      <c r="N13" s="256">
        <v>0</v>
      </c>
      <c r="O13" s="253">
        <f t="shared" si="35"/>
        <v>-3.3006472151727695E-2</v>
      </c>
      <c r="P13" s="257">
        <f t="shared" si="36"/>
        <v>-3.3006472151727695E-2</v>
      </c>
      <c r="Q13" s="253">
        <f t="shared" si="13"/>
        <v>-1.4386787894224651E-2</v>
      </c>
      <c r="R13" s="257">
        <f t="shared" si="37"/>
        <v>-1.4386787894224651E-2</v>
      </c>
      <c r="S13" s="255"/>
      <c r="T13" s="256">
        <v>1</v>
      </c>
      <c r="U13" s="253">
        <f t="shared" si="14"/>
        <v>0.45642948430205688</v>
      </c>
      <c r="V13" s="258">
        <f t="shared" si="15"/>
        <v>0.45642948430205688</v>
      </c>
      <c r="W13" s="253">
        <f t="shared" si="38"/>
        <v>-0.4220754856355039</v>
      </c>
      <c r="X13" s="258">
        <f t="shared" si="16"/>
        <v>-0.4220754856355039</v>
      </c>
      <c r="Y13" s="253" t="str">
        <f t="shared" si="17"/>
        <v/>
      </c>
      <c r="Z13" s="258" t="str">
        <f t="shared" si="18"/>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3</v>
      </c>
      <c r="BA13" s="58">
        <f>VLOOKUP($A13,historia!$A$5:$CM$24,+HLOOKUP(BA$2,historia!$A$3:$EC$4,2,FALSE),FALSE)</f>
        <v>3</v>
      </c>
      <c r="BB13" s="30"/>
      <c r="BC13" s="141">
        <v>3</v>
      </c>
      <c r="BD13" t="str">
        <f t="shared" si="19"/>
        <v>Hortalizas</v>
      </c>
      <c r="BE13">
        <f>+datos!BB1</f>
        <v>54</v>
      </c>
      <c r="BF13" s="2" t="str">
        <f t="shared" si="4"/>
        <v>$/kg</v>
      </c>
      <c r="BG13" s="2">
        <f t="shared" si="4"/>
        <v>8543.7712532488622</v>
      </c>
      <c r="BH13" s="2">
        <f t="shared" si="4"/>
        <v>6890.8514371514366</v>
      </c>
      <c r="BI13" s="2">
        <f t="shared" si="4"/>
        <v>2333.7156382198045</v>
      </c>
      <c r="BK13">
        <f>+datos!CO1</f>
        <v>93</v>
      </c>
      <c r="BL13" s="2">
        <f t="shared" si="20"/>
        <v>7577.9733580609272</v>
      </c>
      <c r="BM13" s="2">
        <f t="shared" si="20"/>
        <v>6909.2465329646557</v>
      </c>
      <c r="BN13" s="2">
        <f t="shared" si="20"/>
        <v>2117.5625230017608</v>
      </c>
      <c r="BP13" s="1">
        <f>+datos!EX1</f>
        <v>154</v>
      </c>
      <c r="BQ13" s="1">
        <f t="shared" si="21"/>
        <v>64395</v>
      </c>
      <c r="BR13" s="1">
        <f t="shared" si="21"/>
        <v>66593</v>
      </c>
      <c r="BT13" s="1">
        <f>+datos!GN1</f>
        <v>196</v>
      </c>
      <c r="BU13" s="1">
        <f t="shared" si="22"/>
        <v>2639386</v>
      </c>
      <c r="BV13" s="1">
        <f t="shared" si="22"/>
        <v>2677912.56</v>
      </c>
      <c r="BX13" s="1">
        <f>+datos!LR1</f>
        <v>330</v>
      </c>
      <c r="BY13" s="1">
        <f t="shared" si="39"/>
        <v>74.313929910000013</v>
      </c>
      <c r="BZ13" s="1">
        <f t="shared" si="40"/>
        <v>51.024735980000003</v>
      </c>
      <c r="CB13" s="1">
        <f>+datos!LV1</f>
        <v>334</v>
      </c>
      <c r="CC13" s="2">
        <f t="shared" si="23"/>
        <v>14.920397910000002</v>
      </c>
      <c r="CD13" s="2">
        <f t="shared" si="24"/>
        <v>25.81720889</v>
      </c>
      <c r="CF13" s="1">
        <f>+datos!IX1</f>
        <v>258</v>
      </c>
      <c r="CG13" s="1">
        <f t="shared" si="25"/>
        <v>0</v>
      </c>
      <c r="CH13" s="1">
        <f t="shared" si="26"/>
        <v>0</v>
      </c>
      <c r="CJ13" s="1">
        <f t="shared" si="27"/>
        <v>12.356255849999998</v>
      </c>
      <c r="CK13" s="1">
        <f t="shared" si="27"/>
        <v>7.66143427</v>
      </c>
      <c r="CL13" s="1">
        <f t="shared" si="27"/>
        <v>3.9700200400000001</v>
      </c>
      <c r="CM13" s="1">
        <f t="shared" si="27"/>
        <v>4.244482989999999</v>
      </c>
      <c r="CN13" s="1">
        <f t="shared" si="27"/>
        <v>3.7692072699999999</v>
      </c>
      <c r="CO13" s="1">
        <f t="shared" si="27"/>
        <v>4.3561451300000007</v>
      </c>
      <c r="CP13" s="1">
        <f t="shared" si="27"/>
        <v>2.35708815</v>
      </c>
      <c r="CQ13" s="1">
        <f t="shared" si="27"/>
        <v>2.9990922500000003</v>
      </c>
      <c r="CR13" s="1">
        <f t="shared" si="27"/>
        <v>4.9654154400000001</v>
      </c>
      <c r="CS13" s="1">
        <f t="shared" si="27"/>
        <v>7.7556872599999993</v>
      </c>
      <c r="CT13" s="1">
        <f t="shared" si="27"/>
        <v>10.641103850000002</v>
      </c>
      <c r="CU13" s="1">
        <f t="shared" si="27"/>
        <v>9.2379974100000002</v>
      </c>
      <c r="CV13" s="1">
        <f t="shared" si="27"/>
        <v>6.8023944899999993</v>
      </c>
      <c r="CW13" s="1">
        <f t="shared" si="27"/>
        <v>2.5188479500000001</v>
      </c>
      <c r="CX13" s="1">
        <f t="shared" si="27"/>
        <v>1.93600679</v>
      </c>
      <c r="CY13" s="1">
        <f t="shared" si="27"/>
        <v>3.7029913799999998</v>
      </c>
      <c r="CZ13" s="1">
        <f t="shared" si="28"/>
        <v>3.1144052499999999</v>
      </c>
      <c r="DA13" s="1">
        <f t="shared" si="28"/>
        <v>2.0701945399999997</v>
      </c>
      <c r="DB13" s="1">
        <f t="shared" si="28"/>
        <v>2.0629542399999998</v>
      </c>
      <c r="DC13" s="1">
        <f t="shared" si="28"/>
        <v>2.51054522</v>
      </c>
      <c r="DD13" s="1">
        <f t="shared" si="28"/>
        <v>2.2984328500000002</v>
      </c>
      <c r="DE13" s="1">
        <f t="shared" si="28"/>
        <v>3.8278206699999999</v>
      </c>
      <c r="DF13" s="1">
        <f t="shared" si="28"/>
        <v>11.23098199</v>
      </c>
      <c r="DG13" s="1">
        <f t="shared" si="28"/>
        <v>8.9491606099999998</v>
      </c>
      <c r="DI13" s="1">
        <f t="shared" si="29"/>
        <v>5.8121779999999998E-2</v>
      </c>
      <c r="DJ13" s="1">
        <f t="shared" si="29"/>
        <v>0.22874177000000001</v>
      </c>
      <c r="DK13" s="1">
        <f t="shared" si="29"/>
        <v>6.8422739999999996E-2</v>
      </c>
      <c r="DL13" s="1">
        <f t="shared" si="29"/>
        <v>1.38860757</v>
      </c>
      <c r="DM13" s="1">
        <f t="shared" si="29"/>
        <v>1.9631409899999996</v>
      </c>
      <c r="DN13" s="1">
        <f t="shared" si="29"/>
        <v>1.5225679400000001</v>
      </c>
      <c r="DO13" s="1">
        <f t="shared" si="29"/>
        <v>1.3263511099999998</v>
      </c>
      <c r="DP13" s="1">
        <f t="shared" si="29"/>
        <v>2.5091586699999997</v>
      </c>
      <c r="DQ13" s="1">
        <f t="shared" si="29"/>
        <v>1.6528733800000002</v>
      </c>
      <c r="DR13" s="1">
        <f t="shared" si="29"/>
        <v>0.42388491999999994</v>
      </c>
      <c r="DS13" s="1">
        <f t="shared" si="29"/>
        <v>1.7301791</v>
      </c>
      <c r="DT13" s="1">
        <f t="shared" si="29"/>
        <v>2.0483479400000002</v>
      </c>
      <c r="DU13" s="1">
        <f t="shared" si="29"/>
        <v>0.56045690999999997</v>
      </c>
      <c r="DV13" s="1">
        <f t="shared" si="29"/>
        <v>1.1333685500000001</v>
      </c>
      <c r="DW13" s="1">
        <f t="shared" si="29"/>
        <v>1.93118693</v>
      </c>
      <c r="DX13" s="1">
        <f t="shared" si="29"/>
        <v>0.60248590000000002</v>
      </c>
      <c r="DY13" s="1">
        <f t="shared" si="30"/>
        <v>0.87790919000000001</v>
      </c>
      <c r="DZ13" s="1">
        <f t="shared" si="30"/>
        <v>1.4386166999999999</v>
      </c>
      <c r="EA13" s="1">
        <f t="shared" si="30"/>
        <v>5.8540475399999998</v>
      </c>
      <c r="EB13" s="1">
        <f t="shared" si="30"/>
        <v>5.5126731700000002</v>
      </c>
      <c r="EC13" s="1">
        <f t="shared" si="30"/>
        <v>2.0048543400000001</v>
      </c>
      <c r="ED13" s="1">
        <f t="shared" si="30"/>
        <v>1.96789565</v>
      </c>
      <c r="EE13" s="1">
        <f t="shared" si="30"/>
        <v>1.35731402</v>
      </c>
      <c r="EF13" s="1">
        <f t="shared" si="30"/>
        <v>2.5763999899999996</v>
      </c>
      <c r="EH13" s="14">
        <f t="shared" si="31"/>
        <v>0</v>
      </c>
      <c r="EI13" s="14">
        <f t="shared" si="31"/>
        <v>0</v>
      </c>
      <c r="EJ13" s="1">
        <f t="shared" si="31"/>
        <v>0</v>
      </c>
      <c r="EK13" s="1">
        <f t="shared" si="31"/>
        <v>0</v>
      </c>
      <c r="EL13" s="1">
        <f t="shared" si="31"/>
        <v>0</v>
      </c>
      <c r="EM13" s="1">
        <f t="shared" si="31"/>
        <v>0</v>
      </c>
      <c r="EN13" s="1">
        <f t="shared" si="31"/>
        <v>0</v>
      </c>
      <c r="EO13" s="1">
        <f t="shared" si="31"/>
        <v>0</v>
      </c>
      <c r="EP13" s="1">
        <f t="shared" si="31"/>
        <v>0</v>
      </c>
      <c r="EQ13" s="1">
        <f t="shared" si="31"/>
        <v>0</v>
      </c>
      <c r="ER13" s="1">
        <f t="shared" si="31"/>
        <v>0</v>
      </c>
      <c r="ES13" s="1">
        <f t="shared" si="31"/>
        <v>0</v>
      </c>
      <c r="ET13" s="1">
        <f t="shared" si="31"/>
        <v>0</v>
      </c>
      <c r="EU13" s="1">
        <f t="shared" si="31"/>
        <v>0</v>
      </c>
      <c r="EV13" s="1">
        <f t="shared" si="31"/>
        <v>0</v>
      </c>
      <c r="EW13" s="1">
        <f t="shared" si="31"/>
        <v>0</v>
      </c>
      <c r="EX13" s="1">
        <f t="shared" si="32"/>
        <v>0</v>
      </c>
      <c r="EY13" s="1">
        <f t="shared" si="32"/>
        <v>0</v>
      </c>
      <c r="EZ13" s="1">
        <f t="shared" si="32"/>
        <v>0</v>
      </c>
      <c r="FA13" s="1">
        <f t="shared" si="32"/>
        <v>0</v>
      </c>
      <c r="FB13" s="1">
        <f t="shared" si="32"/>
        <v>0</v>
      </c>
      <c r="FC13" s="1">
        <f t="shared" si="32"/>
        <v>0</v>
      </c>
      <c r="FD13" s="1">
        <f t="shared" si="32"/>
        <v>0</v>
      </c>
      <c r="FE13" s="1">
        <f t="shared" si="32"/>
        <v>0</v>
      </c>
      <c r="FG13" s="162">
        <f t="shared" si="33"/>
        <v>8.23861354278832E-2</v>
      </c>
    </row>
    <row r="14" spans="1:163" ht="18.75" customHeight="1">
      <c r="A14" s="243" t="s">
        <v>65</v>
      </c>
      <c r="B14" s="246"/>
      <c r="C14" s="156">
        <f t="shared" si="5"/>
        <v>-0.33</v>
      </c>
      <c r="D14" s="198">
        <v>1</v>
      </c>
      <c r="E14" s="248">
        <f t="shared" si="6"/>
        <v>0.13709760362028178</v>
      </c>
      <c r="F14" s="249">
        <f t="shared" si="7"/>
        <v>2.7001202992993578E-2</v>
      </c>
      <c r="G14" s="248">
        <f t="shared" si="8"/>
        <v>2.0098827923967333E-2</v>
      </c>
      <c r="H14" s="249">
        <f t="shared" si="9"/>
        <v>0.11699877569631445</v>
      </c>
      <c r="I14" s="248">
        <f t="shared" si="10"/>
        <v>3.0681957561633757</v>
      </c>
      <c r="J14" s="249">
        <f t="shared" si="11"/>
        <v>0.18961915610545521</v>
      </c>
      <c r="K14" s="248">
        <f t="shared" si="34"/>
        <v>2.0697419748221701</v>
      </c>
      <c r="L14" s="249">
        <f t="shared" si="12"/>
        <v>0.99845378134120555</v>
      </c>
      <c r="M14" s="250"/>
      <c r="N14" s="24">
        <v>-1</v>
      </c>
      <c r="O14" s="248">
        <f t="shared" si="35"/>
        <v>0</v>
      </c>
      <c r="P14" s="251">
        <f t="shared" si="36"/>
        <v>0</v>
      </c>
      <c r="Q14" s="248">
        <f t="shared" si="13"/>
        <v>-5.0952193403087986E-2</v>
      </c>
      <c r="R14" s="251">
        <f t="shared" si="37"/>
        <v>-5.0952193403087986E-2</v>
      </c>
      <c r="S14" s="250"/>
      <c r="T14" s="24">
        <v>-1</v>
      </c>
      <c r="U14" s="248">
        <f t="shared" si="14"/>
        <v>-0.19736283373034746</v>
      </c>
      <c r="V14" s="252">
        <f t="shared" si="15"/>
        <v>-0.19736283373034746</v>
      </c>
      <c r="W14" s="248">
        <f t="shared" si="38"/>
        <v>-0.26490838337900513</v>
      </c>
      <c r="X14" s="252">
        <f t="shared" si="16"/>
        <v>-0.26490838337900513</v>
      </c>
      <c r="Y14" s="248">
        <f t="shared" si="17"/>
        <v>-9.4379639448568309E-2</v>
      </c>
      <c r="Z14" s="252">
        <f t="shared" si="18"/>
        <v>-9.4379639448568309E-2</v>
      </c>
      <c r="AA14" s="30"/>
      <c r="AB14" s="242" t="s">
        <v>502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P14" s="28">
        <f>VLOOKUP($A14,historia!$A$5:$CM$24,+HLOOKUP(AP$2,historia!$A$3:$EC$4,2,FALSE),FALSE)</f>
        <v>5</v>
      </c>
      <c r="AQ14" s="28">
        <f>VLOOKUP($A14,historia!$A$5:$CM$24,+HLOOKUP(AQ$2,historia!$A$3:$EC$4,2,FALSE),FALSE)</f>
        <v>5</v>
      </c>
      <c r="AR14" s="28">
        <f>VLOOKUP($A14,historia!$A$5:$CM$24,+HLOOKUP(AR$2,historia!$A$3:$EC$4,2,FALSE),FALSE)</f>
        <v>5</v>
      </c>
      <c r="AS14" s="28">
        <f>VLOOKUP($A14,historia!$A$5:$CM$24,+HLOOKUP(AS$2,historia!$A$3:$EC$4,2,FALSE),FALSE)</f>
        <v>5</v>
      </c>
      <c r="AT14" s="58">
        <f>VLOOKUP($A14,historia!$A$5:$CM$24,+HLOOKUP(AT$2,historia!$A$3:$EC$4,2,FALSE),FALSE)</f>
        <v>5</v>
      </c>
      <c r="AU14" s="58">
        <f>VLOOKUP($A14,historia!$A$5:$CM$24,+HLOOKUP(AU$2,historia!$A$3:$EC$4,2,FALSE),FALSE)</f>
        <v>5</v>
      </c>
      <c r="AV14" s="58">
        <f>VLOOKUP($A14,historia!$A$5:$CM$24,+HLOOKUP(AV$2,historia!$A$3:$EC$4,2,FALSE),FALSE)</f>
        <v>5</v>
      </c>
      <c r="AW14" s="58">
        <f>VLOOKUP($A14,historia!$A$5:$CM$24,+HLOOKUP(AW$2,historia!$A$3:$EC$4,2,FALSE),FALSE)</f>
        <v>5</v>
      </c>
      <c r="AX14" s="58">
        <f>VLOOKUP($A14,historia!$A$5:$CM$24,+HLOOKUP(AX$2,historia!$A$3:$EC$4,2,FALSE),FALSE)</f>
        <v>5</v>
      </c>
      <c r="AY14" s="58">
        <f>VLOOKUP($A14,historia!$A$5:$CM$24,+HLOOKUP(AY$2,historia!$A$3:$EC$4,2,FALSE),FALSE)</f>
        <v>5</v>
      </c>
      <c r="AZ14" s="58">
        <f>VLOOKUP($A14,historia!$A$5:$CM$24,+HLOOKUP(AZ$2,historia!$A$3:$EC$4,2,FALSE),FALSE)</f>
        <v>4</v>
      </c>
      <c r="BA14" s="58">
        <f>VLOOKUP($A14,historia!$A$5:$CM$24,+HLOOKUP(BA$2,historia!$A$3:$EC$4,2,FALSE),FALSE)</f>
        <v>4</v>
      </c>
      <c r="BB14" s="30"/>
      <c r="BC14" s="141">
        <v>4</v>
      </c>
      <c r="BD14" t="str">
        <f t="shared" si="19"/>
        <v>Leche</v>
      </c>
      <c r="BE14">
        <f>+datos!BN1</f>
        <v>66</v>
      </c>
      <c r="BF14" s="2" t="str">
        <f t="shared" si="4"/>
        <v>$/l</v>
      </c>
      <c r="BG14" s="2">
        <f t="shared" si="4"/>
        <v>331.68</v>
      </c>
      <c r="BH14" s="2">
        <f t="shared" si="4"/>
        <v>291.69</v>
      </c>
      <c r="BI14" s="2">
        <f t="shared" si="4"/>
        <v>81.53</v>
      </c>
      <c r="BK14">
        <f>+datos!DC1</f>
        <v>107</v>
      </c>
      <c r="BL14" s="2">
        <f t="shared" si="20"/>
        <v>7158.7855284572697</v>
      </c>
      <c r="BM14" s="2">
        <f t="shared" si="20"/>
        <v>7017.7372353483843</v>
      </c>
      <c r="BN14" s="2">
        <f t="shared" si="20"/>
        <v>2332.047965976677</v>
      </c>
      <c r="BP14" s="1">
        <f>+datos!EN1</f>
        <v>144</v>
      </c>
      <c r="BQ14" s="1">
        <f t="shared" si="21"/>
        <v>3169981</v>
      </c>
      <c r="BR14" s="1">
        <f t="shared" si="21"/>
        <v>3169981</v>
      </c>
      <c r="BT14" s="1">
        <f>+datos!HP1</f>
        <v>224</v>
      </c>
      <c r="BU14" s="1">
        <f t="shared" si="22"/>
        <v>10963.307084</v>
      </c>
      <c r="BV14" s="1">
        <f t="shared" si="22"/>
        <v>11551.901819690347</v>
      </c>
      <c r="BX14" s="1">
        <f>+datos!KH1</f>
        <v>294</v>
      </c>
      <c r="BY14" s="1">
        <f t="shared" si="39"/>
        <v>1517.20839458</v>
      </c>
      <c r="BZ14" s="1">
        <f t="shared" si="40"/>
        <v>1890.2792673200001</v>
      </c>
      <c r="CB14" s="1">
        <f>+datos!LM1</f>
        <v>325</v>
      </c>
      <c r="CC14" s="2">
        <f t="shared" si="23"/>
        <v>23.399727760000001</v>
      </c>
      <c r="CD14" s="2">
        <f t="shared" si="24"/>
        <v>31.83239644</v>
      </c>
      <c r="CF14" s="1">
        <f>+datos!IN1</f>
        <v>248</v>
      </c>
      <c r="CG14" s="1">
        <f t="shared" si="25"/>
        <v>170.8</v>
      </c>
      <c r="CH14" s="1">
        <f t="shared" si="26"/>
        <v>188.6</v>
      </c>
      <c r="CJ14" s="1">
        <f t="shared" si="27"/>
        <v>126.46519539000002</v>
      </c>
      <c r="CK14" s="1">
        <f t="shared" si="27"/>
        <v>140.50614890000003</v>
      </c>
      <c r="CL14" s="1">
        <f t="shared" si="27"/>
        <v>139.44218023000002</v>
      </c>
      <c r="CM14" s="1">
        <f t="shared" si="27"/>
        <v>153.04661877999999</v>
      </c>
      <c r="CN14" s="1">
        <f t="shared" si="27"/>
        <v>136.81239812999999</v>
      </c>
      <c r="CO14" s="1">
        <f t="shared" si="27"/>
        <v>134.16752365000002</v>
      </c>
      <c r="CP14" s="1">
        <f t="shared" si="27"/>
        <v>114.82793965999997</v>
      </c>
      <c r="CQ14" s="1">
        <f t="shared" si="27"/>
        <v>120.47507141999999</v>
      </c>
      <c r="CR14" s="1">
        <f t="shared" si="27"/>
        <v>118.84770241</v>
      </c>
      <c r="CS14" s="1">
        <f t="shared" si="27"/>
        <v>100.85116919999999</v>
      </c>
      <c r="CT14" s="1">
        <f t="shared" si="27"/>
        <v>116.29617616</v>
      </c>
      <c r="CU14" s="1">
        <f t="shared" si="27"/>
        <v>115.47027065</v>
      </c>
      <c r="CV14" s="1">
        <f t="shared" si="27"/>
        <v>138.26089648999999</v>
      </c>
      <c r="CW14" s="1">
        <f t="shared" si="27"/>
        <v>163.45053632000003</v>
      </c>
      <c r="CX14" s="1">
        <f t="shared" si="27"/>
        <v>135.61809928</v>
      </c>
      <c r="CY14" s="1">
        <f t="shared" si="27"/>
        <v>152.11245593000001</v>
      </c>
      <c r="CZ14" s="1">
        <f t="shared" si="28"/>
        <v>167.62191332</v>
      </c>
      <c r="DA14" s="1">
        <f t="shared" si="28"/>
        <v>194.12902524000003</v>
      </c>
      <c r="DB14" s="1">
        <f t="shared" si="28"/>
        <v>153.24721415000002</v>
      </c>
      <c r="DC14" s="1">
        <f t="shared" si="28"/>
        <v>146.24437125</v>
      </c>
      <c r="DD14" s="1">
        <f t="shared" si="28"/>
        <v>192.10888658000002</v>
      </c>
      <c r="DE14" s="1">
        <f t="shared" si="28"/>
        <v>152.44279752</v>
      </c>
      <c r="DF14" s="1">
        <f t="shared" si="28"/>
        <v>151.50018190000003</v>
      </c>
      <c r="DG14" s="1">
        <f t="shared" si="28"/>
        <v>143.54288933999999</v>
      </c>
      <c r="DI14" s="1">
        <f t="shared" si="29"/>
        <v>1.92660527</v>
      </c>
      <c r="DJ14" s="1">
        <f t="shared" si="29"/>
        <v>0.38991597</v>
      </c>
      <c r="DK14" s="1">
        <f t="shared" si="29"/>
        <v>3.0425877200000002</v>
      </c>
      <c r="DL14" s="1">
        <f t="shared" si="29"/>
        <v>1.8227840799999999</v>
      </c>
      <c r="DM14" s="1">
        <f t="shared" si="29"/>
        <v>2.1288867499999999</v>
      </c>
      <c r="DN14" s="1">
        <f t="shared" si="29"/>
        <v>2.0947676</v>
      </c>
      <c r="DO14" s="1">
        <f t="shared" si="29"/>
        <v>1.2699740900000001</v>
      </c>
      <c r="DP14" s="1">
        <f t="shared" si="29"/>
        <v>1.3202370399999999</v>
      </c>
      <c r="DQ14" s="1">
        <f t="shared" si="29"/>
        <v>2.29115132</v>
      </c>
      <c r="DR14" s="1">
        <f t="shared" si="29"/>
        <v>1.8108909100000001</v>
      </c>
      <c r="DS14" s="1">
        <f t="shared" si="29"/>
        <v>3.0093188999999998</v>
      </c>
      <c r="DT14" s="1">
        <f t="shared" si="29"/>
        <v>2.2926081099999998</v>
      </c>
      <c r="DU14" s="1">
        <f t="shared" si="29"/>
        <v>3.2446467999999999</v>
      </c>
      <c r="DV14" s="1">
        <f t="shared" si="29"/>
        <v>2.3068511200000001</v>
      </c>
      <c r="DW14" s="1">
        <f t="shared" si="29"/>
        <v>2.4321035299999991</v>
      </c>
      <c r="DX14" s="1">
        <f t="shared" si="29"/>
        <v>0</v>
      </c>
      <c r="DY14" s="1">
        <f t="shared" si="30"/>
        <v>2.4168714900000001</v>
      </c>
      <c r="DZ14" s="1">
        <f t="shared" si="30"/>
        <v>1.42944377</v>
      </c>
      <c r="EA14" s="1">
        <f t="shared" si="30"/>
        <v>2.4256843100000003</v>
      </c>
      <c r="EB14" s="1">
        <f t="shared" si="30"/>
        <v>4.1067614599999995</v>
      </c>
      <c r="EC14" s="1">
        <f t="shared" si="30"/>
        <v>1.9338399900000003</v>
      </c>
      <c r="ED14" s="1">
        <f t="shared" si="30"/>
        <v>3.7249795299999997</v>
      </c>
      <c r="EE14" s="1">
        <f t="shared" si="30"/>
        <v>4.5194618700000007</v>
      </c>
      <c r="EF14" s="1">
        <f t="shared" si="30"/>
        <v>3.2917525699999999</v>
      </c>
      <c r="EH14" s="14">
        <f t="shared" si="31"/>
        <v>170.8</v>
      </c>
      <c r="EI14" s="14">
        <f t="shared" si="31"/>
        <v>170.8</v>
      </c>
      <c r="EJ14" s="1">
        <f t="shared" si="31"/>
        <v>187.7</v>
      </c>
      <c r="EK14" s="1">
        <f t="shared" si="31"/>
        <v>196.8</v>
      </c>
      <c r="EL14" s="1">
        <f t="shared" si="31"/>
        <v>196.8</v>
      </c>
      <c r="EM14" s="1">
        <f t="shared" si="31"/>
        <v>188.6</v>
      </c>
      <c r="EN14" s="1">
        <f t="shared" si="31"/>
        <v>188.6</v>
      </c>
      <c r="EO14" s="1">
        <f t="shared" si="31"/>
        <v>188.6</v>
      </c>
      <c r="EP14" s="1">
        <f t="shared" si="31"/>
        <v>188.6</v>
      </c>
      <c r="EQ14" s="1">
        <f t="shared" si="31"/>
        <v>188.6</v>
      </c>
      <c r="ER14" s="1">
        <f t="shared" si="31"/>
        <v>188.6</v>
      </c>
      <c r="ES14" s="1">
        <f t="shared" si="31"/>
        <v>188.6</v>
      </c>
      <c r="ET14" s="1">
        <f t="shared" si="31"/>
        <v>188.6</v>
      </c>
      <c r="EU14" s="1">
        <f t="shared" si="31"/>
        <v>188.6</v>
      </c>
      <c r="EV14" s="1">
        <f t="shared" si="31"/>
        <v>188.6</v>
      </c>
      <c r="EW14" s="1">
        <f t="shared" si="31"/>
        <v>188.6</v>
      </c>
      <c r="EX14" s="1">
        <f t="shared" si="32"/>
        <v>188.6</v>
      </c>
      <c r="EY14" s="1">
        <f t="shared" si="32"/>
        <v>185.6</v>
      </c>
      <c r="EZ14" s="1">
        <f t="shared" si="32"/>
        <v>185.6</v>
      </c>
      <c r="FA14" s="1">
        <f t="shared" si="32"/>
        <v>189</v>
      </c>
      <c r="FB14" s="1">
        <f t="shared" si="32"/>
        <v>189</v>
      </c>
      <c r="FC14" s="1">
        <f t="shared" si="32"/>
        <v>189</v>
      </c>
      <c r="FD14" s="1">
        <f t="shared" si="32"/>
        <v>189</v>
      </c>
      <c r="FE14" s="1">
        <f t="shared" si="32"/>
        <v>189</v>
      </c>
      <c r="FG14" s="162">
        <f t="shared" si="33"/>
        <v>0.99845378134120555</v>
      </c>
    </row>
    <row r="15" spans="1:163" ht="18.75" customHeight="1">
      <c r="A15" s="244" t="s">
        <v>68</v>
      </c>
      <c r="B15" s="247"/>
      <c r="C15" s="228">
        <v>0</v>
      </c>
      <c r="D15" s="229">
        <v>0</v>
      </c>
      <c r="E15" s="253">
        <f t="shared" si="6"/>
        <v>-8.9136225266362223E-2</v>
      </c>
      <c r="F15" s="254">
        <f t="shared" si="7"/>
        <v>-0.19923262589365043</v>
      </c>
      <c r="G15" s="253">
        <f t="shared" si="8"/>
        <v>8.6000953815481562E-2</v>
      </c>
      <c r="H15" s="254">
        <f t="shared" si="9"/>
        <v>-0.17513717908184379</v>
      </c>
      <c r="I15" s="253">
        <f t="shared" si="10"/>
        <v>0.88585496866606994</v>
      </c>
      <c r="J15" s="254">
        <f t="shared" si="11"/>
        <v>-1.9927216313918505</v>
      </c>
      <c r="K15" s="253">
        <f t="shared" si="34"/>
        <v>2.3331328603158648</v>
      </c>
      <c r="L15" s="254">
        <f t="shared" si="12"/>
        <v>-1.4472778916497948</v>
      </c>
      <c r="M15" s="255"/>
      <c r="N15" s="256">
        <v>0</v>
      </c>
      <c r="O15" s="253">
        <f t="shared" si="35"/>
        <v>-8.022582082899965E-3</v>
      </c>
      <c r="P15" s="257">
        <f t="shared" si="36"/>
        <v>-8.022582082899965E-3</v>
      </c>
      <c r="Q15" s="253">
        <f t="shared" si="13"/>
        <v>-3.262739139568871E-3</v>
      </c>
      <c r="R15" s="257">
        <f t="shared" si="37"/>
        <v>-3.262739139568871E-3</v>
      </c>
      <c r="S15" s="255"/>
      <c r="T15" s="256">
        <v>-1</v>
      </c>
      <c r="U15" s="253" t="str">
        <f t="shared" si="14"/>
        <v/>
      </c>
      <c r="V15" s="258" t="str">
        <f t="shared" si="15"/>
        <v/>
      </c>
      <c r="W15" s="253">
        <f t="shared" si="38"/>
        <v>-0.23109739663103368</v>
      </c>
      <c r="X15" s="258">
        <f t="shared" si="16"/>
        <v>-0.23109739663103368</v>
      </c>
      <c r="Y15" s="253">
        <f t="shared" si="17"/>
        <v>0</v>
      </c>
      <c r="Z15" s="258">
        <f t="shared" si="18"/>
        <v>0</v>
      </c>
      <c r="AA15" s="238"/>
      <c r="AB15" s="242" t="s">
        <v>503</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P15" s="28">
        <f>VLOOKUP($A15,historia!$A$5:$CM$24,+HLOOKUP(AP$2,historia!$A$3:$EC$4,2,FALSE),FALSE)</f>
        <v>4</v>
      </c>
      <c r="AQ15" s="28">
        <f>VLOOKUP($A15,historia!$A$5:$CM$24,+HLOOKUP(AQ$2,historia!$A$3:$EC$4,2,FALSE),FALSE)</f>
        <v>4</v>
      </c>
      <c r="AR15" s="28">
        <f>VLOOKUP($A15,historia!$A$5:$CM$24,+HLOOKUP(AR$2,historia!$A$3:$EC$4,2,FALSE),FALSE)</f>
        <v>4</v>
      </c>
      <c r="AS15" s="28">
        <f>VLOOKUP($A15,historia!$A$5:$CM$24,+HLOOKUP(AS$2,historia!$A$3:$EC$4,2,FALSE),FALSE)</f>
        <v>4</v>
      </c>
      <c r="AT15" s="58">
        <f>VLOOKUP($A15,historia!$A$5:$CM$24,+HLOOKUP(AT$2,historia!$A$3:$EC$4,2,FALSE),FALSE)</f>
        <v>4</v>
      </c>
      <c r="AU15" s="58">
        <f>VLOOKUP($A15,historia!$A$5:$CM$24,+HLOOKUP(AU$2,historia!$A$3:$EC$4,2,FALSE),FALSE)</f>
        <v>4</v>
      </c>
      <c r="AV15" s="58">
        <f>VLOOKUP($A15,historia!$A$5:$CM$24,+HLOOKUP(AV$2,historia!$A$3:$EC$4,2,FALSE),FALSE)</f>
        <v>4</v>
      </c>
      <c r="AW15" s="58">
        <f>VLOOKUP($A15,historia!$A$5:$CM$24,+HLOOKUP(AW$2,historia!$A$3:$EC$4,2,FALSE),FALSE)</f>
        <v>4</v>
      </c>
      <c r="AX15" s="58">
        <f>VLOOKUP($A15,historia!$A$5:$CM$24,+HLOOKUP(AX$2,historia!$A$3:$EC$4,2,FALSE),FALSE)</f>
        <v>4</v>
      </c>
      <c r="AY15" s="58">
        <f>VLOOKUP($A15,historia!$A$5:$CM$24,+HLOOKUP(AY$2,historia!$A$3:$EC$4,2,FALSE),FALSE)</f>
        <v>4</v>
      </c>
      <c r="AZ15" s="58">
        <f>VLOOKUP($A15,historia!$A$5:$CM$24,+HLOOKUP(AZ$2,historia!$A$3:$EC$4,2,FALSE),FALSE)</f>
        <v>3</v>
      </c>
      <c r="BA15" s="58">
        <f>VLOOKUP($A15,historia!$A$5:$CM$24,+HLOOKUP(BA$2,historia!$A$3:$EC$4,2,FALSE),FALSE)</f>
        <v>3</v>
      </c>
      <c r="BB15" s="30"/>
      <c r="BC15" s="141">
        <v>3</v>
      </c>
      <c r="BD15" t="str">
        <f t="shared" si="19"/>
        <v>Mandioca</v>
      </c>
      <c r="BE15">
        <f>+datos!AW1</f>
        <v>49</v>
      </c>
      <c r="BF15" s="2" t="str">
        <f t="shared" si="4"/>
        <v>$/bolsa40kg</v>
      </c>
      <c r="BG15" s="2">
        <f t="shared" si="4"/>
        <v>9575</v>
      </c>
      <c r="BH15" s="2">
        <f t="shared" si="4"/>
        <v>10512</v>
      </c>
      <c r="BI15" s="2">
        <f t="shared" si="4"/>
        <v>5077.272727272727</v>
      </c>
      <c r="BK15">
        <f>+datos!CJ1</f>
        <v>88</v>
      </c>
      <c r="BL15" s="2">
        <f t="shared" si="20"/>
        <v>6520.5958501644063</v>
      </c>
      <c r="BM15" s="2">
        <f t="shared" si="20"/>
        <v>6004.226632817762</v>
      </c>
      <c r="BN15" s="2">
        <f t="shared" si="20"/>
        <v>1956.2964104426612</v>
      </c>
      <c r="BP15" s="1">
        <f>+datos!EY1</f>
        <v>155</v>
      </c>
      <c r="BQ15" s="1">
        <f t="shared" si="21"/>
        <v>20031</v>
      </c>
      <c r="BR15" s="1">
        <f t="shared" si="21"/>
        <v>20193</v>
      </c>
      <c r="BT15" s="1">
        <f>+datos!GO1</f>
        <v>197</v>
      </c>
      <c r="BU15" s="1">
        <f t="shared" si="22"/>
        <v>201734</v>
      </c>
      <c r="BV15" s="1">
        <f t="shared" si="22"/>
        <v>202394.36</v>
      </c>
      <c r="BX15" s="1">
        <f>+datos!JP1</f>
        <v>276</v>
      </c>
      <c r="BY15" s="1">
        <f t="shared" si="39"/>
        <v>0</v>
      </c>
      <c r="BZ15" s="1">
        <f t="shared" si="40"/>
        <v>0</v>
      </c>
      <c r="CB15" s="1">
        <f>+datos!KU1</f>
        <v>307</v>
      </c>
      <c r="CC15" s="2">
        <f t="shared" si="23"/>
        <v>7.0227218800000006</v>
      </c>
      <c r="CD15" s="2">
        <f t="shared" si="24"/>
        <v>9.1334349100000001</v>
      </c>
      <c r="CF15" s="1">
        <f>+datos!IY1</f>
        <v>259</v>
      </c>
      <c r="CG15" s="1">
        <f t="shared" si="25"/>
        <v>1.88</v>
      </c>
      <c r="CH15" s="1">
        <f t="shared" si="26"/>
        <v>1.88</v>
      </c>
      <c r="CJ15" s="1">
        <f t="shared" si="27"/>
        <v>0</v>
      </c>
      <c r="CK15" s="1">
        <f t="shared" si="27"/>
        <v>0</v>
      </c>
      <c r="CL15" s="1">
        <f t="shared" si="27"/>
        <v>0</v>
      </c>
      <c r="CM15" s="1">
        <f t="shared" si="27"/>
        <v>0</v>
      </c>
      <c r="CN15" s="1">
        <f t="shared" si="27"/>
        <v>0</v>
      </c>
      <c r="CO15" s="1">
        <f t="shared" si="27"/>
        <v>0</v>
      </c>
      <c r="CP15" s="1">
        <f t="shared" si="27"/>
        <v>0</v>
      </c>
      <c r="CQ15" s="1">
        <f t="shared" si="27"/>
        <v>0</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8"/>
        <v>0</v>
      </c>
      <c r="DA15" s="1">
        <f t="shared" si="28"/>
        <v>0</v>
      </c>
      <c r="DB15" s="1">
        <f t="shared" si="28"/>
        <v>0</v>
      </c>
      <c r="DC15" s="1">
        <f t="shared" si="28"/>
        <v>0</v>
      </c>
      <c r="DD15" s="1">
        <f t="shared" si="28"/>
        <v>0</v>
      </c>
      <c r="DE15" s="1">
        <f t="shared" si="28"/>
        <v>0</v>
      </c>
      <c r="DF15" s="1">
        <f t="shared" si="28"/>
        <v>0</v>
      </c>
      <c r="DG15" s="1">
        <f t="shared" si="28"/>
        <v>0</v>
      </c>
      <c r="DI15" s="14">
        <f t="shared" si="29"/>
        <v>2.8195380000000003E-2</v>
      </c>
      <c r="DJ15" s="14">
        <f t="shared" si="29"/>
        <v>4.9277770000000005E-2</v>
      </c>
      <c r="DK15" s="1">
        <f t="shared" si="29"/>
        <v>0.21358802999999996</v>
      </c>
      <c r="DL15" s="1">
        <f t="shared" si="29"/>
        <v>0.24099903000000003</v>
      </c>
      <c r="DM15" s="1">
        <f t="shared" si="29"/>
        <v>0.39667624000000001</v>
      </c>
      <c r="DN15" s="1">
        <f t="shared" si="29"/>
        <v>0.47948613000000001</v>
      </c>
      <c r="DO15" s="1">
        <f t="shared" si="29"/>
        <v>0.13955175</v>
      </c>
      <c r="DP15" s="1">
        <f t="shared" si="29"/>
        <v>0.88368341000000006</v>
      </c>
      <c r="DQ15" s="1">
        <f t="shared" si="29"/>
        <v>0.91695114999999994</v>
      </c>
      <c r="DR15" s="1">
        <f t="shared" si="29"/>
        <v>1.1944894100000001</v>
      </c>
      <c r="DS15" s="1">
        <f t="shared" si="29"/>
        <v>1.11559404</v>
      </c>
      <c r="DT15" s="1">
        <f t="shared" si="29"/>
        <v>1.36422954</v>
      </c>
      <c r="DU15" s="1">
        <f t="shared" si="29"/>
        <v>1.7463627799999999</v>
      </c>
      <c r="DV15" s="1">
        <f t="shared" si="29"/>
        <v>0.68698649000000001</v>
      </c>
      <c r="DW15" s="1">
        <f t="shared" si="29"/>
        <v>0.11168649999999999</v>
      </c>
      <c r="DX15" s="1">
        <f t="shared" si="29"/>
        <v>0</v>
      </c>
      <c r="DY15" s="1">
        <f t="shared" si="30"/>
        <v>1.4896021499999998</v>
      </c>
      <c r="DZ15" s="1">
        <f t="shared" si="30"/>
        <v>0</v>
      </c>
      <c r="EA15" s="1">
        <f t="shared" si="30"/>
        <v>1.7451778999999998</v>
      </c>
      <c r="EB15" s="1">
        <f t="shared" si="30"/>
        <v>0.90545438</v>
      </c>
      <c r="EC15" s="1">
        <f t="shared" si="30"/>
        <v>0.96282131000000004</v>
      </c>
      <c r="ED15" s="1">
        <f t="shared" si="30"/>
        <v>0.35384690000000002</v>
      </c>
      <c r="EE15" s="1">
        <f t="shared" si="30"/>
        <v>0.71853049999999996</v>
      </c>
      <c r="EF15" s="1">
        <f t="shared" si="30"/>
        <v>0.412966</v>
      </c>
      <c r="EH15" s="14">
        <f t="shared" si="31"/>
        <v>1.88</v>
      </c>
      <c r="EI15" s="14">
        <f t="shared" si="31"/>
        <v>1.88</v>
      </c>
      <c r="EJ15" s="1">
        <f t="shared" si="31"/>
        <v>1.88</v>
      </c>
      <c r="EK15" s="1">
        <f t="shared" si="31"/>
        <v>1.88</v>
      </c>
      <c r="EL15" s="1">
        <f t="shared" si="31"/>
        <v>1.88</v>
      </c>
      <c r="EM15" s="1">
        <f t="shared" si="31"/>
        <v>1.88</v>
      </c>
      <c r="EN15" s="1">
        <f t="shared" si="31"/>
        <v>1.88</v>
      </c>
      <c r="EO15" s="1">
        <f t="shared" si="31"/>
        <v>1.88</v>
      </c>
      <c r="EP15" s="1">
        <f t="shared" si="31"/>
        <v>1.88</v>
      </c>
      <c r="EQ15" s="1">
        <f t="shared" si="31"/>
        <v>1.88</v>
      </c>
      <c r="ER15" s="1">
        <f t="shared" si="31"/>
        <v>1.88</v>
      </c>
      <c r="ES15" s="1">
        <f t="shared" si="31"/>
        <v>1.88</v>
      </c>
      <c r="ET15" s="1">
        <f t="shared" si="31"/>
        <v>1.88</v>
      </c>
      <c r="EU15" s="1">
        <f t="shared" si="31"/>
        <v>1.88</v>
      </c>
      <c r="EV15" s="1">
        <f t="shared" si="31"/>
        <v>1.88</v>
      </c>
      <c r="EW15" s="1">
        <f t="shared" si="31"/>
        <v>1.88</v>
      </c>
      <c r="EX15" s="1">
        <f t="shared" si="32"/>
        <v>1.88</v>
      </c>
      <c r="EY15" s="1">
        <f t="shared" si="32"/>
        <v>1.88</v>
      </c>
      <c r="EZ15" s="1">
        <f t="shared" si="32"/>
        <v>1.88</v>
      </c>
      <c r="FA15" s="1">
        <f t="shared" si="32"/>
        <v>1.88</v>
      </c>
      <c r="FB15" s="1">
        <f t="shared" si="32"/>
        <v>1.88</v>
      </c>
      <c r="FC15" s="1">
        <f t="shared" si="32"/>
        <v>1.88</v>
      </c>
      <c r="FD15" s="1">
        <f t="shared" si="32"/>
        <v>1.88</v>
      </c>
      <c r="FE15" s="1">
        <f t="shared" si="32"/>
        <v>1.88</v>
      </c>
      <c r="FG15" s="162">
        <f t="shared" si="33"/>
        <v>-1.4472778916497948</v>
      </c>
    </row>
    <row r="16" spans="1:163" ht="18.75" customHeight="1">
      <c r="A16" s="243" t="s">
        <v>25</v>
      </c>
      <c r="B16" s="246"/>
      <c r="C16" s="156">
        <f t="shared" si="5"/>
        <v>0.66</v>
      </c>
      <c r="D16" s="198">
        <v>1</v>
      </c>
      <c r="E16" s="248">
        <f t="shared" si="6"/>
        <v>1.9245945672339948E-2</v>
      </c>
      <c r="F16" s="249">
        <f t="shared" si="7"/>
        <v>-9.0850454954948257E-2</v>
      </c>
      <c r="G16" s="248">
        <f t="shared" si="8"/>
        <v>1.5755346692257088E-2</v>
      </c>
      <c r="H16" s="249">
        <f t="shared" si="9"/>
        <v>3.4905989800828596E-3</v>
      </c>
      <c r="I16" s="248">
        <f t="shared" si="10"/>
        <v>4.1694732686222284</v>
      </c>
      <c r="J16" s="249">
        <f t="shared" si="11"/>
        <v>1.290896668564308</v>
      </c>
      <c r="K16" s="248">
        <f t="shared" si="34"/>
        <v>2.9563434011428704</v>
      </c>
      <c r="L16" s="249">
        <f t="shared" si="12"/>
        <v>1.213129867479358</v>
      </c>
      <c r="M16" s="250"/>
      <c r="N16" s="24">
        <v>1</v>
      </c>
      <c r="O16" s="248">
        <f t="shared" si="35"/>
        <v>0.11422036142805547</v>
      </c>
      <c r="P16" s="251">
        <f t="shared" si="36"/>
        <v>0.11422036142805547</v>
      </c>
      <c r="Q16" s="248"/>
      <c r="R16" s="251"/>
      <c r="S16" s="250"/>
      <c r="T16" s="24">
        <v>0</v>
      </c>
      <c r="U16" s="248">
        <f t="shared" si="14"/>
        <v>-0.12221189141621458</v>
      </c>
      <c r="V16" s="252">
        <f t="shared" si="15"/>
        <v>-0.12221189141621458</v>
      </c>
      <c r="W16" s="248"/>
      <c r="X16" s="252"/>
      <c r="Y16" s="248">
        <f t="shared" si="17"/>
        <v>0</v>
      </c>
      <c r="Z16" s="252">
        <f t="shared" si="18"/>
        <v>0</v>
      </c>
      <c r="AA16" s="30"/>
      <c r="AB16" s="242" t="s">
        <v>504</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P16" s="28">
        <f>VLOOKUP($A16,historia!$A$5:$CM$24,+HLOOKUP(AP$2,historia!$A$3:$EC$4,2,FALSE),FALSE)</f>
        <v>4</v>
      </c>
      <c r="AQ16" s="28">
        <f>VLOOKUP($A16,historia!$A$5:$CM$24,+HLOOKUP(AQ$2,historia!$A$3:$EC$4,2,FALSE),FALSE)</f>
        <v>3</v>
      </c>
      <c r="AR16" s="28">
        <f>VLOOKUP($A16,historia!$A$5:$CM$24,+HLOOKUP(AR$2,historia!$A$3:$EC$4,2,FALSE),FALSE)</f>
        <v>3</v>
      </c>
      <c r="AS16" s="28">
        <f>VLOOKUP($A16,historia!$A$5:$CM$24,+HLOOKUP(AS$2,historia!$A$3:$EC$4,2,FALSE),FALSE)</f>
        <v>3</v>
      </c>
      <c r="AT16" s="58">
        <f>VLOOKUP($A16,historia!$A$5:$CM$24,+HLOOKUP(AT$2,historia!$A$3:$EC$4,2,FALSE),FALSE)</f>
        <v>3</v>
      </c>
      <c r="AU16" s="58">
        <f>VLOOKUP($A16,historia!$A$5:$CM$24,+HLOOKUP(AU$2,historia!$A$3:$EC$4,2,FALSE),FALSE)</f>
        <v>3</v>
      </c>
      <c r="AV16" s="58">
        <f>VLOOKUP($A16,historia!$A$5:$CM$24,+HLOOKUP(AV$2,historia!$A$3:$EC$4,2,FALSE),FALSE)</f>
        <v>2</v>
      </c>
      <c r="AW16" s="58">
        <f>VLOOKUP($A16,historia!$A$5:$CM$24,+HLOOKUP(AW$2,historia!$A$3:$EC$4,2,FALSE),FALSE)</f>
        <v>2</v>
      </c>
      <c r="AX16" s="58">
        <f>VLOOKUP($A16,historia!$A$5:$CM$24,+HLOOKUP(AX$2,historia!$A$3:$EC$4,2,FALSE),FALSE)</f>
        <v>2</v>
      </c>
      <c r="AY16" s="58">
        <f>VLOOKUP($A16,historia!$A$5:$CM$24,+HLOOKUP(AY$2,historia!$A$3:$EC$4,2,FALSE),FALSE)</f>
        <v>2</v>
      </c>
      <c r="AZ16" s="58">
        <f>VLOOKUP($A16,historia!$A$5:$CM$24,+HLOOKUP(AZ$2,historia!$A$3:$EC$4,2,FALSE),FALSE)</f>
        <v>2</v>
      </c>
      <c r="BA16" s="58">
        <f>VLOOKUP($A16,historia!$A$5:$CM$24,+HLOOKUP(BA$2,historia!$A$3:$EC$4,2,FALSE),FALSE)</f>
        <v>2</v>
      </c>
      <c r="BB16" s="30"/>
      <c r="BC16" s="141">
        <v>2</v>
      </c>
      <c r="BD16" t="str">
        <f t="shared" si="19"/>
        <v>Maní</v>
      </c>
      <c r="BE16">
        <f>+datos!AF1</f>
        <v>32</v>
      </c>
      <c r="BF16" s="2" t="str">
        <f t="shared" si="4"/>
        <v>$/t</v>
      </c>
      <c r="BG16" s="2">
        <f t="shared" si="4"/>
        <v>772706.07692307688</v>
      </c>
      <c r="BH16" s="2">
        <f t="shared" si="4"/>
        <v>758115.42857142852</v>
      </c>
      <c r="BI16" s="2">
        <f t="shared" si="4"/>
        <v>149474.81818181818</v>
      </c>
      <c r="BK16">
        <f>+datos!CH1</f>
        <v>86</v>
      </c>
      <c r="BL16" s="2">
        <f t="shared" si="20"/>
        <v>9266.2126900284002</v>
      </c>
      <c r="BM16" s="2">
        <f t="shared" si="20"/>
        <v>9122.4847796304839</v>
      </c>
      <c r="BN16" s="2">
        <f t="shared" si="20"/>
        <v>2342.1153703067498</v>
      </c>
      <c r="BP16" s="1">
        <f>+datos!EB1</f>
        <v>132</v>
      </c>
      <c r="BQ16" s="1">
        <f t="shared" si="21"/>
        <v>416490</v>
      </c>
      <c r="BR16" s="1">
        <f t="shared" si="21"/>
        <v>373795</v>
      </c>
      <c r="BT16" s="1">
        <f>+datos!FW1</f>
        <v>179</v>
      </c>
      <c r="BU16" s="1">
        <f t="shared" si="22"/>
        <v>940426</v>
      </c>
      <c r="BV16" s="1">
        <f t="shared" si="22"/>
        <v>1350000</v>
      </c>
      <c r="BX16" s="1">
        <f>+datos!JK1</f>
        <v>271</v>
      </c>
      <c r="BY16" s="1">
        <f t="shared" si="39"/>
        <v>1154.3574292200001</v>
      </c>
      <c r="BZ16" s="1">
        <f t="shared" si="40"/>
        <v>1315.0752646699998</v>
      </c>
      <c r="CB16" s="1">
        <f>+datos!KP1</f>
        <v>302</v>
      </c>
      <c r="CC16" s="2">
        <f t="shared" si="23"/>
        <v>2.74209689</v>
      </c>
      <c r="CD16" s="2">
        <f t="shared" si="24"/>
        <v>1.0959505899999999</v>
      </c>
      <c r="CF16" s="1">
        <f>+datos!IJ1</f>
        <v>244</v>
      </c>
      <c r="CG16" s="1">
        <f t="shared" si="25"/>
        <v>1.9885213252125911</v>
      </c>
      <c r="CH16" s="1">
        <f t="shared" si="26"/>
        <v>1.9885213252125911</v>
      </c>
      <c r="CJ16" s="1">
        <f t="shared" si="27"/>
        <v>70.784594500000011</v>
      </c>
      <c r="CK16" s="1">
        <f t="shared" si="27"/>
        <v>111.62267066999999</v>
      </c>
      <c r="CL16" s="1">
        <f t="shared" si="27"/>
        <v>100.80321882999999</v>
      </c>
      <c r="CM16" s="1">
        <f t="shared" si="27"/>
        <v>90.064767340000003</v>
      </c>
      <c r="CN16" s="1">
        <f t="shared" si="27"/>
        <v>96.183340330000021</v>
      </c>
      <c r="CO16" s="1">
        <f t="shared" si="27"/>
        <v>89.024842150000026</v>
      </c>
      <c r="CP16" s="1">
        <f t="shared" si="27"/>
        <v>102.74257099999998</v>
      </c>
      <c r="CQ16" s="1">
        <f t="shared" si="27"/>
        <v>102.43695814</v>
      </c>
      <c r="CR16" s="1">
        <f t="shared" si="27"/>
        <v>100.03941109999997</v>
      </c>
      <c r="CS16" s="1">
        <f t="shared" si="27"/>
        <v>89.79279253</v>
      </c>
      <c r="CT16" s="1">
        <f t="shared" si="27"/>
        <v>102.39153366000001</v>
      </c>
      <c r="CU16" s="1">
        <f t="shared" si="27"/>
        <v>98.470728969999996</v>
      </c>
      <c r="CV16" s="1">
        <f t="shared" si="27"/>
        <v>134.53858048999999</v>
      </c>
      <c r="CW16" s="1">
        <f t="shared" si="27"/>
        <v>116.52197384999999</v>
      </c>
      <c r="CX16" s="1">
        <f t="shared" si="27"/>
        <v>130.05927615000002</v>
      </c>
      <c r="CY16" s="1">
        <f t="shared" si="27"/>
        <v>105.24839114999997</v>
      </c>
      <c r="CZ16" s="1">
        <f t="shared" si="28"/>
        <v>106.58558735000001</v>
      </c>
      <c r="DA16" s="1">
        <f t="shared" si="28"/>
        <v>136.66063392000001</v>
      </c>
      <c r="DB16" s="1">
        <f t="shared" si="28"/>
        <v>103.23507013999998</v>
      </c>
      <c r="DC16" s="1">
        <f t="shared" si="28"/>
        <v>127.03001287000001</v>
      </c>
      <c r="DD16" s="1">
        <f t="shared" si="28"/>
        <v>94.841677119999986</v>
      </c>
      <c r="DE16" s="1">
        <f t="shared" si="28"/>
        <v>82.179019859999997</v>
      </c>
      <c r="DF16" s="1">
        <f t="shared" si="28"/>
        <v>92.158742689999997</v>
      </c>
      <c r="DG16" s="1">
        <f t="shared" si="28"/>
        <v>86.016299079999982</v>
      </c>
      <c r="DI16" s="1">
        <f t="shared" si="29"/>
        <v>0.12514284000000001</v>
      </c>
      <c r="DJ16" s="1">
        <f t="shared" si="29"/>
        <v>0.69674917999999986</v>
      </c>
      <c r="DK16" s="1">
        <f t="shared" si="29"/>
        <v>0.79684906</v>
      </c>
      <c r="DL16" s="1">
        <f t="shared" si="29"/>
        <v>0.24194792999999998</v>
      </c>
      <c r="DM16" s="1">
        <f t="shared" si="29"/>
        <v>0.11713932000000001</v>
      </c>
      <c r="DN16" s="1">
        <f t="shared" si="29"/>
        <v>0.45286999999999999</v>
      </c>
      <c r="DO16" s="1">
        <f t="shared" si="29"/>
        <v>5.563009E-2</v>
      </c>
      <c r="DP16" s="1">
        <f t="shared" si="29"/>
        <v>2.7416000000000002E-4</v>
      </c>
      <c r="DQ16" s="1">
        <f t="shared" si="29"/>
        <v>0.12031510000000001</v>
      </c>
      <c r="DR16" s="1">
        <f t="shared" si="29"/>
        <v>0.13456720999999999</v>
      </c>
      <c r="DS16" s="1">
        <f t="shared" si="29"/>
        <v>6.1200000000000002E-4</v>
      </c>
      <c r="DT16" s="1">
        <f t="shared" si="29"/>
        <v>0</v>
      </c>
      <c r="DU16" s="1">
        <f t="shared" si="29"/>
        <v>5.2170000000000003E-3</v>
      </c>
      <c r="DV16" s="1">
        <f t="shared" si="29"/>
        <v>0.10975939999999999</v>
      </c>
      <c r="DW16" s="1">
        <f t="shared" si="29"/>
        <v>9.1243839999999993E-2</v>
      </c>
      <c r="DX16" s="1">
        <f t="shared" si="29"/>
        <v>2.016E-3</v>
      </c>
      <c r="DY16" s="1">
        <f t="shared" si="30"/>
        <v>0.21936422</v>
      </c>
      <c r="DZ16" s="1">
        <f t="shared" si="30"/>
        <v>0</v>
      </c>
      <c r="EA16" s="1">
        <f t="shared" si="30"/>
        <v>6.0353800000000006E-2</v>
      </c>
      <c r="EB16" s="1">
        <f t="shared" si="30"/>
        <v>1.9724599999999998E-2</v>
      </c>
      <c r="EC16" s="1">
        <f t="shared" si="30"/>
        <v>6.1101999999999997E-2</v>
      </c>
      <c r="ED16" s="1">
        <f t="shared" si="30"/>
        <v>8.3099999999999997E-3</v>
      </c>
      <c r="EE16" s="1">
        <f t="shared" si="30"/>
        <v>0.51386323</v>
      </c>
      <c r="EF16" s="1">
        <f t="shared" si="30"/>
        <v>4.9965000000000001E-3</v>
      </c>
      <c r="EH16" s="14">
        <f t="shared" si="31"/>
        <v>1.9885213252125911</v>
      </c>
      <c r="EI16" s="14">
        <f t="shared" si="31"/>
        <v>1.9885213252125911</v>
      </c>
      <c r="EJ16" s="1">
        <f t="shared" si="31"/>
        <v>1.9885213252125911</v>
      </c>
      <c r="EK16" s="1">
        <f t="shared" si="31"/>
        <v>1.9885213252125911</v>
      </c>
      <c r="EL16" s="1">
        <f t="shared" si="31"/>
        <v>1.9885213252125911</v>
      </c>
      <c r="EM16" s="1">
        <f t="shared" si="31"/>
        <v>1.9885213252125911</v>
      </c>
      <c r="EN16" s="1">
        <f t="shared" si="31"/>
        <v>1.9885213252125911</v>
      </c>
      <c r="EO16" s="1">
        <f t="shared" si="31"/>
        <v>1.9885213252125911</v>
      </c>
      <c r="EP16" s="1">
        <f t="shared" si="31"/>
        <v>1.9885213252125911</v>
      </c>
      <c r="EQ16" s="1">
        <f t="shared" si="31"/>
        <v>1.9885213252125911</v>
      </c>
      <c r="ER16" s="1">
        <f t="shared" si="31"/>
        <v>1.9885213252125911</v>
      </c>
      <c r="ES16" s="1">
        <f t="shared" si="31"/>
        <v>1.9885213252125911</v>
      </c>
      <c r="ET16" s="1">
        <f t="shared" si="31"/>
        <v>1.9885213252125911</v>
      </c>
      <c r="EU16" s="1">
        <f t="shared" si="31"/>
        <v>1.9040737312717446</v>
      </c>
      <c r="EV16" s="1">
        <f t="shared" si="31"/>
        <v>1.9040737312717446</v>
      </c>
      <c r="EW16" s="1">
        <f t="shared" si="31"/>
        <v>1.9040737312717446</v>
      </c>
      <c r="EX16" s="1">
        <f t="shared" si="32"/>
        <v>1.9040737312717446</v>
      </c>
      <c r="EY16" s="1">
        <f t="shared" si="32"/>
        <v>1.9040737312717446</v>
      </c>
      <c r="EZ16" s="1">
        <f t="shared" si="32"/>
        <v>1.9040737312717446</v>
      </c>
      <c r="FA16" s="1">
        <f t="shared" si="32"/>
        <v>1.9040737312717446</v>
      </c>
      <c r="FB16" s="1">
        <f t="shared" si="32"/>
        <v>1.9040737312717446</v>
      </c>
      <c r="FC16" s="1">
        <f t="shared" si="32"/>
        <v>1.9040737312717446</v>
      </c>
      <c r="FD16" s="1">
        <f t="shared" si="32"/>
        <v>1.9040737312717446</v>
      </c>
      <c r="FE16" s="1">
        <f t="shared" si="32"/>
        <v>1.9040737312717446</v>
      </c>
      <c r="FG16" s="162">
        <f t="shared" si="33"/>
        <v>1.213129867479358</v>
      </c>
    </row>
    <row r="17" spans="1:163" ht="18.75" customHeight="1">
      <c r="A17" s="244" t="s">
        <v>76</v>
      </c>
      <c r="B17" s="247"/>
      <c r="C17" s="228">
        <f t="shared" si="5"/>
        <v>-0.99</v>
      </c>
      <c r="D17" s="229">
        <v>-1</v>
      </c>
      <c r="E17" s="253">
        <f t="shared" si="6"/>
        <v>4.3447293447293367E-2</v>
      </c>
      <c r="F17" s="254">
        <f t="shared" si="7"/>
        <v>-6.6649107179994838E-2</v>
      </c>
      <c r="G17" s="253">
        <f t="shared" si="8"/>
        <v>9.0680520775450635E-2</v>
      </c>
      <c r="H17" s="254">
        <f t="shared" si="9"/>
        <v>-4.7233227328157268E-2</v>
      </c>
      <c r="I17" s="253">
        <f t="shared" si="10"/>
        <v>2.4038104089219332</v>
      </c>
      <c r="J17" s="254">
        <f t="shared" si="11"/>
        <v>-0.47476619113598728</v>
      </c>
      <c r="K17" s="253">
        <f t="shared" si="34"/>
        <v>2.6320844164103794</v>
      </c>
      <c r="L17" s="254">
        <f t="shared" si="12"/>
        <v>-0.22827400748844617</v>
      </c>
      <c r="M17" s="255"/>
      <c r="N17" s="256">
        <v>-1</v>
      </c>
      <c r="O17" s="253">
        <f>IFERROR(+BQ17/BR17-1,"")</f>
        <v>0</v>
      </c>
      <c r="P17" s="257">
        <f t="shared" si="36"/>
        <v>0</v>
      </c>
      <c r="Q17" s="253">
        <f t="shared" si="13"/>
        <v>-5.5834866135295314E-2</v>
      </c>
      <c r="R17" s="257">
        <f t="shared" si="37"/>
        <v>-5.5834866135295314E-2</v>
      </c>
      <c r="S17" s="255"/>
      <c r="T17" s="256">
        <v>-1</v>
      </c>
      <c r="U17" s="253">
        <f t="shared" si="14"/>
        <v>-0.2500563264496457</v>
      </c>
      <c r="V17" s="258">
        <f t="shared" si="15"/>
        <v>-0.2500563264496457</v>
      </c>
      <c r="W17" s="253"/>
      <c r="X17" s="258"/>
      <c r="Y17" s="253">
        <f t="shared" si="17"/>
        <v>0</v>
      </c>
      <c r="Z17" s="258">
        <f t="shared" si="18"/>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P17" s="28">
        <f>VLOOKUP($A17,historia!$A$5:$CM$24,+HLOOKUP(AP$2,historia!$A$3:$EC$4,2,FALSE),FALSE)</f>
        <v>3</v>
      </c>
      <c r="AQ17" s="28">
        <f>VLOOKUP($A17,historia!$A$5:$CM$24,+HLOOKUP(AQ$2,historia!$A$3:$EC$4,2,FALSE),FALSE)</f>
        <v>3</v>
      </c>
      <c r="AR17" s="28">
        <f>VLOOKUP($A17,historia!$A$5:$CM$24,+HLOOKUP(AR$2,historia!$A$3:$EC$4,2,FALSE),FALSE)</f>
        <v>5</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f>VLOOKUP($A17,historia!$A$5:$CM$24,+HLOOKUP(AZ$2,historia!$A$3:$EC$4,2,FALSE),FALSE)</f>
        <v>5</v>
      </c>
      <c r="BA17" s="58">
        <f>VLOOKUP($A17,historia!$A$5:$CM$24,+HLOOKUP(BA$2,historia!$A$3:$EC$4,2,FALSE),FALSE)</f>
        <v>5</v>
      </c>
      <c r="BB17" s="30"/>
      <c r="BC17" s="141">
        <v>5</v>
      </c>
      <c r="BD17" t="str">
        <f t="shared" si="19"/>
        <v>Miel</v>
      </c>
      <c r="BE17">
        <f>+datos!BV1</f>
        <v>74</v>
      </c>
      <c r="BF17" s="2" t="str">
        <f t="shared" si="4"/>
        <v>$/kg</v>
      </c>
      <c r="BG17" s="2">
        <f t="shared" si="4"/>
        <v>1465</v>
      </c>
      <c r="BH17" s="2">
        <f t="shared" si="4"/>
        <v>1404</v>
      </c>
      <c r="BI17" s="2">
        <f t="shared" si="4"/>
        <v>430.4</v>
      </c>
      <c r="BK17">
        <f>+datos!DH1</f>
        <v>112</v>
      </c>
      <c r="BL17" s="2">
        <f t="shared" si="20"/>
        <v>7022.0116542024552</v>
      </c>
      <c r="BM17" s="2">
        <f t="shared" si="20"/>
        <v>6438.1929634261323</v>
      </c>
      <c r="BN17" s="2">
        <f t="shared" si="20"/>
        <v>1933.3283176117284</v>
      </c>
      <c r="BP17" s="1">
        <f>+datos!EQ1</f>
        <v>147</v>
      </c>
      <c r="BQ17" s="1">
        <f t="shared" si="21"/>
        <v>3500000</v>
      </c>
      <c r="BR17" s="1">
        <f t="shared" si="21"/>
        <v>3500000</v>
      </c>
      <c r="BT17" s="1">
        <f>+datos!GP1</f>
        <v>198</v>
      </c>
      <c r="BU17" s="1">
        <f t="shared" si="22"/>
        <v>69297</v>
      </c>
      <c r="BV17" s="1">
        <f t="shared" si="22"/>
        <v>73395</v>
      </c>
      <c r="BX17" s="1">
        <f>+datos!KE1</f>
        <v>291</v>
      </c>
      <c r="BY17" s="1">
        <f t="shared" si="39"/>
        <v>202.27700449999998</v>
      </c>
      <c r="BZ17" s="1">
        <f t="shared" si="40"/>
        <v>269.72292937999998</v>
      </c>
      <c r="CB17" s="1">
        <f>+datos!LJ1</f>
        <v>322</v>
      </c>
      <c r="CC17" s="2">
        <f t="shared" si="23"/>
        <v>0.10017730000000001</v>
      </c>
      <c r="CD17" s="2">
        <f>+SUM(DU17:EF17)</f>
        <v>0.12936554000000003</v>
      </c>
      <c r="CF17" s="1">
        <f>+datos!IZ1</f>
        <v>260</v>
      </c>
      <c r="CG17" s="1">
        <f t="shared" si="25"/>
        <v>0.3</v>
      </c>
      <c r="CH17" s="1">
        <f t="shared" si="26"/>
        <v>0.3</v>
      </c>
      <c r="CJ17" s="1">
        <f t="shared" si="27"/>
        <v>22.082734950000003</v>
      </c>
      <c r="CK17" s="1">
        <f t="shared" si="27"/>
        <v>13.392344960000001</v>
      </c>
      <c r="CL17" s="1">
        <f t="shared" si="27"/>
        <v>10.971998660000001</v>
      </c>
      <c r="CM17" s="1">
        <f t="shared" si="27"/>
        <v>12.805239539999999</v>
      </c>
      <c r="CN17" s="1">
        <f t="shared" si="27"/>
        <v>13.943876809999997</v>
      </c>
      <c r="CO17" s="1">
        <f t="shared" si="27"/>
        <v>17.891480939999997</v>
      </c>
      <c r="CP17" s="1">
        <f t="shared" si="27"/>
        <v>16.805607889999997</v>
      </c>
      <c r="CQ17" s="1">
        <f t="shared" si="27"/>
        <v>21.325973759999997</v>
      </c>
      <c r="CR17" s="1">
        <f t="shared" si="27"/>
        <v>17.230385739999999</v>
      </c>
      <c r="CS17" s="1">
        <f t="shared" si="27"/>
        <v>14.837575590000002</v>
      </c>
      <c r="CT17" s="1">
        <f t="shared" si="27"/>
        <v>17.476901599999998</v>
      </c>
      <c r="CU17" s="1">
        <f t="shared" si="27"/>
        <v>23.512884059999998</v>
      </c>
      <c r="CV17" s="1">
        <f t="shared" si="27"/>
        <v>18.814354810000005</v>
      </c>
      <c r="CW17" s="1">
        <f t="shared" si="27"/>
        <v>15.47450873</v>
      </c>
      <c r="CX17" s="1">
        <f t="shared" si="27"/>
        <v>18.752158659999996</v>
      </c>
      <c r="CY17" s="1">
        <f t="shared" si="27"/>
        <v>13.663636670000002</v>
      </c>
      <c r="CZ17" s="1">
        <f t="shared" si="28"/>
        <v>12.97807542</v>
      </c>
      <c r="DA17" s="1">
        <f t="shared" si="28"/>
        <v>21.851292619999999</v>
      </c>
      <c r="DB17" s="1">
        <f t="shared" si="28"/>
        <v>17.949190340000005</v>
      </c>
      <c r="DC17" s="1">
        <f t="shared" si="28"/>
        <v>28.34616364</v>
      </c>
      <c r="DD17" s="1">
        <f t="shared" si="28"/>
        <v>25.709158449999997</v>
      </c>
      <c r="DE17" s="1">
        <f t="shared" si="28"/>
        <v>34.492792039999998</v>
      </c>
      <c r="DF17" s="1">
        <f t="shared" si="28"/>
        <v>34.55168742</v>
      </c>
      <c r="DG17" s="1">
        <f t="shared" si="28"/>
        <v>27.139910580000002</v>
      </c>
      <c r="DI17" s="1">
        <f t="shared" si="29"/>
        <v>5.2539300000000004E-2</v>
      </c>
      <c r="DJ17" s="1">
        <f t="shared" si="29"/>
        <v>0</v>
      </c>
      <c r="DK17" s="1">
        <f t="shared" si="29"/>
        <v>0</v>
      </c>
      <c r="DL17" s="1">
        <f t="shared" si="29"/>
        <v>4.0599999999999997E-2</v>
      </c>
      <c r="DM17" s="1">
        <f t="shared" si="29"/>
        <v>0</v>
      </c>
      <c r="DN17" s="1">
        <f t="shared" si="29"/>
        <v>0</v>
      </c>
      <c r="DO17" s="1">
        <f t="shared" si="29"/>
        <v>0</v>
      </c>
      <c r="DP17" s="1">
        <f t="shared" si="29"/>
        <v>0</v>
      </c>
      <c r="DQ17" s="1">
        <f t="shared" si="29"/>
        <v>0</v>
      </c>
      <c r="DR17" s="1">
        <f t="shared" si="29"/>
        <v>0</v>
      </c>
      <c r="DS17" s="1">
        <f t="shared" si="29"/>
        <v>7.038E-3</v>
      </c>
      <c r="DT17" s="1">
        <f t="shared" si="29"/>
        <v>0</v>
      </c>
      <c r="DU17" s="1">
        <f t="shared" si="29"/>
        <v>0</v>
      </c>
      <c r="DV17" s="1">
        <f t="shared" si="29"/>
        <v>0</v>
      </c>
      <c r="DW17" s="1">
        <f t="shared" si="29"/>
        <v>0</v>
      </c>
      <c r="DX17" s="1">
        <f t="shared" si="29"/>
        <v>0</v>
      </c>
      <c r="DY17" s="1">
        <f t="shared" si="30"/>
        <v>5.9353800000000005E-2</v>
      </c>
      <c r="DZ17" s="1">
        <f t="shared" si="30"/>
        <v>0</v>
      </c>
      <c r="EA17" s="1">
        <f t="shared" si="30"/>
        <v>1.3661339999999999E-2</v>
      </c>
      <c r="EB17" s="1">
        <f t="shared" si="30"/>
        <v>0</v>
      </c>
      <c r="EC17" s="1">
        <f t="shared" si="30"/>
        <v>4.7031800000000006E-2</v>
      </c>
      <c r="ED17" s="1">
        <f t="shared" si="30"/>
        <v>9.3185999999999998E-3</v>
      </c>
      <c r="EE17" s="1">
        <f t="shared" si="30"/>
        <v>0</v>
      </c>
      <c r="EF17" s="1">
        <f t="shared" si="30"/>
        <v>0</v>
      </c>
      <c r="EH17" s="14">
        <f t="shared" si="31"/>
        <v>0.3</v>
      </c>
      <c r="EI17" s="14">
        <f t="shared" si="31"/>
        <v>0.3</v>
      </c>
      <c r="EJ17" s="1">
        <f t="shared" si="31"/>
        <v>0.3</v>
      </c>
      <c r="EK17" s="1">
        <f t="shared" si="31"/>
        <v>0.3</v>
      </c>
      <c r="EL17" s="1">
        <f t="shared" si="31"/>
        <v>0.3</v>
      </c>
      <c r="EM17" s="1">
        <f t="shared" si="31"/>
        <v>0.3</v>
      </c>
      <c r="EN17" s="1">
        <f t="shared" si="31"/>
        <v>0.3</v>
      </c>
      <c r="EO17" s="1">
        <f t="shared" si="31"/>
        <v>0.3</v>
      </c>
      <c r="EP17" s="1">
        <f t="shared" si="31"/>
        <v>0.3</v>
      </c>
      <c r="EQ17" s="1">
        <f t="shared" si="31"/>
        <v>0.3</v>
      </c>
      <c r="ER17" s="1">
        <f t="shared" si="31"/>
        <v>0.3</v>
      </c>
      <c r="ES17" s="1">
        <f t="shared" si="31"/>
        <v>0.3</v>
      </c>
      <c r="ET17" s="1">
        <f t="shared" si="31"/>
        <v>0.3</v>
      </c>
      <c r="EU17" s="1">
        <f t="shared" si="31"/>
        <v>0.3</v>
      </c>
      <c r="EV17" s="1">
        <f t="shared" si="31"/>
        <v>0.3</v>
      </c>
      <c r="EW17" s="1">
        <f t="shared" si="31"/>
        <v>0.3</v>
      </c>
      <c r="EX17" s="1">
        <f t="shared" si="32"/>
        <v>0.3</v>
      </c>
      <c r="EY17" s="1">
        <f t="shared" si="32"/>
        <v>0.3</v>
      </c>
      <c r="EZ17" s="1">
        <f t="shared" si="32"/>
        <v>0.3</v>
      </c>
      <c r="FA17" s="1">
        <f t="shared" si="32"/>
        <v>0.3</v>
      </c>
      <c r="FB17" s="1">
        <f t="shared" si="32"/>
        <v>0.3</v>
      </c>
      <c r="FC17" s="1">
        <f t="shared" si="32"/>
        <v>0.3</v>
      </c>
      <c r="FD17" s="1">
        <f t="shared" si="32"/>
        <v>0.3</v>
      </c>
      <c r="FE17" s="1">
        <f t="shared" si="32"/>
        <v>0.3</v>
      </c>
      <c r="FG17" s="162">
        <f t="shared" si="33"/>
        <v>-0.22827400748844617</v>
      </c>
    </row>
    <row r="18" spans="1:163" ht="18.75" customHeight="1">
      <c r="A18" s="243" t="s">
        <v>222</v>
      </c>
      <c r="B18" s="246"/>
      <c r="C18" s="156">
        <f t="shared" si="5"/>
        <v>-0.99</v>
      </c>
      <c r="D18" s="198">
        <v>-1</v>
      </c>
      <c r="E18" s="248">
        <f t="shared" si="6"/>
        <v>1.0719702680563881E-3</v>
      </c>
      <c r="F18" s="249">
        <f t="shared" si="7"/>
        <v>-0.10902443035923182</v>
      </c>
      <c r="G18" s="248">
        <f t="shared" si="8"/>
        <v>0.12938980400548261</v>
      </c>
      <c r="H18" s="249">
        <f t="shared" si="9"/>
        <v>-0.12831783373742622</v>
      </c>
      <c r="I18" s="248"/>
      <c r="J18" s="249"/>
      <c r="K18" s="248">
        <f t="shared" si="34"/>
        <v>2.7297292182637989</v>
      </c>
      <c r="L18" s="249">
        <f t="shared" si="12"/>
        <v>-2.7297292182637989</v>
      </c>
      <c r="M18" s="250"/>
      <c r="N18" s="24">
        <v>-1</v>
      </c>
      <c r="O18" s="248">
        <f t="shared" si="35"/>
        <v>0</v>
      </c>
      <c r="P18" s="251">
        <f t="shared" si="36"/>
        <v>0</v>
      </c>
      <c r="Q18" s="248">
        <f t="shared" si="13"/>
        <v>-0.10432050776766721</v>
      </c>
      <c r="R18" s="251">
        <f t="shared" si="37"/>
        <v>-0.10432050776766721</v>
      </c>
      <c r="S18" s="250"/>
      <c r="T18" s="24">
        <v>-1</v>
      </c>
      <c r="U18" s="248">
        <f t="shared" si="14"/>
        <v>-0.25727783126404602</v>
      </c>
      <c r="V18" s="252">
        <f t="shared" si="15"/>
        <v>-0.25727783126404602</v>
      </c>
      <c r="W18" s="248">
        <f t="shared" si="38"/>
        <v>-8.9986739713441177E-2</v>
      </c>
      <c r="X18" s="252">
        <f t="shared" si="16"/>
        <v>-8.9986739713441177E-2</v>
      </c>
      <c r="Y18" s="248">
        <f t="shared" si="17"/>
        <v>0</v>
      </c>
      <c r="Z18" s="252">
        <f t="shared" si="18"/>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P18" s="28">
        <f>VLOOKUP($A18,historia!$A$5:$CM$24,+HLOOKUP(AP$2,historia!$A$3:$EC$4,2,FALSE),FALSE)</f>
        <v>4</v>
      </c>
      <c r="AQ18" s="28">
        <f>VLOOKUP($A18,historia!$A$5:$CM$24,+HLOOKUP(AQ$2,historia!$A$3:$EC$4,2,FALSE),FALSE)</f>
        <v>3</v>
      </c>
      <c r="AR18" s="28">
        <f>VLOOKUP($A18,historia!$A$5:$CM$24,+HLOOKUP(AR$2,historia!$A$3:$EC$4,2,FALSE),FALSE)</f>
        <v>3</v>
      </c>
      <c r="AS18" s="28">
        <f>VLOOKUP($A18,historia!$A$5:$CM$24,+HLOOKUP(AS$2,historia!$A$3:$EC$4,2,FALSE),FALSE)</f>
        <v>3</v>
      </c>
      <c r="AT18" s="58">
        <f>VLOOKUP($A18,historia!$A$5:$CM$24,+HLOOKUP(AT$2,historia!$A$3:$EC$4,2,FALSE),FALSE)</f>
        <v>3</v>
      </c>
      <c r="AU18" s="58">
        <f>VLOOKUP($A18,historia!$A$5:$CM$24,+HLOOKUP(AU$2,historia!$A$3:$EC$4,2,FALSE),FALSE)</f>
        <v>4</v>
      </c>
      <c r="AV18" s="58">
        <f>VLOOKUP($A18,historia!$A$5:$CM$24,+HLOOKUP(AV$2,historia!$A$3:$EC$4,2,FALSE),FALSE)</f>
        <v>4</v>
      </c>
      <c r="AW18" s="58">
        <f>VLOOKUP($A18,historia!$A$5:$CM$24,+HLOOKUP(AW$2,historia!$A$3:$EC$4,2,FALSE),FALSE)</f>
        <v>4</v>
      </c>
      <c r="AX18" s="58">
        <f>VLOOKUP($A18,historia!$A$5:$CM$24,+HLOOKUP(AX$2,historia!$A$3:$EC$4,2,FALSE),FALSE)</f>
        <v>4</v>
      </c>
      <c r="AY18" s="58">
        <f>VLOOKUP($A18,historia!$A$5:$CM$24,+HLOOKUP(AY$2,historia!$A$3:$EC$4,2,FALSE),FALSE)</f>
        <v>4</v>
      </c>
      <c r="AZ18" s="58">
        <f>VLOOKUP($A18,historia!$A$5:$CM$24,+HLOOKUP(AZ$2,historia!$A$3:$EC$4,2,FALSE),FALSE)</f>
        <v>4</v>
      </c>
      <c r="BA18" s="58">
        <f>VLOOKUP($A18,historia!$A$5:$CM$24,+HLOOKUP(BA$2,historia!$A$3:$EC$4,2,FALSE),FALSE)</f>
        <v>4</v>
      </c>
      <c r="BB18" s="30"/>
      <c r="BC18" s="141">
        <v>4</v>
      </c>
      <c r="BD18" t="str">
        <f t="shared" si="19"/>
        <v>Ovino</v>
      </c>
      <c r="BE18">
        <f>+datos!BU1</f>
        <v>73</v>
      </c>
      <c r="BF18" s="2" t="str">
        <f t="shared" si="4"/>
        <v>$/kg</v>
      </c>
      <c r="BG18" s="2">
        <f t="shared" si="4"/>
        <v>40972.621500000001</v>
      </c>
      <c r="BH18" s="2">
        <f t="shared" si="4"/>
        <v>40928.747100000001</v>
      </c>
      <c r="BI18" s="2">
        <f t="shared" si="4"/>
        <v>12497.1075</v>
      </c>
      <c r="BK18">
        <f>+datos!DI1</f>
        <v>113</v>
      </c>
      <c r="BL18" s="2">
        <f t="shared" si="20"/>
        <v>6480.9284879384368</v>
      </c>
      <c r="BM18" s="2">
        <f t="shared" si="20"/>
        <v>5738.4336789239997</v>
      </c>
      <c r="BN18" s="2">
        <f t="shared" si="20"/>
        <v>1737.6404850525128</v>
      </c>
      <c r="BP18" s="1">
        <f>+datos!EL1</f>
        <v>142</v>
      </c>
      <c r="BQ18" s="1">
        <f t="shared" si="21"/>
        <v>12461845</v>
      </c>
      <c r="BR18" s="1">
        <f t="shared" si="21"/>
        <v>12461845</v>
      </c>
      <c r="BT18" s="1">
        <f>+datos!GS1</f>
        <v>201</v>
      </c>
      <c r="BU18" s="1">
        <f t="shared" si="22"/>
        <v>37225.102500000001</v>
      </c>
      <c r="BV18" s="1">
        <f t="shared" si="22"/>
        <v>41560.74</v>
      </c>
      <c r="BX18" s="1">
        <f>+datos!KI1</f>
        <v>295</v>
      </c>
      <c r="BY18" s="1">
        <f t="shared" si="39"/>
        <v>183.27068316</v>
      </c>
      <c r="BZ18" s="1">
        <f t="shared" si="40"/>
        <v>246.75536947000001</v>
      </c>
      <c r="CB18" s="1">
        <f>+datos!LN1</f>
        <v>326</v>
      </c>
      <c r="CC18" s="2">
        <f t="shared" si="23"/>
        <v>4.2778483200000004</v>
      </c>
      <c r="CD18" s="2">
        <f t="shared" si="24"/>
        <v>4.7008637199999992</v>
      </c>
      <c r="CF18" s="1">
        <f>+datos!JA1</f>
        <v>261</v>
      </c>
      <c r="CG18" s="1">
        <f t="shared" si="25"/>
        <v>2813</v>
      </c>
      <c r="CH18" s="1">
        <f t="shared" si="26"/>
        <v>2813</v>
      </c>
      <c r="CJ18" s="1">
        <f t="shared" si="27"/>
        <v>22.437193859999997</v>
      </c>
      <c r="CK18" s="1">
        <f t="shared" si="27"/>
        <v>15.322430800000003</v>
      </c>
      <c r="CL18" s="1">
        <f t="shared" si="27"/>
        <v>16.644595240000001</v>
      </c>
      <c r="CM18" s="1">
        <f t="shared" si="27"/>
        <v>15.83663735</v>
      </c>
      <c r="CN18" s="1">
        <f t="shared" si="27"/>
        <v>13.412348609999999</v>
      </c>
      <c r="CO18" s="1">
        <f t="shared" si="27"/>
        <v>9.5091132299999988</v>
      </c>
      <c r="CP18" s="1">
        <f t="shared" si="27"/>
        <v>10.49137048</v>
      </c>
      <c r="CQ18" s="1">
        <f t="shared" si="27"/>
        <v>12.745889309999999</v>
      </c>
      <c r="CR18" s="1">
        <f t="shared" si="27"/>
        <v>11.898747670000001</v>
      </c>
      <c r="CS18" s="1">
        <f t="shared" si="27"/>
        <v>12.26162961</v>
      </c>
      <c r="CT18" s="1">
        <f t="shared" si="27"/>
        <v>21.704121750000002</v>
      </c>
      <c r="CU18" s="1">
        <f t="shared" si="27"/>
        <v>21.006605250000003</v>
      </c>
      <c r="CV18" s="1">
        <f t="shared" si="27"/>
        <v>22.417077500000001</v>
      </c>
      <c r="CW18" s="1">
        <f t="shared" si="27"/>
        <v>28.978678630000001</v>
      </c>
      <c r="CX18" s="1">
        <f t="shared" si="27"/>
        <v>14.681416690000001</v>
      </c>
      <c r="CY18" s="1">
        <f t="shared" si="27"/>
        <v>20.44206312</v>
      </c>
      <c r="CZ18" s="1">
        <f t="shared" si="28"/>
        <v>19.069193389999999</v>
      </c>
      <c r="DA18" s="1">
        <f t="shared" si="28"/>
        <v>11.15247257</v>
      </c>
      <c r="DB18" s="1">
        <f t="shared" si="28"/>
        <v>14.78060634</v>
      </c>
      <c r="DC18" s="1">
        <f t="shared" si="28"/>
        <v>17.39120926</v>
      </c>
      <c r="DD18" s="1">
        <f t="shared" si="28"/>
        <v>19.858191740000002</v>
      </c>
      <c r="DE18" s="1">
        <f t="shared" si="28"/>
        <v>25.793182220000006</v>
      </c>
      <c r="DF18" s="1">
        <f t="shared" si="28"/>
        <v>23.71802637</v>
      </c>
      <c r="DG18" s="1">
        <f t="shared" si="28"/>
        <v>28.473251640000001</v>
      </c>
      <c r="DI18" s="1">
        <f t="shared" si="29"/>
        <v>4.8750000000000002E-2</v>
      </c>
      <c r="DJ18" s="1">
        <f t="shared" si="29"/>
        <v>0.31075020000000003</v>
      </c>
      <c r="DK18" s="1">
        <f t="shared" si="29"/>
        <v>0.90541722000000002</v>
      </c>
      <c r="DL18" s="1">
        <f t="shared" si="29"/>
        <v>0.34283965</v>
      </c>
      <c r="DM18" s="1">
        <f t="shared" si="29"/>
        <v>0.74167351000000015</v>
      </c>
      <c r="DN18" s="1">
        <f t="shared" si="29"/>
        <v>0.58632921999999998</v>
      </c>
      <c r="DO18" s="1">
        <f t="shared" si="29"/>
        <v>0.29250390000000004</v>
      </c>
      <c r="DP18" s="1">
        <f t="shared" si="29"/>
        <v>0.46645720000000002</v>
      </c>
      <c r="DQ18" s="1">
        <f t="shared" si="29"/>
        <v>8.1248630000000002E-2</v>
      </c>
      <c r="DR18" s="1">
        <f t="shared" si="29"/>
        <v>0.16069122999999999</v>
      </c>
      <c r="DS18" s="1">
        <f t="shared" si="29"/>
        <v>0.12834936</v>
      </c>
      <c r="DT18" s="1">
        <f t="shared" si="29"/>
        <v>0.21283820000000001</v>
      </c>
      <c r="DU18" s="1">
        <f t="shared" si="29"/>
        <v>0.28431688999999999</v>
      </c>
      <c r="DV18" s="1">
        <f t="shared" si="29"/>
        <v>0.27087241000000001</v>
      </c>
      <c r="DW18" s="1">
        <f t="shared" si="29"/>
        <v>0.85465582000000007</v>
      </c>
      <c r="DX18" s="1">
        <f t="shared" si="29"/>
        <v>0.86735239999999991</v>
      </c>
      <c r="DY18" s="1">
        <f t="shared" si="30"/>
        <v>0.68639446999999998</v>
      </c>
      <c r="DZ18" s="1">
        <f t="shared" si="30"/>
        <v>0.51198889000000003</v>
      </c>
      <c r="EA18" s="1">
        <f t="shared" si="30"/>
        <v>0.25118170000000001</v>
      </c>
      <c r="EB18" s="1">
        <f t="shared" si="30"/>
        <v>0.17288594000000002</v>
      </c>
      <c r="EC18" s="1">
        <f t="shared" si="30"/>
        <v>0</v>
      </c>
      <c r="ED18" s="1">
        <f t="shared" si="30"/>
        <v>0.51168631000000009</v>
      </c>
      <c r="EE18" s="1">
        <f t="shared" si="30"/>
        <v>0.28659749000000001</v>
      </c>
      <c r="EF18" s="1">
        <f t="shared" si="30"/>
        <v>2.9313999999999998E-3</v>
      </c>
      <c r="EH18" s="14">
        <f t="shared" si="31"/>
        <v>2813</v>
      </c>
      <c r="EI18" s="14">
        <f t="shared" si="31"/>
        <v>2813</v>
      </c>
      <c r="EJ18" s="1">
        <f t="shared" si="31"/>
        <v>2813</v>
      </c>
      <c r="EK18" s="1">
        <f t="shared" si="31"/>
        <v>2813</v>
      </c>
      <c r="EL18" s="1">
        <f t="shared" si="31"/>
        <v>2813</v>
      </c>
      <c r="EM18" s="1">
        <f t="shared" si="31"/>
        <v>2813</v>
      </c>
      <c r="EN18" s="1">
        <f t="shared" si="31"/>
        <v>2813</v>
      </c>
      <c r="EO18" s="1">
        <f t="shared" si="31"/>
        <v>2813</v>
      </c>
      <c r="EP18" s="1">
        <f t="shared" si="31"/>
        <v>2813</v>
      </c>
      <c r="EQ18" s="1">
        <f t="shared" si="31"/>
        <v>2813</v>
      </c>
      <c r="ER18" s="1">
        <f t="shared" si="31"/>
        <v>2813</v>
      </c>
      <c r="ES18" s="1">
        <f t="shared" si="31"/>
        <v>2813</v>
      </c>
      <c r="ET18" s="1">
        <f t="shared" si="31"/>
        <v>2813</v>
      </c>
      <c r="EU18" s="1">
        <f t="shared" si="31"/>
        <v>2813</v>
      </c>
      <c r="EV18" s="1">
        <f t="shared" si="31"/>
        <v>2813</v>
      </c>
      <c r="EW18" s="1">
        <f t="shared" si="31"/>
        <v>2813</v>
      </c>
      <c r="EX18" s="1">
        <f t="shared" si="32"/>
        <v>2813</v>
      </c>
      <c r="EY18" s="1">
        <f t="shared" si="32"/>
        <v>2813</v>
      </c>
      <c r="EZ18" s="1">
        <f t="shared" si="32"/>
        <v>2813</v>
      </c>
      <c r="FA18" s="1">
        <f t="shared" si="32"/>
        <v>2813</v>
      </c>
      <c r="FB18" s="1">
        <f t="shared" si="32"/>
        <v>2813</v>
      </c>
      <c r="FC18" s="1">
        <f t="shared" si="32"/>
        <v>2813</v>
      </c>
      <c r="FD18" s="1">
        <f t="shared" si="32"/>
        <v>2813</v>
      </c>
      <c r="FE18" s="1">
        <f t="shared" si="32"/>
        <v>2813</v>
      </c>
      <c r="FG18" s="162">
        <f t="shared" si="33"/>
        <v>-2.7297292182637989</v>
      </c>
    </row>
    <row r="19" spans="1:163" ht="18.75" customHeight="1">
      <c r="A19" s="244" t="s">
        <v>66</v>
      </c>
      <c r="B19" s="247"/>
      <c r="C19" s="228">
        <f t="shared" si="5"/>
        <v>-0.33</v>
      </c>
      <c r="D19" s="229">
        <v>-1</v>
      </c>
      <c r="E19" s="253">
        <f t="shared" si="6"/>
        <v>1.2847701149425239E-2</v>
      </c>
      <c r="F19" s="254">
        <f t="shared" si="7"/>
        <v>-9.7248699477862965E-2</v>
      </c>
      <c r="G19" s="253">
        <f t="shared" si="8"/>
        <v>1.7439301943877439E-2</v>
      </c>
      <c r="H19" s="254">
        <f t="shared" si="9"/>
        <v>-4.5916007944521997E-3</v>
      </c>
      <c r="I19" s="253">
        <f t="shared" si="10"/>
        <v>2.6163235294117646</v>
      </c>
      <c r="J19" s="254">
        <f t="shared" si="11"/>
        <v>-0.26225307064615588</v>
      </c>
      <c r="K19" s="253">
        <f t="shared" si="34"/>
        <v>2.4815248776040799</v>
      </c>
      <c r="L19" s="254">
        <f t="shared" si="12"/>
        <v>0.13479865180768469</v>
      </c>
      <c r="M19" s="255"/>
      <c r="N19" s="256">
        <v>0</v>
      </c>
      <c r="O19" s="253">
        <f t="shared" si="35"/>
        <v>6.5265283642371941E-2</v>
      </c>
      <c r="P19" s="257">
        <f t="shared" si="36"/>
        <v>6.5265283642371941E-2</v>
      </c>
      <c r="Q19" s="248">
        <f t="shared" si="13"/>
        <v>-0.10753859789340392</v>
      </c>
      <c r="R19" s="257">
        <v>-0.01</v>
      </c>
      <c r="S19" s="255"/>
      <c r="T19" s="256">
        <v>0</v>
      </c>
      <c r="U19" s="253">
        <f t="shared" si="14"/>
        <v>6.3687252739700773E-2</v>
      </c>
      <c r="V19" s="258">
        <f t="shared" si="15"/>
        <v>6.3687252739700773E-2</v>
      </c>
      <c r="W19" s="253">
        <f t="shared" si="38"/>
        <v>1.525507687602234</v>
      </c>
      <c r="X19" s="258">
        <f t="shared" si="16"/>
        <v>1.525507687602234</v>
      </c>
      <c r="Y19" s="253">
        <f t="shared" si="17"/>
        <v>0</v>
      </c>
      <c r="Z19" s="258">
        <f t="shared" si="18"/>
        <v>0</v>
      </c>
      <c r="AA19" s="238"/>
      <c r="AB19" s="242" t="s">
        <v>505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P19" s="28">
        <f>VLOOKUP($A19,historia!$A$5:$CM$24,+HLOOKUP(AP$2,historia!$A$3:$EC$4,2,FALSE),FALSE)</f>
        <v>3</v>
      </c>
      <c r="AQ19" s="28">
        <f>VLOOKUP($A19,historia!$A$5:$CM$24,+HLOOKUP(AQ$2,historia!$A$3:$EC$4,2,FALSE),FALSE)</f>
        <v>3</v>
      </c>
      <c r="AR19" s="28">
        <f>VLOOKUP($A19,historia!$A$5:$CM$24,+HLOOKUP(AR$2,historia!$A$3:$EC$4,2,FALSE),FALSE)</f>
        <v>4</v>
      </c>
      <c r="AS19" s="28">
        <f>VLOOKUP($A19,historia!$A$5:$CM$24,+HLOOKUP(AS$2,historia!$A$3:$EC$4,2,FALSE),FALSE)</f>
        <v>4</v>
      </c>
      <c r="AT19" s="58">
        <f>VLOOKUP($A19,historia!$A$5:$CM$24,+HLOOKUP(AT$2,historia!$A$3:$EC$4,2,FALSE),FALSE)</f>
        <v>4</v>
      </c>
      <c r="AU19" s="58">
        <f>VLOOKUP($A19,historia!$A$5:$CM$24,+HLOOKUP(AU$2,historia!$A$3:$EC$4,2,FALSE),FALSE)</f>
        <v>4</v>
      </c>
      <c r="AV19" s="58">
        <f>VLOOKUP($A19,historia!$A$5:$CM$24,+HLOOKUP(AV$2,historia!$A$3:$EC$4,2,FALSE),FALSE)</f>
        <v>3</v>
      </c>
      <c r="AW19" s="58">
        <f>VLOOKUP($A19,historia!$A$5:$CM$24,+HLOOKUP(AW$2,historia!$A$3:$EC$4,2,FALSE),FALSE)</f>
        <v>3</v>
      </c>
      <c r="AX19" s="58">
        <f>VLOOKUP($A19,historia!$A$5:$CM$24,+HLOOKUP(AX$2,historia!$A$3:$EC$4,2,FALSE),FALSE)</f>
        <v>3</v>
      </c>
      <c r="AY19" s="58">
        <f>VLOOKUP($A19,historia!$A$5:$CM$24,+HLOOKUP(AY$2,historia!$A$3:$EC$4,2,FALSE),FALSE)</f>
        <v>4</v>
      </c>
      <c r="AZ19" s="58">
        <f>VLOOKUP($A19,historia!$A$5:$CM$24,+HLOOKUP(AZ$2,historia!$A$3:$EC$4,2,FALSE),FALSE)</f>
        <v>3</v>
      </c>
      <c r="BA19" s="58">
        <f>VLOOKUP($A19,historia!$A$5:$CM$24,+HLOOKUP(BA$2,historia!$A$3:$EC$4,2,FALSE),FALSE)</f>
        <v>4</v>
      </c>
      <c r="BB19" s="30"/>
      <c r="BC19" s="141">
        <v>4</v>
      </c>
      <c r="BD19" t="str">
        <f t="shared" si="19"/>
        <v>Papa</v>
      </c>
      <c r="BE19">
        <f>+datos!AV1</f>
        <v>48</v>
      </c>
      <c r="BF19" s="2" t="str">
        <f t="shared" si="4"/>
        <v>$/bolsa 20kg</v>
      </c>
      <c r="BG19" s="2">
        <f t="shared" si="4"/>
        <v>6830.833333333333</v>
      </c>
      <c r="BH19" s="2">
        <f t="shared" si="4"/>
        <v>6744.1860465116279</v>
      </c>
      <c r="BI19" s="2">
        <f t="shared" si="4"/>
        <v>1888.8888888888889</v>
      </c>
      <c r="BK19">
        <f>+datos!CI1</f>
        <v>87</v>
      </c>
      <c r="BL19" s="2">
        <f t="shared" si="20"/>
        <v>8297.0205178110427</v>
      </c>
      <c r="BM19" s="2">
        <f t="shared" si="20"/>
        <v>8154.8063869354155</v>
      </c>
      <c r="BN19" s="2">
        <f t="shared" si="20"/>
        <v>2383.1570387975789</v>
      </c>
      <c r="BP19" s="1">
        <f>+datos!EZ1</f>
        <v>156</v>
      </c>
      <c r="BQ19" s="1">
        <f t="shared" si="21"/>
        <v>34815</v>
      </c>
      <c r="BR19" s="1">
        <f t="shared" si="21"/>
        <v>32682</v>
      </c>
      <c r="BT19" s="1">
        <f>+datos!GT1</f>
        <v>202</v>
      </c>
      <c r="BU19" s="1">
        <f t="shared" si="22"/>
        <v>2111561</v>
      </c>
      <c r="BV19" s="1">
        <f t="shared" si="22"/>
        <v>2365997</v>
      </c>
      <c r="BX19" s="1">
        <f>+datos!JO1</f>
        <v>275</v>
      </c>
      <c r="BY19" s="1">
        <f t="shared" si="39"/>
        <v>323.05922909000003</v>
      </c>
      <c r="BZ19" s="1">
        <f t="shared" si="40"/>
        <v>303.71636800000005</v>
      </c>
      <c r="CB19" s="1">
        <f>+datos!KT1</f>
        <v>306</v>
      </c>
      <c r="CC19" s="2">
        <f t="shared" si="23"/>
        <v>19.404777159999998</v>
      </c>
      <c r="CD19" s="2">
        <f t="shared" si="24"/>
        <v>7.6835153799999993</v>
      </c>
      <c r="CF19" s="1">
        <f>+datos!JB1</f>
        <v>262</v>
      </c>
      <c r="CG19" s="1">
        <f t="shared" si="25"/>
        <v>35.950000000000003</v>
      </c>
      <c r="CH19" s="1">
        <f t="shared" si="26"/>
        <v>35.950000000000003</v>
      </c>
      <c r="CJ19" s="1">
        <f t="shared" si="27"/>
        <v>28.924508010000004</v>
      </c>
      <c r="CK19" s="1">
        <f t="shared" si="27"/>
        <v>27.954086790000002</v>
      </c>
      <c r="CL19" s="1">
        <f t="shared" si="27"/>
        <v>24.143815810000007</v>
      </c>
      <c r="CM19" s="1">
        <f t="shared" si="27"/>
        <v>26.000694290000002</v>
      </c>
      <c r="CN19" s="1">
        <f t="shared" si="27"/>
        <v>22.013274209999999</v>
      </c>
      <c r="CO19" s="1">
        <f t="shared" si="27"/>
        <v>23.44114875</v>
      </c>
      <c r="CP19" s="1">
        <f t="shared" si="27"/>
        <v>29.35689408</v>
      </c>
      <c r="CQ19" s="1">
        <f t="shared" si="27"/>
        <v>26.11967611</v>
      </c>
      <c r="CR19" s="1">
        <f t="shared" si="27"/>
        <v>30.386509889999999</v>
      </c>
      <c r="CS19" s="1">
        <f t="shared" si="27"/>
        <v>26.2743097</v>
      </c>
      <c r="CT19" s="1">
        <f t="shared" si="27"/>
        <v>30.80704394</v>
      </c>
      <c r="CU19" s="1">
        <f t="shared" si="27"/>
        <v>27.637267510000001</v>
      </c>
      <c r="CV19" s="1">
        <f t="shared" si="27"/>
        <v>30.470799569999997</v>
      </c>
      <c r="CW19" s="1">
        <f t="shared" si="27"/>
        <v>25.884569989999999</v>
      </c>
      <c r="CX19" s="1">
        <f t="shared" si="27"/>
        <v>21.159077390000004</v>
      </c>
      <c r="CY19" s="1">
        <f t="shared" si="27"/>
        <v>21.056863770000003</v>
      </c>
      <c r="CZ19" s="1">
        <f t="shared" si="28"/>
        <v>16.985680380000005</v>
      </c>
      <c r="DA19" s="1">
        <f t="shared" si="28"/>
        <v>25.68249277</v>
      </c>
      <c r="DB19" s="1">
        <f t="shared" si="28"/>
        <v>25.561633730000004</v>
      </c>
      <c r="DC19" s="1">
        <f t="shared" si="28"/>
        <v>29.175893349999999</v>
      </c>
      <c r="DD19" s="1">
        <f t="shared" si="28"/>
        <v>26.64714219</v>
      </c>
      <c r="DE19" s="1">
        <f t="shared" si="28"/>
        <v>28.903680499999997</v>
      </c>
      <c r="DF19" s="1">
        <f t="shared" si="28"/>
        <v>27.118801100000006</v>
      </c>
      <c r="DG19" s="1">
        <f t="shared" si="28"/>
        <v>25.069733259999996</v>
      </c>
      <c r="DI19" s="1">
        <f t="shared" si="29"/>
        <v>0.5838748800000001</v>
      </c>
      <c r="DJ19" s="1">
        <f t="shared" si="29"/>
        <v>1.6300787399999999</v>
      </c>
      <c r="DK19" s="1">
        <f t="shared" si="29"/>
        <v>1.5496506000000003</v>
      </c>
      <c r="DL19" s="1">
        <f t="shared" si="29"/>
        <v>2.1384397699999997</v>
      </c>
      <c r="DM19" s="1">
        <f t="shared" si="29"/>
        <v>2.7337765599999999</v>
      </c>
      <c r="DN19" s="1">
        <f t="shared" si="29"/>
        <v>1.0171737099999998</v>
      </c>
      <c r="DO19" s="1">
        <f t="shared" si="29"/>
        <v>1.9864389700000002</v>
      </c>
      <c r="DP19" s="1">
        <f t="shared" si="29"/>
        <v>2.8868213899999997</v>
      </c>
      <c r="DQ19" s="1">
        <f t="shared" si="29"/>
        <v>1.3747401999999997</v>
      </c>
      <c r="DR19" s="1">
        <f t="shared" si="29"/>
        <v>1.6364950999999999</v>
      </c>
      <c r="DS19" s="1">
        <f t="shared" si="29"/>
        <v>1.1348675200000002</v>
      </c>
      <c r="DT19" s="1">
        <f t="shared" si="29"/>
        <v>0.73241972</v>
      </c>
      <c r="DU19" s="1">
        <f t="shared" si="29"/>
        <v>1.2023484900000001</v>
      </c>
      <c r="DV19" s="1">
        <f t="shared" si="29"/>
        <v>0.41620179000000002</v>
      </c>
      <c r="DW19" s="1">
        <f t="shared" si="29"/>
        <v>1.03402496</v>
      </c>
      <c r="DX19" s="1">
        <f t="shared" si="29"/>
        <v>2.8427559999999998E-2</v>
      </c>
      <c r="DY19" s="1">
        <f t="shared" si="30"/>
        <v>1.0036533000000001</v>
      </c>
      <c r="DZ19" s="1">
        <f t="shared" si="30"/>
        <v>0.19325807</v>
      </c>
      <c r="EA19" s="1">
        <f t="shared" si="30"/>
        <v>0.52785406000000001</v>
      </c>
      <c r="EB19" s="1">
        <f t="shared" si="30"/>
        <v>0.66552862999999995</v>
      </c>
      <c r="EC19" s="1">
        <f t="shared" si="30"/>
        <v>0.47927648999999994</v>
      </c>
      <c r="ED19" s="1">
        <f t="shared" si="30"/>
        <v>0.83261881999999998</v>
      </c>
      <c r="EE19" s="1">
        <f t="shared" si="30"/>
        <v>0.7180453</v>
      </c>
      <c r="EF19" s="1">
        <f t="shared" si="30"/>
        <v>0.58227790999999995</v>
      </c>
      <c r="EH19" s="14">
        <f t="shared" si="31"/>
        <v>35.950000000000003</v>
      </c>
      <c r="EI19" s="14">
        <f t="shared" si="31"/>
        <v>35.950000000000003</v>
      </c>
      <c r="EJ19" s="1">
        <f t="shared" si="31"/>
        <v>35.950000000000003</v>
      </c>
      <c r="EK19" s="1">
        <f t="shared" si="31"/>
        <v>35.950000000000003</v>
      </c>
      <c r="EL19" s="1">
        <f t="shared" si="31"/>
        <v>35.950000000000003</v>
      </c>
      <c r="EM19" s="1">
        <f t="shared" si="31"/>
        <v>35.950000000000003</v>
      </c>
      <c r="EN19" s="1">
        <f t="shared" si="31"/>
        <v>35.950000000000003</v>
      </c>
      <c r="EO19" s="1">
        <f t="shared" si="31"/>
        <v>35.950000000000003</v>
      </c>
      <c r="EP19" s="1">
        <f t="shared" si="31"/>
        <v>35.950000000000003</v>
      </c>
      <c r="EQ19" s="1">
        <f t="shared" si="31"/>
        <v>35.950000000000003</v>
      </c>
      <c r="ER19" s="1">
        <f t="shared" si="31"/>
        <v>35.950000000000003</v>
      </c>
      <c r="ES19" s="1">
        <f t="shared" si="31"/>
        <v>35.950000000000003</v>
      </c>
      <c r="ET19" s="1">
        <f t="shared" si="31"/>
        <v>35.950000000000003</v>
      </c>
      <c r="EU19" s="1">
        <f t="shared" si="31"/>
        <v>35.950000000000003</v>
      </c>
      <c r="EV19" s="1">
        <f t="shared" si="31"/>
        <v>35.950000000000003</v>
      </c>
      <c r="EW19" s="1">
        <f t="shared" si="31"/>
        <v>40.33</v>
      </c>
      <c r="EX19" s="1">
        <f t="shared" si="32"/>
        <v>40.33</v>
      </c>
      <c r="EY19" s="1">
        <f t="shared" si="32"/>
        <v>40.33</v>
      </c>
      <c r="EZ19" s="1">
        <f t="shared" si="32"/>
        <v>40.33</v>
      </c>
      <c r="FA19" s="1">
        <f t="shared" si="32"/>
        <v>40.33</v>
      </c>
      <c r="FB19" s="1">
        <f t="shared" si="32"/>
        <v>40.33</v>
      </c>
      <c r="FC19" s="1">
        <f t="shared" si="32"/>
        <v>40.33</v>
      </c>
      <c r="FD19" s="1">
        <f t="shared" si="32"/>
        <v>40.33</v>
      </c>
      <c r="FE19" s="1">
        <f t="shared" si="32"/>
        <v>40.33</v>
      </c>
      <c r="FG19" s="162">
        <f t="shared" si="33"/>
        <v>0.13479865180768469</v>
      </c>
    </row>
    <row r="20" spans="1:163" ht="18.75" customHeight="1">
      <c r="A20" s="243" t="s">
        <v>218</v>
      </c>
      <c r="B20" s="246"/>
      <c r="C20" s="156">
        <f t="shared" si="5"/>
        <v>-0.33</v>
      </c>
      <c r="D20" s="198">
        <v>-1</v>
      </c>
      <c r="E20" s="248">
        <f t="shared" si="6"/>
        <v>-6.5037184141991555E-2</v>
      </c>
      <c r="F20" s="249">
        <f t="shared" si="7"/>
        <v>-0.17513358476927976</v>
      </c>
      <c r="G20" s="248">
        <f t="shared" si="8"/>
        <v>7.3271006547473094E-2</v>
      </c>
      <c r="H20" s="249">
        <f t="shared" si="9"/>
        <v>-0.13830819068946465</v>
      </c>
      <c r="I20" s="248">
        <f t="shared" si="10"/>
        <v>3.6593106062657386</v>
      </c>
      <c r="J20" s="249">
        <f t="shared" si="11"/>
        <v>0.78073400620781808</v>
      </c>
      <c r="K20" s="248">
        <f t="shared" si="34"/>
        <v>2.7124994266922511</v>
      </c>
      <c r="L20" s="249">
        <f t="shared" si="12"/>
        <v>0.94681117957348748</v>
      </c>
      <c r="M20" s="250"/>
      <c r="N20" s="24">
        <v>-1</v>
      </c>
      <c r="O20" s="248">
        <f t="shared" si="35"/>
        <v>-2.3211675087845274E-2</v>
      </c>
      <c r="P20" s="251">
        <f t="shared" si="36"/>
        <v>-2.3211675087845274E-2</v>
      </c>
      <c r="Q20" s="248">
        <f t="shared" si="13"/>
        <v>-0.13601748336021657</v>
      </c>
      <c r="R20" s="251">
        <f t="shared" si="37"/>
        <v>-0.13601748336021657</v>
      </c>
      <c r="S20" s="250"/>
      <c r="T20" s="24">
        <v>1</v>
      </c>
      <c r="U20" s="248">
        <f t="shared" si="14"/>
        <v>0.22974325800249451</v>
      </c>
      <c r="V20" s="252">
        <f t="shared" si="15"/>
        <v>0.22974325800249451</v>
      </c>
      <c r="W20" s="248">
        <f t="shared" si="38"/>
        <v>-0.10726121184038007</v>
      </c>
      <c r="X20" s="252">
        <f t="shared" si="16"/>
        <v>-0.10726121184038007</v>
      </c>
      <c r="Y20" s="248" t="str">
        <f t="shared" si="17"/>
        <v/>
      </c>
      <c r="Z20" s="252" t="str">
        <f t="shared" si="18"/>
        <v/>
      </c>
      <c r="AA20" s="30"/>
      <c r="AB20" s="242" t="s">
        <v>506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P20" s="28">
        <f>VLOOKUP($A20,historia!$A$5:$CM$24,+HLOOKUP(AP$2,historia!$A$3:$EC$4,2,FALSE),FALSE)</f>
        <v>4</v>
      </c>
      <c r="AQ20" s="28">
        <f>VLOOKUP($A20,historia!$A$5:$CM$24,+HLOOKUP(AQ$2,historia!$A$3:$EC$4,2,FALSE),FALSE)</f>
        <v>4</v>
      </c>
      <c r="AR20" s="28">
        <f>VLOOKUP($A20,historia!$A$5:$CM$24,+HLOOKUP(AR$2,historia!$A$3:$EC$4,2,FALSE),FALSE)</f>
        <v>4</v>
      </c>
      <c r="AS20" s="28">
        <f>VLOOKUP($A20,historia!$A$5:$CM$24,+HLOOKUP(AS$2,historia!$A$3:$EC$4,2,FALSE),FALSE)</f>
        <v>3</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3</v>
      </c>
      <c r="AY20" s="58">
        <f>VLOOKUP($A20,historia!$A$5:$CM$24,+HLOOKUP(AY$2,historia!$A$3:$EC$4,2,FALSE),FALSE)</f>
        <v>3</v>
      </c>
      <c r="AZ20" s="58">
        <f>VLOOKUP($A20,historia!$A$5:$CM$24,+HLOOKUP(AZ$2,historia!$A$3:$EC$4,2,FALSE),FALSE)</f>
        <v>3</v>
      </c>
      <c r="BA20" s="58">
        <f>VLOOKUP($A20,historia!$A$5:$CM$24,+HLOOKUP(BA$2,historia!$A$3:$EC$4,2,FALSE),FALSE)</f>
        <v>4</v>
      </c>
      <c r="BB20" s="30"/>
      <c r="BC20" s="141">
        <v>4</v>
      </c>
      <c r="BD20" t="str">
        <f t="shared" si="19"/>
        <v>Peras y Manzanas</v>
      </c>
      <c r="BE20">
        <f>+datos!AP1</f>
        <v>42</v>
      </c>
      <c r="BF20" s="2" t="str">
        <f t="shared" si="4"/>
        <v>$/caja 18kg</v>
      </c>
      <c r="BG20" s="2">
        <f t="shared" si="4"/>
        <v>11732.25</v>
      </c>
      <c r="BH20" s="2">
        <f t="shared" si="4"/>
        <v>12548.36</v>
      </c>
      <c r="BI20" s="2">
        <f t="shared" si="4"/>
        <v>2518.0227272727275</v>
      </c>
      <c r="BK20">
        <f>+datos!CS1</f>
        <v>97</v>
      </c>
      <c r="BL20" s="2">
        <f t="shared" si="20"/>
        <v>7065.6269805119246</v>
      </c>
      <c r="BM20" s="2">
        <f t="shared" si="20"/>
        <v>6583.2645598438576</v>
      </c>
      <c r="BN20" s="2">
        <f t="shared" si="20"/>
        <v>1903.1994805739891</v>
      </c>
      <c r="BP20" s="1">
        <f>+datos!FC1</f>
        <v>159</v>
      </c>
      <c r="BQ20" s="1">
        <f t="shared" si="21"/>
        <v>38084</v>
      </c>
      <c r="BR20" s="1">
        <f t="shared" si="21"/>
        <v>38989</v>
      </c>
      <c r="BT20" s="1">
        <f>+datos!GW1</f>
        <v>205</v>
      </c>
      <c r="BU20" s="1">
        <f t="shared" si="22"/>
        <v>745610</v>
      </c>
      <c r="BV20" s="1">
        <f t="shared" si="22"/>
        <v>862992</v>
      </c>
      <c r="BX20" s="1">
        <f>+datos!LS1</f>
        <v>331</v>
      </c>
      <c r="BY20" s="1">
        <f t="shared" si="39"/>
        <v>374.49014835000003</v>
      </c>
      <c r="BZ20" s="1">
        <f t="shared" si="40"/>
        <v>304.52710019999995</v>
      </c>
      <c r="CB20" s="1">
        <f>+datos!LW1</f>
        <v>335</v>
      </c>
      <c r="CC20" s="2">
        <f t="shared" si="23"/>
        <v>6.3993883700000005</v>
      </c>
      <c r="CD20" s="2">
        <f t="shared" si="24"/>
        <v>7.1682651800000006</v>
      </c>
      <c r="CF20" s="1">
        <f>+datos!JC1</f>
        <v>263</v>
      </c>
      <c r="CG20" s="1">
        <f t="shared" si="25"/>
        <v>0</v>
      </c>
      <c r="CH20" s="1">
        <f t="shared" si="26"/>
        <v>0</v>
      </c>
      <c r="CJ20" s="1">
        <f t="shared" si="27"/>
        <v>60.076282149999997</v>
      </c>
      <c r="CK20" s="1">
        <f t="shared" si="27"/>
        <v>42.744570039999999</v>
      </c>
      <c r="CL20" s="1">
        <f t="shared" si="27"/>
        <v>11.509203560000001</v>
      </c>
      <c r="CM20" s="1">
        <f t="shared" si="27"/>
        <v>11.753879789999999</v>
      </c>
      <c r="CN20" s="1">
        <f t="shared" si="27"/>
        <v>15.619426270000002</v>
      </c>
      <c r="CO20" s="1">
        <f t="shared" si="27"/>
        <v>16.880359240000001</v>
      </c>
      <c r="CP20" s="1">
        <f t="shared" si="27"/>
        <v>24.204094699999999</v>
      </c>
      <c r="CQ20" s="1">
        <f t="shared" si="27"/>
        <v>25.300599699999999</v>
      </c>
      <c r="CR20" s="1">
        <f t="shared" si="27"/>
        <v>48.042350899999995</v>
      </c>
      <c r="CS20" s="1">
        <f t="shared" si="27"/>
        <v>30.317151650000003</v>
      </c>
      <c r="CT20" s="1">
        <f t="shared" si="27"/>
        <v>39.830023670000003</v>
      </c>
      <c r="CU20" s="1">
        <f t="shared" si="27"/>
        <v>48.212206680000008</v>
      </c>
      <c r="CV20" s="1">
        <f t="shared" si="27"/>
        <v>46.755406350000001</v>
      </c>
      <c r="CW20" s="1">
        <f t="shared" si="27"/>
        <v>37.276974840000001</v>
      </c>
      <c r="CX20" s="1">
        <f t="shared" si="27"/>
        <v>11.80910873</v>
      </c>
      <c r="CY20" s="1">
        <f t="shared" si="27"/>
        <v>12.88181872</v>
      </c>
      <c r="CZ20" s="1">
        <f t="shared" si="28"/>
        <v>18.209359989999999</v>
      </c>
      <c r="DA20" s="1">
        <f t="shared" si="28"/>
        <v>17.588783669999998</v>
      </c>
      <c r="DB20" s="1">
        <f t="shared" si="28"/>
        <v>19.204431939999999</v>
      </c>
      <c r="DC20" s="1">
        <f t="shared" si="28"/>
        <v>18.586597920000003</v>
      </c>
      <c r="DD20" s="1">
        <f t="shared" si="28"/>
        <v>16.816308710000001</v>
      </c>
      <c r="DE20" s="1">
        <f t="shared" si="28"/>
        <v>28.579364210000001</v>
      </c>
      <c r="DF20" s="1">
        <f t="shared" si="28"/>
        <v>38.836687069999996</v>
      </c>
      <c r="DG20" s="1">
        <f t="shared" si="28"/>
        <v>37.982258049999999</v>
      </c>
      <c r="DI20" s="1">
        <f t="shared" si="29"/>
        <v>7.78142E-2</v>
      </c>
      <c r="DJ20" s="1">
        <f t="shared" si="29"/>
        <v>0.12479459999999999</v>
      </c>
      <c r="DK20" s="1">
        <f t="shared" si="29"/>
        <v>8.4911199999999992E-2</v>
      </c>
      <c r="DL20" s="1">
        <f t="shared" si="29"/>
        <v>0.22142464000000001</v>
      </c>
      <c r="DM20" s="1">
        <f t="shared" si="29"/>
        <v>1.01853964</v>
      </c>
      <c r="DN20" s="1">
        <f t="shared" si="29"/>
        <v>0.30728509999999998</v>
      </c>
      <c r="DO20" s="1">
        <f t="shared" si="29"/>
        <v>0.37410640000000001</v>
      </c>
      <c r="DP20" s="1">
        <f t="shared" si="29"/>
        <v>0.35746821000000001</v>
      </c>
      <c r="DQ20" s="1">
        <f t="shared" si="29"/>
        <v>0.95829101000000005</v>
      </c>
      <c r="DR20" s="1">
        <f t="shared" si="29"/>
        <v>0.34636184000000003</v>
      </c>
      <c r="DS20" s="1">
        <f t="shared" si="29"/>
        <v>1.2547095300000002</v>
      </c>
      <c r="DT20" s="1">
        <f t="shared" si="29"/>
        <v>1.273682</v>
      </c>
      <c r="DU20" s="1">
        <f t="shared" si="29"/>
        <v>0.92279571000000005</v>
      </c>
      <c r="DV20" s="1">
        <f t="shared" si="29"/>
        <v>0.55930298000000001</v>
      </c>
      <c r="DW20" s="1">
        <f t="shared" si="29"/>
        <v>0.23405334</v>
      </c>
      <c r="DX20" s="1">
        <f t="shared" si="29"/>
        <v>2.5551390000000004E-2</v>
      </c>
      <c r="DY20" s="1">
        <f t="shared" si="30"/>
        <v>0.44126778</v>
      </c>
      <c r="DZ20" s="1">
        <f t="shared" si="30"/>
        <v>0.57571571999999993</v>
      </c>
      <c r="EA20" s="1">
        <f t="shared" si="30"/>
        <v>0.55222305999999999</v>
      </c>
      <c r="EB20" s="1">
        <f t="shared" si="30"/>
        <v>0.72330915000000007</v>
      </c>
      <c r="EC20" s="1">
        <f t="shared" si="30"/>
        <v>0.57011290000000003</v>
      </c>
      <c r="ED20" s="1">
        <f t="shared" si="30"/>
        <v>0.72611420999999998</v>
      </c>
      <c r="EE20" s="1">
        <f t="shared" si="30"/>
        <v>1.15496998</v>
      </c>
      <c r="EF20" s="1">
        <f t="shared" si="30"/>
        <v>0.68284896000000006</v>
      </c>
      <c r="EH20" s="14">
        <f t="shared" si="31"/>
        <v>0</v>
      </c>
      <c r="EI20" s="14">
        <f t="shared" si="31"/>
        <v>0</v>
      </c>
      <c r="EJ20" s="1">
        <f t="shared" si="31"/>
        <v>0</v>
      </c>
      <c r="EK20" s="1">
        <f t="shared" si="31"/>
        <v>0</v>
      </c>
      <c r="EL20" s="1">
        <f t="shared" si="31"/>
        <v>0</v>
      </c>
      <c r="EM20" s="1">
        <f t="shared" si="31"/>
        <v>0</v>
      </c>
      <c r="EN20" s="1">
        <f t="shared" si="31"/>
        <v>0</v>
      </c>
      <c r="EO20" s="1">
        <f t="shared" si="31"/>
        <v>0</v>
      </c>
      <c r="EP20" s="1">
        <f t="shared" si="31"/>
        <v>0</v>
      </c>
      <c r="EQ20" s="1">
        <f t="shared" si="31"/>
        <v>0</v>
      </c>
      <c r="ER20" s="1">
        <f t="shared" si="31"/>
        <v>0</v>
      </c>
      <c r="ES20" s="1">
        <f t="shared" si="31"/>
        <v>0</v>
      </c>
      <c r="ET20" s="1">
        <f t="shared" si="31"/>
        <v>0</v>
      </c>
      <c r="EU20" s="1">
        <f t="shared" si="31"/>
        <v>0</v>
      </c>
      <c r="EV20" s="1">
        <f t="shared" si="31"/>
        <v>0</v>
      </c>
      <c r="EW20" s="1">
        <f t="shared" si="31"/>
        <v>0</v>
      </c>
      <c r="EX20" s="1">
        <f t="shared" si="32"/>
        <v>0</v>
      </c>
      <c r="EY20" s="1">
        <f t="shared" si="32"/>
        <v>0</v>
      </c>
      <c r="EZ20" s="1">
        <f t="shared" si="32"/>
        <v>0</v>
      </c>
      <c r="FA20" s="1">
        <f t="shared" si="32"/>
        <v>0</v>
      </c>
      <c r="FB20" s="1">
        <f t="shared" si="32"/>
        <v>0</v>
      </c>
      <c r="FC20" s="1">
        <f t="shared" si="32"/>
        <v>0</v>
      </c>
      <c r="FD20" s="1">
        <f t="shared" si="32"/>
        <v>0</v>
      </c>
      <c r="FE20" s="1">
        <f t="shared" si="32"/>
        <v>0</v>
      </c>
      <c r="FG20" s="162">
        <f t="shared" si="33"/>
        <v>0.94681117957348748</v>
      </c>
    </row>
    <row r="21" spans="1:163" ht="18.75" customHeight="1">
      <c r="A21" s="244" t="s">
        <v>121</v>
      </c>
      <c r="B21" s="247"/>
      <c r="C21" s="228">
        <f t="shared" si="5"/>
        <v>-0.33</v>
      </c>
      <c r="D21" s="229">
        <v>-1</v>
      </c>
      <c r="E21" s="253">
        <f t="shared" si="6"/>
        <v>5.284063582003129E-2</v>
      </c>
      <c r="F21" s="254">
        <f t="shared" si="7"/>
        <v>-5.7255764807256915E-2</v>
      </c>
      <c r="G21" s="253">
        <f t="shared" si="8"/>
        <v>1.4297907534953413E-2</v>
      </c>
      <c r="H21" s="254">
        <f t="shared" si="9"/>
        <v>3.8542728285077876E-2</v>
      </c>
      <c r="I21" s="253">
        <f t="shared" si="10"/>
        <v>2.6858329982576064</v>
      </c>
      <c r="J21" s="254">
        <f t="shared" si="11"/>
        <v>-0.19274360180031413</v>
      </c>
      <c r="K21" s="253">
        <f t="shared" si="34"/>
        <v>2.011193731958048</v>
      </c>
      <c r="L21" s="254">
        <f t="shared" si="12"/>
        <v>0.67463926629955839</v>
      </c>
      <c r="M21" s="255"/>
      <c r="N21" s="256">
        <v>1</v>
      </c>
      <c r="O21" s="253">
        <f t="shared" si="35"/>
        <v>3.8695172963417956E-2</v>
      </c>
      <c r="P21" s="257">
        <f t="shared" si="36"/>
        <v>3.8695172963417956E-2</v>
      </c>
      <c r="Q21" s="253">
        <f t="shared" si="13"/>
        <v>6.3193085224384715E-2</v>
      </c>
      <c r="R21" s="257">
        <f t="shared" si="37"/>
        <v>6.3193085224384715E-2</v>
      </c>
      <c r="S21" s="255"/>
      <c r="T21" s="256">
        <v>-1</v>
      </c>
      <c r="U21" s="253">
        <f t="shared" si="14"/>
        <v>1.673407226728596E-3</v>
      </c>
      <c r="V21" s="258">
        <f t="shared" si="15"/>
        <v>1.673407226728596E-3</v>
      </c>
      <c r="W21" s="253">
        <f t="shared" si="38"/>
        <v>-0.48323835598882026</v>
      </c>
      <c r="X21" s="258">
        <f t="shared" si="16"/>
        <v>-0.48323835598882026</v>
      </c>
      <c r="Y21" s="253">
        <f t="shared" si="17"/>
        <v>-2.251184834123221E-2</v>
      </c>
      <c r="Z21" s="258">
        <f t="shared" si="18"/>
        <v>-2.251184834123221E-2</v>
      </c>
      <c r="AA21" s="238"/>
      <c r="AB21" s="242" t="s">
        <v>507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P21" s="28">
        <f>VLOOKUP($A21,historia!$A$5:$CM$24,+HLOOKUP(AP$2,historia!$A$3:$EC$4,2,FALSE),FALSE)</f>
        <v>3</v>
      </c>
      <c r="AQ21" s="28">
        <f>VLOOKUP($A21,historia!$A$5:$CM$24,+HLOOKUP(AQ$2,historia!$A$3:$EC$4,2,FALSE),FALSE)</f>
        <v>3</v>
      </c>
      <c r="AR21" s="28">
        <f>VLOOKUP($A21,historia!$A$5:$CM$24,+HLOOKUP(AR$2,historia!$A$3:$EC$4,2,FALSE),FALSE)</f>
        <v>4</v>
      </c>
      <c r="AS21" s="28">
        <f>VLOOKUP($A21,historia!$A$5:$CM$24,+HLOOKUP(AS$2,historia!$A$3:$EC$4,2,FALSE),FALSE)</f>
        <v>4</v>
      </c>
      <c r="AT21" s="58">
        <f>VLOOKUP($A21,historia!$A$5:$CM$24,+HLOOKUP(AT$2,historia!$A$3:$EC$4,2,FALSE),FALSE)</f>
        <v>4</v>
      </c>
      <c r="AU21" s="58">
        <f>VLOOKUP($A21,historia!$A$5:$CM$24,+HLOOKUP(AU$2,historia!$A$3:$EC$4,2,FALSE),FALSE)</f>
        <v>3</v>
      </c>
      <c r="AV21" s="58">
        <f>VLOOKUP($A21,historia!$A$5:$CM$24,+HLOOKUP(AV$2,historia!$A$3:$EC$4,2,FALSE),FALSE)</f>
        <v>3</v>
      </c>
      <c r="AW21" s="58">
        <f>VLOOKUP($A21,historia!$A$5:$CM$24,+HLOOKUP(AW$2,historia!$A$3:$EC$4,2,FALSE),FALSE)</f>
        <v>3</v>
      </c>
      <c r="AX21" s="58">
        <f>VLOOKUP($A21,historia!$A$5:$CM$24,+HLOOKUP(AX$2,historia!$A$3:$EC$4,2,FALSE),FALSE)</f>
        <v>2</v>
      </c>
      <c r="AY21" s="58">
        <f>VLOOKUP($A21,historia!$A$5:$CM$24,+HLOOKUP(AY$2,historia!$A$3:$EC$4,2,FALSE),FALSE)</f>
        <v>1</v>
      </c>
      <c r="AZ21" s="58">
        <f>VLOOKUP($A21,historia!$A$5:$CM$24,+HLOOKUP(AZ$2,historia!$A$3:$EC$4,2,FALSE),FALSE)</f>
        <v>2</v>
      </c>
      <c r="BA21" s="58">
        <f>VLOOKUP($A21,historia!$A$5:$CM$24,+HLOOKUP(BA$2,historia!$A$3:$EC$4,2,FALSE),FALSE)</f>
        <v>4</v>
      </c>
      <c r="BB21" s="30"/>
      <c r="BC21" s="141">
        <v>4</v>
      </c>
      <c r="BD21" t="str">
        <f t="shared" si="19"/>
        <v>Porcinos</v>
      </c>
      <c r="BE21">
        <f>+datos!BR1</f>
        <v>70</v>
      </c>
      <c r="BF21" s="2" t="str">
        <f t="shared" si="4"/>
        <v>$/kg</v>
      </c>
      <c r="BG21" s="2">
        <f t="shared" si="4"/>
        <v>1100</v>
      </c>
      <c r="BH21" s="2">
        <f t="shared" si="4"/>
        <v>1044.7925</v>
      </c>
      <c r="BI21" s="2">
        <f t="shared" si="4"/>
        <v>298.44</v>
      </c>
      <c r="BK21">
        <f>+datos!DD1</f>
        <v>108</v>
      </c>
      <c r="BL21" s="2">
        <f t="shared" si="20"/>
        <v>6900.7290898792253</v>
      </c>
      <c r="BM21" s="2">
        <f t="shared" si="20"/>
        <v>6803.4539346039437</v>
      </c>
      <c r="BN21" s="2">
        <f t="shared" si="20"/>
        <v>2291.692167342545</v>
      </c>
      <c r="BP21" s="1">
        <f>+datos!EJ1</f>
        <v>140</v>
      </c>
      <c r="BQ21" s="1">
        <f t="shared" si="21"/>
        <v>6115215</v>
      </c>
      <c r="BR21" s="1">
        <f t="shared" si="21"/>
        <v>5887401</v>
      </c>
      <c r="BT21" s="1">
        <f>+datos!HE1</f>
        <v>213</v>
      </c>
      <c r="BU21" s="1">
        <f t="shared" si="22"/>
        <v>757221</v>
      </c>
      <c r="BV21" s="1">
        <f t="shared" si="22"/>
        <v>712214</v>
      </c>
      <c r="BX21" s="1">
        <f>+datos!KJ1</f>
        <v>296</v>
      </c>
      <c r="BY21" s="1">
        <f t="shared" si="39"/>
        <v>18.682289619999999</v>
      </c>
      <c r="BZ21" s="1">
        <f t="shared" si="40"/>
        <v>18.651078769999998</v>
      </c>
      <c r="CB21" s="1">
        <f>+datos!LO1</f>
        <v>327</v>
      </c>
      <c r="CC21" s="2">
        <f t="shared" si="23"/>
        <v>44.667662319999991</v>
      </c>
      <c r="CD21" s="2">
        <f t="shared" si="24"/>
        <v>86.437650390000002</v>
      </c>
      <c r="CF21" s="1">
        <f>+datos!IO1</f>
        <v>249</v>
      </c>
      <c r="CG21" s="1">
        <f t="shared" si="25"/>
        <v>16.5</v>
      </c>
      <c r="CH21" s="1">
        <f t="shared" si="26"/>
        <v>16.88</v>
      </c>
      <c r="CJ21" s="1">
        <f t="shared" si="27"/>
        <v>1.55421593</v>
      </c>
      <c r="CK21" s="1">
        <f t="shared" si="27"/>
        <v>1.56892272</v>
      </c>
      <c r="CL21" s="1">
        <f t="shared" si="27"/>
        <v>1.2009935999999999</v>
      </c>
      <c r="CM21" s="1">
        <f t="shared" si="27"/>
        <v>1.5576121499999998</v>
      </c>
      <c r="CN21" s="1">
        <f t="shared" si="27"/>
        <v>1.3743196699999998</v>
      </c>
      <c r="CO21" s="1">
        <f t="shared" si="27"/>
        <v>1.4110336399999999</v>
      </c>
      <c r="CP21" s="1">
        <f t="shared" si="27"/>
        <v>1.8830951399999996</v>
      </c>
      <c r="CQ21" s="1">
        <f t="shared" si="27"/>
        <v>1.4694087300000001</v>
      </c>
      <c r="CR21" s="1">
        <f t="shared" si="27"/>
        <v>2.0502103900000002</v>
      </c>
      <c r="CS21" s="1">
        <f t="shared" si="27"/>
        <v>1.8176867299999997</v>
      </c>
      <c r="CT21" s="1">
        <f t="shared" si="27"/>
        <v>1.2719750699999999</v>
      </c>
      <c r="CU21" s="1">
        <f t="shared" si="27"/>
        <v>1.5228158499999997</v>
      </c>
      <c r="CV21" s="1">
        <f t="shared" si="27"/>
        <v>1.32254655</v>
      </c>
      <c r="CW21" s="1">
        <f t="shared" si="27"/>
        <v>2.1116566699999999</v>
      </c>
      <c r="CX21" s="1">
        <f t="shared" si="27"/>
        <v>1.8299806799999998</v>
      </c>
      <c r="CY21" s="1">
        <f t="shared" si="27"/>
        <v>2.01275629</v>
      </c>
      <c r="CZ21" s="1">
        <f t="shared" si="28"/>
        <v>1.0656519800000002</v>
      </c>
      <c r="DA21" s="1">
        <f t="shared" si="28"/>
        <v>1.9138006200000002</v>
      </c>
      <c r="DB21" s="1">
        <f t="shared" si="28"/>
        <v>1.83911538</v>
      </c>
      <c r="DC21" s="1">
        <f t="shared" si="28"/>
        <v>1.1669562900000001</v>
      </c>
      <c r="DD21" s="1">
        <f t="shared" si="28"/>
        <v>1.9574107099999998</v>
      </c>
      <c r="DE21" s="1">
        <f t="shared" si="28"/>
        <v>1.1355260499999997</v>
      </c>
      <c r="DF21" s="1">
        <f t="shared" si="28"/>
        <v>0.90610126000000002</v>
      </c>
      <c r="DG21" s="1">
        <f t="shared" si="28"/>
        <v>1.3895762900000002</v>
      </c>
      <c r="DI21" s="1">
        <f t="shared" si="29"/>
        <v>2.2524288500000003</v>
      </c>
      <c r="DJ21" s="1">
        <f t="shared" si="29"/>
        <v>5.2341166499999998</v>
      </c>
      <c r="DK21" s="1">
        <f t="shared" si="29"/>
        <v>3.1162246899999997</v>
      </c>
      <c r="DL21" s="1">
        <f t="shared" si="29"/>
        <v>3.3747357299999998</v>
      </c>
      <c r="DM21" s="1">
        <f t="shared" si="29"/>
        <v>1.8536983500000002</v>
      </c>
      <c r="DN21" s="1">
        <f t="shared" si="29"/>
        <v>2.01592043</v>
      </c>
      <c r="DO21" s="1">
        <f t="shared" si="29"/>
        <v>3.3244473500000002</v>
      </c>
      <c r="DP21" s="1">
        <f t="shared" si="29"/>
        <v>2.84758625</v>
      </c>
      <c r="DQ21" s="1">
        <f t="shared" si="29"/>
        <v>4.1641835499999997</v>
      </c>
      <c r="DR21" s="1">
        <f t="shared" si="29"/>
        <v>4.5685913500000002</v>
      </c>
      <c r="DS21" s="1">
        <f t="shared" si="29"/>
        <v>6.3615663699999985</v>
      </c>
      <c r="DT21" s="1">
        <f t="shared" si="29"/>
        <v>5.5541627499999997</v>
      </c>
      <c r="DU21" s="1">
        <f t="shared" si="29"/>
        <v>6.8596205599999998</v>
      </c>
      <c r="DV21" s="1">
        <f t="shared" si="29"/>
        <v>4.6739966500000012</v>
      </c>
      <c r="DW21" s="1">
        <f t="shared" si="29"/>
        <v>7.6286560299999993</v>
      </c>
      <c r="DX21" s="1">
        <f t="shared" ref="DX21:EF24" si="41">+VLOOKUP(DX$1,ran_dat,$CB21,FALSE)</f>
        <v>3.658397E-2</v>
      </c>
      <c r="DY21" s="1">
        <f t="shared" si="41"/>
        <v>7.2061905900000003</v>
      </c>
      <c r="DZ21" s="1">
        <f t="shared" si="41"/>
        <v>7.3381374299999997</v>
      </c>
      <c r="EA21" s="1">
        <f t="shared" si="41"/>
        <v>7.276038279999999</v>
      </c>
      <c r="EB21" s="1">
        <f t="shared" si="41"/>
        <v>4.9460771399999999</v>
      </c>
      <c r="EC21" s="1">
        <f t="shared" si="41"/>
        <v>6.6386870500000015</v>
      </c>
      <c r="ED21" s="1">
        <f t="shared" si="41"/>
        <v>8.8922827299999998</v>
      </c>
      <c r="EE21" s="1">
        <f t="shared" si="41"/>
        <v>12.050233429999999</v>
      </c>
      <c r="EF21" s="1">
        <f t="shared" si="41"/>
        <v>12.89114653</v>
      </c>
      <c r="EH21" s="14">
        <f t="shared" si="31"/>
        <v>16.5</v>
      </c>
      <c r="EI21" s="14">
        <f t="shared" si="31"/>
        <v>16.64</v>
      </c>
      <c r="EJ21" s="1">
        <f t="shared" si="31"/>
        <v>16.68</v>
      </c>
      <c r="EK21" s="1">
        <f t="shared" si="31"/>
        <v>16.72</v>
      </c>
      <c r="EL21" s="1">
        <f t="shared" si="31"/>
        <v>16.75</v>
      </c>
      <c r="EM21" s="1">
        <f t="shared" si="31"/>
        <v>16.760000000000002</v>
      </c>
      <c r="EN21" s="1">
        <f t="shared" si="31"/>
        <v>16.71</v>
      </c>
      <c r="EO21" s="1">
        <f t="shared" si="31"/>
        <v>16.68</v>
      </c>
      <c r="EP21" s="1">
        <f t="shared" si="31"/>
        <v>16.670000000000002</v>
      </c>
      <c r="EQ21" s="1">
        <f t="shared" si="31"/>
        <v>16.670000000000002</v>
      </c>
      <c r="ER21" s="1">
        <f t="shared" si="31"/>
        <v>16.72</v>
      </c>
      <c r="ES21" s="1">
        <f t="shared" si="31"/>
        <v>16.77</v>
      </c>
      <c r="ET21" s="1">
        <f t="shared" si="31"/>
        <v>16.88</v>
      </c>
      <c r="EU21" s="1">
        <f t="shared" si="31"/>
        <v>16.93</v>
      </c>
      <c r="EV21" s="1">
        <f t="shared" si="31"/>
        <v>16.97</v>
      </c>
      <c r="EW21" s="1">
        <f t="shared" ref="EW21:FE24" si="42">+VLOOKUP(EW$1,ran_dat,$CF21,FALSE)</f>
        <v>16.760000000000002</v>
      </c>
      <c r="EX21" s="1">
        <f t="shared" si="42"/>
        <v>16.89</v>
      </c>
      <c r="EY21" s="1">
        <f t="shared" si="42"/>
        <v>16.920000000000002</v>
      </c>
      <c r="EZ21" s="1">
        <f t="shared" si="42"/>
        <v>16.899999999999999</v>
      </c>
      <c r="FA21" s="1">
        <f t="shared" si="42"/>
        <v>16.84</v>
      </c>
      <c r="FB21" s="1">
        <f t="shared" si="42"/>
        <v>16.75</v>
      </c>
      <c r="FC21" s="1">
        <f t="shared" si="42"/>
        <v>16.71</v>
      </c>
      <c r="FD21" s="1">
        <f t="shared" si="42"/>
        <v>16.57</v>
      </c>
      <c r="FE21" s="1">
        <f t="shared" si="42"/>
        <v>16.329999999999998</v>
      </c>
      <c r="FG21" s="162">
        <f t="shared" si="33"/>
        <v>0.67463926629955839</v>
      </c>
    </row>
    <row r="22" spans="1:163" ht="18.75" customHeight="1">
      <c r="A22" s="243" t="s">
        <v>75</v>
      </c>
      <c r="B22" s="246"/>
      <c r="C22" s="156">
        <f t="shared" si="5"/>
        <v>-0.66</v>
      </c>
      <c r="D22" s="198">
        <v>-1</v>
      </c>
      <c r="E22" s="248">
        <f t="shared" si="6"/>
        <v>0</v>
      </c>
      <c r="F22" s="249">
        <f t="shared" si="7"/>
        <v>-0.1100964006272882</v>
      </c>
      <c r="G22" s="248">
        <f t="shared" si="8"/>
        <v>0.12347691459253873</v>
      </c>
      <c r="H22" s="249">
        <f t="shared" si="9"/>
        <v>-0.12347691459253873</v>
      </c>
      <c r="I22" s="248">
        <f t="shared" si="10"/>
        <v>2.9367330699537919</v>
      </c>
      <c r="J22" s="249">
        <f t="shared" si="11"/>
        <v>5.8156469895871421E-2</v>
      </c>
      <c r="K22" s="248">
        <f t="shared" si="34"/>
        <v>2.7791625165727543</v>
      </c>
      <c r="L22" s="249">
        <f t="shared" si="12"/>
        <v>0.15757055338103765</v>
      </c>
      <c r="M22" s="250"/>
      <c r="N22" s="24">
        <v>0</v>
      </c>
      <c r="O22" s="248">
        <f t="shared" si="35"/>
        <v>0</v>
      </c>
      <c r="P22" s="251">
        <f t="shared" si="36"/>
        <v>0</v>
      </c>
      <c r="Q22" s="248">
        <f t="shared" si="13"/>
        <v>-7.0102125429331252E-2</v>
      </c>
      <c r="R22" s="251">
        <f t="shared" si="37"/>
        <v>-7.0102125429331252E-2</v>
      </c>
      <c r="S22" s="250"/>
      <c r="T22" s="24">
        <v>-1</v>
      </c>
      <c r="U22" s="248">
        <f t="shared" si="14"/>
        <v>-0.26724403748062775</v>
      </c>
      <c r="V22" s="252">
        <f t="shared" si="15"/>
        <v>-0.26724403748062775</v>
      </c>
      <c r="W22" s="248">
        <f t="shared" si="38"/>
        <v>0.34582725779139878</v>
      </c>
      <c r="X22" s="252">
        <f t="shared" si="16"/>
        <v>0.34582725779139878</v>
      </c>
      <c r="Y22" s="248" t="str">
        <f t="shared" si="17"/>
        <v/>
      </c>
      <c r="Z22" s="252" t="str">
        <f t="shared" si="18"/>
        <v/>
      </c>
      <c r="AA22" s="30"/>
      <c r="AB22" s="242" t="s">
        <v>508</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P22" s="28">
        <f>VLOOKUP($A22,historia!$A$5:$CM$24,+HLOOKUP(AP$2,historia!$A$3:$EC$4,2,FALSE),FALSE)</f>
        <v>3</v>
      </c>
      <c r="AQ22" s="28">
        <f>VLOOKUP($A22,historia!$A$5:$CM$24,+HLOOKUP(AQ$2,historia!$A$3:$EC$4,2,FALSE),FALSE)</f>
        <v>4</v>
      </c>
      <c r="AR22" s="28">
        <f>VLOOKUP($A22,historia!$A$5:$CM$24,+HLOOKUP(AR$2,historia!$A$3:$EC$4,2,FALSE),FALSE)</f>
        <v>4</v>
      </c>
      <c r="AS22" s="28">
        <f>VLOOKUP($A22,historia!$A$5:$CM$24,+HLOOKUP(AS$2,historia!$A$3:$EC$4,2,FALSE),FALSE)</f>
        <v>4</v>
      </c>
      <c r="AT22" s="58">
        <f>VLOOKUP($A22,historia!$A$5:$CM$24,+HLOOKUP(AT$2,historia!$A$3:$EC$4,2,FALSE),FALSE)</f>
        <v>4</v>
      </c>
      <c r="AU22" s="58">
        <f>VLOOKUP($A22,historia!$A$5:$CM$24,+HLOOKUP(AU$2,historia!$A$3:$EC$4,2,FALSE),FALSE)</f>
        <v>4</v>
      </c>
      <c r="AV22" s="58">
        <f>VLOOKUP($A22,historia!$A$5:$CM$24,+HLOOKUP(AV$2,historia!$A$3:$EC$4,2,FALSE),FALSE)</f>
        <v>4</v>
      </c>
      <c r="AW22" s="58">
        <f>VLOOKUP($A22,historia!$A$5:$CM$24,+HLOOKUP(AW$2,historia!$A$3:$EC$4,2,FALSE),FALSE)</f>
        <v>4</v>
      </c>
      <c r="AX22" s="58">
        <f>VLOOKUP($A22,historia!$A$5:$CM$24,+HLOOKUP(AX$2,historia!$A$3:$EC$4,2,FALSE),FALSE)</f>
        <v>3</v>
      </c>
      <c r="AY22" s="58">
        <f>VLOOKUP($A22,historia!$A$5:$CM$24,+HLOOKUP(AY$2,historia!$A$3:$EC$4,2,FALSE),FALSE)</f>
        <v>3</v>
      </c>
      <c r="AZ22" s="58">
        <f>VLOOKUP($A22,historia!$A$5:$CM$24,+HLOOKUP(AZ$2,historia!$A$3:$EC$4,2,FALSE),FALSE)</f>
        <v>3</v>
      </c>
      <c r="BA22" s="58">
        <f>VLOOKUP($A22,historia!$A$5:$CM$24,+HLOOKUP(BA$2,historia!$A$3:$EC$4,2,FALSE),FALSE)</f>
        <v>4</v>
      </c>
      <c r="BB22" s="30"/>
      <c r="BC22" s="141">
        <v>4</v>
      </c>
      <c r="BD22" t="str">
        <f t="shared" si="19"/>
        <v>Tabaco</v>
      </c>
      <c r="BE22">
        <f>+datos!BJ1</f>
        <v>62</v>
      </c>
      <c r="BF22" s="2" t="str">
        <f t="shared" si="4"/>
        <v>$/kg</v>
      </c>
      <c r="BG22" s="2">
        <f t="shared" si="4"/>
        <v>2820</v>
      </c>
      <c r="BH22" s="2">
        <f t="shared" si="4"/>
        <v>2820</v>
      </c>
      <c r="BI22" s="2">
        <f t="shared" si="4"/>
        <v>716.33</v>
      </c>
      <c r="BK22">
        <f>+datos!DA1</f>
        <v>105</v>
      </c>
      <c r="BL22" s="2">
        <f t="shared" si="20"/>
        <v>6898.736551541856</v>
      </c>
      <c r="BM22" s="2">
        <f t="shared" si="20"/>
        <v>6140.5236386578372</v>
      </c>
      <c r="BN22" s="2">
        <f t="shared" si="20"/>
        <v>1825.4670237886937</v>
      </c>
      <c r="BP22" s="1">
        <f>+datos!FD1</f>
        <v>160</v>
      </c>
      <c r="BQ22" s="1">
        <f t="shared" si="21"/>
        <v>54743</v>
      </c>
      <c r="BR22" s="1">
        <f t="shared" si="21"/>
        <v>54743</v>
      </c>
      <c r="BT22" s="1">
        <f>+datos!GX1</f>
        <v>206</v>
      </c>
      <c r="BU22" s="1">
        <f t="shared" si="22"/>
        <v>30804.553</v>
      </c>
      <c r="BV22" s="1">
        <f t="shared" si="22"/>
        <v>33126.813000000002</v>
      </c>
      <c r="BX22" s="1">
        <f>+datos!KC1</f>
        <v>289</v>
      </c>
      <c r="BY22" s="1">
        <f t="shared" si="39"/>
        <v>468.52802846999998</v>
      </c>
      <c r="BZ22" s="1">
        <f t="shared" si="40"/>
        <v>639.40527601999997</v>
      </c>
      <c r="CB22" s="1">
        <f>+datos!LH1</f>
        <v>320</v>
      </c>
      <c r="CC22" s="2">
        <f t="shared" si="23"/>
        <v>66.963073819999991</v>
      </c>
      <c r="CD22" s="2">
        <f t="shared" si="24"/>
        <v>49.756068939999999</v>
      </c>
      <c r="CF22" s="1">
        <f>+datos!JD1</f>
        <v>264</v>
      </c>
      <c r="CG22" s="1">
        <f t="shared" si="25"/>
        <v>0</v>
      </c>
      <c r="CH22" s="1">
        <f t="shared" si="26"/>
        <v>0</v>
      </c>
      <c r="CJ22" s="1">
        <f t="shared" ref="CJ22:CY24" si="43">+VLOOKUP(CJ$1,ran_dat,$BX22,FALSE)</f>
        <v>30.191481329999998</v>
      </c>
      <c r="CK22" s="1">
        <f t="shared" si="43"/>
        <v>36.249269399999989</v>
      </c>
      <c r="CL22" s="1">
        <f t="shared" si="43"/>
        <v>40.108989959999995</v>
      </c>
      <c r="CM22" s="1">
        <f t="shared" si="43"/>
        <v>56.890802439999995</v>
      </c>
      <c r="CN22" s="1">
        <f t="shared" si="43"/>
        <v>36.8257318</v>
      </c>
      <c r="CO22" s="1">
        <f t="shared" si="43"/>
        <v>51.381121719999996</v>
      </c>
      <c r="CP22" s="1">
        <f t="shared" si="43"/>
        <v>33.051481680000002</v>
      </c>
      <c r="CQ22" s="1">
        <f t="shared" si="43"/>
        <v>60.888504160000004</v>
      </c>
      <c r="CR22" s="1">
        <f t="shared" si="43"/>
        <v>55.773078730000002</v>
      </c>
      <c r="CS22" s="1">
        <f t="shared" si="43"/>
        <v>34.825160650000001</v>
      </c>
      <c r="CT22" s="1">
        <f t="shared" si="43"/>
        <v>19.014000799999998</v>
      </c>
      <c r="CU22" s="1">
        <f t="shared" si="43"/>
        <v>13.328405800000001</v>
      </c>
      <c r="CV22" s="1">
        <f t="shared" si="43"/>
        <v>41.736807310000003</v>
      </c>
      <c r="CW22" s="1">
        <f t="shared" si="43"/>
        <v>99.771490689999993</v>
      </c>
      <c r="CX22" s="1">
        <f t="shared" si="43"/>
        <v>36.311671529999998</v>
      </c>
      <c r="CY22" s="1">
        <f t="shared" si="43"/>
        <v>57.64022373000001</v>
      </c>
      <c r="CZ22" s="1">
        <f t="shared" ref="CZ22:DG24" si="44">+VLOOKUP(CZ$1,ran_dat,$BX22,FALSE)</f>
        <v>136.09986096</v>
      </c>
      <c r="DA22" s="1">
        <f t="shared" si="44"/>
        <v>67.887772890000008</v>
      </c>
      <c r="DB22" s="1">
        <f t="shared" si="44"/>
        <v>57.086864629999994</v>
      </c>
      <c r="DC22" s="1">
        <f t="shared" si="44"/>
        <v>50.373202669999998</v>
      </c>
      <c r="DD22" s="1">
        <f t="shared" si="44"/>
        <v>27.075978119999998</v>
      </c>
      <c r="DE22" s="1">
        <f t="shared" si="44"/>
        <v>15.063954900000001</v>
      </c>
      <c r="DF22" s="1">
        <f t="shared" si="44"/>
        <v>15.52836033</v>
      </c>
      <c r="DG22" s="1">
        <f t="shared" si="44"/>
        <v>34.829088259999999</v>
      </c>
      <c r="DI22" s="1">
        <f t="shared" ref="DI22:DX24" si="45">+VLOOKUP(DI$1,ran_dat,$CB22,FALSE)</f>
        <v>4.8853449399999995</v>
      </c>
      <c r="DJ22" s="1">
        <f t="shared" si="45"/>
        <v>4.5019780499999991</v>
      </c>
      <c r="DK22" s="1">
        <f t="shared" si="45"/>
        <v>3.2870284000000001</v>
      </c>
      <c r="DL22" s="1">
        <f t="shared" si="45"/>
        <v>2.2553329799999999</v>
      </c>
      <c r="DM22" s="1">
        <f t="shared" si="45"/>
        <v>4.9563280900000004</v>
      </c>
      <c r="DN22" s="1">
        <f t="shared" si="45"/>
        <v>5.4312745199999997</v>
      </c>
      <c r="DO22" s="1">
        <f t="shared" si="45"/>
        <v>5.9427570699999999</v>
      </c>
      <c r="DP22" s="1">
        <f t="shared" si="45"/>
        <v>7.0989514199999997</v>
      </c>
      <c r="DQ22" s="1">
        <f t="shared" si="45"/>
        <v>8.0901624599999984</v>
      </c>
      <c r="DR22" s="1">
        <f t="shared" si="45"/>
        <v>8.5152603000000013</v>
      </c>
      <c r="DS22" s="1">
        <f t="shared" si="45"/>
        <v>6.4262316399999984</v>
      </c>
      <c r="DT22" s="1">
        <f t="shared" si="45"/>
        <v>5.5724239500000001</v>
      </c>
      <c r="DU22" s="1">
        <f t="shared" si="45"/>
        <v>6.0969073500000004</v>
      </c>
      <c r="DV22" s="1">
        <f t="shared" si="45"/>
        <v>3.8674547000000001</v>
      </c>
      <c r="DW22" s="1">
        <f t="shared" si="45"/>
        <v>3.6075394200000002</v>
      </c>
      <c r="DX22" s="1">
        <f t="shared" si="45"/>
        <v>4.0127527599999997</v>
      </c>
      <c r="DY22" s="1">
        <f t="shared" si="41"/>
        <v>4.23429112</v>
      </c>
      <c r="DZ22" s="1">
        <f t="shared" si="41"/>
        <v>0</v>
      </c>
      <c r="EA22" s="1">
        <f t="shared" si="41"/>
        <v>4.5847165599999995</v>
      </c>
      <c r="EB22" s="1">
        <f t="shared" si="41"/>
        <v>5.2497219499999996</v>
      </c>
      <c r="EC22" s="1">
        <f t="shared" si="41"/>
        <v>3.7131778499999992</v>
      </c>
      <c r="ED22" s="1">
        <f t="shared" si="41"/>
        <v>5.6909223499999992</v>
      </c>
      <c r="EE22" s="1">
        <f t="shared" si="41"/>
        <v>5.2735966400000001</v>
      </c>
      <c r="EF22" s="1">
        <f t="shared" si="41"/>
        <v>3.4249882400000002</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3"/>
        <v>0.15757055338103765</v>
      </c>
    </row>
    <row r="23" spans="1:163" ht="18.75" customHeight="1">
      <c r="A23" s="244" t="s">
        <v>219</v>
      </c>
      <c r="B23" s="247"/>
      <c r="C23" s="228">
        <f t="shared" si="5"/>
        <v>-1.32</v>
      </c>
      <c r="D23" s="229">
        <v>-1</v>
      </c>
      <c r="E23" s="253">
        <f t="shared" si="6"/>
        <v>0.12746322441545965</v>
      </c>
      <c r="F23" s="254">
        <f t="shared" si="7"/>
        <v>1.7366823788171448E-2</v>
      </c>
      <c r="G23" s="253">
        <f t="shared" si="8"/>
        <v>9.7453244231303193E-2</v>
      </c>
      <c r="H23" s="254">
        <f t="shared" si="9"/>
        <v>3.000998018415646E-2</v>
      </c>
      <c r="I23" s="253">
        <f t="shared" si="10"/>
        <v>1.608473378895996</v>
      </c>
      <c r="J23" s="254">
        <f t="shared" si="11"/>
        <v>-1.2701032211619245</v>
      </c>
      <c r="K23" s="253">
        <f t="shared" si="34"/>
        <v>2.3550326263396903</v>
      </c>
      <c r="L23" s="254">
        <f t="shared" si="12"/>
        <v>-0.7465592474436944</v>
      </c>
      <c r="M23" s="255"/>
      <c r="N23" s="256">
        <v>-2</v>
      </c>
      <c r="O23" s="253">
        <f t="shared" si="35"/>
        <v>-2.3925173422115087E-2</v>
      </c>
      <c r="P23" s="257">
        <f t="shared" si="36"/>
        <v>-2.3925173422115087E-2</v>
      </c>
      <c r="Q23" s="253">
        <f t="shared" si="13"/>
        <v>0.31859999476400835</v>
      </c>
      <c r="R23" s="257">
        <f t="shared" si="37"/>
        <v>0.31859999476400835</v>
      </c>
      <c r="S23" s="255"/>
      <c r="T23" s="256">
        <v>-1</v>
      </c>
      <c r="U23" s="253">
        <f t="shared" si="14"/>
        <v>-0.15667575438716075</v>
      </c>
      <c r="V23" s="258">
        <f t="shared" si="15"/>
        <v>-0.15667575438716075</v>
      </c>
      <c r="W23" s="253">
        <f t="shared" si="38"/>
        <v>-0.13829607142859834</v>
      </c>
      <c r="X23" s="258">
        <f t="shared" si="16"/>
        <v>-0.13829607142859834</v>
      </c>
      <c r="Y23" s="253">
        <f t="shared" si="17"/>
        <v>-2.39520958083832E-2</v>
      </c>
      <c r="Z23" s="258">
        <f t="shared" si="18"/>
        <v>-2.39520958083832E-2</v>
      </c>
      <c r="AA23" s="238"/>
      <c r="AB23" s="242" t="s">
        <v>509</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5</v>
      </c>
      <c r="AX23" s="58">
        <f>VLOOKUP($A23,historia!$A$5:$CM$24,+HLOOKUP(AX$2,historia!$A$3:$EC$4,2,FALSE),FALSE)</f>
        <v>5</v>
      </c>
      <c r="AY23" s="58">
        <f>VLOOKUP($A23,historia!$A$5:$CM$24,+HLOOKUP(AY$2,historia!$A$3:$EC$4,2,FALSE),FALSE)</f>
        <v>5</v>
      </c>
      <c r="AZ23" s="58">
        <f>VLOOKUP($A23,historia!$A$5:$CM$24,+HLOOKUP(AZ$2,historia!$A$3:$EC$4,2,FALSE),FALSE)</f>
        <v>5</v>
      </c>
      <c r="BA23" s="58">
        <f>VLOOKUP($A23,historia!$A$5:$CM$24,+HLOOKUP(BA$2,historia!$A$3:$EC$4,2,FALSE),FALSE)</f>
        <v>5</v>
      </c>
      <c r="BB23" s="30"/>
      <c r="BC23" s="141">
        <v>5</v>
      </c>
      <c r="BD23" t="str">
        <f t="shared" si="19"/>
        <v>Vino y Mosto</v>
      </c>
      <c r="BE23">
        <f>+datos!AM1</f>
        <v>39</v>
      </c>
      <c r="BF23" s="2" t="str">
        <f t="shared" si="4"/>
        <v>$/l</v>
      </c>
      <c r="BG23" s="2">
        <f t="shared" si="4"/>
        <v>324.63679999999999</v>
      </c>
      <c r="BH23" s="2">
        <f t="shared" si="4"/>
        <v>287.93559999999997</v>
      </c>
      <c r="BI23" s="2">
        <f t="shared" si="4"/>
        <v>124.4547108</v>
      </c>
      <c r="BK23">
        <f>+datos!CP1</f>
        <v>94</v>
      </c>
      <c r="BL23" s="2">
        <f t="shared" si="20"/>
        <v>8431.5936654967081</v>
      </c>
      <c r="BM23" s="2">
        <f t="shared" si="20"/>
        <v>7682.8727873527841</v>
      </c>
      <c r="BN23" s="2">
        <f t="shared" si="20"/>
        <v>2513.1182329798976</v>
      </c>
      <c r="BP23" s="1">
        <f>+datos!EF1</f>
        <v>136</v>
      </c>
      <c r="BQ23" s="1">
        <f t="shared" si="21"/>
        <v>199946</v>
      </c>
      <c r="BR23" s="1">
        <f t="shared" si="21"/>
        <v>204847</v>
      </c>
      <c r="BT23" s="1">
        <f>+datos!GB1</f>
        <v>184</v>
      </c>
      <c r="BU23" s="1">
        <f t="shared" si="22"/>
        <v>19189740</v>
      </c>
      <c r="BV23" s="1">
        <f t="shared" si="22"/>
        <v>14553117</v>
      </c>
      <c r="BX23" s="1">
        <f>+datos!JU1</f>
        <v>281</v>
      </c>
      <c r="BY23" s="1">
        <f t="shared" si="39"/>
        <v>880.84678705000022</v>
      </c>
      <c r="BZ23" s="1">
        <f t="shared" si="40"/>
        <v>1044.4936116000003</v>
      </c>
      <c r="CB23" s="1">
        <f>+datos!KZ1</f>
        <v>312</v>
      </c>
      <c r="CC23" s="2">
        <f t="shared" si="23"/>
        <v>15.8409108</v>
      </c>
      <c r="CD23" s="2">
        <f t="shared" si="24"/>
        <v>18.383240780000001</v>
      </c>
      <c r="CF23" s="1">
        <f>+datos!IQ1</f>
        <v>251</v>
      </c>
      <c r="CG23" s="1">
        <f t="shared" si="25"/>
        <v>16.3</v>
      </c>
      <c r="CH23" s="1">
        <f t="shared" si="26"/>
        <v>16.7</v>
      </c>
      <c r="CJ23" s="1">
        <f t="shared" si="43"/>
        <v>83.547570889999989</v>
      </c>
      <c r="CK23" s="1">
        <f t="shared" si="43"/>
        <v>59.429446169999991</v>
      </c>
      <c r="CL23" s="1">
        <f t="shared" si="43"/>
        <v>57.397509530000008</v>
      </c>
      <c r="CM23" s="1">
        <f t="shared" si="43"/>
        <v>71.762443020000006</v>
      </c>
      <c r="CN23" s="1">
        <f t="shared" si="43"/>
        <v>76.246675170000003</v>
      </c>
      <c r="CO23" s="1">
        <f t="shared" si="43"/>
        <v>81.396405279999982</v>
      </c>
      <c r="CP23" s="1">
        <f t="shared" si="43"/>
        <v>86.673250950000011</v>
      </c>
      <c r="CQ23" s="1">
        <f t="shared" si="43"/>
        <v>67.769583350000005</v>
      </c>
      <c r="CR23" s="1">
        <f t="shared" si="43"/>
        <v>79.411450110000018</v>
      </c>
      <c r="CS23" s="1">
        <f t="shared" si="43"/>
        <v>61.526627820000002</v>
      </c>
      <c r="CT23" s="1">
        <f t="shared" si="43"/>
        <v>82.508437450000031</v>
      </c>
      <c r="CU23" s="1">
        <f t="shared" si="43"/>
        <v>73.17738731</v>
      </c>
      <c r="CV23" s="1">
        <f t="shared" si="43"/>
        <v>70.498219510000013</v>
      </c>
      <c r="CW23" s="1">
        <f t="shared" si="43"/>
        <v>58.070113270000007</v>
      </c>
      <c r="CX23" s="1">
        <f t="shared" si="43"/>
        <v>66.649594010000001</v>
      </c>
      <c r="CY23" s="1">
        <f t="shared" si="43"/>
        <v>76.334805869999997</v>
      </c>
      <c r="CZ23" s="1">
        <f t="shared" si="44"/>
        <v>77.449795309999999</v>
      </c>
      <c r="DA23" s="1">
        <f t="shared" si="44"/>
        <v>104.26238703999999</v>
      </c>
      <c r="DB23" s="1">
        <f t="shared" si="44"/>
        <v>101.4021353</v>
      </c>
      <c r="DC23" s="1">
        <f t="shared" si="44"/>
        <v>110.27898059000003</v>
      </c>
      <c r="DD23" s="1">
        <f t="shared" si="44"/>
        <v>78.75545163000001</v>
      </c>
      <c r="DE23" s="1">
        <f t="shared" si="44"/>
        <v>84.697328929999998</v>
      </c>
      <c r="DF23" s="1">
        <f t="shared" si="44"/>
        <v>126.06507717000002</v>
      </c>
      <c r="DG23" s="1">
        <f t="shared" si="44"/>
        <v>90.029722969999995</v>
      </c>
      <c r="DI23" s="1">
        <f t="shared" si="45"/>
        <v>0.49471243999999998</v>
      </c>
      <c r="DJ23" s="1">
        <f t="shared" si="45"/>
        <v>0.76659119999999992</v>
      </c>
      <c r="DK23" s="1">
        <f t="shared" si="45"/>
        <v>0.41683354000000006</v>
      </c>
      <c r="DL23" s="1">
        <f t="shared" si="45"/>
        <v>1.01193058</v>
      </c>
      <c r="DM23" s="1">
        <f t="shared" si="45"/>
        <v>1.2280305999999999</v>
      </c>
      <c r="DN23" s="1">
        <f t="shared" si="45"/>
        <v>1.7214946800000002</v>
      </c>
      <c r="DO23" s="1">
        <f t="shared" si="45"/>
        <v>1.3147188099999998</v>
      </c>
      <c r="DP23" s="1">
        <f t="shared" si="45"/>
        <v>1.8704580099999999</v>
      </c>
      <c r="DQ23" s="1">
        <f t="shared" si="45"/>
        <v>1.2166211999999998</v>
      </c>
      <c r="DR23" s="1">
        <f t="shared" si="45"/>
        <v>1.2618213600000001</v>
      </c>
      <c r="DS23" s="1">
        <f t="shared" si="45"/>
        <v>2.6711612799999997</v>
      </c>
      <c r="DT23" s="1">
        <f t="shared" si="45"/>
        <v>1.8665371000000002</v>
      </c>
      <c r="DU23" s="1">
        <f t="shared" si="45"/>
        <v>1.1160735099999999</v>
      </c>
      <c r="DV23" s="1">
        <f t="shared" si="45"/>
        <v>0.32453726999999999</v>
      </c>
      <c r="DW23" s="1">
        <f t="shared" si="45"/>
        <v>0.12503209999999998</v>
      </c>
      <c r="DX23" s="1">
        <f t="shared" si="45"/>
        <v>0.47826376000000004</v>
      </c>
      <c r="DY23" s="1">
        <f t="shared" si="41"/>
        <v>2.89069318</v>
      </c>
      <c r="DZ23" s="1">
        <f t="shared" si="41"/>
        <v>1.35471261</v>
      </c>
      <c r="EA23" s="1">
        <f t="shared" si="41"/>
        <v>2.7470526999999998</v>
      </c>
      <c r="EB23" s="1">
        <f t="shared" si="41"/>
        <v>1.8506322900000001</v>
      </c>
      <c r="EC23" s="1">
        <f t="shared" si="41"/>
        <v>1.0900325</v>
      </c>
      <c r="ED23" s="1">
        <f t="shared" si="41"/>
        <v>1.8150842000000003</v>
      </c>
      <c r="EE23" s="1">
        <f t="shared" si="41"/>
        <v>1.62026545</v>
      </c>
      <c r="EF23" s="1">
        <f t="shared" si="41"/>
        <v>2.9708612100000003</v>
      </c>
      <c r="EH23" s="14">
        <f t="shared" si="46"/>
        <v>16.3</v>
      </c>
      <c r="EI23" s="14">
        <f t="shared" si="46"/>
        <v>16.3</v>
      </c>
      <c r="EJ23" s="1">
        <f t="shared" si="46"/>
        <v>16.3</v>
      </c>
      <c r="EK23" s="1">
        <f t="shared" si="46"/>
        <v>16.7</v>
      </c>
      <c r="EL23" s="1">
        <f t="shared" si="46"/>
        <v>16.7</v>
      </c>
      <c r="EM23" s="1">
        <f t="shared" si="46"/>
        <v>16.7</v>
      </c>
      <c r="EN23" s="1">
        <f t="shared" si="46"/>
        <v>16.7</v>
      </c>
      <c r="EO23" s="1">
        <f t="shared" si="46"/>
        <v>16.7</v>
      </c>
      <c r="EP23" s="1">
        <f t="shared" si="46"/>
        <v>16.7</v>
      </c>
      <c r="EQ23" s="1">
        <f t="shared" si="46"/>
        <v>16.7</v>
      </c>
      <c r="ER23" s="1">
        <f t="shared" si="46"/>
        <v>16.7</v>
      </c>
      <c r="ES23" s="1">
        <f t="shared" si="46"/>
        <v>16.7</v>
      </c>
      <c r="ET23" s="1">
        <f t="shared" si="46"/>
        <v>16.7</v>
      </c>
      <c r="EU23" s="1">
        <f t="shared" si="46"/>
        <v>16.7</v>
      </c>
      <c r="EV23" s="1">
        <f t="shared" si="46"/>
        <v>16.7</v>
      </c>
      <c r="EW23" s="1">
        <f t="shared" si="46"/>
        <v>18</v>
      </c>
      <c r="EX23" s="1">
        <f t="shared" si="42"/>
        <v>18</v>
      </c>
      <c r="EY23" s="1">
        <f t="shared" si="42"/>
        <v>18</v>
      </c>
      <c r="EZ23" s="1">
        <f t="shared" si="42"/>
        <v>18</v>
      </c>
      <c r="FA23" s="1">
        <f t="shared" si="42"/>
        <v>18</v>
      </c>
      <c r="FB23" s="1">
        <f t="shared" si="42"/>
        <v>18</v>
      </c>
      <c r="FC23" s="1">
        <f t="shared" si="42"/>
        <v>18</v>
      </c>
      <c r="FD23" s="1">
        <f t="shared" si="42"/>
        <v>18</v>
      </c>
      <c r="FE23" s="1">
        <f t="shared" si="42"/>
        <v>18</v>
      </c>
      <c r="FG23" s="162">
        <f t="shared" si="33"/>
        <v>-0.7465592474436944</v>
      </c>
    </row>
    <row r="24" spans="1:163" ht="18.75" customHeight="1">
      <c r="A24" s="243" t="s">
        <v>39</v>
      </c>
      <c r="B24" s="246"/>
      <c r="C24" s="156">
        <f t="shared" si="5"/>
        <v>0.33</v>
      </c>
      <c r="D24" s="198">
        <v>1</v>
      </c>
      <c r="E24" s="248">
        <f t="shared" si="6"/>
        <v>0.23333333333333339</v>
      </c>
      <c r="F24" s="249">
        <f t="shared" si="7"/>
        <v>0.12323693270604519</v>
      </c>
      <c r="G24" s="248">
        <f t="shared" si="8"/>
        <v>0.15800766419993462</v>
      </c>
      <c r="H24" s="249">
        <f t="shared" si="9"/>
        <v>7.5325669133398776E-2</v>
      </c>
      <c r="I24" s="248">
        <f t="shared" si="10"/>
        <v>4.2796803652968034</v>
      </c>
      <c r="J24" s="249">
        <f t="shared" si="11"/>
        <v>1.4011037652388829</v>
      </c>
      <c r="K24" s="248">
        <f t="shared" si="34"/>
        <v>2.8797709568697702</v>
      </c>
      <c r="L24" s="249">
        <f t="shared" si="12"/>
        <v>1.3999094084270332</v>
      </c>
      <c r="M24" s="250"/>
      <c r="N24" s="24">
        <v>0</v>
      </c>
      <c r="O24" s="248">
        <f t="shared" si="35"/>
        <v>3.6432873308666736E-2</v>
      </c>
      <c r="P24" s="251">
        <f t="shared" si="36"/>
        <v>3.6432873308666736E-2</v>
      </c>
      <c r="Q24" s="248">
        <f t="shared" si="13"/>
        <v>3.300194372242693E-2</v>
      </c>
      <c r="R24" s="251">
        <f t="shared" si="37"/>
        <v>3.300194372242693E-2</v>
      </c>
      <c r="S24" s="250"/>
      <c r="T24" s="24">
        <v>0</v>
      </c>
      <c r="U24" s="248">
        <f t="shared" si="14"/>
        <v>-5.5958234286464403E-2</v>
      </c>
      <c r="V24" s="252">
        <f t="shared" si="15"/>
        <v>-5.5958234286464403E-2</v>
      </c>
      <c r="W24" s="248">
        <f t="shared" si="38"/>
        <v>-0.1971276411417715</v>
      </c>
      <c r="X24" s="252">
        <f t="shared" si="16"/>
        <v>-0.1971276411417715</v>
      </c>
      <c r="Y24" s="248">
        <f>IFERROR(+CG24/CH24-1,"")</f>
        <v>-9.2922519141609095E-2</v>
      </c>
      <c r="Z24" s="252">
        <f>+Y24</f>
        <v>-9.2922519141609095E-2</v>
      </c>
      <c r="AA24" s="30"/>
      <c r="AB24" s="242" t="s">
        <v>510</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P24" s="28">
        <f>VLOOKUP($A24,historia!$A$5:$CM$24,+HLOOKUP(AP$2,historia!$A$3:$EC$4,2,FALSE),FALSE)</f>
        <v>3</v>
      </c>
      <c r="AQ24" s="28">
        <f>VLOOKUP($A24,historia!$A$5:$CM$24,+HLOOKUP(AQ$2,historia!$A$3:$EC$4,2,FALSE),FALSE)</f>
        <v>2</v>
      </c>
      <c r="AR24" s="28">
        <f>VLOOKUP($A24,historia!$A$5:$CM$24,+HLOOKUP(AR$2,historia!$A$3:$EC$4,2,FALSE),FALSE)</f>
        <v>2</v>
      </c>
      <c r="AS24" s="28">
        <f>VLOOKUP($A24,historia!$A$5:$CM$24,+HLOOKUP(AS$2,historia!$A$3:$EC$4,2,FALSE),FALSE)</f>
        <v>2</v>
      </c>
      <c r="AT24" s="58">
        <f>VLOOKUP($A24,historia!$A$5:$CM$24,+HLOOKUP(AT$2,historia!$A$3:$EC$4,2,FALSE),FALSE)</f>
        <v>2</v>
      </c>
      <c r="AU24" s="58">
        <f>VLOOKUP($A24,historia!$A$5:$CM$24,+HLOOKUP(AU$2,historia!$A$3:$EC$4,2,FALSE),FALSE)</f>
        <v>2</v>
      </c>
      <c r="AV24" s="58">
        <f>VLOOKUP($A24,historia!$A$5:$CM$24,+HLOOKUP(AV$2,historia!$A$3:$EC$4,2,FALSE),FALSE)</f>
        <v>2</v>
      </c>
      <c r="AW24" s="58">
        <f>VLOOKUP($A24,historia!$A$5:$CM$24,+HLOOKUP(AW$2,historia!$A$3:$EC$4,2,FALSE),FALSE)</f>
        <v>2</v>
      </c>
      <c r="AX24" s="58">
        <f>VLOOKUP($A24,historia!$A$5:$CM$24,+HLOOKUP(AX$2,historia!$A$3:$EC$4,2,FALSE),FALSE)</f>
        <v>3</v>
      </c>
      <c r="AY24" s="58">
        <f>VLOOKUP($A24,historia!$A$5:$CM$24,+HLOOKUP(AY$2,historia!$A$3:$EC$4,2,FALSE),FALSE)</f>
        <v>2</v>
      </c>
      <c r="AZ24" s="58">
        <f>VLOOKUP($A24,historia!$A$5:$CM$24,+HLOOKUP(AZ$2,historia!$A$3:$EC$4,2,FALSE),FALSE)</f>
        <v>2</v>
      </c>
      <c r="BA24" s="58">
        <f>VLOOKUP($A24,historia!$A$5:$CM$24,+HLOOKUP(BA$2,historia!$A$3:$EC$4,2,FALSE),FALSE)</f>
        <v>2</v>
      </c>
      <c r="BB24" s="30"/>
      <c r="BC24" s="141">
        <v>2</v>
      </c>
      <c r="BD24" t="str">
        <f t="shared" si="19"/>
        <v>Yerba Mate</v>
      </c>
      <c r="BE24">
        <f>+datos!AG1</f>
        <v>33</v>
      </c>
      <c r="BF24" s="2" t="str">
        <f t="shared" si="4"/>
        <v>$/t</v>
      </c>
      <c r="BG24" s="2">
        <f t="shared" si="4"/>
        <v>370000</v>
      </c>
      <c r="BH24" s="2">
        <f t="shared" si="4"/>
        <v>300000</v>
      </c>
      <c r="BI24" s="2">
        <f t="shared" si="4"/>
        <v>70080</v>
      </c>
      <c r="BK24">
        <f>+datos!CY1</f>
        <v>103</v>
      </c>
      <c r="BL24" s="2">
        <f t="shared" si="20"/>
        <v>6713.0533933892011</v>
      </c>
      <c r="BM24" s="2">
        <f t="shared" si="20"/>
        <v>5797.0716437591436</v>
      </c>
      <c r="BN24" s="2">
        <f t="shared" si="20"/>
        <v>1730.2705412294094</v>
      </c>
      <c r="BP24" s="1">
        <f>+datos!ED1</f>
        <v>134</v>
      </c>
      <c r="BQ24" s="1">
        <f t="shared" si="21"/>
        <v>230256</v>
      </c>
      <c r="BR24" s="1">
        <f t="shared" si="21"/>
        <v>222162</v>
      </c>
      <c r="BT24" s="1">
        <f>+datos!FZ1</f>
        <v>182</v>
      </c>
      <c r="BU24" s="1">
        <f t="shared" si="22"/>
        <v>846142.5</v>
      </c>
      <c r="BV24" s="1">
        <f t="shared" si="22"/>
        <v>819110.26899999997</v>
      </c>
      <c r="BX24" s="1">
        <f>+datos!KD1</f>
        <v>290</v>
      </c>
      <c r="BY24" s="1">
        <f t="shared" si="39"/>
        <v>114.21876876</v>
      </c>
      <c r="BZ24" s="1">
        <f t="shared" si="40"/>
        <v>120.98910547000001</v>
      </c>
      <c r="CB24" s="1">
        <f>+datos!LI1</f>
        <v>321</v>
      </c>
      <c r="CC24" s="2">
        <f t="shared" si="23"/>
        <v>20.441794239999997</v>
      </c>
      <c r="CD24" s="2">
        <f t="shared" si="24"/>
        <v>25.460827009999999</v>
      </c>
      <c r="CF24" s="1">
        <f>+datos!IP1</f>
        <v>250</v>
      </c>
      <c r="CG24" s="1">
        <f t="shared" si="25"/>
        <v>5.5693606783423002</v>
      </c>
      <c r="CH24" s="1">
        <f t="shared" si="26"/>
        <v>6.139895208369488</v>
      </c>
      <c r="CJ24" s="1">
        <f t="shared" si="43"/>
        <v>12.408222910000001</v>
      </c>
      <c r="CK24" s="1">
        <f t="shared" si="43"/>
        <v>8.8663402400000013</v>
      </c>
      <c r="CL24" s="1">
        <f t="shared" si="43"/>
        <v>9.2397224899999983</v>
      </c>
      <c r="CM24" s="1">
        <f t="shared" si="43"/>
        <v>7.1224329199999996</v>
      </c>
      <c r="CN24" s="1">
        <f t="shared" si="43"/>
        <v>8.6156523299999996</v>
      </c>
      <c r="CO24" s="1">
        <f t="shared" si="43"/>
        <v>10.17972451</v>
      </c>
      <c r="CP24" s="1">
        <f t="shared" si="43"/>
        <v>11.833514059999999</v>
      </c>
      <c r="CQ24" s="1">
        <f t="shared" si="43"/>
        <v>8.6649559600000003</v>
      </c>
      <c r="CR24" s="1">
        <f t="shared" si="43"/>
        <v>8.6995030900000003</v>
      </c>
      <c r="CS24" s="1">
        <f t="shared" si="43"/>
        <v>9.3876240000000006</v>
      </c>
      <c r="CT24" s="1">
        <f t="shared" si="43"/>
        <v>8.6499339499999994</v>
      </c>
      <c r="CU24" s="1">
        <f t="shared" si="43"/>
        <v>10.5511423</v>
      </c>
      <c r="CV24" s="1">
        <f t="shared" si="43"/>
        <v>12.484662230000001</v>
      </c>
      <c r="CW24" s="1">
        <f t="shared" si="43"/>
        <v>8.9774099899999982</v>
      </c>
      <c r="CX24" s="1">
        <f t="shared" si="43"/>
        <v>3.3752363299999999</v>
      </c>
      <c r="CY24" s="1">
        <f t="shared" si="43"/>
        <v>8.5781493200000014</v>
      </c>
      <c r="CZ24" s="1">
        <f t="shared" si="44"/>
        <v>11.086418249999999</v>
      </c>
      <c r="DA24" s="1">
        <f t="shared" si="44"/>
        <v>17.188054299999997</v>
      </c>
      <c r="DB24" s="1">
        <f t="shared" si="44"/>
        <v>10.47783802</v>
      </c>
      <c r="DC24" s="1">
        <f t="shared" si="44"/>
        <v>9.5575243299999997</v>
      </c>
      <c r="DD24" s="1">
        <f t="shared" si="44"/>
        <v>7.6485664300000016</v>
      </c>
      <c r="DE24" s="1">
        <f t="shared" si="44"/>
        <v>10.989036779999999</v>
      </c>
      <c r="DF24" s="1">
        <f t="shared" si="44"/>
        <v>11.08275927</v>
      </c>
      <c r="DG24" s="1">
        <f t="shared" si="44"/>
        <v>9.5434502200000004</v>
      </c>
      <c r="DI24" s="1">
        <f t="shared" si="45"/>
        <v>3.1775986299999999</v>
      </c>
      <c r="DJ24" s="1">
        <f t="shared" si="45"/>
        <v>2.4176205400000002</v>
      </c>
      <c r="DK24" s="1">
        <f t="shared" si="45"/>
        <v>1.0621514699999999</v>
      </c>
      <c r="DL24" s="1">
        <f t="shared" si="45"/>
        <v>1.8796713600000001</v>
      </c>
      <c r="DM24" s="1">
        <f t="shared" si="45"/>
        <v>2.4189343299999999</v>
      </c>
      <c r="DN24" s="1">
        <f t="shared" si="45"/>
        <v>2.31537419</v>
      </c>
      <c r="DO24" s="1">
        <f t="shared" si="45"/>
        <v>1.6581343500000001</v>
      </c>
      <c r="DP24" s="1">
        <f t="shared" si="45"/>
        <v>1.1317222</v>
      </c>
      <c r="DQ24" s="1">
        <f t="shared" si="45"/>
        <v>1.25031731</v>
      </c>
      <c r="DR24" s="1">
        <f t="shared" si="45"/>
        <v>1.1220479999999999</v>
      </c>
      <c r="DS24" s="1">
        <f t="shared" si="45"/>
        <v>1.06290057</v>
      </c>
      <c r="DT24" s="1">
        <f t="shared" si="45"/>
        <v>0.94532128999999998</v>
      </c>
      <c r="DU24" s="1">
        <f t="shared" si="45"/>
        <v>0.74918092999999997</v>
      </c>
      <c r="DV24" s="1">
        <f t="shared" si="45"/>
        <v>0.38311624</v>
      </c>
      <c r="DW24" s="1">
        <f t="shared" si="45"/>
        <v>0.75479300000000005</v>
      </c>
      <c r="DX24" s="1">
        <f t="shared" si="45"/>
        <v>0.25391999999999998</v>
      </c>
      <c r="DY24" s="1">
        <f t="shared" si="41"/>
        <v>0.77264063999999999</v>
      </c>
      <c r="DZ24" s="1">
        <f t="shared" si="41"/>
        <v>0.73566756000000011</v>
      </c>
      <c r="EA24" s="1">
        <f t="shared" si="41"/>
        <v>2.5187011699999999</v>
      </c>
      <c r="EB24" s="1">
        <f t="shared" si="41"/>
        <v>5.4787536300000008</v>
      </c>
      <c r="EC24" s="1">
        <f t="shared" si="41"/>
        <v>3.3605493799999997</v>
      </c>
      <c r="ED24" s="1">
        <f t="shared" si="41"/>
        <v>4.0244654899999999</v>
      </c>
      <c r="EE24" s="1">
        <f t="shared" si="41"/>
        <v>4.0283530399999998</v>
      </c>
      <c r="EF24" s="1">
        <f t="shared" si="41"/>
        <v>2.4006859300000003</v>
      </c>
      <c r="EH24" s="14">
        <f t="shared" si="46"/>
        <v>5.5693606783423002</v>
      </c>
      <c r="EI24" s="14">
        <f t="shared" si="46"/>
        <v>5.5693606783423002</v>
      </c>
      <c r="EJ24" s="1">
        <f t="shared" si="46"/>
        <v>5.5693606783423002</v>
      </c>
      <c r="EK24" s="1">
        <f t="shared" si="46"/>
        <v>6.139895208369488</v>
      </c>
      <c r="EL24" s="1">
        <f t="shared" si="46"/>
        <v>6.139895208369488</v>
      </c>
      <c r="EM24" s="1">
        <f t="shared" si="46"/>
        <v>6.139895208369488</v>
      </c>
      <c r="EN24" s="1">
        <f t="shared" si="46"/>
        <v>6.139895208369488</v>
      </c>
      <c r="EO24" s="1">
        <f t="shared" si="46"/>
        <v>6.139895208369488</v>
      </c>
      <c r="EP24" s="1">
        <f t="shared" si="46"/>
        <v>6.139895208369488</v>
      </c>
      <c r="EQ24" s="1">
        <f t="shared" si="46"/>
        <v>6.139895208369488</v>
      </c>
      <c r="ER24" s="1">
        <f t="shared" si="46"/>
        <v>6.139895208369488</v>
      </c>
      <c r="ES24" s="1">
        <f t="shared" si="46"/>
        <v>6.139895208369488</v>
      </c>
      <c r="ET24" s="1">
        <f t="shared" si="46"/>
        <v>6.139895208369488</v>
      </c>
      <c r="EU24" s="1">
        <f t="shared" si="46"/>
        <v>6.139895208369488</v>
      </c>
      <c r="EV24" s="1">
        <f t="shared" si="46"/>
        <v>6.139895208369488</v>
      </c>
      <c r="EW24" s="1">
        <f t="shared" si="46"/>
        <v>5.9356067942694777</v>
      </c>
      <c r="EX24" s="1">
        <f t="shared" si="42"/>
        <v>5.9356067942694777</v>
      </c>
      <c r="EY24" s="1">
        <f t="shared" si="42"/>
        <v>5.9356067942694777</v>
      </c>
      <c r="EZ24" s="1">
        <f t="shared" si="42"/>
        <v>5.9356067942694777</v>
      </c>
      <c r="FA24" s="1">
        <f t="shared" si="42"/>
        <v>5.9356067942694777</v>
      </c>
      <c r="FB24" s="1">
        <f t="shared" si="42"/>
        <v>5.9356067942694777</v>
      </c>
      <c r="FC24" s="1">
        <f t="shared" si="42"/>
        <v>5.9356067942694777</v>
      </c>
      <c r="FD24" s="1">
        <f t="shared" si="42"/>
        <v>5.9356067942694777</v>
      </c>
      <c r="FE24" s="1">
        <f t="shared" si="42"/>
        <v>5.9356067942694777</v>
      </c>
      <c r="FG24" s="162">
        <f t="shared" si="33"/>
        <v>1.3999094084270332</v>
      </c>
    </row>
    <row r="25" spans="1:163" ht="18.75" customHeight="1">
      <c r="A25" s="223"/>
      <c r="B25" s="223"/>
      <c r="C25" s="156"/>
      <c r="D25" s="198"/>
      <c r="E25" s="190"/>
      <c r="F25" s="191"/>
      <c r="G25" s="190"/>
      <c r="H25" s="191"/>
      <c r="I25" s="190"/>
      <c r="J25" s="191"/>
      <c r="K25" s="190"/>
      <c r="L25" s="191"/>
      <c r="M25" s="17"/>
      <c r="N25" s="198"/>
      <c r="O25" s="190"/>
      <c r="P25" s="192"/>
      <c r="Q25" s="190"/>
      <c r="R25" s="193"/>
      <c r="S25" s="17"/>
      <c r="T25" s="198"/>
      <c r="U25" s="190"/>
      <c r="V25" s="194"/>
      <c r="W25" s="190"/>
      <c r="X25" s="194"/>
      <c r="Y25" s="40" t="str">
        <f t="shared" si="17"/>
        <v/>
      </c>
      <c r="Z25" s="194"/>
      <c r="AA25" s="30"/>
      <c r="AB25" s="57"/>
      <c r="AO25" s="57"/>
      <c r="AT25" s="58"/>
      <c r="AU25" s="58"/>
      <c r="AV25" s="58"/>
      <c r="AW25" s="58"/>
      <c r="AX25" s="58"/>
      <c r="AY25" s="58"/>
      <c r="AZ25" s="58"/>
      <c r="BA25" s="58"/>
      <c r="BB25" s="30"/>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ht="18.75" customHeight="1">
      <c r="E26" s="12">
        <f>+AVERAGE(E6:E24)</f>
        <v>2.9803362156957978E-2</v>
      </c>
      <c r="F26" s="37">
        <f>+E26-$I$3</f>
        <v>-2.8487732379009625</v>
      </c>
      <c r="G26" s="12">
        <f>+AVERAGE(G6:G24)</f>
        <v>6.2905794265482068E-2</v>
      </c>
      <c r="I26" s="12">
        <f>+AVERAGEIF(I6:I24,"&gt;211%")</f>
        <v>3.2214312178600486</v>
      </c>
      <c r="J26" s="37">
        <f t="shared" si="11"/>
        <v>0.34285461780212811</v>
      </c>
      <c r="K26" s="12">
        <f>+AVERAGE(K6:K24)</f>
        <v>2.471725610062093</v>
      </c>
      <c r="O26" s="12">
        <f>+AVERAGE(O6:O24)</f>
        <v>1.7240217477060504E-2</v>
      </c>
      <c r="AB26" s="57"/>
      <c r="AO26" s="57"/>
    </row>
    <row r="27" spans="1:163" ht="18.75" customHeight="1">
      <c r="I27" s="12">
        <f>+AVERAGEIF(I6:I24,"&lt;211%")</f>
        <v>1.5525790811884566</v>
      </c>
      <c r="K27" s="177">
        <f>+SUBTOTAL(101,K6:K21)</f>
        <v>2.4343012807123467</v>
      </c>
      <c r="V27" t="s">
        <v>167</v>
      </c>
      <c r="X27" s="162"/>
      <c r="BC27" s="141" t="s">
        <v>273</v>
      </c>
      <c r="BQ27" s="1">
        <f>+SUM(BQ6:BQ24)</f>
        <v>114115159</v>
      </c>
      <c r="BR27" s="1">
        <f>+SUM(BR6:BR24)</f>
        <v>115142044</v>
      </c>
      <c r="BU27" s="1">
        <f>+SUM(BU6:BU24)</f>
        <v>144242395.46258402</v>
      </c>
      <c r="BV27" s="1">
        <f>+SUM(BV6:BV24)</f>
        <v>139406764.10381967</v>
      </c>
      <c r="BY27" s="1">
        <f>+SUM(BY6:BY24)</f>
        <v>49077.588299630013</v>
      </c>
      <c r="BZ27" s="1">
        <f>+SUM(BZ6:BZ24)</f>
        <v>66603.328160209989</v>
      </c>
      <c r="CC27" s="1">
        <f>+SUM(CC6:CC24)</f>
        <v>5702.89062724</v>
      </c>
      <c r="CD27" s="1">
        <f>+SUM(CD6:CD24)</f>
        <v>3731.4109449699999</v>
      </c>
      <c r="FG27" s="167">
        <f>+COUNTIF(FG6:FG24,"&gt;0")</f>
        <v>12</v>
      </c>
    </row>
    <row r="28" spans="1:163" ht="18.75" customHeight="1">
      <c r="A28" s="11">
        <f>+COUNTIF($C$6:$C$24,"&lt;0")</f>
        <v>11</v>
      </c>
      <c r="C28" s="156">
        <v>-1</v>
      </c>
      <c r="E28" s="167">
        <f>+COUNTIF($I$6:$I$24,"&lt;1,69")</f>
        <v>3</v>
      </c>
      <c r="F28" s="29">
        <v>-1</v>
      </c>
      <c r="I28" s="167">
        <f>+COUNTIF($I$6:$I$24,"&lt;1,69")</f>
        <v>3</v>
      </c>
      <c r="J28" s="29">
        <v>-1</v>
      </c>
      <c r="K28">
        <f>+COUNTIF($L$6:$L$24,"&lt;0")</f>
        <v>7</v>
      </c>
      <c r="L28" s="29">
        <v>-1</v>
      </c>
      <c r="O28">
        <f>+COUNTIF($P$6:$P$24,"&lt;0")</f>
        <v>6</v>
      </c>
      <c r="P28" s="29">
        <v>-1</v>
      </c>
      <c r="Q28">
        <f>+COUNTIF($R$6:$R$24,"&lt;0")</f>
        <v>10</v>
      </c>
      <c r="R28" s="29">
        <v>-1</v>
      </c>
      <c r="T28" s="57">
        <f>+COUNTIF($U$6:$U$24,"&lt;0")</f>
        <v>13</v>
      </c>
      <c r="U28" s="29">
        <v>-1</v>
      </c>
      <c r="BR28" t="s">
        <v>491</v>
      </c>
      <c r="BU28" s="167">
        <f>+SUMIFS(BU6:BU24,BC6:BC24,5)+SUMIFS(BU6:BU24,BC6:BC24,4)</f>
        <v>132841977.962584</v>
      </c>
      <c r="BY28" s="10">
        <f>+BY27/BZ27-1</f>
        <v>-0.26313609761997092</v>
      </c>
      <c r="CC28" s="10">
        <f>+CC27/CD27-1</f>
        <v>0.52834697419955456</v>
      </c>
    </row>
    <row r="29" spans="1:163" ht="18.75" customHeight="1">
      <c r="A29" s="11">
        <f>+COUNTIF($C$6:$C$24,C29)</f>
        <v>3</v>
      </c>
      <c r="C29" s="156">
        <v>0</v>
      </c>
      <c r="E29" s="167">
        <f>+COUNTIF($I$6:$I$24,"=1,69")</f>
        <v>0</v>
      </c>
      <c r="F29" s="29">
        <v>0</v>
      </c>
      <c r="I29" s="167">
        <f>+COUNTIF($I$6:$I$24,"=1,69")</f>
        <v>0</v>
      </c>
      <c r="J29" s="29">
        <v>0</v>
      </c>
      <c r="L29" s="29">
        <v>0</v>
      </c>
      <c r="O29">
        <f>+COUNTIF($P$6:$P$24,"=0")</f>
        <v>4</v>
      </c>
      <c r="P29" s="29">
        <v>0</v>
      </c>
      <c r="Q29">
        <f>+COUNTIF($R$6:$R$24,"=0")</f>
        <v>2</v>
      </c>
      <c r="R29" s="29">
        <v>0</v>
      </c>
      <c r="T29" s="57">
        <f>+COUNTIF($U$6:$U$24,"=0")</f>
        <v>0</v>
      </c>
      <c r="U29" s="29">
        <v>0</v>
      </c>
      <c r="BR29" t="s">
        <v>492</v>
      </c>
      <c r="BU29" s="167">
        <f>+SUMIFS(BU6:BU24,BC6:BC24,3)</f>
        <v>2841120</v>
      </c>
    </row>
    <row r="30" spans="1:163" ht="18.75" customHeight="1">
      <c r="A30" s="11">
        <f>+COUNTIF($C$6:$C$24,"&gt;0")</f>
        <v>5</v>
      </c>
      <c r="C30" s="156">
        <v>1</v>
      </c>
      <c r="E30" s="167">
        <f>+COUNTIF($I$6:$I$24,"&gt;1,69")</f>
        <v>15</v>
      </c>
      <c r="F30" s="29">
        <v>1</v>
      </c>
      <c r="I30" s="167">
        <f>+COUNTIF($I$6:$I$24,"&gt;1,69")</f>
        <v>15</v>
      </c>
      <c r="J30" s="29">
        <v>1</v>
      </c>
      <c r="K30">
        <f>+COUNTIF($L$6:$L$24,"&gt;0")</f>
        <v>12</v>
      </c>
      <c r="L30" s="29">
        <v>1</v>
      </c>
      <c r="O30">
        <f>+COUNTIF($P$6:$P$24,"&gt;0")</f>
        <v>8</v>
      </c>
      <c r="P30" s="29">
        <v>1</v>
      </c>
      <c r="Q30">
        <f>+COUNTIF($R$6:$R$24,"&gt;0")</f>
        <v>6</v>
      </c>
      <c r="R30" s="29">
        <v>1</v>
      </c>
      <c r="T30" s="57">
        <f>+COUNTIF($U$6:$U$24,"&gt;0")</f>
        <v>5</v>
      </c>
      <c r="U30" s="29">
        <v>1</v>
      </c>
      <c r="X30" s="14"/>
      <c r="BR30" t="s">
        <v>493</v>
      </c>
      <c r="BU30" s="167">
        <f>+SUMIFS(BU6:BU24,BC6:BC24,1)+SUMIFS(BU6:BU24,BC6:BC24,2)</f>
        <v>8559297.5</v>
      </c>
      <c r="BX30" s="1"/>
    </row>
    <row r="31" spans="1:163" ht="18.75" customHeight="1">
      <c r="K31" s="12"/>
    </row>
    <row r="32" spans="1:163" ht="18.75" customHeight="1">
      <c r="C32" s="157"/>
      <c r="I32" s="14">
        <f>+COUNTIF(I6:I24,"&gt;211%")</f>
        <v>13</v>
      </c>
      <c r="J32" s="14"/>
      <c r="K32" s="14"/>
      <c r="Y32" s="163"/>
    </row>
    <row r="33" spans="1:164" ht="18.75" customHeight="1">
      <c r="C33" s="157"/>
      <c r="I33" s="12">
        <f>+I26/2</f>
        <v>1.6107156089300243</v>
      </c>
    </row>
    <row r="34" spans="1:164" s="23" customFormat="1" ht="18.75" customHeight="1">
      <c r="A34" s="11"/>
      <c r="B34" s="11"/>
      <c r="C34" s="157"/>
      <c r="D34" s="57"/>
      <c r="E34" s="12"/>
      <c r="F34" s="37"/>
      <c r="G34"/>
      <c r="H34" s="37"/>
      <c r="I34" s="12">
        <v>0.03</v>
      </c>
      <c r="J34" s="37"/>
      <c r="K34"/>
      <c r="L34" s="37"/>
      <c r="M34"/>
      <c r="N34" s="57"/>
      <c r="P34" s="57"/>
      <c r="Q34"/>
      <c r="R34"/>
      <c r="S34"/>
      <c r="T34" s="57"/>
      <c r="V34"/>
      <c r="W34"/>
      <c r="X34"/>
      <c r="Y34"/>
      <c r="Z34"/>
      <c r="AA34"/>
      <c r="AB34" s="11"/>
      <c r="AC34" s="57"/>
      <c r="AD34" s="57"/>
      <c r="AE34" s="57"/>
      <c r="AF34" s="57"/>
      <c r="AG34" s="57"/>
      <c r="AH34" s="57"/>
      <c r="AI34" s="57"/>
      <c r="AJ34" s="57"/>
      <c r="AK34" s="57"/>
      <c r="AL34" s="57"/>
      <c r="AM34" s="57"/>
      <c r="AN34" s="57"/>
      <c r="AO34" s="28"/>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ht="18.75" customHeight="1">
      <c r="A35" s="11"/>
      <c r="B35" s="11"/>
      <c r="C35" s="157"/>
      <c r="D35" s="57"/>
      <c r="E35" s="12"/>
      <c r="F35" s="37"/>
      <c r="G35"/>
      <c r="H35" s="37"/>
      <c r="I35" s="12"/>
      <c r="J35" s="37"/>
      <c r="K35"/>
      <c r="L35" s="37"/>
      <c r="M35"/>
      <c r="N35" s="57"/>
      <c r="P35" s="57"/>
      <c r="Q35"/>
      <c r="R35"/>
      <c r="S35"/>
      <c r="T35" s="57"/>
      <c r="V35"/>
      <c r="W35"/>
      <c r="X35"/>
      <c r="Y35"/>
      <c r="Z35"/>
      <c r="AA35"/>
      <c r="AB35" s="11"/>
      <c r="AC35" s="57"/>
      <c r="AD35" s="57"/>
      <c r="AE35" s="57"/>
      <c r="AF35" s="57"/>
      <c r="AG35" s="57"/>
      <c r="AH35" s="57"/>
      <c r="AI35" s="57"/>
      <c r="AJ35" s="57"/>
      <c r="AK35" s="57"/>
      <c r="AL35" s="57"/>
      <c r="AM35" s="57"/>
      <c r="AN35" s="57"/>
      <c r="AO35" s="28"/>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ht="18.75" customHeight="1">
      <c r="A36" s="11"/>
      <c r="B36" s="11"/>
      <c r="C36" s="157"/>
      <c r="D36" s="57"/>
      <c r="E36" s="12"/>
      <c r="F36" s="37"/>
      <c r="G36"/>
      <c r="H36" s="37"/>
      <c r="I36" s="12"/>
      <c r="J36" s="37"/>
      <c r="K36"/>
      <c r="L36" s="37"/>
      <c r="M36"/>
      <c r="N36" s="57"/>
      <c r="P36" s="57"/>
      <c r="Q36"/>
      <c r="R36"/>
      <c r="S36"/>
      <c r="T36" s="57"/>
      <c r="V36"/>
      <c r="W36"/>
      <c r="X36"/>
      <c r="Y36"/>
      <c r="Z36"/>
      <c r="AA36"/>
      <c r="AB36" s="11"/>
      <c r="AC36" s="57"/>
      <c r="AD36" s="57"/>
      <c r="AE36" s="57"/>
      <c r="AF36" s="57"/>
      <c r="AG36" s="57"/>
      <c r="AH36" s="57"/>
      <c r="AI36" s="57"/>
      <c r="AJ36" s="57"/>
      <c r="AK36" s="57"/>
      <c r="AL36" s="57"/>
      <c r="AM36" s="57"/>
      <c r="AN36" s="57"/>
      <c r="AO36" s="28"/>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ht="18.75" customHeight="1">
      <c r="A37" s="11"/>
      <c r="B37" s="11"/>
      <c r="C37" s="157"/>
      <c r="D37" s="57"/>
      <c r="E37" s="12"/>
      <c r="F37" s="37"/>
      <c r="G37"/>
      <c r="H37" s="37"/>
      <c r="I37" s="12"/>
      <c r="J37" s="37"/>
      <c r="K37"/>
      <c r="L37" s="37"/>
      <c r="M37"/>
      <c r="N37" s="57"/>
      <c r="P37" s="57"/>
      <c r="Q37"/>
      <c r="R37"/>
      <c r="S37"/>
      <c r="T37" s="57"/>
      <c r="V37"/>
      <c r="W37"/>
      <c r="X37"/>
      <c r="Y37"/>
      <c r="Z37"/>
      <c r="AA37"/>
      <c r="AB37" s="11"/>
      <c r="AC37" s="57"/>
      <c r="AD37" s="57"/>
      <c r="AE37" s="57"/>
      <c r="AF37" s="57"/>
      <c r="AG37" s="57"/>
      <c r="AH37" s="57"/>
      <c r="AI37" s="57"/>
      <c r="AJ37" s="57"/>
      <c r="AK37" s="57"/>
      <c r="AL37" s="57"/>
      <c r="AM37" s="57"/>
      <c r="AN37" s="57"/>
      <c r="AO37" s="28"/>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ht="18.75" customHeight="1">
      <c r="A38" s="11"/>
      <c r="B38" s="11"/>
      <c r="C38" s="157"/>
      <c r="D38" s="57"/>
      <c r="E38" s="12"/>
      <c r="F38" s="37"/>
      <c r="G38"/>
      <c r="H38" s="37"/>
      <c r="I38" s="12"/>
      <c r="J38" s="37"/>
      <c r="K38"/>
      <c r="L38" s="37"/>
      <c r="M38"/>
      <c r="N38" s="57"/>
      <c r="P38" s="57"/>
      <c r="Q38"/>
      <c r="R38"/>
      <c r="S38"/>
      <c r="T38" s="57"/>
      <c r="V38"/>
      <c r="W38"/>
      <c r="X38"/>
      <c r="Y38"/>
      <c r="Z38"/>
      <c r="AA38"/>
      <c r="AB38" s="11"/>
      <c r="AC38" s="57"/>
      <c r="AD38" s="57"/>
      <c r="AE38" s="57"/>
      <c r="AF38" s="57"/>
      <c r="AG38" s="57"/>
      <c r="AH38" s="57"/>
      <c r="AI38" s="57"/>
      <c r="AJ38" s="57"/>
      <c r="AK38" s="57"/>
      <c r="AL38" s="57"/>
      <c r="AM38" s="57"/>
      <c r="AN38" s="57"/>
      <c r="AO38" s="28"/>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ht="18.75" customHeight="1">
      <c r="A39" s="11"/>
      <c r="B39" s="11"/>
      <c r="C39" s="157"/>
      <c r="D39" s="57"/>
      <c r="E39" s="12"/>
      <c r="F39" s="37"/>
      <c r="G39"/>
      <c r="H39" s="37"/>
      <c r="I39" s="12"/>
      <c r="J39" s="37"/>
      <c r="K39"/>
      <c r="L39" s="37"/>
      <c r="M39"/>
      <c r="N39" s="57"/>
      <c r="P39" s="57"/>
      <c r="Q39"/>
      <c r="R39"/>
      <c r="S39"/>
      <c r="T39" s="57"/>
      <c r="V39"/>
      <c r="W39"/>
      <c r="X39"/>
      <c r="Y39"/>
      <c r="Z39"/>
      <c r="AA39"/>
      <c r="AB39" s="11"/>
      <c r="AC39" s="57"/>
      <c r="AD39" s="57"/>
      <c r="AE39" s="57"/>
      <c r="AF39" s="57"/>
      <c r="AG39" s="57"/>
      <c r="AH39" s="57"/>
      <c r="AI39" s="57"/>
      <c r="AJ39" s="57"/>
      <c r="AK39" s="57"/>
      <c r="AL39" s="57"/>
      <c r="AM39" s="57"/>
      <c r="AN39" s="57"/>
      <c r="AO39" s="28"/>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ht="18.75" customHeight="1">
      <c r="A40" s="11"/>
      <c r="B40" s="11"/>
      <c r="C40" s="157"/>
      <c r="D40" s="57"/>
      <c r="E40" s="12"/>
      <c r="F40" s="37"/>
      <c r="G40"/>
      <c r="H40" s="37"/>
      <c r="I40" s="12"/>
      <c r="J40" s="37"/>
      <c r="K40"/>
      <c r="L40" s="37"/>
      <c r="M40"/>
      <c r="N40" s="57"/>
      <c r="P40" s="57"/>
      <c r="Q40"/>
      <c r="R40"/>
      <c r="S40"/>
      <c r="T40" s="57"/>
      <c r="V40"/>
      <c r="W40"/>
      <c r="X40"/>
      <c r="Y40"/>
      <c r="Z40"/>
      <c r="AA40"/>
      <c r="AB40" s="11"/>
      <c r="AC40" s="57"/>
      <c r="AD40" s="57"/>
      <c r="AE40" s="57"/>
      <c r="AF40" s="57"/>
      <c r="AG40" s="57"/>
      <c r="AH40" s="57"/>
      <c r="AI40" s="57"/>
      <c r="AJ40" s="57"/>
      <c r="AK40" s="57"/>
      <c r="AL40" s="57"/>
      <c r="AM40" s="57"/>
      <c r="AN40" s="57"/>
      <c r="AO40" s="28"/>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ht="18.75" customHeight="1">
      <c r="A45" s="11"/>
      <c r="B45" s="11"/>
      <c r="C45" s="157"/>
      <c r="D45" s="57"/>
      <c r="E45" s="12"/>
      <c r="F45" s="37"/>
      <c r="G45"/>
      <c r="H45" s="37"/>
      <c r="I45" s="12"/>
      <c r="J45" s="37"/>
      <c r="K45"/>
      <c r="L45" s="37"/>
      <c r="M45"/>
      <c r="N45" s="57"/>
      <c r="P45" s="57"/>
      <c r="Q45"/>
      <c r="R45"/>
      <c r="S45"/>
      <c r="T45" s="57"/>
      <c r="V45"/>
      <c r="W45"/>
      <c r="X45"/>
      <c r="Y45"/>
      <c r="Z45"/>
      <c r="AA45"/>
      <c r="AB45" s="11"/>
      <c r="AC45" s="57"/>
      <c r="AD45" s="57"/>
      <c r="AE45" s="57"/>
      <c r="AF45" s="57"/>
      <c r="AG45" s="57"/>
      <c r="AH45" s="57"/>
      <c r="AI45" s="57"/>
      <c r="AJ45" s="57"/>
      <c r="AK45" s="57"/>
      <c r="AL45" s="57"/>
      <c r="AM45" s="57"/>
      <c r="AN45" s="57"/>
      <c r="AO45" s="28"/>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ht="18.75" customHeight="1">
      <c r="A46" s="11"/>
      <c r="B46" s="11"/>
      <c r="C46" s="157"/>
      <c r="D46" s="57"/>
      <c r="E46" s="12"/>
      <c r="F46" s="37"/>
      <c r="G46"/>
      <c r="H46" s="37"/>
      <c r="I46" s="12"/>
      <c r="J46" s="37"/>
      <c r="K46"/>
      <c r="L46" s="37"/>
      <c r="M46"/>
      <c r="N46" s="57"/>
      <c r="P46" s="57"/>
      <c r="Q46"/>
      <c r="R46"/>
      <c r="S46"/>
      <c r="T46" s="57"/>
      <c r="V46"/>
      <c r="W46"/>
      <c r="X46"/>
      <c r="Y46"/>
      <c r="Z46"/>
      <c r="AA46"/>
      <c r="AB46" s="11"/>
      <c r="AC46" s="57"/>
      <c r="AD46" s="57"/>
      <c r="AE46" s="57"/>
      <c r="AF46" s="57"/>
      <c r="AG46" s="57"/>
      <c r="AH46" s="57"/>
      <c r="AI46" s="57"/>
      <c r="AJ46" s="57"/>
      <c r="AK46" s="57"/>
      <c r="AL46" s="57"/>
      <c r="AM46" s="57"/>
      <c r="AN46" s="57"/>
      <c r="AO46" s="28"/>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ht="18.75" customHeight="1">
      <c r="A47" s="11"/>
      <c r="B47" s="11"/>
      <c r="C47" s="157"/>
      <c r="D47" s="57"/>
      <c r="E47" s="12"/>
      <c r="F47" s="37"/>
      <c r="G47"/>
      <c r="H47" s="37"/>
      <c r="I47" s="12"/>
      <c r="J47" s="37"/>
      <c r="K47"/>
      <c r="L47" s="37"/>
      <c r="M47"/>
      <c r="N47" s="57"/>
      <c r="P47" s="57"/>
      <c r="Q47"/>
      <c r="R47"/>
      <c r="S47"/>
      <c r="T47" s="57"/>
      <c r="V47"/>
      <c r="W47"/>
      <c r="X47"/>
      <c r="Y47"/>
      <c r="Z47"/>
      <c r="AA47"/>
      <c r="AB47" s="11"/>
      <c r="AC47" s="57"/>
      <c r="AD47" s="57"/>
      <c r="AE47" s="57"/>
      <c r="AF47" s="57"/>
      <c r="AG47" s="57"/>
      <c r="AH47" s="57"/>
      <c r="AI47" s="57"/>
      <c r="AJ47" s="57"/>
      <c r="AK47" s="57"/>
      <c r="AL47" s="57"/>
      <c r="AM47" s="57"/>
      <c r="AN47" s="57"/>
      <c r="AO47" s="28"/>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3">
      <iconSet>
        <cfvo type="percent" val="0"/>
        <cfvo type="num" val="0"/>
        <cfvo type="num" val="0" gte="0"/>
      </iconSet>
    </cfRule>
  </conditionalFormatting>
  <conditionalFormatting sqref="C28:C30">
    <cfRule type="iconSet" priority="37">
      <iconSet>
        <cfvo type="percent" val="0"/>
        <cfvo type="num" val="0"/>
        <cfvo type="num" val="0" gte="0"/>
      </iconSet>
    </cfRule>
  </conditionalFormatting>
  <conditionalFormatting sqref="D6:D25">
    <cfRule type="iconSet" priority="42">
      <iconSet>
        <cfvo type="percent" val="0"/>
        <cfvo type="num" val="0"/>
        <cfvo type="num" val="0" gte="0"/>
      </iconSet>
    </cfRule>
  </conditionalFormatting>
  <conditionalFormatting sqref="F6:F16 F19:F25">
    <cfRule type="iconSet" priority="38">
      <iconSet>
        <cfvo type="percent" val="0"/>
        <cfvo type="num" val="0"/>
        <cfvo type="num" val="0" gte="0"/>
      </iconSet>
    </cfRule>
  </conditionalFormatting>
  <conditionalFormatting sqref="F17:F18">
    <cfRule type="iconSet" priority="8">
      <iconSet>
        <cfvo type="percent" val="0"/>
        <cfvo type="num" val="0"/>
        <cfvo type="num" val="0" gte="0"/>
      </iconSet>
    </cfRule>
  </conditionalFormatting>
  <conditionalFormatting sqref="F28:F30">
    <cfRule type="iconSet" priority="2">
      <iconSet>
        <cfvo type="percent" val="0"/>
        <cfvo type="num" val="0"/>
        <cfvo type="num" val="0" gte="0"/>
      </iconSet>
    </cfRule>
  </conditionalFormatting>
  <conditionalFormatting sqref="H6:H7 H9 H11:H25">
    <cfRule type="iconSet" priority="35">
      <iconSet>
        <cfvo type="percent" val="0"/>
        <cfvo type="num" val="0"/>
        <cfvo type="num" val="0" gte="0"/>
      </iconSet>
    </cfRule>
  </conditionalFormatting>
  <conditionalFormatting sqref="H8">
    <cfRule type="iconSet" priority="6">
      <iconSet>
        <cfvo type="percent" val="0"/>
        <cfvo type="num" val="0"/>
        <cfvo type="num" val="0" gte="0"/>
      </iconSet>
    </cfRule>
  </conditionalFormatting>
  <conditionalFormatting sqref="H10">
    <cfRule type="iconSet" priority="33">
      <iconSet>
        <cfvo type="percent" val="0"/>
        <cfvo type="num" val="0"/>
        <cfvo type="num" val="0" gte="0"/>
      </iconSet>
    </cfRule>
  </conditionalFormatting>
  <conditionalFormatting sqref="J6:J9 J11:J16 J19:J25">
    <cfRule type="iconSet" priority="36">
      <iconSet>
        <cfvo type="percent" val="0"/>
        <cfvo type="num" val="0"/>
        <cfvo type="num" val="0" gte="0"/>
      </iconSet>
    </cfRule>
  </conditionalFormatting>
  <conditionalFormatting sqref="J10">
    <cfRule type="iconSet" priority="34">
      <iconSet>
        <cfvo type="percent" val="0"/>
        <cfvo type="num" val="0"/>
        <cfvo type="num" val="0" gte="0"/>
      </iconSet>
    </cfRule>
  </conditionalFormatting>
  <conditionalFormatting sqref="J17:J18">
    <cfRule type="iconSet" priority="7">
      <iconSet>
        <cfvo type="percent" val="0"/>
        <cfvo type="num" val="0"/>
        <cfvo type="num" val="0" gte="0"/>
      </iconSet>
    </cfRule>
  </conditionalFormatting>
  <conditionalFormatting sqref="J28:J30">
    <cfRule type="iconSet" priority="4">
      <iconSet>
        <cfvo type="percent" val="0"/>
        <cfvo type="num" val="0"/>
        <cfvo type="num" val="0" gte="0"/>
      </iconSet>
    </cfRule>
  </conditionalFormatting>
  <conditionalFormatting sqref="L6:L9 L11:L25">
    <cfRule type="iconSet" priority="44">
      <iconSet>
        <cfvo type="percent" val="0"/>
        <cfvo type="num" val="0"/>
        <cfvo type="num" val="0" gte="0"/>
      </iconSet>
    </cfRule>
  </conditionalFormatting>
  <conditionalFormatting sqref="L10">
    <cfRule type="iconSet" priority="45">
      <iconSet>
        <cfvo type="percent" val="0"/>
        <cfvo type="num" val="0"/>
        <cfvo type="num" val="0" gte="0"/>
      </iconSet>
    </cfRule>
  </conditionalFormatting>
  <conditionalFormatting sqref="L28:L30">
    <cfRule type="iconSet" priority="3">
      <iconSet>
        <cfvo type="percent" val="0"/>
        <cfvo type="num" val="0"/>
        <cfvo type="num" val="0" gte="0"/>
      </iconSet>
    </cfRule>
  </conditionalFormatting>
  <conditionalFormatting sqref="M6:M25">
    <cfRule type="iconSet" priority="39">
      <iconSet>
        <cfvo type="percent" val="0"/>
        <cfvo type="num" val="0"/>
        <cfvo type="num" val="0" gte="0"/>
      </iconSet>
    </cfRule>
  </conditionalFormatting>
  <conditionalFormatting sqref="N6:N25">
    <cfRule type="iconSet" priority="32">
      <iconSet>
        <cfvo type="percent" val="0"/>
        <cfvo type="num" val="0"/>
        <cfvo type="num" val="0" gte="0"/>
      </iconSet>
    </cfRule>
  </conditionalFormatting>
  <conditionalFormatting sqref="P6:P9 P11:P25">
    <cfRule type="iconSet" priority="40">
      <iconSet>
        <cfvo type="percent" val="0"/>
        <cfvo type="num" val="0"/>
        <cfvo type="num" val="0" gte="0"/>
      </iconSet>
    </cfRule>
  </conditionalFormatting>
  <conditionalFormatting sqref="P10">
    <cfRule type="iconSet" priority="11">
      <iconSet>
        <cfvo type="percent" val="0"/>
        <cfvo type="num" val="0"/>
        <cfvo type="num" val="0" gte="0"/>
      </iconSet>
    </cfRule>
  </conditionalFormatting>
  <conditionalFormatting sqref="P28:P30">
    <cfRule type="iconSet" priority="24">
      <iconSet>
        <cfvo type="percent" val="0"/>
        <cfvo type="num" val="0"/>
        <cfvo type="num" val="0" gte="0"/>
      </iconSet>
    </cfRule>
  </conditionalFormatting>
  <conditionalFormatting sqref="R6:R25">
    <cfRule type="iconSet" priority="41">
      <iconSet>
        <cfvo type="percent" val="0"/>
        <cfvo type="num" val="0"/>
        <cfvo type="num" val="0" gte="0"/>
      </iconSet>
    </cfRule>
  </conditionalFormatting>
  <conditionalFormatting sqref="R28:R30">
    <cfRule type="iconSet" priority="23">
      <iconSet>
        <cfvo type="percent" val="0"/>
        <cfvo type="num" val="0"/>
        <cfvo type="num" val="0" gte="0"/>
      </iconSet>
    </cfRule>
  </conditionalFormatting>
  <conditionalFormatting sqref="S6:S25">
    <cfRule type="iconSet" priority="27">
      <iconSet>
        <cfvo type="percent" val="0"/>
        <cfvo type="num" val="0"/>
        <cfvo type="num" val="0" gte="0"/>
      </iconSet>
    </cfRule>
  </conditionalFormatting>
  <conditionalFormatting sqref="T6:T25">
    <cfRule type="iconSet" priority="31">
      <iconSet>
        <cfvo type="percent" val="0"/>
        <cfvo type="num" val="0"/>
        <cfvo type="num" val="0" gte="0"/>
      </iconSet>
    </cfRule>
  </conditionalFormatting>
  <conditionalFormatting sqref="U28:U30">
    <cfRule type="iconSet" priority="5">
      <iconSet>
        <cfvo type="percent" val="0"/>
        <cfvo type="num" val="0"/>
        <cfvo type="num" val="0" gte="0"/>
      </iconSet>
    </cfRule>
  </conditionalFormatting>
  <conditionalFormatting sqref="V6:V10 V16:V25 V12:V14">
    <cfRule type="iconSet" priority="30">
      <iconSet>
        <cfvo type="percent" val="0"/>
        <cfvo type="num" val="0"/>
        <cfvo type="num" val="0" gte="0"/>
      </iconSet>
    </cfRule>
  </conditionalFormatting>
  <conditionalFormatting sqref="V11">
    <cfRule type="iconSet" priority="10">
      <iconSet>
        <cfvo type="percent" val="0"/>
        <cfvo type="num" val="0"/>
        <cfvo type="num" val="0" gte="0"/>
      </iconSet>
    </cfRule>
  </conditionalFormatting>
  <conditionalFormatting sqref="V15">
    <cfRule type="iconSet" priority="26">
      <iconSet>
        <cfvo type="percent" val="0"/>
        <cfvo type="num" val="0"/>
        <cfvo type="num" val="0" gte="0"/>
      </iconSet>
    </cfRule>
  </conditionalFormatting>
  <conditionalFormatting sqref="X6:X10 X12:X23">
    <cfRule type="iconSet" priority="29">
      <iconSet reverse="1">
        <cfvo type="percent" val="0"/>
        <cfvo type="num" val="0"/>
        <cfvo type="num" val="0" gte="0"/>
      </iconSet>
    </cfRule>
  </conditionalFormatting>
  <conditionalFormatting sqref="X11">
    <cfRule type="iconSet" priority="9">
      <iconSet reverse="1">
        <cfvo type="percent" val="0"/>
        <cfvo type="num" val="0"/>
        <cfvo type="num" val="0" gte="0"/>
      </iconSet>
    </cfRule>
  </conditionalFormatting>
  <conditionalFormatting sqref="X24:X25">
    <cfRule type="iconSet" priority="25">
      <iconSet reverse="1">
        <cfvo type="percent" val="0"/>
        <cfvo type="num" val="0"/>
        <cfvo type="num" val="0" gte="0"/>
      </iconSet>
    </cfRule>
  </conditionalFormatting>
  <conditionalFormatting sqref="Z6">
    <cfRule type="iconSet" priority="20">
      <iconSet>
        <cfvo type="percent" val="0"/>
        <cfvo type="num" val="0"/>
        <cfvo type="num" val="0" gte="0"/>
      </iconSet>
    </cfRule>
  </conditionalFormatting>
  <conditionalFormatting sqref="Z7">
    <cfRule type="iconSet" priority="19">
      <iconSet>
        <cfvo type="percent" val="0"/>
        <cfvo type="num" val="0"/>
        <cfvo type="num" val="0" gte="0"/>
      </iconSet>
    </cfRule>
  </conditionalFormatting>
  <conditionalFormatting sqref="Z8 Z12 Z14:Z17 Z21 Z23 Z25">
    <cfRule type="iconSet" priority="28">
      <iconSet>
        <cfvo type="percent" val="0"/>
        <cfvo type="num" val="0"/>
        <cfvo type="num" val="0" gte="0"/>
      </iconSet>
    </cfRule>
  </conditionalFormatting>
  <conditionalFormatting sqref="Z9">
    <cfRule type="iconSet" priority="22">
      <iconSet>
        <cfvo type="percent" val="0"/>
        <cfvo type="num" val="0"/>
        <cfvo type="num" val="0" gte="0"/>
      </iconSet>
    </cfRule>
  </conditionalFormatting>
  <conditionalFormatting sqref="Z10">
    <cfRule type="iconSet" priority="18">
      <iconSet>
        <cfvo type="percent" val="0"/>
        <cfvo type="num" val="0"/>
        <cfvo type="num" val="0" gte="0"/>
      </iconSet>
    </cfRule>
  </conditionalFormatting>
  <conditionalFormatting sqref="Z11">
    <cfRule type="iconSet" priority="17">
      <iconSet>
        <cfvo type="percent" val="0"/>
        <cfvo type="num" val="0"/>
        <cfvo type="num" val="0" gte="0"/>
      </iconSet>
    </cfRule>
  </conditionalFormatting>
  <conditionalFormatting sqref="Z13">
    <cfRule type="iconSet" priority="16">
      <iconSet>
        <cfvo type="percent" val="0"/>
        <cfvo type="num" val="0"/>
        <cfvo type="num" val="0" gte="0"/>
      </iconSet>
    </cfRule>
  </conditionalFormatting>
  <conditionalFormatting sqref="Z18">
    <cfRule type="iconSet" priority="15">
      <iconSet>
        <cfvo type="percent" val="0"/>
        <cfvo type="num" val="0"/>
        <cfvo type="num" val="0" gte="0"/>
      </iconSet>
    </cfRule>
  </conditionalFormatting>
  <conditionalFormatting sqref="Z19">
    <cfRule type="iconSet" priority="14">
      <iconSet>
        <cfvo type="percent" val="0"/>
        <cfvo type="num" val="0"/>
        <cfvo type="num" val="0" gte="0"/>
      </iconSet>
    </cfRule>
  </conditionalFormatting>
  <conditionalFormatting sqref="Z20">
    <cfRule type="iconSet" priority="13">
      <iconSet>
        <cfvo type="percent" val="0"/>
        <cfvo type="num" val="0"/>
        <cfvo type="num" val="0" gte="0"/>
      </iconSet>
    </cfRule>
  </conditionalFormatting>
  <conditionalFormatting sqref="Z22">
    <cfRule type="iconSet" priority="12">
      <iconSet>
        <cfvo type="percent" val="0"/>
        <cfvo type="num" val="0"/>
        <cfvo type="num" val="0" gte="0"/>
      </iconSet>
    </cfRule>
  </conditionalFormatting>
  <conditionalFormatting sqref="Z24">
    <cfRule type="iconSet" priority="1">
      <iconSet>
        <cfvo type="percent" val="0"/>
        <cfvo type="num" val="0"/>
        <cfvo type="num" val="0" gte="0"/>
      </iconSet>
    </cfRule>
  </conditionalFormatting>
  <conditionalFormatting sqref="AC6:AN24 AC25 AE25:AN25">
    <cfRule type="expression" dxfId="29" priority="46">
      <formula>AP6=3</formula>
    </cfRule>
    <cfRule type="expression" dxfId="28" priority="47">
      <formula>AP6=5</formula>
    </cfRule>
    <cfRule type="expression" dxfId="27" priority="48">
      <formula>AP6=4</formula>
    </cfRule>
    <cfRule type="expression" dxfId="26" priority="49">
      <formula>AP6=2</formula>
    </cfRule>
    <cfRule type="expression" dxfId="25" priority="50">
      <formula>AP6=1</formula>
    </cfRule>
    <cfRule type="expression" dxfId="24" priority="51">
      <formula>AP6=0</formula>
    </cfRule>
  </conditionalFormatting>
  <conditionalFormatting sqref="FG6:FG25 FG27">
    <cfRule type="colorScale" priority="21">
      <colorScale>
        <cfvo type="min"/>
        <cfvo type="percentile" val="50"/>
        <cfvo type="max"/>
        <color rgb="FFF8696B"/>
        <color rgb="FFFFEB84"/>
        <color rgb="FF63BE7B"/>
      </colorScale>
    </cfRule>
  </conditionalFormatting>
  <dataValidations count="1">
    <dataValidation type="list" allowBlank="1" showInputMessage="1" showErrorMessage="1" sqref="A1:B1" xr:uid="{00000000-0002-0000-0B00-000000000000}">
      <formula1>lis_dat</formula1>
    </dataValidation>
  </dataValidations>
  <pageMargins left="0.25" right="0.25" top="0.75" bottom="0.75" header="0.3" footer="0.3"/>
  <pageSetup paperSize="9" scale="55"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249977111117893"/>
    <pageSetUpPr fitToPage="1"/>
  </sheetPr>
  <dimension ref="A1:FH47"/>
  <sheetViews>
    <sheetView showGridLines="0" topLeftCell="A18" zoomScale="106" zoomScaleNormal="106" workbookViewId="0">
      <selection activeCell="P20" sqref="P20"/>
    </sheetView>
  </sheetViews>
  <sheetFormatPr baseColWidth="10" defaultRowHeight="14.4"/>
  <cols>
    <col min="1" max="1" width="14.44140625" style="11" customWidth="1"/>
    <col min="2" max="2" width="11.6640625" customWidth="1"/>
    <col min="3" max="3" width="5.44140625" style="154" customWidth="1"/>
    <col min="4" max="4" width="2.88671875" style="57" customWidth="1"/>
    <col min="5" max="5" width="8.6640625" style="12" hidden="1" customWidth="1"/>
    <col min="6" max="6" width="3.44140625" style="37" hidden="1" customWidth="1"/>
    <col min="7" max="7" width="6.109375" hidden="1" customWidth="1"/>
    <col min="8" max="8" width="4.5546875" style="37" hidden="1" customWidth="1"/>
    <col min="9" max="9" width="10.5546875" style="12" hidden="1" customWidth="1"/>
    <col min="10" max="10" width="4" style="37" hidden="1" customWidth="1"/>
    <col min="11" max="11" width="6" hidden="1" customWidth="1"/>
    <col min="12" max="12" width="4.88671875" style="37" hidden="1" customWidth="1"/>
    <col min="13" max="13" width="1.33203125" customWidth="1"/>
    <col min="14" max="14" width="3.5546875" style="57" customWidth="1"/>
    <col min="15" max="15" width="5.88671875" style="23" hidden="1" customWidth="1"/>
    <col min="16" max="16" width="7" style="57" hidden="1" customWidth="1"/>
    <col min="17" max="17" width="7" hidden="1" customWidth="1"/>
    <col min="18" max="18" width="7.33203125" hidden="1" customWidth="1"/>
    <col min="19" max="19" width="0.6640625" customWidth="1"/>
    <col min="20" max="20" width="2.5546875" style="57" customWidth="1"/>
    <col min="21" max="21" width="6.5546875" style="23" hidden="1" customWidth="1"/>
    <col min="22" max="22" width="4" hidden="1" customWidth="1"/>
    <col min="23" max="23" width="6.5546875" hidden="1" customWidth="1"/>
    <col min="24" max="24" width="3.88671875" hidden="1" customWidth="1"/>
    <col min="25" max="25" width="7.33203125" hidden="1" customWidth="1"/>
    <col min="26" max="26" width="4.5546875" hidden="1" customWidth="1"/>
    <col min="27" max="27" width="1.44140625" customWidth="1"/>
    <col min="28" max="28" width="53" style="11" customWidth="1"/>
    <col min="29" max="40" width="1.88671875" style="57" customWidth="1"/>
    <col min="41" max="41" width="2.44140625" style="28" customWidth="1"/>
    <col min="42" max="42" width="5.44140625" style="28" hidden="1" customWidth="1"/>
    <col min="43" max="43" width="6" style="28" hidden="1" customWidth="1"/>
    <col min="44" max="44" width="5.33203125" style="28" hidden="1" customWidth="1"/>
    <col min="45" max="45" width="4.88671875" style="28" hidden="1" customWidth="1"/>
    <col min="46" max="47" width="5.5546875" hidden="1" customWidth="1"/>
    <col min="48" max="48" width="5.33203125" hidden="1" customWidth="1"/>
    <col min="49" max="49" width="5.5546875" hidden="1" customWidth="1"/>
    <col min="50" max="51" width="4.88671875" hidden="1" customWidth="1"/>
    <col min="52" max="52" width="5.6640625" hidden="1" customWidth="1"/>
    <col min="53" max="53" width="5.109375" hidden="1" customWidth="1"/>
    <col min="54" max="54" width="2.44140625" hidden="1" customWidth="1"/>
    <col min="55" max="55" width="15.8867187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4.44140625" bestFit="1"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3.8">
      <c r="A1" s="219">
        <v>45323</v>
      </c>
      <c r="B1" s="49"/>
      <c r="D1" s="195" t="s">
        <v>220</v>
      </c>
      <c r="E1" s="46"/>
      <c r="F1" s="46"/>
      <c r="G1" s="46"/>
      <c r="H1" s="46"/>
      <c r="I1" s="46"/>
      <c r="J1" s="46"/>
      <c r="K1" s="46"/>
      <c r="L1" s="46"/>
      <c r="M1" s="19"/>
      <c r="N1" s="199" t="s">
        <v>248</v>
      </c>
      <c r="O1" s="21"/>
      <c r="P1" s="101"/>
      <c r="Q1" s="21"/>
      <c r="R1" s="21"/>
      <c r="S1" s="19"/>
      <c r="T1" s="200" t="s">
        <v>453</v>
      </c>
      <c r="U1" s="22"/>
      <c r="V1" s="22"/>
      <c r="W1" s="22"/>
      <c r="X1" s="22"/>
      <c r="Y1" s="22"/>
      <c r="Z1" s="22"/>
      <c r="AB1" s="208" t="s">
        <v>167</v>
      </c>
      <c r="AC1" s="50" t="s">
        <v>288</v>
      </c>
      <c r="AD1" s="50"/>
      <c r="AE1" s="50"/>
      <c r="AF1" s="50"/>
      <c r="AG1" s="50"/>
      <c r="AH1" s="50"/>
      <c r="AI1" s="50"/>
      <c r="AJ1" s="50"/>
      <c r="AK1" s="50"/>
      <c r="AL1" s="50"/>
      <c r="AM1" s="50"/>
      <c r="AN1" s="50"/>
      <c r="BF1" t="s">
        <v>101</v>
      </c>
      <c r="BG1" s="3">
        <f>+A1</f>
        <v>45323</v>
      </c>
      <c r="BH1" s="3">
        <f>+VLOOKUP(BH2,datos!$D:$E,2,FALSE)</f>
        <v>45292</v>
      </c>
      <c r="BI1" s="3">
        <f>+VLOOKUP(BI2,datos!$D:$E,2,FALSE)</f>
        <v>44958</v>
      </c>
      <c r="BL1" s="3">
        <f>+A1</f>
        <v>45323</v>
      </c>
      <c r="BM1" s="3">
        <f>+VLOOKUP(BM2,datos!$D:$E,2,FALSE)</f>
        <v>45292</v>
      </c>
      <c r="BN1" s="3">
        <f>+VLOOKUP(BN2,datos!$D:$E,2,FALSE)</f>
        <v>44958</v>
      </c>
      <c r="BQ1" s="3">
        <f>+A1</f>
        <v>45323</v>
      </c>
      <c r="BR1" s="3">
        <f>+VLOOKUP(BR2,datos!$D:$E,2,FALSE)</f>
        <v>44958</v>
      </c>
      <c r="BU1" s="3">
        <f>+A1</f>
        <v>45323</v>
      </c>
      <c r="BV1" s="3">
        <f>+VLOOKUP(BV2,datos!$D:$E,2,FALSE)</f>
        <v>44958</v>
      </c>
      <c r="BY1" t="s">
        <v>279</v>
      </c>
      <c r="BZ1" t="s">
        <v>280</v>
      </c>
      <c r="CC1" t="s">
        <v>279</v>
      </c>
      <c r="CD1" t="s">
        <v>280</v>
      </c>
      <c r="CG1" t="s">
        <v>282</v>
      </c>
      <c r="CH1" t="s">
        <v>283</v>
      </c>
      <c r="CI1" s="3">
        <f>+A1</f>
        <v>45323</v>
      </c>
      <c r="CJ1" s="3">
        <f>+VLOOKUP(CJ2,datos!$D:$E,2,FALSE)</f>
        <v>45323</v>
      </c>
      <c r="CK1" s="3">
        <f>+VLOOKUP(CK2,datos!$D:$E,2,FALSE)</f>
        <v>45292</v>
      </c>
      <c r="CL1" s="3">
        <f>+VLOOKUP(CL2,datos!$D:$E,2,FALSE)</f>
        <v>45261</v>
      </c>
      <c r="CM1" s="3">
        <f>+VLOOKUP(CM2,datos!$D:$E,2,FALSE)</f>
        <v>45231</v>
      </c>
      <c r="CN1" s="3">
        <f>+VLOOKUP(CN2,datos!$D:$E,2,FALSE)</f>
        <v>45200</v>
      </c>
      <c r="CO1" s="3">
        <f>+VLOOKUP(CO2,datos!$D:$E,2,FALSE)</f>
        <v>45170</v>
      </c>
      <c r="CP1" s="3">
        <f>+VLOOKUP(CP2,datos!$D:$E,2,FALSE)</f>
        <v>45139</v>
      </c>
      <c r="CQ1" s="3">
        <f>+VLOOKUP(CQ2,datos!$D:$E,2,FALSE)</f>
        <v>45108</v>
      </c>
      <c r="CR1" s="3">
        <f>+VLOOKUP(CR2,datos!$D:$E,2,FALSE)</f>
        <v>45078</v>
      </c>
      <c r="CS1" s="3">
        <f>+VLOOKUP(CS2,datos!$D:$E,2,FALSE)</f>
        <v>45047</v>
      </c>
      <c r="CT1" s="3">
        <f>+VLOOKUP(CT2,datos!$D:$E,2,FALSE)</f>
        <v>45017</v>
      </c>
      <c r="CU1" s="3">
        <f>+VLOOKUP(CU2,datos!$D:$E,2,FALSE)</f>
        <v>44986</v>
      </c>
      <c r="CV1" s="3">
        <f>+VLOOKUP(CV2,datos!$D:$E,2,FALSE)</f>
        <v>44958</v>
      </c>
      <c r="CW1" s="3">
        <f>+VLOOKUP(CW2,datos!$D:$E,2,FALSE)</f>
        <v>44927</v>
      </c>
      <c r="CX1" s="3">
        <f>+VLOOKUP(CX2,datos!$D:$E,2,FALSE)</f>
        <v>44896</v>
      </c>
      <c r="CY1" s="3">
        <f>+VLOOKUP(CY2,datos!$D:$E,2,FALSE)</f>
        <v>44866</v>
      </c>
      <c r="CZ1" s="3">
        <f>+VLOOKUP(CZ2,datos!$D:$E,2,FALSE)</f>
        <v>44835</v>
      </c>
      <c r="DA1" s="3">
        <f>+VLOOKUP(DA2,datos!$D:$E,2,FALSE)</f>
        <v>44805</v>
      </c>
      <c r="DB1" s="3">
        <f>+VLOOKUP(DB2,datos!$D:$E,2,FALSE)</f>
        <v>44774</v>
      </c>
      <c r="DC1" s="3">
        <f>+VLOOKUP(DC2,datos!$D:$E,2,FALSE)</f>
        <v>44743</v>
      </c>
      <c r="DD1" s="3">
        <f>+VLOOKUP(DD2,datos!$D:$E,2,FALSE)</f>
        <v>44713</v>
      </c>
      <c r="DE1" s="3">
        <f>+VLOOKUP(DE2,datos!$D:$E,2,FALSE)</f>
        <v>44682</v>
      </c>
      <c r="DF1" s="3">
        <f>+VLOOKUP(DF2,datos!$D:$E,2,FALSE)</f>
        <v>44652</v>
      </c>
      <c r="DG1" s="3">
        <f>+VLOOKUP(DG2,datos!$D:$E,2,FALSE)</f>
        <v>44621</v>
      </c>
      <c r="DI1" s="3">
        <f>+CJ1</f>
        <v>45323</v>
      </c>
      <c r="DJ1" s="3">
        <f>+VLOOKUP(DJ2,datos!$D:$E,2,FALSE)</f>
        <v>45292</v>
      </c>
      <c r="DK1" s="3">
        <f>+VLOOKUP(DK2,datos!$D:$E,2,FALSE)</f>
        <v>45261</v>
      </c>
      <c r="DL1" s="3">
        <f>+VLOOKUP(DL2,datos!$D:$E,2,FALSE)</f>
        <v>45231</v>
      </c>
      <c r="DM1" s="3">
        <f>+VLOOKUP(DM2,datos!$D:$E,2,FALSE)</f>
        <v>45200</v>
      </c>
      <c r="DN1" s="3">
        <f>+VLOOKUP(DN2,datos!$D:$E,2,FALSE)</f>
        <v>45170</v>
      </c>
      <c r="DO1" s="3">
        <f>+VLOOKUP(DO2,datos!$D:$E,2,FALSE)</f>
        <v>45139</v>
      </c>
      <c r="DP1" s="3">
        <f>+VLOOKUP(DP2,datos!$D:$E,2,FALSE)</f>
        <v>45108</v>
      </c>
      <c r="DQ1" s="3">
        <f>+VLOOKUP(DQ2,datos!$D:$E,2,FALSE)</f>
        <v>45078</v>
      </c>
      <c r="DR1" s="3">
        <f>+VLOOKUP(DR2,datos!$D:$E,2,FALSE)</f>
        <v>45047</v>
      </c>
      <c r="DS1" s="3">
        <f>+VLOOKUP(DS2,datos!$D:$E,2,FALSE)</f>
        <v>45017</v>
      </c>
      <c r="DT1" s="3">
        <f>+VLOOKUP(DT2,datos!$D:$E,2,FALSE)</f>
        <v>44986</v>
      </c>
      <c r="DU1" s="3">
        <f>+VLOOKUP(DU2,datos!$D:$E,2,FALSE)</f>
        <v>44958</v>
      </c>
      <c r="DV1" s="3">
        <f>+VLOOKUP(DV2,datos!$D:$E,2,FALSE)</f>
        <v>44927</v>
      </c>
      <c r="DW1" s="3">
        <f>+VLOOKUP(DW2,datos!$D:$E,2,FALSE)</f>
        <v>44896</v>
      </c>
      <c r="DX1" s="3">
        <f>+VLOOKUP(DX2,datos!$D:$E,2,FALSE)</f>
        <v>44866</v>
      </c>
      <c r="DY1" s="3">
        <f>+VLOOKUP(DY2,datos!$D:$E,2,FALSE)</f>
        <v>44835</v>
      </c>
      <c r="DZ1" s="3">
        <f>+VLOOKUP(DZ2,datos!$D:$E,2,FALSE)</f>
        <v>44805</v>
      </c>
      <c r="EA1" s="3">
        <f>+VLOOKUP(EA2,datos!$D:$E,2,FALSE)</f>
        <v>44774</v>
      </c>
      <c r="EB1" s="3">
        <f>+VLOOKUP(EB2,datos!$D:$E,2,FALSE)</f>
        <v>44743</v>
      </c>
      <c r="EC1" s="3">
        <f>+VLOOKUP(EC2,datos!$D:$E,2,FALSE)</f>
        <v>44713</v>
      </c>
      <c r="ED1" s="3">
        <f>+VLOOKUP(ED2,datos!$D:$E,2,FALSE)</f>
        <v>44682</v>
      </c>
      <c r="EE1" s="3">
        <f>+VLOOKUP(EE2,datos!$D:$E,2,FALSE)</f>
        <v>44652</v>
      </c>
      <c r="EF1" s="3">
        <f>+VLOOKUP(EF2,datos!$D:$E,2,FALSE)</f>
        <v>44621</v>
      </c>
      <c r="EH1" s="14">
        <f>+CJ1</f>
        <v>45323</v>
      </c>
      <c r="EI1" s="14">
        <f t="shared" ref="EI1:FE1" si="0">+CK1</f>
        <v>45292</v>
      </c>
      <c r="EJ1" s="3">
        <f t="shared" si="0"/>
        <v>45261</v>
      </c>
      <c r="EK1" s="3">
        <f t="shared" si="0"/>
        <v>45231</v>
      </c>
      <c r="EL1" s="3">
        <f t="shared" si="0"/>
        <v>45200</v>
      </c>
      <c r="EM1" s="3">
        <f t="shared" si="0"/>
        <v>45170</v>
      </c>
      <c r="EN1" s="3">
        <f t="shared" si="0"/>
        <v>45139</v>
      </c>
      <c r="EO1" s="3">
        <f t="shared" si="0"/>
        <v>45108</v>
      </c>
      <c r="EP1" s="3">
        <f t="shared" si="0"/>
        <v>45078</v>
      </c>
      <c r="EQ1" s="3">
        <f t="shared" si="0"/>
        <v>45047</v>
      </c>
      <c r="ER1" s="3">
        <f t="shared" si="0"/>
        <v>45017</v>
      </c>
      <c r="ES1" s="3">
        <f t="shared" si="0"/>
        <v>44986</v>
      </c>
      <c r="ET1" s="3">
        <f t="shared" si="0"/>
        <v>44958</v>
      </c>
      <c r="EU1" s="3">
        <f t="shared" si="0"/>
        <v>44927</v>
      </c>
      <c r="EV1" s="3">
        <f t="shared" si="0"/>
        <v>44896</v>
      </c>
      <c r="EW1" s="3">
        <f t="shared" si="0"/>
        <v>44866</v>
      </c>
      <c r="EX1" s="3">
        <f t="shared" si="0"/>
        <v>44835</v>
      </c>
      <c r="EY1" s="3">
        <f t="shared" si="0"/>
        <v>44805</v>
      </c>
      <c r="EZ1" s="3">
        <f t="shared" si="0"/>
        <v>44774</v>
      </c>
      <c r="FA1" s="3">
        <f t="shared" si="0"/>
        <v>44743</v>
      </c>
      <c r="FB1" s="3">
        <f t="shared" si="0"/>
        <v>44713</v>
      </c>
      <c r="FC1" s="3">
        <f t="shared" si="0"/>
        <v>44682</v>
      </c>
      <c r="FD1" s="3">
        <f t="shared" si="0"/>
        <v>44652</v>
      </c>
      <c r="FE1" s="3">
        <f t="shared" si="0"/>
        <v>44621</v>
      </c>
    </row>
    <row r="2" spans="1:163" ht="13.5" customHeight="1">
      <c r="E2" s="51" t="s">
        <v>278</v>
      </c>
      <c r="F2" s="52"/>
      <c r="G2" s="9"/>
      <c r="H2" s="52"/>
      <c r="I2" s="51" t="s">
        <v>165</v>
      </c>
      <c r="J2" s="52"/>
      <c r="K2" s="9"/>
      <c r="L2" s="52"/>
      <c r="M2" s="9"/>
      <c r="N2" s="102"/>
      <c r="O2" s="9" t="s">
        <v>277</v>
      </c>
      <c r="P2" s="102"/>
      <c r="Q2" s="9" t="s">
        <v>277</v>
      </c>
      <c r="R2" s="9"/>
      <c r="S2" s="9"/>
      <c r="T2" s="102"/>
      <c r="U2" s="9" t="s">
        <v>336</v>
      </c>
      <c r="V2" s="9"/>
      <c r="W2" s="9"/>
      <c r="X2" s="9"/>
      <c r="Y2" s="51" t="s">
        <v>165</v>
      </c>
      <c r="Z2" s="9"/>
      <c r="AB2" s="209"/>
      <c r="AC2" s="59"/>
      <c r="AD2" s="59"/>
      <c r="AE2" s="59"/>
      <c r="AF2" s="59"/>
      <c r="AG2" s="59"/>
      <c r="AH2" s="59"/>
      <c r="AI2" s="59"/>
      <c r="AJ2" s="59"/>
      <c r="AK2" s="59"/>
      <c r="AL2" s="59"/>
      <c r="AM2" s="59"/>
      <c r="AN2" s="59"/>
      <c r="AO2" s="80"/>
      <c r="AP2" s="174">
        <f>VLOOKUP(VLOOKUP(+$A$1,ran_ma,2,FALSE)-11,ran_idma,2,FALSE)</f>
        <v>44986</v>
      </c>
      <c r="AQ2" s="174">
        <f>VLOOKUP(VLOOKUP(+$A$1,ran_ma,2,FALSE)-10,ran_idma,2,FALSE)</f>
        <v>45017</v>
      </c>
      <c r="AR2" s="174">
        <f>VLOOKUP(VLOOKUP(+$A$1,ran_ma,2,FALSE)-9,ran_idma,2,FALSE)</f>
        <v>45047</v>
      </c>
      <c r="AS2" s="174">
        <f>VLOOKUP(VLOOKUP(+$A$1,ran_ma,2,FALSE)-8,ran_idma,2,FALSE)</f>
        <v>45078</v>
      </c>
      <c r="AT2" s="59">
        <f>VLOOKUP(VLOOKUP(+$A$1,ran_ma,2,FALSE)-7,ran_idma,2,FALSE)</f>
        <v>45108</v>
      </c>
      <c r="AU2" s="59">
        <f>VLOOKUP(VLOOKUP(+$A$1,ran_ma,2,FALSE)-6,ran_idma,2,FALSE)</f>
        <v>45139</v>
      </c>
      <c r="AV2" s="59">
        <f>VLOOKUP(VLOOKUP(+$A$1,ran_ma,2,FALSE)-5,ran_idma,2,FALSE)</f>
        <v>45170</v>
      </c>
      <c r="AW2" s="59">
        <f>VLOOKUP(VLOOKUP(+$A$1,ran_ma,2,FALSE)-4,ran_idma,2,FALSE)</f>
        <v>45200</v>
      </c>
      <c r="AX2" s="59">
        <f>VLOOKUP(VLOOKUP(+$A$1,ran_ma,2,FALSE)-3,ran_idma,2,FALSE)</f>
        <v>45231</v>
      </c>
      <c r="AY2" s="59">
        <f>VLOOKUP(VLOOKUP(+$A$1,ran_ma,2,FALSE)-2,ran_idma,2,FALSE)</f>
        <v>45261</v>
      </c>
      <c r="AZ2" s="59">
        <f>VLOOKUP(VLOOKUP(+$A$1,ran_ma,2,FALSE)-1,ran_idma,2,FALSE)</f>
        <v>45292</v>
      </c>
      <c r="BA2" s="59">
        <f>+$A$1</f>
        <v>45323</v>
      </c>
      <c r="BB2" s="5"/>
      <c r="BC2" s="170"/>
      <c r="BE2" s="9" t="s">
        <v>272</v>
      </c>
      <c r="BG2">
        <f>+VLOOKUP(BG1,ran_dat,datos!$D$1,FALSE)</f>
        <v>107</v>
      </c>
      <c r="BH2">
        <f>+BG2-1</f>
        <v>106</v>
      </c>
      <c r="BI2">
        <f>+BG2-12</f>
        <v>95</v>
      </c>
      <c r="BK2" s="9"/>
      <c r="BL2">
        <f>+VLOOKUP(BL1,ran_dat,datos!$D$1,FALSE)</f>
        <v>107</v>
      </c>
      <c r="BM2">
        <f>+BL2-1</f>
        <v>106</v>
      </c>
      <c r="BN2">
        <f>+BL2-12</f>
        <v>95</v>
      </c>
      <c r="BP2" s="9"/>
      <c r="BQ2">
        <f>+VLOOKUP(BQ1,ran_dat,datos!$D$1,FALSE)</f>
        <v>107</v>
      </c>
      <c r="BR2">
        <f>+BQ2-12</f>
        <v>95</v>
      </c>
      <c r="BT2" s="9"/>
      <c r="BU2">
        <f>+VLOOKUP(BU1,ran_dat,datos!$D$1,FALSE)</f>
        <v>107</v>
      </c>
      <c r="BV2">
        <f>+BU2-12</f>
        <v>95</v>
      </c>
      <c r="BX2" s="9"/>
      <c r="CB2" s="9"/>
      <c r="CI2">
        <f>+VLOOKUP(CI1,ran_dat,datos!$D$1,FALSE)</f>
        <v>107</v>
      </c>
      <c r="CJ2">
        <f>+CI2</f>
        <v>107</v>
      </c>
      <c r="CK2">
        <f t="shared" ref="CK2:DG2" si="1">+CJ2-1</f>
        <v>106</v>
      </c>
      <c r="CL2">
        <f t="shared" si="1"/>
        <v>105</v>
      </c>
      <c r="CM2">
        <f t="shared" si="1"/>
        <v>104</v>
      </c>
      <c r="CN2">
        <f t="shared" si="1"/>
        <v>103</v>
      </c>
      <c r="CO2">
        <f t="shared" si="1"/>
        <v>102</v>
      </c>
      <c r="CP2">
        <f t="shared" si="1"/>
        <v>101</v>
      </c>
      <c r="CQ2">
        <f t="shared" si="1"/>
        <v>100</v>
      </c>
      <c r="CR2">
        <f t="shared" si="1"/>
        <v>99</v>
      </c>
      <c r="CS2">
        <f t="shared" si="1"/>
        <v>98</v>
      </c>
      <c r="CT2">
        <f t="shared" si="1"/>
        <v>97</v>
      </c>
      <c r="CU2">
        <f t="shared" si="1"/>
        <v>96</v>
      </c>
      <c r="CV2">
        <f t="shared" si="1"/>
        <v>95</v>
      </c>
      <c r="CW2">
        <f t="shared" si="1"/>
        <v>94</v>
      </c>
      <c r="CX2">
        <f t="shared" si="1"/>
        <v>93</v>
      </c>
      <c r="CY2">
        <f t="shared" si="1"/>
        <v>92</v>
      </c>
      <c r="CZ2">
        <f t="shared" si="1"/>
        <v>91</v>
      </c>
      <c r="DA2">
        <f t="shared" si="1"/>
        <v>90</v>
      </c>
      <c r="DB2">
        <f t="shared" si="1"/>
        <v>89</v>
      </c>
      <c r="DC2">
        <f t="shared" si="1"/>
        <v>88</v>
      </c>
      <c r="DD2">
        <f t="shared" si="1"/>
        <v>87</v>
      </c>
      <c r="DE2">
        <f t="shared" si="1"/>
        <v>86</v>
      </c>
      <c r="DF2">
        <f t="shared" si="1"/>
        <v>85</v>
      </c>
      <c r="DG2">
        <f t="shared" si="1"/>
        <v>84</v>
      </c>
      <c r="DI2">
        <f>+VLOOKUP(DI1,ran_dat,datos!$D$1,FALSE)</f>
        <v>107</v>
      </c>
      <c r="DJ2">
        <f t="shared" ref="DJ2:EF2" si="2">+DI2-1</f>
        <v>106</v>
      </c>
      <c r="DK2">
        <f t="shared" si="2"/>
        <v>105</v>
      </c>
      <c r="DL2">
        <f t="shared" si="2"/>
        <v>104</v>
      </c>
      <c r="DM2">
        <f t="shared" si="2"/>
        <v>103</v>
      </c>
      <c r="DN2">
        <f t="shared" si="2"/>
        <v>102</v>
      </c>
      <c r="DO2">
        <f t="shared" si="2"/>
        <v>101</v>
      </c>
      <c r="DP2">
        <f t="shared" si="2"/>
        <v>100</v>
      </c>
      <c r="DQ2">
        <f t="shared" si="2"/>
        <v>99</v>
      </c>
      <c r="DR2">
        <f t="shared" si="2"/>
        <v>98</v>
      </c>
      <c r="DS2">
        <f t="shared" si="2"/>
        <v>97</v>
      </c>
      <c r="DT2">
        <f t="shared" si="2"/>
        <v>96</v>
      </c>
      <c r="DU2">
        <f t="shared" si="2"/>
        <v>95</v>
      </c>
      <c r="DV2">
        <f t="shared" si="2"/>
        <v>94</v>
      </c>
      <c r="DW2">
        <f t="shared" si="2"/>
        <v>93</v>
      </c>
      <c r="DX2">
        <f t="shared" si="2"/>
        <v>92</v>
      </c>
      <c r="DY2">
        <f t="shared" si="2"/>
        <v>91</v>
      </c>
      <c r="DZ2">
        <f t="shared" si="2"/>
        <v>90</v>
      </c>
      <c r="EA2">
        <f t="shared" si="2"/>
        <v>89</v>
      </c>
      <c r="EB2">
        <f t="shared" si="2"/>
        <v>88</v>
      </c>
      <c r="EC2">
        <f t="shared" si="2"/>
        <v>87</v>
      </c>
      <c r="ED2">
        <f t="shared" si="2"/>
        <v>86</v>
      </c>
      <c r="EE2">
        <f t="shared" si="2"/>
        <v>85</v>
      </c>
      <c r="EF2">
        <f t="shared" si="2"/>
        <v>84</v>
      </c>
      <c r="EH2" s="14">
        <f>+VLOOKUP(EH1,ran_dat,datos!$D$1,FALSE)</f>
        <v>107</v>
      </c>
      <c r="EI2" s="14">
        <f t="shared" ref="EI2:FE2" si="3">+EH2-1</f>
        <v>106</v>
      </c>
      <c r="EJ2">
        <f t="shared" si="3"/>
        <v>105</v>
      </c>
      <c r="EK2">
        <f t="shared" si="3"/>
        <v>104</v>
      </c>
      <c r="EL2">
        <f t="shared" si="3"/>
        <v>103</v>
      </c>
      <c r="EM2">
        <f t="shared" si="3"/>
        <v>102</v>
      </c>
      <c r="EN2">
        <f t="shared" si="3"/>
        <v>101</v>
      </c>
      <c r="EO2">
        <f t="shared" si="3"/>
        <v>100</v>
      </c>
      <c r="EP2">
        <f t="shared" si="3"/>
        <v>99</v>
      </c>
      <c r="EQ2">
        <f t="shared" si="3"/>
        <v>98</v>
      </c>
      <c r="ER2">
        <f t="shared" si="3"/>
        <v>97</v>
      </c>
      <c r="ES2">
        <f t="shared" si="3"/>
        <v>96</v>
      </c>
      <c r="ET2">
        <f t="shared" si="3"/>
        <v>95</v>
      </c>
      <c r="EU2">
        <f t="shared" si="3"/>
        <v>94</v>
      </c>
      <c r="EV2">
        <f t="shared" si="3"/>
        <v>93</v>
      </c>
      <c r="EW2">
        <f t="shared" si="3"/>
        <v>92</v>
      </c>
      <c r="EX2">
        <f t="shared" si="3"/>
        <v>91</v>
      </c>
      <c r="EY2">
        <f t="shared" si="3"/>
        <v>90</v>
      </c>
      <c r="EZ2">
        <f t="shared" si="3"/>
        <v>89</v>
      </c>
      <c r="FA2">
        <f t="shared" si="3"/>
        <v>88</v>
      </c>
      <c r="FB2">
        <f t="shared" si="3"/>
        <v>87</v>
      </c>
      <c r="FC2">
        <f t="shared" si="3"/>
        <v>86</v>
      </c>
      <c r="FD2">
        <f t="shared" si="3"/>
        <v>85</v>
      </c>
      <c r="FE2">
        <f t="shared" si="3"/>
        <v>84</v>
      </c>
    </row>
    <row r="3" spans="1:163" ht="12" customHeight="1">
      <c r="A3" s="220"/>
      <c r="C3" s="155"/>
      <c r="D3" s="196">
        <v>0.33</v>
      </c>
      <c r="E3" s="100">
        <f>IFERROR(+BG5/BH5-1,"")</f>
        <v>0.13240676053524769</v>
      </c>
      <c r="F3" s="56"/>
      <c r="G3" s="56"/>
      <c r="H3" s="56"/>
      <c r="I3" s="60">
        <f>IFERROR(+BG5/BI5-1,"")</f>
        <v>2.7476027801506557</v>
      </c>
      <c r="J3" s="56"/>
      <c r="K3" s="56"/>
      <c r="L3" s="56"/>
      <c r="M3" s="32"/>
      <c r="N3" s="196">
        <v>0.33</v>
      </c>
      <c r="O3" s="31"/>
      <c r="S3" s="32"/>
      <c r="T3" s="196">
        <v>0.33</v>
      </c>
      <c r="U3" s="150" t="str">
        <f>TEXT(CU1,"MMM-YY")&amp;"."&amp;TEXT(CJ1,"MMM-YY")&amp;" vs "&amp;TEXT(DG1,"MMM-YY")&amp;"."&amp;TEXT(CV1,"MMM-YY")</f>
        <v>mar-23.feb-24 vs mar-22.feb-23</v>
      </c>
      <c r="Y3" s="59" t="str">
        <f>TEXT(CJ1,"MMM-YY")&amp;" vs "&amp;TEXT(CV1,"MMM-YY")</f>
        <v>feb-24 vs feb-23</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3.5" customHeight="1">
      <c r="A4" s="221" t="s">
        <v>1</v>
      </c>
      <c r="B4" s="155" t="s">
        <v>454</v>
      </c>
      <c r="C4" s="201"/>
      <c r="D4" s="197" t="s">
        <v>244</v>
      </c>
      <c r="E4" s="202" t="s">
        <v>3</v>
      </c>
      <c r="F4" s="203"/>
      <c r="G4" s="202" t="s">
        <v>5</v>
      </c>
      <c r="H4" s="203"/>
      <c r="I4" s="202" t="s">
        <v>3</v>
      </c>
      <c r="J4" s="203"/>
      <c r="K4" s="202" t="s">
        <v>5</v>
      </c>
      <c r="L4" s="203"/>
      <c r="M4" s="19"/>
      <c r="N4" s="197" t="s">
        <v>245</v>
      </c>
      <c r="O4" s="204" t="s">
        <v>225</v>
      </c>
      <c r="P4" s="205"/>
      <c r="Q4" s="204" t="s">
        <v>2</v>
      </c>
      <c r="R4" s="54"/>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6" customHeight="1">
      <c r="E5" s="18"/>
      <c r="N5" s="197"/>
      <c r="O5" s="34"/>
      <c r="P5" s="103"/>
      <c r="Q5" s="34"/>
      <c r="R5" s="34"/>
      <c r="T5" s="197"/>
      <c r="U5" s="25"/>
      <c r="V5" s="34"/>
      <c r="W5" s="34"/>
      <c r="X5" s="34"/>
      <c r="Y5" s="34"/>
      <c r="Z5" s="34"/>
      <c r="AB5" s="211"/>
      <c r="BD5">
        <f>+A3</f>
        <v>0</v>
      </c>
      <c r="BE5">
        <f>+datos!G1</f>
        <v>7</v>
      </c>
      <c r="BF5" s="2" t="str">
        <f t="shared" ref="BF5:BI24" si="4">+VLOOKUP(BF$1,ran_dat,$BE5,FALSE)</f>
        <v>Índice</v>
      </c>
      <c r="BG5" s="2">
        <f t="shared" si="4"/>
        <v>4825.7880999999998</v>
      </c>
      <c r="BH5" s="2">
        <f t="shared" si="4"/>
        <v>4261.5324000000001</v>
      </c>
      <c r="BI5" s="2">
        <f t="shared" si="4"/>
        <v>1287.7</v>
      </c>
    </row>
    <row r="6" spans="1:163" ht="30" customHeight="1">
      <c r="A6" s="222" t="s">
        <v>28</v>
      </c>
      <c r="B6" s="212"/>
      <c r="C6" s="156">
        <f t="shared" ref="C6:C24" si="5">+D6*$D$3+N6*$N$3+T6*$T$3</f>
        <v>-0.66</v>
      </c>
      <c r="D6" s="198">
        <v>-1</v>
      </c>
      <c r="E6" s="213">
        <f t="shared" ref="E6:E24" si="6">IFERROR(+BG6/BH6-1,"")</f>
        <v>2.8661682239687902E-2</v>
      </c>
      <c r="F6" s="214">
        <f t="shared" ref="F6:F24" si="7">+E6-$E$3</f>
        <v>-0.10374507829555979</v>
      </c>
      <c r="G6" s="213">
        <f t="shared" ref="G6:G24" si="8">IFERROR(+BL6/BM6-1,"")</f>
        <v>6.8988705759769342E-3</v>
      </c>
      <c r="H6" s="214">
        <f t="shared" ref="H6:H24" si="9">E6-G6</f>
        <v>2.1762811663710968E-2</v>
      </c>
      <c r="I6" s="213">
        <f t="shared" ref="I6:I24" si="10">IFERROR(+BG6/BI6-1,"")</f>
        <v>1.4260331420421744</v>
      </c>
      <c r="J6" s="214">
        <f t="shared" ref="J6:J26" si="11">+I6-$I$3</f>
        <v>-1.3215696381084814</v>
      </c>
      <c r="K6" s="213">
        <f>IFERROR(+BL6/BN6-1,"")</f>
        <v>2.144981798745198</v>
      </c>
      <c r="L6" s="214">
        <f t="shared" ref="L6:L24" si="12">I6-K6</f>
        <v>-0.71894865670302366</v>
      </c>
      <c r="M6" s="215"/>
      <c r="N6" s="198">
        <v>0</v>
      </c>
      <c r="O6" s="213">
        <f>IFERROR(+BQ6/BR6-1,"")</f>
        <v>0.1206896551724137</v>
      </c>
      <c r="P6" s="216">
        <f>+O6</f>
        <v>0.1206896551724137</v>
      </c>
      <c r="Q6" s="213">
        <f t="shared" ref="Q6:Q17" si="13">IFERROR(+BU6/BV6-1,"")</f>
        <v>-0.18181818181818177</v>
      </c>
      <c r="R6" s="217">
        <f>+Q6</f>
        <v>-0.18181818181818177</v>
      </c>
      <c r="S6" s="215"/>
      <c r="T6" s="198">
        <v>-1</v>
      </c>
      <c r="U6" s="213">
        <f t="shared" ref="U6:U24" si="14">IFERROR(+BY6/BZ6-1,"")</f>
        <v>-0.47806849162946918</v>
      </c>
      <c r="V6" s="45">
        <f t="shared" ref="V6:V24" si="15">+U6</f>
        <v>-0.47806849162946918</v>
      </c>
      <c r="W6" s="213">
        <f>IFERROR(IF(CC6&lt;0.5,"",+CC6/CD6-1),"")</f>
        <v>-0.2974229290606929</v>
      </c>
      <c r="X6" s="45">
        <f t="shared" ref="X6:X24" si="16">+W6</f>
        <v>-0.2974229290606929</v>
      </c>
      <c r="Y6" s="213" t="str">
        <f t="shared" ref="Y6:Y25" si="17">IFERROR(+CG6/CH6-1,"")</f>
        <v/>
      </c>
      <c r="Z6" s="45" t="str">
        <f t="shared" ref="Z6:Z23" si="18">+Y6</f>
        <v/>
      </c>
      <c r="AA6" s="30"/>
      <c r="AB6" s="242" t="s">
        <v>475</v>
      </c>
      <c r="AC6" s="61" t="s">
        <v>289</v>
      </c>
      <c r="AD6" s="61" t="s">
        <v>289</v>
      </c>
      <c r="AE6" s="61" t="s">
        <v>289</v>
      </c>
      <c r="AF6" s="61" t="s">
        <v>289</v>
      </c>
      <c r="AG6" s="61" t="s">
        <v>289</v>
      </c>
      <c r="AH6" s="61" t="s">
        <v>289</v>
      </c>
      <c r="AI6" s="61" t="s">
        <v>289</v>
      </c>
      <c r="AJ6" s="61" t="s">
        <v>289</v>
      </c>
      <c r="AK6" s="61" t="s">
        <v>289</v>
      </c>
      <c r="AL6" s="61" t="s">
        <v>289</v>
      </c>
      <c r="AM6" s="61" t="s">
        <v>289</v>
      </c>
      <c r="AN6" s="61" t="s">
        <v>289</v>
      </c>
      <c r="AP6" s="28">
        <f>VLOOKUP($A6,historia!$A$5:$CM$24,+HLOOKUP(AP$2,historia!$A$3:$EC$4,2,FALSE),FALSE)</f>
        <v>4</v>
      </c>
      <c r="AQ6" s="28">
        <f>VLOOKUP($A6,historia!$A$5:$CM$24,+HLOOKUP(AQ$2,historia!$A$3:$EC$4,2,FALSE),FALSE)</f>
        <v>4</v>
      </c>
      <c r="AR6" s="28">
        <f>VLOOKUP($A6,historia!$A$5:$CM$24,+HLOOKUP(AR$2,historia!$A$3:$EC$4,2,FALSE),FALSE)</f>
        <v>5</v>
      </c>
      <c r="AS6" s="28">
        <f>VLOOKUP($A6,historia!$A$5:$CM$24,+HLOOKUP(AS$2,historia!$A$3:$EC$4,2,FALSE),FALSE)</f>
        <v>5</v>
      </c>
      <c r="AT6" s="58">
        <f>VLOOKUP($A6,historia!$A$5:$CM$24,+HLOOKUP(AT$2,historia!$A$3:$EC$4,2,FALSE),FALSE)</f>
        <v>5</v>
      </c>
      <c r="AU6" s="58">
        <f>VLOOKUP($A6,historia!$A$5:$CM$24,+HLOOKUP(AU$2,historia!$A$3:$EC$4,2,FALSE),FALSE)</f>
        <v>5</v>
      </c>
      <c r="AV6" s="58">
        <f>VLOOKUP($A6,historia!$A$5:$CM$24,+HLOOKUP(AV$2,historia!$A$3:$EC$4,2,FALSE),FALSE)</f>
        <v>5</v>
      </c>
      <c r="AW6" s="58">
        <f>VLOOKUP($A6,historia!$A$5:$CM$24,+HLOOKUP(AW$2,historia!$A$3:$EC$4,2,FALSE),FALSE)</f>
        <v>5</v>
      </c>
      <c r="AX6" s="58">
        <f>VLOOKUP($A6,historia!$A$5:$CM$24,+HLOOKUP(AX$2,historia!$A$3:$EC$4,2,FALSE),FALSE)</f>
        <v>5</v>
      </c>
      <c r="AY6" s="58">
        <f>VLOOKUP($A6,historia!$A$5:$CM$24,+HLOOKUP(AY$2,historia!$A$3:$EC$4,2,FALSE),FALSE)</f>
        <v>4</v>
      </c>
      <c r="AZ6" s="58">
        <f>VLOOKUP($A6,historia!$A$5:$CM$24,+HLOOKUP(AZ$2,historia!$A$3:$EC$4,2,FALSE),FALSE)</f>
        <v>4</v>
      </c>
      <c r="BA6" s="58">
        <f>VLOOKUP($A6,historia!$A$5:$CM$24,+HLOOKUP(BA$2,historia!$A$3:$EC$4,2,FALSE),FALSE)</f>
        <v>4</v>
      </c>
      <c r="BB6" s="30"/>
      <c r="BC6" s="141">
        <v>4</v>
      </c>
      <c r="BD6" t="str">
        <f t="shared" ref="BD6:BD24" si="19">+A6</f>
        <v>Algodón</v>
      </c>
      <c r="BE6">
        <f>+datos!P1</f>
        <v>16</v>
      </c>
      <c r="BF6" s="2" t="str">
        <f t="shared" si="4"/>
        <v>$/kg</v>
      </c>
      <c r="BG6" s="2">
        <f t="shared" si="4"/>
        <v>1119.88861875</v>
      </c>
      <c r="BH6" s="2">
        <f t="shared" si="4"/>
        <v>1088.6850731249999</v>
      </c>
      <c r="BI6" s="2">
        <f t="shared" si="4"/>
        <v>461.61307500000004</v>
      </c>
      <c r="BK6">
        <f>+datos!BY1</f>
        <v>77</v>
      </c>
      <c r="BL6" s="2">
        <f t="shared" ref="BL6:BN24" si="20">+VLOOKUP(BL$1,ran_dat,$BK6,FALSE)</f>
        <v>7711.1975632431067</v>
      </c>
      <c r="BM6" s="2">
        <f t="shared" si="20"/>
        <v>7658.3635046010786</v>
      </c>
      <c r="BN6" s="2">
        <f t="shared" si="20"/>
        <v>2451.9053071530534</v>
      </c>
      <c r="BP6" s="1">
        <f>+datos!DK1</f>
        <v>115</v>
      </c>
      <c r="BQ6" s="1">
        <f t="shared" ref="BQ6:BR24" si="21">+VLOOKUP(BQ$1,ran_dat,$BP6,FALSE)</f>
        <v>650000</v>
      </c>
      <c r="BR6" s="1">
        <f t="shared" si="21"/>
        <v>580000</v>
      </c>
      <c r="BT6" s="1">
        <f>+datos!FF1</f>
        <v>162</v>
      </c>
      <c r="BU6" s="1">
        <f t="shared" ref="BU6:BV24" si="22">+VLOOKUP(BU$1,ran_dat,$BT6,FALSE)</f>
        <v>900000</v>
      </c>
      <c r="BV6" s="1">
        <f t="shared" si="22"/>
        <v>1100000</v>
      </c>
      <c r="BX6" s="1">
        <f>+datos!JF1</f>
        <v>266</v>
      </c>
      <c r="BY6" s="1">
        <f>+SUM(CJ6:CU6)</f>
        <v>97.422135099999977</v>
      </c>
      <c r="BZ6" s="1">
        <f>+SUM(CV6:DG6)</f>
        <v>186.65693397999999</v>
      </c>
      <c r="CB6" s="1">
        <f>+datos!KK1</f>
        <v>297</v>
      </c>
      <c r="CC6" s="2">
        <f t="shared" ref="CC6:CC24" si="23">+SUM(DI6:DT6)</f>
        <v>87.382991279999999</v>
      </c>
      <c r="CD6" s="2">
        <f t="shared" ref="CD6:CD24" si="24">+SUM(DU6:EF6)</f>
        <v>124.37495457000001</v>
      </c>
      <c r="CF6" s="1">
        <f>+datos!HS1</f>
        <v>227</v>
      </c>
      <c r="CG6" s="1">
        <f t="shared" ref="CG6:CG24" si="25">+EH6</f>
        <v>0</v>
      </c>
      <c r="CH6" s="1">
        <f t="shared" ref="CH6:CH24" si="26">+ET6</f>
        <v>0</v>
      </c>
      <c r="CJ6" s="1">
        <f t="shared" ref="CJ6:CY21" si="27">+VLOOKUP(CJ$1,ran_dat,$BX6,FALSE)</f>
        <v>7.7064561400000011</v>
      </c>
      <c r="CK6" s="1">
        <f t="shared" si="27"/>
        <v>8.1062574399999985</v>
      </c>
      <c r="CL6" s="1">
        <f t="shared" si="27"/>
        <v>8.4463773399999997</v>
      </c>
      <c r="CM6" s="1">
        <f t="shared" si="27"/>
        <v>15.019774559999998</v>
      </c>
      <c r="CN6" s="1">
        <f t="shared" si="27"/>
        <v>14.398572559999998</v>
      </c>
      <c r="CO6" s="1">
        <f t="shared" si="27"/>
        <v>16.61514231</v>
      </c>
      <c r="CP6" s="1">
        <f t="shared" si="27"/>
        <v>14.3155891</v>
      </c>
      <c r="CQ6" s="1">
        <f t="shared" si="27"/>
        <v>3.12980459</v>
      </c>
      <c r="CR6" s="1">
        <f t="shared" si="27"/>
        <v>2.3595063199999995</v>
      </c>
      <c r="CS6" s="1">
        <f t="shared" si="27"/>
        <v>5.3927380000000005</v>
      </c>
      <c r="CT6" s="1">
        <f t="shared" si="27"/>
        <v>1.1182586999999999</v>
      </c>
      <c r="CU6" s="1">
        <f t="shared" si="27"/>
        <v>0.81365803999999953</v>
      </c>
      <c r="CV6" s="1">
        <f t="shared" si="27"/>
        <v>2.2053805500000006</v>
      </c>
      <c r="CW6" s="1">
        <f t="shared" si="27"/>
        <v>1.2234686099999996</v>
      </c>
      <c r="CX6" s="1">
        <f t="shared" si="27"/>
        <v>13.370618389999997</v>
      </c>
      <c r="CY6" s="1">
        <f t="shared" si="27"/>
        <v>14.835861399999999</v>
      </c>
      <c r="CZ6" s="1">
        <f t="shared" ref="CZ6:DG21" si="28">+VLOOKUP(CZ$1,ran_dat,$BX6,FALSE)</f>
        <v>16.749589410000009</v>
      </c>
      <c r="DA6" s="1">
        <f t="shared" si="28"/>
        <v>23.97822360000001</v>
      </c>
      <c r="DB6" s="1">
        <f t="shared" si="28"/>
        <v>23.329000269999998</v>
      </c>
      <c r="DC6" s="1">
        <f t="shared" si="28"/>
        <v>25.470338789999996</v>
      </c>
      <c r="DD6" s="1">
        <f t="shared" si="28"/>
        <v>16.607050090000005</v>
      </c>
      <c r="DE6" s="1">
        <f t="shared" si="28"/>
        <v>15.95050312</v>
      </c>
      <c r="DF6" s="1">
        <f t="shared" si="28"/>
        <v>11.570507999999998</v>
      </c>
      <c r="DG6" s="1">
        <f t="shared" si="28"/>
        <v>21.366391749999998</v>
      </c>
      <c r="DI6" s="1">
        <f t="shared" ref="DI6:DX21" si="29">+VLOOKUP(DI$1,ran_dat,$CB6,FALSE)</f>
        <v>5.2295233099999994</v>
      </c>
      <c r="DJ6" s="1">
        <f t="shared" si="29"/>
        <v>7.4159317900000001</v>
      </c>
      <c r="DK6" s="1">
        <f t="shared" si="29"/>
        <v>3.5587731599999999</v>
      </c>
      <c r="DL6" s="1">
        <f t="shared" si="29"/>
        <v>6.9479693099999986</v>
      </c>
      <c r="DM6" s="1">
        <f t="shared" si="29"/>
        <v>7.5746309199999997</v>
      </c>
      <c r="DN6" s="1">
        <f t="shared" si="29"/>
        <v>8.1137987799999998</v>
      </c>
      <c r="DO6" s="1">
        <f t="shared" si="29"/>
        <v>9.2876289100000005</v>
      </c>
      <c r="DP6" s="1">
        <f t="shared" si="29"/>
        <v>7.69051375</v>
      </c>
      <c r="DQ6" s="1">
        <f t="shared" si="29"/>
        <v>7.1486482300000009</v>
      </c>
      <c r="DR6" s="1">
        <f t="shared" si="29"/>
        <v>9.1724036200000008</v>
      </c>
      <c r="DS6" s="1">
        <f t="shared" si="29"/>
        <v>6.8489806600000005</v>
      </c>
      <c r="DT6" s="1">
        <f t="shared" si="29"/>
        <v>8.39418884</v>
      </c>
      <c r="DU6" s="1">
        <f t="shared" si="29"/>
        <v>8.0897496800000006</v>
      </c>
      <c r="DV6" s="1">
        <f t="shared" si="29"/>
        <v>9.8858098699999992</v>
      </c>
      <c r="DW6" s="1">
        <f t="shared" si="29"/>
        <v>11.833805730000002</v>
      </c>
      <c r="DX6" s="1">
        <f t="shared" si="29"/>
        <v>13.016290730000001</v>
      </c>
      <c r="DY6" s="1">
        <f t="shared" ref="DY6:EF20" si="30">+VLOOKUP(DY$1,ran_dat,$CB6,FALSE)</f>
        <v>10.901897520000004</v>
      </c>
      <c r="DZ6" s="1">
        <f t="shared" si="30"/>
        <v>10.864187659999995</v>
      </c>
      <c r="EA6" s="1">
        <f t="shared" si="30"/>
        <v>11.783992419999999</v>
      </c>
      <c r="EB6" s="1">
        <f t="shared" si="30"/>
        <v>1.0941888799999999</v>
      </c>
      <c r="EC6" s="1">
        <f t="shared" si="30"/>
        <v>10.549588929999999</v>
      </c>
      <c r="ED6" s="1">
        <f t="shared" si="30"/>
        <v>10.17732034</v>
      </c>
      <c r="EE6" s="1">
        <f t="shared" si="30"/>
        <v>11.903523750000003</v>
      </c>
      <c r="EF6" s="1">
        <f t="shared" si="30"/>
        <v>14.274599060000003</v>
      </c>
      <c r="EH6" s="14">
        <f t="shared" ref="EH6:EW21" si="31">+VLOOKUP(EH$1,ran_dat,$CF6,FALSE)</f>
        <v>0</v>
      </c>
      <c r="EI6" s="14">
        <f t="shared" si="31"/>
        <v>0</v>
      </c>
      <c r="EJ6" s="1">
        <f t="shared" si="31"/>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ref="EX6:FE20" si="32">+VLOOKUP(EX$1,ran_dat,$CF6,FALSE)</f>
        <v>0</v>
      </c>
      <c r="EY6" s="1">
        <f t="shared" si="32"/>
        <v>0</v>
      </c>
      <c r="EZ6" s="1">
        <f t="shared" si="32"/>
        <v>0</v>
      </c>
      <c r="FA6" s="1">
        <f t="shared" si="32"/>
        <v>0</v>
      </c>
      <c r="FB6" s="1">
        <f t="shared" si="32"/>
        <v>0</v>
      </c>
      <c r="FC6" s="1">
        <f t="shared" si="32"/>
        <v>0</v>
      </c>
      <c r="FD6" s="1">
        <f t="shared" si="32"/>
        <v>0</v>
      </c>
      <c r="FE6" s="1">
        <f t="shared" si="32"/>
        <v>0</v>
      </c>
      <c r="FG6" s="162">
        <f t="shared" ref="FG6:FG24" si="33">+I6-K6</f>
        <v>-0.71894865670302366</v>
      </c>
    </row>
    <row r="7" spans="1:163" ht="30" customHeight="1">
      <c r="A7" s="226" t="s">
        <v>13</v>
      </c>
      <c r="B7" s="227"/>
      <c r="C7" s="228">
        <f t="shared" si="5"/>
        <v>0.66</v>
      </c>
      <c r="D7" s="229">
        <v>1</v>
      </c>
      <c r="E7" s="230">
        <f t="shared" si="6"/>
        <v>0</v>
      </c>
      <c r="F7" s="231">
        <f t="shared" si="7"/>
        <v>-0.13240676053524769</v>
      </c>
      <c r="G7" s="230">
        <f t="shared" si="8"/>
        <v>7.8805247332440764E-3</v>
      </c>
      <c r="H7" s="231">
        <f t="shared" si="9"/>
        <v>-7.8805247332440764E-3</v>
      </c>
      <c r="I7" s="230">
        <f t="shared" si="10"/>
        <v>6.8181818181818183</v>
      </c>
      <c r="J7" s="231">
        <f t="shared" si="11"/>
        <v>4.0705790380311626</v>
      </c>
      <c r="K7" s="230">
        <f t="shared" ref="K7:K24" si="34">IFERROR(+BL7/BN7-1,"")</f>
        <v>2.611973699278475</v>
      </c>
      <c r="L7" s="231">
        <f t="shared" si="12"/>
        <v>4.2062081189033433</v>
      </c>
      <c r="M7" s="232"/>
      <c r="N7" s="229">
        <v>1</v>
      </c>
      <c r="O7" s="230">
        <f t="shared" ref="O7:O24" si="35">IFERROR(+BQ7/BR7-1,"")</f>
        <v>5.2631578947368363E-2</v>
      </c>
      <c r="P7" s="233">
        <f t="shared" ref="P7:P24" si="36">+O7</f>
        <v>5.2631578947368363E-2</v>
      </c>
      <c r="Q7" s="230">
        <f t="shared" si="13"/>
        <v>0</v>
      </c>
      <c r="R7" s="234">
        <f t="shared" ref="R7:R24" si="37">+Q7</f>
        <v>0</v>
      </c>
      <c r="S7" s="232"/>
      <c r="T7" s="229">
        <v>0</v>
      </c>
      <c r="U7" s="230">
        <f t="shared" si="14"/>
        <v>-0.21571347422419129</v>
      </c>
      <c r="V7" s="235">
        <f t="shared" si="15"/>
        <v>-0.21571347422419129</v>
      </c>
      <c r="W7" s="230">
        <f t="shared" ref="W7:W24" si="38">IFERROR(IF(CC7&lt;0.5,"",+CC7/CD7-1),"")</f>
        <v>1.1128987183969166</v>
      </c>
      <c r="X7" s="235">
        <f t="shared" si="16"/>
        <v>1.1128987183969166</v>
      </c>
      <c r="Y7" s="230">
        <f t="shared" si="17"/>
        <v>7.6923076923076872E-2</v>
      </c>
      <c r="Z7" s="235">
        <f t="shared" si="18"/>
        <v>7.6923076923076872E-2</v>
      </c>
      <c r="AA7" s="236"/>
      <c r="AB7" s="242" t="s">
        <v>476</v>
      </c>
      <c r="AC7" s="61" t="s">
        <v>289</v>
      </c>
      <c r="AD7" s="61" t="s">
        <v>289</v>
      </c>
      <c r="AE7" s="61" t="s">
        <v>289</v>
      </c>
      <c r="AF7" s="61" t="s">
        <v>289</v>
      </c>
      <c r="AG7" s="61" t="s">
        <v>289</v>
      </c>
      <c r="AH7" s="61" t="s">
        <v>289</v>
      </c>
      <c r="AI7" s="61" t="s">
        <v>289</v>
      </c>
      <c r="AJ7" s="61" t="s">
        <v>289</v>
      </c>
      <c r="AK7" s="61" t="s">
        <v>289</v>
      </c>
      <c r="AL7" s="61" t="s">
        <v>289</v>
      </c>
      <c r="AM7" s="61" t="s">
        <v>289</v>
      </c>
      <c r="AN7" s="61" t="s">
        <v>289</v>
      </c>
      <c r="AP7" s="28">
        <f>VLOOKUP($A7,historia!$A$5:$CM$24,+HLOOKUP(AP$2,historia!$A$3:$EC$4,2,FALSE),FALSE)</f>
        <v>3</v>
      </c>
      <c r="AQ7" s="28">
        <f>VLOOKUP($A7,historia!$A$5:$CM$24,+HLOOKUP(AQ$2,historia!$A$3:$EC$4,2,FALSE),FALSE)</f>
        <v>3</v>
      </c>
      <c r="AR7" s="28">
        <f>VLOOKUP($A7,historia!$A$5:$CM$24,+HLOOKUP(AR$2,historia!$A$3:$EC$4,2,FALSE),FALSE)</f>
        <v>3</v>
      </c>
      <c r="AS7" s="28">
        <f>VLOOKUP($A7,historia!$A$5:$CM$24,+HLOOKUP(AS$2,historia!$A$3:$EC$4,2,FALSE),FALSE)</f>
        <v>3</v>
      </c>
      <c r="AT7" s="58">
        <f>VLOOKUP($A7,historia!$A$5:$CM$24,+HLOOKUP(AT$2,historia!$A$3:$EC$4,2,FALSE),FALSE)</f>
        <v>3</v>
      </c>
      <c r="AU7" s="58">
        <f>VLOOKUP($A7,historia!$A$5:$CM$24,+HLOOKUP(AU$2,historia!$A$3:$EC$4,2,FALSE),FALSE)</f>
        <v>3</v>
      </c>
      <c r="AV7" s="58">
        <f>VLOOKUP($A7,historia!$A$5:$CM$24,+HLOOKUP(AV$2,historia!$A$3:$EC$4,2,FALSE),FALSE)</f>
        <v>4</v>
      </c>
      <c r="AW7" s="58">
        <f>VLOOKUP($A7,historia!$A$5:$CM$24,+HLOOKUP(AW$2,historia!$A$3:$EC$4,2,FALSE),FALSE)</f>
        <v>5</v>
      </c>
      <c r="AX7" s="58">
        <f>VLOOKUP($A7,historia!$A$5:$CM$24,+HLOOKUP(AX$2,historia!$A$3:$EC$4,2,FALSE),FALSE)</f>
        <v>4</v>
      </c>
      <c r="AY7" s="58">
        <f>VLOOKUP($A7,historia!$A$5:$CM$24,+HLOOKUP(AY$2,historia!$A$3:$EC$4,2,FALSE),FALSE)</f>
        <v>3</v>
      </c>
      <c r="AZ7" s="58">
        <f>VLOOKUP($A7,historia!$A$5:$CM$24,+HLOOKUP(AZ$2,historia!$A$3:$EC$4,2,FALSE),FALSE)</f>
        <v>2</v>
      </c>
      <c r="BA7" s="58">
        <f>VLOOKUP($A7,historia!$A$5:$CM$24,+HLOOKUP(BA$2,historia!$A$3:$EC$4,2,FALSE),FALSE)</f>
        <v>2</v>
      </c>
      <c r="BB7" s="30"/>
      <c r="BC7" s="141">
        <v>2</v>
      </c>
      <c r="BD7" t="str">
        <f t="shared" si="19"/>
        <v>Arroz</v>
      </c>
      <c r="BE7">
        <f>+datos!R1</f>
        <v>18</v>
      </c>
      <c r="BF7" s="2" t="str">
        <f t="shared" si="4"/>
        <v>$/t</v>
      </c>
      <c r="BG7" s="2">
        <f t="shared" si="4"/>
        <v>430000</v>
      </c>
      <c r="BH7" s="2">
        <f t="shared" si="4"/>
        <v>430000</v>
      </c>
      <c r="BI7" s="2">
        <f t="shared" si="4"/>
        <v>55000</v>
      </c>
      <c r="BK7">
        <f>+datos!BZ1</f>
        <v>78</v>
      </c>
      <c r="BL7" s="2">
        <f t="shared" si="20"/>
        <v>7148.9336137999544</v>
      </c>
      <c r="BM7" s="2">
        <f t="shared" si="20"/>
        <v>7093.036762161928</v>
      </c>
      <c r="BN7" s="2">
        <f t="shared" si="20"/>
        <v>1979.231912798263</v>
      </c>
      <c r="BP7" s="1">
        <f>+datos!DM1</f>
        <v>117</v>
      </c>
      <c r="BQ7" s="1">
        <f t="shared" si="21"/>
        <v>200000</v>
      </c>
      <c r="BR7" s="1">
        <f t="shared" si="21"/>
        <v>190000</v>
      </c>
      <c r="BT7" s="1">
        <f>+datos!FH1</f>
        <v>164</v>
      </c>
      <c r="BU7" s="1">
        <f t="shared" si="22"/>
        <v>1200000</v>
      </c>
      <c r="BV7" s="1">
        <f t="shared" si="22"/>
        <v>1200000</v>
      </c>
      <c r="BX7" s="1">
        <f>+datos!JG1</f>
        <v>267</v>
      </c>
      <c r="BY7" s="1">
        <f t="shared" ref="BY7:BY24" si="39">+SUM(CJ7:CU7)</f>
        <v>224.93097137000001</v>
      </c>
      <c r="BZ7" s="1">
        <f t="shared" ref="BZ7:BZ24" si="40">+SUM(CV7:DG7)</f>
        <v>286.79693450999997</v>
      </c>
      <c r="CB7" s="1">
        <f>+datos!KL1</f>
        <v>298</v>
      </c>
      <c r="CC7" s="2">
        <f t="shared" si="23"/>
        <v>1.7340384199999999</v>
      </c>
      <c r="CD7" s="2">
        <f t="shared" si="24"/>
        <v>0.82069169000000008</v>
      </c>
      <c r="CF7" s="1">
        <f>+datos!HU1</f>
        <v>229</v>
      </c>
      <c r="CG7" s="1">
        <f t="shared" si="25"/>
        <v>700000</v>
      </c>
      <c r="CH7" s="1">
        <f t="shared" si="26"/>
        <v>650000</v>
      </c>
      <c r="CJ7" s="1">
        <f t="shared" si="27"/>
        <v>13.355622539999999</v>
      </c>
      <c r="CK7" s="1">
        <f t="shared" si="27"/>
        <v>10.68224592</v>
      </c>
      <c r="CL7" s="1">
        <f t="shared" si="27"/>
        <v>15.82785018</v>
      </c>
      <c r="CM7" s="1">
        <f t="shared" si="27"/>
        <v>16.180063639999997</v>
      </c>
      <c r="CN7" s="1">
        <f t="shared" si="27"/>
        <v>11.823193960000001</v>
      </c>
      <c r="CO7" s="1">
        <f t="shared" si="27"/>
        <v>12.24327484</v>
      </c>
      <c r="CP7" s="1">
        <f t="shared" si="27"/>
        <v>9.600226039999999</v>
      </c>
      <c r="CQ7" s="1">
        <f t="shared" si="27"/>
        <v>26.338491399999999</v>
      </c>
      <c r="CR7" s="1">
        <f t="shared" si="27"/>
        <v>21.418726320000001</v>
      </c>
      <c r="CS7" s="1">
        <f t="shared" si="27"/>
        <v>22.255101539999998</v>
      </c>
      <c r="CT7" s="1">
        <f t="shared" si="27"/>
        <v>44.848914040000004</v>
      </c>
      <c r="CU7" s="1">
        <f t="shared" si="27"/>
        <v>20.357260950000001</v>
      </c>
      <c r="CV7" s="1">
        <f t="shared" si="27"/>
        <v>17.134564559999998</v>
      </c>
      <c r="CW7" s="1">
        <f t="shared" si="27"/>
        <v>28.8463791</v>
      </c>
      <c r="CX7" s="1">
        <f t="shared" si="27"/>
        <v>29.656605189999997</v>
      </c>
      <c r="CY7" s="1">
        <f t="shared" si="27"/>
        <v>22.47426432</v>
      </c>
      <c r="CZ7" s="1">
        <f t="shared" si="28"/>
        <v>15.997414339999999</v>
      </c>
      <c r="DA7" s="1">
        <f t="shared" si="28"/>
        <v>24.494655209999998</v>
      </c>
      <c r="DB7" s="1">
        <f t="shared" si="28"/>
        <v>19.108820979999997</v>
      </c>
      <c r="DC7" s="1">
        <f t="shared" si="28"/>
        <v>27.47614467</v>
      </c>
      <c r="DD7" s="1">
        <f t="shared" si="28"/>
        <v>23.805809289999999</v>
      </c>
      <c r="DE7" s="1">
        <f t="shared" si="28"/>
        <v>20.76359953</v>
      </c>
      <c r="DF7" s="1">
        <f t="shared" si="28"/>
        <v>34.242525930000006</v>
      </c>
      <c r="DG7" s="1">
        <f t="shared" si="28"/>
        <v>22.796151390000002</v>
      </c>
      <c r="DI7" s="1">
        <f t="shared" si="29"/>
        <v>0.22536</v>
      </c>
      <c r="DJ7" s="1">
        <f t="shared" si="29"/>
        <v>0.8256</v>
      </c>
      <c r="DK7" s="1">
        <f t="shared" si="29"/>
        <v>3.973985E-2</v>
      </c>
      <c r="DL7" s="1">
        <f t="shared" si="29"/>
        <v>3.3462720000000001E-2</v>
      </c>
      <c r="DM7" s="1">
        <f t="shared" si="29"/>
        <v>0.19098301000000001</v>
      </c>
      <c r="DN7" s="1">
        <f t="shared" si="29"/>
        <v>0.10767879</v>
      </c>
      <c r="DO7" s="1">
        <f t="shared" si="29"/>
        <v>5.5773490000000002E-2</v>
      </c>
      <c r="DP7" s="1">
        <f t="shared" si="29"/>
        <v>8.7189080000000002E-2</v>
      </c>
      <c r="DQ7" s="1">
        <f t="shared" si="29"/>
        <v>3.9243889999999997E-2</v>
      </c>
      <c r="DR7" s="1">
        <f t="shared" si="29"/>
        <v>0.10892111</v>
      </c>
      <c r="DS7" s="1">
        <f t="shared" si="29"/>
        <v>1.8036480000000001E-2</v>
      </c>
      <c r="DT7" s="1">
        <f t="shared" si="29"/>
        <v>2.0500000000000002E-3</v>
      </c>
      <c r="DU7" s="1">
        <f t="shared" si="29"/>
        <v>1.0492100000000001E-3</v>
      </c>
      <c r="DV7" s="1">
        <f t="shared" si="29"/>
        <v>2.7127990000000001E-2</v>
      </c>
      <c r="DW7" s="1">
        <f t="shared" si="29"/>
        <v>2.9352990000000002E-2</v>
      </c>
      <c r="DX7" s="1">
        <f t="shared" si="29"/>
        <v>4.3800639999999995E-2</v>
      </c>
      <c r="DY7" s="1">
        <f t="shared" si="30"/>
        <v>2.6976839999999998E-2</v>
      </c>
      <c r="DZ7" s="1">
        <f t="shared" si="30"/>
        <v>0.38784603000000006</v>
      </c>
      <c r="EA7" s="1">
        <f t="shared" si="30"/>
        <v>0.13118235</v>
      </c>
      <c r="EB7" s="1">
        <f t="shared" si="30"/>
        <v>1.8151110000000002E-2</v>
      </c>
      <c r="EC7" s="1">
        <f t="shared" si="30"/>
        <v>1.4073269999999999E-2</v>
      </c>
      <c r="ED7" s="1">
        <f t="shared" si="30"/>
        <v>1.6701199999999999E-2</v>
      </c>
      <c r="EE7" s="1">
        <f t="shared" si="30"/>
        <v>4.6643610000000002E-2</v>
      </c>
      <c r="EF7" s="1">
        <f t="shared" si="30"/>
        <v>7.7786450000000007E-2</v>
      </c>
      <c r="EH7" s="14">
        <f t="shared" si="31"/>
        <v>700000</v>
      </c>
      <c r="EI7" s="14">
        <f t="shared" si="31"/>
        <v>700000</v>
      </c>
      <c r="EJ7" s="1">
        <f t="shared" si="31"/>
        <v>700000</v>
      </c>
      <c r="EK7" s="1">
        <f t="shared" si="31"/>
        <v>700000</v>
      </c>
      <c r="EL7" s="1">
        <f t="shared" si="31"/>
        <v>700000</v>
      </c>
      <c r="EM7" s="1">
        <f t="shared" si="31"/>
        <v>700000</v>
      </c>
      <c r="EN7" s="1">
        <f t="shared" si="31"/>
        <v>700000</v>
      </c>
      <c r="EO7" s="1">
        <f t="shared" si="31"/>
        <v>700000</v>
      </c>
      <c r="EP7" s="1">
        <f t="shared" si="31"/>
        <v>700000</v>
      </c>
      <c r="EQ7" s="1">
        <f t="shared" si="31"/>
        <v>700000</v>
      </c>
      <c r="ER7" s="1">
        <f t="shared" si="31"/>
        <v>700000</v>
      </c>
      <c r="ES7" s="1">
        <f t="shared" si="31"/>
        <v>700000</v>
      </c>
      <c r="ET7" s="1">
        <f t="shared" si="31"/>
        <v>650000</v>
      </c>
      <c r="EU7" s="1">
        <f t="shared" si="31"/>
        <v>650000</v>
      </c>
      <c r="EV7" s="1">
        <f t="shared" si="31"/>
        <v>650000</v>
      </c>
      <c r="EW7" s="1">
        <f t="shared" si="31"/>
        <v>650000</v>
      </c>
      <c r="EX7" s="1">
        <f t="shared" si="32"/>
        <v>650000</v>
      </c>
      <c r="EY7" s="1">
        <f t="shared" si="32"/>
        <v>650000</v>
      </c>
      <c r="EZ7" s="1">
        <f t="shared" si="32"/>
        <v>650000</v>
      </c>
      <c r="FA7" s="1">
        <f t="shared" si="32"/>
        <v>650000</v>
      </c>
      <c r="FB7" s="1">
        <f t="shared" si="32"/>
        <v>650000</v>
      </c>
      <c r="FC7" s="1">
        <f t="shared" si="32"/>
        <v>650000</v>
      </c>
      <c r="FD7" s="1">
        <f t="shared" si="32"/>
        <v>650000</v>
      </c>
      <c r="FE7" s="1">
        <f t="shared" si="32"/>
        <v>650000</v>
      </c>
      <c r="FG7" s="162">
        <f t="shared" si="33"/>
        <v>4.2062081189033433</v>
      </c>
    </row>
    <row r="8" spans="1:163" ht="30" customHeight="1">
      <c r="A8" s="222" t="s">
        <v>215</v>
      </c>
      <c r="B8" s="212"/>
      <c r="C8" s="156">
        <f t="shared" si="5"/>
        <v>0.66</v>
      </c>
      <c r="D8" s="198">
        <v>1</v>
      </c>
      <c r="E8" s="213">
        <f t="shared" si="6"/>
        <v>0.29389723893308628</v>
      </c>
      <c r="F8" s="214">
        <f t="shared" si="7"/>
        <v>0.16149047839783859</v>
      </c>
      <c r="G8" s="213">
        <f t="shared" si="8"/>
        <v>-2.7157209996872433E-2</v>
      </c>
      <c r="H8" s="214">
        <f t="shared" si="9"/>
        <v>0.32105444892995871</v>
      </c>
      <c r="I8" s="213">
        <f t="shared" si="10"/>
        <v>3.5374180325210638</v>
      </c>
      <c r="J8" s="214">
        <f t="shared" si="11"/>
        <v>0.78981525237040806</v>
      </c>
      <c r="K8" s="213">
        <f t="shared" si="34"/>
        <v>1.9501899541716088</v>
      </c>
      <c r="L8" s="214">
        <f t="shared" si="12"/>
        <v>1.587228078349455</v>
      </c>
      <c r="M8" s="215"/>
      <c r="N8" s="198">
        <v>0</v>
      </c>
      <c r="O8" s="213">
        <f t="shared" si="35"/>
        <v>-1.5789473684210575E-2</v>
      </c>
      <c r="P8" s="216">
        <f t="shared" si="36"/>
        <v>-1.5789473684210575E-2</v>
      </c>
      <c r="Q8" s="213">
        <f t="shared" si="13"/>
        <v>-9.4815825261154174E-3</v>
      </c>
      <c r="R8" s="217">
        <f t="shared" si="37"/>
        <v>-9.4815825261154174E-3</v>
      </c>
      <c r="S8" s="215"/>
      <c r="T8" s="198">
        <v>1</v>
      </c>
      <c r="U8" s="213">
        <f>IFERROR(+BY8/BZ8-1,"")</f>
        <v>-0.46645470780788789</v>
      </c>
      <c r="V8" s="45">
        <f t="shared" si="15"/>
        <v>-0.46645470780788789</v>
      </c>
      <c r="W8" s="213">
        <f t="shared" si="38"/>
        <v>-5.8214712079378228E-2</v>
      </c>
      <c r="X8" s="45">
        <f t="shared" si="16"/>
        <v>-5.8214712079378228E-2</v>
      </c>
      <c r="Y8" s="213">
        <f t="shared" si="17"/>
        <v>1.4705882352941124E-2</v>
      </c>
      <c r="Z8" s="45">
        <f t="shared" si="18"/>
        <v>1.4705882352941124E-2</v>
      </c>
      <c r="AA8" s="30"/>
      <c r="AB8" s="242" t="s">
        <v>477</v>
      </c>
      <c r="AC8" s="61" t="s">
        <v>289</v>
      </c>
      <c r="AD8" s="61" t="s">
        <v>289</v>
      </c>
      <c r="AE8" s="61" t="s">
        <v>289</v>
      </c>
      <c r="AF8" s="61" t="s">
        <v>289</v>
      </c>
      <c r="AG8" s="61" t="s">
        <v>289</v>
      </c>
      <c r="AH8" s="61" t="s">
        <v>289</v>
      </c>
      <c r="AI8" s="61" t="s">
        <v>289</v>
      </c>
      <c r="AJ8" s="61" t="s">
        <v>289</v>
      </c>
      <c r="AK8" s="61" t="s">
        <v>289</v>
      </c>
      <c r="AL8" s="61" t="s">
        <v>289</v>
      </c>
      <c r="AM8" s="61" t="s">
        <v>289</v>
      </c>
      <c r="AN8" s="61" t="s">
        <v>289</v>
      </c>
      <c r="AP8" s="28">
        <f>VLOOKUP($A8,historia!$A$5:$CM$24,+HLOOKUP(AP$2,historia!$A$3:$EC$4,2,FALSE),FALSE)</f>
        <v>2</v>
      </c>
      <c r="AQ8" s="28">
        <f>VLOOKUP($A8,historia!$A$5:$CM$24,+HLOOKUP(AQ$2,historia!$A$3:$EC$4,2,FALSE),FALSE)</f>
        <v>2</v>
      </c>
      <c r="AR8" s="28">
        <f>VLOOKUP($A8,historia!$A$5:$CM$24,+HLOOKUP(AR$2,historia!$A$3:$EC$4,2,FALSE),FALSE)</f>
        <v>2</v>
      </c>
      <c r="AS8" s="28">
        <f>VLOOKUP($A8,historia!$A$5:$CM$24,+HLOOKUP(AS$2,historia!$A$3:$EC$4,2,FALSE),FALSE)</f>
        <v>3</v>
      </c>
      <c r="AT8" s="58">
        <f>VLOOKUP($A8,historia!$A$5:$CM$24,+HLOOKUP(AT$2,historia!$A$3:$EC$4,2,FALSE),FALSE)</f>
        <v>3</v>
      </c>
      <c r="AU8" s="58">
        <f>VLOOKUP($A8,historia!$A$5:$CM$24,+HLOOKUP(AU$2,historia!$A$3:$EC$4,2,FALSE),FALSE)</f>
        <v>3</v>
      </c>
      <c r="AV8" s="58">
        <f>VLOOKUP($A8,historia!$A$5:$CM$24,+HLOOKUP(AV$2,historia!$A$3:$EC$4,2,FALSE),FALSE)</f>
        <v>4</v>
      </c>
      <c r="AW8" s="58">
        <f>VLOOKUP($A8,historia!$A$5:$CM$24,+HLOOKUP(AW$2,historia!$A$3:$EC$4,2,FALSE),FALSE)</f>
        <v>4</v>
      </c>
      <c r="AX8" s="58">
        <f>VLOOKUP($A8,historia!$A$5:$CM$24,+HLOOKUP(AX$2,historia!$A$3:$EC$4,2,FALSE),FALSE)</f>
        <v>4</v>
      </c>
      <c r="AY8" s="58">
        <f>VLOOKUP($A8,historia!$A$5:$CM$24,+HLOOKUP(AY$2,historia!$A$3:$EC$4,2,FALSE),FALSE)</f>
        <v>5</v>
      </c>
      <c r="AZ8" s="58">
        <f>VLOOKUP($A8,historia!$A$5:$CM$24,+HLOOKUP(AZ$2,historia!$A$3:$EC$4,2,FALSE),FALSE)</f>
        <v>2</v>
      </c>
      <c r="BA8" s="58">
        <f>VLOOKUP($A8,historia!$A$5:$CM$24,+HLOOKUP(BA$2,historia!$A$3:$EC$4,2,FALSE),FALSE)</f>
        <v>1</v>
      </c>
      <c r="BB8" s="30"/>
      <c r="BC8" s="141">
        <v>1</v>
      </c>
      <c r="BD8" t="str">
        <f t="shared" si="19"/>
        <v>Aves</v>
      </c>
      <c r="BE8">
        <f>+datos!BQ1</f>
        <v>69</v>
      </c>
      <c r="BF8" s="2" t="str">
        <f t="shared" si="4"/>
        <v>prom pond huevo-carne</v>
      </c>
      <c r="BG8" s="2">
        <f t="shared" si="4"/>
        <v>1399.1310000000001</v>
      </c>
      <c r="BH8" s="2">
        <f t="shared" si="4"/>
        <v>1081.3308490817144</v>
      </c>
      <c r="BI8" s="2">
        <f t="shared" si="4"/>
        <v>308.35399999999998</v>
      </c>
      <c r="BK8">
        <f>+datos!DG1</f>
        <v>111</v>
      </c>
      <c r="BL8" s="2">
        <f t="shared" si="20"/>
        <v>6484.0898096560159</v>
      </c>
      <c r="BM8" s="2">
        <f t="shared" si="20"/>
        <v>6665.0951996418353</v>
      </c>
      <c r="BN8" s="2">
        <f t="shared" si="20"/>
        <v>2197.8550230256951</v>
      </c>
      <c r="BP8" s="1">
        <f>+datos!EP1</f>
        <v>146</v>
      </c>
      <c r="BQ8" s="1">
        <f t="shared" si="21"/>
        <v>9163</v>
      </c>
      <c r="BR8" s="1">
        <f t="shared" si="21"/>
        <v>9310</v>
      </c>
      <c r="BT8" s="1">
        <f>+datos!HM1</f>
        <v>221</v>
      </c>
      <c r="BU8" s="1">
        <f t="shared" si="22"/>
        <v>2370385.06</v>
      </c>
      <c r="BV8" s="1">
        <f t="shared" si="22"/>
        <v>2393075.2000000002</v>
      </c>
      <c r="BX8" s="1">
        <f>+datos!KF1</f>
        <v>292</v>
      </c>
      <c r="BY8" s="1">
        <f t="shared" si="39"/>
        <v>328.30261718000003</v>
      </c>
      <c r="BZ8" s="1">
        <f t="shared" si="40"/>
        <v>615.32286384000008</v>
      </c>
      <c r="CB8" s="1">
        <f>+datos!LK1</f>
        <v>323</v>
      </c>
      <c r="CC8" s="2">
        <f t="shared" si="23"/>
        <v>44.086089599999994</v>
      </c>
      <c r="CD8" s="2">
        <f t="shared" si="24"/>
        <v>46.811189519999999</v>
      </c>
      <c r="CF8" s="1">
        <f>+datos!IL1</f>
        <v>246</v>
      </c>
      <c r="CG8" s="1">
        <f t="shared" si="25"/>
        <v>46.23</v>
      </c>
      <c r="CH8" s="1">
        <f t="shared" si="26"/>
        <v>45.56</v>
      </c>
      <c r="CJ8" s="1">
        <f t="shared" si="27"/>
        <v>35.607742460000011</v>
      </c>
      <c r="CK8" s="1">
        <f t="shared" si="27"/>
        <v>32.51792974</v>
      </c>
      <c r="CL8" s="1">
        <f t="shared" si="27"/>
        <v>35.210116300000003</v>
      </c>
      <c r="CM8" s="1">
        <f t="shared" si="27"/>
        <v>30.603465830000005</v>
      </c>
      <c r="CN8" s="1">
        <f t="shared" si="27"/>
        <v>35.017556320000004</v>
      </c>
      <c r="CO8" s="1">
        <f t="shared" si="27"/>
        <v>24.343011479999998</v>
      </c>
      <c r="CP8" s="1">
        <f t="shared" si="27"/>
        <v>32.053320659999997</v>
      </c>
      <c r="CQ8" s="1">
        <f t="shared" si="27"/>
        <v>25.827296739999998</v>
      </c>
      <c r="CR8" s="1">
        <f t="shared" si="27"/>
        <v>20.281404040000002</v>
      </c>
      <c r="CS8" s="1">
        <f t="shared" si="27"/>
        <v>20.776878260000004</v>
      </c>
      <c r="CT8" s="1">
        <f t="shared" si="27"/>
        <v>18.00257775</v>
      </c>
      <c r="CU8" s="1">
        <f t="shared" si="27"/>
        <v>18.061317600000002</v>
      </c>
      <c r="CV8" s="1">
        <f t="shared" si="27"/>
        <v>50.712421620000008</v>
      </c>
      <c r="CW8" s="1">
        <f t="shared" si="27"/>
        <v>45.90045215</v>
      </c>
      <c r="CX8" s="1">
        <f t="shared" si="27"/>
        <v>47.273016750000004</v>
      </c>
      <c r="CY8" s="1">
        <f t="shared" si="27"/>
        <v>53.715518810000006</v>
      </c>
      <c r="CZ8" s="1">
        <f t="shared" si="28"/>
        <v>52.265948369999997</v>
      </c>
      <c r="DA8" s="1">
        <f t="shared" si="28"/>
        <v>57.828382590000011</v>
      </c>
      <c r="DB8" s="1">
        <f t="shared" si="28"/>
        <v>63.168661010000001</v>
      </c>
      <c r="DC8" s="1">
        <f t="shared" si="28"/>
        <v>52.541029930000001</v>
      </c>
      <c r="DD8" s="1">
        <f t="shared" si="28"/>
        <v>52.931487239999996</v>
      </c>
      <c r="DE8" s="1">
        <f t="shared" si="28"/>
        <v>47.642593229999996</v>
      </c>
      <c r="DF8" s="1">
        <f t="shared" si="28"/>
        <v>46.530829869999998</v>
      </c>
      <c r="DG8" s="1">
        <f t="shared" si="28"/>
        <v>44.812522269999995</v>
      </c>
      <c r="DI8" s="1">
        <f t="shared" si="29"/>
        <v>1.8857013599999999</v>
      </c>
      <c r="DJ8" s="1">
        <f t="shared" si="29"/>
        <v>4.07849503</v>
      </c>
      <c r="DK8" s="1">
        <f t="shared" si="29"/>
        <v>2.60999925</v>
      </c>
      <c r="DL8" s="1">
        <f t="shared" si="29"/>
        <v>4.3280037599999996</v>
      </c>
      <c r="DM8" s="1">
        <f t="shared" si="29"/>
        <v>3.9253711099999995</v>
      </c>
      <c r="DN8" s="1">
        <f t="shared" si="29"/>
        <v>2.66724104</v>
      </c>
      <c r="DO8" s="1">
        <f t="shared" si="29"/>
        <v>1.3237541899999998</v>
      </c>
      <c r="DP8" s="1">
        <f t="shared" si="29"/>
        <v>4.0034089300000009</v>
      </c>
      <c r="DQ8" s="1">
        <f t="shared" si="29"/>
        <v>4.2620939999999994</v>
      </c>
      <c r="DR8" s="1">
        <f t="shared" si="29"/>
        <v>6.8027163900000005</v>
      </c>
      <c r="DS8" s="1">
        <f t="shared" si="29"/>
        <v>1.73014019</v>
      </c>
      <c r="DT8" s="1">
        <f t="shared" si="29"/>
        <v>6.4691643499999998</v>
      </c>
      <c r="DU8" s="1">
        <f t="shared" si="29"/>
        <v>1.80858622</v>
      </c>
      <c r="DV8" s="1">
        <f t="shared" si="29"/>
        <v>3.7432468400000003</v>
      </c>
      <c r="DW8" s="1">
        <f t="shared" si="29"/>
        <v>0.59472115000000003</v>
      </c>
      <c r="DX8" s="1">
        <f t="shared" si="29"/>
        <v>5.9863547400000003</v>
      </c>
      <c r="DY8" s="1">
        <f t="shared" si="30"/>
        <v>1.02297792</v>
      </c>
      <c r="DZ8" s="1">
        <f t="shared" si="30"/>
        <v>3.9990310300000003</v>
      </c>
      <c r="EA8" s="1">
        <f t="shared" si="30"/>
        <v>3.76265019</v>
      </c>
      <c r="EB8" s="1">
        <f t="shared" si="30"/>
        <v>2.4988292100000002</v>
      </c>
      <c r="EC8" s="1">
        <f t="shared" si="30"/>
        <v>6.8785433699999992</v>
      </c>
      <c r="ED8" s="1">
        <f t="shared" si="30"/>
        <v>3.7076194099999999</v>
      </c>
      <c r="EE8" s="1">
        <f t="shared" si="30"/>
        <v>6.7897798000000007</v>
      </c>
      <c r="EF8" s="1">
        <f t="shared" si="30"/>
        <v>6.0188496399999991</v>
      </c>
      <c r="EH8" s="14">
        <f t="shared" si="31"/>
        <v>46.23</v>
      </c>
      <c r="EI8" s="14">
        <f t="shared" si="31"/>
        <v>48.52</v>
      </c>
      <c r="EJ8" s="1">
        <f t="shared" si="31"/>
        <v>45.85</v>
      </c>
      <c r="EK8" s="1">
        <f t="shared" si="31"/>
        <v>46.03</v>
      </c>
      <c r="EL8" s="1">
        <f t="shared" si="31"/>
        <v>46.13</v>
      </c>
      <c r="EM8" s="1">
        <f t="shared" si="31"/>
        <v>45.88</v>
      </c>
      <c r="EN8" s="1">
        <f t="shared" si="31"/>
        <v>46.09</v>
      </c>
      <c r="EO8" s="1">
        <f t="shared" si="31"/>
        <v>45.9</v>
      </c>
      <c r="EP8" s="1">
        <f t="shared" si="31"/>
        <v>46</v>
      </c>
      <c r="EQ8" s="1">
        <f t="shared" si="31"/>
        <v>45.99</v>
      </c>
      <c r="ER8" s="1">
        <f t="shared" si="31"/>
        <v>45.74</v>
      </c>
      <c r="ES8" s="1">
        <f t="shared" si="31"/>
        <v>45.46</v>
      </c>
      <c r="ET8" s="1">
        <f t="shared" si="31"/>
        <v>45.56</v>
      </c>
      <c r="EU8" s="1">
        <f t="shared" si="31"/>
        <v>45.71</v>
      </c>
      <c r="EV8" s="1">
        <f t="shared" si="31"/>
        <v>45.71</v>
      </c>
      <c r="EW8" s="1">
        <f t="shared" si="31"/>
        <v>46.04</v>
      </c>
      <c r="EX8" s="1">
        <f t="shared" si="32"/>
        <v>45.9</v>
      </c>
      <c r="EY8" s="1">
        <f t="shared" si="32"/>
        <v>48.39</v>
      </c>
      <c r="EZ8" s="1">
        <f t="shared" si="32"/>
        <v>47.03</v>
      </c>
      <c r="FA8" s="1">
        <f t="shared" si="32"/>
        <v>45.75</v>
      </c>
      <c r="FB8" s="1">
        <f t="shared" si="32"/>
        <v>45.91</v>
      </c>
      <c r="FC8" s="1">
        <f t="shared" si="32"/>
        <v>44.361936471267661</v>
      </c>
      <c r="FD8" s="1">
        <f t="shared" si="32"/>
        <v>44.13</v>
      </c>
      <c r="FE8" s="1">
        <f t="shared" si="32"/>
        <v>46.9</v>
      </c>
      <c r="FG8" s="162">
        <f t="shared" si="33"/>
        <v>1.587228078349455</v>
      </c>
    </row>
    <row r="9" spans="1:163" ht="30" customHeight="1">
      <c r="A9" s="226" t="s">
        <v>77</v>
      </c>
      <c r="B9" s="227"/>
      <c r="C9" s="228">
        <v>1</v>
      </c>
      <c r="D9" s="229">
        <v>1</v>
      </c>
      <c r="E9" s="230">
        <f t="shared" si="6"/>
        <v>0.11048673373054507</v>
      </c>
      <c r="F9" s="231">
        <f t="shared" si="7"/>
        <v>-2.1920026804702619E-2</v>
      </c>
      <c r="G9" s="230">
        <f t="shared" si="8"/>
        <v>2.4903252251083918E-2</v>
      </c>
      <c r="H9" s="231">
        <f t="shared" si="9"/>
        <v>8.5583481479461154E-2</v>
      </c>
      <c r="I9" s="230">
        <f t="shared" si="10"/>
        <v>2.9905683111528858</v>
      </c>
      <c r="J9" s="231">
        <f t="shared" si="11"/>
        <v>0.24296553100223006</v>
      </c>
      <c r="K9" s="230">
        <f t="shared" si="34"/>
        <v>2.6216713936272305</v>
      </c>
      <c r="L9" s="231">
        <f t="shared" si="12"/>
        <v>0.36889691752565534</v>
      </c>
      <c r="M9" s="232"/>
      <c r="N9" s="229">
        <v>1</v>
      </c>
      <c r="O9" s="230">
        <f t="shared" si="35"/>
        <v>-2.6892205286269899E-2</v>
      </c>
      <c r="P9" s="233">
        <f t="shared" si="36"/>
        <v>-2.6892205286269899E-2</v>
      </c>
      <c r="Q9" s="230">
        <f t="shared" si="13"/>
        <v>3.0391000119880607E-2</v>
      </c>
      <c r="R9" s="234">
        <f t="shared" si="37"/>
        <v>3.0391000119880607E-2</v>
      </c>
      <c r="S9" s="232"/>
      <c r="T9" s="229">
        <v>-2</v>
      </c>
      <c r="U9" s="230">
        <f t="shared" si="14"/>
        <v>-0.14052156339485411</v>
      </c>
      <c r="V9" s="235">
        <f t="shared" si="15"/>
        <v>-0.14052156339485411</v>
      </c>
      <c r="W9" s="230">
        <f t="shared" si="38"/>
        <v>-0.49852043400182144</v>
      </c>
      <c r="X9" s="235">
        <f t="shared" si="16"/>
        <v>-0.49852043400182144</v>
      </c>
      <c r="Y9" s="230">
        <f t="shared" si="17"/>
        <v>4.761904761904745E-2</v>
      </c>
      <c r="Z9" s="235">
        <f t="shared" si="18"/>
        <v>4.761904761904745E-2</v>
      </c>
      <c r="AA9" s="238"/>
      <c r="AB9" s="242" t="s">
        <v>478</v>
      </c>
      <c r="AC9" s="61" t="s">
        <v>289</v>
      </c>
      <c r="AD9" s="61" t="s">
        <v>289</v>
      </c>
      <c r="AE9" s="61" t="s">
        <v>289</v>
      </c>
      <c r="AF9" s="61" t="s">
        <v>289</v>
      </c>
      <c r="AG9" s="61" t="s">
        <v>289</v>
      </c>
      <c r="AH9" s="61" t="s">
        <v>289</v>
      </c>
      <c r="AI9" s="61" t="s">
        <v>289</v>
      </c>
      <c r="AJ9" s="61" t="s">
        <v>289</v>
      </c>
      <c r="AK9" s="61" t="s">
        <v>289</v>
      </c>
      <c r="AL9" s="61" t="s">
        <v>289</v>
      </c>
      <c r="AM9" s="61" t="s">
        <v>289</v>
      </c>
      <c r="AN9" s="61" t="s">
        <v>289</v>
      </c>
      <c r="AP9" s="28">
        <f>VLOOKUP($A9,historia!$A$5:$CM$24,+HLOOKUP(AP$2,historia!$A$3:$EC$4,2,FALSE),FALSE)</f>
        <v>4</v>
      </c>
      <c r="AQ9" s="28">
        <f>VLOOKUP($A9,historia!$A$5:$CM$24,+HLOOKUP(AQ$2,historia!$A$3:$EC$4,2,FALSE),FALSE)</f>
        <v>4</v>
      </c>
      <c r="AR9" s="28">
        <f>VLOOKUP($A9,historia!$A$5:$CM$24,+HLOOKUP(AR$2,historia!$A$3:$EC$4,2,FALSE),FALSE)</f>
        <v>3</v>
      </c>
      <c r="AS9" s="28">
        <f>VLOOKUP($A9,historia!$A$5:$CM$24,+HLOOKUP(AS$2,historia!$A$3:$EC$4,2,FALSE),FALSE)</f>
        <v>4</v>
      </c>
      <c r="AT9" s="58">
        <f>VLOOKUP($A9,historia!$A$5:$CM$24,+HLOOKUP(AT$2,historia!$A$3:$EC$4,2,FALSE),FALSE)</f>
        <v>4</v>
      </c>
      <c r="AU9" s="58">
        <f>VLOOKUP($A9,historia!$A$5:$CM$24,+HLOOKUP(AU$2,historia!$A$3:$EC$4,2,FALSE),FALSE)</f>
        <v>4</v>
      </c>
      <c r="AV9" s="58">
        <f>VLOOKUP($A9,historia!$A$5:$CM$24,+HLOOKUP(AV$2,historia!$A$3:$EC$4,2,FALSE),FALSE)</f>
        <v>4</v>
      </c>
      <c r="AW9" s="58">
        <f>VLOOKUP($A9,historia!$A$5:$CM$24,+HLOOKUP(AW$2,historia!$A$3:$EC$4,2,FALSE),FALSE)</f>
        <v>3</v>
      </c>
      <c r="AX9" s="58">
        <f>VLOOKUP($A9,historia!$A$5:$CM$24,+HLOOKUP(AX$2,historia!$A$3:$EC$4,2,FALSE),FALSE)</f>
        <v>3</v>
      </c>
      <c r="AY9" s="58">
        <f>VLOOKUP($A9,historia!$A$5:$CM$24,+HLOOKUP(AY$2,historia!$A$3:$EC$4,2,FALSE),FALSE)</f>
        <v>3</v>
      </c>
      <c r="AZ9" s="58">
        <f>VLOOKUP($A9,historia!$A$5:$CM$24,+HLOOKUP(AZ$2,historia!$A$3:$EC$4,2,FALSE),FALSE)</f>
        <v>2</v>
      </c>
      <c r="BA9" s="58">
        <f>VLOOKUP($A9,historia!$A$5:$CM$24,+HLOOKUP(BA$2,historia!$A$3:$EC$4,2,FALSE),FALSE)</f>
        <v>2</v>
      </c>
      <c r="BB9" s="30"/>
      <c r="BC9" s="141">
        <v>2</v>
      </c>
      <c r="BD9" t="str">
        <f t="shared" si="19"/>
        <v>Bovinos</v>
      </c>
      <c r="BE9">
        <f>+datos!BM1</f>
        <v>65</v>
      </c>
      <c r="BF9" s="2" t="str">
        <f t="shared" si="4"/>
        <v>$/kg</v>
      </c>
      <c r="BG9" s="2">
        <f t="shared" si="4"/>
        <v>1912.6334999999999</v>
      </c>
      <c r="BH9" s="2">
        <f t="shared" si="4"/>
        <v>1722.3380000000002</v>
      </c>
      <c r="BI9" s="2">
        <f t="shared" si="4"/>
        <v>479.2885</v>
      </c>
      <c r="BK9">
        <f>+datos!DB1</f>
        <v>106</v>
      </c>
      <c r="BL9" s="2">
        <f t="shared" si="20"/>
        <v>7157.3875556453204</v>
      </c>
      <c r="BM9" s="2">
        <f t="shared" si="20"/>
        <v>6983.4762841516294</v>
      </c>
      <c r="BN9" s="2">
        <f t="shared" si="20"/>
        <v>1976.2664189356358</v>
      </c>
      <c r="BP9" s="1">
        <f>+datos!EH1</f>
        <v>138</v>
      </c>
      <c r="BQ9" s="1">
        <f t="shared" si="21"/>
        <v>52783892</v>
      </c>
      <c r="BR9" s="1">
        <f t="shared" si="21"/>
        <v>54242595</v>
      </c>
      <c r="BT9" s="1">
        <f>+datos!HB1</f>
        <v>210</v>
      </c>
      <c r="BU9" s="1">
        <f t="shared" si="22"/>
        <v>3266154</v>
      </c>
      <c r="BV9" s="1">
        <f t="shared" si="22"/>
        <v>3169820</v>
      </c>
      <c r="BX9" s="1">
        <f>+datos!KG1</f>
        <v>293</v>
      </c>
      <c r="BY9" s="1">
        <f t="shared" si="39"/>
        <v>4007.1216473600007</v>
      </c>
      <c r="BZ9" s="1">
        <f t="shared" si="40"/>
        <v>4662.2712993099994</v>
      </c>
      <c r="CB9" s="1">
        <f>+datos!LL1</f>
        <v>324</v>
      </c>
      <c r="CC9" s="2">
        <f t="shared" si="23"/>
        <v>41.186057349999999</v>
      </c>
      <c r="CD9" s="2">
        <f t="shared" si="24"/>
        <v>82.129083900000012</v>
      </c>
      <c r="CF9" s="1">
        <f>+datos!IM1</f>
        <v>247</v>
      </c>
      <c r="CG9" s="1">
        <f t="shared" si="25"/>
        <v>51.48</v>
      </c>
      <c r="CH9" s="1">
        <f t="shared" si="26"/>
        <v>49.14</v>
      </c>
      <c r="CJ9" s="1">
        <f t="shared" si="27"/>
        <v>342.85888695999995</v>
      </c>
      <c r="CK9" s="1">
        <f t="shared" si="27"/>
        <v>324.84866957999998</v>
      </c>
      <c r="CL9" s="1">
        <f t="shared" si="27"/>
        <v>325.97502911999987</v>
      </c>
      <c r="CM9" s="1">
        <f t="shared" si="27"/>
        <v>321.39038838999994</v>
      </c>
      <c r="CN9" s="1">
        <f t="shared" si="27"/>
        <v>273.58963931999995</v>
      </c>
      <c r="CO9" s="1">
        <f t="shared" si="27"/>
        <v>292.91820976000002</v>
      </c>
      <c r="CP9" s="1">
        <f t="shared" si="27"/>
        <v>371.72573624</v>
      </c>
      <c r="CQ9" s="1">
        <f t="shared" si="27"/>
        <v>378.12790802000001</v>
      </c>
      <c r="CR9" s="1">
        <f t="shared" si="27"/>
        <v>308.34921994000001</v>
      </c>
      <c r="CS9" s="1">
        <f t="shared" si="27"/>
        <v>390.63577031</v>
      </c>
      <c r="CT9" s="1">
        <f t="shared" si="27"/>
        <v>337.45013477999998</v>
      </c>
      <c r="CU9" s="1">
        <f t="shared" si="27"/>
        <v>339.25205494000011</v>
      </c>
      <c r="CV9" s="1">
        <f t="shared" si="27"/>
        <v>296.44265344999985</v>
      </c>
      <c r="CW9" s="1">
        <f t="shared" si="27"/>
        <v>285.75014393999987</v>
      </c>
      <c r="CX9" s="1">
        <f t="shared" si="27"/>
        <v>285.58164063999999</v>
      </c>
      <c r="CY9" s="1">
        <f t="shared" si="27"/>
        <v>342.68232461000008</v>
      </c>
      <c r="CZ9" s="1">
        <f t="shared" si="28"/>
        <v>391.68086485999982</v>
      </c>
      <c r="DA9" s="1">
        <f t="shared" si="28"/>
        <v>421.96396532</v>
      </c>
      <c r="DB9" s="1">
        <f t="shared" si="28"/>
        <v>444.66007973000006</v>
      </c>
      <c r="DC9" s="1">
        <f t="shared" si="28"/>
        <v>462.76323376000011</v>
      </c>
      <c r="DD9" s="1">
        <f t="shared" si="28"/>
        <v>455.63660227999975</v>
      </c>
      <c r="DE9" s="1">
        <f t="shared" si="28"/>
        <v>463.06945083000005</v>
      </c>
      <c r="DF9" s="1">
        <f t="shared" si="28"/>
        <v>405.16040881999982</v>
      </c>
      <c r="DG9" s="1">
        <f t="shared" si="28"/>
        <v>406.87993106999983</v>
      </c>
      <c r="DI9" s="1">
        <f t="shared" si="29"/>
        <v>1.2696953500000001</v>
      </c>
      <c r="DJ9" s="1">
        <f t="shared" si="29"/>
        <v>1.4792882700000001</v>
      </c>
      <c r="DK9" s="1">
        <f t="shared" si="29"/>
        <v>3.3410357400000001</v>
      </c>
      <c r="DL9" s="1">
        <f t="shared" si="29"/>
        <v>3.5927978000000009</v>
      </c>
      <c r="DM9" s="1">
        <f t="shared" si="29"/>
        <v>2.53051044</v>
      </c>
      <c r="DN9" s="1">
        <f t="shared" si="29"/>
        <v>2.3401237999999998</v>
      </c>
      <c r="DO9" s="1">
        <f t="shared" si="29"/>
        <v>2.4632922899999996</v>
      </c>
      <c r="DP9" s="1">
        <f t="shared" si="29"/>
        <v>3.8179622399999995</v>
      </c>
      <c r="DQ9" s="1">
        <f t="shared" si="29"/>
        <v>3.8355995800000002</v>
      </c>
      <c r="DR9" s="1">
        <f t="shared" si="29"/>
        <v>7.3409295600000002</v>
      </c>
      <c r="DS9" s="1">
        <f t="shared" si="29"/>
        <v>3.8261937100000005</v>
      </c>
      <c r="DT9" s="1">
        <f t="shared" si="29"/>
        <v>5.3486285699999998</v>
      </c>
      <c r="DU9" s="1">
        <f t="shared" si="29"/>
        <v>4.398381099999999</v>
      </c>
      <c r="DV9" s="1">
        <f t="shared" si="29"/>
        <v>4.3987828499999999</v>
      </c>
      <c r="DW9" s="1">
        <f t="shared" si="29"/>
        <v>1.58647798</v>
      </c>
      <c r="DX9" s="1">
        <f t="shared" si="29"/>
        <v>2.6207546900000001</v>
      </c>
      <c r="DY9" s="1">
        <f t="shared" si="30"/>
        <v>6.877667439999998</v>
      </c>
      <c r="DZ9" s="1">
        <f t="shared" si="30"/>
        <v>6.5255502400000012</v>
      </c>
      <c r="EA9" s="1">
        <f t="shared" si="30"/>
        <v>13.413963769999999</v>
      </c>
      <c r="EB9" s="1">
        <f t="shared" si="30"/>
        <v>5.3105555200000003</v>
      </c>
      <c r="EC9" s="1">
        <f t="shared" si="30"/>
        <v>9.8886848400000016</v>
      </c>
      <c r="ED9" s="1">
        <f t="shared" si="30"/>
        <v>11.561262900000001</v>
      </c>
      <c r="EE9" s="1">
        <f t="shared" si="30"/>
        <v>6.5691069199999994</v>
      </c>
      <c r="EF9" s="1">
        <f t="shared" si="30"/>
        <v>8.9778956500000007</v>
      </c>
      <c r="EH9" s="14">
        <f t="shared" si="31"/>
        <v>51.48</v>
      </c>
      <c r="EI9" s="14">
        <f t="shared" si="31"/>
        <v>52.06</v>
      </c>
      <c r="EJ9" s="1">
        <f t="shared" si="31"/>
        <v>42.59</v>
      </c>
      <c r="EK9" s="1">
        <f t="shared" si="31"/>
        <v>51.3</v>
      </c>
      <c r="EL9" s="1">
        <f t="shared" si="31"/>
        <v>51.15</v>
      </c>
      <c r="EM9" s="1">
        <f t="shared" si="31"/>
        <v>51.01</v>
      </c>
      <c r="EN9" s="1">
        <f t="shared" si="31"/>
        <v>51.15</v>
      </c>
      <c r="EO9" s="1">
        <f t="shared" si="31"/>
        <v>51.72</v>
      </c>
      <c r="EP9" s="1">
        <f t="shared" si="31"/>
        <v>51.32</v>
      </c>
      <c r="EQ9" s="1">
        <f t="shared" si="31"/>
        <v>50.44</v>
      </c>
      <c r="ER9" s="1">
        <f t="shared" si="31"/>
        <v>50.29</v>
      </c>
      <c r="ES9" s="1">
        <f t="shared" si="31"/>
        <v>50.29</v>
      </c>
      <c r="ET9" s="1">
        <f t="shared" si="31"/>
        <v>49.14</v>
      </c>
      <c r="EU9" s="1">
        <f t="shared" si="31"/>
        <v>48.66</v>
      </c>
      <c r="EV9" s="1">
        <f t="shared" si="31"/>
        <v>48.66</v>
      </c>
      <c r="EW9" s="1">
        <f t="shared" si="31"/>
        <v>48.3</v>
      </c>
      <c r="EX9" s="1">
        <f t="shared" si="32"/>
        <v>48.39</v>
      </c>
      <c r="EY9" s="1">
        <f t="shared" si="32"/>
        <v>48.62</v>
      </c>
      <c r="EZ9" s="1">
        <f t="shared" si="32"/>
        <v>48.17</v>
      </c>
      <c r="FA9" s="1">
        <f t="shared" si="32"/>
        <v>48.03</v>
      </c>
      <c r="FB9" s="1">
        <f t="shared" si="32"/>
        <v>48.58</v>
      </c>
      <c r="FC9" s="1">
        <f t="shared" si="32"/>
        <v>49.05</v>
      </c>
      <c r="FD9" s="1">
        <f t="shared" si="32"/>
        <v>47.84</v>
      </c>
      <c r="FE9" s="1">
        <f t="shared" si="32"/>
        <v>47.93</v>
      </c>
      <c r="FG9" s="162">
        <f t="shared" si="33"/>
        <v>0.36889691752565534</v>
      </c>
    </row>
    <row r="10" spans="1:163" ht="30" customHeight="1">
      <c r="A10" s="224" t="s">
        <v>221</v>
      </c>
      <c r="B10" s="212"/>
      <c r="C10" s="156">
        <f t="shared" si="5"/>
        <v>0</v>
      </c>
      <c r="D10" s="198">
        <v>1</v>
      </c>
      <c r="E10" s="213">
        <f t="shared" si="6"/>
        <v>0.19080637735615347</v>
      </c>
      <c r="F10" s="214">
        <f t="shared" si="7"/>
        <v>5.8399616820905775E-2</v>
      </c>
      <c r="G10" s="213">
        <f t="shared" si="8"/>
        <v>4.1415565525871001E-2</v>
      </c>
      <c r="H10" s="214">
        <f t="shared" si="9"/>
        <v>0.14939081183028247</v>
      </c>
      <c r="I10" s="213">
        <f t="shared" si="10"/>
        <v>3.3769414664628892</v>
      </c>
      <c r="J10" s="214">
        <f t="shared" si="11"/>
        <v>0.62933868631223344</v>
      </c>
      <c r="K10" s="213">
        <f t="shared" si="34"/>
        <v>2.5904464132010268</v>
      </c>
      <c r="L10" s="214">
        <f t="shared" si="12"/>
        <v>0.78649505326186242</v>
      </c>
      <c r="M10" s="215"/>
      <c r="N10" s="198">
        <v>0</v>
      </c>
      <c r="O10" s="213">
        <f t="shared" si="35"/>
        <v>4.1543620801842707E-3</v>
      </c>
      <c r="P10" s="216">
        <f t="shared" si="36"/>
        <v>4.1543620801842707E-3</v>
      </c>
      <c r="Q10" s="213">
        <f t="shared" si="13"/>
        <v>0.10798722044728426</v>
      </c>
      <c r="R10" s="217">
        <f t="shared" si="37"/>
        <v>0.10798722044728426</v>
      </c>
      <c r="S10" s="215"/>
      <c r="T10" s="198">
        <v>-1</v>
      </c>
      <c r="U10" s="213">
        <f t="shared" si="14"/>
        <v>5.3479983862819935E-2</v>
      </c>
      <c r="V10" s="45">
        <f t="shared" si="15"/>
        <v>5.3479983862819935E-2</v>
      </c>
      <c r="W10" s="213">
        <f t="shared" si="38"/>
        <v>0.30988883543826851</v>
      </c>
      <c r="X10" s="45">
        <f t="shared" si="16"/>
        <v>0.30988883543826851</v>
      </c>
      <c r="Y10" s="213">
        <f t="shared" si="17"/>
        <v>-0.11904761904761896</v>
      </c>
      <c r="Z10" s="45"/>
      <c r="AA10" s="30"/>
      <c r="AB10" s="242" t="s">
        <v>479</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P10" s="28">
        <f>VLOOKUP($A10,historia!$A$5:$CM$24,+HLOOKUP(AP$2,historia!$A$3:$EC$4,2,FALSE),FALSE)</f>
        <v>4</v>
      </c>
      <c r="AQ10" s="28">
        <f>VLOOKUP($A10,historia!$A$5:$CM$24,+HLOOKUP(AQ$2,historia!$A$3:$EC$4,2,FALSE),FALSE)</f>
        <v>4</v>
      </c>
      <c r="AR10" s="28">
        <f>VLOOKUP($A10,historia!$A$5:$CM$24,+HLOOKUP(AR$2,historia!$A$3:$EC$4,2,FALSE),FALSE)</f>
        <v>4</v>
      </c>
      <c r="AS10" s="28">
        <f>VLOOKUP($A10,historia!$A$5:$CM$24,+HLOOKUP(AS$2,historia!$A$3:$EC$4,2,FALSE),FALSE)</f>
        <v>5</v>
      </c>
      <c r="AT10" s="58">
        <f>VLOOKUP($A10,historia!$A$5:$CM$24,+HLOOKUP(AT$2,historia!$A$3:$EC$4,2,FALSE),FALSE)</f>
        <v>5</v>
      </c>
      <c r="AU10" s="58">
        <f>VLOOKUP($A10,historia!$A$5:$CM$24,+HLOOKUP(AU$2,historia!$A$3:$EC$4,2,FALSE),FALSE)</f>
        <v>5</v>
      </c>
      <c r="AV10" s="58">
        <f>VLOOKUP($A10,historia!$A$5:$CM$24,+HLOOKUP(AV$2,historia!$A$3:$EC$4,2,FALSE),FALSE)</f>
        <v>4</v>
      </c>
      <c r="AW10" s="58">
        <f>VLOOKUP($A10,historia!$A$5:$CM$24,+HLOOKUP(AW$2,historia!$A$3:$EC$4,2,FALSE),FALSE)</f>
        <v>4</v>
      </c>
      <c r="AX10" s="58">
        <f>VLOOKUP($A10,historia!$A$5:$CM$24,+HLOOKUP(AX$2,historia!$A$3:$EC$4,2,FALSE),FALSE)</f>
        <v>4</v>
      </c>
      <c r="AY10" s="58">
        <f>VLOOKUP($A10,historia!$A$5:$CM$24,+HLOOKUP(AY$2,historia!$A$3:$EC$4,2,FALSE),FALSE)</f>
        <v>5</v>
      </c>
      <c r="AZ10" s="58">
        <f>VLOOKUP($A10,historia!$A$5:$CM$24,+HLOOKUP(AZ$2,historia!$A$3:$EC$4,2,FALSE),FALSE)</f>
        <v>3</v>
      </c>
      <c r="BA10" s="58">
        <f>VLOOKUP($A10,historia!$A$5:$CM$24,+HLOOKUP(BA$2,historia!$A$3:$EC$4,2,FALSE),FALSE)</f>
        <v>3</v>
      </c>
      <c r="BB10" s="30"/>
      <c r="BC10" s="141">
        <v>3</v>
      </c>
      <c r="BD10" t="str">
        <f t="shared" si="19"/>
        <v>Cítricos Dulces</v>
      </c>
      <c r="BE10">
        <f>+datos!AU1</f>
        <v>47</v>
      </c>
      <c r="BF10" s="2" t="str">
        <f t="shared" si="4"/>
        <v>$/caja 18kg</v>
      </c>
      <c r="BG10" s="2">
        <f t="shared" si="4"/>
        <v>16554.346432748538</v>
      </c>
      <c r="BH10" s="2">
        <f t="shared" si="4"/>
        <v>13901.79524357499</v>
      </c>
      <c r="BI10" s="2">
        <f t="shared" si="4"/>
        <v>3782.1722222222224</v>
      </c>
      <c r="BK10">
        <f>+datos!CX1</f>
        <v>102</v>
      </c>
      <c r="BL10" s="2">
        <f t="shared" si="20"/>
        <v>7116.6921863025173</v>
      </c>
      <c r="BM10" s="2">
        <f t="shared" si="20"/>
        <v>6833.6718039247744</v>
      </c>
      <c r="BN10" s="2">
        <f t="shared" si="20"/>
        <v>1982.1190368240871</v>
      </c>
      <c r="BP10" s="1">
        <f>+datos!ER1</f>
        <v>148</v>
      </c>
      <c r="BQ10" s="1">
        <f t="shared" si="21"/>
        <v>80248</v>
      </c>
      <c r="BR10" s="1">
        <f t="shared" si="21"/>
        <v>79916</v>
      </c>
      <c r="BT10" s="1">
        <f>+datos!GH1</f>
        <v>190</v>
      </c>
      <c r="BU10" s="1">
        <f t="shared" si="22"/>
        <v>1734000</v>
      </c>
      <c r="BV10" s="1">
        <f t="shared" si="22"/>
        <v>1565000</v>
      </c>
      <c r="BX10" s="1">
        <f>+datos!LT1</f>
        <v>332</v>
      </c>
      <c r="BY10" s="1">
        <f t="shared" si="39"/>
        <v>51.669207229999984</v>
      </c>
      <c r="BZ10" s="1">
        <f t="shared" si="40"/>
        <v>49.04621637000001</v>
      </c>
      <c r="CA10" s="1"/>
      <c r="CB10" s="1">
        <f>+datos!LX1</f>
        <v>336</v>
      </c>
      <c r="CC10" s="2">
        <f t="shared" si="23"/>
        <v>5.2769350500000005</v>
      </c>
      <c r="CD10" s="2">
        <f t="shared" si="24"/>
        <v>4.0285365500000001</v>
      </c>
      <c r="CF10" s="1">
        <f>+datos!IV1</f>
        <v>256</v>
      </c>
      <c r="CG10" s="1">
        <f t="shared" si="25"/>
        <v>17.39</v>
      </c>
      <c r="CH10" s="1">
        <f t="shared" si="26"/>
        <v>19.739999999999998</v>
      </c>
      <c r="CJ10" s="1">
        <f t="shared" si="27"/>
        <v>3.3581509099999995</v>
      </c>
      <c r="CK10" s="1">
        <f t="shared" si="27"/>
        <v>4.3519123000000004</v>
      </c>
      <c r="CL10" s="1">
        <f t="shared" si="27"/>
        <v>3.6482140500000004</v>
      </c>
      <c r="CM10" s="1">
        <f t="shared" si="27"/>
        <v>7.8852843799999999</v>
      </c>
      <c r="CN10" s="1">
        <f t="shared" si="27"/>
        <v>4.4927710999999997</v>
      </c>
      <c r="CO10" s="1">
        <f t="shared" si="27"/>
        <v>3.9018705800000002</v>
      </c>
      <c r="CP10" s="1">
        <f t="shared" si="27"/>
        <v>10.723855849999996</v>
      </c>
      <c r="CQ10" s="1">
        <f t="shared" si="27"/>
        <v>7.5775361799999992</v>
      </c>
      <c r="CR10" s="1">
        <f t="shared" si="27"/>
        <v>1.25129154</v>
      </c>
      <c r="CS10" s="1">
        <f t="shared" si="27"/>
        <v>0.77785399999999993</v>
      </c>
      <c r="CT10" s="1">
        <f t="shared" si="27"/>
        <v>1.96707276</v>
      </c>
      <c r="CU10" s="1">
        <f t="shared" si="27"/>
        <v>1.7333935799999998</v>
      </c>
      <c r="CV10" s="1">
        <f t="shared" si="27"/>
        <v>4.5063326699999999</v>
      </c>
      <c r="CW10" s="1">
        <f t="shared" si="27"/>
        <v>2.6066778199999998</v>
      </c>
      <c r="CX10" s="1">
        <f t="shared" si="27"/>
        <v>1.98627314</v>
      </c>
      <c r="CY10" s="1">
        <f t="shared" si="27"/>
        <v>2.7714215800000002</v>
      </c>
      <c r="CZ10" s="1">
        <f t="shared" si="28"/>
        <v>4.7911063299999999</v>
      </c>
      <c r="DA10" s="1">
        <f t="shared" si="28"/>
        <v>4.2890642899999998</v>
      </c>
      <c r="DB10" s="1">
        <f t="shared" si="28"/>
        <v>10.91414737</v>
      </c>
      <c r="DC10" s="1">
        <f t="shared" si="28"/>
        <v>7.8324679500000007</v>
      </c>
      <c r="DD10" s="1">
        <f t="shared" si="28"/>
        <v>4.3051329900000006</v>
      </c>
      <c r="DE10" s="1">
        <f t="shared" si="28"/>
        <v>2.30500755</v>
      </c>
      <c r="DF10" s="1">
        <f t="shared" si="28"/>
        <v>1.4198493500000002</v>
      </c>
      <c r="DG10" s="1">
        <f t="shared" si="28"/>
        <v>1.31873533</v>
      </c>
      <c r="DI10" s="1">
        <f t="shared" si="29"/>
        <v>0.57276656999999997</v>
      </c>
      <c r="DJ10" s="1">
        <f t="shared" si="29"/>
        <v>0.50591796999999994</v>
      </c>
      <c r="DK10" s="1">
        <f t="shared" si="29"/>
        <v>0.37369366000000004</v>
      </c>
      <c r="DL10" s="1">
        <f t="shared" si="29"/>
        <v>1.8223369999999999E-2</v>
      </c>
      <c r="DM10" s="1">
        <f t="shared" si="29"/>
        <v>0.26981320000000003</v>
      </c>
      <c r="DN10" s="1">
        <f t="shared" si="29"/>
        <v>0.36129600000000001</v>
      </c>
      <c r="DO10" s="1">
        <f t="shared" si="29"/>
        <v>3.0606999999999997E-4</v>
      </c>
      <c r="DP10" s="1">
        <f t="shared" si="29"/>
        <v>0.33402694999999999</v>
      </c>
      <c r="DQ10" s="1">
        <f t="shared" si="29"/>
        <v>0</v>
      </c>
      <c r="DR10" s="1">
        <f t="shared" si="29"/>
        <v>0.31172668999999997</v>
      </c>
      <c r="DS10" s="1">
        <f t="shared" si="29"/>
        <v>1.32104435</v>
      </c>
      <c r="DT10" s="1">
        <f t="shared" si="29"/>
        <v>1.2081202200000001</v>
      </c>
      <c r="DU10" s="1">
        <f t="shared" si="29"/>
        <v>0.6520337100000001</v>
      </c>
      <c r="DV10" s="1">
        <f t="shared" si="29"/>
        <v>0.45880662999999999</v>
      </c>
      <c r="DW10" s="1">
        <f t="shared" si="29"/>
        <v>0</v>
      </c>
      <c r="DX10" s="1">
        <f t="shared" si="29"/>
        <v>4.77876E-2</v>
      </c>
      <c r="DY10" s="1">
        <f t="shared" si="30"/>
        <v>1.4227200000000001E-2</v>
      </c>
      <c r="DZ10" s="1">
        <f t="shared" si="30"/>
        <v>2.7328829999999998E-2</v>
      </c>
      <c r="EA10" s="1">
        <f t="shared" si="30"/>
        <v>5.6926980000000002E-2</v>
      </c>
      <c r="EB10" s="1">
        <f t="shared" si="30"/>
        <v>0.59636825999999998</v>
      </c>
      <c r="EC10" s="1">
        <f t="shared" si="30"/>
        <v>0.61726981999999997</v>
      </c>
      <c r="ED10" s="1">
        <f t="shared" si="30"/>
        <v>0.14935512000000001</v>
      </c>
      <c r="EE10" s="1">
        <f t="shared" si="30"/>
        <v>0.56815696000000004</v>
      </c>
      <c r="EF10" s="1">
        <f t="shared" si="30"/>
        <v>0.84027543999999998</v>
      </c>
      <c r="EH10" s="14">
        <f t="shared" si="31"/>
        <v>17.39</v>
      </c>
      <c r="EI10" s="14">
        <f t="shared" si="31"/>
        <v>17.39</v>
      </c>
      <c r="EJ10" s="1">
        <f t="shared" si="31"/>
        <v>19.739999999999998</v>
      </c>
      <c r="EK10" s="1">
        <f t="shared" si="31"/>
        <v>19.739999999999998</v>
      </c>
      <c r="EL10" s="1">
        <f t="shared" si="31"/>
        <v>19.739999999999998</v>
      </c>
      <c r="EM10" s="1">
        <f t="shared" si="31"/>
        <v>19.739999999999998</v>
      </c>
      <c r="EN10" s="1">
        <f t="shared" si="31"/>
        <v>19.739999999999998</v>
      </c>
      <c r="EO10" s="1">
        <f t="shared" si="31"/>
        <v>19.739999999999998</v>
      </c>
      <c r="EP10" s="1">
        <f t="shared" si="31"/>
        <v>19.739999999999998</v>
      </c>
      <c r="EQ10" s="1">
        <f t="shared" si="31"/>
        <v>19.739999999999998</v>
      </c>
      <c r="ER10" s="1">
        <f t="shared" si="31"/>
        <v>19.739999999999998</v>
      </c>
      <c r="ES10" s="1">
        <f t="shared" si="31"/>
        <v>19.739999999999998</v>
      </c>
      <c r="ET10" s="1">
        <f t="shared" si="31"/>
        <v>19.739999999999998</v>
      </c>
      <c r="EU10" s="1">
        <f t="shared" si="31"/>
        <v>19.739999999999998</v>
      </c>
      <c r="EV10" s="1">
        <f t="shared" si="31"/>
        <v>18.77</v>
      </c>
      <c r="EW10" s="1">
        <f t="shared" si="31"/>
        <v>18.77</v>
      </c>
      <c r="EX10" s="1">
        <f t="shared" si="32"/>
        <v>18.77</v>
      </c>
      <c r="EY10" s="1">
        <f t="shared" si="32"/>
        <v>18.77</v>
      </c>
      <c r="EZ10" s="1">
        <f t="shared" si="32"/>
        <v>18.77</v>
      </c>
      <c r="FA10" s="1">
        <f t="shared" si="32"/>
        <v>18.77</v>
      </c>
      <c r="FB10" s="1">
        <f t="shared" si="32"/>
        <v>18.77</v>
      </c>
      <c r="FC10" s="1">
        <f t="shared" si="32"/>
        <v>18.77</v>
      </c>
      <c r="FD10" s="1">
        <f t="shared" si="32"/>
        <v>18.77</v>
      </c>
      <c r="FE10" s="1">
        <f t="shared" si="32"/>
        <v>18.77</v>
      </c>
      <c r="FG10" s="162">
        <f t="shared" si="33"/>
        <v>0.78649505326186242</v>
      </c>
    </row>
    <row r="11" spans="1:163" ht="30" customHeight="1">
      <c r="A11" s="226" t="s">
        <v>116</v>
      </c>
      <c r="B11" s="227"/>
      <c r="C11" s="228">
        <f t="shared" si="5"/>
        <v>0</v>
      </c>
      <c r="D11" s="229">
        <v>1</v>
      </c>
      <c r="E11" s="230">
        <f t="shared" si="6"/>
        <v>0.15455223987534095</v>
      </c>
      <c r="F11" s="231">
        <f t="shared" si="7"/>
        <v>2.2145479340093255E-2</v>
      </c>
      <c r="G11" s="230">
        <f t="shared" si="8"/>
        <v>4.9836090612159989E-2</v>
      </c>
      <c r="H11" s="231">
        <f t="shared" si="9"/>
        <v>0.10471614926318096</v>
      </c>
      <c r="I11" s="230">
        <f t="shared" si="10"/>
        <v>3.0805605699222021</v>
      </c>
      <c r="J11" s="231">
        <f t="shared" si="11"/>
        <v>0.33295778977154633</v>
      </c>
      <c r="K11" s="230">
        <f t="shared" si="34"/>
        <v>2.5636932797541143</v>
      </c>
      <c r="L11" s="231">
        <f t="shared" si="12"/>
        <v>0.51686729016808775</v>
      </c>
      <c r="M11" s="232"/>
      <c r="N11" s="229"/>
      <c r="O11" s="230" t="str">
        <f t="shared" si="35"/>
        <v/>
      </c>
      <c r="P11" s="233" t="str">
        <f t="shared" si="36"/>
        <v/>
      </c>
      <c r="Q11" s="230">
        <f t="shared" si="13"/>
        <v>0</v>
      </c>
      <c r="R11" s="234">
        <f t="shared" si="37"/>
        <v>0</v>
      </c>
      <c r="S11" s="232"/>
      <c r="T11" s="198">
        <v>-1</v>
      </c>
      <c r="U11" s="230">
        <f t="shared" si="14"/>
        <v>-0.22470181266521039</v>
      </c>
      <c r="V11" s="235">
        <f t="shared" si="15"/>
        <v>-0.22470181266521039</v>
      </c>
      <c r="W11" s="239">
        <f t="shared" si="38"/>
        <v>-8.2920227666335444E-2</v>
      </c>
      <c r="X11" s="235">
        <f t="shared" si="16"/>
        <v>-8.2920227666335444E-2</v>
      </c>
      <c r="Y11" s="230" t="str">
        <f t="shared" si="17"/>
        <v/>
      </c>
      <c r="Z11" s="235" t="str">
        <f t="shared" si="18"/>
        <v/>
      </c>
      <c r="AA11" s="238"/>
      <c r="AB11" s="242" t="s">
        <v>480</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4</v>
      </c>
      <c r="AY11" s="58">
        <f>VLOOKUP($A11,historia!$A$5:$CM$24,+HLOOKUP(AY$2,historia!$A$3:$EC$4,2,FALSE),FALSE)</f>
        <v>4</v>
      </c>
      <c r="AZ11" s="58">
        <f>VLOOKUP($A11,historia!$A$5:$CM$24,+HLOOKUP(AZ$2,historia!$A$3:$EC$4,2,FALSE),FALSE)</f>
        <v>3</v>
      </c>
      <c r="BA11" s="58">
        <f>VLOOKUP($A11,historia!$A$5:$CM$24,+HLOOKUP(BA$2,historia!$A$3:$EC$4,2,FALSE),FALSE)</f>
        <v>3</v>
      </c>
      <c r="BB11" s="30"/>
      <c r="BC11" s="141">
        <v>3</v>
      </c>
      <c r="BD11" t="str">
        <f t="shared" si="19"/>
        <v>Forestal</v>
      </c>
      <c r="BE11">
        <f>+datos!BG1</f>
        <v>59</v>
      </c>
      <c r="BF11" s="2" t="str">
        <f t="shared" si="4"/>
        <v>$/t</v>
      </c>
      <c r="BG11" s="2">
        <f t="shared" si="4"/>
        <v>24057.964980118821</v>
      </c>
      <c r="BH11" s="2">
        <f t="shared" si="4"/>
        <v>20837.485000000001</v>
      </c>
      <c r="BI11" s="2">
        <f t="shared" si="4"/>
        <v>5895.75</v>
      </c>
      <c r="BK11">
        <f>+datos!CZ1</f>
        <v>104</v>
      </c>
      <c r="BL11" s="2">
        <f t="shared" si="20"/>
        <v>7710.8747349605064</v>
      </c>
      <c r="BM11" s="2">
        <f t="shared" si="20"/>
        <v>7344.836783487116</v>
      </c>
      <c r="BN11" s="2">
        <f t="shared" si="20"/>
        <v>2163.7313117734243</v>
      </c>
      <c r="BP11" s="1">
        <f>+datos!ES1</f>
        <v>149</v>
      </c>
      <c r="BQ11" s="1">
        <f t="shared" si="21"/>
        <v>0</v>
      </c>
      <c r="BR11" s="1">
        <f t="shared" si="21"/>
        <v>0</v>
      </c>
      <c r="BT11" s="1">
        <f>+datos!GI1</f>
        <v>191</v>
      </c>
      <c r="BU11" s="1">
        <f t="shared" si="22"/>
        <v>1302556</v>
      </c>
      <c r="BV11" s="1">
        <f t="shared" si="22"/>
        <v>1302556</v>
      </c>
      <c r="BX11" s="1">
        <f>+datos!KB1</f>
        <v>288</v>
      </c>
      <c r="BY11" s="1">
        <f t="shared" si="39"/>
        <v>286.70296694000001</v>
      </c>
      <c r="BZ11" s="1">
        <f t="shared" si="40"/>
        <v>369.79702986999996</v>
      </c>
      <c r="CB11" s="1">
        <f>+datos!LG1</f>
        <v>319</v>
      </c>
      <c r="CC11" s="2">
        <f t="shared" si="23"/>
        <v>240.14787455000001</v>
      </c>
      <c r="CD11" s="2">
        <f t="shared" si="24"/>
        <v>261.86148881999998</v>
      </c>
      <c r="CF11" s="1">
        <f>+datos!IW1</f>
        <v>257</v>
      </c>
      <c r="CG11" s="1">
        <f t="shared" si="25"/>
        <v>0</v>
      </c>
      <c r="CH11" s="1">
        <f t="shared" si="26"/>
        <v>0</v>
      </c>
      <c r="CJ11" s="1">
        <f t="shared" si="27"/>
        <v>23.932255000000001</v>
      </c>
      <c r="CK11" s="1">
        <f t="shared" si="27"/>
        <v>23.104867779999999</v>
      </c>
      <c r="CL11" s="1">
        <f t="shared" si="27"/>
        <v>24.797754910000005</v>
      </c>
      <c r="CM11" s="1">
        <f t="shared" si="27"/>
        <v>26.00374025</v>
      </c>
      <c r="CN11" s="1">
        <f t="shared" si="27"/>
        <v>24.373047020000001</v>
      </c>
      <c r="CO11" s="1">
        <f t="shared" si="27"/>
        <v>25.649224320000002</v>
      </c>
      <c r="CP11" s="1">
        <f t="shared" si="27"/>
        <v>23.667757810000001</v>
      </c>
      <c r="CQ11" s="1">
        <f t="shared" si="27"/>
        <v>25.088845019999997</v>
      </c>
      <c r="CR11" s="1">
        <f t="shared" si="27"/>
        <v>26.5668471</v>
      </c>
      <c r="CS11" s="1">
        <f t="shared" si="27"/>
        <v>23.814064600000002</v>
      </c>
      <c r="CT11" s="1">
        <f t="shared" si="27"/>
        <v>20.56411928</v>
      </c>
      <c r="CU11" s="1">
        <f t="shared" si="27"/>
        <v>19.140443850000004</v>
      </c>
      <c r="CV11" s="1">
        <f t="shared" si="27"/>
        <v>31.026984670000001</v>
      </c>
      <c r="CW11" s="1">
        <f t="shared" si="27"/>
        <v>29.568283169999997</v>
      </c>
      <c r="CX11" s="1">
        <f t="shared" si="27"/>
        <v>27.46490245</v>
      </c>
      <c r="CY11" s="1">
        <f t="shared" si="27"/>
        <v>28.769997110000002</v>
      </c>
      <c r="CZ11" s="1">
        <f t="shared" si="28"/>
        <v>29.99355989</v>
      </c>
      <c r="DA11" s="1">
        <f t="shared" si="28"/>
        <v>28.322168269999992</v>
      </c>
      <c r="DB11" s="1">
        <f t="shared" si="28"/>
        <v>25.822628249999998</v>
      </c>
      <c r="DC11" s="1">
        <f t="shared" si="28"/>
        <v>36.275852910000005</v>
      </c>
      <c r="DD11" s="1">
        <f t="shared" si="28"/>
        <v>32.140367229999995</v>
      </c>
      <c r="DE11" s="1">
        <f t="shared" si="28"/>
        <v>32.281321340000005</v>
      </c>
      <c r="DF11" s="1">
        <f t="shared" si="28"/>
        <v>29.416825530000004</v>
      </c>
      <c r="DG11" s="1">
        <f t="shared" si="28"/>
        <v>38.714139049999993</v>
      </c>
      <c r="DI11" s="1">
        <f t="shared" si="29"/>
        <v>13.107541810000001</v>
      </c>
      <c r="DJ11" s="1">
        <f t="shared" si="29"/>
        <v>9.0834929199999994</v>
      </c>
      <c r="DK11" s="1">
        <f t="shared" si="29"/>
        <v>9.5859924200000002</v>
      </c>
      <c r="DL11" s="1">
        <f t="shared" si="29"/>
        <v>12.114691449999999</v>
      </c>
      <c r="DM11" s="1">
        <f t="shared" si="29"/>
        <v>21.937746180000001</v>
      </c>
      <c r="DN11" s="1">
        <f t="shared" si="29"/>
        <v>16.68359323</v>
      </c>
      <c r="DO11" s="1">
        <f t="shared" si="29"/>
        <v>23.390239519999994</v>
      </c>
      <c r="DP11" s="1">
        <f t="shared" si="29"/>
        <v>24.97777258</v>
      </c>
      <c r="DQ11" s="1">
        <f t="shared" si="29"/>
        <v>25.979397770000002</v>
      </c>
      <c r="DR11" s="1">
        <f t="shared" si="29"/>
        <v>26.663923630000003</v>
      </c>
      <c r="DS11" s="1">
        <f t="shared" si="29"/>
        <v>25.77809422</v>
      </c>
      <c r="DT11" s="1">
        <f t="shared" si="29"/>
        <v>30.845388820000004</v>
      </c>
      <c r="DU11" s="1">
        <f t="shared" si="29"/>
        <v>19.314417040000002</v>
      </c>
      <c r="DV11" s="1">
        <f t="shared" si="29"/>
        <v>23.096508839999995</v>
      </c>
      <c r="DW11" s="1">
        <f t="shared" si="29"/>
        <v>19.891111379999998</v>
      </c>
      <c r="DX11" s="1">
        <f t="shared" si="29"/>
        <v>18.931102379999999</v>
      </c>
      <c r="DY11" s="1">
        <f t="shared" si="30"/>
        <v>26.50290536</v>
      </c>
      <c r="DZ11" s="1">
        <f t="shared" si="30"/>
        <v>21.937275429999996</v>
      </c>
      <c r="EA11" s="1">
        <f t="shared" si="30"/>
        <v>24.868573239999996</v>
      </c>
      <c r="EB11" s="1">
        <f t="shared" si="30"/>
        <v>0</v>
      </c>
      <c r="EC11" s="1">
        <f t="shared" si="30"/>
        <v>28.392692970000002</v>
      </c>
      <c r="ED11" s="1">
        <f t="shared" si="30"/>
        <v>26.685130170000001</v>
      </c>
      <c r="EE11" s="1">
        <f t="shared" si="30"/>
        <v>23.828582620000002</v>
      </c>
      <c r="EF11" s="1">
        <f t="shared" si="30"/>
        <v>28.413189390000003</v>
      </c>
      <c r="EH11" s="14">
        <f t="shared" si="31"/>
        <v>0</v>
      </c>
      <c r="EI11" s="14">
        <f t="shared" si="31"/>
        <v>0</v>
      </c>
      <c r="EJ11" s="1">
        <f t="shared" si="31"/>
        <v>0</v>
      </c>
      <c r="EK11" s="1">
        <f t="shared" si="31"/>
        <v>0</v>
      </c>
      <c r="EL11" s="1">
        <f t="shared" si="31"/>
        <v>0</v>
      </c>
      <c r="EM11" s="1">
        <f t="shared" si="31"/>
        <v>0</v>
      </c>
      <c r="EN11" s="1">
        <f t="shared" si="31"/>
        <v>0</v>
      </c>
      <c r="EO11" s="1">
        <f t="shared" si="31"/>
        <v>0</v>
      </c>
      <c r="EP11" s="1">
        <f t="shared" si="31"/>
        <v>0</v>
      </c>
      <c r="EQ11" s="1">
        <f t="shared" si="31"/>
        <v>0</v>
      </c>
      <c r="ER11" s="1">
        <f t="shared" si="31"/>
        <v>0</v>
      </c>
      <c r="ES11" s="1">
        <f t="shared" si="31"/>
        <v>0</v>
      </c>
      <c r="ET11" s="1">
        <f t="shared" si="31"/>
        <v>0</v>
      </c>
      <c r="EU11" s="1">
        <f t="shared" si="31"/>
        <v>0</v>
      </c>
      <c r="EV11" s="1">
        <f t="shared" si="31"/>
        <v>0</v>
      </c>
      <c r="EW11" s="1">
        <f t="shared" si="31"/>
        <v>0</v>
      </c>
      <c r="EX11" s="1">
        <f t="shared" si="32"/>
        <v>0</v>
      </c>
      <c r="EY11" s="1">
        <f t="shared" si="32"/>
        <v>0</v>
      </c>
      <c r="EZ11" s="1">
        <f t="shared" si="32"/>
        <v>0</v>
      </c>
      <c r="FA11" s="1">
        <f t="shared" si="32"/>
        <v>0</v>
      </c>
      <c r="FB11" s="1">
        <f t="shared" si="32"/>
        <v>0</v>
      </c>
      <c r="FC11" s="1">
        <f t="shared" si="32"/>
        <v>0</v>
      </c>
      <c r="FD11" s="1">
        <f t="shared" si="32"/>
        <v>0</v>
      </c>
      <c r="FE11" s="1">
        <f t="shared" si="32"/>
        <v>0</v>
      </c>
      <c r="FG11" s="162">
        <f t="shared" si="33"/>
        <v>0.51686729016808775</v>
      </c>
    </row>
    <row r="12" spans="1:163" ht="30" customHeight="1">
      <c r="A12" s="222" t="s">
        <v>216</v>
      </c>
      <c r="B12" s="212"/>
      <c r="C12" s="156">
        <f t="shared" si="5"/>
        <v>-1.32</v>
      </c>
      <c r="D12" s="198">
        <v>-1</v>
      </c>
      <c r="E12" s="213">
        <f t="shared" si="6"/>
        <v>-6.6225990046863137E-3</v>
      </c>
      <c r="F12" s="214">
        <f t="shared" si="7"/>
        <v>-0.13902935953993401</v>
      </c>
      <c r="G12" s="213">
        <f t="shared" si="8"/>
        <v>4.4226909615703303E-3</v>
      </c>
      <c r="H12" s="214">
        <f t="shared" si="9"/>
        <v>-1.1045289966256644E-2</v>
      </c>
      <c r="I12" s="213">
        <f t="shared" si="10"/>
        <v>2.0289529043338446</v>
      </c>
      <c r="J12" s="214">
        <f t="shared" si="11"/>
        <v>-0.71864987581681117</v>
      </c>
      <c r="K12" s="213">
        <f t="shared" si="34"/>
        <v>2.3249653432498945</v>
      </c>
      <c r="L12" s="214">
        <f t="shared" si="12"/>
        <v>-0.29601243891604989</v>
      </c>
      <c r="M12" s="215"/>
      <c r="N12" s="198">
        <v>-2</v>
      </c>
      <c r="O12" s="213">
        <f t="shared" si="35"/>
        <v>-4.4104331571107602E-3</v>
      </c>
      <c r="P12" s="216">
        <f t="shared" si="36"/>
        <v>-4.4104331571107602E-3</v>
      </c>
      <c r="Q12" s="213">
        <f t="shared" si="13"/>
        <v>-2.6634849249690284E-2</v>
      </c>
      <c r="R12" s="217">
        <f t="shared" si="37"/>
        <v>-2.6634849249690284E-2</v>
      </c>
      <c r="S12" s="215"/>
      <c r="T12" s="198">
        <v>-1</v>
      </c>
      <c r="U12" s="213">
        <f t="shared" si="14"/>
        <v>-0.33017270503503993</v>
      </c>
      <c r="V12" s="45">
        <f t="shared" si="15"/>
        <v>-0.33017270503503993</v>
      </c>
      <c r="W12" s="213">
        <f t="shared" si="38"/>
        <v>1.2818115225319899</v>
      </c>
      <c r="X12" s="45">
        <f t="shared" si="16"/>
        <v>1.2818115225319899</v>
      </c>
      <c r="Y12" s="213">
        <f t="shared" si="17"/>
        <v>-2.3308171103165187E-2</v>
      </c>
      <c r="Z12" s="45">
        <f t="shared" si="18"/>
        <v>-2.3308171103165187E-2</v>
      </c>
      <c r="AA12" s="30"/>
      <c r="AB12" s="242" t="s">
        <v>481</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P12" s="28">
        <f>VLOOKUP($A12,historia!$A$5:$CM$24,+HLOOKUP(AP$2,historia!$A$3:$EC$4,2,FALSE),FALSE)</f>
        <v>5</v>
      </c>
      <c r="AQ12" s="28">
        <f>VLOOKUP($A12,historia!$A$5:$CM$24,+HLOOKUP(AQ$2,historia!$A$3:$EC$4,2,FALSE),FALSE)</f>
        <v>5</v>
      </c>
      <c r="AR12" s="28">
        <f>VLOOKUP($A12,historia!$A$5:$CM$24,+HLOOKUP(AR$2,historia!$A$3:$EC$4,2,FALSE),FALSE)</f>
        <v>5</v>
      </c>
      <c r="AS12" s="28">
        <f>VLOOKUP($A12,historia!$A$5:$CM$24,+HLOOKUP(AS$2,historia!$A$3:$EC$4,2,FALSE),FALSE)</f>
        <v>5</v>
      </c>
      <c r="AT12" s="58">
        <f>VLOOKUP($A12,historia!$A$5:$CM$24,+HLOOKUP(AT$2,historia!$A$3:$EC$4,2,FALSE),FALSE)</f>
        <v>5</v>
      </c>
      <c r="AU12" s="58">
        <f>VLOOKUP($A12,historia!$A$5:$CM$24,+HLOOKUP(AU$2,historia!$A$3:$EC$4,2,FALSE),FALSE)</f>
        <v>5</v>
      </c>
      <c r="AV12" s="58">
        <f>VLOOKUP($A12,historia!$A$5:$CM$24,+HLOOKUP(AV$2,historia!$A$3:$EC$4,2,FALSE),FALSE)</f>
        <v>5</v>
      </c>
      <c r="AW12" s="58">
        <f>VLOOKUP($A12,historia!$A$5:$CM$24,+HLOOKUP(AW$2,historia!$A$3:$EC$4,2,FALSE),FALSE)</f>
        <v>5</v>
      </c>
      <c r="AX12" s="58">
        <f>VLOOKUP($A12,historia!$A$5:$CM$24,+HLOOKUP(AX$2,historia!$A$3:$EC$4,2,FALSE),FALSE)</f>
        <v>5</v>
      </c>
      <c r="AY12" s="58">
        <f>VLOOKUP($A12,historia!$A$5:$CM$24,+HLOOKUP(AY$2,historia!$A$3:$EC$4,2,FALSE),FALSE)</f>
        <v>5</v>
      </c>
      <c r="AZ12" s="58">
        <f>VLOOKUP($A12,historia!$A$5:$CM$24,+HLOOKUP(AZ$2,historia!$A$3:$EC$4,2,FALSE),FALSE)</f>
        <v>5</v>
      </c>
      <c r="BA12" s="58">
        <f>VLOOKUP($A12,historia!$A$5:$CM$24,+HLOOKUP(BA$2,historia!$A$3:$EC$4,2,FALSE),FALSE)</f>
        <v>5</v>
      </c>
      <c r="BB12" s="30"/>
      <c r="BC12" s="141">
        <v>5</v>
      </c>
      <c r="BD12" t="str">
        <f t="shared" si="19"/>
        <v>Granos</v>
      </c>
      <c r="BE12">
        <f>+datos!AE1</f>
        <v>31</v>
      </c>
      <c r="BF12" s="2" t="str">
        <f t="shared" si="4"/>
        <v>$/t</v>
      </c>
      <c r="BG12" s="2">
        <f t="shared" si="4"/>
        <v>193122.68714999998</v>
      </c>
      <c r="BH12" s="2">
        <f t="shared" si="4"/>
        <v>194410.18786666665</v>
      </c>
      <c r="BI12" s="2">
        <f t="shared" si="4"/>
        <v>63758.893997222222</v>
      </c>
      <c r="BK12">
        <f>+datos!CG1</f>
        <v>85</v>
      </c>
      <c r="BL12" s="2">
        <f t="shared" si="20"/>
        <v>7550.6279424411441</v>
      </c>
      <c r="BM12" s="2">
        <f t="shared" si="20"/>
        <v>7517.3808899245923</v>
      </c>
      <c r="BN12" s="2">
        <f t="shared" si="20"/>
        <v>2270.8892162650313</v>
      </c>
      <c r="BP12" s="1">
        <f>+datos!EA1</f>
        <v>131</v>
      </c>
      <c r="BQ12" s="1">
        <f t="shared" si="21"/>
        <v>34086000</v>
      </c>
      <c r="BR12" s="1">
        <f t="shared" si="21"/>
        <v>34237000</v>
      </c>
      <c r="BT12" s="1">
        <f>+datos!FV1</f>
        <v>178</v>
      </c>
      <c r="BU12" s="1">
        <f t="shared" si="22"/>
        <v>106053000</v>
      </c>
      <c r="BV12" s="1">
        <f t="shared" si="22"/>
        <v>108955000</v>
      </c>
      <c r="BX12" s="1">
        <f>+datos!LQ1</f>
        <v>329</v>
      </c>
      <c r="BY12" s="1">
        <f>+SUM(CJ12:CU12)</f>
        <v>37688.889638729997</v>
      </c>
      <c r="BZ12" s="1">
        <f t="shared" si="40"/>
        <v>56266.577850789996</v>
      </c>
      <c r="CB12" s="1">
        <f>+datos!LU1</f>
        <v>333</v>
      </c>
      <c r="CC12" s="2">
        <f t="shared" si="23"/>
        <v>5512.1916197800001</v>
      </c>
      <c r="CD12" s="2">
        <f t="shared" si="24"/>
        <v>2415.7085567099998</v>
      </c>
      <c r="CF12" s="1">
        <f>+datos!II1</f>
        <v>243</v>
      </c>
      <c r="CG12" s="1">
        <f t="shared" si="25"/>
        <v>73750000</v>
      </c>
      <c r="CH12" s="1">
        <f t="shared" si="26"/>
        <v>75510000</v>
      </c>
      <c r="CJ12" s="1">
        <f>+VLOOKUP(CJ$1,ran_dat,$BX12,FALSE)</f>
        <v>3089.4855235099994</v>
      </c>
      <c r="CK12" s="1">
        <f t="shared" si="27"/>
        <v>3929.1762735700004</v>
      </c>
      <c r="CL12" s="1">
        <f t="shared" si="27"/>
        <v>2955.6698254600001</v>
      </c>
      <c r="CM12" s="1">
        <f t="shared" si="27"/>
        <v>2441.9361675499999</v>
      </c>
      <c r="CN12" s="1">
        <f t="shared" si="27"/>
        <v>2439.6070879799995</v>
      </c>
      <c r="CO12" s="1">
        <f t="shared" si="27"/>
        <v>2937.94498135</v>
      </c>
      <c r="CP12" s="1">
        <f t="shared" si="27"/>
        <v>3422.8062754199996</v>
      </c>
      <c r="CQ12" s="1">
        <f t="shared" si="27"/>
        <v>3305.4373540500001</v>
      </c>
      <c r="CR12" s="1">
        <f t="shared" si="27"/>
        <v>3388.1727426199996</v>
      </c>
      <c r="CS12" s="1">
        <f t="shared" si="27"/>
        <v>3792.8302867999996</v>
      </c>
      <c r="CT12" s="1">
        <f t="shared" si="27"/>
        <v>3116.9694759099998</v>
      </c>
      <c r="CU12" s="1">
        <f t="shared" si="27"/>
        <v>2868.8536445099994</v>
      </c>
      <c r="CV12" s="1">
        <f t="shared" si="27"/>
        <v>2796.6599858300006</v>
      </c>
      <c r="CW12" s="1">
        <f t="shared" si="27"/>
        <v>2718.2915703099998</v>
      </c>
      <c r="CX12" s="1">
        <f t="shared" si="27"/>
        <v>4151.50946449</v>
      </c>
      <c r="CY12" s="1">
        <f t="shared" si="27"/>
        <v>4450.8165799199996</v>
      </c>
      <c r="CZ12" s="1">
        <f t="shared" si="28"/>
        <v>4813.7104364100005</v>
      </c>
      <c r="DA12" s="1">
        <f t="shared" si="28"/>
        <v>4478.853701</v>
      </c>
      <c r="DB12" s="1">
        <f t="shared" si="28"/>
        <v>4612.5251936800005</v>
      </c>
      <c r="DC12" s="1">
        <f t="shared" si="28"/>
        <v>5195.93512749</v>
      </c>
      <c r="DD12" s="1">
        <f t="shared" si="28"/>
        <v>5746.4543398300002</v>
      </c>
      <c r="DE12" s="1">
        <f t="shared" si="28"/>
        <v>6546.8492174599996</v>
      </c>
      <c r="DF12" s="1">
        <f t="shared" si="28"/>
        <v>5984.8672564199987</v>
      </c>
      <c r="DG12" s="1">
        <f t="shared" si="28"/>
        <v>4770.1049779499999</v>
      </c>
      <c r="DI12" s="1">
        <f t="shared" si="29"/>
        <v>280.54397103999997</v>
      </c>
      <c r="DJ12" s="1">
        <f t="shared" si="29"/>
        <v>63.525792080000002</v>
      </c>
      <c r="DK12" s="1">
        <f t="shared" si="29"/>
        <v>301.92103216000004</v>
      </c>
      <c r="DL12" s="1">
        <f t="shared" si="29"/>
        <v>260.76831764999997</v>
      </c>
      <c r="DM12" s="1">
        <f t="shared" si="29"/>
        <v>244.67742642000002</v>
      </c>
      <c r="DN12" s="1">
        <f t="shared" si="29"/>
        <v>322.58249758000005</v>
      </c>
      <c r="DO12" s="1">
        <f t="shared" si="29"/>
        <v>495.08938117000014</v>
      </c>
      <c r="DP12" s="1">
        <f t="shared" si="29"/>
        <v>539.06610803000001</v>
      </c>
      <c r="DQ12" s="1">
        <f t="shared" si="29"/>
        <v>828.84254484999997</v>
      </c>
      <c r="DR12" s="1">
        <f t="shared" si="29"/>
        <v>679.74768902999983</v>
      </c>
      <c r="DS12" s="1">
        <f t="shared" si="29"/>
        <v>678.42759025000009</v>
      </c>
      <c r="DT12" s="1">
        <f t="shared" si="29"/>
        <v>816.99926951999987</v>
      </c>
      <c r="DU12" s="1">
        <f t="shared" si="29"/>
        <v>236.29083821</v>
      </c>
      <c r="DV12" s="1">
        <f t="shared" si="29"/>
        <v>13.603287699999997</v>
      </c>
      <c r="DW12" s="1">
        <f t="shared" si="29"/>
        <v>8.4785749999999993E-2</v>
      </c>
      <c r="DX12" s="1">
        <f t="shared" si="29"/>
        <v>140.70586015999999</v>
      </c>
      <c r="DY12" s="1">
        <f t="shared" si="30"/>
        <v>7.5318475299999985</v>
      </c>
      <c r="DZ12" s="1">
        <f t="shared" si="30"/>
        <v>157.51314244999998</v>
      </c>
      <c r="EA12" s="1">
        <f t="shared" si="30"/>
        <v>227.42549563</v>
      </c>
      <c r="EB12" s="1">
        <f t="shared" si="30"/>
        <v>265.08736985999997</v>
      </c>
      <c r="EC12" s="1">
        <f t="shared" si="30"/>
        <v>444.08673073</v>
      </c>
      <c r="ED12" s="1">
        <f t="shared" si="30"/>
        <v>372.45221643000002</v>
      </c>
      <c r="EE12" s="1">
        <f t="shared" si="30"/>
        <v>268.34042300999999</v>
      </c>
      <c r="EF12" s="1">
        <f t="shared" si="30"/>
        <v>282.58655924999999</v>
      </c>
      <c r="EH12" s="14">
        <f t="shared" si="31"/>
        <v>73750000</v>
      </c>
      <c r="EI12" s="14">
        <f t="shared" si="31"/>
        <v>73450000</v>
      </c>
      <c r="EJ12" s="1">
        <f t="shared" si="31"/>
        <v>73450000</v>
      </c>
      <c r="EK12" s="1">
        <f t="shared" si="31"/>
        <v>73450000</v>
      </c>
      <c r="EL12" s="1">
        <f t="shared" si="31"/>
        <v>73450000</v>
      </c>
      <c r="EM12" s="1">
        <f t="shared" si="31"/>
        <v>73450000</v>
      </c>
      <c r="EN12" s="1">
        <f t="shared" si="31"/>
        <v>73450000</v>
      </c>
      <c r="EO12" s="1">
        <f t="shared" si="31"/>
        <v>73450000</v>
      </c>
      <c r="EP12" s="1">
        <f t="shared" si="31"/>
        <v>73450000</v>
      </c>
      <c r="EQ12" s="1">
        <f t="shared" si="31"/>
        <v>73450000</v>
      </c>
      <c r="ER12" s="1">
        <f t="shared" si="31"/>
        <v>73450000</v>
      </c>
      <c r="ES12" s="1">
        <f t="shared" si="31"/>
        <v>74890000</v>
      </c>
      <c r="ET12" s="1">
        <f t="shared" si="31"/>
        <v>75510000</v>
      </c>
      <c r="EU12" s="1">
        <f t="shared" si="31"/>
        <v>75510000</v>
      </c>
      <c r="EV12" s="1">
        <f t="shared" si="31"/>
        <v>75060000</v>
      </c>
      <c r="EW12" s="1">
        <f t="shared" si="31"/>
        <v>75060000</v>
      </c>
      <c r="EX12" s="1">
        <f t="shared" si="32"/>
        <v>75060000</v>
      </c>
      <c r="EY12" s="1">
        <f t="shared" si="32"/>
        <v>75060000</v>
      </c>
      <c r="EZ12" s="1">
        <f t="shared" si="32"/>
        <v>75060000</v>
      </c>
      <c r="FA12" s="1">
        <f t="shared" si="32"/>
        <v>75060000</v>
      </c>
      <c r="FB12" s="1">
        <f t="shared" si="32"/>
        <v>75060000</v>
      </c>
      <c r="FC12" s="1">
        <f t="shared" si="32"/>
        <v>75060000</v>
      </c>
      <c r="FD12" s="1">
        <f t="shared" si="32"/>
        <v>75060000</v>
      </c>
      <c r="FE12" s="1">
        <f t="shared" si="32"/>
        <v>80270000</v>
      </c>
      <c r="FG12" s="162">
        <f t="shared" si="33"/>
        <v>-0.29601243891604989</v>
      </c>
    </row>
    <row r="13" spans="1:163" ht="30" customHeight="1">
      <c r="A13" s="226" t="s">
        <v>217</v>
      </c>
      <c r="B13" s="227"/>
      <c r="C13" s="228">
        <f t="shared" si="5"/>
        <v>0</v>
      </c>
      <c r="D13" s="229">
        <v>-1</v>
      </c>
      <c r="E13" s="230">
        <f t="shared" si="6"/>
        <v>0.22345239490315572</v>
      </c>
      <c r="F13" s="231">
        <f t="shared" si="7"/>
        <v>9.1045634367908024E-2</v>
      </c>
      <c r="G13" s="230">
        <f t="shared" si="8"/>
        <v>6.9714534599982558E-2</v>
      </c>
      <c r="H13" s="231">
        <f t="shared" si="9"/>
        <v>0.15373786030317316</v>
      </c>
      <c r="I13" s="230">
        <f t="shared" si="10"/>
        <v>2.2973863410709474</v>
      </c>
      <c r="J13" s="231">
        <f t="shared" si="11"/>
        <v>-0.45021643907970832</v>
      </c>
      <c r="K13" s="230">
        <f t="shared" si="34"/>
        <v>2.522153994950342</v>
      </c>
      <c r="L13" s="231">
        <f t="shared" si="12"/>
        <v>-0.22476765387939457</v>
      </c>
      <c r="M13" s="232"/>
      <c r="N13" s="229">
        <v>0</v>
      </c>
      <c r="O13" s="230">
        <f t="shared" si="35"/>
        <v>-3.3006472151727695E-2</v>
      </c>
      <c r="P13" s="233">
        <f t="shared" si="36"/>
        <v>-3.3006472151727695E-2</v>
      </c>
      <c r="Q13" s="230">
        <f t="shared" si="13"/>
        <v>-1.4386787894224651E-2</v>
      </c>
      <c r="R13" s="234">
        <f t="shared" si="37"/>
        <v>-1.4386787894224651E-2</v>
      </c>
      <c r="S13" s="232"/>
      <c r="T13" s="229">
        <v>1</v>
      </c>
      <c r="U13" s="230">
        <f t="shared" si="14"/>
        <v>0.32192643006928034</v>
      </c>
      <c r="V13" s="235">
        <f t="shared" si="15"/>
        <v>0.32192643006928034</v>
      </c>
      <c r="W13" s="230">
        <f t="shared" si="38"/>
        <v>-0.43350713653344486</v>
      </c>
      <c r="X13" s="235">
        <f t="shared" si="16"/>
        <v>-0.43350713653344486</v>
      </c>
      <c r="Y13" s="230" t="str">
        <f t="shared" si="17"/>
        <v/>
      </c>
      <c r="Z13" s="235" t="str">
        <f t="shared" si="18"/>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3</v>
      </c>
      <c r="BA13" s="58">
        <f>VLOOKUP($A13,historia!$A$5:$CM$24,+HLOOKUP(BA$2,historia!$A$3:$EC$4,2,FALSE),FALSE)</f>
        <v>3</v>
      </c>
      <c r="BB13" s="30"/>
      <c r="BC13" s="141">
        <v>3</v>
      </c>
      <c r="BD13" t="str">
        <f t="shared" si="19"/>
        <v>Hortalizas</v>
      </c>
      <c r="BE13">
        <f>+datos!BB1</f>
        <v>54</v>
      </c>
      <c r="BF13" s="2" t="str">
        <f t="shared" si="4"/>
        <v>$/kg</v>
      </c>
      <c r="BG13" s="2">
        <f t="shared" si="4"/>
        <v>6890.8514371514366</v>
      </c>
      <c r="BH13" s="2">
        <f t="shared" si="4"/>
        <v>5632.3004195818285</v>
      </c>
      <c r="BI13" s="2">
        <f t="shared" si="4"/>
        <v>2089.7919516805482</v>
      </c>
      <c r="BK13">
        <f>+datos!CO1</f>
        <v>93</v>
      </c>
      <c r="BL13" s="2">
        <f t="shared" si="20"/>
        <v>6909.2465329646557</v>
      </c>
      <c r="BM13" s="2">
        <f t="shared" si="20"/>
        <v>6458.9629377601696</v>
      </c>
      <c r="BN13" s="2">
        <f t="shared" si="20"/>
        <v>1961.6537331616778</v>
      </c>
      <c r="BP13" s="1">
        <f>+datos!EX1</f>
        <v>154</v>
      </c>
      <c r="BQ13" s="1">
        <f t="shared" si="21"/>
        <v>64395</v>
      </c>
      <c r="BR13" s="1">
        <f t="shared" si="21"/>
        <v>66593</v>
      </c>
      <c r="BT13" s="1">
        <f>+datos!GN1</f>
        <v>196</v>
      </c>
      <c r="BU13" s="1">
        <f t="shared" si="22"/>
        <v>2639386</v>
      </c>
      <c r="BV13" s="1">
        <f t="shared" si="22"/>
        <v>2677912.56</v>
      </c>
      <c r="BX13" s="1">
        <f>+datos!LR1</f>
        <v>330</v>
      </c>
      <c r="BY13" s="1">
        <f t="shared" si="39"/>
        <v>68.76006855</v>
      </c>
      <c r="BZ13" s="1">
        <f t="shared" si="40"/>
        <v>52.015049390000001</v>
      </c>
      <c r="CB13" s="1">
        <f>+datos!LV1</f>
        <v>334</v>
      </c>
      <c r="CC13" s="2">
        <f t="shared" si="23"/>
        <v>15.422733040000001</v>
      </c>
      <c r="CD13" s="2">
        <f t="shared" si="24"/>
        <v>27.224937920000002</v>
      </c>
      <c r="CF13" s="1">
        <f>+datos!IX1</f>
        <v>258</v>
      </c>
      <c r="CG13" s="1">
        <f t="shared" si="25"/>
        <v>0</v>
      </c>
      <c r="CH13" s="1">
        <f t="shared" si="26"/>
        <v>0</v>
      </c>
      <c r="CJ13" s="1">
        <f t="shared" si="27"/>
        <v>7.66143427</v>
      </c>
      <c r="CK13" s="1">
        <f t="shared" si="27"/>
        <v>3.9700200400000001</v>
      </c>
      <c r="CL13" s="1">
        <f t="shared" si="27"/>
        <v>4.244482989999999</v>
      </c>
      <c r="CM13" s="1">
        <f t="shared" si="27"/>
        <v>3.7692072699999999</v>
      </c>
      <c r="CN13" s="1">
        <f t="shared" si="27"/>
        <v>4.3561451300000007</v>
      </c>
      <c r="CO13" s="1">
        <f t="shared" si="27"/>
        <v>2.35708815</v>
      </c>
      <c r="CP13" s="1">
        <f t="shared" si="27"/>
        <v>2.9990922500000003</v>
      </c>
      <c r="CQ13" s="1">
        <f t="shared" si="27"/>
        <v>4.9654154400000001</v>
      </c>
      <c r="CR13" s="1">
        <f t="shared" si="27"/>
        <v>7.7556872599999993</v>
      </c>
      <c r="CS13" s="1">
        <f t="shared" si="27"/>
        <v>10.641103850000002</v>
      </c>
      <c r="CT13" s="1">
        <f t="shared" si="27"/>
        <v>9.2379974100000002</v>
      </c>
      <c r="CU13" s="1">
        <f t="shared" si="27"/>
        <v>6.8023944899999993</v>
      </c>
      <c r="CV13" s="1">
        <f t="shared" si="27"/>
        <v>2.5188479500000001</v>
      </c>
      <c r="CW13" s="1">
        <f t="shared" si="27"/>
        <v>1.93600679</v>
      </c>
      <c r="CX13" s="1">
        <f t="shared" si="27"/>
        <v>3.7029913799999998</v>
      </c>
      <c r="CY13" s="1">
        <f t="shared" si="27"/>
        <v>3.1144052499999999</v>
      </c>
      <c r="CZ13" s="1">
        <f t="shared" si="28"/>
        <v>2.0701945399999997</v>
      </c>
      <c r="DA13" s="1">
        <f t="shared" si="28"/>
        <v>2.0629542399999998</v>
      </c>
      <c r="DB13" s="1">
        <f t="shared" si="28"/>
        <v>2.51054522</v>
      </c>
      <c r="DC13" s="1">
        <f t="shared" si="28"/>
        <v>2.2984328500000002</v>
      </c>
      <c r="DD13" s="1">
        <f t="shared" si="28"/>
        <v>3.8278206699999999</v>
      </c>
      <c r="DE13" s="1">
        <f t="shared" si="28"/>
        <v>11.23098199</v>
      </c>
      <c r="DF13" s="1">
        <f t="shared" si="28"/>
        <v>8.9491606099999998</v>
      </c>
      <c r="DG13" s="1">
        <f t="shared" si="28"/>
        <v>7.7927078999999999</v>
      </c>
      <c r="DI13" s="1">
        <f t="shared" si="29"/>
        <v>0.22874177000000001</v>
      </c>
      <c r="DJ13" s="1">
        <f t="shared" si="29"/>
        <v>6.8422739999999996E-2</v>
      </c>
      <c r="DK13" s="1">
        <f t="shared" si="29"/>
        <v>1.38860757</v>
      </c>
      <c r="DL13" s="1">
        <f t="shared" si="29"/>
        <v>1.9631409899999996</v>
      </c>
      <c r="DM13" s="1">
        <f t="shared" si="29"/>
        <v>1.5225679400000001</v>
      </c>
      <c r="DN13" s="1">
        <f t="shared" si="29"/>
        <v>1.3263511099999998</v>
      </c>
      <c r="DO13" s="1">
        <f t="shared" si="29"/>
        <v>2.5091586699999997</v>
      </c>
      <c r="DP13" s="1">
        <f t="shared" si="29"/>
        <v>1.6528733800000002</v>
      </c>
      <c r="DQ13" s="1">
        <f t="shared" si="29"/>
        <v>0.42388491999999994</v>
      </c>
      <c r="DR13" s="1">
        <f t="shared" si="29"/>
        <v>1.7301791</v>
      </c>
      <c r="DS13" s="1">
        <f t="shared" si="29"/>
        <v>2.0483479400000002</v>
      </c>
      <c r="DT13" s="1">
        <f t="shared" si="29"/>
        <v>0.56045690999999997</v>
      </c>
      <c r="DU13" s="1">
        <f t="shared" si="29"/>
        <v>1.1333685500000001</v>
      </c>
      <c r="DV13" s="1">
        <f t="shared" si="29"/>
        <v>1.93118693</v>
      </c>
      <c r="DW13" s="1">
        <f t="shared" si="29"/>
        <v>0.60248590000000002</v>
      </c>
      <c r="DX13" s="1">
        <f t="shared" si="29"/>
        <v>0.87790919000000001</v>
      </c>
      <c r="DY13" s="1">
        <f t="shared" si="30"/>
        <v>1.4386166999999999</v>
      </c>
      <c r="DZ13" s="1">
        <f t="shared" si="30"/>
        <v>5.8540475399999998</v>
      </c>
      <c r="EA13" s="1">
        <f t="shared" si="30"/>
        <v>5.5126731700000002</v>
      </c>
      <c r="EB13" s="1">
        <f t="shared" si="30"/>
        <v>2.0048543400000001</v>
      </c>
      <c r="EC13" s="1">
        <f t="shared" si="30"/>
        <v>1.96789565</v>
      </c>
      <c r="ED13" s="1">
        <f t="shared" si="30"/>
        <v>1.35731402</v>
      </c>
      <c r="EE13" s="1">
        <f t="shared" si="30"/>
        <v>2.5763999899999996</v>
      </c>
      <c r="EF13" s="1">
        <f t="shared" si="30"/>
        <v>1.9681859399999997</v>
      </c>
      <c r="EH13" s="14">
        <f t="shared" si="31"/>
        <v>0</v>
      </c>
      <c r="EI13" s="14">
        <f t="shared" si="31"/>
        <v>0</v>
      </c>
      <c r="EJ13" s="1">
        <f t="shared" si="31"/>
        <v>0</v>
      </c>
      <c r="EK13" s="1">
        <f t="shared" si="31"/>
        <v>0</v>
      </c>
      <c r="EL13" s="1">
        <f t="shared" si="31"/>
        <v>0</v>
      </c>
      <c r="EM13" s="1">
        <f t="shared" si="31"/>
        <v>0</v>
      </c>
      <c r="EN13" s="1">
        <f t="shared" si="31"/>
        <v>0</v>
      </c>
      <c r="EO13" s="1">
        <f t="shared" si="31"/>
        <v>0</v>
      </c>
      <c r="EP13" s="1">
        <f t="shared" si="31"/>
        <v>0</v>
      </c>
      <c r="EQ13" s="1">
        <f t="shared" si="31"/>
        <v>0</v>
      </c>
      <c r="ER13" s="1">
        <f t="shared" si="31"/>
        <v>0</v>
      </c>
      <c r="ES13" s="1">
        <f t="shared" si="31"/>
        <v>0</v>
      </c>
      <c r="ET13" s="1">
        <f t="shared" si="31"/>
        <v>0</v>
      </c>
      <c r="EU13" s="1">
        <f t="shared" si="31"/>
        <v>0</v>
      </c>
      <c r="EV13" s="1">
        <f t="shared" si="31"/>
        <v>0</v>
      </c>
      <c r="EW13" s="1">
        <f t="shared" si="31"/>
        <v>0</v>
      </c>
      <c r="EX13" s="1">
        <f t="shared" si="32"/>
        <v>0</v>
      </c>
      <c r="EY13" s="1">
        <f t="shared" si="32"/>
        <v>0</v>
      </c>
      <c r="EZ13" s="1">
        <f t="shared" si="32"/>
        <v>0</v>
      </c>
      <c r="FA13" s="1">
        <f t="shared" si="32"/>
        <v>0</v>
      </c>
      <c r="FB13" s="1">
        <f t="shared" si="32"/>
        <v>0</v>
      </c>
      <c r="FC13" s="1">
        <f t="shared" si="32"/>
        <v>0</v>
      </c>
      <c r="FD13" s="1">
        <f t="shared" si="32"/>
        <v>0</v>
      </c>
      <c r="FE13" s="1">
        <f t="shared" si="32"/>
        <v>0</v>
      </c>
      <c r="FG13" s="162">
        <f t="shared" si="33"/>
        <v>-0.22476765387939457</v>
      </c>
    </row>
    <row r="14" spans="1:163" ht="30" customHeight="1">
      <c r="A14" s="222" t="s">
        <v>65</v>
      </c>
      <c r="B14" s="212"/>
      <c r="C14" s="156">
        <f t="shared" si="5"/>
        <v>-0.33</v>
      </c>
      <c r="D14" s="198">
        <v>1</v>
      </c>
      <c r="E14" s="213">
        <f t="shared" si="6"/>
        <v>0.19584289931124954</v>
      </c>
      <c r="F14" s="214">
        <f t="shared" si="7"/>
        <v>6.3436138776001849E-2</v>
      </c>
      <c r="G14" s="213">
        <f t="shared" si="8"/>
        <v>-1.1821736273032735E-2</v>
      </c>
      <c r="H14" s="214">
        <f t="shared" si="9"/>
        <v>0.20766463558428228</v>
      </c>
      <c r="I14" s="213">
        <f t="shared" si="10"/>
        <v>2.9396272285251213</v>
      </c>
      <c r="J14" s="214">
        <f t="shared" si="11"/>
        <v>0.19202444837446553</v>
      </c>
      <c r="K14" s="213">
        <f t="shared" si="34"/>
        <v>2.0885062849700353</v>
      </c>
      <c r="L14" s="214">
        <f t="shared" si="12"/>
        <v>0.85112094355508594</v>
      </c>
      <c r="M14" s="215"/>
      <c r="N14" s="198">
        <v>-1</v>
      </c>
      <c r="O14" s="213">
        <f t="shared" si="35"/>
        <v>0</v>
      </c>
      <c r="P14" s="216">
        <f t="shared" si="36"/>
        <v>0</v>
      </c>
      <c r="Q14" s="213">
        <f t="shared" si="13"/>
        <v>-4.2996538402540696E-2</v>
      </c>
      <c r="R14" s="217">
        <f t="shared" si="37"/>
        <v>-4.2996538402540696E-2</v>
      </c>
      <c r="S14" s="215"/>
      <c r="T14" s="198">
        <v>-1</v>
      </c>
      <c r="U14" s="213">
        <f t="shared" si="14"/>
        <v>-0.19638170519072962</v>
      </c>
      <c r="V14" s="45">
        <f t="shared" si="15"/>
        <v>-0.19638170519072962</v>
      </c>
      <c r="W14" s="213">
        <f t="shared" si="38"/>
        <v>-0.2251156198602221</v>
      </c>
      <c r="X14" s="45">
        <f t="shared" si="16"/>
        <v>-0.2251156198602221</v>
      </c>
      <c r="Y14" s="213">
        <f t="shared" si="17"/>
        <v>-9.4379639448568309E-2</v>
      </c>
      <c r="Z14" s="45">
        <f t="shared" si="18"/>
        <v>-9.4379639448568309E-2</v>
      </c>
      <c r="AA14" s="30"/>
      <c r="AB14" s="242" t="s">
        <v>482</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P14" s="28">
        <f>VLOOKUP($A14,historia!$A$5:$CM$24,+HLOOKUP(AP$2,historia!$A$3:$EC$4,2,FALSE),FALSE)</f>
        <v>5</v>
      </c>
      <c r="AQ14" s="28">
        <f>VLOOKUP($A14,historia!$A$5:$CM$24,+HLOOKUP(AQ$2,historia!$A$3:$EC$4,2,FALSE),FALSE)</f>
        <v>5</v>
      </c>
      <c r="AR14" s="28">
        <f>VLOOKUP($A14,historia!$A$5:$CM$24,+HLOOKUP(AR$2,historia!$A$3:$EC$4,2,FALSE),FALSE)</f>
        <v>5</v>
      </c>
      <c r="AS14" s="28">
        <f>VLOOKUP($A14,historia!$A$5:$CM$24,+HLOOKUP(AS$2,historia!$A$3:$EC$4,2,FALSE),FALSE)</f>
        <v>5</v>
      </c>
      <c r="AT14" s="58">
        <f>VLOOKUP($A14,historia!$A$5:$CM$24,+HLOOKUP(AT$2,historia!$A$3:$EC$4,2,FALSE),FALSE)</f>
        <v>5</v>
      </c>
      <c r="AU14" s="58">
        <f>VLOOKUP($A14,historia!$A$5:$CM$24,+HLOOKUP(AU$2,historia!$A$3:$EC$4,2,FALSE),FALSE)</f>
        <v>5</v>
      </c>
      <c r="AV14" s="58">
        <f>VLOOKUP($A14,historia!$A$5:$CM$24,+HLOOKUP(AV$2,historia!$A$3:$EC$4,2,FALSE),FALSE)</f>
        <v>5</v>
      </c>
      <c r="AW14" s="58">
        <f>VLOOKUP($A14,historia!$A$5:$CM$24,+HLOOKUP(AW$2,historia!$A$3:$EC$4,2,FALSE),FALSE)</f>
        <v>5</v>
      </c>
      <c r="AX14" s="58">
        <f>VLOOKUP($A14,historia!$A$5:$CM$24,+HLOOKUP(AX$2,historia!$A$3:$EC$4,2,FALSE),FALSE)</f>
        <v>5</v>
      </c>
      <c r="AY14" s="58">
        <f>VLOOKUP($A14,historia!$A$5:$CM$24,+HLOOKUP(AY$2,historia!$A$3:$EC$4,2,FALSE),FALSE)</f>
        <v>5</v>
      </c>
      <c r="AZ14" s="58">
        <f>VLOOKUP($A14,historia!$A$5:$CM$24,+HLOOKUP(AZ$2,historia!$A$3:$EC$4,2,FALSE),FALSE)</f>
        <v>5</v>
      </c>
      <c r="BA14" s="58">
        <f>VLOOKUP($A14,historia!$A$5:$CM$24,+HLOOKUP(BA$2,historia!$A$3:$EC$4,2,FALSE),FALSE)</f>
        <v>4</v>
      </c>
      <c r="BB14" s="30"/>
      <c r="BC14" s="141">
        <v>4</v>
      </c>
      <c r="BD14" t="str">
        <f t="shared" si="19"/>
        <v>Leche</v>
      </c>
      <c r="BE14">
        <f>+datos!BN1</f>
        <v>66</v>
      </c>
      <c r="BF14" s="2" t="str">
        <f t="shared" si="4"/>
        <v>$/l</v>
      </c>
      <c r="BG14" s="2">
        <f t="shared" si="4"/>
        <v>291.69</v>
      </c>
      <c r="BH14" s="2">
        <f t="shared" si="4"/>
        <v>243.92</v>
      </c>
      <c r="BI14" s="2">
        <f t="shared" si="4"/>
        <v>74.040000000000006</v>
      </c>
      <c r="BK14">
        <f>+datos!DC1</f>
        <v>107</v>
      </c>
      <c r="BL14" s="2">
        <f t="shared" si="20"/>
        <v>7017.7372353483843</v>
      </c>
      <c r="BM14" s="2">
        <f t="shared" si="20"/>
        <v>7101.6915600638822</v>
      </c>
      <c r="BN14" s="2">
        <f t="shared" si="20"/>
        <v>2272.2107672241536</v>
      </c>
      <c r="BP14" s="1">
        <f>+datos!EN1</f>
        <v>144</v>
      </c>
      <c r="BQ14" s="1">
        <f t="shared" si="21"/>
        <v>3169981</v>
      </c>
      <c r="BR14" s="1">
        <f t="shared" si="21"/>
        <v>3169981</v>
      </c>
      <c r="BT14" s="1">
        <f>+datos!HP1</f>
        <v>224</v>
      </c>
      <c r="BU14" s="1">
        <f t="shared" si="22"/>
        <v>11080.999285</v>
      </c>
      <c r="BV14" s="1">
        <f t="shared" si="22"/>
        <v>11578.849742615621</v>
      </c>
      <c r="BX14" s="1">
        <f>+datos!KH1</f>
        <v>294</v>
      </c>
      <c r="BY14" s="1">
        <f t="shared" si="39"/>
        <v>1529.0040956799999</v>
      </c>
      <c r="BZ14" s="1">
        <f t="shared" si="40"/>
        <v>1902.6496852499997</v>
      </c>
      <c r="CB14" s="1">
        <f>+datos!LM1</f>
        <v>325</v>
      </c>
      <c r="CC14" s="2">
        <f t="shared" si="23"/>
        <v>24.71776929</v>
      </c>
      <c r="CD14" s="2">
        <f t="shared" si="24"/>
        <v>31.89865472</v>
      </c>
      <c r="CF14" s="1">
        <f>+datos!IN1</f>
        <v>248</v>
      </c>
      <c r="CG14" s="1">
        <f t="shared" si="25"/>
        <v>170.8</v>
      </c>
      <c r="CH14" s="1">
        <f t="shared" si="26"/>
        <v>188.6</v>
      </c>
      <c r="CJ14" s="1">
        <f t="shared" si="27"/>
        <v>140.50614890000003</v>
      </c>
      <c r="CK14" s="1">
        <f t="shared" si="27"/>
        <v>139.44218023000002</v>
      </c>
      <c r="CL14" s="1">
        <f t="shared" si="27"/>
        <v>153.04661877999999</v>
      </c>
      <c r="CM14" s="1">
        <f t="shared" si="27"/>
        <v>136.81239812999999</v>
      </c>
      <c r="CN14" s="1">
        <f t="shared" si="27"/>
        <v>134.16752365000002</v>
      </c>
      <c r="CO14" s="1">
        <f t="shared" si="27"/>
        <v>114.82793965999997</v>
      </c>
      <c r="CP14" s="1">
        <f t="shared" si="27"/>
        <v>120.47507141999999</v>
      </c>
      <c r="CQ14" s="1">
        <f t="shared" si="27"/>
        <v>118.84770241</v>
      </c>
      <c r="CR14" s="1">
        <f t="shared" si="27"/>
        <v>100.85116919999999</v>
      </c>
      <c r="CS14" s="1">
        <f t="shared" si="27"/>
        <v>116.29617616</v>
      </c>
      <c r="CT14" s="1">
        <f t="shared" si="27"/>
        <v>115.47027065</v>
      </c>
      <c r="CU14" s="1">
        <f t="shared" si="27"/>
        <v>138.26089648999999</v>
      </c>
      <c r="CV14" s="1">
        <f t="shared" si="27"/>
        <v>163.45053632000003</v>
      </c>
      <c r="CW14" s="1">
        <f t="shared" si="27"/>
        <v>135.61809928</v>
      </c>
      <c r="CX14" s="1">
        <f t="shared" si="27"/>
        <v>152.11245593000001</v>
      </c>
      <c r="CY14" s="1">
        <f t="shared" si="27"/>
        <v>167.62191332</v>
      </c>
      <c r="CZ14" s="1">
        <f t="shared" si="28"/>
        <v>194.12902524000003</v>
      </c>
      <c r="DA14" s="1">
        <f t="shared" si="28"/>
        <v>153.24721415000002</v>
      </c>
      <c r="DB14" s="1">
        <f t="shared" si="28"/>
        <v>146.24437125</v>
      </c>
      <c r="DC14" s="1">
        <f t="shared" si="28"/>
        <v>192.10888658000002</v>
      </c>
      <c r="DD14" s="1">
        <f t="shared" si="28"/>
        <v>152.44279752</v>
      </c>
      <c r="DE14" s="1">
        <f t="shared" si="28"/>
        <v>151.50018190000003</v>
      </c>
      <c r="DF14" s="1">
        <f t="shared" si="28"/>
        <v>143.54288933999999</v>
      </c>
      <c r="DG14" s="1">
        <f t="shared" si="28"/>
        <v>150.63131442000002</v>
      </c>
      <c r="DI14" s="1">
        <f t="shared" si="29"/>
        <v>0.38991597</v>
      </c>
      <c r="DJ14" s="1">
        <f t="shared" si="29"/>
        <v>3.0425877200000002</v>
      </c>
      <c r="DK14" s="1">
        <f t="shared" si="29"/>
        <v>1.8227840799999999</v>
      </c>
      <c r="DL14" s="1">
        <f t="shared" si="29"/>
        <v>2.1288867499999999</v>
      </c>
      <c r="DM14" s="1">
        <f t="shared" si="29"/>
        <v>2.0947676</v>
      </c>
      <c r="DN14" s="1">
        <f t="shared" si="29"/>
        <v>1.2699740900000001</v>
      </c>
      <c r="DO14" s="1">
        <f t="shared" si="29"/>
        <v>1.3202370399999999</v>
      </c>
      <c r="DP14" s="1">
        <f t="shared" si="29"/>
        <v>2.29115132</v>
      </c>
      <c r="DQ14" s="1">
        <f t="shared" si="29"/>
        <v>1.8108909100000001</v>
      </c>
      <c r="DR14" s="1">
        <f t="shared" si="29"/>
        <v>3.0093188999999998</v>
      </c>
      <c r="DS14" s="1">
        <f t="shared" si="29"/>
        <v>2.2926081099999998</v>
      </c>
      <c r="DT14" s="1">
        <f t="shared" si="29"/>
        <v>3.2446467999999999</v>
      </c>
      <c r="DU14" s="1">
        <f t="shared" si="29"/>
        <v>2.3068511200000001</v>
      </c>
      <c r="DV14" s="1">
        <f t="shared" si="29"/>
        <v>2.4321035299999991</v>
      </c>
      <c r="DW14" s="1">
        <f t="shared" si="29"/>
        <v>0</v>
      </c>
      <c r="DX14" s="1">
        <f t="shared" si="29"/>
        <v>2.4168714900000001</v>
      </c>
      <c r="DY14" s="1">
        <f t="shared" si="30"/>
        <v>1.42944377</v>
      </c>
      <c r="DZ14" s="1">
        <f t="shared" si="30"/>
        <v>2.4256843100000003</v>
      </c>
      <c r="EA14" s="1">
        <f t="shared" si="30"/>
        <v>4.1067614599999995</v>
      </c>
      <c r="EB14" s="1">
        <f t="shared" si="30"/>
        <v>1.9338399900000003</v>
      </c>
      <c r="EC14" s="1">
        <f t="shared" si="30"/>
        <v>3.7249795299999997</v>
      </c>
      <c r="ED14" s="1">
        <f t="shared" si="30"/>
        <v>4.5194618700000007</v>
      </c>
      <c r="EE14" s="1">
        <f t="shared" si="30"/>
        <v>3.2917525699999999</v>
      </c>
      <c r="EF14" s="1">
        <f t="shared" si="30"/>
        <v>3.3109050799999999</v>
      </c>
      <c r="EH14" s="14">
        <f t="shared" si="31"/>
        <v>170.8</v>
      </c>
      <c r="EI14" s="14">
        <f t="shared" si="31"/>
        <v>187.7</v>
      </c>
      <c r="EJ14" s="1">
        <f t="shared" si="31"/>
        <v>196.8</v>
      </c>
      <c r="EK14" s="1">
        <f t="shared" si="31"/>
        <v>196.8</v>
      </c>
      <c r="EL14" s="1">
        <f t="shared" si="31"/>
        <v>188.6</v>
      </c>
      <c r="EM14" s="1">
        <f t="shared" si="31"/>
        <v>188.6</v>
      </c>
      <c r="EN14" s="1">
        <f t="shared" si="31"/>
        <v>188.6</v>
      </c>
      <c r="EO14" s="1">
        <f t="shared" si="31"/>
        <v>188.6</v>
      </c>
      <c r="EP14" s="1">
        <f t="shared" si="31"/>
        <v>188.6</v>
      </c>
      <c r="EQ14" s="1">
        <f t="shared" si="31"/>
        <v>188.6</v>
      </c>
      <c r="ER14" s="1">
        <f t="shared" si="31"/>
        <v>188.6</v>
      </c>
      <c r="ES14" s="1">
        <f t="shared" si="31"/>
        <v>188.6</v>
      </c>
      <c r="ET14" s="1">
        <f t="shared" si="31"/>
        <v>188.6</v>
      </c>
      <c r="EU14" s="1">
        <f t="shared" si="31"/>
        <v>188.6</v>
      </c>
      <c r="EV14" s="1">
        <f t="shared" si="31"/>
        <v>188.6</v>
      </c>
      <c r="EW14" s="1">
        <f t="shared" si="31"/>
        <v>188.6</v>
      </c>
      <c r="EX14" s="1">
        <f t="shared" si="32"/>
        <v>185.6</v>
      </c>
      <c r="EY14" s="1">
        <f t="shared" si="32"/>
        <v>185.6</v>
      </c>
      <c r="EZ14" s="1">
        <f t="shared" si="32"/>
        <v>189</v>
      </c>
      <c r="FA14" s="1">
        <f t="shared" si="32"/>
        <v>189</v>
      </c>
      <c r="FB14" s="1">
        <f t="shared" si="32"/>
        <v>189</v>
      </c>
      <c r="FC14" s="1">
        <f t="shared" si="32"/>
        <v>189</v>
      </c>
      <c r="FD14" s="1">
        <f t="shared" si="32"/>
        <v>189</v>
      </c>
      <c r="FE14" s="1">
        <f t="shared" si="32"/>
        <v>189</v>
      </c>
      <c r="FG14" s="162">
        <f t="shared" si="33"/>
        <v>0.85112094355508594</v>
      </c>
    </row>
    <row r="15" spans="1:163" ht="30" customHeight="1">
      <c r="A15" s="226" t="s">
        <v>68</v>
      </c>
      <c r="B15" s="227"/>
      <c r="C15" s="228">
        <v>0</v>
      </c>
      <c r="D15" s="229">
        <v>0</v>
      </c>
      <c r="E15" s="230">
        <f t="shared" si="6"/>
        <v>5.5892857142857189E-2</v>
      </c>
      <c r="F15" s="231">
        <f t="shared" si="7"/>
        <v>-7.6513903392390503E-2</v>
      </c>
      <c r="G15" s="230">
        <f t="shared" si="8"/>
        <v>5.0662923482700517E-2</v>
      </c>
      <c r="H15" s="231">
        <f t="shared" si="9"/>
        <v>5.2299336601566715E-3</v>
      </c>
      <c r="I15" s="230">
        <f t="shared" si="10"/>
        <v>0.66783605112384326</v>
      </c>
      <c r="J15" s="231">
        <f t="shared" si="11"/>
        <v>-2.0797667290268125</v>
      </c>
      <c r="K15" s="230">
        <f t="shared" si="34"/>
        <v>2.0072374155960584</v>
      </c>
      <c r="L15" s="231">
        <f t="shared" si="12"/>
        <v>-1.3394013644722151</v>
      </c>
      <c r="M15" s="232"/>
      <c r="N15" s="229">
        <v>0</v>
      </c>
      <c r="O15" s="230">
        <f t="shared" si="35"/>
        <v>-8.022582082899965E-3</v>
      </c>
      <c r="P15" s="233">
        <f t="shared" si="36"/>
        <v>-8.022582082899965E-3</v>
      </c>
      <c r="Q15" s="230">
        <f t="shared" si="13"/>
        <v>-3.262739139568871E-3</v>
      </c>
      <c r="R15" s="234">
        <f t="shared" si="37"/>
        <v>-3.262739139568871E-3</v>
      </c>
      <c r="S15" s="232"/>
      <c r="T15" s="229">
        <v>-1</v>
      </c>
      <c r="U15" s="230" t="str">
        <f t="shared" si="14"/>
        <v/>
      </c>
      <c r="V15" s="235" t="str">
        <f t="shared" si="15"/>
        <v/>
      </c>
      <c r="W15" s="230">
        <f t="shared" si="38"/>
        <v>3.336435282336625E-2</v>
      </c>
      <c r="X15" s="235">
        <f t="shared" si="16"/>
        <v>3.336435282336625E-2</v>
      </c>
      <c r="Y15" s="230">
        <f t="shared" si="17"/>
        <v>0</v>
      </c>
      <c r="Z15" s="235">
        <f t="shared" si="18"/>
        <v>0</v>
      </c>
      <c r="AA15" s="238"/>
      <c r="AB15" s="242" t="s">
        <v>490</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P15" s="28">
        <f>VLOOKUP($A15,historia!$A$5:$CM$24,+HLOOKUP(AP$2,historia!$A$3:$EC$4,2,FALSE),FALSE)</f>
        <v>4</v>
      </c>
      <c r="AQ15" s="28">
        <f>VLOOKUP($A15,historia!$A$5:$CM$24,+HLOOKUP(AQ$2,historia!$A$3:$EC$4,2,FALSE),FALSE)</f>
        <v>4</v>
      </c>
      <c r="AR15" s="28">
        <f>VLOOKUP($A15,historia!$A$5:$CM$24,+HLOOKUP(AR$2,historia!$A$3:$EC$4,2,FALSE),FALSE)</f>
        <v>4</v>
      </c>
      <c r="AS15" s="28">
        <f>VLOOKUP($A15,historia!$A$5:$CM$24,+HLOOKUP(AS$2,historia!$A$3:$EC$4,2,FALSE),FALSE)</f>
        <v>4</v>
      </c>
      <c r="AT15" s="58">
        <f>VLOOKUP($A15,historia!$A$5:$CM$24,+HLOOKUP(AT$2,historia!$A$3:$EC$4,2,FALSE),FALSE)</f>
        <v>4</v>
      </c>
      <c r="AU15" s="58">
        <f>VLOOKUP($A15,historia!$A$5:$CM$24,+HLOOKUP(AU$2,historia!$A$3:$EC$4,2,FALSE),FALSE)</f>
        <v>4</v>
      </c>
      <c r="AV15" s="58">
        <f>VLOOKUP($A15,historia!$A$5:$CM$24,+HLOOKUP(AV$2,historia!$A$3:$EC$4,2,FALSE),FALSE)</f>
        <v>4</v>
      </c>
      <c r="AW15" s="58">
        <f>VLOOKUP($A15,historia!$A$5:$CM$24,+HLOOKUP(AW$2,historia!$A$3:$EC$4,2,FALSE),FALSE)</f>
        <v>4</v>
      </c>
      <c r="AX15" s="58">
        <f>VLOOKUP($A15,historia!$A$5:$CM$24,+HLOOKUP(AX$2,historia!$A$3:$EC$4,2,FALSE),FALSE)</f>
        <v>4</v>
      </c>
      <c r="AY15" s="58">
        <f>VLOOKUP($A15,historia!$A$5:$CM$24,+HLOOKUP(AY$2,historia!$A$3:$EC$4,2,FALSE),FALSE)</f>
        <v>4</v>
      </c>
      <c r="AZ15" s="58">
        <f>VLOOKUP($A15,historia!$A$5:$CM$24,+HLOOKUP(AZ$2,historia!$A$3:$EC$4,2,FALSE),FALSE)</f>
        <v>4</v>
      </c>
      <c r="BA15" s="58">
        <f>VLOOKUP($A15,historia!$A$5:$CM$24,+HLOOKUP(BA$2,historia!$A$3:$EC$4,2,FALSE),FALSE)</f>
        <v>3</v>
      </c>
      <c r="BB15" s="30"/>
      <c r="BC15" s="141">
        <v>3</v>
      </c>
      <c r="BD15" t="str">
        <f t="shared" si="19"/>
        <v>Mandioca</v>
      </c>
      <c r="BE15">
        <f>+datos!AW1</f>
        <v>49</v>
      </c>
      <c r="BF15" s="2" t="str">
        <f t="shared" si="4"/>
        <v>$/bolsa40kg</v>
      </c>
      <c r="BG15" s="2">
        <f t="shared" si="4"/>
        <v>10512</v>
      </c>
      <c r="BH15" s="2">
        <f t="shared" si="4"/>
        <v>9955.5555555555547</v>
      </c>
      <c r="BI15" s="2">
        <f t="shared" si="4"/>
        <v>6302.7777777777774</v>
      </c>
      <c r="BK15">
        <f>+datos!CJ1</f>
        <v>88</v>
      </c>
      <c r="BL15" s="2">
        <f t="shared" si="20"/>
        <v>6004.226632817762</v>
      </c>
      <c r="BM15" s="2">
        <f t="shared" si="20"/>
        <v>5714.7030685304499</v>
      </c>
      <c r="BN15" s="2">
        <f t="shared" si="20"/>
        <v>1996.5921552049049</v>
      </c>
      <c r="BP15" s="1">
        <f>+datos!EY1</f>
        <v>155</v>
      </c>
      <c r="BQ15" s="1">
        <f t="shared" si="21"/>
        <v>20031</v>
      </c>
      <c r="BR15" s="1">
        <f t="shared" si="21"/>
        <v>20193</v>
      </c>
      <c r="BT15" s="1">
        <f>+datos!GO1</f>
        <v>197</v>
      </c>
      <c r="BU15" s="1">
        <f t="shared" si="22"/>
        <v>201734</v>
      </c>
      <c r="BV15" s="1">
        <f t="shared" si="22"/>
        <v>202394.36</v>
      </c>
      <c r="BX15" s="1">
        <f>+datos!JP1</f>
        <v>276</v>
      </c>
      <c r="BY15" s="1">
        <f t="shared" si="39"/>
        <v>0</v>
      </c>
      <c r="BZ15" s="1">
        <f t="shared" si="40"/>
        <v>0</v>
      </c>
      <c r="CB15" s="1">
        <f>+datos!KU1</f>
        <v>307</v>
      </c>
      <c r="CC15" s="2">
        <f t="shared" si="23"/>
        <v>8.7408892800000011</v>
      </c>
      <c r="CD15" s="2">
        <f t="shared" si="24"/>
        <v>8.4586711899999987</v>
      </c>
      <c r="CF15" s="1">
        <f>+datos!IY1</f>
        <v>259</v>
      </c>
      <c r="CG15" s="1">
        <f t="shared" si="25"/>
        <v>1.88</v>
      </c>
      <c r="CH15" s="1">
        <f t="shared" si="26"/>
        <v>1.88</v>
      </c>
      <c r="CJ15" s="1">
        <f t="shared" si="27"/>
        <v>0</v>
      </c>
      <c r="CK15" s="1">
        <f t="shared" si="27"/>
        <v>0</v>
      </c>
      <c r="CL15" s="1">
        <f t="shared" si="27"/>
        <v>0</v>
      </c>
      <c r="CM15" s="1">
        <f t="shared" si="27"/>
        <v>0</v>
      </c>
      <c r="CN15" s="1">
        <f t="shared" si="27"/>
        <v>0</v>
      </c>
      <c r="CO15" s="1">
        <f t="shared" si="27"/>
        <v>0</v>
      </c>
      <c r="CP15" s="1">
        <f t="shared" si="27"/>
        <v>0</v>
      </c>
      <c r="CQ15" s="1">
        <f t="shared" si="27"/>
        <v>0</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8"/>
        <v>0</v>
      </c>
      <c r="DA15" s="1">
        <f t="shared" si="28"/>
        <v>0</v>
      </c>
      <c r="DB15" s="1">
        <f t="shared" si="28"/>
        <v>0</v>
      </c>
      <c r="DC15" s="1">
        <f t="shared" si="28"/>
        <v>0</v>
      </c>
      <c r="DD15" s="1">
        <f t="shared" si="28"/>
        <v>0</v>
      </c>
      <c r="DE15" s="1">
        <f t="shared" si="28"/>
        <v>0</v>
      </c>
      <c r="DF15" s="1">
        <f t="shared" si="28"/>
        <v>0</v>
      </c>
      <c r="DG15" s="1">
        <f t="shared" si="28"/>
        <v>0</v>
      </c>
      <c r="DI15" s="14">
        <f t="shared" si="29"/>
        <v>4.9277770000000005E-2</v>
      </c>
      <c r="DJ15" s="14">
        <f t="shared" si="29"/>
        <v>0.21358802999999996</v>
      </c>
      <c r="DK15" s="1">
        <f t="shared" si="29"/>
        <v>0.24099903000000003</v>
      </c>
      <c r="DL15" s="1">
        <f t="shared" si="29"/>
        <v>0.39667624000000001</v>
      </c>
      <c r="DM15" s="1">
        <f t="shared" si="29"/>
        <v>0.47948613000000001</v>
      </c>
      <c r="DN15" s="1">
        <f t="shared" si="29"/>
        <v>0.13955175</v>
      </c>
      <c r="DO15" s="1">
        <f t="shared" si="29"/>
        <v>0.88368341000000006</v>
      </c>
      <c r="DP15" s="1">
        <f t="shared" si="29"/>
        <v>0.91695114999999994</v>
      </c>
      <c r="DQ15" s="1">
        <f t="shared" si="29"/>
        <v>1.1944894100000001</v>
      </c>
      <c r="DR15" s="1">
        <f t="shared" si="29"/>
        <v>1.11559404</v>
      </c>
      <c r="DS15" s="1">
        <f t="shared" si="29"/>
        <v>1.36422954</v>
      </c>
      <c r="DT15" s="1">
        <f t="shared" si="29"/>
        <v>1.7463627799999999</v>
      </c>
      <c r="DU15" s="1">
        <f t="shared" si="29"/>
        <v>0.68698649000000001</v>
      </c>
      <c r="DV15" s="1">
        <f t="shared" si="29"/>
        <v>0.11168649999999999</v>
      </c>
      <c r="DW15" s="1">
        <f t="shared" si="29"/>
        <v>0</v>
      </c>
      <c r="DX15" s="1">
        <f t="shared" si="29"/>
        <v>1.4896021499999998</v>
      </c>
      <c r="DY15" s="1">
        <f t="shared" si="30"/>
        <v>0</v>
      </c>
      <c r="DZ15" s="1">
        <f t="shared" si="30"/>
        <v>1.7451778999999998</v>
      </c>
      <c r="EA15" s="1">
        <f t="shared" si="30"/>
        <v>0.90545438</v>
      </c>
      <c r="EB15" s="1">
        <f t="shared" si="30"/>
        <v>0.96282131000000004</v>
      </c>
      <c r="EC15" s="1">
        <f t="shared" si="30"/>
        <v>0.35384690000000002</v>
      </c>
      <c r="ED15" s="1">
        <f t="shared" si="30"/>
        <v>0.71853049999999996</v>
      </c>
      <c r="EE15" s="1">
        <f t="shared" si="30"/>
        <v>0.412966</v>
      </c>
      <c r="EF15" s="1">
        <f t="shared" si="30"/>
        <v>1.07159906</v>
      </c>
      <c r="EH15" s="14">
        <f t="shared" si="31"/>
        <v>1.88</v>
      </c>
      <c r="EI15" s="14">
        <f t="shared" si="31"/>
        <v>1.88</v>
      </c>
      <c r="EJ15" s="1">
        <f t="shared" si="31"/>
        <v>1.88</v>
      </c>
      <c r="EK15" s="1">
        <f t="shared" si="31"/>
        <v>1.88</v>
      </c>
      <c r="EL15" s="1">
        <f t="shared" si="31"/>
        <v>1.88</v>
      </c>
      <c r="EM15" s="1">
        <f t="shared" si="31"/>
        <v>1.88</v>
      </c>
      <c r="EN15" s="1">
        <f t="shared" si="31"/>
        <v>1.88</v>
      </c>
      <c r="EO15" s="1">
        <f t="shared" si="31"/>
        <v>1.88</v>
      </c>
      <c r="EP15" s="1">
        <f t="shared" si="31"/>
        <v>1.88</v>
      </c>
      <c r="EQ15" s="1">
        <f t="shared" si="31"/>
        <v>1.88</v>
      </c>
      <c r="ER15" s="1">
        <f t="shared" si="31"/>
        <v>1.88</v>
      </c>
      <c r="ES15" s="1">
        <f t="shared" si="31"/>
        <v>1.88</v>
      </c>
      <c r="ET15" s="1">
        <f t="shared" si="31"/>
        <v>1.88</v>
      </c>
      <c r="EU15" s="1">
        <f t="shared" si="31"/>
        <v>1.88</v>
      </c>
      <c r="EV15" s="1">
        <f t="shared" si="31"/>
        <v>1.88</v>
      </c>
      <c r="EW15" s="1">
        <f t="shared" si="31"/>
        <v>1.88</v>
      </c>
      <c r="EX15" s="1">
        <f t="shared" si="32"/>
        <v>1.88</v>
      </c>
      <c r="EY15" s="1">
        <f t="shared" si="32"/>
        <v>1.88</v>
      </c>
      <c r="EZ15" s="1">
        <f t="shared" si="32"/>
        <v>1.88</v>
      </c>
      <c r="FA15" s="1">
        <f t="shared" si="32"/>
        <v>1.88</v>
      </c>
      <c r="FB15" s="1">
        <f t="shared" si="32"/>
        <v>1.88</v>
      </c>
      <c r="FC15" s="1">
        <f t="shared" si="32"/>
        <v>1.88</v>
      </c>
      <c r="FD15" s="1">
        <f t="shared" si="32"/>
        <v>1.88</v>
      </c>
      <c r="FE15" s="1">
        <f t="shared" si="32"/>
        <v>1.88</v>
      </c>
      <c r="FG15" s="162">
        <f t="shared" si="33"/>
        <v>-1.3394013644722151</v>
      </c>
    </row>
    <row r="16" spans="1:163" ht="30" customHeight="1">
      <c r="A16" s="222" t="s">
        <v>25</v>
      </c>
      <c r="B16" s="212"/>
      <c r="C16" s="156">
        <f t="shared" si="5"/>
        <v>0.66</v>
      </c>
      <c r="D16" s="198">
        <v>1</v>
      </c>
      <c r="E16" s="213">
        <f t="shared" si="6"/>
        <v>1.2353950211825504E-2</v>
      </c>
      <c r="F16" s="214">
        <f t="shared" si="7"/>
        <v>-0.12005281032342219</v>
      </c>
      <c r="G16" s="213">
        <f t="shared" si="8"/>
        <v>1.4368835099749511E-3</v>
      </c>
      <c r="H16" s="214">
        <f t="shared" si="9"/>
        <v>1.0917066701850553E-2</v>
      </c>
      <c r="I16" s="213">
        <f t="shared" si="10"/>
        <v>4.3911431498325957</v>
      </c>
      <c r="J16" s="214">
        <f t="shared" si="11"/>
        <v>1.6435403696819399</v>
      </c>
      <c r="K16" s="213">
        <f t="shared" si="34"/>
        <v>3.1975907941116954</v>
      </c>
      <c r="L16" s="214">
        <f t="shared" si="12"/>
        <v>1.1935523557209002</v>
      </c>
      <c r="M16" s="215"/>
      <c r="N16" s="198">
        <v>1</v>
      </c>
      <c r="O16" s="213">
        <f t="shared" si="35"/>
        <v>0.11422036142805547</v>
      </c>
      <c r="P16" s="216">
        <f t="shared" si="36"/>
        <v>0.11422036142805547</v>
      </c>
      <c r="Q16" s="213"/>
      <c r="R16" s="217"/>
      <c r="S16" s="215"/>
      <c r="T16" s="198">
        <v>0</v>
      </c>
      <c r="U16" s="213">
        <f t="shared" si="14"/>
        <v>-5.4728287937904074E-2</v>
      </c>
      <c r="V16" s="45">
        <f t="shared" si="15"/>
        <v>-5.4728287937904074E-2</v>
      </c>
      <c r="W16" s="218"/>
      <c r="X16" s="45"/>
      <c r="Y16" s="213">
        <f t="shared" si="17"/>
        <v>4.4351010443510086E-2</v>
      </c>
      <c r="Z16" s="45">
        <f t="shared" si="18"/>
        <v>4.4351010443510086E-2</v>
      </c>
      <c r="AA16" s="30"/>
      <c r="AB16" s="242" t="s">
        <v>483</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P16" s="28">
        <f>VLOOKUP($A16,historia!$A$5:$CM$24,+HLOOKUP(AP$2,historia!$A$3:$EC$4,2,FALSE),FALSE)</f>
        <v>4</v>
      </c>
      <c r="AQ16" s="28">
        <f>VLOOKUP($A16,historia!$A$5:$CM$24,+HLOOKUP(AQ$2,historia!$A$3:$EC$4,2,FALSE),FALSE)</f>
        <v>4</v>
      </c>
      <c r="AR16" s="28">
        <f>VLOOKUP($A16,historia!$A$5:$CM$24,+HLOOKUP(AR$2,historia!$A$3:$EC$4,2,FALSE),FALSE)</f>
        <v>3</v>
      </c>
      <c r="AS16" s="28">
        <f>VLOOKUP($A16,historia!$A$5:$CM$24,+HLOOKUP(AS$2,historia!$A$3:$EC$4,2,FALSE),FALSE)</f>
        <v>3</v>
      </c>
      <c r="AT16" s="58">
        <f>VLOOKUP($A16,historia!$A$5:$CM$24,+HLOOKUP(AT$2,historia!$A$3:$EC$4,2,FALSE),FALSE)</f>
        <v>3</v>
      </c>
      <c r="AU16" s="58">
        <f>VLOOKUP($A16,historia!$A$5:$CM$24,+HLOOKUP(AU$2,historia!$A$3:$EC$4,2,FALSE),FALSE)</f>
        <v>3</v>
      </c>
      <c r="AV16" s="58">
        <f>VLOOKUP($A16,historia!$A$5:$CM$24,+HLOOKUP(AV$2,historia!$A$3:$EC$4,2,FALSE),FALSE)</f>
        <v>3</v>
      </c>
      <c r="AW16" s="58">
        <f>VLOOKUP($A16,historia!$A$5:$CM$24,+HLOOKUP(AW$2,historia!$A$3:$EC$4,2,FALSE),FALSE)</f>
        <v>2</v>
      </c>
      <c r="AX16" s="58">
        <f>VLOOKUP($A16,historia!$A$5:$CM$24,+HLOOKUP(AX$2,historia!$A$3:$EC$4,2,FALSE),FALSE)</f>
        <v>2</v>
      </c>
      <c r="AY16" s="58">
        <f>VLOOKUP($A16,historia!$A$5:$CM$24,+HLOOKUP(AY$2,historia!$A$3:$EC$4,2,FALSE),FALSE)</f>
        <v>2</v>
      </c>
      <c r="AZ16" s="58">
        <f>VLOOKUP($A16,historia!$A$5:$CM$24,+HLOOKUP(AZ$2,historia!$A$3:$EC$4,2,FALSE),FALSE)</f>
        <v>2</v>
      </c>
      <c r="BA16" s="58">
        <f>VLOOKUP($A16,historia!$A$5:$CM$24,+HLOOKUP(BA$2,historia!$A$3:$EC$4,2,FALSE),FALSE)</f>
        <v>2</v>
      </c>
      <c r="BB16" s="30"/>
      <c r="BC16" s="141">
        <v>2</v>
      </c>
      <c r="BD16" t="str">
        <f t="shared" si="19"/>
        <v>Maní</v>
      </c>
      <c r="BE16">
        <f>+datos!AF1</f>
        <v>32</v>
      </c>
      <c r="BF16" s="2" t="str">
        <f t="shared" si="4"/>
        <v>$/t</v>
      </c>
      <c r="BG16" s="2">
        <f t="shared" si="4"/>
        <v>758115.42857142852</v>
      </c>
      <c r="BH16" s="2">
        <f t="shared" si="4"/>
        <v>748864</v>
      </c>
      <c r="BI16" s="2">
        <f t="shared" si="4"/>
        <v>140622.38888888888</v>
      </c>
      <c r="BK16">
        <f>+datos!CH1</f>
        <v>86</v>
      </c>
      <c r="BL16" s="2">
        <f t="shared" si="20"/>
        <v>9122.4847796304839</v>
      </c>
      <c r="BM16" s="2">
        <f t="shared" si="20"/>
        <v>9109.3956392506079</v>
      </c>
      <c r="BN16" s="2">
        <f t="shared" si="20"/>
        <v>2173.2668159143432</v>
      </c>
      <c r="BP16" s="1">
        <f>+datos!EB1</f>
        <v>132</v>
      </c>
      <c r="BQ16" s="1">
        <f t="shared" si="21"/>
        <v>416490</v>
      </c>
      <c r="BR16" s="1">
        <f t="shared" si="21"/>
        <v>373795</v>
      </c>
      <c r="BT16" s="1">
        <f>+datos!FW1</f>
        <v>179</v>
      </c>
      <c r="BU16" s="1">
        <f t="shared" si="22"/>
        <v>940426</v>
      </c>
      <c r="BV16" s="1">
        <f t="shared" si="22"/>
        <v>1350000</v>
      </c>
      <c r="BX16" s="1">
        <f>+datos!JK1</f>
        <v>271</v>
      </c>
      <c r="BY16" s="1">
        <f t="shared" si="39"/>
        <v>1218.1114152100001</v>
      </c>
      <c r="BZ16" s="1">
        <f t="shared" si="40"/>
        <v>1288.6362721599999</v>
      </c>
      <c r="CB16" s="1">
        <f>+datos!KP1</f>
        <v>302</v>
      </c>
      <c r="CC16" s="2">
        <f t="shared" si="23"/>
        <v>2.6221710499999999</v>
      </c>
      <c r="CD16" s="2">
        <f t="shared" si="24"/>
        <v>1.09103807</v>
      </c>
      <c r="CF16" s="1">
        <f>+datos!IJ1</f>
        <v>244</v>
      </c>
      <c r="CG16" s="1">
        <f t="shared" si="25"/>
        <v>1.9885213252125911</v>
      </c>
      <c r="CH16" s="1">
        <f t="shared" si="26"/>
        <v>1.9040737312717446</v>
      </c>
      <c r="CJ16" s="1">
        <f t="shared" si="27"/>
        <v>111.62267066999999</v>
      </c>
      <c r="CK16" s="1">
        <f t="shared" si="27"/>
        <v>100.80321882999999</v>
      </c>
      <c r="CL16" s="1">
        <f t="shared" si="27"/>
        <v>90.064767340000003</v>
      </c>
      <c r="CM16" s="1">
        <f t="shared" si="27"/>
        <v>96.183340330000021</v>
      </c>
      <c r="CN16" s="1">
        <f t="shared" si="27"/>
        <v>89.024842150000026</v>
      </c>
      <c r="CO16" s="1">
        <f t="shared" si="27"/>
        <v>102.74257099999998</v>
      </c>
      <c r="CP16" s="1">
        <f t="shared" si="27"/>
        <v>102.43695814</v>
      </c>
      <c r="CQ16" s="1">
        <f t="shared" si="27"/>
        <v>100.03941109999997</v>
      </c>
      <c r="CR16" s="1">
        <f t="shared" si="27"/>
        <v>89.79279253</v>
      </c>
      <c r="CS16" s="1">
        <f t="shared" si="27"/>
        <v>102.39153366000001</v>
      </c>
      <c r="CT16" s="1">
        <f t="shared" si="27"/>
        <v>98.470728969999996</v>
      </c>
      <c r="CU16" s="1">
        <f t="shared" si="27"/>
        <v>134.53858048999999</v>
      </c>
      <c r="CV16" s="1">
        <f t="shared" si="27"/>
        <v>116.52197384999999</v>
      </c>
      <c r="CW16" s="1">
        <f t="shared" si="27"/>
        <v>130.05927615000002</v>
      </c>
      <c r="CX16" s="1">
        <f t="shared" si="27"/>
        <v>105.24839114999997</v>
      </c>
      <c r="CY16" s="1">
        <f t="shared" si="27"/>
        <v>106.58558735000001</v>
      </c>
      <c r="CZ16" s="1">
        <f t="shared" si="28"/>
        <v>136.66063392000001</v>
      </c>
      <c r="DA16" s="1">
        <f t="shared" si="28"/>
        <v>103.23507013999998</v>
      </c>
      <c r="DB16" s="1">
        <f t="shared" si="28"/>
        <v>127.03001287000001</v>
      </c>
      <c r="DC16" s="1">
        <f t="shared" si="28"/>
        <v>94.841677119999986</v>
      </c>
      <c r="DD16" s="1">
        <f t="shared" si="28"/>
        <v>82.179019859999997</v>
      </c>
      <c r="DE16" s="1">
        <f t="shared" si="28"/>
        <v>92.158742689999997</v>
      </c>
      <c r="DF16" s="1">
        <f t="shared" si="28"/>
        <v>86.016299079999982</v>
      </c>
      <c r="DG16" s="1">
        <f t="shared" si="28"/>
        <v>108.09958798000001</v>
      </c>
      <c r="DI16" s="1">
        <f t="shared" si="29"/>
        <v>0.69674917999999986</v>
      </c>
      <c r="DJ16" s="1">
        <f t="shared" si="29"/>
        <v>0.79684906</v>
      </c>
      <c r="DK16" s="1">
        <f t="shared" si="29"/>
        <v>0.24194792999999998</v>
      </c>
      <c r="DL16" s="1">
        <f t="shared" si="29"/>
        <v>0.11713932000000001</v>
      </c>
      <c r="DM16" s="1">
        <f t="shared" si="29"/>
        <v>0.45286999999999999</v>
      </c>
      <c r="DN16" s="1">
        <f t="shared" si="29"/>
        <v>5.563009E-2</v>
      </c>
      <c r="DO16" s="1">
        <f t="shared" si="29"/>
        <v>2.7416000000000002E-4</v>
      </c>
      <c r="DP16" s="1">
        <f t="shared" si="29"/>
        <v>0.12031510000000001</v>
      </c>
      <c r="DQ16" s="1">
        <f t="shared" si="29"/>
        <v>0.13456720999999999</v>
      </c>
      <c r="DR16" s="1">
        <f t="shared" si="29"/>
        <v>6.1200000000000002E-4</v>
      </c>
      <c r="DS16" s="1">
        <f t="shared" si="29"/>
        <v>0</v>
      </c>
      <c r="DT16" s="1">
        <f t="shared" si="29"/>
        <v>5.2170000000000003E-3</v>
      </c>
      <c r="DU16" s="1">
        <f t="shared" si="29"/>
        <v>0.10975939999999999</v>
      </c>
      <c r="DV16" s="1">
        <f t="shared" si="29"/>
        <v>9.1243839999999993E-2</v>
      </c>
      <c r="DW16" s="1">
        <f t="shared" si="29"/>
        <v>2.016E-3</v>
      </c>
      <c r="DX16" s="1">
        <f t="shared" si="29"/>
        <v>0.21936422</v>
      </c>
      <c r="DY16" s="1">
        <f t="shared" si="30"/>
        <v>0</v>
      </c>
      <c r="DZ16" s="1">
        <f t="shared" si="30"/>
        <v>6.0353800000000006E-2</v>
      </c>
      <c r="EA16" s="1">
        <f t="shared" si="30"/>
        <v>1.9724599999999998E-2</v>
      </c>
      <c r="EB16" s="1">
        <f t="shared" si="30"/>
        <v>6.1101999999999997E-2</v>
      </c>
      <c r="EC16" s="1">
        <f t="shared" si="30"/>
        <v>8.3099999999999997E-3</v>
      </c>
      <c r="ED16" s="1">
        <f t="shared" si="30"/>
        <v>0.51386323</v>
      </c>
      <c r="EE16" s="1">
        <f t="shared" si="30"/>
        <v>4.9965000000000001E-3</v>
      </c>
      <c r="EF16" s="1">
        <f t="shared" si="30"/>
        <v>3.0447999999999999E-4</v>
      </c>
      <c r="EH16" s="14">
        <f t="shared" si="31"/>
        <v>1.9885213252125911</v>
      </c>
      <c r="EI16" s="14">
        <f t="shared" si="31"/>
        <v>1.9885213252125911</v>
      </c>
      <c r="EJ16" s="1">
        <f t="shared" si="31"/>
        <v>1.9885213252125911</v>
      </c>
      <c r="EK16" s="1">
        <f t="shared" si="31"/>
        <v>1.9885213252125911</v>
      </c>
      <c r="EL16" s="1">
        <f t="shared" si="31"/>
        <v>1.9885213252125911</v>
      </c>
      <c r="EM16" s="1">
        <f t="shared" si="31"/>
        <v>1.9885213252125911</v>
      </c>
      <c r="EN16" s="1">
        <f t="shared" si="31"/>
        <v>1.9885213252125911</v>
      </c>
      <c r="EO16" s="1">
        <f t="shared" si="31"/>
        <v>1.9885213252125911</v>
      </c>
      <c r="EP16" s="1">
        <f t="shared" si="31"/>
        <v>1.9885213252125911</v>
      </c>
      <c r="EQ16" s="1">
        <f t="shared" si="31"/>
        <v>1.9885213252125911</v>
      </c>
      <c r="ER16" s="1">
        <f t="shared" si="31"/>
        <v>1.9885213252125911</v>
      </c>
      <c r="ES16" s="1">
        <f t="shared" si="31"/>
        <v>1.9885213252125911</v>
      </c>
      <c r="ET16" s="1">
        <f t="shared" si="31"/>
        <v>1.9040737312717446</v>
      </c>
      <c r="EU16" s="1">
        <f t="shared" si="31"/>
        <v>1.9040737312717446</v>
      </c>
      <c r="EV16" s="1">
        <f t="shared" si="31"/>
        <v>1.9040737312717446</v>
      </c>
      <c r="EW16" s="1">
        <f t="shared" si="31"/>
        <v>1.9040737312717446</v>
      </c>
      <c r="EX16" s="1">
        <f t="shared" si="32"/>
        <v>1.9040737312717446</v>
      </c>
      <c r="EY16" s="1">
        <f t="shared" si="32"/>
        <v>1.9040737312717446</v>
      </c>
      <c r="EZ16" s="1">
        <f t="shared" si="32"/>
        <v>1.9040737312717446</v>
      </c>
      <c r="FA16" s="1">
        <f t="shared" si="32"/>
        <v>1.9040737312717446</v>
      </c>
      <c r="FB16" s="1">
        <f t="shared" si="32"/>
        <v>1.9040737312717446</v>
      </c>
      <c r="FC16" s="1">
        <f t="shared" si="32"/>
        <v>1.9040737312717446</v>
      </c>
      <c r="FD16" s="1">
        <f t="shared" si="32"/>
        <v>1.9040737312717446</v>
      </c>
      <c r="FE16" s="1">
        <f t="shared" si="32"/>
        <v>1.9040737312717446</v>
      </c>
      <c r="FG16" s="162">
        <f t="shared" si="33"/>
        <v>1.1935523557209002</v>
      </c>
    </row>
    <row r="17" spans="1:163" ht="30" customHeight="1">
      <c r="A17" s="226" t="s">
        <v>76</v>
      </c>
      <c r="B17" s="227"/>
      <c r="C17" s="228">
        <f t="shared" si="5"/>
        <v>-0.99</v>
      </c>
      <c r="D17" s="229">
        <v>-1</v>
      </c>
      <c r="E17" s="230">
        <f t="shared" si="6"/>
        <v>0.14332247557003264</v>
      </c>
      <c r="F17" s="231">
        <f t="shared" si="7"/>
        <v>1.0915715034784945E-2</v>
      </c>
      <c r="G17" s="230">
        <f t="shared" si="8"/>
        <v>5.252361200003075E-2</v>
      </c>
      <c r="H17" s="231">
        <f t="shared" si="9"/>
        <v>9.0798863570001886E-2</v>
      </c>
      <c r="I17" s="230">
        <f t="shared" si="10"/>
        <v>2.4890656063618293</v>
      </c>
      <c r="J17" s="231">
        <f t="shared" si="11"/>
        <v>-0.25853717378882646</v>
      </c>
      <c r="K17" s="230">
        <f t="shared" si="34"/>
        <v>2.5148277949935101</v>
      </c>
      <c r="L17" s="231">
        <f t="shared" si="12"/>
        <v>-2.5762188631680782E-2</v>
      </c>
      <c r="M17" s="232"/>
      <c r="N17" s="229">
        <v>-1</v>
      </c>
      <c r="O17" s="230">
        <f>IFERROR(+BQ17/BR17-1,"")</f>
        <v>0</v>
      </c>
      <c r="P17" s="233">
        <f t="shared" si="36"/>
        <v>0</v>
      </c>
      <c r="Q17" s="230">
        <f t="shared" si="13"/>
        <v>-5.5834866135295314E-2</v>
      </c>
      <c r="R17" s="234">
        <f t="shared" si="37"/>
        <v>-5.5834866135295314E-2</v>
      </c>
      <c r="S17" s="232"/>
      <c r="T17" s="229">
        <v>-1</v>
      </c>
      <c r="U17" s="230">
        <f t="shared" si="14"/>
        <v>-0.26843162822927324</v>
      </c>
      <c r="V17" s="235">
        <f t="shared" si="15"/>
        <v>-0.26843162822927324</v>
      </c>
      <c r="W17" s="239"/>
      <c r="X17" s="235"/>
      <c r="Y17" s="230">
        <f t="shared" si="17"/>
        <v>0</v>
      </c>
      <c r="Z17" s="235">
        <f t="shared" si="18"/>
        <v>0</v>
      </c>
      <c r="AA17" s="238"/>
      <c r="AB17" s="242" t="s">
        <v>484</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P17" s="28">
        <f>VLOOKUP($A17,historia!$A$5:$CM$24,+HLOOKUP(AP$2,historia!$A$3:$EC$4,2,FALSE),FALSE)</f>
        <v>3</v>
      </c>
      <c r="AQ17" s="28">
        <f>VLOOKUP($A17,historia!$A$5:$CM$24,+HLOOKUP(AQ$2,historia!$A$3:$EC$4,2,FALSE),FALSE)</f>
        <v>3</v>
      </c>
      <c r="AR17" s="28">
        <f>VLOOKUP($A17,historia!$A$5:$CM$24,+HLOOKUP(AR$2,historia!$A$3:$EC$4,2,FALSE),FALSE)</f>
        <v>3</v>
      </c>
      <c r="AS17" s="28">
        <f>VLOOKUP($A17,historia!$A$5:$CM$24,+HLOOKUP(AS$2,historia!$A$3:$EC$4,2,FALSE),FALSE)</f>
        <v>5</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f>VLOOKUP($A17,historia!$A$5:$CM$24,+HLOOKUP(AZ$2,historia!$A$3:$EC$4,2,FALSE),FALSE)</f>
        <v>5</v>
      </c>
      <c r="BA17" s="58">
        <f>VLOOKUP($A17,historia!$A$5:$CM$24,+HLOOKUP(BA$2,historia!$A$3:$EC$4,2,FALSE),FALSE)</f>
        <v>5</v>
      </c>
      <c r="BB17" s="30"/>
      <c r="BC17" s="141">
        <v>5</v>
      </c>
      <c r="BD17" t="str">
        <f t="shared" si="19"/>
        <v>Miel</v>
      </c>
      <c r="BE17">
        <f>+datos!BV1</f>
        <v>74</v>
      </c>
      <c r="BF17" s="2" t="str">
        <f t="shared" si="4"/>
        <v>$/kg</v>
      </c>
      <c r="BG17" s="2">
        <f t="shared" si="4"/>
        <v>1404</v>
      </c>
      <c r="BH17" s="2">
        <f t="shared" si="4"/>
        <v>1228</v>
      </c>
      <c r="BI17" s="2">
        <f t="shared" si="4"/>
        <v>402.4</v>
      </c>
      <c r="BK17">
        <f>+datos!DH1</f>
        <v>112</v>
      </c>
      <c r="BL17" s="2">
        <f t="shared" si="20"/>
        <v>6438.1929634261323</v>
      </c>
      <c r="BM17" s="2">
        <f t="shared" si="20"/>
        <v>6116.9107182233402</v>
      </c>
      <c r="BN17" s="2">
        <f t="shared" si="20"/>
        <v>1831.7235833279337</v>
      </c>
      <c r="BP17" s="1">
        <f>+datos!EQ1</f>
        <v>147</v>
      </c>
      <c r="BQ17" s="1">
        <f t="shared" si="21"/>
        <v>3500000</v>
      </c>
      <c r="BR17" s="1">
        <f t="shared" si="21"/>
        <v>3500000</v>
      </c>
      <c r="BT17" s="1">
        <f>+datos!GP1</f>
        <v>198</v>
      </c>
      <c r="BU17" s="1">
        <f t="shared" si="22"/>
        <v>69297</v>
      </c>
      <c r="BV17" s="1">
        <f t="shared" si="22"/>
        <v>73395</v>
      </c>
      <c r="BX17" s="1">
        <f>+datos!KE1</f>
        <v>291</v>
      </c>
      <c r="BY17" s="1">
        <f t="shared" si="39"/>
        <v>199.00862436</v>
      </c>
      <c r="BZ17" s="1">
        <f t="shared" si="40"/>
        <v>272.03010960999995</v>
      </c>
      <c r="CB17" s="1">
        <f>+datos!LJ1</f>
        <v>322</v>
      </c>
      <c r="CC17" s="2">
        <f t="shared" si="23"/>
        <v>4.7638E-2</v>
      </c>
      <c r="CD17" s="2">
        <f>+SUM(DU17:EF17)</f>
        <v>0.12936554000000003</v>
      </c>
      <c r="CF17" s="1">
        <f>+datos!IZ1</f>
        <v>260</v>
      </c>
      <c r="CG17" s="1">
        <f t="shared" si="25"/>
        <v>0.3</v>
      </c>
      <c r="CH17" s="1">
        <f t="shared" si="26"/>
        <v>0.3</v>
      </c>
      <c r="CJ17" s="1">
        <f t="shared" si="27"/>
        <v>13.392344960000001</v>
      </c>
      <c r="CK17" s="1">
        <f t="shared" si="27"/>
        <v>10.971998660000001</v>
      </c>
      <c r="CL17" s="1">
        <f t="shared" si="27"/>
        <v>12.805239539999999</v>
      </c>
      <c r="CM17" s="1">
        <f t="shared" si="27"/>
        <v>13.943876809999997</v>
      </c>
      <c r="CN17" s="1">
        <f t="shared" si="27"/>
        <v>17.891480939999997</v>
      </c>
      <c r="CO17" s="1">
        <f t="shared" si="27"/>
        <v>16.805607889999997</v>
      </c>
      <c r="CP17" s="1">
        <f t="shared" si="27"/>
        <v>21.325973759999997</v>
      </c>
      <c r="CQ17" s="1">
        <f t="shared" si="27"/>
        <v>17.230385739999999</v>
      </c>
      <c r="CR17" s="1">
        <f t="shared" si="27"/>
        <v>14.837575590000002</v>
      </c>
      <c r="CS17" s="1">
        <f t="shared" si="27"/>
        <v>17.476901599999998</v>
      </c>
      <c r="CT17" s="1">
        <f t="shared" si="27"/>
        <v>23.512884059999998</v>
      </c>
      <c r="CU17" s="1">
        <f t="shared" si="27"/>
        <v>18.814354810000005</v>
      </c>
      <c r="CV17" s="1">
        <f t="shared" si="27"/>
        <v>15.47450873</v>
      </c>
      <c r="CW17" s="1">
        <f t="shared" si="27"/>
        <v>18.752158659999996</v>
      </c>
      <c r="CX17" s="1">
        <f t="shared" si="27"/>
        <v>13.663636670000002</v>
      </c>
      <c r="CY17" s="1">
        <f t="shared" si="27"/>
        <v>12.97807542</v>
      </c>
      <c r="CZ17" s="1">
        <f t="shared" si="28"/>
        <v>21.851292619999999</v>
      </c>
      <c r="DA17" s="1">
        <f t="shared" si="28"/>
        <v>17.949190340000005</v>
      </c>
      <c r="DB17" s="1">
        <f t="shared" si="28"/>
        <v>28.34616364</v>
      </c>
      <c r="DC17" s="1">
        <f t="shared" si="28"/>
        <v>25.709158449999997</v>
      </c>
      <c r="DD17" s="1">
        <f t="shared" si="28"/>
        <v>34.492792039999998</v>
      </c>
      <c r="DE17" s="1">
        <f t="shared" si="28"/>
        <v>34.55168742</v>
      </c>
      <c r="DF17" s="1">
        <f t="shared" si="28"/>
        <v>27.139910580000002</v>
      </c>
      <c r="DG17" s="1">
        <f t="shared" si="28"/>
        <v>21.121535039999998</v>
      </c>
      <c r="DI17" s="1">
        <f t="shared" si="29"/>
        <v>0</v>
      </c>
      <c r="DJ17" s="1">
        <f t="shared" si="29"/>
        <v>0</v>
      </c>
      <c r="DK17" s="1">
        <f t="shared" si="29"/>
        <v>4.0599999999999997E-2</v>
      </c>
      <c r="DL17" s="1">
        <f t="shared" si="29"/>
        <v>0</v>
      </c>
      <c r="DM17" s="1">
        <f t="shared" si="29"/>
        <v>0</v>
      </c>
      <c r="DN17" s="1">
        <f t="shared" si="29"/>
        <v>0</v>
      </c>
      <c r="DO17" s="1">
        <f t="shared" si="29"/>
        <v>0</v>
      </c>
      <c r="DP17" s="1">
        <f t="shared" si="29"/>
        <v>0</v>
      </c>
      <c r="DQ17" s="1">
        <f t="shared" si="29"/>
        <v>0</v>
      </c>
      <c r="DR17" s="1">
        <f t="shared" si="29"/>
        <v>7.038E-3</v>
      </c>
      <c r="DS17" s="1">
        <f t="shared" si="29"/>
        <v>0</v>
      </c>
      <c r="DT17" s="1">
        <f t="shared" si="29"/>
        <v>0</v>
      </c>
      <c r="DU17" s="1">
        <f t="shared" si="29"/>
        <v>0</v>
      </c>
      <c r="DV17" s="1">
        <f t="shared" si="29"/>
        <v>0</v>
      </c>
      <c r="DW17" s="1">
        <f t="shared" si="29"/>
        <v>0</v>
      </c>
      <c r="DX17" s="1">
        <f t="shared" si="29"/>
        <v>5.9353800000000005E-2</v>
      </c>
      <c r="DY17" s="1">
        <f t="shared" si="30"/>
        <v>0</v>
      </c>
      <c r="DZ17" s="1">
        <f t="shared" si="30"/>
        <v>1.3661339999999999E-2</v>
      </c>
      <c r="EA17" s="1">
        <f t="shared" si="30"/>
        <v>0</v>
      </c>
      <c r="EB17" s="1">
        <f t="shared" si="30"/>
        <v>4.7031800000000006E-2</v>
      </c>
      <c r="EC17" s="1">
        <f t="shared" si="30"/>
        <v>9.3185999999999998E-3</v>
      </c>
      <c r="ED17" s="1">
        <f t="shared" si="30"/>
        <v>0</v>
      </c>
      <c r="EE17" s="1">
        <f t="shared" si="30"/>
        <v>0</v>
      </c>
      <c r="EF17" s="1">
        <f t="shared" si="30"/>
        <v>0</v>
      </c>
      <c r="EH17" s="14">
        <f t="shared" si="31"/>
        <v>0.3</v>
      </c>
      <c r="EI17" s="14">
        <f t="shared" si="31"/>
        <v>0.3</v>
      </c>
      <c r="EJ17" s="1">
        <f t="shared" si="31"/>
        <v>0.3</v>
      </c>
      <c r="EK17" s="1">
        <f t="shared" si="31"/>
        <v>0.3</v>
      </c>
      <c r="EL17" s="1">
        <f t="shared" si="31"/>
        <v>0.3</v>
      </c>
      <c r="EM17" s="1">
        <f t="shared" si="31"/>
        <v>0.3</v>
      </c>
      <c r="EN17" s="1">
        <f t="shared" si="31"/>
        <v>0.3</v>
      </c>
      <c r="EO17" s="1">
        <f t="shared" si="31"/>
        <v>0.3</v>
      </c>
      <c r="EP17" s="1">
        <f t="shared" si="31"/>
        <v>0.3</v>
      </c>
      <c r="EQ17" s="1">
        <f t="shared" si="31"/>
        <v>0.3</v>
      </c>
      <c r="ER17" s="1">
        <f t="shared" si="31"/>
        <v>0.3</v>
      </c>
      <c r="ES17" s="1">
        <f t="shared" si="31"/>
        <v>0.3</v>
      </c>
      <c r="ET17" s="1">
        <f t="shared" si="31"/>
        <v>0.3</v>
      </c>
      <c r="EU17" s="1">
        <f t="shared" si="31"/>
        <v>0.3</v>
      </c>
      <c r="EV17" s="1">
        <f t="shared" si="31"/>
        <v>0.3</v>
      </c>
      <c r="EW17" s="1">
        <f t="shared" si="31"/>
        <v>0.3</v>
      </c>
      <c r="EX17" s="1">
        <f t="shared" si="32"/>
        <v>0.3</v>
      </c>
      <c r="EY17" s="1">
        <f t="shared" si="32"/>
        <v>0.3</v>
      </c>
      <c r="EZ17" s="1">
        <f t="shared" si="32"/>
        <v>0.3</v>
      </c>
      <c r="FA17" s="1">
        <f t="shared" si="32"/>
        <v>0.3</v>
      </c>
      <c r="FB17" s="1">
        <f t="shared" si="32"/>
        <v>0.3</v>
      </c>
      <c r="FC17" s="1">
        <f t="shared" si="32"/>
        <v>0.3</v>
      </c>
      <c r="FD17" s="1">
        <f t="shared" si="32"/>
        <v>0.3</v>
      </c>
      <c r="FE17" s="1">
        <f t="shared" si="32"/>
        <v>0.3</v>
      </c>
      <c r="FG17" s="162">
        <f t="shared" si="33"/>
        <v>-2.5762188631680782E-2</v>
      </c>
    </row>
    <row r="18" spans="1:163" ht="30" customHeight="1">
      <c r="A18" s="222" t="s">
        <v>222</v>
      </c>
      <c r="B18" s="212"/>
      <c r="C18" s="156">
        <f t="shared" si="5"/>
        <v>-0.99</v>
      </c>
      <c r="D18" s="198">
        <v>-1</v>
      </c>
      <c r="E18" s="213">
        <f t="shared" si="6"/>
        <v>-5.5876897265161318E-4</v>
      </c>
      <c r="F18" s="214">
        <f t="shared" si="7"/>
        <v>-0.1329655295078993</v>
      </c>
      <c r="G18" s="213">
        <f t="shared" si="8"/>
        <v>5.8117914145073168E-2</v>
      </c>
      <c r="H18" s="214">
        <f t="shared" si="9"/>
        <v>-5.8676683117724782E-2</v>
      </c>
      <c r="I18" s="213"/>
      <c r="J18" s="214"/>
      <c r="K18" s="213">
        <f t="shared" si="34"/>
        <v>2.3867176118373652</v>
      </c>
      <c r="L18" s="214">
        <f t="shared" si="12"/>
        <v>-2.3867176118373652</v>
      </c>
      <c r="M18" s="215"/>
      <c r="N18" s="198">
        <v>-1</v>
      </c>
      <c r="O18" s="213">
        <f t="shared" si="35"/>
        <v>0</v>
      </c>
      <c r="P18" s="216">
        <f t="shared" si="36"/>
        <v>0</v>
      </c>
      <c r="Q18" s="213">
        <f t="shared" ref="Q18:Q24" si="41">IFERROR(+BU18/BV18-1,"")</f>
        <v>-8.1188800236941749E-2</v>
      </c>
      <c r="R18" s="217">
        <f t="shared" si="37"/>
        <v>-8.1188800236941749E-2</v>
      </c>
      <c r="S18" s="215"/>
      <c r="T18" s="198">
        <v>-1</v>
      </c>
      <c r="U18" s="213">
        <f t="shared" si="14"/>
        <v>-0.28462413322632463</v>
      </c>
      <c r="V18" s="45">
        <f t="shared" si="15"/>
        <v>-0.28462413322632463</v>
      </c>
      <c r="W18" s="213">
        <f t="shared" si="38"/>
        <v>-2.8285019823314772E-2</v>
      </c>
      <c r="X18" s="45">
        <f t="shared" si="16"/>
        <v>-2.8285019823314772E-2</v>
      </c>
      <c r="Y18" s="213">
        <f t="shared" si="17"/>
        <v>0</v>
      </c>
      <c r="Z18" s="45">
        <f t="shared" si="18"/>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P18" s="28">
        <f>VLOOKUP($A18,historia!$A$5:$CM$24,+HLOOKUP(AP$2,historia!$A$3:$EC$4,2,FALSE),FALSE)</f>
        <v>4</v>
      </c>
      <c r="AQ18" s="28">
        <f>VLOOKUP($A18,historia!$A$5:$CM$24,+HLOOKUP(AQ$2,historia!$A$3:$EC$4,2,FALSE),FALSE)</f>
        <v>4</v>
      </c>
      <c r="AR18" s="28">
        <f>VLOOKUP($A18,historia!$A$5:$CM$24,+HLOOKUP(AR$2,historia!$A$3:$EC$4,2,FALSE),FALSE)</f>
        <v>3</v>
      </c>
      <c r="AS18" s="28">
        <f>VLOOKUP($A18,historia!$A$5:$CM$24,+HLOOKUP(AS$2,historia!$A$3:$EC$4,2,FALSE),FALSE)</f>
        <v>3</v>
      </c>
      <c r="AT18" s="58">
        <f>VLOOKUP($A18,historia!$A$5:$CM$24,+HLOOKUP(AT$2,historia!$A$3:$EC$4,2,FALSE),FALSE)</f>
        <v>3</v>
      </c>
      <c r="AU18" s="58">
        <f>VLOOKUP($A18,historia!$A$5:$CM$24,+HLOOKUP(AU$2,historia!$A$3:$EC$4,2,FALSE),FALSE)</f>
        <v>3</v>
      </c>
      <c r="AV18" s="58">
        <f>VLOOKUP($A18,historia!$A$5:$CM$24,+HLOOKUP(AV$2,historia!$A$3:$EC$4,2,FALSE),FALSE)</f>
        <v>4</v>
      </c>
      <c r="AW18" s="58">
        <f>VLOOKUP($A18,historia!$A$5:$CM$24,+HLOOKUP(AW$2,historia!$A$3:$EC$4,2,FALSE),FALSE)</f>
        <v>4</v>
      </c>
      <c r="AX18" s="58">
        <f>VLOOKUP($A18,historia!$A$5:$CM$24,+HLOOKUP(AX$2,historia!$A$3:$EC$4,2,FALSE),FALSE)</f>
        <v>4</v>
      </c>
      <c r="AY18" s="58">
        <f>VLOOKUP($A18,historia!$A$5:$CM$24,+HLOOKUP(AY$2,historia!$A$3:$EC$4,2,FALSE),FALSE)</f>
        <v>4</v>
      </c>
      <c r="AZ18" s="58">
        <f>VLOOKUP($A18,historia!$A$5:$CM$24,+HLOOKUP(AZ$2,historia!$A$3:$EC$4,2,FALSE),FALSE)</f>
        <v>4</v>
      </c>
      <c r="BA18" s="58">
        <f>VLOOKUP($A18,historia!$A$5:$CM$24,+HLOOKUP(BA$2,historia!$A$3:$EC$4,2,FALSE),FALSE)</f>
        <v>4</v>
      </c>
      <c r="BB18" s="30"/>
      <c r="BC18" s="141">
        <v>4</v>
      </c>
      <c r="BD18" t="str">
        <f t="shared" si="19"/>
        <v>Ovino</v>
      </c>
      <c r="BE18">
        <f>+datos!BU1</f>
        <v>73</v>
      </c>
      <c r="BF18" s="2" t="str">
        <f t="shared" si="4"/>
        <v>$/kg</v>
      </c>
      <c r="BG18" s="2">
        <f t="shared" si="4"/>
        <v>40928.747100000001</v>
      </c>
      <c r="BH18" s="2">
        <f t="shared" si="4"/>
        <v>40951.6296</v>
      </c>
      <c r="BI18" s="2">
        <f t="shared" si="4"/>
        <v>12505.7415</v>
      </c>
      <c r="BK18">
        <f>+datos!DI1</f>
        <v>113</v>
      </c>
      <c r="BL18" s="2">
        <f t="shared" si="20"/>
        <v>5738.4336789239997</v>
      </c>
      <c r="BM18" s="2">
        <f t="shared" si="20"/>
        <v>5423.2459371604891</v>
      </c>
      <c r="BN18" s="2">
        <f t="shared" si="20"/>
        <v>1694.3939048436871</v>
      </c>
      <c r="BP18" s="1">
        <f>+datos!EL1</f>
        <v>142</v>
      </c>
      <c r="BQ18" s="1">
        <f t="shared" si="21"/>
        <v>12461845</v>
      </c>
      <c r="BR18" s="1">
        <f t="shared" si="21"/>
        <v>12461845</v>
      </c>
      <c r="BT18" s="1">
        <f>+datos!GS1</f>
        <v>201</v>
      </c>
      <c r="BU18" s="1">
        <f t="shared" si="22"/>
        <v>38808.945</v>
      </c>
      <c r="BV18" s="1">
        <f t="shared" si="22"/>
        <v>42238.214999999997</v>
      </c>
      <c r="BX18" s="1">
        <f>+datos!KI1</f>
        <v>295</v>
      </c>
      <c r="BY18" s="1">
        <f t="shared" si="39"/>
        <v>183.25056680000003</v>
      </c>
      <c r="BZ18" s="1">
        <f t="shared" si="40"/>
        <v>256.15983891999997</v>
      </c>
      <c r="CB18" s="1">
        <f>+datos!LN1</f>
        <v>326</v>
      </c>
      <c r="CC18" s="2">
        <f t="shared" si="23"/>
        <v>4.5134152100000007</v>
      </c>
      <c r="CD18" s="2">
        <f t="shared" si="24"/>
        <v>4.64479328</v>
      </c>
      <c r="CF18" s="1">
        <f>+datos!JA1</f>
        <v>261</v>
      </c>
      <c r="CG18" s="1">
        <f t="shared" si="25"/>
        <v>2813</v>
      </c>
      <c r="CH18" s="1">
        <f t="shared" si="26"/>
        <v>2813</v>
      </c>
      <c r="CJ18" s="1">
        <f t="shared" si="27"/>
        <v>15.322430800000003</v>
      </c>
      <c r="CK18" s="1">
        <f t="shared" si="27"/>
        <v>16.644595240000001</v>
      </c>
      <c r="CL18" s="1">
        <f t="shared" si="27"/>
        <v>15.83663735</v>
      </c>
      <c r="CM18" s="1">
        <f t="shared" si="27"/>
        <v>13.412348609999999</v>
      </c>
      <c r="CN18" s="1">
        <f t="shared" si="27"/>
        <v>9.5091132299999988</v>
      </c>
      <c r="CO18" s="1">
        <f t="shared" si="27"/>
        <v>10.49137048</v>
      </c>
      <c r="CP18" s="1">
        <f t="shared" si="27"/>
        <v>12.745889309999999</v>
      </c>
      <c r="CQ18" s="1">
        <f t="shared" si="27"/>
        <v>11.898747670000001</v>
      </c>
      <c r="CR18" s="1">
        <f t="shared" si="27"/>
        <v>12.26162961</v>
      </c>
      <c r="CS18" s="1">
        <f t="shared" si="27"/>
        <v>21.704121750000002</v>
      </c>
      <c r="CT18" s="1">
        <f t="shared" si="27"/>
        <v>21.006605250000003</v>
      </c>
      <c r="CU18" s="1">
        <f t="shared" si="27"/>
        <v>22.417077500000001</v>
      </c>
      <c r="CV18" s="1">
        <f t="shared" si="27"/>
        <v>28.978678630000001</v>
      </c>
      <c r="CW18" s="1">
        <f t="shared" si="27"/>
        <v>14.681416690000001</v>
      </c>
      <c r="CX18" s="1">
        <f t="shared" si="27"/>
        <v>20.44206312</v>
      </c>
      <c r="CY18" s="1">
        <f t="shared" si="27"/>
        <v>19.069193389999999</v>
      </c>
      <c r="CZ18" s="1">
        <f t="shared" si="28"/>
        <v>11.15247257</v>
      </c>
      <c r="DA18" s="1">
        <f t="shared" si="28"/>
        <v>14.78060634</v>
      </c>
      <c r="DB18" s="1">
        <f t="shared" si="28"/>
        <v>17.39120926</v>
      </c>
      <c r="DC18" s="1">
        <f t="shared" si="28"/>
        <v>19.858191740000002</v>
      </c>
      <c r="DD18" s="1">
        <f t="shared" si="28"/>
        <v>25.793182220000006</v>
      </c>
      <c r="DE18" s="1">
        <f t="shared" si="28"/>
        <v>23.71802637</v>
      </c>
      <c r="DF18" s="1">
        <f t="shared" si="28"/>
        <v>28.473251640000001</v>
      </c>
      <c r="DG18" s="1">
        <f t="shared" si="28"/>
        <v>31.821546949999998</v>
      </c>
      <c r="DI18" s="1">
        <f t="shared" si="29"/>
        <v>0.31075020000000003</v>
      </c>
      <c r="DJ18" s="1">
        <f t="shared" si="29"/>
        <v>0.90541722000000002</v>
      </c>
      <c r="DK18" s="1">
        <f t="shared" si="29"/>
        <v>0.34283965</v>
      </c>
      <c r="DL18" s="1">
        <f t="shared" si="29"/>
        <v>0.74167351000000015</v>
      </c>
      <c r="DM18" s="1">
        <f t="shared" si="29"/>
        <v>0.58632921999999998</v>
      </c>
      <c r="DN18" s="1">
        <f t="shared" si="29"/>
        <v>0.29250390000000004</v>
      </c>
      <c r="DO18" s="1">
        <f t="shared" si="29"/>
        <v>0.46645720000000002</v>
      </c>
      <c r="DP18" s="1">
        <f t="shared" si="29"/>
        <v>8.1248630000000002E-2</v>
      </c>
      <c r="DQ18" s="1">
        <f t="shared" si="29"/>
        <v>0.16069122999999999</v>
      </c>
      <c r="DR18" s="1">
        <f t="shared" si="29"/>
        <v>0.12834936</v>
      </c>
      <c r="DS18" s="1">
        <f t="shared" si="29"/>
        <v>0.21283820000000001</v>
      </c>
      <c r="DT18" s="1">
        <f t="shared" si="29"/>
        <v>0.28431688999999999</v>
      </c>
      <c r="DU18" s="1">
        <f t="shared" si="29"/>
        <v>0.27087241000000001</v>
      </c>
      <c r="DV18" s="1">
        <f t="shared" si="29"/>
        <v>0.85465582000000007</v>
      </c>
      <c r="DW18" s="1">
        <f t="shared" si="29"/>
        <v>0.86735239999999991</v>
      </c>
      <c r="DX18" s="1">
        <f t="shared" si="29"/>
        <v>0.68639446999999998</v>
      </c>
      <c r="DY18" s="1">
        <f t="shared" si="30"/>
        <v>0.51198889000000003</v>
      </c>
      <c r="DZ18" s="1">
        <f t="shared" si="30"/>
        <v>0.25118170000000001</v>
      </c>
      <c r="EA18" s="1">
        <f t="shared" si="30"/>
        <v>0.17288594000000002</v>
      </c>
      <c r="EB18" s="1">
        <f t="shared" si="30"/>
        <v>0</v>
      </c>
      <c r="EC18" s="1">
        <f t="shared" si="30"/>
        <v>0.51168631000000009</v>
      </c>
      <c r="ED18" s="1">
        <f t="shared" si="30"/>
        <v>0.28659749000000001</v>
      </c>
      <c r="EE18" s="1">
        <f t="shared" si="30"/>
        <v>2.9313999999999998E-3</v>
      </c>
      <c r="EF18" s="1">
        <f t="shared" si="30"/>
        <v>0.22824644999999999</v>
      </c>
      <c r="EH18" s="14">
        <f t="shared" si="31"/>
        <v>2813</v>
      </c>
      <c r="EI18" s="14">
        <f t="shared" si="31"/>
        <v>2813</v>
      </c>
      <c r="EJ18" s="1">
        <f t="shared" si="31"/>
        <v>2813</v>
      </c>
      <c r="EK18" s="1">
        <f t="shared" si="31"/>
        <v>2813</v>
      </c>
      <c r="EL18" s="1">
        <f t="shared" si="31"/>
        <v>2813</v>
      </c>
      <c r="EM18" s="1">
        <f t="shared" si="31"/>
        <v>2813</v>
      </c>
      <c r="EN18" s="1">
        <f t="shared" si="31"/>
        <v>2813</v>
      </c>
      <c r="EO18" s="1">
        <f t="shared" si="31"/>
        <v>2813</v>
      </c>
      <c r="EP18" s="1">
        <f t="shared" si="31"/>
        <v>2813</v>
      </c>
      <c r="EQ18" s="1">
        <f t="shared" si="31"/>
        <v>2813</v>
      </c>
      <c r="ER18" s="1">
        <f t="shared" si="31"/>
        <v>2813</v>
      </c>
      <c r="ES18" s="1">
        <f t="shared" si="31"/>
        <v>2813</v>
      </c>
      <c r="ET18" s="1">
        <f t="shared" si="31"/>
        <v>2813</v>
      </c>
      <c r="EU18" s="1">
        <f t="shared" si="31"/>
        <v>2813</v>
      </c>
      <c r="EV18" s="1">
        <f t="shared" si="31"/>
        <v>2813</v>
      </c>
      <c r="EW18" s="1">
        <f t="shared" si="31"/>
        <v>2813</v>
      </c>
      <c r="EX18" s="1">
        <f t="shared" si="32"/>
        <v>2813</v>
      </c>
      <c r="EY18" s="1">
        <f t="shared" si="32"/>
        <v>2813</v>
      </c>
      <c r="EZ18" s="1">
        <f t="shared" si="32"/>
        <v>2813</v>
      </c>
      <c r="FA18" s="1">
        <f t="shared" si="32"/>
        <v>2813</v>
      </c>
      <c r="FB18" s="1">
        <f t="shared" si="32"/>
        <v>2813</v>
      </c>
      <c r="FC18" s="1">
        <f t="shared" si="32"/>
        <v>2813</v>
      </c>
      <c r="FD18" s="1">
        <f t="shared" si="32"/>
        <v>2813</v>
      </c>
      <c r="FE18" s="1">
        <f t="shared" si="32"/>
        <v>2813</v>
      </c>
      <c r="FG18" s="162">
        <f t="shared" si="33"/>
        <v>-2.3867176118373652</v>
      </c>
    </row>
    <row r="19" spans="1:163" ht="30" customHeight="1">
      <c r="A19" s="226" t="s">
        <v>66</v>
      </c>
      <c r="B19" s="227"/>
      <c r="C19" s="228">
        <f t="shared" si="5"/>
        <v>0</v>
      </c>
      <c r="D19" s="229">
        <v>0</v>
      </c>
      <c r="E19" s="230">
        <f t="shared" si="6"/>
        <v>0.33166249672770665</v>
      </c>
      <c r="F19" s="231">
        <f t="shared" si="7"/>
        <v>0.19925573619245895</v>
      </c>
      <c r="G19" s="230">
        <f t="shared" si="8"/>
        <v>2.1032543438877171E-2</v>
      </c>
      <c r="H19" s="231">
        <f t="shared" si="9"/>
        <v>0.31062995328882947</v>
      </c>
      <c r="I19" s="230">
        <f t="shared" si="10"/>
        <v>2.2215355457113448</v>
      </c>
      <c r="J19" s="231">
        <f t="shared" si="11"/>
        <v>-0.52606723443931092</v>
      </c>
      <c r="K19" s="230">
        <f t="shared" si="34"/>
        <v>2.5922606951315443</v>
      </c>
      <c r="L19" s="231">
        <f t="shared" si="12"/>
        <v>-0.37072514942019952</v>
      </c>
      <c r="M19" s="232"/>
      <c r="N19" s="229">
        <v>0</v>
      </c>
      <c r="O19" s="230">
        <f t="shared" si="35"/>
        <v>6.5265283642371941E-2</v>
      </c>
      <c r="P19" s="233">
        <f t="shared" si="36"/>
        <v>6.5265283642371941E-2</v>
      </c>
      <c r="Q19" s="213">
        <f t="shared" si="41"/>
        <v>-0.10753859789340392</v>
      </c>
      <c r="R19" s="234">
        <v>-0.01</v>
      </c>
      <c r="S19" s="232"/>
      <c r="T19" s="229">
        <v>0</v>
      </c>
      <c r="U19" s="230">
        <f t="shared" si="14"/>
        <v>9.30152931914634E-2</v>
      </c>
      <c r="V19" s="235">
        <f t="shared" si="15"/>
        <v>9.30152931914634E-2</v>
      </c>
      <c r="W19" s="230">
        <f t="shared" si="38"/>
        <v>1.8298570779524073</v>
      </c>
      <c r="X19" s="235">
        <f t="shared" si="16"/>
        <v>1.8298570779524073</v>
      </c>
      <c r="Y19" s="230">
        <f t="shared" si="17"/>
        <v>0</v>
      </c>
      <c r="Z19" s="235">
        <f t="shared" si="18"/>
        <v>0</v>
      </c>
      <c r="AA19" s="238"/>
      <c r="AB19" s="242" t="s">
        <v>485</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P19" s="28">
        <f>VLOOKUP($A19,historia!$A$5:$CM$24,+HLOOKUP(AP$2,historia!$A$3:$EC$4,2,FALSE),FALSE)</f>
        <v>3</v>
      </c>
      <c r="AQ19" s="28">
        <f>VLOOKUP($A19,historia!$A$5:$CM$24,+HLOOKUP(AQ$2,historia!$A$3:$EC$4,2,FALSE),FALSE)</f>
        <v>3</v>
      </c>
      <c r="AR19" s="28">
        <f>VLOOKUP($A19,historia!$A$5:$CM$24,+HLOOKUP(AR$2,historia!$A$3:$EC$4,2,FALSE),FALSE)</f>
        <v>3</v>
      </c>
      <c r="AS19" s="28">
        <f>VLOOKUP($A19,historia!$A$5:$CM$24,+HLOOKUP(AS$2,historia!$A$3:$EC$4,2,FALSE),FALSE)</f>
        <v>4</v>
      </c>
      <c r="AT19" s="58">
        <f>VLOOKUP($A19,historia!$A$5:$CM$24,+HLOOKUP(AT$2,historia!$A$3:$EC$4,2,FALSE),FALSE)</f>
        <v>4</v>
      </c>
      <c r="AU19" s="58">
        <f>VLOOKUP($A19,historia!$A$5:$CM$24,+HLOOKUP(AU$2,historia!$A$3:$EC$4,2,FALSE),FALSE)</f>
        <v>4</v>
      </c>
      <c r="AV19" s="58">
        <f>VLOOKUP($A19,historia!$A$5:$CM$24,+HLOOKUP(AV$2,historia!$A$3:$EC$4,2,FALSE),FALSE)</f>
        <v>4</v>
      </c>
      <c r="AW19" s="58">
        <f>VLOOKUP($A19,historia!$A$5:$CM$24,+HLOOKUP(AW$2,historia!$A$3:$EC$4,2,FALSE),FALSE)</f>
        <v>3</v>
      </c>
      <c r="AX19" s="58">
        <f>VLOOKUP($A19,historia!$A$5:$CM$24,+HLOOKUP(AX$2,historia!$A$3:$EC$4,2,FALSE),FALSE)</f>
        <v>3</v>
      </c>
      <c r="AY19" s="58">
        <f>VLOOKUP($A19,historia!$A$5:$CM$24,+HLOOKUP(AY$2,historia!$A$3:$EC$4,2,FALSE),FALSE)</f>
        <v>3</v>
      </c>
      <c r="AZ19" s="58">
        <f>VLOOKUP($A19,historia!$A$5:$CM$24,+HLOOKUP(AZ$2,historia!$A$3:$EC$4,2,FALSE),FALSE)</f>
        <v>4</v>
      </c>
      <c r="BA19" s="58">
        <f>VLOOKUP($A19,historia!$A$5:$CM$24,+HLOOKUP(BA$2,historia!$A$3:$EC$4,2,FALSE),FALSE)</f>
        <v>3</v>
      </c>
      <c r="BB19" s="30"/>
      <c r="BC19" s="141">
        <v>3</v>
      </c>
      <c r="BD19" t="str">
        <f t="shared" si="19"/>
        <v>Papa</v>
      </c>
      <c r="BE19">
        <f>+datos!AV1</f>
        <v>48</v>
      </c>
      <c r="BF19" s="2" t="str">
        <f t="shared" si="4"/>
        <v>$/bolsa 20kg</v>
      </c>
      <c r="BG19" s="2">
        <f t="shared" si="4"/>
        <v>6744.1860465116279</v>
      </c>
      <c r="BH19" s="2">
        <f t="shared" si="4"/>
        <v>5064.4859813084113</v>
      </c>
      <c r="BI19" s="2">
        <f t="shared" si="4"/>
        <v>2093.4693877551022</v>
      </c>
      <c r="BK19">
        <f>+datos!CI1</f>
        <v>87</v>
      </c>
      <c r="BL19" s="2">
        <f t="shared" si="20"/>
        <v>8154.8063869354155</v>
      </c>
      <c r="BM19" s="2">
        <f t="shared" si="20"/>
        <v>7986.8231814332885</v>
      </c>
      <c r="BN19" s="2">
        <f t="shared" si="20"/>
        <v>2270.1042822385684</v>
      </c>
      <c r="BP19" s="1">
        <f>+datos!EZ1</f>
        <v>156</v>
      </c>
      <c r="BQ19" s="1">
        <f t="shared" si="21"/>
        <v>34815</v>
      </c>
      <c r="BR19" s="1">
        <f t="shared" si="21"/>
        <v>32682</v>
      </c>
      <c r="BT19" s="1">
        <f>+datos!GT1</f>
        <v>202</v>
      </c>
      <c r="BU19" s="1">
        <f t="shared" si="22"/>
        <v>2111561</v>
      </c>
      <c r="BV19" s="1">
        <f t="shared" si="22"/>
        <v>2365997</v>
      </c>
      <c r="BX19" s="1">
        <f>+datos!JO1</f>
        <v>275</v>
      </c>
      <c r="BY19" s="1">
        <f t="shared" si="39"/>
        <v>324.60552064999996</v>
      </c>
      <c r="BZ19" s="1">
        <f t="shared" si="40"/>
        <v>296.98168239000006</v>
      </c>
      <c r="CB19" s="1">
        <f>+datos!KT1</f>
        <v>306</v>
      </c>
      <c r="CC19" s="2">
        <f t="shared" si="23"/>
        <v>20.023250769999997</v>
      </c>
      <c r="CD19" s="2">
        <f t="shared" si="24"/>
        <v>7.0757109700000012</v>
      </c>
      <c r="CF19" s="1">
        <f>+datos!JB1</f>
        <v>262</v>
      </c>
      <c r="CG19" s="1">
        <f t="shared" si="25"/>
        <v>35.950000000000003</v>
      </c>
      <c r="CH19" s="1">
        <f t="shared" si="26"/>
        <v>35.950000000000003</v>
      </c>
      <c r="CJ19" s="1">
        <f t="shared" si="27"/>
        <v>27.954086790000002</v>
      </c>
      <c r="CK19" s="1">
        <f t="shared" si="27"/>
        <v>24.143815810000007</v>
      </c>
      <c r="CL19" s="1">
        <f t="shared" si="27"/>
        <v>26.000694290000002</v>
      </c>
      <c r="CM19" s="1">
        <f t="shared" si="27"/>
        <v>22.013274209999999</v>
      </c>
      <c r="CN19" s="1">
        <f t="shared" si="27"/>
        <v>23.44114875</v>
      </c>
      <c r="CO19" s="1">
        <f t="shared" si="27"/>
        <v>29.35689408</v>
      </c>
      <c r="CP19" s="1">
        <f t="shared" si="27"/>
        <v>26.11967611</v>
      </c>
      <c r="CQ19" s="1">
        <f t="shared" si="27"/>
        <v>30.386509889999999</v>
      </c>
      <c r="CR19" s="1">
        <f t="shared" si="27"/>
        <v>26.2743097</v>
      </c>
      <c r="CS19" s="1">
        <f t="shared" si="27"/>
        <v>30.80704394</v>
      </c>
      <c r="CT19" s="1">
        <f t="shared" si="27"/>
        <v>27.637267510000001</v>
      </c>
      <c r="CU19" s="1">
        <f t="shared" si="27"/>
        <v>30.470799569999997</v>
      </c>
      <c r="CV19" s="1">
        <f t="shared" si="27"/>
        <v>25.884569989999999</v>
      </c>
      <c r="CW19" s="1">
        <f t="shared" si="27"/>
        <v>21.159077390000004</v>
      </c>
      <c r="CX19" s="1">
        <f t="shared" si="27"/>
        <v>21.056863770000003</v>
      </c>
      <c r="CY19" s="1">
        <f t="shared" si="27"/>
        <v>16.985680380000005</v>
      </c>
      <c r="CZ19" s="1">
        <f t="shared" si="28"/>
        <v>25.68249277</v>
      </c>
      <c r="DA19" s="1">
        <f t="shared" si="28"/>
        <v>25.561633730000004</v>
      </c>
      <c r="DB19" s="1">
        <f t="shared" si="28"/>
        <v>29.175893349999999</v>
      </c>
      <c r="DC19" s="1">
        <f t="shared" si="28"/>
        <v>26.64714219</v>
      </c>
      <c r="DD19" s="1">
        <f t="shared" si="28"/>
        <v>28.903680499999997</v>
      </c>
      <c r="DE19" s="1">
        <f t="shared" si="28"/>
        <v>27.118801100000006</v>
      </c>
      <c r="DF19" s="1">
        <f t="shared" si="28"/>
        <v>25.069733259999996</v>
      </c>
      <c r="DG19" s="1">
        <f t="shared" si="28"/>
        <v>23.736113960000001</v>
      </c>
      <c r="DI19" s="1">
        <f t="shared" si="29"/>
        <v>1.6300787399999999</v>
      </c>
      <c r="DJ19" s="1">
        <f t="shared" si="29"/>
        <v>1.5496506000000003</v>
      </c>
      <c r="DK19" s="1">
        <f t="shared" si="29"/>
        <v>2.1384397699999997</v>
      </c>
      <c r="DL19" s="1">
        <f t="shared" si="29"/>
        <v>2.7337765599999999</v>
      </c>
      <c r="DM19" s="1">
        <f t="shared" si="29"/>
        <v>1.0171737099999998</v>
      </c>
      <c r="DN19" s="1">
        <f t="shared" si="29"/>
        <v>1.9864389700000002</v>
      </c>
      <c r="DO19" s="1">
        <f t="shared" si="29"/>
        <v>2.8868213899999997</v>
      </c>
      <c r="DP19" s="1">
        <f t="shared" si="29"/>
        <v>1.3747401999999997</v>
      </c>
      <c r="DQ19" s="1">
        <f t="shared" si="29"/>
        <v>1.6364950999999999</v>
      </c>
      <c r="DR19" s="1">
        <f t="shared" si="29"/>
        <v>1.1348675200000002</v>
      </c>
      <c r="DS19" s="1">
        <f t="shared" si="29"/>
        <v>0.73241972</v>
      </c>
      <c r="DT19" s="1">
        <f t="shared" si="29"/>
        <v>1.2023484900000001</v>
      </c>
      <c r="DU19" s="1">
        <f t="shared" si="29"/>
        <v>0.41620179000000002</v>
      </c>
      <c r="DV19" s="1">
        <f t="shared" si="29"/>
        <v>1.03402496</v>
      </c>
      <c r="DW19" s="1">
        <f t="shared" si="29"/>
        <v>2.8427559999999998E-2</v>
      </c>
      <c r="DX19" s="1">
        <f t="shared" si="29"/>
        <v>1.0036533000000001</v>
      </c>
      <c r="DY19" s="1">
        <f t="shared" si="30"/>
        <v>0.19325807</v>
      </c>
      <c r="DZ19" s="1">
        <f t="shared" si="30"/>
        <v>0.52785406000000001</v>
      </c>
      <c r="EA19" s="1">
        <f t="shared" si="30"/>
        <v>0.66552862999999995</v>
      </c>
      <c r="EB19" s="1">
        <f t="shared" si="30"/>
        <v>0.47927648999999994</v>
      </c>
      <c r="EC19" s="1">
        <f t="shared" si="30"/>
        <v>0.83261881999999998</v>
      </c>
      <c r="ED19" s="1">
        <f t="shared" si="30"/>
        <v>0.7180453</v>
      </c>
      <c r="EE19" s="1">
        <f t="shared" si="30"/>
        <v>0.58227790999999995</v>
      </c>
      <c r="EF19" s="1">
        <f t="shared" si="30"/>
        <v>0.59454408000000003</v>
      </c>
      <c r="EH19" s="14">
        <f t="shared" si="31"/>
        <v>35.950000000000003</v>
      </c>
      <c r="EI19" s="14">
        <f t="shared" si="31"/>
        <v>35.950000000000003</v>
      </c>
      <c r="EJ19" s="1">
        <f t="shared" si="31"/>
        <v>35.950000000000003</v>
      </c>
      <c r="EK19" s="1">
        <f t="shared" si="31"/>
        <v>35.950000000000003</v>
      </c>
      <c r="EL19" s="1">
        <f t="shared" si="31"/>
        <v>35.950000000000003</v>
      </c>
      <c r="EM19" s="1">
        <f t="shared" si="31"/>
        <v>35.950000000000003</v>
      </c>
      <c r="EN19" s="1">
        <f t="shared" si="31"/>
        <v>35.950000000000003</v>
      </c>
      <c r="EO19" s="1">
        <f t="shared" si="31"/>
        <v>35.950000000000003</v>
      </c>
      <c r="EP19" s="1">
        <f t="shared" si="31"/>
        <v>35.950000000000003</v>
      </c>
      <c r="EQ19" s="1">
        <f t="shared" si="31"/>
        <v>35.950000000000003</v>
      </c>
      <c r="ER19" s="1">
        <f t="shared" si="31"/>
        <v>35.950000000000003</v>
      </c>
      <c r="ES19" s="1">
        <f t="shared" si="31"/>
        <v>35.950000000000003</v>
      </c>
      <c r="ET19" s="1">
        <f t="shared" si="31"/>
        <v>35.950000000000003</v>
      </c>
      <c r="EU19" s="1">
        <f t="shared" si="31"/>
        <v>35.950000000000003</v>
      </c>
      <c r="EV19" s="1">
        <f t="shared" si="31"/>
        <v>40.33</v>
      </c>
      <c r="EW19" s="1">
        <f t="shared" si="31"/>
        <v>40.33</v>
      </c>
      <c r="EX19" s="1">
        <f t="shared" si="32"/>
        <v>40.33</v>
      </c>
      <c r="EY19" s="1">
        <f t="shared" si="32"/>
        <v>40.33</v>
      </c>
      <c r="EZ19" s="1">
        <f t="shared" si="32"/>
        <v>40.33</v>
      </c>
      <c r="FA19" s="1">
        <f t="shared" si="32"/>
        <v>40.33</v>
      </c>
      <c r="FB19" s="1">
        <f t="shared" si="32"/>
        <v>40.33</v>
      </c>
      <c r="FC19" s="1">
        <f t="shared" si="32"/>
        <v>40.33</v>
      </c>
      <c r="FD19" s="1">
        <f t="shared" si="32"/>
        <v>40.33</v>
      </c>
      <c r="FE19" s="1">
        <f t="shared" si="32"/>
        <v>40.33</v>
      </c>
      <c r="FG19" s="162">
        <f t="shared" si="33"/>
        <v>-0.37072514942019952</v>
      </c>
    </row>
    <row r="20" spans="1:163" ht="30" customHeight="1">
      <c r="A20" s="224" t="s">
        <v>218</v>
      </c>
      <c r="B20" s="212"/>
      <c r="C20" s="156">
        <f t="shared" si="5"/>
        <v>0</v>
      </c>
      <c r="D20" s="198">
        <v>0</v>
      </c>
      <c r="E20" s="213">
        <f t="shared" si="6"/>
        <v>9.9803674724714408E-2</v>
      </c>
      <c r="F20" s="214">
        <f t="shared" si="7"/>
        <v>-3.2603085810533283E-2</v>
      </c>
      <c r="G20" s="213">
        <f t="shared" si="8"/>
        <v>4.9552610884594506E-2</v>
      </c>
      <c r="H20" s="214">
        <f t="shared" si="9"/>
        <v>5.0251063840119903E-2</v>
      </c>
      <c r="I20" s="213">
        <f t="shared" si="10"/>
        <v>3.3104642131277382</v>
      </c>
      <c r="J20" s="214">
        <f t="shared" si="11"/>
        <v>0.56286143297708247</v>
      </c>
      <c r="K20" s="213">
        <f t="shared" si="34"/>
        <v>2.4978907435315705</v>
      </c>
      <c r="L20" s="214">
        <f t="shared" si="12"/>
        <v>0.81257346959616772</v>
      </c>
      <c r="M20" s="215"/>
      <c r="N20" s="198">
        <v>-1</v>
      </c>
      <c r="O20" s="213">
        <f t="shared" si="35"/>
        <v>-2.3211675087845274E-2</v>
      </c>
      <c r="P20" s="216">
        <f t="shared" si="36"/>
        <v>-2.3211675087845274E-2</v>
      </c>
      <c r="Q20" s="213">
        <f t="shared" si="41"/>
        <v>-0.19657496052797441</v>
      </c>
      <c r="R20" s="217">
        <f t="shared" si="37"/>
        <v>-0.19657496052797441</v>
      </c>
      <c r="S20" s="215"/>
      <c r="T20" s="198">
        <v>1</v>
      </c>
      <c r="U20" s="213">
        <f t="shared" si="14"/>
        <v>0.20108703335029388</v>
      </c>
      <c r="V20" s="45">
        <f t="shared" si="15"/>
        <v>0.20108703335029388</v>
      </c>
      <c r="W20" s="213">
        <f t="shared" si="38"/>
        <v>5.2175679205470393E-2</v>
      </c>
      <c r="X20" s="45">
        <f t="shared" si="16"/>
        <v>5.2175679205470393E-2</v>
      </c>
      <c r="Y20" s="213" t="str">
        <f t="shared" si="17"/>
        <v/>
      </c>
      <c r="Z20" s="45" t="str">
        <f t="shared" si="18"/>
        <v/>
      </c>
      <c r="AA20" s="30"/>
      <c r="AB20" s="242" t="s">
        <v>486</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P20" s="28">
        <f>VLOOKUP($A20,historia!$A$5:$CM$24,+HLOOKUP(AP$2,historia!$A$3:$EC$4,2,FALSE),FALSE)</f>
        <v>4</v>
      </c>
      <c r="AQ20" s="28">
        <f>VLOOKUP($A20,historia!$A$5:$CM$24,+HLOOKUP(AQ$2,historia!$A$3:$EC$4,2,FALSE),FALSE)</f>
        <v>4</v>
      </c>
      <c r="AR20" s="28">
        <f>VLOOKUP($A20,historia!$A$5:$CM$24,+HLOOKUP(AR$2,historia!$A$3:$EC$4,2,FALSE),FALSE)</f>
        <v>4</v>
      </c>
      <c r="AS20" s="28">
        <f>VLOOKUP($A20,historia!$A$5:$CM$24,+HLOOKUP(AS$2,historia!$A$3:$EC$4,2,FALSE),FALSE)</f>
        <v>4</v>
      </c>
      <c r="AT20" s="58">
        <f>VLOOKUP($A20,historia!$A$5:$CM$24,+HLOOKUP(AT$2,historia!$A$3:$EC$4,2,FALSE),FALSE)</f>
        <v>3</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3</v>
      </c>
      <c r="AY20" s="58">
        <f>VLOOKUP($A20,historia!$A$5:$CM$24,+HLOOKUP(AY$2,historia!$A$3:$EC$4,2,FALSE),FALSE)</f>
        <v>3</v>
      </c>
      <c r="AZ20" s="58">
        <f>VLOOKUP($A20,historia!$A$5:$CM$24,+HLOOKUP(AZ$2,historia!$A$3:$EC$4,2,FALSE),FALSE)</f>
        <v>3</v>
      </c>
      <c r="BA20" s="58">
        <f>VLOOKUP($A20,historia!$A$5:$CM$24,+HLOOKUP(BA$2,historia!$A$3:$EC$4,2,FALSE),FALSE)</f>
        <v>3</v>
      </c>
      <c r="BB20" s="30"/>
      <c r="BC20" s="141">
        <v>3</v>
      </c>
      <c r="BD20" t="str">
        <f t="shared" si="19"/>
        <v>Peras y Manzanas</v>
      </c>
      <c r="BE20">
        <f>+datos!AP1</f>
        <v>42</v>
      </c>
      <c r="BF20" s="2" t="str">
        <f t="shared" si="4"/>
        <v>$/caja 18kg</v>
      </c>
      <c r="BG20" s="2">
        <f t="shared" si="4"/>
        <v>12548.36</v>
      </c>
      <c r="BH20" s="2">
        <f t="shared" si="4"/>
        <v>11409.636363636364</v>
      </c>
      <c r="BI20" s="2">
        <f t="shared" si="4"/>
        <v>2911.1388888888887</v>
      </c>
      <c r="BK20">
        <f>+datos!CS1</f>
        <v>97</v>
      </c>
      <c r="BL20" s="2">
        <f t="shared" si="20"/>
        <v>6583.2645598438576</v>
      </c>
      <c r="BM20" s="2">
        <f t="shared" si="20"/>
        <v>6272.4483666381275</v>
      </c>
      <c r="BN20" s="2">
        <f t="shared" si="20"/>
        <v>1882.0669490657692</v>
      </c>
      <c r="BP20" s="1">
        <f>+datos!FC1</f>
        <v>159</v>
      </c>
      <c r="BQ20" s="1">
        <f t="shared" si="21"/>
        <v>38084</v>
      </c>
      <c r="BR20" s="1">
        <f t="shared" si="21"/>
        <v>38989</v>
      </c>
      <c r="BT20" s="1">
        <f>+datos!GW1</f>
        <v>205</v>
      </c>
      <c r="BU20" s="1">
        <f t="shared" si="22"/>
        <v>752091</v>
      </c>
      <c r="BV20" s="1">
        <f t="shared" si="22"/>
        <v>936106</v>
      </c>
      <c r="BX20" s="1">
        <f>+datos!LS1</f>
        <v>331</v>
      </c>
      <c r="BY20" s="1">
        <f t="shared" si="39"/>
        <v>361.16927255000002</v>
      </c>
      <c r="BZ20" s="1">
        <f t="shared" si="40"/>
        <v>300.70199953999997</v>
      </c>
      <c r="CB20" s="1">
        <f>+datos!LW1</f>
        <v>335</v>
      </c>
      <c r="CC20" s="2">
        <f t="shared" si="23"/>
        <v>7.2443698799999998</v>
      </c>
      <c r="CD20" s="2">
        <f t="shared" si="24"/>
        <v>6.8851333700000001</v>
      </c>
      <c r="CF20" s="1">
        <f>+datos!JC1</f>
        <v>263</v>
      </c>
      <c r="CG20" s="1">
        <f t="shared" si="25"/>
        <v>0</v>
      </c>
      <c r="CH20" s="1">
        <f t="shared" si="26"/>
        <v>0</v>
      </c>
      <c r="CJ20" s="1">
        <f t="shared" si="27"/>
        <v>42.744570039999999</v>
      </c>
      <c r="CK20" s="1">
        <f t="shared" si="27"/>
        <v>11.509203560000001</v>
      </c>
      <c r="CL20" s="1">
        <f t="shared" si="27"/>
        <v>11.753879789999999</v>
      </c>
      <c r="CM20" s="1">
        <f t="shared" si="27"/>
        <v>15.619426270000002</v>
      </c>
      <c r="CN20" s="1">
        <f t="shared" si="27"/>
        <v>16.880359240000001</v>
      </c>
      <c r="CO20" s="1">
        <f t="shared" si="27"/>
        <v>24.204094699999999</v>
      </c>
      <c r="CP20" s="1">
        <f t="shared" si="27"/>
        <v>25.300599699999999</v>
      </c>
      <c r="CQ20" s="1">
        <f t="shared" si="27"/>
        <v>48.042350899999995</v>
      </c>
      <c r="CR20" s="1">
        <f t="shared" si="27"/>
        <v>30.317151650000003</v>
      </c>
      <c r="CS20" s="1">
        <f t="shared" si="27"/>
        <v>39.830023670000003</v>
      </c>
      <c r="CT20" s="1">
        <f t="shared" si="27"/>
        <v>48.212206680000008</v>
      </c>
      <c r="CU20" s="1">
        <f t="shared" si="27"/>
        <v>46.755406350000001</v>
      </c>
      <c r="CV20" s="1">
        <f t="shared" si="27"/>
        <v>37.276974840000001</v>
      </c>
      <c r="CW20" s="1">
        <f t="shared" si="27"/>
        <v>11.80910873</v>
      </c>
      <c r="CX20" s="1">
        <f t="shared" si="27"/>
        <v>12.88181872</v>
      </c>
      <c r="CY20" s="1">
        <f t="shared" si="27"/>
        <v>18.209359989999999</v>
      </c>
      <c r="CZ20" s="1">
        <f t="shared" si="28"/>
        <v>17.588783669999998</v>
      </c>
      <c r="DA20" s="1">
        <f t="shared" si="28"/>
        <v>19.204431939999999</v>
      </c>
      <c r="DB20" s="1">
        <f t="shared" si="28"/>
        <v>18.586597920000003</v>
      </c>
      <c r="DC20" s="1">
        <f t="shared" si="28"/>
        <v>16.816308710000001</v>
      </c>
      <c r="DD20" s="1">
        <f t="shared" si="28"/>
        <v>28.579364210000001</v>
      </c>
      <c r="DE20" s="1">
        <f t="shared" si="28"/>
        <v>38.836687069999996</v>
      </c>
      <c r="DF20" s="1">
        <f t="shared" si="28"/>
        <v>37.982258049999999</v>
      </c>
      <c r="DG20" s="1">
        <f t="shared" si="28"/>
        <v>42.930305690000004</v>
      </c>
      <c r="DI20" s="1">
        <f t="shared" si="29"/>
        <v>0.12479459999999999</v>
      </c>
      <c r="DJ20" s="1">
        <f t="shared" si="29"/>
        <v>8.4911199999999992E-2</v>
      </c>
      <c r="DK20" s="1">
        <f t="shared" si="29"/>
        <v>0.22142464000000001</v>
      </c>
      <c r="DL20" s="1">
        <f t="shared" si="29"/>
        <v>1.01853964</v>
      </c>
      <c r="DM20" s="1">
        <f t="shared" si="29"/>
        <v>0.30728509999999998</v>
      </c>
      <c r="DN20" s="1">
        <f t="shared" si="29"/>
        <v>0.37410640000000001</v>
      </c>
      <c r="DO20" s="1">
        <f t="shared" si="29"/>
        <v>0.35746821000000001</v>
      </c>
      <c r="DP20" s="1">
        <f t="shared" si="29"/>
        <v>0.95829101000000005</v>
      </c>
      <c r="DQ20" s="1">
        <f t="shared" si="29"/>
        <v>0.34636184000000003</v>
      </c>
      <c r="DR20" s="1">
        <f t="shared" si="29"/>
        <v>1.2547095300000002</v>
      </c>
      <c r="DS20" s="1">
        <f t="shared" si="29"/>
        <v>1.273682</v>
      </c>
      <c r="DT20" s="1">
        <f t="shared" si="29"/>
        <v>0.92279571000000005</v>
      </c>
      <c r="DU20" s="1">
        <f t="shared" si="29"/>
        <v>0.55930298000000001</v>
      </c>
      <c r="DV20" s="1">
        <f t="shared" si="29"/>
        <v>0.23405334</v>
      </c>
      <c r="DW20" s="1">
        <f t="shared" si="29"/>
        <v>2.5551390000000004E-2</v>
      </c>
      <c r="DX20" s="1">
        <f t="shared" si="29"/>
        <v>0.44126778</v>
      </c>
      <c r="DY20" s="1">
        <f t="shared" si="30"/>
        <v>0.57571571999999993</v>
      </c>
      <c r="DZ20" s="1">
        <f t="shared" si="30"/>
        <v>0.55222305999999999</v>
      </c>
      <c r="EA20" s="1">
        <f t="shared" si="30"/>
        <v>0.72330915000000007</v>
      </c>
      <c r="EB20" s="1">
        <f t="shared" si="30"/>
        <v>0.57011290000000003</v>
      </c>
      <c r="EC20" s="1">
        <f t="shared" si="30"/>
        <v>0.72611420999999998</v>
      </c>
      <c r="ED20" s="1">
        <f t="shared" si="30"/>
        <v>1.15496998</v>
      </c>
      <c r="EE20" s="1">
        <f t="shared" si="30"/>
        <v>0.68284896000000006</v>
      </c>
      <c r="EF20" s="1">
        <f t="shared" si="30"/>
        <v>0.63966389999999995</v>
      </c>
      <c r="EH20" s="14">
        <f t="shared" si="31"/>
        <v>0</v>
      </c>
      <c r="EI20" s="14">
        <f t="shared" si="31"/>
        <v>0</v>
      </c>
      <c r="EJ20" s="1">
        <f t="shared" si="31"/>
        <v>0</v>
      </c>
      <c r="EK20" s="1">
        <f t="shared" si="31"/>
        <v>0</v>
      </c>
      <c r="EL20" s="1">
        <f t="shared" si="31"/>
        <v>0</v>
      </c>
      <c r="EM20" s="1">
        <f t="shared" si="31"/>
        <v>0</v>
      </c>
      <c r="EN20" s="1">
        <f t="shared" si="31"/>
        <v>0</v>
      </c>
      <c r="EO20" s="1">
        <f t="shared" si="31"/>
        <v>0</v>
      </c>
      <c r="EP20" s="1">
        <f t="shared" si="31"/>
        <v>0</v>
      </c>
      <c r="EQ20" s="1">
        <f t="shared" si="31"/>
        <v>0</v>
      </c>
      <c r="ER20" s="1">
        <f t="shared" si="31"/>
        <v>0</v>
      </c>
      <c r="ES20" s="1">
        <f t="shared" si="31"/>
        <v>0</v>
      </c>
      <c r="ET20" s="1">
        <f t="shared" si="31"/>
        <v>0</v>
      </c>
      <c r="EU20" s="1">
        <f t="shared" si="31"/>
        <v>0</v>
      </c>
      <c r="EV20" s="1">
        <f t="shared" si="31"/>
        <v>0</v>
      </c>
      <c r="EW20" s="1">
        <f t="shared" si="31"/>
        <v>0</v>
      </c>
      <c r="EX20" s="1">
        <f t="shared" si="32"/>
        <v>0</v>
      </c>
      <c r="EY20" s="1">
        <f t="shared" si="32"/>
        <v>0</v>
      </c>
      <c r="EZ20" s="1">
        <f t="shared" si="32"/>
        <v>0</v>
      </c>
      <c r="FA20" s="1">
        <f t="shared" si="32"/>
        <v>0</v>
      </c>
      <c r="FB20" s="1">
        <f t="shared" si="32"/>
        <v>0</v>
      </c>
      <c r="FC20" s="1">
        <f t="shared" si="32"/>
        <v>0</v>
      </c>
      <c r="FD20" s="1">
        <f t="shared" si="32"/>
        <v>0</v>
      </c>
      <c r="FE20" s="1">
        <f t="shared" si="32"/>
        <v>0</v>
      </c>
      <c r="FG20" s="162">
        <f t="shared" si="33"/>
        <v>0.81257346959616772</v>
      </c>
    </row>
    <row r="21" spans="1:163" ht="30" customHeight="1">
      <c r="A21" s="226" t="s">
        <v>121</v>
      </c>
      <c r="C21" s="228">
        <f t="shared" si="5"/>
        <v>0.33</v>
      </c>
      <c r="D21" s="229">
        <v>-1</v>
      </c>
      <c r="E21" s="230">
        <f t="shared" si="6"/>
        <v>-7.763934715677745E-2</v>
      </c>
      <c r="F21" s="231">
        <f t="shared" si="7"/>
        <v>-0.21004610769202514</v>
      </c>
      <c r="G21" s="230">
        <f t="shared" si="8"/>
        <v>-2.5403373220330039E-2</v>
      </c>
      <c r="H21" s="231">
        <f t="shared" si="9"/>
        <v>-5.2235973936447411E-2</v>
      </c>
      <c r="I21" s="230">
        <f t="shared" si="10"/>
        <v>2.7166414098295348</v>
      </c>
      <c r="J21" s="231">
        <f t="shared" si="11"/>
        <v>-3.0961370321120896E-2</v>
      </c>
      <c r="K21" s="230">
        <f t="shared" si="34"/>
        <v>2.0418653999107761</v>
      </c>
      <c r="L21" s="231">
        <f t="shared" si="12"/>
        <v>0.67477600991875875</v>
      </c>
      <c r="M21" s="232"/>
      <c r="N21" s="229">
        <v>1</v>
      </c>
      <c r="O21" s="230">
        <f t="shared" si="35"/>
        <v>7.4910714725858085E-2</v>
      </c>
      <c r="P21" s="233">
        <f t="shared" si="36"/>
        <v>7.4910714725858085E-2</v>
      </c>
      <c r="Q21" s="230">
        <f t="shared" si="41"/>
        <v>7.400914978112727E-2</v>
      </c>
      <c r="R21" s="234">
        <f t="shared" si="37"/>
        <v>7.400914978112727E-2</v>
      </c>
      <c r="S21" s="232"/>
      <c r="T21" s="229">
        <v>1</v>
      </c>
      <c r="U21" s="230">
        <f t="shared" si="14"/>
        <v>-1.6042542518131087E-2</v>
      </c>
      <c r="V21" s="235">
        <f t="shared" si="15"/>
        <v>-1.6042542518131087E-2</v>
      </c>
      <c r="W21" s="230">
        <f t="shared" si="38"/>
        <v>-0.46875014886360322</v>
      </c>
      <c r="X21" s="235">
        <f t="shared" si="16"/>
        <v>-0.46875014886360322</v>
      </c>
      <c r="Y21" s="230">
        <f t="shared" si="17"/>
        <v>-1.7129356172474797E-2</v>
      </c>
      <c r="Z21" s="235">
        <f t="shared" si="18"/>
        <v>-1.7129356172474797E-2</v>
      </c>
      <c r="AA21" s="238"/>
      <c r="AB21" s="242" t="s">
        <v>487</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P21" s="28">
        <f>VLOOKUP($A21,historia!$A$5:$CM$24,+HLOOKUP(AP$2,historia!$A$3:$EC$4,2,FALSE),FALSE)</f>
        <v>3</v>
      </c>
      <c r="AQ21" s="28">
        <f>VLOOKUP($A21,historia!$A$5:$CM$24,+HLOOKUP(AQ$2,historia!$A$3:$EC$4,2,FALSE),FALSE)</f>
        <v>3</v>
      </c>
      <c r="AR21" s="28">
        <f>VLOOKUP($A21,historia!$A$5:$CM$24,+HLOOKUP(AR$2,historia!$A$3:$EC$4,2,FALSE),FALSE)</f>
        <v>3</v>
      </c>
      <c r="AS21" s="28">
        <f>VLOOKUP($A21,historia!$A$5:$CM$24,+HLOOKUP(AS$2,historia!$A$3:$EC$4,2,FALSE),FALSE)</f>
        <v>4</v>
      </c>
      <c r="AT21" s="58">
        <f>VLOOKUP($A21,historia!$A$5:$CM$24,+HLOOKUP(AT$2,historia!$A$3:$EC$4,2,FALSE),FALSE)</f>
        <v>4</v>
      </c>
      <c r="AU21" s="58">
        <f>VLOOKUP($A21,historia!$A$5:$CM$24,+HLOOKUP(AU$2,historia!$A$3:$EC$4,2,FALSE),FALSE)</f>
        <v>4</v>
      </c>
      <c r="AV21" s="58">
        <f>VLOOKUP($A21,historia!$A$5:$CM$24,+HLOOKUP(AV$2,historia!$A$3:$EC$4,2,FALSE),FALSE)</f>
        <v>3</v>
      </c>
      <c r="AW21" s="58">
        <f>VLOOKUP($A21,historia!$A$5:$CM$24,+HLOOKUP(AW$2,historia!$A$3:$EC$4,2,FALSE),FALSE)</f>
        <v>3</v>
      </c>
      <c r="AX21" s="58">
        <f>VLOOKUP($A21,historia!$A$5:$CM$24,+HLOOKUP(AX$2,historia!$A$3:$EC$4,2,FALSE),FALSE)</f>
        <v>3</v>
      </c>
      <c r="AY21" s="58">
        <f>VLOOKUP($A21,historia!$A$5:$CM$24,+HLOOKUP(AY$2,historia!$A$3:$EC$4,2,FALSE),FALSE)</f>
        <v>2</v>
      </c>
      <c r="AZ21" s="58">
        <f>VLOOKUP($A21,historia!$A$5:$CM$24,+HLOOKUP(AZ$2,historia!$A$3:$EC$4,2,FALSE),FALSE)</f>
        <v>1</v>
      </c>
      <c r="BA21" s="58">
        <f>VLOOKUP($A21,historia!$A$5:$CM$24,+HLOOKUP(BA$2,historia!$A$3:$EC$4,2,FALSE),FALSE)</f>
        <v>2</v>
      </c>
      <c r="BB21" s="30"/>
      <c r="BC21" s="141">
        <v>2</v>
      </c>
      <c r="BD21" t="str">
        <f t="shared" si="19"/>
        <v>Porcinos</v>
      </c>
      <c r="BE21">
        <f>+datos!BR1</f>
        <v>70</v>
      </c>
      <c r="BF21" s="2" t="str">
        <f t="shared" si="4"/>
        <v>$/kg</v>
      </c>
      <c r="BG21" s="2">
        <f t="shared" si="4"/>
        <v>1044.7925</v>
      </c>
      <c r="BH21" s="2">
        <f t="shared" si="4"/>
        <v>1132.7375000000002</v>
      </c>
      <c r="BI21" s="2">
        <f t="shared" si="4"/>
        <v>281.11199999999997</v>
      </c>
      <c r="BK21">
        <f>+datos!DD1</f>
        <v>108</v>
      </c>
      <c r="BL21" s="2">
        <f t="shared" si="20"/>
        <v>6803.4539346039437</v>
      </c>
      <c r="BM21" s="2">
        <f t="shared" si="20"/>
        <v>6980.7895365741106</v>
      </c>
      <c r="BN21" s="2">
        <f t="shared" si="20"/>
        <v>2236.6058454800473</v>
      </c>
      <c r="BP21" s="1">
        <f>+datos!EJ1</f>
        <v>140</v>
      </c>
      <c r="BQ21" s="1">
        <f t="shared" si="21"/>
        <v>5887401</v>
      </c>
      <c r="BR21" s="1">
        <f t="shared" si="21"/>
        <v>5477107</v>
      </c>
      <c r="BT21" s="1">
        <f>+datos!HE1</f>
        <v>213</v>
      </c>
      <c r="BU21" s="1">
        <f t="shared" si="22"/>
        <v>761567</v>
      </c>
      <c r="BV21" s="1">
        <f t="shared" si="22"/>
        <v>709088</v>
      </c>
      <c r="BX21" s="1">
        <f>+datos!KJ1</f>
        <v>296</v>
      </c>
      <c r="BY21" s="1">
        <f t="shared" si="39"/>
        <v>18.450620239999996</v>
      </c>
      <c r="BZ21" s="1">
        <f t="shared" si="40"/>
        <v>18.751441029999999</v>
      </c>
      <c r="CB21" s="1">
        <f>+datos!LO1</f>
        <v>327</v>
      </c>
      <c r="CC21" s="2">
        <f t="shared" si="23"/>
        <v>49.27485403</v>
      </c>
      <c r="CD21" s="2">
        <f t="shared" si="24"/>
        <v>92.752692400000001</v>
      </c>
      <c r="CF21" s="1">
        <f>+datos!IO1</f>
        <v>249</v>
      </c>
      <c r="CG21" s="1">
        <f t="shared" si="25"/>
        <v>16.64</v>
      </c>
      <c r="CH21" s="1">
        <f t="shared" si="26"/>
        <v>16.93</v>
      </c>
      <c r="CJ21" s="1">
        <f t="shared" si="27"/>
        <v>1.56892272</v>
      </c>
      <c r="CK21" s="1">
        <f t="shared" si="27"/>
        <v>1.2009935999999999</v>
      </c>
      <c r="CL21" s="1">
        <f t="shared" si="27"/>
        <v>1.5576121499999998</v>
      </c>
      <c r="CM21" s="1">
        <f t="shared" si="27"/>
        <v>1.3743196699999998</v>
      </c>
      <c r="CN21" s="1">
        <f t="shared" si="27"/>
        <v>1.4110336399999999</v>
      </c>
      <c r="CO21" s="1">
        <f t="shared" si="27"/>
        <v>1.8830951399999996</v>
      </c>
      <c r="CP21" s="1">
        <f t="shared" si="27"/>
        <v>1.4694087300000001</v>
      </c>
      <c r="CQ21" s="1">
        <f t="shared" si="27"/>
        <v>2.0502103900000002</v>
      </c>
      <c r="CR21" s="1">
        <f t="shared" si="27"/>
        <v>1.8176867299999997</v>
      </c>
      <c r="CS21" s="1">
        <f t="shared" si="27"/>
        <v>1.2719750699999999</v>
      </c>
      <c r="CT21" s="1">
        <f t="shared" si="27"/>
        <v>1.5228158499999997</v>
      </c>
      <c r="CU21" s="1">
        <f t="shared" si="27"/>
        <v>1.32254655</v>
      </c>
      <c r="CV21" s="1">
        <f t="shared" si="27"/>
        <v>2.1116566699999999</v>
      </c>
      <c r="CW21" s="1">
        <f t="shared" si="27"/>
        <v>1.8299806799999998</v>
      </c>
      <c r="CX21" s="1">
        <f t="shared" si="27"/>
        <v>2.01275629</v>
      </c>
      <c r="CY21" s="1">
        <f t="shared" si="27"/>
        <v>1.0656519800000002</v>
      </c>
      <c r="CZ21" s="1">
        <f t="shared" si="28"/>
        <v>1.9138006200000002</v>
      </c>
      <c r="DA21" s="1">
        <f t="shared" si="28"/>
        <v>1.83911538</v>
      </c>
      <c r="DB21" s="1">
        <f t="shared" si="28"/>
        <v>1.1669562900000001</v>
      </c>
      <c r="DC21" s="1">
        <f t="shared" si="28"/>
        <v>1.9574107099999998</v>
      </c>
      <c r="DD21" s="1">
        <f t="shared" si="28"/>
        <v>1.1355260499999997</v>
      </c>
      <c r="DE21" s="1">
        <f t="shared" si="28"/>
        <v>0.90610126000000002</v>
      </c>
      <c r="DF21" s="1">
        <f t="shared" si="28"/>
        <v>1.3895762900000002</v>
      </c>
      <c r="DG21" s="1">
        <f t="shared" si="28"/>
        <v>1.4229088099999998</v>
      </c>
      <c r="DI21" s="1">
        <f t="shared" si="29"/>
        <v>5.2341166499999998</v>
      </c>
      <c r="DJ21" s="1">
        <f t="shared" si="29"/>
        <v>3.1162246899999997</v>
      </c>
      <c r="DK21" s="1">
        <f t="shared" si="29"/>
        <v>3.3747357299999998</v>
      </c>
      <c r="DL21" s="1">
        <f t="shared" si="29"/>
        <v>1.8536983500000002</v>
      </c>
      <c r="DM21" s="1">
        <f t="shared" si="29"/>
        <v>2.01592043</v>
      </c>
      <c r="DN21" s="1">
        <f t="shared" si="29"/>
        <v>3.3244473500000002</v>
      </c>
      <c r="DO21" s="1">
        <f t="shared" si="29"/>
        <v>2.84758625</v>
      </c>
      <c r="DP21" s="1">
        <f t="shared" si="29"/>
        <v>4.1641835499999997</v>
      </c>
      <c r="DQ21" s="1">
        <f t="shared" si="29"/>
        <v>4.5685913500000002</v>
      </c>
      <c r="DR21" s="1">
        <f t="shared" si="29"/>
        <v>6.3615663699999985</v>
      </c>
      <c r="DS21" s="1">
        <f t="shared" si="29"/>
        <v>5.5541627499999997</v>
      </c>
      <c r="DT21" s="1">
        <f t="shared" si="29"/>
        <v>6.8596205599999998</v>
      </c>
      <c r="DU21" s="1">
        <f t="shared" si="29"/>
        <v>4.6739966500000012</v>
      </c>
      <c r="DV21" s="1">
        <f t="shared" si="29"/>
        <v>7.6286560299999993</v>
      </c>
      <c r="DW21" s="1">
        <f t="shared" si="29"/>
        <v>3.658397E-2</v>
      </c>
      <c r="DX21" s="1">
        <f t="shared" ref="DX21:EF24" si="42">+VLOOKUP(DX$1,ran_dat,$CB21,FALSE)</f>
        <v>7.2061905900000003</v>
      </c>
      <c r="DY21" s="1">
        <f t="shared" si="42"/>
        <v>7.3381374299999997</v>
      </c>
      <c r="DZ21" s="1">
        <f t="shared" si="42"/>
        <v>7.276038279999999</v>
      </c>
      <c r="EA21" s="1">
        <f t="shared" si="42"/>
        <v>4.9460771399999999</v>
      </c>
      <c r="EB21" s="1">
        <f t="shared" si="42"/>
        <v>6.6386870500000015</v>
      </c>
      <c r="EC21" s="1">
        <f t="shared" si="42"/>
        <v>8.8922827299999998</v>
      </c>
      <c r="ED21" s="1">
        <f t="shared" si="42"/>
        <v>12.050233429999999</v>
      </c>
      <c r="EE21" s="1">
        <f t="shared" si="42"/>
        <v>12.89114653</v>
      </c>
      <c r="EF21" s="1">
        <f t="shared" si="42"/>
        <v>13.174662569999999</v>
      </c>
      <c r="EH21" s="14">
        <f t="shared" si="31"/>
        <v>16.64</v>
      </c>
      <c r="EI21" s="14">
        <f t="shared" si="31"/>
        <v>16.68</v>
      </c>
      <c r="EJ21" s="1">
        <f t="shared" si="31"/>
        <v>16.72</v>
      </c>
      <c r="EK21" s="1">
        <f t="shared" si="31"/>
        <v>16.75</v>
      </c>
      <c r="EL21" s="1">
        <f t="shared" si="31"/>
        <v>16.760000000000002</v>
      </c>
      <c r="EM21" s="1">
        <f t="shared" si="31"/>
        <v>16.71</v>
      </c>
      <c r="EN21" s="1">
        <f t="shared" si="31"/>
        <v>16.68</v>
      </c>
      <c r="EO21" s="1">
        <f t="shared" si="31"/>
        <v>16.670000000000002</v>
      </c>
      <c r="EP21" s="1">
        <f t="shared" si="31"/>
        <v>16.670000000000002</v>
      </c>
      <c r="EQ21" s="1">
        <f t="shared" si="31"/>
        <v>16.72</v>
      </c>
      <c r="ER21" s="1">
        <f t="shared" si="31"/>
        <v>16.77</v>
      </c>
      <c r="ES21" s="1">
        <f t="shared" si="31"/>
        <v>16.88</v>
      </c>
      <c r="ET21" s="1">
        <f t="shared" si="31"/>
        <v>16.93</v>
      </c>
      <c r="EU21" s="1">
        <f t="shared" si="31"/>
        <v>16.97</v>
      </c>
      <c r="EV21" s="1">
        <f t="shared" si="31"/>
        <v>16.760000000000002</v>
      </c>
      <c r="EW21" s="1">
        <f t="shared" ref="EW21:FE24" si="43">+VLOOKUP(EW$1,ran_dat,$CF21,FALSE)</f>
        <v>16.89</v>
      </c>
      <c r="EX21" s="1">
        <f t="shared" si="43"/>
        <v>16.920000000000002</v>
      </c>
      <c r="EY21" s="1">
        <f t="shared" si="43"/>
        <v>16.899999999999999</v>
      </c>
      <c r="EZ21" s="1">
        <f t="shared" si="43"/>
        <v>16.84</v>
      </c>
      <c r="FA21" s="1">
        <f t="shared" si="43"/>
        <v>16.75</v>
      </c>
      <c r="FB21" s="1">
        <f t="shared" si="43"/>
        <v>16.71</v>
      </c>
      <c r="FC21" s="1">
        <f t="shared" si="43"/>
        <v>16.57</v>
      </c>
      <c r="FD21" s="1">
        <f t="shared" si="43"/>
        <v>16.329999999999998</v>
      </c>
      <c r="FE21" s="1">
        <f t="shared" si="43"/>
        <v>16.149999999999999</v>
      </c>
      <c r="FG21" s="162">
        <f t="shared" si="33"/>
        <v>0.67477600991875875</v>
      </c>
    </row>
    <row r="22" spans="1:163" ht="30" customHeight="1">
      <c r="A22" s="222" t="s">
        <v>75</v>
      </c>
      <c r="B22" s="212"/>
      <c r="C22" s="156">
        <f t="shared" si="5"/>
        <v>0</v>
      </c>
      <c r="D22" s="198">
        <v>1</v>
      </c>
      <c r="E22" s="213">
        <f t="shared" si="6"/>
        <v>0</v>
      </c>
      <c r="F22" s="214">
        <f t="shared" si="7"/>
        <v>-0.13240676053524769</v>
      </c>
      <c r="G22" s="213">
        <f t="shared" si="8"/>
        <v>4.7326428507054041E-2</v>
      </c>
      <c r="H22" s="214">
        <f t="shared" si="9"/>
        <v>-4.7326428507054041E-2</v>
      </c>
      <c r="I22" s="213">
        <f t="shared" si="10"/>
        <v>3.4526550139737573</v>
      </c>
      <c r="J22" s="214">
        <f t="shared" si="11"/>
        <v>0.70505223382310156</v>
      </c>
      <c r="K22" s="213">
        <f t="shared" si="34"/>
        <v>2.4864904560932808</v>
      </c>
      <c r="L22" s="214">
        <f t="shared" si="12"/>
        <v>0.9661645578804765</v>
      </c>
      <c r="M22" s="215"/>
      <c r="N22" s="198">
        <v>0</v>
      </c>
      <c r="O22" s="213">
        <f t="shared" si="35"/>
        <v>0</v>
      </c>
      <c r="P22" s="216">
        <f t="shared" si="36"/>
        <v>0</v>
      </c>
      <c r="Q22" s="213">
        <f t="shared" si="41"/>
        <v>-7.0102125429331252E-2</v>
      </c>
      <c r="R22" s="217">
        <f t="shared" si="37"/>
        <v>-7.0102125429331252E-2</v>
      </c>
      <c r="S22" s="215"/>
      <c r="T22" s="198">
        <v>-1</v>
      </c>
      <c r="U22" s="213">
        <f t="shared" si="14"/>
        <v>-0.25091417968248864</v>
      </c>
      <c r="V22" s="45">
        <f t="shared" si="15"/>
        <v>-0.25091417968248864</v>
      </c>
      <c r="W22" s="213">
        <f t="shared" si="38"/>
        <v>0.43213712410508176</v>
      </c>
      <c r="X22" s="45">
        <f t="shared" si="16"/>
        <v>0.43213712410508176</v>
      </c>
      <c r="Y22" s="213" t="str">
        <f t="shared" si="17"/>
        <v/>
      </c>
      <c r="Z22" s="45" t="str">
        <f t="shared" si="18"/>
        <v/>
      </c>
      <c r="AA22" s="30"/>
      <c r="AB22" s="242" t="s">
        <v>472</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P22" s="28">
        <f>VLOOKUP($A22,historia!$A$5:$CM$24,+HLOOKUP(AP$2,historia!$A$3:$EC$4,2,FALSE),FALSE)</f>
        <v>3</v>
      </c>
      <c r="AQ22" s="28">
        <f>VLOOKUP($A22,historia!$A$5:$CM$24,+HLOOKUP(AQ$2,historia!$A$3:$EC$4,2,FALSE),FALSE)</f>
        <v>3</v>
      </c>
      <c r="AR22" s="28">
        <f>VLOOKUP($A22,historia!$A$5:$CM$24,+HLOOKUP(AR$2,historia!$A$3:$EC$4,2,FALSE),FALSE)</f>
        <v>4</v>
      </c>
      <c r="AS22" s="28">
        <f>VLOOKUP($A22,historia!$A$5:$CM$24,+HLOOKUP(AS$2,historia!$A$3:$EC$4,2,FALSE),FALSE)</f>
        <v>4</v>
      </c>
      <c r="AT22" s="58">
        <f>VLOOKUP($A22,historia!$A$5:$CM$24,+HLOOKUP(AT$2,historia!$A$3:$EC$4,2,FALSE),FALSE)</f>
        <v>4</v>
      </c>
      <c r="AU22" s="58">
        <f>VLOOKUP($A22,historia!$A$5:$CM$24,+HLOOKUP(AU$2,historia!$A$3:$EC$4,2,FALSE),FALSE)</f>
        <v>4</v>
      </c>
      <c r="AV22" s="58">
        <f>VLOOKUP($A22,historia!$A$5:$CM$24,+HLOOKUP(AV$2,historia!$A$3:$EC$4,2,FALSE),FALSE)</f>
        <v>4</v>
      </c>
      <c r="AW22" s="58">
        <f>VLOOKUP($A22,historia!$A$5:$CM$24,+HLOOKUP(AW$2,historia!$A$3:$EC$4,2,FALSE),FALSE)</f>
        <v>4</v>
      </c>
      <c r="AX22" s="58">
        <f>VLOOKUP($A22,historia!$A$5:$CM$24,+HLOOKUP(AX$2,historia!$A$3:$EC$4,2,FALSE),FALSE)</f>
        <v>4</v>
      </c>
      <c r="AY22" s="58">
        <f>VLOOKUP($A22,historia!$A$5:$CM$24,+HLOOKUP(AY$2,historia!$A$3:$EC$4,2,FALSE),FALSE)</f>
        <v>3</v>
      </c>
      <c r="AZ22" s="58">
        <f>VLOOKUP($A22,historia!$A$5:$CM$24,+HLOOKUP(AZ$2,historia!$A$3:$EC$4,2,FALSE),FALSE)</f>
        <v>3</v>
      </c>
      <c r="BA22" s="58">
        <f>VLOOKUP($A22,historia!$A$5:$CM$24,+HLOOKUP(BA$2,historia!$A$3:$EC$4,2,FALSE),FALSE)</f>
        <v>3</v>
      </c>
      <c r="BB22" s="30"/>
      <c r="BC22" s="141">
        <v>3</v>
      </c>
      <c r="BD22" t="str">
        <f t="shared" si="19"/>
        <v>Tabaco</v>
      </c>
      <c r="BE22">
        <f>+datos!BJ1</f>
        <v>62</v>
      </c>
      <c r="BF22" s="2" t="str">
        <f t="shared" si="4"/>
        <v>$/kg</v>
      </c>
      <c r="BG22" s="2">
        <f t="shared" si="4"/>
        <v>2820</v>
      </c>
      <c r="BH22" s="2">
        <f t="shared" si="4"/>
        <v>2820</v>
      </c>
      <c r="BI22" s="2">
        <f t="shared" si="4"/>
        <v>633.33000000000004</v>
      </c>
      <c r="BK22">
        <f>+datos!DA1</f>
        <v>105</v>
      </c>
      <c r="BL22" s="2">
        <f t="shared" si="20"/>
        <v>6140.5236386578372</v>
      </c>
      <c r="BM22" s="2">
        <f t="shared" si="20"/>
        <v>5863.0465836816984</v>
      </c>
      <c r="BN22" s="2">
        <f t="shared" si="20"/>
        <v>1761.2334569641937</v>
      </c>
      <c r="BP22" s="1">
        <f>+datos!FD1</f>
        <v>160</v>
      </c>
      <c r="BQ22" s="1">
        <f t="shared" si="21"/>
        <v>54743</v>
      </c>
      <c r="BR22" s="1">
        <f t="shared" si="21"/>
        <v>54743</v>
      </c>
      <c r="BT22" s="1">
        <f>+datos!GX1</f>
        <v>206</v>
      </c>
      <c r="BU22" s="1">
        <f t="shared" si="22"/>
        <v>30804.553</v>
      </c>
      <c r="BV22" s="1">
        <f t="shared" si="22"/>
        <v>33126.813000000002</v>
      </c>
      <c r="BX22" s="1">
        <f>+datos!KC1</f>
        <v>289</v>
      </c>
      <c r="BY22" s="1">
        <f t="shared" si="39"/>
        <v>480.07335445000001</v>
      </c>
      <c r="BZ22" s="1">
        <f t="shared" si="40"/>
        <v>640.8789773200001</v>
      </c>
      <c r="CB22" s="1">
        <f>+datos!LH1</f>
        <v>320</v>
      </c>
      <c r="CC22" s="2">
        <f t="shared" si="23"/>
        <v>68.174636230000004</v>
      </c>
      <c r="CD22" s="2">
        <f t="shared" si="24"/>
        <v>47.603427829999994</v>
      </c>
      <c r="CF22" s="1">
        <f>+datos!JD1</f>
        <v>264</v>
      </c>
      <c r="CG22" s="1">
        <f t="shared" si="25"/>
        <v>0</v>
      </c>
      <c r="CH22" s="1">
        <f t="shared" si="26"/>
        <v>0</v>
      </c>
      <c r="CJ22" s="1">
        <f t="shared" ref="CJ22:CY24" si="44">+VLOOKUP(CJ$1,ran_dat,$BX22,FALSE)</f>
        <v>36.249269399999989</v>
      </c>
      <c r="CK22" s="1">
        <f t="shared" si="44"/>
        <v>40.108989959999995</v>
      </c>
      <c r="CL22" s="1">
        <f t="shared" si="44"/>
        <v>56.890802439999995</v>
      </c>
      <c r="CM22" s="1">
        <f t="shared" si="44"/>
        <v>36.8257318</v>
      </c>
      <c r="CN22" s="1">
        <f t="shared" si="44"/>
        <v>51.381121719999996</v>
      </c>
      <c r="CO22" s="1">
        <f t="shared" si="44"/>
        <v>33.051481680000002</v>
      </c>
      <c r="CP22" s="1">
        <f t="shared" si="44"/>
        <v>60.888504160000004</v>
      </c>
      <c r="CQ22" s="1">
        <f t="shared" si="44"/>
        <v>55.773078730000002</v>
      </c>
      <c r="CR22" s="1">
        <f t="shared" si="44"/>
        <v>34.825160650000001</v>
      </c>
      <c r="CS22" s="1">
        <f t="shared" si="44"/>
        <v>19.014000799999998</v>
      </c>
      <c r="CT22" s="1">
        <f t="shared" si="44"/>
        <v>13.328405800000001</v>
      </c>
      <c r="CU22" s="1">
        <f t="shared" si="44"/>
        <v>41.736807310000003</v>
      </c>
      <c r="CV22" s="1">
        <f t="shared" si="44"/>
        <v>99.771490689999993</v>
      </c>
      <c r="CW22" s="1">
        <f t="shared" si="44"/>
        <v>36.311671529999998</v>
      </c>
      <c r="CX22" s="1">
        <f t="shared" si="44"/>
        <v>57.64022373000001</v>
      </c>
      <c r="CY22" s="1">
        <f t="shared" si="44"/>
        <v>136.09986096</v>
      </c>
      <c r="CZ22" s="1">
        <f t="shared" ref="CZ22:DG24" si="45">+VLOOKUP(CZ$1,ran_dat,$BX22,FALSE)</f>
        <v>67.887772890000008</v>
      </c>
      <c r="DA22" s="1">
        <f t="shared" si="45"/>
        <v>57.086864629999994</v>
      </c>
      <c r="DB22" s="1">
        <f t="shared" si="45"/>
        <v>50.373202669999998</v>
      </c>
      <c r="DC22" s="1">
        <f t="shared" si="45"/>
        <v>27.075978119999998</v>
      </c>
      <c r="DD22" s="1">
        <f t="shared" si="45"/>
        <v>15.063954900000001</v>
      </c>
      <c r="DE22" s="1">
        <f t="shared" si="45"/>
        <v>15.52836033</v>
      </c>
      <c r="DF22" s="1">
        <f t="shared" si="45"/>
        <v>34.829088259999999</v>
      </c>
      <c r="DG22" s="1">
        <f t="shared" si="45"/>
        <v>43.210508609999991</v>
      </c>
      <c r="DI22" s="1">
        <f t="shared" ref="DI22:DX24" si="46">+VLOOKUP(DI$1,ran_dat,$CB22,FALSE)</f>
        <v>4.5019780499999991</v>
      </c>
      <c r="DJ22" s="1">
        <f t="shared" si="46"/>
        <v>3.2870284000000001</v>
      </c>
      <c r="DK22" s="1">
        <f t="shared" si="46"/>
        <v>2.2553329799999999</v>
      </c>
      <c r="DL22" s="1">
        <f t="shared" si="46"/>
        <v>4.9563280900000004</v>
      </c>
      <c r="DM22" s="1">
        <f t="shared" si="46"/>
        <v>5.4312745199999997</v>
      </c>
      <c r="DN22" s="1">
        <f t="shared" si="46"/>
        <v>5.9427570699999999</v>
      </c>
      <c r="DO22" s="1">
        <f t="shared" si="46"/>
        <v>7.0989514199999997</v>
      </c>
      <c r="DP22" s="1">
        <f t="shared" si="46"/>
        <v>8.0901624599999984</v>
      </c>
      <c r="DQ22" s="1">
        <f t="shared" si="46"/>
        <v>8.5152603000000013</v>
      </c>
      <c r="DR22" s="1">
        <f t="shared" si="46"/>
        <v>6.4262316399999984</v>
      </c>
      <c r="DS22" s="1">
        <f t="shared" si="46"/>
        <v>5.5724239500000001</v>
      </c>
      <c r="DT22" s="1">
        <f t="shared" si="46"/>
        <v>6.0969073500000004</v>
      </c>
      <c r="DU22" s="1">
        <f t="shared" si="46"/>
        <v>3.8674547000000001</v>
      </c>
      <c r="DV22" s="1">
        <f t="shared" si="46"/>
        <v>3.6075394200000002</v>
      </c>
      <c r="DW22" s="1">
        <f t="shared" si="46"/>
        <v>4.0127527599999997</v>
      </c>
      <c r="DX22" s="1">
        <f t="shared" si="46"/>
        <v>4.23429112</v>
      </c>
      <c r="DY22" s="1">
        <f t="shared" si="42"/>
        <v>0</v>
      </c>
      <c r="DZ22" s="1">
        <f t="shared" si="42"/>
        <v>4.5847165599999995</v>
      </c>
      <c r="EA22" s="1">
        <f t="shared" si="42"/>
        <v>5.2497219499999996</v>
      </c>
      <c r="EB22" s="1">
        <f t="shared" si="42"/>
        <v>3.7131778499999992</v>
      </c>
      <c r="EC22" s="1">
        <f t="shared" si="42"/>
        <v>5.6909223499999992</v>
      </c>
      <c r="ED22" s="1">
        <f t="shared" si="42"/>
        <v>5.2735966400000001</v>
      </c>
      <c r="EE22" s="1">
        <f t="shared" si="42"/>
        <v>3.4249882400000002</v>
      </c>
      <c r="EF22" s="1">
        <f t="shared" si="42"/>
        <v>3.9442662400000001</v>
      </c>
      <c r="EH22" s="14">
        <f t="shared" ref="EH22:EW24" si="47">+VLOOKUP(EH$1,ran_dat,$CF22,FALSE)</f>
        <v>0</v>
      </c>
      <c r="EI22" s="14">
        <f t="shared" si="47"/>
        <v>0</v>
      </c>
      <c r="EJ22" s="1">
        <f t="shared" si="47"/>
        <v>0</v>
      </c>
      <c r="EK22" s="1">
        <f t="shared" si="47"/>
        <v>0</v>
      </c>
      <c r="EL22" s="1">
        <f t="shared" si="47"/>
        <v>0</v>
      </c>
      <c r="EM22" s="1">
        <f t="shared" si="47"/>
        <v>0</v>
      </c>
      <c r="EN22" s="1">
        <f t="shared" si="47"/>
        <v>0</v>
      </c>
      <c r="EO22" s="1">
        <f t="shared" si="47"/>
        <v>0</v>
      </c>
      <c r="EP22" s="1">
        <f t="shared" si="47"/>
        <v>0</v>
      </c>
      <c r="EQ22" s="1">
        <f t="shared" si="47"/>
        <v>0</v>
      </c>
      <c r="ER22" s="1">
        <f t="shared" si="47"/>
        <v>0</v>
      </c>
      <c r="ES22" s="1">
        <f t="shared" si="47"/>
        <v>0</v>
      </c>
      <c r="ET22" s="1">
        <f t="shared" si="47"/>
        <v>0</v>
      </c>
      <c r="EU22" s="1">
        <f t="shared" si="47"/>
        <v>0</v>
      </c>
      <c r="EV22" s="1">
        <f t="shared" si="47"/>
        <v>0</v>
      </c>
      <c r="EW22" s="1">
        <f t="shared" si="47"/>
        <v>0</v>
      </c>
      <c r="EX22" s="1">
        <f t="shared" si="43"/>
        <v>0</v>
      </c>
      <c r="EY22" s="1">
        <f t="shared" si="43"/>
        <v>0</v>
      </c>
      <c r="EZ22" s="1">
        <f t="shared" si="43"/>
        <v>0</v>
      </c>
      <c r="FA22" s="1">
        <f t="shared" si="43"/>
        <v>0</v>
      </c>
      <c r="FB22" s="1">
        <f t="shared" si="43"/>
        <v>0</v>
      </c>
      <c r="FC22" s="1">
        <f t="shared" si="43"/>
        <v>0</v>
      </c>
      <c r="FD22" s="1">
        <f t="shared" si="43"/>
        <v>0</v>
      </c>
      <c r="FE22" s="1">
        <f t="shared" si="43"/>
        <v>0</v>
      </c>
      <c r="FG22" s="162">
        <f t="shared" si="33"/>
        <v>0.9661645578804765</v>
      </c>
    </row>
    <row r="23" spans="1:163" ht="30" customHeight="1">
      <c r="A23" s="240" t="s">
        <v>219</v>
      </c>
      <c r="B23" s="227"/>
      <c r="C23" s="228">
        <f t="shared" si="5"/>
        <v>-1.32</v>
      </c>
      <c r="D23" s="229">
        <v>-1</v>
      </c>
      <c r="E23" s="230">
        <f t="shared" si="6"/>
        <v>0.15209263616139301</v>
      </c>
      <c r="F23" s="231">
        <f t="shared" si="7"/>
        <v>1.9685875626145322E-2</v>
      </c>
      <c r="G23" s="230">
        <f t="shared" si="8"/>
        <v>7.2586323934658692E-2</v>
      </c>
      <c r="H23" s="231">
        <f t="shared" si="9"/>
        <v>7.9506312226734321E-2</v>
      </c>
      <c r="I23" s="230">
        <f t="shared" si="10"/>
        <v>1.9454671877572425</v>
      </c>
      <c r="J23" s="231">
        <f t="shared" si="11"/>
        <v>-0.80213559239341325</v>
      </c>
      <c r="K23" s="230">
        <f t="shared" si="34"/>
        <v>2.494790874454516</v>
      </c>
      <c r="L23" s="231">
        <f t="shared" si="12"/>
        <v>-0.54932368669727349</v>
      </c>
      <c r="M23" s="232"/>
      <c r="N23" s="229">
        <v>-2</v>
      </c>
      <c r="O23" s="230">
        <f t="shared" si="35"/>
        <v>-2.3925173422115087E-2</v>
      </c>
      <c r="P23" s="233">
        <f t="shared" si="36"/>
        <v>-2.3925173422115087E-2</v>
      </c>
      <c r="Q23" s="230">
        <f t="shared" si="41"/>
        <v>0.31859999476400835</v>
      </c>
      <c r="R23" s="241">
        <f t="shared" si="37"/>
        <v>0.31859999476400835</v>
      </c>
      <c r="S23" s="232"/>
      <c r="T23" s="229">
        <v>-1</v>
      </c>
      <c r="U23" s="230">
        <f t="shared" si="14"/>
        <v>-0.17836899510691384</v>
      </c>
      <c r="V23" s="235">
        <f t="shared" si="15"/>
        <v>-0.17836899510691384</v>
      </c>
      <c r="W23" s="230">
        <f t="shared" si="38"/>
        <v>-8.91784550904966E-2</v>
      </c>
      <c r="X23" s="235">
        <f t="shared" si="16"/>
        <v>-8.91784550904966E-2</v>
      </c>
      <c r="Y23" s="230">
        <f t="shared" si="17"/>
        <v>-2.39520958083832E-2</v>
      </c>
      <c r="Z23" s="235">
        <f t="shared" si="18"/>
        <v>-2.39520958083832E-2</v>
      </c>
      <c r="AA23" s="238"/>
      <c r="AB23" s="242" t="s">
        <v>488</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5</v>
      </c>
      <c r="AX23" s="58">
        <f>VLOOKUP($A23,historia!$A$5:$CM$24,+HLOOKUP(AX$2,historia!$A$3:$EC$4,2,FALSE),FALSE)</f>
        <v>5</v>
      </c>
      <c r="AY23" s="58">
        <f>VLOOKUP($A23,historia!$A$5:$CM$24,+HLOOKUP(AY$2,historia!$A$3:$EC$4,2,FALSE),FALSE)</f>
        <v>5</v>
      </c>
      <c r="AZ23" s="58">
        <f>VLOOKUP($A23,historia!$A$5:$CM$24,+HLOOKUP(AZ$2,historia!$A$3:$EC$4,2,FALSE),FALSE)</f>
        <v>5</v>
      </c>
      <c r="BA23" s="58">
        <f>VLOOKUP($A23,historia!$A$5:$CM$24,+HLOOKUP(BA$2,historia!$A$3:$EC$4,2,FALSE),FALSE)</f>
        <v>5</v>
      </c>
      <c r="BB23" s="30"/>
      <c r="BC23" s="141">
        <v>5</v>
      </c>
      <c r="BD23" t="str">
        <f t="shared" si="19"/>
        <v>Vino y Mosto</v>
      </c>
      <c r="BE23">
        <f>+datos!AM1</f>
        <v>39</v>
      </c>
      <c r="BF23" s="2" t="str">
        <f t="shared" si="4"/>
        <v>$/l</v>
      </c>
      <c r="BG23" s="2">
        <f t="shared" si="4"/>
        <v>287.93559999999997</v>
      </c>
      <c r="BH23" s="2">
        <f t="shared" si="4"/>
        <v>249.92399999999998</v>
      </c>
      <c r="BI23" s="2">
        <f t="shared" si="4"/>
        <v>97.755493999999999</v>
      </c>
      <c r="BK23">
        <f>+datos!CP1</f>
        <v>94</v>
      </c>
      <c r="BL23" s="2">
        <f t="shared" si="20"/>
        <v>7682.8727873527841</v>
      </c>
      <c r="BM23" s="2">
        <f t="shared" si="20"/>
        <v>7162.9412159284811</v>
      </c>
      <c r="BN23" s="2">
        <f t="shared" si="20"/>
        <v>2198.3784047026747</v>
      </c>
      <c r="BP23" s="1">
        <f>+datos!EF1</f>
        <v>136</v>
      </c>
      <c r="BQ23" s="1">
        <f t="shared" si="21"/>
        <v>199946</v>
      </c>
      <c r="BR23" s="1">
        <f t="shared" si="21"/>
        <v>204847</v>
      </c>
      <c r="BT23" s="1">
        <f>+datos!GB1</f>
        <v>184</v>
      </c>
      <c r="BU23" s="1">
        <f t="shared" si="22"/>
        <v>19189740</v>
      </c>
      <c r="BV23" s="1">
        <f t="shared" si="22"/>
        <v>14553117</v>
      </c>
      <c r="BX23" s="1">
        <f>+datos!JU1</f>
        <v>281</v>
      </c>
      <c r="BY23" s="1">
        <f t="shared" si="39"/>
        <v>867.79743567000014</v>
      </c>
      <c r="BZ23" s="1">
        <f t="shared" si="40"/>
        <v>1056.1887641799999</v>
      </c>
      <c r="CB23" s="1">
        <f>+datos!KZ1</f>
        <v>312</v>
      </c>
      <c r="CC23" s="2">
        <f t="shared" si="23"/>
        <v>16.462271870000002</v>
      </c>
      <c r="CD23" s="2">
        <f t="shared" si="24"/>
        <v>18.074091420000002</v>
      </c>
      <c r="CF23" s="1">
        <f>+datos!IQ1</f>
        <v>251</v>
      </c>
      <c r="CG23" s="1">
        <f t="shared" si="25"/>
        <v>16.3</v>
      </c>
      <c r="CH23" s="1">
        <f t="shared" si="26"/>
        <v>16.7</v>
      </c>
      <c r="CJ23" s="1">
        <f t="shared" si="44"/>
        <v>59.429446169999991</v>
      </c>
      <c r="CK23" s="1">
        <f t="shared" si="44"/>
        <v>57.397509530000008</v>
      </c>
      <c r="CL23" s="1">
        <f t="shared" si="44"/>
        <v>71.762443020000006</v>
      </c>
      <c r="CM23" s="1">
        <f t="shared" si="44"/>
        <v>76.246675170000003</v>
      </c>
      <c r="CN23" s="1">
        <f t="shared" si="44"/>
        <v>81.396405279999982</v>
      </c>
      <c r="CO23" s="1">
        <f t="shared" si="44"/>
        <v>86.673250950000011</v>
      </c>
      <c r="CP23" s="1">
        <f t="shared" si="44"/>
        <v>67.769583350000005</v>
      </c>
      <c r="CQ23" s="1">
        <f t="shared" si="44"/>
        <v>79.411450110000018</v>
      </c>
      <c r="CR23" s="1">
        <f t="shared" si="44"/>
        <v>61.526627820000002</v>
      </c>
      <c r="CS23" s="1">
        <f t="shared" si="44"/>
        <v>82.508437450000031</v>
      </c>
      <c r="CT23" s="1">
        <f t="shared" si="44"/>
        <v>73.17738731</v>
      </c>
      <c r="CU23" s="1">
        <f t="shared" si="44"/>
        <v>70.498219510000013</v>
      </c>
      <c r="CV23" s="1">
        <f t="shared" si="44"/>
        <v>58.070113270000007</v>
      </c>
      <c r="CW23" s="1">
        <f t="shared" si="44"/>
        <v>66.649594010000001</v>
      </c>
      <c r="CX23" s="1">
        <f t="shared" si="44"/>
        <v>76.334805869999997</v>
      </c>
      <c r="CY23" s="1">
        <f t="shared" si="44"/>
        <v>77.449795309999999</v>
      </c>
      <c r="CZ23" s="1">
        <f t="shared" si="45"/>
        <v>104.26238703999999</v>
      </c>
      <c r="DA23" s="1">
        <f t="shared" si="45"/>
        <v>101.4021353</v>
      </c>
      <c r="DB23" s="1">
        <f t="shared" si="45"/>
        <v>110.27898059000003</v>
      </c>
      <c r="DC23" s="1">
        <f t="shared" si="45"/>
        <v>78.75545163000001</v>
      </c>
      <c r="DD23" s="1">
        <f t="shared" si="45"/>
        <v>84.697328929999998</v>
      </c>
      <c r="DE23" s="1">
        <f t="shared" si="45"/>
        <v>126.06507717000002</v>
      </c>
      <c r="DF23" s="1">
        <f t="shared" si="45"/>
        <v>90.029722969999995</v>
      </c>
      <c r="DG23" s="1">
        <f t="shared" si="45"/>
        <v>82.193372090000025</v>
      </c>
      <c r="DI23" s="1">
        <f t="shared" si="46"/>
        <v>0.76659119999999992</v>
      </c>
      <c r="DJ23" s="1">
        <f t="shared" si="46"/>
        <v>0.41683354000000006</v>
      </c>
      <c r="DK23" s="1">
        <f t="shared" si="46"/>
        <v>1.01193058</v>
      </c>
      <c r="DL23" s="1">
        <f t="shared" si="46"/>
        <v>1.2280305999999999</v>
      </c>
      <c r="DM23" s="1">
        <f t="shared" si="46"/>
        <v>1.7214946800000002</v>
      </c>
      <c r="DN23" s="1">
        <f t="shared" si="46"/>
        <v>1.3147188099999998</v>
      </c>
      <c r="DO23" s="1">
        <f t="shared" si="46"/>
        <v>1.8704580099999999</v>
      </c>
      <c r="DP23" s="1">
        <f t="shared" si="46"/>
        <v>1.2166211999999998</v>
      </c>
      <c r="DQ23" s="1">
        <f t="shared" si="46"/>
        <v>1.2618213600000001</v>
      </c>
      <c r="DR23" s="1">
        <f t="shared" si="46"/>
        <v>2.6711612799999997</v>
      </c>
      <c r="DS23" s="1">
        <f t="shared" si="46"/>
        <v>1.8665371000000002</v>
      </c>
      <c r="DT23" s="1">
        <f t="shared" si="46"/>
        <v>1.1160735099999999</v>
      </c>
      <c r="DU23" s="1">
        <f t="shared" si="46"/>
        <v>0.32453726999999999</v>
      </c>
      <c r="DV23" s="1">
        <f t="shared" si="46"/>
        <v>0.12503209999999998</v>
      </c>
      <c r="DW23" s="1">
        <f t="shared" si="46"/>
        <v>0.47826376000000004</v>
      </c>
      <c r="DX23" s="1">
        <f t="shared" si="46"/>
        <v>2.89069318</v>
      </c>
      <c r="DY23" s="1">
        <f t="shared" si="42"/>
        <v>1.35471261</v>
      </c>
      <c r="DZ23" s="1">
        <f t="shared" si="42"/>
        <v>2.7470526999999998</v>
      </c>
      <c r="EA23" s="1">
        <f t="shared" si="42"/>
        <v>1.8506322900000001</v>
      </c>
      <c r="EB23" s="1">
        <f t="shared" si="42"/>
        <v>1.0900325</v>
      </c>
      <c r="EC23" s="1">
        <f t="shared" si="42"/>
        <v>1.8150842000000003</v>
      </c>
      <c r="ED23" s="1">
        <f t="shared" si="42"/>
        <v>1.62026545</v>
      </c>
      <c r="EE23" s="1">
        <f t="shared" si="42"/>
        <v>2.9708612100000003</v>
      </c>
      <c r="EF23" s="1">
        <f t="shared" si="42"/>
        <v>0.80692414999999995</v>
      </c>
      <c r="EH23" s="14">
        <f t="shared" si="47"/>
        <v>16.3</v>
      </c>
      <c r="EI23" s="14">
        <f t="shared" si="47"/>
        <v>16.3</v>
      </c>
      <c r="EJ23" s="1">
        <f t="shared" si="47"/>
        <v>16.7</v>
      </c>
      <c r="EK23" s="1">
        <f t="shared" si="47"/>
        <v>16.7</v>
      </c>
      <c r="EL23" s="1">
        <f t="shared" si="47"/>
        <v>16.7</v>
      </c>
      <c r="EM23" s="1">
        <f t="shared" si="47"/>
        <v>16.7</v>
      </c>
      <c r="EN23" s="1">
        <f t="shared" si="47"/>
        <v>16.7</v>
      </c>
      <c r="EO23" s="1">
        <f t="shared" si="47"/>
        <v>16.7</v>
      </c>
      <c r="EP23" s="1">
        <f t="shared" si="47"/>
        <v>16.7</v>
      </c>
      <c r="EQ23" s="1">
        <f t="shared" si="47"/>
        <v>16.7</v>
      </c>
      <c r="ER23" s="1">
        <f t="shared" si="47"/>
        <v>16.7</v>
      </c>
      <c r="ES23" s="1">
        <f t="shared" si="47"/>
        <v>16.7</v>
      </c>
      <c r="ET23" s="1">
        <f t="shared" si="47"/>
        <v>16.7</v>
      </c>
      <c r="EU23" s="1">
        <f t="shared" si="47"/>
        <v>16.7</v>
      </c>
      <c r="EV23" s="1">
        <f t="shared" si="47"/>
        <v>18</v>
      </c>
      <c r="EW23" s="1">
        <f t="shared" si="47"/>
        <v>18</v>
      </c>
      <c r="EX23" s="1">
        <f t="shared" si="43"/>
        <v>18</v>
      </c>
      <c r="EY23" s="1">
        <f t="shared" si="43"/>
        <v>18</v>
      </c>
      <c r="EZ23" s="1">
        <f t="shared" si="43"/>
        <v>18</v>
      </c>
      <c r="FA23" s="1">
        <f t="shared" si="43"/>
        <v>18</v>
      </c>
      <c r="FB23" s="1">
        <f t="shared" si="43"/>
        <v>18</v>
      </c>
      <c r="FC23" s="1">
        <f t="shared" si="43"/>
        <v>18</v>
      </c>
      <c r="FD23" s="1">
        <f t="shared" si="43"/>
        <v>18</v>
      </c>
      <c r="FE23" s="1">
        <f t="shared" si="43"/>
        <v>18</v>
      </c>
      <c r="FG23" s="162">
        <f t="shared" si="33"/>
        <v>-0.54932368669727349</v>
      </c>
    </row>
    <row r="24" spans="1:163" ht="30" customHeight="1">
      <c r="A24" s="224" t="s">
        <v>39</v>
      </c>
      <c r="B24" s="212"/>
      <c r="C24" s="156">
        <f t="shared" si="5"/>
        <v>0.33</v>
      </c>
      <c r="D24" s="198">
        <v>1</v>
      </c>
      <c r="E24" s="213">
        <f t="shared" si="6"/>
        <v>0.19999999999999996</v>
      </c>
      <c r="F24" s="214">
        <f t="shared" si="7"/>
        <v>6.7593239464752264E-2</v>
      </c>
      <c r="G24" s="213">
        <f t="shared" si="8"/>
        <v>9.5537358108375603E-2</v>
      </c>
      <c r="H24" s="214">
        <f t="shared" si="9"/>
        <v>0.10446264189162435</v>
      </c>
      <c r="I24" s="213">
        <f t="shared" si="10"/>
        <v>3.2808219178082192</v>
      </c>
      <c r="J24" s="214">
        <f t="shared" si="11"/>
        <v>0.53321913765756346</v>
      </c>
      <c r="K24" s="213">
        <f t="shared" si="34"/>
        <v>2.4634127363405103</v>
      </c>
      <c r="L24" s="214">
        <f t="shared" si="12"/>
        <v>0.81740918146770891</v>
      </c>
      <c r="M24" s="215"/>
      <c r="N24" s="198">
        <v>0</v>
      </c>
      <c r="O24" s="213">
        <f t="shared" si="35"/>
        <v>3.6432873308666736E-2</v>
      </c>
      <c r="P24" s="216">
        <f t="shared" si="36"/>
        <v>3.6432873308666736E-2</v>
      </c>
      <c r="Q24" s="213">
        <f t="shared" si="41"/>
        <v>-1.9956971273825674E-2</v>
      </c>
      <c r="R24" s="217">
        <f t="shared" si="37"/>
        <v>-1.9956971273825674E-2</v>
      </c>
      <c r="S24" s="215"/>
      <c r="T24" s="198">
        <v>0</v>
      </c>
      <c r="U24" s="213">
        <f t="shared" si="14"/>
        <v>1.7740578924978045E-2</v>
      </c>
      <c r="V24" s="45">
        <f t="shared" si="15"/>
        <v>1.7740578924978045E-2</v>
      </c>
      <c r="W24" s="213">
        <f t="shared" si="38"/>
        <v>-0.36033481761399966</v>
      </c>
      <c r="X24" s="45">
        <f t="shared" si="16"/>
        <v>-0.36033481761399966</v>
      </c>
      <c r="Y24" s="213"/>
      <c r="Z24" s="45"/>
      <c r="AA24" s="30"/>
      <c r="AB24" s="242" t="s">
        <v>489</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P24" s="28">
        <f>VLOOKUP($A24,historia!$A$5:$CM$24,+HLOOKUP(AP$2,historia!$A$3:$EC$4,2,FALSE),FALSE)</f>
        <v>4</v>
      </c>
      <c r="AQ24" s="28">
        <f>VLOOKUP($A24,historia!$A$5:$CM$24,+HLOOKUP(AQ$2,historia!$A$3:$EC$4,2,FALSE),FALSE)</f>
        <v>3</v>
      </c>
      <c r="AR24" s="28">
        <f>VLOOKUP($A24,historia!$A$5:$CM$24,+HLOOKUP(AR$2,historia!$A$3:$EC$4,2,FALSE),FALSE)</f>
        <v>2</v>
      </c>
      <c r="AS24" s="28">
        <f>VLOOKUP($A24,historia!$A$5:$CM$24,+HLOOKUP(AS$2,historia!$A$3:$EC$4,2,FALSE),FALSE)</f>
        <v>2</v>
      </c>
      <c r="AT24" s="58">
        <f>VLOOKUP($A24,historia!$A$5:$CM$24,+HLOOKUP(AT$2,historia!$A$3:$EC$4,2,FALSE),FALSE)</f>
        <v>2</v>
      </c>
      <c r="AU24" s="58">
        <f>VLOOKUP($A24,historia!$A$5:$CM$24,+HLOOKUP(AU$2,historia!$A$3:$EC$4,2,FALSE),FALSE)</f>
        <v>2</v>
      </c>
      <c r="AV24" s="58">
        <f>VLOOKUP($A24,historia!$A$5:$CM$24,+HLOOKUP(AV$2,historia!$A$3:$EC$4,2,FALSE),FALSE)</f>
        <v>2</v>
      </c>
      <c r="AW24" s="58">
        <f>VLOOKUP($A24,historia!$A$5:$CM$24,+HLOOKUP(AW$2,historia!$A$3:$EC$4,2,FALSE),FALSE)</f>
        <v>2</v>
      </c>
      <c r="AX24" s="58">
        <f>VLOOKUP($A24,historia!$A$5:$CM$24,+HLOOKUP(AX$2,historia!$A$3:$EC$4,2,FALSE),FALSE)</f>
        <v>2</v>
      </c>
      <c r="AY24" s="58">
        <f>VLOOKUP($A24,historia!$A$5:$CM$24,+HLOOKUP(AY$2,historia!$A$3:$EC$4,2,FALSE),FALSE)</f>
        <v>3</v>
      </c>
      <c r="AZ24" s="58">
        <f>VLOOKUP($A24,historia!$A$5:$CM$24,+HLOOKUP(AZ$2,historia!$A$3:$EC$4,2,FALSE),FALSE)</f>
        <v>2</v>
      </c>
      <c r="BA24" s="58">
        <f>VLOOKUP($A24,historia!$A$5:$CM$24,+HLOOKUP(BA$2,historia!$A$3:$EC$4,2,FALSE),FALSE)</f>
        <v>2</v>
      </c>
      <c r="BB24" s="30"/>
      <c r="BC24" s="141">
        <v>2</v>
      </c>
      <c r="BD24" t="str">
        <f t="shared" si="19"/>
        <v>Yerba Mate</v>
      </c>
      <c r="BE24">
        <f>+datos!AG1</f>
        <v>33</v>
      </c>
      <c r="BF24" s="2" t="str">
        <f t="shared" si="4"/>
        <v>$/t</v>
      </c>
      <c r="BG24" s="2">
        <f t="shared" si="4"/>
        <v>300000</v>
      </c>
      <c r="BH24" s="2">
        <f t="shared" si="4"/>
        <v>250000</v>
      </c>
      <c r="BI24" s="2">
        <f t="shared" si="4"/>
        <v>70080</v>
      </c>
      <c r="BK24">
        <f>+datos!CY1</f>
        <v>103</v>
      </c>
      <c r="BL24" s="2">
        <f t="shared" si="20"/>
        <v>5797.0716437591436</v>
      </c>
      <c r="BM24" s="2">
        <f t="shared" si="20"/>
        <v>5291.5325989145049</v>
      </c>
      <c r="BN24" s="2">
        <f t="shared" si="20"/>
        <v>1673.8032931889052</v>
      </c>
      <c r="BP24" s="1">
        <f>+datos!ED1</f>
        <v>134</v>
      </c>
      <c r="BQ24" s="1">
        <f t="shared" si="21"/>
        <v>230256</v>
      </c>
      <c r="BR24" s="1">
        <f t="shared" si="21"/>
        <v>222162</v>
      </c>
      <c r="BT24" s="1">
        <f>+datos!FZ1</f>
        <v>182</v>
      </c>
      <c r="BU24" s="1">
        <f t="shared" si="22"/>
        <v>805749.5</v>
      </c>
      <c r="BV24" s="1">
        <f t="shared" si="22"/>
        <v>822157.26899999997</v>
      </c>
      <c r="BX24" s="1">
        <f>+datos!KD1</f>
        <v>290</v>
      </c>
      <c r="BY24" s="1">
        <f t="shared" si="39"/>
        <v>114.29520807999999</v>
      </c>
      <c r="BZ24" s="1">
        <f t="shared" si="40"/>
        <v>112.30288979999999</v>
      </c>
      <c r="CB24" s="1">
        <f>+datos!LI1</f>
        <v>321</v>
      </c>
      <c r="CC24" s="2">
        <f t="shared" si="23"/>
        <v>18.013376539999999</v>
      </c>
      <c r="CD24" s="2">
        <f t="shared" si="24"/>
        <v>28.160633150000002</v>
      </c>
      <c r="CF24" s="1">
        <f>+datos!IP1</f>
        <v>250</v>
      </c>
      <c r="CG24" s="1">
        <f t="shared" si="25"/>
        <v>5.5693606783423002</v>
      </c>
      <c r="CH24" s="1">
        <f t="shared" si="26"/>
        <v>6.139895208369488</v>
      </c>
      <c r="CJ24" s="1">
        <f t="shared" si="44"/>
        <v>8.8663402400000013</v>
      </c>
      <c r="CK24" s="1">
        <f t="shared" si="44"/>
        <v>9.2397224899999983</v>
      </c>
      <c r="CL24" s="1">
        <f t="shared" si="44"/>
        <v>7.1224329199999996</v>
      </c>
      <c r="CM24" s="1">
        <f t="shared" si="44"/>
        <v>8.6156523299999996</v>
      </c>
      <c r="CN24" s="1">
        <f t="shared" si="44"/>
        <v>10.17972451</v>
      </c>
      <c r="CO24" s="1">
        <f t="shared" si="44"/>
        <v>11.833514059999999</v>
      </c>
      <c r="CP24" s="1">
        <f t="shared" si="44"/>
        <v>8.6649559600000003</v>
      </c>
      <c r="CQ24" s="1">
        <f t="shared" si="44"/>
        <v>8.6995030900000003</v>
      </c>
      <c r="CR24" s="1">
        <f t="shared" si="44"/>
        <v>9.3876240000000006</v>
      </c>
      <c r="CS24" s="1">
        <f t="shared" si="44"/>
        <v>8.6499339499999994</v>
      </c>
      <c r="CT24" s="1">
        <f t="shared" si="44"/>
        <v>10.5511423</v>
      </c>
      <c r="CU24" s="1">
        <f t="shared" si="44"/>
        <v>12.484662230000001</v>
      </c>
      <c r="CV24" s="1">
        <f t="shared" si="44"/>
        <v>8.9774099899999982</v>
      </c>
      <c r="CW24" s="1">
        <f t="shared" si="44"/>
        <v>3.3752363299999999</v>
      </c>
      <c r="CX24" s="1">
        <f t="shared" si="44"/>
        <v>8.5781493200000014</v>
      </c>
      <c r="CY24" s="1">
        <f t="shared" si="44"/>
        <v>11.086418249999999</v>
      </c>
      <c r="CZ24" s="1">
        <f t="shared" si="45"/>
        <v>17.188054299999997</v>
      </c>
      <c r="DA24" s="1">
        <f t="shared" si="45"/>
        <v>10.47783802</v>
      </c>
      <c r="DB24" s="1">
        <f t="shared" si="45"/>
        <v>9.5575243299999997</v>
      </c>
      <c r="DC24" s="1">
        <f t="shared" si="45"/>
        <v>7.6485664300000016</v>
      </c>
      <c r="DD24" s="1">
        <f t="shared" si="45"/>
        <v>10.989036779999999</v>
      </c>
      <c r="DE24" s="1">
        <f t="shared" si="45"/>
        <v>11.08275927</v>
      </c>
      <c r="DF24" s="1">
        <f t="shared" si="45"/>
        <v>9.5434502200000004</v>
      </c>
      <c r="DG24" s="1">
        <f t="shared" si="45"/>
        <v>3.7984465600000004</v>
      </c>
      <c r="DI24" s="1">
        <f t="shared" si="46"/>
        <v>2.4176205400000002</v>
      </c>
      <c r="DJ24" s="1">
        <f t="shared" si="46"/>
        <v>1.0621514699999999</v>
      </c>
      <c r="DK24" s="1">
        <f t="shared" si="46"/>
        <v>1.8796713600000001</v>
      </c>
      <c r="DL24" s="1">
        <f t="shared" si="46"/>
        <v>2.4189343299999999</v>
      </c>
      <c r="DM24" s="1">
        <f t="shared" si="46"/>
        <v>2.31537419</v>
      </c>
      <c r="DN24" s="1">
        <f t="shared" si="46"/>
        <v>1.6581343500000001</v>
      </c>
      <c r="DO24" s="1">
        <f t="shared" si="46"/>
        <v>1.1317222</v>
      </c>
      <c r="DP24" s="1">
        <f t="shared" si="46"/>
        <v>1.25031731</v>
      </c>
      <c r="DQ24" s="1">
        <f t="shared" si="46"/>
        <v>1.1220479999999999</v>
      </c>
      <c r="DR24" s="1">
        <f t="shared" si="46"/>
        <v>1.06290057</v>
      </c>
      <c r="DS24" s="1">
        <f t="shared" si="46"/>
        <v>0.94532128999999998</v>
      </c>
      <c r="DT24" s="1">
        <f t="shared" si="46"/>
        <v>0.74918092999999997</v>
      </c>
      <c r="DU24" s="1">
        <f t="shared" si="46"/>
        <v>0.38311624</v>
      </c>
      <c r="DV24" s="1">
        <f t="shared" si="46"/>
        <v>0.75479300000000005</v>
      </c>
      <c r="DW24" s="1">
        <f t="shared" si="46"/>
        <v>0.25391999999999998</v>
      </c>
      <c r="DX24" s="1">
        <f t="shared" si="46"/>
        <v>0.77264063999999999</v>
      </c>
      <c r="DY24" s="1">
        <f t="shared" si="42"/>
        <v>0.73566756000000011</v>
      </c>
      <c r="DZ24" s="1">
        <f t="shared" si="42"/>
        <v>2.5187011699999999</v>
      </c>
      <c r="EA24" s="1">
        <f t="shared" si="42"/>
        <v>5.4787536300000008</v>
      </c>
      <c r="EB24" s="1">
        <f t="shared" si="42"/>
        <v>3.3605493799999997</v>
      </c>
      <c r="EC24" s="1">
        <f t="shared" si="42"/>
        <v>4.0244654899999999</v>
      </c>
      <c r="ED24" s="1">
        <f t="shared" si="42"/>
        <v>4.0283530399999998</v>
      </c>
      <c r="EE24" s="1">
        <f t="shared" si="42"/>
        <v>2.4006859300000003</v>
      </c>
      <c r="EF24" s="1">
        <f t="shared" si="42"/>
        <v>3.4489870700000003</v>
      </c>
      <c r="EH24" s="14">
        <f t="shared" si="47"/>
        <v>5.5693606783423002</v>
      </c>
      <c r="EI24" s="14">
        <f t="shared" si="47"/>
        <v>5.5693606783423002</v>
      </c>
      <c r="EJ24" s="1">
        <f t="shared" si="47"/>
        <v>6.139895208369488</v>
      </c>
      <c r="EK24" s="1">
        <f t="shared" si="47"/>
        <v>6.139895208369488</v>
      </c>
      <c r="EL24" s="1">
        <f t="shared" si="47"/>
        <v>6.139895208369488</v>
      </c>
      <c r="EM24" s="1">
        <f t="shared" si="47"/>
        <v>6.139895208369488</v>
      </c>
      <c r="EN24" s="1">
        <f t="shared" si="47"/>
        <v>6.139895208369488</v>
      </c>
      <c r="EO24" s="1">
        <f t="shared" si="47"/>
        <v>6.139895208369488</v>
      </c>
      <c r="EP24" s="1">
        <f t="shared" si="47"/>
        <v>6.139895208369488</v>
      </c>
      <c r="EQ24" s="1">
        <f t="shared" si="47"/>
        <v>6.139895208369488</v>
      </c>
      <c r="ER24" s="1">
        <f t="shared" si="47"/>
        <v>6.139895208369488</v>
      </c>
      <c r="ES24" s="1">
        <f t="shared" si="47"/>
        <v>6.139895208369488</v>
      </c>
      <c r="ET24" s="1">
        <f t="shared" si="47"/>
        <v>6.139895208369488</v>
      </c>
      <c r="EU24" s="1">
        <f t="shared" si="47"/>
        <v>6.139895208369488</v>
      </c>
      <c r="EV24" s="1">
        <f t="shared" si="47"/>
        <v>5.9356067942694777</v>
      </c>
      <c r="EW24" s="1">
        <f t="shared" si="47"/>
        <v>5.9356067942694777</v>
      </c>
      <c r="EX24" s="1">
        <f t="shared" si="43"/>
        <v>5.9356067942694777</v>
      </c>
      <c r="EY24" s="1">
        <f t="shared" si="43"/>
        <v>5.9356067942694777</v>
      </c>
      <c r="EZ24" s="1">
        <f t="shared" si="43"/>
        <v>5.9356067942694777</v>
      </c>
      <c r="FA24" s="1">
        <f t="shared" si="43"/>
        <v>5.9356067942694777</v>
      </c>
      <c r="FB24" s="1">
        <f t="shared" si="43"/>
        <v>5.9356067942694777</v>
      </c>
      <c r="FC24" s="1">
        <f t="shared" si="43"/>
        <v>5.9356067942694777</v>
      </c>
      <c r="FD24" s="1">
        <f t="shared" si="43"/>
        <v>5.9356067942694777</v>
      </c>
      <c r="FE24" s="1">
        <f t="shared" si="43"/>
        <v>5.9356067942694777</v>
      </c>
      <c r="FG24" s="162">
        <f t="shared" si="33"/>
        <v>0.81740918146770891</v>
      </c>
    </row>
    <row r="25" spans="1:163" ht="18" customHeight="1">
      <c r="A25" s="223"/>
      <c r="B25" s="189"/>
      <c r="C25" s="156"/>
      <c r="D25" s="198"/>
      <c r="E25" s="190"/>
      <c r="F25" s="191"/>
      <c r="G25" s="190"/>
      <c r="H25" s="191"/>
      <c r="I25" s="190"/>
      <c r="J25" s="191"/>
      <c r="K25" s="190"/>
      <c r="L25" s="191"/>
      <c r="M25" s="17"/>
      <c r="N25" s="198"/>
      <c r="O25" s="190"/>
      <c r="P25" s="192"/>
      <c r="Q25" s="190"/>
      <c r="R25" s="193"/>
      <c r="S25" s="17"/>
      <c r="T25" s="198"/>
      <c r="U25" s="190"/>
      <c r="V25" s="194"/>
      <c r="W25" s="190"/>
      <c r="X25" s="194"/>
      <c r="Y25" s="40" t="str">
        <f t="shared" si="17"/>
        <v/>
      </c>
      <c r="Z25" s="194"/>
      <c r="AA25" s="30"/>
      <c r="AB25" s="57"/>
      <c r="AO25" s="57"/>
      <c r="AT25" s="58"/>
      <c r="AU25" s="58"/>
      <c r="AV25" s="58"/>
      <c r="AW25" s="58"/>
      <c r="AX25" s="58"/>
      <c r="AY25" s="58"/>
      <c r="AZ25" s="58"/>
      <c r="BA25" s="58"/>
      <c r="BB25" s="30"/>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c r="E26" s="12">
        <f>+AVERAGE(E6:E24)</f>
        <v>0.11094773377650699</v>
      </c>
      <c r="F26" s="37">
        <f>+E26-$I$3</f>
        <v>-2.6366550463741487</v>
      </c>
      <c r="G26" s="12">
        <f>+AVERAGE(G6:G24)</f>
        <v>3.1024516198999631E-2</v>
      </c>
      <c r="I26" s="12">
        <f>+AVERAGEIF(I6:I24,"&gt;211%")</f>
        <v>3.3502150446058532</v>
      </c>
      <c r="J26" s="37">
        <f t="shared" si="11"/>
        <v>0.60261226445519744</v>
      </c>
      <c r="K26" s="12">
        <f>+AVERAGE(K6:K24)</f>
        <v>2.4264035096815126</v>
      </c>
      <c r="O26" s="12">
        <f>+AVERAGE(O6:O24)</f>
        <v>1.8502600801818852E-2</v>
      </c>
      <c r="AB26" s="57"/>
      <c r="AO26" s="57"/>
    </row>
    <row r="27" spans="1:163">
      <c r="I27" s="12">
        <f>+AVERAGEIF(I6:I24,"&lt;211%")</f>
        <v>1.5170723213142761</v>
      </c>
      <c r="K27" s="177">
        <f>+SUBTOTAL(101,K6:K21)</f>
        <v>2.4160607885662775</v>
      </c>
      <c r="V27" t="s">
        <v>167</v>
      </c>
      <c r="X27" s="162"/>
      <c r="BC27" s="141" t="s">
        <v>273</v>
      </c>
      <c r="BQ27" s="1">
        <f>+SUM(BQ6:BQ24)</f>
        <v>113887290</v>
      </c>
      <c r="BR27" s="1">
        <f>+SUM(BR6:BR24)</f>
        <v>114961758</v>
      </c>
      <c r="BU27" s="1">
        <f>+SUM(BU6:BU24)</f>
        <v>144378341.05728501</v>
      </c>
      <c r="BV27" s="1">
        <f>+SUM(BV6:BV24)</f>
        <v>143462562.26674262</v>
      </c>
      <c r="BY27" s="1">
        <f>+SUM(BY6:BY24)</f>
        <v>48049.565366150011</v>
      </c>
      <c r="BZ27" s="1">
        <f>+SUM(BZ6:BZ24)</f>
        <v>68633.765838260006</v>
      </c>
      <c r="CC27" s="1">
        <f>+SUM(CC6:CC24)</f>
        <v>6167.2629812200012</v>
      </c>
      <c r="CD27" s="1">
        <f>+SUM(CD6:CD24)</f>
        <v>3209.7336516200007</v>
      </c>
      <c r="FG27" s="167">
        <f>+COUNTIF(FG6:FG24,"&gt;0")</f>
        <v>11</v>
      </c>
    </row>
    <row r="28" spans="1:163" ht="15.6">
      <c r="A28" s="11">
        <f>+COUNTIF($C$6:$C$24,"&lt;0")</f>
        <v>6</v>
      </c>
      <c r="C28" s="156">
        <v>-1</v>
      </c>
      <c r="E28" s="167">
        <f>+COUNTIF($I$6:$I$24,"&lt;1,69")</f>
        <v>2</v>
      </c>
      <c r="F28" s="29">
        <v>-1</v>
      </c>
      <c r="I28" s="167">
        <f>+COUNTIF($I$6:$I$24,"&lt;1,69")</f>
        <v>2</v>
      </c>
      <c r="J28" s="29">
        <v>-1</v>
      </c>
      <c r="K28">
        <f>+COUNTIF($L$6:$L$24,"&lt;0")</f>
        <v>8</v>
      </c>
      <c r="L28" s="29">
        <v>-1</v>
      </c>
      <c r="O28">
        <f>+COUNTIF($P$6:$P$24,"&lt;0")</f>
        <v>7</v>
      </c>
      <c r="P28" s="29">
        <v>-1</v>
      </c>
      <c r="Q28">
        <f>+COUNTIF($R$6:$R$24,"&lt;0")</f>
        <v>12</v>
      </c>
      <c r="R28" s="29">
        <v>-1</v>
      </c>
      <c r="T28" s="57">
        <f>+COUNTIF($U$6:$U$24,"&lt;0")</f>
        <v>13</v>
      </c>
      <c r="U28" s="29">
        <v>-1</v>
      </c>
      <c r="BR28" t="s">
        <v>491</v>
      </c>
      <c r="BU28" s="167">
        <f>+SUMIFS(BU6:BU24,BC6:BC24,5)+SUMIFS(BU6:BU24,BC6:BC24,4)</f>
        <v>126261926.94428501</v>
      </c>
      <c r="BY28" s="10">
        <f>+BY27/BZ27-1</f>
        <v>-0.29991360987852567</v>
      </c>
      <c r="CC28" s="10">
        <f>+CC27/CD27-1</f>
        <v>0.92142515566900429</v>
      </c>
    </row>
    <row r="29" spans="1:163" ht="15.6">
      <c r="A29" s="11">
        <f>+COUNTIF($C$6:$C$24,C29)</f>
        <v>7</v>
      </c>
      <c r="C29" s="156">
        <v>0</v>
      </c>
      <c r="E29" s="167">
        <f>+COUNTIF($I$6:$I$24,"=1,69")</f>
        <v>0</v>
      </c>
      <c r="F29" s="29">
        <v>0</v>
      </c>
      <c r="I29" s="167">
        <f>+COUNTIF($I$6:$I$24,"=1,69")</f>
        <v>0</v>
      </c>
      <c r="J29" s="29">
        <v>0</v>
      </c>
      <c r="L29" s="29">
        <v>0</v>
      </c>
      <c r="O29">
        <f>+COUNTIF($P$6:$P$24,"=0")</f>
        <v>4</v>
      </c>
      <c r="P29" s="29">
        <v>0</v>
      </c>
      <c r="Q29">
        <f>+COUNTIF($R$6:$R$24,"=0")</f>
        <v>2</v>
      </c>
      <c r="R29" s="29">
        <v>0</v>
      </c>
      <c r="T29" s="57">
        <f>+COUNTIF($U$6:$U$24,"=0")</f>
        <v>0</v>
      </c>
      <c r="U29" s="29">
        <v>0</v>
      </c>
      <c r="BR29" t="s">
        <v>492</v>
      </c>
      <c r="BU29" s="167">
        <f>+SUMIFS(BU6:BU24,BC6:BC24,3)</f>
        <v>8772132.5529999994</v>
      </c>
    </row>
    <row r="30" spans="1:163" ht="15.6">
      <c r="A30" s="11">
        <f>+COUNTIF($C$6:$C$24,"&gt;0")</f>
        <v>6</v>
      </c>
      <c r="C30" s="156">
        <v>1</v>
      </c>
      <c r="E30" s="167">
        <f>+COUNTIF($I$6:$I$24,"&gt;1,69")</f>
        <v>16</v>
      </c>
      <c r="F30" s="29">
        <v>1</v>
      </c>
      <c r="I30" s="167">
        <f>+COUNTIF($I$6:$I$24,"&gt;1,69")</f>
        <v>16</v>
      </c>
      <c r="J30" s="29">
        <v>1</v>
      </c>
      <c r="K30">
        <f>+COUNTIF($L$6:$L$24,"&gt;0")</f>
        <v>11</v>
      </c>
      <c r="L30" s="29">
        <v>1</v>
      </c>
      <c r="O30">
        <f>+COUNTIF($P$6:$P$24,"&gt;0")</f>
        <v>7</v>
      </c>
      <c r="P30" s="29">
        <v>1</v>
      </c>
      <c r="Q30">
        <f>+COUNTIF($R$6:$R$24,"&gt;0")</f>
        <v>4</v>
      </c>
      <c r="R30" s="29">
        <v>1</v>
      </c>
      <c r="T30" s="57">
        <f>+COUNTIF($U$6:$U$24,"&gt;0")</f>
        <v>5</v>
      </c>
      <c r="U30" s="29">
        <v>1</v>
      </c>
      <c r="X30" s="14"/>
      <c r="BR30" t="s">
        <v>493</v>
      </c>
      <c r="BU30" s="167">
        <f>+SUMIFS(BU6:BU24,BC6:BC24,1)+SUMIFS(BU6:BU24,BC6:BC24,2)</f>
        <v>9344281.5600000005</v>
      </c>
      <c r="BX30" s="1"/>
    </row>
    <row r="31" spans="1:163">
      <c r="K31" s="12"/>
    </row>
    <row r="32" spans="1:163">
      <c r="C32" s="157"/>
      <c r="I32" s="14">
        <f>+COUNTIF(I6:I24,"&gt;211%")</f>
        <v>14</v>
      </c>
      <c r="J32" s="14"/>
      <c r="K32" s="14"/>
      <c r="Y32" s="163"/>
    </row>
    <row r="33" spans="1:164">
      <c r="C33" s="157"/>
      <c r="I33" s="12">
        <f>+I26/2</f>
        <v>1.6751075223029266</v>
      </c>
    </row>
    <row r="34" spans="1:164" s="23" customFormat="1">
      <c r="A34" s="11"/>
      <c r="B34"/>
      <c r="C34" s="157"/>
      <c r="D34" s="57"/>
      <c r="E34" s="12"/>
      <c r="F34" s="37"/>
      <c r="G34"/>
      <c r="H34" s="37"/>
      <c r="I34" s="12">
        <v>0.03</v>
      </c>
      <c r="J34" s="37"/>
      <c r="K34"/>
      <c r="L34" s="37"/>
      <c r="M34"/>
      <c r="N34" s="57"/>
      <c r="P34" s="57"/>
      <c r="Q34"/>
      <c r="R34"/>
      <c r="S34"/>
      <c r="T34" s="57"/>
      <c r="V34"/>
      <c r="W34"/>
      <c r="X34"/>
      <c r="Y34"/>
      <c r="Z34"/>
      <c r="AA34"/>
      <c r="AB34" s="11"/>
      <c r="AC34" s="57"/>
      <c r="AD34" s="57"/>
      <c r="AE34" s="57"/>
      <c r="AF34" s="57"/>
      <c r="AG34" s="57"/>
      <c r="AH34" s="57"/>
      <c r="AI34" s="57"/>
      <c r="AJ34" s="57"/>
      <c r="AK34" s="57"/>
      <c r="AL34" s="57"/>
      <c r="AM34" s="57"/>
      <c r="AN34" s="57"/>
      <c r="AO34" s="28"/>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c r="A35" s="11"/>
      <c r="B35"/>
      <c r="C35" s="157"/>
      <c r="D35" s="57"/>
      <c r="E35" s="12"/>
      <c r="F35" s="37"/>
      <c r="G35"/>
      <c r="H35" s="37"/>
      <c r="I35" s="12"/>
      <c r="J35" s="37"/>
      <c r="K35"/>
      <c r="L35" s="37"/>
      <c r="M35"/>
      <c r="N35" s="57"/>
      <c r="P35" s="57"/>
      <c r="Q35"/>
      <c r="R35"/>
      <c r="S35"/>
      <c r="T35" s="57"/>
      <c r="V35"/>
      <c r="W35"/>
      <c r="X35"/>
      <c r="Y35"/>
      <c r="Z35"/>
      <c r="AA35"/>
      <c r="AB35" s="11"/>
      <c r="AC35" s="57"/>
      <c r="AD35" s="57"/>
      <c r="AE35" s="57"/>
      <c r="AF35" s="57"/>
      <c r="AG35" s="57"/>
      <c r="AH35" s="57"/>
      <c r="AI35" s="57"/>
      <c r="AJ35" s="57"/>
      <c r="AK35" s="57"/>
      <c r="AL35" s="57"/>
      <c r="AM35" s="57"/>
      <c r="AN35" s="57"/>
      <c r="AO35" s="28"/>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c r="A36" s="11"/>
      <c r="B36"/>
      <c r="C36" s="157"/>
      <c r="D36" s="57"/>
      <c r="E36" s="12"/>
      <c r="F36" s="37"/>
      <c r="G36"/>
      <c r="H36" s="37"/>
      <c r="I36" s="12"/>
      <c r="J36" s="37"/>
      <c r="K36"/>
      <c r="L36" s="37"/>
      <c r="M36"/>
      <c r="N36" s="57"/>
      <c r="P36" s="57"/>
      <c r="Q36"/>
      <c r="R36"/>
      <c r="S36"/>
      <c r="T36" s="57"/>
      <c r="V36"/>
      <c r="W36"/>
      <c r="X36"/>
      <c r="Y36"/>
      <c r="Z36"/>
      <c r="AA36"/>
      <c r="AB36" s="11"/>
      <c r="AC36" s="57"/>
      <c r="AD36" s="57"/>
      <c r="AE36" s="57"/>
      <c r="AF36" s="57"/>
      <c r="AG36" s="57"/>
      <c r="AH36" s="57"/>
      <c r="AI36" s="57"/>
      <c r="AJ36" s="57"/>
      <c r="AK36" s="57"/>
      <c r="AL36" s="57"/>
      <c r="AM36" s="57"/>
      <c r="AN36" s="57"/>
      <c r="AO36" s="28"/>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c r="A37" s="11"/>
      <c r="B37"/>
      <c r="C37" s="157"/>
      <c r="D37" s="57"/>
      <c r="E37" s="12"/>
      <c r="F37" s="37"/>
      <c r="G37"/>
      <c r="H37" s="37"/>
      <c r="I37" s="12"/>
      <c r="J37" s="37"/>
      <c r="K37"/>
      <c r="L37" s="37"/>
      <c r="M37"/>
      <c r="N37" s="57"/>
      <c r="P37" s="57"/>
      <c r="Q37"/>
      <c r="R37"/>
      <c r="S37"/>
      <c r="T37" s="57"/>
      <c r="V37"/>
      <c r="W37"/>
      <c r="X37"/>
      <c r="Y37"/>
      <c r="Z37"/>
      <c r="AA37"/>
      <c r="AB37" s="11"/>
      <c r="AC37" s="57"/>
      <c r="AD37" s="57"/>
      <c r="AE37" s="57"/>
      <c r="AF37" s="57"/>
      <c r="AG37" s="57"/>
      <c r="AH37" s="57"/>
      <c r="AI37" s="57"/>
      <c r="AJ37" s="57"/>
      <c r="AK37" s="57"/>
      <c r="AL37" s="57"/>
      <c r="AM37" s="57"/>
      <c r="AN37" s="57"/>
      <c r="AO37" s="28"/>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c r="A38" s="11"/>
      <c r="B38"/>
      <c r="C38" s="157"/>
      <c r="D38" s="57"/>
      <c r="E38" s="12"/>
      <c r="F38" s="37"/>
      <c r="G38"/>
      <c r="H38" s="37"/>
      <c r="I38" s="12"/>
      <c r="J38" s="37"/>
      <c r="K38"/>
      <c r="L38" s="37"/>
      <c r="M38"/>
      <c r="N38" s="57"/>
      <c r="P38" s="57"/>
      <c r="Q38"/>
      <c r="R38"/>
      <c r="S38"/>
      <c r="T38" s="57"/>
      <c r="V38"/>
      <c r="W38"/>
      <c r="X38"/>
      <c r="Y38"/>
      <c r="Z38"/>
      <c r="AA38"/>
      <c r="AB38" s="11"/>
      <c r="AC38" s="57"/>
      <c r="AD38" s="57"/>
      <c r="AE38" s="57"/>
      <c r="AF38" s="57"/>
      <c r="AG38" s="57"/>
      <c r="AH38" s="57"/>
      <c r="AI38" s="57"/>
      <c r="AJ38" s="57"/>
      <c r="AK38" s="57"/>
      <c r="AL38" s="57"/>
      <c r="AM38" s="57"/>
      <c r="AN38" s="57"/>
      <c r="AO38" s="28"/>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c r="A39" s="11"/>
      <c r="B39"/>
      <c r="C39" s="157"/>
      <c r="D39" s="57"/>
      <c r="E39" s="12"/>
      <c r="F39" s="37"/>
      <c r="G39"/>
      <c r="H39" s="37"/>
      <c r="I39" s="12"/>
      <c r="J39" s="37"/>
      <c r="K39"/>
      <c r="L39" s="37"/>
      <c r="M39"/>
      <c r="N39" s="57"/>
      <c r="P39" s="57"/>
      <c r="Q39"/>
      <c r="R39"/>
      <c r="S39"/>
      <c r="T39" s="57"/>
      <c r="V39"/>
      <c r="W39"/>
      <c r="X39"/>
      <c r="Y39"/>
      <c r="Z39"/>
      <c r="AA39"/>
      <c r="AB39" s="11"/>
      <c r="AC39" s="57"/>
      <c r="AD39" s="57"/>
      <c r="AE39" s="57"/>
      <c r="AF39" s="57"/>
      <c r="AG39" s="57"/>
      <c r="AH39" s="57"/>
      <c r="AI39" s="57"/>
      <c r="AJ39" s="57"/>
      <c r="AK39" s="57"/>
      <c r="AL39" s="57"/>
      <c r="AM39" s="57"/>
      <c r="AN39" s="57"/>
      <c r="AO39" s="28"/>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c r="A40" s="11"/>
      <c r="B40"/>
      <c r="C40" s="157"/>
      <c r="D40" s="57"/>
      <c r="E40" s="12"/>
      <c r="F40" s="37"/>
      <c r="G40"/>
      <c r="H40" s="37"/>
      <c r="I40" s="12"/>
      <c r="J40" s="37"/>
      <c r="K40"/>
      <c r="L40" s="37"/>
      <c r="M40"/>
      <c r="N40" s="57"/>
      <c r="P40" s="57"/>
      <c r="Q40"/>
      <c r="R40"/>
      <c r="S40"/>
      <c r="T40" s="57"/>
      <c r="V40"/>
      <c r="W40"/>
      <c r="X40"/>
      <c r="Y40"/>
      <c r="Z40"/>
      <c r="AA40"/>
      <c r="AB40" s="11"/>
      <c r="AC40" s="57"/>
      <c r="AD40" s="57"/>
      <c r="AE40" s="57"/>
      <c r="AF40" s="57"/>
      <c r="AG40" s="57"/>
      <c r="AH40" s="57"/>
      <c r="AI40" s="57"/>
      <c r="AJ40" s="57"/>
      <c r="AK40" s="57"/>
      <c r="AL40" s="57"/>
      <c r="AM40" s="57"/>
      <c r="AN40" s="57"/>
      <c r="AO40" s="28"/>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c r="A45" s="11"/>
      <c r="B45"/>
      <c r="C45" s="157"/>
      <c r="D45" s="57"/>
      <c r="E45" s="12"/>
      <c r="F45" s="37"/>
      <c r="G45"/>
      <c r="H45" s="37"/>
      <c r="I45" s="12"/>
      <c r="J45" s="37"/>
      <c r="K45"/>
      <c r="L45" s="37"/>
      <c r="M45"/>
      <c r="N45" s="57"/>
      <c r="P45" s="57"/>
      <c r="Q45"/>
      <c r="R45"/>
      <c r="S45"/>
      <c r="T45" s="57"/>
      <c r="V45"/>
      <c r="W45"/>
      <c r="X45"/>
      <c r="Y45"/>
      <c r="Z45"/>
      <c r="AA45"/>
      <c r="AB45" s="11"/>
      <c r="AC45" s="57"/>
      <c r="AD45" s="57"/>
      <c r="AE45" s="57"/>
      <c r="AF45" s="57"/>
      <c r="AG45" s="57"/>
      <c r="AH45" s="57"/>
      <c r="AI45" s="57"/>
      <c r="AJ45" s="57"/>
      <c r="AK45" s="57"/>
      <c r="AL45" s="57"/>
      <c r="AM45" s="57"/>
      <c r="AN45" s="57"/>
      <c r="AO45" s="28"/>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c r="A46" s="11"/>
      <c r="B46"/>
      <c r="C46" s="157"/>
      <c r="D46" s="57"/>
      <c r="E46" s="12"/>
      <c r="F46" s="37"/>
      <c r="G46"/>
      <c r="H46" s="37"/>
      <c r="I46" s="12"/>
      <c r="J46" s="37"/>
      <c r="K46"/>
      <c r="L46" s="37"/>
      <c r="M46"/>
      <c r="N46" s="57"/>
      <c r="P46" s="57"/>
      <c r="Q46"/>
      <c r="R46"/>
      <c r="S46"/>
      <c r="T46" s="57"/>
      <c r="V46"/>
      <c r="W46"/>
      <c r="X46"/>
      <c r="Y46"/>
      <c r="Z46"/>
      <c r="AA46"/>
      <c r="AB46" s="11"/>
      <c r="AC46" s="57"/>
      <c r="AD46" s="57"/>
      <c r="AE46" s="57"/>
      <c r="AF46" s="57"/>
      <c r="AG46" s="57"/>
      <c r="AH46" s="57"/>
      <c r="AI46" s="57"/>
      <c r="AJ46" s="57"/>
      <c r="AK46" s="57"/>
      <c r="AL46" s="57"/>
      <c r="AM46" s="57"/>
      <c r="AN46" s="57"/>
      <c r="AO46" s="28"/>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c r="A47" s="11"/>
      <c r="B47"/>
      <c r="C47" s="157"/>
      <c r="D47" s="57"/>
      <c r="E47" s="12"/>
      <c r="F47" s="37"/>
      <c r="G47"/>
      <c r="H47" s="37"/>
      <c r="I47" s="12"/>
      <c r="J47" s="37"/>
      <c r="K47"/>
      <c r="L47" s="37"/>
      <c r="M47"/>
      <c r="N47" s="57"/>
      <c r="P47" s="57"/>
      <c r="Q47"/>
      <c r="R47"/>
      <c r="S47"/>
      <c r="T47" s="57"/>
      <c r="V47"/>
      <c r="W47"/>
      <c r="X47"/>
      <c r="Y47"/>
      <c r="Z47"/>
      <c r="AA47"/>
      <c r="AB47" s="11"/>
      <c r="AC47" s="57"/>
      <c r="AD47" s="57"/>
      <c r="AE47" s="57"/>
      <c r="AF47" s="57"/>
      <c r="AG47" s="57"/>
      <c r="AH47" s="57"/>
      <c r="AI47" s="57"/>
      <c r="AJ47" s="57"/>
      <c r="AK47" s="57"/>
      <c r="AL47" s="57"/>
      <c r="AM47" s="57"/>
      <c r="AN47" s="57"/>
      <c r="AO47" s="28"/>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2">
      <iconSet>
        <cfvo type="percent" val="0"/>
        <cfvo type="num" val="0"/>
        <cfvo type="num" val="0" gte="0"/>
      </iconSet>
    </cfRule>
  </conditionalFormatting>
  <conditionalFormatting sqref="C28:C30">
    <cfRule type="iconSet" priority="36">
      <iconSet>
        <cfvo type="percent" val="0"/>
        <cfvo type="num" val="0"/>
        <cfvo type="num" val="0" gte="0"/>
      </iconSet>
    </cfRule>
  </conditionalFormatting>
  <conditionalFormatting sqref="D6:D25">
    <cfRule type="iconSet" priority="41">
      <iconSet>
        <cfvo type="percent" val="0"/>
        <cfvo type="num" val="0"/>
        <cfvo type="num" val="0" gte="0"/>
      </iconSet>
    </cfRule>
  </conditionalFormatting>
  <conditionalFormatting sqref="F6:F16 F19:F25">
    <cfRule type="iconSet" priority="37">
      <iconSet>
        <cfvo type="percent" val="0"/>
        <cfvo type="num" val="0"/>
        <cfvo type="num" val="0" gte="0"/>
      </iconSet>
    </cfRule>
  </conditionalFormatting>
  <conditionalFormatting sqref="F17:F18">
    <cfRule type="iconSet" priority="7">
      <iconSet>
        <cfvo type="percent" val="0"/>
        <cfvo type="num" val="0"/>
        <cfvo type="num" val="0" gte="0"/>
      </iconSet>
    </cfRule>
  </conditionalFormatting>
  <conditionalFormatting sqref="F28:F30">
    <cfRule type="iconSet" priority="1">
      <iconSet>
        <cfvo type="percent" val="0"/>
        <cfvo type="num" val="0"/>
        <cfvo type="num" val="0" gte="0"/>
      </iconSet>
    </cfRule>
  </conditionalFormatting>
  <conditionalFormatting sqref="H6:H7 H9 H11:H25">
    <cfRule type="iconSet" priority="34">
      <iconSet>
        <cfvo type="percent" val="0"/>
        <cfvo type="num" val="0"/>
        <cfvo type="num" val="0" gte="0"/>
      </iconSet>
    </cfRule>
  </conditionalFormatting>
  <conditionalFormatting sqref="H8">
    <cfRule type="iconSet" priority="5">
      <iconSet>
        <cfvo type="percent" val="0"/>
        <cfvo type="num" val="0"/>
        <cfvo type="num" val="0" gte="0"/>
      </iconSet>
    </cfRule>
  </conditionalFormatting>
  <conditionalFormatting sqref="H10">
    <cfRule type="iconSet" priority="32">
      <iconSet>
        <cfvo type="percent" val="0"/>
        <cfvo type="num" val="0"/>
        <cfvo type="num" val="0" gte="0"/>
      </iconSet>
    </cfRule>
  </conditionalFormatting>
  <conditionalFormatting sqref="J6:J9 J11:J16 J19:J25">
    <cfRule type="iconSet" priority="35">
      <iconSet>
        <cfvo type="percent" val="0"/>
        <cfvo type="num" val="0"/>
        <cfvo type="num" val="0" gte="0"/>
      </iconSet>
    </cfRule>
  </conditionalFormatting>
  <conditionalFormatting sqref="J10">
    <cfRule type="iconSet" priority="33">
      <iconSet>
        <cfvo type="percent" val="0"/>
        <cfvo type="num" val="0"/>
        <cfvo type="num" val="0" gte="0"/>
      </iconSet>
    </cfRule>
  </conditionalFormatting>
  <conditionalFormatting sqref="J17:J18">
    <cfRule type="iconSet" priority="6">
      <iconSet>
        <cfvo type="percent" val="0"/>
        <cfvo type="num" val="0"/>
        <cfvo type="num" val="0" gte="0"/>
      </iconSet>
    </cfRule>
  </conditionalFormatting>
  <conditionalFormatting sqref="J28:J30">
    <cfRule type="iconSet" priority="3">
      <iconSet>
        <cfvo type="percent" val="0"/>
        <cfvo type="num" val="0"/>
        <cfvo type="num" val="0" gte="0"/>
      </iconSet>
    </cfRule>
  </conditionalFormatting>
  <conditionalFormatting sqref="L6:L9 L11:L25">
    <cfRule type="iconSet" priority="43">
      <iconSet>
        <cfvo type="percent" val="0"/>
        <cfvo type="num" val="0"/>
        <cfvo type="num" val="0" gte="0"/>
      </iconSet>
    </cfRule>
  </conditionalFormatting>
  <conditionalFormatting sqref="L10">
    <cfRule type="iconSet" priority="44">
      <iconSet>
        <cfvo type="percent" val="0"/>
        <cfvo type="num" val="0"/>
        <cfvo type="num" val="0" gte="0"/>
      </iconSet>
    </cfRule>
  </conditionalFormatting>
  <conditionalFormatting sqref="L28:L30">
    <cfRule type="iconSet" priority="2">
      <iconSet>
        <cfvo type="percent" val="0"/>
        <cfvo type="num" val="0"/>
        <cfvo type="num" val="0" gte="0"/>
      </iconSet>
    </cfRule>
  </conditionalFormatting>
  <conditionalFormatting sqref="M6:M25">
    <cfRule type="iconSet" priority="38">
      <iconSet>
        <cfvo type="percent" val="0"/>
        <cfvo type="num" val="0"/>
        <cfvo type="num" val="0" gte="0"/>
      </iconSet>
    </cfRule>
  </conditionalFormatting>
  <conditionalFormatting sqref="N6:N25">
    <cfRule type="iconSet" priority="31">
      <iconSet>
        <cfvo type="percent" val="0"/>
        <cfvo type="num" val="0"/>
        <cfvo type="num" val="0" gte="0"/>
      </iconSet>
    </cfRule>
  </conditionalFormatting>
  <conditionalFormatting sqref="P6:P9 P11:P25">
    <cfRule type="iconSet" priority="39">
      <iconSet>
        <cfvo type="percent" val="0"/>
        <cfvo type="num" val="0"/>
        <cfvo type="num" val="0" gte="0"/>
      </iconSet>
    </cfRule>
  </conditionalFormatting>
  <conditionalFormatting sqref="P10">
    <cfRule type="iconSet" priority="10">
      <iconSet>
        <cfvo type="percent" val="0"/>
        <cfvo type="num" val="0"/>
        <cfvo type="num" val="0" gte="0"/>
      </iconSet>
    </cfRule>
  </conditionalFormatting>
  <conditionalFormatting sqref="P28:P30">
    <cfRule type="iconSet" priority="23">
      <iconSet>
        <cfvo type="percent" val="0"/>
        <cfvo type="num" val="0"/>
        <cfvo type="num" val="0" gte="0"/>
      </iconSet>
    </cfRule>
  </conditionalFormatting>
  <conditionalFormatting sqref="R6:R25">
    <cfRule type="iconSet" priority="40">
      <iconSet>
        <cfvo type="percent" val="0"/>
        <cfvo type="num" val="0"/>
        <cfvo type="num" val="0" gte="0"/>
      </iconSet>
    </cfRule>
  </conditionalFormatting>
  <conditionalFormatting sqref="R28:R30">
    <cfRule type="iconSet" priority="22">
      <iconSet>
        <cfvo type="percent" val="0"/>
        <cfvo type="num" val="0"/>
        <cfvo type="num" val="0" gte="0"/>
      </iconSet>
    </cfRule>
  </conditionalFormatting>
  <conditionalFormatting sqref="S6:S25">
    <cfRule type="iconSet" priority="26">
      <iconSet>
        <cfvo type="percent" val="0"/>
        <cfvo type="num" val="0"/>
        <cfvo type="num" val="0" gte="0"/>
      </iconSet>
    </cfRule>
  </conditionalFormatting>
  <conditionalFormatting sqref="T6:T25">
    <cfRule type="iconSet" priority="30">
      <iconSet>
        <cfvo type="percent" val="0"/>
        <cfvo type="num" val="0"/>
        <cfvo type="num" val="0" gte="0"/>
      </iconSet>
    </cfRule>
  </conditionalFormatting>
  <conditionalFormatting sqref="U28:U30">
    <cfRule type="iconSet" priority="4">
      <iconSet>
        <cfvo type="percent" val="0"/>
        <cfvo type="num" val="0"/>
        <cfvo type="num" val="0" gte="0"/>
      </iconSet>
    </cfRule>
  </conditionalFormatting>
  <conditionalFormatting sqref="V6:V10 V16:V25 V12:V14">
    <cfRule type="iconSet" priority="29">
      <iconSet>
        <cfvo type="percent" val="0"/>
        <cfvo type="num" val="0"/>
        <cfvo type="num" val="0" gte="0"/>
      </iconSet>
    </cfRule>
  </conditionalFormatting>
  <conditionalFormatting sqref="V11">
    <cfRule type="iconSet" priority="9">
      <iconSet>
        <cfvo type="percent" val="0"/>
        <cfvo type="num" val="0"/>
        <cfvo type="num" val="0" gte="0"/>
      </iconSet>
    </cfRule>
  </conditionalFormatting>
  <conditionalFormatting sqref="V15">
    <cfRule type="iconSet" priority="25">
      <iconSet>
        <cfvo type="percent" val="0"/>
        <cfvo type="num" val="0"/>
        <cfvo type="num" val="0" gte="0"/>
      </iconSet>
    </cfRule>
  </conditionalFormatting>
  <conditionalFormatting sqref="X6:X10 X12:X23">
    <cfRule type="iconSet" priority="28">
      <iconSet reverse="1">
        <cfvo type="percent" val="0"/>
        <cfvo type="num" val="0"/>
        <cfvo type="num" val="0" gte="0"/>
      </iconSet>
    </cfRule>
  </conditionalFormatting>
  <conditionalFormatting sqref="X11">
    <cfRule type="iconSet" priority="8">
      <iconSet reverse="1">
        <cfvo type="percent" val="0"/>
        <cfvo type="num" val="0"/>
        <cfvo type="num" val="0" gte="0"/>
      </iconSet>
    </cfRule>
  </conditionalFormatting>
  <conditionalFormatting sqref="X24:X25">
    <cfRule type="iconSet" priority="24">
      <iconSet reverse="1">
        <cfvo type="percent" val="0"/>
        <cfvo type="num" val="0"/>
        <cfvo type="num" val="0" gte="0"/>
      </iconSet>
    </cfRule>
  </conditionalFormatting>
  <conditionalFormatting sqref="Z6">
    <cfRule type="iconSet" priority="19">
      <iconSet>
        <cfvo type="percent" val="0"/>
        <cfvo type="num" val="0"/>
        <cfvo type="num" val="0" gte="0"/>
      </iconSet>
    </cfRule>
  </conditionalFormatting>
  <conditionalFormatting sqref="Z7">
    <cfRule type="iconSet" priority="18">
      <iconSet>
        <cfvo type="percent" val="0"/>
        <cfvo type="num" val="0"/>
        <cfvo type="num" val="0" gte="0"/>
      </iconSet>
    </cfRule>
  </conditionalFormatting>
  <conditionalFormatting sqref="Z8 Z12 Z14:Z17 Z21 Z23:Z25">
    <cfRule type="iconSet" priority="27">
      <iconSet>
        <cfvo type="percent" val="0"/>
        <cfvo type="num" val="0"/>
        <cfvo type="num" val="0" gte="0"/>
      </iconSet>
    </cfRule>
  </conditionalFormatting>
  <conditionalFormatting sqref="Z9">
    <cfRule type="iconSet" priority="21">
      <iconSet>
        <cfvo type="percent" val="0"/>
        <cfvo type="num" val="0"/>
        <cfvo type="num" val="0" gte="0"/>
      </iconSet>
    </cfRule>
  </conditionalFormatting>
  <conditionalFormatting sqref="Z10">
    <cfRule type="iconSet" priority="17">
      <iconSet>
        <cfvo type="percent" val="0"/>
        <cfvo type="num" val="0"/>
        <cfvo type="num" val="0" gte="0"/>
      </iconSet>
    </cfRule>
  </conditionalFormatting>
  <conditionalFormatting sqref="Z11">
    <cfRule type="iconSet" priority="16">
      <iconSet>
        <cfvo type="percent" val="0"/>
        <cfvo type="num" val="0"/>
        <cfvo type="num" val="0" gte="0"/>
      </iconSet>
    </cfRule>
  </conditionalFormatting>
  <conditionalFormatting sqref="Z13">
    <cfRule type="iconSet" priority="15">
      <iconSet>
        <cfvo type="percent" val="0"/>
        <cfvo type="num" val="0"/>
        <cfvo type="num" val="0" gte="0"/>
      </iconSet>
    </cfRule>
  </conditionalFormatting>
  <conditionalFormatting sqref="Z18">
    <cfRule type="iconSet" priority="14">
      <iconSet>
        <cfvo type="percent" val="0"/>
        <cfvo type="num" val="0"/>
        <cfvo type="num" val="0" gte="0"/>
      </iconSet>
    </cfRule>
  </conditionalFormatting>
  <conditionalFormatting sqref="Z19">
    <cfRule type="iconSet" priority="13">
      <iconSet>
        <cfvo type="percent" val="0"/>
        <cfvo type="num" val="0"/>
        <cfvo type="num" val="0" gte="0"/>
      </iconSet>
    </cfRule>
  </conditionalFormatting>
  <conditionalFormatting sqref="Z20">
    <cfRule type="iconSet" priority="12">
      <iconSet>
        <cfvo type="percent" val="0"/>
        <cfvo type="num" val="0"/>
        <cfvo type="num" val="0" gte="0"/>
      </iconSet>
    </cfRule>
  </conditionalFormatting>
  <conditionalFormatting sqref="Z22">
    <cfRule type="iconSet" priority="11">
      <iconSet>
        <cfvo type="percent" val="0"/>
        <cfvo type="num" val="0"/>
        <cfvo type="num" val="0" gte="0"/>
      </iconSet>
    </cfRule>
  </conditionalFormatting>
  <conditionalFormatting sqref="AC6:AN24 AC25 AE25:AN25">
    <cfRule type="expression" dxfId="23" priority="45">
      <formula>AP6=3</formula>
    </cfRule>
    <cfRule type="expression" dxfId="22" priority="46">
      <formula>AP6=5</formula>
    </cfRule>
    <cfRule type="expression" dxfId="21" priority="47">
      <formula>AP6=4</formula>
    </cfRule>
    <cfRule type="expression" dxfId="20" priority="48">
      <formula>AP6=2</formula>
    </cfRule>
    <cfRule type="expression" dxfId="19" priority="49">
      <formula>AP6=1</formula>
    </cfRule>
    <cfRule type="expression" dxfId="18" priority="50">
      <formula>AP6=0</formula>
    </cfRule>
  </conditionalFormatting>
  <conditionalFormatting sqref="FG6:FG25 FG27">
    <cfRule type="colorScale" priority="20">
      <colorScale>
        <cfvo type="min"/>
        <cfvo type="percentile" val="50"/>
        <cfvo type="max"/>
        <color rgb="FFF8696B"/>
        <color rgb="FFFFEB84"/>
        <color rgb="FF63BE7B"/>
      </colorScale>
    </cfRule>
  </conditionalFormatting>
  <dataValidations disablePrompts="1" count="1">
    <dataValidation type="list" allowBlank="1" showInputMessage="1" showErrorMessage="1" sqref="A1:B1" xr:uid="{00000000-0002-0000-0C00-000000000000}">
      <formula1>lis_dat</formula1>
    </dataValidation>
  </dataValidations>
  <pageMargins left="0.25" right="0.25" top="0.75" bottom="0.75" header="0.3" footer="0.3"/>
  <pageSetup paperSize="9" scale="55"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249977111117893"/>
    <pageSetUpPr fitToPage="1"/>
  </sheetPr>
  <dimension ref="A1:FH47"/>
  <sheetViews>
    <sheetView showGridLines="0" topLeftCell="A9" zoomScale="60" zoomScaleNormal="60" workbookViewId="0">
      <selection activeCell="P20" sqref="P20"/>
    </sheetView>
  </sheetViews>
  <sheetFormatPr baseColWidth="10" defaultRowHeight="14.4"/>
  <cols>
    <col min="1" max="1" width="14.44140625" style="11" customWidth="1"/>
    <col min="2" max="2" width="11.6640625" customWidth="1"/>
    <col min="3" max="3" width="5.44140625" style="154" customWidth="1"/>
    <col min="4" max="4" width="4.44140625" style="57" customWidth="1"/>
    <col min="5" max="5" width="8.6640625" style="12" customWidth="1"/>
    <col min="6" max="6" width="3.44140625" style="37" customWidth="1"/>
    <col min="7" max="7" width="6.109375" customWidth="1"/>
    <col min="8" max="8" width="4.5546875" style="37" customWidth="1"/>
    <col min="9" max="9" width="10.5546875" style="12" customWidth="1"/>
    <col min="10" max="10" width="4" style="37" customWidth="1"/>
    <col min="11" max="11" width="6" customWidth="1"/>
    <col min="12" max="12" width="4.88671875" style="37" customWidth="1"/>
    <col min="13" max="13" width="1.88671875" customWidth="1"/>
    <col min="14" max="14" width="4.33203125" style="57" customWidth="1"/>
    <col min="15" max="15" width="5.88671875" style="23" customWidth="1"/>
    <col min="16" max="16" width="7" style="57" customWidth="1"/>
    <col min="17" max="17" width="7" customWidth="1"/>
    <col min="18" max="18" width="7.33203125" customWidth="1"/>
    <col min="19" max="19" width="1.5546875" customWidth="1"/>
    <col min="20" max="20" width="4.88671875" style="57" customWidth="1"/>
    <col min="21" max="21" width="6.5546875" style="23" customWidth="1"/>
    <col min="22" max="22" width="4" customWidth="1"/>
    <col min="23" max="23" width="6.5546875" customWidth="1"/>
    <col min="24" max="24" width="3.88671875" customWidth="1"/>
    <col min="25" max="25" width="7.33203125" customWidth="1"/>
    <col min="26" max="26" width="4.5546875" customWidth="1"/>
    <col min="27" max="27" width="1.44140625" customWidth="1"/>
    <col min="28" max="28" width="53" style="11" customWidth="1"/>
    <col min="29" max="40" width="1.88671875" style="57" customWidth="1"/>
    <col min="41" max="41" width="2.44140625" style="28" customWidth="1"/>
    <col min="42" max="42" width="5.44140625" style="28" hidden="1" customWidth="1"/>
    <col min="43" max="43" width="6" style="28" hidden="1" customWidth="1"/>
    <col min="44" max="44" width="5.33203125" style="28" hidden="1" customWidth="1"/>
    <col min="45" max="45" width="4.88671875" style="28" hidden="1" customWidth="1"/>
    <col min="46" max="47" width="5.5546875" hidden="1" customWidth="1"/>
    <col min="48" max="48" width="5.33203125" hidden="1" customWidth="1"/>
    <col min="49" max="49" width="5.5546875" hidden="1" customWidth="1"/>
    <col min="50" max="51" width="4.88671875" hidden="1" customWidth="1"/>
    <col min="52" max="52" width="5.6640625" hidden="1" customWidth="1"/>
    <col min="53" max="53" width="5.109375" hidden="1" customWidth="1"/>
    <col min="54" max="54" width="2.44140625" hidden="1" customWidth="1"/>
    <col min="55" max="55" width="15.8867187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3.33203125"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3.8">
      <c r="A1" s="219">
        <v>45292</v>
      </c>
      <c r="B1" s="49"/>
      <c r="D1" s="195" t="s">
        <v>220</v>
      </c>
      <c r="E1" s="46"/>
      <c r="F1" s="46"/>
      <c r="G1" s="46"/>
      <c r="H1" s="46"/>
      <c r="I1" s="46"/>
      <c r="J1" s="46"/>
      <c r="K1" s="46"/>
      <c r="L1" s="46"/>
      <c r="M1" s="19"/>
      <c r="N1" s="199" t="s">
        <v>248</v>
      </c>
      <c r="O1" s="21"/>
      <c r="P1" s="101"/>
      <c r="Q1" s="21"/>
      <c r="R1" s="21"/>
      <c r="S1" s="19"/>
      <c r="T1" s="200" t="s">
        <v>453</v>
      </c>
      <c r="U1" s="22"/>
      <c r="V1" s="22"/>
      <c r="W1" s="22"/>
      <c r="X1" s="22"/>
      <c r="Y1" s="22"/>
      <c r="Z1" s="22"/>
      <c r="AB1" s="208" t="s">
        <v>167</v>
      </c>
      <c r="AC1" s="50" t="s">
        <v>288</v>
      </c>
      <c r="AD1" s="50"/>
      <c r="AE1" s="50"/>
      <c r="AF1" s="50"/>
      <c r="AG1" s="50"/>
      <c r="AH1" s="50"/>
      <c r="AI1" s="50"/>
      <c r="AJ1" s="50"/>
      <c r="AK1" s="50"/>
      <c r="AL1" s="50"/>
      <c r="AM1" s="50"/>
      <c r="AN1" s="50"/>
      <c r="BF1" t="s">
        <v>101</v>
      </c>
      <c r="BG1" s="3">
        <f>+A1</f>
        <v>45292</v>
      </c>
      <c r="BH1" s="3">
        <f>+VLOOKUP(BH2,datos!$D:$E,2,FALSE)</f>
        <v>45261</v>
      </c>
      <c r="BI1" s="3">
        <f>+VLOOKUP(BI2,datos!$D:$E,2,FALSE)</f>
        <v>44927</v>
      </c>
      <c r="BL1" s="3">
        <f>+A1</f>
        <v>45292</v>
      </c>
      <c r="BM1" s="3">
        <f>+VLOOKUP(BM2,datos!$D:$E,2,FALSE)</f>
        <v>45261</v>
      </c>
      <c r="BN1" s="3">
        <f>+VLOOKUP(BN2,datos!$D:$E,2,FALSE)</f>
        <v>44927</v>
      </c>
      <c r="BQ1" s="3">
        <f>+A1</f>
        <v>45292</v>
      </c>
      <c r="BR1" s="3">
        <f>+VLOOKUP(BR2,datos!$D:$E,2,FALSE)</f>
        <v>44927</v>
      </c>
      <c r="BU1" s="3">
        <f>+A1</f>
        <v>45292</v>
      </c>
      <c r="BV1" s="3">
        <f>+VLOOKUP(BV2,datos!$D:$E,2,FALSE)</f>
        <v>44927</v>
      </c>
      <c r="BY1" t="s">
        <v>279</v>
      </c>
      <c r="BZ1" t="s">
        <v>280</v>
      </c>
      <c r="CC1" t="s">
        <v>279</v>
      </c>
      <c r="CD1" t="s">
        <v>280</v>
      </c>
      <c r="CG1" t="s">
        <v>282</v>
      </c>
      <c r="CH1" t="s">
        <v>283</v>
      </c>
      <c r="CI1" s="3">
        <f>+A1</f>
        <v>45292</v>
      </c>
      <c r="CJ1" s="3">
        <f>+VLOOKUP(CJ2,datos!$D:$E,2,FALSE)</f>
        <v>45292</v>
      </c>
      <c r="CK1" s="3">
        <f>+VLOOKUP(CK2,datos!$D:$E,2,FALSE)</f>
        <v>45261</v>
      </c>
      <c r="CL1" s="3">
        <f>+VLOOKUP(CL2,datos!$D:$E,2,FALSE)</f>
        <v>45231</v>
      </c>
      <c r="CM1" s="3">
        <f>+VLOOKUP(CM2,datos!$D:$E,2,FALSE)</f>
        <v>45200</v>
      </c>
      <c r="CN1" s="3">
        <f>+VLOOKUP(CN2,datos!$D:$E,2,FALSE)</f>
        <v>45170</v>
      </c>
      <c r="CO1" s="3">
        <f>+VLOOKUP(CO2,datos!$D:$E,2,FALSE)</f>
        <v>45139</v>
      </c>
      <c r="CP1" s="3">
        <f>+VLOOKUP(CP2,datos!$D:$E,2,FALSE)</f>
        <v>45108</v>
      </c>
      <c r="CQ1" s="3">
        <f>+VLOOKUP(CQ2,datos!$D:$E,2,FALSE)</f>
        <v>45078</v>
      </c>
      <c r="CR1" s="3">
        <f>+VLOOKUP(CR2,datos!$D:$E,2,FALSE)</f>
        <v>45047</v>
      </c>
      <c r="CS1" s="3">
        <f>+VLOOKUP(CS2,datos!$D:$E,2,FALSE)</f>
        <v>45017</v>
      </c>
      <c r="CT1" s="3">
        <f>+VLOOKUP(CT2,datos!$D:$E,2,FALSE)</f>
        <v>44986</v>
      </c>
      <c r="CU1" s="3">
        <f>+VLOOKUP(CU2,datos!$D:$E,2,FALSE)</f>
        <v>44958</v>
      </c>
      <c r="CV1" s="3">
        <f>+VLOOKUP(CV2,datos!$D:$E,2,FALSE)</f>
        <v>44927</v>
      </c>
      <c r="CW1" s="3">
        <f>+VLOOKUP(CW2,datos!$D:$E,2,FALSE)</f>
        <v>44896</v>
      </c>
      <c r="CX1" s="3">
        <f>+VLOOKUP(CX2,datos!$D:$E,2,FALSE)</f>
        <v>44866</v>
      </c>
      <c r="CY1" s="3">
        <f>+VLOOKUP(CY2,datos!$D:$E,2,FALSE)</f>
        <v>44835</v>
      </c>
      <c r="CZ1" s="3">
        <f>+VLOOKUP(CZ2,datos!$D:$E,2,FALSE)</f>
        <v>44805</v>
      </c>
      <c r="DA1" s="3">
        <f>+VLOOKUP(DA2,datos!$D:$E,2,FALSE)</f>
        <v>44774</v>
      </c>
      <c r="DB1" s="3">
        <f>+VLOOKUP(DB2,datos!$D:$E,2,FALSE)</f>
        <v>44743</v>
      </c>
      <c r="DC1" s="3">
        <f>+VLOOKUP(DC2,datos!$D:$E,2,FALSE)</f>
        <v>44713</v>
      </c>
      <c r="DD1" s="3">
        <f>+VLOOKUP(DD2,datos!$D:$E,2,FALSE)</f>
        <v>44682</v>
      </c>
      <c r="DE1" s="3">
        <f>+VLOOKUP(DE2,datos!$D:$E,2,FALSE)</f>
        <v>44652</v>
      </c>
      <c r="DF1" s="3">
        <f>+VLOOKUP(DF2,datos!$D:$E,2,FALSE)</f>
        <v>44621</v>
      </c>
      <c r="DG1" s="3">
        <f>+VLOOKUP(DG2,datos!$D:$E,2,FALSE)</f>
        <v>44593</v>
      </c>
      <c r="DI1" s="3">
        <f>+CJ1</f>
        <v>45292</v>
      </c>
      <c r="DJ1" s="3">
        <f>+VLOOKUP(DJ2,datos!$D:$E,2,FALSE)</f>
        <v>45261</v>
      </c>
      <c r="DK1" s="3">
        <f>+VLOOKUP(DK2,datos!$D:$E,2,FALSE)</f>
        <v>45231</v>
      </c>
      <c r="DL1" s="3">
        <f>+VLOOKUP(DL2,datos!$D:$E,2,FALSE)</f>
        <v>45200</v>
      </c>
      <c r="DM1" s="3">
        <f>+VLOOKUP(DM2,datos!$D:$E,2,FALSE)</f>
        <v>45170</v>
      </c>
      <c r="DN1" s="3">
        <f>+VLOOKUP(DN2,datos!$D:$E,2,FALSE)</f>
        <v>45139</v>
      </c>
      <c r="DO1" s="3">
        <f>+VLOOKUP(DO2,datos!$D:$E,2,FALSE)</f>
        <v>45108</v>
      </c>
      <c r="DP1" s="3">
        <f>+VLOOKUP(DP2,datos!$D:$E,2,FALSE)</f>
        <v>45078</v>
      </c>
      <c r="DQ1" s="3">
        <f>+VLOOKUP(DQ2,datos!$D:$E,2,FALSE)</f>
        <v>45047</v>
      </c>
      <c r="DR1" s="3">
        <f>+VLOOKUP(DR2,datos!$D:$E,2,FALSE)</f>
        <v>45017</v>
      </c>
      <c r="DS1" s="3">
        <f>+VLOOKUP(DS2,datos!$D:$E,2,FALSE)</f>
        <v>44986</v>
      </c>
      <c r="DT1" s="3">
        <f>+VLOOKUP(DT2,datos!$D:$E,2,FALSE)</f>
        <v>44958</v>
      </c>
      <c r="DU1" s="3">
        <f>+VLOOKUP(DU2,datos!$D:$E,2,FALSE)</f>
        <v>44927</v>
      </c>
      <c r="DV1" s="3">
        <f>+VLOOKUP(DV2,datos!$D:$E,2,FALSE)</f>
        <v>44896</v>
      </c>
      <c r="DW1" s="3">
        <f>+VLOOKUP(DW2,datos!$D:$E,2,FALSE)</f>
        <v>44866</v>
      </c>
      <c r="DX1" s="3">
        <f>+VLOOKUP(DX2,datos!$D:$E,2,FALSE)</f>
        <v>44835</v>
      </c>
      <c r="DY1" s="3">
        <f>+VLOOKUP(DY2,datos!$D:$E,2,FALSE)</f>
        <v>44805</v>
      </c>
      <c r="DZ1" s="3">
        <f>+VLOOKUP(DZ2,datos!$D:$E,2,FALSE)</f>
        <v>44774</v>
      </c>
      <c r="EA1" s="3">
        <f>+VLOOKUP(EA2,datos!$D:$E,2,FALSE)</f>
        <v>44743</v>
      </c>
      <c r="EB1" s="3">
        <f>+VLOOKUP(EB2,datos!$D:$E,2,FALSE)</f>
        <v>44713</v>
      </c>
      <c r="EC1" s="3">
        <f>+VLOOKUP(EC2,datos!$D:$E,2,FALSE)</f>
        <v>44682</v>
      </c>
      <c r="ED1" s="3">
        <f>+VLOOKUP(ED2,datos!$D:$E,2,FALSE)</f>
        <v>44652</v>
      </c>
      <c r="EE1" s="3">
        <f>+VLOOKUP(EE2,datos!$D:$E,2,FALSE)</f>
        <v>44621</v>
      </c>
      <c r="EF1" s="3">
        <f>+VLOOKUP(EF2,datos!$D:$E,2,FALSE)</f>
        <v>44593</v>
      </c>
      <c r="EH1" s="14">
        <f>+CJ1</f>
        <v>45292</v>
      </c>
      <c r="EI1" s="14">
        <f t="shared" ref="EI1:FE1" si="0">+CK1</f>
        <v>45261</v>
      </c>
      <c r="EJ1" s="3">
        <f t="shared" si="0"/>
        <v>45231</v>
      </c>
      <c r="EK1" s="3">
        <f t="shared" si="0"/>
        <v>45200</v>
      </c>
      <c r="EL1" s="3">
        <f t="shared" si="0"/>
        <v>45170</v>
      </c>
      <c r="EM1" s="3">
        <f t="shared" si="0"/>
        <v>45139</v>
      </c>
      <c r="EN1" s="3">
        <f t="shared" si="0"/>
        <v>45108</v>
      </c>
      <c r="EO1" s="3">
        <f t="shared" si="0"/>
        <v>45078</v>
      </c>
      <c r="EP1" s="3">
        <f t="shared" si="0"/>
        <v>45047</v>
      </c>
      <c r="EQ1" s="3">
        <f t="shared" si="0"/>
        <v>45017</v>
      </c>
      <c r="ER1" s="3">
        <f t="shared" si="0"/>
        <v>44986</v>
      </c>
      <c r="ES1" s="3">
        <f t="shared" si="0"/>
        <v>44958</v>
      </c>
      <c r="ET1" s="3">
        <f t="shared" si="0"/>
        <v>44927</v>
      </c>
      <c r="EU1" s="3">
        <f t="shared" si="0"/>
        <v>44896</v>
      </c>
      <c r="EV1" s="3">
        <f t="shared" si="0"/>
        <v>44866</v>
      </c>
      <c r="EW1" s="3">
        <f t="shared" si="0"/>
        <v>44835</v>
      </c>
      <c r="EX1" s="3">
        <f t="shared" si="0"/>
        <v>44805</v>
      </c>
      <c r="EY1" s="3">
        <f t="shared" si="0"/>
        <v>44774</v>
      </c>
      <c r="EZ1" s="3">
        <f t="shared" si="0"/>
        <v>44743</v>
      </c>
      <c r="FA1" s="3">
        <f t="shared" si="0"/>
        <v>44713</v>
      </c>
      <c r="FB1" s="3">
        <f t="shared" si="0"/>
        <v>44682</v>
      </c>
      <c r="FC1" s="3">
        <f t="shared" si="0"/>
        <v>44652</v>
      </c>
      <c r="FD1" s="3">
        <f t="shared" si="0"/>
        <v>44621</v>
      </c>
      <c r="FE1" s="3">
        <f t="shared" si="0"/>
        <v>44593</v>
      </c>
    </row>
    <row r="2" spans="1:163" ht="13.5" customHeight="1">
      <c r="E2" s="51" t="s">
        <v>278</v>
      </c>
      <c r="F2" s="52"/>
      <c r="G2" s="9"/>
      <c r="H2" s="52"/>
      <c r="I2" s="51" t="s">
        <v>165</v>
      </c>
      <c r="J2" s="52"/>
      <c r="K2" s="9"/>
      <c r="L2" s="52"/>
      <c r="M2" s="9"/>
      <c r="N2" s="102"/>
      <c r="O2" s="9" t="s">
        <v>277</v>
      </c>
      <c r="P2" s="102"/>
      <c r="Q2" s="9" t="s">
        <v>277</v>
      </c>
      <c r="R2" s="9"/>
      <c r="S2" s="9"/>
      <c r="T2" s="102"/>
      <c r="U2" s="9" t="s">
        <v>336</v>
      </c>
      <c r="V2" s="9"/>
      <c r="W2" s="9"/>
      <c r="X2" s="9"/>
      <c r="Y2" s="51" t="s">
        <v>165</v>
      </c>
      <c r="Z2" s="9"/>
      <c r="AB2" s="209"/>
      <c r="AC2" s="59"/>
      <c r="AD2" s="59"/>
      <c r="AE2" s="59"/>
      <c r="AF2" s="59"/>
      <c r="AG2" s="59"/>
      <c r="AH2" s="59"/>
      <c r="AI2" s="59"/>
      <c r="AJ2" s="59"/>
      <c r="AK2" s="59"/>
      <c r="AL2" s="59"/>
      <c r="AM2" s="59"/>
      <c r="AN2" s="59"/>
      <c r="AO2" s="80"/>
      <c r="AP2" s="174">
        <f>VLOOKUP(VLOOKUP(+$A$1,ran_ma,2,FALSE)-11,ran_idma,2,FALSE)</f>
        <v>44958</v>
      </c>
      <c r="AQ2" s="174">
        <f>VLOOKUP(VLOOKUP(+$A$1,ran_ma,2,FALSE)-10,ran_idma,2,FALSE)</f>
        <v>44986</v>
      </c>
      <c r="AR2" s="174">
        <f>VLOOKUP(VLOOKUP(+$A$1,ran_ma,2,FALSE)-9,ran_idma,2,FALSE)</f>
        <v>45017</v>
      </c>
      <c r="AS2" s="174">
        <f>VLOOKUP(VLOOKUP(+$A$1,ran_ma,2,FALSE)-8,ran_idma,2,FALSE)</f>
        <v>45047</v>
      </c>
      <c r="AT2" s="59">
        <f>VLOOKUP(VLOOKUP(+$A$1,ran_ma,2,FALSE)-7,ran_idma,2,FALSE)</f>
        <v>45078</v>
      </c>
      <c r="AU2" s="59">
        <f>VLOOKUP(VLOOKUP(+$A$1,ran_ma,2,FALSE)-6,ran_idma,2,FALSE)</f>
        <v>45108</v>
      </c>
      <c r="AV2" s="59">
        <f>VLOOKUP(VLOOKUP(+$A$1,ran_ma,2,FALSE)-5,ran_idma,2,FALSE)</f>
        <v>45139</v>
      </c>
      <c r="AW2" s="59">
        <f>VLOOKUP(VLOOKUP(+$A$1,ran_ma,2,FALSE)-4,ran_idma,2,FALSE)</f>
        <v>45170</v>
      </c>
      <c r="AX2" s="59">
        <f>VLOOKUP(VLOOKUP(+$A$1,ran_ma,2,FALSE)-3,ran_idma,2,FALSE)</f>
        <v>45200</v>
      </c>
      <c r="AY2" s="59">
        <f>VLOOKUP(VLOOKUP(+$A$1,ran_ma,2,FALSE)-2,ran_idma,2,FALSE)</f>
        <v>45231</v>
      </c>
      <c r="AZ2" s="59">
        <f>VLOOKUP(VLOOKUP(+$A$1,ran_ma,2,FALSE)-1,ran_idma,2,FALSE)</f>
        <v>45261</v>
      </c>
      <c r="BA2" s="59">
        <f>+$A$1</f>
        <v>45292</v>
      </c>
      <c r="BB2" s="5"/>
      <c r="BC2" s="170"/>
      <c r="BE2" s="9" t="s">
        <v>272</v>
      </c>
      <c r="BG2">
        <f>+VLOOKUP(BG1,ran_dat,datos!$D$1,FALSE)</f>
        <v>106</v>
      </c>
      <c r="BH2">
        <f>+BG2-1</f>
        <v>105</v>
      </c>
      <c r="BI2">
        <f>+BG2-12</f>
        <v>94</v>
      </c>
      <c r="BK2" s="9"/>
      <c r="BL2">
        <f>+VLOOKUP(BL1,ran_dat,datos!$D$1,FALSE)</f>
        <v>106</v>
      </c>
      <c r="BM2">
        <f>+BL2-1</f>
        <v>105</v>
      </c>
      <c r="BN2">
        <f>+BL2-12</f>
        <v>94</v>
      </c>
      <c r="BP2" s="9"/>
      <c r="BQ2">
        <f>+VLOOKUP(BQ1,ran_dat,datos!$D$1,FALSE)</f>
        <v>106</v>
      </c>
      <c r="BR2">
        <f>+BQ2-12</f>
        <v>94</v>
      </c>
      <c r="BT2" s="9"/>
      <c r="BU2">
        <f>+VLOOKUP(BU1,ran_dat,datos!$D$1,FALSE)</f>
        <v>106</v>
      </c>
      <c r="BV2">
        <f>+BU2-12</f>
        <v>94</v>
      </c>
      <c r="BX2" s="9"/>
      <c r="CB2" s="9"/>
      <c r="CI2">
        <f>+VLOOKUP(CI1,ran_dat,datos!$D$1,FALSE)</f>
        <v>106</v>
      </c>
      <c r="CJ2">
        <f>+CI2</f>
        <v>106</v>
      </c>
      <c r="CK2">
        <f t="shared" ref="CK2:DG2" si="1">+CJ2-1</f>
        <v>105</v>
      </c>
      <c r="CL2">
        <f t="shared" si="1"/>
        <v>104</v>
      </c>
      <c r="CM2">
        <f t="shared" si="1"/>
        <v>103</v>
      </c>
      <c r="CN2">
        <f t="shared" si="1"/>
        <v>102</v>
      </c>
      <c r="CO2">
        <f t="shared" si="1"/>
        <v>101</v>
      </c>
      <c r="CP2">
        <f t="shared" si="1"/>
        <v>100</v>
      </c>
      <c r="CQ2">
        <f t="shared" si="1"/>
        <v>99</v>
      </c>
      <c r="CR2">
        <f t="shared" si="1"/>
        <v>98</v>
      </c>
      <c r="CS2">
        <f t="shared" si="1"/>
        <v>97</v>
      </c>
      <c r="CT2">
        <f t="shared" si="1"/>
        <v>96</v>
      </c>
      <c r="CU2">
        <f t="shared" si="1"/>
        <v>95</v>
      </c>
      <c r="CV2">
        <f t="shared" si="1"/>
        <v>94</v>
      </c>
      <c r="CW2">
        <f t="shared" si="1"/>
        <v>93</v>
      </c>
      <c r="CX2">
        <f t="shared" si="1"/>
        <v>92</v>
      </c>
      <c r="CY2">
        <f t="shared" si="1"/>
        <v>91</v>
      </c>
      <c r="CZ2">
        <f t="shared" si="1"/>
        <v>90</v>
      </c>
      <c r="DA2">
        <f t="shared" si="1"/>
        <v>89</v>
      </c>
      <c r="DB2">
        <f t="shared" si="1"/>
        <v>88</v>
      </c>
      <c r="DC2">
        <f t="shared" si="1"/>
        <v>87</v>
      </c>
      <c r="DD2">
        <f t="shared" si="1"/>
        <v>86</v>
      </c>
      <c r="DE2">
        <f t="shared" si="1"/>
        <v>85</v>
      </c>
      <c r="DF2">
        <f t="shared" si="1"/>
        <v>84</v>
      </c>
      <c r="DG2">
        <f t="shared" si="1"/>
        <v>83</v>
      </c>
      <c r="DI2">
        <f>+VLOOKUP(DI1,ran_dat,datos!$D$1,FALSE)</f>
        <v>106</v>
      </c>
      <c r="DJ2">
        <f t="shared" ref="DJ2:EF2" si="2">+DI2-1</f>
        <v>105</v>
      </c>
      <c r="DK2">
        <f t="shared" si="2"/>
        <v>104</v>
      </c>
      <c r="DL2">
        <f t="shared" si="2"/>
        <v>103</v>
      </c>
      <c r="DM2">
        <f t="shared" si="2"/>
        <v>102</v>
      </c>
      <c r="DN2">
        <f t="shared" si="2"/>
        <v>101</v>
      </c>
      <c r="DO2">
        <f t="shared" si="2"/>
        <v>100</v>
      </c>
      <c r="DP2">
        <f t="shared" si="2"/>
        <v>99</v>
      </c>
      <c r="DQ2">
        <f t="shared" si="2"/>
        <v>98</v>
      </c>
      <c r="DR2">
        <f t="shared" si="2"/>
        <v>97</v>
      </c>
      <c r="DS2">
        <f t="shared" si="2"/>
        <v>96</v>
      </c>
      <c r="DT2">
        <f t="shared" si="2"/>
        <v>95</v>
      </c>
      <c r="DU2">
        <f t="shared" si="2"/>
        <v>94</v>
      </c>
      <c r="DV2">
        <f t="shared" si="2"/>
        <v>93</v>
      </c>
      <c r="DW2">
        <f t="shared" si="2"/>
        <v>92</v>
      </c>
      <c r="DX2">
        <f t="shared" si="2"/>
        <v>91</v>
      </c>
      <c r="DY2">
        <f t="shared" si="2"/>
        <v>90</v>
      </c>
      <c r="DZ2">
        <f t="shared" si="2"/>
        <v>89</v>
      </c>
      <c r="EA2">
        <f t="shared" si="2"/>
        <v>88</v>
      </c>
      <c r="EB2">
        <f t="shared" si="2"/>
        <v>87</v>
      </c>
      <c r="EC2">
        <f t="shared" si="2"/>
        <v>86</v>
      </c>
      <c r="ED2">
        <f t="shared" si="2"/>
        <v>85</v>
      </c>
      <c r="EE2">
        <f t="shared" si="2"/>
        <v>84</v>
      </c>
      <c r="EF2">
        <f t="shared" si="2"/>
        <v>83</v>
      </c>
      <c r="EH2" s="14">
        <f>+VLOOKUP(EH1,ran_dat,datos!$D$1,FALSE)</f>
        <v>106</v>
      </c>
      <c r="EI2" s="14">
        <f t="shared" ref="EI2:FE2" si="3">+EH2-1</f>
        <v>105</v>
      </c>
      <c r="EJ2">
        <f t="shared" si="3"/>
        <v>104</v>
      </c>
      <c r="EK2">
        <f t="shared" si="3"/>
        <v>103</v>
      </c>
      <c r="EL2">
        <f t="shared" si="3"/>
        <v>102</v>
      </c>
      <c r="EM2">
        <f t="shared" si="3"/>
        <v>101</v>
      </c>
      <c r="EN2">
        <f t="shared" si="3"/>
        <v>100</v>
      </c>
      <c r="EO2">
        <f t="shared" si="3"/>
        <v>99</v>
      </c>
      <c r="EP2">
        <f t="shared" si="3"/>
        <v>98</v>
      </c>
      <c r="EQ2">
        <f t="shared" si="3"/>
        <v>97</v>
      </c>
      <c r="ER2">
        <f t="shared" si="3"/>
        <v>96</v>
      </c>
      <c r="ES2">
        <f t="shared" si="3"/>
        <v>95</v>
      </c>
      <c r="ET2">
        <f t="shared" si="3"/>
        <v>94</v>
      </c>
      <c r="EU2">
        <f t="shared" si="3"/>
        <v>93</v>
      </c>
      <c r="EV2">
        <f t="shared" si="3"/>
        <v>92</v>
      </c>
      <c r="EW2">
        <f t="shared" si="3"/>
        <v>91</v>
      </c>
      <c r="EX2">
        <f t="shared" si="3"/>
        <v>90</v>
      </c>
      <c r="EY2">
        <f t="shared" si="3"/>
        <v>89</v>
      </c>
      <c r="EZ2">
        <f t="shared" si="3"/>
        <v>88</v>
      </c>
      <c r="FA2">
        <f t="shared" si="3"/>
        <v>87</v>
      </c>
      <c r="FB2">
        <f t="shared" si="3"/>
        <v>86</v>
      </c>
      <c r="FC2">
        <f t="shared" si="3"/>
        <v>85</v>
      </c>
      <c r="FD2">
        <f t="shared" si="3"/>
        <v>84</v>
      </c>
      <c r="FE2">
        <f t="shared" si="3"/>
        <v>83</v>
      </c>
    </row>
    <row r="3" spans="1:163" ht="12" customHeight="1">
      <c r="A3" s="220"/>
      <c r="C3" s="155"/>
      <c r="D3" s="196">
        <v>0.33</v>
      </c>
      <c r="E3" s="100">
        <f>IFERROR(+BG5/BH5-1,"")</f>
        <v>0.20614225288961063</v>
      </c>
      <c r="F3" s="56"/>
      <c r="G3" s="56"/>
      <c r="H3" s="56"/>
      <c r="I3" s="60">
        <f>IFERROR(+BG5/BI5-1,"")</f>
        <v>2.5424209476309225</v>
      </c>
      <c r="J3" s="56"/>
      <c r="K3" s="56"/>
      <c r="L3" s="56"/>
      <c r="M3" s="32"/>
      <c r="N3" s="196">
        <v>0.33</v>
      </c>
      <c r="O3" s="31"/>
      <c r="S3" s="32"/>
      <c r="T3" s="196">
        <v>0.33</v>
      </c>
      <c r="U3" s="150" t="str">
        <f>TEXT(CU1,"MMM-YY")&amp;"."&amp;TEXT(CJ1,"MMM-YY")&amp;" vs "&amp;TEXT(DG1,"MMM-YY")&amp;"."&amp;TEXT(CV1,"MMM-YY")</f>
        <v>feb-23.ene-24 vs feb-22.ene-23</v>
      </c>
      <c r="Y3" s="59" t="str">
        <f>TEXT(CJ1,"MMM-YY")&amp;" vs "&amp;TEXT(CV1,"MMM-YY")</f>
        <v>ene-24 vs ene-23</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3.5" customHeight="1">
      <c r="A4" s="221" t="s">
        <v>1</v>
      </c>
      <c r="B4" s="155" t="s">
        <v>454</v>
      </c>
      <c r="C4" s="201"/>
      <c r="D4" s="197" t="s">
        <v>244</v>
      </c>
      <c r="E4" s="202" t="s">
        <v>3</v>
      </c>
      <c r="F4" s="203"/>
      <c r="G4" s="202" t="s">
        <v>5</v>
      </c>
      <c r="H4" s="203"/>
      <c r="I4" s="202" t="s">
        <v>3</v>
      </c>
      <c r="J4" s="203"/>
      <c r="K4" s="202" t="s">
        <v>5</v>
      </c>
      <c r="L4" s="203"/>
      <c r="M4" s="19"/>
      <c r="N4" s="197" t="s">
        <v>245</v>
      </c>
      <c r="O4" s="204" t="s">
        <v>225</v>
      </c>
      <c r="P4" s="205"/>
      <c r="Q4" s="204" t="s">
        <v>2</v>
      </c>
      <c r="R4" s="54"/>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6" customHeight="1">
      <c r="E5" s="18"/>
      <c r="N5" s="197"/>
      <c r="O5" s="34"/>
      <c r="P5" s="103"/>
      <c r="Q5" s="34"/>
      <c r="R5" s="34"/>
      <c r="T5" s="197"/>
      <c r="U5" s="25"/>
      <c r="V5" s="34"/>
      <c r="W5" s="34"/>
      <c r="X5" s="34"/>
      <c r="Y5" s="34"/>
      <c r="Z5" s="34"/>
      <c r="AB5" s="211"/>
      <c r="BD5">
        <f>+A3</f>
        <v>0</v>
      </c>
      <c r="BE5">
        <f>+datos!G1</f>
        <v>7</v>
      </c>
      <c r="BF5" s="2" t="str">
        <f t="shared" ref="BF5:BI24" si="4">+VLOOKUP(BF$1,ran_dat,$BE5,FALSE)</f>
        <v>Índice</v>
      </c>
      <c r="BG5" s="2">
        <f t="shared" si="4"/>
        <v>4261.5324000000001</v>
      </c>
      <c r="BH5" s="2">
        <f t="shared" si="4"/>
        <v>3533.1922</v>
      </c>
      <c r="BI5" s="2">
        <f t="shared" si="4"/>
        <v>1203</v>
      </c>
    </row>
    <row r="6" spans="1:163" ht="30" customHeight="1">
      <c r="A6" s="222" t="s">
        <v>28</v>
      </c>
      <c r="B6" s="212"/>
      <c r="C6" s="156">
        <f t="shared" ref="C6:C24" si="5">+D6*$D$3+N6*$N$3+T6*$T$3</f>
        <v>-0.66</v>
      </c>
      <c r="D6" s="198">
        <v>-1</v>
      </c>
      <c r="E6" s="213">
        <f t="shared" ref="E6:E24" si="6">IFERROR(+BG6/BH6-1,"")</f>
        <v>-0.32087891631490773</v>
      </c>
      <c r="F6" s="214">
        <f t="shared" ref="F6:F24" si="7">+E6-$E$3</f>
        <v>-0.52702116920451836</v>
      </c>
      <c r="G6" s="213">
        <f t="shared" ref="G6:G24" si="8">IFERROR(+BL6/BM6-1,"")</f>
        <v>-0.10365200026823629</v>
      </c>
      <c r="H6" s="214">
        <f t="shared" ref="H6:H24" si="9">E6-G6</f>
        <v>-0.21722691604667144</v>
      </c>
      <c r="I6" s="213">
        <f t="shared" ref="I6:I24" si="10">IFERROR(+BG6/BI6-1,"")</f>
        <v>1.6076418778009489</v>
      </c>
      <c r="J6" s="214">
        <f t="shared" ref="J6:J26" si="11">+I6-$I$3</f>
        <v>-0.93477906982997361</v>
      </c>
      <c r="K6" s="213">
        <f>IFERROR(+BL6/BN6-1,"")</f>
        <v>2.2241978688627033</v>
      </c>
      <c r="L6" s="214">
        <f t="shared" ref="L6:L24" si="12">I6-K6</f>
        <v>-0.6165559910617544</v>
      </c>
      <c r="M6" s="215"/>
      <c r="N6" s="198">
        <v>0</v>
      </c>
      <c r="O6" s="213">
        <f>IFERROR(+BQ6/BR6-1,"")</f>
        <v>0.1206896551724137</v>
      </c>
      <c r="P6" s="216">
        <f>+O6</f>
        <v>0.1206896551724137</v>
      </c>
      <c r="Q6" s="213">
        <f t="shared" ref="Q6:Q17" si="13">IFERROR(+BU6/BV6-1,"")</f>
        <v>-0.18181818181818177</v>
      </c>
      <c r="R6" s="217">
        <f>+Q6</f>
        <v>-0.18181818181818177</v>
      </c>
      <c r="S6" s="215"/>
      <c r="T6" s="198">
        <v>-1</v>
      </c>
      <c r="U6" s="213">
        <f t="shared" ref="U6:U24" si="14">IFERROR(+BY6/BZ6-1,"")</f>
        <v>-0.56112499286073625</v>
      </c>
      <c r="V6" s="45">
        <f t="shared" ref="V6:V24" si="15">+U6</f>
        <v>-0.56112499286073625</v>
      </c>
      <c r="W6" s="213">
        <f>IFERROR(IF(CC6&lt;0.5,"",+CC6/CD6-1),"")</f>
        <v>-0.27927411319423467</v>
      </c>
      <c r="X6" s="45">
        <f t="shared" ref="X6:X24" si="16">+W6</f>
        <v>-0.27927411319423467</v>
      </c>
      <c r="Y6" s="213" t="str">
        <f t="shared" ref="Y6:Y25" si="17">IFERROR(+CG6/CH6-1,"")</f>
        <v/>
      </c>
      <c r="Z6" s="45" t="str">
        <f t="shared" ref="Z6:Z24" si="18">+Y6</f>
        <v/>
      </c>
      <c r="AA6" s="30"/>
      <c r="AB6" s="242" t="s">
        <v>459</v>
      </c>
      <c r="AC6" s="61" t="s">
        <v>289</v>
      </c>
      <c r="AD6" s="61" t="s">
        <v>289</v>
      </c>
      <c r="AE6" s="61" t="s">
        <v>289</v>
      </c>
      <c r="AF6" s="61" t="s">
        <v>289</v>
      </c>
      <c r="AG6" s="61" t="s">
        <v>289</v>
      </c>
      <c r="AH6" s="61" t="s">
        <v>289</v>
      </c>
      <c r="AI6" s="61" t="s">
        <v>289</v>
      </c>
      <c r="AJ6" s="61" t="s">
        <v>289</v>
      </c>
      <c r="AK6" s="61" t="s">
        <v>289</v>
      </c>
      <c r="AL6" s="61" t="s">
        <v>289</v>
      </c>
      <c r="AM6" s="61" t="s">
        <v>289</v>
      </c>
      <c r="AN6" s="61" t="s">
        <v>289</v>
      </c>
      <c r="AP6" s="28">
        <f>VLOOKUP($A6,historia!$A$5:$CM$24,+HLOOKUP(AP$2,historia!$A$3:$EC$4,2,FALSE),FALSE)</f>
        <v>5</v>
      </c>
      <c r="AQ6" s="28">
        <f>VLOOKUP($A6,historia!$A$5:$CM$24,+HLOOKUP(AQ$2,historia!$A$3:$EC$4,2,FALSE),FALSE)</f>
        <v>4</v>
      </c>
      <c r="AR6" s="28">
        <f>VLOOKUP($A6,historia!$A$5:$CM$24,+HLOOKUP(AR$2,historia!$A$3:$EC$4,2,FALSE),FALSE)</f>
        <v>4</v>
      </c>
      <c r="AS6" s="28">
        <f>VLOOKUP($A6,historia!$A$5:$CM$24,+HLOOKUP(AS$2,historia!$A$3:$EC$4,2,FALSE),FALSE)</f>
        <v>5</v>
      </c>
      <c r="AT6" s="58">
        <f>VLOOKUP($A6,historia!$A$5:$CM$24,+HLOOKUP(AT$2,historia!$A$3:$EC$4,2,FALSE),FALSE)</f>
        <v>5</v>
      </c>
      <c r="AU6" s="58">
        <f>VLOOKUP($A6,historia!$A$5:$CM$24,+HLOOKUP(AU$2,historia!$A$3:$EC$4,2,FALSE),FALSE)</f>
        <v>5</v>
      </c>
      <c r="AV6" s="58">
        <f>VLOOKUP($A6,historia!$A$5:$CM$24,+HLOOKUP(AV$2,historia!$A$3:$EC$4,2,FALSE),FALSE)</f>
        <v>5</v>
      </c>
      <c r="AW6" s="58">
        <f>VLOOKUP($A6,historia!$A$5:$CM$24,+HLOOKUP(AW$2,historia!$A$3:$EC$4,2,FALSE),FALSE)</f>
        <v>5</v>
      </c>
      <c r="AX6" s="58">
        <f>VLOOKUP($A6,historia!$A$5:$CM$24,+HLOOKUP(AX$2,historia!$A$3:$EC$4,2,FALSE),FALSE)</f>
        <v>5</v>
      </c>
      <c r="AY6" s="58">
        <f>VLOOKUP($A6,historia!$A$5:$CM$24,+HLOOKUP(AY$2,historia!$A$3:$EC$4,2,FALSE),FALSE)</f>
        <v>5</v>
      </c>
      <c r="AZ6" s="58">
        <f>VLOOKUP($A6,historia!$A$5:$CM$24,+HLOOKUP(AZ$2,historia!$A$3:$EC$4,2,FALSE),FALSE)</f>
        <v>4</v>
      </c>
      <c r="BA6" s="58">
        <f>VLOOKUP($A6,historia!$A$5:$CM$24,+HLOOKUP(BA$2,historia!$A$3:$EC$4,2,FALSE),FALSE)</f>
        <v>4</v>
      </c>
      <c r="BB6" s="30"/>
      <c r="BC6" s="141">
        <v>4</v>
      </c>
      <c r="BD6" t="str">
        <f t="shared" ref="BD6:BD24" si="19">+A6</f>
        <v>Algodón</v>
      </c>
      <c r="BE6">
        <f>+datos!P1</f>
        <v>16</v>
      </c>
      <c r="BF6" s="2" t="str">
        <f t="shared" si="4"/>
        <v>$/kg</v>
      </c>
      <c r="BG6" s="2">
        <f t="shared" si="4"/>
        <v>1088.6850731249999</v>
      </c>
      <c r="BH6" s="2">
        <f t="shared" si="4"/>
        <v>1603.0794791666667</v>
      </c>
      <c r="BI6" s="2">
        <f t="shared" si="4"/>
        <v>417.49792500000007</v>
      </c>
      <c r="BK6">
        <f>+datos!BY1</f>
        <v>77</v>
      </c>
      <c r="BL6" s="2">
        <f t="shared" ref="BL6:BN24" si="20">+VLOOKUP(BL$1,ran_dat,$BK6,FALSE)</f>
        <v>7658.3635046010786</v>
      </c>
      <c r="BM6" s="2">
        <f t="shared" si="20"/>
        <v>8543.9622857337545</v>
      </c>
      <c r="BN6" s="2">
        <f t="shared" si="20"/>
        <v>2375.2771436768157</v>
      </c>
      <c r="BP6" s="1">
        <f>+datos!DK1</f>
        <v>115</v>
      </c>
      <c r="BQ6" s="1">
        <f t="shared" ref="BQ6:BR24" si="21">+VLOOKUP(BQ$1,ran_dat,$BP6,FALSE)</f>
        <v>650000</v>
      </c>
      <c r="BR6" s="1">
        <f t="shared" si="21"/>
        <v>580000</v>
      </c>
      <c r="BT6" s="1">
        <f>+datos!FF1</f>
        <v>162</v>
      </c>
      <c r="BU6" s="1">
        <f t="shared" ref="BU6:BV24" si="22">+VLOOKUP(BU$1,ran_dat,$BT6,FALSE)</f>
        <v>900000</v>
      </c>
      <c r="BV6" s="1">
        <f t="shared" si="22"/>
        <v>1100000</v>
      </c>
      <c r="BX6" s="1">
        <f>+datos!JF1</f>
        <v>266</v>
      </c>
      <c r="BY6" s="1">
        <f>+SUM(CJ6:CU6)</f>
        <v>91.921059509999978</v>
      </c>
      <c r="BZ6" s="1">
        <f>+SUM(CV6:DG6)</f>
        <v>209.44701341999999</v>
      </c>
      <c r="CB6" s="1">
        <f>+datos!KK1</f>
        <v>297</v>
      </c>
      <c r="CC6" s="2">
        <f t="shared" ref="CC6:CC24" si="23">+SUM(DI6:DT6)</f>
        <v>90.243217649999991</v>
      </c>
      <c r="CD6" s="2">
        <f t="shared" ref="CD6:CD24" si="24">+SUM(DU6:EF6)</f>
        <v>125.21156698000001</v>
      </c>
      <c r="CF6" s="1">
        <f>+datos!HS1</f>
        <v>227</v>
      </c>
      <c r="CG6" s="1">
        <f t="shared" ref="CG6:CG24" si="25">+EH6</f>
        <v>0</v>
      </c>
      <c r="CH6" s="1">
        <f t="shared" ref="CH6:CH24" si="26">+ET6</f>
        <v>0</v>
      </c>
      <c r="CJ6" s="1">
        <f t="shared" ref="CJ6:CY21" si="27">+VLOOKUP(CJ$1,ran_dat,$BX6,FALSE)</f>
        <v>8.1062574399999985</v>
      </c>
      <c r="CK6" s="1">
        <f t="shared" si="27"/>
        <v>8.4463773399999997</v>
      </c>
      <c r="CL6" s="1">
        <f t="shared" si="27"/>
        <v>15.019774559999998</v>
      </c>
      <c r="CM6" s="1">
        <f t="shared" si="27"/>
        <v>14.398572559999998</v>
      </c>
      <c r="CN6" s="1">
        <f t="shared" si="27"/>
        <v>16.61514231</v>
      </c>
      <c r="CO6" s="1">
        <f t="shared" si="27"/>
        <v>14.3155891</v>
      </c>
      <c r="CP6" s="1">
        <f t="shared" si="27"/>
        <v>3.12980459</v>
      </c>
      <c r="CQ6" s="1">
        <f t="shared" si="27"/>
        <v>2.3595063199999995</v>
      </c>
      <c r="CR6" s="1">
        <f t="shared" si="27"/>
        <v>5.3927380000000005</v>
      </c>
      <c r="CS6" s="1">
        <f t="shared" si="27"/>
        <v>1.1182586999999999</v>
      </c>
      <c r="CT6" s="1">
        <f t="shared" si="27"/>
        <v>0.81365803999999953</v>
      </c>
      <c r="CU6" s="1">
        <f t="shared" si="27"/>
        <v>2.2053805500000006</v>
      </c>
      <c r="CV6" s="1">
        <f t="shared" si="27"/>
        <v>1.2234686099999996</v>
      </c>
      <c r="CW6" s="1">
        <f t="shared" si="27"/>
        <v>13.370618389999997</v>
      </c>
      <c r="CX6" s="1">
        <f t="shared" si="27"/>
        <v>14.835861399999999</v>
      </c>
      <c r="CY6" s="1">
        <f t="shared" si="27"/>
        <v>16.749589410000009</v>
      </c>
      <c r="CZ6" s="1">
        <f t="shared" ref="CZ6:DG21" si="28">+VLOOKUP(CZ$1,ran_dat,$BX6,FALSE)</f>
        <v>23.97822360000001</v>
      </c>
      <c r="DA6" s="1">
        <f t="shared" si="28"/>
        <v>23.329000269999998</v>
      </c>
      <c r="DB6" s="1">
        <f t="shared" si="28"/>
        <v>25.470338789999996</v>
      </c>
      <c r="DC6" s="1">
        <f t="shared" si="28"/>
        <v>16.607050090000005</v>
      </c>
      <c r="DD6" s="1">
        <f t="shared" si="28"/>
        <v>15.95050312</v>
      </c>
      <c r="DE6" s="1">
        <f t="shared" si="28"/>
        <v>11.570507999999998</v>
      </c>
      <c r="DF6" s="1">
        <f t="shared" si="28"/>
        <v>21.366391749999998</v>
      </c>
      <c r="DG6" s="1">
        <f t="shared" si="28"/>
        <v>24.995459990000008</v>
      </c>
      <c r="DI6" s="1">
        <f t="shared" ref="DI6:DX21" si="29">+VLOOKUP(DI$1,ran_dat,$CB6,FALSE)</f>
        <v>7.4159317900000001</v>
      </c>
      <c r="DJ6" s="1">
        <f t="shared" si="29"/>
        <v>3.5587731599999999</v>
      </c>
      <c r="DK6" s="1">
        <f t="shared" si="29"/>
        <v>6.9479693099999986</v>
      </c>
      <c r="DL6" s="1">
        <f t="shared" si="29"/>
        <v>7.5746309199999997</v>
      </c>
      <c r="DM6" s="1">
        <f t="shared" si="29"/>
        <v>8.1137987799999998</v>
      </c>
      <c r="DN6" s="1">
        <f t="shared" si="29"/>
        <v>9.2876289100000005</v>
      </c>
      <c r="DO6" s="1">
        <f t="shared" si="29"/>
        <v>7.69051375</v>
      </c>
      <c r="DP6" s="1">
        <f t="shared" si="29"/>
        <v>7.1486482300000009</v>
      </c>
      <c r="DQ6" s="1">
        <f t="shared" si="29"/>
        <v>9.1724036200000008</v>
      </c>
      <c r="DR6" s="1">
        <f t="shared" si="29"/>
        <v>6.8489806600000005</v>
      </c>
      <c r="DS6" s="1">
        <f t="shared" si="29"/>
        <v>8.39418884</v>
      </c>
      <c r="DT6" s="1">
        <f t="shared" si="29"/>
        <v>8.0897496800000006</v>
      </c>
      <c r="DU6" s="1">
        <f t="shared" si="29"/>
        <v>9.8858098699999992</v>
      </c>
      <c r="DV6" s="1">
        <f t="shared" si="29"/>
        <v>11.833805730000002</v>
      </c>
      <c r="DW6" s="1">
        <f t="shared" si="29"/>
        <v>13.016290730000001</v>
      </c>
      <c r="DX6" s="1">
        <f t="shared" si="29"/>
        <v>10.901897520000004</v>
      </c>
      <c r="DY6" s="1">
        <f t="shared" ref="DY6:EF20" si="30">+VLOOKUP(DY$1,ran_dat,$CB6,FALSE)</f>
        <v>10.864187659999995</v>
      </c>
      <c r="DZ6" s="1">
        <f t="shared" si="30"/>
        <v>11.783992419999999</v>
      </c>
      <c r="EA6" s="1">
        <f t="shared" si="30"/>
        <v>1.0941888799999999</v>
      </c>
      <c r="EB6" s="1">
        <f t="shared" si="30"/>
        <v>10.549588929999999</v>
      </c>
      <c r="EC6" s="1">
        <f t="shared" si="30"/>
        <v>10.17732034</v>
      </c>
      <c r="ED6" s="1">
        <f t="shared" si="30"/>
        <v>11.903523750000003</v>
      </c>
      <c r="EE6" s="1">
        <f t="shared" si="30"/>
        <v>14.274599060000003</v>
      </c>
      <c r="EF6" s="1">
        <f t="shared" si="30"/>
        <v>8.9263620900000014</v>
      </c>
      <c r="EH6" s="14">
        <f t="shared" ref="EH6:EW21" si="31">+VLOOKUP(EH$1,ran_dat,$CF6,FALSE)</f>
        <v>0</v>
      </c>
      <c r="EI6" s="14">
        <f t="shared" si="31"/>
        <v>0</v>
      </c>
      <c r="EJ6" s="1">
        <f t="shared" si="31"/>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ref="EX6:FE20" si="32">+VLOOKUP(EX$1,ran_dat,$CF6,FALSE)</f>
        <v>0</v>
      </c>
      <c r="EY6" s="1">
        <f t="shared" si="32"/>
        <v>0</v>
      </c>
      <c r="EZ6" s="1">
        <f t="shared" si="32"/>
        <v>0</v>
      </c>
      <c r="FA6" s="1">
        <f t="shared" si="32"/>
        <v>0</v>
      </c>
      <c r="FB6" s="1">
        <f t="shared" si="32"/>
        <v>0</v>
      </c>
      <c r="FC6" s="1">
        <f t="shared" si="32"/>
        <v>0</v>
      </c>
      <c r="FD6" s="1">
        <f t="shared" si="32"/>
        <v>0</v>
      </c>
      <c r="FE6" s="1">
        <f t="shared" si="32"/>
        <v>0</v>
      </c>
      <c r="FG6" s="162">
        <f t="shared" ref="FG6:FG24" si="33">+I6-K6</f>
        <v>-0.6165559910617544</v>
      </c>
    </row>
    <row r="7" spans="1:163" ht="30" customHeight="1">
      <c r="A7" s="226" t="s">
        <v>13</v>
      </c>
      <c r="B7" s="227"/>
      <c r="C7" s="228">
        <f t="shared" si="5"/>
        <v>0.99</v>
      </c>
      <c r="D7" s="229">
        <v>1</v>
      </c>
      <c r="E7" s="230">
        <f t="shared" si="6"/>
        <v>0.19444444444444442</v>
      </c>
      <c r="F7" s="231">
        <f t="shared" si="7"/>
        <v>-1.1697808445166213E-2</v>
      </c>
      <c r="G7" s="230">
        <f t="shared" si="8"/>
        <v>3.4950128230979427E-3</v>
      </c>
      <c r="H7" s="231">
        <f t="shared" si="9"/>
        <v>0.19094943162134648</v>
      </c>
      <c r="I7" s="230">
        <f t="shared" si="10"/>
        <v>7.349514563106796</v>
      </c>
      <c r="J7" s="231">
        <f t="shared" si="11"/>
        <v>4.807093615475873</v>
      </c>
      <c r="K7" s="230">
        <f t="shared" ref="K7:K24" si="34">IFERROR(+BL7/BN7-1,"")</f>
        <v>2.6006616968149454</v>
      </c>
      <c r="L7" s="231">
        <f t="shared" si="12"/>
        <v>4.7488528662918501</v>
      </c>
      <c r="M7" s="232"/>
      <c r="N7" s="229">
        <v>1</v>
      </c>
      <c r="O7" s="230">
        <f t="shared" ref="O7:O24" si="35">IFERROR(+BQ7/BR7-1,"")</f>
        <v>5.2631578947368363E-2</v>
      </c>
      <c r="P7" s="233">
        <f t="shared" ref="P7:P24" si="36">+O7</f>
        <v>5.2631578947368363E-2</v>
      </c>
      <c r="Q7" s="230">
        <f t="shared" si="13"/>
        <v>0</v>
      </c>
      <c r="R7" s="234">
        <f t="shared" ref="R7:R24" si="37">+Q7</f>
        <v>0</v>
      </c>
      <c r="S7" s="232"/>
      <c r="T7" s="229">
        <v>1</v>
      </c>
      <c r="U7" s="230">
        <f t="shared" si="14"/>
        <v>-0.19505057599259035</v>
      </c>
      <c r="V7" s="235">
        <f t="shared" si="15"/>
        <v>-0.19505057599259035</v>
      </c>
      <c r="W7" s="230">
        <f t="shared" ref="W7:W24" si="38">IFERROR(IF(CC7&lt;0.5,"",+CC7/CD7-1),"")</f>
        <v>0.84148500087480183</v>
      </c>
      <c r="X7" s="235">
        <f t="shared" si="16"/>
        <v>0.84148500087480183</v>
      </c>
      <c r="Y7" s="230">
        <f t="shared" si="17"/>
        <v>7.6923076923076872E-2</v>
      </c>
      <c r="Z7" s="235">
        <f t="shared" si="18"/>
        <v>7.6923076923076872E-2</v>
      </c>
      <c r="AA7" s="236"/>
      <c r="AB7" s="242" t="s">
        <v>460</v>
      </c>
      <c r="AC7" s="61" t="s">
        <v>289</v>
      </c>
      <c r="AD7" s="61" t="s">
        <v>289</v>
      </c>
      <c r="AE7" s="61" t="s">
        <v>289</v>
      </c>
      <c r="AF7" s="61" t="s">
        <v>289</v>
      </c>
      <c r="AG7" s="61" t="s">
        <v>289</v>
      </c>
      <c r="AH7" s="61" t="s">
        <v>289</v>
      </c>
      <c r="AI7" s="61" t="s">
        <v>289</v>
      </c>
      <c r="AJ7" s="61" t="s">
        <v>289</v>
      </c>
      <c r="AK7" s="61" t="s">
        <v>289</v>
      </c>
      <c r="AL7" s="61" t="s">
        <v>289</v>
      </c>
      <c r="AM7" s="61" t="s">
        <v>289</v>
      </c>
      <c r="AN7" s="61" t="s">
        <v>289</v>
      </c>
      <c r="AP7" s="28">
        <f>VLOOKUP($A7,historia!$A$5:$CM$24,+HLOOKUP(AP$2,historia!$A$3:$EC$4,2,FALSE),FALSE)</f>
        <v>4</v>
      </c>
      <c r="AQ7" s="28">
        <f>VLOOKUP($A7,historia!$A$5:$CM$24,+HLOOKUP(AQ$2,historia!$A$3:$EC$4,2,FALSE),FALSE)</f>
        <v>3</v>
      </c>
      <c r="AR7" s="28">
        <f>VLOOKUP($A7,historia!$A$5:$CM$24,+HLOOKUP(AR$2,historia!$A$3:$EC$4,2,FALSE),FALSE)</f>
        <v>3</v>
      </c>
      <c r="AS7" s="28">
        <f>VLOOKUP($A7,historia!$A$5:$CM$24,+HLOOKUP(AS$2,historia!$A$3:$EC$4,2,FALSE),FALSE)</f>
        <v>3</v>
      </c>
      <c r="AT7" s="58">
        <f>VLOOKUP($A7,historia!$A$5:$CM$24,+HLOOKUP(AT$2,historia!$A$3:$EC$4,2,FALSE),FALSE)</f>
        <v>3</v>
      </c>
      <c r="AU7" s="58">
        <f>VLOOKUP($A7,historia!$A$5:$CM$24,+HLOOKUP(AU$2,historia!$A$3:$EC$4,2,FALSE),FALSE)</f>
        <v>3</v>
      </c>
      <c r="AV7" s="58">
        <f>VLOOKUP($A7,historia!$A$5:$CM$24,+HLOOKUP(AV$2,historia!$A$3:$EC$4,2,FALSE),FALSE)</f>
        <v>3</v>
      </c>
      <c r="AW7" s="58">
        <f>VLOOKUP($A7,historia!$A$5:$CM$24,+HLOOKUP(AW$2,historia!$A$3:$EC$4,2,FALSE),FALSE)</f>
        <v>4</v>
      </c>
      <c r="AX7" s="58">
        <f>VLOOKUP($A7,historia!$A$5:$CM$24,+HLOOKUP(AX$2,historia!$A$3:$EC$4,2,FALSE),FALSE)</f>
        <v>5</v>
      </c>
      <c r="AY7" s="58">
        <f>VLOOKUP($A7,historia!$A$5:$CM$24,+HLOOKUP(AY$2,historia!$A$3:$EC$4,2,FALSE),FALSE)</f>
        <v>4</v>
      </c>
      <c r="AZ7" s="58">
        <f>VLOOKUP($A7,historia!$A$5:$CM$24,+HLOOKUP(AZ$2,historia!$A$3:$EC$4,2,FALSE),FALSE)</f>
        <v>3</v>
      </c>
      <c r="BA7" s="58">
        <f>VLOOKUP($A7,historia!$A$5:$CM$24,+HLOOKUP(BA$2,historia!$A$3:$EC$4,2,FALSE),FALSE)</f>
        <v>2</v>
      </c>
      <c r="BB7" s="30"/>
      <c r="BC7" s="141">
        <v>2</v>
      </c>
      <c r="BD7" t="str">
        <f t="shared" si="19"/>
        <v>Arroz</v>
      </c>
      <c r="BE7">
        <f>+datos!R1</f>
        <v>18</v>
      </c>
      <c r="BF7" s="2" t="str">
        <f t="shared" si="4"/>
        <v>$/t</v>
      </c>
      <c r="BG7" s="2">
        <f t="shared" si="4"/>
        <v>430000</v>
      </c>
      <c r="BH7" s="2">
        <f t="shared" si="4"/>
        <v>360000</v>
      </c>
      <c r="BI7" s="2">
        <f t="shared" si="4"/>
        <v>51500</v>
      </c>
      <c r="BK7">
        <f>+datos!BZ1</f>
        <v>78</v>
      </c>
      <c r="BL7" s="2">
        <f t="shared" si="20"/>
        <v>7093.036762161928</v>
      </c>
      <c r="BM7" s="2">
        <f t="shared" si="20"/>
        <v>7068.3328482194765</v>
      </c>
      <c r="BN7" s="2">
        <f t="shared" si="20"/>
        <v>1969.9259079063854</v>
      </c>
      <c r="BP7" s="1">
        <f>+datos!DM1</f>
        <v>117</v>
      </c>
      <c r="BQ7" s="1">
        <f t="shared" si="21"/>
        <v>200000</v>
      </c>
      <c r="BR7" s="1">
        <f t="shared" si="21"/>
        <v>190000</v>
      </c>
      <c r="BT7" s="1">
        <f>+datos!FH1</f>
        <v>164</v>
      </c>
      <c r="BU7" s="1">
        <f t="shared" si="22"/>
        <v>1200000</v>
      </c>
      <c r="BV7" s="1">
        <f t="shared" si="22"/>
        <v>1200000</v>
      </c>
      <c r="BX7" s="1">
        <f>+datos!JG1</f>
        <v>267</v>
      </c>
      <c r="BY7" s="1">
        <f t="shared" ref="BY7:BY24" si="39">+SUM(CJ7:CU7)</f>
        <v>228.70991339</v>
      </c>
      <c r="BZ7" s="1">
        <f t="shared" ref="BZ7:BZ24" si="40">+SUM(CV7:DG7)</f>
        <v>284.12954474999998</v>
      </c>
      <c r="CB7" s="1">
        <f>+datos!KL1</f>
        <v>298</v>
      </c>
      <c r="CC7" s="2">
        <f t="shared" si="23"/>
        <v>1.50972763</v>
      </c>
      <c r="CD7" s="2">
        <f t="shared" si="24"/>
        <v>0.81984248000000015</v>
      </c>
      <c r="CF7" s="1">
        <f>+datos!HU1</f>
        <v>229</v>
      </c>
      <c r="CG7" s="1">
        <f t="shared" si="25"/>
        <v>700000</v>
      </c>
      <c r="CH7" s="1">
        <f t="shared" si="26"/>
        <v>650000</v>
      </c>
      <c r="CJ7" s="1">
        <f t="shared" si="27"/>
        <v>10.68224592</v>
      </c>
      <c r="CK7" s="1">
        <f t="shared" si="27"/>
        <v>15.82785018</v>
      </c>
      <c r="CL7" s="1">
        <f t="shared" si="27"/>
        <v>16.180063639999997</v>
      </c>
      <c r="CM7" s="1">
        <f t="shared" si="27"/>
        <v>11.823193960000001</v>
      </c>
      <c r="CN7" s="1">
        <f t="shared" si="27"/>
        <v>12.24327484</v>
      </c>
      <c r="CO7" s="1">
        <f t="shared" si="27"/>
        <v>9.600226039999999</v>
      </c>
      <c r="CP7" s="1">
        <f t="shared" si="27"/>
        <v>26.338491399999999</v>
      </c>
      <c r="CQ7" s="1">
        <f t="shared" si="27"/>
        <v>21.418726320000001</v>
      </c>
      <c r="CR7" s="1">
        <f t="shared" si="27"/>
        <v>22.255101539999998</v>
      </c>
      <c r="CS7" s="1">
        <f t="shared" si="27"/>
        <v>44.848914040000004</v>
      </c>
      <c r="CT7" s="1">
        <f t="shared" si="27"/>
        <v>20.357260950000001</v>
      </c>
      <c r="CU7" s="1">
        <f t="shared" si="27"/>
        <v>17.134564559999998</v>
      </c>
      <c r="CV7" s="1">
        <f t="shared" si="27"/>
        <v>28.8463791</v>
      </c>
      <c r="CW7" s="1">
        <f t="shared" si="27"/>
        <v>29.656605189999997</v>
      </c>
      <c r="CX7" s="1">
        <f t="shared" si="27"/>
        <v>22.47426432</v>
      </c>
      <c r="CY7" s="1">
        <f t="shared" si="27"/>
        <v>15.997414339999999</v>
      </c>
      <c r="CZ7" s="1">
        <f t="shared" si="28"/>
        <v>24.494655209999998</v>
      </c>
      <c r="DA7" s="1">
        <f t="shared" si="28"/>
        <v>19.108820979999997</v>
      </c>
      <c r="DB7" s="1">
        <f t="shared" si="28"/>
        <v>27.47614467</v>
      </c>
      <c r="DC7" s="1">
        <f t="shared" si="28"/>
        <v>23.805809289999999</v>
      </c>
      <c r="DD7" s="1">
        <f t="shared" si="28"/>
        <v>20.76359953</v>
      </c>
      <c r="DE7" s="1">
        <f t="shared" si="28"/>
        <v>34.242525930000006</v>
      </c>
      <c r="DF7" s="1">
        <f t="shared" si="28"/>
        <v>22.796151390000002</v>
      </c>
      <c r="DG7" s="1">
        <f t="shared" si="28"/>
        <v>14.4671748</v>
      </c>
      <c r="DI7" s="1">
        <f t="shared" si="29"/>
        <v>0.8256</v>
      </c>
      <c r="DJ7" s="1">
        <f t="shared" si="29"/>
        <v>3.973985E-2</v>
      </c>
      <c r="DK7" s="1">
        <f t="shared" si="29"/>
        <v>3.3462720000000001E-2</v>
      </c>
      <c r="DL7" s="1">
        <f t="shared" si="29"/>
        <v>0.19098301000000001</v>
      </c>
      <c r="DM7" s="1">
        <f t="shared" si="29"/>
        <v>0.10767879</v>
      </c>
      <c r="DN7" s="1">
        <f t="shared" si="29"/>
        <v>5.5773490000000002E-2</v>
      </c>
      <c r="DO7" s="1">
        <f t="shared" si="29"/>
        <v>8.7189080000000002E-2</v>
      </c>
      <c r="DP7" s="1">
        <f t="shared" si="29"/>
        <v>3.9243889999999997E-2</v>
      </c>
      <c r="DQ7" s="1">
        <f t="shared" si="29"/>
        <v>0.10892111</v>
      </c>
      <c r="DR7" s="1">
        <f t="shared" si="29"/>
        <v>1.8036480000000001E-2</v>
      </c>
      <c r="DS7" s="1">
        <f t="shared" si="29"/>
        <v>2.0500000000000002E-3</v>
      </c>
      <c r="DT7" s="1">
        <f t="shared" si="29"/>
        <v>1.0492100000000001E-3</v>
      </c>
      <c r="DU7" s="1">
        <f t="shared" si="29"/>
        <v>2.7127990000000001E-2</v>
      </c>
      <c r="DV7" s="1">
        <f t="shared" si="29"/>
        <v>2.9352990000000002E-2</v>
      </c>
      <c r="DW7" s="1">
        <f t="shared" si="29"/>
        <v>4.3800639999999995E-2</v>
      </c>
      <c r="DX7" s="1">
        <f t="shared" si="29"/>
        <v>2.6976839999999998E-2</v>
      </c>
      <c r="DY7" s="1">
        <f t="shared" si="30"/>
        <v>0.38784603000000006</v>
      </c>
      <c r="DZ7" s="1">
        <f t="shared" si="30"/>
        <v>0.13118235</v>
      </c>
      <c r="EA7" s="1">
        <f t="shared" si="30"/>
        <v>1.8151110000000002E-2</v>
      </c>
      <c r="EB7" s="1">
        <f t="shared" si="30"/>
        <v>1.4073269999999999E-2</v>
      </c>
      <c r="EC7" s="1">
        <f t="shared" si="30"/>
        <v>1.6701199999999999E-2</v>
      </c>
      <c r="ED7" s="1">
        <f t="shared" si="30"/>
        <v>4.6643610000000002E-2</v>
      </c>
      <c r="EE7" s="1">
        <f t="shared" si="30"/>
        <v>7.7786450000000007E-2</v>
      </c>
      <c r="EF7" s="1">
        <f t="shared" si="30"/>
        <v>2.0000000000000001E-4</v>
      </c>
      <c r="EH7" s="14">
        <f t="shared" si="31"/>
        <v>700000</v>
      </c>
      <c r="EI7" s="14">
        <f t="shared" si="31"/>
        <v>700000</v>
      </c>
      <c r="EJ7" s="1">
        <f t="shared" si="31"/>
        <v>700000</v>
      </c>
      <c r="EK7" s="1">
        <f t="shared" si="31"/>
        <v>700000</v>
      </c>
      <c r="EL7" s="1">
        <f t="shared" si="31"/>
        <v>700000</v>
      </c>
      <c r="EM7" s="1">
        <f t="shared" si="31"/>
        <v>700000</v>
      </c>
      <c r="EN7" s="1">
        <f t="shared" si="31"/>
        <v>700000</v>
      </c>
      <c r="EO7" s="1">
        <f t="shared" si="31"/>
        <v>700000</v>
      </c>
      <c r="EP7" s="1">
        <f t="shared" si="31"/>
        <v>700000</v>
      </c>
      <c r="EQ7" s="1">
        <f t="shared" si="31"/>
        <v>700000</v>
      </c>
      <c r="ER7" s="1">
        <f t="shared" si="31"/>
        <v>700000</v>
      </c>
      <c r="ES7" s="1">
        <f t="shared" si="31"/>
        <v>650000</v>
      </c>
      <c r="ET7" s="1">
        <f t="shared" si="31"/>
        <v>650000</v>
      </c>
      <c r="EU7" s="1">
        <f t="shared" si="31"/>
        <v>650000</v>
      </c>
      <c r="EV7" s="1">
        <f t="shared" si="31"/>
        <v>650000</v>
      </c>
      <c r="EW7" s="1">
        <f t="shared" si="31"/>
        <v>650000</v>
      </c>
      <c r="EX7" s="1">
        <f t="shared" si="32"/>
        <v>650000</v>
      </c>
      <c r="EY7" s="1">
        <f t="shared" si="32"/>
        <v>650000</v>
      </c>
      <c r="EZ7" s="1">
        <f t="shared" si="32"/>
        <v>650000</v>
      </c>
      <c r="FA7" s="1">
        <f t="shared" si="32"/>
        <v>650000</v>
      </c>
      <c r="FB7" s="1">
        <f t="shared" si="32"/>
        <v>650000</v>
      </c>
      <c r="FC7" s="1">
        <f t="shared" si="32"/>
        <v>650000</v>
      </c>
      <c r="FD7" s="1">
        <f t="shared" si="32"/>
        <v>650000</v>
      </c>
      <c r="FE7" s="1">
        <f t="shared" si="32"/>
        <v>700000</v>
      </c>
      <c r="FG7" s="162">
        <f t="shared" si="33"/>
        <v>4.7488528662918501</v>
      </c>
    </row>
    <row r="8" spans="1:163" ht="30" customHeight="1">
      <c r="A8" s="222" t="s">
        <v>215</v>
      </c>
      <c r="B8" s="212"/>
      <c r="C8" s="156">
        <f t="shared" si="5"/>
        <v>0.33</v>
      </c>
      <c r="D8" s="198">
        <v>1</v>
      </c>
      <c r="E8" s="213">
        <f t="shared" si="6"/>
        <v>8.0175061765625166E-2</v>
      </c>
      <c r="F8" s="214">
        <f t="shared" si="7"/>
        <v>-0.12596719112398547</v>
      </c>
      <c r="G8" s="213">
        <f t="shared" si="8"/>
        <v>4.8006346131304722E-2</v>
      </c>
      <c r="H8" s="214">
        <f t="shared" si="9"/>
        <v>3.2168715634320444E-2</v>
      </c>
      <c r="I8" s="213">
        <f t="shared" si="10"/>
        <v>3.0304336783475945</v>
      </c>
      <c r="J8" s="214">
        <f t="shared" si="11"/>
        <v>0.48801273071667195</v>
      </c>
      <c r="K8" s="213">
        <f t="shared" si="34"/>
        <v>2.1764887240788564</v>
      </c>
      <c r="L8" s="214">
        <f t="shared" si="12"/>
        <v>0.85394495426873807</v>
      </c>
      <c r="M8" s="215"/>
      <c r="N8" s="198">
        <v>0</v>
      </c>
      <c r="O8" s="213">
        <f t="shared" si="35"/>
        <v>-1.6831046312178355E-2</v>
      </c>
      <c r="P8" s="216">
        <f t="shared" si="36"/>
        <v>-1.6831046312178355E-2</v>
      </c>
      <c r="Q8" s="213">
        <f t="shared" si="13"/>
        <v>-1.7894290157138504E-2</v>
      </c>
      <c r="R8" s="217">
        <f t="shared" si="37"/>
        <v>-1.7894290157138504E-2</v>
      </c>
      <c r="S8" s="215"/>
      <c r="T8" s="198">
        <v>0</v>
      </c>
      <c r="U8" s="213">
        <f>IFERROR(+BY8/BZ8-1,"")</f>
        <v>-0.43057560166412212</v>
      </c>
      <c r="V8" s="45">
        <f t="shared" si="15"/>
        <v>-0.43057560166412212</v>
      </c>
      <c r="W8" s="213">
        <f t="shared" si="38"/>
        <v>-0.11768333142551546</v>
      </c>
      <c r="X8" s="45">
        <f t="shared" si="16"/>
        <v>-0.11768333142551546</v>
      </c>
      <c r="Y8" s="213">
        <f t="shared" si="17"/>
        <v>6.1474513235615813E-2</v>
      </c>
      <c r="Z8" s="45">
        <f t="shared" si="18"/>
        <v>6.1474513235615813E-2</v>
      </c>
      <c r="AA8" s="30"/>
      <c r="AB8" s="242" t="s">
        <v>461</v>
      </c>
      <c r="AC8" s="61" t="s">
        <v>289</v>
      </c>
      <c r="AD8" s="61" t="s">
        <v>289</v>
      </c>
      <c r="AE8" s="61" t="s">
        <v>289</v>
      </c>
      <c r="AF8" s="61" t="s">
        <v>289</v>
      </c>
      <c r="AG8" s="61" t="s">
        <v>289</v>
      </c>
      <c r="AH8" s="61" t="s">
        <v>289</v>
      </c>
      <c r="AI8" s="61" t="s">
        <v>289</v>
      </c>
      <c r="AJ8" s="61" t="s">
        <v>289</v>
      </c>
      <c r="AK8" s="61" t="s">
        <v>289</v>
      </c>
      <c r="AL8" s="61" t="s">
        <v>289</v>
      </c>
      <c r="AM8" s="61" t="s">
        <v>289</v>
      </c>
      <c r="AN8" s="61" t="s">
        <v>289</v>
      </c>
      <c r="AP8" s="28">
        <f>VLOOKUP($A8,historia!$A$5:$CM$24,+HLOOKUP(AP$2,historia!$A$3:$EC$4,2,FALSE),FALSE)</f>
        <v>2</v>
      </c>
      <c r="AQ8" s="28">
        <f>VLOOKUP($A8,historia!$A$5:$CM$24,+HLOOKUP(AQ$2,historia!$A$3:$EC$4,2,FALSE),FALSE)</f>
        <v>2</v>
      </c>
      <c r="AR8" s="28">
        <f>VLOOKUP($A8,historia!$A$5:$CM$24,+HLOOKUP(AR$2,historia!$A$3:$EC$4,2,FALSE),FALSE)</f>
        <v>2</v>
      </c>
      <c r="AS8" s="28">
        <f>VLOOKUP($A8,historia!$A$5:$CM$24,+HLOOKUP(AS$2,historia!$A$3:$EC$4,2,FALSE),FALSE)</f>
        <v>2</v>
      </c>
      <c r="AT8" s="58">
        <f>VLOOKUP($A8,historia!$A$5:$CM$24,+HLOOKUP(AT$2,historia!$A$3:$EC$4,2,FALSE),FALSE)</f>
        <v>3</v>
      </c>
      <c r="AU8" s="58">
        <f>VLOOKUP($A8,historia!$A$5:$CM$24,+HLOOKUP(AU$2,historia!$A$3:$EC$4,2,FALSE),FALSE)</f>
        <v>3</v>
      </c>
      <c r="AV8" s="58">
        <f>VLOOKUP($A8,historia!$A$5:$CM$24,+HLOOKUP(AV$2,historia!$A$3:$EC$4,2,FALSE),FALSE)</f>
        <v>3</v>
      </c>
      <c r="AW8" s="58">
        <f>VLOOKUP($A8,historia!$A$5:$CM$24,+HLOOKUP(AW$2,historia!$A$3:$EC$4,2,FALSE),FALSE)</f>
        <v>4</v>
      </c>
      <c r="AX8" s="58">
        <f>VLOOKUP($A8,historia!$A$5:$CM$24,+HLOOKUP(AX$2,historia!$A$3:$EC$4,2,FALSE),FALSE)</f>
        <v>4</v>
      </c>
      <c r="AY8" s="58">
        <f>VLOOKUP($A8,historia!$A$5:$CM$24,+HLOOKUP(AY$2,historia!$A$3:$EC$4,2,FALSE),FALSE)</f>
        <v>4</v>
      </c>
      <c r="AZ8" s="58">
        <f>VLOOKUP($A8,historia!$A$5:$CM$24,+HLOOKUP(AZ$2,historia!$A$3:$EC$4,2,FALSE),FALSE)</f>
        <v>5</v>
      </c>
      <c r="BA8" s="58">
        <f>VLOOKUP($A8,historia!$A$5:$CM$24,+HLOOKUP(BA$2,historia!$A$3:$EC$4,2,FALSE),FALSE)</f>
        <v>2</v>
      </c>
      <c r="BB8" s="30"/>
      <c r="BC8" s="141">
        <v>2</v>
      </c>
      <c r="BD8" t="str">
        <f t="shared" si="19"/>
        <v>Aves</v>
      </c>
      <c r="BE8">
        <f>+datos!BQ1</f>
        <v>69</v>
      </c>
      <c r="BF8" s="2" t="str">
        <f t="shared" si="4"/>
        <v>prom pond huevo-carne</v>
      </c>
      <c r="BG8" s="2">
        <f t="shared" si="4"/>
        <v>1081.3308490817144</v>
      </c>
      <c r="BH8" s="2">
        <f t="shared" si="4"/>
        <v>1001.07</v>
      </c>
      <c r="BI8" s="2">
        <f t="shared" si="4"/>
        <v>268.29143843524071</v>
      </c>
      <c r="BK8">
        <f>+datos!DG1</f>
        <v>111</v>
      </c>
      <c r="BL8" s="2">
        <f t="shared" si="20"/>
        <v>6665.0951996418353</v>
      </c>
      <c r="BM8" s="2">
        <f t="shared" si="20"/>
        <v>6359.785152299798</v>
      </c>
      <c r="BN8" s="2">
        <f t="shared" si="20"/>
        <v>2098.2587311323236</v>
      </c>
      <c r="BP8" s="1">
        <f>+datos!EP1</f>
        <v>146</v>
      </c>
      <c r="BQ8" s="1">
        <f t="shared" si="21"/>
        <v>9171</v>
      </c>
      <c r="BR8" s="1">
        <f t="shared" si="21"/>
        <v>9328</v>
      </c>
      <c r="BT8" s="1">
        <f>+datos!HM1</f>
        <v>221</v>
      </c>
      <c r="BU8" s="1">
        <f t="shared" si="22"/>
        <v>2360567.56</v>
      </c>
      <c r="BV8" s="1">
        <f t="shared" si="22"/>
        <v>2403577.88</v>
      </c>
      <c r="BX8" s="1">
        <f>+datos!KF1</f>
        <v>292</v>
      </c>
      <c r="BY8" s="1">
        <f t="shared" si="39"/>
        <v>343.40729634000002</v>
      </c>
      <c r="BZ8" s="1">
        <f t="shared" si="40"/>
        <v>603.07794563000004</v>
      </c>
      <c r="CB8" s="1">
        <f>+datos!LK1</f>
        <v>323</v>
      </c>
      <c r="CC8" s="2">
        <f t="shared" si="23"/>
        <v>44.008974459999997</v>
      </c>
      <c r="CD8" s="2">
        <f t="shared" si="24"/>
        <v>49.878888189999998</v>
      </c>
      <c r="CF8" s="1">
        <f>+datos!IL1</f>
        <v>246</v>
      </c>
      <c r="CG8" s="1">
        <f t="shared" si="25"/>
        <v>48.52</v>
      </c>
      <c r="CH8" s="1">
        <f t="shared" si="26"/>
        <v>45.71</v>
      </c>
      <c r="CJ8" s="1">
        <f t="shared" si="27"/>
        <v>32.51792974</v>
      </c>
      <c r="CK8" s="1">
        <f t="shared" si="27"/>
        <v>35.210116300000003</v>
      </c>
      <c r="CL8" s="1">
        <f t="shared" si="27"/>
        <v>30.603465830000005</v>
      </c>
      <c r="CM8" s="1">
        <f t="shared" si="27"/>
        <v>35.017556320000004</v>
      </c>
      <c r="CN8" s="1">
        <f t="shared" si="27"/>
        <v>24.343011479999998</v>
      </c>
      <c r="CO8" s="1">
        <f t="shared" si="27"/>
        <v>32.053320659999997</v>
      </c>
      <c r="CP8" s="1">
        <f t="shared" si="27"/>
        <v>25.827296739999998</v>
      </c>
      <c r="CQ8" s="1">
        <f t="shared" si="27"/>
        <v>20.281404040000002</v>
      </c>
      <c r="CR8" s="1">
        <f t="shared" si="27"/>
        <v>20.776878260000004</v>
      </c>
      <c r="CS8" s="1">
        <f t="shared" si="27"/>
        <v>18.00257775</v>
      </c>
      <c r="CT8" s="1">
        <f t="shared" si="27"/>
        <v>18.061317600000002</v>
      </c>
      <c r="CU8" s="1">
        <f t="shared" si="27"/>
        <v>50.712421620000008</v>
      </c>
      <c r="CV8" s="1">
        <f t="shared" si="27"/>
        <v>45.90045215</v>
      </c>
      <c r="CW8" s="1">
        <f t="shared" si="27"/>
        <v>47.273016750000004</v>
      </c>
      <c r="CX8" s="1">
        <f t="shared" si="27"/>
        <v>53.715518810000006</v>
      </c>
      <c r="CY8" s="1">
        <f t="shared" si="27"/>
        <v>52.265948369999997</v>
      </c>
      <c r="CZ8" s="1">
        <f t="shared" si="28"/>
        <v>57.828382590000011</v>
      </c>
      <c r="DA8" s="1">
        <f t="shared" si="28"/>
        <v>63.168661010000001</v>
      </c>
      <c r="DB8" s="1">
        <f t="shared" si="28"/>
        <v>52.541029930000001</v>
      </c>
      <c r="DC8" s="1">
        <f t="shared" si="28"/>
        <v>52.931487239999996</v>
      </c>
      <c r="DD8" s="1">
        <f t="shared" si="28"/>
        <v>47.642593229999996</v>
      </c>
      <c r="DE8" s="1">
        <f t="shared" si="28"/>
        <v>46.530829869999998</v>
      </c>
      <c r="DF8" s="1">
        <f t="shared" si="28"/>
        <v>44.812522269999995</v>
      </c>
      <c r="DG8" s="1">
        <f t="shared" si="28"/>
        <v>38.467503409999999</v>
      </c>
      <c r="DI8" s="1">
        <f t="shared" si="29"/>
        <v>4.07849503</v>
      </c>
      <c r="DJ8" s="1">
        <f t="shared" si="29"/>
        <v>2.60999925</v>
      </c>
      <c r="DK8" s="1">
        <f t="shared" si="29"/>
        <v>4.3280037599999996</v>
      </c>
      <c r="DL8" s="1">
        <f t="shared" si="29"/>
        <v>3.9253711099999995</v>
      </c>
      <c r="DM8" s="1">
        <f t="shared" si="29"/>
        <v>2.66724104</v>
      </c>
      <c r="DN8" s="1">
        <f t="shared" si="29"/>
        <v>1.3237541899999998</v>
      </c>
      <c r="DO8" s="1">
        <f t="shared" si="29"/>
        <v>4.0034089300000009</v>
      </c>
      <c r="DP8" s="1">
        <f t="shared" si="29"/>
        <v>4.2620939999999994</v>
      </c>
      <c r="DQ8" s="1">
        <f t="shared" si="29"/>
        <v>6.8027163900000005</v>
      </c>
      <c r="DR8" s="1">
        <f t="shared" si="29"/>
        <v>1.73014019</v>
      </c>
      <c r="DS8" s="1">
        <f t="shared" si="29"/>
        <v>6.4691643499999998</v>
      </c>
      <c r="DT8" s="1">
        <f t="shared" si="29"/>
        <v>1.80858622</v>
      </c>
      <c r="DU8" s="1">
        <f t="shared" si="29"/>
        <v>3.7432468400000003</v>
      </c>
      <c r="DV8" s="1">
        <f t="shared" si="29"/>
        <v>0.59472115000000003</v>
      </c>
      <c r="DW8" s="1">
        <f t="shared" si="29"/>
        <v>5.9863547400000003</v>
      </c>
      <c r="DX8" s="1">
        <f t="shared" si="29"/>
        <v>1.02297792</v>
      </c>
      <c r="DY8" s="1">
        <f t="shared" si="30"/>
        <v>3.9990310300000003</v>
      </c>
      <c r="DZ8" s="1">
        <f t="shared" si="30"/>
        <v>3.76265019</v>
      </c>
      <c r="EA8" s="1">
        <f t="shared" si="30"/>
        <v>2.4988292100000002</v>
      </c>
      <c r="EB8" s="1">
        <f t="shared" si="30"/>
        <v>6.8785433699999992</v>
      </c>
      <c r="EC8" s="1">
        <f t="shared" si="30"/>
        <v>3.7076194099999999</v>
      </c>
      <c r="ED8" s="1">
        <f t="shared" si="30"/>
        <v>6.7897798000000007</v>
      </c>
      <c r="EE8" s="1">
        <f t="shared" si="30"/>
        <v>6.0188496399999991</v>
      </c>
      <c r="EF8" s="1">
        <f t="shared" si="30"/>
        <v>4.87628489</v>
      </c>
      <c r="EH8" s="14">
        <f t="shared" si="31"/>
        <v>48.52</v>
      </c>
      <c r="EI8" s="14">
        <f t="shared" si="31"/>
        <v>45.85</v>
      </c>
      <c r="EJ8" s="1">
        <f t="shared" si="31"/>
        <v>46.03</v>
      </c>
      <c r="EK8" s="1">
        <f t="shared" si="31"/>
        <v>46.13</v>
      </c>
      <c r="EL8" s="1">
        <f t="shared" si="31"/>
        <v>45.88</v>
      </c>
      <c r="EM8" s="1">
        <f t="shared" si="31"/>
        <v>46.09</v>
      </c>
      <c r="EN8" s="1">
        <f t="shared" si="31"/>
        <v>45.9</v>
      </c>
      <c r="EO8" s="1">
        <f t="shared" si="31"/>
        <v>46</v>
      </c>
      <c r="EP8" s="1">
        <f t="shared" si="31"/>
        <v>45.99</v>
      </c>
      <c r="EQ8" s="1">
        <f t="shared" si="31"/>
        <v>45.74</v>
      </c>
      <c r="ER8" s="1">
        <f t="shared" si="31"/>
        <v>45.46</v>
      </c>
      <c r="ES8" s="1">
        <f t="shared" si="31"/>
        <v>45.56</v>
      </c>
      <c r="ET8" s="1">
        <f t="shared" si="31"/>
        <v>45.71</v>
      </c>
      <c r="EU8" s="1">
        <f t="shared" si="31"/>
        <v>45.71</v>
      </c>
      <c r="EV8" s="1">
        <f t="shared" si="31"/>
        <v>46.04</v>
      </c>
      <c r="EW8" s="1">
        <f t="shared" si="31"/>
        <v>45.9</v>
      </c>
      <c r="EX8" s="1">
        <f t="shared" si="32"/>
        <v>48.39</v>
      </c>
      <c r="EY8" s="1">
        <f t="shared" si="32"/>
        <v>47.03</v>
      </c>
      <c r="EZ8" s="1">
        <f t="shared" si="32"/>
        <v>45.75</v>
      </c>
      <c r="FA8" s="1">
        <f t="shared" si="32"/>
        <v>45.91</v>
      </c>
      <c r="FB8" s="1">
        <f t="shared" si="32"/>
        <v>44.361936471267661</v>
      </c>
      <c r="FC8" s="1">
        <f t="shared" si="32"/>
        <v>44.13</v>
      </c>
      <c r="FD8" s="1">
        <f t="shared" si="32"/>
        <v>46.9</v>
      </c>
      <c r="FE8" s="1">
        <f t="shared" si="32"/>
        <v>45.48</v>
      </c>
      <c r="FG8" s="162">
        <f t="shared" si="33"/>
        <v>0.85394495426873807</v>
      </c>
    </row>
    <row r="9" spans="1:163" ht="30" customHeight="1">
      <c r="A9" s="226" t="s">
        <v>77</v>
      </c>
      <c r="B9" s="227"/>
      <c r="C9" s="228">
        <v>1</v>
      </c>
      <c r="D9" s="229">
        <v>1</v>
      </c>
      <c r="E9" s="230">
        <f t="shared" si="6"/>
        <v>-8.0149563370334187E-3</v>
      </c>
      <c r="F9" s="231">
        <f t="shared" si="7"/>
        <v>-0.21415720922664405</v>
      </c>
      <c r="G9" s="230">
        <f t="shared" si="8"/>
        <v>5.8447208823768415E-2</v>
      </c>
      <c r="H9" s="231">
        <f t="shared" si="9"/>
        <v>-6.6462165160801834E-2</v>
      </c>
      <c r="I9" s="230">
        <f t="shared" si="10"/>
        <v>3.8799739332464451</v>
      </c>
      <c r="J9" s="231">
        <f t="shared" si="11"/>
        <v>1.3375529856155226</v>
      </c>
      <c r="K9" s="230">
        <f t="shared" si="34"/>
        <v>2.640205011238185</v>
      </c>
      <c r="L9" s="231">
        <f t="shared" si="12"/>
        <v>1.2397689220082602</v>
      </c>
      <c r="M9" s="232"/>
      <c r="N9" s="229">
        <v>1</v>
      </c>
      <c r="O9" s="230">
        <f t="shared" si="35"/>
        <v>-2.6892205286269899E-2</v>
      </c>
      <c r="P9" s="233">
        <f t="shared" si="36"/>
        <v>-2.6892205286269899E-2</v>
      </c>
      <c r="Q9" s="230">
        <f t="shared" si="13"/>
        <v>3.2644348036097837E-2</v>
      </c>
      <c r="R9" s="234">
        <f t="shared" si="37"/>
        <v>3.2644348036097837E-2</v>
      </c>
      <c r="S9" s="232"/>
      <c r="T9" s="229">
        <v>-2</v>
      </c>
      <c r="U9" s="230">
        <f t="shared" si="14"/>
        <v>-0.16331029158412758</v>
      </c>
      <c r="V9" s="235">
        <f t="shared" si="15"/>
        <v>-0.16331029158412758</v>
      </c>
      <c r="W9" s="230">
        <f t="shared" si="38"/>
        <v>-0.45754962238802277</v>
      </c>
      <c r="X9" s="235">
        <f t="shared" si="16"/>
        <v>-0.45754962238802277</v>
      </c>
      <c r="Y9" s="230">
        <f t="shared" si="17"/>
        <v>6.9872585285655653E-2</v>
      </c>
      <c r="Z9" s="235">
        <f t="shared" si="18"/>
        <v>6.9872585285655653E-2</v>
      </c>
      <c r="AA9" s="238"/>
      <c r="AB9" s="242" t="s">
        <v>462</v>
      </c>
      <c r="AC9" s="61" t="s">
        <v>289</v>
      </c>
      <c r="AD9" s="61" t="s">
        <v>289</v>
      </c>
      <c r="AE9" s="61" t="s">
        <v>289</v>
      </c>
      <c r="AF9" s="61" t="s">
        <v>289</v>
      </c>
      <c r="AG9" s="61" t="s">
        <v>289</v>
      </c>
      <c r="AH9" s="61" t="s">
        <v>289</v>
      </c>
      <c r="AI9" s="61" t="s">
        <v>289</v>
      </c>
      <c r="AJ9" s="61" t="s">
        <v>289</v>
      </c>
      <c r="AK9" s="61" t="s">
        <v>289</v>
      </c>
      <c r="AL9" s="61" t="s">
        <v>289</v>
      </c>
      <c r="AM9" s="61" t="s">
        <v>289</v>
      </c>
      <c r="AN9" s="61" t="s">
        <v>289</v>
      </c>
      <c r="AP9" s="28">
        <f>VLOOKUP($A9,historia!$A$5:$CM$24,+HLOOKUP(AP$2,historia!$A$3:$EC$4,2,FALSE),FALSE)</f>
        <v>3</v>
      </c>
      <c r="AQ9" s="28">
        <f>VLOOKUP($A9,historia!$A$5:$CM$24,+HLOOKUP(AQ$2,historia!$A$3:$EC$4,2,FALSE),FALSE)</f>
        <v>4</v>
      </c>
      <c r="AR9" s="28">
        <f>VLOOKUP($A9,historia!$A$5:$CM$24,+HLOOKUP(AR$2,historia!$A$3:$EC$4,2,FALSE),FALSE)</f>
        <v>4</v>
      </c>
      <c r="AS9" s="28">
        <f>VLOOKUP($A9,historia!$A$5:$CM$24,+HLOOKUP(AS$2,historia!$A$3:$EC$4,2,FALSE),FALSE)</f>
        <v>3</v>
      </c>
      <c r="AT9" s="58">
        <f>VLOOKUP($A9,historia!$A$5:$CM$24,+HLOOKUP(AT$2,historia!$A$3:$EC$4,2,FALSE),FALSE)</f>
        <v>4</v>
      </c>
      <c r="AU9" s="58">
        <f>VLOOKUP($A9,historia!$A$5:$CM$24,+HLOOKUP(AU$2,historia!$A$3:$EC$4,2,FALSE),FALSE)</f>
        <v>4</v>
      </c>
      <c r="AV9" s="58">
        <f>VLOOKUP($A9,historia!$A$5:$CM$24,+HLOOKUP(AV$2,historia!$A$3:$EC$4,2,FALSE),FALSE)</f>
        <v>4</v>
      </c>
      <c r="AW9" s="58">
        <f>VLOOKUP($A9,historia!$A$5:$CM$24,+HLOOKUP(AW$2,historia!$A$3:$EC$4,2,FALSE),FALSE)</f>
        <v>4</v>
      </c>
      <c r="AX9" s="58">
        <f>VLOOKUP($A9,historia!$A$5:$CM$24,+HLOOKUP(AX$2,historia!$A$3:$EC$4,2,FALSE),FALSE)</f>
        <v>3</v>
      </c>
      <c r="AY9" s="58">
        <f>VLOOKUP($A9,historia!$A$5:$CM$24,+HLOOKUP(AY$2,historia!$A$3:$EC$4,2,FALSE),FALSE)</f>
        <v>3</v>
      </c>
      <c r="AZ9" s="58">
        <f>VLOOKUP($A9,historia!$A$5:$CM$24,+HLOOKUP(AZ$2,historia!$A$3:$EC$4,2,FALSE),FALSE)</f>
        <v>3</v>
      </c>
      <c r="BA9" s="58">
        <f>VLOOKUP($A9,historia!$A$5:$CM$24,+HLOOKUP(BA$2,historia!$A$3:$EC$4,2,FALSE),FALSE)</f>
        <v>2</v>
      </c>
      <c r="BB9" s="30"/>
      <c r="BC9" s="141">
        <v>2</v>
      </c>
      <c r="BD9" t="str">
        <f t="shared" si="19"/>
        <v>Bovinos</v>
      </c>
      <c r="BE9">
        <f>+datos!BM1</f>
        <v>65</v>
      </c>
      <c r="BF9" s="2" t="str">
        <f t="shared" si="4"/>
        <v>$/kg</v>
      </c>
      <c r="BG9" s="2">
        <f t="shared" si="4"/>
        <v>1722.3380000000002</v>
      </c>
      <c r="BH9" s="2">
        <f t="shared" si="4"/>
        <v>1736.2539999999999</v>
      </c>
      <c r="BI9" s="2">
        <f t="shared" si="4"/>
        <v>352.94</v>
      </c>
      <c r="BK9">
        <f>+datos!DB1</f>
        <v>106</v>
      </c>
      <c r="BL9" s="2">
        <f t="shared" si="20"/>
        <v>6983.4762841516294</v>
      </c>
      <c r="BM9" s="2">
        <f t="shared" si="20"/>
        <v>6597.8503471252279</v>
      </c>
      <c r="BN9" s="2">
        <f t="shared" si="20"/>
        <v>1918.4293913644879</v>
      </c>
      <c r="BP9" s="1">
        <f>+datos!EH1</f>
        <v>138</v>
      </c>
      <c r="BQ9" s="1">
        <f t="shared" si="21"/>
        <v>52783892</v>
      </c>
      <c r="BR9" s="1">
        <f t="shared" si="21"/>
        <v>54242595</v>
      </c>
      <c r="BT9" s="1">
        <f>+datos!HB1</f>
        <v>210</v>
      </c>
      <c r="BU9" s="1">
        <f t="shared" si="22"/>
        <v>3266663</v>
      </c>
      <c r="BV9" s="1">
        <f t="shared" si="22"/>
        <v>3163396</v>
      </c>
      <c r="BX9" s="1">
        <f>+datos!KG1</f>
        <v>293</v>
      </c>
      <c r="BY9" s="1">
        <f t="shared" si="39"/>
        <v>3960.7054138500007</v>
      </c>
      <c r="BZ9" s="1">
        <f t="shared" si="40"/>
        <v>4733.7804851799992</v>
      </c>
      <c r="CB9" s="1">
        <f>+datos!LL1</f>
        <v>324</v>
      </c>
      <c r="CC9" s="2">
        <f t="shared" si="23"/>
        <v>44.314743100000001</v>
      </c>
      <c r="CD9" s="2">
        <f t="shared" si="24"/>
        <v>81.693634899999992</v>
      </c>
      <c r="CF9" s="1">
        <f>+datos!IM1</f>
        <v>247</v>
      </c>
      <c r="CG9" s="1">
        <f t="shared" si="25"/>
        <v>52.06</v>
      </c>
      <c r="CH9" s="1">
        <f t="shared" si="26"/>
        <v>48.66</v>
      </c>
      <c r="CJ9" s="1">
        <f t="shared" si="27"/>
        <v>324.84866957999998</v>
      </c>
      <c r="CK9" s="1">
        <f t="shared" si="27"/>
        <v>325.97502911999987</v>
      </c>
      <c r="CL9" s="1">
        <f t="shared" si="27"/>
        <v>321.39038838999994</v>
      </c>
      <c r="CM9" s="1">
        <f t="shared" si="27"/>
        <v>273.58963931999995</v>
      </c>
      <c r="CN9" s="1">
        <f t="shared" si="27"/>
        <v>292.91820976000002</v>
      </c>
      <c r="CO9" s="1">
        <f t="shared" si="27"/>
        <v>371.72573624</v>
      </c>
      <c r="CP9" s="1">
        <f t="shared" si="27"/>
        <v>378.12790802000001</v>
      </c>
      <c r="CQ9" s="1">
        <f t="shared" si="27"/>
        <v>308.34921994000001</v>
      </c>
      <c r="CR9" s="1">
        <f t="shared" si="27"/>
        <v>390.63577031</v>
      </c>
      <c r="CS9" s="1">
        <f t="shared" si="27"/>
        <v>337.45013477999998</v>
      </c>
      <c r="CT9" s="1">
        <f t="shared" si="27"/>
        <v>339.25205494000011</v>
      </c>
      <c r="CU9" s="1">
        <f t="shared" si="27"/>
        <v>296.44265344999985</v>
      </c>
      <c r="CV9" s="1">
        <f t="shared" si="27"/>
        <v>285.75014393999987</v>
      </c>
      <c r="CW9" s="1">
        <f t="shared" si="27"/>
        <v>285.58164063999999</v>
      </c>
      <c r="CX9" s="1">
        <f t="shared" si="27"/>
        <v>342.68232461000008</v>
      </c>
      <c r="CY9" s="1">
        <f t="shared" si="27"/>
        <v>391.68086485999982</v>
      </c>
      <c r="CZ9" s="1">
        <f t="shared" si="28"/>
        <v>421.96396532</v>
      </c>
      <c r="DA9" s="1">
        <f t="shared" si="28"/>
        <v>444.66007973000006</v>
      </c>
      <c r="DB9" s="1">
        <f t="shared" si="28"/>
        <v>462.76323376000011</v>
      </c>
      <c r="DC9" s="1">
        <f t="shared" si="28"/>
        <v>455.63660227999975</v>
      </c>
      <c r="DD9" s="1">
        <f t="shared" si="28"/>
        <v>463.06945083000005</v>
      </c>
      <c r="DE9" s="1">
        <f t="shared" si="28"/>
        <v>405.16040881999982</v>
      </c>
      <c r="DF9" s="1">
        <f t="shared" si="28"/>
        <v>406.87993106999983</v>
      </c>
      <c r="DG9" s="1">
        <f t="shared" si="28"/>
        <v>367.95183931999992</v>
      </c>
      <c r="DI9" s="1">
        <f t="shared" si="29"/>
        <v>1.4792882700000001</v>
      </c>
      <c r="DJ9" s="1">
        <f t="shared" si="29"/>
        <v>3.3410357400000001</v>
      </c>
      <c r="DK9" s="1">
        <f t="shared" si="29"/>
        <v>3.5927978000000009</v>
      </c>
      <c r="DL9" s="1">
        <f t="shared" si="29"/>
        <v>2.53051044</v>
      </c>
      <c r="DM9" s="1">
        <f t="shared" si="29"/>
        <v>2.3401237999999998</v>
      </c>
      <c r="DN9" s="1">
        <f t="shared" si="29"/>
        <v>2.4632922899999996</v>
      </c>
      <c r="DO9" s="1">
        <f t="shared" si="29"/>
        <v>3.8179622399999995</v>
      </c>
      <c r="DP9" s="1">
        <f t="shared" si="29"/>
        <v>3.8355995800000002</v>
      </c>
      <c r="DQ9" s="1">
        <f t="shared" si="29"/>
        <v>7.3409295600000002</v>
      </c>
      <c r="DR9" s="1">
        <f t="shared" si="29"/>
        <v>3.8261937100000005</v>
      </c>
      <c r="DS9" s="1">
        <f t="shared" si="29"/>
        <v>5.3486285699999998</v>
      </c>
      <c r="DT9" s="1">
        <f t="shared" si="29"/>
        <v>4.398381099999999</v>
      </c>
      <c r="DU9" s="1">
        <f t="shared" si="29"/>
        <v>4.3987828499999999</v>
      </c>
      <c r="DV9" s="1">
        <f t="shared" si="29"/>
        <v>1.58647798</v>
      </c>
      <c r="DW9" s="1">
        <f t="shared" si="29"/>
        <v>2.6207546900000001</v>
      </c>
      <c r="DX9" s="1">
        <f t="shared" si="29"/>
        <v>6.877667439999998</v>
      </c>
      <c r="DY9" s="1">
        <f t="shared" si="30"/>
        <v>6.5255502400000012</v>
      </c>
      <c r="DZ9" s="1">
        <f t="shared" si="30"/>
        <v>13.413963769999999</v>
      </c>
      <c r="EA9" s="1">
        <f t="shared" si="30"/>
        <v>5.3105555200000003</v>
      </c>
      <c r="EB9" s="1">
        <f t="shared" si="30"/>
        <v>9.8886848400000016</v>
      </c>
      <c r="EC9" s="1">
        <f t="shared" si="30"/>
        <v>11.561262900000001</v>
      </c>
      <c r="ED9" s="1">
        <f t="shared" si="30"/>
        <v>6.5691069199999994</v>
      </c>
      <c r="EE9" s="1">
        <f t="shared" si="30"/>
        <v>8.9778956500000007</v>
      </c>
      <c r="EF9" s="1">
        <f t="shared" si="30"/>
        <v>3.9629320999999997</v>
      </c>
      <c r="EH9" s="14">
        <f t="shared" si="31"/>
        <v>52.06</v>
      </c>
      <c r="EI9" s="14">
        <f t="shared" si="31"/>
        <v>42.59</v>
      </c>
      <c r="EJ9" s="1">
        <f t="shared" si="31"/>
        <v>51.3</v>
      </c>
      <c r="EK9" s="1">
        <f t="shared" si="31"/>
        <v>51.15</v>
      </c>
      <c r="EL9" s="1">
        <f t="shared" si="31"/>
        <v>51.01</v>
      </c>
      <c r="EM9" s="1">
        <f t="shared" si="31"/>
        <v>51.15</v>
      </c>
      <c r="EN9" s="1">
        <f t="shared" si="31"/>
        <v>51.72</v>
      </c>
      <c r="EO9" s="1">
        <f t="shared" si="31"/>
        <v>51.32</v>
      </c>
      <c r="EP9" s="1">
        <f t="shared" si="31"/>
        <v>50.44</v>
      </c>
      <c r="EQ9" s="1">
        <f t="shared" si="31"/>
        <v>50.29</v>
      </c>
      <c r="ER9" s="1">
        <f t="shared" si="31"/>
        <v>50.29</v>
      </c>
      <c r="ES9" s="1">
        <f t="shared" si="31"/>
        <v>49.14</v>
      </c>
      <c r="ET9" s="1">
        <f t="shared" si="31"/>
        <v>48.66</v>
      </c>
      <c r="EU9" s="1">
        <f t="shared" si="31"/>
        <v>48.66</v>
      </c>
      <c r="EV9" s="1">
        <f t="shared" si="31"/>
        <v>48.3</v>
      </c>
      <c r="EW9" s="1">
        <f t="shared" si="31"/>
        <v>48.39</v>
      </c>
      <c r="EX9" s="1">
        <f t="shared" si="32"/>
        <v>48.62</v>
      </c>
      <c r="EY9" s="1">
        <f t="shared" si="32"/>
        <v>48.17</v>
      </c>
      <c r="EZ9" s="1">
        <f t="shared" si="32"/>
        <v>48.03</v>
      </c>
      <c r="FA9" s="1">
        <f t="shared" si="32"/>
        <v>48.58</v>
      </c>
      <c r="FB9" s="1">
        <f t="shared" si="32"/>
        <v>49.05</v>
      </c>
      <c r="FC9" s="1">
        <f t="shared" si="32"/>
        <v>47.84</v>
      </c>
      <c r="FD9" s="1">
        <f t="shared" si="32"/>
        <v>47.93</v>
      </c>
      <c r="FE9" s="1">
        <f t="shared" si="32"/>
        <v>46.96</v>
      </c>
      <c r="FG9" s="162">
        <f t="shared" si="33"/>
        <v>1.2397689220082602</v>
      </c>
    </row>
    <row r="10" spans="1:163" ht="30" customHeight="1">
      <c r="A10" s="224" t="s">
        <v>221</v>
      </c>
      <c r="B10" s="212"/>
      <c r="C10" s="156">
        <f t="shared" si="5"/>
        <v>0</v>
      </c>
      <c r="D10" s="198">
        <v>1</v>
      </c>
      <c r="E10" s="213"/>
      <c r="F10" s="214">
        <f t="shared" si="7"/>
        <v>-0.20614225288961063</v>
      </c>
      <c r="G10" s="213">
        <f t="shared" si="8"/>
        <v>9.0328806360059577E-2</v>
      </c>
      <c r="H10" s="214">
        <f t="shared" si="9"/>
        <v>-9.0328806360059577E-2</v>
      </c>
      <c r="I10" s="213">
        <f t="shared" si="10"/>
        <v>4.6881396485929523</v>
      </c>
      <c r="J10" s="214">
        <f t="shared" si="11"/>
        <v>2.1457187009620298</v>
      </c>
      <c r="K10" s="213">
        <f t="shared" si="34"/>
        <v>2.5935040256265012</v>
      </c>
      <c r="L10" s="214">
        <f t="shared" si="12"/>
        <v>2.0946356229664511</v>
      </c>
      <c r="M10" s="215"/>
      <c r="N10" s="198">
        <v>0</v>
      </c>
      <c r="O10" s="213">
        <f t="shared" si="35"/>
        <v>4.1543620801842707E-3</v>
      </c>
      <c r="P10" s="216">
        <f t="shared" si="36"/>
        <v>4.1543620801842707E-3</v>
      </c>
      <c r="Q10" s="213">
        <f t="shared" si="13"/>
        <v>0.10798722044728426</v>
      </c>
      <c r="R10" s="217">
        <f t="shared" si="37"/>
        <v>0.10798722044728426</v>
      </c>
      <c r="S10" s="215"/>
      <c r="T10" s="198">
        <v>-1</v>
      </c>
      <c r="U10" s="213">
        <f t="shared" si="14"/>
        <v>0.13576126189995219</v>
      </c>
      <c r="V10" s="45">
        <f t="shared" si="15"/>
        <v>0.13576126189995219</v>
      </c>
      <c r="W10" s="213">
        <f t="shared" si="38"/>
        <v>0.36471702973916242</v>
      </c>
      <c r="X10" s="45">
        <f t="shared" si="16"/>
        <v>0.36471702973916242</v>
      </c>
      <c r="Y10" s="213">
        <f t="shared" si="17"/>
        <v>-0.11904761904761896</v>
      </c>
      <c r="Z10" s="45"/>
      <c r="AA10" s="30"/>
      <c r="AB10" s="242" t="s">
        <v>463</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P10" s="28">
        <f>VLOOKUP($A10,historia!$A$5:$CM$24,+HLOOKUP(AP$2,historia!$A$3:$EC$4,2,FALSE),FALSE)</f>
        <v>4</v>
      </c>
      <c r="AQ10" s="28">
        <f>VLOOKUP($A10,historia!$A$5:$CM$24,+HLOOKUP(AQ$2,historia!$A$3:$EC$4,2,FALSE),FALSE)</f>
        <v>4</v>
      </c>
      <c r="AR10" s="28">
        <f>VLOOKUP($A10,historia!$A$5:$CM$24,+HLOOKUP(AR$2,historia!$A$3:$EC$4,2,FALSE),FALSE)</f>
        <v>4</v>
      </c>
      <c r="AS10" s="28">
        <f>VLOOKUP($A10,historia!$A$5:$CM$24,+HLOOKUP(AS$2,historia!$A$3:$EC$4,2,FALSE),FALSE)</f>
        <v>4</v>
      </c>
      <c r="AT10" s="58">
        <f>VLOOKUP($A10,historia!$A$5:$CM$24,+HLOOKUP(AT$2,historia!$A$3:$EC$4,2,FALSE),FALSE)</f>
        <v>5</v>
      </c>
      <c r="AU10" s="58">
        <f>VLOOKUP($A10,historia!$A$5:$CM$24,+HLOOKUP(AU$2,historia!$A$3:$EC$4,2,FALSE),FALSE)</f>
        <v>5</v>
      </c>
      <c r="AV10" s="58">
        <f>VLOOKUP($A10,historia!$A$5:$CM$24,+HLOOKUP(AV$2,historia!$A$3:$EC$4,2,FALSE),FALSE)</f>
        <v>5</v>
      </c>
      <c r="AW10" s="58">
        <f>VLOOKUP($A10,historia!$A$5:$CM$24,+HLOOKUP(AW$2,historia!$A$3:$EC$4,2,FALSE),FALSE)</f>
        <v>4</v>
      </c>
      <c r="AX10" s="58">
        <f>VLOOKUP($A10,historia!$A$5:$CM$24,+HLOOKUP(AX$2,historia!$A$3:$EC$4,2,FALSE),FALSE)</f>
        <v>4</v>
      </c>
      <c r="AY10" s="58">
        <f>VLOOKUP($A10,historia!$A$5:$CM$24,+HLOOKUP(AY$2,historia!$A$3:$EC$4,2,FALSE),FALSE)</f>
        <v>4</v>
      </c>
      <c r="AZ10" s="58">
        <f>VLOOKUP($A10,historia!$A$5:$CM$24,+HLOOKUP(AZ$2,historia!$A$3:$EC$4,2,FALSE),FALSE)</f>
        <v>5</v>
      </c>
      <c r="BA10" s="58">
        <f>VLOOKUP($A10,historia!$A$5:$CM$24,+HLOOKUP(BA$2,historia!$A$3:$EC$4,2,FALSE),FALSE)</f>
        <v>3</v>
      </c>
      <c r="BB10" s="30"/>
      <c r="BC10" s="141">
        <v>3</v>
      </c>
      <c r="BD10" t="str">
        <f t="shared" si="19"/>
        <v>Cítricos Dulces</v>
      </c>
      <c r="BE10">
        <f>+datos!AU1</f>
        <v>47</v>
      </c>
      <c r="BF10" s="2" t="str">
        <f t="shared" si="4"/>
        <v>$/caja 18kg</v>
      </c>
      <c r="BG10" s="2">
        <f t="shared" si="4"/>
        <v>13901.79524357499</v>
      </c>
      <c r="BH10" s="2">
        <f t="shared" si="4"/>
        <v>8106.6283080582807</v>
      </c>
      <c r="BI10" s="2">
        <f t="shared" si="4"/>
        <v>2443.9968253968254</v>
      </c>
      <c r="BK10">
        <f>+datos!CX1</f>
        <v>102</v>
      </c>
      <c r="BL10" s="2">
        <f t="shared" si="20"/>
        <v>6833.6718039247744</v>
      </c>
      <c r="BM10" s="2">
        <f t="shared" si="20"/>
        <v>6267.5330267923682</v>
      </c>
      <c r="BN10" s="2">
        <f t="shared" si="20"/>
        <v>1901.6736186161288</v>
      </c>
      <c r="BP10" s="1">
        <f>+datos!ER1</f>
        <v>148</v>
      </c>
      <c r="BQ10" s="1">
        <f t="shared" si="21"/>
        <v>80248</v>
      </c>
      <c r="BR10" s="1">
        <f t="shared" si="21"/>
        <v>79916</v>
      </c>
      <c r="BT10" s="1">
        <f>+datos!GH1</f>
        <v>190</v>
      </c>
      <c r="BU10" s="1">
        <f t="shared" si="22"/>
        <v>1734000</v>
      </c>
      <c r="BV10" s="1">
        <f t="shared" si="22"/>
        <v>1565000</v>
      </c>
      <c r="BX10" s="1">
        <f>+datos!LT1</f>
        <v>332</v>
      </c>
      <c r="BY10" s="1">
        <f t="shared" si="39"/>
        <v>52.817388989999991</v>
      </c>
      <c r="BZ10" s="1">
        <f t="shared" si="40"/>
        <v>46.503953570000007</v>
      </c>
      <c r="CA10" s="1"/>
      <c r="CB10" s="1">
        <f>+datos!LX1</f>
        <v>336</v>
      </c>
      <c r="CC10" s="2">
        <f t="shared" si="23"/>
        <v>5.3562021900000003</v>
      </c>
      <c r="CD10" s="2">
        <f t="shared" si="24"/>
        <v>3.9247712699999999</v>
      </c>
      <c r="CF10" s="1">
        <f>+datos!IV1</f>
        <v>256</v>
      </c>
      <c r="CG10" s="1">
        <f t="shared" si="25"/>
        <v>17.39</v>
      </c>
      <c r="CH10" s="1">
        <f t="shared" si="26"/>
        <v>19.739999999999998</v>
      </c>
      <c r="CJ10" s="1">
        <f t="shared" si="27"/>
        <v>4.3519123000000004</v>
      </c>
      <c r="CK10" s="1">
        <f t="shared" si="27"/>
        <v>3.6482140500000004</v>
      </c>
      <c r="CL10" s="1">
        <f t="shared" si="27"/>
        <v>7.8852843799999999</v>
      </c>
      <c r="CM10" s="1">
        <f t="shared" si="27"/>
        <v>4.4927710999999997</v>
      </c>
      <c r="CN10" s="1">
        <f t="shared" si="27"/>
        <v>3.9018705800000002</v>
      </c>
      <c r="CO10" s="1">
        <f t="shared" si="27"/>
        <v>10.723855849999996</v>
      </c>
      <c r="CP10" s="1">
        <f t="shared" si="27"/>
        <v>7.5775361799999992</v>
      </c>
      <c r="CQ10" s="1">
        <f t="shared" si="27"/>
        <v>1.25129154</v>
      </c>
      <c r="CR10" s="1">
        <f t="shared" si="27"/>
        <v>0.77785399999999993</v>
      </c>
      <c r="CS10" s="1">
        <f t="shared" si="27"/>
        <v>1.96707276</v>
      </c>
      <c r="CT10" s="1">
        <f t="shared" si="27"/>
        <v>1.7333935799999998</v>
      </c>
      <c r="CU10" s="1">
        <f t="shared" si="27"/>
        <v>4.5063326699999999</v>
      </c>
      <c r="CV10" s="1">
        <f t="shared" si="27"/>
        <v>2.6066778199999998</v>
      </c>
      <c r="CW10" s="1">
        <f t="shared" si="27"/>
        <v>1.98627314</v>
      </c>
      <c r="CX10" s="1">
        <f t="shared" si="27"/>
        <v>2.7714215800000002</v>
      </c>
      <c r="CY10" s="1">
        <f t="shared" si="27"/>
        <v>4.7911063299999999</v>
      </c>
      <c r="CZ10" s="1">
        <f t="shared" si="28"/>
        <v>4.2890642899999998</v>
      </c>
      <c r="DA10" s="1">
        <f t="shared" si="28"/>
        <v>10.91414737</v>
      </c>
      <c r="DB10" s="1">
        <f t="shared" si="28"/>
        <v>7.8324679500000007</v>
      </c>
      <c r="DC10" s="1">
        <f t="shared" si="28"/>
        <v>4.3051329900000006</v>
      </c>
      <c r="DD10" s="1">
        <f t="shared" si="28"/>
        <v>2.30500755</v>
      </c>
      <c r="DE10" s="1">
        <f t="shared" si="28"/>
        <v>1.4198493500000002</v>
      </c>
      <c r="DF10" s="1">
        <f t="shared" si="28"/>
        <v>1.31873533</v>
      </c>
      <c r="DG10" s="1">
        <f t="shared" si="28"/>
        <v>1.9640698700000001</v>
      </c>
      <c r="DI10" s="1">
        <f t="shared" si="29"/>
        <v>0.50591796999999994</v>
      </c>
      <c r="DJ10" s="1">
        <f t="shared" si="29"/>
        <v>0.37369366000000004</v>
      </c>
      <c r="DK10" s="1">
        <f t="shared" si="29"/>
        <v>1.8223369999999999E-2</v>
      </c>
      <c r="DL10" s="1">
        <f t="shared" si="29"/>
        <v>0.26981320000000003</v>
      </c>
      <c r="DM10" s="1">
        <f t="shared" si="29"/>
        <v>0.36129600000000001</v>
      </c>
      <c r="DN10" s="1">
        <f t="shared" si="29"/>
        <v>3.0606999999999997E-4</v>
      </c>
      <c r="DO10" s="1">
        <f t="shared" si="29"/>
        <v>0.33402694999999999</v>
      </c>
      <c r="DP10" s="1">
        <f t="shared" si="29"/>
        <v>0</v>
      </c>
      <c r="DQ10" s="1">
        <f t="shared" si="29"/>
        <v>0.31172668999999997</v>
      </c>
      <c r="DR10" s="1">
        <f t="shared" si="29"/>
        <v>1.32104435</v>
      </c>
      <c r="DS10" s="1">
        <f t="shared" si="29"/>
        <v>1.2081202200000001</v>
      </c>
      <c r="DT10" s="1">
        <f t="shared" si="29"/>
        <v>0.6520337100000001</v>
      </c>
      <c r="DU10" s="1">
        <f t="shared" si="29"/>
        <v>0.45880662999999999</v>
      </c>
      <c r="DV10" s="1">
        <f t="shared" si="29"/>
        <v>0</v>
      </c>
      <c r="DW10" s="1">
        <f t="shared" si="29"/>
        <v>4.77876E-2</v>
      </c>
      <c r="DX10" s="1">
        <f t="shared" si="29"/>
        <v>1.4227200000000001E-2</v>
      </c>
      <c r="DY10" s="1">
        <f t="shared" si="30"/>
        <v>2.7328829999999998E-2</v>
      </c>
      <c r="DZ10" s="1">
        <f t="shared" si="30"/>
        <v>5.6926980000000002E-2</v>
      </c>
      <c r="EA10" s="1">
        <f t="shared" si="30"/>
        <v>0.59636825999999998</v>
      </c>
      <c r="EB10" s="1">
        <f t="shared" si="30"/>
        <v>0.61726981999999997</v>
      </c>
      <c r="EC10" s="1">
        <f t="shared" si="30"/>
        <v>0.14935512000000001</v>
      </c>
      <c r="ED10" s="1">
        <f t="shared" si="30"/>
        <v>0.56815696000000004</v>
      </c>
      <c r="EE10" s="1">
        <f t="shared" si="30"/>
        <v>0.84027543999999998</v>
      </c>
      <c r="EF10" s="1">
        <f t="shared" si="30"/>
        <v>0.54826843000000003</v>
      </c>
      <c r="EH10" s="14">
        <f t="shared" si="31"/>
        <v>17.39</v>
      </c>
      <c r="EI10" s="14">
        <f t="shared" si="31"/>
        <v>19.739999999999998</v>
      </c>
      <c r="EJ10" s="1">
        <f t="shared" si="31"/>
        <v>19.739999999999998</v>
      </c>
      <c r="EK10" s="1">
        <f t="shared" si="31"/>
        <v>19.739999999999998</v>
      </c>
      <c r="EL10" s="1">
        <f t="shared" si="31"/>
        <v>19.739999999999998</v>
      </c>
      <c r="EM10" s="1">
        <f t="shared" si="31"/>
        <v>19.739999999999998</v>
      </c>
      <c r="EN10" s="1">
        <f t="shared" si="31"/>
        <v>19.739999999999998</v>
      </c>
      <c r="EO10" s="1">
        <f t="shared" si="31"/>
        <v>19.739999999999998</v>
      </c>
      <c r="EP10" s="1">
        <f t="shared" si="31"/>
        <v>19.739999999999998</v>
      </c>
      <c r="EQ10" s="1">
        <f t="shared" si="31"/>
        <v>19.739999999999998</v>
      </c>
      <c r="ER10" s="1">
        <f t="shared" si="31"/>
        <v>19.739999999999998</v>
      </c>
      <c r="ES10" s="1">
        <f t="shared" si="31"/>
        <v>19.739999999999998</v>
      </c>
      <c r="ET10" s="1">
        <f t="shared" si="31"/>
        <v>19.739999999999998</v>
      </c>
      <c r="EU10" s="1">
        <f t="shared" si="31"/>
        <v>18.77</v>
      </c>
      <c r="EV10" s="1">
        <f t="shared" si="31"/>
        <v>18.77</v>
      </c>
      <c r="EW10" s="1">
        <f t="shared" si="31"/>
        <v>18.77</v>
      </c>
      <c r="EX10" s="1">
        <f t="shared" si="32"/>
        <v>18.77</v>
      </c>
      <c r="EY10" s="1">
        <f t="shared" si="32"/>
        <v>18.77</v>
      </c>
      <c r="EZ10" s="1">
        <f t="shared" si="32"/>
        <v>18.77</v>
      </c>
      <c r="FA10" s="1">
        <f t="shared" si="32"/>
        <v>18.77</v>
      </c>
      <c r="FB10" s="1">
        <f t="shared" si="32"/>
        <v>18.77</v>
      </c>
      <c r="FC10" s="1">
        <f t="shared" si="32"/>
        <v>18.77</v>
      </c>
      <c r="FD10" s="1">
        <f t="shared" si="32"/>
        <v>18.77</v>
      </c>
      <c r="FE10" s="1">
        <f t="shared" si="32"/>
        <v>18.77</v>
      </c>
      <c r="FG10" s="162">
        <f t="shared" si="33"/>
        <v>2.0946356229664511</v>
      </c>
    </row>
    <row r="11" spans="1:163" ht="30" customHeight="1">
      <c r="A11" s="226" t="s">
        <v>116</v>
      </c>
      <c r="B11" s="227"/>
      <c r="C11" s="228">
        <f t="shared" si="5"/>
        <v>0</v>
      </c>
      <c r="D11" s="229">
        <v>1</v>
      </c>
      <c r="E11" s="230">
        <f t="shared" si="6"/>
        <v>0.43763182972631509</v>
      </c>
      <c r="F11" s="231">
        <f t="shared" si="7"/>
        <v>0.23148957683670446</v>
      </c>
      <c r="G11" s="230">
        <f t="shared" si="8"/>
        <v>7.0178298508967396E-2</v>
      </c>
      <c r="H11" s="231">
        <f t="shared" si="9"/>
        <v>0.3674535312173477</v>
      </c>
      <c r="I11" s="230">
        <f t="shared" si="10"/>
        <v>3.0298767103418269</v>
      </c>
      <c r="J11" s="231">
        <f t="shared" si="11"/>
        <v>0.48745576271090441</v>
      </c>
      <c r="K11" s="230">
        <f t="shared" si="34"/>
        <v>2.5116900380624507</v>
      </c>
      <c r="L11" s="231">
        <f t="shared" si="12"/>
        <v>0.5181866722793762</v>
      </c>
      <c r="M11" s="232"/>
      <c r="N11" s="229"/>
      <c r="O11" s="230" t="str">
        <f t="shared" si="35"/>
        <v/>
      </c>
      <c r="P11" s="233" t="str">
        <f t="shared" si="36"/>
        <v/>
      </c>
      <c r="Q11" s="230">
        <f t="shared" si="13"/>
        <v>0</v>
      </c>
      <c r="R11" s="234">
        <f t="shared" si="37"/>
        <v>0</v>
      </c>
      <c r="S11" s="232"/>
      <c r="T11" s="198">
        <v>-1</v>
      </c>
      <c r="U11" s="230">
        <f t="shared" si="14"/>
        <v>-0.21226318238600672</v>
      </c>
      <c r="V11" s="235">
        <f t="shared" si="15"/>
        <v>-0.21226318238600672</v>
      </c>
      <c r="W11" s="239">
        <f t="shared" si="38"/>
        <v>-6.4623091038365277E-2</v>
      </c>
      <c r="X11" s="235">
        <f t="shared" si="16"/>
        <v>-6.4623091038365277E-2</v>
      </c>
      <c r="Y11" s="230" t="str">
        <f t="shared" si="17"/>
        <v/>
      </c>
      <c r="Z11" s="235" t="str">
        <f t="shared" si="18"/>
        <v/>
      </c>
      <c r="AA11" s="238"/>
      <c r="AB11" s="242" t="s">
        <v>464</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4</v>
      </c>
      <c r="AY11" s="58">
        <f>VLOOKUP($A11,historia!$A$5:$CM$24,+HLOOKUP(AY$2,historia!$A$3:$EC$4,2,FALSE),FALSE)</f>
        <v>4</v>
      </c>
      <c r="AZ11" s="58">
        <f>VLOOKUP($A11,historia!$A$5:$CM$24,+HLOOKUP(AZ$2,historia!$A$3:$EC$4,2,FALSE),FALSE)</f>
        <v>4</v>
      </c>
      <c r="BA11" s="58">
        <f>VLOOKUP($A11,historia!$A$5:$CM$24,+HLOOKUP(BA$2,historia!$A$3:$EC$4,2,FALSE),FALSE)</f>
        <v>3</v>
      </c>
      <c r="BB11" s="30"/>
      <c r="BC11" s="141">
        <v>3</v>
      </c>
      <c r="BD11" t="str">
        <f t="shared" si="19"/>
        <v>Forestal</v>
      </c>
      <c r="BE11">
        <f>+datos!BG1</f>
        <v>59</v>
      </c>
      <c r="BF11" s="2" t="str">
        <f t="shared" si="4"/>
        <v>$/t</v>
      </c>
      <c r="BG11" s="2">
        <f t="shared" si="4"/>
        <v>20837.485000000001</v>
      </c>
      <c r="BH11" s="2">
        <f t="shared" si="4"/>
        <v>14494.3125</v>
      </c>
      <c r="BI11" s="2">
        <f t="shared" si="4"/>
        <v>5170.75</v>
      </c>
      <c r="BK11">
        <f>+datos!CZ1</f>
        <v>104</v>
      </c>
      <c r="BL11" s="2">
        <f t="shared" si="20"/>
        <v>7344.836783487116</v>
      </c>
      <c r="BM11" s="2">
        <f t="shared" si="20"/>
        <v>6863.1898009148163</v>
      </c>
      <c r="BN11" s="2">
        <f t="shared" si="20"/>
        <v>2091.5390321691307</v>
      </c>
      <c r="BP11" s="1">
        <f>+datos!ES1</f>
        <v>149</v>
      </c>
      <c r="BQ11" s="1">
        <f t="shared" si="21"/>
        <v>0</v>
      </c>
      <c r="BR11" s="1">
        <f t="shared" si="21"/>
        <v>0</v>
      </c>
      <c r="BT11" s="1">
        <f>+datos!GI1</f>
        <v>191</v>
      </c>
      <c r="BU11" s="1">
        <f t="shared" si="22"/>
        <v>1302556</v>
      </c>
      <c r="BV11" s="1">
        <f t="shared" si="22"/>
        <v>1302556</v>
      </c>
      <c r="BX11" s="1">
        <f>+datos!KB1</f>
        <v>288</v>
      </c>
      <c r="BY11" s="1">
        <f t="shared" si="39"/>
        <v>293.79769661</v>
      </c>
      <c r="BZ11" s="1">
        <f t="shared" si="40"/>
        <v>372.96428202999994</v>
      </c>
      <c r="CB11" s="1">
        <f>+datos!LG1</f>
        <v>319</v>
      </c>
      <c r="CC11" s="2">
        <f t="shared" si="23"/>
        <v>246.35474977999996</v>
      </c>
      <c r="CD11" s="2">
        <f t="shared" si="24"/>
        <v>263.37484646000001</v>
      </c>
      <c r="CF11" s="1">
        <f>+datos!IW1</f>
        <v>257</v>
      </c>
      <c r="CG11" s="1">
        <f t="shared" si="25"/>
        <v>0</v>
      </c>
      <c r="CH11" s="1">
        <f t="shared" si="26"/>
        <v>0</v>
      </c>
      <c r="CJ11" s="1">
        <f t="shared" si="27"/>
        <v>23.104867779999999</v>
      </c>
      <c r="CK11" s="1">
        <f t="shared" si="27"/>
        <v>24.797754910000005</v>
      </c>
      <c r="CL11" s="1">
        <f t="shared" si="27"/>
        <v>26.00374025</v>
      </c>
      <c r="CM11" s="1">
        <f t="shared" si="27"/>
        <v>24.373047020000001</v>
      </c>
      <c r="CN11" s="1">
        <f t="shared" si="27"/>
        <v>25.649224320000002</v>
      </c>
      <c r="CO11" s="1">
        <f t="shared" si="27"/>
        <v>23.667757810000001</v>
      </c>
      <c r="CP11" s="1">
        <f t="shared" si="27"/>
        <v>25.088845019999997</v>
      </c>
      <c r="CQ11" s="1">
        <f t="shared" si="27"/>
        <v>26.5668471</v>
      </c>
      <c r="CR11" s="1">
        <f t="shared" si="27"/>
        <v>23.814064600000002</v>
      </c>
      <c r="CS11" s="1">
        <f t="shared" si="27"/>
        <v>20.56411928</v>
      </c>
      <c r="CT11" s="1">
        <f t="shared" si="27"/>
        <v>19.140443850000004</v>
      </c>
      <c r="CU11" s="1">
        <f t="shared" si="27"/>
        <v>31.026984670000001</v>
      </c>
      <c r="CV11" s="1">
        <f t="shared" si="27"/>
        <v>29.568283169999997</v>
      </c>
      <c r="CW11" s="1">
        <f t="shared" si="27"/>
        <v>27.46490245</v>
      </c>
      <c r="CX11" s="1">
        <f t="shared" si="27"/>
        <v>28.769997110000002</v>
      </c>
      <c r="CY11" s="1">
        <f t="shared" si="27"/>
        <v>29.99355989</v>
      </c>
      <c r="CZ11" s="1">
        <f t="shared" si="28"/>
        <v>28.322168269999992</v>
      </c>
      <c r="DA11" s="1">
        <f t="shared" si="28"/>
        <v>25.822628249999998</v>
      </c>
      <c r="DB11" s="1">
        <f t="shared" si="28"/>
        <v>36.275852910000005</v>
      </c>
      <c r="DC11" s="1">
        <f t="shared" si="28"/>
        <v>32.140367229999995</v>
      </c>
      <c r="DD11" s="1">
        <f t="shared" si="28"/>
        <v>32.281321340000005</v>
      </c>
      <c r="DE11" s="1">
        <f t="shared" si="28"/>
        <v>29.416825530000004</v>
      </c>
      <c r="DF11" s="1">
        <f t="shared" si="28"/>
        <v>38.714139049999993</v>
      </c>
      <c r="DG11" s="1">
        <f t="shared" si="28"/>
        <v>34.194236830000001</v>
      </c>
      <c r="DI11" s="1">
        <f t="shared" si="29"/>
        <v>9.0834929199999994</v>
      </c>
      <c r="DJ11" s="1">
        <f t="shared" si="29"/>
        <v>9.5859924200000002</v>
      </c>
      <c r="DK11" s="1">
        <f t="shared" si="29"/>
        <v>12.114691449999999</v>
      </c>
      <c r="DL11" s="1">
        <f t="shared" si="29"/>
        <v>21.937746180000001</v>
      </c>
      <c r="DM11" s="1">
        <f t="shared" si="29"/>
        <v>16.68359323</v>
      </c>
      <c r="DN11" s="1">
        <f t="shared" si="29"/>
        <v>23.390239519999994</v>
      </c>
      <c r="DO11" s="1">
        <f t="shared" si="29"/>
        <v>24.97777258</v>
      </c>
      <c r="DP11" s="1">
        <f t="shared" si="29"/>
        <v>25.979397770000002</v>
      </c>
      <c r="DQ11" s="1">
        <f t="shared" si="29"/>
        <v>26.663923630000003</v>
      </c>
      <c r="DR11" s="1">
        <f t="shared" si="29"/>
        <v>25.77809422</v>
      </c>
      <c r="DS11" s="1">
        <f t="shared" si="29"/>
        <v>30.845388820000004</v>
      </c>
      <c r="DT11" s="1">
        <f t="shared" si="29"/>
        <v>19.314417040000002</v>
      </c>
      <c r="DU11" s="1">
        <f t="shared" si="29"/>
        <v>23.096508839999995</v>
      </c>
      <c r="DV11" s="1">
        <f t="shared" si="29"/>
        <v>19.891111379999998</v>
      </c>
      <c r="DW11" s="1">
        <f t="shared" si="29"/>
        <v>18.931102379999999</v>
      </c>
      <c r="DX11" s="1">
        <f t="shared" si="29"/>
        <v>26.50290536</v>
      </c>
      <c r="DY11" s="1">
        <f t="shared" si="30"/>
        <v>21.937275429999996</v>
      </c>
      <c r="DZ11" s="1">
        <f t="shared" si="30"/>
        <v>24.868573239999996</v>
      </c>
      <c r="EA11" s="1">
        <f t="shared" si="30"/>
        <v>0</v>
      </c>
      <c r="EB11" s="1">
        <f t="shared" si="30"/>
        <v>28.392692970000002</v>
      </c>
      <c r="EC11" s="1">
        <f t="shared" si="30"/>
        <v>26.685130170000001</v>
      </c>
      <c r="ED11" s="1">
        <f t="shared" si="30"/>
        <v>23.828582620000002</v>
      </c>
      <c r="EE11" s="1">
        <f t="shared" si="30"/>
        <v>28.413189390000003</v>
      </c>
      <c r="EF11" s="1">
        <f t="shared" si="30"/>
        <v>20.827774680000001</v>
      </c>
      <c r="EH11" s="14">
        <f t="shared" si="31"/>
        <v>0</v>
      </c>
      <c r="EI11" s="14">
        <f t="shared" si="31"/>
        <v>0</v>
      </c>
      <c r="EJ11" s="1">
        <f t="shared" si="31"/>
        <v>0</v>
      </c>
      <c r="EK11" s="1">
        <f t="shared" si="31"/>
        <v>0</v>
      </c>
      <c r="EL11" s="1">
        <f t="shared" si="31"/>
        <v>0</v>
      </c>
      <c r="EM11" s="1">
        <f t="shared" si="31"/>
        <v>0</v>
      </c>
      <c r="EN11" s="1">
        <f t="shared" si="31"/>
        <v>0</v>
      </c>
      <c r="EO11" s="1">
        <f t="shared" si="31"/>
        <v>0</v>
      </c>
      <c r="EP11" s="1">
        <f t="shared" si="31"/>
        <v>0</v>
      </c>
      <c r="EQ11" s="1">
        <f t="shared" si="31"/>
        <v>0</v>
      </c>
      <c r="ER11" s="1">
        <f t="shared" si="31"/>
        <v>0</v>
      </c>
      <c r="ES11" s="1">
        <f t="shared" si="31"/>
        <v>0</v>
      </c>
      <c r="ET11" s="1">
        <f t="shared" si="31"/>
        <v>0</v>
      </c>
      <c r="EU11" s="1">
        <f t="shared" si="31"/>
        <v>0</v>
      </c>
      <c r="EV11" s="1">
        <f t="shared" si="31"/>
        <v>0</v>
      </c>
      <c r="EW11" s="1">
        <f t="shared" si="31"/>
        <v>0</v>
      </c>
      <c r="EX11" s="1">
        <f t="shared" si="32"/>
        <v>0</v>
      </c>
      <c r="EY11" s="1">
        <f t="shared" si="32"/>
        <v>0</v>
      </c>
      <c r="EZ11" s="1">
        <f t="shared" si="32"/>
        <v>0</v>
      </c>
      <c r="FA11" s="1">
        <f t="shared" si="32"/>
        <v>0</v>
      </c>
      <c r="FB11" s="1">
        <f t="shared" si="32"/>
        <v>0</v>
      </c>
      <c r="FC11" s="1">
        <f t="shared" si="32"/>
        <v>0</v>
      </c>
      <c r="FD11" s="1">
        <f t="shared" si="32"/>
        <v>0</v>
      </c>
      <c r="FE11" s="1">
        <f t="shared" si="32"/>
        <v>0</v>
      </c>
      <c r="FG11" s="162">
        <f t="shared" si="33"/>
        <v>0.5181866722793762</v>
      </c>
    </row>
    <row r="12" spans="1:163" ht="30" customHeight="1">
      <c r="A12" s="222" t="s">
        <v>216</v>
      </c>
      <c r="B12" s="212"/>
      <c r="C12" s="156">
        <f t="shared" si="5"/>
        <v>-1.32</v>
      </c>
      <c r="D12" s="198">
        <v>-1</v>
      </c>
      <c r="E12" s="213">
        <f t="shared" si="6"/>
        <v>5.2863785968968457E-3</v>
      </c>
      <c r="F12" s="214">
        <f t="shared" si="7"/>
        <v>-0.20085587429271379</v>
      </c>
      <c r="G12" s="213">
        <f t="shared" si="8"/>
        <v>-1.6079300327389801E-2</v>
      </c>
      <c r="H12" s="214">
        <f t="shared" si="9"/>
        <v>2.1365678924286646E-2</v>
      </c>
      <c r="I12" s="213">
        <f t="shared" si="10"/>
        <v>2.1478787308622187</v>
      </c>
      <c r="J12" s="214">
        <f t="shared" si="11"/>
        <v>-0.39454221676870382</v>
      </c>
      <c r="K12" s="213">
        <f t="shared" si="34"/>
        <v>2.3200838355824542</v>
      </c>
      <c r="L12" s="214">
        <f t="shared" si="12"/>
        <v>-0.17220510472023554</v>
      </c>
      <c r="M12" s="215"/>
      <c r="N12" s="198">
        <v>-2</v>
      </c>
      <c r="O12" s="213">
        <f t="shared" si="35"/>
        <v>-2.9500248269416218E-3</v>
      </c>
      <c r="P12" s="216">
        <f t="shared" si="36"/>
        <v>-2.9500248269416218E-3</v>
      </c>
      <c r="Q12" s="213">
        <f t="shared" si="13"/>
        <v>-3.0252100840336138E-2</v>
      </c>
      <c r="R12" s="217">
        <f t="shared" si="37"/>
        <v>-3.0252100840336138E-2</v>
      </c>
      <c r="S12" s="215"/>
      <c r="T12" s="198">
        <v>-1</v>
      </c>
      <c r="U12" s="213">
        <f t="shared" si="14"/>
        <v>-0.35138457129695166</v>
      </c>
      <c r="V12" s="45">
        <f t="shared" si="15"/>
        <v>-0.35138457129695166</v>
      </c>
      <c r="W12" s="213">
        <f t="shared" si="38"/>
        <v>1.3979095495762039</v>
      </c>
      <c r="X12" s="45">
        <f t="shared" si="16"/>
        <v>1.3979095495762039</v>
      </c>
      <c r="Y12" s="213">
        <f t="shared" si="17"/>
        <v>-2.7281154813931896E-2</v>
      </c>
      <c r="Z12" s="45">
        <f t="shared" si="18"/>
        <v>-2.7281154813931896E-2</v>
      </c>
      <c r="AA12" s="30"/>
      <c r="AB12" s="242" t="s">
        <v>465</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P12" s="28">
        <f>VLOOKUP($A12,historia!$A$5:$CM$24,+HLOOKUP(AP$2,historia!$A$3:$EC$4,2,FALSE),FALSE)</f>
        <v>5</v>
      </c>
      <c r="AQ12" s="28">
        <f>VLOOKUP($A12,historia!$A$5:$CM$24,+HLOOKUP(AQ$2,historia!$A$3:$EC$4,2,FALSE),FALSE)</f>
        <v>5</v>
      </c>
      <c r="AR12" s="28">
        <f>VLOOKUP($A12,historia!$A$5:$CM$24,+HLOOKUP(AR$2,historia!$A$3:$EC$4,2,FALSE),FALSE)</f>
        <v>5</v>
      </c>
      <c r="AS12" s="28">
        <f>VLOOKUP($A12,historia!$A$5:$CM$24,+HLOOKUP(AS$2,historia!$A$3:$EC$4,2,FALSE),FALSE)</f>
        <v>5</v>
      </c>
      <c r="AT12" s="58">
        <f>VLOOKUP($A12,historia!$A$5:$CM$24,+HLOOKUP(AT$2,historia!$A$3:$EC$4,2,FALSE),FALSE)</f>
        <v>5</v>
      </c>
      <c r="AU12" s="58">
        <f>VLOOKUP($A12,historia!$A$5:$CM$24,+HLOOKUP(AU$2,historia!$A$3:$EC$4,2,FALSE),FALSE)</f>
        <v>5</v>
      </c>
      <c r="AV12" s="58">
        <f>VLOOKUP($A12,historia!$A$5:$CM$24,+HLOOKUP(AV$2,historia!$A$3:$EC$4,2,FALSE),FALSE)</f>
        <v>5</v>
      </c>
      <c r="AW12" s="58">
        <f>VLOOKUP($A12,historia!$A$5:$CM$24,+HLOOKUP(AW$2,historia!$A$3:$EC$4,2,FALSE),FALSE)</f>
        <v>5</v>
      </c>
      <c r="AX12" s="58">
        <f>VLOOKUP($A12,historia!$A$5:$CM$24,+HLOOKUP(AX$2,historia!$A$3:$EC$4,2,FALSE),FALSE)</f>
        <v>5</v>
      </c>
      <c r="AY12" s="58">
        <f>VLOOKUP($A12,historia!$A$5:$CM$24,+HLOOKUP(AY$2,historia!$A$3:$EC$4,2,FALSE),FALSE)</f>
        <v>5</v>
      </c>
      <c r="AZ12" s="58">
        <f>VLOOKUP($A12,historia!$A$5:$CM$24,+HLOOKUP(AZ$2,historia!$A$3:$EC$4,2,FALSE),FALSE)</f>
        <v>5</v>
      </c>
      <c r="BA12" s="58">
        <f>VLOOKUP($A12,historia!$A$5:$CM$24,+HLOOKUP(BA$2,historia!$A$3:$EC$4,2,FALSE),FALSE)</f>
        <v>5</v>
      </c>
      <c r="BB12" s="30"/>
      <c r="BC12" s="141">
        <v>5</v>
      </c>
      <c r="BD12" t="str">
        <f t="shared" si="19"/>
        <v>Granos</v>
      </c>
      <c r="BE12">
        <f>+datos!AE1</f>
        <v>31</v>
      </c>
      <c r="BF12" s="2" t="str">
        <f t="shared" si="4"/>
        <v>$/t</v>
      </c>
      <c r="BG12" s="2">
        <f t="shared" si="4"/>
        <v>194410.18786666665</v>
      </c>
      <c r="BH12" s="2">
        <f t="shared" si="4"/>
        <v>193387.86638888888</v>
      </c>
      <c r="BI12" s="2">
        <f t="shared" si="4"/>
        <v>61759.109701604284</v>
      </c>
      <c r="BK12">
        <f>+datos!CG1</f>
        <v>85</v>
      </c>
      <c r="BL12" s="2">
        <f t="shared" si="20"/>
        <v>7517.3808899245923</v>
      </c>
      <c r="BM12" s="2">
        <f t="shared" si="20"/>
        <v>7640.230449898987</v>
      </c>
      <c r="BN12" s="2">
        <f t="shared" si="20"/>
        <v>2264.2141771717615</v>
      </c>
      <c r="BP12" s="1">
        <f>+datos!EA1</f>
        <v>131</v>
      </c>
      <c r="BQ12" s="1">
        <f t="shared" si="21"/>
        <v>34136000</v>
      </c>
      <c r="BR12" s="1">
        <f t="shared" si="21"/>
        <v>34237000</v>
      </c>
      <c r="BT12" s="1">
        <f>+datos!FV1</f>
        <v>178</v>
      </c>
      <c r="BU12" s="1">
        <f t="shared" si="22"/>
        <v>109053000</v>
      </c>
      <c r="BV12" s="1">
        <f t="shared" si="22"/>
        <v>112455000</v>
      </c>
      <c r="BX12" s="1">
        <f>+datos!LQ1</f>
        <v>329</v>
      </c>
      <c r="BY12" s="1">
        <f>+SUM(CJ12:CU12)</f>
        <v>37396.064101049997</v>
      </c>
      <c r="BZ12" s="1">
        <f t="shared" si="40"/>
        <v>57655.218248239995</v>
      </c>
      <c r="CB12" s="1">
        <f>+datos!LU1</f>
        <v>333</v>
      </c>
      <c r="CC12" s="2">
        <f t="shared" si="23"/>
        <v>5467.9384869500009</v>
      </c>
      <c r="CD12" s="2">
        <f t="shared" si="24"/>
        <v>2280.2938867799999</v>
      </c>
      <c r="CF12" s="1">
        <f>+datos!II1</f>
        <v>243</v>
      </c>
      <c r="CG12" s="1">
        <f t="shared" si="25"/>
        <v>73450000</v>
      </c>
      <c r="CH12" s="1">
        <f t="shared" si="26"/>
        <v>75510000</v>
      </c>
      <c r="CJ12" s="1">
        <f>+VLOOKUP(CJ$1,ran_dat,$BX12,FALSE)</f>
        <v>3929.1762735700004</v>
      </c>
      <c r="CK12" s="1">
        <f t="shared" si="27"/>
        <v>2955.6698254600001</v>
      </c>
      <c r="CL12" s="1">
        <f t="shared" si="27"/>
        <v>2441.9361675499999</v>
      </c>
      <c r="CM12" s="1">
        <f t="shared" si="27"/>
        <v>2439.6070879799995</v>
      </c>
      <c r="CN12" s="1">
        <f t="shared" si="27"/>
        <v>2937.94498135</v>
      </c>
      <c r="CO12" s="1">
        <f t="shared" si="27"/>
        <v>3422.8062754199996</v>
      </c>
      <c r="CP12" s="1">
        <f t="shared" si="27"/>
        <v>3305.4373540500001</v>
      </c>
      <c r="CQ12" s="1">
        <f t="shared" si="27"/>
        <v>3388.1727426199996</v>
      </c>
      <c r="CR12" s="1">
        <f t="shared" si="27"/>
        <v>3792.8302867999996</v>
      </c>
      <c r="CS12" s="1">
        <f t="shared" si="27"/>
        <v>3116.9694759099998</v>
      </c>
      <c r="CT12" s="1">
        <f t="shared" si="27"/>
        <v>2868.8536445099994</v>
      </c>
      <c r="CU12" s="1">
        <f t="shared" si="27"/>
        <v>2796.6599858300006</v>
      </c>
      <c r="CV12" s="1">
        <f t="shared" si="27"/>
        <v>2718.2915703099998</v>
      </c>
      <c r="CW12" s="1">
        <f t="shared" si="27"/>
        <v>4151.50946449</v>
      </c>
      <c r="CX12" s="1">
        <f t="shared" si="27"/>
        <v>4450.8165799199996</v>
      </c>
      <c r="CY12" s="1">
        <f t="shared" si="27"/>
        <v>4813.7104364100005</v>
      </c>
      <c r="CZ12" s="1">
        <f t="shared" si="28"/>
        <v>4478.853701</v>
      </c>
      <c r="DA12" s="1">
        <f t="shared" si="28"/>
        <v>4612.5251936800005</v>
      </c>
      <c r="DB12" s="1">
        <f t="shared" si="28"/>
        <v>5195.93512749</v>
      </c>
      <c r="DC12" s="1">
        <f t="shared" si="28"/>
        <v>5746.4543398300002</v>
      </c>
      <c r="DD12" s="1">
        <f t="shared" si="28"/>
        <v>6546.8492174599996</v>
      </c>
      <c r="DE12" s="1">
        <f t="shared" si="28"/>
        <v>5984.8672564199987</v>
      </c>
      <c r="DF12" s="1">
        <f t="shared" si="28"/>
        <v>4770.1049779499999</v>
      </c>
      <c r="DG12" s="1">
        <f t="shared" si="28"/>
        <v>4185.3003832800005</v>
      </c>
      <c r="DI12" s="1">
        <f t="shared" si="29"/>
        <v>63.525792080000002</v>
      </c>
      <c r="DJ12" s="1">
        <f t="shared" si="29"/>
        <v>301.92103216000004</v>
      </c>
      <c r="DK12" s="1">
        <f t="shared" si="29"/>
        <v>260.76831764999997</v>
      </c>
      <c r="DL12" s="1">
        <f t="shared" si="29"/>
        <v>244.67742642000002</v>
      </c>
      <c r="DM12" s="1">
        <f t="shared" si="29"/>
        <v>322.58249758000005</v>
      </c>
      <c r="DN12" s="1">
        <f t="shared" si="29"/>
        <v>495.08938117000014</v>
      </c>
      <c r="DO12" s="1">
        <f t="shared" si="29"/>
        <v>539.06610803000001</v>
      </c>
      <c r="DP12" s="1">
        <f t="shared" si="29"/>
        <v>828.84254484999997</v>
      </c>
      <c r="DQ12" s="1">
        <f t="shared" si="29"/>
        <v>679.74768902999983</v>
      </c>
      <c r="DR12" s="1">
        <f t="shared" si="29"/>
        <v>678.42759025000009</v>
      </c>
      <c r="DS12" s="1">
        <f t="shared" si="29"/>
        <v>816.99926951999987</v>
      </c>
      <c r="DT12" s="1">
        <f t="shared" si="29"/>
        <v>236.29083821</v>
      </c>
      <c r="DU12" s="1">
        <f t="shared" si="29"/>
        <v>13.603287699999997</v>
      </c>
      <c r="DV12" s="1">
        <f t="shared" si="29"/>
        <v>8.4785749999999993E-2</v>
      </c>
      <c r="DW12" s="1">
        <f t="shared" si="29"/>
        <v>140.70586015999999</v>
      </c>
      <c r="DX12" s="1">
        <f t="shared" si="29"/>
        <v>7.5318475299999985</v>
      </c>
      <c r="DY12" s="1">
        <f t="shared" si="30"/>
        <v>157.51314244999998</v>
      </c>
      <c r="DZ12" s="1">
        <f t="shared" si="30"/>
        <v>227.42549563</v>
      </c>
      <c r="EA12" s="1">
        <f t="shared" si="30"/>
        <v>265.08736985999997</v>
      </c>
      <c r="EB12" s="1">
        <f t="shared" si="30"/>
        <v>444.08673073</v>
      </c>
      <c r="EC12" s="1">
        <f t="shared" si="30"/>
        <v>372.45221643000002</v>
      </c>
      <c r="ED12" s="1">
        <f t="shared" si="30"/>
        <v>268.34042300999999</v>
      </c>
      <c r="EE12" s="1">
        <f t="shared" si="30"/>
        <v>282.58655924999999</v>
      </c>
      <c r="EF12" s="1">
        <f t="shared" si="30"/>
        <v>100.87616828000002</v>
      </c>
      <c r="EH12" s="14">
        <f t="shared" si="31"/>
        <v>73450000</v>
      </c>
      <c r="EI12" s="14">
        <f t="shared" si="31"/>
        <v>73450000</v>
      </c>
      <c r="EJ12" s="1">
        <f t="shared" si="31"/>
        <v>73450000</v>
      </c>
      <c r="EK12" s="1">
        <f t="shared" si="31"/>
        <v>73450000</v>
      </c>
      <c r="EL12" s="1">
        <f t="shared" si="31"/>
        <v>73450000</v>
      </c>
      <c r="EM12" s="1">
        <f t="shared" si="31"/>
        <v>73450000</v>
      </c>
      <c r="EN12" s="1">
        <f t="shared" si="31"/>
        <v>73450000</v>
      </c>
      <c r="EO12" s="1">
        <f t="shared" si="31"/>
        <v>73450000</v>
      </c>
      <c r="EP12" s="1">
        <f t="shared" si="31"/>
        <v>73450000</v>
      </c>
      <c r="EQ12" s="1">
        <f t="shared" si="31"/>
        <v>73450000</v>
      </c>
      <c r="ER12" s="1">
        <f t="shared" si="31"/>
        <v>74890000</v>
      </c>
      <c r="ES12" s="1">
        <f t="shared" si="31"/>
        <v>75510000</v>
      </c>
      <c r="ET12" s="1">
        <f t="shared" si="31"/>
        <v>75510000</v>
      </c>
      <c r="EU12" s="1">
        <f t="shared" si="31"/>
        <v>75060000</v>
      </c>
      <c r="EV12" s="1">
        <f t="shared" si="31"/>
        <v>75060000</v>
      </c>
      <c r="EW12" s="1">
        <f t="shared" si="31"/>
        <v>75060000</v>
      </c>
      <c r="EX12" s="1">
        <f t="shared" si="32"/>
        <v>75060000</v>
      </c>
      <c r="EY12" s="1">
        <f t="shared" si="32"/>
        <v>75060000</v>
      </c>
      <c r="EZ12" s="1">
        <f t="shared" si="32"/>
        <v>75060000</v>
      </c>
      <c r="FA12" s="1">
        <f t="shared" si="32"/>
        <v>75060000</v>
      </c>
      <c r="FB12" s="1">
        <f t="shared" si="32"/>
        <v>75060000</v>
      </c>
      <c r="FC12" s="1">
        <f t="shared" si="32"/>
        <v>75060000</v>
      </c>
      <c r="FD12" s="1">
        <f t="shared" si="32"/>
        <v>80270000</v>
      </c>
      <c r="FE12" s="1">
        <f t="shared" si="32"/>
        <v>80260000</v>
      </c>
      <c r="FG12" s="162">
        <f t="shared" si="33"/>
        <v>-0.17220510472023554</v>
      </c>
    </row>
    <row r="13" spans="1:163" ht="30" customHeight="1">
      <c r="A13" s="226" t="s">
        <v>217</v>
      </c>
      <c r="B13" s="227"/>
      <c r="C13" s="228">
        <f t="shared" si="5"/>
        <v>0</v>
      </c>
      <c r="D13" s="229">
        <v>-1</v>
      </c>
      <c r="E13" s="230">
        <f t="shared" si="6"/>
        <v>0.26010424690359968</v>
      </c>
      <c r="F13" s="231">
        <f t="shared" si="7"/>
        <v>5.3961994013989045E-2</v>
      </c>
      <c r="G13" s="230">
        <f t="shared" si="8"/>
        <v>8.8830769291223355E-2</v>
      </c>
      <c r="H13" s="231">
        <f t="shared" si="9"/>
        <v>0.17127347761237632</v>
      </c>
      <c r="I13" s="230">
        <f t="shared" si="10"/>
        <v>1.2800941771802434</v>
      </c>
      <c r="J13" s="231">
        <f t="shared" si="11"/>
        <v>-1.2623267704506791</v>
      </c>
      <c r="K13" s="230">
        <f t="shared" si="34"/>
        <v>2.1614732147734008</v>
      </c>
      <c r="L13" s="231">
        <f t="shared" si="12"/>
        <v>-0.88137903759315739</v>
      </c>
      <c r="M13" s="232"/>
      <c r="N13" s="229">
        <v>0</v>
      </c>
      <c r="O13" s="230">
        <f t="shared" si="35"/>
        <v>-3.3006472151727695E-2</v>
      </c>
      <c r="P13" s="233">
        <f t="shared" si="36"/>
        <v>-3.3006472151727695E-2</v>
      </c>
      <c r="Q13" s="230">
        <f t="shared" si="13"/>
        <v>-1.4386787894224651E-2</v>
      </c>
      <c r="R13" s="234">
        <f t="shared" si="37"/>
        <v>-1.4386787894224651E-2</v>
      </c>
      <c r="S13" s="232"/>
      <c r="T13" s="229">
        <v>1</v>
      </c>
      <c r="U13" s="230">
        <f t="shared" si="14"/>
        <v>0.22317687754260063</v>
      </c>
      <c r="V13" s="235">
        <f t="shared" si="15"/>
        <v>0.22317687754260063</v>
      </c>
      <c r="W13" s="230">
        <f t="shared" si="38"/>
        <v>-0.40503433675528955</v>
      </c>
      <c r="X13" s="235">
        <f t="shared" si="16"/>
        <v>-0.40503433675528955</v>
      </c>
      <c r="Y13" s="230" t="str">
        <f t="shared" si="17"/>
        <v/>
      </c>
      <c r="Z13" s="235" t="str">
        <f t="shared" si="18"/>
        <v/>
      </c>
      <c r="AA13" s="238"/>
      <c r="AB13" s="242" t="s">
        <v>466</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3</v>
      </c>
      <c r="BA13" s="58">
        <f>VLOOKUP($A13,historia!$A$5:$CM$24,+HLOOKUP(BA$2,historia!$A$3:$EC$4,2,FALSE),FALSE)</f>
        <v>3</v>
      </c>
      <c r="BB13" s="30"/>
      <c r="BC13" s="141">
        <v>3</v>
      </c>
      <c r="BD13" t="str">
        <f t="shared" si="19"/>
        <v>Hortalizas</v>
      </c>
      <c r="BE13">
        <f>+datos!BB1</f>
        <v>54</v>
      </c>
      <c r="BF13" s="2" t="str">
        <f t="shared" si="4"/>
        <v>$/kg</v>
      </c>
      <c r="BG13" s="2">
        <f t="shared" si="4"/>
        <v>5632.3004195818285</v>
      </c>
      <c r="BH13" s="2">
        <f t="shared" si="4"/>
        <v>4469.7098937820738</v>
      </c>
      <c r="BI13" s="2">
        <f t="shared" si="4"/>
        <v>2470.2051678177636</v>
      </c>
      <c r="BK13">
        <f>+datos!CO1</f>
        <v>93</v>
      </c>
      <c r="BL13" s="2">
        <f t="shared" si="20"/>
        <v>6458.9629377601696</v>
      </c>
      <c r="BM13" s="2">
        <f t="shared" si="20"/>
        <v>5932.0172793836873</v>
      </c>
      <c r="BN13" s="2">
        <f t="shared" si="20"/>
        <v>2043.0231411032582</v>
      </c>
      <c r="BP13" s="1">
        <f>+datos!EX1</f>
        <v>154</v>
      </c>
      <c r="BQ13" s="1">
        <f t="shared" si="21"/>
        <v>64395</v>
      </c>
      <c r="BR13" s="1">
        <f t="shared" si="21"/>
        <v>66593</v>
      </c>
      <c r="BT13" s="1">
        <f>+datos!GN1</f>
        <v>196</v>
      </c>
      <c r="BU13" s="1">
        <f t="shared" si="22"/>
        <v>2639386</v>
      </c>
      <c r="BV13" s="1">
        <f t="shared" si="22"/>
        <v>2677912.56</v>
      </c>
      <c r="BX13" s="1">
        <f>+datos!LR1</f>
        <v>330</v>
      </c>
      <c r="BY13" s="1">
        <f t="shared" si="39"/>
        <v>63.61748223</v>
      </c>
      <c r="BZ13" s="1">
        <f t="shared" si="40"/>
        <v>52.010043190000005</v>
      </c>
      <c r="CB13" s="1">
        <f>+datos!LV1</f>
        <v>334</v>
      </c>
      <c r="CC13" s="2">
        <f t="shared" si="23"/>
        <v>16.327359820000002</v>
      </c>
      <c r="CD13" s="2">
        <f t="shared" si="24"/>
        <v>27.442524550000002</v>
      </c>
      <c r="CF13" s="1">
        <f>+datos!IX1</f>
        <v>258</v>
      </c>
      <c r="CG13" s="1">
        <f t="shared" si="25"/>
        <v>0</v>
      </c>
      <c r="CH13" s="1">
        <f t="shared" si="26"/>
        <v>0</v>
      </c>
      <c r="CJ13" s="1">
        <f t="shared" si="27"/>
        <v>3.9700200400000001</v>
      </c>
      <c r="CK13" s="1">
        <f t="shared" si="27"/>
        <v>4.244482989999999</v>
      </c>
      <c r="CL13" s="1">
        <f t="shared" si="27"/>
        <v>3.7692072699999999</v>
      </c>
      <c r="CM13" s="1">
        <f t="shared" si="27"/>
        <v>4.3561451300000007</v>
      </c>
      <c r="CN13" s="1">
        <f t="shared" si="27"/>
        <v>2.35708815</v>
      </c>
      <c r="CO13" s="1">
        <f t="shared" si="27"/>
        <v>2.9990922500000003</v>
      </c>
      <c r="CP13" s="1">
        <f t="shared" si="27"/>
        <v>4.9654154400000001</v>
      </c>
      <c r="CQ13" s="1">
        <f t="shared" si="27"/>
        <v>7.7556872599999993</v>
      </c>
      <c r="CR13" s="1">
        <f t="shared" si="27"/>
        <v>10.641103850000002</v>
      </c>
      <c r="CS13" s="1">
        <f t="shared" si="27"/>
        <v>9.2379974100000002</v>
      </c>
      <c r="CT13" s="1">
        <f t="shared" si="27"/>
        <v>6.8023944899999993</v>
      </c>
      <c r="CU13" s="1">
        <f t="shared" si="27"/>
        <v>2.5188479500000001</v>
      </c>
      <c r="CV13" s="1">
        <f t="shared" si="27"/>
        <v>1.93600679</v>
      </c>
      <c r="CW13" s="1">
        <f t="shared" si="27"/>
        <v>3.7029913799999998</v>
      </c>
      <c r="CX13" s="1">
        <f t="shared" si="27"/>
        <v>3.1144052499999999</v>
      </c>
      <c r="CY13" s="1">
        <f t="shared" si="27"/>
        <v>2.0701945399999997</v>
      </c>
      <c r="CZ13" s="1">
        <f t="shared" si="28"/>
        <v>2.0629542399999998</v>
      </c>
      <c r="DA13" s="1">
        <f t="shared" si="28"/>
        <v>2.51054522</v>
      </c>
      <c r="DB13" s="1">
        <f t="shared" si="28"/>
        <v>2.2984328500000002</v>
      </c>
      <c r="DC13" s="1">
        <f t="shared" si="28"/>
        <v>3.8278206699999999</v>
      </c>
      <c r="DD13" s="1">
        <f t="shared" si="28"/>
        <v>11.23098199</v>
      </c>
      <c r="DE13" s="1">
        <f t="shared" si="28"/>
        <v>8.9491606099999998</v>
      </c>
      <c r="DF13" s="1">
        <f t="shared" si="28"/>
        <v>7.7927078999999999</v>
      </c>
      <c r="DG13" s="1">
        <f t="shared" si="28"/>
        <v>2.5138417500000001</v>
      </c>
      <c r="DI13" s="1">
        <f t="shared" si="29"/>
        <v>6.8422739999999996E-2</v>
      </c>
      <c r="DJ13" s="1">
        <f t="shared" si="29"/>
        <v>1.38860757</v>
      </c>
      <c r="DK13" s="1">
        <f t="shared" si="29"/>
        <v>1.9631409899999996</v>
      </c>
      <c r="DL13" s="1">
        <f t="shared" si="29"/>
        <v>1.5225679400000001</v>
      </c>
      <c r="DM13" s="1">
        <f t="shared" si="29"/>
        <v>1.3263511099999998</v>
      </c>
      <c r="DN13" s="1">
        <f t="shared" si="29"/>
        <v>2.5091586699999997</v>
      </c>
      <c r="DO13" s="1">
        <f t="shared" si="29"/>
        <v>1.6528733800000002</v>
      </c>
      <c r="DP13" s="1">
        <f t="shared" si="29"/>
        <v>0.42388491999999994</v>
      </c>
      <c r="DQ13" s="1">
        <f t="shared" si="29"/>
        <v>1.7301791</v>
      </c>
      <c r="DR13" s="1">
        <f t="shared" si="29"/>
        <v>2.0483479400000002</v>
      </c>
      <c r="DS13" s="1">
        <f t="shared" si="29"/>
        <v>0.56045690999999997</v>
      </c>
      <c r="DT13" s="1">
        <f t="shared" si="29"/>
        <v>1.1333685500000001</v>
      </c>
      <c r="DU13" s="1">
        <f t="shared" si="29"/>
        <v>1.93118693</v>
      </c>
      <c r="DV13" s="1">
        <f t="shared" si="29"/>
        <v>0.60248590000000002</v>
      </c>
      <c r="DW13" s="1">
        <f t="shared" si="29"/>
        <v>0.87790919000000001</v>
      </c>
      <c r="DX13" s="1">
        <f t="shared" si="29"/>
        <v>1.4386166999999999</v>
      </c>
      <c r="DY13" s="1">
        <f t="shared" si="30"/>
        <v>5.8540475399999998</v>
      </c>
      <c r="DZ13" s="1">
        <f t="shared" si="30"/>
        <v>5.5126731700000002</v>
      </c>
      <c r="EA13" s="1">
        <f t="shared" si="30"/>
        <v>2.0048543400000001</v>
      </c>
      <c r="EB13" s="1">
        <f t="shared" si="30"/>
        <v>1.96789565</v>
      </c>
      <c r="EC13" s="1">
        <f t="shared" si="30"/>
        <v>1.35731402</v>
      </c>
      <c r="ED13" s="1">
        <f t="shared" si="30"/>
        <v>2.5763999899999996</v>
      </c>
      <c r="EE13" s="1">
        <f t="shared" si="30"/>
        <v>1.9681859399999997</v>
      </c>
      <c r="EF13" s="1">
        <f t="shared" si="30"/>
        <v>1.3509551799999999</v>
      </c>
      <c r="EH13" s="14">
        <f t="shared" si="31"/>
        <v>0</v>
      </c>
      <c r="EI13" s="14">
        <f t="shared" si="31"/>
        <v>0</v>
      </c>
      <c r="EJ13" s="1">
        <f t="shared" si="31"/>
        <v>0</v>
      </c>
      <c r="EK13" s="1">
        <f t="shared" si="31"/>
        <v>0</v>
      </c>
      <c r="EL13" s="1">
        <f t="shared" si="31"/>
        <v>0</v>
      </c>
      <c r="EM13" s="1">
        <f t="shared" si="31"/>
        <v>0</v>
      </c>
      <c r="EN13" s="1">
        <f t="shared" si="31"/>
        <v>0</v>
      </c>
      <c r="EO13" s="1">
        <f t="shared" si="31"/>
        <v>0</v>
      </c>
      <c r="EP13" s="1">
        <f t="shared" si="31"/>
        <v>0</v>
      </c>
      <c r="EQ13" s="1">
        <f t="shared" si="31"/>
        <v>0</v>
      </c>
      <c r="ER13" s="1">
        <f t="shared" si="31"/>
        <v>0</v>
      </c>
      <c r="ES13" s="1">
        <f t="shared" si="31"/>
        <v>0</v>
      </c>
      <c r="ET13" s="1">
        <f t="shared" si="31"/>
        <v>0</v>
      </c>
      <c r="EU13" s="1">
        <f t="shared" si="31"/>
        <v>0</v>
      </c>
      <c r="EV13" s="1">
        <f t="shared" si="31"/>
        <v>0</v>
      </c>
      <c r="EW13" s="1">
        <f t="shared" si="31"/>
        <v>0</v>
      </c>
      <c r="EX13" s="1">
        <f t="shared" si="32"/>
        <v>0</v>
      </c>
      <c r="EY13" s="1">
        <f t="shared" si="32"/>
        <v>0</v>
      </c>
      <c r="EZ13" s="1">
        <f t="shared" si="32"/>
        <v>0</v>
      </c>
      <c r="FA13" s="1">
        <f t="shared" si="32"/>
        <v>0</v>
      </c>
      <c r="FB13" s="1">
        <f t="shared" si="32"/>
        <v>0</v>
      </c>
      <c r="FC13" s="1">
        <f t="shared" si="32"/>
        <v>0</v>
      </c>
      <c r="FD13" s="1">
        <f t="shared" si="32"/>
        <v>0</v>
      </c>
      <c r="FE13" s="1">
        <f t="shared" si="32"/>
        <v>0</v>
      </c>
      <c r="FG13" s="162">
        <f t="shared" si="33"/>
        <v>-0.88137903759315739</v>
      </c>
    </row>
    <row r="14" spans="1:163" ht="30" customHeight="1">
      <c r="A14" s="222" t="s">
        <v>65</v>
      </c>
      <c r="B14" s="212"/>
      <c r="C14" s="156">
        <f t="shared" si="5"/>
        <v>-0.99</v>
      </c>
      <c r="D14" s="198">
        <v>-1</v>
      </c>
      <c r="E14" s="213">
        <f t="shared" si="6"/>
        <v>0.25959204750839127</v>
      </c>
      <c r="F14" s="214">
        <f t="shared" si="7"/>
        <v>5.3449794618780633E-2</v>
      </c>
      <c r="G14" s="213">
        <f t="shared" si="8"/>
        <v>5.6313287569165205E-2</v>
      </c>
      <c r="H14" s="214">
        <f t="shared" si="9"/>
        <v>0.20327875993922606</v>
      </c>
      <c r="I14" s="213">
        <f t="shared" si="10"/>
        <v>2.4855673049442695</v>
      </c>
      <c r="J14" s="214">
        <f t="shared" si="11"/>
        <v>-5.685364268665305E-2</v>
      </c>
      <c r="K14" s="213">
        <f t="shared" si="34"/>
        <v>2.2679751017867824</v>
      </c>
      <c r="L14" s="214">
        <f t="shared" si="12"/>
        <v>0.21759220315748706</v>
      </c>
      <c r="M14" s="215"/>
      <c r="N14" s="198">
        <v>-1</v>
      </c>
      <c r="O14" s="213">
        <f t="shared" si="35"/>
        <v>0</v>
      </c>
      <c r="P14" s="216">
        <f t="shared" si="36"/>
        <v>0</v>
      </c>
      <c r="Q14" s="213">
        <f t="shared" si="13"/>
        <v>-3.3628893312726671E-2</v>
      </c>
      <c r="R14" s="217">
        <f t="shared" si="37"/>
        <v>-3.3628893312726671E-2</v>
      </c>
      <c r="S14" s="215"/>
      <c r="T14" s="198">
        <v>-1</v>
      </c>
      <c r="U14" s="213">
        <f t="shared" si="14"/>
        <v>-0.1771102607803926</v>
      </c>
      <c r="V14" s="45">
        <f t="shared" si="15"/>
        <v>-0.1771102607803926</v>
      </c>
      <c r="W14" s="213">
        <f t="shared" si="38"/>
        <v>-0.16329261157737407</v>
      </c>
      <c r="X14" s="45">
        <f t="shared" si="16"/>
        <v>-0.16329261157737407</v>
      </c>
      <c r="Y14" s="213">
        <f t="shared" si="17"/>
        <v>-4.7720042417815911E-3</v>
      </c>
      <c r="Z14" s="45">
        <f t="shared" si="18"/>
        <v>-4.7720042417815911E-3</v>
      </c>
      <c r="AA14" s="30"/>
      <c r="AB14" s="242" t="s">
        <v>467</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P14" s="28">
        <f>VLOOKUP($A14,historia!$A$5:$CM$24,+HLOOKUP(AP$2,historia!$A$3:$EC$4,2,FALSE),FALSE)</f>
        <v>5</v>
      </c>
      <c r="AQ14" s="28">
        <f>VLOOKUP($A14,historia!$A$5:$CM$24,+HLOOKUP(AQ$2,historia!$A$3:$EC$4,2,FALSE),FALSE)</f>
        <v>5</v>
      </c>
      <c r="AR14" s="28">
        <f>VLOOKUP($A14,historia!$A$5:$CM$24,+HLOOKUP(AR$2,historia!$A$3:$EC$4,2,FALSE),FALSE)</f>
        <v>5</v>
      </c>
      <c r="AS14" s="28">
        <f>VLOOKUP($A14,historia!$A$5:$CM$24,+HLOOKUP(AS$2,historia!$A$3:$EC$4,2,FALSE),FALSE)</f>
        <v>5</v>
      </c>
      <c r="AT14" s="58">
        <f>VLOOKUP($A14,historia!$A$5:$CM$24,+HLOOKUP(AT$2,historia!$A$3:$EC$4,2,FALSE),FALSE)</f>
        <v>5</v>
      </c>
      <c r="AU14" s="58">
        <f>VLOOKUP($A14,historia!$A$5:$CM$24,+HLOOKUP(AU$2,historia!$A$3:$EC$4,2,FALSE),FALSE)</f>
        <v>5</v>
      </c>
      <c r="AV14" s="58">
        <f>VLOOKUP($A14,historia!$A$5:$CM$24,+HLOOKUP(AV$2,historia!$A$3:$EC$4,2,FALSE),FALSE)</f>
        <v>5</v>
      </c>
      <c r="AW14" s="58">
        <f>VLOOKUP($A14,historia!$A$5:$CM$24,+HLOOKUP(AW$2,historia!$A$3:$EC$4,2,FALSE),FALSE)</f>
        <v>5</v>
      </c>
      <c r="AX14" s="58">
        <f>VLOOKUP($A14,historia!$A$5:$CM$24,+HLOOKUP(AX$2,historia!$A$3:$EC$4,2,FALSE),FALSE)</f>
        <v>5</v>
      </c>
      <c r="AY14" s="58">
        <f>VLOOKUP($A14,historia!$A$5:$CM$24,+HLOOKUP(AY$2,historia!$A$3:$EC$4,2,FALSE),FALSE)</f>
        <v>5</v>
      </c>
      <c r="AZ14" s="58">
        <f>VLOOKUP($A14,historia!$A$5:$CM$24,+HLOOKUP(AZ$2,historia!$A$3:$EC$4,2,FALSE),FALSE)</f>
        <v>5</v>
      </c>
      <c r="BA14" s="58">
        <f>VLOOKUP($A14,historia!$A$5:$CM$24,+HLOOKUP(BA$2,historia!$A$3:$EC$4,2,FALSE),FALSE)</f>
        <v>5</v>
      </c>
      <c r="BB14" s="30"/>
      <c r="BC14" s="141">
        <v>5</v>
      </c>
      <c r="BD14" t="str">
        <f t="shared" si="19"/>
        <v>Leche</v>
      </c>
      <c r="BE14">
        <f>+datos!BN1</f>
        <v>66</v>
      </c>
      <c r="BF14" s="2" t="str">
        <f t="shared" si="4"/>
        <v>$/l</v>
      </c>
      <c r="BG14" s="2">
        <f t="shared" si="4"/>
        <v>243.92</v>
      </c>
      <c r="BH14" s="2">
        <f t="shared" si="4"/>
        <v>193.65</v>
      </c>
      <c r="BI14" s="2">
        <f t="shared" si="4"/>
        <v>69.98</v>
      </c>
      <c r="BK14">
        <f>+datos!DC1</f>
        <v>107</v>
      </c>
      <c r="BL14" s="2">
        <f t="shared" si="20"/>
        <v>7101.6915600638822</v>
      </c>
      <c r="BM14" s="2">
        <f t="shared" si="20"/>
        <v>6723.0921390817766</v>
      </c>
      <c r="BN14" s="2">
        <f t="shared" si="20"/>
        <v>2173.1167891031346</v>
      </c>
      <c r="BP14" s="1">
        <f>+datos!EN1</f>
        <v>144</v>
      </c>
      <c r="BQ14" s="1">
        <f t="shared" si="21"/>
        <v>3169981</v>
      </c>
      <c r="BR14" s="1">
        <f t="shared" si="21"/>
        <v>3169981</v>
      </c>
      <c r="BT14" s="1">
        <f>+datos!HP1</f>
        <v>224</v>
      </c>
      <c r="BU14" s="1">
        <f t="shared" si="22"/>
        <v>11199.999285</v>
      </c>
      <c r="BV14" s="1">
        <f t="shared" si="22"/>
        <v>11589.749742615622</v>
      </c>
      <c r="BX14" s="1">
        <f>+datos!KH1</f>
        <v>294</v>
      </c>
      <c r="BY14" s="1">
        <f t="shared" si="39"/>
        <v>1551.9484831</v>
      </c>
      <c r="BZ14" s="1">
        <f t="shared" si="40"/>
        <v>1885.9737934900002</v>
      </c>
      <c r="CB14" s="1">
        <f>+datos!LM1</f>
        <v>325</v>
      </c>
      <c r="CC14" s="2">
        <f t="shared" si="23"/>
        <v>26.634704439999997</v>
      </c>
      <c r="CD14" s="2">
        <f t="shared" si="24"/>
        <v>31.832758750000004</v>
      </c>
      <c r="CF14" s="1">
        <f>+datos!IN1</f>
        <v>248</v>
      </c>
      <c r="CG14" s="1">
        <f t="shared" si="25"/>
        <v>187.7</v>
      </c>
      <c r="CH14" s="1">
        <f t="shared" si="26"/>
        <v>188.6</v>
      </c>
      <c r="CJ14" s="1">
        <f t="shared" si="27"/>
        <v>139.44218023000002</v>
      </c>
      <c r="CK14" s="1">
        <f t="shared" si="27"/>
        <v>153.04661877999999</v>
      </c>
      <c r="CL14" s="1">
        <f t="shared" si="27"/>
        <v>136.81239812999999</v>
      </c>
      <c r="CM14" s="1">
        <f t="shared" si="27"/>
        <v>134.16752365000002</v>
      </c>
      <c r="CN14" s="1">
        <f t="shared" si="27"/>
        <v>114.82793965999997</v>
      </c>
      <c r="CO14" s="1">
        <f t="shared" si="27"/>
        <v>120.47507141999999</v>
      </c>
      <c r="CP14" s="1">
        <f t="shared" si="27"/>
        <v>118.84770241</v>
      </c>
      <c r="CQ14" s="1">
        <f t="shared" si="27"/>
        <v>100.85116919999999</v>
      </c>
      <c r="CR14" s="1">
        <f t="shared" si="27"/>
        <v>116.29617616</v>
      </c>
      <c r="CS14" s="1">
        <f t="shared" si="27"/>
        <v>115.47027065</v>
      </c>
      <c r="CT14" s="1">
        <f t="shared" si="27"/>
        <v>138.26089648999999</v>
      </c>
      <c r="CU14" s="1">
        <f t="shared" si="27"/>
        <v>163.45053632000003</v>
      </c>
      <c r="CV14" s="1">
        <f t="shared" si="27"/>
        <v>135.61809928</v>
      </c>
      <c r="CW14" s="1">
        <f t="shared" si="27"/>
        <v>152.11245593000001</v>
      </c>
      <c r="CX14" s="1">
        <f t="shared" si="27"/>
        <v>167.62191332</v>
      </c>
      <c r="CY14" s="1">
        <f t="shared" si="27"/>
        <v>194.12902524000003</v>
      </c>
      <c r="CZ14" s="1">
        <f t="shared" si="28"/>
        <v>153.24721415000002</v>
      </c>
      <c r="DA14" s="1">
        <f t="shared" si="28"/>
        <v>146.24437125</v>
      </c>
      <c r="DB14" s="1">
        <f t="shared" si="28"/>
        <v>192.10888658000002</v>
      </c>
      <c r="DC14" s="1">
        <f t="shared" si="28"/>
        <v>152.44279752</v>
      </c>
      <c r="DD14" s="1">
        <f t="shared" si="28"/>
        <v>151.50018190000003</v>
      </c>
      <c r="DE14" s="1">
        <f t="shared" si="28"/>
        <v>143.54288933999999</v>
      </c>
      <c r="DF14" s="1">
        <f t="shared" si="28"/>
        <v>150.63131442000002</v>
      </c>
      <c r="DG14" s="1">
        <f t="shared" si="28"/>
        <v>146.77464456000001</v>
      </c>
      <c r="DI14" s="1">
        <f t="shared" si="29"/>
        <v>3.0425877200000002</v>
      </c>
      <c r="DJ14" s="1">
        <f t="shared" si="29"/>
        <v>1.8227840799999999</v>
      </c>
      <c r="DK14" s="1">
        <f t="shared" si="29"/>
        <v>2.1288867499999999</v>
      </c>
      <c r="DL14" s="1">
        <f t="shared" si="29"/>
        <v>2.0947676</v>
      </c>
      <c r="DM14" s="1">
        <f t="shared" si="29"/>
        <v>1.2699740900000001</v>
      </c>
      <c r="DN14" s="1">
        <f t="shared" si="29"/>
        <v>1.3202370399999999</v>
      </c>
      <c r="DO14" s="1">
        <f t="shared" si="29"/>
        <v>2.29115132</v>
      </c>
      <c r="DP14" s="1">
        <f t="shared" si="29"/>
        <v>1.8108909100000001</v>
      </c>
      <c r="DQ14" s="1">
        <f t="shared" si="29"/>
        <v>3.0093188999999998</v>
      </c>
      <c r="DR14" s="1">
        <f t="shared" si="29"/>
        <v>2.2926081099999998</v>
      </c>
      <c r="DS14" s="1">
        <f t="shared" si="29"/>
        <v>3.2446467999999999</v>
      </c>
      <c r="DT14" s="1">
        <f t="shared" si="29"/>
        <v>2.3068511200000001</v>
      </c>
      <c r="DU14" s="1">
        <f t="shared" si="29"/>
        <v>2.4321035299999991</v>
      </c>
      <c r="DV14" s="1">
        <f t="shared" si="29"/>
        <v>0</v>
      </c>
      <c r="DW14" s="1">
        <f t="shared" si="29"/>
        <v>2.4168714900000001</v>
      </c>
      <c r="DX14" s="1">
        <f t="shared" si="29"/>
        <v>1.42944377</v>
      </c>
      <c r="DY14" s="1">
        <f t="shared" si="30"/>
        <v>2.4256843100000003</v>
      </c>
      <c r="DZ14" s="1">
        <f t="shared" si="30"/>
        <v>4.1067614599999995</v>
      </c>
      <c r="EA14" s="1">
        <f t="shared" si="30"/>
        <v>1.9338399900000003</v>
      </c>
      <c r="EB14" s="1">
        <f t="shared" si="30"/>
        <v>3.7249795299999997</v>
      </c>
      <c r="EC14" s="1">
        <f t="shared" si="30"/>
        <v>4.5194618700000007</v>
      </c>
      <c r="ED14" s="1">
        <f t="shared" si="30"/>
        <v>3.2917525699999999</v>
      </c>
      <c r="EE14" s="1">
        <f t="shared" si="30"/>
        <v>3.3109050799999999</v>
      </c>
      <c r="EF14" s="1">
        <f t="shared" si="30"/>
        <v>2.24095515</v>
      </c>
      <c r="EH14" s="14">
        <f t="shared" si="31"/>
        <v>187.7</v>
      </c>
      <c r="EI14" s="14">
        <f t="shared" si="31"/>
        <v>196.8</v>
      </c>
      <c r="EJ14" s="1">
        <f t="shared" si="31"/>
        <v>196.8</v>
      </c>
      <c r="EK14" s="1">
        <f t="shared" si="31"/>
        <v>188.6</v>
      </c>
      <c r="EL14" s="1">
        <f t="shared" si="31"/>
        <v>188.6</v>
      </c>
      <c r="EM14" s="1">
        <f t="shared" si="31"/>
        <v>188.6</v>
      </c>
      <c r="EN14" s="1">
        <f t="shared" si="31"/>
        <v>188.6</v>
      </c>
      <c r="EO14" s="1">
        <f t="shared" si="31"/>
        <v>188.6</v>
      </c>
      <c r="EP14" s="1">
        <f t="shared" si="31"/>
        <v>188.6</v>
      </c>
      <c r="EQ14" s="1">
        <f t="shared" si="31"/>
        <v>188.6</v>
      </c>
      <c r="ER14" s="1">
        <f t="shared" si="31"/>
        <v>188.6</v>
      </c>
      <c r="ES14" s="1">
        <f t="shared" si="31"/>
        <v>188.6</v>
      </c>
      <c r="ET14" s="1">
        <f t="shared" si="31"/>
        <v>188.6</v>
      </c>
      <c r="EU14" s="1">
        <f t="shared" si="31"/>
        <v>188.6</v>
      </c>
      <c r="EV14" s="1">
        <f t="shared" si="31"/>
        <v>188.6</v>
      </c>
      <c r="EW14" s="1">
        <f t="shared" si="31"/>
        <v>185.6</v>
      </c>
      <c r="EX14" s="1">
        <f t="shared" si="32"/>
        <v>185.6</v>
      </c>
      <c r="EY14" s="1">
        <f t="shared" si="32"/>
        <v>189</v>
      </c>
      <c r="EZ14" s="1">
        <f t="shared" si="32"/>
        <v>189</v>
      </c>
      <c r="FA14" s="1">
        <f t="shared" si="32"/>
        <v>189</v>
      </c>
      <c r="FB14" s="1">
        <f t="shared" si="32"/>
        <v>189</v>
      </c>
      <c r="FC14" s="1">
        <f t="shared" si="32"/>
        <v>189</v>
      </c>
      <c r="FD14" s="1">
        <f t="shared" si="32"/>
        <v>189</v>
      </c>
      <c r="FE14" s="1">
        <f t="shared" si="32"/>
        <v>189</v>
      </c>
      <c r="FG14" s="162">
        <f t="shared" si="33"/>
        <v>0.21759220315748706</v>
      </c>
    </row>
    <row r="15" spans="1:163" ht="30" customHeight="1">
      <c r="A15" s="226" t="s">
        <v>68</v>
      </c>
      <c r="B15" s="227"/>
      <c r="C15" s="228">
        <f t="shared" si="5"/>
        <v>-0.66</v>
      </c>
      <c r="D15" s="229">
        <v>-1</v>
      </c>
      <c r="E15" s="230">
        <f t="shared" si="6"/>
        <v>6.2074989082288257E-2</v>
      </c>
      <c r="F15" s="231">
        <f t="shared" si="7"/>
        <v>-0.14406726380732238</v>
      </c>
      <c r="G15" s="230">
        <f t="shared" si="8"/>
        <v>7.3292621954640147E-2</v>
      </c>
      <c r="H15" s="231">
        <f t="shared" si="9"/>
        <v>-1.121763287235189E-2</v>
      </c>
      <c r="I15" s="230">
        <f t="shared" si="10"/>
        <v>0.83552824114720492</v>
      </c>
      <c r="J15" s="231">
        <f t="shared" si="11"/>
        <v>-1.7068927064837176</v>
      </c>
      <c r="K15" s="230">
        <f t="shared" si="34"/>
        <v>2.0409948558781248</v>
      </c>
      <c r="L15" s="231">
        <f t="shared" si="12"/>
        <v>-1.2054666147309199</v>
      </c>
      <c r="M15" s="232"/>
      <c r="N15" s="229">
        <v>0</v>
      </c>
      <c r="O15" s="230">
        <f t="shared" si="35"/>
        <v>-8.022582082899965E-3</v>
      </c>
      <c r="P15" s="233">
        <f t="shared" si="36"/>
        <v>-8.022582082899965E-3</v>
      </c>
      <c r="Q15" s="230">
        <f t="shared" si="13"/>
        <v>-3.262739139568871E-3</v>
      </c>
      <c r="R15" s="234">
        <f t="shared" si="37"/>
        <v>-3.262739139568871E-3</v>
      </c>
      <c r="S15" s="232"/>
      <c r="T15" s="229">
        <v>-1</v>
      </c>
      <c r="U15" s="230" t="str">
        <f t="shared" si="14"/>
        <v/>
      </c>
      <c r="V15" s="235" t="str">
        <f t="shared" si="15"/>
        <v/>
      </c>
      <c r="W15" s="230">
        <f t="shared" si="38"/>
        <v>5.419636397990435E-2</v>
      </c>
      <c r="X15" s="235">
        <f t="shared" si="16"/>
        <v>5.419636397990435E-2</v>
      </c>
      <c r="Y15" s="230">
        <f t="shared" si="17"/>
        <v>0</v>
      </c>
      <c r="Z15" s="235">
        <f t="shared" si="18"/>
        <v>0</v>
      </c>
      <c r="AA15" s="238"/>
      <c r="AB15" s="242" t="s">
        <v>468</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P15" s="28">
        <f>VLOOKUP($A15,historia!$A$5:$CM$24,+HLOOKUP(AP$2,historia!$A$3:$EC$4,2,FALSE),FALSE)</f>
        <v>4</v>
      </c>
      <c r="AQ15" s="28">
        <f>VLOOKUP($A15,historia!$A$5:$CM$24,+HLOOKUP(AQ$2,historia!$A$3:$EC$4,2,FALSE),FALSE)</f>
        <v>4</v>
      </c>
      <c r="AR15" s="28">
        <f>VLOOKUP($A15,historia!$A$5:$CM$24,+HLOOKUP(AR$2,historia!$A$3:$EC$4,2,FALSE),FALSE)</f>
        <v>4</v>
      </c>
      <c r="AS15" s="28">
        <f>VLOOKUP($A15,historia!$A$5:$CM$24,+HLOOKUP(AS$2,historia!$A$3:$EC$4,2,FALSE),FALSE)</f>
        <v>4</v>
      </c>
      <c r="AT15" s="58">
        <f>VLOOKUP($A15,historia!$A$5:$CM$24,+HLOOKUP(AT$2,historia!$A$3:$EC$4,2,FALSE),FALSE)</f>
        <v>4</v>
      </c>
      <c r="AU15" s="58">
        <f>VLOOKUP($A15,historia!$A$5:$CM$24,+HLOOKUP(AU$2,historia!$A$3:$EC$4,2,FALSE),FALSE)</f>
        <v>4</v>
      </c>
      <c r="AV15" s="58">
        <f>VLOOKUP($A15,historia!$A$5:$CM$24,+HLOOKUP(AV$2,historia!$A$3:$EC$4,2,FALSE),FALSE)</f>
        <v>4</v>
      </c>
      <c r="AW15" s="58">
        <f>VLOOKUP($A15,historia!$A$5:$CM$24,+HLOOKUP(AW$2,historia!$A$3:$EC$4,2,FALSE),FALSE)</f>
        <v>4</v>
      </c>
      <c r="AX15" s="58">
        <f>VLOOKUP($A15,historia!$A$5:$CM$24,+HLOOKUP(AX$2,historia!$A$3:$EC$4,2,FALSE),FALSE)</f>
        <v>4</v>
      </c>
      <c r="AY15" s="58">
        <f>VLOOKUP($A15,historia!$A$5:$CM$24,+HLOOKUP(AY$2,historia!$A$3:$EC$4,2,FALSE),FALSE)</f>
        <v>4</v>
      </c>
      <c r="AZ15" s="58">
        <f>VLOOKUP($A15,historia!$A$5:$CM$24,+HLOOKUP(AZ$2,historia!$A$3:$EC$4,2,FALSE),FALSE)</f>
        <v>4</v>
      </c>
      <c r="BA15" s="58">
        <f>VLOOKUP($A15,historia!$A$5:$CM$24,+HLOOKUP(BA$2,historia!$A$3:$EC$4,2,FALSE),FALSE)</f>
        <v>4</v>
      </c>
      <c r="BB15" s="30"/>
      <c r="BC15" s="141">
        <v>4</v>
      </c>
      <c r="BD15" t="str">
        <f t="shared" si="19"/>
        <v>Mandioca</v>
      </c>
      <c r="BE15">
        <f>+datos!AW1</f>
        <v>49</v>
      </c>
      <c r="BF15" s="2" t="str">
        <f t="shared" si="4"/>
        <v>$/bolsa40kg</v>
      </c>
      <c r="BG15" s="2">
        <f t="shared" si="4"/>
        <v>9955.5555555555547</v>
      </c>
      <c r="BH15" s="2">
        <f t="shared" si="4"/>
        <v>9373.6842105263149</v>
      </c>
      <c r="BI15" s="2">
        <f t="shared" si="4"/>
        <v>5423.8095238095239</v>
      </c>
      <c r="BK15">
        <f>+datos!CJ1</f>
        <v>88</v>
      </c>
      <c r="BL15" s="2">
        <f t="shared" si="20"/>
        <v>5714.7030685304499</v>
      </c>
      <c r="BM15" s="2">
        <f t="shared" si="20"/>
        <v>5324.4594732450951</v>
      </c>
      <c r="BN15" s="2">
        <f t="shared" si="20"/>
        <v>1879.2215506330604</v>
      </c>
      <c r="BP15" s="1">
        <f>+datos!EY1</f>
        <v>155</v>
      </c>
      <c r="BQ15" s="1">
        <f t="shared" si="21"/>
        <v>20031</v>
      </c>
      <c r="BR15" s="1">
        <f t="shared" si="21"/>
        <v>20193</v>
      </c>
      <c r="BT15" s="1">
        <f>+datos!GO1</f>
        <v>197</v>
      </c>
      <c r="BU15" s="1">
        <f t="shared" si="22"/>
        <v>201734</v>
      </c>
      <c r="BV15" s="1">
        <f t="shared" si="22"/>
        <v>202394.36</v>
      </c>
      <c r="BX15" s="1">
        <f>+datos!JP1</f>
        <v>276</v>
      </c>
      <c r="BY15" s="1">
        <f t="shared" si="39"/>
        <v>0</v>
      </c>
      <c r="BZ15" s="1">
        <f t="shared" si="40"/>
        <v>0</v>
      </c>
      <c r="CB15" s="1">
        <f>+datos!KU1</f>
        <v>307</v>
      </c>
      <c r="CC15" s="2">
        <f t="shared" si="23"/>
        <v>9.3785980000000002</v>
      </c>
      <c r="CD15" s="2">
        <f t="shared" si="24"/>
        <v>8.8964431299999998</v>
      </c>
      <c r="CF15" s="1">
        <f>+datos!IY1</f>
        <v>259</v>
      </c>
      <c r="CG15" s="1">
        <f t="shared" si="25"/>
        <v>1.88</v>
      </c>
      <c r="CH15" s="1">
        <f t="shared" si="26"/>
        <v>1.88</v>
      </c>
      <c r="CJ15" s="1">
        <f t="shared" si="27"/>
        <v>0</v>
      </c>
      <c r="CK15" s="1">
        <f t="shared" si="27"/>
        <v>0</v>
      </c>
      <c r="CL15" s="1">
        <f t="shared" si="27"/>
        <v>0</v>
      </c>
      <c r="CM15" s="1">
        <f t="shared" si="27"/>
        <v>0</v>
      </c>
      <c r="CN15" s="1">
        <f t="shared" si="27"/>
        <v>0</v>
      </c>
      <c r="CO15" s="1">
        <f t="shared" si="27"/>
        <v>0</v>
      </c>
      <c r="CP15" s="1">
        <f t="shared" si="27"/>
        <v>0</v>
      </c>
      <c r="CQ15" s="1">
        <f t="shared" si="27"/>
        <v>0</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8"/>
        <v>0</v>
      </c>
      <c r="DA15" s="1">
        <f t="shared" si="28"/>
        <v>0</v>
      </c>
      <c r="DB15" s="1">
        <f t="shared" si="28"/>
        <v>0</v>
      </c>
      <c r="DC15" s="1">
        <f t="shared" si="28"/>
        <v>0</v>
      </c>
      <c r="DD15" s="1">
        <f t="shared" si="28"/>
        <v>0</v>
      </c>
      <c r="DE15" s="1">
        <f t="shared" si="28"/>
        <v>0</v>
      </c>
      <c r="DF15" s="1">
        <f t="shared" si="28"/>
        <v>0</v>
      </c>
      <c r="DG15" s="1">
        <f t="shared" si="28"/>
        <v>0</v>
      </c>
      <c r="DI15" s="14">
        <f t="shared" si="29"/>
        <v>0.21358802999999996</v>
      </c>
      <c r="DJ15" s="14">
        <f t="shared" si="29"/>
        <v>0.24099903000000003</v>
      </c>
      <c r="DK15" s="1">
        <f t="shared" si="29"/>
        <v>0.39667624000000001</v>
      </c>
      <c r="DL15" s="1">
        <f t="shared" si="29"/>
        <v>0.47948613000000001</v>
      </c>
      <c r="DM15" s="1">
        <f t="shared" si="29"/>
        <v>0.13955175</v>
      </c>
      <c r="DN15" s="1">
        <f t="shared" si="29"/>
        <v>0.88368341000000006</v>
      </c>
      <c r="DO15" s="1">
        <f t="shared" si="29"/>
        <v>0.91695114999999994</v>
      </c>
      <c r="DP15" s="1">
        <f t="shared" si="29"/>
        <v>1.1944894100000001</v>
      </c>
      <c r="DQ15" s="1">
        <f t="shared" si="29"/>
        <v>1.11559404</v>
      </c>
      <c r="DR15" s="1">
        <f t="shared" si="29"/>
        <v>1.36422954</v>
      </c>
      <c r="DS15" s="1">
        <f t="shared" si="29"/>
        <v>1.7463627799999999</v>
      </c>
      <c r="DT15" s="1">
        <f t="shared" si="29"/>
        <v>0.68698649000000001</v>
      </c>
      <c r="DU15" s="1">
        <f t="shared" si="29"/>
        <v>0.11168649999999999</v>
      </c>
      <c r="DV15" s="1">
        <f t="shared" si="29"/>
        <v>0</v>
      </c>
      <c r="DW15" s="1">
        <f t="shared" si="29"/>
        <v>1.4896021499999998</v>
      </c>
      <c r="DX15" s="1">
        <f t="shared" si="29"/>
        <v>0</v>
      </c>
      <c r="DY15" s="1">
        <f t="shared" si="30"/>
        <v>1.7451778999999998</v>
      </c>
      <c r="DZ15" s="1">
        <f t="shared" si="30"/>
        <v>0.90545438</v>
      </c>
      <c r="EA15" s="1">
        <f t="shared" si="30"/>
        <v>0.96282131000000004</v>
      </c>
      <c r="EB15" s="1">
        <f t="shared" si="30"/>
        <v>0.35384690000000002</v>
      </c>
      <c r="EC15" s="1">
        <f t="shared" si="30"/>
        <v>0.71853049999999996</v>
      </c>
      <c r="ED15" s="1">
        <f t="shared" si="30"/>
        <v>0.412966</v>
      </c>
      <c r="EE15" s="1">
        <f t="shared" si="30"/>
        <v>1.07159906</v>
      </c>
      <c r="EF15" s="1">
        <f t="shared" si="30"/>
        <v>1.1247584300000002</v>
      </c>
      <c r="EH15" s="14">
        <f t="shared" si="31"/>
        <v>1.88</v>
      </c>
      <c r="EI15" s="14">
        <f t="shared" si="31"/>
        <v>1.88</v>
      </c>
      <c r="EJ15" s="1">
        <f t="shared" si="31"/>
        <v>1.88</v>
      </c>
      <c r="EK15" s="1">
        <f t="shared" si="31"/>
        <v>1.88</v>
      </c>
      <c r="EL15" s="1">
        <f t="shared" si="31"/>
        <v>1.88</v>
      </c>
      <c r="EM15" s="1">
        <f t="shared" si="31"/>
        <v>1.88</v>
      </c>
      <c r="EN15" s="1">
        <f t="shared" si="31"/>
        <v>1.88</v>
      </c>
      <c r="EO15" s="1">
        <f t="shared" si="31"/>
        <v>1.88</v>
      </c>
      <c r="EP15" s="1">
        <f t="shared" si="31"/>
        <v>1.88</v>
      </c>
      <c r="EQ15" s="1">
        <f t="shared" si="31"/>
        <v>1.88</v>
      </c>
      <c r="ER15" s="1">
        <f t="shared" si="31"/>
        <v>1.88</v>
      </c>
      <c r="ES15" s="1">
        <f t="shared" si="31"/>
        <v>1.88</v>
      </c>
      <c r="ET15" s="1">
        <f t="shared" si="31"/>
        <v>1.88</v>
      </c>
      <c r="EU15" s="1">
        <f t="shared" si="31"/>
        <v>1.88</v>
      </c>
      <c r="EV15" s="1">
        <f t="shared" si="31"/>
        <v>1.88</v>
      </c>
      <c r="EW15" s="1">
        <f t="shared" si="31"/>
        <v>1.88</v>
      </c>
      <c r="EX15" s="1">
        <f t="shared" si="32"/>
        <v>1.88</v>
      </c>
      <c r="EY15" s="1">
        <f t="shared" si="32"/>
        <v>1.88</v>
      </c>
      <c r="EZ15" s="1">
        <f t="shared" si="32"/>
        <v>1.88</v>
      </c>
      <c r="FA15" s="1">
        <f t="shared" si="32"/>
        <v>1.88</v>
      </c>
      <c r="FB15" s="1">
        <f t="shared" si="32"/>
        <v>1.88</v>
      </c>
      <c r="FC15" s="1">
        <f t="shared" si="32"/>
        <v>1.88</v>
      </c>
      <c r="FD15" s="1">
        <f t="shared" si="32"/>
        <v>1.88</v>
      </c>
      <c r="FE15" s="1">
        <f t="shared" si="32"/>
        <v>1.88</v>
      </c>
      <c r="FG15" s="162">
        <f t="shared" si="33"/>
        <v>-1.2054666147309199</v>
      </c>
    </row>
    <row r="16" spans="1:163" ht="30" customHeight="1">
      <c r="A16" s="222" t="s">
        <v>25</v>
      </c>
      <c r="B16" s="212"/>
      <c r="C16" s="156">
        <f t="shared" si="5"/>
        <v>0.66</v>
      </c>
      <c r="D16" s="198">
        <v>1</v>
      </c>
      <c r="E16" s="213">
        <f t="shared" si="6"/>
        <v>0.72194999689578809</v>
      </c>
      <c r="F16" s="214">
        <f t="shared" si="7"/>
        <v>0.51580774400617746</v>
      </c>
      <c r="G16" s="213">
        <f t="shared" si="8"/>
        <v>0.2425104613036404</v>
      </c>
      <c r="H16" s="214">
        <f t="shared" si="9"/>
        <v>0.47943953559214769</v>
      </c>
      <c r="I16" s="213">
        <f t="shared" si="10"/>
        <v>4.592397737243993</v>
      </c>
      <c r="J16" s="214">
        <f t="shared" si="11"/>
        <v>2.0499767896130705</v>
      </c>
      <c r="K16" s="213">
        <f t="shared" si="34"/>
        <v>3.2225761657341279</v>
      </c>
      <c r="L16" s="214">
        <f t="shared" si="12"/>
        <v>1.3698215715098652</v>
      </c>
      <c r="M16" s="215"/>
      <c r="N16" s="198">
        <v>0</v>
      </c>
      <c r="O16" s="213">
        <f t="shared" si="35"/>
        <v>0.11422036142805547</v>
      </c>
      <c r="P16" s="216">
        <f t="shared" si="36"/>
        <v>0.11422036142805547</v>
      </c>
      <c r="Q16" s="213"/>
      <c r="R16" s="217"/>
      <c r="S16" s="215"/>
      <c r="T16" s="198">
        <v>1</v>
      </c>
      <c r="U16" s="213">
        <f t="shared" si="14"/>
        <v>-4.6755508475031515E-2</v>
      </c>
      <c r="V16" s="45">
        <f t="shared" si="15"/>
        <v>-4.6755508475031515E-2</v>
      </c>
      <c r="W16" s="218"/>
      <c r="X16" s="45"/>
      <c r="Y16" s="213">
        <f t="shared" si="17"/>
        <v>4.4351010443510086E-2</v>
      </c>
      <c r="Z16" s="45">
        <f t="shared" si="18"/>
        <v>4.4351010443510086E-2</v>
      </c>
      <c r="AA16" s="30"/>
      <c r="AB16" s="242" t="s">
        <v>469</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P16" s="28">
        <f>VLOOKUP($A16,historia!$A$5:$CM$24,+HLOOKUP(AP$2,historia!$A$3:$EC$4,2,FALSE),FALSE)</f>
        <v>4</v>
      </c>
      <c r="AQ16" s="28">
        <f>VLOOKUP($A16,historia!$A$5:$CM$24,+HLOOKUP(AQ$2,historia!$A$3:$EC$4,2,FALSE),FALSE)</f>
        <v>4</v>
      </c>
      <c r="AR16" s="28">
        <f>VLOOKUP($A16,historia!$A$5:$CM$24,+HLOOKUP(AR$2,historia!$A$3:$EC$4,2,FALSE),FALSE)</f>
        <v>4</v>
      </c>
      <c r="AS16" s="28">
        <f>VLOOKUP($A16,historia!$A$5:$CM$24,+HLOOKUP(AS$2,historia!$A$3:$EC$4,2,FALSE),FALSE)</f>
        <v>3</v>
      </c>
      <c r="AT16" s="58">
        <f>VLOOKUP($A16,historia!$A$5:$CM$24,+HLOOKUP(AT$2,historia!$A$3:$EC$4,2,FALSE),FALSE)</f>
        <v>3</v>
      </c>
      <c r="AU16" s="58">
        <f>VLOOKUP($A16,historia!$A$5:$CM$24,+HLOOKUP(AU$2,historia!$A$3:$EC$4,2,FALSE),FALSE)</f>
        <v>3</v>
      </c>
      <c r="AV16" s="58">
        <f>VLOOKUP($A16,historia!$A$5:$CM$24,+HLOOKUP(AV$2,historia!$A$3:$EC$4,2,FALSE),FALSE)</f>
        <v>3</v>
      </c>
      <c r="AW16" s="58">
        <f>VLOOKUP($A16,historia!$A$5:$CM$24,+HLOOKUP(AW$2,historia!$A$3:$EC$4,2,FALSE),FALSE)</f>
        <v>3</v>
      </c>
      <c r="AX16" s="58">
        <f>VLOOKUP($A16,historia!$A$5:$CM$24,+HLOOKUP(AX$2,historia!$A$3:$EC$4,2,FALSE),FALSE)</f>
        <v>2</v>
      </c>
      <c r="AY16" s="58">
        <f>VLOOKUP($A16,historia!$A$5:$CM$24,+HLOOKUP(AY$2,historia!$A$3:$EC$4,2,FALSE),FALSE)</f>
        <v>2</v>
      </c>
      <c r="AZ16" s="58">
        <f>VLOOKUP($A16,historia!$A$5:$CM$24,+HLOOKUP(AZ$2,historia!$A$3:$EC$4,2,FALSE),FALSE)</f>
        <v>2</v>
      </c>
      <c r="BA16" s="58">
        <f>VLOOKUP($A16,historia!$A$5:$CM$24,+HLOOKUP(BA$2,historia!$A$3:$EC$4,2,FALSE),FALSE)</f>
        <v>2</v>
      </c>
      <c r="BB16" s="30"/>
      <c r="BC16" s="141">
        <v>2</v>
      </c>
      <c r="BD16" t="str">
        <f t="shared" si="19"/>
        <v>Maní</v>
      </c>
      <c r="BE16">
        <f>+datos!AF1</f>
        <v>32</v>
      </c>
      <c r="BF16" s="2" t="str">
        <f t="shared" si="4"/>
        <v>$/t</v>
      </c>
      <c r="BG16" s="2">
        <f t="shared" si="4"/>
        <v>748864</v>
      </c>
      <c r="BH16" s="2">
        <f t="shared" si="4"/>
        <v>434893</v>
      </c>
      <c r="BI16" s="2">
        <f t="shared" si="4"/>
        <v>133907.5</v>
      </c>
      <c r="BK16">
        <f>+datos!CH1</f>
        <v>86</v>
      </c>
      <c r="BL16" s="2">
        <f t="shared" si="20"/>
        <v>9109.3956392506079</v>
      </c>
      <c r="BM16" s="2">
        <f t="shared" si="20"/>
        <v>7331.4438171353841</v>
      </c>
      <c r="BN16" s="2">
        <f t="shared" si="20"/>
        <v>2157.3075965266498</v>
      </c>
      <c r="BP16" s="1">
        <f>+datos!EB1</f>
        <v>132</v>
      </c>
      <c r="BQ16" s="1">
        <f t="shared" si="21"/>
        <v>416490</v>
      </c>
      <c r="BR16" s="1">
        <f t="shared" si="21"/>
        <v>373795</v>
      </c>
      <c r="BT16" s="1">
        <f>+datos!FW1</f>
        <v>179</v>
      </c>
      <c r="BU16" s="1">
        <f t="shared" si="22"/>
        <v>940426</v>
      </c>
      <c r="BV16" s="1">
        <f t="shared" si="22"/>
        <v>1350000</v>
      </c>
      <c r="BX16" s="1">
        <f>+datos!JK1</f>
        <v>271</v>
      </c>
      <c r="BY16" s="1">
        <f t="shared" si="39"/>
        <v>1223.0107183900002</v>
      </c>
      <c r="BZ16" s="1">
        <f t="shared" si="40"/>
        <v>1282.99793942</v>
      </c>
      <c r="CB16" s="1">
        <f>+datos!KP1</f>
        <v>302</v>
      </c>
      <c r="CC16" s="2">
        <f t="shared" si="23"/>
        <v>2.0351812699999998</v>
      </c>
      <c r="CD16" s="2">
        <f t="shared" si="24"/>
        <v>0.98948886999999996</v>
      </c>
      <c r="CF16" s="1">
        <f>+datos!IJ1</f>
        <v>244</v>
      </c>
      <c r="CG16" s="1">
        <f t="shared" si="25"/>
        <v>1.9885213252125911</v>
      </c>
      <c r="CH16" s="1">
        <f t="shared" si="26"/>
        <v>1.9040737312717446</v>
      </c>
      <c r="CJ16" s="1">
        <f t="shared" si="27"/>
        <v>100.80321882999999</v>
      </c>
      <c r="CK16" s="1">
        <f t="shared" si="27"/>
        <v>90.064767340000003</v>
      </c>
      <c r="CL16" s="1">
        <f t="shared" si="27"/>
        <v>96.183340330000021</v>
      </c>
      <c r="CM16" s="1">
        <f t="shared" si="27"/>
        <v>89.024842150000026</v>
      </c>
      <c r="CN16" s="1">
        <f t="shared" si="27"/>
        <v>102.74257099999998</v>
      </c>
      <c r="CO16" s="1">
        <f t="shared" si="27"/>
        <v>102.43695814</v>
      </c>
      <c r="CP16" s="1">
        <f t="shared" si="27"/>
        <v>100.03941109999997</v>
      </c>
      <c r="CQ16" s="1">
        <f t="shared" si="27"/>
        <v>89.79279253</v>
      </c>
      <c r="CR16" s="1">
        <f t="shared" si="27"/>
        <v>102.39153366000001</v>
      </c>
      <c r="CS16" s="1">
        <f t="shared" si="27"/>
        <v>98.470728969999996</v>
      </c>
      <c r="CT16" s="1">
        <f t="shared" si="27"/>
        <v>134.53858048999999</v>
      </c>
      <c r="CU16" s="1">
        <f t="shared" si="27"/>
        <v>116.52197384999999</v>
      </c>
      <c r="CV16" s="1">
        <f t="shared" si="27"/>
        <v>130.05927615000002</v>
      </c>
      <c r="CW16" s="1">
        <f t="shared" si="27"/>
        <v>105.24839114999997</v>
      </c>
      <c r="CX16" s="1">
        <f t="shared" si="27"/>
        <v>106.58558735000001</v>
      </c>
      <c r="CY16" s="1">
        <f t="shared" si="27"/>
        <v>136.66063392000001</v>
      </c>
      <c r="CZ16" s="1">
        <f t="shared" si="28"/>
        <v>103.23507013999998</v>
      </c>
      <c r="DA16" s="1">
        <f t="shared" si="28"/>
        <v>127.03001287000001</v>
      </c>
      <c r="DB16" s="1">
        <f t="shared" si="28"/>
        <v>94.841677119999986</v>
      </c>
      <c r="DC16" s="1">
        <f t="shared" si="28"/>
        <v>82.179019859999997</v>
      </c>
      <c r="DD16" s="1">
        <f t="shared" si="28"/>
        <v>92.158742689999997</v>
      </c>
      <c r="DE16" s="1">
        <f t="shared" si="28"/>
        <v>86.016299079999982</v>
      </c>
      <c r="DF16" s="1">
        <f t="shared" si="28"/>
        <v>108.09958798000001</v>
      </c>
      <c r="DG16" s="1">
        <f t="shared" si="28"/>
        <v>110.88364111000001</v>
      </c>
      <c r="DI16" s="1">
        <f t="shared" si="29"/>
        <v>0.79684906</v>
      </c>
      <c r="DJ16" s="1">
        <f t="shared" si="29"/>
        <v>0.24194792999999998</v>
      </c>
      <c r="DK16" s="1">
        <f t="shared" si="29"/>
        <v>0.11713932000000001</v>
      </c>
      <c r="DL16" s="1">
        <f t="shared" si="29"/>
        <v>0.45286999999999999</v>
      </c>
      <c r="DM16" s="1">
        <f t="shared" si="29"/>
        <v>5.563009E-2</v>
      </c>
      <c r="DN16" s="1">
        <f t="shared" si="29"/>
        <v>2.7416000000000002E-4</v>
      </c>
      <c r="DO16" s="1">
        <f t="shared" si="29"/>
        <v>0.12031510000000001</v>
      </c>
      <c r="DP16" s="1">
        <f t="shared" si="29"/>
        <v>0.13456720999999999</v>
      </c>
      <c r="DQ16" s="1">
        <f t="shared" si="29"/>
        <v>6.1200000000000002E-4</v>
      </c>
      <c r="DR16" s="1">
        <f t="shared" si="29"/>
        <v>0</v>
      </c>
      <c r="DS16" s="1">
        <f t="shared" si="29"/>
        <v>5.2170000000000003E-3</v>
      </c>
      <c r="DT16" s="1">
        <f t="shared" si="29"/>
        <v>0.10975939999999999</v>
      </c>
      <c r="DU16" s="1">
        <f t="shared" si="29"/>
        <v>9.1243839999999993E-2</v>
      </c>
      <c r="DV16" s="1">
        <f t="shared" si="29"/>
        <v>2.016E-3</v>
      </c>
      <c r="DW16" s="1">
        <f t="shared" si="29"/>
        <v>0.21936422</v>
      </c>
      <c r="DX16" s="1">
        <f t="shared" si="29"/>
        <v>0</v>
      </c>
      <c r="DY16" s="1">
        <f t="shared" si="30"/>
        <v>6.0353800000000006E-2</v>
      </c>
      <c r="DZ16" s="1">
        <f t="shared" si="30"/>
        <v>1.9724599999999998E-2</v>
      </c>
      <c r="EA16" s="1">
        <f t="shared" si="30"/>
        <v>6.1101999999999997E-2</v>
      </c>
      <c r="EB16" s="1">
        <f t="shared" si="30"/>
        <v>8.3099999999999997E-3</v>
      </c>
      <c r="EC16" s="1">
        <f t="shared" si="30"/>
        <v>0.51386323</v>
      </c>
      <c r="ED16" s="1">
        <f t="shared" si="30"/>
        <v>4.9965000000000001E-3</v>
      </c>
      <c r="EE16" s="1">
        <f t="shared" si="30"/>
        <v>3.0447999999999999E-4</v>
      </c>
      <c r="EF16" s="1">
        <f t="shared" si="30"/>
        <v>8.2102000000000008E-3</v>
      </c>
      <c r="EH16" s="14">
        <f t="shared" si="31"/>
        <v>1.9885213252125911</v>
      </c>
      <c r="EI16" s="14">
        <f t="shared" si="31"/>
        <v>1.9885213252125911</v>
      </c>
      <c r="EJ16" s="1">
        <f t="shared" si="31"/>
        <v>1.9885213252125911</v>
      </c>
      <c r="EK16" s="1">
        <f t="shared" si="31"/>
        <v>1.9885213252125911</v>
      </c>
      <c r="EL16" s="1">
        <f t="shared" si="31"/>
        <v>1.9885213252125911</v>
      </c>
      <c r="EM16" s="1">
        <f t="shared" si="31"/>
        <v>1.9885213252125911</v>
      </c>
      <c r="EN16" s="1">
        <f t="shared" si="31"/>
        <v>1.9885213252125911</v>
      </c>
      <c r="EO16" s="1">
        <f t="shared" si="31"/>
        <v>1.9885213252125911</v>
      </c>
      <c r="EP16" s="1">
        <f t="shared" si="31"/>
        <v>1.9885213252125911</v>
      </c>
      <c r="EQ16" s="1">
        <f t="shared" si="31"/>
        <v>1.9885213252125911</v>
      </c>
      <c r="ER16" s="1">
        <f t="shared" si="31"/>
        <v>1.9885213252125911</v>
      </c>
      <c r="ES16" s="1">
        <f t="shared" si="31"/>
        <v>1.9040737312717446</v>
      </c>
      <c r="ET16" s="1">
        <f t="shared" si="31"/>
        <v>1.9040737312717446</v>
      </c>
      <c r="EU16" s="1">
        <f t="shared" si="31"/>
        <v>1.9040737312717446</v>
      </c>
      <c r="EV16" s="1">
        <f t="shared" si="31"/>
        <v>1.9040737312717446</v>
      </c>
      <c r="EW16" s="1">
        <f t="shared" si="31"/>
        <v>1.9040737312717446</v>
      </c>
      <c r="EX16" s="1">
        <f t="shared" si="32"/>
        <v>1.9040737312717446</v>
      </c>
      <c r="EY16" s="1">
        <f t="shared" si="32"/>
        <v>1.9040737312717446</v>
      </c>
      <c r="EZ16" s="1">
        <f t="shared" si="32"/>
        <v>1.9040737312717446</v>
      </c>
      <c r="FA16" s="1">
        <f t="shared" si="32"/>
        <v>1.9040737312717446</v>
      </c>
      <c r="FB16" s="1">
        <f t="shared" si="32"/>
        <v>1.9040737312717446</v>
      </c>
      <c r="FC16" s="1">
        <f t="shared" si="32"/>
        <v>1.9040737312717446</v>
      </c>
      <c r="FD16" s="1">
        <f t="shared" si="32"/>
        <v>1.9040737312717446</v>
      </c>
      <c r="FE16" s="1">
        <f t="shared" si="32"/>
        <v>1.9040737312717446</v>
      </c>
      <c r="FG16" s="162">
        <f t="shared" si="33"/>
        <v>1.3698215715098652</v>
      </c>
    </row>
    <row r="17" spans="1:163" ht="30" customHeight="1">
      <c r="A17" s="226" t="s">
        <v>76</v>
      </c>
      <c r="B17" s="227"/>
      <c r="C17" s="228">
        <f t="shared" si="5"/>
        <v>-0.99</v>
      </c>
      <c r="D17" s="229">
        <v>-1</v>
      </c>
      <c r="E17" s="230">
        <f t="shared" si="6"/>
        <v>0.19107662463627539</v>
      </c>
      <c r="F17" s="231">
        <f t="shared" si="7"/>
        <v>-1.5065628253335239E-2</v>
      </c>
      <c r="G17" s="230">
        <f t="shared" si="8"/>
        <v>8.0822012064297954E-2</v>
      </c>
      <c r="H17" s="231">
        <f t="shared" si="9"/>
        <v>0.11025461257197744</v>
      </c>
      <c r="I17" s="230">
        <f t="shared" si="10"/>
        <v>2.0577689243027888</v>
      </c>
      <c r="J17" s="231">
        <f t="shared" si="11"/>
        <v>-0.48465202332813373</v>
      </c>
      <c r="K17" s="230">
        <f t="shared" si="34"/>
        <v>2.3972712615582443</v>
      </c>
      <c r="L17" s="231">
        <f t="shared" si="12"/>
        <v>-0.33950233725545553</v>
      </c>
      <c r="M17" s="232"/>
      <c r="N17" s="229">
        <v>-1</v>
      </c>
      <c r="O17" s="230">
        <f>IFERROR(+BQ17/BR17-1,"")</f>
        <v>0</v>
      </c>
      <c r="P17" s="233">
        <f t="shared" si="36"/>
        <v>0</v>
      </c>
      <c r="Q17" s="230">
        <f t="shared" si="13"/>
        <v>-5.5834866135295314E-2</v>
      </c>
      <c r="R17" s="234">
        <f t="shared" si="37"/>
        <v>-5.5834866135295314E-2</v>
      </c>
      <c r="S17" s="232"/>
      <c r="T17" s="229">
        <v>-1</v>
      </c>
      <c r="U17" s="230">
        <f t="shared" si="14"/>
        <v>-0.28320630217742604</v>
      </c>
      <c r="V17" s="235">
        <f t="shared" si="15"/>
        <v>-0.28320630217742604</v>
      </c>
      <c r="W17" s="239"/>
      <c r="X17" s="235"/>
      <c r="Y17" s="230">
        <f t="shared" si="17"/>
        <v>0</v>
      </c>
      <c r="Z17" s="235">
        <f t="shared" si="18"/>
        <v>0</v>
      </c>
      <c r="AA17" s="238"/>
      <c r="AB17" s="242" t="s">
        <v>455</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P17" s="28">
        <f>VLOOKUP($A17,historia!$A$5:$CM$24,+HLOOKUP(AP$2,historia!$A$3:$EC$4,2,FALSE),FALSE)</f>
        <v>4</v>
      </c>
      <c r="AQ17" s="28">
        <f>VLOOKUP($A17,historia!$A$5:$CM$24,+HLOOKUP(AQ$2,historia!$A$3:$EC$4,2,FALSE),FALSE)</f>
        <v>3</v>
      </c>
      <c r="AR17" s="28">
        <f>VLOOKUP($A17,historia!$A$5:$CM$24,+HLOOKUP(AR$2,historia!$A$3:$EC$4,2,FALSE),FALSE)</f>
        <v>3</v>
      </c>
      <c r="AS17" s="28">
        <f>VLOOKUP($A17,historia!$A$5:$CM$24,+HLOOKUP(AS$2,historia!$A$3:$EC$4,2,FALSE),FALSE)</f>
        <v>3</v>
      </c>
      <c r="AT17" s="58">
        <f>VLOOKUP($A17,historia!$A$5:$CM$24,+HLOOKUP(AT$2,historia!$A$3:$EC$4,2,FALSE),FALSE)</f>
        <v>5</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f>VLOOKUP($A17,historia!$A$5:$CM$24,+HLOOKUP(AZ$2,historia!$A$3:$EC$4,2,FALSE),FALSE)</f>
        <v>5</v>
      </c>
      <c r="BA17" s="58">
        <f>VLOOKUP($A17,historia!$A$5:$CM$24,+HLOOKUP(BA$2,historia!$A$3:$EC$4,2,FALSE),FALSE)</f>
        <v>5</v>
      </c>
      <c r="BB17" s="30"/>
      <c r="BC17" s="141">
        <v>5</v>
      </c>
      <c r="BD17" t="str">
        <f t="shared" si="19"/>
        <v>Miel</v>
      </c>
      <c r="BE17">
        <f>+datos!BV1</f>
        <v>74</v>
      </c>
      <c r="BF17" s="2" t="str">
        <f t="shared" si="4"/>
        <v>$/kg</v>
      </c>
      <c r="BG17" s="2">
        <f t="shared" si="4"/>
        <v>1228</v>
      </c>
      <c r="BH17" s="2">
        <f t="shared" si="4"/>
        <v>1031</v>
      </c>
      <c r="BI17" s="2">
        <f t="shared" si="4"/>
        <v>401.6</v>
      </c>
      <c r="BK17">
        <f>+datos!DH1</f>
        <v>112</v>
      </c>
      <c r="BL17" s="2">
        <f t="shared" si="20"/>
        <v>6116.9107182233402</v>
      </c>
      <c r="BM17" s="2">
        <f t="shared" si="20"/>
        <v>5659.4986500510377</v>
      </c>
      <c r="BN17" s="2">
        <f t="shared" si="20"/>
        <v>1800.5364444809345</v>
      </c>
      <c r="BP17" s="1">
        <f>+datos!EQ1</f>
        <v>147</v>
      </c>
      <c r="BQ17" s="1">
        <f t="shared" si="21"/>
        <v>3500000</v>
      </c>
      <c r="BR17" s="1">
        <f t="shared" si="21"/>
        <v>3500000</v>
      </c>
      <c r="BT17" s="1">
        <f>+datos!GP1</f>
        <v>198</v>
      </c>
      <c r="BU17" s="1">
        <f t="shared" si="22"/>
        <v>69297</v>
      </c>
      <c r="BV17" s="1">
        <f t="shared" si="22"/>
        <v>73395</v>
      </c>
      <c r="BX17" s="1">
        <f>+datos!KE1</f>
        <v>291</v>
      </c>
      <c r="BY17" s="1">
        <f t="shared" si="39"/>
        <v>201.09078812999999</v>
      </c>
      <c r="BZ17" s="1">
        <f t="shared" si="40"/>
        <v>280.54207052999993</v>
      </c>
      <c r="CB17" s="1">
        <f>+datos!LJ1</f>
        <v>322</v>
      </c>
      <c r="CC17" s="2">
        <f t="shared" si="23"/>
        <v>4.7638E-2</v>
      </c>
      <c r="CD17" s="2">
        <f>+SUM(DU17:EF17)</f>
        <v>0.12936554000000003</v>
      </c>
      <c r="CF17" s="1">
        <f>+datos!IZ1</f>
        <v>260</v>
      </c>
      <c r="CG17" s="1">
        <f t="shared" si="25"/>
        <v>0.3</v>
      </c>
      <c r="CH17" s="1">
        <f t="shared" si="26"/>
        <v>0.3</v>
      </c>
      <c r="CJ17" s="1">
        <f t="shared" si="27"/>
        <v>10.971998660000001</v>
      </c>
      <c r="CK17" s="1">
        <f t="shared" si="27"/>
        <v>12.805239539999999</v>
      </c>
      <c r="CL17" s="1">
        <f t="shared" si="27"/>
        <v>13.943876809999997</v>
      </c>
      <c r="CM17" s="1">
        <f t="shared" si="27"/>
        <v>17.891480939999997</v>
      </c>
      <c r="CN17" s="1">
        <f t="shared" si="27"/>
        <v>16.805607889999997</v>
      </c>
      <c r="CO17" s="1">
        <f t="shared" si="27"/>
        <v>21.325973759999997</v>
      </c>
      <c r="CP17" s="1">
        <f t="shared" si="27"/>
        <v>17.230385739999999</v>
      </c>
      <c r="CQ17" s="1">
        <f t="shared" si="27"/>
        <v>14.837575590000002</v>
      </c>
      <c r="CR17" s="1">
        <f t="shared" si="27"/>
        <v>17.476901599999998</v>
      </c>
      <c r="CS17" s="1">
        <f t="shared" si="27"/>
        <v>23.512884059999998</v>
      </c>
      <c r="CT17" s="1">
        <f t="shared" si="27"/>
        <v>18.814354810000005</v>
      </c>
      <c r="CU17" s="1">
        <f t="shared" si="27"/>
        <v>15.47450873</v>
      </c>
      <c r="CV17" s="1">
        <f t="shared" si="27"/>
        <v>18.752158659999996</v>
      </c>
      <c r="CW17" s="1">
        <f t="shared" si="27"/>
        <v>13.663636670000002</v>
      </c>
      <c r="CX17" s="1">
        <f t="shared" si="27"/>
        <v>12.97807542</v>
      </c>
      <c r="CY17" s="1">
        <f t="shared" si="27"/>
        <v>21.851292619999999</v>
      </c>
      <c r="CZ17" s="1">
        <f t="shared" si="28"/>
        <v>17.949190340000005</v>
      </c>
      <c r="DA17" s="1">
        <f t="shared" si="28"/>
        <v>28.34616364</v>
      </c>
      <c r="DB17" s="1">
        <f t="shared" si="28"/>
        <v>25.709158449999997</v>
      </c>
      <c r="DC17" s="1">
        <f t="shared" si="28"/>
        <v>34.492792039999998</v>
      </c>
      <c r="DD17" s="1">
        <f t="shared" si="28"/>
        <v>34.55168742</v>
      </c>
      <c r="DE17" s="1">
        <f t="shared" si="28"/>
        <v>27.139910580000002</v>
      </c>
      <c r="DF17" s="1">
        <f t="shared" si="28"/>
        <v>21.121535039999998</v>
      </c>
      <c r="DG17" s="1">
        <f t="shared" si="28"/>
        <v>23.986469650000004</v>
      </c>
      <c r="DI17" s="1">
        <f t="shared" si="29"/>
        <v>0</v>
      </c>
      <c r="DJ17" s="1">
        <f t="shared" si="29"/>
        <v>4.0599999999999997E-2</v>
      </c>
      <c r="DK17" s="1">
        <f t="shared" si="29"/>
        <v>0</v>
      </c>
      <c r="DL17" s="1">
        <f t="shared" si="29"/>
        <v>0</v>
      </c>
      <c r="DM17" s="1">
        <f t="shared" si="29"/>
        <v>0</v>
      </c>
      <c r="DN17" s="1">
        <f t="shared" si="29"/>
        <v>0</v>
      </c>
      <c r="DO17" s="1">
        <f t="shared" si="29"/>
        <v>0</v>
      </c>
      <c r="DP17" s="1">
        <f t="shared" si="29"/>
        <v>0</v>
      </c>
      <c r="DQ17" s="1">
        <f t="shared" si="29"/>
        <v>7.038E-3</v>
      </c>
      <c r="DR17" s="1">
        <f t="shared" si="29"/>
        <v>0</v>
      </c>
      <c r="DS17" s="1">
        <f t="shared" si="29"/>
        <v>0</v>
      </c>
      <c r="DT17" s="1">
        <f t="shared" si="29"/>
        <v>0</v>
      </c>
      <c r="DU17" s="1">
        <f t="shared" si="29"/>
        <v>0</v>
      </c>
      <c r="DV17" s="1">
        <f t="shared" si="29"/>
        <v>0</v>
      </c>
      <c r="DW17" s="1">
        <f t="shared" si="29"/>
        <v>5.9353800000000005E-2</v>
      </c>
      <c r="DX17" s="1">
        <f t="shared" si="29"/>
        <v>0</v>
      </c>
      <c r="DY17" s="1">
        <f t="shared" si="30"/>
        <v>1.3661339999999999E-2</v>
      </c>
      <c r="DZ17" s="1">
        <f t="shared" si="30"/>
        <v>0</v>
      </c>
      <c r="EA17" s="1">
        <f t="shared" si="30"/>
        <v>4.7031800000000006E-2</v>
      </c>
      <c r="EB17" s="1">
        <f t="shared" si="30"/>
        <v>9.3185999999999998E-3</v>
      </c>
      <c r="EC17" s="1">
        <f t="shared" si="30"/>
        <v>0</v>
      </c>
      <c r="ED17" s="1">
        <f t="shared" si="30"/>
        <v>0</v>
      </c>
      <c r="EE17" s="1">
        <f t="shared" si="30"/>
        <v>0</v>
      </c>
      <c r="EF17" s="1">
        <f t="shared" si="30"/>
        <v>0</v>
      </c>
      <c r="EH17" s="14">
        <f t="shared" si="31"/>
        <v>0.3</v>
      </c>
      <c r="EI17" s="14">
        <f t="shared" si="31"/>
        <v>0.3</v>
      </c>
      <c r="EJ17" s="1">
        <f t="shared" si="31"/>
        <v>0.3</v>
      </c>
      <c r="EK17" s="1">
        <f t="shared" si="31"/>
        <v>0.3</v>
      </c>
      <c r="EL17" s="1">
        <f t="shared" si="31"/>
        <v>0.3</v>
      </c>
      <c r="EM17" s="1">
        <f t="shared" si="31"/>
        <v>0.3</v>
      </c>
      <c r="EN17" s="1">
        <f t="shared" si="31"/>
        <v>0.3</v>
      </c>
      <c r="EO17" s="1">
        <f t="shared" si="31"/>
        <v>0.3</v>
      </c>
      <c r="EP17" s="1">
        <f t="shared" si="31"/>
        <v>0.3</v>
      </c>
      <c r="EQ17" s="1">
        <f t="shared" si="31"/>
        <v>0.3</v>
      </c>
      <c r="ER17" s="1">
        <f t="shared" si="31"/>
        <v>0.3</v>
      </c>
      <c r="ES17" s="1">
        <f t="shared" si="31"/>
        <v>0.3</v>
      </c>
      <c r="ET17" s="1">
        <f t="shared" si="31"/>
        <v>0.3</v>
      </c>
      <c r="EU17" s="1">
        <f t="shared" si="31"/>
        <v>0.3</v>
      </c>
      <c r="EV17" s="1">
        <f t="shared" si="31"/>
        <v>0.3</v>
      </c>
      <c r="EW17" s="1">
        <f t="shared" si="31"/>
        <v>0.3</v>
      </c>
      <c r="EX17" s="1">
        <f t="shared" si="32"/>
        <v>0.3</v>
      </c>
      <c r="EY17" s="1">
        <f t="shared" si="32"/>
        <v>0.3</v>
      </c>
      <c r="EZ17" s="1">
        <f t="shared" si="32"/>
        <v>0.3</v>
      </c>
      <c r="FA17" s="1">
        <f t="shared" si="32"/>
        <v>0.3</v>
      </c>
      <c r="FB17" s="1">
        <f t="shared" si="32"/>
        <v>0.3</v>
      </c>
      <c r="FC17" s="1">
        <f t="shared" si="32"/>
        <v>0.3</v>
      </c>
      <c r="FD17" s="1">
        <f t="shared" si="32"/>
        <v>0.3</v>
      </c>
      <c r="FE17" s="1">
        <f t="shared" si="32"/>
        <v>0.3</v>
      </c>
      <c r="FG17" s="162">
        <f t="shared" si="33"/>
        <v>-0.33950233725545553</v>
      </c>
    </row>
    <row r="18" spans="1:163" ht="30" customHeight="1">
      <c r="A18" s="222" t="s">
        <v>222</v>
      </c>
      <c r="B18" s="212"/>
      <c r="C18" s="156">
        <f t="shared" si="5"/>
        <v>-0.99</v>
      </c>
      <c r="D18" s="198">
        <v>-1</v>
      </c>
      <c r="E18" s="213">
        <f t="shared" si="6"/>
        <v>6.3876060643198507E-2</v>
      </c>
      <c r="F18" s="214">
        <f t="shared" si="7"/>
        <v>-0.14226619224641213</v>
      </c>
      <c r="G18" s="213">
        <f t="shared" si="8"/>
        <v>8.6497098237594994E-2</v>
      </c>
      <c r="H18" s="214">
        <f t="shared" si="9"/>
        <v>-2.2621037594396487E-2</v>
      </c>
      <c r="I18" s="213"/>
      <c r="J18" s="214"/>
      <c r="K18" s="213">
        <f t="shared" si="34"/>
        <v>2.3519031645544453</v>
      </c>
      <c r="L18" s="214">
        <f t="shared" si="12"/>
        <v>-2.3519031645544453</v>
      </c>
      <c r="M18" s="215"/>
      <c r="N18" s="198">
        <v>-1</v>
      </c>
      <c r="O18" s="213">
        <f t="shared" si="35"/>
        <v>0</v>
      </c>
      <c r="P18" s="216">
        <f t="shared" si="36"/>
        <v>0</v>
      </c>
      <c r="Q18" s="213">
        <f>IFERROR(+BU18/BV18-1,"")</f>
        <v>-0.10020066764867563</v>
      </c>
      <c r="R18" s="217">
        <f t="shared" si="37"/>
        <v>-0.10020066764867563</v>
      </c>
      <c r="S18" s="215"/>
      <c r="T18" s="198">
        <v>-1</v>
      </c>
      <c r="U18" s="213">
        <f t="shared" si="14"/>
        <v>-0.2328930871760222</v>
      </c>
      <c r="V18" s="45">
        <f t="shared" si="15"/>
        <v>-0.2328930871760222</v>
      </c>
      <c r="W18" s="213">
        <f t="shared" si="38"/>
        <v>-2.9150668937155344E-2</v>
      </c>
      <c r="X18" s="45">
        <f t="shared" si="16"/>
        <v>-2.9150668937155344E-2</v>
      </c>
      <c r="Y18" s="213">
        <f t="shared" si="17"/>
        <v>0</v>
      </c>
      <c r="Z18" s="45">
        <f t="shared" si="18"/>
        <v>0</v>
      </c>
      <c r="AA18" s="30"/>
      <c r="AB18" s="242"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P18" s="28">
        <f>VLOOKUP($A18,historia!$A$5:$CM$24,+HLOOKUP(AP$2,historia!$A$3:$EC$4,2,FALSE),FALSE)</f>
        <v>4</v>
      </c>
      <c r="AQ18" s="28">
        <f>VLOOKUP($A18,historia!$A$5:$CM$24,+HLOOKUP(AQ$2,historia!$A$3:$EC$4,2,FALSE),FALSE)</f>
        <v>4</v>
      </c>
      <c r="AR18" s="28">
        <f>VLOOKUP($A18,historia!$A$5:$CM$24,+HLOOKUP(AR$2,historia!$A$3:$EC$4,2,FALSE),FALSE)</f>
        <v>4</v>
      </c>
      <c r="AS18" s="28">
        <f>VLOOKUP($A18,historia!$A$5:$CM$24,+HLOOKUP(AS$2,historia!$A$3:$EC$4,2,FALSE),FALSE)</f>
        <v>3</v>
      </c>
      <c r="AT18" s="58">
        <f>VLOOKUP($A18,historia!$A$5:$CM$24,+HLOOKUP(AT$2,historia!$A$3:$EC$4,2,FALSE),FALSE)</f>
        <v>3</v>
      </c>
      <c r="AU18" s="58">
        <f>VLOOKUP($A18,historia!$A$5:$CM$24,+HLOOKUP(AU$2,historia!$A$3:$EC$4,2,FALSE),FALSE)</f>
        <v>3</v>
      </c>
      <c r="AV18" s="58">
        <f>VLOOKUP($A18,historia!$A$5:$CM$24,+HLOOKUP(AV$2,historia!$A$3:$EC$4,2,FALSE),FALSE)</f>
        <v>3</v>
      </c>
      <c r="AW18" s="58">
        <f>VLOOKUP($A18,historia!$A$5:$CM$24,+HLOOKUP(AW$2,historia!$A$3:$EC$4,2,FALSE),FALSE)</f>
        <v>4</v>
      </c>
      <c r="AX18" s="58">
        <f>VLOOKUP($A18,historia!$A$5:$CM$24,+HLOOKUP(AX$2,historia!$A$3:$EC$4,2,FALSE),FALSE)</f>
        <v>4</v>
      </c>
      <c r="AY18" s="58">
        <f>VLOOKUP($A18,historia!$A$5:$CM$24,+HLOOKUP(AY$2,historia!$A$3:$EC$4,2,FALSE),FALSE)</f>
        <v>4</v>
      </c>
      <c r="AZ18" s="58">
        <f>VLOOKUP($A18,historia!$A$5:$CM$24,+HLOOKUP(AZ$2,historia!$A$3:$EC$4,2,FALSE),FALSE)</f>
        <v>4</v>
      </c>
      <c r="BA18" s="58">
        <f>VLOOKUP($A18,historia!$A$5:$CM$24,+HLOOKUP(BA$2,historia!$A$3:$EC$4,2,FALSE),FALSE)</f>
        <v>4</v>
      </c>
      <c r="BB18" s="30"/>
      <c r="BC18" s="141">
        <v>4</v>
      </c>
      <c r="BD18" t="str">
        <f t="shared" si="19"/>
        <v>Ovino</v>
      </c>
      <c r="BE18">
        <f>+datos!BU1</f>
        <v>73</v>
      </c>
      <c r="BF18" s="2" t="str">
        <f t="shared" si="4"/>
        <v>$/kg</v>
      </c>
      <c r="BG18" s="2">
        <f t="shared" si="4"/>
        <v>40951.6296</v>
      </c>
      <c r="BH18" s="2">
        <f t="shared" si="4"/>
        <v>38492.857499999998</v>
      </c>
      <c r="BI18" s="2">
        <f t="shared" si="4"/>
        <v>11870.659799999999</v>
      </c>
      <c r="BK18">
        <f>+datos!DI1</f>
        <v>113</v>
      </c>
      <c r="BL18" s="2">
        <f t="shared" si="20"/>
        <v>5423.2459371604891</v>
      </c>
      <c r="BM18" s="2">
        <f t="shared" si="20"/>
        <v>4991.4960159189814</v>
      </c>
      <c r="BN18" s="2">
        <f t="shared" si="20"/>
        <v>1617.9602067595467</v>
      </c>
      <c r="BP18" s="1">
        <f>+datos!EL1</f>
        <v>142</v>
      </c>
      <c r="BQ18" s="1">
        <f t="shared" si="21"/>
        <v>12461845</v>
      </c>
      <c r="BR18" s="1">
        <f t="shared" si="21"/>
        <v>12461845</v>
      </c>
      <c r="BT18" s="1">
        <f>+datos!GS1</f>
        <v>201</v>
      </c>
      <c r="BU18" s="1">
        <f t="shared" si="22"/>
        <v>39074.94</v>
      </c>
      <c r="BV18" s="1">
        <f t="shared" si="22"/>
        <v>43426.282500000001</v>
      </c>
      <c r="BX18" s="1">
        <f>+datos!KI1</f>
        <v>295</v>
      </c>
      <c r="BY18" s="1">
        <f t="shared" si="39"/>
        <v>196.90681462999999</v>
      </c>
      <c r="BZ18" s="1">
        <f t="shared" si="40"/>
        <v>256.68757684000002</v>
      </c>
      <c r="CB18" s="1">
        <f>+datos!LN1</f>
        <v>326</v>
      </c>
      <c r="CC18" s="2">
        <f t="shared" si="23"/>
        <v>4.4735374200000004</v>
      </c>
      <c r="CD18" s="2">
        <f t="shared" si="24"/>
        <v>4.6078596100000002</v>
      </c>
      <c r="CF18" s="1">
        <f>+datos!JA1</f>
        <v>261</v>
      </c>
      <c r="CG18" s="1">
        <f t="shared" si="25"/>
        <v>2813</v>
      </c>
      <c r="CH18" s="1">
        <f t="shared" si="26"/>
        <v>2813</v>
      </c>
      <c r="CJ18" s="1">
        <f t="shared" si="27"/>
        <v>16.644595240000001</v>
      </c>
      <c r="CK18" s="1">
        <f t="shared" si="27"/>
        <v>15.83663735</v>
      </c>
      <c r="CL18" s="1">
        <f t="shared" si="27"/>
        <v>13.412348609999999</v>
      </c>
      <c r="CM18" s="1">
        <f t="shared" si="27"/>
        <v>9.5091132299999988</v>
      </c>
      <c r="CN18" s="1">
        <f t="shared" si="27"/>
        <v>10.49137048</v>
      </c>
      <c r="CO18" s="1">
        <f t="shared" si="27"/>
        <v>12.745889309999999</v>
      </c>
      <c r="CP18" s="1">
        <f t="shared" si="27"/>
        <v>11.898747670000001</v>
      </c>
      <c r="CQ18" s="1">
        <f t="shared" si="27"/>
        <v>12.26162961</v>
      </c>
      <c r="CR18" s="1">
        <f t="shared" si="27"/>
        <v>21.704121750000002</v>
      </c>
      <c r="CS18" s="1">
        <f t="shared" si="27"/>
        <v>21.006605250000003</v>
      </c>
      <c r="CT18" s="1">
        <f t="shared" si="27"/>
        <v>22.417077500000001</v>
      </c>
      <c r="CU18" s="1">
        <f t="shared" si="27"/>
        <v>28.978678630000001</v>
      </c>
      <c r="CV18" s="1">
        <f t="shared" si="27"/>
        <v>14.681416690000001</v>
      </c>
      <c r="CW18" s="1">
        <f t="shared" si="27"/>
        <v>20.44206312</v>
      </c>
      <c r="CX18" s="1">
        <f t="shared" si="27"/>
        <v>19.069193389999999</v>
      </c>
      <c r="CY18" s="1">
        <f t="shared" si="27"/>
        <v>11.15247257</v>
      </c>
      <c r="CZ18" s="1">
        <f t="shared" si="28"/>
        <v>14.78060634</v>
      </c>
      <c r="DA18" s="1">
        <f t="shared" si="28"/>
        <v>17.39120926</v>
      </c>
      <c r="DB18" s="1">
        <f t="shared" si="28"/>
        <v>19.858191740000002</v>
      </c>
      <c r="DC18" s="1">
        <f t="shared" si="28"/>
        <v>25.793182220000006</v>
      </c>
      <c r="DD18" s="1">
        <f t="shared" si="28"/>
        <v>23.71802637</v>
      </c>
      <c r="DE18" s="1">
        <f t="shared" si="28"/>
        <v>28.473251640000001</v>
      </c>
      <c r="DF18" s="1">
        <f t="shared" si="28"/>
        <v>31.821546949999998</v>
      </c>
      <c r="DG18" s="1">
        <f t="shared" si="28"/>
        <v>29.506416549999997</v>
      </c>
      <c r="DI18" s="1">
        <f t="shared" si="29"/>
        <v>0.90541722000000002</v>
      </c>
      <c r="DJ18" s="1">
        <f t="shared" si="29"/>
        <v>0.34283965</v>
      </c>
      <c r="DK18" s="1">
        <f t="shared" si="29"/>
        <v>0.74167351000000015</v>
      </c>
      <c r="DL18" s="1">
        <f t="shared" si="29"/>
        <v>0.58632921999999998</v>
      </c>
      <c r="DM18" s="1">
        <f t="shared" si="29"/>
        <v>0.29250390000000004</v>
      </c>
      <c r="DN18" s="1">
        <f t="shared" si="29"/>
        <v>0.46645720000000002</v>
      </c>
      <c r="DO18" s="1">
        <f t="shared" si="29"/>
        <v>8.1248630000000002E-2</v>
      </c>
      <c r="DP18" s="1">
        <f t="shared" si="29"/>
        <v>0.16069122999999999</v>
      </c>
      <c r="DQ18" s="1">
        <f t="shared" si="29"/>
        <v>0.12834936</v>
      </c>
      <c r="DR18" s="1">
        <f t="shared" si="29"/>
        <v>0.21283820000000001</v>
      </c>
      <c r="DS18" s="1">
        <f t="shared" si="29"/>
        <v>0.28431688999999999</v>
      </c>
      <c r="DT18" s="1">
        <f t="shared" si="29"/>
        <v>0.27087241000000001</v>
      </c>
      <c r="DU18" s="1">
        <f t="shared" si="29"/>
        <v>0.85465582000000007</v>
      </c>
      <c r="DV18" s="1">
        <f t="shared" si="29"/>
        <v>0.86735239999999991</v>
      </c>
      <c r="DW18" s="1">
        <f t="shared" si="29"/>
        <v>0.68639446999999998</v>
      </c>
      <c r="DX18" s="1">
        <f t="shared" si="29"/>
        <v>0.51198889000000003</v>
      </c>
      <c r="DY18" s="1">
        <f t="shared" si="30"/>
        <v>0.25118170000000001</v>
      </c>
      <c r="DZ18" s="1">
        <f t="shared" si="30"/>
        <v>0.17288594000000002</v>
      </c>
      <c r="EA18" s="1">
        <f t="shared" si="30"/>
        <v>0</v>
      </c>
      <c r="EB18" s="1">
        <f t="shared" si="30"/>
        <v>0.51168631000000009</v>
      </c>
      <c r="EC18" s="1">
        <f t="shared" si="30"/>
        <v>0.28659749000000001</v>
      </c>
      <c r="ED18" s="1">
        <f t="shared" si="30"/>
        <v>2.9313999999999998E-3</v>
      </c>
      <c r="EE18" s="1">
        <f t="shared" si="30"/>
        <v>0.22824644999999999</v>
      </c>
      <c r="EF18" s="1">
        <f t="shared" si="30"/>
        <v>0.23393874000000003</v>
      </c>
      <c r="EH18" s="14">
        <f t="shared" si="31"/>
        <v>2813</v>
      </c>
      <c r="EI18" s="14">
        <f t="shared" si="31"/>
        <v>2813</v>
      </c>
      <c r="EJ18" s="1">
        <f t="shared" si="31"/>
        <v>2813</v>
      </c>
      <c r="EK18" s="1">
        <f t="shared" si="31"/>
        <v>2813</v>
      </c>
      <c r="EL18" s="1">
        <f t="shared" si="31"/>
        <v>2813</v>
      </c>
      <c r="EM18" s="1">
        <f t="shared" si="31"/>
        <v>2813</v>
      </c>
      <c r="EN18" s="1">
        <f t="shared" si="31"/>
        <v>2813</v>
      </c>
      <c r="EO18" s="1">
        <f t="shared" si="31"/>
        <v>2813</v>
      </c>
      <c r="EP18" s="1">
        <f t="shared" si="31"/>
        <v>2813</v>
      </c>
      <c r="EQ18" s="1">
        <f t="shared" si="31"/>
        <v>2813</v>
      </c>
      <c r="ER18" s="1">
        <f t="shared" si="31"/>
        <v>2813</v>
      </c>
      <c r="ES18" s="1">
        <f t="shared" si="31"/>
        <v>2813</v>
      </c>
      <c r="ET18" s="1">
        <f t="shared" si="31"/>
        <v>2813</v>
      </c>
      <c r="EU18" s="1">
        <f t="shared" si="31"/>
        <v>2813</v>
      </c>
      <c r="EV18" s="1">
        <f t="shared" si="31"/>
        <v>2813</v>
      </c>
      <c r="EW18" s="1">
        <f t="shared" si="31"/>
        <v>2813</v>
      </c>
      <c r="EX18" s="1">
        <f t="shared" si="32"/>
        <v>2813</v>
      </c>
      <c r="EY18" s="1">
        <f t="shared" si="32"/>
        <v>2813</v>
      </c>
      <c r="EZ18" s="1">
        <f t="shared" si="32"/>
        <v>2813</v>
      </c>
      <c r="FA18" s="1">
        <f t="shared" si="32"/>
        <v>2813</v>
      </c>
      <c r="FB18" s="1">
        <f t="shared" si="32"/>
        <v>2813</v>
      </c>
      <c r="FC18" s="1">
        <f t="shared" si="32"/>
        <v>2813</v>
      </c>
      <c r="FD18" s="1">
        <f t="shared" si="32"/>
        <v>2813</v>
      </c>
      <c r="FE18" s="1">
        <f t="shared" si="32"/>
        <v>2813</v>
      </c>
      <c r="FG18" s="162">
        <f t="shared" si="33"/>
        <v>-2.3519031645544453</v>
      </c>
    </row>
    <row r="19" spans="1:163" ht="30" customHeight="1">
      <c r="A19" s="226" t="s">
        <v>66</v>
      </c>
      <c r="B19" s="227"/>
      <c r="C19" s="228">
        <f t="shared" si="5"/>
        <v>-0.65999999999999992</v>
      </c>
      <c r="D19" s="229">
        <v>-1</v>
      </c>
      <c r="E19" s="230">
        <f t="shared" si="6"/>
        <v>-0.20692650764493858</v>
      </c>
      <c r="F19" s="231">
        <f t="shared" si="7"/>
        <v>-0.41306876053454922</v>
      </c>
      <c r="G19" s="230">
        <f t="shared" si="8"/>
        <v>4.0548697548798973E-3</v>
      </c>
      <c r="H19" s="231">
        <f t="shared" si="9"/>
        <v>-0.21098137739981848</v>
      </c>
      <c r="I19" s="230">
        <f t="shared" si="10"/>
        <v>1.1605968480425402</v>
      </c>
      <c r="J19" s="231">
        <f t="shared" si="11"/>
        <v>-1.3818240995883824</v>
      </c>
      <c r="K19" s="230">
        <f t="shared" si="34"/>
        <v>2.3806198598702455</v>
      </c>
      <c r="L19" s="231">
        <f t="shared" si="12"/>
        <v>-1.2200230118277053</v>
      </c>
      <c r="M19" s="232"/>
      <c r="N19" s="229">
        <v>-2</v>
      </c>
      <c r="O19" s="230">
        <f t="shared" si="35"/>
        <v>6.5265283642371941E-2</v>
      </c>
      <c r="P19" s="233">
        <f t="shared" si="36"/>
        <v>6.5265283642371941E-2</v>
      </c>
      <c r="Q19" s="230"/>
      <c r="R19" s="234">
        <v>-0.01</v>
      </c>
      <c r="S19" s="232"/>
      <c r="T19" s="229">
        <v>1</v>
      </c>
      <c r="U19" s="230">
        <f t="shared" si="14"/>
        <v>9.9482325189556908E-2</v>
      </c>
      <c r="V19" s="235">
        <f t="shared" si="15"/>
        <v>9.9482325189556908E-2</v>
      </c>
      <c r="W19" s="230">
        <f t="shared" si="38"/>
        <v>1.5550740044430582</v>
      </c>
      <c r="X19" s="235">
        <f t="shared" si="16"/>
        <v>1.5550740044430582</v>
      </c>
      <c r="Y19" s="230">
        <f t="shared" si="17"/>
        <v>0</v>
      </c>
      <c r="Z19" s="235">
        <f t="shared" si="18"/>
        <v>0</v>
      </c>
      <c r="AA19" s="238"/>
      <c r="AB19" s="242" t="s">
        <v>447</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P19" s="28">
        <f>VLOOKUP($A19,historia!$A$5:$CM$24,+HLOOKUP(AP$2,historia!$A$3:$EC$4,2,FALSE),FALSE)</f>
        <v>3</v>
      </c>
      <c r="AQ19" s="28">
        <f>VLOOKUP($A19,historia!$A$5:$CM$24,+HLOOKUP(AQ$2,historia!$A$3:$EC$4,2,FALSE),FALSE)</f>
        <v>3</v>
      </c>
      <c r="AR19" s="28">
        <f>VLOOKUP($A19,historia!$A$5:$CM$24,+HLOOKUP(AR$2,historia!$A$3:$EC$4,2,FALSE),FALSE)</f>
        <v>3</v>
      </c>
      <c r="AS19" s="28">
        <f>VLOOKUP($A19,historia!$A$5:$CM$24,+HLOOKUP(AS$2,historia!$A$3:$EC$4,2,FALSE),FALSE)</f>
        <v>3</v>
      </c>
      <c r="AT19" s="58">
        <f>VLOOKUP($A19,historia!$A$5:$CM$24,+HLOOKUP(AT$2,historia!$A$3:$EC$4,2,FALSE),FALSE)</f>
        <v>4</v>
      </c>
      <c r="AU19" s="58">
        <f>VLOOKUP($A19,historia!$A$5:$CM$24,+HLOOKUP(AU$2,historia!$A$3:$EC$4,2,FALSE),FALSE)</f>
        <v>4</v>
      </c>
      <c r="AV19" s="58">
        <f>VLOOKUP($A19,historia!$A$5:$CM$24,+HLOOKUP(AV$2,historia!$A$3:$EC$4,2,FALSE),FALSE)</f>
        <v>4</v>
      </c>
      <c r="AW19" s="58">
        <f>VLOOKUP($A19,historia!$A$5:$CM$24,+HLOOKUP(AW$2,historia!$A$3:$EC$4,2,FALSE),FALSE)</f>
        <v>4</v>
      </c>
      <c r="AX19" s="58">
        <f>VLOOKUP($A19,historia!$A$5:$CM$24,+HLOOKUP(AX$2,historia!$A$3:$EC$4,2,FALSE),FALSE)</f>
        <v>3</v>
      </c>
      <c r="AY19" s="58">
        <f>VLOOKUP($A19,historia!$A$5:$CM$24,+HLOOKUP(AY$2,historia!$A$3:$EC$4,2,FALSE),FALSE)</f>
        <v>3</v>
      </c>
      <c r="AZ19" s="58">
        <f>VLOOKUP($A19,historia!$A$5:$CM$24,+HLOOKUP(AZ$2,historia!$A$3:$EC$4,2,FALSE),FALSE)</f>
        <v>3</v>
      </c>
      <c r="BA19" s="58">
        <f>VLOOKUP($A19,historia!$A$5:$CM$24,+HLOOKUP(BA$2,historia!$A$3:$EC$4,2,FALSE),FALSE)</f>
        <v>4</v>
      </c>
      <c r="BB19" s="30"/>
      <c r="BC19" s="141">
        <v>4</v>
      </c>
      <c r="BD19" t="str">
        <f t="shared" si="19"/>
        <v>Papa</v>
      </c>
      <c r="BE19">
        <f>+datos!AV1</f>
        <v>48</v>
      </c>
      <c r="BF19" s="2" t="str">
        <f t="shared" si="4"/>
        <v>$/bolsa 20kg</v>
      </c>
      <c r="BG19" s="2">
        <f t="shared" si="4"/>
        <v>5064.4859813084113</v>
      </c>
      <c r="BH19" s="2">
        <f t="shared" si="4"/>
        <v>6385.8974358974356</v>
      </c>
      <c r="BI19" s="2">
        <f t="shared" si="4"/>
        <v>2344.021739130435</v>
      </c>
      <c r="BK19">
        <f>+datos!CI1</f>
        <v>87</v>
      </c>
      <c r="BL19" s="2">
        <f t="shared" si="20"/>
        <v>7986.8231814332885</v>
      </c>
      <c r="BM19" s="2">
        <f t="shared" si="20"/>
        <v>7954.5684424429055</v>
      </c>
      <c r="BN19" s="2">
        <f t="shared" si="20"/>
        <v>2362.5321723513266</v>
      </c>
      <c r="BP19" s="1">
        <f>+datos!EZ1</f>
        <v>156</v>
      </c>
      <c r="BQ19" s="1">
        <f t="shared" si="21"/>
        <v>34815</v>
      </c>
      <c r="BR19" s="1">
        <f t="shared" si="21"/>
        <v>32682</v>
      </c>
      <c r="BT19" s="1">
        <f>+datos!GT1</f>
        <v>202</v>
      </c>
      <c r="BU19" s="1">
        <f t="shared" si="22"/>
        <v>2111561</v>
      </c>
      <c r="BV19" s="1">
        <f t="shared" si="22"/>
        <v>2365997</v>
      </c>
      <c r="BX19" s="1">
        <f>+datos!JO1</f>
        <v>275</v>
      </c>
      <c r="BY19" s="1">
        <f t="shared" si="39"/>
        <v>322.53600384999999</v>
      </c>
      <c r="BZ19" s="1">
        <f t="shared" si="40"/>
        <v>293.35260463999998</v>
      </c>
      <c r="CB19" s="1">
        <f>+datos!KT1</f>
        <v>306</v>
      </c>
      <c r="CC19" s="2">
        <f t="shared" si="23"/>
        <v>18.809373819999998</v>
      </c>
      <c r="CD19" s="2">
        <f t="shared" si="24"/>
        <v>7.361576920000001</v>
      </c>
      <c r="CF19" s="1">
        <f>+datos!JB1</f>
        <v>262</v>
      </c>
      <c r="CG19" s="1">
        <f t="shared" si="25"/>
        <v>35.950000000000003</v>
      </c>
      <c r="CH19" s="1">
        <f t="shared" si="26"/>
        <v>35.950000000000003</v>
      </c>
      <c r="CJ19" s="1">
        <f t="shared" si="27"/>
        <v>24.143815810000007</v>
      </c>
      <c r="CK19" s="1">
        <f t="shared" si="27"/>
        <v>26.000694290000002</v>
      </c>
      <c r="CL19" s="1">
        <f t="shared" si="27"/>
        <v>22.013274209999999</v>
      </c>
      <c r="CM19" s="1">
        <f t="shared" si="27"/>
        <v>23.44114875</v>
      </c>
      <c r="CN19" s="1">
        <f t="shared" si="27"/>
        <v>29.35689408</v>
      </c>
      <c r="CO19" s="1">
        <f t="shared" si="27"/>
        <v>26.11967611</v>
      </c>
      <c r="CP19" s="1">
        <f t="shared" si="27"/>
        <v>30.386509889999999</v>
      </c>
      <c r="CQ19" s="1">
        <f t="shared" si="27"/>
        <v>26.2743097</v>
      </c>
      <c r="CR19" s="1">
        <f t="shared" si="27"/>
        <v>30.80704394</v>
      </c>
      <c r="CS19" s="1">
        <f t="shared" si="27"/>
        <v>27.637267510000001</v>
      </c>
      <c r="CT19" s="1">
        <f t="shared" si="27"/>
        <v>30.470799569999997</v>
      </c>
      <c r="CU19" s="1">
        <f t="shared" si="27"/>
        <v>25.884569989999999</v>
      </c>
      <c r="CV19" s="1">
        <f t="shared" si="27"/>
        <v>21.159077390000004</v>
      </c>
      <c r="CW19" s="1">
        <f t="shared" si="27"/>
        <v>21.056863770000003</v>
      </c>
      <c r="CX19" s="1">
        <f t="shared" si="27"/>
        <v>16.985680380000005</v>
      </c>
      <c r="CY19" s="1">
        <f t="shared" si="27"/>
        <v>25.68249277</v>
      </c>
      <c r="CZ19" s="1">
        <f t="shared" si="28"/>
        <v>25.561633730000004</v>
      </c>
      <c r="DA19" s="1">
        <f t="shared" si="28"/>
        <v>29.175893349999999</v>
      </c>
      <c r="DB19" s="1">
        <f t="shared" si="28"/>
        <v>26.64714219</v>
      </c>
      <c r="DC19" s="1">
        <f t="shared" si="28"/>
        <v>28.903680499999997</v>
      </c>
      <c r="DD19" s="1">
        <f t="shared" si="28"/>
        <v>27.118801100000006</v>
      </c>
      <c r="DE19" s="1">
        <f t="shared" si="28"/>
        <v>25.069733259999996</v>
      </c>
      <c r="DF19" s="1">
        <f t="shared" si="28"/>
        <v>23.736113960000001</v>
      </c>
      <c r="DG19" s="1">
        <f t="shared" si="28"/>
        <v>22.255492239999995</v>
      </c>
      <c r="DI19" s="1">
        <f t="shared" si="29"/>
        <v>1.5496506000000003</v>
      </c>
      <c r="DJ19" s="1">
        <f t="shared" si="29"/>
        <v>2.1384397699999997</v>
      </c>
      <c r="DK19" s="1">
        <f t="shared" si="29"/>
        <v>2.7337765599999999</v>
      </c>
      <c r="DL19" s="1">
        <f t="shared" si="29"/>
        <v>1.0171737099999998</v>
      </c>
      <c r="DM19" s="1">
        <f t="shared" si="29"/>
        <v>1.9864389700000002</v>
      </c>
      <c r="DN19" s="1">
        <f t="shared" si="29"/>
        <v>2.8868213899999997</v>
      </c>
      <c r="DO19" s="1">
        <f t="shared" si="29"/>
        <v>1.3747401999999997</v>
      </c>
      <c r="DP19" s="1">
        <f t="shared" si="29"/>
        <v>1.6364950999999999</v>
      </c>
      <c r="DQ19" s="1">
        <f t="shared" si="29"/>
        <v>1.1348675200000002</v>
      </c>
      <c r="DR19" s="1">
        <f t="shared" si="29"/>
        <v>0.73241972</v>
      </c>
      <c r="DS19" s="1">
        <f t="shared" si="29"/>
        <v>1.2023484900000001</v>
      </c>
      <c r="DT19" s="1">
        <f t="shared" si="29"/>
        <v>0.41620179000000002</v>
      </c>
      <c r="DU19" s="1">
        <f t="shared" si="29"/>
        <v>1.03402496</v>
      </c>
      <c r="DV19" s="1">
        <f t="shared" si="29"/>
        <v>2.8427559999999998E-2</v>
      </c>
      <c r="DW19" s="1">
        <f t="shared" si="29"/>
        <v>1.0036533000000001</v>
      </c>
      <c r="DX19" s="1">
        <f t="shared" si="29"/>
        <v>0.19325807</v>
      </c>
      <c r="DY19" s="1">
        <f t="shared" si="30"/>
        <v>0.52785406000000001</v>
      </c>
      <c r="DZ19" s="1">
        <f t="shared" si="30"/>
        <v>0.66552862999999995</v>
      </c>
      <c r="EA19" s="1">
        <f t="shared" si="30"/>
        <v>0.47927648999999994</v>
      </c>
      <c r="EB19" s="1">
        <f t="shared" si="30"/>
        <v>0.83261881999999998</v>
      </c>
      <c r="EC19" s="1">
        <f t="shared" si="30"/>
        <v>0.7180453</v>
      </c>
      <c r="ED19" s="1">
        <f t="shared" si="30"/>
        <v>0.58227790999999995</v>
      </c>
      <c r="EE19" s="1">
        <f t="shared" si="30"/>
        <v>0.59454408000000003</v>
      </c>
      <c r="EF19" s="1">
        <f t="shared" si="30"/>
        <v>0.70206774000000005</v>
      </c>
      <c r="EH19" s="14">
        <f t="shared" si="31"/>
        <v>35.950000000000003</v>
      </c>
      <c r="EI19" s="14">
        <f t="shared" si="31"/>
        <v>35.950000000000003</v>
      </c>
      <c r="EJ19" s="1">
        <f t="shared" si="31"/>
        <v>35.950000000000003</v>
      </c>
      <c r="EK19" s="1">
        <f t="shared" si="31"/>
        <v>35.950000000000003</v>
      </c>
      <c r="EL19" s="1">
        <f t="shared" si="31"/>
        <v>35.950000000000003</v>
      </c>
      <c r="EM19" s="1">
        <f t="shared" si="31"/>
        <v>35.950000000000003</v>
      </c>
      <c r="EN19" s="1">
        <f t="shared" si="31"/>
        <v>35.950000000000003</v>
      </c>
      <c r="EO19" s="1">
        <f t="shared" si="31"/>
        <v>35.950000000000003</v>
      </c>
      <c r="EP19" s="1">
        <f t="shared" si="31"/>
        <v>35.950000000000003</v>
      </c>
      <c r="EQ19" s="1">
        <f t="shared" si="31"/>
        <v>35.950000000000003</v>
      </c>
      <c r="ER19" s="1">
        <f t="shared" si="31"/>
        <v>35.950000000000003</v>
      </c>
      <c r="ES19" s="1">
        <f t="shared" si="31"/>
        <v>35.950000000000003</v>
      </c>
      <c r="ET19" s="1">
        <f t="shared" si="31"/>
        <v>35.950000000000003</v>
      </c>
      <c r="EU19" s="1">
        <f t="shared" si="31"/>
        <v>40.33</v>
      </c>
      <c r="EV19" s="1">
        <f t="shared" si="31"/>
        <v>40.33</v>
      </c>
      <c r="EW19" s="1">
        <f t="shared" si="31"/>
        <v>40.33</v>
      </c>
      <c r="EX19" s="1">
        <f t="shared" si="32"/>
        <v>40.33</v>
      </c>
      <c r="EY19" s="1">
        <f t="shared" si="32"/>
        <v>40.33</v>
      </c>
      <c r="EZ19" s="1">
        <f t="shared" si="32"/>
        <v>40.33</v>
      </c>
      <c r="FA19" s="1">
        <f t="shared" si="32"/>
        <v>40.33</v>
      </c>
      <c r="FB19" s="1">
        <f t="shared" si="32"/>
        <v>40.33</v>
      </c>
      <c r="FC19" s="1">
        <f t="shared" si="32"/>
        <v>40.33</v>
      </c>
      <c r="FD19" s="1">
        <f t="shared" si="32"/>
        <v>40.33</v>
      </c>
      <c r="FE19" s="1">
        <f t="shared" si="32"/>
        <v>40.33</v>
      </c>
      <c r="FG19" s="162">
        <f t="shared" si="33"/>
        <v>-1.2200230118277053</v>
      </c>
    </row>
    <row r="20" spans="1:163" ht="30" customHeight="1">
      <c r="A20" s="224" t="s">
        <v>218</v>
      </c>
      <c r="B20" s="212"/>
      <c r="C20" s="156">
        <f t="shared" si="5"/>
        <v>0</v>
      </c>
      <c r="D20" s="198">
        <v>0</v>
      </c>
      <c r="E20" s="213">
        <f t="shared" si="6"/>
        <v>0.46999990444995077</v>
      </c>
      <c r="F20" s="214">
        <f t="shared" si="7"/>
        <v>0.26385765156034013</v>
      </c>
      <c r="G20" s="213">
        <f t="shared" si="8"/>
        <v>9.6374944945804675E-2</v>
      </c>
      <c r="H20" s="214">
        <f t="shared" si="9"/>
        <v>0.37362495950414609</v>
      </c>
      <c r="I20" s="213">
        <f t="shared" si="10"/>
        <v>3.1789384909639837</v>
      </c>
      <c r="J20" s="214">
        <f t="shared" si="11"/>
        <v>0.63651754333306121</v>
      </c>
      <c r="K20" s="213">
        <f t="shared" si="34"/>
        <v>2.4623380556869749</v>
      </c>
      <c r="L20" s="214">
        <f t="shared" si="12"/>
        <v>0.71660043527700878</v>
      </c>
      <c r="M20" s="215"/>
      <c r="N20" s="198">
        <v>-1</v>
      </c>
      <c r="O20" s="213">
        <f t="shared" si="35"/>
        <v>-2.3211675087845274E-2</v>
      </c>
      <c r="P20" s="216">
        <f t="shared" si="36"/>
        <v>-2.3211675087845274E-2</v>
      </c>
      <c r="Q20" s="213">
        <f>IFERROR(+BU20/BV20-1,"")</f>
        <v>-0.22090387064124328</v>
      </c>
      <c r="R20" s="217">
        <f t="shared" si="37"/>
        <v>-0.22090387064124328</v>
      </c>
      <c r="S20" s="215"/>
      <c r="T20" s="198">
        <v>1</v>
      </c>
      <c r="U20" s="213">
        <f t="shared" si="14"/>
        <v>0.13148473601181143</v>
      </c>
      <c r="V20" s="45">
        <f t="shared" si="15"/>
        <v>0.13148473601181143</v>
      </c>
      <c r="W20" s="213">
        <f t="shared" si="38"/>
        <v>0.2084261582424316</v>
      </c>
      <c r="X20" s="45">
        <f t="shared" si="16"/>
        <v>0.2084261582424316</v>
      </c>
      <c r="Y20" s="213" t="str">
        <f t="shared" si="17"/>
        <v/>
      </c>
      <c r="Z20" s="45" t="str">
        <f t="shared" si="18"/>
        <v/>
      </c>
      <c r="AA20" s="30"/>
      <c r="AB20" s="242" t="s">
        <v>470</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P20" s="28">
        <f>VLOOKUP($A20,historia!$A$5:$CM$24,+HLOOKUP(AP$2,historia!$A$3:$EC$4,2,FALSE),FALSE)</f>
        <v>4</v>
      </c>
      <c r="AQ20" s="28">
        <f>VLOOKUP($A20,historia!$A$5:$CM$24,+HLOOKUP(AQ$2,historia!$A$3:$EC$4,2,FALSE),FALSE)</f>
        <v>4</v>
      </c>
      <c r="AR20" s="28">
        <f>VLOOKUP($A20,historia!$A$5:$CM$24,+HLOOKUP(AR$2,historia!$A$3:$EC$4,2,FALSE),FALSE)</f>
        <v>4</v>
      </c>
      <c r="AS20" s="28">
        <f>VLOOKUP($A20,historia!$A$5:$CM$24,+HLOOKUP(AS$2,historia!$A$3:$EC$4,2,FALSE),FALSE)</f>
        <v>4</v>
      </c>
      <c r="AT20" s="58">
        <f>VLOOKUP($A20,historia!$A$5:$CM$24,+HLOOKUP(AT$2,historia!$A$3:$EC$4,2,FALSE),FALSE)</f>
        <v>4</v>
      </c>
      <c r="AU20" s="58">
        <f>VLOOKUP($A20,historia!$A$5:$CM$24,+HLOOKUP(AU$2,historia!$A$3:$EC$4,2,FALSE),FALSE)</f>
        <v>3</v>
      </c>
      <c r="AV20" s="58">
        <f>VLOOKUP($A20,historia!$A$5:$CM$24,+HLOOKUP(AV$2,historia!$A$3:$EC$4,2,FALSE),FALSE)</f>
        <v>3</v>
      </c>
      <c r="AW20" s="58">
        <f>VLOOKUP($A20,historia!$A$5:$CM$24,+HLOOKUP(AW$2,historia!$A$3:$EC$4,2,FALSE),FALSE)</f>
        <v>3</v>
      </c>
      <c r="AX20" s="58">
        <f>VLOOKUP($A20,historia!$A$5:$CM$24,+HLOOKUP(AX$2,historia!$A$3:$EC$4,2,FALSE),FALSE)</f>
        <v>3</v>
      </c>
      <c r="AY20" s="58">
        <f>VLOOKUP($A20,historia!$A$5:$CM$24,+HLOOKUP(AY$2,historia!$A$3:$EC$4,2,FALSE),FALSE)</f>
        <v>3</v>
      </c>
      <c r="AZ20" s="58">
        <f>VLOOKUP($A20,historia!$A$5:$CM$24,+HLOOKUP(AZ$2,historia!$A$3:$EC$4,2,FALSE),FALSE)</f>
        <v>3</v>
      </c>
      <c r="BA20" s="58">
        <f>VLOOKUP($A20,historia!$A$5:$CM$24,+HLOOKUP(BA$2,historia!$A$3:$EC$4,2,FALSE),FALSE)</f>
        <v>3</v>
      </c>
      <c r="BB20" s="30"/>
      <c r="BC20" s="141">
        <v>3</v>
      </c>
      <c r="BD20" t="str">
        <f t="shared" si="19"/>
        <v>Peras y Manzanas</v>
      </c>
      <c r="BE20">
        <f>+datos!AP1</f>
        <v>42</v>
      </c>
      <c r="BF20" s="2" t="str">
        <f t="shared" si="4"/>
        <v>$/caja 18kg</v>
      </c>
      <c r="BG20" s="2">
        <f t="shared" si="4"/>
        <v>11409.636363636364</v>
      </c>
      <c r="BH20" s="2">
        <f t="shared" si="4"/>
        <v>7761.6578947368425</v>
      </c>
      <c r="BI20" s="2">
        <f t="shared" si="4"/>
        <v>2730.2714285714283</v>
      </c>
      <c r="BK20">
        <f>+datos!CS1</f>
        <v>97</v>
      </c>
      <c r="BL20" s="2">
        <f t="shared" si="20"/>
        <v>6272.4483666381275</v>
      </c>
      <c r="BM20" s="2">
        <f t="shared" si="20"/>
        <v>5721.079632067097</v>
      </c>
      <c r="BN20" s="2">
        <f t="shared" si="20"/>
        <v>1811.6221656448242</v>
      </c>
      <c r="BP20" s="1">
        <f>+datos!FC1</f>
        <v>159</v>
      </c>
      <c r="BQ20" s="1">
        <f t="shared" si="21"/>
        <v>38084</v>
      </c>
      <c r="BR20" s="1">
        <f t="shared" si="21"/>
        <v>38989</v>
      </c>
      <c r="BT20" s="1">
        <f>+datos!GW1</f>
        <v>205</v>
      </c>
      <c r="BU20" s="1">
        <f t="shared" si="22"/>
        <v>763589</v>
      </c>
      <c r="BV20" s="1">
        <f t="shared" si="22"/>
        <v>980096</v>
      </c>
      <c r="BX20" s="1">
        <f>+datos!LS1</f>
        <v>331</v>
      </c>
      <c r="BY20" s="1">
        <f t="shared" si="39"/>
        <v>355.70167735000001</v>
      </c>
      <c r="BZ20" s="1">
        <f t="shared" si="40"/>
        <v>314.36719031999996</v>
      </c>
      <c r="CB20" s="1">
        <f>+datos!LW1</f>
        <v>335</v>
      </c>
      <c r="CC20" s="2">
        <f t="shared" si="23"/>
        <v>7.6788782600000003</v>
      </c>
      <c r="CD20" s="2">
        <f t="shared" si="24"/>
        <v>6.3544455800000001</v>
      </c>
      <c r="CF20" s="1">
        <f>+datos!JC1</f>
        <v>263</v>
      </c>
      <c r="CG20" s="1">
        <f t="shared" si="25"/>
        <v>0</v>
      </c>
      <c r="CH20" s="1">
        <f t="shared" si="26"/>
        <v>0</v>
      </c>
      <c r="CJ20" s="1">
        <f t="shared" si="27"/>
        <v>11.509203560000001</v>
      </c>
      <c r="CK20" s="1">
        <f t="shared" si="27"/>
        <v>11.753879789999999</v>
      </c>
      <c r="CL20" s="1">
        <f t="shared" si="27"/>
        <v>15.619426270000002</v>
      </c>
      <c r="CM20" s="1">
        <f t="shared" si="27"/>
        <v>16.880359240000001</v>
      </c>
      <c r="CN20" s="1">
        <f t="shared" si="27"/>
        <v>24.204094699999999</v>
      </c>
      <c r="CO20" s="1">
        <f t="shared" si="27"/>
        <v>25.300599699999999</v>
      </c>
      <c r="CP20" s="1">
        <f t="shared" si="27"/>
        <v>48.042350899999995</v>
      </c>
      <c r="CQ20" s="1">
        <f t="shared" si="27"/>
        <v>30.317151650000003</v>
      </c>
      <c r="CR20" s="1">
        <f t="shared" si="27"/>
        <v>39.830023670000003</v>
      </c>
      <c r="CS20" s="1">
        <f t="shared" si="27"/>
        <v>48.212206680000008</v>
      </c>
      <c r="CT20" s="1">
        <f t="shared" si="27"/>
        <v>46.755406350000001</v>
      </c>
      <c r="CU20" s="1">
        <f t="shared" si="27"/>
        <v>37.276974840000001</v>
      </c>
      <c r="CV20" s="1">
        <f t="shared" si="27"/>
        <v>11.80910873</v>
      </c>
      <c r="CW20" s="1">
        <f t="shared" si="27"/>
        <v>12.88181872</v>
      </c>
      <c r="CX20" s="1">
        <f t="shared" si="27"/>
        <v>18.209359989999999</v>
      </c>
      <c r="CY20" s="1">
        <f t="shared" si="27"/>
        <v>17.588783669999998</v>
      </c>
      <c r="CZ20" s="1">
        <f t="shared" si="28"/>
        <v>19.204431939999999</v>
      </c>
      <c r="DA20" s="1">
        <f t="shared" si="28"/>
        <v>18.586597920000003</v>
      </c>
      <c r="DB20" s="1">
        <f t="shared" si="28"/>
        <v>16.816308710000001</v>
      </c>
      <c r="DC20" s="1">
        <f t="shared" si="28"/>
        <v>28.579364210000001</v>
      </c>
      <c r="DD20" s="1">
        <f t="shared" si="28"/>
        <v>38.836687069999996</v>
      </c>
      <c r="DE20" s="1">
        <f t="shared" si="28"/>
        <v>37.982258049999999</v>
      </c>
      <c r="DF20" s="1">
        <f t="shared" si="28"/>
        <v>42.930305690000004</v>
      </c>
      <c r="DG20" s="1">
        <f t="shared" si="28"/>
        <v>50.942165619999997</v>
      </c>
      <c r="DI20" s="1">
        <f t="shared" si="29"/>
        <v>8.4911199999999992E-2</v>
      </c>
      <c r="DJ20" s="1">
        <f t="shared" si="29"/>
        <v>0.22142464000000001</v>
      </c>
      <c r="DK20" s="1">
        <f t="shared" si="29"/>
        <v>1.01853964</v>
      </c>
      <c r="DL20" s="1">
        <f t="shared" si="29"/>
        <v>0.30728509999999998</v>
      </c>
      <c r="DM20" s="1">
        <f t="shared" si="29"/>
        <v>0.37410640000000001</v>
      </c>
      <c r="DN20" s="1">
        <f t="shared" si="29"/>
        <v>0.35746821000000001</v>
      </c>
      <c r="DO20" s="1">
        <f t="shared" si="29"/>
        <v>0.95829101000000005</v>
      </c>
      <c r="DP20" s="1">
        <f t="shared" si="29"/>
        <v>0.34636184000000003</v>
      </c>
      <c r="DQ20" s="1">
        <f t="shared" si="29"/>
        <v>1.2547095300000002</v>
      </c>
      <c r="DR20" s="1">
        <f t="shared" si="29"/>
        <v>1.273682</v>
      </c>
      <c r="DS20" s="1">
        <f t="shared" si="29"/>
        <v>0.92279571000000005</v>
      </c>
      <c r="DT20" s="1">
        <f t="shared" si="29"/>
        <v>0.55930298000000001</v>
      </c>
      <c r="DU20" s="1">
        <f t="shared" si="29"/>
        <v>0.23405334</v>
      </c>
      <c r="DV20" s="1">
        <f t="shared" si="29"/>
        <v>2.5551390000000004E-2</v>
      </c>
      <c r="DW20" s="1">
        <f t="shared" si="29"/>
        <v>0.44126778</v>
      </c>
      <c r="DX20" s="1">
        <f t="shared" si="29"/>
        <v>0.57571571999999993</v>
      </c>
      <c r="DY20" s="1">
        <f t="shared" si="30"/>
        <v>0.55222305999999999</v>
      </c>
      <c r="DZ20" s="1">
        <f t="shared" si="30"/>
        <v>0.72330915000000007</v>
      </c>
      <c r="EA20" s="1">
        <f t="shared" si="30"/>
        <v>0.57011290000000003</v>
      </c>
      <c r="EB20" s="1">
        <f t="shared" si="30"/>
        <v>0.72611420999999998</v>
      </c>
      <c r="EC20" s="1">
        <f t="shared" si="30"/>
        <v>1.15496998</v>
      </c>
      <c r="ED20" s="1">
        <f t="shared" si="30"/>
        <v>0.68284896000000006</v>
      </c>
      <c r="EE20" s="1">
        <f t="shared" si="30"/>
        <v>0.63966389999999995</v>
      </c>
      <c r="EF20" s="1">
        <f t="shared" si="30"/>
        <v>2.8615189999999999E-2</v>
      </c>
      <c r="EH20" s="14">
        <f t="shared" si="31"/>
        <v>0</v>
      </c>
      <c r="EI20" s="14">
        <f t="shared" si="31"/>
        <v>0</v>
      </c>
      <c r="EJ20" s="1">
        <f t="shared" si="31"/>
        <v>0</v>
      </c>
      <c r="EK20" s="1">
        <f t="shared" si="31"/>
        <v>0</v>
      </c>
      <c r="EL20" s="1">
        <f t="shared" si="31"/>
        <v>0</v>
      </c>
      <c r="EM20" s="1">
        <f t="shared" si="31"/>
        <v>0</v>
      </c>
      <c r="EN20" s="1">
        <f t="shared" si="31"/>
        <v>0</v>
      </c>
      <c r="EO20" s="1">
        <f t="shared" si="31"/>
        <v>0</v>
      </c>
      <c r="EP20" s="1">
        <f t="shared" si="31"/>
        <v>0</v>
      </c>
      <c r="EQ20" s="1">
        <f t="shared" si="31"/>
        <v>0</v>
      </c>
      <c r="ER20" s="1">
        <f t="shared" si="31"/>
        <v>0</v>
      </c>
      <c r="ES20" s="1">
        <f t="shared" si="31"/>
        <v>0</v>
      </c>
      <c r="ET20" s="1">
        <f t="shared" si="31"/>
        <v>0</v>
      </c>
      <c r="EU20" s="1">
        <f t="shared" si="31"/>
        <v>0</v>
      </c>
      <c r="EV20" s="1">
        <f t="shared" si="31"/>
        <v>0</v>
      </c>
      <c r="EW20" s="1">
        <f t="shared" si="31"/>
        <v>0</v>
      </c>
      <c r="EX20" s="1">
        <f t="shared" si="32"/>
        <v>0</v>
      </c>
      <c r="EY20" s="1">
        <f t="shared" si="32"/>
        <v>0</v>
      </c>
      <c r="EZ20" s="1">
        <f t="shared" si="32"/>
        <v>0</v>
      </c>
      <c r="FA20" s="1">
        <f t="shared" si="32"/>
        <v>0</v>
      </c>
      <c r="FB20" s="1">
        <f t="shared" si="32"/>
        <v>0</v>
      </c>
      <c r="FC20" s="1">
        <f t="shared" si="32"/>
        <v>0</v>
      </c>
      <c r="FD20" s="1">
        <f t="shared" si="32"/>
        <v>0</v>
      </c>
      <c r="FE20" s="1">
        <f t="shared" si="32"/>
        <v>0</v>
      </c>
      <c r="FG20" s="162">
        <f t="shared" si="33"/>
        <v>0.71660043527700878</v>
      </c>
    </row>
    <row r="21" spans="1:163" ht="30" customHeight="1">
      <c r="A21" s="226" t="s">
        <v>121</v>
      </c>
      <c r="C21" s="228">
        <f t="shared" si="5"/>
        <v>0.99</v>
      </c>
      <c r="D21" s="229">
        <v>1</v>
      </c>
      <c r="E21" s="230">
        <f t="shared" si="6"/>
        <v>0.21492733415562837</v>
      </c>
      <c r="F21" s="231">
        <f t="shared" si="7"/>
        <v>8.7850812660177358E-3</v>
      </c>
      <c r="G21" s="230">
        <f t="shared" si="8"/>
        <v>5.5733219469727535E-2</v>
      </c>
      <c r="H21" s="231">
        <f t="shared" si="9"/>
        <v>0.15919411468590083</v>
      </c>
      <c r="I21" s="230">
        <f t="shared" si="10"/>
        <v>3.2424625468164798</v>
      </c>
      <c r="J21" s="231">
        <f t="shared" si="11"/>
        <v>0.70004159918555731</v>
      </c>
      <c r="K21" s="230">
        <f t="shared" si="34"/>
        <v>2.2634229899883209</v>
      </c>
      <c r="L21" s="231">
        <f t="shared" si="12"/>
        <v>0.97903955682815891</v>
      </c>
      <c r="M21" s="232"/>
      <c r="N21" s="229">
        <v>1</v>
      </c>
      <c r="O21" s="230">
        <f t="shared" si="35"/>
        <v>7.4910714725858085E-2</v>
      </c>
      <c r="P21" s="233">
        <f t="shared" si="36"/>
        <v>7.4910714725858085E-2</v>
      </c>
      <c r="Q21" s="230">
        <f>IFERROR(+BU21/BV21-1,"")</f>
        <v>7.6495403931476025E-2</v>
      </c>
      <c r="R21" s="234">
        <f t="shared" si="37"/>
        <v>7.6495403931476025E-2</v>
      </c>
      <c r="S21" s="232"/>
      <c r="T21" s="229">
        <v>1</v>
      </c>
      <c r="U21" s="230">
        <f t="shared" si="14"/>
        <v>8.9893326589743028E-2</v>
      </c>
      <c r="V21" s="235">
        <f t="shared" si="15"/>
        <v>8.9893326589743028E-2</v>
      </c>
      <c r="W21" s="230">
        <f t="shared" si="38"/>
        <v>-0.51032034684387273</v>
      </c>
      <c r="X21" s="235">
        <f t="shared" si="16"/>
        <v>-0.51032034684387273</v>
      </c>
      <c r="Y21" s="230">
        <f t="shared" si="17"/>
        <v>-1.7088980553918609E-2</v>
      </c>
      <c r="Z21" s="235">
        <f t="shared" si="18"/>
        <v>-1.7088980553918609E-2</v>
      </c>
      <c r="AA21" s="238"/>
      <c r="AB21" s="242" t="s">
        <v>471</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P21" s="28">
        <f>VLOOKUP($A21,historia!$A$5:$CM$24,+HLOOKUP(AP$2,historia!$A$3:$EC$4,2,FALSE),FALSE)</f>
        <v>3</v>
      </c>
      <c r="AQ21" s="28">
        <f>VLOOKUP($A21,historia!$A$5:$CM$24,+HLOOKUP(AQ$2,historia!$A$3:$EC$4,2,FALSE),FALSE)</f>
        <v>3</v>
      </c>
      <c r="AR21" s="28">
        <f>VLOOKUP($A21,historia!$A$5:$CM$24,+HLOOKUP(AR$2,historia!$A$3:$EC$4,2,FALSE),FALSE)</f>
        <v>3</v>
      </c>
      <c r="AS21" s="28">
        <f>VLOOKUP($A21,historia!$A$5:$CM$24,+HLOOKUP(AS$2,historia!$A$3:$EC$4,2,FALSE),FALSE)</f>
        <v>3</v>
      </c>
      <c r="AT21" s="58">
        <f>VLOOKUP($A21,historia!$A$5:$CM$24,+HLOOKUP(AT$2,historia!$A$3:$EC$4,2,FALSE),FALSE)</f>
        <v>4</v>
      </c>
      <c r="AU21" s="58">
        <f>VLOOKUP($A21,historia!$A$5:$CM$24,+HLOOKUP(AU$2,historia!$A$3:$EC$4,2,FALSE),FALSE)</f>
        <v>4</v>
      </c>
      <c r="AV21" s="58">
        <f>VLOOKUP($A21,historia!$A$5:$CM$24,+HLOOKUP(AV$2,historia!$A$3:$EC$4,2,FALSE),FALSE)</f>
        <v>4</v>
      </c>
      <c r="AW21" s="58">
        <f>VLOOKUP($A21,historia!$A$5:$CM$24,+HLOOKUP(AW$2,historia!$A$3:$EC$4,2,FALSE),FALSE)</f>
        <v>3</v>
      </c>
      <c r="AX21" s="58">
        <f>VLOOKUP($A21,historia!$A$5:$CM$24,+HLOOKUP(AX$2,historia!$A$3:$EC$4,2,FALSE),FALSE)</f>
        <v>3</v>
      </c>
      <c r="AY21" s="58">
        <f>VLOOKUP($A21,historia!$A$5:$CM$24,+HLOOKUP(AY$2,historia!$A$3:$EC$4,2,FALSE),FALSE)</f>
        <v>3</v>
      </c>
      <c r="AZ21" s="58">
        <f>VLOOKUP($A21,historia!$A$5:$CM$24,+HLOOKUP(AZ$2,historia!$A$3:$EC$4,2,FALSE),FALSE)</f>
        <v>2</v>
      </c>
      <c r="BA21" s="58">
        <f>VLOOKUP($A21,historia!$A$5:$CM$24,+HLOOKUP(BA$2,historia!$A$3:$EC$4,2,FALSE),FALSE)</f>
        <v>1</v>
      </c>
      <c r="BB21" s="30"/>
      <c r="BC21" s="141">
        <v>1</v>
      </c>
      <c r="BD21" t="str">
        <f t="shared" si="19"/>
        <v>Porcinos</v>
      </c>
      <c r="BE21">
        <f>+datos!BR1</f>
        <v>70</v>
      </c>
      <c r="BF21" s="2" t="str">
        <f t="shared" si="4"/>
        <v>$/kg</v>
      </c>
      <c r="BG21" s="2">
        <f t="shared" si="4"/>
        <v>1132.7375000000002</v>
      </c>
      <c r="BH21" s="2">
        <f t="shared" si="4"/>
        <v>932.35</v>
      </c>
      <c r="BI21" s="2">
        <f t="shared" si="4"/>
        <v>267</v>
      </c>
      <c r="BK21">
        <f>+datos!DD1</f>
        <v>108</v>
      </c>
      <c r="BL21" s="2">
        <f t="shared" si="20"/>
        <v>6980.7895365741106</v>
      </c>
      <c r="BM21" s="2">
        <f t="shared" si="20"/>
        <v>6612.2666293293423</v>
      </c>
      <c r="BN21" s="2">
        <f t="shared" si="20"/>
        <v>2139.1004347245507</v>
      </c>
      <c r="BP21" s="1">
        <f>+datos!EJ1</f>
        <v>140</v>
      </c>
      <c r="BQ21" s="1">
        <f t="shared" si="21"/>
        <v>5887401</v>
      </c>
      <c r="BR21" s="1">
        <f t="shared" si="21"/>
        <v>5477107</v>
      </c>
      <c r="BT21" s="1">
        <f>+datos!HE1</f>
        <v>213</v>
      </c>
      <c r="BU21" s="1">
        <f t="shared" si="22"/>
        <v>760164</v>
      </c>
      <c r="BV21" s="1">
        <f t="shared" si="22"/>
        <v>706147</v>
      </c>
      <c r="BX21" s="1">
        <f>+datos!KJ1</f>
        <v>296</v>
      </c>
      <c r="BY21" s="1">
        <f t="shared" si="39"/>
        <v>18.993354189999994</v>
      </c>
      <c r="BZ21" s="1">
        <f t="shared" si="40"/>
        <v>17.42680107</v>
      </c>
      <c r="CB21" s="1">
        <f>+datos!LO1</f>
        <v>327</v>
      </c>
      <c r="CC21" s="2">
        <f t="shared" si="23"/>
        <v>48.714734029999995</v>
      </c>
      <c r="CD21" s="2">
        <f t="shared" si="24"/>
        <v>99.48286336999999</v>
      </c>
      <c r="CF21" s="1">
        <f>+datos!IO1</f>
        <v>249</v>
      </c>
      <c r="CG21" s="1">
        <f t="shared" si="25"/>
        <v>16.68</v>
      </c>
      <c r="CH21" s="1">
        <f t="shared" si="26"/>
        <v>16.97</v>
      </c>
      <c r="CJ21" s="1">
        <f t="shared" si="27"/>
        <v>1.2009935999999999</v>
      </c>
      <c r="CK21" s="1">
        <f t="shared" si="27"/>
        <v>1.5576121499999998</v>
      </c>
      <c r="CL21" s="1">
        <f t="shared" si="27"/>
        <v>1.3743196699999998</v>
      </c>
      <c r="CM21" s="1">
        <f t="shared" si="27"/>
        <v>1.4110336399999999</v>
      </c>
      <c r="CN21" s="1">
        <f t="shared" si="27"/>
        <v>1.8830951399999996</v>
      </c>
      <c r="CO21" s="1">
        <f t="shared" si="27"/>
        <v>1.4694087300000001</v>
      </c>
      <c r="CP21" s="1">
        <f t="shared" si="27"/>
        <v>2.0502103900000002</v>
      </c>
      <c r="CQ21" s="1">
        <f t="shared" si="27"/>
        <v>1.8176867299999997</v>
      </c>
      <c r="CR21" s="1">
        <f t="shared" si="27"/>
        <v>1.2719750699999999</v>
      </c>
      <c r="CS21" s="1">
        <f t="shared" si="27"/>
        <v>1.5228158499999997</v>
      </c>
      <c r="CT21" s="1">
        <f t="shared" si="27"/>
        <v>1.32254655</v>
      </c>
      <c r="CU21" s="1">
        <f t="shared" si="27"/>
        <v>2.1116566699999999</v>
      </c>
      <c r="CV21" s="1">
        <f t="shared" si="27"/>
        <v>1.8299806799999998</v>
      </c>
      <c r="CW21" s="1">
        <f t="shared" si="27"/>
        <v>2.01275629</v>
      </c>
      <c r="CX21" s="1">
        <f t="shared" si="27"/>
        <v>1.0656519800000002</v>
      </c>
      <c r="CY21" s="1">
        <f t="shared" si="27"/>
        <v>1.9138006200000002</v>
      </c>
      <c r="CZ21" s="1">
        <f t="shared" si="28"/>
        <v>1.83911538</v>
      </c>
      <c r="DA21" s="1">
        <f t="shared" si="28"/>
        <v>1.1669562900000001</v>
      </c>
      <c r="DB21" s="1">
        <f t="shared" si="28"/>
        <v>1.9574107099999998</v>
      </c>
      <c r="DC21" s="1">
        <f t="shared" si="28"/>
        <v>1.1355260499999997</v>
      </c>
      <c r="DD21" s="1">
        <f t="shared" si="28"/>
        <v>0.90610126000000002</v>
      </c>
      <c r="DE21" s="1">
        <f t="shared" si="28"/>
        <v>1.3895762900000002</v>
      </c>
      <c r="DF21" s="1">
        <f t="shared" si="28"/>
        <v>1.4229088099999998</v>
      </c>
      <c r="DG21" s="1">
        <f t="shared" si="28"/>
        <v>0.78701670999999995</v>
      </c>
      <c r="DI21" s="1">
        <f t="shared" si="29"/>
        <v>3.1162246899999997</v>
      </c>
      <c r="DJ21" s="1">
        <f t="shared" si="29"/>
        <v>3.3747357299999998</v>
      </c>
      <c r="DK21" s="1">
        <f t="shared" si="29"/>
        <v>1.8536983500000002</v>
      </c>
      <c r="DL21" s="1">
        <f t="shared" si="29"/>
        <v>2.01592043</v>
      </c>
      <c r="DM21" s="1">
        <f t="shared" si="29"/>
        <v>3.3244473500000002</v>
      </c>
      <c r="DN21" s="1">
        <f t="shared" si="29"/>
        <v>2.84758625</v>
      </c>
      <c r="DO21" s="1">
        <f t="shared" si="29"/>
        <v>4.1641835499999997</v>
      </c>
      <c r="DP21" s="1">
        <f t="shared" si="29"/>
        <v>4.5685913500000002</v>
      </c>
      <c r="DQ21" s="1">
        <f t="shared" si="29"/>
        <v>6.3615663699999985</v>
      </c>
      <c r="DR21" s="1">
        <f t="shared" si="29"/>
        <v>5.5541627499999997</v>
      </c>
      <c r="DS21" s="1">
        <f t="shared" si="29"/>
        <v>6.8596205599999998</v>
      </c>
      <c r="DT21" s="1">
        <f t="shared" si="29"/>
        <v>4.6739966500000012</v>
      </c>
      <c r="DU21" s="1">
        <f t="shared" si="29"/>
        <v>7.6286560299999993</v>
      </c>
      <c r="DV21" s="1">
        <f t="shared" si="29"/>
        <v>3.658397E-2</v>
      </c>
      <c r="DW21" s="1">
        <f t="shared" si="29"/>
        <v>7.2061905900000003</v>
      </c>
      <c r="DX21" s="1">
        <f t="shared" ref="DX21:EF24" si="41">+VLOOKUP(DX$1,ran_dat,$CB21,FALSE)</f>
        <v>7.3381374299999997</v>
      </c>
      <c r="DY21" s="1">
        <f t="shared" si="41"/>
        <v>7.276038279999999</v>
      </c>
      <c r="DZ21" s="1">
        <f t="shared" si="41"/>
        <v>4.9460771399999999</v>
      </c>
      <c r="EA21" s="1">
        <f t="shared" si="41"/>
        <v>6.6386870500000015</v>
      </c>
      <c r="EB21" s="1">
        <f t="shared" si="41"/>
        <v>8.8922827299999998</v>
      </c>
      <c r="EC21" s="1">
        <f t="shared" si="41"/>
        <v>12.050233429999999</v>
      </c>
      <c r="ED21" s="1">
        <f t="shared" si="41"/>
        <v>12.89114653</v>
      </c>
      <c r="EE21" s="1">
        <f t="shared" si="41"/>
        <v>13.174662569999999</v>
      </c>
      <c r="EF21" s="1">
        <f t="shared" si="41"/>
        <v>11.404167620000001</v>
      </c>
      <c r="EH21" s="14">
        <f t="shared" si="31"/>
        <v>16.68</v>
      </c>
      <c r="EI21" s="14">
        <f t="shared" si="31"/>
        <v>16.72</v>
      </c>
      <c r="EJ21" s="1">
        <f t="shared" si="31"/>
        <v>16.75</v>
      </c>
      <c r="EK21" s="1">
        <f t="shared" si="31"/>
        <v>16.760000000000002</v>
      </c>
      <c r="EL21" s="1">
        <f t="shared" si="31"/>
        <v>16.71</v>
      </c>
      <c r="EM21" s="1">
        <f t="shared" si="31"/>
        <v>16.68</v>
      </c>
      <c r="EN21" s="1">
        <f t="shared" si="31"/>
        <v>16.670000000000002</v>
      </c>
      <c r="EO21" s="1">
        <f t="shared" si="31"/>
        <v>16.670000000000002</v>
      </c>
      <c r="EP21" s="1">
        <f t="shared" si="31"/>
        <v>16.72</v>
      </c>
      <c r="EQ21" s="1">
        <f t="shared" si="31"/>
        <v>16.77</v>
      </c>
      <c r="ER21" s="1">
        <f t="shared" si="31"/>
        <v>16.88</v>
      </c>
      <c r="ES21" s="1">
        <f t="shared" si="31"/>
        <v>16.93</v>
      </c>
      <c r="ET21" s="1">
        <f t="shared" si="31"/>
        <v>16.97</v>
      </c>
      <c r="EU21" s="1">
        <f t="shared" si="31"/>
        <v>16.760000000000002</v>
      </c>
      <c r="EV21" s="1">
        <f t="shared" si="31"/>
        <v>16.89</v>
      </c>
      <c r="EW21" s="1">
        <f t="shared" ref="EW21:FE24" si="42">+VLOOKUP(EW$1,ran_dat,$CF21,FALSE)</f>
        <v>16.920000000000002</v>
      </c>
      <c r="EX21" s="1">
        <f t="shared" si="42"/>
        <v>16.899999999999999</v>
      </c>
      <c r="EY21" s="1">
        <f t="shared" si="42"/>
        <v>16.84</v>
      </c>
      <c r="EZ21" s="1">
        <f t="shared" si="42"/>
        <v>16.75</v>
      </c>
      <c r="FA21" s="1">
        <f t="shared" si="42"/>
        <v>16.71</v>
      </c>
      <c r="FB21" s="1">
        <f t="shared" si="42"/>
        <v>16.57</v>
      </c>
      <c r="FC21" s="1">
        <f t="shared" si="42"/>
        <v>16.329999999999998</v>
      </c>
      <c r="FD21" s="1">
        <f t="shared" si="42"/>
        <v>16.149999999999999</v>
      </c>
      <c r="FE21" s="1">
        <f t="shared" si="42"/>
        <v>16.04</v>
      </c>
      <c r="FG21" s="162">
        <f t="shared" si="33"/>
        <v>0.97903955682815891</v>
      </c>
    </row>
    <row r="22" spans="1:163" ht="30" customHeight="1">
      <c r="A22" s="222" t="s">
        <v>75</v>
      </c>
      <c r="B22" s="212"/>
      <c r="C22" s="156">
        <f t="shared" si="5"/>
        <v>0</v>
      </c>
      <c r="D22" s="198">
        <v>1</v>
      </c>
      <c r="E22" s="213">
        <f t="shared" si="6"/>
        <v>1.0142857142857142</v>
      </c>
      <c r="F22" s="214">
        <f t="shared" si="7"/>
        <v>0.8081434613961036</v>
      </c>
      <c r="G22" s="213">
        <f t="shared" si="8"/>
        <v>9.9217254328501037E-2</v>
      </c>
      <c r="H22" s="214">
        <f t="shared" si="9"/>
        <v>0.9150684599572132</v>
      </c>
      <c r="I22" s="213">
        <f t="shared" si="10"/>
        <v>5.5317088988743226</v>
      </c>
      <c r="J22" s="214">
        <f t="shared" si="11"/>
        <v>2.9892879512434001</v>
      </c>
      <c r="K22" s="213">
        <f t="shared" si="34"/>
        <v>2.4766511261968538</v>
      </c>
      <c r="L22" s="214">
        <f t="shared" si="12"/>
        <v>3.0550577726774688</v>
      </c>
      <c r="M22" s="215"/>
      <c r="N22" s="198">
        <v>0</v>
      </c>
      <c r="O22" s="213">
        <f t="shared" si="35"/>
        <v>0</v>
      </c>
      <c r="P22" s="216">
        <f t="shared" si="36"/>
        <v>0</v>
      </c>
      <c r="Q22" s="213">
        <f>IFERROR(+BU22/BV22-1,"")</f>
        <v>-7.0102125429331252E-2</v>
      </c>
      <c r="R22" s="217">
        <f t="shared" si="37"/>
        <v>-7.0102125429331252E-2</v>
      </c>
      <c r="S22" s="215"/>
      <c r="T22" s="198">
        <v>-1</v>
      </c>
      <c r="U22" s="213">
        <f t="shared" si="14"/>
        <v>-4.6264543319055718E-2</v>
      </c>
      <c r="V22" s="45">
        <f t="shared" si="15"/>
        <v>-4.6264543319055718E-2</v>
      </c>
      <c r="W22" s="213">
        <f t="shared" si="38"/>
        <v>0.4155560560033642</v>
      </c>
      <c r="X22" s="45">
        <f t="shared" si="16"/>
        <v>0.4155560560033642</v>
      </c>
      <c r="Y22" s="213" t="str">
        <f t="shared" si="17"/>
        <v/>
      </c>
      <c r="Z22" s="45" t="str">
        <f t="shared" si="18"/>
        <v/>
      </c>
      <c r="AA22" s="30"/>
      <c r="AB22" s="242" t="s">
        <v>472</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P22" s="28">
        <f>VLOOKUP($A22,historia!$A$5:$CM$24,+HLOOKUP(AP$2,historia!$A$3:$EC$4,2,FALSE),FALSE)</f>
        <v>3</v>
      </c>
      <c r="AQ22" s="28">
        <f>VLOOKUP($A22,historia!$A$5:$CM$24,+HLOOKUP(AQ$2,historia!$A$3:$EC$4,2,FALSE),FALSE)</f>
        <v>3</v>
      </c>
      <c r="AR22" s="28">
        <f>VLOOKUP($A22,historia!$A$5:$CM$24,+HLOOKUP(AR$2,historia!$A$3:$EC$4,2,FALSE),FALSE)</f>
        <v>3</v>
      </c>
      <c r="AS22" s="28">
        <f>VLOOKUP($A22,historia!$A$5:$CM$24,+HLOOKUP(AS$2,historia!$A$3:$EC$4,2,FALSE),FALSE)</f>
        <v>4</v>
      </c>
      <c r="AT22" s="58">
        <f>VLOOKUP($A22,historia!$A$5:$CM$24,+HLOOKUP(AT$2,historia!$A$3:$EC$4,2,FALSE),FALSE)</f>
        <v>4</v>
      </c>
      <c r="AU22" s="58">
        <f>VLOOKUP($A22,historia!$A$5:$CM$24,+HLOOKUP(AU$2,historia!$A$3:$EC$4,2,FALSE),FALSE)</f>
        <v>4</v>
      </c>
      <c r="AV22" s="58">
        <f>VLOOKUP($A22,historia!$A$5:$CM$24,+HLOOKUP(AV$2,historia!$A$3:$EC$4,2,FALSE),FALSE)</f>
        <v>4</v>
      </c>
      <c r="AW22" s="58">
        <f>VLOOKUP($A22,historia!$A$5:$CM$24,+HLOOKUP(AW$2,historia!$A$3:$EC$4,2,FALSE),FALSE)</f>
        <v>4</v>
      </c>
      <c r="AX22" s="58">
        <f>VLOOKUP($A22,historia!$A$5:$CM$24,+HLOOKUP(AX$2,historia!$A$3:$EC$4,2,FALSE),FALSE)</f>
        <v>4</v>
      </c>
      <c r="AY22" s="58">
        <f>VLOOKUP($A22,historia!$A$5:$CM$24,+HLOOKUP(AY$2,historia!$A$3:$EC$4,2,FALSE),FALSE)</f>
        <v>4</v>
      </c>
      <c r="AZ22" s="58">
        <f>VLOOKUP($A22,historia!$A$5:$CM$24,+HLOOKUP(AZ$2,historia!$A$3:$EC$4,2,FALSE),FALSE)</f>
        <v>3</v>
      </c>
      <c r="BA22" s="58">
        <f>VLOOKUP($A22,historia!$A$5:$CM$24,+HLOOKUP(BA$2,historia!$A$3:$EC$4,2,FALSE),FALSE)</f>
        <v>3</v>
      </c>
      <c r="BB22" s="30"/>
      <c r="BC22" s="141">
        <v>3</v>
      </c>
      <c r="BD22" t="str">
        <f t="shared" si="19"/>
        <v>Tabaco</v>
      </c>
      <c r="BE22">
        <f>+datos!BJ1</f>
        <v>62</v>
      </c>
      <c r="BF22" s="2" t="str">
        <f t="shared" si="4"/>
        <v>$/kg</v>
      </c>
      <c r="BG22" s="2">
        <f t="shared" si="4"/>
        <v>2820</v>
      </c>
      <c r="BH22" s="2">
        <f t="shared" si="4"/>
        <v>1400</v>
      </c>
      <c r="BI22" s="2">
        <f t="shared" si="4"/>
        <v>431.74</v>
      </c>
      <c r="BK22">
        <f>+datos!DA1</f>
        <v>105</v>
      </c>
      <c r="BL22" s="2">
        <f t="shared" si="20"/>
        <v>5863.0465836816984</v>
      </c>
      <c r="BM22" s="2">
        <f t="shared" si="20"/>
        <v>5333.8378383292074</v>
      </c>
      <c r="BN22" s="2">
        <f t="shared" si="20"/>
        <v>1686.4063637283468</v>
      </c>
      <c r="BP22" s="1">
        <f>+datos!FD1</f>
        <v>160</v>
      </c>
      <c r="BQ22" s="1">
        <f t="shared" si="21"/>
        <v>54743</v>
      </c>
      <c r="BR22" s="1">
        <f t="shared" si="21"/>
        <v>54743</v>
      </c>
      <c r="BT22" s="1">
        <f>+datos!GX1</f>
        <v>206</v>
      </c>
      <c r="BU22" s="1">
        <f t="shared" si="22"/>
        <v>30804.553</v>
      </c>
      <c r="BV22" s="1">
        <f t="shared" si="22"/>
        <v>33126.813000000002</v>
      </c>
      <c r="BX22" s="1">
        <f>+datos!KC1</f>
        <v>289</v>
      </c>
      <c r="BY22" s="1">
        <f t="shared" si="39"/>
        <v>543.59557573999996</v>
      </c>
      <c r="BZ22" s="1">
        <f t="shared" si="40"/>
        <v>569.96473386000002</v>
      </c>
      <c r="CB22" s="1">
        <f>+datos!LH1</f>
        <v>320</v>
      </c>
      <c r="CC22" s="2">
        <f t="shared" si="23"/>
        <v>67.540112879999995</v>
      </c>
      <c r="CD22" s="2">
        <f t="shared" si="24"/>
        <v>47.712778729999997</v>
      </c>
      <c r="CF22" s="1">
        <f>+datos!JD1</f>
        <v>264</v>
      </c>
      <c r="CG22" s="1">
        <f t="shared" si="25"/>
        <v>0</v>
      </c>
      <c r="CH22" s="1">
        <f t="shared" si="26"/>
        <v>0</v>
      </c>
      <c r="CJ22" s="1">
        <f t="shared" ref="CJ22:CY24" si="43">+VLOOKUP(CJ$1,ran_dat,$BX22,FALSE)</f>
        <v>40.108989959999995</v>
      </c>
      <c r="CK22" s="1">
        <f t="shared" si="43"/>
        <v>56.890802439999995</v>
      </c>
      <c r="CL22" s="1">
        <f t="shared" si="43"/>
        <v>36.8257318</v>
      </c>
      <c r="CM22" s="1">
        <f t="shared" si="43"/>
        <v>51.381121719999996</v>
      </c>
      <c r="CN22" s="1">
        <f t="shared" si="43"/>
        <v>33.051481680000002</v>
      </c>
      <c r="CO22" s="1">
        <f t="shared" si="43"/>
        <v>60.888504160000004</v>
      </c>
      <c r="CP22" s="1">
        <f t="shared" si="43"/>
        <v>55.773078730000002</v>
      </c>
      <c r="CQ22" s="1">
        <f t="shared" si="43"/>
        <v>34.825160650000001</v>
      </c>
      <c r="CR22" s="1">
        <f t="shared" si="43"/>
        <v>19.014000799999998</v>
      </c>
      <c r="CS22" s="1">
        <f t="shared" si="43"/>
        <v>13.328405800000001</v>
      </c>
      <c r="CT22" s="1">
        <f t="shared" si="43"/>
        <v>41.736807310000003</v>
      </c>
      <c r="CU22" s="1">
        <f t="shared" si="43"/>
        <v>99.771490689999993</v>
      </c>
      <c r="CV22" s="1">
        <f t="shared" si="43"/>
        <v>36.311671529999998</v>
      </c>
      <c r="CW22" s="1">
        <f t="shared" si="43"/>
        <v>57.64022373000001</v>
      </c>
      <c r="CX22" s="1">
        <f t="shared" si="43"/>
        <v>136.09986096</v>
      </c>
      <c r="CY22" s="1">
        <f t="shared" si="43"/>
        <v>67.887772890000008</v>
      </c>
      <c r="CZ22" s="1">
        <f t="shared" ref="CZ22:DG24" si="44">+VLOOKUP(CZ$1,ran_dat,$BX22,FALSE)</f>
        <v>57.086864629999994</v>
      </c>
      <c r="DA22" s="1">
        <f t="shared" si="44"/>
        <v>50.373202669999998</v>
      </c>
      <c r="DB22" s="1">
        <f t="shared" si="44"/>
        <v>27.075978119999998</v>
      </c>
      <c r="DC22" s="1">
        <f t="shared" si="44"/>
        <v>15.063954900000001</v>
      </c>
      <c r="DD22" s="1">
        <f t="shared" si="44"/>
        <v>15.52836033</v>
      </c>
      <c r="DE22" s="1">
        <f t="shared" si="44"/>
        <v>34.829088259999999</v>
      </c>
      <c r="DF22" s="1">
        <f t="shared" si="44"/>
        <v>43.210508609999991</v>
      </c>
      <c r="DG22" s="1">
        <f t="shared" si="44"/>
        <v>28.857247229999995</v>
      </c>
      <c r="DI22" s="1">
        <f t="shared" ref="DI22:DX24" si="45">+VLOOKUP(DI$1,ran_dat,$CB22,FALSE)</f>
        <v>3.2870284000000001</v>
      </c>
      <c r="DJ22" s="1">
        <f t="shared" si="45"/>
        <v>2.2553329799999999</v>
      </c>
      <c r="DK22" s="1">
        <f t="shared" si="45"/>
        <v>4.9563280900000004</v>
      </c>
      <c r="DL22" s="1">
        <f t="shared" si="45"/>
        <v>5.4312745199999997</v>
      </c>
      <c r="DM22" s="1">
        <f t="shared" si="45"/>
        <v>5.9427570699999999</v>
      </c>
      <c r="DN22" s="1">
        <f t="shared" si="45"/>
        <v>7.0989514199999997</v>
      </c>
      <c r="DO22" s="1">
        <f t="shared" si="45"/>
        <v>8.0901624599999984</v>
      </c>
      <c r="DP22" s="1">
        <f t="shared" si="45"/>
        <v>8.5152603000000013</v>
      </c>
      <c r="DQ22" s="1">
        <f t="shared" si="45"/>
        <v>6.4262316399999984</v>
      </c>
      <c r="DR22" s="1">
        <f t="shared" si="45"/>
        <v>5.5724239500000001</v>
      </c>
      <c r="DS22" s="1">
        <f t="shared" si="45"/>
        <v>6.0969073500000004</v>
      </c>
      <c r="DT22" s="1">
        <f t="shared" si="45"/>
        <v>3.8674547000000001</v>
      </c>
      <c r="DU22" s="1">
        <f t="shared" si="45"/>
        <v>3.6075394200000002</v>
      </c>
      <c r="DV22" s="1">
        <f t="shared" si="45"/>
        <v>4.0127527599999997</v>
      </c>
      <c r="DW22" s="1">
        <f t="shared" si="45"/>
        <v>4.23429112</v>
      </c>
      <c r="DX22" s="1">
        <f t="shared" si="45"/>
        <v>0</v>
      </c>
      <c r="DY22" s="1">
        <f t="shared" si="41"/>
        <v>4.5847165599999995</v>
      </c>
      <c r="DZ22" s="1">
        <f t="shared" si="41"/>
        <v>5.2497219499999996</v>
      </c>
      <c r="EA22" s="1">
        <f t="shared" si="41"/>
        <v>3.7131778499999992</v>
      </c>
      <c r="EB22" s="1">
        <f t="shared" si="41"/>
        <v>5.6909223499999992</v>
      </c>
      <c r="EC22" s="1">
        <f t="shared" si="41"/>
        <v>5.2735966400000001</v>
      </c>
      <c r="ED22" s="1">
        <f t="shared" si="41"/>
        <v>3.4249882400000002</v>
      </c>
      <c r="EE22" s="1">
        <f t="shared" si="41"/>
        <v>3.9442662400000001</v>
      </c>
      <c r="EF22" s="1">
        <f t="shared" si="41"/>
        <v>3.9768056000000001</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3"/>
        <v>3.0550577726774688</v>
      </c>
    </row>
    <row r="23" spans="1:163" ht="30" customHeight="1">
      <c r="A23" s="240" t="s">
        <v>219</v>
      </c>
      <c r="B23" s="227"/>
      <c r="C23" s="228">
        <f t="shared" si="5"/>
        <v>-1.32</v>
      </c>
      <c r="D23" s="229">
        <v>-1</v>
      </c>
      <c r="E23" s="230">
        <f t="shared" si="6"/>
        <v>0.25276067100220234</v>
      </c>
      <c r="F23" s="231">
        <f t="shared" si="7"/>
        <v>4.6618418112591709E-2</v>
      </c>
      <c r="G23" s="230">
        <f t="shared" si="8"/>
        <v>8.5126267857780658E-2</v>
      </c>
      <c r="H23" s="231">
        <f t="shared" si="9"/>
        <v>0.16763440314442168</v>
      </c>
      <c r="I23" s="230">
        <f t="shared" si="10"/>
        <v>1.8963859541250954</v>
      </c>
      <c r="J23" s="231">
        <f t="shared" si="11"/>
        <v>-0.64603499350582716</v>
      </c>
      <c r="K23" s="230">
        <f t="shared" si="34"/>
        <v>2.3578910240178561</v>
      </c>
      <c r="L23" s="231">
        <f t="shared" si="12"/>
        <v>-0.46150506989276074</v>
      </c>
      <c r="M23" s="232"/>
      <c r="N23" s="229">
        <v>-2</v>
      </c>
      <c r="O23" s="230">
        <f t="shared" si="35"/>
        <v>-2.3925173422115087E-2</v>
      </c>
      <c r="P23" s="233">
        <f t="shared" si="36"/>
        <v>-2.3925173422115087E-2</v>
      </c>
      <c r="Q23" s="230">
        <f>IFERROR(+BU23/BV23-1,"")</f>
        <v>0.31859999476400835</v>
      </c>
      <c r="R23" s="241">
        <f t="shared" si="37"/>
        <v>0.31859999476400835</v>
      </c>
      <c r="S23" s="232"/>
      <c r="T23" s="229">
        <v>-1</v>
      </c>
      <c r="U23" s="230">
        <f t="shared" si="14"/>
        <v>-0.19918959817916981</v>
      </c>
      <c r="V23" s="235">
        <f t="shared" si="15"/>
        <v>-0.19918959817916981</v>
      </c>
      <c r="W23" s="230">
        <f t="shared" si="38"/>
        <v>-0.12666619961933767</v>
      </c>
      <c r="X23" s="235">
        <f t="shared" si="16"/>
        <v>-0.12666619961933767</v>
      </c>
      <c r="Y23" s="230">
        <f t="shared" si="17"/>
        <v>-2.39520958083832E-2</v>
      </c>
      <c r="Z23" s="235">
        <f t="shared" si="18"/>
        <v>-2.39520958083832E-2</v>
      </c>
      <c r="AA23" s="238"/>
      <c r="AB23" s="242" t="s">
        <v>473</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5</v>
      </c>
      <c r="AX23" s="58">
        <f>VLOOKUP($A23,historia!$A$5:$CM$24,+HLOOKUP(AX$2,historia!$A$3:$EC$4,2,FALSE),FALSE)</f>
        <v>5</v>
      </c>
      <c r="AY23" s="58">
        <f>VLOOKUP($A23,historia!$A$5:$CM$24,+HLOOKUP(AY$2,historia!$A$3:$EC$4,2,FALSE),FALSE)</f>
        <v>5</v>
      </c>
      <c r="AZ23" s="58">
        <f>VLOOKUP($A23,historia!$A$5:$CM$24,+HLOOKUP(AZ$2,historia!$A$3:$EC$4,2,FALSE),FALSE)</f>
        <v>5</v>
      </c>
      <c r="BA23" s="58">
        <f>VLOOKUP($A23,historia!$A$5:$CM$24,+HLOOKUP(BA$2,historia!$A$3:$EC$4,2,FALSE),FALSE)</f>
        <v>5</v>
      </c>
      <c r="BB23" s="30"/>
      <c r="BC23" s="141">
        <v>5</v>
      </c>
      <c r="BD23" t="str">
        <f t="shared" si="19"/>
        <v>Vino y Mosto</v>
      </c>
      <c r="BE23">
        <f>+datos!AM1</f>
        <v>39</v>
      </c>
      <c r="BF23" s="2" t="str">
        <f t="shared" si="4"/>
        <v>$/l</v>
      </c>
      <c r="BG23" s="2">
        <f t="shared" si="4"/>
        <v>249.92399999999998</v>
      </c>
      <c r="BH23" s="2">
        <f t="shared" si="4"/>
        <v>199.49860000000001</v>
      </c>
      <c r="BI23" s="2">
        <f t="shared" si="4"/>
        <v>86.288224000000014</v>
      </c>
      <c r="BK23">
        <f>+datos!CP1</f>
        <v>94</v>
      </c>
      <c r="BL23" s="2">
        <f t="shared" si="20"/>
        <v>7162.9412159284811</v>
      </c>
      <c r="BM23" s="2">
        <f t="shared" si="20"/>
        <v>6601.0209393136493</v>
      </c>
      <c r="BN23" s="2">
        <f t="shared" si="20"/>
        <v>2133.1666705960351</v>
      </c>
      <c r="BP23" s="1">
        <f>+datos!EF1</f>
        <v>136</v>
      </c>
      <c r="BQ23" s="1">
        <f t="shared" si="21"/>
        <v>199946</v>
      </c>
      <c r="BR23" s="1">
        <f t="shared" si="21"/>
        <v>204847</v>
      </c>
      <c r="BT23" s="1">
        <f>+datos!GB1</f>
        <v>184</v>
      </c>
      <c r="BU23" s="1">
        <f t="shared" si="22"/>
        <v>19189740</v>
      </c>
      <c r="BV23" s="1">
        <f t="shared" si="22"/>
        <v>14553117</v>
      </c>
      <c r="BX23" s="1">
        <f>+datos!JU1</f>
        <v>281</v>
      </c>
      <c r="BY23" s="1">
        <f t="shared" si="39"/>
        <v>866.43810277</v>
      </c>
      <c r="BZ23" s="1">
        <f t="shared" si="40"/>
        <v>1081.95160902</v>
      </c>
      <c r="CB23" s="1">
        <f>+datos!KZ1</f>
        <v>312</v>
      </c>
      <c r="CC23" s="2">
        <f t="shared" si="23"/>
        <v>16.020217939999998</v>
      </c>
      <c r="CD23" s="2">
        <f t="shared" si="24"/>
        <v>18.343751190000003</v>
      </c>
      <c r="CF23" s="1">
        <f>+datos!IQ1</f>
        <v>251</v>
      </c>
      <c r="CG23" s="1">
        <f t="shared" si="25"/>
        <v>16.3</v>
      </c>
      <c r="CH23" s="1">
        <f t="shared" si="26"/>
        <v>16.7</v>
      </c>
      <c r="CJ23" s="1">
        <f t="shared" si="43"/>
        <v>57.397509530000008</v>
      </c>
      <c r="CK23" s="1">
        <f t="shared" si="43"/>
        <v>71.762443020000006</v>
      </c>
      <c r="CL23" s="1">
        <f t="shared" si="43"/>
        <v>76.246675170000003</v>
      </c>
      <c r="CM23" s="1">
        <f t="shared" si="43"/>
        <v>81.396405279999982</v>
      </c>
      <c r="CN23" s="1">
        <f t="shared" si="43"/>
        <v>86.673250950000011</v>
      </c>
      <c r="CO23" s="1">
        <f t="shared" si="43"/>
        <v>67.769583350000005</v>
      </c>
      <c r="CP23" s="1">
        <f t="shared" si="43"/>
        <v>79.411450110000018</v>
      </c>
      <c r="CQ23" s="1">
        <f t="shared" si="43"/>
        <v>61.526627820000002</v>
      </c>
      <c r="CR23" s="1">
        <f t="shared" si="43"/>
        <v>82.508437450000031</v>
      </c>
      <c r="CS23" s="1">
        <f t="shared" si="43"/>
        <v>73.17738731</v>
      </c>
      <c r="CT23" s="1">
        <f t="shared" si="43"/>
        <v>70.498219510000013</v>
      </c>
      <c r="CU23" s="1">
        <f t="shared" si="43"/>
        <v>58.070113270000007</v>
      </c>
      <c r="CV23" s="1">
        <f t="shared" si="43"/>
        <v>66.649594010000001</v>
      </c>
      <c r="CW23" s="1">
        <f t="shared" si="43"/>
        <v>76.334805869999997</v>
      </c>
      <c r="CX23" s="1">
        <f t="shared" si="43"/>
        <v>77.449795309999999</v>
      </c>
      <c r="CY23" s="1">
        <f t="shared" si="43"/>
        <v>104.26238703999999</v>
      </c>
      <c r="CZ23" s="1">
        <f t="shared" si="44"/>
        <v>101.4021353</v>
      </c>
      <c r="DA23" s="1">
        <f t="shared" si="44"/>
        <v>110.27898059000003</v>
      </c>
      <c r="DB23" s="1">
        <f t="shared" si="44"/>
        <v>78.75545163000001</v>
      </c>
      <c r="DC23" s="1">
        <f t="shared" si="44"/>
        <v>84.697328929999998</v>
      </c>
      <c r="DD23" s="1">
        <f t="shared" si="44"/>
        <v>126.06507717000002</v>
      </c>
      <c r="DE23" s="1">
        <f t="shared" si="44"/>
        <v>90.029722969999995</v>
      </c>
      <c r="DF23" s="1">
        <f t="shared" si="44"/>
        <v>82.193372090000025</v>
      </c>
      <c r="DG23" s="1">
        <f t="shared" si="44"/>
        <v>83.832958109999993</v>
      </c>
      <c r="DI23" s="1">
        <f t="shared" si="45"/>
        <v>0.41683354000000006</v>
      </c>
      <c r="DJ23" s="1">
        <f t="shared" si="45"/>
        <v>1.01193058</v>
      </c>
      <c r="DK23" s="1">
        <f t="shared" si="45"/>
        <v>1.2280305999999999</v>
      </c>
      <c r="DL23" s="1">
        <f t="shared" si="45"/>
        <v>1.7214946800000002</v>
      </c>
      <c r="DM23" s="1">
        <f t="shared" si="45"/>
        <v>1.3147188099999998</v>
      </c>
      <c r="DN23" s="1">
        <f t="shared" si="45"/>
        <v>1.8704580099999999</v>
      </c>
      <c r="DO23" s="1">
        <f t="shared" si="45"/>
        <v>1.2166211999999998</v>
      </c>
      <c r="DP23" s="1">
        <f t="shared" si="45"/>
        <v>1.2618213600000001</v>
      </c>
      <c r="DQ23" s="1">
        <f t="shared" si="45"/>
        <v>2.6711612799999997</v>
      </c>
      <c r="DR23" s="1">
        <f t="shared" si="45"/>
        <v>1.8665371000000002</v>
      </c>
      <c r="DS23" s="1">
        <f t="shared" si="45"/>
        <v>1.1160735099999999</v>
      </c>
      <c r="DT23" s="1">
        <f t="shared" si="45"/>
        <v>0.32453726999999999</v>
      </c>
      <c r="DU23" s="1">
        <f t="shared" si="45"/>
        <v>0.12503209999999998</v>
      </c>
      <c r="DV23" s="1">
        <f t="shared" si="45"/>
        <v>0.47826376000000004</v>
      </c>
      <c r="DW23" s="1">
        <f t="shared" si="45"/>
        <v>2.89069318</v>
      </c>
      <c r="DX23" s="1">
        <f t="shared" si="45"/>
        <v>1.35471261</v>
      </c>
      <c r="DY23" s="1">
        <f t="shared" si="41"/>
        <v>2.7470526999999998</v>
      </c>
      <c r="DZ23" s="1">
        <f t="shared" si="41"/>
        <v>1.8506322900000001</v>
      </c>
      <c r="EA23" s="1">
        <f t="shared" si="41"/>
        <v>1.0900325</v>
      </c>
      <c r="EB23" s="1">
        <f t="shared" si="41"/>
        <v>1.8150842000000003</v>
      </c>
      <c r="EC23" s="1">
        <f t="shared" si="41"/>
        <v>1.62026545</v>
      </c>
      <c r="ED23" s="1">
        <f t="shared" si="41"/>
        <v>2.9708612100000003</v>
      </c>
      <c r="EE23" s="1">
        <f t="shared" si="41"/>
        <v>0.80692414999999995</v>
      </c>
      <c r="EF23" s="1">
        <f t="shared" si="41"/>
        <v>0.59419704000000007</v>
      </c>
      <c r="EH23" s="14">
        <f t="shared" si="46"/>
        <v>16.3</v>
      </c>
      <c r="EI23" s="14">
        <f t="shared" si="46"/>
        <v>16.7</v>
      </c>
      <c r="EJ23" s="1">
        <f t="shared" si="46"/>
        <v>16.7</v>
      </c>
      <c r="EK23" s="1">
        <f t="shared" si="46"/>
        <v>16.7</v>
      </c>
      <c r="EL23" s="1">
        <f t="shared" si="46"/>
        <v>16.7</v>
      </c>
      <c r="EM23" s="1">
        <f t="shared" si="46"/>
        <v>16.7</v>
      </c>
      <c r="EN23" s="1">
        <f t="shared" si="46"/>
        <v>16.7</v>
      </c>
      <c r="EO23" s="1">
        <f t="shared" si="46"/>
        <v>16.7</v>
      </c>
      <c r="EP23" s="1">
        <f t="shared" si="46"/>
        <v>16.7</v>
      </c>
      <c r="EQ23" s="1">
        <f t="shared" si="46"/>
        <v>16.7</v>
      </c>
      <c r="ER23" s="1">
        <f t="shared" si="46"/>
        <v>16.7</v>
      </c>
      <c r="ES23" s="1">
        <f t="shared" si="46"/>
        <v>16.7</v>
      </c>
      <c r="ET23" s="1">
        <f t="shared" si="46"/>
        <v>16.7</v>
      </c>
      <c r="EU23" s="1">
        <f t="shared" si="46"/>
        <v>18</v>
      </c>
      <c r="EV23" s="1">
        <f t="shared" si="46"/>
        <v>18</v>
      </c>
      <c r="EW23" s="1">
        <f t="shared" si="46"/>
        <v>18</v>
      </c>
      <c r="EX23" s="1">
        <f t="shared" si="42"/>
        <v>18</v>
      </c>
      <c r="EY23" s="1">
        <f t="shared" si="42"/>
        <v>18</v>
      </c>
      <c r="EZ23" s="1">
        <f t="shared" si="42"/>
        <v>18</v>
      </c>
      <c r="FA23" s="1">
        <f t="shared" si="42"/>
        <v>18</v>
      </c>
      <c r="FB23" s="1">
        <f t="shared" si="42"/>
        <v>18</v>
      </c>
      <c r="FC23" s="1">
        <f t="shared" si="42"/>
        <v>18</v>
      </c>
      <c r="FD23" s="1">
        <f t="shared" si="42"/>
        <v>18</v>
      </c>
      <c r="FE23" s="1">
        <f t="shared" si="42"/>
        <v>18</v>
      </c>
      <c r="FG23" s="162">
        <f t="shared" si="33"/>
        <v>-0.46150506989276074</v>
      </c>
    </row>
    <row r="24" spans="1:163" ht="30" customHeight="1">
      <c r="A24" s="224" t="s">
        <v>39</v>
      </c>
      <c r="B24" s="212"/>
      <c r="C24" s="156">
        <f t="shared" si="5"/>
        <v>0.33</v>
      </c>
      <c r="D24" s="198">
        <v>1</v>
      </c>
      <c r="E24" s="213">
        <f t="shared" si="6"/>
        <v>0.19047619047619047</v>
      </c>
      <c r="F24" s="214">
        <f t="shared" si="7"/>
        <v>-1.5666062413420168E-2</v>
      </c>
      <c r="G24" s="213">
        <f t="shared" si="8"/>
        <v>9.6793030079280529E-2</v>
      </c>
      <c r="H24" s="214">
        <f t="shared" si="9"/>
        <v>9.3683160396909937E-2</v>
      </c>
      <c r="I24" s="213">
        <f t="shared" si="10"/>
        <v>2.567351598173516</v>
      </c>
      <c r="J24" s="214">
        <f t="shared" si="11"/>
        <v>2.4930650542593469E-2</v>
      </c>
      <c r="K24" s="213">
        <f t="shared" si="34"/>
        <v>2.308086140565512</v>
      </c>
      <c r="L24" s="214">
        <f t="shared" si="12"/>
        <v>0.25926545760800401</v>
      </c>
      <c r="M24" s="215"/>
      <c r="N24" s="198">
        <v>0</v>
      </c>
      <c r="O24" s="213">
        <f t="shared" si="35"/>
        <v>3.6432873308666736E-2</v>
      </c>
      <c r="P24" s="216">
        <f t="shared" si="36"/>
        <v>3.6432873308666736E-2</v>
      </c>
      <c r="Q24" s="213">
        <f>IFERROR(+BU24/BV24-1,"")</f>
        <v>-5.0375309060615825E-2</v>
      </c>
      <c r="R24" s="217">
        <f t="shared" si="37"/>
        <v>-5.0375309060615825E-2</v>
      </c>
      <c r="S24" s="215"/>
      <c r="T24" s="198">
        <v>0</v>
      </c>
      <c r="U24" s="213">
        <f t="shared" si="14"/>
        <v>4.1931144898034622E-2</v>
      </c>
      <c r="V24" s="45">
        <f t="shared" si="15"/>
        <v>4.1931144898034622E-2</v>
      </c>
      <c r="W24" s="213">
        <f t="shared" si="38"/>
        <v>-0.47570229668776787</v>
      </c>
      <c r="X24" s="45">
        <f t="shared" si="16"/>
        <v>-0.47570229668776787</v>
      </c>
      <c r="Y24" s="213">
        <f t="shared" si="17"/>
        <v>-9.2922519141609095E-2</v>
      </c>
      <c r="Z24" s="45">
        <f t="shared" si="18"/>
        <v>-9.2922519141609095E-2</v>
      </c>
      <c r="AA24" s="30"/>
      <c r="AB24" s="242" t="s">
        <v>474</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P24" s="28">
        <f>VLOOKUP($A24,historia!$A$5:$CM$24,+HLOOKUP(AP$2,historia!$A$3:$EC$4,2,FALSE),FALSE)</f>
        <v>4</v>
      </c>
      <c r="AQ24" s="28">
        <f>VLOOKUP($A24,historia!$A$5:$CM$24,+HLOOKUP(AQ$2,historia!$A$3:$EC$4,2,FALSE),FALSE)</f>
        <v>4</v>
      </c>
      <c r="AR24" s="28">
        <f>VLOOKUP($A24,historia!$A$5:$CM$24,+HLOOKUP(AR$2,historia!$A$3:$EC$4,2,FALSE),FALSE)</f>
        <v>3</v>
      </c>
      <c r="AS24" s="28">
        <f>VLOOKUP($A24,historia!$A$5:$CM$24,+HLOOKUP(AS$2,historia!$A$3:$EC$4,2,FALSE),FALSE)</f>
        <v>2</v>
      </c>
      <c r="AT24" s="58">
        <f>VLOOKUP($A24,historia!$A$5:$CM$24,+HLOOKUP(AT$2,historia!$A$3:$EC$4,2,FALSE),FALSE)</f>
        <v>2</v>
      </c>
      <c r="AU24" s="58">
        <f>VLOOKUP($A24,historia!$A$5:$CM$24,+HLOOKUP(AU$2,historia!$A$3:$EC$4,2,FALSE),FALSE)</f>
        <v>2</v>
      </c>
      <c r="AV24" s="58">
        <f>VLOOKUP($A24,historia!$A$5:$CM$24,+HLOOKUP(AV$2,historia!$A$3:$EC$4,2,FALSE),FALSE)</f>
        <v>2</v>
      </c>
      <c r="AW24" s="58">
        <f>VLOOKUP($A24,historia!$A$5:$CM$24,+HLOOKUP(AW$2,historia!$A$3:$EC$4,2,FALSE),FALSE)</f>
        <v>2</v>
      </c>
      <c r="AX24" s="58">
        <f>VLOOKUP($A24,historia!$A$5:$CM$24,+HLOOKUP(AX$2,historia!$A$3:$EC$4,2,FALSE),FALSE)</f>
        <v>2</v>
      </c>
      <c r="AY24" s="58">
        <f>VLOOKUP($A24,historia!$A$5:$CM$24,+HLOOKUP(AY$2,historia!$A$3:$EC$4,2,FALSE),FALSE)</f>
        <v>2</v>
      </c>
      <c r="AZ24" s="58">
        <f>VLOOKUP($A24,historia!$A$5:$CM$24,+HLOOKUP(AZ$2,historia!$A$3:$EC$4,2,FALSE),FALSE)</f>
        <v>3</v>
      </c>
      <c r="BA24" s="58">
        <f>VLOOKUP($A24,historia!$A$5:$CM$24,+HLOOKUP(BA$2,historia!$A$3:$EC$4,2,FALSE),FALSE)</f>
        <v>2</v>
      </c>
      <c r="BB24" s="30"/>
      <c r="BC24" s="141">
        <v>2</v>
      </c>
      <c r="BD24" t="str">
        <f t="shared" si="19"/>
        <v>Yerba Mate</v>
      </c>
      <c r="BE24">
        <f>+datos!AG1</f>
        <v>33</v>
      </c>
      <c r="BF24" s="2" t="str">
        <f t="shared" si="4"/>
        <v>$/t</v>
      </c>
      <c r="BG24" s="2">
        <f t="shared" si="4"/>
        <v>250000</v>
      </c>
      <c r="BH24" s="2">
        <f t="shared" si="4"/>
        <v>210000</v>
      </c>
      <c r="BI24" s="2">
        <f t="shared" si="4"/>
        <v>70080</v>
      </c>
      <c r="BK24">
        <f>+datos!CY1</f>
        <v>103</v>
      </c>
      <c r="BL24" s="2">
        <f t="shared" si="20"/>
        <v>5291.5325989145049</v>
      </c>
      <c r="BM24" s="2">
        <f t="shared" si="20"/>
        <v>4824.5498045625</v>
      </c>
      <c r="BN24" s="2">
        <f t="shared" si="20"/>
        <v>1599.5752148128543</v>
      </c>
      <c r="BP24" s="1">
        <f>+datos!ED1</f>
        <v>134</v>
      </c>
      <c r="BQ24" s="1">
        <f t="shared" si="21"/>
        <v>230256</v>
      </c>
      <c r="BR24" s="1">
        <f t="shared" si="21"/>
        <v>222162</v>
      </c>
      <c r="BT24" s="1">
        <f>+datos!FZ1</f>
        <v>182</v>
      </c>
      <c r="BU24" s="1">
        <f t="shared" si="22"/>
        <v>785802.41899999999</v>
      </c>
      <c r="BV24" s="1">
        <f t="shared" si="22"/>
        <v>827487.35</v>
      </c>
      <c r="BX24" s="1">
        <f>+datos!KD1</f>
        <v>290</v>
      </c>
      <c r="BY24" s="1">
        <f t="shared" si="39"/>
        <v>114.40627782999999</v>
      </c>
      <c r="BZ24" s="1">
        <f t="shared" si="40"/>
        <v>109.80214805</v>
      </c>
      <c r="CB24" s="1">
        <f>+datos!LI1</f>
        <v>321</v>
      </c>
      <c r="CC24" s="2">
        <f t="shared" si="23"/>
        <v>15.978872239999999</v>
      </c>
      <c r="CD24" s="2">
        <f t="shared" si="24"/>
        <v>30.476716070000002</v>
      </c>
      <c r="CF24" s="1">
        <f>+datos!IP1</f>
        <v>250</v>
      </c>
      <c r="CG24" s="1">
        <f t="shared" si="25"/>
        <v>5.5693606783423002</v>
      </c>
      <c r="CH24" s="1">
        <f t="shared" si="26"/>
        <v>6.139895208369488</v>
      </c>
      <c r="CJ24" s="1">
        <f t="shared" si="43"/>
        <v>9.2397224899999983</v>
      </c>
      <c r="CK24" s="1">
        <f t="shared" si="43"/>
        <v>7.1224329199999996</v>
      </c>
      <c r="CL24" s="1">
        <f t="shared" si="43"/>
        <v>8.6156523299999996</v>
      </c>
      <c r="CM24" s="1">
        <f t="shared" si="43"/>
        <v>10.17972451</v>
      </c>
      <c r="CN24" s="1">
        <f t="shared" si="43"/>
        <v>11.833514059999999</v>
      </c>
      <c r="CO24" s="1">
        <f t="shared" si="43"/>
        <v>8.6649559600000003</v>
      </c>
      <c r="CP24" s="1">
        <f t="shared" si="43"/>
        <v>8.6995030900000003</v>
      </c>
      <c r="CQ24" s="1">
        <f t="shared" si="43"/>
        <v>9.3876240000000006</v>
      </c>
      <c r="CR24" s="1">
        <f t="shared" si="43"/>
        <v>8.6499339499999994</v>
      </c>
      <c r="CS24" s="1">
        <f t="shared" si="43"/>
        <v>10.5511423</v>
      </c>
      <c r="CT24" s="1">
        <f t="shared" si="43"/>
        <v>12.484662230000001</v>
      </c>
      <c r="CU24" s="1">
        <f t="shared" si="43"/>
        <v>8.9774099899999982</v>
      </c>
      <c r="CV24" s="1">
        <f t="shared" si="43"/>
        <v>3.3752363299999999</v>
      </c>
      <c r="CW24" s="1">
        <f t="shared" si="43"/>
        <v>8.5781493200000014</v>
      </c>
      <c r="CX24" s="1">
        <f t="shared" si="43"/>
        <v>11.086418249999999</v>
      </c>
      <c r="CY24" s="1">
        <f t="shared" si="43"/>
        <v>17.188054299999997</v>
      </c>
      <c r="CZ24" s="1">
        <f t="shared" si="44"/>
        <v>10.47783802</v>
      </c>
      <c r="DA24" s="1">
        <f t="shared" si="44"/>
        <v>9.5575243299999997</v>
      </c>
      <c r="DB24" s="1">
        <f t="shared" si="44"/>
        <v>7.6485664300000016</v>
      </c>
      <c r="DC24" s="1">
        <f t="shared" si="44"/>
        <v>10.989036779999999</v>
      </c>
      <c r="DD24" s="1">
        <f t="shared" si="44"/>
        <v>11.08275927</v>
      </c>
      <c r="DE24" s="1">
        <f t="shared" si="44"/>
        <v>9.5434502200000004</v>
      </c>
      <c r="DF24" s="1">
        <f t="shared" si="44"/>
        <v>3.7984465600000004</v>
      </c>
      <c r="DG24" s="1">
        <f t="shared" si="44"/>
        <v>6.4766682399999995</v>
      </c>
      <c r="DI24" s="1">
        <f t="shared" si="45"/>
        <v>1.0621514699999999</v>
      </c>
      <c r="DJ24" s="1">
        <f t="shared" si="45"/>
        <v>1.8796713600000001</v>
      </c>
      <c r="DK24" s="1">
        <f t="shared" si="45"/>
        <v>2.4189343299999999</v>
      </c>
      <c r="DL24" s="1">
        <f t="shared" si="45"/>
        <v>2.31537419</v>
      </c>
      <c r="DM24" s="1">
        <f t="shared" si="45"/>
        <v>1.6581343500000001</v>
      </c>
      <c r="DN24" s="1">
        <f t="shared" si="45"/>
        <v>1.1317222</v>
      </c>
      <c r="DO24" s="1">
        <f t="shared" si="45"/>
        <v>1.25031731</v>
      </c>
      <c r="DP24" s="1">
        <f t="shared" si="45"/>
        <v>1.1220479999999999</v>
      </c>
      <c r="DQ24" s="1">
        <f t="shared" si="45"/>
        <v>1.06290057</v>
      </c>
      <c r="DR24" s="1">
        <f t="shared" si="45"/>
        <v>0.94532128999999998</v>
      </c>
      <c r="DS24" s="1">
        <f t="shared" si="45"/>
        <v>0.74918092999999997</v>
      </c>
      <c r="DT24" s="1">
        <f t="shared" si="45"/>
        <v>0.38311624</v>
      </c>
      <c r="DU24" s="1">
        <f t="shared" si="45"/>
        <v>0.75479300000000005</v>
      </c>
      <c r="DV24" s="1">
        <f t="shared" si="45"/>
        <v>0.25391999999999998</v>
      </c>
      <c r="DW24" s="1">
        <f t="shared" si="45"/>
        <v>0.77264063999999999</v>
      </c>
      <c r="DX24" s="1">
        <f t="shared" si="45"/>
        <v>0.73566756000000011</v>
      </c>
      <c r="DY24" s="1">
        <f t="shared" si="41"/>
        <v>2.5187011699999999</v>
      </c>
      <c r="DZ24" s="1">
        <f t="shared" si="41"/>
        <v>5.4787536300000008</v>
      </c>
      <c r="EA24" s="1">
        <f t="shared" si="41"/>
        <v>3.3605493799999997</v>
      </c>
      <c r="EB24" s="1">
        <f t="shared" si="41"/>
        <v>4.0244654899999999</v>
      </c>
      <c r="EC24" s="1">
        <f t="shared" si="41"/>
        <v>4.0283530399999998</v>
      </c>
      <c r="ED24" s="1">
        <f t="shared" si="41"/>
        <v>2.4006859300000003</v>
      </c>
      <c r="EE24" s="1">
        <f t="shared" si="41"/>
        <v>3.4489870700000003</v>
      </c>
      <c r="EF24" s="1">
        <f t="shared" si="41"/>
        <v>2.69919916</v>
      </c>
      <c r="EH24" s="14">
        <f t="shared" si="46"/>
        <v>5.5693606783423002</v>
      </c>
      <c r="EI24" s="14">
        <f t="shared" si="46"/>
        <v>6.139895208369488</v>
      </c>
      <c r="EJ24" s="1">
        <f t="shared" si="46"/>
        <v>6.139895208369488</v>
      </c>
      <c r="EK24" s="1">
        <f t="shared" si="46"/>
        <v>6.139895208369488</v>
      </c>
      <c r="EL24" s="1">
        <f t="shared" si="46"/>
        <v>6.139895208369488</v>
      </c>
      <c r="EM24" s="1">
        <f t="shared" si="46"/>
        <v>6.139895208369488</v>
      </c>
      <c r="EN24" s="1">
        <f t="shared" si="46"/>
        <v>6.139895208369488</v>
      </c>
      <c r="EO24" s="1">
        <f t="shared" si="46"/>
        <v>6.139895208369488</v>
      </c>
      <c r="EP24" s="1">
        <f t="shared" si="46"/>
        <v>6.139895208369488</v>
      </c>
      <c r="EQ24" s="1">
        <f t="shared" si="46"/>
        <v>6.139895208369488</v>
      </c>
      <c r="ER24" s="1">
        <f t="shared" si="46"/>
        <v>6.139895208369488</v>
      </c>
      <c r="ES24" s="1">
        <f t="shared" si="46"/>
        <v>6.139895208369488</v>
      </c>
      <c r="ET24" s="1">
        <f t="shared" si="46"/>
        <v>6.139895208369488</v>
      </c>
      <c r="EU24" s="1">
        <f t="shared" si="46"/>
        <v>5.9356067942694777</v>
      </c>
      <c r="EV24" s="1">
        <f t="shared" si="46"/>
        <v>5.9356067942694777</v>
      </c>
      <c r="EW24" s="1">
        <f t="shared" si="46"/>
        <v>5.9356067942694777</v>
      </c>
      <c r="EX24" s="1">
        <f t="shared" si="42"/>
        <v>5.9356067942694777</v>
      </c>
      <c r="EY24" s="1">
        <f t="shared" si="42"/>
        <v>5.9356067942694777</v>
      </c>
      <c r="EZ24" s="1">
        <f t="shared" si="42"/>
        <v>5.9356067942694777</v>
      </c>
      <c r="FA24" s="1">
        <f t="shared" si="42"/>
        <v>5.9356067942694777</v>
      </c>
      <c r="FB24" s="1">
        <f t="shared" si="42"/>
        <v>5.9356067942694777</v>
      </c>
      <c r="FC24" s="1">
        <f t="shared" si="42"/>
        <v>5.9356067942694777</v>
      </c>
      <c r="FD24" s="1">
        <f t="shared" si="42"/>
        <v>5.9356067942694777</v>
      </c>
      <c r="FE24" s="1">
        <f t="shared" si="42"/>
        <v>5.9356067942694777</v>
      </c>
      <c r="FG24" s="162">
        <f t="shared" si="33"/>
        <v>0.25926545760800401</v>
      </c>
    </row>
    <row r="25" spans="1:163" ht="18" customHeight="1">
      <c r="A25" s="223"/>
      <c r="B25" s="189"/>
      <c r="C25" s="156"/>
      <c r="D25" s="198"/>
      <c r="E25" s="190"/>
      <c r="F25" s="191"/>
      <c r="G25" s="190"/>
      <c r="H25" s="191"/>
      <c r="I25" s="190"/>
      <c r="J25" s="191"/>
      <c r="K25" s="190"/>
      <c r="L25" s="191"/>
      <c r="M25" s="17"/>
      <c r="N25" s="198"/>
      <c r="O25" s="190"/>
      <c r="P25" s="192"/>
      <c r="Q25" s="190"/>
      <c r="R25" s="193"/>
      <c r="S25" s="17"/>
      <c r="T25" s="198"/>
      <c r="U25" s="190"/>
      <c r="V25" s="194"/>
      <c r="W25" s="190"/>
      <c r="X25" s="194"/>
      <c r="Y25" s="40" t="str">
        <f t="shared" si="17"/>
        <v/>
      </c>
      <c r="Z25" s="194"/>
      <c r="AA25" s="30"/>
      <c r="AB25" s="57"/>
      <c r="AO25" s="57"/>
      <c r="AT25" s="58"/>
      <c r="AU25" s="58"/>
      <c r="AV25" s="58"/>
      <c r="AW25" s="58"/>
      <c r="AX25" s="58"/>
      <c r="AY25" s="58"/>
      <c r="AZ25" s="58"/>
      <c r="BA25" s="58"/>
      <c r="BB25" s="30"/>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c r="E26" s="12">
        <f>+AVERAGE(E6:E24)</f>
        <v>0.21571339523753494</v>
      </c>
      <c r="F26" s="37">
        <f>+E26-$I$3</f>
        <v>-2.3267075523933878</v>
      </c>
      <c r="G26" s="12">
        <f>+AVERAGE(G6:G24)</f>
        <v>6.4015274153058327E-2</v>
      </c>
      <c r="I26" s="12">
        <f>+AVERAGEIF(I6:I24,"&gt;211%")</f>
        <v>3.8103536534595333</v>
      </c>
      <c r="J26" s="37">
        <f t="shared" si="11"/>
        <v>1.2679327058286107</v>
      </c>
      <c r="K26" s="12">
        <f>+AVERAGE(K6:K24)</f>
        <v>2.4083175874145786</v>
      </c>
      <c r="O26" s="12">
        <f>+AVERAGE(O6:O24)</f>
        <v>1.8525869451941148E-2</v>
      </c>
      <c r="AB26" s="57"/>
      <c r="AO26" s="57"/>
    </row>
    <row r="27" spans="1:163">
      <c r="I27" s="12">
        <f>+AVERAGEIF(I6:I24,"&lt;211%")</f>
        <v>1.4730026704331369</v>
      </c>
      <c r="K27" s="177">
        <f>+SUBTOTAL(101,K6:K21)</f>
        <v>2.4134628668810483</v>
      </c>
      <c r="V27" t="s">
        <v>167</v>
      </c>
      <c r="X27" s="162"/>
      <c r="BC27" s="141" t="s">
        <v>273</v>
      </c>
      <c r="BQ27" s="1">
        <f>+SUM(BQ6:BQ24)</f>
        <v>113937298</v>
      </c>
      <c r="BR27" s="1">
        <f>+SUM(BR6:BR24)</f>
        <v>114961776</v>
      </c>
      <c r="BU27" s="1">
        <f>+SUM(BU6:BU24)</f>
        <v>147359565.47128502</v>
      </c>
      <c r="BV27" s="1">
        <f>+SUM(BV6:BV24)</f>
        <v>147014218.9952426</v>
      </c>
      <c r="BY27" s="1">
        <f>+SUM(BY6:BY24)</f>
        <v>47825.668147950004</v>
      </c>
      <c r="BZ27" s="1">
        <f>+SUM(BZ6:BZ24)</f>
        <v>70050.197983250022</v>
      </c>
      <c r="CC27" s="1">
        <f>+SUM(CC6:CC24)</f>
        <v>6133.3653098800014</v>
      </c>
      <c r="CD27" s="1">
        <f>+SUM(CD6:CD24)</f>
        <v>3088.8280093700005</v>
      </c>
      <c r="FG27" s="167">
        <f>+COUNTIF(FG6:FG24,"&gt;0")</f>
        <v>11</v>
      </c>
    </row>
    <row r="28" spans="1:163" ht="15.6">
      <c r="A28" s="11">
        <f>+COUNTIF($C$6:$C$24,"&lt;0")</f>
        <v>8</v>
      </c>
      <c r="C28" s="156">
        <v>-1</v>
      </c>
      <c r="E28" s="167">
        <f>+COUNTIF($I$6:$I$24,"&lt;1,69")</f>
        <v>4</v>
      </c>
      <c r="F28" s="29">
        <v>-1</v>
      </c>
      <c r="I28" s="167">
        <f>+COUNTIF($I$6:$I$24,"&lt;1,69")</f>
        <v>4</v>
      </c>
      <c r="J28" s="29">
        <v>-1</v>
      </c>
      <c r="K28">
        <f>+COUNTIF($L$6:$L$24,"&lt;0")</f>
        <v>8</v>
      </c>
      <c r="L28" s="29">
        <v>-1</v>
      </c>
      <c r="O28">
        <f>+COUNTIF($P$6:$P$24,"&lt;0")</f>
        <v>7</v>
      </c>
      <c r="P28" s="29">
        <v>-1</v>
      </c>
      <c r="Q28">
        <f>+COUNTIF($R$6:$R$24,"&lt;0")</f>
        <v>12</v>
      </c>
      <c r="R28" s="29">
        <v>-1</v>
      </c>
      <c r="T28" s="57">
        <f>+COUNTIF($U$6:$U$24,"&lt;0")</f>
        <v>12</v>
      </c>
      <c r="U28" s="29">
        <v>-1</v>
      </c>
      <c r="BY28" s="10">
        <f>+BY27/BZ27-1</f>
        <v>-0.31726576762301528</v>
      </c>
      <c r="CC28" s="10">
        <f>+CC27/CD27-1</f>
        <v>0.9856609986941185</v>
      </c>
    </row>
    <row r="29" spans="1:163" ht="15.6">
      <c r="A29" s="11">
        <f>+COUNTIF($C$6:$C$24,C29)</f>
        <v>5</v>
      </c>
      <c r="C29" s="156">
        <v>0</v>
      </c>
      <c r="E29" s="167">
        <f>+COUNTIF($I$6:$I$24,"=1,69")</f>
        <v>0</v>
      </c>
      <c r="F29" s="29">
        <v>0</v>
      </c>
      <c r="I29" s="167">
        <f>+COUNTIF($I$6:$I$24,"=1,69")</f>
        <v>0</v>
      </c>
      <c r="J29" s="29">
        <v>0</v>
      </c>
      <c r="L29" s="29">
        <v>0</v>
      </c>
      <c r="O29">
        <f>+COUNTIF($P$6:$P$24,"=0")</f>
        <v>4</v>
      </c>
      <c r="P29" s="29">
        <v>0</v>
      </c>
      <c r="Q29">
        <f>+COUNTIF($R$6:$R$24,"=0")</f>
        <v>2</v>
      </c>
      <c r="R29" s="29">
        <v>0</v>
      </c>
      <c r="T29" s="57">
        <f>+COUNTIF($U$6:$U$24,"=0")</f>
        <v>0</v>
      </c>
      <c r="U29" s="29">
        <v>0</v>
      </c>
    </row>
    <row r="30" spans="1:163" ht="15.6">
      <c r="A30" s="11">
        <f>+COUNTIF($C$6:$C$24,"&gt;0")</f>
        <v>6</v>
      </c>
      <c r="C30" s="156">
        <v>1</v>
      </c>
      <c r="E30" s="167">
        <f>+COUNTIF($I$6:$I$24,"&gt;1,69")</f>
        <v>14</v>
      </c>
      <c r="F30" s="29">
        <v>1</v>
      </c>
      <c r="I30" s="167">
        <f>+COUNTIF($I$6:$I$24,"&gt;1,69")</f>
        <v>14</v>
      </c>
      <c r="J30" s="29">
        <v>1</v>
      </c>
      <c r="K30">
        <f>+COUNTIF($L$6:$L$24,"&gt;0")</f>
        <v>11</v>
      </c>
      <c r="L30" s="29">
        <v>1</v>
      </c>
      <c r="O30">
        <f>+COUNTIF($P$6:$P$24,"&gt;0")</f>
        <v>7</v>
      </c>
      <c r="P30" s="29">
        <v>1</v>
      </c>
      <c r="Q30">
        <f>+COUNTIF($R$6:$R$24,"&gt;0")</f>
        <v>4</v>
      </c>
      <c r="R30" s="29">
        <v>1</v>
      </c>
      <c r="T30" s="57">
        <f>+COUNTIF($U$6:$U$24,"&gt;0")</f>
        <v>6</v>
      </c>
      <c r="U30" s="29">
        <v>1</v>
      </c>
      <c r="X30" s="14"/>
      <c r="BX30" s="1"/>
    </row>
    <row r="31" spans="1:163">
      <c r="K31" s="12"/>
    </row>
    <row r="32" spans="1:163">
      <c r="C32" s="157"/>
      <c r="I32" s="14">
        <f>+COUNTIF(I6:I24,"&gt;211%")</f>
        <v>12</v>
      </c>
      <c r="J32" s="14"/>
      <c r="K32" s="14"/>
      <c r="Y32" s="163"/>
    </row>
    <row r="33" spans="1:164">
      <c r="C33" s="157"/>
      <c r="I33" s="12">
        <f>+I26/2</f>
        <v>1.9051768267297666</v>
      </c>
    </row>
    <row r="34" spans="1:164" s="23" customFormat="1">
      <c r="A34" s="11"/>
      <c r="B34"/>
      <c r="C34" s="157"/>
      <c r="D34" s="57"/>
      <c r="E34" s="12"/>
      <c r="F34" s="37"/>
      <c r="G34"/>
      <c r="H34" s="37"/>
      <c r="I34" s="12">
        <v>0.03</v>
      </c>
      <c r="J34" s="37"/>
      <c r="K34"/>
      <c r="L34" s="37"/>
      <c r="M34"/>
      <c r="N34" s="57"/>
      <c r="P34" s="57"/>
      <c r="Q34"/>
      <c r="R34"/>
      <c r="S34"/>
      <c r="T34" s="57"/>
      <c r="V34"/>
      <c r="W34"/>
      <c r="X34"/>
      <c r="Y34"/>
      <c r="Z34"/>
      <c r="AA34"/>
      <c r="AB34" s="11"/>
      <c r="AC34" s="57"/>
      <c r="AD34" s="57"/>
      <c r="AE34" s="57"/>
      <c r="AF34" s="57"/>
      <c r="AG34" s="57"/>
      <c r="AH34" s="57"/>
      <c r="AI34" s="57"/>
      <c r="AJ34" s="57"/>
      <c r="AK34" s="57"/>
      <c r="AL34" s="57"/>
      <c r="AM34" s="57"/>
      <c r="AN34" s="57"/>
      <c r="AO34" s="28"/>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c r="A35" s="11"/>
      <c r="B35"/>
      <c r="C35" s="157"/>
      <c r="D35" s="57"/>
      <c r="E35" s="12"/>
      <c r="F35" s="37"/>
      <c r="G35"/>
      <c r="H35" s="37"/>
      <c r="I35" s="12"/>
      <c r="J35" s="37"/>
      <c r="K35"/>
      <c r="L35" s="37"/>
      <c r="M35"/>
      <c r="N35" s="57"/>
      <c r="P35" s="57"/>
      <c r="Q35"/>
      <c r="R35"/>
      <c r="S35"/>
      <c r="T35" s="57"/>
      <c r="V35"/>
      <c r="W35"/>
      <c r="X35"/>
      <c r="Y35"/>
      <c r="Z35"/>
      <c r="AA35"/>
      <c r="AB35" s="11"/>
      <c r="AC35" s="57"/>
      <c r="AD35" s="57"/>
      <c r="AE35" s="57"/>
      <c r="AF35" s="57"/>
      <c r="AG35" s="57"/>
      <c r="AH35" s="57"/>
      <c r="AI35" s="57"/>
      <c r="AJ35" s="57"/>
      <c r="AK35" s="57"/>
      <c r="AL35" s="57"/>
      <c r="AM35" s="57"/>
      <c r="AN35" s="57"/>
      <c r="AO35" s="28"/>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c r="A36" s="11"/>
      <c r="B36"/>
      <c r="C36" s="157"/>
      <c r="D36" s="57"/>
      <c r="E36" s="12"/>
      <c r="F36" s="37"/>
      <c r="G36"/>
      <c r="H36" s="37"/>
      <c r="I36" s="12"/>
      <c r="J36" s="37"/>
      <c r="K36"/>
      <c r="L36" s="37"/>
      <c r="M36"/>
      <c r="N36" s="57"/>
      <c r="P36" s="57"/>
      <c r="Q36"/>
      <c r="R36"/>
      <c r="S36"/>
      <c r="T36" s="57"/>
      <c r="V36"/>
      <c r="W36"/>
      <c r="X36"/>
      <c r="Y36"/>
      <c r="Z36"/>
      <c r="AA36"/>
      <c r="AB36" s="11"/>
      <c r="AC36" s="57"/>
      <c r="AD36" s="57"/>
      <c r="AE36" s="57"/>
      <c r="AF36" s="57"/>
      <c r="AG36" s="57"/>
      <c r="AH36" s="57"/>
      <c r="AI36" s="57"/>
      <c r="AJ36" s="57"/>
      <c r="AK36" s="57"/>
      <c r="AL36" s="57"/>
      <c r="AM36" s="57"/>
      <c r="AN36" s="57"/>
      <c r="AO36" s="28"/>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c r="A37" s="11"/>
      <c r="B37"/>
      <c r="C37" s="157"/>
      <c r="D37" s="57"/>
      <c r="E37" s="12"/>
      <c r="F37" s="37"/>
      <c r="G37"/>
      <c r="H37" s="37"/>
      <c r="I37" s="12"/>
      <c r="J37" s="37"/>
      <c r="K37"/>
      <c r="L37" s="37"/>
      <c r="M37"/>
      <c r="N37" s="57"/>
      <c r="P37" s="57"/>
      <c r="Q37"/>
      <c r="R37"/>
      <c r="S37"/>
      <c r="T37" s="57"/>
      <c r="V37"/>
      <c r="W37"/>
      <c r="X37"/>
      <c r="Y37"/>
      <c r="Z37"/>
      <c r="AA37"/>
      <c r="AB37" s="11"/>
      <c r="AC37" s="57"/>
      <c r="AD37" s="57"/>
      <c r="AE37" s="57"/>
      <c r="AF37" s="57"/>
      <c r="AG37" s="57"/>
      <c r="AH37" s="57"/>
      <c r="AI37" s="57"/>
      <c r="AJ37" s="57"/>
      <c r="AK37" s="57"/>
      <c r="AL37" s="57"/>
      <c r="AM37" s="57"/>
      <c r="AN37" s="57"/>
      <c r="AO37" s="28"/>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c r="A38" s="11"/>
      <c r="B38"/>
      <c r="C38" s="157"/>
      <c r="D38" s="57"/>
      <c r="E38" s="12"/>
      <c r="F38" s="37"/>
      <c r="G38"/>
      <c r="H38" s="37"/>
      <c r="I38" s="12"/>
      <c r="J38" s="37"/>
      <c r="K38"/>
      <c r="L38" s="37"/>
      <c r="M38"/>
      <c r="N38" s="57"/>
      <c r="P38" s="57"/>
      <c r="Q38"/>
      <c r="R38"/>
      <c r="S38"/>
      <c r="T38" s="57"/>
      <c r="V38"/>
      <c r="W38"/>
      <c r="X38"/>
      <c r="Y38"/>
      <c r="Z38"/>
      <c r="AA38"/>
      <c r="AB38" s="11"/>
      <c r="AC38" s="57"/>
      <c r="AD38" s="57"/>
      <c r="AE38" s="57"/>
      <c r="AF38" s="57"/>
      <c r="AG38" s="57"/>
      <c r="AH38" s="57"/>
      <c r="AI38" s="57"/>
      <c r="AJ38" s="57"/>
      <c r="AK38" s="57"/>
      <c r="AL38" s="57"/>
      <c r="AM38" s="57"/>
      <c r="AN38" s="57"/>
      <c r="AO38" s="28"/>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c r="A39" s="11"/>
      <c r="B39"/>
      <c r="C39" s="157"/>
      <c r="D39" s="57"/>
      <c r="E39" s="12"/>
      <c r="F39" s="37"/>
      <c r="G39"/>
      <c r="H39" s="37"/>
      <c r="I39" s="12"/>
      <c r="J39" s="37"/>
      <c r="K39"/>
      <c r="L39" s="37"/>
      <c r="M39"/>
      <c r="N39" s="57"/>
      <c r="P39" s="57"/>
      <c r="Q39"/>
      <c r="R39"/>
      <c r="S39"/>
      <c r="T39" s="57"/>
      <c r="V39"/>
      <c r="W39"/>
      <c r="X39"/>
      <c r="Y39"/>
      <c r="Z39"/>
      <c r="AA39"/>
      <c r="AB39" s="11"/>
      <c r="AC39" s="57"/>
      <c r="AD39" s="57"/>
      <c r="AE39" s="57"/>
      <c r="AF39" s="57"/>
      <c r="AG39" s="57"/>
      <c r="AH39" s="57"/>
      <c r="AI39" s="57"/>
      <c r="AJ39" s="57"/>
      <c r="AK39" s="57"/>
      <c r="AL39" s="57"/>
      <c r="AM39" s="57"/>
      <c r="AN39" s="57"/>
      <c r="AO39" s="28"/>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c r="A40" s="11"/>
      <c r="B40"/>
      <c r="C40" s="157"/>
      <c r="D40" s="57"/>
      <c r="E40" s="12"/>
      <c r="F40" s="37"/>
      <c r="G40"/>
      <c r="H40" s="37"/>
      <c r="I40" s="12"/>
      <c r="J40" s="37"/>
      <c r="K40"/>
      <c r="L40" s="37"/>
      <c r="M40"/>
      <c r="N40" s="57"/>
      <c r="P40" s="57"/>
      <c r="Q40"/>
      <c r="R40"/>
      <c r="S40"/>
      <c r="T40" s="57"/>
      <c r="V40"/>
      <c r="W40"/>
      <c r="X40"/>
      <c r="Y40"/>
      <c r="Z40"/>
      <c r="AA40"/>
      <c r="AB40" s="11"/>
      <c r="AC40" s="57"/>
      <c r="AD40" s="57"/>
      <c r="AE40" s="57"/>
      <c r="AF40" s="57"/>
      <c r="AG40" s="57"/>
      <c r="AH40" s="57"/>
      <c r="AI40" s="57"/>
      <c r="AJ40" s="57"/>
      <c r="AK40" s="57"/>
      <c r="AL40" s="57"/>
      <c r="AM40" s="57"/>
      <c r="AN40" s="57"/>
      <c r="AO40" s="28"/>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c r="A45" s="11"/>
      <c r="B45"/>
      <c r="C45" s="157"/>
      <c r="D45" s="57"/>
      <c r="E45" s="12"/>
      <c r="F45" s="37"/>
      <c r="G45"/>
      <c r="H45" s="37"/>
      <c r="I45" s="12"/>
      <c r="J45" s="37"/>
      <c r="K45"/>
      <c r="L45" s="37"/>
      <c r="M45"/>
      <c r="N45" s="57"/>
      <c r="P45" s="57"/>
      <c r="Q45"/>
      <c r="R45"/>
      <c r="S45"/>
      <c r="T45" s="57"/>
      <c r="V45"/>
      <c r="W45"/>
      <c r="X45"/>
      <c r="Y45"/>
      <c r="Z45"/>
      <c r="AA45"/>
      <c r="AB45" s="11"/>
      <c r="AC45" s="57"/>
      <c r="AD45" s="57"/>
      <c r="AE45" s="57"/>
      <c r="AF45" s="57"/>
      <c r="AG45" s="57"/>
      <c r="AH45" s="57"/>
      <c r="AI45" s="57"/>
      <c r="AJ45" s="57"/>
      <c r="AK45" s="57"/>
      <c r="AL45" s="57"/>
      <c r="AM45" s="57"/>
      <c r="AN45" s="57"/>
      <c r="AO45" s="28"/>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c r="A46" s="11"/>
      <c r="B46"/>
      <c r="C46" s="157"/>
      <c r="D46" s="57"/>
      <c r="E46" s="12"/>
      <c r="F46" s="37"/>
      <c r="G46"/>
      <c r="H46" s="37"/>
      <c r="I46" s="12"/>
      <c r="J46" s="37"/>
      <c r="K46"/>
      <c r="L46" s="37"/>
      <c r="M46"/>
      <c r="N46" s="57"/>
      <c r="P46" s="57"/>
      <c r="Q46"/>
      <c r="R46"/>
      <c r="S46"/>
      <c r="T46" s="57"/>
      <c r="V46"/>
      <c r="W46"/>
      <c r="X46"/>
      <c r="Y46"/>
      <c r="Z46"/>
      <c r="AA46"/>
      <c r="AB46" s="11"/>
      <c r="AC46" s="57"/>
      <c r="AD46" s="57"/>
      <c r="AE46" s="57"/>
      <c r="AF46" s="57"/>
      <c r="AG46" s="57"/>
      <c r="AH46" s="57"/>
      <c r="AI46" s="57"/>
      <c r="AJ46" s="57"/>
      <c r="AK46" s="57"/>
      <c r="AL46" s="57"/>
      <c r="AM46" s="57"/>
      <c r="AN46" s="57"/>
      <c r="AO46" s="28"/>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c r="A47" s="11"/>
      <c r="B47"/>
      <c r="C47" s="157"/>
      <c r="D47" s="57"/>
      <c r="E47" s="12"/>
      <c r="F47" s="37"/>
      <c r="G47"/>
      <c r="H47" s="37"/>
      <c r="I47" s="12"/>
      <c r="J47" s="37"/>
      <c r="K47"/>
      <c r="L47" s="37"/>
      <c r="M47"/>
      <c r="N47" s="57"/>
      <c r="P47" s="57"/>
      <c r="Q47"/>
      <c r="R47"/>
      <c r="S47"/>
      <c r="T47" s="57"/>
      <c r="V47"/>
      <c r="W47"/>
      <c r="X47"/>
      <c r="Y47"/>
      <c r="Z47"/>
      <c r="AA47"/>
      <c r="AB47" s="11"/>
      <c r="AC47" s="57"/>
      <c r="AD47" s="57"/>
      <c r="AE47" s="57"/>
      <c r="AF47" s="57"/>
      <c r="AG47" s="57"/>
      <c r="AH47" s="57"/>
      <c r="AI47" s="57"/>
      <c r="AJ47" s="57"/>
      <c r="AK47" s="57"/>
      <c r="AL47" s="57"/>
      <c r="AM47" s="57"/>
      <c r="AN47" s="57"/>
      <c r="AO47" s="28"/>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2">
      <iconSet>
        <cfvo type="percent" val="0"/>
        <cfvo type="num" val="0"/>
        <cfvo type="num" val="0" gte="0"/>
      </iconSet>
    </cfRule>
  </conditionalFormatting>
  <conditionalFormatting sqref="C28:C30">
    <cfRule type="iconSet" priority="36">
      <iconSet>
        <cfvo type="percent" val="0"/>
        <cfvo type="num" val="0"/>
        <cfvo type="num" val="0" gte="0"/>
      </iconSet>
    </cfRule>
  </conditionalFormatting>
  <conditionalFormatting sqref="D6:D25">
    <cfRule type="iconSet" priority="41">
      <iconSet>
        <cfvo type="percent" val="0"/>
        <cfvo type="num" val="0"/>
        <cfvo type="num" val="0" gte="0"/>
      </iconSet>
    </cfRule>
  </conditionalFormatting>
  <conditionalFormatting sqref="F6:F16 F19:F25">
    <cfRule type="iconSet" priority="37">
      <iconSet>
        <cfvo type="percent" val="0"/>
        <cfvo type="num" val="0"/>
        <cfvo type="num" val="0" gte="0"/>
      </iconSet>
    </cfRule>
  </conditionalFormatting>
  <conditionalFormatting sqref="F17:F18">
    <cfRule type="iconSet" priority="7">
      <iconSet>
        <cfvo type="percent" val="0"/>
        <cfvo type="num" val="0"/>
        <cfvo type="num" val="0" gte="0"/>
      </iconSet>
    </cfRule>
  </conditionalFormatting>
  <conditionalFormatting sqref="F28:F30">
    <cfRule type="iconSet" priority="1">
      <iconSet>
        <cfvo type="percent" val="0"/>
        <cfvo type="num" val="0"/>
        <cfvo type="num" val="0" gte="0"/>
      </iconSet>
    </cfRule>
  </conditionalFormatting>
  <conditionalFormatting sqref="H6:H7 H9 H11:H25">
    <cfRule type="iconSet" priority="34">
      <iconSet>
        <cfvo type="percent" val="0"/>
        <cfvo type="num" val="0"/>
        <cfvo type="num" val="0" gte="0"/>
      </iconSet>
    </cfRule>
  </conditionalFormatting>
  <conditionalFormatting sqref="H8">
    <cfRule type="iconSet" priority="5">
      <iconSet>
        <cfvo type="percent" val="0"/>
        <cfvo type="num" val="0"/>
        <cfvo type="num" val="0" gte="0"/>
      </iconSet>
    </cfRule>
  </conditionalFormatting>
  <conditionalFormatting sqref="H10">
    <cfRule type="iconSet" priority="32">
      <iconSet>
        <cfvo type="percent" val="0"/>
        <cfvo type="num" val="0"/>
        <cfvo type="num" val="0" gte="0"/>
      </iconSet>
    </cfRule>
  </conditionalFormatting>
  <conditionalFormatting sqref="J6:J9 J11:J16 J19:J25">
    <cfRule type="iconSet" priority="35">
      <iconSet>
        <cfvo type="percent" val="0"/>
        <cfvo type="num" val="0"/>
        <cfvo type="num" val="0" gte="0"/>
      </iconSet>
    </cfRule>
  </conditionalFormatting>
  <conditionalFormatting sqref="J10">
    <cfRule type="iconSet" priority="33">
      <iconSet>
        <cfvo type="percent" val="0"/>
        <cfvo type="num" val="0"/>
        <cfvo type="num" val="0" gte="0"/>
      </iconSet>
    </cfRule>
  </conditionalFormatting>
  <conditionalFormatting sqref="J17:J18">
    <cfRule type="iconSet" priority="6">
      <iconSet>
        <cfvo type="percent" val="0"/>
        <cfvo type="num" val="0"/>
        <cfvo type="num" val="0" gte="0"/>
      </iconSet>
    </cfRule>
  </conditionalFormatting>
  <conditionalFormatting sqref="J28:J30">
    <cfRule type="iconSet" priority="3">
      <iconSet>
        <cfvo type="percent" val="0"/>
        <cfvo type="num" val="0"/>
        <cfvo type="num" val="0" gte="0"/>
      </iconSet>
    </cfRule>
  </conditionalFormatting>
  <conditionalFormatting sqref="L6:L9 L11:L25">
    <cfRule type="iconSet" priority="43">
      <iconSet>
        <cfvo type="percent" val="0"/>
        <cfvo type="num" val="0"/>
        <cfvo type="num" val="0" gte="0"/>
      </iconSet>
    </cfRule>
  </conditionalFormatting>
  <conditionalFormatting sqref="L10">
    <cfRule type="iconSet" priority="44">
      <iconSet>
        <cfvo type="percent" val="0"/>
        <cfvo type="num" val="0"/>
        <cfvo type="num" val="0" gte="0"/>
      </iconSet>
    </cfRule>
  </conditionalFormatting>
  <conditionalFormatting sqref="L28:L30">
    <cfRule type="iconSet" priority="2">
      <iconSet>
        <cfvo type="percent" val="0"/>
        <cfvo type="num" val="0"/>
        <cfvo type="num" val="0" gte="0"/>
      </iconSet>
    </cfRule>
  </conditionalFormatting>
  <conditionalFormatting sqref="M6:M25">
    <cfRule type="iconSet" priority="38">
      <iconSet>
        <cfvo type="percent" val="0"/>
        <cfvo type="num" val="0"/>
        <cfvo type="num" val="0" gte="0"/>
      </iconSet>
    </cfRule>
  </conditionalFormatting>
  <conditionalFormatting sqref="N6:N25">
    <cfRule type="iconSet" priority="31">
      <iconSet>
        <cfvo type="percent" val="0"/>
        <cfvo type="num" val="0"/>
        <cfvo type="num" val="0" gte="0"/>
      </iconSet>
    </cfRule>
  </conditionalFormatting>
  <conditionalFormatting sqref="P6:P9 P11:P25">
    <cfRule type="iconSet" priority="39">
      <iconSet>
        <cfvo type="percent" val="0"/>
        <cfvo type="num" val="0"/>
        <cfvo type="num" val="0" gte="0"/>
      </iconSet>
    </cfRule>
  </conditionalFormatting>
  <conditionalFormatting sqref="P10">
    <cfRule type="iconSet" priority="10">
      <iconSet>
        <cfvo type="percent" val="0"/>
        <cfvo type="num" val="0"/>
        <cfvo type="num" val="0" gte="0"/>
      </iconSet>
    </cfRule>
  </conditionalFormatting>
  <conditionalFormatting sqref="P28:P30">
    <cfRule type="iconSet" priority="23">
      <iconSet>
        <cfvo type="percent" val="0"/>
        <cfvo type="num" val="0"/>
        <cfvo type="num" val="0" gte="0"/>
      </iconSet>
    </cfRule>
  </conditionalFormatting>
  <conditionalFormatting sqref="R6:R25">
    <cfRule type="iconSet" priority="40">
      <iconSet>
        <cfvo type="percent" val="0"/>
        <cfvo type="num" val="0"/>
        <cfvo type="num" val="0" gte="0"/>
      </iconSet>
    </cfRule>
  </conditionalFormatting>
  <conditionalFormatting sqref="R28:R30">
    <cfRule type="iconSet" priority="22">
      <iconSet>
        <cfvo type="percent" val="0"/>
        <cfvo type="num" val="0"/>
        <cfvo type="num" val="0" gte="0"/>
      </iconSet>
    </cfRule>
  </conditionalFormatting>
  <conditionalFormatting sqref="S6:S25">
    <cfRule type="iconSet" priority="26">
      <iconSet>
        <cfvo type="percent" val="0"/>
        <cfvo type="num" val="0"/>
        <cfvo type="num" val="0" gte="0"/>
      </iconSet>
    </cfRule>
  </conditionalFormatting>
  <conditionalFormatting sqref="T6:T25">
    <cfRule type="iconSet" priority="30">
      <iconSet>
        <cfvo type="percent" val="0"/>
        <cfvo type="num" val="0"/>
        <cfvo type="num" val="0" gte="0"/>
      </iconSet>
    </cfRule>
  </conditionalFormatting>
  <conditionalFormatting sqref="U28:U30">
    <cfRule type="iconSet" priority="4">
      <iconSet>
        <cfvo type="percent" val="0"/>
        <cfvo type="num" val="0"/>
        <cfvo type="num" val="0" gte="0"/>
      </iconSet>
    </cfRule>
  </conditionalFormatting>
  <conditionalFormatting sqref="V6:V10 V16:V25 V12:V14">
    <cfRule type="iconSet" priority="29">
      <iconSet>
        <cfvo type="percent" val="0"/>
        <cfvo type="num" val="0"/>
        <cfvo type="num" val="0" gte="0"/>
      </iconSet>
    </cfRule>
  </conditionalFormatting>
  <conditionalFormatting sqref="V11">
    <cfRule type="iconSet" priority="9">
      <iconSet>
        <cfvo type="percent" val="0"/>
        <cfvo type="num" val="0"/>
        <cfvo type="num" val="0" gte="0"/>
      </iconSet>
    </cfRule>
  </conditionalFormatting>
  <conditionalFormatting sqref="V15">
    <cfRule type="iconSet" priority="25">
      <iconSet>
        <cfvo type="percent" val="0"/>
        <cfvo type="num" val="0"/>
        <cfvo type="num" val="0" gte="0"/>
      </iconSet>
    </cfRule>
  </conditionalFormatting>
  <conditionalFormatting sqref="X6:X10 X12:X23">
    <cfRule type="iconSet" priority="28">
      <iconSet reverse="1">
        <cfvo type="percent" val="0"/>
        <cfvo type="num" val="0"/>
        <cfvo type="num" val="0" gte="0"/>
      </iconSet>
    </cfRule>
  </conditionalFormatting>
  <conditionalFormatting sqref="X11">
    <cfRule type="iconSet" priority="8">
      <iconSet reverse="1">
        <cfvo type="percent" val="0"/>
        <cfvo type="num" val="0"/>
        <cfvo type="num" val="0" gte="0"/>
      </iconSet>
    </cfRule>
  </conditionalFormatting>
  <conditionalFormatting sqref="X24:X25">
    <cfRule type="iconSet" priority="24">
      <iconSet reverse="1">
        <cfvo type="percent" val="0"/>
        <cfvo type="num" val="0"/>
        <cfvo type="num" val="0" gte="0"/>
      </iconSet>
    </cfRule>
  </conditionalFormatting>
  <conditionalFormatting sqref="Z6">
    <cfRule type="iconSet" priority="19">
      <iconSet>
        <cfvo type="percent" val="0"/>
        <cfvo type="num" val="0"/>
        <cfvo type="num" val="0" gte="0"/>
      </iconSet>
    </cfRule>
  </conditionalFormatting>
  <conditionalFormatting sqref="Z7">
    <cfRule type="iconSet" priority="18">
      <iconSet>
        <cfvo type="percent" val="0"/>
        <cfvo type="num" val="0"/>
        <cfvo type="num" val="0" gte="0"/>
      </iconSet>
    </cfRule>
  </conditionalFormatting>
  <conditionalFormatting sqref="Z8 Z12 Z14:Z17 Z21 Z23:Z25">
    <cfRule type="iconSet" priority="27">
      <iconSet>
        <cfvo type="percent" val="0"/>
        <cfvo type="num" val="0"/>
        <cfvo type="num" val="0" gte="0"/>
      </iconSet>
    </cfRule>
  </conditionalFormatting>
  <conditionalFormatting sqref="Z9">
    <cfRule type="iconSet" priority="21">
      <iconSet>
        <cfvo type="percent" val="0"/>
        <cfvo type="num" val="0"/>
        <cfvo type="num" val="0" gte="0"/>
      </iconSet>
    </cfRule>
  </conditionalFormatting>
  <conditionalFormatting sqref="Z10">
    <cfRule type="iconSet" priority="17">
      <iconSet>
        <cfvo type="percent" val="0"/>
        <cfvo type="num" val="0"/>
        <cfvo type="num" val="0" gte="0"/>
      </iconSet>
    </cfRule>
  </conditionalFormatting>
  <conditionalFormatting sqref="Z11">
    <cfRule type="iconSet" priority="16">
      <iconSet>
        <cfvo type="percent" val="0"/>
        <cfvo type="num" val="0"/>
        <cfvo type="num" val="0" gte="0"/>
      </iconSet>
    </cfRule>
  </conditionalFormatting>
  <conditionalFormatting sqref="Z13">
    <cfRule type="iconSet" priority="15">
      <iconSet>
        <cfvo type="percent" val="0"/>
        <cfvo type="num" val="0"/>
        <cfvo type="num" val="0" gte="0"/>
      </iconSet>
    </cfRule>
  </conditionalFormatting>
  <conditionalFormatting sqref="Z18">
    <cfRule type="iconSet" priority="14">
      <iconSet>
        <cfvo type="percent" val="0"/>
        <cfvo type="num" val="0"/>
        <cfvo type="num" val="0" gte="0"/>
      </iconSet>
    </cfRule>
  </conditionalFormatting>
  <conditionalFormatting sqref="Z19">
    <cfRule type="iconSet" priority="13">
      <iconSet>
        <cfvo type="percent" val="0"/>
        <cfvo type="num" val="0"/>
        <cfvo type="num" val="0" gte="0"/>
      </iconSet>
    </cfRule>
  </conditionalFormatting>
  <conditionalFormatting sqref="Z20">
    <cfRule type="iconSet" priority="12">
      <iconSet>
        <cfvo type="percent" val="0"/>
        <cfvo type="num" val="0"/>
        <cfvo type="num" val="0" gte="0"/>
      </iconSet>
    </cfRule>
  </conditionalFormatting>
  <conditionalFormatting sqref="Z22">
    <cfRule type="iconSet" priority="11">
      <iconSet>
        <cfvo type="percent" val="0"/>
        <cfvo type="num" val="0"/>
        <cfvo type="num" val="0" gte="0"/>
      </iconSet>
    </cfRule>
  </conditionalFormatting>
  <conditionalFormatting sqref="AC6:AN24 AC25 AE25:AN25">
    <cfRule type="expression" dxfId="17" priority="45">
      <formula>AP6=3</formula>
    </cfRule>
    <cfRule type="expression" dxfId="16" priority="46">
      <formula>AP6=5</formula>
    </cfRule>
    <cfRule type="expression" dxfId="15" priority="47">
      <formula>AP6=4</formula>
    </cfRule>
    <cfRule type="expression" dxfId="14" priority="48">
      <formula>AP6=2</formula>
    </cfRule>
    <cfRule type="expression" dxfId="13" priority="49">
      <formula>AP6=1</formula>
    </cfRule>
    <cfRule type="expression" dxfId="12" priority="50">
      <formula>AP6=0</formula>
    </cfRule>
  </conditionalFormatting>
  <conditionalFormatting sqref="FG6:FG25 FG27">
    <cfRule type="colorScale" priority="20">
      <colorScale>
        <cfvo type="min"/>
        <cfvo type="percentile" val="50"/>
        <cfvo type="max"/>
        <color rgb="FFF8696B"/>
        <color rgb="FFFFEB84"/>
        <color rgb="FF63BE7B"/>
      </colorScale>
    </cfRule>
  </conditionalFormatting>
  <dataValidations count="1">
    <dataValidation type="list" allowBlank="1" showInputMessage="1" showErrorMessage="1" sqref="A1:B1" xr:uid="{00000000-0002-0000-0D00-000000000000}">
      <formula1>lis_dat</formula1>
    </dataValidation>
  </dataValidations>
  <pageMargins left="0.25" right="0.25" top="0.75" bottom="0.75" header="0.3" footer="0.3"/>
  <pageSetup paperSize="9" scale="55"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249977111117893"/>
    <pageSetUpPr fitToPage="1"/>
  </sheetPr>
  <dimension ref="A1:FH47"/>
  <sheetViews>
    <sheetView showGridLines="0" topLeftCell="A18" zoomScale="80" zoomScaleNormal="80" workbookViewId="0">
      <selection activeCell="P20" sqref="P20"/>
    </sheetView>
  </sheetViews>
  <sheetFormatPr baseColWidth="10" defaultRowHeight="14.4"/>
  <cols>
    <col min="1" max="1" width="14.44140625" style="11" customWidth="1"/>
    <col min="2" max="2" width="11.6640625" customWidth="1"/>
    <col min="3" max="3" width="4.6640625" style="154" customWidth="1"/>
    <col min="4" max="4" width="3.88671875" style="57" customWidth="1"/>
    <col min="5" max="5" width="8.6640625" style="12" customWidth="1"/>
    <col min="6" max="6" width="3.44140625" style="37" customWidth="1"/>
    <col min="7" max="7" width="6.109375" customWidth="1"/>
    <col min="8" max="8" width="4.5546875" style="37" customWidth="1"/>
    <col min="9" max="9" width="10.5546875" style="12" customWidth="1"/>
    <col min="10" max="10" width="4" style="37" customWidth="1"/>
    <col min="11" max="11" width="6" customWidth="1"/>
    <col min="12" max="12" width="4.88671875" style="37" customWidth="1"/>
    <col min="13" max="13" width="1.88671875" customWidth="1"/>
    <col min="14" max="14" width="4.33203125" style="57" customWidth="1"/>
    <col min="15" max="15" width="5.88671875" style="23" customWidth="1"/>
    <col min="16" max="16" width="7" style="57" customWidth="1"/>
    <col min="17" max="17" width="7" customWidth="1"/>
    <col min="18" max="18" width="7.33203125" customWidth="1"/>
    <col min="19" max="19" width="1.5546875" customWidth="1"/>
    <col min="20" max="20" width="3.88671875" style="57" customWidth="1"/>
    <col min="21" max="21" width="6.5546875" style="23" hidden="1" customWidth="1"/>
    <col min="22" max="22" width="4" hidden="1" customWidth="1"/>
    <col min="23" max="23" width="6.5546875" hidden="1" customWidth="1"/>
    <col min="24" max="24" width="3.88671875" hidden="1" customWidth="1"/>
    <col min="25" max="25" width="7.33203125" hidden="1" customWidth="1"/>
    <col min="26" max="26" width="4.5546875" hidden="1" customWidth="1"/>
    <col min="27" max="27" width="1.44140625" customWidth="1"/>
    <col min="28" max="28" width="53" style="11" customWidth="1"/>
    <col min="29" max="40" width="1.88671875" style="57" customWidth="1"/>
    <col min="41" max="41" width="2.44140625" style="28" customWidth="1"/>
    <col min="42" max="42" width="5.44140625" style="28" hidden="1" customWidth="1"/>
    <col min="43" max="43" width="6" style="28" hidden="1" customWidth="1"/>
    <col min="44" max="44" width="5.33203125" style="28" hidden="1" customWidth="1"/>
    <col min="45" max="45" width="4.88671875" style="28" hidden="1" customWidth="1"/>
    <col min="46" max="47" width="5.5546875" hidden="1" customWidth="1"/>
    <col min="48" max="48" width="5.33203125" hidden="1" customWidth="1"/>
    <col min="49" max="49" width="5.5546875" hidden="1" customWidth="1"/>
    <col min="50" max="51" width="4.88671875" hidden="1" customWidth="1"/>
    <col min="52" max="52" width="5.6640625" hidden="1" customWidth="1"/>
    <col min="53" max="53" width="5.109375" hidden="1" customWidth="1"/>
    <col min="54" max="54" width="2.44140625" hidden="1" customWidth="1"/>
    <col min="55" max="55" width="15.8867187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3.33203125"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7" bestFit="1" customWidth="1"/>
    <col min="88" max="88" width="11" bestFit="1" customWidth="1"/>
    <col min="89" max="89" width="7" bestFit="1" customWidth="1"/>
    <col min="90" max="90" width="6.5546875" bestFit="1" customWidth="1"/>
    <col min="91" max="92" width="7"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3.8">
      <c r="A1" s="219">
        <v>45261</v>
      </c>
      <c r="B1" s="49"/>
      <c r="D1" s="195" t="s">
        <v>220</v>
      </c>
      <c r="E1" s="46"/>
      <c r="F1" s="46"/>
      <c r="G1" s="46"/>
      <c r="H1" s="46"/>
      <c r="I1" s="46"/>
      <c r="J1" s="46"/>
      <c r="K1" s="46"/>
      <c r="L1" s="46"/>
      <c r="M1" s="19"/>
      <c r="N1" s="199" t="s">
        <v>248</v>
      </c>
      <c r="O1" s="21"/>
      <c r="P1" s="101"/>
      <c r="Q1" s="21"/>
      <c r="R1" s="21"/>
      <c r="S1" s="19"/>
      <c r="T1" s="200" t="s">
        <v>453</v>
      </c>
      <c r="U1" s="22"/>
      <c r="V1" s="22"/>
      <c r="W1" s="22"/>
      <c r="X1" s="22"/>
      <c r="Y1" s="22"/>
      <c r="Z1" s="22"/>
      <c r="AB1" s="208" t="s">
        <v>167</v>
      </c>
      <c r="AC1" s="50" t="s">
        <v>288</v>
      </c>
      <c r="AD1" s="50"/>
      <c r="AE1" s="50"/>
      <c r="AF1" s="50"/>
      <c r="AG1" s="50"/>
      <c r="AH1" s="50"/>
      <c r="AI1" s="50"/>
      <c r="AJ1" s="50"/>
      <c r="AK1" s="50"/>
      <c r="AL1" s="50"/>
      <c r="AM1" s="50"/>
      <c r="AN1" s="50"/>
      <c r="BF1" t="s">
        <v>101</v>
      </c>
      <c r="BG1" s="3">
        <f>+A1</f>
        <v>45261</v>
      </c>
      <c r="BH1" s="3">
        <f>+VLOOKUP(BH2,datos!$D:$E,2,FALSE)</f>
        <v>45231</v>
      </c>
      <c r="BI1" s="3">
        <f>+VLOOKUP(BI2,datos!$D:$E,2,FALSE)</f>
        <v>44896</v>
      </c>
      <c r="BL1" s="3">
        <f>+A1</f>
        <v>45261</v>
      </c>
      <c r="BM1" s="3">
        <f>+VLOOKUP(BM2,datos!$D:$E,2,FALSE)</f>
        <v>45231</v>
      </c>
      <c r="BN1" s="3">
        <f>+VLOOKUP(BN2,datos!$D:$E,2,FALSE)</f>
        <v>44896</v>
      </c>
      <c r="BQ1" s="3">
        <f>+A1</f>
        <v>45261</v>
      </c>
      <c r="BR1" s="3">
        <f>+VLOOKUP(BR2,datos!$D:$E,2,FALSE)</f>
        <v>44896</v>
      </c>
      <c r="BU1" s="3">
        <f>+A1</f>
        <v>45261</v>
      </c>
      <c r="BV1" s="3">
        <f>+VLOOKUP(BV2,datos!$D:$E,2,FALSE)</f>
        <v>44896</v>
      </c>
      <c r="BY1" t="s">
        <v>279</v>
      </c>
      <c r="BZ1" t="s">
        <v>280</v>
      </c>
      <c r="CC1" t="s">
        <v>279</v>
      </c>
      <c r="CD1" t="s">
        <v>280</v>
      </c>
      <c r="CG1" t="s">
        <v>282</v>
      </c>
      <c r="CH1" t="s">
        <v>283</v>
      </c>
      <c r="CI1" s="3">
        <f>+A1</f>
        <v>45261</v>
      </c>
      <c r="CJ1" s="3">
        <f>+VLOOKUP(CJ2,datos!$D:$E,2,FALSE)</f>
        <v>45261</v>
      </c>
      <c r="CK1" s="3">
        <f>+VLOOKUP(CK2,datos!$D:$E,2,FALSE)</f>
        <v>45231</v>
      </c>
      <c r="CL1" s="3">
        <f>+VLOOKUP(CL2,datos!$D:$E,2,FALSE)</f>
        <v>45200</v>
      </c>
      <c r="CM1" s="3">
        <f>+VLOOKUP(CM2,datos!$D:$E,2,FALSE)</f>
        <v>45170</v>
      </c>
      <c r="CN1" s="3">
        <f>+VLOOKUP(CN2,datos!$D:$E,2,FALSE)</f>
        <v>45139</v>
      </c>
      <c r="CO1" s="3">
        <f>+VLOOKUP(CO2,datos!$D:$E,2,FALSE)</f>
        <v>45108</v>
      </c>
      <c r="CP1" s="3">
        <f>+VLOOKUP(CP2,datos!$D:$E,2,FALSE)</f>
        <v>45078</v>
      </c>
      <c r="CQ1" s="3">
        <f>+VLOOKUP(CQ2,datos!$D:$E,2,FALSE)</f>
        <v>45047</v>
      </c>
      <c r="CR1" s="3">
        <f>+VLOOKUP(CR2,datos!$D:$E,2,FALSE)</f>
        <v>45017</v>
      </c>
      <c r="CS1" s="3">
        <f>+VLOOKUP(CS2,datos!$D:$E,2,FALSE)</f>
        <v>44986</v>
      </c>
      <c r="CT1" s="3">
        <f>+VLOOKUP(CT2,datos!$D:$E,2,FALSE)</f>
        <v>44958</v>
      </c>
      <c r="CU1" s="3">
        <f>+VLOOKUP(CU2,datos!$D:$E,2,FALSE)</f>
        <v>44927</v>
      </c>
      <c r="CV1" s="3">
        <f>+VLOOKUP(CV2,datos!$D:$E,2,FALSE)</f>
        <v>44896</v>
      </c>
      <c r="CW1" s="3">
        <f>+VLOOKUP(CW2,datos!$D:$E,2,FALSE)</f>
        <v>44866</v>
      </c>
      <c r="CX1" s="3">
        <f>+VLOOKUP(CX2,datos!$D:$E,2,FALSE)</f>
        <v>44835</v>
      </c>
      <c r="CY1" s="3">
        <f>+VLOOKUP(CY2,datos!$D:$E,2,FALSE)</f>
        <v>44805</v>
      </c>
      <c r="CZ1" s="3">
        <f>+VLOOKUP(CZ2,datos!$D:$E,2,FALSE)</f>
        <v>44774</v>
      </c>
      <c r="DA1" s="3">
        <f>+VLOOKUP(DA2,datos!$D:$E,2,FALSE)</f>
        <v>44743</v>
      </c>
      <c r="DB1" s="3">
        <f>+VLOOKUP(DB2,datos!$D:$E,2,FALSE)</f>
        <v>44713</v>
      </c>
      <c r="DC1" s="3">
        <f>+VLOOKUP(DC2,datos!$D:$E,2,FALSE)</f>
        <v>44682</v>
      </c>
      <c r="DD1" s="3">
        <f>+VLOOKUP(DD2,datos!$D:$E,2,FALSE)</f>
        <v>44652</v>
      </c>
      <c r="DE1" s="3">
        <f>+VLOOKUP(DE2,datos!$D:$E,2,FALSE)</f>
        <v>44621</v>
      </c>
      <c r="DF1" s="3">
        <f>+VLOOKUP(DF2,datos!$D:$E,2,FALSE)</f>
        <v>44593</v>
      </c>
      <c r="DG1" s="3">
        <f>+VLOOKUP(DG2,datos!$D:$E,2,FALSE)</f>
        <v>44562</v>
      </c>
      <c r="DI1" s="3">
        <f>+CJ1</f>
        <v>45261</v>
      </c>
      <c r="DJ1" s="3">
        <f>+VLOOKUP(DJ2,datos!$D:$E,2,FALSE)</f>
        <v>45231</v>
      </c>
      <c r="DK1" s="3">
        <f>+VLOOKUP(DK2,datos!$D:$E,2,FALSE)</f>
        <v>45200</v>
      </c>
      <c r="DL1" s="3">
        <f>+VLOOKUP(DL2,datos!$D:$E,2,FALSE)</f>
        <v>45170</v>
      </c>
      <c r="DM1" s="3">
        <f>+VLOOKUP(DM2,datos!$D:$E,2,FALSE)</f>
        <v>45139</v>
      </c>
      <c r="DN1" s="3">
        <f>+VLOOKUP(DN2,datos!$D:$E,2,FALSE)</f>
        <v>45108</v>
      </c>
      <c r="DO1" s="3">
        <f>+VLOOKUP(DO2,datos!$D:$E,2,FALSE)</f>
        <v>45078</v>
      </c>
      <c r="DP1" s="3">
        <f>+VLOOKUP(DP2,datos!$D:$E,2,FALSE)</f>
        <v>45047</v>
      </c>
      <c r="DQ1" s="3">
        <f>+VLOOKUP(DQ2,datos!$D:$E,2,FALSE)</f>
        <v>45017</v>
      </c>
      <c r="DR1" s="3">
        <f>+VLOOKUP(DR2,datos!$D:$E,2,FALSE)</f>
        <v>44986</v>
      </c>
      <c r="DS1" s="3">
        <f>+VLOOKUP(DS2,datos!$D:$E,2,FALSE)</f>
        <v>44958</v>
      </c>
      <c r="DT1" s="3">
        <f>+VLOOKUP(DT2,datos!$D:$E,2,FALSE)</f>
        <v>44927</v>
      </c>
      <c r="DU1" s="3">
        <f>+VLOOKUP(DU2,datos!$D:$E,2,FALSE)</f>
        <v>44896</v>
      </c>
      <c r="DV1" s="3">
        <f>+VLOOKUP(DV2,datos!$D:$E,2,FALSE)</f>
        <v>44866</v>
      </c>
      <c r="DW1" s="3">
        <f>+VLOOKUP(DW2,datos!$D:$E,2,FALSE)</f>
        <v>44835</v>
      </c>
      <c r="DX1" s="3">
        <f>+VLOOKUP(DX2,datos!$D:$E,2,FALSE)</f>
        <v>44805</v>
      </c>
      <c r="DY1" s="3">
        <f>+VLOOKUP(DY2,datos!$D:$E,2,FALSE)</f>
        <v>44774</v>
      </c>
      <c r="DZ1" s="3">
        <f>+VLOOKUP(DZ2,datos!$D:$E,2,FALSE)</f>
        <v>44743</v>
      </c>
      <c r="EA1" s="3">
        <f>+VLOOKUP(EA2,datos!$D:$E,2,FALSE)</f>
        <v>44713</v>
      </c>
      <c r="EB1" s="3">
        <f>+VLOOKUP(EB2,datos!$D:$E,2,FALSE)</f>
        <v>44682</v>
      </c>
      <c r="EC1" s="3">
        <f>+VLOOKUP(EC2,datos!$D:$E,2,FALSE)</f>
        <v>44652</v>
      </c>
      <c r="ED1" s="3">
        <f>+VLOOKUP(ED2,datos!$D:$E,2,FALSE)</f>
        <v>44621</v>
      </c>
      <c r="EE1" s="3">
        <f>+VLOOKUP(EE2,datos!$D:$E,2,FALSE)</f>
        <v>44593</v>
      </c>
      <c r="EF1" s="3">
        <f>+VLOOKUP(EF2,datos!$D:$E,2,FALSE)</f>
        <v>44562</v>
      </c>
      <c r="EH1" s="14">
        <f>+CJ1</f>
        <v>45261</v>
      </c>
      <c r="EI1" s="14">
        <f t="shared" ref="EI1:FE1" si="0">+CK1</f>
        <v>45231</v>
      </c>
      <c r="EJ1" s="3">
        <f t="shared" si="0"/>
        <v>45200</v>
      </c>
      <c r="EK1" s="3">
        <f t="shared" si="0"/>
        <v>45170</v>
      </c>
      <c r="EL1" s="3">
        <f t="shared" si="0"/>
        <v>45139</v>
      </c>
      <c r="EM1" s="3">
        <f t="shared" si="0"/>
        <v>45108</v>
      </c>
      <c r="EN1" s="3">
        <f t="shared" si="0"/>
        <v>45078</v>
      </c>
      <c r="EO1" s="3">
        <f t="shared" si="0"/>
        <v>45047</v>
      </c>
      <c r="EP1" s="3">
        <f t="shared" si="0"/>
        <v>45017</v>
      </c>
      <c r="EQ1" s="3">
        <f t="shared" si="0"/>
        <v>44986</v>
      </c>
      <c r="ER1" s="3">
        <f t="shared" si="0"/>
        <v>44958</v>
      </c>
      <c r="ES1" s="3">
        <f t="shared" si="0"/>
        <v>44927</v>
      </c>
      <c r="ET1" s="3">
        <f t="shared" si="0"/>
        <v>44896</v>
      </c>
      <c r="EU1" s="3">
        <f t="shared" si="0"/>
        <v>44866</v>
      </c>
      <c r="EV1" s="3">
        <f t="shared" si="0"/>
        <v>44835</v>
      </c>
      <c r="EW1" s="3">
        <f t="shared" si="0"/>
        <v>44805</v>
      </c>
      <c r="EX1" s="3">
        <f t="shared" si="0"/>
        <v>44774</v>
      </c>
      <c r="EY1" s="3">
        <f t="shared" si="0"/>
        <v>44743</v>
      </c>
      <c r="EZ1" s="3">
        <f t="shared" si="0"/>
        <v>44713</v>
      </c>
      <c r="FA1" s="3">
        <f t="shared" si="0"/>
        <v>44682</v>
      </c>
      <c r="FB1" s="3">
        <f t="shared" si="0"/>
        <v>44652</v>
      </c>
      <c r="FC1" s="3">
        <f t="shared" si="0"/>
        <v>44621</v>
      </c>
      <c r="FD1" s="3">
        <f t="shared" si="0"/>
        <v>44593</v>
      </c>
      <c r="FE1" s="3">
        <f t="shared" si="0"/>
        <v>44562</v>
      </c>
    </row>
    <row r="2" spans="1:163" ht="13.5" customHeight="1">
      <c r="E2" s="51" t="s">
        <v>278</v>
      </c>
      <c r="F2" s="52"/>
      <c r="G2" s="9"/>
      <c r="H2" s="52"/>
      <c r="I2" s="51" t="s">
        <v>165</v>
      </c>
      <c r="J2" s="52"/>
      <c r="K2" s="9"/>
      <c r="L2" s="52"/>
      <c r="M2" s="9"/>
      <c r="N2" s="102"/>
      <c r="O2" s="9" t="s">
        <v>277</v>
      </c>
      <c r="P2" s="102"/>
      <c r="Q2" s="9" t="s">
        <v>277</v>
      </c>
      <c r="R2" s="9"/>
      <c r="S2" s="9"/>
      <c r="T2" s="102"/>
      <c r="U2" s="9" t="s">
        <v>336</v>
      </c>
      <c r="V2" s="9"/>
      <c r="W2" s="9"/>
      <c r="X2" s="9"/>
      <c r="Y2" s="51" t="s">
        <v>165</v>
      </c>
      <c r="Z2" s="9"/>
      <c r="AB2" s="209"/>
      <c r="AC2" s="59"/>
      <c r="AD2" s="59"/>
      <c r="AE2" s="59"/>
      <c r="AF2" s="59"/>
      <c r="AG2" s="59"/>
      <c r="AH2" s="59"/>
      <c r="AI2" s="59"/>
      <c r="AJ2" s="59"/>
      <c r="AK2" s="59"/>
      <c r="AL2" s="59"/>
      <c r="AM2" s="59"/>
      <c r="AN2" s="59"/>
      <c r="AO2" s="80"/>
      <c r="AP2" s="174">
        <f>VLOOKUP(VLOOKUP(+$A$1,ran_ma,2,FALSE)-11,ran_idma,2,FALSE)</f>
        <v>44927</v>
      </c>
      <c r="AQ2" s="174">
        <f>VLOOKUP(VLOOKUP(+$A$1,ran_ma,2,FALSE)-10,ran_idma,2,FALSE)</f>
        <v>44958</v>
      </c>
      <c r="AR2" s="174">
        <f>VLOOKUP(VLOOKUP(+$A$1,ran_ma,2,FALSE)-9,ran_idma,2,FALSE)</f>
        <v>44986</v>
      </c>
      <c r="AS2" s="174">
        <f>VLOOKUP(VLOOKUP(+$A$1,ran_ma,2,FALSE)-8,ran_idma,2,FALSE)</f>
        <v>45017</v>
      </c>
      <c r="AT2" s="59">
        <f>VLOOKUP(VLOOKUP(+$A$1,ran_ma,2,FALSE)-7,ran_idma,2,FALSE)</f>
        <v>45047</v>
      </c>
      <c r="AU2" s="59">
        <f>VLOOKUP(VLOOKUP(+$A$1,ran_ma,2,FALSE)-6,ran_idma,2,FALSE)</f>
        <v>45078</v>
      </c>
      <c r="AV2" s="59">
        <f>VLOOKUP(VLOOKUP(+$A$1,ran_ma,2,FALSE)-5,ran_idma,2,FALSE)</f>
        <v>45108</v>
      </c>
      <c r="AW2" s="59">
        <f>VLOOKUP(VLOOKUP(+$A$1,ran_ma,2,FALSE)-4,ran_idma,2,FALSE)</f>
        <v>45139</v>
      </c>
      <c r="AX2" s="59">
        <f>VLOOKUP(VLOOKUP(+$A$1,ran_ma,2,FALSE)-3,ran_idma,2,FALSE)</f>
        <v>45170</v>
      </c>
      <c r="AY2" s="59">
        <f>VLOOKUP(VLOOKUP(+$A$1,ran_ma,2,FALSE)-2,ran_idma,2,FALSE)</f>
        <v>45200</v>
      </c>
      <c r="AZ2" s="59">
        <f>VLOOKUP(VLOOKUP(+$A$1,ran_ma,2,FALSE)-1,ran_idma,2,FALSE)</f>
        <v>45231</v>
      </c>
      <c r="BA2" s="59">
        <f>+$A$1</f>
        <v>45261</v>
      </c>
      <c r="BB2" s="5"/>
      <c r="BC2" s="170"/>
      <c r="BE2" s="9" t="s">
        <v>272</v>
      </c>
      <c r="BG2">
        <f>+VLOOKUP(BG1,ran_dat,datos!$D$1,FALSE)</f>
        <v>105</v>
      </c>
      <c r="BH2">
        <f>+BG2-1</f>
        <v>104</v>
      </c>
      <c r="BI2">
        <f>+BG2-12</f>
        <v>93</v>
      </c>
      <c r="BK2" s="9"/>
      <c r="BL2">
        <f>+VLOOKUP(BL1,ran_dat,datos!$D$1,FALSE)</f>
        <v>105</v>
      </c>
      <c r="BM2">
        <f>+BL2-1</f>
        <v>104</v>
      </c>
      <c r="BN2">
        <f>+BL2-12</f>
        <v>93</v>
      </c>
      <c r="BP2" s="9"/>
      <c r="BQ2">
        <f>+VLOOKUP(BQ1,ran_dat,datos!$D$1,FALSE)</f>
        <v>105</v>
      </c>
      <c r="BR2">
        <f>+BQ2-12</f>
        <v>93</v>
      </c>
      <c r="BT2" s="9"/>
      <c r="BU2">
        <f>+VLOOKUP(BU1,ran_dat,datos!$D$1,FALSE)</f>
        <v>105</v>
      </c>
      <c r="BV2">
        <f>+BU2-12</f>
        <v>93</v>
      </c>
      <c r="BX2" s="9"/>
      <c r="CB2" s="9"/>
      <c r="CI2">
        <f>+VLOOKUP(CI1,ran_dat,datos!$D$1,FALSE)</f>
        <v>105</v>
      </c>
      <c r="CJ2">
        <f>+CI2</f>
        <v>105</v>
      </c>
      <c r="CK2">
        <f t="shared" ref="CK2:DG2" si="1">+CJ2-1</f>
        <v>104</v>
      </c>
      <c r="CL2">
        <f t="shared" si="1"/>
        <v>103</v>
      </c>
      <c r="CM2">
        <f t="shared" si="1"/>
        <v>102</v>
      </c>
      <c r="CN2">
        <f t="shared" si="1"/>
        <v>101</v>
      </c>
      <c r="CO2">
        <f t="shared" si="1"/>
        <v>100</v>
      </c>
      <c r="CP2">
        <f t="shared" si="1"/>
        <v>99</v>
      </c>
      <c r="CQ2">
        <f t="shared" si="1"/>
        <v>98</v>
      </c>
      <c r="CR2">
        <f t="shared" si="1"/>
        <v>97</v>
      </c>
      <c r="CS2">
        <f t="shared" si="1"/>
        <v>96</v>
      </c>
      <c r="CT2">
        <f t="shared" si="1"/>
        <v>95</v>
      </c>
      <c r="CU2">
        <f t="shared" si="1"/>
        <v>94</v>
      </c>
      <c r="CV2">
        <f t="shared" si="1"/>
        <v>93</v>
      </c>
      <c r="CW2">
        <f t="shared" si="1"/>
        <v>92</v>
      </c>
      <c r="CX2">
        <f t="shared" si="1"/>
        <v>91</v>
      </c>
      <c r="CY2">
        <f t="shared" si="1"/>
        <v>90</v>
      </c>
      <c r="CZ2">
        <f t="shared" si="1"/>
        <v>89</v>
      </c>
      <c r="DA2">
        <f t="shared" si="1"/>
        <v>88</v>
      </c>
      <c r="DB2">
        <f t="shared" si="1"/>
        <v>87</v>
      </c>
      <c r="DC2">
        <f t="shared" si="1"/>
        <v>86</v>
      </c>
      <c r="DD2">
        <f t="shared" si="1"/>
        <v>85</v>
      </c>
      <c r="DE2">
        <f t="shared" si="1"/>
        <v>84</v>
      </c>
      <c r="DF2">
        <f t="shared" si="1"/>
        <v>83</v>
      </c>
      <c r="DG2">
        <f t="shared" si="1"/>
        <v>82</v>
      </c>
      <c r="DI2">
        <f>+VLOOKUP(DI1,ran_dat,datos!$D$1,FALSE)</f>
        <v>105</v>
      </c>
      <c r="DJ2">
        <f t="shared" ref="DJ2:EF2" si="2">+DI2-1</f>
        <v>104</v>
      </c>
      <c r="DK2">
        <f t="shared" si="2"/>
        <v>103</v>
      </c>
      <c r="DL2">
        <f t="shared" si="2"/>
        <v>102</v>
      </c>
      <c r="DM2">
        <f t="shared" si="2"/>
        <v>101</v>
      </c>
      <c r="DN2">
        <f t="shared" si="2"/>
        <v>100</v>
      </c>
      <c r="DO2">
        <f t="shared" si="2"/>
        <v>99</v>
      </c>
      <c r="DP2">
        <f t="shared" si="2"/>
        <v>98</v>
      </c>
      <c r="DQ2">
        <f t="shared" si="2"/>
        <v>97</v>
      </c>
      <c r="DR2">
        <f t="shared" si="2"/>
        <v>96</v>
      </c>
      <c r="DS2">
        <f t="shared" si="2"/>
        <v>95</v>
      </c>
      <c r="DT2">
        <f t="shared" si="2"/>
        <v>94</v>
      </c>
      <c r="DU2">
        <f t="shared" si="2"/>
        <v>93</v>
      </c>
      <c r="DV2">
        <f t="shared" si="2"/>
        <v>92</v>
      </c>
      <c r="DW2">
        <f t="shared" si="2"/>
        <v>91</v>
      </c>
      <c r="DX2">
        <f t="shared" si="2"/>
        <v>90</v>
      </c>
      <c r="DY2">
        <f t="shared" si="2"/>
        <v>89</v>
      </c>
      <c r="DZ2">
        <f t="shared" si="2"/>
        <v>88</v>
      </c>
      <c r="EA2">
        <f t="shared" si="2"/>
        <v>87</v>
      </c>
      <c r="EB2">
        <f t="shared" si="2"/>
        <v>86</v>
      </c>
      <c r="EC2">
        <f t="shared" si="2"/>
        <v>85</v>
      </c>
      <c r="ED2">
        <f t="shared" si="2"/>
        <v>84</v>
      </c>
      <c r="EE2">
        <f t="shared" si="2"/>
        <v>83</v>
      </c>
      <c r="EF2">
        <f t="shared" si="2"/>
        <v>82</v>
      </c>
      <c r="EH2" s="14">
        <f>+VLOOKUP(EH1,ran_dat,datos!$D$1,FALSE)</f>
        <v>105</v>
      </c>
      <c r="EI2" s="14">
        <f t="shared" ref="EI2:FE2" si="3">+EH2-1</f>
        <v>104</v>
      </c>
      <c r="EJ2">
        <f t="shared" si="3"/>
        <v>103</v>
      </c>
      <c r="EK2">
        <f t="shared" si="3"/>
        <v>102</v>
      </c>
      <c r="EL2">
        <f t="shared" si="3"/>
        <v>101</v>
      </c>
      <c r="EM2">
        <f t="shared" si="3"/>
        <v>100</v>
      </c>
      <c r="EN2">
        <f t="shared" si="3"/>
        <v>99</v>
      </c>
      <c r="EO2">
        <f t="shared" si="3"/>
        <v>98</v>
      </c>
      <c r="EP2">
        <f t="shared" si="3"/>
        <v>97</v>
      </c>
      <c r="EQ2">
        <f t="shared" si="3"/>
        <v>96</v>
      </c>
      <c r="ER2">
        <f t="shared" si="3"/>
        <v>95</v>
      </c>
      <c r="ES2">
        <f t="shared" si="3"/>
        <v>94</v>
      </c>
      <c r="ET2">
        <f t="shared" si="3"/>
        <v>93</v>
      </c>
      <c r="EU2">
        <f t="shared" si="3"/>
        <v>92</v>
      </c>
      <c r="EV2">
        <f t="shared" si="3"/>
        <v>91</v>
      </c>
      <c r="EW2">
        <f t="shared" si="3"/>
        <v>90</v>
      </c>
      <c r="EX2">
        <f t="shared" si="3"/>
        <v>89</v>
      </c>
      <c r="EY2">
        <f t="shared" si="3"/>
        <v>88</v>
      </c>
      <c r="EZ2">
        <f t="shared" si="3"/>
        <v>87</v>
      </c>
      <c r="FA2">
        <f t="shared" si="3"/>
        <v>86</v>
      </c>
      <c r="FB2">
        <f t="shared" si="3"/>
        <v>85</v>
      </c>
      <c r="FC2">
        <f t="shared" si="3"/>
        <v>84</v>
      </c>
      <c r="FD2">
        <f t="shared" si="3"/>
        <v>83</v>
      </c>
      <c r="FE2">
        <f t="shared" si="3"/>
        <v>82</v>
      </c>
    </row>
    <row r="3" spans="1:163" ht="12" customHeight="1">
      <c r="A3" s="220"/>
      <c r="C3" s="155"/>
      <c r="D3" s="196">
        <v>0.33</v>
      </c>
      <c r="E3" s="100">
        <f>IFERROR(+BG5/BH5-1,"")</f>
        <v>0.25465674984236841</v>
      </c>
      <c r="F3" s="56"/>
      <c r="G3" s="56"/>
      <c r="H3" s="56"/>
      <c r="I3" s="60">
        <f>IFERROR(+BG5/BI5-1,"")</f>
        <v>2.1140421293848055</v>
      </c>
      <c r="J3" s="56"/>
      <c r="K3" s="56"/>
      <c r="L3" s="56"/>
      <c r="M3" s="32"/>
      <c r="N3" s="196">
        <v>0.33</v>
      </c>
      <c r="O3" s="31"/>
      <c r="S3" s="32"/>
      <c r="T3" s="196">
        <v>0.33</v>
      </c>
      <c r="U3" s="150" t="str">
        <f>TEXT(CU1,"MMM-YY")&amp;"."&amp;TEXT(CJ1,"MMM-YY")&amp;" vs "&amp;TEXT(DG1,"MMM-YY")&amp;"."&amp;TEXT(CV1,"MMM-YY")</f>
        <v>ene-23.dic-23 vs ene-22.dic-22</v>
      </c>
      <c r="Y3" s="59" t="str">
        <f>TEXT(CJ1,"MMM-YY")&amp;" vs "&amp;TEXT(CV1,"MMM-YY")</f>
        <v>dic-23 vs dic-22</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3.5" customHeight="1">
      <c r="A4" s="221" t="s">
        <v>1</v>
      </c>
      <c r="B4" s="155" t="s">
        <v>454</v>
      </c>
      <c r="C4" s="201"/>
      <c r="D4" s="197" t="s">
        <v>244</v>
      </c>
      <c r="E4" s="202" t="s">
        <v>3</v>
      </c>
      <c r="F4" s="203"/>
      <c r="G4" s="202" t="s">
        <v>5</v>
      </c>
      <c r="H4" s="203"/>
      <c r="I4" s="202" t="s">
        <v>3</v>
      </c>
      <c r="J4" s="203"/>
      <c r="K4" s="202" t="s">
        <v>5</v>
      </c>
      <c r="L4" s="203"/>
      <c r="M4" s="19"/>
      <c r="N4" s="197" t="s">
        <v>245</v>
      </c>
      <c r="O4" s="204" t="s">
        <v>225</v>
      </c>
      <c r="P4" s="205"/>
      <c r="Q4" s="204" t="s">
        <v>2</v>
      </c>
      <c r="R4" s="54"/>
      <c r="S4" s="19"/>
      <c r="T4" s="197" t="s">
        <v>246</v>
      </c>
      <c r="U4" s="204" t="s">
        <v>237</v>
      </c>
      <c r="V4" s="54"/>
      <c r="W4" s="204" t="s">
        <v>238</v>
      </c>
      <c r="X4" s="54"/>
      <c r="Y4" s="204" t="s">
        <v>9</v>
      </c>
      <c r="Z4" s="54"/>
      <c r="AA4" s="19"/>
      <c r="AB4" s="210" t="s">
        <v>290</v>
      </c>
      <c r="AC4" s="204" t="s">
        <v>292</v>
      </c>
      <c r="AD4" s="54"/>
      <c r="AE4" s="54"/>
      <c r="AF4" s="54"/>
      <c r="AG4" s="54"/>
      <c r="AH4" s="54"/>
      <c r="AI4" s="54"/>
      <c r="AJ4" s="54"/>
      <c r="AK4" s="54"/>
      <c r="AL4" s="204"/>
      <c r="AM4" s="204"/>
      <c r="AN4" s="206" t="s">
        <v>291</v>
      </c>
      <c r="AO4" s="207"/>
      <c r="AP4" s="207"/>
      <c r="AQ4" s="207"/>
      <c r="AR4" s="207"/>
      <c r="AS4" s="207"/>
      <c r="AT4" s="19"/>
      <c r="AU4" s="19"/>
      <c r="AV4" s="19"/>
      <c r="AW4" s="19"/>
      <c r="AX4" s="19"/>
      <c r="AY4" s="19"/>
      <c r="AZ4" s="19"/>
      <c r="BA4" s="19"/>
      <c r="BB4" s="19"/>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6" customHeight="1">
      <c r="E5" s="18"/>
      <c r="N5" s="197"/>
      <c r="O5" s="34"/>
      <c r="P5" s="103"/>
      <c r="Q5" s="34"/>
      <c r="R5" s="34"/>
      <c r="T5" s="197"/>
      <c r="U5" s="25"/>
      <c r="V5" s="34"/>
      <c r="W5" s="34"/>
      <c r="X5" s="34"/>
      <c r="Y5" s="34"/>
      <c r="Z5" s="34"/>
      <c r="AB5" s="211"/>
      <c r="BD5">
        <f>+A3</f>
        <v>0</v>
      </c>
      <c r="BE5">
        <f>+datos!G1</f>
        <v>7</v>
      </c>
      <c r="BF5" s="2" t="str">
        <f t="shared" ref="BF5:BI24" si="4">+VLOOKUP(BF$1,ran_dat,$BE5,FALSE)</f>
        <v>Índice</v>
      </c>
      <c r="BG5" s="2">
        <f t="shared" si="4"/>
        <v>3533.1922</v>
      </c>
      <c r="BH5" s="2">
        <f t="shared" si="4"/>
        <v>2816.0628000000002</v>
      </c>
      <c r="BI5" s="2">
        <f t="shared" si="4"/>
        <v>1134.5999999999999</v>
      </c>
    </row>
    <row r="6" spans="1:163" ht="30" customHeight="1">
      <c r="A6" s="222" t="s">
        <v>28</v>
      </c>
      <c r="B6" s="212"/>
      <c r="C6" s="156">
        <f t="shared" ref="C6:C24" si="5">+D6*$D$3+N6*$N$3+T6*$T$3</f>
        <v>-0.33</v>
      </c>
      <c r="D6" s="198">
        <v>1</v>
      </c>
      <c r="E6" s="213">
        <f t="shared" ref="E6:E24" si="6">IFERROR(+BG6/BH6-1,"")</f>
        <v>0.85935785138442333</v>
      </c>
      <c r="F6" s="214">
        <f t="shared" ref="F6:F24" si="7">+E6-$E$3</f>
        <v>0.60470110154205492</v>
      </c>
      <c r="G6" s="213">
        <f t="shared" ref="G6:G24" si="8">IFERROR(+BL6/BM6-1,"")</f>
        <v>0.87004458416711872</v>
      </c>
      <c r="H6" s="214">
        <f t="shared" ref="H6:H24" si="9">E6-G6</f>
        <v>-1.0686732782695385E-2</v>
      </c>
      <c r="I6" s="213">
        <f t="shared" ref="I6:I24" si="10">IFERROR(+BG6/BI6-1,"")</f>
        <v>3.1370805928226861</v>
      </c>
      <c r="J6" s="214">
        <f t="shared" ref="J6:J26" si="11">+I6-$I$3</f>
        <v>1.0230384634378806</v>
      </c>
      <c r="K6" s="213">
        <f>IFERROR(+BL6/BN6-1,"")</f>
        <v>2.7566333191529755</v>
      </c>
      <c r="L6" s="214">
        <f t="shared" ref="L6:L24" si="12">I6-K6</f>
        <v>0.38044727366971065</v>
      </c>
      <c r="M6" s="215"/>
      <c r="N6" s="198">
        <v>-1</v>
      </c>
      <c r="O6" s="213">
        <f>IFERROR(+BQ6/BR6-1,"")</f>
        <v>0.1206896551724137</v>
      </c>
      <c r="P6" s="216">
        <f>+O6</f>
        <v>0.1206896551724137</v>
      </c>
      <c r="Q6" s="213">
        <f t="shared" ref="Q6:Q17" si="13">IFERROR(+BU6/BV6-1,"")</f>
        <v>-0.18181818181818177</v>
      </c>
      <c r="R6" s="217">
        <f>+Q6</f>
        <v>-0.18181818181818177</v>
      </c>
      <c r="S6" s="215"/>
      <c r="T6" s="198">
        <v>-1</v>
      </c>
      <c r="U6" s="213">
        <f t="shared" ref="U6:U24" si="14">IFERROR(+BY6/BZ6-1,"")</f>
        <v>-0.64244185348584759</v>
      </c>
      <c r="V6" s="45">
        <f t="shared" ref="V6:V24" si="15">+U6</f>
        <v>-0.64244185348584759</v>
      </c>
      <c r="W6" s="213">
        <f>IFERROR(IF(CC6&lt;0.5,"",+CC6/CD6-1),"")</f>
        <v>-0.24474773946288486</v>
      </c>
      <c r="X6" s="45">
        <f t="shared" ref="X6:X24" si="16">+W6</f>
        <v>-0.24474773946288486</v>
      </c>
      <c r="Y6" s="213" t="str">
        <f t="shared" ref="Y6:Y25" si="17">IFERROR(+CG6/CH6-1,"")</f>
        <v/>
      </c>
      <c r="Z6" s="45" t="str">
        <f t="shared" ref="Z6:Z24" si="18">+Y6</f>
        <v/>
      </c>
      <c r="AA6" s="30"/>
      <c r="AB6" s="225" t="s">
        <v>437</v>
      </c>
      <c r="AC6" s="61" t="s">
        <v>289</v>
      </c>
      <c r="AD6" s="61" t="s">
        <v>289</v>
      </c>
      <c r="AE6" s="61" t="s">
        <v>289</v>
      </c>
      <c r="AF6" s="61" t="s">
        <v>289</v>
      </c>
      <c r="AG6" s="61" t="s">
        <v>289</v>
      </c>
      <c r="AH6" s="61" t="s">
        <v>289</v>
      </c>
      <c r="AI6" s="61" t="s">
        <v>289</v>
      </c>
      <c r="AJ6" s="61" t="s">
        <v>289</v>
      </c>
      <c r="AK6" s="61" t="s">
        <v>289</v>
      </c>
      <c r="AL6" s="61" t="s">
        <v>289</v>
      </c>
      <c r="AM6" s="61" t="s">
        <v>289</v>
      </c>
      <c r="AN6" s="61" t="s">
        <v>289</v>
      </c>
      <c r="AP6" s="28">
        <f>VLOOKUP($A6,historia!$A$5:$CM$24,+HLOOKUP(AP$2,historia!$A$3:$EC$4,2,FALSE),FALSE)</f>
        <v>4</v>
      </c>
      <c r="AQ6" s="28">
        <f>VLOOKUP($A6,historia!$A$5:$CM$24,+HLOOKUP(AQ$2,historia!$A$3:$EC$4,2,FALSE),FALSE)</f>
        <v>5</v>
      </c>
      <c r="AR6" s="28">
        <f>VLOOKUP($A6,historia!$A$5:$CM$24,+HLOOKUP(AR$2,historia!$A$3:$EC$4,2,FALSE),FALSE)</f>
        <v>4</v>
      </c>
      <c r="AS6" s="28">
        <f>VLOOKUP($A6,historia!$A$5:$CM$24,+HLOOKUP(AS$2,historia!$A$3:$EC$4,2,FALSE),FALSE)</f>
        <v>4</v>
      </c>
      <c r="AT6" s="58">
        <f>VLOOKUP($A6,historia!$A$5:$CM$24,+HLOOKUP(AT$2,historia!$A$3:$EC$4,2,FALSE),FALSE)</f>
        <v>5</v>
      </c>
      <c r="AU6" s="58">
        <f>VLOOKUP($A6,historia!$A$5:$CM$24,+HLOOKUP(AU$2,historia!$A$3:$EC$4,2,FALSE),FALSE)</f>
        <v>5</v>
      </c>
      <c r="AV6" s="58">
        <f>VLOOKUP($A6,historia!$A$5:$CM$24,+HLOOKUP(AV$2,historia!$A$3:$EC$4,2,FALSE),FALSE)</f>
        <v>5</v>
      </c>
      <c r="AW6" s="58">
        <f>VLOOKUP($A6,historia!$A$5:$CM$24,+HLOOKUP(AW$2,historia!$A$3:$EC$4,2,FALSE),FALSE)</f>
        <v>5</v>
      </c>
      <c r="AX6" s="58">
        <f>VLOOKUP($A6,historia!$A$5:$CM$24,+HLOOKUP(AX$2,historia!$A$3:$EC$4,2,FALSE),FALSE)</f>
        <v>5</v>
      </c>
      <c r="AY6" s="58">
        <f>VLOOKUP($A6,historia!$A$5:$CM$24,+HLOOKUP(AY$2,historia!$A$3:$EC$4,2,FALSE),FALSE)</f>
        <v>5</v>
      </c>
      <c r="AZ6" s="58">
        <f>VLOOKUP($A6,historia!$A$5:$CM$24,+HLOOKUP(AZ$2,historia!$A$3:$EC$4,2,FALSE),FALSE)</f>
        <v>5</v>
      </c>
      <c r="BA6" s="58">
        <f>VLOOKUP($A6,historia!$A$5:$CM$24,+HLOOKUP(BA$2,historia!$A$3:$EC$4,2,FALSE),FALSE)</f>
        <v>4</v>
      </c>
      <c r="BB6" s="30"/>
      <c r="BC6" s="141">
        <v>4</v>
      </c>
      <c r="BD6" t="str">
        <f t="shared" ref="BD6:BD24" si="19">+A6</f>
        <v>Algodón</v>
      </c>
      <c r="BE6">
        <f>+datos!P1</f>
        <v>16</v>
      </c>
      <c r="BF6" s="2" t="str">
        <f t="shared" si="4"/>
        <v>$/kg</v>
      </c>
      <c r="BG6" s="2">
        <f t="shared" si="4"/>
        <v>1603.0794791666667</v>
      </c>
      <c r="BH6" s="2">
        <f t="shared" si="4"/>
        <v>862.16834374999985</v>
      </c>
      <c r="BI6" s="2">
        <f t="shared" si="4"/>
        <v>387.49051250000002</v>
      </c>
      <c r="BK6">
        <f>+datos!BY1</f>
        <v>77</v>
      </c>
      <c r="BL6" s="2">
        <f t="shared" ref="BL6:BN24" si="20">+VLOOKUP(BL$1,ran_dat,$BK6,FALSE)</f>
        <v>8543.9622857337545</v>
      </c>
      <c r="BM6" s="2">
        <f t="shared" si="20"/>
        <v>4568.8548594359145</v>
      </c>
      <c r="BN6" s="2">
        <f t="shared" si="20"/>
        <v>2274.366849213859</v>
      </c>
      <c r="BP6" s="1">
        <f>+datos!DK1</f>
        <v>115</v>
      </c>
      <c r="BQ6" s="1">
        <f t="shared" ref="BQ6:BR24" si="21">+VLOOKUP(BQ$1,ran_dat,$BP6,FALSE)</f>
        <v>650000</v>
      </c>
      <c r="BR6" s="1">
        <f t="shared" si="21"/>
        <v>580000</v>
      </c>
      <c r="BT6" s="1">
        <f>+datos!FF1</f>
        <v>162</v>
      </c>
      <c r="BU6" s="1">
        <f t="shared" ref="BU6:BV24" si="22">+VLOOKUP(BU$1,ran_dat,$BT6,FALSE)</f>
        <v>900000</v>
      </c>
      <c r="BV6" s="1">
        <f t="shared" si="22"/>
        <v>1100000</v>
      </c>
      <c r="BX6" s="1">
        <f>+datos!JF1</f>
        <v>266</v>
      </c>
      <c r="BY6" s="1">
        <f>+SUM(CJ6:CU6)</f>
        <v>85.038270679999982</v>
      </c>
      <c r="BZ6" s="1">
        <f>+SUM(CV6:DG6)</f>
        <v>237.83060604000002</v>
      </c>
      <c r="CB6" s="1">
        <f>+datos!KK1</f>
        <v>297</v>
      </c>
      <c r="CC6" s="2">
        <f t="shared" ref="CC6:CC24" si="23">+SUM(DI6:DT6)</f>
        <v>92.713095729999992</v>
      </c>
      <c r="CD6" s="2">
        <f t="shared" ref="CD6:CD24" si="24">+SUM(DU6:EF6)</f>
        <v>122.75778647</v>
      </c>
      <c r="CF6" s="1">
        <f>+datos!HS1</f>
        <v>227</v>
      </c>
      <c r="CG6" s="1">
        <f t="shared" ref="CG6:CG24" si="25">+EH6</f>
        <v>0</v>
      </c>
      <c r="CH6" s="1">
        <f t="shared" ref="CH6:CH24" si="26">+ET6</f>
        <v>0</v>
      </c>
      <c r="CJ6" s="1">
        <f t="shared" ref="CJ6:CY21" si="27">+VLOOKUP(CJ$1,ran_dat,$BX6,FALSE)</f>
        <v>8.4463773399999997</v>
      </c>
      <c r="CK6" s="1">
        <f t="shared" si="27"/>
        <v>15.019774559999998</v>
      </c>
      <c r="CL6" s="1">
        <f t="shared" si="27"/>
        <v>14.398572559999998</v>
      </c>
      <c r="CM6" s="1">
        <f t="shared" si="27"/>
        <v>16.61514231</v>
      </c>
      <c r="CN6" s="1">
        <f t="shared" si="27"/>
        <v>14.3155891</v>
      </c>
      <c r="CO6" s="1">
        <f t="shared" si="27"/>
        <v>3.12980459</v>
      </c>
      <c r="CP6" s="1">
        <f t="shared" si="27"/>
        <v>2.3595063199999995</v>
      </c>
      <c r="CQ6" s="1">
        <f t="shared" si="27"/>
        <v>5.3927380000000005</v>
      </c>
      <c r="CR6" s="1">
        <f t="shared" si="27"/>
        <v>1.1182586999999999</v>
      </c>
      <c r="CS6" s="1">
        <f t="shared" si="27"/>
        <v>0.81365803999999953</v>
      </c>
      <c r="CT6" s="1">
        <f t="shared" si="27"/>
        <v>2.2053805500000006</v>
      </c>
      <c r="CU6" s="1">
        <f t="shared" si="27"/>
        <v>1.2234686099999996</v>
      </c>
      <c r="CV6" s="1">
        <f t="shared" si="27"/>
        <v>13.370618389999997</v>
      </c>
      <c r="CW6" s="1">
        <f t="shared" si="27"/>
        <v>14.835861399999999</v>
      </c>
      <c r="CX6" s="1">
        <f t="shared" si="27"/>
        <v>16.749589410000009</v>
      </c>
      <c r="CY6" s="1">
        <f t="shared" si="27"/>
        <v>23.97822360000001</v>
      </c>
      <c r="CZ6" s="1">
        <f t="shared" ref="CZ6:DG21" si="28">+VLOOKUP(CZ$1,ran_dat,$BX6,FALSE)</f>
        <v>23.329000269999998</v>
      </c>
      <c r="DA6" s="1">
        <f t="shared" si="28"/>
        <v>25.470338789999996</v>
      </c>
      <c r="DB6" s="1">
        <f t="shared" si="28"/>
        <v>16.607050090000005</v>
      </c>
      <c r="DC6" s="1">
        <f t="shared" si="28"/>
        <v>15.95050312</v>
      </c>
      <c r="DD6" s="1">
        <f t="shared" si="28"/>
        <v>11.570507999999998</v>
      </c>
      <c r="DE6" s="1">
        <f t="shared" si="28"/>
        <v>21.366391749999998</v>
      </c>
      <c r="DF6" s="1">
        <f t="shared" si="28"/>
        <v>24.995459990000008</v>
      </c>
      <c r="DG6" s="1">
        <f t="shared" si="28"/>
        <v>29.607061230000014</v>
      </c>
      <c r="DI6" s="1">
        <f t="shared" ref="DI6:DX21" si="29">+VLOOKUP(DI$1,ran_dat,$CB6,FALSE)</f>
        <v>3.5587731599999999</v>
      </c>
      <c r="DJ6" s="1">
        <f t="shared" si="29"/>
        <v>6.9479693099999986</v>
      </c>
      <c r="DK6" s="1">
        <f t="shared" si="29"/>
        <v>7.5746309199999997</v>
      </c>
      <c r="DL6" s="1">
        <f t="shared" si="29"/>
        <v>8.1137987799999998</v>
      </c>
      <c r="DM6" s="1">
        <f t="shared" si="29"/>
        <v>9.2876289100000005</v>
      </c>
      <c r="DN6" s="1">
        <f t="shared" si="29"/>
        <v>7.69051375</v>
      </c>
      <c r="DO6" s="1">
        <f t="shared" si="29"/>
        <v>7.1486482300000009</v>
      </c>
      <c r="DP6" s="1">
        <f t="shared" si="29"/>
        <v>9.1724036200000008</v>
      </c>
      <c r="DQ6" s="1">
        <f t="shared" si="29"/>
        <v>6.8489806600000005</v>
      </c>
      <c r="DR6" s="1">
        <f t="shared" si="29"/>
        <v>8.39418884</v>
      </c>
      <c r="DS6" s="1">
        <f t="shared" si="29"/>
        <v>8.0897496800000006</v>
      </c>
      <c r="DT6" s="1">
        <f t="shared" si="29"/>
        <v>9.8858098699999992</v>
      </c>
      <c r="DU6" s="1">
        <f t="shared" si="29"/>
        <v>11.833805730000002</v>
      </c>
      <c r="DV6" s="1">
        <f t="shared" si="29"/>
        <v>13.016290730000001</v>
      </c>
      <c r="DW6" s="1">
        <f t="shared" si="29"/>
        <v>10.901897520000004</v>
      </c>
      <c r="DX6" s="1">
        <f t="shared" si="29"/>
        <v>10.864187659999995</v>
      </c>
      <c r="DY6" s="1">
        <f t="shared" ref="DY6:EF20" si="30">+VLOOKUP(DY$1,ran_dat,$CB6,FALSE)</f>
        <v>11.783992419999999</v>
      </c>
      <c r="DZ6" s="1">
        <f t="shared" si="30"/>
        <v>1.0941888799999999</v>
      </c>
      <c r="EA6" s="1">
        <f t="shared" si="30"/>
        <v>10.549588929999999</v>
      </c>
      <c r="EB6" s="1">
        <f t="shared" si="30"/>
        <v>10.17732034</v>
      </c>
      <c r="EC6" s="1">
        <f t="shared" si="30"/>
        <v>11.903523750000003</v>
      </c>
      <c r="ED6" s="1">
        <f t="shared" si="30"/>
        <v>14.274599060000003</v>
      </c>
      <c r="EE6" s="1">
        <f t="shared" si="30"/>
        <v>8.9263620900000014</v>
      </c>
      <c r="EF6" s="1">
        <f t="shared" si="30"/>
        <v>7.4320293600000014</v>
      </c>
      <c r="EH6" s="14">
        <f t="shared" ref="EH6:EW21" si="31">+VLOOKUP(EH$1,ran_dat,$CF6,FALSE)</f>
        <v>0</v>
      </c>
      <c r="EI6" s="14">
        <f t="shared" si="31"/>
        <v>0</v>
      </c>
      <c r="EJ6" s="1">
        <f t="shared" si="31"/>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ref="EX6:FE20" si="32">+VLOOKUP(EX$1,ran_dat,$CF6,FALSE)</f>
        <v>0</v>
      </c>
      <c r="EY6" s="1">
        <f t="shared" si="32"/>
        <v>0</v>
      </c>
      <c r="EZ6" s="1">
        <f t="shared" si="32"/>
        <v>0</v>
      </c>
      <c r="FA6" s="1">
        <f t="shared" si="32"/>
        <v>0</v>
      </c>
      <c r="FB6" s="1">
        <f t="shared" si="32"/>
        <v>0</v>
      </c>
      <c r="FC6" s="1">
        <f t="shared" si="32"/>
        <v>0</v>
      </c>
      <c r="FD6" s="1">
        <f t="shared" si="32"/>
        <v>0</v>
      </c>
      <c r="FE6" s="1">
        <f t="shared" si="32"/>
        <v>0</v>
      </c>
      <c r="FG6" s="162">
        <f t="shared" ref="FG6:FG24" si="33">+I6-K6</f>
        <v>0.38044727366971065</v>
      </c>
    </row>
    <row r="7" spans="1:163" ht="30" customHeight="1">
      <c r="A7" s="226" t="s">
        <v>13</v>
      </c>
      <c r="B7" s="227"/>
      <c r="C7" s="228">
        <f t="shared" si="5"/>
        <v>0</v>
      </c>
      <c r="D7" s="229">
        <v>1</v>
      </c>
      <c r="E7" s="230">
        <f t="shared" si="6"/>
        <v>0.28571428571428581</v>
      </c>
      <c r="F7" s="231">
        <f t="shared" si="7"/>
        <v>3.1057535871917397E-2</v>
      </c>
      <c r="G7" s="230">
        <f t="shared" si="8"/>
        <v>0.88045857817169293</v>
      </c>
      <c r="H7" s="231">
        <f t="shared" si="9"/>
        <v>-0.59474429245740712</v>
      </c>
      <c r="I7" s="230">
        <f t="shared" si="10"/>
        <v>7.1818181818181817</v>
      </c>
      <c r="J7" s="231">
        <f t="shared" si="11"/>
        <v>5.0677760524333761</v>
      </c>
      <c r="K7" s="230">
        <f t="shared" ref="K7:K24" si="34">IFERROR(+BL7/BN7-1,"")</f>
        <v>2.7023923582548215</v>
      </c>
      <c r="L7" s="231">
        <f t="shared" si="12"/>
        <v>4.4794258235633606</v>
      </c>
      <c r="M7" s="232"/>
      <c r="N7" s="229">
        <v>0</v>
      </c>
      <c r="O7" s="230">
        <f t="shared" ref="O7:O24" si="35">IFERROR(+BQ7/BR7-1,"")</f>
        <v>0</v>
      </c>
      <c r="P7" s="233">
        <f t="shared" ref="P7:P24" si="36">+O7</f>
        <v>0</v>
      </c>
      <c r="Q7" s="230">
        <f t="shared" si="13"/>
        <v>0</v>
      </c>
      <c r="R7" s="234">
        <f t="shared" ref="R7:R24" si="37">+Q7</f>
        <v>0</v>
      </c>
      <c r="S7" s="232"/>
      <c r="T7" s="229">
        <v>-1</v>
      </c>
      <c r="U7" s="230">
        <f t="shared" si="14"/>
        <v>-6.7359303364017631E-2</v>
      </c>
      <c r="V7" s="235">
        <f t="shared" si="15"/>
        <v>-6.7359303364017631E-2</v>
      </c>
      <c r="W7" s="230">
        <f t="shared" ref="W7:W24" si="38">IFERROR(IF(CC7&lt;0.5,"",+CC7/CD7-1),"")</f>
        <v>-0.28822085932424157</v>
      </c>
      <c r="X7" s="235">
        <f t="shared" si="16"/>
        <v>-0.28822085932424157</v>
      </c>
      <c r="Y7" s="230">
        <f t="shared" si="17"/>
        <v>7.6923076923076872E-2</v>
      </c>
      <c r="Z7" s="235">
        <f t="shared" si="18"/>
        <v>7.6923076923076872E-2</v>
      </c>
      <c r="AA7" s="236"/>
      <c r="AB7" s="237" t="s">
        <v>438</v>
      </c>
      <c r="AC7" s="61" t="s">
        <v>289</v>
      </c>
      <c r="AD7" s="61" t="s">
        <v>289</v>
      </c>
      <c r="AE7" s="61" t="s">
        <v>289</v>
      </c>
      <c r="AF7" s="61" t="s">
        <v>289</v>
      </c>
      <c r="AG7" s="61" t="s">
        <v>289</v>
      </c>
      <c r="AH7" s="61" t="s">
        <v>289</v>
      </c>
      <c r="AI7" s="61" t="s">
        <v>289</v>
      </c>
      <c r="AJ7" s="61" t="s">
        <v>289</v>
      </c>
      <c r="AK7" s="61" t="s">
        <v>289</v>
      </c>
      <c r="AL7" s="61" t="s">
        <v>289</v>
      </c>
      <c r="AM7" s="61" t="s">
        <v>289</v>
      </c>
      <c r="AN7" s="61" t="s">
        <v>289</v>
      </c>
      <c r="AP7" s="28">
        <f>VLOOKUP($A7,historia!$A$5:$CM$24,+HLOOKUP(AP$2,historia!$A$3:$EC$4,2,FALSE),FALSE)</f>
        <v>4</v>
      </c>
      <c r="AQ7" s="28">
        <f>VLOOKUP($A7,historia!$A$5:$CM$24,+HLOOKUP(AQ$2,historia!$A$3:$EC$4,2,FALSE),FALSE)</f>
        <v>4</v>
      </c>
      <c r="AR7" s="28">
        <f>VLOOKUP($A7,historia!$A$5:$CM$24,+HLOOKUP(AR$2,historia!$A$3:$EC$4,2,FALSE),FALSE)</f>
        <v>3</v>
      </c>
      <c r="AS7" s="28">
        <f>VLOOKUP($A7,historia!$A$5:$CM$24,+HLOOKUP(AS$2,historia!$A$3:$EC$4,2,FALSE),FALSE)</f>
        <v>3</v>
      </c>
      <c r="AT7" s="58">
        <f>VLOOKUP($A7,historia!$A$5:$CM$24,+HLOOKUP(AT$2,historia!$A$3:$EC$4,2,FALSE),FALSE)</f>
        <v>3</v>
      </c>
      <c r="AU7" s="58">
        <f>VLOOKUP($A7,historia!$A$5:$CM$24,+HLOOKUP(AU$2,historia!$A$3:$EC$4,2,FALSE),FALSE)</f>
        <v>3</v>
      </c>
      <c r="AV7" s="58">
        <f>VLOOKUP($A7,historia!$A$5:$CM$24,+HLOOKUP(AV$2,historia!$A$3:$EC$4,2,FALSE),FALSE)</f>
        <v>3</v>
      </c>
      <c r="AW7" s="58">
        <f>VLOOKUP($A7,historia!$A$5:$CM$24,+HLOOKUP(AW$2,historia!$A$3:$EC$4,2,FALSE),FALSE)</f>
        <v>3</v>
      </c>
      <c r="AX7" s="58">
        <f>VLOOKUP($A7,historia!$A$5:$CM$24,+HLOOKUP(AX$2,historia!$A$3:$EC$4,2,FALSE),FALSE)</f>
        <v>4</v>
      </c>
      <c r="AY7" s="58">
        <f>VLOOKUP($A7,historia!$A$5:$CM$24,+HLOOKUP(AY$2,historia!$A$3:$EC$4,2,FALSE),FALSE)</f>
        <v>5</v>
      </c>
      <c r="AZ7" s="58">
        <f>VLOOKUP($A7,historia!$A$5:$CM$24,+HLOOKUP(AZ$2,historia!$A$3:$EC$4,2,FALSE),FALSE)</f>
        <v>4</v>
      </c>
      <c r="BA7" s="58">
        <f>VLOOKUP($A7,historia!$A$5:$CM$24,+HLOOKUP(BA$2,historia!$A$3:$EC$4,2,FALSE),FALSE)</f>
        <v>3</v>
      </c>
      <c r="BB7" s="30"/>
      <c r="BC7" s="141">
        <v>3</v>
      </c>
      <c r="BD7" t="str">
        <f t="shared" si="19"/>
        <v>Arroz</v>
      </c>
      <c r="BE7">
        <f>+datos!R1</f>
        <v>18</v>
      </c>
      <c r="BF7" s="2" t="str">
        <f t="shared" si="4"/>
        <v>$/t</v>
      </c>
      <c r="BG7" s="2">
        <f t="shared" si="4"/>
        <v>360000</v>
      </c>
      <c r="BH7" s="2">
        <f t="shared" si="4"/>
        <v>280000</v>
      </c>
      <c r="BI7" s="2">
        <f t="shared" si="4"/>
        <v>44000</v>
      </c>
      <c r="BK7">
        <f>+datos!BZ1</f>
        <v>78</v>
      </c>
      <c r="BL7" s="2">
        <f t="shared" si="20"/>
        <v>7068.3328482194765</v>
      </c>
      <c r="BM7" s="2">
        <f t="shared" si="20"/>
        <v>3758.8346429261846</v>
      </c>
      <c r="BN7" s="2">
        <f t="shared" si="20"/>
        <v>1909.1258203523416</v>
      </c>
      <c r="BP7" s="1">
        <f>+datos!DM1</f>
        <v>117</v>
      </c>
      <c r="BQ7" s="1">
        <f t="shared" si="21"/>
        <v>200000</v>
      </c>
      <c r="BR7" s="1">
        <f t="shared" si="21"/>
        <v>200000</v>
      </c>
      <c r="BT7" s="1">
        <f>+datos!FH1</f>
        <v>164</v>
      </c>
      <c r="BU7" s="1">
        <f t="shared" si="22"/>
        <v>1200000</v>
      </c>
      <c r="BV7" s="1">
        <f t="shared" si="22"/>
        <v>1200000</v>
      </c>
      <c r="BX7" s="1">
        <f>+datos!JG1</f>
        <v>267</v>
      </c>
      <c r="BY7" s="1">
        <f t="shared" ref="BY7:BY24" si="39">+SUM(CJ7:CU7)</f>
        <v>246.87404657000002</v>
      </c>
      <c r="BZ7" s="1">
        <f t="shared" ref="BZ7:BZ24" si="40">+SUM(CV7:DG7)</f>
        <v>264.70434698000003</v>
      </c>
      <c r="CB7" s="1">
        <f>+datos!KL1</f>
        <v>298</v>
      </c>
      <c r="CC7" s="2">
        <f t="shared" si="23"/>
        <v>0.71125562000000009</v>
      </c>
      <c r="CD7" s="2">
        <f t="shared" si="24"/>
        <v>0.99926449000000006</v>
      </c>
      <c r="CF7" s="1">
        <f>+datos!HU1</f>
        <v>229</v>
      </c>
      <c r="CG7" s="1">
        <f t="shared" si="25"/>
        <v>700000</v>
      </c>
      <c r="CH7" s="1">
        <f t="shared" si="26"/>
        <v>650000</v>
      </c>
      <c r="CJ7" s="1">
        <f t="shared" si="27"/>
        <v>15.82785018</v>
      </c>
      <c r="CK7" s="1">
        <f t="shared" si="27"/>
        <v>16.180063639999997</v>
      </c>
      <c r="CL7" s="1">
        <f t="shared" si="27"/>
        <v>11.823193960000001</v>
      </c>
      <c r="CM7" s="1">
        <f t="shared" si="27"/>
        <v>12.24327484</v>
      </c>
      <c r="CN7" s="1">
        <f t="shared" si="27"/>
        <v>9.600226039999999</v>
      </c>
      <c r="CO7" s="1">
        <f t="shared" si="27"/>
        <v>26.338491399999999</v>
      </c>
      <c r="CP7" s="1">
        <f t="shared" si="27"/>
        <v>21.418726320000001</v>
      </c>
      <c r="CQ7" s="1">
        <f t="shared" si="27"/>
        <v>22.255101539999998</v>
      </c>
      <c r="CR7" s="1">
        <f t="shared" si="27"/>
        <v>44.848914040000004</v>
      </c>
      <c r="CS7" s="1">
        <f t="shared" si="27"/>
        <v>20.357260950000001</v>
      </c>
      <c r="CT7" s="1">
        <f t="shared" si="27"/>
        <v>17.134564559999998</v>
      </c>
      <c r="CU7" s="1">
        <f t="shared" si="27"/>
        <v>28.8463791</v>
      </c>
      <c r="CV7" s="1">
        <f t="shared" si="27"/>
        <v>29.656605189999997</v>
      </c>
      <c r="CW7" s="1">
        <f t="shared" si="27"/>
        <v>22.47426432</v>
      </c>
      <c r="CX7" s="1">
        <f t="shared" si="27"/>
        <v>15.997414339999999</v>
      </c>
      <c r="CY7" s="1">
        <f t="shared" si="27"/>
        <v>24.494655209999998</v>
      </c>
      <c r="CZ7" s="1">
        <f t="shared" si="28"/>
        <v>19.108820979999997</v>
      </c>
      <c r="DA7" s="1">
        <f t="shared" si="28"/>
        <v>27.47614467</v>
      </c>
      <c r="DB7" s="1">
        <f t="shared" si="28"/>
        <v>23.805809289999999</v>
      </c>
      <c r="DC7" s="1">
        <f t="shared" si="28"/>
        <v>20.76359953</v>
      </c>
      <c r="DD7" s="1">
        <f t="shared" si="28"/>
        <v>34.242525930000006</v>
      </c>
      <c r="DE7" s="1">
        <f t="shared" si="28"/>
        <v>22.796151390000002</v>
      </c>
      <c r="DF7" s="1">
        <f t="shared" si="28"/>
        <v>14.4671748</v>
      </c>
      <c r="DG7" s="1">
        <f t="shared" si="28"/>
        <v>9.4211813300000014</v>
      </c>
      <c r="DI7" s="1">
        <f t="shared" si="29"/>
        <v>3.973985E-2</v>
      </c>
      <c r="DJ7" s="1">
        <f t="shared" si="29"/>
        <v>3.3462720000000001E-2</v>
      </c>
      <c r="DK7" s="1">
        <f t="shared" si="29"/>
        <v>0.19098301000000001</v>
      </c>
      <c r="DL7" s="1">
        <f t="shared" si="29"/>
        <v>0.10767879</v>
      </c>
      <c r="DM7" s="1">
        <f t="shared" si="29"/>
        <v>5.5773490000000002E-2</v>
      </c>
      <c r="DN7" s="1">
        <f t="shared" si="29"/>
        <v>8.7189080000000002E-2</v>
      </c>
      <c r="DO7" s="1">
        <f t="shared" si="29"/>
        <v>3.9243889999999997E-2</v>
      </c>
      <c r="DP7" s="1">
        <f t="shared" si="29"/>
        <v>0.10892111</v>
      </c>
      <c r="DQ7" s="1">
        <f t="shared" si="29"/>
        <v>1.8036480000000001E-2</v>
      </c>
      <c r="DR7" s="1">
        <f t="shared" si="29"/>
        <v>2.0500000000000002E-3</v>
      </c>
      <c r="DS7" s="1">
        <f t="shared" si="29"/>
        <v>1.0492100000000001E-3</v>
      </c>
      <c r="DT7" s="1">
        <f t="shared" si="29"/>
        <v>2.7127990000000001E-2</v>
      </c>
      <c r="DU7" s="1">
        <f t="shared" si="29"/>
        <v>2.9352990000000002E-2</v>
      </c>
      <c r="DV7" s="1">
        <f t="shared" si="29"/>
        <v>4.3800639999999995E-2</v>
      </c>
      <c r="DW7" s="1">
        <f t="shared" si="29"/>
        <v>2.6976839999999998E-2</v>
      </c>
      <c r="DX7" s="1">
        <f t="shared" si="29"/>
        <v>0.38784603000000006</v>
      </c>
      <c r="DY7" s="1">
        <f t="shared" si="30"/>
        <v>0.13118235</v>
      </c>
      <c r="DZ7" s="1">
        <f t="shared" si="30"/>
        <v>1.8151110000000002E-2</v>
      </c>
      <c r="EA7" s="1">
        <f t="shared" si="30"/>
        <v>1.4073269999999999E-2</v>
      </c>
      <c r="EB7" s="1">
        <f t="shared" si="30"/>
        <v>1.6701199999999999E-2</v>
      </c>
      <c r="EC7" s="1">
        <f t="shared" si="30"/>
        <v>4.6643610000000002E-2</v>
      </c>
      <c r="ED7" s="1">
        <f t="shared" si="30"/>
        <v>7.7786450000000007E-2</v>
      </c>
      <c r="EE7" s="1">
        <f t="shared" si="30"/>
        <v>2.0000000000000001E-4</v>
      </c>
      <c r="EF7" s="1">
        <f t="shared" si="30"/>
        <v>0.20655000000000001</v>
      </c>
      <c r="EH7" s="14">
        <f t="shared" si="31"/>
        <v>700000</v>
      </c>
      <c r="EI7" s="14">
        <f t="shared" si="31"/>
        <v>700000</v>
      </c>
      <c r="EJ7" s="1">
        <f t="shared" si="31"/>
        <v>700000</v>
      </c>
      <c r="EK7" s="1">
        <f t="shared" si="31"/>
        <v>700000</v>
      </c>
      <c r="EL7" s="1">
        <f t="shared" si="31"/>
        <v>700000</v>
      </c>
      <c r="EM7" s="1">
        <f t="shared" si="31"/>
        <v>700000</v>
      </c>
      <c r="EN7" s="1">
        <f t="shared" si="31"/>
        <v>700000</v>
      </c>
      <c r="EO7" s="1">
        <f t="shared" si="31"/>
        <v>700000</v>
      </c>
      <c r="EP7" s="1">
        <f t="shared" si="31"/>
        <v>700000</v>
      </c>
      <c r="EQ7" s="1">
        <f t="shared" si="31"/>
        <v>700000</v>
      </c>
      <c r="ER7" s="1">
        <f t="shared" si="31"/>
        <v>650000</v>
      </c>
      <c r="ES7" s="1">
        <f t="shared" si="31"/>
        <v>650000</v>
      </c>
      <c r="ET7" s="1">
        <f t="shared" si="31"/>
        <v>650000</v>
      </c>
      <c r="EU7" s="1">
        <f t="shared" si="31"/>
        <v>650000</v>
      </c>
      <c r="EV7" s="1">
        <f t="shared" si="31"/>
        <v>650000</v>
      </c>
      <c r="EW7" s="1">
        <f t="shared" si="31"/>
        <v>650000</v>
      </c>
      <c r="EX7" s="1">
        <f t="shared" si="32"/>
        <v>650000</v>
      </c>
      <c r="EY7" s="1">
        <f t="shared" si="32"/>
        <v>650000</v>
      </c>
      <c r="EZ7" s="1">
        <f t="shared" si="32"/>
        <v>650000</v>
      </c>
      <c r="FA7" s="1">
        <f t="shared" si="32"/>
        <v>650000</v>
      </c>
      <c r="FB7" s="1">
        <f t="shared" si="32"/>
        <v>650000</v>
      </c>
      <c r="FC7" s="1">
        <f t="shared" si="32"/>
        <v>650000</v>
      </c>
      <c r="FD7" s="1">
        <f t="shared" si="32"/>
        <v>700000</v>
      </c>
      <c r="FE7" s="1">
        <f t="shared" si="32"/>
        <v>700000</v>
      </c>
      <c r="FG7" s="162">
        <f t="shared" si="33"/>
        <v>4.4794258235633606</v>
      </c>
    </row>
    <row r="8" spans="1:163" ht="30" customHeight="1">
      <c r="A8" s="222" t="s">
        <v>215</v>
      </c>
      <c r="B8" s="212"/>
      <c r="C8" s="156">
        <f t="shared" si="5"/>
        <v>-0.99</v>
      </c>
      <c r="D8" s="198">
        <v>-1</v>
      </c>
      <c r="E8" s="213">
        <f t="shared" si="6"/>
        <v>0.12245329608380806</v>
      </c>
      <c r="F8" s="214">
        <f t="shared" si="7"/>
        <v>-0.13220345375856035</v>
      </c>
      <c r="G8" s="213">
        <f t="shared" si="8"/>
        <v>0.93602545725079622</v>
      </c>
      <c r="H8" s="214">
        <f t="shared" si="9"/>
        <v>-0.81357216116698816</v>
      </c>
      <c r="I8" s="213">
        <f t="shared" si="10"/>
        <v>2.5197263173439</v>
      </c>
      <c r="J8" s="214">
        <f t="shared" si="11"/>
        <v>0.40568418795909444</v>
      </c>
      <c r="K8" s="213">
        <f>IFERROR(+BL8/BN8-1,"")</f>
        <v>2.1567987219933373</v>
      </c>
      <c r="L8" s="214">
        <f>I8-K8</f>
        <v>0.36292759535056263</v>
      </c>
      <c r="M8" s="215"/>
      <c r="N8" s="198">
        <v>-1</v>
      </c>
      <c r="O8" s="213">
        <f t="shared" si="35"/>
        <v>0.42796092796092799</v>
      </c>
      <c r="P8" s="216">
        <f t="shared" si="36"/>
        <v>0.42796092796092799</v>
      </c>
      <c r="Q8" s="213">
        <f t="shared" si="13"/>
        <v>-1.6106459794719363E-2</v>
      </c>
      <c r="R8" s="217">
        <f t="shared" si="37"/>
        <v>-1.6106459794719363E-2</v>
      </c>
      <c r="S8" s="215"/>
      <c r="T8" s="198">
        <v>-1</v>
      </c>
      <c r="U8" s="213">
        <f>IFERROR(+BY8/BZ8-1,"")</f>
        <v>-0.3994966519135178</v>
      </c>
      <c r="V8" s="45">
        <f t="shared" si="15"/>
        <v>-0.3994966519135178</v>
      </c>
      <c r="W8" s="213">
        <f t="shared" si="38"/>
        <v>-0.11341692033507533</v>
      </c>
      <c r="X8" s="45">
        <f t="shared" si="16"/>
        <v>-0.11341692033507533</v>
      </c>
      <c r="Y8" s="213">
        <f t="shared" si="17"/>
        <v>3.0627871362940429E-3</v>
      </c>
      <c r="Z8" s="45">
        <f t="shared" si="18"/>
        <v>3.0627871362940429E-3</v>
      </c>
      <c r="AA8" s="30"/>
      <c r="AB8" s="225" t="s">
        <v>439</v>
      </c>
      <c r="AC8" s="61" t="s">
        <v>289</v>
      </c>
      <c r="AD8" s="61" t="s">
        <v>289</v>
      </c>
      <c r="AE8" s="61" t="s">
        <v>289</v>
      </c>
      <c r="AF8" s="61" t="s">
        <v>289</v>
      </c>
      <c r="AG8" s="61" t="s">
        <v>289</v>
      </c>
      <c r="AH8" s="61" t="s">
        <v>289</v>
      </c>
      <c r="AI8" s="61" t="s">
        <v>289</v>
      </c>
      <c r="AJ8" s="61" t="s">
        <v>289</v>
      </c>
      <c r="AK8" s="61" t="s">
        <v>289</v>
      </c>
      <c r="AL8" s="61" t="s">
        <v>289</v>
      </c>
      <c r="AM8" s="61" t="s">
        <v>289</v>
      </c>
      <c r="AN8" s="61" t="s">
        <v>289</v>
      </c>
      <c r="AP8" s="28">
        <f>VLOOKUP($A8,historia!$A$5:$CM$24,+HLOOKUP(AP$2,historia!$A$3:$EC$4,2,FALSE),FALSE)</f>
        <v>2</v>
      </c>
      <c r="AQ8" s="28">
        <f>VLOOKUP($A8,historia!$A$5:$CM$24,+HLOOKUP(AQ$2,historia!$A$3:$EC$4,2,FALSE),FALSE)</f>
        <v>2</v>
      </c>
      <c r="AR8" s="28">
        <f>VLOOKUP($A8,historia!$A$5:$CM$24,+HLOOKUP(AR$2,historia!$A$3:$EC$4,2,FALSE),FALSE)</f>
        <v>2</v>
      </c>
      <c r="AS8" s="28">
        <f>VLOOKUP($A8,historia!$A$5:$CM$24,+HLOOKUP(AS$2,historia!$A$3:$EC$4,2,FALSE),FALSE)</f>
        <v>2</v>
      </c>
      <c r="AT8" s="58">
        <f>VLOOKUP($A8,historia!$A$5:$CM$24,+HLOOKUP(AT$2,historia!$A$3:$EC$4,2,FALSE),FALSE)</f>
        <v>2</v>
      </c>
      <c r="AU8" s="58">
        <f>VLOOKUP($A8,historia!$A$5:$CM$24,+HLOOKUP(AU$2,historia!$A$3:$EC$4,2,FALSE),FALSE)</f>
        <v>3</v>
      </c>
      <c r="AV8" s="58">
        <f>VLOOKUP($A8,historia!$A$5:$CM$24,+HLOOKUP(AV$2,historia!$A$3:$EC$4,2,FALSE),FALSE)</f>
        <v>3</v>
      </c>
      <c r="AW8" s="58">
        <f>VLOOKUP($A8,historia!$A$5:$CM$24,+HLOOKUP(AW$2,historia!$A$3:$EC$4,2,FALSE),FALSE)</f>
        <v>3</v>
      </c>
      <c r="AX8" s="58">
        <f>VLOOKUP($A8,historia!$A$5:$CM$24,+HLOOKUP(AX$2,historia!$A$3:$EC$4,2,FALSE),FALSE)</f>
        <v>4</v>
      </c>
      <c r="AY8" s="58">
        <f>VLOOKUP($A8,historia!$A$5:$CM$24,+HLOOKUP(AY$2,historia!$A$3:$EC$4,2,FALSE),FALSE)</f>
        <v>4</v>
      </c>
      <c r="AZ8" s="58">
        <f>VLOOKUP($A8,historia!$A$5:$CM$24,+HLOOKUP(AZ$2,historia!$A$3:$EC$4,2,FALSE),FALSE)</f>
        <v>4</v>
      </c>
      <c r="BA8" s="58">
        <f>VLOOKUP($A8,historia!$A$5:$CM$24,+HLOOKUP(BA$2,historia!$A$3:$EC$4,2,FALSE),FALSE)</f>
        <v>5</v>
      </c>
      <c r="BB8" s="30"/>
      <c r="BC8" s="141">
        <v>5</v>
      </c>
      <c r="BD8" t="str">
        <f t="shared" si="19"/>
        <v>Aves</v>
      </c>
      <c r="BE8">
        <f>+datos!BQ1</f>
        <v>69</v>
      </c>
      <c r="BF8" s="2" t="str">
        <f t="shared" si="4"/>
        <v>prom pond huevo-carne</v>
      </c>
      <c r="BG8" s="2">
        <f t="shared" si="4"/>
        <v>1001.07</v>
      </c>
      <c r="BH8" s="2">
        <f t="shared" si="4"/>
        <v>891.85893390191904</v>
      </c>
      <c r="BI8" s="2">
        <f t="shared" si="4"/>
        <v>284.41700000000003</v>
      </c>
      <c r="BK8">
        <f>+datos!DG1</f>
        <v>111</v>
      </c>
      <c r="BL8" s="2">
        <f t="shared" si="20"/>
        <v>6359.785152299798</v>
      </c>
      <c r="BM8" s="2">
        <f t="shared" si="20"/>
        <v>3284.9697964875159</v>
      </c>
      <c r="BN8" s="2">
        <f t="shared" si="20"/>
        <v>2014.6311856981363</v>
      </c>
      <c r="BP8" s="1">
        <f>+datos!EP1</f>
        <v>146</v>
      </c>
      <c r="BQ8" s="1">
        <f t="shared" si="21"/>
        <v>9356</v>
      </c>
      <c r="BR8" s="1">
        <f t="shared" si="21"/>
        <v>6552</v>
      </c>
      <c r="BT8" s="1">
        <f>+datos!HM1</f>
        <v>221</v>
      </c>
      <c r="BU8" s="1">
        <f t="shared" si="22"/>
        <v>2351401.7799999998</v>
      </c>
      <c r="BV8" s="1">
        <f t="shared" si="22"/>
        <v>2389894.52</v>
      </c>
      <c r="BX8" s="1">
        <f>+datos!KF1</f>
        <v>292</v>
      </c>
      <c r="BY8" s="1">
        <f t="shared" si="39"/>
        <v>356.78981874999999</v>
      </c>
      <c r="BZ8" s="1">
        <f t="shared" si="40"/>
        <v>594.15125641999998</v>
      </c>
      <c r="CB8" s="1">
        <f>+datos!LK1</f>
        <v>323</v>
      </c>
      <c r="CC8" s="2">
        <f t="shared" si="23"/>
        <v>43.673726269999996</v>
      </c>
      <c r="CD8" s="2">
        <f t="shared" si="24"/>
        <v>49.260726120000001</v>
      </c>
      <c r="CF8" s="1">
        <f>+datos!IL1</f>
        <v>246</v>
      </c>
      <c r="CG8" s="1">
        <f t="shared" si="25"/>
        <v>45.85</v>
      </c>
      <c r="CH8" s="1">
        <f t="shared" si="26"/>
        <v>45.71</v>
      </c>
      <c r="CJ8" s="1">
        <f t="shared" si="27"/>
        <v>35.210116300000003</v>
      </c>
      <c r="CK8" s="1">
        <f t="shared" si="27"/>
        <v>30.603465830000005</v>
      </c>
      <c r="CL8" s="1">
        <f t="shared" si="27"/>
        <v>35.017556320000004</v>
      </c>
      <c r="CM8" s="1">
        <f t="shared" si="27"/>
        <v>24.343011479999998</v>
      </c>
      <c r="CN8" s="1">
        <f t="shared" si="27"/>
        <v>32.053320659999997</v>
      </c>
      <c r="CO8" s="1">
        <f t="shared" si="27"/>
        <v>25.827296739999998</v>
      </c>
      <c r="CP8" s="1">
        <f t="shared" si="27"/>
        <v>20.281404040000002</v>
      </c>
      <c r="CQ8" s="1">
        <f t="shared" si="27"/>
        <v>20.776878260000004</v>
      </c>
      <c r="CR8" s="1">
        <f t="shared" si="27"/>
        <v>18.00257775</v>
      </c>
      <c r="CS8" s="1">
        <f t="shared" si="27"/>
        <v>18.061317600000002</v>
      </c>
      <c r="CT8" s="1">
        <f t="shared" si="27"/>
        <v>50.712421620000008</v>
      </c>
      <c r="CU8" s="1">
        <f t="shared" si="27"/>
        <v>45.90045215</v>
      </c>
      <c r="CV8" s="1">
        <f t="shared" si="27"/>
        <v>47.273016750000004</v>
      </c>
      <c r="CW8" s="1">
        <f t="shared" si="27"/>
        <v>53.715518810000006</v>
      </c>
      <c r="CX8" s="1">
        <f t="shared" si="27"/>
        <v>52.265948369999997</v>
      </c>
      <c r="CY8" s="1">
        <f t="shared" si="27"/>
        <v>57.828382590000011</v>
      </c>
      <c r="CZ8" s="1">
        <f t="shared" si="28"/>
        <v>63.168661010000001</v>
      </c>
      <c r="DA8" s="1">
        <f t="shared" si="28"/>
        <v>52.541029930000001</v>
      </c>
      <c r="DB8" s="1">
        <f t="shared" si="28"/>
        <v>52.931487239999996</v>
      </c>
      <c r="DC8" s="1">
        <f t="shared" si="28"/>
        <v>47.642593229999996</v>
      </c>
      <c r="DD8" s="1">
        <f t="shared" si="28"/>
        <v>46.530829869999998</v>
      </c>
      <c r="DE8" s="1">
        <f t="shared" si="28"/>
        <v>44.812522269999995</v>
      </c>
      <c r="DF8" s="1">
        <f t="shared" si="28"/>
        <v>38.467503409999999</v>
      </c>
      <c r="DG8" s="1">
        <f t="shared" si="28"/>
        <v>36.97376294</v>
      </c>
      <c r="DI8" s="1">
        <f t="shared" si="29"/>
        <v>2.60999925</v>
      </c>
      <c r="DJ8" s="1">
        <f t="shared" si="29"/>
        <v>4.3280037599999996</v>
      </c>
      <c r="DK8" s="1">
        <f t="shared" si="29"/>
        <v>3.9253711099999995</v>
      </c>
      <c r="DL8" s="1">
        <f t="shared" si="29"/>
        <v>2.66724104</v>
      </c>
      <c r="DM8" s="1">
        <f t="shared" si="29"/>
        <v>1.3237541899999998</v>
      </c>
      <c r="DN8" s="1">
        <f t="shared" si="29"/>
        <v>4.0034089300000009</v>
      </c>
      <c r="DO8" s="1">
        <f t="shared" si="29"/>
        <v>4.2620939999999994</v>
      </c>
      <c r="DP8" s="1">
        <f t="shared" si="29"/>
        <v>6.8027163900000005</v>
      </c>
      <c r="DQ8" s="1">
        <f t="shared" si="29"/>
        <v>1.73014019</v>
      </c>
      <c r="DR8" s="1">
        <f t="shared" si="29"/>
        <v>6.4691643499999998</v>
      </c>
      <c r="DS8" s="1">
        <f t="shared" si="29"/>
        <v>1.80858622</v>
      </c>
      <c r="DT8" s="1">
        <f t="shared" si="29"/>
        <v>3.7432468400000003</v>
      </c>
      <c r="DU8" s="1">
        <f t="shared" si="29"/>
        <v>0.59472115000000003</v>
      </c>
      <c r="DV8" s="1">
        <f t="shared" si="29"/>
        <v>5.9863547400000003</v>
      </c>
      <c r="DW8" s="1">
        <f t="shared" si="29"/>
        <v>1.02297792</v>
      </c>
      <c r="DX8" s="1">
        <f t="shared" si="29"/>
        <v>3.9990310300000003</v>
      </c>
      <c r="DY8" s="1">
        <f t="shared" si="30"/>
        <v>3.76265019</v>
      </c>
      <c r="DZ8" s="1">
        <f t="shared" si="30"/>
        <v>2.4988292100000002</v>
      </c>
      <c r="EA8" s="1">
        <f t="shared" si="30"/>
        <v>6.8785433699999992</v>
      </c>
      <c r="EB8" s="1">
        <f t="shared" si="30"/>
        <v>3.7076194099999999</v>
      </c>
      <c r="EC8" s="1">
        <f t="shared" si="30"/>
        <v>6.7897798000000007</v>
      </c>
      <c r="ED8" s="1">
        <f t="shared" si="30"/>
        <v>6.0188496399999991</v>
      </c>
      <c r="EE8" s="1">
        <f t="shared" si="30"/>
        <v>4.87628489</v>
      </c>
      <c r="EF8" s="1">
        <f t="shared" si="30"/>
        <v>3.12508477</v>
      </c>
      <c r="EH8" s="14">
        <f t="shared" si="31"/>
        <v>45.85</v>
      </c>
      <c r="EI8" s="14">
        <f t="shared" si="31"/>
        <v>46.03</v>
      </c>
      <c r="EJ8" s="1">
        <f t="shared" si="31"/>
        <v>46.13</v>
      </c>
      <c r="EK8" s="1">
        <f t="shared" si="31"/>
        <v>45.88</v>
      </c>
      <c r="EL8" s="1">
        <f t="shared" si="31"/>
        <v>46.09</v>
      </c>
      <c r="EM8" s="1">
        <f t="shared" si="31"/>
        <v>45.9</v>
      </c>
      <c r="EN8" s="1">
        <f t="shared" si="31"/>
        <v>46</v>
      </c>
      <c r="EO8" s="1">
        <f t="shared" si="31"/>
        <v>45.99</v>
      </c>
      <c r="EP8" s="1">
        <f t="shared" si="31"/>
        <v>45.74</v>
      </c>
      <c r="EQ8" s="1">
        <f t="shared" si="31"/>
        <v>45.46</v>
      </c>
      <c r="ER8" s="1">
        <f t="shared" si="31"/>
        <v>45.56</v>
      </c>
      <c r="ES8" s="1">
        <f t="shared" si="31"/>
        <v>45.71</v>
      </c>
      <c r="ET8" s="1">
        <f t="shared" si="31"/>
        <v>45.71</v>
      </c>
      <c r="EU8" s="1">
        <f t="shared" si="31"/>
        <v>46.04</v>
      </c>
      <c r="EV8" s="1">
        <f t="shared" si="31"/>
        <v>45.9</v>
      </c>
      <c r="EW8" s="1">
        <f t="shared" si="31"/>
        <v>48.39</v>
      </c>
      <c r="EX8" s="1">
        <f t="shared" si="32"/>
        <v>47.03</v>
      </c>
      <c r="EY8" s="1">
        <f t="shared" si="32"/>
        <v>45.75</v>
      </c>
      <c r="EZ8" s="1">
        <f t="shared" si="32"/>
        <v>45.91</v>
      </c>
      <c r="FA8" s="1">
        <f t="shared" si="32"/>
        <v>44.361936471267661</v>
      </c>
      <c r="FB8" s="1">
        <f t="shared" si="32"/>
        <v>44.13</v>
      </c>
      <c r="FC8" s="1">
        <f t="shared" si="32"/>
        <v>46.9</v>
      </c>
      <c r="FD8" s="1">
        <f t="shared" si="32"/>
        <v>45.48</v>
      </c>
      <c r="FE8" s="1">
        <f t="shared" si="32"/>
        <v>43.11</v>
      </c>
      <c r="FG8" s="162">
        <f t="shared" si="33"/>
        <v>0.36292759535056263</v>
      </c>
    </row>
    <row r="9" spans="1:163" ht="30" customHeight="1">
      <c r="A9" s="226" t="s">
        <v>77</v>
      </c>
      <c r="B9" s="227"/>
      <c r="C9" s="228">
        <f t="shared" si="5"/>
        <v>0</v>
      </c>
      <c r="D9" s="229">
        <v>1</v>
      </c>
      <c r="E9" s="230">
        <f t="shared" si="6"/>
        <v>0.60622376160317648</v>
      </c>
      <c r="F9" s="231">
        <f t="shared" si="7"/>
        <v>0.35156701176080807</v>
      </c>
      <c r="G9" s="230">
        <f t="shared" si="8"/>
        <v>0.67245218409931895</v>
      </c>
      <c r="H9" s="231">
        <f t="shared" si="9"/>
        <v>-6.6228422496142469E-2</v>
      </c>
      <c r="I9" s="230">
        <f t="shared" si="10"/>
        <v>4.1598364309616214</v>
      </c>
      <c r="J9" s="231">
        <f t="shared" si="11"/>
        <v>2.0457943015768159</v>
      </c>
      <c r="K9" s="230">
        <f t="shared" si="34"/>
        <v>2.5240593259114901</v>
      </c>
      <c r="L9" s="231">
        <f t="shared" si="12"/>
        <v>1.6357771050501313</v>
      </c>
      <c r="M9" s="232"/>
      <c r="N9" s="229">
        <v>1</v>
      </c>
      <c r="O9" s="230">
        <f t="shared" si="35"/>
        <v>1.5466400930724822E-2</v>
      </c>
      <c r="P9" s="233">
        <f t="shared" si="36"/>
        <v>1.5466400930724822E-2</v>
      </c>
      <c r="Q9" s="230">
        <f t="shared" si="13"/>
        <v>5.0055038873913382E-2</v>
      </c>
      <c r="R9" s="234">
        <f t="shared" si="37"/>
        <v>5.0055038873913382E-2</v>
      </c>
      <c r="S9" s="232"/>
      <c r="T9" s="229">
        <v>-2</v>
      </c>
      <c r="U9" s="230">
        <f t="shared" si="14"/>
        <v>-0.17719879260345761</v>
      </c>
      <c r="V9" s="235">
        <f t="shared" si="15"/>
        <v>-0.17719879260345761</v>
      </c>
      <c r="W9" s="230">
        <f t="shared" si="38"/>
        <v>-0.42762523818649545</v>
      </c>
      <c r="X9" s="235">
        <f t="shared" si="16"/>
        <v>-0.42762523818649545</v>
      </c>
      <c r="Y9" s="230">
        <f t="shared" si="17"/>
        <v>-0.12474311549527317</v>
      </c>
      <c r="Z9" s="235">
        <f t="shared" si="18"/>
        <v>-0.12474311549527317</v>
      </c>
      <c r="AA9" s="238"/>
      <c r="AB9" s="237" t="s">
        <v>440</v>
      </c>
      <c r="AC9" s="61" t="s">
        <v>289</v>
      </c>
      <c r="AD9" s="61" t="s">
        <v>289</v>
      </c>
      <c r="AE9" s="61" t="s">
        <v>289</v>
      </c>
      <c r="AF9" s="61" t="s">
        <v>289</v>
      </c>
      <c r="AG9" s="61" t="s">
        <v>289</v>
      </c>
      <c r="AH9" s="61" t="s">
        <v>289</v>
      </c>
      <c r="AI9" s="61" t="s">
        <v>289</v>
      </c>
      <c r="AJ9" s="61" t="s">
        <v>289</v>
      </c>
      <c r="AK9" s="61" t="s">
        <v>289</v>
      </c>
      <c r="AL9" s="61" t="s">
        <v>289</v>
      </c>
      <c r="AM9" s="61" t="s">
        <v>289</v>
      </c>
      <c r="AN9" s="61" t="s">
        <v>289</v>
      </c>
      <c r="AP9" s="28">
        <f>VLOOKUP($A9,historia!$A$5:$CM$24,+HLOOKUP(AP$2,historia!$A$3:$EC$4,2,FALSE),FALSE)</f>
        <v>4</v>
      </c>
      <c r="AQ9" s="28">
        <f>VLOOKUP($A9,historia!$A$5:$CM$24,+HLOOKUP(AQ$2,historia!$A$3:$EC$4,2,FALSE),FALSE)</f>
        <v>3</v>
      </c>
      <c r="AR9" s="28">
        <f>VLOOKUP($A9,historia!$A$5:$CM$24,+HLOOKUP(AR$2,historia!$A$3:$EC$4,2,FALSE),FALSE)</f>
        <v>4</v>
      </c>
      <c r="AS9" s="28">
        <f>VLOOKUP($A9,historia!$A$5:$CM$24,+HLOOKUP(AS$2,historia!$A$3:$EC$4,2,FALSE),FALSE)</f>
        <v>4</v>
      </c>
      <c r="AT9" s="58">
        <f>VLOOKUP($A9,historia!$A$5:$CM$24,+HLOOKUP(AT$2,historia!$A$3:$EC$4,2,FALSE),FALSE)</f>
        <v>3</v>
      </c>
      <c r="AU9" s="58">
        <f>VLOOKUP($A9,historia!$A$5:$CM$24,+HLOOKUP(AU$2,historia!$A$3:$EC$4,2,FALSE),FALSE)</f>
        <v>4</v>
      </c>
      <c r="AV9" s="58">
        <f>VLOOKUP($A9,historia!$A$5:$CM$24,+HLOOKUP(AV$2,historia!$A$3:$EC$4,2,FALSE),FALSE)</f>
        <v>4</v>
      </c>
      <c r="AW9" s="58">
        <f>VLOOKUP($A9,historia!$A$5:$CM$24,+HLOOKUP(AW$2,historia!$A$3:$EC$4,2,FALSE),FALSE)</f>
        <v>4</v>
      </c>
      <c r="AX9" s="58">
        <f>VLOOKUP($A9,historia!$A$5:$CM$24,+HLOOKUP(AX$2,historia!$A$3:$EC$4,2,FALSE),FALSE)</f>
        <v>4</v>
      </c>
      <c r="AY9" s="58">
        <f>VLOOKUP($A9,historia!$A$5:$CM$24,+HLOOKUP(AY$2,historia!$A$3:$EC$4,2,FALSE),FALSE)</f>
        <v>3</v>
      </c>
      <c r="AZ9" s="58">
        <f>VLOOKUP($A9,historia!$A$5:$CM$24,+HLOOKUP(AZ$2,historia!$A$3:$EC$4,2,FALSE),FALSE)</f>
        <v>3</v>
      </c>
      <c r="BA9" s="58">
        <f>VLOOKUP($A9,historia!$A$5:$CM$24,+HLOOKUP(BA$2,historia!$A$3:$EC$4,2,FALSE),FALSE)</f>
        <v>3</v>
      </c>
      <c r="BB9" s="30"/>
      <c r="BC9" s="141">
        <v>3</v>
      </c>
      <c r="BD9" t="str">
        <f t="shared" si="19"/>
        <v>Bovinos</v>
      </c>
      <c r="BE9">
        <f>+datos!BM1</f>
        <v>65</v>
      </c>
      <c r="BF9" s="2" t="str">
        <f t="shared" si="4"/>
        <v>$/kg</v>
      </c>
      <c r="BG9" s="2">
        <f t="shared" si="4"/>
        <v>1736.2539999999999</v>
      </c>
      <c r="BH9" s="2">
        <f t="shared" si="4"/>
        <v>1080.954</v>
      </c>
      <c r="BI9" s="2">
        <f t="shared" si="4"/>
        <v>336.49400000000003</v>
      </c>
      <c r="BK9">
        <f>+datos!DB1</f>
        <v>106</v>
      </c>
      <c r="BL9" s="2">
        <f t="shared" si="20"/>
        <v>6597.8503471252279</v>
      </c>
      <c r="BM9" s="2">
        <f t="shared" si="20"/>
        <v>3945.015833548885</v>
      </c>
      <c r="BN9" s="2">
        <f t="shared" si="20"/>
        <v>1872.2302143476852</v>
      </c>
      <c r="BP9" s="1">
        <f>+datos!EH1</f>
        <v>138</v>
      </c>
      <c r="BQ9" s="1">
        <f t="shared" si="21"/>
        <v>54242595</v>
      </c>
      <c r="BR9" s="1">
        <f t="shared" si="21"/>
        <v>53416435</v>
      </c>
      <c r="BT9" s="1">
        <f>+datos!HB1</f>
        <v>210</v>
      </c>
      <c r="BU9" s="1">
        <f t="shared" si="22"/>
        <v>3270996</v>
      </c>
      <c r="BV9" s="1">
        <f t="shared" si="22"/>
        <v>3115071</v>
      </c>
      <c r="BX9" s="1">
        <f>+datos!KG1</f>
        <v>293</v>
      </c>
      <c r="BY9" s="1">
        <f t="shared" si="39"/>
        <v>3921.6068882099994</v>
      </c>
      <c r="BZ9" s="1">
        <f t="shared" si="40"/>
        <v>4766.1656946499988</v>
      </c>
      <c r="CB9" s="1">
        <f>+datos!LL1</f>
        <v>324</v>
      </c>
      <c r="CC9" s="2">
        <f t="shared" si="23"/>
        <v>47.234237680000007</v>
      </c>
      <c r="CD9" s="2">
        <f t="shared" si="24"/>
        <v>82.523271170000015</v>
      </c>
      <c r="CF9" s="1">
        <f>+datos!IM1</f>
        <v>247</v>
      </c>
      <c r="CG9" s="1">
        <f t="shared" si="25"/>
        <v>42.59</v>
      </c>
      <c r="CH9" s="1">
        <f t="shared" si="26"/>
        <v>48.66</v>
      </c>
      <c r="CJ9" s="1">
        <f t="shared" si="27"/>
        <v>325.97502911999987</v>
      </c>
      <c r="CK9" s="1">
        <f t="shared" si="27"/>
        <v>321.39038838999994</v>
      </c>
      <c r="CL9" s="1">
        <f t="shared" si="27"/>
        <v>273.58963931999995</v>
      </c>
      <c r="CM9" s="1">
        <f t="shared" si="27"/>
        <v>292.91820976000002</v>
      </c>
      <c r="CN9" s="1">
        <f t="shared" si="27"/>
        <v>371.72573624</v>
      </c>
      <c r="CO9" s="1">
        <f t="shared" si="27"/>
        <v>378.12790802000001</v>
      </c>
      <c r="CP9" s="1">
        <f t="shared" si="27"/>
        <v>308.34921994000001</v>
      </c>
      <c r="CQ9" s="1">
        <f t="shared" si="27"/>
        <v>390.63577031</v>
      </c>
      <c r="CR9" s="1">
        <f t="shared" si="27"/>
        <v>337.45013477999998</v>
      </c>
      <c r="CS9" s="1">
        <f t="shared" si="27"/>
        <v>339.25205494000011</v>
      </c>
      <c r="CT9" s="1">
        <f t="shared" si="27"/>
        <v>296.44265344999985</v>
      </c>
      <c r="CU9" s="1">
        <f t="shared" si="27"/>
        <v>285.75014393999987</v>
      </c>
      <c r="CV9" s="1">
        <f t="shared" si="27"/>
        <v>285.58164063999999</v>
      </c>
      <c r="CW9" s="1">
        <f t="shared" si="27"/>
        <v>342.68232461000008</v>
      </c>
      <c r="CX9" s="1">
        <f t="shared" si="27"/>
        <v>391.68086485999982</v>
      </c>
      <c r="CY9" s="1">
        <f t="shared" si="27"/>
        <v>421.96396532</v>
      </c>
      <c r="CZ9" s="1">
        <f t="shared" si="28"/>
        <v>444.66007973000006</v>
      </c>
      <c r="DA9" s="1">
        <f t="shared" si="28"/>
        <v>462.76323376000011</v>
      </c>
      <c r="DB9" s="1">
        <f t="shared" si="28"/>
        <v>455.63660227999975</v>
      </c>
      <c r="DC9" s="1">
        <f t="shared" si="28"/>
        <v>463.06945083000005</v>
      </c>
      <c r="DD9" s="1">
        <f t="shared" si="28"/>
        <v>405.16040881999982</v>
      </c>
      <c r="DE9" s="1">
        <f t="shared" si="28"/>
        <v>406.87993106999983</v>
      </c>
      <c r="DF9" s="1">
        <f t="shared" si="28"/>
        <v>367.95183931999992</v>
      </c>
      <c r="DG9" s="1">
        <f t="shared" si="28"/>
        <v>318.13535340999994</v>
      </c>
      <c r="DI9" s="1">
        <f t="shared" si="29"/>
        <v>3.3410357400000001</v>
      </c>
      <c r="DJ9" s="1">
        <f t="shared" si="29"/>
        <v>3.5927978000000009</v>
      </c>
      <c r="DK9" s="1">
        <f t="shared" si="29"/>
        <v>2.53051044</v>
      </c>
      <c r="DL9" s="1">
        <f t="shared" si="29"/>
        <v>2.3401237999999998</v>
      </c>
      <c r="DM9" s="1">
        <f t="shared" si="29"/>
        <v>2.4632922899999996</v>
      </c>
      <c r="DN9" s="1">
        <f t="shared" si="29"/>
        <v>3.8179622399999995</v>
      </c>
      <c r="DO9" s="1">
        <f t="shared" si="29"/>
        <v>3.8355995800000002</v>
      </c>
      <c r="DP9" s="1">
        <f t="shared" si="29"/>
        <v>7.3409295600000002</v>
      </c>
      <c r="DQ9" s="1">
        <f t="shared" si="29"/>
        <v>3.8261937100000005</v>
      </c>
      <c r="DR9" s="1">
        <f t="shared" si="29"/>
        <v>5.3486285699999998</v>
      </c>
      <c r="DS9" s="1">
        <f t="shared" si="29"/>
        <v>4.398381099999999</v>
      </c>
      <c r="DT9" s="1">
        <f t="shared" si="29"/>
        <v>4.3987828499999999</v>
      </c>
      <c r="DU9" s="1">
        <f t="shared" si="29"/>
        <v>1.58647798</v>
      </c>
      <c r="DV9" s="1">
        <f t="shared" si="29"/>
        <v>2.6207546900000001</v>
      </c>
      <c r="DW9" s="1">
        <f t="shared" si="29"/>
        <v>6.877667439999998</v>
      </c>
      <c r="DX9" s="1">
        <f t="shared" si="29"/>
        <v>6.5255502400000012</v>
      </c>
      <c r="DY9" s="1">
        <f t="shared" si="30"/>
        <v>13.413963769999999</v>
      </c>
      <c r="DZ9" s="1">
        <f t="shared" si="30"/>
        <v>5.3105555200000003</v>
      </c>
      <c r="EA9" s="1">
        <f t="shared" si="30"/>
        <v>9.8886848400000016</v>
      </c>
      <c r="EB9" s="1">
        <f t="shared" si="30"/>
        <v>11.561262900000001</v>
      </c>
      <c r="EC9" s="1">
        <f t="shared" si="30"/>
        <v>6.5691069199999994</v>
      </c>
      <c r="ED9" s="1">
        <f t="shared" si="30"/>
        <v>8.9778956500000007</v>
      </c>
      <c r="EE9" s="1">
        <f t="shared" si="30"/>
        <v>3.9629320999999997</v>
      </c>
      <c r="EF9" s="1">
        <f t="shared" si="30"/>
        <v>5.2284191199999999</v>
      </c>
      <c r="EH9" s="14">
        <f t="shared" si="31"/>
        <v>42.59</v>
      </c>
      <c r="EI9" s="14">
        <f t="shared" si="31"/>
        <v>51.3</v>
      </c>
      <c r="EJ9" s="1">
        <f t="shared" si="31"/>
        <v>51.15</v>
      </c>
      <c r="EK9" s="1">
        <f t="shared" si="31"/>
        <v>51.01</v>
      </c>
      <c r="EL9" s="1">
        <f t="shared" si="31"/>
        <v>51.15</v>
      </c>
      <c r="EM9" s="1">
        <f t="shared" si="31"/>
        <v>51.72</v>
      </c>
      <c r="EN9" s="1">
        <f t="shared" si="31"/>
        <v>51.32</v>
      </c>
      <c r="EO9" s="1">
        <f t="shared" si="31"/>
        <v>50.44</v>
      </c>
      <c r="EP9" s="1">
        <f t="shared" si="31"/>
        <v>50.29</v>
      </c>
      <c r="EQ9" s="1">
        <f t="shared" si="31"/>
        <v>50.29</v>
      </c>
      <c r="ER9" s="1">
        <f t="shared" si="31"/>
        <v>49.14</v>
      </c>
      <c r="ES9" s="1">
        <f t="shared" si="31"/>
        <v>48.66</v>
      </c>
      <c r="ET9" s="1">
        <f t="shared" si="31"/>
        <v>48.66</v>
      </c>
      <c r="EU9" s="1">
        <f t="shared" si="31"/>
        <v>48.3</v>
      </c>
      <c r="EV9" s="1">
        <f t="shared" si="31"/>
        <v>48.39</v>
      </c>
      <c r="EW9" s="1">
        <f t="shared" si="31"/>
        <v>48.62</v>
      </c>
      <c r="EX9" s="1">
        <f t="shared" si="32"/>
        <v>48.17</v>
      </c>
      <c r="EY9" s="1">
        <f t="shared" si="32"/>
        <v>48.03</v>
      </c>
      <c r="EZ9" s="1">
        <f t="shared" si="32"/>
        <v>48.58</v>
      </c>
      <c r="FA9" s="1">
        <f t="shared" si="32"/>
        <v>49.05</v>
      </c>
      <c r="FB9" s="1">
        <f t="shared" si="32"/>
        <v>47.84</v>
      </c>
      <c r="FC9" s="1">
        <f t="shared" si="32"/>
        <v>47.93</v>
      </c>
      <c r="FD9" s="1">
        <f t="shared" si="32"/>
        <v>46.96</v>
      </c>
      <c r="FE9" s="1">
        <f t="shared" si="32"/>
        <v>43.19</v>
      </c>
      <c r="FG9" s="162">
        <f t="shared" si="33"/>
        <v>1.6357771050501313</v>
      </c>
    </row>
    <row r="10" spans="1:163" ht="30" customHeight="1">
      <c r="A10" s="224" t="s">
        <v>221</v>
      </c>
      <c r="B10" s="212"/>
      <c r="C10" s="156">
        <f t="shared" si="5"/>
        <v>-0.99</v>
      </c>
      <c r="D10" s="198">
        <v>-1</v>
      </c>
      <c r="E10" s="213">
        <f t="shared" si="6"/>
        <v>0.16320618984215729</v>
      </c>
      <c r="F10" s="214">
        <f t="shared" si="7"/>
        <v>-9.1450560000211123E-2</v>
      </c>
      <c r="G10" s="213">
        <f t="shared" si="8"/>
        <v>0.66622579810460669</v>
      </c>
      <c r="H10" s="214">
        <f t="shared" si="9"/>
        <v>-0.5030196082624494</v>
      </c>
      <c r="I10" s="213">
        <f t="shared" si="10"/>
        <v>4.1999753949715952</v>
      </c>
      <c r="J10" s="214">
        <f t="shared" si="11"/>
        <v>2.0859332655867897</v>
      </c>
      <c r="K10" s="213">
        <f t="shared" si="34"/>
        <v>2.4777478466404785</v>
      </c>
      <c r="L10" s="214">
        <f t="shared" si="12"/>
        <v>1.7222275483311167</v>
      </c>
      <c r="M10" s="215"/>
      <c r="N10" s="198">
        <v>-1</v>
      </c>
      <c r="O10" s="213">
        <f t="shared" si="35"/>
        <v>7.0781598928092881E-2</v>
      </c>
      <c r="P10" s="216">
        <f t="shared" si="36"/>
        <v>7.0781598928092881E-2</v>
      </c>
      <c r="Q10" s="213">
        <f t="shared" si="13"/>
        <v>0.22785448708242151</v>
      </c>
      <c r="R10" s="217">
        <f t="shared" si="37"/>
        <v>0.22785448708242151</v>
      </c>
      <c r="S10" s="215"/>
      <c r="T10" s="198">
        <v>-1</v>
      </c>
      <c r="U10" s="213">
        <f t="shared" si="14"/>
        <v>7.3347836204350259E-2</v>
      </c>
      <c r="V10" s="45">
        <f t="shared" si="15"/>
        <v>7.3347836204350259E-2</v>
      </c>
      <c r="W10" s="213">
        <f t="shared" si="38"/>
        <v>0.38812884680650206</v>
      </c>
      <c r="X10" s="45">
        <f t="shared" si="16"/>
        <v>0.38812884680650206</v>
      </c>
      <c r="Y10" s="213">
        <f t="shared" si="17"/>
        <v>5.1678209909429951E-2</v>
      </c>
      <c r="Z10" s="45"/>
      <c r="AA10" s="30"/>
      <c r="AB10" s="225" t="s">
        <v>441</v>
      </c>
      <c r="AC10" s="61" t="s">
        <v>289</v>
      </c>
      <c r="AD10" s="61" t="s">
        <v>289</v>
      </c>
      <c r="AE10" s="61" t="s">
        <v>289</v>
      </c>
      <c r="AF10" s="61" t="s">
        <v>289</v>
      </c>
      <c r="AG10" s="61" t="s">
        <v>289</v>
      </c>
      <c r="AH10" s="61" t="s">
        <v>289</v>
      </c>
      <c r="AI10" s="61" t="s">
        <v>289</v>
      </c>
      <c r="AJ10" s="61" t="s">
        <v>289</v>
      </c>
      <c r="AK10" s="61" t="s">
        <v>289</v>
      </c>
      <c r="AL10" s="61" t="s">
        <v>289</v>
      </c>
      <c r="AM10" s="61" t="s">
        <v>289</v>
      </c>
      <c r="AN10" s="61" t="s">
        <v>289</v>
      </c>
      <c r="AP10" s="28">
        <f>VLOOKUP($A10,historia!$A$5:$CM$24,+HLOOKUP(AP$2,historia!$A$3:$EC$4,2,FALSE),FALSE)</f>
        <v>4</v>
      </c>
      <c r="AQ10" s="28">
        <f>VLOOKUP($A10,historia!$A$5:$CM$24,+HLOOKUP(AQ$2,historia!$A$3:$EC$4,2,FALSE),FALSE)</f>
        <v>4</v>
      </c>
      <c r="AR10" s="28">
        <f>VLOOKUP($A10,historia!$A$5:$CM$24,+HLOOKUP(AR$2,historia!$A$3:$EC$4,2,FALSE),FALSE)</f>
        <v>4</v>
      </c>
      <c r="AS10" s="28">
        <f>VLOOKUP($A10,historia!$A$5:$CM$24,+HLOOKUP(AS$2,historia!$A$3:$EC$4,2,FALSE),FALSE)</f>
        <v>4</v>
      </c>
      <c r="AT10" s="58">
        <f>VLOOKUP($A10,historia!$A$5:$CM$24,+HLOOKUP(AT$2,historia!$A$3:$EC$4,2,FALSE),FALSE)</f>
        <v>4</v>
      </c>
      <c r="AU10" s="58">
        <f>VLOOKUP($A10,historia!$A$5:$CM$24,+HLOOKUP(AU$2,historia!$A$3:$EC$4,2,FALSE),FALSE)</f>
        <v>5</v>
      </c>
      <c r="AV10" s="58">
        <f>VLOOKUP($A10,historia!$A$5:$CM$24,+HLOOKUP(AV$2,historia!$A$3:$EC$4,2,FALSE),FALSE)</f>
        <v>5</v>
      </c>
      <c r="AW10" s="58">
        <f>VLOOKUP($A10,historia!$A$5:$CM$24,+HLOOKUP(AW$2,historia!$A$3:$EC$4,2,FALSE),FALSE)</f>
        <v>5</v>
      </c>
      <c r="AX10" s="58">
        <f>VLOOKUP($A10,historia!$A$5:$CM$24,+HLOOKUP(AX$2,historia!$A$3:$EC$4,2,FALSE),FALSE)</f>
        <v>4</v>
      </c>
      <c r="AY10" s="58">
        <f>VLOOKUP($A10,historia!$A$5:$CM$24,+HLOOKUP(AY$2,historia!$A$3:$EC$4,2,FALSE),FALSE)</f>
        <v>4</v>
      </c>
      <c r="AZ10" s="58">
        <f>VLOOKUP($A10,historia!$A$5:$CM$24,+HLOOKUP(AZ$2,historia!$A$3:$EC$4,2,FALSE),FALSE)</f>
        <v>4</v>
      </c>
      <c r="BA10" s="58">
        <f>VLOOKUP($A10,historia!$A$5:$CM$24,+HLOOKUP(BA$2,historia!$A$3:$EC$4,2,FALSE),FALSE)</f>
        <v>5</v>
      </c>
      <c r="BB10" s="30"/>
      <c r="BC10" s="141">
        <v>5</v>
      </c>
      <c r="BD10" t="str">
        <f t="shared" si="19"/>
        <v>Cítricos Dulces</v>
      </c>
      <c r="BE10">
        <f>+datos!AU1</f>
        <v>47</v>
      </c>
      <c r="BF10" s="2" t="str">
        <f t="shared" si="4"/>
        <v>$/caja 18kg</v>
      </c>
      <c r="BG10" s="2">
        <f t="shared" si="4"/>
        <v>8106.6283080582807</v>
      </c>
      <c r="BH10" s="2">
        <f t="shared" si="4"/>
        <v>6969.2100840336134</v>
      </c>
      <c r="BI10" s="2">
        <f t="shared" si="4"/>
        <v>1558.9743589743587</v>
      </c>
      <c r="BK10">
        <f>+datos!CX1</f>
        <v>102</v>
      </c>
      <c r="BL10" s="2">
        <f t="shared" si="20"/>
        <v>6267.5330267923682</v>
      </c>
      <c r="BM10" s="2">
        <f t="shared" si="20"/>
        <v>3761.514816252346</v>
      </c>
      <c r="BN10" s="2">
        <f t="shared" si="20"/>
        <v>1802.1815563330263</v>
      </c>
      <c r="BP10" s="1">
        <f>+datos!ER1</f>
        <v>148</v>
      </c>
      <c r="BQ10" s="1">
        <f t="shared" si="21"/>
        <v>79916</v>
      </c>
      <c r="BR10" s="1">
        <f t="shared" si="21"/>
        <v>74633.333333333328</v>
      </c>
      <c r="BT10" s="1">
        <f>+datos!GH1</f>
        <v>190</v>
      </c>
      <c r="BU10" s="1">
        <f t="shared" si="22"/>
        <v>1565000</v>
      </c>
      <c r="BV10" s="1">
        <f t="shared" si="22"/>
        <v>1274581</v>
      </c>
      <c r="BX10" s="1">
        <f>+datos!LT1</f>
        <v>332</v>
      </c>
      <c r="BY10" s="1">
        <f t="shared" si="39"/>
        <v>51.07215450999999</v>
      </c>
      <c r="BZ10" s="1">
        <f t="shared" si="40"/>
        <v>47.582109720000005</v>
      </c>
      <c r="CA10" s="1"/>
      <c r="CB10" s="1">
        <f>+datos!LX1</f>
        <v>336</v>
      </c>
      <c r="CC10" s="2">
        <f t="shared" si="23"/>
        <v>5.3090908499999996</v>
      </c>
      <c r="CD10" s="2">
        <f t="shared" si="24"/>
        <v>3.8246383700000002</v>
      </c>
      <c r="CF10" s="1">
        <f>+datos!IV1</f>
        <v>256</v>
      </c>
      <c r="CG10" s="1">
        <f t="shared" si="25"/>
        <v>19.739999999999998</v>
      </c>
      <c r="CH10" s="1">
        <f t="shared" si="26"/>
        <v>18.77</v>
      </c>
      <c r="CJ10" s="1">
        <f t="shared" si="27"/>
        <v>3.6482140500000004</v>
      </c>
      <c r="CK10" s="1">
        <f t="shared" si="27"/>
        <v>7.8852843799999999</v>
      </c>
      <c r="CL10" s="1">
        <f t="shared" si="27"/>
        <v>4.4927710999999997</v>
      </c>
      <c r="CM10" s="1">
        <f t="shared" si="27"/>
        <v>3.9018705800000002</v>
      </c>
      <c r="CN10" s="1">
        <f t="shared" si="27"/>
        <v>10.723855849999996</v>
      </c>
      <c r="CO10" s="1">
        <f t="shared" si="27"/>
        <v>7.5775361799999992</v>
      </c>
      <c r="CP10" s="1">
        <f t="shared" si="27"/>
        <v>1.25129154</v>
      </c>
      <c r="CQ10" s="1">
        <f t="shared" si="27"/>
        <v>0.77785399999999993</v>
      </c>
      <c r="CR10" s="1">
        <f t="shared" si="27"/>
        <v>1.96707276</v>
      </c>
      <c r="CS10" s="1">
        <f t="shared" si="27"/>
        <v>1.7333935799999998</v>
      </c>
      <c r="CT10" s="1">
        <f t="shared" si="27"/>
        <v>4.5063326699999999</v>
      </c>
      <c r="CU10" s="1">
        <f t="shared" si="27"/>
        <v>2.6066778199999998</v>
      </c>
      <c r="CV10" s="1">
        <f t="shared" si="27"/>
        <v>1.98627314</v>
      </c>
      <c r="CW10" s="1">
        <f t="shared" si="27"/>
        <v>2.7714215800000002</v>
      </c>
      <c r="CX10" s="1">
        <f t="shared" si="27"/>
        <v>4.7911063299999999</v>
      </c>
      <c r="CY10" s="1">
        <f t="shared" si="27"/>
        <v>4.2890642899999998</v>
      </c>
      <c r="CZ10" s="1">
        <f t="shared" si="28"/>
        <v>10.91414737</v>
      </c>
      <c r="DA10" s="1">
        <f t="shared" si="28"/>
        <v>7.8324679500000007</v>
      </c>
      <c r="DB10" s="1">
        <f t="shared" si="28"/>
        <v>4.3051329900000006</v>
      </c>
      <c r="DC10" s="1">
        <f t="shared" si="28"/>
        <v>2.30500755</v>
      </c>
      <c r="DD10" s="1">
        <f t="shared" si="28"/>
        <v>1.4198493500000002</v>
      </c>
      <c r="DE10" s="1">
        <f t="shared" si="28"/>
        <v>1.31873533</v>
      </c>
      <c r="DF10" s="1">
        <f t="shared" si="28"/>
        <v>1.9640698700000001</v>
      </c>
      <c r="DG10" s="1">
        <f t="shared" si="28"/>
        <v>3.6848339700000001</v>
      </c>
      <c r="DI10" s="1">
        <f t="shared" si="29"/>
        <v>0.37369366000000004</v>
      </c>
      <c r="DJ10" s="1">
        <f t="shared" si="29"/>
        <v>1.8223369999999999E-2</v>
      </c>
      <c r="DK10" s="1">
        <f t="shared" si="29"/>
        <v>0.26981320000000003</v>
      </c>
      <c r="DL10" s="1">
        <f t="shared" si="29"/>
        <v>0.36129600000000001</v>
      </c>
      <c r="DM10" s="1">
        <f t="shared" si="29"/>
        <v>3.0606999999999997E-4</v>
      </c>
      <c r="DN10" s="1">
        <f t="shared" si="29"/>
        <v>0.33402694999999999</v>
      </c>
      <c r="DO10" s="1">
        <f t="shared" si="29"/>
        <v>0</v>
      </c>
      <c r="DP10" s="1">
        <f t="shared" si="29"/>
        <v>0.31172668999999997</v>
      </c>
      <c r="DQ10" s="1">
        <f t="shared" si="29"/>
        <v>1.32104435</v>
      </c>
      <c r="DR10" s="1">
        <f t="shared" si="29"/>
        <v>1.2081202200000001</v>
      </c>
      <c r="DS10" s="1">
        <f t="shared" si="29"/>
        <v>0.6520337100000001</v>
      </c>
      <c r="DT10" s="1">
        <f t="shared" si="29"/>
        <v>0.45880662999999999</v>
      </c>
      <c r="DU10" s="1">
        <f t="shared" si="29"/>
        <v>0</v>
      </c>
      <c r="DV10" s="1">
        <f t="shared" si="29"/>
        <v>4.77876E-2</v>
      </c>
      <c r="DW10" s="1">
        <f t="shared" si="29"/>
        <v>1.4227200000000001E-2</v>
      </c>
      <c r="DX10" s="1">
        <f t="shared" si="29"/>
        <v>2.7328829999999998E-2</v>
      </c>
      <c r="DY10" s="1">
        <f t="shared" si="30"/>
        <v>5.6926980000000002E-2</v>
      </c>
      <c r="DZ10" s="1">
        <f t="shared" si="30"/>
        <v>0.59636825999999998</v>
      </c>
      <c r="EA10" s="1">
        <f t="shared" si="30"/>
        <v>0.61726981999999997</v>
      </c>
      <c r="EB10" s="1">
        <f t="shared" si="30"/>
        <v>0.14935512000000001</v>
      </c>
      <c r="EC10" s="1">
        <f t="shared" si="30"/>
        <v>0.56815696000000004</v>
      </c>
      <c r="ED10" s="1">
        <f t="shared" si="30"/>
        <v>0.84027543999999998</v>
      </c>
      <c r="EE10" s="1">
        <f t="shared" si="30"/>
        <v>0.54826843000000003</v>
      </c>
      <c r="EF10" s="1">
        <f t="shared" si="30"/>
        <v>0.35867373000000002</v>
      </c>
      <c r="EH10" s="14">
        <f t="shared" si="31"/>
        <v>19.739999999999998</v>
      </c>
      <c r="EI10" s="14">
        <f t="shared" si="31"/>
        <v>19.739999999999998</v>
      </c>
      <c r="EJ10" s="1">
        <f t="shared" si="31"/>
        <v>19.739999999999998</v>
      </c>
      <c r="EK10" s="1">
        <f t="shared" si="31"/>
        <v>19.739999999999998</v>
      </c>
      <c r="EL10" s="1">
        <f t="shared" si="31"/>
        <v>19.739999999999998</v>
      </c>
      <c r="EM10" s="1">
        <f t="shared" si="31"/>
        <v>19.739999999999998</v>
      </c>
      <c r="EN10" s="1">
        <f t="shared" si="31"/>
        <v>19.739999999999998</v>
      </c>
      <c r="EO10" s="1">
        <f t="shared" si="31"/>
        <v>19.739999999999998</v>
      </c>
      <c r="EP10" s="1">
        <f t="shared" si="31"/>
        <v>19.739999999999998</v>
      </c>
      <c r="EQ10" s="1">
        <f t="shared" si="31"/>
        <v>19.739999999999998</v>
      </c>
      <c r="ER10" s="1">
        <f t="shared" si="31"/>
        <v>19.739999999999998</v>
      </c>
      <c r="ES10" s="1">
        <f t="shared" si="31"/>
        <v>19.739999999999998</v>
      </c>
      <c r="ET10" s="1">
        <f t="shared" si="31"/>
        <v>18.77</v>
      </c>
      <c r="EU10" s="1">
        <f t="shared" si="31"/>
        <v>18.77</v>
      </c>
      <c r="EV10" s="1">
        <f t="shared" si="31"/>
        <v>18.77</v>
      </c>
      <c r="EW10" s="1">
        <f t="shared" si="31"/>
        <v>18.77</v>
      </c>
      <c r="EX10" s="1">
        <f t="shared" si="32"/>
        <v>18.77</v>
      </c>
      <c r="EY10" s="1">
        <f t="shared" si="32"/>
        <v>18.77</v>
      </c>
      <c r="EZ10" s="1">
        <f t="shared" si="32"/>
        <v>18.77</v>
      </c>
      <c r="FA10" s="1">
        <f t="shared" si="32"/>
        <v>18.77</v>
      </c>
      <c r="FB10" s="1">
        <f t="shared" si="32"/>
        <v>18.77</v>
      </c>
      <c r="FC10" s="1">
        <f t="shared" si="32"/>
        <v>18.77</v>
      </c>
      <c r="FD10" s="1">
        <f t="shared" si="32"/>
        <v>18.77</v>
      </c>
      <c r="FE10" s="1">
        <f t="shared" si="32"/>
        <v>18.77</v>
      </c>
      <c r="FG10" s="162">
        <f t="shared" si="33"/>
        <v>1.7222275483311167</v>
      </c>
    </row>
    <row r="11" spans="1:163" ht="30" customHeight="1">
      <c r="A11" s="226" t="s">
        <v>116</v>
      </c>
      <c r="B11" s="227"/>
      <c r="C11" s="228">
        <f t="shared" si="5"/>
        <v>-0.33</v>
      </c>
      <c r="D11" s="229">
        <v>-1</v>
      </c>
      <c r="E11" s="230">
        <f t="shared" si="6"/>
        <v>0.31523736743273401</v>
      </c>
      <c r="F11" s="231">
        <f t="shared" si="7"/>
        <v>6.0580617590365593E-2</v>
      </c>
      <c r="G11" s="230">
        <f t="shared" si="8"/>
        <v>0.53022273877461457</v>
      </c>
      <c r="H11" s="231">
        <f t="shared" si="9"/>
        <v>-0.21498537134188056</v>
      </c>
      <c r="I11" s="230">
        <f t="shared" si="10"/>
        <v>1.8031354252284486</v>
      </c>
      <c r="J11" s="231">
        <f t="shared" si="11"/>
        <v>-0.31090670415635691</v>
      </c>
      <c r="K11" s="230">
        <f t="shared" si="34"/>
        <v>2.3203978047818214</v>
      </c>
      <c r="L11" s="231">
        <f t="shared" si="12"/>
        <v>-0.51726237955337284</v>
      </c>
      <c r="M11" s="232"/>
      <c r="N11" s="229"/>
      <c r="O11" s="230" t="str">
        <f t="shared" si="35"/>
        <v/>
      </c>
      <c r="P11" s="233" t="str">
        <f t="shared" si="36"/>
        <v/>
      </c>
      <c r="Q11" s="230">
        <f t="shared" si="13"/>
        <v>0</v>
      </c>
      <c r="R11" s="234">
        <f t="shared" si="37"/>
        <v>0</v>
      </c>
      <c r="S11" s="232"/>
      <c r="T11" s="229"/>
      <c r="U11" s="230">
        <f t="shared" si="14"/>
        <v>-0.20112650304899049</v>
      </c>
      <c r="V11" s="235">
        <f t="shared" si="15"/>
        <v>-0.20112650304899049</v>
      </c>
      <c r="W11" s="239">
        <f t="shared" si="38"/>
        <v>-1.4740738415172094E-2</v>
      </c>
      <c r="X11" s="235">
        <f t="shared" si="16"/>
        <v>-1.4740738415172094E-2</v>
      </c>
      <c r="Y11" s="230" t="str">
        <f t="shared" si="17"/>
        <v/>
      </c>
      <c r="Z11" s="235" t="str">
        <f t="shared" si="18"/>
        <v/>
      </c>
      <c r="AA11" s="238"/>
      <c r="AB11" s="237" t="s">
        <v>442</v>
      </c>
      <c r="AC11" s="61" t="s">
        <v>289</v>
      </c>
      <c r="AD11" s="61" t="s">
        <v>289</v>
      </c>
      <c r="AE11" s="61" t="s">
        <v>289</v>
      </c>
      <c r="AF11" s="61" t="s">
        <v>289</v>
      </c>
      <c r="AG11" s="61" t="s">
        <v>289</v>
      </c>
      <c r="AH11" s="61" t="s">
        <v>289</v>
      </c>
      <c r="AI11" s="61" t="s">
        <v>289</v>
      </c>
      <c r="AJ11" s="61" t="s">
        <v>289</v>
      </c>
      <c r="AK11" s="61" t="s">
        <v>289</v>
      </c>
      <c r="AL11" s="61" t="s">
        <v>289</v>
      </c>
      <c r="AM11" s="61" t="s">
        <v>289</v>
      </c>
      <c r="AN11" s="61" t="s">
        <v>289</v>
      </c>
      <c r="AP11" s="28">
        <f>VLOOKUP($A11,historia!$A$5:$CM$24,+HLOOKUP(AP$2,historia!$A$3:$EC$4,2,FALSE),FALSE)</f>
        <v>4</v>
      </c>
      <c r="AQ11" s="28">
        <f>VLOOKUP($A11,historia!$A$5:$CM$24,+HLOOKUP(AQ$2,historia!$A$3:$EC$4,2,FALSE),FALSE)</f>
        <v>4</v>
      </c>
      <c r="AR11" s="28">
        <f>VLOOKUP($A11,historia!$A$5:$CM$24,+HLOOKUP(AR$2,historia!$A$3:$EC$4,2,FALSE),FALSE)</f>
        <v>4</v>
      </c>
      <c r="AS11" s="28">
        <f>VLOOKUP($A11,historia!$A$5:$CM$24,+HLOOKUP(AS$2,historia!$A$3:$EC$4,2,FALSE),FALSE)</f>
        <v>4</v>
      </c>
      <c r="AT11" s="58">
        <f>VLOOKUP($A11,historia!$A$5:$CM$24,+HLOOKUP(AT$2,historia!$A$3:$EC$4,2,FALSE),FALSE)</f>
        <v>4</v>
      </c>
      <c r="AU11" s="58">
        <f>VLOOKUP($A11,historia!$A$5:$CM$24,+HLOOKUP(AU$2,historia!$A$3:$EC$4,2,FALSE),FALSE)</f>
        <v>4</v>
      </c>
      <c r="AV11" s="58">
        <f>VLOOKUP($A11,historia!$A$5:$CM$24,+HLOOKUP(AV$2,historia!$A$3:$EC$4,2,FALSE),FALSE)</f>
        <v>4</v>
      </c>
      <c r="AW11" s="58">
        <f>VLOOKUP($A11,historia!$A$5:$CM$24,+HLOOKUP(AW$2,historia!$A$3:$EC$4,2,FALSE),FALSE)</f>
        <v>4</v>
      </c>
      <c r="AX11" s="58">
        <f>VLOOKUP($A11,historia!$A$5:$CM$24,+HLOOKUP(AX$2,historia!$A$3:$EC$4,2,FALSE),FALSE)</f>
        <v>4</v>
      </c>
      <c r="AY11" s="58">
        <f>VLOOKUP($A11,historia!$A$5:$CM$24,+HLOOKUP(AY$2,historia!$A$3:$EC$4,2,FALSE),FALSE)</f>
        <v>4</v>
      </c>
      <c r="AZ11" s="58">
        <f>VLOOKUP($A11,historia!$A$5:$CM$24,+HLOOKUP(AZ$2,historia!$A$3:$EC$4,2,FALSE),FALSE)</f>
        <v>4</v>
      </c>
      <c r="BA11" s="58">
        <f>VLOOKUP($A11,historia!$A$5:$CM$24,+HLOOKUP(BA$2,historia!$A$3:$EC$4,2,FALSE),FALSE)</f>
        <v>4</v>
      </c>
      <c r="BB11" s="30"/>
      <c r="BC11" s="141">
        <v>4</v>
      </c>
      <c r="BD11" t="str">
        <f t="shared" si="19"/>
        <v>Forestal</v>
      </c>
      <c r="BE11">
        <f>+datos!BG1</f>
        <v>59</v>
      </c>
      <c r="BF11" s="2" t="str">
        <f t="shared" si="4"/>
        <v>$/t</v>
      </c>
      <c r="BG11" s="2">
        <f t="shared" si="4"/>
        <v>14494.3125</v>
      </c>
      <c r="BH11" s="2">
        <f t="shared" si="4"/>
        <v>11020.301626840215</v>
      </c>
      <c r="BI11" s="2">
        <f t="shared" si="4"/>
        <v>5170.75</v>
      </c>
      <c r="BK11">
        <f>+datos!CZ1</f>
        <v>104</v>
      </c>
      <c r="BL11" s="2">
        <f t="shared" si="20"/>
        <v>6863.1898009148163</v>
      </c>
      <c r="BM11" s="2">
        <f t="shared" si="20"/>
        <v>4485.0920241917083</v>
      </c>
      <c r="BN11" s="2">
        <f t="shared" si="20"/>
        <v>2066.9781768410085</v>
      </c>
      <c r="BP11" s="1">
        <f>+datos!ES1</f>
        <v>149</v>
      </c>
      <c r="BQ11" s="1">
        <f t="shared" si="21"/>
        <v>0</v>
      </c>
      <c r="BR11" s="1">
        <f t="shared" si="21"/>
        <v>0</v>
      </c>
      <c r="BT11" s="1">
        <f>+datos!GI1</f>
        <v>191</v>
      </c>
      <c r="BU11" s="1">
        <f t="shared" si="22"/>
        <v>1302556</v>
      </c>
      <c r="BV11" s="1">
        <f t="shared" si="22"/>
        <v>1302556</v>
      </c>
      <c r="BX11" s="1">
        <f>+datos!KB1</f>
        <v>288</v>
      </c>
      <c r="BY11" s="1">
        <f t="shared" si="39"/>
        <v>300.26111199999997</v>
      </c>
      <c r="BZ11" s="1">
        <f t="shared" si="40"/>
        <v>375.85564316</v>
      </c>
      <c r="CB11" s="1">
        <f>+datos!LG1</f>
        <v>319</v>
      </c>
      <c r="CC11" s="2">
        <f t="shared" si="23"/>
        <v>260.36776570000001</v>
      </c>
      <c r="CD11" s="2">
        <f t="shared" si="24"/>
        <v>264.26320041000002</v>
      </c>
      <c r="CF11" s="1">
        <f>+datos!IW1</f>
        <v>257</v>
      </c>
      <c r="CG11" s="1">
        <f t="shared" si="25"/>
        <v>0</v>
      </c>
      <c r="CH11" s="1">
        <f t="shared" si="26"/>
        <v>0</v>
      </c>
      <c r="CJ11" s="1">
        <f t="shared" si="27"/>
        <v>24.797754910000005</v>
      </c>
      <c r="CK11" s="1">
        <f t="shared" si="27"/>
        <v>26.00374025</v>
      </c>
      <c r="CL11" s="1">
        <f t="shared" si="27"/>
        <v>24.373047020000001</v>
      </c>
      <c r="CM11" s="1">
        <f t="shared" si="27"/>
        <v>25.649224320000002</v>
      </c>
      <c r="CN11" s="1">
        <f t="shared" si="27"/>
        <v>23.667757810000001</v>
      </c>
      <c r="CO11" s="1">
        <f t="shared" si="27"/>
        <v>25.088845019999997</v>
      </c>
      <c r="CP11" s="1">
        <f t="shared" si="27"/>
        <v>26.5668471</v>
      </c>
      <c r="CQ11" s="1">
        <f t="shared" si="27"/>
        <v>23.814064600000002</v>
      </c>
      <c r="CR11" s="1">
        <f t="shared" si="27"/>
        <v>20.56411928</v>
      </c>
      <c r="CS11" s="1">
        <f t="shared" si="27"/>
        <v>19.140443850000004</v>
      </c>
      <c r="CT11" s="1">
        <f t="shared" si="27"/>
        <v>31.026984670000001</v>
      </c>
      <c r="CU11" s="1">
        <f t="shared" si="27"/>
        <v>29.568283169999997</v>
      </c>
      <c r="CV11" s="1">
        <f t="shared" si="27"/>
        <v>27.46490245</v>
      </c>
      <c r="CW11" s="1">
        <f t="shared" si="27"/>
        <v>28.769997110000002</v>
      </c>
      <c r="CX11" s="1">
        <f t="shared" si="27"/>
        <v>29.99355989</v>
      </c>
      <c r="CY11" s="1">
        <f t="shared" si="27"/>
        <v>28.322168269999992</v>
      </c>
      <c r="CZ11" s="1">
        <f t="shared" si="28"/>
        <v>25.822628249999998</v>
      </c>
      <c r="DA11" s="1">
        <f t="shared" si="28"/>
        <v>36.275852910000005</v>
      </c>
      <c r="DB11" s="1">
        <f t="shared" si="28"/>
        <v>32.140367229999995</v>
      </c>
      <c r="DC11" s="1">
        <f t="shared" si="28"/>
        <v>32.281321340000005</v>
      </c>
      <c r="DD11" s="1">
        <f t="shared" si="28"/>
        <v>29.416825530000004</v>
      </c>
      <c r="DE11" s="1">
        <f t="shared" si="28"/>
        <v>38.714139049999993</v>
      </c>
      <c r="DF11" s="1">
        <f t="shared" si="28"/>
        <v>34.194236830000001</v>
      </c>
      <c r="DG11" s="1">
        <f t="shared" si="28"/>
        <v>32.459644299999994</v>
      </c>
      <c r="DI11" s="1">
        <f t="shared" si="29"/>
        <v>9.5859924200000002</v>
      </c>
      <c r="DJ11" s="1">
        <f t="shared" si="29"/>
        <v>12.114691449999999</v>
      </c>
      <c r="DK11" s="1">
        <f t="shared" si="29"/>
        <v>21.937746180000001</v>
      </c>
      <c r="DL11" s="1">
        <f t="shared" si="29"/>
        <v>16.68359323</v>
      </c>
      <c r="DM11" s="1">
        <f t="shared" si="29"/>
        <v>23.390239519999994</v>
      </c>
      <c r="DN11" s="1">
        <f t="shared" si="29"/>
        <v>24.97777258</v>
      </c>
      <c r="DO11" s="1">
        <f t="shared" si="29"/>
        <v>25.979397770000002</v>
      </c>
      <c r="DP11" s="1">
        <f t="shared" si="29"/>
        <v>26.663923630000003</v>
      </c>
      <c r="DQ11" s="1">
        <f t="shared" si="29"/>
        <v>25.77809422</v>
      </c>
      <c r="DR11" s="1">
        <f t="shared" si="29"/>
        <v>30.845388820000004</v>
      </c>
      <c r="DS11" s="1">
        <f t="shared" si="29"/>
        <v>19.314417040000002</v>
      </c>
      <c r="DT11" s="1">
        <f t="shared" si="29"/>
        <v>23.096508839999995</v>
      </c>
      <c r="DU11" s="1">
        <f t="shared" si="29"/>
        <v>19.891111379999998</v>
      </c>
      <c r="DV11" s="1">
        <f t="shared" si="29"/>
        <v>18.931102379999999</v>
      </c>
      <c r="DW11" s="1">
        <f t="shared" si="29"/>
        <v>26.50290536</v>
      </c>
      <c r="DX11" s="1">
        <f t="shared" si="29"/>
        <v>21.937275429999996</v>
      </c>
      <c r="DY11" s="1">
        <f t="shared" si="30"/>
        <v>24.868573239999996</v>
      </c>
      <c r="DZ11" s="1">
        <f t="shared" si="30"/>
        <v>0</v>
      </c>
      <c r="EA11" s="1">
        <f t="shared" si="30"/>
        <v>28.392692970000002</v>
      </c>
      <c r="EB11" s="1">
        <f t="shared" si="30"/>
        <v>26.685130170000001</v>
      </c>
      <c r="EC11" s="1">
        <f t="shared" si="30"/>
        <v>23.828582620000002</v>
      </c>
      <c r="ED11" s="1">
        <f t="shared" si="30"/>
        <v>28.413189390000003</v>
      </c>
      <c r="EE11" s="1">
        <f t="shared" si="30"/>
        <v>20.827774680000001</v>
      </c>
      <c r="EF11" s="1">
        <f t="shared" si="30"/>
        <v>23.984862789999998</v>
      </c>
      <c r="EH11" s="14">
        <f t="shared" si="31"/>
        <v>0</v>
      </c>
      <c r="EI11" s="14">
        <f t="shared" si="31"/>
        <v>0</v>
      </c>
      <c r="EJ11" s="1">
        <f t="shared" si="31"/>
        <v>0</v>
      </c>
      <c r="EK11" s="1">
        <f t="shared" si="31"/>
        <v>0</v>
      </c>
      <c r="EL11" s="1">
        <f t="shared" si="31"/>
        <v>0</v>
      </c>
      <c r="EM11" s="1">
        <f t="shared" si="31"/>
        <v>0</v>
      </c>
      <c r="EN11" s="1">
        <f t="shared" si="31"/>
        <v>0</v>
      </c>
      <c r="EO11" s="1">
        <f t="shared" si="31"/>
        <v>0</v>
      </c>
      <c r="EP11" s="1">
        <f t="shared" si="31"/>
        <v>0</v>
      </c>
      <c r="EQ11" s="1">
        <f t="shared" si="31"/>
        <v>0</v>
      </c>
      <c r="ER11" s="1">
        <f t="shared" si="31"/>
        <v>0</v>
      </c>
      <c r="ES11" s="1">
        <f t="shared" si="31"/>
        <v>0</v>
      </c>
      <c r="ET11" s="1">
        <f t="shared" si="31"/>
        <v>0</v>
      </c>
      <c r="EU11" s="1">
        <f t="shared" si="31"/>
        <v>0</v>
      </c>
      <c r="EV11" s="1">
        <f t="shared" si="31"/>
        <v>0</v>
      </c>
      <c r="EW11" s="1">
        <f t="shared" si="31"/>
        <v>0</v>
      </c>
      <c r="EX11" s="1">
        <f t="shared" si="32"/>
        <v>0</v>
      </c>
      <c r="EY11" s="1">
        <f t="shared" si="32"/>
        <v>0</v>
      </c>
      <c r="EZ11" s="1">
        <f t="shared" si="32"/>
        <v>0</v>
      </c>
      <c r="FA11" s="1">
        <f t="shared" si="32"/>
        <v>0</v>
      </c>
      <c r="FB11" s="1">
        <f t="shared" si="32"/>
        <v>0</v>
      </c>
      <c r="FC11" s="1">
        <f t="shared" si="32"/>
        <v>0</v>
      </c>
      <c r="FD11" s="1">
        <f t="shared" si="32"/>
        <v>0</v>
      </c>
      <c r="FE11" s="1">
        <f t="shared" si="32"/>
        <v>0</v>
      </c>
      <c r="FG11" s="162">
        <f t="shared" si="33"/>
        <v>-0.51726237955337284</v>
      </c>
    </row>
    <row r="12" spans="1:163" ht="30" customHeight="1">
      <c r="A12" s="222" t="s">
        <v>216</v>
      </c>
      <c r="B12" s="212"/>
      <c r="C12" s="156">
        <f t="shared" si="5"/>
        <v>-1.32</v>
      </c>
      <c r="D12" s="198">
        <v>-1</v>
      </c>
      <c r="E12" s="213">
        <f t="shared" si="6"/>
        <v>0.98134112039936006</v>
      </c>
      <c r="F12" s="214">
        <f t="shared" si="7"/>
        <v>0.72668437055699164</v>
      </c>
      <c r="G12" s="213">
        <f t="shared" si="8"/>
        <v>0.9398668123876659</v>
      </c>
      <c r="H12" s="214">
        <f t="shared" si="9"/>
        <v>4.1474308011694161E-2</v>
      </c>
      <c r="I12" s="213">
        <f t="shared" si="10"/>
        <v>2.3171684895112765</v>
      </c>
      <c r="J12" s="214">
        <f t="shared" si="11"/>
        <v>0.20312636012647101</v>
      </c>
      <c r="K12" s="213">
        <f t="shared" si="34"/>
        <v>2.5068631781362591</v>
      </c>
      <c r="L12" s="214">
        <f t="shared" si="12"/>
        <v>-0.18969468862498262</v>
      </c>
      <c r="M12" s="215"/>
      <c r="N12" s="198">
        <v>-2</v>
      </c>
      <c r="O12" s="213">
        <f t="shared" si="35"/>
        <v>-1.6485261425643105E-2</v>
      </c>
      <c r="P12" s="216">
        <f t="shared" si="36"/>
        <v>-1.6485261425643105E-2</v>
      </c>
      <c r="Q12" s="213">
        <f t="shared" si="13"/>
        <v>-8.497734106984034E-2</v>
      </c>
      <c r="R12" s="217">
        <f t="shared" si="37"/>
        <v>-8.497734106984034E-2</v>
      </c>
      <c r="S12" s="215"/>
      <c r="T12" s="198">
        <v>-1</v>
      </c>
      <c r="U12" s="213">
        <f t="shared" si="14"/>
        <v>-0.38881855689603839</v>
      </c>
      <c r="V12" s="45">
        <f t="shared" si="15"/>
        <v>-0.38881855689603839</v>
      </c>
      <c r="W12" s="213">
        <f t="shared" si="38"/>
        <v>1.3814158828851113</v>
      </c>
      <c r="X12" s="45">
        <f t="shared" si="16"/>
        <v>1.3814158828851113</v>
      </c>
      <c r="Y12" s="213">
        <f t="shared" si="17"/>
        <v>-2.1449507061017892E-2</v>
      </c>
      <c r="Z12" s="45">
        <f t="shared" si="18"/>
        <v>-2.1449507061017892E-2</v>
      </c>
      <c r="AA12" s="30"/>
      <c r="AB12" s="225" t="s">
        <v>456</v>
      </c>
      <c r="AC12" s="61" t="s">
        <v>289</v>
      </c>
      <c r="AD12" s="61" t="s">
        <v>289</v>
      </c>
      <c r="AE12" s="61" t="s">
        <v>289</v>
      </c>
      <c r="AF12" s="61" t="s">
        <v>289</v>
      </c>
      <c r="AG12" s="61" t="s">
        <v>289</v>
      </c>
      <c r="AH12" s="61" t="s">
        <v>289</v>
      </c>
      <c r="AI12" s="61" t="s">
        <v>289</v>
      </c>
      <c r="AJ12" s="61" t="s">
        <v>289</v>
      </c>
      <c r="AK12" s="61" t="s">
        <v>289</v>
      </c>
      <c r="AL12" s="61" t="s">
        <v>289</v>
      </c>
      <c r="AM12" s="61" t="s">
        <v>289</v>
      </c>
      <c r="AN12" s="61" t="s">
        <v>289</v>
      </c>
      <c r="AP12" s="28">
        <f>VLOOKUP($A12,historia!$A$5:$CM$24,+HLOOKUP(AP$2,historia!$A$3:$EC$4,2,FALSE),FALSE)</f>
        <v>4</v>
      </c>
      <c r="AQ12" s="28">
        <f>VLOOKUP($A12,historia!$A$5:$CM$24,+HLOOKUP(AQ$2,historia!$A$3:$EC$4,2,FALSE),FALSE)</f>
        <v>5</v>
      </c>
      <c r="AR12" s="28">
        <f>VLOOKUP($A12,historia!$A$5:$CM$24,+HLOOKUP(AR$2,historia!$A$3:$EC$4,2,FALSE),FALSE)</f>
        <v>5</v>
      </c>
      <c r="AS12" s="28">
        <f>VLOOKUP($A12,historia!$A$5:$CM$24,+HLOOKUP(AS$2,historia!$A$3:$EC$4,2,FALSE),FALSE)</f>
        <v>5</v>
      </c>
      <c r="AT12" s="58">
        <f>VLOOKUP($A12,historia!$A$5:$CM$24,+HLOOKUP(AT$2,historia!$A$3:$EC$4,2,FALSE),FALSE)</f>
        <v>5</v>
      </c>
      <c r="AU12" s="58">
        <f>VLOOKUP($A12,historia!$A$5:$CM$24,+HLOOKUP(AU$2,historia!$A$3:$EC$4,2,FALSE),FALSE)</f>
        <v>5</v>
      </c>
      <c r="AV12" s="58">
        <f>VLOOKUP($A12,historia!$A$5:$CM$24,+HLOOKUP(AV$2,historia!$A$3:$EC$4,2,FALSE),FALSE)</f>
        <v>5</v>
      </c>
      <c r="AW12" s="58">
        <f>VLOOKUP($A12,historia!$A$5:$CM$24,+HLOOKUP(AW$2,historia!$A$3:$EC$4,2,FALSE),FALSE)</f>
        <v>5</v>
      </c>
      <c r="AX12" s="58">
        <f>VLOOKUP($A12,historia!$A$5:$CM$24,+HLOOKUP(AX$2,historia!$A$3:$EC$4,2,FALSE),FALSE)</f>
        <v>5</v>
      </c>
      <c r="AY12" s="58">
        <f>VLOOKUP($A12,historia!$A$5:$CM$24,+HLOOKUP(AY$2,historia!$A$3:$EC$4,2,FALSE),FALSE)</f>
        <v>5</v>
      </c>
      <c r="AZ12" s="58">
        <f>VLOOKUP($A12,historia!$A$5:$CM$24,+HLOOKUP(AZ$2,historia!$A$3:$EC$4,2,FALSE),FALSE)</f>
        <v>5</v>
      </c>
      <c r="BA12" s="58">
        <f>VLOOKUP($A12,historia!$A$5:$CM$24,+HLOOKUP(BA$2,historia!$A$3:$EC$4,2,FALSE),FALSE)</f>
        <v>5</v>
      </c>
      <c r="BB12" s="30"/>
      <c r="BC12" s="141">
        <v>5</v>
      </c>
      <c r="BD12" t="str">
        <f t="shared" si="19"/>
        <v>Granos</v>
      </c>
      <c r="BE12">
        <f>+datos!AE1</f>
        <v>31</v>
      </c>
      <c r="BF12" s="2" t="str">
        <f t="shared" si="4"/>
        <v>$/t</v>
      </c>
      <c r="BG12" s="2">
        <f t="shared" si="4"/>
        <v>193387.86638888888</v>
      </c>
      <c r="BH12" s="2">
        <f t="shared" si="4"/>
        <v>97604.528769841272</v>
      </c>
      <c r="BI12" s="2">
        <f t="shared" si="4"/>
        <v>58299.078566666663</v>
      </c>
      <c r="BK12">
        <f>+datos!CG1</f>
        <v>85</v>
      </c>
      <c r="BL12" s="2">
        <f t="shared" si="20"/>
        <v>7640.230449898987</v>
      </c>
      <c r="BM12" s="2">
        <f t="shared" si="20"/>
        <v>3938.5335122544238</v>
      </c>
      <c r="BN12" s="2">
        <f t="shared" si="20"/>
        <v>2178.6508517162702</v>
      </c>
      <c r="BP12" s="1">
        <f>+datos!EA1</f>
        <v>131</v>
      </c>
      <c r="BQ12" s="1">
        <f t="shared" si="21"/>
        <v>34066000</v>
      </c>
      <c r="BR12" s="1">
        <f t="shared" si="21"/>
        <v>34637000</v>
      </c>
      <c r="BT12" s="1">
        <f>+datos!FV1</f>
        <v>178</v>
      </c>
      <c r="BU12" s="1">
        <f t="shared" si="22"/>
        <v>108023000</v>
      </c>
      <c r="BV12" s="1">
        <f t="shared" si="22"/>
        <v>118055000</v>
      </c>
      <c r="BX12" s="1">
        <f>+datos!LQ1</f>
        <v>329</v>
      </c>
      <c r="BY12" s="1">
        <f>+SUM(CJ12:CU12)</f>
        <v>36185.179397789994</v>
      </c>
      <c r="BZ12" s="1">
        <f t="shared" si="40"/>
        <v>59205.297880149992</v>
      </c>
      <c r="CB12" s="1">
        <f>+datos!LU1</f>
        <v>333</v>
      </c>
      <c r="CC12" s="2">
        <f t="shared" si="23"/>
        <v>5418.0159825700002</v>
      </c>
      <c r="CD12" s="2">
        <f t="shared" si="24"/>
        <v>2275.1238124800002</v>
      </c>
      <c r="CF12" s="1">
        <f>+datos!II1</f>
        <v>243</v>
      </c>
      <c r="CG12" s="1">
        <f t="shared" si="25"/>
        <v>73450000</v>
      </c>
      <c r="CH12" s="1">
        <f t="shared" si="26"/>
        <v>75060000</v>
      </c>
      <c r="CJ12" s="1">
        <f>+VLOOKUP(CJ$1,ran_dat,$BX12,FALSE)</f>
        <v>2955.6698254600001</v>
      </c>
      <c r="CK12" s="1">
        <f t="shared" si="27"/>
        <v>2441.9361675499999</v>
      </c>
      <c r="CL12" s="1">
        <f t="shared" si="27"/>
        <v>2439.6070879799995</v>
      </c>
      <c r="CM12" s="1">
        <f t="shared" si="27"/>
        <v>2937.94498135</v>
      </c>
      <c r="CN12" s="1">
        <f t="shared" si="27"/>
        <v>3422.8062754199996</v>
      </c>
      <c r="CO12" s="1">
        <f t="shared" si="27"/>
        <v>3305.4373540500001</v>
      </c>
      <c r="CP12" s="1">
        <f t="shared" si="27"/>
        <v>3388.1727426199996</v>
      </c>
      <c r="CQ12" s="1">
        <f t="shared" si="27"/>
        <v>3792.8302867999996</v>
      </c>
      <c r="CR12" s="1">
        <f t="shared" si="27"/>
        <v>3116.9694759099998</v>
      </c>
      <c r="CS12" s="1">
        <f t="shared" si="27"/>
        <v>2868.8536445099994</v>
      </c>
      <c r="CT12" s="1">
        <f t="shared" si="27"/>
        <v>2796.6599858300006</v>
      </c>
      <c r="CU12" s="1">
        <f t="shared" si="27"/>
        <v>2718.2915703099998</v>
      </c>
      <c r="CV12" s="1">
        <f t="shared" si="27"/>
        <v>4151.50946449</v>
      </c>
      <c r="CW12" s="1">
        <f t="shared" si="27"/>
        <v>4450.8165799199996</v>
      </c>
      <c r="CX12" s="1">
        <f t="shared" si="27"/>
        <v>4813.7104364100005</v>
      </c>
      <c r="CY12" s="1">
        <f t="shared" si="27"/>
        <v>4478.853701</v>
      </c>
      <c r="CZ12" s="1">
        <f t="shared" si="28"/>
        <v>4612.5251936800005</v>
      </c>
      <c r="DA12" s="1">
        <f t="shared" si="28"/>
        <v>5195.93512749</v>
      </c>
      <c r="DB12" s="1">
        <f t="shared" si="28"/>
        <v>5746.4543398300002</v>
      </c>
      <c r="DC12" s="1">
        <f t="shared" si="28"/>
        <v>6546.8492174599996</v>
      </c>
      <c r="DD12" s="1">
        <f t="shared" si="28"/>
        <v>5984.8672564199987</v>
      </c>
      <c r="DE12" s="1">
        <f t="shared" si="28"/>
        <v>4770.1049779499999</v>
      </c>
      <c r="DF12" s="1">
        <f t="shared" si="28"/>
        <v>4185.3003832800005</v>
      </c>
      <c r="DG12" s="1">
        <f t="shared" si="28"/>
        <v>4268.3712022199998</v>
      </c>
      <c r="DI12" s="1">
        <f t="shared" si="29"/>
        <v>301.92103216000004</v>
      </c>
      <c r="DJ12" s="1">
        <f t="shared" si="29"/>
        <v>260.76831764999997</v>
      </c>
      <c r="DK12" s="1">
        <f t="shared" si="29"/>
        <v>244.67742642000002</v>
      </c>
      <c r="DL12" s="1">
        <f t="shared" si="29"/>
        <v>322.58249758000005</v>
      </c>
      <c r="DM12" s="1">
        <f t="shared" si="29"/>
        <v>495.08938117000014</v>
      </c>
      <c r="DN12" s="1">
        <f t="shared" si="29"/>
        <v>539.06610803000001</v>
      </c>
      <c r="DO12" s="1">
        <f t="shared" si="29"/>
        <v>828.84254484999997</v>
      </c>
      <c r="DP12" s="1">
        <f t="shared" si="29"/>
        <v>679.74768902999983</v>
      </c>
      <c r="DQ12" s="1">
        <f t="shared" si="29"/>
        <v>678.42759025000009</v>
      </c>
      <c r="DR12" s="1">
        <f t="shared" si="29"/>
        <v>816.99926951999987</v>
      </c>
      <c r="DS12" s="1">
        <f t="shared" si="29"/>
        <v>236.29083821</v>
      </c>
      <c r="DT12" s="1">
        <f t="shared" si="29"/>
        <v>13.603287699999997</v>
      </c>
      <c r="DU12" s="1">
        <f t="shared" si="29"/>
        <v>8.4785749999999993E-2</v>
      </c>
      <c r="DV12" s="1">
        <f t="shared" si="29"/>
        <v>140.70586015999999</v>
      </c>
      <c r="DW12" s="1">
        <f t="shared" si="29"/>
        <v>7.5318475299999985</v>
      </c>
      <c r="DX12" s="1">
        <f t="shared" si="29"/>
        <v>157.51314244999998</v>
      </c>
      <c r="DY12" s="1">
        <f t="shared" si="30"/>
        <v>227.42549563</v>
      </c>
      <c r="DZ12" s="1">
        <f t="shared" si="30"/>
        <v>265.08736985999997</v>
      </c>
      <c r="EA12" s="1">
        <f t="shared" si="30"/>
        <v>444.08673073</v>
      </c>
      <c r="EB12" s="1">
        <f t="shared" si="30"/>
        <v>372.45221643000002</v>
      </c>
      <c r="EC12" s="1">
        <f t="shared" si="30"/>
        <v>268.34042300999999</v>
      </c>
      <c r="ED12" s="1">
        <f t="shared" si="30"/>
        <v>282.58655924999999</v>
      </c>
      <c r="EE12" s="1">
        <f t="shared" si="30"/>
        <v>100.87616828000002</v>
      </c>
      <c r="EF12" s="1">
        <f t="shared" si="30"/>
        <v>8.4332133999999996</v>
      </c>
      <c r="EH12" s="14">
        <f t="shared" si="31"/>
        <v>73450000</v>
      </c>
      <c r="EI12" s="14">
        <f t="shared" si="31"/>
        <v>73450000</v>
      </c>
      <c r="EJ12" s="1">
        <f t="shared" si="31"/>
        <v>73450000</v>
      </c>
      <c r="EK12" s="1">
        <f t="shared" si="31"/>
        <v>73450000</v>
      </c>
      <c r="EL12" s="1">
        <f t="shared" si="31"/>
        <v>73450000</v>
      </c>
      <c r="EM12" s="1">
        <f t="shared" si="31"/>
        <v>73450000</v>
      </c>
      <c r="EN12" s="1">
        <f t="shared" si="31"/>
        <v>73450000</v>
      </c>
      <c r="EO12" s="1">
        <f t="shared" si="31"/>
        <v>73450000</v>
      </c>
      <c r="EP12" s="1">
        <f t="shared" si="31"/>
        <v>73450000</v>
      </c>
      <c r="EQ12" s="1">
        <f t="shared" si="31"/>
        <v>74890000</v>
      </c>
      <c r="ER12" s="1">
        <f t="shared" si="31"/>
        <v>75510000</v>
      </c>
      <c r="ES12" s="1">
        <f t="shared" si="31"/>
        <v>75510000</v>
      </c>
      <c r="ET12" s="1">
        <f t="shared" si="31"/>
        <v>75060000</v>
      </c>
      <c r="EU12" s="1">
        <f t="shared" si="31"/>
        <v>75060000</v>
      </c>
      <c r="EV12" s="1">
        <f t="shared" si="31"/>
        <v>75060000</v>
      </c>
      <c r="EW12" s="1">
        <f t="shared" si="31"/>
        <v>75060000</v>
      </c>
      <c r="EX12" s="1">
        <f t="shared" si="32"/>
        <v>75060000</v>
      </c>
      <c r="EY12" s="1">
        <f t="shared" si="32"/>
        <v>75060000</v>
      </c>
      <c r="EZ12" s="1">
        <f t="shared" si="32"/>
        <v>75060000</v>
      </c>
      <c r="FA12" s="1">
        <f t="shared" si="32"/>
        <v>75060000</v>
      </c>
      <c r="FB12" s="1">
        <f t="shared" si="32"/>
        <v>75060000</v>
      </c>
      <c r="FC12" s="1">
        <f t="shared" si="32"/>
        <v>80270000</v>
      </c>
      <c r="FD12" s="1">
        <f t="shared" si="32"/>
        <v>80260000</v>
      </c>
      <c r="FE12" s="1">
        <f t="shared" si="32"/>
        <v>80260000</v>
      </c>
      <c r="FG12" s="162">
        <f t="shared" si="33"/>
        <v>-0.18969468862498262</v>
      </c>
    </row>
    <row r="13" spans="1:163" ht="30" customHeight="1">
      <c r="A13" s="226" t="s">
        <v>217</v>
      </c>
      <c r="B13" s="227"/>
      <c r="C13" s="228">
        <f t="shared" si="5"/>
        <v>0</v>
      </c>
      <c r="D13" s="229">
        <v>-1</v>
      </c>
      <c r="E13" s="230">
        <f t="shared" si="6"/>
        <v>0.10417482983355275</v>
      </c>
      <c r="F13" s="231">
        <f t="shared" si="7"/>
        <v>-0.15048192000881566</v>
      </c>
      <c r="G13" s="230">
        <f t="shared" si="8"/>
        <v>0.53373223274361847</v>
      </c>
      <c r="H13" s="231">
        <f t="shared" si="9"/>
        <v>-0.42955740291006572</v>
      </c>
      <c r="I13" s="230">
        <f t="shared" si="10"/>
        <v>1.5083633766061668</v>
      </c>
      <c r="J13" s="231">
        <f t="shared" si="11"/>
        <v>-0.6056787527786387</v>
      </c>
      <c r="K13" s="230">
        <f t="shared" si="34"/>
        <v>2.1547683228938506</v>
      </c>
      <c r="L13" s="231">
        <f t="shared" si="12"/>
        <v>-0.64640494628768375</v>
      </c>
      <c r="M13" s="232"/>
      <c r="N13" s="229">
        <v>0</v>
      </c>
      <c r="O13" s="230">
        <f t="shared" si="35"/>
        <v>5.1939025353447521E-2</v>
      </c>
      <c r="P13" s="233">
        <f t="shared" si="36"/>
        <v>5.1939025353447521E-2</v>
      </c>
      <c r="Q13" s="230">
        <f t="shared" si="13"/>
        <v>2.2927268344425489E-2</v>
      </c>
      <c r="R13" s="234">
        <f t="shared" si="37"/>
        <v>2.2927268344425489E-2</v>
      </c>
      <c r="S13" s="232"/>
      <c r="T13" s="229">
        <v>1</v>
      </c>
      <c r="U13" s="230">
        <f t="shared" si="14"/>
        <v>0.16471424673205903</v>
      </c>
      <c r="V13" s="235">
        <f t="shared" si="15"/>
        <v>0.16471424673205903</v>
      </c>
      <c r="W13" s="230">
        <f t="shared" si="38"/>
        <v>-0.3184618970109091</v>
      </c>
      <c r="X13" s="235">
        <f t="shared" si="16"/>
        <v>-0.3184618970109091</v>
      </c>
      <c r="Y13" s="230" t="str">
        <f t="shared" si="17"/>
        <v/>
      </c>
      <c r="Z13" s="235" t="str">
        <f t="shared" si="18"/>
        <v/>
      </c>
      <c r="AA13" s="238"/>
      <c r="AB13" s="237" t="s">
        <v>443</v>
      </c>
      <c r="AC13" s="61" t="s">
        <v>289</v>
      </c>
      <c r="AD13" s="61" t="s">
        <v>289</v>
      </c>
      <c r="AE13" s="61" t="s">
        <v>289</v>
      </c>
      <c r="AF13" s="61" t="s">
        <v>289</v>
      </c>
      <c r="AG13" s="61" t="s">
        <v>289</v>
      </c>
      <c r="AH13" s="61" t="s">
        <v>289</v>
      </c>
      <c r="AI13" s="61" t="s">
        <v>289</v>
      </c>
      <c r="AJ13" s="61" t="s">
        <v>289</v>
      </c>
      <c r="AK13" s="61" t="s">
        <v>289</v>
      </c>
      <c r="AL13" s="61" t="s">
        <v>289</v>
      </c>
      <c r="AM13" s="61" t="s">
        <v>289</v>
      </c>
      <c r="AN13" s="61" t="s">
        <v>289</v>
      </c>
      <c r="AP13" s="28">
        <f>VLOOKUP($A13,historia!$A$5:$CM$24,+HLOOKUP(AP$2,historia!$A$3:$EC$4,2,FALSE),FALSE)</f>
        <v>3</v>
      </c>
      <c r="AQ13" s="28">
        <f>VLOOKUP($A13,historia!$A$5:$CM$24,+HLOOKUP(AQ$2,historia!$A$3:$EC$4,2,FALSE),FALSE)</f>
        <v>3</v>
      </c>
      <c r="AR13" s="28">
        <f>VLOOKUP($A13,historia!$A$5:$CM$24,+HLOOKUP(AR$2,historia!$A$3:$EC$4,2,FALSE),FALSE)</f>
        <v>3</v>
      </c>
      <c r="AS13" s="28">
        <f>VLOOKUP($A13,historia!$A$5:$CM$24,+HLOOKUP(AS$2,historia!$A$3:$EC$4,2,FALSE),FALSE)</f>
        <v>3</v>
      </c>
      <c r="AT13" s="58">
        <f>VLOOKUP($A13,historia!$A$5:$CM$24,+HLOOKUP(AT$2,historia!$A$3:$EC$4,2,FALSE),FALSE)</f>
        <v>3</v>
      </c>
      <c r="AU13" s="58">
        <f>VLOOKUP($A13,historia!$A$5:$CM$24,+HLOOKUP(AU$2,historia!$A$3:$EC$4,2,FALSE),FALSE)</f>
        <v>3</v>
      </c>
      <c r="AV13" s="58">
        <f>VLOOKUP($A13,historia!$A$5:$CM$24,+HLOOKUP(AV$2,historia!$A$3:$EC$4,2,FALSE),FALSE)</f>
        <v>3</v>
      </c>
      <c r="AW13" s="58">
        <f>VLOOKUP($A13,historia!$A$5:$CM$24,+HLOOKUP(AW$2,historia!$A$3:$EC$4,2,FALSE),FALSE)</f>
        <v>3</v>
      </c>
      <c r="AX13" s="58">
        <f>VLOOKUP($A13,historia!$A$5:$CM$24,+HLOOKUP(AX$2,historia!$A$3:$EC$4,2,FALSE),FALSE)</f>
        <v>3</v>
      </c>
      <c r="AY13" s="58">
        <f>VLOOKUP($A13,historia!$A$5:$CM$24,+HLOOKUP(AY$2,historia!$A$3:$EC$4,2,FALSE),FALSE)</f>
        <v>3</v>
      </c>
      <c r="AZ13" s="58">
        <f>VLOOKUP($A13,historia!$A$5:$CM$24,+HLOOKUP(AZ$2,historia!$A$3:$EC$4,2,FALSE),FALSE)</f>
        <v>3</v>
      </c>
      <c r="BA13" s="58">
        <f>VLOOKUP($A13,historia!$A$5:$CM$24,+HLOOKUP(BA$2,historia!$A$3:$EC$4,2,FALSE),FALSE)</f>
        <v>3</v>
      </c>
      <c r="BB13" s="30"/>
      <c r="BC13" s="141">
        <v>3</v>
      </c>
      <c r="BD13" t="str">
        <f t="shared" si="19"/>
        <v>Hortalizas</v>
      </c>
      <c r="BE13">
        <f>+datos!BB1</f>
        <v>54</v>
      </c>
      <c r="BF13" s="2" t="str">
        <f t="shared" si="4"/>
        <v>$/kg</v>
      </c>
      <c r="BG13" s="2">
        <f t="shared" si="4"/>
        <v>4469.7098937820738</v>
      </c>
      <c r="BH13" s="2">
        <f t="shared" si="4"/>
        <v>4048.0092219235366</v>
      </c>
      <c r="BI13" s="2">
        <f t="shared" si="4"/>
        <v>1781.9228009259259</v>
      </c>
      <c r="BK13">
        <f>+datos!CO1</f>
        <v>93</v>
      </c>
      <c r="BL13" s="2">
        <f t="shared" si="20"/>
        <v>5932.0172793836873</v>
      </c>
      <c r="BM13" s="2">
        <f t="shared" si="20"/>
        <v>3867.7007320711987</v>
      </c>
      <c r="BN13" s="2">
        <f t="shared" si="20"/>
        <v>1880.3337273091047</v>
      </c>
      <c r="BP13" s="1">
        <f>+datos!EX1</f>
        <v>154</v>
      </c>
      <c r="BQ13" s="1">
        <f t="shared" si="21"/>
        <v>66593</v>
      </c>
      <c r="BR13" s="1">
        <f t="shared" si="21"/>
        <v>63305</v>
      </c>
      <c r="BT13" s="1">
        <f>+datos!GN1</f>
        <v>196</v>
      </c>
      <c r="BU13" s="1">
        <f t="shared" si="22"/>
        <v>2677912.56</v>
      </c>
      <c r="BV13" s="1">
        <f t="shared" si="22"/>
        <v>2617891.46</v>
      </c>
      <c r="BX13" s="1">
        <f>+datos!LR1</f>
        <v>330</v>
      </c>
      <c r="BY13" s="1">
        <f t="shared" si="39"/>
        <v>61.583468979999999</v>
      </c>
      <c r="BZ13" s="1">
        <f t="shared" si="40"/>
        <v>52.874315869999997</v>
      </c>
      <c r="CB13" s="1">
        <f>+datos!LV1</f>
        <v>334</v>
      </c>
      <c r="CC13" s="2">
        <f t="shared" si="23"/>
        <v>18.190124009999998</v>
      </c>
      <c r="CD13" s="2">
        <f t="shared" si="24"/>
        <v>26.689812249999999</v>
      </c>
      <c r="CF13" s="1">
        <f>+datos!IX1</f>
        <v>258</v>
      </c>
      <c r="CG13" s="1">
        <f t="shared" si="25"/>
        <v>0</v>
      </c>
      <c r="CH13" s="1">
        <f t="shared" si="26"/>
        <v>0</v>
      </c>
      <c r="CJ13" s="1">
        <f t="shared" si="27"/>
        <v>4.244482989999999</v>
      </c>
      <c r="CK13" s="1">
        <f t="shared" si="27"/>
        <v>3.7692072699999999</v>
      </c>
      <c r="CL13" s="1">
        <f t="shared" si="27"/>
        <v>4.3561451300000007</v>
      </c>
      <c r="CM13" s="1">
        <f t="shared" si="27"/>
        <v>2.35708815</v>
      </c>
      <c r="CN13" s="1">
        <f t="shared" si="27"/>
        <v>2.9990922500000003</v>
      </c>
      <c r="CO13" s="1">
        <f t="shared" si="27"/>
        <v>4.9654154400000001</v>
      </c>
      <c r="CP13" s="1">
        <f t="shared" si="27"/>
        <v>7.7556872599999993</v>
      </c>
      <c r="CQ13" s="1">
        <f t="shared" si="27"/>
        <v>10.641103850000002</v>
      </c>
      <c r="CR13" s="1">
        <f t="shared" si="27"/>
        <v>9.2379974100000002</v>
      </c>
      <c r="CS13" s="1">
        <f t="shared" si="27"/>
        <v>6.8023944899999993</v>
      </c>
      <c r="CT13" s="1">
        <f t="shared" si="27"/>
        <v>2.5188479500000001</v>
      </c>
      <c r="CU13" s="1">
        <f t="shared" si="27"/>
        <v>1.93600679</v>
      </c>
      <c r="CV13" s="1">
        <f t="shared" si="27"/>
        <v>3.7029913799999998</v>
      </c>
      <c r="CW13" s="1">
        <f t="shared" si="27"/>
        <v>3.1144052499999999</v>
      </c>
      <c r="CX13" s="1">
        <f t="shared" si="27"/>
        <v>2.0701945399999997</v>
      </c>
      <c r="CY13" s="1">
        <f t="shared" si="27"/>
        <v>2.0629542399999998</v>
      </c>
      <c r="CZ13" s="1">
        <f t="shared" si="28"/>
        <v>2.51054522</v>
      </c>
      <c r="DA13" s="1">
        <f t="shared" si="28"/>
        <v>2.2984328500000002</v>
      </c>
      <c r="DB13" s="1">
        <f t="shared" si="28"/>
        <v>3.8278206699999999</v>
      </c>
      <c r="DC13" s="1">
        <f t="shared" si="28"/>
        <v>11.23098199</v>
      </c>
      <c r="DD13" s="1">
        <f t="shared" si="28"/>
        <v>8.9491606099999998</v>
      </c>
      <c r="DE13" s="1">
        <f t="shared" si="28"/>
        <v>7.7927078999999999</v>
      </c>
      <c r="DF13" s="1">
        <f t="shared" si="28"/>
        <v>2.5138417500000001</v>
      </c>
      <c r="DG13" s="1">
        <f t="shared" si="28"/>
        <v>2.80027947</v>
      </c>
      <c r="DI13" s="1">
        <f t="shared" si="29"/>
        <v>1.38860757</v>
      </c>
      <c r="DJ13" s="1">
        <f t="shared" si="29"/>
        <v>1.9631409899999996</v>
      </c>
      <c r="DK13" s="1">
        <f t="shared" si="29"/>
        <v>1.5225679400000001</v>
      </c>
      <c r="DL13" s="1">
        <f t="shared" si="29"/>
        <v>1.3263511099999998</v>
      </c>
      <c r="DM13" s="1">
        <f t="shared" si="29"/>
        <v>2.5091586699999997</v>
      </c>
      <c r="DN13" s="1">
        <f t="shared" si="29"/>
        <v>1.6528733800000002</v>
      </c>
      <c r="DO13" s="1">
        <f t="shared" si="29"/>
        <v>0.42388491999999994</v>
      </c>
      <c r="DP13" s="1">
        <f t="shared" si="29"/>
        <v>1.7301791</v>
      </c>
      <c r="DQ13" s="1">
        <f t="shared" si="29"/>
        <v>2.0483479400000002</v>
      </c>
      <c r="DR13" s="1">
        <f t="shared" si="29"/>
        <v>0.56045690999999997</v>
      </c>
      <c r="DS13" s="1">
        <f t="shared" si="29"/>
        <v>1.1333685500000001</v>
      </c>
      <c r="DT13" s="1">
        <f t="shared" si="29"/>
        <v>1.93118693</v>
      </c>
      <c r="DU13" s="1">
        <f t="shared" si="29"/>
        <v>0.60248590000000002</v>
      </c>
      <c r="DV13" s="1">
        <f t="shared" si="29"/>
        <v>0.87790919000000001</v>
      </c>
      <c r="DW13" s="1">
        <f t="shared" si="29"/>
        <v>1.4386166999999999</v>
      </c>
      <c r="DX13" s="1">
        <f t="shared" si="29"/>
        <v>5.8540475399999998</v>
      </c>
      <c r="DY13" s="1">
        <f t="shared" si="30"/>
        <v>5.5126731700000002</v>
      </c>
      <c r="DZ13" s="1">
        <f t="shared" si="30"/>
        <v>2.0048543400000001</v>
      </c>
      <c r="EA13" s="1">
        <f t="shared" si="30"/>
        <v>1.96789565</v>
      </c>
      <c r="EB13" s="1">
        <f t="shared" si="30"/>
        <v>1.35731402</v>
      </c>
      <c r="EC13" s="1">
        <f t="shared" si="30"/>
        <v>2.5763999899999996</v>
      </c>
      <c r="ED13" s="1">
        <f t="shared" si="30"/>
        <v>1.9681859399999997</v>
      </c>
      <c r="EE13" s="1">
        <f t="shared" si="30"/>
        <v>1.3509551799999999</v>
      </c>
      <c r="EF13" s="1">
        <f t="shared" si="30"/>
        <v>1.17847463</v>
      </c>
      <c r="EH13" s="14">
        <f t="shared" si="31"/>
        <v>0</v>
      </c>
      <c r="EI13" s="14">
        <f t="shared" si="31"/>
        <v>0</v>
      </c>
      <c r="EJ13" s="1">
        <f t="shared" si="31"/>
        <v>0</v>
      </c>
      <c r="EK13" s="1">
        <f t="shared" si="31"/>
        <v>0</v>
      </c>
      <c r="EL13" s="1">
        <f t="shared" si="31"/>
        <v>0</v>
      </c>
      <c r="EM13" s="1">
        <f t="shared" si="31"/>
        <v>0</v>
      </c>
      <c r="EN13" s="1">
        <f t="shared" si="31"/>
        <v>0</v>
      </c>
      <c r="EO13" s="1">
        <f t="shared" si="31"/>
        <v>0</v>
      </c>
      <c r="EP13" s="1">
        <f t="shared" si="31"/>
        <v>0</v>
      </c>
      <c r="EQ13" s="1">
        <f t="shared" si="31"/>
        <v>0</v>
      </c>
      <c r="ER13" s="1">
        <f t="shared" si="31"/>
        <v>0</v>
      </c>
      <c r="ES13" s="1">
        <f t="shared" si="31"/>
        <v>0</v>
      </c>
      <c r="ET13" s="1">
        <f t="shared" si="31"/>
        <v>0</v>
      </c>
      <c r="EU13" s="1">
        <f t="shared" si="31"/>
        <v>0</v>
      </c>
      <c r="EV13" s="1">
        <f t="shared" si="31"/>
        <v>0</v>
      </c>
      <c r="EW13" s="1">
        <f t="shared" si="31"/>
        <v>0</v>
      </c>
      <c r="EX13" s="1">
        <f t="shared" si="32"/>
        <v>0</v>
      </c>
      <c r="EY13" s="1">
        <f t="shared" si="32"/>
        <v>0</v>
      </c>
      <c r="EZ13" s="1">
        <f t="shared" si="32"/>
        <v>0</v>
      </c>
      <c r="FA13" s="1">
        <f t="shared" si="32"/>
        <v>0</v>
      </c>
      <c r="FB13" s="1">
        <f t="shared" si="32"/>
        <v>0</v>
      </c>
      <c r="FC13" s="1">
        <f t="shared" si="32"/>
        <v>0</v>
      </c>
      <c r="FD13" s="1">
        <f t="shared" si="32"/>
        <v>0</v>
      </c>
      <c r="FE13" s="1">
        <f t="shared" si="32"/>
        <v>0</v>
      </c>
      <c r="FG13" s="162">
        <f t="shared" si="33"/>
        <v>-0.64640494628768375</v>
      </c>
    </row>
    <row r="14" spans="1:163" ht="30" customHeight="1">
      <c r="A14" s="222" t="s">
        <v>65</v>
      </c>
      <c r="B14" s="212"/>
      <c r="C14" s="156">
        <f t="shared" si="5"/>
        <v>-0.99</v>
      </c>
      <c r="D14" s="198">
        <v>-1</v>
      </c>
      <c r="E14" s="213">
        <f t="shared" si="6"/>
        <v>0.29091393907072871</v>
      </c>
      <c r="F14" s="214">
        <f t="shared" si="7"/>
        <v>3.6257189228360298E-2</v>
      </c>
      <c r="G14" s="213">
        <f>IFERROR(+BL14/BM14-1,"")</f>
        <v>0.90578498034156163</v>
      </c>
      <c r="H14" s="214">
        <f>E14-G14</f>
        <v>-0.61487104127083292</v>
      </c>
      <c r="I14" s="213">
        <f t="shared" si="10"/>
        <v>1.9234601449275366</v>
      </c>
      <c r="J14" s="214">
        <f t="shared" si="11"/>
        <v>-0.19058198445726893</v>
      </c>
      <c r="K14" s="213">
        <f>IFERROR(+BL14/BN14-1,"")</f>
        <v>2.2233017085796818</v>
      </c>
      <c r="L14" s="214">
        <f>I14-K14</f>
        <v>-0.2998415636521452</v>
      </c>
      <c r="M14" s="215"/>
      <c r="N14" s="198">
        <v>-1</v>
      </c>
      <c r="O14" s="213">
        <f t="shared" si="35"/>
        <v>0</v>
      </c>
      <c r="P14" s="216">
        <f t="shared" si="36"/>
        <v>0</v>
      </c>
      <c r="Q14" s="213">
        <f t="shared" si="13"/>
        <v>-2.0494517946328616E-2</v>
      </c>
      <c r="R14" s="217">
        <f t="shared" si="37"/>
        <v>-2.0494517946328616E-2</v>
      </c>
      <c r="S14" s="215"/>
      <c r="T14" s="198">
        <v>-1</v>
      </c>
      <c r="U14" s="213">
        <f t="shared" si="14"/>
        <v>-0.19029331499782809</v>
      </c>
      <c r="V14" s="45">
        <f t="shared" si="15"/>
        <v>-0.19029331499782809</v>
      </c>
      <c r="W14" s="213">
        <f t="shared" si="38"/>
        <v>-0.19155458763834643</v>
      </c>
      <c r="X14" s="45">
        <f t="shared" si="16"/>
        <v>-0.19155458763834643</v>
      </c>
      <c r="Y14" s="213">
        <f t="shared" si="17"/>
        <v>4.347826086956541E-2</v>
      </c>
      <c r="Z14" s="45">
        <f t="shared" si="18"/>
        <v>4.347826086956541E-2</v>
      </c>
      <c r="AA14" s="30"/>
      <c r="AB14" s="225" t="s">
        <v>444</v>
      </c>
      <c r="AC14" s="61" t="s">
        <v>289</v>
      </c>
      <c r="AD14" s="61" t="s">
        <v>289</v>
      </c>
      <c r="AE14" s="61" t="s">
        <v>289</v>
      </c>
      <c r="AF14" s="61" t="s">
        <v>289</v>
      </c>
      <c r="AG14" s="61" t="s">
        <v>289</v>
      </c>
      <c r="AH14" s="61" t="s">
        <v>289</v>
      </c>
      <c r="AI14" s="61" t="s">
        <v>289</v>
      </c>
      <c r="AJ14" s="61" t="s">
        <v>289</v>
      </c>
      <c r="AK14" s="61" t="s">
        <v>289</v>
      </c>
      <c r="AL14" s="61" t="s">
        <v>289</v>
      </c>
      <c r="AM14" s="61" t="s">
        <v>289</v>
      </c>
      <c r="AN14" s="61" t="s">
        <v>289</v>
      </c>
      <c r="AP14" s="28">
        <f>VLOOKUP($A14,historia!$A$5:$CM$24,+HLOOKUP(AP$2,historia!$A$3:$EC$4,2,FALSE),FALSE)</f>
        <v>5</v>
      </c>
      <c r="AQ14" s="28">
        <f>VLOOKUP($A14,historia!$A$5:$CM$24,+HLOOKUP(AQ$2,historia!$A$3:$EC$4,2,FALSE),FALSE)</f>
        <v>5</v>
      </c>
      <c r="AR14" s="28">
        <f>VLOOKUP($A14,historia!$A$5:$CM$24,+HLOOKUP(AR$2,historia!$A$3:$EC$4,2,FALSE),FALSE)</f>
        <v>5</v>
      </c>
      <c r="AS14" s="28">
        <f>VLOOKUP($A14,historia!$A$5:$CM$24,+HLOOKUP(AS$2,historia!$A$3:$EC$4,2,FALSE),FALSE)</f>
        <v>5</v>
      </c>
      <c r="AT14" s="58">
        <f>VLOOKUP($A14,historia!$A$5:$CM$24,+HLOOKUP(AT$2,historia!$A$3:$EC$4,2,FALSE),FALSE)</f>
        <v>5</v>
      </c>
      <c r="AU14" s="58">
        <f>VLOOKUP($A14,historia!$A$5:$CM$24,+HLOOKUP(AU$2,historia!$A$3:$EC$4,2,FALSE),FALSE)</f>
        <v>5</v>
      </c>
      <c r="AV14" s="58">
        <f>VLOOKUP($A14,historia!$A$5:$CM$24,+HLOOKUP(AV$2,historia!$A$3:$EC$4,2,FALSE),FALSE)</f>
        <v>5</v>
      </c>
      <c r="AW14" s="58">
        <f>VLOOKUP($A14,historia!$A$5:$CM$24,+HLOOKUP(AW$2,historia!$A$3:$EC$4,2,FALSE),FALSE)</f>
        <v>5</v>
      </c>
      <c r="AX14" s="58">
        <f>VLOOKUP($A14,historia!$A$5:$CM$24,+HLOOKUP(AX$2,historia!$A$3:$EC$4,2,FALSE),FALSE)</f>
        <v>5</v>
      </c>
      <c r="AY14" s="58">
        <f>VLOOKUP($A14,historia!$A$5:$CM$24,+HLOOKUP(AY$2,historia!$A$3:$EC$4,2,FALSE),FALSE)</f>
        <v>5</v>
      </c>
      <c r="AZ14" s="58">
        <f>VLOOKUP($A14,historia!$A$5:$CM$24,+HLOOKUP(AZ$2,historia!$A$3:$EC$4,2,FALSE),FALSE)</f>
        <v>5</v>
      </c>
      <c r="BA14" s="58">
        <f>VLOOKUP($A14,historia!$A$5:$CM$24,+HLOOKUP(BA$2,historia!$A$3:$EC$4,2,FALSE),FALSE)</f>
        <v>5</v>
      </c>
      <c r="BB14" s="30"/>
      <c r="BC14" s="141">
        <v>5</v>
      </c>
      <c r="BD14" t="str">
        <f t="shared" si="19"/>
        <v>Leche</v>
      </c>
      <c r="BE14">
        <f>+datos!BN1</f>
        <v>66</v>
      </c>
      <c r="BF14" s="2" t="str">
        <f t="shared" si="4"/>
        <v>$/l</v>
      </c>
      <c r="BG14" s="2">
        <f t="shared" si="4"/>
        <v>193.65</v>
      </c>
      <c r="BH14" s="2">
        <f t="shared" si="4"/>
        <v>150.01</v>
      </c>
      <c r="BI14" s="2">
        <f t="shared" si="4"/>
        <v>66.239999999999995</v>
      </c>
      <c r="BK14">
        <f>+datos!DC1</f>
        <v>107</v>
      </c>
      <c r="BL14" s="2">
        <f t="shared" si="20"/>
        <v>6723.0921390817766</v>
      </c>
      <c r="BM14" s="2">
        <f t="shared" si="20"/>
        <v>3527.7285782139179</v>
      </c>
      <c r="BN14" s="2">
        <f t="shared" si="20"/>
        <v>2085.7781079526203</v>
      </c>
      <c r="BP14" s="1">
        <f>+datos!EN1</f>
        <v>144</v>
      </c>
      <c r="BQ14" s="1">
        <f t="shared" si="21"/>
        <v>3169981</v>
      </c>
      <c r="BR14" s="1">
        <f t="shared" si="21"/>
        <v>3169981</v>
      </c>
      <c r="BT14" s="1">
        <f>+datos!HP1</f>
        <v>224</v>
      </c>
      <c r="BU14" s="1">
        <f t="shared" si="22"/>
        <v>11320.683332000001</v>
      </c>
      <c r="BV14" s="1">
        <f t="shared" si="22"/>
        <v>11557.549742615622</v>
      </c>
      <c r="BX14" s="1">
        <f>+datos!KH1</f>
        <v>294</v>
      </c>
      <c r="BY14" s="1">
        <f t="shared" si="39"/>
        <v>1548.1244021499999</v>
      </c>
      <c r="BZ14" s="1">
        <f t="shared" si="40"/>
        <v>1911.9570467000001</v>
      </c>
      <c r="CB14" s="1">
        <f>+datos!LM1</f>
        <v>325</v>
      </c>
      <c r="CC14" s="2">
        <f t="shared" si="23"/>
        <v>26.024220249999996</v>
      </c>
      <c r="CD14" s="2">
        <f t="shared" si="24"/>
        <v>32.190448300000007</v>
      </c>
      <c r="CF14" s="1">
        <f>+datos!IN1</f>
        <v>248</v>
      </c>
      <c r="CG14" s="1">
        <f t="shared" si="25"/>
        <v>196.8</v>
      </c>
      <c r="CH14" s="1">
        <f t="shared" si="26"/>
        <v>188.6</v>
      </c>
      <c r="CJ14" s="1">
        <f t="shared" si="27"/>
        <v>153.04661877999999</v>
      </c>
      <c r="CK14" s="1">
        <f t="shared" si="27"/>
        <v>136.81239812999999</v>
      </c>
      <c r="CL14" s="1">
        <f t="shared" si="27"/>
        <v>134.16752365000002</v>
      </c>
      <c r="CM14" s="1">
        <f t="shared" si="27"/>
        <v>114.82793965999997</v>
      </c>
      <c r="CN14" s="1">
        <f t="shared" si="27"/>
        <v>120.47507141999999</v>
      </c>
      <c r="CO14" s="1">
        <f t="shared" si="27"/>
        <v>118.84770241</v>
      </c>
      <c r="CP14" s="1">
        <f t="shared" si="27"/>
        <v>100.85116919999999</v>
      </c>
      <c r="CQ14" s="1">
        <f t="shared" si="27"/>
        <v>116.29617616</v>
      </c>
      <c r="CR14" s="1">
        <f t="shared" si="27"/>
        <v>115.47027065</v>
      </c>
      <c r="CS14" s="1">
        <f t="shared" si="27"/>
        <v>138.26089648999999</v>
      </c>
      <c r="CT14" s="1">
        <f t="shared" si="27"/>
        <v>163.45053632000003</v>
      </c>
      <c r="CU14" s="1">
        <f t="shared" si="27"/>
        <v>135.61809928</v>
      </c>
      <c r="CV14" s="1">
        <f t="shared" si="27"/>
        <v>152.11245593000001</v>
      </c>
      <c r="CW14" s="1">
        <f t="shared" si="27"/>
        <v>167.62191332</v>
      </c>
      <c r="CX14" s="1">
        <f t="shared" si="27"/>
        <v>194.12902524000003</v>
      </c>
      <c r="CY14" s="1">
        <f t="shared" si="27"/>
        <v>153.24721415000002</v>
      </c>
      <c r="CZ14" s="1">
        <f t="shared" si="28"/>
        <v>146.24437125</v>
      </c>
      <c r="DA14" s="1">
        <f t="shared" si="28"/>
        <v>192.10888658000002</v>
      </c>
      <c r="DB14" s="1">
        <f t="shared" si="28"/>
        <v>152.44279752</v>
      </c>
      <c r="DC14" s="1">
        <f t="shared" si="28"/>
        <v>151.50018190000003</v>
      </c>
      <c r="DD14" s="1">
        <f t="shared" si="28"/>
        <v>143.54288933999999</v>
      </c>
      <c r="DE14" s="1">
        <f t="shared" si="28"/>
        <v>150.63131442000002</v>
      </c>
      <c r="DF14" s="1">
        <f t="shared" si="28"/>
        <v>146.77464456000001</v>
      </c>
      <c r="DG14" s="1">
        <f t="shared" si="28"/>
        <v>161.60135248999998</v>
      </c>
      <c r="DI14" s="1">
        <f t="shared" si="29"/>
        <v>1.8227840799999999</v>
      </c>
      <c r="DJ14" s="1">
        <f t="shared" si="29"/>
        <v>2.1288867499999999</v>
      </c>
      <c r="DK14" s="1">
        <f t="shared" si="29"/>
        <v>2.0947676</v>
      </c>
      <c r="DL14" s="1">
        <f t="shared" si="29"/>
        <v>1.2699740900000001</v>
      </c>
      <c r="DM14" s="1">
        <f t="shared" si="29"/>
        <v>1.3202370399999999</v>
      </c>
      <c r="DN14" s="1">
        <f t="shared" si="29"/>
        <v>2.29115132</v>
      </c>
      <c r="DO14" s="1">
        <f t="shared" si="29"/>
        <v>1.8108909100000001</v>
      </c>
      <c r="DP14" s="1">
        <f t="shared" si="29"/>
        <v>3.0093188999999998</v>
      </c>
      <c r="DQ14" s="1">
        <f t="shared" si="29"/>
        <v>2.2926081099999998</v>
      </c>
      <c r="DR14" s="1">
        <f t="shared" si="29"/>
        <v>3.2446467999999999</v>
      </c>
      <c r="DS14" s="1">
        <f t="shared" si="29"/>
        <v>2.3068511200000001</v>
      </c>
      <c r="DT14" s="1">
        <f t="shared" si="29"/>
        <v>2.4321035299999991</v>
      </c>
      <c r="DU14" s="1">
        <f t="shared" si="29"/>
        <v>0</v>
      </c>
      <c r="DV14" s="1">
        <f t="shared" si="29"/>
        <v>2.4168714900000001</v>
      </c>
      <c r="DW14" s="1">
        <f t="shared" si="29"/>
        <v>1.42944377</v>
      </c>
      <c r="DX14" s="1">
        <f t="shared" si="29"/>
        <v>2.4256843100000003</v>
      </c>
      <c r="DY14" s="1">
        <f t="shared" si="30"/>
        <v>4.1067614599999995</v>
      </c>
      <c r="DZ14" s="1">
        <f t="shared" si="30"/>
        <v>1.9338399900000003</v>
      </c>
      <c r="EA14" s="1">
        <f t="shared" si="30"/>
        <v>3.7249795299999997</v>
      </c>
      <c r="EB14" s="1">
        <f t="shared" si="30"/>
        <v>4.5194618700000007</v>
      </c>
      <c r="EC14" s="1">
        <f t="shared" si="30"/>
        <v>3.2917525699999999</v>
      </c>
      <c r="ED14" s="1">
        <f t="shared" si="30"/>
        <v>3.3109050799999999</v>
      </c>
      <c r="EE14" s="1">
        <f t="shared" si="30"/>
        <v>2.24095515</v>
      </c>
      <c r="EF14" s="1">
        <f t="shared" si="30"/>
        <v>2.7897930800000004</v>
      </c>
      <c r="EH14" s="14">
        <f t="shared" si="31"/>
        <v>196.8</v>
      </c>
      <c r="EI14" s="14">
        <f t="shared" si="31"/>
        <v>196.8</v>
      </c>
      <c r="EJ14" s="1">
        <f t="shared" si="31"/>
        <v>188.6</v>
      </c>
      <c r="EK14" s="1">
        <f t="shared" si="31"/>
        <v>188.6</v>
      </c>
      <c r="EL14" s="1">
        <f t="shared" si="31"/>
        <v>188.6</v>
      </c>
      <c r="EM14" s="1">
        <f t="shared" si="31"/>
        <v>188.6</v>
      </c>
      <c r="EN14" s="1">
        <f t="shared" si="31"/>
        <v>188.6</v>
      </c>
      <c r="EO14" s="1">
        <f t="shared" si="31"/>
        <v>188.6</v>
      </c>
      <c r="EP14" s="1">
        <f t="shared" si="31"/>
        <v>188.6</v>
      </c>
      <c r="EQ14" s="1">
        <f t="shared" si="31"/>
        <v>188.6</v>
      </c>
      <c r="ER14" s="1">
        <f t="shared" si="31"/>
        <v>188.6</v>
      </c>
      <c r="ES14" s="1">
        <f t="shared" si="31"/>
        <v>188.6</v>
      </c>
      <c r="ET14" s="1">
        <f t="shared" si="31"/>
        <v>188.6</v>
      </c>
      <c r="EU14" s="1">
        <f t="shared" si="31"/>
        <v>188.6</v>
      </c>
      <c r="EV14" s="1">
        <f t="shared" si="31"/>
        <v>185.6</v>
      </c>
      <c r="EW14" s="1">
        <f t="shared" si="31"/>
        <v>185.6</v>
      </c>
      <c r="EX14" s="1">
        <f t="shared" si="32"/>
        <v>189</v>
      </c>
      <c r="EY14" s="1">
        <f t="shared" si="32"/>
        <v>189</v>
      </c>
      <c r="EZ14" s="1">
        <f t="shared" si="32"/>
        <v>189</v>
      </c>
      <c r="FA14" s="1">
        <f t="shared" si="32"/>
        <v>189</v>
      </c>
      <c r="FB14" s="1">
        <f t="shared" si="32"/>
        <v>189</v>
      </c>
      <c r="FC14" s="1">
        <f t="shared" si="32"/>
        <v>189</v>
      </c>
      <c r="FD14" s="1">
        <f t="shared" si="32"/>
        <v>189</v>
      </c>
      <c r="FE14" s="1">
        <f t="shared" si="32"/>
        <v>189</v>
      </c>
      <c r="FG14" s="162">
        <f t="shared" si="33"/>
        <v>-0.2998415636521452</v>
      </c>
    </row>
    <row r="15" spans="1:163" ht="30" customHeight="1">
      <c r="A15" s="226" t="s">
        <v>68</v>
      </c>
      <c r="B15" s="227"/>
      <c r="C15" s="228">
        <f t="shared" si="5"/>
        <v>-0.33</v>
      </c>
      <c r="D15" s="229">
        <v>0</v>
      </c>
      <c r="E15" s="230">
        <f t="shared" si="6"/>
        <v>9.8264113711343359E-2</v>
      </c>
      <c r="F15" s="231">
        <f t="shared" si="7"/>
        <v>-0.15639263613102505</v>
      </c>
      <c r="G15" s="230">
        <f t="shared" si="8"/>
        <v>0.41983621669520188</v>
      </c>
      <c r="H15" s="231">
        <f t="shared" si="9"/>
        <v>-0.32157210298385852</v>
      </c>
      <c r="I15" s="230">
        <f t="shared" si="10"/>
        <v>0.67424589605292518</v>
      </c>
      <c r="J15" s="231">
        <f t="shared" si="11"/>
        <v>-1.4397962333318803</v>
      </c>
      <c r="K15" s="230">
        <f t="shared" si="34"/>
        <v>1.8315053440708171</v>
      </c>
      <c r="L15" s="231">
        <f t="shared" si="12"/>
        <v>-1.1572594480178919</v>
      </c>
      <c r="M15" s="232"/>
      <c r="N15" s="229">
        <v>0</v>
      </c>
      <c r="O15" s="230">
        <f t="shared" si="35"/>
        <v>7.1824031123746135E-3</v>
      </c>
      <c r="P15" s="233">
        <f t="shared" si="36"/>
        <v>7.1824031123746135E-3</v>
      </c>
      <c r="Q15" s="230">
        <f t="shared" si="13"/>
        <v>7.2628461940427158E-3</v>
      </c>
      <c r="R15" s="234">
        <f t="shared" si="37"/>
        <v>7.2628461940427158E-3</v>
      </c>
      <c r="S15" s="232"/>
      <c r="T15" s="229">
        <v>-1</v>
      </c>
      <c r="U15" s="230" t="str">
        <f t="shared" si="14"/>
        <v/>
      </c>
      <c r="V15" s="235" t="str">
        <f t="shared" si="15"/>
        <v/>
      </c>
      <c r="W15" s="230">
        <f t="shared" si="38"/>
        <v>-3.492769015566588E-2</v>
      </c>
      <c r="X15" s="235">
        <f t="shared" si="16"/>
        <v>-3.492769015566588E-2</v>
      </c>
      <c r="Y15" s="230">
        <f t="shared" si="17"/>
        <v>0</v>
      </c>
      <c r="Z15" s="235">
        <f t="shared" si="18"/>
        <v>0</v>
      </c>
      <c r="AA15" s="238"/>
      <c r="AB15" s="237" t="s">
        <v>445</v>
      </c>
      <c r="AC15" s="61" t="s">
        <v>289</v>
      </c>
      <c r="AD15" s="61" t="s">
        <v>289</v>
      </c>
      <c r="AE15" s="61" t="s">
        <v>289</v>
      </c>
      <c r="AF15" s="61" t="s">
        <v>289</v>
      </c>
      <c r="AG15" s="61" t="s">
        <v>289</v>
      </c>
      <c r="AH15" s="61" t="s">
        <v>289</v>
      </c>
      <c r="AI15" s="61" t="s">
        <v>289</v>
      </c>
      <c r="AJ15" s="61" t="s">
        <v>289</v>
      </c>
      <c r="AK15" s="61" t="s">
        <v>289</v>
      </c>
      <c r="AL15" s="61" t="s">
        <v>289</v>
      </c>
      <c r="AM15" s="61" t="s">
        <v>289</v>
      </c>
      <c r="AN15" s="61" t="s">
        <v>289</v>
      </c>
      <c r="AP15" s="28">
        <f>VLOOKUP($A15,historia!$A$5:$CM$24,+HLOOKUP(AP$2,historia!$A$3:$EC$4,2,FALSE),FALSE)</f>
        <v>4</v>
      </c>
      <c r="AQ15" s="28">
        <f>VLOOKUP($A15,historia!$A$5:$CM$24,+HLOOKUP(AQ$2,historia!$A$3:$EC$4,2,FALSE),FALSE)</f>
        <v>4</v>
      </c>
      <c r="AR15" s="28">
        <f>VLOOKUP($A15,historia!$A$5:$CM$24,+HLOOKUP(AR$2,historia!$A$3:$EC$4,2,FALSE),FALSE)</f>
        <v>4</v>
      </c>
      <c r="AS15" s="28">
        <f>VLOOKUP($A15,historia!$A$5:$CM$24,+HLOOKUP(AS$2,historia!$A$3:$EC$4,2,FALSE),FALSE)</f>
        <v>4</v>
      </c>
      <c r="AT15" s="58">
        <f>VLOOKUP($A15,historia!$A$5:$CM$24,+HLOOKUP(AT$2,historia!$A$3:$EC$4,2,FALSE),FALSE)</f>
        <v>4</v>
      </c>
      <c r="AU15" s="58">
        <f>VLOOKUP($A15,historia!$A$5:$CM$24,+HLOOKUP(AU$2,historia!$A$3:$EC$4,2,FALSE),FALSE)</f>
        <v>4</v>
      </c>
      <c r="AV15" s="58">
        <f>VLOOKUP($A15,historia!$A$5:$CM$24,+HLOOKUP(AV$2,historia!$A$3:$EC$4,2,FALSE),FALSE)</f>
        <v>4</v>
      </c>
      <c r="AW15" s="58">
        <f>VLOOKUP($A15,historia!$A$5:$CM$24,+HLOOKUP(AW$2,historia!$A$3:$EC$4,2,FALSE),FALSE)</f>
        <v>4</v>
      </c>
      <c r="AX15" s="58">
        <f>VLOOKUP($A15,historia!$A$5:$CM$24,+HLOOKUP(AX$2,historia!$A$3:$EC$4,2,FALSE),FALSE)</f>
        <v>4</v>
      </c>
      <c r="AY15" s="58">
        <f>VLOOKUP($A15,historia!$A$5:$CM$24,+HLOOKUP(AY$2,historia!$A$3:$EC$4,2,FALSE),FALSE)</f>
        <v>4</v>
      </c>
      <c r="AZ15" s="58">
        <f>VLOOKUP($A15,historia!$A$5:$CM$24,+HLOOKUP(AZ$2,historia!$A$3:$EC$4,2,FALSE),FALSE)</f>
        <v>4</v>
      </c>
      <c r="BA15" s="58">
        <f>VLOOKUP($A15,historia!$A$5:$CM$24,+HLOOKUP(BA$2,historia!$A$3:$EC$4,2,FALSE),FALSE)</f>
        <v>4</v>
      </c>
      <c r="BB15" s="30"/>
      <c r="BC15" s="141">
        <v>4</v>
      </c>
      <c r="BD15" t="str">
        <f t="shared" si="19"/>
        <v>Mandioca</v>
      </c>
      <c r="BE15">
        <f>+datos!AW1</f>
        <v>49</v>
      </c>
      <c r="BF15" s="2" t="str">
        <f t="shared" si="4"/>
        <v>$/bolsa40kg</v>
      </c>
      <c r="BG15" s="2">
        <f t="shared" si="4"/>
        <v>9373.6842105263149</v>
      </c>
      <c r="BH15" s="2">
        <f t="shared" si="4"/>
        <v>8535</v>
      </c>
      <c r="BI15" s="2">
        <f t="shared" si="4"/>
        <v>5598.75</v>
      </c>
      <c r="BK15">
        <f>+datos!CJ1</f>
        <v>88</v>
      </c>
      <c r="BL15" s="2">
        <f t="shared" si="20"/>
        <v>5324.4594732450951</v>
      </c>
      <c r="BM15" s="2">
        <f t="shared" si="20"/>
        <v>3750.0518796726142</v>
      </c>
      <c r="BN15" s="2">
        <f t="shared" si="20"/>
        <v>1880.434195328126</v>
      </c>
      <c r="BP15" s="1">
        <f>+datos!EY1</f>
        <v>155</v>
      </c>
      <c r="BQ15" s="1">
        <f t="shared" si="21"/>
        <v>20193</v>
      </c>
      <c r="BR15" s="1">
        <f t="shared" si="21"/>
        <v>20049</v>
      </c>
      <c r="BT15" s="1">
        <f>+datos!GO1</f>
        <v>197</v>
      </c>
      <c r="BU15" s="1">
        <f t="shared" si="22"/>
        <v>202394.36</v>
      </c>
      <c r="BV15" s="1">
        <f t="shared" si="22"/>
        <v>200935</v>
      </c>
      <c r="BX15" s="1">
        <f>+datos!JP1</f>
        <v>276</v>
      </c>
      <c r="BY15" s="1">
        <f t="shared" si="39"/>
        <v>0</v>
      </c>
      <c r="BZ15" s="1">
        <f t="shared" si="40"/>
        <v>0</v>
      </c>
      <c r="CB15" s="1">
        <f>+datos!KU1</f>
        <v>307</v>
      </c>
      <c r="CC15" s="2">
        <f t="shared" si="23"/>
        <v>9.276696470000001</v>
      </c>
      <c r="CD15" s="2">
        <f t="shared" si="24"/>
        <v>9.6124366799999983</v>
      </c>
      <c r="CF15" s="1">
        <f>+datos!IY1</f>
        <v>259</v>
      </c>
      <c r="CG15" s="1">
        <f t="shared" si="25"/>
        <v>1.88</v>
      </c>
      <c r="CH15" s="1">
        <f t="shared" si="26"/>
        <v>1.88</v>
      </c>
      <c r="CJ15" s="1">
        <f t="shared" si="27"/>
        <v>0</v>
      </c>
      <c r="CK15" s="1">
        <f t="shared" si="27"/>
        <v>0</v>
      </c>
      <c r="CL15" s="1">
        <f t="shared" si="27"/>
        <v>0</v>
      </c>
      <c r="CM15" s="1">
        <f t="shared" si="27"/>
        <v>0</v>
      </c>
      <c r="CN15" s="1">
        <f t="shared" si="27"/>
        <v>0</v>
      </c>
      <c r="CO15" s="1">
        <f t="shared" si="27"/>
        <v>0</v>
      </c>
      <c r="CP15" s="1">
        <f t="shared" si="27"/>
        <v>0</v>
      </c>
      <c r="CQ15" s="1">
        <f t="shared" si="27"/>
        <v>0</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8"/>
        <v>0</v>
      </c>
      <c r="DA15" s="1">
        <f t="shared" si="28"/>
        <v>0</v>
      </c>
      <c r="DB15" s="1">
        <f t="shared" si="28"/>
        <v>0</v>
      </c>
      <c r="DC15" s="1">
        <f t="shared" si="28"/>
        <v>0</v>
      </c>
      <c r="DD15" s="1">
        <f t="shared" si="28"/>
        <v>0</v>
      </c>
      <c r="DE15" s="1">
        <f t="shared" si="28"/>
        <v>0</v>
      </c>
      <c r="DF15" s="1">
        <f t="shared" si="28"/>
        <v>0</v>
      </c>
      <c r="DG15" s="1">
        <f t="shared" si="28"/>
        <v>0</v>
      </c>
      <c r="DI15" s="14">
        <f t="shared" si="29"/>
        <v>0.24099903000000003</v>
      </c>
      <c r="DJ15" s="14">
        <f t="shared" si="29"/>
        <v>0.39667624000000001</v>
      </c>
      <c r="DK15" s="1">
        <f t="shared" si="29"/>
        <v>0.47948613000000001</v>
      </c>
      <c r="DL15" s="1">
        <f t="shared" si="29"/>
        <v>0.13955175</v>
      </c>
      <c r="DM15" s="1">
        <f t="shared" si="29"/>
        <v>0.88368341000000006</v>
      </c>
      <c r="DN15" s="1">
        <f t="shared" si="29"/>
        <v>0.91695114999999994</v>
      </c>
      <c r="DO15" s="1">
        <f t="shared" si="29"/>
        <v>1.1944894100000001</v>
      </c>
      <c r="DP15" s="1">
        <f t="shared" si="29"/>
        <v>1.11559404</v>
      </c>
      <c r="DQ15" s="1">
        <f t="shared" si="29"/>
        <v>1.36422954</v>
      </c>
      <c r="DR15" s="1">
        <f t="shared" si="29"/>
        <v>1.7463627799999999</v>
      </c>
      <c r="DS15" s="1">
        <f t="shared" si="29"/>
        <v>0.68698649000000001</v>
      </c>
      <c r="DT15" s="1">
        <f t="shared" si="29"/>
        <v>0.11168649999999999</v>
      </c>
      <c r="DU15" s="1">
        <f t="shared" si="29"/>
        <v>0</v>
      </c>
      <c r="DV15" s="1">
        <f t="shared" si="29"/>
        <v>1.4896021499999998</v>
      </c>
      <c r="DW15" s="1">
        <f t="shared" si="29"/>
        <v>0</v>
      </c>
      <c r="DX15" s="1">
        <f t="shared" si="29"/>
        <v>1.7451778999999998</v>
      </c>
      <c r="DY15" s="1">
        <f t="shared" si="30"/>
        <v>0.90545438</v>
      </c>
      <c r="DZ15" s="1">
        <f t="shared" si="30"/>
        <v>0.96282131000000004</v>
      </c>
      <c r="EA15" s="1">
        <f t="shared" si="30"/>
        <v>0.35384690000000002</v>
      </c>
      <c r="EB15" s="1">
        <f t="shared" si="30"/>
        <v>0.71853049999999996</v>
      </c>
      <c r="EC15" s="1">
        <f t="shared" si="30"/>
        <v>0.412966</v>
      </c>
      <c r="ED15" s="1">
        <f t="shared" si="30"/>
        <v>1.07159906</v>
      </c>
      <c r="EE15" s="1">
        <f t="shared" si="30"/>
        <v>1.1247584300000002</v>
      </c>
      <c r="EF15" s="1">
        <f t="shared" si="30"/>
        <v>0.82768005</v>
      </c>
      <c r="EH15" s="14">
        <f t="shared" si="31"/>
        <v>1.88</v>
      </c>
      <c r="EI15" s="14">
        <f t="shared" si="31"/>
        <v>1.88</v>
      </c>
      <c r="EJ15" s="1">
        <f t="shared" si="31"/>
        <v>1.88</v>
      </c>
      <c r="EK15" s="1">
        <f t="shared" si="31"/>
        <v>1.88</v>
      </c>
      <c r="EL15" s="1">
        <f t="shared" si="31"/>
        <v>1.88</v>
      </c>
      <c r="EM15" s="1">
        <f t="shared" si="31"/>
        <v>1.88</v>
      </c>
      <c r="EN15" s="1">
        <f t="shared" si="31"/>
        <v>1.88</v>
      </c>
      <c r="EO15" s="1">
        <f t="shared" si="31"/>
        <v>1.88</v>
      </c>
      <c r="EP15" s="1">
        <f t="shared" si="31"/>
        <v>1.88</v>
      </c>
      <c r="EQ15" s="1">
        <f t="shared" si="31"/>
        <v>1.88</v>
      </c>
      <c r="ER15" s="1">
        <f t="shared" si="31"/>
        <v>1.88</v>
      </c>
      <c r="ES15" s="1">
        <f t="shared" si="31"/>
        <v>1.88</v>
      </c>
      <c r="ET15" s="1">
        <f t="shared" si="31"/>
        <v>1.88</v>
      </c>
      <c r="EU15" s="1">
        <f t="shared" si="31"/>
        <v>1.88</v>
      </c>
      <c r="EV15" s="1">
        <f t="shared" si="31"/>
        <v>1.88</v>
      </c>
      <c r="EW15" s="1">
        <f t="shared" si="31"/>
        <v>1.88</v>
      </c>
      <c r="EX15" s="1">
        <f t="shared" si="32"/>
        <v>1.88</v>
      </c>
      <c r="EY15" s="1">
        <f t="shared" si="32"/>
        <v>1.88</v>
      </c>
      <c r="EZ15" s="1">
        <f t="shared" si="32"/>
        <v>1.88</v>
      </c>
      <c r="FA15" s="1">
        <f t="shared" si="32"/>
        <v>1.88</v>
      </c>
      <c r="FB15" s="1">
        <f t="shared" si="32"/>
        <v>1.88</v>
      </c>
      <c r="FC15" s="1">
        <f t="shared" si="32"/>
        <v>1.88</v>
      </c>
      <c r="FD15" s="1">
        <f t="shared" si="32"/>
        <v>1.88</v>
      </c>
      <c r="FE15" s="1">
        <f t="shared" si="32"/>
        <v>1.88</v>
      </c>
      <c r="FG15" s="162">
        <f t="shared" si="33"/>
        <v>-1.1572594480178919</v>
      </c>
    </row>
    <row r="16" spans="1:163" ht="30" customHeight="1">
      <c r="A16" s="222" t="s">
        <v>25</v>
      </c>
      <c r="B16" s="212"/>
      <c r="C16" s="156">
        <f t="shared" si="5"/>
        <v>0.66</v>
      </c>
      <c r="D16" s="198">
        <v>1</v>
      </c>
      <c r="E16" s="213">
        <f t="shared" si="6"/>
        <v>0.29319286100852238</v>
      </c>
      <c r="F16" s="214">
        <f t="shared" si="7"/>
        <v>3.8536111166153963E-2</v>
      </c>
      <c r="G16" s="213">
        <f t="shared" si="8"/>
        <v>0.6699644991394238</v>
      </c>
      <c r="H16" s="214">
        <f t="shared" si="9"/>
        <v>-0.37677163813090142</v>
      </c>
      <c r="I16" s="213">
        <f t="shared" si="10"/>
        <v>2.4347885150322792</v>
      </c>
      <c r="J16" s="214">
        <f t="shared" si="11"/>
        <v>0.32074638564747371</v>
      </c>
      <c r="K16" s="213">
        <f t="shared" si="34"/>
        <v>2.545898383363066</v>
      </c>
      <c r="L16" s="214">
        <f t="shared" si="12"/>
        <v>-0.11110986833078673</v>
      </c>
      <c r="M16" s="215"/>
      <c r="N16" s="198">
        <v>0</v>
      </c>
      <c r="O16" s="213">
        <f t="shared" si="35"/>
        <v>0.11422036142805547</v>
      </c>
      <c r="P16" s="216">
        <f t="shared" si="36"/>
        <v>0.11422036142805547</v>
      </c>
      <c r="Q16" s="213">
        <f t="shared" si="13"/>
        <v>-0.30338814814814818</v>
      </c>
      <c r="R16" s="217">
        <f t="shared" si="37"/>
        <v>-0.30338814814814818</v>
      </c>
      <c r="S16" s="215"/>
      <c r="T16" s="198">
        <v>1</v>
      </c>
      <c r="U16" s="213">
        <f t="shared" si="14"/>
        <v>4.6105226287207479E-4</v>
      </c>
      <c r="V16" s="45">
        <f t="shared" si="15"/>
        <v>4.6105226287207479E-4</v>
      </c>
      <c r="W16" s="218"/>
      <c r="X16" s="45"/>
      <c r="Y16" s="213">
        <f t="shared" si="17"/>
        <v>4.4351010443510086E-2</v>
      </c>
      <c r="Z16" s="45">
        <f t="shared" si="18"/>
        <v>4.4351010443510086E-2</v>
      </c>
      <c r="AA16" s="30"/>
      <c r="AB16" s="225" t="s">
        <v>446</v>
      </c>
      <c r="AC16" s="61" t="s">
        <v>289</v>
      </c>
      <c r="AD16" s="61" t="s">
        <v>289</v>
      </c>
      <c r="AE16" s="61" t="s">
        <v>289</v>
      </c>
      <c r="AF16" s="61" t="s">
        <v>289</v>
      </c>
      <c r="AG16" s="61" t="s">
        <v>289</v>
      </c>
      <c r="AH16" s="61" t="s">
        <v>289</v>
      </c>
      <c r="AI16" s="61" t="s">
        <v>289</v>
      </c>
      <c r="AJ16" s="61" t="s">
        <v>289</v>
      </c>
      <c r="AK16" s="61" t="s">
        <v>289</v>
      </c>
      <c r="AL16" s="61" t="s">
        <v>289</v>
      </c>
      <c r="AM16" s="61" t="s">
        <v>289</v>
      </c>
      <c r="AN16" s="61" t="s">
        <v>289</v>
      </c>
      <c r="AP16" s="28">
        <f>VLOOKUP($A16,historia!$A$5:$CM$24,+HLOOKUP(AP$2,historia!$A$3:$EC$4,2,FALSE),FALSE)</f>
        <v>4</v>
      </c>
      <c r="AQ16" s="28">
        <f>VLOOKUP($A16,historia!$A$5:$CM$24,+HLOOKUP(AQ$2,historia!$A$3:$EC$4,2,FALSE),FALSE)</f>
        <v>4</v>
      </c>
      <c r="AR16" s="28">
        <f>VLOOKUP($A16,historia!$A$5:$CM$24,+HLOOKUP(AR$2,historia!$A$3:$EC$4,2,FALSE),FALSE)</f>
        <v>4</v>
      </c>
      <c r="AS16" s="28">
        <f>VLOOKUP($A16,historia!$A$5:$CM$24,+HLOOKUP(AS$2,historia!$A$3:$EC$4,2,FALSE),FALSE)</f>
        <v>4</v>
      </c>
      <c r="AT16" s="58">
        <f>VLOOKUP($A16,historia!$A$5:$CM$24,+HLOOKUP(AT$2,historia!$A$3:$EC$4,2,FALSE),FALSE)</f>
        <v>3</v>
      </c>
      <c r="AU16" s="58">
        <f>VLOOKUP($A16,historia!$A$5:$CM$24,+HLOOKUP(AU$2,historia!$A$3:$EC$4,2,FALSE),FALSE)</f>
        <v>3</v>
      </c>
      <c r="AV16" s="58">
        <f>VLOOKUP($A16,historia!$A$5:$CM$24,+HLOOKUP(AV$2,historia!$A$3:$EC$4,2,FALSE),FALSE)</f>
        <v>3</v>
      </c>
      <c r="AW16" s="58">
        <f>VLOOKUP($A16,historia!$A$5:$CM$24,+HLOOKUP(AW$2,historia!$A$3:$EC$4,2,FALSE),FALSE)</f>
        <v>3</v>
      </c>
      <c r="AX16" s="58">
        <f>VLOOKUP($A16,historia!$A$5:$CM$24,+HLOOKUP(AX$2,historia!$A$3:$EC$4,2,FALSE),FALSE)</f>
        <v>3</v>
      </c>
      <c r="AY16" s="58">
        <f>VLOOKUP($A16,historia!$A$5:$CM$24,+HLOOKUP(AY$2,historia!$A$3:$EC$4,2,FALSE),FALSE)</f>
        <v>2</v>
      </c>
      <c r="AZ16" s="58">
        <f>VLOOKUP($A16,historia!$A$5:$CM$24,+HLOOKUP(AZ$2,historia!$A$3:$EC$4,2,FALSE),FALSE)</f>
        <v>2</v>
      </c>
      <c r="BA16" s="58">
        <f>VLOOKUP($A16,historia!$A$5:$CM$24,+HLOOKUP(BA$2,historia!$A$3:$EC$4,2,FALSE),FALSE)</f>
        <v>2</v>
      </c>
      <c r="BB16" s="30"/>
      <c r="BC16" s="141">
        <v>2</v>
      </c>
      <c r="BD16" t="str">
        <f t="shared" si="19"/>
        <v>Maní</v>
      </c>
      <c r="BE16">
        <f>+datos!AF1</f>
        <v>32</v>
      </c>
      <c r="BF16" s="2" t="str">
        <f t="shared" si="4"/>
        <v>$/t</v>
      </c>
      <c r="BG16" s="2">
        <f t="shared" si="4"/>
        <v>434893</v>
      </c>
      <c r="BH16" s="2">
        <f t="shared" si="4"/>
        <v>336294</v>
      </c>
      <c r="BI16" s="2">
        <f t="shared" si="4"/>
        <v>126614.2</v>
      </c>
      <c r="BK16">
        <f>+datos!CH1</f>
        <v>86</v>
      </c>
      <c r="BL16" s="2">
        <f t="shared" si="20"/>
        <v>7331.4438171353841</v>
      </c>
      <c r="BM16" s="2">
        <f t="shared" si="20"/>
        <v>4390.1794444812858</v>
      </c>
      <c r="BN16" s="2">
        <f t="shared" si="20"/>
        <v>2067.5842972640298</v>
      </c>
      <c r="BP16" s="1">
        <f>+datos!EB1</f>
        <v>132</v>
      </c>
      <c r="BQ16" s="1">
        <f t="shared" si="21"/>
        <v>416490</v>
      </c>
      <c r="BR16" s="1">
        <f t="shared" si="21"/>
        <v>373795</v>
      </c>
      <c r="BT16" s="1">
        <f>+datos!FW1</f>
        <v>179</v>
      </c>
      <c r="BU16" s="1">
        <f t="shared" si="22"/>
        <v>940426</v>
      </c>
      <c r="BV16" s="1">
        <f t="shared" si="22"/>
        <v>1350000</v>
      </c>
      <c r="BX16" s="1">
        <f>+datos!JK1</f>
        <v>271</v>
      </c>
      <c r="BY16" s="1">
        <f t="shared" si="39"/>
        <v>1252.26677571</v>
      </c>
      <c r="BZ16" s="1">
        <f t="shared" si="40"/>
        <v>1251.68968135</v>
      </c>
      <c r="CB16" s="1">
        <f>+datos!KP1</f>
        <v>302</v>
      </c>
      <c r="CC16" s="2">
        <f t="shared" si="23"/>
        <v>1.32957605</v>
      </c>
      <c r="CD16" s="2">
        <f t="shared" si="24"/>
        <v>0.89824503</v>
      </c>
      <c r="CF16" s="1">
        <f>+datos!IJ1</f>
        <v>244</v>
      </c>
      <c r="CG16" s="1">
        <f t="shared" si="25"/>
        <v>1.9885213252125911</v>
      </c>
      <c r="CH16" s="1">
        <f t="shared" si="26"/>
        <v>1.9040737312717446</v>
      </c>
      <c r="CJ16" s="1">
        <f t="shared" si="27"/>
        <v>90.064767340000003</v>
      </c>
      <c r="CK16" s="1">
        <f t="shared" si="27"/>
        <v>96.183340330000021</v>
      </c>
      <c r="CL16" s="1">
        <f t="shared" si="27"/>
        <v>89.024842150000026</v>
      </c>
      <c r="CM16" s="1">
        <f t="shared" si="27"/>
        <v>102.74257099999998</v>
      </c>
      <c r="CN16" s="1">
        <f t="shared" si="27"/>
        <v>102.43695814</v>
      </c>
      <c r="CO16" s="1">
        <f t="shared" si="27"/>
        <v>100.03941109999997</v>
      </c>
      <c r="CP16" s="1">
        <f t="shared" si="27"/>
        <v>89.79279253</v>
      </c>
      <c r="CQ16" s="1">
        <f t="shared" si="27"/>
        <v>102.39153366000001</v>
      </c>
      <c r="CR16" s="1">
        <f t="shared" si="27"/>
        <v>98.470728969999996</v>
      </c>
      <c r="CS16" s="1">
        <f t="shared" si="27"/>
        <v>134.53858048999999</v>
      </c>
      <c r="CT16" s="1">
        <f t="shared" si="27"/>
        <v>116.52197384999999</v>
      </c>
      <c r="CU16" s="1">
        <f t="shared" si="27"/>
        <v>130.05927615000002</v>
      </c>
      <c r="CV16" s="1">
        <f t="shared" si="27"/>
        <v>105.24839114999997</v>
      </c>
      <c r="CW16" s="1">
        <f t="shared" si="27"/>
        <v>106.58558735000001</v>
      </c>
      <c r="CX16" s="1">
        <f t="shared" si="27"/>
        <v>136.66063392000001</v>
      </c>
      <c r="CY16" s="1">
        <f t="shared" si="27"/>
        <v>103.23507013999998</v>
      </c>
      <c r="CZ16" s="1">
        <f t="shared" si="28"/>
        <v>127.03001287000001</v>
      </c>
      <c r="DA16" s="1">
        <f t="shared" si="28"/>
        <v>94.841677119999986</v>
      </c>
      <c r="DB16" s="1">
        <f t="shared" si="28"/>
        <v>82.179019859999997</v>
      </c>
      <c r="DC16" s="1">
        <f t="shared" si="28"/>
        <v>92.158742689999997</v>
      </c>
      <c r="DD16" s="1">
        <f t="shared" si="28"/>
        <v>86.016299079999982</v>
      </c>
      <c r="DE16" s="1">
        <f t="shared" si="28"/>
        <v>108.09958798000001</v>
      </c>
      <c r="DF16" s="1">
        <f t="shared" si="28"/>
        <v>110.88364111000001</v>
      </c>
      <c r="DG16" s="1">
        <f t="shared" si="28"/>
        <v>98.751018079999994</v>
      </c>
      <c r="DI16" s="1">
        <f t="shared" si="29"/>
        <v>0.24194792999999998</v>
      </c>
      <c r="DJ16" s="1">
        <f t="shared" si="29"/>
        <v>0.11713932000000001</v>
      </c>
      <c r="DK16" s="1">
        <f t="shared" si="29"/>
        <v>0.45286999999999999</v>
      </c>
      <c r="DL16" s="1">
        <f t="shared" si="29"/>
        <v>5.563009E-2</v>
      </c>
      <c r="DM16" s="1">
        <f t="shared" si="29"/>
        <v>2.7416000000000002E-4</v>
      </c>
      <c r="DN16" s="1">
        <f t="shared" si="29"/>
        <v>0.12031510000000001</v>
      </c>
      <c r="DO16" s="1">
        <f t="shared" si="29"/>
        <v>0.13456720999999999</v>
      </c>
      <c r="DP16" s="1">
        <f t="shared" si="29"/>
        <v>6.1200000000000002E-4</v>
      </c>
      <c r="DQ16" s="1">
        <f t="shared" si="29"/>
        <v>0</v>
      </c>
      <c r="DR16" s="1">
        <f t="shared" si="29"/>
        <v>5.2170000000000003E-3</v>
      </c>
      <c r="DS16" s="1">
        <f t="shared" si="29"/>
        <v>0.10975939999999999</v>
      </c>
      <c r="DT16" s="1">
        <f t="shared" si="29"/>
        <v>9.1243839999999993E-2</v>
      </c>
      <c r="DU16" s="1">
        <f t="shared" si="29"/>
        <v>2.016E-3</v>
      </c>
      <c r="DV16" s="1">
        <f t="shared" si="29"/>
        <v>0.21936422</v>
      </c>
      <c r="DW16" s="1">
        <f t="shared" si="29"/>
        <v>0</v>
      </c>
      <c r="DX16" s="1">
        <f t="shared" si="29"/>
        <v>6.0353800000000006E-2</v>
      </c>
      <c r="DY16" s="1">
        <f t="shared" si="30"/>
        <v>1.9724599999999998E-2</v>
      </c>
      <c r="DZ16" s="1">
        <f t="shared" si="30"/>
        <v>6.1101999999999997E-2</v>
      </c>
      <c r="EA16" s="1">
        <f t="shared" si="30"/>
        <v>8.3099999999999997E-3</v>
      </c>
      <c r="EB16" s="1">
        <f t="shared" si="30"/>
        <v>0.51386323</v>
      </c>
      <c r="EC16" s="1">
        <f t="shared" si="30"/>
        <v>4.9965000000000001E-3</v>
      </c>
      <c r="ED16" s="1">
        <f t="shared" si="30"/>
        <v>3.0447999999999999E-4</v>
      </c>
      <c r="EE16" s="1">
        <f t="shared" si="30"/>
        <v>8.2102000000000008E-3</v>
      </c>
      <c r="EF16" s="1">
        <f t="shared" si="30"/>
        <v>0</v>
      </c>
      <c r="EH16" s="14">
        <f t="shared" si="31"/>
        <v>1.9885213252125911</v>
      </c>
      <c r="EI16" s="14">
        <f t="shared" si="31"/>
        <v>1.9885213252125911</v>
      </c>
      <c r="EJ16" s="1">
        <f t="shared" si="31"/>
        <v>1.9885213252125911</v>
      </c>
      <c r="EK16" s="1">
        <f t="shared" si="31"/>
        <v>1.9885213252125911</v>
      </c>
      <c r="EL16" s="1">
        <f t="shared" si="31"/>
        <v>1.9885213252125911</v>
      </c>
      <c r="EM16" s="1">
        <f t="shared" si="31"/>
        <v>1.9885213252125911</v>
      </c>
      <c r="EN16" s="1">
        <f t="shared" si="31"/>
        <v>1.9885213252125911</v>
      </c>
      <c r="EO16" s="1">
        <f t="shared" si="31"/>
        <v>1.9885213252125911</v>
      </c>
      <c r="EP16" s="1">
        <f t="shared" si="31"/>
        <v>1.9885213252125911</v>
      </c>
      <c r="EQ16" s="1">
        <f t="shared" si="31"/>
        <v>1.9885213252125911</v>
      </c>
      <c r="ER16" s="1">
        <f t="shared" si="31"/>
        <v>1.9040737312717446</v>
      </c>
      <c r="ES16" s="1">
        <f t="shared" si="31"/>
        <v>1.9040737312717446</v>
      </c>
      <c r="ET16" s="1">
        <f t="shared" si="31"/>
        <v>1.9040737312717446</v>
      </c>
      <c r="EU16" s="1">
        <f t="shared" si="31"/>
        <v>1.9040737312717446</v>
      </c>
      <c r="EV16" s="1">
        <f t="shared" si="31"/>
        <v>1.9040737312717446</v>
      </c>
      <c r="EW16" s="1">
        <f t="shared" si="31"/>
        <v>1.9040737312717446</v>
      </c>
      <c r="EX16" s="1">
        <f t="shared" si="32"/>
        <v>1.9040737312717446</v>
      </c>
      <c r="EY16" s="1">
        <f t="shared" si="32"/>
        <v>1.9040737312717446</v>
      </c>
      <c r="EZ16" s="1">
        <f t="shared" si="32"/>
        <v>1.9040737312717446</v>
      </c>
      <c r="FA16" s="1">
        <f t="shared" si="32"/>
        <v>1.9040737312717446</v>
      </c>
      <c r="FB16" s="1">
        <f t="shared" si="32"/>
        <v>1.9040737312717446</v>
      </c>
      <c r="FC16" s="1">
        <f t="shared" si="32"/>
        <v>1.9040737312717446</v>
      </c>
      <c r="FD16" s="1">
        <f t="shared" si="32"/>
        <v>1.9040737312717446</v>
      </c>
      <c r="FE16" s="1">
        <f t="shared" si="32"/>
        <v>1.9040737312717446</v>
      </c>
      <c r="FG16" s="162">
        <f t="shared" si="33"/>
        <v>-0.11110986833078673</v>
      </c>
    </row>
    <row r="17" spans="1:163" ht="30" customHeight="1">
      <c r="A17" s="226" t="s">
        <v>76</v>
      </c>
      <c r="B17" s="227"/>
      <c r="C17" s="228">
        <f t="shared" si="5"/>
        <v>-0.99</v>
      </c>
      <c r="D17" s="229">
        <v>-1</v>
      </c>
      <c r="E17" s="230">
        <f t="shared" si="6"/>
        <v>0.441958041958042</v>
      </c>
      <c r="F17" s="231">
        <f t="shared" si="7"/>
        <v>0.18730129211567359</v>
      </c>
      <c r="G17" s="230">
        <f t="shared" si="8"/>
        <v>0.53301459809158191</v>
      </c>
      <c r="H17" s="231">
        <f t="shared" si="9"/>
        <v>-9.1056556133539912E-2</v>
      </c>
      <c r="I17" s="230">
        <f t="shared" si="10"/>
        <v>1.853584278992527</v>
      </c>
      <c r="J17" s="231">
        <f t="shared" si="11"/>
        <v>-0.26045785039227853</v>
      </c>
      <c r="K17" s="230">
        <f t="shared" si="34"/>
        <v>2.2043181657890072</v>
      </c>
      <c r="L17" s="231">
        <f t="shared" si="12"/>
        <v>-0.35073388679648021</v>
      </c>
      <c r="M17" s="232"/>
      <c r="N17" s="229">
        <v>-1</v>
      </c>
      <c r="O17" s="230">
        <f>IFERROR(+BQ17/BR17-1,"")</f>
        <v>0</v>
      </c>
      <c r="P17" s="233">
        <f t="shared" si="36"/>
        <v>0</v>
      </c>
      <c r="Q17" s="230">
        <f t="shared" si="13"/>
        <v>4.7778112422309782E-3</v>
      </c>
      <c r="R17" s="234">
        <f t="shared" si="37"/>
        <v>4.7778112422309782E-3</v>
      </c>
      <c r="S17" s="232"/>
      <c r="T17" s="229">
        <v>-1</v>
      </c>
      <c r="U17" s="230">
        <f t="shared" si="14"/>
        <v>-0.24777795391445445</v>
      </c>
      <c r="V17" s="235">
        <f t="shared" si="15"/>
        <v>-0.24777795391445445</v>
      </c>
      <c r="W17" s="239"/>
      <c r="X17" s="235"/>
      <c r="Y17" s="230">
        <f t="shared" si="17"/>
        <v>0</v>
      </c>
      <c r="Z17" s="235">
        <f t="shared" si="18"/>
        <v>0</v>
      </c>
      <c r="AA17" s="238"/>
      <c r="AB17" s="237" t="s">
        <v>455</v>
      </c>
      <c r="AC17" s="61" t="s">
        <v>289</v>
      </c>
      <c r="AD17" s="61" t="s">
        <v>289</v>
      </c>
      <c r="AE17" s="61" t="s">
        <v>289</v>
      </c>
      <c r="AF17" s="61" t="s">
        <v>289</v>
      </c>
      <c r="AG17" s="61" t="s">
        <v>289</v>
      </c>
      <c r="AH17" s="61" t="s">
        <v>289</v>
      </c>
      <c r="AI17" s="61" t="s">
        <v>289</v>
      </c>
      <c r="AJ17" s="61" t="s">
        <v>289</v>
      </c>
      <c r="AK17" s="61" t="s">
        <v>289</v>
      </c>
      <c r="AL17" s="61" t="s">
        <v>289</v>
      </c>
      <c r="AM17" s="61" t="s">
        <v>289</v>
      </c>
      <c r="AN17" s="61" t="s">
        <v>289</v>
      </c>
      <c r="AP17" s="28">
        <f>VLOOKUP($A17,historia!$A$5:$CM$24,+HLOOKUP(AP$2,historia!$A$3:$EC$4,2,FALSE),FALSE)</f>
        <v>4</v>
      </c>
      <c r="AQ17" s="28">
        <f>VLOOKUP($A17,historia!$A$5:$CM$24,+HLOOKUP(AQ$2,historia!$A$3:$EC$4,2,FALSE),FALSE)</f>
        <v>4</v>
      </c>
      <c r="AR17" s="28">
        <f>VLOOKUP($A17,historia!$A$5:$CM$24,+HLOOKUP(AR$2,historia!$A$3:$EC$4,2,FALSE),FALSE)</f>
        <v>3</v>
      </c>
      <c r="AS17" s="28">
        <f>VLOOKUP($A17,historia!$A$5:$CM$24,+HLOOKUP(AS$2,historia!$A$3:$EC$4,2,FALSE),FALSE)</f>
        <v>3</v>
      </c>
      <c r="AT17" s="58">
        <f>VLOOKUP($A17,historia!$A$5:$CM$24,+HLOOKUP(AT$2,historia!$A$3:$EC$4,2,FALSE),FALSE)</f>
        <v>3</v>
      </c>
      <c r="AU17" s="58">
        <f>VLOOKUP($A17,historia!$A$5:$CM$24,+HLOOKUP(AU$2,historia!$A$3:$EC$4,2,FALSE),FALSE)</f>
        <v>5</v>
      </c>
      <c r="AV17" s="58">
        <f>VLOOKUP($A17,historia!$A$5:$CM$24,+HLOOKUP(AV$2,historia!$A$3:$EC$4,2,FALSE),FALSE)</f>
        <v>5</v>
      </c>
      <c r="AW17" s="58">
        <f>VLOOKUP($A17,historia!$A$5:$CM$24,+HLOOKUP(AW$2,historia!$A$3:$EC$4,2,FALSE),FALSE)</f>
        <v>5</v>
      </c>
      <c r="AX17" s="58">
        <f>VLOOKUP($A17,historia!$A$5:$CM$24,+HLOOKUP(AX$2,historia!$A$3:$EC$4,2,FALSE),FALSE)</f>
        <v>5</v>
      </c>
      <c r="AY17" s="58">
        <f>VLOOKUP($A17,historia!$A$5:$CM$24,+HLOOKUP(AY$2,historia!$A$3:$EC$4,2,FALSE),FALSE)</f>
        <v>5</v>
      </c>
      <c r="AZ17" s="58">
        <f>VLOOKUP($A17,historia!$A$5:$CM$24,+HLOOKUP(AZ$2,historia!$A$3:$EC$4,2,FALSE),FALSE)</f>
        <v>5</v>
      </c>
      <c r="BA17" s="58">
        <f>VLOOKUP($A17,historia!$A$5:$CM$24,+HLOOKUP(BA$2,historia!$A$3:$EC$4,2,FALSE),FALSE)</f>
        <v>5</v>
      </c>
      <c r="BB17" s="30"/>
      <c r="BC17" s="141">
        <v>5</v>
      </c>
      <c r="BD17" t="str">
        <f t="shared" si="19"/>
        <v>Miel</v>
      </c>
      <c r="BE17">
        <f>+datos!BV1</f>
        <v>74</v>
      </c>
      <c r="BF17" s="2" t="str">
        <f t="shared" si="4"/>
        <v>$/kg</v>
      </c>
      <c r="BG17" s="2">
        <f t="shared" si="4"/>
        <v>1031</v>
      </c>
      <c r="BH17" s="2">
        <f t="shared" si="4"/>
        <v>715</v>
      </c>
      <c r="BI17" s="2">
        <f t="shared" si="4"/>
        <v>361.3</v>
      </c>
      <c r="BK17">
        <f>+datos!DH1</f>
        <v>112</v>
      </c>
      <c r="BL17" s="2">
        <f t="shared" si="20"/>
        <v>5659.4986500510377</v>
      </c>
      <c r="BM17" s="2">
        <f t="shared" si="20"/>
        <v>3691.7447864465416</v>
      </c>
      <c r="BN17" s="2">
        <f t="shared" si="20"/>
        <v>1766.209957074436</v>
      </c>
      <c r="BP17" s="1">
        <f>+datos!EQ1</f>
        <v>147</v>
      </c>
      <c r="BQ17" s="1">
        <f t="shared" si="21"/>
        <v>3500000</v>
      </c>
      <c r="BR17" s="1">
        <f t="shared" si="21"/>
        <v>3500000</v>
      </c>
      <c r="BT17" s="1">
        <f>+datos!GP1</f>
        <v>198</v>
      </c>
      <c r="BU17" s="1">
        <f t="shared" si="22"/>
        <v>73395</v>
      </c>
      <c r="BV17" s="1">
        <f t="shared" si="22"/>
        <v>73046</v>
      </c>
      <c r="BX17" s="1">
        <f>+datos!KE1</f>
        <v>291</v>
      </c>
      <c r="BY17" s="1">
        <f t="shared" si="39"/>
        <v>208.87094812999996</v>
      </c>
      <c r="BZ17" s="1">
        <f t="shared" si="40"/>
        <v>277.67193106999997</v>
      </c>
      <c r="CB17" s="1">
        <f>+datos!LJ1</f>
        <v>322</v>
      </c>
      <c r="CC17" s="2">
        <f t="shared" si="23"/>
        <v>4.7638E-2</v>
      </c>
      <c r="CD17" s="2">
        <f>+SUM(DU17:EF17)</f>
        <v>0.15436616000000003</v>
      </c>
      <c r="CF17" s="1">
        <f>+datos!IZ1</f>
        <v>260</v>
      </c>
      <c r="CG17" s="1">
        <f t="shared" si="25"/>
        <v>0.3</v>
      </c>
      <c r="CH17" s="1">
        <f t="shared" si="26"/>
        <v>0.3</v>
      </c>
      <c r="CJ17" s="1">
        <f t="shared" si="27"/>
        <v>12.805239539999999</v>
      </c>
      <c r="CK17" s="1">
        <f t="shared" si="27"/>
        <v>13.943876809999997</v>
      </c>
      <c r="CL17" s="1">
        <f t="shared" si="27"/>
        <v>17.891480939999997</v>
      </c>
      <c r="CM17" s="1">
        <f t="shared" si="27"/>
        <v>16.805607889999997</v>
      </c>
      <c r="CN17" s="1">
        <f t="shared" si="27"/>
        <v>21.325973759999997</v>
      </c>
      <c r="CO17" s="1">
        <f t="shared" si="27"/>
        <v>17.230385739999999</v>
      </c>
      <c r="CP17" s="1">
        <f t="shared" si="27"/>
        <v>14.837575590000002</v>
      </c>
      <c r="CQ17" s="1">
        <f t="shared" si="27"/>
        <v>17.476901599999998</v>
      </c>
      <c r="CR17" s="1">
        <f t="shared" si="27"/>
        <v>23.512884059999998</v>
      </c>
      <c r="CS17" s="1">
        <f t="shared" si="27"/>
        <v>18.814354810000005</v>
      </c>
      <c r="CT17" s="1">
        <f t="shared" si="27"/>
        <v>15.47450873</v>
      </c>
      <c r="CU17" s="1">
        <f t="shared" si="27"/>
        <v>18.752158659999996</v>
      </c>
      <c r="CV17" s="1">
        <f t="shared" si="27"/>
        <v>13.663636670000002</v>
      </c>
      <c r="CW17" s="1">
        <f t="shared" si="27"/>
        <v>12.97807542</v>
      </c>
      <c r="CX17" s="1">
        <f t="shared" si="27"/>
        <v>21.851292619999999</v>
      </c>
      <c r="CY17" s="1">
        <f t="shared" si="27"/>
        <v>17.949190340000005</v>
      </c>
      <c r="CZ17" s="1">
        <f t="shared" si="28"/>
        <v>28.34616364</v>
      </c>
      <c r="DA17" s="1">
        <f t="shared" si="28"/>
        <v>25.709158449999997</v>
      </c>
      <c r="DB17" s="1">
        <f t="shared" si="28"/>
        <v>34.492792039999998</v>
      </c>
      <c r="DC17" s="1">
        <f t="shared" si="28"/>
        <v>34.55168742</v>
      </c>
      <c r="DD17" s="1">
        <f t="shared" si="28"/>
        <v>27.139910580000002</v>
      </c>
      <c r="DE17" s="1">
        <f t="shared" si="28"/>
        <v>21.121535039999998</v>
      </c>
      <c r="DF17" s="1">
        <f t="shared" si="28"/>
        <v>23.986469650000004</v>
      </c>
      <c r="DG17" s="1">
        <f t="shared" si="28"/>
        <v>15.882019199999998</v>
      </c>
      <c r="DI17" s="1">
        <f t="shared" si="29"/>
        <v>4.0599999999999997E-2</v>
      </c>
      <c r="DJ17" s="1">
        <f t="shared" si="29"/>
        <v>0</v>
      </c>
      <c r="DK17" s="1">
        <f t="shared" si="29"/>
        <v>0</v>
      </c>
      <c r="DL17" s="1">
        <f t="shared" si="29"/>
        <v>0</v>
      </c>
      <c r="DM17" s="1">
        <f t="shared" si="29"/>
        <v>0</v>
      </c>
      <c r="DN17" s="1">
        <f t="shared" si="29"/>
        <v>0</v>
      </c>
      <c r="DO17" s="1">
        <f t="shared" si="29"/>
        <v>0</v>
      </c>
      <c r="DP17" s="1">
        <f t="shared" si="29"/>
        <v>7.038E-3</v>
      </c>
      <c r="DQ17" s="1">
        <f t="shared" si="29"/>
        <v>0</v>
      </c>
      <c r="DR17" s="1">
        <f t="shared" si="29"/>
        <v>0</v>
      </c>
      <c r="DS17" s="1">
        <f t="shared" si="29"/>
        <v>0</v>
      </c>
      <c r="DT17" s="1">
        <f t="shared" si="29"/>
        <v>0</v>
      </c>
      <c r="DU17" s="1">
        <f t="shared" si="29"/>
        <v>0</v>
      </c>
      <c r="DV17" s="1">
        <f t="shared" si="29"/>
        <v>5.9353800000000005E-2</v>
      </c>
      <c r="DW17" s="1">
        <f t="shared" si="29"/>
        <v>0</v>
      </c>
      <c r="DX17" s="1">
        <f t="shared" si="29"/>
        <v>1.3661339999999999E-2</v>
      </c>
      <c r="DY17" s="1">
        <f t="shared" si="30"/>
        <v>0</v>
      </c>
      <c r="DZ17" s="1">
        <f t="shared" si="30"/>
        <v>4.7031800000000006E-2</v>
      </c>
      <c r="EA17" s="1">
        <f t="shared" si="30"/>
        <v>9.3185999999999998E-3</v>
      </c>
      <c r="EB17" s="1">
        <f t="shared" si="30"/>
        <v>0</v>
      </c>
      <c r="EC17" s="1">
        <f t="shared" si="30"/>
        <v>0</v>
      </c>
      <c r="ED17" s="1">
        <f t="shared" si="30"/>
        <v>0</v>
      </c>
      <c r="EE17" s="1">
        <f t="shared" si="30"/>
        <v>0</v>
      </c>
      <c r="EF17" s="1">
        <f t="shared" si="30"/>
        <v>2.5000620000000001E-2</v>
      </c>
      <c r="EH17" s="14">
        <f t="shared" si="31"/>
        <v>0.3</v>
      </c>
      <c r="EI17" s="14">
        <f t="shared" si="31"/>
        <v>0.3</v>
      </c>
      <c r="EJ17" s="1">
        <f t="shared" si="31"/>
        <v>0.3</v>
      </c>
      <c r="EK17" s="1">
        <f t="shared" si="31"/>
        <v>0.3</v>
      </c>
      <c r="EL17" s="1">
        <f t="shared" si="31"/>
        <v>0.3</v>
      </c>
      <c r="EM17" s="1">
        <f t="shared" si="31"/>
        <v>0.3</v>
      </c>
      <c r="EN17" s="1">
        <f t="shared" si="31"/>
        <v>0.3</v>
      </c>
      <c r="EO17" s="1">
        <f t="shared" si="31"/>
        <v>0.3</v>
      </c>
      <c r="EP17" s="1">
        <f t="shared" si="31"/>
        <v>0.3</v>
      </c>
      <c r="EQ17" s="1">
        <f t="shared" si="31"/>
        <v>0.3</v>
      </c>
      <c r="ER17" s="1">
        <f t="shared" si="31"/>
        <v>0.3</v>
      </c>
      <c r="ES17" s="1">
        <f t="shared" si="31"/>
        <v>0.3</v>
      </c>
      <c r="ET17" s="1">
        <f t="shared" si="31"/>
        <v>0.3</v>
      </c>
      <c r="EU17" s="1">
        <f t="shared" si="31"/>
        <v>0.3</v>
      </c>
      <c r="EV17" s="1">
        <f t="shared" si="31"/>
        <v>0.3</v>
      </c>
      <c r="EW17" s="1">
        <f t="shared" si="31"/>
        <v>0.3</v>
      </c>
      <c r="EX17" s="1">
        <f t="shared" si="32"/>
        <v>0.3</v>
      </c>
      <c r="EY17" s="1">
        <f t="shared" si="32"/>
        <v>0.3</v>
      </c>
      <c r="EZ17" s="1">
        <f t="shared" si="32"/>
        <v>0.3</v>
      </c>
      <c r="FA17" s="1">
        <f t="shared" si="32"/>
        <v>0.3</v>
      </c>
      <c r="FB17" s="1">
        <f t="shared" si="32"/>
        <v>0.3</v>
      </c>
      <c r="FC17" s="1">
        <f t="shared" si="32"/>
        <v>0.3</v>
      </c>
      <c r="FD17" s="1">
        <f t="shared" si="32"/>
        <v>0.3</v>
      </c>
      <c r="FE17" s="1">
        <f t="shared" si="32"/>
        <v>0.3</v>
      </c>
      <c r="FG17" s="162">
        <f t="shared" si="33"/>
        <v>-0.35073388679648021</v>
      </c>
    </row>
    <row r="18" spans="1:163" ht="30" customHeight="1">
      <c r="A18" s="222" t="s">
        <v>222</v>
      </c>
      <c r="B18" s="212"/>
      <c r="C18" s="156">
        <f t="shared" si="5"/>
        <v>-0.99</v>
      </c>
      <c r="D18" s="198">
        <v>-1</v>
      </c>
      <c r="E18" s="213">
        <f t="shared" si="6"/>
        <v>0.46302293058340416</v>
      </c>
      <c r="F18" s="214">
        <f t="shared" si="7"/>
        <v>0.20836618074103574</v>
      </c>
      <c r="G18" s="213">
        <f t="shared" si="8"/>
        <v>0.40202215474252112</v>
      </c>
      <c r="H18" s="214">
        <f t="shared" si="9"/>
        <v>6.1000775840883037E-2</v>
      </c>
      <c r="I18" s="213"/>
      <c r="J18" s="214"/>
      <c r="K18" s="213">
        <f t="shared" si="34"/>
        <v>2.1481677355599174</v>
      </c>
      <c r="L18" s="214">
        <f t="shared" si="12"/>
        <v>-2.1481677355599174</v>
      </c>
      <c r="M18" s="215"/>
      <c r="N18" s="198">
        <v>-1</v>
      </c>
      <c r="O18" s="213">
        <f t="shared" si="35"/>
        <v>0</v>
      </c>
      <c r="P18" s="216">
        <f t="shared" si="36"/>
        <v>0</v>
      </c>
      <c r="Q18" s="213">
        <f>IFERROR(+BU18/BV18-1,"")</f>
        <v>-0.16996430413454633</v>
      </c>
      <c r="R18" s="217">
        <f t="shared" si="37"/>
        <v>-0.16996430413454633</v>
      </c>
      <c r="S18" s="215"/>
      <c r="T18" s="198">
        <v>-1</v>
      </c>
      <c r="U18" s="213">
        <f t="shared" si="14"/>
        <v>-0.24086013211689872</v>
      </c>
      <c r="V18" s="45">
        <f t="shared" si="15"/>
        <v>-0.24086013211689872</v>
      </c>
      <c r="W18" s="213">
        <f t="shared" si="38"/>
        <v>0.16365730866300887</v>
      </c>
      <c r="X18" s="45">
        <f t="shared" si="16"/>
        <v>0.16365730866300887</v>
      </c>
      <c r="Y18" s="213">
        <f t="shared" si="17"/>
        <v>0</v>
      </c>
      <c r="Z18" s="45">
        <f t="shared" si="18"/>
        <v>0</v>
      </c>
      <c r="AA18" s="30"/>
      <c r="AB18" s="225" t="s">
        <v>447</v>
      </c>
      <c r="AC18" s="61" t="s">
        <v>289</v>
      </c>
      <c r="AD18" s="61" t="s">
        <v>289</v>
      </c>
      <c r="AE18" s="61" t="s">
        <v>289</v>
      </c>
      <c r="AF18" s="61" t="s">
        <v>289</v>
      </c>
      <c r="AG18" s="61" t="s">
        <v>289</v>
      </c>
      <c r="AH18" s="61" t="s">
        <v>289</v>
      </c>
      <c r="AI18" s="61" t="s">
        <v>289</v>
      </c>
      <c r="AJ18" s="61" t="s">
        <v>289</v>
      </c>
      <c r="AK18" s="61" t="s">
        <v>289</v>
      </c>
      <c r="AL18" s="61" t="s">
        <v>289</v>
      </c>
      <c r="AM18" s="61" t="s">
        <v>289</v>
      </c>
      <c r="AN18" s="61" t="s">
        <v>289</v>
      </c>
      <c r="AP18" s="28">
        <f>VLOOKUP($A18,historia!$A$5:$CM$24,+HLOOKUP(AP$2,historia!$A$3:$EC$4,2,FALSE),FALSE)</f>
        <v>4</v>
      </c>
      <c r="AQ18" s="28">
        <f>VLOOKUP($A18,historia!$A$5:$CM$24,+HLOOKUP(AQ$2,historia!$A$3:$EC$4,2,FALSE),FALSE)</f>
        <v>4</v>
      </c>
      <c r="AR18" s="28">
        <f>VLOOKUP($A18,historia!$A$5:$CM$24,+HLOOKUP(AR$2,historia!$A$3:$EC$4,2,FALSE),FALSE)</f>
        <v>4</v>
      </c>
      <c r="AS18" s="28">
        <f>VLOOKUP($A18,historia!$A$5:$CM$24,+HLOOKUP(AS$2,historia!$A$3:$EC$4,2,FALSE),FALSE)</f>
        <v>4</v>
      </c>
      <c r="AT18" s="58">
        <f>VLOOKUP($A18,historia!$A$5:$CM$24,+HLOOKUP(AT$2,historia!$A$3:$EC$4,2,FALSE),FALSE)</f>
        <v>3</v>
      </c>
      <c r="AU18" s="58">
        <f>VLOOKUP($A18,historia!$A$5:$CM$24,+HLOOKUP(AU$2,historia!$A$3:$EC$4,2,FALSE),FALSE)</f>
        <v>3</v>
      </c>
      <c r="AV18" s="58">
        <f>VLOOKUP($A18,historia!$A$5:$CM$24,+HLOOKUP(AV$2,historia!$A$3:$EC$4,2,FALSE),FALSE)</f>
        <v>3</v>
      </c>
      <c r="AW18" s="58">
        <f>VLOOKUP($A18,historia!$A$5:$CM$24,+HLOOKUP(AW$2,historia!$A$3:$EC$4,2,FALSE),FALSE)</f>
        <v>3</v>
      </c>
      <c r="AX18" s="58">
        <f>VLOOKUP($A18,historia!$A$5:$CM$24,+HLOOKUP(AX$2,historia!$A$3:$EC$4,2,FALSE),FALSE)</f>
        <v>4</v>
      </c>
      <c r="AY18" s="58">
        <f>VLOOKUP($A18,historia!$A$5:$CM$24,+HLOOKUP(AY$2,historia!$A$3:$EC$4,2,FALSE),FALSE)</f>
        <v>4</v>
      </c>
      <c r="AZ18" s="58">
        <f>VLOOKUP($A18,historia!$A$5:$CM$24,+HLOOKUP(AZ$2,historia!$A$3:$EC$4,2,FALSE),FALSE)</f>
        <v>4</v>
      </c>
      <c r="BA18" s="58">
        <f>VLOOKUP($A18,historia!$A$5:$CM$24,+HLOOKUP(BA$2,historia!$A$3:$EC$4,2,FALSE),FALSE)</f>
        <v>4</v>
      </c>
      <c r="BB18" s="30"/>
      <c r="BC18" s="141">
        <v>4</v>
      </c>
      <c r="BD18" t="str">
        <f t="shared" si="19"/>
        <v>Ovino</v>
      </c>
      <c r="BE18">
        <f>+datos!BU1</f>
        <v>73</v>
      </c>
      <c r="BF18" s="2" t="str">
        <f t="shared" si="4"/>
        <v>$/kg</v>
      </c>
      <c r="BG18" s="2">
        <f t="shared" si="4"/>
        <v>38492.857499999998</v>
      </c>
      <c r="BH18" s="2">
        <f t="shared" si="4"/>
        <v>26310.494999999999</v>
      </c>
      <c r="BI18" s="2">
        <f t="shared" si="4"/>
        <v>10635.6747</v>
      </c>
      <c r="BK18">
        <f>+datos!DI1</f>
        <v>113</v>
      </c>
      <c r="BL18" s="2">
        <f t="shared" si="20"/>
        <v>4991.4960159189814</v>
      </c>
      <c r="BM18" s="2">
        <f t="shared" si="20"/>
        <v>3560.2119403281904</v>
      </c>
      <c r="BN18" s="2">
        <f t="shared" si="20"/>
        <v>1585.5241636390188</v>
      </c>
      <c r="BP18" s="1">
        <f>+datos!EL1</f>
        <v>142</v>
      </c>
      <c r="BQ18" s="1">
        <f t="shared" si="21"/>
        <v>12461845</v>
      </c>
      <c r="BR18" s="1">
        <f t="shared" si="21"/>
        <v>12461845</v>
      </c>
      <c r="BT18" s="1">
        <f>+datos!GS1</f>
        <v>201</v>
      </c>
      <c r="BU18" s="1">
        <f t="shared" si="22"/>
        <v>39685.8825</v>
      </c>
      <c r="BV18" s="1">
        <f t="shared" si="22"/>
        <v>47812.26</v>
      </c>
      <c r="BX18" s="1">
        <f>+datos!KI1</f>
        <v>295</v>
      </c>
      <c r="BY18" s="1">
        <f t="shared" si="39"/>
        <v>194.94363607999998</v>
      </c>
      <c r="BZ18" s="1">
        <f t="shared" si="40"/>
        <v>256.79541323999996</v>
      </c>
      <c r="CB18" s="1">
        <f>+datos!LN1</f>
        <v>326</v>
      </c>
      <c r="CC18" s="2">
        <f t="shared" si="23"/>
        <v>4.4227760200000006</v>
      </c>
      <c r="CD18" s="2">
        <f t="shared" si="24"/>
        <v>3.80075473</v>
      </c>
      <c r="CF18" s="1">
        <f>+datos!JA1</f>
        <v>261</v>
      </c>
      <c r="CG18" s="1">
        <f t="shared" si="25"/>
        <v>2813</v>
      </c>
      <c r="CH18" s="1">
        <f t="shared" si="26"/>
        <v>2813</v>
      </c>
      <c r="CJ18" s="1">
        <f t="shared" si="27"/>
        <v>15.83663735</v>
      </c>
      <c r="CK18" s="1">
        <f t="shared" si="27"/>
        <v>13.412348609999999</v>
      </c>
      <c r="CL18" s="1">
        <f t="shared" si="27"/>
        <v>9.5091132299999988</v>
      </c>
      <c r="CM18" s="1">
        <f t="shared" si="27"/>
        <v>10.49137048</v>
      </c>
      <c r="CN18" s="1">
        <f t="shared" si="27"/>
        <v>12.745889309999999</v>
      </c>
      <c r="CO18" s="1">
        <f t="shared" si="27"/>
        <v>11.898747670000001</v>
      </c>
      <c r="CP18" s="1">
        <f t="shared" si="27"/>
        <v>12.26162961</v>
      </c>
      <c r="CQ18" s="1">
        <f t="shared" si="27"/>
        <v>21.704121750000002</v>
      </c>
      <c r="CR18" s="1">
        <f t="shared" si="27"/>
        <v>21.006605250000003</v>
      </c>
      <c r="CS18" s="1">
        <f t="shared" si="27"/>
        <v>22.417077500000001</v>
      </c>
      <c r="CT18" s="1">
        <f t="shared" si="27"/>
        <v>28.978678630000001</v>
      </c>
      <c r="CU18" s="1">
        <f t="shared" si="27"/>
        <v>14.681416690000001</v>
      </c>
      <c r="CV18" s="1">
        <f t="shared" si="27"/>
        <v>20.44206312</v>
      </c>
      <c r="CW18" s="1">
        <f t="shared" si="27"/>
        <v>19.069193389999999</v>
      </c>
      <c r="CX18" s="1">
        <f t="shared" si="27"/>
        <v>11.15247257</v>
      </c>
      <c r="CY18" s="1">
        <f t="shared" si="27"/>
        <v>14.78060634</v>
      </c>
      <c r="CZ18" s="1">
        <f t="shared" si="28"/>
        <v>17.39120926</v>
      </c>
      <c r="DA18" s="1">
        <f t="shared" si="28"/>
        <v>19.858191740000002</v>
      </c>
      <c r="DB18" s="1">
        <f t="shared" si="28"/>
        <v>25.793182220000006</v>
      </c>
      <c r="DC18" s="1">
        <f t="shared" si="28"/>
        <v>23.71802637</v>
      </c>
      <c r="DD18" s="1">
        <f t="shared" si="28"/>
        <v>28.473251640000001</v>
      </c>
      <c r="DE18" s="1">
        <f t="shared" si="28"/>
        <v>31.821546949999998</v>
      </c>
      <c r="DF18" s="1">
        <f t="shared" si="28"/>
        <v>29.506416549999997</v>
      </c>
      <c r="DG18" s="1">
        <f t="shared" si="28"/>
        <v>14.789253089999999</v>
      </c>
      <c r="DI18" s="1">
        <f t="shared" si="29"/>
        <v>0.34283965</v>
      </c>
      <c r="DJ18" s="1">
        <f t="shared" si="29"/>
        <v>0.74167351000000015</v>
      </c>
      <c r="DK18" s="1">
        <f t="shared" si="29"/>
        <v>0.58632921999999998</v>
      </c>
      <c r="DL18" s="1">
        <f t="shared" si="29"/>
        <v>0.29250390000000004</v>
      </c>
      <c r="DM18" s="1">
        <f t="shared" si="29"/>
        <v>0.46645720000000002</v>
      </c>
      <c r="DN18" s="1">
        <f t="shared" si="29"/>
        <v>8.1248630000000002E-2</v>
      </c>
      <c r="DO18" s="1">
        <f t="shared" si="29"/>
        <v>0.16069122999999999</v>
      </c>
      <c r="DP18" s="1">
        <f t="shared" si="29"/>
        <v>0.12834936</v>
      </c>
      <c r="DQ18" s="1">
        <f t="shared" si="29"/>
        <v>0.21283820000000001</v>
      </c>
      <c r="DR18" s="1">
        <f t="shared" si="29"/>
        <v>0.28431688999999999</v>
      </c>
      <c r="DS18" s="1">
        <f t="shared" si="29"/>
        <v>0.27087241000000001</v>
      </c>
      <c r="DT18" s="1">
        <f t="shared" si="29"/>
        <v>0.85465582000000007</v>
      </c>
      <c r="DU18" s="1">
        <f t="shared" si="29"/>
        <v>0.86735239999999991</v>
      </c>
      <c r="DV18" s="1">
        <f t="shared" si="29"/>
        <v>0.68639446999999998</v>
      </c>
      <c r="DW18" s="1">
        <f t="shared" si="29"/>
        <v>0.51198889000000003</v>
      </c>
      <c r="DX18" s="1">
        <f t="shared" si="29"/>
        <v>0.25118170000000001</v>
      </c>
      <c r="DY18" s="1">
        <f t="shared" si="30"/>
        <v>0.17288594000000002</v>
      </c>
      <c r="DZ18" s="1">
        <f t="shared" si="30"/>
        <v>0</v>
      </c>
      <c r="EA18" s="1">
        <f t="shared" si="30"/>
        <v>0.51168631000000009</v>
      </c>
      <c r="EB18" s="1">
        <f t="shared" si="30"/>
        <v>0.28659749000000001</v>
      </c>
      <c r="EC18" s="1">
        <f t="shared" si="30"/>
        <v>2.9313999999999998E-3</v>
      </c>
      <c r="ED18" s="1">
        <f t="shared" si="30"/>
        <v>0.22824644999999999</v>
      </c>
      <c r="EE18" s="1">
        <f t="shared" si="30"/>
        <v>0.23393874000000003</v>
      </c>
      <c r="EF18" s="1">
        <f t="shared" si="30"/>
        <v>4.755094E-2</v>
      </c>
      <c r="EH18" s="14">
        <f t="shared" si="31"/>
        <v>2813</v>
      </c>
      <c r="EI18" s="14">
        <f t="shared" si="31"/>
        <v>2813</v>
      </c>
      <c r="EJ18" s="1">
        <f t="shared" si="31"/>
        <v>2813</v>
      </c>
      <c r="EK18" s="1">
        <f t="shared" si="31"/>
        <v>2813</v>
      </c>
      <c r="EL18" s="1">
        <f t="shared" si="31"/>
        <v>2813</v>
      </c>
      <c r="EM18" s="1">
        <f t="shared" si="31"/>
        <v>2813</v>
      </c>
      <c r="EN18" s="1">
        <f t="shared" si="31"/>
        <v>2813</v>
      </c>
      <c r="EO18" s="1">
        <f t="shared" si="31"/>
        <v>2813</v>
      </c>
      <c r="EP18" s="1">
        <f t="shared" si="31"/>
        <v>2813</v>
      </c>
      <c r="EQ18" s="1">
        <f t="shared" si="31"/>
        <v>2813</v>
      </c>
      <c r="ER18" s="1">
        <f t="shared" si="31"/>
        <v>2813</v>
      </c>
      <c r="ES18" s="1">
        <f t="shared" si="31"/>
        <v>2813</v>
      </c>
      <c r="ET18" s="1">
        <f t="shared" si="31"/>
        <v>2813</v>
      </c>
      <c r="EU18" s="1">
        <f t="shared" si="31"/>
        <v>2813</v>
      </c>
      <c r="EV18" s="1">
        <f t="shared" si="31"/>
        <v>2813</v>
      </c>
      <c r="EW18" s="1">
        <f t="shared" si="31"/>
        <v>2813</v>
      </c>
      <c r="EX18" s="1">
        <f t="shared" si="32"/>
        <v>2813</v>
      </c>
      <c r="EY18" s="1">
        <f t="shared" si="32"/>
        <v>2813</v>
      </c>
      <c r="EZ18" s="1">
        <f t="shared" si="32"/>
        <v>2813</v>
      </c>
      <c r="FA18" s="1">
        <f t="shared" si="32"/>
        <v>2813</v>
      </c>
      <c r="FB18" s="1">
        <f t="shared" si="32"/>
        <v>2813</v>
      </c>
      <c r="FC18" s="1">
        <f t="shared" si="32"/>
        <v>2813</v>
      </c>
      <c r="FD18" s="1">
        <f t="shared" si="32"/>
        <v>2813</v>
      </c>
      <c r="FE18" s="1">
        <f t="shared" si="32"/>
        <v>2813</v>
      </c>
      <c r="FG18" s="162">
        <f t="shared" si="33"/>
        <v>-2.1481677355599174</v>
      </c>
    </row>
    <row r="19" spans="1:163" ht="30" customHeight="1">
      <c r="A19" s="226" t="s">
        <v>66</v>
      </c>
      <c r="B19" s="227"/>
      <c r="C19" s="228">
        <f t="shared" si="5"/>
        <v>0</v>
      </c>
      <c r="D19" s="229">
        <v>1</v>
      </c>
      <c r="E19" s="230">
        <f t="shared" si="6"/>
        <v>0.37992086818331772</v>
      </c>
      <c r="F19" s="231">
        <f t="shared" si="7"/>
        <v>0.1252641183409493</v>
      </c>
      <c r="G19" s="230">
        <f t="shared" si="8"/>
        <v>0.79355461216364076</v>
      </c>
      <c r="H19" s="231">
        <f t="shared" si="9"/>
        <v>-0.41363374398032304</v>
      </c>
      <c r="I19" s="230">
        <f t="shared" si="10"/>
        <v>2.3918854941534309</v>
      </c>
      <c r="J19" s="231">
        <f t="shared" si="11"/>
        <v>0.27784336476862537</v>
      </c>
      <c r="K19" s="230">
        <f t="shared" si="34"/>
        <v>2.5439442216618136</v>
      </c>
      <c r="L19" s="231">
        <f t="shared" si="12"/>
        <v>-0.15205872750838267</v>
      </c>
      <c r="M19" s="232"/>
      <c r="N19" s="229">
        <v>-2</v>
      </c>
      <c r="O19" s="230">
        <f t="shared" si="35"/>
        <v>-2.8420239015399251E-2</v>
      </c>
      <c r="P19" s="233">
        <f t="shared" si="36"/>
        <v>-2.8420239015399251E-2</v>
      </c>
      <c r="Q19" s="230"/>
      <c r="R19" s="234">
        <v>-0.01</v>
      </c>
      <c r="S19" s="232"/>
      <c r="T19" s="229">
        <v>1</v>
      </c>
      <c r="U19" s="230">
        <f t="shared" si="14"/>
        <v>8.8453603520903368E-2</v>
      </c>
      <c r="V19" s="235">
        <f t="shared" si="15"/>
        <v>8.8453603520903368E-2</v>
      </c>
      <c r="W19" s="230">
        <f t="shared" si="38"/>
        <v>1.6269606613185186</v>
      </c>
      <c r="X19" s="235">
        <f t="shared" si="16"/>
        <v>1.6269606613185186</v>
      </c>
      <c r="Y19" s="230">
        <f t="shared" si="17"/>
        <v>-0.10860401686089749</v>
      </c>
      <c r="Z19" s="235">
        <f t="shared" si="18"/>
        <v>-0.10860401686089749</v>
      </c>
      <c r="AA19" s="238"/>
      <c r="AB19" s="237" t="s">
        <v>438</v>
      </c>
      <c r="AC19" s="61" t="s">
        <v>289</v>
      </c>
      <c r="AD19" s="61" t="s">
        <v>289</v>
      </c>
      <c r="AE19" s="61" t="s">
        <v>289</v>
      </c>
      <c r="AF19" s="61" t="s">
        <v>289</v>
      </c>
      <c r="AG19" s="61" t="s">
        <v>289</v>
      </c>
      <c r="AH19" s="61" t="s">
        <v>289</v>
      </c>
      <c r="AI19" s="61" t="s">
        <v>289</v>
      </c>
      <c r="AJ19" s="61" t="s">
        <v>289</v>
      </c>
      <c r="AK19" s="61" t="s">
        <v>289</v>
      </c>
      <c r="AL19" s="61" t="s">
        <v>289</v>
      </c>
      <c r="AM19" s="61" t="s">
        <v>289</v>
      </c>
      <c r="AN19" s="61" t="s">
        <v>289</v>
      </c>
      <c r="AP19" s="28">
        <f>VLOOKUP($A19,historia!$A$5:$CM$24,+HLOOKUP(AP$2,historia!$A$3:$EC$4,2,FALSE),FALSE)</f>
        <v>3</v>
      </c>
      <c r="AQ19" s="28">
        <f>VLOOKUP($A19,historia!$A$5:$CM$24,+HLOOKUP(AQ$2,historia!$A$3:$EC$4,2,FALSE),FALSE)</f>
        <v>3</v>
      </c>
      <c r="AR19" s="28">
        <f>VLOOKUP($A19,historia!$A$5:$CM$24,+HLOOKUP(AR$2,historia!$A$3:$EC$4,2,FALSE),FALSE)</f>
        <v>3</v>
      </c>
      <c r="AS19" s="28">
        <f>VLOOKUP($A19,historia!$A$5:$CM$24,+HLOOKUP(AS$2,historia!$A$3:$EC$4,2,FALSE),FALSE)</f>
        <v>3</v>
      </c>
      <c r="AT19" s="58">
        <f>VLOOKUP($A19,historia!$A$5:$CM$24,+HLOOKUP(AT$2,historia!$A$3:$EC$4,2,FALSE),FALSE)</f>
        <v>3</v>
      </c>
      <c r="AU19" s="58">
        <f>VLOOKUP($A19,historia!$A$5:$CM$24,+HLOOKUP(AU$2,historia!$A$3:$EC$4,2,FALSE),FALSE)</f>
        <v>4</v>
      </c>
      <c r="AV19" s="58">
        <f>VLOOKUP($A19,historia!$A$5:$CM$24,+HLOOKUP(AV$2,historia!$A$3:$EC$4,2,FALSE),FALSE)</f>
        <v>4</v>
      </c>
      <c r="AW19" s="58">
        <f>VLOOKUP($A19,historia!$A$5:$CM$24,+HLOOKUP(AW$2,historia!$A$3:$EC$4,2,FALSE),FALSE)</f>
        <v>4</v>
      </c>
      <c r="AX19" s="58">
        <f>VLOOKUP($A19,historia!$A$5:$CM$24,+HLOOKUP(AX$2,historia!$A$3:$EC$4,2,FALSE),FALSE)</f>
        <v>4</v>
      </c>
      <c r="AY19" s="58">
        <f>VLOOKUP($A19,historia!$A$5:$CM$24,+HLOOKUP(AY$2,historia!$A$3:$EC$4,2,FALSE),FALSE)</f>
        <v>3</v>
      </c>
      <c r="AZ19" s="58">
        <f>VLOOKUP($A19,historia!$A$5:$CM$24,+HLOOKUP(AZ$2,historia!$A$3:$EC$4,2,FALSE),FALSE)</f>
        <v>3</v>
      </c>
      <c r="BA19" s="58">
        <f>VLOOKUP($A19,historia!$A$5:$CM$24,+HLOOKUP(BA$2,historia!$A$3:$EC$4,2,FALSE),FALSE)</f>
        <v>3</v>
      </c>
      <c r="BB19" s="30"/>
      <c r="BC19" s="141">
        <v>3</v>
      </c>
      <c r="BD19" t="str">
        <f t="shared" si="19"/>
        <v>Papa</v>
      </c>
      <c r="BE19">
        <f>+datos!AV1</f>
        <v>48</v>
      </c>
      <c r="BF19" s="2" t="str">
        <f t="shared" si="4"/>
        <v>$/bolsa 20kg</v>
      </c>
      <c r="BG19" s="2">
        <f t="shared" si="4"/>
        <v>6385.8974358974356</v>
      </c>
      <c r="BH19" s="2">
        <f t="shared" si="4"/>
        <v>4627.727272727273</v>
      </c>
      <c r="BI19" s="2">
        <f t="shared" si="4"/>
        <v>1882.6984126984128</v>
      </c>
      <c r="BK19">
        <f>+datos!CI1</f>
        <v>87</v>
      </c>
      <c r="BL19" s="2">
        <f t="shared" si="20"/>
        <v>7954.5684424429055</v>
      </c>
      <c r="BM19" s="2">
        <f t="shared" si="20"/>
        <v>4435.0857166523483</v>
      </c>
      <c r="BN19" s="2">
        <f t="shared" si="20"/>
        <v>2244.5523814460257</v>
      </c>
      <c r="BP19" s="1">
        <f>+datos!EZ1</f>
        <v>156</v>
      </c>
      <c r="BQ19" s="1">
        <f t="shared" si="21"/>
        <v>32682</v>
      </c>
      <c r="BR19" s="1">
        <f t="shared" si="21"/>
        <v>33638</v>
      </c>
      <c r="BT19" s="1">
        <f>+datos!GT1</f>
        <v>202</v>
      </c>
      <c r="BU19" s="1">
        <f t="shared" si="22"/>
        <v>2365997</v>
      </c>
      <c r="BV19" s="1">
        <f t="shared" si="22"/>
        <v>2410599</v>
      </c>
      <c r="BX19" s="1">
        <f>+datos!JO1</f>
        <v>275</v>
      </c>
      <c r="BY19" s="1">
        <f t="shared" si="39"/>
        <v>319.55126543</v>
      </c>
      <c r="BZ19" s="1">
        <f t="shared" si="40"/>
        <v>293.58280812000004</v>
      </c>
      <c r="CB19" s="1">
        <f>+datos!KT1</f>
        <v>306</v>
      </c>
      <c r="CC19" s="2">
        <f t="shared" si="23"/>
        <v>18.293748179999994</v>
      </c>
      <c r="CD19" s="2">
        <f t="shared" si="24"/>
        <v>6.9638455000000015</v>
      </c>
      <c r="CF19" s="1">
        <f>+datos!JB1</f>
        <v>262</v>
      </c>
      <c r="CG19" s="1">
        <f t="shared" si="25"/>
        <v>35.950000000000003</v>
      </c>
      <c r="CH19" s="1">
        <f t="shared" si="26"/>
        <v>40.33</v>
      </c>
      <c r="CJ19" s="1">
        <f t="shared" si="27"/>
        <v>26.000694290000002</v>
      </c>
      <c r="CK19" s="1">
        <f t="shared" si="27"/>
        <v>22.013274209999999</v>
      </c>
      <c r="CL19" s="1">
        <f t="shared" si="27"/>
        <v>23.44114875</v>
      </c>
      <c r="CM19" s="1">
        <f t="shared" si="27"/>
        <v>29.35689408</v>
      </c>
      <c r="CN19" s="1">
        <f t="shared" si="27"/>
        <v>26.11967611</v>
      </c>
      <c r="CO19" s="1">
        <f t="shared" si="27"/>
        <v>30.386509889999999</v>
      </c>
      <c r="CP19" s="1">
        <f t="shared" si="27"/>
        <v>26.2743097</v>
      </c>
      <c r="CQ19" s="1">
        <f t="shared" si="27"/>
        <v>30.80704394</v>
      </c>
      <c r="CR19" s="1">
        <f t="shared" si="27"/>
        <v>27.637267510000001</v>
      </c>
      <c r="CS19" s="1">
        <f t="shared" si="27"/>
        <v>30.470799569999997</v>
      </c>
      <c r="CT19" s="1">
        <f t="shared" si="27"/>
        <v>25.884569989999999</v>
      </c>
      <c r="CU19" s="1">
        <f t="shared" si="27"/>
        <v>21.159077390000004</v>
      </c>
      <c r="CV19" s="1">
        <f t="shared" si="27"/>
        <v>21.056863770000003</v>
      </c>
      <c r="CW19" s="1">
        <f t="shared" si="27"/>
        <v>16.985680380000005</v>
      </c>
      <c r="CX19" s="1">
        <f t="shared" si="27"/>
        <v>25.68249277</v>
      </c>
      <c r="CY19" s="1">
        <f t="shared" si="27"/>
        <v>25.561633730000004</v>
      </c>
      <c r="CZ19" s="1">
        <f t="shared" si="28"/>
        <v>29.175893349999999</v>
      </c>
      <c r="DA19" s="1">
        <f t="shared" si="28"/>
        <v>26.64714219</v>
      </c>
      <c r="DB19" s="1">
        <f t="shared" si="28"/>
        <v>28.903680499999997</v>
      </c>
      <c r="DC19" s="1">
        <f t="shared" si="28"/>
        <v>27.118801100000006</v>
      </c>
      <c r="DD19" s="1">
        <f t="shared" si="28"/>
        <v>25.069733259999996</v>
      </c>
      <c r="DE19" s="1">
        <f t="shared" si="28"/>
        <v>23.736113960000001</v>
      </c>
      <c r="DF19" s="1">
        <f t="shared" si="28"/>
        <v>22.255492239999995</v>
      </c>
      <c r="DG19" s="1">
        <f t="shared" si="28"/>
        <v>21.389280870000007</v>
      </c>
      <c r="DI19" s="1">
        <f t="shared" si="29"/>
        <v>2.1384397699999997</v>
      </c>
      <c r="DJ19" s="1">
        <f t="shared" si="29"/>
        <v>2.7337765599999999</v>
      </c>
      <c r="DK19" s="1">
        <f t="shared" si="29"/>
        <v>1.0171737099999998</v>
      </c>
      <c r="DL19" s="1">
        <f t="shared" si="29"/>
        <v>1.9864389700000002</v>
      </c>
      <c r="DM19" s="1">
        <f t="shared" si="29"/>
        <v>2.8868213899999997</v>
      </c>
      <c r="DN19" s="1">
        <f t="shared" si="29"/>
        <v>1.3747401999999997</v>
      </c>
      <c r="DO19" s="1">
        <f t="shared" si="29"/>
        <v>1.6364950999999999</v>
      </c>
      <c r="DP19" s="1">
        <f t="shared" si="29"/>
        <v>1.1348675200000002</v>
      </c>
      <c r="DQ19" s="1">
        <f t="shared" si="29"/>
        <v>0.73241972</v>
      </c>
      <c r="DR19" s="1">
        <f t="shared" si="29"/>
        <v>1.2023484900000001</v>
      </c>
      <c r="DS19" s="1">
        <f t="shared" si="29"/>
        <v>0.41620179000000002</v>
      </c>
      <c r="DT19" s="1">
        <f t="shared" si="29"/>
        <v>1.03402496</v>
      </c>
      <c r="DU19" s="1">
        <f t="shared" si="29"/>
        <v>2.8427559999999998E-2</v>
      </c>
      <c r="DV19" s="1">
        <f t="shared" si="29"/>
        <v>1.0036533000000001</v>
      </c>
      <c r="DW19" s="1">
        <f t="shared" si="29"/>
        <v>0.19325807</v>
      </c>
      <c r="DX19" s="1">
        <f t="shared" si="29"/>
        <v>0.52785406000000001</v>
      </c>
      <c r="DY19" s="1">
        <f t="shared" si="30"/>
        <v>0.66552862999999995</v>
      </c>
      <c r="DZ19" s="1">
        <f t="shared" si="30"/>
        <v>0.47927648999999994</v>
      </c>
      <c r="EA19" s="1">
        <f t="shared" si="30"/>
        <v>0.83261881999999998</v>
      </c>
      <c r="EB19" s="1">
        <f t="shared" si="30"/>
        <v>0.7180453</v>
      </c>
      <c r="EC19" s="1">
        <f t="shared" si="30"/>
        <v>0.58227790999999995</v>
      </c>
      <c r="ED19" s="1">
        <f t="shared" si="30"/>
        <v>0.59454408000000003</v>
      </c>
      <c r="EE19" s="1">
        <f t="shared" si="30"/>
        <v>0.70206774000000005</v>
      </c>
      <c r="EF19" s="1">
        <f t="shared" si="30"/>
        <v>0.63629354000000005</v>
      </c>
      <c r="EH19" s="14">
        <f t="shared" si="31"/>
        <v>35.950000000000003</v>
      </c>
      <c r="EI19" s="14">
        <f t="shared" si="31"/>
        <v>35.950000000000003</v>
      </c>
      <c r="EJ19" s="1">
        <f t="shared" si="31"/>
        <v>35.950000000000003</v>
      </c>
      <c r="EK19" s="1">
        <f t="shared" si="31"/>
        <v>35.950000000000003</v>
      </c>
      <c r="EL19" s="1">
        <f t="shared" si="31"/>
        <v>35.950000000000003</v>
      </c>
      <c r="EM19" s="1">
        <f t="shared" si="31"/>
        <v>35.950000000000003</v>
      </c>
      <c r="EN19" s="1">
        <f t="shared" si="31"/>
        <v>35.950000000000003</v>
      </c>
      <c r="EO19" s="1">
        <f t="shared" si="31"/>
        <v>35.950000000000003</v>
      </c>
      <c r="EP19" s="1">
        <f t="shared" si="31"/>
        <v>35.950000000000003</v>
      </c>
      <c r="EQ19" s="1">
        <f t="shared" si="31"/>
        <v>35.950000000000003</v>
      </c>
      <c r="ER19" s="1">
        <f t="shared" si="31"/>
        <v>35.950000000000003</v>
      </c>
      <c r="ES19" s="1">
        <f t="shared" si="31"/>
        <v>35.950000000000003</v>
      </c>
      <c r="ET19" s="1">
        <f t="shared" si="31"/>
        <v>40.33</v>
      </c>
      <c r="EU19" s="1">
        <f t="shared" si="31"/>
        <v>40.33</v>
      </c>
      <c r="EV19" s="1">
        <f t="shared" si="31"/>
        <v>40.33</v>
      </c>
      <c r="EW19" s="1">
        <f t="shared" si="31"/>
        <v>40.33</v>
      </c>
      <c r="EX19" s="1">
        <f t="shared" si="32"/>
        <v>40.33</v>
      </c>
      <c r="EY19" s="1">
        <f t="shared" si="32"/>
        <v>40.33</v>
      </c>
      <c r="EZ19" s="1">
        <f t="shared" si="32"/>
        <v>40.33</v>
      </c>
      <c r="FA19" s="1">
        <f t="shared" si="32"/>
        <v>40.33</v>
      </c>
      <c r="FB19" s="1">
        <f t="shared" si="32"/>
        <v>40.33</v>
      </c>
      <c r="FC19" s="1">
        <f t="shared" si="32"/>
        <v>40.33</v>
      </c>
      <c r="FD19" s="1">
        <f t="shared" si="32"/>
        <v>40.33</v>
      </c>
      <c r="FE19" s="1">
        <f t="shared" si="32"/>
        <v>40.33</v>
      </c>
      <c r="FG19" s="162">
        <f t="shared" si="33"/>
        <v>-0.15205872750838267</v>
      </c>
    </row>
    <row r="20" spans="1:163" ht="30" customHeight="1">
      <c r="A20" s="224" t="s">
        <v>218</v>
      </c>
      <c r="B20" s="212"/>
      <c r="C20" s="156">
        <f t="shared" si="5"/>
        <v>0</v>
      </c>
      <c r="D20" s="198">
        <v>0</v>
      </c>
      <c r="E20" s="213">
        <f t="shared" si="6"/>
        <v>0.63204206786781114</v>
      </c>
      <c r="F20" s="214">
        <f t="shared" si="7"/>
        <v>0.37738531802544273</v>
      </c>
      <c r="G20" s="213">
        <f t="shared" si="8"/>
        <v>0.53483780621984689</v>
      </c>
      <c r="H20" s="214">
        <f t="shared" si="9"/>
        <v>9.7204261647964252E-2</v>
      </c>
      <c r="I20" s="213">
        <f t="shared" si="10"/>
        <v>1.9192883478088736</v>
      </c>
      <c r="J20" s="214">
        <f t="shared" si="11"/>
        <v>-0.19475378157593193</v>
      </c>
      <c r="K20" s="213">
        <f t="shared" si="34"/>
        <v>2.2728480415957124</v>
      </c>
      <c r="L20" s="214">
        <f t="shared" si="12"/>
        <v>-0.35355969378683882</v>
      </c>
      <c r="M20" s="215"/>
      <c r="N20" s="198">
        <v>-1</v>
      </c>
      <c r="O20" s="213">
        <f t="shared" si="35"/>
        <v>0.10200678349349923</v>
      </c>
      <c r="P20" s="216">
        <f t="shared" si="36"/>
        <v>0.10200678349349923</v>
      </c>
      <c r="Q20" s="213">
        <f>IFERROR(+BU20/BV20-1,"")</f>
        <v>-0.22042526098776161</v>
      </c>
      <c r="R20" s="217">
        <f t="shared" si="37"/>
        <v>-0.22042526098776161</v>
      </c>
      <c r="S20" s="215"/>
      <c r="T20" s="198">
        <v>1</v>
      </c>
      <c r="U20" s="213">
        <f t="shared" si="14"/>
        <v>0.1299798245611461</v>
      </c>
      <c r="V20" s="45">
        <f t="shared" si="15"/>
        <v>0.1299798245611461</v>
      </c>
      <c r="W20" s="213">
        <f t="shared" si="38"/>
        <v>0.21802202222266964</v>
      </c>
      <c r="X20" s="45">
        <f t="shared" si="16"/>
        <v>0.21802202222266964</v>
      </c>
      <c r="Y20" s="213" t="str">
        <f t="shared" si="17"/>
        <v/>
      </c>
      <c r="Z20" s="45" t="str">
        <f t="shared" si="18"/>
        <v/>
      </c>
      <c r="AA20" s="30"/>
      <c r="AB20" s="225" t="s">
        <v>448</v>
      </c>
      <c r="AC20" s="61" t="s">
        <v>289</v>
      </c>
      <c r="AD20" s="61" t="s">
        <v>289</v>
      </c>
      <c r="AE20" s="61" t="s">
        <v>289</v>
      </c>
      <c r="AF20" s="61" t="s">
        <v>289</v>
      </c>
      <c r="AG20" s="61" t="s">
        <v>289</v>
      </c>
      <c r="AH20" s="61" t="s">
        <v>289</v>
      </c>
      <c r="AI20" s="61" t="s">
        <v>289</v>
      </c>
      <c r="AJ20" s="61" t="s">
        <v>289</v>
      </c>
      <c r="AK20" s="61" t="s">
        <v>289</v>
      </c>
      <c r="AL20" s="61" t="s">
        <v>289</v>
      </c>
      <c r="AM20" s="61" t="s">
        <v>289</v>
      </c>
      <c r="AN20" s="61" t="s">
        <v>289</v>
      </c>
      <c r="AP20" s="28">
        <f>VLOOKUP($A20,historia!$A$5:$CM$24,+HLOOKUP(AP$2,historia!$A$3:$EC$4,2,FALSE),FALSE)</f>
        <v>4</v>
      </c>
      <c r="AQ20" s="28">
        <f>VLOOKUP($A20,historia!$A$5:$CM$24,+HLOOKUP(AQ$2,historia!$A$3:$EC$4,2,FALSE),FALSE)</f>
        <v>4</v>
      </c>
      <c r="AR20" s="28">
        <f>VLOOKUP($A20,historia!$A$5:$CM$24,+HLOOKUP(AR$2,historia!$A$3:$EC$4,2,FALSE),FALSE)</f>
        <v>4</v>
      </c>
      <c r="AS20" s="28">
        <f>VLOOKUP($A20,historia!$A$5:$CM$24,+HLOOKUP(AS$2,historia!$A$3:$EC$4,2,FALSE),FALSE)</f>
        <v>4</v>
      </c>
      <c r="AT20" s="58">
        <f>VLOOKUP($A20,historia!$A$5:$CM$24,+HLOOKUP(AT$2,historia!$A$3:$EC$4,2,FALSE),FALSE)</f>
        <v>4</v>
      </c>
      <c r="AU20" s="58">
        <f>VLOOKUP($A20,historia!$A$5:$CM$24,+HLOOKUP(AU$2,historia!$A$3:$EC$4,2,FALSE),FALSE)</f>
        <v>4</v>
      </c>
      <c r="AV20" s="58">
        <f>VLOOKUP($A20,historia!$A$5:$CM$24,+HLOOKUP(AV$2,historia!$A$3:$EC$4,2,FALSE),FALSE)</f>
        <v>3</v>
      </c>
      <c r="AW20" s="58">
        <f>VLOOKUP($A20,historia!$A$5:$CM$24,+HLOOKUP(AW$2,historia!$A$3:$EC$4,2,FALSE),FALSE)</f>
        <v>3</v>
      </c>
      <c r="AX20" s="58">
        <f>VLOOKUP($A20,historia!$A$5:$CM$24,+HLOOKUP(AX$2,historia!$A$3:$EC$4,2,FALSE),FALSE)</f>
        <v>3</v>
      </c>
      <c r="AY20" s="58">
        <f>VLOOKUP($A20,historia!$A$5:$CM$24,+HLOOKUP(AY$2,historia!$A$3:$EC$4,2,FALSE),FALSE)</f>
        <v>3</v>
      </c>
      <c r="AZ20" s="58">
        <f>VLOOKUP($A20,historia!$A$5:$CM$24,+HLOOKUP(AZ$2,historia!$A$3:$EC$4,2,FALSE),FALSE)</f>
        <v>3</v>
      </c>
      <c r="BA20" s="58">
        <f>VLOOKUP($A20,historia!$A$5:$CM$24,+HLOOKUP(BA$2,historia!$A$3:$EC$4,2,FALSE),FALSE)</f>
        <v>3</v>
      </c>
      <c r="BB20" s="30"/>
      <c r="BC20" s="141">
        <v>3</v>
      </c>
      <c r="BD20" t="str">
        <f t="shared" si="19"/>
        <v>Peras y Manzanas</v>
      </c>
      <c r="BE20">
        <f>+datos!AP1</f>
        <v>42</v>
      </c>
      <c r="BF20" s="2" t="str">
        <f t="shared" si="4"/>
        <v>$/caja 18kg</v>
      </c>
      <c r="BG20" s="2">
        <f t="shared" si="4"/>
        <v>7761.6578947368425</v>
      </c>
      <c r="BH20" s="2">
        <f t="shared" si="4"/>
        <v>4755.7952380952383</v>
      </c>
      <c r="BI20" s="2">
        <f t="shared" si="4"/>
        <v>2658.75</v>
      </c>
      <c r="BK20">
        <f>+datos!CS1</f>
        <v>97</v>
      </c>
      <c r="BL20" s="2">
        <f t="shared" si="20"/>
        <v>5721.079632067097</v>
      </c>
      <c r="BM20" s="2">
        <f t="shared" si="20"/>
        <v>3727.4815676827429</v>
      </c>
      <c r="BN20" s="2">
        <f t="shared" si="20"/>
        <v>1748.0431597666609</v>
      </c>
      <c r="BP20" s="1">
        <f>+datos!FC1</f>
        <v>159</v>
      </c>
      <c r="BQ20" s="1">
        <f t="shared" si="21"/>
        <v>38989</v>
      </c>
      <c r="BR20" s="1">
        <f t="shared" si="21"/>
        <v>35380</v>
      </c>
      <c r="BT20" s="1">
        <f>+datos!GW1</f>
        <v>205</v>
      </c>
      <c r="BU20" s="1">
        <f t="shared" si="22"/>
        <v>771397</v>
      </c>
      <c r="BV20" s="1">
        <f t="shared" si="22"/>
        <v>989510</v>
      </c>
      <c r="BX20" s="1">
        <f>+datos!LS1</f>
        <v>331</v>
      </c>
      <c r="BY20" s="1">
        <f t="shared" si="39"/>
        <v>356.00158251999994</v>
      </c>
      <c r="BZ20" s="1">
        <f t="shared" si="40"/>
        <v>315.05127329000004</v>
      </c>
      <c r="CB20" s="1">
        <f>+datos!LW1</f>
        <v>335</v>
      </c>
      <c r="CC20" s="2">
        <f t="shared" si="23"/>
        <v>7.8280203999999998</v>
      </c>
      <c r="CD20" s="2">
        <f t="shared" si="24"/>
        <v>6.4268299400000011</v>
      </c>
      <c r="CF20" s="1">
        <f>+datos!JC1</f>
        <v>263</v>
      </c>
      <c r="CG20" s="1">
        <f t="shared" si="25"/>
        <v>0</v>
      </c>
      <c r="CH20" s="1">
        <f t="shared" si="26"/>
        <v>0</v>
      </c>
      <c r="CJ20" s="1">
        <f t="shared" si="27"/>
        <v>11.753879789999999</v>
      </c>
      <c r="CK20" s="1">
        <f t="shared" si="27"/>
        <v>15.619426270000002</v>
      </c>
      <c r="CL20" s="1">
        <f t="shared" si="27"/>
        <v>16.880359240000001</v>
      </c>
      <c r="CM20" s="1">
        <f t="shared" si="27"/>
        <v>24.204094699999999</v>
      </c>
      <c r="CN20" s="1">
        <f t="shared" si="27"/>
        <v>25.300599699999999</v>
      </c>
      <c r="CO20" s="1">
        <f t="shared" si="27"/>
        <v>48.042350899999995</v>
      </c>
      <c r="CP20" s="1">
        <f t="shared" si="27"/>
        <v>30.317151650000003</v>
      </c>
      <c r="CQ20" s="1">
        <f t="shared" si="27"/>
        <v>39.830023670000003</v>
      </c>
      <c r="CR20" s="1">
        <f t="shared" si="27"/>
        <v>48.212206680000008</v>
      </c>
      <c r="CS20" s="1">
        <f t="shared" si="27"/>
        <v>46.755406350000001</v>
      </c>
      <c r="CT20" s="1">
        <f t="shared" si="27"/>
        <v>37.276974840000001</v>
      </c>
      <c r="CU20" s="1">
        <f t="shared" si="27"/>
        <v>11.80910873</v>
      </c>
      <c r="CV20" s="1">
        <f t="shared" si="27"/>
        <v>12.88181872</v>
      </c>
      <c r="CW20" s="1">
        <f t="shared" si="27"/>
        <v>18.209359989999999</v>
      </c>
      <c r="CX20" s="1">
        <f t="shared" si="27"/>
        <v>17.588783669999998</v>
      </c>
      <c r="CY20" s="1">
        <f t="shared" si="27"/>
        <v>19.204431939999999</v>
      </c>
      <c r="CZ20" s="1">
        <f t="shared" si="28"/>
        <v>18.586597920000003</v>
      </c>
      <c r="DA20" s="1">
        <f t="shared" si="28"/>
        <v>16.816308710000001</v>
      </c>
      <c r="DB20" s="1">
        <f t="shared" si="28"/>
        <v>28.579364210000001</v>
      </c>
      <c r="DC20" s="1">
        <f t="shared" si="28"/>
        <v>38.836687069999996</v>
      </c>
      <c r="DD20" s="1">
        <f t="shared" si="28"/>
        <v>37.982258049999999</v>
      </c>
      <c r="DE20" s="1">
        <f t="shared" si="28"/>
        <v>42.930305690000004</v>
      </c>
      <c r="DF20" s="1">
        <f t="shared" si="28"/>
        <v>50.942165619999997</v>
      </c>
      <c r="DG20" s="1">
        <f t="shared" si="28"/>
        <v>12.493191699999999</v>
      </c>
      <c r="DI20" s="1">
        <f t="shared" si="29"/>
        <v>0.22142464000000001</v>
      </c>
      <c r="DJ20" s="1">
        <f t="shared" si="29"/>
        <v>1.01853964</v>
      </c>
      <c r="DK20" s="1">
        <f t="shared" si="29"/>
        <v>0.30728509999999998</v>
      </c>
      <c r="DL20" s="1">
        <f t="shared" si="29"/>
        <v>0.37410640000000001</v>
      </c>
      <c r="DM20" s="1">
        <f t="shared" si="29"/>
        <v>0.35746821000000001</v>
      </c>
      <c r="DN20" s="1">
        <f t="shared" si="29"/>
        <v>0.95829101000000005</v>
      </c>
      <c r="DO20" s="1">
        <f t="shared" si="29"/>
        <v>0.34636184000000003</v>
      </c>
      <c r="DP20" s="1">
        <f t="shared" si="29"/>
        <v>1.2547095300000002</v>
      </c>
      <c r="DQ20" s="1">
        <f t="shared" si="29"/>
        <v>1.273682</v>
      </c>
      <c r="DR20" s="1">
        <f t="shared" si="29"/>
        <v>0.92279571000000005</v>
      </c>
      <c r="DS20" s="1">
        <f t="shared" si="29"/>
        <v>0.55930298000000001</v>
      </c>
      <c r="DT20" s="1">
        <f t="shared" si="29"/>
        <v>0.23405334</v>
      </c>
      <c r="DU20" s="1">
        <f t="shared" si="29"/>
        <v>2.5551390000000004E-2</v>
      </c>
      <c r="DV20" s="1">
        <f t="shared" si="29"/>
        <v>0.44126778</v>
      </c>
      <c r="DW20" s="1">
        <f t="shared" si="29"/>
        <v>0.57571571999999993</v>
      </c>
      <c r="DX20" s="1">
        <f t="shared" si="29"/>
        <v>0.55222305999999999</v>
      </c>
      <c r="DY20" s="1">
        <f t="shared" si="30"/>
        <v>0.72330915000000007</v>
      </c>
      <c r="DZ20" s="1">
        <f t="shared" si="30"/>
        <v>0.57011290000000003</v>
      </c>
      <c r="EA20" s="1">
        <f t="shared" si="30"/>
        <v>0.72611420999999998</v>
      </c>
      <c r="EB20" s="1">
        <f t="shared" si="30"/>
        <v>1.15496998</v>
      </c>
      <c r="EC20" s="1">
        <f t="shared" si="30"/>
        <v>0.68284896000000006</v>
      </c>
      <c r="ED20" s="1">
        <f t="shared" si="30"/>
        <v>0.63966389999999995</v>
      </c>
      <c r="EE20" s="1">
        <f t="shared" si="30"/>
        <v>2.8615189999999999E-2</v>
      </c>
      <c r="EF20" s="1">
        <f t="shared" si="30"/>
        <v>0.30643770000000004</v>
      </c>
      <c r="EH20" s="14">
        <f t="shared" si="31"/>
        <v>0</v>
      </c>
      <c r="EI20" s="14">
        <f t="shared" si="31"/>
        <v>0</v>
      </c>
      <c r="EJ20" s="1">
        <f t="shared" si="31"/>
        <v>0</v>
      </c>
      <c r="EK20" s="1">
        <f t="shared" si="31"/>
        <v>0</v>
      </c>
      <c r="EL20" s="1">
        <f t="shared" si="31"/>
        <v>0</v>
      </c>
      <c r="EM20" s="1">
        <f t="shared" si="31"/>
        <v>0</v>
      </c>
      <c r="EN20" s="1">
        <f t="shared" si="31"/>
        <v>0</v>
      </c>
      <c r="EO20" s="1">
        <f t="shared" si="31"/>
        <v>0</v>
      </c>
      <c r="EP20" s="1">
        <f t="shared" si="31"/>
        <v>0</v>
      </c>
      <c r="EQ20" s="1">
        <f t="shared" si="31"/>
        <v>0</v>
      </c>
      <c r="ER20" s="1">
        <f t="shared" si="31"/>
        <v>0</v>
      </c>
      <c r="ES20" s="1">
        <f t="shared" si="31"/>
        <v>0</v>
      </c>
      <c r="ET20" s="1">
        <f t="shared" si="31"/>
        <v>0</v>
      </c>
      <c r="EU20" s="1">
        <f t="shared" si="31"/>
        <v>0</v>
      </c>
      <c r="EV20" s="1">
        <f t="shared" si="31"/>
        <v>0</v>
      </c>
      <c r="EW20" s="1">
        <f t="shared" si="31"/>
        <v>0</v>
      </c>
      <c r="EX20" s="1">
        <f t="shared" si="32"/>
        <v>0</v>
      </c>
      <c r="EY20" s="1">
        <f t="shared" si="32"/>
        <v>0</v>
      </c>
      <c r="EZ20" s="1">
        <f t="shared" si="32"/>
        <v>0</v>
      </c>
      <c r="FA20" s="1">
        <f t="shared" si="32"/>
        <v>0</v>
      </c>
      <c r="FB20" s="1">
        <f t="shared" si="32"/>
        <v>0</v>
      </c>
      <c r="FC20" s="1">
        <f t="shared" si="32"/>
        <v>0</v>
      </c>
      <c r="FD20" s="1">
        <f t="shared" si="32"/>
        <v>0</v>
      </c>
      <c r="FE20" s="1">
        <f t="shared" si="32"/>
        <v>0</v>
      </c>
      <c r="FG20" s="162">
        <f t="shared" si="33"/>
        <v>-0.35355969378683882</v>
      </c>
    </row>
    <row r="21" spans="1:163" ht="30" customHeight="1">
      <c r="A21" s="226" t="s">
        <v>121</v>
      </c>
      <c r="B21" s="227"/>
      <c r="C21" s="228">
        <f t="shared" si="5"/>
        <v>0.66</v>
      </c>
      <c r="D21" s="229">
        <v>0</v>
      </c>
      <c r="E21" s="230">
        <f t="shared" si="6"/>
        <v>0.38114058347579038</v>
      </c>
      <c r="F21" s="231">
        <f t="shared" si="7"/>
        <v>0.12648383363342197</v>
      </c>
      <c r="G21" s="230">
        <f t="shared" si="8"/>
        <v>0.89737157919906485</v>
      </c>
      <c r="H21" s="231">
        <f t="shared" si="9"/>
        <v>-0.51623099572327447</v>
      </c>
      <c r="I21" s="230">
        <f t="shared" si="10"/>
        <v>2.6014755871446233</v>
      </c>
      <c r="J21" s="231">
        <f t="shared" si="11"/>
        <v>0.48743345775981783</v>
      </c>
      <c r="K21" s="230">
        <f>IFERROR(+BL21/BN21-1,"")</f>
        <v>2.2136445650386949</v>
      </c>
      <c r="L21" s="231">
        <f>I21-K21</f>
        <v>0.38783102210592846</v>
      </c>
      <c r="M21" s="232"/>
      <c r="N21" s="229">
        <v>1</v>
      </c>
      <c r="O21" s="230">
        <f t="shared" si="35"/>
        <v>7.4910714725858085E-2</v>
      </c>
      <c r="P21" s="233">
        <f t="shared" si="36"/>
        <v>7.4910714725858085E-2</v>
      </c>
      <c r="Q21" s="230">
        <f>IFERROR(+BU21/BV21-1,"")</f>
        <v>9.9284143747972564E-2</v>
      </c>
      <c r="R21" s="234">
        <f t="shared" si="37"/>
        <v>9.9284143747972564E-2</v>
      </c>
      <c r="S21" s="232"/>
      <c r="T21" s="229">
        <v>1</v>
      </c>
      <c r="U21" s="230">
        <f t="shared" si="14"/>
        <v>0.14944399706643674</v>
      </c>
      <c r="V21" s="235">
        <f t="shared" si="15"/>
        <v>0.14944399706643674</v>
      </c>
      <c r="W21" s="230">
        <f t="shared" si="38"/>
        <v>-0.48865583929331313</v>
      </c>
      <c r="X21" s="235">
        <f t="shared" si="16"/>
        <v>-0.48865583929331313</v>
      </c>
      <c r="Y21" s="230">
        <f t="shared" si="17"/>
        <v>-2.3866348448688957E-3</v>
      </c>
      <c r="Z21" s="235">
        <f t="shared" si="18"/>
        <v>-2.3866348448688957E-3</v>
      </c>
      <c r="AA21" s="238"/>
      <c r="AB21" s="237" t="s">
        <v>449</v>
      </c>
      <c r="AC21" s="61" t="s">
        <v>289</v>
      </c>
      <c r="AD21" s="61" t="s">
        <v>289</v>
      </c>
      <c r="AE21" s="61" t="s">
        <v>289</v>
      </c>
      <c r="AF21" s="61" t="s">
        <v>289</v>
      </c>
      <c r="AG21" s="61" t="s">
        <v>289</v>
      </c>
      <c r="AH21" s="61" t="s">
        <v>289</v>
      </c>
      <c r="AI21" s="61" t="s">
        <v>289</v>
      </c>
      <c r="AJ21" s="61" t="s">
        <v>289</v>
      </c>
      <c r="AK21" s="61" t="s">
        <v>289</v>
      </c>
      <c r="AL21" s="61" t="s">
        <v>289</v>
      </c>
      <c r="AM21" s="61" t="s">
        <v>289</v>
      </c>
      <c r="AN21" s="61" t="s">
        <v>289</v>
      </c>
      <c r="AP21" s="28">
        <f>VLOOKUP($A21,historia!$A$5:$CM$24,+HLOOKUP(AP$2,historia!$A$3:$EC$4,2,FALSE),FALSE)</f>
        <v>3</v>
      </c>
      <c r="AQ21" s="28">
        <f>VLOOKUP($A21,historia!$A$5:$CM$24,+HLOOKUP(AQ$2,historia!$A$3:$EC$4,2,FALSE),FALSE)</f>
        <v>3</v>
      </c>
      <c r="AR21" s="28">
        <f>VLOOKUP($A21,historia!$A$5:$CM$24,+HLOOKUP(AR$2,historia!$A$3:$EC$4,2,FALSE),FALSE)</f>
        <v>3</v>
      </c>
      <c r="AS21" s="28">
        <f>VLOOKUP($A21,historia!$A$5:$CM$24,+HLOOKUP(AS$2,historia!$A$3:$EC$4,2,FALSE),FALSE)</f>
        <v>3</v>
      </c>
      <c r="AT21" s="58">
        <f>VLOOKUP($A21,historia!$A$5:$CM$24,+HLOOKUP(AT$2,historia!$A$3:$EC$4,2,FALSE),FALSE)</f>
        <v>3</v>
      </c>
      <c r="AU21" s="58">
        <f>VLOOKUP($A21,historia!$A$5:$CM$24,+HLOOKUP(AU$2,historia!$A$3:$EC$4,2,FALSE),FALSE)</f>
        <v>4</v>
      </c>
      <c r="AV21" s="58">
        <f>VLOOKUP($A21,historia!$A$5:$CM$24,+HLOOKUP(AV$2,historia!$A$3:$EC$4,2,FALSE),FALSE)</f>
        <v>4</v>
      </c>
      <c r="AW21" s="58">
        <f>VLOOKUP($A21,historia!$A$5:$CM$24,+HLOOKUP(AW$2,historia!$A$3:$EC$4,2,FALSE),FALSE)</f>
        <v>4</v>
      </c>
      <c r="AX21" s="58">
        <f>VLOOKUP($A21,historia!$A$5:$CM$24,+HLOOKUP(AX$2,historia!$A$3:$EC$4,2,FALSE),FALSE)</f>
        <v>3</v>
      </c>
      <c r="AY21" s="58">
        <f>VLOOKUP($A21,historia!$A$5:$CM$24,+HLOOKUP(AY$2,historia!$A$3:$EC$4,2,FALSE),FALSE)</f>
        <v>3</v>
      </c>
      <c r="AZ21" s="58">
        <f>VLOOKUP($A21,historia!$A$5:$CM$24,+HLOOKUP(AZ$2,historia!$A$3:$EC$4,2,FALSE),FALSE)</f>
        <v>3</v>
      </c>
      <c r="BA21" s="58">
        <f>VLOOKUP($A21,historia!$A$5:$CM$24,+HLOOKUP(BA$2,historia!$A$3:$EC$4,2,FALSE),FALSE)</f>
        <v>2</v>
      </c>
      <c r="BB21" s="30"/>
      <c r="BC21" s="141">
        <v>2</v>
      </c>
      <c r="BD21" t="str">
        <f t="shared" si="19"/>
        <v>Porcinos</v>
      </c>
      <c r="BE21">
        <f>+datos!BR1</f>
        <v>70</v>
      </c>
      <c r="BF21" s="2" t="str">
        <f t="shared" si="4"/>
        <v>$/kg</v>
      </c>
      <c r="BG21" s="2">
        <f t="shared" si="4"/>
        <v>932.35</v>
      </c>
      <c r="BH21" s="2">
        <f t="shared" si="4"/>
        <v>675.05799999999999</v>
      </c>
      <c r="BI21" s="2">
        <f t="shared" si="4"/>
        <v>258.88</v>
      </c>
      <c r="BK21">
        <f>+datos!DD1</f>
        <v>108</v>
      </c>
      <c r="BL21" s="2">
        <f t="shared" si="20"/>
        <v>6612.2666293293423</v>
      </c>
      <c r="BM21" s="2">
        <f t="shared" si="20"/>
        <v>3484.9613548657508</v>
      </c>
      <c r="BN21" s="2">
        <f t="shared" si="20"/>
        <v>2057.5600367459197</v>
      </c>
      <c r="BP21" s="1">
        <f>+datos!EJ1</f>
        <v>140</v>
      </c>
      <c r="BQ21" s="1">
        <f t="shared" si="21"/>
        <v>5887401</v>
      </c>
      <c r="BR21" s="1">
        <f t="shared" si="21"/>
        <v>5477107</v>
      </c>
      <c r="BT21" s="1">
        <f>+datos!HE1</f>
        <v>213</v>
      </c>
      <c r="BU21" s="1">
        <f t="shared" si="22"/>
        <v>762436</v>
      </c>
      <c r="BV21" s="1">
        <f t="shared" si="22"/>
        <v>693575</v>
      </c>
      <c r="BX21" s="1">
        <f>+datos!KJ1</f>
        <v>296</v>
      </c>
      <c r="BY21" s="1">
        <f t="shared" si="39"/>
        <v>19.622341269999996</v>
      </c>
      <c r="BZ21" s="1">
        <f t="shared" si="40"/>
        <v>17.07115903</v>
      </c>
      <c r="CB21" s="1">
        <f>+datos!LO1</f>
        <v>327</v>
      </c>
      <c r="CC21" s="2">
        <f t="shared" si="23"/>
        <v>53.227165370000002</v>
      </c>
      <c r="CD21" s="2">
        <f t="shared" si="24"/>
        <v>104.09264338999999</v>
      </c>
      <c r="CF21" s="1">
        <f>+datos!IO1</f>
        <v>249</v>
      </c>
      <c r="CG21" s="1">
        <f t="shared" si="25"/>
        <v>16.72</v>
      </c>
      <c r="CH21" s="1">
        <f t="shared" si="26"/>
        <v>16.760000000000002</v>
      </c>
      <c r="CJ21" s="1">
        <f t="shared" si="27"/>
        <v>1.5576121499999998</v>
      </c>
      <c r="CK21" s="1">
        <f t="shared" si="27"/>
        <v>1.3743196699999998</v>
      </c>
      <c r="CL21" s="1">
        <f t="shared" si="27"/>
        <v>1.4110336399999999</v>
      </c>
      <c r="CM21" s="1">
        <f t="shared" si="27"/>
        <v>1.8830951399999996</v>
      </c>
      <c r="CN21" s="1">
        <f t="shared" si="27"/>
        <v>1.4694087300000001</v>
      </c>
      <c r="CO21" s="1">
        <f t="shared" si="27"/>
        <v>2.0502103900000002</v>
      </c>
      <c r="CP21" s="1">
        <f t="shared" si="27"/>
        <v>1.8176867299999997</v>
      </c>
      <c r="CQ21" s="1">
        <f t="shared" si="27"/>
        <v>1.2719750699999999</v>
      </c>
      <c r="CR21" s="1">
        <f t="shared" si="27"/>
        <v>1.5228158499999997</v>
      </c>
      <c r="CS21" s="1">
        <f t="shared" si="27"/>
        <v>1.32254655</v>
      </c>
      <c r="CT21" s="1">
        <f t="shared" si="27"/>
        <v>2.1116566699999999</v>
      </c>
      <c r="CU21" s="1">
        <f t="shared" si="27"/>
        <v>1.8299806799999998</v>
      </c>
      <c r="CV21" s="1">
        <f t="shared" si="27"/>
        <v>2.01275629</v>
      </c>
      <c r="CW21" s="1">
        <f t="shared" si="27"/>
        <v>1.0656519800000002</v>
      </c>
      <c r="CX21" s="1">
        <f t="shared" si="27"/>
        <v>1.9138006200000002</v>
      </c>
      <c r="CY21" s="1">
        <f t="shared" si="27"/>
        <v>1.83911538</v>
      </c>
      <c r="CZ21" s="1">
        <f t="shared" si="28"/>
        <v>1.1669562900000001</v>
      </c>
      <c r="DA21" s="1">
        <f t="shared" si="28"/>
        <v>1.9574107099999998</v>
      </c>
      <c r="DB21" s="1">
        <f t="shared" si="28"/>
        <v>1.1355260499999997</v>
      </c>
      <c r="DC21" s="1">
        <f t="shared" si="28"/>
        <v>0.90610126000000002</v>
      </c>
      <c r="DD21" s="1">
        <f t="shared" si="28"/>
        <v>1.3895762900000002</v>
      </c>
      <c r="DE21" s="1">
        <f t="shared" si="28"/>
        <v>1.4229088099999998</v>
      </c>
      <c r="DF21" s="1">
        <f t="shared" si="28"/>
        <v>0.78701670999999995</v>
      </c>
      <c r="DG21" s="1">
        <f t="shared" si="28"/>
        <v>1.47433864</v>
      </c>
      <c r="DI21" s="1">
        <f t="shared" si="29"/>
        <v>3.3747357299999998</v>
      </c>
      <c r="DJ21" s="1">
        <f t="shared" si="29"/>
        <v>1.8536983500000002</v>
      </c>
      <c r="DK21" s="1">
        <f t="shared" si="29"/>
        <v>2.01592043</v>
      </c>
      <c r="DL21" s="1">
        <f t="shared" si="29"/>
        <v>3.3244473500000002</v>
      </c>
      <c r="DM21" s="1">
        <f t="shared" si="29"/>
        <v>2.84758625</v>
      </c>
      <c r="DN21" s="1">
        <f t="shared" si="29"/>
        <v>4.1641835499999997</v>
      </c>
      <c r="DO21" s="1">
        <f t="shared" si="29"/>
        <v>4.5685913500000002</v>
      </c>
      <c r="DP21" s="1">
        <f t="shared" si="29"/>
        <v>6.3615663699999985</v>
      </c>
      <c r="DQ21" s="1">
        <f t="shared" si="29"/>
        <v>5.5541627499999997</v>
      </c>
      <c r="DR21" s="1">
        <f t="shared" si="29"/>
        <v>6.8596205599999998</v>
      </c>
      <c r="DS21" s="1">
        <f t="shared" si="29"/>
        <v>4.6739966500000012</v>
      </c>
      <c r="DT21" s="1">
        <f t="shared" si="29"/>
        <v>7.6286560299999993</v>
      </c>
      <c r="DU21" s="1">
        <f t="shared" si="29"/>
        <v>3.658397E-2</v>
      </c>
      <c r="DV21" s="1">
        <f t="shared" si="29"/>
        <v>7.2061905900000003</v>
      </c>
      <c r="DW21" s="1">
        <f t="shared" si="29"/>
        <v>7.3381374299999997</v>
      </c>
      <c r="DX21" s="1">
        <f t="shared" ref="DX21:EF24" si="41">+VLOOKUP(DX$1,ran_dat,$CB21,FALSE)</f>
        <v>7.276038279999999</v>
      </c>
      <c r="DY21" s="1">
        <f t="shared" si="41"/>
        <v>4.9460771399999999</v>
      </c>
      <c r="DZ21" s="1">
        <f t="shared" si="41"/>
        <v>6.6386870500000015</v>
      </c>
      <c r="EA21" s="1">
        <f t="shared" si="41"/>
        <v>8.8922827299999998</v>
      </c>
      <c r="EB21" s="1">
        <f t="shared" si="41"/>
        <v>12.050233429999999</v>
      </c>
      <c r="EC21" s="1">
        <f t="shared" si="41"/>
        <v>12.89114653</v>
      </c>
      <c r="ED21" s="1">
        <f t="shared" si="41"/>
        <v>13.174662569999999</v>
      </c>
      <c r="EE21" s="1">
        <f t="shared" si="41"/>
        <v>11.404167620000001</v>
      </c>
      <c r="EF21" s="1">
        <f t="shared" si="41"/>
        <v>12.238436049999999</v>
      </c>
      <c r="EH21" s="14">
        <f t="shared" si="31"/>
        <v>16.72</v>
      </c>
      <c r="EI21" s="14">
        <f t="shared" si="31"/>
        <v>16.75</v>
      </c>
      <c r="EJ21" s="1">
        <f t="shared" si="31"/>
        <v>16.760000000000002</v>
      </c>
      <c r="EK21" s="1">
        <f t="shared" si="31"/>
        <v>16.71</v>
      </c>
      <c r="EL21" s="1">
        <f t="shared" si="31"/>
        <v>16.68</v>
      </c>
      <c r="EM21" s="1">
        <f t="shared" si="31"/>
        <v>16.670000000000002</v>
      </c>
      <c r="EN21" s="1">
        <f t="shared" si="31"/>
        <v>16.670000000000002</v>
      </c>
      <c r="EO21" s="1">
        <f t="shared" si="31"/>
        <v>16.72</v>
      </c>
      <c r="EP21" s="1">
        <f t="shared" si="31"/>
        <v>16.77</v>
      </c>
      <c r="EQ21" s="1">
        <f t="shared" si="31"/>
        <v>16.88</v>
      </c>
      <c r="ER21" s="1">
        <f t="shared" si="31"/>
        <v>16.93</v>
      </c>
      <c r="ES21" s="1">
        <f t="shared" si="31"/>
        <v>16.97</v>
      </c>
      <c r="ET21" s="1">
        <f t="shared" si="31"/>
        <v>16.760000000000002</v>
      </c>
      <c r="EU21" s="1">
        <f t="shared" si="31"/>
        <v>16.89</v>
      </c>
      <c r="EV21" s="1">
        <f t="shared" si="31"/>
        <v>16.920000000000002</v>
      </c>
      <c r="EW21" s="1">
        <f t="shared" ref="EW21:FE24" si="42">+VLOOKUP(EW$1,ran_dat,$CF21,FALSE)</f>
        <v>16.899999999999999</v>
      </c>
      <c r="EX21" s="1">
        <f t="shared" si="42"/>
        <v>16.84</v>
      </c>
      <c r="EY21" s="1">
        <f t="shared" si="42"/>
        <v>16.75</v>
      </c>
      <c r="EZ21" s="1">
        <f t="shared" si="42"/>
        <v>16.71</v>
      </c>
      <c r="FA21" s="1">
        <f t="shared" si="42"/>
        <v>16.57</v>
      </c>
      <c r="FB21" s="1">
        <f t="shared" si="42"/>
        <v>16.329999999999998</v>
      </c>
      <c r="FC21" s="1">
        <f t="shared" si="42"/>
        <v>16.149999999999999</v>
      </c>
      <c r="FD21" s="1">
        <f t="shared" si="42"/>
        <v>16.04</v>
      </c>
      <c r="FE21" s="1">
        <f t="shared" si="42"/>
        <v>15.92</v>
      </c>
      <c r="FG21" s="162">
        <f t="shared" si="33"/>
        <v>0.38783102210592846</v>
      </c>
    </row>
    <row r="22" spans="1:163" ht="30" customHeight="1">
      <c r="A22" s="222" t="s">
        <v>75</v>
      </c>
      <c r="B22" s="212"/>
      <c r="C22" s="156">
        <f t="shared" si="5"/>
        <v>0</v>
      </c>
      <c r="D22" s="198">
        <v>1</v>
      </c>
      <c r="E22" s="213">
        <f t="shared" si="6"/>
        <v>0.61601237403760689</v>
      </c>
      <c r="F22" s="214">
        <f t="shared" si="7"/>
        <v>0.36135562419523848</v>
      </c>
      <c r="G22" s="213">
        <f t="shared" si="8"/>
        <v>0.47487470879212212</v>
      </c>
      <c r="H22" s="214">
        <f t="shared" si="9"/>
        <v>0.14113766524548477</v>
      </c>
      <c r="I22" s="213">
        <f t="shared" si="10"/>
        <v>2.6144889370820747</v>
      </c>
      <c r="J22" s="214">
        <f t="shared" si="11"/>
        <v>0.50044680769726924</v>
      </c>
      <c r="K22" s="213">
        <f t="shared" si="34"/>
        <v>2.198133894824164</v>
      </c>
      <c r="L22" s="214">
        <f t="shared" si="12"/>
        <v>0.41635504225791076</v>
      </c>
      <c r="M22" s="215"/>
      <c r="N22" s="198">
        <v>0</v>
      </c>
      <c r="O22" s="213">
        <f t="shared" si="35"/>
        <v>-3.7178457828739964E-2</v>
      </c>
      <c r="P22" s="216">
        <f t="shared" si="36"/>
        <v>-3.7178457828739964E-2</v>
      </c>
      <c r="Q22" s="213">
        <f>IFERROR(+BU22/BV22-1,"")</f>
        <v>1.9164061826579815E-3</v>
      </c>
      <c r="R22" s="217">
        <f t="shared" si="37"/>
        <v>1.9164061826579815E-3</v>
      </c>
      <c r="S22" s="215"/>
      <c r="T22" s="198">
        <v>-1</v>
      </c>
      <c r="U22" s="213">
        <f t="shared" si="14"/>
        <v>-4.6525848662436031E-2</v>
      </c>
      <c r="V22" s="45">
        <f t="shared" si="15"/>
        <v>-4.6525848662436031E-2</v>
      </c>
      <c r="W22" s="213">
        <f t="shared" si="38"/>
        <v>0.44196423078395841</v>
      </c>
      <c r="X22" s="45">
        <f t="shared" si="16"/>
        <v>0.44196423078395841</v>
      </c>
      <c r="Y22" s="213" t="str">
        <f t="shared" si="17"/>
        <v/>
      </c>
      <c r="Z22" s="45" t="str">
        <f t="shared" si="18"/>
        <v/>
      </c>
      <c r="AA22" s="30"/>
      <c r="AB22" s="225" t="s">
        <v>450</v>
      </c>
      <c r="AC22" s="61" t="s">
        <v>289</v>
      </c>
      <c r="AD22" s="61" t="s">
        <v>289</v>
      </c>
      <c r="AE22" s="61" t="s">
        <v>289</v>
      </c>
      <c r="AF22" s="61" t="s">
        <v>289</v>
      </c>
      <c r="AG22" s="61" t="s">
        <v>289</v>
      </c>
      <c r="AH22" s="61" t="s">
        <v>289</v>
      </c>
      <c r="AI22" s="61" t="s">
        <v>289</v>
      </c>
      <c r="AJ22" s="61" t="s">
        <v>289</v>
      </c>
      <c r="AK22" s="61" t="s">
        <v>289</v>
      </c>
      <c r="AL22" s="61" t="s">
        <v>289</v>
      </c>
      <c r="AM22" s="61" t="s">
        <v>289</v>
      </c>
      <c r="AN22" s="61" t="s">
        <v>289</v>
      </c>
      <c r="AP22" s="28">
        <f>VLOOKUP($A22,historia!$A$5:$CM$24,+HLOOKUP(AP$2,historia!$A$3:$EC$4,2,FALSE),FALSE)</f>
        <v>3</v>
      </c>
      <c r="AQ22" s="28">
        <f>VLOOKUP($A22,historia!$A$5:$CM$24,+HLOOKUP(AQ$2,historia!$A$3:$EC$4,2,FALSE),FALSE)</f>
        <v>3</v>
      </c>
      <c r="AR22" s="28">
        <f>VLOOKUP($A22,historia!$A$5:$CM$24,+HLOOKUP(AR$2,historia!$A$3:$EC$4,2,FALSE),FALSE)</f>
        <v>3</v>
      </c>
      <c r="AS22" s="28">
        <f>VLOOKUP($A22,historia!$A$5:$CM$24,+HLOOKUP(AS$2,historia!$A$3:$EC$4,2,FALSE),FALSE)</f>
        <v>3</v>
      </c>
      <c r="AT22" s="58">
        <f>VLOOKUP($A22,historia!$A$5:$CM$24,+HLOOKUP(AT$2,historia!$A$3:$EC$4,2,FALSE),FALSE)</f>
        <v>4</v>
      </c>
      <c r="AU22" s="58">
        <f>VLOOKUP($A22,historia!$A$5:$CM$24,+HLOOKUP(AU$2,historia!$A$3:$EC$4,2,FALSE),FALSE)</f>
        <v>4</v>
      </c>
      <c r="AV22" s="58">
        <f>VLOOKUP($A22,historia!$A$5:$CM$24,+HLOOKUP(AV$2,historia!$A$3:$EC$4,2,FALSE),FALSE)</f>
        <v>4</v>
      </c>
      <c r="AW22" s="58">
        <f>VLOOKUP($A22,historia!$A$5:$CM$24,+HLOOKUP(AW$2,historia!$A$3:$EC$4,2,FALSE),FALSE)</f>
        <v>4</v>
      </c>
      <c r="AX22" s="58">
        <f>VLOOKUP($A22,historia!$A$5:$CM$24,+HLOOKUP(AX$2,historia!$A$3:$EC$4,2,FALSE),FALSE)</f>
        <v>4</v>
      </c>
      <c r="AY22" s="58">
        <f>VLOOKUP($A22,historia!$A$5:$CM$24,+HLOOKUP(AY$2,historia!$A$3:$EC$4,2,FALSE),FALSE)</f>
        <v>4</v>
      </c>
      <c r="AZ22" s="58">
        <f>VLOOKUP($A22,historia!$A$5:$CM$24,+HLOOKUP(AZ$2,historia!$A$3:$EC$4,2,FALSE),FALSE)</f>
        <v>4</v>
      </c>
      <c r="BA22" s="58">
        <f>VLOOKUP($A22,historia!$A$5:$CM$24,+HLOOKUP(BA$2,historia!$A$3:$EC$4,2,FALSE),FALSE)</f>
        <v>3</v>
      </c>
      <c r="BB22" s="30"/>
      <c r="BC22" s="141">
        <v>3</v>
      </c>
      <c r="BD22" t="str">
        <f t="shared" si="19"/>
        <v>Tabaco</v>
      </c>
      <c r="BE22">
        <f>+datos!BJ1</f>
        <v>62</v>
      </c>
      <c r="BF22" s="2" t="str">
        <f t="shared" si="4"/>
        <v>$/kg</v>
      </c>
      <c r="BG22" s="2">
        <f t="shared" si="4"/>
        <v>1400</v>
      </c>
      <c r="BH22" s="2">
        <f t="shared" si="4"/>
        <v>866.33</v>
      </c>
      <c r="BI22" s="2">
        <f t="shared" si="4"/>
        <v>387.33</v>
      </c>
      <c r="BK22">
        <f>+datos!DA1</f>
        <v>105</v>
      </c>
      <c r="BL22" s="2">
        <f t="shared" si="20"/>
        <v>5333.8378383292074</v>
      </c>
      <c r="BM22" s="2">
        <f t="shared" si="20"/>
        <v>3616.4684406972165</v>
      </c>
      <c r="BN22" s="2">
        <f t="shared" si="20"/>
        <v>1667.7969133692154</v>
      </c>
      <c r="BP22" s="1">
        <f>+datos!FD1</f>
        <v>160</v>
      </c>
      <c r="BQ22" s="1">
        <f t="shared" si="21"/>
        <v>54743</v>
      </c>
      <c r="BR22" s="1">
        <f t="shared" si="21"/>
        <v>56856.849999999991</v>
      </c>
      <c r="BT22" s="1">
        <f>+datos!GX1</f>
        <v>206</v>
      </c>
      <c r="BU22" s="1">
        <f t="shared" si="22"/>
        <v>33126.813000000002</v>
      </c>
      <c r="BV22" s="1">
        <f t="shared" si="22"/>
        <v>33063.449999999997</v>
      </c>
      <c r="BX22" s="1">
        <f>+datos!KC1</f>
        <v>289</v>
      </c>
      <c r="BY22" s="1">
        <f t="shared" si="39"/>
        <v>539.79825730999994</v>
      </c>
      <c r="BZ22" s="1">
        <f t="shared" si="40"/>
        <v>566.13832325999999</v>
      </c>
      <c r="CB22" s="1">
        <f>+datos!LH1</f>
        <v>320</v>
      </c>
      <c r="CC22" s="2">
        <f t="shared" si="23"/>
        <v>67.860623899999993</v>
      </c>
      <c r="CD22" s="2">
        <f t="shared" si="24"/>
        <v>47.061239419999993</v>
      </c>
      <c r="CF22" s="1">
        <f>+datos!JD1</f>
        <v>264</v>
      </c>
      <c r="CG22" s="1">
        <f t="shared" si="25"/>
        <v>0</v>
      </c>
      <c r="CH22" s="1">
        <f t="shared" si="26"/>
        <v>0</v>
      </c>
      <c r="CJ22" s="1">
        <f t="shared" ref="CJ22:CY24" si="43">+VLOOKUP(CJ$1,ran_dat,$BX22,FALSE)</f>
        <v>56.890802439999995</v>
      </c>
      <c r="CK22" s="1">
        <f t="shared" si="43"/>
        <v>36.8257318</v>
      </c>
      <c r="CL22" s="1">
        <f t="shared" si="43"/>
        <v>51.381121719999996</v>
      </c>
      <c r="CM22" s="1">
        <f t="shared" si="43"/>
        <v>33.051481680000002</v>
      </c>
      <c r="CN22" s="1">
        <f t="shared" si="43"/>
        <v>60.888504160000004</v>
      </c>
      <c r="CO22" s="1">
        <f t="shared" si="43"/>
        <v>55.773078730000002</v>
      </c>
      <c r="CP22" s="1">
        <f t="shared" si="43"/>
        <v>34.825160650000001</v>
      </c>
      <c r="CQ22" s="1">
        <f t="shared" si="43"/>
        <v>19.014000799999998</v>
      </c>
      <c r="CR22" s="1">
        <f t="shared" si="43"/>
        <v>13.328405800000001</v>
      </c>
      <c r="CS22" s="1">
        <f t="shared" si="43"/>
        <v>41.736807310000003</v>
      </c>
      <c r="CT22" s="1">
        <f t="shared" si="43"/>
        <v>99.771490689999993</v>
      </c>
      <c r="CU22" s="1">
        <f t="shared" si="43"/>
        <v>36.311671529999998</v>
      </c>
      <c r="CV22" s="1">
        <f t="shared" si="43"/>
        <v>57.64022373000001</v>
      </c>
      <c r="CW22" s="1">
        <f t="shared" si="43"/>
        <v>136.09986096</v>
      </c>
      <c r="CX22" s="1">
        <f t="shared" si="43"/>
        <v>67.887772890000008</v>
      </c>
      <c r="CY22" s="1">
        <f t="shared" si="43"/>
        <v>57.086864629999994</v>
      </c>
      <c r="CZ22" s="1">
        <f t="shared" ref="CZ22:DG24" si="44">+VLOOKUP(CZ$1,ran_dat,$BX22,FALSE)</f>
        <v>50.373202669999998</v>
      </c>
      <c r="DA22" s="1">
        <f t="shared" si="44"/>
        <v>27.075978119999998</v>
      </c>
      <c r="DB22" s="1">
        <f t="shared" si="44"/>
        <v>15.063954900000001</v>
      </c>
      <c r="DC22" s="1">
        <f t="shared" si="44"/>
        <v>15.52836033</v>
      </c>
      <c r="DD22" s="1">
        <f t="shared" si="44"/>
        <v>34.829088259999999</v>
      </c>
      <c r="DE22" s="1">
        <f t="shared" si="44"/>
        <v>43.210508609999991</v>
      </c>
      <c r="DF22" s="1">
        <f t="shared" si="44"/>
        <v>28.857247229999995</v>
      </c>
      <c r="DG22" s="1">
        <f t="shared" si="44"/>
        <v>32.485260930000003</v>
      </c>
      <c r="DI22" s="1">
        <f t="shared" ref="DI22:DX24" si="45">+VLOOKUP(DI$1,ran_dat,$CB22,FALSE)</f>
        <v>2.2553329799999999</v>
      </c>
      <c r="DJ22" s="1">
        <f t="shared" si="45"/>
        <v>4.9563280900000004</v>
      </c>
      <c r="DK22" s="1">
        <f t="shared" si="45"/>
        <v>5.4312745199999997</v>
      </c>
      <c r="DL22" s="1">
        <f t="shared" si="45"/>
        <v>5.9427570699999999</v>
      </c>
      <c r="DM22" s="1">
        <f t="shared" si="45"/>
        <v>7.0989514199999997</v>
      </c>
      <c r="DN22" s="1">
        <f t="shared" si="45"/>
        <v>8.0901624599999984</v>
      </c>
      <c r="DO22" s="1">
        <f t="shared" si="45"/>
        <v>8.5152603000000013</v>
      </c>
      <c r="DP22" s="1">
        <f t="shared" si="45"/>
        <v>6.4262316399999984</v>
      </c>
      <c r="DQ22" s="1">
        <f t="shared" si="45"/>
        <v>5.5724239500000001</v>
      </c>
      <c r="DR22" s="1">
        <f t="shared" si="45"/>
        <v>6.0969073500000004</v>
      </c>
      <c r="DS22" s="1">
        <f t="shared" si="45"/>
        <v>3.8674547000000001</v>
      </c>
      <c r="DT22" s="1">
        <f t="shared" si="45"/>
        <v>3.6075394200000002</v>
      </c>
      <c r="DU22" s="1">
        <f t="shared" si="45"/>
        <v>4.0127527599999997</v>
      </c>
      <c r="DV22" s="1">
        <f t="shared" si="45"/>
        <v>4.23429112</v>
      </c>
      <c r="DW22" s="1">
        <f t="shared" si="45"/>
        <v>0</v>
      </c>
      <c r="DX22" s="1">
        <f t="shared" si="45"/>
        <v>4.5847165599999995</v>
      </c>
      <c r="DY22" s="1">
        <f t="shared" si="41"/>
        <v>5.2497219499999996</v>
      </c>
      <c r="DZ22" s="1">
        <f t="shared" si="41"/>
        <v>3.7131778499999992</v>
      </c>
      <c r="EA22" s="1">
        <f t="shared" si="41"/>
        <v>5.6909223499999992</v>
      </c>
      <c r="EB22" s="1">
        <f t="shared" si="41"/>
        <v>5.2735966400000001</v>
      </c>
      <c r="EC22" s="1">
        <f t="shared" si="41"/>
        <v>3.4249882400000002</v>
      </c>
      <c r="ED22" s="1">
        <f t="shared" si="41"/>
        <v>3.9442662400000001</v>
      </c>
      <c r="EE22" s="1">
        <f t="shared" si="41"/>
        <v>3.9768056000000001</v>
      </c>
      <c r="EF22" s="1">
        <f t="shared" si="41"/>
        <v>2.9560001099999997</v>
      </c>
      <c r="EH22" s="14">
        <f t="shared" ref="EH22:EW24" si="46">+VLOOKUP(EH$1,ran_dat,$CF22,FALSE)</f>
        <v>0</v>
      </c>
      <c r="EI22" s="14">
        <f t="shared" si="46"/>
        <v>0</v>
      </c>
      <c r="EJ22" s="1">
        <f t="shared" si="46"/>
        <v>0</v>
      </c>
      <c r="EK22" s="1">
        <f t="shared" si="46"/>
        <v>0</v>
      </c>
      <c r="EL22" s="1">
        <f t="shared" si="46"/>
        <v>0</v>
      </c>
      <c r="EM22" s="1">
        <f t="shared" si="46"/>
        <v>0</v>
      </c>
      <c r="EN22" s="1">
        <f t="shared" si="46"/>
        <v>0</v>
      </c>
      <c r="EO22" s="1">
        <f t="shared" si="46"/>
        <v>0</v>
      </c>
      <c r="EP22" s="1">
        <f t="shared" si="46"/>
        <v>0</v>
      </c>
      <c r="EQ22" s="1">
        <f t="shared" si="46"/>
        <v>0</v>
      </c>
      <c r="ER22" s="1">
        <f t="shared" si="46"/>
        <v>0</v>
      </c>
      <c r="ES22" s="1">
        <f t="shared" si="46"/>
        <v>0</v>
      </c>
      <c r="ET22" s="1">
        <f t="shared" si="46"/>
        <v>0</v>
      </c>
      <c r="EU22" s="1">
        <f t="shared" si="46"/>
        <v>0</v>
      </c>
      <c r="EV22" s="1">
        <f t="shared" si="46"/>
        <v>0</v>
      </c>
      <c r="EW22" s="1">
        <f t="shared" si="46"/>
        <v>0</v>
      </c>
      <c r="EX22" s="1">
        <f t="shared" si="42"/>
        <v>0</v>
      </c>
      <c r="EY22" s="1">
        <f t="shared" si="42"/>
        <v>0</v>
      </c>
      <c r="EZ22" s="1">
        <f t="shared" si="42"/>
        <v>0</v>
      </c>
      <c r="FA22" s="1">
        <f t="shared" si="42"/>
        <v>0</v>
      </c>
      <c r="FB22" s="1">
        <f t="shared" si="42"/>
        <v>0</v>
      </c>
      <c r="FC22" s="1">
        <f t="shared" si="42"/>
        <v>0</v>
      </c>
      <c r="FD22" s="1">
        <f t="shared" si="42"/>
        <v>0</v>
      </c>
      <c r="FE22" s="1">
        <f t="shared" si="42"/>
        <v>0</v>
      </c>
      <c r="FG22" s="162">
        <f t="shared" si="33"/>
        <v>0.41635504225791076</v>
      </c>
    </row>
    <row r="23" spans="1:163" ht="30" customHeight="1">
      <c r="A23" s="240" t="s">
        <v>219</v>
      </c>
      <c r="B23" s="227"/>
      <c r="C23" s="228">
        <f t="shared" si="5"/>
        <v>-1.32</v>
      </c>
      <c r="D23" s="229">
        <v>-1</v>
      </c>
      <c r="E23" s="230">
        <f t="shared" si="6"/>
        <v>0.14113313313313314</v>
      </c>
      <c r="F23" s="231">
        <f t="shared" si="7"/>
        <v>-0.11352361670923528</v>
      </c>
      <c r="G23" s="230">
        <f t="shared" si="8"/>
        <v>0.49221929129987241</v>
      </c>
      <c r="H23" s="231">
        <f t="shared" si="9"/>
        <v>-0.35108615816673927</v>
      </c>
      <c r="I23" s="230">
        <f t="shared" si="10"/>
        <v>1.4074922166256183</v>
      </c>
      <c r="J23" s="231">
        <f t="shared" si="11"/>
        <v>-0.70654991275918722</v>
      </c>
      <c r="K23" s="230">
        <f t="shared" si="34"/>
        <v>2.1404795565327954</v>
      </c>
      <c r="L23" s="231">
        <f t="shared" si="12"/>
        <v>-0.73298733990717713</v>
      </c>
      <c r="M23" s="232"/>
      <c r="N23" s="229">
        <v>-2</v>
      </c>
      <c r="O23" s="230">
        <f t="shared" si="35"/>
        <v>-1.0625606746294314E-2</v>
      </c>
      <c r="P23" s="233">
        <f t="shared" si="36"/>
        <v>-1.0625606746294314E-2</v>
      </c>
      <c r="Q23" s="230">
        <f>IFERROR(+BU23/BV23-1,"")</f>
        <v>-0.24860110973593552</v>
      </c>
      <c r="R23" s="241">
        <f t="shared" si="37"/>
        <v>-0.24860110973593552</v>
      </c>
      <c r="S23" s="232"/>
      <c r="T23" s="229">
        <v>-1</v>
      </c>
      <c r="U23" s="230">
        <f t="shared" si="14"/>
        <v>-0.17653021335265995</v>
      </c>
      <c r="V23" s="235">
        <f t="shared" si="15"/>
        <v>-0.17653021335265995</v>
      </c>
      <c r="W23" s="230">
        <f t="shared" si="38"/>
        <v>-0.15361242623083171</v>
      </c>
      <c r="X23" s="235">
        <f t="shared" si="16"/>
        <v>-0.15361242623083171</v>
      </c>
      <c r="Y23" s="230">
        <f t="shared" si="17"/>
        <v>-7.2222222222222299E-2</v>
      </c>
      <c r="Z23" s="235">
        <f t="shared" si="18"/>
        <v>-7.2222222222222299E-2</v>
      </c>
      <c r="AA23" s="238"/>
      <c r="AB23" s="237" t="s">
        <v>451</v>
      </c>
      <c r="AC23" s="61" t="s">
        <v>289</v>
      </c>
      <c r="AD23" s="61" t="s">
        <v>289</v>
      </c>
      <c r="AE23" s="61" t="s">
        <v>289</v>
      </c>
      <c r="AF23" s="61" t="s">
        <v>289</v>
      </c>
      <c r="AG23" s="61" t="s">
        <v>289</v>
      </c>
      <c r="AH23" s="61" t="s">
        <v>289</v>
      </c>
      <c r="AI23" s="61" t="s">
        <v>289</v>
      </c>
      <c r="AJ23" s="61" t="s">
        <v>289</v>
      </c>
      <c r="AK23" s="61" t="s">
        <v>289</v>
      </c>
      <c r="AL23" s="61" t="s">
        <v>289</v>
      </c>
      <c r="AM23" s="61" t="s">
        <v>289</v>
      </c>
      <c r="AN23" s="61" t="s">
        <v>289</v>
      </c>
      <c r="AP23" s="28">
        <f>VLOOKUP($A23,historia!$A$5:$CM$24,+HLOOKUP(AP$2,historia!$A$3:$EC$4,2,FALSE),FALSE)</f>
        <v>5</v>
      </c>
      <c r="AQ23" s="28">
        <f>VLOOKUP($A23,historia!$A$5:$CM$24,+HLOOKUP(AQ$2,historia!$A$3:$EC$4,2,FALSE),FALSE)</f>
        <v>5</v>
      </c>
      <c r="AR23" s="28">
        <f>VLOOKUP($A23,historia!$A$5:$CM$24,+HLOOKUP(AR$2,historia!$A$3:$EC$4,2,FALSE),FALSE)</f>
        <v>5</v>
      </c>
      <c r="AS23" s="28">
        <f>VLOOKUP($A23,historia!$A$5:$CM$24,+HLOOKUP(AS$2,historia!$A$3:$EC$4,2,FALSE),FALSE)</f>
        <v>5</v>
      </c>
      <c r="AT23" s="58">
        <f>VLOOKUP($A23,historia!$A$5:$CM$24,+HLOOKUP(AT$2,historia!$A$3:$EC$4,2,FALSE),FALSE)</f>
        <v>5</v>
      </c>
      <c r="AU23" s="58">
        <f>VLOOKUP($A23,historia!$A$5:$CM$24,+HLOOKUP(AU$2,historia!$A$3:$EC$4,2,FALSE),FALSE)</f>
        <v>5</v>
      </c>
      <c r="AV23" s="58">
        <f>VLOOKUP($A23,historia!$A$5:$CM$24,+HLOOKUP(AV$2,historia!$A$3:$EC$4,2,FALSE),FALSE)</f>
        <v>5</v>
      </c>
      <c r="AW23" s="58">
        <f>VLOOKUP($A23,historia!$A$5:$CM$24,+HLOOKUP(AW$2,historia!$A$3:$EC$4,2,FALSE),FALSE)</f>
        <v>5</v>
      </c>
      <c r="AX23" s="58">
        <f>VLOOKUP($A23,historia!$A$5:$CM$24,+HLOOKUP(AX$2,historia!$A$3:$EC$4,2,FALSE),FALSE)</f>
        <v>5</v>
      </c>
      <c r="AY23" s="58">
        <f>VLOOKUP($A23,historia!$A$5:$CM$24,+HLOOKUP(AY$2,historia!$A$3:$EC$4,2,FALSE),FALSE)</f>
        <v>5</v>
      </c>
      <c r="AZ23" s="58">
        <f>VLOOKUP($A23,historia!$A$5:$CM$24,+HLOOKUP(AZ$2,historia!$A$3:$EC$4,2,FALSE),FALSE)</f>
        <v>5</v>
      </c>
      <c r="BA23" s="58">
        <f>VLOOKUP($A23,historia!$A$5:$CM$24,+HLOOKUP(BA$2,historia!$A$3:$EC$4,2,FALSE),FALSE)</f>
        <v>5</v>
      </c>
      <c r="BB23" s="30"/>
      <c r="BC23" s="141">
        <v>5</v>
      </c>
      <c r="BD23" t="str">
        <f t="shared" si="19"/>
        <v>Vino y Mosto</v>
      </c>
      <c r="BE23">
        <f>+datos!AM1</f>
        <v>39</v>
      </c>
      <c r="BF23" s="2" t="str">
        <f t="shared" si="4"/>
        <v>$/l</v>
      </c>
      <c r="BG23" s="2">
        <f t="shared" si="4"/>
        <v>199.49860000000001</v>
      </c>
      <c r="BH23" s="2">
        <f t="shared" si="4"/>
        <v>174.82500000000002</v>
      </c>
      <c r="BI23" s="2">
        <f t="shared" si="4"/>
        <v>82.865729999999999</v>
      </c>
      <c r="BK23">
        <f>+datos!CP1</f>
        <v>94</v>
      </c>
      <c r="BL23" s="2">
        <f t="shared" si="20"/>
        <v>6601.0209393136493</v>
      </c>
      <c r="BM23" s="2">
        <f t="shared" si="20"/>
        <v>4423.6265928203484</v>
      </c>
      <c r="BN23" s="2">
        <f t="shared" si="20"/>
        <v>2101.9149529511405</v>
      </c>
      <c r="BP23" s="1">
        <f>+datos!EF1</f>
        <v>136</v>
      </c>
      <c r="BQ23" s="1">
        <f t="shared" si="21"/>
        <v>204847</v>
      </c>
      <c r="BR23" s="1">
        <f t="shared" si="21"/>
        <v>207047</v>
      </c>
      <c r="BT23" s="1">
        <f>+datos!GB1</f>
        <v>184</v>
      </c>
      <c r="BU23" s="1">
        <f t="shared" si="22"/>
        <v>14553117</v>
      </c>
      <c r="BV23" s="1">
        <f t="shared" si="22"/>
        <v>19368031</v>
      </c>
      <c r="BX23" s="1">
        <f>+datos!JU1</f>
        <v>281</v>
      </c>
      <c r="BY23" s="1">
        <f t="shared" si="39"/>
        <v>875.69018725000001</v>
      </c>
      <c r="BZ23" s="1">
        <f t="shared" si="40"/>
        <v>1063.4150778200001</v>
      </c>
      <c r="CB23" s="1">
        <f>+datos!KZ1</f>
        <v>312</v>
      </c>
      <c r="CC23" s="2">
        <f t="shared" si="23"/>
        <v>15.728416500000002</v>
      </c>
      <c r="CD23" s="2">
        <f t="shared" si="24"/>
        <v>18.582995530000002</v>
      </c>
      <c r="CF23" s="1">
        <f>+datos!IQ1</f>
        <v>251</v>
      </c>
      <c r="CG23" s="1">
        <f t="shared" si="25"/>
        <v>16.7</v>
      </c>
      <c r="CH23" s="1">
        <f t="shared" si="26"/>
        <v>18</v>
      </c>
      <c r="CJ23" s="1">
        <f t="shared" si="43"/>
        <v>71.762443020000006</v>
      </c>
      <c r="CK23" s="1">
        <f t="shared" si="43"/>
        <v>76.246675170000003</v>
      </c>
      <c r="CL23" s="1">
        <f t="shared" si="43"/>
        <v>81.396405279999982</v>
      </c>
      <c r="CM23" s="1">
        <f t="shared" si="43"/>
        <v>86.673250950000011</v>
      </c>
      <c r="CN23" s="1">
        <f t="shared" si="43"/>
        <v>67.769583350000005</v>
      </c>
      <c r="CO23" s="1">
        <f t="shared" si="43"/>
        <v>79.411450110000018</v>
      </c>
      <c r="CP23" s="1">
        <f t="shared" si="43"/>
        <v>61.526627820000002</v>
      </c>
      <c r="CQ23" s="1">
        <f t="shared" si="43"/>
        <v>82.508437450000031</v>
      </c>
      <c r="CR23" s="1">
        <f t="shared" si="43"/>
        <v>73.17738731</v>
      </c>
      <c r="CS23" s="1">
        <f t="shared" si="43"/>
        <v>70.498219510000013</v>
      </c>
      <c r="CT23" s="1">
        <f t="shared" si="43"/>
        <v>58.070113270000007</v>
      </c>
      <c r="CU23" s="1">
        <f t="shared" si="43"/>
        <v>66.649594010000001</v>
      </c>
      <c r="CV23" s="1">
        <f t="shared" si="43"/>
        <v>76.334805869999997</v>
      </c>
      <c r="CW23" s="1">
        <f t="shared" si="43"/>
        <v>77.449795309999999</v>
      </c>
      <c r="CX23" s="1">
        <f t="shared" si="43"/>
        <v>104.26238703999999</v>
      </c>
      <c r="CY23" s="1">
        <f t="shared" si="43"/>
        <v>101.4021353</v>
      </c>
      <c r="CZ23" s="1">
        <f t="shared" si="44"/>
        <v>110.27898059000003</v>
      </c>
      <c r="DA23" s="1">
        <f t="shared" si="44"/>
        <v>78.75545163000001</v>
      </c>
      <c r="DB23" s="1">
        <f t="shared" si="44"/>
        <v>84.697328929999998</v>
      </c>
      <c r="DC23" s="1">
        <f t="shared" si="44"/>
        <v>126.06507717000002</v>
      </c>
      <c r="DD23" s="1">
        <f t="shared" si="44"/>
        <v>90.029722969999995</v>
      </c>
      <c r="DE23" s="1">
        <f t="shared" si="44"/>
        <v>82.193372090000025</v>
      </c>
      <c r="DF23" s="1">
        <f t="shared" si="44"/>
        <v>83.832958109999993</v>
      </c>
      <c r="DG23" s="1">
        <f t="shared" si="44"/>
        <v>48.113062809999988</v>
      </c>
      <c r="DI23" s="1">
        <f t="shared" si="45"/>
        <v>1.01193058</v>
      </c>
      <c r="DJ23" s="1">
        <f t="shared" si="45"/>
        <v>1.2280305999999999</v>
      </c>
      <c r="DK23" s="1">
        <f t="shared" si="45"/>
        <v>1.7214946800000002</v>
      </c>
      <c r="DL23" s="1">
        <f t="shared" si="45"/>
        <v>1.3147188099999998</v>
      </c>
      <c r="DM23" s="1">
        <f t="shared" si="45"/>
        <v>1.8704580099999999</v>
      </c>
      <c r="DN23" s="1">
        <f t="shared" si="45"/>
        <v>1.2166211999999998</v>
      </c>
      <c r="DO23" s="1">
        <f t="shared" si="45"/>
        <v>1.2618213600000001</v>
      </c>
      <c r="DP23" s="1">
        <f t="shared" si="45"/>
        <v>2.6711612799999997</v>
      </c>
      <c r="DQ23" s="1">
        <f t="shared" si="45"/>
        <v>1.8665371000000002</v>
      </c>
      <c r="DR23" s="1">
        <f t="shared" si="45"/>
        <v>1.1160735099999999</v>
      </c>
      <c r="DS23" s="1">
        <f t="shared" si="45"/>
        <v>0.32453726999999999</v>
      </c>
      <c r="DT23" s="1">
        <f t="shared" si="45"/>
        <v>0.12503209999999998</v>
      </c>
      <c r="DU23" s="1">
        <f t="shared" si="45"/>
        <v>0.47826376000000004</v>
      </c>
      <c r="DV23" s="1">
        <f t="shared" si="45"/>
        <v>2.89069318</v>
      </c>
      <c r="DW23" s="1">
        <f t="shared" si="45"/>
        <v>1.35471261</v>
      </c>
      <c r="DX23" s="1">
        <f t="shared" si="45"/>
        <v>2.7470526999999998</v>
      </c>
      <c r="DY23" s="1">
        <f t="shared" si="41"/>
        <v>1.8506322900000001</v>
      </c>
      <c r="DZ23" s="1">
        <f t="shared" si="41"/>
        <v>1.0900325</v>
      </c>
      <c r="EA23" s="1">
        <f t="shared" si="41"/>
        <v>1.8150842000000003</v>
      </c>
      <c r="EB23" s="1">
        <f t="shared" si="41"/>
        <v>1.62026545</v>
      </c>
      <c r="EC23" s="1">
        <f t="shared" si="41"/>
        <v>2.9708612100000003</v>
      </c>
      <c r="ED23" s="1">
        <f t="shared" si="41"/>
        <v>0.80692414999999995</v>
      </c>
      <c r="EE23" s="1">
        <f t="shared" si="41"/>
        <v>0.59419704000000007</v>
      </c>
      <c r="EF23" s="1">
        <f t="shared" si="41"/>
        <v>0.36427643999999998</v>
      </c>
      <c r="EH23" s="14">
        <f t="shared" si="46"/>
        <v>16.7</v>
      </c>
      <c r="EI23" s="14">
        <f t="shared" si="46"/>
        <v>16.7</v>
      </c>
      <c r="EJ23" s="1">
        <f t="shared" si="46"/>
        <v>16.7</v>
      </c>
      <c r="EK23" s="1">
        <f t="shared" si="46"/>
        <v>16.7</v>
      </c>
      <c r="EL23" s="1">
        <f t="shared" si="46"/>
        <v>16.7</v>
      </c>
      <c r="EM23" s="1">
        <f t="shared" si="46"/>
        <v>16.7</v>
      </c>
      <c r="EN23" s="1">
        <f t="shared" si="46"/>
        <v>16.7</v>
      </c>
      <c r="EO23" s="1">
        <f t="shared" si="46"/>
        <v>16.7</v>
      </c>
      <c r="EP23" s="1">
        <f t="shared" si="46"/>
        <v>16.7</v>
      </c>
      <c r="EQ23" s="1">
        <f t="shared" si="46"/>
        <v>16.7</v>
      </c>
      <c r="ER23" s="1">
        <f t="shared" si="46"/>
        <v>16.7</v>
      </c>
      <c r="ES23" s="1">
        <f t="shared" si="46"/>
        <v>16.7</v>
      </c>
      <c r="ET23" s="1">
        <f t="shared" si="46"/>
        <v>18</v>
      </c>
      <c r="EU23" s="1">
        <f t="shared" si="46"/>
        <v>18</v>
      </c>
      <c r="EV23" s="1">
        <f t="shared" si="46"/>
        <v>18</v>
      </c>
      <c r="EW23" s="1">
        <f t="shared" si="46"/>
        <v>18</v>
      </c>
      <c r="EX23" s="1">
        <f t="shared" si="42"/>
        <v>18</v>
      </c>
      <c r="EY23" s="1">
        <f t="shared" si="42"/>
        <v>18</v>
      </c>
      <c r="EZ23" s="1">
        <f t="shared" si="42"/>
        <v>18</v>
      </c>
      <c r="FA23" s="1">
        <f t="shared" si="42"/>
        <v>18</v>
      </c>
      <c r="FB23" s="1">
        <f t="shared" si="42"/>
        <v>18</v>
      </c>
      <c r="FC23" s="1">
        <f t="shared" si="42"/>
        <v>18</v>
      </c>
      <c r="FD23" s="1">
        <f t="shared" si="42"/>
        <v>18</v>
      </c>
      <c r="FE23" s="1">
        <f t="shared" si="42"/>
        <v>18</v>
      </c>
      <c r="FG23" s="162">
        <f t="shared" si="33"/>
        <v>-0.73298733990717713</v>
      </c>
    </row>
    <row r="24" spans="1:163" ht="30" customHeight="1">
      <c r="A24" s="224" t="s">
        <v>39</v>
      </c>
      <c r="B24" s="212"/>
      <c r="C24" s="156">
        <f t="shared" si="5"/>
        <v>0</v>
      </c>
      <c r="D24" s="198">
        <v>-1</v>
      </c>
      <c r="E24" s="213">
        <f t="shared" si="6"/>
        <v>0.23996221067548418</v>
      </c>
      <c r="F24" s="214">
        <f t="shared" si="7"/>
        <v>-1.4694539166884235E-2</v>
      </c>
      <c r="G24" s="213">
        <f t="shared" si="8"/>
        <v>0.34814036622296007</v>
      </c>
      <c r="H24" s="214">
        <f t="shared" si="9"/>
        <v>-0.1081781555474759</v>
      </c>
      <c r="I24" s="213">
        <f t="shared" si="10"/>
        <v>1.9965753424657535</v>
      </c>
      <c r="J24" s="214">
        <f t="shared" si="11"/>
        <v>-0.11746678691905199</v>
      </c>
      <c r="K24" s="213">
        <f t="shared" si="34"/>
        <v>2.030860798364245</v>
      </c>
      <c r="L24" s="214">
        <f t="shared" si="12"/>
        <v>-3.4285455898491524E-2</v>
      </c>
      <c r="M24" s="215"/>
      <c r="N24" s="198">
        <v>1</v>
      </c>
      <c r="O24" s="213">
        <f t="shared" si="35"/>
        <v>6.156911652976671E-2</v>
      </c>
      <c r="P24" s="216">
        <f t="shared" si="36"/>
        <v>6.156911652976671E-2</v>
      </c>
      <c r="Q24" s="213">
        <f>IFERROR(+BU24/BV24-1,"")</f>
        <v>-6.6411435024770427E-2</v>
      </c>
      <c r="R24" s="217">
        <f t="shared" si="37"/>
        <v>-6.6411435024770427E-2</v>
      </c>
      <c r="S24" s="215"/>
      <c r="T24" s="198">
        <v>0</v>
      </c>
      <c r="U24" s="213">
        <f t="shared" si="14"/>
        <v>-5.0161204195577014E-2</v>
      </c>
      <c r="V24" s="45">
        <f t="shared" si="15"/>
        <v>-5.0161204195577014E-2</v>
      </c>
      <c r="W24" s="213">
        <f t="shared" si="38"/>
        <v>-0.49720186208199946</v>
      </c>
      <c r="X24" s="45">
        <f t="shared" si="16"/>
        <v>-0.49720186208199946</v>
      </c>
      <c r="Y24" s="213">
        <f t="shared" si="17"/>
        <v>3.4417443941407999E-2</v>
      </c>
      <c r="Z24" s="45">
        <f t="shared" si="18"/>
        <v>3.4417443941407999E-2</v>
      </c>
      <c r="AA24" s="30"/>
      <c r="AB24" s="225" t="s">
        <v>452</v>
      </c>
      <c r="AC24" s="61" t="s">
        <v>289</v>
      </c>
      <c r="AD24" s="61" t="s">
        <v>289</v>
      </c>
      <c r="AE24" s="61" t="s">
        <v>289</v>
      </c>
      <c r="AF24" s="61" t="s">
        <v>289</v>
      </c>
      <c r="AG24" s="61" t="s">
        <v>289</v>
      </c>
      <c r="AH24" s="61" t="s">
        <v>289</v>
      </c>
      <c r="AI24" s="61" t="s">
        <v>289</v>
      </c>
      <c r="AJ24" s="61" t="s">
        <v>289</v>
      </c>
      <c r="AK24" s="61" t="s">
        <v>289</v>
      </c>
      <c r="AL24" s="61" t="s">
        <v>289</v>
      </c>
      <c r="AM24" s="61" t="s">
        <v>289</v>
      </c>
      <c r="AN24" s="61" t="s">
        <v>289</v>
      </c>
      <c r="AP24" s="28">
        <f>VLOOKUP($A24,historia!$A$5:$CM$24,+HLOOKUP(AP$2,historia!$A$3:$EC$4,2,FALSE),FALSE)</f>
        <v>4</v>
      </c>
      <c r="AQ24" s="28">
        <f>VLOOKUP($A24,historia!$A$5:$CM$24,+HLOOKUP(AQ$2,historia!$A$3:$EC$4,2,FALSE),FALSE)</f>
        <v>4</v>
      </c>
      <c r="AR24" s="28">
        <f>VLOOKUP($A24,historia!$A$5:$CM$24,+HLOOKUP(AR$2,historia!$A$3:$EC$4,2,FALSE),FALSE)</f>
        <v>4</v>
      </c>
      <c r="AS24" s="28">
        <f>VLOOKUP($A24,historia!$A$5:$CM$24,+HLOOKUP(AS$2,historia!$A$3:$EC$4,2,FALSE),FALSE)</f>
        <v>3</v>
      </c>
      <c r="AT24" s="58">
        <f>VLOOKUP($A24,historia!$A$5:$CM$24,+HLOOKUP(AT$2,historia!$A$3:$EC$4,2,FALSE),FALSE)</f>
        <v>2</v>
      </c>
      <c r="AU24" s="58">
        <f>VLOOKUP($A24,historia!$A$5:$CM$24,+HLOOKUP(AU$2,historia!$A$3:$EC$4,2,FALSE),FALSE)</f>
        <v>2</v>
      </c>
      <c r="AV24" s="58">
        <f>VLOOKUP($A24,historia!$A$5:$CM$24,+HLOOKUP(AV$2,historia!$A$3:$EC$4,2,FALSE),FALSE)</f>
        <v>2</v>
      </c>
      <c r="AW24" s="58">
        <f>VLOOKUP($A24,historia!$A$5:$CM$24,+HLOOKUP(AW$2,historia!$A$3:$EC$4,2,FALSE),FALSE)</f>
        <v>2</v>
      </c>
      <c r="AX24" s="58">
        <f>VLOOKUP($A24,historia!$A$5:$CM$24,+HLOOKUP(AX$2,historia!$A$3:$EC$4,2,FALSE),FALSE)</f>
        <v>2</v>
      </c>
      <c r="AY24" s="58">
        <f>VLOOKUP($A24,historia!$A$5:$CM$24,+HLOOKUP(AY$2,historia!$A$3:$EC$4,2,FALSE),FALSE)</f>
        <v>2</v>
      </c>
      <c r="AZ24" s="58">
        <f>VLOOKUP($A24,historia!$A$5:$CM$24,+HLOOKUP(AZ$2,historia!$A$3:$EC$4,2,FALSE),FALSE)</f>
        <v>2</v>
      </c>
      <c r="BA24" s="58">
        <f>VLOOKUP($A24,historia!$A$5:$CM$24,+HLOOKUP(BA$2,historia!$A$3:$EC$4,2,FALSE),FALSE)</f>
        <v>3</v>
      </c>
      <c r="BB24" s="30"/>
      <c r="BC24" s="141">
        <v>3</v>
      </c>
      <c r="BD24" t="str">
        <f t="shared" si="19"/>
        <v>Yerba Mate</v>
      </c>
      <c r="BE24">
        <f>+datos!AG1</f>
        <v>33</v>
      </c>
      <c r="BF24" s="2" t="str">
        <f t="shared" si="4"/>
        <v>$/t</v>
      </c>
      <c r="BG24" s="2">
        <f t="shared" si="4"/>
        <v>210000</v>
      </c>
      <c r="BH24" s="2">
        <f t="shared" si="4"/>
        <v>169360</v>
      </c>
      <c r="BI24" s="2">
        <f t="shared" si="4"/>
        <v>70080</v>
      </c>
      <c r="BK24">
        <f>+datos!CY1</f>
        <v>103</v>
      </c>
      <c r="BL24" s="2">
        <f t="shared" si="20"/>
        <v>4824.5498045625</v>
      </c>
      <c r="BM24" s="2">
        <f t="shared" si="20"/>
        <v>3578.6702374911306</v>
      </c>
      <c r="BN24" s="2">
        <f t="shared" si="20"/>
        <v>1591.8084417358621</v>
      </c>
      <c r="BP24" s="1">
        <f>+datos!ED1</f>
        <v>134</v>
      </c>
      <c r="BQ24" s="1">
        <f t="shared" si="21"/>
        <v>222162</v>
      </c>
      <c r="BR24" s="1">
        <f t="shared" si="21"/>
        <v>209277</v>
      </c>
      <c r="BT24" s="1">
        <f>+datos!FZ1</f>
        <v>182</v>
      </c>
      <c r="BU24" s="1">
        <f t="shared" si="22"/>
        <v>774165.98200000008</v>
      </c>
      <c r="BV24" s="1">
        <f t="shared" si="22"/>
        <v>829236.78700000001</v>
      </c>
      <c r="BX24" s="1">
        <f>+datos!KD1</f>
        <v>290</v>
      </c>
      <c r="BY24" s="1">
        <f t="shared" si="39"/>
        <v>108.54179166999998</v>
      </c>
      <c r="BZ24" s="1">
        <f t="shared" si="40"/>
        <v>114.27390853</v>
      </c>
      <c r="CB24" s="1">
        <f>+datos!LI1</f>
        <v>321</v>
      </c>
      <c r="CC24" s="2">
        <f t="shared" si="23"/>
        <v>15.671513769999999</v>
      </c>
      <c r="CD24" s="2">
        <f t="shared" si="24"/>
        <v>31.168599460000003</v>
      </c>
      <c r="CF24" s="1">
        <f>+datos!IP1</f>
        <v>250</v>
      </c>
      <c r="CG24" s="1">
        <f t="shared" si="25"/>
        <v>6.139895208369488</v>
      </c>
      <c r="CH24" s="1">
        <f t="shared" si="26"/>
        <v>5.9356067942694777</v>
      </c>
      <c r="CJ24" s="1">
        <f t="shared" si="43"/>
        <v>7.1224329199999996</v>
      </c>
      <c r="CK24" s="1">
        <f t="shared" si="43"/>
        <v>8.6156523299999996</v>
      </c>
      <c r="CL24" s="1">
        <f t="shared" si="43"/>
        <v>10.17972451</v>
      </c>
      <c r="CM24" s="1">
        <f t="shared" si="43"/>
        <v>11.833514059999999</v>
      </c>
      <c r="CN24" s="1">
        <f t="shared" si="43"/>
        <v>8.6649559600000003</v>
      </c>
      <c r="CO24" s="1">
        <f t="shared" si="43"/>
        <v>8.6995030900000003</v>
      </c>
      <c r="CP24" s="1">
        <f t="shared" si="43"/>
        <v>9.3876240000000006</v>
      </c>
      <c r="CQ24" s="1">
        <f t="shared" si="43"/>
        <v>8.6499339499999994</v>
      </c>
      <c r="CR24" s="1">
        <f t="shared" si="43"/>
        <v>10.5511423</v>
      </c>
      <c r="CS24" s="1">
        <f t="shared" si="43"/>
        <v>12.484662230000001</v>
      </c>
      <c r="CT24" s="1">
        <f t="shared" si="43"/>
        <v>8.9774099899999982</v>
      </c>
      <c r="CU24" s="1">
        <f t="shared" si="43"/>
        <v>3.3752363299999999</v>
      </c>
      <c r="CV24" s="1">
        <f t="shared" si="43"/>
        <v>8.5781493200000014</v>
      </c>
      <c r="CW24" s="1">
        <f t="shared" si="43"/>
        <v>11.086418249999999</v>
      </c>
      <c r="CX24" s="1">
        <f t="shared" si="43"/>
        <v>17.188054299999997</v>
      </c>
      <c r="CY24" s="1">
        <f t="shared" si="43"/>
        <v>10.47783802</v>
      </c>
      <c r="CZ24" s="1">
        <f t="shared" si="44"/>
        <v>9.5575243299999997</v>
      </c>
      <c r="DA24" s="1">
        <f t="shared" si="44"/>
        <v>7.6485664300000016</v>
      </c>
      <c r="DB24" s="1">
        <f t="shared" si="44"/>
        <v>10.989036779999999</v>
      </c>
      <c r="DC24" s="1">
        <f t="shared" si="44"/>
        <v>11.08275927</v>
      </c>
      <c r="DD24" s="1">
        <f t="shared" si="44"/>
        <v>9.5434502200000004</v>
      </c>
      <c r="DE24" s="1">
        <f t="shared" si="44"/>
        <v>3.7984465600000004</v>
      </c>
      <c r="DF24" s="1">
        <f t="shared" si="44"/>
        <v>6.4766682399999995</v>
      </c>
      <c r="DG24" s="1">
        <f t="shared" si="44"/>
        <v>7.8469968100000003</v>
      </c>
      <c r="DI24" s="1">
        <f t="shared" si="45"/>
        <v>1.8796713600000001</v>
      </c>
      <c r="DJ24" s="1">
        <f t="shared" si="45"/>
        <v>2.4189343299999999</v>
      </c>
      <c r="DK24" s="1">
        <f t="shared" si="45"/>
        <v>2.31537419</v>
      </c>
      <c r="DL24" s="1">
        <f t="shared" si="45"/>
        <v>1.6581343500000001</v>
      </c>
      <c r="DM24" s="1">
        <f t="shared" si="45"/>
        <v>1.1317222</v>
      </c>
      <c r="DN24" s="1">
        <f t="shared" si="45"/>
        <v>1.25031731</v>
      </c>
      <c r="DO24" s="1">
        <f t="shared" si="45"/>
        <v>1.1220479999999999</v>
      </c>
      <c r="DP24" s="1">
        <f t="shared" si="45"/>
        <v>1.06290057</v>
      </c>
      <c r="DQ24" s="1">
        <f t="shared" si="45"/>
        <v>0.94532128999999998</v>
      </c>
      <c r="DR24" s="1">
        <f t="shared" si="45"/>
        <v>0.74918092999999997</v>
      </c>
      <c r="DS24" s="1">
        <f t="shared" si="45"/>
        <v>0.38311624</v>
      </c>
      <c r="DT24" s="1">
        <f t="shared" si="45"/>
        <v>0.75479300000000005</v>
      </c>
      <c r="DU24" s="1">
        <f t="shared" si="45"/>
        <v>0.25391999999999998</v>
      </c>
      <c r="DV24" s="1">
        <f t="shared" si="45"/>
        <v>0.77264063999999999</v>
      </c>
      <c r="DW24" s="1">
        <f t="shared" si="45"/>
        <v>0.73566756000000011</v>
      </c>
      <c r="DX24" s="1">
        <f t="shared" si="45"/>
        <v>2.5187011699999999</v>
      </c>
      <c r="DY24" s="1">
        <f t="shared" si="41"/>
        <v>5.4787536300000008</v>
      </c>
      <c r="DZ24" s="1">
        <f t="shared" si="41"/>
        <v>3.3605493799999997</v>
      </c>
      <c r="EA24" s="1">
        <f t="shared" si="41"/>
        <v>4.0244654899999999</v>
      </c>
      <c r="EB24" s="1">
        <f t="shared" si="41"/>
        <v>4.0283530399999998</v>
      </c>
      <c r="EC24" s="1">
        <f t="shared" si="41"/>
        <v>2.4006859300000003</v>
      </c>
      <c r="ED24" s="1">
        <f t="shared" si="41"/>
        <v>3.4489870700000003</v>
      </c>
      <c r="EE24" s="1">
        <f t="shared" si="41"/>
        <v>2.69919916</v>
      </c>
      <c r="EF24" s="1">
        <f t="shared" si="41"/>
        <v>1.4466763899999999</v>
      </c>
      <c r="EH24" s="14">
        <f t="shared" si="46"/>
        <v>6.139895208369488</v>
      </c>
      <c r="EI24" s="14">
        <f t="shared" si="46"/>
        <v>6.139895208369488</v>
      </c>
      <c r="EJ24" s="1">
        <f t="shared" si="46"/>
        <v>6.139895208369488</v>
      </c>
      <c r="EK24" s="1">
        <f t="shared" si="46"/>
        <v>6.139895208369488</v>
      </c>
      <c r="EL24" s="1">
        <f t="shared" si="46"/>
        <v>6.139895208369488</v>
      </c>
      <c r="EM24" s="1">
        <f t="shared" si="46"/>
        <v>6.139895208369488</v>
      </c>
      <c r="EN24" s="1">
        <f t="shared" si="46"/>
        <v>6.139895208369488</v>
      </c>
      <c r="EO24" s="1">
        <f t="shared" si="46"/>
        <v>6.139895208369488</v>
      </c>
      <c r="EP24" s="1">
        <f t="shared" si="46"/>
        <v>6.139895208369488</v>
      </c>
      <c r="EQ24" s="1">
        <f t="shared" si="46"/>
        <v>6.139895208369488</v>
      </c>
      <c r="ER24" s="1">
        <f t="shared" si="46"/>
        <v>6.139895208369488</v>
      </c>
      <c r="ES24" s="1">
        <f t="shared" si="46"/>
        <v>6.139895208369488</v>
      </c>
      <c r="ET24" s="1">
        <f t="shared" si="46"/>
        <v>5.9356067942694777</v>
      </c>
      <c r="EU24" s="1">
        <f t="shared" si="46"/>
        <v>5.9356067942694777</v>
      </c>
      <c r="EV24" s="1">
        <f t="shared" si="46"/>
        <v>5.9356067942694777</v>
      </c>
      <c r="EW24" s="1">
        <f t="shared" si="46"/>
        <v>5.9356067942694777</v>
      </c>
      <c r="EX24" s="1">
        <f t="shared" si="42"/>
        <v>5.9356067942694777</v>
      </c>
      <c r="EY24" s="1">
        <f t="shared" si="42"/>
        <v>5.9356067942694777</v>
      </c>
      <c r="EZ24" s="1">
        <f t="shared" si="42"/>
        <v>5.9356067942694777</v>
      </c>
      <c r="FA24" s="1">
        <f t="shared" si="42"/>
        <v>5.9356067942694777</v>
      </c>
      <c r="FB24" s="1">
        <f t="shared" si="42"/>
        <v>5.9356067942694777</v>
      </c>
      <c r="FC24" s="1">
        <f t="shared" si="42"/>
        <v>5.9356067942694777</v>
      </c>
      <c r="FD24" s="1">
        <f t="shared" si="42"/>
        <v>5.9356067942694777</v>
      </c>
      <c r="FE24" s="1">
        <f t="shared" si="42"/>
        <v>5.9356067942694777</v>
      </c>
      <c r="FG24" s="162">
        <f t="shared" si="33"/>
        <v>-3.4285455898491524E-2</v>
      </c>
    </row>
    <row r="25" spans="1:163" ht="18" customHeight="1">
      <c r="A25" s="223"/>
      <c r="B25" s="189"/>
      <c r="C25" s="156"/>
      <c r="D25" s="198"/>
      <c r="E25" s="190"/>
      <c r="F25" s="191"/>
      <c r="G25" s="190"/>
      <c r="H25" s="191"/>
      <c r="I25" s="190"/>
      <c r="J25" s="191"/>
      <c r="K25" s="190"/>
      <c r="L25" s="191"/>
      <c r="M25" s="17"/>
      <c r="N25" s="198"/>
      <c r="O25" s="190"/>
      <c r="P25" s="192"/>
      <c r="Q25" s="190"/>
      <c r="R25" s="193"/>
      <c r="S25" s="17"/>
      <c r="T25" s="198"/>
      <c r="U25" s="190"/>
      <c r="V25" s="194"/>
      <c r="W25" s="190"/>
      <c r="X25" s="194"/>
      <c r="Y25" s="40" t="str">
        <f t="shared" si="17"/>
        <v/>
      </c>
      <c r="Z25" s="194"/>
      <c r="AA25" s="30"/>
      <c r="AB25" s="57"/>
      <c r="AO25" s="57"/>
      <c r="AT25" s="58"/>
      <c r="AU25" s="58"/>
      <c r="AV25" s="58"/>
      <c r="AW25" s="58"/>
      <c r="AX25" s="58"/>
      <c r="AY25" s="58"/>
      <c r="AZ25" s="58"/>
      <c r="BA25" s="58"/>
      <c r="BB25" s="30"/>
      <c r="BF25" s="2"/>
      <c r="BG25" s="2"/>
      <c r="BH25" s="2"/>
      <c r="BI25" s="2"/>
      <c r="BL25" s="2"/>
      <c r="BM25" s="2"/>
      <c r="BN25" s="2"/>
      <c r="BP25" s="1"/>
      <c r="BQ25" s="1"/>
      <c r="BR25" s="1"/>
      <c r="BT25" s="1"/>
      <c r="BU25" s="1"/>
      <c r="BV25" s="1"/>
      <c r="BX25" s="1"/>
      <c r="BY25" s="1"/>
      <c r="BZ25" s="1"/>
      <c r="CB25" s="1"/>
      <c r="CC25" s="2"/>
      <c r="CD25" s="2"/>
      <c r="CF25" s="1"/>
      <c r="CG25" s="1"/>
      <c r="CH25" s="1"/>
      <c r="CJ25" s="1"/>
      <c r="CK25" s="1"/>
      <c r="CL25" s="1"/>
      <c r="CM25" s="1"/>
      <c r="CN25" s="1"/>
      <c r="CO25" s="1"/>
      <c r="CP25" s="1"/>
      <c r="CQ25" s="1"/>
      <c r="CR25" s="1"/>
      <c r="CS25" s="1"/>
      <c r="CT25" s="1"/>
      <c r="CU25" s="1"/>
      <c r="CV25" s="1"/>
      <c r="CW25" s="1"/>
      <c r="CX25" s="1"/>
      <c r="CY25" s="1"/>
      <c r="CZ25" s="1"/>
      <c r="DA25" s="1"/>
      <c r="DB25" s="1"/>
      <c r="DC25" s="1"/>
      <c r="DD25" s="1"/>
      <c r="DE25" s="1"/>
      <c r="DF25" s="1"/>
      <c r="DG25" s="1"/>
      <c r="DI25" s="1"/>
      <c r="DJ25" s="1"/>
      <c r="DK25" s="1"/>
      <c r="DL25" s="1"/>
      <c r="DM25" s="1"/>
      <c r="DN25" s="1"/>
      <c r="DO25" s="1"/>
      <c r="DP25" s="1"/>
      <c r="DQ25" s="1"/>
      <c r="DR25" s="1"/>
      <c r="DS25" s="1"/>
      <c r="DT25" s="1"/>
      <c r="DU25" s="1"/>
      <c r="DV25" s="1"/>
      <c r="DW25" s="1"/>
      <c r="DX25" s="1"/>
      <c r="DY25" s="1"/>
      <c r="DZ25" s="1"/>
      <c r="EA25" s="1"/>
      <c r="EB25" s="1"/>
      <c r="EC25" s="1"/>
      <c r="ED25" s="1"/>
      <c r="EE25" s="1"/>
      <c r="EF25" s="1"/>
      <c r="EJ25" s="1"/>
      <c r="EK25" s="1"/>
      <c r="EL25" s="1"/>
      <c r="EM25" s="1"/>
      <c r="EN25" s="1"/>
      <c r="EO25" s="1"/>
      <c r="EP25" s="1"/>
      <c r="EQ25" s="1"/>
      <c r="ER25" s="1"/>
      <c r="ES25" s="1"/>
      <c r="ET25" s="1"/>
      <c r="EU25" s="1"/>
      <c r="EV25" s="1"/>
      <c r="EW25" s="1"/>
      <c r="EX25" s="1"/>
      <c r="EY25" s="1"/>
      <c r="EZ25" s="1"/>
      <c r="FA25" s="1"/>
      <c r="FB25" s="1"/>
      <c r="FC25" s="1"/>
      <c r="FD25" s="1"/>
      <c r="FE25" s="1"/>
      <c r="FG25" s="162"/>
    </row>
    <row r="26" spans="1:163">
      <c r="E26" s="12">
        <f>+AVERAGE(E6:E24)</f>
        <v>0.39027746452624634</v>
      </c>
      <c r="F26" s="37">
        <f>+E26-$I$3</f>
        <v>-1.7237646648585592</v>
      </c>
      <c r="G26" s="12">
        <f>+AVERAGE(G6:G24)</f>
        <v>0.65792890518985414</v>
      </c>
      <c r="I26" s="12">
        <f>+AVERAGEIF(I6:I24,"&gt;211%")</f>
        <v>3.3558243940841672</v>
      </c>
      <c r="J26" s="37">
        <f t="shared" si="11"/>
        <v>1.2417822646993617</v>
      </c>
      <c r="K26" s="12">
        <f>+AVERAGE(K6:K24)</f>
        <v>2.3133033312181555</v>
      </c>
      <c r="O26" s="12">
        <f>+AVERAGE(O6:O24)</f>
        <v>5.3000967923282467E-2</v>
      </c>
      <c r="AB26" s="57"/>
      <c r="AO26" s="57"/>
    </row>
    <row r="27" spans="1:163">
      <c r="I27" s="12">
        <f>+AVERAGEIF(I6:I24,"&lt;211%")</f>
        <v>1.6357681285884811</v>
      </c>
      <c r="K27" s="177">
        <f>+SUBTOTAL(101,K6:K21)</f>
        <v>2.3489555652139842</v>
      </c>
      <c r="V27" t="s">
        <v>167</v>
      </c>
      <c r="X27" s="162"/>
      <c r="BC27" s="141" t="s">
        <v>273</v>
      </c>
      <c r="BQ27" s="1">
        <f>+SUM(BQ6:BQ24)</f>
        <v>115323793</v>
      </c>
      <c r="BR27" s="1">
        <f>+SUM(BR6:BR24)</f>
        <v>114522901.18333334</v>
      </c>
      <c r="BU27" s="1">
        <f>+SUM(BU6:BU24)</f>
        <v>141818328.06083196</v>
      </c>
      <c r="BV27" s="1">
        <f>+SUM(BV6:BV24)</f>
        <v>157062360.02674258</v>
      </c>
      <c r="BY27" s="1">
        <f>+SUM(BY6:BY24)</f>
        <v>46631.816345010011</v>
      </c>
      <c r="BZ27" s="1">
        <f>+SUM(BZ6:BZ24)</f>
        <v>71612.108475400004</v>
      </c>
      <c r="CC27" s="1">
        <f>+SUM(CC6:CC24)</f>
        <v>6105.9256733400007</v>
      </c>
      <c r="CD27" s="1">
        <f>+SUM(CD6:CD24)</f>
        <v>3086.3949158999999</v>
      </c>
      <c r="FG27" s="167">
        <f>+COUNTIF(FG6:FG24,"&gt;0")</f>
        <v>7</v>
      </c>
    </row>
    <row r="28" spans="1:163" ht="15.6">
      <c r="A28" s="11">
        <f>+COUNTIF($C$6:$C$24,"&lt;0")</f>
        <v>10</v>
      </c>
      <c r="C28" s="156">
        <v>-1</v>
      </c>
      <c r="E28" s="167">
        <f>+COUNTIF($I$6:$I$24,"&lt;1,69")</f>
        <v>3</v>
      </c>
      <c r="F28" s="29">
        <v>-1</v>
      </c>
      <c r="I28" s="167">
        <f>+COUNTIF($I$6:$I$24,"&lt;1,69")</f>
        <v>3</v>
      </c>
      <c r="J28" s="29">
        <v>-1</v>
      </c>
      <c r="K28">
        <f>+COUNTIF($L$6:$L$24,"&lt;0")</f>
        <v>12</v>
      </c>
      <c r="L28" s="29">
        <v>-1</v>
      </c>
      <c r="O28">
        <f>+COUNTIF($P$6:$P$24,"&lt;0")</f>
        <v>4</v>
      </c>
      <c r="P28" s="29">
        <v>-1</v>
      </c>
      <c r="Q28">
        <f>+COUNTIF($R$6:$R$24,"&lt;0")</f>
        <v>10</v>
      </c>
      <c r="R28" s="29">
        <v>-1</v>
      </c>
      <c r="T28" s="57">
        <f>+COUNTIF($U$6:$U$24,"&lt;0")</f>
        <v>12</v>
      </c>
      <c r="U28" s="29">
        <v>-1</v>
      </c>
      <c r="BY28" s="10">
        <f>+BY27/BZ27-1</f>
        <v>-0.34882777036192358</v>
      </c>
      <c r="CC28" s="10">
        <f>+CC27/CD27-1</f>
        <v>0.97833583832206994</v>
      </c>
    </row>
    <row r="29" spans="1:163" ht="15.6">
      <c r="A29" s="11">
        <f>+COUNTIF($C$6:$C$24,C29)</f>
        <v>7</v>
      </c>
      <c r="C29" s="156">
        <v>0</v>
      </c>
      <c r="E29" s="167">
        <f>+COUNTIF($I$6:$I$24,"=1,69")</f>
        <v>0</v>
      </c>
      <c r="F29" s="29">
        <v>0</v>
      </c>
      <c r="I29" s="167">
        <f>+COUNTIF($I$6:$I$24,"=1,69")</f>
        <v>0</v>
      </c>
      <c r="J29" s="29">
        <v>0</v>
      </c>
      <c r="L29" s="29">
        <v>0</v>
      </c>
      <c r="O29">
        <f>+COUNTIF($P$6:$P$24,"=0")</f>
        <v>4</v>
      </c>
      <c r="P29" s="29">
        <v>0</v>
      </c>
      <c r="Q29">
        <f>+COUNTIF($R$6:$R$24,"=0")</f>
        <v>2</v>
      </c>
      <c r="R29" s="29">
        <v>0</v>
      </c>
      <c r="T29" s="57">
        <f>+COUNTIF($U$6:$U$24,"=0")</f>
        <v>0</v>
      </c>
      <c r="U29" s="29">
        <v>0</v>
      </c>
    </row>
    <row r="30" spans="1:163" ht="15.6">
      <c r="A30" s="11">
        <f>+COUNTIF($C$6:$C$24,"&gt;0")</f>
        <v>2</v>
      </c>
      <c r="C30" s="156">
        <v>1</v>
      </c>
      <c r="E30" s="167">
        <f>+COUNTIF($I$6:$I$24,"&gt;1,69")</f>
        <v>15</v>
      </c>
      <c r="F30" s="29">
        <v>1</v>
      </c>
      <c r="I30" s="167">
        <f>+COUNTIF($I$6:$I$24,"&gt;1,69")</f>
        <v>15</v>
      </c>
      <c r="J30" s="29">
        <v>1</v>
      </c>
      <c r="K30">
        <f>+COUNTIF($L$6:$L$24,"&gt;0")</f>
        <v>7</v>
      </c>
      <c r="L30" s="29">
        <v>1</v>
      </c>
      <c r="O30">
        <f>+COUNTIF($P$6:$P$24,"&gt;0")</f>
        <v>10</v>
      </c>
      <c r="P30" s="29">
        <v>1</v>
      </c>
      <c r="Q30">
        <f>+COUNTIF($R$6:$R$24,"&gt;0")</f>
        <v>7</v>
      </c>
      <c r="R30" s="29">
        <v>1</v>
      </c>
      <c r="T30" s="57">
        <f>+COUNTIF($U$6:$U$24,"&gt;0")</f>
        <v>6</v>
      </c>
      <c r="U30" s="29">
        <v>1</v>
      </c>
      <c r="X30" s="14"/>
      <c r="BX30" s="1"/>
    </row>
    <row r="31" spans="1:163">
      <c r="K31" s="12"/>
    </row>
    <row r="32" spans="1:163">
      <c r="C32" s="157"/>
      <c r="I32" s="14">
        <f>+COUNTIF(I6:I24,"&gt;211%")</f>
        <v>10</v>
      </c>
      <c r="J32" s="14"/>
      <c r="K32" s="14"/>
      <c r="Y32" s="163"/>
    </row>
    <row r="33" spans="1:164">
      <c r="C33" s="157"/>
      <c r="I33" s="12">
        <f>+I26/2</f>
        <v>1.6779121970420836</v>
      </c>
    </row>
    <row r="34" spans="1:164" s="23" customFormat="1">
      <c r="A34" s="11"/>
      <c r="B34"/>
      <c r="C34" s="157"/>
      <c r="D34" s="57"/>
      <c r="E34" s="12"/>
      <c r="F34" s="37"/>
      <c r="G34"/>
      <c r="H34" s="37"/>
      <c r="I34" s="12">
        <v>0.03</v>
      </c>
      <c r="J34" s="37"/>
      <c r="K34"/>
      <c r="L34" s="37"/>
      <c r="M34"/>
      <c r="N34" s="57"/>
      <c r="P34" s="57"/>
      <c r="Q34"/>
      <c r="R34"/>
      <c r="S34"/>
      <c r="T34" s="57"/>
      <c r="V34"/>
      <c r="W34"/>
      <c r="X34"/>
      <c r="Y34"/>
      <c r="Z34"/>
      <c r="AA34"/>
      <c r="AB34" s="11"/>
      <c r="AC34" s="57"/>
      <c r="AD34" s="57"/>
      <c r="AE34" s="57"/>
      <c r="AF34" s="57"/>
      <c r="AG34" s="57"/>
      <c r="AH34" s="57"/>
      <c r="AI34" s="57"/>
      <c r="AJ34" s="57"/>
      <c r="AK34" s="57"/>
      <c r="AL34" s="57"/>
      <c r="AM34" s="57"/>
      <c r="AN34" s="57"/>
      <c r="AO34" s="28"/>
      <c r="AP34" s="28"/>
      <c r="AQ34" s="28"/>
      <c r="AR34" s="28"/>
      <c r="AS34" s="28"/>
      <c r="AT34"/>
      <c r="AU34"/>
      <c r="AV34"/>
      <c r="AW34"/>
      <c r="AX34"/>
      <c r="AY34"/>
      <c r="AZ34"/>
      <c r="BA34"/>
      <c r="BB34"/>
      <c r="BC34" s="141"/>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s="14"/>
      <c r="EI34" s="14"/>
      <c r="EJ34"/>
      <c r="EK34"/>
      <c r="EL34"/>
      <c r="EM34"/>
      <c r="EN34"/>
      <c r="EO34"/>
      <c r="EP34"/>
      <c r="EQ34"/>
      <c r="ER34"/>
      <c r="ES34"/>
      <c r="ET34"/>
      <c r="EU34"/>
      <c r="EV34"/>
      <c r="EW34"/>
      <c r="EX34"/>
      <c r="EY34"/>
      <c r="EZ34"/>
      <c r="FA34"/>
      <c r="FB34"/>
      <c r="FC34"/>
      <c r="FD34"/>
      <c r="FE34"/>
      <c r="FF34"/>
      <c r="FG34"/>
      <c r="FH34"/>
    </row>
    <row r="35" spans="1:164" s="23" customFormat="1">
      <c r="A35" s="11"/>
      <c r="B35"/>
      <c r="C35" s="157"/>
      <c r="D35" s="57"/>
      <c r="E35" s="12"/>
      <c r="F35" s="37"/>
      <c r="G35"/>
      <c r="H35" s="37"/>
      <c r="I35" s="12"/>
      <c r="J35" s="37"/>
      <c r="K35"/>
      <c r="L35" s="37"/>
      <c r="M35"/>
      <c r="N35" s="57"/>
      <c r="P35" s="57"/>
      <c r="Q35"/>
      <c r="R35"/>
      <c r="S35"/>
      <c r="T35" s="57"/>
      <c r="V35"/>
      <c r="W35"/>
      <c r="X35"/>
      <c r="Y35"/>
      <c r="Z35"/>
      <c r="AA35"/>
      <c r="AB35" s="11"/>
      <c r="AC35" s="57"/>
      <c r="AD35" s="57"/>
      <c r="AE35" s="57"/>
      <c r="AF35" s="57"/>
      <c r="AG35" s="57"/>
      <c r="AH35" s="57"/>
      <c r="AI35" s="57"/>
      <c r="AJ35" s="57"/>
      <c r="AK35" s="57"/>
      <c r="AL35" s="57"/>
      <c r="AM35" s="57"/>
      <c r="AN35" s="57"/>
      <c r="AO35" s="28"/>
      <c r="AP35" s="28"/>
      <c r="AQ35" s="28"/>
      <c r="AR35" s="28"/>
      <c r="AS35" s="28"/>
      <c r="AT35"/>
      <c r="AU35"/>
      <c r="AV35"/>
      <c r="AW35"/>
      <c r="AX35"/>
      <c r="AY35"/>
      <c r="AZ35"/>
      <c r="BA35"/>
      <c r="BB35"/>
      <c r="BC35" s="141"/>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s="14"/>
      <c r="EI35" s="14"/>
      <c r="EJ35"/>
      <c r="EK35"/>
      <c r="EL35"/>
      <c r="EM35"/>
      <c r="EN35"/>
      <c r="EO35"/>
      <c r="EP35"/>
      <c r="EQ35"/>
      <c r="ER35"/>
      <c r="ES35"/>
      <c r="ET35"/>
      <c r="EU35"/>
      <c r="EV35"/>
      <c r="EW35"/>
      <c r="EX35"/>
      <c r="EY35"/>
      <c r="EZ35"/>
      <c r="FA35"/>
      <c r="FB35"/>
      <c r="FC35"/>
      <c r="FD35"/>
      <c r="FE35"/>
      <c r="FF35"/>
      <c r="FG35"/>
      <c r="FH35"/>
    </row>
    <row r="36" spans="1:164" s="23" customFormat="1">
      <c r="A36" s="11"/>
      <c r="B36"/>
      <c r="C36" s="157"/>
      <c r="D36" s="57"/>
      <c r="E36" s="12"/>
      <c r="F36" s="37"/>
      <c r="G36"/>
      <c r="H36" s="37"/>
      <c r="I36" s="12"/>
      <c r="J36" s="37"/>
      <c r="K36"/>
      <c r="L36" s="37"/>
      <c r="M36"/>
      <c r="N36" s="57"/>
      <c r="P36" s="57"/>
      <c r="Q36"/>
      <c r="R36"/>
      <c r="S36"/>
      <c r="T36" s="57"/>
      <c r="V36"/>
      <c r="W36"/>
      <c r="X36"/>
      <c r="Y36"/>
      <c r="Z36"/>
      <c r="AA36"/>
      <c r="AB36" s="11"/>
      <c r="AC36" s="57"/>
      <c r="AD36" s="57"/>
      <c r="AE36" s="57"/>
      <c r="AF36" s="57"/>
      <c r="AG36" s="57"/>
      <c r="AH36" s="57"/>
      <c r="AI36" s="57"/>
      <c r="AJ36" s="57"/>
      <c r="AK36" s="57"/>
      <c r="AL36" s="57"/>
      <c r="AM36" s="57"/>
      <c r="AN36" s="57"/>
      <c r="AO36" s="28"/>
      <c r="AP36" s="28"/>
      <c r="AQ36" s="28"/>
      <c r="AR36" s="28"/>
      <c r="AS36" s="28"/>
      <c r="AT36"/>
      <c r="AU36"/>
      <c r="AV36"/>
      <c r="AW36"/>
      <c r="AX36"/>
      <c r="AY36"/>
      <c r="AZ36"/>
      <c r="BA36"/>
      <c r="BB36"/>
      <c r="BC36" s="141"/>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s="14"/>
      <c r="EI36" s="14"/>
      <c r="EJ36"/>
      <c r="EK36"/>
      <c r="EL36"/>
      <c r="EM36"/>
      <c r="EN36"/>
      <c r="EO36"/>
      <c r="EP36"/>
      <c r="EQ36"/>
      <c r="ER36"/>
      <c r="ES36"/>
      <c r="ET36"/>
      <c r="EU36"/>
      <c r="EV36"/>
      <c r="EW36"/>
      <c r="EX36"/>
      <c r="EY36"/>
      <c r="EZ36"/>
      <c r="FA36"/>
      <c r="FB36"/>
      <c r="FC36"/>
      <c r="FD36"/>
      <c r="FE36"/>
      <c r="FF36"/>
      <c r="FG36"/>
      <c r="FH36"/>
    </row>
    <row r="37" spans="1:164" s="23" customFormat="1">
      <c r="A37" s="11"/>
      <c r="B37"/>
      <c r="C37" s="157"/>
      <c r="D37" s="57"/>
      <c r="E37" s="12"/>
      <c r="F37" s="37"/>
      <c r="G37"/>
      <c r="H37" s="37"/>
      <c r="I37" s="12"/>
      <c r="J37" s="37"/>
      <c r="K37"/>
      <c r="L37" s="37"/>
      <c r="M37"/>
      <c r="N37" s="57"/>
      <c r="P37" s="57"/>
      <c r="Q37"/>
      <c r="R37"/>
      <c r="S37"/>
      <c r="T37" s="57"/>
      <c r="V37"/>
      <c r="W37"/>
      <c r="X37"/>
      <c r="Y37"/>
      <c r="Z37"/>
      <c r="AA37"/>
      <c r="AB37" s="11"/>
      <c r="AC37" s="57"/>
      <c r="AD37" s="57"/>
      <c r="AE37" s="57"/>
      <c r="AF37" s="57"/>
      <c r="AG37" s="57"/>
      <c r="AH37" s="57"/>
      <c r="AI37" s="57"/>
      <c r="AJ37" s="57"/>
      <c r="AK37" s="57"/>
      <c r="AL37" s="57"/>
      <c r="AM37" s="57"/>
      <c r="AN37" s="57"/>
      <c r="AO37" s="28"/>
      <c r="AP37" s="28"/>
      <c r="AQ37" s="28"/>
      <c r="AR37" s="28"/>
      <c r="AS37" s="28"/>
      <c r="AT37"/>
      <c r="AU37"/>
      <c r="AV37"/>
      <c r="AW37"/>
      <c r="AX37"/>
      <c r="AY37"/>
      <c r="AZ37"/>
      <c r="BA37"/>
      <c r="BB37"/>
      <c r="BC37" s="141"/>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s="14"/>
      <c r="EI37" s="14"/>
      <c r="EJ37"/>
      <c r="EK37"/>
      <c r="EL37"/>
      <c r="EM37"/>
      <c r="EN37"/>
      <c r="EO37"/>
      <c r="EP37"/>
      <c r="EQ37"/>
      <c r="ER37"/>
      <c r="ES37"/>
      <c r="ET37"/>
      <c r="EU37"/>
      <c r="EV37"/>
      <c r="EW37"/>
      <c r="EX37"/>
      <c r="EY37"/>
      <c r="EZ37"/>
      <c r="FA37"/>
      <c r="FB37"/>
      <c r="FC37"/>
      <c r="FD37"/>
      <c r="FE37"/>
      <c r="FF37"/>
      <c r="FG37"/>
      <c r="FH37"/>
    </row>
    <row r="38" spans="1:164" s="23" customFormat="1">
      <c r="A38" s="11"/>
      <c r="B38"/>
      <c r="C38" s="157"/>
      <c r="D38" s="57"/>
      <c r="E38" s="12"/>
      <c r="F38" s="37"/>
      <c r="G38"/>
      <c r="H38" s="37"/>
      <c r="I38" s="12"/>
      <c r="J38" s="37"/>
      <c r="K38"/>
      <c r="L38" s="37"/>
      <c r="M38"/>
      <c r="N38" s="57"/>
      <c r="P38" s="57"/>
      <c r="Q38"/>
      <c r="R38"/>
      <c r="S38"/>
      <c r="T38" s="57"/>
      <c r="V38"/>
      <c r="W38"/>
      <c r="X38"/>
      <c r="Y38"/>
      <c r="Z38"/>
      <c r="AA38"/>
      <c r="AB38" s="11"/>
      <c r="AC38" s="57"/>
      <c r="AD38" s="57"/>
      <c r="AE38" s="57"/>
      <c r="AF38" s="57"/>
      <c r="AG38" s="57"/>
      <c r="AH38" s="57"/>
      <c r="AI38" s="57"/>
      <c r="AJ38" s="57"/>
      <c r="AK38" s="57"/>
      <c r="AL38" s="57"/>
      <c r="AM38" s="57"/>
      <c r="AN38" s="57"/>
      <c r="AO38" s="28"/>
      <c r="AP38" s="28"/>
      <c r="AQ38" s="28"/>
      <c r="AR38" s="28"/>
      <c r="AS38" s="28"/>
      <c r="AT38"/>
      <c r="AU38"/>
      <c r="AV38"/>
      <c r="AW38"/>
      <c r="AX38"/>
      <c r="AY38"/>
      <c r="AZ38"/>
      <c r="BA38"/>
      <c r="BB38"/>
      <c r="BC38" s="141"/>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s="14"/>
      <c r="EI38" s="14"/>
      <c r="EJ38"/>
      <c r="EK38"/>
      <c r="EL38"/>
      <c r="EM38"/>
      <c r="EN38"/>
      <c r="EO38"/>
      <c r="EP38"/>
      <c r="EQ38"/>
      <c r="ER38"/>
      <c r="ES38"/>
      <c r="ET38"/>
      <c r="EU38"/>
      <c r="EV38"/>
      <c r="EW38"/>
      <c r="EX38"/>
      <c r="EY38"/>
      <c r="EZ38"/>
      <c r="FA38"/>
      <c r="FB38"/>
      <c r="FC38"/>
      <c r="FD38"/>
      <c r="FE38"/>
      <c r="FF38"/>
      <c r="FG38"/>
      <c r="FH38"/>
    </row>
    <row r="39" spans="1:164" s="23" customFormat="1">
      <c r="A39" s="11"/>
      <c r="B39"/>
      <c r="C39" s="157"/>
      <c r="D39" s="57"/>
      <c r="E39" s="12"/>
      <c r="F39" s="37"/>
      <c r="G39"/>
      <c r="H39" s="37"/>
      <c r="I39" s="12"/>
      <c r="J39" s="37"/>
      <c r="K39"/>
      <c r="L39" s="37"/>
      <c r="M39"/>
      <c r="N39" s="57"/>
      <c r="P39" s="57"/>
      <c r="Q39"/>
      <c r="R39"/>
      <c r="S39"/>
      <c r="T39" s="57"/>
      <c r="V39"/>
      <c r="W39"/>
      <c r="X39"/>
      <c r="Y39"/>
      <c r="Z39"/>
      <c r="AA39"/>
      <c r="AB39" s="11"/>
      <c r="AC39" s="57"/>
      <c r="AD39" s="57"/>
      <c r="AE39" s="57"/>
      <c r="AF39" s="57"/>
      <c r="AG39" s="57"/>
      <c r="AH39" s="57"/>
      <c r="AI39" s="57"/>
      <c r="AJ39" s="57"/>
      <c r="AK39" s="57"/>
      <c r="AL39" s="57"/>
      <c r="AM39" s="57"/>
      <c r="AN39" s="57"/>
      <c r="AO39" s="28"/>
      <c r="AP39" s="28"/>
      <c r="AQ39" s="28"/>
      <c r="AR39" s="28"/>
      <c r="AS39" s="28"/>
      <c r="AT39"/>
      <c r="AU39"/>
      <c r="AV39"/>
      <c r="AW39"/>
      <c r="AX39"/>
      <c r="AY39"/>
      <c r="AZ39"/>
      <c r="BA39"/>
      <c r="BB39"/>
      <c r="BC39" s="141"/>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s="14"/>
      <c r="EI39" s="14"/>
      <c r="EJ39"/>
      <c r="EK39"/>
      <c r="EL39"/>
      <c r="EM39"/>
      <c r="EN39"/>
      <c r="EO39"/>
      <c r="EP39"/>
      <c r="EQ39"/>
      <c r="ER39"/>
      <c r="ES39"/>
      <c r="ET39"/>
      <c r="EU39"/>
      <c r="EV39"/>
      <c r="EW39"/>
      <c r="EX39"/>
      <c r="EY39"/>
      <c r="EZ39"/>
      <c r="FA39"/>
      <c r="FB39"/>
      <c r="FC39"/>
      <c r="FD39"/>
      <c r="FE39"/>
      <c r="FF39"/>
      <c r="FG39"/>
      <c r="FH39"/>
    </row>
    <row r="40" spans="1:164" s="23" customFormat="1">
      <c r="A40" s="11"/>
      <c r="B40"/>
      <c r="C40" s="157"/>
      <c r="D40" s="57"/>
      <c r="E40" s="12"/>
      <c r="F40" s="37"/>
      <c r="G40"/>
      <c r="H40" s="37"/>
      <c r="I40" s="12"/>
      <c r="J40" s="37"/>
      <c r="K40"/>
      <c r="L40" s="37"/>
      <c r="M40"/>
      <c r="N40" s="57"/>
      <c r="P40" s="57"/>
      <c r="Q40"/>
      <c r="R40"/>
      <c r="S40"/>
      <c r="T40" s="57"/>
      <c r="V40"/>
      <c r="W40"/>
      <c r="X40"/>
      <c r="Y40"/>
      <c r="Z40"/>
      <c r="AA40"/>
      <c r="AB40" s="11"/>
      <c r="AC40" s="57"/>
      <c r="AD40" s="57"/>
      <c r="AE40" s="57"/>
      <c r="AF40" s="57"/>
      <c r="AG40" s="57"/>
      <c r="AH40" s="57"/>
      <c r="AI40" s="57"/>
      <c r="AJ40" s="57"/>
      <c r="AK40" s="57"/>
      <c r="AL40" s="57"/>
      <c r="AM40" s="57"/>
      <c r="AN40" s="57"/>
      <c r="AO40" s="28"/>
      <c r="AP40" s="28"/>
      <c r="AQ40" s="28"/>
      <c r="AR40" s="28"/>
      <c r="AS40" s="28"/>
      <c r="AT40"/>
      <c r="AU40"/>
      <c r="AV40"/>
      <c r="AW40"/>
      <c r="AX40"/>
      <c r="AY40"/>
      <c r="AZ40"/>
      <c r="BA40"/>
      <c r="BB40"/>
      <c r="BC40" s="141"/>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s="14"/>
      <c r="EI40" s="14"/>
      <c r="EJ40"/>
      <c r="EK40"/>
      <c r="EL40"/>
      <c r="EM40"/>
      <c r="EN40"/>
      <c r="EO40"/>
      <c r="EP40"/>
      <c r="EQ40"/>
      <c r="ER40"/>
      <c r="ES40"/>
      <c r="ET40"/>
      <c r="EU40"/>
      <c r="EV40"/>
      <c r="EW40"/>
      <c r="EX40"/>
      <c r="EY40"/>
      <c r="EZ40"/>
      <c r="FA40"/>
      <c r="FB40"/>
      <c r="FC40"/>
      <c r="FD40"/>
      <c r="FE40"/>
      <c r="FF40"/>
      <c r="FG40"/>
      <c r="FH40"/>
    </row>
    <row r="45" spans="1:164" s="23" customFormat="1">
      <c r="A45" s="11"/>
      <c r="B45"/>
      <c r="C45" s="157"/>
      <c r="D45" s="57"/>
      <c r="E45" s="12"/>
      <c r="F45" s="37"/>
      <c r="G45"/>
      <c r="H45" s="37"/>
      <c r="I45" s="12"/>
      <c r="J45" s="37"/>
      <c r="K45"/>
      <c r="L45" s="37"/>
      <c r="M45"/>
      <c r="N45" s="57"/>
      <c r="P45" s="57"/>
      <c r="Q45"/>
      <c r="R45"/>
      <c r="S45"/>
      <c r="T45" s="57"/>
      <c r="V45"/>
      <c r="W45"/>
      <c r="X45"/>
      <c r="Y45"/>
      <c r="Z45"/>
      <c r="AA45"/>
      <c r="AB45" s="11"/>
      <c r="AC45" s="57"/>
      <c r="AD45" s="57"/>
      <c r="AE45" s="57"/>
      <c r="AF45" s="57"/>
      <c r="AG45" s="57"/>
      <c r="AH45" s="57"/>
      <c r="AI45" s="57"/>
      <c r="AJ45" s="57"/>
      <c r="AK45" s="57"/>
      <c r="AL45" s="57"/>
      <c r="AM45" s="57"/>
      <c r="AN45" s="57"/>
      <c r="AO45" s="28"/>
      <c r="AP45" s="28"/>
      <c r="AQ45" s="28"/>
      <c r="AR45" s="28"/>
      <c r="AS45" s="28"/>
      <c r="AT45"/>
      <c r="AU45"/>
      <c r="AV45"/>
      <c r="AW45"/>
      <c r="AX45"/>
      <c r="AY45"/>
      <c r="AZ45"/>
      <c r="BA45"/>
      <c r="BB45"/>
      <c r="BC45" s="141"/>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s="14"/>
      <c r="EI45" s="14"/>
      <c r="EJ45"/>
      <c r="EK45"/>
      <c r="EL45"/>
      <c r="EM45"/>
      <c r="EN45"/>
      <c r="EO45"/>
      <c r="EP45"/>
      <c r="EQ45"/>
      <c r="ER45"/>
      <c r="ES45"/>
      <c r="ET45"/>
      <c r="EU45"/>
      <c r="EV45"/>
      <c r="EW45"/>
      <c r="EX45"/>
      <c r="EY45"/>
      <c r="EZ45"/>
      <c r="FA45"/>
      <c r="FB45"/>
      <c r="FC45"/>
      <c r="FD45"/>
      <c r="FE45"/>
      <c r="FF45"/>
      <c r="FG45"/>
      <c r="FH45"/>
    </row>
    <row r="46" spans="1:164" s="23" customFormat="1">
      <c r="A46" s="11"/>
      <c r="B46"/>
      <c r="C46" s="157"/>
      <c r="D46" s="57"/>
      <c r="E46" s="12"/>
      <c r="F46" s="37"/>
      <c r="G46"/>
      <c r="H46" s="37"/>
      <c r="I46" s="12"/>
      <c r="J46" s="37"/>
      <c r="K46"/>
      <c r="L46" s="37"/>
      <c r="M46"/>
      <c r="N46" s="57"/>
      <c r="P46" s="57"/>
      <c r="Q46"/>
      <c r="R46"/>
      <c r="S46"/>
      <c r="T46" s="57"/>
      <c r="V46"/>
      <c r="W46"/>
      <c r="X46"/>
      <c r="Y46"/>
      <c r="Z46"/>
      <c r="AA46"/>
      <c r="AB46" s="11"/>
      <c r="AC46" s="57"/>
      <c r="AD46" s="57"/>
      <c r="AE46" s="57"/>
      <c r="AF46" s="57"/>
      <c r="AG46" s="57"/>
      <c r="AH46" s="57"/>
      <c r="AI46" s="57"/>
      <c r="AJ46" s="57"/>
      <c r="AK46" s="57"/>
      <c r="AL46" s="57"/>
      <c r="AM46" s="57"/>
      <c r="AN46" s="57"/>
      <c r="AO46" s="28"/>
      <c r="AP46" s="28"/>
      <c r="AQ46" s="28"/>
      <c r="AR46" s="28"/>
      <c r="AS46" s="28"/>
      <c r="AT46"/>
      <c r="AU46"/>
      <c r="AV46"/>
      <c r="AW46"/>
      <c r="AX46"/>
      <c r="AY46"/>
      <c r="AZ46"/>
      <c r="BA46"/>
      <c r="BB46"/>
      <c r="BC46" s="141"/>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s="14"/>
      <c r="EI46" s="14"/>
      <c r="EJ46"/>
      <c r="EK46"/>
      <c r="EL46"/>
      <c r="EM46"/>
      <c r="EN46"/>
      <c r="EO46"/>
      <c r="EP46"/>
      <c r="EQ46"/>
      <c r="ER46"/>
      <c r="ES46"/>
      <c r="ET46"/>
      <c r="EU46"/>
      <c r="EV46"/>
      <c r="EW46"/>
      <c r="EX46"/>
      <c r="EY46"/>
      <c r="EZ46"/>
      <c r="FA46"/>
      <c r="FB46"/>
      <c r="FC46"/>
      <c r="FD46"/>
      <c r="FE46"/>
      <c r="FF46"/>
      <c r="FG46"/>
      <c r="FH46"/>
    </row>
    <row r="47" spans="1:164" s="23" customFormat="1">
      <c r="A47" s="11"/>
      <c r="B47"/>
      <c r="C47" s="157"/>
      <c r="D47" s="57"/>
      <c r="E47" s="12"/>
      <c r="F47" s="37"/>
      <c r="G47"/>
      <c r="H47" s="37"/>
      <c r="I47" s="12"/>
      <c r="J47" s="37"/>
      <c r="K47"/>
      <c r="L47" s="37"/>
      <c r="M47"/>
      <c r="N47" s="57"/>
      <c r="P47" s="57"/>
      <c r="Q47"/>
      <c r="R47"/>
      <c r="S47"/>
      <c r="T47" s="57"/>
      <c r="V47"/>
      <c r="W47"/>
      <c r="X47"/>
      <c r="Y47"/>
      <c r="Z47"/>
      <c r="AA47"/>
      <c r="AB47" s="11"/>
      <c r="AC47" s="57"/>
      <c r="AD47" s="57"/>
      <c r="AE47" s="57"/>
      <c r="AF47" s="57"/>
      <c r="AG47" s="57"/>
      <c r="AH47" s="57"/>
      <c r="AI47" s="57"/>
      <c r="AJ47" s="57"/>
      <c r="AK47" s="57"/>
      <c r="AL47" s="57"/>
      <c r="AM47" s="57"/>
      <c r="AN47" s="57"/>
      <c r="AO47" s="28"/>
      <c r="AP47" s="28"/>
      <c r="AQ47" s="28"/>
      <c r="AR47" s="28"/>
      <c r="AS47" s="28"/>
      <c r="AT47"/>
      <c r="AU47"/>
      <c r="AV47"/>
      <c r="AW47"/>
      <c r="AX47"/>
      <c r="AY47"/>
      <c r="AZ47"/>
      <c r="BA47"/>
      <c r="BB47"/>
      <c r="BC47" s="141"/>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s="14"/>
      <c r="EI47" s="14"/>
      <c r="EJ47"/>
      <c r="EK47"/>
      <c r="EL47"/>
      <c r="EM47"/>
      <c r="EN47"/>
      <c r="EO47"/>
      <c r="EP47"/>
      <c r="EQ47"/>
      <c r="ER47"/>
      <c r="ES47"/>
      <c r="ET47"/>
      <c r="EU47"/>
      <c r="EV47"/>
      <c r="EW47"/>
      <c r="EX47"/>
      <c r="EY47"/>
      <c r="EZ47"/>
      <c r="FA47"/>
      <c r="FB47"/>
      <c r="FC47"/>
      <c r="FD47"/>
      <c r="FE47"/>
      <c r="FF47"/>
      <c r="FG47"/>
      <c r="FH47"/>
    </row>
  </sheetData>
  <conditionalFormatting sqref="C6:C25">
    <cfRule type="iconSet" priority="42">
      <iconSet>
        <cfvo type="percent" val="0"/>
        <cfvo type="num" val="0"/>
        <cfvo type="num" val="0" gte="0"/>
      </iconSet>
    </cfRule>
  </conditionalFormatting>
  <conditionalFormatting sqref="C28:C30">
    <cfRule type="iconSet" priority="36">
      <iconSet>
        <cfvo type="percent" val="0"/>
        <cfvo type="num" val="0"/>
        <cfvo type="num" val="0" gte="0"/>
      </iconSet>
    </cfRule>
  </conditionalFormatting>
  <conditionalFormatting sqref="D6:D25">
    <cfRule type="iconSet" priority="41">
      <iconSet>
        <cfvo type="percent" val="0"/>
        <cfvo type="num" val="0"/>
        <cfvo type="num" val="0" gte="0"/>
      </iconSet>
    </cfRule>
  </conditionalFormatting>
  <conditionalFormatting sqref="F6:F16 F19:F25">
    <cfRule type="iconSet" priority="37">
      <iconSet>
        <cfvo type="percent" val="0"/>
        <cfvo type="num" val="0"/>
        <cfvo type="num" val="0" gte="0"/>
      </iconSet>
    </cfRule>
  </conditionalFormatting>
  <conditionalFormatting sqref="F17:F18">
    <cfRule type="iconSet" priority="7">
      <iconSet>
        <cfvo type="percent" val="0"/>
        <cfvo type="num" val="0"/>
        <cfvo type="num" val="0" gte="0"/>
      </iconSet>
    </cfRule>
  </conditionalFormatting>
  <conditionalFormatting sqref="F28:F30">
    <cfRule type="iconSet" priority="1">
      <iconSet>
        <cfvo type="percent" val="0"/>
        <cfvo type="num" val="0"/>
        <cfvo type="num" val="0" gte="0"/>
      </iconSet>
    </cfRule>
  </conditionalFormatting>
  <conditionalFormatting sqref="H6:H7 H9 H11:H25">
    <cfRule type="iconSet" priority="34">
      <iconSet>
        <cfvo type="percent" val="0"/>
        <cfvo type="num" val="0"/>
        <cfvo type="num" val="0" gte="0"/>
      </iconSet>
    </cfRule>
  </conditionalFormatting>
  <conditionalFormatting sqref="H8">
    <cfRule type="iconSet" priority="5">
      <iconSet>
        <cfvo type="percent" val="0"/>
        <cfvo type="num" val="0"/>
        <cfvo type="num" val="0" gte="0"/>
      </iconSet>
    </cfRule>
  </conditionalFormatting>
  <conditionalFormatting sqref="H10">
    <cfRule type="iconSet" priority="32">
      <iconSet>
        <cfvo type="percent" val="0"/>
        <cfvo type="num" val="0"/>
        <cfvo type="num" val="0" gte="0"/>
      </iconSet>
    </cfRule>
  </conditionalFormatting>
  <conditionalFormatting sqref="J6:J9 J11:J16 J19:J25">
    <cfRule type="iconSet" priority="35">
      <iconSet>
        <cfvo type="percent" val="0"/>
        <cfvo type="num" val="0"/>
        <cfvo type="num" val="0" gte="0"/>
      </iconSet>
    </cfRule>
  </conditionalFormatting>
  <conditionalFormatting sqref="J10">
    <cfRule type="iconSet" priority="33">
      <iconSet>
        <cfvo type="percent" val="0"/>
        <cfvo type="num" val="0"/>
        <cfvo type="num" val="0" gte="0"/>
      </iconSet>
    </cfRule>
  </conditionalFormatting>
  <conditionalFormatting sqref="J17:J18">
    <cfRule type="iconSet" priority="6">
      <iconSet>
        <cfvo type="percent" val="0"/>
        <cfvo type="num" val="0"/>
        <cfvo type="num" val="0" gte="0"/>
      </iconSet>
    </cfRule>
  </conditionalFormatting>
  <conditionalFormatting sqref="J28:J30">
    <cfRule type="iconSet" priority="3">
      <iconSet>
        <cfvo type="percent" val="0"/>
        <cfvo type="num" val="0"/>
        <cfvo type="num" val="0" gte="0"/>
      </iconSet>
    </cfRule>
  </conditionalFormatting>
  <conditionalFormatting sqref="L6:L9 L11:L25">
    <cfRule type="iconSet" priority="43">
      <iconSet>
        <cfvo type="percent" val="0"/>
        <cfvo type="num" val="0"/>
        <cfvo type="num" val="0" gte="0"/>
      </iconSet>
    </cfRule>
  </conditionalFormatting>
  <conditionalFormatting sqref="L10">
    <cfRule type="iconSet" priority="44">
      <iconSet>
        <cfvo type="percent" val="0"/>
        <cfvo type="num" val="0"/>
        <cfvo type="num" val="0" gte="0"/>
      </iconSet>
    </cfRule>
  </conditionalFormatting>
  <conditionalFormatting sqref="L28:L30">
    <cfRule type="iconSet" priority="2">
      <iconSet>
        <cfvo type="percent" val="0"/>
        <cfvo type="num" val="0"/>
        <cfvo type="num" val="0" gte="0"/>
      </iconSet>
    </cfRule>
  </conditionalFormatting>
  <conditionalFormatting sqref="M6:M25">
    <cfRule type="iconSet" priority="38">
      <iconSet>
        <cfvo type="percent" val="0"/>
        <cfvo type="num" val="0"/>
        <cfvo type="num" val="0" gte="0"/>
      </iconSet>
    </cfRule>
  </conditionalFormatting>
  <conditionalFormatting sqref="N6:N25">
    <cfRule type="iconSet" priority="31">
      <iconSet>
        <cfvo type="percent" val="0"/>
        <cfvo type="num" val="0"/>
        <cfvo type="num" val="0" gte="0"/>
      </iconSet>
    </cfRule>
  </conditionalFormatting>
  <conditionalFormatting sqref="P6:P9 P11:P25">
    <cfRule type="iconSet" priority="39">
      <iconSet>
        <cfvo type="percent" val="0"/>
        <cfvo type="num" val="0"/>
        <cfvo type="num" val="0" gte="0"/>
      </iconSet>
    </cfRule>
  </conditionalFormatting>
  <conditionalFormatting sqref="P10">
    <cfRule type="iconSet" priority="10">
      <iconSet>
        <cfvo type="percent" val="0"/>
        <cfvo type="num" val="0"/>
        <cfvo type="num" val="0" gte="0"/>
      </iconSet>
    </cfRule>
  </conditionalFormatting>
  <conditionalFormatting sqref="P28:P30">
    <cfRule type="iconSet" priority="23">
      <iconSet>
        <cfvo type="percent" val="0"/>
        <cfvo type="num" val="0"/>
        <cfvo type="num" val="0" gte="0"/>
      </iconSet>
    </cfRule>
  </conditionalFormatting>
  <conditionalFormatting sqref="R6:R25">
    <cfRule type="iconSet" priority="40">
      <iconSet>
        <cfvo type="percent" val="0"/>
        <cfvo type="num" val="0"/>
        <cfvo type="num" val="0" gte="0"/>
      </iconSet>
    </cfRule>
  </conditionalFormatting>
  <conditionalFormatting sqref="R28:R30">
    <cfRule type="iconSet" priority="22">
      <iconSet>
        <cfvo type="percent" val="0"/>
        <cfvo type="num" val="0"/>
        <cfvo type="num" val="0" gte="0"/>
      </iconSet>
    </cfRule>
  </conditionalFormatting>
  <conditionalFormatting sqref="S6:S25">
    <cfRule type="iconSet" priority="26">
      <iconSet>
        <cfvo type="percent" val="0"/>
        <cfvo type="num" val="0"/>
        <cfvo type="num" val="0" gte="0"/>
      </iconSet>
    </cfRule>
  </conditionalFormatting>
  <conditionalFormatting sqref="T6:T25">
    <cfRule type="iconSet" priority="30">
      <iconSet>
        <cfvo type="percent" val="0"/>
        <cfvo type="num" val="0"/>
        <cfvo type="num" val="0" gte="0"/>
      </iconSet>
    </cfRule>
  </conditionalFormatting>
  <conditionalFormatting sqref="U28:U30">
    <cfRule type="iconSet" priority="4">
      <iconSet>
        <cfvo type="percent" val="0"/>
        <cfvo type="num" val="0"/>
        <cfvo type="num" val="0" gte="0"/>
      </iconSet>
    </cfRule>
  </conditionalFormatting>
  <conditionalFormatting sqref="V6:V10 V16:V25 V12:V14">
    <cfRule type="iconSet" priority="29">
      <iconSet>
        <cfvo type="percent" val="0"/>
        <cfvo type="num" val="0"/>
        <cfvo type="num" val="0" gte="0"/>
      </iconSet>
    </cfRule>
  </conditionalFormatting>
  <conditionalFormatting sqref="V11">
    <cfRule type="iconSet" priority="9">
      <iconSet>
        <cfvo type="percent" val="0"/>
        <cfvo type="num" val="0"/>
        <cfvo type="num" val="0" gte="0"/>
      </iconSet>
    </cfRule>
  </conditionalFormatting>
  <conditionalFormatting sqref="V15">
    <cfRule type="iconSet" priority="25">
      <iconSet>
        <cfvo type="percent" val="0"/>
        <cfvo type="num" val="0"/>
        <cfvo type="num" val="0" gte="0"/>
      </iconSet>
    </cfRule>
  </conditionalFormatting>
  <conditionalFormatting sqref="X6:X10 X12:X23">
    <cfRule type="iconSet" priority="28">
      <iconSet reverse="1">
        <cfvo type="percent" val="0"/>
        <cfvo type="num" val="0"/>
        <cfvo type="num" val="0" gte="0"/>
      </iconSet>
    </cfRule>
  </conditionalFormatting>
  <conditionalFormatting sqref="X11">
    <cfRule type="iconSet" priority="8">
      <iconSet reverse="1">
        <cfvo type="percent" val="0"/>
        <cfvo type="num" val="0"/>
        <cfvo type="num" val="0" gte="0"/>
      </iconSet>
    </cfRule>
  </conditionalFormatting>
  <conditionalFormatting sqref="X24:X25">
    <cfRule type="iconSet" priority="24">
      <iconSet reverse="1">
        <cfvo type="percent" val="0"/>
        <cfvo type="num" val="0"/>
        <cfvo type="num" val="0" gte="0"/>
      </iconSet>
    </cfRule>
  </conditionalFormatting>
  <conditionalFormatting sqref="Z6">
    <cfRule type="iconSet" priority="19">
      <iconSet>
        <cfvo type="percent" val="0"/>
        <cfvo type="num" val="0"/>
        <cfvo type="num" val="0" gte="0"/>
      </iconSet>
    </cfRule>
  </conditionalFormatting>
  <conditionalFormatting sqref="Z7">
    <cfRule type="iconSet" priority="18">
      <iconSet>
        <cfvo type="percent" val="0"/>
        <cfvo type="num" val="0"/>
        <cfvo type="num" val="0" gte="0"/>
      </iconSet>
    </cfRule>
  </conditionalFormatting>
  <conditionalFormatting sqref="Z8 Z12 Z14:Z17 Z21 Z23:Z25">
    <cfRule type="iconSet" priority="27">
      <iconSet>
        <cfvo type="percent" val="0"/>
        <cfvo type="num" val="0"/>
        <cfvo type="num" val="0" gte="0"/>
      </iconSet>
    </cfRule>
  </conditionalFormatting>
  <conditionalFormatting sqref="Z9">
    <cfRule type="iconSet" priority="21">
      <iconSet>
        <cfvo type="percent" val="0"/>
        <cfvo type="num" val="0"/>
        <cfvo type="num" val="0" gte="0"/>
      </iconSet>
    </cfRule>
  </conditionalFormatting>
  <conditionalFormatting sqref="Z10">
    <cfRule type="iconSet" priority="17">
      <iconSet>
        <cfvo type="percent" val="0"/>
        <cfvo type="num" val="0"/>
        <cfvo type="num" val="0" gte="0"/>
      </iconSet>
    </cfRule>
  </conditionalFormatting>
  <conditionalFormatting sqref="Z11">
    <cfRule type="iconSet" priority="16">
      <iconSet>
        <cfvo type="percent" val="0"/>
        <cfvo type="num" val="0"/>
        <cfvo type="num" val="0" gte="0"/>
      </iconSet>
    </cfRule>
  </conditionalFormatting>
  <conditionalFormatting sqref="Z13">
    <cfRule type="iconSet" priority="15">
      <iconSet>
        <cfvo type="percent" val="0"/>
        <cfvo type="num" val="0"/>
        <cfvo type="num" val="0" gte="0"/>
      </iconSet>
    </cfRule>
  </conditionalFormatting>
  <conditionalFormatting sqref="Z18">
    <cfRule type="iconSet" priority="14">
      <iconSet>
        <cfvo type="percent" val="0"/>
        <cfvo type="num" val="0"/>
        <cfvo type="num" val="0" gte="0"/>
      </iconSet>
    </cfRule>
  </conditionalFormatting>
  <conditionalFormatting sqref="Z19">
    <cfRule type="iconSet" priority="13">
      <iconSet>
        <cfvo type="percent" val="0"/>
        <cfvo type="num" val="0"/>
        <cfvo type="num" val="0" gte="0"/>
      </iconSet>
    </cfRule>
  </conditionalFormatting>
  <conditionalFormatting sqref="Z20">
    <cfRule type="iconSet" priority="12">
      <iconSet>
        <cfvo type="percent" val="0"/>
        <cfvo type="num" val="0"/>
        <cfvo type="num" val="0" gte="0"/>
      </iconSet>
    </cfRule>
  </conditionalFormatting>
  <conditionalFormatting sqref="Z22">
    <cfRule type="iconSet" priority="11">
      <iconSet>
        <cfvo type="percent" val="0"/>
        <cfvo type="num" val="0"/>
        <cfvo type="num" val="0" gte="0"/>
      </iconSet>
    </cfRule>
  </conditionalFormatting>
  <conditionalFormatting sqref="AC6:AN24 AC25 AE25:AN25">
    <cfRule type="expression" dxfId="11" priority="45">
      <formula>AP6=3</formula>
    </cfRule>
    <cfRule type="expression" dxfId="10" priority="46">
      <formula>AP6=5</formula>
    </cfRule>
    <cfRule type="expression" dxfId="9" priority="47">
      <formula>AP6=4</formula>
    </cfRule>
    <cfRule type="expression" dxfId="8" priority="48">
      <formula>AP6=2</formula>
    </cfRule>
    <cfRule type="expression" dxfId="7" priority="49">
      <formula>AP6=1</formula>
    </cfRule>
    <cfRule type="expression" dxfId="6" priority="50">
      <formula>AP6=0</formula>
    </cfRule>
  </conditionalFormatting>
  <conditionalFormatting sqref="FG6:FG25 FG27">
    <cfRule type="colorScale" priority="20">
      <colorScale>
        <cfvo type="min"/>
        <cfvo type="percentile" val="50"/>
        <cfvo type="max"/>
        <color rgb="FFF8696B"/>
        <color rgb="FFFFEB84"/>
        <color rgb="FF63BE7B"/>
      </colorScale>
    </cfRule>
  </conditionalFormatting>
  <dataValidations count="1">
    <dataValidation type="list" allowBlank="1" showInputMessage="1" showErrorMessage="1" sqref="A1:B1" xr:uid="{00000000-0002-0000-0E00-000000000000}">
      <formula1>lis_dat</formula1>
    </dataValidation>
  </dataValidations>
  <pageMargins left="0.25" right="0.25" top="0.75" bottom="0.75" header="0.3" footer="0.3"/>
  <pageSetup paperSize="9" scale="55" orientation="portrait" r:id="rId1"/>
  <ignoredErrors>
    <ignoredError sqref="Y6:Y7" formula="1"/>
  </ignoredError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249977111117893"/>
    <pageSetUpPr fitToPage="1"/>
  </sheetPr>
  <dimension ref="A1:FG46"/>
  <sheetViews>
    <sheetView showGridLines="0" zoomScale="75" zoomScaleNormal="75" workbookViewId="0">
      <selection activeCell="P20" sqref="P20"/>
    </sheetView>
  </sheetViews>
  <sheetFormatPr baseColWidth="10" defaultRowHeight="14.4"/>
  <cols>
    <col min="1" max="1" width="4" customWidth="1"/>
    <col min="2" max="2" width="15.88671875" bestFit="1" customWidth="1"/>
    <col min="3" max="3" width="5.109375" style="154" customWidth="1"/>
    <col min="4" max="4" width="3.88671875" style="23" customWidth="1"/>
    <col min="5" max="5" width="7.5546875" style="12" customWidth="1"/>
    <col min="6" max="6" width="3.44140625" style="37" customWidth="1"/>
    <col min="7" max="7" width="6.109375" customWidth="1"/>
    <col min="8" max="8" width="4.5546875" style="37" customWidth="1"/>
    <col min="9" max="9" width="7.6640625" style="12" customWidth="1"/>
    <col min="10" max="10" width="4" style="37" customWidth="1"/>
    <col min="11" max="11" width="6" customWidth="1"/>
    <col min="12" max="12" width="4.88671875" style="37" customWidth="1"/>
    <col min="13" max="13" width="1.88671875" customWidth="1"/>
    <col min="14" max="14" width="3.88671875" style="23" customWidth="1"/>
    <col min="15" max="15" width="5.88671875" style="23" customWidth="1"/>
    <col min="16" max="16" width="7" style="57" customWidth="1"/>
    <col min="17" max="17" width="7" customWidth="1"/>
    <col min="18" max="18" width="7.33203125" customWidth="1"/>
    <col min="19" max="19" width="1.5546875" customWidth="1"/>
    <col min="20" max="20" width="3.88671875" style="23" customWidth="1"/>
    <col min="21" max="21" width="23" style="23" customWidth="1"/>
    <col min="22" max="22" width="4" customWidth="1"/>
    <col min="23" max="23" width="6.5546875" customWidth="1"/>
    <col min="24" max="24" width="3.88671875" bestFit="1" customWidth="1"/>
    <col min="25" max="25" width="7.33203125" customWidth="1"/>
    <col min="26" max="26" width="4.5546875" customWidth="1"/>
    <col min="27" max="27" width="1.44140625" customWidth="1"/>
    <col min="28" max="39" width="1.88671875" style="57" customWidth="1"/>
    <col min="40" max="40" width="2.44140625" style="28" customWidth="1"/>
    <col min="41" max="41" width="5.44140625" style="28" hidden="1" customWidth="1"/>
    <col min="42" max="42" width="6" style="28" hidden="1" customWidth="1"/>
    <col min="43" max="43" width="5.33203125" style="28" hidden="1" customWidth="1"/>
    <col min="44" max="44" width="4.88671875" style="28" hidden="1" customWidth="1"/>
    <col min="45" max="46" width="5.5546875" hidden="1" customWidth="1"/>
    <col min="47" max="47" width="5.33203125" hidden="1" customWidth="1"/>
    <col min="48" max="48" width="5.5546875" hidden="1" customWidth="1"/>
    <col min="49" max="50" width="4.88671875" hidden="1" customWidth="1"/>
    <col min="51" max="51" width="5.6640625" hidden="1" customWidth="1"/>
    <col min="52" max="52" width="5.109375" hidden="1" customWidth="1"/>
    <col min="53" max="53" width="2.44140625" customWidth="1"/>
    <col min="54" max="54" width="27.6640625" customWidth="1"/>
    <col min="55" max="55" width="15.88671875" style="141" customWidth="1"/>
    <col min="56" max="56" width="12" customWidth="1"/>
    <col min="57" max="57" width="0.88671875" customWidth="1"/>
    <col min="58" max="61" width="7.88671875" customWidth="1"/>
    <col min="62" max="62" width="2.44140625" customWidth="1"/>
    <col min="63" max="63" width="0.44140625" customWidth="1"/>
    <col min="64" max="66" width="7.88671875" customWidth="1"/>
    <col min="67" max="67" width="2.44140625" customWidth="1"/>
    <col min="68" max="68" width="0.44140625" customWidth="1"/>
    <col min="69" max="69" width="12.88671875" customWidth="1"/>
    <col min="70" max="70" width="12.44140625" customWidth="1"/>
    <col min="71" max="71" width="2.44140625" customWidth="1"/>
    <col min="72" max="72" width="0.5546875" customWidth="1"/>
    <col min="73" max="73" width="13.33203125" customWidth="1"/>
    <col min="74" max="74" width="12.5546875" customWidth="1"/>
    <col min="75" max="75" width="2.44140625" customWidth="1"/>
    <col min="76" max="76" width="8.109375" customWidth="1"/>
    <col min="77" max="78" width="7.5546875" customWidth="1"/>
    <col min="79" max="79" width="2.88671875" customWidth="1"/>
    <col min="80" max="80" width="0.88671875" customWidth="1"/>
    <col min="81" max="82" width="7.44140625" customWidth="1"/>
    <col min="83" max="83" width="2.88671875" customWidth="1"/>
    <col min="84" max="84" width="0.5546875" customWidth="1"/>
    <col min="85" max="85" width="11" customWidth="1"/>
    <col min="86" max="86" width="10.88671875" customWidth="1"/>
    <col min="87" max="87" width="6.88671875" bestFit="1" customWidth="1"/>
    <col min="88" max="88" width="10.88671875" bestFit="1" customWidth="1"/>
    <col min="89" max="89" width="6.88671875" bestFit="1" customWidth="1"/>
    <col min="90" max="90" width="6.109375" bestFit="1" customWidth="1"/>
    <col min="91" max="91" width="6.5546875" bestFit="1" customWidth="1"/>
    <col min="92" max="92" width="5.88671875" bestFit="1" customWidth="1"/>
    <col min="93" max="93" width="6.5546875" bestFit="1" customWidth="1"/>
    <col min="94" max="94" width="6.109375" bestFit="1" customWidth="1"/>
    <col min="95" max="96" width="6.44140625" bestFit="1" customWidth="1"/>
    <col min="97" max="97" width="5.5546875" bestFit="1" customWidth="1"/>
    <col min="98" max="98" width="6.109375" bestFit="1" customWidth="1"/>
    <col min="99" max="99" width="7" bestFit="1" customWidth="1"/>
    <col min="100" max="100" width="6.33203125" bestFit="1" customWidth="1"/>
    <col min="101" max="101" width="6.88671875" bestFit="1" customWidth="1"/>
    <col min="102" max="102" width="6.109375" bestFit="1" customWidth="1"/>
    <col min="103" max="103" width="6.5546875" bestFit="1" customWidth="1"/>
    <col min="104" max="104" width="5.88671875" bestFit="1" customWidth="1"/>
    <col min="105" max="105" width="6.5546875" bestFit="1" customWidth="1"/>
    <col min="106" max="106" width="6.109375" bestFit="1" customWidth="1"/>
    <col min="107" max="108" width="6.44140625" bestFit="1" customWidth="1"/>
    <col min="109" max="109" width="5.5546875" bestFit="1" customWidth="1"/>
    <col min="110" max="110" width="6.109375" bestFit="1" customWidth="1"/>
    <col min="111" max="111" width="7" bestFit="1" customWidth="1"/>
    <col min="112" max="112" width="5" customWidth="1"/>
    <col min="113" max="113" width="11" bestFit="1" customWidth="1"/>
    <col min="114" max="114" width="6.88671875" bestFit="1" customWidth="1"/>
    <col min="115" max="115" width="6.109375" bestFit="1" customWidth="1"/>
    <col min="116" max="116" width="6.5546875" bestFit="1" customWidth="1"/>
    <col min="117" max="117" width="5.88671875" bestFit="1" customWidth="1"/>
    <col min="118" max="118" width="6.5546875" bestFit="1" customWidth="1"/>
    <col min="119" max="119" width="6.109375" bestFit="1" customWidth="1"/>
    <col min="120" max="121" width="6.44140625" bestFit="1" customWidth="1"/>
    <col min="122" max="122" width="5.5546875" bestFit="1" customWidth="1"/>
    <col min="123" max="123" width="6.109375" bestFit="1" customWidth="1"/>
    <col min="124" max="124" width="7" bestFit="1" customWidth="1"/>
    <col min="125" max="125" width="6.33203125" bestFit="1" customWidth="1"/>
    <col min="126" max="126" width="6.88671875" bestFit="1" customWidth="1"/>
    <col min="127" max="127" width="6.109375" bestFit="1" customWidth="1"/>
    <col min="128" max="128" width="6.5546875" bestFit="1" customWidth="1"/>
    <col min="129" max="129" width="5.88671875" bestFit="1" customWidth="1"/>
    <col min="130" max="130" width="6.5546875" bestFit="1" customWidth="1"/>
    <col min="131" max="131" width="6.109375" bestFit="1" customWidth="1"/>
    <col min="132" max="133" width="6.44140625" bestFit="1" customWidth="1"/>
    <col min="134" max="134" width="5.5546875" bestFit="1" customWidth="1"/>
    <col min="135" max="135" width="6.109375" bestFit="1" customWidth="1"/>
    <col min="136" max="136" width="7" bestFit="1" customWidth="1"/>
    <col min="137" max="137" width="5" customWidth="1"/>
    <col min="138" max="139" width="13.5546875" style="14" bestFit="1" customWidth="1"/>
    <col min="140" max="161" width="9.88671875" bestFit="1" customWidth="1"/>
    <col min="162" max="163" width="5" customWidth="1"/>
  </cols>
  <sheetData>
    <row r="1" spans="1:163" ht="13.8">
      <c r="B1" s="49">
        <v>45231</v>
      </c>
      <c r="D1" s="46" t="s">
        <v>220</v>
      </c>
      <c r="E1" s="46"/>
      <c r="F1" s="46"/>
      <c r="G1" s="46"/>
      <c r="H1" s="46"/>
      <c r="I1" s="46"/>
      <c r="J1" s="46"/>
      <c r="K1" s="46"/>
      <c r="L1" s="46"/>
      <c r="M1" s="19"/>
      <c r="N1" s="48" t="s">
        <v>248</v>
      </c>
      <c r="O1" s="21"/>
      <c r="P1" s="101"/>
      <c r="Q1" s="21"/>
      <c r="R1" s="21"/>
      <c r="S1" s="19"/>
      <c r="T1" s="47" t="s">
        <v>375</v>
      </c>
      <c r="U1" s="22"/>
      <c r="V1" s="22"/>
      <c r="W1" s="22"/>
      <c r="X1" s="22"/>
      <c r="Y1" s="22"/>
      <c r="Z1" s="22"/>
      <c r="AB1" s="50" t="s">
        <v>288</v>
      </c>
      <c r="AC1" s="50"/>
      <c r="AD1" s="50"/>
      <c r="AE1" s="50"/>
      <c r="AF1" s="50"/>
      <c r="AG1" s="50"/>
      <c r="AH1" s="50"/>
      <c r="AI1" s="50"/>
      <c r="AJ1" s="50"/>
      <c r="AK1" s="50"/>
      <c r="AL1" s="50"/>
      <c r="AM1" s="50"/>
      <c r="BB1" s="22" t="s">
        <v>167</v>
      </c>
      <c r="BF1" t="s">
        <v>101</v>
      </c>
      <c r="BG1" s="3">
        <f>+B1</f>
        <v>45231</v>
      </c>
      <c r="BH1" s="3">
        <f>+VLOOKUP(BH2,datos!$D:$E,2,FALSE)</f>
        <v>45200</v>
      </c>
      <c r="BI1" s="3">
        <f>+VLOOKUP(BI2,datos!$D:$E,2,FALSE)</f>
        <v>44866</v>
      </c>
      <c r="BL1" s="3">
        <f>+B1</f>
        <v>45231</v>
      </c>
      <c r="BM1" s="3">
        <f>+VLOOKUP(BM2,datos!$D:$E,2,FALSE)</f>
        <v>45200</v>
      </c>
      <c r="BN1" s="3">
        <f>+VLOOKUP(BN2,datos!$D:$E,2,FALSE)</f>
        <v>44866</v>
      </c>
      <c r="BQ1" s="3">
        <f>+B1</f>
        <v>45231</v>
      </c>
      <c r="BR1" s="3">
        <f>+VLOOKUP(BR2,datos!$D:$E,2,FALSE)</f>
        <v>44866</v>
      </c>
      <c r="BU1" s="3">
        <f>+B1</f>
        <v>45231</v>
      </c>
      <c r="BV1" s="3">
        <f>+VLOOKUP(BV2,datos!$D:$E,2,FALSE)</f>
        <v>44866</v>
      </c>
      <c r="BY1" t="s">
        <v>279</v>
      </c>
      <c r="BZ1" t="s">
        <v>280</v>
      </c>
      <c r="CC1" t="s">
        <v>279</v>
      </c>
      <c r="CD1" t="s">
        <v>280</v>
      </c>
      <c r="CG1" t="s">
        <v>282</v>
      </c>
      <c r="CH1" t="s">
        <v>283</v>
      </c>
      <c r="CI1" s="3">
        <f>+B1</f>
        <v>45231</v>
      </c>
      <c r="CJ1" s="3">
        <f>+VLOOKUP(CJ2,datos!$D:$E,2,FALSE)</f>
        <v>45231</v>
      </c>
      <c r="CK1" s="3">
        <f>+VLOOKUP(CK2,datos!$D:$E,2,FALSE)</f>
        <v>45200</v>
      </c>
      <c r="CL1" s="3">
        <f>+VLOOKUP(CL2,datos!$D:$E,2,FALSE)</f>
        <v>45170</v>
      </c>
      <c r="CM1" s="3">
        <f>+VLOOKUP(CM2,datos!$D:$E,2,FALSE)</f>
        <v>45139</v>
      </c>
      <c r="CN1" s="3">
        <f>+VLOOKUP(CN2,datos!$D:$E,2,FALSE)</f>
        <v>45108</v>
      </c>
      <c r="CO1" s="3">
        <f>+VLOOKUP(CO2,datos!$D:$E,2,FALSE)</f>
        <v>45078</v>
      </c>
      <c r="CP1" s="3">
        <f>+VLOOKUP(CP2,datos!$D:$E,2,FALSE)</f>
        <v>45047</v>
      </c>
      <c r="CQ1" s="3">
        <f>+VLOOKUP(CQ2,datos!$D:$E,2,FALSE)</f>
        <v>45017</v>
      </c>
      <c r="CR1" s="3">
        <f>+VLOOKUP(CR2,datos!$D:$E,2,FALSE)</f>
        <v>44986</v>
      </c>
      <c r="CS1" s="3">
        <f>+VLOOKUP(CS2,datos!$D:$E,2,FALSE)</f>
        <v>44958</v>
      </c>
      <c r="CT1" s="3">
        <f>+VLOOKUP(CT2,datos!$D:$E,2,FALSE)</f>
        <v>44927</v>
      </c>
      <c r="CU1" s="3">
        <f>+VLOOKUP(CU2,datos!$D:$E,2,FALSE)</f>
        <v>44896</v>
      </c>
      <c r="CV1" s="3">
        <f>+VLOOKUP(CV2,datos!$D:$E,2,FALSE)</f>
        <v>44866</v>
      </c>
      <c r="CW1" s="3">
        <f>+VLOOKUP(CW2,datos!$D:$E,2,FALSE)</f>
        <v>44835</v>
      </c>
      <c r="CX1" s="3">
        <f>+VLOOKUP(CX2,datos!$D:$E,2,FALSE)</f>
        <v>44805</v>
      </c>
      <c r="CY1" s="3">
        <f>+VLOOKUP(CY2,datos!$D:$E,2,FALSE)</f>
        <v>44774</v>
      </c>
      <c r="CZ1" s="3">
        <f>+VLOOKUP(CZ2,datos!$D:$E,2,FALSE)</f>
        <v>44743</v>
      </c>
      <c r="DA1" s="3">
        <f>+VLOOKUP(DA2,datos!$D:$E,2,FALSE)</f>
        <v>44713</v>
      </c>
      <c r="DB1" s="3">
        <f>+VLOOKUP(DB2,datos!$D:$E,2,FALSE)</f>
        <v>44682</v>
      </c>
      <c r="DC1" s="3">
        <f>+VLOOKUP(DC2,datos!$D:$E,2,FALSE)</f>
        <v>44652</v>
      </c>
      <c r="DD1" s="3">
        <f>+VLOOKUP(DD2,datos!$D:$E,2,FALSE)</f>
        <v>44621</v>
      </c>
      <c r="DE1" s="3">
        <f>+VLOOKUP(DE2,datos!$D:$E,2,FALSE)</f>
        <v>44593</v>
      </c>
      <c r="DF1" s="3">
        <f>+VLOOKUP(DF2,datos!$D:$E,2,FALSE)</f>
        <v>44562</v>
      </c>
      <c r="DG1" s="3">
        <f>+VLOOKUP(DG2,datos!$D:$E,2,FALSE)</f>
        <v>44531</v>
      </c>
      <c r="DI1" s="3">
        <f>+CJ1</f>
        <v>45231</v>
      </c>
      <c r="DJ1" s="3">
        <f>+VLOOKUP(DJ2,datos!$D:$E,2,FALSE)</f>
        <v>45200</v>
      </c>
      <c r="DK1" s="3">
        <f>+VLOOKUP(DK2,datos!$D:$E,2,FALSE)</f>
        <v>45170</v>
      </c>
      <c r="DL1" s="3">
        <f>+VLOOKUP(DL2,datos!$D:$E,2,FALSE)</f>
        <v>45139</v>
      </c>
      <c r="DM1" s="3">
        <f>+VLOOKUP(DM2,datos!$D:$E,2,FALSE)</f>
        <v>45108</v>
      </c>
      <c r="DN1" s="3">
        <f>+VLOOKUP(DN2,datos!$D:$E,2,FALSE)</f>
        <v>45078</v>
      </c>
      <c r="DO1" s="3">
        <f>+VLOOKUP(DO2,datos!$D:$E,2,FALSE)</f>
        <v>45047</v>
      </c>
      <c r="DP1" s="3">
        <f>+VLOOKUP(DP2,datos!$D:$E,2,FALSE)</f>
        <v>45017</v>
      </c>
      <c r="DQ1" s="3">
        <f>+VLOOKUP(DQ2,datos!$D:$E,2,FALSE)</f>
        <v>44986</v>
      </c>
      <c r="DR1" s="3">
        <f>+VLOOKUP(DR2,datos!$D:$E,2,FALSE)</f>
        <v>44958</v>
      </c>
      <c r="DS1" s="3">
        <f>+VLOOKUP(DS2,datos!$D:$E,2,FALSE)</f>
        <v>44927</v>
      </c>
      <c r="DT1" s="3">
        <f>+VLOOKUP(DT2,datos!$D:$E,2,FALSE)</f>
        <v>44896</v>
      </c>
      <c r="DU1" s="3">
        <f>+VLOOKUP(DU2,datos!$D:$E,2,FALSE)</f>
        <v>44866</v>
      </c>
      <c r="DV1" s="3">
        <f>+VLOOKUP(DV2,datos!$D:$E,2,FALSE)</f>
        <v>44835</v>
      </c>
      <c r="DW1" s="3">
        <f>+VLOOKUP(DW2,datos!$D:$E,2,FALSE)</f>
        <v>44805</v>
      </c>
      <c r="DX1" s="3">
        <f>+VLOOKUP(DX2,datos!$D:$E,2,FALSE)</f>
        <v>44774</v>
      </c>
      <c r="DY1" s="3">
        <f>+VLOOKUP(DY2,datos!$D:$E,2,FALSE)</f>
        <v>44743</v>
      </c>
      <c r="DZ1" s="3">
        <f>+VLOOKUP(DZ2,datos!$D:$E,2,FALSE)</f>
        <v>44713</v>
      </c>
      <c r="EA1" s="3">
        <f>+VLOOKUP(EA2,datos!$D:$E,2,FALSE)</f>
        <v>44682</v>
      </c>
      <c r="EB1" s="3">
        <f>+VLOOKUP(EB2,datos!$D:$E,2,FALSE)</f>
        <v>44652</v>
      </c>
      <c r="EC1" s="3">
        <f>+VLOOKUP(EC2,datos!$D:$E,2,FALSE)</f>
        <v>44621</v>
      </c>
      <c r="ED1" s="3">
        <f>+VLOOKUP(ED2,datos!$D:$E,2,FALSE)</f>
        <v>44593</v>
      </c>
      <c r="EE1" s="3">
        <f>+VLOOKUP(EE2,datos!$D:$E,2,FALSE)</f>
        <v>44562</v>
      </c>
      <c r="EF1" s="3">
        <f>+VLOOKUP(EF2,datos!$D:$E,2,FALSE)</f>
        <v>44531</v>
      </c>
      <c r="EH1" s="14">
        <f>+CJ1</f>
        <v>45231</v>
      </c>
      <c r="EI1" s="14">
        <f t="shared" ref="EI1:FE1" si="0">+CK1</f>
        <v>45200</v>
      </c>
      <c r="EJ1" s="3">
        <f t="shared" si="0"/>
        <v>45170</v>
      </c>
      <c r="EK1" s="3">
        <f t="shared" si="0"/>
        <v>45139</v>
      </c>
      <c r="EL1" s="3">
        <f t="shared" si="0"/>
        <v>45108</v>
      </c>
      <c r="EM1" s="3">
        <f t="shared" si="0"/>
        <v>45078</v>
      </c>
      <c r="EN1" s="3">
        <f t="shared" si="0"/>
        <v>45047</v>
      </c>
      <c r="EO1" s="3">
        <f t="shared" si="0"/>
        <v>45017</v>
      </c>
      <c r="EP1" s="3">
        <f t="shared" si="0"/>
        <v>44986</v>
      </c>
      <c r="EQ1" s="3">
        <f t="shared" si="0"/>
        <v>44958</v>
      </c>
      <c r="ER1" s="3">
        <f t="shared" si="0"/>
        <v>44927</v>
      </c>
      <c r="ES1" s="3">
        <f t="shared" si="0"/>
        <v>44896</v>
      </c>
      <c r="ET1" s="3">
        <f t="shared" si="0"/>
        <v>44866</v>
      </c>
      <c r="EU1" s="3">
        <f t="shared" si="0"/>
        <v>44835</v>
      </c>
      <c r="EV1" s="3">
        <f t="shared" si="0"/>
        <v>44805</v>
      </c>
      <c r="EW1" s="3">
        <f t="shared" si="0"/>
        <v>44774</v>
      </c>
      <c r="EX1" s="3">
        <f t="shared" si="0"/>
        <v>44743</v>
      </c>
      <c r="EY1" s="3">
        <f t="shared" si="0"/>
        <v>44713</v>
      </c>
      <c r="EZ1" s="3">
        <f t="shared" si="0"/>
        <v>44682</v>
      </c>
      <c r="FA1" s="3">
        <f t="shared" si="0"/>
        <v>44652</v>
      </c>
      <c r="FB1" s="3">
        <f t="shared" si="0"/>
        <v>44621</v>
      </c>
      <c r="FC1" s="3">
        <f t="shared" si="0"/>
        <v>44593</v>
      </c>
      <c r="FD1" s="3">
        <f t="shared" si="0"/>
        <v>44562</v>
      </c>
      <c r="FE1" s="3">
        <f t="shared" si="0"/>
        <v>44531</v>
      </c>
    </row>
    <row r="2" spans="1:163" ht="13.5" customHeight="1">
      <c r="E2" s="51" t="s">
        <v>278</v>
      </c>
      <c r="F2" s="52"/>
      <c r="G2" s="9"/>
      <c r="H2" s="52"/>
      <c r="I2" s="51" t="s">
        <v>165</v>
      </c>
      <c r="J2" s="52"/>
      <c r="K2" s="9"/>
      <c r="L2" s="52"/>
      <c r="M2" s="9"/>
      <c r="N2" s="53"/>
      <c r="O2" s="9" t="s">
        <v>277</v>
      </c>
      <c r="P2" s="102"/>
      <c r="Q2" s="9" t="s">
        <v>277</v>
      </c>
      <c r="R2" s="9"/>
      <c r="S2" s="9"/>
      <c r="T2" s="53"/>
      <c r="U2" s="9" t="s">
        <v>336</v>
      </c>
      <c r="V2" s="9"/>
      <c r="W2" s="9"/>
      <c r="X2" s="9"/>
      <c r="Y2" s="51" t="s">
        <v>165</v>
      </c>
      <c r="Z2" s="9"/>
      <c r="AB2" s="59"/>
      <c r="AC2" s="59"/>
      <c r="AD2" s="59"/>
      <c r="AE2" s="59"/>
      <c r="AF2" s="59"/>
      <c r="AG2" s="59"/>
      <c r="AH2" s="59"/>
      <c r="AI2" s="59"/>
      <c r="AJ2" s="59"/>
      <c r="AK2" s="59"/>
      <c r="AL2" s="59"/>
      <c r="AM2" s="59"/>
      <c r="AN2" s="80"/>
      <c r="AO2" s="174">
        <f>VLOOKUP(VLOOKUP(+$B$1,ran_ma,2,FALSE)-11,ran_idma,2,FALSE)</f>
        <v>44896</v>
      </c>
      <c r="AP2" s="174">
        <f>VLOOKUP(VLOOKUP(+$B$1,ran_ma,2,FALSE)-10,ran_idma,2,FALSE)</f>
        <v>44927</v>
      </c>
      <c r="AQ2" s="174">
        <f>VLOOKUP(VLOOKUP(+$B$1,ran_ma,2,FALSE)-9,ran_idma,2,FALSE)</f>
        <v>44958</v>
      </c>
      <c r="AR2" s="174">
        <f>VLOOKUP(VLOOKUP(+$B$1,ran_ma,2,FALSE)-8,ran_idma,2,FALSE)</f>
        <v>44986</v>
      </c>
      <c r="AS2" s="59">
        <f>VLOOKUP(VLOOKUP(+$B$1,ran_ma,2,FALSE)-7,ran_idma,2,FALSE)</f>
        <v>45017</v>
      </c>
      <c r="AT2" s="59">
        <f>VLOOKUP(VLOOKUP(+$B$1,ran_ma,2,FALSE)-6,ran_idma,2,FALSE)</f>
        <v>45047</v>
      </c>
      <c r="AU2" s="59">
        <f>VLOOKUP(VLOOKUP(+$B$1,ran_ma,2,FALSE)-5,ran_idma,2,FALSE)</f>
        <v>45078</v>
      </c>
      <c r="AV2" s="59">
        <f>VLOOKUP(VLOOKUP(+$B$1,ran_ma,2,FALSE)-4,ran_idma,2,FALSE)</f>
        <v>45108</v>
      </c>
      <c r="AW2" s="59">
        <f>VLOOKUP(VLOOKUP(+$B$1,ran_ma,2,FALSE)-3,ran_idma,2,FALSE)</f>
        <v>45139</v>
      </c>
      <c r="AX2" s="59">
        <f>VLOOKUP(VLOOKUP(+$B$1,ran_ma,2,FALSE)-2,ran_idma,2,FALSE)</f>
        <v>45170</v>
      </c>
      <c r="AY2" s="59">
        <f>VLOOKUP(VLOOKUP(+$B$1,ran_ma,2,FALSE)-1,ran_idma,2,FALSE)</f>
        <v>45200</v>
      </c>
      <c r="AZ2" s="59">
        <f>+$B$1</f>
        <v>45231</v>
      </c>
      <c r="BA2" s="5"/>
      <c r="BB2" s="9"/>
      <c r="BC2" s="170"/>
      <c r="BE2" s="9" t="s">
        <v>272</v>
      </c>
      <c r="BG2">
        <f>+VLOOKUP(BG1,ran_dat,datos!$D$1,FALSE)</f>
        <v>104</v>
      </c>
      <c r="BH2">
        <f>+BG2-1</f>
        <v>103</v>
      </c>
      <c r="BI2">
        <f>+BG2-12</f>
        <v>92</v>
      </c>
      <c r="BK2" s="9"/>
      <c r="BL2">
        <f>+VLOOKUP(BL1,ran_dat,datos!$D$1,FALSE)</f>
        <v>104</v>
      </c>
      <c r="BM2">
        <f>+BL2-1</f>
        <v>103</v>
      </c>
      <c r="BN2">
        <f>+BL2-12</f>
        <v>92</v>
      </c>
      <c r="BP2" s="9"/>
      <c r="BQ2">
        <f>+VLOOKUP(BQ1,ran_dat,datos!$D$1,FALSE)</f>
        <v>104</v>
      </c>
      <c r="BR2">
        <f>+BQ2-12</f>
        <v>92</v>
      </c>
      <c r="BT2" s="9"/>
      <c r="BU2">
        <f>+VLOOKUP(BU1,ran_dat,datos!$D$1,FALSE)</f>
        <v>104</v>
      </c>
      <c r="BV2">
        <f>+BU2-12</f>
        <v>92</v>
      </c>
      <c r="BX2" s="9"/>
      <c r="CB2" s="9"/>
      <c r="CI2">
        <f>+VLOOKUP(CI1,ran_dat,datos!$D$1,FALSE)</f>
        <v>104</v>
      </c>
      <c r="CJ2">
        <f>+CI2</f>
        <v>104</v>
      </c>
      <c r="CK2">
        <f t="shared" ref="CK2:DG2" si="1">+CJ2-1</f>
        <v>103</v>
      </c>
      <c r="CL2">
        <f t="shared" si="1"/>
        <v>102</v>
      </c>
      <c r="CM2">
        <f t="shared" si="1"/>
        <v>101</v>
      </c>
      <c r="CN2">
        <f t="shared" si="1"/>
        <v>100</v>
      </c>
      <c r="CO2">
        <f t="shared" si="1"/>
        <v>99</v>
      </c>
      <c r="CP2">
        <f t="shared" si="1"/>
        <v>98</v>
      </c>
      <c r="CQ2">
        <f t="shared" si="1"/>
        <v>97</v>
      </c>
      <c r="CR2">
        <f t="shared" si="1"/>
        <v>96</v>
      </c>
      <c r="CS2">
        <f t="shared" si="1"/>
        <v>95</v>
      </c>
      <c r="CT2">
        <f t="shared" si="1"/>
        <v>94</v>
      </c>
      <c r="CU2">
        <f t="shared" si="1"/>
        <v>93</v>
      </c>
      <c r="CV2">
        <f t="shared" si="1"/>
        <v>92</v>
      </c>
      <c r="CW2">
        <f t="shared" si="1"/>
        <v>91</v>
      </c>
      <c r="CX2">
        <f t="shared" si="1"/>
        <v>90</v>
      </c>
      <c r="CY2">
        <f t="shared" si="1"/>
        <v>89</v>
      </c>
      <c r="CZ2">
        <f t="shared" si="1"/>
        <v>88</v>
      </c>
      <c r="DA2">
        <f t="shared" si="1"/>
        <v>87</v>
      </c>
      <c r="DB2">
        <f t="shared" si="1"/>
        <v>86</v>
      </c>
      <c r="DC2">
        <f t="shared" si="1"/>
        <v>85</v>
      </c>
      <c r="DD2">
        <f t="shared" si="1"/>
        <v>84</v>
      </c>
      <c r="DE2">
        <f t="shared" si="1"/>
        <v>83</v>
      </c>
      <c r="DF2">
        <f t="shared" si="1"/>
        <v>82</v>
      </c>
      <c r="DG2">
        <f t="shared" si="1"/>
        <v>81</v>
      </c>
      <c r="DI2">
        <f>+VLOOKUP(DI1,ran_dat,datos!$D$1,FALSE)</f>
        <v>104</v>
      </c>
      <c r="DJ2">
        <f t="shared" ref="DJ2:EF2" si="2">+DI2-1</f>
        <v>103</v>
      </c>
      <c r="DK2">
        <f t="shared" si="2"/>
        <v>102</v>
      </c>
      <c r="DL2">
        <f t="shared" si="2"/>
        <v>101</v>
      </c>
      <c r="DM2">
        <f t="shared" si="2"/>
        <v>100</v>
      </c>
      <c r="DN2">
        <f t="shared" si="2"/>
        <v>99</v>
      </c>
      <c r="DO2">
        <f t="shared" si="2"/>
        <v>98</v>
      </c>
      <c r="DP2">
        <f t="shared" si="2"/>
        <v>97</v>
      </c>
      <c r="DQ2">
        <f t="shared" si="2"/>
        <v>96</v>
      </c>
      <c r="DR2">
        <f t="shared" si="2"/>
        <v>95</v>
      </c>
      <c r="DS2">
        <f t="shared" si="2"/>
        <v>94</v>
      </c>
      <c r="DT2">
        <f t="shared" si="2"/>
        <v>93</v>
      </c>
      <c r="DU2">
        <f t="shared" si="2"/>
        <v>92</v>
      </c>
      <c r="DV2">
        <f t="shared" si="2"/>
        <v>91</v>
      </c>
      <c r="DW2">
        <f t="shared" si="2"/>
        <v>90</v>
      </c>
      <c r="DX2">
        <f t="shared" si="2"/>
        <v>89</v>
      </c>
      <c r="DY2">
        <f t="shared" si="2"/>
        <v>88</v>
      </c>
      <c r="DZ2">
        <f t="shared" si="2"/>
        <v>87</v>
      </c>
      <c r="EA2">
        <f t="shared" si="2"/>
        <v>86</v>
      </c>
      <c r="EB2">
        <f t="shared" si="2"/>
        <v>85</v>
      </c>
      <c r="EC2">
        <f t="shared" si="2"/>
        <v>84</v>
      </c>
      <c r="ED2">
        <f t="shared" si="2"/>
        <v>83</v>
      </c>
      <c r="EE2">
        <f t="shared" si="2"/>
        <v>82</v>
      </c>
      <c r="EF2">
        <f t="shared" si="2"/>
        <v>81</v>
      </c>
      <c r="EH2" s="14">
        <f>+VLOOKUP(EH1,ran_dat,datos!$D$1,FALSE)</f>
        <v>104</v>
      </c>
      <c r="EI2" s="14">
        <f t="shared" ref="EI2:FE2" si="3">+EH2-1</f>
        <v>103</v>
      </c>
      <c r="EJ2">
        <f t="shared" si="3"/>
        <v>102</v>
      </c>
      <c r="EK2">
        <f t="shared" si="3"/>
        <v>101</v>
      </c>
      <c r="EL2">
        <f t="shared" si="3"/>
        <v>100</v>
      </c>
      <c r="EM2">
        <f t="shared" si="3"/>
        <v>99</v>
      </c>
      <c r="EN2">
        <f t="shared" si="3"/>
        <v>98</v>
      </c>
      <c r="EO2">
        <f t="shared" si="3"/>
        <v>97</v>
      </c>
      <c r="EP2">
        <f t="shared" si="3"/>
        <v>96</v>
      </c>
      <c r="EQ2">
        <f t="shared" si="3"/>
        <v>95</v>
      </c>
      <c r="ER2">
        <f t="shared" si="3"/>
        <v>94</v>
      </c>
      <c r="ES2">
        <f t="shared" si="3"/>
        <v>93</v>
      </c>
      <c r="ET2">
        <f t="shared" si="3"/>
        <v>92</v>
      </c>
      <c r="EU2">
        <f t="shared" si="3"/>
        <v>91</v>
      </c>
      <c r="EV2">
        <f t="shared" si="3"/>
        <v>90</v>
      </c>
      <c r="EW2">
        <f t="shared" si="3"/>
        <v>89</v>
      </c>
      <c r="EX2">
        <f t="shared" si="3"/>
        <v>88</v>
      </c>
      <c r="EY2">
        <f t="shared" si="3"/>
        <v>87</v>
      </c>
      <c r="EZ2">
        <f t="shared" si="3"/>
        <v>86</v>
      </c>
      <c r="FA2">
        <f t="shared" si="3"/>
        <v>85</v>
      </c>
      <c r="FB2">
        <f t="shared" si="3"/>
        <v>84</v>
      </c>
      <c r="FC2">
        <f t="shared" si="3"/>
        <v>83</v>
      </c>
      <c r="FD2">
        <f t="shared" si="3"/>
        <v>82</v>
      </c>
      <c r="FE2">
        <f t="shared" si="3"/>
        <v>81</v>
      </c>
    </row>
    <row r="3" spans="1:163" ht="12" customHeight="1">
      <c r="A3" s="55"/>
      <c r="B3" s="55" t="s">
        <v>10</v>
      </c>
      <c r="C3" s="155"/>
      <c r="D3" s="31">
        <v>0.33</v>
      </c>
      <c r="E3" s="100">
        <f>IFERROR(+BG5/BH5-1,"")</f>
        <v>0.12809470015623114</v>
      </c>
      <c r="F3" s="56"/>
      <c r="G3" s="56"/>
      <c r="H3" s="56"/>
      <c r="I3" s="60">
        <f>IFERROR(+BG5/BI5-1,"")</f>
        <v>1.6091566756230895</v>
      </c>
      <c r="J3" s="56"/>
      <c r="K3" s="56"/>
      <c r="L3" s="56"/>
      <c r="M3" s="32"/>
      <c r="N3" s="31">
        <v>0.33</v>
      </c>
      <c r="O3" s="31"/>
      <c r="S3" s="32"/>
      <c r="T3" s="31">
        <v>0.33</v>
      </c>
      <c r="U3" s="150" t="str">
        <f>TEXT(CU1,"MMM-YY")&amp;"."&amp;TEXT(CJ1,"MMM-YY")&amp;" vs "&amp;TEXT(DG1,"MMM-YY")&amp;"."&amp;TEXT(CV1,"MMM-YY")</f>
        <v>dic-22.nov-23 vs dic-21.nov-22</v>
      </c>
      <c r="Y3" s="59" t="str">
        <f>TEXT(CJ1,"MMM-YY")&amp;" vs "&amp;TEXT(CV1,"MMM-YY")</f>
        <v>nov-23 vs nov-22</v>
      </c>
      <c r="BE3" s="4" t="s">
        <v>3</v>
      </c>
      <c r="BF3" s="4"/>
      <c r="BG3" s="4"/>
      <c r="BH3" s="4"/>
      <c r="BI3" s="4"/>
      <c r="BK3" s="27" t="s">
        <v>5</v>
      </c>
      <c r="BL3" s="27"/>
      <c r="BM3" s="27"/>
      <c r="BN3" s="27"/>
      <c r="BP3" s="20" t="s">
        <v>15</v>
      </c>
      <c r="BQ3" s="20"/>
      <c r="BR3" s="20"/>
      <c r="BT3" s="21" t="s">
        <v>2</v>
      </c>
      <c r="BU3" s="21"/>
      <c r="BV3" s="21"/>
      <c r="BX3" s="4" t="s">
        <v>7</v>
      </c>
      <c r="BY3" s="4"/>
      <c r="BZ3" s="4"/>
      <c r="CB3" s="43" t="s">
        <v>8</v>
      </c>
      <c r="CC3" s="43"/>
      <c r="CD3" s="43"/>
      <c r="CF3" s="22" t="s">
        <v>9</v>
      </c>
      <c r="CG3" s="22"/>
      <c r="CH3" s="22"/>
      <c r="CJ3" s="4" t="s">
        <v>7</v>
      </c>
      <c r="CK3" s="4"/>
      <c r="CL3" s="4"/>
      <c r="CM3" s="4"/>
      <c r="CN3" s="4"/>
      <c r="CO3" s="4"/>
      <c r="CP3" s="4"/>
      <c r="CQ3" s="4"/>
      <c r="CR3" s="4"/>
      <c r="CS3" s="4"/>
      <c r="CT3" s="4"/>
      <c r="CU3" s="4"/>
      <c r="CV3" s="4"/>
      <c r="CW3" s="4"/>
      <c r="CX3" s="4"/>
      <c r="CY3" s="4"/>
      <c r="CZ3" s="4"/>
      <c r="DA3" s="4"/>
      <c r="DB3" s="4"/>
      <c r="DC3" s="4"/>
      <c r="DD3" s="4"/>
      <c r="DE3" s="4"/>
      <c r="DF3" s="4"/>
      <c r="DG3" s="4"/>
      <c r="DI3" s="43" t="s">
        <v>8</v>
      </c>
      <c r="DJ3" s="43"/>
      <c r="DK3" s="43"/>
      <c r="DL3" s="43"/>
      <c r="DM3" s="43"/>
      <c r="DN3" s="43"/>
      <c r="DO3" s="43"/>
      <c r="DP3" s="43"/>
      <c r="DQ3" s="43"/>
      <c r="DR3" s="43"/>
      <c r="DS3" s="43"/>
      <c r="DT3" s="43"/>
      <c r="DU3" s="43"/>
      <c r="DV3" s="43"/>
      <c r="DW3" s="43"/>
      <c r="DX3" s="43"/>
      <c r="DY3" s="43"/>
      <c r="DZ3" s="43"/>
      <c r="EA3" s="43"/>
      <c r="EB3" s="43"/>
      <c r="EC3" s="43"/>
      <c r="ED3" s="43"/>
      <c r="EE3" s="43"/>
      <c r="EF3" s="43"/>
      <c r="EH3" s="151" t="s">
        <v>9</v>
      </c>
      <c r="EI3" s="151"/>
      <c r="EJ3" s="22"/>
      <c r="EK3" s="22"/>
      <c r="EL3" s="22"/>
      <c r="EM3" s="22"/>
      <c r="EN3" s="22"/>
      <c r="EO3" s="22"/>
      <c r="EP3" s="22"/>
      <c r="EQ3" s="22"/>
      <c r="ER3" s="22"/>
      <c r="ES3" s="22"/>
      <c r="ET3" s="22"/>
      <c r="EU3" s="22"/>
      <c r="EV3" s="22"/>
      <c r="EW3" s="22"/>
      <c r="EX3" s="22"/>
      <c r="EY3" s="22"/>
      <c r="EZ3" s="22"/>
      <c r="FA3" s="22"/>
      <c r="FB3" s="22"/>
      <c r="FC3" s="22"/>
      <c r="FD3" s="22"/>
      <c r="FE3" s="22"/>
    </row>
    <row r="4" spans="1:163" ht="13.5" customHeight="1">
      <c r="A4" s="34"/>
      <c r="B4" s="54" t="s">
        <v>1</v>
      </c>
      <c r="C4" s="155" t="s">
        <v>247</v>
      </c>
      <c r="D4" s="25" t="s">
        <v>244</v>
      </c>
      <c r="E4" s="147" t="s">
        <v>3</v>
      </c>
      <c r="F4" s="39"/>
      <c r="G4" s="147" t="s">
        <v>5</v>
      </c>
      <c r="H4" s="39"/>
      <c r="I4" s="147" t="s">
        <v>3</v>
      </c>
      <c r="J4" s="39"/>
      <c r="K4" s="147" t="s">
        <v>5</v>
      </c>
      <c r="L4" s="39"/>
      <c r="N4" s="25" t="s">
        <v>245</v>
      </c>
      <c r="O4" s="148" t="s">
        <v>225</v>
      </c>
      <c r="P4" s="103"/>
      <c r="Q4" s="148" t="s">
        <v>2</v>
      </c>
      <c r="R4" s="34"/>
      <c r="T4" s="25" t="s">
        <v>246</v>
      </c>
      <c r="U4" s="148" t="s">
        <v>237</v>
      </c>
      <c r="V4" s="34"/>
      <c r="W4" s="148" t="s">
        <v>238</v>
      </c>
      <c r="X4" s="34"/>
      <c r="Y4" s="148" t="s">
        <v>9</v>
      </c>
      <c r="Z4" s="34"/>
      <c r="AB4" s="148" t="s">
        <v>292</v>
      </c>
      <c r="AC4" s="34"/>
      <c r="AD4" s="34"/>
      <c r="AE4" s="34"/>
      <c r="AF4" s="34"/>
      <c r="AG4" s="34"/>
      <c r="AH4" s="34"/>
      <c r="AI4" s="34"/>
      <c r="AJ4" s="34"/>
      <c r="AK4" s="148"/>
      <c r="AL4" s="148"/>
      <c r="AM4" s="149" t="s">
        <v>291</v>
      </c>
      <c r="BB4" s="148" t="s">
        <v>290</v>
      </c>
      <c r="BC4" s="141" t="s">
        <v>390</v>
      </c>
      <c r="BE4" s="9"/>
      <c r="BK4" s="9"/>
      <c r="BP4" s="9"/>
      <c r="BT4" s="9"/>
      <c r="BX4" s="9"/>
      <c r="CB4" s="9"/>
      <c r="CJ4" s="44" t="s">
        <v>281</v>
      </c>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152"/>
      <c r="EI4" s="152"/>
      <c r="EJ4" s="44"/>
      <c r="EK4" s="44"/>
      <c r="EL4" s="44"/>
      <c r="EM4" s="44"/>
      <c r="EN4" s="44"/>
      <c r="EO4" s="44"/>
      <c r="EP4" s="44"/>
      <c r="EQ4" s="44"/>
      <c r="ER4" s="44"/>
      <c r="ES4" s="44"/>
      <c r="ET4" s="44"/>
      <c r="EU4" s="44"/>
      <c r="EV4" s="44"/>
      <c r="EW4" s="44"/>
      <c r="EX4" s="44"/>
      <c r="EY4" s="44"/>
      <c r="EZ4" s="44"/>
      <c r="FA4" s="44"/>
      <c r="FB4" s="44"/>
      <c r="FC4" s="44"/>
      <c r="FD4" s="44"/>
      <c r="FE4" s="44"/>
    </row>
    <row r="5" spans="1:163" ht="9" customHeight="1">
      <c r="E5" s="18"/>
      <c r="N5" s="25"/>
      <c r="O5" s="34"/>
      <c r="P5" s="103"/>
      <c r="Q5" s="34"/>
      <c r="R5" s="34"/>
      <c r="T5" s="25"/>
      <c r="U5" s="25"/>
      <c r="V5" s="34"/>
      <c r="W5" s="34"/>
      <c r="X5" s="34"/>
      <c r="Y5" s="34"/>
      <c r="Z5" s="34"/>
      <c r="BB5" s="34"/>
      <c r="BD5" t="str">
        <f>+B3</f>
        <v>Inflación</v>
      </c>
      <c r="BE5">
        <f>+datos!G1</f>
        <v>7</v>
      </c>
      <c r="BF5" s="2" t="str">
        <f t="shared" ref="BF5:BI24" si="4">+VLOOKUP(BF$1,ran_dat,$BE5,FALSE)</f>
        <v>Índice</v>
      </c>
      <c r="BG5" s="2">
        <f t="shared" si="4"/>
        <v>2816.0628000000002</v>
      </c>
      <c r="BH5" s="2">
        <f t="shared" si="4"/>
        <v>2496.3000000000002</v>
      </c>
      <c r="BI5" s="2">
        <f t="shared" si="4"/>
        <v>1079.3</v>
      </c>
    </row>
    <row r="6" spans="1:163" ht="18" customHeight="1">
      <c r="A6" s="34">
        <v>1</v>
      </c>
      <c r="B6" s="34" t="s">
        <v>28</v>
      </c>
      <c r="C6" s="156">
        <f t="shared" ref="C6:C24" si="5">+D6*$D$3+N6*$N$3+T6*$T$3</f>
        <v>-0.66</v>
      </c>
      <c r="D6" s="24">
        <v>0</v>
      </c>
      <c r="E6" s="40">
        <f t="shared" ref="E6:E24" si="6">IFERROR(+BG6/BH6-1,"")</f>
        <v>0.26041876436562084</v>
      </c>
      <c r="F6" s="41">
        <f t="shared" ref="F6:F24" si="7">+E6-$E$3</f>
        <v>0.13232406420938969</v>
      </c>
      <c r="G6" s="40">
        <f t="shared" ref="G6:G24" si="8">IFERROR(+BL6/BM6-1,"")</f>
        <v>0.1834886205459676</v>
      </c>
      <c r="H6" s="41">
        <f t="shared" ref="H6:H24" si="9">E6-G6</f>
        <v>7.6930143819653241E-2</v>
      </c>
      <c r="I6" s="40">
        <f t="shared" ref="I6:I24" si="10">IFERROR(+BG6/BI6-1,"")</f>
        <v>1.3742492713448669</v>
      </c>
      <c r="J6" s="41">
        <f t="shared" ref="J6:J25" si="11">+I6-$I$3</f>
        <v>-0.23490740427822265</v>
      </c>
      <c r="K6" s="40">
        <f>IFERROR(+BL6/BN6-1,"")</f>
        <v>1.1620743950391303</v>
      </c>
      <c r="L6" s="41">
        <f t="shared" ref="L6:L24" si="12">I6-K6</f>
        <v>0.2121748763057365</v>
      </c>
      <c r="M6" s="17"/>
      <c r="N6" s="24">
        <v>-1</v>
      </c>
      <c r="O6" s="40">
        <f>IFERROR(+BQ6/BR6-1,"")</f>
        <v>0.1206896551724137</v>
      </c>
      <c r="P6" s="104">
        <f>+O6</f>
        <v>0.1206896551724137</v>
      </c>
      <c r="Q6" s="40">
        <f t="shared" ref="Q6:Q17" si="13">IFERROR(+BU6/BV6-1,"")</f>
        <v>-0.18181818181818177</v>
      </c>
      <c r="R6" s="42">
        <f>+Q6</f>
        <v>-0.18181818181818177</v>
      </c>
      <c r="S6" s="17"/>
      <c r="T6" s="24">
        <v>-1</v>
      </c>
      <c r="U6" s="40">
        <f t="shared" ref="U6:U24" si="14">IFERROR(+BY6/BZ6-1,"")</f>
        <v>-0.65587898999666328</v>
      </c>
      <c r="V6" s="45">
        <f t="shared" ref="V6:V24" si="15">+U6</f>
        <v>-0.65587898999666328</v>
      </c>
      <c r="W6" s="40">
        <f>IFERROR(IF(CC6&lt;0.5,"",+CC6/CD6-1),"")</f>
        <v>-0.15293662882686021</v>
      </c>
      <c r="X6" s="45">
        <f t="shared" ref="X6:X24" si="16">+W6</f>
        <v>-0.15293662882686021</v>
      </c>
      <c r="Y6" s="40" t="str">
        <f t="shared" ref="Y6:Y24" si="17">IFERROR(+CG6/CH6-1,"")</f>
        <v/>
      </c>
      <c r="Z6" s="45" t="str">
        <f t="shared" ref="Z6:Z24" si="18">+Y6</f>
        <v/>
      </c>
      <c r="AA6" s="30"/>
      <c r="AB6" s="61" t="s">
        <v>289</v>
      </c>
      <c r="AC6" s="61" t="s">
        <v>289</v>
      </c>
      <c r="AD6" s="61" t="s">
        <v>289</v>
      </c>
      <c r="AE6" s="61" t="s">
        <v>289</v>
      </c>
      <c r="AF6" s="61" t="s">
        <v>289</v>
      </c>
      <c r="AG6" s="61" t="s">
        <v>289</v>
      </c>
      <c r="AH6" s="61" t="s">
        <v>289</v>
      </c>
      <c r="AI6" s="61" t="s">
        <v>289</v>
      </c>
      <c r="AJ6" s="61" t="s">
        <v>289</v>
      </c>
      <c r="AK6" s="61" t="s">
        <v>289</v>
      </c>
      <c r="AL6" s="61" t="s">
        <v>289</v>
      </c>
      <c r="AM6" s="61" t="s">
        <v>289</v>
      </c>
      <c r="AO6" s="28">
        <f>VLOOKUP($B6,historia!$A$5:$CM$24,+HLOOKUP(AO$2,historia!$A$3:$EC$4,2,FALSE),FALSE)</f>
        <v>4</v>
      </c>
      <c r="AP6" s="28">
        <f>VLOOKUP($B6,historia!$A$5:$CM$24,+HLOOKUP(AP$2,historia!$A$3:$EC$4,2,FALSE),FALSE)</f>
        <v>4</v>
      </c>
      <c r="AQ6" s="28">
        <f>VLOOKUP($B6,historia!$A$5:$CM$24,+HLOOKUP(AQ$2,historia!$A$3:$EC$4,2,FALSE),FALSE)</f>
        <v>5</v>
      </c>
      <c r="AR6" s="28">
        <f>VLOOKUP($B6,historia!$A$5:$CM$24,+HLOOKUP(AR$2,historia!$A$3:$EC$4,2,FALSE),FALSE)</f>
        <v>4</v>
      </c>
      <c r="AS6" s="58">
        <f>VLOOKUP($B6,historia!$A$5:$CM$24,+HLOOKUP(AS$2,historia!$A$3:$EC$4,2,FALSE),FALSE)</f>
        <v>4</v>
      </c>
      <c r="AT6" s="58">
        <f>VLOOKUP($B6,historia!$A$5:$CM$24,+HLOOKUP(AT$2,historia!$A$3:$EC$4,2,FALSE),FALSE)</f>
        <v>5</v>
      </c>
      <c r="AU6" s="58">
        <f>VLOOKUP($B6,historia!$A$5:$CM$24,+HLOOKUP(AU$2,historia!$A$3:$EC$4,2,FALSE),FALSE)</f>
        <v>5</v>
      </c>
      <c r="AV6" s="58">
        <f>VLOOKUP($B6,historia!$A$5:$CM$24,+HLOOKUP(AV$2,historia!$A$3:$EC$4,2,FALSE),FALSE)</f>
        <v>5</v>
      </c>
      <c r="AW6" s="58">
        <f>VLOOKUP($B6,historia!$A$5:$CM$24,+HLOOKUP(AW$2,historia!$A$3:$EC$4,2,FALSE),FALSE)</f>
        <v>5</v>
      </c>
      <c r="AX6" s="58">
        <f>VLOOKUP($B6,historia!$A$5:$CM$24,+HLOOKUP(AX$2,historia!$A$3:$EC$4,2,FALSE),FALSE)</f>
        <v>5</v>
      </c>
      <c r="AY6" s="58">
        <f>VLOOKUP($B6,historia!$A$5:$CM$24,+HLOOKUP(AY$2,historia!$A$3:$EC$4,2,FALSE),FALSE)</f>
        <v>5</v>
      </c>
      <c r="AZ6" s="58">
        <f>VLOOKUP($B6,historia!$A$5:$CM$24,+HLOOKUP(AZ$2,historia!$A$3:$EC$4,2,FALSE),FALSE)</f>
        <v>5</v>
      </c>
      <c r="BA6" s="30"/>
      <c r="BB6" s="158" t="s">
        <v>422</v>
      </c>
      <c r="BC6" s="141">
        <v>5</v>
      </c>
      <c r="BD6" t="str">
        <f t="shared" ref="BD6:BD24" si="19">+B6</f>
        <v>Algodón</v>
      </c>
      <c r="BE6">
        <f>+datos!P1</f>
        <v>16</v>
      </c>
      <c r="BF6" s="2" t="str">
        <f t="shared" si="4"/>
        <v>$/kg</v>
      </c>
      <c r="BG6" s="2">
        <f t="shared" si="4"/>
        <v>862.16834374999985</v>
      </c>
      <c r="BH6" s="2">
        <f t="shared" si="4"/>
        <v>684.03325000000007</v>
      </c>
      <c r="BI6" s="2">
        <f t="shared" si="4"/>
        <v>363.13303499999995</v>
      </c>
      <c r="BK6">
        <f>+datos!BY1</f>
        <v>77</v>
      </c>
      <c r="BL6" s="2">
        <f t="shared" ref="BL6:BN24" si="20">+VLOOKUP(BL$1,ran_dat,$BK6,FALSE)</f>
        <v>4568.8548594359145</v>
      </c>
      <c r="BM6" s="2">
        <f t="shared" si="20"/>
        <v>3860.4974987661549</v>
      </c>
      <c r="BN6" s="2">
        <f t="shared" si="20"/>
        <v>2113.1811513605317</v>
      </c>
      <c r="BP6" s="1">
        <f>+datos!DK1</f>
        <v>115</v>
      </c>
      <c r="BQ6" s="1">
        <f t="shared" ref="BQ6:BR24" si="21">+VLOOKUP(BQ$1,ran_dat,$BP6,FALSE)</f>
        <v>650000</v>
      </c>
      <c r="BR6" s="1">
        <f t="shared" si="21"/>
        <v>580000</v>
      </c>
      <c r="BT6" s="1">
        <f>+datos!FF1</f>
        <v>162</v>
      </c>
      <c r="BU6" s="1">
        <f t="shared" ref="BU6:BV24" si="22">+VLOOKUP(BU$1,ran_dat,$BT6,FALSE)</f>
        <v>900000</v>
      </c>
      <c r="BV6" s="1">
        <f t="shared" si="22"/>
        <v>1100000</v>
      </c>
      <c r="BX6" s="1">
        <f>+datos!JF1</f>
        <v>266</v>
      </c>
      <c r="BY6" s="1">
        <f>+SUM(CJ6:CU6)</f>
        <v>89.962511729999989</v>
      </c>
      <c r="BZ6" s="1">
        <f>+SUM(CV6:DG6)</f>
        <v>261.42696642999999</v>
      </c>
      <c r="CB6" s="1">
        <f>+datos!KK1</f>
        <v>297</v>
      </c>
      <c r="CC6" s="2">
        <f t="shared" ref="CC6:CC24" si="23">+SUM(DI6:DT6)</f>
        <v>100.9881283</v>
      </c>
      <c r="CD6" s="2">
        <f t="shared" ref="CD6:CD24" si="24">+SUM(DU6:EF6)</f>
        <v>119.22145583999999</v>
      </c>
      <c r="CF6" s="1">
        <f>+datos!HS1</f>
        <v>227</v>
      </c>
      <c r="CG6" s="1">
        <f t="shared" ref="CG6:CG24" si="25">+EH6</f>
        <v>0</v>
      </c>
      <c r="CH6" s="1">
        <f t="shared" ref="CH6:CH24" si="26">+ET6</f>
        <v>0</v>
      </c>
      <c r="CJ6" s="1">
        <f t="shared" ref="CJ6:CY21" si="27">+VLOOKUP(CJ$1,ran_dat,$BX6,FALSE)</f>
        <v>15.019774559999998</v>
      </c>
      <c r="CK6" s="1">
        <f t="shared" si="27"/>
        <v>14.398572559999998</v>
      </c>
      <c r="CL6" s="1">
        <f t="shared" si="27"/>
        <v>16.61514231</v>
      </c>
      <c r="CM6" s="1">
        <f t="shared" si="27"/>
        <v>14.3155891</v>
      </c>
      <c r="CN6" s="1">
        <f t="shared" si="27"/>
        <v>3.12980459</v>
      </c>
      <c r="CO6" s="1">
        <f t="shared" si="27"/>
        <v>2.3595063199999995</v>
      </c>
      <c r="CP6" s="1">
        <f t="shared" si="27"/>
        <v>5.3927380000000005</v>
      </c>
      <c r="CQ6" s="1">
        <f t="shared" si="27"/>
        <v>1.1182586999999999</v>
      </c>
      <c r="CR6" s="1">
        <f t="shared" si="27"/>
        <v>0.81365803999999953</v>
      </c>
      <c r="CS6" s="1">
        <f t="shared" si="27"/>
        <v>2.2053805500000006</v>
      </c>
      <c r="CT6" s="1">
        <f t="shared" si="27"/>
        <v>1.2234686099999996</v>
      </c>
      <c r="CU6" s="1">
        <f t="shared" si="27"/>
        <v>13.370618389999997</v>
      </c>
      <c r="CV6" s="1">
        <f t="shared" si="27"/>
        <v>14.835861399999999</v>
      </c>
      <c r="CW6" s="1">
        <f t="shared" si="27"/>
        <v>16.749589410000009</v>
      </c>
      <c r="CX6" s="1">
        <f t="shared" si="27"/>
        <v>23.97822360000001</v>
      </c>
      <c r="CY6" s="1">
        <f t="shared" si="27"/>
        <v>23.329000269999998</v>
      </c>
      <c r="CZ6" s="1">
        <f t="shared" ref="CZ6:DG21" si="28">+VLOOKUP(CZ$1,ran_dat,$BX6,FALSE)</f>
        <v>25.470338789999996</v>
      </c>
      <c r="DA6" s="1">
        <f t="shared" si="28"/>
        <v>16.607050090000005</v>
      </c>
      <c r="DB6" s="1">
        <f t="shared" si="28"/>
        <v>15.95050312</v>
      </c>
      <c r="DC6" s="1">
        <f t="shared" si="28"/>
        <v>11.570507999999998</v>
      </c>
      <c r="DD6" s="1">
        <f t="shared" si="28"/>
        <v>21.366391749999998</v>
      </c>
      <c r="DE6" s="1">
        <f t="shared" si="28"/>
        <v>24.995459990000008</v>
      </c>
      <c r="DF6" s="1">
        <f t="shared" si="28"/>
        <v>29.607061230000014</v>
      </c>
      <c r="DG6" s="1">
        <f t="shared" si="28"/>
        <v>36.966978780000005</v>
      </c>
      <c r="DI6" s="1">
        <f t="shared" ref="DI6:DX21" si="29">+VLOOKUP(DI$1,ran_dat,$CB6,FALSE)</f>
        <v>6.9479693099999986</v>
      </c>
      <c r="DJ6" s="1">
        <f t="shared" si="29"/>
        <v>7.5746309199999997</v>
      </c>
      <c r="DK6" s="1">
        <f t="shared" si="29"/>
        <v>8.1137987799999998</v>
      </c>
      <c r="DL6" s="1">
        <f t="shared" si="29"/>
        <v>9.2876289100000005</v>
      </c>
      <c r="DM6" s="1">
        <f t="shared" si="29"/>
        <v>7.69051375</v>
      </c>
      <c r="DN6" s="1">
        <f t="shared" si="29"/>
        <v>7.1486482300000009</v>
      </c>
      <c r="DO6" s="1">
        <f t="shared" si="29"/>
        <v>9.1724036200000008</v>
      </c>
      <c r="DP6" s="1">
        <f t="shared" si="29"/>
        <v>6.8489806600000005</v>
      </c>
      <c r="DQ6" s="1">
        <f t="shared" si="29"/>
        <v>8.39418884</v>
      </c>
      <c r="DR6" s="1">
        <f t="shared" si="29"/>
        <v>8.0897496800000006</v>
      </c>
      <c r="DS6" s="1">
        <f t="shared" si="29"/>
        <v>9.8858098699999992</v>
      </c>
      <c r="DT6" s="1">
        <f t="shared" si="29"/>
        <v>11.833805730000002</v>
      </c>
      <c r="DU6" s="1">
        <f t="shared" si="29"/>
        <v>13.016290730000001</v>
      </c>
      <c r="DV6" s="1">
        <f t="shared" si="29"/>
        <v>10.901897520000004</v>
      </c>
      <c r="DW6" s="1">
        <f t="shared" si="29"/>
        <v>10.864187659999995</v>
      </c>
      <c r="DX6" s="1">
        <f t="shared" si="29"/>
        <v>11.783992419999999</v>
      </c>
      <c r="DY6" s="1">
        <f t="shared" ref="DY6:EF20" si="30">+VLOOKUP(DY$1,ran_dat,$CB6,FALSE)</f>
        <v>1.0941888799999999</v>
      </c>
      <c r="DZ6" s="1">
        <f t="shared" si="30"/>
        <v>10.549588929999999</v>
      </c>
      <c r="EA6" s="1">
        <f t="shared" si="30"/>
        <v>10.17732034</v>
      </c>
      <c r="EB6" s="1">
        <f t="shared" si="30"/>
        <v>11.903523750000003</v>
      </c>
      <c r="EC6" s="1">
        <f t="shared" si="30"/>
        <v>14.274599060000003</v>
      </c>
      <c r="ED6" s="1">
        <f t="shared" si="30"/>
        <v>8.9263620900000014</v>
      </c>
      <c r="EE6" s="1">
        <f t="shared" si="30"/>
        <v>7.4320293600000014</v>
      </c>
      <c r="EF6" s="1">
        <f t="shared" si="30"/>
        <v>8.2974750999999998</v>
      </c>
      <c r="EH6" s="14">
        <f t="shared" ref="EH6:EW21" si="31">+VLOOKUP(EH$1,ran_dat,$CF6,FALSE)</f>
        <v>0</v>
      </c>
      <c r="EI6" s="14">
        <f t="shared" si="31"/>
        <v>0</v>
      </c>
      <c r="EJ6" s="1">
        <f t="shared" si="31"/>
        <v>0</v>
      </c>
      <c r="EK6" s="1">
        <f t="shared" si="31"/>
        <v>0</v>
      </c>
      <c r="EL6" s="1">
        <f t="shared" si="31"/>
        <v>0</v>
      </c>
      <c r="EM6" s="1">
        <f t="shared" si="31"/>
        <v>0</v>
      </c>
      <c r="EN6" s="1">
        <f t="shared" si="31"/>
        <v>0</v>
      </c>
      <c r="EO6" s="1">
        <f t="shared" si="31"/>
        <v>0</v>
      </c>
      <c r="EP6" s="1">
        <f t="shared" si="31"/>
        <v>0</v>
      </c>
      <c r="EQ6" s="1">
        <f t="shared" si="31"/>
        <v>0</v>
      </c>
      <c r="ER6" s="1">
        <f t="shared" si="31"/>
        <v>0</v>
      </c>
      <c r="ES6" s="1">
        <f t="shared" si="31"/>
        <v>0</v>
      </c>
      <c r="ET6" s="1">
        <f t="shared" si="31"/>
        <v>0</v>
      </c>
      <c r="EU6" s="1">
        <f t="shared" si="31"/>
        <v>0</v>
      </c>
      <c r="EV6" s="1">
        <f t="shared" si="31"/>
        <v>0</v>
      </c>
      <c r="EW6" s="1">
        <f t="shared" si="31"/>
        <v>0</v>
      </c>
      <c r="EX6" s="1">
        <f t="shared" ref="EX6:FE20" si="32">+VLOOKUP(EX$1,ran_dat,$CF6,FALSE)</f>
        <v>0</v>
      </c>
      <c r="EY6" s="1">
        <f t="shared" si="32"/>
        <v>0</v>
      </c>
      <c r="EZ6" s="1">
        <f t="shared" si="32"/>
        <v>0</v>
      </c>
      <c r="FA6" s="1">
        <f t="shared" si="32"/>
        <v>0</v>
      </c>
      <c r="FB6" s="1">
        <f t="shared" si="32"/>
        <v>0</v>
      </c>
      <c r="FC6" s="1">
        <f t="shared" si="32"/>
        <v>0</v>
      </c>
      <c r="FD6" s="1">
        <f t="shared" si="32"/>
        <v>0</v>
      </c>
      <c r="FE6" s="1">
        <f t="shared" si="32"/>
        <v>0</v>
      </c>
      <c r="FG6" s="162">
        <f>+I6-K6</f>
        <v>0.2121748763057365</v>
      </c>
    </row>
    <row r="7" spans="1:163" ht="18" customHeight="1">
      <c r="A7" s="34">
        <f>+A6+1</f>
        <v>2</v>
      </c>
      <c r="B7" s="34" t="s">
        <v>13</v>
      </c>
      <c r="C7" s="156">
        <v>-1</v>
      </c>
      <c r="D7" s="24">
        <v>1</v>
      </c>
      <c r="E7" s="40">
        <f t="shared" si="6"/>
        <v>0.33333333333333326</v>
      </c>
      <c r="F7" s="41">
        <f t="shared" si="7"/>
        <v>0.20523863317710211</v>
      </c>
      <c r="G7" s="40">
        <f t="shared" si="8"/>
        <v>0.23978444124350484</v>
      </c>
      <c r="H7" s="41">
        <f t="shared" si="9"/>
        <v>9.3548892089828417E-2</v>
      </c>
      <c r="I7" s="40">
        <f t="shared" si="10"/>
        <v>5.3636363636363633</v>
      </c>
      <c r="J7" s="41">
        <f t="shared" si="11"/>
        <v>3.7544796880132738</v>
      </c>
      <c r="K7" s="40">
        <f t="shared" ref="K7:K24" si="33">IFERROR(+BL7/BN7-1,"")</f>
        <v>1.1780838133193487</v>
      </c>
      <c r="L7" s="41">
        <f t="shared" si="12"/>
        <v>4.1855525503170146</v>
      </c>
      <c r="M7" s="17"/>
      <c r="N7" s="24">
        <v>0</v>
      </c>
      <c r="O7" s="40">
        <f t="shared" ref="O7:O24" si="34">IFERROR(+BQ7/BR7-1,"")</f>
        <v>0</v>
      </c>
      <c r="P7" s="104">
        <f t="shared" ref="P7:P24" si="35">+O7</f>
        <v>0</v>
      </c>
      <c r="Q7" s="40">
        <f t="shared" si="13"/>
        <v>0</v>
      </c>
      <c r="R7" s="42">
        <f t="shared" ref="R7:R24" si="36">+Q7</f>
        <v>0</v>
      </c>
      <c r="S7" s="17"/>
      <c r="T7" s="24">
        <v>-1</v>
      </c>
      <c r="U7" s="40">
        <f t="shared" si="14"/>
        <v>2.7751926955031037E-2</v>
      </c>
      <c r="V7" s="45">
        <f t="shared" si="15"/>
        <v>2.7751926955031037E-2</v>
      </c>
      <c r="W7" s="40">
        <f t="shared" ref="W7:W24" si="37">IFERROR(IF(CC7&lt;0.5,"",+CC7/CD7-1),"")</f>
        <v>-0.41324119400199111</v>
      </c>
      <c r="X7" s="45">
        <f t="shared" si="16"/>
        <v>-0.41324119400199111</v>
      </c>
      <c r="Y7" s="40">
        <f t="shared" si="17"/>
        <v>7.6923076923076872E-2</v>
      </c>
      <c r="Z7" s="45">
        <f t="shared" si="18"/>
        <v>7.6923076923076872E-2</v>
      </c>
      <c r="AA7" s="58"/>
      <c r="AB7" s="61" t="s">
        <v>289</v>
      </c>
      <c r="AC7" s="61" t="s">
        <v>289</v>
      </c>
      <c r="AD7" s="61" t="s">
        <v>289</v>
      </c>
      <c r="AE7" s="61" t="s">
        <v>289</v>
      </c>
      <c r="AF7" s="61" t="s">
        <v>289</v>
      </c>
      <c r="AG7" s="61" t="s">
        <v>289</v>
      </c>
      <c r="AH7" s="61" t="s">
        <v>289</v>
      </c>
      <c r="AI7" s="61" t="s">
        <v>289</v>
      </c>
      <c r="AJ7" s="61" t="s">
        <v>289</v>
      </c>
      <c r="AK7" s="61" t="s">
        <v>289</v>
      </c>
      <c r="AL7" s="61" t="s">
        <v>289</v>
      </c>
      <c r="AM7" s="61" t="s">
        <v>289</v>
      </c>
      <c r="AO7" s="28">
        <f>VLOOKUP($B7,historia!$A$5:$CM$24,+HLOOKUP(AO$2,historia!$A$3:$EC$4,2,FALSE),FALSE)</f>
        <v>4</v>
      </c>
      <c r="AP7" s="28">
        <f>VLOOKUP($B7,historia!$A$5:$CM$24,+HLOOKUP(AP$2,historia!$A$3:$EC$4,2,FALSE),FALSE)</f>
        <v>4</v>
      </c>
      <c r="AQ7" s="28">
        <f>VLOOKUP($B7,historia!$A$5:$CM$24,+HLOOKUP(AQ$2,historia!$A$3:$EC$4,2,FALSE),FALSE)</f>
        <v>4</v>
      </c>
      <c r="AR7" s="28">
        <f>VLOOKUP($B7,historia!$A$5:$CM$24,+HLOOKUP(AR$2,historia!$A$3:$EC$4,2,FALSE),FALSE)</f>
        <v>3</v>
      </c>
      <c r="AS7" s="58">
        <f>VLOOKUP($B7,historia!$A$5:$CM$24,+HLOOKUP(AS$2,historia!$A$3:$EC$4,2,FALSE),FALSE)</f>
        <v>3</v>
      </c>
      <c r="AT7" s="58">
        <f>VLOOKUP($B7,historia!$A$5:$CM$24,+HLOOKUP(AT$2,historia!$A$3:$EC$4,2,FALSE),FALSE)</f>
        <v>3</v>
      </c>
      <c r="AU7" s="58">
        <f>VLOOKUP($B7,historia!$A$5:$CM$24,+HLOOKUP(AU$2,historia!$A$3:$EC$4,2,FALSE),FALSE)</f>
        <v>3</v>
      </c>
      <c r="AV7" s="58">
        <f>VLOOKUP($B7,historia!$A$5:$CM$24,+HLOOKUP(AV$2,historia!$A$3:$EC$4,2,FALSE),FALSE)</f>
        <v>3</v>
      </c>
      <c r="AW7" s="58">
        <f>VLOOKUP($B7,historia!$A$5:$CM$24,+HLOOKUP(AW$2,historia!$A$3:$EC$4,2,FALSE),FALSE)</f>
        <v>3</v>
      </c>
      <c r="AX7" s="58">
        <f>VLOOKUP($B7,historia!$A$5:$CM$24,+HLOOKUP(AX$2,historia!$A$3:$EC$4,2,FALSE),FALSE)</f>
        <v>4</v>
      </c>
      <c r="AY7" s="58">
        <f>VLOOKUP($B7,historia!$A$5:$CM$24,+HLOOKUP(AY$2,historia!$A$3:$EC$4,2,FALSE),FALSE)</f>
        <v>5</v>
      </c>
      <c r="AZ7" s="58">
        <f>VLOOKUP($B7,historia!$A$5:$CM$24,+HLOOKUP(AZ$2,historia!$A$3:$EC$4,2,FALSE),FALSE)</f>
        <v>4</v>
      </c>
      <c r="BA7" s="30"/>
      <c r="BB7" s="158" t="s">
        <v>423</v>
      </c>
      <c r="BC7" s="141">
        <v>4</v>
      </c>
      <c r="BD7" t="str">
        <f t="shared" si="19"/>
        <v>Arroz</v>
      </c>
      <c r="BE7">
        <f>+datos!R1</f>
        <v>18</v>
      </c>
      <c r="BF7" s="2" t="str">
        <f t="shared" si="4"/>
        <v>$/t</v>
      </c>
      <c r="BG7" s="2">
        <f t="shared" si="4"/>
        <v>280000</v>
      </c>
      <c r="BH7" s="2">
        <f t="shared" si="4"/>
        <v>210000</v>
      </c>
      <c r="BI7" s="2">
        <f t="shared" si="4"/>
        <v>44000</v>
      </c>
      <c r="BK7">
        <f>+datos!BZ1</f>
        <v>78</v>
      </c>
      <c r="BL7" s="2">
        <f t="shared" si="20"/>
        <v>3758.8346429261846</v>
      </c>
      <c r="BM7" s="2">
        <f t="shared" si="20"/>
        <v>3031.8453094604656</v>
      </c>
      <c r="BN7" s="2">
        <f t="shared" si="20"/>
        <v>1725.7529852342132</v>
      </c>
      <c r="BP7" s="1">
        <f>+datos!DM1</f>
        <v>117</v>
      </c>
      <c r="BQ7" s="1">
        <f t="shared" si="21"/>
        <v>200000</v>
      </c>
      <c r="BR7" s="1">
        <f t="shared" si="21"/>
        <v>200000</v>
      </c>
      <c r="BT7" s="1">
        <f>+datos!FH1</f>
        <v>164</v>
      </c>
      <c r="BU7" s="1">
        <f t="shared" si="22"/>
        <v>1200000</v>
      </c>
      <c r="BV7" s="1">
        <f t="shared" si="22"/>
        <v>1200000</v>
      </c>
      <c r="BX7" s="1">
        <f>+datos!JG1</f>
        <v>267</v>
      </c>
      <c r="BY7" s="1">
        <f t="shared" ref="BY7:BY24" si="38">+SUM(CJ7:CU7)</f>
        <v>260.70280158000003</v>
      </c>
      <c r="BZ7" s="1">
        <f t="shared" ref="BZ7:BZ24" si="39">+SUM(CV7:DG7)</f>
        <v>253.66316009000002</v>
      </c>
      <c r="CB7" s="1">
        <f>+datos!KL1</f>
        <v>298</v>
      </c>
      <c r="CC7" s="2">
        <f t="shared" si="23"/>
        <v>0.70086876000000009</v>
      </c>
      <c r="CD7" s="2">
        <f t="shared" si="24"/>
        <v>1.19447506</v>
      </c>
      <c r="CF7" s="1">
        <f>+datos!HU1</f>
        <v>229</v>
      </c>
      <c r="CG7" s="1">
        <f t="shared" si="25"/>
        <v>700000</v>
      </c>
      <c r="CH7" s="1">
        <f t="shared" si="26"/>
        <v>650000</v>
      </c>
      <c r="CJ7" s="1">
        <f t="shared" si="27"/>
        <v>16.180063639999997</v>
      </c>
      <c r="CK7" s="1">
        <f t="shared" si="27"/>
        <v>11.823193960000001</v>
      </c>
      <c r="CL7" s="1">
        <f t="shared" si="27"/>
        <v>12.24327484</v>
      </c>
      <c r="CM7" s="1">
        <f t="shared" si="27"/>
        <v>9.600226039999999</v>
      </c>
      <c r="CN7" s="1">
        <f t="shared" si="27"/>
        <v>26.338491399999999</v>
      </c>
      <c r="CO7" s="1">
        <f t="shared" si="27"/>
        <v>21.418726320000001</v>
      </c>
      <c r="CP7" s="1">
        <f t="shared" si="27"/>
        <v>22.255101539999998</v>
      </c>
      <c r="CQ7" s="1">
        <f t="shared" si="27"/>
        <v>44.848914040000004</v>
      </c>
      <c r="CR7" s="1">
        <f t="shared" si="27"/>
        <v>20.357260950000001</v>
      </c>
      <c r="CS7" s="1">
        <f t="shared" si="27"/>
        <v>17.134564559999998</v>
      </c>
      <c r="CT7" s="1">
        <f t="shared" si="27"/>
        <v>28.8463791</v>
      </c>
      <c r="CU7" s="1">
        <f t="shared" si="27"/>
        <v>29.656605189999997</v>
      </c>
      <c r="CV7" s="1">
        <f t="shared" si="27"/>
        <v>22.47426432</v>
      </c>
      <c r="CW7" s="1">
        <f t="shared" si="27"/>
        <v>15.997414339999999</v>
      </c>
      <c r="CX7" s="1">
        <f t="shared" si="27"/>
        <v>24.494655209999998</v>
      </c>
      <c r="CY7" s="1">
        <f t="shared" si="27"/>
        <v>19.108820979999997</v>
      </c>
      <c r="CZ7" s="1">
        <f t="shared" si="28"/>
        <v>27.47614467</v>
      </c>
      <c r="DA7" s="1">
        <f t="shared" si="28"/>
        <v>23.805809289999999</v>
      </c>
      <c r="DB7" s="1">
        <f t="shared" si="28"/>
        <v>20.76359953</v>
      </c>
      <c r="DC7" s="1">
        <f t="shared" si="28"/>
        <v>34.242525930000006</v>
      </c>
      <c r="DD7" s="1">
        <f t="shared" si="28"/>
        <v>22.796151390000002</v>
      </c>
      <c r="DE7" s="1">
        <f t="shared" si="28"/>
        <v>14.4671748</v>
      </c>
      <c r="DF7" s="1">
        <f t="shared" si="28"/>
        <v>9.4211813300000014</v>
      </c>
      <c r="DG7" s="1">
        <f t="shared" si="28"/>
        <v>18.615418300000002</v>
      </c>
      <c r="DI7" s="1">
        <f t="shared" si="29"/>
        <v>3.3462720000000001E-2</v>
      </c>
      <c r="DJ7" s="1">
        <f t="shared" si="29"/>
        <v>0.19098301000000001</v>
      </c>
      <c r="DK7" s="1">
        <f t="shared" si="29"/>
        <v>0.10767879</v>
      </c>
      <c r="DL7" s="1">
        <f t="shared" si="29"/>
        <v>5.5773490000000002E-2</v>
      </c>
      <c r="DM7" s="1">
        <f t="shared" si="29"/>
        <v>8.7189080000000002E-2</v>
      </c>
      <c r="DN7" s="1">
        <f t="shared" si="29"/>
        <v>3.9243889999999997E-2</v>
      </c>
      <c r="DO7" s="1">
        <f t="shared" si="29"/>
        <v>0.10892111</v>
      </c>
      <c r="DP7" s="1">
        <f t="shared" si="29"/>
        <v>1.8036480000000001E-2</v>
      </c>
      <c r="DQ7" s="1">
        <f t="shared" si="29"/>
        <v>2.0500000000000002E-3</v>
      </c>
      <c r="DR7" s="1">
        <f t="shared" si="29"/>
        <v>1.0492100000000001E-3</v>
      </c>
      <c r="DS7" s="1">
        <f t="shared" si="29"/>
        <v>2.7127990000000001E-2</v>
      </c>
      <c r="DT7" s="1">
        <f t="shared" si="29"/>
        <v>2.9352990000000002E-2</v>
      </c>
      <c r="DU7" s="1">
        <f t="shared" si="29"/>
        <v>4.3800639999999995E-2</v>
      </c>
      <c r="DV7" s="1">
        <f t="shared" si="29"/>
        <v>2.6976839999999998E-2</v>
      </c>
      <c r="DW7" s="1">
        <f t="shared" si="29"/>
        <v>0.38784603000000006</v>
      </c>
      <c r="DX7" s="1">
        <f t="shared" si="29"/>
        <v>0.13118235</v>
      </c>
      <c r="DY7" s="1">
        <f t="shared" si="30"/>
        <v>1.8151110000000002E-2</v>
      </c>
      <c r="DZ7" s="1">
        <f t="shared" si="30"/>
        <v>1.4073269999999999E-2</v>
      </c>
      <c r="EA7" s="1">
        <f t="shared" si="30"/>
        <v>1.6701199999999999E-2</v>
      </c>
      <c r="EB7" s="1">
        <f t="shared" si="30"/>
        <v>4.6643610000000002E-2</v>
      </c>
      <c r="EC7" s="1">
        <f t="shared" si="30"/>
        <v>7.7786450000000007E-2</v>
      </c>
      <c r="ED7" s="1">
        <f t="shared" si="30"/>
        <v>2.0000000000000001E-4</v>
      </c>
      <c r="EE7" s="1">
        <f t="shared" si="30"/>
        <v>0.20655000000000001</v>
      </c>
      <c r="EF7" s="1">
        <f t="shared" si="30"/>
        <v>0.22456356</v>
      </c>
      <c r="EH7" s="14">
        <f t="shared" si="31"/>
        <v>700000</v>
      </c>
      <c r="EI7" s="14">
        <f t="shared" si="31"/>
        <v>700000</v>
      </c>
      <c r="EJ7" s="1">
        <f t="shared" si="31"/>
        <v>700000</v>
      </c>
      <c r="EK7" s="1">
        <f t="shared" si="31"/>
        <v>700000</v>
      </c>
      <c r="EL7" s="1">
        <f t="shared" si="31"/>
        <v>700000</v>
      </c>
      <c r="EM7" s="1">
        <f t="shared" si="31"/>
        <v>700000</v>
      </c>
      <c r="EN7" s="1">
        <f t="shared" si="31"/>
        <v>700000</v>
      </c>
      <c r="EO7" s="1">
        <f t="shared" si="31"/>
        <v>700000</v>
      </c>
      <c r="EP7" s="1">
        <f t="shared" si="31"/>
        <v>700000</v>
      </c>
      <c r="EQ7" s="1">
        <f t="shared" si="31"/>
        <v>650000</v>
      </c>
      <c r="ER7" s="1">
        <f t="shared" si="31"/>
        <v>650000</v>
      </c>
      <c r="ES7" s="1">
        <f t="shared" si="31"/>
        <v>650000</v>
      </c>
      <c r="ET7" s="1">
        <f t="shared" si="31"/>
        <v>650000</v>
      </c>
      <c r="EU7" s="1">
        <f t="shared" si="31"/>
        <v>650000</v>
      </c>
      <c r="EV7" s="1">
        <f t="shared" si="31"/>
        <v>650000</v>
      </c>
      <c r="EW7" s="1">
        <f t="shared" si="31"/>
        <v>650000</v>
      </c>
      <c r="EX7" s="1">
        <f t="shared" si="32"/>
        <v>650000</v>
      </c>
      <c r="EY7" s="1">
        <f t="shared" si="32"/>
        <v>650000</v>
      </c>
      <c r="EZ7" s="1">
        <f t="shared" si="32"/>
        <v>650000</v>
      </c>
      <c r="FA7" s="1">
        <f t="shared" si="32"/>
        <v>650000</v>
      </c>
      <c r="FB7" s="1">
        <f t="shared" si="32"/>
        <v>650000</v>
      </c>
      <c r="FC7" s="1">
        <f t="shared" si="32"/>
        <v>700000</v>
      </c>
      <c r="FD7" s="1">
        <f t="shared" si="32"/>
        <v>700000</v>
      </c>
      <c r="FE7" s="1">
        <f t="shared" si="32"/>
        <v>700000</v>
      </c>
      <c r="FG7" s="162">
        <f t="shared" ref="FG7:FG24" si="40">+I7-K7</f>
        <v>4.1855525503170146</v>
      </c>
    </row>
    <row r="8" spans="1:163" ht="18" customHeight="1">
      <c r="A8" s="34">
        <f t="shared" ref="A8:A24" si="41">+A7+1</f>
        <v>3</v>
      </c>
      <c r="B8" s="34" t="s">
        <v>215</v>
      </c>
      <c r="C8" s="156">
        <f t="shared" si="5"/>
        <v>-0.66</v>
      </c>
      <c r="D8" s="24">
        <v>0</v>
      </c>
      <c r="E8" s="40">
        <f t="shared" si="6"/>
        <v>0.1120574245338708</v>
      </c>
      <c r="F8" s="41">
        <f t="shared" si="7"/>
        <v>-1.6037275622360347E-2</v>
      </c>
      <c r="G8" s="40">
        <f t="shared" si="8"/>
        <v>2.8236237346646709E-2</v>
      </c>
      <c r="H8" s="41">
        <f t="shared" si="9"/>
        <v>8.3821187187224089E-2</v>
      </c>
      <c r="I8" s="40">
        <f t="shared" si="10"/>
        <v>2.3703765589584909</v>
      </c>
      <c r="J8" s="41">
        <f t="shared" si="11"/>
        <v>0.76121988333540136</v>
      </c>
      <c r="K8" s="40"/>
      <c r="L8" s="41"/>
      <c r="M8" s="17"/>
      <c r="N8" s="24">
        <v>-1</v>
      </c>
      <c r="O8" s="40">
        <f t="shared" si="34"/>
        <v>0.43086080586080588</v>
      </c>
      <c r="P8" s="104">
        <f t="shared" si="35"/>
        <v>0.43086080586080588</v>
      </c>
      <c r="Q8" s="40">
        <f t="shared" si="13"/>
        <v>-1.5496445367683354E-2</v>
      </c>
      <c r="R8" s="42">
        <f t="shared" si="36"/>
        <v>-1.5496445367683354E-2</v>
      </c>
      <c r="S8" s="17"/>
      <c r="T8" s="24">
        <v>-1</v>
      </c>
      <c r="U8" s="40">
        <f>IFERROR(+BY8/BZ8-1,"")</f>
        <v>-0.37278330786504532</v>
      </c>
      <c r="V8" s="45">
        <f t="shared" si="15"/>
        <v>-0.37278330786504532</v>
      </c>
      <c r="W8" s="40">
        <f t="shared" si="37"/>
        <v>-0.20773235330609741</v>
      </c>
      <c r="X8" s="45">
        <f t="shared" si="16"/>
        <v>-0.20773235330609741</v>
      </c>
      <c r="Y8" s="40">
        <f t="shared" si="17"/>
        <v>-2.1720243266720729E-4</v>
      </c>
      <c r="Z8" s="45">
        <f t="shared" si="18"/>
        <v>-2.1720243266720729E-4</v>
      </c>
      <c r="AA8" s="30"/>
      <c r="AB8" s="61" t="s">
        <v>289</v>
      </c>
      <c r="AC8" s="61" t="s">
        <v>289</v>
      </c>
      <c r="AD8" s="61" t="s">
        <v>289</v>
      </c>
      <c r="AE8" s="61" t="s">
        <v>289</v>
      </c>
      <c r="AF8" s="61" t="s">
        <v>289</v>
      </c>
      <c r="AG8" s="61" t="s">
        <v>289</v>
      </c>
      <c r="AH8" s="61" t="s">
        <v>289</v>
      </c>
      <c r="AI8" s="61" t="s">
        <v>289</v>
      </c>
      <c r="AJ8" s="61" t="s">
        <v>289</v>
      </c>
      <c r="AK8" s="61" t="s">
        <v>289</v>
      </c>
      <c r="AL8" s="61" t="s">
        <v>289</v>
      </c>
      <c r="AM8" s="61" t="s">
        <v>289</v>
      </c>
      <c r="AO8" s="28">
        <f>VLOOKUP($B8,historia!$A$5:$CM$24,+HLOOKUP(AO$2,historia!$A$3:$EC$4,2,FALSE),FALSE)</f>
        <v>3</v>
      </c>
      <c r="AP8" s="28">
        <f>VLOOKUP($B8,historia!$A$5:$CM$24,+HLOOKUP(AP$2,historia!$A$3:$EC$4,2,FALSE),FALSE)</f>
        <v>2</v>
      </c>
      <c r="AQ8" s="28">
        <f>VLOOKUP($B8,historia!$A$5:$CM$24,+HLOOKUP(AQ$2,historia!$A$3:$EC$4,2,FALSE),FALSE)</f>
        <v>2</v>
      </c>
      <c r="AR8" s="28">
        <f>VLOOKUP($B8,historia!$A$5:$CM$24,+HLOOKUP(AR$2,historia!$A$3:$EC$4,2,FALSE),FALSE)</f>
        <v>2</v>
      </c>
      <c r="AS8" s="58">
        <f>VLOOKUP($B8,historia!$A$5:$CM$24,+HLOOKUP(AS$2,historia!$A$3:$EC$4,2,FALSE),FALSE)</f>
        <v>2</v>
      </c>
      <c r="AT8" s="58">
        <f>VLOOKUP($B8,historia!$A$5:$CM$24,+HLOOKUP(AT$2,historia!$A$3:$EC$4,2,FALSE),FALSE)</f>
        <v>2</v>
      </c>
      <c r="AU8" s="58">
        <f>VLOOKUP($B8,historia!$A$5:$CM$24,+HLOOKUP(AU$2,historia!$A$3:$EC$4,2,FALSE),FALSE)</f>
        <v>3</v>
      </c>
      <c r="AV8" s="58">
        <f>VLOOKUP($B8,historia!$A$5:$CM$24,+HLOOKUP(AV$2,historia!$A$3:$EC$4,2,FALSE),FALSE)</f>
        <v>3</v>
      </c>
      <c r="AW8" s="58">
        <f>VLOOKUP($B8,historia!$A$5:$CM$24,+HLOOKUP(AW$2,historia!$A$3:$EC$4,2,FALSE),FALSE)</f>
        <v>3</v>
      </c>
      <c r="AX8" s="58">
        <f>VLOOKUP($B8,historia!$A$5:$CM$24,+HLOOKUP(AX$2,historia!$A$3:$EC$4,2,FALSE),FALSE)</f>
        <v>4</v>
      </c>
      <c r="AY8" s="58">
        <f>VLOOKUP($B8,historia!$A$5:$CM$24,+HLOOKUP(AY$2,historia!$A$3:$EC$4,2,FALSE),FALSE)</f>
        <v>4</v>
      </c>
      <c r="AZ8" s="58">
        <f>VLOOKUP($B8,historia!$A$5:$CM$24,+HLOOKUP(AZ$2,historia!$A$3:$EC$4,2,FALSE),FALSE)</f>
        <v>4</v>
      </c>
      <c r="BA8" s="30"/>
      <c r="BB8" s="158" t="s">
        <v>424</v>
      </c>
      <c r="BC8" s="141">
        <v>4</v>
      </c>
      <c r="BD8" t="str">
        <f t="shared" si="19"/>
        <v>Aves</v>
      </c>
      <c r="BE8">
        <f>+datos!BQ1</f>
        <v>69</v>
      </c>
      <c r="BF8" s="2" t="str">
        <f t="shared" si="4"/>
        <v>prom pond huevo-carne</v>
      </c>
      <c r="BG8" s="2">
        <f t="shared" si="4"/>
        <v>891.85893390191904</v>
      </c>
      <c r="BH8" s="2">
        <f t="shared" si="4"/>
        <v>801.99</v>
      </c>
      <c r="BI8" s="2">
        <f t="shared" si="4"/>
        <v>264.61700000000002</v>
      </c>
      <c r="BK8">
        <f>+datos!DG1</f>
        <v>111</v>
      </c>
      <c r="BL8" s="2">
        <f t="shared" si="20"/>
        <v>3284.9697964875159</v>
      </c>
      <c r="BM8" s="2">
        <f t="shared" si="20"/>
        <v>3194.7617455735144</v>
      </c>
      <c r="BN8" s="2">
        <f t="shared" si="20"/>
        <v>1860.4081607654762</v>
      </c>
      <c r="BP8" s="1">
        <f>+datos!EP1</f>
        <v>146</v>
      </c>
      <c r="BQ8" s="1">
        <f t="shared" si="21"/>
        <v>9375</v>
      </c>
      <c r="BR8" s="1">
        <f t="shared" si="21"/>
        <v>6552</v>
      </c>
      <c r="BT8" s="1">
        <f>+datos!HM1</f>
        <v>221</v>
      </c>
      <c r="BU8" s="1">
        <f t="shared" si="22"/>
        <v>2361191.7400000002</v>
      </c>
      <c r="BV8" s="1">
        <f t="shared" si="22"/>
        <v>2398357.7599999998</v>
      </c>
      <c r="BX8" s="1">
        <f>+datos!KF1</f>
        <v>292</v>
      </c>
      <c r="BY8" s="1">
        <f t="shared" si="38"/>
        <v>368.85271920000002</v>
      </c>
      <c r="BZ8" s="1">
        <f t="shared" si="39"/>
        <v>588.07860796</v>
      </c>
      <c r="CB8" s="1">
        <f>+datos!LK1</f>
        <v>323</v>
      </c>
      <c r="CC8" s="2">
        <f t="shared" si="23"/>
        <v>41.658448169999993</v>
      </c>
      <c r="CD8" s="2">
        <f t="shared" si="24"/>
        <v>52.581281520000005</v>
      </c>
      <c r="CF8" s="1">
        <f>+datos!IL1</f>
        <v>246</v>
      </c>
      <c r="CG8" s="1">
        <f t="shared" si="25"/>
        <v>46.03</v>
      </c>
      <c r="CH8" s="1">
        <f t="shared" si="26"/>
        <v>46.04</v>
      </c>
      <c r="CJ8" s="1">
        <f t="shared" si="27"/>
        <v>30.603465830000005</v>
      </c>
      <c r="CK8" s="1">
        <f t="shared" si="27"/>
        <v>35.017556320000004</v>
      </c>
      <c r="CL8" s="1">
        <f t="shared" si="27"/>
        <v>24.343011479999998</v>
      </c>
      <c r="CM8" s="1">
        <f t="shared" si="27"/>
        <v>32.053320659999997</v>
      </c>
      <c r="CN8" s="1">
        <f t="shared" si="27"/>
        <v>25.827296739999998</v>
      </c>
      <c r="CO8" s="1">
        <f t="shared" si="27"/>
        <v>20.281404040000002</v>
      </c>
      <c r="CP8" s="1">
        <f t="shared" si="27"/>
        <v>20.776878260000004</v>
      </c>
      <c r="CQ8" s="1">
        <f t="shared" si="27"/>
        <v>18.00257775</v>
      </c>
      <c r="CR8" s="1">
        <f t="shared" si="27"/>
        <v>18.061317600000002</v>
      </c>
      <c r="CS8" s="1">
        <f t="shared" si="27"/>
        <v>50.712421620000008</v>
      </c>
      <c r="CT8" s="1">
        <f t="shared" si="27"/>
        <v>45.90045215</v>
      </c>
      <c r="CU8" s="1">
        <f t="shared" si="27"/>
        <v>47.273016750000004</v>
      </c>
      <c r="CV8" s="1">
        <f t="shared" si="27"/>
        <v>53.715518810000006</v>
      </c>
      <c r="CW8" s="1">
        <f t="shared" si="27"/>
        <v>52.265948369999997</v>
      </c>
      <c r="CX8" s="1">
        <f t="shared" si="27"/>
        <v>57.828382590000011</v>
      </c>
      <c r="CY8" s="1">
        <f t="shared" si="27"/>
        <v>63.168661010000001</v>
      </c>
      <c r="CZ8" s="1">
        <f t="shared" si="28"/>
        <v>52.541029930000001</v>
      </c>
      <c r="DA8" s="1">
        <f t="shared" si="28"/>
        <v>52.931487239999996</v>
      </c>
      <c r="DB8" s="1">
        <f t="shared" si="28"/>
        <v>47.642593229999996</v>
      </c>
      <c r="DC8" s="1">
        <f t="shared" si="28"/>
        <v>46.530829869999998</v>
      </c>
      <c r="DD8" s="1">
        <f t="shared" si="28"/>
        <v>44.812522269999995</v>
      </c>
      <c r="DE8" s="1">
        <f t="shared" si="28"/>
        <v>38.467503409999999</v>
      </c>
      <c r="DF8" s="1">
        <f t="shared" si="28"/>
        <v>36.97376294</v>
      </c>
      <c r="DG8" s="1">
        <f t="shared" si="28"/>
        <v>41.20036829</v>
      </c>
      <c r="DI8" s="1">
        <f t="shared" si="29"/>
        <v>4.3280037599999996</v>
      </c>
      <c r="DJ8" s="1">
        <f t="shared" si="29"/>
        <v>3.9253711099999995</v>
      </c>
      <c r="DK8" s="1">
        <f t="shared" si="29"/>
        <v>2.66724104</v>
      </c>
      <c r="DL8" s="1">
        <f t="shared" si="29"/>
        <v>1.3237541899999998</v>
      </c>
      <c r="DM8" s="1">
        <f t="shared" si="29"/>
        <v>4.0034089300000009</v>
      </c>
      <c r="DN8" s="1">
        <f t="shared" si="29"/>
        <v>4.2620939999999994</v>
      </c>
      <c r="DO8" s="1">
        <f t="shared" si="29"/>
        <v>6.8027163900000005</v>
      </c>
      <c r="DP8" s="1">
        <f t="shared" si="29"/>
        <v>1.73014019</v>
      </c>
      <c r="DQ8" s="1">
        <f t="shared" si="29"/>
        <v>6.4691643499999998</v>
      </c>
      <c r="DR8" s="1">
        <f t="shared" si="29"/>
        <v>1.80858622</v>
      </c>
      <c r="DS8" s="1">
        <f t="shared" si="29"/>
        <v>3.7432468400000003</v>
      </c>
      <c r="DT8" s="1">
        <f t="shared" si="29"/>
        <v>0.59472115000000003</v>
      </c>
      <c r="DU8" s="1">
        <f t="shared" si="29"/>
        <v>5.9863547400000003</v>
      </c>
      <c r="DV8" s="1">
        <f t="shared" si="29"/>
        <v>1.02297792</v>
      </c>
      <c r="DW8" s="1">
        <f t="shared" si="29"/>
        <v>3.9990310300000003</v>
      </c>
      <c r="DX8" s="1">
        <f t="shared" si="29"/>
        <v>3.76265019</v>
      </c>
      <c r="DY8" s="1">
        <f t="shared" si="30"/>
        <v>2.4988292100000002</v>
      </c>
      <c r="DZ8" s="1">
        <f t="shared" si="30"/>
        <v>6.8785433699999992</v>
      </c>
      <c r="EA8" s="1">
        <f t="shared" si="30"/>
        <v>3.7076194099999999</v>
      </c>
      <c r="EB8" s="1">
        <f t="shared" si="30"/>
        <v>6.7897798000000007</v>
      </c>
      <c r="EC8" s="1">
        <f t="shared" si="30"/>
        <v>6.0188496399999991</v>
      </c>
      <c r="ED8" s="1">
        <f t="shared" si="30"/>
        <v>4.87628489</v>
      </c>
      <c r="EE8" s="1">
        <f t="shared" si="30"/>
        <v>3.12508477</v>
      </c>
      <c r="EF8" s="1">
        <f t="shared" si="30"/>
        <v>3.9152765500000002</v>
      </c>
      <c r="EH8" s="14">
        <f t="shared" si="31"/>
        <v>46.03</v>
      </c>
      <c r="EI8" s="14">
        <f t="shared" si="31"/>
        <v>46.13</v>
      </c>
      <c r="EJ8" s="1">
        <f t="shared" si="31"/>
        <v>45.88</v>
      </c>
      <c r="EK8" s="1">
        <f t="shared" si="31"/>
        <v>46.09</v>
      </c>
      <c r="EL8" s="1">
        <f t="shared" si="31"/>
        <v>45.9</v>
      </c>
      <c r="EM8" s="1">
        <f t="shared" si="31"/>
        <v>46</v>
      </c>
      <c r="EN8" s="1">
        <f t="shared" si="31"/>
        <v>45.99</v>
      </c>
      <c r="EO8" s="1">
        <f t="shared" si="31"/>
        <v>45.74</v>
      </c>
      <c r="EP8" s="1">
        <f t="shared" si="31"/>
        <v>45.46</v>
      </c>
      <c r="EQ8" s="1">
        <f t="shared" si="31"/>
        <v>45.56</v>
      </c>
      <c r="ER8" s="1">
        <f t="shared" si="31"/>
        <v>45.71</v>
      </c>
      <c r="ES8" s="1">
        <f t="shared" si="31"/>
        <v>45.71</v>
      </c>
      <c r="ET8" s="1">
        <f t="shared" si="31"/>
        <v>46.04</v>
      </c>
      <c r="EU8" s="1">
        <f t="shared" si="31"/>
        <v>45.9</v>
      </c>
      <c r="EV8" s="1">
        <f t="shared" si="31"/>
        <v>48.39</v>
      </c>
      <c r="EW8" s="1">
        <f t="shared" si="31"/>
        <v>47.03</v>
      </c>
      <c r="EX8" s="1">
        <f t="shared" si="32"/>
        <v>45.75</v>
      </c>
      <c r="EY8" s="1">
        <f t="shared" si="32"/>
        <v>45.91</v>
      </c>
      <c r="EZ8" s="1">
        <f t="shared" si="32"/>
        <v>44.361936471267661</v>
      </c>
      <c r="FA8" s="1">
        <f t="shared" si="32"/>
        <v>44.13</v>
      </c>
      <c r="FB8" s="1">
        <f t="shared" si="32"/>
        <v>46.9</v>
      </c>
      <c r="FC8" s="1">
        <f t="shared" si="32"/>
        <v>45.48</v>
      </c>
      <c r="FD8" s="1">
        <f t="shared" si="32"/>
        <v>43.11</v>
      </c>
      <c r="FE8" s="1">
        <f t="shared" si="32"/>
        <v>45.78</v>
      </c>
      <c r="FG8" s="162">
        <f t="shared" si="40"/>
        <v>2.3703765589584909</v>
      </c>
    </row>
    <row r="9" spans="1:163" ht="18" customHeight="1">
      <c r="A9" s="34">
        <f t="shared" si="41"/>
        <v>4</v>
      </c>
      <c r="B9" s="34" t="s">
        <v>77</v>
      </c>
      <c r="C9" s="156">
        <f t="shared" si="5"/>
        <v>0</v>
      </c>
      <c r="D9" s="24">
        <v>0</v>
      </c>
      <c r="E9" s="40">
        <f t="shared" si="6"/>
        <v>0.14925173192482877</v>
      </c>
      <c r="F9" s="41">
        <f t="shared" si="7"/>
        <v>2.1157031768597623E-2</v>
      </c>
      <c r="G9" s="40">
        <f t="shared" si="8"/>
        <v>0.15978784459659723</v>
      </c>
      <c r="H9" s="41">
        <f t="shared" si="9"/>
        <v>-1.0536112671768461E-2</v>
      </c>
      <c r="I9" s="40">
        <f t="shared" si="10"/>
        <v>2.2743580500837552</v>
      </c>
      <c r="J9" s="41">
        <f t="shared" si="11"/>
        <v>0.66520137446066574</v>
      </c>
      <c r="K9" s="40">
        <f t="shared" si="33"/>
        <v>1.2612396273796995</v>
      </c>
      <c r="L9" s="41">
        <f t="shared" si="12"/>
        <v>1.0131184227040557</v>
      </c>
      <c r="M9" s="17"/>
      <c r="N9" s="24">
        <v>1</v>
      </c>
      <c r="O9" s="40">
        <f t="shared" si="34"/>
        <v>1.5466400930724822E-2</v>
      </c>
      <c r="P9" s="104">
        <f t="shared" si="35"/>
        <v>1.5466400930724822E-2</v>
      </c>
      <c r="Q9" s="40">
        <f t="shared" si="13"/>
        <v>6.632809037223697E-2</v>
      </c>
      <c r="R9" s="42">
        <f t="shared" si="36"/>
        <v>6.632809037223697E-2</v>
      </c>
      <c r="S9" s="17"/>
      <c r="T9" s="24">
        <v>-1</v>
      </c>
      <c r="U9" s="40">
        <f t="shared" si="14"/>
        <v>-0.20098263296858876</v>
      </c>
      <c r="V9" s="45">
        <f t="shared" si="15"/>
        <v>-0.20098263296858876</v>
      </c>
      <c r="W9" s="40">
        <f t="shared" si="37"/>
        <v>-0.4728143984452764</v>
      </c>
      <c r="X9" s="45">
        <f t="shared" si="16"/>
        <v>-0.4728143984452764</v>
      </c>
      <c r="Y9" s="40">
        <f t="shared" si="17"/>
        <v>6.211180124223592E-2</v>
      </c>
      <c r="Z9" s="45">
        <f t="shared" si="18"/>
        <v>6.211180124223592E-2</v>
      </c>
      <c r="AA9" s="30"/>
      <c r="AB9" s="61" t="s">
        <v>289</v>
      </c>
      <c r="AC9" s="61" t="s">
        <v>289</v>
      </c>
      <c r="AD9" s="61" t="s">
        <v>289</v>
      </c>
      <c r="AE9" s="61" t="s">
        <v>289</v>
      </c>
      <c r="AF9" s="61" t="s">
        <v>289</v>
      </c>
      <c r="AG9" s="61" t="s">
        <v>289</v>
      </c>
      <c r="AH9" s="61" t="s">
        <v>289</v>
      </c>
      <c r="AI9" s="61" t="s">
        <v>289</v>
      </c>
      <c r="AJ9" s="61" t="s">
        <v>289</v>
      </c>
      <c r="AK9" s="61" t="s">
        <v>289</v>
      </c>
      <c r="AL9" s="61" t="s">
        <v>289</v>
      </c>
      <c r="AM9" s="61" t="s">
        <v>289</v>
      </c>
      <c r="AO9" s="28">
        <f>VLOOKUP($B9,historia!$A$5:$CM$24,+HLOOKUP(AO$2,historia!$A$3:$EC$4,2,FALSE),FALSE)</f>
        <v>5</v>
      </c>
      <c r="AP9" s="28">
        <f>VLOOKUP($B9,historia!$A$5:$CM$24,+HLOOKUP(AP$2,historia!$A$3:$EC$4,2,FALSE),FALSE)</f>
        <v>4</v>
      </c>
      <c r="AQ9" s="28">
        <f>VLOOKUP($B9,historia!$A$5:$CM$24,+HLOOKUP(AQ$2,historia!$A$3:$EC$4,2,FALSE),FALSE)</f>
        <v>3</v>
      </c>
      <c r="AR9" s="28">
        <f>VLOOKUP($B9,historia!$A$5:$CM$24,+HLOOKUP(AR$2,historia!$A$3:$EC$4,2,FALSE),FALSE)</f>
        <v>4</v>
      </c>
      <c r="AS9" s="58">
        <f>VLOOKUP($B9,historia!$A$5:$CM$24,+HLOOKUP(AS$2,historia!$A$3:$EC$4,2,FALSE),FALSE)</f>
        <v>4</v>
      </c>
      <c r="AT9" s="58">
        <f>VLOOKUP($B9,historia!$A$5:$CM$24,+HLOOKUP(AT$2,historia!$A$3:$EC$4,2,FALSE),FALSE)</f>
        <v>3</v>
      </c>
      <c r="AU9" s="58">
        <f>VLOOKUP($B9,historia!$A$5:$CM$24,+HLOOKUP(AU$2,historia!$A$3:$EC$4,2,FALSE),FALSE)</f>
        <v>4</v>
      </c>
      <c r="AV9" s="58">
        <f>VLOOKUP($B9,historia!$A$5:$CM$24,+HLOOKUP(AV$2,historia!$A$3:$EC$4,2,FALSE),FALSE)</f>
        <v>4</v>
      </c>
      <c r="AW9" s="58">
        <f>VLOOKUP($B9,historia!$A$5:$CM$24,+HLOOKUP(AW$2,historia!$A$3:$EC$4,2,FALSE),FALSE)</f>
        <v>4</v>
      </c>
      <c r="AX9" s="58">
        <f>VLOOKUP($B9,historia!$A$5:$CM$24,+HLOOKUP(AX$2,historia!$A$3:$EC$4,2,FALSE),FALSE)</f>
        <v>4</v>
      </c>
      <c r="AY9" s="58">
        <f>VLOOKUP($B9,historia!$A$5:$CM$24,+HLOOKUP(AY$2,historia!$A$3:$EC$4,2,FALSE),FALSE)</f>
        <v>3</v>
      </c>
      <c r="AZ9" s="58">
        <f>VLOOKUP($B9,historia!$A$5:$CM$24,+HLOOKUP(AZ$2,historia!$A$3:$EC$4,2,FALSE),FALSE)</f>
        <v>3</v>
      </c>
      <c r="BA9" s="30"/>
      <c r="BB9" s="158" t="s">
        <v>425</v>
      </c>
      <c r="BC9" s="141">
        <v>3</v>
      </c>
      <c r="BD9" t="str">
        <f t="shared" si="19"/>
        <v>Bovinos</v>
      </c>
      <c r="BE9">
        <f>+datos!BM1</f>
        <v>65</v>
      </c>
      <c r="BF9" s="2" t="str">
        <f t="shared" si="4"/>
        <v>$/kg</v>
      </c>
      <c r="BG9" s="2">
        <f t="shared" si="4"/>
        <v>1080.954</v>
      </c>
      <c r="BH9" s="2">
        <f t="shared" si="4"/>
        <v>940.572</v>
      </c>
      <c r="BI9" s="2">
        <f t="shared" si="4"/>
        <v>330.12700000000001</v>
      </c>
      <c r="BK9">
        <f>+datos!DB1</f>
        <v>106</v>
      </c>
      <c r="BL9" s="2">
        <f t="shared" si="20"/>
        <v>3945.015833548885</v>
      </c>
      <c r="BM9" s="2">
        <f t="shared" si="20"/>
        <v>3401.4978273212187</v>
      </c>
      <c r="BN9" s="2">
        <f t="shared" si="20"/>
        <v>1744.6252868477841</v>
      </c>
      <c r="BP9" s="1">
        <f>+datos!EH1</f>
        <v>138</v>
      </c>
      <c r="BQ9" s="1">
        <f t="shared" si="21"/>
        <v>54242595</v>
      </c>
      <c r="BR9" s="1">
        <f t="shared" si="21"/>
        <v>53416435</v>
      </c>
      <c r="BT9" s="1">
        <f>+datos!HB1</f>
        <v>210</v>
      </c>
      <c r="BU9" s="1">
        <f t="shared" si="22"/>
        <v>3303140</v>
      </c>
      <c r="BV9" s="1">
        <f t="shared" si="22"/>
        <v>3097677</v>
      </c>
      <c r="BX9" s="1">
        <f>+datos!KG1</f>
        <v>293</v>
      </c>
      <c r="BY9" s="1">
        <f t="shared" si="38"/>
        <v>3881.2134997299995</v>
      </c>
      <c r="BZ9" s="1">
        <f t="shared" si="39"/>
        <v>4857.4832786799989</v>
      </c>
      <c r="CB9" s="1">
        <f>+datos!LL1</f>
        <v>324</v>
      </c>
      <c r="CC9" s="2">
        <f t="shared" si="23"/>
        <v>45.479679919999995</v>
      </c>
      <c r="CD9" s="2">
        <f t="shared" si="24"/>
        <v>86.268820290000008</v>
      </c>
      <c r="CF9" s="1">
        <f>+datos!IM1</f>
        <v>247</v>
      </c>
      <c r="CG9" s="1">
        <f t="shared" si="25"/>
        <v>51.3</v>
      </c>
      <c r="CH9" s="1">
        <f t="shared" si="26"/>
        <v>48.3</v>
      </c>
      <c r="CJ9" s="1">
        <f t="shared" si="27"/>
        <v>321.39038838999994</v>
      </c>
      <c r="CK9" s="1">
        <f t="shared" si="27"/>
        <v>273.58963931999995</v>
      </c>
      <c r="CL9" s="1">
        <f t="shared" si="27"/>
        <v>292.91820976000002</v>
      </c>
      <c r="CM9" s="1">
        <f t="shared" si="27"/>
        <v>371.72573624</v>
      </c>
      <c r="CN9" s="1">
        <f t="shared" si="27"/>
        <v>378.12790802000001</v>
      </c>
      <c r="CO9" s="1">
        <f t="shared" si="27"/>
        <v>308.34921994000001</v>
      </c>
      <c r="CP9" s="1">
        <f t="shared" si="27"/>
        <v>390.63577031</v>
      </c>
      <c r="CQ9" s="1">
        <f t="shared" si="27"/>
        <v>337.45013477999998</v>
      </c>
      <c r="CR9" s="1">
        <f t="shared" si="27"/>
        <v>339.25205494000011</v>
      </c>
      <c r="CS9" s="1">
        <f t="shared" si="27"/>
        <v>296.44265344999985</v>
      </c>
      <c r="CT9" s="1">
        <f t="shared" si="27"/>
        <v>285.75014393999987</v>
      </c>
      <c r="CU9" s="1">
        <f t="shared" si="27"/>
        <v>285.58164063999999</v>
      </c>
      <c r="CV9" s="1">
        <f t="shared" si="27"/>
        <v>342.68232461000008</v>
      </c>
      <c r="CW9" s="1">
        <f t="shared" si="27"/>
        <v>391.68086485999982</v>
      </c>
      <c r="CX9" s="1">
        <f t="shared" si="27"/>
        <v>421.96396532</v>
      </c>
      <c r="CY9" s="1">
        <f t="shared" si="27"/>
        <v>444.66007973000006</v>
      </c>
      <c r="CZ9" s="1">
        <f t="shared" si="28"/>
        <v>462.76323376000011</v>
      </c>
      <c r="DA9" s="1">
        <f t="shared" si="28"/>
        <v>455.63660227999975</v>
      </c>
      <c r="DB9" s="1">
        <f t="shared" si="28"/>
        <v>463.06945083000005</v>
      </c>
      <c r="DC9" s="1">
        <f t="shared" si="28"/>
        <v>405.16040881999982</v>
      </c>
      <c r="DD9" s="1">
        <f t="shared" si="28"/>
        <v>406.87993106999983</v>
      </c>
      <c r="DE9" s="1">
        <f t="shared" si="28"/>
        <v>367.95183931999992</v>
      </c>
      <c r="DF9" s="1">
        <f t="shared" si="28"/>
        <v>318.13535340999994</v>
      </c>
      <c r="DG9" s="1">
        <f t="shared" si="28"/>
        <v>376.8992246699998</v>
      </c>
      <c r="DI9" s="1">
        <f t="shared" si="29"/>
        <v>3.5927978000000009</v>
      </c>
      <c r="DJ9" s="1">
        <f t="shared" si="29"/>
        <v>2.53051044</v>
      </c>
      <c r="DK9" s="1">
        <f t="shared" si="29"/>
        <v>2.3401237999999998</v>
      </c>
      <c r="DL9" s="1">
        <f t="shared" si="29"/>
        <v>2.4632922899999996</v>
      </c>
      <c r="DM9" s="1">
        <f t="shared" si="29"/>
        <v>3.8179622399999995</v>
      </c>
      <c r="DN9" s="1">
        <f t="shared" si="29"/>
        <v>3.8355995800000002</v>
      </c>
      <c r="DO9" s="1">
        <f t="shared" si="29"/>
        <v>7.3409295600000002</v>
      </c>
      <c r="DP9" s="1">
        <f t="shared" si="29"/>
        <v>3.8261937100000005</v>
      </c>
      <c r="DQ9" s="1">
        <f t="shared" si="29"/>
        <v>5.3486285699999998</v>
      </c>
      <c r="DR9" s="1">
        <f t="shared" si="29"/>
        <v>4.398381099999999</v>
      </c>
      <c r="DS9" s="1">
        <f t="shared" si="29"/>
        <v>4.3987828499999999</v>
      </c>
      <c r="DT9" s="1">
        <f t="shared" si="29"/>
        <v>1.58647798</v>
      </c>
      <c r="DU9" s="1">
        <f t="shared" si="29"/>
        <v>2.6207546900000001</v>
      </c>
      <c r="DV9" s="1">
        <f t="shared" si="29"/>
        <v>6.877667439999998</v>
      </c>
      <c r="DW9" s="1">
        <f t="shared" si="29"/>
        <v>6.5255502400000012</v>
      </c>
      <c r="DX9" s="1">
        <f t="shared" si="29"/>
        <v>13.413963769999999</v>
      </c>
      <c r="DY9" s="1">
        <f t="shared" si="30"/>
        <v>5.3105555200000003</v>
      </c>
      <c r="DZ9" s="1">
        <f t="shared" si="30"/>
        <v>9.8886848400000016</v>
      </c>
      <c r="EA9" s="1">
        <f t="shared" si="30"/>
        <v>11.561262900000001</v>
      </c>
      <c r="EB9" s="1">
        <f t="shared" si="30"/>
        <v>6.5691069199999994</v>
      </c>
      <c r="EC9" s="1">
        <f t="shared" si="30"/>
        <v>8.9778956500000007</v>
      </c>
      <c r="ED9" s="1">
        <f t="shared" si="30"/>
        <v>3.9629320999999997</v>
      </c>
      <c r="EE9" s="1">
        <f t="shared" si="30"/>
        <v>5.2284191199999999</v>
      </c>
      <c r="EF9" s="1">
        <f t="shared" si="30"/>
        <v>5.3320271000000012</v>
      </c>
      <c r="EH9" s="14">
        <f t="shared" si="31"/>
        <v>51.3</v>
      </c>
      <c r="EI9" s="14">
        <f t="shared" si="31"/>
        <v>51.15</v>
      </c>
      <c r="EJ9" s="1">
        <f t="shared" si="31"/>
        <v>51.01</v>
      </c>
      <c r="EK9" s="1">
        <f t="shared" si="31"/>
        <v>51.15</v>
      </c>
      <c r="EL9" s="1">
        <f t="shared" si="31"/>
        <v>51.72</v>
      </c>
      <c r="EM9" s="1">
        <f t="shared" si="31"/>
        <v>51.32</v>
      </c>
      <c r="EN9" s="1">
        <f t="shared" si="31"/>
        <v>50.44</v>
      </c>
      <c r="EO9" s="1">
        <f t="shared" si="31"/>
        <v>50.29</v>
      </c>
      <c r="EP9" s="1">
        <f t="shared" si="31"/>
        <v>50.29</v>
      </c>
      <c r="EQ9" s="1">
        <f t="shared" si="31"/>
        <v>49.14</v>
      </c>
      <c r="ER9" s="1">
        <f t="shared" si="31"/>
        <v>48.66</v>
      </c>
      <c r="ES9" s="1">
        <f t="shared" si="31"/>
        <v>48.66</v>
      </c>
      <c r="ET9" s="1">
        <f t="shared" si="31"/>
        <v>48.3</v>
      </c>
      <c r="EU9" s="1">
        <f t="shared" si="31"/>
        <v>48.39</v>
      </c>
      <c r="EV9" s="1">
        <f t="shared" si="31"/>
        <v>48.62</v>
      </c>
      <c r="EW9" s="1">
        <f t="shared" si="31"/>
        <v>48.17</v>
      </c>
      <c r="EX9" s="1">
        <f t="shared" si="32"/>
        <v>48.03</v>
      </c>
      <c r="EY9" s="1">
        <f t="shared" si="32"/>
        <v>48.58</v>
      </c>
      <c r="EZ9" s="1">
        <f t="shared" si="32"/>
        <v>49.05</v>
      </c>
      <c r="FA9" s="1">
        <f t="shared" si="32"/>
        <v>47.84</v>
      </c>
      <c r="FB9" s="1">
        <f t="shared" si="32"/>
        <v>47.93</v>
      </c>
      <c r="FC9" s="1">
        <f t="shared" si="32"/>
        <v>46.96</v>
      </c>
      <c r="FD9" s="1">
        <f t="shared" si="32"/>
        <v>43.19</v>
      </c>
      <c r="FE9" s="1">
        <f t="shared" si="32"/>
        <v>50.01</v>
      </c>
      <c r="FG9" s="162">
        <f t="shared" si="40"/>
        <v>1.0131184227040557</v>
      </c>
    </row>
    <row r="10" spans="1:163" ht="18" customHeight="1">
      <c r="A10" s="34">
        <f t="shared" si="41"/>
        <v>5</v>
      </c>
      <c r="B10" s="34" t="s">
        <v>221</v>
      </c>
      <c r="C10" s="156">
        <f t="shared" si="5"/>
        <v>-0.66</v>
      </c>
      <c r="D10" s="24">
        <v>0</v>
      </c>
      <c r="E10" s="40">
        <f t="shared" si="6"/>
        <v>0.20145047548430584</v>
      </c>
      <c r="F10" s="41">
        <f t="shared" si="7"/>
        <v>7.335577532807469E-2</v>
      </c>
      <c r="G10" s="40">
        <f t="shared" si="8"/>
        <v>0.18110400322262388</v>
      </c>
      <c r="H10" s="41">
        <f t="shared" si="9"/>
        <v>2.0346472261681958E-2</v>
      </c>
      <c r="I10" s="40">
        <f t="shared" si="10"/>
        <v>4.5065458632146855</v>
      </c>
      <c r="J10" s="41">
        <f t="shared" si="11"/>
        <v>2.897389187591596</v>
      </c>
      <c r="K10" s="40">
        <f t="shared" si="33"/>
        <v>1.2809851744573537</v>
      </c>
      <c r="L10" s="41">
        <f t="shared" si="12"/>
        <v>3.2255606887573318</v>
      </c>
      <c r="M10" s="17"/>
      <c r="N10" s="24">
        <v>-1</v>
      </c>
      <c r="O10" s="40">
        <f t="shared" si="34"/>
        <v>7.0781598928092881E-2</v>
      </c>
      <c r="P10" s="104">
        <f t="shared" si="35"/>
        <v>7.0781598928092881E-2</v>
      </c>
      <c r="Q10" s="40">
        <f t="shared" si="13"/>
        <v>0.22785448708242151</v>
      </c>
      <c r="R10" s="42">
        <f t="shared" si="36"/>
        <v>0.22785448708242151</v>
      </c>
      <c r="S10" s="17"/>
      <c r="T10" s="24">
        <v>-1</v>
      </c>
      <c r="U10" s="40">
        <f t="shared" si="14"/>
        <v>2.0424367108855312E-2</v>
      </c>
      <c r="V10" s="45">
        <f t="shared" si="15"/>
        <v>2.0424367108855312E-2</v>
      </c>
      <c r="W10" s="40">
        <f t="shared" si="37"/>
        <v>0.18942673642629271</v>
      </c>
      <c r="X10" s="45">
        <f t="shared" si="16"/>
        <v>0.18942673642629271</v>
      </c>
      <c r="Y10" s="40"/>
      <c r="Z10" s="45"/>
      <c r="AA10" s="30"/>
      <c r="AB10" s="61" t="s">
        <v>289</v>
      </c>
      <c r="AC10" s="61" t="s">
        <v>289</v>
      </c>
      <c r="AD10" s="61" t="s">
        <v>289</v>
      </c>
      <c r="AE10" s="61" t="s">
        <v>289</v>
      </c>
      <c r="AF10" s="61" t="s">
        <v>289</v>
      </c>
      <c r="AG10" s="61" t="s">
        <v>289</v>
      </c>
      <c r="AH10" s="61" t="s">
        <v>289</v>
      </c>
      <c r="AI10" s="61" t="s">
        <v>289</v>
      </c>
      <c r="AJ10" s="61" t="s">
        <v>289</v>
      </c>
      <c r="AK10" s="61" t="s">
        <v>289</v>
      </c>
      <c r="AL10" s="61" t="s">
        <v>289</v>
      </c>
      <c r="AM10" s="61" t="s">
        <v>289</v>
      </c>
      <c r="AO10" s="28">
        <f>VLOOKUP($B10,historia!$A$5:$CM$24,+HLOOKUP(AO$2,historia!$A$3:$EC$4,2,FALSE),FALSE)</f>
        <v>4</v>
      </c>
      <c r="AP10" s="28">
        <f>VLOOKUP($B10,historia!$A$5:$CM$24,+HLOOKUP(AP$2,historia!$A$3:$EC$4,2,FALSE),FALSE)</f>
        <v>4</v>
      </c>
      <c r="AQ10" s="28">
        <f>VLOOKUP($B10,historia!$A$5:$CM$24,+HLOOKUP(AQ$2,historia!$A$3:$EC$4,2,FALSE),FALSE)</f>
        <v>4</v>
      </c>
      <c r="AR10" s="28">
        <f>VLOOKUP($B10,historia!$A$5:$CM$24,+HLOOKUP(AR$2,historia!$A$3:$EC$4,2,FALSE),FALSE)</f>
        <v>4</v>
      </c>
      <c r="AS10" s="58">
        <f>VLOOKUP($B10,historia!$A$5:$CM$24,+HLOOKUP(AS$2,historia!$A$3:$EC$4,2,FALSE),FALSE)</f>
        <v>4</v>
      </c>
      <c r="AT10" s="58">
        <f>VLOOKUP($B10,historia!$A$5:$CM$24,+HLOOKUP(AT$2,historia!$A$3:$EC$4,2,FALSE),FALSE)</f>
        <v>4</v>
      </c>
      <c r="AU10" s="58">
        <f>VLOOKUP($B10,historia!$A$5:$CM$24,+HLOOKUP(AU$2,historia!$A$3:$EC$4,2,FALSE),FALSE)</f>
        <v>5</v>
      </c>
      <c r="AV10" s="58">
        <f>VLOOKUP($B10,historia!$A$5:$CM$24,+HLOOKUP(AV$2,historia!$A$3:$EC$4,2,FALSE),FALSE)</f>
        <v>5</v>
      </c>
      <c r="AW10" s="58">
        <f>VLOOKUP($B10,historia!$A$5:$CM$24,+HLOOKUP(AW$2,historia!$A$3:$EC$4,2,FALSE),FALSE)</f>
        <v>5</v>
      </c>
      <c r="AX10" s="58">
        <f>VLOOKUP($B10,historia!$A$5:$CM$24,+HLOOKUP(AX$2,historia!$A$3:$EC$4,2,FALSE),FALSE)</f>
        <v>4</v>
      </c>
      <c r="AY10" s="58">
        <f>VLOOKUP($B10,historia!$A$5:$CM$24,+HLOOKUP(AY$2,historia!$A$3:$EC$4,2,FALSE),FALSE)</f>
        <v>4</v>
      </c>
      <c r="AZ10" s="58">
        <f>VLOOKUP($B10,historia!$A$5:$CM$24,+HLOOKUP(AZ$2,historia!$A$3:$EC$4,2,FALSE),FALSE)</f>
        <v>4</v>
      </c>
      <c r="BA10" s="30"/>
      <c r="BB10" s="158" t="s">
        <v>426</v>
      </c>
      <c r="BC10" s="141">
        <v>4</v>
      </c>
      <c r="BD10" t="str">
        <f t="shared" si="19"/>
        <v>Cítricos Dulces</v>
      </c>
      <c r="BE10">
        <f>+datos!AU1</f>
        <v>47</v>
      </c>
      <c r="BF10" s="2" t="str">
        <f t="shared" si="4"/>
        <v>$/caja 18kg</v>
      </c>
      <c r="BG10" s="2">
        <f t="shared" si="4"/>
        <v>6969.2100840336134</v>
      </c>
      <c r="BH10" s="2">
        <f t="shared" si="4"/>
        <v>5800.6636363636362</v>
      </c>
      <c r="BI10" s="2">
        <f t="shared" si="4"/>
        <v>1265.6228163992871</v>
      </c>
      <c r="BK10">
        <f>+datos!CX1</f>
        <v>102</v>
      </c>
      <c r="BL10" s="2">
        <f t="shared" si="20"/>
        <v>3761.514816252346</v>
      </c>
      <c r="BM10" s="2">
        <f t="shared" si="20"/>
        <v>3184.7447862246777</v>
      </c>
      <c r="BN10" s="2">
        <f t="shared" si="20"/>
        <v>1649.0746447517838</v>
      </c>
      <c r="BP10" s="1">
        <f>+datos!ER1</f>
        <v>148</v>
      </c>
      <c r="BQ10" s="1">
        <f t="shared" si="21"/>
        <v>79916</v>
      </c>
      <c r="BR10" s="1">
        <f t="shared" si="21"/>
        <v>74633.333333333328</v>
      </c>
      <c r="BT10" s="1">
        <f>+datos!GH1</f>
        <v>190</v>
      </c>
      <c r="BU10" s="1">
        <f t="shared" si="22"/>
        <v>1565000</v>
      </c>
      <c r="BV10" s="1">
        <f t="shared" si="22"/>
        <v>1274581</v>
      </c>
      <c r="BX10" s="1">
        <f>+datos!LT1</f>
        <v>332</v>
      </c>
      <c r="BY10" s="1">
        <f t="shared" si="38"/>
        <v>49.410213599999992</v>
      </c>
      <c r="BZ10" s="1">
        <f t="shared" si="39"/>
        <v>48.42124041000001</v>
      </c>
      <c r="CA10" s="1"/>
      <c r="CB10" s="1">
        <f>+datos!LX1</f>
        <v>336</v>
      </c>
      <c r="CC10" s="2">
        <f t="shared" si="23"/>
        <v>4.9353971899999998</v>
      </c>
      <c r="CD10" s="2">
        <f t="shared" si="24"/>
        <v>4.1493915000000001</v>
      </c>
      <c r="CF10" s="1">
        <f>+datos!IV1</f>
        <v>256</v>
      </c>
      <c r="CG10" s="1">
        <f t="shared" si="25"/>
        <v>19.739999999999998</v>
      </c>
      <c r="CH10" s="1">
        <f t="shared" si="26"/>
        <v>18.77</v>
      </c>
      <c r="CJ10" s="1">
        <f t="shared" si="27"/>
        <v>7.8852843799999999</v>
      </c>
      <c r="CK10" s="1">
        <f t="shared" si="27"/>
        <v>4.4927710999999997</v>
      </c>
      <c r="CL10" s="1">
        <f t="shared" si="27"/>
        <v>3.9018705800000002</v>
      </c>
      <c r="CM10" s="1">
        <f t="shared" si="27"/>
        <v>10.723855849999996</v>
      </c>
      <c r="CN10" s="1">
        <f t="shared" si="27"/>
        <v>7.5775361799999992</v>
      </c>
      <c r="CO10" s="1">
        <f t="shared" si="27"/>
        <v>1.25129154</v>
      </c>
      <c r="CP10" s="1">
        <f t="shared" si="27"/>
        <v>0.77785399999999993</v>
      </c>
      <c r="CQ10" s="1">
        <f t="shared" si="27"/>
        <v>1.96707276</v>
      </c>
      <c r="CR10" s="1">
        <f t="shared" si="27"/>
        <v>1.7333935799999998</v>
      </c>
      <c r="CS10" s="1">
        <f t="shared" si="27"/>
        <v>4.5063326699999999</v>
      </c>
      <c r="CT10" s="1">
        <f t="shared" si="27"/>
        <v>2.6066778199999998</v>
      </c>
      <c r="CU10" s="1">
        <f t="shared" si="27"/>
        <v>1.98627314</v>
      </c>
      <c r="CV10" s="1">
        <f t="shared" si="27"/>
        <v>2.7714215800000002</v>
      </c>
      <c r="CW10" s="1">
        <f t="shared" si="27"/>
        <v>4.7911063299999999</v>
      </c>
      <c r="CX10" s="1">
        <f t="shared" si="27"/>
        <v>4.2890642899999998</v>
      </c>
      <c r="CY10" s="1">
        <f t="shared" si="27"/>
        <v>10.91414737</v>
      </c>
      <c r="CZ10" s="1">
        <f t="shared" si="28"/>
        <v>7.8324679500000007</v>
      </c>
      <c r="DA10" s="1">
        <f t="shared" si="28"/>
        <v>4.3051329900000006</v>
      </c>
      <c r="DB10" s="1">
        <f t="shared" si="28"/>
        <v>2.30500755</v>
      </c>
      <c r="DC10" s="1">
        <f t="shared" si="28"/>
        <v>1.4198493500000002</v>
      </c>
      <c r="DD10" s="1">
        <f t="shared" si="28"/>
        <v>1.31873533</v>
      </c>
      <c r="DE10" s="1">
        <f t="shared" si="28"/>
        <v>1.9640698700000001</v>
      </c>
      <c r="DF10" s="1">
        <f t="shared" si="28"/>
        <v>3.6848339700000001</v>
      </c>
      <c r="DG10" s="1">
        <f t="shared" si="28"/>
        <v>2.8254038299999995</v>
      </c>
      <c r="DI10" s="1">
        <f t="shared" si="29"/>
        <v>1.8223369999999999E-2</v>
      </c>
      <c r="DJ10" s="1">
        <f t="shared" si="29"/>
        <v>0.26981320000000003</v>
      </c>
      <c r="DK10" s="1">
        <f t="shared" si="29"/>
        <v>0.36129600000000001</v>
      </c>
      <c r="DL10" s="1">
        <f t="shared" si="29"/>
        <v>3.0606999999999997E-4</v>
      </c>
      <c r="DM10" s="1">
        <f t="shared" si="29"/>
        <v>0.33402694999999999</v>
      </c>
      <c r="DN10" s="1">
        <f t="shared" si="29"/>
        <v>0</v>
      </c>
      <c r="DO10" s="1">
        <f t="shared" si="29"/>
        <v>0.31172668999999997</v>
      </c>
      <c r="DP10" s="1">
        <f t="shared" si="29"/>
        <v>1.32104435</v>
      </c>
      <c r="DQ10" s="1">
        <f t="shared" si="29"/>
        <v>1.2081202200000001</v>
      </c>
      <c r="DR10" s="1">
        <f t="shared" si="29"/>
        <v>0.6520337100000001</v>
      </c>
      <c r="DS10" s="1">
        <f t="shared" si="29"/>
        <v>0.45880662999999999</v>
      </c>
      <c r="DT10" s="1">
        <f t="shared" si="29"/>
        <v>0</v>
      </c>
      <c r="DU10" s="1">
        <f t="shared" si="29"/>
        <v>4.77876E-2</v>
      </c>
      <c r="DV10" s="1">
        <f t="shared" si="29"/>
        <v>1.4227200000000001E-2</v>
      </c>
      <c r="DW10" s="1">
        <f t="shared" si="29"/>
        <v>2.7328829999999998E-2</v>
      </c>
      <c r="DX10" s="1">
        <f t="shared" si="29"/>
        <v>5.6926980000000002E-2</v>
      </c>
      <c r="DY10" s="1">
        <f t="shared" si="30"/>
        <v>0.59636825999999998</v>
      </c>
      <c r="DZ10" s="1">
        <f t="shared" si="30"/>
        <v>0.61726981999999997</v>
      </c>
      <c r="EA10" s="1">
        <f t="shared" si="30"/>
        <v>0.14935512000000001</v>
      </c>
      <c r="EB10" s="1">
        <f t="shared" si="30"/>
        <v>0.56815696000000004</v>
      </c>
      <c r="EC10" s="1">
        <f t="shared" si="30"/>
        <v>0.84027543999999998</v>
      </c>
      <c r="ED10" s="1">
        <f t="shared" si="30"/>
        <v>0.54826843000000003</v>
      </c>
      <c r="EE10" s="1">
        <f t="shared" si="30"/>
        <v>0.35867373000000002</v>
      </c>
      <c r="EF10" s="1">
        <f t="shared" si="30"/>
        <v>0.32475313000000006</v>
      </c>
      <c r="EH10" s="14">
        <f t="shared" si="31"/>
        <v>19.739999999999998</v>
      </c>
      <c r="EI10" s="14">
        <f t="shared" si="31"/>
        <v>19.739999999999998</v>
      </c>
      <c r="EJ10" s="1">
        <f t="shared" si="31"/>
        <v>19.739999999999998</v>
      </c>
      <c r="EK10" s="1">
        <f t="shared" si="31"/>
        <v>19.739999999999998</v>
      </c>
      <c r="EL10" s="1">
        <f t="shared" si="31"/>
        <v>19.739999999999998</v>
      </c>
      <c r="EM10" s="1">
        <f t="shared" si="31"/>
        <v>19.739999999999998</v>
      </c>
      <c r="EN10" s="1">
        <f t="shared" si="31"/>
        <v>19.739999999999998</v>
      </c>
      <c r="EO10" s="1">
        <f t="shared" si="31"/>
        <v>19.739999999999998</v>
      </c>
      <c r="EP10" s="1">
        <f t="shared" si="31"/>
        <v>19.739999999999998</v>
      </c>
      <c r="EQ10" s="1">
        <f t="shared" si="31"/>
        <v>19.739999999999998</v>
      </c>
      <c r="ER10" s="1">
        <f t="shared" si="31"/>
        <v>19.739999999999998</v>
      </c>
      <c r="ES10" s="1">
        <f t="shared" si="31"/>
        <v>18.77</v>
      </c>
      <c r="ET10" s="1">
        <f t="shared" si="31"/>
        <v>18.77</v>
      </c>
      <c r="EU10" s="1">
        <f t="shared" si="31"/>
        <v>18.77</v>
      </c>
      <c r="EV10" s="1">
        <f t="shared" si="31"/>
        <v>18.77</v>
      </c>
      <c r="EW10" s="1">
        <f t="shared" si="31"/>
        <v>18.77</v>
      </c>
      <c r="EX10" s="1">
        <f t="shared" si="32"/>
        <v>18.77</v>
      </c>
      <c r="EY10" s="1">
        <f t="shared" si="32"/>
        <v>18.77</v>
      </c>
      <c r="EZ10" s="1">
        <f t="shared" si="32"/>
        <v>18.77</v>
      </c>
      <c r="FA10" s="1">
        <f t="shared" si="32"/>
        <v>18.77</v>
      </c>
      <c r="FB10" s="1">
        <f t="shared" si="32"/>
        <v>18.77</v>
      </c>
      <c r="FC10" s="1">
        <f t="shared" si="32"/>
        <v>18.77</v>
      </c>
      <c r="FD10" s="1">
        <f t="shared" si="32"/>
        <v>18.77</v>
      </c>
      <c r="FE10" s="1">
        <f t="shared" si="32"/>
        <v>20.39</v>
      </c>
      <c r="FG10" s="162">
        <f t="shared" si="40"/>
        <v>3.2255606887573318</v>
      </c>
    </row>
    <row r="11" spans="1:163" ht="18" customHeight="1">
      <c r="A11" s="34">
        <f t="shared" si="41"/>
        <v>6</v>
      </c>
      <c r="B11" s="34" t="s">
        <v>116</v>
      </c>
      <c r="C11" s="156">
        <f t="shared" si="5"/>
        <v>-0.33</v>
      </c>
      <c r="D11" s="24">
        <v>-1</v>
      </c>
      <c r="E11" s="40">
        <f t="shared" si="6"/>
        <v>0.14716616470156652</v>
      </c>
      <c r="F11" s="41">
        <f t="shared" si="7"/>
        <v>1.907146454533537E-2</v>
      </c>
      <c r="G11" s="40">
        <f t="shared" si="8"/>
        <v>0.21161188152228405</v>
      </c>
      <c r="H11" s="41">
        <f t="shared" si="9"/>
        <v>-6.4445716820717536E-2</v>
      </c>
      <c r="I11" s="40">
        <f t="shared" si="10"/>
        <v>1.1719159690264518</v>
      </c>
      <c r="J11" s="41">
        <f t="shared" si="11"/>
        <v>-0.43724070659663772</v>
      </c>
      <c r="K11" s="40">
        <f t="shared" si="33"/>
        <v>1.366237576181184</v>
      </c>
      <c r="L11" s="41">
        <f t="shared" si="12"/>
        <v>-0.19432160715473223</v>
      </c>
      <c r="M11" s="17"/>
      <c r="N11" s="24"/>
      <c r="O11" s="40" t="str">
        <f t="shared" si="34"/>
        <v/>
      </c>
      <c r="P11" s="104" t="str">
        <f t="shared" si="35"/>
        <v/>
      </c>
      <c r="Q11" s="40">
        <f t="shared" si="13"/>
        <v>0</v>
      </c>
      <c r="R11" s="42">
        <f t="shared" si="36"/>
        <v>0</v>
      </c>
      <c r="S11" s="17"/>
      <c r="T11" s="24"/>
      <c r="U11" s="40">
        <f t="shared" si="14"/>
        <v>-0.21499057639814756</v>
      </c>
      <c r="V11" s="45">
        <f t="shared" si="15"/>
        <v>-0.21499057639814756</v>
      </c>
      <c r="W11" s="159">
        <f t="shared" si="37"/>
        <v>3.2165931253862468E-3</v>
      </c>
      <c r="X11" s="45">
        <f t="shared" si="16"/>
        <v>3.2165931253862468E-3</v>
      </c>
      <c r="Y11" s="40" t="str">
        <f t="shared" si="17"/>
        <v/>
      </c>
      <c r="Z11" s="45" t="str">
        <f t="shared" si="18"/>
        <v/>
      </c>
      <c r="AA11" s="30"/>
      <c r="AB11" s="61" t="s">
        <v>289</v>
      </c>
      <c r="AC11" s="61" t="s">
        <v>289</v>
      </c>
      <c r="AD11" s="61" t="s">
        <v>289</v>
      </c>
      <c r="AE11" s="61" t="s">
        <v>289</v>
      </c>
      <c r="AF11" s="61" t="s">
        <v>289</v>
      </c>
      <c r="AG11" s="61" t="s">
        <v>289</v>
      </c>
      <c r="AH11" s="61" t="s">
        <v>289</v>
      </c>
      <c r="AI11" s="61" t="s">
        <v>289</v>
      </c>
      <c r="AJ11" s="61" t="s">
        <v>289</v>
      </c>
      <c r="AK11" s="61" t="s">
        <v>289</v>
      </c>
      <c r="AL11" s="61" t="s">
        <v>289</v>
      </c>
      <c r="AM11" s="61" t="s">
        <v>289</v>
      </c>
      <c r="AO11" s="28">
        <f>VLOOKUP($B11,historia!$A$5:$CM$24,+HLOOKUP(AO$2,historia!$A$3:$EC$4,2,FALSE),FALSE)</f>
        <v>3</v>
      </c>
      <c r="AP11" s="28">
        <f>VLOOKUP($B11,historia!$A$5:$CM$24,+HLOOKUP(AP$2,historia!$A$3:$EC$4,2,FALSE),FALSE)</f>
        <v>4</v>
      </c>
      <c r="AQ11" s="28">
        <f>VLOOKUP($B11,historia!$A$5:$CM$24,+HLOOKUP(AQ$2,historia!$A$3:$EC$4,2,FALSE),FALSE)</f>
        <v>4</v>
      </c>
      <c r="AR11" s="28">
        <f>VLOOKUP($B11,historia!$A$5:$CM$24,+HLOOKUP(AR$2,historia!$A$3:$EC$4,2,FALSE),FALSE)</f>
        <v>4</v>
      </c>
      <c r="AS11" s="58">
        <f>VLOOKUP($B11,historia!$A$5:$CM$24,+HLOOKUP(AS$2,historia!$A$3:$EC$4,2,FALSE),FALSE)</f>
        <v>4</v>
      </c>
      <c r="AT11" s="58">
        <f>VLOOKUP($B11,historia!$A$5:$CM$24,+HLOOKUP(AT$2,historia!$A$3:$EC$4,2,FALSE),FALSE)</f>
        <v>4</v>
      </c>
      <c r="AU11" s="58">
        <f>VLOOKUP($B11,historia!$A$5:$CM$24,+HLOOKUP(AU$2,historia!$A$3:$EC$4,2,FALSE),FALSE)</f>
        <v>4</v>
      </c>
      <c r="AV11" s="58">
        <f>VLOOKUP($B11,historia!$A$5:$CM$24,+HLOOKUP(AV$2,historia!$A$3:$EC$4,2,FALSE),FALSE)</f>
        <v>4</v>
      </c>
      <c r="AW11" s="58">
        <f>VLOOKUP($B11,historia!$A$5:$CM$24,+HLOOKUP(AW$2,historia!$A$3:$EC$4,2,FALSE),FALSE)</f>
        <v>4</v>
      </c>
      <c r="AX11" s="58">
        <f>VLOOKUP($B11,historia!$A$5:$CM$24,+HLOOKUP(AX$2,historia!$A$3:$EC$4,2,FALSE),FALSE)</f>
        <v>4</v>
      </c>
      <c r="AY11" s="58">
        <f>VLOOKUP($B11,historia!$A$5:$CM$24,+HLOOKUP(AY$2,historia!$A$3:$EC$4,2,FALSE),FALSE)</f>
        <v>4</v>
      </c>
      <c r="AZ11" s="58">
        <f>VLOOKUP($B11,historia!$A$5:$CM$24,+HLOOKUP(AZ$2,historia!$A$3:$EC$4,2,FALSE),FALSE)</f>
        <v>4</v>
      </c>
      <c r="BA11" s="30"/>
      <c r="BB11" s="158" t="s">
        <v>427</v>
      </c>
      <c r="BC11" s="141">
        <v>4</v>
      </c>
      <c r="BD11" t="str">
        <f t="shared" si="19"/>
        <v>Forestal</v>
      </c>
      <c r="BE11">
        <f>+datos!BG1</f>
        <v>59</v>
      </c>
      <c r="BF11" s="2" t="str">
        <f t="shared" si="4"/>
        <v>$/t</v>
      </c>
      <c r="BG11" s="2">
        <f t="shared" si="4"/>
        <v>11020.301626840215</v>
      </c>
      <c r="BH11" s="2">
        <f t="shared" si="4"/>
        <v>9606.5434685367745</v>
      </c>
      <c r="BI11" s="2">
        <f t="shared" si="4"/>
        <v>5074</v>
      </c>
      <c r="BK11">
        <f>+datos!CZ1</f>
        <v>104</v>
      </c>
      <c r="BL11" s="2">
        <f t="shared" si="20"/>
        <v>4485.0920241917083</v>
      </c>
      <c r="BM11" s="2">
        <f t="shared" si="20"/>
        <v>3701.7563896423526</v>
      </c>
      <c r="BN11" s="2">
        <f t="shared" si="20"/>
        <v>1895.4529626860608</v>
      </c>
      <c r="BP11" s="1">
        <f>+datos!ES1</f>
        <v>149</v>
      </c>
      <c r="BQ11" s="1">
        <f t="shared" si="21"/>
        <v>0</v>
      </c>
      <c r="BR11" s="1">
        <f t="shared" si="21"/>
        <v>0</v>
      </c>
      <c r="BT11" s="1">
        <f>+datos!GI1</f>
        <v>191</v>
      </c>
      <c r="BU11" s="1">
        <f t="shared" si="22"/>
        <v>1302556</v>
      </c>
      <c r="BV11" s="1">
        <f t="shared" si="22"/>
        <v>1302556</v>
      </c>
      <c r="BX11" s="1">
        <f>+datos!KB1</f>
        <v>288</v>
      </c>
      <c r="BY11" s="1">
        <f t="shared" si="38"/>
        <v>302.92825953999994</v>
      </c>
      <c r="BZ11" s="1">
        <f t="shared" si="39"/>
        <v>385.89123955999997</v>
      </c>
      <c r="CB11" s="1">
        <f>+datos!LG1</f>
        <v>319</v>
      </c>
      <c r="CC11" s="2">
        <f t="shared" si="23"/>
        <v>270.67288466000002</v>
      </c>
      <c r="CD11" s="2">
        <f t="shared" si="24"/>
        <v>269.80503164999999</v>
      </c>
      <c r="CF11" s="1">
        <f>+datos!IW1</f>
        <v>257</v>
      </c>
      <c r="CG11" s="1">
        <f t="shared" si="25"/>
        <v>0</v>
      </c>
      <c r="CH11" s="1">
        <f t="shared" si="26"/>
        <v>0</v>
      </c>
      <c r="CJ11" s="1">
        <f t="shared" si="27"/>
        <v>26.00374025</v>
      </c>
      <c r="CK11" s="1">
        <f t="shared" si="27"/>
        <v>24.373047020000001</v>
      </c>
      <c r="CL11" s="1">
        <f t="shared" si="27"/>
        <v>25.649224320000002</v>
      </c>
      <c r="CM11" s="1">
        <f t="shared" si="27"/>
        <v>23.667757810000001</v>
      </c>
      <c r="CN11" s="1">
        <f t="shared" si="27"/>
        <v>25.088845019999997</v>
      </c>
      <c r="CO11" s="1">
        <f t="shared" si="27"/>
        <v>26.5668471</v>
      </c>
      <c r="CP11" s="1">
        <f t="shared" si="27"/>
        <v>23.814064600000002</v>
      </c>
      <c r="CQ11" s="1">
        <f t="shared" si="27"/>
        <v>20.56411928</v>
      </c>
      <c r="CR11" s="1">
        <f t="shared" si="27"/>
        <v>19.140443850000004</v>
      </c>
      <c r="CS11" s="1">
        <f t="shared" si="27"/>
        <v>31.026984670000001</v>
      </c>
      <c r="CT11" s="1">
        <f t="shared" si="27"/>
        <v>29.568283169999997</v>
      </c>
      <c r="CU11" s="1">
        <f t="shared" si="27"/>
        <v>27.46490245</v>
      </c>
      <c r="CV11" s="1">
        <f t="shared" si="27"/>
        <v>28.769997110000002</v>
      </c>
      <c r="CW11" s="1">
        <f t="shared" si="27"/>
        <v>29.99355989</v>
      </c>
      <c r="CX11" s="1">
        <f t="shared" si="27"/>
        <v>28.322168269999992</v>
      </c>
      <c r="CY11" s="1">
        <f t="shared" si="27"/>
        <v>25.822628249999998</v>
      </c>
      <c r="CZ11" s="1">
        <f t="shared" si="28"/>
        <v>36.275852910000005</v>
      </c>
      <c r="DA11" s="1">
        <f t="shared" si="28"/>
        <v>32.140367229999995</v>
      </c>
      <c r="DB11" s="1">
        <f t="shared" si="28"/>
        <v>32.281321340000005</v>
      </c>
      <c r="DC11" s="1">
        <f t="shared" si="28"/>
        <v>29.416825530000004</v>
      </c>
      <c r="DD11" s="1">
        <f t="shared" si="28"/>
        <v>38.714139049999993</v>
      </c>
      <c r="DE11" s="1">
        <f t="shared" si="28"/>
        <v>34.194236830000001</v>
      </c>
      <c r="DF11" s="1">
        <f t="shared" si="28"/>
        <v>32.459644299999994</v>
      </c>
      <c r="DG11" s="1">
        <f t="shared" si="28"/>
        <v>37.50049885</v>
      </c>
      <c r="DI11" s="1">
        <f t="shared" si="29"/>
        <v>12.114691449999999</v>
      </c>
      <c r="DJ11" s="1">
        <f t="shared" si="29"/>
        <v>21.937746180000001</v>
      </c>
      <c r="DK11" s="1">
        <f t="shared" si="29"/>
        <v>16.68359323</v>
      </c>
      <c r="DL11" s="1">
        <f t="shared" si="29"/>
        <v>23.390239519999994</v>
      </c>
      <c r="DM11" s="1">
        <f t="shared" si="29"/>
        <v>24.97777258</v>
      </c>
      <c r="DN11" s="1">
        <f t="shared" si="29"/>
        <v>25.979397770000002</v>
      </c>
      <c r="DO11" s="1">
        <f t="shared" si="29"/>
        <v>26.663923630000003</v>
      </c>
      <c r="DP11" s="1">
        <f t="shared" si="29"/>
        <v>25.77809422</v>
      </c>
      <c r="DQ11" s="1">
        <f t="shared" si="29"/>
        <v>30.845388820000004</v>
      </c>
      <c r="DR11" s="1">
        <f t="shared" si="29"/>
        <v>19.314417040000002</v>
      </c>
      <c r="DS11" s="1">
        <f t="shared" si="29"/>
        <v>23.096508839999995</v>
      </c>
      <c r="DT11" s="1">
        <f t="shared" si="29"/>
        <v>19.891111379999998</v>
      </c>
      <c r="DU11" s="1">
        <f t="shared" si="29"/>
        <v>18.931102379999999</v>
      </c>
      <c r="DV11" s="1">
        <f t="shared" si="29"/>
        <v>26.50290536</v>
      </c>
      <c r="DW11" s="1">
        <f t="shared" si="29"/>
        <v>21.937275429999996</v>
      </c>
      <c r="DX11" s="1">
        <f t="shared" si="29"/>
        <v>24.868573239999996</v>
      </c>
      <c r="DY11" s="1">
        <f t="shared" si="30"/>
        <v>0</v>
      </c>
      <c r="DZ11" s="1">
        <f t="shared" si="30"/>
        <v>28.392692970000002</v>
      </c>
      <c r="EA11" s="1">
        <f t="shared" si="30"/>
        <v>26.685130170000001</v>
      </c>
      <c r="EB11" s="1">
        <f t="shared" si="30"/>
        <v>23.828582620000002</v>
      </c>
      <c r="EC11" s="1">
        <f t="shared" si="30"/>
        <v>28.413189390000003</v>
      </c>
      <c r="ED11" s="1">
        <f t="shared" si="30"/>
        <v>20.827774680000001</v>
      </c>
      <c r="EE11" s="1">
        <f t="shared" si="30"/>
        <v>23.984862789999998</v>
      </c>
      <c r="EF11" s="1">
        <f t="shared" si="30"/>
        <v>25.432942619999999</v>
      </c>
      <c r="EH11" s="14">
        <f t="shared" si="31"/>
        <v>0</v>
      </c>
      <c r="EI11" s="14">
        <f t="shared" si="31"/>
        <v>0</v>
      </c>
      <c r="EJ11" s="1">
        <f t="shared" si="31"/>
        <v>0</v>
      </c>
      <c r="EK11" s="1">
        <f t="shared" si="31"/>
        <v>0</v>
      </c>
      <c r="EL11" s="1">
        <f t="shared" si="31"/>
        <v>0</v>
      </c>
      <c r="EM11" s="1">
        <f t="shared" si="31"/>
        <v>0</v>
      </c>
      <c r="EN11" s="1">
        <f t="shared" si="31"/>
        <v>0</v>
      </c>
      <c r="EO11" s="1">
        <f t="shared" si="31"/>
        <v>0</v>
      </c>
      <c r="EP11" s="1">
        <f t="shared" si="31"/>
        <v>0</v>
      </c>
      <c r="EQ11" s="1">
        <f t="shared" si="31"/>
        <v>0</v>
      </c>
      <c r="ER11" s="1">
        <f t="shared" si="31"/>
        <v>0</v>
      </c>
      <c r="ES11" s="1">
        <f t="shared" si="31"/>
        <v>0</v>
      </c>
      <c r="ET11" s="1">
        <f t="shared" si="31"/>
        <v>0</v>
      </c>
      <c r="EU11" s="1">
        <f t="shared" si="31"/>
        <v>0</v>
      </c>
      <c r="EV11" s="1">
        <f t="shared" si="31"/>
        <v>0</v>
      </c>
      <c r="EW11" s="1">
        <f t="shared" si="31"/>
        <v>0</v>
      </c>
      <c r="EX11" s="1">
        <f t="shared" si="32"/>
        <v>0</v>
      </c>
      <c r="EY11" s="1">
        <f t="shared" si="32"/>
        <v>0</v>
      </c>
      <c r="EZ11" s="1">
        <f t="shared" si="32"/>
        <v>0</v>
      </c>
      <c r="FA11" s="1">
        <f t="shared" si="32"/>
        <v>0</v>
      </c>
      <c r="FB11" s="1">
        <f t="shared" si="32"/>
        <v>0</v>
      </c>
      <c r="FC11" s="1">
        <f t="shared" si="32"/>
        <v>0</v>
      </c>
      <c r="FD11" s="1">
        <f t="shared" si="32"/>
        <v>0</v>
      </c>
      <c r="FE11" s="1">
        <f t="shared" si="32"/>
        <v>0</v>
      </c>
      <c r="FG11" s="162">
        <f t="shared" si="40"/>
        <v>-0.19432160715473223</v>
      </c>
    </row>
    <row r="12" spans="1:163" ht="18" customHeight="1">
      <c r="A12" s="34">
        <f t="shared" si="41"/>
        <v>7</v>
      </c>
      <c r="B12" s="34" t="s">
        <v>216</v>
      </c>
      <c r="C12" s="156">
        <f t="shared" si="5"/>
        <v>-1.32</v>
      </c>
      <c r="D12" s="24">
        <v>-1</v>
      </c>
      <c r="E12" s="40">
        <f t="shared" si="6"/>
        <v>-3.1760477784775976E-2</v>
      </c>
      <c r="F12" s="41">
        <f t="shared" si="7"/>
        <v>-0.15985517794100712</v>
      </c>
      <c r="G12" s="40">
        <f t="shared" si="8"/>
        <v>9.8361524196306505E-2</v>
      </c>
      <c r="H12" s="41">
        <f t="shared" si="9"/>
        <v>-0.13012200198108248</v>
      </c>
      <c r="I12" s="40">
        <f t="shared" si="10"/>
        <v>0.7099408553943598</v>
      </c>
      <c r="J12" s="41">
        <f t="shared" si="11"/>
        <v>-0.8992158202287297</v>
      </c>
      <c r="K12" s="40">
        <f t="shared" si="33"/>
        <v>0.98685560238750636</v>
      </c>
      <c r="L12" s="41">
        <f t="shared" si="12"/>
        <v>-0.27691474699314655</v>
      </c>
      <c r="M12" s="17"/>
      <c r="N12" s="24">
        <v>-2</v>
      </c>
      <c r="O12" s="40">
        <f t="shared" si="34"/>
        <v>-1.418788106452451E-2</v>
      </c>
      <c r="P12" s="104">
        <f t="shared" si="35"/>
        <v>-1.418788106452451E-2</v>
      </c>
      <c r="Q12" s="40">
        <f t="shared" si="13"/>
        <v>-9.9970846695264681E-2</v>
      </c>
      <c r="R12" s="42">
        <f t="shared" si="36"/>
        <v>-9.9970846695264681E-2</v>
      </c>
      <c r="S12" s="17"/>
      <c r="T12" s="24">
        <v>-1</v>
      </c>
      <c r="U12" s="40">
        <f t="shared" si="14"/>
        <v>-0.36661531471568942</v>
      </c>
      <c r="V12" s="45">
        <f t="shared" si="15"/>
        <v>-0.36661531471568942</v>
      </c>
      <c r="W12" s="40">
        <f t="shared" si="37"/>
        <v>1.1404337861169509</v>
      </c>
      <c r="X12" s="45">
        <f t="shared" si="16"/>
        <v>1.1404337861169509</v>
      </c>
      <c r="Y12" s="40">
        <f t="shared" si="17"/>
        <v>-2.1449507061017892E-2</v>
      </c>
      <c r="Z12" s="45">
        <f t="shared" si="18"/>
        <v>-2.1449507061017892E-2</v>
      </c>
      <c r="AA12" s="30"/>
      <c r="AB12" s="61" t="s">
        <v>289</v>
      </c>
      <c r="AC12" s="61" t="s">
        <v>289</v>
      </c>
      <c r="AD12" s="61" t="s">
        <v>289</v>
      </c>
      <c r="AE12" s="61" t="s">
        <v>289</v>
      </c>
      <c r="AF12" s="61" t="s">
        <v>289</v>
      </c>
      <c r="AG12" s="61" t="s">
        <v>289</v>
      </c>
      <c r="AH12" s="61" t="s">
        <v>289</v>
      </c>
      <c r="AI12" s="61" t="s">
        <v>289</v>
      </c>
      <c r="AJ12" s="61" t="s">
        <v>289</v>
      </c>
      <c r="AK12" s="61" t="s">
        <v>289</v>
      </c>
      <c r="AL12" s="61" t="s">
        <v>289</v>
      </c>
      <c r="AM12" s="61" t="s">
        <v>289</v>
      </c>
      <c r="AO12" s="28">
        <f>VLOOKUP($B12,historia!$A$5:$CM$24,+HLOOKUP(AO$2,historia!$A$3:$EC$4,2,FALSE),FALSE)</f>
        <v>4</v>
      </c>
      <c r="AP12" s="28">
        <f>VLOOKUP($B12,historia!$A$5:$CM$24,+HLOOKUP(AP$2,historia!$A$3:$EC$4,2,FALSE),FALSE)</f>
        <v>4</v>
      </c>
      <c r="AQ12" s="28">
        <f>VLOOKUP($B12,historia!$A$5:$CM$24,+HLOOKUP(AQ$2,historia!$A$3:$EC$4,2,FALSE),FALSE)</f>
        <v>5</v>
      </c>
      <c r="AR12" s="28">
        <f>VLOOKUP($B12,historia!$A$5:$CM$24,+HLOOKUP(AR$2,historia!$A$3:$EC$4,2,FALSE),FALSE)</f>
        <v>5</v>
      </c>
      <c r="AS12" s="58">
        <f>VLOOKUP($B12,historia!$A$5:$CM$24,+HLOOKUP(AS$2,historia!$A$3:$EC$4,2,FALSE),FALSE)</f>
        <v>5</v>
      </c>
      <c r="AT12" s="58">
        <f>VLOOKUP($B12,historia!$A$5:$CM$24,+HLOOKUP(AT$2,historia!$A$3:$EC$4,2,FALSE),FALSE)</f>
        <v>5</v>
      </c>
      <c r="AU12" s="58">
        <f>VLOOKUP($B12,historia!$A$5:$CM$24,+HLOOKUP(AU$2,historia!$A$3:$EC$4,2,FALSE),FALSE)</f>
        <v>5</v>
      </c>
      <c r="AV12" s="58">
        <f>VLOOKUP($B12,historia!$A$5:$CM$24,+HLOOKUP(AV$2,historia!$A$3:$EC$4,2,FALSE),FALSE)</f>
        <v>5</v>
      </c>
      <c r="AW12" s="58">
        <f>VLOOKUP($B12,historia!$A$5:$CM$24,+HLOOKUP(AW$2,historia!$A$3:$EC$4,2,FALSE),FALSE)</f>
        <v>5</v>
      </c>
      <c r="AX12" s="58">
        <f>VLOOKUP($B12,historia!$A$5:$CM$24,+HLOOKUP(AX$2,historia!$A$3:$EC$4,2,FALSE),FALSE)</f>
        <v>5</v>
      </c>
      <c r="AY12" s="58">
        <f>VLOOKUP($B12,historia!$A$5:$CM$24,+HLOOKUP(AY$2,historia!$A$3:$EC$4,2,FALSE),FALSE)</f>
        <v>5</v>
      </c>
      <c r="AZ12" s="58">
        <f>VLOOKUP($B12,historia!$A$5:$CM$24,+HLOOKUP(AZ$2,historia!$A$3:$EC$4,2,FALSE),FALSE)</f>
        <v>5</v>
      </c>
      <c r="BA12" s="30"/>
      <c r="BB12" s="158" t="s">
        <v>428</v>
      </c>
      <c r="BC12" s="141">
        <v>5</v>
      </c>
      <c r="BD12" t="str">
        <f t="shared" si="19"/>
        <v>Granos</v>
      </c>
      <c r="BE12">
        <f>+datos!AE1</f>
        <v>31</v>
      </c>
      <c r="BF12" s="2" t="str">
        <f t="shared" si="4"/>
        <v>$/t</v>
      </c>
      <c r="BG12" s="2">
        <f t="shared" si="4"/>
        <v>97604.528769841272</v>
      </c>
      <c r="BH12" s="2">
        <f t="shared" si="4"/>
        <v>100806.18124999999</v>
      </c>
      <c r="BI12" s="2">
        <f t="shared" si="4"/>
        <v>57080.646071428571</v>
      </c>
      <c r="BK12">
        <f>+datos!CG1</f>
        <v>85</v>
      </c>
      <c r="BL12" s="2">
        <f t="shared" si="20"/>
        <v>3938.5335122544238</v>
      </c>
      <c r="BM12" s="2">
        <f t="shared" si="20"/>
        <v>3585.8261833564579</v>
      </c>
      <c r="BN12" s="2">
        <f t="shared" si="20"/>
        <v>1982.2947915901298</v>
      </c>
      <c r="BP12" s="1">
        <f>+datos!EA1</f>
        <v>131</v>
      </c>
      <c r="BQ12" s="1">
        <f t="shared" si="21"/>
        <v>34116000</v>
      </c>
      <c r="BR12" s="1">
        <f t="shared" si="21"/>
        <v>34607000</v>
      </c>
      <c r="BT12" s="1">
        <f>+datos!FV1</f>
        <v>178</v>
      </c>
      <c r="BU12" s="1">
        <f t="shared" si="22"/>
        <v>108053000</v>
      </c>
      <c r="BV12" s="1">
        <f t="shared" si="22"/>
        <v>120055000</v>
      </c>
      <c r="BX12" s="1">
        <f>+datos!LQ1</f>
        <v>329</v>
      </c>
      <c r="BY12" s="1">
        <f>+SUM(CJ12:CU12)</f>
        <v>37381.019036819998</v>
      </c>
      <c r="BZ12" s="1">
        <f t="shared" si="39"/>
        <v>59017.876347989994</v>
      </c>
      <c r="CB12" s="1">
        <f>+datos!LU1</f>
        <v>333</v>
      </c>
      <c r="CC12" s="2">
        <f t="shared" si="23"/>
        <v>5116.1797361600002</v>
      </c>
      <c r="CD12" s="2">
        <f t="shared" si="24"/>
        <v>2390.2536809799999</v>
      </c>
      <c r="CF12" s="1">
        <f>+datos!II1</f>
        <v>243</v>
      </c>
      <c r="CG12" s="1">
        <f t="shared" si="25"/>
        <v>73450000</v>
      </c>
      <c r="CH12" s="1">
        <f t="shared" si="26"/>
        <v>75060000</v>
      </c>
      <c r="CJ12" s="1">
        <f>+VLOOKUP(CJ$1,ran_dat,$BX12,FALSE)</f>
        <v>2441.9361675499999</v>
      </c>
      <c r="CK12" s="1">
        <f t="shared" si="27"/>
        <v>2439.6070879799995</v>
      </c>
      <c r="CL12" s="1">
        <f t="shared" si="27"/>
        <v>2937.94498135</v>
      </c>
      <c r="CM12" s="1">
        <f t="shared" si="27"/>
        <v>3422.8062754199996</v>
      </c>
      <c r="CN12" s="1">
        <f t="shared" si="27"/>
        <v>3305.4373540500001</v>
      </c>
      <c r="CO12" s="1">
        <f t="shared" si="27"/>
        <v>3388.1727426199996</v>
      </c>
      <c r="CP12" s="1">
        <f t="shared" si="27"/>
        <v>3792.8302867999996</v>
      </c>
      <c r="CQ12" s="1">
        <f t="shared" si="27"/>
        <v>3116.9694759099998</v>
      </c>
      <c r="CR12" s="1">
        <f t="shared" si="27"/>
        <v>2868.8536445099994</v>
      </c>
      <c r="CS12" s="1">
        <f t="shared" si="27"/>
        <v>2796.6599858300006</v>
      </c>
      <c r="CT12" s="1">
        <f t="shared" si="27"/>
        <v>2718.2915703099998</v>
      </c>
      <c r="CU12" s="1">
        <f t="shared" si="27"/>
        <v>4151.50946449</v>
      </c>
      <c r="CV12" s="1">
        <f t="shared" si="27"/>
        <v>4450.8165799199996</v>
      </c>
      <c r="CW12" s="1">
        <f t="shared" si="27"/>
        <v>4813.7104364100005</v>
      </c>
      <c r="CX12" s="1">
        <f t="shared" si="27"/>
        <v>4478.853701</v>
      </c>
      <c r="CY12" s="1">
        <f t="shared" si="27"/>
        <v>4612.5251936800005</v>
      </c>
      <c r="CZ12" s="1">
        <f t="shared" si="28"/>
        <v>5195.93512749</v>
      </c>
      <c r="DA12" s="1">
        <f t="shared" si="28"/>
        <v>5746.4543398300002</v>
      </c>
      <c r="DB12" s="1">
        <f t="shared" si="28"/>
        <v>6546.8492174599996</v>
      </c>
      <c r="DC12" s="1">
        <f t="shared" si="28"/>
        <v>5984.8672564199987</v>
      </c>
      <c r="DD12" s="1">
        <f t="shared" si="28"/>
        <v>4770.1049779499999</v>
      </c>
      <c r="DE12" s="1">
        <f t="shared" si="28"/>
        <v>4185.3003832800005</v>
      </c>
      <c r="DF12" s="1">
        <f t="shared" si="28"/>
        <v>4268.3712022199998</v>
      </c>
      <c r="DG12" s="1">
        <f t="shared" si="28"/>
        <v>3964.0879323299996</v>
      </c>
      <c r="DI12" s="1">
        <f t="shared" si="29"/>
        <v>260.76831764999997</v>
      </c>
      <c r="DJ12" s="1">
        <f t="shared" si="29"/>
        <v>244.67742642000002</v>
      </c>
      <c r="DK12" s="1">
        <f t="shared" si="29"/>
        <v>322.58249758000005</v>
      </c>
      <c r="DL12" s="1">
        <f t="shared" si="29"/>
        <v>495.08938117000014</v>
      </c>
      <c r="DM12" s="1">
        <f t="shared" si="29"/>
        <v>539.06610803000001</v>
      </c>
      <c r="DN12" s="1">
        <f t="shared" si="29"/>
        <v>828.84254484999997</v>
      </c>
      <c r="DO12" s="1">
        <f t="shared" si="29"/>
        <v>679.74768902999983</v>
      </c>
      <c r="DP12" s="1">
        <f t="shared" si="29"/>
        <v>678.42759025000009</v>
      </c>
      <c r="DQ12" s="1">
        <f t="shared" si="29"/>
        <v>816.99926951999987</v>
      </c>
      <c r="DR12" s="1">
        <f t="shared" si="29"/>
        <v>236.29083821</v>
      </c>
      <c r="DS12" s="1">
        <f t="shared" si="29"/>
        <v>13.603287699999997</v>
      </c>
      <c r="DT12" s="1">
        <f t="shared" si="29"/>
        <v>8.4785749999999993E-2</v>
      </c>
      <c r="DU12" s="1">
        <f t="shared" si="29"/>
        <v>140.70586015999999</v>
      </c>
      <c r="DV12" s="1">
        <f t="shared" si="29"/>
        <v>7.5318475299999985</v>
      </c>
      <c r="DW12" s="1">
        <f t="shared" si="29"/>
        <v>157.51314244999998</v>
      </c>
      <c r="DX12" s="1">
        <f t="shared" si="29"/>
        <v>227.42549563</v>
      </c>
      <c r="DY12" s="1">
        <f t="shared" si="30"/>
        <v>265.08736985999997</v>
      </c>
      <c r="DZ12" s="1">
        <f t="shared" si="30"/>
        <v>444.08673073</v>
      </c>
      <c r="EA12" s="1">
        <f t="shared" si="30"/>
        <v>372.45221643000002</v>
      </c>
      <c r="EB12" s="1">
        <f t="shared" si="30"/>
        <v>268.34042300999999</v>
      </c>
      <c r="EC12" s="1">
        <f t="shared" si="30"/>
        <v>282.58655924999999</v>
      </c>
      <c r="ED12" s="1">
        <f t="shared" si="30"/>
        <v>100.87616828000002</v>
      </c>
      <c r="EE12" s="1">
        <f t="shared" si="30"/>
        <v>8.4332133999999996</v>
      </c>
      <c r="EF12" s="1">
        <f t="shared" si="30"/>
        <v>115.21465424999998</v>
      </c>
      <c r="EH12" s="14">
        <f t="shared" si="31"/>
        <v>73450000</v>
      </c>
      <c r="EI12" s="14">
        <f t="shared" si="31"/>
        <v>73450000</v>
      </c>
      <c r="EJ12" s="1">
        <f t="shared" si="31"/>
        <v>73450000</v>
      </c>
      <c r="EK12" s="1">
        <f t="shared" si="31"/>
        <v>73450000</v>
      </c>
      <c r="EL12" s="1">
        <f t="shared" si="31"/>
        <v>73450000</v>
      </c>
      <c r="EM12" s="1">
        <f t="shared" si="31"/>
        <v>73450000</v>
      </c>
      <c r="EN12" s="1">
        <f t="shared" si="31"/>
        <v>73450000</v>
      </c>
      <c r="EO12" s="1">
        <f t="shared" si="31"/>
        <v>73450000</v>
      </c>
      <c r="EP12" s="1">
        <f t="shared" si="31"/>
        <v>74890000</v>
      </c>
      <c r="EQ12" s="1">
        <f t="shared" si="31"/>
        <v>75510000</v>
      </c>
      <c r="ER12" s="1">
        <f t="shared" si="31"/>
        <v>75510000</v>
      </c>
      <c r="ES12" s="1">
        <f t="shared" si="31"/>
        <v>75060000</v>
      </c>
      <c r="ET12" s="1">
        <f t="shared" si="31"/>
        <v>75060000</v>
      </c>
      <c r="EU12" s="1">
        <f t="shared" si="31"/>
        <v>75060000</v>
      </c>
      <c r="EV12" s="1">
        <f t="shared" si="31"/>
        <v>75060000</v>
      </c>
      <c r="EW12" s="1">
        <f t="shared" si="31"/>
        <v>75060000</v>
      </c>
      <c r="EX12" s="1">
        <f t="shared" si="32"/>
        <v>75060000</v>
      </c>
      <c r="EY12" s="1">
        <f t="shared" si="32"/>
        <v>75060000</v>
      </c>
      <c r="EZ12" s="1">
        <f t="shared" si="32"/>
        <v>75060000</v>
      </c>
      <c r="FA12" s="1">
        <f t="shared" si="32"/>
        <v>75060000</v>
      </c>
      <c r="FB12" s="1">
        <f t="shared" si="32"/>
        <v>80270000</v>
      </c>
      <c r="FC12" s="1">
        <f t="shared" si="32"/>
        <v>80260000</v>
      </c>
      <c r="FD12" s="1">
        <f t="shared" si="32"/>
        <v>80260000</v>
      </c>
      <c r="FE12" s="1">
        <f t="shared" si="32"/>
        <v>79610000</v>
      </c>
      <c r="FG12" s="162">
        <f t="shared" si="40"/>
        <v>-0.27691474699314655</v>
      </c>
    </row>
    <row r="13" spans="1:163" ht="18" customHeight="1">
      <c r="A13" s="34">
        <f t="shared" si="41"/>
        <v>8</v>
      </c>
      <c r="B13" s="34" t="s">
        <v>217</v>
      </c>
      <c r="C13" s="156">
        <v>0</v>
      </c>
      <c r="D13" s="24">
        <v>-1</v>
      </c>
      <c r="E13" s="40">
        <f t="shared" si="6"/>
        <v>0.20372358143645064</v>
      </c>
      <c r="F13" s="41">
        <f t="shared" si="7"/>
        <v>7.5628881280219495E-2</v>
      </c>
      <c r="G13" s="40">
        <f t="shared" si="8"/>
        <v>0.19386517132011849</v>
      </c>
      <c r="H13" s="41">
        <f t="shared" si="9"/>
        <v>9.8584101163321503E-3</v>
      </c>
      <c r="I13" s="40">
        <f t="shared" si="10"/>
        <v>1.3846809038567365</v>
      </c>
      <c r="J13" s="41">
        <f t="shared" si="11"/>
        <v>-0.22447577176635303</v>
      </c>
      <c r="K13" s="40">
        <f t="shared" si="33"/>
        <v>1.2380923675123987</v>
      </c>
      <c r="L13" s="41">
        <f t="shared" si="12"/>
        <v>0.14658853634433777</v>
      </c>
      <c r="M13" s="17"/>
      <c r="N13" s="24">
        <v>0</v>
      </c>
      <c r="O13" s="40">
        <f t="shared" si="34"/>
        <v>5.1939025353447521E-2</v>
      </c>
      <c r="P13" s="104">
        <f t="shared" si="35"/>
        <v>5.1939025353447521E-2</v>
      </c>
      <c r="Q13" s="40">
        <f t="shared" si="13"/>
        <v>2.2927268344425489E-2</v>
      </c>
      <c r="R13" s="42">
        <f t="shared" si="36"/>
        <v>2.2927268344425489E-2</v>
      </c>
      <c r="S13" s="17"/>
      <c r="T13" s="24">
        <v>1</v>
      </c>
      <c r="U13" s="40">
        <f t="shared" si="14"/>
        <v>0.20592679639675504</v>
      </c>
      <c r="V13" s="45">
        <f t="shared" si="15"/>
        <v>0.20592679639675504</v>
      </c>
      <c r="W13" s="40">
        <f t="shared" si="37"/>
        <v>-0.36682058858077804</v>
      </c>
      <c r="X13" s="45">
        <f t="shared" si="16"/>
        <v>-0.36682058858077804</v>
      </c>
      <c r="Y13" s="40" t="str">
        <f t="shared" si="17"/>
        <v/>
      </c>
      <c r="Z13" s="45" t="str">
        <f t="shared" si="18"/>
        <v/>
      </c>
      <c r="AA13" s="30"/>
      <c r="AB13" s="61" t="s">
        <v>289</v>
      </c>
      <c r="AC13" s="61" t="s">
        <v>289</v>
      </c>
      <c r="AD13" s="61" t="s">
        <v>289</v>
      </c>
      <c r="AE13" s="61" t="s">
        <v>289</v>
      </c>
      <c r="AF13" s="61" t="s">
        <v>289</v>
      </c>
      <c r="AG13" s="61" t="s">
        <v>289</v>
      </c>
      <c r="AH13" s="61" t="s">
        <v>289</v>
      </c>
      <c r="AI13" s="61" t="s">
        <v>289</v>
      </c>
      <c r="AJ13" s="61" t="s">
        <v>289</v>
      </c>
      <c r="AK13" s="61" t="s">
        <v>289</v>
      </c>
      <c r="AL13" s="61" t="s">
        <v>289</v>
      </c>
      <c r="AM13" s="61" t="s">
        <v>289</v>
      </c>
      <c r="AO13" s="28">
        <f>VLOOKUP($B13,historia!$A$5:$CM$24,+HLOOKUP(AO$2,historia!$A$3:$EC$4,2,FALSE),FALSE)</f>
        <v>3</v>
      </c>
      <c r="AP13" s="28">
        <f>VLOOKUP($B13,historia!$A$5:$CM$24,+HLOOKUP(AP$2,historia!$A$3:$EC$4,2,FALSE),FALSE)</f>
        <v>3</v>
      </c>
      <c r="AQ13" s="28">
        <f>VLOOKUP($B13,historia!$A$5:$CM$24,+HLOOKUP(AQ$2,historia!$A$3:$EC$4,2,FALSE),FALSE)</f>
        <v>3</v>
      </c>
      <c r="AR13" s="28">
        <f>VLOOKUP($B13,historia!$A$5:$CM$24,+HLOOKUP(AR$2,historia!$A$3:$EC$4,2,FALSE),FALSE)</f>
        <v>3</v>
      </c>
      <c r="AS13" s="58">
        <f>VLOOKUP($B13,historia!$A$5:$CM$24,+HLOOKUP(AS$2,historia!$A$3:$EC$4,2,FALSE),FALSE)</f>
        <v>3</v>
      </c>
      <c r="AT13" s="58">
        <f>VLOOKUP($B13,historia!$A$5:$CM$24,+HLOOKUP(AT$2,historia!$A$3:$EC$4,2,FALSE),FALSE)</f>
        <v>3</v>
      </c>
      <c r="AU13" s="58">
        <f>VLOOKUP($B13,historia!$A$5:$CM$24,+HLOOKUP(AU$2,historia!$A$3:$EC$4,2,FALSE),FALSE)</f>
        <v>3</v>
      </c>
      <c r="AV13" s="58">
        <f>VLOOKUP($B13,historia!$A$5:$CM$24,+HLOOKUP(AV$2,historia!$A$3:$EC$4,2,FALSE),FALSE)</f>
        <v>3</v>
      </c>
      <c r="AW13" s="58">
        <f>VLOOKUP($B13,historia!$A$5:$CM$24,+HLOOKUP(AW$2,historia!$A$3:$EC$4,2,FALSE),FALSE)</f>
        <v>3</v>
      </c>
      <c r="AX13" s="58">
        <f>VLOOKUP($B13,historia!$A$5:$CM$24,+HLOOKUP(AX$2,historia!$A$3:$EC$4,2,FALSE),FALSE)</f>
        <v>3</v>
      </c>
      <c r="AY13" s="58">
        <f>VLOOKUP($B13,historia!$A$5:$CM$24,+HLOOKUP(AY$2,historia!$A$3:$EC$4,2,FALSE),FALSE)</f>
        <v>3</v>
      </c>
      <c r="AZ13" s="58">
        <f>VLOOKUP($B13,historia!$A$5:$CM$24,+HLOOKUP(AZ$2,historia!$A$3:$EC$4,2,FALSE),FALSE)</f>
        <v>3</v>
      </c>
      <c r="BA13" s="30"/>
      <c r="BB13" s="158" t="s">
        <v>429</v>
      </c>
      <c r="BC13" s="141">
        <v>3</v>
      </c>
      <c r="BD13" t="str">
        <f t="shared" si="19"/>
        <v>Hortalizas</v>
      </c>
      <c r="BE13">
        <f>+datos!BB1</f>
        <v>54</v>
      </c>
      <c r="BF13" s="2" t="str">
        <f t="shared" si="4"/>
        <v>$/kg</v>
      </c>
      <c r="BG13" s="2">
        <f t="shared" si="4"/>
        <v>4048.0092219235366</v>
      </c>
      <c r="BH13" s="2">
        <f t="shared" si="4"/>
        <v>3362.9059730581071</v>
      </c>
      <c r="BI13" s="2">
        <f t="shared" si="4"/>
        <v>1697.505614011797</v>
      </c>
      <c r="BK13">
        <f>+datos!CO1</f>
        <v>93</v>
      </c>
      <c r="BL13" s="2">
        <f t="shared" si="20"/>
        <v>3867.7007320711987</v>
      </c>
      <c r="BM13" s="2">
        <f t="shared" si="20"/>
        <v>3239.6461719328672</v>
      </c>
      <c r="BN13" s="2">
        <f t="shared" si="20"/>
        <v>1728.1238201844553</v>
      </c>
      <c r="BP13" s="1">
        <f>+datos!EX1</f>
        <v>154</v>
      </c>
      <c r="BQ13" s="1">
        <f t="shared" si="21"/>
        <v>66593</v>
      </c>
      <c r="BR13" s="1">
        <f t="shared" si="21"/>
        <v>63305</v>
      </c>
      <c r="BT13" s="1">
        <f>+datos!GN1</f>
        <v>196</v>
      </c>
      <c r="BU13" s="1">
        <f t="shared" si="22"/>
        <v>2677912.56</v>
      </c>
      <c r="BV13" s="1">
        <f t="shared" si="22"/>
        <v>2617891.46</v>
      </c>
      <c r="BX13" s="1">
        <f>+datos!LR1</f>
        <v>330</v>
      </c>
      <c r="BY13" s="1">
        <f t="shared" si="38"/>
        <v>61.041977369999998</v>
      </c>
      <c r="BZ13" s="1">
        <f t="shared" si="39"/>
        <v>50.618310789999995</v>
      </c>
      <c r="CB13" s="1">
        <f>+datos!LV1</f>
        <v>334</v>
      </c>
      <c r="CC13" s="2">
        <f t="shared" si="23"/>
        <v>17.404002339999998</v>
      </c>
      <c r="CD13" s="2">
        <f t="shared" si="24"/>
        <v>27.48668391</v>
      </c>
      <c r="CF13" s="1">
        <f>+datos!IX1</f>
        <v>258</v>
      </c>
      <c r="CG13" s="1">
        <f t="shared" si="25"/>
        <v>0</v>
      </c>
      <c r="CH13" s="1">
        <f t="shared" si="26"/>
        <v>0</v>
      </c>
      <c r="CJ13" s="1">
        <f t="shared" si="27"/>
        <v>3.7692072699999999</v>
      </c>
      <c r="CK13" s="1">
        <f t="shared" si="27"/>
        <v>4.3561451300000007</v>
      </c>
      <c r="CL13" s="1">
        <f t="shared" si="27"/>
        <v>2.35708815</v>
      </c>
      <c r="CM13" s="1">
        <f t="shared" si="27"/>
        <v>2.9990922500000003</v>
      </c>
      <c r="CN13" s="1">
        <f t="shared" si="27"/>
        <v>4.9654154400000001</v>
      </c>
      <c r="CO13" s="1">
        <f t="shared" si="27"/>
        <v>7.7556872599999993</v>
      </c>
      <c r="CP13" s="1">
        <f t="shared" si="27"/>
        <v>10.641103850000002</v>
      </c>
      <c r="CQ13" s="1">
        <f t="shared" si="27"/>
        <v>9.2379974100000002</v>
      </c>
      <c r="CR13" s="1">
        <f t="shared" si="27"/>
        <v>6.8023944899999993</v>
      </c>
      <c r="CS13" s="1">
        <f t="shared" si="27"/>
        <v>2.5188479500000001</v>
      </c>
      <c r="CT13" s="1">
        <f t="shared" si="27"/>
        <v>1.93600679</v>
      </c>
      <c r="CU13" s="1">
        <f t="shared" si="27"/>
        <v>3.7029913799999998</v>
      </c>
      <c r="CV13" s="1">
        <f t="shared" si="27"/>
        <v>3.1144052499999999</v>
      </c>
      <c r="CW13" s="1">
        <f t="shared" si="27"/>
        <v>2.0701945399999997</v>
      </c>
      <c r="CX13" s="1">
        <f t="shared" si="27"/>
        <v>2.0629542399999998</v>
      </c>
      <c r="CY13" s="1">
        <f t="shared" si="27"/>
        <v>2.51054522</v>
      </c>
      <c r="CZ13" s="1">
        <f t="shared" si="28"/>
        <v>2.2984328500000002</v>
      </c>
      <c r="DA13" s="1">
        <f t="shared" si="28"/>
        <v>3.8278206699999999</v>
      </c>
      <c r="DB13" s="1">
        <f t="shared" si="28"/>
        <v>11.23098199</v>
      </c>
      <c r="DC13" s="1">
        <f t="shared" si="28"/>
        <v>8.9491606099999998</v>
      </c>
      <c r="DD13" s="1">
        <f t="shared" si="28"/>
        <v>7.7927078999999999</v>
      </c>
      <c r="DE13" s="1">
        <f t="shared" si="28"/>
        <v>2.5138417500000001</v>
      </c>
      <c r="DF13" s="1">
        <f t="shared" si="28"/>
        <v>2.80027947</v>
      </c>
      <c r="DG13" s="1">
        <f t="shared" si="28"/>
        <v>1.4469863000000001</v>
      </c>
      <c r="DI13" s="1">
        <f t="shared" si="29"/>
        <v>1.9631409899999996</v>
      </c>
      <c r="DJ13" s="1">
        <f t="shared" si="29"/>
        <v>1.5225679400000001</v>
      </c>
      <c r="DK13" s="1">
        <f t="shared" si="29"/>
        <v>1.3263511099999998</v>
      </c>
      <c r="DL13" s="1">
        <f t="shared" si="29"/>
        <v>2.5091586699999997</v>
      </c>
      <c r="DM13" s="1">
        <f t="shared" si="29"/>
        <v>1.6528733800000002</v>
      </c>
      <c r="DN13" s="1">
        <f t="shared" si="29"/>
        <v>0.42388491999999994</v>
      </c>
      <c r="DO13" s="1">
        <f t="shared" si="29"/>
        <v>1.7301791</v>
      </c>
      <c r="DP13" s="1">
        <f t="shared" si="29"/>
        <v>2.0483479400000002</v>
      </c>
      <c r="DQ13" s="1">
        <f t="shared" si="29"/>
        <v>0.56045690999999997</v>
      </c>
      <c r="DR13" s="1">
        <f t="shared" si="29"/>
        <v>1.1333685500000001</v>
      </c>
      <c r="DS13" s="1">
        <f t="shared" si="29"/>
        <v>1.93118693</v>
      </c>
      <c r="DT13" s="1">
        <f t="shared" si="29"/>
        <v>0.60248590000000002</v>
      </c>
      <c r="DU13" s="1">
        <f t="shared" si="29"/>
        <v>0.87790919000000001</v>
      </c>
      <c r="DV13" s="1">
        <f t="shared" si="29"/>
        <v>1.4386166999999999</v>
      </c>
      <c r="DW13" s="1">
        <f t="shared" si="29"/>
        <v>5.8540475399999998</v>
      </c>
      <c r="DX13" s="1">
        <f t="shared" si="29"/>
        <v>5.5126731700000002</v>
      </c>
      <c r="DY13" s="1">
        <f t="shared" si="30"/>
        <v>2.0048543400000001</v>
      </c>
      <c r="DZ13" s="1">
        <f t="shared" si="30"/>
        <v>1.96789565</v>
      </c>
      <c r="EA13" s="1">
        <f t="shared" si="30"/>
        <v>1.35731402</v>
      </c>
      <c r="EB13" s="1">
        <f t="shared" si="30"/>
        <v>2.5763999899999996</v>
      </c>
      <c r="EC13" s="1">
        <f t="shared" si="30"/>
        <v>1.9681859399999997</v>
      </c>
      <c r="ED13" s="1">
        <f t="shared" si="30"/>
        <v>1.3509551799999999</v>
      </c>
      <c r="EE13" s="1">
        <f t="shared" si="30"/>
        <v>1.17847463</v>
      </c>
      <c r="EF13" s="1">
        <f t="shared" si="30"/>
        <v>1.3993575599999999</v>
      </c>
      <c r="EH13" s="14">
        <f t="shared" si="31"/>
        <v>0</v>
      </c>
      <c r="EI13" s="14">
        <f t="shared" si="31"/>
        <v>0</v>
      </c>
      <c r="EJ13" s="1">
        <f t="shared" si="31"/>
        <v>0</v>
      </c>
      <c r="EK13" s="1">
        <f t="shared" si="31"/>
        <v>0</v>
      </c>
      <c r="EL13" s="1">
        <f t="shared" si="31"/>
        <v>0</v>
      </c>
      <c r="EM13" s="1">
        <f t="shared" si="31"/>
        <v>0</v>
      </c>
      <c r="EN13" s="1">
        <f t="shared" si="31"/>
        <v>0</v>
      </c>
      <c r="EO13" s="1">
        <f t="shared" si="31"/>
        <v>0</v>
      </c>
      <c r="EP13" s="1">
        <f t="shared" si="31"/>
        <v>0</v>
      </c>
      <c r="EQ13" s="1">
        <f t="shared" si="31"/>
        <v>0</v>
      </c>
      <c r="ER13" s="1">
        <f t="shared" si="31"/>
        <v>0</v>
      </c>
      <c r="ES13" s="1">
        <f t="shared" si="31"/>
        <v>0</v>
      </c>
      <c r="ET13" s="1">
        <f t="shared" si="31"/>
        <v>0</v>
      </c>
      <c r="EU13" s="1">
        <f t="shared" si="31"/>
        <v>0</v>
      </c>
      <c r="EV13" s="1">
        <f t="shared" si="31"/>
        <v>0</v>
      </c>
      <c r="EW13" s="1">
        <f t="shared" si="31"/>
        <v>0</v>
      </c>
      <c r="EX13" s="1">
        <f t="shared" si="32"/>
        <v>0</v>
      </c>
      <c r="EY13" s="1">
        <f t="shared" si="32"/>
        <v>0</v>
      </c>
      <c r="EZ13" s="1">
        <f t="shared" si="32"/>
        <v>0</v>
      </c>
      <c r="FA13" s="1">
        <f t="shared" si="32"/>
        <v>0</v>
      </c>
      <c r="FB13" s="1">
        <f t="shared" si="32"/>
        <v>0</v>
      </c>
      <c r="FC13" s="1">
        <f t="shared" si="32"/>
        <v>0</v>
      </c>
      <c r="FD13" s="1">
        <f t="shared" si="32"/>
        <v>0</v>
      </c>
      <c r="FE13" s="1">
        <f t="shared" si="32"/>
        <v>0</v>
      </c>
      <c r="FG13" s="162">
        <f t="shared" si="40"/>
        <v>0.14658853634433777</v>
      </c>
    </row>
    <row r="14" spans="1:163" ht="18" customHeight="1">
      <c r="A14" s="34">
        <f t="shared" si="41"/>
        <v>9</v>
      </c>
      <c r="B14" s="34" t="s">
        <v>65</v>
      </c>
      <c r="C14" s="156">
        <f t="shared" si="5"/>
        <v>-0.99</v>
      </c>
      <c r="D14" s="24">
        <v>-1</v>
      </c>
      <c r="E14" s="40">
        <f t="shared" si="6"/>
        <v>0.15241607129138823</v>
      </c>
      <c r="F14" s="41">
        <f t="shared" si="7"/>
        <v>2.4321371135157088E-2</v>
      </c>
      <c r="G14" s="40"/>
      <c r="H14" s="41"/>
      <c r="I14" s="40">
        <f t="shared" si="10"/>
        <v>1.4356226660172102</v>
      </c>
      <c r="J14" s="41">
        <f t="shared" si="11"/>
        <v>-0.17353400960587928</v>
      </c>
      <c r="K14" s="40"/>
      <c r="L14" s="41"/>
      <c r="M14" s="17"/>
      <c r="N14" s="24">
        <v>-1</v>
      </c>
      <c r="O14" s="40">
        <f t="shared" si="34"/>
        <v>0</v>
      </c>
      <c r="P14" s="104">
        <f t="shared" si="35"/>
        <v>0</v>
      </c>
      <c r="Q14" s="40">
        <f t="shared" si="13"/>
        <v>-1.5090818447667576E-2</v>
      </c>
      <c r="R14" s="42">
        <f t="shared" si="36"/>
        <v>-1.5090818447667576E-2</v>
      </c>
      <c r="S14" s="17"/>
      <c r="T14" s="24">
        <v>-1</v>
      </c>
      <c r="U14" s="40">
        <f t="shared" si="14"/>
        <v>-0.19417829986092161</v>
      </c>
      <c r="V14" s="45">
        <f t="shared" si="15"/>
        <v>-0.19417829986092161</v>
      </c>
      <c r="W14" s="40">
        <f t="shared" si="37"/>
        <v>-0.30029843117497257</v>
      </c>
      <c r="X14" s="45">
        <f t="shared" si="16"/>
        <v>-0.30029843117497257</v>
      </c>
      <c r="Y14" s="40">
        <f t="shared" si="17"/>
        <v>4.347826086956541E-2</v>
      </c>
      <c r="Z14" s="45">
        <f t="shared" si="18"/>
        <v>4.347826086956541E-2</v>
      </c>
      <c r="AA14" s="30"/>
      <c r="AB14" s="61" t="s">
        <v>289</v>
      </c>
      <c r="AC14" s="61" t="s">
        <v>289</v>
      </c>
      <c r="AD14" s="61" t="s">
        <v>289</v>
      </c>
      <c r="AE14" s="61" t="s">
        <v>289</v>
      </c>
      <c r="AF14" s="61" t="s">
        <v>289</v>
      </c>
      <c r="AG14" s="61" t="s">
        <v>289</v>
      </c>
      <c r="AH14" s="61" t="s">
        <v>289</v>
      </c>
      <c r="AI14" s="61" t="s">
        <v>289</v>
      </c>
      <c r="AJ14" s="61" t="s">
        <v>289</v>
      </c>
      <c r="AK14" s="61" t="s">
        <v>289</v>
      </c>
      <c r="AL14" s="61" t="s">
        <v>289</v>
      </c>
      <c r="AM14" s="61" t="s">
        <v>289</v>
      </c>
      <c r="AO14" s="28">
        <f>VLOOKUP($B14,historia!$A$5:$CM$24,+HLOOKUP(AO$2,historia!$A$3:$EC$4,2,FALSE),FALSE)</f>
        <v>4</v>
      </c>
      <c r="AP14" s="28">
        <f>VLOOKUP($B14,historia!$A$5:$CM$24,+HLOOKUP(AP$2,historia!$A$3:$EC$4,2,FALSE),FALSE)</f>
        <v>5</v>
      </c>
      <c r="AQ14" s="28">
        <f>VLOOKUP($B14,historia!$A$5:$CM$24,+HLOOKUP(AQ$2,historia!$A$3:$EC$4,2,FALSE),FALSE)</f>
        <v>5</v>
      </c>
      <c r="AR14" s="28">
        <f>VLOOKUP($B14,historia!$A$5:$CM$24,+HLOOKUP(AR$2,historia!$A$3:$EC$4,2,FALSE),FALSE)</f>
        <v>5</v>
      </c>
      <c r="AS14" s="58">
        <f>VLOOKUP($B14,historia!$A$5:$CM$24,+HLOOKUP(AS$2,historia!$A$3:$EC$4,2,FALSE),FALSE)</f>
        <v>5</v>
      </c>
      <c r="AT14" s="58">
        <f>VLOOKUP($B14,historia!$A$5:$CM$24,+HLOOKUP(AT$2,historia!$A$3:$EC$4,2,FALSE),FALSE)</f>
        <v>5</v>
      </c>
      <c r="AU14" s="58">
        <f>VLOOKUP($B14,historia!$A$5:$CM$24,+HLOOKUP(AU$2,historia!$A$3:$EC$4,2,FALSE),FALSE)</f>
        <v>5</v>
      </c>
      <c r="AV14" s="58">
        <f>VLOOKUP($B14,historia!$A$5:$CM$24,+HLOOKUP(AV$2,historia!$A$3:$EC$4,2,FALSE),FALSE)</f>
        <v>5</v>
      </c>
      <c r="AW14" s="58">
        <f>VLOOKUP($B14,historia!$A$5:$CM$24,+HLOOKUP(AW$2,historia!$A$3:$EC$4,2,FALSE),FALSE)</f>
        <v>5</v>
      </c>
      <c r="AX14" s="58">
        <f>VLOOKUP($B14,historia!$A$5:$CM$24,+HLOOKUP(AX$2,historia!$A$3:$EC$4,2,FALSE),FALSE)</f>
        <v>5</v>
      </c>
      <c r="AY14" s="58">
        <f>VLOOKUP($B14,historia!$A$5:$CM$24,+HLOOKUP(AY$2,historia!$A$3:$EC$4,2,FALSE),FALSE)</f>
        <v>5</v>
      </c>
      <c r="AZ14" s="58">
        <f>VLOOKUP($B14,historia!$A$5:$CM$24,+HLOOKUP(AZ$2,historia!$A$3:$EC$4,2,FALSE),FALSE)</f>
        <v>5</v>
      </c>
      <c r="BA14" s="30"/>
      <c r="BB14" s="158" t="s">
        <v>430</v>
      </c>
      <c r="BC14" s="141">
        <v>5</v>
      </c>
      <c r="BD14" t="str">
        <f t="shared" si="19"/>
        <v>Leche</v>
      </c>
      <c r="BE14">
        <f>+datos!BN1</f>
        <v>66</v>
      </c>
      <c r="BF14" s="2" t="str">
        <f t="shared" si="4"/>
        <v>$/l</v>
      </c>
      <c r="BG14" s="2">
        <f t="shared" si="4"/>
        <v>150.01</v>
      </c>
      <c r="BH14" s="2">
        <f t="shared" si="4"/>
        <v>130.16999999999999</v>
      </c>
      <c r="BI14" s="2">
        <f t="shared" si="4"/>
        <v>61.59</v>
      </c>
      <c r="BK14">
        <f>+datos!DC1</f>
        <v>107</v>
      </c>
      <c r="BL14" s="2">
        <f t="shared" si="20"/>
        <v>3527.7285782139179</v>
      </c>
      <c r="BM14" s="2">
        <f t="shared" si="20"/>
        <v>3277.495496214884</v>
      </c>
      <c r="BN14" s="2">
        <f t="shared" si="20"/>
        <v>1921.4944327693452</v>
      </c>
      <c r="BP14" s="1">
        <f>+datos!EN1</f>
        <v>144</v>
      </c>
      <c r="BQ14" s="1">
        <f t="shared" si="21"/>
        <v>3169981</v>
      </c>
      <c r="BR14" s="1">
        <f t="shared" si="21"/>
        <v>3169981</v>
      </c>
      <c r="BT14" s="1">
        <f>+datos!HP1</f>
        <v>224</v>
      </c>
      <c r="BU14" s="1">
        <f t="shared" si="22"/>
        <v>11399.683332000001</v>
      </c>
      <c r="BV14" s="1">
        <f t="shared" si="22"/>
        <v>11574.349742615621</v>
      </c>
      <c r="BX14" s="1">
        <f>+datos!KH1</f>
        <v>294</v>
      </c>
      <c r="BY14" s="1">
        <f t="shared" si="38"/>
        <v>1547.1902393</v>
      </c>
      <c r="BZ14" s="1">
        <f t="shared" si="39"/>
        <v>1920.0156052299999</v>
      </c>
      <c r="CB14" s="1">
        <f>+datos!LM1</f>
        <v>325</v>
      </c>
      <c r="CC14" s="2">
        <f t="shared" si="23"/>
        <v>24.201436169999997</v>
      </c>
      <c r="CD14" s="2">
        <f t="shared" si="24"/>
        <v>34.588226250000005</v>
      </c>
      <c r="CF14" s="1">
        <f>+datos!IN1</f>
        <v>248</v>
      </c>
      <c r="CG14" s="1">
        <f t="shared" si="25"/>
        <v>196.8</v>
      </c>
      <c r="CH14" s="1">
        <f t="shared" si="26"/>
        <v>188.6</v>
      </c>
      <c r="CJ14" s="1">
        <f t="shared" si="27"/>
        <v>136.81239812999999</v>
      </c>
      <c r="CK14" s="1">
        <f t="shared" si="27"/>
        <v>134.16752365000002</v>
      </c>
      <c r="CL14" s="1">
        <f t="shared" si="27"/>
        <v>114.82793965999997</v>
      </c>
      <c r="CM14" s="1">
        <f t="shared" si="27"/>
        <v>120.47507141999999</v>
      </c>
      <c r="CN14" s="1">
        <f t="shared" si="27"/>
        <v>118.84770241</v>
      </c>
      <c r="CO14" s="1">
        <f t="shared" si="27"/>
        <v>100.85116919999999</v>
      </c>
      <c r="CP14" s="1">
        <f t="shared" si="27"/>
        <v>116.29617616</v>
      </c>
      <c r="CQ14" s="1">
        <f t="shared" si="27"/>
        <v>115.47027065</v>
      </c>
      <c r="CR14" s="1">
        <f t="shared" si="27"/>
        <v>138.26089648999999</v>
      </c>
      <c r="CS14" s="1">
        <f t="shared" si="27"/>
        <v>163.45053632000003</v>
      </c>
      <c r="CT14" s="1">
        <f t="shared" si="27"/>
        <v>135.61809928</v>
      </c>
      <c r="CU14" s="1">
        <f t="shared" si="27"/>
        <v>152.11245593000001</v>
      </c>
      <c r="CV14" s="1">
        <f t="shared" si="27"/>
        <v>167.62191332</v>
      </c>
      <c r="CW14" s="1">
        <f t="shared" si="27"/>
        <v>194.12902524000003</v>
      </c>
      <c r="CX14" s="1">
        <f t="shared" si="27"/>
        <v>153.24721415000002</v>
      </c>
      <c r="CY14" s="1">
        <f t="shared" si="27"/>
        <v>146.24437125</v>
      </c>
      <c r="CZ14" s="1">
        <f t="shared" si="28"/>
        <v>192.10888658000002</v>
      </c>
      <c r="DA14" s="1">
        <f t="shared" si="28"/>
        <v>152.44279752</v>
      </c>
      <c r="DB14" s="1">
        <f t="shared" si="28"/>
        <v>151.50018190000003</v>
      </c>
      <c r="DC14" s="1">
        <f t="shared" si="28"/>
        <v>143.54288933999999</v>
      </c>
      <c r="DD14" s="1">
        <f t="shared" si="28"/>
        <v>150.63131442000002</v>
      </c>
      <c r="DE14" s="1">
        <f t="shared" si="28"/>
        <v>146.77464456000001</v>
      </c>
      <c r="DF14" s="1">
        <f t="shared" si="28"/>
        <v>161.60135248999998</v>
      </c>
      <c r="DG14" s="1">
        <f t="shared" si="28"/>
        <v>160.17101445999995</v>
      </c>
      <c r="DI14" s="1">
        <f t="shared" si="29"/>
        <v>2.1288867499999999</v>
      </c>
      <c r="DJ14" s="1">
        <f t="shared" si="29"/>
        <v>2.0947676</v>
      </c>
      <c r="DK14" s="1">
        <f t="shared" si="29"/>
        <v>1.2699740900000001</v>
      </c>
      <c r="DL14" s="1">
        <f t="shared" si="29"/>
        <v>1.3202370399999999</v>
      </c>
      <c r="DM14" s="1">
        <f t="shared" si="29"/>
        <v>2.29115132</v>
      </c>
      <c r="DN14" s="1">
        <f t="shared" si="29"/>
        <v>1.8108909100000001</v>
      </c>
      <c r="DO14" s="1">
        <f t="shared" si="29"/>
        <v>3.0093188999999998</v>
      </c>
      <c r="DP14" s="1">
        <f t="shared" si="29"/>
        <v>2.2926081099999998</v>
      </c>
      <c r="DQ14" s="1">
        <f t="shared" si="29"/>
        <v>3.2446467999999999</v>
      </c>
      <c r="DR14" s="1">
        <f t="shared" si="29"/>
        <v>2.3068511200000001</v>
      </c>
      <c r="DS14" s="1">
        <f t="shared" si="29"/>
        <v>2.4321035299999991</v>
      </c>
      <c r="DT14" s="1">
        <f t="shared" si="29"/>
        <v>0</v>
      </c>
      <c r="DU14" s="1">
        <f t="shared" si="29"/>
        <v>2.4168714900000001</v>
      </c>
      <c r="DV14" s="1">
        <f t="shared" si="29"/>
        <v>1.42944377</v>
      </c>
      <c r="DW14" s="1">
        <f t="shared" si="29"/>
        <v>2.4256843100000003</v>
      </c>
      <c r="DX14" s="1">
        <f t="shared" si="29"/>
        <v>4.1067614599999995</v>
      </c>
      <c r="DY14" s="1">
        <f t="shared" si="30"/>
        <v>1.9338399900000003</v>
      </c>
      <c r="DZ14" s="1">
        <f t="shared" si="30"/>
        <v>3.7249795299999997</v>
      </c>
      <c r="EA14" s="1">
        <f t="shared" si="30"/>
        <v>4.5194618700000007</v>
      </c>
      <c r="EB14" s="1">
        <f t="shared" si="30"/>
        <v>3.2917525699999999</v>
      </c>
      <c r="EC14" s="1">
        <f t="shared" si="30"/>
        <v>3.3109050799999999</v>
      </c>
      <c r="ED14" s="1">
        <f t="shared" si="30"/>
        <v>2.24095515</v>
      </c>
      <c r="EE14" s="1">
        <f t="shared" si="30"/>
        <v>2.7897930800000004</v>
      </c>
      <c r="EF14" s="1">
        <f t="shared" si="30"/>
        <v>2.39777795</v>
      </c>
      <c r="EH14" s="14">
        <f t="shared" si="31"/>
        <v>196.8</v>
      </c>
      <c r="EI14" s="14">
        <f t="shared" si="31"/>
        <v>188.6</v>
      </c>
      <c r="EJ14" s="1">
        <f t="shared" si="31"/>
        <v>188.6</v>
      </c>
      <c r="EK14" s="1">
        <f t="shared" si="31"/>
        <v>188.6</v>
      </c>
      <c r="EL14" s="1">
        <f t="shared" si="31"/>
        <v>188.6</v>
      </c>
      <c r="EM14" s="1">
        <f t="shared" si="31"/>
        <v>188.6</v>
      </c>
      <c r="EN14" s="1">
        <f t="shared" si="31"/>
        <v>188.6</v>
      </c>
      <c r="EO14" s="1">
        <f t="shared" si="31"/>
        <v>188.6</v>
      </c>
      <c r="EP14" s="1">
        <f t="shared" si="31"/>
        <v>188.6</v>
      </c>
      <c r="EQ14" s="1">
        <f t="shared" si="31"/>
        <v>188.6</v>
      </c>
      <c r="ER14" s="1">
        <f t="shared" si="31"/>
        <v>188.6</v>
      </c>
      <c r="ES14" s="1">
        <f t="shared" si="31"/>
        <v>188.6</v>
      </c>
      <c r="ET14" s="1">
        <f t="shared" si="31"/>
        <v>188.6</v>
      </c>
      <c r="EU14" s="1">
        <f t="shared" si="31"/>
        <v>185.6</v>
      </c>
      <c r="EV14" s="1">
        <f t="shared" si="31"/>
        <v>185.6</v>
      </c>
      <c r="EW14" s="1">
        <f t="shared" si="31"/>
        <v>189</v>
      </c>
      <c r="EX14" s="1">
        <f t="shared" si="32"/>
        <v>189</v>
      </c>
      <c r="EY14" s="1">
        <f t="shared" si="32"/>
        <v>189</v>
      </c>
      <c r="EZ14" s="1">
        <f t="shared" si="32"/>
        <v>189</v>
      </c>
      <c r="FA14" s="1">
        <f t="shared" si="32"/>
        <v>189</v>
      </c>
      <c r="FB14" s="1">
        <f t="shared" si="32"/>
        <v>189</v>
      </c>
      <c r="FC14" s="1">
        <f t="shared" si="32"/>
        <v>189</v>
      </c>
      <c r="FD14" s="1">
        <f t="shared" si="32"/>
        <v>189</v>
      </c>
      <c r="FE14" s="1">
        <f t="shared" si="32"/>
        <v>189</v>
      </c>
      <c r="FG14" s="162">
        <f t="shared" si="40"/>
        <v>1.4356226660172102</v>
      </c>
    </row>
    <row r="15" spans="1:163" ht="18" customHeight="1">
      <c r="A15" s="34">
        <f t="shared" si="41"/>
        <v>10</v>
      </c>
      <c r="B15" s="34" t="s">
        <v>68</v>
      </c>
      <c r="C15" s="156">
        <v>-1</v>
      </c>
      <c r="D15" s="24">
        <v>0</v>
      </c>
      <c r="E15" s="40">
        <f t="shared" si="6"/>
        <v>0.21770428015564214</v>
      </c>
      <c r="F15" s="41">
        <f t="shared" si="7"/>
        <v>8.9609579999410993E-2</v>
      </c>
      <c r="G15" s="40">
        <f t="shared" si="8"/>
        <v>0.18926626909915445</v>
      </c>
      <c r="H15" s="41">
        <f t="shared" si="9"/>
        <v>2.8438011056487689E-2</v>
      </c>
      <c r="I15" s="40">
        <f t="shared" si="10"/>
        <v>0.60885956644674843</v>
      </c>
      <c r="J15" s="41">
        <f t="shared" si="11"/>
        <v>-1.0002971091763411</v>
      </c>
      <c r="K15" s="40">
        <f t="shared" si="33"/>
        <v>1.1531950457658757</v>
      </c>
      <c r="L15" s="41">
        <f t="shared" si="12"/>
        <v>-0.54433547931912729</v>
      </c>
      <c r="M15" s="17"/>
      <c r="N15" s="24">
        <v>0</v>
      </c>
      <c r="O15" s="40">
        <f t="shared" si="34"/>
        <v>7.1824031123746135E-3</v>
      </c>
      <c r="P15" s="104">
        <f t="shared" si="35"/>
        <v>7.1824031123746135E-3</v>
      </c>
      <c r="Q15" s="40">
        <f t="shared" si="13"/>
        <v>7.2628461940427158E-3</v>
      </c>
      <c r="R15" s="42">
        <f t="shared" si="36"/>
        <v>7.2628461940427158E-3</v>
      </c>
      <c r="S15" s="17"/>
      <c r="T15" s="24">
        <v>-1</v>
      </c>
      <c r="U15" s="40" t="str">
        <f t="shared" si="14"/>
        <v/>
      </c>
      <c r="V15" s="45" t="str">
        <f t="shared" si="15"/>
        <v/>
      </c>
      <c r="W15" s="40">
        <f t="shared" si="37"/>
        <v>-0.11077496395703412</v>
      </c>
      <c r="X15" s="45">
        <f t="shared" si="16"/>
        <v>-0.11077496395703412</v>
      </c>
      <c r="Y15" s="40">
        <f t="shared" si="17"/>
        <v>0</v>
      </c>
      <c r="Z15" s="45">
        <f t="shared" si="18"/>
        <v>0</v>
      </c>
      <c r="AA15" s="30"/>
      <c r="AB15" s="61" t="s">
        <v>289</v>
      </c>
      <c r="AC15" s="61" t="s">
        <v>289</v>
      </c>
      <c r="AD15" s="61" t="s">
        <v>289</v>
      </c>
      <c r="AE15" s="61" t="s">
        <v>289</v>
      </c>
      <c r="AF15" s="61" t="s">
        <v>289</v>
      </c>
      <c r="AG15" s="61" t="s">
        <v>289</v>
      </c>
      <c r="AH15" s="61" t="s">
        <v>289</v>
      </c>
      <c r="AI15" s="61" t="s">
        <v>289</v>
      </c>
      <c r="AJ15" s="61" t="s">
        <v>289</v>
      </c>
      <c r="AK15" s="61" t="s">
        <v>289</v>
      </c>
      <c r="AL15" s="61" t="s">
        <v>289</v>
      </c>
      <c r="AM15" s="61" t="s">
        <v>289</v>
      </c>
      <c r="AO15" s="28">
        <f>VLOOKUP($B15,historia!$A$5:$CM$24,+HLOOKUP(AO$2,historia!$A$3:$EC$4,2,FALSE),FALSE)</f>
        <v>3</v>
      </c>
      <c r="AP15" s="28">
        <f>VLOOKUP($B15,historia!$A$5:$CM$24,+HLOOKUP(AP$2,historia!$A$3:$EC$4,2,FALSE),FALSE)</f>
        <v>4</v>
      </c>
      <c r="AQ15" s="28">
        <f>VLOOKUP($B15,historia!$A$5:$CM$24,+HLOOKUP(AQ$2,historia!$A$3:$EC$4,2,FALSE),FALSE)</f>
        <v>4</v>
      </c>
      <c r="AR15" s="28">
        <f>VLOOKUP($B15,historia!$A$5:$CM$24,+HLOOKUP(AR$2,historia!$A$3:$EC$4,2,FALSE),FALSE)</f>
        <v>4</v>
      </c>
      <c r="AS15" s="58">
        <f>VLOOKUP($B15,historia!$A$5:$CM$24,+HLOOKUP(AS$2,historia!$A$3:$EC$4,2,FALSE),FALSE)</f>
        <v>4</v>
      </c>
      <c r="AT15" s="58">
        <f>VLOOKUP($B15,historia!$A$5:$CM$24,+HLOOKUP(AT$2,historia!$A$3:$EC$4,2,FALSE),FALSE)</f>
        <v>4</v>
      </c>
      <c r="AU15" s="58">
        <f>VLOOKUP($B15,historia!$A$5:$CM$24,+HLOOKUP(AU$2,historia!$A$3:$EC$4,2,FALSE),FALSE)</f>
        <v>4</v>
      </c>
      <c r="AV15" s="58">
        <f>VLOOKUP($B15,historia!$A$5:$CM$24,+HLOOKUP(AV$2,historia!$A$3:$EC$4,2,FALSE),FALSE)</f>
        <v>4</v>
      </c>
      <c r="AW15" s="58">
        <f>VLOOKUP($B15,historia!$A$5:$CM$24,+HLOOKUP(AW$2,historia!$A$3:$EC$4,2,FALSE),FALSE)</f>
        <v>4</v>
      </c>
      <c r="AX15" s="58">
        <f>VLOOKUP($B15,historia!$A$5:$CM$24,+HLOOKUP(AX$2,historia!$A$3:$EC$4,2,FALSE),FALSE)</f>
        <v>4</v>
      </c>
      <c r="AY15" s="58">
        <f>VLOOKUP($B15,historia!$A$5:$CM$24,+HLOOKUP(AY$2,historia!$A$3:$EC$4,2,FALSE),FALSE)</f>
        <v>4</v>
      </c>
      <c r="AZ15" s="58">
        <f>VLOOKUP($B15,historia!$A$5:$CM$24,+HLOOKUP(AZ$2,historia!$A$3:$EC$4,2,FALSE),FALSE)</f>
        <v>4</v>
      </c>
      <c r="BA15" s="30"/>
      <c r="BB15" s="158" t="s">
        <v>413</v>
      </c>
      <c r="BC15" s="141">
        <v>4</v>
      </c>
      <c r="BD15" t="str">
        <f t="shared" si="19"/>
        <v>Mandioca</v>
      </c>
      <c r="BE15">
        <f>+datos!AW1</f>
        <v>49</v>
      </c>
      <c r="BF15" s="2" t="str">
        <f t="shared" si="4"/>
        <v>$/bolsa40kg</v>
      </c>
      <c r="BG15" s="2">
        <f t="shared" si="4"/>
        <v>8535</v>
      </c>
      <c r="BH15" s="2">
        <f t="shared" si="4"/>
        <v>7009.090909090909</v>
      </c>
      <c r="BI15" s="2">
        <f t="shared" si="4"/>
        <v>5305</v>
      </c>
      <c r="BK15">
        <f>+datos!CJ1</f>
        <v>88</v>
      </c>
      <c r="BL15" s="2">
        <f t="shared" si="20"/>
        <v>3750.0518796726142</v>
      </c>
      <c r="BM15" s="2">
        <f t="shared" si="20"/>
        <v>3153.2483322790313</v>
      </c>
      <c r="BN15" s="2">
        <f t="shared" si="20"/>
        <v>1741.6220082090838</v>
      </c>
      <c r="BP15" s="1">
        <f>+datos!EY1</f>
        <v>155</v>
      </c>
      <c r="BQ15" s="1">
        <f t="shared" si="21"/>
        <v>20193</v>
      </c>
      <c r="BR15" s="1">
        <f t="shared" si="21"/>
        <v>20049</v>
      </c>
      <c r="BT15" s="1">
        <f>+datos!GO1</f>
        <v>197</v>
      </c>
      <c r="BU15" s="1">
        <f t="shared" si="22"/>
        <v>202394.36</v>
      </c>
      <c r="BV15" s="1">
        <f t="shared" si="22"/>
        <v>200935</v>
      </c>
      <c r="BX15" s="1">
        <f>+datos!JP1</f>
        <v>276</v>
      </c>
      <c r="BY15" s="1">
        <f t="shared" si="38"/>
        <v>0</v>
      </c>
      <c r="BZ15" s="1">
        <f t="shared" si="39"/>
        <v>0</v>
      </c>
      <c r="CB15" s="1">
        <f>+datos!KU1</f>
        <v>307</v>
      </c>
      <c r="CC15" s="2">
        <f t="shared" si="23"/>
        <v>9.0356974399999999</v>
      </c>
      <c r="CD15" s="2">
        <f t="shared" si="24"/>
        <v>10.161316959999999</v>
      </c>
      <c r="CF15" s="1">
        <f>+datos!IY1</f>
        <v>259</v>
      </c>
      <c r="CG15" s="1">
        <f t="shared" si="25"/>
        <v>1.88</v>
      </c>
      <c r="CH15" s="1">
        <f t="shared" si="26"/>
        <v>1.88</v>
      </c>
      <c r="CJ15" s="1">
        <f t="shared" si="27"/>
        <v>0</v>
      </c>
      <c r="CK15" s="1">
        <f t="shared" si="27"/>
        <v>0</v>
      </c>
      <c r="CL15" s="1">
        <f t="shared" si="27"/>
        <v>0</v>
      </c>
      <c r="CM15" s="1">
        <f t="shared" si="27"/>
        <v>0</v>
      </c>
      <c r="CN15" s="1">
        <f t="shared" si="27"/>
        <v>0</v>
      </c>
      <c r="CO15" s="1">
        <f t="shared" si="27"/>
        <v>0</v>
      </c>
      <c r="CP15" s="1">
        <f t="shared" si="27"/>
        <v>0</v>
      </c>
      <c r="CQ15" s="1">
        <f t="shared" si="27"/>
        <v>0</v>
      </c>
      <c r="CR15" s="1">
        <f t="shared" si="27"/>
        <v>0</v>
      </c>
      <c r="CS15" s="1">
        <f t="shared" si="27"/>
        <v>0</v>
      </c>
      <c r="CT15" s="1">
        <f t="shared" si="27"/>
        <v>0</v>
      </c>
      <c r="CU15" s="1">
        <f t="shared" si="27"/>
        <v>0</v>
      </c>
      <c r="CV15" s="1">
        <f t="shared" si="27"/>
        <v>0</v>
      </c>
      <c r="CW15" s="1">
        <f t="shared" si="27"/>
        <v>0</v>
      </c>
      <c r="CX15" s="1">
        <f t="shared" si="27"/>
        <v>0</v>
      </c>
      <c r="CY15" s="1">
        <f t="shared" si="27"/>
        <v>0</v>
      </c>
      <c r="CZ15" s="1">
        <f t="shared" si="28"/>
        <v>0</v>
      </c>
      <c r="DA15" s="1">
        <f t="shared" si="28"/>
        <v>0</v>
      </c>
      <c r="DB15" s="1">
        <f t="shared" si="28"/>
        <v>0</v>
      </c>
      <c r="DC15" s="1">
        <f t="shared" si="28"/>
        <v>0</v>
      </c>
      <c r="DD15" s="1">
        <f t="shared" si="28"/>
        <v>0</v>
      </c>
      <c r="DE15" s="1">
        <f t="shared" si="28"/>
        <v>0</v>
      </c>
      <c r="DF15" s="1">
        <f t="shared" si="28"/>
        <v>0</v>
      </c>
      <c r="DG15" s="1">
        <f t="shared" si="28"/>
        <v>0</v>
      </c>
      <c r="DI15" s="14">
        <f t="shared" si="29"/>
        <v>0.39667624000000001</v>
      </c>
      <c r="DJ15" s="14">
        <f t="shared" si="29"/>
        <v>0.47948613000000001</v>
      </c>
      <c r="DK15" s="1">
        <f t="shared" si="29"/>
        <v>0.13955175</v>
      </c>
      <c r="DL15" s="1">
        <f t="shared" si="29"/>
        <v>0.88368341000000006</v>
      </c>
      <c r="DM15" s="1">
        <f t="shared" si="29"/>
        <v>0.91695114999999994</v>
      </c>
      <c r="DN15" s="1">
        <f t="shared" si="29"/>
        <v>1.1944894100000001</v>
      </c>
      <c r="DO15" s="1">
        <f t="shared" si="29"/>
        <v>1.11559404</v>
      </c>
      <c r="DP15" s="1">
        <f t="shared" si="29"/>
        <v>1.36422954</v>
      </c>
      <c r="DQ15" s="1">
        <f t="shared" si="29"/>
        <v>1.7463627799999999</v>
      </c>
      <c r="DR15" s="1">
        <f t="shared" si="29"/>
        <v>0.68698649000000001</v>
      </c>
      <c r="DS15" s="1">
        <f t="shared" si="29"/>
        <v>0.11168649999999999</v>
      </c>
      <c r="DT15" s="1">
        <f t="shared" si="29"/>
        <v>0</v>
      </c>
      <c r="DU15" s="1">
        <f t="shared" si="29"/>
        <v>1.4896021499999998</v>
      </c>
      <c r="DV15" s="1">
        <f t="shared" si="29"/>
        <v>0</v>
      </c>
      <c r="DW15" s="1">
        <f t="shared" si="29"/>
        <v>1.7451778999999998</v>
      </c>
      <c r="DX15" s="1">
        <f t="shared" si="29"/>
        <v>0.90545438</v>
      </c>
      <c r="DY15" s="1">
        <f t="shared" si="30"/>
        <v>0.96282131000000004</v>
      </c>
      <c r="DZ15" s="1">
        <f t="shared" si="30"/>
        <v>0.35384690000000002</v>
      </c>
      <c r="EA15" s="1">
        <f t="shared" si="30"/>
        <v>0.71853049999999996</v>
      </c>
      <c r="EB15" s="1">
        <f t="shared" si="30"/>
        <v>0.412966</v>
      </c>
      <c r="EC15" s="1">
        <f t="shared" si="30"/>
        <v>1.07159906</v>
      </c>
      <c r="ED15" s="1">
        <f t="shared" si="30"/>
        <v>1.1247584300000002</v>
      </c>
      <c r="EE15" s="1">
        <f t="shared" si="30"/>
        <v>0.82768005</v>
      </c>
      <c r="EF15" s="1">
        <f t="shared" si="30"/>
        <v>0.54888028</v>
      </c>
      <c r="EH15" s="14">
        <f t="shared" si="31"/>
        <v>1.88</v>
      </c>
      <c r="EI15" s="14">
        <f t="shared" si="31"/>
        <v>1.88</v>
      </c>
      <c r="EJ15" s="1">
        <f t="shared" si="31"/>
        <v>1.88</v>
      </c>
      <c r="EK15" s="1">
        <f t="shared" si="31"/>
        <v>1.88</v>
      </c>
      <c r="EL15" s="1">
        <f t="shared" si="31"/>
        <v>1.88</v>
      </c>
      <c r="EM15" s="1">
        <f t="shared" si="31"/>
        <v>1.88</v>
      </c>
      <c r="EN15" s="1">
        <f t="shared" si="31"/>
        <v>1.88</v>
      </c>
      <c r="EO15" s="1">
        <f t="shared" si="31"/>
        <v>1.88</v>
      </c>
      <c r="EP15" s="1">
        <f t="shared" si="31"/>
        <v>1.88</v>
      </c>
      <c r="EQ15" s="1">
        <f t="shared" si="31"/>
        <v>1.88</v>
      </c>
      <c r="ER15" s="1">
        <f t="shared" si="31"/>
        <v>1.88</v>
      </c>
      <c r="ES15" s="1">
        <f t="shared" si="31"/>
        <v>1.88</v>
      </c>
      <c r="ET15" s="1">
        <f t="shared" si="31"/>
        <v>1.88</v>
      </c>
      <c r="EU15" s="1">
        <f t="shared" si="31"/>
        <v>1.88</v>
      </c>
      <c r="EV15" s="1">
        <f t="shared" si="31"/>
        <v>1.88</v>
      </c>
      <c r="EW15" s="1">
        <f t="shared" si="31"/>
        <v>1.88</v>
      </c>
      <c r="EX15" s="1">
        <f t="shared" si="32"/>
        <v>1.88</v>
      </c>
      <c r="EY15" s="1">
        <f t="shared" si="32"/>
        <v>1.88</v>
      </c>
      <c r="EZ15" s="1">
        <f t="shared" si="32"/>
        <v>1.88</v>
      </c>
      <c r="FA15" s="1">
        <f t="shared" si="32"/>
        <v>1.88</v>
      </c>
      <c r="FB15" s="1">
        <f t="shared" si="32"/>
        <v>1.88</v>
      </c>
      <c r="FC15" s="1">
        <f t="shared" si="32"/>
        <v>1.88</v>
      </c>
      <c r="FD15" s="1">
        <f t="shared" si="32"/>
        <v>1.88</v>
      </c>
      <c r="FE15" s="1">
        <f t="shared" si="32"/>
        <v>1.86</v>
      </c>
      <c r="FG15" s="162">
        <f t="shared" si="40"/>
        <v>-0.54433547931912729</v>
      </c>
    </row>
    <row r="16" spans="1:163" ht="18" customHeight="1">
      <c r="A16" s="34">
        <f t="shared" si="41"/>
        <v>11</v>
      </c>
      <c r="B16" s="34" t="s">
        <v>25</v>
      </c>
      <c r="C16" s="156">
        <f t="shared" si="5"/>
        <v>0.33</v>
      </c>
      <c r="D16" s="24">
        <v>0</v>
      </c>
      <c r="E16" s="40">
        <f t="shared" si="6"/>
        <v>7.3155236292041792E-3</v>
      </c>
      <c r="F16" s="41">
        <f t="shared" si="7"/>
        <v>-0.12077917652702697</v>
      </c>
      <c r="G16" s="40">
        <f t="shared" si="8"/>
        <v>7.3238820204605259E-2</v>
      </c>
      <c r="H16" s="41">
        <f t="shared" si="9"/>
        <v>-6.592329657540108E-2</v>
      </c>
      <c r="I16" s="40">
        <f t="shared" si="10"/>
        <v>1.834938166391757</v>
      </c>
      <c r="J16" s="41">
        <f t="shared" si="11"/>
        <v>0.22578149076866749</v>
      </c>
      <c r="K16" s="40">
        <f t="shared" si="33"/>
        <v>1.3251761521568945</v>
      </c>
      <c r="L16" s="41">
        <f t="shared" si="12"/>
        <v>0.50976201423486245</v>
      </c>
      <c r="M16" s="17"/>
      <c r="N16" s="24">
        <v>0</v>
      </c>
      <c r="O16" s="40">
        <f t="shared" si="34"/>
        <v>0.11422036142805547</v>
      </c>
      <c r="P16" s="104">
        <f t="shared" si="35"/>
        <v>0.11422036142805547</v>
      </c>
      <c r="Q16" s="40">
        <f t="shared" si="13"/>
        <v>-0.30338814814814818</v>
      </c>
      <c r="R16" s="42">
        <f t="shared" si="36"/>
        <v>-0.30338814814814818</v>
      </c>
      <c r="S16" s="17"/>
      <c r="T16" s="24">
        <v>1</v>
      </c>
      <c r="U16" s="40">
        <f t="shared" si="14"/>
        <v>1.6004910300283282E-2</v>
      </c>
      <c r="V16" s="45">
        <f t="shared" si="15"/>
        <v>1.6004910300283282E-2</v>
      </c>
      <c r="W16" s="159"/>
      <c r="X16" s="45"/>
      <c r="Y16" s="40">
        <f t="shared" si="17"/>
        <v>4.4351010443510086E-2</v>
      </c>
      <c r="Z16" s="45">
        <f t="shared" si="18"/>
        <v>4.4351010443510086E-2</v>
      </c>
      <c r="AA16" s="30"/>
      <c r="AB16" s="61" t="s">
        <v>289</v>
      </c>
      <c r="AC16" s="61" t="s">
        <v>289</v>
      </c>
      <c r="AD16" s="61" t="s">
        <v>289</v>
      </c>
      <c r="AE16" s="61" t="s">
        <v>289</v>
      </c>
      <c r="AF16" s="61" t="s">
        <v>289</v>
      </c>
      <c r="AG16" s="61" t="s">
        <v>289</v>
      </c>
      <c r="AH16" s="61" t="s">
        <v>289</v>
      </c>
      <c r="AI16" s="61" t="s">
        <v>289</v>
      </c>
      <c r="AJ16" s="61" t="s">
        <v>289</v>
      </c>
      <c r="AK16" s="61" t="s">
        <v>289</v>
      </c>
      <c r="AL16" s="61" t="s">
        <v>289</v>
      </c>
      <c r="AM16" s="61" t="s">
        <v>289</v>
      </c>
      <c r="AO16" s="28">
        <f>VLOOKUP($B16,historia!$A$5:$CM$24,+HLOOKUP(AO$2,historia!$A$3:$EC$4,2,FALSE),FALSE)</f>
        <v>4</v>
      </c>
      <c r="AP16" s="28">
        <f>VLOOKUP($B16,historia!$A$5:$CM$24,+HLOOKUP(AP$2,historia!$A$3:$EC$4,2,FALSE),FALSE)</f>
        <v>4</v>
      </c>
      <c r="AQ16" s="28">
        <f>VLOOKUP($B16,historia!$A$5:$CM$24,+HLOOKUP(AQ$2,historia!$A$3:$EC$4,2,FALSE),FALSE)</f>
        <v>4</v>
      </c>
      <c r="AR16" s="28">
        <f>VLOOKUP($B16,historia!$A$5:$CM$24,+HLOOKUP(AR$2,historia!$A$3:$EC$4,2,FALSE),FALSE)</f>
        <v>4</v>
      </c>
      <c r="AS16" s="58">
        <f>VLOOKUP($B16,historia!$A$5:$CM$24,+HLOOKUP(AS$2,historia!$A$3:$EC$4,2,FALSE),FALSE)</f>
        <v>4</v>
      </c>
      <c r="AT16" s="58">
        <f>VLOOKUP($B16,historia!$A$5:$CM$24,+HLOOKUP(AT$2,historia!$A$3:$EC$4,2,FALSE),FALSE)</f>
        <v>3</v>
      </c>
      <c r="AU16" s="58">
        <f>VLOOKUP($B16,historia!$A$5:$CM$24,+HLOOKUP(AU$2,historia!$A$3:$EC$4,2,FALSE),FALSE)</f>
        <v>3</v>
      </c>
      <c r="AV16" s="58">
        <f>VLOOKUP($B16,historia!$A$5:$CM$24,+HLOOKUP(AV$2,historia!$A$3:$EC$4,2,FALSE),FALSE)</f>
        <v>3</v>
      </c>
      <c r="AW16" s="58">
        <f>VLOOKUP($B16,historia!$A$5:$CM$24,+HLOOKUP(AW$2,historia!$A$3:$EC$4,2,FALSE),FALSE)</f>
        <v>3</v>
      </c>
      <c r="AX16" s="58">
        <f>VLOOKUP($B16,historia!$A$5:$CM$24,+HLOOKUP(AX$2,historia!$A$3:$EC$4,2,FALSE),FALSE)</f>
        <v>3</v>
      </c>
      <c r="AY16" s="58">
        <f>VLOOKUP($B16,historia!$A$5:$CM$24,+HLOOKUP(AY$2,historia!$A$3:$EC$4,2,FALSE),FALSE)</f>
        <v>2</v>
      </c>
      <c r="AZ16" s="58">
        <f>VLOOKUP($B16,historia!$A$5:$CM$24,+HLOOKUP(AZ$2,historia!$A$3:$EC$4,2,FALSE),FALSE)</f>
        <v>2</v>
      </c>
      <c r="BA16" s="30"/>
      <c r="BB16" s="158" t="s">
        <v>431</v>
      </c>
      <c r="BC16" s="141">
        <v>2</v>
      </c>
      <c r="BD16" t="str">
        <f t="shared" si="19"/>
        <v>Maní</v>
      </c>
      <c r="BE16">
        <f>+datos!AF1</f>
        <v>32</v>
      </c>
      <c r="BF16" s="2" t="str">
        <f t="shared" si="4"/>
        <v>$/t</v>
      </c>
      <c r="BG16" s="2">
        <f t="shared" si="4"/>
        <v>336294</v>
      </c>
      <c r="BH16" s="2">
        <f t="shared" si="4"/>
        <v>333851.7</v>
      </c>
      <c r="BI16" s="2">
        <f t="shared" si="4"/>
        <v>118624.80952380953</v>
      </c>
      <c r="BK16">
        <f>+datos!CH1</f>
        <v>86</v>
      </c>
      <c r="BL16" s="2">
        <f t="shared" si="20"/>
        <v>4390.1794444812858</v>
      </c>
      <c r="BM16" s="2">
        <f t="shared" si="20"/>
        <v>4090.5894958629337</v>
      </c>
      <c r="BN16" s="2">
        <f t="shared" si="20"/>
        <v>1888.1061722609015</v>
      </c>
      <c r="BP16" s="1">
        <f>+datos!EB1</f>
        <v>132</v>
      </c>
      <c r="BQ16" s="1">
        <f t="shared" si="21"/>
        <v>416490</v>
      </c>
      <c r="BR16" s="1">
        <f t="shared" si="21"/>
        <v>373795</v>
      </c>
      <c r="BT16" s="1">
        <f>+datos!FW1</f>
        <v>179</v>
      </c>
      <c r="BU16" s="1">
        <f t="shared" si="22"/>
        <v>940426</v>
      </c>
      <c r="BV16" s="1">
        <f t="shared" si="22"/>
        <v>1350000</v>
      </c>
      <c r="BX16" s="1">
        <f>+datos!JK1</f>
        <v>271</v>
      </c>
      <c r="BY16" s="1">
        <f t="shared" si="38"/>
        <v>1267.4503995200002</v>
      </c>
      <c r="BZ16" s="1">
        <f t="shared" si="39"/>
        <v>1247.4845216500003</v>
      </c>
      <c r="CB16" s="1">
        <f>+datos!KP1</f>
        <v>302</v>
      </c>
      <c r="CC16" s="2">
        <f t="shared" si="23"/>
        <v>1.08964412</v>
      </c>
      <c r="CD16" s="2">
        <f t="shared" si="24"/>
        <v>0.90533255999999995</v>
      </c>
      <c r="CF16" s="1">
        <f>+datos!IJ1</f>
        <v>244</v>
      </c>
      <c r="CG16" s="1">
        <f t="shared" si="25"/>
        <v>1.9885213252125911</v>
      </c>
      <c r="CH16" s="1">
        <f t="shared" si="26"/>
        <v>1.9040737312717446</v>
      </c>
      <c r="CJ16" s="1">
        <f t="shared" si="27"/>
        <v>96.183340330000021</v>
      </c>
      <c r="CK16" s="1">
        <f t="shared" si="27"/>
        <v>89.024842150000026</v>
      </c>
      <c r="CL16" s="1">
        <f t="shared" si="27"/>
        <v>102.74257099999998</v>
      </c>
      <c r="CM16" s="1">
        <f t="shared" si="27"/>
        <v>102.43695814</v>
      </c>
      <c r="CN16" s="1">
        <f t="shared" si="27"/>
        <v>100.03941109999997</v>
      </c>
      <c r="CO16" s="1">
        <f t="shared" si="27"/>
        <v>89.79279253</v>
      </c>
      <c r="CP16" s="1">
        <f t="shared" si="27"/>
        <v>102.39153366000001</v>
      </c>
      <c r="CQ16" s="1">
        <f t="shared" si="27"/>
        <v>98.470728969999996</v>
      </c>
      <c r="CR16" s="1">
        <f t="shared" si="27"/>
        <v>134.53858048999999</v>
      </c>
      <c r="CS16" s="1">
        <f t="shared" si="27"/>
        <v>116.52197384999999</v>
      </c>
      <c r="CT16" s="1">
        <f t="shared" si="27"/>
        <v>130.05927615000002</v>
      </c>
      <c r="CU16" s="1">
        <f t="shared" si="27"/>
        <v>105.24839114999997</v>
      </c>
      <c r="CV16" s="1">
        <f t="shared" si="27"/>
        <v>106.58558735000001</v>
      </c>
      <c r="CW16" s="1">
        <f t="shared" si="27"/>
        <v>136.66063392000001</v>
      </c>
      <c r="CX16" s="1">
        <f t="shared" si="27"/>
        <v>103.23507013999998</v>
      </c>
      <c r="CY16" s="1">
        <f t="shared" si="27"/>
        <v>127.03001287000001</v>
      </c>
      <c r="CZ16" s="1">
        <f t="shared" si="28"/>
        <v>94.841677119999986</v>
      </c>
      <c r="DA16" s="1">
        <f t="shared" si="28"/>
        <v>82.179019859999997</v>
      </c>
      <c r="DB16" s="1">
        <f t="shared" si="28"/>
        <v>92.158742689999997</v>
      </c>
      <c r="DC16" s="1">
        <f t="shared" si="28"/>
        <v>86.016299079999982</v>
      </c>
      <c r="DD16" s="1">
        <f t="shared" si="28"/>
        <v>108.09958798000001</v>
      </c>
      <c r="DE16" s="1">
        <f t="shared" si="28"/>
        <v>110.88364111000001</v>
      </c>
      <c r="DF16" s="1">
        <f t="shared" si="28"/>
        <v>98.751018079999994</v>
      </c>
      <c r="DG16" s="1">
        <f t="shared" si="28"/>
        <v>101.04323145000002</v>
      </c>
      <c r="DI16" s="1">
        <f t="shared" si="29"/>
        <v>0.11713932000000001</v>
      </c>
      <c r="DJ16" s="1">
        <f t="shared" si="29"/>
        <v>0.45286999999999999</v>
      </c>
      <c r="DK16" s="1">
        <f t="shared" si="29"/>
        <v>5.563009E-2</v>
      </c>
      <c r="DL16" s="1">
        <f t="shared" si="29"/>
        <v>2.7416000000000002E-4</v>
      </c>
      <c r="DM16" s="1">
        <f t="shared" si="29"/>
        <v>0.12031510000000001</v>
      </c>
      <c r="DN16" s="1">
        <f t="shared" si="29"/>
        <v>0.13456720999999999</v>
      </c>
      <c r="DO16" s="1">
        <f t="shared" si="29"/>
        <v>6.1200000000000002E-4</v>
      </c>
      <c r="DP16" s="1">
        <f t="shared" si="29"/>
        <v>0</v>
      </c>
      <c r="DQ16" s="1">
        <f t="shared" si="29"/>
        <v>5.2170000000000003E-3</v>
      </c>
      <c r="DR16" s="1">
        <f t="shared" si="29"/>
        <v>0.10975939999999999</v>
      </c>
      <c r="DS16" s="1">
        <f t="shared" si="29"/>
        <v>9.1243839999999993E-2</v>
      </c>
      <c r="DT16" s="1">
        <f t="shared" si="29"/>
        <v>2.016E-3</v>
      </c>
      <c r="DU16" s="1">
        <f t="shared" si="29"/>
        <v>0.21936422</v>
      </c>
      <c r="DV16" s="1">
        <f t="shared" si="29"/>
        <v>0</v>
      </c>
      <c r="DW16" s="1">
        <f t="shared" si="29"/>
        <v>6.0353800000000006E-2</v>
      </c>
      <c r="DX16" s="1">
        <f t="shared" si="29"/>
        <v>1.9724599999999998E-2</v>
      </c>
      <c r="DY16" s="1">
        <f t="shared" si="30"/>
        <v>6.1101999999999997E-2</v>
      </c>
      <c r="DZ16" s="1">
        <f t="shared" si="30"/>
        <v>8.3099999999999997E-3</v>
      </c>
      <c r="EA16" s="1">
        <f t="shared" si="30"/>
        <v>0.51386323</v>
      </c>
      <c r="EB16" s="1">
        <f t="shared" si="30"/>
        <v>4.9965000000000001E-3</v>
      </c>
      <c r="EC16" s="1">
        <f t="shared" si="30"/>
        <v>3.0447999999999999E-4</v>
      </c>
      <c r="ED16" s="1">
        <f t="shared" si="30"/>
        <v>8.2102000000000008E-3</v>
      </c>
      <c r="EE16" s="1">
        <f t="shared" si="30"/>
        <v>0</v>
      </c>
      <c r="EF16" s="1">
        <f t="shared" si="30"/>
        <v>9.1035300000000003E-3</v>
      </c>
      <c r="EH16" s="14">
        <f t="shared" si="31"/>
        <v>1.9885213252125911</v>
      </c>
      <c r="EI16" s="14">
        <f t="shared" si="31"/>
        <v>1.9885213252125911</v>
      </c>
      <c r="EJ16" s="1">
        <f t="shared" si="31"/>
        <v>1.9885213252125911</v>
      </c>
      <c r="EK16" s="1">
        <f t="shared" si="31"/>
        <v>1.9885213252125911</v>
      </c>
      <c r="EL16" s="1">
        <f t="shared" si="31"/>
        <v>1.9885213252125911</v>
      </c>
      <c r="EM16" s="1">
        <f t="shared" si="31"/>
        <v>1.9885213252125911</v>
      </c>
      <c r="EN16" s="1">
        <f t="shared" si="31"/>
        <v>1.9885213252125911</v>
      </c>
      <c r="EO16" s="1">
        <f t="shared" si="31"/>
        <v>1.9885213252125911</v>
      </c>
      <c r="EP16" s="1">
        <f t="shared" si="31"/>
        <v>1.9885213252125911</v>
      </c>
      <c r="EQ16" s="1">
        <f t="shared" si="31"/>
        <v>1.9040737312717446</v>
      </c>
      <c r="ER16" s="1">
        <f t="shared" si="31"/>
        <v>1.9040737312717446</v>
      </c>
      <c r="ES16" s="1">
        <f t="shared" si="31"/>
        <v>1.9040737312717446</v>
      </c>
      <c r="ET16" s="1">
        <f t="shared" si="31"/>
        <v>1.9040737312717446</v>
      </c>
      <c r="EU16" s="1">
        <f t="shared" si="31"/>
        <v>1.9040737312717446</v>
      </c>
      <c r="EV16" s="1">
        <f t="shared" si="31"/>
        <v>1.9040737312717446</v>
      </c>
      <c r="EW16" s="1">
        <f t="shared" si="31"/>
        <v>1.9040737312717446</v>
      </c>
      <c r="EX16" s="1">
        <f t="shared" si="32"/>
        <v>1.9040737312717446</v>
      </c>
      <c r="EY16" s="1">
        <f t="shared" si="32"/>
        <v>1.9040737312717446</v>
      </c>
      <c r="EZ16" s="1">
        <f t="shared" si="32"/>
        <v>1.9040737312717446</v>
      </c>
      <c r="FA16" s="1">
        <f t="shared" si="32"/>
        <v>1.9040737312717446</v>
      </c>
      <c r="FB16" s="1">
        <f t="shared" si="32"/>
        <v>1.9040737312717446</v>
      </c>
      <c r="FC16" s="1">
        <f t="shared" si="32"/>
        <v>1.9040737312717446</v>
      </c>
      <c r="FD16" s="1">
        <f t="shared" si="32"/>
        <v>1.9040737312717446</v>
      </c>
      <c r="FE16" s="1">
        <f t="shared" si="32"/>
        <v>1.9040737312717446</v>
      </c>
      <c r="FG16" s="162">
        <f t="shared" si="40"/>
        <v>0.50976201423486245</v>
      </c>
    </row>
    <row r="17" spans="1:163" ht="18" customHeight="1">
      <c r="A17" s="34">
        <f t="shared" si="41"/>
        <v>12</v>
      </c>
      <c r="B17" s="34" t="s">
        <v>76</v>
      </c>
      <c r="C17" s="156">
        <f t="shared" si="5"/>
        <v>-0.66</v>
      </c>
      <c r="D17" s="24">
        <v>-1</v>
      </c>
      <c r="E17" s="40">
        <f t="shared" si="6"/>
        <v>0.26773049645390068</v>
      </c>
      <c r="F17" s="41">
        <f t="shared" si="7"/>
        <v>0.13963579629766953</v>
      </c>
      <c r="G17" s="40">
        <f t="shared" si="8"/>
        <v>0.18946474053482576</v>
      </c>
      <c r="H17" s="41">
        <f t="shared" si="9"/>
        <v>7.826575591907492E-2</v>
      </c>
      <c r="I17" s="40">
        <f t="shared" si="10"/>
        <v>1.0888109845165057</v>
      </c>
      <c r="J17" s="41">
        <f t="shared" si="11"/>
        <v>-0.5203456911065838</v>
      </c>
      <c r="K17" s="40">
        <f t="shared" si="33"/>
        <v>1.2775171800931679</v>
      </c>
      <c r="L17" s="41">
        <f t="shared" si="12"/>
        <v>-0.18870619557666224</v>
      </c>
      <c r="M17" s="17"/>
      <c r="N17" s="24">
        <v>0</v>
      </c>
      <c r="O17" s="40">
        <f>IFERROR(+BQ17/BR17-1,"")</f>
        <v>0</v>
      </c>
      <c r="P17" s="104">
        <f t="shared" si="35"/>
        <v>0</v>
      </c>
      <c r="Q17" s="40">
        <f t="shared" si="13"/>
        <v>4.7778112422309782E-3</v>
      </c>
      <c r="R17" s="42">
        <f t="shared" si="36"/>
        <v>4.7778112422309782E-3</v>
      </c>
      <c r="S17" s="17"/>
      <c r="T17" s="24">
        <v>-1</v>
      </c>
      <c r="U17" s="40">
        <f t="shared" si="14"/>
        <v>-0.2405707397537431</v>
      </c>
      <c r="V17" s="45">
        <f t="shared" si="15"/>
        <v>-0.2405707397537431</v>
      </c>
      <c r="W17" s="159"/>
      <c r="X17" s="45"/>
      <c r="Y17" s="40">
        <f t="shared" si="17"/>
        <v>0</v>
      </c>
      <c r="Z17" s="45">
        <f t="shared" si="18"/>
        <v>0</v>
      </c>
      <c r="AA17" s="30"/>
      <c r="AB17" s="61" t="s">
        <v>289</v>
      </c>
      <c r="AC17" s="61" t="s">
        <v>289</v>
      </c>
      <c r="AD17" s="61" t="s">
        <v>289</v>
      </c>
      <c r="AE17" s="61" t="s">
        <v>289</v>
      </c>
      <c r="AF17" s="61" t="s">
        <v>289</v>
      </c>
      <c r="AG17" s="61" t="s">
        <v>289</v>
      </c>
      <c r="AH17" s="61" t="s">
        <v>289</v>
      </c>
      <c r="AI17" s="61" t="s">
        <v>289</v>
      </c>
      <c r="AJ17" s="61" t="s">
        <v>289</v>
      </c>
      <c r="AK17" s="61" t="s">
        <v>289</v>
      </c>
      <c r="AL17" s="61" t="s">
        <v>289</v>
      </c>
      <c r="AM17" s="61" t="s">
        <v>289</v>
      </c>
      <c r="AO17" s="28">
        <f>VLOOKUP($B17,historia!$A$5:$CM$24,+HLOOKUP(AO$2,historia!$A$3:$EC$4,2,FALSE),FALSE)</f>
        <v>4</v>
      </c>
      <c r="AP17" s="28">
        <f>VLOOKUP($B17,historia!$A$5:$CM$24,+HLOOKUP(AP$2,historia!$A$3:$EC$4,2,FALSE),FALSE)</f>
        <v>4</v>
      </c>
      <c r="AQ17" s="28">
        <f>VLOOKUP($B17,historia!$A$5:$CM$24,+HLOOKUP(AQ$2,historia!$A$3:$EC$4,2,FALSE),FALSE)</f>
        <v>4</v>
      </c>
      <c r="AR17" s="28">
        <f>VLOOKUP($B17,historia!$A$5:$CM$24,+HLOOKUP(AR$2,historia!$A$3:$EC$4,2,FALSE),FALSE)</f>
        <v>3</v>
      </c>
      <c r="AS17" s="58">
        <f>VLOOKUP($B17,historia!$A$5:$CM$24,+HLOOKUP(AS$2,historia!$A$3:$EC$4,2,FALSE),FALSE)</f>
        <v>3</v>
      </c>
      <c r="AT17" s="58">
        <f>VLOOKUP($B17,historia!$A$5:$CM$24,+HLOOKUP(AT$2,historia!$A$3:$EC$4,2,FALSE),FALSE)</f>
        <v>3</v>
      </c>
      <c r="AU17" s="58">
        <f>VLOOKUP($B17,historia!$A$5:$CM$24,+HLOOKUP(AU$2,historia!$A$3:$EC$4,2,FALSE),FALSE)</f>
        <v>5</v>
      </c>
      <c r="AV17" s="58">
        <f>VLOOKUP($B17,historia!$A$5:$CM$24,+HLOOKUP(AV$2,historia!$A$3:$EC$4,2,FALSE),FALSE)</f>
        <v>5</v>
      </c>
      <c r="AW17" s="58">
        <f>VLOOKUP($B17,historia!$A$5:$CM$24,+HLOOKUP(AW$2,historia!$A$3:$EC$4,2,FALSE),FALSE)</f>
        <v>5</v>
      </c>
      <c r="AX17" s="58">
        <f>VLOOKUP($B17,historia!$A$5:$CM$24,+HLOOKUP(AX$2,historia!$A$3:$EC$4,2,FALSE),FALSE)</f>
        <v>5</v>
      </c>
      <c r="AY17" s="58">
        <f>VLOOKUP($B17,historia!$A$5:$CM$24,+HLOOKUP(AY$2,historia!$A$3:$EC$4,2,FALSE),FALSE)</f>
        <v>5</v>
      </c>
      <c r="AZ17" s="58">
        <f>VLOOKUP($B17,historia!$A$5:$CM$24,+HLOOKUP(AZ$2,historia!$A$3:$EC$4,2,FALSE),FALSE)</f>
        <v>5</v>
      </c>
      <c r="BA17" s="30"/>
      <c r="BB17" s="158" t="s">
        <v>432</v>
      </c>
      <c r="BC17" s="141">
        <v>5</v>
      </c>
      <c r="BD17" t="str">
        <f t="shared" si="19"/>
        <v>Miel</v>
      </c>
      <c r="BE17">
        <f>+datos!BV1</f>
        <v>74</v>
      </c>
      <c r="BF17" s="2" t="str">
        <f t="shared" si="4"/>
        <v>$/kg</v>
      </c>
      <c r="BG17" s="2">
        <f t="shared" si="4"/>
        <v>715</v>
      </c>
      <c r="BH17" s="2">
        <f t="shared" si="4"/>
        <v>564</v>
      </c>
      <c r="BI17" s="2">
        <f t="shared" si="4"/>
        <v>342.3</v>
      </c>
      <c r="BK17">
        <f>+datos!DH1</f>
        <v>112</v>
      </c>
      <c r="BL17" s="2">
        <f t="shared" si="20"/>
        <v>3691.7447864465416</v>
      </c>
      <c r="BM17" s="2">
        <f t="shared" si="20"/>
        <v>3103.7025820425761</v>
      </c>
      <c r="BN17" s="2">
        <f t="shared" si="20"/>
        <v>1620.9514548186726</v>
      </c>
      <c r="BP17" s="1">
        <f>+datos!EQ1</f>
        <v>147</v>
      </c>
      <c r="BQ17" s="1">
        <f t="shared" si="21"/>
        <v>3500000</v>
      </c>
      <c r="BR17" s="1">
        <f t="shared" si="21"/>
        <v>3500000</v>
      </c>
      <c r="BT17" s="1">
        <f>+datos!GP1</f>
        <v>198</v>
      </c>
      <c r="BU17" s="1">
        <f t="shared" si="22"/>
        <v>73395</v>
      </c>
      <c r="BV17" s="1">
        <f t="shared" si="22"/>
        <v>73046</v>
      </c>
      <c r="BX17" s="1">
        <f>+datos!KE1</f>
        <v>291</v>
      </c>
      <c r="BY17" s="1">
        <f t="shared" si="38"/>
        <v>209.72934526</v>
      </c>
      <c r="BZ17" s="1">
        <f t="shared" si="39"/>
        <v>276.16705891999993</v>
      </c>
      <c r="CB17" s="1">
        <f>+datos!LJ1</f>
        <v>322</v>
      </c>
      <c r="CC17" s="2">
        <f t="shared" si="23"/>
        <v>7.038E-3</v>
      </c>
      <c r="CD17" s="2">
        <f>+SUM(DU17:EF17)</f>
        <v>0.15436616000000003</v>
      </c>
      <c r="CF17" s="1">
        <f>+datos!IZ1</f>
        <v>260</v>
      </c>
      <c r="CG17" s="1">
        <f t="shared" si="25"/>
        <v>0.3</v>
      </c>
      <c r="CH17" s="1">
        <f t="shared" si="26"/>
        <v>0.3</v>
      </c>
      <c r="CJ17" s="1">
        <f t="shared" si="27"/>
        <v>13.943876809999997</v>
      </c>
      <c r="CK17" s="1">
        <f t="shared" si="27"/>
        <v>17.891480939999997</v>
      </c>
      <c r="CL17" s="1">
        <f t="shared" si="27"/>
        <v>16.805607889999997</v>
      </c>
      <c r="CM17" s="1">
        <f t="shared" si="27"/>
        <v>21.325973759999997</v>
      </c>
      <c r="CN17" s="1">
        <f t="shared" si="27"/>
        <v>17.230385739999999</v>
      </c>
      <c r="CO17" s="1">
        <f t="shared" si="27"/>
        <v>14.837575590000002</v>
      </c>
      <c r="CP17" s="1">
        <f t="shared" si="27"/>
        <v>17.476901599999998</v>
      </c>
      <c r="CQ17" s="1">
        <f t="shared" si="27"/>
        <v>23.512884059999998</v>
      </c>
      <c r="CR17" s="1">
        <f t="shared" si="27"/>
        <v>18.814354810000005</v>
      </c>
      <c r="CS17" s="1">
        <f t="shared" si="27"/>
        <v>15.47450873</v>
      </c>
      <c r="CT17" s="1">
        <f t="shared" si="27"/>
        <v>18.752158659999996</v>
      </c>
      <c r="CU17" s="1">
        <f t="shared" si="27"/>
        <v>13.663636670000002</v>
      </c>
      <c r="CV17" s="1">
        <f t="shared" si="27"/>
        <v>12.97807542</v>
      </c>
      <c r="CW17" s="1">
        <f t="shared" si="27"/>
        <v>21.851292619999999</v>
      </c>
      <c r="CX17" s="1">
        <f t="shared" si="27"/>
        <v>17.949190340000005</v>
      </c>
      <c r="CY17" s="1">
        <f t="shared" si="27"/>
        <v>28.34616364</v>
      </c>
      <c r="CZ17" s="1">
        <f t="shared" si="28"/>
        <v>25.709158449999997</v>
      </c>
      <c r="DA17" s="1">
        <f t="shared" si="28"/>
        <v>34.492792039999998</v>
      </c>
      <c r="DB17" s="1">
        <f t="shared" si="28"/>
        <v>34.55168742</v>
      </c>
      <c r="DC17" s="1">
        <f t="shared" si="28"/>
        <v>27.139910580000002</v>
      </c>
      <c r="DD17" s="1">
        <f t="shared" si="28"/>
        <v>21.121535039999998</v>
      </c>
      <c r="DE17" s="1">
        <f t="shared" si="28"/>
        <v>23.986469650000004</v>
      </c>
      <c r="DF17" s="1">
        <f t="shared" si="28"/>
        <v>15.882019199999998</v>
      </c>
      <c r="DG17" s="1">
        <f t="shared" si="28"/>
        <v>12.158764520000002</v>
      </c>
      <c r="DI17" s="1">
        <f t="shared" si="29"/>
        <v>0</v>
      </c>
      <c r="DJ17" s="1">
        <f t="shared" si="29"/>
        <v>0</v>
      </c>
      <c r="DK17" s="1">
        <f t="shared" si="29"/>
        <v>0</v>
      </c>
      <c r="DL17" s="1">
        <f t="shared" si="29"/>
        <v>0</v>
      </c>
      <c r="DM17" s="1">
        <f t="shared" si="29"/>
        <v>0</v>
      </c>
      <c r="DN17" s="1">
        <f t="shared" si="29"/>
        <v>0</v>
      </c>
      <c r="DO17" s="1">
        <f t="shared" si="29"/>
        <v>7.038E-3</v>
      </c>
      <c r="DP17" s="1">
        <f t="shared" si="29"/>
        <v>0</v>
      </c>
      <c r="DQ17" s="1">
        <f t="shared" si="29"/>
        <v>0</v>
      </c>
      <c r="DR17" s="1">
        <f t="shared" si="29"/>
        <v>0</v>
      </c>
      <c r="DS17" s="1">
        <f t="shared" si="29"/>
        <v>0</v>
      </c>
      <c r="DT17" s="1">
        <f t="shared" si="29"/>
        <v>0</v>
      </c>
      <c r="DU17" s="1">
        <f t="shared" si="29"/>
        <v>5.9353800000000005E-2</v>
      </c>
      <c r="DV17" s="1">
        <f t="shared" si="29"/>
        <v>0</v>
      </c>
      <c r="DW17" s="1">
        <f t="shared" si="29"/>
        <v>1.3661339999999999E-2</v>
      </c>
      <c r="DX17" s="1">
        <f t="shared" si="29"/>
        <v>0</v>
      </c>
      <c r="DY17" s="1">
        <f t="shared" si="30"/>
        <v>4.7031800000000006E-2</v>
      </c>
      <c r="DZ17" s="1">
        <f t="shared" si="30"/>
        <v>9.3185999999999998E-3</v>
      </c>
      <c r="EA17" s="1">
        <f t="shared" si="30"/>
        <v>0</v>
      </c>
      <c r="EB17" s="1">
        <f t="shared" si="30"/>
        <v>0</v>
      </c>
      <c r="EC17" s="1">
        <f t="shared" si="30"/>
        <v>0</v>
      </c>
      <c r="ED17" s="1">
        <f t="shared" si="30"/>
        <v>0</v>
      </c>
      <c r="EE17" s="1">
        <f t="shared" si="30"/>
        <v>2.5000620000000001E-2</v>
      </c>
      <c r="EF17" s="1">
        <f t="shared" si="30"/>
        <v>0</v>
      </c>
      <c r="EH17" s="14">
        <f t="shared" si="31"/>
        <v>0.3</v>
      </c>
      <c r="EI17" s="14">
        <f t="shared" si="31"/>
        <v>0.3</v>
      </c>
      <c r="EJ17" s="1">
        <f t="shared" si="31"/>
        <v>0.3</v>
      </c>
      <c r="EK17" s="1">
        <f t="shared" si="31"/>
        <v>0.3</v>
      </c>
      <c r="EL17" s="1">
        <f t="shared" si="31"/>
        <v>0.3</v>
      </c>
      <c r="EM17" s="1">
        <f t="shared" si="31"/>
        <v>0.3</v>
      </c>
      <c r="EN17" s="1">
        <f t="shared" si="31"/>
        <v>0.3</v>
      </c>
      <c r="EO17" s="1">
        <f t="shared" si="31"/>
        <v>0.3</v>
      </c>
      <c r="EP17" s="1">
        <f t="shared" si="31"/>
        <v>0.3</v>
      </c>
      <c r="EQ17" s="1">
        <f t="shared" si="31"/>
        <v>0.3</v>
      </c>
      <c r="ER17" s="1">
        <f t="shared" si="31"/>
        <v>0.3</v>
      </c>
      <c r="ES17" s="1">
        <f t="shared" si="31"/>
        <v>0.3</v>
      </c>
      <c r="ET17" s="1">
        <f t="shared" si="31"/>
        <v>0.3</v>
      </c>
      <c r="EU17" s="1">
        <f t="shared" si="31"/>
        <v>0.3</v>
      </c>
      <c r="EV17" s="1">
        <f t="shared" si="31"/>
        <v>0.3</v>
      </c>
      <c r="EW17" s="1">
        <f t="shared" si="31"/>
        <v>0.3</v>
      </c>
      <c r="EX17" s="1">
        <f t="shared" si="32"/>
        <v>0.3</v>
      </c>
      <c r="EY17" s="1">
        <f t="shared" si="32"/>
        <v>0.3</v>
      </c>
      <c r="EZ17" s="1">
        <f t="shared" si="32"/>
        <v>0.3</v>
      </c>
      <c r="FA17" s="1">
        <f t="shared" si="32"/>
        <v>0.3</v>
      </c>
      <c r="FB17" s="1">
        <f t="shared" si="32"/>
        <v>0.3</v>
      </c>
      <c r="FC17" s="1">
        <f t="shared" si="32"/>
        <v>0.3</v>
      </c>
      <c r="FD17" s="1">
        <f t="shared" si="32"/>
        <v>0.3</v>
      </c>
      <c r="FE17" s="1">
        <f t="shared" si="32"/>
        <v>0.3</v>
      </c>
      <c r="FG17" s="162">
        <f t="shared" si="40"/>
        <v>-0.18870619557666224</v>
      </c>
    </row>
    <row r="18" spans="1:163" ht="18" customHeight="1">
      <c r="A18" s="34">
        <f t="shared" si="41"/>
        <v>13</v>
      </c>
      <c r="B18" s="34" t="s">
        <v>222</v>
      </c>
      <c r="C18" s="156">
        <f t="shared" si="5"/>
        <v>-0.99</v>
      </c>
      <c r="D18" s="24">
        <v>-1</v>
      </c>
      <c r="E18" s="40">
        <f>IFERROR(+BG18/BH18-1,"")</f>
        <v>0.21773175693031832</v>
      </c>
      <c r="F18" s="41">
        <f>+E18-$E$3</f>
        <v>8.9637056774087176E-2</v>
      </c>
      <c r="G18" s="40">
        <f t="shared" si="8"/>
        <v>0.17181002563186021</v>
      </c>
      <c r="H18" s="41">
        <f t="shared" si="9"/>
        <v>4.5921731298458113E-2</v>
      </c>
      <c r="I18" s="40"/>
      <c r="J18" s="41"/>
      <c r="K18" s="40">
        <f t="shared" si="33"/>
        <v>1.4300748134217729</v>
      </c>
      <c r="L18" s="41">
        <f t="shared" si="12"/>
        <v>-1.4300748134217729</v>
      </c>
      <c r="M18" s="17"/>
      <c r="N18" s="24">
        <v>-1</v>
      </c>
      <c r="O18" s="40">
        <f t="shared" si="34"/>
        <v>0</v>
      </c>
      <c r="P18" s="104">
        <f t="shared" si="35"/>
        <v>0</v>
      </c>
      <c r="Q18" s="40">
        <f>IFERROR(+BU18/BV18-1,"")</f>
        <v>-0.16842630512435131</v>
      </c>
      <c r="R18" s="42">
        <f t="shared" si="36"/>
        <v>-0.16842630512435131</v>
      </c>
      <c r="S18" s="17"/>
      <c r="T18" s="24">
        <v>-1</v>
      </c>
      <c r="U18" s="40">
        <f t="shared" si="14"/>
        <v>-0.23185389806496459</v>
      </c>
      <c r="V18" s="45">
        <f t="shared" si="15"/>
        <v>-0.23185389806496459</v>
      </c>
      <c r="W18" s="40">
        <f t="shared" si="37"/>
        <v>0.31486316396916658</v>
      </c>
      <c r="X18" s="45">
        <f t="shared" si="16"/>
        <v>0.31486316396916658</v>
      </c>
      <c r="Y18" s="40">
        <f t="shared" si="17"/>
        <v>0</v>
      </c>
      <c r="Z18" s="45">
        <f t="shared" si="18"/>
        <v>0</v>
      </c>
      <c r="AA18" s="30"/>
      <c r="AB18" s="61" t="s">
        <v>289</v>
      </c>
      <c r="AC18" s="61" t="s">
        <v>289</v>
      </c>
      <c r="AD18" s="61" t="s">
        <v>289</v>
      </c>
      <c r="AE18" s="61" t="s">
        <v>289</v>
      </c>
      <c r="AF18" s="61" t="s">
        <v>289</v>
      </c>
      <c r="AG18" s="61" t="s">
        <v>289</v>
      </c>
      <c r="AH18" s="61" t="s">
        <v>289</v>
      </c>
      <c r="AI18" s="61" t="s">
        <v>289</v>
      </c>
      <c r="AJ18" s="61" t="s">
        <v>289</v>
      </c>
      <c r="AK18" s="61" t="s">
        <v>289</v>
      </c>
      <c r="AL18" s="61" t="s">
        <v>289</v>
      </c>
      <c r="AM18" s="61" t="s">
        <v>289</v>
      </c>
      <c r="AO18" s="28">
        <f>VLOOKUP($B18,historia!$A$5:$CM$24,+HLOOKUP(AO$2,historia!$A$3:$EC$4,2,FALSE),FALSE)</f>
        <v>4</v>
      </c>
      <c r="AP18" s="28">
        <f>VLOOKUP($B18,historia!$A$5:$CM$24,+HLOOKUP(AP$2,historia!$A$3:$EC$4,2,FALSE),FALSE)</f>
        <v>4</v>
      </c>
      <c r="AQ18" s="28">
        <f>VLOOKUP($B18,historia!$A$5:$CM$24,+HLOOKUP(AQ$2,historia!$A$3:$EC$4,2,FALSE),FALSE)</f>
        <v>4</v>
      </c>
      <c r="AR18" s="28">
        <f>VLOOKUP($B18,historia!$A$5:$CM$24,+HLOOKUP(AR$2,historia!$A$3:$EC$4,2,FALSE),FALSE)</f>
        <v>4</v>
      </c>
      <c r="AS18" s="58">
        <f>VLOOKUP($B18,historia!$A$5:$CM$24,+HLOOKUP(AS$2,historia!$A$3:$EC$4,2,FALSE),FALSE)</f>
        <v>4</v>
      </c>
      <c r="AT18" s="58">
        <f>VLOOKUP($B18,historia!$A$5:$CM$24,+HLOOKUP(AT$2,historia!$A$3:$EC$4,2,FALSE),FALSE)</f>
        <v>3</v>
      </c>
      <c r="AU18" s="58">
        <f>VLOOKUP($B18,historia!$A$5:$CM$24,+HLOOKUP(AU$2,historia!$A$3:$EC$4,2,FALSE),FALSE)</f>
        <v>3</v>
      </c>
      <c r="AV18" s="58">
        <f>VLOOKUP($B18,historia!$A$5:$CM$24,+HLOOKUP(AV$2,historia!$A$3:$EC$4,2,FALSE),FALSE)</f>
        <v>3</v>
      </c>
      <c r="AW18" s="58">
        <f>VLOOKUP($B18,historia!$A$5:$CM$24,+HLOOKUP(AW$2,historia!$A$3:$EC$4,2,FALSE),FALSE)</f>
        <v>3</v>
      </c>
      <c r="AX18" s="58">
        <f>VLOOKUP($B18,historia!$A$5:$CM$24,+HLOOKUP(AX$2,historia!$A$3:$EC$4,2,FALSE),FALSE)</f>
        <v>4</v>
      </c>
      <c r="AY18" s="58">
        <f>VLOOKUP($B18,historia!$A$5:$CM$24,+HLOOKUP(AY$2,historia!$A$3:$EC$4,2,FALSE),FALSE)</f>
        <v>4</v>
      </c>
      <c r="AZ18" s="58">
        <f>VLOOKUP($B18,historia!$A$5:$CM$24,+HLOOKUP(AZ$2,historia!$A$3:$EC$4,2,FALSE),FALSE)</f>
        <v>4</v>
      </c>
      <c r="BA18" s="30"/>
      <c r="BB18" s="158" t="s">
        <v>415</v>
      </c>
      <c r="BC18" s="141">
        <v>4</v>
      </c>
      <c r="BD18" t="str">
        <f t="shared" si="19"/>
        <v>Ovino</v>
      </c>
      <c r="BE18">
        <f>+datos!BU1</f>
        <v>73</v>
      </c>
      <c r="BF18" s="2" t="str">
        <f t="shared" si="4"/>
        <v>$/kg</v>
      </c>
      <c r="BG18" s="2">
        <f t="shared" si="4"/>
        <v>26310.494999999999</v>
      </c>
      <c r="BH18" s="2">
        <f t="shared" si="4"/>
        <v>21606.15</v>
      </c>
      <c r="BI18" s="2">
        <f t="shared" si="4"/>
        <v>9978.8775000000005</v>
      </c>
      <c r="BK18">
        <f>+datos!DI1</f>
        <v>113</v>
      </c>
      <c r="BL18" s="2">
        <f t="shared" si="20"/>
        <v>3560.2119403281904</v>
      </c>
      <c r="BM18" s="2">
        <f t="shared" si="20"/>
        <v>3038.215975672731</v>
      </c>
      <c r="BN18" s="2">
        <f t="shared" si="20"/>
        <v>1465.062688878734</v>
      </c>
      <c r="BP18" s="1">
        <f>+datos!EL1</f>
        <v>142</v>
      </c>
      <c r="BQ18" s="1">
        <f t="shared" si="21"/>
        <v>12461845</v>
      </c>
      <c r="BR18" s="1">
        <f t="shared" si="21"/>
        <v>12461845</v>
      </c>
      <c r="BT18" s="1">
        <f>+datos!GS1</f>
        <v>201</v>
      </c>
      <c r="BU18" s="1">
        <f t="shared" si="22"/>
        <v>36896.85</v>
      </c>
      <c r="BV18" s="1">
        <f t="shared" si="22"/>
        <v>44369.91</v>
      </c>
      <c r="BX18" s="1">
        <f>+datos!KI1</f>
        <v>295</v>
      </c>
      <c r="BY18" s="1">
        <f t="shared" si="38"/>
        <v>199.54906184999999</v>
      </c>
      <c r="BZ18" s="1">
        <f t="shared" si="39"/>
        <v>259.78008785999998</v>
      </c>
      <c r="CB18" s="1">
        <f>+datos!LN1</f>
        <v>326</v>
      </c>
      <c r="CC18" s="2">
        <f t="shared" si="23"/>
        <v>4.9472887700000001</v>
      </c>
      <c r="CD18" s="2">
        <f t="shared" si="24"/>
        <v>3.7625883100000004</v>
      </c>
      <c r="CF18" s="1">
        <f>+datos!JA1</f>
        <v>261</v>
      </c>
      <c r="CG18" s="1">
        <f t="shared" si="25"/>
        <v>2813</v>
      </c>
      <c r="CH18" s="1">
        <f t="shared" si="26"/>
        <v>2813</v>
      </c>
      <c r="CJ18" s="1">
        <f t="shared" si="27"/>
        <v>13.412348609999999</v>
      </c>
      <c r="CK18" s="1">
        <f t="shared" si="27"/>
        <v>9.5091132299999988</v>
      </c>
      <c r="CL18" s="1">
        <f t="shared" si="27"/>
        <v>10.49137048</v>
      </c>
      <c r="CM18" s="1">
        <f t="shared" si="27"/>
        <v>12.745889309999999</v>
      </c>
      <c r="CN18" s="1">
        <f t="shared" si="27"/>
        <v>11.898747670000001</v>
      </c>
      <c r="CO18" s="1">
        <f t="shared" si="27"/>
        <v>12.26162961</v>
      </c>
      <c r="CP18" s="1">
        <f t="shared" si="27"/>
        <v>21.704121750000002</v>
      </c>
      <c r="CQ18" s="1">
        <f t="shared" si="27"/>
        <v>21.006605250000003</v>
      </c>
      <c r="CR18" s="1">
        <f t="shared" si="27"/>
        <v>22.417077500000001</v>
      </c>
      <c r="CS18" s="1">
        <f t="shared" si="27"/>
        <v>28.978678630000001</v>
      </c>
      <c r="CT18" s="1">
        <f t="shared" si="27"/>
        <v>14.681416690000001</v>
      </c>
      <c r="CU18" s="1">
        <f t="shared" si="27"/>
        <v>20.44206312</v>
      </c>
      <c r="CV18" s="1">
        <f t="shared" si="27"/>
        <v>19.069193389999999</v>
      </c>
      <c r="CW18" s="1">
        <f t="shared" si="27"/>
        <v>11.15247257</v>
      </c>
      <c r="CX18" s="1">
        <f t="shared" si="27"/>
        <v>14.78060634</v>
      </c>
      <c r="CY18" s="1">
        <f t="shared" si="27"/>
        <v>17.39120926</v>
      </c>
      <c r="CZ18" s="1">
        <f t="shared" si="28"/>
        <v>19.858191740000002</v>
      </c>
      <c r="DA18" s="1">
        <f t="shared" si="28"/>
        <v>25.793182220000006</v>
      </c>
      <c r="DB18" s="1">
        <f t="shared" si="28"/>
        <v>23.71802637</v>
      </c>
      <c r="DC18" s="1">
        <f t="shared" si="28"/>
        <v>28.473251640000001</v>
      </c>
      <c r="DD18" s="1">
        <f t="shared" si="28"/>
        <v>31.821546949999998</v>
      </c>
      <c r="DE18" s="1">
        <f t="shared" si="28"/>
        <v>29.506416549999997</v>
      </c>
      <c r="DF18" s="1">
        <f t="shared" si="28"/>
        <v>14.789253089999999</v>
      </c>
      <c r="DG18" s="1">
        <f t="shared" si="28"/>
        <v>23.426737739999997</v>
      </c>
      <c r="DI18" s="1">
        <f t="shared" si="29"/>
        <v>0.74167351000000015</v>
      </c>
      <c r="DJ18" s="1">
        <f t="shared" si="29"/>
        <v>0.58632921999999998</v>
      </c>
      <c r="DK18" s="1">
        <f t="shared" si="29"/>
        <v>0.29250390000000004</v>
      </c>
      <c r="DL18" s="1">
        <f t="shared" si="29"/>
        <v>0.46645720000000002</v>
      </c>
      <c r="DM18" s="1">
        <f t="shared" si="29"/>
        <v>8.1248630000000002E-2</v>
      </c>
      <c r="DN18" s="1">
        <f t="shared" si="29"/>
        <v>0.16069122999999999</v>
      </c>
      <c r="DO18" s="1">
        <f t="shared" si="29"/>
        <v>0.12834936</v>
      </c>
      <c r="DP18" s="1">
        <f t="shared" si="29"/>
        <v>0.21283820000000001</v>
      </c>
      <c r="DQ18" s="1">
        <f t="shared" si="29"/>
        <v>0.28431688999999999</v>
      </c>
      <c r="DR18" s="1">
        <f t="shared" si="29"/>
        <v>0.27087241000000001</v>
      </c>
      <c r="DS18" s="1">
        <f t="shared" si="29"/>
        <v>0.85465582000000007</v>
      </c>
      <c r="DT18" s="1">
        <f t="shared" si="29"/>
        <v>0.86735239999999991</v>
      </c>
      <c r="DU18" s="1">
        <f t="shared" si="29"/>
        <v>0.68639446999999998</v>
      </c>
      <c r="DV18" s="1">
        <f t="shared" si="29"/>
        <v>0.51198889000000003</v>
      </c>
      <c r="DW18" s="1">
        <f t="shared" si="29"/>
        <v>0.25118170000000001</v>
      </c>
      <c r="DX18" s="1">
        <f t="shared" si="29"/>
        <v>0.17288594000000002</v>
      </c>
      <c r="DY18" s="1">
        <f t="shared" si="30"/>
        <v>0</v>
      </c>
      <c r="DZ18" s="1">
        <f t="shared" si="30"/>
        <v>0.51168631000000009</v>
      </c>
      <c r="EA18" s="1">
        <f t="shared" si="30"/>
        <v>0.28659749000000001</v>
      </c>
      <c r="EB18" s="1">
        <f t="shared" si="30"/>
        <v>2.9313999999999998E-3</v>
      </c>
      <c r="EC18" s="1">
        <f t="shared" si="30"/>
        <v>0.22824644999999999</v>
      </c>
      <c r="ED18" s="1">
        <f t="shared" si="30"/>
        <v>0.23393874000000003</v>
      </c>
      <c r="EE18" s="1">
        <f t="shared" si="30"/>
        <v>4.755094E-2</v>
      </c>
      <c r="EF18" s="1">
        <f t="shared" si="30"/>
        <v>0.82918597999999999</v>
      </c>
      <c r="EH18" s="14">
        <f t="shared" si="31"/>
        <v>2813</v>
      </c>
      <c r="EI18" s="14">
        <f t="shared" si="31"/>
        <v>2813</v>
      </c>
      <c r="EJ18" s="1">
        <f t="shared" si="31"/>
        <v>2813</v>
      </c>
      <c r="EK18" s="1">
        <f t="shared" si="31"/>
        <v>2813</v>
      </c>
      <c r="EL18" s="1">
        <f t="shared" si="31"/>
        <v>2813</v>
      </c>
      <c r="EM18" s="1">
        <f t="shared" si="31"/>
        <v>2813</v>
      </c>
      <c r="EN18" s="1">
        <f t="shared" si="31"/>
        <v>2813</v>
      </c>
      <c r="EO18" s="1">
        <f t="shared" si="31"/>
        <v>2813</v>
      </c>
      <c r="EP18" s="1">
        <f t="shared" si="31"/>
        <v>2813</v>
      </c>
      <c r="EQ18" s="1">
        <f t="shared" si="31"/>
        <v>2813</v>
      </c>
      <c r="ER18" s="1">
        <f t="shared" si="31"/>
        <v>2813</v>
      </c>
      <c r="ES18" s="1">
        <f t="shared" si="31"/>
        <v>2813</v>
      </c>
      <c r="ET18" s="1">
        <f t="shared" si="31"/>
        <v>2813</v>
      </c>
      <c r="EU18" s="1">
        <f t="shared" si="31"/>
        <v>2813</v>
      </c>
      <c r="EV18" s="1">
        <f t="shared" si="31"/>
        <v>2813</v>
      </c>
      <c r="EW18" s="1">
        <f t="shared" si="31"/>
        <v>2813</v>
      </c>
      <c r="EX18" s="1">
        <f t="shared" si="32"/>
        <v>2813</v>
      </c>
      <c r="EY18" s="1">
        <f t="shared" si="32"/>
        <v>2813</v>
      </c>
      <c r="EZ18" s="1">
        <f t="shared" si="32"/>
        <v>2813</v>
      </c>
      <c r="FA18" s="1">
        <f t="shared" si="32"/>
        <v>2813</v>
      </c>
      <c r="FB18" s="1">
        <f t="shared" si="32"/>
        <v>2813</v>
      </c>
      <c r="FC18" s="1">
        <f t="shared" si="32"/>
        <v>2813</v>
      </c>
      <c r="FD18" s="1">
        <f t="shared" si="32"/>
        <v>2813</v>
      </c>
      <c r="FE18" s="1">
        <f t="shared" si="32"/>
        <v>2813</v>
      </c>
      <c r="FG18" s="162">
        <f t="shared" si="40"/>
        <v>-1.4300748134217729</v>
      </c>
    </row>
    <row r="19" spans="1:163" ht="18" customHeight="1">
      <c r="A19" s="34">
        <f t="shared" si="41"/>
        <v>14</v>
      </c>
      <c r="B19" s="34" t="s">
        <v>66</v>
      </c>
      <c r="C19" s="156">
        <v>0</v>
      </c>
      <c r="D19" s="24">
        <v>0</v>
      </c>
      <c r="E19" s="40">
        <f t="shared" si="6"/>
        <v>7.3694671196065542E-2</v>
      </c>
      <c r="F19" s="41">
        <f t="shared" si="7"/>
        <v>-5.4400028960165603E-2</v>
      </c>
      <c r="G19" s="40">
        <f t="shared" si="8"/>
        <v>0.15745931868571628</v>
      </c>
      <c r="H19" s="41">
        <f t="shared" si="9"/>
        <v>-8.3764647489650734E-2</v>
      </c>
      <c r="I19" s="40">
        <f t="shared" si="10"/>
        <v>1.6904460041463882</v>
      </c>
      <c r="J19" s="41">
        <f t="shared" si="11"/>
        <v>8.1289328523298732E-2</v>
      </c>
      <c r="K19" s="40">
        <f t="shared" si="33"/>
        <v>1.1443748006210699</v>
      </c>
      <c r="L19" s="41">
        <f t="shared" si="12"/>
        <v>0.54607120352531835</v>
      </c>
      <c r="M19" s="17"/>
      <c r="N19" s="24">
        <v>-2</v>
      </c>
      <c r="O19" s="40">
        <f t="shared" si="34"/>
        <v>-2.8420239015399251E-2</v>
      </c>
      <c r="P19" s="104">
        <f t="shared" si="35"/>
        <v>-2.8420239015399251E-2</v>
      </c>
      <c r="Q19" s="40"/>
      <c r="R19" s="42">
        <v>-0.01</v>
      </c>
      <c r="S19" s="17"/>
      <c r="T19" s="24">
        <v>1</v>
      </c>
      <c r="U19" s="40">
        <f t="shared" si="14"/>
        <v>4.8304794601903067E-2</v>
      </c>
      <c r="V19" s="45">
        <f t="shared" si="15"/>
        <v>4.8304794601903067E-2</v>
      </c>
      <c r="W19" s="40">
        <f t="shared" si="37"/>
        <v>1.1008572968192927</v>
      </c>
      <c r="X19" s="45">
        <f t="shared" si="16"/>
        <v>1.1008572968192927</v>
      </c>
      <c r="Y19" s="40">
        <f t="shared" si="17"/>
        <v>-0.10860401686089749</v>
      </c>
      <c r="Z19" s="45">
        <f t="shared" si="18"/>
        <v>-0.10860401686089749</v>
      </c>
      <c r="AA19" s="30"/>
      <c r="AB19" s="61" t="s">
        <v>289</v>
      </c>
      <c r="AC19" s="61" t="s">
        <v>289</v>
      </c>
      <c r="AD19" s="61" t="s">
        <v>289</v>
      </c>
      <c r="AE19" s="61" t="s">
        <v>289</v>
      </c>
      <c r="AF19" s="61" t="s">
        <v>289</v>
      </c>
      <c r="AG19" s="61" t="s">
        <v>289</v>
      </c>
      <c r="AH19" s="61" t="s">
        <v>289</v>
      </c>
      <c r="AI19" s="61" t="s">
        <v>289</v>
      </c>
      <c r="AJ19" s="61" t="s">
        <v>289</v>
      </c>
      <c r="AK19" s="61" t="s">
        <v>289</v>
      </c>
      <c r="AL19" s="61" t="s">
        <v>289</v>
      </c>
      <c r="AM19" s="61" t="s">
        <v>289</v>
      </c>
      <c r="AO19" s="28">
        <f>VLOOKUP($B19,historia!$A$5:$CM$24,+HLOOKUP(AO$2,historia!$A$3:$EC$4,2,FALSE),FALSE)</f>
        <v>3</v>
      </c>
      <c r="AP19" s="28">
        <f>VLOOKUP($B19,historia!$A$5:$CM$24,+HLOOKUP(AP$2,historia!$A$3:$EC$4,2,FALSE),FALSE)</f>
        <v>3</v>
      </c>
      <c r="AQ19" s="28">
        <f>VLOOKUP($B19,historia!$A$5:$CM$24,+HLOOKUP(AQ$2,historia!$A$3:$EC$4,2,FALSE),FALSE)</f>
        <v>3</v>
      </c>
      <c r="AR19" s="28">
        <f>VLOOKUP($B19,historia!$A$5:$CM$24,+HLOOKUP(AR$2,historia!$A$3:$EC$4,2,FALSE),FALSE)</f>
        <v>3</v>
      </c>
      <c r="AS19" s="58">
        <f>VLOOKUP($B19,historia!$A$5:$CM$24,+HLOOKUP(AS$2,historia!$A$3:$EC$4,2,FALSE),FALSE)</f>
        <v>3</v>
      </c>
      <c r="AT19" s="58">
        <f>VLOOKUP($B19,historia!$A$5:$CM$24,+HLOOKUP(AT$2,historia!$A$3:$EC$4,2,FALSE),FALSE)</f>
        <v>3</v>
      </c>
      <c r="AU19" s="58">
        <f>VLOOKUP($B19,historia!$A$5:$CM$24,+HLOOKUP(AU$2,historia!$A$3:$EC$4,2,FALSE),FALSE)</f>
        <v>4</v>
      </c>
      <c r="AV19" s="58">
        <f>VLOOKUP($B19,historia!$A$5:$CM$24,+HLOOKUP(AV$2,historia!$A$3:$EC$4,2,FALSE),FALSE)</f>
        <v>4</v>
      </c>
      <c r="AW19" s="58">
        <f>VLOOKUP($B19,historia!$A$5:$CM$24,+HLOOKUP(AW$2,historia!$A$3:$EC$4,2,FALSE),FALSE)</f>
        <v>4</v>
      </c>
      <c r="AX19" s="58">
        <f>VLOOKUP($B19,historia!$A$5:$CM$24,+HLOOKUP(AX$2,historia!$A$3:$EC$4,2,FALSE),FALSE)</f>
        <v>4</v>
      </c>
      <c r="AY19" s="58">
        <f>VLOOKUP($B19,historia!$A$5:$CM$24,+HLOOKUP(AY$2,historia!$A$3:$EC$4,2,FALSE),FALSE)</f>
        <v>3</v>
      </c>
      <c r="AZ19" s="58">
        <f>VLOOKUP($B19,historia!$A$5:$CM$24,+HLOOKUP(AZ$2,historia!$A$3:$EC$4,2,FALSE),FALSE)</f>
        <v>3</v>
      </c>
      <c r="BA19" s="30"/>
      <c r="BB19" s="158" t="s">
        <v>416</v>
      </c>
      <c r="BC19" s="141">
        <v>3</v>
      </c>
      <c r="BD19" t="str">
        <f t="shared" si="19"/>
        <v>Papa</v>
      </c>
      <c r="BE19">
        <f>+datos!AV1</f>
        <v>48</v>
      </c>
      <c r="BF19" s="2" t="str">
        <f t="shared" si="4"/>
        <v>$/bolsa 20kg</v>
      </c>
      <c r="BG19" s="2">
        <f t="shared" si="4"/>
        <v>4627.727272727273</v>
      </c>
      <c r="BH19" s="2">
        <f t="shared" si="4"/>
        <v>4310.0961538461543</v>
      </c>
      <c r="BI19" s="2">
        <f t="shared" si="4"/>
        <v>1720.0595238095239</v>
      </c>
      <c r="BK19">
        <f>+datos!CI1</f>
        <v>87</v>
      </c>
      <c r="BL19" s="2">
        <f t="shared" si="20"/>
        <v>4435.0857166523483</v>
      </c>
      <c r="BM19" s="2">
        <f t="shared" si="20"/>
        <v>3831.7422003983211</v>
      </c>
      <c r="BN19" s="2">
        <f t="shared" si="20"/>
        <v>2068.2418555598701</v>
      </c>
      <c r="BP19" s="1">
        <f>+datos!EZ1</f>
        <v>156</v>
      </c>
      <c r="BQ19" s="1">
        <f t="shared" si="21"/>
        <v>32682</v>
      </c>
      <c r="BR19" s="1">
        <f t="shared" si="21"/>
        <v>33638</v>
      </c>
      <c r="BT19" s="1">
        <f>+datos!GT1</f>
        <v>202</v>
      </c>
      <c r="BU19" s="1">
        <f t="shared" si="22"/>
        <v>2365997</v>
      </c>
      <c r="BV19" s="1">
        <f t="shared" si="22"/>
        <v>2410599</v>
      </c>
      <c r="BX19" s="1">
        <f>+datos!JO1</f>
        <v>275</v>
      </c>
      <c r="BY19" s="1">
        <f t="shared" si="38"/>
        <v>314.60743490999999</v>
      </c>
      <c r="BZ19" s="1">
        <f t="shared" si="39"/>
        <v>300.11065153000004</v>
      </c>
      <c r="CB19" s="1">
        <f>+datos!KT1</f>
        <v>306</v>
      </c>
      <c r="CC19" s="2">
        <f t="shared" si="23"/>
        <v>16.183735970000001</v>
      </c>
      <c r="CD19" s="2">
        <f t="shared" si="24"/>
        <v>7.7033961300000007</v>
      </c>
      <c r="CF19" s="1">
        <f>+datos!JB1</f>
        <v>262</v>
      </c>
      <c r="CG19" s="1">
        <f t="shared" si="25"/>
        <v>35.950000000000003</v>
      </c>
      <c r="CH19" s="1">
        <f t="shared" si="26"/>
        <v>40.33</v>
      </c>
      <c r="CJ19" s="1">
        <f t="shared" si="27"/>
        <v>22.013274209999999</v>
      </c>
      <c r="CK19" s="1">
        <f t="shared" si="27"/>
        <v>23.44114875</v>
      </c>
      <c r="CL19" s="1">
        <f t="shared" si="27"/>
        <v>29.35689408</v>
      </c>
      <c r="CM19" s="1">
        <f t="shared" si="27"/>
        <v>26.11967611</v>
      </c>
      <c r="CN19" s="1">
        <f t="shared" si="27"/>
        <v>30.386509889999999</v>
      </c>
      <c r="CO19" s="1">
        <f t="shared" si="27"/>
        <v>26.2743097</v>
      </c>
      <c r="CP19" s="1">
        <f t="shared" si="27"/>
        <v>30.80704394</v>
      </c>
      <c r="CQ19" s="1">
        <f t="shared" si="27"/>
        <v>27.637267510000001</v>
      </c>
      <c r="CR19" s="1">
        <f t="shared" si="27"/>
        <v>30.470799569999997</v>
      </c>
      <c r="CS19" s="1">
        <f t="shared" si="27"/>
        <v>25.884569989999999</v>
      </c>
      <c r="CT19" s="1">
        <f t="shared" si="27"/>
        <v>21.159077390000004</v>
      </c>
      <c r="CU19" s="1">
        <f t="shared" si="27"/>
        <v>21.056863770000003</v>
      </c>
      <c r="CV19" s="1">
        <f t="shared" si="27"/>
        <v>16.985680380000005</v>
      </c>
      <c r="CW19" s="1">
        <f t="shared" si="27"/>
        <v>25.68249277</v>
      </c>
      <c r="CX19" s="1">
        <f t="shared" si="27"/>
        <v>25.561633730000004</v>
      </c>
      <c r="CY19" s="1">
        <f t="shared" si="27"/>
        <v>29.175893349999999</v>
      </c>
      <c r="CZ19" s="1">
        <f t="shared" si="28"/>
        <v>26.64714219</v>
      </c>
      <c r="DA19" s="1">
        <f t="shared" si="28"/>
        <v>28.903680499999997</v>
      </c>
      <c r="DB19" s="1">
        <f t="shared" si="28"/>
        <v>27.118801100000006</v>
      </c>
      <c r="DC19" s="1">
        <f t="shared" si="28"/>
        <v>25.069733259999996</v>
      </c>
      <c r="DD19" s="1">
        <f t="shared" si="28"/>
        <v>23.736113960000001</v>
      </c>
      <c r="DE19" s="1">
        <f t="shared" si="28"/>
        <v>22.255492239999995</v>
      </c>
      <c r="DF19" s="1">
        <f t="shared" si="28"/>
        <v>21.389280870000007</v>
      </c>
      <c r="DG19" s="1">
        <f t="shared" si="28"/>
        <v>27.584707179999995</v>
      </c>
      <c r="DI19" s="1">
        <f t="shared" si="29"/>
        <v>2.7337765599999999</v>
      </c>
      <c r="DJ19" s="1">
        <f t="shared" si="29"/>
        <v>1.0171737099999998</v>
      </c>
      <c r="DK19" s="1">
        <f t="shared" si="29"/>
        <v>1.9864389700000002</v>
      </c>
      <c r="DL19" s="1">
        <f t="shared" si="29"/>
        <v>2.8868213899999997</v>
      </c>
      <c r="DM19" s="1">
        <f t="shared" si="29"/>
        <v>1.3747401999999997</v>
      </c>
      <c r="DN19" s="1">
        <f t="shared" si="29"/>
        <v>1.6364950999999999</v>
      </c>
      <c r="DO19" s="1">
        <f t="shared" si="29"/>
        <v>1.1348675200000002</v>
      </c>
      <c r="DP19" s="1">
        <f t="shared" si="29"/>
        <v>0.73241972</v>
      </c>
      <c r="DQ19" s="1">
        <f t="shared" si="29"/>
        <v>1.2023484900000001</v>
      </c>
      <c r="DR19" s="1">
        <f t="shared" si="29"/>
        <v>0.41620179000000002</v>
      </c>
      <c r="DS19" s="1">
        <f t="shared" si="29"/>
        <v>1.03402496</v>
      </c>
      <c r="DT19" s="1">
        <f t="shared" si="29"/>
        <v>2.8427559999999998E-2</v>
      </c>
      <c r="DU19" s="1">
        <f t="shared" si="29"/>
        <v>1.0036533000000001</v>
      </c>
      <c r="DV19" s="1">
        <f t="shared" si="29"/>
        <v>0.19325807</v>
      </c>
      <c r="DW19" s="1">
        <f t="shared" si="29"/>
        <v>0.52785406000000001</v>
      </c>
      <c r="DX19" s="1">
        <f t="shared" si="29"/>
        <v>0.66552862999999995</v>
      </c>
      <c r="DY19" s="1">
        <f t="shared" si="30"/>
        <v>0.47927648999999994</v>
      </c>
      <c r="DZ19" s="1">
        <f t="shared" si="30"/>
        <v>0.83261881999999998</v>
      </c>
      <c r="EA19" s="1">
        <f t="shared" si="30"/>
        <v>0.7180453</v>
      </c>
      <c r="EB19" s="1">
        <f t="shared" si="30"/>
        <v>0.58227790999999995</v>
      </c>
      <c r="EC19" s="1">
        <f t="shared" si="30"/>
        <v>0.59454408000000003</v>
      </c>
      <c r="ED19" s="1">
        <f t="shared" si="30"/>
        <v>0.70206774000000005</v>
      </c>
      <c r="EE19" s="1">
        <f t="shared" si="30"/>
        <v>0.63629354000000005</v>
      </c>
      <c r="EF19" s="1">
        <f t="shared" si="30"/>
        <v>0.76797819</v>
      </c>
      <c r="EH19" s="14">
        <f t="shared" si="31"/>
        <v>35.950000000000003</v>
      </c>
      <c r="EI19" s="14">
        <f t="shared" si="31"/>
        <v>35.950000000000003</v>
      </c>
      <c r="EJ19" s="1">
        <f t="shared" si="31"/>
        <v>35.950000000000003</v>
      </c>
      <c r="EK19" s="1">
        <f t="shared" si="31"/>
        <v>35.950000000000003</v>
      </c>
      <c r="EL19" s="1">
        <f t="shared" si="31"/>
        <v>35.950000000000003</v>
      </c>
      <c r="EM19" s="1">
        <f t="shared" si="31"/>
        <v>35.950000000000003</v>
      </c>
      <c r="EN19" s="1">
        <f t="shared" si="31"/>
        <v>35.950000000000003</v>
      </c>
      <c r="EO19" s="1">
        <f t="shared" si="31"/>
        <v>35.950000000000003</v>
      </c>
      <c r="EP19" s="1">
        <f t="shared" si="31"/>
        <v>35.950000000000003</v>
      </c>
      <c r="EQ19" s="1">
        <f t="shared" si="31"/>
        <v>35.950000000000003</v>
      </c>
      <c r="ER19" s="1">
        <f t="shared" si="31"/>
        <v>35.950000000000003</v>
      </c>
      <c r="ES19" s="1">
        <f t="shared" si="31"/>
        <v>40.33</v>
      </c>
      <c r="ET19" s="1">
        <f t="shared" si="31"/>
        <v>40.33</v>
      </c>
      <c r="EU19" s="1">
        <f t="shared" si="31"/>
        <v>40.33</v>
      </c>
      <c r="EV19" s="1">
        <f t="shared" si="31"/>
        <v>40.33</v>
      </c>
      <c r="EW19" s="1">
        <f t="shared" si="31"/>
        <v>40.33</v>
      </c>
      <c r="EX19" s="1">
        <f t="shared" si="32"/>
        <v>40.33</v>
      </c>
      <c r="EY19" s="1">
        <f t="shared" si="32"/>
        <v>40.33</v>
      </c>
      <c r="EZ19" s="1">
        <f t="shared" si="32"/>
        <v>40.33</v>
      </c>
      <c r="FA19" s="1">
        <f t="shared" si="32"/>
        <v>40.33</v>
      </c>
      <c r="FB19" s="1">
        <f t="shared" si="32"/>
        <v>40.33</v>
      </c>
      <c r="FC19" s="1">
        <f t="shared" si="32"/>
        <v>40.33</v>
      </c>
      <c r="FD19" s="1">
        <f t="shared" si="32"/>
        <v>40.33</v>
      </c>
      <c r="FE19" s="1">
        <f t="shared" si="32"/>
        <v>44.08</v>
      </c>
      <c r="FG19" s="162">
        <f t="shared" si="40"/>
        <v>0.54607120352531835</v>
      </c>
    </row>
    <row r="20" spans="1:163" ht="18" customHeight="1">
      <c r="A20" s="34">
        <f t="shared" si="41"/>
        <v>15</v>
      </c>
      <c r="B20" s="34" t="s">
        <v>218</v>
      </c>
      <c r="C20" s="156">
        <f t="shared" si="5"/>
        <v>0</v>
      </c>
      <c r="D20" s="24">
        <v>0</v>
      </c>
      <c r="E20" s="40">
        <f t="shared" si="6"/>
        <v>7.1693375869833043E-2</v>
      </c>
      <c r="F20" s="41">
        <f t="shared" si="7"/>
        <v>-5.6401324286398102E-2</v>
      </c>
      <c r="G20" s="40">
        <f t="shared" si="8"/>
        <v>0.16521489489426</v>
      </c>
      <c r="H20" s="41">
        <f t="shared" si="9"/>
        <v>-9.3521519024426958E-2</v>
      </c>
      <c r="I20" s="40">
        <f t="shared" si="10"/>
        <v>1.115823968414464</v>
      </c>
      <c r="J20" s="41">
        <f t="shared" si="11"/>
        <v>-0.49333270720862554</v>
      </c>
      <c r="K20" s="40">
        <f t="shared" si="33"/>
        <v>1.3362230828980781</v>
      </c>
      <c r="L20" s="41">
        <f t="shared" si="12"/>
        <v>-0.22039911448361416</v>
      </c>
      <c r="M20" s="17"/>
      <c r="N20" s="24">
        <v>-1</v>
      </c>
      <c r="O20" s="40">
        <f t="shared" si="34"/>
        <v>0.10200678349349923</v>
      </c>
      <c r="P20" s="104">
        <f t="shared" si="35"/>
        <v>0.10200678349349923</v>
      </c>
      <c r="Q20" s="40">
        <f>IFERROR(+BU20/BV20-1,"")</f>
        <v>-0.21711135256951986</v>
      </c>
      <c r="R20" s="42">
        <f t="shared" si="36"/>
        <v>-0.21711135256951986</v>
      </c>
      <c r="S20" s="17"/>
      <c r="T20" s="24">
        <v>1</v>
      </c>
      <c r="U20" s="40">
        <f t="shared" si="14"/>
        <v>0.13137456108052747</v>
      </c>
      <c r="V20" s="45">
        <f t="shared" si="15"/>
        <v>0.13137456108052747</v>
      </c>
      <c r="W20" s="40">
        <f t="shared" si="37"/>
        <v>-6.2653889425128284E-3</v>
      </c>
      <c r="X20" s="45">
        <f t="shared" si="16"/>
        <v>-6.2653889425128284E-3</v>
      </c>
      <c r="Y20" s="40" t="str">
        <f t="shared" si="17"/>
        <v/>
      </c>
      <c r="Z20" s="45" t="str">
        <f t="shared" si="18"/>
        <v/>
      </c>
      <c r="AA20" s="30"/>
      <c r="AB20" s="61" t="s">
        <v>289</v>
      </c>
      <c r="AC20" s="61" t="s">
        <v>289</v>
      </c>
      <c r="AD20" s="61" t="s">
        <v>289</v>
      </c>
      <c r="AE20" s="61" t="s">
        <v>289</v>
      </c>
      <c r="AF20" s="61" t="s">
        <v>289</v>
      </c>
      <c r="AG20" s="61" t="s">
        <v>289</v>
      </c>
      <c r="AH20" s="61" t="s">
        <v>289</v>
      </c>
      <c r="AI20" s="61" t="s">
        <v>289</v>
      </c>
      <c r="AJ20" s="61" t="s">
        <v>289</v>
      </c>
      <c r="AK20" s="61" t="s">
        <v>289</v>
      </c>
      <c r="AL20" s="61" t="s">
        <v>289</v>
      </c>
      <c r="AM20" s="61" t="s">
        <v>289</v>
      </c>
      <c r="AO20" s="28">
        <f>VLOOKUP($B20,historia!$A$5:$CM$24,+HLOOKUP(AO$2,historia!$A$3:$EC$4,2,FALSE),FALSE)</f>
        <v>4</v>
      </c>
      <c r="AP20" s="28">
        <f>VLOOKUP($B20,historia!$A$5:$CM$24,+HLOOKUP(AP$2,historia!$A$3:$EC$4,2,FALSE),FALSE)</f>
        <v>4</v>
      </c>
      <c r="AQ20" s="28">
        <f>VLOOKUP($B20,historia!$A$5:$CM$24,+HLOOKUP(AQ$2,historia!$A$3:$EC$4,2,FALSE),FALSE)</f>
        <v>4</v>
      </c>
      <c r="AR20" s="28">
        <f>VLOOKUP($B20,historia!$A$5:$CM$24,+HLOOKUP(AR$2,historia!$A$3:$EC$4,2,FALSE),FALSE)</f>
        <v>4</v>
      </c>
      <c r="AS20" s="58">
        <f>VLOOKUP($B20,historia!$A$5:$CM$24,+HLOOKUP(AS$2,historia!$A$3:$EC$4,2,FALSE),FALSE)</f>
        <v>4</v>
      </c>
      <c r="AT20" s="58">
        <f>VLOOKUP($B20,historia!$A$5:$CM$24,+HLOOKUP(AT$2,historia!$A$3:$EC$4,2,FALSE),FALSE)</f>
        <v>4</v>
      </c>
      <c r="AU20" s="58">
        <f>VLOOKUP($B20,historia!$A$5:$CM$24,+HLOOKUP(AU$2,historia!$A$3:$EC$4,2,FALSE),FALSE)</f>
        <v>4</v>
      </c>
      <c r="AV20" s="58">
        <f>VLOOKUP($B20,historia!$A$5:$CM$24,+HLOOKUP(AV$2,historia!$A$3:$EC$4,2,FALSE),FALSE)</f>
        <v>3</v>
      </c>
      <c r="AW20" s="58">
        <f>VLOOKUP($B20,historia!$A$5:$CM$24,+HLOOKUP(AW$2,historia!$A$3:$EC$4,2,FALSE),FALSE)</f>
        <v>3</v>
      </c>
      <c r="AX20" s="58">
        <f>VLOOKUP($B20,historia!$A$5:$CM$24,+HLOOKUP(AX$2,historia!$A$3:$EC$4,2,FALSE),FALSE)</f>
        <v>3</v>
      </c>
      <c r="AY20" s="58">
        <f>VLOOKUP($B20,historia!$A$5:$CM$24,+HLOOKUP(AY$2,historia!$A$3:$EC$4,2,FALSE),FALSE)</f>
        <v>3</v>
      </c>
      <c r="AZ20" s="58">
        <f>VLOOKUP($B20,historia!$A$5:$CM$24,+HLOOKUP(AZ$2,historia!$A$3:$EC$4,2,FALSE),FALSE)</f>
        <v>3</v>
      </c>
      <c r="BA20" s="30"/>
      <c r="BB20" s="158" t="s">
        <v>414</v>
      </c>
      <c r="BC20" s="141">
        <v>3</v>
      </c>
      <c r="BD20" t="str">
        <f t="shared" si="19"/>
        <v>Peras y Manzanas</v>
      </c>
      <c r="BE20">
        <f>+datos!AP1</f>
        <v>42</v>
      </c>
      <c r="BF20" s="2" t="str">
        <f t="shared" si="4"/>
        <v>$/caja 18kg</v>
      </c>
      <c r="BG20" s="2">
        <f t="shared" si="4"/>
        <v>4755.7952380952383</v>
      </c>
      <c r="BH20" s="2">
        <f t="shared" si="4"/>
        <v>4437.6454545454553</v>
      </c>
      <c r="BI20" s="2">
        <f t="shared" si="4"/>
        <v>2247.7272727272725</v>
      </c>
      <c r="BK20">
        <f>+datos!CS1</f>
        <v>97</v>
      </c>
      <c r="BL20" s="2">
        <f t="shared" si="20"/>
        <v>3727.4815676827429</v>
      </c>
      <c r="BM20" s="2">
        <f t="shared" si="20"/>
        <v>3198.96491541245</v>
      </c>
      <c r="BN20" s="2">
        <f t="shared" si="20"/>
        <v>1595.5161110123149</v>
      </c>
      <c r="BP20" s="1">
        <f>+datos!FC1</f>
        <v>159</v>
      </c>
      <c r="BQ20" s="1">
        <f t="shared" si="21"/>
        <v>38989</v>
      </c>
      <c r="BR20" s="1">
        <f t="shared" si="21"/>
        <v>35380</v>
      </c>
      <c r="BT20" s="1">
        <f>+datos!GW1</f>
        <v>205</v>
      </c>
      <c r="BU20" s="1">
        <f t="shared" si="22"/>
        <v>778160</v>
      </c>
      <c r="BV20" s="1">
        <f t="shared" si="22"/>
        <v>993960</v>
      </c>
      <c r="BX20" s="1">
        <f>+datos!LS1</f>
        <v>331</v>
      </c>
      <c r="BY20" s="1">
        <f t="shared" si="38"/>
        <v>357.12952144999997</v>
      </c>
      <c r="BZ20" s="1">
        <f t="shared" si="39"/>
        <v>315.65984752999998</v>
      </c>
      <c r="CB20" s="1">
        <f>+datos!LW1</f>
        <v>335</v>
      </c>
      <c r="CC20" s="2">
        <f t="shared" si="23"/>
        <v>7.6321471500000007</v>
      </c>
      <c r="CD20" s="2">
        <f t="shared" si="24"/>
        <v>7.6802670100000006</v>
      </c>
      <c r="CF20" s="1">
        <f>+datos!JC1</f>
        <v>263</v>
      </c>
      <c r="CG20" s="1">
        <f t="shared" si="25"/>
        <v>0</v>
      </c>
      <c r="CH20" s="1">
        <f t="shared" si="26"/>
        <v>0</v>
      </c>
      <c r="CJ20" s="1">
        <f t="shared" si="27"/>
        <v>15.619426270000002</v>
      </c>
      <c r="CK20" s="1">
        <f t="shared" si="27"/>
        <v>16.880359240000001</v>
      </c>
      <c r="CL20" s="1">
        <f t="shared" si="27"/>
        <v>24.204094699999999</v>
      </c>
      <c r="CM20" s="1">
        <f t="shared" si="27"/>
        <v>25.300599699999999</v>
      </c>
      <c r="CN20" s="1">
        <f t="shared" si="27"/>
        <v>48.042350899999995</v>
      </c>
      <c r="CO20" s="1">
        <f t="shared" si="27"/>
        <v>30.317151650000003</v>
      </c>
      <c r="CP20" s="1">
        <f t="shared" si="27"/>
        <v>39.830023670000003</v>
      </c>
      <c r="CQ20" s="1">
        <f t="shared" si="27"/>
        <v>48.212206680000008</v>
      </c>
      <c r="CR20" s="1">
        <f t="shared" si="27"/>
        <v>46.755406350000001</v>
      </c>
      <c r="CS20" s="1">
        <f t="shared" si="27"/>
        <v>37.276974840000001</v>
      </c>
      <c r="CT20" s="1">
        <f t="shared" si="27"/>
        <v>11.80910873</v>
      </c>
      <c r="CU20" s="1">
        <f t="shared" si="27"/>
        <v>12.88181872</v>
      </c>
      <c r="CV20" s="1">
        <f t="shared" si="27"/>
        <v>18.209359989999999</v>
      </c>
      <c r="CW20" s="1">
        <f t="shared" si="27"/>
        <v>17.588783669999998</v>
      </c>
      <c r="CX20" s="1">
        <f t="shared" si="27"/>
        <v>19.204431939999999</v>
      </c>
      <c r="CY20" s="1">
        <f t="shared" si="27"/>
        <v>18.586597920000003</v>
      </c>
      <c r="CZ20" s="1">
        <f t="shared" si="28"/>
        <v>16.816308710000001</v>
      </c>
      <c r="DA20" s="1">
        <f t="shared" si="28"/>
        <v>28.579364210000001</v>
      </c>
      <c r="DB20" s="1">
        <f t="shared" si="28"/>
        <v>38.836687069999996</v>
      </c>
      <c r="DC20" s="1">
        <f t="shared" si="28"/>
        <v>37.982258049999999</v>
      </c>
      <c r="DD20" s="1">
        <f t="shared" si="28"/>
        <v>42.930305690000004</v>
      </c>
      <c r="DE20" s="1">
        <f t="shared" si="28"/>
        <v>50.942165619999997</v>
      </c>
      <c r="DF20" s="1">
        <f t="shared" si="28"/>
        <v>12.493191699999999</v>
      </c>
      <c r="DG20" s="1">
        <f t="shared" si="28"/>
        <v>13.490392960000001</v>
      </c>
      <c r="DI20" s="1">
        <f t="shared" si="29"/>
        <v>1.01853964</v>
      </c>
      <c r="DJ20" s="1">
        <f t="shared" si="29"/>
        <v>0.30728509999999998</v>
      </c>
      <c r="DK20" s="1">
        <f t="shared" si="29"/>
        <v>0.37410640000000001</v>
      </c>
      <c r="DL20" s="1">
        <f t="shared" si="29"/>
        <v>0.35746821000000001</v>
      </c>
      <c r="DM20" s="1">
        <f t="shared" si="29"/>
        <v>0.95829101000000005</v>
      </c>
      <c r="DN20" s="1">
        <f t="shared" si="29"/>
        <v>0.34636184000000003</v>
      </c>
      <c r="DO20" s="1">
        <f t="shared" si="29"/>
        <v>1.2547095300000002</v>
      </c>
      <c r="DP20" s="1">
        <f t="shared" si="29"/>
        <v>1.273682</v>
      </c>
      <c r="DQ20" s="1">
        <f t="shared" si="29"/>
        <v>0.92279571000000005</v>
      </c>
      <c r="DR20" s="1">
        <f t="shared" si="29"/>
        <v>0.55930298000000001</v>
      </c>
      <c r="DS20" s="1">
        <f t="shared" si="29"/>
        <v>0.23405334</v>
      </c>
      <c r="DT20" s="1">
        <f t="shared" si="29"/>
        <v>2.5551390000000004E-2</v>
      </c>
      <c r="DU20" s="1">
        <f t="shared" si="29"/>
        <v>0.44126778</v>
      </c>
      <c r="DV20" s="1">
        <f t="shared" si="29"/>
        <v>0.57571571999999993</v>
      </c>
      <c r="DW20" s="1">
        <f t="shared" si="29"/>
        <v>0.55222305999999999</v>
      </c>
      <c r="DX20" s="1">
        <f t="shared" si="29"/>
        <v>0.72330915000000007</v>
      </c>
      <c r="DY20" s="1">
        <f t="shared" si="30"/>
        <v>0.57011290000000003</v>
      </c>
      <c r="DZ20" s="1">
        <f t="shared" si="30"/>
        <v>0.72611420999999998</v>
      </c>
      <c r="EA20" s="1">
        <f t="shared" si="30"/>
        <v>1.15496998</v>
      </c>
      <c r="EB20" s="1">
        <f t="shared" si="30"/>
        <v>0.68284896000000006</v>
      </c>
      <c r="EC20" s="1">
        <f t="shared" si="30"/>
        <v>0.63966389999999995</v>
      </c>
      <c r="ED20" s="1">
        <f t="shared" si="30"/>
        <v>2.8615189999999999E-2</v>
      </c>
      <c r="EE20" s="1">
        <f t="shared" si="30"/>
        <v>0.30643770000000004</v>
      </c>
      <c r="EF20" s="1">
        <f t="shared" si="30"/>
        <v>1.2789884600000001</v>
      </c>
      <c r="EH20" s="14">
        <f t="shared" si="31"/>
        <v>0</v>
      </c>
      <c r="EI20" s="14">
        <f t="shared" si="31"/>
        <v>0</v>
      </c>
      <c r="EJ20" s="1">
        <f t="shared" si="31"/>
        <v>0</v>
      </c>
      <c r="EK20" s="1">
        <f t="shared" si="31"/>
        <v>0</v>
      </c>
      <c r="EL20" s="1">
        <f t="shared" si="31"/>
        <v>0</v>
      </c>
      <c r="EM20" s="1">
        <f t="shared" si="31"/>
        <v>0</v>
      </c>
      <c r="EN20" s="1">
        <f t="shared" si="31"/>
        <v>0</v>
      </c>
      <c r="EO20" s="1">
        <f t="shared" si="31"/>
        <v>0</v>
      </c>
      <c r="EP20" s="1">
        <f t="shared" si="31"/>
        <v>0</v>
      </c>
      <c r="EQ20" s="1">
        <f t="shared" si="31"/>
        <v>0</v>
      </c>
      <c r="ER20" s="1">
        <f t="shared" si="31"/>
        <v>0</v>
      </c>
      <c r="ES20" s="1">
        <f t="shared" si="31"/>
        <v>0</v>
      </c>
      <c r="ET20" s="1">
        <f t="shared" si="31"/>
        <v>0</v>
      </c>
      <c r="EU20" s="1">
        <f t="shared" si="31"/>
        <v>0</v>
      </c>
      <c r="EV20" s="1">
        <f t="shared" si="31"/>
        <v>0</v>
      </c>
      <c r="EW20" s="1">
        <f t="shared" si="31"/>
        <v>0</v>
      </c>
      <c r="EX20" s="1">
        <f t="shared" si="32"/>
        <v>0</v>
      </c>
      <c r="EY20" s="1">
        <f t="shared" si="32"/>
        <v>0</v>
      </c>
      <c r="EZ20" s="1">
        <f t="shared" si="32"/>
        <v>0</v>
      </c>
      <c r="FA20" s="1">
        <f t="shared" si="32"/>
        <v>0</v>
      </c>
      <c r="FB20" s="1">
        <f t="shared" si="32"/>
        <v>0</v>
      </c>
      <c r="FC20" s="1">
        <f t="shared" si="32"/>
        <v>0</v>
      </c>
      <c r="FD20" s="1">
        <f t="shared" si="32"/>
        <v>0</v>
      </c>
      <c r="FE20" s="1">
        <f t="shared" si="32"/>
        <v>0</v>
      </c>
      <c r="FG20" s="162">
        <f t="shared" si="40"/>
        <v>-0.22039911448361416</v>
      </c>
    </row>
    <row r="21" spans="1:163" ht="18" customHeight="1">
      <c r="A21" s="34">
        <f t="shared" si="41"/>
        <v>16</v>
      </c>
      <c r="B21" s="34" t="s">
        <v>121</v>
      </c>
      <c r="C21" s="156">
        <v>0</v>
      </c>
      <c r="D21" s="24">
        <v>0</v>
      </c>
      <c r="E21" s="40">
        <f t="shared" si="6"/>
        <v>-7.2676470588235453E-3</v>
      </c>
      <c r="F21" s="41">
        <f t="shared" si="7"/>
        <v>-0.13536234721505469</v>
      </c>
      <c r="G21" s="40">
        <f>IFERROR(+BL21/BM21-1,"")</f>
        <v>5.5639987738361985E-2</v>
      </c>
      <c r="H21" s="41">
        <f>E21-G21</f>
        <v>-6.290763479718553E-2</v>
      </c>
      <c r="I21" s="40">
        <f t="shared" si="10"/>
        <v>1.69764226342711</v>
      </c>
      <c r="J21" s="41">
        <f t="shared" si="11"/>
        <v>8.8485587804020494E-2</v>
      </c>
      <c r="K21" s="40"/>
      <c r="L21" s="41"/>
      <c r="M21" s="17"/>
      <c r="N21" s="24">
        <v>0</v>
      </c>
      <c r="O21" s="40">
        <f t="shared" si="34"/>
        <v>7.4910714725858085E-2</v>
      </c>
      <c r="P21" s="104">
        <f t="shared" si="35"/>
        <v>7.4910714725858085E-2</v>
      </c>
      <c r="Q21" s="40">
        <f>IFERROR(+BU21/BV21-1,"")</f>
        <v>9.9009843818344878E-2</v>
      </c>
      <c r="R21" s="42">
        <f t="shared" si="36"/>
        <v>9.9009843818344878E-2</v>
      </c>
      <c r="S21" s="17"/>
      <c r="T21" s="24">
        <v>1</v>
      </c>
      <c r="U21" s="40">
        <f t="shared" si="14"/>
        <v>0.2391121483175298</v>
      </c>
      <c r="V21" s="45">
        <f t="shared" si="15"/>
        <v>0.2391121483175298</v>
      </c>
      <c r="W21" s="40">
        <f t="shared" si="37"/>
        <v>-0.58966093677979881</v>
      </c>
      <c r="X21" s="45">
        <f t="shared" si="16"/>
        <v>-0.58966093677979881</v>
      </c>
      <c r="Y21" s="40">
        <f t="shared" si="17"/>
        <v>-8.2889283599762997E-3</v>
      </c>
      <c r="Z21" s="45">
        <f t="shared" si="18"/>
        <v>-8.2889283599762997E-3</v>
      </c>
      <c r="AA21" s="30"/>
      <c r="AB21" s="61" t="s">
        <v>289</v>
      </c>
      <c r="AC21" s="61" t="s">
        <v>289</v>
      </c>
      <c r="AD21" s="61" t="s">
        <v>289</v>
      </c>
      <c r="AE21" s="61" t="s">
        <v>289</v>
      </c>
      <c r="AF21" s="61" t="s">
        <v>289</v>
      </c>
      <c r="AG21" s="61" t="s">
        <v>289</v>
      </c>
      <c r="AH21" s="61" t="s">
        <v>289</v>
      </c>
      <c r="AI21" s="61" t="s">
        <v>289</v>
      </c>
      <c r="AJ21" s="61" t="s">
        <v>289</v>
      </c>
      <c r="AK21" s="61" t="s">
        <v>289</v>
      </c>
      <c r="AL21" s="61" t="s">
        <v>289</v>
      </c>
      <c r="AM21" s="61" t="s">
        <v>289</v>
      </c>
      <c r="AO21" s="28">
        <f>VLOOKUP($B21,historia!$A$5:$CM$24,+HLOOKUP(AO$2,historia!$A$3:$EC$4,2,FALSE),FALSE)</f>
        <v>4</v>
      </c>
      <c r="AP21" s="28">
        <f>VLOOKUP($B21,historia!$A$5:$CM$24,+HLOOKUP(AP$2,historia!$A$3:$EC$4,2,FALSE),FALSE)</f>
        <v>3</v>
      </c>
      <c r="AQ21" s="28">
        <f>VLOOKUP($B21,historia!$A$5:$CM$24,+HLOOKUP(AQ$2,historia!$A$3:$EC$4,2,FALSE),FALSE)</f>
        <v>3</v>
      </c>
      <c r="AR21" s="28">
        <f>VLOOKUP($B21,historia!$A$5:$CM$24,+HLOOKUP(AR$2,historia!$A$3:$EC$4,2,FALSE),FALSE)</f>
        <v>3</v>
      </c>
      <c r="AS21" s="58">
        <f>VLOOKUP($B21,historia!$A$5:$CM$24,+HLOOKUP(AS$2,historia!$A$3:$EC$4,2,FALSE),FALSE)</f>
        <v>3</v>
      </c>
      <c r="AT21" s="58">
        <f>VLOOKUP($B21,historia!$A$5:$CM$24,+HLOOKUP(AT$2,historia!$A$3:$EC$4,2,FALSE),FALSE)</f>
        <v>3</v>
      </c>
      <c r="AU21" s="58">
        <f>VLOOKUP($B21,historia!$A$5:$CM$24,+HLOOKUP(AU$2,historia!$A$3:$EC$4,2,FALSE),FALSE)</f>
        <v>4</v>
      </c>
      <c r="AV21" s="58">
        <f>VLOOKUP($B21,historia!$A$5:$CM$24,+HLOOKUP(AV$2,historia!$A$3:$EC$4,2,FALSE),FALSE)</f>
        <v>4</v>
      </c>
      <c r="AW21" s="58">
        <f>VLOOKUP($B21,historia!$A$5:$CM$24,+HLOOKUP(AW$2,historia!$A$3:$EC$4,2,FALSE),FALSE)</f>
        <v>4</v>
      </c>
      <c r="AX21" s="58">
        <f>VLOOKUP($B21,historia!$A$5:$CM$24,+HLOOKUP(AX$2,historia!$A$3:$EC$4,2,FALSE),FALSE)</f>
        <v>3</v>
      </c>
      <c r="AY21" s="58">
        <f>VLOOKUP($B21,historia!$A$5:$CM$24,+HLOOKUP(AY$2,historia!$A$3:$EC$4,2,FALSE),FALSE)</f>
        <v>3</v>
      </c>
      <c r="AZ21" s="58">
        <f>VLOOKUP($B21,historia!$A$5:$CM$24,+HLOOKUP(AZ$2,historia!$A$3:$EC$4,2,FALSE),FALSE)</f>
        <v>3</v>
      </c>
      <c r="BA21" s="30"/>
      <c r="BB21" s="158" t="s">
        <v>433</v>
      </c>
      <c r="BC21" s="141">
        <v>3</v>
      </c>
      <c r="BD21" t="str">
        <f t="shared" si="19"/>
        <v>Porcinos</v>
      </c>
      <c r="BE21">
        <f>+datos!BR1</f>
        <v>70</v>
      </c>
      <c r="BF21" s="2" t="str">
        <f t="shared" si="4"/>
        <v>$/kg</v>
      </c>
      <c r="BG21" s="2">
        <f t="shared" si="4"/>
        <v>675.05799999999999</v>
      </c>
      <c r="BH21" s="2">
        <f t="shared" si="4"/>
        <v>680</v>
      </c>
      <c r="BI21" s="2">
        <f t="shared" si="4"/>
        <v>250.24</v>
      </c>
      <c r="BK21">
        <f>+datos!DD1</f>
        <v>108</v>
      </c>
      <c r="BL21" s="2">
        <f t="shared" si="20"/>
        <v>3484.9613548657508</v>
      </c>
      <c r="BM21" s="2">
        <f t="shared" si="20"/>
        <v>3301.2782722754255</v>
      </c>
      <c r="BN21" s="2">
        <f t="shared" si="20"/>
        <v>1894.015413233456</v>
      </c>
      <c r="BP21" s="1">
        <f>+datos!EJ1</f>
        <v>140</v>
      </c>
      <c r="BQ21" s="1">
        <f t="shared" si="21"/>
        <v>5887401</v>
      </c>
      <c r="BR21" s="1">
        <f t="shared" si="21"/>
        <v>5477107</v>
      </c>
      <c r="BT21" s="1">
        <f>+datos!HE1</f>
        <v>213</v>
      </c>
      <c r="BU21" s="1">
        <f t="shared" si="22"/>
        <v>761305</v>
      </c>
      <c r="BV21" s="1">
        <f t="shared" si="22"/>
        <v>692719</v>
      </c>
      <c r="BX21" s="1">
        <f>+datos!KJ1</f>
        <v>296</v>
      </c>
      <c r="BY21" s="1">
        <f t="shared" si="38"/>
        <v>20.077485409999998</v>
      </c>
      <c r="BZ21" s="1">
        <f t="shared" si="39"/>
        <v>16.203122079999996</v>
      </c>
      <c r="CB21" s="1">
        <f>+datos!LO1</f>
        <v>327</v>
      </c>
      <c r="CC21" s="2">
        <f t="shared" si="23"/>
        <v>49.889013609999999</v>
      </c>
      <c r="CD21" s="2">
        <f t="shared" si="24"/>
        <v>121.57997637</v>
      </c>
      <c r="CF21" s="1">
        <f>+datos!IO1</f>
        <v>249</v>
      </c>
      <c r="CG21" s="1">
        <f t="shared" si="25"/>
        <v>16.75</v>
      </c>
      <c r="CH21" s="1">
        <f t="shared" si="26"/>
        <v>16.89</v>
      </c>
      <c r="CJ21" s="1">
        <f t="shared" si="27"/>
        <v>1.3743196699999998</v>
      </c>
      <c r="CK21" s="1">
        <f t="shared" si="27"/>
        <v>1.4110336399999999</v>
      </c>
      <c r="CL21" s="1">
        <f t="shared" si="27"/>
        <v>1.8830951399999996</v>
      </c>
      <c r="CM21" s="1">
        <f t="shared" si="27"/>
        <v>1.4694087300000001</v>
      </c>
      <c r="CN21" s="1">
        <f t="shared" si="27"/>
        <v>2.0502103900000002</v>
      </c>
      <c r="CO21" s="1">
        <f t="shared" si="27"/>
        <v>1.8176867299999997</v>
      </c>
      <c r="CP21" s="1">
        <f t="shared" si="27"/>
        <v>1.2719750699999999</v>
      </c>
      <c r="CQ21" s="1">
        <f t="shared" si="27"/>
        <v>1.5228158499999997</v>
      </c>
      <c r="CR21" s="1">
        <f t="shared" si="27"/>
        <v>1.32254655</v>
      </c>
      <c r="CS21" s="1">
        <f t="shared" si="27"/>
        <v>2.1116566699999999</v>
      </c>
      <c r="CT21" s="1">
        <f t="shared" si="27"/>
        <v>1.8299806799999998</v>
      </c>
      <c r="CU21" s="1">
        <f t="shared" si="27"/>
        <v>2.01275629</v>
      </c>
      <c r="CV21" s="1">
        <f t="shared" si="27"/>
        <v>1.0656519800000002</v>
      </c>
      <c r="CW21" s="1">
        <f t="shared" si="27"/>
        <v>1.9138006200000002</v>
      </c>
      <c r="CX21" s="1">
        <f t="shared" si="27"/>
        <v>1.83911538</v>
      </c>
      <c r="CY21" s="1">
        <f t="shared" si="27"/>
        <v>1.1669562900000001</v>
      </c>
      <c r="CZ21" s="1">
        <f t="shared" si="28"/>
        <v>1.9574107099999998</v>
      </c>
      <c r="DA21" s="1">
        <f t="shared" si="28"/>
        <v>1.1355260499999997</v>
      </c>
      <c r="DB21" s="1">
        <f t="shared" si="28"/>
        <v>0.90610126000000002</v>
      </c>
      <c r="DC21" s="1">
        <f t="shared" si="28"/>
        <v>1.3895762900000002</v>
      </c>
      <c r="DD21" s="1">
        <f t="shared" si="28"/>
        <v>1.4229088099999998</v>
      </c>
      <c r="DE21" s="1">
        <f t="shared" si="28"/>
        <v>0.78701670999999995</v>
      </c>
      <c r="DF21" s="1">
        <f t="shared" si="28"/>
        <v>1.47433864</v>
      </c>
      <c r="DG21" s="1">
        <f t="shared" si="28"/>
        <v>1.1447193399999998</v>
      </c>
      <c r="DI21" s="1">
        <f t="shared" si="29"/>
        <v>1.8536983500000002</v>
      </c>
      <c r="DJ21" s="1">
        <f t="shared" si="29"/>
        <v>2.01592043</v>
      </c>
      <c r="DK21" s="1">
        <f t="shared" si="29"/>
        <v>3.3244473500000002</v>
      </c>
      <c r="DL21" s="1">
        <f t="shared" si="29"/>
        <v>2.84758625</v>
      </c>
      <c r="DM21" s="1">
        <f t="shared" si="29"/>
        <v>4.1641835499999997</v>
      </c>
      <c r="DN21" s="1">
        <f t="shared" si="29"/>
        <v>4.5685913500000002</v>
      </c>
      <c r="DO21" s="1">
        <f t="shared" si="29"/>
        <v>6.3615663699999985</v>
      </c>
      <c r="DP21" s="1">
        <f t="shared" si="29"/>
        <v>5.5541627499999997</v>
      </c>
      <c r="DQ21" s="1">
        <f t="shared" si="29"/>
        <v>6.8596205599999998</v>
      </c>
      <c r="DR21" s="1">
        <f t="shared" si="29"/>
        <v>4.6739966500000012</v>
      </c>
      <c r="DS21" s="1">
        <f t="shared" si="29"/>
        <v>7.6286560299999993</v>
      </c>
      <c r="DT21" s="1">
        <f t="shared" si="29"/>
        <v>3.658397E-2</v>
      </c>
      <c r="DU21" s="1">
        <f t="shared" si="29"/>
        <v>7.2061905900000003</v>
      </c>
      <c r="DV21" s="1">
        <f t="shared" si="29"/>
        <v>7.3381374299999997</v>
      </c>
      <c r="DW21" s="1">
        <f t="shared" si="29"/>
        <v>7.276038279999999</v>
      </c>
      <c r="DX21" s="1">
        <f t="shared" ref="DX21:EF24" si="42">+VLOOKUP(DX$1,ran_dat,$CB21,FALSE)</f>
        <v>4.9460771399999999</v>
      </c>
      <c r="DY21" s="1">
        <f t="shared" si="42"/>
        <v>6.6386870500000015</v>
      </c>
      <c r="DZ21" s="1">
        <f t="shared" si="42"/>
        <v>8.8922827299999998</v>
      </c>
      <c r="EA21" s="1">
        <f t="shared" si="42"/>
        <v>12.050233429999999</v>
      </c>
      <c r="EB21" s="1">
        <f t="shared" si="42"/>
        <v>12.89114653</v>
      </c>
      <c r="EC21" s="1">
        <f t="shared" si="42"/>
        <v>13.174662569999999</v>
      </c>
      <c r="ED21" s="1">
        <f t="shared" si="42"/>
        <v>11.404167620000001</v>
      </c>
      <c r="EE21" s="1">
        <f t="shared" si="42"/>
        <v>12.238436049999999</v>
      </c>
      <c r="EF21" s="1">
        <f t="shared" si="42"/>
        <v>17.52391695</v>
      </c>
      <c r="EH21" s="14">
        <f t="shared" si="31"/>
        <v>16.75</v>
      </c>
      <c r="EI21" s="14">
        <f t="shared" si="31"/>
        <v>16.760000000000002</v>
      </c>
      <c r="EJ21" s="1">
        <f t="shared" si="31"/>
        <v>16.71</v>
      </c>
      <c r="EK21" s="1">
        <f t="shared" si="31"/>
        <v>16.68</v>
      </c>
      <c r="EL21" s="1">
        <f t="shared" si="31"/>
        <v>16.670000000000002</v>
      </c>
      <c r="EM21" s="1">
        <f t="shared" si="31"/>
        <v>16.670000000000002</v>
      </c>
      <c r="EN21" s="1">
        <f t="shared" si="31"/>
        <v>16.72</v>
      </c>
      <c r="EO21" s="1">
        <f t="shared" si="31"/>
        <v>16.77</v>
      </c>
      <c r="EP21" s="1">
        <f t="shared" si="31"/>
        <v>16.88</v>
      </c>
      <c r="EQ21" s="1">
        <f t="shared" si="31"/>
        <v>16.93</v>
      </c>
      <c r="ER21" s="1">
        <f t="shared" si="31"/>
        <v>16.97</v>
      </c>
      <c r="ES21" s="1">
        <f t="shared" si="31"/>
        <v>16.760000000000002</v>
      </c>
      <c r="ET21" s="1">
        <f t="shared" si="31"/>
        <v>16.89</v>
      </c>
      <c r="EU21" s="1">
        <f t="shared" si="31"/>
        <v>16.920000000000002</v>
      </c>
      <c r="EV21" s="1">
        <f t="shared" si="31"/>
        <v>16.899999999999999</v>
      </c>
      <c r="EW21" s="1">
        <f t="shared" ref="EW21:FE24" si="43">+VLOOKUP(EW$1,ran_dat,$CF21,FALSE)</f>
        <v>16.84</v>
      </c>
      <c r="EX21" s="1">
        <f t="shared" si="43"/>
        <v>16.75</v>
      </c>
      <c r="EY21" s="1">
        <f t="shared" si="43"/>
        <v>16.71</v>
      </c>
      <c r="EZ21" s="1">
        <f t="shared" si="43"/>
        <v>16.57</v>
      </c>
      <c r="FA21" s="1">
        <f t="shared" si="43"/>
        <v>16.329999999999998</v>
      </c>
      <c r="FB21" s="1">
        <f t="shared" si="43"/>
        <v>16.149999999999999</v>
      </c>
      <c r="FC21" s="1">
        <f t="shared" si="43"/>
        <v>16.04</v>
      </c>
      <c r="FD21" s="1">
        <f t="shared" si="43"/>
        <v>15.92</v>
      </c>
      <c r="FE21" s="1">
        <f t="shared" si="43"/>
        <v>15.92</v>
      </c>
      <c r="FG21" s="162">
        <f t="shared" si="40"/>
        <v>1.69764226342711</v>
      </c>
    </row>
    <row r="22" spans="1:163" ht="18" customHeight="1">
      <c r="A22" s="34">
        <f t="shared" si="41"/>
        <v>17</v>
      </c>
      <c r="B22" s="34" t="s">
        <v>75</v>
      </c>
      <c r="C22" s="156">
        <f t="shared" si="5"/>
        <v>-0.66</v>
      </c>
      <c r="D22" s="24">
        <v>-1</v>
      </c>
      <c r="E22" s="40">
        <f t="shared" si="6"/>
        <v>0</v>
      </c>
      <c r="F22" s="41">
        <f t="shared" si="7"/>
        <v>-0.12809470015623114</v>
      </c>
      <c r="G22" s="40">
        <f t="shared" si="8"/>
        <v>0.17026963265369011</v>
      </c>
      <c r="H22" s="41">
        <f t="shared" si="9"/>
        <v>-0.17026963265369011</v>
      </c>
      <c r="I22" s="40">
        <f t="shared" si="10"/>
        <v>1.2337879998968622</v>
      </c>
      <c r="J22" s="41">
        <f t="shared" si="11"/>
        <v>-0.37536867572622734</v>
      </c>
      <c r="K22" s="40">
        <f t="shared" si="33"/>
        <v>1.3397776765263552</v>
      </c>
      <c r="L22" s="41">
        <f t="shared" si="12"/>
        <v>-0.10598967662949299</v>
      </c>
      <c r="M22" s="17"/>
      <c r="N22" s="24">
        <v>0</v>
      </c>
      <c r="O22" s="40">
        <f t="shared" si="34"/>
        <v>-3.7178457828739964E-2</v>
      </c>
      <c r="P22" s="104">
        <f t="shared" si="35"/>
        <v>-3.7178457828739964E-2</v>
      </c>
      <c r="Q22" s="40">
        <f>IFERROR(+BU22/BV22-1,"")</f>
        <v>1.9164061826579815E-3</v>
      </c>
      <c r="R22" s="42">
        <f t="shared" si="36"/>
        <v>1.9164061826579815E-3</v>
      </c>
      <c r="S22" s="17"/>
      <c r="T22" s="24">
        <v>-1</v>
      </c>
      <c r="U22" s="40">
        <f t="shared" si="14"/>
        <v>-0.12216160997652115</v>
      </c>
      <c r="V22" s="45">
        <f t="shared" si="15"/>
        <v>-0.12216160997652115</v>
      </c>
      <c r="W22" s="40">
        <f t="shared" si="37"/>
        <v>0.47400817390523309</v>
      </c>
      <c r="X22" s="45">
        <f t="shared" si="16"/>
        <v>0.47400817390523309</v>
      </c>
      <c r="Y22" s="40" t="str">
        <f t="shared" si="17"/>
        <v/>
      </c>
      <c r="Z22" s="45" t="str">
        <f t="shared" si="18"/>
        <v/>
      </c>
      <c r="AA22" s="30"/>
      <c r="AB22" s="61" t="s">
        <v>289</v>
      </c>
      <c r="AC22" s="61" t="s">
        <v>289</v>
      </c>
      <c r="AD22" s="61" t="s">
        <v>289</v>
      </c>
      <c r="AE22" s="61" t="s">
        <v>289</v>
      </c>
      <c r="AF22" s="61" t="s">
        <v>289</v>
      </c>
      <c r="AG22" s="61" t="s">
        <v>289</v>
      </c>
      <c r="AH22" s="61" t="s">
        <v>289</v>
      </c>
      <c r="AI22" s="61" t="s">
        <v>289</v>
      </c>
      <c r="AJ22" s="61" t="s">
        <v>289</v>
      </c>
      <c r="AK22" s="61" t="s">
        <v>289</v>
      </c>
      <c r="AL22" s="61" t="s">
        <v>289</v>
      </c>
      <c r="AM22" s="61" t="s">
        <v>289</v>
      </c>
      <c r="AO22" s="28">
        <f>VLOOKUP($B22,historia!$A$5:$CM$24,+HLOOKUP(AO$2,historia!$A$3:$EC$4,2,FALSE),FALSE)</f>
        <v>3</v>
      </c>
      <c r="AP22" s="28">
        <f>VLOOKUP($B22,historia!$A$5:$CM$24,+HLOOKUP(AP$2,historia!$A$3:$EC$4,2,FALSE),FALSE)</f>
        <v>3</v>
      </c>
      <c r="AQ22" s="28">
        <f>VLOOKUP($B22,historia!$A$5:$CM$24,+HLOOKUP(AQ$2,historia!$A$3:$EC$4,2,FALSE),FALSE)</f>
        <v>3</v>
      </c>
      <c r="AR22" s="28">
        <f>VLOOKUP($B22,historia!$A$5:$CM$24,+HLOOKUP(AR$2,historia!$A$3:$EC$4,2,FALSE),FALSE)</f>
        <v>3</v>
      </c>
      <c r="AS22" s="58">
        <f>VLOOKUP($B22,historia!$A$5:$CM$24,+HLOOKUP(AS$2,historia!$A$3:$EC$4,2,FALSE),FALSE)</f>
        <v>3</v>
      </c>
      <c r="AT22" s="58">
        <f>VLOOKUP($B22,historia!$A$5:$CM$24,+HLOOKUP(AT$2,historia!$A$3:$EC$4,2,FALSE),FALSE)</f>
        <v>4</v>
      </c>
      <c r="AU22" s="58">
        <f>VLOOKUP($B22,historia!$A$5:$CM$24,+HLOOKUP(AU$2,historia!$A$3:$EC$4,2,FALSE),FALSE)</f>
        <v>4</v>
      </c>
      <c r="AV22" s="58">
        <f>VLOOKUP($B22,historia!$A$5:$CM$24,+HLOOKUP(AV$2,historia!$A$3:$EC$4,2,FALSE),FALSE)</f>
        <v>4</v>
      </c>
      <c r="AW22" s="58">
        <f>VLOOKUP($B22,historia!$A$5:$CM$24,+HLOOKUP(AW$2,historia!$A$3:$EC$4,2,FALSE),FALSE)</f>
        <v>4</v>
      </c>
      <c r="AX22" s="58">
        <f>VLOOKUP($B22,historia!$A$5:$CM$24,+HLOOKUP(AX$2,historia!$A$3:$EC$4,2,FALSE),FALSE)</f>
        <v>4</v>
      </c>
      <c r="AY22" s="58">
        <f>VLOOKUP($B22,historia!$A$5:$CM$24,+HLOOKUP(AY$2,historia!$A$3:$EC$4,2,FALSE),FALSE)</f>
        <v>4</v>
      </c>
      <c r="AZ22" s="58">
        <f>VLOOKUP($B22,historia!$A$5:$CM$24,+HLOOKUP(AZ$2,historia!$A$3:$EC$4,2,FALSE),FALSE)</f>
        <v>4</v>
      </c>
      <c r="BA22" s="30"/>
      <c r="BB22" s="158" t="s">
        <v>417</v>
      </c>
      <c r="BC22" s="141">
        <v>4</v>
      </c>
      <c r="BD22" t="str">
        <f t="shared" si="19"/>
        <v>Tabaco</v>
      </c>
      <c r="BE22">
        <f>+datos!BJ1</f>
        <v>62</v>
      </c>
      <c r="BF22" s="2" t="str">
        <f t="shared" si="4"/>
        <v>$/kg</v>
      </c>
      <c r="BG22" s="2">
        <f t="shared" si="4"/>
        <v>866.33</v>
      </c>
      <c r="BH22" s="2">
        <f t="shared" si="4"/>
        <v>866.33</v>
      </c>
      <c r="BI22" s="2">
        <f t="shared" si="4"/>
        <v>387.83</v>
      </c>
      <c r="BK22">
        <f>+datos!DA1</f>
        <v>105</v>
      </c>
      <c r="BL22" s="2">
        <f t="shared" si="20"/>
        <v>3616.4684406972165</v>
      </c>
      <c r="BM22" s="2">
        <f t="shared" si="20"/>
        <v>3090.2864944863636</v>
      </c>
      <c r="BN22" s="2">
        <f t="shared" si="20"/>
        <v>1545.6461855240207</v>
      </c>
      <c r="BP22" s="1">
        <f>+datos!FD1</f>
        <v>160</v>
      </c>
      <c r="BQ22" s="1">
        <f t="shared" si="21"/>
        <v>54743</v>
      </c>
      <c r="BR22" s="1">
        <f t="shared" si="21"/>
        <v>56856.849999999991</v>
      </c>
      <c r="BT22" s="1">
        <f>+datos!GX1</f>
        <v>206</v>
      </c>
      <c r="BU22" s="1">
        <f t="shared" si="22"/>
        <v>33126.813000000002</v>
      </c>
      <c r="BV22" s="1">
        <f t="shared" si="22"/>
        <v>33063.449999999997</v>
      </c>
      <c r="BX22" s="1">
        <f>+datos!KC1</f>
        <v>289</v>
      </c>
      <c r="BY22" s="1">
        <f t="shared" si="38"/>
        <v>540.54767860000004</v>
      </c>
      <c r="BZ22" s="1">
        <f t="shared" si="39"/>
        <v>615.77129086999992</v>
      </c>
      <c r="CB22" s="1">
        <f>+datos!LH1</f>
        <v>320</v>
      </c>
      <c r="CC22" s="2">
        <f t="shared" si="23"/>
        <v>69.61804368</v>
      </c>
      <c r="CD22" s="2">
        <f t="shared" si="24"/>
        <v>47.230432579999984</v>
      </c>
      <c r="CF22" s="1">
        <f>+datos!JD1</f>
        <v>264</v>
      </c>
      <c r="CG22" s="1">
        <f t="shared" si="25"/>
        <v>0</v>
      </c>
      <c r="CH22" s="1">
        <f t="shared" si="26"/>
        <v>0</v>
      </c>
      <c r="CJ22" s="1">
        <f t="shared" ref="CJ22:CY24" si="44">+VLOOKUP(CJ$1,ran_dat,$BX22,FALSE)</f>
        <v>36.8257318</v>
      </c>
      <c r="CK22" s="1">
        <f t="shared" si="44"/>
        <v>51.381121719999996</v>
      </c>
      <c r="CL22" s="1">
        <f t="shared" si="44"/>
        <v>33.051481680000002</v>
      </c>
      <c r="CM22" s="1">
        <f t="shared" si="44"/>
        <v>60.888504160000004</v>
      </c>
      <c r="CN22" s="1">
        <f t="shared" si="44"/>
        <v>55.773078730000002</v>
      </c>
      <c r="CO22" s="1">
        <f t="shared" si="44"/>
        <v>34.825160650000001</v>
      </c>
      <c r="CP22" s="1">
        <f t="shared" si="44"/>
        <v>19.014000799999998</v>
      </c>
      <c r="CQ22" s="1">
        <f t="shared" si="44"/>
        <v>13.328405800000001</v>
      </c>
      <c r="CR22" s="1">
        <f t="shared" si="44"/>
        <v>41.736807310000003</v>
      </c>
      <c r="CS22" s="1">
        <f t="shared" si="44"/>
        <v>99.771490689999993</v>
      </c>
      <c r="CT22" s="1">
        <f t="shared" si="44"/>
        <v>36.311671529999998</v>
      </c>
      <c r="CU22" s="1">
        <f t="shared" si="44"/>
        <v>57.64022373000001</v>
      </c>
      <c r="CV22" s="1">
        <f t="shared" si="44"/>
        <v>136.09986096</v>
      </c>
      <c r="CW22" s="1">
        <f t="shared" si="44"/>
        <v>67.887772890000008</v>
      </c>
      <c r="CX22" s="1">
        <f t="shared" si="44"/>
        <v>57.086864629999994</v>
      </c>
      <c r="CY22" s="1">
        <f t="shared" si="44"/>
        <v>50.373202669999998</v>
      </c>
      <c r="CZ22" s="1">
        <f t="shared" ref="CZ22:DG24" si="45">+VLOOKUP(CZ$1,ran_dat,$BX22,FALSE)</f>
        <v>27.075978119999998</v>
      </c>
      <c r="DA22" s="1">
        <f t="shared" si="45"/>
        <v>15.063954900000001</v>
      </c>
      <c r="DB22" s="1">
        <f t="shared" si="45"/>
        <v>15.52836033</v>
      </c>
      <c r="DC22" s="1">
        <f t="shared" si="45"/>
        <v>34.829088259999999</v>
      </c>
      <c r="DD22" s="1">
        <f t="shared" si="45"/>
        <v>43.210508609999991</v>
      </c>
      <c r="DE22" s="1">
        <f t="shared" si="45"/>
        <v>28.857247229999995</v>
      </c>
      <c r="DF22" s="1">
        <f t="shared" si="45"/>
        <v>32.485260930000003</v>
      </c>
      <c r="DG22" s="1">
        <f t="shared" si="45"/>
        <v>107.27319134</v>
      </c>
      <c r="DI22" s="1">
        <f t="shared" ref="DI22:DX24" si="46">+VLOOKUP(DI$1,ran_dat,$CB22,FALSE)</f>
        <v>4.9563280900000004</v>
      </c>
      <c r="DJ22" s="1">
        <f t="shared" si="46"/>
        <v>5.4312745199999997</v>
      </c>
      <c r="DK22" s="1">
        <f t="shared" si="46"/>
        <v>5.9427570699999999</v>
      </c>
      <c r="DL22" s="1">
        <f t="shared" si="46"/>
        <v>7.0989514199999997</v>
      </c>
      <c r="DM22" s="1">
        <f t="shared" si="46"/>
        <v>8.0901624599999984</v>
      </c>
      <c r="DN22" s="1">
        <f t="shared" si="46"/>
        <v>8.5152603000000013</v>
      </c>
      <c r="DO22" s="1">
        <f t="shared" si="46"/>
        <v>6.4262316399999984</v>
      </c>
      <c r="DP22" s="1">
        <f t="shared" si="46"/>
        <v>5.5724239500000001</v>
      </c>
      <c r="DQ22" s="1">
        <f t="shared" si="46"/>
        <v>6.0969073500000004</v>
      </c>
      <c r="DR22" s="1">
        <f t="shared" si="46"/>
        <v>3.8674547000000001</v>
      </c>
      <c r="DS22" s="1">
        <f t="shared" si="46"/>
        <v>3.6075394200000002</v>
      </c>
      <c r="DT22" s="1">
        <f t="shared" si="46"/>
        <v>4.0127527599999997</v>
      </c>
      <c r="DU22" s="1">
        <f t="shared" si="46"/>
        <v>4.23429112</v>
      </c>
      <c r="DV22" s="1">
        <f t="shared" si="46"/>
        <v>0</v>
      </c>
      <c r="DW22" s="1">
        <f t="shared" si="46"/>
        <v>4.5847165599999995</v>
      </c>
      <c r="DX22" s="1">
        <f t="shared" si="46"/>
        <v>5.2497219499999996</v>
      </c>
      <c r="DY22" s="1">
        <f t="shared" si="42"/>
        <v>3.7131778499999992</v>
      </c>
      <c r="DZ22" s="1">
        <f t="shared" si="42"/>
        <v>5.6909223499999992</v>
      </c>
      <c r="EA22" s="1">
        <f t="shared" si="42"/>
        <v>5.2735966400000001</v>
      </c>
      <c r="EB22" s="1">
        <f t="shared" si="42"/>
        <v>3.4249882400000002</v>
      </c>
      <c r="EC22" s="1">
        <f t="shared" si="42"/>
        <v>3.9442662400000001</v>
      </c>
      <c r="ED22" s="1">
        <f t="shared" si="42"/>
        <v>3.9768056000000001</v>
      </c>
      <c r="EE22" s="1">
        <f t="shared" si="42"/>
        <v>2.9560001099999997</v>
      </c>
      <c r="EF22" s="1">
        <f t="shared" si="42"/>
        <v>4.1819459200000004</v>
      </c>
      <c r="EH22" s="14">
        <f t="shared" ref="EH22:EW24" si="47">+VLOOKUP(EH$1,ran_dat,$CF22,FALSE)</f>
        <v>0</v>
      </c>
      <c r="EI22" s="14">
        <f t="shared" si="47"/>
        <v>0</v>
      </c>
      <c r="EJ22" s="1">
        <f t="shared" si="47"/>
        <v>0</v>
      </c>
      <c r="EK22" s="1">
        <f t="shared" si="47"/>
        <v>0</v>
      </c>
      <c r="EL22" s="1">
        <f t="shared" si="47"/>
        <v>0</v>
      </c>
      <c r="EM22" s="1">
        <f t="shared" si="47"/>
        <v>0</v>
      </c>
      <c r="EN22" s="1">
        <f t="shared" si="47"/>
        <v>0</v>
      </c>
      <c r="EO22" s="1">
        <f t="shared" si="47"/>
        <v>0</v>
      </c>
      <c r="EP22" s="1">
        <f t="shared" si="47"/>
        <v>0</v>
      </c>
      <c r="EQ22" s="1">
        <f t="shared" si="47"/>
        <v>0</v>
      </c>
      <c r="ER22" s="1">
        <f t="shared" si="47"/>
        <v>0</v>
      </c>
      <c r="ES22" s="1">
        <f t="shared" si="47"/>
        <v>0</v>
      </c>
      <c r="ET22" s="1">
        <f t="shared" si="47"/>
        <v>0</v>
      </c>
      <c r="EU22" s="1">
        <f t="shared" si="47"/>
        <v>0</v>
      </c>
      <c r="EV22" s="1">
        <f t="shared" si="47"/>
        <v>0</v>
      </c>
      <c r="EW22" s="1">
        <f t="shared" si="47"/>
        <v>0</v>
      </c>
      <c r="EX22" s="1">
        <f t="shared" si="43"/>
        <v>0</v>
      </c>
      <c r="EY22" s="1">
        <f t="shared" si="43"/>
        <v>0</v>
      </c>
      <c r="EZ22" s="1">
        <f t="shared" si="43"/>
        <v>0</v>
      </c>
      <c r="FA22" s="1">
        <f t="shared" si="43"/>
        <v>0</v>
      </c>
      <c r="FB22" s="1">
        <f t="shared" si="43"/>
        <v>0</v>
      </c>
      <c r="FC22" s="1">
        <f t="shared" si="43"/>
        <v>0</v>
      </c>
      <c r="FD22" s="1">
        <f t="shared" si="43"/>
        <v>0</v>
      </c>
      <c r="FE22" s="1">
        <f t="shared" si="43"/>
        <v>0</v>
      </c>
      <c r="FG22" s="162">
        <f t="shared" si="40"/>
        <v>-0.10598967662949299</v>
      </c>
    </row>
    <row r="23" spans="1:163" ht="18" customHeight="1">
      <c r="A23" s="34">
        <f t="shared" si="41"/>
        <v>18</v>
      </c>
      <c r="B23" s="34" t="s">
        <v>219</v>
      </c>
      <c r="C23" s="156">
        <f t="shared" si="5"/>
        <v>-0.99</v>
      </c>
      <c r="D23" s="24">
        <v>0</v>
      </c>
      <c r="E23" s="40">
        <f t="shared" si="6"/>
        <v>5.5569463438388533E-2</v>
      </c>
      <c r="F23" s="41">
        <f t="shared" si="7"/>
        <v>-7.2525236717842612E-2</v>
      </c>
      <c r="G23" s="40">
        <f t="shared" si="8"/>
        <v>0.17085558807579382</v>
      </c>
      <c r="H23" s="41">
        <f t="shared" si="9"/>
        <v>-0.11528612463740529</v>
      </c>
      <c r="I23" s="40">
        <f t="shared" si="10"/>
        <v>1.5352953868195849</v>
      </c>
      <c r="J23" s="41">
        <f t="shared" si="11"/>
        <v>-7.3861288803504621E-2</v>
      </c>
      <c r="K23" s="40">
        <f t="shared" si="33"/>
        <v>1.3061817125454573</v>
      </c>
      <c r="L23" s="41">
        <f t="shared" si="12"/>
        <v>0.22911367427412754</v>
      </c>
      <c r="M23" s="17"/>
      <c r="N23" s="24">
        <v>-2</v>
      </c>
      <c r="O23" s="40">
        <f t="shared" si="34"/>
        <v>-1.0625606746294314E-2</v>
      </c>
      <c r="P23" s="104">
        <f t="shared" si="35"/>
        <v>-1.0625606746294314E-2</v>
      </c>
      <c r="Q23" s="40">
        <f>IFERROR(+BU23/BV23-1,"")</f>
        <v>-0.24860110973593552</v>
      </c>
      <c r="R23" s="160">
        <f t="shared" si="36"/>
        <v>-0.24860110973593552</v>
      </c>
      <c r="S23" s="17"/>
      <c r="T23" s="24">
        <v>-1</v>
      </c>
      <c r="U23" s="40">
        <f t="shared" si="14"/>
        <v>-0.1807307799461384</v>
      </c>
      <c r="V23" s="45">
        <f t="shared" si="15"/>
        <v>-0.1807307799461384</v>
      </c>
      <c r="W23" s="40">
        <f t="shared" si="37"/>
        <v>-0.21488205814876438</v>
      </c>
      <c r="X23" s="45">
        <f t="shared" si="16"/>
        <v>-0.21488205814876438</v>
      </c>
      <c r="Y23" s="40">
        <f t="shared" si="17"/>
        <v>-7.2222222222222299E-2</v>
      </c>
      <c r="Z23" s="45">
        <f t="shared" si="18"/>
        <v>-7.2222222222222299E-2</v>
      </c>
      <c r="AA23" s="30"/>
      <c r="AB23" s="61" t="s">
        <v>289</v>
      </c>
      <c r="AC23" s="61" t="s">
        <v>289</v>
      </c>
      <c r="AD23" s="61" t="s">
        <v>289</v>
      </c>
      <c r="AE23" s="61" t="s">
        <v>289</v>
      </c>
      <c r="AF23" s="61" t="s">
        <v>289</v>
      </c>
      <c r="AG23" s="61" t="s">
        <v>289</v>
      </c>
      <c r="AH23" s="61" t="s">
        <v>289</v>
      </c>
      <c r="AI23" s="61" t="s">
        <v>289</v>
      </c>
      <c r="AJ23" s="61" t="s">
        <v>289</v>
      </c>
      <c r="AK23" s="61" t="s">
        <v>289</v>
      </c>
      <c r="AL23" s="61" t="s">
        <v>289</v>
      </c>
      <c r="AM23" s="61" t="s">
        <v>289</v>
      </c>
      <c r="AO23" s="28">
        <f>VLOOKUP($B23,historia!$A$5:$CM$24,+HLOOKUP(AO$2,historia!$A$3:$EC$4,2,FALSE),FALSE)</f>
        <v>3</v>
      </c>
      <c r="AP23" s="28">
        <f>VLOOKUP($B23,historia!$A$5:$CM$24,+HLOOKUP(AP$2,historia!$A$3:$EC$4,2,FALSE),FALSE)</f>
        <v>5</v>
      </c>
      <c r="AQ23" s="28">
        <f>VLOOKUP($B23,historia!$A$5:$CM$24,+HLOOKUP(AQ$2,historia!$A$3:$EC$4,2,FALSE),FALSE)</f>
        <v>5</v>
      </c>
      <c r="AR23" s="28">
        <f>VLOOKUP($B23,historia!$A$5:$CM$24,+HLOOKUP(AR$2,historia!$A$3:$EC$4,2,FALSE),FALSE)</f>
        <v>5</v>
      </c>
      <c r="AS23" s="58">
        <f>VLOOKUP($B23,historia!$A$5:$CM$24,+HLOOKUP(AS$2,historia!$A$3:$EC$4,2,FALSE),FALSE)</f>
        <v>5</v>
      </c>
      <c r="AT23" s="58">
        <f>VLOOKUP($B23,historia!$A$5:$CM$24,+HLOOKUP(AT$2,historia!$A$3:$EC$4,2,FALSE),FALSE)</f>
        <v>5</v>
      </c>
      <c r="AU23" s="58">
        <f>VLOOKUP($B23,historia!$A$5:$CM$24,+HLOOKUP(AU$2,historia!$A$3:$EC$4,2,FALSE),FALSE)</f>
        <v>5</v>
      </c>
      <c r="AV23" s="58">
        <f>VLOOKUP($B23,historia!$A$5:$CM$24,+HLOOKUP(AV$2,historia!$A$3:$EC$4,2,FALSE),FALSE)</f>
        <v>5</v>
      </c>
      <c r="AW23" s="58">
        <f>VLOOKUP($B23,historia!$A$5:$CM$24,+HLOOKUP(AW$2,historia!$A$3:$EC$4,2,FALSE),FALSE)</f>
        <v>5</v>
      </c>
      <c r="AX23" s="58">
        <f>VLOOKUP($B23,historia!$A$5:$CM$24,+HLOOKUP(AX$2,historia!$A$3:$EC$4,2,FALSE),FALSE)</f>
        <v>5</v>
      </c>
      <c r="AY23" s="58">
        <f>VLOOKUP($B23,historia!$A$5:$CM$24,+HLOOKUP(AY$2,historia!$A$3:$EC$4,2,FALSE),FALSE)</f>
        <v>5</v>
      </c>
      <c r="AZ23" s="58">
        <f>VLOOKUP($B23,historia!$A$5:$CM$24,+HLOOKUP(AZ$2,historia!$A$3:$EC$4,2,FALSE),FALSE)</f>
        <v>5</v>
      </c>
      <c r="BA23" s="30"/>
      <c r="BB23" s="158" t="s">
        <v>434</v>
      </c>
      <c r="BC23" s="141">
        <v>5</v>
      </c>
      <c r="BD23" t="str">
        <f t="shared" si="19"/>
        <v>Vino y Mosto</v>
      </c>
      <c r="BE23">
        <f>+datos!AM1</f>
        <v>39</v>
      </c>
      <c r="BF23" s="2" t="str">
        <f t="shared" si="4"/>
        <v>$/l</v>
      </c>
      <c r="BG23" s="2">
        <f t="shared" si="4"/>
        <v>174.82500000000002</v>
      </c>
      <c r="BH23" s="2">
        <f t="shared" si="4"/>
        <v>165.62150200000002</v>
      </c>
      <c r="BI23" s="2">
        <f t="shared" si="4"/>
        <v>68.956462000000002</v>
      </c>
      <c r="BK23">
        <f>+datos!CP1</f>
        <v>94</v>
      </c>
      <c r="BL23" s="2">
        <f t="shared" si="20"/>
        <v>4423.6265928203484</v>
      </c>
      <c r="BM23" s="2">
        <f t="shared" si="20"/>
        <v>3778.1146008708211</v>
      </c>
      <c r="BN23" s="2">
        <f t="shared" si="20"/>
        <v>1918.1604679094228</v>
      </c>
      <c r="BP23" s="1">
        <f>+datos!EF1</f>
        <v>136</v>
      </c>
      <c r="BQ23" s="1">
        <f t="shared" si="21"/>
        <v>204847</v>
      </c>
      <c r="BR23" s="1">
        <f t="shared" si="21"/>
        <v>207047</v>
      </c>
      <c r="BT23" s="1">
        <f>+datos!GB1</f>
        <v>184</v>
      </c>
      <c r="BU23" s="1">
        <f t="shared" si="22"/>
        <v>14553117</v>
      </c>
      <c r="BV23" s="1">
        <f t="shared" si="22"/>
        <v>19368031</v>
      </c>
      <c r="BX23" s="1">
        <f>+datos!JU1</f>
        <v>281</v>
      </c>
      <c r="BY23" s="1">
        <f t="shared" si="38"/>
        <v>880.2625501</v>
      </c>
      <c r="BZ23" s="1">
        <f t="shared" si="39"/>
        <v>1074.4484579099999</v>
      </c>
      <c r="CB23" s="1">
        <f>+datos!KZ1</f>
        <v>312</v>
      </c>
      <c r="CC23" s="2">
        <f t="shared" si="23"/>
        <v>15.194749680000001</v>
      </c>
      <c r="CD23" s="2">
        <f t="shared" si="24"/>
        <v>19.35346127</v>
      </c>
      <c r="CF23" s="1">
        <f>+datos!IQ1</f>
        <v>251</v>
      </c>
      <c r="CG23" s="1">
        <f t="shared" si="25"/>
        <v>16.7</v>
      </c>
      <c r="CH23" s="1">
        <f t="shared" si="26"/>
        <v>18</v>
      </c>
      <c r="CJ23" s="1">
        <f t="shared" si="44"/>
        <v>76.246675170000003</v>
      </c>
      <c r="CK23" s="1">
        <f t="shared" si="44"/>
        <v>81.396405279999982</v>
      </c>
      <c r="CL23" s="1">
        <f t="shared" si="44"/>
        <v>86.673250950000011</v>
      </c>
      <c r="CM23" s="1">
        <f t="shared" si="44"/>
        <v>67.769583350000005</v>
      </c>
      <c r="CN23" s="1">
        <f t="shared" si="44"/>
        <v>79.411450110000018</v>
      </c>
      <c r="CO23" s="1">
        <f t="shared" si="44"/>
        <v>61.526627820000002</v>
      </c>
      <c r="CP23" s="1">
        <f t="shared" si="44"/>
        <v>82.508437450000031</v>
      </c>
      <c r="CQ23" s="1">
        <f t="shared" si="44"/>
        <v>73.17738731</v>
      </c>
      <c r="CR23" s="1">
        <f t="shared" si="44"/>
        <v>70.498219510000013</v>
      </c>
      <c r="CS23" s="1">
        <f t="shared" si="44"/>
        <v>58.070113270000007</v>
      </c>
      <c r="CT23" s="1">
        <f t="shared" si="44"/>
        <v>66.649594010000001</v>
      </c>
      <c r="CU23" s="1">
        <f t="shared" si="44"/>
        <v>76.334805869999997</v>
      </c>
      <c r="CV23" s="1">
        <f t="shared" si="44"/>
        <v>77.449795309999999</v>
      </c>
      <c r="CW23" s="1">
        <f t="shared" si="44"/>
        <v>104.26238703999999</v>
      </c>
      <c r="CX23" s="1">
        <f t="shared" si="44"/>
        <v>101.4021353</v>
      </c>
      <c r="CY23" s="1">
        <f t="shared" si="44"/>
        <v>110.27898059000003</v>
      </c>
      <c r="CZ23" s="1">
        <f t="shared" si="45"/>
        <v>78.75545163000001</v>
      </c>
      <c r="DA23" s="1">
        <f t="shared" si="45"/>
        <v>84.697328929999998</v>
      </c>
      <c r="DB23" s="1">
        <f t="shared" si="45"/>
        <v>126.06507717000002</v>
      </c>
      <c r="DC23" s="1">
        <f t="shared" si="45"/>
        <v>90.029722969999995</v>
      </c>
      <c r="DD23" s="1">
        <f t="shared" si="45"/>
        <v>82.193372090000025</v>
      </c>
      <c r="DE23" s="1">
        <f t="shared" si="45"/>
        <v>83.832958109999993</v>
      </c>
      <c r="DF23" s="1">
        <f t="shared" si="45"/>
        <v>48.113062809999988</v>
      </c>
      <c r="DG23" s="1">
        <f t="shared" si="45"/>
        <v>87.368185959999991</v>
      </c>
      <c r="DI23" s="1">
        <f t="shared" si="46"/>
        <v>1.2280305999999999</v>
      </c>
      <c r="DJ23" s="1">
        <f t="shared" si="46"/>
        <v>1.7214946800000002</v>
      </c>
      <c r="DK23" s="1">
        <f t="shared" si="46"/>
        <v>1.3147188099999998</v>
      </c>
      <c r="DL23" s="1">
        <f t="shared" si="46"/>
        <v>1.8704580099999999</v>
      </c>
      <c r="DM23" s="1">
        <f t="shared" si="46"/>
        <v>1.2166211999999998</v>
      </c>
      <c r="DN23" s="1">
        <f t="shared" si="46"/>
        <v>1.2618213600000001</v>
      </c>
      <c r="DO23" s="1">
        <f t="shared" si="46"/>
        <v>2.6711612799999997</v>
      </c>
      <c r="DP23" s="1">
        <f t="shared" si="46"/>
        <v>1.8665371000000002</v>
      </c>
      <c r="DQ23" s="1">
        <f t="shared" si="46"/>
        <v>1.1160735099999999</v>
      </c>
      <c r="DR23" s="1">
        <f t="shared" si="46"/>
        <v>0.32453726999999999</v>
      </c>
      <c r="DS23" s="1">
        <f t="shared" si="46"/>
        <v>0.12503209999999998</v>
      </c>
      <c r="DT23" s="1">
        <f t="shared" si="46"/>
        <v>0.47826376000000004</v>
      </c>
      <c r="DU23" s="1">
        <f t="shared" si="46"/>
        <v>2.89069318</v>
      </c>
      <c r="DV23" s="1">
        <f t="shared" si="46"/>
        <v>1.35471261</v>
      </c>
      <c r="DW23" s="1">
        <f t="shared" si="46"/>
        <v>2.7470526999999998</v>
      </c>
      <c r="DX23" s="1">
        <f t="shared" si="46"/>
        <v>1.8506322900000001</v>
      </c>
      <c r="DY23" s="1">
        <f t="shared" si="42"/>
        <v>1.0900325</v>
      </c>
      <c r="DZ23" s="1">
        <f t="shared" si="42"/>
        <v>1.8150842000000003</v>
      </c>
      <c r="EA23" s="1">
        <f t="shared" si="42"/>
        <v>1.62026545</v>
      </c>
      <c r="EB23" s="1">
        <f t="shared" si="42"/>
        <v>2.9708612100000003</v>
      </c>
      <c r="EC23" s="1">
        <f t="shared" si="42"/>
        <v>0.80692414999999995</v>
      </c>
      <c r="ED23" s="1">
        <f t="shared" si="42"/>
        <v>0.59419704000000007</v>
      </c>
      <c r="EE23" s="1">
        <f t="shared" si="42"/>
        <v>0.36427643999999998</v>
      </c>
      <c r="EF23" s="1">
        <f t="shared" si="42"/>
        <v>1.2487294999999998</v>
      </c>
      <c r="EH23" s="14">
        <f t="shared" si="47"/>
        <v>16.7</v>
      </c>
      <c r="EI23" s="14">
        <f t="shared" si="47"/>
        <v>16.7</v>
      </c>
      <c r="EJ23" s="1">
        <f t="shared" si="47"/>
        <v>16.7</v>
      </c>
      <c r="EK23" s="1">
        <f t="shared" si="47"/>
        <v>16.7</v>
      </c>
      <c r="EL23" s="1">
        <f t="shared" si="47"/>
        <v>16.7</v>
      </c>
      <c r="EM23" s="1">
        <f t="shared" si="47"/>
        <v>16.7</v>
      </c>
      <c r="EN23" s="1">
        <f t="shared" si="47"/>
        <v>16.7</v>
      </c>
      <c r="EO23" s="1">
        <f t="shared" si="47"/>
        <v>16.7</v>
      </c>
      <c r="EP23" s="1">
        <f t="shared" si="47"/>
        <v>16.7</v>
      </c>
      <c r="EQ23" s="1">
        <f t="shared" si="47"/>
        <v>16.7</v>
      </c>
      <c r="ER23" s="1">
        <f t="shared" si="47"/>
        <v>16.7</v>
      </c>
      <c r="ES23" s="1">
        <f t="shared" si="47"/>
        <v>18</v>
      </c>
      <c r="ET23" s="1">
        <f t="shared" si="47"/>
        <v>18</v>
      </c>
      <c r="EU23" s="1">
        <f t="shared" si="47"/>
        <v>18</v>
      </c>
      <c r="EV23" s="1">
        <f t="shared" si="47"/>
        <v>18</v>
      </c>
      <c r="EW23" s="1">
        <f t="shared" si="47"/>
        <v>18</v>
      </c>
      <c r="EX23" s="1">
        <f t="shared" si="43"/>
        <v>18</v>
      </c>
      <c r="EY23" s="1">
        <f t="shared" si="43"/>
        <v>18</v>
      </c>
      <c r="EZ23" s="1">
        <f t="shared" si="43"/>
        <v>18</v>
      </c>
      <c r="FA23" s="1">
        <f t="shared" si="43"/>
        <v>18</v>
      </c>
      <c r="FB23" s="1">
        <f t="shared" si="43"/>
        <v>18</v>
      </c>
      <c r="FC23" s="1">
        <f t="shared" si="43"/>
        <v>18</v>
      </c>
      <c r="FD23" s="1">
        <f t="shared" si="43"/>
        <v>18</v>
      </c>
      <c r="FE23" s="1">
        <f t="shared" si="43"/>
        <v>18.2</v>
      </c>
      <c r="FG23" s="162">
        <f t="shared" si="40"/>
        <v>0.22911367427412754</v>
      </c>
    </row>
    <row r="24" spans="1:163" ht="18" customHeight="1">
      <c r="A24" s="34">
        <f t="shared" si="41"/>
        <v>19</v>
      </c>
      <c r="B24" s="34" t="s">
        <v>39</v>
      </c>
      <c r="C24" s="156">
        <f t="shared" si="5"/>
        <v>0.66</v>
      </c>
      <c r="D24" s="24">
        <v>0</v>
      </c>
      <c r="E24" s="40">
        <f t="shared" si="6"/>
        <v>0</v>
      </c>
      <c r="F24" s="41">
        <f t="shared" si="7"/>
        <v>-0.12809470015623114</v>
      </c>
      <c r="G24" s="40">
        <f t="shared" si="8"/>
        <v>0.15929976995365935</v>
      </c>
      <c r="H24" s="41">
        <f t="shared" si="9"/>
        <v>-0.15929976995365935</v>
      </c>
      <c r="I24" s="40">
        <f t="shared" si="10"/>
        <v>1.4166666666666665</v>
      </c>
      <c r="J24" s="41">
        <f t="shared" si="11"/>
        <v>-0.19249000895642299</v>
      </c>
      <c r="K24" s="40">
        <f t="shared" si="33"/>
        <v>1.4525505265306857</v>
      </c>
      <c r="L24" s="41">
        <f t="shared" si="12"/>
        <v>-3.5883859864019207E-2</v>
      </c>
      <c r="M24" s="17"/>
      <c r="N24" s="24">
        <v>1</v>
      </c>
      <c r="O24" s="40">
        <f t="shared" si="34"/>
        <v>6.156911652976671E-2</v>
      </c>
      <c r="P24" s="104">
        <f t="shared" si="35"/>
        <v>6.156911652976671E-2</v>
      </c>
      <c r="Q24" s="40">
        <f>IFERROR(+BU24/BV24-1,"")</f>
        <v>-0.10902420161099269</v>
      </c>
      <c r="R24" s="42">
        <f t="shared" si="36"/>
        <v>-0.10902420161099269</v>
      </c>
      <c r="S24" s="17"/>
      <c r="T24" s="24">
        <v>1</v>
      </c>
      <c r="U24" s="40">
        <f t="shared" si="14"/>
        <v>-6.5706032878623866E-2</v>
      </c>
      <c r="V24" s="45">
        <f t="shared" si="15"/>
        <v>-6.5706032878623866E-2</v>
      </c>
      <c r="W24" s="40">
        <f t="shared" si="37"/>
        <v>-0.57305856389298238</v>
      </c>
      <c r="X24" s="45">
        <f t="shared" si="16"/>
        <v>-0.57305856389298238</v>
      </c>
      <c r="Y24" s="40">
        <f t="shared" si="17"/>
        <v>3.4417443941407999E-2</v>
      </c>
      <c r="Z24" s="45">
        <f t="shared" si="18"/>
        <v>3.4417443941407999E-2</v>
      </c>
      <c r="AA24" s="30"/>
      <c r="AB24" s="61" t="s">
        <v>289</v>
      </c>
      <c r="AC24" s="61" t="s">
        <v>289</v>
      </c>
      <c r="AD24" s="61" t="s">
        <v>289</v>
      </c>
      <c r="AE24" s="61" t="s">
        <v>289</v>
      </c>
      <c r="AF24" s="61" t="s">
        <v>289</v>
      </c>
      <c r="AG24" s="61" t="s">
        <v>289</v>
      </c>
      <c r="AH24" s="61" t="s">
        <v>289</v>
      </c>
      <c r="AI24" s="61" t="s">
        <v>289</v>
      </c>
      <c r="AJ24" s="61" t="s">
        <v>289</v>
      </c>
      <c r="AK24" s="61" t="s">
        <v>289</v>
      </c>
      <c r="AL24" s="61" t="s">
        <v>289</v>
      </c>
      <c r="AM24" s="61" t="s">
        <v>289</v>
      </c>
      <c r="AO24" s="28">
        <f>VLOOKUP($B24,historia!$A$5:$CM$24,+HLOOKUP(AO$2,historia!$A$3:$EC$4,2,FALSE),FALSE)</f>
        <v>4</v>
      </c>
      <c r="AP24" s="28">
        <f>VLOOKUP($B24,historia!$A$5:$CM$24,+HLOOKUP(AP$2,historia!$A$3:$EC$4,2,FALSE),FALSE)</f>
        <v>4</v>
      </c>
      <c r="AQ24" s="28">
        <f>VLOOKUP($B24,historia!$A$5:$CM$24,+HLOOKUP(AQ$2,historia!$A$3:$EC$4,2,FALSE),FALSE)</f>
        <v>4</v>
      </c>
      <c r="AR24" s="28">
        <f>VLOOKUP($B24,historia!$A$5:$CM$24,+HLOOKUP(AR$2,historia!$A$3:$EC$4,2,FALSE),FALSE)</f>
        <v>4</v>
      </c>
      <c r="AS24" s="58">
        <f>VLOOKUP($B24,historia!$A$5:$CM$24,+HLOOKUP(AS$2,historia!$A$3:$EC$4,2,FALSE),FALSE)</f>
        <v>3</v>
      </c>
      <c r="AT24" s="58">
        <f>VLOOKUP($B24,historia!$A$5:$CM$24,+HLOOKUP(AT$2,historia!$A$3:$EC$4,2,FALSE),FALSE)</f>
        <v>2</v>
      </c>
      <c r="AU24" s="58">
        <f>VLOOKUP($B24,historia!$A$5:$CM$24,+HLOOKUP(AU$2,historia!$A$3:$EC$4,2,FALSE),FALSE)</f>
        <v>2</v>
      </c>
      <c r="AV24" s="58">
        <f>VLOOKUP($B24,historia!$A$5:$CM$24,+HLOOKUP(AV$2,historia!$A$3:$EC$4,2,FALSE),FALSE)</f>
        <v>2</v>
      </c>
      <c r="AW24" s="58">
        <f>VLOOKUP($B24,historia!$A$5:$CM$24,+HLOOKUP(AW$2,historia!$A$3:$EC$4,2,FALSE),FALSE)</f>
        <v>2</v>
      </c>
      <c r="AX24" s="58">
        <f>VLOOKUP($B24,historia!$A$5:$CM$24,+HLOOKUP(AX$2,historia!$A$3:$EC$4,2,FALSE),FALSE)</f>
        <v>2</v>
      </c>
      <c r="AY24" s="58">
        <f>VLOOKUP($B24,historia!$A$5:$CM$24,+HLOOKUP(AY$2,historia!$A$3:$EC$4,2,FALSE),FALSE)</f>
        <v>2</v>
      </c>
      <c r="AZ24" s="58">
        <f>VLOOKUP($B24,historia!$A$5:$CM$24,+HLOOKUP(AZ$2,historia!$A$3:$EC$4,2,FALSE),FALSE)</f>
        <v>2</v>
      </c>
      <c r="BA24" s="30"/>
      <c r="BB24" s="158" t="s">
        <v>435</v>
      </c>
      <c r="BC24" s="141">
        <v>2</v>
      </c>
      <c r="BD24" t="str">
        <f t="shared" si="19"/>
        <v>Yerba Mate</v>
      </c>
      <c r="BE24">
        <f>+datos!AG1</f>
        <v>33</v>
      </c>
      <c r="BF24" s="2" t="str">
        <f t="shared" si="4"/>
        <v>$/t</v>
      </c>
      <c r="BG24" s="2">
        <f t="shared" si="4"/>
        <v>169360</v>
      </c>
      <c r="BH24" s="2">
        <f t="shared" si="4"/>
        <v>169360</v>
      </c>
      <c r="BI24" s="2">
        <f t="shared" si="4"/>
        <v>70080</v>
      </c>
      <c r="BK24">
        <f>+datos!CY1</f>
        <v>103</v>
      </c>
      <c r="BL24" s="2">
        <f t="shared" si="20"/>
        <v>3578.6702374911306</v>
      </c>
      <c r="BM24" s="2">
        <f t="shared" si="20"/>
        <v>3086.9239606889428</v>
      </c>
      <c r="BN24" s="2">
        <f t="shared" si="20"/>
        <v>1459.1626956421667</v>
      </c>
      <c r="BP24" s="1">
        <f>+datos!ED1</f>
        <v>134</v>
      </c>
      <c r="BQ24" s="1">
        <f t="shared" si="21"/>
        <v>222162</v>
      </c>
      <c r="BR24" s="1">
        <f t="shared" si="21"/>
        <v>209277</v>
      </c>
      <c r="BT24" s="1">
        <f>+datos!FZ1</f>
        <v>182</v>
      </c>
      <c r="BU24" s="1">
        <f t="shared" si="22"/>
        <v>752161.76899999997</v>
      </c>
      <c r="BV24" s="1">
        <f t="shared" si="22"/>
        <v>844200</v>
      </c>
      <c r="BX24" s="1">
        <f>+datos!KD1</f>
        <v>290</v>
      </c>
      <c r="BY24" s="1">
        <f t="shared" si="38"/>
        <v>109.99750806999998</v>
      </c>
      <c r="BZ24" s="1">
        <f t="shared" si="39"/>
        <v>117.73329588000001</v>
      </c>
      <c r="CB24" s="1">
        <f>+datos!LI1</f>
        <v>321</v>
      </c>
      <c r="CC24" s="2">
        <f t="shared" si="23"/>
        <v>14.04576241</v>
      </c>
      <c r="CD24" s="2">
        <f t="shared" si="24"/>
        <v>32.898569270000003</v>
      </c>
      <c r="CF24" s="1">
        <f>+datos!IP1</f>
        <v>250</v>
      </c>
      <c r="CG24" s="1">
        <f t="shared" si="25"/>
        <v>6.139895208369488</v>
      </c>
      <c r="CH24" s="1">
        <f t="shared" si="26"/>
        <v>5.9356067942694777</v>
      </c>
      <c r="CJ24" s="1">
        <f t="shared" si="44"/>
        <v>8.6156523299999996</v>
      </c>
      <c r="CK24" s="1">
        <f t="shared" si="44"/>
        <v>10.17972451</v>
      </c>
      <c r="CL24" s="1">
        <f t="shared" si="44"/>
        <v>11.833514059999999</v>
      </c>
      <c r="CM24" s="1">
        <f t="shared" si="44"/>
        <v>8.6649559600000003</v>
      </c>
      <c r="CN24" s="1">
        <f t="shared" si="44"/>
        <v>8.6995030900000003</v>
      </c>
      <c r="CO24" s="1">
        <f t="shared" si="44"/>
        <v>9.3876240000000006</v>
      </c>
      <c r="CP24" s="1">
        <f t="shared" si="44"/>
        <v>8.6499339499999994</v>
      </c>
      <c r="CQ24" s="1">
        <f t="shared" si="44"/>
        <v>10.5511423</v>
      </c>
      <c r="CR24" s="1">
        <f t="shared" si="44"/>
        <v>12.484662230000001</v>
      </c>
      <c r="CS24" s="1">
        <f t="shared" si="44"/>
        <v>8.9774099899999982</v>
      </c>
      <c r="CT24" s="1">
        <f t="shared" si="44"/>
        <v>3.3752363299999999</v>
      </c>
      <c r="CU24" s="1">
        <f t="shared" si="44"/>
        <v>8.5781493200000014</v>
      </c>
      <c r="CV24" s="1">
        <f t="shared" si="44"/>
        <v>11.086418249999999</v>
      </c>
      <c r="CW24" s="1">
        <f t="shared" si="44"/>
        <v>17.188054299999997</v>
      </c>
      <c r="CX24" s="1">
        <f t="shared" si="44"/>
        <v>10.47783802</v>
      </c>
      <c r="CY24" s="1">
        <f t="shared" si="44"/>
        <v>9.5575243299999997</v>
      </c>
      <c r="CZ24" s="1">
        <f t="shared" si="45"/>
        <v>7.6485664300000016</v>
      </c>
      <c r="DA24" s="1">
        <f t="shared" si="45"/>
        <v>10.989036779999999</v>
      </c>
      <c r="DB24" s="1">
        <f t="shared" si="45"/>
        <v>11.08275927</v>
      </c>
      <c r="DC24" s="1">
        <f t="shared" si="45"/>
        <v>9.5434502200000004</v>
      </c>
      <c r="DD24" s="1">
        <f t="shared" si="45"/>
        <v>3.7984465600000004</v>
      </c>
      <c r="DE24" s="1">
        <f t="shared" si="45"/>
        <v>6.4766682399999995</v>
      </c>
      <c r="DF24" s="1">
        <f t="shared" si="45"/>
        <v>7.8469968100000003</v>
      </c>
      <c r="DG24" s="1">
        <f t="shared" si="45"/>
        <v>12.037536670000001</v>
      </c>
      <c r="DI24" s="1">
        <f t="shared" si="46"/>
        <v>2.4189343299999999</v>
      </c>
      <c r="DJ24" s="1">
        <f t="shared" si="46"/>
        <v>2.31537419</v>
      </c>
      <c r="DK24" s="1">
        <f t="shared" si="46"/>
        <v>1.6581343500000001</v>
      </c>
      <c r="DL24" s="1">
        <f t="shared" si="46"/>
        <v>1.1317222</v>
      </c>
      <c r="DM24" s="1">
        <f t="shared" si="46"/>
        <v>1.25031731</v>
      </c>
      <c r="DN24" s="1">
        <f t="shared" si="46"/>
        <v>1.1220479999999999</v>
      </c>
      <c r="DO24" s="1">
        <f t="shared" si="46"/>
        <v>1.06290057</v>
      </c>
      <c r="DP24" s="1">
        <f t="shared" si="46"/>
        <v>0.94532128999999998</v>
      </c>
      <c r="DQ24" s="1">
        <f t="shared" si="46"/>
        <v>0.74918092999999997</v>
      </c>
      <c r="DR24" s="1">
        <f t="shared" si="46"/>
        <v>0.38311624</v>
      </c>
      <c r="DS24" s="1">
        <f t="shared" si="46"/>
        <v>0.75479300000000005</v>
      </c>
      <c r="DT24" s="1">
        <f t="shared" si="46"/>
        <v>0.25391999999999998</v>
      </c>
      <c r="DU24" s="1">
        <f t="shared" si="46"/>
        <v>0.77264063999999999</v>
      </c>
      <c r="DV24" s="1">
        <f t="shared" si="46"/>
        <v>0.73566756000000011</v>
      </c>
      <c r="DW24" s="1">
        <f t="shared" si="46"/>
        <v>2.5187011699999999</v>
      </c>
      <c r="DX24" s="1">
        <f t="shared" si="46"/>
        <v>5.4787536300000008</v>
      </c>
      <c r="DY24" s="1">
        <f t="shared" si="42"/>
        <v>3.3605493799999997</v>
      </c>
      <c r="DZ24" s="1">
        <f t="shared" si="42"/>
        <v>4.0244654899999999</v>
      </c>
      <c r="EA24" s="1">
        <f t="shared" si="42"/>
        <v>4.0283530399999998</v>
      </c>
      <c r="EB24" s="1">
        <f t="shared" si="42"/>
        <v>2.4006859300000003</v>
      </c>
      <c r="EC24" s="1">
        <f t="shared" si="42"/>
        <v>3.4489870700000003</v>
      </c>
      <c r="ED24" s="1">
        <f t="shared" si="42"/>
        <v>2.69919916</v>
      </c>
      <c r="EE24" s="1">
        <f t="shared" si="42"/>
        <v>1.4466763899999999</v>
      </c>
      <c r="EF24" s="1">
        <f t="shared" si="42"/>
        <v>1.98388981</v>
      </c>
      <c r="EH24" s="14">
        <f t="shared" si="47"/>
        <v>6.139895208369488</v>
      </c>
      <c r="EI24" s="14">
        <f t="shared" si="47"/>
        <v>6.139895208369488</v>
      </c>
      <c r="EJ24" s="1">
        <f t="shared" si="47"/>
        <v>6.139895208369488</v>
      </c>
      <c r="EK24" s="1">
        <f t="shared" si="47"/>
        <v>6.139895208369488</v>
      </c>
      <c r="EL24" s="1">
        <f t="shared" si="47"/>
        <v>6.139895208369488</v>
      </c>
      <c r="EM24" s="1">
        <f t="shared" si="47"/>
        <v>6.139895208369488</v>
      </c>
      <c r="EN24" s="1">
        <f t="shared" si="47"/>
        <v>6.139895208369488</v>
      </c>
      <c r="EO24" s="1">
        <f t="shared" si="47"/>
        <v>6.139895208369488</v>
      </c>
      <c r="EP24" s="1">
        <f t="shared" si="47"/>
        <v>6.139895208369488</v>
      </c>
      <c r="EQ24" s="1">
        <f t="shared" si="47"/>
        <v>6.139895208369488</v>
      </c>
      <c r="ER24" s="1">
        <f t="shared" si="47"/>
        <v>6.139895208369488</v>
      </c>
      <c r="ES24" s="1">
        <f t="shared" si="47"/>
        <v>5.9356067942694777</v>
      </c>
      <c r="ET24" s="1">
        <f t="shared" si="47"/>
        <v>5.9356067942694777</v>
      </c>
      <c r="EU24" s="1">
        <f t="shared" si="47"/>
        <v>5.9356067942694777</v>
      </c>
      <c r="EV24" s="1">
        <f t="shared" si="47"/>
        <v>5.9356067942694777</v>
      </c>
      <c r="EW24" s="1">
        <f t="shared" si="47"/>
        <v>5.9356067942694777</v>
      </c>
      <c r="EX24" s="1">
        <f t="shared" si="43"/>
        <v>5.9356067942694777</v>
      </c>
      <c r="EY24" s="1">
        <f t="shared" si="43"/>
        <v>5.9356067942694777</v>
      </c>
      <c r="EZ24" s="1">
        <f t="shared" si="43"/>
        <v>5.9356067942694777</v>
      </c>
      <c r="FA24" s="1">
        <f t="shared" si="43"/>
        <v>5.9356067942694777</v>
      </c>
      <c r="FB24" s="1">
        <f t="shared" si="43"/>
        <v>5.9356067942694777</v>
      </c>
      <c r="FC24" s="1">
        <f t="shared" si="43"/>
        <v>5.9356067942694777</v>
      </c>
      <c r="FD24" s="1">
        <f t="shared" si="43"/>
        <v>5.9356067942694777</v>
      </c>
      <c r="FE24" s="1">
        <f t="shared" si="43"/>
        <v>6.0901675410995511</v>
      </c>
      <c r="FG24" s="162">
        <f t="shared" si="40"/>
        <v>-3.5883859864019207E-2</v>
      </c>
    </row>
    <row r="25" spans="1:163">
      <c r="I25" s="12">
        <f>+AVERAGE(I6:I24)</f>
        <v>1.8229776393477226</v>
      </c>
      <c r="J25" s="37">
        <f t="shared" si="11"/>
        <v>0.21382096372463311</v>
      </c>
      <c r="K25" s="12">
        <f>+AVERAGE(K6:K24)</f>
        <v>1.2649149716772485</v>
      </c>
    </row>
    <row r="26" spans="1:163">
      <c r="I26" s="177">
        <f>+SUBTOTAL(101,I6:I21)</f>
        <v>1.908523163658393</v>
      </c>
      <c r="K26" s="177">
        <f>+SUBTOTAL(101,K6:K21)</f>
        <v>1.2415484331718061</v>
      </c>
      <c r="V26" t="s">
        <v>167</v>
      </c>
      <c r="X26" s="162"/>
      <c r="BC26" s="141" t="s">
        <v>273</v>
      </c>
      <c r="BQ26" s="1">
        <f>+SUM(BQ6:BQ24)</f>
        <v>115373812</v>
      </c>
      <c r="BR26" s="1">
        <f>+SUM(BR6:BR24)</f>
        <v>114492901.18333334</v>
      </c>
      <c r="BU26" s="1">
        <f>+SUM(BU6:BU24)</f>
        <v>141871179.77533197</v>
      </c>
      <c r="BV26" s="1">
        <f>+SUM(BV6:BV24)</f>
        <v>159068560.9297426</v>
      </c>
      <c r="BY26" s="1">
        <f>+SUM(BY6:BY24)</f>
        <v>47841.67224403999</v>
      </c>
      <c r="BZ26" s="1">
        <f>+SUM(BZ6:BZ24)</f>
        <v>71606.833091369976</v>
      </c>
      <c r="FG26" s="167">
        <f>+COUNTIF(FG6:FG24,"&gt;0")</f>
        <v>11</v>
      </c>
    </row>
    <row r="27" spans="1:163" ht="15.6">
      <c r="B27">
        <f>+COUNTIF($C$6:$C$24,"&lt;0")</f>
        <v>12</v>
      </c>
      <c r="C27" s="156">
        <v>-1</v>
      </c>
      <c r="I27" s="167">
        <f>+COUNTIF($I$6:$I$24,"&lt;1,69")</f>
        <v>11</v>
      </c>
      <c r="J27" s="29">
        <v>-1</v>
      </c>
      <c r="K27">
        <f>+COUNTIF($L$6:$L$24,"&lt;0")</f>
        <v>8</v>
      </c>
      <c r="L27" s="29">
        <v>-1</v>
      </c>
      <c r="O27">
        <f>+COUNTIF($P$6:$P$24,"&lt;0")</f>
        <v>4</v>
      </c>
      <c r="P27" s="29">
        <v>-1</v>
      </c>
      <c r="Q27">
        <f>+COUNTIF($R$6:$R$24,"&lt;0")</f>
        <v>10</v>
      </c>
      <c r="R27" s="29">
        <v>-1</v>
      </c>
      <c r="T27">
        <f>+COUNTIF($U$6:$U$24,"&lt;0")</f>
        <v>11</v>
      </c>
      <c r="U27" s="29">
        <v>-1</v>
      </c>
      <c r="BY27" s="10">
        <f>+BY26/BZ26-1</f>
        <v>-0.3318839811977965</v>
      </c>
    </row>
    <row r="28" spans="1:163" ht="15.6">
      <c r="B28">
        <f>+COUNTIF($C$6:$C$24,C28)</f>
        <v>5</v>
      </c>
      <c r="C28" s="156">
        <v>0</v>
      </c>
      <c r="I28" s="167">
        <f>+COUNTIF($I$6:$I$24,"=1,69")</f>
        <v>0</v>
      </c>
      <c r="J28" s="29">
        <v>0</v>
      </c>
      <c r="L28" s="29">
        <v>0</v>
      </c>
      <c r="O28">
        <f>+COUNTIF($P$6:$P$24,"=0")</f>
        <v>4</v>
      </c>
      <c r="P28" s="29">
        <v>0</v>
      </c>
      <c r="Q28">
        <f>+COUNTIF($R$6:$R$24,"=0")</f>
        <v>2</v>
      </c>
      <c r="R28" s="29">
        <v>0</v>
      </c>
      <c r="T28">
        <f>+COUNTIF($U$6:$U$24,"=0")</f>
        <v>0</v>
      </c>
      <c r="U28" s="29">
        <v>0</v>
      </c>
    </row>
    <row r="29" spans="1:163" ht="15.6">
      <c r="B29">
        <f>+COUNTIF($C$6:$C$24,"&gt;0")</f>
        <v>2</v>
      </c>
      <c r="C29" s="156">
        <v>1</v>
      </c>
      <c r="I29" s="167">
        <f>+COUNTIF($I$6:$I$24,"&gt;1,69")</f>
        <v>7</v>
      </c>
      <c r="J29" s="29">
        <v>1</v>
      </c>
      <c r="K29">
        <f>+COUNTIF($L$6:$L$24,"&gt;0")</f>
        <v>8</v>
      </c>
      <c r="L29" s="29">
        <v>1</v>
      </c>
      <c r="O29">
        <f>+COUNTIF($P$6:$P$24,"&gt;0")</f>
        <v>10</v>
      </c>
      <c r="P29" s="29">
        <v>1</v>
      </c>
      <c r="Q29">
        <f>+COUNTIF($R$6:$R$24,"&gt;0")</f>
        <v>7</v>
      </c>
      <c r="R29" s="29">
        <v>1</v>
      </c>
      <c r="T29">
        <f>+COUNTIF($U$6:$U$24,"&gt;0")</f>
        <v>7</v>
      </c>
      <c r="U29" s="29">
        <v>1</v>
      </c>
      <c r="X29" s="14"/>
    </row>
    <row r="30" spans="1:163">
      <c r="K30" s="12"/>
    </row>
    <row r="31" spans="1:163">
      <c r="C31" s="157"/>
      <c r="Y31" s="163"/>
    </row>
    <row r="32" spans="1:163">
      <c r="C32" s="157"/>
    </row>
    <row r="33" spans="3:3">
      <c r="C33" s="157"/>
    </row>
    <row r="34" spans="3:3">
      <c r="C34" s="157"/>
    </row>
    <row r="35" spans="3:3">
      <c r="C35" s="157"/>
    </row>
    <row r="36" spans="3:3">
      <c r="C36" s="157"/>
    </row>
    <row r="37" spans="3:3">
      <c r="C37" s="157"/>
    </row>
    <row r="38" spans="3:3">
      <c r="C38" s="157"/>
    </row>
    <row r="39" spans="3:3">
      <c r="C39" s="157"/>
    </row>
    <row r="44" spans="3:3">
      <c r="C44" s="157"/>
    </row>
    <row r="45" spans="3:3">
      <c r="C45" s="157"/>
    </row>
    <row r="46" spans="3:3">
      <c r="C46" s="157"/>
    </row>
  </sheetData>
  <conditionalFormatting sqref="C6:C24">
    <cfRule type="iconSet" priority="46">
      <iconSet>
        <cfvo type="percent" val="0"/>
        <cfvo type="num" val="0"/>
        <cfvo type="num" val="0" gte="0"/>
      </iconSet>
    </cfRule>
  </conditionalFormatting>
  <conditionalFormatting sqref="C27:C29">
    <cfRule type="iconSet" priority="40">
      <iconSet>
        <cfvo type="percent" val="0"/>
        <cfvo type="num" val="0"/>
        <cfvo type="num" val="0" gte="0"/>
      </iconSet>
    </cfRule>
  </conditionalFormatting>
  <conditionalFormatting sqref="D6:D24">
    <cfRule type="iconSet" priority="45">
      <iconSet>
        <cfvo type="percent" val="0"/>
        <cfvo type="num" val="0"/>
        <cfvo type="num" val="0" gte="0"/>
      </iconSet>
    </cfRule>
  </conditionalFormatting>
  <conditionalFormatting sqref="F6:F16 F19:F24">
    <cfRule type="iconSet" priority="41">
      <iconSet>
        <cfvo type="percent" val="0"/>
        <cfvo type="num" val="0"/>
        <cfvo type="num" val="0" gte="0"/>
      </iconSet>
    </cfRule>
  </conditionalFormatting>
  <conditionalFormatting sqref="F17:F18">
    <cfRule type="iconSet" priority="11">
      <iconSet>
        <cfvo type="percent" val="0"/>
        <cfvo type="num" val="0"/>
        <cfvo type="num" val="0" gte="0"/>
      </iconSet>
    </cfRule>
  </conditionalFormatting>
  <conditionalFormatting sqref="H6:H7 H9 H11:H24">
    <cfRule type="iconSet" priority="38">
      <iconSet>
        <cfvo type="percent" val="0"/>
        <cfvo type="num" val="0"/>
        <cfvo type="num" val="0" gte="0"/>
      </iconSet>
    </cfRule>
  </conditionalFormatting>
  <conditionalFormatting sqref="H8">
    <cfRule type="iconSet" priority="7">
      <iconSet>
        <cfvo type="percent" val="0"/>
        <cfvo type="num" val="0"/>
        <cfvo type="num" val="0" gte="0"/>
      </iconSet>
    </cfRule>
  </conditionalFormatting>
  <conditionalFormatting sqref="H10">
    <cfRule type="iconSet" priority="36">
      <iconSet>
        <cfvo type="percent" val="0"/>
        <cfvo type="num" val="0"/>
        <cfvo type="num" val="0" gte="0"/>
      </iconSet>
    </cfRule>
  </conditionalFormatting>
  <conditionalFormatting sqref="J6:J9 J11:J16 J19:J24">
    <cfRule type="iconSet" priority="39">
      <iconSet>
        <cfvo type="percent" val="0"/>
        <cfvo type="num" val="0"/>
        <cfvo type="num" val="0" gte="0"/>
      </iconSet>
    </cfRule>
  </conditionalFormatting>
  <conditionalFormatting sqref="J10">
    <cfRule type="iconSet" priority="37">
      <iconSet>
        <cfvo type="percent" val="0"/>
        <cfvo type="num" val="0"/>
        <cfvo type="num" val="0" gte="0"/>
      </iconSet>
    </cfRule>
  </conditionalFormatting>
  <conditionalFormatting sqref="J17:J18">
    <cfRule type="iconSet" priority="10">
      <iconSet>
        <cfvo type="percent" val="0"/>
        <cfvo type="num" val="0"/>
        <cfvo type="num" val="0" gte="0"/>
      </iconSet>
    </cfRule>
  </conditionalFormatting>
  <conditionalFormatting sqref="J27:J29">
    <cfRule type="iconSet" priority="2">
      <iconSet>
        <cfvo type="percent" val="0"/>
        <cfvo type="num" val="0"/>
        <cfvo type="num" val="0" gte="0"/>
      </iconSet>
    </cfRule>
  </conditionalFormatting>
  <conditionalFormatting sqref="L6:L9 L11:L24">
    <cfRule type="iconSet" priority="47">
      <iconSet>
        <cfvo type="percent" val="0"/>
        <cfvo type="num" val="0"/>
        <cfvo type="num" val="0" gte="0"/>
      </iconSet>
    </cfRule>
  </conditionalFormatting>
  <conditionalFormatting sqref="L10">
    <cfRule type="iconSet" priority="48">
      <iconSet>
        <cfvo type="percent" val="0"/>
        <cfvo type="num" val="0"/>
        <cfvo type="num" val="0" gte="0"/>
      </iconSet>
    </cfRule>
  </conditionalFormatting>
  <conditionalFormatting sqref="L27:L29">
    <cfRule type="iconSet" priority="1">
      <iconSet>
        <cfvo type="percent" val="0"/>
        <cfvo type="num" val="0"/>
        <cfvo type="num" val="0" gte="0"/>
      </iconSet>
    </cfRule>
  </conditionalFormatting>
  <conditionalFormatting sqref="M6:M24">
    <cfRule type="iconSet" priority="42">
      <iconSet>
        <cfvo type="percent" val="0"/>
        <cfvo type="num" val="0"/>
        <cfvo type="num" val="0" gte="0"/>
      </iconSet>
    </cfRule>
  </conditionalFormatting>
  <conditionalFormatting sqref="N6:N24">
    <cfRule type="iconSet" priority="35">
      <iconSet>
        <cfvo type="percent" val="0"/>
        <cfvo type="num" val="0"/>
        <cfvo type="num" val="0" gte="0"/>
      </iconSet>
    </cfRule>
  </conditionalFormatting>
  <conditionalFormatting sqref="P6:P9 P11:P24">
    <cfRule type="iconSet" priority="43">
      <iconSet>
        <cfvo type="percent" val="0"/>
        <cfvo type="num" val="0"/>
        <cfvo type="num" val="0" gte="0"/>
      </iconSet>
    </cfRule>
  </conditionalFormatting>
  <conditionalFormatting sqref="P10">
    <cfRule type="iconSet" priority="14">
      <iconSet>
        <cfvo type="percent" val="0"/>
        <cfvo type="num" val="0"/>
        <cfvo type="num" val="0" gte="0"/>
      </iconSet>
    </cfRule>
  </conditionalFormatting>
  <conditionalFormatting sqref="P27:P29">
    <cfRule type="iconSet" priority="27">
      <iconSet>
        <cfvo type="percent" val="0"/>
        <cfvo type="num" val="0"/>
        <cfvo type="num" val="0" gte="0"/>
      </iconSet>
    </cfRule>
  </conditionalFormatting>
  <conditionalFormatting sqref="R6:R24">
    <cfRule type="iconSet" priority="44">
      <iconSet>
        <cfvo type="percent" val="0"/>
        <cfvo type="num" val="0"/>
        <cfvo type="num" val="0" gte="0"/>
      </iconSet>
    </cfRule>
  </conditionalFormatting>
  <conditionalFormatting sqref="R27:R29">
    <cfRule type="iconSet" priority="26">
      <iconSet>
        <cfvo type="percent" val="0"/>
        <cfvo type="num" val="0"/>
        <cfvo type="num" val="0" gte="0"/>
      </iconSet>
    </cfRule>
  </conditionalFormatting>
  <conditionalFormatting sqref="S6:S24">
    <cfRule type="iconSet" priority="30">
      <iconSet>
        <cfvo type="percent" val="0"/>
        <cfvo type="num" val="0"/>
        <cfvo type="num" val="0" gte="0"/>
      </iconSet>
    </cfRule>
  </conditionalFormatting>
  <conditionalFormatting sqref="T6:T24">
    <cfRule type="iconSet" priority="34">
      <iconSet>
        <cfvo type="percent" val="0"/>
        <cfvo type="num" val="0"/>
        <cfvo type="num" val="0" gte="0"/>
      </iconSet>
    </cfRule>
  </conditionalFormatting>
  <conditionalFormatting sqref="U27:U29">
    <cfRule type="iconSet" priority="3">
      <iconSet>
        <cfvo type="percent" val="0"/>
        <cfvo type="num" val="0"/>
        <cfvo type="num" val="0" gte="0"/>
      </iconSet>
    </cfRule>
  </conditionalFormatting>
  <conditionalFormatting sqref="V6:V10 V16:V24 V12:V14">
    <cfRule type="iconSet" priority="33">
      <iconSet>
        <cfvo type="percent" val="0"/>
        <cfvo type="num" val="0"/>
        <cfvo type="num" val="0" gte="0"/>
      </iconSet>
    </cfRule>
  </conditionalFormatting>
  <conditionalFormatting sqref="V11">
    <cfRule type="iconSet" priority="13">
      <iconSet>
        <cfvo type="percent" val="0"/>
        <cfvo type="num" val="0"/>
        <cfvo type="num" val="0" gte="0"/>
      </iconSet>
    </cfRule>
  </conditionalFormatting>
  <conditionalFormatting sqref="V15">
    <cfRule type="iconSet" priority="29">
      <iconSet>
        <cfvo type="percent" val="0"/>
        <cfvo type="num" val="0"/>
        <cfvo type="num" val="0" gte="0"/>
      </iconSet>
    </cfRule>
  </conditionalFormatting>
  <conditionalFormatting sqref="X6:X10 X12:X23">
    <cfRule type="iconSet" priority="32">
      <iconSet reverse="1">
        <cfvo type="percent" val="0"/>
        <cfvo type="num" val="0"/>
        <cfvo type="num" val="0" gte="0"/>
      </iconSet>
    </cfRule>
  </conditionalFormatting>
  <conditionalFormatting sqref="X11">
    <cfRule type="iconSet" priority="12">
      <iconSet reverse="1">
        <cfvo type="percent" val="0"/>
        <cfvo type="num" val="0"/>
        <cfvo type="num" val="0" gte="0"/>
      </iconSet>
    </cfRule>
  </conditionalFormatting>
  <conditionalFormatting sqref="X24">
    <cfRule type="iconSet" priority="28">
      <iconSet reverse="1">
        <cfvo type="percent" val="0"/>
        <cfvo type="num" val="0"/>
        <cfvo type="num" val="0" gte="0"/>
      </iconSet>
    </cfRule>
  </conditionalFormatting>
  <conditionalFormatting sqref="Z6">
    <cfRule type="iconSet" priority="23">
      <iconSet>
        <cfvo type="percent" val="0"/>
        <cfvo type="num" val="0"/>
        <cfvo type="num" val="0" gte="0"/>
      </iconSet>
    </cfRule>
  </conditionalFormatting>
  <conditionalFormatting sqref="Z7">
    <cfRule type="iconSet" priority="22">
      <iconSet>
        <cfvo type="percent" val="0"/>
        <cfvo type="num" val="0"/>
        <cfvo type="num" val="0" gte="0"/>
      </iconSet>
    </cfRule>
  </conditionalFormatting>
  <conditionalFormatting sqref="Z8 Z12 Z14:Z17 Z21 Z23:Z24">
    <cfRule type="iconSet" priority="31">
      <iconSet>
        <cfvo type="percent" val="0"/>
        <cfvo type="num" val="0"/>
        <cfvo type="num" val="0" gte="0"/>
      </iconSet>
    </cfRule>
  </conditionalFormatting>
  <conditionalFormatting sqref="Z9">
    <cfRule type="iconSet" priority="25">
      <iconSet>
        <cfvo type="percent" val="0"/>
        <cfvo type="num" val="0"/>
        <cfvo type="num" val="0" gte="0"/>
      </iconSet>
    </cfRule>
  </conditionalFormatting>
  <conditionalFormatting sqref="Z10">
    <cfRule type="iconSet" priority="21">
      <iconSet>
        <cfvo type="percent" val="0"/>
        <cfvo type="num" val="0"/>
        <cfvo type="num" val="0" gte="0"/>
      </iconSet>
    </cfRule>
  </conditionalFormatting>
  <conditionalFormatting sqref="Z11">
    <cfRule type="iconSet" priority="20">
      <iconSet>
        <cfvo type="percent" val="0"/>
        <cfvo type="num" val="0"/>
        <cfvo type="num" val="0" gte="0"/>
      </iconSet>
    </cfRule>
  </conditionalFormatting>
  <conditionalFormatting sqref="Z13">
    <cfRule type="iconSet" priority="19">
      <iconSet>
        <cfvo type="percent" val="0"/>
        <cfvo type="num" val="0"/>
        <cfvo type="num" val="0" gte="0"/>
      </iconSet>
    </cfRule>
  </conditionalFormatting>
  <conditionalFormatting sqref="Z18">
    <cfRule type="iconSet" priority="18">
      <iconSet>
        <cfvo type="percent" val="0"/>
        <cfvo type="num" val="0"/>
        <cfvo type="num" val="0" gte="0"/>
      </iconSet>
    </cfRule>
  </conditionalFormatting>
  <conditionalFormatting sqref="Z19">
    <cfRule type="iconSet" priority="17">
      <iconSet>
        <cfvo type="percent" val="0"/>
        <cfvo type="num" val="0"/>
        <cfvo type="num" val="0" gte="0"/>
      </iconSet>
    </cfRule>
  </conditionalFormatting>
  <conditionalFormatting sqref="Z20">
    <cfRule type="iconSet" priority="16">
      <iconSet>
        <cfvo type="percent" val="0"/>
        <cfvo type="num" val="0"/>
        <cfvo type="num" val="0" gte="0"/>
      </iconSet>
    </cfRule>
  </conditionalFormatting>
  <conditionalFormatting sqref="Z22">
    <cfRule type="iconSet" priority="15">
      <iconSet>
        <cfvo type="percent" val="0"/>
        <cfvo type="num" val="0"/>
        <cfvo type="num" val="0" gte="0"/>
      </iconSet>
    </cfRule>
  </conditionalFormatting>
  <conditionalFormatting sqref="AB6:AM24">
    <cfRule type="expression" dxfId="5" priority="49">
      <formula>AO6=3</formula>
    </cfRule>
    <cfRule type="expression" dxfId="4" priority="50">
      <formula>AO6=5</formula>
    </cfRule>
    <cfRule type="expression" dxfId="3" priority="51">
      <formula>AO6=4</formula>
    </cfRule>
    <cfRule type="expression" dxfId="2" priority="52">
      <formula>AO6=2</formula>
    </cfRule>
    <cfRule type="expression" dxfId="1" priority="53">
      <formula>AO6=1</formula>
    </cfRule>
    <cfRule type="expression" dxfId="0" priority="54">
      <formula>AO6=0</formula>
    </cfRule>
  </conditionalFormatting>
  <conditionalFormatting sqref="FG6:FG24 FG26">
    <cfRule type="colorScale" priority="24">
      <colorScale>
        <cfvo type="min"/>
        <cfvo type="percentile" val="50"/>
        <cfvo type="max"/>
        <color rgb="FFF8696B"/>
        <color rgb="FFFFEB84"/>
        <color rgb="FF63BE7B"/>
      </colorScale>
    </cfRule>
  </conditionalFormatting>
  <dataValidations disablePrompts="1" count="1">
    <dataValidation type="list" allowBlank="1" showInputMessage="1" showErrorMessage="1" sqref="B1" xr:uid="{00000000-0002-0000-0F00-000000000000}">
      <formula1>lis_dat</formula1>
    </dataValidation>
  </dataValidations>
  <pageMargins left="0.25" right="0.25" top="0.75" bottom="0.75" header="0.3" footer="0.3"/>
  <pageSetup paperSize="9" scale="16"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B5:AF143"/>
  <sheetViews>
    <sheetView workbookViewId="0">
      <selection activeCell="C127" sqref="C127"/>
    </sheetView>
  </sheetViews>
  <sheetFormatPr baseColWidth="10" defaultRowHeight="13.8"/>
  <cols>
    <col min="2" max="3" width="11" customWidth="1"/>
    <col min="4" max="4" width="16.33203125" customWidth="1"/>
    <col min="5" max="6" width="11" customWidth="1"/>
    <col min="7" max="7" width="15.88671875" customWidth="1"/>
  </cols>
  <sheetData>
    <row r="5" spans="2:32">
      <c r="B5" t="s">
        <v>14</v>
      </c>
      <c r="J5" t="s">
        <v>96</v>
      </c>
      <c r="L5" t="s">
        <v>1</v>
      </c>
      <c r="M5" t="s">
        <v>3</v>
      </c>
      <c r="N5" t="s">
        <v>5</v>
      </c>
      <c r="O5" t="s">
        <v>347</v>
      </c>
      <c r="Q5" t="s">
        <v>1</v>
      </c>
      <c r="R5" t="s">
        <v>3</v>
      </c>
      <c r="S5" t="s">
        <v>353</v>
      </c>
      <c r="T5" t="s">
        <v>347</v>
      </c>
      <c r="U5" t="s">
        <v>3</v>
      </c>
      <c r="V5" t="s">
        <v>353</v>
      </c>
      <c r="X5" t="s">
        <v>1</v>
      </c>
      <c r="Y5" t="s">
        <v>94</v>
      </c>
      <c r="Z5" t="s">
        <v>78</v>
      </c>
      <c r="AA5" t="str">
        <f>+Y5&amp;"|"&amp;Z5</f>
        <v>Producto|Tipo</v>
      </c>
      <c r="AD5" t="s">
        <v>1</v>
      </c>
      <c r="AE5" t="s">
        <v>78</v>
      </c>
      <c r="AF5" t="str">
        <f>+AD5&amp;"|"&amp;AE5</f>
        <v>Actividad|Tipo</v>
      </c>
    </row>
    <row r="6" spans="2:32">
      <c r="B6" t="s">
        <v>27</v>
      </c>
      <c r="C6" t="s">
        <v>91</v>
      </c>
      <c r="D6" t="s">
        <v>27</v>
      </c>
      <c r="E6" t="s">
        <v>17</v>
      </c>
      <c r="F6" t="s">
        <v>18</v>
      </c>
      <c r="G6" t="s">
        <v>359</v>
      </c>
    </row>
    <row r="7" spans="2:32">
      <c r="B7">
        <f t="shared" ref="B7:G7" si="0">+COLUMN()-COLUMN($B$7)+1</f>
        <v>1</v>
      </c>
      <c r="C7">
        <f t="shared" si="0"/>
        <v>2</v>
      </c>
      <c r="D7">
        <f t="shared" si="0"/>
        <v>3</v>
      </c>
      <c r="E7">
        <f t="shared" si="0"/>
        <v>4</v>
      </c>
      <c r="F7">
        <f t="shared" si="0"/>
        <v>5</v>
      </c>
      <c r="G7">
        <f t="shared" si="0"/>
        <v>6</v>
      </c>
      <c r="L7">
        <v>1</v>
      </c>
      <c r="M7">
        <v>2</v>
      </c>
      <c r="N7">
        <v>3</v>
      </c>
      <c r="O7">
        <v>4</v>
      </c>
      <c r="Q7">
        <v>1</v>
      </c>
      <c r="R7">
        <v>2</v>
      </c>
      <c r="S7">
        <v>3</v>
      </c>
      <c r="T7">
        <v>4</v>
      </c>
      <c r="U7">
        <v>5</v>
      </c>
      <c r="V7">
        <v>6</v>
      </c>
      <c r="X7">
        <f t="shared" ref="X7:AF7" si="1">+COLUMN()-COLUMN($X$7)+1</f>
        <v>1</v>
      </c>
      <c r="Y7">
        <f t="shared" si="1"/>
        <v>2</v>
      </c>
      <c r="Z7">
        <f t="shared" si="1"/>
        <v>3</v>
      </c>
      <c r="AA7">
        <f t="shared" si="1"/>
        <v>4</v>
      </c>
      <c r="AB7">
        <f t="shared" si="1"/>
        <v>5</v>
      </c>
      <c r="AC7">
        <f t="shared" si="1"/>
        <v>6</v>
      </c>
      <c r="AD7">
        <f t="shared" si="1"/>
        <v>7</v>
      </c>
      <c r="AE7">
        <f t="shared" si="1"/>
        <v>8</v>
      </c>
      <c r="AF7">
        <f t="shared" si="1"/>
        <v>9</v>
      </c>
    </row>
    <row r="8" spans="2:32">
      <c r="B8" t="s">
        <v>92</v>
      </c>
      <c r="J8" t="s">
        <v>97</v>
      </c>
      <c r="L8" t="s">
        <v>93</v>
      </c>
      <c r="Q8" t="s">
        <v>352</v>
      </c>
    </row>
    <row r="9" spans="2:32">
      <c r="B9" t="s">
        <v>102</v>
      </c>
      <c r="C9" t="s">
        <v>103</v>
      </c>
      <c r="L9" t="s">
        <v>98</v>
      </c>
      <c r="Q9" t="s">
        <v>351</v>
      </c>
    </row>
    <row r="11" spans="2:32">
      <c r="B11" s="8" t="s">
        <v>403</v>
      </c>
      <c r="C11" t="s">
        <v>404</v>
      </c>
      <c r="D11" s="3" t="s">
        <v>405</v>
      </c>
      <c r="E11" t="s">
        <v>406</v>
      </c>
      <c r="F11" t="s">
        <v>407</v>
      </c>
      <c r="G11" t="s">
        <v>408</v>
      </c>
      <c r="J11" s="4" t="s">
        <v>3</v>
      </c>
      <c r="L11" s="4" t="s">
        <v>28</v>
      </c>
      <c r="M11">
        <f>+datos!P1</f>
        <v>16</v>
      </c>
      <c r="N11">
        <f>+datos!BY1</f>
        <v>77</v>
      </c>
      <c r="Q11" s="4" t="str">
        <f>+datos!Q4</f>
        <v>Arroz</v>
      </c>
      <c r="R11">
        <f>+datos!R1</f>
        <v>18</v>
      </c>
      <c r="S11">
        <v>1000</v>
      </c>
      <c r="T11" s="1" t="str">
        <f>+datos!MA5</f>
        <v>Arroz blanco simple</v>
      </c>
      <c r="U11">
        <f>+datos!LZ1</f>
        <v>338</v>
      </c>
      <c r="V11">
        <v>1</v>
      </c>
      <c r="X11" s="4" t="s">
        <v>28</v>
      </c>
      <c r="Y11" t="s">
        <v>28</v>
      </c>
      <c r="Z11" t="s">
        <v>262</v>
      </c>
      <c r="AA11" t="str">
        <f>+Y11&amp;"|"&amp;Z11</f>
        <v>Algodón|Promedio</v>
      </c>
      <c r="AD11" t="s">
        <v>28</v>
      </c>
      <c r="AE11" t="s">
        <v>87</v>
      </c>
      <c r="AF11" t="str">
        <f>+AD11&amp;"|"&amp;AE11</f>
        <v>Algodón|Chaco</v>
      </c>
    </row>
    <row r="12" spans="2:32">
      <c r="B12" s="8">
        <f t="shared" ref="B12:B71" si="2">(E12&amp;"-"&amp;F12)+0</f>
        <v>42370</v>
      </c>
      <c r="C12">
        <v>1</v>
      </c>
      <c r="D12" s="3">
        <f>(E12&amp;"-"&amp;F12)+0</f>
        <v>42370</v>
      </c>
      <c r="E12">
        <v>1</v>
      </c>
      <c r="F12">
        <v>2016</v>
      </c>
      <c r="J12" s="4" t="s">
        <v>5</v>
      </c>
      <c r="L12" s="4" t="s">
        <v>13</v>
      </c>
      <c r="M12">
        <f>+datos!R1</f>
        <v>18</v>
      </c>
      <c r="N12">
        <f>+datos!BZ1</f>
        <v>78</v>
      </c>
      <c r="Q12" s="4" t="str">
        <f>+datos!BN4</f>
        <v>Leche</v>
      </c>
      <c r="R12">
        <f>+datos!BN1</f>
        <v>66</v>
      </c>
      <c r="S12">
        <v>1</v>
      </c>
      <c r="T12" t="str">
        <f>+datos!NC5</f>
        <v>Leche fresca entera en sachet</v>
      </c>
      <c r="U12">
        <f>+datos!MM1</f>
        <v>351</v>
      </c>
      <c r="V12">
        <v>1</v>
      </c>
      <c r="X12" s="4" t="s">
        <v>13</v>
      </c>
      <c r="Y12" t="s">
        <v>13</v>
      </c>
      <c r="Z12" t="s">
        <v>34</v>
      </c>
      <c r="AA12" t="str">
        <f t="shared" ref="AA12:AA19" si="3">+Y12&amp;"|"&amp;Z12</f>
        <v>Arroz|Largo Fino</v>
      </c>
      <c r="AD12" t="s">
        <v>13</v>
      </c>
      <c r="AE12" t="s">
        <v>81</v>
      </c>
      <c r="AF12" t="str">
        <f t="shared" ref="AF12:AF19" si="4">+AD12&amp;"|"&amp;AE12</f>
        <v>Arroz|E. Ríos P.Gasoil</v>
      </c>
    </row>
    <row r="13" spans="2:32">
      <c r="B13" s="8">
        <f t="shared" si="2"/>
        <v>42401</v>
      </c>
      <c r="C13">
        <v>2</v>
      </c>
      <c r="D13" s="3">
        <f t="shared" ref="D13:D71" si="5">(E13&amp;"-"&amp;F13)+0</f>
        <v>42401</v>
      </c>
      <c r="E13">
        <v>2</v>
      </c>
      <c r="F13">
        <v>2016</v>
      </c>
      <c r="J13" s="4" t="s">
        <v>15</v>
      </c>
      <c r="L13" s="4" t="s">
        <v>215</v>
      </c>
      <c r="M13">
        <f>+datos!BQ1</f>
        <v>69</v>
      </c>
      <c r="N13">
        <f>+datos!DG1</f>
        <v>111</v>
      </c>
      <c r="Q13" s="4" t="str">
        <f>+datos!X4</f>
        <v>Trigo</v>
      </c>
      <c r="R13">
        <f>+datos!AD1</f>
        <v>30</v>
      </c>
      <c r="S13">
        <v>760</v>
      </c>
      <c r="T13" t="str">
        <f>+datos!MI5</f>
        <v>Harina de trigo</v>
      </c>
      <c r="U13">
        <f>+datos!MG1</f>
        <v>345</v>
      </c>
      <c r="V13">
        <v>1</v>
      </c>
      <c r="X13" s="4" t="s">
        <v>23</v>
      </c>
      <c r="Y13" t="s">
        <v>23</v>
      </c>
      <c r="Z13" t="s">
        <v>35</v>
      </c>
      <c r="AA13" t="str">
        <f t="shared" si="3"/>
        <v>Cebada|Disp. QQ</v>
      </c>
      <c r="AD13" t="s">
        <v>23</v>
      </c>
      <c r="AE13" t="s">
        <v>82</v>
      </c>
      <c r="AF13" t="str">
        <f t="shared" si="4"/>
        <v>Cebada|Bs As SO</v>
      </c>
    </row>
    <row r="14" spans="2:32">
      <c r="B14" s="8">
        <f t="shared" si="2"/>
        <v>42430</v>
      </c>
      <c r="C14">
        <v>3</v>
      </c>
      <c r="D14" s="3">
        <f t="shared" si="5"/>
        <v>42430</v>
      </c>
      <c r="E14">
        <v>3</v>
      </c>
      <c r="F14">
        <v>2016</v>
      </c>
      <c r="J14" s="4" t="s">
        <v>2</v>
      </c>
      <c r="L14" s="4" t="s">
        <v>77</v>
      </c>
      <c r="M14">
        <f>+datos!BM1</f>
        <v>65</v>
      </c>
      <c r="N14">
        <f>+datos!DB1</f>
        <v>106</v>
      </c>
      <c r="Q14" s="4" t="str">
        <f>+datos!AK4</f>
        <v>Vino Blanco</v>
      </c>
      <c r="R14">
        <f>+datos!AK1</f>
        <v>37</v>
      </c>
      <c r="S14">
        <v>1</v>
      </c>
      <c r="T14" t="str">
        <f>+datos!MP5</f>
        <v>Vino Común</v>
      </c>
      <c r="U14">
        <f>+datos!MT1</f>
        <v>358</v>
      </c>
      <c r="V14">
        <v>1</v>
      </c>
      <c r="X14" s="4" t="s">
        <v>24</v>
      </c>
      <c r="Y14" t="s">
        <v>24</v>
      </c>
      <c r="Z14" t="s">
        <v>36</v>
      </c>
      <c r="AA14" t="str">
        <f t="shared" si="3"/>
        <v>Girasol|Disp. ROS</v>
      </c>
      <c r="AD14" t="s">
        <v>24</v>
      </c>
      <c r="AE14" t="s">
        <v>86</v>
      </c>
      <c r="AF14" t="str">
        <f t="shared" si="4"/>
        <v>Girasol|Bs As SE</v>
      </c>
    </row>
    <row r="15" spans="2:32">
      <c r="B15" s="8">
        <f t="shared" si="2"/>
        <v>42461</v>
      </c>
      <c r="C15">
        <v>4</v>
      </c>
      <c r="D15" s="3">
        <f t="shared" si="5"/>
        <v>42461</v>
      </c>
      <c r="E15">
        <v>4</v>
      </c>
      <c r="F15">
        <v>2016</v>
      </c>
      <c r="J15" s="4" t="s">
        <v>7</v>
      </c>
      <c r="L15" s="4" t="s">
        <v>221</v>
      </c>
      <c r="M15">
        <f>+datos!AU1</f>
        <v>47</v>
      </c>
      <c r="N15">
        <f>+datos!CX1</f>
        <v>102</v>
      </c>
      <c r="Q15" s="4" t="str">
        <f>+datos!AN4</f>
        <v xml:space="preserve">Manzana </v>
      </c>
      <c r="R15">
        <f>+datos!AN1</f>
        <v>40</v>
      </c>
      <c r="S15">
        <v>1</v>
      </c>
      <c r="T15" t="str">
        <f>+datos!MQ5</f>
        <v>Manzana Red Delicius</v>
      </c>
      <c r="U15">
        <f>+datos!MR1</f>
        <v>356</v>
      </c>
      <c r="V15">
        <v>1</v>
      </c>
      <c r="X15" s="4" t="s">
        <v>0</v>
      </c>
      <c r="Y15" t="s">
        <v>0</v>
      </c>
      <c r="Z15" t="s">
        <v>36</v>
      </c>
      <c r="AA15" t="str">
        <f t="shared" si="3"/>
        <v>Maíz|Disp. ROS</v>
      </c>
      <c r="AD15" t="s">
        <v>0</v>
      </c>
      <c r="AE15" t="s">
        <v>88</v>
      </c>
      <c r="AF15" t="str">
        <f t="shared" si="4"/>
        <v>Maíz|Bs As N</v>
      </c>
    </row>
    <row r="16" spans="2:32">
      <c r="B16" s="8">
        <f t="shared" si="2"/>
        <v>42491</v>
      </c>
      <c r="C16">
        <v>5</v>
      </c>
      <c r="D16" s="3">
        <f t="shared" si="5"/>
        <v>42491</v>
      </c>
      <c r="E16">
        <v>5</v>
      </c>
      <c r="F16">
        <v>2016</v>
      </c>
      <c r="J16" s="4" t="s">
        <v>8</v>
      </c>
      <c r="L16" s="4" t="s">
        <v>116</v>
      </c>
      <c r="M16">
        <f>+datos!BG1</f>
        <v>59</v>
      </c>
      <c r="N16">
        <f>+datos!CZ1</f>
        <v>104</v>
      </c>
      <c r="Q16" s="4" t="str">
        <f>+datos!AH4</f>
        <v>Yerba Mate</v>
      </c>
      <c r="R16">
        <f>+datos!AH1</f>
        <v>34</v>
      </c>
      <c r="S16">
        <v>1000</v>
      </c>
      <c r="T16" t="str">
        <f>+datos!MY5</f>
        <v>Yerba Mate</v>
      </c>
      <c r="U16">
        <f>+datos!MV1</f>
        <v>360</v>
      </c>
      <c r="V16">
        <v>0.5</v>
      </c>
      <c r="X16" s="4" t="s">
        <v>25</v>
      </c>
      <c r="Y16" t="s">
        <v>25</v>
      </c>
      <c r="Z16" t="s">
        <v>37</v>
      </c>
      <c r="AA16" t="str">
        <f t="shared" si="3"/>
        <v>Maní|FOB</v>
      </c>
      <c r="AD16" t="s">
        <v>25</v>
      </c>
      <c r="AE16" t="s">
        <v>83</v>
      </c>
      <c r="AF16" t="str">
        <f t="shared" si="4"/>
        <v>Maní|Córdoba C</v>
      </c>
    </row>
    <row r="17" spans="2:32">
      <c r="B17" s="8">
        <f t="shared" si="2"/>
        <v>42522</v>
      </c>
      <c r="C17">
        <v>6</v>
      </c>
      <c r="D17" s="3">
        <f t="shared" si="5"/>
        <v>42522</v>
      </c>
      <c r="E17">
        <v>6</v>
      </c>
      <c r="F17">
        <v>2016</v>
      </c>
      <c r="J17" s="4" t="s">
        <v>9</v>
      </c>
      <c r="L17" s="4" t="s">
        <v>216</v>
      </c>
      <c r="M17">
        <f>+datos!AE1</f>
        <v>31</v>
      </c>
      <c r="N17">
        <f>+datos!CG1</f>
        <v>85</v>
      </c>
      <c r="Q17" s="4" t="str">
        <f>+datos!AS4</f>
        <v>Naranja</v>
      </c>
      <c r="R17">
        <f>+datos!AS1</f>
        <v>45</v>
      </c>
      <c r="S17">
        <v>1</v>
      </c>
      <c r="T17">
        <f>+datos!ND5</f>
        <v>0</v>
      </c>
      <c r="U17">
        <f>+datos!MD1</f>
        <v>342</v>
      </c>
      <c r="V17">
        <v>1</v>
      </c>
      <c r="X17" s="4" t="s">
        <v>12</v>
      </c>
      <c r="Y17" t="s">
        <v>12</v>
      </c>
      <c r="Z17" t="s">
        <v>36</v>
      </c>
      <c r="AA17" t="str">
        <f t="shared" si="3"/>
        <v>Soja|Disp. ROS</v>
      </c>
      <c r="AD17" t="s">
        <v>12</v>
      </c>
      <c r="AE17" t="s">
        <v>84</v>
      </c>
      <c r="AF17" t="str">
        <f t="shared" si="4"/>
        <v>Soja|Santa Fe S</v>
      </c>
    </row>
    <row r="18" spans="2:32">
      <c r="B18" s="8">
        <f t="shared" si="2"/>
        <v>42552</v>
      </c>
      <c r="C18">
        <v>7</v>
      </c>
      <c r="D18" s="3">
        <f t="shared" si="5"/>
        <v>42552</v>
      </c>
      <c r="E18">
        <v>7</v>
      </c>
      <c r="F18">
        <v>2016</v>
      </c>
      <c r="J18" s="4" t="s">
        <v>105</v>
      </c>
      <c r="L18" s="4" t="s">
        <v>217</v>
      </c>
      <c r="M18">
        <f>+datos!BB1</f>
        <v>54</v>
      </c>
      <c r="N18">
        <f>+datos!CO1</f>
        <v>93</v>
      </c>
      <c r="Q18" s="4" t="str">
        <f>+datos!P4</f>
        <v>Algodón</v>
      </c>
      <c r="R18">
        <f>+datos!P1</f>
        <v>16</v>
      </c>
      <c r="S18">
        <v>1</v>
      </c>
      <c r="T18">
        <f>+datos!LZ5</f>
        <v>0</v>
      </c>
      <c r="U18">
        <f>+datos!MW1</f>
        <v>361</v>
      </c>
      <c r="V18">
        <v>0.1</v>
      </c>
      <c r="X18" s="4" t="s">
        <v>22</v>
      </c>
      <c r="Y18" t="s">
        <v>22</v>
      </c>
      <c r="Z18" t="s">
        <v>36</v>
      </c>
      <c r="AA18" t="str">
        <f t="shared" si="3"/>
        <v>Sorgo|Disp. ROS</v>
      </c>
      <c r="AD18" t="s">
        <v>22</v>
      </c>
      <c r="AE18" t="s">
        <v>85</v>
      </c>
      <c r="AF18" t="str">
        <f t="shared" si="4"/>
        <v>Sorgo|Santa Fe N</v>
      </c>
    </row>
    <row r="19" spans="2:32">
      <c r="B19" s="8">
        <f t="shared" si="2"/>
        <v>42583</v>
      </c>
      <c r="C19">
        <v>8</v>
      </c>
      <c r="D19" s="3">
        <f t="shared" si="5"/>
        <v>42583</v>
      </c>
      <c r="E19">
        <v>8</v>
      </c>
      <c r="F19">
        <v>2016</v>
      </c>
      <c r="J19" s="4" t="s">
        <v>347</v>
      </c>
      <c r="L19" s="4" t="s">
        <v>65</v>
      </c>
      <c r="M19">
        <f>+datos!BN1</f>
        <v>66</v>
      </c>
      <c r="N19">
        <f>+datos!DC1</f>
        <v>107</v>
      </c>
      <c r="O19">
        <f>+datos!MM1</f>
        <v>351</v>
      </c>
      <c r="Q19" s="4" t="str">
        <f>+datos!AV4</f>
        <v>Papa</v>
      </c>
      <c r="R19">
        <f>+datos!AV1</f>
        <v>48</v>
      </c>
      <c r="S19">
        <v>1</v>
      </c>
      <c r="T19" t="str">
        <f>+datos!MJ5</f>
        <v>Papa</v>
      </c>
      <c r="U19">
        <f>+datos!MP1</f>
        <v>354</v>
      </c>
      <c r="V19">
        <v>1</v>
      </c>
      <c r="X19" s="4" t="s">
        <v>21</v>
      </c>
      <c r="Y19" t="s">
        <v>21</v>
      </c>
      <c r="Z19" t="s">
        <v>38</v>
      </c>
      <c r="AA19" t="str">
        <f t="shared" si="3"/>
        <v>Trigo|Disp. BA</v>
      </c>
      <c r="AD19" t="s">
        <v>21</v>
      </c>
      <c r="AE19" t="s">
        <v>86</v>
      </c>
      <c r="AF19" t="str">
        <f t="shared" si="4"/>
        <v>Trigo|Bs As SE</v>
      </c>
    </row>
    <row r="20" spans="2:32">
      <c r="B20" s="8">
        <f t="shared" si="2"/>
        <v>42614</v>
      </c>
      <c r="C20">
        <v>9</v>
      </c>
      <c r="D20" s="3">
        <f t="shared" si="5"/>
        <v>42614</v>
      </c>
      <c r="E20">
        <v>9</v>
      </c>
      <c r="F20">
        <v>2016</v>
      </c>
      <c r="J20" s="4"/>
      <c r="L20" s="4" t="s">
        <v>68</v>
      </c>
      <c r="M20">
        <f>+datos!AW1</f>
        <v>49</v>
      </c>
      <c r="N20">
        <f>+datos!CJ1</f>
        <v>88</v>
      </c>
      <c r="Q20" s="90" t="str">
        <f>+datos!AX4</f>
        <v>Cebolla</v>
      </c>
      <c r="R20">
        <f>+datos!AX1</f>
        <v>50</v>
      </c>
      <c r="S20">
        <v>1</v>
      </c>
      <c r="T20" t="str">
        <f>+datos!ML5</f>
        <v>Cebolla</v>
      </c>
      <c r="U20">
        <f>+datos!MJ1</f>
        <v>348</v>
      </c>
      <c r="V20">
        <v>1</v>
      </c>
      <c r="X20" s="4"/>
    </row>
    <row r="21" spans="2:32">
      <c r="B21" s="8">
        <f t="shared" si="2"/>
        <v>42644</v>
      </c>
      <c r="C21">
        <v>10</v>
      </c>
      <c r="D21" s="3">
        <f t="shared" si="5"/>
        <v>42644</v>
      </c>
      <c r="E21">
        <v>10</v>
      </c>
      <c r="F21">
        <v>2016</v>
      </c>
      <c r="J21" s="4"/>
      <c r="L21" s="4" t="s">
        <v>25</v>
      </c>
      <c r="M21">
        <f>+datos!AF1</f>
        <v>32</v>
      </c>
      <c r="N21">
        <f>+datos!CH1</f>
        <v>86</v>
      </c>
      <c r="Q21" s="90" t="str">
        <f>+datos!AY4</f>
        <v>Tomate</v>
      </c>
      <c r="R21">
        <f>+datos!AY1</f>
        <v>51</v>
      </c>
      <c r="S21">
        <v>1</v>
      </c>
      <c r="T21" t="str">
        <f>+datos!MM5</f>
        <v>Redondo</v>
      </c>
      <c r="U21">
        <f>+datos!MI1</f>
        <v>347</v>
      </c>
      <c r="V21">
        <v>1</v>
      </c>
      <c r="X21" s="4" t="s">
        <v>66</v>
      </c>
      <c r="Y21" t="s">
        <v>66</v>
      </c>
      <c r="Z21" t="s">
        <v>166</v>
      </c>
      <c r="AA21" t="str">
        <f t="shared" ref="AA21:AA26" si="6">+Y21&amp;"|"&amp;Z21</f>
        <v>Papa|Mayorista</v>
      </c>
    </row>
    <row r="22" spans="2:32">
      <c r="B22" s="8">
        <f t="shared" si="2"/>
        <v>42675</v>
      </c>
      <c r="C22">
        <v>11</v>
      </c>
      <c r="D22" s="3">
        <f t="shared" si="5"/>
        <v>42675</v>
      </c>
      <c r="E22">
        <v>11</v>
      </c>
      <c r="F22">
        <v>2016</v>
      </c>
      <c r="J22" s="4"/>
      <c r="L22" s="4" t="s">
        <v>76</v>
      </c>
      <c r="M22">
        <f>+datos!BV1</f>
        <v>74</v>
      </c>
      <c r="N22">
        <f>+datos!DH1</f>
        <v>112</v>
      </c>
      <c r="Q22" s="90" t="str">
        <f>+datos!BA4</f>
        <v>Zapallo</v>
      </c>
      <c r="R22">
        <f>+datos!BA1</f>
        <v>53</v>
      </c>
      <c r="S22">
        <v>1</v>
      </c>
      <c r="T22" t="str">
        <f>+datos!MO5</f>
        <v>Zapallo Anco</v>
      </c>
      <c r="U22">
        <f>+datos!MK1</f>
        <v>349</v>
      </c>
      <c r="V22">
        <v>1</v>
      </c>
      <c r="X22" s="4" t="s">
        <v>68</v>
      </c>
      <c r="Y22" t="s">
        <v>68</v>
      </c>
      <c r="Z22" t="s">
        <v>166</v>
      </c>
      <c r="AA22" t="str">
        <f t="shared" si="6"/>
        <v>Mandioca|Mayorista</v>
      </c>
    </row>
    <row r="23" spans="2:32">
      <c r="B23" s="8">
        <f t="shared" si="2"/>
        <v>42705</v>
      </c>
      <c r="C23">
        <v>12</v>
      </c>
      <c r="D23" s="3">
        <f t="shared" si="5"/>
        <v>42705</v>
      </c>
      <c r="E23">
        <v>12</v>
      </c>
      <c r="F23">
        <v>2016</v>
      </c>
      <c r="J23" s="4"/>
      <c r="L23" s="4" t="s">
        <v>222</v>
      </c>
      <c r="M23">
        <f>+datos!BU1</f>
        <v>73</v>
      </c>
      <c r="N23">
        <f>+datos!DI1</f>
        <v>113</v>
      </c>
      <c r="Q23" s="90" t="str">
        <f>+datos!BK4</f>
        <v>Novillito</v>
      </c>
      <c r="R23">
        <f>+datos!BK1</f>
        <v>63</v>
      </c>
      <c r="S23">
        <v>0.55000000000000004</v>
      </c>
      <c r="T23" t="str">
        <f>+datos!NB5</f>
        <v>Asado</v>
      </c>
      <c r="U23">
        <f>+datos!MB1</f>
        <v>340</v>
      </c>
      <c r="V23">
        <v>1</v>
      </c>
      <c r="X23" s="4" t="s">
        <v>112</v>
      </c>
      <c r="Y23" t="s">
        <v>112</v>
      </c>
      <c r="Z23" t="s">
        <v>166</v>
      </c>
      <c r="AA23" t="str">
        <f t="shared" si="6"/>
        <v>Cebolla|Mayorista</v>
      </c>
    </row>
    <row r="24" spans="2:32">
      <c r="B24" s="8">
        <f t="shared" si="2"/>
        <v>42736</v>
      </c>
      <c r="C24">
        <v>13</v>
      </c>
      <c r="D24" s="3">
        <f t="shared" si="5"/>
        <v>42736</v>
      </c>
      <c r="E24">
        <v>1</v>
      </c>
      <c r="F24">
        <v>2017</v>
      </c>
      <c r="G24" s="3">
        <f t="shared" ref="G24:G59" si="7">+B12</f>
        <v>42370</v>
      </c>
      <c r="L24" s="4" t="s">
        <v>66</v>
      </c>
      <c r="M24">
        <f>+datos!AV1</f>
        <v>48</v>
      </c>
      <c r="N24">
        <f>+datos!CI1</f>
        <v>87</v>
      </c>
      <c r="Q24" s="90" t="str">
        <f>+datos!BO4</f>
        <v>Pollo</v>
      </c>
      <c r="R24">
        <f>+datos!BO1</f>
        <v>67</v>
      </c>
      <c r="S24">
        <v>1</v>
      </c>
      <c r="T24" t="str">
        <f>+datos!NA5</f>
        <v>Pollo entero</v>
      </c>
      <c r="U24">
        <f>+datos!MA1</f>
        <v>339</v>
      </c>
      <c r="V24">
        <v>1</v>
      </c>
      <c r="X24" s="4" t="s">
        <v>69</v>
      </c>
      <c r="Y24" t="s">
        <v>69</v>
      </c>
      <c r="Z24" t="s">
        <v>166</v>
      </c>
      <c r="AA24" t="str">
        <f t="shared" si="6"/>
        <v>Tomate|Mayorista</v>
      </c>
    </row>
    <row r="25" spans="2:32">
      <c r="B25" s="8">
        <f t="shared" si="2"/>
        <v>42767</v>
      </c>
      <c r="C25">
        <v>14</v>
      </c>
      <c r="D25" s="3">
        <f t="shared" si="5"/>
        <v>42767</v>
      </c>
      <c r="E25">
        <v>2</v>
      </c>
      <c r="F25">
        <v>2017</v>
      </c>
      <c r="G25" s="3">
        <f t="shared" si="7"/>
        <v>42401</v>
      </c>
      <c r="L25" s="4" t="s">
        <v>218</v>
      </c>
      <c r="M25">
        <f>+datos!AP1</f>
        <v>42</v>
      </c>
      <c r="N25">
        <f>+datos!CS1</f>
        <v>97</v>
      </c>
      <c r="X25" s="4" t="s">
        <v>113</v>
      </c>
      <c r="Y25" t="s">
        <v>113</v>
      </c>
      <c r="Z25" t="s">
        <v>166</v>
      </c>
      <c r="AA25" t="str">
        <f t="shared" si="6"/>
        <v>Zanahoria|Mayorista</v>
      </c>
    </row>
    <row r="26" spans="2:32">
      <c r="B26" s="8">
        <f t="shared" si="2"/>
        <v>42795</v>
      </c>
      <c r="C26">
        <v>15</v>
      </c>
      <c r="D26" s="3">
        <f t="shared" si="5"/>
        <v>42795</v>
      </c>
      <c r="E26">
        <v>3</v>
      </c>
      <c r="F26">
        <v>2017</v>
      </c>
      <c r="G26" s="3">
        <f t="shared" si="7"/>
        <v>42430</v>
      </c>
      <c r="L26" s="4" t="s">
        <v>121</v>
      </c>
      <c r="M26">
        <f>+datos!BR1</f>
        <v>70</v>
      </c>
      <c r="N26">
        <f>+datos!DD1</f>
        <v>108</v>
      </c>
      <c r="X26" s="4" t="s">
        <v>114</v>
      </c>
      <c r="Y26" t="s">
        <v>114</v>
      </c>
      <c r="Z26" t="s">
        <v>166</v>
      </c>
      <c r="AA26" t="str">
        <f t="shared" si="6"/>
        <v>Zapallo|Mayorista</v>
      </c>
    </row>
    <row r="27" spans="2:32">
      <c r="B27" s="8">
        <f t="shared" si="2"/>
        <v>42826</v>
      </c>
      <c r="C27">
        <v>16</v>
      </c>
      <c r="D27" s="3">
        <f t="shared" si="5"/>
        <v>42826</v>
      </c>
      <c r="E27">
        <v>4</v>
      </c>
      <c r="F27">
        <v>2017</v>
      </c>
      <c r="G27" s="3">
        <f t="shared" si="7"/>
        <v>42461</v>
      </c>
      <c r="L27" s="4" t="s">
        <v>75</v>
      </c>
      <c r="M27">
        <f>+datos!BJ1</f>
        <v>62</v>
      </c>
      <c r="N27">
        <f>+datos!DA1</f>
        <v>105</v>
      </c>
      <c r="X27" s="4"/>
    </row>
    <row r="28" spans="2:32">
      <c r="B28" s="8">
        <f t="shared" si="2"/>
        <v>42856</v>
      </c>
      <c r="C28">
        <v>17</v>
      </c>
      <c r="D28" s="3">
        <f t="shared" si="5"/>
        <v>42856</v>
      </c>
      <c r="E28">
        <v>5</v>
      </c>
      <c r="F28">
        <v>2017</v>
      </c>
      <c r="G28" s="3">
        <f t="shared" si="7"/>
        <v>42491</v>
      </c>
      <c r="L28" s="4" t="s">
        <v>219</v>
      </c>
      <c r="M28">
        <f>+datos!AM1</f>
        <v>39</v>
      </c>
      <c r="N28">
        <f>+datos!CP1</f>
        <v>94</v>
      </c>
      <c r="X28" s="4" t="s">
        <v>159</v>
      </c>
      <c r="Y28" t="s">
        <v>44</v>
      </c>
      <c r="Z28" t="s">
        <v>45</v>
      </c>
      <c r="AA28" t="str">
        <f>+Y28&amp;"|"&amp;Z28</f>
        <v>Vino Tinto|Disp.</v>
      </c>
    </row>
    <row r="29" spans="2:32">
      <c r="B29" s="8">
        <f t="shared" si="2"/>
        <v>42887</v>
      </c>
      <c r="C29">
        <v>18</v>
      </c>
      <c r="D29" s="3">
        <f t="shared" si="5"/>
        <v>42887</v>
      </c>
      <c r="E29">
        <v>6</v>
      </c>
      <c r="F29">
        <v>2017</v>
      </c>
      <c r="G29" s="3">
        <f t="shared" si="7"/>
        <v>42522</v>
      </c>
      <c r="L29" s="4" t="s">
        <v>39</v>
      </c>
      <c r="M29">
        <f>+datos!AG1</f>
        <v>33</v>
      </c>
      <c r="N29">
        <f>+datos!CY1</f>
        <v>103</v>
      </c>
      <c r="X29" s="4" t="s">
        <v>70</v>
      </c>
      <c r="Y29" t="s">
        <v>70</v>
      </c>
      <c r="Z29" t="s">
        <v>166</v>
      </c>
      <c r="AA29" t="str">
        <f t="shared" ref="AA29:AA34" si="8">+Y29&amp;"|"&amp;Z29</f>
        <v>Manzana|Mayorista</v>
      </c>
    </row>
    <row r="30" spans="2:32">
      <c r="B30" s="8">
        <f t="shared" si="2"/>
        <v>42917</v>
      </c>
      <c r="C30">
        <v>19</v>
      </c>
      <c r="D30" s="3">
        <f t="shared" si="5"/>
        <v>42917</v>
      </c>
      <c r="E30">
        <v>7</v>
      </c>
      <c r="F30">
        <v>2017</v>
      </c>
      <c r="G30" s="3">
        <f t="shared" si="7"/>
        <v>42552</v>
      </c>
      <c r="L30" s="4"/>
      <c r="X30" s="4" t="s">
        <v>71</v>
      </c>
      <c r="Y30" t="s">
        <v>71</v>
      </c>
      <c r="Z30" t="s">
        <v>166</v>
      </c>
      <c r="AA30" t="str">
        <f t="shared" si="8"/>
        <v>Pera|Mayorista</v>
      </c>
    </row>
    <row r="31" spans="2:32">
      <c r="B31" s="8">
        <f t="shared" si="2"/>
        <v>42948</v>
      </c>
      <c r="C31">
        <v>20</v>
      </c>
      <c r="D31" s="3">
        <f t="shared" si="5"/>
        <v>42948</v>
      </c>
      <c r="E31">
        <v>8</v>
      </c>
      <c r="F31">
        <v>2017</v>
      </c>
      <c r="G31" s="3">
        <f t="shared" si="7"/>
        <v>42583</v>
      </c>
      <c r="X31" s="4" t="s">
        <v>74</v>
      </c>
      <c r="Y31" t="s">
        <v>74</v>
      </c>
      <c r="Z31" t="s">
        <v>166</v>
      </c>
      <c r="AA31" t="str">
        <f t="shared" si="8"/>
        <v>Limón|Mayorista</v>
      </c>
    </row>
    <row r="32" spans="2:32">
      <c r="B32" s="8">
        <f t="shared" si="2"/>
        <v>42979</v>
      </c>
      <c r="C32">
        <v>21</v>
      </c>
      <c r="D32" s="3">
        <f t="shared" si="5"/>
        <v>42979</v>
      </c>
      <c r="E32">
        <v>9</v>
      </c>
      <c r="F32">
        <v>2017</v>
      </c>
      <c r="G32" s="3">
        <f t="shared" si="7"/>
        <v>42614</v>
      </c>
      <c r="X32" s="4" t="s">
        <v>73</v>
      </c>
      <c r="Y32" t="s">
        <v>73</v>
      </c>
      <c r="Z32" t="s">
        <v>166</v>
      </c>
      <c r="AA32" t="str">
        <f t="shared" si="8"/>
        <v>Mandarina|Mayorista</v>
      </c>
    </row>
    <row r="33" spans="2:32">
      <c r="B33" s="8">
        <f t="shared" si="2"/>
        <v>43009</v>
      </c>
      <c r="C33">
        <v>22</v>
      </c>
      <c r="D33" s="3">
        <f t="shared" si="5"/>
        <v>43009</v>
      </c>
      <c r="E33">
        <v>10</v>
      </c>
      <c r="F33">
        <v>2017</v>
      </c>
      <c r="G33" s="3">
        <f t="shared" si="7"/>
        <v>42644</v>
      </c>
      <c r="X33" s="4" t="s">
        <v>72</v>
      </c>
      <c r="Y33" t="s">
        <v>72</v>
      </c>
      <c r="Z33" t="s">
        <v>166</v>
      </c>
      <c r="AA33" t="str">
        <f t="shared" si="8"/>
        <v>Naranja|Mayorista</v>
      </c>
    </row>
    <row r="34" spans="2:32">
      <c r="B34" s="8">
        <f t="shared" si="2"/>
        <v>43040</v>
      </c>
      <c r="C34">
        <v>23</v>
      </c>
      <c r="D34" s="3">
        <f t="shared" si="5"/>
        <v>43040</v>
      </c>
      <c r="E34">
        <v>11</v>
      </c>
      <c r="F34">
        <v>2017</v>
      </c>
      <c r="G34" s="3">
        <f t="shared" si="7"/>
        <v>42675</v>
      </c>
      <c r="X34" s="4" t="s">
        <v>115</v>
      </c>
      <c r="Y34" t="s">
        <v>115</v>
      </c>
      <c r="Z34" t="s">
        <v>166</v>
      </c>
      <c r="AA34" t="str">
        <f t="shared" si="8"/>
        <v>Pomelo|Mayorista</v>
      </c>
    </row>
    <row r="35" spans="2:32">
      <c r="B35" s="8">
        <f t="shared" si="2"/>
        <v>43070</v>
      </c>
      <c r="C35">
        <v>24</v>
      </c>
      <c r="D35" s="3">
        <f t="shared" si="5"/>
        <v>43070</v>
      </c>
      <c r="E35">
        <v>12</v>
      </c>
      <c r="F35">
        <v>2017</v>
      </c>
      <c r="G35" s="3">
        <f t="shared" si="7"/>
        <v>42705</v>
      </c>
      <c r="X35" s="4"/>
    </row>
    <row r="36" spans="2:32">
      <c r="B36" s="8">
        <f t="shared" si="2"/>
        <v>43101</v>
      </c>
      <c r="C36">
        <v>25</v>
      </c>
      <c r="D36" s="3">
        <f t="shared" si="5"/>
        <v>43101</v>
      </c>
      <c r="E36">
        <v>1</v>
      </c>
      <c r="F36">
        <v>2018</v>
      </c>
      <c r="G36" s="3">
        <f t="shared" si="7"/>
        <v>42736</v>
      </c>
      <c r="X36" s="4" t="s">
        <v>116</v>
      </c>
      <c r="AA36" t="str">
        <f>+Y36&amp;"|"&amp;Z36</f>
        <v>|</v>
      </c>
    </row>
    <row r="37" spans="2:32">
      <c r="B37" s="8">
        <f t="shared" si="2"/>
        <v>43132</v>
      </c>
      <c r="C37">
        <v>26</v>
      </c>
      <c r="D37" s="3">
        <f t="shared" si="5"/>
        <v>43132</v>
      </c>
      <c r="E37">
        <v>2</v>
      </c>
      <c r="F37">
        <v>2018</v>
      </c>
      <c r="G37" s="3">
        <f t="shared" si="7"/>
        <v>42767</v>
      </c>
      <c r="X37" s="4" t="s">
        <v>75</v>
      </c>
      <c r="AA37" t="str">
        <f>+Y37&amp;"|"&amp;Z37</f>
        <v>|</v>
      </c>
    </row>
    <row r="38" spans="2:32">
      <c r="B38" s="8">
        <f t="shared" si="2"/>
        <v>43160</v>
      </c>
      <c r="C38">
        <v>27</v>
      </c>
      <c r="D38" s="3">
        <f t="shared" si="5"/>
        <v>43160</v>
      </c>
      <c r="E38">
        <v>3</v>
      </c>
      <c r="F38">
        <v>2018</v>
      </c>
      <c r="G38" s="3">
        <f t="shared" si="7"/>
        <v>42795</v>
      </c>
      <c r="X38" s="4" t="s">
        <v>39</v>
      </c>
      <c r="Y38" t="s">
        <v>39</v>
      </c>
      <c r="Z38" t="s">
        <v>40</v>
      </c>
      <c r="AA38" t="str">
        <f>+Y38&amp;"|"&amp;Z38</f>
        <v>Yerba Mate|Hoja Verde</v>
      </c>
    </row>
    <row r="39" spans="2:32">
      <c r="B39" s="8">
        <f t="shared" si="2"/>
        <v>43191</v>
      </c>
      <c r="C39">
        <v>28</v>
      </c>
      <c r="D39" s="3">
        <f t="shared" si="5"/>
        <v>43191</v>
      </c>
      <c r="E39">
        <v>4</v>
      </c>
      <c r="F39">
        <v>2018</v>
      </c>
      <c r="G39" s="3">
        <f t="shared" si="7"/>
        <v>42826</v>
      </c>
      <c r="X39" s="4"/>
    </row>
    <row r="40" spans="2:32">
      <c r="B40" s="8">
        <f t="shared" si="2"/>
        <v>43221</v>
      </c>
      <c r="C40">
        <v>29</v>
      </c>
      <c r="D40" s="3">
        <f t="shared" si="5"/>
        <v>43221</v>
      </c>
      <c r="E40">
        <v>5</v>
      </c>
      <c r="F40">
        <v>2018</v>
      </c>
      <c r="G40" s="3">
        <f t="shared" si="7"/>
        <v>42856</v>
      </c>
      <c r="X40" s="4" t="s">
        <v>117</v>
      </c>
      <c r="Y40" t="s">
        <v>76</v>
      </c>
      <c r="Z40" t="s">
        <v>80</v>
      </c>
      <c r="AA40" t="str">
        <f t="shared" ref="AA40:AA45" si="9">+Y40&amp;"|"&amp;Z40</f>
        <v>Miel|Prom.</v>
      </c>
    </row>
    <row r="41" spans="2:32">
      <c r="B41" s="8">
        <f t="shared" si="2"/>
        <v>43252</v>
      </c>
      <c r="C41">
        <v>30</v>
      </c>
      <c r="D41" s="3">
        <f t="shared" si="5"/>
        <v>43252</v>
      </c>
      <c r="E41">
        <v>6</v>
      </c>
      <c r="F41">
        <v>2018</v>
      </c>
      <c r="G41" s="3">
        <f t="shared" si="7"/>
        <v>42887</v>
      </c>
      <c r="X41" s="4" t="s">
        <v>118</v>
      </c>
      <c r="Y41" t="s">
        <v>60</v>
      </c>
      <c r="Z41" t="s">
        <v>80</v>
      </c>
      <c r="AA41" t="str">
        <f t="shared" si="9"/>
        <v>Pollo|Prom.</v>
      </c>
    </row>
    <row r="42" spans="2:32">
      <c r="B42" s="8">
        <f t="shared" si="2"/>
        <v>43282</v>
      </c>
      <c r="C42">
        <v>31</v>
      </c>
      <c r="D42" s="3">
        <f t="shared" si="5"/>
        <v>43282</v>
      </c>
      <c r="E42">
        <v>7</v>
      </c>
      <c r="F42">
        <v>2018</v>
      </c>
      <c r="G42" s="3">
        <f t="shared" si="7"/>
        <v>42917</v>
      </c>
      <c r="X42" s="4" t="s">
        <v>77</v>
      </c>
      <c r="Y42" t="s">
        <v>55</v>
      </c>
      <c r="Z42" t="s">
        <v>80</v>
      </c>
      <c r="AA42" t="str">
        <f t="shared" si="9"/>
        <v>Novillo|Prom.</v>
      </c>
      <c r="AF42" t="str">
        <f>+AD42&amp;"|"&amp;AE42</f>
        <v>|</v>
      </c>
    </row>
    <row r="43" spans="2:32">
      <c r="B43" s="8">
        <f t="shared" si="2"/>
        <v>43313</v>
      </c>
      <c r="C43">
        <v>32</v>
      </c>
      <c r="D43" s="3">
        <f t="shared" si="5"/>
        <v>43313</v>
      </c>
      <c r="E43">
        <v>8</v>
      </c>
      <c r="F43">
        <v>2018</v>
      </c>
      <c r="G43" s="3">
        <f t="shared" si="7"/>
        <v>42948</v>
      </c>
      <c r="X43" s="4" t="s">
        <v>119</v>
      </c>
      <c r="Y43" t="s">
        <v>65</v>
      </c>
      <c r="Z43" t="s">
        <v>80</v>
      </c>
      <c r="AA43" t="str">
        <f t="shared" si="9"/>
        <v>Leche|Prom.</v>
      </c>
    </row>
    <row r="44" spans="2:32">
      <c r="B44" s="8">
        <f t="shared" si="2"/>
        <v>43344</v>
      </c>
      <c r="C44">
        <v>33</v>
      </c>
      <c r="D44" s="3">
        <f t="shared" si="5"/>
        <v>43344</v>
      </c>
      <c r="E44">
        <v>9</v>
      </c>
      <c r="F44">
        <v>2018</v>
      </c>
      <c r="G44" s="3">
        <f t="shared" si="7"/>
        <v>42979</v>
      </c>
      <c r="X44" s="4" t="s">
        <v>120</v>
      </c>
      <c r="AA44" t="str">
        <f t="shared" si="9"/>
        <v>|</v>
      </c>
    </row>
    <row r="45" spans="2:32">
      <c r="B45" s="8">
        <f t="shared" si="2"/>
        <v>43374</v>
      </c>
      <c r="C45">
        <v>34</v>
      </c>
      <c r="D45" s="3">
        <f t="shared" si="5"/>
        <v>43374</v>
      </c>
      <c r="E45">
        <v>10</v>
      </c>
      <c r="F45">
        <v>2018</v>
      </c>
      <c r="G45" s="3">
        <f t="shared" si="7"/>
        <v>43009</v>
      </c>
      <c r="X45" s="4" t="s">
        <v>121</v>
      </c>
      <c r="AA45" t="str">
        <f t="shared" si="9"/>
        <v>|</v>
      </c>
    </row>
    <row r="46" spans="2:32">
      <c r="B46" s="8">
        <f t="shared" si="2"/>
        <v>43405</v>
      </c>
      <c r="C46">
        <v>35</v>
      </c>
      <c r="D46" s="3">
        <f t="shared" si="5"/>
        <v>43405</v>
      </c>
      <c r="E46">
        <v>11</v>
      </c>
      <c r="F46">
        <v>2018</v>
      </c>
      <c r="G46" s="3">
        <f t="shared" si="7"/>
        <v>43040</v>
      </c>
      <c r="X46" s="4"/>
    </row>
    <row r="47" spans="2:32">
      <c r="B47" s="8">
        <f t="shared" si="2"/>
        <v>43435</v>
      </c>
      <c r="C47">
        <v>36</v>
      </c>
      <c r="D47" s="3">
        <f t="shared" si="5"/>
        <v>43435</v>
      </c>
      <c r="E47">
        <v>12</v>
      </c>
      <c r="F47">
        <v>2018</v>
      </c>
      <c r="G47" s="3">
        <f t="shared" si="7"/>
        <v>43070</v>
      </c>
    </row>
    <row r="48" spans="2:32">
      <c r="B48" s="8">
        <f t="shared" si="2"/>
        <v>43466</v>
      </c>
      <c r="C48">
        <v>37</v>
      </c>
      <c r="D48" s="3">
        <f t="shared" si="5"/>
        <v>43466</v>
      </c>
      <c r="E48">
        <v>1</v>
      </c>
      <c r="F48">
        <v>2019</v>
      </c>
      <c r="G48" s="3">
        <f t="shared" si="7"/>
        <v>43101</v>
      </c>
    </row>
    <row r="49" spans="2:24">
      <c r="B49" s="8">
        <f t="shared" si="2"/>
        <v>43497</v>
      </c>
      <c r="C49">
        <v>38</v>
      </c>
      <c r="D49" s="3">
        <f t="shared" si="5"/>
        <v>43497</v>
      </c>
      <c r="E49">
        <v>2</v>
      </c>
      <c r="F49">
        <v>2019</v>
      </c>
      <c r="G49" s="3">
        <f t="shared" si="7"/>
        <v>43132</v>
      </c>
      <c r="X49" s="9" t="s">
        <v>122</v>
      </c>
    </row>
    <row r="50" spans="2:24">
      <c r="B50" s="8">
        <f t="shared" si="2"/>
        <v>43525</v>
      </c>
      <c r="C50">
        <v>39</v>
      </c>
      <c r="D50" s="3">
        <f t="shared" si="5"/>
        <v>43525</v>
      </c>
      <c r="E50">
        <v>3</v>
      </c>
      <c r="F50">
        <v>2019</v>
      </c>
      <c r="G50" s="3">
        <f t="shared" si="7"/>
        <v>43160</v>
      </c>
    </row>
    <row r="51" spans="2:24">
      <c r="B51" s="8">
        <f t="shared" si="2"/>
        <v>43556</v>
      </c>
      <c r="C51">
        <v>40</v>
      </c>
      <c r="D51" s="3">
        <f t="shared" si="5"/>
        <v>43556</v>
      </c>
      <c r="E51">
        <v>4</v>
      </c>
      <c r="F51">
        <v>2019</v>
      </c>
      <c r="G51" s="3">
        <f t="shared" si="7"/>
        <v>43191</v>
      </c>
      <c r="X51" t="s">
        <v>123</v>
      </c>
    </row>
    <row r="52" spans="2:24">
      <c r="B52" s="8">
        <f t="shared" si="2"/>
        <v>43586</v>
      </c>
      <c r="C52">
        <v>41</v>
      </c>
      <c r="D52" s="3">
        <f t="shared" si="5"/>
        <v>43586</v>
      </c>
      <c r="E52">
        <v>5</v>
      </c>
      <c r="F52">
        <v>2019</v>
      </c>
      <c r="G52" s="3">
        <f t="shared" si="7"/>
        <v>43221</v>
      </c>
      <c r="X52" t="s">
        <v>124</v>
      </c>
    </row>
    <row r="53" spans="2:24">
      <c r="B53" s="8">
        <f t="shared" si="2"/>
        <v>43617</v>
      </c>
      <c r="C53">
        <v>42</v>
      </c>
      <c r="D53" s="3">
        <f t="shared" si="5"/>
        <v>43617</v>
      </c>
      <c r="E53">
        <v>6</v>
      </c>
      <c r="F53">
        <v>2019</v>
      </c>
      <c r="G53" s="3">
        <f t="shared" si="7"/>
        <v>43252</v>
      </c>
      <c r="X53" t="s">
        <v>125</v>
      </c>
    </row>
    <row r="54" spans="2:24">
      <c r="B54" s="8">
        <f t="shared" si="2"/>
        <v>43647</v>
      </c>
      <c r="C54">
        <v>43</v>
      </c>
      <c r="D54" s="3">
        <f t="shared" si="5"/>
        <v>43647</v>
      </c>
      <c r="E54">
        <v>7</v>
      </c>
      <c r="F54">
        <v>2019</v>
      </c>
      <c r="G54" s="3">
        <f t="shared" si="7"/>
        <v>43282</v>
      </c>
      <c r="X54" t="s">
        <v>126</v>
      </c>
    </row>
    <row r="55" spans="2:24">
      <c r="B55" s="8">
        <f t="shared" si="2"/>
        <v>43678</v>
      </c>
      <c r="C55">
        <v>44</v>
      </c>
      <c r="D55" s="3">
        <f t="shared" si="5"/>
        <v>43678</v>
      </c>
      <c r="E55">
        <v>8</v>
      </c>
      <c r="F55">
        <v>2019</v>
      </c>
      <c r="G55" s="3">
        <f t="shared" si="7"/>
        <v>43313</v>
      </c>
      <c r="X55" t="s">
        <v>127</v>
      </c>
    </row>
    <row r="56" spans="2:24">
      <c r="B56" s="8">
        <f t="shared" si="2"/>
        <v>43709</v>
      </c>
      <c r="C56">
        <v>45</v>
      </c>
      <c r="D56" s="3">
        <f t="shared" si="5"/>
        <v>43709</v>
      </c>
      <c r="E56">
        <v>9</v>
      </c>
      <c r="F56">
        <v>2019</v>
      </c>
      <c r="G56" s="3">
        <f t="shared" si="7"/>
        <v>43344</v>
      </c>
      <c r="X56" t="s">
        <v>128</v>
      </c>
    </row>
    <row r="57" spans="2:24">
      <c r="B57" s="8">
        <f t="shared" si="2"/>
        <v>43739</v>
      </c>
      <c r="C57">
        <v>46</v>
      </c>
      <c r="D57" s="3">
        <f t="shared" si="5"/>
        <v>43739</v>
      </c>
      <c r="E57">
        <v>10</v>
      </c>
      <c r="F57">
        <v>2019</v>
      </c>
      <c r="G57" s="3">
        <f t="shared" si="7"/>
        <v>43374</v>
      </c>
      <c r="X57" t="s">
        <v>129</v>
      </c>
    </row>
    <row r="58" spans="2:24">
      <c r="B58" s="8">
        <f t="shared" si="2"/>
        <v>43770</v>
      </c>
      <c r="C58">
        <v>47</v>
      </c>
      <c r="D58" s="3">
        <f t="shared" si="5"/>
        <v>43770</v>
      </c>
      <c r="E58">
        <v>11</v>
      </c>
      <c r="F58">
        <v>2019</v>
      </c>
      <c r="G58" s="3">
        <f t="shared" si="7"/>
        <v>43405</v>
      </c>
      <c r="X58" t="s">
        <v>130</v>
      </c>
    </row>
    <row r="59" spans="2:24">
      <c r="B59" s="8">
        <f t="shared" si="2"/>
        <v>43800</v>
      </c>
      <c r="C59">
        <v>48</v>
      </c>
      <c r="D59" s="3">
        <f t="shared" si="5"/>
        <v>43800</v>
      </c>
      <c r="E59">
        <v>12</v>
      </c>
      <c r="F59">
        <v>2019</v>
      </c>
      <c r="G59" s="3">
        <f t="shared" si="7"/>
        <v>43435</v>
      </c>
      <c r="X59" t="s">
        <v>131</v>
      </c>
    </row>
    <row r="60" spans="2:24">
      <c r="B60" s="8">
        <f t="shared" si="2"/>
        <v>43831</v>
      </c>
      <c r="C60">
        <v>49</v>
      </c>
      <c r="D60" s="3">
        <f t="shared" si="5"/>
        <v>43831</v>
      </c>
      <c r="E60">
        <v>1</v>
      </c>
      <c r="F60">
        <v>2020</v>
      </c>
      <c r="G60" s="3">
        <f>+B48</f>
        <v>43466</v>
      </c>
      <c r="X60" t="s">
        <v>132</v>
      </c>
    </row>
    <row r="61" spans="2:24">
      <c r="B61" s="8">
        <f t="shared" si="2"/>
        <v>43862</v>
      </c>
      <c r="C61">
        <v>50</v>
      </c>
      <c r="D61" s="3">
        <f t="shared" si="5"/>
        <v>43862</v>
      </c>
      <c r="E61">
        <v>2</v>
      </c>
      <c r="F61">
        <v>2020</v>
      </c>
      <c r="G61" s="3">
        <f t="shared" ref="G61:G71" si="10">+B49</f>
        <v>43497</v>
      </c>
      <c r="X61" t="s">
        <v>133</v>
      </c>
    </row>
    <row r="62" spans="2:24">
      <c r="B62" s="8">
        <f t="shared" si="2"/>
        <v>43891</v>
      </c>
      <c r="C62">
        <v>51</v>
      </c>
      <c r="D62" s="3">
        <f t="shared" si="5"/>
        <v>43891</v>
      </c>
      <c r="E62">
        <v>3</v>
      </c>
      <c r="F62">
        <v>2020</v>
      </c>
      <c r="G62" s="3">
        <f t="shared" si="10"/>
        <v>43525</v>
      </c>
      <c r="X62" t="s">
        <v>134</v>
      </c>
    </row>
    <row r="63" spans="2:24">
      <c r="B63" s="8">
        <f t="shared" si="2"/>
        <v>43922</v>
      </c>
      <c r="C63">
        <v>52</v>
      </c>
      <c r="D63" s="3">
        <f t="shared" si="5"/>
        <v>43922</v>
      </c>
      <c r="E63">
        <v>4</v>
      </c>
      <c r="F63">
        <v>2020</v>
      </c>
      <c r="G63" s="3">
        <f t="shared" si="10"/>
        <v>43556</v>
      </c>
      <c r="X63" t="s">
        <v>135</v>
      </c>
    </row>
    <row r="64" spans="2:24">
      <c r="B64" s="8">
        <f t="shared" si="2"/>
        <v>43952</v>
      </c>
      <c r="C64">
        <v>53</v>
      </c>
      <c r="D64" s="3">
        <f t="shared" si="5"/>
        <v>43952</v>
      </c>
      <c r="E64">
        <v>5</v>
      </c>
      <c r="F64">
        <v>2020</v>
      </c>
      <c r="G64" s="3">
        <f t="shared" si="10"/>
        <v>43586</v>
      </c>
      <c r="X64" t="s">
        <v>136</v>
      </c>
    </row>
    <row r="65" spans="2:24">
      <c r="B65" s="8">
        <f t="shared" si="2"/>
        <v>43983</v>
      </c>
      <c r="C65">
        <v>54</v>
      </c>
      <c r="D65" s="3">
        <f t="shared" si="5"/>
        <v>43983</v>
      </c>
      <c r="E65">
        <v>6</v>
      </c>
      <c r="F65">
        <v>2020</v>
      </c>
      <c r="G65" s="3">
        <f t="shared" si="10"/>
        <v>43617</v>
      </c>
      <c r="X65" t="s">
        <v>137</v>
      </c>
    </row>
    <row r="66" spans="2:24">
      <c r="B66" s="8">
        <f t="shared" si="2"/>
        <v>44013</v>
      </c>
      <c r="C66">
        <v>55</v>
      </c>
      <c r="D66" s="3">
        <f t="shared" si="5"/>
        <v>44013</v>
      </c>
      <c r="E66">
        <v>7</v>
      </c>
      <c r="F66">
        <v>2020</v>
      </c>
      <c r="G66" s="3">
        <f t="shared" si="10"/>
        <v>43647</v>
      </c>
      <c r="X66" t="s">
        <v>138</v>
      </c>
    </row>
    <row r="67" spans="2:24">
      <c r="B67" s="8">
        <f t="shared" si="2"/>
        <v>44044</v>
      </c>
      <c r="C67">
        <v>56</v>
      </c>
      <c r="D67" s="3">
        <f t="shared" si="5"/>
        <v>44044</v>
      </c>
      <c r="E67">
        <v>8</v>
      </c>
      <c r="F67">
        <v>2020</v>
      </c>
      <c r="G67" s="3">
        <f t="shared" si="10"/>
        <v>43678</v>
      </c>
    </row>
    <row r="68" spans="2:24">
      <c r="B68" s="8">
        <f t="shared" si="2"/>
        <v>44075</v>
      </c>
      <c r="C68">
        <v>57</v>
      </c>
      <c r="D68" s="3">
        <f t="shared" si="5"/>
        <v>44075</v>
      </c>
      <c r="E68">
        <v>9</v>
      </c>
      <c r="F68">
        <v>2020</v>
      </c>
      <c r="G68" s="3">
        <f t="shared" si="10"/>
        <v>43709</v>
      </c>
      <c r="X68" t="s">
        <v>139</v>
      </c>
    </row>
    <row r="69" spans="2:24">
      <c r="B69" s="8">
        <f t="shared" si="2"/>
        <v>44105</v>
      </c>
      <c r="C69">
        <v>58</v>
      </c>
      <c r="D69" s="3">
        <f t="shared" si="5"/>
        <v>44105</v>
      </c>
      <c r="E69">
        <v>10</v>
      </c>
      <c r="F69">
        <v>2020</v>
      </c>
      <c r="G69" s="3">
        <f t="shared" si="10"/>
        <v>43739</v>
      </c>
      <c r="X69" t="s">
        <v>140</v>
      </c>
    </row>
    <row r="70" spans="2:24">
      <c r="B70" s="8">
        <f t="shared" si="2"/>
        <v>44136</v>
      </c>
      <c r="C70">
        <v>59</v>
      </c>
      <c r="D70" s="3">
        <f t="shared" si="5"/>
        <v>44136</v>
      </c>
      <c r="E70">
        <v>11</v>
      </c>
      <c r="F70">
        <v>2020</v>
      </c>
      <c r="G70" s="3">
        <f t="shared" si="10"/>
        <v>43770</v>
      </c>
      <c r="X70" t="s">
        <v>141</v>
      </c>
    </row>
    <row r="71" spans="2:24">
      <c r="B71" s="8">
        <f t="shared" si="2"/>
        <v>44166</v>
      </c>
      <c r="C71">
        <v>60</v>
      </c>
      <c r="D71" s="3">
        <f t="shared" si="5"/>
        <v>44166</v>
      </c>
      <c r="E71">
        <v>12</v>
      </c>
      <c r="F71">
        <v>2020</v>
      </c>
      <c r="G71" s="3">
        <f t="shared" si="10"/>
        <v>43800</v>
      </c>
      <c r="X71" t="s">
        <v>142</v>
      </c>
    </row>
    <row r="72" spans="2:24">
      <c r="B72" s="8">
        <v>44197</v>
      </c>
      <c r="C72">
        <v>61</v>
      </c>
      <c r="D72" s="3">
        <f t="shared" ref="D72:D95" si="11">(E72&amp;"-"&amp;F72)+0</f>
        <v>44197</v>
      </c>
      <c r="E72">
        <v>1</v>
      </c>
      <c r="F72">
        <v>2021</v>
      </c>
      <c r="G72" s="3">
        <f t="shared" ref="G72:G83" si="12">+B60</f>
        <v>43831</v>
      </c>
      <c r="X72" t="s">
        <v>143</v>
      </c>
    </row>
    <row r="73" spans="2:24">
      <c r="B73" s="8">
        <v>44228</v>
      </c>
      <c r="C73">
        <v>62</v>
      </c>
      <c r="D73" s="3">
        <f>(E73&amp;"-"&amp;F73)+0</f>
        <v>44228</v>
      </c>
      <c r="E73">
        <v>2</v>
      </c>
      <c r="F73">
        <v>2021</v>
      </c>
      <c r="G73" s="3">
        <f t="shared" si="12"/>
        <v>43862</v>
      </c>
      <c r="X73" t="s">
        <v>144</v>
      </c>
    </row>
    <row r="74" spans="2:24">
      <c r="B74" s="8">
        <v>44256</v>
      </c>
      <c r="C74">
        <v>63</v>
      </c>
      <c r="D74" s="3">
        <f t="shared" si="11"/>
        <v>44256</v>
      </c>
      <c r="E74">
        <v>3</v>
      </c>
      <c r="F74">
        <v>2021</v>
      </c>
      <c r="G74" s="3">
        <f t="shared" si="12"/>
        <v>43891</v>
      </c>
      <c r="X74" t="s">
        <v>145</v>
      </c>
    </row>
    <row r="75" spans="2:24">
      <c r="B75" s="8">
        <v>44287</v>
      </c>
      <c r="C75">
        <v>64</v>
      </c>
      <c r="D75" s="3">
        <f t="shared" si="11"/>
        <v>44287</v>
      </c>
      <c r="E75">
        <v>4</v>
      </c>
      <c r="F75">
        <v>2021</v>
      </c>
      <c r="G75" s="3">
        <f t="shared" si="12"/>
        <v>43922</v>
      </c>
      <c r="X75" t="s">
        <v>146</v>
      </c>
    </row>
    <row r="76" spans="2:24">
      <c r="B76" s="8">
        <v>44317</v>
      </c>
      <c r="C76">
        <v>65</v>
      </c>
      <c r="D76" s="3">
        <f t="shared" si="11"/>
        <v>44317</v>
      </c>
      <c r="E76">
        <v>5</v>
      </c>
      <c r="F76">
        <v>2021</v>
      </c>
      <c r="G76" s="3">
        <f t="shared" si="12"/>
        <v>43952</v>
      </c>
      <c r="X76" t="s">
        <v>147</v>
      </c>
    </row>
    <row r="77" spans="2:24">
      <c r="B77" s="8">
        <v>44348</v>
      </c>
      <c r="C77">
        <v>66</v>
      </c>
      <c r="D77" s="3">
        <f t="shared" si="11"/>
        <v>44348</v>
      </c>
      <c r="E77">
        <v>6</v>
      </c>
      <c r="F77">
        <v>2021</v>
      </c>
      <c r="G77" s="3">
        <f t="shared" si="12"/>
        <v>43983</v>
      </c>
      <c r="X77" t="s">
        <v>148</v>
      </c>
    </row>
    <row r="78" spans="2:24">
      <c r="B78" s="8">
        <v>44378</v>
      </c>
      <c r="C78">
        <v>67</v>
      </c>
      <c r="D78" s="3">
        <f t="shared" si="11"/>
        <v>44378</v>
      </c>
      <c r="E78">
        <v>7</v>
      </c>
      <c r="F78">
        <v>2021</v>
      </c>
      <c r="G78" s="3">
        <f t="shared" si="12"/>
        <v>44013</v>
      </c>
      <c r="X78" t="s">
        <v>149</v>
      </c>
    </row>
    <row r="79" spans="2:24">
      <c r="B79" s="8">
        <v>44409</v>
      </c>
      <c r="C79">
        <v>68</v>
      </c>
      <c r="D79" s="3">
        <f t="shared" si="11"/>
        <v>44409</v>
      </c>
      <c r="E79">
        <v>8</v>
      </c>
      <c r="F79">
        <v>2021</v>
      </c>
      <c r="G79" s="3">
        <f t="shared" si="12"/>
        <v>44044</v>
      </c>
      <c r="X79" t="s">
        <v>150</v>
      </c>
    </row>
    <row r="80" spans="2:24">
      <c r="B80" s="8">
        <v>44440</v>
      </c>
      <c r="C80">
        <v>69</v>
      </c>
      <c r="D80" s="3">
        <f t="shared" si="11"/>
        <v>44440</v>
      </c>
      <c r="E80">
        <v>9</v>
      </c>
      <c r="F80">
        <v>2021</v>
      </c>
      <c r="G80" s="3">
        <f t="shared" si="12"/>
        <v>44075</v>
      </c>
      <c r="X80" t="s">
        <v>151</v>
      </c>
    </row>
    <row r="81" spans="2:24">
      <c r="B81" s="8">
        <v>44470</v>
      </c>
      <c r="C81">
        <v>70</v>
      </c>
      <c r="D81" s="3">
        <f t="shared" si="11"/>
        <v>44470</v>
      </c>
      <c r="E81">
        <v>10</v>
      </c>
      <c r="F81">
        <v>2021</v>
      </c>
      <c r="G81" s="3">
        <f t="shared" si="12"/>
        <v>44105</v>
      </c>
      <c r="X81" t="s">
        <v>152</v>
      </c>
    </row>
    <row r="82" spans="2:24">
      <c r="B82" s="8">
        <v>44501</v>
      </c>
      <c r="C82">
        <v>71</v>
      </c>
      <c r="D82" s="3">
        <f t="shared" si="11"/>
        <v>44501</v>
      </c>
      <c r="E82">
        <v>11</v>
      </c>
      <c r="F82">
        <v>2021</v>
      </c>
      <c r="G82" s="3">
        <f t="shared" si="12"/>
        <v>44136</v>
      </c>
      <c r="X82" t="s">
        <v>153</v>
      </c>
    </row>
    <row r="83" spans="2:24">
      <c r="B83" s="8">
        <v>44531</v>
      </c>
      <c r="C83">
        <v>72</v>
      </c>
      <c r="D83" s="3">
        <f t="shared" si="11"/>
        <v>44531</v>
      </c>
      <c r="E83">
        <v>12</v>
      </c>
      <c r="F83">
        <v>2021</v>
      </c>
      <c r="G83" s="3">
        <f t="shared" si="12"/>
        <v>44166</v>
      </c>
      <c r="X83" t="s">
        <v>154</v>
      </c>
    </row>
    <row r="84" spans="2:24">
      <c r="B84" s="8">
        <v>44562</v>
      </c>
      <c r="C84">
        <v>73</v>
      </c>
      <c r="D84" s="3">
        <f t="shared" si="11"/>
        <v>44562</v>
      </c>
      <c r="E84">
        <v>1</v>
      </c>
      <c r="F84">
        <v>2022</v>
      </c>
      <c r="G84" s="3">
        <f t="shared" ref="G84:G95" si="13">+B72</f>
        <v>44197</v>
      </c>
    </row>
    <row r="85" spans="2:24">
      <c r="B85" s="8">
        <v>44593</v>
      </c>
      <c r="C85">
        <f>+C84+1</f>
        <v>74</v>
      </c>
      <c r="D85" s="3">
        <f t="shared" si="11"/>
        <v>44593</v>
      </c>
      <c r="E85">
        <v>2</v>
      </c>
      <c r="F85">
        <v>2022</v>
      </c>
      <c r="G85" s="3">
        <f t="shared" si="13"/>
        <v>44228</v>
      </c>
      <c r="X85" t="s">
        <v>155</v>
      </c>
    </row>
    <row r="86" spans="2:24">
      <c r="B86" s="8">
        <v>44621</v>
      </c>
      <c r="C86">
        <f t="shared" ref="C86:C107" si="14">+C85+1</f>
        <v>75</v>
      </c>
      <c r="D86" s="3">
        <f t="shared" si="11"/>
        <v>44621</v>
      </c>
      <c r="E86">
        <v>3</v>
      </c>
      <c r="F86">
        <v>2022</v>
      </c>
      <c r="G86" s="3">
        <f t="shared" si="13"/>
        <v>44256</v>
      </c>
      <c r="X86" t="s">
        <v>156</v>
      </c>
    </row>
    <row r="87" spans="2:24">
      <c r="B87" s="8">
        <v>44652</v>
      </c>
      <c r="C87">
        <f t="shared" si="14"/>
        <v>76</v>
      </c>
      <c r="D87" s="3">
        <f t="shared" si="11"/>
        <v>44652</v>
      </c>
      <c r="E87">
        <v>4</v>
      </c>
      <c r="F87">
        <v>2022</v>
      </c>
      <c r="G87" s="3">
        <f t="shared" si="13"/>
        <v>44287</v>
      </c>
    </row>
    <row r="88" spans="2:24">
      <c r="B88" s="8">
        <v>44682</v>
      </c>
      <c r="C88">
        <f t="shared" si="14"/>
        <v>77</v>
      </c>
      <c r="D88" s="3">
        <f t="shared" si="11"/>
        <v>44682</v>
      </c>
      <c r="E88">
        <v>5</v>
      </c>
      <c r="F88">
        <v>2022</v>
      </c>
      <c r="G88" s="3">
        <f t="shared" si="13"/>
        <v>44317</v>
      </c>
    </row>
    <row r="89" spans="2:24">
      <c r="B89" s="8">
        <v>44713</v>
      </c>
      <c r="C89">
        <f t="shared" si="14"/>
        <v>78</v>
      </c>
      <c r="D89" s="3">
        <f t="shared" si="11"/>
        <v>44713</v>
      </c>
      <c r="E89">
        <v>6</v>
      </c>
      <c r="F89">
        <v>2022</v>
      </c>
      <c r="G89" s="3">
        <f t="shared" si="13"/>
        <v>44348</v>
      </c>
    </row>
    <row r="90" spans="2:24">
      <c r="B90" s="8">
        <v>44743</v>
      </c>
      <c r="C90">
        <f t="shared" si="14"/>
        <v>79</v>
      </c>
      <c r="D90" s="3">
        <f t="shared" si="11"/>
        <v>44743</v>
      </c>
      <c r="E90">
        <v>7</v>
      </c>
      <c r="F90">
        <v>2022</v>
      </c>
      <c r="G90" s="3">
        <f t="shared" si="13"/>
        <v>44378</v>
      </c>
    </row>
    <row r="91" spans="2:24">
      <c r="B91" s="8">
        <v>44774</v>
      </c>
      <c r="C91">
        <f t="shared" si="14"/>
        <v>80</v>
      </c>
      <c r="D91" s="3">
        <f t="shared" si="11"/>
        <v>44774</v>
      </c>
      <c r="E91">
        <v>8</v>
      </c>
      <c r="F91">
        <v>2022</v>
      </c>
      <c r="G91" s="3">
        <f t="shared" si="13"/>
        <v>44409</v>
      </c>
    </row>
    <row r="92" spans="2:24">
      <c r="B92" s="8">
        <v>44805</v>
      </c>
      <c r="C92">
        <f t="shared" si="14"/>
        <v>81</v>
      </c>
      <c r="D92" s="3">
        <f t="shared" si="11"/>
        <v>44805</v>
      </c>
      <c r="E92">
        <v>9</v>
      </c>
      <c r="F92">
        <v>2022</v>
      </c>
      <c r="G92" s="3">
        <f t="shared" si="13"/>
        <v>44440</v>
      </c>
    </row>
    <row r="93" spans="2:24">
      <c r="B93" s="8">
        <v>44835</v>
      </c>
      <c r="C93">
        <f t="shared" si="14"/>
        <v>82</v>
      </c>
      <c r="D93" s="3">
        <f t="shared" si="11"/>
        <v>44835</v>
      </c>
      <c r="E93">
        <v>10</v>
      </c>
      <c r="F93">
        <v>2022</v>
      </c>
      <c r="G93" s="3">
        <f t="shared" si="13"/>
        <v>44470</v>
      </c>
    </row>
    <row r="94" spans="2:24">
      <c r="B94" s="8">
        <v>44866</v>
      </c>
      <c r="C94">
        <f t="shared" si="14"/>
        <v>83</v>
      </c>
      <c r="D94" s="3">
        <f t="shared" si="11"/>
        <v>44866</v>
      </c>
      <c r="E94">
        <v>11</v>
      </c>
      <c r="F94">
        <v>2022</v>
      </c>
      <c r="G94" s="3">
        <f t="shared" si="13"/>
        <v>44501</v>
      </c>
    </row>
    <row r="95" spans="2:24">
      <c r="B95" s="8">
        <v>44896</v>
      </c>
      <c r="C95">
        <f t="shared" si="14"/>
        <v>84</v>
      </c>
      <c r="D95" s="3">
        <f t="shared" si="11"/>
        <v>44896</v>
      </c>
      <c r="E95">
        <v>12</v>
      </c>
      <c r="F95">
        <v>2022</v>
      </c>
      <c r="G95" s="3">
        <f t="shared" si="13"/>
        <v>44531</v>
      </c>
    </row>
    <row r="96" spans="2:24">
      <c r="B96" s="8">
        <v>44927</v>
      </c>
      <c r="C96">
        <f t="shared" si="14"/>
        <v>85</v>
      </c>
      <c r="D96" s="3">
        <f>(E96&amp;"-"&amp;F96)+0</f>
        <v>44927</v>
      </c>
      <c r="E96">
        <v>1</v>
      </c>
      <c r="F96">
        <v>2023</v>
      </c>
      <c r="G96" s="3">
        <f>+B84</f>
        <v>44562</v>
      </c>
    </row>
    <row r="97" spans="2:7">
      <c r="B97" s="8">
        <v>44958</v>
      </c>
      <c r="C97">
        <f t="shared" si="14"/>
        <v>86</v>
      </c>
      <c r="D97" s="3">
        <f t="shared" ref="D97:D132" si="15">(E97&amp;"-"&amp;F97)+0</f>
        <v>44958</v>
      </c>
      <c r="E97">
        <v>2</v>
      </c>
      <c r="F97">
        <v>2023</v>
      </c>
      <c r="G97" s="3">
        <f t="shared" ref="G97:G118" si="16">+B85</f>
        <v>44593</v>
      </c>
    </row>
    <row r="98" spans="2:7">
      <c r="B98" s="8">
        <v>44986</v>
      </c>
      <c r="C98">
        <f t="shared" si="14"/>
        <v>87</v>
      </c>
      <c r="D98" s="3">
        <f t="shared" si="15"/>
        <v>44986</v>
      </c>
      <c r="E98">
        <v>3</v>
      </c>
      <c r="F98">
        <v>2023</v>
      </c>
      <c r="G98" s="3">
        <f t="shared" si="16"/>
        <v>44621</v>
      </c>
    </row>
    <row r="99" spans="2:7">
      <c r="B99" s="8">
        <v>45017</v>
      </c>
      <c r="C99">
        <f t="shared" si="14"/>
        <v>88</v>
      </c>
      <c r="D99" s="3">
        <f t="shared" si="15"/>
        <v>45017</v>
      </c>
      <c r="E99">
        <v>4</v>
      </c>
      <c r="F99">
        <v>2023</v>
      </c>
      <c r="G99" s="3">
        <f t="shared" si="16"/>
        <v>44652</v>
      </c>
    </row>
    <row r="100" spans="2:7">
      <c r="B100" s="8">
        <v>45047</v>
      </c>
      <c r="C100">
        <f t="shared" si="14"/>
        <v>89</v>
      </c>
      <c r="D100" s="3">
        <f t="shared" si="15"/>
        <v>45047</v>
      </c>
      <c r="E100">
        <v>5</v>
      </c>
      <c r="F100">
        <v>2023</v>
      </c>
      <c r="G100" s="3">
        <f t="shared" si="16"/>
        <v>44682</v>
      </c>
    </row>
    <row r="101" spans="2:7">
      <c r="B101" s="8">
        <v>45078</v>
      </c>
      <c r="C101">
        <f t="shared" si="14"/>
        <v>90</v>
      </c>
      <c r="D101" s="3">
        <f t="shared" si="15"/>
        <v>45078</v>
      </c>
      <c r="E101">
        <v>6</v>
      </c>
      <c r="F101">
        <v>2023</v>
      </c>
      <c r="G101" s="3">
        <f t="shared" si="16"/>
        <v>44713</v>
      </c>
    </row>
    <row r="102" spans="2:7">
      <c r="B102" s="8">
        <v>45108</v>
      </c>
      <c r="C102">
        <f t="shared" si="14"/>
        <v>91</v>
      </c>
      <c r="D102" s="3">
        <f t="shared" si="15"/>
        <v>45108</v>
      </c>
      <c r="E102">
        <v>7</v>
      </c>
      <c r="F102">
        <v>2023</v>
      </c>
      <c r="G102" s="3">
        <f t="shared" si="16"/>
        <v>44743</v>
      </c>
    </row>
    <row r="103" spans="2:7">
      <c r="B103" s="8">
        <v>45139</v>
      </c>
      <c r="C103">
        <f t="shared" si="14"/>
        <v>92</v>
      </c>
      <c r="D103" s="3">
        <f t="shared" si="15"/>
        <v>45139</v>
      </c>
      <c r="E103">
        <v>8</v>
      </c>
      <c r="F103">
        <v>2023</v>
      </c>
      <c r="G103" s="3">
        <f t="shared" si="16"/>
        <v>44774</v>
      </c>
    </row>
    <row r="104" spans="2:7">
      <c r="B104" s="8">
        <v>45170</v>
      </c>
      <c r="C104">
        <f t="shared" si="14"/>
        <v>93</v>
      </c>
      <c r="D104" s="3">
        <f t="shared" si="15"/>
        <v>45170</v>
      </c>
      <c r="E104">
        <v>9</v>
      </c>
      <c r="F104">
        <v>2023</v>
      </c>
      <c r="G104" s="3">
        <f t="shared" si="16"/>
        <v>44805</v>
      </c>
    </row>
    <row r="105" spans="2:7">
      <c r="B105" s="8">
        <v>45200</v>
      </c>
      <c r="C105">
        <f t="shared" si="14"/>
        <v>94</v>
      </c>
      <c r="D105" s="3">
        <f t="shared" si="15"/>
        <v>45200</v>
      </c>
      <c r="E105">
        <v>10</v>
      </c>
      <c r="F105">
        <v>2023</v>
      </c>
      <c r="G105" s="3">
        <f t="shared" si="16"/>
        <v>44835</v>
      </c>
    </row>
    <row r="106" spans="2:7">
      <c r="B106" s="8">
        <v>45231</v>
      </c>
      <c r="C106">
        <f t="shared" si="14"/>
        <v>95</v>
      </c>
      <c r="D106" s="3">
        <f t="shared" si="15"/>
        <v>45231</v>
      </c>
      <c r="E106">
        <v>11</v>
      </c>
      <c r="F106">
        <v>2023</v>
      </c>
      <c r="G106" s="3">
        <f t="shared" si="16"/>
        <v>44866</v>
      </c>
    </row>
    <row r="107" spans="2:7">
      <c r="B107" s="8">
        <v>45261</v>
      </c>
      <c r="C107">
        <f t="shared" si="14"/>
        <v>96</v>
      </c>
      <c r="D107" s="3">
        <f t="shared" si="15"/>
        <v>45261</v>
      </c>
      <c r="E107">
        <v>12</v>
      </c>
      <c r="F107">
        <v>2023</v>
      </c>
      <c r="G107" s="3">
        <f t="shared" si="16"/>
        <v>44896</v>
      </c>
    </row>
    <row r="108" spans="2:7">
      <c r="B108" s="8">
        <v>45292</v>
      </c>
      <c r="C108">
        <f t="shared" ref="C108:C119" si="17">+C107+1</f>
        <v>97</v>
      </c>
      <c r="D108" s="3">
        <f t="shared" si="15"/>
        <v>45292</v>
      </c>
      <c r="E108">
        <v>1</v>
      </c>
      <c r="F108">
        <v>2024</v>
      </c>
      <c r="G108" s="3">
        <f t="shared" si="16"/>
        <v>44927</v>
      </c>
    </row>
    <row r="109" spans="2:7">
      <c r="B109" s="8">
        <v>45323</v>
      </c>
      <c r="C109">
        <f t="shared" si="17"/>
        <v>98</v>
      </c>
      <c r="D109" s="3">
        <f t="shared" si="15"/>
        <v>45323</v>
      </c>
      <c r="E109">
        <v>2</v>
      </c>
      <c r="F109">
        <v>2024</v>
      </c>
      <c r="G109" s="3">
        <f t="shared" si="16"/>
        <v>44958</v>
      </c>
    </row>
    <row r="110" spans="2:7">
      <c r="B110" s="8">
        <v>45352</v>
      </c>
      <c r="C110">
        <f t="shared" si="17"/>
        <v>99</v>
      </c>
      <c r="D110" s="3">
        <f t="shared" si="15"/>
        <v>45352</v>
      </c>
      <c r="E110">
        <v>3</v>
      </c>
      <c r="F110">
        <v>2024</v>
      </c>
      <c r="G110" s="3">
        <f t="shared" si="16"/>
        <v>44986</v>
      </c>
    </row>
    <row r="111" spans="2:7">
      <c r="B111" s="8">
        <v>45383</v>
      </c>
      <c r="C111">
        <f t="shared" si="17"/>
        <v>100</v>
      </c>
      <c r="D111" s="3">
        <f t="shared" si="15"/>
        <v>45383</v>
      </c>
      <c r="E111">
        <v>4</v>
      </c>
      <c r="F111">
        <v>2024</v>
      </c>
      <c r="G111" s="3">
        <f t="shared" si="16"/>
        <v>45017</v>
      </c>
    </row>
    <row r="112" spans="2:7">
      <c r="B112" s="8">
        <v>45413</v>
      </c>
      <c r="C112">
        <f t="shared" si="17"/>
        <v>101</v>
      </c>
      <c r="D112" s="3">
        <f t="shared" si="15"/>
        <v>45413</v>
      </c>
      <c r="E112">
        <v>5</v>
      </c>
      <c r="F112">
        <v>2024</v>
      </c>
      <c r="G112" s="3">
        <f t="shared" si="16"/>
        <v>45047</v>
      </c>
    </row>
    <row r="113" spans="2:7">
      <c r="B113" s="8">
        <v>45444</v>
      </c>
      <c r="C113">
        <f t="shared" si="17"/>
        <v>102</v>
      </c>
      <c r="D113" s="3">
        <f t="shared" si="15"/>
        <v>45444</v>
      </c>
      <c r="E113">
        <v>6</v>
      </c>
      <c r="F113">
        <v>2024</v>
      </c>
      <c r="G113" s="3">
        <f t="shared" si="16"/>
        <v>45078</v>
      </c>
    </row>
    <row r="114" spans="2:7">
      <c r="B114" s="8">
        <v>45474</v>
      </c>
      <c r="C114">
        <f t="shared" si="17"/>
        <v>103</v>
      </c>
      <c r="D114" s="3">
        <f t="shared" si="15"/>
        <v>45474</v>
      </c>
      <c r="E114">
        <v>7</v>
      </c>
      <c r="F114">
        <v>2024</v>
      </c>
      <c r="G114" s="3">
        <f t="shared" si="16"/>
        <v>45108</v>
      </c>
    </row>
    <row r="115" spans="2:7">
      <c r="B115" s="8">
        <v>45505</v>
      </c>
      <c r="C115">
        <f t="shared" si="17"/>
        <v>104</v>
      </c>
      <c r="D115" s="3">
        <f t="shared" si="15"/>
        <v>45505</v>
      </c>
      <c r="E115">
        <v>8</v>
      </c>
      <c r="F115">
        <v>2024</v>
      </c>
      <c r="G115" s="3">
        <f t="shared" si="16"/>
        <v>45139</v>
      </c>
    </row>
    <row r="116" spans="2:7">
      <c r="B116" s="8">
        <v>45536</v>
      </c>
      <c r="C116">
        <f t="shared" si="17"/>
        <v>105</v>
      </c>
      <c r="D116" s="3">
        <f t="shared" si="15"/>
        <v>45536</v>
      </c>
      <c r="E116">
        <v>9</v>
      </c>
      <c r="F116">
        <v>2024</v>
      </c>
      <c r="G116" s="3">
        <f t="shared" si="16"/>
        <v>45170</v>
      </c>
    </row>
    <row r="117" spans="2:7">
      <c r="B117" s="8">
        <v>45566</v>
      </c>
      <c r="C117">
        <f t="shared" si="17"/>
        <v>106</v>
      </c>
      <c r="D117" s="3">
        <f t="shared" si="15"/>
        <v>45566</v>
      </c>
      <c r="E117">
        <v>10</v>
      </c>
      <c r="F117">
        <v>2024</v>
      </c>
      <c r="G117" s="3">
        <f t="shared" si="16"/>
        <v>45200</v>
      </c>
    </row>
    <row r="118" spans="2:7">
      <c r="B118" s="8">
        <v>45597</v>
      </c>
      <c r="C118">
        <f t="shared" si="17"/>
        <v>107</v>
      </c>
      <c r="D118" s="3">
        <f t="shared" si="15"/>
        <v>45597</v>
      </c>
      <c r="E118">
        <v>11</v>
      </c>
      <c r="F118">
        <v>2024</v>
      </c>
      <c r="G118" s="3">
        <f t="shared" si="16"/>
        <v>45231</v>
      </c>
    </row>
    <row r="119" spans="2:7">
      <c r="B119" s="8">
        <v>45627</v>
      </c>
      <c r="C119">
        <f t="shared" si="17"/>
        <v>108</v>
      </c>
      <c r="D119" s="3">
        <f t="shared" si="15"/>
        <v>45627</v>
      </c>
      <c r="E119">
        <v>12</v>
      </c>
      <c r="F119">
        <v>2024</v>
      </c>
      <c r="G119" s="3">
        <f t="shared" ref="G119:G131" si="18">+B107</f>
        <v>45261</v>
      </c>
    </row>
    <row r="120" spans="2:7">
      <c r="B120" s="8">
        <v>45658</v>
      </c>
      <c r="C120">
        <f t="shared" ref="C120:C131" si="19">+C119+1</f>
        <v>109</v>
      </c>
      <c r="D120" s="3">
        <f t="shared" si="15"/>
        <v>45658</v>
      </c>
      <c r="E120">
        <v>1</v>
      </c>
      <c r="F120">
        <v>2025</v>
      </c>
      <c r="G120" s="3">
        <f t="shared" si="18"/>
        <v>45292</v>
      </c>
    </row>
    <row r="121" spans="2:7">
      <c r="B121" s="8">
        <v>45689</v>
      </c>
      <c r="C121">
        <f t="shared" si="19"/>
        <v>110</v>
      </c>
      <c r="D121" s="3">
        <f t="shared" si="15"/>
        <v>45689</v>
      </c>
      <c r="E121">
        <v>2</v>
      </c>
      <c r="F121">
        <v>2025</v>
      </c>
      <c r="G121" s="3">
        <f t="shared" si="18"/>
        <v>45323</v>
      </c>
    </row>
    <row r="122" spans="2:7">
      <c r="B122" s="8">
        <v>45717</v>
      </c>
      <c r="C122">
        <f t="shared" si="19"/>
        <v>111</v>
      </c>
      <c r="D122" s="3">
        <f t="shared" si="15"/>
        <v>45717</v>
      </c>
      <c r="E122">
        <v>3</v>
      </c>
      <c r="F122">
        <v>2025</v>
      </c>
      <c r="G122" s="3">
        <f t="shared" si="18"/>
        <v>45352</v>
      </c>
    </row>
    <row r="123" spans="2:7">
      <c r="B123" s="8">
        <v>45748</v>
      </c>
      <c r="C123">
        <f t="shared" si="19"/>
        <v>112</v>
      </c>
      <c r="D123" s="3">
        <f t="shared" si="15"/>
        <v>45748</v>
      </c>
      <c r="E123">
        <v>4</v>
      </c>
      <c r="F123">
        <v>2025</v>
      </c>
      <c r="G123" s="3">
        <f t="shared" si="18"/>
        <v>45383</v>
      </c>
    </row>
    <row r="124" spans="2:7">
      <c r="B124" s="8">
        <v>45778</v>
      </c>
      <c r="C124">
        <f t="shared" si="19"/>
        <v>113</v>
      </c>
      <c r="D124" s="3">
        <f t="shared" si="15"/>
        <v>45778</v>
      </c>
      <c r="E124">
        <v>5</v>
      </c>
      <c r="F124">
        <v>2025</v>
      </c>
      <c r="G124" s="3">
        <f t="shared" si="18"/>
        <v>45413</v>
      </c>
    </row>
    <row r="125" spans="2:7">
      <c r="B125" s="8">
        <v>45809</v>
      </c>
      <c r="C125">
        <f t="shared" si="19"/>
        <v>114</v>
      </c>
      <c r="D125" s="3">
        <f t="shared" si="15"/>
        <v>45809</v>
      </c>
      <c r="E125">
        <v>6</v>
      </c>
      <c r="F125">
        <v>2025</v>
      </c>
      <c r="G125" s="3">
        <f t="shared" si="18"/>
        <v>45444</v>
      </c>
    </row>
    <row r="126" spans="2:7">
      <c r="B126" s="8">
        <v>45839</v>
      </c>
      <c r="C126">
        <f t="shared" si="19"/>
        <v>115</v>
      </c>
      <c r="D126" s="3">
        <f t="shared" si="15"/>
        <v>45839</v>
      </c>
      <c r="E126">
        <v>7</v>
      </c>
      <c r="F126">
        <v>2025</v>
      </c>
      <c r="G126" s="3">
        <f t="shared" si="18"/>
        <v>45474</v>
      </c>
    </row>
    <row r="127" spans="2:7">
      <c r="B127" s="8">
        <v>45870</v>
      </c>
      <c r="C127">
        <f t="shared" si="19"/>
        <v>116</v>
      </c>
      <c r="D127" s="3">
        <f t="shared" si="15"/>
        <v>45870</v>
      </c>
      <c r="E127">
        <v>8</v>
      </c>
      <c r="F127">
        <v>2025</v>
      </c>
      <c r="G127" s="3">
        <f t="shared" si="18"/>
        <v>45505</v>
      </c>
    </row>
    <row r="128" spans="2:7">
      <c r="B128" s="8">
        <v>45901</v>
      </c>
      <c r="C128">
        <f t="shared" si="19"/>
        <v>117</v>
      </c>
      <c r="D128" s="3">
        <f t="shared" si="15"/>
        <v>45901</v>
      </c>
      <c r="E128">
        <v>9</v>
      </c>
      <c r="F128">
        <v>2025</v>
      </c>
      <c r="G128" s="3">
        <f t="shared" si="18"/>
        <v>45536</v>
      </c>
    </row>
    <row r="129" spans="2:7">
      <c r="B129" s="8">
        <v>45931</v>
      </c>
      <c r="C129">
        <f t="shared" si="19"/>
        <v>118</v>
      </c>
      <c r="D129" s="3">
        <f t="shared" si="15"/>
        <v>45931</v>
      </c>
      <c r="E129">
        <v>10</v>
      </c>
      <c r="F129">
        <v>2025</v>
      </c>
      <c r="G129" s="3">
        <f t="shared" si="18"/>
        <v>45566</v>
      </c>
    </row>
    <row r="130" spans="2:7">
      <c r="B130" s="8">
        <v>45962</v>
      </c>
      <c r="C130">
        <f t="shared" si="19"/>
        <v>119</v>
      </c>
      <c r="D130" s="3">
        <f t="shared" si="15"/>
        <v>45962</v>
      </c>
      <c r="E130">
        <v>11</v>
      </c>
      <c r="F130">
        <v>2025</v>
      </c>
      <c r="G130" s="3">
        <f t="shared" si="18"/>
        <v>45597</v>
      </c>
    </row>
    <row r="131" spans="2:7">
      <c r="B131" s="8">
        <v>45992</v>
      </c>
      <c r="C131">
        <f t="shared" si="19"/>
        <v>120</v>
      </c>
      <c r="D131" s="3">
        <f t="shared" si="15"/>
        <v>45992</v>
      </c>
      <c r="E131">
        <v>12</v>
      </c>
      <c r="F131">
        <v>2025</v>
      </c>
      <c r="G131" s="3">
        <f t="shared" si="18"/>
        <v>45627</v>
      </c>
    </row>
    <row r="132" spans="2:7">
      <c r="B132" s="8">
        <v>46023</v>
      </c>
      <c r="C132">
        <f t="shared" ref="C132:C143" si="20">+C131+1</f>
        <v>121</v>
      </c>
      <c r="D132" s="3">
        <f t="shared" si="15"/>
        <v>46023</v>
      </c>
      <c r="E132">
        <v>1</v>
      </c>
      <c r="F132">
        <v>2026</v>
      </c>
      <c r="G132" s="3">
        <f t="shared" ref="G132:G143" si="21">+B120</f>
        <v>45658</v>
      </c>
    </row>
    <row r="133" spans="2:7">
      <c r="B133" s="8">
        <v>46054</v>
      </c>
      <c r="C133">
        <f t="shared" si="20"/>
        <v>122</v>
      </c>
      <c r="D133" s="3">
        <f t="shared" ref="D133:D143" si="22">(E133&amp;"-"&amp;F133)+0</f>
        <v>46054</v>
      </c>
      <c r="E133">
        <v>2</v>
      </c>
      <c r="F133">
        <v>2026</v>
      </c>
      <c r="G133" s="3">
        <f t="shared" si="21"/>
        <v>45689</v>
      </c>
    </row>
    <row r="134" spans="2:7">
      <c r="B134" s="8">
        <v>46082</v>
      </c>
      <c r="C134">
        <f t="shared" si="20"/>
        <v>123</v>
      </c>
      <c r="D134" s="3">
        <f t="shared" si="22"/>
        <v>46082</v>
      </c>
      <c r="E134">
        <v>3</v>
      </c>
      <c r="F134">
        <v>2026</v>
      </c>
      <c r="G134" s="3">
        <f t="shared" si="21"/>
        <v>45717</v>
      </c>
    </row>
    <row r="135" spans="2:7">
      <c r="B135" s="8">
        <v>46113</v>
      </c>
      <c r="C135">
        <f t="shared" si="20"/>
        <v>124</v>
      </c>
      <c r="D135" s="3">
        <f t="shared" si="22"/>
        <v>46113</v>
      </c>
      <c r="E135">
        <v>4</v>
      </c>
      <c r="F135">
        <v>2026</v>
      </c>
      <c r="G135" s="3">
        <f t="shared" si="21"/>
        <v>45748</v>
      </c>
    </row>
    <row r="136" spans="2:7">
      <c r="B136" s="8">
        <v>46143</v>
      </c>
      <c r="C136">
        <f t="shared" si="20"/>
        <v>125</v>
      </c>
      <c r="D136" s="3">
        <f t="shared" si="22"/>
        <v>46143</v>
      </c>
      <c r="E136">
        <v>5</v>
      </c>
      <c r="F136">
        <v>2026</v>
      </c>
      <c r="G136" s="3">
        <f t="shared" si="21"/>
        <v>45778</v>
      </c>
    </row>
    <row r="137" spans="2:7">
      <c r="B137" s="8">
        <v>46174</v>
      </c>
      <c r="C137">
        <f t="shared" si="20"/>
        <v>126</v>
      </c>
      <c r="D137" s="3">
        <f t="shared" si="22"/>
        <v>46174</v>
      </c>
      <c r="E137">
        <v>6</v>
      </c>
      <c r="F137">
        <v>2026</v>
      </c>
      <c r="G137" s="3">
        <f t="shared" si="21"/>
        <v>45809</v>
      </c>
    </row>
    <row r="138" spans="2:7">
      <c r="B138" s="8">
        <v>46204</v>
      </c>
      <c r="C138">
        <f t="shared" si="20"/>
        <v>127</v>
      </c>
      <c r="D138" s="3">
        <f t="shared" si="22"/>
        <v>46204</v>
      </c>
      <c r="E138">
        <v>7</v>
      </c>
      <c r="F138">
        <v>2026</v>
      </c>
      <c r="G138" s="3">
        <f t="shared" si="21"/>
        <v>45839</v>
      </c>
    </row>
    <row r="139" spans="2:7">
      <c r="B139" s="8">
        <v>46235</v>
      </c>
      <c r="C139">
        <f t="shared" si="20"/>
        <v>128</v>
      </c>
      <c r="D139" s="3">
        <f t="shared" si="22"/>
        <v>46235</v>
      </c>
      <c r="E139">
        <v>8</v>
      </c>
      <c r="F139">
        <v>2026</v>
      </c>
      <c r="G139" s="3">
        <f t="shared" si="21"/>
        <v>45870</v>
      </c>
    </row>
    <row r="140" spans="2:7">
      <c r="B140" s="8">
        <v>46266</v>
      </c>
      <c r="C140">
        <f t="shared" si="20"/>
        <v>129</v>
      </c>
      <c r="D140" s="3">
        <f t="shared" si="22"/>
        <v>46266</v>
      </c>
      <c r="E140">
        <v>9</v>
      </c>
      <c r="F140">
        <v>2026</v>
      </c>
      <c r="G140" s="3">
        <f t="shared" si="21"/>
        <v>45901</v>
      </c>
    </row>
    <row r="141" spans="2:7">
      <c r="B141" s="8">
        <v>46296</v>
      </c>
      <c r="C141">
        <f t="shared" si="20"/>
        <v>130</v>
      </c>
      <c r="D141" s="3">
        <f t="shared" si="22"/>
        <v>46296</v>
      </c>
      <c r="E141">
        <v>10</v>
      </c>
      <c r="F141">
        <v>2026</v>
      </c>
      <c r="G141" s="3">
        <f t="shared" si="21"/>
        <v>45931</v>
      </c>
    </row>
    <row r="142" spans="2:7">
      <c r="B142" s="8">
        <v>46327</v>
      </c>
      <c r="C142">
        <f t="shared" si="20"/>
        <v>131</v>
      </c>
      <c r="D142" s="3">
        <f t="shared" si="22"/>
        <v>46327</v>
      </c>
      <c r="E142">
        <v>11</v>
      </c>
      <c r="F142">
        <v>2026</v>
      </c>
      <c r="G142" s="3">
        <f t="shared" si="21"/>
        <v>45962</v>
      </c>
    </row>
    <row r="143" spans="2:7">
      <c r="B143" s="8">
        <v>46357</v>
      </c>
      <c r="C143">
        <f t="shared" si="20"/>
        <v>132</v>
      </c>
      <c r="D143" s="3">
        <f t="shared" si="22"/>
        <v>46357</v>
      </c>
      <c r="E143">
        <v>12</v>
      </c>
      <c r="F143">
        <v>2026</v>
      </c>
      <c r="G143" s="3">
        <f t="shared" si="21"/>
        <v>45992</v>
      </c>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172E-17C4-480A-AE15-90A067BF469D}">
  <sheetPr>
    <tabColor rgb="FF7030A0"/>
  </sheetPr>
  <dimension ref="A1:EN54"/>
  <sheetViews>
    <sheetView zoomScale="80" zoomScaleNormal="80" workbookViewId="0">
      <pane xSplit="1" ySplit="2" topLeftCell="BJ3" activePane="bottomRight" state="frozen"/>
      <selection pane="topRight" activeCell="B1" sqref="B1"/>
      <selection pane="bottomLeft" activeCell="A3" sqref="A3"/>
      <selection pane="bottomRight" activeCell="BN12" sqref="BN10:BN12"/>
    </sheetView>
  </sheetViews>
  <sheetFormatPr baseColWidth="10" defaultRowHeight="13.8"/>
  <cols>
    <col min="1" max="1" width="9.44140625" bestFit="1" customWidth="1"/>
    <col min="2" max="2" width="10.6640625" style="141" bestFit="1" customWidth="1"/>
    <col min="3" max="32" width="10.33203125" style="141" bestFit="1" customWidth="1"/>
    <col min="33" max="56" width="9.44140625" bestFit="1" customWidth="1"/>
    <col min="57" max="57" width="9.88671875" bestFit="1" customWidth="1"/>
    <col min="58" max="63" width="9.44140625" bestFit="1" customWidth="1"/>
    <col min="64" max="64" width="9.44140625" customWidth="1"/>
    <col min="65" max="65" width="7.5546875" bestFit="1" customWidth="1"/>
    <col min="66" max="70" width="9.44140625" customWidth="1"/>
    <col min="71" max="71" width="9.109375" bestFit="1" customWidth="1"/>
    <col min="72" max="72" width="10.5546875" customWidth="1"/>
    <col min="73" max="73" width="10.88671875" customWidth="1"/>
    <col min="74" max="77" width="9.44140625" customWidth="1"/>
    <col min="78" max="78" width="8.5546875" customWidth="1"/>
    <col min="79" max="86" width="9.44140625" customWidth="1"/>
    <col min="94" max="94" width="11.6640625" bestFit="1" customWidth="1"/>
  </cols>
  <sheetData>
    <row r="1" spans="1:144" ht="14.4">
      <c r="A1" s="474" t="s">
        <v>821</v>
      </c>
      <c r="B1" s="473" t="s">
        <v>237</v>
      </c>
      <c r="C1" s="469"/>
      <c r="D1" s="469"/>
      <c r="E1" s="469"/>
      <c r="F1" s="469"/>
      <c r="G1" s="469"/>
      <c r="H1" s="469"/>
      <c r="I1" s="469"/>
      <c r="J1" s="469"/>
      <c r="K1" s="469"/>
      <c r="L1" s="469"/>
      <c r="M1" s="469"/>
      <c r="N1" s="469"/>
      <c r="O1" s="469"/>
      <c r="P1" s="469"/>
      <c r="Q1" s="469"/>
      <c r="R1" s="469"/>
      <c r="S1" s="469"/>
      <c r="T1" s="469"/>
      <c r="U1" s="469"/>
      <c r="V1" s="469"/>
      <c r="W1" s="469"/>
      <c r="X1" s="469"/>
      <c r="Y1" s="469"/>
      <c r="Z1" s="469"/>
      <c r="AA1" s="469"/>
      <c r="AB1" s="469"/>
      <c r="AC1" s="469"/>
      <c r="AD1" s="469"/>
      <c r="AE1" s="469"/>
      <c r="AF1" s="469"/>
      <c r="AG1" s="106" t="s">
        <v>238</v>
      </c>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t="str">
        <f>A1</f>
        <v>Anual</v>
      </c>
      <c r="BN1" s="468" t="s">
        <v>237</v>
      </c>
      <c r="BO1" s="468"/>
      <c r="BP1" s="468"/>
      <c r="BQ1" s="468"/>
      <c r="BR1" s="468"/>
      <c r="BS1" s="468"/>
      <c r="BT1" s="468"/>
      <c r="BU1" s="468"/>
      <c r="BV1" s="468"/>
      <c r="BW1" s="468"/>
      <c r="BX1" s="468"/>
      <c r="BY1" s="468"/>
      <c r="BZ1" s="468"/>
      <c r="CA1" s="468"/>
      <c r="CB1" s="468"/>
      <c r="CC1" s="468"/>
      <c r="CD1" s="468"/>
      <c r="CE1" s="468"/>
      <c r="CF1" s="468"/>
      <c r="CG1" s="468"/>
      <c r="CH1" s="106" t="s">
        <v>238</v>
      </c>
      <c r="CI1" s="106"/>
      <c r="CJ1" s="106"/>
      <c r="CK1" s="106"/>
      <c r="CL1" s="106"/>
      <c r="CM1" s="106"/>
      <c r="CN1" s="106"/>
      <c r="CO1" s="106"/>
      <c r="CP1" s="106"/>
      <c r="CQ1" s="106"/>
      <c r="CR1" s="106"/>
      <c r="CS1" s="106"/>
      <c r="CT1" s="106"/>
      <c r="CU1" s="106"/>
      <c r="CV1" s="106"/>
      <c r="CW1" s="106"/>
      <c r="CX1" s="106"/>
      <c r="CY1" s="106"/>
      <c r="CZ1" s="106"/>
      <c r="DB1" s="489" t="s">
        <v>822</v>
      </c>
      <c r="DC1" s="489"/>
      <c r="DD1" s="489"/>
      <c r="DE1" s="489"/>
      <c r="DF1" s="489"/>
      <c r="DG1" s="489"/>
      <c r="DH1" s="489"/>
      <c r="DI1" s="489"/>
      <c r="DJ1" s="489"/>
      <c r="DK1" s="489"/>
      <c r="DL1" s="489"/>
      <c r="DM1" s="489"/>
      <c r="DN1" s="489"/>
      <c r="DO1" s="489"/>
      <c r="DP1" s="489"/>
      <c r="DQ1" s="489"/>
      <c r="DR1" s="489"/>
      <c r="DS1" s="489"/>
      <c r="DT1" s="489"/>
      <c r="DV1" t="s">
        <v>823</v>
      </c>
    </row>
    <row r="2" spans="1:144" ht="41.4">
      <c r="B2" s="141" t="s">
        <v>28</v>
      </c>
      <c r="C2" s="141" t="s">
        <v>13</v>
      </c>
      <c r="D2" s="141" t="s">
        <v>23</v>
      </c>
      <c r="E2" s="141" t="s">
        <v>24</v>
      </c>
      <c r="F2" s="141" t="s">
        <v>0</v>
      </c>
      <c r="G2" s="141" t="s">
        <v>25</v>
      </c>
      <c r="H2" s="141" t="s">
        <v>12</v>
      </c>
      <c r="I2" s="141" t="s">
        <v>22</v>
      </c>
      <c r="J2" s="141" t="s">
        <v>21</v>
      </c>
      <c r="K2" s="141" t="s">
        <v>66</v>
      </c>
      <c r="L2" s="141" t="s">
        <v>68</v>
      </c>
      <c r="M2" s="141" t="s">
        <v>112</v>
      </c>
      <c r="N2" s="141" t="s">
        <v>69</v>
      </c>
      <c r="O2" s="141" t="s">
        <v>113</v>
      </c>
      <c r="P2" s="141" t="s">
        <v>114</v>
      </c>
      <c r="Q2" s="141" t="s">
        <v>159</v>
      </c>
      <c r="R2" s="141" t="s">
        <v>70</v>
      </c>
      <c r="S2" s="141" t="s">
        <v>71</v>
      </c>
      <c r="T2" s="141" t="s">
        <v>74</v>
      </c>
      <c r="U2" s="141" t="s">
        <v>73</v>
      </c>
      <c r="V2" s="141" t="s">
        <v>72</v>
      </c>
      <c r="W2" s="141" t="s">
        <v>115</v>
      </c>
      <c r="X2" s="141" t="s">
        <v>116</v>
      </c>
      <c r="Y2" s="141" t="s">
        <v>75</v>
      </c>
      <c r="Z2" s="141" t="s">
        <v>39</v>
      </c>
      <c r="AA2" s="141" t="s">
        <v>117</v>
      </c>
      <c r="AB2" s="141" t="s">
        <v>118</v>
      </c>
      <c r="AC2" s="141" t="s">
        <v>77</v>
      </c>
      <c r="AD2" s="141" t="s">
        <v>119</v>
      </c>
      <c r="AE2" s="141" t="s">
        <v>120</v>
      </c>
      <c r="AF2" s="141" t="s">
        <v>121</v>
      </c>
      <c r="AG2" s="141" t="s">
        <v>28</v>
      </c>
      <c r="AH2" s="141" t="s">
        <v>13</v>
      </c>
      <c r="AI2" s="141" t="s">
        <v>23</v>
      </c>
      <c r="AJ2" s="141" t="s">
        <v>24</v>
      </c>
      <c r="AK2" s="141" t="s">
        <v>0</v>
      </c>
      <c r="AL2" s="141" t="s">
        <v>25</v>
      </c>
      <c r="AM2" s="141" t="s">
        <v>12</v>
      </c>
      <c r="AN2" s="141" t="s">
        <v>22</v>
      </c>
      <c r="AO2" s="141" t="s">
        <v>21</v>
      </c>
      <c r="AP2" s="141" t="s">
        <v>66</v>
      </c>
      <c r="AQ2" s="141" t="s">
        <v>68</v>
      </c>
      <c r="AR2" s="141" t="s">
        <v>112</v>
      </c>
      <c r="AS2" s="141" t="s">
        <v>69</v>
      </c>
      <c r="AT2" s="141" t="s">
        <v>113</v>
      </c>
      <c r="AU2" s="141" t="s">
        <v>114</v>
      </c>
      <c r="AV2" s="141" t="s">
        <v>159</v>
      </c>
      <c r="AW2" s="141" t="s">
        <v>70</v>
      </c>
      <c r="AX2" s="141" t="s">
        <v>71</v>
      </c>
      <c r="AY2" s="141" t="s">
        <v>74</v>
      </c>
      <c r="AZ2" s="141" t="s">
        <v>73</v>
      </c>
      <c r="BA2" s="141" t="s">
        <v>72</v>
      </c>
      <c r="BB2" s="141" t="s">
        <v>115</v>
      </c>
      <c r="BC2" s="141" t="s">
        <v>116</v>
      </c>
      <c r="BD2" s="141" t="s">
        <v>75</v>
      </c>
      <c r="BE2" s="141" t="s">
        <v>39</v>
      </c>
      <c r="BF2" s="141" t="s">
        <v>117</v>
      </c>
      <c r="BG2" s="141" t="s">
        <v>118</v>
      </c>
      <c r="BH2" s="141" t="s">
        <v>77</v>
      </c>
      <c r="BI2" s="141" t="s">
        <v>119</v>
      </c>
      <c r="BJ2" s="141" t="s">
        <v>120</v>
      </c>
      <c r="BK2" s="141" t="s">
        <v>121</v>
      </c>
      <c r="BL2" s="141"/>
      <c r="BN2" s="476" t="s">
        <v>28</v>
      </c>
      <c r="BO2" s="476" t="s">
        <v>13</v>
      </c>
      <c r="BP2" s="476" t="s">
        <v>216</v>
      </c>
      <c r="BQ2" s="476" t="s">
        <v>556</v>
      </c>
      <c r="BR2" s="476" t="s">
        <v>66</v>
      </c>
      <c r="BS2" s="476" t="s">
        <v>68</v>
      </c>
      <c r="BT2" s="476" t="s">
        <v>217</v>
      </c>
      <c r="BU2" s="476" t="s">
        <v>702</v>
      </c>
      <c r="BV2" s="476" t="s">
        <v>218</v>
      </c>
      <c r="BW2" s="476" t="s">
        <v>264</v>
      </c>
      <c r="BX2" s="476" t="s">
        <v>116</v>
      </c>
      <c r="BY2" s="476" t="s">
        <v>75</v>
      </c>
      <c r="BZ2" s="476" t="s">
        <v>39</v>
      </c>
      <c r="CA2" s="476" t="s">
        <v>117</v>
      </c>
      <c r="CB2" s="476" t="s">
        <v>118</v>
      </c>
      <c r="CC2" s="476" t="s">
        <v>77</v>
      </c>
      <c r="CD2" s="476" t="s">
        <v>119</v>
      </c>
      <c r="CE2" s="476" t="s">
        <v>120</v>
      </c>
      <c r="CF2" s="476" t="s">
        <v>121</v>
      </c>
      <c r="CG2" s="820" t="s">
        <v>831</v>
      </c>
      <c r="CH2" s="476" t="s">
        <v>28</v>
      </c>
      <c r="CI2" s="476" t="s">
        <v>13</v>
      </c>
      <c r="CJ2" s="476" t="s">
        <v>216</v>
      </c>
      <c r="CK2" s="476" t="s">
        <v>556</v>
      </c>
      <c r="CL2" s="476" t="s">
        <v>66</v>
      </c>
      <c r="CM2" s="476" t="s">
        <v>68</v>
      </c>
      <c r="CN2" s="476" t="s">
        <v>217</v>
      </c>
      <c r="CO2" s="476" t="s">
        <v>702</v>
      </c>
      <c r="CP2" s="476" t="s">
        <v>218</v>
      </c>
      <c r="CQ2" s="476" t="s">
        <v>264</v>
      </c>
      <c r="CR2" s="476" t="s">
        <v>116</v>
      </c>
      <c r="CS2" s="476" t="s">
        <v>75</v>
      </c>
      <c r="CT2" s="476" t="s">
        <v>39</v>
      </c>
      <c r="CU2" s="476" t="s">
        <v>117</v>
      </c>
      <c r="CV2" s="476" t="s">
        <v>118</v>
      </c>
      <c r="CW2" s="476" t="s">
        <v>77</v>
      </c>
      <c r="CX2" s="476" t="s">
        <v>119</v>
      </c>
      <c r="CY2" s="476" t="s">
        <v>120</v>
      </c>
      <c r="CZ2" s="476" t="s">
        <v>121</v>
      </c>
      <c r="DB2" s="476" t="s">
        <v>28</v>
      </c>
      <c r="DC2" s="476" t="s">
        <v>13</v>
      </c>
      <c r="DD2" s="476" t="s">
        <v>216</v>
      </c>
      <c r="DE2" s="476" t="s">
        <v>556</v>
      </c>
      <c r="DF2" s="476" t="s">
        <v>66</v>
      </c>
      <c r="DG2" s="476" t="s">
        <v>68</v>
      </c>
      <c r="DH2" s="476" t="s">
        <v>217</v>
      </c>
      <c r="DI2" s="476" t="s">
        <v>702</v>
      </c>
      <c r="DJ2" s="476" t="s">
        <v>218</v>
      </c>
      <c r="DK2" s="476" t="s">
        <v>264</v>
      </c>
      <c r="DL2" s="476" t="s">
        <v>116</v>
      </c>
      <c r="DM2" s="476" t="s">
        <v>75</v>
      </c>
      <c r="DN2" s="476" t="s">
        <v>39</v>
      </c>
      <c r="DO2" s="476" t="s">
        <v>117</v>
      </c>
      <c r="DP2" s="476" t="s">
        <v>118</v>
      </c>
      <c r="DQ2" s="476" t="s">
        <v>77</v>
      </c>
      <c r="DR2" s="476" t="s">
        <v>119</v>
      </c>
      <c r="DS2" s="476" t="s">
        <v>120</v>
      </c>
      <c r="DT2" s="476" t="s">
        <v>121</v>
      </c>
      <c r="DV2" s="476" t="s">
        <v>28</v>
      </c>
      <c r="DW2" s="476" t="s">
        <v>13</v>
      </c>
      <c r="DX2" s="476" t="s">
        <v>216</v>
      </c>
      <c r="DY2" s="476" t="s">
        <v>556</v>
      </c>
      <c r="DZ2" s="476" t="s">
        <v>66</v>
      </c>
      <c r="EA2" s="476" t="s">
        <v>68</v>
      </c>
      <c r="EB2" s="476" t="s">
        <v>217</v>
      </c>
      <c r="EC2" s="476" t="s">
        <v>702</v>
      </c>
      <c r="ED2" s="476" t="s">
        <v>218</v>
      </c>
      <c r="EE2" s="476" t="s">
        <v>264</v>
      </c>
      <c r="EF2" s="476" t="s">
        <v>116</v>
      </c>
      <c r="EG2" s="476" t="s">
        <v>75</v>
      </c>
      <c r="EH2" s="476" t="s">
        <v>39</v>
      </c>
      <c r="EI2" s="476" t="s">
        <v>117</v>
      </c>
      <c r="EJ2" s="476" t="s">
        <v>118</v>
      </c>
      <c r="EK2" s="476" t="s">
        <v>77</v>
      </c>
      <c r="EL2" s="476" t="s">
        <v>119</v>
      </c>
      <c r="EM2" s="476" t="s">
        <v>120</v>
      </c>
      <c r="EN2" s="476" t="s">
        <v>121</v>
      </c>
    </row>
    <row r="3" spans="1:144" ht="14.4">
      <c r="A3" s="474">
        <v>2016</v>
      </c>
      <c r="B3" s="471">
        <f>SUM(datos!JF10:JF21)</f>
        <v>100.83505519000001</v>
      </c>
      <c r="C3" s="471">
        <f>SUM(datos!JG10:JG21)</f>
        <v>213.95413860999997</v>
      </c>
      <c r="D3" s="471">
        <f>SUM(datos!JH10:JH21)</f>
        <v>889.63094050000007</v>
      </c>
      <c r="E3" s="471">
        <f>SUM(datos!JI10:JI21)</f>
        <v>741.44588066999995</v>
      </c>
      <c r="F3" s="471">
        <f>SUM(datos!JJ10:JJ21)</f>
        <v>4251.6264170799996</v>
      </c>
      <c r="G3" s="471">
        <f>SUM(datos!JK10:JK21)</f>
        <v>928.30592051999997</v>
      </c>
      <c r="H3" s="471">
        <f>SUM(datos!JL10:JL21)</f>
        <v>17560.473484670001</v>
      </c>
      <c r="I3" s="471">
        <f>SUM(datos!JM10:JM21)</f>
        <v>90.98539409</v>
      </c>
      <c r="J3" s="471">
        <f>SUM(datos!JN10:JN21)</f>
        <v>2064.8540249300004</v>
      </c>
      <c r="K3" s="471">
        <f>SUM(datos!JO10:JO21)</f>
        <v>209.41024096999999</v>
      </c>
      <c r="L3" s="471">
        <f>SUM(datos!JP10:JP21)</f>
        <v>0</v>
      </c>
      <c r="M3" s="471">
        <f>SUM(datos!JQ10:JQ21)</f>
        <v>19.34119956</v>
      </c>
      <c r="N3" s="471">
        <f>SUM(datos!JR10:JR21)</f>
        <v>8.7961157600000011</v>
      </c>
      <c r="O3" s="471">
        <f>SUM(datos!JS10:JS21)</f>
        <v>0</v>
      </c>
      <c r="P3" s="471">
        <f>SUM(datos!JT10:JT21)</f>
        <v>3.4916432499999996</v>
      </c>
      <c r="Q3" s="471">
        <f>SUM(datos!JU10:JU21)</f>
        <v>1012.12896972</v>
      </c>
      <c r="R3" s="471">
        <f>SUM(datos!JV10:JV21)</f>
        <v>133.51650359000001</v>
      </c>
      <c r="S3" s="471">
        <f>SUM(datos!JW10:JW21)</f>
        <v>271.79185840999997</v>
      </c>
      <c r="T3" s="471">
        <f>SUM(datos!JX10:JX21)</f>
        <v>509.68732968000006</v>
      </c>
      <c r="U3" s="471">
        <f>SUM(datos!JY10:JY21)</f>
        <v>43.334432129999989</v>
      </c>
      <c r="V3" s="471">
        <f>SUM(datos!JZ10:JZ21)</f>
        <v>37.08769066</v>
      </c>
      <c r="W3" s="471">
        <f>SUM(datos!KA10:KA21)</f>
        <v>1.7545542900000002</v>
      </c>
      <c r="X3" s="471">
        <f>SUM(datos!KB10:KB21)</f>
        <v>195.76218935999998</v>
      </c>
      <c r="Y3" s="471">
        <f>SUM(datos!KC10:KC21)</f>
        <v>397.20131595000004</v>
      </c>
      <c r="Z3" s="471">
        <f>SUM(datos!KD10:KD21)</f>
        <v>77.786937969999997</v>
      </c>
      <c r="AA3" s="471">
        <f>SUM(datos!KE10:KE21)</f>
        <v>174.95752765</v>
      </c>
      <c r="AB3" s="471">
        <f>SUM(datos!KF10:KF21)</f>
        <v>275.80101640000004</v>
      </c>
      <c r="AC3" s="471">
        <f>SUM(datos!KG10:KG21)</f>
        <v>1977.08921633</v>
      </c>
      <c r="AD3" s="471">
        <f>SUM(datos!KH10:KH21)</f>
        <v>636.96029151999994</v>
      </c>
      <c r="AE3" s="471">
        <f>SUM(datos!KI10:KI21)</f>
        <v>236.65409865999996</v>
      </c>
      <c r="AF3" s="471">
        <f>SUM(datos!KJ10:KJ21)</f>
        <v>12.330790729999999</v>
      </c>
      <c r="AG3" s="471">
        <f>SUM(datos!KK10:KK21)</f>
        <v>122.69510434000001</v>
      </c>
      <c r="AH3" s="471">
        <f>SUM(datos!KL10:KL21)</f>
        <v>5.9465530100000006</v>
      </c>
      <c r="AI3" s="471">
        <f>SUM(datos!KM10:KM21)</f>
        <v>20.170815149999996</v>
      </c>
      <c r="AJ3" s="471">
        <f>SUM(datos!KN10:KN21)</f>
        <v>2.08851013</v>
      </c>
      <c r="AK3" s="471">
        <f>SUM(datos!KO10:KO21)</f>
        <v>12.096882319999999</v>
      </c>
      <c r="AL3" s="471">
        <f>SUM(datos!KP10:KP21)</f>
        <v>0.17161566</v>
      </c>
      <c r="AM3" s="471">
        <f>SUM(datos!KQ10:KQ21)</f>
        <v>322.91351080000004</v>
      </c>
      <c r="AN3" s="471">
        <f>SUM(datos!KR10:KR21)</f>
        <v>6.6503750000000014E-2</v>
      </c>
      <c r="AO3" s="471">
        <f>SUM(datos!KS10:KS21)</f>
        <v>4.3599711000000001</v>
      </c>
      <c r="AP3" s="471">
        <f>SUM(datos!KT10:KT21)</f>
        <v>27.012468140000003</v>
      </c>
      <c r="AQ3" s="471">
        <f>SUM(datos!KU10:KU21)</f>
        <v>2.5616919399999998</v>
      </c>
      <c r="AR3" s="471">
        <f>SUM(datos!KV10:KV21)</f>
        <v>4.54257913</v>
      </c>
      <c r="AS3" s="471">
        <f>SUM(datos!KW10:KW21)</f>
        <v>48.757829630000003</v>
      </c>
      <c r="AT3" s="471">
        <f>SUM(datos!KX10:KX21)</f>
        <v>0</v>
      </c>
      <c r="AU3" s="471">
        <f>SUM(datos!KY10:KY21)</f>
        <v>2.5894083300000004</v>
      </c>
      <c r="AV3" s="471">
        <f>SUM(datos!KZ10:KZ21)</f>
        <v>14.340202520000002</v>
      </c>
      <c r="AW3" s="471">
        <f>SUM(datos!LA10:LA21)</f>
        <v>8.2290116700000002</v>
      </c>
      <c r="AX3" s="471">
        <f>SUM(datos!LB10:LB21)</f>
        <v>0.58111830000000009</v>
      </c>
      <c r="AY3" s="471">
        <f>SUM(datos!LC10:LC21)</f>
        <v>3.5432818299999997</v>
      </c>
      <c r="AZ3" s="471">
        <f>SUM(datos!LD10:LD21)</f>
        <v>0.14279511</v>
      </c>
      <c r="BA3" s="471">
        <f>SUM(datos!LE10:LE21)</f>
        <v>8.8630860999999985</v>
      </c>
      <c r="BB3" s="471">
        <f>SUM(datos!LF10:LF21)</f>
        <v>4.7379446100000004</v>
      </c>
      <c r="BC3" s="471">
        <f>SUM(datos!LG10:LG21)</f>
        <v>218.48010894999999</v>
      </c>
      <c r="BD3" s="471">
        <f>SUM(datos!LH10:LH21)</f>
        <v>54.052609739999994</v>
      </c>
      <c r="BE3" s="471">
        <f>SUM(datos!LI10:LI21)</f>
        <v>0.55085289000000004</v>
      </c>
      <c r="BF3" s="471">
        <f>SUM(datos!LJ10:LJ21)</f>
        <v>2.4200960000000001E-2</v>
      </c>
      <c r="BG3" s="471">
        <f>SUM(datos!LK10:LK21)</f>
        <v>39.282950209999996</v>
      </c>
      <c r="BH3" s="471">
        <f>SUM(datos!LL10:LL21)</f>
        <v>43.216051870000001</v>
      </c>
      <c r="BI3" s="471">
        <f>SUM(datos!LM10:LM21)</f>
        <v>16.429171929999999</v>
      </c>
      <c r="BJ3" s="471">
        <f>SUM(datos!LN10:LN21)</f>
        <v>7.316205319999999</v>
      </c>
      <c r="BK3" s="471">
        <f>SUM(datos!LO10:LO21)</f>
        <v>88.885697279999988</v>
      </c>
      <c r="BL3" s="471"/>
      <c r="BM3">
        <v>2016</v>
      </c>
      <c r="BN3" s="1">
        <f>B3</f>
        <v>100.83505519000001</v>
      </c>
      <c r="BO3" s="1">
        <f>C3</f>
        <v>213.95413860999997</v>
      </c>
      <c r="BP3" s="1">
        <f>SUM(D3:F3,H3:J3)</f>
        <v>25599.016141940003</v>
      </c>
      <c r="BQ3" s="1">
        <f>G3</f>
        <v>928.30592051999997</v>
      </c>
      <c r="BR3" s="1">
        <f>K3</f>
        <v>209.41024096999999</v>
      </c>
      <c r="BS3" s="559">
        <f>L3</f>
        <v>0</v>
      </c>
      <c r="BT3" s="1">
        <f>SUM(M3:P3)</f>
        <v>31.628958569999998</v>
      </c>
      <c r="BU3" s="1">
        <f>Q3</f>
        <v>1012.12896972</v>
      </c>
      <c r="BV3" s="1">
        <f>SUM(R3:S3)</f>
        <v>405.30836199999999</v>
      </c>
      <c r="BW3" s="1">
        <f>SUM(T3:W3)</f>
        <v>591.86400676000005</v>
      </c>
      <c r="BX3" s="1">
        <f t="shared" ref="BX3:CF12" si="0">X3</f>
        <v>195.76218935999998</v>
      </c>
      <c r="BY3" s="1">
        <f t="shared" si="0"/>
        <v>397.20131595000004</v>
      </c>
      <c r="BZ3" s="1">
        <f t="shared" si="0"/>
        <v>77.786937969999997</v>
      </c>
      <c r="CA3" s="1">
        <f t="shared" si="0"/>
        <v>174.95752765</v>
      </c>
      <c r="CB3" s="1">
        <f t="shared" si="0"/>
        <v>275.80101640000004</v>
      </c>
      <c r="CC3" s="1">
        <f t="shared" si="0"/>
        <v>1977.08921633</v>
      </c>
      <c r="CD3" s="1">
        <f t="shared" si="0"/>
        <v>636.96029151999994</v>
      </c>
      <c r="CE3" s="1">
        <f t="shared" si="0"/>
        <v>236.65409865999996</v>
      </c>
      <c r="CF3" s="1">
        <f t="shared" si="0"/>
        <v>12.330790729999999</v>
      </c>
      <c r="CG3" s="1">
        <f t="shared" ref="CG3:CG11" si="1">BN3+BO3+BQ3+BR3+BS3+BT3+BU3+BV3+BW3+BX3+BY3+BZ3+CA3+CB3+CD3+CE3+CF3</f>
        <v>5500.8898205799997</v>
      </c>
      <c r="CH3" s="1">
        <f t="shared" ref="CH3:CH12" si="2">AG3</f>
        <v>122.69510434000001</v>
      </c>
      <c r="CI3" s="1">
        <f t="shared" ref="CI3:CI12" si="3">AH3</f>
        <v>5.9465530100000006</v>
      </c>
      <c r="CJ3" s="1">
        <f t="shared" ref="CJ3:CJ12" si="4">SUM(AI3:AK3,AM3:AO3)</f>
        <v>361.69619325000002</v>
      </c>
      <c r="CK3" s="7">
        <f t="shared" ref="CK3:CK12" si="5">AL3</f>
        <v>0.17161566</v>
      </c>
      <c r="CL3" s="1">
        <f t="shared" ref="CL3:CL12" si="6">AP3</f>
        <v>27.012468140000003</v>
      </c>
      <c r="CM3" s="1">
        <f t="shared" ref="CM3:CM12" si="7">AQ3</f>
        <v>2.5616919399999998</v>
      </c>
      <c r="CN3" s="1">
        <f t="shared" ref="CN3:CN12" si="8">SUM(AR3:AU3)</f>
        <v>55.889817090000001</v>
      </c>
      <c r="CO3" s="1">
        <f t="shared" ref="CO3:CO12" si="9">AV3</f>
        <v>14.340202520000002</v>
      </c>
      <c r="CP3" s="1">
        <f t="shared" ref="CP3:CP12" si="10">SUM(AW3:AX3)</f>
        <v>8.8101299700000002</v>
      </c>
      <c r="CQ3" s="2">
        <f t="shared" ref="CQ3:CQ12" si="11">SUM(AY3:BB3)</f>
        <v>17.287107649999999</v>
      </c>
      <c r="CR3" s="1">
        <f t="shared" ref="CR3:CR12" si="12">BC3</f>
        <v>218.48010894999999</v>
      </c>
      <c r="CS3" s="1">
        <f t="shared" ref="CS3:CS12" si="13">BD3</f>
        <v>54.052609739999994</v>
      </c>
      <c r="CT3" s="1">
        <f t="shared" ref="CT3:CT12" si="14">BE3</f>
        <v>0.55085289000000004</v>
      </c>
      <c r="CU3" s="514">
        <f t="shared" ref="CU3:CU12" si="15">BF3</f>
        <v>2.4200960000000001E-2</v>
      </c>
      <c r="CV3" s="1">
        <f t="shared" ref="CV3:CV12" si="16">BG3</f>
        <v>39.282950209999996</v>
      </c>
      <c r="CW3" s="1">
        <f t="shared" ref="CW3:CW12" si="17">BH3</f>
        <v>43.216051870000001</v>
      </c>
      <c r="CX3" s="1">
        <f t="shared" ref="CX3:CX12" si="18">BI3</f>
        <v>16.429171929999999</v>
      </c>
      <c r="CY3" s="1">
        <f t="shared" ref="CY3:CY12" si="19">BJ3</f>
        <v>7.316205319999999</v>
      </c>
      <c r="CZ3" s="1">
        <f t="shared" ref="CZ3:CZ12" si="20">BK3</f>
        <v>88.885697279999988</v>
      </c>
      <c r="DB3" s="7">
        <f t="shared" ref="DB3:DT3" si="21">BN3+CH3</f>
        <v>223.53015953000002</v>
      </c>
      <c r="DC3" s="7">
        <f t="shared" si="21"/>
        <v>219.90069161999998</v>
      </c>
      <c r="DD3" s="7">
        <f t="shared" si="21"/>
        <v>25960.712335190005</v>
      </c>
      <c r="DE3" s="7">
        <f t="shared" si="21"/>
        <v>928.47753618000002</v>
      </c>
      <c r="DF3" s="7">
        <f t="shared" si="21"/>
        <v>236.42270911</v>
      </c>
      <c r="DG3" s="7">
        <f t="shared" si="21"/>
        <v>2.5616919399999998</v>
      </c>
      <c r="DH3" s="7">
        <f t="shared" si="21"/>
        <v>87.518775660000003</v>
      </c>
      <c r="DI3" s="7">
        <f t="shared" si="21"/>
        <v>1026.46917224</v>
      </c>
      <c r="DJ3" s="7">
        <f t="shared" si="21"/>
        <v>414.11849196999998</v>
      </c>
      <c r="DK3" s="7">
        <f t="shared" si="21"/>
        <v>609.1511144100001</v>
      </c>
      <c r="DL3" s="7">
        <f t="shared" si="21"/>
        <v>414.24229830999997</v>
      </c>
      <c r="DM3" s="7">
        <f t="shared" si="21"/>
        <v>451.25392569000002</v>
      </c>
      <c r="DN3" s="7">
        <f t="shared" si="21"/>
        <v>78.337790859999998</v>
      </c>
      <c r="DO3" s="7">
        <f t="shared" si="21"/>
        <v>174.98172861</v>
      </c>
      <c r="DP3" s="7">
        <f t="shared" si="21"/>
        <v>315.08396661000006</v>
      </c>
      <c r="DQ3" s="7">
        <f t="shared" si="21"/>
        <v>2020.3052682</v>
      </c>
      <c r="DR3" s="7">
        <f t="shared" si="21"/>
        <v>653.38946344999999</v>
      </c>
      <c r="DS3" s="7">
        <f t="shared" si="21"/>
        <v>243.97030397999995</v>
      </c>
      <c r="DT3" s="7">
        <f t="shared" si="21"/>
        <v>101.21648800999999</v>
      </c>
      <c r="DV3" s="12">
        <f>CH3/DB3</f>
        <v>0.54889731478732773</v>
      </c>
      <c r="DW3" s="12">
        <f t="shared" ref="DW3:EN12" si="22">CI3/DC3</f>
        <v>2.7041993211535498E-2</v>
      </c>
      <c r="DX3" s="12">
        <f t="shared" si="22"/>
        <v>1.3932444864377516E-2</v>
      </c>
      <c r="DY3" s="12">
        <f t="shared" si="22"/>
        <v>1.8483555424084013E-4</v>
      </c>
      <c r="DZ3" s="12">
        <f t="shared" si="22"/>
        <v>0.11425496409243817</v>
      </c>
      <c r="EA3" s="12">
        <f t="shared" si="22"/>
        <v>1</v>
      </c>
      <c r="EB3" s="12">
        <f t="shared" si="22"/>
        <v>0.63860373581007657</v>
      </c>
      <c r="EC3" s="12">
        <f t="shared" si="22"/>
        <v>1.3970417142393343E-2</v>
      </c>
      <c r="ED3" s="12">
        <f t="shared" si="22"/>
        <v>2.1274418169759571E-2</v>
      </c>
      <c r="EE3" s="12">
        <f t="shared" si="22"/>
        <v>2.8379013418934011E-2</v>
      </c>
      <c r="EF3" s="12">
        <f t="shared" si="22"/>
        <v>0.52742105246456383</v>
      </c>
      <c r="EG3" s="12">
        <f t="shared" si="22"/>
        <v>0.11978313464497761</v>
      </c>
      <c r="EH3" s="12">
        <f t="shared" si="22"/>
        <v>7.0317644134801688E-3</v>
      </c>
      <c r="EI3" s="12">
        <f t="shared" si="22"/>
        <v>1.3830564020737959E-4</v>
      </c>
      <c r="EJ3" s="12">
        <f t="shared" si="22"/>
        <v>0.1246745451145823</v>
      </c>
      <c r="EK3" s="12">
        <f t="shared" si="22"/>
        <v>2.139085243711884E-2</v>
      </c>
      <c r="EL3" s="12">
        <f t="shared" si="22"/>
        <v>2.514453147629802E-2</v>
      </c>
      <c r="EM3" s="12">
        <f t="shared" si="22"/>
        <v>2.998809773422163E-2</v>
      </c>
      <c r="EN3" s="12">
        <f t="shared" si="22"/>
        <v>0.87817409028475923</v>
      </c>
    </row>
    <row r="4" spans="1:144" ht="14.4">
      <c r="A4" s="474">
        <v>2017</v>
      </c>
      <c r="B4" s="471">
        <f>SUM(datos!JF22:JF33)</f>
        <v>69.440608019999999</v>
      </c>
      <c r="C4" s="471">
        <f>SUM(datos!JG22:JG33)</f>
        <v>181.34797537999998</v>
      </c>
      <c r="D4" s="471">
        <f>SUM(datos!JH22:JH33)</f>
        <v>750.44548973000008</v>
      </c>
      <c r="E4" s="471">
        <f>SUM(datos!JI22:JI33)</f>
        <v>792.60566390000008</v>
      </c>
      <c r="F4" s="471">
        <f>SUM(datos!JJ22:JJ33)</f>
        <v>3945.3660925699992</v>
      </c>
      <c r="G4" s="471">
        <f>SUM(datos!JK22:JK33)</f>
        <v>904.39567181999996</v>
      </c>
      <c r="H4" s="471">
        <f>SUM(datos!JL22:JL33)</f>
        <v>15784.067638160001</v>
      </c>
      <c r="I4" s="471">
        <f>SUM(datos!JM22:JM33)</f>
        <v>71.762836829999998</v>
      </c>
      <c r="J4" s="471">
        <f>SUM(datos!JN22:JN33)</f>
        <v>2579.26351776</v>
      </c>
      <c r="K4" s="471">
        <f>SUM(datos!JO22:JO33)</f>
        <v>178.87637544999998</v>
      </c>
      <c r="L4" s="471">
        <f>SUM(datos!JP22:JP33)</f>
        <v>1.6640000000000001E-3</v>
      </c>
      <c r="M4" s="471">
        <f>SUM(datos!JQ22:JQ33)</f>
        <v>6.1240965100000002</v>
      </c>
      <c r="N4" s="471">
        <f>SUM(datos!JR22:JR33)</f>
        <v>9.3292101899999995</v>
      </c>
      <c r="O4" s="471">
        <f>SUM(datos!JS22:JS33)</f>
        <v>0</v>
      </c>
      <c r="P4" s="471">
        <f>SUM(datos!JT22:JT33)</f>
        <v>4.2325035600000014</v>
      </c>
      <c r="Q4" s="471">
        <f>SUM(datos!JU22:JU33)</f>
        <v>966.05926335999993</v>
      </c>
      <c r="R4" s="471">
        <f>SUM(datos!JV22:JV33)</f>
        <v>126.06979801</v>
      </c>
      <c r="S4" s="471">
        <f>SUM(datos!JW22:JW33)</f>
        <v>259.03562577999998</v>
      </c>
      <c r="T4" s="471">
        <f>SUM(datos!JX22:JX33)</f>
        <v>401.26042380999996</v>
      </c>
      <c r="U4" s="471">
        <f>SUM(datos!JY22:JY33)</f>
        <v>38.966075470000007</v>
      </c>
      <c r="V4" s="471">
        <f>SUM(datos!JZ22:JZ33)</f>
        <v>42.800939840000005</v>
      </c>
      <c r="W4" s="471">
        <f>SUM(datos!KA22:KA33)</f>
        <v>5.05458154</v>
      </c>
      <c r="X4" s="471">
        <f>SUM(datos!KB22:KB33)</f>
        <v>231.73245997999999</v>
      </c>
      <c r="Y4" s="471">
        <f>SUM(datos!KC22:KC33)</f>
        <v>325.10186551999999</v>
      </c>
      <c r="Z4" s="471">
        <f>SUM(datos!KD22:KD33)</f>
        <v>84.930184659999995</v>
      </c>
      <c r="AA4" s="471">
        <f>SUM(datos!KE22:KE33)</f>
        <v>188.72124325000001</v>
      </c>
      <c r="AB4" s="471">
        <f>SUM(datos!KF22:KF33)</f>
        <v>322.21989192999996</v>
      </c>
      <c r="AC4" s="471">
        <f>SUM(datos!KG22:KG33)</f>
        <v>2343.6683278700002</v>
      </c>
      <c r="AD4" s="471">
        <f>SUM(datos!KH22:KH33)</f>
        <v>586.47958061999998</v>
      </c>
      <c r="AE4" s="471">
        <f>SUM(datos!KI22:KI33)</f>
        <v>218.61024239999998</v>
      </c>
      <c r="AF4" s="471">
        <f>SUM(datos!KJ22:KJ33)</f>
        <v>22.174469210000002</v>
      </c>
      <c r="AG4" s="471">
        <f>SUM(datos!KK22:KK33)</f>
        <v>105.96306433999999</v>
      </c>
      <c r="AH4" s="471">
        <f>SUM(datos!KL22:KL33)</f>
        <v>5.9575794999999996</v>
      </c>
      <c r="AI4" s="471">
        <f>SUM(datos!KM22:KM33)</f>
        <v>60.971940290000006</v>
      </c>
      <c r="AJ4" s="471">
        <f>SUM(datos!KN22:KN33)</f>
        <v>2.1383935599999999</v>
      </c>
      <c r="AK4" s="471">
        <f>SUM(datos!KO22:KO33)</f>
        <v>36.994108070000003</v>
      </c>
      <c r="AL4" s="471">
        <f>SUM(datos!KP22:KP33)</f>
        <v>0.92433402999999992</v>
      </c>
      <c r="AM4" s="471">
        <f>SUM(datos!KQ22:KQ33)</f>
        <v>701.67569338999999</v>
      </c>
      <c r="AN4" s="471">
        <f>SUM(datos!KR22:KR33)</f>
        <v>0.16000370999999999</v>
      </c>
      <c r="AO4" s="471">
        <f>SUM(datos!KS22:KS33)</f>
        <v>1.2241490000000002</v>
      </c>
      <c r="AP4" s="471">
        <f>SUM(datos!KT22:KT33)</f>
        <v>48.835572680000006</v>
      </c>
      <c r="AQ4" s="471">
        <f>SUM(datos!KU22:KU33)</f>
        <v>6.6868130799999994</v>
      </c>
      <c r="AR4" s="471">
        <f>SUM(datos!KV22:KV33)</f>
        <v>1.4753819300000002</v>
      </c>
      <c r="AS4" s="471">
        <f>SUM(datos!KW22:KW33)</f>
        <v>42.725806179999999</v>
      </c>
      <c r="AT4" s="471">
        <f>SUM(datos!KX22:KX33)</f>
        <v>0</v>
      </c>
      <c r="AU4" s="471">
        <f>SUM(datos!KY22:KY33)</f>
        <v>0.39633351999999994</v>
      </c>
      <c r="AV4" s="471">
        <f>SUM(datos!KZ22:KZ33)</f>
        <v>73.927352800000008</v>
      </c>
      <c r="AW4" s="471">
        <f>SUM(datos!LA22:LA33)</f>
        <v>18.852834189999999</v>
      </c>
      <c r="AX4" s="471">
        <f>SUM(datos!LB22:LB33)</f>
        <v>0.42607828999999997</v>
      </c>
      <c r="AY4" s="471">
        <f>SUM(datos!LC22:LC33)</f>
        <v>4.3845231500000006</v>
      </c>
      <c r="AZ4" s="471">
        <f>SUM(datos!LD22:LD33)</f>
        <v>0.12526124</v>
      </c>
      <c r="BA4" s="471">
        <f>SUM(datos!LE22:LE33)</f>
        <v>9.6480003600000011</v>
      </c>
      <c r="BB4" s="471">
        <f>SUM(datos!LF22:LF33)</f>
        <v>4.48387563</v>
      </c>
      <c r="BC4" s="471">
        <f>SUM(datos!LG22:LG33)</f>
        <v>251.87549681000004</v>
      </c>
      <c r="BD4" s="471">
        <f>SUM(datos!LH22:LH33)</f>
        <v>50.477905759999999</v>
      </c>
      <c r="BE4" s="471">
        <f>SUM(datos!LI22:LI33)</f>
        <v>0.95609249000000007</v>
      </c>
      <c r="BF4" s="471">
        <f>SUM(datos!LJ22:LJ33)</f>
        <v>0.30222828000000002</v>
      </c>
      <c r="BG4" s="471">
        <f>SUM(datos!LK22:LK33)</f>
        <v>32.837176439999993</v>
      </c>
      <c r="BH4" s="471">
        <f>SUM(datos!LL22:LL33)</f>
        <v>41.900928989999997</v>
      </c>
      <c r="BI4" s="471">
        <f>SUM(datos!LM22:LM33)</f>
        <v>30.109021169999995</v>
      </c>
      <c r="BJ4" s="471">
        <f>SUM(datos!LN22:LN33)</f>
        <v>3.7101776200000005</v>
      </c>
      <c r="BK4" s="471">
        <f>SUM(datos!LO22:LO33)</f>
        <v>125.88428130999999</v>
      </c>
      <c r="BL4" s="471"/>
      <c r="BM4">
        <v>2017</v>
      </c>
      <c r="BN4" s="1">
        <f t="shared" ref="BN4:BO12" si="23">B4</f>
        <v>69.440608019999999</v>
      </c>
      <c r="BO4" s="1">
        <f t="shared" si="23"/>
        <v>181.34797537999998</v>
      </c>
      <c r="BP4" s="1">
        <f t="shared" ref="BP4:BP12" si="24">SUM(D4:F4,H4:J4)</f>
        <v>23923.511238949995</v>
      </c>
      <c r="BQ4" s="1">
        <f t="shared" ref="BQ4:BQ12" si="25">G4</f>
        <v>904.39567181999996</v>
      </c>
      <c r="BR4" s="1">
        <f t="shared" ref="BR4:BS12" si="26">K4</f>
        <v>178.87637544999998</v>
      </c>
      <c r="BS4" s="559">
        <f t="shared" si="26"/>
        <v>1.6640000000000001E-3</v>
      </c>
      <c r="BT4" s="1">
        <f t="shared" ref="BT4:BT12" si="27">SUM(M4:P4)</f>
        <v>19.68581026</v>
      </c>
      <c r="BU4" s="1">
        <f t="shared" ref="BU4:BU12" si="28">Q4</f>
        <v>966.05926335999993</v>
      </c>
      <c r="BV4" s="1">
        <f t="shared" ref="BV4:BV12" si="29">SUM(R4:S4)</f>
        <v>385.10542378999997</v>
      </c>
      <c r="BW4" s="1">
        <f t="shared" ref="BW4:BW12" si="30">SUM(T4:W4)</f>
        <v>488.08202066000001</v>
      </c>
      <c r="BX4" s="1">
        <f t="shared" si="0"/>
        <v>231.73245997999999</v>
      </c>
      <c r="BY4" s="1">
        <f t="shared" si="0"/>
        <v>325.10186551999999</v>
      </c>
      <c r="BZ4" s="1">
        <f t="shared" si="0"/>
        <v>84.930184659999995</v>
      </c>
      <c r="CA4" s="1">
        <f t="shared" si="0"/>
        <v>188.72124325000001</v>
      </c>
      <c r="CB4" s="1">
        <f t="shared" si="0"/>
        <v>322.21989192999996</v>
      </c>
      <c r="CC4" s="1">
        <f t="shared" si="0"/>
        <v>2343.6683278700002</v>
      </c>
      <c r="CD4" s="1">
        <f t="shared" si="0"/>
        <v>586.47958061999998</v>
      </c>
      <c r="CE4" s="1">
        <f t="shared" si="0"/>
        <v>218.61024239999998</v>
      </c>
      <c r="CF4" s="1">
        <f t="shared" si="0"/>
        <v>22.174469210000002</v>
      </c>
      <c r="CG4" s="1">
        <f t="shared" si="1"/>
        <v>5172.9647503100005</v>
      </c>
      <c r="CH4" s="1">
        <f t="shared" si="2"/>
        <v>105.96306433999999</v>
      </c>
      <c r="CI4" s="1">
        <f t="shared" si="3"/>
        <v>5.9575794999999996</v>
      </c>
      <c r="CJ4" s="1">
        <f t="shared" si="4"/>
        <v>803.16428801999996</v>
      </c>
      <c r="CK4" s="7">
        <f t="shared" si="5"/>
        <v>0.92433402999999992</v>
      </c>
      <c r="CL4" s="1">
        <f t="shared" si="6"/>
        <v>48.835572680000006</v>
      </c>
      <c r="CM4" s="1">
        <f t="shared" si="7"/>
        <v>6.6868130799999994</v>
      </c>
      <c r="CN4" s="1">
        <f t="shared" si="8"/>
        <v>44.597521629999996</v>
      </c>
      <c r="CO4" s="1">
        <f t="shared" si="9"/>
        <v>73.927352800000008</v>
      </c>
      <c r="CP4" s="1">
        <f t="shared" si="10"/>
        <v>19.278912479999999</v>
      </c>
      <c r="CQ4" s="2">
        <f t="shared" si="11"/>
        <v>18.641660380000001</v>
      </c>
      <c r="CR4" s="1">
        <f t="shared" si="12"/>
        <v>251.87549681000004</v>
      </c>
      <c r="CS4" s="1">
        <f t="shared" si="13"/>
        <v>50.477905759999999</v>
      </c>
      <c r="CT4" s="1">
        <f t="shared" si="14"/>
        <v>0.95609249000000007</v>
      </c>
      <c r="CU4" s="514">
        <f t="shared" si="15"/>
        <v>0.30222828000000002</v>
      </c>
      <c r="CV4" s="1">
        <f t="shared" si="16"/>
        <v>32.837176439999993</v>
      </c>
      <c r="CW4" s="1">
        <f t="shared" si="17"/>
        <v>41.900928989999997</v>
      </c>
      <c r="CX4" s="1">
        <f t="shared" si="18"/>
        <v>30.109021169999995</v>
      </c>
      <c r="CY4" s="1">
        <f t="shared" si="19"/>
        <v>3.7101776200000005</v>
      </c>
      <c r="CZ4" s="1">
        <f t="shared" si="20"/>
        <v>125.88428130999999</v>
      </c>
      <c r="DB4" s="7">
        <f t="shared" ref="DB4:DB12" si="31">BN4+CH4</f>
        <v>175.40367235999997</v>
      </c>
      <c r="DC4" s="7">
        <f t="shared" ref="DC4:DC12" si="32">BO4+CI4</f>
        <v>187.30555487999999</v>
      </c>
      <c r="DD4" s="7">
        <f t="shared" ref="DD4:DD12" si="33">BP4+CJ4</f>
        <v>24726.675526969997</v>
      </c>
      <c r="DE4" s="7">
        <f t="shared" ref="DE4:DE12" si="34">BQ4+CK4</f>
        <v>905.32000584999992</v>
      </c>
      <c r="DF4" s="7">
        <f t="shared" ref="DF4:DF12" si="35">BR4+CL4</f>
        <v>227.71194813</v>
      </c>
      <c r="DG4" s="7">
        <f t="shared" ref="DG4:DG12" si="36">BS4+CM4</f>
        <v>6.6884770799999993</v>
      </c>
      <c r="DH4" s="7">
        <f t="shared" ref="DH4:DH12" si="37">BT4+CN4</f>
        <v>64.283331889999999</v>
      </c>
      <c r="DI4" s="7">
        <f t="shared" ref="DI4:DI12" si="38">BU4+CO4</f>
        <v>1039.98661616</v>
      </c>
      <c r="DJ4" s="7">
        <f t="shared" ref="DJ4:DJ12" si="39">BV4+CP4</f>
        <v>404.38433626999995</v>
      </c>
      <c r="DK4" s="7">
        <f t="shared" ref="DK4:DK12" si="40">BW4+CQ4</f>
        <v>506.72368104000003</v>
      </c>
      <c r="DL4" s="7">
        <f t="shared" ref="DL4:DL12" si="41">BX4+CR4</f>
        <v>483.60795679</v>
      </c>
      <c r="DM4" s="7">
        <f t="shared" ref="DM4:DM12" si="42">BY4+CS4</f>
        <v>375.57977127999999</v>
      </c>
      <c r="DN4" s="7">
        <f t="shared" ref="DN4:DN12" si="43">BZ4+CT4</f>
        <v>85.886277149999998</v>
      </c>
      <c r="DO4" s="7">
        <f t="shared" ref="DO4:DO12" si="44">CA4+CU4</f>
        <v>189.02347153000002</v>
      </c>
      <c r="DP4" s="7">
        <f t="shared" ref="DP4:DP12" si="45">CB4+CV4</f>
        <v>355.05706836999997</v>
      </c>
      <c r="DQ4" s="7">
        <f t="shared" ref="DQ4:DQ12" si="46">CC4+CW4</f>
        <v>2385.5692568600002</v>
      </c>
      <c r="DR4" s="7">
        <f t="shared" ref="DR4:DR12" si="47">CD4+CX4</f>
        <v>616.58860178999998</v>
      </c>
      <c r="DS4" s="7">
        <f t="shared" ref="DS4:DS12" si="48">CE4+CY4</f>
        <v>222.32042001999997</v>
      </c>
      <c r="DT4" s="7">
        <f t="shared" ref="DT4:DT12" si="49">CF4+CZ4</f>
        <v>148.05875051999999</v>
      </c>
      <c r="DV4" s="12">
        <f t="shared" ref="DV4:DV12" si="50">CH4/DB4</f>
        <v>0.60410972537975438</v>
      </c>
      <c r="DW4" s="12">
        <f t="shared" si="22"/>
        <v>3.1806742217639031E-2</v>
      </c>
      <c r="DX4" s="12">
        <f t="shared" si="22"/>
        <v>3.2481693187746519E-2</v>
      </c>
      <c r="DY4" s="12">
        <f t="shared" si="22"/>
        <v>1.0210025449864525E-3</v>
      </c>
      <c r="DZ4" s="12">
        <f t="shared" si="22"/>
        <v>0.21446205647549044</v>
      </c>
      <c r="EA4" s="12">
        <f t="shared" si="22"/>
        <v>0.9997512139190885</v>
      </c>
      <c r="EB4" s="12">
        <f t="shared" si="22"/>
        <v>0.69376493592949007</v>
      </c>
      <c r="EC4" s="12">
        <f t="shared" si="22"/>
        <v>7.1084907874070583E-2</v>
      </c>
      <c r="ED4" s="12">
        <f t="shared" si="22"/>
        <v>4.7674726122744343E-2</v>
      </c>
      <c r="EE4" s="12">
        <f t="shared" si="22"/>
        <v>3.6788610987629082E-2</v>
      </c>
      <c r="EF4" s="12">
        <f t="shared" si="22"/>
        <v>0.52082579137417595</v>
      </c>
      <c r="EG4" s="12">
        <f t="shared" si="22"/>
        <v>0.13439995873038649</v>
      </c>
      <c r="EH4" s="12">
        <f t="shared" si="22"/>
        <v>1.1132075131515934E-2</v>
      </c>
      <c r="EI4" s="12">
        <f t="shared" si="22"/>
        <v>1.5988928652811943E-3</v>
      </c>
      <c r="EJ4" s="12">
        <f t="shared" si="22"/>
        <v>9.2484221172526651E-2</v>
      </c>
      <c r="EK4" s="12">
        <f t="shared" si="22"/>
        <v>1.7564331393653182E-2</v>
      </c>
      <c r="EL4" s="12">
        <f t="shared" si="22"/>
        <v>4.8831621412707589E-2</v>
      </c>
      <c r="EM4" s="12">
        <f t="shared" si="22"/>
        <v>1.66884248404453E-2</v>
      </c>
      <c r="EN4" s="12">
        <f t="shared" si="22"/>
        <v>0.85023195770516358</v>
      </c>
    </row>
    <row r="5" spans="1:144" ht="14.4">
      <c r="A5" s="474">
        <v>2018</v>
      </c>
      <c r="B5" s="471">
        <f>SUM(datos!JF34:JF45)</f>
        <v>167.79820280000001</v>
      </c>
      <c r="C5" s="471">
        <f>SUM(datos!JG34:JG45)</f>
        <v>163.12386472</v>
      </c>
      <c r="D5" s="471">
        <f>SUM(datos!JH34:JH45)</f>
        <v>804.25929673000007</v>
      </c>
      <c r="E5" s="471">
        <f>SUM(datos!JI34:JI45)</f>
        <v>755.05121400999997</v>
      </c>
      <c r="F5" s="471">
        <f>SUM(datos!JJ34:JJ45)</f>
        <v>4297.1985480699996</v>
      </c>
      <c r="G5" s="471">
        <f>SUM(datos!JK34:JK45)</f>
        <v>716.78142817999992</v>
      </c>
      <c r="H5" s="471">
        <f>SUM(datos!JL34:JL45)</f>
        <v>13875.37572321</v>
      </c>
      <c r="I5" s="471">
        <f>SUM(datos!JM34:JM45)</f>
        <v>33.836395359999997</v>
      </c>
      <c r="J5" s="471">
        <f>SUM(datos!JN34:JN45)</f>
        <v>2690.39745004</v>
      </c>
      <c r="K5" s="471">
        <f>SUM(datos!JO34:JO45)</f>
        <v>175.30855838000002</v>
      </c>
      <c r="L5" s="471">
        <f>SUM(datos!JP34:JP45)</f>
        <v>0</v>
      </c>
      <c r="M5" s="471">
        <f>SUM(datos!JQ34:JQ45)</f>
        <v>21.321042140000003</v>
      </c>
      <c r="N5" s="471">
        <f>SUM(datos!JR34:JR45)</f>
        <v>8.4160754700000009</v>
      </c>
      <c r="O5" s="471">
        <f>SUM(datos!JS34:JS45)</f>
        <v>0</v>
      </c>
      <c r="P5" s="471">
        <f>SUM(datos!JT34:JT45)</f>
        <v>3.6554084599999999</v>
      </c>
      <c r="Q5" s="471">
        <f>SUM(datos!JU34:JU45)</f>
        <v>997.05356235000011</v>
      </c>
      <c r="R5" s="471">
        <f>SUM(datos!JV34:JV45)</f>
        <v>114.38561324000001</v>
      </c>
      <c r="S5" s="471">
        <f>SUM(datos!JW34:JW45)</f>
        <v>297.08202890000001</v>
      </c>
      <c r="T5" s="471">
        <f>SUM(datos!JX34:JX45)</f>
        <v>492.07286739000006</v>
      </c>
      <c r="U5" s="471">
        <f>SUM(datos!JY34:JY45)</f>
        <v>0</v>
      </c>
      <c r="V5" s="471">
        <f>SUM(datos!JZ34:JZ45)</f>
        <v>34.56395886</v>
      </c>
      <c r="W5" s="471">
        <f>SUM(datos!KA34:KA45)</f>
        <v>3.1572124700000002</v>
      </c>
      <c r="X5" s="471">
        <f>SUM(datos!KB34:KB45)</f>
        <v>62.252998880000007</v>
      </c>
      <c r="Y5" s="471">
        <f>SUM(datos!KC34:KC45)</f>
        <v>277.68174749999997</v>
      </c>
      <c r="Z5" s="471">
        <f>SUM(datos!KD34:KD45)</f>
        <v>97.102930979999996</v>
      </c>
      <c r="AA5" s="471">
        <f>SUM(datos!KE34:KE45)</f>
        <v>178.06900694000001</v>
      </c>
      <c r="AB5" s="471">
        <f>SUM(datos!KF34:KF45)</f>
        <v>316.72092236999993</v>
      </c>
      <c r="AC5" s="471">
        <f>SUM(datos!KG34:KG45)</f>
        <v>3016.9169796900005</v>
      </c>
      <c r="AD5" s="471">
        <f>SUM(datos!KH34:KH45)</f>
        <v>823.5204083000001</v>
      </c>
      <c r="AE5" s="471">
        <f>SUM(datos!KI34:KI45)</f>
        <v>277.91143668000007</v>
      </c>
      <c r="AF5" s="471">
        <f>SUM(datos!KJ34:KJ45)</f>
        <v>27.231219619999997</v>
      </c>
      <c r="AG5" s="471">
        <f>SUM(datos!KK34:KK45)</f>
        <v>88.386963599999987</v>
      </c>
      <c r="AH5" s="471">
        <f>SUM(datos!KL34:KL45)</f>
        <v>3.64037831</v>
      </c>
      <c r="AI5" s="471">
        <f>SUM(datos!KM34:KM45)</f>
        <v>62.543405660000005</v>
      </c>
      <c r="AJ5" s="471">
        <f>SUM(datos!KN34:KN45)</f>
        <v>1.60654323</v>
      </c>
      <c r="AK5" s="471">
        <f>SUM(datos!KO34:KO45)</f>
        <v>29.777255329999999</v>
      </c>
      <c r="AL5" s="471">
        <f>SUM(datos!KP34:KP45)</f>
        <v>0.20927668999999999</v>
      </c>
      <c r="AM5" s="471">
        <f>SUM(datos!KQ34:KQ45)</f>
        <v>2505.9084106800001</v>
      </c>
      <c r="AN5" s="471">
        <f>SUM(datos!KR34:KR45)</f>
        <v>0.22765124</v>
      </c>
      <c r="AO5" s="471">
        <f>SUM(datos!KS34:KS45)</f>
        <v>2.9598877699999999</v>
      </c>
      <c r="AP5" s="471">
        <f>SUM(datos!KT34:KT45)</f>
        <v>44.071563940000011</v>
      </c>
      <c r="AQ5" s="471">
        <f>SUM(datos!KU34:KU45)</f>
        <v>4.5898385400000006</v>
      </c>
      <c r="AR5" s="471">
        <f>SUM(datos!KV34:KV45)</f>
        <v>1.8412449200000003</v>
      </c>
      <c r="AS5" s="471">
        <f>SUM(datos!KW34:KW45)</f>
        <v>34.776327090000002</v>
      </c>
      <c r="AT5" s="471">
        <f>SUM(datos!KX34:KX45)</f>
        <v>0</v>
      </c>
      <c r="AU5" s="471">
        <f>SUM(datos!KY34:KY45)</f>
        <v>0.40521295000000002</v>
      </c>
      <c r="AV5" s="471">
        <f>SUM(datos!KZ34:KZ45)</f>
        <v>11.223882410000002</v>
      </c>
      <c r="AW5" s="471">
        <f>SUM(datos!LA34:LA45)</f>
        <v>7.8653552199999988</v>
      </c>
      <c r="AX5" s="471">
        <f>SUM(datos!LB34:LB45)</f>
        <v>0</v>
      </c>
      <c r="AY5" s="471">
        <f>SUM(datos!LC34:LC45)</f>
        <v>0.96563686999999998</v>
      </c>
      <c r="AZ5" s="471">
        <f>SUM(datos!LD34:LD45)</f>
        <v>0</v>
      </c>
      <c r="BA5" s="471">
        <f>SUM(datos!LE34:LE45)</f>
        <v>9.6104340199999996</v>
      </c>
      <c r="BB5" s="471">
        <f>SUM(datos!LF34:LF45)</f>
        <v>1.9051028599999997</v>
      </c>
      <c r="BC5" s="471">
        <f>SUM(datos!LG34:LG45)</f>
        <v>235.11611751000001</v>
      </c>
      <c r="BD5" s="471">
        <f>SUM(datos!LH34:LH45)</f>
        <v>28.534123110000003</v>
      </c>
      <c r="BE5" s="471">
        <f>SUM(datos!LI34:LI45)</f>
        <v>0.40205220999999997</v>
      </c>
      <c r="BF5" s="471">
        <f>SUM(datos!LJ34:LJ45)</f>
        <v>0</v>
      </c>
      <c r="BG5" s="471">
        <f>SUM(datos!LK34:LK45)</f>
        <v>25.086807299999997</v>
      </c>
      <c r="BH5" s="471">
        <f>SUM(datos!LL34:LL45)</f>
        <v>38.753117080000003</v>
      </c>
      <c r="BI5" s="471">
        <f>SUM(datos!LM34:LM45)</f>
        <v>16.857656299999999</v>
      </c>
      <c r="BJ5" s="471">
        <f>SUM(datos!LN34:LN45)</f>
        <v>0.83070976000000007</v>
      </c>
      <c r="BK5" s="471">
        <f>SUM(datos!LO34:LO45)</f>
        <v>113.71860961</v>
      </c>
      <c r="BL5" s="471"/>
      <c r="BM5">
        <v>2018</v>
      </c>
      <c r="BN5" s="1">
        <f t="shared" si="23"/>
        <v>167.79820280000001</v>
      </c>
      <c r="BO5" s="1">
        <f t="shared" si="23"/>
        <v>163.12386472</v>
      </c>
      <c r="BP5" s="1">
        <f t="shared" si="24"/>
        <v>22456.118627419997</v>
      </c>
      <c r="BQ5" s="1">
        <f t="shared" si="25"/>
        <v>716.78142817999992</v>
      </c>
      <c r="BR5" s="1">
        <f t="shared" si="26"/>
        <v>175.30855838000002</v>
      </c>
      <c r="BS5" s="559">
        <f t="shared" si="26"/>
        <v>0</v>
      </c>
      <c r="BT5" s="1">
        <f t="shared" si="27"/>
        <v>33.392526070000002</v>
      </c>
      <c r="BU5" s="1">
        <f t="shared" si="28"/>
        <v>997.05356235000011</v>
      </c>
      <c r="BV5" s="1">
        <f t="shared" si="29"/>
        <v>411.46764214000001</v>
      </c>
      <c r="BW5" s="1">
        <f t="shared" si="30"/>
        <v>529.79403872</v>
      </c>
      <c r="BX5" s="1">
        <f t="shared" si="0"/>
        <v>62.252998880000007</v>
      </c>
      <c r="BY5" s="1">
        <f t="shared" si="0"/>
        <v>277.68174749999997</v>
      </c>
      <c r="BZ5" s="1">
        <f t="shared" si="0"/>
        <v>97.102930979999996</v>
      </c>
      <c r="CA5" s="1">
        <f t="shared" si="0"/>
        <v>178.06900694000001</v>
      </c>
      <c r="CB5" s="1">
        <f t="shared" si="0"/>
        <v>316.72092236999993</v>
      </c>
      <c r="CC5" s="1">
        <f t="shared" si="0"/>
        <v>3016.9169796900005</v>
      </c>
      <c r="CD5" s="1">
        <f t="shared" si="0"/>
        <v>823.5204083000001</v>
      </c>
      <c r="CE5" s="1">
        <f t="shared" si="0"/>
        <v>277.91143668000007</v>
      </c>
      <c r="CF5" s="1">
        <f t="shared" si="0"/>
        <v>27.231219619999997</v>
      </c>
      <c r="CG5" s="1">
        <f t="shared" si="1"/>
        <v>5255.2104946300005</v>
      </c>
      <c r="CH5" s="1">
        <f t="shared" si="2"/>
        <v>88.386963599999987</v>
      </c>
      <c r="CI5" s="7">
        <f t="shared" si="3"/>
        <v>3.64037831</v>
      </c>
      <c r="CJ5" s="1">
        <f t="shared" si="4"/>
        <v>2603.02315391</v>
      </c>
      <c r="CK5" s="7">
        <f t="shared" si="5"/>
        <v>0.20927668999999999</v>
      </c>
      <c r="CL5" s="1">
        <f t="shared" si="6"/>
        <v>44.071563940000011</v>
      </c>
      <c r="CM5" s="1">
        <f t="shared" si="7"/>
        <v>4.5898385400000006</v>
      </c>
      <c r="CN5" s="1">
        <f t="shared" si="8"/>
        <v>37.022784960000003</v>
      </c>
      <c r="CO5" s="1">
        <f t="shared" si="9"/>
        <v>11.223882410000002</v>
      </c>
      <c r="CP5" s="7">
        <f t="shared" si="10"/>
        <v>7.8653552199999988</v>
      </c>
      <c r="CQ5" s="2">
        <f t="shared" si="11"/>
        <v>12.48117375</v>
      </c>
      <c r="CR5" s="1">
        <f t="shared" si="12"/>
        <v>235.11611751000001</v>
      </c>
      <c r="CS5" s="1">
        <f t="shared" si="13"/>
        <v>28.534123110000003</v>
      </c>
      <c r="CT5" s="1">
        <f t="shared" si="14"/>
        <v>0.40205220999999997</v>
      </c>
      <c r="CU5" s="514">
        <f t="shared" si="15"/>
        <v>0</v>
      </c>
      <c r="CV5" s="1">
        <f t="shared" si="16"/>
        <v>25.086807299999997</v>
      </c>
      <c r="CW5" s="1">
        <f t="shared" si="17"/>
        <v>38.753117080000003</v>
      </c>
      <c r="CX5" s="1">
        <f t="shared" si="18"/>
        <v>16.857656299999999</v>
      </c>
      <c r="CY5" s="1">
        <f t="shared" si="19"/>
        <v>0.83070976000000007</v>
      </c>
      <c r="CZ5" s="1">
        <f t="shared" si="20"/>
        <v>113.71860961</v>
      </c>
      <c r="DB5" s="7">
        <f t="shared" si="31"/>
        <v>256.18516640000001</v>
      </c>
      <c r="DC5" s="7">
        <f t="shared" si="32"/>
        <v>166.76424302999999</v>
      </c>
      <c r="DD5" s="7">
        <f t="shared" si="33"/>
        <v>25059.141781329996</v>
      </c>
      <c r="DE5" s="7">
        <f t="shared" si="34"/>
        <v>716.99070486999995</v>
      </c>
      <c r="DF5" s="7">
        <f t="shared" si="35"/>
        <v>219.38012232000003</v>
      </c>
      <c r="DG5" s="7">
        <f t="shared" si="36"/>
        <v>4.5898385400000006</v>
      </c>
      <c r="DH5" s="7">
        <f t="shared" si="37"/>
        <v>70.415311029999998</v>
      </c>
      <c r="DI5" s="7">
        <f t="shared" si="38"/>
        <v>1008.2774447600001</v>
      </c>
      <c r="DJ5" s="7">
        <f t="shared" si="39"/>
        <v>419.33299736000004</v>
      </c>
      <c r="DK5" s="7">
        <f t="shared" si="40"/>
        <v>542.27521247000004</v>
      </c>
      <c r="DL5" s="7">
        <f t="shared" si="41"/>
        <v>297.36911639000004</v>
      </c>
      <c r="DM5" s="7">
        <f t="shared" si="42"/>
        <v>306.21587060999997</v>
      </c>
      <c r="DN5" s="7">
        <f t="shared" si="43"/>
        <v>97.50498318999999</v>
      </c>
      <c r="DO5" s="7">
        <f t="shared" si="44"/>
        <v>178.06900694000001</v>
      </c>
      <c r="DP5" s="7">
        <f t="shared" si="45"/>
        <v>341.8077296699999</v>
      </c>
      <c r="DQ5" s="7">
        <f t="shared" si="46"/>
        <v>3055.6700967700003</v>
      </c>
      <c r="DR5" s="7">
        <f t="shared" si="47"/>
        <v>840.37806460000013</v>
      </c>
      <c r="DS5" s="7">
        <f t="shared" si="48"/>
        <v>278.74214644000006</v>
      </c>
      <c r="DT5" s="7">
        <f t="shared" si="49"/>
        <v>140.94982923000001</v>
      </c>
      <c r="DV5" s="12">
        <f t="shared" si="50"/>
        <v>0.345012027206896</v>
      </c>
      <c r="DW5" s="12">
        <f t="shared" si="22"/>
        <v>2.1829489606744509E-2</v>
      </c>
      <c r="DX5" s="12">
        <f t="shared" si="22"/>
        <v>0.10387519160170722</v>
      </c>
      <c r="DY5" s="12">
        <f t="shared" si="22"/>
        <v>2.9188201266562396E-4</v>
      </c>
      <c r="DZ5" s="12">
        <f t="shared" si="22"/>
        <v>0.20089132722660616</v>
      </c>
      <c r="EA5" s="12">
        <f t="shared" si="22"/>
        <v>1</v>
      </c>
      <c r="EB5" s="12">
        <f t="shared" si="22"/>
        <v>0.52577748246012401</v>
      </c>
      <c r="EC5" s="12">
        <f t="shared" si="22"/>
        <v>1.1131740046680919E-2</v>
      </c>
      <c r="ED5" s="12">
        <f t="shared" si="22"/>
        <v>1.8756823978837853E-2</v>
      </c>
      <c r="EE5" s="12">
        <f t="shared" si="22"/>
        <v>2.3016308809598204E-2</v>
      </c>
      <c r="EF5" s="12">
        <f t="shared" si="22"/>
        <v>0.79065412159897897</v>
      </c>
      <c r="EG5" s="12">
        <f t="shared" si="22"/>
        <v>9.3183031477625106E-2</v>
      </c>
      <c r="EH5" s="12">
        <f t="shared" si="22"/>
        <v>4.1234016646775245E-3</v>
      </c>
      <c r="EI5" s="12">
        <f t="shared" si="22"/>
        <v>0</v>
      </c>
      <c r="EJ5" s="12">
        <f t="shared" si="22"/>
        <v>7.3394499662778806E-2</v>
      </c>
      <c r="EK5" s="12">
        <f t="shared" si="22"/>
        <v>1.2682362903300336E-2</v>
      </c>
      <c r="EL5" s="12">
        <f t="shared" si="22"/>
        <v>2.0059610085163087E-2</v>
      </c>
      <c r="EM5" s="12">
        <f t="shared" si="22"/>
        <v>2.980208664565236E-3</v>
      </c>
      <c r="EN5" s="12">
        <f t="shared" si="22"/>
        <v>0.80680203893284275</v>
      </c>
    </row>
    <row r="6" spans="1:144" ht="14.4">
      <c r="A6" s="474">
        <v>2019</v>
      </c>
      <c r="B6" s="471">
        <f>SUM(datos!JF46:JF57)</f>
        <v>122.52301627999999</v>
      </c>
      <c r="C6" s="471">
        <f>SUM(datos!JG46:JG57)</f>
        <v>160.04628708999999</v>
      </c>
      <c r="D6" s="471">
        <f>SUM(datos!JH46:JH57)</f>
        <v>974.55516534999981</v>
      </c>
      <c r="E6" s="471">
        <f>SUM(datos!JI46:JI57)</f>
        <v>933.58965680000006</v>
      </c>
      <c r="F6" s="471">
        <f>SUM(datos!JJ46:JJ57)</f>
        <v>6024.66485431</v>
      </c>
      <c r="G6" s="471">
        <f>SUM(datos!JK46:JK57)</f>
        <v>840.77328794000005</v>
      </c>
      <c r="H6" s="471">
        <f>SUM(datos!JL46:JL57)</f>
        <v>16016.097954260002</v>
      </c>
      <c r="I6" s="471">
        <f>SUM(datos!JM46:JM57)</f>
        <v>38.313297429999999</v>
      </c>
      <c r="J6" s="471">
        <f>SUM(datos!JN46:JN57)</f>
        <v>2666.4556213599999</v>
      </c>
      <c r="K6" s="471">
        <f>SUM(datos!JO46:JO57)</f>
        <v>227.31993444</v>
      </c>
      <c r="L6" s="471">
        <f>SUM(datos!JP46:JP57)</f>
        <v>0</v>
      </c>
      <c r="M6" s="471">
        <f>SUM(datos!JQ46:JQ57)</f>
        <v>32.100626220000002</v>
      </c>
      <c r="N6" s="471">
        <f>SUM(datos!JR46:JR57)</f>
        <v>7.6429158299999997</v>
      </c>
      <c r="O6" s="471">
        <f>SUM(datos!JS46:JS57)</f>
        <v>0</v>
      </c>
      <c r="P6" s="471">
        <f>SUM(datos!JT46:JT57)</f>
        <v>2.2811268800000004</v>
      </c>
      <c r="Q6" s="471">
        <f>SUM(datos!JU46:JU57)</f>
        <v>971.59091583999998</v>
      </c>
      <c r="R6" s="471">
        <f>SUM(datos!JV46:JV57)</f>
        <v>106.09423307000002</v>
      </c>
      <c r="S6" s="471">
        <f>SUM(datos!JW46:JW57)</f>
        <v>242.80700934999996</v>
      </c>
      <c r="T6" s="471">
        <f>SUM(datos!JX46:JX57)</f>
        <v>357.90877179999995</v>
      </c>
      <c r="U6" s="471">
        <f>SUM(datos!JY46:JY57)</f>
        <v>0</v>
      </c>
      <c r="V6" s="471">
        <f>SUM(datos!JZ46:JZ57)</f>
        <v>41.467505360000004</v>
      </c>
      <c r="W6" s="471">
        <f>SUM(datos!KA46:KA57)</f>
        <v>2.8375028599999998</v>
      </c>
      <c r="X6" s="471">
        <f>SUM(datos!KB46:KB57)</f>
        <v>49.440990049999989</v>
      </c>
      <c r="Y6" s="471">
        <f>SUM(datos!KC46:KC57)</f>
        <v>229.41921687999999</v>
      </c>
      <c r="Z6" s="471">
        <f>SUM(datos!KD46:KD57)</f>
        <v>85.842188680000021</v>
      </c>
      <c r="AA6" s="471">
        <f>SUM(datos!KE46:KE57)</f>
        <v>150.23214780000001</v>
      </c>
      <c r="AB6" s="471">
        <f>SUM(datos!KF46:KF57)</f>
        <v>444.57264702999998</v>
      </c>
      <c r="AC6" s="471">
        <f>SUM(datos!KG46:KG57)</f>
        <v>4012.5547199099997</v>
      </c>
      <c r="AD6" s="471">
        <f>SUM(datos!KH46:KH57)</f>
        <v>744.06395640000017</v>
      </c>
      <c r="AE6" s="471">
        <f>SUM(datos!KI46:KI57)</f>
        <v>242.69694055999997</v>
      </c>
      <c r="AF6" s="471">
        <f>SUM(datos!KJ46:KJ57)</f>
        <v>23.839767550000001</v>
      </c>
      <c r="AG6" s="471">
        <f>SUM(datos!KK46:KK57)</f>
        <v>78.14590717999998</v>
      </c>
      <c r="AH6" s="471">
        <f>SUM(datos!KL46:KL57)</f>
        <v>4.4916035699999997</v>
      </c>
      <c r="AI6" s="471">
        <f>SUM(datos!KM46:KM57)</f>
        <v>44.993768699999997</v>
      </c>
      <c r="AJ6" s="471">
        <f>SUM(datos!KN46:KN57)</f>
        <v>2.0848330100000001</v>
      </c>
      <c r="AK6" s="471">
        <f>SUM(datos!KO46:KO57)</f>
        <v>22.202995709999996</v>
      </c>
      <c r="AL6" s="471">
        <f>SUM(datos!KP46:KP57)</f>
        <v>0.32699620000000001</v>
      </c>
      <c r="AM6" s="471">
        <f>SUM(datos!KQ46:KQ57)</f>
        <v>1615.6760790599999</v>
      </c>
      <c r="AN6" s="471">
        <f>SUM(datos!KR46:KR57)</f>
        <v>0.24634307</v>
      </c>
      <c r="AO6" s="471">
        <f>SUM(datos!KS46:KS57)</f>
        <v>3.7359024500000002</v>
      </c>
      <c r="AP6" s="471">
        <f>SUM(datos!KT46:KT57)</f>
        <v>21.304246280000001</v>
      </c>
      <c r="AQ6" s="471">
        <f>SUM(datos!KU46:KU57)</f>
        <v>2.51624033</v>
      </c>
      <c r="AR6" s="471">
        <f>SUM(datos!KV46:KV57)</f>
        <v>0.75367119000000005</v>
      </c>
      <c r="AS6" s="471">
        <f>SUM(datos!KW46:KW57)</f>
        <v>28.216344100000004</v>
      </c>
      <c r="AT6" s="471">
        <f>SUM(datos!KX46:KX57)</f>
        <v>0</v>
      </c>
      <c r="AU6" s="471">
        <f>SUM(datos!KY46:KY57)</f>
        <v>0.13271116000000002</v>
      </c>
      <c r="AV6" s="471">
        <f>SUM(datos!KZ46:KZ57)</f>
        <v>9.2139646699999993</v>
      </c>
      <c r="AW6" s="471">
        <f>SUM(datos!LA46:LA57)</f>
        <v>4.1142447299999994</v>
      </c>
      <c r="AX6" s="471">
        <f>SUM(datos!LB46:LB57)</f>
        <v>0.84034361000000002</v>
      </c>
      <c r="AY6" s="471">
        <f>SUM(datos!LC46:LC57)</f>
        <v>0.36956863000000001</v>
      </c>
      <c r="AZ6" s="471">
        <f>SUM(datos!LD46:LD57)</f>
        <v>0</v>
      </c>
      <c r="BA6" s="471">
        <f>SUM(datos!LE46:LE57)</f>
        <v>4.1798497799999996</v>
      </c>
      <c r="BB6" s="471">
        <f>SUM(datos!LF46:LF57)</f>
        <v>1.5647782600000002</v>
      </c>
      <c r="BC6" s="471">
        <f>SUM(datos!LG46:LG57)</f>
        <v>213.76089809000001</v>
      </c>
      <c r="BD6" s="471">
        <f>SUM(datos!LH46:LH57)</f>
        <v>52.359908250000004</v>
      </c>
      <c r="BE6" s="471">
        <f>SUM(datos!LI46:LI57)</f>
        <v>4.6521893099999998</v>
      </c>
      <c r="BF6" s="471">
        <f>SUM(datos!LJ46:LJ57)</f>
        <v>0.33665176000000002</v>
      </c>
      <c r="BG6" s="471">
        <f>SUM(datos!LK46:LK57)</f>
        <v>25.602215139999998</v>
      </c>
      <c r="BH6" s="471">
        <f>SUM(datos!LL46:LL57)</f>
        <v>65.94147323</v>
      </c>
      <c r="BI6" s="471">
        <f>SUM(datos!LM46:LM57)</f>
        <v>24.912230559999998</v>
      </c>
      <c r="BJ6" s="471">
        <f>SUM(datos!LN46:LN57)</f>
        <v>2.22131539</v>
      </c>
      <c r="BK6" s="471">
        <f>SUM(datos!LO46:LO57)</f>
        <v>95.521856790000001</v>
      </c>
      <c r="BL6" s="471"/>
      <c r="BM6">
        <v>2019</v>
      </c>
      <c r="BN6" s="1">
        <f t="shared" si="23"/>
        <v>122.52301627999999</v>
      </c>
      <c r="BO6" s="1">
        <f t="shared" si="23"/>
        <v>160.04628708999999</v>
      </c>
      <c r="BP6" s="1">
        <f t="shared" si="24"/>
        <v>26653.676549510001</v>
      </c>
      <c r="BQ6" s="1">
        <f t="shared" si="25"/>
        <v>840.77328794000005</v>
      </c>
      <c r="BR6" s="1">
        <f t="shared" si="26"/>
        <v>227.31993444</v>
      </c>
      <c r="BS6" s="559">
        <f t="shared" si="26"/>
        <v>0</v>
      </c>
      <c r="BT6" s="1">
        <f t="shared" si="27"/>
        <v>42.024668930000004</v>
      </c>
      <c r="BU6" s="1">
        <f t="shared" si="28"/>
        <v>971.59091583999998</v>
      </c>
      <c r="BV6" s="1">
        <f t="shared" si="29"/>
        <v>348.90124241999996</v>
      </c>
      <c r="BW6" s="1">
        <f t="shared" si="30"/>
        <v>402.21378001999994</v>
      </c>
      <c r="BX6" s="1">
        <f t="shared" si="0"/>
        <v>49.440990049999989</v>
      </c>
      <c r="BY6" s="1">
        <f t="shared" si="0"/>
        <v>229.41921687999999</v>
      </c>
      <c r="BZ6" s="1">
        <f t="shared" si="0"/>
        <v>85.842188680000021</v>
      </c>
      <c r="CA6" s="1">
        <f t="shared" si="0"/>
        <v>150.23214780000001</v>
      </c>
      <c r="CB6" s="1">
        <f t="shared" si="0"/>
        <v>444.57264702999998</v>
      </c>
      <c r="CC6" s="1">
        <f t="shared" si="0"/>
        <v>4012.5547199099997</v>
      </c>
      <c r="CD6" s="1">
        <f t="shared" si="0"/>
        <v>744.06395640000017</v>
      </c>
      <c r="CE6" s="1">
        <f t="shared" si="0"/>
        <v>242.69694055999997</v>
      </c>
      <c r="CF6" s="1">
        <f t="shared" si="0"/>
        <v>23.839767550000001</v>
      </c>
      <c r="CG6" s="1">
        <f t="shared" si="1"/>
        <v>5085.5009879100007</v>
      </c>
      <c r="CH6" s="1">
        <f t="shared" si="2"/>
        <v>78.14590717999998</v>
      </c>
      <c r="CI6" s="7">
        <f t="shared" si="3"/>
        <v>4.4916035699999997</v>
      </c>
      <c r="CJ6" s="1">
        <f t="shared" si="4"/>
        <v>1688.9399219999998</v>
      </c>
      <c r="CK6" s="7">
        <f t="shared" si="5"/>
        <v>0.32699620000000001</v>
      </c>
      <c r="CL6" s="1">
        <f t="shared" si="6"/>
        <v>21.304246280000001</v>
      </c>
      <c r="CM6" s="1">
        <f t="shared" si="7"/>
        <v>2.51624033</v>
      </c>
      <c r="CN6" s="1">
        <f t="shared" si="8"/>
        <v>29.102726450000002</v>
      </c>
      <c r="CO6" s="1">
        <f t="shared" si="9"/>
        <v>9.2139646699999993</v>
      </c>
      <c r="CP6" s="7">
        <f t="shared" si="10"/>
        <v>4.954588339999999</v>
      </c>
      <c r="CQ6" s="2">
        <f t="shared" si="11"/>
        <v>6.1141966700000001</v>
      </c>
      <c r="CR6" s="1">
        <f t="shared" si="12"/>
        <v>213.76089809000001</v>
      </c>
      <c r="CS6" s="1">
        <f t="shared" si="13"/>
        <v>52.359908250000004</v>
      </c>
      <c r="CT6" s="1">
        <f t="shared" si="14"/>
        <v>4.6521893099999998</v>
      </c>
      <c r="CU6" s="514">
        <f t="shared" si="15"/>
        <v>0.33665176000000002</v>
      </c>
      <c r="CV6" s="1">
        <f t="shared" si="16"/>
        <v>25.602215139999998</v>
      </c>
      <c r="CW6" s="1">
        <f t="shared" si="17"/>
        <v>65.94147323</v>
      </c>
      <c r="CX6" s="1">
        <f t="shared" si="18"/>
        <v>24.912230559999998</v>
      </c>
      <c r="CY6" s="1">
        <f t="shared" si="19"/>
        <v>2.22131539</v>
      </c>
      <c r="CZ6" s="1">
        <f t="shared" si="20"/>
        <v>95.521856790000001</v>
      </c>
      <c r="DB6" s="7">
        <f t="shared" si="31"/>
        <v>200.66892345999997</v>
      </c>
      <c r="DC6" s="7">
        <f t="shared" si="32"/>
        <v>164.53789065999999</v>
      </c>
      <c r="DD6" s="7">
        <f t="shared" si="33"/>
        <v>28342.616471510002</v>
      </c>
      <c r="DE6" s="7">
        <f t="shared" si="34"/>
        <v>841.1002841400001</v>
      </c>
      <c r="DF6" s="7">
        <f t="shared" si="35"/>
        <v>248.62418072</v>
      </c>
      <c r="DG6" s="7">
        <f t="shared" si="36"/>
        <v>2.51624033</v>
      </c>
      <c r="DH6" s="7">
        <f t="shared" si="37"/>
        <v>71.12739538000001</v>
      </c>
      <c r="DI6" s="7">
        <f t="shared" si="38"/>
        <v>980.80488050999998</v>
      </c>
      <c r="DJ6" s="7">
        <f t="shared" si="39"/>
        <v>353.85583075999995</v>
      </c>
      <c r="DK6" s="7">
        <f t="shared" si="40"/>
        <v>408.32797668999996</v>
      </c>
      <c r="DL6" s="7">
        <f t="shared" si="41"/>
        <v>263.20188813999999</v>
      </c>
      <c r="DM6" s="7">
        <f t="shared" si="42"/>
        <v>281.77912513000001</v>
      </c>
      <c r="DN6" s="7">
        <f t="shared" si="43"/>
        <v>90.494377990000018</v>
      </c>
      <c r="DO6" s="7">
        <f t="shared" si="44"/>
        <v>150.56879956</v>
      </c>
      <c r="DP6" s="7">
        <f t="shared" si="45"/>
        <v>470.17486216999998</v>
      </c>
      <c r="DQ6" s="7">
        <f t="shared" si="46"/>
        <v>4078.4961931399998</v>
      </c>
      <c r="DR6" s="7">
        <f t="shared" si="47"/>
        <v>768.97618696000018</v>
      </c>
      <c r="DS6" s="7">
        <f t="shared" si="48"/>
        <v>244.91825594999997</v>
      </c>
      <c r="DT6" s="7">
        <f t="shared" si="49"/>
        <v>119.36162434000001</v>
      </c>
      <c r="DV6" s="12">
        <f t="shared" si="50"/>
        <v>0.38942705144664352</v>
      </c>
      <c r="DW6" s="12">
        <f t="shared" si="22"/>
        <v>2.7298293128610842E-2</v>
      </c>
      <c r="DX6" s="12">
        <f t="shared" si="22"/>
        <v>5.9590120188717302E-2</v>
      </c>
      <c r="DY6" s="12">
        <f t="shared" si="22"/>
        <v>3.8877195284072916E-4</v>
      </c>
      <c r="DZ6" s="12">
        <f t="shared" si="22"/>
        <v>8.5688552973022344E-2</v>
      </c>
      <c r="EA6" s="12">
        <f t="shared" si="22"/>
        <v>1</v>
      </c>
      <c r="EB6" s="12">
        <f t="shared" si="22"/>
        <v>0.40916339329618229</v>
      </c>
      <c r="EC6" s="12">
        <f t="shared" si="22"/>
        <v>9.3942891732032487E-3</v>
      </c>
      <c r="ED6" s="12">
        <f t="shared" si="22"/>
        <v>1.4001714566519073E-2</v>
      </c>
      <c r="EE6" s="12">
        <f t="shared" si="22"/>
        <v>1.4973739295463117E-2</v>
      </c>
      <c r="EF6" s="12">
        <f t="shared" si="22"/>
        <v>0.81215564067799628</v>
      </c>
      <c r="EG6" s="12">
        <f t="shared" si="22"/>
        <v>0.18581897514886361</v>
      </c>
      <c r="EH6" s="12">
        <f t="shared" si="22"/>
        <v>5.1408600327791466E-2</v>
      </c>
      <c r="EI6" s="12">
        <f t="shared" si="22"/>
        <v>2.2358666668246103E-3</v>
      </c>
      <c r="EJ6" s="12">
        <f t="shared" si="22"/>
        <v>5.4452539257071268E-2</v>
      </c>
      <c r="EK6" s="12">
        <f t="shared" si="22"/>
        <v>1.6168085026268521E-2</v>
      </c>
      <c r="EL6" s="12">
        <f t="shared" si="22"/>
        <v>3.2396621615144838E-2</v>
      </c>
      <c r="EM6" s="12">
        <f t="shared" si="22"/>
        <v>9.0696194997137384E-3</v>
      </c>
      <c r="EN6" s="12">
        <f t="shared" si="22"/>
        <v>0.80027276202196496</v>
      </c>
    </row>
    <row r="7" spans="1:144" ht="14.4">
      <c r="A7" s="474">
        <v>2020</v>
      </c>
      <c r="B7" s="471">
        <f>SUM(datos!JF58:JF69)</f>
        <v>151.59258489999999</v>
      </c>
      <c r="C7" s="471">
        <f>SUM(datos!JG58:JG69)</f>
        <v>210.18514877000001</v>
      </c>
      <c r="D7" s="471">
        <f>SUM(datos!JH58:JH69)</f>
        <v>927.15726088999986</v>
      </c>
      <c r="E7" s="471">
        <f>SUM(datos!JI58:JI69)</f>
        <v>1130.7928142000003</v>
      </c>
      <c r="F7" s="471">
        <f>SUM(datos!JJ58:JJ69)</f>
        <v>6580.2766023799995</v>
      </c>
      <c r="G7" s="471">
        <f>SUM(datos!JK58:JK69)</f>
        <v>1234.56603511</v>
      </c>
      <c r="H7" s="471">
        <f>SUM(datos!JL58:JL69)</f>
        <v>20292.70380589</v>
      </c>
      <c r="I7" s="471">
        <f>SUM(datos!JM58:JM69)</f>
        <v>225.00836504</v>
      </c>
      <c r="J7" s="471">
        <f>SUM(datos!JN58:JN69)</f>
        <v>2638.8134417700003</v>
      </c>
      <c r="K7" s="471">
        <f>SUM(datos!JO58:JO69)</f>
        <v>214.12821176</v>
      </c>
      <c r="L7" s="471">
        <f>SUM(datos!JP58:JP69)</f>
        <v>2.5000000000000001E-3</v>
      </c>
      <c r="M7" s="471">
        <f>SUM(datos!JQ58:JQ69)</f>
        <v>28.736668519999998</v>
      </c>
      <c r="N7" s="471">
        <f>SUM(datos!JR58:JR69)</f>
        <v>16.321774189999999</v>
      </c>
      <c r="O7" s="471">
        <f>SUM(datos!JS58:JS69)</f>
        <v>0</v>
      </c>
      <c r="P7" s="471">
        <f>SUM(datos!JT58:JT69)</f>
        <v>5.0692742600000011</v>
      </c>
      <c r="Q7" s="471">
        <f>SUM(datos!JU58:JU69)</f>
        <v>975.73509275000015</v>
      </c>
      <c r="R7" s="471">
        <f>SUM(datos!JV58:JV69)</f>
        <v>130.98100546000001</v>
      </c>
      <c r="S7" s="471">
        <f>SUM(datos!JW58:JW69)</f>
        <v>270.56211919999998</v>
      </c>
      <c r="T7" s="471">
        <f>SUM(datos!JX58:JX69)</f>
        <v>368.01937964999996</v>
      </c>
      <c r="U7" s="471">
        <f>SUM(datos!JY58:JY69)</f>
        <v>0</v>
      </c>
      <c r="V7" s="471">
        <f>SUM(datos!JZ58:JZ69)</f>
        <v>52.842326190000001</v>
      </c>
      <c r="W7" s="471">
        <f>SUM(datos!KA58:KA69)</f>
        <v>6.331784110000001</v>
      </c>
      <c r="X7" s="471">
        <f>SUM(datos!KB58:KB69)</f>
        <v>198.75620855000003</v>
      </c>
      <c r="Y7" s="471">
        <f>SUM(datos!KC58:KC69)</f>
        <v>411.15753257999995</v>
      </c>
      <c r="Z7" s="471">
        <f>SUM(datos!KD58:KD69)</f>
        <v>113.32633039999999</v>
      </c>
      <c r="AA7" s="471">
        <f>SUM(datos!KE58:KE69)</f>
        <v>198.40858331999996</v>
      </c>
      <c r="AB7" s="471">
        <f>SUM(datos!KF58:KF69)</f>
        <v>479.76317822999999</v>
      </c>
      <c r="AC7" s="471">
        <f>SUM(datos!KG58:KG69)</f>
        <v>3649.1879116799996</v>
      </c>
      <c r="AD7" s="471">
        <f>SUM(datos!KH58:KH69)</f>
        <v>1303.5560115999999</v>
      </c>
      <c r="AE7" s="471">
        <f>SUM(datos!KI58:KI69)</f>
        <v>196.88264053</v>
      </c>
      <c r="AF7" s="471">
        <f>SUM(datos!KJ58:KJ69)</f>
        <v>83.793132180000001</v>
      </c>
      <c r="AG7" s="471">
        <f>SUM(datos!KK58:KK69)</f>
        <v>55.370111949999995</v>
      </c>
      <c r="AH7" s="471">
        <f>SUM(datos!KL58:KL69)</f>
        <v>5.2748960300000007</v>
      </c>
      <c r="AI7" s="471">
        <f>SUM(datos!KM58:KM69)</f>
        <v>35.954556750000002</v>
      </c>
      <c r="AJ7" s="471">
        <f>SUM(datos!KN58:KN69)</f>
        <v>1.8220982000000001</v>
      </c>
      <c r="AK7" s="471">
        <f>SUM(datos!KO58:KO69)</f>
        <v>20.44899908</v>
      </c>
      <c r="AL7" s="471">
        <f>SUM(datos!KP58:KP69)</f>
        <v>0.70307404999999989</v>
      </c>
      <c r="AM7" s="471">
        <f>SUM(datos!KQ58:KQ69)</f>
        <v>1983.68847026</v>
      </c>
      <c r="AN7" s="471">
        <f>SUM(datos!KR58:KR69)</f>
        <v>0.7205325199999999</v>
      </c>
      <c r="AO7" s="471">
        <f>SUM(datos!KS58:KS69)</f>
        <v>2.7989212399999994</v>
      </c>
      <c r="AP7" s="471">
        <f>SUM(datos!KT58:KT69)</f>
        <v>19.72289649</v>
      </c>
      <c r="AQ7" s="471">
        <f>SUM(datos!KU58:KU69)</f>
        <v>2.98721543</v>
      </c>
      <c r="AR7" s="471">
        <f>SUM(datos!KV58:KV69)</f>
        <v>5.4155521200000001</v>
      </c>
      <c r="AS7" s="471">
        <f>SUM(datos!KW58:KW69)</f>
        <v>41.350617659999997</v>
      </c>
      <c r="AT7" s="471">
        <f>SUM(datos!KX58:KX69)</f>
        <v>0</v>
      </c>
      <c r="AU7" s="471">
        <f>SUM(datos!KY58:KY69)</f>
        <v>1.65864017</v>
      </c>
      <c r="AV7" s="471">
        <f>SUM(datos!KZ58:KZ69)</f>
        <v>11.32143426</v>
      </c>
      <c r="AW7" s="471">
        <f>SUM(datos!LA58:LA69)</f>
        <v>4.0786541700000001</v>
      </c>
      <c r="AX7" s="471">
        <f>SUM(datos!LB58:LB69)</f>
        <v>0.13934377999999997</v>
      </c>
      <c r="AY7" s="471">
        <f>SUM(datos!LC58:LC69)</f>
        <v>3.0848488999999999</v>
      </c>
      <c r="AZ7" s="471">
        <f>SUM(datos!LD58:LD69)</f>
        <v>0</v>
      </c>
      <c r="BA7" s="471">
        <f>SUM(datos!LE58:LE69)</f>
        <v>2.31749925</v>
      </c>
      <c r="BB7" s="471">
        <f>SUM(datos!LF58:LF69)</f>
        <v>2.3772394599999997</v>
      </c>
      <c r="BC7" s="471">
        <f>SUM(datos!LG58:LG69)</f>
        <v>192.24044153999998</v>
      </c>
      <c r="BD7" s="471">
        <f>SUM(datos!LH58:LH69)</f>
        <v>59.986110919999994</v>
      </c>
      <c r="BE7" s="471">
        <f>SUM(datos!LI58:LI69)</f>
        <v>37.122253430000001</v>
      </c>
      <c r="BF7" s="471">
        <f>SUM(datos!LJ58:LJ69)</f>
        <v>3.0705089999999997E-2</v>
      </c>
      <c r="BG7" s="471">
        <f>SUM(datos!LK58:LK69)</f>
        <v>29.52001091</v>
      </c>
      <c r="BH7" s="471">
        <f>SUM(datos!LL58:LL69)</f>
        <v>62.271074000000013</v>
      </c>
      <c r="BI7" s="471">
        <f>SUM(datos!LM58:LM69)</f>
        <v>10.678870799999999</v>
      </c>
      <c r="BJ7" s="471">
        <f>SUM(datos!LN58:LN69)</f>
        <v>3.2488683300000001</v>
      </c>
      <c r="BK7" s="471">
        <f>SUM(datos!LO58:LO69)</f>
        <v>72.474606519999995</v>
      </c>
      <c r="BL7" s="471"/>
      <c r="BM7">
        <v>2020</v>
      </c>
      <c r="BN7" s="1">
        <f t="shared" si="23"/>
        <v>151.59258489999999</v>
      </c>
      <c r="BO7" s="1">
        <f t="shared" si="23"/>
        <v>210.18514877000001</v>
      </c>
      <c r="BP7" s="1">
        <f t="shared" si="24"/>
        <v>31794.752290169999</v>
      </c>
      <c r="BQ7" s="1">
        <f t="shared" si="25"/>
        <v>1234.56603511</v>
      </c>
      <c r="BR7" s="1">
        <f t="shared" si="26"/>
        <v>214.12821176</v>
      </c>
      <c r="BS7" s="559">
        <f t="shared" si="26"/>
        <v>2.5000000000000001E-3</v>
      </c>
      <c r="BT7" s="1">
        <f t="shared" si="27"/>
        <v>50.127716969999994</v>
      </c>
      <c r="BU7" s="1">
        <f t="shared" si="28"/>
        <v>975.73509275000015</v>
      </c>
      <c r="BV7" s="1">
        <f t="shared" si="29"/>
        <v>401.54312465999999</v>
      </c>
      <c r="BW7" s="1">
        <f t="shared" si="30"/>
        <v>427.19348994999996</v>
      </c>
      <c r="BX7" s="1">
        <f t="shared" si="0"/>
        <v>198.75620855000003</v>
      </c>
      <c r="BY7" s="1">
        <f t="shared" si="0"/>
        <v>411.15753257999995</v>
      </c>
      <c r="BZ7" s="1">
        <f t="shared" si="0"/>
        <v>113.32633039999999</v>
      </c>
      <c r="CA7" s="1">
        <f t="shared" si="0"/>
        <v>198.40858331999996</v>
      </c>
      <c r="CB7" s="1">
        <f t="shared" si="0"/>
        <v>479.76317822999999</v>
      </c>
      <c r="CC7" s="1">
        <f t="shared" si="0"/>
        <v>3649.1879116799996</v>
      </c>
      <c r="CD7" s="1">
        <f t="shared" si="0"/>
        <v>1303.5560115999999</v>
      </c>
      <c r="CE7" s="1">
        <f t="shared" si="0"/>
        <v>196.88264053</v>
      </c>
      <c r="CF7" s="1">
        <f t="shared" si="0"/>
        <v>83.793132180000001</v>
      </c>
      <c r="CG7" s="1">
        <f t="shared" si="1"/>
        <v>6650.7175222599999</v>
      </c>
      <c r="CH7" s="1">
        <f t="shared" si="2"/>
        <v>55.370111949999995</v>
      </c>
      <c r="CI7" s="7">
        <f t="shared" si="3"/>
        <v>5.2748960300000007</v>
      </c>
      <c r="CJ7" s="1">
        <f t="shared" si="4"/>
        <v>2045.4335780500001</v>
      </c>
      <c r="CK7" s="7">
        <f t="shared" si="5"/>
        <v>0.70307404999999989</v>
      </c>
      <c r="CL7" s="1">
        <f t="shared" si="6"/>
        <v>19.72289649</v>
      </c>
      <c r="CM7" s="1">
        <f t="shared" si="7"/>
        <v>2.98721543</v>
      </c>
      <c r="CN7" s="1">
        <f t="shared" si="8"/>
        <v>48.424809949999997</v>
      </c>
      <c r="CO7" s="1">
        <f t="shared" si="9"/>
        <v>11.32143426</v>
      </c>
      <c r="CP7" s="7">
        <f t="shared" si="10"/>
        <v>4.21799795</v>
      </c>
      <c r="CQ7" s="2">
        <f t="shared" si="11"/>
        <v>7.7795876100000001</v>
      </c>
      <c r="CR7" s="1">
        <f t="shared" si="12"/>
        <v>192.24044153999998</v>
      </c>
      <c r="CS7" s="1">
        <f t="shared" si="13"/>
        <v>59.986110919999994</v>
      </c>
      <c r="CT7" s="1">
        <f t="shared" si="14"/>
        <v>37.122253430000001</v>
      </c>
      <c r="CU7" s="514">
        <f t="shared" si="15"/>
        <v>3.0705089999999997E-2</v>
      </c>
      <c r="CV7" s="1">
        <f t="shared" si="16"/>
        <v>29.52001091</v>
      </c>
      <c r="CW7" s="1">
        <f t="shared" si="17"/>
        <v>62.271074000000013</v>
      </c>
      <c r="CX7" s="1">
        <f t="shared" si="18"/>
        <v>10.678870799999999</v>
      </c>
      <c r="CY7" s="1">
        <f t="shared" si="19"/>
        <v>3.2488683300000001</v>
      </c>
      <c r="CZ7" s="1">
        <f t="shared" si="20"/>
        <v>72.474606519999995</v>
      </c>
      <c r="DB7" s="7">
        <f t="shared" si="31"/>
        <v>206.96269684999999</v>
      </c>
      <c r="DC7" s="7">
        <f t="shared" si="32"/>
        <v>215.46004480000002</v>
      </c>
      <c r="DD7" s="7">
        <f t="shared" si="33"/>
        <v>33840.185868219996</v>
      </c>
      <c r="DE7" s="7">
        <f t="shared" si="34"/>
        <v>1235.26910916</v>
      </c>
      <c r="DF7" s="7">
        <f t="shared" si="35"/>
        <v>233.85110825000001</v>
      </c>
      <c r="DG7" s="7">
        <f t="shared" si="36"/>
        <v>2.98971543</v>
      </c>
      <c r="DH7" s="7">
        <f t="shared" si="37"/>
        <v>98.552526919999991</v>
      </c>
      <c r="DI7" s="7">
        <f t="shared" si="38"/>
        <v>987.0565270100002</v>
      </c>
      <c r="DJ7" s="7">
        <f t="shared" si="39"/>
        <v>405.76112260999997</v>
      </c>
      <c r="DK7" s="7">
        <f t="shared" si="40"/>
        <v>434.97307755999998</v>
      </c>
      <c r="DL7" s="7">
        <f t="shared" si="41"/>
        <v>390.99665009</v>
      </c>
      <c r="DM7" s="7">
        <f t="shared" si="42"/>
        <v>471.14364349999994</v>
      </c>
      <c r="DN7" s="7">
        <f t="shared" si="43"/>
        <v>150.44858382999999</v>
      </c>
      <c r="DO7" s="7">
        <f t="shared" si="44"/>
        <v>198.43928840999996</v>
      </c>
      <c r="DP7" s="7">
        <f t="shared" si="45"/>
        <v>509.28318913999999</v>
      </c>
      <c r="DQ7" s="7">
        <f t="shared" si="46"/>
        <v>3711.4589856799998</v>
      </c>
      <c r="DR7" s="7">
        <f t="shared" si="47"/>
        <v>1314.2348823999998</v>
      </c>
      <c r="DS7" s="7">
        <f t="shared" si="48"/>
        <v>200.13150886</v>
      </c>
      <c r="DT7" s="7">
        <f t="shared" si="49"/>
        <v>156.2677387</v>
      </c>
      <c r="DV7" s="12">
        <f t="shared" si="50"/>
        <v>0.26753667589735025</v>
      </c>
      <c r="DW7" s="12">
        <f t="shared" si="22"/>
        <v>2.4482014913235553E-2</v>
      </c>
      <c r="DX7" s="12">
        <f t="shared" si="22"/>
        <v>6.0443922678654907E-2</v>
      </c>
      <c r="DY7" s="12">
        <f t="shared" si="22"/>
        <v>5.6916670609378388E-4</v>
      </c>
      <c r="DZ7" s="12">
        <f t="shared" si="22"/>
        <v>8.4339546806488142E-2</v>
      </c>
      <c r="EA7" s="12">
        <f t="shared" si="22"/>
        <v>0.99916380001423755</v>
      </c>
      <c r="EB7" s="12">
        <f t="shared" si="22"/>
        <v>0.49136040914819801</v>
      </c>
      <c r="EC7" s="12">
        <f t="shared" si="22"/>
        <v>1.1469894530047821E-2</v>
      </c>
      <c r="ED7" s="12">
        <f t="shared" si="22"/>
        <v>1.0395273758285013E-2</v>
      </c>
      <c r="EE7" s="12">
        <f t="shared" si="22"/>
        <v>1.7885216376240867E-2</v>
      </c>
      <c r="EF7" s="12">
        <f t="shared" si="22"/>
        <v>0.49166774573580074</v>
      </c>
      <c r="EG7" s="12">
        <f t="shared" si="22"/>
        <v>0.1273202169817664</v>
      </c>
      <c r="EH7" s="12">
        <f t="shared" si="22"/>
        <v>0.2467437877111987</v>
      </c>
      <c r="EI7" s="12">
        <f t="shared" si="22"/>
        <v>1.5473291728682027E-4</v>
      </c>
      <c r="EJ7" s="12">
        <f t="shared" si="22"/>
        <v>5.7963843180940069E-2</v>
      </c>
      <c r="EK7" s="12">
        <f t="shared" si="22"/>
        <v>1.6778057965954038E-2</v>
      </c>
      <c r="EL7" s="12">
        <f t="shared" si="22"/>
        <v>8.1255420496058502E-3</v>
      </c>
      <c r="EM7" s="12">
        <f t="shared" si="22"/>
        <v>1.6233667294602339E-2</v>
      </c>
      <c r="EN7" s="12">
        <f t="shared" si="22"/>
        <v>0.46378482931230897</v>
      </c>
    </row>
    <row r="8" spans="1:144" ht="14.4">
      <c r="A8" s="474">
        <v>2021</v>
      </c>
      <c r="B8" s="471">
        <f>SUM(datos!JF70:JF81)</f>
        <v>221.78130831000001</v>
      </c>
      <c r="C8" s="471">
        <f>SUM(datos!JG70:JG81)</f>
        <v>290.68781021999996</v>
      </c>
      <c r="D8" s="471">
        <f>SUM(datos!JH70:JH81)</f>
        <v>1227.2520035900002</v>
      </c>
      <c r="E8" s="471">
        <f>SUM(datos!JI70:JI81)</f>
        <v>2749.3828528200002</v>
      </c>
      <c r="F8" s="471">
        <f>SUM(datos!JJ70:JJ81)</f>
        <v>10607.241963539998</v>
      </c>
      <c r="G8" s="471">
        <f>SUM(datos!JK70:JK81)</f>
        <v>1251.5533124600001</v>
      </c>
      <c r="H8" s="471">
        <f>SUM(datos!JL70:JL81)</f>
        <v>34213.647980770002</v>
      </c>
      <c r="I8" s="471">
        <f>SUM(datos!JM70:JM81)</f>
        <v>614.72434614999997</v>
      </c>
      <c r="J8" s="471">
        <f>SUM(datos!JN70:JN81)</f>
        <v>4575.9495313899988</v>
      </c>
      <c r="K8" s="471">
        <f>SUM(datos!JO70:JO81)</f>
        <v>288.59646618000005</v>
      </c>
      <c r="L8" s="471">
        <f>SUM(datos!JP70:JP81)</f>
        <v>0</v>
      </c>
      <c r="M8" s="471">
        <f>SUM(datos!JQ70:JQ81)</f>
        <v>23.764841860000001</v>
      </c>
      <c r="N8" s="471">
        <f>SUM(datos!JR70:JR81)</f>
        <v>17.238377180000001</v>
      </c>
      <c r="O8" s="471">
        <f>SUM(datos!JS70:JS81)</f>
        <v>0</v>
      </c>
      <c r="P8" s="471">
        <f>SUM(datos!JT70:JT81)</f>
        <v>2.8392477700000001</v>
      </c>
      <c r="Q8" s="471">
        <f>SUM(datos!JU70:JU81)</f>
        <v>1056.13818689</v>
      </c>
      <c r="R8" s="471">
        <f>SUM(datos!JV70:JV81)</f>
        <v>158.78790133999999</v>
      </c>
      <c r="S8" s="471">
        <f>SUM(datos!JW70:JW81)</f>
        <v>238.45667431000001</v>
      </c>
      <c r="T8" s="471">
        <f>SUM(datos!JX70:JX81)</f>
        <v>347.10224807999998</v>
      </c>
      <c r="U8" s="471">
        <f>SUM(datos!JY70:JY81)</f>
        <v>0</v>
      </c>
      <c r="V8" s="471">
        <f>SUM(datos!JZ70:JZ81)</f>
        <v>53.857434969999993</v>
      </c>
      <c r="W8" s="471">
        <f>SUM(datos!KA70:KA81)</f>
        <v>3.7372438799999999</v>
      </c>
      <c r="X8" s="471">
        <f>SUM(datos!KB70:KB81)</f>
        <v>405.99565462999999</v>
      </c>
      <c r="Y8" s="471">
        <f>SUM(datos!KC70:KC81)</f>
        <v>447.37665329999999</v>
      </c>
      <c r="Z8" s="471">
        <f>SUM(datos!KD70:KD81)</f>
        <v>114.90213367000001</v>
      </c>
      <c r="AA8" s="471">
        <f>SUM(datos!KE70:KE81)</f>
        <v>248.01488840000002</v>
      </c>
      <c r="AB8" s="471">
        <f>SUM(datos!KF70:KF81)</f>
        <v>470.21215776999998</v>
      </c>
      <c r="AC8" s="471">
        <f>SUM(datos!KG70:KG81)</f>
        <v>4031.6140602400005</v>
      </c>
      <c r="AD8" s="471">
        <f>SUM(datos!KH70:KH81)</f>
        <v>1533.8121851199999</v>
      </c>
      <c r="AE8" s="471">
        <f>SUM(datos!KI70:KI81)</f>
        <v>287.21850857999999</v>
      </c>
      <c r="AF8" s="471">
        <f>SUM(datos!KJ70:KJ81)</f>
        <v>64.015438009999997</v>
      </c>
      <c r="AG8" s="471">
        <f>SUM(datos!KK70:KK81)</f>
        <v>90.298843960000013</v>
      </c>
      <c r="AH8" s="471">
        <f>SUM(datos!KL70:KL81)</f>
        <v>2.02832824</v>
      </c>
      <c r="AI8" s="471">
        <f>SUM(datos!KM70:KM81)</f>
        <v>30.384096599999999</v>
      </c>
      <c r="AJ8" s="471">
        <f>SUM(datos!KN70:KN81)</f>
        <v>2.1559918699999998</v>
      </c>
      <c r="AK8" s="471">
        <f>SUM(datos!KO70:KO81)</f>
        <v>28.58895545</v>
      </c>
      <c r="AL8" s="471">
        <f>SUM(datos!KP70:KP81)</f>
        <v>0.47726799999999997</v>
      </c>
      <c r="AM8" s="471">
        <f>SUM(datos!KQ70:KQ81)</f>
        <v>2624.7114312900003</v>
      </c>
      <c r="AN8" s="471">
        <f>SUM(datos!KR70:KR81)</f>
        <v>1.9908163800000001</v>
      </c>
      <c r="AO8" s="471">
        <f>SUM(datos!KS70:KS81)</f>
        <v>1.82596023</v>
      </c>
      <c r="AP8" s="471">
        <f>SUM(datos!KT70:KT81)</f>
        <v>10.641374150000001</v>
      </c>
      <c r="AQ8" s="471">
        <f>SUM(datos!KU70:KU81)</f>
        <v>3.2977859900000008</v>
      </c>
      <c r="AR8" s="471">
        <f>SUM(datos!KV70:KV81)</f>
        <v>1.8136126799999999</v>
      </c>
      <c r="AS8" s="471">
        <f>SUM(datos!KW70:KW81)</f>
        <v>21.103807580000002</v>
      </c>
      <c r="AT8" s="471">
        <f>SUM(datos!KX70:KX81)</f>
        <v>0</v>
      </c>
      <c r="AU8" s="471">
        <f>SUM(datos!KY70:KY81)</f>
        <v>2.2554906699999999</v>
      </c>
      <c r="AV8" s="471">
        <f>SUM(datos!KZ70:KZ81)</f>
        <v>18.016131219999998</v>
      </c>
      <c r="AW8" s="471">
        <f>SUM(datos!LA70:LA81)</f>
        <v>10.57039689</v>
      </c>
      <c r="AX8" s="471">
        <f>SUM(datos!LB70:LB81)</f>
        <v>0.33238959000000001</v>
      </c>
      <c r="AY8" s="471">
        <f>SUM(datos!LC70:LC81)</f>
        <v>2.1763218900000001</v>
      </c>
      <c r="AZ8" s="471">
        <f>SUM(datos!LD70:LD81)</f>
        <v>0</v>
      </c>
      <c r="BA8" s="471">
        <f>SUM(datos!LE70:LE81)</f>
        <v>12.118808060000001</v>
      </c>
      <c r="BB8" s="471">
        <f>SUM(datos!LF70:LF81)</f>
        <v>1.3579373099999998</v>
      </c>
      <c r="BC8" s="471">
        <f>SUM(datos!LG70:LG81)</f>
        <v>241.01672943999998</v>
      </c>
      <c r="BD8" s="471">
        <f>SUM(datos!LH70:LH81)</f>
        <v>63.065769299999999</v>
      </c>
      <c r="BE8" s="471">
        <f>SUM(datos!LI70:LI81)</f>
        <v>38.25903632</v>
      </c>
      <c r="BF8" s="471">
        <f>SUM(datos!LJ70:LJ81)</f>
        <v>2.8383270000000002E-2</v>
      </c>
      <c r="BG8" s="471">
        <f>SUM(datos!LK70:LK81)</f>
        <v>33.833845029999999</v>
      </c>
      <c r="BH8" s="471">
        <f>SUM(datos!LL70:LL81)</f>
        <v>68.739750439999995</v>
      </c>
      <c r="BI8" s="471">
        <f>SUM(datos!LM70:LM81)</f>
        <v>20.975963270000001</v>
      </c>
      <c r="BJ8" s="471">
        <f>SUM(datos!LN70:LN81)</f>
        <v>4.2969033999999997</v>
      </c>
      <c r="BK8" s="471">
        <f>SUM(datos!LO70:LO81)</f>
        <v>127.04614318999998</v>
      </c>
      <c r="BL8" s="471"/>
      <c r="BM8">
        <v>2021</v>
      </c>
      <c r="BN8" s="1">
        <f t="shared" si="23"/>
        <v>221.78130831000001</v>
      </c>
      <c r="BO8" s="1">
        <f t="shared" si="23"/>
        <v>290.68781021999996</v>
      </c>
      <c r="BP8" s="1">
        <f t="shared" si="24"/>
        <v>53988.198678259992</v>
      </c>
      <c r="BQ8" s="1">
        <f t="shared" si="25"/>
        <v>1251.5533124600001</v>
      </c>
      <c r="BR8" s="1">
        <f t="shared" si="26"/>
        <v>288.59646618000005</v>
      </c>
      <c r="BS8" s="559">
        <f t="shared" si="26"/>
        <v>0</v>
      </c>
      <c r="BT8" s="1">
        <f t="shared" si="27"/>
        <v>43.842466810000005</v>
      </c>
      <c r="BU8" s="1">
        <f t="shared" si="28"/>
        <v>1056.13818689</v>
      </c>
      <c r="BV8" s="1">
        <f t="shared" si="29"/>
        <v>397.24457565</v>
      </c>
      <c r="BW8" s="1">
        <f t="shared" si="30"/>
        <v>404.69692692999996</v>
      </c>
      <c r="BX8" s="1">
        <f t="shared" si="0"/>
        <v>405.99565462999999</v>
      </c>
      <c r="BY8" s="1">
        <f t="shared" si="0"/>
        <v>447.37665329999999</v>
      </c>
      <c r="BZ8" s="1">
        <f t="shared" si="0"/>
        <v>114.90213367000001</v>
      </c>
      <c r="CA8" s="1">
        <f t="shared" si="0"/>
        <v>248.01488840000002</v>
      </c>
      <c r="CB8" s="1">
        <f t="shared" si="0"/>
        <v>470.21215776999998</v>
      </c>
      <c r="CC8" s="1">
        <f t="shared" si="0"/>
        <v>4031.6140602400005</v>
      </c>
      <c r="CD8" s="1">
        <f t="shared" si="0"/>
        <v>1533.8121851199999</v>
      </c>
      <c r="CE8" s="1">
        <f t="shared" si="0"/>
        <v>287.21850857999999</v>
      </c>
      <c r="CF8" s="1">
        <f t="shared" si="0"/>
        <v>64.015438009999997</v>
      </c>
      <c r="CG8" s="1">
        <f t="shared" si="1"/>
        <v>7526.08867293</v>
      </c>
      <c r="CH8" s="1">
        <f t="shared" si="2"/>
        <v>90.298843960000013</v>
      </c>
      <c r="CI8" s="7">
        <f t="shared" si="3"/>
        <v>2.02832824</v>
      </c>
      <c r="CJ8" s="1">
        <f t="shared" si="4"/>
        <v>2689.6572518200005</v>
      </c>
      <c r="CK8" s="7">
        <f t="shared" si="5"/>
        <v>0.47726799999999997</v>
      </c>
      <c r="CL8" s="1">
        <f t="shared" si="6"/>
        <v>10.641374150000001</v>
      </c>
      <c r="CM8" s="1">
        <f t="shared" si="7"/>
        <v>3.2977859900000008</v>
      </c>
      <c r="CN8" s="1">
        <f t="shared" si="8"/>
        <v>25.17291093</v>
      </c>
      <c r="CO8" s="1">
        <f t="shared" si="9"/>
        <v>18.016131219999998</v>
      </c>
      <c r="CP8" s="7">
        <f t="shared" si="10"/>
        <v>10.90278648</v>
      </c>
      <c r="CQ8" s="2">
        <f t="shared" si="11"/>
        <v>15.653067260000002</v>
      </c>
      <c r="CR8" s="1">
        <f t="shared" si="12"/>
        <v>241.01672943999998</v>
      </c>
      <c r="CS8" s="1">
        <f t="shared" si="13"/>
        <v>63.065769299999999</v>
      </c>
      <c r="CT8" s="1">
        <f t="shared" si="14"/>
        <v>38.25903632</v>
      </c>
      <c r="CU8" s="514">
        <f t="shared" si="15"/>
        <v>2.8383270000000002E-2</v>
      </c>
      <c r="CV8" s="1">
        <f t="shared" si="16"/>
        <v>33.833845029999999</v>
      </c>
      <c r="CW8" s="1">
        <f t="shared" si="17"/>
        <v>68.739750439999995</v>
      </c>
      <c r="CX8" s="1">
        <f t="shared" si="18"/>
        <v>20.975963270000001</v>
      </c>
      <c r="CY8" s="1">
        <f t="shared" si="19"/>
        <v>4.2969033999999997</v>
      </c>
      <c r="CZ8" s="1">
        <f t="shared" si="20"/>
        <v>127.04614318999998</v>
      </c>
      <c r="DB8" s="7">
        <f t="shared" si="31"/>
        <v>312.08015227000004</v>
      </c>
      <c r="DC8" s="7">
        <f t="shared" si="32"/>
        <v>292.71613845999997</v>
      </c>
      <c r="DD8" s="7">
        <f t="shared" si="33"/>
        <v>56677.85593007999</v>
      </c>
      <c r="DE8" s="7">
        <f t="shared" si="34"/>
        <v>1252.0305804600002</v>
      </c>
      <c r="DF8" s="7">
        <f t="shared" si="35"/>
        <v>299.23784033000004</v>
      </c>
      <c r="DG8" s="7">
        <f t="shared" si="36"/>
        <v>3.2977859900000008</v>
      </c>
      <c r="DH8" s="7">
        <f t="shared" si="37"/>
        <v>69.015377740000005</v>
      </c>
      <c r="DI8" s="7">
        <f t="shared" si="38"/>
        <v>1074.1543181100001</v>
      </c>
      <c r="DJ8" s="7">
        <f t="shared" si="39"/>
        <v>408.14736212999998</v>
      </c>
      <c r="DK8" s="7">
        <f t="shared" si="40"/>
        <v>420.34999418999996</v>
      </c>
      <c r="DL8" s="7">
        <f t="shared" si="41"/>
        <v>647.01238406999994</v>
      </c>
      <c r="DM8" s="7">
        <f t="shared" si="42"/>
        <v>510.44242259999999</v>
      </c>
      <c r="DN8" s="7">
        <f t="shared" si="43"/>
        <v>153.16116999000002</v>
      </c>
      <c r="DO8" s="7">
        <f t="shared" si="44"/>
        <v>248.04327167000002</v>
      </c>
      <c r="DP8" s="7">
        <f t="shared" si="45"/>
        <v>504.0460028</v>
      </c>
      <c r="DQ8" s="7">
        <f t="shared" si="46"/>
        <v>4100.3538106800006</v>
      </c>
      <c r="DR8" s="7">
        <f t="shared" si="47"/>
        <v>1554.7881483899998</v>
      </c>
      <c r="DS8" s="7">
        <f t="shared" si="48"/>
        <v>291.51541198000001</v>
      </c>
      <c r="DT8" s="7">
        <f t="shared" si="49"/>
        <v>191.06158119999998</v>
      </c>
      <c r="DV8" s="12">
        <f t="shared" si="50"/>
        <v>0.2893450394175559</v>
      </c>
      <c r="DW8" s="12">
        <f t="shared" si="22"/>
        <v>6.9293351937176288E-3</v>
      </c>
      <c r="DX8" s="12">
        <f t="shared" si="22"/>
        <v>4.7455169354642959E-2</v>
      </c>
      <c r="DY8" s="12">
        <f t="shared" si="22"/>
        <v>3.8119516204200869E-4</v>
      </c>
      <c r="DZ8" s="12">
        <f t="shared" si="22"/>
        <v>3.55615925387801E-2</v>
      </c>
      <c r="EA8" s="12">
        <f t="shared" si="22"/>
        <v>1</v>
      </c>
      <c r="EB8" s="12">
        <f t="shared" si="22"/>
        <v>0.36474350723447913</v>
      </c>
      <c r="EC8" s="12">
        <f t="shared" si="22"/>
        <v>1.6772386347335834E-2</v>
      </c>
      <c r="ED8" s="12">
        <f t="shared" si="22"/>
        <v>2.6712867683626795E-2</v>
      </c>
      <c r="EE8" s="12">
        <f t="shared" si="22"/>
        <v>3.7238176463313448E-2</v>
      </c>
      <c r="EF8" s="12">
        <f t="shared" si="22"/>
        <v>0.3725071349081388</v>
      </c>
      <c r="EG8" s="12">
        <f t="shared" si="22"/>
        <v>0.12355119109960905</v>
      </c>
      <c r="EH8" s="12">
        <f t="shared" si="22"/>
        <v>0.24979592622919997</v>
      </c>
      <c r="EI8" s="12">
        <f t="shared" si="22"/>
        <v>1.1442870354395853E-4</v>
      </c>
      <c r="EJ8" s="12">
        <f t="shared" si="22"/>
        <v>6.7124518083768833E-2</v>
      </c>
      <c r="EK8" s="12">
        <f t="shared" si="22"/>
        <v>1.6764346106171807E-2</v>
      </c>
      <c r="EL8" s="12">
        <f t="shared" si="22"/>
        <v>1.3491203474711871E-2</v>
      </c>
      <c r="EM8" s="12">
        <f t="shared" si="22"/>
        <v>1.4739884148200018E-2</v>
      </c>
      <c r="EN8" s="12">
        <f t="shared" si="22"/>
        <v>0.66494866415352372</v>
      </c>
    </row>
    <row r="9" spans="1:144" ht="14.4">
      <c r="A9" s="474">
        <v>2022</v>
      </c>
      <c r="B9" s="471">
        <f>SUM(datos!JF82:JF93)</f>
        <v>237.83060604000002</v>
      </c>
      <c r="C9" s="471">
        <f>SUM(datos!JG82:JG93)</f>
        <v>264.70434698000003</v>
      </c>
      <c r="D9" s="471">
        <f>SUM(datos!JH82:JH93)</f>
        <v>2179.4601859599998</v>
      </c>
      <c r="E9" s="471">
        <f>SUM(datos!JI82:JI93)</f>
        <v>3347.3486020499995</v>
      </c>
      <c r="F9" s="471">
        <f>SUM(datos!JJ82:JJ93)</f>
        <v>10890.330251509999</v>
      </c>
      <c r="G9" s="471">
        <f>SUM(datos!JK82:JK93)</f>
        <v>1251.6896813499998</v>
      </c>
      <c r="H9" s="471">
        <f>SUM(datos!JL82:JL93)</f>
        <v>35253.942999510007</v>
      </c>
      <c r="I9" s="471">
        <f>SUM(datos!JM82:JM93)</f>
        <v>608.63588138</v>
      </c>
      <c r="J9" s="471">
        <f>SUM(datos!JN82:JN93)</f>
        <v>6925.5799597399991</v>
      </c>
      <c r="K9" s="471">
        <f>SUM(datos!JO82:JO93)</f>
        <v>293.58280812000004</v>
      </c>
      <c r="L9" s="471">
        <f>SUM(datos!JP82:JP93)</f>
        <v>0</v>
      </c>
      <c r="M9" s="471">
        <f>SUM(datos!JQ82:JQ93)</f>
        <v>25.431684799999999</v>
      </c>
      <c r="N9" s="471">
        <f>SUM(datos!JR82:JR93)</f>
        <v>24.651250619999999</v>
      </c>
      <c r="O9" s="471">
        <f>SUM(datos!JS82:JS93)</f>
        <v>0</v>
      </c>
      <c r="P9" s="471">
        <f>SUM(datos!JT82:JT93)</f>
        <v>2.7913804500000001</v>
      </c>
      <c r="Q9" s="471">
        <f>SUM(datos!JU82:JU93)</f>
        <v>1063.4150778200001</v>
      </c>
      <c r="R9" s="471">
        <f>SUM(datos!JV82:JV93)</f>
        <v>92.770109730000001</v>
      </c>
      <c r="S9" s="471">
        <f>SUM(datos!JW82:JW93)</f>
        <v>222.28116355999998</v>
      </c>
      <c r="T9" s="471">
        <f>SUM(datos!JX82:JX93)</f>
        <v>284.21189952999993</v>
      </c>
      <c r="U9" s="471">
        <f>SUM(datos!JY82:JY93)</f>
        <v>0</v>
      </c>
      <c r="V9" s="471">
        <f>SUM(datos!JZ82:JZ93)</f>
        <v>42.706392480000005</v>
      </c>
      <c r="W9" s="471">
        <f>SUM(datos!KA82:KA93)</f>
        <v>4.8757172400000011</v>
      </c>
      <c r="X9" s="471">
        <f>SUM(datos!KB82:KB93)</f>
        <v>375.85564316000011</v>
      </c>
      <c r="Y9" s="471">
        <f>SUM(datos!KC82:KC93)</f>
        <v>566.13832325999999</v>
      </c>
      <c r="Z9" s="471">
        <f>SUM(datos!KD82:KD93)</f>
        <v>114.27390853</v>
      </c>
      <c r="AA9" s="471">
        <f>SUM(datos!KE82:KE93)</f>
        <v>277.67193107000003</v>
      </c>
      <c r="AB9" s="471">
        <f>SUM(datos!KF82:KF93)</f>
        <v>594.15125641999998</v>
      </c>
      <c r="AC9" s="471">
        <f>SUM(datos!KG82:KG93)</f>
        <v>4766.1656946499998</v>
      </c>
      <c r="AD9" s="471">
        <f>SUM(datos!KH82:KH93)</f>
        <v>1911.9570466999999</v>
      </c>
      <c r="AE9" s="471">
        <f>SUM(datos!KI82:KI93)</f>
        <v>256.79541324000002</v>
      </c>
      <c r="AF9" s="471">
        <f>SUM(datos!KJ82:KJ93)</f>
        <v>17.07115903</v>
      </c>
      <c r="AG9" s="471">
        <f>SUM(datos!KK82:KK93)</f>
        <v>122.75778647000001</v>
      </c>
      <c r="AH9" s="471">
        <f>SUM(datos!KL82:KL93)</f>
        <v>0.99926449000000017</v>
      </c>
      <c r="AI9" s="471">
        <f>SUM(datos!KM82:KM93)</f>
        <v>16.173690619999999</v>
      </c>
      <c r="AJ9" s="471">
        <f>SUM(datos!KN82:KN93)</f>
        <v>9.0555668600000008</v>
      </c>
      <c r="AK9" s="471">
        <f>SUM(datos!KO82:KO93)</f>
        <v>36.743029220000004</v>
      </c>
      <c r="AL9" s="471">
        <f>SUM(datos!KP82:KP93)</f>
        <v>0.89824503</v>
      </c>
      <c r="AM9" s="471">
        <f>SUM(datos!KQ82:KQ93)</f>
        <v>2209.7910001200003</v>
      </c>
      <c r="AN9" s="471">
        <f>SUM(datos!KR82:KR93)</f>
        <v>2.16045132</v>
      </c>
      <c r="AO9" s="471">
        <f>SUM(datos!KS82:KS93)</f>
        <v>1.20007434</v>
      </c>
      <c r="AP9" s="471">
        <f>SUM(datos!KT82:KT93)</f>
        <v>6.9638454999999997</v>
      </c>
      <c r="AQ9" s="471">
        <f>SUM(datos!KU82:KU93)</f>
        <v>9.6124366799999983</v>
      </c>
      <c r="AR9" s="471">
        <f>SUM(datos!KV82:KV93)</f>
        <v>9.6324493000000011</v>
      </c>
      <c r="AS9" s="471">
        <f>SUM(datos!KW82:KW93)</f>
        <v>15.7792552</v>
      </c>
      <c r="AT9" s="471">
        <f>SUM(datos!KX82:KX93)</f>
        <v>0</v>
      </c>
      <c r="AU9" s="471">
        <f>SUM(datos!KY82:KY93)</f>
        <v>1.27810775</v>
      </c>
      <c r="AV9" s="471">
        <f>SUM(datos!KZ82:KZ93)</f>
        <v>18.582995530000002</v>
      </c>
      <c r="AW9" s="471">
        <f>SUM(datos!LA82:LA93)</f>
        <v>5.7721912100000008</v>
      </c>
      <c r="AX9" s="471">
        <f>SUM(datos!LB82:LB93)</f>
        <v>0.65463872999999995</v>
      </c>
      <c r="AY9" s="471">
        <f>SUM(datos!LC82:LC93)</f>
        <v>1.4943439200000002</v>
      </c>
      <c r="AZ9" s="471">
        <f>SUM(datos!LD82:LD93)</f>
        <v>0</v>
      </c>
      <c r="BA9" s="471">
        <f>SUM(datos!LE82:LE93)</f>
        <v>2.6015590799999999</v>
      </c>
      <c r="BB9" s="471">
        <f>SUM(datos!LF82:LF93)</f>
        <v>1.22307929</v>
      </c>
      <c r="BC9" s="471">
        <f>SUM(datos!LG82:LG93)</f>
        <v>264.26320041000002</v>
      </c>
      <c r="BD9" s="471">
        <f>SUM(datos!LH82:LH93)</f>
        <v>47.06123942</v>
      </c>
      <c r="BE9" s="471">
        <f>SUM(datos!LI82:LI93)</f>
        <v>31.168599459999999</v>
      </c>
      <c r="BF9" s="471">
        <f>SUM(datos!LJ82:LJ93)</f>
        <v>0.15436616</v>
      </c>
      <c r="BG9" s="471">
        <f>SUM(datos!LK82:LK93)</f>
        <v>49.260726120000001</v>
      </c>
      <c r="BH9" s="471">
        <f>SUM(datos!LL82:LL93)</f>
        <v>82.523271170000001</v>
      </c>
      <c r="BI9" s="471">
        <f>SUM(datos!LM82:LM93)</f>
        <v>32.190448299999993</v>
      </c>
      <c r="BJ9" s="471">
        <f>SUM(datos!LN82:LN93)</f>
        <v>3.8007547299999995</v>
      </c>
      <c r="BK9" s="471">
        <f>SUM(datos!LO82:LO93)</f>
        <v>104.09264338999999</v>
      </c>
      <c r="BL9" s="471"/>
      <c r="BM9">
        <v>2022</v>
      </c>
      <c r="BN9" s="1">
        <f t="shared" si="23"/>
        <v>237.83060604000002</v>
      </c>
      <c r="BO9" s="1">
        <f t="shared" si="23"/>
        <v>264.70434698000003</v>
      </c>
      <c r="BP9" s="1">
        <f t="shared" si="24"/>
        <v>59205.297880150007</v>
      </c>
      <c r="BQ9" s="1">
        <f t="shared" si="25"/>
        <v>1251.6896813499998</v>
      </c>
      <c r="BR9" s="1">
        <f t="shared" si="26"/>
        <v>293.58280812000004</v>
      </c>
      <c r="BS9" s="559">
        <f t="shared" si="26"/>
        <v>0</v>
      </c>
      <c r="BT9" s="1">
        <f t="shared" si="27"/>
        <v>52.874315869999997</v>
      </c>
      <c r="BU9" s="1">
        <f t="shared" si="28"/>
        <v>1063.4150778200001</v>
      </c>
      <c r="BV9" s="1">
        <f t="shared" si="29"/>
        <v>315.05127328999998</v>
      </c>
      <c r="BW9" s="1">
        <f t="shared" si="30"/>
        <v>331.79400924999999</v>
      </c>
      <c r="BX9" s="1">
        <f t="shared" si="0"/>
        <v>375.85564316000011</v>
      </c>
      <c r="BY9" s="1">
        <f t="shared" si="0"/>
        <v>566.13832325999999</v>
      </c>
      <c r="BZ9" s="1">
        <f t="shared" si="0"/>
        <v>114.27390853</v>
      </c>
      <c r="CA9" s="1">
        <f t="shared" si="0"/>
        <v>277.67193107000003</v>
      </c>
      <c r="CB9" s="1">
        <f t="shared" si="0"/>
        <v>594.15125641999998</v>
      </c>
      <c r="CC9" s="1">
        <f t="shared" si="0"/>
        <v>4766.1656946499998</v>
      </c>
      <c r="CD9" s="1">
        <f t="shared" si="0"/>
        <v>1911.9570466999999</v>
      </c>
      <c r="CE9" s="1">
        <f t="shared" si="0"/>
        <v>256.79541324000002</v>
      </c>
      <c r="CF9" s="1">
        <f t="shared" si="0"/>
        <v>17.07115903</v>
      </c>
      <c r="CG9" s="1">
        <f t="shared" si="1"/>
        <v>7924.85680013</v>
      </c>
      <c r="CH9" s="1">
        <f t="shared" si="2"/>
        <v>122.75778647000001</v>
      </c>
      <c r="CI9" s="7">
        <f t="shared" si="3"/>
        <v>0.99926449000000017</v>
      </c>
      <c r="CJ9" s="1">
        <f t="shared" si="4"/>
        <v>2275.1238124800002</v>
      </c>
      <c r="CK9" s="7">
        <f t="shared" si="5"/>
        <v>0.89824503</v>
      </c>
      <c r="CL9" s="1">
        <f t="shared" si="6"/>
        <v>6.9638454999999997</v>
      </c>
      <c r="CM9" s="1">
        <f t="shared" si="7"/>
        <v>9.6124366799999983</v>
      </c>
      <c r="CN9" s="1">
        <f t="shared" si="8"/>
        <v>26.689812249999999</v>
      </c>
      <c r="CO9" s="1">
        <f t="shared" si="9"/>
        <v>18.582995530000002</v>
      </c>
      <c r="CP9" s="7">
        <f t="shared" si="10"/>
        <v>6.4268299400000011</v>
      </c>
      <c r="CQ9" s="2">
        <f t="shared" si="11"/>
        <v>5.3189822900000001</v>
      </c>
      <c r="CR9" s="1">
        <f t="shared" si="12"/>
        <v>264.26320041000002</v>
      </c>
      <c r="CS9" s="1">
        <f t="shared" si="13"/>
        <v>47.06123942</v>
      </c>
      <c r="CT9" s="1">
        <f t="shared" si="14"/>
        <v>31.168599459999999</v>
      </c>
      <c r="CU9" s="514">
        <f t="shared" si="15"/>
        <v>0.15436616</v>
      </c>
      <c r="CV9" s="1">
        <f t="shared" si="16"/>
        <v>49.260726120000001</v>
      </c>
      <c r="CW9" s="1">
        <f t="shared" si="17"/>
        <v>82.523271170000001</v>
      </c>
      <c r="CX9" s="1">
        <f t="shared" si="18"/>
        <v>32.190448299999993</v>
      </c>
      <c r="CY9" s="1">
        <f t="shared" si="19"/>
        <v>3.8007547299999995</v>
      </c>
      <c r="CZ9" s="1">
        <f t="shared" si="20"/>
        <v>104.09264338999999</v>
      </c>
      <c r="DB9" s="7">
        <f t="shared" si="31"/>
        <v>360.58839251000006</v>
      </c>
      <c r="DC9" s="7">
        <f t="shared" si="32"/>
        <v>265.70361147</v>
      </c>
      <c r="DD9" s="7">
        <f t="shared" si="33"/>
        <v>61480.421692630007</v>
      </c>
      <c r="DE9" s="7">
        <f t="shared" si="34"/>
        <v>1252.5879263799998</v>
      </c>
      <c r="DF9" s="7">
        <f t="shared" si="35"/>
        <v>300.54665362000003</v>
      </c>
      <c r="DG9" s="7">
        <f t="shared" si="36"/>
        <v>9.6124366799999983</v>
      </c>
      <c r="DH9" s="7">
        <f t="shared" si="37"/>
        <v>79.564128119999992</v>
      </c>
      <c r="DI9" s="7">
        <f t="shared" si="38"/>
        <v>1081.9980733500001</v>
      </c>
      <c r="DJ9" s="7">
        <f t="shared" si="39"/>
        <v>321.47810322999999</v>
      </c>
      <c r="DK9" s="7">
        <f t="shared" si="40"/>
        <v>337.11299154</v>
      </c>
      <c r="DL9" s="7">
        <f t="shared" si="41"/>
        <v>640.11884357000008</v>
      </c>
      <c r="DM9" s="7">
        <f t="shared" si="42"/>
        <v>613.19956267999999</v>
      </c>
      <c r="DN9" s="7">
        <f t="shared" si="43"/>
        <v>145.44250799</v>
      </c>
      <c r="DO9" s="7">
        <f t="shared" si="44"/>
        <v>277.82629723000002</v>
      </c>
      <c r="DP9" s="7">
        <f t="shared" si="45"/>
        <v>643.41198253999994</v>
      </c>
      <c r="DQ9" s="7">
        <f t="shared" si="46"/>
        <v>4848.6889658199998</v>
      </c>
      <c r="DR9" s="7">
        <f t="shared" si="47"/>
        <v>1944.1474949999999</v>
      </c>
      <c r="DS9" s="7">
        <f t="shared" si="48"/>
        <v>260.59616797000001</v>
      </c>
      <c r="DT9" s="7">
        <f t="shared" si="49"/>
        <v>121.16380242</v>
      </c>
      <c r="DV9" s="12">
        <f t="shared" si="50"/>
        <v>0.34043743231861134</v>
      </c>
      <c r="DW9" s="12">
        <f t="shared" si="22"/>
        <v>3.7608238912207066E-3</v>
      </c>
      <c r="DX9" s="12">
        <f t="shared" si="22"/>
        <v>3.700566375185959E-2</v>
      </c>
      <c r="DY9" s="12">
        <f t="shared" si="22"/>
        <v>7.1711135887757055E-4</v>
      </c>
      <c r="DZ9" s="12">
        <f t="shared" si="22"/>
        <v>2.3170597363578786E-2</v>
      </c>
      <c r="EA9" s="12">
        <f t="shared" si="22"/>
        <v>1</v>
      </c>
      <c r="EB9" s="12">
        <f t="shared" si="22"/>
        <v>0.33545032014610859</v>
      </c>
      <c r="EC9" s="12">
        <f t="shared" si="22"/>
        <v>1.7174702975639083E-2</v>
      </c>
      <c r="ED9" s="12">
        <f t="shared" si="22"/>
        <v>1.9991501366430409E-2</v>
      </c>
      <c r="EE9" s="12">
        <f t="shared" si="22"/>
        <v>1.5778040074047039E-2</v>
      </c>
      <c r="EF9" s="12">
        <f t="shared" si="22"/>
        <v>0.41283459011483009</v>
      </c>
      <c r="EG9" s="12">
        <f t="shared" si="22"/>
        <v>7.6747020520233231E-2</v>
      </c>
      <c r="EH9" s="12">
        <f t="shared" si="22"/>
        <v>0.2143018563881133</v>
      </c>
      <c r="EI9" s="12">
        <f t="shared" si="22"/>
        <v>5.5562112564242665E-4</v>
      </c>
      <c r="EJ9" s="12">
        <f t="shared" si="22"/>
        <v>7.6561716997456661E-2</v>
      </c>
      <c r="EK9" s="12">
        <f t="shared" si="22"/>
        <v>1.7019708162708234E-2</v>
      </c>
      <c r="EL9" s="12">
        <f t="shared" si="22"/>
        <v>1.6557616324269674E-2</v>
      </c>
      <c r="EM9" s="12">
        <f t="shared" si="22"/>
        <v>1.4584845048210934E-2</v>
      </c>
      <c r="EN9" s="12">
        <f t="shared" si="22"/>
        <v>0.85910677373078104</v>
      </c>
    </row>
    <row r="10" spans="1:144" ht="14.4">
      <c r="A10" s="474">
        <v>2023</v>
      </c>
      <c r="B10" s="471">
        <f>SUM(datos!JF94:JF105)</f>
        <v>85.038270679999997</v>
      </c>
      <c r="C10" s="471">
        <f>SUM(datos!JG94:JG105)</f>
        <v>246.87404656999999</v>
      </c>
      <c r="D10" s="471">
        <f>SUM(datos!JH94:JH105)</f>
        <v>1575.1565457899999</v>
      </c>
      <c r="E10" s="471">
        <f>SUM(datos!JI94:JI105)</f>
        <v>2042.4809963199998</v>
      </c>
      <c r="F10" s="471">
        <f>SUM(datos!JJ94:JJ105)</f>
        <v>7513.0816879600006</v>
      </c>
      <c r="G10" s="471">
        <f>SUM(datos!JK94:JK105)</f>
        <v>1252.2667757099998</v>
      </c>
      <c r="H10" s="471">
        <f>SUM(datos!JL94:JL105)</f>
        <v>23274.233319579998</v>
      </c>
      <c r="I10" s="471">
        <f>SUM(datos!JM94:JM105)</f>
        <v>270.94602425999994</v>
      </c>
      <c r="J10" s="471">
        <f>SUM(datos!JN94:JN105)</f>
        <v>1509.2808238800001</v>
      </c>
      <c r="K10" s="471">
        <f>SUM(datos!JO94:JO105)</f>
        <v>319.55126543000006</v>
      </c>
      <c r="L10" s="471">
        <f>SUM(datos!JP94:JP105)</f>
        <v>0</v>
      </c>
      <c r="M10" s="471">
        <f>SUM(datos!JQ94:JQ105)</f>
        <v>32.233357699999999</v>
      </c>
      <c r="N10" s="471">
        <f>SUM(datos!JR94:JR105)</f>
        <v>26.96595589</v>
      </c>
      <c r="O10" s="471">
        <f>SUM(datos!JS94:JS105)</f>
        <v>0</v>
      </c>
      <c r="P10" s="471">
        <f>SUM(datos!JT94:JT105)</f>
        <v>2.3841553900000001</v>
      </c>
      <c r="Q10" s="471">
        <f>SUM(datos!JU94:JU105)</f>
        <v>875.69018725000001</v>
      </c>
      <c r="R10" s="471">
        <f>SUM(datos!JV94:JV105)</f>
        <v>117.93652797</v>
      </c>
      <c r="S10" s="471">
        <f>SUM(datos!JW94:JW105)</f>
        <v>238.06505455000004</v>
      </c>
      <c r="T10" s="471">
        <f>SUM(datos!JX94:JX105)</f>
        <v>253.94382712000001</v>
      </c>
      <c r="U10" s="471">
        <f>SUM(datos!JY94:JY105)</f>
        <v>0</v>
      </c>
      <c r="V10" s="471">
        <f>SUM(datos!JZ94:JZ105)</f>
        <v>47.385053509999992</v>
      </c>
      <c r="W10" s="471">
        <f>SUM(datos!KA94:KA105)</f>
        <v>3.6871009999999997</v>
      </c>
      <c r="X10" s="471">
        <f>SUM(datos!KB94:KB105)</f>
        <v>300.26111200000003</v>
      </c>
      <c r="Y10" s="471">
        <f>SUM(datos!KC94:KC105)</f>
        <v>539.79825731000005</v>
      </c>
      <c r="Z10" s="471">
        <f>SUM(datos!KD94:KD105)</f>
        <v>108.54179166999999</v>
      </c>
      <c r="AA10" s="471">
        <f>SUM(datos!KE94:KE105)</f>
        <v>208.87094813000002</v>
      </c>
      <c r="AB10" s="471">
        <f>SUM(datos!KF94:KF105)</f>
        <v>356.78981874999999</v>
      </c>
      <c r="AC10" s="471">
        <f>SUM(datos!KG94:KG105)</f>
        <v>3921.6068882099999</v>
      </c>
      <c r="AD10" s="471">
        <f>SUM(datos!KH94:KH105)</f>
        <v>1548.1244021499999</v>
      </c>
      <c r="AE10" s="471">
        <f>SUM(datos!KI94:KI105)</f>
        <v>194.94363608</v>
      </c>
      <c r="AF10" s="471">
        <f>SUM(datos!KJ94:KJ105)</f>
        <v>19.62234127</v>
      </c>
      <c r="AG10" s="471">
        <f>SUM(datos!KK94:KK105)</f>
        <v>92.713095730000006</v>
      </c>
      <c r="AH10" s="471">
        <f>SUM(datos!KL94:KL105)</f>
        <v>0.71125562000000009</v>
      </c>
      <c r="AI10" s="471">
        <f>SUM(datos!KM94:KM105)</f>
        <v>3.4660995099999994</v>
      </c>
      <c r="AJ10" s="471">
        <f>SUM(datos!KN94:KN105)</f>
        <v>6.2743242799999992</v>
      </c>
      <c r="AK10" s="471">
        <f>SUM(datos!KO94:KO105)</f>
        <v>79.356844550000005</v>
      </c>
      <c r="AL10" s="471">
        <f>SUM(datos!KP94:KP105)</f>
        <v>1.32957605</v>
      </c>
      <c r="AM10" s="471">
        <f>SUM(datos!KQ94:KQ105)</f>
        <v>5324.8289927300002</v>
      </c>
      <c r="AN10" s="471">
        <f>SUM(datos!KR94:KR105)</f>
        <v>2.3040422399999998</v>
      </c>
      <c r="AO10" s="471">
        <f>SUM(datos!KS94:KS105)</f>
        <v>1.78567926</v>
      </c>
      <c r="AP10" s="471">
        <f>SUM(datos!KT94:KT105)</f>
        <v>18.293748180000001</v>
      </c>
      <c r="AQ10" s="471">
        <f>SUM(datos!KU94:KU105)</f>
        <v>9.2766964699999992</v>
      </c>
      <c r="AR10" s="471">
        <f>SUM(datos!KV94:KV105)</f>
        <v>0.20820397999999998</v>
      </c>
      <c r="AS10" s="471">
        <f>SUM(datos!KW94:KW105)</f>
        <v>17.943086050000002</v>
      </c>
      <c r="AT10" s="471">
        <f>SUM(datos!KX94:KX105)</f>
        <v>0</v>
      </c>
      <c r="AU10" s="471">
        <f>SUM(datos!KY94:KY105)</f>
        <v>3.8833980000000004E-2</v>
      </c>
      <c r="AV10" s="471">
        <f>SUM(datos!KZ94:KZ105)</f>
        <v>15.7284165</v>
      </c>
      <c r="AW10" s="471">
        <f>SUM(datos!LA94:LA105)</f>
        <v>7.5912988100000014</v>
      </c>
      <c r="AX10" s="471">
        <f>SUM(datos!LB94:LB105)</f>
        <v>0.23672158999999998</v>
      </c>
      <c r="AY10" s="471">
        <f>SUM(datos!LC94:LC105)</f>
        <v>1.0745984300000002</v>
      </c>
      <c r="AZ10" s="471">
        <f>SUM(datos!LD94:LD105)</f>
        <v>0</v>
      </c>
      <c r="BA10" s="471">
        <f>SUM(datos!LE94:LE105)</f>
        <v>3.2306694</v>
      </c>
      <c r="BB10" s="471">
        <f>SUM(datos!LF94:LF105)</f>
        <v>2.07842145</v>
      </c>
      <c r="BC10" s="471">
        <f>SUM(datos!LG94:LG105)</f>
        <v>260.36776570000001</v>
      </c>
      <c r="BD10" s="471">
        <f>SUM(datos!LH94:LH105)</f>
        <v>67.860623900000007</v>
      </c>
      <c r="BE10" s="471">
        <f>SUM(datos!LI94:LI105)</f>
        <v>15.671513769999997</v>
      </c>
      <c r="BF10" s="471">
        <f>SUM(datos!LJ94:LJ105)</f>
        <v>4.7638E-2</v>
      </c>
      <c r="BG10" s="471">
        <f>SUM(datos!LK94:LK105)</f>
        <v>43.673726269999996</v>
      </c>
      <c r="BH10" s="471">
        <f>SUM(datos!LL94:LL105)</f>
        <v>47.23423768</v>
      </c>
      <c r="BI10" s="471">
        <f>SUM(datos!LM94:LM105)</f>
        <v>26.024220249999999</v>
      </c>
      <c r="BJ10" s="471">
        <f>SUM(datos!LN94:LN105)</f>
        <v>4.4227760200000006</v>
      </c>
      <c r="BK10" s="471">
        <f>SUM(datos!LO94:LO105)</f>
        <v>53.227165369999994</v>
      </c>
      <c r="BL10" s="471"/>
      <c r="BM10">
        <v>2023</v>
      </c>
      <c r="BN10" s="1">
        <f t="shared" si="23"/>
        <v>85.038270679999997</v>
      </c>
      <c r="BO10" s="1">
        <f t="shared" si="23"/>
        <v>246.87404656999999</v>
      </c>
      <c r="BP10" s="1">
        <f t="shared" si="24"/>
        <v>36185.179397790002</v>
      </c>
      <c r="BQ10" s="1">
        <f t="shared" si="25"/>
        <v>1252.2667757099998</v>
      </c>
      <c r="BR10" s="1">
        <f t="shared" si="26"/>
        <v>319.55126543000006</v>
      </c>
      <c r="BS10" s="559">
        <f t="shared" si="26"/>
        <v>0</v>
      </c>
      <c r="BT10" s="1">
        <f t="shared" si="27"/>
        <v>61.583468980000006</v>
      </c>
      <c r="BU10" s="1">
        <f t="shared" si="28"/>
        <v>875.69018725000001</v>
      </c>
      <c r="BV10" s="1">
        <f t="shared" si="29"/>
        <v>356.00158252000006</v>
      </c>
      <c r="BW10" s="1">
        <f t="shared" si="30"/>
        <v>305.01598163</v>
      </c>
      <c r="BX10" s="1">
        <f t="shared" si="0"/>
        <v>300.26111200000003</v>
      </c>
      <c r="BY10" s="1">
        <f t="shared" si="0"/>
        <v>539.79825731000005</v>
      </c>
      <c r="BZ10" s="1">
        <f t="shared" si="0"/>
        <v>108.54179166999999</v>
      </c>
      <c r="CA10" s="1">
        <f t="shared" si="0"/>
        <v>208.87094813000002</v>
      </c>
      <c r="CB10" s="1">
        <f t="shared" si="0"/>
        <v>356.78981874999999</v>
      </c>
      <c r="CC10" s="1">
        <f t="shared" si="0"/>
        <v>3921.6068882099999</v>
      </c>
      <c r="CD10" s="1">
        <f t="shared" si="0"/>
        <v>1548.1244021499999</v>
      </c>
      <c r="CE10" s="1">
        <f t="shared" si="0"/>
        <v>194.94363608</v>
      </c>
      <c r="CF10" s="1">
        <f t="shared" si="0"/>
        <v>19.62234127</v>
      </c>
      <c r="CG10" s="1">
        <f t="shared" si="1"/>
        <v>6778.9738861299993</v>
      </c>
      <c r="CH10" s="1">
        <f t="shared" si="2"/>
        <v>92.713095730000006</v>
      </c>
      <c r="CI10" s="7">
        <f t="shared" si="3"/>
        <v>0.71125562000000009</v>
      </c>
      <c r="CJ10" s="1">
        <f t="shared" si="4"/>
        <v>5418.0159825699993</v>
      </c>
      <c r="CK10" s="7">
        <f t="shared" si="5"/>
        <v>1.32957605</v>
      </c>
      <c r="CL10" s="1">
        <f t="shared" si="6"/>
        <v>18.293748180000001</v>
      </c>
      <c r="CM10" s="1">
        <f t="shared" si="7"/>
        <v>9.2766964699999992</v>
      </c>
      <c r="CN10" s="1">
        <f t="shared" si="8"/>
        <v>18.190124010000002</v>
      </c>
      <c r="CO10" s="1">
        <f t="shared" si="9"/>
        <v>15.7284165</v>
      </c>
      <c r="CP10" s="7">
        <f t="shared" si="10"/>
        <v>7.8280204000000015</v>
      </c>
      <c r="CQ10" s="2">
        <f t="shared" si="11"/>
        <v>6.3836892800000005</v>
      </c>
      <c r="CR10" s="1">
        <f t="shared" si="12"/>
        <v>260.36776570000001</v>
      </c>
      <c r="CS10" s="1">
        <f t="shared" si="13"/>
        <v>67.860623900000007</v>
      </c>
      <c r="CT10" s="1">
        <f t="shared" si="14"/>
        <v>15.671513769999997</v>
      </c>
      <c r="CU10" s="514">
        <f t="shared" si="15"/>
        <v>4.7638E-2</v>
      </c>
      <c r="CV10" s="1">
        <f t="shared" si="16"/>
        <v>43.673726269999996</v>
      </c>
      <c r="CW10" s="1">
        <f t="shared" si="17"/>
        <v>47.23423768</v>
      </c>
      <c r="CX10" s="1">
        <f t="shared" si="18"/>
        <v>26.024220249999999</v>
      </c>
      <c r="CY10" s="1">
        <f t="shared" si="19"/>
        <v>4.4227760200000006</v>
      </c>
      <c r="CZ10" s="1">
        <f t="shared" si="20"/>
        <v>53.227165369999994</v>
      </c>
      <c r="DB10" s="7">
        <f t="shared" si="31"/>
        <v>177.75136641</v>
      </c>
      <c r="DC10" s="7">
        <f t="shared" si="32"/>
        <v>247.58530218999999</v>
      </c>
      <c r="DD10" s="7">
        <f t="shared" si="33"/>
        <v>41603.195380360004</v>
      </c>
      <c r="DE10" s="7">
        <f t="shared" si="34"/>
        <v>1253.5963517599998</v>
      </c>
      <c r="DF10" s="7">
        <f t="shared" si="35"/>
        <v>337.84501361000008</v>
      </c>
      <c r="DG10" s="7">
        <f t="shared" si="36"/>
        <v>9.2766964699999992</v>
      </c>
      <c r="DH10" s="7">
        <f t="shared" si="37"/>
        <v>79.773592990000012</v>
      </c>
      <c r="DI10" s="7">
        <f t="shared" si="38"/>
        <v>891.41860374999999</v>
      </c>
      <c r="DJ10" s="7">
        <f t="shared" si="39"/>
        <v>363.82960292000007</v>
      </c>
      <c r="DK10" s="7">
        <f t="shared" si="40"/>
        <v>311.39967091</v>
      </c>
      <c r="DL10" s="7">
        <f t="shared" si="41"/>
        <v>560.62887769999998</v>
      </c>
      <c r="DM10" s="7">
        <f t="shared" si="42"/>
        <v>607.65888121000012</v>
      </c>
      <c r="DN10" s="7">
        <f t="shared" si="43"/>
        <v>124.21330544</v>
      </c>
      <c r="DO10" s="7">
        <f t="shared" si="44"/>
        <v>208.91858613000002</v>
      </c>
      <c r="DP10" s="7">
        <f t="shared" si="45"/>
        <v>400.46354501999997</v>
      </c>
      <c r="DQ10" s="7">
        <f t="shared" si="46"/>
        <v>3968.8411258900001</v>
      </c>
      <c r="DR10" s="7">
        <f t="shared" si="47"/>
        <v>1574.1486224</v>
      </c>
      <c r="DS10" s="7">
        <f t="shared" si="48"/>
        <v>199.36641209999999</v>
      </c>
      <c r="DT10" s="7">
        <f t="shared" si="49"/>
        <v>72.849506639999987</v>
      </c>
      <c r="DV10" s="12">
        <f t="shared" si="50"/>
        <v>0.52158865274851762</v>
      </c>
      <c r="DW10" s="12">
        <f t="shared" si="22"/>
        <v>2.8727699653761105E-3</v>
      </c>
      <c r="DX10" s="12">
        <f t="shared" si="22"/>
        <v>0.13023076552258606</v>
      </c>
      <c r="DY10" s="12">
        <f t="shared" si="22"/>
        <v>1.0606093804702986E-3</v>
      </c>
      <c r="DZ10" s="12">
        <f t="shared" si="22"/>
        <v>5.4148344486498329E-2</v>
      </c>
      <c r="EA10" s="12">
        <f t="shared" si="22"/>
        <v>1</v>
      </c>
      <c r="EB10" s="12">
        <f t="shared" si="22"/>
        <v>0.22802187200318555</v>
      </c>
      <c r="EC10" s="12">
        <f t="shared" si="22"/>
        <v>1.7644254263747747E-2</v>
      </c>
      <c r="ED10" s="12">
        <f t="shared" si="22"/>
        <v>2.1515622525419543E-2</v>
      </c>
      <c r="EE10" s="12">
        <f t="shared" si="22"/>
        <v>2.0499987239373157E-2</v>
      </c>
      <c r="EF10" s="12">
        <f t="shared" si="22"/>
        <v>0.46442089599124481</v>
      </c>
      <c r="EG10" s="12">
        <f t="shared" si="22"/>
        <v>0.11167552388088628</v>
      </c>
      <c r="EH10" s="12">
        <f t="shared" si="22"/>
        <v>0.12616614391257761</v>
      </c>
      <c r="EI10" s="12">
        <f t="shared" si="22"/>
        <v>2.2802183799174841E-4</v>
      </c>
      <c r="EJ10" s="12">
        <f t="shared" si="22"/>
        <v>0.10905793252122073</v>
      </c>
      <c r="EK10" s="12">
        <f t="shared" si="22"/>
        <v>1.1901266939579968E-2</v>
      </c>
      <c r="EL10" s="12">
        <f t="shared" si="22"/>
        <v>1.6532251071898534E-2</v>
      </c>
      <c r="EM10" s="12">
        <f t="shared" si="22"/>
        <v>2.2184158170943984E-2</v>
      </c>
      <c r="EN10" s="12">
        <f t="shared" si="22"/>
        <v>0.73064551600922145</v>
      </c>
    </row>
    <row r="11" spans="1:144" ht="14.4">
      <c r="A11" s="474">
        <v>2024</v>
      </c>
      <c r="B11" s="471">
        <f>SUM(datos!JF106:JF117)</f>
        <v>197.46134557999997</v>
      </c>
      <c r="C11" s="471">
        <f>SUM(datos!JG106:JG117)</f>
        <v>288.75987518999995</v>
      </c>
      <c r="D11" s="471">
        <f>SUM(datos!JH106:JH117)</f>
        <v>1566.99697412</v>
      </c>
      <c r="E11" s="471">
        <f>SUM(datos!JI106:JI117)</f>
        <v>2314.0009405400006</v>
      </c>
      <c r="F11" s="471">
        <f>SUM(datos!JJ106:JJ117)</f>
        <v>8285.2154088099996</v>
      </c>
      <c r="G11" s="471">
        <f>SUM(datos!JK106:JK117)</f>
        <v>1376.6988931199999</v>
      </c>
      <c r="H11" s="471">
        <f>SUM(datos!JL106:JL117)</f>
        <v>29184.280168359997</v>
      </c>
      <c r="I11" s="471">
        <f>SUM(datos!JM106:JM117)</f>
        <v>276.92346319000006</v>
      </c>
      <c r="J11" s="471">
        <f>SUM(datos!JN106:JN117)</f>
        <v>3247.6181435400003</v>
      </c>
      <c r="K11" s="471">
        <f>SUM(datos!JO106:JO117)</f>
        <v>399.18358794000005</v>
      </c>
      <c r="L11" s="471">
        <f>SUM(datos!JP106:JP117)</f>
        <v>0</v>
      </c>
      <c r="M11" s="471">
        <f>SUM(datos!JQ106:JQ117)</f>
        <v>45.438862889999996</v>
      </c>
      <c r="N11" s="471">
        <f>SUM(datos!JR106:JR117)</f>
        <v>17.846301189999998</v>
      </c>
      <c r="O11" s="471">
        <f>SUM(datos!JS106:JS117)</f>
        <v>0</v>
      </c>
      <c r="P11" s="471">
        <f>SUM(datos!JT106:JT117)</f>
        <v>2.9554722</v>
      </c>
      <c r="Q11" s="471">
        <f>SUM(datos!JU106:JU117)</f>
        <v>993.89382651000005</v>
      </c>
      <c r="R11" s="471">
        <f>SUM(datos!JV106:JV117)</f>
        <v>133.42707040000002</v>
      </c>
      <c r="S11" s="471">
        <f>SUM(datos!JW106:JW117)</f>
        <v>276.64822666999993</v>
      </c>
      <c r="T11" s="471">
        <f>SUM(datos!JX106:JX117)</f>
        <v>251.27847756</v>
      </c>
      <c r="U11" s="471">
        <f>SUM(datos!JY106:JY117)</f>
        <v>0</v>
      </c>
      <c r="V11" s="471">
        <f>SUM(datos!JZ106:JZ117)</f>
        <v>107.17499443999999</v>
      </c>
      <c r="W11" s="471">
        <f>SUM(datos!KA106:KA117)</f>
        <v>2.0638960000000002</v>
      </c>
      <c r="X11" s="471">
        <f>SUM(datos!KB106:KB117)</f>
        <v>234.3341436</v>
      </c>
      <c r="Y11" s="471">
        <f>SUM(datos!KC106:KC117)</f>
        <v>513.07663519999994</v>
      </c>
      <c r="Z11" s="471">
        <f>SUM(datos!KD106:KD117)</f>
        <v>118.20413191000002</v>
      </c>
      <c r="AA11" s="471">
        <f>SUM(datos!KE106:KE117)</f>
        <v>212.63219214999998</v>
      </c>
      <c r="AB11" s="471">
        <f>SUM(datos!KF106:KF117)</f>
        <v>295.50279052000002</v>
      </c>
      <c r="AC11" s="471">
        <f>SUM(datos!KG106:KG117)</f>
        <v>4134.4023611399989</v>
      </c>
      <c r="AD11" s="471">
        <f>SUM(datos!KH106:KH117)</f>
        <v>1609.9917036000002</v>
      </c>
      <c r="AE11" s="471">
        <f>SUM(datos!KI106:KI117)</f>
        <v>205.13767411999999</v>
      </c>
      <c r="AF11" s="471">
        <f>SUM(datos!KJ106:KJ117)</f>
        <v>26.818452559999997</v>
      </c>
      <c r="AG11" s="471">
        <f>SUM(datos!KK106:KK117)</f>
        <v>63.268929369999995</v>
      </c>
      <c r="AH11" s="471">
        <f>SUM(datos!KL106:KL117)</f>
        <v>4.7117847099999999</v>
      </c>
      <c r="AI11" s="471">
        <f>SUM(datos!KM106:KM117)</f>
        <v>5.2829113400000001</v>
      </c>
      <c r="AJ11" s="471">
        <f>SUM(datos!KN106:KN117)</f>
        <v>6.9765585999999988</v>
      </c>
      <c r="AK11" s="471">
        <f>SUM(datos!KO106:KO117)</f>
        <v>42.11537405</v>
      </c>
      <c r="AL11" s="471">
        <f>SUM(datos!KP106:KP117)</f>
        <v>2.3988767900000001</v>
      </c>
      <c r="AM11" s="471">
        <f>SUM(datos!KQ106:KQ117)</f>
        <v>3026.1385003700002</v>
      </c>
      <c r="AN11" s="471">
        <f>SUM(datos!KR106:KR117)</f>
        <v>6.404365030000001</v>
      </c>
      <c r="AO11" s="471">
        <f>SUM(datos!KS106:KS117)</f>
        <v>1.5097227099999999</v>
      </c>
      <c r="AP11" s="471">
        <f>SUM(datos!KT106:KT117)</f>
        <v>17.51516625</v>
      </c>
      <c r="AQ11" s="471">
        <f>SUM(datos!KU106:KU117)</f>
        <v>1.5773328200000001</v>
      </c>
      <c r="AR11" s="471">
        <f>SUM(datos!KV106:KV117)</f>
        <v>21.303183839999999</v>
      </c>
      <c r="AS11" s="471">
        <f>SUM(datos!KW106:KW117)</f>
        <v>12.969861890000001</v>
      </c>
      <c r="AT11" s="471">
        <f>SUM(datos!KX106:KX117)</f>
        <v>0</v>
      </c>
      <c r="AU11" s="471">
        <f>SUM(datos!KY106:KY117)</f>
        <v>1.5387029699999999</v>
      </c>
      <c r="AV11" s="471">
        <f>SUM(datos!KZ106:KZ117)</f>
        <v>20.282031920000001</v>
      </c>
      <c r="AW11" s="471">
        <f>SUM(datos!LA106:LA117)</f>
        <v>3.0117266100000002</v>
      </c>
      <c r="AX11" s="471">
        <f>SUM(datos!LB106:LB117)</f>
        <v>0.343889</v>
      </c>
      <c r="AY11" s="471">
        <f>SUM(datos!LC106:LC117)</f>
        <v>9.49423393</v>
      </c>
      <c r="AZ11" s="471">
        <f>SUM(datos!LD106:LD117)</f>
        <v>0</v>
      </c>
      <c r="BA11" s="471">
        <f>SUM(datos!LE106:LE117)</f>
        <v>2.3259487599999997</v>
      </c>
      <c r="BB11" s="471">
        <f>SUM(datos!LF106:LF117)</f>
        <v>2.6638585499999996</v>
      </c>
      <c r="BC11" s="471">
        <f>SUM(datos!LG106:LG117)</f>
        <v>170.20555855000003</v>
      </c>
      <c r="BD11" s="471">
        <f>SUM(datos!LH106:LH117)</f>
        <v>56.955095910000011</v>
      </c>
      <c r="BE11" s="471">
        <f>SUM(datos!LI106:LI117)</f>
        <v>22.099666519999996</v>
      </c>
      <c r="BF11" s="471">
        <f>SUM(datos!LJ106:LJ117)</f>
        <v>5.2945940000000004E-2</v>
      </c>
      <c r="BG11" s="471">
        <f>SUM(datos!LK106:LK117)</f>
        <v>36.542989990000002</v>
      </c>
      <c r="BH11" s="471">
        <f>SUM(datos!LL106:LL117)</f>
        <v>38.106405620000004</v>
      </c>
      <c r="BI11" s="471">
        <f>SUM(datos!LM106:LM117)</f>
        <v>19.071695660000003</v>
      </c>
      <c r="BJ11" s="471">
        <f>SUM(datos!LN106:LN117)</f>
        <v>3.2096473400000001</v>
      </c>
      <c r="BK11" s="471">
        <f>SUM(datos!LO106:LO117)</f>
        <v>71.643735239999998</v>
      </c>
      <c r="BL11" s="471"/>
      <c r="BM11">
        <v>2024</v>
      </c>
      <c r="BN11" s="1">
        <f t="shared" si="23"/>
        <v>197.46134557999997</v>
      </c>
      <c r="BO11" s="1">
        <f t="shared" si="23"/>
        <v>288.75987518999995</v>
      </c>
      <c r="BP11" s="1">
        <f t="shared" si="24"/>
        <v>44875.035098560002</v>
      </c>
      <c r="BQ11" s="1">
        <f t="shared" si="25"/>
        <v>1376.6988931199999</v>
      </c>
      <c r="BR11" s="1">
        <f t="shared" si="26"/>
        <v>399.18358794000005</v>
      </c>
      <c r="BS11" s="559">
        <f t="shared" si="26"/>
        <v>0</v>
      </c>
      <c r="BT11" s="1">
        <f t="shared" si="27"/>
        <v>66.24063627999999</v>
      </c>
      <c r="BU11" s="1">
        <f t="shared" si="28"/>
        <v>993.89382651000005</v>
      </c>
      <c r="BV11" s="1">
        <f t="shared" si="29"/>
        <v>410.07529706999992</v>
      </c>
      <c r="BW11" s="1">
        <f t="shared" si="30"/>
        <v>360.51736799999998</v>
      </c>
      <c r="BX11" s="1">
        <f t="shared" si="0"/>
        <v>234.3341436</v>
      </c>
      <c r="BY11" s="1">
        <f t="shared" si="0"/>
        <v>513.07663519999994</v>
      </c>
      <c r="BZ11" s="1">
        <f t="shared" si="0"/>
        <v>118.20413191000002</v>
      </c>
      <c r="CA11" s="1">
        <f t="shared" si="0"/>
        <v>212.63219214999998</v>
      </c>
      <c r="CB11" s="1">
        <f t="shared" si="0"/>
        <v>295.50279052000002</v>
      </c>
      <c r="CC11" s="1">
        <f t="shared" si="0"/>
        <v>4134.4023611399989</v>
      </c>
      <c r="CD11" s="1">
        <f t="shared" si="0"/>
        <v>1609.9917036000002</v>
      </c>
      <c r="CE11" s="1">
        <f t="shared" si="0"/>
        <v>205.13767411999999</v>
      </c>
      <c r="CF11" s="1">
        <f t="shared" si="0"/>
        <v>26.818452559999997</v>
      </c>
      <c r="CG11" s="1">
        <f t="shared" si="1"/>
        <v>7308.52855335</v>
      </c>
      <c r="CH11" s="1">
        <f t="shared" si="2"/>
        <v>63.268929369999995</v>
      </c>
      <c r="CI11" s="7">
        <f t="shared" si="3"/>
        <v>4.7117847099999999</v>
      </c>
      <c r="CJ11" s="1">
        <f t="shared" si="4"/>
        <v>3088.4274321000003</v>
      </c>
      <c r="CK11" s="7">
        <f t="shared" si="5"/>
        <v>2.3988767900000001</v>
      </c>
      <c r="CL11" s="1">
        <f t="shared" si="6"/>
        <v>17.51516625</v>
      </c>
      <c r="CM11" s="1">
        <f t="shared" si="7"/>
        <v>1.5773328200000001</v>
      </c>
      <c r="CN11" s="1">
        <f t="shared" si="8"/>
        <v>35.811748700000003</v>
      </c>
      <c r="CO11" s="1">
        <f t="shared" si="9"/>
        <v>20.282031920000001</v>
      </c>
      <c r="CP11" s="7">
        <f t="shared" si="10"/>
        <v>3.3556156100000001</v>
      </c>
      <c r="CQ11" s="2">
        <f t="shared" si="11"/>
        <v>14.48404124</v>
      </c>
      <c r="CR11" s="1">
        <f t="shared" si="12"/>
        <v>170.20555855000003</v>
      </c>
      <c r="CS11" s="1">
        <f t="shared" si="13"/>
        <v>56.955095910000011</v>
      </c>
      <c r="CT11" s="1">
        <f t="shared" si="14"/>
        <v>22.099666519999996</v>
      </c>
      <c r="CU11" s="514">
        <f t="shared" si="15"/>
        <v>5.2945940000000004E-2</v>
      </c>
      <c r="CV11" s="1">
        <f t="shared" si="16"/>
        <v>36.542989990000002</v>
      </c>
      <c r="CW11" s="1">
        <f t="shared" si="17"/>
        <v>38.106405620000004</v>
      </c>
      <c r="CX11" s="1">
        <f t="shared" si="18"/>
        <v>19.071695660000003</v>
      </c>
      <c r="CY11" s="1">
        <f t="shared" si="19"/>
        <v>3.2096473400000001</v>
      </c>
      <c r="CZ11" s="1">
        <f t="shared" si="20"/>
        <v>71.643735239999998</v>
      </c>
      <c r="DB11" s="7">
        <f t="shared" si="31"/>
        <v>260.73027494999997</v>
      </c>
      <c r="DC11" s="7">
        <f t="shared" si="32"/>
        <v>293.47165989999996</v>
      </c>
      <c r="DD11" s="7">
        <f t="shared" si="33"/>
        <v>47963.462530659999</v>
      </c>
      <c r="DE11" s="7">
        <f t="shared" si="34"/>
        <v>1379.0977699099999</v>
      </c>
      <c r="DF11" s="7">
        <f t="shared" si="35"/>
        <v>416.69875419000005</v>
      </c>
      <c r="DG11" s="7">
        <f t="shared" si="36"/>
        <v>1.5773328200000001</v>
      </c>
      <c r="DH11" s="7">
        <f t="shared" si="37"/>
        <v>102.05238498</v>
      </c>
      <c r="DI11" s="7">
        <f t="shared" si="38"/>
        <v>1014.1758584300001</v>
      </c>
      <c r="DJ11" s="7">
        <f t="shared" si="39"/>
        <v>413.43091267999989</v>
      </c>
      <c r="DK11" s="7">
        <f t="shared" si="40"/>
        <v>375.00140923999999</v>
      </c>
      <c r="DL11" s="7">
        <f t="shared" si="41"/>
        <v>404.53970215000004</v>
      </c>
      <c r="DM11" s="7">
        <f t="shared" si="42"/>
        <v>570.03173111000001</v>
      </c>
      <c r="DN11" s="7">
        <f t="shared" si="43"/>
        <v>140.30379843</v>
      </c>
      <c r="DO11" s="7">
        <f t="shared" si="44"/>
        <v>212.68513808999998</v>
      </c>
      <c r="DP11" s="7">
        <f t="shared" si="45"/>
        <v>332.04578051000004</v>
      </c>
      <c r="DQ11" s="7">
        <f t="shared" si="46"/>
        <v>4172.5087667599992</v>
      </c>
      <c r="DR11" s="7">
        <f t="shared" si="47"/>
        <v>1629.0633992600001</v>
      </c>
      <c r="DS11" s="7">
        <f t="shared" si="48"/>
        <v>208.34732145999999</v>
      </c>
      <c r="DT11" s="7">
        <f t="shared" si="49"/>
        <v>98.462187799999995</v>
      </c>
      <c r="DV11" s="12">
        <f t="shared" si="50"/>
        <v>0.24266046350824824</v>
      </c>
      <c r="DW11" s="12">
        <f t="shared" si="22"/>
        <v>1.6055331242565411E-2</v>
      </c>
      <c r="DX11" s="12">
        <f t="shared" si="22"/>
        <v>6.4391252614962161E-2</v>
      </c>
      <c r="DY11" s="12">
        <f t="shared" si="22"/>
        <v>1.7394537518225057E-3</v>
      </c>
      <c r="DZ11" s="12">
        <f t="shared" si="22"/>
        <v>4.203316202383868E-2</v>
      </c>
      <c r="EA11" s="12">
        <f t="shared" si="22"/>
        <v>1</v>
      </c>
      <c r="EB11" s="12">
        <f t="shared" si="22"/>
        <v>0.35091535300246351</v>
      </c>
      <c r="EC11" s="12">
        <f t="shared" si="22"/>
        <v>1.9998535511777712E-2</v>
      </c>
      <c r="ED11" s="12">
        <f t="shared" si="22"/>
        <v>8.1165087251162654E-3</v>
      </c>
      <c r="EE11" s="12">
        <f t="shared" si="22"/>
        <v>3.8623964825503496E-2</v>
      </c>
      <c r="EF11" s="12">
        <f t="shared" si="22"/>
        <v>0.42073882401507579</v>
      </c>
      <c r="EG11" s="12">
        <f t="shared" si="22"/>
        <v>9.9915658728495046E-2</v>
      </c>
      <c r="EH11" s="12">
        <f t="shared" si="22"/>
        <v>0.15751295950142008</v>
      </c>
      <c r="EI11" s="12">
        <f t="shared" si="22"/>
        <v>2.4894047828389102E-4</v>
      </c>
      <c r="EJ11" s="12">
        <f t="shared" si="22"/>
        <v>0.11005407126051239</v>
      </c>
      <c r="EK11" s="12">
        <f t="shared" si="22"/>
        <v>9.1327323080953194E-3</v>
      </c>
      <c r="EL11" s="12">
        <f t="shared" si="22"/>
        <v>1.1707153735491999E-2</v>
      </c>
      <c r="EM11" s="12">
        <f t="shared" si="22"/>
        <v>1.540527287564007E-2</v>
      </c>
      <c r="EN11" s="12">
        <f t="shared" si="22"/>
        <v>0.72762688744561899</v>
      </c>
    </row>
    <row r="12" spans="1:144" ht="14.4">
      <c r="A12" s="474">
        <v>2025</v>
      </c>
      <c r="B12" s="471">
        <f>SUM(datos!JF118:JF129)</f>
        <v>142.20835442000003</v>
      </c>
      <c r="C12" s="471">
        <f>SUM(datos!JG118:JG129)</f>
        <v>426.81629141000002</v>
      </c>
      <c r="D12" s="471">
        <f>SUM(datos!JH118:JH129)</f>
        <v>1408.4236185099999</v>
      </c>
      <c r="E12" s="471">
        <f>SUM(datos!JI118:JI129)</f>
        <v>3137.9600844799998</v>
      </c>
      <c r="F12" s="471">
        <f>SUM(datos!JJ118:JJ129)</f>
        <v>7604.5461055800006</v>
      </c>
      <c r="G12" s="471">
        <f>SUM(datos!JK118:JK129)</f>
        <v>1372.0946671500001</v>
      </c>
      <c r="H12" s="471">
        <f>SUM(datos!JL118:JL129)</f>
        <v>29359.566356650001</v>
      </c>
      <c r="I12" s="471">
        <f>SUM(datos!JM118:JM129)</f>
        <v>433.74979078000001</v>
      </c>
      <c r="J12" s="471">
        <f>SUM(datos!JN118:JN129)</f>
        <v>4520.6105007599999</v>
      </c>
      <c r="K12" s="471">
        <f>SUM(datos!JO118:JO129)</f>
        <v>377.00039497</v>
      </c>
      <c r="L12" s="471">
        <f>SUM(datos!JP118:JP129)</f>
        <v>2.5000000000000001E-3</v>
      </c>
      <c r="M12" s="471">
        <f>SUM(datos!JQ118:JQ129)</f>
        <v>24.054018449999997</v>
      </c>
      <c r="N12" s="471">
        <f>SUM(datos!JR118:JR129)</f>
        <v>16.076328510000003</v>
      </c>
      <c r="O12" s="471">
        <f>SUM(datos!JS118:JS129)</f>
        <v>0</v>
      </c>
      <c r="P12" s="471">
        <f>SUM(datos!JT118:JT129)</f>
        <v>2.7962853399999998</v>
      </c>
      <c r="Q12" s="471">
        <f>SUM(datos!JU118:JU129)</f>
        <v>949.88509375000001</v>
      </c>
      <c r="R12" s="471">
        <f>SUM(datos!JV118:JV129)</f>
        <v>144.20315460999998</v>
      </c>
      <c r="S12" s="471">
        <f>SUM(datos!JW118:JW129)</f>
        <v>294.00886547999994</v>
      </c>
      <c r="T12" s="471">
        <f>SUM(datos!JX118:JX129)</f>
        <v>327.28294291999998</v>
      </c>
      <c r="U12" s="471">
        <f>SUM(datos!JY118:JY129)</f>
        <v>0</v>
      </c>
      <c r="V12" s="471">
        <f>SUM(datos!JZ118:JZ129)</f>
        <v>114.05000627000001</v>
      </c>
      <c r="W12" s="471">
        <f>SUM(datos!KA118:KA129)</f>
        <v>2.8883181000000002</v>
      </c>
      <c r="X12" s="471">
        <f>SUM(datos!KB118:KB129)</f>
        <v>166.42172826000001</v>
      </c>
      <c r="Y12" s="471">
        <f>SUM(datos!KC118:KC129)</f>
        <v>620.49539196000001</v>
      </c>
      <c r="Z12" s="471">
        <f>SUM(datos!KD118:KD129)</f>
        <v>127.32768464999998</v>
      </c>
      <c r="AA12" s="471">
        <f>SUM(datos!KE118:KE129)</f>
        <v>240.23814804999998</v>
      </c>
      <c r="AB12" s="471">
        <f>SUM(datos!KF118:KF129)</f>
        <v>96.930623179999998</v>
      </c>
      <c r="AC12" s="471">
        <f>SUM(datos!KG118:KG129)</f>
        <v>5061.4067068399991</v>
      </c>
      <c r="AD12" s="471">
        <f>SUM(datos!KH118:KH129)</f>
        <v>1902.11033447</v>
      </c>
      <c r="AE12" s="471">
        <f>SUM(datos!KI118:KI129)</f>
        <v>257.01401315999999</v>
      </c>
      <c r="AF12" s="471">
        <f>SUM(datos!KJ118:KJ129)</f>
        <v>30.011029939999997</v>
      </c>
      <c r="AG12" s="471">
        <f>SUM(datos!KK118:KK129)</f>
        <v>109.53237591999999</v>
      </c>
      <c r="AH12" s="471">
        <f>SUM(datos!KL118:KL129)</f>
        <v>3.5892759800000009</v>
      </c>
      <c r="AI12" s="471">
        <f>SUM(datos!KM118:KM129)</f>
        <v>7.31893701</v>
      </c>
      <c r="AJ12" s="471">
        <f>SUM(datos!KN118:KN129)</f>
        <v>8.7771890399999979</v>
      </c>
      <c r="AK12" s="471">
        <f>SUM(datos!KO118:KO129)</f>
        <v>29.194858620000002</v>
      </c>
      <c r="AL12" s="471">
        <f>SUM(datos!KP118:KP129)</f>
        <v>1.86832128</v>
      </c>
      <c r="AM12" s="471">
        <f>SUM(datos!KQ118:KQ129)</f>
        <v>2343.2557459</v>
      </c>
      <c r="AN12" s="471">
        <f>SUM(datos!KR118:KR129)</f>
        <v>0.45570248000000002</v>
      </c>
      <c r="AO12" s="471">
        <f>SUM(datos!KS118:KS129)</f>
        <v>1.9433875500000002</v>
      </c>
      <c r="AP12" s="471">
        <f>SUM(datos!KT118:KT129)</f>
        <v>11.334144349999999</v>
      </c>
      <c r="AQ12" s="471">
        <f>SUM(datos!KU118:KU129)</f>
        <v>3.8193945400000002</v>
      </c>
      <c r="AR12" s="471">
        <f>SUM(datos!KV118:KV129)</f>
        <v>1.9838915799999999</v>
      </c>
      <c r="AS12" s="471">
        <f>SUM(datos!KW118:KW129)</f>
        <v>13.277751539999997</v>
      </c>
      <c r="AT12" s="471">
        <f>SUM(datos!KX118:KX129)</f>
        <v>0</v>
      </c>
      <c r="AU12" s="471">
        <f>SUM(datos!KY118:KY129)</f>
        <v>0.21728746999999998</v>
      </c>
      <c r="AV12" s="471">
        <f>SUM(datos!KZ118:KZ129)</f>
        <v>42.817895139999997</v>
      </c>
      <c r="AW12" s="471">
        <f>SUM(datos!LA118:LA129)</f>
        <v>5.5239965899999994</v>
      </c>
      <c r="AX12" s="471">
        <f>SUM(datos!LB118:LB129)</f>
        <v>0.49078962999999998</v>
      </c>
      <c r="AY12" s="471">
        <f>SUM(datos!LC118:LC129)</f>
        <v>21.688743110000001</v>
      </c>
      <c r="AZ12" s="471">
        <f>SUM(datos!LD118:LD129)</f>
        <v>0</v>
      </c>
      <c r="BA12" s="471">
        <f>SUM(datos!LE118:LE129)</f>
        <v>5.3602720799999997</v>
      </c>
      <c r="BB12" s="471">
        <f>SUM(datos!LF118:LF129)</f>
        <v>2.4998292600000003</v>
      </c>
      <c r="BC12" s="471">
        <f>SUM(datos!LG118:LG129)</f>
        <v>186.86251296</v>
      </c>
      <c r="BD12" s="471">
        <f>SUM(datos!LH118:LH129)</f>
        <v>50.721214259999996</v>
      </c>
      <c r="BE12" s="471">
        <f>SUM(datos!LI118:LI129)</f>
        <v>23.43682909</v>
      </c>
      <c r="BF12" s="471">
        <f>SUM(datos!LJ118:LJ129)</f>
        <v>4.8205870000000005E-2</v>
      </c>
      <c r="BG12" s="471">
        <f>SUM(datos!LK118:LK129)</f>
        <v>42.638598550000005</v>
      </c>
      <c r="BH12" s="471">
        <f>SUM(datos!LL118:LL129)</f>
        <v>107.44669596999999</v>
      </c>
      <c r="BI12" s="471">
        <f>SUM(datos!LM118:LM129)</f>
        <v>28.764396459999997</v>
      </c>
      <c r="BJ12" s="471">
        <f>SUM(datos!LN118:LN129)</f>
        <v>1.8206703900000001</v>
      </c>
      <c r="BK12" s="471">
        <f>SUM(datos!LO118:LO129)</f>
        <v>164.93522012</v>
      </c>
      <c r="BL12" s="471"/>
      <c r="BM12">
        <v>2025</v>
      </c>
      <c r="BN12" s="1">
        <f t="shared" si="23"/>
        <v>142.20835442000003</v>
      </c>
      <c r="BO12" s="1">
        <f t="shared" si="23"/>
        <v>426.81629141000002</v>
      </c>
      <c r="BP12" s="1">
        <f t="shared" si="24"/>
        <v>46464.856456759997</v>
      </c>
      <c r="BQ12" s="1">
        <f t="shared" si="25"/>
        <v>1372.0946671500001</v>
      </c>
      <c r="BR12" s="1">
        <f t="shared" si="26"/>
        <v>377.00039497</v>
      </c>
      <c r="BS12" s="559">
        <f t="shared" si="26"/>
        <v>2.5000000000000001E-3</v>
      </c>
      <c r="BT12" s="1">
        <f t="shared" si="27"/>
        <v>42.926632299999994</v>
      </c>
      <c r="BU12" s="1">
        <f t="shared" si="28"/>
        <v>949.88509375000001</v>
      </c>
      <c r="BV12" s="1">
        <f t="shared" si="29"/>
        <v>438.2120200899999</v>
      </c>
      <c r="BW12" s="1">
        <f t="shared" si="30"/>
        <v>444.22126729000001</v>
      </c>
      <c r="BX12" s="1">
        <f t="shared" si="0"/>
        <v>166.42172826000001</v>
      </c>
      <c r="BY12" s="1">
        <f t="shared" si="0"/>
        <v>620.49539196000001</v>
      </c>
      <c r="BZ12" s="1">
        <f t="shared" si="0"/>
        <v>127.32768464999998</v>
      </c>
      <c r="CA12" s="1">
        <f t="shared" si="0"/>
        <v>240.23814804999998</v>
      </c>
      <c r="CB12" s="1">
        <f t="shared" si="0"/>
        <v>96.930623179999998</v>
      </c>
      <c r="CC12" s="1">
        <f t="shared" si="0"/>
        <v>5061.4067068399991</v>
      </c>
      <c r="CD12" s="1">
        <f t="shared" si="0"/>
        <v>1902.11033447</v>
      </c>
      <c r="CE12" s="1">
        <f t="shared" si="0"/>
        <v>257.01401315999999</v>
      </c>
      <c r="CF12" s="1">
        <f t="shared" si="0"/>
        <v>30.011029939999997</v>
      </c>
      <c r="CG12" s="1">
        <f>BN12+BO12+BQ12+BR12+BS12+BT12+BU12+BV12+BW12+BX12+BY12+BZ12+CA12+CB12+CD12+CE12+CF12</f>
        <v>7633.9161750500007</v>
      </c>
      <c r="CH12" s="1">
        <f t="shared" si="2"/>
        <v>109.53237591999999</v>
      </c>
      <c r="CI12" s="7">
        <f t="shared" si="3"/>
        <v>3.5892759800000009</v>
      </c>
      <c r="CJ12" s="1">
        <f t="shared" si="4"/>
        <v>2390.9458205999999</v>
      </c>
      <c r="CK12" s="7">
        <f t="shared" si="5"/>
        <v>1.86832128</v>
      </c>
      <c r="CL12" s="1">
        <f t="shared" si="6"/>
        <v>11.334144349999999</v>
      </c>
      <c r="CM12" s="1">
        <f t="shared" si="7"/>
        <v>3.8193945400000002</v>
      </c>
      <c r="CN12" s="1">
        <f t="shared" si="8"/>
        <v>15.478930589999997</v>
      </c>
      <c r="CO12" s="1">
        <f t="shared" si="9"/>
        <v>42.817895139999997</v>
      </c>
      <c r="CP12" s="7">
        <f t="shared" si="10"/>
        <v>6.0147862199999995</v>
      </c>
      <c r="CQ12" s="2">
        <f t="shared" si="11"/>
        <v>29.548844449999997</v>
      </c>
      <c r="CR12" s="1">
        <f t="shared" si="12"/>
        <v>186.86251296</v>
      </c>
      <c r="CS12" s="1">
        <f t="shared" si="13"/>
        <v>50.721214259999996</v>
      </c>
      <c r="CT12" s="1">
        <f t="shared" si="14"/>
        <v>23.43682909</v>
      </c>
      <c r="CU12" s="514">
        <f t="shared" si="15"/>
        <v>4.8205870000000005E-2</v>
      </c>
      <c r="CV12" s="1">
        <f t="shared" si="16"/>
        <v>42.638598550000005</v>
      </c>
      <c r="CW12" s="1">
        <f t="shared" si="17"/>
        <v>107.44669596999999</v>
      </c>
      <c r="CX12" s="1">
        <f t="shared" si="18"/>
        <v>28.764396459999997</v>
      </c>
      <c r="CY12" s="2">
        <f t="shared" si="19"/>
        <v>1.8206703900000001</v>
      </c>
      <c r="CZ12" s="1">
        <f t="shared" si="20"/>
        <v>164.93522012</v>
      </c>
      <c r="DB12" s="7">
        <f t="shared" si="31"/>
        <v>251.74073034000003</v>
      </c>
      <c r="DC12" s="7">
        <f t="shared" si="32"/>
        <v>430.40556739000004</v>
      </c>
      <c r="DD12" s="7">
        <f t="shared" si="33"/>
        <v>48855.802277359995</v>
      </c>
      <c r="DE12" s="7">
        <f t="shared" si="34"/>
        <v>1373.96298843</v>
      </c>
      <c r="DF12" s="7">
        <f t="shared" si="35"/>
        <v>388.33453931999998</v>
      </c>
      <c r="DG12" s="7">
        <f t="shared" si="36"/>
        <v>3.8218945400000002</v>
      </c>
      <c r="DH12" s="7">
        <f t="shared" si="37"/>
        <v>58.405562889999992</v>
      </c>
      <c r="DI12" s="7">
        <f t="shared" si="38"/>
        <v>992.70298889000003</v>
      </c>
      <c r="DJ12" s="7">
        <f t="shared" si="39"/>
        <v>444.22680630999992</v>
      </c>
      <c r="DK12" s="7">
        <f t="shared" si="40"/>
        <v>473.77011174</v>
      </c>
      <c r="DL12" s="7">
        <f t="shared" si="41"/>
        <v>353.28424122000001</v>
      </c>
      <c r="DM12" s="7">
        <f t="shared" si="42"/>
        <v>671.21660622000002</v>
      </c>
      <c r="DN12" s="7">
        <f t="shared" si="43"/>
        <v>150.76451373999998</v>
      </c>
      <c r="DO12" s="7">
        <f t="shared" si="44"/>
        <v>240.28635391999998</v>
      </c>
      <c r="DP12" s="7">
        <f t="shared" si="45"/>
        <v>139.56922173000001</v>
      </c>
      <c r="DQ12" s="7">
        <f t="shared" si="46"/>
        <v>5168.8534028099994</v>
      </c>
      <c r="DR12" s="7">
        <f t="shared" si="47"/>
        <v>1930.8747309299999</v>
      </c>
      <c r="DS12" s="7">
        <f t="shared" si="48"/>
        <v>258.83468354999997</v>
      </c>
      <c r="DT12" s="7">
        <f t="shared" si="49"/>
        <v>194.94625005999998</v>
      </c>
      <c r="DV12" s="12">
        <f t="shared" si="50"/>
        <v>0.43509993703468647</v>
      </c>
      <c r="DW12" s="12">
        <f t="shared" si="22"/>
        <v>8.3392879924057261E-3</v>
      </c>
      <c r="DX12" s="12">
        <f t="shared" si="22"/>
        <v>4.8938830377328081E-2</v>
      </c>
      <c r="DY12" s="12">
        <f t="shared" si="22"/>
        <v>1.3598046641233716E-3</v>
      </c>
      <c r="DZ12" s="12">
        <f t="shared" si="22"/>
        <v>2.9186547171021284E-2</v>
      </c>
      <c r="EA12" s="12">
        <f t="shared" si="22"/>
        <v>0.99934587415381693</v>
      </c>
      <c r="EB12" s="12">
        <f t="shared" si="22"/>
        <v>0.26502493639437635</v>
      </c>
      <c r="EC12" s="12">
        <f t="shared" si="22"/>
        <v>4.3132634452805685E-2</v>
      </c>
      <c r="ED12" s="12">
        <f t="shared" si="22"/>
        <v>1.3539899291450304E-2</v>
      </c>
      <c r="EE12" s="12">
        <f t="shared" si="22"/>
        <v>6.2369583301650079E-2</v>
      </c>
      <c r="EF12" s="12">
        <f t="shared" si="22"/>
        <v>0.52892965821148952</v>
      </c>
      <c r="EG12" s="12">
        <f t="shared" si="22"/>
        <v>7.5566089679514656E-2</v>
      </c>
      <c r="EH12" s="12">
        <f t="shared" si="22"/>
        <v>0.15545321978365439</v>
      </c>
      <c r="EI12" s="12">
        <f t="shared" si="22"/>
        <v>2.0061842553093748E-4</v>
      </c>
      <c r="EJ12" s="12">
        <f t="shared" si="22"/>
        <v>0.30550144237735588</v>
      </c>
      <c r="EK12" s="12">
        <f t="shared" si="22"/>
        <v>2.0787336687008301E-2</v>
      </c>
      <c r="EL12" s="12">
        <f t="shared" si="22"/>
        <v>1.4897080581786739E-2</v>
      </c>
      <c r="EM12" s="12">
        <f t="shared" si="22"/>
        <v>7.0341051864801383E-3</v>
      </c>
      <c r="EN12" s="12">
        <f t="shared" si="22"/>
        <v>0.8460548488069749</v>
      </c>
    </row>
    <row r="13" spans="1:144" ht="14.4">
      <c r="A13" s="474"/>
      <c r="B13" s="471"/>
      <c r="C13" s="471"/>
      <c r="D13" s="471"/>
      <c r="E13" s="471"/>
      <c r="F13" s="471"/>
      <c r="G13" s="471"/>
      <c r="H13" s="471"/>
      <c r="I13" s="471"/>
      <c r="J13" s="471"/>
      <c r="K13" s="471"/>
      <c r="L13" s="471"/>
      <c r="M13" s="471"/>
      <c r="N13" s="471"/>
      <c r="O13" s="471"/>
      <c r="P13" s="471"/>
      <c r="Q13" s="471"/>
      <c r="R13" s="471"/>
      <c r="S13" s="471"/>
      <c r="T13" s="471"/>
      <c r="U13" s="471"/>
      <c r="V13" s="471"/>
      <c r="W13" s="471"/>
      <c r="X13" s="471"/>
      <c r="Y13" s="471"/>
      <c r="Z13" s="471"/>
      <c r="AA13" s="471"/>
      <c r="AB13" s="471"/>
      <c r="AC13" s="471"/>
      <c r="AD13" s="471"/>
      <c r="AE13" s="471"/>
      <c r="AF13" s="471"/>
      <c r="AG13" s="471"/>
      <c r="AH13" s="471"/>
      <c r="AI13" s="471"/>
      <c r="AJ13" s="471"/>
      <c r="AK13" s="471"/>
      <c r="AL13" s="471"/>
      <c r="AM13" s="471"/>
      <c r="AN13" s="471"/>
      <c r="AO13" s="471"/>
      <c r="AP13" s="471"/>
      <c r="AQ13" s="471"/>
      <c r="AR13" s="471"/>
      <c r="AS13" s="471"/>
      <c r="AT13" s="471"/>
      <c r="AU13" s="471"/>
      <c r="AV13" s="471"/>
      <c r="AW13" s="471"/>
      <c r="AX13" s="471"/>
      <c r="AY13" s="471"/>
      <c r="AZ13" s="471"/>
      <c r="BA13" s="471"/>
      <c r="BB13" s="471"/>
      <c r="BC13" s="471"/>
      <c r="BD13" s="471"/>
      <c r="BE13" s="471"/>
      <c r="BF13" s="471"/>
      <c r="BG13" s="471"/>
      <c r="BH13" s="471"/>
      <c r="BI13" s="471"/>
      <c r="BJ13" s="471"/>
      <c r="BK13" s="471"/>
      <c r="BL13" s="7"/>
      <c r="BN13" s="1"/>
      <c r="BO13" s="1"/>
      <c r="BP13" s="1"/>
      <c r="BQ13" s="1"/>
      <c r="BR13" s="1"/>
      <c r="BS13" s="559"/>
      <c r="BT13" s="1"/>
      <c r="BU13" s="1"/>
      <c r="BV13" s="1"/>
      <c r="BW13" s="1"/>
      <c r="BX13" s="1"/>
      <c r="BY13" s="1"/>
      <c r="BZ13" s="1"/>
      <c r="CA13" s="1"/>
      <c r="CB13" s="1"/>
      <c r="CC13" s="1"/>
      <c r="CD13" s="1"/>
      <c r="CE13" s="1"/>
      <c r="CF13" s="1"/>
      <c r="CG13" s="1"/>
      <c r="CH13" s="1"/>
      <c r="CI13" s="7"/>
      <c r="CJ13" s="1"/>
      <c r="CK13" s="7"/>
      <c r="CL13" s="1"/>
      <c r="CM13" s="1"/>
      <c r="CN13" s="7"/>
      <c r="CO13" s="1"/>
      <c r="CP13" s="514"/>
      <c r="CQ13" s="2"/>
      <c r="CR13" s="1"/>
      <c r="CS13" s="1"/>
      <c r="CT13" s="1"/>
      <c r="CU13" s="514"/>
      <c r="CV13" s="1"/>
      <c r="CW13" s="2"/>
      <c r="CX13" s="1"/>
      <c r="CY13" s="1"/>
      <c r="CZ13" s="2"/>
      <c r="DB13" s="7"/>
      <c r="DC13" s="7"/>
      <c r="DD13" s="7"/>
      <c r="DE13" s="7"/>
      <c r="DF13" s="7"/>
      <c r="DG13" s="7"/>
      <c r="DH13" s="7"/>
      <c r="DI13" s="7"/>
      <c r="DJ13" s="7"/>
      <c r="DK13" s="7"/>
      <c r="DL13" s="7"/>
      <c r="DM13" s="7"/>
      <c r="DN13" s="7"/>
      <c r="DO13" s="7"/>
      <c r="DP13" s="7"/>
      <c r="DQ13" s="7"/>
      <c r="DR13" s="7"/>
      <c r="DS13" s="7"/>
      <c r="DT13" s="7"/>
    </row>
    <row r="14" spans="1:144">
      <c r="A14" s="19" t="s">
        <v>820</v>
      </c>
      <c r="B14"/>
      <c r="C14"/>
      <c r="D14"/>
      <c r="E14"/>
      <c r="F14"/>
      <c r="G14"/>
      <c r="H14"/>
      <c r="I14" s="471"/>
      <c r="J14" s="471"/>
      <c r="K14" s="1063" t="s">
        <v>830</v>
      </c>
      <c r="L14" s="1063"/>
      <c r="M14" s="1063"/>
      <c r="N14" s="471"/>
      <c r="O14" s="471"/>
      <c r="P14" s="471"/>
      <c r="Q14" s="471"/>
      <c r="R14" s="471"/>
      <c r="S14" s="471"/>
      <c r="T14" s="471"/>
      <c r="U14" s="471"/>
      <c r="V14" s="471"/>
      <c r="W14" s="471"/>
      <c r="X14" s="471"/>
      <c r="Y14" s="471"/>
      <c r="Z14" s="471"/>
      <c r="AA14" s="471"/>
      <c r="AB14" s="471"/>
      <c r="AC14" s="471"/>
      <c r="AD14" s="471"/>
      <c r="AE14" s="471"/>
      <c r="AF14" s="471"/>
      <c r="AG14" s="471"/>
      <c r="AH14" s="471"/>
      <c r="AI14" s="471"/>
      <c r="AJ14" s="471"/>
      <c r="AK14" s="471"/>
      <c r="AL14" s="471"/>
      <c r="AM14" s="471"/>
      <c r="AN14" s="471"/>
      <c r="AO14" s="471"/>
      <c r="AP14" s="471"/>
      <c r="AQ14" s="471"/>
      <c r="AR14" s="471"/>
      <c r="AS14" s="471"/>
      <c r="AT14" s="471"/>
      <c r="AU14" s="471"/>
      <c r="AV14" s="471"/>
      <c r="AW14" s="471"/>
      <c r="AX14" s="471"/>
      <c r="AY14" s="471"/>
      <c r="AZ14" s="471"/>
      <c r="BA14" s="471"/>
      <c r="BB14" s="471"/>
      <c r="BC14" s="471"/>
      <c r="BD14" s="471"/>
      <c r="BE14" s="471"/>
      <c r="BF14" s="471"/>
      <c r="BG14" s="471"/>
      <c r="BH14" s="471"/>
      <c r="BI14" s="471"/>
      <c r="BJ14" s="471"/>
      <c r="BK14" s="471"/>
      <c r="BL14" s="471"/>
      <c r="BN14" s="1">
        <f>AVERAGE(BN3:BN11)</f>
        <v>150.47788864444445</v>
      </c>
      <c r="BO14" s="1">
        <f t="shared" ref="BO14:CF14" si="51">AVERAGE(BO3:BO11)</f>
        <v>224.4092770588889</v>
      </c>
      <c r="BP14" s="1">
        <f t="shared" si="51"/>
        <v>36075.64287808333</v>
      </c>
      <c r="BQ14" s="1">
        <f t="shared" si="51"/>
        <v>1084.1145562455556</v>
      </c>
      <c r="BR14" s="1">
        <f t="shared" si="51"/>
        <v>256.2174942966667</v>
      </c>
      <c r="BS14" s="1">
        <f t="shared" si="51"/>
        <v>4.6266666666666667E-4</v>
      </c>
      <c r="BT14" s="1">
        <f t="shared" si="51"/>
        <v>44.600063193333334</v>
      </c>
      <c r="BU14" s="1">
        <f t="shared" si="51"/>
        <v>990.18945360999999</v>
      </c>
      <c r="BV14" s="1">
        <f t="shared" si="51"/>
        <v>381.18872483777778</v>
      </c>
      <c r="BW14" s="1">
        <f t="shared" si="51"/>
        <v>426.79684687999992</v>
      </c>
      <c r="BX14" s="1">
        <f t="shared" si="51"/>
        <v>228.26571113444444</v>
      </c>
      <c r="BY14" s="1">
        <f t="shared" si="51"/>
        <v>411.88350527777777</v>
      </c>
      <c r="BZ14" s="1">
        <f t="shared" si="51"/>
        <v>101.65672649666665</v>
      </c>
      <c r="CA14" s="1">
        <f t="shared" si="51"/>
        <v>204.17538541222223</v>
      </c>
      <c r="CB14" s="1">
        <f t="shared" si="51"/>
        <v>395.08151993555555</v>
      </c>
      <c r="CC14" s="1">
        <f t="shared" si="51"/>
        <v>3539.2451288577777</v>
      </c>
      <c r="CD14" s="1">
        <f t="shared" si="51"/>
        <v>1188.7183984455557</v>
      </c>
      <c r="CE14" s="1">
        <f t="shared" si="51"/>
        <v>235.20562120555556</v>
      </c>
      <c r="CF14" s="1">
        <f t="shared" si="51"/>
        <v>32.988530017777776</v>
      </c>
      <c r="CG14" s="1">
        <f>AVERAGE(CG3:CG11)</f>
        <v>6355.9701653588891</v>
      </c>
      <c r="CH14" s="1">
        <f t="shared" ref="CH14:CZ14" si="52">AVERAGE(CH3:CH11)</f>
        <v>91.066645215555553</v>
      </c>
      <c r="CI14" s="1">
        <f t="shared" si="52"/>
        <v>3.7512937200000005</v>
      </c>
      <c r="CJ14" s="1">
        <f t="shared" si="52"/>
        <v>2330.3868460222225</v>
      </c>
      <c r="CK14" s="1">
        <f t="shared" si="52"/>
        <v>0.82658472222222223</v>
      </c>
      <c r="CL14" s="1">
        <f t="shared" si="52"/>
        <v>23.817875734444446</v>
      </c>
      <c r="CM14" s="1">
        <f t="shared" si="52"/>
        <v>4.7895612533333338</v>
      </c>
      <c r="CN14" s="1">
        <f t="shared" si="52"/>
        <v>35.655806218888891</v>
      </c>
      <c r="CO14" s="1">
        <f t="shared" si="52"/>
        <v>21.404045758888895</v>
      </c>
      <c r="CP14" s="1">
        <f t="shared" si="52"/>
        <v>8.1822484877777768</v>
      </c>
      <c r="CQ14" s="1">
        <f t="shared" si="52"/>
        <v>11.571500681111111</v>
      </c>
      <c r="CR14" s="1">
        <f t="shared" si="52"/>
        <v>227.48070188888889</v>
      </c>
      <c r="CS14" s="1">
        <f t="shared" si="52"/>
        <v>53.372598478888889</v>
      </c>
      <c r="CT14" s="1">
        <f t="shared" si="52"/>
        <v>16.764695155555554</v>
      </c>
      <c r="CU14" s="1">
        <f t="shared" si="52"/>
        <v>0.10856882888888889</v>
      </c>
      <c r="CV14" s="1">
        <f t="shared" si="52"/>
        <v>35.071160823333329</v>
      </c>
      <c r="CW14" s="1">
        <f t="shared" si="52"/>
        <v>54.298478897777763</v>
      </c>
      <c r="CX14" s="1">
        <f t="shared" si="52"/>
        <v>21.916586471111106</v>
      </c>
      <c r="CY14" s="1">
        <f t="shared" si="52"/>
        <v>3.6730397677777784</v>
      </c>
      <c r="CZ14" s="1">
        <f t="shared" si="52"/>
        <v>94.72163763333333</v>
      </c>
      <c r="DA14" s="7"/>
      <c r="DV14" s="773">
        <f>AVERAGE(DV3:DV12)</f>
        <v>0.39841143197455914</v>
      </c>
      <c r="DW14" s="162">
        <f t="shared" ref="DW14:EN14" si="53">AVERAGE(DW3:DW12)</f>
        <v>1.7041608136305102E-2</v>
      </c>
      <c r="DX14" s="162">
        <f t="shared" si="53"/>
        <v>5.9834505414258221E-2</v>
      </c>
      <c r="DY14" s="162">
        <f t="shared" si="53"/>
        <v>7.7138330881631849E-4</v>
      </c>
      <c r="DZ14" s="162">
        <f t="shared" si="53"/>
        <v>8.8373669115776238E-2</v>
      </c>
      <c r="EA14" s="773">
        <f t="shared" si="53"/>
        <v>0.99982608880871437</v>
      </c>
      <c r="EB14" s="773">
        <f t="shared" si="53"/>
        <v>0.43028259454246848</v>
      </c>
      <c r="EC14" s="162">
        <f t="shared" si="53"/>
        <v>2.3177376231770196E-2</v>
      </c>
      <c r="ED14" s="162">
        <f t="shared" si="53"/>
        <v>2.0197935618818916E-2</v>
      </c>
      <c r="EE14" s="162">
        <f t="shared" si="53"/>
        <v>2.9555264079175254E-2</v>
      </c>
      <c r="EF14" s="773">
        <f t="shared" si="53"/>
        <v>0.53421554550922945</v>
      </c>
      <c r="EG14" s="162">
        <f t="shared" si="53"/>
        <v>0.11479608008923574</v>
      </c>
      <c r="EH14" s="162">
        <f t="shared" si="53"/>
        <v>0.12236697350636291</v>
      </c>
      <c r="EI14" s="162">
        <f t="shared" si="53"/>
        <v>5.4754286605929669E-4</v>
      </c>
      <c r="EJ14" s="162">
        <f t="shared" si="53"/>
        <v>0.10712693296282136</v>
      </c>
      <c r="EK14" s="162">
        <f t="shared" si="53"/>
        <v>1.6018907992985856E-2</v>
      </c>
      <c r="EL14" s="162">
        <f t="shared" si="53"/>
        <v>2.0774323182707822E-2</v>
      </c>
      <c r="EM14" s="162">
        <f t="shared" si="53"/>
        <v>1.4890828346302338E-2</v>
      </c>
      <c r="EN14" s="773">
        <f t="shared" si="53"/>
        <v>0.76276483684031604</v>
      </c>
    </row>
    <row r="15" spans="1:144" ht="14.4">
      <c r="A15" s="472"/>
      <c r="B15" s="770">
        <v>2025</v>
      </c>
      <c r="C15" s="770">
        <v>2024</v>
      </c>
      <c r="D15" s="770">
        <v>2023</v>
      </c>
      <c r="E15" s="770">
        <v>2022</v>
      </c>
      <c r="F15" s="770">
        <v>2021</v>
      </c>
      <c r="G15" s="770">
        <v>2020</v>
      </c>
      <c r="H15" s="771" t="s">
        <v>253</v>
      </c>
      <c r="J15" s="475"/>
      <c r="K15" s="774" t="s">
        <v>813</v>
      </c>
      <c r="L15" s="774" t="s">
        <v>814</v>
      </c>
      <c r="M15" s="774" t="s">
        <v>246</v>
      </c>
      <c r="N15" s="475"/>
      <c r="O15" s="475"/>
      <c r="P15" s="475"/>
      <c r="Q15" s="475"/>
      <c r="R15" s="475"/>
      <c r="S15" s="475"/>
      <c r="T15" s="475"/>
      <c r="U15" s="475"/>
      <c r="V15" s="475"/>
      <c r="W15" s="475"/>
      <c r="X15" s="475"/>
      <c r="Y15" s="475"/>
      <c r="Z15" s="475"/>
      <c r="AA15" s="475"/>
      <c r="AB15" s="475"/>
      <c r="AC15" s="475"/>
      <c r="AD15" s="475"/>
      <c r="AE15" s="475"/>
      <c r="AF15" s="475"/>
      <c r="AG15" s="475"/>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5"/>
      <c r="BD15" s="475"/>
      <c r="BE15" s="475"/>
      <c r="BF15" s="475"/>
      <c r="BG15" s="475"/>
      <c r="BH15" s="475"/>
      <c r="BI15" s="475"/>
      <c r="BJ15" s="475"/>
      <c r="BK15" s="475"/>
      <c r="BL15" s="475"/>
      <c r="BN15" s="12">
        <f>BN12/BN14</f>
        <v>0.94504485476943378</v>
      </c>
      <c r="BO15" s="12">
        <f t="shared" ref="BO15:CF15" si="54">BO12/BO14</f>
        <v>1.9019547542947433</v>
      </c>
      <c r="BP15" s="12">
        <f t="shared" si="54"/>
        <v>1.2879841563402414</v>
      </c>
      <c r="BQ15" s="12">
        <f t="shared" si="54"/>
        <v>1.2656362367292262</v>
      </c>
      <c r="BR15" s="12">
        <f t="shared" si="54"/>
        <v>1.4714077038528928</v>
      </c>
      <c r="BS15" s="12">
        <f t="shared" si="54"/>
        <v>5.4034582132564841</v>
      </c>
      <c r="BT15" s="12">
        <f t="shared" si="54"/>
        <v>0.96247918111507347</v>
      </c>
      <c r="BU15" s="12">
        <f t="shared" si="54"/>
        <v>0.95929631474758725</v>
      </c>
      <c r="BV15" s="12">
        <f t="shared" si="54"/>
        <v>1.1495933419239761</v>
      </c>
      <c r="BW15" s="12">
        <f t="shared" si="54"/>
        <v>1.0408260289113598</v>
      </c>
      <c r="BX15" s="12">
        <f t="shared" si="54"/>
        <v>0.72907020258500665</v>
      </c>
      <c r="BY15" s="12">
        <f t="shared" si="54"/>
        <v>1.5064827408942549</v>
      </c>
      <c r="BZ15" s="12">
        <f t="shared" si="54"/>
        <v>1.2525259177431323</v>
      </c>
      <c r="CA15" s="12">
        <f t="shared" si="54"/>
        <v>1.1766263967861181</v>
      </c>
      <c r="CB15" s="12">
        <f t="shared" si="54"/>
        <v>0.24534334887597631</v>
      </c>
      <c r="CC15" s="12">
        <f t="shared" si="54"/>
        <v>1.4300808569519652</v>
      </c>
      <c r="CD15" s="12">
        <f t="shared" si="54"/>
        <v>1.6001353532992517</v>
      </c>
      <c r="CE15" s="12">
        <f t="shared" si="54"/>
        <v>1.0927205389168195</v>
      </c>
      <c r="CF15" s="12">
        <f t="shared" si="54"/>
        <v>0.90974135324692607</v>
      </c>
      <c r="CG15" s="10">
        <f>CG12/CG14-1</f>
        <v>0.20106230464329955</v>
      </c>
      <c r="CH15" s="1"/>
      <c r="CI15" s="7"/>
      <c r="CJ15" s="1"/>
      <c r="CK15" s="7"/>
      <c r="CL15" s="1"/>
      <c r="CM15" s="1"/>
      <c r="CN15" s="7"/>
      <c r="CO15" s="1"/>
      <c r="CP15" s="7"/>
      <c r="CQ15" s="1"/>
      <c r="CR15" s="1"/>
      <c r="CS15" s="1"/>
      <c r="CT15" s="1"/>
      <c r="CU15" s="559"/>
      <c r="CV15" s="1"/>
      <c r="CW15" s="12">
        <f>CW12/CW11</f>
        <v>2.8196491960293155</v>
      </c>
      <c r="CX15" s="1"/>
      <c r="CY15" s="1"/>
      <c r="CZ15" s="1"/>
      <c r="DA15" s="12"/>
    </row>
    <row r="16" spans="1:144">
      <c r="A16" s="271" t="s">
        <v>28</v>
      </c>
      <c r="B16" s="471"/>
      <c r="C16" s="471"/>
      <c r="D16" s="471"/>
      <c r="E16" s="471"/>
      <c r="F16" s="471"/>
      <c r="G16" s="471"/>
      <c r="H16" s="471"/>
      <c r="J16" s="775" t="s">
        <v>28</v>
      </c>
      <c r="K16" s="778">
        <v>0.32140000000000002</v>
      </c>
      <c r="L16" s="778">
        <v>0.39290000000000003</v>
      </c>
      <c r="M16" s="767">
        <v>0.28570000000000001</v>
      </c>
      <c r="N16" s="471"/>
      <c r="O16" s="471"/>
      <c r="P16" s="471"/>
      <c r="Q16" s="471"/>
      <c r="R16" s="471"/>
      <c r="S16" s="471"/>
      <c r="T16" s="471"/>
      <c r="U16" s="471"/>
      <c r="V16" s="471"/>
      <c r="W16" s="471"/>
      <c r="X16" s="471"/>
      <c r="Y16" s="471"/>
      <c r="Z16" s="471"/>
      <c r="AA16" s="471"/>
      <c r="AB16" s="471"/>
      <c r="AC16" s="471"/>
      <c r="AD16" s="471"/>
      <c r="AE16" s="471"/>
      <c r="AF16" s="471"/>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N16" s="12"/>
      <c r="BO16" s="12"/>
      <c r="BP16" s="12"/>
      <c r="BQ16" s="12"/>
      <c r="BR16" s="12"/>
      <c r="BS16" s="77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row>
    <row r="17" spans="1:104">
      <c r="A17" s="271" t="s">
        <v>13</v>
      </c>
      <c r="B17" s="767">
        <v>0.98</v>
      </c>
      <c r="C17" s="769">
        <v>0.33</v>
      </c>
      <c r="D17" s="767">
        <v>0.38</v>
      </c>
      <c r="E17" s="767">
        <v>0.42</v>
      </c>
      <c r="F17" s="162">
        <v>0.41</v>
      </c>
      <c r="G17" s="162">
        <v>0.4</v>
      </c>
      <c r="H17" s="767">
        <f>AVERAGE(B17:G17)</f>
        <v>0.48666666666666664</v>
      </c>
      <c r="J17" s="776" t="s">
        <v>13</v>
      </c>
      <c r="K17" s="778">
        <v>0.48039999999999999</v>
      </c>
      <c r="L17" s="778">
        <v>0.5</v>
      </c>
      <c r="M17" s="767">
        <v>1.9599999999999999E-2</v>
      </c>
      <c r="N17" s="471"/>
      <c r="O17" s="471"/>
      <c r="P17" s="471"/>
      <c r="Q17" s="471"/>
      <c r="R17" s="471"/>
      <c r="S17" s="471"/>
      <c r="T17" s="471"/>
      <c r="U17" s="471"/>
      <c r="V17" s="471"/>
      <c r="W17" s="471"/>
      <c r="X17" s="471"/>
      <c r="Y17" s="471"/>
      <c r="Z17" s="471"/>
      <c r="AA17" s="471"/>
      <c r="AB17" s="471"/>
      <c r="AC17" s="471"/>
      <c r="AD17" s="471"/>
      <c r="AE17" s="471"/>
      <c r="AF17" s="471"/>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N17" s="12">
        <f>BN12/$CG12</f>
        <v>1.8628493051152557E-2</v>
      </c>
      <c r="BO17" s="12">
        <f t="shared" ref="BO17:CF17" si="55">BO12/$CG12</f>
        <v>5.5910528963491593E-2</v>
      </c>
      <c r="BP17" s="12"/>
      <c r="BQ17" s="12">
        <f t="shared" si="55"/>
        <v>0.17973666931717561</v>
      </c>
      <c r="BR17" s="12">
        <f t="shared" si="55"/>
        <v>4.938492725426484E-2</v>
      </c>
      <c r="BS17" s="12">
        <f t="shared" si="55"/>
        <v>3.2748591190597211E-7</v>
      </c>
      <c r="BT17" s="12">
        <f t="shared" si="55"/>
        <v>5.6231469295271418E-3</v>
      </c>
      <c r="BU17" s="12">
        <f t="shared" si="55"/>
        <v>0.12442959445304343</v>
      </c>
      <c r="BV17" s="12">
        <f t="shared" si="55"/>
        <v>5.7403305202932714E-2</v>
      </c>
      <c r="BW17" s="12">
        <f t="shared" si="55"/>
        <v>5.8190482722596894E-2</v>
      </c>
      <c r="BX17" s="12">
        <f t="shared" si="55"/>
        <v>2.1800308576077596E-2</v>
      </c>
      <c r="BY17" s="12">
        <f t="shared" si="55"/>
        <v>8.1281399707789678E-2</v>
      </c>
      <c r="BZ17" s="12">
        <f t="shared" si="55"/>
        <v>1.6679209167392517E-2</v>
      </c>
      <c r="CA17" s="12">
        <f t="shared" si="55"/>
        <v>3.1469843595502471E-2</v>
      </c>
      <c r="CB17" s="12">
        <f t="shared" si="55"/>
        <v>1.2697365409486582E-2</v>
      </c>
      <c r="CC17" s="12"/>
      <c r="CD17" s="12">
        <f t="shared" si="55"/>
        <v>0.24916573497187261</v>
      </c>
      <c r="CE17" s="12">
        <f t="shared" si="55"/>
        <v>3.3667387388926447E-2</v>
      </c>
      <c r="CF17" s="12">
        <f t="shared" si="55"/>
        <v>3.9312758028553323E-3</v>
      </c>
      <c r="CH17" s="10">
        <f>CH12/BN12</f>
        <v>0.77022462123783264</v>
      </c>
      <c r="CI17" s="10">
        <f t="shared" ref="CI17:CZ17" si="56">CI12/BO12</f>
        <v>8.4094165387706352E-3</v>
      </c>
      <c r="CJ17" s="10">
        <f t="shared" si="56"/>
        <v>5.1457079671062889E-2</v>
      </c>
      <c r="CK17" s="10">
        <f t="shared" si="56"/>
        <v>1.3616562506439298E-3</v>
      </c>
      <c r="CL17" s="10">
        <f t="shared" si="56"/>
        <v>3.0064011871663739E-2</v>
      </c>
      <c r="CM17" s="10"/>
      <c r="CN17" s="10">
        <f t="shared" si="56"/>
        <v>0.36059037852824993</v>
      </c>
      <c r="CO17" s="10">
        <f t="shared" si="56"/>
        <v>4.5076920799927013E-2</v>
      </c>
      <c r="CP17" s="10">
        <f t="shared" si="56"/>
        <v>1.372574448953884E-2</v>
      </c>
      <c r="CQ17" s="10">
        <f t="shared" si="56"/>
        <v>6.6518302084599856E-2</v>
      </c>
      <c r="CR17" s="10">
        <f t="shared" si="56"/>
        <v>1.122825215876051</v>
      </c>
      <c r="CS17" s="10">
        <f t="shared" si="56"/>
        <v>8.1743095786390177E-2</v>
      </c>
      <c r="CT17" s="10">
        <f t="shared" si="56"/>
        <v>0.184067032667903</v>
      </c>
      <c r="CU17" s="10">
        <f t="shared" si="56"/>
        <v>2.0065868135966098E-4</v>
      </c>
      <c r="CV17" s="10">
        <f t="shared" si="56"/>
        <v>0.43988779965666991</v>
      </c>
      <c r="CW17" s="10">
        <f t="shared" si="56"/>
        <v>2.1228623225396259E-2</v>
      </c>
      <c r="CX17" s="10">
        <f t="shared" si="56"/>
        <v>1.5122359591203656E-2</v>
      </c>
      <c r="CY17" s="10">
        <f t="shared" si="56"/>
        <v>7.083934325660954E-3</v>
      </c>
      <c r="CZ17" s="10">
        <f t="shared" si="56"/>
        <v>5.4958200518192548</v>
      </c>
    </row>
    <row r="18" spans="1:104">
      <c r="A18" s="271" t="s">
        <v>215</v>
      </c>
      <c r="B18" s="767">
        <v>0.08</v>
      </c>
      <c r="C18" s="769">
        <v>0.08</v>
      </c>
      <c r="D18" s="767">
        <v>7.0000000000000007E-2</v>
      </c>
      <c r="E18" s="767">
        <v>0.1</v>
      </c>
      <c r="F18" s="162">
        <v>0.09</v>
      </c>
      <c r="G18" s="162">
        <v>0.11</v>
      </c>
      <c r="H18" s="767">
        <f>AVERAGE(B18:G18)</f>
        <v>8.8333333333333333E-2</v>
      </c>
      <c r="J18" s="776" t="s">
        <v>215</v>
      </c>
      <c r="K18" s="778">
        <v>8.1100000000000005E-2</v>
      </c>
      <c r="L18" s="778">
        <v>0.81979999999999997</v>
      </c>
      <c r="M18" s="767">
        <v>9.9099999999999994E-2</v>
      </c>
      <c r="N18" s="471"/>
      <c r="O18" s="471"/>
      <c r="P18" s="471"/>
      <c r="Q18" s="471"/>
      <c r="R18" s="471"/>
      <c r="S18" s="471"/>
      <c r="T18" s="471"/>
      <c r="U18" s="471"/>
      <c r="V18" s="471"/>
      <c r="W18" s="471"/>
      <c r="X18" s="471"/>
      <c r="Y18" s="471"/>
      <c r="Z18" s="471"/>
      <c r="AA18" s="471"/>
      <c r="AB18" s="471"/>
      <c r="AC18" s="471"/>
      <c r="AD18" s="471"/>
      <c r="AE18" s="471"/>
      <c r="AF18" s="471"/>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N18" s="12">
        <f>BN14/$CG14</f>
        <v>2.3675046409842256E-2</v>
      </c>
      <c r="BO18" s="12">
        <f t="shared" ref="BO18:CF18" si="57">BO14/$CG14</f>
        <v>3.5306848713978767E-2</v>
      </c>
      <c r="BP18" s="12"/>
      <c r="BQ18" s="12">
        <f t="shared" si="57"/>
        <v>0.17056633811061025</v>
      </c>
      <c r="BR18" s="12">
        <f t="shared" si="57"/>
        <v>4.0311311669317666E-2</v>
      </c>
      <c r="BS18" s="12">
        <f t="shared" si="57"/>
        <v>7.2792454122626019E-8</v>
      </c>
      <c r="BT18" s="12">
        <f t="shared" si="57"/>
        <v>7.0170346985596642E-3</v>
      </c>
      <c r="BU18" s="12">
        <f t="shared" si="57"/>
        <v>0.15578887689037618</v>
      </c>
      <c r="BV18" s="12">
        <f t="shared" si="57"/>
        <v>5.9973334506087002E-2</v>
      </c>
      <c r="BW18" s="12">
        <f t="shared" si="57"/>
        <v>6.71489695162691E-2</v>
      </c>
      <c r="BX18" s="12">
        <f t="shared" si="57"/>
        <v>3.5913590717988442E-2</v>
      </c>
      <c r="BY18" s="12">
        <f t="shared" si="57"/>
        <v>6.4802617784868219E-2</v>
      </c>
      <c r="BZ18" s="12">
        <f t="shared" si="57"/>
        <v>1.5993896109002051E-2</v>
      </c>
      <c r="CA18" s="12">
        <f t="shared" si="57"/>
        <v>3.2123402108621052E-2</v>
      </c>
      <c r="CB18" s="12">
        <f t="shared" si="57"/>
        <v>6.215912121312598E-2</v>
      </c>
      <c r="CC18" s="12"/>
      <c r="CD18" s="12">
        <f t="shared" si="57"/>
        <v>0.18702391098754237</v>
      </c>
      <c r="CE18" s="12">
        <f t="shared" si="57"/>
        <v>3.7005463381100487E-2</v>
      </c>
      <c r="CF18" s="12">
        <f t="shared" si="57"/>
        <v>5.1901643902563981E-3</v>
      </c>
    </row>
    <row r="19" spans="1:104">
      <c r="A19" s="271" t="s">
        <v>77</v>
      </c>
      <c r="B19" s="767">
        <v>0.27</v>
      </c>
      <c r="C19" s="769">
        <v>0.28999999999999998</v>
      </c>
      <c r="D19" s="767">
        <v>0.28999999999999998</v>
      </c>
      <c r="E19" s="767">
        <v>0.28999999999999998</v>
      </c>
      <c r="F19" s="162">
        <v>0.27</v>
      </c>
      <c r="G19" s="162">
        <v>0.28999999999999998</v>
      </c>
      <c r="H19" s="767">
        <f>AVERAGE(B19:G19)</f>
        <v>0.28333333333333338</v>
      </c>
      <c r="J19" s="777" t="s">
        <v>77</v>
      </c>
      <c r="K19" s="778">
        <v>0.27450000000000002</v>
      </c>
      <c r="L19" s="778">
        <v>0.70589999999999997</v>
      </c>
      <c r="M19" s="767">
        <v>1.9599999999999999E-2</v>
      </c>
      <c r="N19" s="471"/>
      <c r="O19" s="471"/>
      <c r="P19" s="471"/>
      <c r="Q19" s="471"/>
      <c r="R19" s="471"/>
      <c r="S19" s="471"/>
      <c r="T19" s="471"/>
      <c r="U19" s="471"/>
      <c r="V19" s="471"/>
      <c r="W19" s="471"/>
      <c r="X19" s="471"/>
      <c r="Y19" s="471"/>
      <c r="Z19" s="471"/>
      <c r="AA19" s="471"/>
      <c r="AB19" s="471"/>
      <c r="AC19" s="471"/>
      <c r="AD19" s="471"/>
      <c r="AE19" s="471"/>
      <c r="AF19" s="471"/>
      <c r="CK19" s="7"/>
    </row>
    <row r="20" spans="1:104">
      <c r="A20" s="271" t="s">
        <v>221</v>
      </c>
      <c r="B20" s="470"/>
      <c r="C20" s="471"/>
      <c r="D20" s="470"/>
      <c r="E20" s="470"/>
      <c r="F20"/>
      <c r="G20"/>
      <c r="H20" s="767"/>
      <c r="J20" s="777" t="s">
        <v>221</v>
      </c>
      <c r="K20" s="778">
        <v>0.17480000000000001</v>
      </c>
      <c r="L20" s="778">
        <v>0.79610000000000003</v>
      </c>
      <c r="M20" s="767">
        <v>2.9100000000000001E-2</v>
      </c>
      <c r="N20" s="471"/>
      <c r="O20" s="471"/>
      <c r="P20" s="471"/>
      <c r="Q20" s="471"/>
      <c r="R20" s="471"/>
      <c r="S20" s="471"/>
      <c r="T20" s="471"/>
      <c r="U20" s="471"/>
      <c r="V20" s="471"/>
      <c r="W20" s="471"/>
      <c r="X20" s="471"/>
      <c r="Y20" s="471"/>
      <c r="Z20" s="471"/>
      <c r="AA20" s="471"/>
      <c r="AB20" s="471"/>
      <c r="AC20" s="471"/>
      <c r="AD20" s="471"/>
      <c r="AE20" s="471"/>
      <c r="AF20" s="471"/>
      <c r="CG20" s="1"/>
      <c r="CH20" s="1"/>
      <c r="CK20" s="10"/>
    </row>
    <row r="21" spans="1:104">
      <c r="A21" s="271" t="s">
        <v>116</v>
      </c>
      <c r="B21" s="769">
        <v>0.19</v>
      </c>
      <c r="C21" s="769">
        <v>0.19</v>
      </c>
      <c r="D21" s="767">
        <v>0.18</v>
      </c>
      <c r="E21" s="767">
        <v>0.18</v>
      </c>
      <c r="F21" s="162">
        <v>0.18</v>
      </c>
      <c r="G21" s="162">
        <v>0.18</v>
      </c>
      <c r="H21" s="767">
        <f>AVERAGE(B21:G21)</f>
        <v>0.18333333333333332</v>
      </c>
      <c r="J21" s="777" t="s">
        <v>116</v>
      </c>
      <c r="K21" s="778">
        <v>0.1176</v>
      </c>
      <c r="L21" s="778">
        <v>0.53590000000000004</v>
      </c>
      <c r="M21" s="767">
        <v>0.34639999999999999</v>
      </c>
      <c r="N21" s="470"/>
      <c r="O21" s="470"/>
      <c r="P21" s="470"/>
      <c r="Q21" s="470"/>
      <c r="R21" s="470"/>
      <c r="S21" s="470"/>
      <c r="T21" s="470"/>
      <c r="U21" s="470"/>
      <c r="V21" s="470"/>
      <c r="W21" s="470"/>
      <c r="X21" s="470"/>
      <c r="Y21" s="470"/>
      <c r="Z21" s="470"/>
      <c r="AA21" s="470"/>
      <c r="AB21" s="470"/>
      <c r="AC21" s="470"/>
      <c r="AD21" s="470"/>
      <c r="AE21" s="470"/>
      <c r="AF21" s="470"/>
      <c r="BO21" s="141"/>
      <c r="BQ21" s="1"/>
      <c r="BV21" s="1"/>
      <c r="CG21" s="12"/>
      <c r="CH21" s="12"/>
    </row>
    <row r="22" spans="1:104">
      <c r="A22" s="271" t="s">
        <v>216</v>
      </c>
      <c r="B22" s="767">
        <v>0.81</v>
      </c>
      <c r="C22" s="769">
        <v>0.74</v>
      </c>
      <c r="D22" s="767">
        <v>0.72</v>
      </c>
      <c r="E22" s="767">
        <v>0.77</v>
      </c>
      <c r="F22" s="162">
        <v>0.81</v>
      </c>
      <c r="G22" s="162">
        <v>0.7</v>
      </c>
      <c r="H22" s="767">
        <f>AVERAGE(B22:G22)</f>
        <v>0.7583333333333333</v>
      </c>
      <c r="J22" s="777" t="s">
        <v>216</v>
      </c>
      <c r="K22" s="778">
        <v>0.71699999999999997</v>
      </c>
      <c r="L22" s="778">
        <v>0.22639999999999999</v>
      </c>
      <c r="M22" s="767">
        <v>5.6599999999999998E-2</v>
      </c>
      <c r="BO22" s="141"/>
      <c r="BQ22" s="1"/>
      <c r="BV22" s="1"/>
    </row>
    <row r="23" spans="1:104">
      <c r="A23" s="271" t="s">
        <v>217</v>
      </c>
      <c r="B23" s="470"/>
      <c r="C23" s="471"/>
      <c r="D23" s="470"/>
      <c r="E23" s="470"/>
      <c r="F23"/>
      <c r="G23"/>
      <c r="H23" s="767"/>
      <c r="J23" s="777" t="s">
        <v>217</v>
      </c>
      <c r="K23" s="778">
        <v>6.9900000000000004E-2</v>
      </c>
      <c r="L23" s="778">
        <v>0.62939999999999996</v>
      </c>
      <c r="M23" s="767">
        <v>0.30070000000000002</v>
      </c>
      <c r="BO23" s="141"/>
      <c r="BQ23" s="1"/>
      <c r="BV23" s="1"/>
    </row>
    <row r="24" spans="1:104">
      <c r="A24" s="271" t="s">
        <v>65</v>
      </c>
      <c r="B24" s="767">
        <v>0.25</v>
      </c>
      <c r="C24" s="769">
        <v>0.25</v>
      </c>
      <c r="D24" s="767">
        <v>0.19</v>
      </c>
      <c r="E24" s="767">
        <v>0.26</v>
      </c>
      <c r="F24" s="162">
        <v>0.24</v>
      </c>
      <c r="G24" s="162">
        <v>0.25</v>
      </c>
      <c r="H24" s="767">
        <f>AVERAGE(B24:G24)</f>
        <v>0.24</v>
      </c>
      <c r="J24" s="777" t="s">
        <v>65</v>
      </c>
      <c r="K24" s="778">
        <v>0.23530000000000001</v>
      </c>
      <c r="L24" s="778">
        <v>0.74509999999999998</v>
      </c>
      <c r="M24" s="767">
        <v>1.9599999999999999E-2</v>
      </c>
      <c r="BO24" s="141"/>
      <c r="BQ24" s="1"/>
      <c r="BV24" s="1"/>
    </row>
    <row r="25" spans="1:104">
      <c r="A25" s="271" t="s">
        <v>68</v>
      </c>
      <c r="B25" s="470"/>
      <c r="C25" s="471"/>
      <c r="D25" s="470"/>
      <c r="E25" s="470"/>
      <c r="F25"/>
      <c r="G25"/>
      <c r="H25" s="767"/>
      <c r="J25" s="777" t="s">
        <v>68</v>
      </c>
      <c r="K25" s="778">
        <v>0</v>
      </c>
      <c r="L25" s="778">
        <v>0</v>
      </c>
      <c r="M25" s="767">
        <v>1</v>
      </c>
      <c r="BO25" s="141"/>
      <c r="BQ25" s="1"/>
      <c r="BV25" s="1"/>
    </row>
    <row r="26" spans="1:104">
      <c r="A26" s="271" t="s">
        <v>25</v>
      </c>
      <c r="B26" s="767">
        <v>0.55000000000000004</v>
      </c>
      <c r="C26" s="769">
        <v>0.7</v>
      </c>
      <c r="D26" s="767">
        <v>0.78</v>
      </c>
      <c r="E26" s="767">
        <v>0.59</v>
      </c>
      <c r="F26" s="162">
        <v>0.88</v>
      </c>
      <c r="G26" s="162">
        <v>0.93</v>
      </c>
      <c r="H26" s="767">
        <f>AVERAGE(B26:G26)</f>
        <v>0.73833333333333329</v>
      </c>
      <c r="J26" s="777" t="s">
        <v>25</v>
      </c>
      <c r="K26" s="778">
        <f>H26</f>
        <v>0.73833333333333329</v>
      </c>
      <c r="L26" s="778">
        <f t="shared" ref="L26" si="58">1-K26</f>
        <v>0.26166666666666671</v>
      </c>
      <c r="M26" s="767">
        <v>0</v>
      </c>
      <c r="BO26" s="141"/>
      <c r="BQ26" s="1"/>
      <c r="BV26" s="1"/>
    </row>
    <row r="27" spans="1:104">
      <c r="A27" s="271" t="s">
        <v>76</v>
      </c>
      <c r="B27" s="470"/>
      <c r="C27" s="471"/>
      <c r="D27" s="470"/>
      <c r="E27" s="470"/>
      <c r="F27"/>
      <c r="G27"/>
      <c r="H27" s="767"/>
      <c r="J27" s="777" t="s">
        <v>76</v>
      </c>
      <c r="K27" s="778">
        <v>0.9</v>
      </c>
      <c r="L27" s="778">
        <v>0.1</v>
      </c>
      <c r="M27" s="767">
        <v>0</v>
      </c>
      <c r="BO27" s="141"/>
      <c r="BQ27" s="1"/>
    </row>
    <row r="28" spans="1:104">
      <c r="A28" s="271" t="s">
        <v>222</v>
      </c>
      <c r="B28" s="767">
        <v>0.41</v>
      </c>
      <c r="C28" s="769">
        <v>0.41</v>
      </c>
      <c r="D28" s="767">
        <v>0.35</v>
      </c>
      <c r="E28" s="767">
        <v>0.37</v>
      </c>
      <c r="F28" s="162">
        <v>0.34</v>
      </c>
      <c r="G28" s="162">
        <v>0.34</v>
      </c>
      <c r="H28" s="767">
        <f>AVERAGE(B28:G28)</f>
        <v>0.37000000000000005</v>
      </c>
      <c r="J28" s="777" t="s">
        <v>222</v>
      </c>
      <c r="K28" s="769">
        <v>0.36630000000000001</v>
      </c>
      <c r="L28" s="769">
        <v>0.62380000000000002</v>
      </c>
      <c r="M28" s="767">
        <v>9.9000000000000008E-3</v>
      </c>
      <c r="BO28" s="141"/>
      <c r="BQ28" s="1"/>
    </row>
    <row r="29" spans="1:104">
      <c r="A29" s="271" t="s">
        <v>66</v>
      </c>
      <c r="B29" s="470"/>
      <c r="C29" s="471"/>
      <c r="D29" s="470"/>
      <c r="E29" s="470"/>
      <c r="F29"/>
      <c r="G29"/>
      <c r="H29" s="767"/>
      <c r="J29" s="777" t="s">
        <v>66</v>
      </c>
      <c r="K29" s="769">
        <v>0.36699999999999999</v>
      </c>
      <c r="L29" s="769">
        <v>0.55049999999999999</v>
      </c>
      <c r="M29" s="767">
        <v>8.2600000000000007E-2</v>
      </c>
      <c r="BO29" s="141"/>
      <c r="BQ29" s="1"/>
    </row>
    <row r="30" spans="1:104">
      <c r="A30" s="271" t="s">
        <v>230</v>
      </c>
      <c r="B30" s="767">
        <v>0.51</v>
      </c>
      <c r="C30" s="769">
        <v>0.53</v>
      </c>
      <c r="D30" s="767">
        <v>0.52</v>
      </c>
      <c r="E30" s="767">
        <v>0.49</v>
      </c>
      <c r="F30" s="162">
        <v>0.52</v>
      </c>
      <c r="G30" s="162">
        <v>0.6</v>
      </c>
      <c r="H30" s="767">
        <f>AVERAGE(B30:G30)</f>
        <v>0.52833333333333332</v>
      </c>
      <c r="J30" s="777" t="s">
        <v>230</v>
      </c>
      <c r="K30" s="778">
        <v>0.48620000000000002</v>
      </c>
      <c r="L30" s="778">
        <v>0.43120000000000003</v>
      </c>
      <c r="M30" s="767">
        <v>8.2600000000000007E-2</v>
      </c>
      <c r="BO30" s="141"/>
      <c r="BQ30" s="1"/>
    </row>
    <row r="31" spans="1:104">
      <c r="A31" s="271" t="s">
        <v>231</v>
      </c>
      <c r="B31" s="767">
        <v>0.42</v>
      </c>
      <c r="C31" s="769">
        <v>0.4</v>
      </c>
      <c r="D31" s="767">
        <v>0.36</v>
      </c>
      <c r="E31" s="767">
        <v>0.24</v>
      </c>
      <c r="F31" s="162">
        <v>0.39</v>
      </c>
      <c r="G31" s="162">
        <v>0.5</v>
      </c>
      <c r="H31" s="767">
        <f>AVERAGE(B31:G31)</f>
        <v>0.38500000000000001</v>
      </c>
      <c r="J31" s="777" t="s">
        <v>231</v>
      </c>
      <c r="K31" s="778">
        <v>0.37859999999999999</v>
      </c>
      <c r="L31" s="778">
        <v>0.60189999999999999</v>
      </c>
      <c r="M31" s="767">
        <v>1.9400000000000001E-2</v>
      </c>
      <c r="BQ31" s="1"/>
    </row>
    <row r="32" spans="1:104">
      <c r="A32" s="271" t="s">
        <v>121</v>
      </c>
      <c r="B32" s="767">
        <v>0.02</v>
      </c>
      <c r="C32" s="769">
        <v>0.02</v>
      </c>
      <c r="D32" s="767">
        <v>0.02</v>
      </c>
      <c r="E32" s="767">
        <v>0.01</v>
      </c>
      <c r="F32" s="162">
        <v>0.04</v>
      </c>
      <c r="G32" s="162">
        <v>7.0000000000000007E-2</v>
      </c>
      <c r="H32" s="767">
        <f>AVERAGE(B32:G32)</f>
        <v>0.03</v>
      </c>
      <c r="J32" s="777" t="s">
        <v>121</v>
      </c>
      <c r="K32" s="778">
        <v>1.7000000000000001E-2</v>
      </c>
      <c r="L32" s="778">
        <v>0.55110000000000003</v>
      </c>
      <c r="M32" s="767">
        <v>0.43180000000000002</v>
      </c>
    </row>
    <row r="33" spans="1:13">
      <c r="A33" s="271" t="s">
        <v>75</v>
      </c>
      <c r="B33" s="470"/>
      <c r="C33" s="471"/>
      <c r="D33" s="470"/>
      <c r="E33" s="470"/>
      <c r="F33"/>
      <c r="G33"/>
      <c r="H33" s="767"/>
      <c r="J33" s="777" t="s">
        <v>75</v>
      </c>
      <c r="K33" s="769">
        <v>0.8</v>
      </c>
      <c r="L33" s="778">
        <v>0</v>
      </c>
      <c r="M33" s="767">
        <v>0.2</v>
      </c>
    </row>
    <row r="34" spans="1:13">
      <c r="A34" s="271" t="s">
        <v>219</v>
      </c>
      <c r="B34" s="767">
        <v>0.19</v>
      </c>
      <c r="C34" s="767">
        <v>0.19</v>
      </c>
      <c r="D34" s="767">
        <v>0.19</v>
      </c>
      <c r="E34" s="767">
        <v>0.19</v>
      </c>
      <c r="F34"/>
      <c r="G34" s="162">
        <v>0.38</v>
      </c>
      <c r="H34" s="767">
        <f>AVERAGE(B34:G34)</f>
        <v>0.22800000000000004</v>
      </c>
      <c r="J34" s="777" t="s">
        <v>219</v>
      </c>
      <c r="K34" s="769">
        <v>0.22550000000000001</v>
      </c>
      <c r="L34" s="769">
        <v>0.75490000000000002</v>
      </c>
      <c r="M34" s="767">
        <v>1.9599999999999999E-2</v>
      </c>
    </row>
    <row r="35" spans="1:13">
      <c r="A35" s="271" t="s">
        <v>39</v>
      </c>
      <c r="B35" s="767">
        <v>0.17</v>
      </c>
      <c r="C35" s="769">
        <v>0.17</v>
      </c>
      <c r="D35" s="767">
        <v>0.13</v>
      </c>
      <c r="E35" s="767">
        <v>0.12</v>
      </c>
      <c r="F35" s="162">
        <v>0.12</v>
      </c>
      <c r="G35" s="162">
        <v>0.15</v>
      </c>
      <c r="H35" s="767">
        <f>AVERAGE(B35:G35)</f>
        <v>0.14333333333333334</v>
      </c>
      <c r="J35" s="777" t="s">
        <v>39</v>
      </c>
      <c r="K35" s="769">
        <v>0.125</v>
      </c>
      <c r="L35" s="769">
        <v>0.76790000000000003</v>
      </c>
      <c r="M35" s="767">
        <v>0.1071</v>
      </c>
    </row>
    <row r="36" spans="1:13">
      <c r="B36" s="470"/>
      <c r="C36" s="470"/>
      <c r="H36" s="767"/>
      <c r="J36" s="769"/>
    </row>
    <row r="37" spans="1:13">
      <c r="D37"/>
      <c r="E37"/>
      <c r="F37"/>
      <c r="G37"/>
      <c r="H37"/>
    </row>
    <row r="38" spans="1:13">
      <c r="D38"/>
      <c r="E38"/>
      <c r="F38"/>
      <c r="G38"/>
      <c r="H38"/>
    </row>
    <row r="39" spans="1:13">
      <c r="D39"/>
      <c r="E39"/>
      <c r="F39"/>
      <c r="G39"/>
      <c r="H39"/>
    </row>
    <row r="40" spans="1:13">
      <c r="A40" s="141"/>
      <c r="E40" s="141">
        <v>1</v>
      </c>
      <c r="F40" s="768">
        <v>0.74</v>
      </c>
      <c r="G40"/>
      <c r="H40"/>
    </row>
    <row r="41" spans="1:13">
      <c r="A41" s="141"/>
      <c r="E41" s="141">
        <v>2</v>
      </c>
      <c r="F41" s="768">
        <v>0.74</v>
      </c>
      <c r="G41"/>
      <c r="H41"/>
    </row>
    <row r="42" spans="1:13">
      <c r="A42" s="141"/>
      <c r="E42" s="141">
        <v>3</v>
      </c>
      <c r="F42" s="768">
        <v>0.74</v>
      </c>
      <c r="G42"/>
      <c r="H42"/>
    </row>
    <row r="43" spans="1:13">
      <c r="A43" s="141"/>
      <c r="E43" s="141">
        <v>4</v>
      </c>
      <c r="F43" s="768">
        <v>0.74</v>
      </c>
      <c r="G43"/>
      <c r="H43"/>
    </row>
    <row r="44" spans="1:13">
      <c r="A44" s="141" t="s">
        <v>815</v>
      </c>
      <c r="B44" s="141">
        <v>14863</v>
      </c>
      <c r="C44" s="707">
        <f>B44/B$49</f>
        <v>0.59750753768844223</v>
      </c>
      <c r="D44" s="768">
        <v>0.74</v>
      </c>
      <c r="E44" s="141">
        <v>5</v>
      </c>
      <c r="F44" s="768">
        <v>0.74</v>
      </c>
      <c r="G44"/>
      <c r="H44"/>
    </row>
    <row r="45" spans="1:13">
      <c r="A45" s="141" t="s">
        <v>816</v>
      </c>
      <c r="B45" s="141">
        <v>6146</v>
      </c>
      <c r="C45" s="707">
        <f>B45/B$49</f>
        <v>0.2470753768844221</v>
      </c>
      <c r="D45" s="768">
        <v>0.64</v>
      </c>
      <c r="E45" s="141">
        <v>6</v>
      </c>
      <c r="F45" s="768">
        <v>0.74</v>
      </c>
      <c r="G45"/>
      <c r="H45"/>
    </row>
    <row r="46" spans="1:13">
      <c r="A46" s="141" t="s">
        <v>817</v>
      </c>
      <c r="B46" s="141">
        <v>2458</v>
      </c>
      <c r="C46" s="707">
        <f>B46/B$49</f>
        <v>9.8814070351758793E-2</v>
      </c>
      <c r="D46" s="768">
        <v>0.59</v>
      </c>
      <c r="E46" s="141">
        <v>7</v>
      </c>
      <c r="F46" s="768">
        <v>0.64</v>
      </c>
      <c r="G46"/>
      <c r="H46"/>
    </row>
    <row r="47" spans="1:13">
      <c r="A47" s="141" t="s">
        <v>818</v>
      </c>
      <c r="B47" s="141">
        <v>749</v>
      </c>
      <c r="C47" s="707">
        <f>B47/B$49</f>
        <v>3.0110552763819097E-2</v>
      </c>
      <c r="D47" s="768">
        <v>0.78</v>
      </c>
      <c r="E47" s="141">
        <v>8</v>
      </c>
      <c r="F47" s="768">
        <v>0.64</v>
      </c>
      <c r="G47"/>
      <c r="H47"/>
    </row>
    <row r="48" spans="1:13">
      <c r="A48" s="141" t="s">
        <v>819</v>
      </c>
      <c r="B48" s="141">
        <v>659</v>
      </c>
      <c r="C48" s="707">
        <f>B48/B$49</f>
        <v>2.6492462311557788E-2</v>
      </c>
      <c r="D48" s="768">
        <v>0.52</v>
      </c>
      <c r="E48" s="141">
        <v>9</v>
      </c>
      <c r="F48" s="768">
        <v>0.59</v>
      </c>
      <c r="G48"/>
      <c r="H48"/>
    </row>
    <row r="49" spans="1:8">
      <c r="A49" s="141"/>
      <c r="B49" s="141">
        <f>SUM(B44:B48)</f>
        <v>24875</v>
      </c>
      <c r="E49" s="141">
        <v>10</v>
      </c>
      <c r="F49" s="768">
        <v>0.65</v>
      </c>
      <c r="G49"/>
      <c r="H49"/>
    </row>
    <row r="50" spans="1:8" ht="14.4">
      <c r="A50" s="472"/>
      <c r="B50" s="471"/>
      <c r="C50" s="471"/>
      <c r="D50" s="471"/>
      <c r="E50" s="471"/>
      <c r="F50" s="471"/>
      <c r="G50" s="471"/>
      <c r="H50" s="471"/>
    </row>
    <row r="51" spans="1:8" ht="14.4">
      <c r="A51" s="472"/>
      <c r="B51" s="475"/>
      <c r="C51" s="475"/>
      <c r="D51" s="475"/>
      <c r="E51" s="475"/>
      <c r="F51" s="475"/>
      <c r="G51" s="475"/>
      <c r="H51" s="475"/>
    </row>
    <row r="52" spans="1:8" ht="14.4">
      <c r="A52" s="472"/>
      <c r="B52" s="471"/>
      <c r="C52" s="471"/>
      <c r="D52" s="707"/>
      <c r="E52" s="707"/>
      <c r="F52" s="707"/>
      <c r="G52" s="707"/>
      <c r="H52" s="707"/>
    </row>
    <row r="53" spans="1:8" ht="14.4">
      <c r="A53" s="472"/>
      <c r="B53" s="471"/>
      <c r="C53" s="471"/>
      <c r="D53" s="471"/>
      <c r="E53" s="471"/>
      <c r="F53" s="471"/>
      <c r="G53" s="471"/>
      <c r="H53" s="471"/>
    </row>
    <row r="54" spans="1:8" ht="14.4">
      <c r="A54" s="472"/>
      <c r="B54" s="471"/>
      <c r="C54" s="471"/>
      <c r="D54" s="471"/>
      <c r="E54" s="471"/>
      <c r="F54" s="471"/>
      <c r="G54" s="471"/>
      <c r="H54" s="471"/>
    </row>
  </sheetData>
  <mergeCells count="1">
    <mergeCell ref="K14:M14"/>
  </mergeCells>
  <pageMargins left="0.7" right="0.7" top="0.75" bottom="0.75" header="0.3" footer="0.3"/>
  <ignoredErrors>
    <ignoredError sqref="B3:BK12" formulaRange="1"/>
  </ignoredError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61"/>
  <sheetViews>
    <sheetView zoomScale="80" zoomScaleNormal="80" workbookViewId="0">
      <pane xSplit="1" ySplit="4" topLeftCell="E11" activePane="bottomRight" state="frozen"/>
      <selection pane="topRight" activeCell="B1" sqref="B1"/>
      <selection pane="bottomLeft" activeCell="A5" sqref="A5"/>
      <selection pane="bottomRight" activeCell="H34" sqref="H34:H40"/>
    </sheetView>
  </sheetViews>
  <sheetFormatPr baseColWidth="10" defaultRowHeight="13.8"/>
  <cols>
    <col min="2" max="2" width="12" style="13" bestFit="1" customWidth="1"/>
    <col min="3" max="3" width="11.44140625" style="13" customWidth="1"/>
    <col min="4" max="4" width="6" style="13" bestFit="1" customWidth="1"/>
    <col min="5" max="5" width="11" style="13"/>
    <col min="6" max="6" width="15.88671875" style="13" bestFit="1" customWidth="1"/>
    <col min="7" max="7" width="11" style="13"/>
    <col min="8" max="10" width="16.5546875" style="13" customWidth="1"/>
    <col min="11" max="11" width="12.88671875" style="13" bestFit="1" customWidth="1"/>
    <col min="12" max="12" width="31" style="12" bestFit="1" customWidth="1"/>
    <col min="13" max="13" width="11" style="12"/>
    <col min="14" max="14" width="11" style="13"/>
    <col min="15" max="15" width="11" style="12"/>
  </cols>
  <sheetData>
    <row r="1" spans="1:14">
      <c r="A1" t="s">
        <v>169</v>
      </c>
    </row>
    <row r="2" spans="1:14">
      <c r="B2" s="13" t="s">
        <v>208</v>
      </c>
      <c r="F2" s="14">
        <v>7.6666666666666675E-2</v>
      </c>
    </row>
    <row r="3" spans="1:14">
      <c r="B3" s="13" t="s">
        <v>174</v>
      </c>
      <c r="C3" s="13" t="s">
        <v>170</v>
      </c>
      <c r="D3" s="13" t="s">
        <v>184</v>
      </c>
      <c r="E3" s="13" t="s">
        <v>211</v>
      </c>
      <c r="F3" s="13" t="s">
        <v>171</v>
      </c>
      <c r="G3" s="13" t="s">
        <v>172</v>
      </c>
      <c r="H3" s="13" t="s">
        <v>176</v>
      </c>
      <c r="I3" s="13" t="s">
        <v>181</v>
      </c>
      <c r="J3" s="13" t="s">
        <v>212</v>
      </c>
      <c r="K3" s="13" t="s">
        <v>180</v>
      </c>
      <c r="L3" s="12" t="s">
        <v>182</v>
      </c>
    </row>
    <row r="4" spans="1:14">
      <c r="B4" s="16" t="s">
        <v>175</v>
      </c>
      <c r="C4" s="13" t="s">
        <v>173</v>
      </c>
      <c r="D4" s="13" t="s">
        <v>173</v>
      </c>
      <c r="E4" s="16" t="str">
        <f>+D4</f>
        <v>Gasoil</v>
      </c>
      <c r="F4" s="16" t="s">
        <v>322</v>
      </c>
      <c r="G4" s="16" t="s">
        <v>210</v>
      </c>
      <c r="H4" s="13" t="s">
        <v>177</v>
      </c>
      <c r="I4" s="13" t="str">
        <f>+H4</f>
        <v>Precio del Producto</v>
      </c>
      <c r="J4" s="16" t="str">
        <f>+I4</f>
        <v>Precio del Producto</v>
      </c>
      <c r="K4" s="16" t="s">
        <v>12</v>
      </c>
    </row>
    <row r="5" spans="1:14">
      <c r="A5" t="s">
        <v>28</v>
      </c>
      <c r="B5" s="14">
        <v>0.14000000000000001</v>
      </c>
      <c r="C5" s="14">
        <v>0.14000000000000001</v>
      </c>
      <c r="D5" s="14">
        <v>0</v>
      </c>
      <c r="E5" s="14">
        <f>+D5+C5</f>
        <v>0.14000000000000001</v>
      </c>
      <c r="F5" s="14">
        <v>0.23</v>
      </c>
      <c r="G5" s="14">
        <v>0.04</v>
      </c>
      <c r="H5" s="14">
        <v>0.01</v>
      </c>
      <c r="I5" s="14">
        <v>0.3</v>
      </c>
      <c r="J5" s="14">
        <f>+H5+I5</f>
        <v>0.31</v>
      </c>
      <c r="K5" s="14">
        <v>0.14000000000000001</v>
      </c>
      <c r="L5" s="14" t="s">
        <v>183</v>
      </c>
      <c r="M5" s="14"/>
      <c r="N5" s="14">
        <f>0.14+0.14+0.23+0.04+0.01+0.3+0.14</f>
        <v>1</v>
      </c>
    </row>
    <row r="6" spans="1:14">
      <c r="A6" t="s">
        <v>13</v>
      </c>
      <c r="B6" s="14">
        <v>0.02</v>
      </c>
      <c r="C6" s="14">
        <v>9.1300000000000006E-2</v>
      </c>
      <c r="D6" s="14">
        <v>0.28299999999999997</v>
      </c>
      <c r="E6" s="14">
        <f>+D6+C6+0.2</f>
        <v>0.57430000000000003</v>
      </c>
      <c r="F6" s="14">
        <v>0.16</v>
      </c>
      <c r="G6" s="14">
        <v>6.5000000000000002E-2</v>
      </c>
      <c r="H6" s="14">
        <v>9.0700000000000003E-2</v>
      </c>
      <c r="I6" s="14">
        <v>0.09</v>
      </c>
      <c r="J6" s="14">
        <v>0</v>
      </c>
      <c r="K6" s="14">
        <v>0.2</v>
      </c>
      <c r="L6" s="14" t="s">
        <v>185</v>
      </c>
      <c r="M6" s="14"/>
      <c r="N6" s="14"/>
    </row>
    <row r="7" spans="1:14">
      <c r="A7" t="s">
        <v>23</v>
      </c>
      <c r="B7" s="14">
        <v>0</v>
      </c>
      <c r="C7" s="14">
        <v>0.12248062015503876</v>
      </c>
      <c r="D7" s="14">
        <v>0</v>
      </c>
      <c r="E7" s="14">
        <f t="shared" ref="E7:E40" si="0">+D7+C7</f>
        <v>0.12248062015503876</v>
      </c>
      <c r="F7" s="14">
        <v>0.22635658914728682</v>
      </c>
      <c r="G7" s="14">
        <v>0.16124031007751938</v>
      </c>
      <c r="H7" s="14">
        <v>9.6124031007751937E-2</v>
      </c>
      <c r="I7" s="14">
        <v>0.11782945736434108</v>
      </c>
      <c r="J7" s="14">
        <f t="shared" ref="J7:J40" si="1">+H7+I7</f>
        <v>0.21395348837209302</v>
      </c>
      <c r="K7" s="14">
        <v>0.27596899224806204</v>
      </c>
      <c r="L7" s="14" t="s">
        <v>186</v>
      </c>
      <c r="M7" s="14"/>
      <c r="N7" s="14"/>
    </row>
    <row r="8" spans="1:14">
      <c r="A8" t="s">
        <v>24</v>
      </c>
      <c r="B8" s="14">
        <v>0</v>
      </c>
      <c r="C8" s="14">
        <v>0.11805555555555555</v>
      </c>
      <c r="D8" s="14">
        <v>0</v>
      </c>
      <c r="E8" s="14">
        <f t="shared" si="0"/>
        <v>0.11805555555555555</v>
      </c>
      <c r="F8" s="14">
        <v>0.125</v>
      </c>
      <c r="G8" s="14">
        <v>0.1857638888888889</v>
      </c>
      <c r="H8" s="14">
        <v>0.1545138888888889</v>
      </c>
      <c r="I8" s="14">
        <v>0.1076388888888889</v>
      </c>
      <c r="J8" s="14">
        <f t="shared" si="1"/>
        <v>0.26215277777777779</v>
      </c>
      <c r="K8" s="14">
        <v>0.30902777777777779</v>
      </c>
      <c r="L8" s="14" t="s">
        <v>187</v>
      </c>
      <c r="M8" s="14"/>
      <c r="N8" s="14"/>
    </row>
    <row r="9" spans="1:14">
      <c r="A9" t="s">
        <v>0</v>
      </c>
      <c r="B9" s="14">
        <v>0</v>
      </c>
      <c r="C9" s="14">
        <v>6.6009852216748766E-2</v>
      </c>
      <c r="D9" s="14">
        <v>0</v>
      </c>
      <c r="E9" s="14">
        <f t="shared" si="0"/>
        <v>6.6009852216748766E-2</v>
      </c>
      <c r="F9" s="14">
        <v>0.16945812807881774</v>
      </c>
      <c r="G9" s="14">
        <v>0.2541871921182266</v>
      </c>
      <c r="H9" s="14">
        <v>0.16847290640394089</v>
      </c>
      <c r="I9" s="14">
        <v>0.14482758620689656</v>
      </c>
      <c r="J9" s="14">
        <f t="shared" si="1"/>
        <v>0.31330049261083748</v>
      </c>
      <c r="K9" s="14">
        <v>0.19704433497536947</v>
      </c>
      <c r="L9" s="14" t="s">
        <v>188</v>
      </c>
      <c r="M9" s="14"/>
      <c r="N9" s="14"/>
    </row>
    <row r="10" spans="1:14">
      <c r="A10" t="s">
        <v>25</v>
      </c>
      <c r="B10" s="14">
        <v>0</v>
      </c>
      <c r="C10" s="14">
        <v>0.10740439381611067</v>
      </c>
      <c r="D10" s="14">
        <v>0</v>
      </c>
      <c r="E10" s="14">
        <f t="shared" si="0"/>
        <v>0.10740439381611067</v>
      </c>
      <c r="F10" s="14">
        <v>0.16680227827502034</v>
      </c>
      <c r="G10" s="14">
        <v>9.9267697314890158E-2</v>
      </c>
      <c r="H10" s="14">
        <v>0.17819365337672904</v>
      </c>
      <c r="I10" s="14">
        <v>0.20748576078112285</v>
      </c>
      <c r="J10" s="14">
        <f t="shared" si="1"/>
        <v>0.3856794141578519</v>
      </c>
      <c r="K10" s="14">
        <v>0.24084621643612694</v>
      </c>
      <c r="L10" s="14" t="s">
        <v>189</v>
      </c>
      <c r="M10" s="14"/>
      <c r="N10" s="14"/>
    </row>
    <row r="11" spans="1:14">
      <c r="A11" t="s">
        <v>12</v>
      </c>
      <c r="B11" s="14"/>
      <c r="C11" s="14">
        <v>9.0624999999999997E-2</v>
      </c>
      <c r="D11" s="14">
        <v>0</v>
      </c>
      <c r="E11" s="14">
        <f t="shared" si="0"/>
        <v>9.0624999999999997E-2</v>
      </c>
      <c r="F11" s="14">
        <v>0.16458333333333333</v>
      </c>
      <c r="G11" s="14">
        <v>0.12708333333333333</v>
      </c>
      <c r="H11" s="14">
        <v>9.2708333333333337E-2</v>
      </c>
      <c r="I11" s="14">
        <v>0.10833333333333334</v>
      </c>
      <c r="J11" s="14">
        <f t="shared" si="1"/>
        <v>0.20104166666666667</v>
      </c>
      <c r="K11" s="14">
        <v>0.41666666666666669</v>
      </c>
      <c r="L11" s="14" t="s">
        <v>190</v>
      </c>
      <c r="M11" s="14"/>
      <c r="N11" s="14"/>
    </row>
    <row r="12" spans="1:14">
      <c r="A12" t="s">
        <v>22</v>
      </c>
      <c r="B12" s="14"/>
      <c r="C12" s="14">
        <v>0.10014947683109118</v>
      </c>
      <c r="D12" s="14">
        <v>0</v>
      </c>
      <c r="E12" s="14">
        <f t="shared" si="0"/>
        <v>0.10014947683109118</v>
      </c>
      <c r="F12" s="14">
        <v>0.16292974588938713</v>
      </c>
      <c r="G12" s="14">
        <v>0.27204783258594917</v>
      </c>
      <c r="H12" s="14">
        <v>0.17488789237668162</v>
      </c>
      <c r="I12" s="14">
        <v>0.14050822122571002</v>
      </c>
      <c r="J12" s="14">
        <f t="shared" si="1"/>
        <v>0.31539611360239161</v>
      </c>
      <c r="K12" s="14">
        <v>0.14947683109118087</v>
      </c>
      <c r="L12" s="14" t="s">
        <v>188</v>
      </c>
      <c r="M12" s="14"/>
      <c r="N12" s="14"/>
    </row>
    <row r="13" spans="1:14">
      <c r="A13" t="s">
        <v>21</v>
      </c>
      <c r="B13" s="14"/>
      <c r="C13" s="14">
        <v>0.14054927302100162</v>
      </c>
      <c r="D13" s="14">
        <v>0</v>
      </c>
      <c r="E13" s="14">
        <f t="shared" si="0"/>
        <v>0.14054927302100162</v>
      </c>
      <c r="F13" s="14">
        <v>0.2148626817447496</v>
      </c>
      <c r="G13" s="14">
        <v>0.16478190630048464</v>
      </c>
      <c r="H13" s="14">
        <v>6.7851373182552507E-2</v>
      </c>
      <c r="I13" s="14">
        <v>0.12116316639741519</v>
      </c>
      <c r="J13" s="14">
        <f t="shared" si="1"/>
        <v>0.18901453957996769</v>
      </c>
      <c r="K13" s="14">
        <v>0.29079159935379645</v>
      </c>
      <c r="L13" s="14" t="s">
        <v>186</v>
      </c>
      <c r="M13" s="14"/>
      <c r="N13" s="14"/>
    </row>
    <row r="14" spans="1:14" ht="7.5" customHeight="1">
      <c r="B14" s="14"/>
      <c r="C14" s="14"/>
      <c r="D14" s="14"/>
      <c r="E14" s="14">
        <f t="shared" si="0"/>
        <v>0</v>
      </c>
      <c r="F14" s="14"/>
      <c r="G14" s="14"/>
      <c r="H14" s="14"/>
      <c r="I14" s="14"/>
      <c r="J14" s="14">
        <f t="shared" si="1"/>
        <v>0</v>
      </c>
      <c r="K14" s="14"/>
      <c r="L14" s="14"/>
      <c r="M14" s="14"/>
      <c r="N14" s="14"/>
    </row>
    <row r="15" spans="1:14">
      <c r="A15" t="s">
        <v>66</v>
      </c>
      <c r="B15" s="14">
        <v>0.1686</v>
      </c>
      <c r="C15" s="14">
        <v>5.74E-2</v>
      </c>
      <c r="D15" s="14">
        <v>0.1168</v>
      </c>
      <c r="E15" s="14">
        <f t="shared" si="0"/>
        <v>0.17419999999999999</v>
      </c>
      <c r="F15" s="14">
        <v>0.38530000000000003</v>
      </c>
      <c r="G15" s="14">
        <v>0.10539999999999999</v>
      </c>
      <c r="H15" s="14">
        <v>0.1125</v>
      </c>
      <c r="I15" s="14">
        <v>0</v>
      </c>
      <c r="J15" s="14">
        <f t="shared" si="1"/>
        <v>0.1125</v>
      </c>
      <c r="K15" s="14">
        <v>5.4000000000000006E-2</v>
      </c>
      <c r="L15" s="15" t="s">
        <v>194</v>
      </c>
      <c r="M15" s="14"/>
      <c r="N15" s="14"/>
    </row>
    <row r="16" spans="1:14">
      <c r="A16" t="s">
        <v>68</v>
      </c>
      <c r="B16" s="14">
        <v>0.51</v>
      </c>
      <c r="C16" s="14">
        <v>0.12</v>
      </c>
      <c r="D16" s="14"/>
      <c r="E16" s="14">
        <f t="shared" si="0"/>
        <v>0.12</v>
      </c>
      <c r="F16" s="14">
        <v>0.15</v>
      </c>
      <c r="G16" s="14">
        <v>0.05</v>
      </c>
      <c r="H16" s="14">
        <v>0.17</v>
      </c>
      <c r="I16" s="14"/>
      <c r="J16" s="14">
        <f t="shared" si="1"/>
        <v>0.17</v>
      </c>
      <c r="K16" s="14">
        <v>0</v>
      </c>
      <c r="L16" s="14" t="s">
        <v>191</v>
      </c>
      <c r="M16" s="14"/>
      <c r="N16" s="14"/>
    </row>
    <row r="17" spans="1:14">
      <c r="A17" t="s">
        <v>112</v>
      </c>
      <c r="B17" s="14">
        <f>0.37-0.15</f>
        <v>0.22</v>
      </c>
      <c r="C17" s="14">
        <v>0.09</v>
      </c>
      <c r="D17" s="14">
        <v>0.05</v>
      </c>
      <c r="E17" s="14">
        <f t="shared" si="0"/>
        <v>0.14000000000000001</v>
      </c>
      <c r="F17" s="14">
        <v>0.3</v>
      </c>
      <c r="G17" s="14">
        <v>0.15</v>
      </c>
      <c r="H17" s="14">
        <v>0.19</v>
      </c>
      <c r="I17" s="14"/>
      <c r="J17" s="14">
        <f t="shared" si="1"/>
        <v>0.19</v>
      </c>
      <c r="K17" s="14"/>
      <c r="L17" s="14" t="s">
        <v>191</v>
      </c>
      <c r="M17" s="14"/>
      <c r="N17" s="14"/>
    </row>
    <row r="18" spans="1:14">
      <c r="A18" t="s">
        <v>69</v>
      </c>
      <c r="B18" s="14">
        <v>0.2122</v>
      </c>
      <c r="C18" s="14">
        <v>2.0799999999999999E-2</v>
      </c>
      <c r="D18" s="14">
        <v>2.6100000000000002E-2</v>
      </c>
      <c r="E18" s="14">
        <f t="shared" si="0"/>
        <v>4.6899999999999997E-2</v>
      </c>
      <c r="F18" s="14">
        <f>0.0133+0.0233+0.0567+0.0083+0.0032+0.0037+0.1687+0.02</f>
        <v>0.29720000000000002</v>
      </c>
      <c r="G18" s="14">
        <v>0.18010000000000001</v>
      </c>
      <c r="H18" s="14">
        <v>0.15260000000000001</v>
      </c>
      <c r="I18" s="14">
        <f>0.0542+0.00146</f>
        <v>5.5660000000000001E-2</v>
      </c>
      <c r="J18" s="14">
        <f t="shared" si="1"/>
        <v>0.20826</v>
      </c>
      <c r="K18" s="14">
        <v>5.0999999999999997E-2</v>
      </c>
      <c r="L18" s="14" t="s">
        <v>191</v>
      </c>
      <c r="M18" s="14"/>
      <c r="N18" s="14"/>
    </row>
    <row r="19" spans="1:14">
      <c r="A19" t="s">
        <v>113</v>
      </c>
      <c r="B19" s="14">
        <v>0.36</v>
      </c>
      <c r="C19" s="14">
        <v>0.08</v>
      </c>
      <c r="D19" s="14">
        <v>0.01</v>
      </c>
      <c r="E19" s="14">
        <f t="shared" si="0"/>
        <v>0.09</v>
      </c>
      <c r="F19" s="14">
        <v>0.14000000000000001</v>
      </c>
      <c r="G19" s="14">
        <v>0.15</v>
      </c>
      <c r="H19" s="14">
        <v>0.18</v>
      </c>
      <c r="I19" s="14">
        <v>0.08</v>
      </c>
      <c r="J19" s="14">
        <f t="shared" si="1"/>
        <v>0.26</v>
      </c>
      <c r="K19" s="14"/>
      <c r="L19" s="14" t="s">
        <v>191</v>
      </c>
      <c r="M19" s="14"/>
      <c r="N19" s="14"/>
    </row>
    <row r="20" spans="1:14">
      <c r="A20" t="s">
        <v>114</v>
      </c>
      <c r="B20" s="14">
        <v>0.45</v>
      </c>
      <c r="C20" s="14">
        <v>0.05</v>
      </c>
      <c r="D20" s="14">
        <v>0.01</v>
      </c>
      <c r="E20" s="14">
        <f t="shared" si="0"/>
        <v>6.0000000000000005E-2</v>
      </c>
      <c r="F20" s="14">
        <v>0.16</v>
      </c>
      <c r="G20" s="14">
        <v>0.15</v>
      </c>
      <c r="H20" s="14">
        <v>0.18</v>
      </c>
      <c r="I20" s="14"/>
      <c r="J20" s="14">
        <f t="shared" si="1"/>
        <v>0.18</v>
      </c>
      <c r="K20" s="14"/>
      <c r="L20" s="14" t="s">
        <v>191</v>
      </c>
      <c r="M20" s="14"/>
      <c r="N20" s="14"/>
    </row>
    <row r="21" spans="1:14">
      <c r="B21" s="14"/>
      <c r="C21" s="14"/>
      <c r="D21" s="14"/>
      <c r="E21" s="14">
        <f t="shared" si="0"/>
        <v>0</v>
      </c>
      <c r="F21" s="14"/>
      <c r="G21" s="14"/>
      <c r="H21" s="14"/>
      <c r="I21" s="14"/>
      <c r="J21" s="14">
        <f t="shared" si="1"/>
        <v>0</v>
      </c>
      <c r="K21" s="14"/>
      <c r="L21" s="14"/>
      <c r="M21" s="14"/>
      <c r="N21" s="14"/>
    </row>
    <row r="22" spans="1:14">
      <c r="A22" t="s">
        <v>159</v>
      </c>
      <c r="B22" s="14">
        <v>0.44787260512565313</v>
      </c>
      <c r="C22" s="14">
        <v>0.20627021647175914</v>
      </c>
      <c r="D22" s="14">
        <v>4.9763622791739237E-2</v>
      </c>
      <c r="E22" s="14">
        <f t="shared" si="0"/>
        <v>0.25603383926349838</v>
      </c>
      <c r="F22" s="14">
        <v>0.19034585717840258</v>
      </c>
      <c r="G22" s="14">
        <v>3.1102264244837023E-2</v>
      </c>
      <c r="H22" s="14">
        <v>7.4645434187608856E-2</v>
      </c>
      <c r="I22" s="14">
        <v>0</v>
      </c>
      <c r="J22" s="14">
        <f t="shared" si="1"/>
        <v>7.4645434187608856E-2</v>
      </c>
      <c r="K22" s="14">
        <v>0</v>
      </c>
      <c r="L22" s="14" t="s">
        <v>192</v>
      </c>
      <c r="M22" s="14"/>
      <c r="N22" s="14"/>
    </row>
    <row r="23" spans="1:14">
      <c r="A23" t="s">
        <v>70</v>
      </c>
      <c r="B23" s="14">
        <v>0.45161290322580644</v>
      </c>
      <c r="C23" s="14">
        <v>8.0645161290322578E-2</v>
      </c>
      <c r="D23" s="14">
        <v>4.0322580645161289E-2</v>
      </c>
      <c r="E23" s="14">
        <f t="shared" si="0"/>
        <v>0.12096774193548387</v>
      </c>
      <c r="F23" s="14">
        <v>0.20161290322580644</v>
      </c>
      <c r="G23" s="14">
        <v>6.4516129032258063E-2</v>
      </c>
      <c r="H23" s="14">
        <v>0.16129032258064516</v>
      </c>
      <c r="I23" s="14">
        <v>0</v>
      </c>
      <c r="J23" s="14">
        <f t="shared" si="1"/>
        <v>0.16129032258064516</v>
      </c>
      <c r="K23" s="14">
        <v>0</v>
      </c>
      <c r="L23" s="14" t="s">
        <v>192</v>
      </c>
      <c r="M23" s="14"/>
      <c r="N23" s="14"/>
    </row>
    <row r="24" spans="1:14">
      <c r="A24" t="s">
        <v>71</v>
      </c>
      <c r="B24" s="14">
        <v>0.45161290322580644</v>
      </c>
      <c r="C24" s="14">
        <v>8.0645161290322578E-2</v>
      </c>
      <c r="D24" s="14">
        <v>4.0322580645161289E-2</v>
      </c>
      <c r="E24" s="14">
        <f t="shared" si="0"/>
        <v>0.12096774193548387</v>
      </c>
      <c r="F24" s="14">
        <v>0.20161290322580644</v>
      </c>
      <c r="G24" s="14">
        <v>6.4516129032258063E-2</v>
      </c>
      <c r="H24" s="14">
        <v>0.16129032258064516</v>
      </c>
      <c r="I24" s="14">
        <v>0</v>
      </c>
      <c r="J24" s="14">
        <f t="shared" si="1"/>
        <v>0.16129032258064516</v>
      </c>
      <c r="K24" s="14">
        <v>0</v>
      </c>
      <c r="L24" s="14" t="s">
        <v>192</v>
      </c>
      <c r="M24" s="14"/>
      <c r="N24" s="14"/>
    </row>
    <row r="25" spans="1:14">
      <c r="A25" t="s">
        <v>74</v>
      </c>
      <c r="B25" s="14">
        <v>0.36764705882352944</v>
      </c>
      <c r="C25" s="14">
        <v>0.13235294117647059</v>
      </c>
      <c r="D25" s="14">
        <v>5.1470588235294115E-2</v>
      </c>
      <c r="E25" s="14">
        <f t="shared" si="0"/>
        <v>0.18382352941176472</v>
      </c>
      <c r="F25" s="14">
        <v>0.22058823529411764</v>
      </c>
      <c r="G25" s="14">
        <v>8.0882352941176475E-2</v>
      </c>
      <c r="H25" s="14">
        <v>0.14705882352941177</v>
      </c>
      <c r="I25" s="14">
        <v>0</v>
      </c>
      <c r="J25" s="14">
        <f t="shared" si="1"/>
        <v>0.14705882352941177</v>
      </c>
      <c r="K25" s="14">
        <v>0</v>
      </c>
      <c r="L25" s="14" t="s">
        <v>192</v>
      </c>
      <c r="M25" s="14"/>
      <c r="N25" s="14"/>
    </row>
    <row r="26" spans="1:14">
      <c r="A26" t="s">
        <v>73</v>
      </c>
      <c r="B26" s="14">
        <v>0.32926829268292684</v>
      </c>
      <c r="C26" s="14">
        <v>0.12195121951219512</v>
      </c>
      <c r="D26" s="14">
        <v>1.2195121951219513E-2</v>
      </c>
      <c r="E26" s="14">
        <f t="shared" si="0"/>
        <v>0.13414634146341464</v>
      </c>
      <c r="F26" s="14">
        <v>0.29268292682926828</v>
      </c>
      <c r="G26" s="14">
        <v>0.12195121951219512</v>
      </c>
      <c r="H26" s="14">
        <v>0.12195121951219512</v>
      </c>
      <c r="I26" s="14">
        <v>0</v>
      </c>
      <c r="J26" s="14">
        <f t="shared" si="1"/>
        <v>0.12195121951219512</v>
      </c>
      <c r="K26" s="14">
        <v>0</v>
      </c>
      <c r="L26" s="14" t="s">
        <v>192</v>
      </c>
      <c r="M26" s="14"/>
      <c r="N26" s="14"/>
    </row>
    <row r="27" spans="1:14">
      <c r="A27" t="s">
        <v>72</v>
      </c>
      <c r="B27" s="14">
        <v>0.32926829268292684</v>
      </c>
      <c r="C27" s="14">
        <v>0.12195121951219512</v>
      </c>
      <c r="D27" s="14">
        <v>1.2195121951219513E-2</v>
      </c>
      <c r="E27" s="14">
        <f t="shared" si="0"/>
        <v>0.13414634146341464</v>
      </c>
      <c r="F27" s="14">
        <v>0.29268292682926828</v>
      </c>
      <c r="G27" s="14">
        <v>0.12195121951219512</v>
      </c>
      <c r="H27" s="14">
        <v>0.12195121951219512</v>
      </c>
      <c r="I27" s="14">
        <v>0</v>
      </c>
      <c r="J27" s="14">
        <f t="shared" si="1"/>
        <v>0.12195121951219512</v>
      </c>
      <c r="K27" s="14">
        <v>0</v>
      </c>
      <c r="L27" s="14" t="s">
        <v>192</v>
      </c>
      <c r="M27" s="14"/>
      <c r="N27" s="14"/>
    </row>
    <row r="28" spans="1:14">
      <c r="A28" t="s">
        <v>115</v>
      </c>
      <c r="B28" s="14">
        <v>0.32926829268292684</v>
      </c>
      <c r="C28" s="14">
        <v>0.12195121951219512</v>
      </c>
      <c r="D28" s="14">
        <v>1.2195121951219513E-2</v>
      </c>
      <c r="E28" s="14">
        <f t="shared" si="0"/>
        <v>0.13414634146341464</v>
      </c>
      <c r="F28" s="14">
        <v>0.29268292682926828</v>
      </c>
      <c r="G28" s="14">
        <v>0.12195121951219512</v>
      </c>
      <c r="H28" s="14">
        <v>0.12195121951219512</v>
      </c>
      <c r="I28" s="14">
        <v>0</v>
      </c>
      <c r="J28" s="14">
        <f t="shared" si="1"/>
        <v>0.12195121951219512</v>
      </c>
      <c r="K28" s="14">
        <v>0</v>
      </c>
      <c r="L28" s="14" t="s">
        <v>192</v>
      </c>
      <c r="M28" s="14"/>
      <c r="N28" s="14"/>
    </row>
    <row r="29" spans="1:14">
      <c r="B29" s="14"/>
      <c r="C29" s="14"/>
      <c r="D29" s="14"/>
      <c r="E29" s="14">
        <f t="shared" si="0"/>
        <v>0</v>
      </c>
      <c r="F29" s="14"/>
      <c r="G29" s="14"/>
      <c r="H29" s="14"/>
      <c r="I29" s="14"/>
      <c r="J29" s="14">
        <f t="shared" si="1"/>
        <v>0</v>
      </c>
      <c r="K29" s="14"/>
      <c r="L29" s="14"/>
      <c r="M29" s="14"/>
      <c r="N29" s="14"/>
    </row>
    <row r="30" spans="1:14">
      <c r="A30" t="s">
        <v>116</v>
      </c>
      <c r="B30" s="14">
        <v>0.37156353853556329</v>
      </c>
      <c r="C30" s="14">
        <v>0.33829627414133201</v>
      </c>
      <c r="D30" s="14">
        <v>0</v>
      </c>
      <c r="E30" s="14">
        <f t="shared" si="0"/>
        <v>0.33829627414133201</v>
      </c>
      <c r="F30" s="14">
        <v>0.188641194774573</v>
      </c>
      <c r="G30" s="14">
        <v>5.61914537490453E-2</v>
      </c>
      <c r="H30" s="14">
        <f>0.0453075387994863/2</f>
        <v>2.2653769399743149E-2</v>
      </c>
      <c r="I30" s="14">
        <v>0</v>
      </c>
      <c r="J30" s="14">
        <f>0.0453075387994863/2</f>
        <v>2.2653769399743149E-2</v>
      </c>
      <c r="K30" s="14">
        <v>0</v>
      </c>
      <c r="L30" s="14" t="s">
        <v>321</v>
      </c>
      <c r="M30" s="14"/>
      <c r="N30" s="14"/>
    </row>
    <row r="31" spans="1:14">
      <c r="A31" t="s">
        <v>75</v>
      </c>
      <c r="B31" s="14">
        <v>0.65</v>
      </c>
      <c r="C31" s="14">
        <v>0.03</v>
      </c>
      <c r="D31" s="14">
        <v>0.1</v>
      </c>
      <c r="E31" s="14">
        <f>+D31+C31</f>
        <v>0.13</v>
      </c>
      <c r="F31" s="14">
        <v>0.17</v>
      </c>
      <c r="G31" s="14">
        <v>0.02</v>
      </c>
      <c r="H31" s="14">
        <v>0.03</v>
      </c>
      <c r="I31" s="14"/>
      <c r="J31" s="14">
        <f>+H31+I31</f>
        <v>0.03</v>
      </c>
      <c r="K31" s="14">
        <v>0</v>
      </c>
      <c r="L31" s="14" t="s">
        <v>305</v>
      </c>
      <c r="M31" s="14"/>
      <c r="N31" s="14"/>
    </row>
    <row r="32" spans="1:14">
      <c r="A32" t="s">
        <v>39</v>
      </c>
      <c r="B32" s="14">
        <v>0.67839195979899503</v>
      </c>
      <c r="C32" s="14">
        <v>6.2814070351758788E-2</v>
      </c>
      <c r="D32" s="14">
        <v>0</v>
      </c>
      <c r="E32" s="14">
        <f t="shared" si="0"/>
        <v>6.2814070351758788E-2</v>
      </c>
      <c r="F32" s="14">
        <v>0.10050251256281408</v>
      </c>
      <c r="G32" s="14">
        <v>8.5427135678391955E-2</v>
      </c>
      <c r="H32" s="14">
        <v>7.2864321608040197E-2</v>
      </c>
      <c r="I32" s="14">
        <v>0</v>
      </c>
      <c r="J32" s="14">
        <f t="shared" si="1"/>
        <v>7.2864321608040197E-2</v>
      </c>
      <c r="K32" s="14">
        <v>0</v>
      </c>
      <c r="L32" s="14" t="s">
        <v>192</v>
      </c>
      <c r="M32" s="14"/>
      <c r="N32" s="14"/>
    </row>
    <row r="33" spans="1:14">
      <c r="B33" s="14"/>
      <c r="C33" s="14"/>
      <c r="D33" s="14"/>
      <c r="E33" s="14">
        <f t="shared" si="0"/>
        <v>0</v>
      </c>
      <c r="F33" s="14"/>
      <c r="G33" s="14"/>
      <c r="H33" s="14"/>
      <c r="I33" s="14"/>
      <c r="J33" s="14">
        <f t="shared" si="1"/>
        <v>0</v>
      </c>
      <c r="K33" s="14"/>
      <c r="L33" s="14"/>
      <c r="M33" s="14"/>
      <c r="N33" s="14"/>
    </row>
    <row r="34" spans="1:14">
      <c r="A34" t="s">
        <v>117</v>
      </c>
      <c r="B34" s="14">
        <v>0.5</v>
      </c>
      <c r="C34" s="14"/>
      <c r="D34" s="14"/>
      <c r="E34" s="14">
        <v>0.1</v>
      </c>
      <c r="F34" s="14">
        <v>0.2</v>
      </c>
      <c r="G34" s="14">
        <v>0.1</v>
      </c>
      <c r="H34" s="14">
        <v>0.1</v>
      </c>
      <c r="I34" s="14"/>
      <c r="J34" s="14">
        <f t="shared" si="1"/>
        <v>0.1</v>
      </c>
      <c r="K34" s="14"/>
      <c r="L34" s="14" t="s">
        <v>195</v>
      </c>
      <c r="M34" s="14"/>
      <c r="N34" s="14"/>
    </row>
    <row r="35" spans="1:14">
      <c r="A35" t="s">
        <v>89</v>
      </c>
      <c r="B35" s="14">
        <v>0.2</v>
      </c>
      <c r="C35" s="14">
        <v>0.13</v>
      </c>
      <c r="D35" s="14"/>
      <c r="E35" s="14"/>
      <c r="F35" s="14">
        <v>0.67</v>
      </c>
      <c r="G35" s="14"/>
      <c r="H35" s="14"/>
      <c r="I35" s="14"/>
      <c r="J35" s="14"/>
      <c r="K35" s="14"/>
      <c r="L35" s="14" t="s">
        <v>195</v>
      </c>
      <c r="M35" s="14"/>
      <c r="N35" s="14"/>
    </row>
    <row r="36" spans="1:14">
      <c r="A36" t="s">
        <v>77</v>
      </c>
      <c r="B36" s="14">
        <v>0.37127158555729983</v>
      </c>
      <c r="C36" s="14">
        <v>7.8492935635792779E-2</v>
      </c>
      <c r="D36" s="14">
        <v>0</v>
      </c>
      <c r="E36" s="14">
        <f t="shared" si="0"/>
        <v>7.8492935635792779E-2</v>
      </c>
      <c r="F36" s="14">
        <v>0.31475667189952899</v>
      </c>
      <c r="G36" s="14">
        <v>7.8492935635792779E-2</v>
      </c>
      <c r="H36" s="14">
        <v>0.15698587127158556</v>
      </c>
      <c r="I36" s="14"/>
      <c r="J36" s="14">
        <f t="shared" si="1"/>
        <v>0.15698587127158556</v>
      </c>
      <c r="K36" s="14">
        <v>0</v>
      </c>
      <c r="L36" s="14" t="s">
        <v>196</v>
      </c>
      <c r="M36" s="14"/>
      <c r="N36" s="14"/>
    </row>
    <row r="37" spans="1:14">
      <c r="A37" t="s">
        <v>119</v>
      </c>
      <c r="B37" s="14">
        <v>0.11090225563909774</v>
      </c>
      <c r="C37" s="14">
        <v>0.18170426065162906</v>
      </c>
      <c r="D37" s="14">
        <v>0</v>
      </c>
      <c r="E37" s="14">
        <f t="shared" si="0"/>
        <v>0.18170426065162906</v>
      </c>
      <c r="F37" s="14">
        <f>0.450501253132832+0.2</f>
        <v>0.65050125313283202</v>
      </c>
      <c r="G37" s="14">
        <v>6.2656641604010022E-3</v>
      </c>
      <c r="H37" s="14">
        <f>0.25062656641604-0.2</f>
        <v>5.0626566416039964E-2</v>
      </c>
      <c r="I37" s="14"/>
      <c r="J37" s="14">
        <f t="shared" si="1"/>
        <v>5.0626566416039964E-2</v>
      </c>
      <c r="K37" s="14">
        <v>0</v>
      </c>
      <c r="L37" s="14" t="s">
        <v>197</v>
      </c>
      <c r="M37" s="14"/>
      <c r="N37" s="14"/>
    </row>
    <row r="38" spans="1:14">
      <c r="A38" t="s">
        <v>120</v>
      </c>
      <c r="B38" s="14">
        <v>0.64</v>
      </c>
      <c r="C38" s="14">
        <v>0.06</v>
      </c>
      <c r="D38" s="14">
        <v>0</v>
      </c>
      <c r="E38" s="14">
        <f t="shared" si="0"/>
        <v>0.06</v>
      </c>
      <c r="F38" s="14">
        <v>0.12</v>
      </c>
      <c r="G38" s="14">
        <v>0.03</v>
      </c>
      <c r="H38" s="14">
        <v>0.15</v>
      </c>
      <c r="I38" s="14"/>
      <c r="J38" s="14">
        <f t="shared" si="1"/>
        <v>0.15</v>
      </c>
      <c r="K38" s="14">
        <v>0</v>
      </c>
      <c r="L38" s="14" t="s">
        <v>303</v>
      </c>
      <c r="M38" s="14"/>
      <c r="N38" s="14"/>
    </row>
    <row r="39" spans="1:14">
      <c r="A39" t="s">
        <v>121</v>
      </c>
      <c r="B39" s="14">
        <f>0.09+0.05</f>
        <v>0.14000000000000001</v>
      </c>
      <c r="C39" s="14">
        <v>0.12</v>
      </c>
      <c r="D39" s="14"/>
      <c r="E39" s="14">
        <f t="shared" si="0"/>
        <v>0.12</v>
      </c>
      <c r="F39" s="14">
        <f>0.6+0.06</f>
        <v>0.65999999999999992</v>
      </c>
      <c r="G39" s="14">
        <v>0.03</v>
      </c>
      <c r="H39" s="14">
        <v>0.05</v>
      </c>
      <c r="I39" s="14"/>
      <c r="J39" s="14">
        <f t="shared" si="1"/>
        <v>0.05</v>
      </c>
      <c r="K39" s="14"/>
      <c r="L39" s="14" t="s">
        <v>198</v>
      </c>
      <c r="M39" s="14"/>
      <c r="N39" s="14"/>
    </row>
    <row r="40" spans="1:14">
      <c r="A40" t="s">
        <v>90</v>
      </c>
      <c r="B40" s="14">
        <v>8.2352941176470601E-2</v>
      </c>
      <c r="C40" s="14">
        <v>4.7058823529411764E-2</v>
      </c>
      <c r="D40" s="14">
        <v>0</v>
      </c>
      <c r="E40" s="14">
        <f t="shared" si="0"/>
        <v>4.7058823529411764E-2</v>
      </c>
      <c r="F40" s="14">
        <v>0.77647058823529413</v>
      </c>
      <c r="G40" s="14">
        <v>4.7058823529411764E-2</v>
      </c>
      <c r="H40" s="14">
        <v>4.7058823529411764E-2</v>
      </c>
      <c r="I40" s="14"/>
      <c r="J40" s="14">
        <f t="shared" si="1"/>
        <v>4.7058823529411764E-2</v>
      </c>
      <c r="K40" s="14"/>
      <c r="L40" s="14" t="s">
        <v>304</v>
      </c>
      <c r="M40" s="14"/>
      <c r="N40" s="14"/>
    </row>
    <row r="41" spans="1:14">
      <c r="B41" s="14"/>
      <c r="C41" s="14"/>
      <c r="D41" s="14"/>
      <c r="E41" s="14"/>
      <c r="F41" s="14"/>
      <c r="G41" s="14"/>
      <c r="H41" s="14"/>
      <c r="I41" s="14"/>
      <c r="J41" s="14"/>
      <c r="K41" s="14"/>
      <c r="L41" s="14"/>
      <c r="M41" s="14"/>
      <c r="N41" s="14"/>
    </row>
    <row r="42" spans="1:14">
      <c r="B42" s="14"/>
      <c r="C42" s="14"/>
      <c r="D42" s="14"/>
      <c r="E42" s="14"/>
      <c r="F42" s="14"/>
      <c r="G42" s="14"/>
      <c r="H42" s="14"/>
      <c r="I42" s="14"/>
      <c r="J42" s="14"/>
      <c r="K42" s="14"/>
      <c r="L42" s="14"/>
      <c r="M42" s="14"/>
      <c r="N42" s="14"/>
    </row>
    <row r="43" spans="1:14">
      <c r="B43" s="14"/>
      <c r="C43" s="14"/>
      <c r="D43" s="14"/>
      <c r="E43" s="14"/>
      <c r="F43" s="14"/>
      <c r="G43" s="14"/>
      <c r="H43" s="14"/>
      <c r="I43" s="14"/>
      <c r="J43" s="14"/>
      <c r="K43" s="14"/>
      <c r="L43" s="14"/>
      <c r="M43" s="14"/>
      <c r="N43" s="14"/>
    </row>
    <row r="44" spans="1:14">
      <c r="B44" s="14"/>
      <c r="C44" s="14"/>
      <c r="D44" s="14"/>
      <c r="E44" s="14"/>
      <c r="F44" s="14"/>
      <c r="G44" s="14"/>
      <c r="H44" s="14"/>
      <c r="I44" s="14"/>
      <c r="J44" s="14"/>
      <c r="K44" s="14"/>
      <c r="L44" s="14"/>
      <c r="M44" s="14"/>
      <c r="N44" s="14"/>
    </row>
    <row r="45" spans="1:14">
      <c r="A45" t="s">
        <v>116</v>
      </c>
      <c r="B45" s="14">
        <v>0.41197822141560797</v>
      </c>
      <c r="C45" s="14">
        <v>9.0744101633393831E-2</v>
      </c>
      <c r="D45" s="14">
        <v>0</v>
      </c>
      <c r="E45" s="14">
        <v>9.0744101633393831E-2</v>
      </c>
      <c r="F45" s="14">
        <v>9.0744101633393831E-2</v>
      </c>
      <c r="G45" s="14">
        <v>0.36116152450090744</v>
      </c>
      <c r="H45" s="14">
        <v>4.5372050816696916E-2</v>
      </c>
      <c r="I45" s="14">
        <v>0</v>
      </c>
      <c r="J45" s="14">
        <v>4.5372050816696916E-2</v>
      </c>
      <c r="K45" s="14">
        <v>0</v>
      </c>
      <c r="L45" s="14" t="s">
        <v>193</v>
      </c>
      <c r="M45" s="14"/>
      <c r="N45" s="14"/>
    </row>
    <row r="46" spans="1:14">
      <c r="B46" s="14"/>
      <c r="C46" s="14"/>
      <c r="D46" s="14"/>
      <c r="E46" s="14"/>
      <c r="F46" s="14"/>
      <c r="G46" s="14"/>
      <c r="H46" s="14"/>
      <c r="I46" s="14"/>
      <c r="J46" s="14"/>
      <c r="K46" s="14"/>
      <c r="L46" s="14"/>
      <c r="M46" s="14"/>
      <c r="N46" s="14"/>
    </row>
    <row r="47" spans="1:14">
      <c r="B47" s="14"/>
      <c r="C47" s="14"/>
      <c r="D47" s="14"/>
      <c r="E47" s="14"/>
      <c r="F47" s="14"/>
      <c r="G47" s="14"/>
      <c r="H47" s="14"/>
      <c r="I47" s="14"/>
      <c r="J47" s="14"/>
      <c r="K47" s="14"/>
      <c r="L47" s="14"/>
      <c r="M47" s="14"/>
      <c r="N47" s="14"/>
    </row>
    <row r="48" spans="1:14">
      <c r="B48" s="14"/>
      <c r="C48" s="14"/>
      <c r="D48" s="14"/>
      <c r="E48" s="14"/>
      <c r="F48" s="14"/>
      <c r="G48" s="14"/>
      <c r="H48" s="14"/>
      <c r="I48" s="14"/>
      <c r="J48" s="14"/>
      <c r="K48" s="14"/>
      <c r="L48" s="14"/>
      <c r="M48" s="14"/>
      <c r="N48" s="14"/>
    </row>
    <row r="49" spans="2:14">
      <c r="B49" s="14"/>
      <c r="C49" s="14"/>
      <c r="D49" s="14"/>
      <c r="E49" s="14"/>
      <c r="F49" s="14"/>
      <c r="G49" s="14"/>
      <c r="H49" s="14"/>
      <c r="I49" s="14"/>
      <c r="J49" s="14"/>
      <c r="K49" s="14"/>
      <c r="L49" s="14"/>
      <c r="M49" s="14"/>
      <c r="N49" s="14"/>
    </row>
    <row r="50" spans="2:14">
      <c r="B50" s="14"/>
      <c r="C50" s="14"/>
      <c r="D50" s="14"/>
      <c r="E50" s="14"/>
      <c r="F50" s="14"/>
      <c r="G50" s="14"/>
      <c r="H50" s="14"/>
      <c r="I50" s="14"/>
      <c r="J50" s="14"/>
      <c r="K50" s="14"/>
      <c r="L50" s="14"/>
      <c r="M50" s="14"/>
      <c r="N50" s="14"/>
    </row>
    <row r="51" spans="2:14">
      <c r="B51" s="14"/>
      <c r="C51" s="14"/>
      <c r="D51" s="14"/>
      <c r="E51" s="14"/>
      <c r="F51" s="14"/>
      <c r="G51" s="14"/>
      <c r="H51" s="14"/>
      <c r="I51" s="14"/>
      <c r="J51" s="14"/>
      <c r="K51" s="14"/>
      <c r="L51" s="14"/>
      <c r="M51" s="14"/>
      <c r="N51" s="14"/>
    </row>
    <row r="52" spans="2:14">
      <c r="B52" s="14"/>
      <c r="C52" s="14"/>
      <c r="D52" s="14"/>
      <c r="E52" s="14"/>
      <c r="F52" s="14"/>
      <c r="G52" s="14"/>
      <c r="H52" s="14"/>
      <c r="I52" s="14"/>
      <c r="J52" s="14"/>
      <c r="K52" s="14"/>
      <c r="L52" s="14"/>
      <c r="M52" s="14"/>
      <c r="N52" s="14"/>
    </row>
    <row r="53" spans="2:14">
      <c r="B53" s="14"/>
      <c r="C53" s="14"/>
      <c r="D53" s="14"/>
      <c r="E53" s="14"/>
      <c r="F53" s="14"/>
      <c r="G53" s="14"/>
      <c r="H53" s="14"/>
      <c r="I53" s="14"/>
      <c r="J53" s="14"/>
      <c r="K53" s="14"/>
      <c r="L53" s="14"/>
      <c r="M53" s="14"/>
      <c r="N53" s="14"/>
    </row>
    <row r="54" spans="2:14">
      <c r="B54" s="14"/>
      <c r="C54" s="14"/>
      <c r="D54" s="14"/>
      <c r="E54" s="14"/>
      <c r="F54" s="14"/>
      <c r="G54" s="14"/>
      <c r="H54" s="14"/>
      <c r="I54" s="14"/>
      <c r="J54" s="14"/>
      <c r="K54" s="14"/>
      <c r="L54" s="14"/>
      <c r="M54" s="14"/>
      <c r="N54" s="14"/>
    </row>
    <row r="55" spans="2:14">
      <c r="B55" s="14"/>
      <c r="C55" s="14"/>
      <c r="D55" s="14"/>
      <c r="E55" s="14"/>
      <c r="F55" s="14"/>
      <c r="G55" s="14"/>
      <c r="H55" s="14"/>
      <c r="I55" s="14"/>
      <c r="J55" s="14"/>
      <c r="K55" s="14"/>
      <c r="L55" s="14"/>
      <c r="M55" s="14"/>
      <c r="N55" s="14"/>
    </row>
    <row r="56" spans="2:14">
      <c r="B56" s="14"/>
      <c r="C56" s="14"/>
      <c r="D56" s="14"/>
      <c r="E56" s="14"/>
      <c r="F56" s="14"/>
      <c r="G56" s="14"/>
      <c r="H56" s="14"/>
      <c r="I56" s="14"/>
      <c r="J56" s="14"/>
      <c r="K56" s="14"/>
      <c r="L56" s="14"/>
      <c r="M56" s="14"/>
      <c r="N56" s="14"/>
    </row>
    <row r="57" spans="2:14">
      <c r="B57" s="14"/>
      <c r="C57" s="14"/>
      <c r="D57" s="14"/>
      <c r="E57" s="14"/>
      <c r="F57" s="14"/>
      <c r="G57" s="14"/>
      <c r="H57" s="14"/>
      <c r="I57" s="14"/>
      <c r="J57" s="14"/>
      <c r="K57" s="14"/>
      <c r="L57" s="14"/>
      <c r="M57" s="14"/>
      <c r="N57" s="14"/>
    </row>
    <row r="58" spans="2:14">
      <c r="B58" s="14"/>
      <c r="C58" s="14"/>
      <c r="D58" s="14"/>
      <c r="E58" s="14"/>
      <c r="F58" s="14"/>
      <c r="G58" s="14"/>
      <c r="H58" s="14"/>
      <c r="I58" s="14"/>
      <c r="J58" s="14"/>
      <c r="K58" s="14"/>
      <c r="L58" s="14"/>
      <c r="M58" s="14"/>
      <c r="N58" s="14"/>
    </row>
    <row r="59" spans="2:14">
      <c r="B59" s="14"/>
      <c r="C59" s="14"/>
      <c r="D59" s="14"/>
      <c r="E59" s="14"/>
      <c r="F59" s="14"/>
      <c r="G59" s="14"/>
      <c r="H59" s="14"/>
      <c r="I59" s="14"/>
      <c r="J59" s="14"/>
      <c r="K59" s="14"/>
      <c r="L59" s="14"/>
      <c r="M59" s="14"/>
      <c r="N59" s="14"/>
    </row>
    <row r="60" spans="2:14">
      <c r="B60" s="14"/>
      <c r="C60" s="14"/>
      <c r="D60" s="14"/>
      <c r="E60" s="14"/>
      <c r="F60" s="14"/>
      <c r="G60" s="14"/>
      <c r="H60" s="14"/>
      <c r="I60" s="14"/>
      <c r="J60" s="14"/>
      <c r="K60" s="14"/>
      <c r="L60" s="14"/>
      <c r="M60" s="14"/>
      <c r="N60" s="14"/>
    </row>
    <row r="61" spans="2:14">
      <c r="B61" s="14"/>
      <c r="C61" s="14"/>
      <c r="D61" s="14"/>
      <c r="E61" s="14"/>
      <c r="F61" s="14"/>
      <c r="G61" s="14"/>
      <c r="H61" s="14"/>
      <c r="I61" s="14"/>
      <c r="J61" s="14"/>
      <c r="K61" s="14"/>
      <c r="L61" s="14"/>
      <c r="M61" s="14"/>
      <c r="N61" s="14"/>
    </row>
  </sheetData>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185"/>
  <sheetViews>
    <sheetView showGridLines="0" zoomScale="75" zoomScaleNormal="126" workbookViewId="0">
      <selection activeCell="H12" sqref="H12"/>
    </sheetView>
  </sheetViews>
  <sheetFormatPr baseColWidth="10" defaultRowHeight="13.8"/>
  <cols>
    <col min="1" max="1" width="9" style="26" customWidth="1"/>
    <col min="2" max="6" width="0" hidden="1" customWidth="1"/>
    <col min="7" max="9" width="8" customWidth="1"/>
    <col min="10" max="10" width="1.88671875" customWidth="1"/>
    <col min="11" max="13" width="8" customWidth="1"/>
    <col min="14" max="14" width="1" customWidth="1"/>
    <col min="15" max="18" width="8" customWidth="1"/>
    <col min="19" max="19" width="9.44140625" style="14" customWidth="1"/>
    <col min="20" max="23" width="8" customWidth="1"/>
  </cols>
  <sheetData>
    <row r="1" spans="1:47">
      <c r="A1" s="35" t="s">
        <v>39</v>
      </c>
      <c r="B1" s="1"/>
      <c r="C1" s="1"/>
      <c r="D1" s="1"/>
      <c r="E1" s="1"/>
      <c r="F1" s="1"/>
      <c r="G1" s="1">
        <v>7</v>
      </c>
      <c r="H1" s="62">
        <f>+VLOOKUP(A1,ran_act,2,FALSE)</f>
        <v>33</v>
      </c>
      <c r="I1" s="63">
        <f>+VLOOKUP(A1,ran_act,3,FALSE)</f>
        <v>103</v>
      </c>
      <c r="J1" s="1"/>
      <c r="K1" s="1"/>
      <c r="L1" s="1"/>
      <c r="M1" s="1"/>
      <c r="N1" s="1"/>
      <c r="O1" s="1"/>
      <c r="P1" s="1"/>
      <c r="Q1" s="1"/>
      <c r="R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spans="1:47">
      <c r="A2" s="36"/>
      <c r="B2" s="1"/>
      <c r="C2" s="1"/>
      <c r="D2" s="1"/>
      <c r="E2" s="1"/>
      <c r="F2" s="1"/>
      <c r="G2" s="1"/>
      <c r="H2" s="1"/>
      <c r="I2" s="1"/>
      <c r="J2" s="1"/>
      <c r="K2" s="1" t="s">
        <v>315</v>
      </c>
      <c r="L2" s="1"/>
      <c r="M2" s="1"/>
      <c r="N2" s="1"/>
      <c r="O2" s="1" t="s">
        <v>316</v>
      </c>
      <c r="P2" s="1"/>
      <c r="Q2" s="1"/>
      <c r="R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spans="1:47">
      <c r="A3" s="1" t="str">
        <f>+datos!A3</f>
        <v>Dato</v>
      </c>
      <c r="B3" s="1"/>
      <c r="C3" s="1"/>
      <c r="D3" s="1"/>
      <c r="E3" s="1"/>
      <c r="F3" s="1"/>
      <c r="G3" s="1" t="str">
        <f t="shared" ref="G3:I8" si="0">+VLOOKUP($A3,ran_dat,G$1,FALSE)</f>
        <v>Economía</v>
      </c>
      <c r="H3" s="1" t="str">
        <f t="shared" si="0"/>
        <v>Precio</v>
      </c>
      <c r="I3" s="1" t="str">
        <f t="shared" si="0"/>
        <v>Costo</v>
      </c>
      <c r="J3" s="1"/>
      <c r="K3" s="1" t="str">
        <f t="shared" ref="K3:M8" si="1">+G3</f>
        <v>Economía</v>
      </c>
      <c r="L3" s="1" t="str">
        <f t="shared" si="1"/>
        <v>Precio</v>
      </c>
      <c r="M3" s="1" t="str">
        <f t="shared" si="1"/>
        <v>Costo</v>
      </c>
      <c r="N3" s="1"/>
      <c r="O3" s="1" t="str">
        <f t="shared" ref="O3:P8" si="2">+L3</f>
        <v>Precio</v>
      </c>
      <c r="P3" s="1" t="str">
        <f t="shared" si="2"/>
        <v>Costo</v>
      </c>
      <c r="Q3" s="1"/>
      <c r="R3" s="1"/>
      <c r="T3" s="1"/>
      <c r="U3" s="1"/>
      <c r="V3" s="1"/>
      <c r="W3" s="1"/>
      <c r="X3" s="1"/>
      <c r="Y3" s="1"/>
      <c r="Z3" s="1"/>
      <c r="AA3" s="1"/>
      <c r="AB3" s="1"/>
      <c r="AC3" s="1"/>
      <c r="AD3" s="1"/>
      <c r="AE3" s="1"/>
      <c r="AF3" s="1"/>
      <c r="AG3" s="1"/>
      <c r="AH3" s="1"/>
      <c r="AI3" s="1"/>
      <c r="AJ3" s="1"/>
      <c r="AK3" s="1"/>
      <c r="AL3" s="1"/>
      <c r="AM3" s="1"/>
      <c r="AN3" s="1"/>
      <c r="AO3" s="1"/>
      <c r="AP3" s="1"/>
      <c r="AQ3" s="1"/>
      <c r="AR3" s="1"/>
      <c r="AS3" s="1"/>
      <c r="AT3" s="1"/>
      <c r="AU3" s="1"/>
    </row>
    <row r="4" spans="1:47">
      <c r="A4" s="1" t="str">
        <f>+datos!A4</f>
        <v>Actividad/Producto</v>
      </c>
      <c r="B4" s="1"/>
      <c r="C4" s="1"/>
      <c r="D4" s="1"/>
      <c r="E4" s="1"/>
      <c r="F4" s="1"/>
      <c r="G4" s="1" t="str">
        <f t="shared" si="0"/>
        <v>Inflación</v>
      </c>
      <c r="H4" s="1" t="str">
        <f t="shared" si="0"/>
        <v>Yerba Mate</v>
      </c>
      <c r="I4" s="1" t="str">
        <f t="shared" si="0"/>
        <v>Yerba Mate</v>
      </c>
      <c r="J4" s="1"/>
      <c r="K4" s="1" t="str">
        <f t="shared" si="1"/>
        <v>Inflación</v>
      </c>
      <c r="L4" s="1" t="str">
        <f t="shared" si="1"/>
        <v>Yerba Mate</v>
      </c>
      <c r="M4" s="1" t="str">
        <f t="shared" si="1"/>
        <v>Yerba Mate</v>
      </c>
      <c r="N4" s="1"/>
      <c r="O4" s="1" t="str">
        <f t="shared" si="2"/>
        <v>Yerba Mate</v>
      </c>
      <c r="P4" s="1" t="str">
        <f t="shared" si="2"/>
        <v>Yerba Mate</v>
      </c>
      <c r="Q4" s="1"/>
      <c r="R4" s="1"/>
      <c r="T4" s="1"/>
      <c r="U4" s="1"/>
      <c r="V4" s="1"/>
      <c r="W4" s="1"/>
      <c r="X4" s="1"/>
      <c r="Y4" s="1"/>
      <c r="Z4" s="1"/>
      <c r="AA4" s="1"/>
      <c r="AB4" s="1"/>
      <c r="AC4" s="1"/>
      <c r="AD4" s="1"/>
      <c r="AE4" s="1"/>
      <c r="AF4" s="1"/>
      <c r="AG4" s="1"/>
      <c r="AH4" s="1"/>
      <c r="AI4" s="1"/>
      <c r="AJ4" s="1"/>
      <c r="AK4" s="1"/>
      <c r="AL4" s="1"/>
      <c r="AM4" s="1"/>
      <c r="AN4" s="1"/>
      <c r="AO4" s="1"/>
      <c r="AP4" s="1"/>
      <c r="AQ4" s="1"/>
      <c r="AR4" s="1"/>
      <c r="AS4" s="1"/>
      <c r="AT4" s="1"/>
      <c r="AU4" s="1"/>
    </row>
    <row r="5" spans="1:47">
      <c r="A5" s="1" t="str">
        <f>+datos!A5</f>
        <v>Tipo</v>
      </c>
      <c r="B5" s="1"/>
      <c r="C5" s="1"/>
      <c r="D5" s="1"/>
      <c r="E5" s="1"/>
      <c r="F5" s="1"/>
      <c r="G5" s="1" t="str">
        <f t="shared" si="0"/>
        <v>IPC</v>
      </c>
      <c r="H5" s="1" t="str">
        <f t="shared" si="0"/>
        <v>Hoja Verde</v>
      </c>
      <c r="I5" s="1" t="str">
        <f t="shared" si="0"/>
        <v>Indice</v>
      </c>
      <c r="J5" s="1"/>
      <c r="K5" s="1" t="str">
        <f t="shared" si="1"/>
        <v>IPC</v>
      </c>
      <c r="L5" s="1" t="str">
        <f t="shared" si="1"/>
        <v>Hoja Verde</v>
      </c>
      <c r="M5" s="1" t="str">
        <f t="shared" si="1"/>
        <v>Indice</v>
      </c>
      <c r="N5" s="1"/>
      <c r="O5" s="1" t="str">
        <f t="shared" si="2"/>
        <v>Hoja Verde</v>
      </c>
      <c r="P5" s="1" t="str">
        <f t="shared" si="2"/>
        <v>Indice</v>
      </c>
      <c r="Q5" s="1"/>
      <c r="R5" s="1"/>
      <c r="T5" s="1"/>
      <c r="U5" s="1"/>
      <c r="V5" s="1"/>
      <c r="W5" s="1"/>
      <c r="X5" s="1"/>
      <c r="Y5" s="1"/>
      <c r="Z5" s="1"/>
      <c r="AA5" s="1"/>
      <c r="AB5" s="1"/>
      <c r="AC5" s="1"/>
      <c r="AD5" s="1"/>
      <c r="AE5" s="1"/>
      <c r="AF5" s="1"/>
      <c r="AG5" s="1"/>
      <c r="AH5" s="1"/>
      <c r="AI5" s="1"/>
      <c r="AJ5" s="1"/>
      <c r="AK5" s="1"/>
      <c r="AL5" s="1"/>
      <c r="AM5" s="1"/>
      <c r="AN5" s="1"/>
      <c r="AO5" s="1"/>
      <c r="AP5" s="1"/>
      <c r="AQ5" s="1"/>
      <c r="AR5" s="1"/>
      <c r="AS5" s="1"/>
      <c r="AT5" s="1"/>
      <c r="AU5" s="1"/>
    </row>
    <row r="6" spans="1:47">
      <c r="A6" s="1" t="str">
        <f>+datos!A6</f>
        <v>Fuente</v>
      </c>
      <c r="B6" s="1"/>
      <c r="C6" s="1"/>
      <c r="D6" s="1"/>
      <c r="E6" s="1"/>
      <c r="F6" s="1"/>
      <c r="G6" s="1" t="str">
        <f t="shared" si="0"/>
        <v>INDEC</v>
      </c>
      <c r="H6" s="1" t="str">
        <f t="shared" si="0"/>
        <v>INYM</v>
      </c>
      <c r="I6" s="1">
        <f t="shared" si="0"/>
        <v>0</v>
      </c>
      <c r="J6" s="1"/>
      <c r="K6" s="1" t="str">
        <f t="shared" si="1"/>
        <v>INDEC</v>
      </c>
      <c r="L6" s="1" t="str">
        <f t="shared" si="1"/>
        <v>INYM</v>
      </c>
      <c r="M6" s="1">
        <f t="shared" si="1"/>
        <v>0</v>
      </c>
      <c r="N6" s="1"/>
      <c r="O6" s="1" t="str">
        <f t="shared" si="2"/>
        <v>INYM</v>
      </c>
      <c r="P6" s="1">
        <f t="shared" si="2"/>
        <v>0</v>
      </c>
      <c r="Q6" s="1"/>
      <c r="R6" s="1"/>
      <c r="T6" s="1"/>
      <c r="U6" s="1"/>
      <c r="V6" s="1"/>
      <c r="W6" s="1"/>
      <c r="X6" s="1"/>
      <c r="Y6" s="1"/>
      <c r="Z6" s="1"/>
      <c r="AA6" s="1"/>
      <c r="AB6" s="1"/>
      <c r="AC6" s="1"/>
      <c r="AD6" s="1"/>
      <c r="AE6" s="1"/>
      <c r="AF6" s="1"/>
      <c r="AG6" s="1"/>
      <c r="AH6" s="1"/>
      <c r="AI6" s="1"/>
      <c r="AJ6" s="1"/>
      <c r="AK6" s="1"/>
      <c r="AL6" s="1"/>
      <c r="AM6" s="1"/>
      <c r="AN6" s="1"/>
      <c r="AO6" s="1"/>
      <c r="AP6" s="1"/>
      <c r="AQ6" s="1"/>
      <c r="AR6" s="1"/>
      <c r="AS6" s="1"/>
      <c r="AT6" s="1"/>
      <c r="AU6" s="1"/>
    </row>
    <row r="7" spans="1:47">
      <c r="A7" s="1" t="str">
        <f>+datos!A7</f>
        <v>Moneda/Unidad</v>
      </c>
      <c r="B7" s="1"/>
      <c r="C7" s="1"/>
      <c r="D7" s="1"/>
      <c r="E7" s="1"/>
      <c r="F7" s="1"/>
      <c r="G7" s="1" t="str">
        <f t="shared" si="0"/>
        <v>Índice</v>
      </c>
      <c r="H7" s="1" t="str">
        <f t="shared" si="0"/>
        <v>$/t</v>
      </c>
      <c r="I7" s="1" t="str">
        <f t="shared" si="0"/>
        <v>Indice</v>
      </c>
      <c r="J7" s="1"/>
      <c r="K7" s="1" t="str">
        <f t="shared" si="1"/>
        <v>Índice</v>
      </c>
      <c r="L7" s="1" t="str">
        <f t="shared" si="1"/>
        <v>$/t</v>
      </c>
      <c r="M7" s="1" t="str">
        <f t="shared" si="1"/>
        <v>Indice</v>
      </c>
      <c r="N7" s="1"/>
      <c r="O7" s="1" t="str">
        <f t="shared" si="2"/>
        <v>$/t</v>
      </c>
      <c r="P7" s="1" t="str">
        <f t="shared" si="2"/>
        <v>Indice</v>
      </c>
      <c r="Q7" s="1"/>
      <c r="R7" s="1"/>
      <c r="T7" s="1"/>
      <c r="U7" s="1"/>
      <c r="V7" s="1"/>
      <c r="W7" s="1"/>
      <c r="X7" s="1"/>
      <c r="Y7" s="1"/>
      <c r="Z7" s="1"/>
      <c r="AA7" s="1"/>
      <c r="AB7" s="1"/>
      <c r="AC7" s="1"/>
      <c r="AD7" s="1"/>
      <c r="AE7" s="1"/>
      <c r="AF7" s="1"/>
      <c r="AG7" s="1"/>
      <c r="AH7" s="1"/>
      <c r="AI7" s="1"/>
      <c r="AJ7" s="1"/>
      <c r="AK7" s="1"/>
      <c r="AL7" s="1"/>
      <c r="AM7" s="1"/>
      <c r="AN7" s="1"/>
      <c r="AO7" s="1"/>
      <c r="AP7" s="1"/>
      <c r="AQ7" s="1"/>
      <c r="AR7" s="1"/>
      <c r="AS7" s="1"/>
      <c r="AT7" s="1"/>
      <c r="AU7" s="1"/>
    </row>
    <row r="8" spans="1:47" ht="69">
      <c r="A8" s="1" t="str">
        <f>+datos!A8</f>
        <v>Concatenar</v>
      </c>
      <c r="B8" s="1"/>
      <c r="C8" s="1"/>
      <c r="D8" s="1"/>
      <c r="E8" s="1"/>
      <c r="F8" s="1"/>
      <c r="G8" s="1" t="str">
        <f t="shared" si="0"/>
        <v>Inflación|IPC</v>
      </c>
      <c r="H8" s="1" t="str">
        <f t="shared" si="0"/>
        <v>Precio|Yerba Mate|Hoja Verde</v>
      </c>
      <c r="I8" s="1" t="str">
        <f t="shared" si="0"/>
        <v>Costo|Yerba Mate|Indice</v>
      </c>
      <c r="J8" s="1"/>
      <c r="K8" s="1" t="str">
        <f t="shared" si="1"/>
        <v>Inflación|IPC</v>
      </c>
      <c r="L8" s="1" t="str">
        <f t="shared" si="1"/>
        <v>Precio|Yerba Mate|Hoja Verde</v>
      </c>
      <c r="M8" s="1" t="str">
        <f t="shared" si="1"/>
        <v>Costo|Yerba Mate|Indice</v>
      </c>
      <c r="N8" s="1"/>
      <c r="O8" s="1" t="str">
        <f t="shared" si="2"/>
        <v>Precio|Yerba Mate|Hoja Verde</v>
      </c>
      <c r="P8" s="1" t="str">
        <f t="shared" si="2"/>
        <v>Costo|Yerba Mate|Indice</v>
      </c>
      <c r="Q8" s="1"/>
      <c r="R8" s="1"/>
      <c r="S8" s="15" t="s">
        <v>394</v>
      </c>
      <c r="T8" s="15" t="str">
        <f>"Precio "&amp;A1&amp;" constante indice"</f>
        <v>Precio Yerba Mate constante indice</v>
      </c>
      <c r="U8" s="15" t="s">
        <v>395</v>
      </c>
      <c r="V8" s="15" t="s">
        <v>396</v>
      </c>
      <c r="W8" s="1"/>
      <c r="X8" s="1"/>
      <c r="Y8" s="1"/>
      <c r="Z8" s="1"/>
      <c r="AA8" s="1"/>
      <c r="AB8" s="1"/>
      <c r="AC8" s="1"/>
      <c r="AD8" s="1"/>
      <c r="AE8" s="1"/>
      <c r="AF8" s="1"/>
      <c r="AG8" s="1"/>
      <c r="AH8" s="1"/>
      <c r="AI8" s="1"/>
      <c r="AJ8" s="1"/>
      <c r="AK8" s="1"/>
      <c r="AL8" s="1"/>
      <c r="AM8" s="1"/>
      <c r="AN8" s="1"/>
      <c r="AO8" s="1"/>
      <c r="AP8" s="1"/>
      <c r="AQ8" s="1"/>
      <c r="AR8" s="1"/>
      <c r="AS8" s="1"/>
      <c r="AT8" s="1"/>
      <c r="AU8" s="1"/>
    </row>
    <row r="9" spans="1:47">
      <c r="A9" s="36"/>
      <c r="B9" s="1"/>
      <c r="C9" s="1"/>
      <c r="D9" s="1"/>
      <c r="E9" s="1"/>
      <c r="F9" s="1"/>
      <c r="G9" s="1"/>
      <c r="H9" s="1"/>
      <c r="I9" s="1"/>
      <c r="J9" s="1"/>
      <c r="K9" s="1"/>
      <c r="L9" s="1"/>
      <c r="M9" s="1"/>
      <c r="N9" s="1"/>
      <c r="O9" s="1"/>
      <c r="P9" s="1"/>
      <c r="Q9" s="1"/>
      <c r="R9" s="1"/>
      <c r="T9" s="1"/>
      <c r="U9" s="1"/>
      <c r="V9" s="1"/>
      <c r="W9" s="1"/>
      <c r="X9" s="1"/>
      <c r="Y9" s="1" t="s">
        <v>392</v>
      </c>
      <c r="Z9" s="1" t="s">
        <v>393</v>
      </c>
      <c r="AA9" s="1"/>
      <c r="AB9" s="1"/>
      <c r="AC9" s="1"/>
      <c r="AD9" s="1"/>
      <c r="AE9" s="1"/>
      <c r="AF9" s="1"/>
      <c r="AG9" s="1"/>
      <c r="AH9" s="1"/>
      <c r="AI9" s="1"/>
      <c r="AJ9" s="1"/>
      <c r="AK9" s="1"/>
      <c r="AL9" s="1"/>
      <c r="AM9" s="1"/>
      <c r="AN9" s="1"/>
      <c r="AO9" s="1"/>
      <c r="AP9" s="1"/>
      <c r="AQ9" s="1"/>
      <c r="AR9" s="1"/>
      <c r="AS9" s="1"/>
      <c r="AT9" s="1"/>
      <c r="AU9" s="1"/>
    </row>
    <row r="10" spans="1:47">
      <c r="A10" s="38">
        <f>+datos!A10</f>
        <v>42370</v>
      </c>
      <c r="B10" s="1"/>
      <c r="C10" s="1"/>
      <c r="D10" s="1"/>
      <c r="E10" s="1"/>
      <c r="F10" s="1">
        <v>100</v>
      </c>
      <c r="G10" s="1">
        <f t="shared" ref="G10:I29" si="3">+VLOOKUP($A10,ran_dat,G$1,FALSE)</f>
        <v>73.956661316211878</v>
      </c>
      <c r="H10" s="1">
        <f t="shared" si="3"/>
        <v>4272</v>
      </c>
      <c r="I10" s="1">
        <f t="shared" si="3"/>
        <v>100</v>
      </c>
      <c r="J10" s="1"/>
      <c r="K10" s="1">
        <f t="shared" ref="K10:M12" si="4">+G10*100/G$10</f>
        <v>100</v>
      </c>
      <c r="L10" s="1">
        <f t="shared" si="4"/>
        <v>100</v>
      </c>
      <c r="M10" s="1">
        <f t="shared" si="4"/>
        <v>100</v>
      </c>
      <c r="N10" s="1"/>
      <c r="O10" s="1">
        <f>+L10-K10+100</f>
        <v>100</v>
      </c>
      <c r="P10" s="1">
        <f>+M10-K10+100</f>
        <v>100</v>
      </c>
      <c r="Q10" s="1"/>
      <c r="R10" s="1"/>
      <c r="S10" s="14">
        <f>+H10</f>
        <v>4272</v>
      </c>
      <c r="T10" s="1">
        <v>100</v>
      </c>
      <c r="U10" s="1">
        <f>+I10</f>
        <v>100</v>
      </c>
      <c r="V10" s="1">
        <v>100</v>
      </c>
      <c r="W10" s="1"/>
      <c r="X10" s="1"/>
      <c r="Y10" s="1"/>
      <c r="Z10" s="1"/>
      <c r="AA10" s="1"/>
      <c r="AB10" s="1"/>
      <c r="AC10" s="1"/>
      <c r="AD10" s="1"/>
      <c r="AE10" s="1"/>
      <c r="AF10" s="1"/>
      <c r="AG10" s="1"/>
      <c r="AH10" s="1"/>
      <c r="AI10" s="1"/>
      <c r="AJ10" s="1"/>
      <c r="AK10" s="1"/>
      <c r="AL10" s="1"/>
      <c r="AM10" s="1"/>
      <c r="AN10" s="1"/>
      <c r="AO10" s="1"/>
      <c r="AP10" s="1"/>
      <c r="AQ10" s="1"/>
      <c r="AR10" s="1"/>
      <c r="AS10" s="1"/>
      <c r="AT10" s="1"/>
      <c r="AU10" s="1"/>
    </row>
    <row r="11" spans="1:47">
      <c r="A11" s="38">
        <f>+datos!A11</f>
        <v>42401</v>
      </c>
      <c r="B11" s="1"/>
      <c r="C11" s="1"/>
      <c r="D11" s="1"/>
      <c r="E11" s="1"/>
      <c r="F11" s="1">
        <f>+F10</f>
        <v>100</v>
      </c>
      <c r="G11" s="1">
        <f t="shared" si="3"/>
        <v>77.407704654895667</v>
      </c>
      <c r="H11" s="1">
        <f t="shared" si="3"/>
        <v>4272</v>
      </c>
      <c r="I11" s="1">
        <f t="shared" si="3"/>
        <v>104.87302878177832</v>
      </c>
      <c r="J11" s="1"/>
      <c r="K11" s="1">
        <f t="shared" si="4"/>
        <v>104.66630493760174</v>
      </c>
      <c r="L11" s="1">
        <f t="shared" si="4"/>
        <v>100</v>
      </c>
      <c r="M11" s="1">
        <f t="shared" si="4"/>
        <v>104.87302878177832</v>
      </c>
      <c r="O11" s="1">
        <f t="shared" ref="O11:O69" si="5">+L11-K11+100</f>
        <v>95.333695062398263</v>
      </c>
      <c r="P11" s="1">
        <f t="shared" ref="P11:P69" si="6">+M11-K11+100</f>
        <v>100.20672384417658</v>
      </c>
      <c r="Q11" s="1"/>
      <c r="R11" s="1"/>
      <c r="S11" s="14">
        <f>+($G$10/G11)*H11</f>
        <v>4081.5427682737172</v>
      </c>
      <c r="T11" s="1">
        <f>+S11/$S$10*$T$10</f>
        <v>95.541731467081391</v>
      </c>
      <c r="U11" s="14">
        <f>+($G$10/G11)*I11</f>
        <v>100.19750754008162</v>
      </c>
      <c r="V11" s="1">
        <f>+U11/$U$10*$V$10</f>
        <v>100.1975075400816</v>
      </c>
      <c r="W11" s="1"/>
      <c r="X11" s="1"/>
      <c r="Y11" s="1"/>
      <c r="Z11" s="1"/>
      <c r="AA11" s="1"/>
      <c r="AB11" s="1"/>
      <c r="AC11" s="1"/>
      <c r="AD11" s="1"/>
      <c r="AE11" s="1"/>
      <c r="AF11" s="1"/>
      <c r="AG11" s="1"/>
      <c r="AH11" s="1"/>
      <c r="AI11" s="1"/>
      <c r="AJ11" s="1"/>
      <c r="AK11" s="1"/>
      <c r="AL11" s="1"/>
      <c r="AM11" s="1"/>
      <c r="AN11" s="1"/>
      <c r="AO11" s="1"/>
      <c r="AP11" s="1"/>
      <c r="AQ11" s="1"/>
      <c r="AR11" s="1"/>
      <c r="AS11" s="1"/>
      <c r="AT11" s="1"/>
      <c r="AU11" s="1"/>
    </row>
    <row r="12" spans="1:47">
      <c r="A12" s="38">
        <f>+datos!A12</f>
        <v>42430</v>
      </c>
      <c r="B12" s="1"/>
      <c r="C12" s="1"/>
      <c r="D12" s="1"/>
      <c r="E12" s="1"/>
      <c r="F12" s="1">
        <f t="shared" ref="F12:F69" si="7">+F11</f>
        <v>100</v>
      </c>
      <c r="G12" s="1">
        <f t="shared" si="3"/>
        <v>79.654895666131623</v>
      </c>
      <c r="H12" s="1">
        <f t="shared" si="3"/>
        <v>4272</v>
      </c>
      <c r="I12" s="1">
        <f t="shared" si="3"/>
        <v>103.47562484060668</v>
      </c>
      <c r="J12" s="1"/>
      <c r="K12" s="1">
        <f t="shared" si="4"/>
        <v>107.70482908301682</v>
      </c>
      <c r="L12" s="1">
        <f t="shared" si="4"/>
        <v>100</v>
      </c>
      <c r="M12" s="1">
        <f t="shared" si="4"/>
        <v>103.47562484060668</v>
      </c>
      <c r="N12" s="1"/>
      <c r="O12" s="1">
        <f t="shared" si="5"/>
        <v>92.295170916983182</v>
      </c>
      <c r="P12" s="1">
        <f t="shared" si="6"/>
        <v>95.770795757589866</v>
      </c>
      <c r="Q12" s="1"/>
      <c r="R12" s="1"/>
      <c r="S12" s="14">
        <f t="shared" ref="S12:S75" si="8">+($G$10/G12)*H12</f>
        <v>3966.3959697732994</v>
      </c>
      <c r="T12" s="1">
        <f t="shared" ref="T12:T75" si="9">+S12/$S$10*$T$10</f>
        <v>92.846347607052891</v>
      </c>
      <c r="U12" s="14">
        <f t="shared" ref="U12:U75" si="10">+($G$10/G12)*I12</f>
        <v>96.073338328079657</v>
      </c>
      <c r="V12" s="1">
        <f t="shared" ref="V12:V75" si="11">+U12/$U$10*$V$10</f>
        <v>96.073338328079657</v>
      </c>
      <c r="W12" s="1"/>
      <c r="X12" s="1"/>
      <c r="Y12" s="1"/>
      <c r="Z12" s="1"/>
      <c r="AA12" s="1"/>
      <c r="AB12" s="1"/>
      <c r="AC12" s="1"/>
      <c r="AD12" s="1"/>
      <c r="AE12" s="1"/>
      <c r="AF12" s="1"/>
      <c r="AG12" s="1"/>
      <c r="AH12" s="1"/>
      <c r="AI12" s="1"/>
      <c r="AJ12" s="1"/>
      <c r="AK12" s="1"/>
      <c r="AL12" s="1"/>
      <c r="AM12" s="1"/>
      <c r="AN12" s="1"/>
      <c r="AO12" s="1"/>
      <c r="AP12" s="1"/>
      <c r="AQ12" s="1"/>
      <c r="AR12" s="1"/>
      <c r="AS12" s="1"/>
      <c r="AT12" s="1"/>
      <c r="AU12" s="1"/>
    </row>
    <row r="13" spans="1:47">
      <c r="A13" s="38">
        <f>+datos!A13</f>
        <v>42461</v>
      </c>
      <c r="B13" s="1"/>
      <c r="C13" s="1"/>
      <c r="D13" s="1"/>
      <c r="E13" s="1"/>
      <c r="F13" s="1">
        <f t="shared" si="7"/>
        <v>100</v>
      </c>
      <c r="G13" s="1">
        <f t="shared" si="3"/>
        <v>84.430176565008026</v>
      </c>
      <c r="H13" s="1">
        <f t="shared" si="3"/>
        <v>4803</v>
      </c>
      <c r="I13" s="1">
        <f t="shared" si="3"/>
        <v>105.10885483910933</v>
      </c>
      <c r="J13" s="1"/>
      <c r="K13" s="1">
        <f t="shared" ref="K13:K69" si="12">+G13*100/G$10</f>
        <v>114.16169289202386</v>
      </c>
      <c r="L13" s="1">
        <f t="shared" ref="L13:L69" si="13">+H13*100/H$10</f>
        <v>112.42977528089888</v>
      </c>
      <c r="M13" s="1">
        <f t="shared" ref="M13:M69" si="14">+I13*100/I$10</f>
        <v>105.10885483910934</v>
      </c>
      <c r="N13" s="1"/>
      <c r="O13" s="1">
        <f t="shared" si="5"/>
        <v>98.268082388875015</v>
      </c>
      <c r="P13" s="1">
        <f t="shared" si="6"/>
        <v>90.947161947085476</v>
      </c>
      <c r="Q13" s="1"/>
      <c r="R13" s="1"/>
      <c r="S13" s="14">
        <f t="shared" si="8"/>
        <v>4207.1905893536123</v>
      </c>
      <c r="T13" s="1">
        <f t="shared" si="9"/>
        <v>98.482925780749355</v>
      </c>
      <c r="U13" s="14">
        <f t="shared" si="10"/>
        <v>92.070161344333883</v>
      </c>
      <c r="V13" s="1">
        <f t="shared" si="11"/>
        <v>92.070161344333883</v>
      </c>
      <c r="W13" s="1"/>
      <c r="X13" s="1"/>
      <c r="Y13" s="1"/>
      <c r="Z13" s="1"/>
      <c r="AA13" s="1"/>
      <c r="AB13" s="1"/>
      <c r="AC13" s="1"/>
      <c r="AD13" s="1"/>
      <c r="AE13" s="1"/>
      <c r="AF13" s="1"/>
      <c r="AG13" s="1"/>
      <c r="AH13" s="1"/>
      <c r="AI13" s="1"/>
      <c r="AJ13" s="1"/>
      <c r="AK13" s="1"/>
      <c r="AL13" s="1"/>
      <c r="AM13" s="1"/>
      <c r="AN13" s="1"/>
      <c r="AO13" s="1"/>
      <c r="AP13" s="1"/>
      <c r="AQ13" s="1"/>
      <c r="AR13" s="1"/>
      <c r="AS13" s="1"/>
      <c r="AT13" s="1"/>
      <c r="AU13" s="1"/>
    </row>
    <row r="14" spans="1:47">
      <c r="A14" s="38">
        <f>+datos!A14</f>
        <v>42491</v>
      </c>
      <c r="B14" s="1"/>
      <c r="C14" s="1"/>
      <c r="D14" s="1"/>
      <c r="E14" s="1"/>
      <c r="F14" s="1">
        <f t="shared" si="7"/>
        <v>100</v>
      </c>
      <c r="G14" s="1">
        <f t="shared" si="3"/>
        <v>87.640449438202253</v>
      </c>
      <c r="H14" s="1">
        <f t="shared" si="3"/>
        <v>4803</v>
      </c>
      <c r="I14" s="1">
        <f t="shared" si="3"/>
        <v>105.13876277204781</v>
      </c>
      <c r="J14" s="1"/>
      <c r="K14" s="1">
        <f t="shared" si="12"/>
        <v>118.50244167118828</v>
      </c>
      <c r="L14" s="1">
        <f t="shared" si="13"/>
        <v>112.42977528089888</v>
      </c>
      <c r="M14" s="1">
        <f t="shared" si="14"/>
        <v>105.13876277204781</v>
      </c>
      <c r="N14" s="1"/>
      <c r="O14" s="1">
        <f t="shared" si="5"/>
        <v>93.927333609710601</v>
      </c>
      <c r="P14" s="1">
        <f t="shared" si="6"/>
        <v>86.636321100859533</v>
      </c>
      <c r="Q14" s="1"/>
      <c r="R14" s="1"/>
      <c r="S14" s="14">
        <f t="shared" si="8"/>
        <v>4053.0810439560441</v>
      </c>
      <c r="T14" s="1">
        <f t="shared" si="9"/>
        <v>94.875492601967323</v>
      </c>
      <c r="U14" s="14">
        <f t="shared" si="10"/>
        <v>88.722866203701514</v>
      </c>
      <c r="V14" s="1">
        <f t="shared" si="11"/>
        <v>88.722866203701514</v>
      </c>
      <c r="W14" s="1"/>
      <c r="X14" s="1"/>
      <c r="Y14" s="1"/>
      <c r="Z14" s="1"/>
      <c r="AA14" s="1"/>
      <c r="AB14" s="1"/>
      <c r="AC14" s="1"/>
      <c r="AD14" s="1"/>
      <c r="AE14" s="1"/>
      <c r="AF14" s="1"/>
      <c r="AG14" s="1"/>
      <c r="AH14" s="1"/>
      <c r="AI14" s="1"/>
      <c r="AJ14" s="1"/>
      <c r="AK14" s="1"/>
      <c r="AL14" s="1"/>
      <c r="AM14" s="1"/>
      <c r="AN14" s="1"/>
      <c r="AO14" s="1"/>
      <c r="AP14" s="1"/>
      <c r="AQ14" s="1"/>
      <c r="AR14" s="1"/>
      <c r="AS14" s="1"/>
      <c r="AT14" s="1"/>
      <c r="AU14" s="1"/>
    </row>
    <row r="15" spans="1:47">
      <c r="A15" s="38">
        <f>+datos!A15</f>
        <v>42522</v>
      </c>
      <c r="B15" s="1"/>
      <c r="C15" s="1"/>
      <c r="D15" s="1"/>
      <c r="E15" s="1"/>
      <c r="F15" s="1">
        <f t="shared" si="7"/>
        <v>100</v>
      </c>
      <c r="G15" s="1">
        <f t="shared" si="3"/>
        <v>90.088282504012838</v>
      </c>
      <c r="H15" s="1">
        <f t="shared" si="3"/>
        <v>4803</v>
      </c>
      <c r="I15" s="1">
        <f t="shared" si="3"/>
        <v>107.69239399822908</v>
      </c>
      <c r="J15" s="1"/>
      <c r="K15" s="1">
        <f t="shared" si="12"/>
        <v>121.81226261530114</v>
      </c>
      <c r="L15" s="1">
        <f t="shared" si="13"/>
        <v>112.42977528089888</v>
      </c>
      <c r="M15" s="1">
        <f t="shared" si="14"/>
        <v>107.69239399822908</v>
      </c>
      <c r="N15" s="1"/>
      <c r="O15" s="1">
        <f t="shared" si="5"/>
        <v>90.617512665597744</v>
      </c>
      <c r="P15" s="1">
        <f t="shared" si="6"/>
        <v>85.880131382927942</v>
      </c>
      <c r="Q15" s="1"/>
      <c r="R15" s="1"/>
      <c r="S15" s="14">
        <f t="shared" si="8"/>
        <v>3942.9527839643652</v>
      </c>
      <c r="T15" s="1">
        <f t="shared" si="9"/>
        <v>92.297583894296935</v>
      </c>
      <c r="U15" s="14">
        <f t="shared" si="10"/>
        <v>88.408499839080704</v>
      </c>
      <c r="V15" s="1">
        <f t="shared" si="11"/>
        <v>88.408499839080704</v>
      </c>
      <c r="W15" s="1"/>
      <c r="X15" s="1"/>
      <c r="Y15" s="1"/>
      <c r="Z15" s="1"/>
      <c r="AA15" s="1"/>
      <c r="AB15" s="1"/>
      <c r="AC15" s="1"/>
      <c r="AD15" s="1"/>
      <c r="AE15" s="1"/>
      <c r="AF15" s="1"/>
      <c r="AG15" s="1"/>
      <c r="AH15" s="1"/>
      <c r="AI15" s="1"/>
      <c r="AJ15" s="1"/>
      <c r="AK15" s="1"/>
      <c r="AL15" s="1"/>
      <c r="AM15" s="1"/>
      <c r="AN15" s="1"/>
      <c r="AO15" s="1"/>
      <c r="AP15" s="1"/>
      <c r="AQ15" s="1"/>
      <c r="AR15" s="1"/>
      <c r="AS15" s="1"/>
      <c r="AT15" s="1"/>
      <c r="AU15" s="1"/>
    </row>
    <row r="16" spans="1:47">
      <c r="A16" s="38">
        <f>+datos!A16</f>
        <v>42552</v>
      </c>
      <c r="B16" s="1"/>
      <c r="C16" s="1"/>
      <c r="D16" s="1"/>
      <c r="E16" s="1"/>
      <c r="F16" s="1">
        <f t="shared" si="7"/>
        <v>100</v>
      </c>
      <c r="G16" s="1">
        <f t="shared" si="3"/>
        <v>92.295345104333876</v>
      </c>
      <c r="H16" s="1">
        <f t="shared" si="3"/>
        <v>4803</v>
      </c>
      <c r="I16" s="1">
        <f t="shared" si="3"/>
        <v>107.37503449256896</v>
      </c>
      <c r="J16" s="1"/>
      <c r="K16" s="1">
        <f t="shared" si="12"/>
        <v>124.79652740097669</v>
      </c>
      <c r="L16" s="1">
        <f t="shared" si="13"/>
        <v>112.42977528089888</v>
      </c>
      <c r="M16" s="1">
        <f t="shared" si="14"/>
        <v>107.37503449256896</v>
      </c>
      <c r="N16" s="1"/>
      <c r="O16" s="1">
        <f t="shared" si="5"/>
        <v>87.633247879922195</v>
      </c>
      <c r="P16" s="1">
        <f t="shared" si="6"/>
        <v>82.578507091592272</v>
      </c>
      <c r="Q16" s="1"/>
      <c r="R16" s="1"/>
      <c r="S16" s="14">
        <f t="shared" si="8"/>
        <v>3848.6647826086955</v>
      </c>
      <c r="T16" s="1">
        <f t="shared" si="9"/>
        <v>90.090467757694185</v>
      </c>
      <c r="U16" s="14">
        <f t="shared" si="10"/>
        <v>86.040081986871556</v>
      </c>
      <c r="V16" s="1">
        <f t="shared" si="11"/>
        <v>86.040081986871556</v>
      </c>
      <c r="W16" s="1"/>
      <c r="X16" s="1"/>
      <c r="Y16" s="1"/>
      <c r="Z16" s="1"/>
      <c r="AA16" s="1"/>
      <c r="AB16" s="1"/>
      <c r="AC16" s="1"/>
      <c r="AD16" s="1"/>
      <c r="AE16" s="1"/>
      <c r="AF16" s="1"/>
      <c r="AG16" s="1"/>
      <c r="AH16" s="1"/>
      <c r="AI16" s="1"/>
      <c r="AJ16" s="1"/>
      <c r="AK16" s="1"/>
      <c r="AL16" s="1"/>
      <c r="AM16" s="1"/>
      <c r="AN16" s="1"/>
      <c r="AO16" s="1"/>
      <c r="AP16" s="1"/>
      <c r="AQ16" s="1"/>
      <c r="AR16" s="1"/>
      <c r="AS16" s="1"/>
      <c r="AT16" s="1"/>
      <c r="AU16" s="1"/>
    </row>
    <row r="17" spans="1:47">
      <c r="A17" s="38">
        <f>+datos!A17</f>
        <v>42583</v>
      </c>
      <c r="B17" s="1"/>
      <c r="C17" s="1"/>
      <c r="D17" s="1"/>
      <c r="E17" s="1"/>
      <c r="F17" s="1">
        <f t="shared" si="7"/>
        <v>100</v>
      </c>
      <c r="G17" s="1">
        <f t="shared" si="3"/>
        <v>93.298555377207066</v>
      </c>
      <c r="H17" s="1">
        <f t="shared" si="3"/>
        <v>4803</v>
      </c>
      <c r="I17" s="1">
        <f t="shared" si="3"/>
        <v>120.78835000477545</v>
      </c>
      <c r="J17" s="1"/>
      <c r="K17" s="1">
        <f t="shared" si="12"/>
        <v>126.15301139446555</v>
      </c>
      <c r="L17" s="1">
        <f t="shared" si="13"/>
        <v>112.42977528089888</v>
      </c>
      <c r="M17" s="1">
        <f t="shared" si="14"/>
        <v>120.78835000477545</v>
      </c>
      <c r="N17" s="1"/>
      <c r="O17" s="1">
        <f t="shared" si="5"/>
        <v>86.276763886433329</v>
      </c>
      <c r="P17" s="1">
        <f t="shared" si="6"/>
        <v>94.635338610309901</v>
      </c>
      <c r="Q17" s="1"/>
      <c r="R17" s="1"/>
      <c r="S17" s="14">
        <f t="shared" si="8"/>
        <v>3807.2812903225804</v>
      </c>
      <c r="T17" s="1">
        <f t="shared" si="9"/>
        <v>89.121753050622203</v>
      </c>
      <c r="U17" s="14">
        <f t="shared" si="10"/>
        <v>95.747496369376833</v>
      </c>
      <c r="V17" s="1">
        <f t="shared" si="11"/>
        <v>95.747496369376833</v>
      </c>
      <c r="W17" s="1"/>
      <c r="X17" s="1"/>
      <c r="Y17" s="1"/>
      <c r="Z17" s="1"/>
      <c r="AA17" s="1"/>
      <c r="AB17" s="1"/>
      <c r="AC17" s="1"/>
      <c r="AD17" s="1"/>
      <c r="AE17" s="1"/>
      <c r="AF17" s="1"/>
      <c r="AG17" s="1"/>
      <c r="AH17" s="1"/>
      <c r="AI17" s="1"/>
      <c r="AJ17" s="1"/>
      <c r="AK17" s="1"/>
      <c r="AL17" s="1"/>
      <c r="AM17" s="1"/>
      <c r="AN17" s="1"/>
      <c r="AO17" s="1"/>
      <c r="AP17" s="1"/>
      <c r="AQ17" s="1"/>
      <c r="AR17" s="1"/>
      <c r="AS17" s="1"/>
      <c r="AT17" s="1"/>
      <c r="AU17" s="1"/>
    </row>
    <row r="18" spans="1:47">
      <c r="A18" s="38">
        <f>+datos!A18</f>
        <v>42614</v>
      </c>
      <c r="B18" s="1"/>
      <c r="C18" s="1"/>
      <c r="D18" s="1"/>
      <c r="E18" s="1"/>
      <c r="F18" s="1">
        <f t="shared" si="7"/>
        <v>100</v>
      </c>
      <c r="G18" s="1">
        <f t="shared" si="3"/>
        <v>94.221508828250407</v>
      </c>
      <c r="H18" s="1">
        <f t="shared" si="3"/>
        <v>4803</v>
      </c>
      <c r="I18" s="1">
        <f t="shared" si="3"/>
        <v>121.06851426512608</v>
      </c>
      <c r="J18" s="1"/>
      <c r="K18" s="1">
        <f t="shared" si="12"/>
        <v>127.40097666847532</v>
      </c>
      <c r="L18" s="1">
        <f t="shared" si="13"/>
        <v>112.42977528089888</v>
      </c>
      <c r="M18" s="1">
        <f t="shared" si="14"/>
        <v>121.06851426512608</v>
      </c>
      <c r="N18" s="1"/>
      <c r="O18" s="1">
        <f t="shared" si="5"/>
        <v>85.028798612423557</v>
      </c>
      <c r="P18" s="1">
        <f t="shared" si="6"/>
        <v>93.66753759665076</v>
      </c>
      <c r="Q18" s="1"/>
      <c r="R18" s="1"/>
      <c r="S18" s="14">
        <f t="shared" si="8"/>
        <v>3769.9867972742759</v>
      </c>
      <c r="T18" s="1">
        <f t="shared" si="9"/>
        <v>88.248754617843545</v>
      </c>
      <c r="U18" s="14">
        <f t="shared" si="10"/>
        <v>95.029502466195638</v>
      </c>
      <c r="V18" s="1">
        <f t="shared" si="11"/>
        <v>95.029502466195638</v>
      </c>
      <c r="W18" s="1"/>
      <c r="X18" s="1"/>
      <c r="Y18" s="1"/>
      <c r="Z18" s="1"/>
      <c r="AA18" s="1"/>
      <c r="AB18" s="1"/>
      <c r="AC18" s="1"/>
      <c r="AD18" s="1"/>
      <c r="AE18" s="1"/>
      <c r="AF18" s="1"/>
      <c r="AG18" s="1"/>
      <c r="AH18" s="1"/>
      <c r="AI18" s="1"/>
      <c r="AJ18" s="1"/>
      <c r="AK18" s="1"/>
      <c r="AL18" s="1"/>
      <c r="AM18" s="1"/>
      <c r="AN18" s="1"/>
      <c r="AO18" s="1"/>
      <c r="AP18" s="1"/>
      <c r="AQ18" s="1"/>
      <c r="AR18" s="1"/>
      <c r="AS18" s="1"/>
      <c r="AT18" s="1"/>
      <c r="AU18" s="1"/>
    </row>
    <row r="19" spans="1:47">
      <c r="A19" s="38">
        <f>+datos!A19</f>
        <v>42644</v>
      </c>
      <c r="B19" s="1"/>
      <c r="C19" s="1"/>
      <c r="D19" s="1"/>
      <c r="E19" s="1"/>
      <c r="F19" s="1">
        <f t="shared" si="7"/>
        <v>100</v>
      </c>
      <c r="G19" s="1">
        <f t="shared" si="3"/>
        <v>96.749598715890855</v>
      </c>
      <c r="H19" s="1">
        <f t="shared" si="3"/>
        <v>5100</v>
      </c>
      <c r="I19" s="1">
        <f t="shared" si="3"/>
        <v>131.77847924081868</v>
      </c>
      <c r="J19" s="1"/>
      <c r="K19" s="1">
        <f t="shared" si="12"/>
        <v>130.8193163320673</v>
      </c>
      <c r="L19" s="1">
        <f t="shared" si="13"/>
        <v>119.38202247191012</v>
      </c>
      <c r="M19" s="1">
        <f t="shared" si="14"/>
        <v>131.77847924081868</v>
      </c>
      <c r="N19" s="1"/>
      <c r="O19" s="1">
        <f t="shared" si="5"/>
        <v>88.562706139842817</v>
      </c>
      <c r="P19" s="1">
        <f t="shared" si="6"/>
        <v>100.95916290875138</v>
      </c>
      <c r="Q19" s="1"/>
      <c r="R19" s="1"/>
      <c r="S19" s="14">
        <f t="shared" si="8"/>
        <v>3898.5068436333468</v>
      </c>
      <c r="T19" s="1">
        <f t="shared" si="9"/>
        <v>91.257182669319917</v>
      </c>
      <c r="U19" s="14">
        <f t="shared" si="10"/>
        <v>100.73319669880914</v>
      </c>
      <c r="V19" s="1">
        <f t="shared" si="11"/>
        <v>100.73319669880914</v>
      </c>
      <c r="W19" s="1"/>
      <c r="X19" s="1"/>
      <c r="Y19" s="1"/>
      <c r="Z19" s="1"/>
      <c r="AA19" s="1"/>
      <c r="AB19" s="1"/>
      <c r="AC19" s="1"/>
      <c r="AD19" s="1"/>
      <c r="AE19" s="1"/>
      <c r="AF19" s="1"/>
      <c r="AG19" s="1"/>
      <c r="AH19" s="1"/>
      <c r="AI19" s="1"/>
      <c r="AJ19" s="1"/>
      <c r="AK19" s="1"/>
      <c r="AL19" s="1"/>
      <c r="AM19" s="1"/>
      <c r="AN19" s="1"/>
      <c r="AO19" s="1"/>
      <c r="AP19" s="1"/>
      <c r="AQ19" s="1"/>
      <c r="AR19" s="1"/>
      <c r="AS19" s="1"/>
      <c r="AT19" s="1"/>
      <c r="AU19" s="1"/>
    </row>
    <row r="20" spans="1:47">
      <c r="A20" s="38">
        <f>+datos!A20</f>
        <v>42675</v>
      </c>
      <c r="B20" s="1"/>
      <c r="C20" s="1"/>
      <c r="D20" s="1"/>
      <c r="E20" s="1"/>
      <c r="F20" s="1">
        <f t="shared" si="7"/>
        <v>100</v>
      </c>
      <c r="G20" s="1">
        <f t="shared" si="3"/>
        <v>98.394863563402893</v>
      </c>
      <c r="H20" s="1">
        <f t="shared" si="3"/>
        <v>5100</v>
      </c>
      <c r="I20" s="1">
        <f t="shared" si="3"/>
        <v>132.1844090708384</v>
      </c>
      <c r="J20" s="1"/>
      <c r="K20" s="1">
        <f t="shared" si="12"/>
        <v>133.04395008138903</v>
      </c>
      <c r="L20" s="1">
        <f t="shared" si="13"/>
        <v>119.38202247191012</v>
      </c>
      <c r="M20" s="1">
        <f t="shared" si="14"/>
        <v>132.1844090708384</v>
      </c>
      <c r="N20" s="1"/>
      <c r="O20" s="1">
        <f t="shared" si="5"/>
        <v>86.338072390521091</v>
      </c>
      <c r="P20" s="1">
        <f t="shared" si="6"/>
        <v>99.140458989449371</v>
      </c>
      <c r="Q20" s="1"/>
      <c r="R20" s="1"/>
      <c r="S20" s="14">
        <f t="shared" si="8"/>
        <v>3833.3197389885809</v>
      </c>
      <c r="T20" s="1">
        <f t="shared" si="9"/>
        <v>89.731267298421841</v>
      </c>
      <c r="U20" s="14">
        <f t="shared" si="10"/>
        <v>99.353942054467851</v>
      </c>
      <c r="V20" s="1">
        <f t="shared" si="11"/>
        <v>99.353942054467851</v>
      </c>
      <c r="W20" s="1"/>
      <c r="X20" s="1"/>
      <c r="Y20" s="1"/>
      <c r="Z20" s="1"/>
      <c r="AA20" s="1"/>
      <c r="AB20" s="1"/>
      <c r="AC20" s="1"/>
      <c r="AD20" s="1"/>
      <c r="AE20" s="1"/>
      <c r="AF20" s="1"/>
      <c r="AG20" s="1"/>
      <c r="AH20" s="1"/>
      <c r="AI20" s="1"/>
      <c r="AJ20" s="1"/>
      <c r="AK20" s="1"/>
      <c r="AL20" s="1"/>
      <c r="AM20" s="1"/>
      <c r="AN20" s="1"/>
      <c r="AO20" s="1"/>
      <c r="AP20" s="1"/>
      <c r="AQ20" s="1"/>
      <c r="AR20" s="1"/>
      <c r="AS20" s="1"/>
      <c r="AT20" s="1"/>
      <c r="AU20" s="1"/>
    </row>
    <row r="21" spans="1:47">
      <c r="A21" s="38">
        <f>+datos!A21</f>
        <v>42705</v>
      </c>
      <c r="B21" s="1"/>
      <c r="C21" s="1"/>
      <c r="D21" s="1"/>
      <c r="E21" s="1"/>
      <c r="F21" s="1">
        <f t="shared" si="7"/>
        <v>100</v>
      </c>
      <c r="G21" s="1">
        <f t="shared" si="3"/>
        <v>100</v>
      </c>
      <c r="H21" s="1">
        <f t="shared" si="3"/>
        <v>5100</v>
      </c>
      <c r="I21" s="1">
        <f t="shared" si="3"/>
        <v>132.41767437746472</v>
      </c>
      <c r="J21" s="1"/>
      <c r="K21" s="1">
        <f t="shared" si="12"/>
        <v>135.21432447097123</v>
      </c>
      <c r="L21" s="1">
        <f t="shared" si="13"/>
        <v>119.38202247191012</v>
      </c>
      <c r="M21" s="1">
        <f t="shared" si="14"/>
        <v>132.41767437746472</v>
      </c>
      <c r="N21" s="1"/>
      <c r="O21" s="1">
        <f t="shared" si="5"/>
        <v>84.167698000938884</v>
      </c>
      <c r="P21" s="1">
        <f t="shared" si="6"/>
        <v>97.203349906493486</v>
      </c>
      <c r="Q21" s="1"/>
      <c r="R21" s="1"/>
      <c r="S21" s="14">
        <f t="shared" si="8"/>
        <v>3771.7897271268057</v>
      </c>
      <c r="T21" s="1">
        <f t="shared" si="9"/>
        <v>88.290958031994521</v>
      </c>
      <c r="U21" s="14">
        <f t="shared" si="10"/>
        <v>97.931690962145865</v>
      </c>
      <c r="V21" s="1">
        <f t="shared" si="11"/>
        <v>97.931690962145865</v>
      </c>
      <c r="W21" s="1"/>
      <c r="X21" s="1"/>
      <c r="Y21" s="1"/>
      <c r="Z21" s="1"/>
      <c r="AA21" s="1"/>
      <c r="AB21" s="1"/>
      <c r="AC21" s="1"/>
      <c r="AD21" s="1"/>
      <c r="AE21" s="1"/>
      <c r="AF21" s="1"/>
      <c r="AG21" s="1"/>
      <c r="AH21" s="1"/>
      <c r="AI21" s="1"/>
      <c r="AJ21" s="1"/>
      <c r="AK21" s="1"/>
      <c r="AL21" s="1"/>
      <c r="AM21" s="1"/>
      <c r="AN21" s="1"/>
      <c r="AO21" s="1"/>
      <c r="AP21" s="1"/>
      <c r="AQ21" s="1"/>
      <c r="AR21" s="1"/>
      <c r="AS21" s="1"/>
      <c r="AT21" s="1"/>
      <c r="AU21" s="1"/>
    </row>
    <row r="22" spans="1:47">
      <c r="A22" s="38">
        <f>+datos!A22</f>
        <v>42736</v>
      </c>
      <c r="B22" s="1"/>
      <c r="C22" s="1"/>
      <c r="D22" s="1"/>
      <c r="E22" s="1"/>
      <c r="F22" s="1">
        <f t="shared" si="7"/>
        <v>100</v>
      </c>
      <c r="G22" s="1">
        <f t="shared" si="3"/>
        <v>101.6</v>
      </c>
      <c r="H22" s="1">
        <f t="shared" si="3"/>
        <v>5100</v>
      </c>
      <c r="I22" s="1">
        <f t="shared" si="3"/>
        <v>134.1691947573041</v>
      </c>
      <c r="J22" s="1"/>
      <c r="K22" s="1">
        <f t="shared" si="12"/>
        <v>137.37775366250679</v>
      </c>
      <c r="L22" s="1">
        <f t="shared" si="13"/>
        <v>119.38202247191012</v>
      </c>
      <c r="M22" s="1">
        <f t="shared" si="14"/>
        <v>134.1691947573041</v>
      </c>
      <c r="N22" s="1"/>
      <c r="O22" s="1">
        <f t="shared" si="5"/>
        <v>82.004268809403328</v>
      </c>
      <c r="P22" s="1">
        <f t="shared" si="6"/>
        <v>96.791441094797307</v>
      </c>
      <c r="Q22" s="1"/>
      <c r="R22" s="1"/>
      <c r="S22" s="14">
        <f t="shared" si="8"/>
        <v>3712.3914637074863</v>
      </c>
      <c r="T22" s="1">
        <f t="shared" si="9"/>
        <v>86.900549244089092</v>
      </c>
      <c r="U22" s="14">
        <f t="shared" si="10"/>
        <v>97.664426139122156</v>
      </c>
      <c r="V22" s="1">
        <f t="shared" si="11"/>
        <v>97.664426139122156</v>
      </c>
      <c r="W22" s="1"/>
      <c r="X22" s="1"/>
      <c r="Y22" s="1"/>
      <c r="Z22" s="1"/>
      <c r="AA22" s="1"/>
      <c r="AB22" s="1"/>
      <c r="AC22" s="1"/>
      <c r="AD22" s="1"/>
      <c r="AE22" s="1"/>
      <c r="AF22" s="1"/>
      <c r="AG22" s="1"/>
      <c r="AH22" s="1"/>
      <c r="AI22" s="1"/>
      <c r="AJ22" s="1"/>
      <c r="AK22" s="1"/>
      <c r="AL22" s="1"/>
      <c r="AM22" s="1"/>
      <c r="AN22" s="1"/>
      <c r="AO22" s="1"/>
      <c r="AP22" s="1"/>
      <c r="AQ22" s="1"/>
      <c r="AR22" s="1"/>
      <c r="AS22" s="1"/>
      <c r="AT22" s="1"/>
      <c r="AU22" s="1"/>
    </row>
    <row r="23" spans="1:47">
      <c r="A23" s="38">
        <f>+datos!A23</f>
        <v>42767</v>
      </c>
      <c r="B23" s="1"/>
      <c r="C23" s="1"/>
      <c r="D23" s="1"/>
      <c r="E23" s="1"/>
      <c r="F23" s="1">
        <f t="shared" si="7"/>
        <v>100</v>
      </c>
      <c r="G23" s="1">
        <f t="shared" si="3"/>
        <v>103.7</v>
      </c>
      <c r="H23" s="1">
        <f t="shared" si="3"/>
        <v>5100</v>
      </c>
      <c r="I23" s="1">
        <f t="shared" si="3"/>
        <v>133.57617734264039</v>
      </c>
      <c r="J23" s="1"/>
      <c r="K23" s="1">
        <f t="shared" si="12"/>
        <v>140.21725447639719</v>
      </c>
      <c r="L23" s="1">
        <f t="shared" si="13"/>
        <v>119.38202247191012</v>
      </c>
      <c r="M23" s="1">
        <f t="shared" si="14"/>
        <v>133.57617734264039</v>
      </c>
      <c r="N23" s="1"/>
      <c r="O23" s="1">
        <f t="shared" si="5"/>
        <v>79.164767995512932</v>
      </c>
      <c r="P23" s="1">
        <f t="shared" si="6"/>
        <v>93.358922866243205</v>
      </c>
      <c r="Q23" s="1"/>
      <c r="R23" s="1"/>
      <c r="S23" s="14">
        <f t="shared" si="8"/>
        <v>3637.2128516169773</v>
      </c>
      <c r="T23" s="1">
        <f t="shared" si="9"/>
        <v>85.140750271932987</v>
      </c>
      <c r="U23" s="14">
        <f t="shared" si="10"/>
        <v>95.263723313827484</v>
      </c>
      <c r="V23" s="1">
        <f t="shared" si="11"/>
        <v>95.263723313827484</v>
      </c>
      <c r="W23" s="1"/>
      <c r="X23" s="1"/>
      <c r="Y23" s="1"/>
      <c r="Z23" s="1"/>
      <c r="AA23" s="1"/>
      <c r="AB23" s="1"/>
      <c r="AC23" s="1"/>
      <c r="AD23" s="1"/>
      <c r="AE23" s="1"/>
      <c r="AF23" s="1"/>
      <c r="AG23" s="1"/>
      <c r="AH23" s="1"/>
      <c r="AI23" s="1"/>
      <c r="AJ23" s="1"/>
      <c r="AK23" s="1"/>
      <c r="AL23" s="1"/>
      <c r="AM23" s="1"/>
      <c r="AN23" s="1"/>
      <c r="AO23" s="1"/>
      <c r="AP23" s="1"/>
      <c r="AQ23" s="1"/>
      <c r="AR23" s="1"/>
      <c r="AS23" s="1"/>
      <c r="AT23" s="1"/>
      <c r="AU23" s="1"/>
    </row>
    <row r="24" spans="1:47">
      <c r="A24" s="38">
        <f>+datos!A24</f>
        <v>42795</v>
      </c>
      <c r="B24" s="1"/>
      <c r="C24" s="1"/>
      <c r="D24" s="1"/>
      <c r="E24" s="1"/>
      <c r="F24" s="1">
        <f t="shared" si="7"/>
        <v>100</v>
      </c>
      <c r="G24" s="1">
        <f t="shared" si="3"/>
        <v>106.1</v>
      </c>
      <c r="H24" s="1">
        <f t="shared" si="3"/>
        <v>5100</v>
      </c>
      <c r="I24" s="1">
        <f t="shared" si="3"/>
        <v>133.81803203417587</v>
      </c>
      <c r="J24" s="1"/>
      <c r="K24" s="1">
        <f t="shared" si="12"/>
        <v>143.46239826370049</v>
      </c>
      <c r="L24" s="1">
        <f t="shared" si="13"/>
        <v>119.38202247191012</v>
      </c>
      <c r="M24" s="1">
        <f t="shared" si="14"/>
        <v>133.81803203417587</v>
      </c>
      <c r="N24" s="1"/>
      <c r="O24" s="1">
        <f t="shared" si="5"/>
        <v>75.919624208209626</v>
      </c>
      <c r="P24" s="1">
        <f t="shared" si="6"/>
        <v>90.355633770475379</v>
      </c>
      <c r="Q24" s="1"/>
      <c r="R24" s="1"/>
      <c r="S24" s="14">
        <f t="shared" si="8"/>
        <v>3554.9384798556139</v>
      </c>
      <c r="T24" s="1">
        <f t="shared" si="9"/>
        <v>83.214852056545269</v>
      </c>
      <c r="U24" s="14">
        <f t="shared" si="10"/>
        <v>93.277425760165286</v>
      </c>
      <c r="V24" s="1">
        <f t="shared" si="11"/>
        <v>93.277425760165286</v>
      </c>
      <c r="W24" s="1"/>
      <c r="X24" s="1"/>
      <c r="Y24" s="1"/>
      <c r="Z24" s="1"/>
      <c r="AA24" s="1"/>
      <c r="AB24" s="1"/>
      <c r="AC24" s="1"/>
      <c r="AD24" s="1"/>
      <c r="AE24" s="1"/>
      <c r="AF24" s="1"/>
      <c r="AG24" s="1"/>
      <c r="AH24" s="1"/>
      <c r="AI24" s="1"/>
      <c r="AJ24" s="1"/>
      <c r="AK24" s="1"/>
      <c r="AL24" s="1"/>
      <c r="AM24" s="1"/>
      <c r="AN24" s="1"/>
      <c r="AO24" s="1"/>
      <c r="AP24" s="1"/>
      <c r="AQ24" s="1"/>
      <c r="AR24" s="1"/>
      <c r="AS24" s="1"/>
      <c r="AT24" s="1"/>
      <c r="AU24" s="1"/>
    </row>
    <row r="25" spans="1:47">
      <c r="A25" s="38">
        <f>+datos!A25</f>
        <v>42826</v>
      </c>
      <c r="B25" s="1"/>
      <c r="C25" s="1"/>
      <c r="D25" s="1"/>
      <c r="E25" s="1"/>
      <c r="F25" s="1">
        <f t="shared" si="7"/>
        <v>100</v>
      </c>
      <c r="G25" s="1">
        <f t="shared" si="3"/>
        <v>109</v>
      </c>
      <c r="H25" s="1">
        <f t="shared" si="3"/>
        <v>6012</v>
      </c>
      <c r="I25" s="1">
        <f t="shared" si="3"/>
        <v>133.02606136796356</v>
      </c>
      <c r="J25" s="1"/>
      <c r="K25" s="1">
        <f t="shared" si="12"/>
        <v>147.38361367335867</v>
      </c>
      <c r="L25" s="1">
        <f t="shared" si="13"/>
        <v>140.73033707865167</v>
      </c>
      <c r="M25" s="1">
        <f t="shared" si="14"/>
        <v>133.02606136796356</v>
      </c>
      <c r="N25" s="1"/>
      <c r="O25" s="1">
        <f t="shared" si="5"/>
        <v>93.346723405293005</v>
      </c>
      <c r="P25" s="1">
        <f t="shared" si="6"/>
        <v>85.642447694604897</v>
      </c>
      <c r="Q25" s="1"/>
      <c r="R25" s="1"/>
      <c r="S25" s="14">
        <f t="shared" si="8"/>
        <v>4079.1508975510624</v>
      </c>
      <c r="T25" s="1">
        <f t="shared" si="9"/>
        <v>95.485741983873183</v>
      </c>
      <c r="U25" s="14">
        <f t="shared" si="10"/>
        <v>90.258379512110992</v>
      </c>
      <c r="V25" s="1">
        <f t="shared" si="11"/>
        <v>90.258379512110992</v>
      </c>
      <c r="W25" s="1"/>
      <c r="X25" s="1"/>
      <c r="Y25" s="1"/>
      <c r="Z25" s="1"/>
      <c r="AA25" s="1"/>
      <c r="AB25" s="1"/>
      <c r="AC25" s="1"/>
      <c r="AD25" s="1"/>
      <c r="AE25" s="1"/>
      <c r="AF25" s="1"/>
      <c r="AG25" s="1"/>
      <c r="AH25" s="1"/>
      <c r="AI25" s="1"/>
      <c r="AJ25" s="1"/>
      <c r="AK25" s="1"/>
      <c r="AL25" s="1"/>
      <c r="AM25" s="1"/>
      <c r="AN25" s="1"/>
      <c r="AO25" s="1"/>
      <c r="AP25" s="1"/>
      <c r="AQ25" s="1"/>
      <c r="AR25" s="1"/>
      <c r="AS25" s="1"/>
      <c r="AT25" s="1"/>
      <c r="AU25" s="1"/>
    </row>
    <row r="26" spans="1:47">
      <c r="A26" s="38">
        <f>+datos!A26</f>
        <v>42856</v>
      </c>
      <c r="B26" s="1"/>
      <c r="C26" s="1"/>
      <c r="D26" s="1"/>
      <c r="E26" s="1"/>
      <c r="F26" s="1">
        <f t="shared" si="7"/>
        <v>100</v>
      </c>
      <c r="G26" s="1">
        <f t="shared" si="3"/>
        <v>110.5</v>
      </c>
      <c r="H26" s="1">
        <f t="shared" si="3"/>
        <v>6012</v>
      </c>
      <c r="I26" s="1">
        <f t="shared" si="3"/>
        <v>135.86328758496367</v>
      </c>
      <c r="J26" s="1"/>
      <c r="K26" s="1">
        <f t="shared" si="12"/>
        <v>149.41182854042322</v>
      </c>
      <c r="L26" s="1">
        <f t="shared" si="13"/>
        <v>140.73033707865167</v>
      </c>
      <c r="M26" s="1">
        <f t="shared" si="14"/>
        <v>135.86328758496367</v>
      </c>
      <c r="N26" s="1"/>
      <c r="O26" s="1">
        <f t="shared" si="5"/>
        <v>91.318508538228457</v>
      </c>
      <c r="P26" s="1">
        <f t="shared" si="6"/>
        <v>86.451459044540456</v>
      </c>
      <c r="Q26" s="1"/>
      <c r="R26" s="1"/>
      <c r="S26" s="14">
        <f t="shared" si="8"/>
        <v>4023.7778084440342</v>
      </c>
      <c r="T26" s="1">
        <f t="shared" si="9"/>
        <v>94.189555441105668</v>
      </c>
      <c r="U26" s="14">
        <f t="shared" si="10"/>
        <v>90.932082762246623</v>
      </c>
      <c r="V26" s="1">
        <f t="shared" si="11"/>
        <v>90.932082762246623</v>
      </c>
      <c r="W26" s="1"/>
      <c r="X26" s="1"/>
      <c r="Y26" s="1"/>
      <c r="Z26" s="1"/>
      <c r="AA26" s="1"/>
      <c r="AB26" s="1"/>
      <c r="AC26" s="1"/>
      <c r="AD26" s="1"/>
      <c r="AE26" s="1"/>
      <c r="AF26" s="1"/>
      <c r="AG26" s="1"/>
      <c r="AH26" s="1"/>
      <c r="AI26" s="1"/>
      <c r="AJ26" s="1"/>
      <c r="AK26" s="1"/>
      <c r="AL26" s="1"/>
      <c r="AM26" s="1"/>
      <c r="AN26" s="1"/>
      <c r="AO26" s="1"/>
      <c r="AP26" s="1"/>
      <c r="AQ26" s="1"/>
      <c r="AR26" s="1"/>
      <c r="AS26" s="1"/>
      <c r="AT26" s="1"/>
      <c r="AU26" s="1"/>
    </row>
    <row r="27" spans="1:47">
      <c r="A27" s="38">
        <f>+datos!A27</f>
        <v>42887</v>
      </c>
      <c r="B27" s="1"/>
      <c r="C27" s="1"/>
      <c r="D27" s="1"/>
      <c r="E27" s="1"/>
      <c r="F27" s="1">
        <f t="shared" si="7"/>
        <v>100</v>
      </c>
      <c r="G27" s="1">
        <f t="shared" si="3"/>
        <v>111.8</v>
      </c>
      <c r="H27" s="1">
        <f t="shared" si="3"/>
        <v>6012</v>
      </c>
      <c r="I27" s="1">
        <f t="shared" si="3"/>
        <v>135.42231828955354</v>
      </c>
      <c r="J27" s="1"/>
      <c r="K27" s="1">
        <f t="shared" si="12"/>
        <v>151.16961475854586</v>
      </c>
      <c r="L27" s="1">
        <f t="shared" si="13"/>
        <v>140.73033707865167</v>
      </c>
      <c r="M27" s="1">
        <f t="shared" si="14"/>
        <v>135.42231828955354</v>
      </c>
      <c r="N27" s="1"/>
      <c r="O27" s="1">
        <f t="shared" si="5"/>
        <v>89.56072232010581</v>
      </c>
      <c r="P27" s="1">
        <f t="shared" si="6"/>
        <v>84.252703531007683</v>
      </c>
      <c r="Q27" s="1"/>
      <c r="R27" s="1"/>
      <c r="S27" s="14">
        <f t="shared" si="8"/>
        <v>3976.98969439236</v>
      </c>
      <c r="T27" s="1">
        <f t="shared" si="9"/>
        <v>93.094328052255619</v>
      </c>
      <c r="U27" s="14">
        <f t="shared" si="10"/>
        <v>89.583027982081916</v>
      </c>
      <c r="V27" s="1">
        <f t="shared" si="11"/>
        <v>89.583027982081916</v>
      </c>
      <c r="W27" s="1"/>
      <c r="X27" s="1"/>
      <c r="Y27" s="1"/>
      <c r="Z27" s="1"/>
      <c r="AA27" s="1"/>
      <c r="AB27" s="1"/>
      <c r="AC27" s="1"/>
      <c r="AD27" s="1"/>
      <c r="AE27" s="1"/>
      <c r="AF27" s="1"/>
      <c r="AG27" s="1"/>
      <c r="AH27" s="1"/>
      <c r="AI27" s="1"/>
      <c r="AJ27" s="1"/>
      <c r="AK27" s="1"/>
      <c r="AL27" s="1"/>
      <c r="AM27" s="1"/>
      <c r="AN27" s="1"/>
      <c r="AO27" s="1"/>
      <c r="AP27" s="1"/>
      <c r="AQ27" s="1"/>
      <c r="AR27" s="1"/>
      <c r="AS27" s="1"/>
      <c r="AT27" s="1"/>
      <c r="AU27" s="1"/>
    </row>
    <row r="28" spans="1:47">
      <c r="A28" s="38">
        <f>+datos!A28</f>
        <v>42917</v>
      </c>
      <c r="B28" s="1"/>
      <c r="C28" s="1"/>
      <c r="D28" s="1"/>
      <c r="E28" s="1"/>
      <c r="F28" s="1">
        <f t="shared" si="7"/>
        <v>100</v>
      </c>
      <c r="G28" s="1">
        <f t="shared" si="3"/>
        <v>113.8</v>
      </c>
      <c r="H28" s="1">
        <f t="shared" si="3"/>
        <v>6012</v>
      </c>
      <c r="I28" s="1">
        <f t="shared" si="3"/>
        <v>136.94784831015804</v>
      </c>
      <c r="J28" s="1"/>
      <c r="K28" s="1">
        <f t="shared" si="12"/>
        <v>153.87390124796528</v>
      </c>
      <c r="L28" s="1">
        <f t="shared" si="13"/>
        <v>140.73033707865167</v>
      </c>
      <c r="M28" s="1">
        <f t="shared" si="14"/>
        <v>136.94784831015804</v>
      </c>
      <c r="N28" s="1"/>
      <c r="O28" s="1">
        <f t="shared" si="5"/>
        <v>86.856435830686394</v>
      </c>
      <c r="P28" s="1">
        <f t="shared" si="6"/>
        <v>83.073947062192758</v>
      </c>
      <c r="Q28" s="1"/>
      <c r="R28" s="1"/>
      <c r="S28" s="14">
        <f t="shared" si="8"/>
        <v>3907.0953236649016</v>
      </c>
      <c r="T28" s="1">
        <f t="shared" si="9"/>
        <v>91.458223868560424</v>
      </c>
      <c r="U28" s="14">
        <f t="shared" si="10"/>
        <v>89.000049520723351</v>
      </c>
      <c r="V28" s="1">
        <f t="shared" si="11"/>
        <v>89.000049520723351</v>
      </c>
      <c r="W28" s="1"/>
      <c r="X28" s="1"/>
      <c r="Y28" s="1"/>
      <c r="Z28" s="1"/>
      <c r="AA28" s="1"/>
      <c r="AB28" s="1"/>
      <c r="AC28" s="1"/>
      <c r="AD28" s="1"/>
      <c r="AE28" s="1"/>
      <c r="AF28" s="1"/>
      <c r="AG28" s="1"/>
      <c r="AH28" s="1"/>
      <c r="AI28" s="1"/>
      <c r="AJ28" s="1"/>
      <c r="AK28" s="1"/>
      <c r="AL28" s="1"/>
      <c r="AM28" s="1"/>
      <c r="AN28" s="1"/>
      <c r="AO28" s="1"/>
      <c r="AP28" s="1"/>
      <c r="AQ28" s="1"/>
      <c r="AR28" s="1"/>
      <c r="AS28" s="1"/>
      <c r="AT28" s="1"/>
      <c r="AU28" s="1"/>
    </row>
    <row r="29" spans="1:47">
      <c r="A29" s="38">
        <f>+datos!A29</f>
        <v>42948</v>
      </c>
      <c r="B29" s="1"/>
      <c r="C29" s="1"/>
      <c r="D29" s="1"/>
      <c r="E29" s="1"/>
      <c r="F29" s="1">
        <f t="shared" si="7"/>
        <v>100</v>
      </c>
      <c r="G29" s="1">
        <f t="shared" si="3"/>
        <v>115.4</v>
      </c>
      <c r="H29" s="1">
        <f t="shared" si="3"/>
        <v>6012</v>
      </c>
      <c r="I29" s="1">
        <f t="shared" si="3"/>
        <v>156.3629433509914</v>
      </c>
      <c r="J29" s="1"/>
      <c r="K29" s="1">
        <f t="shared" si="12"/>
        <v>156.03733043950081</v>
      </c>
      <c r="L29" s="1">
        <f t="shared" si="13"/>
        <v>140.73033707865167</v>
      </c>
      <c r="M29" s="1">
        <f t="shared" si="14"/>
        <v>156.3629433509914</v>
      </c>
      <c r="N29" s="1"/>
      <c r="O29" s="1">
        <f t="shared" si="5"/>
        <v>84.693006639150866</v>
      </c>
      <c r="P29" s="1">
        <f t="shared" si="6"/>
        <v>100.32561291149059</v>
      </c>
      <c r="Q29" s="1"/>
      <c r="R29" s="1"/>
      <c r="S29" s="14">
        <f t="shared" si="8"/>
        <v>3852.924157998837</v>
      </c>
      <c r="T29" s="1">
        <f t="shared" si="9"/>
        <v>90.190172237800496</v>
      </c>
      <c r="U29" s="14">
        <f t="shared" si="10"/>
        <v>100.20867628956061</v>
      </c>
      <c r="V29" s="1">
        <f t="shared" si="11"/>
        <v>100.2086762895606</v>
      </c>
      <c r="W29" s="1"/>
      <c r="X29" s="1"/>
      <c r="Y29" s="1"/>
      <c r="Z29" s="1"/>
      <c r="AA29" s="1"/>
      <c r="AB29" s="1"/>
      <c r="AC29" s="1"/>
      <c r="AD29" s="1"/>
      <c r="AE29" s="1"/>
      <c r="AF29" s="1"/>
      <c r="AG29" s="1"/>
      <c r="AH29" s="1"/>
      <c r="AI29" s="1"/>
      <c r="AJ29" s="1"/>
      <c r="AK29" s="1"/>
      <c r="AL29" s="1"/>
      <c r="AM29" s="1"/>
      <c r="AN29" s="1"/>
      <c r="AO29" s="1"/>
      <c r="AP29" s="1"/>
      <c r="AQ29" s="1"/>
      <c r="AR29" s="1"/>
      <c r="AS29" s="1"/>
      <c r="AT29" s="1"/>
      <c r="AU29" s="1"/>
    </row>
    <row r="30" spans="1:47">
      <c r="A30" s="38">
        <f>+datos!A30</f>
        <v>42979</v>
      </c>
      <c r="B30" s="1"/>
      <c r="C30" s="1"/>
      <c r="D30" s="1"/>
      <c r="E30" s="1"/>
      <c r="F30" s="1">
        <f t="shared" si="7"/>
        <v>100</v>
      </c>
      <c r="G30" s="1">
        <f t="shared" ref="G30:I49" si="15">+VLOOKUP($A30,ran_dat,G$1,FALSE)</f>
        <v>117.6</v>
      </c>
      <c r="H30" s="1">
        <f t="shared" si="15"/>
        <v>6012</v>
      </c>
      <c r="I30" s="1">
        <f t="shared" si="15"/>
        <v>156.42127900305468</v>
      </c>
      <c r="J30" s="1"/>
      <c r="K30" s="1">
        <f t="shared" si="12"/>
        <v>159.01204557786218</v>
      </c>
      <c r="L30" s="1">
        <f t="shared" si="13"/>
        <v>140.73033707865167</v>
      </c>
      <c r="M30" s="1">
        <f t="shared" si="14"/>
        <v>156.42127900305468</v>
      </c>
      <c r="N30" s="1"/>
      <c r="O30" s="1">
        <f t="shared" si="5"/>
        <v>81.718291500789491</v>
      </c>
      <c r="P30" s="1">
        <f t="shared" si="6"/>
        <v>97.409233425192497</v>
      </c>
      <c r="Q30" s="1"/>
      <c r="R30" s="1"/>
      <c r="S30" s="14">
        <f t="shared" si="8"/>
        <v>3780.8456448389952</v>
      </c>
      <c r="T30" s="1">
        <f t="shared" si="9"/>
        <v>88.502941124508311</v>
      </c>
      <c r="U30" s="14">
        <f t="shared" si="10"/>
        <v>98.370710492156462</v>
      </c>
      <c r="V30" s="1">
        <f t="shared" si="11"/>
        <v>98.370710492156462</v>
      </c>
      <c r="W30" s="1"/>
      <c r="X30" s="1"/>
      <c r="Y30" s="1"/>
      <c r="Z30" s="1"/>
      <c r="AA30" s="1"/>
      <c r="AB30" s="1"/>
      <c r="AC30" s="1"/>
      <c r="AD30" s="1"/>
      <c r="AE30" s="1"/>
      <c r="AF30" s="1"/>
      <c r="AG30" s="1"/>
      <c r="AH30" s="1"/>
      <c r="AI30" s="1"/>
      <c r="AJ30" s="1"/>
      <c r="AK30" s="1"/>
      <c r="AL30" s="1"/>
      <c r="AM30" s="1"/>
      <c r="AN30" s="1"/>
      <c r="AO30" s="1"/>
      <c r="AP30" s="1"/>
      <c r="AQ30" s="1"/>
      <c r="AR30" s="1"/>
      <c r="AS30" s="1"/>
      <c r="AT30" s="1"/>
      <c r="AU30" s="1"/>
    </row>
    <row r="31" spans="1:47">
      <c r="A31" s="38">
        <f>+datos!A31</f>
        <v>43009</v>
      </c>
      <c r="B31" s="1"/>
      <c r="C31" s="1"/>
      <c r="D31" s="1"/>
      <c r="E31" s="1"/>
      <c r="F31" s="1">
        <f t="shared" si="7"/>
        <v>100</v>
      </c>
      <c r="G31" s="1">
        <f t="shared" si="15"/>
        <v>119.4</v>
      </c>
      <c r="H31" s="1">
        <f t="shared" si="15"/>
        <v>6300</v>
      </c>
      <c r="I31" s="1">
        <f t="shared" si="15"/>
        <v>158.10839242882801</v>
      </c>
      <c r="J31" s="1"/>
      <c r="K31" s="1">
        <f t="shared" si="12"/>
        <v>161.44590341833967</v>
      </c>
      <c r="L31" s="1">
        <f t="shared" si="13"/>
        <v>147.47191011235955</v>
      </c>
      <c r="M31" s="1">
        <f t="shared" si="14"/>
        <v>158.10839242882801</v>
      </c>
      <c r="N31" s="1"/>
      <c r="O31" s="1">
        <f t="shared" si="5"/>
        <v>86.026006694019884</v>
      </c>
      <c r="P31" s="1">
        <f t="shared" si="6"/>
        <v>96.662489010488343</v>
      </c>
      <c r="Q31" s="1"/>
      <c r="R31" s="1"/>
      <c r="S31" s="14">
        <f t="shared" si="8"/>
        <v>3902.2358985940941</v>
      </c>
      <c r="T31" s="1">
        <f t="shared" si="9"/>
        <v>91.344473281696963</v>
      </c>
      <c r="U31" s="14">
        <f t="shared" si="10"/>
        <v>97.932737270599262</v>
      </c>
      <c r="V31" s="1">
        <f t="shared" si="11"/>
        <v>97.932737270599262</v>
      </c>
      <c r="W31" s="1"/>
      <c r="X31" s="1"/>
      <c r="Y31" s="1"/>
      <c r="Z31" s="1"/>
      <c r="AA31" s="1"/>
      <c r="AB31" s="1"/>
      <c r="AC31" s="1"/>
      <c r="AD31" s="1"/>
      <c r="AE31" s="1"/>
      <c r="AF31" s="1"/>
      <c r="AG31" s="1"/>
      <c r="AH31" s="1"/>
      <c r="AI31" s="1"/>
      <c r="AJ31" s="1"/>
      <c r="AK31" s="1"/>
      <c r="AL31" s="1"/>
      <c r="AM31" s="1"/>
      <c r="AN31" s="1"/>
      <c r="AO31" s="1"/>
      <c r="AP31" s="1"/>
      <c r="AQ31" s="1"/>
      <c r="AR31" s="1"/>
      <c r="AS31" s="1"/>
      <c r="AT31" s="1"/>
      <c r="AU31" s="1"/>
    </row>
    <row r="32" spans="1:47">
      <c r="A32" s="38">
        <f>+datos!A32</f>
        <v>43040</v>
      </c>
      <c r="B32" s="1"/>
      <c r="C32" s="1"/>
      <c r="D32" s="1"/>
      <c r="E32" s="1"/>
      <c r="F32" s="1">
        <f t="shared" si="7"/>
        <v>100</v>
      </c>
      <c r="G32" s="1">
        <f t="shared" si="15"/>
        <v>121</v>
      </c>
      <c r="H32" s="1">
        <f t="shared" si="15"/>
        <v>6300</v>
      </c>
      <c r="I32" s="1">
        <f t="shared" si="15"/>
        <v>159.64594160296483</v>
      </c>
      <c r="J32" s="1"/>
      <c r="K32" s="1">
        <f t="shared" si="12"/>
        <v>163.6093326098752</v>
      </c>
      <c r="L32" s="1">
        <f t="shared" si="13"/>
        <v>147.47191011235955</v>
      </c>
      <c r="M32" s="1">
        <f t="shared" si="14"/>
        <v>159.64594160296483</v>
      </c>
      <c r="N32" s="1"/>
      <c r="O32" s="1">
        <f t="shared" si="5"/>
        <v>83.862577502484356</v>
      </c>
      <c r="P32" s="1">
        <f t="shared" si="6"/>
        <v>96.036608993089629</v>
      </c>
      <c r="Q32" s="1"/>
      <c r="R32" s="1"/>
      <c r="S32" s="14">
        <f t="shared" si="8"/>
        <v>3850.6360850589654</v>
      </c>
      <c r="T32" s="1">
        <f t="shared" si="9"/>
        <v>90.136612477972037</v>
      </c>
      <c r="U32" s="14">
        <f t="shared" si="10"/>
        <v>97.577527550729002</v>
      </c>
      <c r="V32" s="1">
        <f t="shared" si="11"/>
        <v>97.577527550729002</v>
      </c>
      <c r="W32" s="1"/>
      <c r="X32" s="1"/>
      <c r="Y32" s="1"/>
      <c r="Z32" s="1"/>
      <c r="AA32" s="1"/>
      <c r="AB32" s="1"/>
      <c r="AC32" s="1"/>
      <c r="AD32" s="1"/>
      <c r="AE32" s="1"/>
      <c r="AF32" s="1"/>
      <c r="AG32" s="1"/>
      <c r="AH32" s="1"/>
      <c r="AI32" s="1"/>
      <c r="AJ32" s="1"/>
      <c r="AK32" s="1"/>
      <c r="AL32" s="1"/>
      <c r="AM32" s="1"/>
      <c r="AN32" s="1"/>
      <c r="AO32" s="1"/>
      <c r="AP32" s="1"/>
      <c r="AQ32" s="1"/>
      <c r="AR32" s="1"/>
      <c r="AS32" s="1"/>
      <c r="AT32" s="1"/>
      <c r="AU32" s="1"/>
    </row>
    <row r="33" spans="1:47">
      <c r="A33" s="38">
        <f>+datos!A33</f>
        <v>43070</v>
      </c>
      <c r="B33" s="1"/>
      <c r="C33" s="1"/>
      <c r="D33" s="1"/>
      <c r="E33" s="1"/>
      <c r="F33" s="1">
        <f t="shared" si="7"/>
        <v>100</v>
      </c>
      <c r="G33" s="1">
        <f t="shared" si="15"/>
        <v>124.8</v>
      </c>
      <c r="H33" s="1">
        <f t="shared" si="15"/>
        <v>6300</v>
      </c>
      <c r="I33" s="1">
        <f t="shared" si="15"/>
        <v>160.98919536118598</v>
      </c>
      <c r="J33" s="1"/>
      <c r="K33" s="1">
        <f t="shared" si="12"/>
        <v>168.7474769397721</v>
      </c>
      <c r="L33" s="1">
        <f t="shared" si="13"/>
        <v>147.47191011235955</v>
      </c>
      <c r="M33" s="1">
        <f t="shared" si="14"/>
        <v>160.98919536118598</v>
      </c>
      <c r="N33" s="1"/>
      <c r="O33" s="1">
        <f t="shared" si="5"/>
        <v>78.724433172587453</v>
      </c>
      <c r="P33" s="1">
        <f t="shared" si="6"/>
        <v>92.241718421413879</v>
      </c>
      <c r="Q33" s="1"/>
      <c r="R33" s="1"/>
      <c r="S33" s="14">
        <f t="shared" si="8"/>
        <v>3733.3891529818502</v>
      </c>
      <c r="T33" s="1">
        <f t="shared" si="9"/>
        <v>87.392068187777397</v>
      </c>
      <c r="U33" s="14">
        <f t="shared" si="10"/>
        <v>95.402431064877419</v>
      </c>
      <c r="V33" s="1">
        <f t="shared" si="11"/>
        <v>95.402431064877419</v>
      </c>
      <c r="W33" s="1"/>
      <c r="X33" s="1"/>
      <c r="Y33" s="1"/>
      <c r="Z33" s="1"/>
      <c r="AA33" s="1"/>
      <c r="AB33" s="1"/>
      <c r="AC33" s="1"/>
      <c r="AD33" s="1"/>
      <c r="AE33" s="1"/>
      <c r="AF33" s="1"/>
      <c r="AG33" s="1"/>
      <c r="AH33" s="1"/>
      <c r="AI33" s="1"/>
      <c r="AJ33" s="1"/>
      <c r="AK33" s="1"/>
      <c r="AL33" s="1"/>
      <c r="AM33" s="1"/>
      <c r="AN33" s="1"/>
      <c r="AO33" s="1"/>
      <c r="AP33" s="1"/>
      <c r="AQ33" s="1"/>
      <c r="AR33" s="1"/>
      <c r="AS33" s="1"/>
      <c r="AT33" s="1"/>
      <c r="AU33" s="1"/>
    </row>
    <row r="34" spans="1:47">
      <c r="A34" s="38">
        <f>+datos!A34</f>
        <v>43101</v>
      </c>
      <c r="B34" s="1"/>
      <c r="C34" s="1"/>
      <c r="D34" s="1"/>
      <c r="E34" s="1"/>
      <c r="F34" s="1">
        <f t="shared" si="7"/>
        <v>100</v>
      </c>
      <c r="G34" s="1">
        <f t="shared" si="15"/>
        <v>127</v>
      </c>
      <c r="H34" s="1">
        <f t="shared" si="15"/>
        <v>6300</v>
      </c>
      <c r="I34" s="1">
        <f t="shared" si="15"/>
        <v>162.635429216826</v>
      </c>
      <c r="J34" s="1"/>
      <c r="K34" s="1">
        <f t="shared" si="12"/>
        <v>171.72219207813347</v>
      </c>
      <c r="L34" s="1">
        <f t="shared" si="13"/>
        <v>147.47191011235955</v>
      </c>
      <c r="M34" s="1">
        <f t="shared" si="14"/>
        <v>162.635429216826</v>
      </c>
      <c r="N34" s="1"/>
      <c r="O34" s="1">
        <f t="shared" si="5"/>
        <v>75.749718034226078</v>
      </c>
      <c r="P34" s="1">
        <f t="shared" si="6"/>
        <v>90.913237138692523</v>
      </c>
      <c r="Q34" s="1"/>
      <c r="R34" s="1"/>
      <c r="S34" s="14">
        <f t="shared" si="8"/>
        <v>3668.7162700168101</v>
      </c>
      <c r="T34" s="1">
        <f t="shared" si="9"/>
        <v>85.878189841217463</v>
      </c>
      <c r="U34" s="14">
        <f t="shared" si="10"/>
        <v>94.708451626815361</v>
      </c>
      <c r="V34" s="1">
        <f t="shared" si="11"/>
        <v>94.708451626815361</v>
      </c>
      <c r="W34" s="1"/>
      <c r="X34" s="1"/>
      <c r="Y34" s="1"/>
      <c r="Z34" s="1"/>
      <c r="AA34" s="1"/>
      <c r="AB34" s="1"/>
      <c r="AC34" s="1"/>
      <c r="AD34" s="1"/>
      <c r="AE34" s="1"/>
      <c r="AF34" s="1"/>
      <c r="AG34" s="1"/>
      <c r="AH34" s="1"/>
      <c r="AI34" s="1"/>
      <c r="AJ34" s="1"/>
      <c r="AK34" s="1"/>
      <c r="AL34" s="1"/>
      <c r="AM34" s="1"/>
      <c r="AN34" s="1"/>
      <c r="AO34" s="1"/>
      <c r="AP34" s="1"/>
      <c r="AQ34" s="1"/>
      <c r="AR34" s="1"/>
      <c r="AS34" s="1"/>
      <c r="AT34" s="1"/>
      <c r="AU34" s="1"/>
    </row>
    <row r="35" spans="1:47">
      <c r="A35" s="38">
        <f>+datos!A35</f>
        <v>43132</v>
      </c>
      <c r="B35" s="1"/>
      <c r="C35" s="1"/>
      <c r="D35" s="1"/>
      <c r="E35" s="1"/>
      <c r="F35" s="1">
        <f t="shared" si="7"/>
        <v>100</v>
      </c>
      <c r="G35" s="1">
        <f t="shared" si="15"/>
        <v>130.1</v>
      </c>
      <c r="H35" s="1">
        <f t="shared" si="15"/>
        <v>6300</v>
      </c>
      <c r="I35" s="1">
        <f t="shared" si="15"/>
        <v>163.09301124380144</v>
      </c>
      <c r="J35" s="1"/>
      <c r="K35" s="1">
        <f t="shared" si="12"/>
        <v>175.91383613673358</v>
      </c>
      <c r="L35" s="1">
        <f t="shared" si="13"/>
        <v>147.47191011235955</v>
      </c>
      <c r="M35" s="1">
        <f t="shared" si="14"/>
        <v>163.09301124380144</v>
      </c>
      <c r="N35" s="1"/>
      <c r="O35" s="1">
        <f t="shared" si="5"/>
        <v>71.558073975625973</v>
      </c>
      <c r="P35" s="1">
        <f t="shared" si="6"/>
        <v>87.179175107067863</v>
      </c>
      <c r="Q35" s="1"/>
      <c r="R35" s="1"/>
      <c r="S35" s="14">
        <f t="shared" si="8"/>
        <v>3581.2987416766705</v>
      </c>
      <c r="T35" s="1">
        <f t="shared" si="9"/>
        <v>83.831899383817188</v>
      </c>
      <c r="U35" s="14">
        <f t="shared" si="10"/>
        <v>92.711872372013531</v>
      </c>
      <c r="V35" s="1">
        <f t="shared" si="11"/>
        <v>92.711872372013531</v>
      </c>
      <c r="W35" s="1"/>
      <c r="X35" s="1"/>
      <c r="Y35" s="1"/>
      <c r="Z35" s="1"/>
      <c r="AA35" s="1"/>
      <c r="AB35" s="1"/>
      <c r="AC35" s="1"/>
      <c r="AD35" s="1"/>
      <c r="AE35" s="1"/>
      <c r="AF35" s="1"/>
      <c r="AG35" s="1"/>
      <c r="AH35" s="1"/>
      <c r="AI35" s="1"/>
      <c r="AJ35" s="1"/>
      <c r="AK35" s="1"/>
      <c r="AL35" s="1"/>
      <c r="AM35" s="1"/>
      <c r="AN35" s="1"/>
      <c r="AO35" s="1"/>
      <c r="AP35" s="1"/>
      <c r="AQ35" s="1"/>
      <c r="AR35" s="1"/>
      <c r="AS35" s="1"/>
      <c r="AT35" s="1"/>
      <c r="AU35" s="1"/>
    </row>
    <row r="36" spans="1:47">
      <c r="A36" s="38">
        <f>+datos!A36</f>
        <v>43160</v>
      </c>
      <c r="B36" s="1"/>
      <c r="C36" s="1"/>
      <c r="D36" s="1"/>
      <c r="E36" s="1"/>
      <c r="F36" s="1">
        <f t="shared" si="7"/>
        <v>100</v>
      </c>
      <c r="G36" s="1">
        <f t="shared" si="15"/>
        <v>133.1</v>
      </c>
      <c r="H36" s="1">
        <f t="shared" si="15"/>
        <v>6300</v>
      </c>
      <c r="I36" s="1">
        <f t="shared" si="15"/>
        <v>165.42406182697235</v>
      </c>
      <c r="J36" s="1"/>
      <c r="K36" s="1">
        <f t="shared" si="12"/>
        <v>179.97026587086273</v>
      </c>
      <c r="L36" s="1">
        <f t="shared" si="13"/>
        <v>147.47191011235955</v>
      </c>
      <c r="M36" s="1">
        <f t="shared" si="14"/>
        <v>165.42406182697235</v>
      </c>
      <c r="N36" s="1"/>
      <c r="O36" s="1">
        <f t="shared" si="5"/>
        <v>67.50164424149682</v>
      </c>
      <c r="P36" s="1">
        <f t="shared" si="6"/>
        <v>85.453795956109616</v>
      </c>
      <c r="Q36" s="1"/>
      <c r="R36" s="1"/>
      <c r="S36" s="14">
        <f t="shared" si="8"/>
        <v>3500.5782591445145</v>
      </c>
      <c r="T36" s="1">
        <f t="shared" si="9"/>
        <v>81.942374979974588</v>
      </c>
      <c r="U36" s="14">
        <f t="shared" si="10"/>
        <v>91.917440376329751</v>
      </c>
      <c r="V36" s="1">
        <f t="shared" si="11"/>
        <v>91.917440376329751</v>
      </c>
      <c r="W36" s="1"/>
      <c r="X36" s="1"/>
      <c r="Y36" s="1"/>
      <c r="Z36" s="1"/>
      <c r="AA36" s="1"/>
      <c r="AB36" s="1"/>
      <c r="AC36" s="1"/>
      <c r="AD36" s="1"/>
      <c r="AE36" s="1"/>
      <c r="AF36" s="1"/>
      <c r="AG36" s="1"/>
      <c r="AH36" s="1"/>
      <c r="AI36" s="1"/>
      <c r="AJ36" s="1"/>
      <c r="AK36" s="1"/>
      <c r="AL36" s="1"/>
      <c r="AM36" s="1"/>
      <c r="AN36" s="1"/>
      <c r="AO36" s="1"/>
      <c r="AP36" s="1"/>
      <c r="AQ36" s="1"/>
      <c r="AR36" s="1"/>
      <c r="AS36" s="1"/>
      <c r="AT36" s="1"/>
      <c r="AU36" s="1"/>
    </row>
    <row r="37" spans="1:47">
      <c r="A37" s="38">
        <f>+datos!A37</f>
        <v>43191</v>
      </c>
      <c r="B37" s="1"/>
      <c r="C37" s="1"/>
      <c r="D37" s="1"/>
      <c r="E37" s="1"/>
      <c r="F37" s="1">
        <f t="shared" si="7"/>
        <v>100</v>
      </c>
      <c r="G37" s="1">
        <f t="shared" si="15"/>
        <v>136.80000000000001</v>
      </c>
      <c r="H37" s="1">
        <f t="shared" si="15"/>
        <v>7020</v>
      </c>
      <c r="I37" s="1">
        <f t="shared" si="15"/>
        <v>166.93803160554063</v>
      </c>
      <c r="J37" s="1"/>
      <c r="K37" s="1">
        <f t="shared" si="12"/>
        <v>184.97319587628868</v>
      </c>
      <c r="L37" s="1">
        <f t="shared" si="13"/>
        <v>164.32584269662922</v>
      </c>
      <c r="M37" s="1">
        <f t="shared" si="14"/>
        <v>166.93803160554063</v>
      </c>
      <c r="N37" s="1"/>
      <c r="O37" s="1">
        <f t="shared" si="5"/>
        <v>79.352646820340539</v>
      </c>
      <c r="P37" s="1">
        <f t="shared" si="6"/>
        <v>81.964835729251945</v>
      </c>
      <c r="Q37" s="1"/>
      <c r="R37" s="1"/>
      <c r="S37" s="14">
        <f t="shared" si="8"/>
        <v>3795.1444622792933</v>
      </c>
      <c r="T37" s="1">
        <f t="shared" si="9"/>
        <v>88.837651270582711</v>
      </c>
      <c r="U37" s="14">
        <f t="shared" si="10"/>
        <v>90.249849884839477</v>
      </c>
      <c r="V37" s="1">
        <f t="shared" si="11"/>
        <v>90.249849884839477</v>
      </c>
      <c r="W37" s="1"/>
      <c r="X37" s="1"/>
      <c r="Y37" s="1"/>
      <c r="Z37" s="1"/>
      <c r="AA37" s="1"/>
      <c r="AB37" s="1"/>
      <c r="AC37" s="1"/>
      <c r="AD37" s="1"/>
      <c r="AE37" s="1"/>
      <c r="AF37" s="1"/>
      <c r="AG37" s="1"/>
      <c r="AH37" s="1"/>
      <c r="AI37" s="1"/>
      <c r="AJ37" s="1"/>
      <c r="AK37" s="1"/>
      <c r="AL37" s="1"/>
      <c r="AM37" s="1"/>
      <c r="AN37" s="1"/>
      <c r="AO37" s="1"/>
      <c r="AP37" s="1"/>
      <c r="AQ37" s="1"/>
      <c r="AR37" s="1"/>
      <c r="AS37" s="1"/>
      <c r="AT37" s="1"/>
      <c r="AU37" s="1"/>
    </row>
    <row r="38" spans="1:47">
      <c r="A38" s="38">
        <f>+datos!A38</f>
        <v>43221</v>
      </c>
      <c r="B38" s="1"/>
      <c r="C38" s="1"/>
      <c r="D38" s="1"/>
      <c r="E38" s="1"/>
      <c r="F38" s="1">
        <f t="shared" si="7"/>
        <v>100</v>
      </c>
      <c r="G38" s="1">
        <f t="shared" si="15"/>
        <v>139.6</v>
      </c>
      <c r="H38" s="1">
        <f t="shared" si="15"/>
        <v>7020</v>
      </c>
      <c r="I38" s="1">
        <f t="shared" si="15"/>
        <v>173.45478261288494</v>
      </c>
      <c r="J38" s="1"/>
      <c r="K38" s="1">
        <f t="shared" si="12"/>
        <v>188.75919696147585</v>
      </c>
      <c r="L38" s="1">
        <f t="shared" si="13"/>
        <v>164.32584269662922</v>
      </c>
      <c r="M38" s="1">
        <f t="shared" si="14"/>
        <v>173.45478261288497</v>
      </c>
      <c r="N38" s="1"/>
      <c r="O38" s="1">
        <f t="shared" si="5"/>
        <v>75.566645735153372</v>
      </c>
      <c r="P38" s="1">
        <f t="shared" si="6"/>
        <v>84.695585651409118</v>
      </c>
      <c r="Q38" s="1"/>
      <c r="R38" s="1"/>
      <c r="S38" s="14">
        <f t="shared" si="8"/>
        <v>3719.0240862450387</v>
      </c>
      <c r="T38" s="1">
        <f t="shared" si="9"/>
        <v>87.05580726229023</v>
      </c>
      <c r="U38" s="14">
        <f t="shared" si="10"/>
        <v>91.892096070045056</v>
      </c>
      <c r="V38" s="1">
        <f t="shared" si="11"/>
        <v>91.892096070045056</v>
      </c>
      <c r="W38" s="1"/>
      <c r="X38" s="1"/>
      <c r="Y38" s="1"/>
      <c r="Z38" s="1"/>
      <c r="AA38" s="1"/>
      <c r="AB38" s="1"/>
      <c r="AC38" s="1"/>
      <c r="AD38" s="1"/>
      <c r="AE38" s="1"/>
      <c r="AF38" s="1"/>
      <c r="AG38" s="1"/>
      <c r="AH38" s="1"/>
      <c r="AI38" s="1"/>
      <c r="AJ38" s="1"/>
      <c r="AK38" s="1"/>
      <c r="AL38" s="1"/>
      <c r="AM38" s="1"/>
      <c r="AN38" s="1"/>
      <c r="AO38" s="1"/>
      <c r="AP38" s="1"/>
      <c r="AQ38" s="1"/>
      <c r="AR38" s="1"/>
      <c r="AS38" s="1"/>
      <c r="AT38" s="1"/>
      <c r="AU38" s="1"/>
    </row>
    <row r="39" spans="1:47">
      <c r="A39" s="38">
        <f>+datos!A39</f>
        <v>43252</v>
      </c>
      <c r="B39" s="1"/>
      <c r="C39" s="1"/>
      <c r="D39" s="1"/>
      <c r="E39" s="1"/>
      <c r="F39" s="1">
        <f t="shared" si="7"/>
        <v>100</v>
      </c>
      <c r="G39" s="1">
        <f t="shared" si="15"/>
        <v>144.80000000000001</v>
      </c>
      <c r="H39" s="1">
        <f t="shared" si="15"/>
        <v>7020</v>
      </c>
      <c r="I39" s="1">
        <f t="shared" si="15"/>
        <v>174.63398859348743</v>
      </c>
      <c r="J39" s="1"/>
      <c r="K39" s="1">
        <f t="shared" si="12"/>
        <v>195.79034183396638</v>
      </c>
      <c r="L39" s="1">
        <f t="shared" si="13"/>
        <v>164.32584269662922</v>
      </c>
      <c r="M39" s="1">
        <f t="shared" si="14"/>
        <v>174.63398859348746</v>
      </c>
      <c r="N39" s="1"/>
      <c r="O39" s="1">
        <f t="shared" si="5"/>
        <v>68.535500862662843</v>
      </c>
      <c r="P39" s="1">
        <f t="shared" si="6"/>
        <v>78.843646759521079</v>
      </c>
      <c r="Q39" s="1"/>
      <c r="R39" s="1"/>
      <c r="S39" s="14">
        <f t="shared" si="8"/>
        <v>3585.4679726506029</v>
      </c>
      <c r="T39" s="1">
        <f t="shared" si="9"/>
        <v>83.929493741821233</v>
      </c>
      <c r="U39" s="14">
        <f t="shared" si="10"/>
        <v>89.194383623672351</v>
      </c>
      <c r="V39" s="1">
        <f t="shared" si="11"/>
        <v>89.194383623672351</v>
      </c>
      <c r="W39" s="1"/>
      <c r="X39" s="1"/>
      <c r="Y39" s="1"/>
      <c r="Z39" s="1"/>
      <c r="AA39" s="1"/>
      <c r="AB39" s="1"/>
      <c r="AC39" s="1"/>
      <c r="AD39" s="1"/>
      <c r="AE39" s="1"/>
      <c r="AF39" s="1"/>
      <c r="AG39" s="1"/>
      <c r="AH39" s="1"/>
      <c r="AI39" s="1"/>
      <c r="AJ39" s="1"/>
      <c r="AK39" s="1"/>
      <c r="AL39" s="1"/>
      <c r="AM39" s="1"/>
      <c r="AN39" s="1"/>
      <c r="AO39" s="1"/>
      <c r="AP39" s="1"/>
      <c r="AQ39" s="1"/>
      <c r="AR39" s="1"/>
      <c r="AS39" s="1"/>
      <c r="AT39" s="1"/>
      <c r="AU39" s="1"/>
    </row>
    <row r="40" spans="1:47">
      <c r="A40" s="38">
        <f>+datos!A40</f>
        <v>43282</v>
      </c>
      <c r="B40" s="1"/>
      <c r="C40" s="1"/>
      <c r="D40" s="1"/>
      <c r="E40" s="1"/>
      <c r="F40" s="1">
        <f t="shared" si="7"/>
        <v>100</v>
      </c>
      <c r="G40" s="1">
        <f t="shared" si="15"/>
        <v>149.30000000000001</v>
      </c>
      <c r="H40" s="1">
        <f t="shared" si="15"/>
        <v>7020</v>
      </c>
      <c r="I40" s="1">
        <f t="shared" si="15"/>
        <v>177.91306757855332</v>
      </c>
      <c r="J40" s="1"/>
      <c r="K40" s="1">
        <f t="shared" si="12"/>
        <v>201.87498643516008</v>
      </c>
      <c r="L40" s="1">
        <f t="shared" si="13"/>
        <v>164.32584269662922</v>
      </c>
      <c r="M40" s="1">
        <f t="shared" si="14"/>
        <v>177.9130675785533</v>
      </c>
      <c r="N40" s="1"/>
      <c r="O40" s="1">
        <f t="shared" si="5"/>
        <v>62.450856261469141</v>
      </c>
      <c r="P40" s="1">
        <f t="shared" si="6"/>
        <v>76.038081143393214</v>
      </c>
      <c r="Q40" s="1"/>
      <c r="R40" s="1"/>
      <c r="S40" s="14">
        <f t="shared" si="8"/>
        <v>3477.3996144662246</v>
      </c>
      <c r="T40" s="1">
        <f t="shared" si="9"/>
        <v>81.39980370941538</v>
      </c>
      <c r="U40" s="14">
        <f t="shared" si="10"/>
        <v>88.130318035066196</v>
      </c>
      <c r="V40" s="1">
        <f t="shared" si="11"/>
        <v>88.130318035066196</v>
      </c>
      <c r="W40" s="1"/>
      <c r="X40" s="1"/>
      <c r="Y40" s="1"/>
      <c r="Z40" s="1"/>
      <c r="AA40" s="1"/>
      <c r="AB40" s="1"/>
      <c r="AC40" s="1"/>
      <c r="AD40" s="1"/>
      <c r="AE40" s="1"/>
      <c r="AF40" s="1"/>
      <c r="AG40" s="1"/>
      <c r="AH40" s="1"/>
      <c r="AI40" s="1"/>
      <c r="AJ40" s="1"/>
      <c r="AK40" s="1"/>
      <c r="AL40" s="1"/>
      <c r="AM40" s="1"/>
      <c r="AN40" s="1"/>
      <c r="AO40" s="1"/>
      <c r="AP40" s="1"/>
      <c r="AQ40" s="1"/>
      <c r="AR40" s="1"/>
      <c r="AS40" s="1"/>
      <c r="AT40" s="1"/>
      <c r="AU40" s="1"/>
    </row>
    <row r="41" spans="1:47">
      <c r="A41" s="38">
        <f>+datos!A41</f>
        <v>43313</v>
      </c>
      <c r="B41" s="1"/>
      <c r="C41" s="1"/>
      <c r="D41" s="1"/>
      <c r="E41" s="1"/>
      <c r="F41" s="1">
        <f t="shared" si="7"/>
        <v>100</v>
      </c>
      <c r="G41" s="1">
        <f t="shared" si="15"/>
        <v>155.1</v>
      </c>
      <c r="H41" s="1">
        <f t="shared" si="15"/>
        <v>7020</v>
      </c>
      <c r="I41" s="1">
        <f t="shared" si="15"/>
        <v>203.91787015519327</v>
      </c>
      <c r="J41" s="1"/>
      <c r="K41" s="1">
        <f t="shared" si="12"/>
        <v>209.7174172544764</v>
      </c>
      <c r="L41" s="1">
        <f t="shared" si="13"/>
        <v>164.32584269662922</v>
      </c>
      <c r="M41" s="1">
        <f t="shared" si="14"/>
        <v>203.91787015519327</v>
      </c>
      <c r="N41" s="1"/>
      <c r="O41" s="1">
        <f t="shared" si="5"/>
        <v>54.608425442152821</v>
      </c>
      <c r="P41" s="1">
        <f t="shared" si="6"/>
        <v>94.200452900716868</v>
      </c>
      <c r="Q41" s="1"/>
      <c r="R41" s="1"/>
      <c r="S41" s="14">
        <f t="shared" si="8"/>
        <v>3347.3614599600737</v>
      </c>
      <c r="T41" s="1">
        <f t="shared" si="9"/>
        <v>78.355839418541052</v>
      </c>
      <c r="U41" s="14">
        <f t="shared" si="10"/>
        <v>97.23458968014765</v>
      </c>
      <c r="V41" s="1">
        <f t="shared" si="11"/>
        <v>97.23458968014765</v>
      </c>
      <c r="W41" s="1"/>
      <c r="X41" s="1"/>
      <c r="Y41" s="1"/>
      <c r="Z41" s="1"/>
      <c r="AA41" s="1"/>
      <c r="AB41" s="1"/>
      <c r="AC41" s="1"/>
      <c r="AD41" s="1"/>
      <c r="AE41" s="1"/>
      <c r="AF41" s="1"/>
      <c r="AG41" s="1"/>
      <c r="AH41" s="1"/>
      <c r="AI41" s="1"/>
      <c r="AJ41" s="1"/>
      <c r="AK41" s="1"/>
      <c r="AL41" s="1"/>
      <c r="AM41" s="1"/>
      <c r="AN41" s="1"/>
      <c r="AO41" s="1"/>
      <c r="AP41" s="1"/>
      <c r="AQ41" s="1"/>
      <c r="AR41" s="1"/>
      <c r="AS41" s="1"/>
      <c r="AT41" s="1"/>
      <c r="AU41" s="1"/>
    </row>
    <row r="42" spans="1:47">
      <c r="A42" s="38">
        <f>+datos!A42</f>
        <v>43344</v>
      </c>
      <c r="B42" s="1"/>
      <c r="C42" s="1"/>
      <c r="D42" s="1"/>
      <c r="E42" s="1"/>
      <c r="F42" s="1">
        <f t="shared" si="7"/>
        <v>100</v>
      </c>
      <c r="G42" s="1">
        <f t="shared" si="15"/>
        <v>165.2</v>
      </c>
      <c r="H42" s="1">
        <f t="shared" si="15"/>
        <v>7020</v>
      </c>
      <c r="I42" s="1">
        <f t="shared" si="15"/>
        <v>211.85659672172113</v>
      </c>
      <c r="J42" s="1"/>
      <c r="K42" s="1">
        <f t="shared" si="12"/>
        <v>223.37406402604449</v>
      </c>
      <c r="L42" s="1">
        <f t="shared" si="13"/>
        <v>164.32584269662922</v>
      </c>
      <c r="M42" s="1">
        <f t="shared" si="14"/>
        <v>211.85659672172113</v>
      </c>
      <c r="N42" s="1"/>
      <c r="O42" s="1">
        <f t="shared" si="5"/>
        <v>40.95177867058473</v>
      </c>
      <c r="P42" s="1">
        <f t="shared" si="6"/>
        <v>88.482532695676639</v>
      </c>
      <c r="Q42" s="1"/>
      <c r="R42" s="1"/>
      <c r="S42" s="14">
        <f t="shared" si="8"/>
        <v>3142.710426391086</v>
      </c>
      <c r="T42" s="1">
        <f t="shared" si="9"/>
        <v>73.565318969828795</v>
      </c>
      <c r="U42" s="14">
        <f t="shared" si="10"/>
        <v>94.843865444029149</v>
      </c>
      <c r="V42" s="1">
        <f t="shared" si="11"/>
        <v>94.843865444029149</v>
      </c>
      <c r="W42" s="1"/>
      <c r="X42" s="1"/>
      <c r="Y42" s="1"/>
      <c r="Z42" s="1"/>
      <c r="AA42" s="1"/>
      <c r="AB42" s="1"/>
      <c r="AC42" s="1"/>
      <c r="AD42" s="1"/>
      <c r="AE42" s="1"/>
      <c r="AF42" s="1"/>
      <c r="AG42" s="1"/>
      <c r="AH42" s="1"/>
      <c r="AI42" s="1"/>
      <c r="AJ42" s="1"/>
      <c r="AK42" s="1"/>
      <c r="AL42" s="1"/>
      <c r="AM42" s="1"/>
      <c r="AN42" s="1"/>
      <c r="AO42" s="1"/>
      <c r="AP42" s="1"/>
      <c r="AQ42" s="1"/>
      <c r="AR42" s="1"/>
      <c r="AS42" s="1"/>
      <c r="AT42" s="1"/>
      <c r="AU42" s="1"/>
    </row>
    <row r="43" spans="1:47">
      <c r="A43" s="38">
        <f>+datos!A43</f>
        <v>43374</v>
      </c>
      <c r="B43" s="1"/>
      <c r="C43" s="1"/>
      <c r="D43" s="1"/>
      <c r="E43" s="1"/>
      <c r="F43" s="1">
        <f t="shared" si="7"/>
        <v>100</v>
      </c>
      <c r="G43" s="1">
        <f t="shared" si="15"/>
        <v>174.1</v>
      </c>
      <c r="H43" s="1">
        <f t="shared" si="15"/>
        <v>8400</v>
      </c>
      <c r="I43" s="1">
        <f t="shared" si="15"/>
        <v>219.65482759106746</v>
      </c>
      <c r="J43" s="1"/>
      <c r="K43" s="1">
        <f t="shared" si="12"/>
        <v>235.40813890396092</v>
      </c>
      <c r="L43" s="1">
        <f t="shared" si="13"/>
        <v>196.62921348314606</v>
      </c>
      <c r="M43" s="1">
        <f t="shared" si="14"/>
        <v>219.65482759106743</v>
      </c>
      <c r="N43" s="1"/>
      <c r="O43" s="1">
        <f t="shared" si="5"/>
        <v>61.221074579185142</v>
      </c>
      <c r="P43" s="1">
        <f t="shared" si="6"/>
        <v>84.246688687106513</v>
      </c>
      <c r="Q43" s="1"/>
      <c r="R43" s="1"/>
      <c r="S43" s="14">
        <f t="shared" si="8"/>
        <v>3568.2708504088446</v>
      </c>
      <c r="T43" s="1">
        <f t="shared" si="9"/>
        <v>83.5269393822295</v>
      </c>
      <c r="U43" s="14">
        <f t="shared" si="10"/>
        <v>93.308085529141238</v>
      </c>
      <c r="V43" s="1">
        <f t="shared" si="11"/>
        <v>93.308085529141238</v>
      </c>
      <c r="W43" s="1"/>
      <c r="X43" s="1"/>
      <c r="Y43" s="1"/>
      <c r="Z43" s="1"/>
      <c r="AA43" s="1"/>
      <c r="AB43" s="1"/>
      <c r="AC43" s="1"/>
      <c r="AD43" s="1"/>
      <c r="AE43" s="1"/>
      <c r="AF43" s="1"/>
      <c r="AG43" s="1"/>
      <c r="AH43" s="1"/>
      <c r="AI43" s="1"/>
      <c r="AJ43" s="1"/>
      <c r="AK43" s="1"/>
      <c r="AL43" s="1"/>
      <c r="AM43" s="1"/>
      <c r="AN43" s="1"/>
      <c r="AO43" s="1"/>
      <c r="AP43" s="1"/>
      <c r="AQ43" s="1"/>
      <c r="AR43" s="1"/>
      <c r="AS43" s="1"/>
      <c r="AT43" s="1"/>
      <c r="AU43" s="1"/>
    </row>
    <row r="44" spans="1:47">
      <c r="A44" s="38">
        <f>+datos!A44</f>
        <v>43405</v>
      </c>
      <c r="B44" s="1"/>
      <c r="C44" s="1"/>
      <c r="D44" s="1"/>
      <c r="E44" s="1"/>
      <c r="F44" s="1">
        <f t="shared" si="7"/>
        <v>100</v>
      </c>
      <c r="G44" s="1">
        <f t="shared" si="15"/>
        <v>179.6</v>
      </c>
      <c r="H44" s="1">
        <f t="shared" si="15"/>
        <v>8400</v>
      </c>
      <c r="I44" s="1">
        <f t="shared" si="15"/>
        <v>223.15776146624069</v>
      </c>
      <c r="J44" s="1"/>
      <c r="K44" s="1">
        <f t="shared" si="12"/>
        <v>242.84492674986436</v>
      </c>
      <c r="L44" s="1">
        <f t="shared" si="13"/>
        <v>196.62921348314606</v>
      </c>
      <c r="M44" s="1">
        <f t="shared" si="14"/>
        <v>223.15776146624069</v>
      </c>
      <c r="N44" s="1"/>
      <c r="O44" s="1">
        <f t="shared" si="5"/>
        <v>53.784286733281704</v>
      </c>
      <c r="P44" s="1">
        <f t="shared" si="6"/>
        <v>80.312834716376329</v>
      </c>
      <c r="Q44" s="1"/>
      <c r="R44" s="1"/>
      <c r="S44" s="14">
        <f t="shared" si="8"/>
        <v>3458.9975225845201</v>
      </c>
      <c r="T44" s="1">
        <f t="shared" si="9"/>
        <v>80.969043131660115</v>
      </c>
      <c r="U44" s="14">
        <f t="shared" si="10"/>
        <v>91.893112387765925</v>
      </c>
      <c r="V44" s="1">
        <f t="shared" si="11"/>
        <v>91.893112387765925</v>
      </c>
      <c r="W44" s="1"/>
      <c r="X44" s="1"/>
      <c r="Y44" s="1"/>
      <c r="Z44" s="1"/>
      <c r="AA44" s="1"/>
      <c r="AB44" s="1"/>
      <c r="AC44" s="1"/>
      <c r="AD44" s="1"/>
      <c r="AE44" s="1"/>
      <c r="AF44" s="1"/>
      <c r="AG44" s="1"/>
      <c r="AH44" s="1"/>
      <c r="AI44" s="1"/>
      <c r="AJ44" s="1"/>
      <c r="AK44" s="1"/>
      <c r="AL44" s="1"/>
      <c r="AM44" s="1"/>
      <c r="AN44" s="1"/>
      <c r="AO44" s="1"/>
      <c r="AP44" s="1"/>
      <c r="AQ44" s="1"/>
      <c r="AR44" s="1"/>
      <c r="AS44" s="1"/>
      <c r="AT44" s="1"/>
      <c r="AU44" s="1"/>
    </row>
    <row r="45" spans="1:47">
      <c r="A45" s="38">
        <f>+datos!A45</f>
        <v>43435</v>
      </c>
      <c r="B45" s="1"/>
      <c r="C45" s="1"/>
      <c r="D45" s="1"/>
      <c r="E45" s="1"/>
      <c r="F45" s="1">
        <f t="shared" si="7"/>
        <v>100</v>
      </c>
      <c r="G45" s="1">
        <f t="shared" si="15"/>
        <v>184.3</v>
      </c>
      <c r="H45" s="1">
        <f t="shared" si="15"/>
        <v>8400</v>
      </c>
      <c r="I45" s="1">
        <f t="shared" si="15"/>
        <v>224.32369424182031</v>
      </c>
      <c r="J45" s="1"/>
      <c r="K45" s="1">
        <f t="shared" si="12"/>
        <v>249.2</v>
      </c>
      <c r="L45" s="1">
        <f t="shared" si="13"/>
        <v>196.62921348314606</v>
      </c>
      <c r="M45" s="1">
        <f t="shared" si="14"/>
        <v>224.32369424182031</v>
      </c>
      <c r="N45" s="1"/>
      <c r="O45" s="1">
        <f t="shared" si="5"/>
        <v>47.429213483146071</v>
      </c>
      <c r="P45" s="1">
        <f t="shared" si="6"/>
        <v>75.123694241820317</v>
      </c>
      <c r="Q45" s="1"/>
      <c r="R45" s="1"/>
      <c r="S45" s="14">
        <f t="shared" si="8"/>
        <v>3370.7865168539324</v>
      </c>
      <c r="T45" s="1">
        <f t="shared" si="9"/>
        <v>78.904178765307407</v>
      </c>
      <c r="U45" s="14">
        <f t="shared" si="10"/>
        <v>90.017533804903806</v>
      </c>
      <c r="V45" s="1">
        <f t="shared" si="11"/>
        <v>90.017533804903806</v>
      </c>
      <c r="W45" s="1"/>
      <c r="X45" s="1"/>
      <c r="Y45" s="1"/>
      <c r="Z45" s="1"/>
      <c r="AA45" s="1"/>
      <c r="AB45" s="1"/>
      <c r="AC45" s="1"/>
      <c r="AD45" s="1"/>
      <c r="AE45" s="1"/>
      <c r="AF45" s="1"/>
      <c r="AG45" s="1"/>
      <c r="AH45" s="1"/>
      <c r="AI45" s="1"/>
      <c r="AJ45" s="1"/>
      <c r="AK45" s="1"/>
      <c r="AL45" s="1"/>
      <c r="AM45" s="1"/>
      <c r="AN45" s="1"/>
      <c r="AO45" s="1"/>
      <c r="AP45" s="1"/>
      <c r="AQ45" s="1"/>
      <c r="AR45" s="1"/>
      <c r="AS45" s="1"/>
      <c r="AT45" s="1"/>
      <c r="AU45" s="1"/>
    </row>
    <row r="46" spans="1:47">
      <c r="A46" s="38">
        <f>+datos!A46</f>
        <v>43466</v>
      </c>
      <c r="B46" s="1"/>
      <c r="C46" s="1"/>
      <c r="D46" s="1"/>
      <c r="E46" s="1"/>
      <c r="F46" s="1">
        <f t="shared" si="7"/>
        <v>100</v>
      </c>
      <c r="G46" s="1">
        <f t="shared" si="15"/>
        <v>189.6</v>
      </c>
      <c r="H46" s="1">
        <f t="shared" si="15"/>
        <v>8400</v>
      </c>
      <c r="I46" s="1">
        <f t="shared" si="15"/>
        <v>228.11477493408256</v>
      </c>
      <c r="J46" s="1"/>
      <c r="K46" s="1">
        <f t="shared" si="12"/>
        <v>256.36635919696147</v>
      </c>
      <c r="L46" s="1">
        <f t="shared" si="13"/>
        <v>196.62921348314606</v>
      </c>
      <c r="M46" s="1">
        <f t="shared" si="14"/>
        <v>228.11477493408256</v>
      </c>
      <c r="N46" s="1"/>
      <c r="O46" s="1">
        <f t="shared" si="5"/>
        <v>40.262854286184592</v>
      </c>
      <c r="P46" s="1">
        <f t="shared" si="6"/>
        <v>71.748415737121093</v>
      </c>
      <c r="Q46" s="1"/>
      <c r="R46" s="1"/>
      <c r="S46" s="14">
        <f t="shared" si="8"/>
        <v>3276.560944389134</v>
      </c>
      <c r="T46" s="1">
        <f t="shared" si="9"/>
        <v>76.698523979146387</v>
      </c>
      <c r="U46" s="14">
        <f t="shared" si="10"/>
        <v>88.979995522277648</v>
      </c>
      <c r="V46" s="1">
        <f t="shared" si="11"/>
        <v>88.979995522277648</v>
      </c>
      <c r="W46" s="1"/>
      <c r="X46" s="1"/>
      <c r="Y46" s="1"/>
      <c r="Z46" s="1"/>
      <c r="AA46" s="1"/>
      <c r="AB46" s="1"/>
      <c r="AC46" s="1"/>
      <c r="AD46" s="1"/>
      <c r="AE46" s="1"/>
      <c r="AF46" s="1"/>
      <c r="AG46" s="1"/>
      <c r="AH46" s="1"/>
      <c r="AI46" s="1"/>
      <c r="AJ46" s="1"/>
      <c r="AK46" s="1"/>
      <c r="AL46" s="1"/>
      <c r="AM46" s="1"/>
      <c r="AN46" s="1"/>
      <c r="AO46" s="1"/>
      <c r="AP46" s="1"/>
      <c r="AQ46" s="1"/>
      <c r="AR46" s="1"/>
      <c r="AS46" s="1"/>
      <c r="AT46" s="1"/>
      <c r="AU46" s="1"/>
    </row>
    <row r="47" spans="1:47">
      <c r="A47" s="38">
        <f>+datos!A47</f>
        <v>43497</v>
      </c>
      <c r="B47" s="1"/>
      <c r="C47" s="1"/>
      <c r="D47" s="1"/>
      <c r="E47" s="1"/>
      <c r="F47" s="1">
        <f t="shared" si="7"/>
        <v>100</v>
      </c>
      <c r="G47" s="1">
        <f t="shared" si="15"/>
        <v>196.8</v>
      </c>
      <c r="H47" s="1">
        <f t="shared" si="15"/>
        <v>8400</v>
      </c>
      <c r="I47" s="1">
        <f t="shared" si="15"/>
        <v>252.8437372408666</v>
      </c>
      <c r="J47" s="1"/>
      <c r="K47" s="1">
        <f t="shared" si="12"/>
        <v>266.10179055887141</v>
      </c>
      <c r="L47" s="1">
        <f t="shared" si="13"/>
        <v>196.62921348314606</v>
      </c>
      <c r="M47" s="1">
        <f t="shared" si="14"/>
        <v>252.8437372408666</v>
      </c>
      <c r="N47" s="1"/>
      <c r="O47" s="1">
        <f t="shared" si="5"/>
        <v>30.527422924274646</v>
      </c>
      <c r="P47" s="1">
        <f t="shared" si="6"/>
        <v>86.741946681995188</v>
      </c>
      <c r="Q47" s="1"/>
      <c r="R47" s="1"/>
      <c r="S47" s="14">
        <f t="shared" si="8"/>
        <v>3156.686763496848</v>
      </c>
      <c r="T47" s="1">
        <f t="shared" si="9"/>
        <v>73.892480418933701</v>
      </c>
      <c r="U47" s="14">
        <f t="shared" si="10"/>
        <v>95.017676021585558</v>
      </c>
      <c r="V47" s="1">
        <f t="shared" si="11"/>
        <v>95.017676021585558</v>
      </c>
      <c r="W47" s="1"/>
      <c r="X47" s="1"/>
      <c r="Y47" s="1"/>
      <c r="Z47" s="1"/>
      <c r="AA47" s="1"/>
      <c r="AB47" s="1"/>
      <c r="AC47" s="1"/>
      <c r="AD47" s="1"/>
      <c r="AE47" s="1"/>
      <c r="AF47" s="1"/>
      <c r="AG47" s="1"/>
      <c r="AH47" s="1"/>
      <c r="AI47" s="1"/>
      <c r="AJ47" s="1"/>
      <c r="AK47" s="1"/>
      <c r="AL47" s="1"/>
      <c r="AM47" s="1"/>
      <c r="AN47" s="1"/>
      <c r="AO47" s="1"/>
      <c r="AP47" s="1"/>
      <c r="AQ47" s="1"/>
      <c r="AR47" s="1"/>
      <c r="AS47" s="1"/>
      <c r="AT47" s="1"/>
      <c r="AU47" s="1"/>
    </row>
    <row r="48" spans="1:47">
      <c r="A48" s="38">
        <f>+datos!A48</f>
        <v>43525</v>
      </c>
      <c r="B48" s="1"/>
      <c r="C48" s="1"/>
      <c r="D48" s="1"/>
      <c r="E48" s="1"/>
      <c r="F48" s="1">
        <f t="shared" si="7"/>
        <v>100</v>
      </c>
      <c r="G48" s="1">
        <f t="shared" si="15"/>
        <v>206</v>
      </c>
      <c r="H48" s="1">
        <f t="shared" si="15"/>
        <v>11550</v>
      </c>
      <c r="I48" s="1">
        <f t="shared" si="15"/>
        <v>263.47784887579769</v>
      </c>
      <c r="J48" s="1"/>
      <c r="K48" s="1">
        <f t="shared" si="12"/>
        <v>278.54150841020078</v>
      </c>
      <c r="L48" s="1">
        <f t="shared" si="13"/>
        <v>270.36516853932585</v>
      </c>
      <c r="M48" s="1">
        <f t="shared" si="14"/>
        <v>263.47784887579769</v>
      </c>
      <c r="N48" s="1"/>
      <c r="O48" s="1">
        <f t="shared" si="5"/>
        <v>91.823660129125074</v>
      </c>
      <c r="P48" s="1">
        <f t="shared" si="6"/>
        <v>84.936340465596913</v>
      </c>
      <c r="Q48" s="1"/>
      <c r="R48" s="1"/>
      <c r="S48" s="14">
        <f t="shared" si="8"/>
        <v>4146.5992145740156</v>
      </c>
      <c r="T48" s="1">
        <f t="shared" si="9"/>
        <v>97.064588356133314</v>
      </c>
      <c r="U48" s="14">
        <f t="shared" si="10"/>
        <v>94.59195161957004</v>
      </c>
      <c r="V48" s="1">
        <f t="shared" si="11"/>
        <v>94.59195161957004</v>
      </c>
      <c r="W48" s="1"/>
      <c r="X48" s="1"/>
      <c r="Y48" s="1"/>
      <c r="Z48" s="1"/>
      <c r="AA48" s="1"/>
      <c r="AB48" s="1"/>
      <c r="AC48" s="1"/>
      <c r="AD48" s="1"/>
      <c r="AE48" s="1"/>
      <c r="AF48" s="1"/>
      <c r="AG48" s="1"/>
      <c r="AH48" s="1"/>
      <c r="AI48" s="1"/>
      <c r="AJ48" s="1"/>
      <c r="AK48" s="1"/>
      <c r="AL48" s="1"/>
      <c r="AM48" s="1"/>
      <c r="AN48" s="1"/>
      <c r="AO48" s="1"/>
      <c r="AP48" s="1"/>
      <c r="AQ48" s="1"/>
      <c r="AR48" s="1"/>
      <c r="AS48" s="1"/>
      <c r="AT48" s="1"/>
      <c r="AU48" s="1"/>
    </row>
    <row r="49" spans="1:47">
      <c r="A49" s="38">
        <f>+datos!A49</f>
        <v>43556</v>
      </c>
      <c r="B49" s="1"/>
      <c r="C49" s="1"/>
      <c r="D49" s="1"/>
      <c r="E49" s="1"/>
      <c r="F49" s="1">
        <f t="shared" si="7"/>
        <v>100</v>
      </c>
      <c r="G49" s="1">
        <f t="shared" si="15"/>
        <v>213.1</v>
      </c>
      <c r="H49" s="1">
        <f t="shared" si="15"/>
        <v>11550</v>
      </c>
      <c r="I49" s="1">
        <f t="shared" si="15"/>
        <v>263.33161916203983</v>
      </c>
      <c r="J49" s="1"/>
      <c r="K49" s="1">
        <f t="shared" si="12"/>
        <v>288.14172544763971</v>
      </c>
      <c r="L49" s="1">
        <f t="shared" si="13"/>
        <v>270.36516853932585</v>
      </c>
      <c r="M49" s="1">
        <f t="shared" si="14"/>
        <v>263.33161916203983</v>
      </c>
      <c r="N49" s="1"/>
      <c r="O49" s="1">
        <f t="shared" si="5"/>
        <v>82.223443091686136</v>
      </c>
      <c r="P49" s="1">
        <f t="shared" si="6"/>
        <v>75.189893714400114</v>
      </c>
      <c r="Q49" s="1"/>
      <c r="R49" s="1"/>
      <c r="S49" s="14">
        <f t="shared" si="8"/>
        <v>4008.4441023099353</v>
      </c>
      <c r="T49" s="1">
        <f t="shared" si="9"/>
        <v>93.830620372423581</v>
      </c>
      <c r="U49" s="14">
        <f t="shared" si="10"/>
        <v>91.389616950805589</v>
      </c>
      <c r="V49" s="1">
        <f t="shared" si="11"/>
        <v>91.389616950805589</v>
      </c>
      <c r="W49" s="1"/>
      <c r="X49" s="1"/>
      <c r="Y49" s="1"/>
      <c r="Z49" s="1"/>
      <c r="AA49" s="1"/>
      <c r="AB49" s="1"/>
      <c r="AC49" s="1"/>
      <c r="AD49" s="1"/>
      <c r="AE49" s="1"/>
      <c r="AF49" s="1"/>
      <c r="AG49" s="1"/>
      <c r="AH49" s="1"/>
      <c r="AI49" s="1"/>
      <c r="AJ49" s="1"/>
      <c r="AK49" s="1"/>
      <c r="AL49" s="1"/>
      <c r="AM49" s="1"/>
      <c r="AN49" s="1"/>
      <c r="AO49" s="1"/>
      <c r="AP49" s="1"/>
      <c r="AQ49" s="1"/>
      <c r="AR49" s="1"/>
      <c r="AS49" s="1"/>
      <c r="AT49" s="1"/>
      <c r="AU49" s="1"/>
    </row>
    <row r="50" spans="1:47">
      <c r="A50" s="38">
        <f>+datos!A50</f>
        <v>43586</v>
      </c>
      <c r="B50" s="1"/>
      <c r="C50" s="1"/>
      <c r="D50" s="1"/>
      <c r="E50" s="1"/>
      <c r="F50" s="1">
        <f t="shared" si="7"/>
        <v>100</v>
      </c>
      <c r="G50" s="1">
        <f t="shared" ref="G50:I70" si="16">+VLOOKUP($A50,ran_dat,G$1,FALSE)</f>
        <v>219.6</v>
      </c>
      <c r="H50" s="1">
        <f t="shared" si="16"/>
        <v>11550</v>
      </c>
      <c r="I50" s="1">
        <f t="shared" si="16"/>
        <v>266.74437805151837</v>
      </c>
      <c r="J50" s="1"/>
      <c r="K50" s="1">
        <f t="shared" si="12"/>
        <v>296.93065653825283</v>
      </c>
      <c r="L50" s="1">
        <f t="shared" si="13"/>
        <v>270.36516853932585</v>
      </c>
      <c r="M50" s="1">
        <f t="shared" si="14"/>
        <v>266.74437805151837</v>
      </c>
      <c r="N50" s="1"/>
      <c r="O50" s="1">
        <f>+L50-K50+100</f>
        <v>73.434512001073017</v>
      </c>
      <c r="P50" s="1">
        <f>+M50-K50+100</f>
        <v>69.813721513265534</v>
      </c>
      <c r="Q50" s="1"/>
      <c r="R50" s="1"/>
      <c r="S50" s="14">
        <f t="shared" si="8"/>
        <v>3889.7970774237124</v>
      </c>
      <c r="T50" s="1">
        <f t="shared" si="9"/>
        <v>91.053302374150576</v>
      </c>
      <c r="U50" s="14">
        <f t="shared" si="10"/>
        <v>89.833896291255584</v>
      </c>
      <c r="V50" s="1">
        <f t="shared" si="11"/>
        <v>89.833896291255584</v>
      </c>
      <c r="W50" s="1"/>
      <c r="X50" s="1"/>
      <c r="Y50" s="1"/>
      <c r="Z50" s="1"/>
      <c r="AA50" s="1"/>
      <c r="AB50" s="1"/>
      <c r="AC50" s="1"/>
      <c r="AD50" s="1"/>
      <c r="AE50" s="1"/>
      <c r="AF50" s="1"/>
      <c r="AG50" s="1"/>
      <c r="AH50" s="1"/>
      <c r="AI50" s="1"/>
      <c r="AJ50" s="1"/>
      <c r="AK50" s="1"/>
      <c r="AL50" s="1"/>
      <c r="AM50" s="1"/>
      <c r="AN50" s="1"/>
      <c r="AO50" s="1"/>
      <c r="AP50" s="1"/>
      <c r="AQ50" s="1"/>
      <c r="AR50" s="1"/>
      <c r="AS50" s="1"/>
      <c r="AT50" s="1"/>
      <c r="AU50" s="1"/>
    </row>
    <row r="51" spans="1:47">
      <c r="A51" s="38">
        <f>+datos!A51</f>
        <v>43617</v>
      </c>
      <c r="B51" s="1"/>
      <c r="C51" s="1"/>
      <c r="D51" s="1"/>
      <c r="E51" s="1"/>
      <c r="F51" s="1">
        <f t="shared" si="7"/>
        <v>100</v>
      </c>
      <c r="G51" s="1">
        <f t="shared" si="16"/>
        <v>225.5</v>
      </c>
      <c r="H51" s="1">
        <f t="shared" si="16"/>
        <v>11550</v>
      </c>
      <c r="I51" s="1">
        <f t="shared" si="16"/>
        <v>265.4087223708575</v>
      </c>
      <c r="J51" s="1"/>
      <c r="K51" s="1">
        <f t="shared" si="12"/>
        <v>304.90830168204013</v>
      </c>
      <c r="L51" s="1">
        <f t="shared" si="13"/>
        <v>270.36516853932585</v>
      </c>
      <c r="M51" s="1">
        <f t="shared" si="14"/>
        <v>265.4087223708575</v>
      </c>
      <c r="N51" s="1"/>
      <c r="O51" s="1">
        <f t="shared" si="5"/>
        <v>65.456866857285718</v>
      </c>
      <c r="P51" s="1">
        <f t="shared" si="6"/>
        <v>60.500420688817371</v>
      </c>
      <c r="Q51" s="1"/>
      <c r="R51" s="1"/>
      <c r="S51" s="14">
        <f t="shared" si="8"/>
        <v>3788.0241161962185</v>
      </c>
      <c r="T51" s="1">
        <f t="shared" si="9"/>
        <v>88.670976502720464</v>
      </c>
      <c r="U51" s="14">
        <f t="shared" si="10"/>
        <v>87.045423462306061</v>
      </c>
      <c r="V51" s="1">
        <f t="shared" si="11"/>
        <v>87.045423462306061</v>
      </c>
      <c r="W51" s="1"/>
      <c r="X51" s="1"/>
      <c r="Y51" s="1"/>
      <c r="Z51" s="1"/>
      <c r="AA51" s="1"/>
      <c r="AB51" s="1"/>
      <c r="AC51" s="1"/>
      <c r="AD51" s="1"/>
      <c r="AE51" s="1"/>
      <c r="AF51" s="1"/>
      <c r="AG51" s="1"/>
      <c r="AH51" s="1"/>
      <c r="AI51" s="1"/>
      <c r="AJ51" s="1"/>
      <c r="AK51" s="1"/>
      <c r="AL51" s="1"/>
      <c r="AM51" s="1"/>
      <c r="AN51" s="1"/>
      <c r="AO51" s="1"/>
      <c r="AP51" s="1"/>
      <c r="AQ51" s="1"/>
      <c r="AR51" s="1"/>
      <c r="AS51" s="1"/>
      <c r="AT51" s="1"/>
      <c r="AU51" s="1"/>
    </row>
    <row r="52" spans="1:47">
      <c r="A52" s="38">
        <f>+datos!A52</f>
        <v>43647</v>
      </c>
      <c r="B52" s="1"/>
      <c r="C52" s="1"/>
      <c r="D52" s="1"/>
      <c r="E52" s="1"/>
      <c r="F52" s="1">
        <f t="shared" si="7"/>
        <v>100</v>
      </c>
      <c r="G52" s="1">
        <f t="shared" si="16"/>
        <v>230.5</v>
      </c>
      <c r="H52" s="1">
        <f t="shared" si="16"/>
        <v>11550</v>
      </c>
      <c r="I52" s="1">
        <f t="shared" si="16"/>
        <v>269.72123543135854</v>
      </c>
      <c r="J52" s="1"/>
      <c r="K52" s="1">
        <f t="shared" si="12"/>
        <v>311.6690179055887</v>
      </c>
      <c r="L52" s="1">
        <f t="shared" si="13"/>
        <v>270.36516853932585</v>
      </c>
      <c r="M52" s="1">
        <f t="shared" si="14"/>
        <v>269.72123543135854</v>
      </c>
      <c r="N52" s="1"/>
      <c r="O52" s="1">
        <f t="shared" si="5"/>
        <v>58.696150633737147</v>
      </c>
      <c r="P52" s="1">
        <f t="shared" si="6"/>
        <v>58.052217525769834</v>
      </c>
      <c r="Q52" s="1"/>
      <c r="R52" s="1"/>
      <c r="S52" s="14">
        <f t="shared" si="8"/>
        <v>3705.8543956713547</v>
      </c>
      <c r="T52" s="1">
        <f t="shared" si="9"/>
        <v>86.747527988561686</v>
      </c>
      <c r="U52" s="14">
        <f t="shared" si="10"/>
        <v>86.540919993870858</v>
      </c>
      <c r="V52" s="1">
        <f t="shared" si="11"/>
        <v>86.540919993870858</v>
      </c>
      <c r="W52" s="1"/>
      <c r="X52" s="1"/>
      <c r="Y52" s="1"/>
      <c r="Z52" s="1"/>
      <c r="AA52" s="1"/>
      <c r="AB52" s="1"/>
      <c r="AC52" s="1"/>
      <c r="AD52" s="1"/>
      <c r="AE52" s="1"/>
      <c r="AF52" s="1"/>
      <c r="AG52" s="1"/>
      <c r="AH52" s="1"/>
      <c r="AI52" s="1"/>
      <c r="AJ52" s="1"/>
      <c r="AK52" s="1"/>
      <c r="AL52" s="1"/>
      <c r="AM52" s="1"/>
      <c r="AN52" s="1"/>
      <c r="AO52" s="1"/>
      <c r="AP52" s="1"/>
      <c r="AQ52" s="1"/>
      <c r="AR52" s="1"/>
      <c r="AS52" s="1"/>
      <c r="AT52" s="1"/>
      <c r="AU52" s="1"/>
    </row>
    <row r="53" spans="1:47">
      <c r="A53" s="38">
        <f>+datos!A53</f>
        <v>43678</v>
      </c>
      <c r="B53" s="1"/>
      <c r="C53" s="1"/>
      <c r="D53" s="1"/>
      <c r="E53" s="1"/>
      <c r="F53" s="1">
        <f t="shared" si="7"/>
        <v>100</v>
      </c>
      <c r="G53" s="1">
        <f t="shared" si="16"/>
        <v>239.6</v>
      </c>
      <c r="H53" s="1">
        <f t="shared" si="16"/>
        <v>11550</v>
      </c>
      <c r="I53" s="1">
        <f t="shared" si="16"/>
        <v>324.48053425632628</v>
      </c>
      <c r="J53" s="1"/>
      <c r="K53" s="1">
        <f t="shared" si="12"/>
        <v>323.97352143244711</v>
      </c>
      <c r="L53" s="1">
        <f t="shared" si="13"/>
        <v>270.36516853932585</v>
      </c>
      <c r="M53" s="1">
        <f t="shared" si="14"/>
        <v>324.48053425632628</v>
      </c>
      <c r="N53" s="1"/>
      <c r="O53" s="1">
        <f t="shared" si="5"/>
        <v>46.391647106878736</v>
      </c>
      <c r="P53" s="1">
        <f t="shared" si="6"/>
        <v>100.50701282387917</v>
      </c>
      <c r="Q53" s="1"/>
      <c r="R53" s="1"/>
      <c r="S53" s="14">
        <f t="shared" si="8"/>
        <v>3565.106169458461</v>
      </c>
      <c r="T53" s="1">
        <f t="shared" si="9"/>
        <v>83.452859771967709</v>
      </c>
      <c r="U53" s="14">
        <f t="shared" si="10"/>
        <v>100.15649822912609</v>
      </c>
      <c r="V53" s="1">
        <f t="shared" si="11"/>
        <v>100.15649822912609</v>
      </c>
      <c r="W53" s="1"/>
      <c r="X53" s="1"/>
      <c r="Y53" s="1"/>
      <c r="Z53" s="1"/>
      <c r="AA53" s="1"/>
      <c r="AB53" s="1"/>
      <c r="AC53" s="1"/>
      <c r="AD53" s="1"/>
      <c r="AE53" s="1"/>
      <c r="AF53" s="1"/>
      <c r="AG53" s="1"/>
      <c r="AH53" s="1"/>
      <c r="AI53" s="1"/>
      <c r="AJ53" s="1"/>
      <c r="AK53" s="1"/>
      <c r="AL53" s="1"/>
      <c r="AM53" s="1"/>
      <c r="AN53" s="1"/>
      <c r="AO53" s="1"/>
      <c r="AP53" s="1"/>
      <c r="AQ53" s="1"/>
      <c r="AR53" s="1"/>
      <c r="AS53" s="1"/>
      <c r="AT53" s="1"/>
      <c r="AU53" s="1"/>
    </row>
    <row r="54" spans="1:47">
      <c r="A54" s="38">
        <f>+datos!A54</f>
        <v>43709</v>
      </c>
      <c r="B54" s="1"/>
      <c r="C54" s="1"/>
      <c r="D54" s="1"/>
      <c r="E54" s="1"/>
      <c r="F54" s="1">
        <f t="shared" si="7"/>
        <v>100</v>
      </c>
      <c r="G54" s="1">
        <f t="shared" si="16"/>
        <v>253.71019999999999</v>
      </c>
      <c r="H54" s="1">
        <f t="shared" si="16"/>
        <v>11550</v>
      </c>
      <c r="I54" s="1">
        <f t="shared" si="16"/>
        <v>315.53478164560443</v>
      </c>
      <c r="J54" s="1"/>
      <c r="K54" s="1">
        <f t="shared" si="12"/>
        <v>343.05253304395006</v>
      </c>
      <c r="L54" s="1">
        <f t="shared" si="13"/>
        <v>270.36516853932585</v>
      </c>
      <c r="M54" s="1">
        <f t="shared" si="14"/>
        <v>315.53478164560443</v>
      </c>
      <c r="N54" s="1"/>
      <c r="O54" s="1">
        <f t="shared" si="5"/>
        <v>27.312635495375787</v>
      </c>
      <c r="P54" s="1">
        <f t="shared" si="6"/>
        <v>72.482248601654362</v>
      </c>
      <c r="Q54" s="1"/>
      <c r="R54" s="1"/>
      <c r="S54" s="14">
        <f t="shared" si="8"/>
        <v>3366.8312831027179</v>
      </c>
      <c r="T54" s="1">
        <f t="shared" si="9"/>
        <v>78.811593705587967</v>
      </c>
      <c r="U54" s="14">
        <f t="shared" si="10"/>
        <v>91.978560497957261</v>
      </c>
      <c r="V54" s="1">
        <f t="shared" si="11"/>
        <v>91.978560497957261</v>
      </c>
      <c r="W54" s="1"/>
      <c r="X54" s="1"/>
      <c r="Y54" s="1"/>
      <c r="Z54" s="1"/>
      <c r="AA54" s="1"/>
      <c r="AB54" s="1"/>
      <c r="AC54" s="1"/>
      <c r="AD54" s="1"/>
      <c r="AE54" s="1"/>
      <c r="AF54" s="1"/>
      <c r="AG54" s="1"/>
      <c r="AH54" s="1"/>
      <c r="AI54" s="1"/>
      <c r="AJ54" s="1"/>
      <c r="AK54" s="1"/>
      <c r="AL54" s="1"/>
      <c r="AM54" s="1"/>
      <c r="AN54" s="1"/>
      <c r="AO54" s="1"/>
      <c r="AP54" s="1"/>
      <c r="AQ54" s="1"/>
      <c r="AR54" s="1"/>
      <c r="AS54" s="1"/>
      <c r="AT54" s="1"/>
      <c r="AU54" s="1"/>
    </row>
    <row r="55" spans="1:47">
      <c r="A55" s="38">
        <f>+datos!A55</f>
        <v>43739</v>
      </c>
      <c r="B55" s="1"/>
      <c r="C55" s="1"/>
      <c r="D55" s="1"/>
      <c r="E55" s="1"/>
      <c r="F55" s="1">
        <f t="shared" si="7"/>
        <v>100</v>
      </c>
      <c r="G55" s="1">
        <f t="shared" si="16"/>
        <v>262.06610000000001</v>
      </c>
      <c r="H55" s="1">
        <f t="shared" si="16"/>
        <v>15250</v>
      </c>
      <c r="I55" s="1">
        <f t="shared" si="16"/>
        <v>335.13288047250131</v>
      </c>
      <c r="J55" s="1"/>
      <c r="K55" s="1">
        <f t="shared" si="12"/>
        <v>354.35090678242</v>
      </c>
      <c r="L55" s="1">
        <f t="shared" si="13"/>
        <v>356.97565543071158</v>
      </c>
      <c r="M55" s="1">
        <f t="shared" si="14"/>
        <v>335.13288047250137</v>
      </c>
      <c r="N55" s="1"/>
      <c r="O55" s="1">
        <f t="shared" si="5"/>
        <v>102.62474864829159</v>
      </c>
      <c r="P55" s="1">
        <f t="shared" si="6"/>
        <v>80.781973690081372</v>
      </c>
      <c r="Q55" s="1"/>
      <c r="R55" s="1"/>
      <c r="S55" s="14">
        <f t="shared" si="8"/>
        <v>4303.643565773029</v>
      </c>
      <c r="T55" s="1">
        <f t="shared" si="9"/>
        <v>100.74072017258963</v>
      </c>
      <c r="U55" s="14">
        <f t="shared" si="10"/>
        <v>94.576555063899136</v>
      </c>
      <c r="V55" s="1">
        <f t="shared" si="11"/>
        <v>94.576555063899136</v>
      </c>
      <c r="W55" s="1"/>
      <c r="X55" s="1"/>
      <c r="Y55" s="1"/>
      <c r="Z55" s="1"/>
      <c r="AA55" s="1"/>
      <c r="AB55" s="1"/>
      <c r="AC55" s="1"/>
      <c r="AD55" s="1"/>
      <c r="AE55" s="1"/>
      <c r="AF55" s="1"/>
      <c r="AG55" s="1"/>
      <c r="AH55" s="1"/>
      <c r="AI55" s="1"/>
      <c r="AJ55" s="1"/>
      <c r="AK55" s="1"/>
      <c r="AL55" s="1"/>
      <c r="AM55" s="1"/>
      <c r="AN55" s="1"/>
      <c r="AO55" s="1"/>
      <c r="AP55" s="1"/>
      <c r="AQ55" s="1"/>
      <c r="AR55" s="1"/>
      <c r="AS55" s="1"/>
      <c r="AT55" s="1"/>
      <c r="AU55" s="1"/>
    </row>
    <row r="56" spans="1:47">
      <c r="A56" s="38">
        <f>+datos!A56</f>
        <v>43770</v>
      </c>
      <c r="B56" s="1"/>
      <c r="C56" s="1"/>
      <c r="D56" s="1"/>
      <c r="E56" s="1"/>
      <c r="F56" s="1">
        <f t="shared" si="7"/>
        <v>100</v>
      </c>
      <c r="G56" s="1">
        <f t="shared" si="16"/>
        <v>273.2158</v>
      </c>
      <c r="H56" s="1">
        <f t="shared" si="16"/>
        <v>15250</v>
      </c>
      <c r="I56" s="1">
        <f t="shared" si="16"/>
        <v>336.03479105742974</v>
      </c>
      <c r="J56" s="1"/>
      <c r="K56" s="1">
        <f t="shared" si="12"/>
        <v>369.42689831795985</v>
      </c>
      <c r="L56" s="1">
        <f t="shared" si="13"/>
        <v>356.97565543071158</v>
      </c>
      <c r="M56" s="1">
        <f t="shared" si="14"/>
        <v>336.03479105742974</v>
      </c>
      <c r="N56" s="1"/>
      <c r="O56" s="1">
        <f t="shared" si="5"/>
        <v>87.54875711275173</v>
      </c>
      <c r="P56" s="1">
        <f t="shared" si="6"/>
        <v>66.607892739469889</v>
      </c>
      <c r="Q56" s="1"/>
      <c r="R56" s="1"/>
      <c r="S56" s="14">
        <f t="shared" si="8"/>
        <v>4128.0156018511052</v>
      </c>
      <c r="T56" s="1">
        <f t="shared" si="9"/>
        <v>96.629578695016505</v>
      </c>
      <c r="U56" s="14">
        <f t="shared" si="10"/>
        <v>90.961105590153835</v>
      </c>
      <c r="V56" s="1">
        <f t="shared" si="11"/>
        <v>90.961105590153835</v>
      </c>
      <c r="W56" s="1"/>
      <c r="X56" s="1"/>
      <c r="Y56" s="1"/>
      <c r="Z56" s="1"/>
      <c r="AA56" s="1"/>
      <c r="AB56" s="1"/>
      <c r="AC56" s="1"/>
      <c r="AD56" s="1"/>
      <c r="AE56" s="1"/>
      <c r="AF56" s="1"/>
      <c r="AG56" s="1"/>
      <c r="AH56" s="1"/>
      <c r="AI56" s="1"/>
      <c r="AJ56" s="1"/>
      <c r="AK56" s="1"/>
      <c r="AL56" s="1"/>
      <c r="AM56" s="1"/>
      <c r="AN56" s="1"/>
      <c r="AO56" s="1"/>
      <c r="AP56" s="1"/>
      <c r="AQ56" s="1"/>
      <c r="AR56" s="1"/>
      <c r="AS56" s="1"/>
      <c r="AT56" s="1"/>
      <c r="AU56" s="1"/>
    </row>
    <row r="57" spans="1:47">
      <c r="A57" s="38">
        <f>+datos!A57</f>
        <v>43800</v>
      </c>
      <c r="B57" s="1"/>
      <c r="C57" s="1"/>
      <c r="D57" s="1"/>
      <c r="E57" s="1"/>
      <c r="F57" s="1">
        <f t="shared" si="7"/>
        <v>100</v>
      </c>
      <c r="G57" s="1">
        <f t="shared" si="16"/>
        <v>283.44420000000002</v>
      </c>
      <c r="H57" s="1">
        <f t="shared" si="16"/>
        <v>15250</v>
      </c>
      <c r="I57" s="1">
        <f t="shared" si="16"/>
        <v>343.19446604402566</v>
      </c>
      <c r="J57" s="1"/>
      <c r="K57" s="1">
        <f t="shared" si="12"/>
        <v>383.25716028214867</v>
      </c>
      <c r="L57" s="1">
        <f t="shared" si="13"/>
        <v>356.97565543071158</v>
      </c>
      <c r="M57" s="1">
        <f t="shared" si="14"/>
        <v>343.19446604402566</v>
      </c>
      <c r="N57" s="1"/>
      <c r="O57" s="1">
        <f t="shared" si="5"/>
        <v>73.718495148562909</v>
      </c>
      <c r="P57" s="1">
        <f t="shared" si="6"/>
        <v>59.937305761876985</v>
      </c>
      <c r="Q57" s="1"/>
      <c r="R57" s="1"/>
      <c r="S57" s="14">
        <f t="shared" si="8"/>
        <v>3979.0515560813415</v>
      </c>
      <c r="T57" s="1">
        <f t="shared" si="9"/>
        <v>93.142592604900315</v>
      </c>
      <c r="U57" s="14">
        <f t="shared" si="10"/>
        <v>89.546785190228562</v>
      </c>
      <c r="V57" s="1">
        <f t="shared" si="11"/>
        <v>89.546785190228562</v>
      </c>
      <c r="W57" s="1"/>
      <c r="X57" s="1"/>
      <c r="Y57" s="1"/>
      <c r="Z57" s="1"/>
      <c r="AA57" s="1"/>
      <c r="AB57" s="1"/>
      <c r="AC57" s="1"/>
      <c r="AD57" s="1"/>
      <c r="AE57" s="1"/>
      <c r="AF57" s="1"/>
      <c r="AG57" s="1"/>
      <c r="AH57" s="1"/>
      <c r="AI57" s="1"/>
      <c r="AJ57" s="1"/>
      <c r="AK57" s="1"/>
      <c r="AL57" s="1"/>
      <c r="AM57" s="1"/>
      <c r="AN57" s="1"/>
      <c r="AO57" s="1"/>
      <c r="AP57" s="1"/>
      <c r="AQ57" s="1"/>
      <c r="AR57" s="1"/>
      <c r="AS57" s="1"/>
      <c r="AT57" s="1"/>
      <c r="AU57" s="1"/>
    </row>
    <row r="58" spans="1:47">
      <c r="A58" s="38">
        <f>+datos!A58</f>
        <v>43831</v>
      </c>
      <c r="B58" s="1"/>
      <c r="C58" s="1"/>
      <c r="D58" s="1"/>
      <c r="E58" s="1"/>
      <c r="F58" s="1">
        <f t="shared" si="7"/>
        <v>100</v>
      </c>
      <c r="G58" s="1">
        <f t="shared" si="16"/>
        <v>289.82990000000001</v>
      </c>
      <c r="H58" s="1">
        <f t="shared" si="16"/>
        <v>15250</v>
      </c>
      <c r="I58" s="1">
        <f t="shared" si="16"/>
        <v>344.14325973965265</v>
      </c>
      <c r="J58" s="1"/>
      <c r="K58" s="1">
        <f t="shared" si="12"/>
        <v>391.89154139989148</v>
      </c>
      <c r="L58" s="1">
        <f t="shared" si="13"/>
        <v>356.97565543071158</v>
      </c>
      <c r="M58" s="1">
        <f t="shared" si="14"/>
        <v>344.14325973965265</v>
      </c>
      <c r="N58" s="1"/>
      <c r="O58" s="1">
        <f t="shared" si="5"/>
        <v>65.084114030820103</v>
      </c>
      <c r="P58" s="1">
        <f t="shared" si="6"/>
        <v>52.251718339761169</v>
      </c>
      <c r="Q58" s="1"/>
      <c r="R58" s="1"/>
      <c r="S58" s="14">
        <f t="shared" si="8"/>
        <v>3891.38279063765</v>
      </c>
      <c r="T58" s="1">
        <f t="shared" si="9"/>
        <v>91.090421129158472</v>
      </c>
      <c r="U58" s="14">
        <f t="shared" si="10"/>
        <v>87.815944817365718</v>
      </c>
      <c r="V58" s="1">
        <f t="shared" si="11"/>
        <v>87.815944817365718</v>
      </c>
      <c r="W58" s="1"/>
      <c r="X58" s="1"/>
      <c r="Y58" s="1"/>
      <c r="Z58" s="1"/>
      <c r="AA58" s="1"/>
      <c r="AB58" s="1"/>
      <c r="AC58" s="1"/>
      <c r="AD58" s="1"/>
      <c r="AE58" s="1"/>
      <c r="AF58" s="1"/>
      <c r="AG58" s="1"/>
      <c r="AH58" s="1"/>
      <c r="AI58" s="1"/>
      <c r="AJ58" s="1"/>
      <c r="AK58" s="1"/>
      <c r="AL58" s="1"/>
      <c r="AM58" s="1"/>
      <c r="AN58" s="1"/>
      <c r="AO58" s="1"/>
      <c r="AP58" s="1"/>
      <c r="AQ58" s="1"/>
      <c r="AR58" s="1"/>
      <c r="AS58" s="1"/>
      <c r="AT58" s="1"/>
      <c r="AU58" s="1"/>
    </row>
    <row r="59" spans="1:47">
      <c r="A59" s="38">
        <f>+datos!A59</f>
        <v>43862</v>
      </c>
      <c r="B59" s="1"/>
      <c r="C59" s="1"/>
      <c r="D59" s="1"/>
      <c r="E59" s="1"/>
      <c r="F59" s="1">
        <f t="shared" si="7"/>
        <v>100</v>
      </c>
      <c r="G59" s="1">
        <f t="shared" si="16"/>
        <v>295.666</v>
      </c>
      <c r="H59" s="1">
        <f t="shared" si="16"/>
        <v>15250</v>
      </c>
      <c r="I59" s="1">
        <f t="shared" si="16"/>
        <v>387.41008986531966</v>
      </c>
      <c r="J59" s="1"/>
      <c r="K59" s="1">
        <f t="shared" si="12"/>
        <v>399.78278459034181</v>
      </c>
      <c r="L59" s="1">
        <f t="shared" si="13"/>
        <v>356.97565543071158</v>
      </c>
      <c r="M59" s="1">
        <f t="shared" si="14"/>
        <v>387.41008986531966</v>
      </c>
      <c r="N59" s="1"/>
      <c r="O59" s="1">
        <f t="shared" si="5"/>
        <v>57.192870840369778</v>
      </c>
      <c r="P59" s="1">
        <f t="shared" si="6"/>
        <v>87.627305274977857</v>
      </c>
      <c r="Q59" s="1"/>
      <c r="R59" s="1"/>
      <c r="S59" s="14">
        <f t="shared" si="8"/>
        <v>3814.5714592554818</v>
      </c>
      <c r="T59" s="1">
        <f t="shared" si="9"/>
        <v>89.292403072459777</v>
      </c>
      <c r="U59" s="14">
        <f t="shared" si="10"/>
        <v>96.905145693629493</v>
      </c>
      <c r="V59" s="1">
        <f t="shared" si="11"/>
        <v>96.905145693629493</v>
      </c>
      <c r="W59" s="1"/>
      <c r="X59" s="1"/>
      <c r="Y59" s="1"/>
      <c r="Z59" s="1"/>
      <c r="AA59" s="1"/>
      <c r="AB59" s="1"/>
      <c r="AC59" s="1"/>
      <c r="AD59" s="1"/>
      <c r="AE59" s="1"/>
      <c r="AF59" s="1"/>
      <c r="AG59" s="1"/>
      <c r="AH59" s="1"/>
      <c r="AI59" s="1"/>
      <c r="AJ59" s="1"/>
      <c r="AK59" s="1"/>
      <c r="AL59" s="1"/>
      <c r="AM59" s="1"/>
      <c r="AN59" s="1"/>
      <c r="AO59" s="1"/>
      <c r="AP59" s="1"/>
      <c r="AQ59" s="1"/>
      <c r="AR59" s="1"/>
      <c r="AS59" s="1"/>
      <c r="AT59" s="1"/>
      <c r="AU59" s="1"/>
    </row>
    <row r="60" spans="1:47">
      <c r="A60" s="38">
        <f>+datos!A60</f>
        <v>43891</v>
      </c>
      <c r="B60" s="1"/>
      <c r="C60" s="1"/>
      <c r="D60" s="1"/>
      <c r="E60" s="1"/>
      <c r="F60" s="1">
        <f t="shared" si="7"/>
        <v>100</v>
      </c>
      <c r="G60" s="1">
        <f t="shared" si="16"/>
        <v>305.55149999999998</v>
      </c>
      <c r="H60" s="1">
        <f t="shared" si="16"/>
        <v>15250</v>
      </c>
      <c r="I60" s="1">
        <f t="shared" si="16"/>
        <v>396.47698635092257</v>
      </c>
      <c r="J60" s="1"/>
      <c r="K60" s="1">
        <f t="shared" si="12"/>
        <v>413.14939663591969</v>
      </c>
      <c r="L60" s="1">
        <f t="shared" si="13"/>
        <v>356.97565543071158</v>
      </c>
      <c r="M60" s="1">
        <f t="shared" si="14"/>
        <v>396.47698635092257</v>
      </c>
      <c r="N60" s="1"/>
      <c r="O60" s="1">
        <f t="shared" si="5"/>
        <v>43.826258794791897</v>
      </c>
      <c r="P60" s="1">
        <f t="shared" si="6"/>
        <v>83.327589715002887</v>
      </c>
      <c r="Q60" s="1"/>
      <c r="R60" s="1"/>
      <c r="S60" s="14">
        <f t="shared" si="8"/>
        <v>3691.1587247067391</v>
      </c>
      <c r="T60" s="1">
        <f t="shared" si="9"/>
        <v>86.403528200064116</v>
      </c>
      <c r="U60" s="14">
        <f t="shared" si="10"/>
        <v>95.964556545222464</v>
      </c>
      <c r="V60" s="1">
        <f t="shared" si="11"/>
        <v>95.964556545222464</v>
      </c>
      <c r="W60" s="1"/>
      <c r="X60" s="1"/>
      <c r="Y60" s="1"/>
      <c r="Z60" s="1"/>
      <c r="AA60" s="1"/>
      <c r="AB60" s="1"/>
      <c r="AC60" s="1"/>
      <c r="AD60" s="1"/>
      <c r="AE60" s="1"/>
      <c r="AF60" s="1"/>
      <c r="AG60" s="1"/>
      <c r="AH60" s="1"/>
      <c r="AI60" s="1"/>
      <c r="AJ60" s="1"/>
      <c r="AK60" s="1"/>
      <c r="AL60" s="1"/>
      <c r="AM60" s="1"/>
      <c r="AN60" s="1"/>
      <c r="AO60" s="1"/>
      <c r="AP60" s="1"/>
      <c r="AQ60" s="1"/>
      <c r="AR60" s="1"/>
      <c r="AS60" s="1"/>
      <c r="AT60" s="1"/>
      <c r="AU60" s="1"/>
    </row>
    <row r="61" spans="1:47">
      <c r="A61" s="38">
        <f>+datos!A61</f>
        <v>43922</v>
      </c>
      <c r="B61" s="1"/>
      <c r="C61" s="1"/>
      <c r="D61" s="1"/>
      <c r="E61" s="1"/>
      <c r="F61" s="1">
        <f t="shared" si="7"/>
        <v>100</v>
      </c>
      <c r="G61" s="1">
        <f t="shared" si="16"/>
        <v>310.12430000000001</v>
      </c>
      <c r="H61" s="1">
        <f t="shared" si="16"/>
        <v>20000</v>
      </c>
      <c r="I61" s="1">
        <f t="shared" si="16"/>
        <v>413.0406910067581</v>
      </c>
      <c r="J61" s="1"/>
      <c r="K61" s="1">
        <f t="shared" si="12"/>
        <v>419.33247726532829</v>
      </c>
      <c r="L61" s="1">
        <f t="shared" si="13"/>
        <v>468.16479400749063</v>
      </c>
      <c r="M61" s="1">
        <f t="shared" si="14"/>
        <v>413.04069100675804</v>
      </c>
      <c r="N61" s="1"/>
      <c r="O61" s="1">
        <f t="shared" si="5"/>
        <v>148.83231674216233</v>
      </c>
      <c r="P61" s="1">
        <f t="shared" si="6"/>
        <v>93.708213741429745</v>
      </c>
      <c r="Q61" s="1"/>
      <c r="R61" s="1"/>
      <c r="S61" s="14">
        <f t="shared" si="8"/>
        <v>4769.4850946031556</v>
      </c>
      <c r="T61" s="1">
        <f t="shared" si="9"/>
        <v>111.64525034183417</v>
      </c>
      <c r="U61" s="14">
        <f t="shared" si="10"/>
        <v>98.499570961066027</v>
      </c>
      <c r="V61" s="1">
        <f t="shared" si="11"/>
        <v>98.499570961066027</v>
      </c>
      <c r="W61" s="1"/>
      <c r="X61" s="1"/>
      <c r="Y61" s="1"/>
      <c r="Z61" s="1"/>
      <c r="AA61" s="1"/>
      <c r="AB61" s="1"/>
      <c r="AC61" s="1"/>
      <c r="AD61" s="1"/>
      <c r="AE61" s="1"/>
      <c r="AF61" s="1"/>
      <c r="AG61" s="1"/>
      <c r="AH61" s="1"/>
      <c r="AI61" s="1"/>
      <c r="AJ61" s="1"/>
      <c r="AK61" s="1"/>
      <c r="AL61" s="1"/>
      <c r="AM61" s="1"/>
      <c r="AN61" s="1"/>
      <c r="AO61" s="1"/>
      <c r="AP61" s="1"/>
      <c r="AQ61" s="1"/>
      <c r="AR61" s="1"/>
      <c r="AS61" s="1"/>
      <c r="AT61" s="1"/>
      <c r="AU61" s="1"/>
    </row>
    <row r="62" spans="1:47">
      <c r="A62" s="38">
        <f>+datos!A62</f>
        <v>43952</v>
      </c>
      <c r="B62" s="1"/>
      <c r="C62" s="1"/>
      <c r="D62" s="1"/>
      <c r="E62" s="1"/>
      <c r="F62" s="1">
        <f t="shared" si="7"/>
        <v>100</v>
      </c>
      <c r="G62" s="1">
        <f t="shared" si="16"/>
        <v>314.90870000000001</v>
      </c>
      <c r="H62" s="1">
        <f t="shared" si="16"/>
        <v>20000</v>
      </c>
      <c r="I62" s="1">
        <f t="shared" si="16"/>
        <v>419.8097341539393</v>
      </c>
      <c r="J62" s="1"/>
      <c r="K62" s="1">
        <f t="shared" si="12"/>
        <v>425.80167140531745</v>
      </c>
      <c r="L62" s="1">
        <f t="shared" si="13"/>
        <v>468.16479400749063</v>
      </c>
      <c r="M62" s="1">
        <f t="shared" si="14"/>
        <v>419.8097341539393</v>
      </c>
      <c r="N62" s="1"/>
      <c r="O62" s="1">
        <f t="shared" si="5"/>
        <v>142.36312260217318</v>
      </c>
      <c r="P62" s="1">
        <f t="shared" si="6"/>
        <v>94.008062748621853</v>
      </c>
      <c r="Q62" s="1"/>
      <c r="R62" s="1"/>
      <c r="S62" s="14">
        <f t="shared" si="8"/>
        <v>4697.022426894644</v>
      </c>
      <c r="T62" s="1">
        <f t="shared" si="9"/>
        <v>109.94902684678473</v>
      </c>
      <c r="U62" s="14">
        <f t="shared" si="10"/>
        <v>98.592786817486569</v>
      </c>
      <c r="V62" s="1">
        <f t="shared" si="11"/>
        <v>98.592786817486569</v>
      </c>
      <c r="W62" s="1"/>
      <c r="X62" s="1"/>
      <c r="Y62" s="1"/>
      <c r="Z62" s="1"/>
      <c r="AA62" s="1"/>
      <c r="AB62" s="1"/>
      <c r="AC62" s="1"/>
      <c r="AD62" s="1"/>
      <c r="AE62" s="1"/>
      <c r="AF62" s="1"/>
      <c r="AG62" s="1"/>
      <c r="AH62" s="1"/>
      <c r="AI62" s="1"/>
      <c r="AJ62" s="1"/>
      <c r="AK62" s="1"/>
      <c r="AL62" s="1"/>
      <c r="AM62" s="1"/>
      <c r="AN62" s="1"/>
      <c r="AO62" s="1"/>
      <c r="AP62" s="1"/>
      <c r="AQ62" s="1"/>
      <c r="AR62" s="1"/>
      <c r="AS62" s="1"/>
      <c r="AT62" s="1"/>
      <c r="AU62" s="1"/>
    </row>
    <row r="63" spans="1:47">
      <c r="A63" s="38">
        <f>+datos!A63</f>
        <v>43983</v>
      </c>
      <c r="B63" s="1"/>
      <c r="C63" s="1"/>
      <c r="D63" s="1"/>
      <c r="E63" s="1"/>
      <c r="F63" s="1">
        <f t="shared" si="7"/>
        <v>100</v>
      </c>
      <c r="G63" s="1">
        <f t="shared" si="16"/>
        <v>321.97379999999998</v>
      </c>
      <c r="H63" s="1">
        <f t="shared" si="16"/>
        <v>20000</v>
      </c>
      <c r="I63" s="1">
        <f t="shared" si="16"/>
        <v>429.34658313976257</v>
      </c>
      <c r="J63" s="1"/>
      <c r="K63" s="1">
        <f t="shared" si="12"/>
        <v>435.35469864351597</v>
      </c>
      <c r="L63" s="1">
        <f t="shared" si="13"/>
        <v>468.16479400749063</v>
      </c>
      <c r="M63" s="1">
        <f t="shared" si="14"/>
        <v>429.34658313976257</v>
      </c>
      <c r="N63" s="1"/>
      <c r="O63" s="1">
        <f t="shared" si="5"/>
        <v>132.81009536397465</v>
      </c>
      <c r="P63" s="1">
        <f t="shared" si="6"/>
        <v>93.991884496246598</v>
      </c>
      <c r="Q63" s="1"/>
      <c r="R63" s="1"/>
      <c r="S63" s="14">
        <f t="shared" si="8"/>
        <v>4593.9552420856535</v>
      </c>
      <c r="T63" s="1">
        <f t="shared" si="9"/>
        <v>107.53640547953309</v>
      </c>
      <c r="U63" s="14">
        <f t="shared" si="10"/>
        <v>98.619949314323804</v>
      </c>
      <c r="V63" s="1">
        <f t="shared" si="11"/>
        <v>98.619949314323804</v>
      </c>
      <c r="W63" s="1"/>
      <c r="X63" s="1"/>
      <c r="Y63" s="1"/>
      <c r="Z63" s="1"/>
      <c r="AA63" s="1"/>
      <c r="AB63" s="1"/>
      <c r="AC63" s="1"/>
      <c r="AD63" s="1"/>
      <c r="AE63" s="1"/>
      <c r="AF63" s="1"/>
      <c r="AG63" s="1"/>
      <c r="AH63" s="1"/>
      <c r="AI63" s="1"/>
      <c r="AJ63" s="1"/>
      <c r="AK63" s="1"/>
      <c r="AL63" s="1"/>
      <c r="AM63" s="1"/>
      <c r="AN63" s="1"/>
      <c r="AO63" s="1"/>
      <c r="AP63" s="1"/>
      <c r="AQ63" s="1"/>
      <c r="AR63" s="1"/>
      <c r="AS63" s="1"/>
      <c r="AT63" s="1"/>
      <c r="AU63" s="1"/>
    </row>
    <row r="64" spans="1:47">
      <c r="A64" s="38">
        <f>+datos!A64</f>
        <v>44013</v>
      </c>
      <c r="B64" s="1"/>
      <c r="C64" s="1"/>
      <c r="D64" s="1"/>
      <c r="E64" s="1"/>
      <c r="F64" s="1">
        <f t="shared" si="7"/>
        <v>100</v>
      </c>
      <c r="G64" s="1">
        <f t="shared" si="16"/>
        <v>328.20139999999998</v>
      </c>
      <c r="H64" s="1">
        <f t="shared" si="16"/>
        <v>20000</v>
      </c>
      <c r="I64" s="1">
        <f t="shared" si="16"/>
        <v>457.14476507183014</v>
      </c>
      <c r="J64" s="1"/>
      <c r="K64" s="1">
        <f t="shared" si="12"/>
        <v>443.77530591427018</v>
      </c>
      <c r="L64" s="1">
        <f t="shared" si="13"/>
        <v>468.16479400749063</v>
      </c>
      <c r="M64" s="1">
        <f t="shared" si="14"/>
        <v>457.14476507183014</v>
      </c>
      <c r="N64" s="1"/>
      <c r="O64" s="1">
        <f t="shared" si="5"/>
        <v>124.38948809322045</v>
      </c>
      <c r="P64" s="1">
        <f t="shared" si="6"/>
        <v>113.36945915755996</v>
      </c>
      <c r="Q64" s="1"/>
      <c r="R64" s="1"/>
      <c r="S64" s="14">
        <f t="shared" si="8"/>
        <v>4506.7852432202835</v>
      </c>
      <c r="T64" s="1">
        <f t="shared" si="9"/>
        <v>105.49590925141112</v>
      </c>
      <c r="U64" s="14">
        <f t="shared" si="10"/>
        <v>103.01266406205637</v>
      </c>
      <c r="V64" s="1">
        <f t="shared" si="11"/>
        <v>103.01266406205639</v>
      </c>
      <c r="W64" s="1"/>
      <c r="X64" s="1"/>
      <c r="Y64" s="1"/>
      <c r="Z64" s="1"/>
      <c r="AA64" s="1"/>
      <c r="AB64" s="1"/>
      <c r="AC64" s="1"/>
      <c r="AD64" s="1"/>
      <c r="AE64" s="1"/>
      <c r="AF64" s="1"/>
      <c r="AG64" s="1"/>
      <c r="AH64" s="1"/>
      <c r="AI64" s="1"/>
      <c r="AJ64" s="1"/>
      <c r="AK64" s="1"/>
      <c r="AL64" s="1"/>
      <c r="AM64" s="1"/>
      <c r="AN64" s="1"/>
      <c r="AO64" s="1"/>
      <c r="AP64" s="1"/>
      <c r="AQ64" s="1"/>
      <c r="AR64" s="1"/>
      <c r="AS64" s="1"/>
      <c r="AT64" s="1"/>
      <c r="AU64" s="1"/>
    </row>
    <row r="65" spans="1:47">
      <c r="A65" s="38">
        <f>+datos!A65</f>
        <v>44044</v>
      </c>
      <c r="B65" s="1"/>
      <c r="C65" s="1"/>
      <c r="D65" s="1"/>
      <c r="E65" s="1"/>
      <c r="F65" s="1">
        <f t="shared" si="7"/>
        <v>100</v>
      </c>
      <c r="G65" s="1">
        <f t="shared" si="16"/>
        <v>337.06319999999999</v>
      </c>
      <c r="H65" s="1">
        <f t="shared" si="16"/>
        <v>20000</v>
      </c>
      <c r="I65" s="1">
        <f t="shared" si="16"/>
        <v>457.73790710094761</v>
      </c>
      <c r="J65" s="1"/>
      <c r="K65" s="1">
        <f t="shared" si="12"/>
        <v>455.75772892023872</v>
      </c>
      <c r="L65" s="1">
        <f t="shared" si="13"/>
        <v>468.16479400749063</v>
      </c>
      <c r="M65" s="1">
        <f t="shared" si="14"/>
        <v>457.73790710094761</v>
      </c>
      <c r="N65" s="1"/>
      <c r="O65" s="1">
        <f t="shared" si="5"/>
        <v>112.40706508725191</v>
      </c>
      <c r="P65" s="1">
        <f t="shared" si="6"/>
        <v>101.98017818070889</v>
      </c>
      <c r="Q65" s="1"/>
      <c r="R65" s="1"/>
      <c r="S65" s="14">
        <f t="shared" si="8"/>
        <v>4388.2963976021047</v>
      </c>
      <c r="T65" s="1">
        <f t="shared" si="9"/>
        <v>102.72229395136011</v>
      </c>
      <c r="U65" s="14">
        <f t="shared" si="10"/>
        <v>100.43448043885076</v>
      </c>
      <c r="V65" s="1">
        <f t="shared" si="11"/>
        <v>100.43448043885076</v>
      </c>
      <c r="W65" s="1"/>
      <c r="X65" s="1"/>
      <c r="Y65" s="1"/>
      <c r="Z65" s="1"/>
      <c r="AA65" s="1"/>
      <c r="AB65" s="1"/>
      <c r="AC65" s="1"/>
      <c r="AD65" s="1"/>
      <c r="AE65" s="1"/>
      <c r="AF65" s="1"/>
      <c r="AG65" s="1"/>
      <c r="AH65" s="1"/>
      <c r="AI65" s="1"/>
      <c r="AJ65" s="1"/>
      <c r="AK65" s="1"/>
      <c r="AL65" s="1"/>
      <c r="AM65" s="1"/>
      <c r="AN65" s="1"/>
      <c r="AO65" s="1"/>
      <c r="AP65" s="1"/>
      <c r="AQ65" s="1"/>
      <c r="AR65" s="1"/>
      <c r="AS65" s="1"/>
      <c r="AT65" s="1"/>
      <c r="AU65" s="1"/>
    </row>
    <row r="66" spans="1:47">
      <c r="A66" s="38">
        <f>+datos!A66</f>
        <v>44075</v>
      </c>
      <c r="B66" s="1"/>
      <c r="C66" s="1"/>
      <c r="D66" s="1"/>
      <c r="E66" s="1"/>
      <c r="F66" s="1">
        <f t="shared" si="7"/>
        <v>100</v>
      </c>
      <c r="G66" s="1">
        <f t="shared" si="16"/>
        <v>346.6207</v>
      </c>
      <c r="H66" s="1">
        <f t="shared" si="16"/>
        <v>20000</v>
      </c>
      <c r="I66" s="1">
        <f t="shared" si="16"/>
        <v>466.51294197682472</v>
      </c>
      <c r="J66" s="1"/>
      <c r="K66" s="1">
        <f t="shared" si="12"/>
        <v>468.6808379815518</v>
      </c>
      <c r="L66" s="1">
        <f t="shared" si="13"/>
        <v>468.16479400749063</v>
      </c>
      <c r="M66" s="1">
        <f t="shared" si="14"/>
        <v>466.51294197682472</v>
      </c>
      <c r="N66" s="1"/>
      <c r="O66" s="1">
        <f t="shared" si="5"/>
        <v>99.483956025938824</v>
      </c>
      <c r="P66" s="1">
        <f t="shared" si="6"/>
        <v>97.832103995272917</v>
      </c>
      <c r="Q66" s="1"/>
      <c r="R66" s="1"/>
      <c r="S66" s="14">
        <f t="shared" si="8"/>
        <v>4267.2962876257461</v>
      </c>
      <c r="T66" s="1">
        <f t="shared" si="9"/>
        <v>99.889894373261839</v>
      </c>
      <c r="U66" s="14">
        <f t="shared" si="10"/>
        <v>99.537447271353471</v>
      </c>
      <c r="V66" s="1">
        <f t="shared" si="11"/>
        <v>99.537447271353471</v>
      </c>
      <c r="W66" s="1"/>
      <c r="X66" s="1"/>
      <c r="Y66" s="1"/>
      <c r="Z66" s="1"/>
      <c r="AA66" s="1"/>
      <c r="AB66" s="1"/>
      <c r="AC66" s="1"/>
      <c r="AD66" s="1"/>
      <c r="AE66" s="1"/>
      <c r="AF66" s="1"/>
      <c r="AG66" s="1"/>
      <c r="AH66" s="1"/>
      <c r="AI66" s="1"/>
      <c r="AJ66" s="1"/>
      <c r="AK66" s="1"/>
      <c r="AL66" s="1"/>
      <c r="AM66" s="1"/>
      <c r="AN66" s="1"/>
      <c r="AO66" s="1"/>
      <c r="AP66" s="1"/>
      <c r="AQ66" s="1"/>
      <c r="AR66" s="1"/>
      <c r="AS66" s="1"/>
      <c r="AT66" s="1"/>
      <c r="AU66" s="1"/>
    </row>
    <row r="67" spans="1:47">
      <c r="A67" s="38">
        <f>+datos!A67</f>
        <v>44105</v>
      </c>
      <c r="B67" s="1"/>
      <c r="C67" s="1"/>
      <c r="D67" s="1"/>
      <c r="E67" s="1"/>
      <c r="F67" s="1">
        <f t="shared" si="7"/>
        <v>100</v>
      </c>
      <c r="G67" s="1">
        <f t="shared" si="16"/>
        <v>359.65699999999998</v>
      </c>
      <c r="H67" s="1">
        <f t="shared" si="16"/>
        <v>24390</v>
      </c>
      <c r="I67" s="1">
        <f t="shared" si="16"/>
        <v>481.83567212552987</v>
      </c>
      <c r="J67" s="1"/>
      <c r="K67" s="1">
        <f t="shared" si="12"/>
        <v>486.30778296256102</v>
      </c>
      <c r="L67" s="1">
        <f t="shared" si="13"/>
        <v>570.92696629213481</v>
      </c>
      <c r="M67" s="1">
        <f t="shared" si="14"/>
        <v>481.83567212552987</v>
      </c>
      <c r="N67" s="1"/>
      <c r="O67" s="1">
        <f t="shared" si="5"/>
        <v>184.61918332957379</v>
      </c>
      <c r="P67" s="1">
        <f t="shared" si="6"/>
        <v>95.527889162968847</v>
      </c>
      <c r="Q67" s="1"/>
      <c r="R67" s="1"/>
      <c r="S67" s="14">
        <f t="shared" si="8"/>
        <v>5015.3423108751058</v>
      </c>
      <c r="T67" s="1">
        <f t="shared" si="9"/>
        <v>117.40033499239479</v>
      </c>
      <c r="U67" s="14">
        <f t="shared" si="10"/>
        <v>99.080394969254399</v>
      </c>
      <c r="V67" s="1">
        <f t="shared" si="11"/>
        <v>99.080394969254399</v>
      </c>
      <c r="W67" s="1"/>
      <c r="X67" s="1"/>
      <c r="Y67" s="1"/>
      <c r="Z67" s="1"/>
      <c r="AA67" s="1"/>
      <c r="AB67" s="1"/>
      <c r="AC67" s="1"/>
      <c r="AD67" s="1"/>
      <c r="AE67" s="1"/>
      <c r="AF67" s="1"/>
      <c r="AG67" s="1"/>
      <c r="AH67" s="1"/>
      <c r="AI67" s="1"/>
      <c r="AJ67" s="1"/>
      <c r="AK67" s="1"/>
      <c r="AL67" s="1"/>
      <c r="AM67" s="1"/>
      <c r="AN67" s="1"/>
      <c r="AO67" s="1"/>
      <c r="AP67" s="1"/>
      <c r="AQ67" s="1"/>
      <c r="AR67" s="1"/>
      <c r="AS67" s="1"/>
      <c r="AT67" s="1"/>
      <c r="AU67" s="1"/>
    </row>
    <row r="68" spans="1:47">
      <c r="A68" s="38">
        <f>+datos!A68</f>
        <v>44136</v>
      </c>
      <c r="B68" s="1"/>
      <c r="C68" s="1"/>
      <c r="D68" s="1"/>
      <c r="E68" s="1"/>
      <c r="F68" s="1">
        <f t="shared" si="7"/>
        <v>100</v>
      </c>
      <c r="G68" s="1">
        <f t="shared" si="16"/>
        <v>371</v>
      </c>
      <c r="H68" s="1">
        <f t="shared" si="16"/>
        <v>24390</v>
      </c>
      <c r="I68" s="1">
        <f t="shared" si="16"/>
        <v>516.76209545177073</v>
      </c>
      <c r="J68" s="1"/>
      <c r="K68" s="1">
        <f t="shared" si="12"/>
        <v>501.64514378730331</v>
      </c>
      <c r="L68" s="1">
        <f t="shared" si="13"/>
        <v>570.92696629213481</v>
      </c>
      <c r="M68" s="1">
        <f t="shared" si="14"/>
        <v>516.76209545177073</v>
      </c>
      <c r="N68" s="1"/>
      <c r="O68" s="1">
        <f t="shared" si="5"/>
        <v>169.2818225048315</v>
      </c>
      <c r="P68" s="1">
        <f t="shared" si="6"/>
        <v>115.11695166446742</v>
      </c>
      <c r="Q68" s="1"/>
      <c r="R68" s="1"/>
      <c r="S68" s="14">
        <f t="shared" si="8"/>
        <v>4862.0026132140374</v>
      </c>
      <c r="T68" s="1">
        <f t="shared" si="9"/>
        <v>113.81092259396155</v>
      </c>
      <c r="U68" s="14">
        <f t="shared" si="10"/>
        <v>103.01347513310664</v>
      </c>
      <c r="V68" s="1">
        <f t="shared" si="11"/>
        <v>103.01347513310664</v>
      </c>
      <c r="W68" s="1"/>
      <c r="X68" s="1"/>
      <c r="Y68" s="1"/>
      <c r="Z68" s="1"/>
      <c r="AA68" s="1"/>
      <c r="AB68" s="1"/>
      <c r="AC68" s="1"/>
      <c r="AD68" s="1"/>
      <c r="AE68" s="1"/>
      <c r="AF68" s="1"/>
      <c r="AG68" s="1"/>
      <c r="AH68" s="1"/>
      <c r="AI68" s="1"/>
      <c r="AJ68" s="1"/>
      <c r="AK68" s="1"/>
      <c r="AL68" s="1"/>
      <c r="AM68" s="1"/>
      <c r="AN68" s="1"/>
      <c r="AO68" s="1"/>
      <c r="AP68" s="1"/>
      <c r="AQ68" s="1"/>
      <c r="AR68" s="1"/>
      <c r="AS68" s="1"/>
      <c r="AT68" s="1"/>
      <c r="AU68" s="1"/>
    </row>
    <row r="69" spans="1:47">
      <c r="A69" s="38">
        <f>+datos!A69</f>
        <v>44166</v>
      </c>
      <c r="B69" s="1"/>
      <c r="C69" s="1"/>
      <c r="D69" s="1"/>
      <c r="E69" s="1"/>
      <c r="F69" s="1">
        <f t="shared" si="7"/>
        <v>100</v>
      </c>
      <c r="G69" s="1">
        <f t="shared" si="16"/>
        <v>385.9</v>
      </c>
      <c r="H69" s="1">
        <f t="shared" si="16"/>
        <v>24390</v>
      </c>
      <c r="I69" s="1">
        <f t="shared" si="16"/>
        <v>520.43968032868304</v>
      </c>
      <c r="J69" s="1"/>
      <c r="K69" s="1">
        <f t="shared" si="12"/>
        <v>521.79207813347807</v>
      </c>
      <c r="L69" s="1">
        <f t="shared" si="13"/>
        <v>570.92696629213481</v>
      </c>
      <c r="M69" s="1">
        <f t="shared" si="14"/>
        <v>520.43968032868304</v>
      </c>
      <c r="N69" s="1"/>
      <c r="O69" s="1">
        <f t="shared" si="5"/>
        <v>149.13488815865674</v>
      </c>
      <c r="P69" s="1">
        <f t="shared" si="6"/>
        <v>98.647602195204968</v>
      </c>
      <c r="Q69" s="1"/>
      <c r="R69" s="1"/>
      <c r="S69" s="14">
        <f t="shared" si="8"/>
        <v>4674.275640068432</v>
      </c>
      <c r="T69" s="1">
        <f t="shared" si="9"/>
        <v>109.41656460834344</v>
      </c>
      <c r="U69" s="14">
        <f t="shared" si="10"/>
        <v>99.740816723467205</v>
      </c>
      <c r="V69" s="1">
        <f t="shared" si="11"/>
        <v>99.740816723467205</v>
      </c>
      <c r="W69" s="1"/>
      <c r="X69" s="1"/>
      <c r="Y69" s="1"/>
      <c r="Z69" s="1"/>
      <c r="AA69" s="1"/>
      <c r="AB69" s="1"/>
      <c r="AC69" s="1"/>
      <c r="AD69" s="1"/>
      <c r="AE69" s="1"/>
      <c r="AF69" s="1"/>
      <c r="AG69" s="1"/>
      <c r="AH69" s="1"/>
      <c r="AI69" s="1"/>
      <c r="AJ69" s="1"/>
      <c r="AK69" s="1"/>
      <c r="AL69" s="1"/>
      <c r="AM69" s="1"/>
      <c r="AN69" s="1"/>
      <c r="AO69" s="1"/>
      <c r="AP69" s="1"/>
      <c r="AQ69" s="1"/>
      <c r="AR69" s="1"/>
      <c r="AS69" s="1"/>
      <c r="AT69" s="1"/>
      <c r="AU69" s="1"/>
    </row>
    <row r="70" spans="1:47">
      <c r="A70" s="38">
        <f>+datos!A70</f>
        <v>44197</v>
      </c>
      <c r="B70" s="1"/>
      <c r="C70" s="1"/>
      <c r="D70" s="1"/>
      <c r="E70" s="1"/>
      <c r="F70" s="1"/>
      <c r="G70" s="1">
        <f t="shared" si="16"/>
        <v>401.5</v>
      </c>
      <c r="H70" s="1">
        <f t="shared" si="16"/>
        <v>24390</v>
      </c>
      <c r="I70" s="1">
        <f t="shared" si="16"/>
        <v>545.24204839324489</v>
      </c>
      <c r="J70" s="1"/>
      <c r="K70" s="1">
        <f t="shared" ref="K70:K80" si="17">+G70*100/G$10</f>
        <v>542.88551275094949</v>
      </c>
      <c r="L70" s="1">
        <f t="shared" ref="L70:L80" si="18">+H70*100/H$10</f>
        <v>570.92696629213481</v>
      </c>
      <c r="M70" s="1">
        <f t="shared" ref="M70:M80" si="19">+I70*100/I$10</f>
        <v>545.24204839324489</v>
      </c>
      <c r="N70" s="1"/>
      <c r="O70" s="1">
        <f t="shared" ref="O70:O79" si="20">+L70-K70+100</f>
        <v>128.04145354118532</v>
      </c>
      <c r="P70" s="1">
        <f t="shared" ref="P70:P80" si="21">+M70-K70+100</f>
        <v>102.3565356422954</v>
      </c>
      <c r="Q70" s="1"/>
      <c r="R70" s="1"/>
      <c r="S70" s="14">
        <f t="shared" si="8"/>
        <v>4492.6599489474665</v>
      </c>
      <c r="T70" s="1">
        <f t="shared" si="9"/>
        <v>105.16526097723471</v>
      </c>
      <c r="U70" s="14">
        <f t="shared" si="10"/>
        <v>100.43407598599458</v>
      </c>
      <c r="V70" s="1">
        <f t="shared" si="11"/>
        <v>100.43407598599458</v>
      </c>
      <c r="W70" s="1"/>
      <c r="X70" s="1"/>
      <c r="Y70" s="1"/>
      <c r="Z70" s="1"/>
      <c r="AA70" s="1"/>
      <c r="AB70" s="1"/>
      <c r="AC70" s="1"/>
      <c r="AD70" s="1"/>
      <c r="AE70" s="1"/>
      <c r="AF70" s="1"/>
      <c r="AG70" s="1"/>
      <c r="AH70" s="1"/>
      <c r="AI70" s="1"/>
      <c r="AJ70" s="1"/>
      <c r="AK70" s="1"/>
      <c r="AL70" s="1"/>
      <c r="AM70" s="1"/>
      <c r="AN70" s="1"/>
      <c r="AO70" s="1"/>
      <c r="AP70" s="1"/>
      <c r="AQ70" s="1"/>
      <c r="AR70" s="1"/>
      <c r="AS70" s="1"/>
      <c r="AT70" s="1"/>
      <c r="AU70" s="1"/>
    </row>
    <row r="71" spans="1:47">
      <c r="A71" s="38">
        <f>+datos!A71</f>
        <v>44228</v>
      </c>
      <c r="B71" s="1"/>
      <c r="C71" s="1"/>
      <c r="D71" s="1"/>
      <c r="E71" s="1"/>
      <c r="F71" s="1"/>
      <c r="G71" s="1">
        <f t="shared" ref="G71:I86" si="22">+VLOOKUP($A71,ran_dat,G$1,FALSE)</f>
        <v>415.85950000000003</v>
      </c>
      <c r="H71" s="1">
        <f t="shared" si="22"/>
        <v>24390</v>
      </c>
      <c r="I71" s="1">
        <f t="shared" si="22"/>
        <v>556.64969563812292</v>
      </c>
      <c r="J71" s="1"/>
      <c r="K71" s="1">
        <f t="shared" si="17"/>
        <v>562.3016136733587</v>
      </c>
      <c r="L71" s="1">
        <f t="shared" si="18"/>
        <v>570.92696629213481</v>
      </c>
      <c r="M71" s="1">
        <f t="shared" si="19"/>
        <v>556.64969563812292</v>
      </c>
      <c r="N71" s="1"/>
      <c r="O71" s="1">
        <f t="shared" si="20"/>
        <v>108.62535261877611</v>
      </c>
      <c r="P71" s="1">
        <f t="shared" si="21"/>
        <v>94.348081964764219</v>
      </c>
      <c r="Q71" s="1"/>
      <c r="R71" s="1"/>
      <c r="S71" s="14">
        <f t="shared" si="8"/>
        <v>4337.5297895140247</v>
      </c>
      <c r="T71" s="1">
        <f t="shared" si="9"/>
        <v>101.53393702045939</v>
      </c>
      <c r="U71" s="14">
        <f t="shared" si="10"/>
        <v>98.994860071925928</v>
      </c>
      <c r="V71" s="1">
        <f t="shared" si="11"/>
        <v>98.994860071925928</v>
      </c>
      <c r="W71" s="1"/>
      <c r="X71" s="1"/>
      <c r="Y71" s="1"/>
      <c r="Z71" s="1"/>
      <c r="AA71" s="1"/>
      <c r="AB71" s="1"/>
      <c r="AC71" s="1"/>
      <c r="AD71" s="1"/>
      <c r="AE71" s="1"/>
      <c r="AF71" s="1"/>
      <c r="AG71" s="1"/>
      <c r="AH71" s="1"/>
      <c r="AI71" s="1"/>
      <c r="AJ71" s="1"/>
      <c r="AK71" s="1"/>
      <c r="AL71" s="1"/>
      <c r="AM71" s="1"/>
      <c r="AN71" s="1"/>
      <c r="AO71" s="1"/>
      <c r="AP71" s="1"/>
      <c r="AQ71" s="1"/>
      <c r="AR71" s="1"/>
      <c r="AS71" s="1"/>
      <c r="AT71" s="1"/>
      <c r="AU71" s="1"/>
    </row>
    <row r="72" spans="1:47">
      <c r="A72" s="38">
        <f>+datos!A72</f>
        <v>44256</v>
      </c>
      <c r="B72" s="1"/>
      <c r="C72" s="1"/>
      <c r="D72" s="1"/>
      <c r="E72" s="1"/>
      <c r="F72" s="1"/>
      <c r="G72" s="1">
        <f t="shared" si="22"/>
        <v>435.8657</v>
      </c>
      <c r="H72" s="1">
        <f t="shared" si="22"/>
        <v>24390</v>
      </c>
      <c r="I72" s="1">
        <f t="shared" si="22"/>
        <v>558.57430485364114</v>
      </c>
      <c r="J72" s="1"/>
      <c r="K72" s="1">
        <f t="shared" si="17"/>
        <v>589.35286185567008</v>
      </c>
      <c r="L72" s="1">
        <f t="shared" si="18"/>
        <v>570.92696629213481</v>
      </c>
      <c r="M72" s="1">
        <f t="shared" si="19"/>
        <v>558.57430485364114</v>
      </c>
      <c r="N72" s="1"/>
      <c r="O72" s="1">
        <f t="shared" si="20"/>
        <v>81.574104436464722</v>
      </c>
      <c r="P72" s="1">
        <f t="shared" si="21"/>
        <v>69.221442997971053</v>
      </c>
      <c r="Q72" s="1"/>
      <c r="R72" s="1"/>
      <c r="S72" s="14">
        <f t="shared" si="8"/>
        <v>4138.4375267482801</v>
      </c>
      <c r="T72" s="1">
        <f t="shared" si="9"/>
        <v>96.873537611148876</v>
      </c>
      <c r="U72" s="14">
        <f t="shared" si="10"/>
        <v>94.77756722770161</v>
      </c>
      <c r="V72" s="1">
        <f t="shared" si="11"/>
        <v>94.77756722770161</v>
      </c>
      <c r="W72" s="1"/>
      <c r="X72" s="1"/>
      <c r="Y72" s="1"/>
      <c r="Z72" s="1"/>
      <c r="AA72" s="1"/>
      <c r="AB72" s="1"/>
      <c r="AC72" s="1"/>
      <c r="AD72" s="1"/>
      <c r="AE72" s="1"/>
      <c r="AF72" s="1"/>
      <c r="AG72" s="1"/>
      <c r="AH72" s="1"/>
      <c r="AI72" s="1"/>
      <c r="AJ72" s="1"/>
      <c r="AK72" s="1"/>
      <c r="AL72" s="1"/>
      <c r="AM72" s="1"/>
      <c r="AN72" s="1"/>
      <c r="AO72" s="1"/>
      <c r="AP72" s="1"/>
      <c r="AQ72" s="1"/>
      <c r="AR72" s="1"/>
      <c r="AS72" s="1"/>
      <c r="AT72" s="1"/>
      <c r="AU72" s="1"/>
    </row>
    <row r="73" spans="1:47">
      <c r="A73" s="38">
        <f>+datos!A73</f>
        <v>44287</v>
      </c>
      <c r="G73" s="1">
        <f t="shared" si="22"/>
        <v>453.65030000000002</v>
      </c>
      <c r="H73" s="1">
        <f t="shared" si="22"/>
        <v>24390</v>
      </c>
      <c r="I73" s="1">
        <f t="shared" si="22"/>
        <v>573.92711706891362</v>
      </c>
      <c r="J73" s="1"/>
      <c r="K73" s="1">
        <f t="shared" si="17"/>
        <v>613.40018860553448</v>
      </c>
      <c r="L73" s="1">
        <f t="shared" si="18"/>
        <v>570.92696629213481</v>
      </c>
      <c r="M73" s="1">
        <f t="shared" si="19"/>
        <v>573.92711706891362</v>
      </c>
      <c r="N73" s="1"/>
      <c r="O73" s="1">
        <f t="shared" si="20"/>
        <v>57.526777686600326</v>
      </c>
      <c r="P73" s="1">
        <f t="shared" si="21"/>
        <v>60.526928463379136</v>
      </c>
      <c r="Q73" s="1"/>
      <c r="R73" s="1"/>
      <c r="S73" s="14">
        <f t="shared" si="8"/>
        <v>3976.1970167382401</v>
      </c>
      <c r="T73" s="1">
        <f t="shared" si="9"/>
        <v>93.075772863722847</v>
      </c>
      <c r="U73" s="14">
        <f t="shared" si="10"/>
        <v>93.56487456804399</v>
      </c>
      <c r="V73" s="1">
        <f t="shared" si="11"/>
        <v>93.56487456804399</v>
      </c>
      <c r="W73" s="1"/>
    </row>
    <row r="74" spans="1:47">
      <c r="A74" s="38">
        <f>+datos!A74</f>
        <v>44317</v>
      </c>
      <c r="G74" s="1">
        <f t="shared" si="22"/>
        <v>468.72500000000002</v>
      </c>
      <c r="H74" s="1">
        <f t="shared" si="22"/>
        <v>29700</v>
      </c>
      <c r="I74" s="1">
        <f t="shared" si="22"/>
        <v>583.35458134208864</v>
      </c>
      <c r="J74" s="1"/>
      <c r="K74" s="1">
        <f t="shared" si="17"/>
        <v>633.78334237655997</v>
      </c>
      <c r="L74" s="1">
        <f t="shared" si="18"/>
        <v>695.22471910112358</v>
      </c>
      <c r="M74" s="1">
        <f t="shared" si="19"/>
        <v>583.35458134208864</v>
      </c>
      <c r="N74" s="1"/>
      <c r="O74" s="1">
        <f t="shared" si="20"/>
        <v>161.44137672456361</v>
      </c>
      <c r="P74" s="1">
        <f t="shared" si="21"/>
        <v>49.571238965528664</v>
      </c>
      <c r="Q74" s="1"/>
      <c r="R74" s="1"/>
      <c r="S74" s="14">
        <f t="shared" si="8"/>
        <v>4686.1439886745811</v>
      </c>
      <c r="T74" s="1">
        <f t="shared" si="9"/>
        <v>109.69438175736379</v>
      </c>
      <c r="U74" s="14">
        <f t="shared" si="10"/>
        <v>92.043217664040583</v>
      </c>
      <c r="V74" s="1">
        <f t="shared" si="11"/>
        <v>92.043217664040583</v>
      </c>
      <c r="W74" s="1"/>
    </row>
    <row r="75" spans="1:47">
      <c r="A75" s="38">
        <f>+datos!A75</f>
        <v>44348</v>
      </c>
      <c r="G75" s="1">
        <f t="shared" si="22"/>
        <v>483.60489999999999</v>
      </c>
      <c r="H75" s="1">
        <f t="shared" si="22"/>
        <v>29700</v>
      </c>
      <c r="I75" s="1">
        <f t="shared" si="22"/>
        <v>595.53266489083182</v>
      </c>
      <c r="J75" s="1"/>
      <c r="K75" s="1">
        <f t="shared" si="17"/>
        <v>653.90309864351593</v>
      </c>
      <c r="L75" s="1">
        <f t="shared" si="18"/>
        <v>695.22471910112358</v>
      </c>
      <c r="M75" s="1">
        <f t="shared" si="19"/>
        <v>595.53266489083182</v>
      </c>
      <c r="N75" s="1"/>
      <c r="O75" s="1">
        <f t="shared" si="20"/>
        <v>141.32162045760765</v>
      </c>
      <c r="P75" s="1">
        <f t="shared" si="21"/>
        <v>41.629566247315893</v>
      </c>
      <c r="Q75" s="1"/>
      <c r="R75" s="1"/>
      <c r="S75" s="14">
        <f t="shared" si="8"/>
        <v>4541.9573728295409</v>
      </c>
      <c r="T75" s="1">
        <f t="shared" si="9"/>
        <v>106.31922689207727</v>
      </c>
      <c r="U75" s="14">
        <f t="shared" si="10"/>
        <v>91.073534614873338</v>
      </c>
      <c r="V75" s="1">
        <f t="shared" si="11"/>
        <v>91.073534614873338</v>
      </c>
      <c r="W75" s="1"/>
    </row>
    <row r="76" spans="1:47">
      <c r="A76" s="38">
        <f>+datos!A76</f>
        <v>44378</v>
      </c>
      <c r="G76" s="1">
        <f t="shared" si="22"/>
        <v>498.09870000000001</v>
      </c>
      <c r="H76" s="1">
        <f t="shared" si="22"/>
        <v>29700</v>
      </c>
      <c r="I76" s="1">
        <f t="shared" si="22"/>
        <v>629.57984885307189</v>
      </c>
      <c r="J76" s="1"/>
      <c r="K76" s="1">
        <f t="shared" si="17"/>
        <v>673.50079240368962</v>
      </c>
      <c r="L76" s="1">
        <f t="shared" si="18"/>
        <v>695.22471910112358</v>
      </c>
      <c r="M76" s="1">
        <f t="shared" si="19"/>
        <v>629.57984885307189</v>
      </c>
      <c r="N76" s="1"/>
      <c r="O76" s="1">
        <f t="shared" si="20"/>
        <v>121.72392669743397</v>
      </c>
      <c r="P76" s="1">
        <f t="shared" si="21"/>
        <v>56.079056449382279</v>
      </c>
      <c r="Q76" s="1"/>
      <c r="R76" s="1"/>
      <c r="S76" s="14">
        <f>+($G$10/G76)*H76</f>
        <v>4409.7943662400503</v>
      </c>
      <c r="T76" s="1">
        <f>+S76/$S$10*$T$10</f>
        <v>103.2255235543083</v>
      </c>
      <c r="U76" s="14">
        <f>+($G$10/G76)*I76</f>
        <v>93.478709446819479</v>
      </c>
      <c r="V76" s="1">
        <f>+U76/$U$10*$V$10</f>
        <v>93.478709446819479</v>
      </c>
      <c r="W76" s="1"/>
    </row>
    <row r="77" spans="1:47">
      <c r="A77" s="38">
        <f>+datos!A77</f>
        <v>44409</v>
      </c>
      <c r="G77" s="1">
        <f t="shared" si="22"/>
        <v>510.39420000000001</v>
      </c>
      <c r="H77" s="1">
        <f t="shared" si="22"/>
        <v>29700</v>
      </c>
      <c r="I77" s="1">
        <f t="shared" si="22"/>
        <v>734.49823835998541</v>
      </c>
      <c r="J77" s="1"/>
      <c r="K77" s="1">
        <f t="shared" si="17"/>
        <v>690.12606966901785</v>
      </c>
      <c r="L77" s="1">
        <f t="shared" si="18"/>
        <v>695.22471910112358</v>
      </c>
      <c r="M77" s="1">
        <f t="shared" si="19"/>
        <v>734.49823835998541</v>
      </c>
      <c r="N77" s="1"/>
      <c r="O77" s="1">
        <f t="shared" si="20"/>
        <v>105.09864943210573</v>
      </c>
      <c r="P77" s="1">
        <f t="shared" si="21"/>
        <v>144.37216869096756</v>
      </c>
      <c r="Q77" s="1"/>
      <c r="R77" s="1"/>
      <c r="S77" s="14">
        <f>+($G$10/G77)*H77</f>
        <v>4303.5615238015889</v>
      </c>
      <c r="T77" s="1">
        <f>+S77/$S$10*$T$10</f>
        <v>100.73879971445668</v>
      </c>
      <c r="U77" s="14">
        <f>+($G$10/G77)*I77</f>
        <v>106.4295743402721</v>
      </c>
      <c r="V77" s="1">
        <f>+U77/$U$10*$V$10</f>
        <v>106.4295743402721</v>
      </c>
      <c r="W77" s="1"/>
    </row>
    <row r="78" spans="1:47">
      <c r="A78" s="38">
        <f>+datos!A78</f>
        <v>44440</v>
      </c>
      <c r="G78" s="1">
        <f t="shared" si="22"/>
        <v>528.49680000000001</v>
      </c>
      <c r="H78" s="1">
        <f t="shared" si="22"/>
        <v>29700</v>
      </c>
      <c r="I78" s="1">
        <f t="shared" si="22"/>
        <v>736.5486400809782</v>
      </c>
      <c r="J78" s="1"/>
      <c r="K78" s="1">
        <f t="shared" si="17"/>
        <v>714.60337797069997</v>
      </c>
      <c r="L78" s="1">
        <f t="shared" si="18"/>
        <v>695.22471910112358</v>
      </c>
      <c r="M78" s="1">
        <f t="shared" si="19"/>
        <v>736.5486400809782</v>
      </c>
      <c r="N78" s="1"/>
      <c r="O78" s="1">
        <f t="shared" si="20"/>
        <v>80.621341130423616</v>
      </c>
      <c r="P78" s="1">
        <f t="shared" si="21"/>
        <v>121.94526211027824</v>
      </c>
      <c r="Q78" s="1"/>
      <c r="R78" s="1"/>
      <c r="S78" s="14">
        <f>+($G$10/G78)*H78</f>
        <v>4156.1516381773608</v>
      </c>
      <c r="T78" s="1">
        <f>+S78/$S$10*$T$10</f>
        <v>97.28819377755994</v>
      </c>
      <c r="U78" s="14">
        <f>+($G$10/G78)*I78</f>
        <v>103.07097094511329</v>
      </c>
      <c r="V78" s="1">
        <f>+U78/$U$10*$V$10</f>
        <v>103.07097094511329</v>
      </c>
      <c r="W78" s="1"/>
    </row>
    <row r="79" spans="1:47">
      <c r="A79" s="38">
        <f>+datos!A79</f>
        <v>44470</v>
      </c>
      <c r="G79" s="1">
        <f t="shared" si="22"/>
        <v>547.1</v>
      </c>
      <c r="H79" s="1">
        <f t="shared" si="22"/>
        <v>29700</v>
      </c>
      <c r="I79" s="1">
        <f t="shared" si="22"/>
        <v>746.12943203159136</v>
      </c>
      <c r="J79" s="1"/>
      <c r="K79" s="1">
        <f t="shared" si="17"/>
        <v>739.75756918068362</v>
      </c>
      <c r="L79" s="1">
        <f t="shared" si="18"/>
        <v>695.22471910112358</v>
      </c>
      <c r="M79" s="1">
        <f t="shared" si="19"/>
        <v>746.12943203159148</v>
      </c>
      <c r="N79" s="1"/>
      <c r="O79" s="1">
        <f t="shared" si="20"/>
        <v>55.467149920439965</v>
      </c>
      <c r="P79" s="1">
        <f t="shared" si="21"/>
        <v>106.37186285090786</v>
      </c>
      <c r="Q79" s="1"/>
      <c r="R79" s="1"/>
      <c r="S79" s="14">
        <f>+($G$10/G79)*H79</f>
        <v>4014.8288084289757</v>
      </c>
      <c r="T79" s="1">
        <f>+S79/$S$10*$T$10</f>
        <v>93.980075103674523</v>
      </c>
      <c r="U79" s="14">
        <f>+($G$10/G79)*I79</f>
        <v>100.86134473189166</v>
      </c>
      <c r="V79" s="1">
        <f>+U79/$U$10*$V$10</f>
        <v>100.86134473189165</v>
      </c>
      <c r="W79" s="1"/>
    </row>
    <row r="80" spans="1:47">
      <c r="A80" s="38">
        <f>+datos!A80</f>
        <v>44501</v>
      </c>
      <c r="G80" s="1">
        <f t="shared" si="22"/>
        <v>560.9</v>
      </c>
      <c r="H80" s="1">
        <f t="shared" si="22"/>
        <v>36830</v>
      </c>
      <c r="I80" s="1">
        <f t="shared" si="22"/>
        <v>780.04246758782097</v>
      </c>
      <c r="J80" s="1"/>
      <c r="K80" s="1">
        <f t="shared" si="17"/>
        <v>758.41714595767769</v>
      </c>
      <c r="L80" s="1">
        <f t="shared" si="18"/>
        <v>862.12546816479403</v>
      </c>
      <c r="M80" s="1">
        <f t="shared" si="19"/>
        <v>780.04246758782097</v>
      </c>
      <c r="N80" s="1"/>
      <c r="O80" s="1">
        <f>+L80-K80+100</f>
        <v>203.70832220711634</v>
      </c>
      <c r="P80" s="1">
        <f t="shared" si="21"/>
        <v>121.62532163014328</v>
      </c>
      <c r="Q80" s="1"/>
      <c r="R80" s="1"/>
      <c r="S80" s="14">
        <f>+($G$10/G80)*H80</f>
        <v>4856.1665827706956</v>
      </c>
      <c r="T80" s="1">
        <f>+S80/$S$10*$T$10</f>
        <v>113.67431139444513</v>
      </c>
      <c r="U80" s="14">
        <f>+($G$10/G80)*I80</f>
        <v>102.85137562427288</v>
      </c>
      <c r="V80" s="1">
        <f>+U80/$U$10*$V$10</f>
        <v>102.85137562427286</v>
      </c>
      <c r="W80" s="1"/>
    </row>
    <row r="81" spans="1:22">
      <c r="A81" s="38">
        <f>+datos!A81</f>
        <v>44531</v>
      </c>
      <c r="G81" s="1">
        <f t="shared" si="22"/>
        <v>582.5</v>
      </c>
      <c r="H81" s="1">
        <f t="shared" si="22"/>
        <v>36830</v>
      </c>
      <c r="I81" s="1">
        <f t="shared" si="22"/>
        <v>795.16164068217347</v>
      </c>
      <c r="J81" s="1"/>
      <c r="K81" s="1">
        <f t="shared" ref="K81:K104" si="23">+G81*100/G$10</f>
        <v>787.62344004340753</v>
      </c>
      <c r="L81" s="1">
        <f t="shared" ref="L81:L104" si="24">+H81*100/H$10</f>
        <v>862.12546816479403</v>
      </c>
      <c r="M81" s="1">
        <f t="shared" ref="M81:M104" si="25">+I81*100/I$10</f>
        <v>795.16164068217347</v>
      </c>
      <c r="N81" s="1"/>
      <c r="O81" s="1">
        <f t="shared" ref="O81:O104" si="26">+L81-K81+100</f>
        <v>174.5020281213865</v>
      </c>
      <c r="P81" s="1">
        <f t="shared" ref="P81:P104" si="27">+M81-K81+100</f>
        <v>107.53820063876594</v>
      </c>
      <c r="Q81" s="1"/>
      <c r="R81" s="1"/>
      <c r="S81" s="14">
        <f t="shared" ref="S81:S104" si="28">+($G$10/G81)*H81</f>
        <v>4676.0924227915602</v>
      </c>
      <c r="T81" s="1">
        <f t="shared" ref="T81:T104" si="29">+S81/$S$10*$T$10</f>
        <v>109.45909229380992</v>
      </c>
      <c r="U81" s="14">
        <f t="shared" ref="U81:U104" si="30">+($G$10/G81)*I81</f>
        <v>100.95708180527875</v>
      </c>
      <c r="V81" s="1">
        <f t="shared" ref="V81:V104" si="31">+U81/$U$10*$V$10</f>
        <v>100.95708180527873</v>
      </c>
    </row>
    <row r="82" spans="1:22">
      <c r="A82" s="38">
        <f>+datos!A82</f>
        <v>44562</v>
      </c>
      <c r="G82" s="1">
        <f t="shared" si="22"/>
        <v>605</v>
      </c>
      <c r="H82" s="1">
        <f t="shared" si="22"/>
        <v>36830</v>
      </c>
      <c r="I82" s="1">
        <f t="shared" si="22"/>
        <v>887.64555934522423</v>
      </c>
      <c r="J82" s="1"/>
      <c r="K82" s="1">
        <f t="shared" si="23"/>
        <v>818.04666304937598</v>
      </c>
      <c r="L82" s="1">
        <f t="shared" si="24"/>
        <v>862.12546816479403</v>
      </c>
      <c r="M82" s="1">
        <f t="shared" si="25"/>
        <v>887.64555934522423</v>
      </c>
      <c r="N82" s="1"/>
      <c r="O82" s="1">
        <f t="shared" si="26"/>
        <v>144.07880511541805</v>
      </c>
      <c r="P82" s="1">
        <f t="shared" si="27"/>
        <v>169.59889629584825</v>
      </c>
      <c r="Q82" s="1"/>
      <c r="R82" s="1"/>
      <c r="S82" s="14">
        <f t="shared" si="28"/>
        <v>4502.1881591340225</v>
      </c>
      <c r="T82" s="1">
        <f t="shared" si="29"/>
        <v>105.38829960519716</v>
      </c>
      <c r="U82" s="14">
        <f t="shared" si="30"/>
        <v>108.50793719228793</v>
      </c>
      <c r="V82" s="1">
        <f t="shared" si="31"/>
        <v>108.50793719228793</v>
      </c>
    </row>
    <row r="83" spans="1:22">
      <c r="A83" s="38">
        <f>+datos!A83</f>
        <v>44593</v>
      </c>
      <c r="G83" s="1">
        <f t="shared" si="22"/>
        <v>633.4</v>
      </c>
      <c r="H83" s="1">
        <f t="shared" si="22"/>
        <v>36830</v>
      </c>
      <c r="I83" s="1">
        <f t="shared" si="22"/>
        <v>892.34333384229728</v>
      </c>
      <c r="J83" s="1"/>
      <c r="K83" s="1">
        <f t="shared" si="23"/>
        <v>856.44753119913184</v>
      </c>
      <c r="L83" s="1">
        <f t="shared" si="24"/>
        <v>862.12546816479403</v>
      </c>
      <c r="M83" s="1">
        <f t="shared" si="25"/>
        <v>892.34333384229728</v>
      </c>
      <c r="N83" s="1"/>
      <c r="O83" s="1">
        <f t="shared" si="26"/>
        <v>105.67793696566218</v>
      </c>
      <c r="P83" s="1">
        <f t="shared" si="27"/>
        <v>135.89580264316544</v>
      </c>
      <c r="Q83" s="1"/>
      <c r="R83" s="1"/>
      <c r="S83" s="14">
        <f t="shared" si="28"/>
        <v>4300.3218128766712</v>
      </c>
      <c r="T83" s="1">
        <f t="shared" si="29"/>
        <v>100.66296378456627</v>
      </c>
      <c r="U83" s="14">
        <f t="shared" si="30"/>
        <v>104.19124363554495</v>
      </c>
      <c r="V83" s="1">
        <f t="shared" si="31"/>
        <v>104.19124363554495</v>
      </c>
    </row>
    <row r="84" spans="1:22">
      <c r="A84" s="38">
        <f>+datos!A84</f>
        <v>44621</v>
      </c>
      <c r="G84" s="1">
        <f t="shared" si="22"/>
        <v>676.1</v>
      </c>
      <c r="H84" s="1">
        <f t="shared" si="22"/>
        <v>36830</v>
      </c>
      <c r="I84" s="1">
        <f t="shared" si="22"/>
        <v>944.96475650025911</v>
      </c>
      <c r="J84" s="1"/>
      <c r="K84" s="1">
        <f t="shared" si="23"/>
        <v>914.18404774823659</v>
      </c>
      <c r="L84" s="1">
        <f t="shared" si="24"/>
        <v>862.12546816479403</v>
      </c>
      <c r="M84" s="1">
        <f t="shared" si="25"/>
        <v>944.96475650025911</v>
      </c>
      <c r="N84" s="1"/>
      <c r="O84" s="1">
        <f t="shared" si="26"/>
        <v>47.941420416557435</v>
      </c>
      <c r="P84" s="1">
        <f t="shared" si="27"/>
        <v>130.78070875202252</v>
      </c>
      <c r="Q84" s="1"/>
      <c r="R84" s="1"/>
      <c r="S84" s="14">
        <f t="shared" si="28"/>
        <v>4028.729235728566</v>
      </c>
      <c r="T84" s="1">
        <f t="shared" si="29"/>
        <v>94.305459637840954</v>
      </c>
      <c r="U84" s="14">
        <f t="shared" si="30"/>
        <v>103.36701442426606</v>
      </c>
      <c r="V84" s="1">
        <f t="shared" si="31"/>
        <v>103.36701442426606</v>
      </c>
    </row>
    <row r="85" spans="1:22">
      <c r="A85" s="38">
        <f>+datos!A85</f>
        <v>44652</v>
      </c>
      <c r="G85" s="1">
        <f t="shared" si="22"/>
        <v>716.9</v>
      </c>
      <c r="H85" s="1">
        <f t="shared" si="22"/>
        <v>46890</v>
      </c>
      <c r="I85" s="1">
        <f t="shared" si="22"/>
        <v>982.79712110844741</v>
      </c>
      <c r="J85" s="1"/>
      <c r="K85" s="1">
        <f t="shared" si="23"/>
        <v>969.35149213239288</v>
      </c>
      <c r="L85" s="1">
        <f t="shared" si="24"/>
        <v>1097.6123595505619</v>
      </c>
      <c r="M85" s="1">
        <f t="shared" si="25"/>
        <v>982.79712110844741</v>
      </c>
      <c r="N85" s="1"/>
      <c r="O85" s="1">
        <f t="shared" si="26"/>
        <v>228.26086741816903</v>
      </c>
      <c r="P85" s="1">
        <f t="shared" si="27"/>
        <v>113.44562897605454</v>
      </c>
      <c r="Q85" s="1"/>
      <c r="R85" s="1"/>
      <c r="S85" s="14">
        <f t="shared" si="28"/>
        <v>4837.254636793381</v>
      </c>
      <c r="T85" s="1">
        <f t="shared" si="29"/>
        <v>113.2316160298076</v>
      </c>
      <c r="U85" s="14">
        <f t="shared" si="30"/>
        <v>101.38707466643257</v>
      </c>
      <c r="V85" s="1">
        <f t="shared" si="31"/>
        <v>101.38707466643257</v>
      </c>
    </row>
    <row r="86" spans="1:22">
      <c r="A86" s="38">
        <f>+datos!A86</f>
        <v>44682</v>
      </c>
      <c r="G86" s="1">
        <f t="shared" si="22"/>
        <v>753.1</v>
      </c>
      <c r="H86" s="1">
        <f t="shared" si="22"/>
        <v>46890</v>
      </c>
      <c r="I86" s="1">
        <f t="shared" si="22"/>
        <v>1002.1452225327188</v>
      </c>
      <c r="J86" s="1"/>
      <c r="K86" s="1">
        <f t="shared" si="23"/>
        <v>1018.2990775908844</v>
      </c>
      <c r="L86" s="1">
        <f t="shared" si="24"/>
        <v>1097.6123595505619</v>
      </c>
      <c r="M86" s="1">
        <f t="shared" si="25"/>
        <v>1002.1452225327188</v>
      </c>
      <c r="N86" s="1"/>
      <c r="O86" s="1">
        <f t="shared" si="26"/>
        <v>179.31328195967751</v>
      </c>
      <c r="P86" s="1">
        <f t="shared" si="27"/>
        <v>83.846144941834382</v>
      </c>
      <c r="Q86" s="1"/>
      <c r="R86" s="1"/>
      <c r="S86" s="14">
        <f t="shared" si="28"/>
        <v>4604.7375502817349</v>
      </c>
      <c r="T86" s="1">
        <f t="shared" si="29"/>
        <v>107.78880033431027</v>
      </c>
      <c r="U86" s="14">
        <f t="shared" si="30"/>
        <v>98.413643357471869</v>
      </c>
      <c r="V86" s="1">
        <f t="shared" si="31"/>
        <v>98.413643357471869</v>
      </c>
    </row>
    <row r="87" spans="1:22">
      <c r="A87" s="38">
        <f>+datos!A87</f>
        <v>44713</v>
      </c>
      <c r="G87" s="1">
        <f t="shared" ref="G87:I106" si="32">+VLOOKUP($A87,ran_dat,G$1,FALSE)</f>
        <v>793</v>
      </c>
      <c r="H87" s="1">
        <f t="shared" si="32"/>
        <v>46890</v>
      </c>
      <c r="I87" s="1">
        <f t="shared" si="32"/>
        <v>1075.2105317124269</v>
      </c>
      <c r="J87" s="1"/>
      <c r="K87" s="1">
        <f t="shared" si="23"/>
        <v>1072.2495930548018</v>
      </c>
      <c r="L87" s="1">
        <f t="shared" si="24"/>
        <v>1097.6123595505619</v>
      </c>
      <c r="M87" s="1">
        <f t="shared" si="25"/>
        <v>1075.2105317124269</v>
      </c>
      <c r="N87" s="1"/>
      <c r="O87" s="1">
        <f t="shared" si="26"/>
        <v>125.36276649576007</v>
      </c>
      <c r="P87" s="1">
        <f t="shared" si="27"/>
        <v>102.96093865762509</v>
      </c>
      <c r="Q87" s="1"/>
      <c r="R87" s="1"/>
      <c r="S87" s="14">
        <f t="shared" si="28"/>
        <v>4373.0489900594894</v>
      </c>
      <c r="T87" s="1">
        <f t="shared" si="29"/>
        <v>102.3653789807933</v>
      </c>
      <c r="U87" s="14">
        <f t="shared" si="30"/>
        <v>100.27614267021444</v>
      </c>
      <c r="V87" s="1">
        <f t="shared" si="31"/>
        <v>100.27614267021443</v>
      </c>
    </row>
    <row r="88" spans="1:22">
      <c r="A88" s="38">
        <f>+datos!A88</f>
        <v>44743</v>
      </c>
      <c r="G88" s="1">
        <f t="shared" si="32"/>
        <v>851.8</v>
      </c>
      <c r="H88" s="1">
        <f t="shared" si="32"/>
        <v>46890</v>
      </c>
      <c r="I88" s="1">
        <f t="shared" si="32"/>
        <v>1131.4719404766777</v>
      </c>
      <c r="J88" s="1"/>
      <c r="K88" s="1">
        <f t="shared" si="23"/>
        <v>1151.755615843733</v>
      </c>
      <c r="L88" s="1">
        <f t="shared" si="24"/>
        <v>1097.6123595505619</v>
      </c>
      <c r="M88" s="1">
        <f t="shared" si="25"/>
        <v>1131.4719404766777</v>
      </c>
      <c r="N88" s="1"/>
      <c r="O88" s="1">
        <f t="shared" si="26"/>
        <v>45.856743706828865</v>
      </c>
      <c r="P88" s="1">
        <f t="shared" si="27"/>
        <v>79.716324632944634</v>
      </c>
      <c r="Q88" s="1"/>
      <c r="R88" s="1"/>
      <c r="S88" s="14">
        <f t="shared" si="28"/>
        <v>4071.176155338313</v>
      </c>
      <c r="T88" s="1">
        <f t="shared" si="29"/>
        <v>95.29906730660845</v>
      </c>
      <c r="U88" s="14">
        <f t="shared" si="30"/>
        <v>98.238890691043309</v>
      </c>
      <c r="V88" s="1">
        <f t="shared" si="31"/>
        <v>98.238890691043309</v>
      </c>
    </row>
    <row r="89" spans="1:22">
      <c r="A89" s="38">
        <f>+datos!A89</f>
        <v>44774</v>
      </c>
      <c r="G89" s="1">
        <f t="shared" si="32"/>
        <v>911.1</v>
      </c>
      <c r="H89" s="1">
        <f t="shared" si="32"/>
        <v>46890</v>
      </c>
      <c r="I89" s="1">
        <f t="shared" si="32"/>
        <v>1319.0276782679316</v>
      </c>
      <c r="J89" s="1"/>
      <c r="K89" s="1">
        <f t="shared" si="23"/>
        <v>1231.9377102550191</v>
      </c>
      <c r="L89" s="1">
        <f t="shared" si="24"/>
        <v>1097.6123595505619</v>
      </c>
      <c r="M89" s="1">
        <f t="shared" si="25"/>
        <v>1319.0276782679316</v>
      </c>
      <c r="N89" s="1"/>
      <c r="O89" s="1">
        <f t="shared" si="26"/>
        <v>-34.325350704457151</v>
      </c>
      <c r="P89" s="1">
        <f t="shared" si="27"/>
        <v>187.08996801291255</v>
      </c>
      <c r="Q89" s="1"/>
      <c r="R89" s="1"/>
      <c r="S89" s="14">
        <f t="shared" si="28"/>
        <v>3806.1989343839041</v>
      </c>
      <c r="T89" s="1">
        <f t="shared" si="29"/>
        <v>89.096417003368543</v>
      </c>
      <c r="U89" s="14">
        <f t="shared" si="30"/>
        <v>107.06934833538658</v>
      </c>
      <c r="V89" s="1">
        <f t="shared" si="31"/>
        <v>107.06934833538656</v>
      </c>
    </row>
    <row r="90" spans="1:22">
      <c r="A90" s="38">
        <f>+datos!A90</f>
        <v>44805</v>
      </c>
      <c r="G90" s="1">
        <f t="shared" si="32"/>
        <v>967.3</v>
      </c>
      <c r="H90" s="1">
        <f t="shared" si="32"/>
        <v>46890</v>
      </c>
      <c r="I90" s="1">
        <f t="shared" si="32"/>
        <v>1337.2925333288688</v>
      </c>
      <c r="J90" s="1"/>
      <c r="K90" s="1">
        <f t="shared" si="23"/>
        <v>1307.9281606077047</v>
      </c>
      <c r="L90" s="1">
        <f t="shared" si="24"/>
        <v>1097.6123595505619</v>
      </c>
      <c r="M90" s="1">
        <f t="shared" si="25"/>
        <v>1337.2925333288688</v>
      </c>
      <c r="N90" s="1"/>
      <c r="O90" s="1">
        <f t="shared" si="26"/>
        <v>-110.31580105714283</v>
      </c>
      <c r="P90" s="1">
        <f t="shared" si="27"/>
        <v>129.36437272116405</v>
      </c>
      <c r="Q90" s="1"/>
      <c r="R90" s="1"/>
      <c r="S90" s="14">
        <f t="shared" si="28"/>
        <v>3585.0592878291895</v>
      </c>
      <c r="T90" s="1">
        <f t="shared" si="29"/>
        <v>83.919927149559683</v>
      </c>
      <c r="U90" s="14">
        <f t="shared" si="30"/>
        <v>102.24510593208119</v>
      </c>
      <c r="V90" s="1">
        <f t="shared" si="31"/>
        <v>102.24510593208119</v>
      </c>
    </row>
    <row r="91" spans="1:22">
      <c r="A91" s="38">
        <f>+datos!A91</f>
        <v>44835</v>
      </c>
      <c r="G91" s="1">
        <f t="shared" si="32"/>
        <v>1028.7</v>
      </c>
      <c r="H91" s="1">
        <f t="shared" si="32"/>
        <v>70080</v>
      </c>
      <c r="I91" s="1">
        <f t="shared" si="32"/>
        <v>1448.5857572387495</v>
      </c>
      <c r="J91" s="1"/>
      <c r="K91" s="1">
        <f t="shared" si="23"/>
        <v>1390.9497558328812</v>
      </c>
      <c r="L91" s="1">
        <f t="shared" si="24"/>
        <v>1640.4494382022472</v>
      </c>
      <c r="M91" s="1">
        <f t="shared" si="25"/>
        <v>1448.5857572387495</v>
      </c>
      <c r="N91" s="1"/>
      <c r="O91" s="1">
        <f t="shared" si="26"/>
        <v>349.49968236936593</v>
      </c>
      <c r="P91" s="1">
        <f t="shared" si="27"/>
        <v>157.63600140586823</v>
      </c>
      <c r="Q91" s="1"/>
      <c r="R91" s="1"/>
      <c r="S91" s="14">
        <f t="shared" si="28"/>
        <v>5038.2840721688817</v>
      </c>
      <c r="T91" s="1">
        <f t="shared" si="29"/>
        <v>117.93736123990828</v>
      </c>
      <c r="U91" s="14">
        <f t="shared" si="30"/>
        <v>104.1436436624813</v>
      </c>
      <c r="V91" s="1">
        <f t="shared" si="31"/>
        <v>104.1436436624813</v>
      </c>
    </row>
    <row r="92" spans="1:22">
      <c r="A92" s="38">
        <f>+datos!A92</f>
        <v>44866</v>
      </c>
      <c r="G92" s="1">
        <f t="shared" si="32"/>
        <v>1079.3</v>
      </c>
      <c r="H92" s="1">
        <f t="shared" si="32"/>
        <v>70080</v>
      </c>
      <c r="I92" s="1">
        <f t="shared" si="32"/>
        <v>1459.1626956421667</v>
      </c>
      <c r="J92" s="1"/>
      <c r="K92" s="1">
        <f t="shared" si="23"/>
        <v>1459.3682040151925</v>
      </c>
      <c r="L92" s="1">
        <f t="shared" si="24"/>
        <v>1640.4494382022472</v>
      </c>
      <c r="M92" s="1">
        <f t="shared" si="25"/>
        <v>1459.1626956421667</v>
      </c>
      <c r="N92" s="1"/>
      <c r="O92" s="1">
        <f t="shared" si="26"/>
        <v>281.08123418705463</v>
      </c>
      <c r="P92" s="1">
        <f t="shared" si="27"/>
        <v>99.79449162697415</v>
      </c>
      <c r="Q92" s="1"/>
      <c r="R92" s="1"/>
      <c r="S92" s="14">
        <f t="shared" si="28"/>
        <v>4802.0780367276275</v>
      </c>
      <c r="T92" s="1">
        <f t="shared" si="29"/>
        <v>112.40819374362422</v>
      </c>
      <c r="U92" s="14">
        <f t="shared" si="30"/>
        <v>99.985917990233006</v>
      </c>
      <c r="V92" s="1">
        <f t="shared" si="31"/>
        <v>99.985917990233006</v>
      </c>
    </row>
    <row r="93" spans="1:22">
      <c r="A93" s="38">
        <f>+datos!A93</f>
        <v>44896</v>
      </c>
      <c r="G93" s="1">
        <f t="shared" si="32"/>
        <v>1134.5999999999999</v>
      </c>
      <c r="H93" s="1">
        <f t="shared" si="32"/>
        <v>70080</v>
      </c>
      <c r="I93" s="1">
        <f t="shared" si="32"/>
        <v>1591.8084417358621</v>
      </c>
      <c r="J93" s="1"/>
      <c r="K93" s="1">
        <f t="shared" si="23"/>
        <v>1534.1417254476396</v>
      </c>
      <c r="L93" s="1">
        <f t="shared" si="24"/>
        <v>1640.4494382022472</v>
      </c>
      <c r="M93" s="1">
        <f t="shared" si="25"/>
        <v>1591.8084417358621</v>
      </c>
      <c r="N93" s="1"/>
      <c r="O93" s="1">
        <f t="shared" si="26"/>
        <v>206.30771275460756</v>
      </c>
      <c r="P93" s="1">
        <f t="shared" si="27"/>
        <v>157.66671628822246</v>
      </c>
      <c r="Q93" s="1"/>
      <c r="R93" s="1"/>
      <c r="S93" s="14">
        <f t="shared" si="28"/>
        <v>4568.0264631060536</v>
      </c>
      <c r="T93" s="1">
        <f t="shared" si="29"/>
        <v>106.92945840604058</v>
      </c>
      <c r="U93" s="14">
        <f t="shared" si="30"/>
        <v>103.75889106799414</v>
      </c>
      <c r="V93" s="1">
        <f t="shared" si="31"/>
        <v>103.75889106799414</v>
      </c>
    </row>
    <row r="94" spans="1:22">
      <c r="A94" s="38">
        <f>+datos!A94</f>
        <v>44927</v>
      </c>
      <c r="G94" s="1">
        <f t="shared" si="32"/>
        <v>1203</v>
      </c>
      <c r="H94" s="1">
        <f t="shared" si="32"/>
        <v>70080</v>
      </c>
      <c r="I94" s="1">
        <f t="shared" si="32"/>
        <v>1599.5752148128543</v>
      </c>
      <c r="J94" s="1"/>
      <c r="K94" s="1">
        <f t="shared" si="23"/>
        <v>1626.6283233857841</v>
      </c>
      <c r="L94" s="1">
        <f t="shared" si="24"/>
        <v>1640.4494382022472</v>
      </c>
      <c r="M94" s="1">
        <f t="shared" si="25"/>
        <v>1599.5752148128543</v>
      </c>
      <c r="N94" s="1"/>
      <c r="O94" s="1">
        <f t="shared" si="26"/>
        <v>113.82111481646302</v>
      </c>
      <c r="P94" s="1">
        <f t="shared" si="27"/>
        <v>72.946891427070113</v>
      </c>
      <c r="Q94" s="1"/>
      <c r="R94" s="1"/>
      <c r="S94" s="14">
        <f t="shared" si="28"/>
        <v>4308.2982751788268</v>
      </c>
      <c r="T94" s="1">
        <f t="shared" si="29"/>
        <v>100.84967872609613</v>
      </c>
      <c r="U94" s="14">
        <f t="shared" si="30"/>
        <v>98.336859860117315</v>
      </c>
      <c r="V94" s="1">
        <f t="shared" si="31"/>
        <v>98.336859860117315</v>
      </c>
    </row>
    <row r="95" spans="1:22">
      <c r="A95" s="38">
        <f>+datos!A95</f>
        <v>44958</v>
      </c>
      <c r="G95" s="1">
        <f t="shared" si="32"/>
        <v>1287.7</v>
      </c>
      <c r="H95" s="1">
        <f t="shared" si="32"/>
        <v>70080</v>
      </c>
      <c r="I95" s="1">
        <f t="shared" si="32"/>
        <v>1673.8032931889052</v>
      </c>
      <c r="J95" s="1"/>
      <c r="K95" s="1">
        <f t="shared" si="23"/>
        <v>1741.1548562126966</v>
      </c>
      <c r="L95" s="1">
        <f t="shared" si="24"/>
        <v>1640.4494382022472</v>
      </c>
      <c r="M95" s="1">
        <f t="shared" si="25"/>
        <v>1673.8032931889052</v>
      </c>
      <c r="N95" s="1"/>
      <c r="O95" s="1">
        <f t="shared" si="26"/>
        <v>-0.70541801044942076</v>
      </c>
      <c r="P95" s="1">
        <f t="shared" si="27"/>
        <v>32.648436976208586</v>
      </c>
      <c r="Q95" s="1"/>
      <c r="R95" s="1"/>
      <c r="S95" s="14">
        <f t="shared" si="28"/>
        <v>4024.9148287956264</v>
      </c>
      <c r="T95" s="1">
        <f t="shared" si="29"/>
        <v>94.21617108603995</v>
      </c>
      <c r="U95" s="14">
        <f t="shared" si="30"/>
        <v>96.13178788874113</v>
      </c>
      <c r="V95" s="1">
        <f t="shared" si="31"/>
        <v>96.13178788874113</v>
      </c>
    </row>
    <row r="96" spans="1:22">
      <c r="A96" s="38">
        <f>+datos!A96</f>
        <v>44986</v>
      </c>
      <c r="G96" s="1">
        <f t="shared" si="32"/>
        <v>1381.2</v>
      </c>
      <c r="H96" s="1">
        <f t="shared" si="32"/>
        <v>70080</v>
      </c>
      <c r="I96" s="1">
        <f t="shared" si="32"/>
        <v>1730.2705412294094</v>
      </c>
      <c r="J96" s="1"/>
      <c r="K96" s="1">
        <f t="shared" si="23"/>
        <v>1867.5802495930548</v>
      </c>
      <c r="L96" s="1">
        <f t="shared" si="24"/>
        <v>1640.4494382022472</v>
      </c>
      <c r="M96" s="1">
        <f t="shared" si="25"/>
        <v>1730.2705412294097</v>
      </c>
      <c r="N96" s="1"/>
      <c r="O96" s="1">
        <f t="shared" si="26"/>
        <v>-127.13081139080759</v>
      </c>
      <c r="P96" s="1">
        <f t="shared" si="27"/>
        <v>-37.309708363645086</v>
      </c>
      <c r="Q96" s="1"/>
      <c r="R96" s="1"/>
      <c r="S96" s="14">
        <f t="shared" si="28"/>
        <v>3752.4491927600116</v>
      </c>
      <c r="T96" s="1">
        <f t="shared" si="29"/>
        <v>87.838230167603271</v>
      </c>
      <c r="U96" s="14">
        <f t="shared" si="30"/>
        <v>92.647721114336846</v>
      </c>
      <c r="V96" s="1">
        <f t="shared" si="31"/>
        <v>92.647721114336846</v>
      </c>
    </row>
    <row r="97" spans="1:22">
      <c r="A97" s="38">
        <f>+datos!A97</f>
        <v>45017</v>
      </c>
      <c r="G97" s="1">
        <f t="shared" si="32"/>
        <v>1497.2</v>
      </c>
      <c r="H97" s="1">
        <f t="shared" si="32"/>
        <v>107000</v>
      </c>
      <c r="I97" s="1">
        <f t="shared" si="32"/>
        <v>1828.2896666000461</v>
      </c>
      <c r="J97" s="1"/>
      <c r="K97" s="1">
        <f t="shared" si="23"/>
        <v>2024.4288659793815</v>
      </c>
      <c r="L97" s="1">
        <f t="shared" si="24"/>
        <v>2504.681647940075</v>
      </c>
      <c r="M97" s="1">
        <f t="shared" si="25"/>
        <v>1828.2896666000461</v>
      </c>
      <c r="N97" s="1"/>
      <c r="O97" s="1">
        <f t="shared" si="26"/>
        <v>580.25278196069348</v>
      </c>
      <c r="P97" s="1">
        <f t="shared" si="27"/>
        <v>-96.139199379335423</v>
      </c>
      <c r="Q97" s="1"/>
      <c r="R97" s="1"/>
      <c r="S97" s="14">
        <f t="shared" si="28"/>
        <v>5285.4413310410573</v>
      </c>
      <c r="T97" s="1">
        <f t="shared" si="29"/>
        <v>123.72287759927569</v>
      </c>
      <c r="U97" s="14">
        <f t="shared" si="30"/>
        <v>90.311381018347276</v>
      </c>
      <c r="V97" s="1">
        <f t="shared" si="31"/>
        <v>90.311381018347276</v>
      </c>
    </row>
    <row r="98" spans="1:22">
      <c r="A98" s="38">
        <f>+datos!A98</f>
        <v>45047</v>
      </c>
      <c r="G98" s="1">
        <f t="shared" si="32"/>
        <v>1613.6</v>
      </c>
      <c r="H98" s="1">
        <f t="shared" si="32"/>
        <v>112000</v>
      </c>
      <c r="I98" s="1">
        <f t="shared" si="32"/>
        <v>1848.3393880862061</v>
      </c>
      <c r="J98" s="1"/>
      <c r="K98" s="1">
        <f t="shared" si="23"/>
        <v>2181.8183396635918</v>
      </c>
      <c r="L98" s="1">
        <f t="shared" si="24"/>
        <v>2621.7228464419477</v>
      </c>
      <c r="M98" s="1">
        <f t="shared" si="25"/>
        <v>1848.3393880862061</v>
      </c>
      <c r="N98" s="1"/>
      <c r="O98" s="1">
        <f t="shared" si="26"/>
        <v>539.90450677835588</v>
      </c>
      <c r="P98" s="1">
        <f t="shared" si="27"/>
        <v>-233.47895157738571</v>
      </c>
      <c r="Q98" s="1"/>
      <c r="R98" s="1"/>
      <c r="S98" s="14">
        <f t="shared" si="28"/>
        <v>5133.3329619581873</v>
      </c>
      <c r="T98" s="1">
        <f t="shared" si="29"/>
        <v>120.16228843535082</v>
      </c>
      <c r="U98" s="14">
        <f t="shared" si="30"/>
        <v>84.715549158469173</v>
      </c>
      <c r="V98" s="1">
        <f t="shared" si="31"/>
        <v>84.715549158469173</v>
      </c>
    </row>
    <row r="99" spans="1:22">
      <c r="A99" s="38">
        <f>+datos!A99</f>
        <v>45078</v>
      </c>
      <c r="G99" s="1">
        <f t="shared" si="32"/>
        <v>1709.6</v>
      </c>
      <c r="H99" s="1">
        <f t="shared" si="32"/>
        <v>112000</v>
      </c>
      <c r="I99" s="1">
        <f t="shared" si="32"/>
        <v>1965.5871959261049</v>
      </c>
      <c r="J99" s="1"/>
      <c r="K99" s="1">
        <f t="shared" si="23"/>
        <v>2311.6240911557243</v>
      </c>
      <c r="L99" s="1">
        <f t="shared" si="24"/>
        <v>2621.7228464419477</v>
      </c>
      <c r="M99" s="1">
        <f t="shared" si="25"/>
        <v>1965.5871959261049</v>
      </c>
      <c r="N99" s="1"/>
      <c r="O99" s="1">
        <f t="shared" si="26"/>
        <v>410.09875528622342</v>
      </c>
      <c r="P99" s="1">
        <f t="shared" si="27"/>
        <v>-246.0368952296194</v>
      </c>
      <c r="Q99" s="1"/>
      <c r="R99" s="1"/>
      <c r="S99" s="14">
        <f t="shared" si="28"/>
        <v>4845.0784203414432</v>
      </c>
      <c r="T99" s="1">
        <f t="shared" si="29"/>
        <v>113.41475703046449</v>
      </c>
      <c r="U99" s="14">
        <f t="shared" si="30"/>
        <v>85.030572377509088</v>
      </c>
      <c r="V99" s="1">
        <f t="shared" si="31"/>
        <v>85.030572377509088</v>
      </c>
    </row>
    <row r="100" spans="1:22">
      <c r="A100" s="38">
        <f>+datos!A100</f>
        <v>45108</v>
      </c>
      <c r="G100" s="1">
        <f t="shared" si="32"/>
        <v>1818.1</v>
      </c>
      <c r="H100" s="1">
        <f t="shared" si="32"/>
        <v>120000</v>
      </c>
      <c r="I100" s="1">
        <f t="shared" si="32"/>
        <v>2037.0203879771072</v>
      </c>
      <c r="J100" s="1"/>
      <c r="K100" s="1">
        <f t="shared" si="23"/>
        <v>2458.3316332067279</v>
      </c>
      <c r="L100" s="1">
        <f t="shared" si="24"/>
        <v>2808.9887640449438</v>
      </c>
      <c r="M100" s="1">
        <f t="shared" si="25"/>
        <v>2037.0203879771072</v>
      </c>
      <c r="N100" s="1"/>
      <c r="O100" s="1">
        <f t="shared" si="26"/>
        <v>450.65713083821583</v>
      </c>
      <c r="P100" s="1">
        <f t="shared" si="27"/>
        <v>-321.31124522962068</v>
      </c>
      <c r="Q100" s="1"/>
      <c r="R100" s="1"/>
      <c r="S100" s="14">
        <f t="shared" si="28"/>
        <v>4881.3593080388455</v>
      </c>
      <c r="T100" s="1">
        <f t="shared" si="29"/>
        <v>114.26402874622765</v>
      </c>
      <c r="U100" s="14">
        <f t="shared" si="30"/>
        <v>82.86190359597461</v>
      </c>
      <c r="V100" s="1">
        <f t="shared" si="31"/>
        <v>82.86190359597461</v>
      </c>
    </row>
    <row r="101" spans="1:22">
      <c r="A101" s="38">
        <f>+datos!A101</f>
        <v>45139</v>
      </c>
      <c r="G101" s="1">
        <f t="shared" si="32"/>
        <v>2044.3</v>
      </c>
      <c r="H101" s="1">
        <f t="shared" si="32"/>
        <v>120000</v>
      </c>
      <c r="I101" s="1">
        <f t="shared" si="32"/>
        <v>2761.4178388481159</v>
      </c>
      <c r="J101" s="1"/>
      <c r="K101" s="1">
        <f t="shared" si="23"/>
        <v>2764.1864351600652</v>
      </c>
      <c r="L101" s="1">
        <f t="shared" si="24"/>
        <v>2808.9887640449438</v>
      </c>
      <c r="M101" s="1">
        <f t="shared" si="25"/>
        <v>2761.4178388481155</v>
      </c>
      <c r="N101" s="1"/>
      <c r="O101" s="1">
        <f t="shared" si="26"/>
        <v>144.80232888487853</v>
      </c>
      <c r="P101" s="1">
        <f t="shared" si="27"/>
        <v>97.23140368805025</v>
      </c>
      <c r="Q101" s="1"/>
      <c r="R101" s="1"/>
      <c r="S101" s="14">
        <f t="shared" si="28"/>
        <v>4341.2411866875827</v>
      </c>
      <c r="T101" s="1">
        <f t="shared" si="29"/>
        <v>101.62081429512131</v>
      </c>
      <c r="U101" s="14">
        <f t="shared" si="30"/>
        <v>99.899840463843788</v>
      </c>
      <c r="V101" s="1">
        <f t="shared" si="31"/>
        <v>99.899840463843788</v>
      </c>
    </row>
    <row r="102" spans="1:22">
      <c r="A102" s="38">
        <f>+datos!A102</f>
        <v>45170</v>
      </c>
      <c r="G102" s="1">
        <f t="shared" si="32"/>
        <v>2304.9</v>
      </c>
      <c r="H102" s="1">
        <f t="shared" si="32"/>
        <v>120000</v>
      </c>
      <c r="I102" s="1">
        <f t="shared" si="32"/>
        <v>2867.0199111646307</v>
      </c>
      <c r="J102" s="1"/>
      <c r="K102" s="1">
        <f t="shared" si="23"/>
        <v>3116.554964731416</v>
      </c>
      <c r="L102" s="1">
        <f t="shared" si="24"/>
        <v>2808.9887640449438</v>
      </c>
      <c r="M102" s="1">
        <f t="shared" si="25"/>
        <v>2867.0199111646307</v>
      </c>
      <c r="N102" s="1"/>
      <c r="O102" s="1">
        <f t="shared" si="26"/>
        <v>-207.56620068647226</v>
      </c>
      <c r="P102" s="1">
        <f t="shared" si="27"/>
        <v>-149.53505356678534</v>
      </c>
      <c r="Q102" s="1"/>
      <c r="R102" s="1"/>
      <c r="S102" s="14">
        <f t="shared" si="28"/>
        <v>3850.4053789515492</v>
      </c>
      <c r="T102" s="1">
        <f t="shared" si="29"/>
        <v>90.131212054109298</v>
      </c>
      <c r="U102" s="14">
        <f t="shared" si="30"/>
        <v>91.993240729245727</v>
      </c>
      <c r="V102" s="1">
        <f t="shared" si="31"/>
        <v>91.993240729245727</v>
      </c>
    </row>
    <row r="103" spans="1:22">
      <c r="A103" s="38">
        <f>+datos!A103</f>
        <v>45200</v>
      </c>
      <c r="G103" s="1">
        <f t="shared" si="32"/>
        <v>2496.3000000000002</v>
      </c>
      <c r="H103" s="1">
        <f t="shared" si="32"/>
        <v>169360</v>
      </c>
      <c r="I103" s="1">
        <f t="shared" si="32"/>
        <v>3086.9239606889428</v>
      </c>
      <c r="J103" s="1"/>
      <c r="K103" s="1">
        <f t="shared" si="23"/>
        <v>3375.3551817688553</v>
      </c>
      <c r="L103" s="1">
        <f t="shared" si="24"/>
        <v>3964.4194756554307</v>
      </c>
      <c r="M103" s="1">
        <f t="shared" si="25"/>
        <v>3086.9239606889432</v>
      </c>
      <c r="N103" s="1"/>
      <c r="O103" s="1">
        <f t="shared" si="26"/>
        <v>689.06429388657534</v>
      </c>
      <c r="P103" s="1">
        <f t="shared" si="27"/>
        <v>-188.43122107991212</v>
      </c>
      <c r="Q103" s="1"/>
      <c r="R103" s="1"/>
      <c r="S103" s="14">
        <f t="shared" si="28"/>
        <v>5017.54603233331</v>
      </c>
      <c r="T103" s="1">
        <f t="shared" si="29"/>
        <v>117.45192023252132</v>
      </c>
      <c r="U103" s="14">
        <f t="shared" si="30"/>
        <v>91.45478903560128</v>
      </c>
      <c r="V103" s="1">
        <f t="shared" si="31"/>
        <v>91.45478903560128</v>
      </c>
    </row>
    <row r="104" spans="1:22">
      <c r="A104" s="38">
        <f>+datos!A104</f>
        <v>45231</v>
      </c>
      <c r="G104" s="1">
        <f t="shared" si="32"/>
        <v>2816.0628000000002</v>
      </c>
      <c r="H104" s="1">
        <f t="shared" si="32"/>
        <v>169360</v>
      </c>
      <c r="I104" s="1">
        <f t="shared" si="32"/>
        <v>3578.6702374911306</v>
      </c>
      <c r="J104" s="1"/>
      <c r="K104" s="1">
        <f t="shared" si="23"/>
        <v>3807.7202916983183</v>
      </c>
      <c r="L104" s="1">
        <f t="shared" si="24"/>
        <v>3964.4194756554307</v>
      </c>
      <c r="M104" s="1">
        <f t="shared" si="25"/>
        <v>3578.670237491131</v>
      </c>
      <c r="N104" s="1"/>
      <c r="O104" s="1">
        <f t="shared" si="26"/>
        <v>256.69918395711238</v>
      </c>
      <c r="P104" s="1">
        <f t="shared" si="27"/>
        <v>-129.05005420718726</v>
      </c>
      <c r="Q104" s="1"/>
      <c r="R104" s="1"/>
      <c r="S104" s="14">
        <f t="shared" si="28"/>
        <v>4447.8056954247058</v>
      </c>
      <c r="T104" s="1">
        <f t="shared" si="29"/>
        <v>104.11530185919256</v>
      </c>
      <c r="U104" s="14">
        <f t="shared" si="30"/>
        <v>93.984588240198008</v>
      </c>
      <c r="V104" s="1">
        <f t="shared" si="31"/>
        <v>93.984588240198008</v>
      </c>
    </row>
    <row r="105" spans="1:22">
      <c r="A105" s="38">
        <f>+datos!A105</f>
        <v>45261</v>
      </c>
      <c r="G105" s="1">
        <f t="shared" si="32"/>
        <v>3533.1922</v>
      </c>
      <c r="H105" s="1">
        <f t="shared" si="32"/>
        <v>210000</v>
      </c>
      <c r="I105" s="1">
        <f t="shared" si="32"/>
        <v>4824.5498045625</v>
      </c>
      <c r="J105" s="1"/>
      <c r="K105" s="1">
        <f t="shared" ref="K105:M110" si="33">+G105*100/G$10</f>
        <v>4777.3819654910467</v>
      </c>
      <c r="L105" s="1">
        <f t="shared" si="33"/>
        <v>4915.7303370786512</v>
      </c>
      <c r="M105" s="1">
        <f t="shared" si="33"/>
        <v>4824.5498045625</v>
      </c>
      <c r="N105" s="1"/>
      <c r="O105" s="1">
        <f t="shared" ref="O105:O110" si="34">+L105-K105+100</f>
        <v>238.34837158760456</v>
      </c>
      <c r="P105" s="1">
        <f t="shared" ref="P105:P110" si="35">+M105-K105+100</f>
        <v>147.16783907145327</v>
      </c>
      <c r="Q105" s="1"/>
      <c r="R105" s="1"/>
      <c r="S105" s="14">
        <f t="shared" ref="S105:S110" si="36">+($G$10/G105)*H105</f>
        <v>4395.7129975562875</v>
      </c>
      <c r="T105" s="1">
        <f t="shared" ref="T105:T110" si="37">+S105/$S$10*$T$10</f>
        <v>102.89590350084943</v>
      </c>
      <c r="U105" s="14">
        <f t="shared" ref="U105:U110" si="38">+($G$10/G105)*I105</f>
        <v>100.98731563463346</v>
      </c>
      <c r="V105" s="1">
        <f t="shared" ref="V105:V110" si="39">+U105/$U$10*$V$10</f>
        <v>100.98731563463346</v>
      </c>
    </row>
    <row r="106" spans="1:22">
      <c r="A106" s="38">
        <f>+datos!A106</f>
        <v>45292</v>
      </c>
      <c r="G106" s="1">
        <f t="shared" si="32"/>
        <v>4261.5324000000001</v>
      </c>
      <c r="H106" s="1">
        <f t="shared" si="32"/>
        <v>250000</v>
      </c>
      <c r="I106" s="1">
        <f t="shared" si="32"/>
        <v>5291.5325989145049</v>
      </c>
      <c r="J106" s="1"/>
      <c r="K106" s="1">
        <f t="shared" si="33"/>
        <v>5762.2022467715678</v>
      </c>
      <c r="L106" s="1">
        <f t="shared" si="33"/>
        <v>5852.059925093633</v>
      </c>
      <c r="M106" s="1">
        <f t="shared" si="33"/>
        <v>5291.5325989145049</v>
      </c>
      <c r="N106" s="1"/>
      <c r="O106" s="1">
        <f t="shared" si="34"/>
        <v>189.85767832206511</v>
      </c>
      <c r="P106" s="1">
        <f t="shared" si="35"/>
        <v>-370.66964785706296</v>
      </c>
      <c r="Q106" s="1"/>
      <c r="R106" s="1"/>
      <c r="S106" s="14">
        <f t="shared" si="36"/>
        <v>4338.6189740228119</v>
      </c>
      <c r="T106" s="1">
        <f t="shared" si="37"/>
        <v>101.55943291251901</v>
      </c>
      <c r="U106" s="14">
        <f t="shared" si="38"/>
        <v>91.831774941242855</v>
      </c>
      <c r="V106" s="1">
        <f t="shared" si="39"/>
        <v>91.831774941242855</v>
      </c>
    </row>
    <row r="107" spans="1:22">
      <c r="A107" s="38">
        <f>+datos!A107</f>
        <v>45323</v>
      </c>
      <c r="G107" s="1">
        <f t="shared" ref="G107:I110" si="40">+VLOOKUP($A107,ran_dat,G$1,FALSE)</f>
        <v>4825.7880999999998</v>
      </c>
      <c r="H107" s="1">
        <f t="shared" si="40"/>
        <v>300000</v>
      </c>
      <c r="I107" s="1">
        <f t="shared" si="40"/>
        <v>5797.0716437591436</v>
      </c>
      <c r="J107" s="1"/>
      <c r="K107" s="1">
        <f t="shared" si="33"/>
        <v>6525.1567798155183</v>
      </c>
      <c r="L107" s="1">
        <f t="shared" si="33"/>
        <v>7022.4719101123592</v>
      </c>
      <c r="M107" s="1">
        <f t="shared" si="33"/>
        <v>5797.0716437591436</v>
      </c>
      <c r="N107" s="1"/>
      <c r="O107" s="1">
        <f t="shared" si="34"/>
        <v>597.31513029684083</v>
      </c>
      <c r="P107" s="1">
        <f t="shared" si="35"/>
        <v>-628.08513605637472</v>
      </c>
      <c r="Q107" s="1"/>
      <c r="R107" s="1"/>
      <c r="S107" s="14">
        <f t="shared" si="36"/>
        <v>4597.5906805488548</v>
      </c>
      <c r="T107" s="1">
        <f t="shared" si="37"/>
        <v>107.62150469449567</v>
      </c>
      <c r="U107" s="14">
        <f t="shared" si="38"/>
        <v>88.841875212736895</v>
      </c>
      <c r="V107" s="1">
        <f t="shared" si="39"/>
        <v>88.841875212736895</v>
      </c>
    </row>
    <row r="108" spans="1:22">
      <c r="A108" s="38">
        <f>+datos!A108</f>
        <v>45352</v>
      </c>
      <c r="G108" s="1">
        <f t="shared" si="40"/>
        <v>5357.09</v>
      </c>
      <c r="H108" s="1">
        <f t="shared" si="40"/>
        <v>370000</v>
      </c>
      <c r="I108" s="1">
        <f t="shared" si="40"/>
        <v>6713.0533933892011</v>
      </c>
      <c r="J108" s="1"/>
      <c r="K108" s="1">
        <f t="shared" si="33"/>
        <v>7243.5530548019533</v>
      </c>
      <c r="L108" s="1">
        <f t="shared" si="33"/>
        <v>8661.0486891385772</v>
      </c>
      <c r="M108" s="1">
        <f t="shared" si="33"/>
        <v>6713.0533933892011</v>
      </c>
      <c r="N108" s="1"/>
      <c r="O108" s="1">
        <f t="shared" si="34"/>
        <v>1517.4956343366239</v>
      </c>
      <c r="P108" s="1">
        <f t="shared" si="35"/>
        <v>-430.49966141275218</v>
      </c>
      <c r="Q108" s="1"/>
      <c r="R108" s="1"/>
      <c r="S108" s="14">
        <f t="shared" si="36"/>
        <v>5107.9904737457082</v>
      </c>
      <c r="T108" s="1">
        <f t="shared" si="37"/>
        <v>119.5690653966692</v>
      </c>
      <c r="U108" s="14">
        <f t="shared" si="38"/>
        <v>92.676250765346865</v>
      </c>
      <c r="V108" s="1">
        <f t="shared" si="39"/>
        <v>92.676250765346865</v>
      </c>
    </row>
    <row r="109" spans="1:22">
      <c r="A109" s="38">
        <f>+datos!A109</f>
        <v>45383</v>
      </c>
      <c r="G109" s="1">
        <f t="shared" si="40"/>
        <v>5830.2271000000001</v>
      </c>
      <c r="H109" s="1">
        <f t="shared" si="40"/>
        <v>375000</v>
      </c>
      <c r="I109" s="1">
        <f t="shared" si="40"/>
        <v>7128.9573373528756</v>
      </c>
      <c r="J109" s="1"/>
      <c r="K109" s="1">
        <f t="shared" si="33"/>
        <v>7883.3021883884967</v>
      </c>
      <c r="L109" s="1">
        <f t="shared" si="33"/>
        <v>8778.0898876404499</v>
      </c>
      <c r="M109" s="1">
        <f t="shared" si="33"/>
        <v>7128.9573373528756</v>
      </c>
      <c r="N109" s="1"/>
      <c r="O109" s="1">
        <f t="shared" si="34"/>
        <v>994.7876992519532</v>
      </c>
      <c r="P109" s="1">
        <f t="shared" si="35"/>
        <v>-654.3448510356211</v>
      </c>
      <c r="Q109" s="1"/>
      <c r="R109" s="1"/>
      <c r="S109" s="14">
        <f t="shared" si="36"/>
        <v>4756.8898291422402</v>
      </c>
      <c r="T109" s="1">
        <f t="shared" si="37"/>
        <v>111.35041734883522</v>
      </c>
      <c r="U109" s="14">
        <f t="shared" si="38"/>
        <v>90.431105734514233</v>
      </c>
      <c r="V109" s="1">
        <f t="shared" si="39"/>
        <v>90.431105734514233</v>
      </c>
    </row>
    <row r="110" spans="1:22">
      <c r="A110" s="38">
        <f>+datos!A110</f>
        <v>45413</v>
      </c>
      <c r="G110" s="1">
        <f t="shared" si="40"/>
        <v>6073.7165000000005</v>
      </c>
      <c r="H110" s="1">
        <f t="shared" si="40"/>
        <v>330000</v>
      </c>
      <c r="I110" s="1">
        <f t="shared" si="40"/>
        <v>7388.5155677444718</v>
      </c>
      <c r="J110" s="1"/>
      <c r="K110" s="1">
        <f t="shared" si="33"/>
        <v>8212.534735756919</v>
      </c>
      <c r="L110" s="1">
        <f t="shared" si="33"/>
        <v>7724.7191011235955</v>
      </c>
      <c r="M110" s="1">
        <f t="shared" si="33"/>
        <v>7388.5155677444718</v>
      </c>
      <c r="N110" s="1"/>
      <c r="O110" s="1">
        <f t="shared" si="34"/>
        <v>-387.8156346333235</v>
      </c>
      <c r="P110" s="1">
        <f t="shared" si="35"/>
        <v>-724.01916801244715</v>
      </c>
      <c r="Q110" s="1"/>
      <c r="R110" s="1"/>
      <c r="S110" s="14">
        <f t="shared" si="36"/>
        <v>4018.2478445198949</v>
      </c>
      <c r="T110" s="1">
        <f t="shared" si="37"/>
        <v>94.060108720034989</v>
      </c>
      <c r="U110" s="14">
        <f t="shared" si="38"/>
        <v>89.966323497851249</v>
      </c>
      <c r="V110" s="1">
        <f t="shared" si="39"/>
        <v>89.966323497851249</v>
      </c>
    </row>
    <row r="111" spans="1:22">
      <c r="A111" s="38">
        <f>+datos!A111</f>
        <v>45444</v>
      </c>
      <c r="G111" s="1"/>
      <c r="H111" s="1"/>
      <c r="I111" s="1"/>
      <c r="J111" s="1"/>
      <c r="K111" s="1"/>
      <c r="L111" s="1"/>
      <c r="M111" s="1"/>
      <c r="N111" s="1"/>
      <c r="O111" s="1"/>
      <c r="P111" s="1"/>
      <c r="Q111" s="1"/>
      <c r="R111" s="1"/>
      <c r="T111" s="1"/>
      <c r="U111" s="14"/>
      <c r="V111" s="1"/>
    </row>
    <row r="112" spans="1:22">
      <c r="A112" s="38">
        <f>+datos!A112</f>
        <v>45474</v>
      </c>
    </row>
    <row r="113" spans="1:1">
      <c r="A113" s="38">
        <f>+datos!A113</f>
        <v>45505</v>
      </c>
    </row>
    <row r="114" spans="1:1">
      <c r="A114" s="38">
        <f>+datos!A114</f>
        <v>45536</v>
      </c>
    </row>
    <row r="115" spans="1:1">
      <c r="A115" s="38">
        <f>+datos!A115</f>
        <v>45566</v>
      </c>
    </row>
    <row r="116" spans="1:1">
      <c r="A116" s="38">
        <f>+datos!A116</f>
        <v>45597</v>
      </c>
    </row>
    <row r="117" spans="1:1">
      <c r="A117" s="38">
        <f>+datos!A117</f>
        <v>45627</v>
      </c>
    </row>
    <row r="118" spans="1:1">
      <c r="A118" s="38">
        <f>+datos!A118</f>
        <v>45658</v>
      </c>
    </row>
    <row r="119" spans="1:1">
      <c r="A119" s="38">
        <f>+datos!A119</f>
        <v>45689</v>
      </c>
    </row>
    <row r="120" spans="1:1">
      <c r="A120" s="38">
        <f>+datos!A120</f>
        <v>45717</v>
      </c>
    </row>
    <row r="121" spans="1:1">
      <c r="A121" s="38">
        <f>+datos!A121</f>
        <v>45748</v>
      </c>
    </row>
    <row r="122" spans="1:1">
      <c r="A122" s="38">
        <f>+datos!A122</f>
        <v>45778</v>
      </c>
    </row>
    <row r="123" spans="1:1">
      <c r="A123" s="38">
        <f>+datos!A123</f>
        <v>45809</v>
      </c>
    </row>
    <row r="124" spans="1:1">
      <c r="A124" s="38">
        <f>+datos!A124</f>
        <v>45839</v>
      </c>
    </row>
    <row r="125" spans="1:1">
      <c r="A125" s="38"/>
    </row>
    <row r="126" spans="1:1">
      <c r="A126" s="38"/>
    </row>
    <row r="127" spans="1:1">
      <c r="A127" s="38"/>
    </row>
    <row r="128" spans="1:1">
      <c r="A128" s="38"/>
    </row>
    <row r="129" spans="1:1">
      <c r="A129" s="38"/>
    </row>
    <row r="130" spans="1:1">
      <c r="A130" s="36"/>
    </row>
    <row r="131" spans="1:1">
      <c r="A131" s="36"/>
    </row>
    <row r="132" spans="1:1">
      <c r="A132" s="36"/>
    </row>
    <row r="133" spans="1:1">
      <c r="A133" s="36"/>
    </row>
    <row r="134" spans="1:1">
      <c r="A134" s="36"/>
    </row>
    <row r="135" spans="1:1">
      <c r="A135" s="36"/>
    </row>
    <row r="136" spans="1:1">
      <c r="A136" s="36"/>
    </row>
    <row r="137" spans="1:1">
      <c r="A137" s="36"/>
    </row>
    <row r="138" spans="1:1">
      <c r="A138" s="36"/>
    </row>
    <row r="139" spans="1:1">
      <c r="A139" s="36"/>
    </row>
    <row r="140" spans="1:1">
      <c r="A140" s="36"/>
    </row>
    <row r="141" spans="1:1">
      <c r="A141" s="36"/>
    </row>
    <row r="142" spans="1:1">
      <c r="A142" s="36"/>
    </row>
    <row r="143" spans="1:1">
      <c r="A143" s="36"/>
    </row>
    <row r="144" spans="1:1">
      <c r="A144" s="36"/>
    </row>
    <row r="145" spans="1:1">
      <c r="A145" s="36"/>
    </row>
    <row r="146" spans="1:1">
      <c r="A146" s="36"/>
    </row>
    <row r="147" spans="1:1">
      <c r="A147" s="36"/>
    </row>
    <row r="148" spans="1:1">
      <c r="A148" s="36"/>
    </row>
    <row r="149" spans="1:1">
      <c r="A149" s="36"/>
    </row>
    <row r="150" spans="1:1">
      <c r="A150" s="36"/>
    </row>
    <row r="151" spans="1:1">
      <c r="A151" s="36"/>
    </row>
    <row r="152" spans="1:1">
      <c r="A152" s="36"/>
    </row>
    <row r="153" spans="1:1">
      <c r="A153" s="36"/>
    </row>
    <row r="154" spans="1:1">
      <c r="A154" s="36"/>
    </row>
    <row r="155" spans="1:1">
      <c r="A155" s="36"/>
    </row>
    <row r="156" spans="1:1">
      <c r="A156" s="36"/>
    </row>
    <row r="157" spans="1:1">
      <c r="A157" s="36"/>
    </row>
    <row r="158" spans="1:1">
      <c r="A158" s="36"/>
    </row>
    <row r="159" spans="1:1">
      <c r="A159" s="36"/>
    </row>
    <row r="160" spans="1:1">
      <c r="A160" s="36"/>
    </row>
    <row r="161" spans="1:1">
      <c r="A161" s="36"/>
    </row>
    <row r="162" spans="1:1">
      <c r="A162" s="36"/>
    </row>
    <row r="163" spans="1:1">
      <c r="A163" s="36"/>
    </row>
    <row r="164" spans="1:1">
      <c r="A164" s="36"/>
    </row>
    <row r="165" spans="1:1">
      <c r="A165" s="36"/>
    </row>
    <row r="166" spans="1:1">
      <c r="A166" s="36"/>
    </row>
    <row r="167" spans="1:1">
      <c r="A167" s="36"/>
    </row>
    <row r="168" spans="1:1">
      <c r="A168" s="36"/>
    </row>
    <row r="169" spans="1:1">
      <c r="A169" s="36"/>
    </row>
    <row r="170" spans="1:1">
      <c r="A170" s="36"/>
    </row>
    <row r="171" spans="1:1">
      <c r="A171" s="36"/>
    </row>
    <row r="172" spans="1:1">
      <c r="A172" s="36"/>
    </row>
    <row r="173" spans="1:1">
      <c r="A173" s="36"/>
    </row>
    <row r="174" spans="1:1">
      <c r="A174" s="36"/>
    </row>
    <row r="175" spans="1:1">
      <c r="A175" s="36"/>
    </row>
    <row r="176" spans="1:1">
      <c r="A176" s="36"/>
    </row>
    <row r="177" spans="1:1">
      <c r="A177" s="36"/>
    </row>
    <row r="178" spans="1:1">
      <c r="A178" s="36"/>
    </row>
    <row r="179" spans="1:1">
      <c r="A179" s="36"/>
    </row>
    <row r="180" spans="1:1">
      <c r="A180" s="36"/>
    </row>
    <row r="181" spans="1:1">
      <c r="A181" s="36"/>
    </row>
    <row r="182" spans="1:1">
      <c r="A182" s="36"/>
    </row>
    <row r="183" spans="1:1">
      <c r="A183" s="36"/>
    </row>
    <row r="184" spans="1:1">
      <c r="A184" s="36"/>
    </row>
    <row r="185" spans="1:1">
      <c r="A185" s="36"/>
    </row>
  </sheetData>
  <dataValidations count="1">
    <dataValidation type="list" allowBlank="1" showInputMessage="1" showErrorMessage="1" sqref="A1" xr:uid="{00000000-0002-0000-0200-000000000000}">
      <formula1>lis_act</formula1>
    </dataValidation>
  </dataValidation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BI205"/>
  <sheetViews>
    <sheetView showGridLines="0" topLeftCell="A21" zoomScale="76" zoomScaleNormal="76" zoomScalePageLayoutView="76" workbookViewId="0">
      <selection activeCell="D55" sqref="D55"/>
    </sheetView>
  </sheetViews>
  <sheetFormatPr baseColWidth="10" defaultRowHeight="13.8"/>
  <cols>
    <col min="1" max="1" width="3" customWidth="1"/>
    <col min="2" max="2" width="11.44140625" customWidth="1"/>
    <col min="3" max="3" width="14.44140625" bestFit="1" customWidth="1"/>
    <col min="4" max="4" width="12" customWidth="1"/>
    <col min="5" max="5" width="1.44140625" customWidth="1"/>
    <col min="6" max="8" width="10.88671875" customWidth="1"/>
    <col min="9" max="9" width="1.44140625" customWidth="1"/>
    <col min="10" max="12" width="10.88671875" customWidth="1"/>
    <col min="13" max="13" width="1.44140625" customWidth="1"/>
    <col min="14" max="16" width="10.88671875" customWidth="1"/>
    <col min="17" max="17" width="1.44140625" customWidth="1"/>
    <col min="18" max="21" width="13.88671875" customWidth="1"/>
    <col min="22" max="22" width="9" style="26" customWidth="1"/>
    <col min="23" max="27" width="0" hidden="1" customWidth="1"/>
    <col min="28" max="30" width="8" customWidth="1"/>
    <col min="31" max="31" width="1.88671875" customWidth="1"/>
    <col min="32" max="34" width="8" customWidth="1"/>
    <col min="35" max="35" width="1" customWidth="1"/>
    <col min="36" max="37" width="8" customWidth="1"/>
  </cols>
  <sheetData>
    <row r="1" spans="2:61" ht="15.6">
      <c r="P1" s="112">
        <v>44044</v>
      </c>
      <c r="Q1" s="112"/>
      <c r="W1" s="1"/>
      <c r="X1" s="1"/>
      <c r="Y1" s="1"/>
      <c r="Z1" s="1"/>
      <c r="AA1" s="1"/>
      <c r="AB1" s="1">
        <v>7</v>
      </c>
      <c r="AC1" s="62">
        <f>+VLOOKUP(B2,ran_act2,listas!$R$7,FALSE)</f>
        <v>30</v>
      </c>
      <c r="AD1" s="63">
        <f>+VLOOKUP(B2,ran_act2,listas!$U$7,FALSE)</f>
        <v>345</v>
      </c>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2:61" ht="18">
      <c r="B2" s="111" t="s">
        <v>21</v>
      </c>
      <c r="C2" s="111"/>
      <c r="D2" s="111"/>
      <c r="V2" s="36"/>
      <c r="W2" s="1"/>
      <c r="X2" s="1"/>
      <c r="Y2" s="1"/>
      <c r="Z2" s="1"/>
      <c r="AA2" s="1"/>
      <c r="AB2" s="1"/>
      <c r="AC2" s="1"/>
      <c r="AD2" s="1"/>
      <c r="AE2" s="1"/>
      <c r="AF2" s="1" t="s">
        <v>315</v>
      </c>
      <c r="AG2" s="1"/>
      <c r="AH2" s="1"/>
      <c r="AI2" s="1"/>
      <c r="AJ2" s="1" t="s">
        <v>316</v>
      </c>
      <c r="AK2" s="1"/>
      <c r="AL2" s="1" t="s">
        <v>354</v>
      </c>
      <c r="AM2" s="1"/>
      <c r="AN2" s="1"/>
      <c r="AO2" s="1"/>
      <c r="AP2" s="1"/>
      <c r="AQ2" s="1"/>
      <c r="AR2" s="1"/>
      <c r="AS2" s="1"/>
      <c r="AT2" s="1"/>
      <c r="AU2" s="1"/>
      <c r="AV2" s="1"/>
      <c r="AW2" s="1"/>
      <c r="AX2" s="1"/>
      <c r="AY2" s="1"/>
      <c r="AZ2" s="1"/>
      <c r="BA2" s="1"/>
      <c r="BB2" s="1"/>
      <c r="BC2" s="1"/>
      <c r="BD2" s="1"/>
      <c r="BE2" s="1"/>
      <c r="BF2" s="1"/>
      <c r="BG2" s="1"/>
      <c r="BH2" s="1"/>
      <c r="BI2" s="1"/>
    </row>
    <row r="3" spans="2:61">
      <c r="C3" s="1064" t="s">
        <v>357</v>
      </c>
      <c r="D3" s="1064"/>
      <c r="V3" s="1" t="str">
        <f>+datos!A3</f>
        <v>Dato</v>
      </c>
      <c r="W3" s="1"/>
      <c r="X3" s="1"/>
      <c r="Y3" s="1"/>
      <c r="Z3" s="1"/>
      <c r="AA3" s="1"/>
      <c r="AB3" s="1" t="str">
        <f t="shared" ref="AB3:AD8" si="0">+VLOOKUP($V3,ran_dat,AB$1,FALSE)</f>
        <v>Economía</v>
      </c>
      <c r="AC3" s="1">
        <f>+VLOOKUP($V3,ran_dat,AC$1,FALSE)</f>
        <v>0</v>
      </c>
      <c r="AD3" s="1" t="str">
        <f t="shared" si="0"/>
        <v>Consumidor</v>
      </c>
      <c r="AE3" s="1"/>
      <c r="AF3" s="1" t="str">
        <f t="shared" ref="AF3:AH9" si="1">+AB3</f>
        <v>Economía</v>
      </c>
      <c r="AG3" s="1">
        <f t="shared" si="1"/>
        <v>0</v>
      </c>
      <c r="AH3" s="1" t="str">
        <f t="shared" si="1"/>
        <v>Consumidor</v>
      </c>
      <c r="AI3" s="1"/>
      <c r="AJ3" s="1">
        <f t="shared" ref="AJ3:AK9" si="2">+AG3</f>
        <v>0</v>
      </c>
      <c r="AK3" s="1" t="str">
        <f t="shared" si="2"/>
        <v>Consumidor</v>
      </c>
      <c r="AL3" s="1"/>
      <c r="AM3" s="1"/>
      <c r="AN3" s="1"/>
      <c r="AO3" s="1"/>
      <c r="AP3" s="1"/>
      <c r="AQ3" s="1"/>
      <c r="AR3" s="1"/>
      <c r="AS3" s="1"/>
      <c r="AT3" s="1"/>
      <c r="AU3" s="1"/>
      <c r="AV3" s="1"/>
      <c r="AW3" s="1"/>
      <c r="AX3" s="1"/>
      <c r="AY3" s="1"/>
      <c r="AZ3" s="1"/>
      <c r="BA3" s="1"/>
      <c r="BB3" s="1"/>
      <c r="BC3" s="1"/>
      <c r="BD3" s="1"/>
      <c r="BE3" s="1"/>
      <c r="BF3" s="1"/>
      <c r="BG3" s="1"/>
      <c r="BH3" s="1"/>
      <c r="BI3" s="1"/>
    </row>
    <row r="4" spans="2:61" ht="14.4">
      <c r="B4" s="110" t="s">
        <v>355</v>
      </c>
      <c r="C4" s="113" t="s">
        <v>356</v>
      </c>
      <c r="D4" s="113" t="s">
        <v>347</v>
      </c>
      <c r="V4" s="1" t="str">
        <f>+datos!A4</f>
        <v>Actividad/Producto</v>
      </c>
      <c r="W4" s="1"/>
      <c r="X4" s="1"/>
      <c r="Y4" s="1"/>
      <c r="Z4" s="1"/>
      <c r="AA4" s="1"/>
      <c r="AB4" s="1" t="str">
        <f t="shared" si="0"/>
        <v>Inflación</v>
      </c>
      <c r="AC4" s="1" t="str">
        <f t="shared" si="0"/>
        <v>Trigo</v>
      </c>
      <c r="AD4" s="1" t="str">
        <f t="shared" si="0"/>
        <v>Sorgo</v>
      </c>
      <c r="AE4" s="1"/>
      <c r="AF4" s="1" t="str">
        <f t="shared" si="1"/>
        <v>Inflación</v>
      </c>
      <c r="AG4" s="1" t="str">
        <f t="shared" si="1"/>
        <v>Trigo</v>
      </c>
      <c r="AH4" s="1" t="str">
        <f t="shared" si="1"/>
        <v>Sorgo</v>
      </c>
      <c r="AI4" s="1"/>
      <c r="AJ4" s="1" t="str">
        <f t="shared" si="2"/>
        <v>Trigo</v>
      </c>
      <c r="AK4" s="1" t="str">
        <f t="shared" si="2"/>
        <v>Sorgo</v>
      </c>
      <c r="AL4" s="1"/>
      <c r="AM4" s="1"/>
      <c r="AN4" s="1"/>
      <c r="AO4" s="1"/>
      <c r="AP4" s="1"/>
      <c r="AQ4" s="1"/>
      <c r="AR4" s="1"/>
      <c r="AS4" s="1"/>
      <c r="AT4" s="1"/>
      <c r="AU4" s="1"/>
      <c r="AV4" s="1"/>
      <c r="AW4" s="1"/>
      <c r="AX4" s="1"/>
      <c r="AY4" s="1"/>
      <c r="AZ4" s="1"/>
      <c r="BA4" s="1"/>
      <c r="BB4" s="1"/>
      <c r="BC4" s="1"/>
      <c r="BD4" s="1"/>
      <c r="BE4" s="1"/>
      <c r="BF4" s="1"/>
      <c r="BG4" s="1"/>
      <c r="BH4" s="1"/>
      <c r="BI4" s="1"/>
    </row>
    <row r="5" spans="2:61" ht="15.6">
      <c r="B5" s="107">
        <f>VLOOKUP(P1,V:AN,+COLUMN(AL1)-COLUMN(V1)+1,FALSE)</f>
        <v>0</v>
      </c>
      <c r="C5" s="108">
        <f>VLOOKUP(P1,V:AN,+COLUMN(AC1)-COLUMN(V1)+1,FALSE)</f>
        <v>18.097755789473688</v>
      </c>
      <c r="D5" s="109">
        <f>VLOOKUP(P1,V:AN,+COLUMN(AD1)-COLUMN(V1)+1,FALSE)</f>
        <v>0</v>
      </c>
      <c r="V5" s="1" t="str">
        <f>+datos!A5</f>
        <v>Tipo</v>
      </c>
      <c r="W5" s="1"/>
      <c r="X5" s="1"/>
      <c r="Y5" s="1"/>
      <c r="Z5" s="1"/>
      <c r="AA5" s="1"/>
      <c r="AB5" s="1" t="str">
        <f t="shared" si="0"/>
        <v>IPC</v>
      </c>
      <c r="AC5" s="1" t="str">
        <f t="shared" si="0"/>
        <v>Disp. BA</v>
      </c>
      <c r="AD5" s="1">
        <f t="shared" si="0"/>
        <v>0</v>
      </c>
      <c r="AE5" s="1"/>
      <c r="AF5" s="1" t="str">
        <f t="shared" si="1"/>
        <v>IPC</v>
      </c>
      <c r="AG5" s="1" t="str">
        <f t="shared" si="1"/>
        <v>Disp. BA</v>
      </c>
      <c r="AH5" s="1">
        <f t="shared" si="1"/>
        <v>0</v>
      </c>
      <c r="AI5" s="1"/>
      <c r="AJ5" s="1" t="str">
        <f t="shared" si="2"/>
        <v>Disp. BA</v>
      </c>
      <c r="AK5" s="1">
        <f t="shared" si="2"/>
        <v>0</v>
      </c>
      <c r="AL5" s="1"/>
      <c r="AM5" s="1"/>
      <c r="AN5" s="1"/>
      <c r="AO5" s="1"/>
      <c r="AP5" s="1"/>
      <c r="AQ5" s="1"/>
      <c r="AR5" s="1"/>
      <c r="AS5" s="1"/>
      <c r="AT5" s="1"/>
      <c r="AU5" s="1"/>
      <c r="AV5" s="1"/>
      <c r="AW5" s="1"/>
      <c r="AX5" s="1"/>
      <c r="AY5" s="1"/>
      <c r="AZ5" s="1"/>
      <c r="BA5" s="1"/>
      <c r="BB5" s="1"/>
      <c r="BC5" s="1"/>
      <c r="BD5" s="1"/>
      <c r="BE5" s="1"/>
      <c r="BF5" s="1"/>
      <c r="BG5" s="1"/>
      <c r="BH5" s="1"/>
      <c r="BI5" s="1"/>
    </row>
    <row r="6" spans="2:61">
      <c r="C6" s="128" t="str">
        <f>+AC5</f>
        <v>Disp. BA</v>
      </c>
      <c r="D6" s="128">
        <f>+AD5</f>
        <v>0</v>
      </c>
      <c r="V6" s="1" t="str">
        <f>+datos!A6</f>
        <v>Fuente</v>
      </c>
      <c r="W6" s="1"/>
      <c r="X6" s="1"/>
      <c r="Y6" s="1"/>
      <c r="Z6" s="1"/>
      <c r="AA6" s="1"/>
      <c r="AB6" s="1" t="str">
        <f t="shared" si="0"/>
        <v>INDEC</v>
      </c>
      <c r="AC6" s="1" t="str">
        <f t="shared" si="0"/>
        <v>MATba</v>
      </c>
      <c r="AD6" s="1">
        <f t="shared" si="0"/>
        <v>0</v>
      </c>
      <c r="AE6" s="1"/>
      <c r="AF6" s="1" t="str">
        <f t="shared" si="1"/>
        <v>INDEC</v>
      </c>
      <c r="AG6" s="1" t="str">
        <f t="shared" si="1"/>
        <v>MATba</v>
      </c>
      <c r="AH6" s="1">
        <f t="shared" si="1"/>
        <v>0</v>
      </c>
      <c r="AI6" s="1"/>
      <c r="AJ6" s="1" t="str">
        <f t="shared" si="2"/>
        <v>MATba</v>
      </c>
      <c r="AK6" s="1">
        <f t="shared" si="2"/>
        <v>0</v>
      </c>
      <c r="AL6" s="1"/>
      <c r="AM6" s="1"/>
      <c r="AN6" s="1"/>
      <c r="AO6" s="1"/>
      <c r="AP6" s="1"/>
      <c r="AQ6" s="1"/>
      <c r="AR6" s="1"/>
      <c r="AS6" s="1"/>
      <c r="AT6" s="1"/>
      <c r="AU6" s="1"/>
      <c r="AV6" s="1"/>
      <c r="AW6" s="1"/>
      <c r="AX6" s="1"/>
      <c r="AY6" s="1"/>
      <c r="AZ6" s="1"/>
      <c r="BA6" s="1"/>
      <c r="BB6" s="1"/>
      <c r="BC6" s="1"/>
      <c r="BD6" s="1"/>
      <c r="BE6" s="1"/>
      <c r="BF6" s="1"/>
      <c r="BG6" s="1"/>
      <c r="BH6" s="1"/>
      <c r="BI6" s="1"/>
    </row>
    <row r="7" spans="2:61">
      <c r="V7" s="1" t="str">
        <f>+datos!A7</f>
        <v>Moneda/Unidad</v>
      </c>
      <c r="W7" s="1"/>
      <c r="X7" s="1"/>
      <c r="Y7" s="1"/>
      <c r="Z7" s="1"/>
      <c r="AA7" s="1"/>
      <c r="AB7" s="1" t="str">
        <f t="shared" si="0"/>
        <v>Índice</v>
      </c>
      <c r="AC7" s="1" t="str">
        <f t="shared" si="0"/>
        <v>$/t</v>
      </c>
      <c r="AD7" s="1">
        <f t="shared" si="0"/>
        <v>0</v>
      </c>
      <c r="AE7" s="1"/>
      <c r="AF7" s="1" t="str">
        <f t="shared" si="1"/>
        <v>Índice</v>
      </c>
      <c r="AG7" s="1" t="str">
        <f t="shared" si="1"/>
        <v>$/t</v>
      </c>
      <c r="AH7" s="1">
        <f t="shared" si="1"/>
        <v>0</v>
      </c>
      <c r="AI7" s="1"/>
      <c r="AJ7" s="1" t="str">
        <f t="shared" si="2"/>
        <v>$/t</v>
      </c>
      <c r="AK7" s="1">
        <f t="shared" si="2"/>
        <v>0</v>
      </c>
      <c r="AL7" s="1"/>
      <c r="AM7" s="1"/>
      <c r="AN7" s="1"/>
      <c r="AO7" s="1"/>
      <c r="AP7" s="1"/>
      <c r="AQ7" s="1"/>
      <c r="AR7" s="1"/>
      <c r="AS7" s="1"/>
      <c r="AT7" s="1"/>
      <c r="AU7" s="1"/>
      <c r="AV7" s="1"/>
      <c r="AW7" s="1"/>
      <c r="AX7" s="1"/>
      <c r="AY7" s="1"/>
      <c r="AZ7" s="1"/>
      <c r="BA7" s="1"/>
      <c r="BB7" s="1"/>
      <c r="BC7" s="1"/>
      <c r="BD7" s="1"/>
      <c r="BE7" s="1"/>
      <c r="BF7" s="1"/>
      <c r="BG7" s="1"/>
      <c r="BH7" s="1"/>
      <c r="BI7" s="1"/>
    </row>
    <row r="8" spans="2:61">
      <c r="V8" s="1" t="str">
        <f>+datos!A8</f>
        <v>Concatenar</v>
      </c>
      <c r="W8" s="1"/>
      <c r="X8" s="1"/>
      <c r="Y8" s="1"/>
      <c r="Z8" s="1"/>
      <c r="AA8" s="1"/>
      <c r="AB8" s="1" t="str">
        <f t="shared" si="0"/>
        <v>Inflación|IPC</v>
      </c>
      <c r="AC8" s="1" t="str">
        <f t="shared" si="0"/>
        <v>|Trigo|Disp. BA</v>
      </c>
      <c r="AD8" s="1" t="str">
        <f t="shared" si="0"/>
        <v>Consumidor|Sorgo|Pan Francés</v>
      </c>
      <c r="AE8" s="1"/>
      <c r="AF8" s="1" t="str">
        <f t="shared" si="1"/>
        <v>Inflación|IPC</v>
      </c>
      <c r="AG8" s="1" t="str">
        <f t="shared" si="1"/>
        <v>|Trigo|Disp. BA</v>
      </c>
      <c r="AH8" s="1" t="str">
        <f t="shared" si="1"/>
        <v>Consumidor|Sorgo|Pan Francés</v>
      </c>
      <c r="AI8" s="1"/>
      <c r="AJ8" s="1" t="str">
        <f t="shared" si="2"/>
        <v>|Trigo|Disp. BA</v>
      </c>
      <c r="AK8" s="1" t="str">
        <f t="shared" si="2"/>
        <v>Consumidor|Sorgo|Pan Francés</v>
      </c>
      <c r="AL8" s="1"/>
      <c r="AM8" s="1"/>
      <c r="AN8" s="1"/>
      <c r="AO8" s="1"/>
      <c r="AP8" s="1"/>
      <c r="AQ8" s="1"/>
      <c r="AR8" s="1"/>
      <c r="AS8" s="1"/>
      <c r="AT8" s="1"/>
      <c r="AU8" s="1"/>
      <c r="AV8" s="1"/>
      <c r="AW8" s="1"/>
      <c r="AX8" s="1"/>
      <c r="AY8" s="1"/>
      <c r="AZ8" s="1"/>
      <c r="BA8" s="1"/>
      <c r="BB8" s="1"/>
      <c r="BC8" s="1"/>
      <c r="BD8" s="1"/>
      <c r="BE8" s="1"/>
      <c r="BF8" s="1"/>
      <c r="BG8" s="1"/>
      <c r="BH8" s="1"/>
      <c r="BI8" s="1"/>
    </row>
    <row r="9" spans="2:61">
      <c r="B9" s="1"/>
      <c r="C9" s="1"/>
      <c r="D9" s="1"/>
      <c r="E9" s="1"/>
      <c r="F9" s="1"/>
      <c r="G9" s="1"/>
      <c r="H9" s="1"/>
      <c r="I9" s="1"/>
      <c r="V9" s="1" t="s">
        <v>353</v>
      </c>
      <c r="W9" s="1"/>
      <c r="X9" s="1"/>
      <c r="Y9" s="1"/>
      <c r="Z9" s="1"/>
      <c r="AA9" s="1"/>
      <c r="AB9" s="1"/>
      <c r="AC9" s="1">
        <f>+VLOOKUP(B2,ran_act2,listas!$S$7,FALSE)</f>
        <v>760</v>
      </c>
      <c r="AD9" s="1">
        <f>+VLOOKUP(B2,ran_act2,listas!$V$7,FALSE)</f>
        <v>1</v>
      </c>
      <c r="AE9" s="1"/>
      <c r="AF9" s="1"/>
      <c r="AG9" s="1">
        <f t="shared" si="1"/>
        <v>760</v>
      </c>
      <c r="AH9" s="1">
        <f t="shared" si="1"/>
        <v>1</v>
      </c>
      <c r="AI9" s="1"/>
      <c r="AJ9" s="1">
        <f t="shared" si="2"/>
        <v>760</v>
      </c>
      <c r="AK9" s="1">
        <f t="shared" si="2"/>
        <v>1</v>
      </c>
      <c r="AV9" s="1"/>
      <c r="AW9" s="1"/>
      <c r="AX9" s="1"/>
      <c r="AY9" s="1"/>
      <c r="AZ9" s="1"/>
      <c r="BA9" s="1"/>
      <c r="BB9" s="1"/>
      <c r="BC9" s="1"/>
      <c r="BD9" s="1"/>
      <c r="BE9" s="1"/>
      <c r="BF9" s="1"/>
      <c r="BG9" s="1"/>
      <c r="BH9" s="1"/>
      <c r="BI9" s="1"/>
    </row>
    <row r="10" spans="2:61">
      <c r="B10" s="1"/>
      <c r="C10" s="1"/>
      <c r="D10" s="1"/>
      <c r="E10" s="1"/>
      <c r="F10" s="1"/>
      <c r="G10" s="1"/>
      <c r="H10" s="1"/>
      <c r="I10" s="1"/>
      <c r="V10" s="38">
        <f>+datos!A26</f>
        <v>42856</v>
      </c>
      <c r="W10" s="1"/>
      <c r="X10" s="1"/>
      <c r="Y10" s="1"/>
      <c r="Z10" s="1"/>
      <c r="AA10" s="1">
        <f t="shared" ref="AA10:AA15" si="3">+AA4</f>
        <v>0</v>
      </c>
      <c r="AB10" s="1">
        <f>+VLOOKUP($V10,ran_dat,AB$1,FALSE)</f>
        <v>110.5</v>
      </c>
      <c r="AC10" s="1">
        <f>+VLOOKUP($V10,ran_dat,AC$1,FALSE)/$AC$9</f>
        <v>3.3572870813397127</v>
      </c>
      <c r="AD10" s="1">
        <f>+VLOOKUP($V10,ran_dat,AD$1,FALSE)/$AD$9</f>
        <v>0</v>
      </c>
      <c r="AE10" s="1"/>
      <c r="AF10" s="1">
        <f t="shared" ref="AF10:AH14" si="4">+AB10*100/AB$30</f>
        <v>58.280590717299582</v>
      </c>
      <c r="AG10" s="1">
        <f t="shared" si="4"/>
        <v>31.929799117915703</v>
      </c>
      <c r="AH10" s="1" t="e">
        <f t="shared" si="4"/>
        <v>#DIV/0!</v>
      </c>
      <c r="AJ10" s="1">
        <f>+AG10-AF10+100</f>
        <v>73.649208400616118</v>
      </c>
      <c r="AK10" s="1" t="e">
        <f>+AH10-AF10+100</f>
        <v>#DIV/0!</v>
      </c>
      <c r="AL10" s="5">
        <f>IFERROR(+AD10/AC10,#N/A)</f>
        <v>0</v>
      </c>
      <c r="AV10" s="1"/>
      <c r="AW10" s="1"/>
      <c r="AX10" s="1"/>
      <c r="AY10" s="1"/>
      <c r="AZ10" s="1"/>
      <c r="BA10" s="1"/>
      <c r="BB10" s="1"/>
      <c r="BC10" s="1"/>
      <c r="BD10" s="1"/>
      <c r="BE10" s="1"/>
      <c r="BF10" s="1"/>
      <c r="BG10" s="1"/>
      <c r="BH10" s="1"/>
      <c r="BI10" s="1"/>
    </row>
    <row r="11" spans="2:61">
      <c r="B11" s="1"/>
      <c r="C11" s="1"/>
      <c r="D11" s="1"/>
      <c r="E11" s="1"/>
      <c r="F11" s="1"/>
      <c r="G11" s="1"/>
      <c r="H11" s="1"/>
      <c r="I11" s="1"/>
      <c r="V11" s="38">
        <f>+datos!A27</f>
        <v>42887</v>
      </c>
      <c r="W11" s="1"/>
      <c r="X11" s="1"/>
      <c r="Y11" s="1"/>
      <c r="Z11" s="1"/>
      <c r="AA11" s="1">
        <f t="shared" si="3"/>
        <v>0</v>
      </c>
      <c r="AB11" s="1">
        <f>+VLOOKUP($V11,ran_dat,AB$1,FALSE)</f>
        <v>111.8</v>
      </c>
      <c r="AC11" s="1">
        <f>+VLOOKUP($V11,ran_dat,AC$1,FALSE)/$AC$9</f>
        <v>3.5674817251461985</v>
      </c>
      <c r="AD11" s="1">
        <f>+VLOOKUP($V11,ran_dat,AD$1,FALSE)/$AD$9</f>
        <v>0</v>
      </c>
      <c r="AE11" s="1"/>
      <c r="AF11" s="1">
        <f t="shared" si="4"/>
        <v>58.966244725738399</v>
      </c>
      <c r="AG11" s="1">
        <f t="shared" si="4"/>
        <v>33.92887533326418</v>
      </c>
      <c r="AH11" s="1" t="e">
        <f t="shared" si="4"/>
        <v>#DIV/0!</v>
      </c>
      <c r="AJ11" s="1">
        <f>+AG11-AF11+100</f>
        <v>74.962630607525782</v>
      </c>
      <c r="AK11" s="1" t="e">
        <f>+AH11-AF11+100</f>
        <v>#DIV/0!</v>
      </c>
      <c r="AL11" s="5">
        <f>IFERROR(+AD11/AC11,#N/A)</f>
        <v>0</v>
      </c>
      <c r="AV11" s="1"/>
      <c r="AW11" s="1"/>
      <c r="AX11" s="1"/>
      <c r="AY11" s="1"/>
      <c r="AZ11" s="1"/>
      <c r="BA11" s="1"/>
      <c r="BB11" s="1"/>
      <c r="BC11" s="1"/>
      <c r="BD11" s="1"/>
      <c r="BE11" s="1"/>
      <c r="BF11" s="1"/>
      <c r="BG11" s="1"/>
      <c r="BH11" s="1"/>
      <c r="BI11" s="1"/>
    </row>
    <row r="12" spans="2:61">
      <c r="B12" s="1"/>
      <c r="C12" s="1"/>
      <c r="D12" s="1"/>
      <c r="E12" s="1"/>
      <c r="F12" s="1"/>
      <c r="G12" s="1"/>
      <c r="H12" s="1"/>
      <c r="I12" s="1"/>
      <c r="V12" s="38">
        <f>+datos!A28</f>
        <v>42917</v>
      </c>
      <c r="W12" s="1"/>
      <c r="X12" s="1"/>
      <c r="Y12" s="1"/>
      <c r="Z12" s="1"/>
      <c r="AA12" s="1">
        <f t="shared" si="3"/>
        <v>0</v>
      </c>
      <c r="AB12" s="1">
        <f>+VLOOKUP($V12,ran_dat,AB$1,FALSE)</f>
        <v>113.8</v>
      </c>
      <c r="AC12" s="1">
        <f>+VLOOKUP($V12,ran_dat,AC$1,FALSE)/$AC$9</f>
        <v>4.0128973505191565</v>
      </c>
      <c r="AD12" s="1">
        <f>+VLOOKUP($V12,ran_dat,AD$1,FALSE)/$AD$9</f>
        <v>0</v>
      </c>
      <c r="AE12" s="1"/>
      <c r="AF12" s="1">
        <f t="shared" si="4"/>
        <v>60.021097046413502</v>
      </c>
      <c r="AG12" s="1">
        <f t="shared" si="4"/>
        <v>38.165043137080382</v>
      </c>
      <c r="AH12" s="1" t="e">
        <f t="shared" si="4"/>
        <v>#DIV/0!</v>
      </c>
      <c r="AJ12" s="1">
        <f>+AG12-AF12+100</f>
        <v>78.143946090666873</v>
      </c>
      <c r="AK12" s="1" t="e">
        <f>+AH12-AF12+100</f>
        <v>#DIV/0!</v>
      </c>
      <c r="AL12" s="5">
        <f>IFERROR(+AD12/AC12,#N/A)</f>
        <v>0</v>
      </c>
      <c r="AV12" s="1"/>
      <c r="AW12" s="1"/>
      <c r="AX12" s="1"/>
      <c r="AY12" s="1"/>
      <c r="AZ12" s="1"/>
      <c r="BA12" s="1"/>
      <c r="BB12" s="1"/>
      <c r="BC12" s="1"/>
      <c r="BD12" s="1"/>
      <c r="BE12" s="1"/>
      <c r="BF12" s="1"/>
      <c r="BG12" s="1"/>
      <c r="BH12" s="1"/>
      <c r="BI12" s="1"/>
    </row>
    <row r="13" spans="2:61">
      <c r="B13" s="1"/>
      <c r="C13" s="1"/>
      <c r="D13" s="1"/>
      <c r="E13" s="1"/>
      <c r="F13" s="1"/>
      <c r="G13" s="1"/>
      <c r="H13" s="1"/>
      <c r="I13" s="1"/>
      <c r="V13" s="38">
        <f>+datos!A29</f>
        <v>42948</v>
      </c>
      <c r="W13" s="1"/>
      <c r="X13" s="1"/>
      <c r="Y13" s="1"/>
      <c r="Z13" s="1"/>
      <c r="AA13" s="1">
        <f t="shared" si="3"/>
        <v>0</v>
      </c>
      <c r="AB13" s="1">
        <f>+VLOOKUP($V13,ran_dat,AB$1,FALSE)</f>
        <v>115.4</v>
      </c>
      <c r="AC13" s="1">
        <f>+VLOOKUP($V13,ran_dat,AC$1,FALSE)/$AC$9</f>
        <v>3.8779413916376693</v>
      </c>
      <c r="AD13" s="1">
        <f>+VLOOKUP($V13,ran_dat,AD$1,FALSE)/$AD$9</f>
        <v>0</v>
      </c>
      <c r="AE13" s="1"/>
      <c r="AF13" s="1">
        <f t="shared" si="4"/>
        <v>60.864978902953588</v>
      </c>
      <c r="AG13" s="1">
        <f t="shared" si="4"/>
        <v>36.881531613504613</v>
      </c>
      <c r="AH13" s="1" t="e">
        <f t="shared" si="4"/>
        <v>#DIV/0!</v>
      </c>
      <c r="AJ13" s="1">
        <f>+AG13-AF13+100</f>
        <v>76.016552710551025</v>
      </c>
      <c r="AK13" s="1" t="e">
        <f>+AH13-AF13+100</f>
        <v>#DIV/0!</v>
      </c>
      <c r="AL13" s="5">
        <f>IFERROR(+AD13/AC13,#N/A)</f>
        <v>0</v>
      </c>
      <c r="AV13" s="1"/>
      <c r="AW13" s="1"/>
      <c r="AX13" s="1"/>
      <c r="AY13" s="1"/>
      <c r="AZ13" s="1"/>
      <c r="BA13" s="1"/>
      <c r="BB13" s="1"/>
      <c r="BC13" s="1"/>
      <c r="BD13" s="1"/>
      <c r="BE13" s="1"/>
      <c r="BF13" s="1"/>
      <c r="BG13" s="1"/>
      <c r="BH13" s="1"/>
      <c r="BI13" s="1"/>
    </row>
    <row r="14" spans="2:61">
      <c r="B14" s="1"/>
      <c r="C14" s="1"/>
      <c r="D14" s="1"/>
      <c r="E14" s="1"/>
      <c r="F14" s="1"/>
      <c r="G14" s="1"/>
      <c r="H14" s="1"/>
      <c r="I14" s="1"/>
      <c r="V14" s="38">
        <f>+datos!A30</f>
        <v>42979</v>
      </c>
      <c r="W14" s="1"/>
      <c r="X14" s="1"/>
      <c r="Y14" s="1"/>
      <c r="Z14" s="1"/>
      <c r="AA14" s="1">
        <f t="shared" si="3"/>
        <v>0</v>
      </c>
      <c r="AB14" s="1">
        <f>+VLOOKUP($V14,ran_dat,AB$1,FALSE)</f>
        <v>117.6</v>
      </c>
      <c r="AC14" s="1">
        <f>+VLOOKUP($V14,ran_dat,AC$1,FALSE)/$AC$9</f>
        <v>3.8076187492540874</v>
      </c>
      <c r="AD14" s="1">
        <f>+VLOOKUP($V14,ran_dat,AD$1,FALSE)/$AD$9</f>
        <v>0</v>
      </c>
      <c r="AE14" s="1"/>
      <c r="AF14" s="1">
        <f t="shared" si="4"/>
        <v>62.025316455696206</v>
      </c>
      <c r="AG14" s="1">
        <f t="shared" si="4"/>
        <v>36.212721413379342</v>
      </c>
      <c r="AH14" s="1" t="e">
        <f t="shared" si="4"/>
        <v>#DIV/0!</v>
      </c>
      <c r="AJ14" s="1">
        <f>+AG14-AF14+100</f>
        <v>74.187404957683128</v>
      </c>
      <c r="AK14" s="1" t="e">
        <f>+AH14-AF14+100</f>
        <v>#DIV/0!</v>
      </c>
      <c r="AL14" s="5">
        <f>IFERROR(+AD14/AC14,#N/A)</f>
        <v>0</v>
      </c>
      <c r="AV14" s="1"/>
      <c r="AW14" s="1"/>
      <c r="AX14" s="1"/>
      <c r="AY14" s="1"/>
      <c r="AZ14" s="1"/>
      <c r="BA14" s="1"/>
      <c r="BB14" s="1"/>
      <c r="BC14" s="1"/>
      <c r="BD14" s="1"/>
      <c r="BE14" s="1"/>
      <c r="BF14" s="1"/>
      <c r="BG14" s="1"/>
      <c r="BH14" s="1"/>
      <c r="BI14" s="1"/>
    </row>
    <row r="15" spans="2:61">
      <c r="B15" s="1"/>
      <c r="C15" s="1"/>
      <c r="D15" s="1"/>
      <c r="E15" s="1"/>
      <c r="F15" s="1"/>
      <c r="G15" s="1"/>
      <c r="H15" s="1"/>
      <c r="I15" s="1"/>
      <c r="V15" s="38">
        <f>+datos!A31</f>
        <v>43009</v>
      </c>
      <c r="W15" s="1"/>
      <c r="X15" s="1"/>
      <c r="Y15" s="1"/>
      <c r="Z15" s="1"/>
      <c r="AA15" s="1">
        <f t="shared" si="3"/>
        <v>0</v>
      </c>
      <c r="AB15" s="1">
        <f t="shared" ref="AB15:AB28" si="5">+VLOOKUP($V15,ran_dat,AB$1,FALSE)</f>
        <v>119.4</v>
      </c>
      <c r="AC15" s="1">
        <f t="shared" ref="AC15:AC28" si="6">+VLOOKUP($V15,ran_dat,AC$1,FALSE)/$AC$9</f>
        <v>3.9725465896885077</v>
      </c>
      <c r="AD15" s="1">
        <f t="shared" ref="AD15:AD28" si="7">+VLOOKUP($V15,ran_dat,AD$1,FALSE)/$AD$9</f>
        <v>0</v>
      </c>
      <c r="AE15" s="1"/>
      <c r="AF15" s="1">
        <f t="shared" ref="AF15:AF28" si="8">+AB15*100/AB$30</f>
        <v>62.974683544303801</v>
      </c>
      <c r="AG15" s="1">
        <f t="shared" ref="AG15:AG28" si="9">+AC15*100/AC$30</f>
        <v>37.781283376189286</v>
      </c>
      <c r="AH15" s="1" t="e">
        <f t="shared" ref="AH15:AH28" si="10">+AD15*100/AD$30</f>
        <v>#DIV/0!</v>
      </c>
      <c r="AJ15" s="1">
        <f t="shared" ref="AJ15:AJ28" si="11">+AG15-AF15+100</f>
        <v>74.806599831885478</v>
      </c>
      <c r="AK15" s="1" t="e">
        <f t="shared" ref="AK15:AK28" si="12">+AH15-AF15+100</f>
        <v>#DIV/0!</v>
      </c>
      <c r="AL15" s="5">
        <f t="shared" ref="AL15:AL28" si="13">IFERROR(+AD15/AC15,#N/A)</f>
        <v>0</v>
      </c>
      <c r="AV15" s="1"/>
      <c r="AW15" s="1"/>
      <c r="AX15" s="1"/>
      <c r="AY15" s="1"/>
      <c r="AZ15" s="1"/>
      <c r="BA15" s="1"/>
      <c r="BB15" s="1"/>
      <c r="BC15" s="1"/>
      <c r="BD15" s="1"/>
      <c r="BE15" s="1"/>
      <c r="BF15" s="1"/>
      <c r="BG15" s="1"/>
      <c r="BH15" s="1"/>
      <c r="BI15" s="1"/>
    </row>
    <row r="16" spans="2:61">
      <c r="B16" s="1"/>
      <c r="C16" s="1"/>
      <c r="D16" s="1"/>
      <c r="E16" s="1"/>
      <c r="F16" s="1"/>
      <c r="G16" s="1"/>
      <c r="H16" s="1"/>
      <c r="I16" s="1"/>
      <c r="V16" s="38">
        <f>+datos!A32</f>
        <v>43040</v>
      </c>
      <c r="W16" s="1"/>
      <c r="X16" s="1"/>
      <c r="Y16" s="1"/>
      <c r="Z16" s="1"/>
      <c r="AA16" s="1">
        <f t="shared" ref="AA16:AA28" si="14">+AA15</f>
        <v>0</v>
      </c>
      <c r="AB16" s="1">
        <f t="shared" si="5"/>
        <v>121</v>
      </c>
      <c r="AC16" s="1">
        <f t="shared" si="6"/>
        <v>3.8548078231292515</v>
      </c>
      <c r="AD16" s="1">
        <f t="shared" si="7"/>
        <v>0</v>
      </c>
      <c r="AE16" s="1"/>
      <c r="AF16" s="1">
        <f t="shared" si="8"/>
        <v>63.81856540084388</v>
      </c>
      <c r="AG16" s="1">
        <f t="shared" si="9"/>
        <v>36.661517602948337</v>
      </c>
      <c r="AH16" s="1" t="e">
        <f t="shared" si="10"/>
        <v>#DIV/0!</v>
      </c>
      <c r="AJ16" s="1">
        <f t="shared" si="11"/>
        <v>72.842952202104456</v>
      </c>
      <c r="AK16" s="1" t="e">
        <f t="shared" si="12"/>
        <v>#DIV/0!</v>
      </c>
      <c r="AL16" s="5">
        <f t="shared" si="13"/>
        <v>0</v>
      </c>
      <c r="AV16" s="1"/>
      <c r="AW16" s="1"/>
      <c r="AX16" s="1"/>
      <c r="AY16" s="1"/>
      <c r="AZ16" s="1"/>
      <c r="BA16" s="1"/>
      <c r="BB16" s="1"/>
      <c r="BC16" s="1"/>
      <c r="BD16" s="1"/>
      <c r="BE16" s="1"/>
      <c r="BF16" s="1"/>
      <c r="BG16" s="1"/>
      <c r="BH16" s="1"/>
      <c r="BI16" s="1"/>
    </row>
    <row r="17" spans="2:61">
      <c r="B17" s="1"/>
      <c r="C17" s="1"/>
      <c r="D17" s="1"/>
      <c r="E17" s="1"/>
      <c r="F17" s="1"/>
      <c r="G17" s="1"/>
      <c r="H17" s="1"/>
      <c r="I17" s="1"/>
      <c r="V17" s="38">
        <f>+datos!A33</f>
        <v>43070</v>
      </c>
      <c r="W17" s="1"/>
      <c r="X17" s="1"/>
      <c r="Y17" s="1"/>
      <c r="Z17" s="1"/>
      <c r="AA17" s="1">
        <f t="shared" si="14"/>
        <v>0</v>
      </c>
      <c r="AB17" s="1">
        <f t="shared" si="5"/>
        <v>124.8</v>
      </c>
      <c r="AC17" s="1">
        <f t="shared" si="6"/>
        <v>3.9341365177139522</v>
      </c>
      <c r="AD17" s="1">
        <f t="shared" si="7"/>
        <v>0</v>
      </c>
      <c r="AE17" s="1"/>
      <c r="AF17" s="1">
        <f t="shared" si="8"/>
        <v>65.822784810126578</v>
      </c>
      <c r="AG17" s="1">
        <f t="shared" si="9"/>
        <v>37.415980721832177</v>
      </c>
      <c r="AH17" s="1" t="e">
        <f t="shared" si="10"/>
        <v>#DIV/0!</v>
      </c>
      <c r="AJ17" s="1">
        <f t="shared" si="11"/>
        <v>71.593195911705607</v>
      </c>
      <c r="AK17" s="1" t="e">
        <f t="shared" si="12"/>
        <v>#DIV/0!</v>
      </c>
      <c r="AL17" s="5">
        <f t="shared" si="13"/>
        <v>0</v>
      </c>
      <c r="AV17" s="1"/>
      <c r="AW17" s="1"/>
      <c r="AX17" s="1"/>
      <c r="AY17" s="1"/>
      <c r="AZ17" s="1"/>
      <c r="BA17" s="1"/>
      <c r="BB17" s="1"/>
      <c r="BC17" s="1"/>
      <c r="BD17" s="1"/>
      <c r="BE17" s="1"/>
      <c r="BF17" s="1"/>
      <c r="BG17" s="1"/>
      <c r="BH17" s="1"/>
      <c r="BI17" s="1"/>
    </row>
    <row r="18" spans="2:61">
      <c r="B18" s="1"/>
      <c r="C18" s="1"/>
      <c r="D18" s="1"/>
      <c r="E18" s="1"/>
      <c r="F18" s="1"/>
      <c r="G18" s="1"/>
      <c r="H18" s="1"/>
      <c r="I18" s="1"/>
      <c r="V18" s="38">
        <f>+datos!A34</f>
        <v>43101</v>
      </c>
      <c r="W18" s="1"/>
      <c r="X18" s="1"/>
      <c r="Y18" s="1"/>
      <c r="Z18" s="1"/>
      <c r="AA18" s="1">
        <f t="shared" si="14"/>
        <v>0</v>
      </c>
      <c r="AB18" s="1">
        <f t="shared" si="5"/>
        <v>127</v>
      </c>
      <c r="AC18" s="1">
        <f t="shared" si="6"/>
        <v>4.2388139952153105</v>
      </c>
      <c r="AD18" s="1">
        <f t="shared" si="7"/>
        <v>0</v>
      </c>
      <c r="AE18" s="1"/>
      <c r="AF18" s="1">
        <f t="shared" si="8"/>
        <v>66.983122362869196</v>
      </c>
      <c r="AG18" s="1">
        <f t="shared" si="9"/>
        <v>40.313644941982695</v>
      </c>
      <c r="AH18" s="1" t="e">
        <f t="shared" si="10"/>
        <v>#DIV/0!</v>
      </c>
      <c r="AJ18" s="1">
        <f t="shared" si="11"/>
        <v>73.330522579113506</v>
      </c>
      <c r="AK18" s="1" t="e">
        <f t="shared" si="12"/>
        <v>#DIV/0!</v>
      </c>
      <c r="AL18" s="5">
        <f t="shared" si="13"/>
        <v>0</v>
      </c>
      <c r="AV18" s="1"/>
      <c r="AW18" s="1"/>
      <c r="AX18" s="1"/>
      <c r="AY18" s="1"/>
      <c r="AZ18" s="1"/>
      <c r="BA18" s="1"/>
      <c r="BB18" s="1"/>
      <c r="BC18" s="1"/>
      <c r="BD18" s="1"/>
      <c r="BE18" s="1"/>
      <c r="BF18" s="1"/>
      <c r="BG18" s="1"/>
      <c r="BH18" s="1"/>
      <c r="BI18" s="1"/>
    </row>
    <row r="19" spans="2:61">
      <c r="B19" s="1"/>
      <c r="C19" s="1"/>
      <c r="D19" s="1"/>
      <c r="E19" s="1"/>
      <c r="F19" s="1"/>
      <c r="G19" s="1"/>
      <c r="H19" s="1"/>
      <c r="I19" s="1"/>
      <c r="V19" s="38">
        <f>+datos!A35</f>
        <v>43132</v>
      </c>
      <c r="W19" s="1"/>
      <c r="X19" s="1"/>
      <c r="Y19" s="1"/>
      <c r="Z19" s="1"/>
      <c r="AA19" s="1">
        <f t="shared" si="14"/>
        <v>0</v>
      </c>
      <c r="AB19" s="1">
        <f t="shared" si="5"/>
        <v>130.1</v>
      </c>
      <c r="AC19" s="1">
        <f t="shared" si="6"/>
        <v>4.774489522417154</v>
      </c>
      <c r="AD19" s="1">
        <f t="shared" si="7"/>
        <v>0</v>
      </c>
      <c r="AE19" s="1"/>
      <c r="AF19" s="1">
        <f t="shared" si="8"/>
        <v>68.618143459915615</v>
      </c>
      <c r="AG19" s="1">
        <f t="shared" si="9"/>
        <v>45.408238154164344</v>
      </c>
      <c r="AH19" s="1" t="e">
        <f t="shared" si="10"/>
        <v>#DIV/0!</v>
      </c>
      <c r="AJ19" s="1">
        <f t="shared" si="11"/>
        <v>76.790094694248722</v>
      </c>
      <c r="AK19" s="1" t="e">
        <f t="shared" si="12"/>
        <v>#DIV/0!</v>
      </c>
      <c r="AL19" s="5">
        <f t="shared" si="13"/>
        <v>0</v>
      </c>
      <c r="AV19" s="1"/>
      <c r="AW19" s="1"/>
      <c r="AX19" s="1"/>
      <c r="AY19" s="1"/>
      <c r="AZ19" s="1"/>
      <c r="BA19" s="1"/>
      <c r="BB19" s="1"/>
      <c r="BC19" s="1"/>
      <c r="BD19" s="1"/>
      <c r="BE19" s="1"/>
      <c r="BF19" s="1"/>
      <c r="BG19" s="1"/>
      <c r="BH19" s="1"/>
      <c r="BI19" s="1"/>
    </row>
    <row r="20" spans="2:61">
      <c r="B20" s="1"/>
      <c r="C20" s="1"/>
      <c r="D20" s="1"/>
      <c r="E20" s="1"/>
      <c r="F20" s="1"/>
      <c r="G20" s="1"/>
      <c r="H20" s="1"/>
      <c r="I20" s="1"/>
      <c r="V20" s="38">
        <f>+datos!A36</f>
        <v>43160</v>
      </c>
      <c r="W20" s="1"/>
      <c r="X20" s="1"/>
      <c r="Y20" s="1"/>
      <c r="Z20" s="1"/>
      <c r="AA20" s="1">
        <f t="shared" si="14"/>
        <v>0</v>
      </c>
      <c r="AB20" s="1">
        <f t="shared" si="5"/>
        <v>133.1</v>
      </c>
      <c r="AC20" s="1">
        <f t="shared" si="6"/>
        <v>5.1542664473684194</v>
      </c>
      <c r="AD20" s="1">
        <f t="shared" si="7"/>
        <v>0</v>
      </c>
      <c r="AE20" s="1"/>
      <c r="AF20" s="1">
        <f t="shared" si="8"/>
        <v>70.200421940928265</v>
      </c>
      <c r="AG20" s="1">
        <f t="shared" si="9"/>
        <v>49.020142834795571</v>
      </c>
      <c r="AH20" s="1" t="e">
        <f t="shared" si="10"/>
        <v>#DIV/0!</v>
      </c>
      <c r="AJ20" s="1">
        <f t="shared" si="11"/>
        <v>78.819720893867299</v>
      </c>
      <c r="AK20" s="1" t="e">
        <f t="shared" si="12"/>
        <v>#DIV/0!</v>
      </c>
      <c r="AL20" s="5">
        <f t="shared" si="13"/>
        <v>0</v>
      </c>
      <c r="AV20" s="1"/>
      <c r="AW20" s="1"/>
      <c r="AX20" s="1"/>
      <c r="AY20" s="1"/>
      <c r="AZ20" s="1"/>
      <c r="BA20" s="1"/>
      <c r="BB20" s="1"/>
      <c r="BC20" s="1"/>
      <c r="BD20" s="1"/>
      <c r="BE20" s="1"/>
      <c r="BF20" s="1"/>
      <c r="BG20" s="1"/>
      <c r="BH20" s="1"/>
      <c r="BI20" s="1"/>
    </row>
    <row r="21" spans="2:61">
      <c r="B21" s="1"/>
      <c r="C21" s="1"/>
      <c r="D21" s="1"/>
      <c r="E21" s="1"/>
      <c r="F21" s="1"/>
      <c r="G21" s="1"/>
      <c r="H21" s="1"/>
      <c r="I21" s="1"/>
      <c r="V21" s="38">
        <f>+datos!A37</f>
        <v>43191</v>
      </c>
      <c r="W21" s="1"/>
      <c r="X21" s="1"/>
      <c r="Y21" s="1"/>
      <c r="Z21" s="1"/>
      <c r="AA21" s="1">
        <f t="shared" si="14"/>
        <v>0</v>
      </c>
      <c r="AB21" s="1">
        <f t="shared" si="5"/>
        <v>136.80000000000001</v>
      </c>
      <c r="AC21" s="1">
        <f t="shared" si="6"/>
        <v>5.1491343490304695</v>
      </c>
      <c r="AD21" s="1">
        <f t="shared" si="7"/>
        <v>0</v>
      </c>
      <c r="AE21" s="1"/>
      <c r="AF21" s="1">
        <f t="shared" si="8"/>
        <v>72.151898734177223</v>
      </c>
      <c r="AG21" s="1">
        <f t="shared" si="9"/>
        <v>48.971333523880546</v>
      </c>
      <c r="AH21" s="1" t="e">
        <f t="shared" si="10"/>
        <v>#DIV/0!</v>
      </c>
      <c r="AJ21" s="1">
        <f t="shared" si="11"/>
        <v>76.819434789703323</v>
      </c>
      <c r="AK21" s="1" t="e">
        <f t="shared" si="12"/>
        <v>#DIV/0!</v>
      </c>
      <c r="AL21" s="5">
        <f t="shared" si="13"/>
        <v>0</v>
      </c>
      <c r="AV21" s="1"/>
      <c r="AW21" s="1"/>
      <c r="AX21" s="1"/>
      <c r="AY21" s="1"/>
      <c r="AZ21" s="1"/>
      <c r="BA21" s="1"/>
      <c r="BB21" s="1"/>
      <c r="BC21" s="1"/>
      <c r="BD21" s="1"/>
      <c r="BE21" s="1"/>
      <c r="BF21" s="1"/>
      <c r="BG21" s="1"/>
      <c r="BH21" s="1"/>
      <c r="BI21" s="1"/>
    </row>
    <row r="22" spans="2:61">
      <c r="B22" s="1"/>
      <c r="C22" s="1"/>
      <c r="D22" s="1"/>
      <c r="E22" s="1"/>
      <c r="F22" s="1"/>
      <c r="G22" s="1"/>
      <c r="H22" s="1"/>
      <c r="I22" s="1"/>
      <c r="V22" s="38">
        <f>+datos!A38</f>
        <v>43221</v>
      </c>
      <c r="W22" s="1"/>
      <c r="X22" s="1"/>
      <c r="Y22" s="1"/>
      <c r="Z22" s="1"/>
      <c r="AA22" s="1">
        <f t="shared" si="14"/>
        <v>0</v>
      </c>
      <c r="AB22" s="1">
        <f t="shared" si="5"/>
        <v>139.6</v>
      </c>
      <c r="AC22" s="1">
        <f t="shared" si="6"/>
        <v>6.1115338047499694</v>
      </c>
      <c r="AD22" s="1">
        <f t="shared" si="7"/>
        <v>0</v>
      </c>
      <c r="AE22" s="1"/>
      <c r="AF22" s="1">
        <f t="shared" si="8"/>
        <v>73.628691983122366</v>
      </c>
      <c r="AG22" s="1">
        <f t="shared" si="9"/>
        <v>58.124325373494031</v>
      </c>
      <c r="AH22" s="1" t="e">
        <f t="shared" si="10"/>
        <v>#DIV/0!</v>
      </c>
      <c r="AJ22" s="1">
        <f t="shared" si="11"/>
        <v>84.495633390371665</v>
      </c>
      <c r="AK22" s="1" t="e">
        <f t="shared" si="12"/>
        <v>#DIV/0!</v>
      </c>
      <c r="AL22" s="5">
        <f t="shared" si="13"/>
        <v>0</v>
      </c>
      <c r="AV22" s="1"/>
      <c r="AW22" s="1"/>
      <c r="AX22" s="1"/>
      <c r="AY22" s="1"/>
      <c r="AZ22" s="1"/>
      <c r="BA22" s="1"/>
      <c r="BB22" s="1"/>
      <c r="BC22" s="1"/>
      <c r="BD22" s="1"/>
      <c r="BE22" s="1"/>
      <c r="BF22" s="1"/>
      <c r="BG22" s="1"/>
      <c r="BH22" s="1"/>
      <c r="BI22" s="1"/>
    </row>
    <row r="23" spans="2:61">
      <c r="B23" s="1"/>
      <c r="C23" s="1"/>
      <c r="D23" s="1"/>
      <c r="E23" s="1"/>
      <c r="F23" s="1"/>
      <c r="G23" s="1"/>
      <c r="H23" s="1"/>
      <c r="I23" s="1"/>
      <c r="V23" s="38">
        <f>+datos!A39</f>
        <v>43252</v>
      </c>
      <c r="W23" s="1"/>
      <c r="X23" s="1"/>
      <c r="Y23" s="1"/>
      <c r="Z23" s="1"/>
      <c r="AA23" s="1">
        <f t="shared" si="14"/>
        <v>0</v>
      </c>
      <c r="AB23" s="1">
        <f t="shared" si="5"/>
        <v>144.80000000000001</v>
      </c>
      <c r="AC23" s="1">
        <f t="shared" si="6"/>
        <v>6.6755306249999995</v>
      </c>
      <c r="AD23" s="1">
        <f t="shared" si="7"/>
        <v>0</v>
      </c>
      <c r="AE23" s="1"/>
      <c r="AF23" s="1">
        <f t="shared" si="8"/>
        <v>76.371308016877649</v>
      </c>
      <c r="AG23" s="1">
        <f t="shared" si="9"/>
        <v>63.488270945446871</v>
      </c>
      <c r="AH23" s="1" t="e">
        <f t="shared" si="10"/>
        <v>#DIV/0!</v>
      </c>
      <c r="AJ23" s="1">
        <f t="shared" si="11"/>
        <v>87.116962928569222</v>
      </c>
      <c r="AK23" s="1" t="e">
        <f t="shared" si="12"/>
        <v>#DIV/0!</v>
      </c>
      <c r="AL23" s="5">
        <f t="shared" si="13"/>
        <v>0</v>
      </c>
      <c r="AV23" s="1"/>
      <c r="AW23" s="1"/>
      <c r="AX23" s="1"/>
      <c r="AY23" s="1"/>
      <c r="AZ23" s="1"/>
      <c r="BA23" s="1"/>
      <c r="BB23" s="1"/>
      <c r="BC23" s="1"/>
      <c r="BD23" s="1"/>
      <c r="BE23" s="1"/>
      <c r="BF23" s="1"/>
      <c r="BG23" s="1"/>
      <c r="BH23" s="1"/>
      <c r="BI23" s="1"/>
    </row>
    <row r="24" spans="2:61">
      <c r="B24" s="1"/>
      <c r="C24" s="1"/>
      <c r="D24" s="1"/>
      <c r="E24" s="1"/>
      <c r="F24" s="1"/>
      <c r="G24" s="1"/>
      <c r="H24" s="1"/>
      <c r="I24" s="1"/>
      <c r="V24" s="38">
        <f>+datos!A40</f>
        <v>43282</v>
      </c>
      <c r="W24" s="1"/>
      <c r="X24" s="1"/>
      <c r="Y24" s="1"/>
      <c r="Z24" s="1"/>
      <c r="AA24" s="1">
        <f t="shared" si="14"/>
        <v>0</v>
      </c>
      <c r="AB24" s="1">
        <f t="shared" si="5"/>
        <v>149.30000000000001</v>
      </c>
      <c r="AC24" s="1">
        <f t="shared" si="6"/>
        <v>7.1721236424394323</v>
      </c>
      <c r="AD24" s="1">
        <f t="shared" si="7"/>
        <v>0</v>
      </c>
      <c r="AE24" s="1"/>
      <c r="AF24" s="1">
        <f t="shared" si="8"/>
        <v>78.744725738396639</v>
      </c>
      <c r="AG24" s="1">
        <f t="shared" si="9"/>
        <v>68.211166219530313</v>
      </c>
      <c r="AH24" s="1" t="e">
        <f t="shared" si="10"/>
        <v>#DIV/0!</v>
      </c>
      <c r="AJ24" s="1">
        <f t="shared" si="11"/>
        <v>89.466440481133674</v>
      </c>
      <c r="AK24" s="1" t="e">
        <f t="shared" si="12"/>
        <v>#DIV/0!</v>
      </c>
      <c r="AL24" s="5">
        <f t="shared" si="13"/>
        <v>0</v>
      </c>
      <c r="AV24" s="1"/>
      <c r="AW24" s="1"/>
      <c r="AX24" s="1"/>
      <c r="AY24" s="1"/>
      <c r="AZ24" s="1"/>
      <c r="BA24" s="1"/>
      <c r="BB24" s="1"/>
      <c r="BC24" s="1"/>
      <c r="BD24" s="1"/>
      <c r="BE24" s="1"/>
      <c r="BF24" s="1"/>
      <c r="BG24" s="1"/>
      <c r="BH24" s="1"/>
      <c r="BI24" s="1"/>
    </row>
    <row r="25" spans="2:61">
      <c r="B25" s="1"/>
      <c r="C25" s="1"/>
      <c r="D25" s="1"/>
      <c r="E25" s="1"/>
      <c r="F25" s="1"/>
      <c r="G25" s="1"/>
      <c r="H25" s="1"/>
      <c r="I25" s="1"/>
      <c r="V25" s="38">
        <f>+datos!A41</f>
        <v>43313</v>
      </c>
      <c r="W25" s="1"/>
      <c r="X25" s="1"/>
      <c r="Y25" s="1"/>
      <c r="Z25" s="1"/>
      <c r="AA25" s="1">
        <f t="shared" si="14"/>
        <v>0</v>
      </c>
      <c r="AB25" s="1">
        <f t="shared" si="5"/>
        <v>155.1</v>
      </c>
      <c r="AC25" s="1">
        <f t="shared" si="6"/>
        <v>8.7899557959982619</v>
      </c>
      <c r="AD25" s="1">
        <f t="shared" si="7"/>
        <v>0</v>
      </c>
      <c r="AE25" s="1"/>
      <c r="AF25" s="1">
        <f t="shared" si="8"/>
        <v>81.803797468354432</v>
      </c>
      <c r="AG25" s="1">
        <f t="shared" si="9"/>
        <v>83.597713279135604</v>
      </c>
      <c r="AH25" s="1" t="e">
        <f t="shared" si="10"/>
        <v>#DIV/0!</v>
      </c>
      <c r="AJ25" s="1">
        <f t="shared" si="11"/>
        <v>101.79391581078117</v>
      </c>
      <c r="AK25" s="1" t="e">
        <f t="shared" si="12"/>
        <v>#DIV/0!</v>
      </c>
      <c r="AL25" s="5">
        <f t="shared" si="13"/>
        <v>0</v>
      </c>
      <c r="AV25" s="1"/>
      <c r="AW25" s="1"/>
      <c r="AX25" s="1"/>
      <c r="AY25" s="1"/>
      <c r="AZ25" s="1"/>
      <c r="BA25" s="1"/>
      <c r="BB25" s="1"/>
      <c r="BC25" s="1"/>
      <c r="BD25" s="1"/>
      <c r="BE25" s="1"/>
      <c r="BF25" s="1"/>
      <c r="BG25" s="1"/>
      <c r="BH25" s="1"/>
      <c r="BI25" s="1"/>
    </row>
    <row r="26" spans="2:61">
      <c r="B26" s="1"/>
      <c r="C26" s="1"/>
      <c r="D26" s="1"/>
      <c r="E26" s="1"/>
      <c r="F26" s="1"/>
      <c r="G26" s="1"/>
      <c r="H26" s="1"/>
      <c r="I26" s="1"/>
      <c r="V26" s="38">
        <f>+datos!A42</f>
        <v>43344</v>
      </c>
      <c r="W26" s="1"/>
      <c r="X26" s="1"/>
      <c r="Y26" s="1"/>
      <c r="Z26" s="1"/>
      <c r="AA26" s="1">
        <f t="shared" si="14"/>
        <v>0</v>
      </c>
      <c r="AB26" s="1">
        <f t="shared" si="5"/>
        <v>165.2</v>
      </c>
      <c r="AC26" s="1">
        <f t="shared" si="6"/>
        <v>10.144507993421053</v>
      </c>
      <c r="AD26" s="1">
        <f t="shared" si="7"/>
        <v>0</v>
      </c>
      <c r="AE26" s="1"/>
      <c r="AF26" s="1">
        <f t="shared" si="8"/>
        <v>87.130801687763721</v>
      </c>
      <c r="AG26" s="1">
        <f t="shared" si="9"/>
        <v>96.480311195421635</v>
      </c>
      <c r="AH26" s="1" t="e">
        <f t="shared" si="10"/>
        <v>#DIV/0!</v>
      </c>
      <c r="AJ26" s="1">
        <f t="shared" si="11"/>
        <v>109.34950950765791</v>
      </c>
      <c r="AK26" s="1" t="e">
        <f t="shared" si="12"/>
        <v>#DIV/0!</v>
      </c>
      <c r="AL26" s="5">
        <f t="shared" si="13"/>
        <v>0</v>
      </c>
      <c r="AV26" s="1"/>
      <c r="AW26" s="1"/>
      <c r="AX26" s="1"/>
      <c r="AY26" s="1"/>
      <c r="AZ26" s="1"/>
      <c r="BA26" s="1"/>
      <c r="BB26" s="1"/>
      <c r="BC26" s="1"/>
      <c r="BD26" s="1"/>
      <c r="BE26" s="1"/>
      <c r="BF26" s="1"/>
      <c r="BG26" s="1"/>
      <c r="BH26" s="1"/>
      <c r="BI26" s="1"/>
    </row>
    <row r="27" spans="2:61">
      <c r="B27" s="1"/>
      <c r="C27" s="1"/>
      <c r="D27" s="1"/>
      <c r="E27" s="1"/>
      <c r="F27" s="1"/>
      <c r="G27" s="1"/>
      <c r="H27" s="1"/>
      <c r="I27" s="1"/>
      <c r="V27" s="38">
        <f>+datos!A43</f>
        <v>43374</v>
      </c>
      <c r="W27" s="1"/>
      <c r="X27" s="1"/>
      <c r="Y27" s="1"/>
      <c r="Z27" s="1"/>
      <c r="AA27" s="1">
        <f t="shared" si="14"/>
        <v>0</v>
      </c>
      <c r="AB27" s="1">
        <f t="shared" si="5"/>
        <v>174.1</v>
      </c>
      <c r="AC27" s="1">
        <f t="shared" si="6"/>
        <v>9.5868730426272286</v>
      </c>
      <c r="AD27" s="1">
        <f t="shared" si="7"/>
        <v>0</v>
      </c>
      <c r="AE27" s="1"/>
      <c r="AF27" s="1">
        <f t="shared" si="8"/>
        <v>91.824894514767934</v>
      </c>
      <c r="AG27" s="1">
        <f t="shared" si="9"/>
        <v>91.176870789940864</v>
      </c>
      <c r="AH27" s="1" t="e">
        <f t="shared" si="10"/>
        <v>#DIV/0!</v>
      </c>
      <c r="AJ27" s="1">
        <f t="shared" si="11"/>
        <v>99.35197627517293</v>
      </c>
      <c r="AK27" s="1" t="e">
        <f t="shared" si="12"/>
        <v>#DIV/0!</v>
      </c>
      <c r="AL27" s="5">
        <f t="shared" si="13"/>
        <v>0</v>
      </c>
      <c r="AV27" s="1"/>
      <c r="AW27" s="1"/>
      <c r="AX27" s="1"/>
      <c r="AY27" s="1"/>
      <c r="AZ27" s="1"/>
      <c r="BA27" s="1"/>
      <c r="BB27" s="1"/>
      <c r="BC27" s="1"/>
      <c r="BD27" s="1"/>
      <c r="BE27" s="1"/>
      <c r="BF27" s="1"/>
      <c r="BG27" s="1"/>
      <c r="BH27" s="1"/>
      <c r="BI27" s="1"/>
    </row>
    <row r="28" spans="2:61">
      <c r="B28" s="1"/>
      <c r="C28" s="1"/>
      <c r="D28" s="1"/>
      <c r="E28" s="1"/>
      <c r="F28" s="1"/>
      <c r="G28" s="1"/>
      <c r="H28" s="1"/>
      <c r="I28" s="1"/>
      <c r="V28" s="38">
        <f>+datos!A44</f>
        <v>43405</v>
      </c>
      <c r="W28" s="1"/>
      <c r="X28" s="1"/>
      <c r="Y28" s="1"/>
      <c r="Z28" s="1"/>
      <c r="AA28" s="1">
        <f t="shared" si="14"/>
        <v>0</v>
      </c>
      <c r="AB28" s="1">
        <f t="shared" si="5"/>
        <v>179.6</v>
      </c>
      <c r="AC28" s="1">
        <f t="shared" si="6"/>
        <v>9.1765440789473676</v>
      </c>
      <c r="AD28" s="1">
        <f t="shared" si="7"/>
        <v>0</v>
      </c>
      <c r="AE28" s="1"/>
      <c r="AF28" s="1">
        <f t="shared" si="8"/>
        <v>94.725738396624479</v>
      </c>
      <c r="AG28" s="1">
        <f t="shared" si="9"/>
        <v>87.274398029901448</v>
      </c>
      <c r="AH28" s="1" t="e">
        <f t="shared" si="10"/>
        <v>#DIV/0!</v>
      </c>
      <c r="AJ28" s="1">
        <f t="shared" si="11"/>
        <v>92.548659633276969</v>
      </c>
      <c r="AK28" s="1" t="e">
        <f t="shared" si="12"/>
        <v>#DIV/0!</v>
      </c>
      <c r="AL28" s="5">
        <f t="shared" si="13"/>
        <v>0</v>
      </c>
      <c r="AV28" s="1"/>
      <c r="AW28" s="1"/>
      <c r="AX28" s="1"/>
      <c r="AY28" s="1"/>
      <c r="AZ28" s="1"/>
      <c r="BA28" s="1"/>
      <c r="BB28" s="1"/>
      <c r="BC28" s="1"/>
      <c r="BD28" s="1"/>
      <c r="BE28" s="1"/>
      <c r="BF28" s="1"/>
      <c r="BG28" s="1"/>
      <c r="BH28" s="1"/>
      <c r="BI28" s="1"/>
    </row>
    <row r="29" spans="2:61" ht="15.6">
      <c r="B29" s="114" t="s">
        <v>360</v>
      </c>
      <c r="C29" s="114"/>
      <c r="D29" s="114"/>
      <c r="E29" s="1"/>
      <c r="F29" s="1"/>
      <c r="G29" s="1"/>
      <c r="H29" s="1"/>
      <c r="I29" s="1"/>
      <c r="V29" s="38">
        <f>+datos!A45</f>
        <v>43435</v>
      </c>
      <c r="W29" s="1"/>
      <c r="X29" s="1"/>
      <c r="Y29" s="1"/>
      <c r="Z29" s="1"/>
      <c r="AA29" s="1">
        <f>+AA28</f>
        <v>0</v>
      </c>
      <c r="AB29" s="1">
        <f t="shared" ref="AB29:AB49" si="15">+VLOOKUP($V29,ran_dat,AB$1,FALSE)</f>
        <v>184.3</v>
      </c>
      <c r="AC29" s="1">
        <f t="shared" ref="AC29:AC53" si="16">+VLOOKUP($V29,ran_dat,AC$1,FALSE)/$AC$9</f>
        <v>10.311397376543209</v>
      </c>
      <c r="AD29" s="1">
        <f t="shared" ref="AD29:AD53" si="17">+VLOOKUP($V29,ran_dat,AD$1,FALSE)/$AD$9</f>
        <v>0</v>
      </c>
      <c r="AE29" s="1"/>
      <c r="AF29" s="1">
        <f>+AB29*100/AB$30</f>
        <v>97.204641350210977</v>
      </c>
      <c r="AG29" s="1">
        <f>+AC29*100/AC$30</f>
        <v>98.067528597121139</v>
      </c>
      <c r="AH29" s="1" t="e">
        <f>+AD29*100/AD$30</f>
        <v>#DIV/0!</v>
      </c>
      <c r="AJ29" s="1">
        <f>+AG29-AF29+100</f>
        <v>100.86288724691016</v>
      </c>
      <c r="AK29" s="1" t="e">
        <f>+AH29-AF29+100</f>
        <v>#DIV/0!</v>
      </c>
      <c r="AL29" s="5">
        <f>IFERROR(+AD29/AC29,#N/A)</f>
        <v>0</v>
      </c>
      <c r="AO29" s="1"/>
      <c r="AP29" s="1"/>
      <c r="AQ29" s="1"/>
      <c r="AR29" s="1"/>
      <c r="AS29" s="1"/>
      <c r="AT29" s="1"/>
      <c r="AU29" s="1"/>
      <c r="AV29" s="1"/>
      <c r="AW29" s="1"/>
      <c r="AX29" s="1"/>
      <c r="AY29" s="1"/>
      <c r="AZ29" s="1"/>
      <c r="BA29" s="1"/>
      <c r="BB29" s="1"/>
      <c r="BC29" s="1"/>
      <c r="BD29" s="1"/>
      <c r="BE29" s="1"/>
      <c r="BF29" s="1"/>
      <c r="BG29" s="1"/>
      <c r="BH29" s="1"/>
      <c r="BI29" s="1"/>
    </row>
    <row r="30" spans="2:61">
      <c r="E30" s="1"/>
      <c r="F30" s="1"/>
      <c r="G30" s="1"/>
      <c r="H30" s="1"/>
      <c r="I30" s="1"/>
      <c r="V30" s="38">
        <f>+datos!A46</f>
        <v>43466</v>
      </c>
      <c r="W30" s="1"/>
      <c r="X30" s="1"/>
      <c r="Y30" s="1"/>
      <c r="Z30" s="1"/>
      <c r="AA30" s="1">
        <v>100</v>
      </c>
      <c r="AB30" s="1">
        <f t="shared" si="15"/>
        <v>189.6</v>
      </c>
      <c r="AC30" s="1">
        <f t="shared" si="16"/>
        <v>10.514588798198703</v>
      </c>
      <c r="AD30" s="1">
        <f t="shared" si="17"/>
        <v>0</v>
      </c>
      <c r="AE30" s="1"/>
      <c r="AF30" s="1">
        <f t="shared" ref="AF30:AH45" si="18">+AB30*100/AB$30</f>
        <v>100</v>
      </c>
      <c r="AG30" s="1">
        <f t="shared" si="18"/>
        <v>100</v>
      </c>
      <c r="AH30" s="1" t="e">
        <f t="shared" si="18"/>
        <v>#DIV/0!</v>
      </c>
      <c r="AI30" s="1"/>
      <c r="AJ30" s="1">
        <f>+AG30-AF30+100</f>
        <v>100</v>
      </c>
      <c r="AK30" s="1" t="e">
        <f>+AH30-AF30+100</f>
        <v>#DIV/0!</v>
      </c>
      <c r="AL30" s="5">
        <f>IFERROR(+AD30/AC30,#N/A)</f>
        <v>0</v>
      </c>
      <c r="AO30" s="1"/>
      <c r="AP30" s="1"/>
      <c r="AQ30" s="1"/>
      <c r="AR30" s="1"/>
      <c r="AS30" s="1"/>
      <c r="AT30" s="1"/>
      <c r="AU30" s="1"/>
      <c r="AV30" s="1"/>
      <c r="AW30" s="1"/>
      <c r="AX30" s="1"/>
      <c r="AY30" s="1"/>
      <c r="AZ30" s="1"/>
      <c r="BA30" s="1"/>
      <c r="BB30" s="1"/>
      <c r="BC30" s="1"/>
      <c r="BD30" s="1"/>
      <c r="BE30" s="1"/>
      <c r="BF30" s="1"/>
      <c r="BG30" s="1"/>
      <c r="BH30" s="1"/>
      <c r="BI30" s="1"/>
    </row>
    <row r="31" spans="2:61" ht="15.75" customHeight="1">
      <c r="B31" s="118"/>
      <c r="C31" s="118"/>
      <c r="D31" s="118"/>
      <c r="F31" s="119" t="s">
        <v>358</v>
      </c>
      <c r="G31" s="118"/>
      <c r="H31" s="118"/>
      <c r="J31" s="120">
        <f>+P1</f>
        <v>44044</v>
      </c>
      <c r="K31" s="118"/>
      <c r="L31" s="118"/>
      <c r="N31" s="120">
        <f>+VLOOKUP(J31,ran_ma,listas!G7,FALSE)</f>
        <v>43678</v>
      </c>
      <c r="O31" s="121"/>
      <c r="P31" s="115"/>
      <c r="V31" s="38">
        <f>+datos!A47</f>
        <v>43497</v>
      </c>
      <c r="W31" s="1"/>
      <c r="X31" s="1"/>
      <c r="Y31" s="1"/>
      <c r="Z31" s="1"/>
      <c r="AA31" s="1">
        <f>+AA30</f>
        <v>100</v>
      </c>
      <c r="AB31" s="1">
        <f t="shared" si="15"/>
        <v>196.8</v>
      </c>
      <c r="AC31" s="1">
        <f t="shared" si="16"/>
        <v>9.4059519736842105</v>
      </c>
      <c r="AD31" s="1">
        <f t="shared" si="17"/>
        <v>0</v>
      </c>
      <c r="AE31" s="1"/>
      <c r="AF31" s="1">
        <f t="shared" si="18"/>
        <v>103.79746835443038</v>
      </c>
      <c r="AG31" s="1">
        <f t="shared" si="18"/>
        <v>89.456203701428464</v>
      </c>
      <c r="AH31" s="1" t="e">
        <f t="shared" si="18"/>
        <v>#DIV/0!</v>
      </c>
      <c r="AJ31" s="1">
        <f t="shared" ref="AJ31:AJ44" si="19">+AG31-AF31+100</f>
        <v>85.658735346998085</v>
      </c>
      <c r="AK31" s="1" t="e">
        <f t="shared" ref="AK31:AK44" si="20">+AH31-AF31+100</f>
        <v>#DIV/0!</v>
      </c>
      <c r="AL31" s="5">
        <f t="shared" ref="AL31:AL53" si="21">IFERROR(+AD31/AC31,#N/A)</f>
        <v>0</v>
      </c>
      <c r="AO31" s="1"/>
      <c r="AP31" s="1"/>
      <c r="AQ31" s="1"/>
      <c r="AR31" s="1"/>
      <c r="AS31" s="1"/>
      <c r="AT31" s="1"/>
      <c r="AU31" s="1"/>
      <c r="AV31" s="1"/>
      <c r="AW31" s="1"/>
      <c r="AX31" s="1"/>
      <c r="AY31" s="1"/>
      <c r="AZ31" s="1"/>
      <c r="BA31" s="1"/>
      <c r="BB31" s="1"/>
      <c r="BC31" s="1"/>
      <c r="BD31" s="1"/>
      <c r="BE31" s="1"/>
      <c r="BF31" s="1"/>
      <c r="BG31" s="1"/>
      <c r="BH31" s="1"/>
      <c r="BI31" s="1"/>
    </row>
    <row r="32" spans="2:61" ht="15.75" customHeight="1">
      <c r="B32" s="119" t="s">
        <v>94</v>
      </c>
      <c r="C32" s="129" t="s">
        <v>356</v>
      </c>
      <c r="D32" s="130" t="s">
        <v>347</v>
      </c>
      <c r="F32" s="122" t="s">
        <v>356</v>
      </c>
      <c r="G32" s="123" t="s">
        <v>347</v>
      </c>
      <c r="H32" s="124" t="s">
        <v>355</v>
      </c>
      <c r="J32" s="122" t="s">
        <v>356</v>
      </c>
      <c r="K32" s="123" t="s">
        <v>347</v>
      </c>
      <c r="L32" s="124" t="s">
        <v>355</v>
      </c>
      <c r="N32" s="122" t="s">
        <v>356</v>
      </c>
      <c r="O32" s="123" t="s">
        <v>347</v>
      </c>
      <c r="P32" s="124" t="s">
        <v>355</v>
      </c>
      <c r="V32" s="38">
        <f>+datos!A48</f>
        <v>43525</v>
      </c>
      <c r="W32" s="1"/>
      <c r="X32" s="1"/>
      <c r="Y32" s="1"/>
      <c r="Z32" s="1"/>
      <c r="AA32" s="1">
        <f t="shared" ref="AA32:AA53" si="22">+AA31</f>
        <v>100</v>
      </c>
      <c r="AB32" s="1">
        <f t="shared" si="15"/>
        <v>206</v>
      </c>
      <c r="AC32" s="1">
        <f t="shared" si="16"/>
        <v>9.5574833430529225</v>
      </c>
      <c r="AD32" s="1">
        <f t="shared" si="17"/>
        <v>0</v>
      </c>
      <c r="AE32" s="1"/>
      <c r="AF32" s="1">
        <f t="shared" si="18"/>
        <v>108.64978902953587</v>
      </c>
      <c r="AG32" s="1">
        <f t="shared" si="18"/>
        <v>90.897357247962503</v>
      </c>
      <c r="AH32" s="1" t="e">
        <f t="shared" si="18"/>
        <v>#DIV/0!</v>
      </c>
      <c r="AI32" s="1"/>
      <c r="AJ32" s="1">
        <f t="shared" si="19"/>
        <v>82.247568218426636</v>
      </c>
      <c r="AK32" s="1" t="e">
        <f t="shared" si="20"/>
        <v>#DIV/0!</v>
      </c>
      <c r="AL32" s="5">
        <f t="shared" si="21"/>
        <v>0</v>
      </c>
      <c r="AO32" s="1"/>
      <c r="AP32" s="1"/>
      <c r="AQ32" s="1"/>
      <c r="AR32" s="1"/>
      <c r="AS32" s="1"/>
      <c r="AT32" s="1"/>
      <c r="AU32" s="1"/>
      <c r="AV32" s="1"/>
      <c r="AW32" s="1"/>
      <c r="AX32" s="1"/>
      <c r="AY32" s="1"/>
      <c r="AZ32" s="1"/>
      <c r="BA32" s="1"/>
      <c r="BB32" s="1"/>
      <c r="BC32" s="1"/>
      <c r="BD32" s="1"/>
      <c r="BE32" s="1"/>
      <c r="BF32" s="1"/>
      <c r="BG32" s="1"/>
      <c r="BH32" s="1"/>
      <c r="BI32" s="1"/>
    </row>
    <row r="33" spans="2:61" ht="15.75" customHeight="1">
      <c r="B33" s="1"/>
      <c r="C33" s="133" t="s">
        <v>370</v>
      </c>
      <c r="D33" s="133" t="s">
        <v>369</v>
      </c>
      <c r="I33" s="141"/>
      <c r="J33" s="141" t="s">
        <v>374</v>
      </c>
      <c r="K33" s="141" t="s">
        <v>374</v>
      </c>
      <c r="L33" s="141"/>
      <c r="M33" s="141"/>
      <c r="N33" s="141" t="s">
        <v>374</v>
      </c>
      <c r="O33" s="141" t="s">
        <v>374</v>
      </c>
      <c r="P33" s="141"/>
      <c r="Q33" s="141"/>
      <c r="V33" s="38">
        <f>+datos!A49</f>
        <v>43556</v>
      </c>
      <c r="W33" s="1"/>
      <c r="X33" s="1"/>
      <c r="Y33" s="1"/>
      <c r="Z33" s="1"/>
      <c r="AA33" s="1">
        <f t="shared" si="22"/>
        <v>100</v>
      </c>
      <c r="AB33" s="1">
        <f t="shared" si="15"/>
        <v>213.1</v>
      </c>
      <c r="AC33" s="1">
        <f t="shared" si="16"/>
        <v>9.6884930747922411</v>
      </c>
      <c r="AD33" s="1">
        <f t="shared" si="17"/>
        <v>0</v>
      </c>
      <c r="AE33" s="1"/>
      <c r="AF33" s="1">
        <f t="shared" si="18"/>
        <v>112.39451476793249</v>
      </c>
      <c r="AG33" s="1">
        <f t="shared" si="18"/>
        <v>92.143337801778955</v>
      </c>
      <c r="AH33" s="1" t="e">
        <f t="shared" si="18"/>
        <v>#DIV/0!</v>
      </c>
      <c r="AI33" s="1"/>
      <c r="AJ33" s="1">
        <f t="shared" si="19"/>
        <v>79.748823033846463</v>
      </c>
      <c r="AK33" s="1" t="e">
        <f t="shared" si="20"/>
        <v>#DIV/0!</v>
      </c>
      <c r="AL33" s="5">
        <f t="shared" si="21"/>
        <v>0</v>
      </c>
      <c r="AO33" s="1"/>
      <c r="AP33" s="1"/>
      <c r="AQ33" s="1"/>
      <c r="AR33" s="1"/>
      <c r="AS33" s="1"/>
      <c r="AT33" s="1"/>
      <c r="AU33" s="1"/>
      <c r="AV33" s="1"/>
      <c r="AW33" s="1"/>
      <c r="AX33" s="1"/>
      <c r="AY33" s="1"/>
      <c r="AZ33" s="1"/>
      <c r="BA33" s="1"/>
      <c r="BB33" s="1"/>
      <c r="BC33" s="1"/>
      <c r="BD33" s="1"/>
      <c r="BE33" s="1"/>
      <c r="BF33" s="1"/>
      <c r="BG33" s="1"/>
      <c r="BH33" s="1"/>
      <c r="BI33" s="1"/>
    </row>
    <row r="34" spans="2:61" ht="15.75" customHeight="1">
      <c r="B34" s="115" t="s">
        <v>13</v>
      </c>
      <c r="C34" s="115" t="str">
        <f>+VLOOKUP($V$5,ran_dat,+VLOOKUP($B34,ran_act2,listas!$R$7,FALSE),FALSE)</f>
        <v>Largo Fino</v>
      </c>
      <c r="D34" s="115">
        <f>+VLOOKUP($V$5,ran_dat,+VLOOKUP($B34,ran_act2,listas!$U$7,FALSE),FALSE)</f>
        <v>0</v>
      </c>
      <c r="F34" s="116">
        <f t="shared" ref="F34:H37" si="23">+(J34-N34)/N34</f>
        <v>1.0370370370370372</v>
      </c>
      <c r="G34" s="116">
        <f t="shared" si="23"/>
        <v>0.41908786758232092</v>
      </c>
      <c r="H34" s="116">
        <f t="shared" si="23"/>
        <v>-0.30335686500504255</v>
      </c>
      <c r="J34" s="117">
        <f>+VLOOKUP(J$31,ran_dat,+VLOOKUP($B34,ran_act2,listas!$R$7,FALSE),FALSE)/+VLOOKUP($B34,ran_act2,listas!$S$7,FALSE)</f>
        <v>19.25</v>
      </c>
      <c r="K34" s="117">
        <f>+VLOOKUP(J$31,ran_dat,+VLOOKUP($B34,ran_act2,listas!$U$7,FALSE),FALSE)/+VLOOKUP($B34,ran_act2,listas!$V$7,FALSE)</f>
        <v>80.59</v>
      </c>
      <c r="L34" s="117">
        <f>+K34/J34</f>
        <v>4.1864935064935063</v>
      </c>
      <c r="N34" s="117">
        <f>+VLOOKUP(N$31,ran_dat,+VLOOKUP($B34,ran_act2,listas!$R$7,FALSE),FALSE)/+VLOOKUP($B34,ran_act2,listas!$S$7,FALSE)</f>
        <v>9.4499999999999993</v>
      </c>
      <c r="O34" s="117">
        <f>+VLOOKUP(N$31,ran_dat,+VLOOKUP($B34,ran_act2,listas!$U$7,FALSE),FALSE)/+VLOOKUP($B34,ran_act2,listas!$V$7,FALSE)</f>
        <v>56.79</v>
      </c>
      <c r="P34" s="117">
        <f>+O34/N34</f>
        <v>6.0095238095238095</v>
      </c>
      <c r="R34" s="12"/>
      <c r="V34" s="38">
        <f>+datos!A50</f>
        <v>43586</v>
      </c>
      <c r="W34" s="1"/>
      <c r="X34" s="1"/>
      <c r="Y34" s="1"/>
      <c r="Z34" s="1"/>
      <c r="AA34" s="1">
        <f t="shared" si="22"/>
        <v>100</v>
      </c>
      <c r="AB34" s="1">
        <f t="shared" si="15"/>
        <v>219.6</v>
      </c>
      <c r="AC34" s="1">
        <f t="shared" si="16"/>
        <v>9.9738071987820778</v>
      </c>
      <c r="AD34" s="1">
        <f t="shared" si="17"/>
        <v>0</v>
      </c>
      <c r="AE34" s="1"/>
      <c r="AF34" s="1">
        <f t="shared" si="18"/>
        <v>115.82278481012659</v>
      </c>
      <c r="AG34" s="1">
        <f t="shared" si="18"/>
        <v>94.856845000830944</v>
      </c>
      <c r="AH34" s="1" t="e">
        <f t="shared" si="18"/>
        <v>#DIV/0!</v>
      </c>
      <c r="AI34" s="1"/>
      <c r="AJ34" s="1">
        <f t="shared" si="19"/>
        <v>79.034060190704352</v>
      </c>
      <c r="AK34" s="1" t="e">
        <f t="shared" si="20"/>
        <v>#DIV/0!</v>
      </c>
      <c r="AL34" s="5">
        <f t="shared" si="21"/>
        <v>0</v>
      </c>
      <c r="AO34" s="1"/>
      <c r="AP34" s="1"/>
      <c r="AQ34" s="1"/>
      <c r="AR34" s="1"/>
      <c r="AS34" s="1"/>
      <c r="AT34" s="1"/>
      <c r="AU34" s="1"/>
      <c r="AV34" s="1"/>
      <c r="AW34" s="1"/>
      <c r="AX34" s="1"/>
      <c r="AY34" s="1"/>
      <c r="AZ34" s="1"/>
      <c r="BA34" s="1"/>
      <c r="BB34" s="1"/>
      <c r="BC34" s="1"/>
      <c r="BD34" s="1"/>
      <c r="BE34" s="1"/>
      <c r="BF34" s="1"/>
      <c r="BG34" s="1"/>
      <c r="BH34" s="1"/>
      <c r="BI34" s="1"/>
    </row>
    <row r="35" spans="2:61" ht="15.75" customHeight="1">
      <c r="B35" s="115" t="s">
        <v>65</v>
      </c>
      <c r="C35" s="115" t="str">
        <f>+VLOOKUP($V$5,ran_dat,+VLOOKUP($B35,ran_act2,listas!$R$7,FALSE),FALSE)</f>
        <v>Prom.</v>
      </c>
      <c r="D35" s="115" t="str">
        <f>+VLOOKUP($V$5,ran_dat,+VLOOKUP($B35,ran_act2,listas!$U$7,FALSE),FALSE)</f>
        <v>Redondo</v>
      </c>
      <c r="F35" s="116">
        <f t="shared" si="23"/>
        <v>0.21261378413524043</v>
      </c>
      <c r="G35" s="116">
        <f t="shared" si="23"/>
        <v>0.53115486097016429</v>
      </c>
      <c r="H35" s="116">
        <f t="shared" si="23"/>
        <v>0.2626896386981839</v>
      </c>
      <c r="J35" s="117">
        <f>+VLOOKUP(J$31,ran_dat,+VLOOKUP($B35,ran_act2,listas!$R$7,FALSE),FALSE)/+VLOOKUP($B35,ran_act2,listas!$S$7,FALSE)</f>
        <v>18.649999999999999</v>
      </c>
      <c r="K35" s="117">
        <f>+VLOOKUP(J$31,ran_dat,+VLOOKUP($B35,ran_act2,listas!$U$7,FALSE),FALSE)/+VLOOKUP($B35,ran_act2,listas!$V$7,FALSE)</f>
        <v>75.44</v>
      </c>
      <c r="L35" s="117">
        <f>+K35/J35</f>
        <v>4.0450402144772122</v>
      </c>
      <c r="N35" s="117">
        <f>+VLOOKUP(N$31,ran_dat,+VLOOKUP($B35,ran_act2,listas!$R$7,FALSE),FALSE)/+VLOOKUP($B35,ran_act2,listas!$S$7,FALSE)</f>
        <v>15.38</v>
      </c>
      <c r="O35" s="117">
        <f>+VLOOKUP(N$31,ran_dat,+VLOOKUP($B35,ran_act2,listas!$U$7,FALSE),FALSE)/+VLOOKUP($B35,ran_act2,listas!$V$7,FALSE)</f>
        <v>49.27</v>
      </c>
      <c r="P35" s="117">
        <f>+O35/N35</f>
        <v>3.2035110533159949</v>
      </c>
      <c r="V35" s="38">
        <f>+datos!A51</f>
        <v>43617</v>
      </c>
      <c r="W35" s="1"/>
      <c r="X35" s="1"/>
      <c r="Y35" s="1"/>
      <c r="Z35" s="1"/>
      <c r="AA35" s="1">
        <f t="shared" si="22"/>
        <v>100</v>
      </c>
      <c r="AB35" s="1">
        <f t="shared" si="15"/>
        <v>225.5</v>
      </c>
      <c r="AC35" s="1">
        <f t="shared" si="16"/>
        <v>10.374193905817171</v>
      </c>
      <c r="AD35" s="1">
        <f t="shared" si="17"/>
        <v>0</v>
      </c>
      <c r="AE35" s="1"/>
      <c r="AF35" s="1">
        <f t="shared" si="18"/>
        <v>118.93459915611815</v>
      </c>
      <c r="AG35" s="1">
        <f t="shared" si="18"/>
        <v>98.66476098042385</v>
      </c>
      <c r="AH35" s="1" t="e">
        <f t="shared" si="18"/>
        <v>#DIV/0!</v>
      </c>
      <c r="AI35" s="1"/>
      <c r="AJ35" s="1">
        <f t="shared" si="19"/>
        <v>79.730161824305696</v>
      </c>
      <c r="AK35" s="1" t="e">
        <f t="shared" si="20"/>
        <v>#DIV/0!</v>
      </c>
      <c r="AL35" s="5">
        <f t="shared" si="21"/>
        <v>0</v>
      </c>
      <c r="AO35" s="1"/>
      <c r="AP35" s="1"/>
      <c r="AQ35" s="1"/>
      <c r="AR35" s="1"/>
      <c r="AS35" s="1"/>
      <c r="AT35" s="1"/>
      <c r="AU35" s="1"/>
      <c r="AV35" s="1"/>
      <c r="AW35" s="1"/>
      <c r="AX35" s="1"/>
      <c r="AY35" s="1"/>
      <c r="AZ35" s="1"/>
      <c r="BA35" s="1"/>
      <c r="BB35" s="1"/>
      <c r="BC35" s="1"/>
      <c r="BD35" s="1"/>
      <c r="BE35" s="1"/>
      <c r="BF35" s="1"/>
      <c r="BG35" s="1"/>
      <c r="BH35" s="1"/>
      <c r="BI35" s="1"/>
    </row>
    <row r="36" spans="2:61" ht="15.75" customHeight="1">
      <c r="B36" s="115" t="s">
        <v>21</v>
      </c>
      <c r="C36" s="115" t="str">
        <f>+VLOOKUP($V$5,ran_dat,+VLOOKUP($B36,ran_act2,listas!$R$7,FALSE),FALSE)</f>
        <v>Disp. BA</v>
      </c>
      <c r="D36" s="115">
        <f>+VLOOKUP($V$5,ran_dat,+VLOOKUP($B36,ran_act2,listas!$U$7,FALSE),FALSE)</f>
        <v>0</v>
      </c>
      <c r="F36" s="116">
        <f t="shared" si="23"/>
        <v>0.55164939640364008</v>
      </c>
      <c r="G36" s="116" t="e">
        <f t="shared" si="23"/>
        <v>#DIV/0!</v>
      </c>
      <c r="H36" s="116" t="e">
        <f t="shared" si="23"/>
        <v>#DIV/0!</v>
      </c>
      <c r="J36" s="117">
        <f>+VLOOKUP(J$31,ran_dat,+VLOOKUP($B36,ran_act2,listas!$R$7,FALSE),FALSE)/+VLOOKUP($B36,ran_act2,listas!$S$7,FALSE)</f>
        <v>18.097755789473688</v>
      </c>
      <c r="K36" s="117">
        <f>+VLOOKUP(J$31,ran_dat,+VLOOKUP($B36,ran_act2,listas!$U$7,FALSE),FALSE)/+VLOOKUP($B36,ran_act2,listas!$V$7,FALSE)</f>
        <v>0</v>
      </c>
      <c r="L36" s="117">
        <f>+K36/J36</f>
        <v>0</v>
      </c>
      <c r="N36" s="117">
        <f>+VLOOKUP(N$31,ran_dat,+VLOOKUP($B36,ran_act2,listas!$R$7,FALSE),FALSE)/+VLOOKUP($B36,ran_act2,listas!$S$7,FALSE)</f>
        <v>11.663559971356962</v>
      </c>
      <c r="O36" s="117">
        <f>+VLOOKUP(N$31,ran_dat,+VLOOKUP($B36,ran_act2,listas!$U$7,FALSE),FALSE)/+VLOOKUP($B36,ran_act2,listas!$V$7,FALSE)</f>
        <v>0</v>
      </c>
      <c r="P36" s="117">
        <f>+O36/N36</f>
        <v>0</v>
      </c>
      <c r="V36" s="38">
        <f>+datos!A52</f>
        <v>43647</v>
      </c>
      <c r="W36" s="1"/>
      <c r="X36" s="1"/>
      <c r="Y36" s="1"/>
      <c r="Z36" s="1"/>
      <c r="AA36" s="1">
        <f t="shared" si="22"/>
        <v>100</v>
      </c>
      <c r="AB36" s="1">
        <f t="shared" si="15"/>
        <v>230.5</v>
      </c>
      <c r="AC36" s="1">
        <f t="shared" si="16"/>
        <v>9.833999727579819</v>
      </c>
      <c r="AD36" s="1">
        <f t="shared" si="17"/>
        <v>0</v>
      </c>
      <c r="AE36" s="1"/>
      <c r="AF36" s="1">
        <f t="shared" si="18"/>
        <v>121.57172995780591</v>
      </c>
      <c r="AG36" s="1">
        <f t="shared" si="18"/>
        <v>93.527192706428252</v>
      </c>
      <c r="AH36" s="1" t="e">
        <f t="shared" si="18"/>
        <v>#DIV/0!</v>
      </c>
      <c r="AI36" s="1"/>
      <c r="AJ36" s="1">
        <f t="shared" si="19"/>
        <v>71.955462748622338</v>
      </c>
      <c r="AK36" s="1" t="e">
        <f t="shared" si="20"/>
        <v>#DIV/0!</v>
      </c>
      <c r="AL36" s="5">
        <f t="shared" si="21"/>
        <v>0</v>
      </c>
      <c r="AO36" s="1"/>
      <c r="AP36" s="1"/>
      <c r="AQ36" s="1"/>
      <c r="AR36" s="1"/>
      <c r="AS36" s="1"/>
      <c r="AT36" s="1"/>
      <c r="AU36" s="1"/>
      <c r="AV36" s="1"/>
      <c r="AW36" s="1"/>
      <c r="AX36" s="1"/>
      <c r="AY36" s="1"/>
      <c r="AZ36" s="1"/>
      <c r="BA36" s="1"/>
      <c r="BB36" s="1"/>
      <c r="BC36" s="1"/>
      <c r="BD36" s="1"/>
      <c r="BE36" s="1"/>
      <c r="BF36" s="1"/>
      <c r="BG36" s="1"/>
      <c r="BH36" s="1"/>
      <c r="BI36" s="1"/>
    </row>
    <row r="37" spans="2:61" s="135" customFormat="1" ht="15.75" hidden="1" customHeight="1">
      <c r="B37" s="134" t="s">
        <v>0</v>
      </c>
      <c r="C37" s="134" t="e">
        <f>+VLOOKUP($V$5,ran_dat,+VLOOKUP($B37,ran_act2,listas!$R$7,FALSE),FALSE)</f>
        <v>#N/A</v>
      </c>
      <c r="D37" s="134" t="e">
        <f>+VLOOKUP($V$5,ran_dat,+VLOOKUP($B37,ran_act2,listas!$U$7,FALSE),FALSE)</f>
        <v>#N/A</v>
      </c>
      <c r="F37" s="136" t="e">
        <f t="shared" si="23"/>
        <v>#N/A</v>
      </c>
      <c r="G37" s="136" t="e">
        <f t="shared" si="23"/>
        <v>#N/A</v>
      </c>
      <c r="H37" s="136" t="e">
        <f t="shared" si="23"/>
        <v>#N/A</v>
      </c>
      <c r="J37" s="137" t="e">
        <f>+VLOOKUP(J$31,ran_dat,+VLOOKUP($B37,ran_act2,listas!$R$7,FALSE),FALSE)/+VLOOKUP($B37,ran_act2,listas!$S$7,FALSE)</f>
        <v>#N/A</v>
      </c>
      <c r="K37" s="137" t="e">
        <f>+VLOOKUP(J$31,ran_dat,+VLOOKUP($B37,ran_act2,listas!$U$7,FALSE),FALSE)/+VLOOKUP($B37,ran_act2,listas!$V$7,FALSE)</f>
        <v>#N/A</v>
      </c>
      <c r="L37" s="137" t="e">
        <f>+K37/J37</f>
        <v>#N/A</v>
      </c>
      <c r="N37" s="137" t="e">
        <f>+VLOOKUP(N$31,ran_dat,+VLOOKUP($B37,ran_act2,listas!$R$7,FALSE),FALSE)/+VLOOKUP($B37,ran_act2,listas!$S$7,FALSE)</f>
        <v>#N/A</v>
      </c>
      <c r="O37" s="137" t="e">
        <f>+VLOOKUP(N$31,ran_dat,+VLOOKUP($B37,ran_act2,listas!$U$7,FALSE),FALSE)/+VLOOKUP($B37,ran_act2,listas!$V$7,FALSE)</f>
        <v>#N/A</v>
      </c>
      <c r="P37" s="137" t="e">
        <f>+O37/N37</f>
        <v>#N/A</v>
      </c>
      <c r="R37" s="135" t="s">
        <v>371</v>
      </c>
      <c r="V37" s="138">
        <f>+datos!A53</f>
        <v>43678</v>
      </c>
      <c r="W37" s="139"/>
      <c r="X37" s="139"/>
      <c r="Y37" s="139"/>
      <c r="Z37" s="139"/>
      <c r="AA37" s="139">
        <f t="shared" si="22"/>
        <v>100</v>
      </c>
      <c r="AB37" s="139">
        <f t="shared" si="15"/>
        <v>239.6</v>
      </c>
      <c r="AC37" s="139">
        <f t="shared" si="16"/>
        <v>11.663559971356962</v>
      </c>
      <c r="AD37" s="139">
        <f t="shared" si="17"/>
        <v>0</v>
      </c>
      <c r="AE37" s="139"/>
      <c r="AF37" s="139">
        <f t="shared" si="18"/>
        <v>126.37130801687763</v>
      </c>
      <c r="AG37" s="139">
        <f t="shared" si="18"/>
        <v>110.92739996979334</v>
      </c>
      <c r="AH37" s="139" t="e">
        <f t="shared" si="18"/>
        <v>#DIV/0!</v>
      </c>
      <c r="AI37" s="139"/>
      <c r="AJ37" s="139">
        <f t="shared" si="19"/>
        <v>84.556091952915708</v>
      </c>
      <c r="AK37" s="139" t="e">
        <f t="shared" si="20"/>
        <v>#DIV/0!</v>
      </c>
      <c r="AL37" s="140">
        <f t="shared" si="21"/>
        <v>0</v>
      </c>
      <c r="AO37" s="139"/>
      <c r="AP37" s="139"/>
      <c r="AQ37" s="139"/>
      <c r="AR37" s="139"/>
      <c r="AS37" s="139"/>
      <c r="AT37" s="139"/>
      <c r="AU37" s="139"/>
      <c r="AV37" s="139"/>
      <c r="AW37" s="139"/>
      <c r="AX37" s="139"/>
      <c r="AY37" s="139"/>
      <c r="AZ37" s="139"/>
      <c r="BA37" s="139"/>
      <c r="BB37" s="139"/>
      <c r="BC37" s="139"/>
      <c r="BD37" s="139"/>
      <c r="BE37" s="139"/>
      <c r="BF37" s="139"/>
      <c r="BG37" s="139"/>
      <c r="BH37" s="139"/>
      <c r="BI37" s="139"/>
    </row>
    <row r="38" spans="2:61" ht="15.75" customHeight="1">
      <c r="B38" s="115" t="s">
        <v>373</v>
      </c>
      <c r="C38" s="115" t="str">
        <f>+VLOOKUP($V$5,ran_dat,+VLOOKUP($B38,ran_act2,listas!$R$7,FALSE),FALSE)</f>
        <v>Disp.</v>
      </c>
      <c r="D38" s="115" t="str">
        <f>+VLOOKUP($V$5,ran_dat,+VLOOKUP($B38,ran_act2,listas!$U$7,FALSE),FALSE)</f>
        <v>Mandarina</v>
      </c>
      <c r="F38" s="116">
        <f t="shared" ref="F38:F49" si="24">+(J38-N38)/N38</f>
        <v>0.94126074498567336</v>
      </c>
      <c r="G38" s="116" t="e">
        <f t="shared" ref="G38:G49" si="25">+(K38-O38)/O38</f>
        <v>#DIV/0!</v>
      </c>
      <c r="H38" s="116" t="e">
        <f t="shared" ref="H38:H49" si="26">+(L38-P38)/P38</f>
        <v>#DIV/0!</v>
      </c>
      <c r="J38" s="117">
        <f>+VLOOKUP(J$31,ran_dat,+VLOOKUP($B38,ran_act2,listas!$R$7,FALSE),FALSE)/+VLOOKUP($B38,ran_act2,listas!$S$7,FALSE)</f>
        <v>13.55</v>
      </c>
      <c r="K38" s="117">
        <f>+VLOOKUP(J$31,ran_dat,+VLOOKUP($B38,ran_act2,listas!$U$7,FALSE),FALSE)/+VLOOKUP($B38,ran_act2,listas!$V$7,FALSE)</f>
        <v>0</v>
      </c>
      <c r="L38" s="117">
        <f t="shared" ref="L38:L49" si="27">+K38/J38</f>
        <v>0</v>
      </c>
      <c r="N38" s="117">
        <f>+VLOOKUP(N$31,ran_dat,+VLOOKUP($B38,ran_act2,listas!$R$7,FALSE),FALSE)/+VLOOKUP($B38,ran_act2,listas!$S$7,FALSE)</f>
        <v>6.98</v>
      </c>
      <c r="O38" s="117">
        <f>+VLOOKUP(N$31,ran_dat,+VLOOKUP($B38,ran_act2,listas!$U$7,FALSE),FALSE)/+VLOOKUP($B38,ran_act2,listas!$V$7,FALSE)</f>
        <v>0</v>
      </c>
      <c r="P38" s="117">
        <f t="shared" ref="P38:P49" si="28">+O38/N38</f>
        <v>0</v>
      </c>
      <c r="V38" s="38">
        <f>+datos!A54</f>
        <v>43709</v>
      </c>
      <c r="W38" s="1"/>
      <c r="X38" s="1"/>
      <c r="Y38" s="1"/>
      <c r="Z38" s="1"/>
      <c r="AA38" s="1">
        <f t="shared" si="22"/>
        <v>100</v>
      </c>
      <c r="AB38" s="1">
        <f t="shared" si="15"/>
        <v>253.71019999999999</v>
      </c>
      <c r="AC38" s="1">
        <f t="shared" si="16"/>
        <v>12.347923976608186</v>
      </c>
      <c r="AD38" s="1">
        <f t="shared" si="17"/>
        <v>0</v>
      </c>
      <c r="AE38" s="1"/>
      <c r="AF38" s="1">
        <f t="shared" si="18"/>
        <v>133.81339662447257</v>
      </c>
      <c r="AG38" s="1">
        <f t="shared" si="18"/>
        <v>117.43610913936604</v>
      </c>
      <c r="AH38" s="1" t="e">
        <f t="shared" si="18"/>
        <v>#DIV/0!</v>
      </c>
      <c r="AI38" s="1"/>
      <c r="AJ38" s="1">
        <f t="shared" si="19"/>
        <v>83.622712514893465</v>
      </c>
      <c r="AK38" s="1" t="e">
        <f t="shared" si="20"/>
        <v>#DIV/0!</v>
      </c>
      <c r="AL38" s="5">
        <f t="shared" si="21"/>
        <v>0</v>
      </c>
      <c r="AO38" s="1"/>
      <c r="AP38" s="1"/>
      <c r="AQ38" s="1"/>
      <c r="AR38" s="1"/>
      <c r="AS38" s="1"/>
      <c r="AT38" s="1"/>
      <c r="AU38" s="1"/>
      <c r="AV38" s="1"/>
      <c r="AW38" s="1"/>
      <c r="AX38" s="1"/>
      <c r="AY38" s="1"/>
      <c r="AZ38" s="1"/>
      <c r="BA38" s="1"/>
      <c r="BB38" s="1"/>
      <c r="BC38" s="1"/>
      <c r="BD38" s="1"/>
      <c r="BE38" s="1"/>
      <c r="BF38" s="1"/>
      <c r="BG38" s="1"/>
      <c r="BH38" s="1"/>
      <c r="BI38" s="1"/>
    </row>
    <row r="39" spans="2:61" ht="15.75" customHeight="1">
      <c r="B39" s="115" t="s">
        <v>70</v>
      </c>
      <c r="C39" s="115" t="e">
        <f>+VLOOKUP($V$5,ran_dat,+VLOOKUP($B39,ran_act2,listas!$R$7,FALSE),FALSE)</f>
        <v>#N/A</v>
      </c>
      <c r="D39" s="115" t="e">
        <f>+VLOOKUP($V$5,ran_dat,+VLOOKUP($B39,ran_act2,listas!$U$7,FALSE),FALSE)</f>
        <v>#N/A</v>
      </c>
      <c r="F39" s="116" t="e">
        <f t="shared" si="24"/>
        <v>#N/A</v>
      </c>
      <c r="G39" s="116" t="e">
        <f t="shared" si="25"/>
        <v>#N/A</v>
      </c>
      <c r="H39" s="116" t="e">
        <f t="shared" si="26"/>
        <v>#N/A</v>
      </c>
      <c r="J39" s="117" t="e">
        <f>+VLOOKUP(J$31,ran_dat,+VLOOKUP($B39,ran_act2,listas!$R$7,FALSE),FALSE)/+VLOOKUP($B39,ran_act2,listas!$S$7,FALSE)</f>
        <v>#N/A</v>
      </c>
      <c r="K39" s="117" t="e">
        <f>+VLOOKUP(J$31,ran_dat,+VLOOKUP($B39,ran_act2,listas!$U$7,FALSE),FALSE)/+VLOOKUP($B39,ran_act2,listas!$V$7,FALSE)</f>
        <v>#N/A</v>
      </c>
      <c r="L39" s="117" t="e">
        <f t="shared" si="27"/>
        <v>#N/A</v>
      </c>
      <c r="N39" s="117" t="e">
        <f>+VLOOKUP(N$31,ran_dat,+VLOOKUP($B39,ran_act2,listas!$R$7,FALSE),FALSE)/+VLOOKUP($B39,ran_act2,listas!$S$7,FALSE)</f>
        <v>#N/A</v>
      </c>
      <c r="O39" s="117" t="e">
        <f>+VLOOKUP(N$31,ran_dat,+VLOOKUP($B39,ran_act2,listas!$U$7,FALSE),FALSE)/+VLOOKUP($B39,ran_act2,listas!$V$7,FALSE)</f>
        <v>#N/A</v>
      </c>
      <c r="P39" s="117" t="e">
        <f t="shared" si="28"/>
        <v>#N/A</v>
      </c>
      <c r="V39" s="38">
        <f>+datos!A55</f>
        <v>43739</v>
      </c>
      <c r="W39" s="1"/>
      <c r="X39" s="1"/>
      <c r="Y39" s="1"/>
      <c r="Z39" s="1"/>
      <c r="AA39" s="1">
        <f t="shared" si="22"/>
        <v>100</v>
      </c>
      <c r="AB39" s="1">
        <f t="shared" si="15"/>
        <v>262.06610000000001</v>
      </c>
      <c r="AC39" s="1">
        <f t="shared" si="16"/>
        <v>13.735892249347541</v>
      </c>
      <c r="AD39" s="1">
        <f t="shared" si="17"/>
        <v>0</v>
      </c>
      <c r="AE39" s="1"/>
      <c r="AF39" s="1">
        <f t="shared" si="18"/>
        <v>138.22051687763712</v>
      </c>
      <c r="AG39" s="1">
        <f t="shared" si="18"/>
        <v>130.63651382829818</v>
      </c>
      <c r="AH39" s="1" t="e">
        <f t="shared" si="18"/>
        <v>#DIV/0!</v>
      </c>
      <c r="AI39" s="1"/>
      <c r="AJ39" s="1">
        <f t="shared" si="19"/>
        <v>92.415996950661054</v>
      </c>
      <c r="AK39" s="1" t="e">
        <f t="shared" si="20"/>
        <v>#DIV/0!</v>
      </c>
      <c r="AL39" s="5">
        <f t="shared" si="21"/>
        <v>0</v>
      </c>
      <c r="AO39" s="1"/>
      <c r="AP39" s="1"/>
      <c r="AQ39" s="1"/>
      <c r="AR39" s="1"/>
      <c r="AS39" s="1"/>
      <c r="AT39" s="1"/>
      <c r="AU39" s="1"/>
      <c r="AV39" s="1"/>
      <c r="AW39" s="1"/>
      <c r="AX39" s="1"/>
      <c r="AY39" s="1"/>
      <c r="AZ39" s="1"/>
      <c r="BA39" s="1"/>
      <c r="BB39" s="1"/>
      <c r="BC39" s="1"/>
      <c r="BD39" s="1"/>
      <c r="BE39" s="1"/>
      <c r="BF39" s="1"/>
      <c r="BG39" s="1"/>
      <c r="BH39" s="1"/>
      <c r="BI39" s="1"/>
    </row>
    <row r="40" spans="2:61" s="135" customFormat="1" ht="15.75" hidden="1" customHeight="1">
      <c r="B40" s="134" t="s">
        <v>71</v>
      </c>
      <c r="C40" s="134" t="e">
        <f>+VLOOKUP($V$5,ran_dat,+VLOOKUP($B40,ran_act2,listas!$R$7,FALSE),FALSE)</f>
        <v>#N/A</v>
      </c>
      <c r="D40" s="134" t="e">
        <f>+VLOOKUP($V$5,ran_dat,+VLOOKUP($B40,ran_act2,listas!$U$7,FALSE),FALSE)</f>
        <v>#N/A</v>
      </c>
      <c r="F40" s="136" t="e">
        <f t="shared" si="24"/>
        <v>#N/A</v>
      </c>
      <c r="G40" s="136" t="e">
        <f t="shared" si="25"/>
        <v>#N/A</v>
      </c>
      <c r="H40" s="136" t="e">
        <f t="shared" si="26"/>
        <v>#N/A</v>
      </c>
      <c r="J40" s="137" t="e">
        <f>+VLOOKUP(J$31,ran_dat,+VLOOKUP($B40,ran_act2,listas!$R$7,FALSE),FALSE)/+VLOOKUP($B40,ran_act2,listas!$S$7,FALSE)</f>
        <v>#N/A</v>
      </c>
      <c r="K40" s="137" t="e">
        <f>+VLOOKUP(J$31,ran_dat,+VLOOKUP($B40,ran_act2,listas!$U$7,FALSE),FALSE)/+VLOOKUP($B40,ran_act2,listas!$V$7,FALSE)</f>
        <v>#N/A</v>
      </c>
      <c r="L40" s="137" t="e">
        <f t="shared" si="27"/>
        <v>#N/A</v>
      </c>
      <c r="N40" s="137" t="e">
        <f>+VLOOKUP(N$31,ran_dat,+VLOOKUP($B40,ran_act2,listas!$R$7,FALSE),FALSE)/+VLOOKUP($B40,ran_act2,listas!$S$7,FALSE)</f>
        <v>#N/A</v>
      </c>
      <c r="O40" s="137" t="e">
        <f>+VLOOKUP(N$31,ran_dat,+VLOOKUP($B40,ran_act2,listas!$U$7,FALSE),FALSE)/+VLOOKUP($B40,ran_act2,listas!$V$7,FALSE)</f>
        <v>#N/A</v>
      </c>
      <c r="P40" s="137" t="e">
        <f t="shared" si="28"/>
        <v>#N/A</v>
      </c>
      <c r="V40" s="138">
        <f>+datos!A56</f>
        <v>43770</v>
      </c>
      <c r="W40" s="139"/>
      <c r="X40" s="139"/>
      <c r="Y40" s="139"/>
      <c r="Z40" s="139"/>
      <c r="AA40" s="139">
        <f t="shared" si="22"/>
        <v>100</v>
      </c>
      <c r="AB40" s="139">
        <f t="shared" si="15"/>
        <v>273.2158</v>
      </c>
      <c r="AC40" s="139">
        <f t="shared" si="16"/>
        <v>14.150677467105261</v>
      </c>
      <c r="AD40" s="139">
        <f t="shared" si="17"/>
        <v>0</v>
      </c>
      <c r="AE40" s="139"/>
      <c r="AF40" s="139">
        <f t="shared" si="18"/>
        <v>144.10116033755276</v>
      </c>
      <c r="AG40" s="139">
        <f t="shared" si="18"/>
        <v>134.58136821793232</v>
      </c>
      <c r="AH40" s="139" t="e">
        <f t="shared" si="18"/>
        <v>#DIV/0!</v>
      </c>
      <c r="AI40" s="139"/>
      <c r="AJ40" s="139">
        <f t="shared" si="19"/>
        <v>90.480207880379567</v>
      </c>
      <c r="AK40" s="139" t="e">
        <f t="shared" si="20"/>
        <v>#DIV/0!</v>
      </c>
      <c r="AL40" s="140">
        <f t="shared" si="21"/>
        <v>0</v>
      </c>
      <c r="AO40" s="139"/>
      <c r="AP40" s="139"/>
      <c r="AQ40" s="139"/>
      <c r="AR40" s="139"/>
      <c r="AS40" s="139"/>
      <c r="AT40" s="139"/>
      <c r="AU40" s="139"/>
      <c r="AV40" s="139"/>
      <c r="AW40" s="139"/>
      <c r="AX40" s="139"/>
      <c r="AY40" s="139"/>
      <c r="AZ40" s="139"/>
      <c r="BA40" s="139"/>
      <c r="BB40" s="139"/>
      <c r="BC40" s="139"/>
      <c r="BD40" s="139"/>
      <c r="BE40" s="139"/>
      <c r="BF40" s="139"/>
      <c r="BG40" s="139"/>
      <c r="BH40" s="139"/>
      <c r="BI40" s="139"/>
    </row>
    <row r="41" spans="2:61" ht="15.75" customHeight="1">
      <c r="B41" s="115" t="s">
        <v>72</v>
      </c>
      <c r="C41" s="115" t="str">
        <f>+VLOOKUP($V$5,ran_dat,+VLOOKUP($B41,ran_act2,listas!$R$7,FALSE),FALSE)</f>
        <v>Mayorista</v>
      </c>
      <c r="D41" s="115">
        <f>+VLOOKUP($V$5,ran_dat,+VLOOKUP($B41,ran_act2,listas!$U$7,FALSE),FALSE)</f>
        <v>0</v>
      </c>
      <c r="F41" s="116">
        <f t="shared" si="24"/>
        <v>1.4702856443830692</v>
      </c>
      <c r="G41" s="116" t="e">
        <f t="shared" si="25"/>
        <v>#DIV/0!</v>
      </c>
      <c r="H41" s="116" t="e">
        <f t="shared" si="26"/>
        <v>#DIV/0!</v>
      </c>
      <c r="J41" s="117">
        <f>+VLOOKUP(J$31,ran_dat,+VLOOKUP($B41,ran_act2,listas!$R$7,FALSE),FALSE)/+VLOOKUP($B41,ran_act2,listas!$S$7,FALSE)</f>
        <v>544.35142857142853</v>
      </c>
      <c r="K41" s="117">
        <f>+VLOOKUP(J$31,ran_dat,+VLOOKUP($B41,ran_act2,listas!$U$7,FALSE),FALSE)/+VLOOKUP($B41,ran_act2,listas!$V$7,FALSE)</f>
        <v>0</v>
      </c>
      <c r="L41" s="117">
        <f t="shared" si="27"/>
        <v>0</v>
      </c>
      <c r="N41" s="117">
        <f>+VLOOKUP(N$31,ran_dat,+VLOOKUP($B41,ran_act2,listas!$R$7,FALSE),FALSE)/+VLOOKUP($B41,ran_act2,listas!$S$7,FALSE)</f>
        <v>220.35971014492748</v>
      </c>
      <c r="O41" s="117">
        <f>+VLOOKUP(N$31,ran_dat,+VLOOKUP($B41,ran_act2,listas!$U$7,FALSE),FALSE)/+VLOOKUP($B41,ran_act2,listas!$V$7,FALSE)</f>
        <v>0</v>
      </c>
      <c r="P41" s="117">
        <f t="shared" si="28"/>
        <v>0</v>
      </c>
      <c r="V41" s="38">
        <f>+datos!A57</f>
        <v>43800</v>
      </c>
      <c r="W41" s="1"/>
      <c r="X41" s="1"/>
      <c r="Y41" s="1"/>
      <c r="Z41" s="1"/>
      <c r="AA41" s="1">
        <f t="shared" si="22"/>
        <v>100</v>
      </c>
      <c r="AB41" s="1">
        <f t="shared" si="15"/>
        <v>283.44420000000002</v>
      </c>
      <c r="AC41" s="1">
        <f t="shared" si="16"/>
        <v>14.428539770478828</v>
      </c>
      <c r="AD41" s="1">
        <f t="shared" si="17"/>
        <v>0</v>
      </c>
      <c r="AE41" s="1"/>
      <c r="AF41" s="1">
        <f t="shared" si="18"/>
        <v>149.49588607594939</v>
      </c>
      <c r="AG41" s="1">
        <f t="shared" si="18"/>
        <v>137.22400416600829</v>
      </c>
      <c r="AH41" s="1" t="e">
        <f t="shared" si="18"/>
        <v>#DIV/0!</v>
      </c>
      <c r="AI41" s="1"/>
      <c r="AJ41" s="1">
        <f t="shared" si="19"/>
        <v>87.728118090058899</v>
      </c>
      <c r="AK41" s="1" t="e">
        <f t="shared" si="20"/>
        <v>#DIV/0!</v>
      </c>
      <c r="AL41" s="5">
        <f t="shared" si="21"/>
        <v>0</v>
      </c>
      <c r="AO41" s="1"/>
      <c r="AP41" s="1"/>
      <c r="AQ41" s="1"/>
      <c r="AR41" s="1"/>
      <c r="AS41" s="1"/>
      <c r="AT41" s="1"/>
      <c r="AU41" s="1"/>
      <c r="AV41" s="1"/>
      <c r="AW41" s="1"/>
      <c r="AX41" s="1"/>
      <c r="AY41" s="1"/>
      <c r="AZ41" s="1"/>
      <c r="BA41" s="1"/>
      <c r="BB41" s="1"/>
      <c r="BC41" s="1"/>
      <c r="BD41" s="1"/>
      <c r="BE41" s="1"/>
      <c r="BF41" s="1"/>
      <c r="BG41" s="1"/>
      <c r="BH41" s="1"/>
      <c r="BI41" s="1"/>
    </row>
    <row r="42" spans="2:61" ht="15.75" customHeight="1">
      <c r="B42" s="115" t="s">
        <v>39</v>
      </c>
      <c r="C42" s="115" t="str">
        <f>+VLOOKUP($V$5,ran_dat,+VLOOKUP($B42,ran_act2,listas!$R$7,FALSE),FALSE)</f>
        <v>Canchada</v>
      </c>
      <c r="D42" s="115">
        <f>+VLOOKUP($V$5,ran_dat,+VLOOKUP($B42,ran_act2,listas!$U$7,FALSE),FALSE)</f>
        <v>0</v>
      </c>
      <c r="F42" s="116">
        <f t="shared" si="24"/>
        <v>0.73160173160173159</v>
      </c>
      <c r="G42" s="116" t="e">
        <f t="shared" si="25"/>
        <v>#DIV/0!</v>
      </c>
      <c r="H42" s="116" t="e">
        <f t="shared" si="26"/>
        <v>#DIV/0!</v>
      </c>
      <c r="J42" s="117">
        <f>+VLOOKUP(J$31,ran_dat,+VLOOKUP($B42,ran_act2,listas!$R$7,FALSE),FALSE)/+VLOOKUP($B42,ran_act2,listas!$S$7,FALSE)</f>
        <v>76</v>
      </c>
      <c r="K42" s="117">
        <f>+VLOOKUP(J$31,ran_dat,+VLOOKUP($B42,ran_act2,listas!$U$7,FALSE),FALSE)/+VLOOKUP($B42,ran_act2,listas!$V$7,FALSE)</f>
        <v>0</v>
      </c>
      <c r="L42" s="117">
        <f t="shared" si="27"/>
        <v>0</v>
      </c>
      <c r="N42" s="117">
        <f>+VLOOKUP(N$31,ran_dat,+VLOOKUP($B42,ran_act2,listas!$R$7,FALSE),FALSE)/+VLOOKUP($B42,ran_act2,listas!$S$7,FALSE)</f>
        <v>43.89</v>
      </c>
      <c r="O42" s="117">
        <f>+VLOOKUP(N$31,ran_dat,+VLOOKUP($B42,ran_act2,listas!$U$7,FALSE),FALSE)/+VLOOKUP($B42,ran_act2,listas!$V$7,FALSE)</f>
        <v>0</v>
      </c>
      <c r="P42" s="117">
        <f t="shared" si="28"/>
        <v>0</v>
      </c>
      <c r="V42" s="38">
        <f>+datos!A58</f>
        <v>43831</v>
      </c>
      <c r="W42" s="1"/>
      <c r="X42" s="1"/>
      <c r="Y42" s="1"/>
      <c r="Z42" s="1"/>
      <c r="AA42" s="1">
        <f t="shared" si="22"/>
        <v>100</v>
      </c>
      <c r="AB42" s="1">
        <f t="shared" si="15"/>
        <v>289.82990000000001</v>
      </c>
      <c r="AC42" s="1">
        <f t="shared" si="16"/>
        <v>16.393653250773994</v>
      </c>
      <c r="AD42" s="1">
        <f t="shared" si="17"/>
        <v>0</v>
      </c>
      <c r="AE42" s="1"/>
      <c r="AF42" s="1">
        <f t="shared" si="18"/>
        <v>152.86387130801688</v>
      </c>
      <c r="AG42" s="1">
        <f t="shared" si="18"/>
        <v>155.9134034188998</v>
      </c>
      <c r="AH42" s="1" t="e">
        <f t="shared" si="18"/>
        <v>#DIV/0!</v>
      </c>
      <c r="AI42" s="1"/>
      <c r="AJ42" s="1">
        <f t="shared" si="19"/>
        <v>103.04953211088292</v>
      </c>
      <c r="AK42" s="1" t="e">
        <f t="shared" si="20"/>
        <v>#DIV/0!</v>
      </c>
      <c r="AL42" s="5">
        <f t="shared" si="21"/>
        <v>0</v>
      </c>
      <c r="AO42" s="1"/>
      <c r="AP42" s="1"/>
      <c r="AQ42" s="1"/>
      <c r="AR42" s="1"/>
      <c r="AS42" s="1"/>
      <c r="AT42" s="1"/>
      <c r="AU42" s="1"/>
      <c r="AV42" s="1"/>
      <c r="AW42" s="1"/>
      <c r="AX42" s="1"/>
      <c r="AY42" s="1"/>
      <c r="AZ42" s="1"/>
      <c r="BA42" s="1"/>
      <c r="BB42" s="1"/>
      <c r="BC42" s="1"/>
      <c r="BD42" s="1"/>
      <c r="BE42" s="1"/>
      <c r="BF42" s="1"/>
      <c r="BG42" s="1"/>
      <c r="BH42" s="1"/>
      <c r="BI42" s="1"/>
    </row>
    <row r="43" spans="2:61" ht="15.75" customHeight="1">
      <c r="B43" s="115" t="s">
        <v>66</v>
      </c>
      <c r="C43" s="115" t="str">
        <f>+VLOOKUP($V$5,ran_dat,+VLOOKUP($B43,ran_act2,listas!$R$7,FALSE),FALSE)</f>
        <v>Mayorista</v>
      </c>
      <c r="D43" s="115" t="str">
        <f>+VLOOKUP($V$5,ran_dat,+VLOOKUP($B43,ran_act2,listas!$U$7,FALSE),FALSE)</f>
        <v>Vino Común</v>
      </c>
      <c r="F43" s="116">
        <f t="shared" si="24"/>
        <v>0.15814487945085198</v>
      </c>
      <c r="G43" s="116">
        <f t="shared" si="25"/>
        <v>0.22270972270972281</v>
      </c>
      <c r="H43" s="116">
        <f t="shared" si="26"/>
        <v>5.5748502976143081E-2</v>
      </c>
      <c r="J43" s="117">
        <f>+VLOOKUP(J$31,ran_dat,+VLOOKUP($B43,ran_act2,listas!$R$7,FALSE),FALSE)/+VLOOKUP($B43,ran_act2,listas!$S$7,FALSE)</f>
        <v>296.04819277108436</v>
      </c>
      <c r="K43" s="117">
        <f>+VLOOKUP(J$31,ran_dat,+VLOOKUP($B43,ran_act2,listas!$U$7,FALSE),FALSE)/+VLOOKUP($B43,ran_act2,listas!$V$7,FALSE)</f>
        <v>69.67</v>
      </c>
      <c r="L43" s="117">
        <f t="shared" si="27"/>
        <v>0.23533330620218132</v>
      </c>
      <c r="N43" s="117">
        <f>+VLOOKUP(N$31,ran_dat,+VLOOKUP($B43,ran_act2,listas!$R$7,FALSE),FALSE)/+VLOOKUP($B43,ran_act2,listas!$S$7,FALSE)</f>
        <v>255.62276190476194</v>
      </c>
      <c r="O43" s="117">
        <f>+VLOOKUP(N$31,ran_dat,+VLOOKUP($B43,ran_act2,listas!$U$7,FALSE),FALSE)/+VLOOKUP($B43,ran_act2,listas!$V$7,FALSE)</f>
        <v>56.98</v>
      </c>
      <c r="P43" s="117">
        <f t="shared" si="28"/>
        <v>0.22290659710980351</v>
      </c>
      <c r="V43" s="38">
        <f>+datos!A59</f>
        <v>43862</v>
      </c>
      <c r="W43" s="1"/>
      <c r="X43" s="1"/>
      <c r="Y43" s="1"/>
      <c r="Z43" s="1"/>
      <c r="AA43" s="1">
        <f t="shared" si="22"/>
        <v>100</v>
      </c>
      <c r="AB43" s="1">
        <f t="shared" si="15"/>
        <v>295.666</v>
      </c>
      <c r="AC43" s="1">
        <f t="shared" si="16"/>
        <v>13.934791666666666</v>
      </c>
      <c r="AD43" s="1">
        <f t="shared" si="17"/>
        <v>0</v>
      </c>
      <c r="AE43" s="1"/>
      <c r="AF43" s="1">
        <f t="shared" si="18"/>
        <v>155.94198312236287</v>
      </c>
      <c r="AG43" s="1">
        <f t="shared" si="18"/>
        <v>132.52816571442042</v>
      </c>
      <c r="AH43" s="1" t="e">
        <f t="shared" si="18"/>
        <v>#DIV/0!</v>
      </c>
      <c r="AI43" s="1"/>
      <c r="AJ43" s="1">
        <f t="shared" si="19"/>
        <v>76.586182592057554</v>
      </c>
      <c r="AK43" s="1" t="e">
        <f t="shared" si="20"/>
        <v>#DIV/0!</v>
      </c>
      <c r="AL43" s="5">
        <f t="shared" si="21"/>
        <v>0</v>
      </c>
      <c r="AO43" s="1"/>
      <c r="AP43" s="1"/>
      <c r="AQ43" s="1"/>
      <c r="AR43" s="1"/>
      <c r="AS43" s="1"/>
      <c r="AT43" s="1"/>
      <c r="AU43" s="1"/>
      <c r="AV43" s="1"/>
      <c r="AW43" s="1"/>
      <c r="AX43" s="1"/>
      <c r="AY43" s="1"/>
      <c r="AZ43" s="1"/>
      <c r="BA43" s="1"/>
      <c r="BB43" s="1"/>
      <c r="BC43" s="1"/>
      <c r="BD43" s="1"/>
      <c r="BE43" s="1"/>
      <c r="BF43" s="1"/>
      <c r="BG43" s="1"/>
      <c r="BH43" s="1"/>
      <c r="BI43" s="1"/>
    </row>
    <row r="44" spans="2:61" ht="15.75" customHeight="1">
      <c r="B44" s="115" t="s">
        <v>112</v>
      </c>
      <c r="C44" s="115" t="str">
        <f>+VLOOKUP($V$5,ran_dat,+VLOOKUP($B44,ran_act2,listas!$R$7,FALSE),FALSE)</f>
        <v>Mayorista</v>
      </c>
      <c r="D44" s="115" t="str">
        <f>+VLOOKUP($V$5,ran_dat,+VLOOKUP($B44,ran_act2,listas!$U$7,FALSE),FALSE)</f>
        <v>Papa</v>
      </c>
      <c r="F44" s="116">
        <f t="shared" si="24"/>
        <v>0.42723888971372731</v>
      </c>
      <c r="G44" s="116">
        <f t="shared" si="25"/>
        <v>0.49001175088131599</v>
      </c>
      <c r="H44" s="116">
        <f t="shared" si="26"/>
        <v>4.3982028250491217E-2</v>
      </c>
      <c r="J44" s="117">
        <f>+VLOOKUP(J$31,ran_dat,+VLOOKUP($B44,ran_act2,listas!$R$7,FALSE),FALSE)/+VLOOKUP($B44,ran_act2,listas!$S$7,FALSE)</f>
        <v>787.34380952380957</v>
      </c>
      <c r="K44" s="117">
        <f>+VLOOKUP(J$31,ran_dat,+VLOOKUP($B44,ran_act2,listas!$U$7,FALSE),FALSE)/+VLOOKUP($B44,ran_act2,listas!$V$7,FALSE)</f>
        <v>38.04</v>
      </c>
      <c r="L44" s="117">
        <f t="shared" si="27"/>
        <v>4.8314344432334878E-2</v>
      </c>
      <c r="N44" s="117">
        <f>+VLOOKUP(N$31,ran_dat,+VLOOKUP($B44,ran_act2,listas!$R$7,FALSE),FALSE)/+VLOOKUP($B44,ran_act2,listas!$S$7,FALSE)</f>
        <v>551.65523809523813</v>
      </c>
      <c r="O44" s="117">
        <f>+VLOOKUP(N$31,ran_dat,+VLOOKUP($B44,ran_act2,listas!$U$7,FALSE),FALSE)/+VLOOKUP($B44,ran_act2,listas!$V$7,FALSE)</f>
        <v>25.53</v>
      </c>
      <c r="P44" s="117">
        <f t="shared" si="28"/>
        <v>4.6278904353650827E-2</v>
      </c>
      <c r="V44" s="38">
        <f>+datos!A60</f>
        <v>43891</v>
      </c>
      <c r="W44" s="1"/>
      <c r="X44" s="1"/>
      <c r="Y44" s="1"/>
      <c r="Z44" s="1"/>
      <c r="AA44" s="1">
        <f t="shared" si="22"/>
        <v>100</v>
      </c>
      <c r="AB44" s="1">
        <f t="shared" si="15"/>
        <v>305.55149999999998</v>
      </c>
      <c r="AC44" s="1">
        <f t="shared" si="16"/>
        <v>14.074437673130193</v>
      </c>
      <c r="AD44" s="1">
        <f t="shared" si="17"/>
        <v>0</v>
      </c>
      <c r="AE44" s="1"/>
      <c r="AF44" s="1">
        <f t="shared" si="18"/>
        <v>161.15585443037975</v>
      </c>
      <c r="AG44" s="1">
        <f t="shared" si="18"/>
        <v>133.8562823830195</v>
      </c>
      <c r="AH44" s="1" t="e">
        <f t="shared" si="18"/>
        <v>#DIV/0!</v>
      </c>
      <c r="AI44" s="1"/>
      <c r="AJ44" s="1">
        <f t="shared" si="19"/>
        <v>72.700427952639757</v>
      </c>
      <c r="AK44" s="1" t="e">
        <f t="shared" si="20"/>
        <v>#DIV/0!</v>
      </c>
      <c r="AL44" s="5">
        <f t="shared" si="21"/>
        <v>0</v>
      </c>
      <c r="AM44" s="1"/>
      <c r="AN44" s="1"/>
      <c r="AO44" s="1"/>
      <c r="AP44" s="1"/>
      <c r="AQ44" s="1"/>
      <c r="AR44" s="1"/>
      <c r="AS44" s="1"/>
      <c r="AT44" s="1"/>
      <c r="AU44" s="1"/>
      <c r="AV44" s="1"/>
      <c r="AW44" s="1"/>
      <c r="AX44" s="1"/>
      <c r="AY44" s="1"/>
      <c r="AZ44" s="1"/>
      <c r="BA44" s="1"/>
      <c r="BB44" s="1"/>
      <c r="BC44" s="1"/>
      <c r="BD44" s="1"/>
      <c r="BE44" s="1"/>
      <c r="BF44" s="1"/>
      <c r="BG44" s="1"/>
      <c r="BH44" s="1"/>
      <c r="BI44" s="1"/>
    </row>
    <row r="45" spans="2:61" ht="15.75" customHeight="1">
      <c r="B45" s="115" t="s">
        <v>69</v>
      </c>
      <c r="C45" s="115" t="str">
        <f>+VLOOKUP($V$5,ran_dat,+VLOOKUP($B45,ran_act2,listas!$R$7,FALSE),FALSE)</f>
        <v>Mayorista</v>
      </c>
      <c r="D45" s="115" t="str">
        <f>+VLOOKUP($V$5,ran_dat,+VLOOKUP($B45,ran_act2,listas!$U$7,FALSE),FALSE)</f>
        <v>Harina de trigo</v>
      </c>
      <c r="F45" s="116">
        <f t="shared" si="24"/>
        <v>0.23235490832502484</v>
      </c>
      <c r="G45" s="116">
        <f t="shared" si="25"/>
        <v>0.27746947835738067</v>
      </c>
      <c r="H45" s="116">
        <f t="shared" si="26"/>
        <v>3.6608423212817973E-2</v>
      </c>
      <c r="J45" s="117">
        <f>+VLOOKUP(J$31,ran_dat,+VLOOKUP($B45,ran_act2,listas!$R$7,FALSE),FALSE)/+VLOOKUP($B45,ran_act2,listas!$S$7,FALSE)</f>
        <v>520.03499999999997</v>
      </c>
      <c r="K45" s="117">
        <f>+VLOOKUP(J$31,ran_dat,+VLOOKUP($B45,ran_act2,listas!$U$7,FALSE),FALSE)/+VLOOKUP($B45,ran_act2,listas!$V$7,FALSE)</f>
        <v>46.04</v>
      </c>
      <c r="L45" s="117">
        <f t="shared" si="27"/>
        <v>8.8532502620015968E-2</v>
      </c>
      <c r="N45" s="117">
        <f>+VLOOKUP(N$31,ran_dat,+VLOOKUP($B45,ran_act2,listas!$R$7,FALSE),FALSE)/+VLOOKUP($B45,ran_act2,listas!$S$7,FALSE)</f>
        <v>421.98476793248949</v>
      </c>
      <c r="O45" s="117">
        <f>+VLOOKUP(N$31,ran_dat,+VLOOKUP($B45,ran_act2,listas!$U$7,FALSE),FALSE)/+VLOOKUP($B45,ran_act2,listas!$V$7,FALSE)</f>
        <v>36.04</v>
      </c>
      <c r="P45" s="117">
        <f t="shared" si="28"/>
        <v>8.5405926324254894E-2</v>
      </c>
      <c r="V45" s="38">
        <f>+datos!A61</f>
        <v>43922</v>
      </c>
      <c r="W45" s="1"/>
      <c r="X45" s="1"/>
      <c r="Y45" s="1"/>
      <c r="Z45" s="1"/>
      <c r="AA45" s="1">
        <f t="shared" si="22"/>
        <v>100</v>
      </c>
      <c r="AB45" s="1">
        <f t="shared" si="15"/>
        <v>310.12430000000001</v>
      </c>
      <c r="AC45" s="1">
        <f t="shared" si="16"/>
        <v>14.885256578947368</v>
      </c>
      <c r="AD45" s="1">
        <f t="shared" si="17"/>
        <v>0</v>
      </c>
      <c r="AE45" s="1"/>
      <c r="AF45" s="1">
        <f t="shared" si="18"/>
        <v>163.56766877637131</v>
      </c>
      <c r="AG45" s="1">
        <f t="shared" ref="AG45:AH49" si="29">+AC45*100/AC$30</f>
        <v>141.56765294994153</v>
      </c>
      <c r="AH45" s="1" t="e">
        <f t="shared" si="29"/>
        <v>#DIV/0!</v>
      </c>
      <c r="AI45" s="1"/>
      <c r="AJ45" s="1">
        <f>+AG45-AF45+100</f>
        <v>77.999984173570226</v>
      </c>
      <c r="AK45" s="1" t="e">
        <f>+AH45-AF45+100</f>
        <v>#DIV/0!</v>
      </c>
      <c r="AL45" s="5">
        <f t="shared" si="21"/>
        <v>0</v>
      </c>
      <c r="AM45" s="1"/>
      <c r="AN45" s="1"/>
      <c r="AO45" s="1"/>
      <c r="AP45" s="1"/>
      <c r="AQ45" s="1"/>
      <c r="AR45" s="1"/>
      <c r="AS45" s="1"/>
      <c r="AT45" s="1"/>
      <c r="AU45" s="1"/>
      <c r="AV45" s="1"/>
      <c r="AW45" s="1"/>
      <c r="AX45" s="1"/>
      <c r="AY45" s="1"/>
      <c r="AZ45" s="1"/>
      <c r="BA45" s="1"/>
      <c r="BB45" s="1"/>
      <c r="BC45" s="1"/>
      <c r="BD45" s="1"/>
      <c r="BE45" s="1"/>
      <c r="BF45" s="1"/>
      <c r="BG45" s="1"/>
      <c r="BH45" s="1"/>
      <c r="BI45" s="1"/>
    </row>
    <row r="46" spans="2:61" ht="15.75" customHeight="1">
      <c r="B46" s="115" t="s">
        <v>28</v>
      </c>
      <c r="C46" s="115" t="str">
        <f>+VLOOKUP($V$5,ran_dat,+VLOOKUP($B46,ran_act2,listas!$R$7,FALSE),FALSE)</f>
        <v>Promedio</v>
      </c>
      <c r="D46" s="115">
        <f>+VLOOKUP($V$5,ran_dat,+VLOOKUP($B46,ran_act2,listas!$U$7,FALSE),FALSE)</f>
        <v>0</v>
      </c>
      <c r="F46" s="116">
        <f t="shared" si="24"/>
        <v>0.16023458179924813</v>
      </c>
      <c r="G46" s="116" t="e">
        <f t="shared" si="25"/>
        <v>#DIV/0!</v>
      </c>
      <c r="H46" s="116" t="e">
        <f t="shared" si="26"/>
        <v>#DIV/0!</v>
      </c>
      <c r="J46" s="117">
        <f>+VLOOKUP(J$31,ran_dat,+VLOOKUP($B46,ran_act2,listas!$R$7,FALSE),FALSE)/+VLOOKUP($B46,ran_act2,listas!$S$7,FALSE)</f>
        <v>72.483616800000007</v>
      </c>
      <c r="K46" s="117">
        <f>+VLOOKUP(J$31,ran_dat,+VLOOKUP($B46,ran_act2,listas!$U$7,FALSE),FALSE)/+VLOOKUP($B46,ran_act2,listas!$V$7,FALSE)</f>
        <v>0</v>
      </c>
      <c r="L46" s="117">
        <f t="shared" si="27"/>
        <v>0</v>
      </c>
      <c r="N46" s="117">
        <f>+VLOOKUP(N$31,ran_dat,+VLOOKUP($B46,ran_act2,listas!$R$7,FALSE),FALSE)/+VLOOKUP($B46,ran_act2,listas!$S$7,FALSE)</f>
        <v>62.473242857142857</v>
      </c>
      <c r="O46" s="117">
        <f>+VLOOKUP(N$31,ran_dat,+VLOOKUP($B46,ran_act2,listas!$U$7,FALSE),FALSE)/+VLOOKUP($B46,ran_act2,listas!$V$7,FALSE)</f>
        <v>0</v>
      </c>
      <c r="P46" s="117">
        <f t="shared" si="28"/>
        <v>0</v>
      </c>
      <c r="V46" s="38">
        <f>+datos!A62</f>
        <v>43952</v>
      </c>
      <c r="W46" s="1"/>
      <c r="X46" s="1"/>
      <c r="Y46" s="1"/>
      <c r="Z46" s="1"/>
      <c r="AA46" s="1">
        <f t="shared" si="22"/>
        <v>100</v>
      </c>
      <c r="AB46" s="1">
        <f t="shared" si="15"/>
        <v>314.90870000000001</v>
      </c>
      <c r="AC46" s="1">
        <f t="shared" si="16"/>
        <v>14.940822645429362</v>
      </c>
      <c r="AD46" s="1">
        <f t="shared" si="17"/>
        <v>0</v>
      </c>
      <c r="AE46" s="1"/>
      <c r="AF46" s="1">
        <f t="shared" ref="AF46:AF53" si="30">+AB46*100/AB$30</f>
        <v>166.0910864978903</v>
      </c>
      <c r="AG46" s="1">
        <f t="shared" si="29"/>
        <v>142.09611932697678</v>
      </c>
      <c r="AH46" s="1" t="e">
        <f t="shared" si="29"/>
        <v>#DIV/0!</v>
      </c>
      <c r="AI46" s="1"/>
      <c r="AJ46" s="1">
        <f>+AG46-AF46+100</f>
        <v>76.005032829086474</v>
      </c>
      <c r="AK46" s="1" t="e">
        <f>+AH46-AF46+100</f>
        <v>#DIV/0!</v>
      </c>
      <c r="AL46" s="5">
        <f t="shared" si="21"/>
        <v>0</v>
      </c>
      <c r="AM46" s="1"/>
      <c r="AN46" s="1"/>
      <c r="AO46" s="1"/>
      <c r="AP46" s="1"/>
      <c r="AQ46" s="1"/>
      <c r="AR46" s="1"/>
      <c r="AS46" s="1"/>
      <c r="AT46" s="1"/>
      <c r="AU46" s="1"/>
      <c r="AV46" s="1"/>
      <c r="AW46" s="1"/>
      <c r="AX46" s="1"/>
      <c r="AY46" s="1"/>
      <c r="AZ46" s="1"/>
      <c r="BA46" s="1"/>
      <c r="BB46" s="1"/>
      <c r="BC46" s="1"/>
      <c r="BD46" s="1"/>
      <c r="BE46" s="1"/>
      <c r="BF46" s="1"/>
      <c r="BG46" s="1"/>
      <c r="BH46" s="1"/>
      <c r="BI46" s="1"/>
    </row>
    <row r="47" spans="2:61" ht="15.75" customHeight="1">
      <c r="B47" s="115" t="s">
        <v>114</v>
      </c>
      <c r="C47" s="115" t="str">
        <f>+VLOOKUP($V$5,ran_dat,+VLOOKUP($B47,ran_act2,listas!$R$7,FALSE),FALSE)</f>
        <v>Mayorista</v>
      </c>
      <c r="D47" s="115">
        <f>+VLOOKUP($V$5,ran_dat,+VLOOKUP($B47,ran_act2,listas!$U$7,FALSE),FALSE)</f>
        <v>0</v>
      </c>
      <c r="F47" s="116">
        <f t="shared" si="24"/>
        <v>0.39819759775460989</v>
      </c>
      <c r="G47" s="116" t="e">
        <f t="shared" si="25"/>
        <v>#DIV/0!</v>
      </c>
      <c r="H47" s="116" t="e">
        <f t="shared" si="26"/>
        <v>#DIV/0!</v>
      </c>
      <c r="J47" s="117">
        <f>+VLOOKUP(J$31,ran_dat,+VLOOKUP($B47,ran_act2,listas!$R$7,FALSE),FALSE)/+VLOOKUP($B47,ran_act2,listas!$S$7,FALSE)</f>
        <v>231.76190476190476</v>
      </c>
      <c r="K47" s="117">
        <f>+VLOOKUP(J$31,ran_dat,+VLOOKUP($B47,ran_act2,listas!$U$7,FALSE),FALSE)/+VLOOKUP($B47,ran_act2,listas!$V$7,FALSE)</f>
        <v>0</v>
      </c>
      <c r="L47" s="117">
        <f t="shared" si="27"/>
        <v>0</v>
      </c>
      <c r="N47" s="117">
        <f>+VLOOKUP(N$31,ran_dat,+VLOOKUP($B47,ran_act2,listas!$R$7,FALSE),FALSE)/+VLOOKUP($B47,ran_act2,listas!$S$7,FALSE)</f>
        <v>165.75761904761907</v>
      </c>
      <c r="O47" s="117">
        <f>+VLOOKUP(N$31,ran_dat,+VLOOKUP($B47,ran_act2,listas!$U$7,FALSE),FALSE)/+VLOOKUP($B47,ran_act2,listas!$V$7,FALSE)</f>
        <v>0</v>
      </c>
      <c r="P47" s="117">
        <f t="shared" si="28"/>
        <v>0</v>
      </c>
      <c r="V47" s="38">
        <f>+datos!A63</f>
        <v>43983</v>
      </c>
      <c r="W47" s="1"/>
      <c r="X47" s="1"/>
      <c r="Y47" s="1"/>
      <c r="Z47" s="1"/>
      <c r="AA47" s="1">
        <f t="shared" si="22"/>
        <v>100</v>
      </c>
      <c r="AB47" s="1">
        <f t="shared" si="15"/>
        <v>321.97379999999998</v>
      </c>
      <c r="AC47" s="1">
        <f t="shared" si="16"/>
        <v>15.701798245614036</v>
      </c>
      <c r="AD47" s="1">
        <f t="shared" si="17"/>
        <v>0</v>
      </c>
      <c r="AE47" s="1"/>
      <c r="AF47" s="1">
        <f t="shared" si="30"/>
        <v>169.81740506329112</v>
      </c>
      <c r="AG47" s="1">
        <f t="shared" si="29"/>
        <v>149.33345037995184</v>
      </c>
      <c r="AH47" s="1" t="e">
        <f t="shared" si="29"/>
        <v>#DIV/0!</v>
      </c>
      <c r="AI47" s="1"/>
      <c r="AJ47" s="1">
        <f>+AG47-AF47+100</f>
        <v>79.516045316660723</v>
      </c>
      <c r="AK47" s="1" t="e">
        <f>+AH47-AF47+100</f>
        <v>#DIV/0!</v>
      </c>
      <c r="AL47" s="5">
        <f t="shared" si="21"/>
        <v>0</v>
      </c>
      <c r="AM47" s="1"/>
      <c r="AN47" s="1"/>
      <c r="AO47" s="1"/>
      <c r="AP47" s="1"/>
      <c r="AQ47" s="1"/>
      <c r="AR47" s="1"/>
      <c r="AS47" s="1"/>
      <c r="AT47" s="1"/>
      <c r="AU47" s="1"/>
      <c r="AV47" s="1"/>
      <c r="AW47" s="1"/>
      <c r="AX47" s="1"/>
      <c r="AY47" s="1"/>
      <c r="AZ47" s="1"/>
      <c r="BA47" s="1"/>
      <c r="BB47" s="1"/>
      <c r="BC47" s="1"/>
      <c r="BD47" s="1"/>
      <c r="BE47" s="1"/>
      <c r="BF47" s="1"/>
      <c r="BG47" s="1"/>
      <c r="BH47" s="1"/>
      <c r="BI47" s="1"/>
    </row>
    <row r="48" spans="2:61" ht="15.75" customHeight="1">
      <c r="B48" s="115" t="s">
        <v>55</v>
      </c>
      <c r="C48" s="115" t="e">
        <f>+VLOOKUP($V$5,ran_dat,+VLOOKUP($B48,ran_act2,listas!$R$7,FALSE),FALSE)</f>
        <v>#N/A</v>
      </c>
      <c r="D48" s="115" t="e">
        <f>+VLOOKUP($V$5,ran_dat,+VLOOKUP($B48,ran_act2,listas!$U$7,FALSE),FALSE)</f>
        <v>#N/A</v>
      </c>
      <c r="F48" s="116" t="e">
        <f t="shared" si="24"/>
        <v>#N/A</v>
      </c>
      <c r="G48" s="116" t="e">
        <f t="shared" si="25"/>
        <v>#N/A</v>
      </c>
      <c r="H48" s="116" t="e">
        <f t="shared" si="26"/>
        <v>#N/A</v>
      </c>
      <c r="J48" s="117" t="e">
        <f>+VLOOKUP(J$31,ran_dat,+VLOOKUP($B48,ran_act2,listas!$R$7,FALSE),FALSE)/+VLOOKUP($B48,ran_act2,listas!$S$7,FALSE)</f>
        <v>#N/A</v>
      </c>
      <c r="K48" s="117" t="e">
        <f>+VLOOKUP(J$31,ran_dat,+VLOOKUP($B48,ran_act2,listas!$U$7,FALSE),FALSE)/+VLOOKUP($B48,ran_act2,listas!$V$7,FALSE)</f>
        <v>#N/A</v>
      </c>
      <c r="L48" s="117" t="e">
        <f t="shared" si="27"/>
        <v>#N/A</v>
      </c>
      <c r="N48" s="117" t="e">
        <f>+VLOOKUP(N$31,ran_dat,+VLOOKUP($B48,ran_act2,listas!$R$7,FALSE),FALSE)/+VLOOKUP($B48,ran_act2,listas!$S$7,FALSE)</f>
        <v>#N/A</v>
      </c>
      <c r="O48" s="117" t="e">
        <f>+VLOOKUP(N$31,ran_dat,+VLOOKUP($B48,ran_act2,listas!$U$7,FALSE),FALSE)/+VLOOKUP($B48,ran_act2,listas!$V$7,FALSE)</f>
        <v>#N/A</v>
      </c>
      <c r="P48" s="117" t="e">
        <f t="shared" si="28"/>
        <v>#N/A</v>
      </c>
      <c r="V48" s="38">
        <f>+datos!A64</f>
        <v>44013</v>
      </c>
      <c r="W48" s="1"/>
      <c r="X48" s="1"/>
      <c r="Y48" s="1"/>
      <c r="Z48" s="1"/>
      <c r="AA48" s="1">
        <f t="shared" si="22"/>
        <v>100</v>
      </c>
      <c r="AB48" s="1">
        <f t="shared" si="15"/>
        <v>328.20139999999998</v>
      </c>
      <c r="AC48" s="1">
        <f t="shared" si="16"/>
        <v>17.086820802005011</v>
      </c>
      <c r="AD48" s="1">
        <f t="shared" si="17"/>
        <v>0</v>
      </c>
      <c r="AE48" s="1"/>
      <c r="AF48" s="1">
        <f t="shared" si="30"/>
        <v>173.10200421940928</v>
      </c>
      <c r="AG48" s="1">
        <f t="shared" si="29"/>
        <v>162.50583955249132</v>
      </c>
      <c r="AH48" s="1" t="e">
        <f t="shared" si="29"/>
        <v>#DIV/0!</v>
      </c>
      <c r="AI48" s="1"/>
      <c r="AJ48" s="1">
        <f>+AG48-AF48+100</f>
        <v>89.403835333082043</v>
      </c>
      <c r="AK48" s="1" t="e">
        <f>+AH48-AF48+100</f>
        <v>#DIV/0!</v>
      </c>
      <c r="AL48" s="5">
        <f t="shared" si="21"/>
        <v>0</v>
      </c>
      <c r="AM48" s="1"/>
      <c r="AN48" s="1"/>
      <c r="AO48" s="1"/>
      <c r="AP48" s="1"/>
      <c r="AQ48" s="1"/>
      <c r="AR48" s="1"/>
      <c r="AS48" s="1"/>
      <c r="AT48" s="1"/>
      <c r="AU48" s="1"/>
      <c r="AV48" s="1"/>
      <c r="AW48" s="1"/>
      <c r="AX48" s="1"/>
      <c r="AY48" s="1"/>
      <c r="AZ48" s="1"/>
      <c r="BA48" s="1"/>
      <c r="BB48" s="1"/>
      <c r="BC48" s="1"/>
      <c r="BD48" s="1"/>
      <c r="BE48" s="1"/>
      <c r="BF48" s="1"/>
      <c r="BG48" s="1"/>
      <c r="BH48" s="1"/>
      <c r="BI48" s="1"/>
    </row>
    <row r="49" spans="2:61" ht="15.75" customHeight="1">
      <c r="B49" s="115" t="s">
        <v>60</v>
      </c>
      <c r="C49" s="115" t="str">
        <f>+VLOOKUP($V$5,ran_dat,+VLOOKUP($B49,ran_act2,listas!$R$7,FALSE),FALSE)</f>
        <v>Prom Mayorista</v>
      </c>
      <c r="D49" s="115" t="str">
        <f>+VLOOKUP($V$5,ran_dat,+VLOOKUP($B49,ran_act2,listas!$U$7,FALSE),FALSE)</f>
        <v>Arroz blanco simple</v>
      </c>
      <c r="F49" s="116">
        <f t="shared" si="24"/>
        <v>0.71206258890469465</v>
      </c>
      <c r="G49" s="116">
        <f t="shared" si="25"/>
        <v>0.5222772277227723</v>
      </c>
      <c r="H49" s="116">
        <f t="shared" si="26"/>
        <v>-0.11085188264252593</v>
      </c>
      <c r="J49" s="117">
        <f>+VLOOKUP(J$31,ran_dat,+VLOOKUP($B49,ran_act2,listas!$R$7,FALSE),FALSE)/+VLOOKUP($B49,ran_act2,listas!$S$7,FALSE)</f>
        <v>85.97</v>
      </c>
      <c r="K49" s="117">
        <f>+VLOOKUP(J$31,ran_dat,+VLOOKUP($B49,ran_act2,listas!$U$7,FALSE),FALSE)/+VLOOKUP($B49,ran_act2,listas!$V$7,FALSE)</f>
        <v>73.8</v>
      </c>
      <c r="L49" s="117">
        <f t="shared" si="27"/>
        <v>0.85843899034546933</v>
      </c>
      <c r="N49" s="117">
        <f>+VLOOKUP(N$31,ran_dat,+VLOOKUP($B49,ran_act2,listas!$R$7,FALSE),FALSE)/+VLOOKUP($B49,ran_act2,listas!$S$7,FALSE)</f>
        <v>50.214285714285701</v>
      </c>
      <c r="O49" s="117">
        <f>+VLOOKUP(N$31,ran_dat,+VLOOKUP($B49,ran_act2,listas!$U$7,FALSE),FALSE)/+VLOOKUP($B49,ran_act2,listas!$V$7,FALSE)</f>
        <v>48.48</v>
      </c>
      <c r="P49" s="117">
        <f t="shared" si="28"/>
        <v>0.96546230440967307</v>
      </c>
      <c r="V49" s="38">
        <f>+datos!A65</f>
        <v>44044</v>
      </c>
      <c r="W49" s="1"/>
      <c r="X49" s="1"/>
      <c r="Y49" s="1"/>
      <c r="Z49" s="1"/>
      <c r="AA49" s="1">
        <f t="shared" si="22"/>
        <v>100</v>
      </c>
      <c r="AB49" s="1">
        <f t="shared" si="15"/>
        <v>337.06319999999999</v>
      </c>
      <c r="AC49" s="1">
        <f t="shared" si="16"/>
        <v>18.097755789473688</v>
      </c>
      <c r="AD49" s="1">
        <f t="shared" si="17"/>
        <v>0</v>
      </c>
      <c r="AE49" s="1"/>
      <c r="AF49" s="1">
        <f t="shared" si="30"/>
        <v>177.7759493670886</v>
      </c>
      <c r="AG49" s="1">
        <f t="shared" si="29"/>
        <v>172.12043320775499</v>
      </c>
      <c r="AH49" s="1" t="e">
        <f t="shared" si="29"/>
        <v>#DIV/0!</v>
      </c>
      <c r="AI49" s="1"/>
      <c r="AJ49" s="1">
        <f>+AG49-AF49+100</f>
        <v>94.344483840666385</v>
      </c>
      <c r="AK49" s="1" t="e">
        <f>+AH49-AF49+100</f>
        <v>#DIV/0!</v>
      </c>
      <c r="AL49" s="5">
        <f t="shared" si="21"/>
        <v>0</v>
      </c>
      <c r="AM49" s="1"/>
      <c r="AN49" s="1"/>
      <c r="AO49" s="1"/>
      <c r="AP49" s="1"/>
      <c r="AQ49" s="1"/>
      <c r="AR49" s="1"/>
      <c r="AS49" s="1"/>
      <c r="AT49" s="1"/>
      <c r="AU49" s="1"/>
      <c r="AV49" s="1"/>
      <c r="AW49" s="1"/>
      <c r="AX49" s="1"/>
      <c r="AY49" s="1"/>
      <c r="AZ49" s="1"/>
      <c r="BA49" s="1"/>
      <c r="BB49" s="1"/>
      <c r="BC49" s="1"/>
      <c r="BD49" s="1"/>
      <c r="BE49" s="1"/>
      <c r="BF49" s="1"/>
      <c r="BG49" s="1"/>
      <c r="BH49" s="1"/>
      <c r="BI49" s="1"/>
    </row>
    <row r="50" spans="2:61" ht="15.75" customHeight="1">
      <c r="B50" s="125" t="s">
        <v>262</v>
      </c>
      <c r="C50" s="125"/>
      <c r="D50" s="125"/>
      <c r="F50" s="126" t="e">
        <f>+SUBTOTAL(101,F34:F49)</f>
        <v>#N/A</v>
      </c>
      <c r="G50" s="126" t="e">
        <f>+SUBTOTAL(101,G34:G49)</f>
        <v>#DIV/0!</v>
      </c>
      <c r="H50" s="126" t="e">
        <f>+SUBTOTAL(101,H34:H49)</f>
        <v>#DIV/0!</v>
      </c>
      <c r="J50" s="127"/>
      <c r="K50" s="127"/>
      <c r="L50" s="127"/>
      <c r="N50" s="127"/>
      <c r="O50" s="127"/>
      <c r="P50" s="127"/>
      <c r="V50" s="38">
        <f>+datos!A66</f>
        <v>44075</v>
      </c>
      <c r="W50" s="1"/>
      <c r="X50" s="1"/>
      <c r="Y50" s="1"/>
      <c r="Z50" s="1"/>
      <c r="AA50" s="1">
        <f t="shared" si="22"/>
        <v>100</v>
      </c>
      <c r="AB50" s="1">
        <f>+VLOOKUP($V50,ran_dat,AB$1,FALSE)</f>
        <v>346.6207</v>
      </c>
      <c r="AC50" s="1">
        <f t="shared" si="16"/>
        <v>19.915960885167465</v>
      </c>
      <c r="AD50" s="1">
        <f t="shared" si="17"/>
        <v>0</v>
      </c>
      <c r="AE50" s="1"/>
      <c r="AF50" s="1">
        <f t="shared" si="30"/>
        <v>182.81682489451478</v>
      </c>
      <c r="AG50" s="1"/>
      <c r="AH50" s="1"/>
      <c r="AI50" s="1"/>
      <c r="AJ50" s="1"/>
      <c r="AK50" s="1"/>
      <c r="AL50" s="5">
        <f t="shared" si="21"/>
        <v>0</v>
      </c>
      <c r="AM50" s="1"/>
      <c r="AN50" s="1"/>
      <c r="AO50" s="1"/>
      <c r="AP50" s="1"/>
      <c r="AQ50" s="1"/>
      <c r="AR50" s="1"/>
      <c r="AS50" s="1"/>
      <c r="AT50" s="1"/>
      <c r="AU50" s="1"/>
      <c r="AV50" s="1"/>
      <c r="AW50" s="1"/>
      <c r="AX50" s="1"/>
      <c r="AY50" s="1"/>
      <c r="AZ50" s="1"/>
      <c r="BA50" s="1"/>
      <c r="BB50" s="1"/>
      <c r="BC50" s="1"/>
      <c r="BD50" s="1"/>
      <c r="BE50" s="1"/>
      <c r="BF50" s="1"/>
      <c r="BG50" s="1"/>
      <c r="BH50" s="1"/>
      <c r="BI50" s="1"/>
    </row>
    <row r="51" spans="2:61" ht="15.75" customHeight="1">
      <c r="V51" s="38">
        <f>+datos!A67</f>
        <v>44105</v>
      </c>
      <c r="W51" s="1"/>
      <c r="X51" s="1"/>
      <c r="Y51" s="1"/>
      <c r="Z51" s="1"/>
      <c r="AA51" s="1">
        <f t="shared" si="22"/>
        <v>100</v>
      </c>
      <c r="AB51" s="1">
        <f>+VLOOKUP($V51,ran_dat,AB$1,FALSE)</f>
        <v>359.65699999999998</v>
      </c>
      <c r="AC51" s="1">
        <f t="shared" si="16"/>
        <v>23.173777318295748</v>
      </c>
      <c r="AD51" s="1">
        <f t="shared" si="17"/>
        <v>0</v>
      </c>
      <c r="AE51" s="1"/>
      <c r="AF51" s="1">
        <f t="shared" si="30"/>
        <v>189.69251054852319</v>
      </c>
      <c r="AG51" s="1"/>
      <c r="AH51" s="1"/>
      <c r="AI51" s="1"/>
      <c r="AJ51" s="1"/>
      <c r="AK51" s="1"/>
      <c r="AL51" s="5">
        <f t="shared" si="21"/>
        <v>0</v>
      </c>
      <c r="AM51" s="1"/>
      <c r="AN51" s="1"/>
      <c r="AO51" s="1"/>
      <c r="AP51" s="1"/>
      <c r="AQ51" s="1"/>
      <c r="AR51" s="1"/>
      <c r="AS51" s="1"/>
      <c r="AT51" s="1"/>
      <c r="AU51" s="1"/>
      <c r="AV51" s="1"/>
      <c r="AW51" s="1"/>
      <c r="AX51" s="1"/>
      <c r="AY51" s="1"/>
      <c r="AZ51" s="1"/>
      <c r="BA51" s="1"/>
      <c r="BB51" s="1"/>
      <c r="BC51" s="1"/>
      <c r="BD51" s="1"/>
      <c r="BE51" s="1"/>
      <c r="BF51" s="1"/>
      <c r="BG51" s="1"/>
      <c r="BH51" s="1"/>
      <c r="BI51" s="1"/>
    </row>
    <row r="52" spans="2:61">
      <c r="V52" s="38">
        <f>+datos!A68</f>
        <v>44136</v>
      </c>
      <c r="W52" s="1"/>
      <c r="X52" s="1"/>
      <c r="Y52" s="1"/>
      <c r="Z52" s="1"/>
      <c r="AA52" s="1">
        <f t="shared" si="22"/>
        <v>100</v>
      </c>
      <c r="AB52" s="1">
        <f>+VLOOKUP($V52,ran_dat,AB$1,FALSE)</f>
        <v>371</v>
      </c>
      <c r="AC52" s="1">
        <f t="shared" si="16"/>
        <v>24.45400677631579</v>
      </c>
      <c r="AD52" s="1">
        <f t="shared" si="17"/>
        <v>0</v>
      </c>
      <c r="AE52" s="1"/>
      <c r="AF52" s="1">
        <f t="shared" si="30"/>
        <v>195.67510548523208</v>
      </c>
      <c r="AG52" s="1"/>
      <c r="AH52" s="1"/>
      <c r="AI52" s="1"/>
      <c r="AJ52" s="1"/>
      <c r="AK52" s="1"/>
      <c r="AL52" s="5">
        <f t="shared" si="21"/>
        <v>0</v>
      </c>
      <c r="AM52" s="1"/>
      <c r="AN52" s="1"/>
      <c r="AO52" s="1"/>
      <c r="AP52" s="1"/>
      <c r="AQ52" s="1"/>
      <c r="AR52" s="1"/>
      <c r="AS52" s="1"/>
      <c r="AT52" s="1"/>
      <c r="AU52" s="1"/>
      <c r="AV52" s="1"/>
      <c r="AW52" s="1"/>
      <c r="AX52" s="1"/>
      <c r="AY52" s="1"/>
      <c r="AZ52" s="1"/>
      <c r="BA52" s="1"/>
      <c r="BB52" s="1"/>
      <c r="BC52" s="1"/>
      <c r="BD52" s="1"/>
      <c r="BE52" s="1"/>
      <c r="BF52" s="1"/>
      <c r="BG52" s="1"/>
      <c r="BH52" s="1"/>
      <c r="BI52" s="1"/>
    </row>
    <row r="53" spans="2:61">
      <c r="V53" s="38">
        <f>+datos!A69</f>
        <v>44166</v>
      </c>
      <c r="W53" s="1"/>
      <c r="X53" s="1"/>
      <c r="Y53" s="1"/>
      <c r="Z53" s="1"/>
      <c r="AA53" s="1">
        <f t="shared" si="22"/>
        <v>100</v>
      </c>
      <c r="AB53" s="1">
        <f>+VLOOKUP($V53,ran_dat,AB$1,FALSE)</f>
        <v>385.9</v>
      </c>
      <c r="AC53" s="1">
        <f t="shared" si="16"/>
        <v>25.233329970760227</v>
      </c>
      <c r="AD53" s="1">
        <f t="shared" si="17"/>
        <v>0</v>
      </c>
      <c r="AE53" s="1"/>
      <c r="AF53" s="1">
        <f t="shared" si="30"/>
        <v>203.53375527426161</v>
      </c>
      <c r="AG53" s="1"/>
      <c r="AH53" s="1"/>
      <c r="AI53" s="1"/>
      <c r="AJ53" s="1"/>
      <c r="AK53" s="1"/>
      <c r="AL53" s="5">
        <f t="shared" si="21"/>
        <v>0</v>
      </c>
      <c r="AM53" s="1"/>
      <c r="AN53" s="1"/>
      <c r="AO53" s="1"/>
      <c r="AP53" s="1"/>
      <c r="AQ53" s="1"/>
      <c r="AR53" s="1"/>
      <c r="AS53" s="1"/>
      <c r="AT53" s="1"/>
      <c r="AU53" s="1"/>
      <c r="AV53" s="1"/>
      <c r="AW53" s="1"/>
      <c r="AX53" s="1"/>
      <c r="AY53" s="1"/>
      <c r="AZ53" s="1"/>
      <c r="BA53" s="1"/>
      <c r="BB53" s="1"/>
      <c r="BC53" s="1"/>
      <c r="BD53" s="1"/>
      <c r="BE53" s="1"/>
      <c r="BF53" s="1"/>
      <c r="BG53" s="1"/>
      <c r="BH53" s="1"/>
      <c r="BI53" s="1"/>
    </row>
    <row r="54" spans="2:61">
      <c r="V54" s="38"/>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2:61">
      <c r="V55" s="38"/>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2:61">
      <c r="V56" s="38"/>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2:61">
      <c r="V57" s="38"/>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2:61">
      <c r="V58" s="38"/>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2:61">
      <c r="V59" s="38"/>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2:61">
      <c r="V60" s="38"/>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2:61">
      <c r="V61" s="38"/>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2:61">
      <c r="V62" s="38"/>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2:61">
      <c r="V63" s="38"/>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2:61">
      <c r="V64" s="38"/>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22:61">
      <c r="V65" s="38"/>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22:61">
      <c r="V66" s="38"/>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22:61">
      <c r="V67" s="38"/>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22:61">
      <c r="V68" s="38"/>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22:61">
      <c r="V69" s="38"/>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22:61">
      <c r="V70" s="38"/>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22:61">
      <c r="V71" s="38"/>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22:61">
      <c r="V72" s="38"/>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22:61">
      <c r="V73" s="38"/>
      <c r="W73" s="1"/>
      <c r="X73" s="1"/>
      <c r="Y73" s="1"/>
      <c r="Z73" s="1"/>
      <c r="AA73" s="1"/>
      <c r="AB73" s="1"/>
      <c r="AC73" s="1"/>
      <c r="AD73" s="1"/>
      <c r="AE73" s="1"/>
      <c r="AF73" s="1"/>
      <c r="AG73" s="1"/>
      <c r="AH73" s="1"/>
      <c r="AI73" s="1"/>
      <c r="AJ73" s="1"/>
      <c r="AK73" s="1"/>
      <c r="AL73" s="1"/>
      <c r="AM73" s="1"/>
      <c r="AN73" s="1"/>
    </row>
    <row r="74" spans="22:61">
      <c r="V74" s="38"/>
      <c r="W74" s="1"/>
      <c r="X74" s="1"/>
      <c r="Y74" s="1"/>
      <c r="Z74" s="1"/>
      <c r="AA74" s="1"/>
      <c r="AB74" s="1"/>
      <c r="AC74" s="1"/>
      <c r="AD74" s="1"/>
      <c r="AE74" s="1"/>
      <c r="AF74" s="1"/>
      <c r="AG74" s="1"/>
      <c r="AH74" s="1"/>
      <c r="AI74" s="1"/>
      <c r="AJ74" s="1"/>
      <c r="AK74" s="1"/>
      <c r="AL74" s="1"/>
      <c r="AM74" s="1"/>
      <c r="AN74" s="1"/>
    </row>
    <row r="75" spans="22:61">
      <c r="V75" s="38"/>
      <c r="W75" s="1"/>
      <c r="X75" s="1"/>
      <c r="Y75" s="1"/>
      <c r="Z75" s="1"/>
      <c r="AA75" s="1"/>
      <c r="AB75" s="1"/>
      <c r="AC75" s="1"/>
      <c r="AD75" s="1"/>
      <c r="AE75" s="1"/>
      <c r="AF75" s="1"/>
      <c r="AG75" s="1"/>
      <c r="AH75" s="1"/>
      <c r="AI75" s="1"/>
      <c r="AJ75" s="1"/>
      <c r="AK75" s="1"/>
      <c r="AL75" s="1"/>
      <c r="AM75" s="1"/>
      <c r="AN75" s="1"/>
    </row>
    <row r="76" spans="22:61">
      <c r="V76" s="38"/>
      <c r="W76" s="1"/>
      <c r="X76" s="1"/>
      <c r="Y76" s="1"/>
      <c r="Z76" s="1"/>
      <c r="AA76" s="1"/>
      <c r="AB76" s="1"/>
      <c r="AC76" s="1"/>
      <c r="AD76" s="1"/>
      <c r="AE76" s="1"/>
      <c r="AF76" s="1"/>
      <c r="AG76" s="1"/>
      <c r="AH76" s="1"/>
      <c r="AI76" s="1"/>
      <c r="AJ76" s="1"/>
      <c r="AK76" s="1"/>
      <c r="AL76" s="1"/>
      <c r="AM76" s="1"/>
      <c r="AN76" s="1"/>
    </row>
    <row r="77" spans="22:61">
      <c r="V77" s="38"/>
      <c r="W77" s="1"/>
      <c r="X77" s="1"/>
      <c r="Y77" s="1"/>
      <c r="Z77" s="1"/>
      <c r="AA77" s="1"/>
      <c r="AB77" s="1"/>
      <c r="AC77" s="1"/>
      <c r="AD77" s="1"/>
      <c r="AE77" s="1"/>
      <c r="AF77" s="1"/>
      <c r="AG77" s="1"/>
      <c r="AH77" s="1"/>
      <c r="AI77" s="1"/>
      <c r="AJ77" s="1"/>
      <c r="AK77" s="1"/>
      <c r="AL77" s="1"/>
      <c r="AM77" s="1"/>
      <c r="AN77" s="1"/>
    </row>
    <row r="78" spans="22:61">
      <c r="V78" s="38"/>
      <c r="W78" s="1"/>
      <c r="X78" s="1"/>
      <c r="Y78" s="1"/>
      <c r="Z78" s="1"/>
      <c r="AA78" s="1"/>
      <c r="AB78" s="1"/>
      <c r="AC78" s="1"/>
      <c r="AD78" s="1"/>
      <c r="AE78" s="1"/>
      <c r="AF78" s="1"/>
      <c r="AG78" s="1"/>
      <c r="AH78" s="1"/>
      <c r="AI78" s="1"/>
      <c r="AJ78" s="1"/>
      <c r="AK78" s="1"/>
      <c r="AL78" s="1"/>
      <c r="AM78" s="1"/>
      <c r="AN78" s="1"/>
    </row>
    <row r="79" spans="22:61">
      <c r="V79" s="38"/>
      <c r="W79" s="1"/>
      <c r="X79" s="1"/>
      <c r="Y79" s="1"/>
      <c r="Z79" s="1"/>
      <c r="AA79" s="1"/>
      <c r="AB79" s="1"/>
      <c r="AC79" s="1"/>
      <c r="AD79" s="1"/>
      <c r="AE79" s="1"/>
      <c r="AF79" s="1"/>
      <c r="AG79" s="1"/>
      <c r="AH79" s="1"/>
      <c r="AI79" s="1"/>
      <c r="AJ79" s="1"/>
      <c r="AK79" s="1"/>
      <c r="AL79" s="1"/>
      <c r="AM79" s="1"/>
      <c r="AN79" s="1"/>
    </row>
    <row r="80" spans="22:61">
      <c r="V80" s="38"/>
      <c r="W80" s="1"/>
      <c r="X80" s="1"/>
      <c r="Y80" s="1"/>
      <c r="Z80" s="1"/>
      <c r="AA80" s="1"/>
      <c r="AB80" s="1"/>
      <c r="AC80" s="1"/>
      <c r="AD80" s="1"/>
      <c r="AE80" s="1"/>
      <c r="AF80" s="1"/>
      <c r="AG80" s="1"/>
      <c r="AH80" s="1"/>
      <c r="AI80" s="1"/>
      <c r="AJ80" s="1"/>
      <c r="AK80" s="1"/>
      <c r="AL80" s="1"/>
      <c r="AM80" s="1"/>
      <c r="AN80" s="1"/>
    </row>
    <row r="81" spans="22:40">
      <c r="V81" s="38"/>
      <c r="W81" s="1"/>
      <c r="X81" s="1"/>
      <c r="Y81" s="1"/>
      <c r="Z81" s="1"/>
      <c r="AA81" s="1"/>
      <c r="AB81" s="1"/>
      <c r="AC81" s="1"/>
      <c r="AD81" s="1"/>
      <c r="AE81" s="1"/>
      <c r="AF81" s="1"/>
      <c r="AG81" s="1"/>
      <c r="AH81" s="1"/>
      <c r="AI81" s="1"/>
      <c r="AJ81" s="1"/>
      <c r="AK81" s="1"/>
      <c r="AL81" s="1"/>
      <c r="AM81" s="1"/>
      <c r="AN81" s="1"/>
    </row>
    <row r="82" spans="22:40">
      <c r="V82" s="38"/>
      <c r="W82" s="1"/>
      <c r="X82" s="1"/>
      <c r="Y82" s="1"/>
      <c r="Z82" s="1"/>
      <c r="AA82" s="1"/>
      <c r="AB82" s="1"/>
      <c r="AC82" s="1"/>
      <c r="AD82" s="1"/>
      <c r="AE82" s="1"/>
      <c r="AF82" s="1"/>
      <c r="AG82" s="1"/>
      <c r="AH82" s="1"/>
      <c r="AI82" s="1"/>
      <c r="AJ82" s="1"/>
      <c r="AK82" s="1"/>
      <c r="AL82" s="1"/>
      <c r="AM82" s="1"/>
      <c r="AN82" s="1"/>
    </row>
    <row r="83" spans="22:40">
      <c r="V83" s="38"/>
      <c r="W83" s="1"/>
      <c r="X83" s="1"/>
      <c r="Y83" s="1"/>
      <c r="Z83" s="1"/>
      <c r="AA83" s="1"/>
      <c r="AB83" s="1"/>
      <c r="AC83" s="1"/>
      <c r="AD83" s="1"/>
      <c r="AE83" s="1"/>
      <c r="AF83" s="1"/>
      <c r="AG83" s="1"/>
      <c r="AH83" s="1"/>
      <c r="AI83" s="1"/>
      <c r="AJ83" s="1"/>
      <c r="AK83" s="1"/>
      <c r="AL83" s="1"/>
      <c r="AM83" s="1"/>
      <c r="AN83" s="1"/>
    </row>
    <row r="84" spans="22:40">
      <c r="V84" s="38"/>
      <c r="W84" s="1"/>
      <c r="X84" s="1"/>
      <c r="Y84" s="1"/>
      <c r="Z84" s="1"/>
      <c r="AA84" s="1"/>
      <c r="AB84" s="1"/>
      <c r="AC84" s="1"/>
      <c r="AD84" s="1"/>
      <c r="AE84" s="1"/>
      <c r="AF84" s="1"/>
      <c r="AG84" s="1"/>
      <c r="AH84" s="1"/>
      <c r="AI84" s="1"/>
      <c r="AJ84" s="1"/>
      <c r="AK84" s="1"/>
      <c r="AL84" s="1"/>
      <c r="AM84" s="1"/>
      <c r="AN84" s="1"/>
    </row>
    <row r="85" spans="22:40">
      <c r="V85" s="38"/>
      <c r="W85" s="1"/>
      <c r="X85" s="1"/>
      <c r="Y85" s="1"/>
      <c r="Z85" s="1"/>
      <c r="AA85" s="1"/>
      <c r="AB85" s="1"/>
      <c r="AC85" s="1"/>
      <c r="AD85" s="1"/>
      <c r="AE85" s="1"/>
      <c r="AF85" s="1"/>
      <c r="AG85" s="1"/>
      <c r="AH85" s="1"/>
      <c r="AI85" s="1"/>
      <c r="AJ85" s="1"/>
      <c r="AK85" s="1"/>
      <c r="AL85" s="1"/>
      <c r="AM85" s="1"/>
      <c r="AN85" s="1"/>
    </row>
    <row r="86" spans="22:40">
      <c r="V86" s="38"/>
      <c r="W86" s="1"/>
      <c r="X86" s="1"/>
      <c r="Y86" s="1"/>
      <c r="Z86" s="1"/>
      <c r="AA86" s="1"/>
      <c r="AB86" s="1"/>
      <c r="AC86" s="1"/>
      <c r="AD86" s="1"/>
      <c r="AE86" s="1"/>
      <c r="AF86" s="1"/>
      <c r="AG86" s="1"/>
      <c r="AH86" s="1"/>
      <c r="AI86" s="1"/>
      <c r="AJ86" s="1"/>
      <c r="AK86" s="1"/>
      <c r="AL86" s="1"/>
      <c r="AM86" s="1"/>
      <c r="AN86" s="1"/>
    </row>
    <row r="87" spans="22:40">
      <c r="V87" s="38"/>
      <c r="W87" s="1"/>
      <c r="X87" s="1"/>
      <c r="Y87" s="1"/>
      <c r="Z87" s="1"/>
      <c r="AA87" s="1"/>
      <c r="AB87" s="1"/>
      <c r="AC87" s="1"/>
      <c r="AD87" s="1"/>
      <c r="AE87" s="1"/>
      <c r="AF87" s="1"/>
      <c r="AG87" s="1"/>
      <c r="AH87" s="1"/>
      <c r="AI87" s="1"/>
      <c r="AJ87" s="1"/>
      <c r="AK87" s="1"/>
      <c r="AL87" s="1"/>
      <c r="AM87" s="1"/>
      <c r="AN87" s="1"/>
    </row>
    <row r="88" spans="22:40">
      <c r="V88" s="38"/>
      <c r="W88" s="1"/>
      <c r="X88" s="1"/>
      <c r="Y88" s="1"/>
      <c r="Z88" s="1"/>
      <c r="AA88" s="1"/>
      <c r="AB88" s="1"/>
      <c r="AC88" s="1"/>
      <c r="AD88" s="1"/>
      <c r="AE88" s="1"/>
      <c r="AF88" s="1"/>
      <c r="AG88" s="1"/>
      <c r="AH88" s="1"/>
      <c r="AI88" s="1"/>
      <c r="AJ88" s="1"/>
      <c r="AK88" s="1"/>
      <c r="AL88" s="1"/>
    </row>
    <row r="89" spans="22:40">
      <c r="V89" s="38"/>
      <c r="W89" s="1"/>
      <c r="X89" s="1"/>
      <c r="Y89" s="1"/>
      <c r="Z89" s="1"/>
      <c r="AA89" s="1"/>
      <c r="AB89" s="1"/>
      <c r="AC89" s="1"/>
      <c r="AD89" s="1"/>
      <c r="AE89" s="1"/>
      <c r="AF89" s="1"/>
      <c r="AG89" s="1"/>
      <c r="AH89" s="1"/>
      <c r="AI89" s="1"/>
      <c r="AJ89" s="1"/>
      <c r="AK89" s="1"/>
      <c r="AL89" s="1"/>
    </row>
    <row r="90" spans="22:40">
      <c r="V90" s="38"/>
      <c r="W90" s="1"/>
      <c r="X90" s="1"/>
      <c r="Y90" s="1"/>
      <c r="Z90" s="1"/>
      <c r="AA90" s="1"/>
      <c r="AB90" s="1"/>
      <c r="AC90" s="1"/>
      <c r="AD90" s="1"/>
      <c r="AE90" s="1"/>
      <c r="AF90" s="1"/>
      <c r="AG90" s="1"/>
      <c r="AH90" s="1"/>
      <c r="AI90" s="1"/>
      <c r="AJ90" s="1"/>
      <c r="AK90" s="1"/>
      <c r="AL90" s="1"/>
    </row>
    <row r="91" spans="22:40">
      <c r="V91" s="38"/>
      <c r="W91" s="1"/>
      <c r="X91" s="1"/>
      <c r="Y91" s="1"/>
      <c r="Z91" s="1"/>
      <c r="AA91" s="1"/>
      <c r="AB91" s="1"/>
      <c r="AC91" s="1"/>
      <c r="AD91" s="1"/>
      <c r="AE91" s="1"/>
      <c r="AF91" s="1"/>
      <c r="AG91" s="1"/>
      <c r="AH91" s="1"/>
      <c r="AI91" s="1"/>
      <c r="AJ91" s="1"/>
      <c r="AK91" s="1"/>
      <c r="AL91" s="1"/>
    </row>
    <row r="92" spans="22:40">
      <c r="V92" s="38"/>
      <c r="W92" s="1"/>
      <c r="X92" s="1"/>
      <c r="Y92" s="1"/>
      <c r="Z92" s="1"/>
      <c r="AA92" s="1"/>
      <c r="AB92" s="1"/>
      <c r="AC92" s="1"/>
      <c r="AD92" s="1"/>
      <c r="AE92" s="1"/>
      <c r="AF92" s="1"/>
      <c r="AG92" s="1"/>
      <c r="AH92" s="1"/>
      <c r="AI92" s="1"/>
      <c r="AJ92" s="1"/>
      <c r="AK92" s="1"/>
      <c r="AL92" s="1"/>
    </row>
    <row r="93" spans="22:40">
      <c r="V93" s="38"/>
    </row>
    <row r="94" spans="22:40">
      <c r="V94" s="38"/>
    </row>
    <row r="95" spans="22:40">
      <c r="V95" s="38"/>
    </row>
    <row r="96" spans="22:40">
      <c r="V96" s="38"/>
    </row>
    <row r="97" spans="22:22">
      <c r="V97" s="38"/>
    </row>
    <row r="98" spans="22:22">
      <c r="V98" s="38"/>
    </row>
    <row r="99" spans="22:22">
      <c r="V99" s="38"/>
    </row>
    <row r="100" spans="22:22">
      <c r="V100" s="38"/>
    </row>
    <row r="101" spans="22:22">
      <c r="V101" s="38"/>
    </row>
    <row r="102" spans="22:22">
      <c r="V102" s="38"/>
    </row>
    <row r="103" spans="22:22">
      <c r="V103" s="38"/>
    </row>
    <row r="104" spans="22:22">
      <c r="V104" s="38"/>
    </row>
    <row r="105" spans="22:22">
      <c r="V105" s="38"/>
    </row>
    <row r="106" spans="22:22">
      <c r="V106" s="38"/>
    </row>
    <row r="107" spans="22:22">
      <c r="V107" s="38"/>
    </row>
    <row r="108" spans="22:22">
      <c r="V108" s="38"/>
    </row>
    <row r="109" spans="22:22">
      <c r="V109" s="38"/>
    </row>
    <row r="110" spans="22:22">
      <c r="V110" s="38"/>
    </row>
    <row r="111" spans="22:22">
      <c r="V111" s="38"/>
    </row>
    <row r="112" spans="22:22">
      <c r="V112" s="38"/>
    </row>
    <row r="113" spans="22:22">
      <c r="V113" s="38"/>
    </row>
    <row r="114" spans="22:22">
      <c r="V114" s="38"/>
    </row>
    <row r="115" spans="22:22">
      <c r="V115" s="38"/>
    </row>
    <row r="116" spans="22:22">
      <c r="V116" s="38"/>
    </row>
    <row r="117" spans="22:22">
      <c r="V117" s="38"/>
    </row>
    <row r="118" spans="22:22">
      <c r="V118" s="38"/>
    </row>
    <row r="119" spans="22:22">
      <c r="V119" s="38"/>
    </row>
    <row r="120" spans="22:22">
      <c r="V120" s="38"/>
    </row>
    <row r="121" spans="22:22">
      <c r="V121" s="38"/>
    </row>
    <row r="122" spans="22:22">
      <c r="V122" s="38"/>
    </row>
    <row r="123" spans="22:22">
      <c r="V123" s="38"/>
    </row>
    <row r="124" spans="22:22">
      <c r="V124" s="38"/>
    </row>
    <row r="125" spans="22:22">
      <c r="V125" s="38"/>
    </row>
    <row r="126" spans="22:22">
      <c r="V126" s="38"/>
    </row>
    <row r="127" spans="22:22">
      <c r="V127" s="38"/>
    </row>
    <row r="128" spans="22:22">
      <c r="V128" s="38"/>
    </row>
    <row r="129" spans="22:22">
      <c r="V129" s="38"/>
    </row>
    <row r="130" spans="22:22">
      <c r="V130" s="38"/>
    </row>
    <row r="131" spans="22:22">
      <c r="V131" s="38"/>
    </row>
    <row r="132" spans="22:22">
      <c r="V132" s="38"/>
    </row>
    <row r="133" spans="22:22">
      <c r="V133" s="38"/>
    </row>
    <row r="134" spans="22:22">
      <c r="V134" s="38"/>
    </row>
    <row r="135" spans="22:22">
      <c r="V135" s="38"/>
    </row>
    <row r="136" spans="22:22">
      <c r="V136" s="38"/>
    </row>
    <row r="137" spans="22:22">
      <c r="V137" s="38"/>
    </row>
    <row r="138" spans="22:22">
      <c r="V138" s="38"/>
    </row>
    <row r="139" spans="22:22">
      <c r="V139" s="38"/>
    </row>
    <row r="140" spans="22:22">
      <c r="V140" s="38"/>
    </row>
    <row r="141" spans="22:22">
      <c r="V141" s="38"/>
    </row>
    <row r="142" spans="22:22">
      <c r="V142" s="38"/>
    </row>
    <row r="143" spans="22:22">
      <c r="V143" s="38"/>
    </row>
    <row r="144" spans="22:22">
      <c r="V144" s="38"/>
    </row>
    <row r="145" spans="22:22">
      <c r="V145" s="38"/>
    </row>
    <row r="146" spans="22:22">
      <c r="V146" s="38"/>
    </row>
    <row r="147" spans="22:22">
      <c r="V147" s="38"/>
    </row>
    <row r="148" spans="22:22">
      <c r="V148" s="38"/>
    </row>
    <row r="149" spans="22:22">
      <c r="V149" s="38"/>
    </row>
    <row r="150" spans="22:22">
      <c r="V150" s="36"/>
    </row>
    <row r="151" spans="22:22">
      <c r="V151" s="36"/>
    </row>
    <row r="152" spans="22:22">
      <c r="V152" s="36"/>
    </row>
    <row r="153" spans="22:22">
      <c r="V153" s="36"/>
    </row>
    <row r="154" spans="22:22">
      <c r="V154" s="36"/>
    </row>
    <row r="155" spans="22:22">
      <c r="V155" s="36"/>
    </row>
    <row r="156" spans="22:22">
      <c r="V156" s="36"/>
    </row>
    <row r="157" spans="22:22">
      <c r="V157" s="36"/>
    </row>
    <row r="158" spans="22:22">
      <c r="V158" s="36"/>
    </row>
    <row r="159" spans="22:22">
      <c r="V159" s="36"/>
    </row>
    <row r="160" spans="22:22">
      <c r="V160" s="36"/>
    </row>
    <row r="161" spans="22:22">
      <c r="V161" s="36"/>
    </row>
    <row r="162" spans="22:22">
      <c r="V162" s="36"/>
    </row>
    <row r="163" spans="22:22">
      <c r="V163" s="36"/>
    </row>
    <row r="164" spans="22:22">
      <c r="V164" s="36"/>
    </row>
    <row r="165" spans="22:22">
      <c r="V165" s="36"/>
    </row>
    <row r="166" spans="22:22">
      <c r="V166" s="36"/>
    </row>
    <row r="167" spans="22:22">
      <c r="V167" s="36"/>
    </row>
    <row r="168" spans="22:22">
      <c r="V168" s="36"/>
    </row>
    <row r="169" spans="22:22">
      <c r="V169" s="36"/>
    </row>
    <row r="170" spans="22:22">
      <c r="V170" s="36"/>
    </row>
    <row r="171" spans="22:22">
      <c r="V171" s="36"/>
    </row>
    <row r="172" spans="22:22">
      <c r="V172" s="36"/>
    </row>
    <row r="173" spans="22:22">
      <c r="V173" s="36"/>
    </row>
    <row r="174" spans="22:22">
      <c r="V174" s="36"/>
    </row>
    <row r="175" spans="22:22">
      <c r="V175" s="36"/>
    </row>
    <row r="176" spans="22:22">
      <c r="V176" s="36"/>
    </row>
    <row r="177" spans="22:22">
      <c r="V177" s="36"/>
    </row>
    <row r="178" spans="22:22">
      <c r="V178" s="36"/>
    </row>
    <row r="179" spans="22:22">
      <c r="V179" s="36"/>
    </row>
    <row r="180" spans="22:22">
      <c r="V180" s="36"/>
    </row>
    <row r="181" spans="22:22">
      <c r="V181" s="36"/>
    </row>
    <row r="182" spans="22:22">
      <c r="V182" s="36"/>
    </row>
    <row r="183" spans="22:22">
      <c r="V183" s="36"/>
    </row>
    <row r="184" spans="22:22">
      <c r="V184" s="36"/>
    </row>
    <row r="185" spans="22:22">
      <c r="V185" s="36"/>
    </row>
    <row r="186" spans="22:22">
      <c r="V186" s="36"/>
    </row>
    <row r="187" spans="22:22">
      <c r="V187" s="36"/>
    </row>
    <row r="188" spans="22:22">
      <c r="V188" s="36"/>
    </row>
    <row r="189" spans="22:22">
      <c r="V189" s="36"/>
    </row>
    <row r="190" spans="22:22">
      <c r="V190" s="36"/>
    </row>
    <row r="191" spans="22:22">
      <c r="V191" s="36"/>
    </row>
    <row r="192" spans="22:22">
      <c r="V192" s="36"/>
    </row>
    <row r="193" spans="22:22">
      <c r="V193" s="36"/>
    </row>
    <row r="194" spans="22:22">
      <c r="V194" s="36"/>
    </row>
    <row r="195" spans="22:22">
      <c r="V195" s="36"/>
    </row>
    <row r="196" spans="22:22">
      <c r="V196" s="36"/>
    </row>
    <row r="197" spans="22:22">
      <c r="V197" s="36"/>
    </row>
    <row r="198" spans="22:22">
      <c r="V198" s="36"/>
    </row>
    <row r="199" spans="22:22">
      <c r="V199" s="36"/>
    </row>
    <row r="200" spans="22:22">
      <c r="V200" s="36"/>
    </row>
    <row r="201" spans="22:22">
      <c r="V201" s="36"/>
    </row>
    <row r="202" spans="22:22">
      <c r="V202" s="36"/>
    </row>
    <row r="203" spans="22:22">
      <c r="V203" s="36"/>
    </row>
    <row r="204" spans="22:22">
      <c r="V204" s="36"/>
    </row>
    <row r="205" spans="22:22">
      <c r="V205" s="36"/>
    </row>
  </sheetData>
  <mergeCells count="1">
    <mergeCell ref="C3:D3"/>
  </mergeCells>
  <dataValidations count="2">
    <dataValidation type="list" allowBlank="1" showInputMessage="1" showErrorMessage="1" sqref="B2:E2" xr:uid="{00000000-0002-0000-0300-000000000000}">
      <formula1>lis_act2</formula1>
    </dataValidation>
    <dataValidation type="list" allowBlank="1" showInputMessage="1" showErrorMessage="1" sqref="P1" xr:uid="{00000000-0002-0000-0300-000001000000}">
      <formula1>lis_dat</formula1>
    </dataValidation>
  </dataValidations>
  <pageMargins left="0.70866141732283472" right="0.70866141732283472" top="0.74803149606299213" bottom="0.74803149606299213" header="0.31496062992125984" footer="0.31496062992125984"/>
  <pageSetup paperSize="9" scale="6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EE3FD9-FBE9-4E04-ADD6-C5F89FA028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46</vt:i4>
      </vt:variant>
      <vt:variant>
        <vt:lpstr>Rangos con nombre</vt:lpstr>
      </vt:variant>
      <vt:variant>
        <vt:i4>45</vt:i4>
      </vt:variant>
    </vt:vector>
  </HeadingPairs>
  <TitlesOfParts>
    <vt:vector size="91" baseType="lpstr">
      <vt:lpstr>Guia</vt:lpstr>
      <vt:lpstr>Comex</vt:lpstr>
      <vt:lpstr>PP</vt:lpstr>
      <vt:lpstr>datos</vt:lpstr>
      <vt:lpstr>historia</vt:lpstr>
      <vt:lpstr>Calendar</vt:lpstr>
      <vt:lpstr>Nota</vt:lpstr>
      <vt:lpstr>Ago26</vt:lpstr>
      <vt:lpstr>Jul26</vt:lpstr>
      <vt:lpstr>Jun26</vt:lpstr>
      <vt:lpstr>May26</vt:lpstr>
      <vt:lpstr>Abr26</vt:lpstr>
      <vt:lpstr>Mar26</vt:lpstr>
      <vt:lpstr>Feb26</vt:lpstr>
      <vt:lpstr>Ene26</vt:lpstr>
      <vt:lpstr>Dic25</vt:lpstr>
      <vt:lpstr>Nov25</vt:lpstr>
      <vt:lpstr>Oct25</vt:lpstr>
      <vt:lpstr>Sep25</vt:lpstr>
      <vt:lpstr>Ago25</vt:lpstr>
      <vt:lpstr>Jul25</vt:lpstr>
      <vt:lpstr>Jun25</vt:lpstr>
      <vt:lpstr>May25</vt:lpstr>
      <vt:lpstr>Abr25</vt:lpstr>
      <vt:lpstr>Mar25</vt:lpstr>
      <vt:lpstr>Feb25</vt:lpstr>
      <vt:lpstr>Ene25</vt:lpstr>
      <vt:lpstr>Dic24</vt:lpstr>
      <vt:lpstr>Nov24</vt:lpstr>
      <vt:lpstr>Oct24</vt:lpstr>
      <vt:lpstr>Sep24</vt:lpstr>
      <vt:lpstr>Ago24</vt:lpstr>
      <vt:lpstr>Jul24</vt:lpstr>
      <vt:lpstr>Jun24</vt:lpstr>
      <vt:lpstr>May24</vt:lpstr>
      <vt:lpstr>Abr24</vt:lpstr>
      <vt:lpstr>Mar24</vt:lpstr>
      <vt:lpstr>Feb24</vt:lpstr>
      <vt:lpstr>Ene24</vt:lpstr>
      <vt:lpstr>Dic23</vt:lpstr>
      <vt:lpstr>Nov23</vt:lpstr>
      <vt:lpstr>listas</vt:lpstr>
      <vt:lpstr>pond CM</vt:lpstr>
      <vt:lpstr>costos</vt:lpstr>
      <vt:lpstr>precio-costo</vt:lpstr>
      <vt:lpstr>prod-cons</vt:lpstr>
      <vt:lpstr>'Abr24'!Área_de_impresión</vt:lpstr>
      <vt:lpstr>'Abr25'!Área_de_impresión</vt:lpstr>
      <vt:lpstr>'Abr26'!Área_de_impresión</vt:lpstr>
      <vt:lpstr>'Ago24'!Área_de_impresión</vt:lpstr>
      <vt:lpstr>'Ago25'!Área_de_impresión</vt:lpstr>
      <vt:lpstr>'Ago26'!Área_de_impresión</vt:lpstr>
      <vt:lpstr>'Dic23'!Área_de_impresión</vt:lpstr>
      <vt:lpstr>'Dic24'!Área_de_impresión</vt:lpstr>
      <vt:lpstr>'Dic25'!Área_de_impresión</vt:lpstr>
      <vt:lpstr>'Ene24'!Área_de_impresión</vt:lpstr>
      <vt:lpstr>'Ene25'!Área_de_impresión</vt:lpstr>
      <vt:lpstr>'Ene26'!Área_de_impresión</vt:lpstr>
      <vt:lpstr>'Feb24'!Área_de_impresión</vt:lpstr>
      <vt:lpstr>'Feb25'!Área_de_impresión</vt:lpstr>
      <vt:lpstr>'Feb26'!Área_de_impresión</vt:lpstr>
      <vt:lpstr>'Jul24'!Área_de_impresión</vt:lpstr>
      <vt:lpstr>'Jul25'!Área_de_impresión</vt:lpstr>
      <vt:lpstr>'Jul26'!Área_de_impresión</vt:lpstr>
      <vt:lpstr>'Jun24'!Área_de_impresión</vt:lpstr>
      <vt:lpstr>'Jun25'!Área_de_impresión</vt:lpstr>
      <vt:lpstr>'Jun26'!Área_de_impresión</vt:lpstr>
      <vt:lpstr>'Mar24'!Área_de_impresión</vt:lpstr>
      <vt:lpstr>'Mar25'!Área_de_impresión</vt:lpstr>
      <vt:lpstr>'Mar26'!Área_de_impresión</vt:lpstr>
      <vt:lpstr>'May24'!Área_de_impresión</vt:lpstr>
      <vt:lpstr>'May25'!Área_de_impresión</vt:lpstr>
      <vt:lpstr>'May26'!Área_de_impresión</vt:lpstr>
      <vt:lpstr>'Nov24'!Área_de_impresión</vt:lpstr>
      <vt:lpstr>'Nov25'!Área_de_impresión</vt:lpstr>
      <vt:lpstr>'Oct24'!Área_de_impresión</vt:lpstr>
      <vt:lpstr>'Oct25'!Área_de_impresión</vt:lpstr>
      <vt:lpstr>'prod-cons'!Área_de_impresión</vt:lpstr>
      <vt:lpstr>'Sep24'!Área_de_impresión</vt:lpstr>
      <vt:lpstr>'Sep25'!Área_de_impresión</vt:lpstr>
      <vt:lpstr>lis_act</vt:lpstr>
      <vt:lpstr>lis_act2</vt:lpstr>
      <vt:lpstr>lis_dat</vt:lpstr>
      <vt:lpstr>lis_ma</vt:lpstr>
      <vt:lpstr>lis_rub</vt:lpstr>
      <vt:lpstr>ran</vt:lpstr>
      <vt:lpstr>ran_act</vt:lpstr>
      <vt:lpstr>ran_act2</vt:lpstr>
      <vt:lpstr>ran_dat</vt:lpstr>
      <vt:lpstr>ran_idma</vt:lpstr>
      <vt:lpstr>ran_ma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Gaston Eleicegui</dc:creator>
  <cp:lastModifiedBy>CONINAGRO .</cp:lastModifiedBy>
  <cp:lastPrinted>2025-10-30T15:24:18Z</cp:lastPrinted>
  <dcterms:created xsi:type="dcterms:W3CDTF">2018-02-05T20:40:22Z</dcterms:created>
  <dcterms:modified xsi:type="dcterms:W3CDTF">2026-10-09T16:51:08Z</dcterms:modified>
</cp:coreProperties>
</file>